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60" yWindow="90" windowWidth="17745" windowHeight="11280"/>
  </bookViews>
  <sheets>
    <sheet name="Felony Chart" sheetId="10" r:id="rId1"/>
    <sheet name="Sheet1" sheetId="1" r:id="rId2"/>
    <sheet name="GENERAL PROFILE" sheetId="9" state="hidden" r:id="rId3"/>
  </sheets>
  <definedNames>
    <definedName name="_xlnm._FilterDatabase" localSheetId="1" hidden="1">Sheet1!$A$1:$CJ$3206</definedName>
    <definedName name="_xlnm.Print_Area" localSheetId="2">'GENERAL PROFILE'!$D$269:$M$288</definedName>
    <definedName name="_xlnm.Print_Area" localSheetId="1">Sheet1!$A$1:$BU$3207</definedName>
  </definedNames>
  <calcPr calcId="145621"/>
  <pivotCaches>
    <pivotCache cacheId="15" r:id="rId4"/>
  </pivotCaches>
</workbook>
</file>

<file path=xl/calcChain.xml><?xml version="1.0" encoding="utf-8"?>
<calcChain xmlns="http://schemas.openxmlformats.org/spreadsheetml/2006/main">
  <c r="CK3" i="1" l="1"/>
  <c r="CK4" i="1"/>
  <c r="CK5" i="1"/>
  <c r="CK6" i="1"/>
  <c r="CK7" i="1"/>
  <c r="CK8" i="1"/>
  <c r="CK9" i="1"/>
  <c r="CK10" i="1"/>
  <c r="CK11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6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373" i="1"/>
  <c r="CK374" i="1"/>
  <c r="CK375" i="1"/>
  <c r="CK376" i="1"/>
  <c r="CK377" i="1"/>
  <c r="CK378" i="1"/>
  <c r="CK379" i="1"/>
  <c r="CK380" i="1"/>
  <c r="CK381" i="1"/>
  <c r="CK382" i="1"/>
  <c r="CK383" i="1"/>
  <c r="CK384" i="1"/>
  <c r="CK385" i="1"/>
  <c r="CK386" i="1"/>
  <c r="CK387" i="1"/>
  <c r="CK388" i="1"/>
  <c r="CK389" i="1"/>
  <c r="CK390" i="1"/>
  <c r="CK391" i="1"/>
  <c r="CK392" i="1"/>
  <c r="CK393" i="1"/>
  <c r="CK394" i="1"/>
  <c r="CK395" i="1"/>
  <c r="CK396" i="1"/>
  <c r="CK397" i="1"/>
  <c r="CK398" i="1"/>
  <c r="CK399" i="1"/>
  <c r="CK400" i="1"/>
  <c r="CK401" i="1"/>
  <c r="CK402" i="1"/>
  <c r="CK403" i="1"/>
  <c r="CK404" i="1"/>
  <c r="CK405" i="1"/>
  <c r="CK406" i="1"/>
  <c r="CK407" i="1"/>
  <c r="CK408" i="1"/>
  <c r="CK409" i="1"/>
  <c r="CK410" i="1"/>
  <c r="CK411" i="1"/>
  <c r="CK412" i="1"/>
  <c r="CK413" i="1"/>
  <c r="CK414" i="1"/>
  <c r="CK415" i="1"/>
  <c r="CK416" i="1"/>
  <c r="CK417" i="1"/>
  <c r="CK418" i="1"/>
  <c r="CK419" i="1"/>
  <c r="CK420" i="1"/>
  <c r="CK421" i="1"/>
  <c r="CK422" i="1"/>
  <c r="CK423" i="1"/>
  <c r="CK424" i="1"/>
  <c r="CK425" i="1"/>
  <c r="CK426" i="1"/>
  <c r="CK427" i="1"/>
  <c r="CK428" i="1"/>
  <c r="CK429" i="1"/>
  <c r="CK430" i="1"/>
  <c r="CK431" i="1"/>
  <c r="CK432" i="1"/>
  <c r="CK433" i="1"/>
  <c r="CK434" i="1"/>
  <c r="CK435" i="1"/>
  <c r="CK436" i="1"/>
  <c r="CK437" i="1"/>
  <c r="CK438" i="1"/>
  <c r="CK439" i="1"/>
  <c r="CK440" i="1"/>
  <c r="CK441" i="1"/>
  <c r="CK442" i="1"/>
  <c r="CK443" i="1"/>
  <c r="CK444" i="1"/>
  <c r="CK445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60" i="1"/>
  <c r="CK461" i="1"/>
  <c r="CK462" i="1"/>
  <c r="CK463" i="1"/>
  <c r="CK464" i="1"/>
  <c r="CK465" i="1"/>
  <c r="CK466" i="1"/>
  <c r="CK467" i="1"/>
  <c r="CK468" i="1"/>
  <c r="CK469" i="1"/>
  <c r="CK470" i="1"/>
  <c r="CK471" i="1"/>
  <c r="CK472" i="1"/>
  <c r="CK473" i="1"/>
  <c r="CK474" i="1"/>
  <c r="CK475" i="1"/>
  <c r="CK476" i="1"/>
  <c r="CK477" i="1"/>
  <c r="CK478" i="1"/>
  <c r="CK479" i="1"/>
  <c r="CK480" i="1"/>
  <c r="CK481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519" i="1"/>
  <c r="CK520" i="1"/>
  <c r="CK521" i="1"/>
  <c r="CK522" i="1"/>
  <c r="CK523" i="1"/>
  <c r="CK524" i="1"/>
  <c r="CK525" i="1"/>
  <c r="CK526" i="1"/>
  <c r="CK527" i="1"/>
  <c r="CK528" i="1"/>
  <c r="CK529" i="1"/>
  <c r="CK530" i="1"/>
  <c r="CK531" i="1"/>
  <c r="CK532" i="1"/>
  <c r="CK533" i="1"/>
  <c r="CK534" i="1"/>
  <c r="CK535" i="1"/>
  <c r="CK536" i="1"/>
  <c r="CK537" i="1"/>
  <c r="CK538" i="1"/>
  <c r="CK539" i="1"/>
  <c r="CK540" i="1"/>
  <c r="CK541" i="1"/>
  <c r="CK542" i="1"/>
  <c r="CK543" i="1"/>
  <c r="CK544" i="1"/>
  <c r="CK545" i="1"/>
  <c r="CK546" i="1"/>
  <c r="CK547" i="1"/>
  <c r="CK548" i="1"/>
  <c r="CK549" i="1"/>
  <c r="CK550" i="1"/>
  <c r="CK551" i="1"/>
  <c r="CK552" i="1"/>
  <c r="CK553" i="1"/>
  <c r="CK554" i="1"/>
  <c r="CK555" i="1"/>
  <c r="CK556" i="1"/>
  <c r="CK557" i="1"/>
  <c r="CK558" i="1"/>
  <c r="CK559" i="1"/>
  <c r="CK560" i="1"/>
  <c r="CK561" i="1"/>
  <c r="CK562" i="1"/>
  <c r="CK563" i="1"/>
  <c r="CK564" i="1"/>
  <c r="CK565" i="1"/>
  <c r="CK566" i="1"/>
  <c r="CK567" i="1"/>
  <c r="CK568" i="1"/>
  <c r="CK569" i="1"/>
  <c r="CK570" i="1"/>
  <c r="CK571" i="1"/>
  <c r="CK572" i="1"/>
  <c r="CK573" i="1"/>
  <c r="CK574" i="1"/>
  <c r="CK575" i="1"/>
  <c r="CK576" i="1"/>
  <c r="CK577" i="1"/>
  <c r="CK578" i="1"/>
  <c r="CK579" i="1"/>
  <c r="CK580" i="1"/>
  <c r="CK581" i="1"/>
  <c r="CK582" i="1"/>
  <c r="CK583" i="1"/>
  <c r="CK584" i="1"/>
  <c r="CK585" i="1"/>
  <c r="CK586" i="1"/>
  <c r="CK587" i="1"/>
  <c r="CK588" i="1"/>
  <c r="CK589" i="1"/>
  <c r="CK590" i="1"/>
  <c r="CK591" i="1"/>
  <c r="CK592" i="1"/>
  <c r="CK593" i="1"/>
  <c r="CK594" i="1"/>
  <c r="CK595" i="1"/>
  <c r="CK596" i="1"/>
  <c r="CK597" i="1"/>
  <c r="CK598" i="1"/>
  <c r="CK599" i="1"/>
  <c r="CK600" i="1"/>
  <c r="CK601" i="1"/>
  <c r="CK602" i="1"/>
  <c r="CK603" i="1"/>
  <c r="CK604" i="1"/>
  <c r="CK605" i="1"/>
  <c r="CK606" i="1"/>
  <c r="CK607" i="1"/>
  <c r="CK608" i="1"/>
  <c r="CK609" i="1"/>
  <c r="CK610" i="1"/>
  <c r="CK611" i="1"/>
  <c r="CK612" i="1"/>
  <c r="CK613" i="1"/>
  <c r="CK614" i="1"/>
  <c r="CK615" i="1"/>
  <c r="CK616" i="1"/>
  <c r="CK617" i="1"/>
  <c r="CK618" i="1"/>
  <c r="CK619" i="1"/>
  <c r="CK620" i="1"/>
  <c r="CK621" i="1"/>
  <c r="CK622" i="1"/>
  <c r="CK623" i="1"/>
  <c r="CK624" i="1"/>
  <c r="CK625" i="1"/>
  <c r="CK626" i="1"/>
  <c r="CK627" i="1"/>
  <c r="CK628" i="1"/>
  <c r="CK629" i="1"/>
  <c r="CK630" i="1"/>
  <c r="CK631" i="1"/>
  <c r="CK632" i="1"/>
  <c r="CK633" i="1"/>
  <c r="CK634" i="1"/>
  <c r="CK635" i="1"/>
  <c r="CK636" i="1"/>
  <c r="CK637" i="1"/>
  <c r="CK638" i="1"/>
  <c r="CK639" i="1"/>
  <c r="CK640" i="1"/>
  <c r="CK641" i="1"/>
  <c r="CK642" i="1"/>
  <c r="CK643" i="1"/>
  <c r="CK644" i="1"/>
  <c r="CK645" i="1"/>
  <c r="CK646" i="1"/>
  <c r="CK647" i="1"/>
  <c r="CK648" i="1"/>
  <c r="CK649" i="1"/>
  <c r="CK650" i="1"/>
  <c r="CK651" i="1"/>
  <c r="CK652" i="1"/>
  <c r="CK653" i="1"/>
  <c r="CK654" i="1"/>
  <c r="CK655" i="1"/>
  <c r="CK656" i="1"/>
  <c r="CK657" i="1"/>
  <c r="CK658" i="1"/>
  <c r="CK659" i="1"/>
  <c r="CK660" i="1"/>
  <c r="CK661" i="1"/>
  <c r="CK662" i="1"/>
  <c r="CK663" i="1"/>
  <c r="CK664" i="1"/>
  <c r="CK665" i="1"/>
  <c r="CK666" i="1"/>
  <c r="CK667" i="1"/>
  <c r="CK668" i="1"/>
  <c r="CK669" i="1"/>
  <c r="CK670" i="1"/>
  <c r="CK671" i="1"/>
  <c r="CK672" i="1"/>
  <c r="CK673" i="1"/>
  <c r="CK674" i="1"/>
  <c r="CK675" i="1"/>
  <c r="CK676" i="1"/>
  <c r="CK677" i="1"/>
  <c r="CK678" i="1"/>
  <c r="CK679" i="1"/>
  <c r="CK680" i="1"/>
  <c r="CK681" i="1"/>
  <c r="CK682" i="1"/>
  <c r="CK683" i="1"/>
  <c r="CK684" i="1"/>
  <c r="CK685" i="1"/>
  <c r="CK686" i="1"/>
  <c r="CK687" i="1"/>
  <c r="CK688" i="1"/>
  <c r="CK689" i="1"/>
  <c r="CK690" i="1"/>
  <c r="CK691" i="1"/>
  <c r="CK692" i="1"/>
  <c r="CK693" i="1"/>
  <c r="CK694" i="1"/>
  <c r="CK695" i="1"/>
  <c r="CK696" i="1"/>
  <c r="CK697" i="1"/>
  <c r="CK698" i="1"/>
  <c r="CK699" i="1"/>
  <c r="CK700" i="1"/>
  <c r="CK701" i="1"/>
  <c r="CK702" i="1"/>
  <c r="CK703" i="1"/>
  <c r="CK704" i="1"/>
  <c r="CK705" i="1"/>
  <c r="CK706" i="1"/>
  <c r="CK707" i="1"/>
  <c r="CK708" i="1"/>
  <c r="CK709" i="1"/>
  <c r="CK710" i="1"/>
  <c r="CK711" i="1"/>
  <c r="CK712" i="1"/>
  <c r="CK713" i="1"/>
  <c r="CK714" i="1"/>
  <c r="CK715" i="1"/>
  <c r="CK716" i="1"/>
  <c r="CK717" i="1"/>
  <c r="CK718" i="1"/>
  <c r="CK719" i="1"/>
  <c r="CK720" i="1"/>
  <c r="CK721" i="1"/>
  <c r="CK722" i="1"/>
  <c r="CK723" i="1"/>
  <c r="CK724" i="1"/>
  <c r="CK725" i="1"/>
  <c r="CK726" i="1"/>
  <c r="CK727" i="1"/>
  <c r="CK728" i="1"/>
  <c r="CK729" i="1"/>
  <c r="CK730" i="1"/>
  <c r="CK731" i="1"/>
  <c r="CK732" i="1"/>
  <c r="CK733" i="1"/>
  <c r="CK734" i="1"/>
  <c r="CK735" i="1"/>
  <c r="CK736" i="1"/>
  <c r="CK737" i="1"/>
  <c r="CK738" i="1"/>
  <c r="CK739" i="1"/>
  <c r="CK740" i="1"/>
  <c r="CK741" i="1"/>
  <c r="CK742" i="1"/>
  <c r="CK743" i="1"/>
  <c r="CK744" i="1"/>
  <c r="CK745" i="1"/>
  <c r="CK746" i="1"/>
  <c r="CK747" i="1"/>
  <c r="CK748" i="1"/>
  <c r="CK749" i="1"/>
  <c r="CK750" i="1"/>
  <c r="CK751" i="1"/>
  <c r="CK752" i="1"/>
  <c r="CK753" i="1"/>
  <c r="CK754" i="1"/>
  <c r="CK755" i="1"/>
  <c r="CK756" i="1"/>
  <c r="CK757" i="1"/>
  <c r="CK758" i="1"/>
  <c r="CK759" i="1"/>
  <c r="CK760" i="1"/>
  <c r="CK761" i="1"/>
  <c r="CK762" i="1"/>
  <c r="CK763" i="1"/>
  <c r="CK764" i="1"/>
  <c r="CK765" i="1"/>
  <c r="CK766" i="1"/>
  <c r="CK767" i="1"/>
  <c r="CK768" i="1"/>
  <c r="CK769" i="1"/>
  <c r="CK770" i="1"/>
  <c r="CK771" i="1"/>
  <c r="CK772" i="1"/>
  <c r="CK773" i="1"/>
  <c r="CK774" i="1"/>
  <c r="CK775" i="1"/>
  <c r="CK776" i="1"/>
  <c r="CK777" i="1"/>
  <c r="CK778" i="1"/>
  <c r="CK779" i="1"/>
  <c r="CK780" i="1"/>
  <c r="CK781" i="1"/>
  <c r="CK782" i="1"/>
  <c r="CK783" i="1"/>
  <c r="CK784" i="1"/>
  <c r="CK785" i="1"/>
  <c r="CK786" i="1"/>
  <c r="CK787" i="1"/>
  <c r="CK788" i="1"/>
  <c r="CK789" i="1"/>
  <c r="CK790" i="1"/>
  <c r="CK791" i="1"/>
  <c r="CK792" i="1"/>
  <c r="CK793" i="1"/>
  <c r="CK794" i="1"/>
  <c r="CK795" i="1"/>
  <c r="CK796" i="1"/>
  <c r="CK797" i="1"/>
  <c r="CK798" i="1"/>
  <c r="CK799" i="1"/>
  <c r="CK800" i="1"/>
  <c r="CK801" i="1"/>
  <c r="CK802" i="1"/>
  <c r="CK803" i="1"/>
  <c r="CK804" i="1"/>
  <c r="CK805" i="1"/>
  <c r="CK806" i="1"/>
  <c r="CK807" i="1"/>
  <c r="CK808" i="1"/>
  <c r="CK809" i="1"/>
  <c r="CK810" i="1"/>
  <c r="CK811" i="1"/>
  <c r="CK812" i="1"/>
  <c r="CK813" i="1"/>
  <c r="CK814" i="1"/>
  <c r="CK815" i="1"/>
  <c r="CK816" i="1"/>
  <c r="CK817" i="1"/>
  <c r="CK818" i="1"/>
  <c r="CK819" i="1"/>
  <c r="CK820" i="1"/>
  <c r="CK821" i="1"/>
  <c r="CK822" i="1"/>
  <c r="CK823" i="1"/>
  <c r="CK824" i="1"/>
  <c r="CK825" i="1"/>
  <c r="CK826" i="1"/>
  <c r="CK827" i="1"/>
  <c r="CK828" i="1"/>
  <c r="CK829" i="1"/>
  <c r="CK830" i="1"/>
  <c r="CK831" i="1"/>
  <c r="CK832" i="1"/>
  <c r="CK833" i="1"/>
  <c r="CK834" i="1"/>
  <c r="CK835" i="1"/>
  <c r="CK836" i="1"/>
  <c r="CK837" i="1"/>
  <c r="CK838" i="1"/>
  <c r="CK839" i="1"/>
  <c r="CK840" i="1"/>
  <c r="CK841" i="1"/>
  <c r="CK842" i="1"/>
  <c r="CK843" i="1"/>
  <c r="CK844" i="1"/>
  <c r="CK845" i="1"/>
  <c r="CK846" i="1"/>
  <c r="CK847" i="1"/>
  <c r="CK848" i="1"/>
  <c r="CK849" i="1"/>
  <c r="CK850" i="1"/>
  <c r="CK851" i="1"/>
  <c r="CK852" i="1"/>
  <c r="CK853" i="1"/>
  <c r="CK854" i="1"/>
  <c r="CK855" i="1"/>
  <c r="CK856" i="1"/>
  <c r="CK857" i="1"/>
  <c r="CK858" i="1"/>
  <c r="CK859" i="1"/>
  <c r="CK860" i="1"/>
  <c r="CK861" i="1"/>
  <c r="CK862" i="1"/>
  <c r="CK863" i="1"/>
  <c r="CK864" i="1"/>
  <c r="CK865" i="1"/>
  <c r="CK866" i="1"/>
  <c r="CK867" i="1"/>
  <c r="CK868" i="1"/>
  <c r="CK869" i="1"/>
  <c r="CK870" i="1"/>
  <c r="CK871" i="1"/>
  <c r="CK872" i="1"/>
  <c r="CK873" i="1"/>
  <c r="CK874" i="1"/>
  <c r="CK875" i="1"/>
  <c r="CK876" i="1"/>
  <c r="CK877" i="1"/>
  <c r="CK878" i="1"/>
  <c r="CK879" i="1"/>
  <c r="CK880" i="1"/>
  <c r="CK881" i="1"/>
  <c r="CK882" i="1"/>
  <c r="CK883" i="1"/>
  <c r="CK884" i="1"/>
  <c r="CK885" i="1"/>
  <c r="CK886" i="1"/>
  <c r="CK887" i="1"/>
  <c r="CK888" i="1"/>
  <c r="CK889" i="1"/>
  <c r="CK890" i="1"/>
  <c r="CK891" i="1"/>
  <c r="CK892" i="1"/>
  <c r="CK893" i="1"/>
  <c r="CK894" i="1"/>
  <c r="CK895" i="1"/>
  <c r="CK896" i="1"/>
  <c r="CK897" i="1"/>
  <c r="CK898" i="1"/>
  <c r="CK899" i="1"/>
  <c r="CK900" i="1"/>
  <c r="CK901" i="1"/>
  <c r="CK902" i="1"/>
  <c r="CK903" i="1"/>
  <c r="CK904" i="1"/>
  <c r="CK905" i="1"/>
  <c r="CK906" i="1"/>
  <c r="CK907" i="1"/>
  <c r="CK908" i="1"/>
  <c r="CK909" i="1"/>
  <c r="CK910" i="1"/>
  <c r="CK911" i="1"/>
  <c r="CK912" i="1"/>
  <c r="CK913" i="1"/>
  <c r="CK914" i="1"/>
  <c r="CK915" i="1"/>
  <c r="CK916" i="1"/>
  <c r="CK917" i="1"/>
  <c r="CK918" i="1"/>
  <c r="CK919" i="1"/>
  <c r="CK920" i="1"/>
  <c r="CK921" i="1"/>
  <c r="CK922" i="1"/>
  <c r="CK923" i="1"/>
  <c r="CK924" i="1"/>
  <c r="CK925" i="1"/>
  <c r="CK926" i="1"/>
  <c r="CK927" i="1"/>
  <c r="CK928" i="1"/>
  <c r="CK929" i="1"/>
  <c r="CK930" i="1"/>
  <c r="CK931" i="1"/>
  <c r="CK932" i="1"/>
  <c r="CK933" i="1"/>
  <c r="CK934" i="1"/>
  <c r="CK935" i="1"/>
  <c r="CK936" i="1"/>
  <c r="CK937" i="1"/>
  <c r="CK938" i="1"/>
  <c r="CK939" i="1"/>
  <c r="CK940" i="1"/>
  <c r="CK941" i="1"/>
  <c r="CK942" i="1"/>
  <c r="CK943" i="1"/>
  <c r="CK944" i="1"/>
  <c r="CK945" i="1"/>
  <c r="CK946" i="1"/>
  <c r="CK947" i="1"/>
  <c r="CK948" i="1"/>
  <c r="CK949" i="1"/>
  <c r="CK950" i="1"/>
  <c r="CK951" i="1"/>
  <c r="CK952" i="1"/>
  <c r="CK953" i="1"/>
  <c r="CK954" i="1"/>
  <c r="CK955" i="1"/>
  <c r="CK956" i="1"/>
  <c r="CK957" i="1"/>
  <c r="CK958" i="1"/>
  <c r="CK959" i="1"/>
  <c r="CK960" i="1"/>
  <c r="CK961" i="1"/>
  <c r="CK962" i="1"/>
  <c r="CK963" i="1"/>
  <c r="CK964" i="1"/>
  <c r="CK965" i="1"/>
  <c r="CK966" i="1"/>
  <c r="CK967" i="1"/>
  <c r="CK968" i="1"/>
  <c r="CK969" i="1"/>
  <c r="CK970" i="1"/>
  <c r="CK971" i="1"/>
  <c r="CK972" i="1"/>
  <c r="CK973" i="1"/>
  <c r="CK974" i="1"/>
  <c r="CK975" i="1"/>
  <c r="CK976" i="1"/>
  <c r="CK977" i="1"/>
  <c r="CK978" i="1"/>
  <c r="CK979" i="1"/>
  <c r="CK980" i="1"/>
  <c r="CK981" i="1"/>
  <c r="CK982" i="1"/>
  <c r="CK983" i="1"/>
  <c r="CK984" i="1"/>
  <c r="CK985" i="1"/>
  <c r="CK986" i="1"/>
  <c r="CK987" i="1"/>
  <c r="CK988" i="1"/>
  <c r="CK989" i="1"/>
  <c r="CK990" i="1"/>
  <c r="CK991" i="1"/>
  <c r="CK992" i="1"/>
  <c r="CK993" i="1"/>
  <c r="CK994" i="1"/>
  <c r="CK995" i="1"/>
  <c r="CK996" i="1"/>
  <c r="CK997" i="1"/>
  <c r="CK998" i="1"/>
  <c r="CK999" i="1"/>
  <c r="CK1000" i="1"/>
  <c r="CK1001" i="1"/>
  <c r="CK1002" i="1"/>
  <c r="CK1003" i="1"/>
  <c r="CK1004" i="1"/>
  <c r="CK1005" i="1"/>
  <c r="CK1006" i="1"/>
  <c r="CK1007" i="1"/>
  <c r="CK1008" i="1"/>
  <c r="CK1009" i="1"/>
  <c r="CK1010" i="1"/>
  <c r="CK1011" i="1"/>
  <c r="CK1012" i="1"/>
  <c r="CK1013" i="1"/>
  <c r="CK1014" i="1"/>
  <c r="CK1015" i="1"/>
  <c r="CK1016" i="1"/>
  <c r="CK1017" i="1"/>
  <c r="CK1018" i="1"/>
  <c r="CK1019" i="1"/>
  <c r="CK1020" i="1"/>
  <c r="CK1021" i="1"/>
  <c r="CK1022" i="1"/>
  <c r="CK1023" i="1"/>
  <c r="CK1024" i="1"/>
  <c r="CK1025" i="1"/>
  <c r="CK1026" i="1"/>
  <c r="CK1027" i="1"/>
  <c r="CK1028" i="1"/>
  <c r="CK1029" i="1"/>
  <c r="CK1030" i="1"/>
  <c r="CK1031" i="1"/>
  <c r="CK1032" i="1"/>
  <c r="CK1033" i="1"/>
  <c r="CK1034" i="1"/>
  <c r="CK1035" i="1"/>
  <c r="CK1036" i="1"/>
  <c r="CK1037" i="1"/>
  <c r="CK1038" i="1"/>
  <c r="CK1039" i="1"/>
  <c r="CK1040" i="1"/>
  <c r="CK1041" i="1"/>
  <c r="CK1042" i="1"/>
  <c r="CK1043" i="1"/>
  <c r="CK1044" i="1"/>
  <c r="CK1045" i="1"/>
  <c r="CK1046" i="1"/>
  <c r="CK1047" i="1"/>
  <c r="CK1048" i="1"/>
  <c r="CK1049" i="1"/>
  <c r="CK1050" i="1"/>
  <c r="CK1051" i="1"/>
  <c r="CK1052" i="1"/>
  <c r="CK1053" i="1"/>
  <c r="CK1054" i="1"/>
  <c r="CK1055" i="1"/>
  <c r="CK1056" i="1"/>
  <c r="CK1057" i="1"/>
  <c r="CK1058" i="1"/>
  <c r="CK1059" i="1"/>
  <c r="CK1060" i="1"/>
  <c r="CK1061" i="1"/>
  <c r="CK1062" i="1"/>
  <c r="CK1063" i="1"/>
  <c r="CK1064" i="1"/>
  <c r="CK1065" i="1"/>
  <c r="CK1066" i="1"/>
  <c r="CK1067" i="1"/>
  <c r="CK1068" i="1"/>
  <c r="CK1069" i="1"/>
  <c r="CK1070" i="1"/>
  <c r="CK1071" i="1"/>
  <c r="CK1072" i="1"/>
  <c r="CK1073" i="1"/>
  <c r="CK1074" i="1"/>
  <c r="CK1075" i="1"/>
  <c r="CK1076" i="1"/>
  <c r="CK1077" i="1"/>
  <c r="CK1078" i="1"/>
  <c r="CK1079" i="1"/>
  <c r="CK1080" i="1"/>
  <c r="CK1081" i="1"/>
  <c r="CK1082" i="1"/>
  <c r="CK1083" i="1"/>
  <c r="CK1084" i="1"/>
  <c r="CK1085" i="1"/>
  <c r="CK1086" i="1"/>
  <c r="CK1087" i="1"/>
  <c r="CK1088" i="1"/>
  <c r="CK1089" i="1"/>
  <c r="CK1090" i="1"/>
  <c r="CK1091" i="1"/>
  <c r="CK1092" i="1"/>
  <c r="CK1093" i="1"/>
  <c r="CK1094" i="1"/>
  <c r="CK1095" i="1"/>
  <c r="CK1096" i="1"/>
  <c r="CK1097" i="1"/>
  <c r="CK1098" i="1"/>
  <c r="CK1099" i="1"/>
  <c r="CK1100" i="1"/>
  <c r="CK1101" i="1"/>
  <c r="CK1102" i="1"/>
  <c r="CK1103" i="1"/>
  <c r="CK1104" i="1"/>
  <c r="CK1105" i="1"/>
  <c r="CK1106" i="1"/>
  <c r="CK1107" i="1"/>
  <c r="CK1108" i="1"/>
  <c r="CK1109" i="1"/>
  <c r="CK1110" i="1"/>
  <c r="CK1111" i="1"/>
  <c r="CK1112" i="1"/>
  <c r="CK1113" i="1"/>
  <c r="CK1114" i="1"/>
  <c r="CK1115" i="1"/>
  <c r="CK1116" i="1"/>
  <c r="CK1117" i="1"/>
  <c r="CK1118" i="1"/>
  <c r="CK1119" i="1"/>
  <c r="CK1120" i="1"/>
  <c r="CK1121" i="1"/>
  <c r="CK1122" i="1"/>
  <c r="CK1123" i="1"/>
  <c r="CK1124" i="1"/>
  <c r="CK1125" i="1"/>
  <c r="CK1126" i="1"/>
  <c r="CK1127" i="1"/>
  <c r="CK1128" i="1"/>
  <c r="CK1129" i="1"/>
  <c r="CK1130" i="1"/>
  <c r="CK1131" i="1"/>
  <c r="CK1132" i="1"/>
  <c r="CK1133" i="1"/>
  <c r="CK1134" i="1"/>
  <c r="CK1135" i="1"/>
  <c r="CK1136" i="1"/>
  <c r="CK1137" i="1"/>
  <c r="CK1138" i="1"/>
  <c r="CK1139" i="1"/>
  <c r="CK1140" i="1"/>
  <c r="CK1141" i="1"/>
  <c r="CK1142" i="1"/>
  <c r="CK1143" i="1"/>
  <c r="CK1144" i="1"/>
  <c r="CK1145" i="1"/>
  <c r="CK1146" i="1"/>
  <c r="CK1147" i="1"/>
  <c r="CK1148" i="1"/>
  <c r="CK1149" i="1"/>
  <c r="CK1150" i="1"/>
  <c r="CK1151" i="1"/>
  <c r="CK1152" i="1"/>
  <c r="CK1153" i="1"/>
  <c r="CK1154" i="1"/>
  <c r="CK1155" i="1"/>
  <c r="CK1156" i="1"/>
  <c r="CK1157" i="1"/>
  <c r="CK1158" i="1"/>
  <c r="CK1159" i="1"/>
  <c r="CK1160" i="1"/>
  <c r="CK1161" i="1"/>
  <c r="CK1162" i="1"/>
  <c r="CK1163" i="1"/>
  <c r="CK1164" i="1"/>
  <c r="CK1165" i="1"/>
  <c r="CK1166" i="1"/>
  <c r="CK1167" i="1"/>
  <c r="CK1168" i="1"/>
  <c r="CK1169" i="1"/>
  <c r="CK1170" i="1"/>
  <c r="CK1171" i="1"/>
  <c r="CK1172" i="1"/>
  <c r="CK1173" i="1"/>
  <c r="CK1174" i="1"/>
  <c r="CK1175" i="1"/>
  <c r="CK1176" i="1"/>
  <c r="CK1177" i="1"/>
  <c r="CK1178" i="1"/>
  <c r="CK1179" i="1"/>
  <c r="CK1180" i="1"/>
  <c r="CK1181" i="1"/>
  <c r="CK1182" i="1"/>
  <c r="CK1183" i="1"/>
  <c r="CK1184" i="1"/>
  <c r="CK1185" i="1"/>
  <c r="CK1186" i="1"/>
  <c r="CK1187" i="1"/>
  <c r="CK1188" i="1"/>
  <c r="CK1189" i="1"/>
  <c r="CK1190" i="1"/>
  <c r="CK1191" i="1"/>
  <c r="CK1192" i="1"/>
  <c r="CK1193" i="1"/>
  <c r="CK1194" i="1"/>
  <c r="CK1195" i="1"/>
  <c r="CK1196" i="1"/>
  <c r="CK1197" i="1"/>
  <c r="CK1198" i="1"/>
  <c r="CK1199" i="1"/>
  <c r="CK1200" i="1"/>
  <c r="CK1201" i="1"/>
  <c r="CK1202" i="1"/>
  <c r="CK1203" i="1"/>
  <c r="CK1204" i="1"/>
  <c r="CK1205" i="1"/>
  <c r="CK1206" i="1"/>
  <c r="CK1207" i="1"/>
  <c r="CK1208" i="1"/>
  <c r="CK1209" i="1"/>
  <c r="CK1210" i="1"/>
  <c r="CK1211" i="1"/>
  <c r="CK1212" i="1"/>
  <c r="CK1213" i="1"/>
  <c r="CK1214" i="1"/>
  <c r="CK1215" i="1"/>
  <c r="CK1216" i="1"/>
  <c r="CK1217" i="1"/>
  <c r="CK1218" i="1"/>
  <c r="CK1219" i="1"/>
  <c r="CK1220" i="1"/>
  <c r="CK1221" i="1"/>
  <c r="CK1222" i="1"/>
  <c r="CK1223" i="1"/>
  <c r="CK1224" i="1"/>
  <c r="CK1225" i="1"/>
  <c r="CK1226" i="1"/>
  <c r="CK1227" i="1"/>
  <c r="CK1228" i="1"/>
  <c r="CK1229" i="1"/>
  <c r="CK1230" i="1"/>
  <c r="CK1231" i="1"/>
  <c r="CK1232" i="1"/>
  <c r="CK1233" i="1"/>
  <c r="CK1234" i="1"/>
  <c r="CK1235" i="1"/>
  <c r="CK1236" i="1"/>
  <c r="CK1237" i="1"/>
  <c r="CK1238" i="1"/>
  <c r="CK1239" i="1"/>
  <c r="CK1240" i="1"/>
  <c r="CK1241" i="1"/>
  <c r="CK1242" i="1"/>
  <c r="CK1243" i="1"/>
  <c r="CK1244" i="1"/>
  <c r="CK1245" i="1"/>
  <c r="CK1246" i="1"/>
  <c r="CK1247" i="1"/>
  <c r="CK1248" i="1"/>
  <c r="CK1249" i="1"/>
  <c r="CK1250" i="1"/>
  <c r="CK1251" i="1"/>
  <c r="CK1252" i="1"/>
  <c r="CK1253" i="1"/>
  <c r="CK1254" i="1"/>
  <c r="CK1255" i="1"/>
  <c r="CK1256" i="1"/>
  <c r="CK1257" i="1"/>
  <c r="CK1258" i="1"/>
  <c r="CK1259" i="1"/>
  <c r="CK1260" i="1"/>
  <c r="CK1261" i="1"/>
  <c r="CK1262" i="1"/>
  <c r="CK1263" i="1"/>
  <c r="CK1264" i="1"/>
  <c r="CK1265" i="1"/>
  <c r="CK1266" i="1"/>
  <c r="CK1267" i="1"/>
  <c r="CK1268" i="1"/>
  <c r="CK1269" i="1"/>
  <c r="CK1270" i="1"/>
  <c r="CK1271" i="1"/>
  <c r="CK1272" i="1"/>
  <c r="CK1273" i="1"/>
  <c r="CK1274" i="1"/>
  <c r="CK1275" i="1"/>
  <c r="CK1276" i="1"/>
  <c r="CK1277" i="1"/>
  <c r="CK1278" i="1"/>
  <c r="CK1279" i="1"/>
  <c r="CK1280" i="1"/>
  <c r="CK1281" i="1"/>
  <c r="CK1282" i="1"/>
  <c r="CK1283" i="1"/>
  <c r="CK1284" i="1"/>
  <c r="CK1285" i="1"/>
  <c r="CK1286" i="1"/>
  <c r="CK1287" i="1"/>
  <c r="CK1288" i="1"/>
  <c r="CK1289" i="1"/>
  <c r="CK1290" i="1"/>
  <c r="CK1291" i="1"/>
  <c r="CK1292" i="1"/>
  <c r="CK1293" i="1"/>
  <c r="CK1294" i="1"/>
  <c r="CK1295" i="1"/>
  <c r="CK1296" i="1"/>
  <c r="CK1297" i="1"/>
  <c r="CK1298" i="1"/>
  <c r="CK1299" i="1"/>
  <c r="CK1300" i="1"/>
  <c r="CK1301" i="1"/>
  <c r="CK1302" i="1"/>
  <c r="CK1303" i="1"/>
  <c r="CK1304" i="1"/>
  <c r="CK1305" i="1"/>
  <c r="CK1306" i="1"/>
  <c r="CK1307" i="1"/>
  <c r="CK1308" i="1"/>
  <c r="CK1309" i="1"/>
  <c r="CK1310" i="1"/>
  <c r="CK1311" i="1"/>
  <c r="CK1312" i="1"/>
  <c r="CK1313" i="1"/>
  <c r="CK1314" i="1"/>
  <c r="CK1315" i="1"/>
  <c r="CK1316" i="1"/>
  <c r="CK1317" i="1"/>
  <c r="CK1318" i="1"/>
  <c r="CK1319" i="1"/>
  <c r="CK1320" i="1"/>
  <c r="CK1321" i="1"/>
  <c r="CK1322" i="1"/>
  <c r="CK1323" i="1"/>
  <c r="CK1324" i="1"/>
  <c r="CK1325" i="1"/>
  <c r="CK1326" i="1"/>
  <c r="CK1327" i="1"/>
  <c r="CK1328" i="1"/>
  <c r="CK1329" i="1"/>
  <c r="CK1330" i="1"/>
  <c r="CK1331" i="1"/>
  <c r="CK1332" i="1"/>
  <c r="CK1333" i="1"/>
  <c r="CK1334" i="1"/>
  <c r="CK1335" i="1"/>
  <c r="CK1336" i="1"/>
  <c r="CK1337" i="1"/>
  <c r="CK1338" i="1"/>
  <c r="CK1339" i="1"/>
  <c r="CK1340" i="1"/>
  <c r="CK1341" i="1"/>
  <c r="CK1342" i="1"/>
  <c r="CK1343" i="1"/>
  <c r="CK1344" i="1"/>
  <c r="CK1345" i="1"/>
  <c r="CK1346" i="1"/>
  <c r="CK1347" i="1"/>
  <c r="CK1348" i="1"/>
  <c r="CK1349" i="1"/>
  <c r="CK1350" i="1"/>
  <c r="CK1351" i="1"/>
  <c r="CK1352" i="1"/>
  <c r="CK1353" i="1"/>
  <c r="CK1354" i="1"/>
  <c r="CK1355" i="1"/>
  <c r="CK1356" i="1"/>
  <c r="CK1357" i="1"/>
  <c r="CK1358" i="1"/>
  <c r="CK1359" i="1"/>
  <c r="CK1360" i="1"/>
  <c r="CK1361" i="1"/>
  <c r="CK1362" i="1"/>
  <c r="CK1363" i="1"/>
  <c r="CK1364" i="1"/>
  <c r="CK1365" i="1"/>
  <c r="CK1366" i="1"/>
  <c r="CK1367" i="1"/>
  <c r="CK1368" i="1"/>
  <c r="CK1369" i="1"/>
  <c r="CK1370" i="1"/>
  <c r="CK1371" i="1"/>
  <c r="CK1372" i="1"/>
  <c r="CK1373" i="1"/>
  <c r="CK1374" i="1"/>
  <c r="CK1375" i="1"/>
  <c r="CK1376" i="1"/>
  <c r="CK1377" i="1"/>
  <c r="CK1378" i="1"/>
  <c r="CK1379" i="1"/>
  <c r="CK1380" i="1"/>
  <c r="CK1381" i="1"/>
  <c r="CK1382" i="1"/>
  <c r="CK1383" i="1"/>
  <c r="CK1384" i="1"/>
  <c r="CK1385" i="1"/>
  <c r="CK1386" i="1"/>
  <c r="CK1387" i="1"/>
  <c r="CK1388" i="1"/>
  <c r="CK1389" i="1"/>
  <c r="CK1390" i="1"/>
  <c r="CK1391" i="1"/>
  <c r="CK1392" i="1"/>
  <c r="CK1393" i="1"/>
  <c r="CK1394" i="1"/>
  <c r="CK1395" i="1"/>
  <c r="CK1396" i="1"/>
  <c r="CK1397" i="1"/>
  <c r="CK1398" i="1"/>
  <c r="CK1399" i="1"/>
  <c r="CK1400" i="1"/>
  <c r="CK1401" i="1"/>
  <c r="CK1402" i="1"/>
  <c r="CK1403" i="1"/>
  <c r="CK1404" i="1"/>
  <c r="CK1405" i="1"/>
  <c r="CK1406" i="1"/>
  <c r="CK1407" i="1"/>
  <c r="CK1408" i="1"/>
  <c r="CK1409" i="1"/>
  <c r="CK1410" i="1"/>
  <c r="CK1411" i="1"/>
  <c r="CK1412" i="1"/>
  <c r="CK1413" i="1"/>
  <c r="CK1414" i="1"/>
  <c r="CK1415" i="1"/>
  <c r="CK1416" i="1"/>
  <c r="CK1417" i="1"/>
  <c r="CK1418" i="1"/>
  <c r="CK1419" i="1"/>
  <c r="CK1420" i="1"/>
  <c r="CK1421" i="1"/>
  <c r="CK1422" i="1"/>
  <c r="CK1423" i="1"/>
  <c r="CK1424" i="1"/>
  <c r="CK1425" i="1"/>
  <c r="CK1426" i="1"/>
  <c r="CK1427" i="1"/>
  <c r="CK1428" i="1"/>
  <c r="CK1429" i="1"/>
  <c r="CK1430" i="1"/>
  <c r="CK1431" i="1"/>
  <c r="CK1432" i="1"/>
  <c r="CK1433" i="1"/>
  <c r="CK1434" i="1"/>
  <c r="CK1435" i="1"/>
  <c r="CK1436" i="1"/>
  <c r="CK1437" i="1"/>
  <c r="CK1438" i="1"/>
  <c r="CK1439" i="1"/>
  <c r="CK1440" i="1"/>
  <c r="CK1441" i="1"/>
  <c r="CK1442" i="1"/>
  <c r="CK1443" i="1"/>
  <c r="CK1444" i="1"/>
  <c r="CK1445" i="1"/>
  <c r="CK1446" i="1"/>
  <c r="CK1447" i="1"/>
  <c r="CK1448" i="1"/>
  <c r="CK1449" i="1"/>
  <c r="CK1450" i="1"/>
  <c r="CK1451" i="1"/>
  <c r="CK1452" i="1"/>
  <c r="CK1453" i="1"/>
  <c r="CK1454" i="1"/>
  <c r="CK1455" i="1"/>
  <c r="CK1456" i="1"/>
  <c r="CK1457" i="1"/>
  <c r="CK1458" i="1"/>
  <c r="CK1459" i="1"/>
  <c r="CK1460" i="1"/>
  <c r="CK1461" i="1"/>
  <c r="CK1462" i="1"/>
  <c r="CK1463" i="1"/>
  <c r="CK1464" i="1"/>
  <c r="CK1465" i="1"/>
  <c r="CK1466" i="1"/>
  <c r="CK1467" i="1"/>
  <c r="CK1468" i="1"/>
  <c r="CK1469" i="1"/>
  <c r="CK1470" i="1"/>
  <c r="CK1471" i="1"/>
  <c r="CK1472" i="1"/>
  <c r="CK1473" i="1"/>
  <c r="CK1474" i="1"/>
  <c r="CK1475" i="1"/>
  <c r="CK1476" i="1"/>
  <c r="CK1477" i="1"/>
  <c r="CK1478" i="1"/>
  <c r="CK1479" i="1"/>
  <c r="CK1480" i="1"/>
  <c r="CK1481" i="1"/>
  <c r="CK1482" i="1"/>
  <c r="CK1483" i="1"/>
  <c r="CK1484" i="1"/>
  <c r="CK1485" i="1"/>
  <c r="CK1486" i="1"/>
  <c r="CK1487" i="1"/>
  <c r="CK1488" i="1"/>
  <c r="CK1489" i="1"/>
  <c r="CK1490" i="1"/>
  <c r="CK1491" i="1"/>
  <c r="CK1492" i="1"/>
  <c r="CK1493" i="1"/>
  <c r="CK1494" i="1"/>
  <c r="CK1495" i="1"/>
  <c r="CK1496" i="1"/>
  <c r="CK1497" i="1"/>
  <c r="CK1498" i="1"/>
  <c r="CK1499" i="1"/>
  <c r="CK1500" i="1"/>
  <c r="CK1501" i="1"/>
  <c r="CK1502" i="1"/>
  <c r="CK1503" i="1"/>
  <c r="CK1504" i="1"/>
  <c r="CK1505" i="1"/>
  <c r="CK1506" i="1"/>
  <c r="CK1507" i="1"/>
  <c r="CK1508" i="1"/>
  <c r="CK1509" i="1"/>
  <c r="CK1510" i="1"/>
  <c r="CK1511" i="1"/>
  <c r="CK1512" i="1"/>
  <c r="CK1513" i="1"/>
  <c r="CK1514" i="1"/>
  <c r="CK1515" i="1"/>
  <c r="CK1516" i="1"/>
  <c r="CK1517" i="1"/>
  <c r="CK1518" i="1"/>
  <c r="CK1519" i="1"/>
  <c r="CK1520" i="1"/>
  <c r="CK1521" i="1"/>
  <c r="CK1522" i="1"/>
  <c r="CK1523" i="1"/>
  <c r="CK1524" i="1"/>
  <c r="CK1525" i="1"/>
  <c r="CK1526" i="1"/>
  <c r="CK1527" i="1"/>
  <c r="CK1528" i="1"/>
  <c r="CK1529" i="1"/>
  <c r="CK1530" i="1"/>
  <c r="CK1531" i="1"/>
  <c r="CK1532" i="1"/>
  <c r="CK1533" i="1"/>
  <c r="CK1534" i="1"/>
  <c r="CK1535" i="1"/>
  <c r="CK1536" i="1"/>
  <c r="CK1537" i="1"/>
  <c r="CK1538" i="1"/>
  <c r="CK1539" i="1"/>
  <c r="CK1540" i="1"/>
  <c r="CK1541" i="1"/>
  <c r="CK1542" i="1"/>
  <c r="CK1543" i="1"/>
  <c r="CK1544" i="1"/>
  <c r="CK1545" i="1"/>
  <c r="CK1546" i="1"/>
  <c r="CK1547" i="1"/>
  <c r="CK1548" i="1"/>
  <c r="CK1549" i="1"/>
  <c r="CK1550" i="1"/>
  <c r="CK1551" i="1"/>
  <c r="CK1552" i="1"/>
  <c r="CK1553" i="1"/>
  <c r="CK1554" i="1"/>
  <c r="CK1555" i="1"/>
  <c r="CK1556" i="1"/>
  <c r="CK1557" i="1"/>
  <c r="CK1558" i="1"/>
  <c r="CK1559" i="1"/>
  <c r="CK1560" i="1"/>
  <c r="CK1561" i="1"/>
  <c r="CK1562" i="1"/>
  <c r="CK1563" i="1"/>
  <c r="CK1564" i="1"/>
  <c r="CK1565" i="1"/>
  <c r="CK1566" i="1"/>
  <c r="CK1567" i="1"/>
  <c r="CK1568" i="1"/>
  <c r="CK1569" i="1"/>
  <c r="CK1570" i="1"/>
  <c r="CK1571" i="1"/>
  <c r="CK1572" i="1"/>
  <c r="CK1573" i="1"/>
  <c r="CK1574" i="1"/>
  <c r="CK1575" i="1"/>
  <c r="CK1576" i="1"/>
  <c r="CK1577" i="1"/>
  <c r="CK1578" i="1"/>
  <c r="CK1579" i="1"/>
  <c r="CK1580" i="1"/>
  <c r="CK1581" i="1"/>
  <c r="CK1582" i="1"/>
  <c r="CK1583" i="1"/>
  <c r="CK1584" i="1"/>
  <c r="CK1585" i="1"/>
  <c r="CK1586" i="1"/>
  <c r="CK1587" i="1"/>
  <c r="CK1588" i="1"/>
  <c r="CK1589" i="1"/>
  <c r="CK1590" i="1"/>
  <c r="CK1591" i="1"/>
  <c r="CK1592" i="1"/>
  <c r="CK1593" i="1"/>
  <c r="CK1594" i="1"/>
  <c r="CK1595" i="1"/>
  <c r="CK1596" i="1"/>
  <c r="CK1597" i="1"/>
  <c r="CK1598" i="1"/>
  <c r="CK1599" i="1"/>
  <c r="CK1600" i="1"/>
  <c r="CK1601" i="1"/>
  <c r="CK1602" i="1"/>
  <c r="CK1603" i="1"/>
  <c r="CK1604" i="1"/>
  <c r="CK1605" i="1"/>
  <c r="CK1606" i="1"/>
  <c r="CK1607" i="1"/>
  <c r="CK1608" i="1"/>
  <c r="CK1609" i="1"/>
  <c r="CK1610" i="1"/>
  <c r="CK1611" i="1"/>
  <c r="CK1612" i="1"/>
  <c r="CK1613" i="1"/>
  <c r="CK1614" i="1"/>
  <c r="CK1615" i="1"/>
  <c r="CK1616" i="1"/>
  <c r="CK1617" i="1"/>
  <c r="CK1618" i="1"/>
  <c r="CK1619" i="1"/>
  <c r="CK1620" i="1"/>
  <c r="CK1621" i="1"/>
  <c r="CK1622" i="1"/>
  <c r="CK1623" i="1"/>
  <c r="CK1624" i="1"/>
  <c r="CK1625" i="1"/>
  <c r="CK1626" i="1"/>
  <c r="CK1627" i="1"/>
  <c r="CK1628" i="1"/>
  <c r="CK1629" i="1"/>
  <c r="CK1630" i="1"/>
  <c r="CK1631" i="1"/>
  <c r="CK1632" i="1"/>
  <c r="CK1633" i="1"/>
  <c r="CK1634" i="1"/>
  <c r="CK1635" i="1"/>
  <c r="CK1636" i="1"/>
  <c r="CK1637" i="1"/>
  <c r="CK1638" i="1"/>
  <c r="CK1639" i="1"/>
  <c r="CK1640" i="1"/>
  <c r="CK1641" i="1"/>
  <c r="CK1642" i="1"/>
  <c r="CK1643" i="1"/>
  <c r="CK1644" i="1"/>
  <c r="CK1645" i="1"/>
  <c r="CK1646" i="1"/>
  <c r="CK1647" i="1"/>
  <c r="CK1648" i="1"/>
  <c r="CK1649" i="1"/>
  <c r="CK1650" i="1"/>
  <c r="CK1651" i="1"/>
  <c r="CK1652" i="1"/>
  <c r="CK1653" i="1"/>
  <c r="CK1654" i="1"/>
  <c r="CK1655" i="1"/>
  <c r="CK1656" i="1"/>
  <c r="CK1657" i="1"/>
  <c r="CK1658" i="1"/>
  <c r="CK1659" i="1"/>
  <c r="CK1660" i="1"/>
  <c r="CK1661" i="1"/>
  <c r="CK1662" i="1"/>
  <c r="CK1663" i="1"/>
  <c r="CK1664" i="1"/>
  <c r="CK1665" i="1"/>
  <c r="CK1666" i="1"/>
  <c r="CK1667" i="1"/>
  <c r="CK1668" i="1"/>
  <c r="CK1669" i="1"/>
  <c r="CK1670" i="1"/>
  <c r="CK1671" i="1"/>
  <c r="CK1672" i="1"/>
  <c r="CK1673" i="1"/>
  <c r="CK1674" i="1"/>
  <c r="CK1675" i="1"/>
  <c r="CK1676" i="1"/>
  <c r="CK1677" i="1"/>
  <c r="CK1678" i="1"/>
  <c r="CK1679" i="1"/>
  <c r="CK1680" i="1"/>
  <c r="CK1681" i="1"/>
  <c r="CK1682" i="1"/>
  <c r="CK1683" i="1"/>
  <c r="CK1684" i="1"/>
  <c r="CK1685" i="1"/>
  <c r="CK1686" i="1"/>
  <c r="CK1687" i="1"/>
  <c r="CK1688" i="1"/>
  <c r="CK1689" i="1"/>
  <c r="CK1690" i="1"/>
  <c r="CK1691" i="1"/>
  <c r="CK1692" i="1"/>
  <c r="CK1693" i="1"/>
  <c r="CK1694" i="1"/>
  <c r="CK1695" i="1"/>
  <c r="CK1696" i="1"/>
  <c r="CK1697" i="1"/>
  <c r="CK1698" i="1"/>
  <c r="CK1699" i="1"/>
  <c r="CK1700" i="1"/>
  <c r="CK1701" i="1"/>
  <c r="CK1702" i="1"/>
  <c r="CK1703" i="1"/>
  <c r="CK1704" i="1"/>
  <c r="CK1705" i="1"/>
  <c r="CK1706" i="1"/>
  <c r="CK1707" i="1"/>
  <c r="CK1708" i="1"/>
  <c r="CK1709" i="1"/>
  <c r="CK1710" i="1"/>
  <c r="CK1711" i="1"/>
  <c r="CK1712" i="1"/>
  <c r="CK1713" i="1"/>
  <c r="CK1714" i="1"/>
  <c r="CK1715" i="1"/>
  <c r="CK1716" i="1"/>
  <c r="CK1717" i="1"/>
  <c r="CK1718" i="1"/>
  <c r="CK1719" i="1"/>
  <c r="CK1720" i="1"/>
  <c r="CK1721" i="1"/>
  <c r="CK1722" i="1"/>
  <c r="CK1723" i="1"/>
  <c r="CK1724" i="1"/>
  <c r="CK1725" i="1"/>
  <c r="CK1726" i="1"/>
  <c r="CK1727" i="1"/>
  <c r="CK1728" i="1"/>
  <c r="CK1729" i="1"/>
  <c r="CK1730" i="1"/>
  <c r="CK1731" i="1"/>
  <c r="CK1732" i="1"/>
  <c r="CK1733" i="1"/>
  <c r="CK1734" i="1"/>
  <c r="CK1735" i="1"/>
  <c r="CK1736" i="1"/>
  <c r="CK1737" i="1"/>
  <c r="CK1738" i="1"/>
  <c r="CK1739" i="1"/>
  <c r="CK1740" i="1"/>
  <c r="CK1741" i="1"/>
  <c r="CK1742" i="1"/>
  <c r="CK1743" i="1"/>
  <c r="CK1744" i="1"/>
  <c r="CK1745" i="1"/>
  <c r="CK1746" i="1"/>
  <c r="CK1747" i="1"/>
  <c r="CK1748" i="1"/>
  <c r="CK1749" i="1"/>
  <c r="CK1750" i="1"/>
  <c r="CK1751" i="1"/>
  <c r="CK1752" i="1"/>
  <c r="CK1753" i="1"/>
  <c r="CK1754" i="1"/>
  <c r="CK1755" i="1"/>
  <c r="CK1756" i="1"/>
  <c r="CK1757" i="1"/>
  <c r="CK1758" i="1"/>
  <c r="CK1759" i="1"/>
  <c r="CK1760" i="1"/>
  <c r="CK1761" i="1"/>
  <c r="CK1762" i="1"/>
  <c r="CK1763" i="1"/>
  <c r="CK1764" i="1"/>
  <c r="CK1765" i="1"/>
  <c r="CK1766" i="1"/>
  <c r="CK1767" i="1"/>
  <c r="CK1768" i="1"/>
  <c r="CK1769" i="1"/>
  <c r="CK1770" i="1"/>
  <c r="CK1771" i="1"/>
  <c r="CK1772" i="1"/>
  <c r="CK1773" i="1"/>
  <c r="CK1774" i="1"/>
  <c r="CK1775" i="1"/>
  <c r="CK1776" i="1"/>
  <c r="CK1777" i="1"/>
  <c r="CK1778" i="1"/>
  <c r="CK1779" i="1"/>
  <c r="CK1780" i="1"/>
  <c r="CK1781" i="1"/>
  <c r="CK1782" i="1"/>
  <c r="CK1783" i="1"/>
  <c r="CK1784" i="1"/>
  <c r="CK1785" i="1"/>
  <c r="CK1786" i="1"/>
  <c r="CK1787" i="1"/>
  <c r="CK1788" i="1"/>
  <c r="CK1789" i="1"/>
  <c r="CK1790" i="1"/>
  <c r="CK1791" i="1"/>
  <c r="CK1792" i="1"/>
  <c r="CK1793" i="1"/>
  <c r="CK1794" i="1"/>
  <c r="CK1795" i="1"/>
  <c r="CK1796" i="1"/>
  <c r="CK1797" i="1"/>
  <c r="CK1798" i="1"/>
  <c r="CK1799" i="1"/>
  <c r="CK1800" i="1"/>
  <c r="CK1801" i="1"/>
  <c r="CK1802" i="1"/>
  <c r="CK1803" i="1"/>
  <c r="CK1804" i="1"/>
  <c r="CK1805" i="1"/>
  <c r="CK1806" i="1"/>
  <c r="CK1807" i="1"/>
  <c r="CK1808" i="1"/>
  <c r="CK1809" i="1"/>
  <c r="CK1810" i="1"/>
  <c r="CK1811" i="1"/>
  <c r="CK1812" i="1"/>
  <c r="CK1813" i="1"/>
  <c r="CK1814" i="1"/>
  <c r="CK1815" i="1"/>
  <c r="CK1816" i="1"/>
  <c r="CK1817" i="1"/>
  <c r="CK1818" i="1"/>
  <c r="CK1819" i="1"/>
  <c r="CK1820" i="1"/>
  <c r="CK1821" i="1"/>
  <c r="CK1822" i="1"/>
  <c r="CK1823" i="1"/>
  <c r="CK1824" i="1"/>
  <c r="CK1825" i="1"/>
  <c r="CK1826" i="1"/>
  <c r="CK1827" i="1"/>
  <c r="CK1828" i="1"/>
  <c r="CK1829" i="1"/>
  <c r="CK1830" i="1"/>
  <c r="CK1831" i="1"/>
  <c r="CK1832" i="1"/>
  <c r="CK1833" i="1"/>
  <c r="CK1834" i="1"/>
  <c r="CK1835" i="1"/>
  <c r="CK1836" i="1"/>
  <c r="CK1837" i="1"/>
  <c r="CK1838" i="1"/>
  <c r="CK1839" i="1"/>
  <c r="CK1840" i="1"/>
  <c r="CK1841" i="1"/>
  <c r="CK1842" i="1"/>
  <c r="CK1843" i="1"/>
  <c r="CK1844" i="1"/>
  <c r="CK1845" i="1"/>
  <c r="CK1846" i="1"/>
  <c r="CK1847" i="1"/>
  <c r="CK1848" i="1"/>
  <c r="CK1849" i="1"/>
  <c r="CK1850" i="1"/>
  <c r="CK1851" i="1"/>
  <c r="CK1852" i="1"/>
  <c r="CK1853" i="1"/>
  <c r="CK1854" i="1"/>
  <c r="CK1855" i="1"/>
  <c r="CK1856" i="1"/>
  <c r="CK1857" i="1"/>
  <c r="CK1858" i="1"/>
  <c r="CK1859" i="1"/>
  <c r="CK1860" i="1"/>
  <c r="CK1861" i="1"/>
  <c r="CK1862" i="1"/>
  <c r="CK1863" i="1"/>
  <c r="CK1864" i="1"/>
  <c r="CK1865" i="1"/>
  <c r="CK1866" i="1"/>
  <c r="CK1867" i="1"/>
  <c r="CK1868" i="1"/>
  <c r="CK1869" i="1"/>
  <c r="CK1870" i="1"/>
  <c r="CK1871" i="1"/>
  <c r="CK1872" i="1"/>
  <c r="CK1873" i="1"/>
  <c r="CK1874" i="1"/>
  <c r="CK1875" i="1"/>
  <c r="CK1876" i="1"/>
  <c r="CK1877" i="1"/>
  <c r="CK1878" i="1"/>
  <c r="CK1879" i="1"/>
  <c r="CK1880" i="1"/>
  <c r="CK1881" i="1"/>
  <c r="CK1882" i="1"/>
  <c r="CK1883" i="1"/>
  <c r="CK1884" i="1"/>
  <c r="CK1885" i="1"/>
  <c r="CK1886" i="1"/>
  <c r="CK1887" i="1"/>
  <c r="CK1888" i="1"/>
  <c r="CK1889" i="1"/>
  <c r="CK1890" i="1"/>
  <c r="CK1891" i="1"/>
  <c r="CK1892" i="1"/>
  <c r="CK1893" i="1"/>
  <c r="CK1894" i="1"/>
  <c r="CK1895" i="1"/>
  <c r="CK1896" i="1"/>
  <c r="CK1897" i="1"/>
  <c r="CK1898" i="1"/>
  <c r="CK1899" i="1"/>
  <c r="CK1900" i="1"/>
  <c r="CK1901" i="1"/>
  <c r="CK1902" i="1"/>
  <c r="CK1903" i="1"/>
  <c r="CK1904" i="1"/>
  <c r="CK1905" i="1"/>
  <c r="CK1906" i="1"/>
  <c r="CK1907" i="1"/>
  <c r="CK1908" i="1"/>
  <c r="CK1909" i="1"/>
  <c r="CK1910" i="1"/>
  <c r="CK1911" i="1"/>
  <c r="CK1912" i="1"/>
  <c r="CK1913" i="1"/>
  <c r="CK1914" i="1"/>
  <c r="CK1915" i="1"/>
  <c r="CK1916" i="1"/>
  <c r="CK1917" i="1"/>
  <c r="CK1918" i="1"/>
  <c r="CK1919" i="1"/>
  <c r="CK1920" i="1"/>
  <c r="CK1921" i="1"/>
  <c r="CK1922" i="1"/>
  <c r="CK1923" i="1"/>
  <c r="CK1924" i="1"/>
  <c r="CK1925" i="1"/>
  <c r="CK1926" i="1"/>
  <c r="CK1927" i="1"/>
  <c r="CK1928" i="1"/>
  <c r="CK1929" i="1"/>
  <c r="CK1930" i="1"/>
  <c r="CK1931" i="1"/>
  <c r="CK1932" i="1"/>
  <c r="CK1933" i="1"/>
  <c r="CK1934" i="1"/>
  <c r="CK1935" i="1"/>
  <c r="CK1936" i="1"/>
  <c r="CK1937" i="1"/>
  <c r="CK1938" i="1"/>
  <c r="CK1939" i="1"/>
  <c r="CK1940" i="1"/>
  <c r="CK1941" i="1"/>
  <c r="CK1942" i="1"/>
  <c r="CK1943" i="1"/>
  <c r="CK1944" i="1"/>
  <c r="CK1945" i="1"/>
  <c r="CK1946" i="1"/>
  <c r="CK1947" i="1"/>
  <c r="CK1948" i="1"/>
  <c r="CK1949" i="1"/>
  <c r="CK1950" i="1"/>
  <c r="CK1951" i="1"/>
  <c r="CK1952" i="1"/>
  <c r="CK1953" i="1"/>
  <c r="CK1954" i="1"/>
  <c r="CK1955" i="1"/>
  <c r="CK1956" i="1"/>
  <c r="CK1957" i="1"/>
  <c r="CK1958" i="1"/>
  <c r="CK1959" i="1"/>
  <c r="CK1960" i="1"/>
  <c r="CK1961" i="1"/>
  <c r="CK1962" i="1"/>
  <c r="CK1963" i="1"/>
  <c r="CK1964" i="1"/>
  <c r="CK1965" i="1"/>
  <c r="CK1966" i="1"/>
  <c r="CK1967" i="1"/>
  <c r="CK1968" i="1"/>
  <c r="CK1969" i="1"/>
  <c r="CK1970" i="1"/>
  <c r="CK1971" i="1"/>
  <c r="CK1972" i="1"/>
  <c r="CK1973" i="1"/>
  <c r="CK1974" i="1"/>
  <c r="CK1975" i="1"/>
  <c r="CK1976" i="1"/>
  <c r="CK1977" i="1"/>
  <c r="CK1978" i="1"/>
  <c r="CK1979" i="1"/>
  <c r="CK1980" i="1"/>
  <c r="CK1981" i="1"/>
  <c r="CK1982" i="1"/>
  <c r="CK1983" i="1"/>
  <c r="CK1984" i="1"/>
  <c r="CK1985" i="1"/>
  <c r="CK1986" i="1"/>
  <c r="CK1987" i="1"/>
  <c r="CK1988" i="1"/>
  <c r="CK1989" i="1"/>
  <c r="CK1990" i="1"/>
  <c r="CK1991" i="1"/>
  <c r="CK1992" i="1"/>
  <c r="CK1993" i="1"/>
  <c r="CK1994" i="1"/>
  <c r="CK1995" i="1"/>
  <c r="CK1996" i="1"/>
  <c r="CK1997" i="1"/>
  <c r="CK1998" i="1"/>
  <c r="CK1999" i="1"/>
  <c r="CK2000" i="1"/>
  <c r="CK2001" i="1"/>
  <c r="CK2002" i="1"/>
  <c r="CK2003" i="1"/>
  <c r="CK2004" i="1"/>
  <c r="CK2005" i="1"/>
  <c r="CK2006" i="1"/>
  <c r="CK2007" i="1"/>
  <c r="CK2008" i="1"/>
  <c r="CK2009" i="1"/>
  <c r="CK2010" i="1"/>
  <c r="CK2011" i="1"/>
  <c r="CK2012" i="1"/>
  <c r="CK2013" i="1"/>
  <c r="CK2014" i="1"/>
  <c r="CK2015" i="1"/>
  <c r="CK2016" i="1"/>
  <c r="CK2017" i="1"/>
  <c r="CK2018" i="1"/>
  <c r="CK2019" i="1"/>
  <c r="CK2020" i="1"/>
  <c r="CK2021" i="1"/>
  <c r="CK2022" i="1"/>
  <c r="CK2023" i="1"/>
  <c r="CK2024" i="1"/>
  <c r="CK2025" i="1"/>
  <c r="CK2026" i="1"/>
  <c r="CK2027" i="1"/>
  <c r="CK2028" i="1"/>
  <c r="CK2029" i="1"/>
  <c r="CK2030" i="1"/>
  <c r="CK2031" i="1"/>
  <c r="CK2032" i="1"/>
  <c r="CK2033" i="1"/>
  <c r="CK2034" i="1"/>
  <c r="CK2035" i="1"/>
  <c r="CK2036" i="1"/>
  <c r="CK2037" i="1"/>
  <c r="CK2038" i="1"/>
  <c r="CK2039" i="1"/>
  <c r="CK2040" i="1"/>
  <c r="CK2041" i="1"/>
  <c r="CK2042" i="1"/>
  <c r="CK2043" i="1"/>
  <c r="CK2044" i="1"/>
  <c r="CK2045" i="1"/>
  <c r="CK2046" i="1"/>
  <c r="CK2047" i="1"/>
  <c r="CK2048" i="1"/>
  <c r="CK2049" i="1"/>
  <c r="CK2050" i="1"/>
  <c r="CK2051" i="1"/>
  <c r="CK2052" i="1"/>
  <c r="CK2053" i="1"/>
  <c r="CK2054" i="1"/>
  <c r="CK2055" i="1"/>
  <c r="CK2056" i="1"/>
  <c r="CK2057" i="1"/>
  <c r="CK2058" i="1"/>
  <c r="CK2059" i="1"/>
  <c r="CK2060" i="1"/>
  <c r="CK2061" i="1"/>
  <c r="CK2062" i="1"/>
  <c r="CK2063" i="1"/>
  <c r="CK2064" i="1"/>
  <c r="CK2065" i="1"/>
  <c r="CK2066" i="1"/>
  <c r="CK2067" i="1"/>
  <c r="CK2068" i="1"/>
  <c r="CK2069" i="1"/>
  <c r="CK2070" i="1"/>
  <c r="CK2071" i="1"/>
  <c r="CK2072" i="1"/>
  <c r="CK2073" i="1"/>
  <c r="CK2074" i="1"/>
  <c r="CK2075" i="1"/>
  <c r="CK2076" i="1"/>
  <c r="CK2077" i="1"/>
  <c r="CK2078" i="1"/>
  <c r="CK2079" i="1"/>
  <c r="CK2080" i="1"/>
  <c r="CK2081" i="1"/>
  <c r="CK2082" i="1"/>
  <c r="CK2083" i="1"/>
  <c r="CK2084" i="1"/>
  <c r="CK2085" i="1"/>
  <c r="CK2086" i="1"/>
  <c r="CK2087" i="1"/>
  <c r="CK2088" i="1"/>
  <c r="CK2089" i="1"/>
  <c r="CK2090" i="1"/>
  <c r="CK2091" i="1"/>
  <c r="CK2092" i="1"/>
  <c r="CK2093" i="1"/>
  <c r="CK2094" i="1"/>
  <c r="CK2095" i="1"/>
  <c r="CK2096" i="1"/>
  <c r="CK2097" i="1"/>
  <c r="CK2098" i="1"/>
  <c r="CK2099" i="1"/>
  <c r="CK2100" i="1"/>
  <c r="CK2101" i="1"/>
  <c r="CK2102" i="1"/>
  <c r="CK2103" i="1"/>
  <c r="CK2104" i="1"/>
  <c r="CK2105" i="1"/>
  <c r="CK2106" i="1"/>
  <c r="CK2107" i="1"/>
  <c r="CK2108" i="1"/>
  <c r="CK2109" i="1"/>
  <c r="CK2110" i="1"/>
  <c r="CK2111" i="1"/>
  <c r="CK2112" i="1"/>
  <c r="CK2113" i="1"/>
  <c r="CK2114" i="1"/>
  <c r="CK2115" i="1"/>
  <c r="CK2116" i="1"/>
  <c r="CK2117" i="1"/>
  <c r="CK2118" i="1"/>
  <c r="CK2119" i="1"/>
  <c r="CK2120" i="1"/>
  <c r="CK2121" i="1"/>
  <c r="CK2122" i="1"/>
  <c r="CK2123" i="1"/>
  <c r="CK2124" i="1"/>
  <c r="CK2125" i="1"/>
  <c r="CK2126" i="1"/>
  <c r="CK2127" i="1"/>
  <c r="CK2128" i="1"/>
  <c r="CK2129" i="1"/>
  <c r="CK2130" i="1"/>
  <c r="CK2131" i="1"/>
  <c r="CK2132" i="1"/>
  <c r="CK2133" i="1"/>
  <c r="CK2134" i="1"/>
  <c r="CK2135" i="1"/>
  <c r="CK2136" i="1"/>
  <c r="CK2137" i="1"/>
  <c r="CK2138" i="1"/>
  <c r="CK2139" i="1"/>
  <c r="CK2140" i="1"/>
  <c r="CK2141" i="1"/>
  <c r="CK2142" i="1"/>
  <c r="CK2143" i="1"/>
  <c r="CK2144" i="1"/>
  <c r="CK2145" i="1"/>
  <c r="CK2146" i="1"/>
  <c r="CK2147" i="1"/>
  <c r="CK2148" i="1"/>
  <c r="CK2149" i="1"/>
  <c r="CK2150" i="1"/>
  <c r="CK2151" i="1"/>
  <c r="CK2152" i="1"/>
  <c r="CK2153" i="1"/>
  <c r="CK2154" i="1"/>
  <c r="CK2155" i="1"/>
  <c r="CK2156" i="1"/>
  <c r="CK2157" i="1"/>
  <c r="CK2158" i="1"/>
  <c r="CK2159" i="1"/>
  <c r="CK2160" i="1"/>
  <c r="CK2161" i="1"/>
  <c r="CK2162" i="1"/>
  <c r="CK2163" i="1"/>
  <c r="CK2164" i="1"/>
  <c r="CK2165" i="1"/>
  <c r="CK2166" i="1"/>
  <c r="CK2167" i="1"/>
  <c r="CK2168" i="1"/>
  <c r="CK2169" i="1"/>
  <c r="CK2170" i="1"/>
  <c r="CK2171" i="1"/>
  <c r="CK2172" i="1"/>
  <c r="CK2173" i="1"/>
  <c r="CK2174" i="1"/>
  <c r="CK2175" i="1"/>
  <c r="CK2176" i="1"/>
  <c r="CK2177" i="1"/>
  <c r="CK2178" i="1"/>
  <c r="CK2179" i="1"/>
  <c r="CK2180" i="1"/>
  <c r="CK2181" i="1"/>
  <c r="CK2182" i="1"/>
  <c r="CK2183" i="1"/>
  <c r="CK2184" i="1"/>
  <c r="CK2185" i="1"/>
  <c r="CK2186" i="1"/>
  <c r="CK2187" i="1"/>
  <c r="CK2188" i="1"/>
  <c r="CK2189" i="1"/>
  <c r="CK2190" i="1"/>
  <c r="CK2191" i="1"/>
  <c r="CK2192" i="1"/>
  <c r="CK2193" i="1"/>
  <c r="CK2194" i="1"/>
  <c r="CK2195" i="1"/>
  <c r="CK2196" i="1"/>
  <c r="CK2197" i="1"/>
  <c r="CK2198" i="1"/>
  <c r="CK2199" i="1"/>
  <c r="CK2200" i="1"/>
  <c r="CK2201" i="1"/>
  <c r="CK2202" i="1"/>
  <c r="CK2203" i="1"/>
  <c r="CK2204" i="1"/>
  <c r="CK2205" i="1"/>
  <c r="CK2206" i="1"/>
  <c r="CK2207" i="1"/>
  <c r="CK2208" i="1"/>
  <c r="CK2209" i="1"/>
  <c r="CK2210" i="1"/>
  <c r="CK2211" i="1"/>
  <c r="CK2212" i="1"/>
  <c r="CK2213" i="1"/>
  <c r="CK2214" i="1"/>
  <c r="CK2215" i="1"/>
  <c r="CK2216" i="1"/>
  <c r="CK2217" i="1"/>
  <c r="CK2218" i="1"/>
  <c r="CK2219" i="1"/>
  <c r="CK2220" i="1"/>
  <c r="CK2221" i="1"/>
  <c r="CK2222" i="1"/>
  <c r="CK2223" i="1"/>
  <c r="CK2224" i="1"/>
  <c r="CK2225" i="1"/>
  <c r="CK2226" i="1"/>
  <c r="CK2227" i="1"/>
  <c r="CK2228" i="1"/>
  <c r="CK2229" i="1"/>
  <c r="CK2230" i="1"/>
  <c r="CK2231" i="1"/>
  <c r="CK2232" i="1"/>
  <c r="CK2233" i="1"/>
  <c r="CK2234" i="1"/>
  <c r="CK2235" i="1"/>
  <c r="CK2236" i="1"/>
  <c r="CK2237" i="1"/>
  <c r="CK2238" i="1"/>
  <c r="CK2239" i="1"/>
  <c r="CK2240" i="1"/>
  <c r="CK2241" i="1"/>
  <c r="CK2242" i="1"/>
  <c r="CK2243" i="1"/>
  <c r="CK2244" i="1"/>
  <c r="CK2245" i="1"/>
  <c r="CK2246" i="1"/>
  <c r="CK2247" i="1"/>
  <c r="CK2248" i="1"/>
  <c r="CK2249" i="1"/>
  <c r="CK2250" i="1"/>
  <c r="CK2251" i="1"/>
  <c r="CK2252" i="1"/>
  <c r="CK2253" i="1"/>
  <c r="CK2254" i="1"/>
  <c r="CK2255" i="1"/>
  <c r="CK2256" i="1"/>
  <c r="CK2257" i="1"/>
  <c r="CK2258" i="1"/>
  <c r="CK2259" i="1"/>
  <c r="CK2260" i="1"/>
  <c r="CK2261" i="1"/>
  <c r="CK2262" i="1"/>
  <c r="CK2263" i="1"/>
  <c r="CK2264" i="1"/>
  <c r="CK2265" i="1"/>
  <c r="CK2266" i="1"/>
  <c r="CK2267" i="1"/>
  <c r="CK2268" i="1"/>
  <c r="CK2269" i="1"/>
  <c r="CK2270" i="1"/>
  <c r="CK2271" i="1"/>
  <c r="CK2272" i="1"/>
  <c r="CK2273" i="1"/>
  <c r="CK2274" i="1"/>
  <c r="CK2275" i="1"/>
  <c r="CK2276" i="1"/>
  <c r="CK2277" i="1"/>
  <c r="CK2278" i="1"/>
  <c r="CK2279" i="1"/>
  <c r="CK2280" i="1"/>
  <c r="CK2281" i="1"/>
  <c r="CK2282" i="1"/>
  <c r="CK2283" i="1"/>
  <c r="CK2284" i="1"/>
  <c r="CK2285" i="1"/>
  <c r="CK2286" i="1"/>
  <c r="CK2287" i="1"/>
  <c r="CK2288" i="1"/>
  <c r="CK2289" i="1"/>
  <c r="CK2290" i="1"/>
  <c r="CK2291" i="1"/>
  <c r="CK2292" i="1"/>
  <c r="CK2293" i="1"/>
  <c r="CK2294" i="1"/>
  <c r="CK2295" i="1"/>
  <c r="CK2296" i="1"/>
  <c r="CK2297" i="1"/>
  <c r="CK2298" i="1"/>
  <c r="CK2299" i="1"/>
  <c r="CK2300" i="1"/>
  <c r="CK2301" i="1"/>
  <c r="CK2302" i="1"/>
  <c r="CK2303" i="1"/>
  <c r="CK2304" i="1"/>
  <c r="CK2305" i="1"/>
  <c r="CK2306" i="1"/>
  <c r="CK2307" i="1"/>
  <c r="CK2308" i="1"/>
  <c r="CK2309" i="1"/>
  <c r="CK2310" i="1"/>
  <c r="CK2311" i="1"/>
  <c r="CK2312" i="1"/>
  <c r="CK2313" i="1"/>
  <c r="CK2314" i="1"/>
  <c r="CK2315" i="1"/>
  <c r="CK2316" i="1"/>
  <c r="CK2317" i="1"/>
  <c r="CK2318" i="1"/>
  <c r="CK2319" i="1"/>
  <c r="CK2320" i="1"/>
  <c r="CK2321" i="1"/>
  <c r="CK2322" i="1"/>
  <c r="CK2323" i="1"/>
  <c r="CK2324" i="1"/>
  <c r="CK2325" i="1"/>
  <c r="CK2326" i="1"/>
  <c r="CK2327" i="1"/>
  <c r="CK2328" i="1"/>
  <c r="CK2329" i="1"/>
  <c r="CK2330" i="1"/>
  <c r="CK2331" i="1"/>
  <c r="CK2332" i="1"/>
  <c r="CK2333" i="1"/>
  <c r="CK2334" i="1"/>
  <c r="CK2335" i="1"/>
  <c r="CK2336" i="1"/>
  <c r="CK2337" i="1"/>
  <c r="CK2338" i="1"/>
  <c r="CK2339" i="1"/>
  <c r="CK2340" i="1"/>
  <c r="CK2341" i="1"/>
  <c r="CK2342" i="1"/>
  <c r="CK2343" i="1"/>
  <c r="CK2344" i="1"/>
  <c r="CK2345" i="1"/>
  <c r="CK2346" i="1"/>
  <c r="CK2347" i="1"/>
  <c r="CK2348" i="1"/>
  <c r="CK2349" i="1"/>
  <c r="CK2350" i="1"/>
  <c r="CK2351" i="1"/>
  <c r="CK2352" i="1"/>
  <c r="CK2353" i="1"/>
  <c r="CK2354" i="1"/>
  <c r="CK2355" i="1"/>
  <c r="CK2356" i="1"/>
  <c r="CK2357" i="1"/>
  <c r="CK2358" i="1"/>
  <c r="CK2359" i="1"/>
  <c r="CK2360" i="1"/>
  <c r="CK2361" i="1"/>
  <c r="CK2362" i="1"/>
  <c r="CK2363" i="1"/>
  <c r="CK2364" i="1"/>
  <c r="CK2365" i="1"/>
  <c r="CK2366" i="1"/>
  <c r="CK2367" i="1"/>
  <c r="CK2368" i="1"/>
  <c r="CK2369" i="1"/>
  <c r="CK2370" i="1"/>
  <c r="CK2371" i="1"/>
  <c r="CK2372" i="1"/>
  <c r="CK2373" i="1"/>
  <c r="CK2374" i="1"/>
  <c r="CK2375" i="1"/>
  <c r="CK2376" i="1"/>
  <c r="CK2377" i="1"/>
  <c r="CK2378" i="1"/>
  <c r="CK2379" i="1"/>
  <c r="CK2380" i="1"/>
  <c r="CK2381" i="1"/>
  <c r="CK2382" i="1"/>
  <c r="CK2383" i="1"/>
  <c r="CK2384" i="1"/>
  <c r="CK2385" i="1"/>
  <c r="CK2386" i="1"/>
  <c r="CK2387" i="1"/>
  <c r="CK2388" i="1"/>
  <c r="CK2389" i="1"/>
  <c r="CK2390" i="1"/>
  <c r="CK2391" i="1"/>
  <c r="CK2392" i="1"/>
  <c r="CK2393" i="1"/>
  <c r="CK2394" i="1"/>
  <c r="CK2395" i="1"/>
  <c r="CK2396" i="1"/>
  <c r="CK2397" i="1"/>
  <c r="CK2398" i="1"/>
  <c r="CK2399" i="1"/>
  <c r="CK2400" i="1"/>
  <c r="CK2401" i="1"/>
  <c r="CK2402" i="1"/>
  <c r="CK2403" i="1"/>
  <c r="CK2404" i="1"/>
  <c r="CK2405" i="1"/>
  <c r="CK2406" i="1"/>
  <c r="CK2407" i="1"/>
  <c r="CK2408" i="1"/>
  <c r="CK2409" i="1"/>
  <c r="CK2410" i="1"/>
  <c r="CK2411" i="1"/>
  <c r="CK2412" i="1"/>
  <c r="CK2413" i="1"/>
  <c r="CK2414" i="1"/>
  <c r="CK2415" i="1"/>
  <c r="CK2416" i="1"/>
  <c r="CK2417" i="1"/>
  <c r="CK2418" i="1"/>
  <c r="CK2419" i="1"/>
  <c r="CK2420" i="1"/>
  <c r="CK2421" i="1"/>
  <c r="CK2422" i="1"/>
  <c r="CK2423" i="1"/>
  <c r="CK2424" i="1"/>
  <c r="CK2425" i="1"/>
  <c r="CK2426" i="1"/>
  <c r="CK2427" i="1"/>
  <c r="CK2428" i="1"/>
  <c r="CK2429" i="1"/>
  <c r="CK2430" i="1"/>
  <c r="CK2431" i="1"/>
  <c r="CK2432" i="1"/>
  <c r="CK2433" i="1"/>
  <c r="CK2434" i="1"/>
  <c r="CK2435" i="1"/>
  <c r="CK2436" i="1"/>
  <c r="CK2437" i="1"/>
  <c r="CK2438" i="1"/>
  <c r="CK2439" i="1"/>
  <c r="CK2440" i="1"/>
  <c r="CK2441" i="1"/>
  <c r="CK2442" i="1"/>
  <c r="CK2443" i="1"/>
  <c r="CK2444" i="1"/>
  <c r="CK2445" i="1"/>
  <c r="CK2446" i="1"/>
  <c r="CK2447" i="1"/>
  <c r="CK2448" i="1"/>
  <c r="CK2449" i="1"/>
  <c r="CK2450" i="1"/>
  <c r="CK2451" i="1"/>
  <c r="CK2452" i="1"/>
  <c r="CK2453" i="1"/>
  <c r="CK2454" i="1"/>
  <c r="CK2455" i="1"/>
  <c r="CK2456" i="1"/>
  <c r="CK2457" i="1"/>
  <c r="CK2458" i="1"/>
  <c r="CK2459" i="1"/>
  <c r="CK2460" i="1"/>
  <c r="CK2461" i="1"/>
  <c r="CK2462" i="1"/>
  <c r="CK2463" i="1"/>
  <c r="CK2464" i="1"/>
  <c r="CK2465" i="1"/>
  <c r="CK2466" i="1"/>
  <c r="CK2467" i="1"/>
  <c r="CK2468" i="1"/>
  <c r="CK2469" i="1"/>
  <c r="CK2470" i="1"/>
  <c r="CK2471" i="1"/>
  <c r="CK2472" i="1"/>
  <c r="CK2473" i="1"/>
  <c r="CK2474" i="1"/>
  <c r="CK2475" i="1"/>
  <c r="CK2476" i="1"/>
  <c r="CK2477" i="1"/>
  <c r="CK2478" i="1"/>
  <c r="CK2479" i="1"/>
  <c r="CK2480" i="1"/>
  <c r="CK2481" i="1"/>
  <c r="CK2482" i="1"/>
  <c r="CK2483" i="1"/>
  <c r="CK2484" i="1"/>
  <c r="CK2485" i="1"/>
  <c r="CK2486" i="1"/>
  <c r="CK2487" i="1"/>
  <c r="CK2488" i="1"/>
  <c r="CK2489" i="1"/>
  <c r="CK2490" i="1"/>
  <c r="CK2491" i="1"/>
  <c r="CK2492" i="1"/>
  <c r="CK2493" i="1"/>
  <c r="CK2494" i="1"/>
  <c r="CK2495" i="1"/>
  <c r="CK2496" i="1"/>
  <c r="CK2497" i="1"/>
  <c r="CK2498" i="1"/>
  <c r="CK2499" i="1"/>
  <c r="CK2500" i="1"/>
  <c r="CK2501" i="1"/>
  <c r="CK2502" i="1"/>
  <c r="CK2503" i="1"/>
  <c r="CK2504" i="1"/>
  <c r="CK2505" i="1"/>
  <c r="CK2506" i="1"/>
  <c r="CK2507" i="1"/>
  <c r="CK2508" i="1"/>
  <c r="CK2509" i="1"/>
  <c r="CK2510" i="1"/>
  <c r="CK2511" i="1"/>
  <c r="CK2512" i="1"/>
  <c r="CK2513" i="1"/>
  <c r="CK2514" i="1"/>
  <c r="CK2515" i="1"/>
  <c r="CK2516" i="1"/>
  <c r="CK2517" i="1"/>
  <c r="CK2518" i="1"/>
  <c r="CK2519" i="1"/>
  <c r="CK2520" i="1"/>
  <c r="CK2521" i="1"/>
  <c r="CK2522" i="1"/>
  <c r="CK2523" i="1"/>
  <c r="CK2524" i="1"/>
  <c r="CK2525" i="1"/>
  <c r="CK2526" i="1"/>
  <c r="CK2527" i="1"/>
  <c r="CK2528" i="1"/>
  <c r="CK2529" i="1"/>
  <c r="CK2530" i="1"/>
  <c r="CK2531" i="1"/>
  <c r="CK2532" i="1"/>
  <c r="CK2533" i="1"/>
  <c r="CK2534" i="1"/>
  <c r="CK2535" i="1"/>
  <c r="CK2536" i="1"/>
  <c r="CK2537" i="1"/>
  <c r="CK2538" i="1"/>
  <c r="CK2539" i="1"/>
  <c r="CK2540" i="1"/>
  <c r="CK2541" i="1"/>
  <c r="CK2542" i="1"/>
  <c r="CK2543" i="1"/>
  <c r="CK2544" i="1"/>
  <c r="CK2545" i="1"/>
  <c r="CK2546" i="1"/>
  <c r="CK2547" i="1"/>
  <c r="CK2548" i="1"/>
  <c r="CK2549" i="1"/>
  <c r="CK2550" i="1"/>
  <c r="CK2551" i="1"/>
  <c r="CK2552" i="1"/>
  <c r="CK2553" i="1"/>
  <c r="CK2554" i="1"/>
  <c r="CK2555" i="1"/>
  <c r="CK2556" i="1"/>
  <c r="CK2557" i="1"/>
  <c r="CK2558" i="1"/>
  <c r="CK2559" i="1"/>
  <c r="CK2560" i="1"/>
  <c r="CK2561" i="1"/>
  <c r="CK2562" i="1"/>
  <c r="CK2563" i="1"/>
  <c r="CK2564" i="1"/>
  <c r="CK2565" i="1"/>
  <c r="CK2566" i="1"/>
  <c r="CK2567" i="1"/>
  <c r="CK2568" i="1"/>
  <c r="CK2569" i="1"/>
  <c r="CK2570" i="1"/>
  <c r="CK2571" i="1"/>
  <c r="CK2572" i="1"/>
  <c r="CK2573" i="1"/>
  <c r="CK2574" i="1"/>
  <c r="CK2575" i="1"/>
  <c r="CK2576" i="1"/>
  <c r="CK2577" i="1"/>
  <c r="CK2578" i="1"/>
  <c r="CK2579" i="1"/>
  <c r="CK2580" i="1"/>
  <c r="CK2581" i="1"/>
  <c r="CK2582" i="1"/>
  <c r="CK2583" i="1"/>
  <c r="CK2584" i="1"/>
  <c r="CK2585" i="1"/>
  <c r="CK2586" i="1"/>
  <c r="CK2587" i="1"/>
  <c r="CK2588" i="1"/>
  <c r="CK2589" i="1"/>
  <c r="CK2590" i="1"/>
  <c r="CK2591" i="1"/>
  <c r="CK2592" i="1"/>
  <c r="CK2593" i="1"/>
  <c r="CK2594" i="1"/>
  <c r="CK2595" i="1"/>
  <c r="CK2596" i="1"/>
  <c r="CK2597" i="1"/>
  <c r="CK2598" i="1"/>
  <c r="CK2599" i="1"/>
  <c r="CK2600" i="1"/>
  <c r="CK2601" i="1"/>
  <c r="CK2602" i="1"/>
  <c r="CK2603" i="1"/>
  <c r="CK2604" i="1"/>
  <c r="CK2605" i="1"/>
  <c r="CK2606" i="1"/>
  <c r="CK2607" i="1"/>
  <c r="CK2608" i="1"/>
  <c r="CK2609" i="1"/>
  <c r="CK2610" i="1"/>
  <c r="CK2611" i="1"/>
  <c r="CK2612" i="1"/>
  <c r="CK2613" i="1"/>
  <c r="CK2614" i="1"/>
  <c r="CK2615" i="1"/>
  <c r="CK2616" i="1"/>
  <c r="CK2617" i="1"/>
  <c r="CK2618" i="1"/>
  <c r="CK2619" i="1"/>
  <c r="CK2620" i="1"/>
  <c r="CK2621" i="1"/>
  <c r="CK2622" i="1"/>
  <c r="CK2623" i="1"/>
  <c r="CK2624" i="1"/>
  <c r="CK2625" i="1"/>
  <c r="CK2626" i="1"/>
  <c r="CK2627" i="1"/>
  <c r="CK2628" i="1"/>
  <c r="CK2629" i="1"/>
  <c r="CK2630" i="1"/>
  <c r="CK2631" i="1"/>
  <c r="CK2632" i="1"/>
  <c r="CK2633" i="1"/>
  <c r="CK2634" i="1"/>
  <c r="CK2635" i="1"/>
  <c r="CK2636" i="1"/>
  <c r="CK2637" i="1"/>
  <c r="CK2638" i="1"/>
  <c r="CK2639" i="1"/>
  <c r="CK2640" i="1"/>
  <c r="CK2641" i="1"/>
  <c r="CK2642" i="1"/>
  <c r="CK2643" i="1"/>
  <c r="CK2644" i="1"/>
  <c r="CK2645" i="1"/>
  <c r="CK2646" i="1"/>
  <c r="CK2647" i="1"/>
  <c r="CK2648" i="1"/>
  <c r="CK2649" i="1"/>
  <c r="CK2650" i="1"/>
  <c r="CK2651" i="1"/>
  <c r="CK2652" i="1"/>
  <c r="CK2653" i="1"/>
  <c r="CK2654" i="1"/>
  <c r="CK2655" i="1"/>
  <c r="CK2656" i="1"/>
  <c r="CK2657" i="1"/>
  <c r="CK2658" i="1"/>
  <c r="CK2659" i="1"/>
  <c r="CK2660" i="1"/>
  <c r="CK2661" i="1"/>
  <c r="CK2662" i="1"/>
  <c r="CK2663" i="1"/>
  <c r="CK2664" i="1"/>
  <c r="CK2665" i="1"/>
  <c r="CK2666" i="1"/>
  <c r="CK2667" i="1"/>
  <c r="CK2668" i="1"/>
  <c r="CK2669" i="1"/>
  <c r="CK2670" i="1"/>
  <c r="CK2671" i="1"/>
  <c r="CK2672" i="1"/>
  <c r="CK2673" i="1"/>
  <c r="CK2674" i="1"/>
  <c r="CK2675" i="1"/>
  <c r="CK2676" i="1"/>
  <c r="CK2677" i="1"/>
  <c r="CK2678" i="1"/>
  <c r="CK2679" i="1"/>
  <c r="CK2680" i="1"/>
  <c r="CK2681" i="1"/>
  <c r="CK2682" i="1"/>
  <c r="CK2683" i="1"/>
  <c r="CK2684" i="1"/>
  <c r="CK2685" i="1"/>
  <c r="CK2686" i="1"/>
  <c r="CK2687" i="1"/>
  <c r="CK2688" i="1"/>
  <c r="CK2689" i="1"/>
  <c r="CK2690" i="1"/>
  <c r="CK2691" i="1"/>
  <c r="CK2692" i="1"/>
  <c r="CK2693" i="1"/>
  <c r="CK2694" i="1"/>
  <c r="CK2695" i="1"/>
  <c r="CK2696" i="1"/>
  <c r="CK2697" i="1"/>
  <c r="CK2698" i="1"/>
  <c r="CK2699" i="1"/>
  <c r="CK2700" i="1"/>
  <c r="CK2701" i="1"/>
  <c r="CK2702" i="1"/>
  <c r="CK2703" i="1"/>
  <c r="CK2704" i="1"/>
  <c r="CK2705" i="1"/>
  <c r="CK2706" i="1"/>
  <c r="CK2707" i="1"/>
  <c r="CK2708" i="1"/>
  <c r="CK2709" i="1"/>
  <c r="CK2710" i="1"/>
  <c r="CK2711" i="1"/>
  <c r="CK2712" i="1"/>
  <c r="CK2713" i="1"/>
  <c r="CK2714" i="1"/>
  <c r="CK2715" i="1"/>
  <c r="CK2716" i="1"/>
  <c r="CK2717" i="1"/>
  <c r="CK2718" i="1"/>
  <c r="CK2719" i="1"/>
  <c r="CK2720" i="1"/>
  <c r="CK2721" i="1"/>
  <c r="CK2722" i="1"/>
  <c r="CK2723" i="1"/>
  <c r="CK2724" i="1"/>
  <c r="CK2725" i="1"/>
  <c r="CK2726" i="1"/>
  <c r="CK2727" i="1"/>
  <c r="CK2728" i="1"/>
  <c r="CK2729" i="1"/>
  <c r="CK2730" i="1"/>
  <c r="CK2731" i="1"/>
  <c r="CK2732" i="1"/>
  <c r="CK2733" i="1"/>
  <c r="CK2734" i="1"/>
  <c r="CK2735" i="1"/>
  <c r="CK2736" i="1"/>
  <c r="CK2737" i="1"/>
  <c r="CK2738" i="1"/>
  <c r="CK2739" i="1"/>
  <c r="CK2740" i="1"/>
  <c r="CK2741" i="1"/>
  <c r="CK2742" i="1"/>
  <c r="CK2743" i="1"/>
  <c r="CK2744" i="1"/>
  <c r="CK2745" i="1"/>
  <c r="CK2746" i="1"/>
  <c r="CK2747" i="1"/>
  <c r="CK2748" i="1"/>
  <c r="CK2749" i="1"/>
  <c r="CK2750" i="1"/>
  <c r="CK2751" i="1"/>
  <c r="CK2752" i="1"/>
  <c r="CK2753" i="1"/>
  <c r="CK2754" i="1"/>
  <c r="CK2755" i="1"/>
  <c r="CK2756" i="1"/>
  <c r="CK2757" i="1"/>
  <c r="CK2758" i="1"/>
  <c r="CK2759" i="1"/>
  <c r="CK2760" i="1"/>
  <c r="CK2761" i="1"/>
  <c r="CK2762" i="1"/>
  <c r="CK2763" i="1"/>
  <c r="CK2764" i="1"/>
  <c r="CK2765" i="1"/>
  <c r="CK2766" i="1"/>
  <c r="CK2767" i="1"/>
  <c r="CK2768" i="1"/>
  <c r="CK2769" i="1"/>
  <c r="CK2770" i="1"/>
  <c r="CK2771" i="1"/>
  <c r="CK2772" i="1"/>
  <c r="CK2773" i="1"/>
  <c r="CK2774" i="1"/>
  <c r="CK2775" i="1"/>
  <c r="CK2776" i="1"/>
  <c r="CK2777" i="1"/>
  <c r="CK2778" i="1"/>
  <c r="CK2779" i="1"/>
  <c r="CK2780" i="1"/>
  <c r="CK2781" i="1"/>
  <c r="CK2782" i="1"/>
  <c r="CK2783" i="1"/>
  <c r="CK2784" i="1"/>
  <c r="CK2785" i="1"/>
  <c r="CK2786" i="1"/>
  <c r="CK2787" i="1"/>
  <c r="CK2788" i="1"/>
  <c r="CK2789" i="1"/>
  <c r="CK2790" i="1"/>
  <c r="CK2791" i="1"/>
  <c r="CK2792" i="1"/>
  <c r="CK2793" i="1"/>
  <c r="CK2794" i="1"/>
  <c r="CK2795" i="1"/>
  <c r="CK2796" i="1"/>
  <c r="CK2797" i="1"/>
  <c r="CK2798" i="1"/>
  <c r="CK2799" i="1"/>
  <c r="CK2800" i="1"/>
  <c r="CK2801" i="1"/>
  <c r="CK2802" i="1"/>
  <c r="CK2803" i="1"/>
  <c r="CK2804" i="1"/>
  <c r="CK2805" i="1"/>
  <c r="CK2806" i="1"/>
  <c r="CK2807" i="1"/>
  <c r="CK2808" i="1"/>
  <c r="CK2809" i="1"/>
  <c r="CK2810" i="1"/>
  <c r="CK2811" i="1"/>
  <c r="CK2812" i="1"/>
  <c r="CK2813" i="1"/>
  <c r="CK2814" i="1"/>
  <c r="CK2815" i="1"/>
  <c r="CK2816" i="1"/>
  <c r="CK2817" i="1"/>
  <c r="CK2818" i="1"/>
  <c r="CK2819" i="1"/>
  <c r="CK2820" i="1"/>
  <c r="CK2821" i="1"/>
  <c r="CK2822" i="1"/>
  <c r="CK2823" i="1"/>
  <c r="CK2824" i="1"/>
  <c r="CK2825" i="1"/>
  <c r="CK2826" i="1"/>
  <c r="CK2827" i="1"/>
  <c r="CK2828" i="1"/>
  <c r="CK2829" i="1"/>
  <c r="CK2830" i="1"/>
  <c r="CK2831" i="1"/>
  <c r="CK2832" i="1"/>
  <c r="CK2833" i="1"/>
  <c r="CK2834" i="1"/>
  <c r="CK2835" i="1"/>
  <c r="CK2836" i="1"/>
  <c r="CK2837" i="1"/>
  <c r="CK2838" i="1"/>
  <c r="CK2839" i="1"/>
  <c r="CK2840" i="1"/>
  <c r="CK2841" i="1"/>
  <c r="CK2842" i="1"/>
  <c r="CK2843" i="1"/>
  <c r="CK2844" i="1"/>
  <c r="CK2845" i="1"/>
  <c r="CK2846" i="1"/>
  <c r="CK2847" i="1"/>
  <c r="CK2848" i="1"/>
  <c r="CK2849" i="1"/>
  <c r="CK2850" i="1"/>
  <c r="CK2851" i="1"/>
  <c r="CK2852" i="1"/>
  <c r="CK2853" i="1"/>
  <c r="CK2854" i="1"/>
  <c r="CK2855" i="1"/>
  <c r="CK2856" i="1"/>
  <c r="CK2857" i="1"/>
  <c r="CK2858" i="1"/>
  <c r="CK2859" i="1"/>
  <c r="CK2860" i="1"/>
  <c r="CK2861" i="1"/>
  <c r="CK2862" i="1"/>
  <c r="CK2863" i="1"/>
  <c r="CK2864" i="1"/>
  <c r="CK2865" i="1"/>
  <c r="CK2866" i="1"/>
  <c r="CK2867" i="1"/>
  <c r="CK2868" i="1"/>
  <c r="CK2869" i="1"/>
  <c r="CK2870" i="1"/>
  <c r="CK2871" i="1"/>
  <c r="CK2872" i="1"/>
  <c r="CK2873" i="1"/>
  <c r="CK2874" i="1"/>
  <c r="CK2875" i="1"/>
  <c r="CK2876" i="1"/>
  <c r="CK2877" i="1"/>
  <c r="CK2878" i="1"/>
  <c r="CK2879" i="1"/>
  <c r="CK2880" i="1"/>
  <c r="CK2881" i="1"/>
  <c r="CK2882" i="1"/>
  <c r="CK2883" i="1"/>
  <c r="CK2884" i="1"/>
  <c r="CK2885" i="1"/>
  <c r="CK2886" i="1"/>
  <c r="CK2887" i="1"/>
  <c r="CK2888" i="1"/>
  <c r="CK2889" i="1"/>
  <c r="CK2890" i="1"/>
  <c r="CK2891" i="1"/>
  <c r="CK2892" i="1"/>
  <c r="CK2893" i="1"/>
  <c r="CK2894" i="1"/>
  <c r="CK2895" i="1"/>
  <c r="CK2896" i="1"/>
  <c r="CK2897" i="1"/>
  <c r="CK2898" i="1"/>
  <c r="CK2899" i="1"/>
  <c r="CK2900" i="1"/>
  <c r="CK2901" i="1"/>
  <c r="CK2902" i="1"/>
  <c r="CK2903" i="1"/>
  <c r="CK2904" i="1"/>
  <c r="CK2905" i="1"/>
  <c r="CK2906" i="1"/>
  <c r="CK2907" i="1"/>
  <c r="CK2908" i="1"/>
  <c r="CK2909" i="1"/>
  <c r="CK2910" i="1"/>
  <c r="CK2911" i="1"/>
  <c r="CK2912" i="1"/>
  <c r="CK2913" i="1"/>
  <c r="CK2914" i="1"/>
  <c r="CK2915" i="1"/>
  <c r="CK2916" i="1"/>
  <c r="CK2917" i="1"/>
  <c r="CK2918" i="1"/>
  <c r="CK2919" i="1"/>
  <c r="CK2920" i="1"/>
  <c r="CK2921" i="1"/>
  <c r="CK2922" i="1"/>
  <c r="CK2923" i="1"/>
  <c r="CK2924" i="1"/>
  <c r="CK2925" i="1"/>
  <c r="CK2926" i="1"/>
  <c r="CK2927" i="1"/>
  <c r="CK2928" i="1"/>
  <c r="CK2929" i="1"/>
  <c r="CK2930" i="1"/>
  <c r="CK2931" i="1"/>
  <c r="CK2932" i="1"/>
  <c r="CK2933" i="1"/>
  <c r="CK2934" i="1"/>
  <c r="CK2935" i="1"/>
  <c r="CK2936" i="1"/>
  <c r="CK2937" i="1"/>
  <c r="CK2938" i="1"/>
  <c r="CK2939" i="1"/>
  <c r="CK2940" i="1"/>
  <c r="CK2941" i="1"/>
  <c r="CK2942" i="1"/>
  <c r="CK2943" i="1"/>
  <c r="CK2944" i="1"/>
  <c r="CK2945" i="1"/>
  <c r="CK2946" i="1"/>
  <c r="CK2947" i="1"/>
  <c r="CK2948" i="1"/>
  <c r="CK2949" i="1"/>
  <c r="CK2950" i="1"/>
  <c r="CK2951" i="1"/>
  <c r="CK2952" i="1"/>
  <c r="CK2953" i="1"/>
  <c r="CK2954" i="1"/>
  <c r="CK2955" i="1"/>
  <c r="CK2956" i="1"/>
  <c r="CK2957" i="1"/>
  <c r="CK2958" i="1"/>
  <c r="CK2959" i="1"/>
  <c r="CK2960" i="1"/>
  <c r="CK2961" i="1"/>
  <c r="CK2962" i="1"/>
  <c r="CK2963" i="1"/>
  <c r="CK2964" i="1"/>
  <c r="CK2965" i="1"/>
  <c r="CK2966" i="1"/>
  <c r="CK2967" i="1"/>
  <c r="CK2968" i="1"/>
  <c r="CK2969" i="1"/>
  <c r="CK2970" i="1"/>
  <c r="CK2971" i="1"/>
  <c r="CK2972" i="1"/>
  <c r="CK2973" i="1"/>
  <c r="CK2974" i="1"/>
  <c r="CK2975" i="1"/>
  <c r="CK2976" i="1"/>
  <c r="CK2977" i="1"/>
  <c r="CK2978" i="1"/>
  <c r="CK2979" i="1"/>
  <c r="CK2980" i="1"/>
  <c r="CK2981" i="1"/>
  <c r="CK2982" i="1"/>
  <c r="CK2983" i="1"/>
  <c r="CK2984" i="1"/>
  <c r="CK2985" i="1"/>
  <c r="CK2986" i="1"/>
  <c r="CK2987" i="1"/>
  <c r="CK2988" i="1"/>
  <c r="CK2989" i="1"/>
  <c r="CK2990" i="1"/>
  <c r="CK2991" i="1"/>
  <c r="CK2992" i="1"/>
  <c r="CK2993" i="1"/>
  <c r="CK2994" i="1"/>
  <c r="CK2995" i="1"/>
  <c r="CK2996" i="1"/>
  <c r="CK2997" i="1"/>
  <c r="CK2998" i="1"/>
  <c r="CK2999" i="1"/>
  <c r="CK3000" i="1"/>
  <c r="CK3001" i="1"/>
  <c r="CK3002" i="1"/>
  <c r="CK3003" i="1"/>
  <c r="CK3004" i="1"/>
  <c r="CK3005" i="1"/>
  <c r="CK3006" i="1"/>
  <c r="CK3007" i="1"/>
  <c r="CK3008" i="1"/>
  <c r="CK3009" i="1"/>
  <c r="CK3010" i="1"/>
  <c r="CK3011" i="1"/>
  <c r="CK3012" i="1"/>
  <c r="CK3013" i="1"/>
  <c r="CK3014" i="1"/>
  <c r="CK3015" i="1"/>
  <c r="CK3016" i="1"/>
  <c r="CK3017" i="1"/>
  <c r="CK3018" i="1"/>
  <c r="CK3019" i="1"/>
  <c r="CK3020" i="1"/>
  <c r="CK3021" i="1"/>
  <c r="CK3022" i="1"/>
  <c r="CK3023" i="1"/>
  <c r="CK3024" i="1"/>
  <c r="CK3025" i="1"/>
  <c r="CK3026" i="1"/>
  <c r="CK3027" i="1"/>
  <c r="CK3028" i="1"/>
  <c r="CK3029" i="1"/>
  <c r="CK3030" i="1"/>
  <c r="CK3031" i="1"/>
  <c r="CK3032" i="1"/>
  <c r="CK3033" i="1"/>
  <c r="CK3034" i="1"/>
  <c r="CK3035" i="1"/>
  <c r="CK3036" i="1"/>
  <c r="CK3037" i="1"/>
  <c r="CK3038" i="1"/>
  <c r="CK3039" i="1"/>
  <c r="CK3040" i="1"/>
  <c r="CK3041" i="1"/>
  <c r="CK3042" i="1"/>
  <c r="CK3043" i="1"/>
  <c r="CK3044" i="1"/>
  <c r="CK3045" i="1"/>
  <c r="CK3046" i="1"/>
  <c r="CK3047" i="1"/>
  <c r="CK3048" i="1"/>
  <c r="CK3049" i="1"/>
  <c r="CK3050" i="1"/>
  <c r="CK3051" i="1"/>
  <c r="CK3052" i="1"/>
  <c r="CK3053" i="1"/>
  <c r="CK3054" i="1"/>
  <c r="CK3055" i="1"/>
  <c r="CK3056" i="1"/>
  <c r="CK3057" i="1"/>
  <c r="CK3058" i="1"/>
  <c r="CK3059" i="1"/>
  <c r="CK3060" i="1"/>
  <c r="CK3061" i="1"/>
  <c r="CK3062" i="1"/>
  <c r="CK3063" i="1"/>
  <c r="CK3064" i="1"/>
  <c r="CK3065" i="1"/>
  <c r="CK3066" i="1"/>
  <c r="CK3067" i="1"/>
  <c r="CK3068" i="1"/>
  <c r="CK3069" i="1"/>
  <c r="CK3070" i="1"/>
  <c r="CK3071" i="1"/>
  <c r="CK3072" i="1"/>
  <c r="CK3073" i="1"/>
  <c r="CK3074" i="1"/>
  <c r="CK3075" i="1"/>
  <c r="CK3076" i="1"/>
  <c r="CK3077" i="1"/>
  <c r="CK3078" i="1"/>
  <c r="CK3079" i="1"/>
  <c r="CK3080" i="1"/>
  <c r="CK3081" i="1"/>
  <c r="CK3082" i="1"/>
  <c r="CK3083" i="1"/>
  <c r="CK3084" i="1"/>
  <c r="CK3085" i="1"/>
  <c r="CK3086" i="1"/>
  <c r="CK3087" i="1"/>
  <c r="CK3088" i="1"/>
  <c r="CK3089" i="1"/>
  <c r="CK3090" i="1"/>
  <c r="CK3091" i="1"/>
  <c r="CK3092" i="1"/>
  <c r="CK3093" i="1"/>
  <c r="CK3094" i="1"/>
  <c r="CK3095" i="1"/>
  <c r="CK3096" i="1"/>
  <c r="CK3097" i="1"/>
  <c r="CK3098" i="1"/>
  <c r="CK3099" i="1"/>
  <c r="CK3100" i="1"/>
  <c r="CK3101" i="1"/>
  <c r="CK3102" i="1"/>
  <c r="CK3103" i="1"/>
  <c r="CK3104" i="1"/>
  <c r="CK3105" i="1"/>
  <c r="CK3106" i="1"/>
  <c r="CK3107" i="1"/>
  <c r="CK3108" i="1"/>
  <c r="CK3109" i="1"/>
  <c r="CK3110" i="1"/>
  <c r="CK3111" i="1"/>
  <c r="CK3112" i="1"/>
  <c r="CK3113" i="1"/>
  <c r="CK3114" i="1"/>
  <c r="CK3115" i="1"/>
  <c r="CK3116" i="1"/>
  <c r="CK3117" i="1"/>
  <c r="CK3118" i="1"/>
  <c r="CK3119" i="1"/>
  <c r="CK3120" i="1"/>
  <c r="CK3121" i="1"/>
  <c r="CK3122" i="1"/>
  <c r="CK3123" i="1"/>
  <c r="CK3124" i="1"/>
  <c r="CK3125" i="1"/>
  <c r="CK3126" i="1"/>
  <c r="CK3127" i="1"/>
  <c r="CK3128" i="1"/>
  <c r="CK3129" i="1"/>
  <c r="CK3130" i="1"/>
  <c r="CK3131" i="1"/>
  <c r="CK3132" i="1"/>
  <c r="CK3133" i="1"/>
  <c r="CK3134" i="1"/>
  <c r="CK3135" i="1"/>
  <c r="CK3136" i="1"/>
  <c r="CK3137" i="1"/>
  <c r="CK3138" i="1"/>
  <c r="CK3139" i="1"/>
  <c r="CK3140" i="1"/>
  <c r="CK3141" i="1"/>
  <c r="CK3142" i="1"/>
  <c r="CK3143" i="1"/>
  <c r="CK3144" i="1"/>
  <c r="CK3145" i="1"/>
  <c r="CK3146" i="1"/>
  <c r="CK3147" i="1"/>
  <c r="CK3148" i="1"/>
  <c r="CK3149" i="1"/>
  <c r="CK3150" i="1"/>
  <c r="CK3151" i="1"/>
  <c r="CK3152" i="1"/>
  <c r="CK3153" i="1"/>
  <c r="CK3154" i="1"/>
  <c r="CK3155" i="1"/>
  <c r="CK3156" i="1"/>
  <c r="CK3157" i="1"/>
  <c r="CK3158" i="1"/>
  <c r="CK3159" i="1"/>
  <c r="CK3160" i="1"/>
  <c r="CK3161" i="1"/>
  <c r="CK3162" i="1"/>
  <c r="CK3163" i="1"/>
  <c r="CK3164" i="1"/>
  <c r="CK3165" i="1"/>
  <c r="CK3166" i="1"/>
  <c r="CK3167" i="1"/>
  <c r="CK3168" i="1"/>
  <c r="CK3169" i="1"/>
  <c r="CK3170" i="1"/>
  <c r="CK3171" i="1"/>
  <c r="CK3172" i="1"/>
  <c r="CK3173" i="1"/>
  <c r="CK3174" i="1"/>
  <c r="CK3175" i="1"/>
  <c r="CK3176" i="1"/>
  <c r="CK3177" i="1"/>
  <c r="CK3178" i="1"/>
  <c r="CK3179" i="1"/>
  <c r="CK3180" i="1"/>
  <c r="CK3181" i="1"/>
  <c r="CK3182" i="1"/>
  <c r="CK3183" i="1"/>
  <c r="CK3184" i="1"/>
  <c r="CK3185" i="1"/>
  <c r="CK3186" i="1"/>
  <c r="CK3187" i="1"/>
  <c r="CK3188" i="1"/>
  <c r="CK3189" i="1"/>
  <c r="CK3190" i="1"/>
  <c r="CK3191" i="1"/>
  <c r="CK3192" i="1"/>
  <c r="CK3193" i="1"/>
  <c r="CK3194" i="1"/>
  <c r="CK3195" i="1"/>
  <c r="CK3196" i="1"/>
  <c r="CK3197" i="1"/>
  <c r="CK3198" i="1"/>
  <c r="CK3199" i="1"/>
  <c r="CK3200" i="1"/>
  <c r="CK3201" i="1"/>
  <c r="CK3202" i="1"/>
  <c r="CK3203" i="1"/>
  <c r="CK3204" i="1"/>
  <c r="CK3205" i="1"/>
  <c r="CK3206" i="1"/>
  <c r="CK2" i="1"/>
  <c r="CI26" i="1" l="1"/>
  <c r="CJ26" i="1" s="1"/>
  <c r="CI37" i="1"/>
  <c r="CJ37" i="1" s="1"/>
  <c r="CI42" i="1"/>
  <c r="CJ42" i="1" s="1"/>
  <c r="CI63" i="1"/>
  <c r="CJ63" i="1" s="1"/>
  <c r="CI80" i="1"/>
  <c r="CJ80" i="1" s="1"/>
  <c r="CI85" i="1"/>
  <c r="CJ85" i="1" s="1"/>
  <c r="CI98" i="1"/>
  <c r="CJ98" i="1" s="1"/>
  <c r="CI107" i="1"/>
  <c r="CJ107" i="1" s="1"/>
  <c r="CI111" i="1"/>
  <c r="CJ111" i="1" s="1"/>
  <c r="CI115" i="1"/>
  <c r="CJ115" i="1" s="1"/>
  <c r="CI132" i="1"/>
  <c r="CJ132" i="1" s="1"/>
  <c r="CI159" i="1"/>
  <c r="CJ159" i="1" s="1"/>
  <c r="CI170" i="1"/>
  <c r="CJ170" i="1" s="1"/>
  <c r="CI179" i="1"/>
  <c r="CJ179" i="1" s="1"/>
  <c r="CI183" i="1"/>
  <c r="CJ183" i="1" s="1"/>
  <c r="CI195" i="1"/>
  <c r="CJ195" i="1" s="1"/>
  <c r="CI204" i="1"/>
  <c r="CJ204" i="1" s="1"/>
  <c r="CI207" i="1"/>
  <c r="CJ207" i="1" s="1"/>
  <c r="CI213" i="1"/>
  <c r="CJ213" i="1" s="1"/>
  <c r="CI227" i="1"/>
  <c r="CJ227" i="1" s="1"/>
  <c r="CI230" i="1"/>
  <c r="CJ230" i="1" s="1"/>
  <c r="CI236" i="1"/>
  <c r="CJ236" i="1" s="1"/>
  <c r="CI248" i="1"/>
  <c r="CJ248" i="1" s="1"/>
  <c r="CI263" i="1"/>
  <c r="CJ263" i="1" s="1"/>
  <c r="CI279" i="1"/>
  <c r="CJ279" i="1" s="1"/>
  <c r="CI297" i="1"/>
  <c r="CJ297" i="1" s="1"/>
  <c r="CI314" i="1"/>
  <c r="CJ314" i="1" s="1"/>
  <c r="CI329" i="1"/>
  <c r="CJ329" i="1" s="1"/>
  <c r="CI331" i="1"/>
  <c r="CJ331" i="1" s="1"/>
  <c r="CI332" i="1"/>
  <c r="CJ332" i="1" s="1"/>
  <c r="CI340" i="1"/>
  <c r="CJ340" i="1" s="1"/>
  <c r="CI349" i="1"/>
  <c r="CJ349" i="1" s="1"/>
  <c r="CI367" i="1"/>
  <c r="CJ367" i="1" s="1"/>
  <c r="CI373" i="1"/>
  <c r="CJ373" i="1" s="1"/>
  <c r="CI391" i="1"/>
  <c r="CJ391" i="1" s="1"/>
  <c r="CI407" i="1"/>
  <c r="CJ407" i="1" s="1"/>
  <c r="CI445" i="1"/>
  <c r="CJ445" i="1" s="1"/>
  <c r="CI446" i="1"/>
  <c r="CJ446" i="1" s="1"/>
  <c r="CI448" i="1"/>
  <c r="CJ448" i="1" s="1"/>
  <c r="CI459" i="1"/>
  <c r="CJ459" i="1" s="1"/>
  <c r="CI464" i="1"/>
  <c r="CJ464" i="1" s="1"/>
  <c r="CI465" i="1"/>
  <c r="CJ465" i="1" s="1"/>
  <c r="CI476" i="1"/>
  <c r="CJ476" i="1" s="1"/>
  <c r="CI478" i="1"/>
  <c r="CJ478" i="1" s="1"/>
  <c r="CI487" i="1"/>
  <c r="CJ487" i="1" s="1"/>
  <c r="CI493" i="1"/>
  <c r="CJ493" i="1" s="1"/>
  <c r="CI504" i="1"/>
  <c r="CJ504" i="1" s="1"/>
  <c r="CI514" i="1"/>
  <c r="CJ514" i="1" s="1"/>
  <c r="CI521" i="1"/>
  <c r="CJ521" i="1" s="1"/>
  <c r="CI532" i="1"/>
  <c r="CJ532" i="1" s="1"/>
  <c r="CI535" i="1"/>
  <c r="CJ535" i="1" s="1"/>
  <c r="CI549" i="1"/>
  <c r="CJ549" i="1" s="1"/>
  <c r="CI561" i="1"/>
  <c r="CJ561" i="1" s="1"/>
  <c r="CI562" i="1"/>
  <c r="CJ562" i="1" s="1"/>
  <c r="CI568" i="1"/>
  <c r="CJ568" i="1" s="1"/>
  <c r="CI588" i="1"/>
  <c r="CJ588" i="1" s="1"/>
  <c r="CI589" i="1"/>
  <c r="CJ589" i="1" s="1"/>
  <c r="CI602" i="1"/>
  <c r="CJ602" i="1" s="1"/>
  <c r="CI610" i="1"/>
  <c r="CJ610" i="1" s="1"/>
  <c r="CI613" i="1"/>
  <c r="CJ613" i="1" s="1"/>
  <c r="CI631" i="1"/>
  <c r="CJ631" i="1" s="1"/>
  <c r="CI655" i="1"/>
  <c r="CJ655" i="1" s="1"/>
  <c r="CI684" i="1"/>
  <c r="CJ684" i="1" s="1"/>
  <c r="CI687" i="1"/>
  <c r="CJ687" i="1" s="1"/>
  <c r="CI707" i="1"/>
  <c r="CJ707" i="1" s="1"/>
  <c r="CI709" i="1"/>
  <c r="CJ709" i="1" s="1"/>
  <c r="CI710" i="1"/>
  <c r="CJ710" i="1" s="1"/>
  <c r="CI712" i="1"/>
  <c r="CJ712" i="1" s="1"/>
  <c r="CI721" i="1"/>
  <c r="CJ721" i="1" s="1"/>
  <c r="CI722" i="1"/>
  <c r="CJ722" i="1" s="1"/>
  <c r="CI737" i="1"/>
  <c r="CJ737" i="1" s="1"/>
  <c r="CI739" i="1"/>
  <c r="CJ739" i="1" s="1"/>
  <c r="CI740" i="1"/>
  <c r="CJ740" i="1" s="1"/>
  <c r="CI742" i="1"/>
  <c r="CJ742" i="1" s="1"/>
  <c r="CI777" i="1"/>
  <c r="CJ777" i="1" s="1"/>
  <c r="CI778" i="1"/>
  <c r="CJ778" i="1" s="1"/>
  <c r="CI791" i="1"/>
  <c r="CJ791" i="1" s="1"/>
  <c r="CI801" i="1"/>
  <c r="CJ801" i="1" s="1"/>
  <c r="CI808" i="1"/>
  <c r="CJ808" i="1" s="1"/>
  <c r="CI812" i="1"/>
  <c r="CJ812" i="1" s="1"/>
  <c r="CI819" i="1"/>
  <c r="CJ819" i="1" s="1"/>
  <c r="CI822" i="1"/>
  <c r="CJ822" i="1" s="1"/>
  <c r="CI823" i="1"/>
  <c r="CJ823" i="1" s="1"/>
  <c r="CI839" i="1"/>
  <c r="CJ839" i="1" s="1"/>
  <c r="CI841" i="1"/>
  <c r="CJ841" i="1" s="1"/>
  <c r="CI847" i="1"/>
  <c r="CJ847" i="1" s="1"/>
  <c r="CI849" i="1"/>
  <c r="CJ849" i="1" s="1"/>
  <c r="CI850" i="1"/>
  <c r="CJ850" i="1" s="1"/>
  <c r="CI851" i="1"/>
  <c r="CJ851" i="1" s="1"/>
  <c r="CI856" i="1"/>
  <c r="CJ856" i="1" s="1"/>
  <c r="CI861" i="1"/>
  <c r="CJ861" i="1" s="1"/>
  <c r="CI888" i="1"/>
  <c r="CJ888" i="1" s="1"/>
  <c r="CI896" i="1"/>
  <c r="CJ896" i="1" s="1"/>
  <c r="CI910" i="1"/>
  <c r="CJ910" i="1" s="1"/>
  <c r="CI914" i="1"/>
  <c r="CJ914" i="1" s="1"/>
  <c r="CI917" i="1"/>
  <c r="CJ917" i="1" s="1"/>
  <c r="CI941" i="1"/>
  <c r="CJ941" i="1" s="1"/>
  <c r="CI945" i="1"/>
  <c r="CJ945" i="1" s="1"/>
  <c r="CI951" i="1"/>
  <c r="CJ951" i="1" s="1"/>
  <c r="CI971" i="1"/>
  <c r="CJ971" i="1" s="1"/>
  <c r="CI983" i="1"/>
  <c r="CJ983" i="1" s="1"/>
  <c r="CI996" i="1"/>
  <c r="CJ996" i="1" s="1"/>
  <c r="CI1002" i="1"/>
  <c r="CJ1002" i="1" s="1"/>
  <c r="CI1009" i="1"/>
  <c r="CJ1009" i="1" s="1"/>
  <c r="CI1011" i="1"/>
  <c r="CJ1011" i="1" s="1"/>
  <c r="CI1018" i="1"/>
  <c r="CJ1018" i="1" s="1"/>
  <c r="CI1026" i="1"/>
  <c r="CJ1026" i="1" s="1"/>
  <c r="CI1035" i="1"/>
  <c r="CJ1035" i="1" s="1"/>
  <c r="CI1041" i="1"/>
  <c r="CJ1041" i="1" s="1"/>
  <c r="CI1042" i="1"/>
  <c r="CJ1042" i="1" s="1"/>
  <c r="CI1048" i="1"/>
  <c r="CJ1048" i="1" s="1"/>
  <c r="CI1050" i="1"/>
  <c r="CJ1050" i="1" s="1"/>
  <c r="CI1054" i="1"/>
  <c r="CJ1054" i="1" s="1"/>
  <c r="CI1074" i="1"/>
  <c r="CJ1074" i="1" s="1"/>
  <c r="CI1076" i="1"/>
  <c r="CJ1076" i="1" s="1"/>
  <c r="CI1080" i="1"/>
  <c r="CJ1080" i="1" s="1"/>
  <c r="CI1092" i="1"/>
  <c r="CJ1092" i="1" s="1"/>
  <c r="CI1099" i="1"/>
  <c r="CJ1099" i="1" s="1"/>
  <c r="CI1114" i="1"/>
  <c r="CJ1114" i="1" s="1"/>
  <c r="CI1119" i="1"/>
  <c r="CJ1119" i="1" s="1"/>
  <c r="CI1122" i="1"/>
  <c r="CJ1122" i="1" s="1"/>
  <c r="CI1136" i="1"/>
  <c r="CJ1136" i="1" s="1"/>
  <c r="CI1137" i="1"/>
  <c r="CJ1137" i="1" s="1"/>
  <c r="CI1141" i="1"/>
  <c r="CJ1141" i="1" s="1"/>
  <c r="CI1143" i="1"/>
  <c r="CJ1143" i="1" s="1"/>
  <c r="CI1148" i="1"/>
  <c r="CJ1148" i="1" s="1"/>
  <c r="CI1155" i="1"/>
  <c r="CJ1155" i="1" s="1"/>
  <c r="CI1162" i="1"/>
  <c r="CJ1162" i="1" s="1"/>
  <c r="CI1171" i="1"/>
  <c r="CJ1171" i="1" s="1"/>
  <c r="CI1174" i="1"/>
  <c r="CJ1174" i="1" s="1"/>
  <c r="CI1180" i="1"/>
  <c r="CJ1180" i="1" s="1"/>
  <c r="CI1183" i="1"/>
  <c r="CJ1183" i="1" s="1"/>
  <c r="CI1184" i="1"/>
  <c r="CJ1184" i="1" s="1"/>
  <c r="CI1186" i="1"/>
  <c r="CJ1186" i="1" s="1"/>
  <c r="CI1200" i="1"/>
  <c r="CJ1200" i="1" s="1"/>
  <c r="CI1202" i="1"/>
  <c r="CJ1202" i="1" s="1"/>
  <c r="CI1203" i="1"/>
  <c r="CJ1203" i="1" s="1"/>
  <c r="CI1204" i="1"/>
  <c r="CJ1204" i="1" s="1"/>
  <c r="CI1205" i="1"/>
  <c r="CJ1205" i="1" s="1"/>
  <c r="CI1209" i="1"/>
  <c r="CJ1209" i="1" s="1"/>
  <c r="CI1212" i="1"/>
  <c r="CJ1212" i="1" s="1"/>
  <c r="CI1219" i="1"/>
  <c r="CJ1219" i="1" s="1"/>
  <c r="CI1237" i="1"/>
  <c r="CJ1237" i="1" s="1"/>
  <c r="CI1239" i="1"/>
  <c r="CJ1239" i="1" s="1"/>
  <c r="CI1246" i="1"/>
  <c r="CJ1246" i="1" s="1"/>
  <c r="CI1251" i="1"/>
  <c r="CJ1251" i="1" s="1"/>
  <c r="CI1252" i="1"/>
  <c r="CJ1252" i="1" s="1"/>
  <c r="CI1271" i="1"/>
  <c r="CJ1271" i="1" s="1"/>
  <c r="CI1278" i="1"/>
  <c r="CJ1278" i="1" s="1"/>
  <c r="CI1285" i="1"/>
  <c r="CJ1285" i="1" s="1"/>
  <c r="CI1299" i="1"/>
  <c r="CJ1299" i="1" s="1"/>
  <c r="CI1306" i="1"/>
  <c r="CJ1306" i="1" s="1"/>
  <c r="CI1309" i="1"/>
  <c r="CJ1309" i="1" s="1"/>
  <c r="CI1310" i="1"/>
  <c r="CJ1310" i="1" s="1"/>
  <c r="CI1319" i="1"/>
  <c r="CJ1319" i="1" s="1"/>
  <c r="CI1320" i="1"/>
  <c r="CJ1320" i="1" s="1"/>
  <c r="CI1321" i="1"/>
  <c r="CJ1321" i="1" s="1"/>
  <c r="CI1322" i="1"/>
  <c r="CJ1322" i="1" s="1"/>
  <c r="CI1326" i="1"/>
  <c r="CJ1326" i="1" s="1"/>
  <c r="CI1333" i="1"/>
  <c r="CJ1333" i="1" s="1"/>
  <c r="CI1341" i="1"/>
  <c r="CJ1341" i="1" s="1"/>
  <c r="CI1347" i="1"/>
  <c r="CJ1347" i="1" s="1"/>
  <c r="CI1358" i="1"/>
  <c r="CJ1358" i="1" s="1"/>
  <c r="CI1361" i="1"/>
  <c r="CJ1361" i="1" s="1"/>
  <c r="CI1364" i="1"/>
  <c r="CJ1364" i="1" s="1"/>
  <c r="CI1403" i="1"/>
  <c r="CJ1403" i="1" s="1"/>
  <c r="CI1410" i="1"/>
  <c r="CJ1410" i="1" s="1"/>
  <c r="CI1421" i="1"/>
  <c r="CJ1421" i="1" s="1"/>
  <c r="CI1428" i="1"/>
  <c r="CJ1428" i="1" s="1"/>
  <c r="CI1431" i="1"/>
  <c r="CJ1431" i="1" s="1"/>
  <c r="CI1450" i="1"/>
  <c r="CJ1450" i="1" s="1"/>
  <c r="CI1451" i="1"/>
  <c r="CJ1451" i="1" s="1"/>
  <c r="CI1456" i="1"/>
  <c r="CJ1456" i="1" s="1"/>
  <c r="CI1457" i="1"/>
  <c r="CJ1457" i="1" s="1"/>
  <c r="CI1459" i="1"/>
  <c r="CJ1459" i="1" s="1"/>
  <c r="CI1460" i="1"/>
  <c r="CJ1460" i="1" s="1"/>
  <c r="CI1473" i="1"/>
  <c r="CJ1473" i="1" s="1"/>
  <c r="CI1477" i="1"/>
  <c r="CJ1477" i="1" s="1"/>
  <c r="CI1478" i="1"/>
  <c r="CJ1478" i="1" s="1"/>
  <c r="CI1480" i="1"/>
  <c r="CJ1480" i="1" s="1"/>
  <c r="CI1491" i="1"/>
  <c r="CJ1491" i="1" s="1"/>
  <c r="CI1496" i="1"/>
  <c r="CJ1496" i="1" s="1"/>
  <c r="CI1504" i="1"/>
  <c r="CJ1504" i="1" s="1"/>
  <c r="CI1515" i="1"/>
  <c r="CJ1515" i="1" s="1"/>
  <c r="CI1529" i="1"/>
  <c r="CJ1529" i="1" s="1"/>
  <c r="CI1531" i="1"/>
  <c r="CJ1531" i="1" s="1"/>
  <c r="CI1533" i="1"/>
  <c r="CJ1533" i="1" s="1"/>
  <c r="CI1550" i="1"/>
  <c r="CJ1550" i="1" s="1"/>
  <c r="CI1552" i="1"/>
  <c r="CJ1552" i="1" s="1"/>
  <c r="CI1553" i="1"/>
  <c r="CJ1553" i="1" s="1"/>
  <c r="CI1556" i="1"/>
  <c r="CJ1556" i="1" s="1"/>
  <c r="CI1559" i="1"/>
  <c r="CJ1559" i="1" s="1"/>
  <c r="CI1562" i="1"/>
  <c r="CJ1562" i="1" s="1"/>
  <c r="CI1568" i="1"/>
  <c r="CJ1568" i="1" s="1"/>
  <c r="CI1572" i="1"/>
  <c r="CJ1572" i="1" s="1"/>
  <c r="CI1574" i="1"/>
  <c r="CJ1574" i="1" s="1"/>
  <c r="CI1578" i="1"/>
  <c r="CJ1578" i="1" s="1"/>
  <c r="CI1585" i="1"/>
  <c r="CJ1585" i="1" s="1"/>
  <c r="CI1589" i="1"/>
  <c r="CJ1589" i="1" s="1"/>
  <c r="CI1592" i="1"/>
  <c r="CJ1592" i="1" s="1"/>
  <c r="CI1597" i="1"/>
  <c r="CJ1597" i="1" s="1"/>
  <c r="CI1603" i="1"/>
  <c r="CJ1603" i="1" s="1"/>
  <c r="CI1604" i="1"/>
  <c r="CJ1604" i="1" s="1"/>
  <c r="CI1608" i="1"/>
  <c r="CJ1608" i="1" s="1"/>
  <c r="CI1618" i="1"/>
  <c r="CJ1618" i="1" s="1"/>
  <c r="CI1622" i="1"/>
  <c r="CJ1622" i="1" s="1"/>
  <c r="CI1623" i="1"/>
  <c r="CJ1623" i="1" s="1"/>
  <c r="CI1636" i="1"/>
  <c r="CJ1636" i="1" s="1"/>
  <c r="CI1643" i="1"/>
  <c r="CJ1643" i="1" s="1"/>
  <c r="CI1645" i="1"/>
  <c r="CJ1645" i="1" s="1"/>
  <c r="CI1648" i="1"/>
  <c r="CJ1648" i="1" s="1"/>
  <c r="CI1656" i="1"/>
  <c r="CJ1656" i="1" s="1"/>
  <c r="CI1658" i="1"/>
  <c r="CJ1658" i="1" s="1"/>
  <c r="CI1660" i="1"/>
  <c r="CJ1660" i="1" s="1"/>
  <c r="CI1661" i="1"/>
  <c r="CJ1661" i="1" s="1"/>
  <c r="CI1664" i="1"/>
  <c r="CJ1664" i="1" s="1"/>
  <c r="CI1673" i="1"/>
  <c r="CJ1673" i="1" s="1"/>
  <c r="CI1676" i="1"/>
  <c r="CJ1676" i="1" s="1"/>
  <c r="CI1679" i="1"/>
  <c r="CJ1679" i="1" s="1"/>
  <c r="CI1682" i="1"/>
  <c r="CJ1682" i="1" s="1"/>
  <c r="CI1683" i="1"/>
  <c r="CJ1683" i="1" s="1"/>
  <c r="CI1689" i="1"/>
  <c r="CJ1689" i="1" s="1"/>
  <c r="CI1695" i="1"/>
  <c r="CJ1695" i="1" s="1"/>
  <c r="CI1697" i="1"/>
  <c r="CJ1697" i="1" s="1"/>
  <c r="CI1704" i="1"/>
  <c r="CJ1704" i="1" s="1"/>
  <c r="CI1708" i="1"/>
  <c r="CJ1708" i="1" s="1"/>
  <c r="CI1712" i="1"/>
  <c r="CJ1712" i="1" s="1"/>
  <c r="CI1713" i="1"/>
  <c r="CJ1713" i="1" s="1"/>
  <c r="CI1720" i="1"/>
  <c r="CJ1720" i="1" s="1"/>
  <c r="CI1726" i="1"/>
  <c r="CJ1726" i="1" s="1"/>
  <c r="CI1728" i="1"/>
  <c r="CJ1728" i="1" s="1"/>
  <c r="CI1731" i="1"/>
  <c r="CJ1731" i="1" s="1"/>
  <c r="CI1740" i="1"/>
  <c r="CJ1740" i="1" s="1"/>
  <c r="CI1741" i="1"/>
  <c r="CJ1741" i="1" s="1"/>
  <c r="CI1750" i="1"/>
  <c r="CJ1750" i="1" s="1"/>
  <c r="CI1751" i="1"/>
  <c r="CJ1751" i="1" s="1"/>
  <c r="CI1754" i="1"/>
  <c r="CJ1754" i="1" s="1"/>
  <c r="CI1757" i="1"/>
  <c r="CJ1757" i="1" s="1"/>
  <c r="CI1758" i="1"/>
  <c r="CJ1758" i="1" s="1"/>
  <c r="CI1763" i="1"/>
  <c r="CJ1763" i="1" s="1"/>
  <c r="CI1765" i="1"/>
  <c r="CJ1765" i="1" s="1"/>
  <c r="CI1772" i="1"/>
  <c r="CJ1772" i="1" s="1"/>
  <c r="CI1775" i="1"/>
  <c r="CJ1775" i="1" s="1"/>
  <c r="CI1793" i="1"/>
  <c r="CJ1793" i="1" s="1"/>
  <c r="CI1802" i="1"/>
  <c r="CJ1802" i="1" s="1"/>
  <c r="CI1803" i="1"/>
  <c r="CJ1803" i="1" s="1"/>
  <c r="CI1806" i="1"/>
  <c r="CJ1806" i="1" s="1"/>
  <c r="CI1808" i="1"/>
  <c r="CJ1808" i="1" s="1"/>
  <c r="CI1810" i="1"/>
  <c r="CJ1810" i="1" s="1"/>
  <c r="CI1812" i="1"/>
  <c r="CJ1812" i="1" s="1"/>
  <c r="CI1816" i="1"/>
  <c r="CJ1816" i="1" s="1"/>
  <c r="CI1817" i="1"/>
  <c r="CJ1817" i="1" s="1"/>
  <c r="CI1824" i="1"/>
  <c r="CJ1824" i="1" s="1"/>
  <c r="CI1827" i="1"/>
  <c r="CJ1827" i="1" s="1"/>
  <c r="CI1834" i="1"/>
  <c r="CJ1834" i="1" s="1"/>
  <c r="CI1835" i="1"/>
  <c r="CJ1835" i="1" s="1"/>
  <c r="CI1843" i="1"/>
  <c r="CJ1843" i="1" s="1"/>
  <c r="CI1851" i="1"/>
  <c r="CJ1851" i="1" s="1"/>
  <c r="CI1856" i="1"/>
  <c r="CJ1856" i="1" s="1"/>
  <c r="CI1863" i="1"/>
  <c r="CJ1863" i="1" s="1"/>
  <c r="CI1865" i="1"/>
  <c r="CJ1865" i="1" s="1"/>
  <c r="CI1866" i="1"/>
  <c r="CJ1866" i="1" s="1"/>
  <c r="CI1867" i="1"/>
  <c r="CJ1867" i="1" s="1"/>
  <c r="CI1878" i="1"/>
  <c r="CJ1878" i="1" s="1"/>
  <c r="CI1885" i="1"/>
  <c r="CJ1885" i="1" s="1"/>
  <c r="CI1888" i="1"/>
  <c r="CJ1888" i="1" s="1"/>
  <c r="CI1890" i="1"/>
  <c r="CJ1890" i="1" s="1"/>
  <c r="CI1891" i="1"/>
  <c r="CJ1891" i="1" s="1"/>
  <c r="CI1895" i="1"/>
  <c r="CJ1895" i="1" s="1"/>
  <c r="CI1896" i="1"/>
  <c r="CJ1896" i="1" s="1"/>
  <c r="CI1898" i="1"/>
  <c r="CJ1898" i="1" s="1"/>
  <c r="CI1906" i="1"/>
  <c r="CJ1906" i="1" s="1"/>
  <c r="CI1908" i="1"/>
  <c r="CJ1908" i="1" s="1"/>
  <c r="CI1929" i="1"/>
  <c r="CJ1929" i="1" s="1"/>
  <c r="CI1934" i="1"/>
  <c r="CJ1934" i="1" s="1"/>
  <c r="CI1938" i="1"/>
  <c r="CJ1938" i="1" s="1"/>
  <c r="CI1940" i="1"/>
  <c r="CJ1940" i="1" s="1"/>
  <c r="CI1959" i="1"/>
  <c r="CJ1959" i="1" s="1"/>
  <c r="CI1961" i="1"/>
  <c r="CJ1961" i="1" s="1"/>
  <c r="CI1963" i="1"/>
  <c r="CJ1963" i="1" s="1"/>
  <c r="CI1972" i="1"/>
  <c r="CJ1972" i="1" s="1"/>
  <c r="CI1973" i="1"/>
  <c r="CJ1973" i="1" s="1"/>
  <c r="CI1976" i="1"/>
  <c r="CJ1976" i="1" s="1"/>
  <c r="CI1977" i="1"/>
  <c r="CJ1977" i="1" s="1"/>
  <c r="CI1980" i="1"/>
  <c r="CJ1980" i="1" s="1"/>
  <c r="CI1984" i="1"/>
  <c r="CJ1984" i="1" s="1"/>
  <c r="CI1985" i="1"/>
  <c r="CJ1985" i="1" s="1"/>
  <c r="CI1989" i="1"/>
  <c r="CJ1989" i="1" s="1"/>
  <c r="CI1993" i="1"/>
  <c r="CJ1993" i="1" s="1"/>
  <c r="CI2002" i="1"/>
  <c r="CJ2002" i="1" s="1"/>
  <c r="CI2004" i="1"/>
  <c r="CJ2004" i="1" s="1"/>
  <c r="CI2017" i="1"/>
  <c r="CJ2017" i="1" s="1"/>
  <c r="CI2026" i="1"/>
  <c r="CJ2026" i="1" s="1"/>
  <c r="CI2034" i="1"/>
  <c r="CJ2034" i="1" s="1"/>
  <c r="CI2037" i="1"/>
  <c r="CJ2037" i="1" s="1"/>
  <c r="CI2045" i="1"/>
  <c r="CJ2045" i="1" s="1"/>
  <c r="CI2048" i="1"/>
  <c r="CJ2048" i="1" s="1"/>
  <c r="CI2055" i="1"/>
  <c r="CJ2055" i="1" s="1"/>
  <c r="CI2062" i="1"/>
  <c r="CJ2062" i="1" s="1"/>
  <c r="CI2079" i="1"/>
  <c r="CJ2079" i="1" s="1"/>
  <c r="CI2082" i="1"/>
  <c r="CJ2082" i="1" s="1"/>
  <c r="CI2084" i="1"/>
  <c r="CJ2084" i="1" s="1"/>
  <c r="CI2086" i="1"/>
  <c r="CJ2086" i="1" s="1"/>
  <c r="CI2088" i="1"/>
  <c r="CJ2088" i="1" s="1"/>
  <c r="CI2095" i="1"/>
  <c r="CJ2095" i="1" s="1"/>
  <c r="CI2097" i="1"/>
  <c r="CJ2097" i="1" s="1"/>
  <c r="CI2120" i="1"/>
  <c r="CJ2120" i="1" s="1"/>
  <c r="CI2125" i="1"/>
  <c r="CJ2125" i="1" s="1"/>
  <c r="CI2126" i="1"/>
  <c r="CJ2126" i="1" s="1"/>
  <c r="CI2130" i="1"/>
  <c r="CJ2130" i="1" s="1"/>
  <c r="CI2131" i="1"/>
  <c r="CJ2131" i="1" s="1"/>
  <c r="CI2138" i="1"/>
  <c r="CJ2138" i="1" s="1"/>
  <c r="CI2178" i="1"/>
  <c r="CJ2178" i="1" s="1"/>
  <c r="CI2180" i="1"/>
  <c r="CJ2180" i="1" s="1"/>
  <c r="CI2192" i="1"/>
  <c r="CJ2192" i="1" s="1"/>
  <c r="CI2198" i="1"/>
  <c r="CJ2198" i="1" s="1"/>
  <c r="CI2202" i="1"/>
  <c r="CJ2202" i="1" s="1"/>
  <c r="CI2204" i="1"/>
  <c r="CJ2204" i="1" s="1"/>
  <c r="CI2206" i="1"/>
  <c r="CJ2206" i="1" s="1"/>
  <c r="CI2209" i="1"/>
  <c r="CJ2209" i="1" s="1"/>
  <c r="CI2217" i="1"/>
  <c r="CJ2217" i="1" s="1"/>
  <c r="CI2220" i="1"/>
  <c r="CJ2220" i="1" s="1"/>
  <c r="CI2224" i="1"/>
  <c r="CJ2224" i="1" s="1"/>
  <c r="CI2231" i="1"/>
  <c r="CJ2231" i="1" s="1"/>
  <c r="CI2232" i="1"/>
  <c r="CJ2232" i="1" s="1"/>
  <c r="CI2234" i="1"/>
  <c r="CJ2234" i="1" s="1"/>
  <c r="CI2236" i="1"/>
  <c r="CJ2236" i="1" s="1"/>
  <c r="CI2237" i="1"/>
  <c r="CJ2237" i="1" s="1"/>
  <c r="CI2242" i="1"/>
  <c r="CJ2242" i="1" s="1"/>
  <c r="CI2247" i="1"/>
  <c r="CJ2247" i="1" s="1"/>
  <c r="CI2248" i="1"/>
  <c r="CJ2248" i="1" s="1"/>
  <c r="CI2252" i="1"/>
  <c r="CJ2252" i="1" s="1"/>
  <c r="CI2260" i="1"/>
  <c r="CJ2260" i="1" s="1"/>
  <c r="CI2261" i="1"/>
  <c r="CJ2261" i="1" s="1"/>
  <c r="CI2262" i="1"/>
  <c r="CJ2262" i="1" s="1"/>
  <c r="CI2269" i="1"/>
  <c r="CJ2269" i="1" s="1"/>
  <c r="CI2279" i="1"/>
  <c r="CJ2279" i="1" s="1"/>
  <c r="CI2297" i="1"/>
  <c r="CJ2297" i="1" s="1"/>
  <c r="CI2309" i="1"/>
  <c r="CJ2309" i="1" s="1"/>
  <c r="CI2310" i="1"/>
  <c r="CJ2310" i="1" s="1"/>
  <c r="CI2311" i="1"/>
  <c r="CJ2311" i="1" s="1"/>
  <c r="CI2319" i="1"/>
  <c r="CJ2319" i="1" s="1"/>
  <c r="CI2320" i="1"/>
  <c r="CJ2320" i="1" s="1"/>
  <c r="CI2322" i="1"/>
  <c r="CJ2322" i="1" s="1"/>
  <c r="CI2338" i="1"/>
  <c r="CJ2338" i="1" s="1"/>
  <c r="CI2339" i="1"/>
  <c r="CJ2339" i="1" s="1"/>
  <c r="CI2341" i="1"/>
  <c r="CJ2341" i="1" s="1"/>
  <c r="CI2356" i="1"/>
  <c r="CJ2356" i="1" s="1"/>
  <c r="CI2361" i="1"/>
  <c r="CJ2361" i="1" s="1"/>
  <c r="CI2363" i="1"/>
  <c r="CJ2363" i="1" s="1"/>
  <c r="CI2364" i="1"/>
  <c r="CJ2364" i="1" s="1"/>
  <c r="CI2374" i="1"/>
  <c r="CJ2374" i="1" s="1"/>
  <c r="CI2378" i="1"/>
  <c r="CJ2378" i="1" s="1"/>
  <c r="CI2379" i="1"/>
  <c r="CJ2379" i="1" s="1"/>
  <c r="CI2384" i="1"/>
  <c r="CJ2384" i="1" s="1"/>
  <c r="CI2388" i="1"/>
  <c r="CJ2388" i="1" s="1"/>
  <c r="CI2390" i="1"/>
  <c r="CJ2390" i="1" s="1"/>
  <c r="CI2392" i="1"/>
  <c r="CJ2392" i="1" s="1"/>
  <c r="CI2397" i="1"/>
  <c r="CJ2397" i="1" s="1"/>
  <c r="CI2398" i="1"/>
  <c r="CJ2398" i="1" s="1"/>
  <c r="CI2417" i="1"/>
  <c r="CJ2417" i="1" s="1"/>
  <c r="CI2419" i="1"/>
  <c r="CJ2419" i="1" s="1"/>
  <c r="CI2420" i="1"/>
  <c r="CJ2420" i="1" s="1"/>
  <c r="CI2421" i="1"/>
  <c r="CJ2421" i="1" s="1"/>
  <c r="CI2422" i="1"/>
  <c r="CJ2422" i="1" s="1"/>
  <c r="CI2427" i="1"/>
  <c r="CJ2427" i="1" s="1"/>
  <c r="CI2429" i="1"/>
  <c r="CJ2429" i="1" s="1"/>
  <c r="CI2457" i="1"/>
  <c r="CJ2457" i="1" s="1"/>
  <c r="CI2458" i="1"/>
  <c r="CJ2458" i="1" s="1"/>
  <c r="CI2460" i="1"/>
  <c r="CJ2460" i="1" s="1"/>
  <c r="CI2461" i="1"/>
  <c r="CJ2461" i="1" s="1"/>
  <c r="CI2471" i="1"/>
  <c r="CJ2471" i="1" s="1"/>
  <c r="CI2473" i="1"/>
  <c r="CJ2473" i="1" s="1"/>
  <c r="CI2490" i="1"/>
  <c r="CJ2490" i="1" s="1"/>
  <c r="CI2491" i="1"/>
  <c r="CJ2491" i="1" s="1"/>
  <c r="CI2492" i="1"/>
  <c r="CJ2492" i="1" s="1"/>
  <c r="CI2493" i="1"/>
  <c r="CJ2493" i="1" s="1"/>
  <c r="CI2504" i="1"/>
  <c r="CJ2504" i="1" s="1"/>
  <c r="CI2524" i="1"/>
  <c r="CJ2524" i="1" s="1"/>
  <c r="CI2525" i="1"/>
  <c r="CJ2525" i="1" s="1"/>
  <c r="CI2528" i="1"/>
  <c r="CJ2528" i="1" s="1"/>
  <c r="CI2532" i="1"/>
  <c r="CJ2532" i="1" s="1"/>
  <c r="CI2534" i="1"/>
  <c r="CJ2534" i="1" s="1"/>
  <c r="CI2535" i="1"/>
  <c r="CJ2535" i="1" s="1"/>
  <c r="CI2537" i="1"/>
  <c r="CJ2537" i="1" s="1"/>
  <c r="CI2539" i="1"/>
  <c r="CJ2539" i="1" s="1"/>
  <c r="CI2542" i="1"/>
  <c r="CJ2542" i="1" s="1"/>
  <c r="CI2547" i="1"/>
  <c r="CJ2547" i="1" s="1"/>
  <c r="CI2556" i="1"/>
  <c r="CJ2556" i="1" s="1"/>
  <c r="CI2558" i="1"/>
  <c r="CJ2558" i="1" s="1"/>
  <c r="CI2572" i="1"/>
  <c r="CJ2572" i="1" s="1"/>
  <c r="CI2577" i="1"/>
  <c r="CJ2577" i="1" s="1"/>
  <c r="CI2581" i="1"/>
  <c r="CJ2581" i="1" s="1"/>
  <c r="CI2583" i="1"/>
  <c r="CJ2583" i="1" s="1"/>
  <c r="CI2584" i="1"/>
  <c r="CJ2584" i="1" s="1"/>
  <c r="CI2602" i="1"/>
  <c r="CJ2602" i="1" s="1"/>
  <c r="CI2622" i="1"/>
  <c r="CJ2622" i="1" s="1"/>
  <c r="CI2624" i="1"/>
  <c r="CJ2624" i="1" s="1"/>
  <c r="CI2628" i="1"/>
  <c r="CJ2628" i="1" s="1"/>
  <c r="CI2629" i="1"/>
  <c r="CJ2629" i="1" s="1"/>
  <c r="CI2641" i="1"/>
  <c r="CJ2641" i="1" s="1"/>
  <c r="CI2646" i="1"/>
  <c r="CJ2646" i="1" s="1"/>
  <c r="CI2647" i="1"/>
  <c r="CJ2647" i="1" s="1"/>
  <c r="CI2648" i="1"/>
  <c r="CJ2648" i="1" s="1"/>
  <c r="CI2652" i="1"/>
  <c r="CJ2652" i="1" s="1"/>
  <c r="CI2653" i="1"/>
  <c r="CJ2653" i="1" s="1"/>
  <c r="CI2657" i="1"/>
  <c r="CJ2657" i="1" s="1"/>
  <c r="CI2658" i="1"/>
  <c r="CJ2658" i="1" s="1"/>
  <c r="CI2659" i="1"/>
  <c r="CJ2659" i="1" s="1"/>
  <c r="CI2666" i="1"/>
  <c r="CJ2666" i="1" s="1"/>
  <c r="CI2667" i="1"/>
  <c r="CJ2667" i="1" s="1"/>
  <c r="CI2671" i="1"/>
  <c r="CJ2671" i="1" s="1"/>
  <c r="CI2675" i="1"/>
  <c r="CJ2675" i="1" s="1"/>
  <c r="CI2676" i="1"/>
  <c r="CJ2676" i="1" s="1"/>
  <c r="CI2680" i="1"/>
  <c r="CJ2680" i="1" s="1"/>
  <c r="CI2690" i="1"/>
  <c r="CJ2690" i="1" s="1"/>
  <c r="CI2693" i="1"/>
  <c r="CJ2693" i="1" s="1"/>
  <c r="CI2695" i="1"/>
  <c r="CJ2695" i="1" s="1"/>
  <c r="CI2706" i="1"/>
  <c r="CJ2706" i="1" s="1"/>
  <c r="CI2713" i="1"/>
  <c r="CJ2713" i="1" s="1"/>
  <c r="CI2715" i="1"/>
  <c r="CJ2715" i="1" s="1"/>
  <c r="CI2721" i="1"/>
  <c r="CJ2721" i="1" s="1"/>
  <c r="CI2722" i="1"/>
  <c r="CJ2722" i="1" s="1"/>
  <c r="CI2725" i="1"/>
  <c r="CJ2725" i="1" s="1"/>
  <c r="CI2727" i="1"/>
  <c r="CJ2727" i="1" s="1"/>
  <c r="CI2731" i="1"/>
  <c r="CJ2731" i="1" s="1"/>
  <c r="CI2735" i="1"/>
  <c r="CJ2735" i="1" s="1"/>
  <c r="CI2736" i="1"/>
  <c r="CJ2736" i="1" s="1"/>
  <c r="CI2739" i="1"/>
  <c r="CJ2739" i="1" s="1"/>
  <c r="CI2746" i="1"/>
  <c r="CJ2746" i="1" s="1"/>
  <c r="CI2752" i="1"/>
  <c r="CJ2752" i="1" s="1"/>
  <c r="CI2756" i="1"/>
  <c r="CJ2756" i="1" s="1"/>
  <c r="CI2757" i="1"/>
  <c r="CJ2757" i="1" s="1"/>
  <c r="CI2758" i="1"/>
  <c r="CJ2758" i="1" s="1"/>
  <c r="CI2759" i="1"/>
  <c r="CJ2759" i="1" s="1"/>
  <c r="CI2770" i="1"/>
  <c r="CJ2770" i="1" s="1"/>
  <c r="CI2771" i="1"/>
  <c r="CJ2771" i="1" s="1"/>
  <c r="CI2773" i="1"/>
  <c r="CJ2773" i="1" s="1"/>
  <c r="CI2781" i="1"/>
  <c r="CJ2781" i="1" s="1"/>
  <c r="CI2782" i="1"/>
  <c r="CJ2782" i="1" s="1"/>
  <c r="CI2786" i="1"/>
  <c r="CJ2786" i="1" s="1"/>
  <c r="CI2796" i="1"/>
  <c r="CJ2796" i="1" s="1"/>
  <c r="CI2799" i="1"/>
  <c r="CJ2799" i="1" s="1"/>
  <c r="CI2803" i="1"/>
  <c r="CJ2803" i="1" s="1"/>
  <c r="CI2810" i="1"/>
  <c r="CJ2810" i="1" s="1"/>
  <c r="CI2812" i="1"/>
  <c r="CJ2812" i="1" s="1"/>
  <c r="CI2813" i="1"/>
  <c r="CJ2813" i="1" s="1"/>
  <c r="CI2815" i="1"/>
  <c r="CJ2815" i="1" s="1"/>
  <c r="CI2829" i="1"/>
  <c r="CJ2829" i="1" s="1"/>
  <c r="CI2831" i="1"/>
  <c r="CJ2831" i="1" s="1"/>
  <c r="CI2835" i="1"/>
  <c r="CJ2835" i="1" s="1"/>
  <c r="CI2838" i="1"/>
  <c r="CJ2838" i="1" s="1"/>
  <c r="CI2845" i="1"/>
  <c r="CJ2845" i="1" s="1"/>
  <c r="CI2856" i="1"/>
  <c r="CJ2856" i="1" s="1"/>
  <c r="CI2858" i="1"/>
  <c r="CJ2858" i="1" s="1"/>
  <c r="CI2859" i="1"/>
  <c r="CJ2859" i="1" s="1"/>
  <c r="CI2865" i="1"/>
  <c r="CJ2865" i="1" s="1"/>
  <c r="CI2867" i="1"/>
  <c r="CJ2867" i="1" s="1"/>
  <c r="CI2874" i="1"/>
  <c r="CJ2874" i="1" s="1"/>
  <c r="CI2885" i="1"/>
  <c r="CJ2885" i="1" s="1"/>
  <c r="CI2886" i="1"/>
  <c r="CJ2886" i="1" s="1"/>
  <c r="CI2887" i="1"/>
  <c r="CJ2887" i="1" s="1"/>
  <c r="CI2892" i="1"/>
  <c r="CJ2892" i="1" s="1"/>
  <c r="CI2895" i="1"/>
  <c r="CJ2895" i="1" s="1"/>
  <c r="CI2901" i="1"/>
  <c r="CJ2901" i="1" s="1"/>
  <c r="CI2904" i="1"/>
  <c r="CJ2904" i="1" s="1"/>
  <c r="CI2911" i="1"/>
  <c r="CJ2911" i="1" s="1"/>
  <c r="CI2922" i="1"/>
  <c r="CJ2922" i="1" s="1"/>
  <c r="CI2930" i="1"/>
  <c r="CJ2930" i="1" s="1"/>
  <c r="CI2934" i="1"/>
  <c r="CJ2934" i="1" s="1"/>
  <c r="CI2973" i="1"/>
  <c r="CJ2973" i="1" s="1"/>
  <c r="CI2976" i="1"/>
  <c r="CJ2976" i="1" s="1"/>
  <c r="CI2977" i="1"/>
  <c r="CJ2977" i="1" s="1"/>
  <c r="CI2978" i="1"/>
  <c r="CJ2978" i="1" s="1"/>
  <c r="CI2979" i="1"/>
  <c r="CJ2979" i="1" s="1"/>
  <c r="CI2982" i="1"/>
  <c r="CJ2982" i="1" s="1"/>
  <c r="CI2985" i="1"/>
  <c r="CJ2985" i="1" s="1"/>
  <c r="CI2990" i="1"/>
  <c r="CJ2990" i="1" s="1"/>
  <c r="CI2992" i="1"/>
  <c r="CJ2992" i="1" s="1"/>
  <c r="CI2993" i="1"/>
  <c r="CJ2993" i="1" s="1"/>
  <c r="CI3001" i="1"/>
  <c r="CJ3001" i="1" s="1"/>
  <c r="CI3010" i="1"/>
  <c r="CJ3010" i="1" s="1"/>
  <c r="CI3012" i="1"/>
  <c r="CJ3012" i="1" s="1"/>
  <c r="CI3013" i="1"/>
  <c r="CJ3013" i="1" s="1"/>
  <c r="CI3014" i="1"/>
  <c r="CJ3014" i="1" s="1"/>
  <c r="CI3015" i="1"/>
  <c r="CJ3015" i="1" s="1"/>
  <c r="CI3026" i="1"/>
  <c r="CJ3026" i="1" s="1"/>
  <c r="CI3042" i="1"/>
  <c r="CJ3042" i="1" s="1"/>
  <c r="CI3049" i="1"/>
  <c r="CJ3049" i="1" s="1"/>
  <c r="CI3055" i="1"/>
  <c r="CJ3055" i="1" s="1"/>
  <c r="CI3057" i="1"/>
  <c r="CJ3057" i="1" s="1"/>
  <c r="CI3062" i="1"/>
  <c r="CJ3062" i="1" s="1"/>
  <c r="CI3071" i="1"/>
  <c r="CJ3071" i="1" s="1"/>
  <c r="CI3074" i="1"/>
  <c r="CJ3074" i="1" s="1"/>
  <c r="CI3076" i="1"/>
  <c r="CJ3076" i="1" s="1"/>
  <c r="CI3078" i="1"/>
  <c r="CJ3078" i="1" s="1"/>
  <c r="CI3081" i="1"/>
  <c r="CJ3081" i="1" s="1"/>
  <c r="CI3082" i="1"/>
  <c r="CJ3082" i="1" s="1"/>
  <c r="CI3085" i="1"/>
  <c r="CJ3085" i="1" s="1"/>
  <c r="CI3086" i="1"/>
  <c r="CJ3086" i="1" s="1"/>
  <c r="CI3087" i="1"/>
  <c r="CJ3087" i="1" s="1"/>
  <c r="CI3089" i="1"/>
  <c r="CJ3089" i="1" s="1"/>
  <c r="CI3090" i="1"/>
  <c r="CJ3090" i="1" s="1"/>
  <c r="CI3101" i="1"/>
  <c r="CJ3101" i="1" s="1"/>
  <c r="CI3103" i="1"/>
  <c r="CJ3103" i="1" s="1"/>
  <c r="CI3109" i="1"/>
  <c r="CJ3109" i="1" s="1"/>
  <c r="CI3111" i="1"/>
  <c r="CJ3111" i="1" s="1"/>
  <c r="CI3123" i="1"/>
  <c r="CJ3123" i="1" s="1"/>
  <c r="CI3125" i="1"/>
  <c r="CJ3125" i="1" s="1"/>
  <c r="CI3129" i="1"/>
  <c r="CJ3129" i="1" s="1"/>
  <c r="CI3134" i="1"/>
  <c r="CJ3134" i="1" s="1"/>
  <c r="CI3149" i="1"/>
  <c r="CJ3149" i="1" s="1"/>
  <c r="CI3161" i="1"/>
  <c r="CJ3161" i="1" s="1"/>
  <c r="CI3163" i="1"/>
  <c r="CJ3163" i="1" s="1"/>
  <c r="CI3170" i="1"/>
  <c r="CJ3170" i="1" s="1"/>
  <c r="CI3177" i="1"/>
  <c r="CJ3177" i="1" s="1"/>
  <c r="CI3188" i="1"/>
  <c r="CJ3188" i="1" s="1"/>
  <c r="CI3190" i="1"/>
  <c r="CJ3190" i="1" s="1"/>
  <c r="CI3196" i="1"/>
  <c r="CJ3196" i="1" s="1"/>
  <c r="CI3200" i="1"/>
  <c r="CJ3200" i="1" s="1"/>
  <c r="CI3201" i="1"/>
  <c r="CJ3201" i="1" s="1"/>
  <c r="BF2" i="1"/>
  <c r="CI2" i="1" s="1"/>
  <c r="CJ2" i="1" s="1"/>
  <c r="Q1217" i="1"/>
  <c r="CH2" i="1" l="1"/>
  <c r="CG3089" i="1" l="1"/>
  <c r="CB3089" i="1"/>
  <c r="BY3089" i="1"/>
  <c r="BZ3089" i="1" s="1"/>
  <c r="BX3089" i="1"/>
  <c r="BU3089" i="1"/>
  <c r="BT3089" i="1"/>
  <c r="BS3089" i="1"/>
  <c r="CA3089" i="1" s="1"/>
  <c r="BQ3089" i="1"/>
  <c r="BP3089" i="1"/>
  <c r="BM3089" i="1"/>
  <c r="BL3089" i="1"/>
  <c r="BK3089" i="1"/>
  <c r="BJ3089" i="1"/>
  <c r="BI3089" i="1"/>
  <c r="E3089" i="1"/>
  <c r="C3089" i="1"/>
  <c r="B3089" i="1"/>
  <c r="CG3074" i="1"/>
  <c r="CB3074" i="1"/>
  <c r="CA3074" i="1"/>
  <c r="BY3074" i="1"/>
  <c r="BZ3074" i="1" s="1"/>
  <c r="BX3074" i="1"/>
  <c r="BT3074" i="1"/>
  <c r="BQ3074" i="1"/>
  <c r="BP3074" i="1"/>
  <c r="BM3074" i="1"/>
  <c r="BL3074" i="1"/>
  <c r="BK3074" i="1"/>
  <c r="BJ3074" i="1"/>
  <c r="BI3074" i="1"/>
  <c r="R3074" i="1"/>
  <c r="E3074" i="1"/>
  <c r="C3074" i="1"/>
  <c r="B3074" i="1"/>
  <c r="CG3071" i="1"/>
  <c r="CB3071" i="1"/>
  <c r="BY3071" i="1"/>
  <c r="BZ3071" i="1" s="1"/>
  <c r="BX3071" i="1"/>
  <c r="BU3071" i="1"/>
  <c r="BT3071" i="1"/>
  <c r="BS3071" i="1"/>
  <c r="CA3071" i="1" s="1"/>
  <c r="BQ3071" i="1"/>
  <c r="BP3071" i="1"/>
  <c r="BL3071" i="1"/>
  <c r="BK3071" i="1"/>
  <c r="BJ3071" i="1"/>
  <c r="BI3071" i="1"/>
  <c r="N3071" i="1"/>
  <c r="E3071" i="1"/>
  <c r="C3071" i="1"/>
  <c r="B3071" i="1"/>
  <c r="CG3015" i="1"/>
  <c r="CB3015" i="1"/>
  <c r="BY3015" i="1"/>
  <c r="BZ3015" i="1" s="1"/>
  <c r="BX3015" i="1"/>
  <c r="BT3015" i="1"/>
  <c r="BQ3015" i="1"/>
  <c r="BP3015" i="1"/>
  <c r="BK3015" i="1"/>
  <c r="BJ3015" i="1"/>
  <c r="BI3015" i="1"/>
  <c r="BH3015" i="1"/>
  <c r="R3015" i="1" s="1"/>
  <c r="BU3015" i="1" s="1"/>
  <c r="BG3015" i="1"/>
  <c r="N3015" i="1"/>
  <c r="E3015" i="1"/>
  <c r="C3015" i="1"/>
  <c r="B3015" i="1"/>
  <c r="CG2993" i="1"/>
  <c r="CA2993" i="1"/>
  <c r="BY2993" i="1"/>
  <c r="BZ2993" i="1" s="1"/>
  <c r="BX2993" i="1"/>
  <c r="BU2993" i="1"/>
  <c r="BT2993" i="1"/>
  <c r="BQ2993" i="1"/>
  <c r="BP2993" i="1"/>
  <c r="BM2993" i="1"/>
  <c r="BL2993" i="1"/>
  <c r="BK2993" i="1"/>
  <c r="BJ2993" i="1"/>
  <c r="BI2993" i="1"/>
  <c r="E2993" i="1"/>
  <c r="C2993" i="1"/>
  <c r="B2993" i="1"/>
  <c r="CG2932" i="1"/>
  <c r="CD2932" i="1"/>
  <c r="CC2932" i="1"/>
  <c r="CB2932" i="1"/>
  <c r="CA2932" i="1"/>
  <c r="BY2932" i="1"/>
  <c r="BV2932" i="1"/>
  <c r="BW2932" i="1" s="1"/>
  <c r="BT2932" i="1"/>
  <c r="BP2932" i="1"/>
  <c r="BM2932" i="1"/>
  <c r="BL2932" i="1"/>
  <c r="BK2932" i="1"/>
  <c r="BJ2932" i="1"/>
  <c r="BI2932" i="1"/>
  <c r="BH2932" i="1"/>
  <c r="R2932" i="1" s="1"/>
  <c r="BG2932" i="1"/>
  <c r="BF2932" i="1"/>
  <c r="N2932" i="1"/>
  <c r="E2932" i="1"/>
  <c r="C2932" i="1"/>
  <c r="B2932" i="1"/>
  <c r="CG2892" i="1"/>
  <c r="CB2892" i="1"/>
  <c r="BY2892" i="1"/>
  <c r="BZ2892" i="1" s="1"/>
  <c r="BX2892" i="1"/>
  <c r="BU2892" i="1"/>
  <c r="BT2892" i="1"/>
  <c r="BS2892" i="1"/>
  <c r="BQ2892" i="1"/>
  <c r="BP2892" i="1"/>
  <c r="BM2892" i="1"/>
  <c r="BL2892" i="1"/>
  <c r="BK2892" i="1"/>
  <c r="BJ2892" i="1"/>
  <c r="BI2892" i="1"/>
  <c r="E2892" i="1"/>
  <c r="C2892" i="1"/>
  <c r="B2892" i="1"/>
  <c r="CG2865" i="1"/>
  <c r="CA2865" i="1"/>
  <c r="BY2865" i="1"/>
  <c r="BZ2865" i="1" s="1"/>
  <c r="BT2865" i="1"/>
  <c r="BQ2865" i="1"/>
  <c r="BP2865" i="1"/>
  <c r="BM2865" i="1"/>
  <c r="BL2865" i="1"/>
  <c r="BK2865" i="1"/>
  <c r="BJ2865" i="1"/>
  <c r="BI2865" i="1"/>
  <c r="BH2865" i="1"/>
  <c r="R2865" i="1" s="1"/>
  <c r="BG2865" i="1"/>
  <c r="Q2865" i="1"/>
  <c r="BX2865" i="1" s="1"/>
  <c r="N2865" i="1"/>
  <c r="E2865" i="1"/>
  <c r="C2865" i="1"/>
  <c r="B2865" i="1"/>
  <c r="CG2782" i="1"/>
  <c r="CB2782" i="1"/>
  <c r="CA2782" i="1"/>
  <c r="BY2782" i="1"/>
  <c r="BZ2782" i="1" s="1"/>
  <c r="BX2782" i="1"/>
  <c r="BT2782" i="1"/>
  <c r="BQ2782" i="1"/>
  <c r="BP2782" i="1"/>
  <c r="BL2782" i="1"/>
  <c r="BK2782" i="1"/>
  <c r="BJ2782" i="1"/>
  <c r="BI2782" i="1"/>
  <c r="BH2782" i="1"/>
  <c r="R2782" i="1" s="1"/>
  <c r="BU2782" i="1" s="1"/>
  <c r="BG2782" i="1"/>
  <c r="N2782" i="1"/>
  <c r="E2782" i="1"/>
  <c r="C2782" i="1"/>
  <c r="B2782" i="1"/>
  <c r="CG2758" i="1"/>
  <c r="CA2758" i="1"/>
  <c r="BY2758" i="1"/>
  <c r="BZ2758" i="1" s="1"/>
  <c r="BT2758" i="1"/>
  <c r="BQ2758" i="1"/>
  <c r="BP2758" i="1"/>
  <c r="BM2758" i="1"/>
  <c r="BL2758" i="1"/>
  <c r="BK2758" i="1"/>
  <c r="BJ2758" i="1"/>
  <c r="BI2758" i="1"/>
  <c r="R2758" i="1"/>
  <c r="Q2758" i="1"/>
  <c r="BX2758" i="1" s="1"/>
  <c r="E2758" i="1"/>
  <c r="C2758" i="1"/>
  <c r="B2758" i="1"/>
  <c r="CG2757" i="1"/>
  <c r="CB2757" i="1"/>
  <c r="BY2757" i="1"/>
  <c r="BZ2757" i="1" s="1"/>
  <c r="BX2757" i="1"/>
  <c r="BT2757" i="1"/>
  <c r="BS2757" i="1"/>
  <c r="BQ2757" i="1"/>
  <c r="BP2757" i="1"/>
  <c r="BL2757" i="1"/>
  <c r="BK2757" i="1"/>
  <c r="BJ2757" i="1"/>
  <c r="BI2757" i="1"/>
  <c r="BH2757" i="1"/>
  <c r="R2757" i="1" s="1"/>
  <c r="BU2757" i="1" s="1"/>
  <c r="BG2757" i="1"/>
  <c r="N2757" i="1"/>
  <c r="E2757" i="1"/>
  <c r="C2757" i="1"/>
  <c r="B2757" i="1"/>
  <c r="CG2731" i="1"/>
  <c r="CB2731" i="1"/>
  <c r="CA2731" i="1"/>
  <c r="BY2731" i="1"/>
  <c r="BZ2731" i="1" s="1"/>
  <c r="BX2731" i="1"/>
  <c r="BT2731" i="1"/>
  <c r="BQ2731" i="1"/>
  <c r="BP2731" i="1"/>
  <c r="BM2731" i="1"/>
  <c r="BL2731" i="1"/>
  <c r="BK2731" i="1"/>
  <c r="BJ2731" i="1"/>
  <c r="BI2731" i="1"/>
  <c r="BH2731" i="1"/>
  <c r="R2731" i="1" s="1"/>
  <c r="BU2731" i="1" s="1"/>
  <c r="BG2731" i="1"/>
  <c r="E2731" i="1"/>
  <c r="C2731" i="1"/>
  <c r="B2731" i="1"/>
  <c r="CG2715" i="1"/>
  <c r="CA2715" i="1"/>
  <c r="BY2715" i="1"/>
  <c r="BZ2715" i="1" s="1"/>
  <c r="BT2715" i="1"/>
  <c r="BQ2715" i="1"/>
  <c r="BP2715" i="1"/>
  <c r="BM2715" i="1"/>
  <c r="BL2715" i="1"/>
  <c r="BK2715" i="1"/>
  <c r="BJ2715" i="1"/>
  <c r="BI2715" i="1"/>
  <c r="R2715" i="1"/>
  <c r="Q2715" i="1"/>
  <c r="BX2715" i="1" s="1"/>
  <c r="E2715" i="1"/>
  <c r="C2715" i="1"/>
  <c r="B2715" i="1"/>
  <c r="CG2695" i="1"/>
  <c r="BY2695" i="1"/>
  <c r="BZ2695" i="1" s="1"/>
  <c r="BT2695" i="1"/>
  <c r="BQ2695" i="1"/>
  <c r="BP2695" i="1"/>
  <c r="BL2695" i="1"/>
  <c r="BK2695" i="1"/>
  <c r="BJ2695" i="1"/>
  <c r="BI2695" i="1"/>
  <c r="BH2695" i="1"/>
  <c r="R2695" i="1" s="1"/>
  <c r="BG2695" i="1"/>
  <c r="BR2695" i="1" s="1"/>
  <c r="CA2695" i="1" s="1"/>
  <c r="Q2695" i="1"/>
  <c r="BX2695" i="1" s="1"/>
  <c r="N2695" i="1"/>
  <c r="E2695" i="1"/>
  <c r="C2695" i="1"/>
  <c r="B2695" i="1"/>
  <c r="CG2675" i="1"/>
  <c r="CB2675" i="1"/>
  <c r="BY2675" i="1"/>
  <c r="BZ2675" i="1" s="1"/>
  <c r="BX2675" i="1"/>
  <c r="BT2675" i="1"/>
  <c r="BQ2675" i="1"/>
  <c r="BP2675" i="1"/>
  <c r="BL2675" i="1"/>
  <c r="BK2675" i="1"/>
  <c r="BJ2675" i="1"/>
  <c r="BI2675" i="1"/>
  <c r="BH2675" i="1"/>
  <c r="R2675" i="1" s="1"/>
  <c r="BU2675" i="1" s="1"/>
  <c r="BG2675" i="1"/>
  <c r="N2675" i="1"/>
  <c r="E2675" i="1"/>
  <c r="C2675" i="1"/>
  <c r="B2675" i="1"/>
  <c r="CG2653" i="1"/>
  <c r="CB2653" i="1"/>
  <c r="CA2653" i="1"/>
  <c r="BY2653" i="1"/>
  <c r="BZ2653" i="1" s="1"/>
  <c r="BX2653" i="1"/>
  <c r="BT2653" i="1"/>
  <c r="BQ2653" i="1"/>
  <c r="BP2653" i="1"/>
  <c r="BM2653" i="1"/>
  <c r="BL2653" i="1"/>
  <c r="BK2653" i="1"/>
  <c r="BJ2653" i="1"/>
  <c r="BI2653" i="1"/>
  <c r="BH2653" i="1"/>
  <c r="R2653" i="1" s="1"/>
  <c r="BU2653" i="1" s="1"/>
  <c r="BG2653" i="1"/>
  <c r="E2653" i="1"/>
  <c r="C2653" i="1"/>
  <c r="B2653" i="1"/>
  <c r="CG2528" i="1"/>
  <c r="CB2528" i="1"/>
  <c r="CA2528" i="1"/>
  <c r="BY2528" i="1"/>
  <c r="BZ2528" i="1" s="1"/>
  <c r="BX2528" i="1"/>
  <c r="BT2528" i="1"/>
  <c r="BQ2528" i="1"/>
  <c r="BP2528" i="1"/>
  <c r="BL2528" i="1"/>
  <c r="BK2528" i="1"/>
  <c r="BJ2528" i="1"/>
  <c r="BI2528" i="1"/>
  <c r="BH2528" i="1"/>
  <c r="R2528" i="1" s="1"/>
  <c r="BU2528" i="1" s="1"/>
  <c r="BG2528" i="1"/>
  <c r="E2528" i="1"/>
  <c r="C2528" i="1"/>
  <c r="B2528" i="1"/>
  <c r="CG2525" i="1"/>
  <c r="CB2525" i="1"/>
  <c r="CA2525" i="1"/>
  <c r="BY2525" i="1"/>
  <c r="BZ2525" i="1" s="1"/>
  <c r="BX2525" i="1"/>
  <c r="BT2525" i="1"/>
  <c r="BQ2525" i="1"/>
  <c r="BP2525" i="1"/>
  <c r="BM2525" i="1"/>
  <c r="BL2525" i="1"/>
  <c r="BK2525" i="1"/>
  <c r="BJ2525" i="1"/>
  <c r="BI2525" i="1"/>
  <c r="BH2525" i="1"/>
  <c r="R2525" i="1" s="1"/>
  <c r="BU2525" i="1" s="1"/>
  <c r="N2525" i="1"/>
  <c r="E2525" i="1"/>
  <c r="C2525" i="1"/>
  <c r="B2525" i="1"/>
  <c r="CG2524" i="1"/>
  <c r="CB2524" i="1"/>
  <c r="CA2524" i="1"/>
  <c r="BY2524" i="1"/>
  <c r="BZ2524" i="1" s="1"/>
  <c r="BX2524" i="1"/>
  <c r="BT2524" i="1"/>
  <c r="BQ2524" i="1"/>
  <c r="BP2524" i="1"/>
  <c r="BM2524" i="1"/>
  <c r="BL2524" i="1"/>
  <c r="BK2524" i="1"/>
  <c r="BJ2524" i="1"/>
  <c r="BI2524" i="1"/>
  <c r="BH2524" i="1"/>
  <c r="R2524" i="1" s="1"/>
  <c r="BU2524" i="1" s="1"/>
  <c r="BG2524" i="1"/>
  <c r="E2524" i="1"/>
  <c r="C2524" i="1"/>
  <c r="B2524" i="1"/>
  <c r="CG2473" i="1"/>
  <c r="CB2473" i="1"/>
  <c r="BY2473" i="1"/>
  <c r="BZ2473" i="1" s="1"/>
  <c r="BX2473" i="1"/>
  <c r="BT2473" i="1"/>
  <c r="BQ2473" i="1"/>
  <c r="BP2473" i="1"/>
  <c r="BM2473" i="1"/>
  <c r="BL2473" i="1"/>
  <c r="BK2473" i="1"/>
  <c r="BJ2473" i="1"/>
  <c r="BI2473" i="1"/>
  <c r="BH2473" i="1"/>
  <c r="R2473" i="1" s="1"/>
  <c r="BU2473" i="1" s="1"/>
  <c r="N2473" i="1"/>
  <c r="BR2473" i="1" s="1"/>
  <c r="CA2473" i="1" s="1"/>
  <c r="E2473" i="1"/>
  <c r="C2473" i="1"/>
  <c r="B2473" i="1"/>
  <c r="CG2427" i="1"/>
  <c r="CB2427" i="1"/>
  <c r="BY2427" i="1"/>
  <c r="BZ2427" i="1" s="1"/>
  <c r="BX2427" i="1"/>
  <c r="BT2427" i="1"/>
  <c r="BS2427" i="1"/>
  <c r="BQ2427" i="1"/>
  <c r="BP2427" i="1"/>
  <c r="BL2427" i="1"/>
  <c r="BK2427" i="1"/>
  <c r="BJ2427" i="1"/>
  <c r="BI2427" i="1"/>
  <c r="BH2427" i="1"/>
  <c r="R2427" i="1" s="1"/>
  <c r="BU2427" i="1" s="1"/>
  <c r="BG2427" i="1"/>
  <c r="N2427" i="1"/>
  <c r="E2427" i="1"/>
  <c r="C2427" i="1"/>
  <c r="B2427" i="1"/>
  <c r="CG2379" i="1"/>
  <c r="CB2379" i="1"/>
  <c r="BY2379" i="1"/>
  <c r="BZ2379" i="1" s="1"/>
  <c r="BX2379" i="1"/>
  <c r="BT2379" i="1"/>
  <c r="BS2379" i="1"/>
  <c r="BQ2379" i="1"/>
  <c r="BP2379" i="1"/>
  <c r="BL2379" i="1"/>
  <c r="BK2379" i="1"/>
  <c r="BJ2379" i="1"/>
  <c r="BI2379" i="1"/>
  <c r="BH2379" i="1"/>
  <c r="R2379" i="1" s="1"/>
  <c r="BU2379" i="1" s="1"/>
  <c r="BG2379" i="1"/>
  <c r="N2379" i="1"/>
  <c r="E2379" i="1"/>
  <c r="C2379" i="1"/>
  <c r="B2379" i="1"/>
  <c r="CG2363" i="1"/>
  <c r="CA2363" i="1"/>
  <c r="BY2363" i="1"/>
  <c r="BZ2363" i="1" s="1"/>
  <c r="BT2363" i="1"/>
  <c r="BQ2363" i="1"/>
  <c r="BP2363" i="1"/>
  <c r="BL2363" i="1"/>
  <c r="BK2363" i="1"/>
  <c r="BJ2363" i="1"/>
  <c r="BI2363" i="1"/>
  <c r="R2363" i="1"/>
  <c r="Q2363" i="1"/>
  <c r="BX2363" i="1" s="1"/>
  <c r="N2363" i="1"/>
  <c r="E2363" i="1"/>
  <c r="C2363" i="1"/>
  <c r="B2363" i="1"/>
  <c r="CG2361" i="1"/>
  <c r="CB2361" i="1"/>
  <c r="BY2361" i="1"/>
  <c r="BZ2361" i="1" s="1"/>
  <c r="BX2361" i="1"/>
  <c r="BT2361" i="1"/>
  <c r="BS2361" i="1"/>
  <c r="BQ2361" i="1"/>
  <c r="BP2361" i="1"/>
  <c r="BM2361" i="1"/>
  <c r="BL2361" i="1"/>
  <c r="BK2361" i="1"/>
  <c r="BJ2361" i="1"/>
  <c r="BI2361" i="1"/>
  <c r="BH2361" i="1"/>
  <c r="R2361" i="1" s="1"/>
  <c r="BU2361" i="1" s="1"/>
  <c r="BG2361" i="1"/>
  <c r="N2361" i="1"/>
  <c r="E2361" i="1"/>
  <c r="C2361" i="1"/>
  <c r="B2361" i="1"/>
  <c r="CG2341" i="1"/>
  <c r="CB2341" i="1"/>
  <c r="BY2341" i="1"/>
  <c r="BZ2341" i="1" s="1"/>
  <c r="BX2341" i="1"/>
  <c r="BT2341" i="1"/>
  <c r="BS2341" i="1"/>
  <c r="BQ2341" i="1"/>
  <c r="BP2341" i="1"/>
  <c r="BL2341" i="1"/>
  <c r="BK2341" i="1"/>
  <c r="BJ2341" i="1"/>
  <c r="BI2341" i="1"/>
  <c r="BH2341" i="1"/>
  <c r="R2341" i="1" s="1"/>
  <c r="BU2341" i="1" s="1"/>
  <c r="BG2341" i="1"/>
  <c r="N2341" i="1"/>
  <c r="E2341" i="1"/>
  <c r="C2341" i="1"/>
  <c r="B2341" i="1"/>
  <c r="CG2320" i="1"/>
  <c r="CB2320" i="1"/>
  <c r="BY2320" i="1"/>
  <c r="BZ2320" i="1" s="1"/>
  <c r="BX2320" i="1"/>
  <c r="BT2320" i="1"/>
  <c r="BS2320" i="1"/>
  <c r="CA2320" i="1" s="1"/>
  <c r="BQ2320" i="1"/>
  <c r="BP2320" i="1"/>
  <c r="BL2320" i="1"/>
  <c r="BK2320" i="1"/>
  <c r="BJ2320" i="1"/>
  <c r="BI2320" i="1"/>
  <c r="BH2320" i="1"/>
  <c r="R2320" i="1" s="1"/>
  <c r="BU2320" i="1" s="1"/>
  <c r="BG2320" i="1"/>
  <c r="N2320" i="1"/>
  <c r="E2320" i="1"/>
  <c r="C2320" i="1"/>
  <c r="B2320" i="1"/>
  <c r="CG2297" i="1"/>
  <c r="CB2297" i="1"/>
  <c r="BY2297" i="1"/>
  <c r="BZ2297" i="1" s="1"/>
  <c r="BT2297" i="1"/>
  <c r="BS2297" i="1"/>
  <c r="BQ2297" i="1"/>
  <c r="BP2297" i="1"/>
  <c r="BM2297" i="1"/>
  <c r="BL2297" i="1"/>
  <c r="BK2297" i="1"/>
  <c r="BJ2297" i="1"/>
  <c r="BI2297" i="1"/>
  <c r="BH2297" i="1"/>
  <c r="R2297" i="1" s="1"/>
  <c r="BG2297" i="1"/>
  <c r="BR2297" i="1" s="1"/>
  <c r="E2297" i="1"/>
  <c r="C2297" i="1"/>
  <c r="B2297" i="1"/>
  <c r="CG2206" i="1"/>
  <c r="CA2206" i="1"/>
  <c r="BY2206" i="1"/>
  <c r="BZ2206" i="1" s="1"/>
  <c r="BT2206" i="1"/>
  <c r="BQ2206" i="1"/>
  <c r="BP2206" i="1"/>
  <c r="BL2206" i="1"/>
  <c r="BK2206" i="1"/>
  <c r="BJ2206" i="1"/>
  <c r="BI2206" i="1"/>
  <c r="R2206" i="1"/>
  <c r="Q2206" i="1"/>
  <c r="N2206" i="1"/>
  <c r="E2206" i="1"/>
  <c r="C2206" i="1"/>
  <c r="B2206" i="1"/>
  <c r="CG2130" i="1"/>
  <c r="BY2130" i="1"/>
  <c r="BZ2130" i="1" s="1"/>
  <c r="BT2130" i="1"/>
  <c r="BQ2130" i="1"/>
  <c r="BP2130" i="1"/>
  <c r="BL2130" i="1"/>
  <c r="BK2130" i="1"/>
  <c r="BJ2130" i="1"/>
  <c r="BI2130" i="1"/>
  <c r="BH2130" i="1"/>
  <c r="R2130" i="1" s="1"/>
  <c r="BG2130" i="1"/>
  <c r="BR2130" i="1" s="1"/>
  <c r="Q2130" i="1"/>
  <c r="BX2130" i="1" s="1"/>
  <c r="N2130" i="1"/>
  <c r="E2130" i="1"/>
  <c r="C2130" i="1"/>
  <c r="B2130" i="1"/>
  <c r="CG2026" i="1"/>
  <c r="CB2026" i="1"/>
  <c r="BY2026" i="1"/>
  <c r="BZ2026" i="1" s="1"/>
  <c r="BX2026" i="1"/>
  <c r="BT2026" i="1"/>
  <c r="BS2026" i="1"/>
  <c r="CA2026" i="1" s="1"/>
  <c r="BQ2026" i="1"/>
  <c r="BP2026" i="1"/>
  <c r="BL2026" i="1"/>
  <c r="BK2026" i="1"/>
  <c r="BJ2026" i="1"/>
  <c r="BI2026" i="1"/>
  <c r="BH2026" i="1"/>
  <c r="R2026" i="1" s="1"/>
  <c r="BU2026" i="1" s="1"/>
  <c r="BG2026" i="1"/>
  <c r="N2026" i="1"/>
  <c r="E2026" i="1"/>
  <c r="C2026" i="1"/>
  <c r="B2026" i="1"/>
  <c r="CG1972" i="1"/>
  <c r="CB1972" i="1"/>
  <c r="BY1972" i="1"/>
  <c r="BZ1972" i="1" s="1"/>
  <c r="BX1972" i="1"/>
  <c r="BT1972" i="1"/>
  <c r="BS1972" i="1"/>
  <c r="BQ1972" i="1"/>
  <c r="BP1972" i="1"/>
  <c r="BM1972" i="1"/>
  <c r="BL1972" i="1"/>
  <c r="BK1972" i="1"/>
  <c r="BJ1972" i="1"/>
  <c r="BI1972" i="1"/>
  <c r="BH1972" i="1"/>
  <c r="R1972" i="1" s="1"/>
  <c r="BU1972" i="1" s="1"/>
  <c r="BG1972" i="1"/>
  <c r="BR1972" i="1" s="1"/>
  <c r="E1972" i="1"/>
  <c r="C1972" i="1"/>
  <c r="B1972" i="1"/>
  <c r="CG1963" i="1"/>
  <c r="CB1963" i="1"/>
  <c r="BY1963" i="1"/>
  <c r="BZ1963" i="1" s="1"/>
  <c r="BX1963" i="1"/>
  <c r="BT1963" i="1"/>
  <c r="BS1963" i="1"/>
  <c r="BQ1963" i="1"/>
  <c r="BP1963" i="1"/>
  <c r="BM1963" i="1"/>
  <c r="BL1963" i="1"/>
  <c r="BK1963" i="1"/>
  <c r="BJ1963" i="1"/>
  <c r="BI1963" i="1"/>
  <c r="BH1963" i="1"/>
  <c r="R1963" i="1" s="1"/>
  <c r="BU1963" i="1" s="1"/>
  <c r="BG1963" i="1"/>
  <c r="N1963" i="1"/>
  <c r="E1963" i="1"/>
  <c r="C1963" i="1"/>
  <c r="B1963" i="1"/>
  <c r="CG1888" i="1"/>
  <c r="CB1888" i="1"/>
  <c r="CA1888" i="1"/>
  <c r="BY1888" i="1"/>
  <c r="BZ1888" i="1" s="1"/>
  <c r="BX1888" i="1"/>
  <c r="BT1888" i="1"/>
  <c r="BQ1888" i="1"/>
  <c r="BP1888" i="1"/>
  <c r="BL1888" i="1"/>
  <c r="BK1888" i="1"/>
  <c r="BJ1888" i="1"/>
  <c r="BI1888" i="1"/>
  <c r="BH1888" i="1"/>
  <c r="R1888" i="1" s="1"/>
  <c r="BU1888" i="1" s="1"/>
  <c r="BG1888" i="1"/>
  <c r="N1888" i="1"/>
  <c r="E1888" i="1"/>
  <c r="C1888" i="1"/>
  <c r="B1888" i="1"/>
  <c r="CG1885" i="1"/>
  <c r="CB1885" i="1"/>
  <c r="BY1885" i="1"/>
  <c r="BZ1885" i="1" s="1"/>
  <c r="BX1885" i="1"/>
  <c r="BT1885" i="1"/>
  <c r="BS1885" i="1"/>
  <c r="BQ1885" i="1"/>
  <c r="BP1885" i="1"/>
  <c r="BL1885" i="1"/>
  <c r="BK1885" i="1"/>
  <c r="BJ1885" i="1"/>
  <c r="BI1885" i="1"/>
  <c r="BH1885" i="1"/>
  <c r="R1885" i="1" s="1"/>
  <c r="BU1885" i="1" s="1"/>
  <c r="N1885" i="1"/>
  <c r="BR1885" i="1" s="1"/>
  <c r="E1885" i="1"/>
  <c r="C1885" i="1"/>
  <c r="B1885" i="1"/>
  <c r="CG1878" i="1"/>
  <c r="CB1878" i="1"/>
  <c r="BY1878" i="1"/>
  <c r="BZ1878" i="1" s="1"/>
  <c r="BX1878" i="1"/>
  <c r="BT1878" i="1"/>
  <c r="BS1878" i="1"/>
  <c r="CA1878" i="1" s="1"/>
  <c r="BQ1878" i="1"/>
  <c r="BP1878" i="1"/>
  <c r="BM1878" i="1"/>
  <c r="BL1878" i="1"/>
  <c r="BK1878" i="1"/>
  <c r="BJ1878" i="1"/>
  <c r="BI1878" i="1"/>
  <c r="BH1878" i="1"/>
  <c r="R1878" i="1" s="1"/>
  <c r="BU1878" i="1" s="1"/>
  <c r="BG1878" i="1"/>
  <c r="E1878" i="1"/>
  <c r="C1878" i="1"/>
  <c r="B1878" i="1"/>
  <c r="CG1865" i="1"/>
  <c r="CA1865" i="1"/>
  <c r="BY1865" i="1"/>
  <c r="BZ1865" i="1" s="1"/>
  <c r="BT1865" i="1"/>
  <c r="BQ1865" i="1"/>
  <c r="BP1865" i="1"/>
  <c r="BM1865" i="1"/>
  <c r="BL1865" i="1"/>
  <c r="BK1865" i="1"/>
  <c r="BJ1865" i="1"/>
  <c r="BI1865" i="1"/>
  <c r="BH1865" i="1"/>
  <c r="R1865" i="1" s="1"/>
  <c r="BG1865" i="1"/>
  <c r="Q1865" i="1"/>
  <c r="BX1865" i="1" s="1"/>
  <c r="E1865" i="1"/>
  <c r="C1865" i="1"/>
  <c r="B1865" i="1"/>
  <c r="CG1843" i="1"/>
  <c r="BY1843" i="1"/>
  <c r="BZ1843" i="1" s="1"/>
  <c r="BT1843" i="1"/>
  <c r="BQ1843" i="1"/>
  <c r="BP1843" i="1"/>
  <c r="BM1843" i="1"/>
  <c r="BL1843" i="1"/>
  <c r="BK1843" i="1"/>
  <c r="BJ1843" i="1"/>
  <c r="BI1843" i="1"/>
  <c r="BH1843" i="1"/>
  <c r="R1843" i="1" s="1"/>
  <c r="BG1843" i="1"/>
  <c r="BR1843" i="1" s="1"/>
  <c r="CA1843" i="1" s="1"/>
  <c r="Q1843" i="1"/>
  <c r="BX1843" i="1" s="1"/>
  <c r="N1843" i="1"/>
  <c r="E1843" i="1"/>
  <c r="C1843" i="1"/>
  <c r="B1843" i="1"/>
  <c r="CG1802" i="1"/>
  <c r="CB1802" i="1"/>
  <c r="CA1802" i="1"/>
  <c r="BY1802" i="1"/>
  <c r="BZ1802" i="1" s="1"/>
  <c r="BX1802" i="1"/>
  <c r="BT1802" i="1"/>
  <c r="BQ1802" i="1"/>
  <c r="BP1802" i="1"/>
  <c r="BM1802" i="1"/>
  <c r="BL1802" i="1"/>
  <c r="BK1802" i="1"/>
  <c r="BJ1802" i="1"/>
  <c r="BI1802" i="1"/>
  <c r="BH1802" i="1"/>
  <c r="R1802" i="1" s="1"/>
  <c r="BU1802" i="1" s="1"/>
  <c r="BG1802" i="1"/>
  <c r="N1802" i="1"/>
  <c r="E1802" i="1"/>
  <c r="C1802" i="1"/>
  <c r="B1802" i="1"/>
  <c r="CG1775" i="1"/>
  <c r="CB1775" i="1"/>
  <c r="BY1775" i="1"/>
  <c r="BZ1775" i="1" s="1"/>
  <c r="BX1775" i="1"/>
  <c r="BT1775" i="1"/>
  <c r="BS1775" i="1"/>
  <c r="CA1775" i="1" s="1"/>
  <c r="BQ1775" i="1"/>
  <c r="BP1775" i="1"/>
  <c r="BL1775" i="1"/>
  <c r="BK1775" i="1"/>
  <c r="BJ1775" i="1"/>
  <c r="BI1775" i="1"/>
  <c r="BH1775" i="1"/>
  <c r="R1775" i="1" s="1"/>
  <c r="BU1775" i="1" s="1"/>
  <c r="N1775" i="1"/>
  <c r="E1775" i="1"/>
  <c r="C1775" i="1"/>
  <c r="B1775" i="1"/>
  <c r="CG1772" i="1"/>
  <c r="CB1772" i="1"/>
  <c r="BY1772" i="1"/>
  <c r="BZ1772" i="1" s="1"/>
  <c r="BX1772" i="1"/>
  <c r="BT1772" i="1"/>
  <c r="BS1772" i="1"/>
  <c r="CA1772" i="1" s="1"/>
  <c r="BQ1772" i="1"/>
  <c r="BP1772" i="1"/>
  <c r="BL1772" i="1"/>
  <c r="BK1772" i="1"/>
  <c r="BJ1772" i="1"/>
  <c r="BI1772" i="1"/>
  <c r="BH1772" i="1"/>
  <c r="R1772" i="1" s="1"/>
  <c r="BU1772" i="1" s="1"/>
  <c r="BG1772" i="1"/>
  <c r="N1772" i="1"/>
  <c r="E1772" i="1"/>
  <c r="C1772" i="1"/>
  <c r="B1772" i="1"/>
  <c r="CG1757" i="1"/>
  <c r="CB1757" i="1"/>
  <c r="BY1757" i="1"/>
  <c r="BZ1757" i="1" s="1"/>
  <c r="BX1757" i="1"/>
  <c r="BT1757" i="1"/>
  <c r="BS1757" i="1"/>
  <c r="CA1757" i="1" s="1"/>
  <c r="BQ1757" i="1"/>
  <c r="BP1757" i="1"/>
  <c r="BL1757" i="1"/>
  <c r="BK1757" i="1"/>
  <c r="BJ1757" i="1"/>
  <c r="BI1757" i="1"/>
  <c r="BH1757" i="1"/>
  <c r="R1757" i="1" s="1"/>
  <c r="BG1757" i="1"/>
  <c r="N1757" i="1"/>
  <c r="E1757" i="1"/>
  <c r="C1757" i="1"/>
  <c r="B1757" i="1"/>
  <c r="CG1754" i="1"/>
  <c r="CB1754" i="1"/>
  <c r="BY1754" i="1"/>
  <c r="BZ1754" i="1" s="1"/>
  <c r="BX1754" i="1"/>
  <c r="BT1754" i="1"/>
  <c r="BS1754" i="1"/>
  <c r="CA1754" i="1" s="1"/>
  <c r="BQ1754" i="1"/>
  <c r="BP1754" i="1"/>
  <c r="BL1754" i="1"/>
  <c r="BK1754" i="1"/>
  <c r="BJ1754" i="1"/>
  <c r="BI1754" i="1"/>
  <c r="BH1754" i="1"/>
  <c r="R1754" i="1" s="1"/>
  <c r="BU1754" i="1" s="1"/>
  <c r="BG1754" i="1"/>
  <c r="N1754" i="1"/>
  <c r="E1754" i="1"/>
  <c r="C1754" i="1"/>
  <c r="B1754" i="1"/>
  <c r="CG1661" i="1"/>
  <c r="CB1661" i="1"/>
  <c r="BY1661" i="1"/>
  <c r="BZ1661" i="1" s="1"/>
  <c r="BX1661" i="1"/>
  <c r="BU1661" i="1"/>
  <c r="BT1661" i="1"/>
  <c r="BS1661" i="1"/>
  <c r="CA1661" i="1" s="1"/>
  <c r="BQ1661" i="1"/>
  <c r="BP1661" i="1"/>
  <c r="BL1661" i="1"/>
  <c r="BK1661" i="1"/>
  <c r="BJ1661" i="1"/>
  <c r="BI1661" i="1"/>
  <c r="N1661" i="1"/>
  <c r="E1661" i="1"/>
  <c r="C1661" i="1"/>
  <c r="B1661" i="1"/>
  <c r="CG1643" i="1"/>
  <c r="BY1643" i="1"/>
  <c r="BZ1643" i="1" s="1"/>
  <c r="BX1643" i="1"/>
  <c r="BV1643" i="1"/>
  <c r="BT1643" i="1"/>
  <c r="BS1643" i="1"/>
  <c r="BQ1643" i="1"/>
  <c r="BP1643" i="1"/>
  <c r="BL1643" i="1"/>
  <c r="BK1643" i="1"/>
  <c r="BJ1643" i="1"/>
  <c r="BI1643" i="1"/>
  <c r="BH1643" i="1"/>
  <c r="R1643" i="1" s="1"/>
  <c r="BU1643" i="1" s="1"/>
  <c r="BG1643" i="1"/>
  <c r="N1643" i="1"/>
  <c r="E1643" i="1"/>
  <c r="C1643" i="1"/>
  <c r="B1643" i="1"/>
  <c r="CG1604" i="1"/>
  <c r="CB1604" i="1"/>
  <c r="BY1604" i="1"/>
  <c r="BZ1604" i="1" s="1"/>
  <c r="BX1604" i="1"/>
  <c r="BT1604" i="1"/>
  <c r="BS1604" i="1"/>
  <c r="BQ1604" i="1"/>
  <c r="BP1604" i="1"/>
  <c r="BL1604" i="1"/>
  <c r="BK1604" i="1"/>
  <c r="BJ1604" i="1"/>
  <c r="BI1604" i="1"/>
  <c r="BH1604" i="1"/>
  <c r="R1604" i="1" s="1"/>
  <c r="BU1604" i="1" s="1"/>
  <c r="BG1604" i="1"/>
  <c r="N1604" i="1"/>
  <c r="E1604" i="1"/>
  <c r="C1604" i="1"/>
  <c r="B1604" i="1"/>
  <c r="CG1585" i="1"/>
  <c r="CB1585" i="1"/>
  <c r="CA1585" i="1"/>
  <c r="BY1585" i="1"/>
  <c r="BZ1585" i="1" s="1"/>
  <c r="BX1585" i="1"/>
  <c r="BT1585" i="1"/>
  <c r="BQ1585" i="1"/>
  <c r="BP1585" i="1"/>
  <c r="BL1585" i="1"/>
  <c r="BK1585" i="1"/>
  <c r="BJ1585" i="1"/>
  <c r="BI1585" i="1"/>
  <c r="BH1585" i="1"/>
  <c r="R1585" i="1" s="1"/>
  <c r="BU1585" i="1" s="1"/>
  <c r="BG1585" i="1"/>
  <c r="N1585" i="1"/>
  <c r="E1585" i="1"/>
  <c r="C1585" i="1"/>
  <c r="CG1502" i="1"/>
  <c r="CD1502" i="1"/>
  <c r="CC1502" i="1"/>
  <c r="CB1502" i="1"/>
  <c r="CA1502" i="1"/>
  <c r="BY1502" i="1"/>
  <c r="BV1502" i="1"/>
  <c r="BT1502" i="1"/>
  <c r="BP1502" i="1"/>
  <c r="BM1502" i="1"/>
  <c r="BL1502" i="1"/>
  <c r="BK1502" i="1"/>
  <c r="BJ1502" i="1"/>
  <c r="BI1502" i="1"/>
  <c r="BH1502" i="1"/>
  <c r="R1502" i="1" s="1"/>
  <c r="BG1502" i="1"/>
  <c r="BF1502" i="1"/>
  <c r="N1502" i="1"/>
  <c r="E1502" i="1"/>
  <c r="C1502" i="1"/>
  <c r="B1502" i="1"/>
  <c r="CG1496" i="1"/>
  <c r="CB1496" i="1"/>
  <c r="BY1496" i="1"/>
  <c r="BZ1496" i="1" s="1"/>
  <c r="BX1496" i="1"/>
  <c r="BT1496" i="1"/>
  <c r="BS1496" i="1"/>
  <c r="CA1496" i="1" s="1"/>
  <c r="BQ1496" i="1"/>
  <c r="BP1496" i="1"/>
  <c r="BL1496" i="1"/>
  <c r="BK1496" i="1"/>
  <c r="BJ1496" i="1"/>
  <c r="BI1496" i="1"/>
  <c r="BH1496" i="1"/>
  <c r="R1496" i="1" s="1"/>
  <c r="BU1496" i="1" s="1"/>
  <c r="BG1496" i="1"/>
  <c r="N1496" i="1"/>
  <c r="E1496" i="1"/>
  <c r="C1496" i="1"/>
  <c r="B1496" i="1"/>
  <c r="CG1474" i="1"/>
  <c r="CD1474" i="1"/>
  <c r="CC1474" i="1"/>
  <c r="CB1474" i="1"/>
  <c r="CA1474" i="1"/>
  <c r="BY1474" i="1"/>
  <c r="BV1474" i="1"/>
  <c r="BT1474" i="1"/>
  <c r="BP1474" i="1"/>
  <c r="BM1474" i="1"/>
  <c r="BL1474" i="1"/>
  <c r="BK1474" i="1"/>
  <c r="BJ1474" i="1"/>
  <c r="BI1474" i="1"/>
  <c r="BH1474" i="1"/>
  <c r="R1474" i="1" s="1"/>
  <c r="BG1474" i="1"/>
  <c r="BF1474" i="1"/>
  <c r="E1474" i="1"/>
  <c r="C1474" i="1"/>
  <c r="B1474" i="1"/>
  <c r="CG1459" i="1"/>
  <c r="CA1459" i="1"/>
  <c r="BY1459" i="1"/>
  <c r="BZ1459" i="1" s="1"/>
  <c r="BX1459" i="1"/>
  <c r="BT1459" i="1"/>
  <c r="BQ1459" i="1"/>
  <c r="BP1459" i="1"/>
  <c r="BL1459" i="1"/>
  <c r="BK1459" i="1"/>
  <c r="BJ1459" i="1"/>
  <c r="BI1459" i="1"/>
  <c r="BH1459" i="1"/>
  <c r="R1459" i="1" s="1"/>
  <c r="BU1459" i="1" s="1"/>
  <c r="BG1459" i="1"/>
  <c r="N1459" i="1"/>
  <c r="E1459" i="1"/>
  <c r="C1459" i="1"/>
  <c r="B1459" i="1"/>
  <c r="CG1451" i="1"/>
  <c r="BY1451" i="1"/>
  <c r="BZ1451" i="1" s="1"/>
  <c r="BT1451" i="1"/>
  <c r="BQ1451" i="1"/>
  <c r="BP1451" i="1"/>
  <c r="BL1451" i="1"/>
  <c r="BK1451" i="1"/>
  <c r="BJ1451" i="1"/>
  <c r="BI1451" i="1"/>
  <c r="BH1451" i="1"/>
  <c r="R1451" i="1" s="1"/>
  <c r="BG1451" i="1"/>
  <c r="BR1451" i="1" s="1"/>
  <c r="CA1451" i="1" s="1"/>
  <c r="Q1451" i="1"/>
  <c r="E1451" i="1"/>
  <c r="C1451" i="1"/>
  <c r="B1451" i="1"/>
  <c r="CG1333" i="1"/>
  <c r="BY1333" i="1"/>
  <c r="BZ1333" i="1" s="1"/>
  <c r="BX1333" i="1"/>
  <c r="BT1333" i="1"/>
  <c r="BQ1333" i="1"/>
  <c r="BP1333" i="1"/>
  <c r="BL1333" i="1"/>
  <c r="BK1333" i="1"/>
  <c r="BJ1333" i="1"/>
  <c r="BI1333" i="1"/>
  <c r="BH1333" i="1"/>
  <c r="R1333" i="1" s="1"/>
  <c r="BU1333" i="1" s="1"/>
  <c r="BG1333" i="1"/>
  <c r="N1333" i="1"/>
  <c r="E1333" i="1"/>
  <c r="C1333" i="1"/>
  <c r="B1333" i="1"/>
  <c r="CG1326" i="1"/>
  <c r="CA1326" i="1"/>
  <c r="BY1326" i="1"/>
  <c r="BZ1326" i="1" s="1"/>
  <c r="BX1326" i="1"/>
  <c r="BT1326" i="1"/>
  <c r="BQ1326" i="1"/>
  <c r="BP1326" i="1"/>
  <c r="BL1326" i="1"/>
  <c r="BJ1326" i="1"/>
  <c r="BI1326" i="1"/>
  <c r="BH1326" i="1"/>
  <c r="R1326" i="1" s="1"/>
  <c r="BU1326" i="1" s="1"/>
  <c r="N1326" i="1"/>
  <c r="E1326" i="1"/>
  <c r="C1326" i="1"/>
  <c r="B1326" i="1"/>
  <c r="CG1271" i="1"/>
  <c r="CE1271" i="1"/>
  <c r="CA1271" i="1"/>
  <c r="BY1271" i="1"/>
  <c r="BZ1271" i="1" s="1"/>
  <c r="BX1271" i="1"/>
  <c r="BT1271" i="1"/>
  <c r="BQ1271" i="1"/>
  <c r="BP1271" i="1"/>
  <c r="BL1271" i="1"/>
  <c r="BK1271" i="1"/>
  <c r="BJ1271" i="1"/>
  <c r="BI1271" i="1"/>
  <c r="N1271" i="1"/>
  <c r="E1271" i="1"/>
  <c r="C1271" i="1"/>
  <c r="B1271" i="1"/>
  <c r="CG1239" i="1"/>
  <c r="CE1239" i="1"/>
  <c r="CD1239" i="1"/>
  <c r="CB1239" i="1"/>
  <c r="BY1239" i="1"/>
  <c r="BZ1239" i="1" s="1"/>
  <c r="BX1239" i="1"/>
  <c r="BT1239" i="1"/>
  <c r="BQ1239" i="1"/>
  <c r="BP1239" i="1"/>
  <c r="BL1239" i="1"/>
  <c r="BK1239" i="1"/>
  <c r="BJ1239" i="1"/>
  <c r="BI1239" i="1"/>
  <c r="BH1239" i="1"/>
  <c r="R1239" i="1" s="1"/>
  <c r="BU1239" i="1" s="1"/>
  <c r="BG1239" i="1"/>
  <c r="N1239" i="1"/>
  <c r="E1239" i="1"/>
  <c r="C1239" i="1"/>
  <c r="B1239" i="1"/>
  <c r="CG1203" i="1"/>
  <c r="CE1203" i="1"/>
  <c r="CA1203" i="1"/>
  <c r="BY1203" i="1"/>
  <c r="BZ1203" i="1" s="1"/>
  <c r="BT1203" i="1"/>
  <c r="BQ1203" i="1"/>
  <c r="BP1203" i="1"/>
  <c r="BM1203" i="1"/>
  <c r="BL1203" i="1"/>
  <c r="BK1203" i="1"/>
  <c r="BJ1203" i="1"/>
  <c r="BI1203" i="1"/>
  <c r="BH1203" i="1"/>
  <c r="R1203" i="1" s="1"/>
  <c r="BG1203" i="1"/>
  <c r="Q1203" i="1"/>
  <c r="BX1203" i="1" s="1"/>
  <c r="E1203" i="1"/>
  <c r="C1203" i="1"/>
  <c r="B1203" i="1"/>
  <c r="CG1202" i="1"/>
  <c r="CE1202" i="1"/>
  <c r="CB1202" i="1"/>
  <c r="BY1202" i="1"/>
  <c r="BZ1202" i="1" s="1"/>
  <c r="BX1202" i="1"/>
  <c r="BU1202" i="1"/>
  <c r="BT1202" i="1"/>
  <c r="BQ1202" i="1"/>
  <c r="BP1202" i="1"/>
  <c r="BM1202" i="1"/>
  <c r="BL1202" i="1"/>
  <c r="BK1202" i="1"/>
  <c r="BJ1202" i="1"/>
  <c r="BI1202" i="1"/>
  <c r="N1202" i="1"/>
  <c r="BR1202" i="1" s="1"/>
  <c r="CA1202" i="1" s="1"/>
  <c r="E1202" i="1"/>
  <c r="C1202" i="1"/>
  <c r="B1202" i="1"/>
  <c r="CG1200" i="1"/>
  <c r="CE1200" i="1"/>
  <c r="CA1200" i="1"/>
  <c r="BY1200" i="1"/>
  <c r="BZ1200" i="1" s="1"/>
  <c r="BT1200" i="1"/>
  <c r="BQ1200" i="1"/>
  <c r="BP1200" i="1"/>
  <c r="BL1200" i="1"/>
  <c r="BK1200" i="1"/>
  <c r="BJ1200" i="1"/>
  <c r="BI1200" i="1"/>
  <c r="R1200" i="1"/>
  <c r="Q1200" i="1"/>
  <c r="N1200" i="1"/>
  <c r="E1200" i="1"/>
  <c r="C1200" i="1"/>
  <c r="B1200" i="1"/>
  <c r="CG1180" i="1"/>
  <c r="CE1180" i="1"/>
  <c r="BY1180" i="1"/>
  <c r="BZ1180" i="1" s="1"/>
  <c r="BX1180" i="1"/>
  <c r="BT1180" i="1"/>
  <c r="BQ1180" i="1"/>
  <c r="BP1180" i="1"/>
  <c r="BL1180" i="1"/>
  <c r="BK1180" i="1"/>
  <c r="BJ1180" i="1"/>
  <c r="BI1180" i="1"/>
  <c r="BH1180" i="1"/>
  <c r="R1180" i="1" s="1"/>
  <c r="BU1180" i="1" s="1"/>
  <c r="BG1180" i="1"/>
  <c r="N1180" i="1"/>
  <c r="E1180" i="1"/>
  <c r="C1180" i="1"/>
  <c r="B1180" i="1"/>
  <c r="CG1054" i="1"/>
  <c r="CE1054" i="1"/>
  <c r="CA1054" i="1"/>
  <c r="BY1054" i="1"/>
  <c r="BZ1054" i="1" s="1"/>
  <c r="BX1054" i="1"/>
  <c r="BT1054" i="1"/>
  <c r="BQ1054" i="1"/>
  <c r="BP1054" i="1"/>
  <c r="BM1054" i="1"/>
  <c r="BL1054" i="1"/>
  <c r="BK1054" i="1"/>
  <c r="BJ1054" i="1"/>
  <c r="BI1054" i="1"/>
  <c r="BH1054" i="1"/>
  <c r="R1054" i="1" s="1"/>
  <c r="BU1054" i="1" s="1"/>
  <c r="E1054" i="1"/>
  <c r="C1054" i="1"/>
  <c r="B1054" i="1"/>
  <c r="CG1041" i="1"/>
  <c r="CE1041" i="1"/>
  <c r="BY1041" i="1"/>
  <c r="BZ1041" i="1" s="1"/>
  <c r="BX1041" i="1"/>
  <c r="BT1041" i="1"/>
  <c r="BS1041" i="1"/>
  <c r="CA1041" i="1" s="1"/>
  <c r="BQ1041" i="1"/>
  <c r="BP1041" i="1"/>
  <c r="BL1041" i="1"/>
  <c r="BK1041" i="1"/>
  <c r="BJ1041" i="1"/>
  <c r="BI1041" i="1"/>
  <c r="BH1041" i="1"/>
  <c r="R1041" i="1" s="1"/>
  <c r="BU1041" i="1" s="1"/>
  <c r="BG1041" i="1"/>
  <c r="N1041" i="1"/>
  <c r="E1041" i="1"/>
  <c r="C1041" i="1"/>
  <c r="B1041" i="1"/>
  <c r="CG941" i="1"/>
  <c r="CE941" i="1"/>
  <c r="BY941" i="1"/>
  <c r="BZ941" i="1" s="1"/>
  <c r="BX941" i="1"/>
  <c r="BT941" i="1"/>
  <c r="BQ941" i="1"/>
  <c r="BP941" i="1"/>
  <c r="BM941" i="1"/>
  <c r="BL941" i="1"/>
  <c r="BK941" i="1"/>
  <c r="BJ941" i="1"/>
  <c r="BI941" i="1"/>
  <c r="BH941" i="1"/>
  <c r="R941" i="1" s="1"/>
  <c r="BU941" i="1" s="1"/>
  <c r="BG941" i="1"/>
  <c r="N941" i="1"/>
  <c r="E941" i="1"/>
  <c r="C941" i="1"/>
  <c r="B941" i="1"/>
  <c r="CG839" i="1"/>
  <c r="CE839" i="1"/>
  <c r="CA839" i="1"/>
  <c r="BY839" i="1"/>
  <c r="BZ839" i="1" s="1"/>
  <c r="BT839" i="1"/>
  <c r="BQ839" i="1"/>
  <c r="BP839" i="1"/>
  <c r="BM839" i="1"/>
  <c r="BL839" i="1"/>
  <c r="BK839" i="1"/>
  <c r="BJ839" i="1"/>
  <c r="BI839" i="1"/>
  <c r="BH839" i="1"/>
  <c r="R839" i="1" s="1"/>
  <c r="BG839" i="1"/>
  <c r="Q839" i="1" s="1"/>
  <c r="BX839" i="1" s="1"/>
  <c r="N839" i="1"/>
  <c r="E839" i="1"/>
  <c r="C839" i="1"/>
  <c r="B839" i="1"/>
  <c r="CG781" i="1"/>
  <c r="CE781" i="1"/>
  <c r="CD781" i="1"/>
  <c r="CC781" i="1"/>
  <c r="CB781" i="1"/>
  <c r="CA781" i="1"/>
  <c r="BY781" i="1"/>
  <c r="BV781" i="1"/>
  <c r="BT781" i="1"/>
  <c r="BP781" i="1"/>
  <c r="BM781" i="1"/>
  <c r="BL781" i="1"/>
  <c r="BK781" i="1"/>
  <c r="BJ781" i="1"/>
  <c r="BI781" i="1"/>
  <c r="BH781" i="1"/>
  <c r="R781" i="1" s="1"/>
  <c r="BG781" i="1"/>
  <c r="BF781" i="1"/>
  <c r="E781" i="1"/>
  <c r="C781" i="1"/>
  <c r="B781" i="1"/>
  <c r="CG613" i="1"/>
  <c r="CE613" i="1"/>
  <c r="CA613" i="1"/>
  <c r="BY613" i="1"/>
  <c r="BZ613" i="1" s="1"/>
  <c r="BX613" i="1"/>
  <c r="BT613" i="1"/>
  <c r="BQ613" i="1"/>
  <c r="BP613" i="1"/>
  <c r="BL613" i="1"/>
  <c r="BK613" i="1"/>
  <c r="BJ613" i="1"/>
  <c r="BI613" i="1"/>
  <c r="BH613" i="1"/>
  <c r="R613" i="1" s="1"/>
  <c r="BU613" i="1" s="1"/>
  <c r="N613" i="1"/>
  <c r="E613" i="1"/>
  <c r="C613" i="1"/>
  <c r="B613" i="1"/>
  <c r="CG610" i="1"/>
  <c r="CE610" i="1"/>
  <c r="BY610" i="1"/>
  <c r="BZ610" i="1" s="1"/>
  <c r="BT610" i="1"/>
  <c r="BS610" i="1"/>
  <c r="CA610" i="1" s="1"/>
  <c r="BQ610" i="1"/>
  <c r="BP610" i="1"/>
  <c r="BM610" i="1"/>
  <c r="BL610" i="1"/>
  <c r="BK610" i="1"/>
  <c r="BJ610" i="1"/>
  <c r="BI610" i="1"/>
  <c r="BH610" i="1"/>
  <c r="R610" i="1" s="1"/>
  <c r="Q610" i="1"/>
  <c r="E610" i="1"/>
  <c r="C610" i="1"/>
  <c r="B610" i="1"/>
  <c r="CG514" i="1"/>
  <c r="CE514" i="1"/>
  <c r="BY514" i="1"/>
  <c r="BZ514" i="1" s="1"/>
  <c r="BT514" i="1"/>
  <c r="BQ514" i="1"/>
  <c r="BM514" i="1"/>
  <c r="BL514" i="1"/>
  <c r="BK514" i="1"/>
  <c r="BJ514" i="1"/>
  <c r="BI514" i="1"/>
  <c r="BH514" i="1"/>
  <c r="R514" i="1" s="1"/>
  <c r="BG514" i="1"/>
  <c r="BR514" i="1" s="1"/>
  <c r="CA514" i="1" s="1"/>
  <c r="Q514" i="1"/>
  <c r="BX514" i="1" s="1"/>
  <c r="N514" i="1"/>
  <c r="E514" i="1"/>
  <c r="C514" i="1"/>
  <c r="B514" i="1"/>
  <c r="CG478" i="1"/>
  <c r="CE478" i="1"/>
  <c r="CB478" i="1"/>
  <c r="BY478" i="1"/>
  <c r="BZ478" i="1" s="1"/>
  <c r="BX478" i="1"/>
  <c r="BT478" i="1"/>
  <c r="BQ478" i="1"/>
  <c r="BP478" i="1"/>
  <c r="BL478" i="1"/>
  <c r="BK478" i="1"/>
  <c r="BJ478" i="1"/>
  <c r="BI478" i="1"/>
  <c r="BH478" i="1"/>
  <c r="R478" i="1" s="1"/>
  <c r="BU478" i="1" s="1"/>
  <c r="BG478" i="1"/>
  <c r="N478" i="1"/>
  <c r="E478" i="1"/>
  <c r="C478" i="1"/>
  <c r="B478" i="1"/>
  <c r="CG464" i="1"/>
  <c r="CE464" i="1"/>
  <c r="CB464" i="1"/>
  <c r="CA464" i="1"/>
  <c r="BY464" i="1"/>
  <c r="BZ464" i="1" s="1"/>
  <c r="BX464" i="1"/>
  <c r="BT464" i="1"/>
  <c r="BQ464" i="1"/>
  <c r="BP464" i="1"/>
  <c r="BM464" i="1"/>
  <c r="BL464" i="1"/>
  <c r="BK464" i="1"/>
  <c r="BJ464" i="1"/>
  <c r="BI464" i="1"/>
  <c r="BH464" i="1"/>
  <c r="R464" i="1" s="1"/>
  <c r="BU464" i="1" s="1"/>
  <c r="BG464" i="1"/>
  <c r="E464" i="1"/>
  <c r="C464" i="1"/>
  <c r="B464" i="1"/>
  <c r="CG340" i="1"/>
  <c r="CE340" i="1"/>
  <c r="CA340" i="1"/>
  <c r="BY340" i="1"/>
  <c r="BZ340" i="1" s="1"/>
  <c r="BT340" i="1"/>
  <c r="BQ340" i="1"/>
  <c r="BP340" i="1"/>
  <c r="BM340" i="1"/>
  <c r="BL340" i="1"/>
  <c r="BK340" i="1"/>
  <c r="BJ340" i="1"/>
  <c r="BI340" i="1"/>
  <c r="BH340" i="1"/>
  <c r="R340" i="1" s="1"/>
  <c r="BG340" i="1"/>
  <c r="Q340" i="1"/>
  <c r="BX340" i="1" s="1"/>
  <c r="N340" i="1"/>
  <c r="E340" i="1"/>
  <c r="C340" i="1"/>
  <c r="B340" i="1"/>
  <c r="CG263" i="1"/>
  <c r="CE263" i="1"/>
  <c r="CB263" i="1"/>
  <c r="CA263" i="1"/>
  <c r="BY263" i="1"/>
  <c r="BZ263" i="1" s="1"/>
  <c r="BT263" i="1"/>
  <c r="BQ263" i="1"/>
  <c r="BP263" i="1"/>
  <c r="BM263" i="1"/>
  <c r="BL263" i="1"/>
  <c r="BK263" i="1"/>
  <c r="BJ263" i="1"/>
  <c r="BI263" i="1"/>
  <c r="BH263" i="1"/>
  <c r="R263" i="1" s="1"/>
  <c r="BG263" i="1"/>
  <c r="Q263" i="1"/>
  <c r="BX263" i="1" s="1"/>
  <c r="E263" i="1"/>
  <c r="C263" i="1"/>
  <c r="B263" i="1"/>
  <c r="CG230" i="1"/>
  <c r="CF230" i="1"/>
  <c r="CE230" i="1"/>
  <c r="CB230" i="1"/>
  <c r="BY230" i="1"/>
  <c r="BZ230" i="1" s="1"/>
  <c r="BX230" i="1"/>
  <c r="BT230" i="1"/>
  <c r="BS230" i="1"/>
  <c r="CA230" i="1" s="1"/>
  <c r="BQ230" i="1"/>
  <c r="BP230" i="1"/>
  <c r="BM230" i="1"/>
  <c r="BL230" i="1"/>
  <c r="BK230" i="1"/>
  <c r="BJ230" i="1"/>
  <c r="BI230" i="1"/>
  <c r="BH230" i="1"/>
  <c r="R230" i="1" s="1"/>
  <c r="BU230" i="1" s="1"/>
  <c r="BG230" i="1"/>
  <c r="E230" i="1"/>
  <c r="C230" i="1"/>
  <c r="B230" i="1"/>
  <c r="CG207" i="1"/>
  <c r="CF207" i="1"/>
  <c r="CE207" i="1"/>
  <c r="CB207" i="1"/>
  <c r="BY207" i="1"/>
  <c r="BZ207" i="1" s="1"/>
  <c r="BX207" i="1"/>
  <c r="BT207" i="1"/>
  <c r="BS207" i="1"/>
  <c r="BQ207" i="1"/>
  <c r="BP207" i="1"/>
  <c r="BL207" i="1"/>
  <c r="BK207" i="1"/>
  <c r="BJ207" i="1"/>
  <c r="BI207" i="1"/>
  <c r="BH207" i="1"/>
  <c r="R207" i="1" s="1"/>
  <c r="BU207" i="1" s="1"/>
  <c r="BG207" i="1"/>
  <c r="N207" i="1"/>
  <c r="E207" i="1"/>
  <c r="C207" i="1"/>
  <c r="B207" i="1"/>
  <c r="CG137" i="1"/>
  <c r="CF137" i="1"/>
  <c r="CE137" i="1"/>
  <c r="CD137" i="1"/>
  <c r="CC137" i="1"/>
  <c r="CB137" i="1"/>
  <c r="BY137" i="1"/>
  <c r="BV137" i="1"/>
  <c r="BT137" i="1"/>
  <c r="BP137" i="1"/>
  <c r="BM137" i="1"/>
  <c r="BL137" i="1"/>
  <c r="BK137" i="1"/>
  <c r="BJ137" i="1"/>
  <c r="BI137" i="1"/>
  <c r="BH137" i="1"/>
  <c r="R137" i="1" s="1"/>
  <c r="BG137" i="1"/>
  <c r="BR137" i="1" s="1"/>
  <c r="CA137" i="1" s="1"/>
  <c r="BF137" i="1"/>
  <c r="N137" i="1"/>
  <c r="E137" i="1"/>
  <c r="C137" i="1"/>
  <c r="B137" i="1"/>
  <c r="CG115" i="1"/>
  <c r="CF115" i="1"/>
  <c r="CE115" i="1"/>
  <c r="CA115" i="1"/>
  <c r="BY115" i="1"/>
  <c r="BZ115" i="1" s="1"/>
  <c r="BX115" i="1"/>
  <c r="BT115" i="1"/>
  <c r="BQ115" i="1"/>
  <c r="BP115" i="1"/>
  <c r="BL115" i="1"/>
  <c r="BK115" i="1"/>
  <c r="BJ115" i="1"/>
  <c r="BI115" i="1"/>
  <c r="BH115" i="1"/>
  <c r="R115" i="1" s="1"/>
  <c r="BU115" i="1" s="1"/>
  <c r="N115" i="1"/>
  <c r="E115" i="1"/>
  <c r="C115" i="1"/>
  <c r="B115" i="1"/>
  <c r="CG26" i="1"/>
  <c r="CF26" i="1"/>
  <c r="CE26" i="1"/>
  <c r="CB26" i="1"/>
  <c r="BY26" i="1"/>
  <c r="BZ26" i="1" s="1"/>
  <c r="BX26" i="1"/>
  <c r="BT26" i="1"/>
  <c r="BS26" i="1"/>
  <c r="BQ26" i="1"/>
  <c r="BP26" i="1"/>
  <c r="BM26" i="1"/>
  <c r="BL26" i="1"/>
  <c r="BK26" i="1"/>
  <c r="BJ26" i="1"/>
  <c r="BI26" i="1"/>
  <c r="BH26" i="1"/>
  <c r="R26" i="1" s="1"/>
  <c r="BU26" i="1" s="1"/>
  <c r="BG26" i="1"/>
  <c r="N26" i="1"/>
  <c r="E26" i="1"/>
  <c r="C26" i="1"/>
  <c r="B26" i="1"/>
  <c r="B208" i="1"/>
  <c r="C208" i="1"/>
  <c r="E208" i="1"/>
  <c r="N208" i="1"/>
  <c r="BF208" i="1"/>
  <c r="BG208" i="1"/>
  <c r="BH208" i="1"/>
  <c r="R208" i="1" s="1"/>
  <c r="BI208" i="1"/>
  <c r="BJ208" i="1"/>
  <c r="BK208" i="1"/>
  <c r="BL208" i="1"/>
  <c r="BM208" i="1"/>
  <c r="BP208" i="1"/>
  <c r="BS208" i="1"/>
  <c r="BT208" i="1"/>
  <c r="BV208" i="1"/>
  <c r="BY208" i="1"/>
  <c r="CB208" i="1"/>
  <c r="CC208" i="1"/>
  <c r="CD208" i="1"/>
  <c r="CE208" i="1"/>
  <c r="CF208" i="1"/>
  <c r="CG208" i="1"/>
  <c r="B209" i="1"/>
  <c r="C209" i="1"/>
  <c r="E209" i="1"/>
  <c r="N209" i="1"/>
  <c r="BF209" i="1"/>
  <c r="BG209" i="1"/>
  <c r="BH209" i="1"/>
  <c r="R209" i="1" s="1"/>
  <c r="BI209" i="1"/>
  <c r="BJ209" i="1"/>
  <c r="BK209" i="1"/>
  <c r="BL209" i="1"/>
  <c r="BM209" i="1"/>
  <c r="BP209" i="1"/>
  <c r="BS209" i="1"/>
  <c r="BT209" i="1"/>
  <c r="BV209" i="1"/>
  <c r="BY209" i="1"/>
  <c r="CB209" i="1"/>
  <c r="CC209" i="1"/>
  <c r="CD209" i="1"/>
  <c r="CE209" i="1"/>
  <c r="CF209" i="1"/>
  <c r="CG209" i="1"/>
  <c r="B210" i="1"/>
  <c r="C210" i="1"/>
  <c r="E210" i="1"/>
  <c r="BF210" i="1"/>
  <c r="BG210" i="1"/>
  <c r="BR210" i="1" s="1"/>
  <c r="BH210" i="1"/>
  <c r="R210" i="1" s="1"/>
  <c r="BI210" i="1"/>
  <c r="BJ210" i="1"/>
  <c r="BK210" i="1"/>
  <c r="BL210" i="1"/>
  <c r="BM210" i="1"/>
  <c r="BP210" i="1"/>
  <c r="BS210" i="1"/>
  <c r="BT210" i="1"/>
  <c r="BV210" i="1"/>
  <c r="BY210" i="1"/>
  <c r="CB210" i="1"/>
  <c r="CC210" i="1"/>
  <c r="CD210" i="1"/>
  <c r="CE210" i="1"/>
  <c r="CF210" i="1"/>
  <c r="CG210" i="1"/>
  <c r="B211" i="1"/>
  <c r="C211" i="1"/>
  <c r="E211" i="1"/>
  <c r="N211" i="1"/>
  <c r="BF211" i="1"/>
  <c r="BG211" i="1"/>
  <c r="BH211" i="1"/>
  <c r="R211" i="1" s="1"/>
  <c r="BI211" i="1"/>
  <c r="BJ211" i="1"/>
  <c r="BK211" i="1"/>
  <c r="BL211" i="1"/>
  <c r="BM211" i="1"/>
  <c r="BP211" i="1"/>
  <c r="BS211" i="1"/>
  <c r="BT211" i="1"/>
  <c r="BV211" i="1"/>
  <c r="BY211" i="1"/>
  <c r="CB211" i="1"/>
  <c r="CC211" i="1"/>
  <c r="CD211" i="1"/>
  <c r="CE211" i="1"/>
  <c r="CF211" i="1"/>
  <c r="CG211" i="1"/>
  <c r="B212" i="1"/>
  <c r="C212" i="1"/>
  <c r="E212" i="1"/>
  <c r="N212" i="1"/>
  <c r="BF212" i="1"/>
  <c r="BG212" i="1"/>
  <c r="BH212" i="1"/>
  <c r="R212" i="1" s="1"/>
  <c r="BI212" i="1"/>
  <c r="BJ212" i="1"/>
  <c r="BK212" i="1"/>
  <c r="BL212" i="1"/>
  <c r="BM212" i="1"/>
  <c r="BP212" i="1"/>
  <c r="BS212" i="1"/>
  <c r="BT212" i="1"/>
  <c r="BV212" i="1"/>
  <c r="BY212" i="1"/>
  <c r="CB212" i="1"/>
  <c r="CC212" i="1"/>
  <c r="CD212" i="1"/>
  <c r="CE212" i="1"/>
  <c r="CF212" i="1"/>
  <c r="CG212" i="1"/>
  <c r="B213" i="1"/>
  <c r="C213" i="1"/>
  <c r="E213" i="1"/>
  <c r="N213" i="1"/>
  <c r="Q213" i="1"/>
  <c r="BX213" i="1" s="1"/>
  <c r="BH213" i="1"/>
  <c r="R213" i="1" s="1"/>
  <c r="BI213" i="1"/>
  <c r="BJ213" i="1"/>
  <c r="BK213" i="1"/>
  <c r="BL213" i="1"/>
  <c r="BP213" i="1"/>
  <c r="BQ213" i="1"/>
  <c r="BS213" i="1"/>
  <c r="CA213" i="1" s="1"/>
  <c r="BT213" i="1"/>
  <c r="BY213" i="1"/>
  <c r="BZ213" i="1" s="1"/>
  <c r="CD213" i="1"/>
  <c r="CE213" i="1"/>
  <c r="CF213" i="1"/>
  <c r="CG213" i="1"/>
  <c r="B214" i="1"/>
  <c r="C214" i="1"/>
  <c r="E214" i="1"/>
  <c r="N214" i="1"/>
  <c r="BF214" i="1"/>
  <c r="BG214" i="1"/>
  <c r="BH214" i="1"/>
  <c r="R214" i="1" s="1"/>
  <c r="BI214" i="1"/>
  <c r="BJ214" i="1"/>
  <c r="BK214" i="1"/>
  <c r="BL214" i="1"/>
  <c r="BP214" i="1"/>
  <c r="BR214" i="1"/>
  <c r="BS214" i="1"/>
  <c r="BT214" i="1"/>
  <c r="BV214" i="1"/>
  <c r="BY214" i="1"/>
  <c r="CB214" i="1"/>
  <c r="CC214" i="1"/>
  <c r="CE214" i="1"/>
  <c r="CF214" i="1"/>
  <c r="CG214" i="1"/>
  <c r="B215" i="1"/>
  <c r="C215" i="1"/>
  <c r="E215" i="1"/>
  <c r="BF215" i="1"/>
  <c r="BG215" i="1"/>
  <c r="BR215" i="1" s="1"/>
  <c r="BH215" i="1"/>
  <c r="R215" i="1" s="1"/>
  <c r="BI215" i="1"/>
  <c r="BJ215" i="1"/>
  <c r="BK215" i="1"/>
  <c r="BL215" i="1"/>
  <c r="BM215" i="1"/>
  <c r="BP215" i="1"/>
  <c r="BS215" i="1"/>
  <c r="BT215" i="1"/>
  <c r="BV215" i="1"/>
  <c r="BY215" i="1"/>
  <c r="CB215" i="1"/>
  <c r="CC215" i="1"/>
  <c r="CD215" i="1"/>
  <c r="CE215" i="1"/>
  <c r="CF215" i="1"/>
  <c r="CG215" i="1"/>
  <c r="B216" i="1"/>
  <c r="C216" i="1"/>
  <c r="E216" i="1"/>
  <c r="N216" i="1"/>
  <c r="BF216" i="1"/>
  <c r="CI216" i="1" s="1"/>
  <c r="CJ216" i="1" s="1"/>
  <c r="BG216" i="1"/>
  <c r="BH216" i="1"/>
  <c r="R216" i="1" s="1"/>
  <c r="BI216" i="1"/>
  <c r="BJ216" i="1"/>
  <c r="BK216" i="1"/>
  <c r="BL216" i="1"/>
  <c r="BM216" i="1"/>
  <c r="BP216" i="1"/>
  <c r="BS216" i="1"/>
  <c r="BT216" i="1"/>
  <c r="BV216" i="1"/>
  <c r="BY216" i="1"/>
  <c r="CB216" i="1"/>
  <c r="CC216" i="1"/>
  <c r="CD216" i="1"/>
  <c r="CE216" i="1"/>
  <c r="CF216" i="1"/>
  <c r="CG216" i="1"/>
  <c r="B217" i="1"/>
  <c r="C217" i="1"/>
  <c r="E217" i="1"/>
  <c r="N217" i="1"/>
  <c r="BF217" i="1"/>
  <c r="CI217" i="1" s="1"/>
  <c r="CJ217" i="1" s="1"/>
  <c r="BG217" i="1"/>
  <c r="BH217" i="1"/>
  <c r="R217" i="1" s="1"/>
  <c r="BI217" i="1"/>
  <c r="BJ217" i="1"/>
  <c r="BK217" i="1"/>
  <c r="BL217" i="1"/>
  <c r="BM217" i="1"/>
  <c r="BP217" i="1"/>
  <c r="BS217" i="1"/>
  <c r="BT217" i="1"/>
  <c r="BV217" i="1"/>
  <c r="BY217" i="1"/>
  <c r="CB217" i="1"/>
  <c r="CC217" i="1"/>
  <c r="CD217" i="1"/>
  <c r="CE217" i="1"/>
  <c r="CF217" i="1"/>
  <c r="CG217" i="1"/>
  <c r="B218" i="1"/>
  <c r="C218" i="1"/>
  <c r="E218" i="1"/>
  <c r="BF218" i="1"/>
  <c r="CI218" i="1" s="1"/>
  <c r="CJ218" i="1" s="1"/>
  <c r="BG218" i="1"/>
  <c r="BR218" i="1" s="1"/>
  <c r="BH218" i="1"/>
  <c r="R218" i="1" s="1"/>
  <c r="BI218" i="1"/>
  <c r="BJ218" i="1"/>
  <c r="BK218" i="1"/>
  <c r="BL218" i="1"/>
  <c r="BM218" i="1"/>
  <c r="BP218" i="1"/>
  <c r="BS218" i="1"/>
  <c r="BT218" i="1"/>
  <c r="BV218" i="1"/>
  <c r="BY218" i="1"/>
  <c r="CB218" i="1"/>
  <c r="CC218" i="1"/>
  <c r="CD218" i="1"/>
  <c r="CE218" i="1"/>
  <c r="CF218" i="1"/>
  <c r="CG218" i="1"/>
  <c r="B219" i="1"/>
  <c r="C219" i="1"/>
  <c r="E219" i="1"/>
  <c r="N219" i="1"/>
  <c r="BF219" i="1"/>
  <c r="BG219" i="1"/>
  <c r="BH219" i="1"/>
  <c r="R219" i="1" s="1"/>
  <c r="BI219" i="1"/>
  <c r="BJ219" i="1"/>
  <c r="BK219" i="1"/>
  <c r="BL219" i="1"/>
  <c r="BP219" i="1"/>
  <c r="BS219" i="1"/>
  <c r="BT219" i="1"/>
  <c r="BV219" i="1"/>
  <c r="BY219" i="1"/>
  <c r="CB219" i="1"/>
  <c r="CC219" i="1"/>
  <c r="CE219" i="1"/>
  <c r="CF219" i="1"/>
  <c r="CG219" i="1"/>
  <c r="B220" i="1"/>
  <c r="C220" i="1"/>
  <c r="E220" i="1"/>
  <c r="J220" i="1"/>
  <c r="BJ220" i="1" s="1"/>
  <c r="BG220" i="1"/>
  <c r="BH220" i="1"/>
  <c r="R220" i="1" s="1"/>
  <c r="BI220" i="1"/>
  <c r="BL220" i="1"/>
  <c r="BM220" i="1"/>
  <c r="BP220" i="1"/>
  <c r="BS220" i="1"/>
  <c r="BT220" i="1"/>
  <c r="CB220" i="1"/>
  <c r="CC220" i="1"/>
  <c r="CG220" i="1"/>
  <c r="B221" i="1"/>
  <c r="C221" i="1"/>
  <c r="E221" i="1"/>
  <c r="N221" i="1"/>
  <c r="BF221" i="1"/>
  <c r="CI221" i="1" s="1"/>
  <c r="CJ221" i="1" s="1"/>
  <c r="BG221" i="1"/>
  <c r="BH221" i="1"/>
  <c r="R221" i="1" s="1"/>
  <c r="BI221" i="1"/>
  <c r="BJ221" i="1"/>
  <c r="BK221" i="1"/>
  <c r="BL221" i="1"/>
  <c r="BM221" i="1"/>
  <c r="BP221" i="1"/>
  <c r="BS221" i="1"/>
  <c r="BT221" i="1"/>
  <c r="BV221" i="1"/>
  <c r="BY221" i="1"/>
  <c r="CB221" i="1"/>
  <c r="CC221" i="1"/>
  <c r="CD221" i="1"/>
  <c r="CE221" i="1"/>
  <c r="CF221" i="1"/>
  <c r="CG221" i="1"/>
  <c r="B222" i="1"/>
  <c r="C222" i="1"/>
  <c r="E222" i="1"/>
  <c r="N222" i="1"/>
  <c r="BF222" i="1"/>
  <c r="BG222" i="1"/>
  <c r="BH222" i="1"/>
  <c r="R222" i="1" s="1"/>
  <c r="BI222" i="1"/>
  <c r="BJ222" i="1"/>
  <c r="BK222" i="1"/>
  <c r="BL222" i="1"/>
  <c r="BM222" i="1"/>
  <c r="BP222" i="1"/>
  <c r="BS222" i="1"/>
  <c r="BT222" i="1"/>
  <c r="BV222" i="1"/>
  <c r="BY222" i="1"/>
  <c r="CB222" i="1"/>
  <c r="CC222" i="1"/>
  <c r="CD222" i="1"/>
  <c r="CE222" i="1"/>
  <c r="CF222" i="1"/>
  <c r="CG222" i="1"/>
  <c r="B223" i="1"/>
  <c r="C223" i="1"/>
  <c r="E223" i="1"/>
  <c r="N223" i="1"/>
  <c r="BF223" i="1"/>
  <c r="BG223" i="1"/>
  <c r="BH223" i="1"/>
  <c r="R223" i="1" s="1"/>
  <c r="BI223" i="1"/>
  <c r="BJ223" i="1"/>
  <c r="BK223" i="1"/>
  <c r="BL223" i="1"/>
  <c r="BM223" i="1"/>
  <c r="BP223" i="1"/>
  <c r="BS223" i="1"/>
  <c r="BT223" i="1"/>
  <c r="BV223" i="1"/>
  <c r="BY223" i="1"/>
  <c r="CB223" i="1"/>
  <c r="CC223" i="1"/>
  <c r="CD223" i="1"/>
  <c r="CE223" i="1"/>
  <c r="CF223" i="1"/>
  <c r="CG223" i="1"/>
  <c r="B224" i="1"/>
  <c r="C224" i="1"/>
  <c r="E224" i="1"/>
  <c r="N224" i="1"/>
  <c r="BF224" i="1"/>
  <c r="BG224" i="1"/>
  <c r="BH224" i="1"/>
  <c r="R224" i="1" s="1"/>
  <c r="BI224" i="1"/>
  <c r="BJ224" i="1"/>
  <c r="BK224" i="1"/>
  <c r="BL224" i="1"/>
  <c r="BM224" i="1"/>
  <c r="BP224" i="1"/>
  <c r="BS224" i="1"/>
  <c r="BT224" i="1"/>
  <c r="BV224" i="1"/>
  <c r="BY224" i="1"/>
  <c r="CB224" i="1"/>
  <c r="CC224" i="1"/>
  <c r="CD224" i="1"/>
  <c r="CE224" i="1"/>
  <c r="CF224" i="1"/>
  <c r="CG224" i="1"/>
  <c r="B225" i="1"/>
  <c r="C225" i="1"/>
  <c r="E225" i="1"/>
  <c r="N225" i="1"/>
  <c r="BF225" i="1"/>
  <c r="BG225" i="1"/>
  <c r="BH225" i="1"/>
  <c r="R225" i="1" s="1"/>
  <c r="BI225" i="1"/>
  <c r="BJ225" i="1"/>
  <c r="BK225" i="1"/>
  <c r="BL225" i="1"/>
  <c r="BM225" i="1"/>
  <c r="BP225" i="1"/>
  <c r="BS225" i="1"/>
  <c r="BT225" i="1"/>
  <c r="BV225" i="1"/>
  <c r="BY225" i="1"/>
  <c r="CB225" i="1"/>
  <c r="CC225" i="1"/>
  <c r="CD225" i="1"/>
  <c r="CE225" i="1"/>
  <c r="CF225" i="1"/>
  <c r="CG225" i="1"/>
  <c r="B226" i="1"/>
  <c r="C226" i="1"/>
  <c r="E226" i="1"/>
  <c r="BF226" i="1"/>
  <c r="BG226" i="1"/>
  <c r="BR226" i="1" s="1"/>
  <c r="BH226" i="1"/>
  <c r="R226" i="1" s="1"/>
  <c r="BI226" i="1"/>
  <c r="BJ226" i="1"/>
  <c r="BK226" i="1"/>
  <c r="BL226" i="1"/>
  <c r="BM226" i="1"/>
  <c r="BP226" i="1"/>
  <c r="BS226" i="1"/>
  <c r="BT226" i="1"/>
  <c r="BV226" i="1"/>
  <c r="BY226" i="1"/>
  <c r="CB226" i="1"/>
  <c r="CC226" i="1"/>
  <c r="CD226" i="1"/>
  <c r="CE226" i="1"/>
  <c r="CF226" i="1"/>
  <c r="CG226" i="1"/>
  <c r="B227" i="1"/>
  <c r="C227" i="1"/>
  <c r="E227" i="1"/>
  <c r="N227" i="1"/>
  <c r="BG227" i="1"/>
  <c r="BH227" i="1"/>
  <c r="R227" i="1" s="1"/>
  <c r="BU227" i="1" s="1"/>
  <c r="BI227" i="1"/>
  <c r="BJ227" i="1"/>
  <c r="BK227" i="1"/>
  <c r="BL227" i="1"/>
  <c r="BP227" i="1"/>
  <c r="BQ227" i="1"/>
  <c r="BR227" i="1"/>
  <c r="BS227" i="1"/>
  <c r="BT227" i="1"/>
  <c r="BV227" i="1"/>
  <c r="BX227" i="1"/>
  <c r="BY227" i="1"/>
  <c r="BZ227" i="1" s="1"/>
  <c r="CD227" i="1"/>
  <c r="CE227" i="1"/>
  <c r="CF227" i="1"/>
  <c r="CG227" i="1"/>
  <c r="B228" i="1"/>
  <c r="C228" i="1"/>
  <c r="E228" i="1"/>
  <c r="N228" i="1"/>
  <c r="BF228" i="1"/>
  <c r="CI228" i="1" s="1"/>
  <c r="CJ228" i="1" s="1"/>
  <c r="BG228" i="1"/>
  <c r="BH228" i="1"/>
  <c r="R228" i="1" s="1"/>
  <c r="BI228" i="1"/>
  <c r="BJ228" i="1"/>
  <c r="BK228" i="1"/>
  <c r="BL228" i="1"/>
  <c r="BM228" i="1"/>
  <c r="BP228" i="1"/>
  <c r="BS228" i="1"/>
  <c r="BT228" i="1"/>
  <c r="BV228" i="1"/>
  <c r="BY228" i="1"/>
  <c r="CB228" i="1"/>
  <c r="CC228" i="1"/>
  <c r="CD228" i="1"/>
  <c r="CE228" i="1"/>
  <c r="CF228" i="1"/>
  <c r="CG228" i="1"/>
  <c r="B229" i="1"/>
  <c r="C229" i="1"/>
  <c r="E229" i="1"/>
  <c r="N229" i="1"/>
  <c r="BF229" i="1"/>
  <c r="BG229" i="1"/>
  <c r="BH229" i="1"/>
  <c r="R229" i="1" s="1"/>
  <c r="BI229" i="1"/>
  <c r="BJ229" i="1"/>
  <c r="BK229" i="1"/>
  <c r="BL229" i="1"/>
  <c r="BM229" i="1"/>
  <c r="BP229" i="1"/>
  <c r="BS229" i="1"/>
  <c r="BT229" i="1"/>
  <c r="BV229" i="1"/>
  <c r="BY229" i="1"/>
  <c r="CB229" i="1"/>
  <c r="CC229" i="1"/>
  <c r="CD229" i="1"/>
  <c r="CE229" i="1"/>
  <c r="CF229" i="1"/>
  <c r="CG229" i="1"/>
  <c r="B231" i="1"/>
  <c r="C231" i="1"/>
  <c r="E231" i="1"/>
  <c r="N231" i="1"/>
  <c r="BF231" i="1"/>
  <c r="BG231" i="1"/>
  <c r="BH231" i="1"/>
  <c r="R231" i="1" s="1"/>
  <c r="BI231" i="1"/>
  <c r="BJ231" i="1"/>
  <c r="BK231" i="1"/>
  <c r="BL231" i="1"/>
  <c r="BM231" i="1"/>
  <c r="BP231" i="1"/>
  <c r="BS231" i="1"/>
  <c r="BT231" i="1"/>
  <c r="BV231" i="1"/>
  <c r="BY231" i="1"/>
  <c r="CB231" i="1"/>
  <c r="CC231" i="1"/>
  <c r="CD231" i="1"/>
  <c r="CE231" i="1"/>
  <c r="CF231" i="1"/>
  <c r="CG231" i="1"/>
  <c r="B232" i="1"/>
  <c r="C232" i="1"/>
  <c r="E232" i="1"/>
  <c r="N232" i="1"/>
  <c r="BF232" i="1"/>
  <c r="BG232" i="1"/>
  <c r="BH232" i="1"/>
  <c r="R232" i="1" s="1"/>
  <c r="BI232" i="1"/>
  <c r="BJ232" i="1"/>
  <c r="BK232" i="1"/>
  <c r="BL232" i="1"/>
  <c r="BP232" i="1"/>
  <c r="BR232" i="1"/>
  <c r="BS232" i="1"/>
  <c r="BT232" i="1"/>
  <c r="BV232" i="1"/>
  <c r="BY232" i="1"/>
  <c r="CB232" i="1"/>
  <c r="CC232" i="1"/>
  <c r="CE232" i="1"/>
  <c r="CF232" i="1"/>
  <c r="CG232" i="1"/>
  <c r="B233" i="1"/>
  <c r="C233" i="1"/>
  <c r="E233" i="1"/>
  <c r="N233" i="1"/>
  <c r="BF233" i="1"/>
  <c r="BG233" i="1"/>
  <c r="BH233" i="1"/>
  <c r="R233" i="1" s="1"/>
  <c r="BI233" i="1"/>
  <c r="BJ233" i="1"/>
  <c r="BK233" i="1"/>
  <c r="BL233" i="1"/>
  <c r="BM233" i="1"/>
  <c r="BP233" i="1"/>
  <c r="BS233" i="1"/>
  <c r="BT233" i="1"/>
  <c r="BV233" i="1"/>
  <c r="BY233" i="1"/>
  <c r="CB233" i="1"/>
  <c r="CC233" i="1"/>
  <c r="CD233" i="1"/>
  <c r="CE233" i="1"/>
  <c r="CF233" i="1"/>
  <c r="CG233" i="1"/>
  <c r="B234" i="1"/>
  <c r="C234" i="1"/>
  <c r="E234" i="1"/>
  <c r="N234" i="1"/>
  <c r="BF234" i="1"/>
  <c r="BG234" i="1"/>
  <c r="BH234" i="1"/>
  <c r="R234" i="1" s="1"/>
  <c r="BI234" i="1"/>
  <c r="BJ234" i="1"/>
  <c r="BK234" i="1"/>
  <c r="BL234" i="1"/>
  <c r="BM234" i="1"/>
  <c r="BP234" i="1"/>
  <c r="BS234" i="1"/>
  <c r="BT234" i="1"/>
  <c r="BV234" i="1"/>
  <c r="BY234" i="1"/>
  <c r="CB234" i="1"/>
  <c r="CC234" i="1"/>
  <c r="CD234" i="1"/>
  <c r="CE234" i="1"/>
  <c r="CF234" i="1"/>
  <c r="CG234" i="1"/>
  <c r="B235" i="1"/>
  <c r="C235" i="1"/>
  <c r="E235" i="1"/>
  <c r="N235" i="1"/>
  <c r="BF235" i="1"/>
  <c r="BG235" i="1"/>
  <c r="BH235" i="1"/>
  <c r="R235" i="1" s="1"/>
  <c r="BI235" i="1"/>
  <c r="BJ235" i="1"/>
  <c r="BK235" i="1"/>
  <c r="BL235" i="1"/>
  <c r="BM235" i="1"/>
  <c r="BP235" i="1"/>
  <c r="BS235" i="1"/>
  <c r="BT235" i="1"/>
  <c r="BV235" i="1"/>
  <c r="BY235" i="1"/>
  <c r="CB235" i="1"/>
  <c r="CC235" i="1"/>
  <c r="CD235" i="1"/>
  <c r="CE235" i="1"/>
  <c r="CF235" i="1"/>
  <c r="CG235" i="1"/>
  <c r="B236" i="1"/>
  <c r="C236" i="1"/>
  <c r="E236" i="1"/>
  <c r="N236" i="1"/>
  <c r="Q236" i="1"/>
  <c r="BX236" i="1" s="1"/>
  <c r="BG236" i="1"/>
  <c r="BH236" i="1"/>
  <c r="R236" i="1" s="1"/>
  <c r="BI236" i="1"/>
  <c r="BJ236" i="1"/>
  <c r="BK236" i="1"/>
  <c r="BL236" i="1"/>
  <c r="BP236" i="1"/>
  <c r="BQ236" i="1"/>
  <c r="BS236" i="1"/>
  <c r="BT236" i="1"/>
  <c r="BV236" i="1"/>
  <c r="BY236" i="1"/>
  <c r="BZ236" i="1" s="1"/>
  <c r="CB236" i="1"/>
  <c r="CD236" i="1"/>
  <c r="CE236" i="1"/>
  <c r="CF236" i="1"/>
  <c r="CG236" i="1"/>
  <c r="B237" i="1"/>
  <c r="C237" i="1"/>
  <c r="E237" i="1"/>
  <c r="N237" i="1"/>
  <c r="BF237" i="1"/>
  <c r="BG237" i="1"/>
  <c r="BH237" i="1"/>
  <c r="R237" i="1" s="1"/>
  <c r="BI237" i="1"/>
  <c r="BJ237" i="1"/>
  <c r="BK237" i="1"/>
  <c r="BL237" i="1"/>
  <c r="BM237" i="1"/>
  <c r="BP237" i="1"/>
  <c r="BS237" i="1"/>
  <c r="BT237" i="1"/>
  <c r="BV237" i="1"/>
  <c r="BY237" i="1"/>
  <c r="CB237" i="1"/>
  <c r="CC237" i="1"/>
  <c r="CD237" i="1"/>
  <c r="CE237" i="1"/>
  <c r="CF237" i="1"/>
  <c r="CG237" i="1"/>
  <c r="B238" i="1"/>
  <c r="C238" i="1"/>
  <c r="E238" i="1"/>
  <c r="BF238" i="1"/>
  <c r="BG238" i="1"/>
  <c r="BR238" i="1" s="1"/>
  <c r="BH238" i="1"/>
  <c r="R238" i="1" s="1"/>
  <c r="BI238" i="1"/>
  <c r="BJ238" i="1"/>
  <c r="BK238" i="1"/>
  <c r="BL238" i="1"/>
  <c r="BM238" i="1"/>
  <c r="BP238" i="1"/>
  <c r="BS238" i="1"/>
  <c r="BT238" i="1"/>
  <c r="BV238" i="1"/>
  <c r="BY238" i="1"/>
  <c r="CB238" i="1"/>
  <c r="CC238" i="1"/>
  <c r="CD238" i="1"/>
  <c r="CE238" i="1"/>
  <c r="CF238" i="1"/>
  <c r="CG238" i="1"/>
  <c r="B239" i="1"/>
  <c r="C239" i="1"/>
  <c r="E239" i="1"/>
  <c r="N239" i="1"/>
  <c r="BF239" i="1"/>
  <c r="BG239" i="1"/>
  <c r="BH239" i="1"/>
  <c r="R239" i="1" s="1"/>
  <c r="BI239" i="1"/>
  <c r="BJ239" i="1"/>
  <c r="BK239" i="1"/>
  <c r="BL239" i="1"/>
  <c r="BM239" i="1"/>
  <c r="BP239" i="1"/>
  <c r="BS239" i="1"/>
  <c r="BT239" i="1"/>
  <c r="BV239" i="1"/>
  <c r="BY239" i="1"/>
  <c r="CB239" i="1"/>
  <c r="CC239" i="1"/>
  <c r="CD239" i="1"/>
  <c r="CE239" i="1"/>
  <c r="CF239" i="1"/>
  <c r="CG239" i="1"/>
  <c r="B240" i="1"/>
  <c r="C240" i="1"/>
  <c r="E240" i="1"/>
  <c r="N240" i="1"/>
  <c r="BF240" i="1"/>
  <c r="BG240" i="1"/>
  <c r="BH240" i="1"/>
  <c r="R240" i="1" s="1"/>
  <c r="BI240" i="1"/>
  <c r="BJ240" i="1"/>
  <c r="BK240" i="1"/>
  <c r="BL240" i="1"/>
  <c r="BM240" i="1"/>
  <c r="BP240" i="1"/>
  <c r="BS240" i="1"/>
  <c r="BT240" i="1"/>
  <c r="BV240" i="1"/>
  <c r="BY240" i="1"/>
  <c r="CB240" i="1"/>
  <c r="CC240" i="1"/>
  <c r="CD240" i="1"/>
  <c r="CE240" i="1"/>
  <c r="CF240" i="1"/>
  <c r="CG240" i="1"/>
  <c r="B241" i="1"/>
  <c r="C241" i="1"/>
  <c r="E241" i="1"/>
  <c r="BF241" i="1"/>
  <c r="BG241" i="1"/>
  <c r="BR241" i="1" s="1"/>
  <c r="BH241" i="1"/>
  <c r="R241" i="1" s="1"/>
  <c r="BI241" i="1"/>
  <c r="BJ241" i="1"/>
  <c r="BK241" i="1"/>
  <c r="BL241" i="1"/>
  <c r="BM241" i="1"/>
  <c r="BP241" i="1"/>
  <c r="BS241" i="1"/>
  <c r="BT241" i="1"/>
  <c r="BV241" i="1"/>
  <c r="BY241" i="1"/>
  <c r="CB241" i="1"/>
  <c r="CC241" i="1"/>
  <c r="CD241" i="1"/>
  <c r="CE241" i="1"/>
  <c r="CF241" i="1"/>
  <c r="CG241" i="1"/>
  <c r="B242" i="1"/>
  <c r="C242" i="1"/>
  <c r="E242" i="1"/>
  <c r="N242" i="1"/>
  <c r="BF242" i="1"/>
  <c r="CI242" i="1" s="1"/>
  <c r="CJ242" i="1" s="1"/>
  <c r="BG242" i="1"/>
  <c r="BH242" i="1"/>
  <c r="R242" i="1" s="1"/>
  <c r="BI242" i="1"/>
  <c r="BJ242" i="1"/>
  <c r="BK242" i="1"/>
  <c r="BL242" i="1"/>
  <c r="BM242" i="1"/>
  <c r="BP242" i="1"/>
  <c r="BS242" i="1"/>
  <c r="BT242" i="1"/>
  <c r="BV242" i="1"/>
  <c r="BY242" i="1"/>
  <c r="CB242" i="1"/>
  <c r="CC242" i="1"/>
  <c r="CD242" i="1"/>
  <c r="CE242" i="1"/>
  <c r="CF242" i="1"/>
  <c r="CG242" i="1"/>
  <c r="B243" i="1"/>
  <c r="C243" i="1"/>
  <c r="E243" i="1"/>
  <c r="BF243" i="1"/>
  <c r="BG243" i="1"/>
  <c r="BR243" i="1" s="1"/>
  <c r="BH243" i="1"/>
  <c r="R243" i="1" s="1"/>
  <c r="BI243" i="1"/>
  <c r="BJ243" i="1"/>
  <c r="BK243" i="1"/>
  <c r="BL243" i="1"/>
  <c r="BM243" i="1"/>
  <c r="BP243" i="1"/>
  <c r="BS243" i="1"/>
  <c r="BT243" i="1"/>
  <c r="BV243" i="1"/>
  <c r="BY243" i="1"/>
  <c r="CB243" i="1"/>
  <c r="CC243" i="1"/>
  <c r="CD243" i="1"/>
  <c r="CE243" i="1"/>
  <c r="CF243" i="1"/>
  <c r="CG243" i="1"/>
  <c r="B244" i="1"/>
  <c r="C244" i="1"/>
  <c r="E244" i="1"/>
  <c r="BF244" i="1"/>
  <c r="BG244" i="1"/>
  <c r="BR244" i="1" s="1"/>
  <c r="BH244" i="1"/>
  <c r="R244" i="1" s="1"/>
  <c r="BI244" i="1"/>
  <c r="BJ244" i="1"/>
  <c r="BK244" i="1"/>
  <c r="BL244" i="1"/>
  <c r="BM244" i="1"/>
  <c r="BP244" i="1"/>
  <c r="BS244" i="1"/>
  <c r="BT244" i="1"/>
  <c r="BV244" i="1"/>
  <c r="BY244" i="1"/>
  <c r="CB244" i="1"/>
  <c r="CC244" i="1"/>
  <c r="CD244" i="1"/>
  <c r="CE244" i="1"/>
  <c r="CF244" i="1"/>
  <c r="CG244" i="1"/>
  <c r="B245" i="1"/>
  <c r="C245" i="1"/>
  <c r="E245" i="1"/>
  <c r="N245" i="1"/>
  <c r="BF245" i="1"/>
  <c r="BG245" i="1"/>
  <c r="BH245" i="1"/>
  <c r="R245" i="1" s="1"/>
  <c r="BI245" i="1"/>
  <c r="BJ245" i="1"/>
  <c r="BK245" i="1"/>
  <c r="BL245" i="1"/>
  <c r="BM245" i="1"/>
  <c r="BP245" i="1"/>
  <c r="BS245" i="1"/>
  <c r="BT245" i="1"/>
  <c r="BV245" i="1"/>
  <c r="BY245" i="1"/>
  <c r="CB245" i="1"/>
  <c r="CC245" i="1"/>
  <c r="CD245" i="1"/>
  <c r="CE245" i="1"/>
  <c r="CF245" i="1"/>
  <c r="CG245" i="1"/>
  <c r="B246" i="1"/>
  <c r="C246" i="1"/>
  <c r="E246" i="1"/>
  <c r="BF246" i="1"/>
  <c r="CI246" i="1" s="1"/>
  <c r="CJ246" i="1" s="1"/>
  <c r="BG246" i="1"/>
  <c r="BR246" i="1" s="1"/>
  <c r="BH246" i="1"/>
  <c r="R246" i="1" s="1"/>
  <c r="BI246" i="1"/>
  <c r="BJ246" i="1"/>
  <c r="BK246" i="1"/>
  <c r="BL246" i="1"/>
  <c r="BM246" i="1"/>
  <c r="BP246" i="1"/>
  <c r="BS246" i="1"/>
  <c r="BT246" i="1"/>
  <c r="BV246" i="1"/>
  <c r="BY246" i="1"/>
  <c r="CB246" i="1"/>
  <c r="CC246" i="1"/>
  <c r="CD246" i="1"/>
  <c r="CE246" i="1"/>
  <c r="CF246" i="1"/>
  <c r="CG246" i="1"/>
  <c r="B247" i="1"/>
  <c r="C247" i="1"/>
  <c r="E247" i="1"/>
  <c r="N247" i="1"/>
  <c r="BF247" i="1"/>
  <c r="BG247" i="1"/>
  <c r="BH247" i="1"/>
  <c r="R247" i="1" s="1"/>
  <c r="BI247" i="1"/>
  <c r="BJ247" i="1"/>
  <c r="BK247" i="1"/>
  <c r="BL247" i="1"/>
  <c r="BP247" i="1"/>
  <c r="BS247" i="1"/>
  <c r="BT247" i="1"/>
  <c r="BV247" i="1"/>
  <c r="BY247" i="1"/>
  <c r="CB247" i="1"/>
  <c r="CC247" i="1"/>
  <c r="CE247" i="1"/>
  <c r="CF247" i="1"/>
  <c r="CG247" i="1"/>
  <c r="B248" i="1"/>
  <c r="C248" i="1"/>
  <c r="E248" i="1"/>
  <c r="N248" i="1"/>
  <c r="BG248" i="1"/>
  <c r="BH248" i="1"/>
  <c r="R248" i="1" s="1"/>
  <c r="BU248" i="1" s="1"/>
  <c r="BI248" i="1"/>
  <c r="BJ248" i="1"/>
  <c r="BK248" i="1"/>
  <c r="BL248" i="1"/>
  <c r="BP248" i="1"/>
  <c r="BQ248" i="1"/>
  <c r="BS248" i="1"/>
  <c r="CA248" i="1" s="1"/>
  <c r="BT248" i="1"/>
  <c r="BV248" i="1"/>
  <c r="BX248" i="1"/>
  <c r="BY248" i="1"/>
  <c r="BZ248" i="1" s="1"/>
  <c r="CC248" i="1"/>
  <c r="CD248" i="1"/>
  <c r="CE248" i="1"/>
  <c r="CG248" i="1"/>
  <c r="B249" i="1"/>
  <c r="C249" i="1"/>
  <c r="E249" i="1"/>
  <c r="N249" i="1"/>
  <c r="BF249" i="1"/>
  <c r="CI249" i="1" s="1"/>
  <c r="CJ249" i="1" s="1"/>
  <c r="BG249" i="1"/>
  <c r="BH249" i="1"/>
  <c r="R249" i="1" s="1"/>
  <c r="BI249" i="1"/>
  <c r="BJ249" i="1"/>
  <c r="BK249" i="1"/>
  <c r="BL249" i="1"/>
  <c r="BM249" i="1"/>
  <c r="BP249" i="1"/>
  <c r="BS249" i="1"/>
  <c r="BT249" i="1"/>
  <c r="BV249" i="1"/>
  <c r="BY249" i="1"/>
  <c r="CB249" i="1"/>
  <c r="CC249" i="1"/>
  <c r="CD249" i="1"/>
  <c r="CE249" i="1"/>
  <c r="CG249" i="1"/>
  <c r="B250" i="1"/>
  <c r="C250" i="1"/>
  <c r="E250" i="1"/>
  <c r="N250" i="1"/>
  <c r="BF250" i="1"/>
  <c r="BG250" i="1"/>
  <c r="BH250" i="1"/>
  <c r="R250" i="1" s="1"/>
  <c r="BI250" i="1"/>
  <c r="BJ250" i="1"/>
  <c r="BK250" i="1"/>
  <c r="BL250" i="1"/>
  <c r="BM250" i="1"/>
  <c r="BP250" i="1"/>
  <c r="BS250" i="1"/>
  <c r="BT250" i="1"/>
  <c r="BV250" i="1"/>
  <c r="BY250" i="1"/>
  <c r="CB250" i="1"/>
  <c r="CC250" i="1"/>
  <c r="CD250" i="1"/>
  <c r="CE250" i="1"/>
  <c r="CG250" i="1"/>
  <c r="B251" i="1"/>
  <c r="C251" i="1"/>
  <c r="E251" i="1"/>
  <c r="N251" i="1"/>
  <c r="BF251" i="1"/>
  <c r="BG251" i="1"/>
  <c r="BH251" i="1"/>
  <c r="R251" i="1" s="1"/>
  <c r="BI251" i="1"/>
  <c r="BJ251" i="1"/>
  <c r="BK251" i="1"/>
  <c r="BL251" i="1"/>
  <c r="BM251" i="1"/>
  <c r="BP251" i="1"/>
  <c r="BS251" i="1"/>
  <c r="BT251" i="1"/>
  <c r="BV251" i="1"/>
  <c r="BY251" i="1"/>
  <c r="CB251" i="1"/>
  <c r="CC251" i="1"/>
  <c r="CD251" i="1"/>
  <c r="CE251" i="1"/>
  <c r="CG251" i="1"/>
  <c r="B252" i="1"/>
  <c r="C252" i="1"/>
  <c r="E252" i="1"/>
  <c r="N252" i="1"/>
  <c r="BF252" i="1"/>
  <c r="BG252" i="1"/>
  <c r="BH252" i="1"/>
  <c r="R252" i="1" s="1"/>
  <c r="BI252" i="1"/>
  <c r="BJ252" i="1"/>
  <c r="BK252" i="1"/>
  <c r="BL252" i="1"/>
  <c r="BM252" i="1"/>
  <c r="BP252" i="1"/>
  <c r="BS252" i="1"/>
  <c r="BT252" i="1"/>
  <c r="BV252" i="1"/>
  <c r="BY252" i="1"/>
  <c r="CB252" i="1"/>
  <c r="CC252" i="1"/>
  <c r="CD252" i="1"/>
  <c r="CE252" i="1"/>
  <c r="CG252" i="1"/>
  <c r="B253" i="1"/>
  <c r="C253" i="1"/>
  <c r="E253" i="1"/>
  <c r="N253" i="1"/>
  <c r="BF253" i="1"/>
  <c r="BG253" i="1"/>
  <c r="BH253" i="1"/>
  <c r="R253" i="1" s="1"/>
  <c r="BI253" i="1"/>
  <c r="BJ253" i="1"/>
  <c r="BK253" i="1"/>
  <c r="BL253" i="1"/>
  <c r="BM253" i="1"/>
  <c r="BP253" i="1"/>
  <c r="BS253" i="1"/>
  <c r="BT253" i="1"/>
  <c r="BV253" i="1"/>
  <c r="BY253" i="1"/>
  <c r="CB253" i="1"/>
  <c r="CC253" i="1"/>
  <c r="CD253" i="1"/>
  <c r="CE253" i="1"/>
  <c r="CG253" i="1"/>
  <c r="B254" i="1"/>
  <c r="C254" i="1"/>
  <c r="E254" i="1"/>
  <c r="N254" i="1"/>
  <c r="BF254" i="1"/>
  <c r="BG254" i="1"/>
  <c r="BH254" i="1"/>
  <c r="R254" i="1" s="1"/>
  <c r="BI254" i="1"/>
  <c r="BJ254" i="1"/>
  <c r="BK254" i="1"/>
  <c r="BL254" i="1"/>
  <c r="BP254" i="1"/>
  <c r="BS254" i="1"/>
  <c r="BT254" i="1"/>
  <c r="BV254" i="1"/>
  <c r="BY254" i="1"/>
  <c r="CB254" i="1"/>
  <c r="CC254" i="1"/>
  <c r="CE254" i="1"/>
  <c r="CG254" i="1"/>
  <c r="B255" i="1"/>
  <c r="C255" i="1"/>
  <c r="E255" i="1"/>
  <c r="N255" i="1"/>
  <c r="BF255" i="1"/>
  <c r="BG255" i="1"/>
  <c r="BH255" i="1"/>
  <c r="R255" i="1" s="1"/>
  <c r="BI255" i="1"/>
  <c r="BJ255" i="1"/>
  <c r="BK255" i="1"/>
  <c r="BL255" i="1"/>
  <c r="BM255" i="1"/>
  <c r="BP255" i="1"/>
  <c r="BS255" i="1"/>
  <c r="BT255" i="1"/>
  <c r="BV255" i="1"/>
  <c r="BY255" i="1"/>
  <c r="CB255" i="1"/>
  <c r="CC255" i="1"/>
  <c r="CD255" i="1"/>
  <c r="CE255" i="1"/>
  <c r="CG255" i="1"/>
  <c r="B256" i="1"/>
  <c r="C256" i="1"/>
  <c r="E256" i="1"/>
  <c r="BF256" i="1"/>
  <c r="BG256" i="1"/>
  <c r="BR256" i="1" s="1"/>
  <c r="BH256" i="1"/>
  <c r="R256" i="1" s="1"/>
  <c r="BI256" i="1"/>
  <c r="BJ256" i="1"/>
  <c r="BK256" i="1"/>
  <c r="BL256" i="1"/>
  <c r="BM256" i="1"/>
  <c r="BP256" i="1"/>
  <c r="BS256" i="1"/>
  <c r="BT256" i="1"/>
  <c r="BV256" i="1"/>
  <c r="BY256" i="1"/>
  <c r="CB256" i="1"/>
  <c r="CC256" i="1"/>
  <c r="CD256" i="1"/>
  <c r="CE256" i="1"/>
  <c r="CG256" i="1"/>
  <c r="B257" i="1"/>
  <c r="C257" i="1"/>
  <c r="E257" i="1"/>
  <c r="N257" i="1"/>
  <c r="BF257" i="1"/>
  <c r="CI257" i="1" s="1"/>
  <c r="CJ257" i="1" s="1"/>
  <c r="BG257" i="1"/>
  <c r="BH257" i="1"/>
  <c r="R257" i="1" s="1"/>
  <c r="BI257" i="1"/>
  <c r="BJ257" i="1"/>
  <c r="BK257" i="1"/>
  <c r="BL257" i="1"/>
  <c r="BM257" i="1"/>
  <c r="BP257" i="1"/>
  <c r="BS257" i="1"/>
  <c r="BT257" i="1"/>
  <c r="BV257" i="1"/>
  <c r="BY257" i="1"/>
  <c r="CB257" i="1"/>
  <c r="CC257" i="1"/>
  <c r="CD257" i="1"/>
  <c r="CE257" i="1"/>
  <c r="CG257" i="1"/>
  <c r="B258" i="1"/>
  <c r="C258" i="1"/>
  <c r="E258" i="1"/>
  <c r="N258" i="1"/>
  <c r="BF258" i="1"/>
  <c r="BG258" i="1"/>
  <c r="BH258" i="1"/>
  <c r="R258" i="1" s="1"/>
  <c r="BI258" i="1"/>
  <c r="BJ258" i="1"/>
  <c r="BK258" i="1"/>
  <c r="BL258" i="1"/>
  <c r="BM258" i="1"/>
  <c r="BP258" i="1"/>
  <c r="BS258" i="1"/>
  <c r="BT258" i="1"/>
  <c r="BV258" i="1"/>
  <c r="BY258" i="1"/>
  <c r="CB258" i="1"/>
  <c r="CC258" i="1"/>
  <c r="CD258" i="1"/>
  <c r="CE258" i="1"/>
  <c r="CG258" i="1"/>
  <c r="B259" i="1"/>
  <c r="C259" i="1"/>
  <c r="E259" i="1"/>
  <c r="BF259" i="1"/>
  <c r="BG259" i="1"/>
  <c r="BR259" i="1" s="1"/>
  <c r="BH259" i="1"/>
  <c r="R259" i="1" s="1"/>
  <c r="BI259" i="1"/>
  <c r="BJ259" i="1"/>
  <c r="BK259" i="1"/>
  <c r="BL259" i="1"/>
  <c r="BM259" i="1"/>
  <c r="BP259" i="1"/>
  <c r="BS259" i="1"/>
  <c r="BT259" i="1"/>
  <c r="BV259" i="1"/>
  <c r="BY259" i="1"/>
  <c r="CB259" i="1"/>
  <c r="CC259" i="1"/>
  <c r="CD259" i="1"/>
  <c r="CE259" i="1"/>
  <c r="CG259" i="1"/>
  <c r="B260" i="1"/>
  <c r="C260" i="1"/>
  <c r="E260" i="1"/>
  <c r="BF260" i="1"/>
  <c r="BG260" i="1"/>
  <c r="BR260" i="1" s="1"/>
  <c r="BH260" i="1"/>
  <c r="R260" i="1" s="1"/>
  <c r="BI260" i="1"/>
  <c r="BJ260" i="1"/>
  <c r="BK260" i="1"/>
  <c r="BL260" i="1"/>
  <c r="BM260" i="1"/>
  <c r="BP260" i="1"/>
  <c r="BS260" i="1"/>
  <c r="BT260" i="1"/>
  <c r="BV260" i="1"/>
  <c r="BY260" i="1"/>
  <c r="CB260" i="1"/>
  <c r="CC260" i="1"/>
  <c r="CD260" i="1"/>
  <c r="CE260" i="1"/>
  <c r="CG260" i="1"/>
  <c r="B261" i="1"/>
  <c r="C261" i="1"/>
  <c r="E261" i="1"/>
  <c r="N261" i="1"/>
  <c r="BF261" i="1"/>
  <c r="BG261" i="1"/>
  <c r="BH261" i="1"/>
  <c r="R261" i="1" s="1"/>
  <c r="BI261" i="1"/>
  <c r="BJ261" i="1"/>
  <c r="BK261" i="1"/>
  <c r="BL261" i="1"/>
  <c r="BM261" i="1"/>
  <c r="BP261" i="1"/>
  <c r="BS261" i="1"/>
  <c r="BT261" i="1"/>
  <c r="BV261" i="1"/>
  <c r="BY261" i="1"/>
  <c r="CB261" i="1"/>
  <c r="CC261" i="1"/>
  <c r="CD261" i="1"/>
  <c r="CE261" i="1"/>
  <c r="CG261" i="1"/>
  <c r="B262" i="1"/>
  <c r="C262" i="1"/>
  <c r="E262" i="1"/>
  <c r="N262" i="1"/>
  <c r="BF262" i="1"/>
  <c r="BG262" i="1"/>
  <c r="BH262" i="1"/>
  <c r="R262" i="1" s="1"/>
  <c r="BI262" i="1"/>
  <c r="BJ262" i="1"/>
  <c r="BK262" i="1"/>
  <c r="BL262" i="1"/>
  <c r="BM262" i="1"/>
  <c r="BP262" i="1"/>
  <c r="BS262" i="1"/>
  <c r="BT262" i="1"/>
  <c r="BV262" i="1"/>
  <c r="BY262" i="1"/>
  <c r="CB262" i="1"/>
  <c r="CC262" i="1"/>
  <c r="CD262" i="1"/>
  <c r="CE262" i="1"/>
  <c r="CG262" i="1"/>
  <c r="B264" i="1"/>
  <c r="C264" i="1"/>
  <c r="E264" i="1"/>
  <c r="BF264" i="1"/>
  <c r="CI264" i="1" s="1"/>
  <c r="CJ264" i="1" s="1"/>
  <c r="BG264" i="1"/>
  <c r="BR264" i="1" s="1"/>
  <c r="BH264" i="1"/>
  <c r="R264" i="1" s="1"/>
  <c r="BI264" i="1"/>
  <c r="BJ264" i="1"/>
  <c r="BK264" i="1"/>
  <c r="BL264" i="1"/>
  <c r="BM264" i="1"/>
  <c r="BP264" i="1"/>
  <c r="BS264" i="1"/>
  <c r="BT264" i="1"/>
  <c r="BV264" i="1"/>
  <c r="BY264" i="1"/>
  <c r="CB264" i="1"/>
  <c r="CC264" i="1"/>
  <c r="CD264" i="1"/>
  <c r="CE264" i="1"/>
  <c r="CG264" i="1"/>
  <c r="B265" i="1"/>
  <c r="C265" i="1"/>
  <c r="E265" i="1"/>
  <c r="N265" i="1"/>
  <c r="BF265" i="1"/>
  <c r="BG265" i="1"/>
  <c r="BH265" i="1"/>
  <c r="R265" i="1" s="1"/>
  <c r="BI265" i="1"/>
  <c r="BJ265" i="1"/>
  <c r="BK265" i="1"/>
  <c r="BL265" i="1"/>
  <c r="BP265" i="1"/>
  <c r="BS265" i="1"/>
  <c r="BT265" i="1"/>
  <c r="BV265" i="1"/>
  <c r="BY265" i="1"/>
  <c r="CB265" i="1"/>
  <c r="CC265" i="1"/>
  <c r="CE265" i="1"/>
  <c r="CG265" i="1"/>
  <c r="B266" i="1"/>
  <c r="C266" i="1"/>
  <c r="E266" i="1"/>
  <c r="N266" i="1"/>
  <c r="BF266" i="1"/>
  <c r="BG266" i="1"/>
  <c r="BH266" i="1"/>
  <c r="R266" i="1" s="1"/>
  <c r="BI266" i="1"/>
  <c r="BJ266" i="1"/>
  <c r="BK266" i="1"/>
  <c r="BL266" i="1"/>
  <c r="BM266" i="1"/>
  <c r="BP266" i="1"/>
  <c r="BS266" i="1"/>
  <c r="BT266" i="1"/>
  <c r="BV266" i="1"/>
  <c r="BY266" i="1"/>
  <c r="CB266" i="1"/>
  <c r="CC266" i="1"/>
  <c r="CD266" i="1"/>
  <c r="CE266" i="1"/>
  <c r="CG266" i="1"/>
  <c r="B267" i="1"/>
  <c r="C267" i="1"/>
  <c r="E267" i="1"/>
  <c r="N267" i="1"/>
  <c r="BF267" i="1"/>
  <c r="CI267" i="1" s="1"/>
  <c r="CJ267" i="1" s="1"/>
  <c r="BG267" i="1"/>
  <c r="BH267" i="1"/>
  <c r="R267" i="1" s="1"/>
  <c r="BI267" i="1"/>
  <c r="BJ267" i="1"/>
  <c r="BK267" i="1"/>
  <c r="BL267" i="1"/>
  <c r="BM267" i="1"/>
  <c r="BP267" i="1"/>
  <c r="BS267" i="1"/>
  <c r="BT267" i="1"/>
  <c r="BV267" i="1"/>
  <c r="BY267" i="1"/>
  <c r="CB267" i="1"/>
  <c r="CC267" i="1"/>
  <c r="CD267" i="1"/>
  <c r="CE267" i="1"/>
  <c r="CG267" i="1"/>
  <c r="B268" i="1"/>
  <c r="C268" i="1"/>
  <c r="E268" i="1"/>
  <c r="N268" i="1"/>
  <c r="BF268" i="1"/>
  <c r="BG268" i="1"/>
  <c r="BH268" i="1"/>
  <c r="R268" i="1" s="1"/>
  <c r="BI268" i="1"/>
  <c r="BJ268" i="1"/>
  <c r="BK268" i="1"/>
  <c r="BL268" i="1"/>
  <c r="BM268" i="1"/>
  <c r="BP268" i="1"/>
  <c r="BS268" i="1"/>
  <c r="BT268" i="1"/>
  <c r="BV268" i="1"/>
  <c r="BY268" i="1"/>
  <c r="CB268" i="1"/>
  <c r="CC268" i="1"/>
  <c r="CD268" i="1"/>
  <c r="CE268" i="1"/>
  <c r="CG268" i="1"/>
  <c r="B269" i="1"/>
  <c r="C269" i="1"/>
  <c r="E269" i="1"/>
  <c r="N269" i="1"/>
  <c r="BF269" i="1"/>
  <c r="BG269" i="1"/>
  <c r="BH269" i="1"/>
  <c r="R269" i="1" s="1"/>
  <c r="BI269" i="1"/>
  <c r="BJ269" i="1"/>
  <c r="BK269" i="1"/>
  <c r="BL269" i="1"/>
  <c r="BM269" i="1"/>
  <c r="BP269" i="1"/>
  <c r="BS269" i="1"/>
  <c r="BT269" i="1"/>
  <c r="BV269" i="1"/>
  <c r="BY269" i="1"/>
  <c r="CB269" i="1"/>
  <c r="CC269" i="1"/>
  <c r="CD269" i="1"/>
  <c r="CE269" i="1"/>
  <c r="CG269" i="1"/>
  <c r="B270" i="1"/>
  <c r="C270" i="1"/>
  <c r="E270" i="1"/>
  <c r="N270" i="1"/>
  <c r="BF270" i="1"/>
  <c r="BG270" i="1"/>
  <c r="BH270" i="1"/>
  <c r="R270" i="1" s="1"/>
  <c r="BI270" i="1"/>
  <c r="BJ270" i="1"/>
  <c r="BK270" i="1"/>
  <c r="BL270" i="1"/>
  <c r="BP270" i="1"/>
  <c r="BS270" i="1"/>
  <c r="BT270" i="1"/>
  <c r="BV270" i="1"/>
  <c r="BY270" i="1"/>
  <c r="CB270" i="1"/>
  <c r="CC270" i="1"/>
  <c r="CE270" i="1"/>
  <c r="CG270" i="1"/>
  <c r="B271" i="1"/>
  <c r="C271" i="1"/>
  <c r="E271" i="1"/>
  <c r="N271" i="1"/>
  <c r="BF271" i="1"/>
  <c r="CI271" i="1" s="1"/>
  <c r="CJ271" i="1" s="1"/>
  <c r="BG271" i="1"/>
  <c r="BH271" i="1"/>
  <c r="R271" i="1" s="1"/>
  <c r="BI271" i="1"/>
  <c r="BJ271" i="1"/>
  <c r="BK271" i="1"/>
  <c r="BL271" i="1"/>
  <c r="BM271" i="1"/>
  <c r="BP271" i="1"/>
  <c r="BS271" i="1"/>
  <c r="BT271" i="1"/>
  <c r="BV271" i="1"/>
  <c r="BY271" i="1"/>
  <c r="CB271" i="1"/>
  <c r="CC271" i="1"/>
  <c r="CD271" i="1"/>
  <c r="CE271" i="1"/>
  <c r="CG271" i="1"/>
  <c r="B272" i="1"/>
  <c r="C272" i="1"/>
  <c r="E272" i="1"/>
  <c r="N272" i="1"/>
  <c r="BF272" i="1"/>
  <c r="BG272" i="1"/>
  <c r="BH272" i="1"/>
  <c r="R272" i="1" s="1"/>
  <c r="BI272" i="1"/>
  <c r="BJ272" i="1"/>
  <c r="BK272" i="1"/>
  <c r="BL272" i="1"/>
  <c r="BP272" i="1"/>
  <c r="BS272" i="1"/>
  <c r="BT272" i="1"/>
  <c r="BV272" i="1"/>
  <c r="BY272" i="1"/>
  <c r="CB272" i="1"/>
  <c r="CC272" i="1"/>
  <c r="CE272" i="1"/>
  <c r="CG272" i="1"/>
  <c r="B273" i="1"/>
  <c r="C273" i="1"/>
  <c r="E273" i="1"/>
  <c r="N273" i="1"/>
  <c r="BF273" i="1"/>
  <c r="CI273" i="1" s="1"/>
  <c r="CJ273" i="1" s="1"/>
  <c r="BG273" i="1"/>
  <c r="BH273" i="1"/>
  <c r="R273" i="1" s="1"/>
  <c r="BI273" i="1"/>
  <c r="BJ273" i="1"/>
  <c r="BK273" i="1"/>
  <c r="BL273" i="1"/>
  <c r="BM273" i="1"/>
  <c r="BP273" i="1"/>
  <c r="BS273" i="1"/>
  <c r="BT273" i="1"/>
  <c r="BV273" i="1"/>
  <c r="BY273" i="1"/>
  <c r="CB273" i="1"/>
  <c r="CC273" i="1"/>
  <c r="CD273" i="1"/>
  <c r="CE273" i="1"/>
  <c r="CG273" i="1"/>
  <c r="B274" i="1"/>
  <c r="C274" i="1"/>
  <c r="E274" i="1"/>
  <c r="N274" i="1"/>
  <c r="BF274" i="1"/>
  <c r="BG274" i="1"/>
  <c r="BH274" i="1"/>
  <c r="R274" i="1" s="1"/>
  <c r="BI274" i="1"/>
  <c r="BJ274" i="1"/>
  <c r="BK274" i="1"/>
  <c r="BL274" i="1"/>
  <c r="BM274" i="1"/>
  <c r="BP274" i="1"/>
  <c r="BS274" i="1"/>
  <c r="BT274" i="1"/>
  <c r="BV274" i="1"/>
  <c r="BY274" i="1"/>
  <c r="CB274" i="1"/>
  <c r="CC274" i="1"/>
  <c r="CD274" i="1"/>
  <c r="CE274" i="1"/>
  <c r="CG274" i="1"/>
  <c r="B275" i="1"/>
  <c r="C275" i="1"/>
  <c r="E275" i="1"/>
  <c r="BF275" i="1"/>
  <c r="BG275" i="1"/>
  <c r="BR275" i="1" s="1"/>
  <c r="BH275" i="1"/>
  <c r="R275" i="1" s="1"/>
  <c r="BI275" i="1"/>
  <c r="BJ275" i="1"/>
  <c r="BK275" i="1"/>
  <c r="BL275" i="1"/>
  <c r="BM275" i="1"/>
  <c r="BP275" i="1"/>
  <c r="BS275" i="1"/>
  <c r="BT275" i="1"/>
  <c r="BV275" i="1"/>
  <c r="BY275" i="1"/>
  <c r="CB275" i="1"/>
  <c r="CC275" i="1"/>
  <c r="CD275" i="1"/>
  <c r="CE275" i="1"/>
  <c r="CG275" i="1"/>
  <c r="B276" i="1"/>
  <c r="C276" i="1"/>
  <c r="E276" i="1"/>
  <c r="BF276" i="1"/>
  <c r="BG276" i="1"/>
  <c r="BR276" i="1" s="1"/>
  <c r="BH276" i="1"/>
  <c r="R276" i="1" s="1"/>
  <c r="BI276" i="1"/>
  <c r="BJ276" i="1"/>
  <c r="BK276" i="1"/>
  <c r="BL276" i="1"/>
  <c r="BM276" i="1"/>
  <c r="BP276" i="1"/>
  <c r="BS276" i="1"/>
  <c r="BT276" i="1"/>
  <c r="BV276" i="1"/>
  <c r="BY276" i="1"/>
  <c r="CB276" i="1"/>
  <c r="CC276" i="1"/>
  <c r="CD276" i="1"/>
  <c r="CE276" i="1"/>
  <c r="CG276" i="1"/>
  <c r="B277" i="1"/>
  <c r="C277" i="1"/>
  <c r="E277" i="1"/>
  <c r="BF277" i="1"/>
  <c r="BG277" i="1"/>
  <c r="BR277" i="1" s="1"/>
  <c r="BH277" i="1"/>
  <c r="R277" i="1" s="1"/>
  <c r="BI277" i="1"/>
  <c r="BJ277" i="1"/>
  <c r="BK277" i="1"/>
  <c r="BL277" i="1"/>
  <c r="BM277" i="1"/>
  <c r="BP277" i="1"/>
  <c r="BS277" i="1"/>
  <c r="BT277" i="1"/>
  <c r="BV277" i="1"/>
  <c r="BY277" i="1"/>
  <c r="CB277" i="1"/>
  <c r="CC277" i="1"/>
  <c r="CD277" i="1"/>
  <c r="CE277" i="1"/>
  <c r="CG277" i="1"/>
  <c r="B278" i="1"/>
  <c r="C278" i="1"/>
  <c r="E278" i="1"/>
  <c r="N278" i="1"/>
  <c r="BF278" i="1"/>
  <c r="BG278" i="1"/>
  <c r="BH278" i="1"/>
  <c r="R278" i="1" s="1"/>
  <c r="BI278" i="1"/>
  <c r="BJ278" i="1"/>
  <c r="BK278" i="1"/>
  <c r="BL278" i="1"/>
  <c r="BM278" i="1"/>
  <c r="BP278" i="1"/>
  <c r="BS278" i="1"/>
  <c r="BT278" i="1"/>
  <c r="BV278" i="1"/>
  <c r="BY278" i="1"/>
  <c r="CB278" i="1"/>
  <c r="CC278" i="1"/>
  <c r="CD278" i="1"/>
  <c r="CE278" i="1"/>
  <c r="CG278" i="1"/>
  <c r="B279" i="1"/>
  <c r="C279" i="1"/>
  <c r="E279" i="1"/>
  <c r="N279" i="1"/>
  <c r="Q279" i="1"/>
  <c r="BX279" i="1" s="1"/>
  <c r="BH279" i="1"/>
  <c r="R279" i="1" s="1"/>
  <c r="BI279" i="1"/>
  <c r="BJ279" i="1"/>
  <c r="BK279" i="1"/>
  <c r="BL279" i="1"/>
  <c r="BP279" i="1"/>
  <c r="BQ279" i="1"/>
  <c r="BS279" i="1"/>
  <c r="CA279" i="1" s="1"/>
  <c r="BT279" i="1"/>
  <c r="BY279" i="1"/>
  <c r="BZ279" i="1" s="1"/>
  <c r="CD279" i="1"/>
  <c r="CE279" i="1"/>
  <c r="CG279" i="1"/>
  <c r="B280" i="1"/>
  <c r="C280" i="1"/>
  <c r="E280" i="1"/>
  <c r="N280" i="1"/>
  <c r="BF280" i="1"/>
  <c r="BG280" i="1"/>
  <c r="BH280" i="1"/>
  <c r="R280" i="1" s="1"/>
  <c r="BI280" i="1"/>
  <c r="BJ280" i="1"/>
  <c r="BK280" i="1"/>
  <c r="BL280" i="1"/>
  <c r="BM280" i="1"/>
  <c r="BP280" i="1"/>
  <c r="BS280" i="1"/>
  <c r="BT280" i="1"/>
  <c r="BV280" i="1"/>
  <c r="BY280" i="1"/>
  <c r="CB280" i="1"/>
  <c r="CC280" i="1"/>
  <c r="CD280" i="1"/>
  <c r="CE280" i="1"/>
  <c r="CG280" i="1"/>
  <c r="B281" i="1"/>
  <c r="C281" i="1"/>
  <c r="E281" i="1"/>
  <c r="N281" i="1"/>
  <c r="BF281" i="1"/>
  <c r="BG281" i="1"/>
  <c r="BH281" i="1"/>
  <c r="R281" i="1" s="1"/>
  <c r="BI281" i="1"/>
  <c r="BJ281" i="1"/>
  <c r="BK281" i="1"/>
  <c r="BL281" i="1"/>
  <c r="BM281" i="1"/>
  <c r="BP281" i="1"/>
  <c r="BS281" i="1"/>
  <c r="BT281" i="1"/>
  <c r="BV281" i="1"/>
  <c r="BY281" i="1"/>
  <c r="CB281" i="1"/>
  <c r="CC281" i="1"/>
  <c r="CD281" i="1"/>
  <c r="CE281" i="1"/>
  <c r="CG281" i="1"/>
  <c r="B27" i="1"/>
  <c r="C27" i="1"/>
  <c r="E27" i="1"/>
  <c r="BF27" i="1"/>
  <c r="BG27" i="1"/>
  <c r="BR27" i="1" s="1"/>
  <c r="BH27" i="1"/>
  <c r="R27" i="1" s="1"/>
  <c r="BI27" i="1"/>
  <c r="BJ27" i="1"/>
  <c r="BK27" i="1"/>
  <c r="BL27" i="1"/>
  <c r="BM27" i="1"/>
  <c r="BP27" i="1"/>
  <c r="BS27" i="1"/>
  <c r="BT27" i="1"/>
  <c r="BV27" i="1"/>
  <c r="BY27" i="1"/>
  <c r="CB27" i="1"/>
  <c r="CC27" i="1"/>
  <c r="CD27" i="1"/>
  <c r="CE27" i="1"/>
  <c r="CF27" i="1"/>
  <c r="CG27" i="1"/>
  <c r="B28" i="1"/>
  <c r="C28" i="1"/>
  <c r="E28" i="1"/>
  <c r="N28" i="1"/>
  <c r="BF28" i="1"/>
  <c r="BG28" i="1"/>
  <c r="BH28" i="1"/>
  <c r="R28" i="1" s="1"/>
  <c r="BI28" i="1"/>
  <c r="BJ28" i="1"/>
  <c r="BK28" i="1"/>
  <c r="BL28" i="1"/>
  <c r="BP28" i="1"/>
  <c r="BR28" i="1"/>
  <c r="BS28" i="1"/>
  <c r="BT28" i="1"/>
  <c r="BV28" i="1"/>
  <c r="BY28" i="1"/>
  <c r="CB28" i="1"/>
  <c r="CC28" i="1"/>
  <c r="CE28" i="1"/>
  <c r="CF28" i="1"/>
  <c r="CG28" i="1"/>
  <c r="B29" i="1"/>
  <c r="C29" i="1"/>
  <c r="E29" i="1"/>
  <c r="N29" i="1"/>
  <c r="BF29" i="1"/>
  <c r="CI29" i="1" s="1"/>
  <c r="CJ29" i="1" s="1"/>
  <c r="BG29" i="1"/>
  <c r="BH29" i="1"/>
  <c r="R29" i="1" s="1"/>
  <c r="BI29" i="1"/>
  <c r="BJ29" i="1"/>
  <c r="BK29" i="1"/>
  <c r="BL29" i="1"/>
  <c r="BM29" i="1"/>
  <c r="BP29" i="1"/>
  <c r="BS29" i="1"/>
  <c r="BT29" i="1"/>
  <c r="BV29" i="1"/>
  <c r="BY29" i="1"/>
  <c r="CB29" i="1"/>
  <c r="CC29" i="1"/>
  <c r="CD29" i="1"/>
  <c r="CE29" i="1"/>
  <c r="CF29" i="1"/>
  <c r="CG29" i="1"/>
  <c r="B30" i="1"/>
  <c r="C30" i="1"/>
  <c r="E30" i="1"/>
  <c r="BF30" i="1"/>
  <c r="BG30" i="1"/>
  <c r="BR30" i="1" s="1"/>
  <c r="BH30" i="1"/>
  <c r="R30" i="1" s="1"/>
  <c r="BI30" i="1"/>
  <c r="BJ30" i="1"/>
  <c r="BK30" i="1"/>
  <c r="BL30" i="1"/>
  <c r="BM30" i="1"/>
  <c r="BP30" i="1"/>
  <c r="BS30" i="1"/>
  <c r="BT30" i="1"/>
  <c r="BV30" i="1"/>
  <c r="BY30" i="1"/>
  <c r="CB30" i="1"/>
  <c r="CC30" i="1"/>
  <c r="CD30" i="1"/>
  <c r="CE30" i="1"/>
  <c r="CF30" i="1"/>
  <c r="CG30" i="1"/>
  <c r="B31" i="1"/>
  <c r="C31" i="1"/>
  <c r="E31" i="1"/>
  <c r="N31" i="1"/>
  <c r="BF31" i="1"/>
  <c r="BG31" i="1"/>
  <c r="BH31" i="1"/>
  <c r="R31" i="1" s="1"/>
  <c r="BI31" i="1"/>
  <c r="BJ31" i="1"/>
  <c r="BK31" i="1"/>
  <c r="BL31" i="1"/>
  <c r="BM31" i="1"/>
  <c r="BP31" i="1"/>
  <c r="BS31" i="1"/>
  <c r="BT31" i="1"/>
  <c r="BV31" i="1"/>
  <c r="BY31" i="1"/>
  <c r="CB31" i="1"/>
  <c r="CC31" i="1"/>
  <c r="CD31" i="1"/>
  <c r="CE31" i="1"/>
  <c r="CF31" i="1"/>
  <c r="CG31" i="1"/>
  <c r="B32" i="1"/>
  <c r="C32" i="1"/>
  <c r="E32" i="1"/>
  <c r="N32" i="1"/>
  <c r="BF32" i="1"/>
  <c r="BG32" i="1"/>
  <c r="BH32" i="1"/>
  <c r="R32" i="1" s="1"/>
  <c r="BI32" i="1"/>
  <c r="BJ32" i="1"/>
  <c r="BK32" i="1"/>
  <c r="BL32" i="1"/>
  <c r="BM32" i="1"/>
  <c r="BP32" i="1"/>
  <c r="BS32" i="1"/>
  <c r="BT32" i="1"/>
  <c r="BV32" i="1"/>
  <c r="BY32" i="1"/>
  <c r="CB32" i="1"/>
  <c r="CC32" i="1"/>
  <c r="CD32" i="1"/>
  <c r="CE32" i="1"/>
  <c r="CF32" i="1"/>
  <c r="CG32" i="1"/>
  <c r="B33" i="1"/>
  <c r="C33" i="1"/>
  <c r="E33" i="1"/>
  <c r="N33" i="1"/>
  <c r="BF33" i="1"/>
  <c r="BG33" i="1"/>
  <c r="BH33" i="1"/>
  <c r="R33" i="1" s="1"/>
  <c r="BI33" i="1"/>
  <c r="BJ33" i="1"/>
  <c r="BK33" i="1"/>
  <c r="BL33" i="1"/>
  <c r="BM33" i="1"/>
  <c r="BP33" i="1"/>
  <c r="BS33" i="1"/>
  <c r="BT33" i="1"/>
  <c r="BV33" i="1"/>
  <c r="BY33" i="1"/>
  <c r="CB33" i="1"/>
  <c r="CC33" i="1"/>
  <c r="CD33" i="1"/>
  <c r="CE33" i="1"/>
  <c r="CF33" i="1"/>
  <c r="CG33" i="1"/>
  <c r="B34" i="1"/>
  <c r="C34" i="1"/>
  <c r="E34" i="1"/>
  <c r="BF34" i="1"/>
  <c r="BG34" i="1"/>
  <c r="BR34" i="1" s="1"/>
  <c r="BH34" i="1"/>
  <c r="R34" i="1" s="1"/>
  <c r="BI34" i="1"/>
  <c r="BJ34" i="1"/>
  <c r="BK34" i="1"/>
  <c r="BL34" i="1"/>
  <c r="BM34" i="1"/>
  <c r="BP34" i="1"/>
  <c r="BS34" i="1"/>
  <c r="BT34" i="1"/>
  <c r="BV34" i="1"/>
  <c r="BY34" i="1"/>
  <c r="CB34" i="1"/>
  <c r="CC34" i="1"/>
  <c r="CD34" i="1"/>
  <c r="CE34" i="1"/>
  <c r="CF34" i="1"/>
  <c r="CG34" i="1"/>
  <c r="B35" i="1"/>
  <c r="C35" i="1"/>
  <c r="E35" i="1"/>
  <c r="BF35" i="1"/>
  <c r="BG35" i="1"/>
  <c r="BR35" i="1" s="1"/>
  <c r="BH35" i="1"/>
  <c r="R35" i="1" s="1"/>
  <c r="BI35" i="1"/>
  <c r="BJ35" i="1"/>
  <c r="BK35" i="1"/>
  <c r="BL35" i="1"/>
  <c r="BM35" i="1"/>
  <c r="BP35" i="1"/>
  <c r="BS35" i="1"/>
  <c r="BT35" i="1"/>
  <c r="BV35" i="1"/>
  <c r="BY35" i="1"/>
  <c r="CB35" i="1"/>
  <c r="CC35" i="1"/>
  <c r="CD35" i="1"/>
  <c r="CE35" i="1"/>
  <c r="CF35" i="1"/>
  <c r="CG35" i="1"/>
  <c r="B36" i="1"/>
  <c r="C36" i="1"/>
  <c r="E36" i="1"/>
  <c r="N36" i="1"/>
  <c r="BF36" i="1"/>
  <c r="BG36" i="1"/>
  <c r="BH36" i="1"/>
  <c r="R36" i="1" s="1"/>
  <c r="BI36" i="1"/>
  <c r="BJ36" i="1"/>
  <c r="BK36" i="1"/>
  <c r="BL36" i="1"/>
  <c r="BM36" i="1"/>
  <c r="BP36" i="1"/>
  <c r="BS36" i="1"/>
  <c r="BT36" i="1"/>
  <c r="BV36" i="1"/>
  <c r="BY36" i="1"/>
  <c r="CB36" i="1"/>
  <c r="CC36" i="1"/>
  <c r="CD36" i="1"/>
  <c r="CE36" i="1"/>
  <c r="CF36" i="1"/>
  <c r="CG36" i="1"/>
  <c r="B37" i="1"/>
  <c r="C37" i="1"/>
  <c r="E37" i="1"/>
  <c r="N37" i="1"/>
  <c r="BG37" i="1"/>
  <c r="BH37" i="1"/>
  <c r="R37" i="1" s="1"/>
  <c r="BU37" i="1" s="1"/>
  <c r="BI37" i="1"/>
  <c r="BJ37" i="1"/>
  <c r="BK37" i="1"/>
  <c r="BL37" i="1"/>
  <c r="BP37" i="1"/>
  <c r="BQ37" i="1"/>
  <c r="BS37" i="1"/>
  <c r="CA37" i="1" s="1"/>
  <c r="BT37" i="1"/>
  <c r="BV37" i="1"/>
  <c r="BX37" i="1"/>
  <c r="BY37" i="1"/>
  <c r="BZ37" i="1" s="1"/>
  <c r="CC37" i="1"/>
  <c r="CD37" i="1"/>
  <c r="CE37" i="1"/>
  <c r="CF37" i="1"/>
  <c r="CG37" i="1"/>
  <c r="B38" i="1"/>
  <c r="C38" i="1"/>
  <c r="E38" i="1"/>
  <c r="N38" i="1"/>
  <c r="BF38" i="1"/>
  <c r="BG38" i="1"/>
  <c r="BH38" i="1"/>
  <c r="R38" i="1" s="1"/>
  <c r="BI38" i="1"/>
  <c r="BJ38" i="1"/>
  <c r="BK38" i="1"/>
  <c r="BL38" i="1"/>
  <c r="BM38" i="1"/>
  <c r="BP38" i="1"/>
  <c r="BS38" i="1"/>
  <c r="BT38" i="1"/>
  <c r="BV38" i="1"/>
  <c r="BY38" i="1"/>
  <c r="CB38" i="1"/>
  <c r="CC38" i="1"/>
  <c r="CD38" i="1"/>
  <c r="CE38" i="1"/>
  <c r="CF38" i="1"/>
  <c r="CG38" i="1"/>
  <c r="B39" i="1"/>
  <c r="C39" i="1"/>
  <c r="E39" i="1"/>
  <c r="J39" i="1"/>
  <c r="BF39" i="1" s="1"/>
  <c r="CI39" i="1" s="1"/>
  <c r="CJ39" i="1" s="1"/>
  <c r="BG39" i="1"/>
  <c r="BH39" i="1"/>
  <c r="R39" i="1" s="1"/>
  <c r="BI39" i="1"/>
  <c r="BL39" i="1"/>
  <c r="BM39" i="1"/>
  <c r="BP39" i="1"/>
  <c r="BS39" i="1"/>
  <c r="BT39" i="1"/>
  <c r="CB39" i="1"/>
  <c r="CC39" i="1"/>
  <c r="CG39" i="1"/>
  <c r="B40" i="1"/>
  <c r="C40" i="1"/>
  <c r="E40" i="1"/>
  <c r="BF40" i="1"/>
  <c r="BG40" i="1"/>
  <c r="BR40" i="1" s="1"/>
  <c r="BH40" i="1"/>
  <c r="R40" i="1" s="1"/>
  <c r="BI40" i="1"/>
  <c r="BJ40" i="1"/>
  <c r="BK40" i="1"/>
  <c r="BL40" i="1"/>
  <c r="BM40" i="1"/>
  <c r="BP40" i="1"/>
  <c r="BS40" i="1"/>
  <c r="BT40" i="1"/>
  <c r="BV40" i="1"/>
  <c r="BY40" i="1"/>
  <c r="CB40" i="1"/>
  <c r="CC40" i="1"/>
  <c r="CD40" i="1"/>
  <c r="CE40" i="1"/>
  <c r="CF40" i="1"/>
  <c r="CG40" i="1"/>
  <c r="B41" i="1"/>
  <c r="C41" i="1"/>
  <c r="E41" i="1"/>
  <c r="N41" i="1"/>
  <c r="BF41" i="1"/>
  <c r="BG41" i="1"/>
  <c r="BH41" i="1"/>
  <c r="R41" i="1" s="1"/>
  <c r="BI41" i="1"/>
  <c r="BJ41" i="1"/>
  <c r="BK41" i="1"/>
  <c r="BL41" i="1"/>
  <c r="BM41" i="1"/>
  <c r="BP41" i="1"/>
  <c r="BS41" i="1"/>
  <c r="BT41" i="1"/>
  <c r="BV41" i="1"/>
  <c r="BY41" i="1"/>
  <c r="CB41" i="1"/>
  <c r="CC41" i="1"/>
  <c r="CD41" i="1"/>
  <c r="CE41" i="1"/>
  <c r="CF41" i="1"/>
  <c r="CG41" i="1"/>
  <c r="B42" i="1"/>
  <c r="C42" i="1"/>
  <c r="E42" i="1"/>
  <c r="N42" i="1"/>
  <c r="BG42" i="1"/>
  <c r="BH42" i="1"/>
  <c r="R42" i="1" s="1"/>
  <c r="BU42" i="1" s="1"/>
  <c r="BI42" i="1"/>
  <c r="BJ42" i="1"/>
  <c r="BK42" i="1"/>
  <c r="BL42" i="1"/>
  <c r="BP42" i="1"/>
  <c r="BQ42" i="1"/>
  <c r="BS42" i="1"/>
  <c r="CA42" i="1" s="1"/>
  <c r="BT42" i="1"/>
  <c r="BV42" i="1"/>
  <c r="BX42" i="1"/>
  <c r="BY42" i="1"/>
  <c r="BZ42" i="1" s="1"/>
  <c r="CC42" i="1"/>
  <c r="CD42" i="1"/>
  <c r="CE42" i="1"/>
  <c r="CF42" i="1"/>
  <c r="CG42" i="1"/>
  <c r="B43" i="1"/>
  <c r="C43" i="1"/>
  <c r="E43" i="1"/>
  <c r="N43" i="1"/>
  <c r="BF43" i="1"/>
  <c r="BG43" i="1"/>
  <c r="BH43" i="1"/>
  <c r="R43" i="1" s="1"/>
  <c r="BI43" i="1"/>
  <c r="BJ43" i="1"/>
  <c r="BK43" i="1"/>
  <c r="BL43" i="1"/>
  <c r="BM43" i="1"/>
  <c r="BP43" i="1"/>
  <c r="BS43" i="1"/>
  <c r="BT43" i="1"/>
  <c r="BV43" i="1"/>
  <c r="BY43" i="1"/>
  <c r="CB43" i="1"/>
  <c r="CC43" i="1"/>
  <c r="CD43" i="1"/>
  <c r="CE43" i="1"/>
  <c r="CF43" i="1"/>
  <c r="CG43" i="1"/>
  <c r="B44" i="1"/>
  <c r="C44" i="1"/>
  <c r="E44" i="1"/>
  <c r="BF44" i="1"/>
  <c r="BG44" i="1"/>
  <c r="BR44" i="1" s="1"/>
  <c r="BH44" i="1"/>
  <c r="R44" i="1" s="1"/>
  <c r="BI44" i="1"/>
  <c r="BJ44" i="1"/>
  <c r="BK44" i="1"/>
  <c r="BL44" i="1"/>
  <c r="BM44" i="1"/>
  <c r="BP44" i="1"/>
  <c r="BS44" i="1"/>
  <c r="BT44" i="1"/>
  <c r="BV44" i="1"/>
  <c r="BY44" i="1"/>
  <c r="CB44" i="1"/>
  <c r="CC44" i="1"/>
  <c r="CD44" i="1"/>
  <c r="CE44" i="1"/>
  <c r="CF44" i="1"/>
  <c r="CG44" i="1"/>
  <c r="B45" i="1"/>
  <c r="C45" i="1"/>
  <c r="E45" i="1"/>
  <c r="BF45" i="1"/>
  <c r="BG45" i="1"/>
  <c r="BR45" i="1" s="1"/>
  <c r="BH45" i="1"/>
  <c r="R45" i="1" s="1"/>
  <c r="BI45" i="1"/>
  <c r="BJ45" i="1"/>
  <c r="BK45" i="1"/>
  <c r="BL45" i="1"/>
  <c r="BM45" i="1"/>
  <c r="BP45" i="1"/>
  <c r="BS45" i="1"/>
  <c r="BT45" i="1"/>
  <c r="BV45" i="1"/>
  <c r="BY45" i="1"/>
  <c r="CB45" i="1"/>
  <c r="CC45" i="1"/>
  <c r="CD45" i="1"/>
  <c r="CE45" i="1"/>
  <c r="CF45" i="1"/>
  <c r="CG45" i="1"/>
  <c r="B46" i="1"/>
  <c r="C46" i="1"/>
  <c r="E46" i="1"/>
  <c r="N46" i="1"/>
  <c r="BF46" i="1"/>
  <c r="BG46" i="1"/>
  <c r="BH46" i="1"/>
  <c r="R46" i="1" s="1"/>
  <c r="BI46" i="1"/>
  <c r="BJ46" i="1"/>
  <c r="BK46" i="1"/>
  <c r="BL46" i="1"/>
  <c r="BM46" i="1"/>
  <c r="BP46" i="1"/>
  <c r="BS46" i="1"/>
  <c r="BT46" i="1"/>
  <c r="BV46" i="1"/>
  <c r="BY46" i="1"/>
  <c r="CB46" i="1"/>
  <c r="CC46" i="1"/>
  <c r="CD46" i="1"/>
  <c r="CE46" i="1"/>
  <c r="CF46" i="1"/>
  <c r="CG46" i="1"/>
  <c r="B47" i="1"/>
  <c r="C47" i="1"/>
  <c r="E47" i="1"/>
  <c r="N47" i="1"/>
  <c r="BF47" i="1"/>
  <c r="BG47" i="1"/>
  <c r="BH47" i="1"/>
  <c r="R47" i="1" s="1"/>
  <c r="BI47" i="1"/>
  <c r="BJ47" i="1"/>
  <c r="BK47" i="1"/>
  <c r="BL47" i="1"/>
  <c r="BM47" i="1"/>
  <c r="BP47" i="1"/>
  <c r="BS47" i="1"/>
  <c r="BT47" i="1"/>
  <c r="BV47" i="1"/>
  <c r="BY47" i="1"/>
  <c r="CB47" i="1"/>
  <c r="CC47" i="1"/>
  <c r="CD47" i="1"/>
  <c r="CE47" i="1"/>
  <c r="CF47" i="1"/>
  <c r="CG47" i="1"/>
  <c r="B48" i="1"/>
  <c r="C48" i="1"/>
  <c r="E48" i="1"/>
  <c r="N48" i="1"/>
  <c r="BF48" i="1"/>
  <c r="BG48" i="1"/>
  <c r="BH48" i="1"/>
  <c r="R48" i="1" s="1"/>
  <c r="BI48" i="1"/>
  <c r="BJ48" i="1"/>
  <c r="BK48" i="1"/>
  <c r="BL48" i="1"/>
  <c r="BP48" i="1"/>
  <c r="BR48" i="1"/>
  <c r="BS48" i="1"/>
  <c r="BT48" i="1"/>
  <c r="BV48" i="1"/>
  <c r="BY48" i="1"/>
  <c r="CB48" i="1"/>
  <c r="CC48" i="1"/>
  <c r="CE48" i="1"/>
  <c r="CF48" i="1"/>
  <c r="CG48" i="1"/>
  <c r="B49" i="1"/>
  <c r="C49" i="1"/>
  <c r="E49" i="1"/>
  <c r="N49" i="1"/>
  <c r="BF49" i="1"/>
  <c r="BG49" i="1"/>
  <c r="BH49" i="1"/>
  <c r="R49" i="1" s="1"/>
  <c r="BI49" i="1"/>
  <c r="BJ49" i="1"/>
  <c r="BK49" i="1"/>
  <c r="BL49" i="1"/>
  <c r="BM49" i="1"/>
  <c r="BP49" i="1"/>
  <c r="BS49" i="1"/>
  <c r="BT49" i="1"/>
  <c r="BV49" i="1"/>
  <c r="BY49" i="1"/>
  <c r="CB49" i="1"/>
  <c r="CC49" i="1"/>
  <c r="CD49" i="1"/>
  <c r="CE49" i="1"/>
  <c r="CF49" i="1"/>
  <c r="CG49" i="1"/>
  <c r="B50" i="1"/>
  <c r="C50" i="1"/>
  <c r="E50" i="1"/>
  <c r="N50" i="1"/>
  <c r="BF50" i="1"/>
  <c r="BG50" i="1"/>
  <c r="BH50" i="1"/>
  <c r="R50" i="1" s="1"/>
  <c r="BI50" i="1"/>
  <c r="BJ50" i="1"/>
  <c r="BK50" i="1"/>
  <c r="BL50" i="1"/>
  <c r="BM50" i="1"/>
  <c r="BP50" i="1"/>
  <c r="BS50" i="1"/>
  <c r="BT50" i="1"/>
  <c r="BV50" i="1"/>
  <c r="BY50" i="1"/>
  <c r="CB50" i="1"/>
  <c r="CC50" i="1"/>
  <c r="CD50" i="1"/>
  <c r="CE50" i="1"/>
  <c r="CF50" i="1"/>
  <c r="CG50" i="1"/>
  <c r="B51" i="1"/>
  <c r="C51" i="1"/>
  <c r="E51" i="1"/>
  <c r="N51" i="1"/>
  <c r="BF51" i="1"/>
  <c r="BG51" i="1"/>
  <c r="BH51" i="1"/>
  <c r="R51" i="1" s="1"/>
  <c r="BI51" i="1"/>
  <c r="BJ51" i="1"/>
  <c r="BK51" i="1"/>
  <c r="BL51" i="1"/>
  <c r="BM51" i="1"/>
  <c r="BP51" i="1"/>
  <c r="BS51" i="1"/>
  <c r="BT51" i="1"/>
  <c r="BV51" i="1"/>
  <c r="BY51" i="1"/>
  <c r="CB51" i="1"/>
  <c r="CC51" i="1"/>
  <c r="CD51" i="1"/>
  <c r="CE51" i="1"/>
  <c r="CF51" i="1"/>
  <c r="CG51" i="1"/>
  <c r="B52" i="1"/>
  <c r="C52" i="1"/>
  <c r="E52" i="1"/>
  <c r="N52" i="1"/>
  <c r="BF52" i="1"/>
  <c r="BG52" i="1"/>
  <c r="BH52" i="1"/>
  <c r="R52" i="1" s="1"/>
  <c r="BI52" i="1"/>
  <c r="BJ52" i="1"/>
  <c r="BK52" i="1"/>
  <c r="BL52" i="1"/>
  <c r="BM52" i="1"/>
  <c r="BP52" i="1"/>
  <c r="BS52" i="1"/>
  <c r="BT52" i="1"/>
  <c r="BV52" i="1"/>
  <c r="BY52" i="1"/>
  <c r="CB52" i="1"/>
  <c r="CC52" i="1"/>
  <c r="CD52" i="1"/>
  <c r="CE52" i="1"/>
  <c r="CF52" i="1"/>
  <c r="CG52" i="1"/>
  <c r="B53" i="1"/>
  <c r="C53" i="1"/>
  <c r="E53" i="1"/>
  <c r="N53" i="1"/>
  <c r="BF53" i="1"/>
  <c r="BG53" i="1"/>
  <c r="BH53" i="1"/>
  <c r="R53" i="1" s="1"/>
  <c r="BI53" i="1"/>
  <c r="BJ53" i="1"/>
  <c r="BK53" i="1"/>
  <c r="BL53" i="1"/>
  <c r="BM53" i="1"/>
  <c r="BP53" i="1"/>
  <c r="BS53" i="1"/>
  <c r="BT53" i="1"/>
  <c r="BV53" i="1"/>
  <c r="BY53" i="1"/>
  <c r="CB53" i="1"/>
  <c r="CC53" i="1"/>
  <c r="CD53" i="1"/>
  <c r="CE53" i="1"/>
  <c r="CF53" i="1"/>
  <c r="CG53" i="1"/>
  <c r="B54" i="1"/>
  <c r="C54" i="1"/>
  <c r="E54" i="1"/>
  <c r="N54" i="1"/>
  <c r="BF54" i="1"/>
  <c r="BG54" i="1"/>
  <c r="BH54" i="1"/>
  <c r="R54" i="1" s="1"/>
  <c r="BI54" i="1"/>
  <c r="BJ54" i="1"/>
  <c r="BK54" i="1"/>
  <c r="BL54" i="1"/>
  <c r="BP54" i="1"/>
  <c r="BR54" i="1"/>
  <c r="BS54" i="1"/>
  <c r="BT54" i="1"/>
  <c r="BV54" i="1"/>
  <c r="BY54" i="1"/>
  <c r="CB54" i="1"/>
  <c r="CC54" i="1"/>
  <c r="CE54" i="1"/>
  <c r="CF54" i="1"/>
  <c r="CG54" i="1"/>
  <c r="B55" i="1"/>
  <c r="C55" i="1"/>
  <c r="E55" i="1"/>
  <c r="N55" i="1"/>
  <c r="BF55" i="1"/>
  <c r="BG55" i="1"/>
  <c r="BH55" i="1"/>
  <c r="R55" i="1" s="1"/>
  <c r="BI55" i="1"/>
  <c r="BJ55" i="1"/>
  <c r="BK55" i="1"/>
  <c r="BL55" i="1"/>
  <c r="BM55" i="1"/>
  <c r="BP55" i="1"/>
  <c r="BS55" i="1"/>
  <c r="BT55" i="1"/>
  <c r="BV55" i="1"/>
  <c r="BY55" i="1"/>
  <c r="CB55" i="1"/>
  <c r="CC55" i="1"/>
  <c r="CD55" i="1"/>
  <c r="CE55" i="1"/>
  <c r="CF55" i="1"/>
  <c r="CG55" i="1"/>
  <c r="B56" i="1"/>
  <c r="C56" i="1"/>
  <c r="E56" i="1"/>
  <c r="N56" i="1"/>
  <c r="BF56" i="1"/>
  <c r="BG56" i="1"/>
  <c r="BH56" i="1"/>
  <c r="R56" i="1" s="1"/>
  <c r="BI56" i="1"/>
  <c r="BJ56" i="1"/>
  <c r="BK56" i="1"/>
  <c r="BL56" i="1"/>
  <c r="BM56" i="1"/>
  <c r="BP56" i="1"/>
  <c r="BS56" i="1"/>
  <c r="BT56" i="1"/>
  <c r="BV56" i="1"/>
  <c r="BY56" i="1"/>
  <c r="CB56" i="1"/>
  <c r="CC56" i="1"/>
  <c r="CD56" i="1"/>
  <c r="CE56" i="1"/>
  <c r="CF56" i="1"/>
  <c r="CG56" i="1"/>
  <c r="B57" i="1"/>
  <c r="C57" i="1"/>
  <c r="E57" i="1"/>
  <c r="N57" i="1"/>
  <c r="BF57" i="1"/>
  <c r="BG57" i="1"/>
  <c r="BH57" i="1"/>
  <c r="R57" i="1" s="1"/>
  <c r="BI57" i="1"/>
  <c r="BJ57" i="1"/>
  <c r="BK57" i="1"/>
  <c r="BL57" i="1"/>
  <c r="BM57" i="1"/>
  <c r="BP57" i="1"/>
  <c r="BS57" i="1"/>
  <c r="BT57" i="1"/>
  <c r="BV57" i="1"/>
  <c r="BY57" i="1"/>
  <c r="CB57" i="1"/>
  <c r="CC57" i="1"/>
  <c r="CD57" i="1"/>
  <c r="CE57" i="1"/>
  <c r="CF57" i="1"/>
  <c r="CG57" i="1"/>
  <c r="B58" i="1"/>
  <c r="C58" i="1"/>
  <c r="E58" i="1"/>
  <c r="N58" i="1"/>
  <c r="BF58" i="1"/>
  <c r="BG58" i="1"/>
  <c r="BH58" i="1"/>
  <c r="R58" i="1" s="1"/>
  <c r="BI58" i="1"/>
  <c r="BJ58" i="1"/>
  <c r="BK58" i="1"/>
  <c r="BL58" i="1"/>
  <c r="BM58" i="1"/>
  <c r="BP58" i="1"/>
  <c r="BS58" i="1"/>
  <c r="BT58" i="1"/>
  <c r="BV58" i="1"/>
  <c r="BY58" i="1"/>
  <c r="CB58" i="1"/>
  <c r="CC58" i="1"/>
  <c r="CD58" i="1"/>
  <c r="CE58" i="1"/>
  <c r="CF58" i="1"/>
  <c r="CG58" i="1"/>
  <c r="B59" i="1"/>
  <c r="C59" i="1"/>
  <c r="E59" i="1"/>
  <c r="BF59" i="1"/>
  <c r="BG59" i="1"/>
  <c r="BR59" i="1" s="1"/>
  <c r="BH59" i="1"/>
  <c r="R59" i="1" s="1"/>
  <c r="BI59" i="1"/>
  <c r="BJ59" i="1"/>
  <c r="BK59" i="1"/>
  <c r="BL59" i="1"/>
  <c r="BM59" i="1"/>
  <c r="BP59" i="1"/>
  <c r="BS59" i="1"/>
  <c r="BT59" i="1"/>
  <c r="BV59" i="1"/>
  <c r="BY59" i="1"/>
  <c r="CB59" i="1"/>
  <c r="CC59" i="1"/>
  <c r="CD59" i="1"/>
  <c r="CE59" i="1"/>
  <c r="CF59" i="1"/>
  <c r="CG59" i="1"/>
  <c r="B60" i="1"/>
  <c r="C60" i="1"/>
  <c r="E60" i="1"/>
  <c r="N60" i="1"/>
  <c r="BF60" i="1"/>
  <c r="CI60" i="1" s="1"/>
  <c r="CJ60" i="1" s="1"/>
  <c r="BG60" i="1"/>
  <c r="BH60" i="1"/>
  <c r="R60" i="1" s="1"/>
  <c r="BI60" i="1"/>
  <c r="BJ60" i="1"/>
  <c r="BK60" i="1"/>
  <c r="BL60" i="1"/>
  <c r="BP60" i="1"/>
  <c r="BR60" i="1"/>
  <c r="BS60" i="1"/>
  <c r="BT60" i="1"/>
  <c r="BV60" i="1"/>
  <c r="BY60" i="1"/>
  <c r="CB60" i="1"/>
  <c r="CC60" i="1"/>
  <c r="CE60" i="1"/>
  <c r="CF60" i="1"/>
  <c r="CG60" i="1"/>
  <c r="B61" i="1"/>
  <c r="C61" i="1"/>
  <c r="E61" i="1"/>
  <c r="N61" i="1"/>
  <c r="BF61" i="1"/>
  <c r="BG61" i="1"/>
  <c r="BH61" i="1"/>
  <c r="R61" i="1" s="1"/>
  <c r="BI61" i="1"/>
  <c r="BJ61" i="1"/>
  <c r="BK61" i="1"/>
  <c r="BL61" i="1"/>
  <c r="BM61" i="1"/>
  <c r="BP61" i="1"/>
  <c r="BS61" i="1"/>
  <c r="BT61" i="1"/>
  <c r="BV61" i="1"/>
  <c r="BY61" i="1"/>
  <c r="CB61" i="1"/>
  <c r="CC61" i="1"/>
  <c r="CD61" i="1"/>
  <c r="CE61" i="1"/>
  <c r="CF61" i="1"/>
  <c r="CG61" i="1"/>
  <c r="B62" i="1"/>
  <c r="C62" i="1"/>
  <c r="E62" i="1"/>
  <c r="N62" i="1"/>
  <c r="BF62" i="1"/>
  <c r="BG62" i="1"/>
  <c r="BH62" i="1"/>
  <c r="R62" i="1" s="1"/>
  <c r="BI62" i="1"/>
  <c r="BJ62" i="1"/>
  <c r="BK62" i="1"/>
  <c r="BL62" i="1"/>
  <c r="BM62" i="1"/>
  <c r="BP62" i="1"/>
  <c r="BS62" i="1"/>
  <c r="BT62" i="1"/>
  <c r="BV62" i="1"/>
  <c r="BY62" i="1"/>
  <c r="CB62" i="1"/>
  <c r="CC62" i="1"/>
  <c r="CD62" i="1"/>
  <c r="CE62" i="1"/>
  <c r="CF62" i="1"/>
  <c r="CG62" i="1"/>
  <c r="B63" i="1"/>
  <c r="C63" i="1"/>
  <c r="E63" i="1"/>
  <c r="N63" i="1"/>
  <c r="Q63" i="1"/>
  <c r="BX63" i="1" s="1"/>
  <c r="BG63" i="1"/>
  <c r="BH63" i="1"/>
  <c r="R63" i="1" s="1"/>
  <c r="BI63" i="1"/>
  <c r="BJ63" i="1"/>
  <c r="BK63" i="1"/>
  <c r="BL63" i="1"/>
  <c r="BP63" i="1"/>
  <c r="BQ63" i="1"/>
  <c r="BS63" i="1"/>
  <c r="BT63" i="1"/>
  <c r="BV63" i="1"/>
  <c r="BY63" i="1"/>
  <c r="BZ63" i="1" s="1"/>
  <c r="CB63" i="1"/>
  <c r="CD63" i="1"/>
  <c r="CE63" i="1"/>
  <c r="CF63" i="1"/>
  <c r="CG63" i="1"/>
  <c r="B64" i="1"/>
  <c r="C64" i="1"/>
  <c r="E64" i="1"/>
  <c r="N64" i="1"/>
  <c r="BF64" i="1"/>
  <c r="BG64" i="1"/>
  <c r="BH64" i="1"/>
  <c r="R64" i="1" s="1"/>
  <c r="BI64" i="1"/>
  <c r="BJ64" i="1"/>
  <c r="BK64" i="1"/>
  <c r="BL64" i="1"/>
  <c r="BM64" i="1"/>
  <c r="BP64" i="1"/>
  <c r="BS64" i="1"/>
  <c r="BT64" i="1"/>
  <c r="BV64" i="1"/>
  <c r="BY64" i="1"/>
  <c r="CB64" i="1"/>
  <c r="CC64" i="1"/>
  <c r="CD64" i="1"/>
  <c r="CE64" i="1"/>
  <c r="CF64" i="1"/>
  <c r="CG64" i="1"/>
  <c r="B65" i="1"/>
  <c r="C65" i="1"/>
  <c r="E65" i="1"/>
  <c r="N65" i="1"/>
  <c r="BF65" i="1"/>
  <c r="BG65" i="1"/>
  <c r="BH65" i="1"/>
  <c r="R65" i="1" s="1"/>
  <c r="BI65" i="1"/>
  <c r="BJ65" i="1"/>
  <c r="BK65" i="1"/>
  <c r="BL65" i="1"/>
  <c r="BM65" i="1"/>
  <c r="BP65" i="1"/>
  <c r="BS65" i="1"/>
  <c r="BT65" i="1"/>
  <c r="BV65" i="1"/>
  <c r="BY65" i="1"/>
  <c r="CB65" i="1"/>
  <c r="CC65" i="1"/>
  <c r="CD65" i="1"/>
  <c r="CE65" i="1"/>
  <c r="CF65" i="1"/>
  <c r="CG65" i="1"/>
  <c r="B66" i="1"/>
  <c r="C66" i="1"/>
  <c r="E66" i="1"/>
  <c r="N66" i="1"/>
  <c r="BF66" i="1"/>
  <c r="BG66" i="1"/>
  <c r="BH66" i="1"/>
  <c r="R66" i="1" s="1"/>
  <c r="BI66" i="1"/>
  <c r="BJ66" i="1"/>
  <c r="BK66" i="1"/>
  <c r="BL66" i="1"/>
  <c r="BM66" i="1"/>
  <c r="BP66" i="1"/>
  <c r="BS66" i="1"/>
  <c r="BT66" i="1"/>
  <c r="BV66" i="1"/>
  <c r="BY66" i="1"/>
  <c r="CB66" i="1"/>
  <c r="CC66" i="1"/>
  <c r="CD66" i="1"/>
  <c r="CE66" i="1"/>
  <c r="CF66" i="1"/>
  <c r="CG66" i="1"/>
  <c r="B67" i="1"/>
  <c r="C67" i="1"/>
  <c r="E67" i="1"/>
  <c r="N67" i="1"/>
  <c r="BF67" i="1"/>
  <c r="BG67" i="1"/>
  <c r="BH67" i="1"/>
  <c r="R67" i="1" s="1"/>
  <c r="BI67" i="1"/>
  <c r="BJ67" i="1"/>
  <c r="BK67" i="1"/>
  <c r="BL67" i="1"/>
  <c r="BP67" i="1"/>
  <c r="BS67" i="1"/>
  <c r="BT67" i="1"/>
  <c r="BV67" i="1"/>
  <c r="BY67" i="1"/>
  <c r="CB67" i="1"/>
  <c r="CC67" i="1"/>
  <c r="CE67" i="1"/>
  <c r="CF67" i="1"/>
  <c r="CG67" i="1"/>
  <c r="B68" i="1"/>
  <c r="C68" i="1"/>
  <c r="E68" i="1"/>
  <c r="BF68" i="1"/>
  <c r="BG68" i="1"/>
  <c r="BR68" i="1" s="1"/>
  <c r="BH68" i="1"/>
  <c r="R68" i="1" s="1"/>
  <c r="BI68" i="1"/>
  <c r="BJ68" i="1"/>
  <c r="BK68" i="1"/>
  <c r="BL68" i="1"/>
  <c r="BM68" i="1"/>
  <c r="BP68" i="1"/>
  <c r="BS68" i="1"/>
  <c r="BT68" i="1"/>
  <c r="BV68" i="1"/>
  <c r="BY68" i="1"/>
  <c r="CB68" i="1"/>
  <c r="CC68" i="1"/>
  <c r="CD68" i="1"/>
  <c r="CE68" i="1"/>
  <c r="CF68" i="1"/>
  <c r="CG68" i="1"/>
  <c r="B69" i="1"/>
  <c r="C69" i="1"/>
  <c r="E69" i="1"/>
  <c r="N69" i="1"/>
  <c r="BF69" i="1"/>
  <c r="BG69" i="1"/>
  <c r="BH69" i="1"/>
  <c r="R69" i="1" s="1"/>
  <c r="BI69" i="1"/>
  <c r="BJ69" i="1"/>
  <c r="BK69" i="1"/>
  <c r="BL69" i="1"/>
  <c r="BM69" i="1"/>
  <c r="BP69" i="1"/>
  <c r="BS69" i="1"/>
  <c r="BT69" i="1"/>
  <c r="BV69" i="1"/>
  <c r="BY69" i="1"/>
  <c r="CB69" i="1"/>
  <c r="CC69" i="1"/>
  <c r="CD69" i="1"/>
  <c r="CE69" i="1"/>
  <c r="CF69" i="1"/>
  <c r="CG69" i="1"/>
  <c r="B70" i="1"/>
  <c r="C70" i="1"/>
  <c r="E70" i="1"/>
  <c r="N70" i="1"/>
  <c r="BF70" i="1"/>
  <c r="BG70" i="1"/>
  <c r="BH70" i="1"/>
  <c r="R70" i="1" s="1"/>
  <c r="BI70" i="1"/>
  <c r="BJ70" i="1"/>
  <c r="BK70" i="1"/>
  <c r="BL70" i="1"/>
  <c r="BM70" i="1"/>
  <c r="BP70" i="1"/>
  <c r="BS70" i="1"/>
  <c r="BT70" i="1"/>
  <c r="BV70" i="1"/>
  <c r="BY70" i="1"/>
  <c r="CB70" i="1"/>
  <c r="CC70" i="1"/>
  <c r="CD70" i="1"/>
  <c r="CE70" i="1"/>
  <c r="CF70" i="1"/>
  <c r="CG70" i="1"/>
  <c r="B71" i="1"/>
  <c r="C71" i="1"/>
  <c r="E71" i="1"/>
  <c r="N71" i="1"/>
  <c r="BF71" i="1"/>
  <c r="BG71" i="1"/>
  <c r="BH71" i="1"/>
  <c r="R71" i="1" s="1"/>
  <c r="BI71" i="1"/>
  <c r="BJ71" i="1"/>
  <c r="BK71" i="1"/>
  <c r="BL71" i="1"/>
  <c r="BM71" i="1"/>
  <c r="BP71" i="1"/>
  <c r="BS71" i="1"/>
  <c r="BT71" i="1"/>
  <c r="BV71" i="1"/>
  <c r="BY71" i="1"/>
  <c r="CB71" i="1"/>
  <c r="CC71" i="1"/>
  <c r="CD71" i="1"/>
  <c r="CE71" i="1"/>
  <c r="CF71" i="1"/>
  <c r="CG71" i="1"/>
  <c r="B72" i="1"/>
  <c r="C72" i="1"/>
  <c r="E72" i="1"/>
  <c r="N72" i="1"/>
  <c r="BF72" i="1"/>
  <c r="BG72" i="1"/>
  <c r="BH72" i="1"/>
  <c r="R72" i="1" s="1"/>
  <c r="BI72" i="1"/>
  <c r="BJ72" i="1"/>
  <c r="BK72" i="1"/>
  <c r="BL72" i="1"/>
  <c r="BM72" i="1"/>
  <c r="BP72" i="1"/>
  <c r="BS72" i="1"/>
  <c r="BT72" i="1"/>
  <c r="BV72" i="1"/>
  <c r="BY72" i="1"/>
  <c r="CB72" i="1"/>
  <c r="CC72" i="1"/>
  <c r="CD72" i="1"/>
  <c r="CE72" i="1"/>
  <c r="CF72" i="1"/>
  <c r="CG72" i="1"/>
  <c r="B73" i="1"/>
  <c r="C73" i="1"/>
  <c r="E73" i="1"/>
  <c r="N73" i="1"/>
  <c r="BF73" i="1"/>
  <c r="BG73" i="1"/>
  <c r="BH73" i="1"/>
  <c r="R73" i="1" s="1"/>
  <c r="BI73" i="1"/>
  <c r="BJ73" i="1"/>
  <c r="BK73" i="1"/>
  <c r="BL73" i="1"/>
  <c r="BM73" i="1"/>
  <c r="BP73" i="1"/>
  <c r="BS73" i="1"/>
  <c r="BT73" i="1"/>
  <c r="BV73" i="1"/>
  <c r="BY73" i="1"/>
  <c r="CB73" i="1"/>
  <c r="CC73" i="1"/>
  <c r="CD73" i="1"/>
  <c r="CE73" i="1"/>
  <c r="CF73" i="1"/>
  <c r="CG73" i="1"/>
  <c r="B74" i="1"/>
  <c r="C74" i="1"/>
  <c r="E74" i="1"/>
  <c r="N74" i="1"/>
  <c r="BF74" i="1"/>
  <c r="BG74" i="1"/>
  <c r="BH74" i="1"/>
  <c r="R74" i="1" s="1"/>
  <c r="BI74" i="1"/>
  <c r="BJ74" i="1"/>
  <c r="BK74" i="1"/>
  <c r="BL74" i="1"/>
  <c r="BM74" i="1"/>
  <c r="BP74" i="1"/>
  <c r="BS74" i="1"/>
  <c r="BT74" i="1"/>
  <c r="BV74" i="1"/>
  <c r="BY74" i="1"/>
  <c r="CB74" i="1"/>
  <c r="CC74" i="1"/>
  <c r="CD74" i="1"/>
  <c r="CE74" i="1"/>
  <c r="CF74" i="1"/>
  <c r="CG74" i="1"/>
  <c r="B75" i="1"/>
  <c r="C75" i="1"/>
  <c r="E75" i="1"/>
  <c r="BF75" i="1"/>
  <c r="BG75" i="1"/>
  <c r="BR75" i="1" s="1"/>
  <c r="BH75" i="1"/>
  <c r="R75" i="1" s="1"/>
  <c r="BI75" i="1"/>
  <c r="BJ75" i="1"/>
  <c r="BK75" i="1"/>
  <c r="BL75" i="1"/>
  <c r="BM75" i="1"/>
  <c r="BP75" i="1"/>
  <c r="BS75" i="1"/>
  <c r="BT75" i="1"/>
  <c r="BV75" i="1"/>
  <c r="BY75" i="1"/>
  <c r="CB75" i="1"/>
  <c r="CC75" i="1"/>
  <c r="CD75" i="1"/>
  <c r="CE75" i="1"/>
  <c r="CF75" i="1"/>
  <c r="CG75" i="1"/>
  <c r="B76" i="1"/>
  <c r="C76" i="1"/>
  <c r="E76" i="1"/>
  <c r="N76" i="1"/>
  <c r="BF76" i="1"/>
  <c r="BG76" i="1"/>
  <c r="BH76" i="1"/>
  <c r="R76" i="1" s="1"/>
  <c r="BI76" i="1"/>
  <c r="BJ76" i="1"/>
  <c r="BK76" i="1"/>
  <c r="BL76" i="1"/>
  <c r="BM76" i="1"/>
  <c r="BP76" i="1"/>
  <c r="BS76" i="1"/>
  <c r="BT76" i="1"/>
  <c r="BV76" i="1"/>
  <c r="BY76" i="1"/>
  <c r="CB76" i="1"/>
  <c r="CC76" i="1"/>
  <c r="CD76" i="1"/>
  <c r="CE76" i="1"/>
  <c r="CF76" i="1"/>
  <c r="CG76" i="1"/>
  <c r="B77" i="1"/>
  <c r="C77" i="1"/>
  <c r="E77" i="1"/>
  <c r="N77" i="1"/>
  <c r="BF77" i="1"/>
  <c r="BG77" i="1"/>
  <c r="BH77" i="1"/>
  <c r="R77" i="1" s="1"/>
  <c r="BI77" i="1"/>
  <c r="BJ77" i="1"/>
  <c r="BK77" i="1"/>
  <c r="BL77" i="1"/>
  <c r="BM77" i="1"/>
  <c r="BP77" i="1"/>
  <c r="BS77" i="1"/>
  <c r="BT77" i="1"/>
  <c r="BV77" i="1"/>
  <c r="BY77" i="1"/>
  <c r="CB77" i="1"/>
  <c r="CC77" i="1"/>
  <c r="CD77" i="1"/>
  <c r="CE77" i="1"/>
  <c r="CF77" i="1"/>
  <c r="CG77" i="1"/>
  <c r="B78" i="1"/>
  <c r="C78" i="1"/>
  <c r="E78" i="1"/>
  <c r="N78" i="1"/>
  <c r="BF78" i="1"/>
  <c r="BG78" i="1"/>
  <c r="BH78" i="1"/>
  <c r="R78" i="1" s="1"/>
  <c r="BI78" i="1"/>
  <c r="BJ78" i="1"/>
  <c r="BK78" i="1"/>
  <c r="BL78" i="1"/>
  <c r="BM78" i="1"/>
  <c r="BP78" i="1"/>
  <c r="BS78" i="1"/>
  <c r="BT78" i="1"/>
  <c r="BV78" i="1"/>
  <c r="BY78" i="1"/>
  <c r="CB78" i="1"/>
  <c r="CC78" i="1"/>
  <c r="CD78" i="1"/>
  <c r="CE78" i="1"/>
  <c r="CF78" i="1"/>
  <c r="CG78" i="1"/>
  <c r="B79" i="1"/>
  <c r="C79" i="1"/>
  <c r="E79" i="1"/>
  <c r="N79" i="1"/>
  <c r="BF79" i="1"/>
  <c r="BG79" i="1"/>
  <c r="BH79" i="1"/>
  <c r="R79" i="1" s="1"/>
  <c r="BI79" i="1"/>
  <c r="BJ79" i="1"/>
  <c r="BK79" i="1"/>
  <c r="BL79" i="1"/>
  <c r="BM79" i="1"/>
  <c r="BP79" i="1"/>
  <c r="BS79" i="1"/>
  <c r="BT79" i="1"/>
  <c r="BV79" i="1"/>
  <c r="BY79" i="1"/>
  <c r="CB79" i="1"/>
  <c r="CC79" i="1"/>
  <c r="CD79" i="1"/>
  <c r="CE79" i="1"/>
  <c r="CF79" i="1"/>
  <c r="CG79" i="1"/>
  <c r="B80" i="1"/>
  <c r="C80" i="1"/>
  <c r="E80" i="1"/>
  <c r="N80" i="1"/>
  <c r="BG80" i="1"/>
  <c r="BH80" i="1"/>
  <c r="R80" i="1" s="1"/>
  <c r="BU80" i="1" s="1"/>
  <c r="BI80" i="1"/>
  <c r="BJ80" i="1"/>
  <c r="BK80" i="1"/>
  <c r="BL80" i="1"/>
  <c r="BP80" i="1"/>
  <c r="BQ80" i="1"/>
  <c r="BS80" i="1"/>
  <c r="CA80" i="1" s="1"/>
  <c r="BT80" i="1"/>
  <c r="BV80" i="1"/>
  <c r="BX80" i="1"/>
  <c r="BY80" i="1"/>
  <c r="BZ80" i="1" s="1"/>
  <c r="CC80" i="1"/>
  <c r="CD80" i="1"/>
  <c r="CE80" i="1"/>
  <c r="CF80" i="1"/>
  <c r="CG80" i="1"/>
  <c r="B81" i="1"/>
  <c r="C81" i="1"/>
  <c r="E81" i="1"/>
  <c r="N81" i="1"/>
  <c r="BF81" i="1"/>
  <c r="BG81" i="1"/>
  <c r="BH81" i="1"/>
  <c r="R81" i="1" s="1"/>
  <c r="BI81" i="1"/>
  <c r="BJ81" i="1"/>
  <c r="BK81" i="1"/>
  <c r="BL81" i="1"/>
  <c r="BP81" i="1"/>
  <c r="BR81" i="1"/>
  <c r="BS81" i="1"/>
  <c r="BT81" i="1"/>
  <c r="BV81" i="1"/>
  <c r="BY81" i="1"/>
  <c r="CB81" i="1"/>
  <c r="CC81" i="1"/>
  <c r="CE81" i="1"/>
  <c r="CF81" i="1"/>
  <c r="CG81" i="1"/>
  <c r="B82" i="1"/>
  <c r="C82" i="1"/>
  <c r="E82" i="1"/>
  <c r="BF82" i="1"/>
  <c r="BG82" i="1"/>
  <c r="BR82" i="1" s="1"/>
  <c r="BH82" i="1"/>
  <c r="R82" i="1" s="1"/>
  <c r="BI82" i="1"/>
  <c r="BJ82" i="1"/>
  <c r="BK82" i="1"/>
  <c r="BL82" i="1"/>
  <c r="BM82" i="1"/>
  <c r="BP82" i="1"/>
  <c r="BS82" i="1"/>
  <c r="BT82" i="1"/>
  <c r="BV82" i="1"/>
  <c r="BY82" i="1"/>
  <c r="CB82" i="1"/>
  <c r="CC82" i="1"/>
  <c r="CD82" i="1"/>
  <c r="CE82" i="1"/>
  <c r="CF82" i="1"/>
  <c r="CG82" i="1"/>
  <c r="B83" i="1"/>
  <c r="C83" i="1"/>
  <c r="E83" i="1"/>
  <c r="N83" i="1"/>
  <c r="BF83" i="1"/>
  <c r="BG83" i="1"/>
  <c r="BH83" i="1"/>
  <c r="R83" i="1" s="1"/>
  <c r="BI83" i="1"/>
  <c r="BJ83" i="1"/>
  <c r="BK83" i="1"/>
  <c r="BL83" i="1"/>
  <c r="BM83" i="1"/>
  <c r="BP83" i="1"/>
  <c r="BS83" i="1"/>
  <c r="BT83" i="1"/>
  <c r="BV83" i="1"/>
  <c r="BY83" i="1"/>
  <c r="CB83" i="1"/>
  <c r="CC83" i="1"/>
  <c r="CD83" i="1"/>
  <c r="CE83" i="1"/>
  <c r="CF83" i="1"/>
  <c r="CG83" i="1"/>
  <c r="B84" i="1"/>
  <c r="C84" i="1"/>
  <c r="E84" i="1"/>
  <c r="N84" i="1"/>
  <c r="BF84" i="1"/>
  <c r="BG84" i="1"/>
  <c r="BH84" i="1"/>
  <c r="R84" i="1" s="1"/>
  <c r="BI84" i="1"/>
  <c r="BJ84" i="1"/>
  <c r="BK84" i="1"/>
  <c r="BL84" i="1"/>
  <c r="BP84" i="1"/>
  <c r="BS84" i="1"/>
  <c r="BT84" i="1"/>
  <c r="BV84" i="1"/>
  <c r="BY84" i="1"/>
  <c r="CB84" i="1"/>
  <c r="CC84" i="1"/>
  <c r="CE84" i="1"/>
  <c r="CF84" i="1"/>
  <c r="CG84" i="1"/>
  <c r="B85" i="1"/>
  <c r="C85" i="1"/>
  <c r="E85" i="1"/>
  <c r="Q85" i="1"/>
  <c r="BX85" i="1" s="1"/>
  <c r="BH85" i="1"/>
  <c r="R85" i="1" s="1"/>
  <c r="BI85" i="1"/>
  <c r="BJ85" i="1"/>
  <c r="BK85" i="1"/>
  <c r="BL85" i="1"/>
  <c r="BM85" i="1"/>
  <c r="BP85" i="1"/>
  <c r="BQ85" i="1"/>
  <c r="BS85" i="1"/>
  <c r="CA85" i="1" s="1"/>
  <c r="BT85" i="1"/>
  <c r="BY85" i="1"/>
  <c r="BZ85" i="1" s="1"/>
  <c r="CE85" i="1"/>
  <c r="CF85" i="1"/>
  <c r="CG85" i="1"/>
  <c r="B86" i="1"/>
  <c r="C86" i="1"/>
  <c r="E86" i="1"/>
  <c r="N86" i="1"/>
  <c r="BF86" i="1"/>
  <c r="BG86" i="1"/>
  <c r="BH86" i="1"/>
  <c r="R86" i="1" s="1"/>
  <c r="BI86" i="1"/>
  <c r="BJ86" i="1"/>
  <c r="BK86" i="1"/>
  <c r="BL86" i="1"/>
  <c r="BM86" i="1"/>
  <c r="BP86" i="1"/>
  <c r="BS86" i="1"/>
  <c r="BT86" i="1"/>
  <c r="BV86" i="1"/>
  <c r="BY86" i="1"/>
  <c r="CB86" i="1"/>
  <c r="CC86" i="1"/>
  <c r="CD86" i="1"/>
  <c r="CE86" i="1"/>
  <c r="CF86" i="1"/>
  <c r="CG86" i="1"/>
  <c r="B87" i="1"/>
  <c r="C87" i="1"/>
  <c r="E87" i="1"/>
  <c r="BF87" i="1"/>
  <c r="BG87" i="1"/>
  <c r="BR87" i="1" s="1"/>
  <c r="BH87" i="1"/>
  <c r="R87" i="1" s="1"/>
  <c r="BI87" i="1"/>
  <c r="BJ87" i="1"/>
  <c r="BK87" i="1"/>
  <c r="BL87" i="1"/>
  <c r="BM87" i="1"/>
  <c r="BP87" i="1"/>
  <c r="BS87" i="1"/>
  <c r="BT87" i="1"/>
  <c r="BV87" i="1"/>
  <c r="BY87" i="1"/>
  <c r="CB87" i="1"/>
  <c r="CC87" i="1"/>
  <c r="CD87" i="1"/>
  <c r="CE87" i="1"/>
  <c r="CF87" i="1"/>
  <c r="CG87" i="1"/>
  <c r="B88" i="1"/>
  <c r="C88" i="1"/>
  <c r="E88" i="1"/>
  <c r="N88" i="1"/>
  <c r="BF88" i="1"/>
  <c r="BG88" i="1"/>
  <c r="BH88" i="1"/>
  <c r="R88" i="1" s="1"/>
  <c r="BI88" i="1"/>
  <c r="BJ88" i="1"/>
  <c r="BK88" i="1"/>
  <c r="BL88" i="1"/>
  <c r="BM88" i="1"/>
  <c r="BP88" i="1"/>
  <c r="BS88" i="1"/>
  <c r="BT88" i="1"/>
  <c r="BV88" i="1"/>
  <c r="BY88" i="1"/>
  <c r="CB88" i="1"/>
  <c r="CC88" i="1"/>
  <c r="CD88" i="1"/>
  <c r="CE88" i="1"/>
  <c r="CF88" i="1"/>
  <c r="CG88" i="1"/>
  <c r="B89" i="1"/>
  <c r="C89" i="1"/>
  <c r="E89" i="1"/>
  <c r="BF89" i="1"/>
  <c r="BG89" i="1"/>
  <c r="BR89" i="1" s="1"/>
  <c r="BH89" i="1"/>
  <c r="R89" i="1" s="1"/>
  <c r="BI89" i="1"/>
  <c r="BJ89" i="1"/>
  <c r="BK89" i="1"/>
  <c r="BL89" i="1"/>
  <c r="BM89" i="1"/>
  <c r="BP89" i="1"/>
  <c r="BS89" i="1"/>
  <c r="BT89" i="1"/>
  <c r="BV89" i="1"/>
  <c r="BY89" i="1"/>
  <c r="CB89" i="1"/>
  <c r="CC89" i="1"/>
  <c r="CD89" i="1"/>
  <c r="CE89" i="1"/>
  <c r="CF89" i="1"/>
  <c r="CG89" i="1"/>
  <c r="B90" i="1"/>
  <c r="C90" i="1"/>
  <c r="E90" i="1"/>
  <c r="BF90" i="1"/>
  <c r="BG90" i="1"/>
  <c r="BR90" i="1" s="1"/>
  <c r="BH90" i="1"/>
  <c r="R90" i="1" s="1"/>
  <c r="BI90" i="1"/>
  <c r="BJ90" i="1"/>
  <c r="BK90" i="1"/>
  <c r="BL90" i="1"/>
  <c r="BM90" i="1"/>
  <c r="BP90" i="1"/>
  <c r="BS90" i="1"/>
  <c r="BT90" i="1"/>
  <c r="BV90" i="1"/>
  <c r="BY90" i="1"/>
  <c r="CB90" i="1"/>
  <c r="CC90" i="1"/>
  <c r="CD90" i="1"/>
  <c r="CE90" i="1"/>
  <c r="CF90" i="1"/>
  <c r="CG90" i="1"/>
  <c r="B91" i="1"/>
  <c r="C91" i="1"/>
  <c r="E91" i="1"/>
  <c r="BF91" i="1"/>
  <c r="BG91" i="1"/>
  <c r="BR91" i="1" s="1"/>
  <c r="BH91" i="1"/>
  <c r="R91" i="1" s="1"/>
  <c r="BI91" i="1"/>
  <c r="BJ91" i="1"/>
  <c r="BK91" i="1"/>
  <c r="BL91" i="1"/>
  <c r="BM91" i="1"/>
  <c r="BP91" i="1"/>
  <c r="BS91" i="1"/>
  <c r="BT91" i="1"/>
  <c r="BV91" i="1"/>
  <c r="BY91" i="1"/>
  <c r="CB91" i="1"/>
  <c r="CC91" i="1"/>
  <c r="CD91" i="1"/>
  <c r="CE91" i="1"/>
  <c r="CF91" i="1"/>
  <c r="CG91" i="1"/>
  <c r="B92" i="1"/>
  <c r="C92" i="1"/>
  <c r="E92" i="1"/>
  <c r="N92" i="1"/>
  <c r="BF92" i="1"/>
  <c r="BG92" i="1"/>
  <c r="BH92" i="1"/>
  <c r="R92" i="1" s="1"/>
  <c r="BI92" i="1"/>
  <c r="BJ92" i="1"/>
  <c r="BK92" i="1"/>
  <c r="BL92" i="1"/>
  <c r="BP92" i="1"/>
  <c r="BS92" i="1"/>
  <c r="BT92" i="1"/>
  <c r="BV92" i="1"/>
  <c r="BY92" i="1"/>
  <c r="CB92" i="1"/>
  <c r="CC92" i="1"/>
  <c r="CE92" i="1"/>
  <c r="CF92" i="1"/>
  <c r="CG92" i="1"/>
  <c r="B93" i="1"/>
  <c r="C93" i="1"/>
  <c r="E93" i="1"/>
  <c r="N93" i="1"/>
  <c r="BF93" i="1"/>
  <c r="BG93" i="1"/>
  <c r="BH93" i="1"/>
  <c r="R93" i="1" s="1"/>
  <c r="BI93" i="1"/>
  <c r="BJ93" i="1"/>
  <c r="BK93" i="1"/>
  <c r="BL93" i="1"/>
  <c r="BM93" i="1"/>
  <c r="BP93" i="1"/>
  <c r="BS93" i="1"/>
  <c r="BT93" i="1"/>
  <c r="BV93" i="1"/>
  <c r="BY93" i="1"/>
  <c r="CB93" i="1"/>
  <c r="CC93" i="1"/>
  <c r="CD93" i="1"/>
  <c r="CE93" i="1"/>
  <c r="CF93" i="1"/>
  <c r="CG93" i="1"/>
  <c r="B94" i="1"/>
  <c r="C94" i="1"/>
  <c r="E94" i="1"/>
  <c r="N94" i="1"/>
  <c r="BF94" i="1"/>
  <c r="BG94" i="1"/>
  <c r="BH94" i="1"/>
  <c r="R94" i="1" s="1"/>
  <c r="BI94" i="1"/>
  <c r="BJ94" i="1"/>
  <c r="BK94" i="1"/>
  <c r="BL94" i="1"/>
  <c r="BM94" i="1"/>
  <c r="BP94" i="1"/>
  <c r="BS94" i="1"/>
  <c r="BT94" i="1"/>
  <c r="BV94" i="1"/>
  <c r="BY94" i="1"/>
  <c r="CB94" i="1"/>
  <c r="CC94" i="1"/>
  <c r="CD94" i="1"/>
  <c r="CE94" i="1"/>
  <c r="CF94" i="1"/>
  <c r="CG94" i="1"/>
  <c r="B95" i="1"/>
  <c r="C95" i="1"/>
  <c r="E95" i="1"/>
  <c r="N95" i="1"/>
  <c r="BF95" i="1"/>
  <c r="BG95" i="1"/>
  <c r="BH95" i="1"/>
  <c r="R95" i="1" s="1"/>
  <c r="BI95" i="1"/>
  <c r="BJ95" i="1"/>
  <c r="BK95" i="1"/>
  <c r="BL95" i="1"/>
  <c r="BM95" i="1"/>
  <c r="BP95" i="1"/>
  <c r="BS95" i="1"/>
  <c r="BT95" i="1"/>
  <c r="BV95" i="1"/>
  <c r="BY95" i="1"/>
  <c r="CB95" i="1"/>
  <c r="CC95" i="1"/>
  <c r="CD95" i="1"/>
  <c r="CE95" i="1"/>
  <c r="CF95" i="1"/>
  <c r="CG95" i="1"/>
  <c r="B96" i="1"/>
  <c r="C96" i="1"/>
  <c r="E96" i="1"/>
  <c r="N96" i="1"/>
  <c r="BF96" i="1"/>
  <c r="BG96" i="1"/>
  <c r="BH96" i="1"/>
  <c r="R96" i="1" s="1"/>
  <c r="BI96" i="1"/>
  <c r="BJ96" i="1"/>
  <c r="BK96" i="1"/>
  <c r="BL96" i="1"/>
  <c r="BM96" i="1"/>
  <c r="BP96" i="1"/>
  <c r="BS96" i="1"/>
  <c r="BT96" i="1"/>
  <c r="BV96" i="1"/>
  <c r="BY96" i="1"/>
  <c r="CB96" i="1"/>
  <c r="CC96" i="1"/>
  <c r="CD96" i="1"/>
  <c r="CE96" i="1"/>
  <c r="CF96" i="1"/>
  <c r="CG96" i="1"/>
  <c r="B97" i="1"/>
  <c r="C97" i="1"/>
  <c r="E97" i="1"/>
  <c r="BF97" i="1"/>
  <c r="BG97" i="1"/>
  <c r="BR97" i="1" s="1"/>
  <c r="BH97" i="1"/>
  <c r="R97" i="1" s="1"/>
  <c r="BI97" i="1"/>
  <c r="BJ97" i="1"/>
  <c r="BK97" i="1"/>
  <c r="BL97" i="1"/>
  <c r="BM97" i="1"/>
  <c r="BP97" i="1"/>
  <c r="BS97" i="1"/>
  <c r="BT97" i="1"/>
  <c r="BV97" i="1"/>
  <c r="BY97" i="1"/>
  <c r="CB97" i="1"/>
  <c r="CC97" i="1"/>
  <c r="CD97" i="1"/>
  <c r="CE97" i="1"/>
  <c r="CF97" i="1"/>
  <c r="CG97" i="1"/>
  <c r="B98" i="1"/>
  <c r="C98" i="1"/>
  <c r="E98" i="1"/>
  <c r="N98" i="1"/>
  <c r="Q98" i="1"/>
  <c r="BX98" i="1" s="1"/>
  <c r="BH98" i="1"/>
  <c r="R98" i="1" s="1"/>
  <c r="BI98" i="1"/>
  <c r="BJ98" i="1"/>
  <c r="BK98" i="1"/>
  <c r="BL98" i="1"/>
  <c r="BP98" i="1"/>
  <c r="BQ98" i="1"/>
  <c r="BS98" i="1"/>
  <c r="CA98" i="1" s="1"/>
  <c r="BT98" i="1"/>
  <c r="BY98" i="1"/>
  <c r="BZ98" i="1" s="1"/>
  <c r="CD98" i="1"/>
  <c r="CE98" i="1"/>
  <c r="CF98" i="1"/>
  <c r="CG98" i="1"/>
  <c r="B99" i="1"/>
  <c r="C99" i="1"/>
  <c r="E99" i="1"/>
  <c r="N99" i="1"/>
  <c r="BF99" i="1"/>
  <c r="BG99" i="1"/>
  <c r="BH99" i="1"/>
  <c r="R99" i="1" s="1"/>
  <c r="BI99" i="1"/>
  <c r="BJ99" i="1"/>
  <c r="BK99" i="1"/>
  <c r="BL99" i="1"/>
  <c r="BM99" i="1"/>
  <c r="BP99" i="1"/>
  <c r="BS99" i="1"/>
  <c r="BT99" i="1"/>
  <c r="BV99" i="1"/>
  <c r="BY99" i="1"/>
  <c r="CB99" i="1"/>
  <c r="CC99" i="1"/>
  <c r="CD99" i="1"/>
  <c r="CE99" i="1"/>
  <c r="CF99" i="1"/>
  <c r="CG99" i="1"/>
  <c r="B100" i="1"/>
  <c r="C100" i="1"/>
  <c r="E100" i="1"/>
  <c r="N100" i="1"/>
  <c r="BF100" i="1"/>
  <c r="BG100" i="1"/>
  <c r="BH100" i="1"/>
  <c r="R100" i="1" s="1"/>
  <c r="BI100" i="1"/>
  <c r="BJ100" i="1"/>
  <c r="BK100" i="1"/>
  <c r="BL100" i="1"/>
  <c r="BP100" i="1"/>
  <c r="BS100" i="1"/>
  <c r="BT100" i="1"/>
  <c r="BV100" i="1"/>
  <c r="BY100" i="1"/>
  <c r="CB100" i="1"/>
  <c r="CC100" i="1"/>
  <c r="CE100" i="1"/>
  <c r="CF100" i="1"/>
  <c r="CG100" i="1"/>
  <c r="B101" i="1"/>
  <c r="C101" i="1"/>
  <c r="E101" i="1"/>
  <c r="BF101" i="1"/>
  <c r="BG101" i="1"/>
  <c r="BH101" i="1"/>
  <c r="R101" i="1" s="1"/>
  <c r="BI101" i="1"/>
  <c r="BJ101" i="1"/>
  <c r="BK101" i="1"/>
  <c r="BL101" i="1"/>
  <c r="BM101" i="1"/>
  <c r="BP101" i="1"/>
  <c r="BS101" i="1"/>
  <c r="CA101" i="1" s="1"/>
  <c r="BT101" i="1"/>
  <c r="BV101" i="1"/>
  <c r="BY101" i="1"/>
  <c r="CB101" i="1"/>
  <c r="CC101" i="1"/>
  <c r="CD101" i="1"/>
  <c r="CE101" i="1"/>
  <c r="CF101" i="1"/>
  <c r="CG101" i="1"/>
  <c r="B102" i="1"/>
  <c r="C102" i="1"/>
  <c r="E102" i="1"/>
  <c r="N102" i="1"/>
  <c r="BF102" i="1"/>
  <c r="BG102" i="1"/>
  <c r="BH102" i="1"/>
  <c r="R102" i="1" s="1"/>
  <c r="BI102" i="1"/>
  <c r="BJ102" i="1"/>
  <c r="BK102" i="1"/>
  <c r="BL102" i="1"/>
  <c r="BP102" i="1"/>
  <c r="BS102" i="1"/>
  <c r="BT102" i="1"/>
  <c r="BV102" i="1"/>
  <c r="BY102" i="1"/>
  <c r="CB102" i="1"/>
  <c r="CC102" i="1"/>
  <c r="CE102" i="1"/>
  <c r="CF102" i="1"/>
  <c r="CG102" i="1"/>
  <c r="B103" i="1"/>
  <c r="C103" i="1"/>
  <c r="E103" i="1"/>
  <c r="N103" i="1"/>
  <c r="BF103" i="1"/>
  <c r="BG103" i="1"/>
  <c r="BH103" i="1"/>
  <c r="R103" i="1" s="1"/>
  <c r="BI103" i="1"/>
  <c r="BJ103" i="1"/>
  <c r="BK103" i="1"/>
  <c r="BL103" i="1"/>
  <c r="BM103" i="1"/>
  <c r="BP103" i="1"/>
  <c r="BS103" i="1"/>
  <c r="BT103" i="1"/>
  <c r="BV103" i="1"/>
  <c r="BY103" i="1"/>
  <c r="CB103" i="1"/>
  <c r="CC103" i="1"/>
  <c r="CD103" i="1"/>
  <c r="CE103" i="1"/>
  <c r="CF103" i="1"/>
  <c r="CG103" i="1"/>
  <c r="Q71" i="1" l="1"/>
  <c r="BU71" i="1" s="1"/>
  <c r="BW71" i="1" s="1"/>
  <c r="CI71" i="1"/>
  <c r="CJ71" i="1" s="1"/>
  <c r="Q36" i="1"/>
  <c r="BX36" i="1" s="1"/>
  <c r="CI36" i="1"/>
  <c r="CJ36" i="1" s="1"/>
  <c r="BQ281" i="1"/>
  <c r="CI281" i="1"/>
  <c r="CJ281" i="1" s="1"/>
  <c r="Q241" i="1"/>
  <c r="BX241" i="1" s="1"/>
  <c r="CI241" i="1"/>
  <c r="CJ241" i="1" s="1"/>
  <c r="Q208" i="1"/>
  <c r="BX208" i="1" s="1"/>
  <c r="CI208" i="1"/>
  <c r="CJ208" i="1" s="1"/>
  <c r="BQ95" i="1"/>
  <c r="CI95" i="1"/>
  <c r="CJ95" i="1" s="1"/>
  <c r="Q90" i="1"/>
  <c r="BX90" i="1" s="1"/>
  <c r="CI90" i="1"/>
  <c r="CJ90" i="1" s="1"/>
  <c r="Q84" i="1"/>
  <c r="BU84" i="1" s="1"/>
  <c r="BW84" i="1" s="1"/>
  <c r="CI84" i="1"/>
  <c r="CJ84" i="1" s="1"/>
  <c r="Q79" i="1"/>
  <c r="BX79" i="1" s="1"/>
  <c r="CI79" i="1"/>
  <c r="CJ79" i="1" s="1"/>
  <c r="BQ72" i="1"/>
  <c r="CI72" i="1"/>
  <c r="CJ72" i="1" s="1"/>
  <c r="BQ67" i="1"/>
  <c r="CI67" i="1"/>
  <c r="CJ67" i="1" s="1"/>
  <c r="Q48" i="1"/>
  <c r="BU48" i="1" s="1"/>
  <c r="BW48" i="1" s="1"/>
  <c r="CI48" i="1"/>
  <c r="CJ48" i="1" s="1"/>
  <c r="Q31" i="1"/>
  <c r="BX31" i="1" s="1"/>
  <c r="CI31" i="1"/>
  <c r="CJ31" i="1" s="1"/>
  <c r="Q276" i="1"/>
  <c r="BU276" i="1" s="1"/>
  <c r="BW276" i="1" s="1"/>
  <c r="CI276" i="1"/>
  <c r="CJ276" i="1" s="1"/>
  <c r="Q254" i="1"/>
  <c r="BX254" i="1" s="1"/>
  <c r="CI254" i="1"/>
  <c r="CJ254" i="1" s="1"/>
  <c r="Q250" i="1"/>
  <c r="BX250" i="1" s="1"/>
  <c r="CI250" i="1"/>
  <c r="CJ250" i="1" s="1"/>
  <c r="BQ247" i="1"/>
  <c r="CI247" i="1"/>
  <c r="CJ247" i="1" s="1"/>
  <c r="BQ229" i="1"/>
  <c r="CI229" i="1"/>
  <c r="CJ229" i="1" s="1"/>
  <c r="Q223" i="1"/>
  <c r="BX223" i="1" s="1"/>
  <c r="CI223" i="1"/>
  <c r="CJ223" i="1" s="1"/>
  <c r="Q209" i="1"/>
  <c r="BU209" i="1" s="1"/>
  <c r="BW209" i="1" s="1"/>
  <c r="CI209" i="1"/>
  <c r="CJ209" i="1" s="1"/>
  <c r="BQ99" i="1"/>
  <c r="CI99" i="1"/>
  <c r="CJ99" i="1" s="1"/>
  <c r="Q96" i="1"/>
  <c r="BX96" i="1" s="1"/>
  <c r="CI96" i="1"/>
  <c r="CJ96" i="1" s="1"/>
  <c r="Q86" i="1"/>
  <c r="BX86" i="1" s="1"/>
  <c r="CI86" i="1"/>
  <c r="CJ86" i="1" s="1"/>
  <c r="Q73" i="1"/>
  <c r="BX73" i="1" s="1"/>
  <c r="CI73" i="1"/>
  <c r="CJ73" i="1" s="1"/>
  <c r="Q61" i="1"/>
  <c r="BX61" i="1" s="1"/>
  <c r="CI61" i="1"/>
  <c r="CJ61" i="1" s="1"/>
  <c r="Q55" i="1"/>
  <c r="BX55" i="1" s="1"/>
  <c r="CI55" i="1"/>
  <c r="CJ55" i="1" s="1"/>
  <c r="BQ43" i="1"/>
  <c r="CI43" i="1"/>
  <c r="CJ43" i="1" s="1"/>
  <c r="BQ32" i="1"/>
  <c r="CI32" i="1"/>
  <c r="CJ32" i="1" s="1"/>
  <c r="BQ260" i="1"/>
  <c r="CI260" i="1"/>
  <c r="CJ260" i="1" s="1"/>
  <c r="BQ237" i="1"/>
  <c r="CI237" i="1"/>
  <c r="CJ237" i="1" s="1"/>
  <c r="BQ231" i="1"/>
  <c r="CI231" i="1"/>
  <c r="CJ231" i="1" s="1"/>
  <c r="Q224" i="1"/>
  <c r="BX224" i="1" s="1"/>
  <c r="CI224" i="1"/>
  <c r="CJ224" i="1" s="1"/>
  <c r="Q137" i="1"/>
  <c r="BX137" i="1" s="1"/>
  <c r="CI137" i="1"/>
  <c r="CJ137" i="1" s="1"/>
  <c r="BQ1474" i="1"/>
  <c r="CI1474" i="1"/>
  <c r="CJ1474" i="1" s="1"/>
  <c r="BQ1502" i="1"/>
  <c r="CI1502" i="1"/>
  <c r="CJ1502" i="1" s="1"/>
  <c r="Q225" i="1"/>
  <c r="BU225" i="1" s="1"/>
  <c r="BW225" i="1" s="1"/>
  <c r="CI225" i="1"/>
  <c r="CJ225" i="1" s="1"/>
  <c r="BQ214" i="1"/>
  <c r="CI214" i="1"/>
  <c r="CJ214" i="1" s="1"/>
  <c r="Q87" i="1"/>
  <c r="BX87" i="1" s="1"/>
  <c r="CI87" i="1"/>
  <c r="CJ87" i="1" s="1"/>
  <c r="Q102" i="1"/>
  <c r="BU102" i="1" s="1"/>
  <c r="BW102" i="1" s="1"/>
  <c r="CI102" i="1"/>
  <c r="CJ102" i="1" s="1"/>
  <c r="BQ66" i="1"/>
  <c r="CI66" i="1"/>
  <c r="CJ66" i="1" s="1"/>
  <c r="Q54" i="1"/>
  <c r="BX54" i="1" s="1"/>
  <c r="CI54" i="1"/>
  <c r="CJ54" i="1" s="1"/>
  <c r="Q91" i="1"/>
  <c r="BX91" i="1" s="1"/>
  <c r="CI91" i="1"/>
  <c r="CJ91" i="1" s="1"/>
  <c r="Q49" i="1"/>
  <c r="BU49" i="1" s="1"/>
  <c r="BW49" i="1" s="1"/>
  <c r="CI49" i="1"/>
  <c r="CJ49" i="1" s="1"/>
  <c r="Q33" i="1"/>
  <c r="BU33" i="1" s="1"/>
  <c r="BW33" i="1" s="1"/>
  <c r="CI33" i="1"/>
  <c r="CJ33" i="1" s="1"/>
  <c r="BQ243" i="1"/>
  <c r="CI243" i="1"/>
  <c r="CJ243" i="1" s="1"/>
  <c r="Q232" i="1"/>
  <c r="BX232" i="1" s="1"/>
  <c r="CI232" i="1"/>
  <c r="CJ232" i="1" s="1"/>
  <c r="BQ219" i="1"/>
  <c r="CI219" i="1"/>
  <c r="CJ219" i="1" s="1"/>
  <c r="Q210" i="1"/>
  <c r="BX210" i="1" s="1"/>
  <c r="CI210" i="1"/>
  <c r="CJ210" i="1" s="1"/>
  <c r="BQ97" i="1"/>
  <c r="CI97" i="1"/>
  <c r="CJ97" i="1" s="1"/>
  <c r="BQ92" i="1"/>
  <c r="CI92" i="1"/>
  <c r="CJ92" i="1" s="1"/>
  <c r="Q81" i="1"/>
  <c r="BX81" i="1" s="1"/>
  <c r="CI81" i="1"/>
  <c r="CJ81" i="1" s="1"/>
  <c r="BQ277" i="1"/>
  <c r="CI277" i="1"/>
  <c r="CJ277" i="1" s="1"/>
  <c r="Q258" i="1"/>
  <c r="BX258" i="1" s="1"/>
  <c r="CI258" i="1"/>
  <c r="CJ258" i="1" s="1"/>
  <c r="Q88" i="1"/>
  <c r="BX88" i="1" s="1"/>
  <c r="CI88" i="1"/>
  <c r="CJ88" i="1" s="1"/>
  <c r="Q75" i="1"/>
  <c r="BU75" i="1" s="1"/>
  <c r="BW75" i="1" s="1"/>
  <c r="CI75" i="1"/>
  <c r="CJ75" i="1" s="1"/>
  <c r="BQ68" i="1"/>
  <c r="CI68" i="1"/>
  <c r="CJ68" i="1" s="1"/>
  <c r="Q58" i="1"/>
  <c r="BX58" i="1" s="1"/>
  <c r="CI58" i="1"/>
  <c r="CJ58" i="1" s="1"/>
  <c r="Q51" i="1"/>
  <c r="BX51" i="1" s="1"/>
  <c r="CI51" i="1"/>
  <c r="CJ51" i="1" s="1"/>
  <c r="Q34" i="1"/>
  <c r="BU34" i="1" s="1"/>
  <c r="BW34" i="1" s="1"/>
  <c r="CI34" i="1"/>
  <c r="CJ34" i="1" s="1"/>
  <c r="BQ272" i="1"/>
  <c r="CI272" i="1"/>
  <c r="CJ272" i="1" s="1"/>
  <c r="Q269" i="1"/>
  <c r="BX269" i="1" s="1"/>
  <c r="CI269" i="1"/>
  <c r="CJ269" i="1" s="1"/>
  <c r="Q255" i="1"/>
  <c r="BU255" i="1" s="1"/>
  <c r="BW255" i="1" s="1"/>
  <c r="CI255" i="1"/>
  <c r="CJ255" i="1" s="1"/>
  <c r="Q252" i="1"/>
  <c r="BX252" i="1" s="1"/>
  <c r="CI252" i="1"/>
  <c r="CJ252" i="1" s="1"/>
  <c r="BQ244" i="1"/>
  <c r="CI244" i="1"/>
  <c r="CJ244" i="1" s="1"/>
  <c r="Q239" i="1"/>
  <c r="BU239" i="1" s="1"/>
  <c r="BW239" i="1" s="1"/>
  <c r="CI239" i="1"/>
  <c r="CJ239" i="1" s="1"/>
  <c r="Q233" i="1"/>
  <c r="BX233" i="1" s="1"/>
  <c r="CI233" i="1"/>
  <c r="CJ233" i="1" s="1"/>
  <c r="Q226" i="1"/>
  <c r="BX226" i="1" s="1"/>
  <c r="CI226" i="1"/>
  <c r="CJ226" i="1" s="1"/>
  <c r="Q212" i="1"/>
  <c r="BX212" i="1" s="1"/>
  <c r="CI212" i="1"/>
  <c r="CJ212" i="1" s="1"/>
  <c r="BQ2932" i="1"/>
  <c r="CI2932" i="1"/>
  <c r="CJ2932" i="1" s="1"/>
  <c r="Q78" i="1"/>
  <c r="BX78" i="1" s="1"/>
  <c r="CI78" i="1"/>
  <c r="CJ78" i="1" s="1"/>
  <c r="Q100" i="1"/>
  <c r="BX100" i="1" s="1"/>
  <c r="CI100" i="1"/>
  <c r="CJ100" i="1" s="1"/>
  <c r="Q62" i="1"/>
  <c r="BX62" i="1" s="1"/>
  <c r="CI62" i="1"/>
  <c r="CJ62" i="1" s="1"/>
  <c r="Q27" i="1"/>
  <c r="BX27" i="1" s="1"/>
  <c r="CI27" i="1"/>
  <c r="CJ27" i="1" s="1"/>
  <c r="BQ268" i="1"/>
  <c r="CI268" i="1"/>
  <c r="CJ268" i="1" s="1"/>
  <c r="Q251" i="1"/>
  <c r="BX251" i="1" s="1"/>
  <c r="CI251" i="1"/>
  <c r="CJ251" i="1" s="1"/>
  <c r="Q44" i="1"/>
  <c r="BX44" i="1" s="1"/>
  <c r="CI44" i="1"/>
  <c r="CJ44" i="1" s="1"/>
  <c r="Q28" i="1"/>
  <c r="BX28" i="1" s="1"/>
  <c r="CI28" i="1"/>
  <c r="CJ28" i="1" s="1"/>
  <c r="Q238" i="1"/>
  <c r="BU238" i="1" s="1"/>
  <c r="BW238" i="1" s="1"/>
  <c r="CI238" i="1"/>
  <c r="CJ238" i="1" s="1"/>
  <c r="Q211" i="1"/>
  <c r="BX211" i="1" s="1"/>
  <c r="CI211" i="1"/>
  <c r="CJ211" i="1" s="1"/>
  <c r="Q69" i="1"/>
  <c r="BX69" i="1" s="1"/>
  <c r="CI69" i="1"/>
  <c r="CJ69" i="1" s="1"/>
  <c r="Q52" i="1"/>
  <c r="BU52" i="1" s="1"/>
  <c r="BW52" i="1" s="1"/>
  <c r="CI52" i="1"/>
  <c r="CJ52" i="1" s="1"/>
  <c r="Q45" i="1"/>
  <c r="BX45" i="1" s="1"/>
  <c r="CI45" i="1"/>
  <c r="CJ45" i="1" s="1"/>
  <c r="Q40" i="1"/>
  <c r="BU40" i="1" s="1"/>
  <c r="BW40" i="1" s="1"/>
  <c r="CI40" i="1"/>
  <c r="CJ40" i="1" s="1"/>
  <c r="BQ280" i="1"/>
  <c r="CI280" i="1"/>
  <c r="CJ280" i="1" s="1"/>
  <c r="Q278" i="1"/>
  <c r="BX278" i="1" s="1"/>
  <c r="CI278" i="1"/>
  <c r="CJ278" i="1" s="1"/>
  <c r="BQ275" i="1"/>
  <c r="CI275" i="1"/>
  <c r="CJ275" i="1" s="1"/>
  <c r="BQ262" i="1"/>
  <c r="CI262" i="1"/>
  <c r="CJ262" i="1" s="1"/>
  <c r="BQ245" i="1"/>
  <c r="CI245" i="1"/>
  <c r="CJ245" i="1" s="1"/>
  <c r="Q240" i="1"/>
  <c r="BX240" i="1" s="1"/>
  <c r="CI240" i="1"/>
  <c r="CJ240" i="1" s="1"/>
  <c r="Q234" i="1"/>
  <c r="BX234" i="1" s="1"/>
  <c r="CI234" i="1"/>
  <c r="CJ234" i="1" s="1"/>
  <c r="BQ215" i="1"/>
  <c r="CI215" i="1"/>
  <c r="CJ215" i="1" s="1"/>
  <c r="Q94" i="1"/>
  <c r="BX94" i="1" s="1"/>
  <c r="CI94" i="1"/>
  <c r="CJ94" i="1" s="1"/>
  <c r="Q83" i="1"/>
  <c r="BX83" i="1" s="1"/>
  <c r="CI83" i="1"/>
  <c r="CJ83" i="1" s="1"/>
  <c r="Q47" i="1"/>
  <c r="BU47" i="1" s="1"/>
  <c r="BW47" i="1" s="1"/>
  <c r="CI47" i="1"/>
  <c r="CJ47" i="1" s="1"/>
  <c r="Q30" i="1"/>
  <c r="BU30" i="1" s="1"/>
  <c r="BW30" i="1" s="1"/>
  <c r="CI30" i="1"/>
  <c r="CJ30" i="1" s="1"/>
  <c r="Q256" i="1"/>
  <c r="BX256" i="1" s="1"/>
  <c r="CI256" i="1"/>
  <c r="CJ256" i="1" s="1"/>
  <c r="Q222" i="1"/>
  <c r="BU222" i="1" s="1"/>
  <c r="BW222" i="1" s="1"/>
  <c r="CI222" i="1"/>
  <c r="CJ222" i="1" s="1"/>
  <c r="Q103" i="1"/>
  <c r="BU103" i="1" s="1"/>
  <c r="BW103" i="1" s="1"/>
  <c r="CI103" i="1"/>
  <c r="CJ103" i="1" s="1"/>
  <c r="BQ74" i="1"/>
  <c r="CI74" i="1"/>
  <c r="CJ74" i="1" s="1"/>
  <c r="Q56" i="1"/>
  <c r="BX56" i="1" s="1"/>
  <c r="CI56" i="1"/>
  <c r="CJ56" i="1" s="1"/>
  <c r="Q38" i="1"/>
  <c r="BX38" i="1" s="1"/>
  <c r="CI38" i="1"/>
  <c r="CJ38" i="1" s="1"/>
  <c r="BQ274" i="1"/>
  <c r="CI274" i="1"/>
  <c r="CJ274" i="1" s="1"/>
  <c r="Q265" i="1"/>
  <c r="BX265" i="1" s="1"/>
  <c r="CI265" i="1"/>
  <c r="CJ265" i="1" s="1"/>
  <c r="Q57" i="1"/>
  <c r="BU57" i="1" s="1"/>
  <c r="BW57" i="1" s="1"/>
  <c r="CI57" i="1"/>
  <c r="CJ57" i="1" s="1"/>
  <c r="Q50" i="1"/>
  <c r="BU50" i="1" s="1"/>
  <c r="BW50" i="1" s="1"/>
  <c r="CI50" i="1"/>
  <c r="CJ50" i="1" s="1"/>
  <c r="BQ261" i="1"/>
  <c r="CI261" i="1"/>
  <c r="CJ261" i="1" s="1"/>
  <c r="Q76" i="1"/>
  <c r="BX76" i="1" s="1"/>
  <c r="CI76" i="1"/>
  <c r="CJ76" i="1" s="1"/>
  <c r="BQ64" i="1"/>
  <c r="CI64" i="1"/>
  <c r="CJ64" i="1" s="1"/>
  <c r="BQ101" i="1"/>
  <c r="CI101" i="1"/>
  <c r="CJ101" i="1" s="1"/>
  <c r="Q93" i="1"/>
  <c r="BX93" i="1" s="1"/>
  <c r="CI93" i="1"/>
  <c r="CJ93" i="1" s="1"/>
  <c r="BQ89" i="1"/>
  <c r="CI89" i="1"/>
  <c r="CJ89" i="1" s="1"/>
  <c r="BQ82" i="1"/>
  <c r="CI82" i="1"/>
  <c r="CJ82" i="1" s="1"/>
  <c r="Q77" i="1"/>
  <c r="BU77" i="1" s="1"/>
  <c r="BW77" i="1" s="1"/>
  <c r="CI77" i="1"/>
  <c r="CJ77" i="1" s="1"/>
  <c r="BQ70" i="1"/>
  <c r="CI70" i="1"/>
  <c r="CJ70" i="1" s="1"/>
  <c r="BQ65" i="1"/>
  <c r="CI65" i="1"/>
  <c r="CJ65" i="1" s="1"/>
  <c r="Q59" i="1"/>
  <c r="BU59" i="1" s="1"/>
  <c r="BW59" i="1" s="1"/>
  <c r="CI59" i="1"/>
  <c r="CJ59" i="1" s="1"/>
  <c r="Q53" i="1"/>
  <c r="BU53" i="1" s="1"/>
  <c r="BW53" i="1" s="1"/>
  <c r="CI53" i="1"/>
  <c r="CJ53" i="1" s="1"/>
  <c r="Q46" i="1"/>
  <c r="BX46" i="1" s="1"/>
  <c r="CI46" i="1"/>
  <c r="CJ46" i="1" s="1"/>
  <c r="Q41" i="1"/>
  <c r="BU41" i="1" s="1"/>
  <c r="BW41" i="1" s="1"/>
  <c r="CI41" i="1"/>
  <c r="CJ41" i="1" s="1"/>
  <c r="Q35" i="1"/>
  <c r="BX35" i="1" s="1"/>
  <c r="CI35" i="1"/>
  <c r="CJ35" i="1" s="1"/>
  <c r="Q270" i="1"/>
  <c r="BX270" i="1" s="1"/>
  <c r="CI270" i="1"/>
  <c r="CJ270" i="1" s="1"/>
  <c r="BQ266" i="1"/>
  <c r="CI266" i="1"/>
  <c r="CJ266" i="1" s="1"/>
  <c r="Q259" i="1"/>
  <c r="BX259" i="1" s="1"/>
  <c r="CI259" i="1"/>
  <c r="CJ259" i="1" s="1"/>
  <c r="Q253" i="1"/>
  <c r="BX253" i="1" s="1"/>
  <c r="CI253" i="1"/>
  <c r="CJ253" i="1" s="1"/>
  <c r="Q235" i="1"/>
  <c r="BX235" i="1" s="1"/>
  <c r="CI235" i="1"/>
  <c r="CJ235" i="1" s="1"/>
  <c r="Q781" i="1"/>
  <c r="BU781" i="1" s="1"/>
  <c r="BW781" i="1" s="1"/>
  <c r="CI781" i="1"/>
  <c r="CJ781" i="1" s="1"/>
  <c r="Q1502" i="1"/>
  <c r="BX1502" i="1" s="1"/>
  <c r="BU98" i="1"/>
  <c r="BW98" i="1" s="1"/>
  <c r="BQ234" i="1"/>
  <c r="CA246" i="1"/>
  <c r="CA218" i="1"/>
  <c r="CA45" i="1"/>
  <c r="BZ251" i="1"/>
  <c r="BQ91" i="1"/>
  <c r="Q2932" i="1"/>
  <c r="BX2932" i="1" s="1"/>
  <c r="BZ261" i="1"/>
  <c r="BR67" i="1"/>
  <c r="CA67" i="1" s="1"/>
  <c r="BQ28" i="1"/>
  <c r="BQ48" i="1"/>
  <c r="BU1865" i="1"/>
  <c r="BQ232" i="1"/>
  <c r="BR247" i="1"/>
  <c r="CA247" i="1" s="1"/>
  <c r="BZ239" i="1"/>
  <c r="BR102" i="1"/>
  <c r="CA102" i="1" s="1"/>
  <c r="BR47" i="1"/>
  <c r="CA47" i="1" s="1"/>
  <c r="BQ254" i="1"/>
  <c r="BQ86" i="1"/>
  <c r="BR216" i="1"/>
  <c r="CA216" i="1" s="1"/>
  <c r="BQ265" i="1"/>
  <c r="BZ101" i="1"/>
  <c r="BZ60" i="1"/>
  <c r="BR281" i="1"/>
  <c r="CA281" i="1" s="1"/>
  <c r="CD254" i="1"/>
  <c r="BZ253" i="1"/>
  <c r="BR217" i="1"/>
  <c r="CA217" i="1" s="1"/>
  <c r="BZ64" i="1"/>
  <c r="CA35" i="1"/>
  <c r="BZ278" i="1"/>
  <c r="BQ102" i="1"/>
  <c r="BQ270" i="1"/>
  <c r="CD102" i="1"/>
  <c r="Q67" i="1"/>
  <c r="BX67" i="1" s="1"/>
  <c r="BZ88" i="1"/>
  <c r="CA89" i="1"/>
  <c r="BQ88" i="1"/>
  <c r="BR79" i="1"/>
  <c r="CA79" i="1" s="1"/>
  <c r="BR46" i="1"/>
  <c r="CA46" i="1" s="1"/>
  <c r="BZ275" i="1"/>
  <c r="BR245" i="1"/>
  <c r="CA245" i="1" s="1"/>
  <c r="BU2206" i="1"/>
  <c r="Q274" i="1"/>
  <c r="BX274" i="1" s="1"/>
  <c r="BU1200" i="1"/>
  <c r="BR253" i="1"/>
  <c r="CA253" i="1" s="1"/>
  <c r="BR234" i="1"/>
  <c r="CA234" i="1" s="1"/>
  <c r="BZ247" i="1"/>
  <c r="BZ240" i="1"/>
  <c r="BZ238" i="1"/>
  <c r="BZ215" i="1"/>
  <c r="BR2361" i="1"/>
  <c r="CA2361" i="1" s="1"/>
  <c r="BU2715" i="1"/>
  <c r="BR99" i="1"/>
  <c r="CA99" i="1" s="1"/>
  <c r="BZ102" i="1"/>
  <c r="BR38" i="1"/>
  <c r="CA38" i="1" s="1"/>
  <c r="BZ274" i="1"/>
  <c r="BZ270" i="1"/>
  <c r="BR261" i="1"/>
  <c r="CA261" i="1" s="1"/>
  <c r="BR1604" i="1"/>
  <c r="CA1604" i="1" s="1"/>
  <c r="BR257" i="1"/>
  <c r="CA257" i="1" s="1"/>
  <c r="CD67" i="1"/>
  <c r="CD270" i="1"/>
  <c r="BZ30" i="1"/>
  <c r="BR269" i="1"/>
  <c r="CA269" i="1" s="1"/>
  <c r="BQ239" i="1"/>
  <c r="Q237" i="1"/>
  <c r="BU237" i="1" s="1"/>
  <c r="BW237" i="1" s="1"/>
  <c r="BR2427" i="1"/>
  <c r="CA2427" i="1" s="1"/>
  <c r="BZ36" i="1"/>
  <c r="BZ269" i="1"/>
  <c r="BR1239" i="1"/>
  <c r="CA1239" i="1" s="1"/>
  <c r="CA1885" i="1"/>
  <c r="BQ81" i="1"/>
  <c r="BQ60" i="1"/>
  <c r="BR70" i="1"/>
  <c r="CA70" i="1" s="1"/>
  <c r="CA28" i="1"/>
  <c r="BR239" i="1"/>
  <c r="CA239" i="1" s="1"/>
  <c r="BR219" i="1"/>
  <c r="CA219" i="1" s="1"/>
  <c r="CA215" i="1"/>
  <c r="BR26" i="1"/>
  <c r="CA26" i="1" s="1"/>
  <c r="CA226" i="1"/>
  <c r="BR207" i="1"/>
  <c r="CA207" i="1" s="1"/>
  <c r="BR103" i="1"/>
  <c r="CA103" i="1" s="1"/>
  <c r="BZ89" i="1"/>
  <c r="BZ81" i="1"/>
  <c r="BZ79" i="1"/>
  <c r="BR64" i="1"/>
  <c r="CA64" i="1" s="1"/>
  <c r="BZ59" i="1"/>
  <c r="BZ1502" i="1"/>
  <c r="BR2379" i="1"/>
  <c r="CA2379" i="1" s="1"/>
  <c r="BR3015" i="1"/>
  <c r="CA3015" i="1" s="1"/>
  <c r="CD81" i="1"/>
  <c r="CA54" i="1"/>
  <c r="BZ62" i="1"/>
  <c r="BZ61" i="1"/>
  <c r="BZ268" i="1"/>
  <c r="BR251" i="1"/>
  <c r="CA251" i="1" s="1"/>
  <c r="CA27" i="1"/>
  <c r="BZ58" i="1"/>
  <c r="CD28" i="1"/>
  <c r="CD92" i="1"/>
  <c r="BZ91" i="1"/>
  <c r="BR86" i="1"/>
  <c r="CA86" i="1" s="1"/>
  <c r="BQ76" i="1"/>
  <c r="BR76" i="1"/>
  <c r="CA76" i="1" s="1"/>
  <c r="CA48" i="1"/>
  <c r="BZ27" i="1"/>
  <c r="CA232" i="1"/>
  <c r="BZ228" i="1"/>
  <c r="Q275" i="1"/>
  <c r="BX275" i="1" s="1"/>
  <c r="Q268" i="1"/>
  <c r="BX268" i="1" s="1"/>
  <c r="CA241" i="1"/>
  <c r="BR240" i="1"/>
  <c r="CA240" i="1" s="1"/>
  <c r="BQ223" i="1"/>
  <c r="BR223" i="1"/>
  <c r="CA223" i="1" s="1"/>
  <c r="BR221" i="1"/>
  <c r="CA221" i="1" s="1"/>
  <c r="CA214" i="1"/>
  <c r="BX1200" i="1"/>
  <c r="BX2206" i="1"/>
  <c r="Q2297" i="1"/>
  <c r="BX2297" i="1" s="1"/>
  <c r="BR209" i="1"/>
  <c r="CA209" i="1" s="1"/>
  <c r="BR1333" i="1"/>
  <c r="BU1451" i="1"/>
  <c r="BZ1474" i="1"/>
  <c r="CA1972" i="1"/>
  <c r="CA2297" i="1"/>
  <c r="BR2757" i="1"/>
  <c r="CA2757" i="1" s="1"/>
  <c r="BQ54" i="1"/>
  <c r="BQ84" i="1"/>
  <c r="BR478" i="1"/>
  <c r="CA478" i="1" s="1"/>
  <c r="BZ95" i="1"/>
  <c r="BR92" i="1"/>
  <c r="CA92" i="1" s="1"/>
  <c r="BR71" i="1"/>
  <c r="CA71" i="1" s="1"/>
  <c r="Q280" i="1"/>
  <c r="BX280" i="1" s="1"/>
  <c r="BR272" i="1"/>
  <c r="CA272" i="1" s="1"/>
  <c r="CD265" i="1"/>
  <c r="BZ254" i="1"/>
  <c r="BR237" i="1"/>
  <c r="CA237" i="1" s="1"/>
  <c r="BR229" i="1"/>
  <c r="CA229" i="1" s="1"/>
  <c r="CA227" i="1"/>
  <c r="BU1203" i="1"/>
  <c r="BX1451" i="1"/>
  <c r="BR2341" i="1"/>
  <c r="CA2341" i="1" s="1"/>
  <c r="BR2675" i="1"/>
  <c r="CA2675" i="1" s="1"/>
  <c r="CD54" i="1"/>
  <c r="Q43" i="1"/>
  <c r="BX43" i="1" s="1"/>
  <c r="BR1643" i="1"/>
  <c r="CA1643" i="1" s="1"/>
  <c r="BZ96" i="1"/>
  <c r="Q89" i="1"/>
  <c r="BX89" i="1" s="1"/>
  <c r="BZ86" i="1"/>
  <c r="CD84" i="1"/>
  <c r="BZ43" i="1"/>
  <c r="BR36" i="1"/>
  <c r="CA36" i="1" s="1"/>
  <c r="BU279" i="1"/>
  <c r="BW279" i="1" s="1"/>
  <c r="BZ259" i="1"/>
  <c r="BR236" i="1"/>
  <c r="CA236" i="1" s="1"/>
  <c r="BR228" i="1"/>
  <c r="CA228" i="1" s="1"/>
  <c r="BR1180" i="1"/>
  <c r="CA1180" i="1" s="1"/>
  <c r="Q1474" i="1"/>
  <c r="BX1474" i="1" s="1"/>
  <c r="BU2363" i="1"/>
  <c r="BU610" i="1"/>
  <c r="BW610" i="1" s="1"/>
  <c r="BR96" i="1"/>
  <c r="CA96" i="1" s="1"/>
  <c r="CA256" i="1"/>
  <c r="BZ265" i="1"/>
  <c r="BZ229" i="1"/>
  <c r="BR1963" i="1"/>
  <c r="CA1963" i="1" s="1"/>
  <c r="BU2758" i="1"/>
  <c r="BZ93" i="1"/>
  <c r="BZ78" i="1"/>
  <c r="BZ76" i="1"/>
  <c r="BR100" i="1"/>
  <c r="CA100" i="1" s="1"/>
  <c r="BQ94" i="1"/>
  <c r="BQ93" i="1"/>
  <c r="BQ77" i="1"/>
  <c r="BR77" i="1"/>
  <c r="CA77" i="1" s="1"/>
  <c r="BZ44" i="1"/>
  <c r="BZ280" i="1"/>
  <c r="BR224" i="1"/>
  <c r="CA224" i="1" s="1"/>
  <c r="BZ137" i="1"/>
  <c r="BU839" i="1"/>
  <c r="BZ2932" i="1"/>
  <c r="BU2865" i="1"/>
  <c r="BU2695" i="1"/>
  <c r="CA2130" i="1"/>
  <c r="BU2130" i="1"/>
  <c r="BZ781" i="1"/>
  <c r="BQ781" i="1"/>
  <c r="BX610" i="1"/>
  <c r="BU340" i="1"/>
  <c r="BQ137" i="1"/>
  <c r="BZ245" i="1"/>
  <c r="BQ62" i="1"/>
  <c r="BR62" i="1"/>
  <c r="CA62" i="1" s="1"/>
  <c r="BQ61" i="1"/>
  <c r="BR61" i="1"/>
  <c r="CA61" i="1" s="1"/>
  <c r="CA59" i="1"/>
  <c r="BR57" i="1"/>
  <c r="CA57" i="1" s="1"/>
  <c r="BQ44" i="1"/>
  <c r="CA44" i="1"/>
  <c r="BW42" i="1"/>
  <c r="BZ277" i="1"/>
  <c r="BR273" i="1"/>
  <c r="CA273" i="1" s="1"/>
  <c r="Q266" i="1"/>
  <c r="BU266" i="1" s="1"/>
  <c r="BW266" i="1" s="1"/>
  <c r="BZ264" i="1"/>
  <c r="BQ259" i="1"/>
  <c r="BZ217" i="1"/>
  <c r="BR84" i="1"/>
  <c r="CA84" i="1" s="1"/>
  <c r="Q82" i="1"/>
  <c r="BU82" i="1" s="1"/>
  <c r="BW82" i="1" s="1"/>
  <c r="BZ65" i="1"/>
  <c r="Q64" i="1"/>
  <c r="BX64" i="1" s="1"/>
  <c r="BQ58" i="1"/>
  <c r="BR58" i="1"/>
  <c r="CA58" i="1" s="1"/>
  <c r="BZ35" i="1"/>
  <c r="BZ34" i="1"/>
  <c r="BR32" i="1"/>
  <c r="CA32" i="1" s="1"/>
  <c r="CF220" i="1"/>
  <c r="BZ75" i="1"/>
  <c r="BQ56" i="1"/>
  <c r="BR56" i="1"/>
  <c r="CA56" i="1" s="1"/>
  <c r="BR52" i="1"/>
  <c r="CA52" i="1" s="1"/>
  <c r="BU236" i="1"/>
  <c r="BW236" i="1" s="1"/>
  <c r="Q229" i="1"/>
  <c r="BX229" i="1" s="1"/>
  <c r="BQ225" i="1"/>
  <c r="BR225" i="1"/>
  <c r="CA225" i="1" s="1"/>
  <c r="CE220" i="1"/>
  <c r="BR220" i="1"/>
  <c r="CA220" i="1" s="1"/>
  <c r="BQ211" i="1"/>
  <c r="BR211" i="1"/>
  <c r="CA211" i="1" s="1"/>
  <c r="BQ210" i="1"/>
  <c r="CA210" i="1"/>
  <c r="BQ51" i="1"/>
  <c r="BR51" i="1"/>
  <c r="CA51" i="1" s="1"/>
  <c r="BQ50" i="1"/>
  <c r="BR50" i="1"/>
  <c r="CA50" i="1" s="1"/>
  <c r="BQ31" i="1"/>
  <c r="BR31" i="1"/>
  <c r="CA31" i="1" s="1"/>
  <c r="BQ30" i="1"/>
  <c r="BR280" i="1"/>
  <c r="CA280" i="1" s="1"/>
  <c r="BR270" i="1"/>
  <c r="CA270" i="1" s="1"/>
  <c r="BZ266" i="1"/>
  <c r="CA264" i="1"/>
  <c r="Q262" i="1"/>
  <c r="BX262" i="1" s="1"/>
  <c r="Q261" i="1"/>
  <c r="BU261" i="1" s="1"/>
  <c r="BW261" i="1" s="1"/>
  <c r="Q260" i="1"/>
  <c r="BX260" i="1" s="1"/>
  <c r="BR242" i="1"/>
  <c r="CA242" i="1" s="1"/>
  <c r="BQ226" i="1"/>
  <c r="BQ224" i="1"/>
  <c r="CD220" i="1"/>
  <c r="BF220" i="1"/>
  <c r="BR208" i="1"/>
  <c r="CA208" i="1" s="1"/>
  <c r="BW37" i="1"/>
  <c r="Q32" i="1"/>
  <c r="BX32" i="1" s="1"/>
  <c r="BQ238" i="1"/>
  <c r="BQ235" i="1"/>
  <c r="BZ56" i="1"/>
  <c r="BR94" i="1"/>
  <c r="CA94" i="1" s="1"/>
  <c r="CA87" i="1"/>
  <c r="BZ77" i="1"/>
  <c r="BZ67" i="1"/>
  <c r="BR222" i="1"/>
  <c r="CA222" i="1" s="1"/>
  <c r="Q68" i="1"/>
  <c r="BU68" i="1" s="1"/>
  <c r="BW68" i="1" s="1"/>
  <c r="Q99" i="1"/>
  <c r="BX99" i="1" s="1"/>
  <c r="BR55" i="1"/>
  <c r="CA55" i="1" s="1"/>
  <c r="CA81" i="1"/>
  <c r="Q74" i="1"/>
  <c r="BX74" i="1" s="1"/>
  <c r="Q72" i="1"/>
  <c r="BU72" i="1" s="1"/>
  <c r="BW72" i="1" s="1"/>
  <c r="Q66" i="1"/>
  <c r="BX66" i="1" s="1"/>
  <c r="Q65" i="1"/>
  <c r="BX65" i="1" s="1"/>
  <c r="BZ54" i="1"/>
  <c r="BZ32" i="1"/>
  <c r="BZ28" i="1"/>
  <c r="BQ27" i="1"/>
  <c r="BZ281" i="1"/>
  <c r="Q277" i="1"/>
  <c r="BX277" i="1" s="1"/>
  <c r="BR266" i="1"/>
  <c r="CA266" i="1" s="1"/>
  <c r="BZ262" i="1"/>
  <c r="BR249" i="1"/>
  <c r="CA249" i="1" s="1"/>
  <c r="Q245" i="1"/>
  <c r="BX245" i="1" s="1"/>
  <c r="BZ226" i="1"/>
  <c r="BZ225" i="1"/>
  <c r="BZ224" i="1"/>
  <c r="BY220" i="1"/>
  <c r="BK220" i="1"/>
  <c r="BZ211" i="1"/>
  <c r="BZ210" i="1"/>
  <c r="BZ99" i="1"/>
  <c r="BZ66" i="1"/>
  <c r="BR65" i="1"/>
  <c r="CA65" i="1" s="1"/>
  <c r="BZ55" i="1"/>
  <c r="BZ50" i="1"/>
  <c r="CA40" i="1"/>
  <c r="BR278" i="1"/>
  <c r="CA278" i="1" s="1"/>
  <c r="BR265" i="1"/>
  <c r="CA265" i="1" s="1"/>
  <c r="BZ237" i="1"/>
  <c r="BQ233" i="1"/>
  <c r="BR231" i="1"/>
  <c r="CA231" i="1" s="1"/>
  <c r="BV220" i="1"/>
  <c r="BX255" i="1"/>
  <c r="CA277" i="1"/>
  <c r="BQ41" i="1"/>
  <c r="BR41" i="1"/>
  <c r="CA41" i="1" s="1"/>
  <c r="Q281" i="1"/>
  <c r="BU281" i="1" s="1"/>
  <c r="BW281" i="1" s="1"/>
  <c r="BQ276" i="1"/>
  <c r="CA260" i="1"/>
  <c r="BQ250" i="1"/>
  <c r="BR250" i="1"/>
  <c r="CA250" i="1" s="1"/>
  <c r="Q243" i="1"/>
  <c r="BU243" i="1" s="1"/>
  <c r="BW243" i="1" s="1"/>
  <c r="BQ87" i="1"/>
  <c r="CA82" i="1"/>
  <c r="BQ78" i="1"/>
  <c r="BR78" i="1"/>
  <c r="CA78" i="1" s="1"/>
  <c r="BQ55" i="1"/>
  <c r="BQ53" i="1"/>
  <c r="BR53" i="1"/>
  <c r="CA53" i="1" s="1"/>
  <c r="BQ40" i="1"/>
  <c r="BZ272" i="1"/>
  <c r="BR271" i="1"/>
  <c r="CA271" i="1" s="1"/>
  <c r="BR267" i="1"/>
  <c r="CA267" i="1" s="1"/>
  <c r="CA259" i="1"/>
  <c r="BR258" i="1"/>
  <c r="CA258" i="1" s="1"/>
  <c r="BZ252" i="1"/>
  <c r="BZ243" i="1"/>
  <c r="BR235" i="1"/>
  <c r="CA235" i="1" s="1"/>
  <c r="BQ100" i="1"/>
  <c r="BR88" i="1"/>
  <c r="CA88" i="1" s="1"/>
  <c r="BR83" i="1"/>
  <c r="CA83" i="1" s="1"/>
  <c r="BR72" i="1"/>
  <c r="CA72" i="1" s="1"/>
  <c r="BU63" i="1"/>
  <c r="BW63" i="1" s="1"/>
  <c r="CA97" i="1"/>
  <c r="Q95" i="1"/>
  <c r="BX95" i="1" s="1"/>
  <c r="BZ90" i="1"/>
  <c r="BZ84" i="1"/>
  <c r="BQ71" i="1"/>
  <c r="CA63" i="1"/>
  <c r="BQ52" i="1"/>
  <c r="BU46" i="1"/>
  <c r="BW46" i="1" s="1"/>
  <c r="BQ256" i="1"/>
  <c r="BQ255" i="1"/>
  <c r="CA238" i="1"/>
  <c r="CD232" i="1"/>
  <c r="BZ223" i="1"/>
  <c r="BQ222" i="1"/>
  <c r="BQ212" i="1"/>
  <c r="Q92" i="1"/>
  <c r="BZ222" i="1"/>
  <c r="Q101" i="1"/>
  <c r="BU101" i="1" s="1"/>
  <c r="BW101" i="1" s="1"/>
  <c r="Q97" i="1"/>
  <c r="BX97" i="1" s="1"/>
  <c r="BQ96" i="1"/>
  <c r="BZ92" i="1"/>
  <c r="BZ87" i="1"/>
  <c r="BR74" i="1"/>
  <c r="CA74" i="1" s="1"/>
  <c r="BQ69" i="1"/>
  <c r="BR69" i="1"/>
  <c r="CA69" i="1" s="1"/>
  <c r="CA68" i="1"/>
  <c r="BR66" i="1"/>
  <c r="CA66" i="1" s="1"/>
  <c r="BQ49" i="1"/>
  <c r="BR49" i="1"/>
  <c r="CA49" i="1" s="1"/>
  <c r="BZ40" i="1"/>
  <c r="BQ36" i="1"/>
  <c r="BZ260" i="1"/>
  <c r="BZ257" i="1"/>
  <c r="BZ255" i="1"/>
  <c r="BQ253" i="1"/>
  <c r="CA244" i="1"/>
  <c r="CA243" i="1"/>
  <c r="Q231" i="1"/>
  <c r="BU231" i="1" s="1"/>
  <c r="BW231" i="1" s="1"/>
  <c r="BW80" i="1"/>
  <c r="BR93" i="1"/>
  <c r="CA93" i="1" s="1"/>
  <c r="Q70" i="1"/>
  <c r="BZ52" i="1"/>
  <c r="BZ256" i="1"/>
  <c r="BR254" i="1"/>
  <c r="CA254" i="1" s="1"/>
  <c r="BZ234" i="1"/>
  <c r="BR233" i="1"/>
  <c r="CA233" i="1" s="1"/>
  <c r="BZ231" i="1"/>
  <c r="CD214" i="1"/>
  <c r="BZ212" i="1"/>
  <c r="CD100" i="1"/>
  <c r="CA91" i="1"/>
  <c r="CA30" i="1"/>
  <c r="BZ100" i="1"/>
  <c r="BZ94" i="1"/>
  <c r="BZ97" i="1"/>
  <c r="BR95" i="1"/>
  <c r="CA95" i="1" s="1"/>
  <c r="BQ90" i="1"/>
  <c r="CA90" i="1"/>
  <c r="CA75" i="1"/>
  <c r="BQ73" i="1"/>
  <c r="BR73" i="1"/>
  <c r="CA73" i="1" s="1"/>
  <c r="CA60" i="1"/>
  <c r="BZ57" i="1"/>
  <c r="CD48" i="1"/>
  <c r="BQ34" i="1"/>
  <c r="CA34" i="1"/>
  <c r="BQ33" i="1"/>
  <c r="BR33" i="1"/>
  <c r="CA33" i="1" s="1"/>
  <c r="BR29" i="1"/>
  <c r="CA29" i="1" s="1"/>
  <c r="CA276" i="1"/>
  <c r="CA275" i="1"/>
  <c r="BR262" i="1"/>
  <c r="CA262" i="1" s="1"/>
  <c r="BQ251" i="1"/>
  <c r="BZ246" i="1"/>
  <c r="BQ240" i="1"/>
  <c r="BQ273" i="1"/>
  <c r="BZ273" i="1"/>
  <c r="Q273" i="1"/>
  <c r="BQ249" i="1"/>
  <c r="Q249" i="1"/>
  <c r="BZ249" i="1"/>
  <c r="Q244" i="1"/>
  <c r="BQ228" i="1"/>
  <c r="Q228" i="1"/>
  <c r="BQ216" i="1"/>
  <c r="Q216" i="1"/>
  <c r="BZ276" i="1"/>
  <c r="BQ258" i="1"/>
  <c r="BQ252" i="1"/>
  <c r="BR252" i="1"/>
  <c r="CA252" i="1" s="1"/>
  <c r="Q246" i="1"/>
  <c r="BQ246" i="1"/>
  <c r="BZ216" i="1"/>
  <c r="BZ244" i="1"/>
  <c r="BQ257" i="1"/>
  <c r="Q257" i="1"/>
  <c r="BQ242" i="1"/>
  <c r="BZ242" i="1"/>
  <c r="Q242" i="1"/>
  <c r="BQ278" i="1"/>
  <c r="BR274" i="1"/>
  <c r="CA274" i="1" s="1"/>
  <c r="BZ258" i="1"/>
  <c r="BX238" i="1"/>
  <c r="BQ217" i="1"/>
  <c r="Q217" i="1"/>
  <c r="Q272" i="1"/>
  <c r="CD272" i="1"/>
  <c r="Q271" i="1"/>
  <c r="BQ271" i="1"/>
  <c r="BZ271" i="1"/>
  <c r="BQ267" i="1"/>
  <c r="BZ267" i="1"/>
  <c r="Q267" i="1"/>
  <c r="BX276" i="1"/>
  <c r="BQ264" i="1"/>
  <c r="Q264" i="1"/>
  <c r="Q221" i="1"/>
  <c r="BQ221" i="1"/>
  <c r="CD219" i="1"/>
  <c r="Q219" i="1"/>
  <c r="BZ219" i="1"/>
  <c r="BQ269" i="1"/>
  <c r="BW248" i="1"/>
  <c r="BQ241" i="1"/>
  <c r="BZ241" i="1"/>
  <c r="BZ221" i="1"/>
  <c r="Q218" i="1"/>
  <c r="BQ218" i="1"/>
  <c r="BR268" i="1"/>
  <c r="CA268" i="1" s="1"/>
  <c r="BZ218" i="1"/>
  <c r="BZ250" i="1"/>
  <c r="BZ232" i="1"/>
  <c r="BW227" i="1"/>
  <c r="BZ214" i="1"/>
  <c r="Q214" i="1"/>
  <c r="BR212" i="1"/>
  <c r="CA212" i="1" s="1"/>
  <c r="BU213" i="1"/>
  <c r="BW213" i="1" s="1"/>
  <c r="BQ209" i="1"/>
  <c r="BZ209" i="1"/>
  <c r="BR255" i="1"/>
  <c r="CA255" i="1" s="1"/>
  <c r="CD247" i="1"/>
  <c r="Q247" i="1"/>
  <c r="BZ235" i="1"/>
  <c r="BZ233" i="1"/>
  <c r="Q215" i="1"/>
  <c r="BQ208" i="1"/>
  <c r="BZ208" i="1"/>
  <c r="BQ39" i="1"/>
  <c r="Q39" i="1"/>
  <c r="BZ103" i="1"/>
  <c r="BZ46" i="1"/>
  <c r="BQ46" i="1"/>
  <c r="CD39" i="1"/>
  <c r="BQ103" i="1"/>
  <c r="BU85" i="1"/>
  <c r="BW85" i="1" s="1"/>
  <c r="BQ83" i="1"/>
  <c r="BQ79" i="1"/>
  <c r="BZ74" i="1"/>
  <c r="BZ72" i="1"/>
  <c r="BZ70" i="1"/>
  <c r="BZ68" i="1"/>
  <c r="BQ59" i="1"/>
  <c r="BQ57" i="1"/>
  <c r="BZ48" i="1"/>
  <c r="BR39" i="1"/>
  <c r="CA39" i="1" s="1"/>
  <c r="BJ39" i="1"/>
  <c r="BY39" i="1"/>
  <c r="BZ39" i="1" s="1"/>
  <c r="BZ49" i="1"/>
  <c r="BZ29" i="1"/>
  <c r="BQ29" i="1"/>
  <c r="BQ75" i="1"/>
  <c r="BZ73" i="1"/>
  <c r="BZ71" i="1"/>
  <c r="BZ69" i="1"/>
  <c r="BR43" i="1"/>
  <c r="CA43" i="1" s="1"/>
  <c r="BV39" i="1"/>
  <c r="BZ83" i="1"/>
  <c r="BZ41" i="1"/>
  <c r="BK39" i="1"/>
  <c r="CD60" i="1"/>
  <c r="Q60" i="1"/>
  <c r="BZ45" i="1"/>
  <c r="BQ45" i="1"/>
  <c r="CF39" i="1"/>
  <c r="BZ33" i="1"/>
  <c r="BZ31" i="1"/>
  <c r="Q29" i="1"/>
  <c r="BZ53" i="1"/>
  <c r="BZ51" i="1"/>
  <c r="BZ47" i="1"/>
  <c r="BQ47" i="1"/>
  <c r="BZ38" i="1"/>
  <c r="BQ38" i="1"/>
  <c r="BU96" i="1"/>
  <c r="BW96" i="1" s="1"/>
  <c r="BZ82" i="1"/>
  <c r="CE39" i="1"/>
  <c r="BQ35" i="1"/>
  <c r="BX47" i="1" l="1"/>
  <c r="BU93" i="1"/>
  <c r="BW93" i="1" s="1"/>
  <c r="BX103" i="1"/>
  <c r="BU51" i="1"/>
  <c r="BW51" i="1" s="1"/>
  <c r="BU87" i="1"/>
  <c r="BW87" i="1" s="1"/>
  <c r="BU91" i="1"/>
  <c r="BW91" i="1" s="1"/>
  <c r="BU78" i="1"/>
  <c r="BW78" i="1" s="1"/>
  <c r="BU234" i="1"/>
  <c r="BW234" i="1" s="1"/>
  <c r="BU55" i="1"/>
  <c r="BW55" i="1" s="1"/>
  <c r="BU45" i="1"/>
  <c r="BW45" i="1" s="1"/>
  <c r="BU232" i="1"/>
  <c r="BW232" i="1" s="1"/>
  <c r="BU36" i="1"/>
  <c r="BW36" i="1" s="1"/>
  <c r="BU88" i="1"/>
  <c r="BW88" i="1" s="1"/>
  <c r="BU233" i="1"/>
  <c r="BW233" i="1" s="1"/>
  <c r="BU137" i="1"/>
  <c r="BW137" i="1" s="1"/>
  <c r="BU258" i="1"/>
  <c r="BW258" i="1" s="1"/>
  <c r="BU54" i="1"/>
  <c r="BW54" i="1" s="1"/>
  <c r="BX71" i="1"/>
  <c r="BU83" i="1"/>
  <c r="BW83" i="1" s="1"/>
  <c r="BU31" i="1"/>
  <c r="BW31" i="1" s="1"/>
  <c r="BX53" i="1"/>
  <c r="BX222" i="1"/>
  <c r="BU269" i="1"/>
  <c r="BW269" i="1" s="1"/>
  <c r="BU79" i="1"/>
  <c r="BW79" i="1" s="1"/>
  <c r="BU278" i="1"/>
  <c r="BW278" i="1" s="1"/>
  <c r="BX77" i="1"/>
  <c r="BU58" i="1"/>
  <c r="BW58" i="1" s="1"/>
  <c r="BU27" i="1"/>
  <c r="BW27" i="1" s="1"/>
  <c r="BU38" i="1"/>
  <c r="BW38" i="1" s="1"/>
  <c r="BX50" i="1"/>
  <c r="BU61" i="1"/>
  <c r="BW61" i="1" s="1"/>
  <c r="BU270" i="1"/>
  <c r="BW270" i="1" s="1"/>
  <c r="BX239" i="1"/>
  <c r="BU28" i="1"/>
  <c r="BW28" i="1" s="1"/>
  <c r="BX52" i="1"/>
  <c r="BU208" i="1"/>
  <c r="BW208" i="1" s="1"/>
  <c r="BU240" i="1"/>
  <c r="BW240" i="1" s="1"/>
  <c r="BX781" i="1"/>
  <c r="BU210" i="1"/>
  <c r="BW210" i="1" s="1"/>
  <c r="BX48" i="1"/>
  <c r="BU226" i="1"/>
  <c r="BW226" i="1" s="1"/>
  <c r="BU69" i="1"/>
  <c r="BW69" i="1" s="1"/>
  <c r="BX209" i="1"/>
  <c r="BX84" i="1"/>
  <c r="BU73" i="1"/>
  <c r="BW73" i="1" s="1"/>
  <c r="BU256" i="1"/>
  <c r="BW256" i="1" s="1"/>
  <c r="BU241" i="1"/>
  <c r="BW241" i="1" s="1"/>
  <c r="BU250" i="1"/>
  <c r="BW250" i="1" s="1"/>
  <c r="BU56" i="1"/>
  <c r="BW56" i="1" s="1"/>
  <c r="BX59" i="1"/>
  <c r="BX33" i="1"/>
  <c r="BU253" i="1"/>
  <c r="BW253" i="1" s="1"/>
  <c r="BU35" i="1"/>
  <c r="BW35" i="1" s="1"/>
  <c r="BU62" i="1"/>
  <c r="BW62" i="1" s="1"/>
  <c r="BX225" i="1"/>
  <c r="BX30" i="1"/>
  <c r="BX34" i="1"/>
  <c r="BU76" i="1"/>
  <c r="BW76" i="1" s="1"/>
  <c r="BU265" i="1"/>
  <c r="BW265" i="1" s="1"/>
  <c r="BX57" i="1"/>
  <c r="BU224" i="1"/>
  <c r="BW224" i="1" s="1"/>
  <c r="BU90" i="1"/>
  <c r="BW90" i="1" s="1"/>
  <c r="BU94" i="1"/>
  <c r="BW94" i="1" s="1"/>
  <c r="BU252" i="1"/>
  <c r="BW252" i="1" s="1"/>
  <c r="BU212" i="1"/>
  <c r="BW212" i="1" s="1"/>
  <c r="BU44" i="1"/>
  <c r="BW44" i="1" s="1"/>
  <c r="BX40" i="1"/>
  <c r="BU223" i="1"/>
  <c r="BW223" i="1" s="1"/>
  <c r="BX102" i="1"/>
  <c r="BU211" i="1"/>
  <c r="BW211" i="1" s="1"/>
  <c r="BU235" i="1"/>
  <c r="BW235" i="1" s="1"/>
  <c r="BU259" i="1"/>
  <c r="BW259" i="1" s="1"/>
  <c r="BU254" i="1"/>
  <c r="BW254" i="1" s="1"/>
  <c r="BU81" i="1"/>
  <c r="BW81" i="1" s="1"/>
  <c r="BX75" i="1"/>
  <c r="Q220" i="1"/>
  <c r="BU220" i="1" s="1"/>
  <c r="BW220" i="1" s="1"/>
  <c r="CI220" i="1"/>
  <c r="CJ220" i="1" s="1"/>
  <c r="BX41" i="1"/>
  <c r="BX49" i="1"/>
  <c r="BU100" i="1"/>
  <c r="BW100" i="1" s="1"/>
  <c r="BU251" i="1"/>
  <c r="BW251" i="1" s="1"/>
  <c r="BU86" i="1"/>
  <c r="BW86" i="1" s="1"/>
  <c r="BU1502" i="1"/>
  <c r="BW1502" i="1" s="1"/>
  <c r="BU43" i="1"/>
  <c r="BW43" i="1" s="1"/>
  <c r="BU67" i="1"/>
  <c r="BW67" i="1" s="1"/>
  <c r="BX281" i="1"/>
  <c r="BX82" i="1"/>
  <c r="BU1474" i="1"/>
  <c r="BW1474" i="1" s="1"/>
  <c r="BX266" i="1"/>
  <c r="BQ220" i="1"/>
  <c r="BU260" i="1"/>
  <c r="BW260" i="1" s="1"/>
  <c r="BU277" i="1"/>
  <c r="BW277" i="1" s="1"/>
  <c r="BU65" i="1"/>
  <c r="BW65" i="1" s="1"/>
  <c r="BX237" i="1"/>
  <c r="BU274" i="1"/>
  <c r="BW274" i="1" s="1"/>
  <c r="BX231" i="1"/>
  <c r="BU32" i="1"/>
  <c r="BW32" i="1" s="1"/>
  <c r="BX243" i="1"/>
  <c r="BX261" i="1"/>
  <c r="BU245" i="1"/>
  <c r="BW245" i="1" s="1"/>
  <c r="BU268" i="1"/>
  <c r="BW268" i="1" s="1"/>
  <c r="BU275" i="1"/>
  <c r="BW275" i="1" s="1"/>
  <c r="BU74" i="1"/>
  <c r="BW74" i="1" s="1"/>
  <c r="BU262" i="1"/>
  <c r="BW262" i="1" s="1"/>
  <c r="BU66" i="1"/>
  <c r="BW66" i="1" s="1"/>
  <c r="BX101" i="1"/>
  <c r="BU89" i="1"/>
  <c r="BW89" i="1" s="1"/>
  <c r="BU280" i="1"/>
  <c r="BW280" i="1" s="1"/>
  <c r="BU64" i="1"/>
  <c r="BW64" i="1" s="1"/>
  <c r="BU99" i="1"/>
  <c r="BW99" i="1" s="1"/>
  <c r="BX72" i="1"/>
  <c r="BU229" i="1"/>
  <c r="BW229" i="1" s="1"/>
  <c r="BX68" i="1"/>
  <c r="BZ220" i="1"/>
  <c r="BU70" i="1"/>
  <c r="BW70" i="1" s="1"/>
  <c r="BX70" i="1"/>
  <c r="BU95" i="1"/>
  <c r="BW95" i="1" s="1"/>
  <c r="BX92" i="1"/>
  <c r="BU92" i="1"/>
  <c r="BW92" i="1" s="1"/>
  <c r="BU97" i="1"/>
  <c r="BW97" i="1" s="1"/>
  <c r="BU247" i="1"/>
  <c r="BW247" i="1" s="1"/>
  <c r="BX247" i="1"/>
  <c r="BU219" i="1"/>
  <c r="BW219" i="1" s="1"/>
  <c r="BX219" i="1"/>
  <c r="BX273" i="1"/>
  <c r="BU273" i="1"/>
  <c r="BW273" i="1" s="1"/>
  <c r="BU217" i="1"/>
  <c r="BW217" i="1" s="1"/>
  <c r="BX217" i="1"/>
  <c r="BU246" i="1"/>
  <c r="BW246" i="1" s="1"/>
  <c r="BX246" i="1"/>
  <c r="BX214" i="1"/>
  <c r="BU214" i="1"/>
  <c r="BW214" i="1" s="1"/>
  <c r="BX242" i="1"/>
  <c r="BU242" i="1"/>
  <c r="BW242" i="1" s="1"/>
  <c r="BU216" i="1"/>
  <c r="BW216" i="1" s="1"/>
  <c r="BX216" i="1"/>
  <c r="BU215" i="1"/>
  <c r="BW215" i="1" s="1"/>
  <c r="BX215" i="1"/>
  <c r="BX267" i="1"/>
  <c r="BU267" i="1"/>
  <c r="BW267" i="1" s="1"/>
  <c r="BU221" i="1"/>
  <c r="BW221" i="1" s="1"/>
  <c r="BX221" i="1"/>
  <c r="BU244" i="1"/>
  <c r="BW244" i="1" s="1"/>
  <c r="BX244" i="1"/>
  <c r="BX272" i="1"/>
  <c r="BU272" i="1"/>
  <c r="BW272" i="1" s="1"/>
  <c r="BU264" i="1"/>
  <c r="BW264" i="1" s="1"/>
  <c r="BX264" i="1"/>
  <c r="BU271" i="1"/>
  <c r="BW271" i="1" s="1"/>
  <c r="BX271" i="1"/>
  <c r="BU257" i="1"/>
  <c r="BW257" i="1" s="1"/>
  <c r="BX257" i="1"/>
  <c r="BU249" i="1"/>
  <c r="BW249" i="1" s="1"/>
  <c r="BX249" i="1"/>
  <c r="BU218" i="1"/>
  <c r="BW218" i="1" s="1"/>
  <c r="BX218" i="1"/>
  <c r="BU228" i="1"/>
  <c r="BW228" i="1" s="1"/>
  <c r="BX228" i="1"/>
  <c r="BU39" i="1"/>
  <c r="BW39" i="1" s="1"/>
  <c r="BX39" i="1"/>
  <c r="BX29" i="1"/>
  <c r="BU29" i="1"/>
  <c r="BW29" i="1" s="1"/>
  <c r="BX60" i="1"/>
  <c r="BU60" i="1"/>
  <c r="BW60" i="1" s="1"/>
  <c r="CG3" i="1"/>
  <c r="CG4" i="1"/>
  <c r="CG5" i="1"/>
  <c r="CG6" i="1"/>
  <c r="CG7" i="1"/>
  <c r="CG8" i="1"/>
  <c r="CG9" i="1"/>
  <c r="CG10" i="1"/>
  <c r="CG11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104" i="1"/>
  <c r="CG105" i="1"/>
  <c r="CG106" i="1"/>
  <c r="CG107" i="1"/>
  <c r="CG108" i="1"/>
  <c r="CG109" i="1"/>
  <c r="CG110" i="1"/>
  <c r="CG111" i="1"/>
  <c r="CG112" i="1"/>
  <c r="CG113" i="1"/>
  <c r="CG114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164" i="1"/>
  <c r="CG165" i="1"/>
  <c r="CG166" i="1"/>
  <c r="CG167" i="1"/>
  <c r="CG168" i="1"/>
  <c r="CG169" i="1"/>
  <c r="CG170" i="1"/>
  <c r="CG171" i="1"/>
  <c r="CG172" i="1"/>
  <c r="CG173" i="1"/>
  <c r="CG174" i="1"/>
  <c r="CG175" i="1"/>
  <c r="CG176" i="1"/>
  <c r="CG177" i="1"/>
  <c r="CG178" i="1"/>
  <c r="CG179" i="1"/>
  <c r="CG180" i="1"/>
  <c r="CG181" i="1"/>
  <c r="CG182" i="1"/>
  <c r="CG183" i="1"/>
  <c r="CG184" i="1"/>
  <c r="CG185" i="1"/>
  <c r="CG186" i="1"/>
  <c r="CG187" i="1"/>
  <c r="CG188" i="1"/>
  <c r="CG189" i="1"/>
  <c r="CG190" i="1"/>
  <c r="CG191" i="1"/>
  <c r="CG192" i="1"/>
  <c r="CG193" i="1"/>
  <c r="CG194" i="1"/>
  <c r="CG195" i="1"/>
  <c r="CG196" i="1"/>
  <c r="CG197" i="1"/>
  <c r="CG198" i="1"/>
  <c r="CG199" i="1"/>
  <c r="CG200" i="1"/>
  <c r="CG201" i="1"/>
  <c r="CG202" i="1"/>
  <c r="CG203" i="1"/>
  <c r="CG204" i="1"/>
  <c r="CG205" i="1"/>
  <c r="CG206" i="1"/>
  <c r="CG282" i="1"/>
  <c r="CG283" i="1"/>
  <c r="CG284" i="1"/>
  <c r="CG285" i="1"/>
  <c r="CG286" i="1"/>
  <c r="CG287" i="1"/>
  <c r="CG288" i="1"/>
  <c r="CG289" i="1"/>
  <c r="CG290" i="1"/>
  <c r="CG291" i="1"/>
  <c r="CG292" i="1"/>
  <c r="CG293" i="1"/>
  <c r="CG294" i="1"/>
  <c r="CG295" i="1"/>
  <c r="CG296" i="1"/>
  <c r="CG297" i="1"/>
  <c r="CG298" i="1"/>
  <c r="CG299" i="1"/>
  <c r="CG300" i="1"/>
  <c r="CG301" i="1"/>
  <c r="CG302" i="1"/>
  <c r="CG303" i="1"/>
  <c r="CG304" i="1"/>
  <c r="CG305" i="1"/>
  <c r="CG306" i="1"/>
  <c r="CG307" i="1"/>
  <c r="CG308" i="1"/>
  <c r="CG309" i="1"/>
  <c r="CG310" i="1"/>
  <c r="CG311" i="1"/>
  <c r="CG312" i="1"/>
  <c r="CG313" i="1"/>
  <c r="CG314" i="1"/>
  <c r="CG315" i="1"/>
  <c r="CG316" i="1"/>
  <c r="CG317" i="1"/>
  <c r="CG318" i="1"/>
  <c r="CG319" i="1"/>
  <c r="CG320" i="1"/>
  <c r="CG321" i="1"/>
  <c r="CG322" i="1"/>
  <c r="CG323" i="1"/>
  <c r="CG324" i="1"/>
  <c r="CG325" i="1"/>
  <c r="CG326" i="1"/>
  <c r="CG327" i="1"/>
  <c r="CG328" i="1"/>
  <c r="CG329" i="1"/>
  <c r="CG330" i="1"/>
  <c r="CG331" i="1"/>
  <c r="CG332" i="1"/>
  <c r="CG333" i="1"/>
  <c r="CG334" i="1"/>
  <c r="CG335" i="1"/>
  <c r="CG336" i="1"/>
  <c r="CG337" i="1"/>
  <c r="CG338" i="1"/>
  <c r="CG339" i="1"/>
  <c r="CG341" i="1"/>
  <c r="CG342" i="1"/>
  <c r="CG343" i="1"/>
  <c r="CG344" i="1"/>
  <c r="CG345" i="1"/>
  <c r="CG346" i="1"/>
  <c r="CG347" i="1"/>
  <c r="CG348" i="1"/>
  <c r="CG349" i="1"/>
  <c r="CG350" i="1"/>
  <c r="CG351" i="1"/>
  <c r="CG352" i="1"/>
  <c r="CG353" i="1"/>
  <c r="CG354" i="1"/>
  <c r="CG355" i="1"/>
  <c r="CG356" i="1"/>
  <c r="CG357" i="1"/>
  <c r="CG358" i="1"/>
  <c r="CG359" i="1"/>
  <c r="CG360" i="1"/>
  <c r="CG361" i="1"/>
  <c r="CG362" i="1"/>
  <c r="CG363" i="1"/>
  <c r="CG364" i="1"/>
  <c r="CG365" i="1"/>
  <c r="CG366" i="1"/>
  <c r="CG367" i="1"/>
  <c r="CG368" i="1"/>
  <c r="CG369" i="1"/>
  <c r="CG370" i="1"/>
  <c r="CG371" i="1"/>
  <c r="CG372" i="1"/>
  <c r="CG373" i="1"/>
  <c r="CG374" i="1"/>
  <c r="CG375" i="1"/>
  <c r="CG376" i="1"/>
  <c r="CG377" i="1"/>
  <c r="CG378" i="1"/>
  <c r="CG379" i="1"/>
  <c r="CG380" i="1"/>
  <c r="CG381" i="1"/>
  <c r="CG382" i="1"/>
  <c r="CG383" i="1"/>
  <c r="CG384" i="1"/>
  <c r="CG385" i="1"/>
  <c r="CG386" i="1"/>
  <c r="CG387" i="1"/>
  <c r="CG388" i="1"/>
  <c r="CG389" i="1"/>
  <c r="CG390" i="1"/>
  <c r="CG391" i="1"/>
  <c r="CG392" i="1"/>
  <c r="CG393" i="1"/>
  <c r="CG394" i="1"/>
  <c r="CG395" i="1"/>
  <c r="CG396" i="1"/>
  <c r="CG397" i="1"/>
  <c r="CG398" i="1"/>
  <c r="CG399" i="1"/>
  <c r="CG400" i="1"/>
  <c r="CG401" i="1"/>
  <c r="CG402" i="1"/>
  <c r="CG403" i="1"/>
  <c r="CG404" i="1"/>
  <c r="CG405" i="1"/>
  <c r="CG406" i="1"/>
  <c r="CG407" i="1"/>
  <c r="CG408" i="1"/>
  <c r="CG409" i="1"/>
  <c r="CG410" i="1"/>
  <c r="CG411" i="1"/>
  <c r="CG412" i="1"/>
  <c r="CG413" i="1"/>
  <c r="CG414" i="1"/>
  <c r="CG415" i="1"/>
  <c r="CG416" i="1"/>
  <c r="CG417" i="1"/>
  <c r="CG418" i="1"/>
  <c r="CG419" i="1"/>
  <c r="CG420" i="1"/>
  <c r="CG421" i="1"/>
  <c r="CG422" i="1"/>
  <c r="CG423" i="1"/>
  <c r="CG424" i="1"/>
  <c r="CG425" i="1"/>
  <c r="CG426" i="1"/>
  <c r="CG427" i="1"/>
  <c r="CG428" i="1"/>
  <c r="CG429" i="1"/>
  <c r="CG430" i="1"/>
  <c r="CG431" i="1"/>
  <c r="CG432" i="1"/>
  <c r="CG433" i="1"/>
  <c r="CG434" i="1"/>
  <c r="CG435" i="1"/>
  <c r="CG436" i="1"/>
  <c r="CG437" i="1"/>
  <c r="CG438" i="1"/>
  <c r="CG439" i="1"/>
  <c r="CG440" i="1"/>
  <c r="CG441" i="1"/>
  <c r="CG442" i="1"/>
  <c r="CG443" i="1"/>
  <c r="CG444" i="1"/>
  <c r="CG445" i="1"/>
  <c r="CG446" i="1"/>
  <c r="CG447" i="1"/>
  <c r="CG448" i="1"/>
  <c r="CG449" i="1"/>
  <c r="CG450" i="1"/>
  <c r="CG451" i="1"/>
  <c r="CG452" i="1"/>
  <c r="CG453" i="1"/>
  <c r="CG454" i="1"/>
  <c r="CG455" i="1"/>
  <c r="CG456" i="1"/>
  <c r="CG457" i="1"/>
  <c r="CG458" i="1"/>
  <c r="CG459" i="1"/>
  <c r="CG460" i="1"/>
  <c r="CG461" i="1"/>
  <c r="CG462" i="1"/>
  <c r="CG463" i="1"/>
  <c r="CG465" i="1"/>
  <c r="CG466" i="1"/>
  <c r="CG467" i="1"/>
  <c r="CG468" i="1"/>
  <c r="CG469" i="1"/>
  <c r="CG470" i="1"/>
  <c r="CG471" i="1"/>
  <c r="CG472" i="1"/>
  <c r="CG473" i="1"/>
  <c r="CG474" i="1"/>
  <c r="CG475" i="1"/>
  <c r="CG476" i="1"/>
  <c r="CG477" i="1"/>
  <c r="CG479" i="1"/>
  <c r="CG480" i="1"/>
  <c r="CG481" i="1"/>
  <c r="CG482" i="1"/>
  <c r="CG483" i="1"/>
  <c r="CG484" i="1"/>
  <c r="CG485" i="1"/>
  <c r="CG486" i="1"/>
  <c r="CG487" i="1"/>
  <c r="CG488" i="1"/>
  <c r="CG489" i="1"/>
  <c r="CG490" i="1"/>
  <c r="CG491" i="1"/>
  <c r="CG492" i="1"/>
  <c r="CG493" i="1"/>
  <c r="CG494" i="1"/>
  <c r="CG495" i="1"/>
  <c r="CG496" i="1"/>
  <c r="CG497" i="1"/>
  <c r="CG498" i="1"/>
  <c r="CG499" i="1"/>
  <c r="CG500" i="1"/>
  <c r="CG501" i="1"/>
  <c r="CG502" i="1"/>
  <c r="CG503" i="1"/>
  <c r="CG504" i="1"/>
  <c r="CG505" i="1"/>
  <c r="CG506" i="1"/>
  <c r="CG507" i="1"/>
  <c r="CG508" i="1"/>
  <c r="CG509" i="1"/>
  <c r="CG510" i="1"/>
  <c r="CG511" i="1"/>
  <c r="CG512" i="1"/>
  <c r="CG513" i="1"/>
  <c r="CG515" i="1"/>
  <c r="CG516" i="1"/>
  <c r="CG517" i="1"/>
  <c r="CG518" i="1"/>
  <c r="CG519" i="1"/>
  <c r="CG520" i="1"/>
  <c r="CG521" i="1"/>
  <c r="CG522" i="1"/>
  <c r="CG523" i="1"/>
  <c r="CG524" i="1"/>
  <c r="CG525" i="1"/>
  <c r="CG526" i="1"/>
  <c r="CG527" i="1"/>
  <c r="CG528" i="1"/>
  <c r="CG529" i="1"/>
  <c r="CG530" i="1"/>
  <c r="CG531" i="1"/>
  <c r="CG532" i="1"/>
  <c r="CG533" i="1"/>
  <c r="CG534" i="1"/>
  <c r="CG535" i="1"/>
  <c r="CG536" i="1"/>
  <c r="CG537" i="1"/>
  <c r="CG538" i="1"/>
  <c r="CG539" i="1"/>
  <c r="CG540" i="1"/>
  <c r="CG541" i="1"/>
  <c r="CG542" i="1"/>
  <c r="CG543" i="1"/>
  <c r="CG544" i="1"/>
  <c r="CG545" i="1"/>
  <c r="CG546" i="1"/>
  <c r="CG547" i="1"/>
  <c r="CG548" i="1"/>
  <c r="CG549" i="1"/>
  <c r="CG550" i="1"/>
  <c r="CG551" i="1"/>
  <c r="CG552" i="1"/>
  <c r="CG553" i="1"/>
  <c r="CG554" i="1"/>
  <c r="CG555" i="1"/>
  <c r="CG556" i="1"/>
  <c r="CG557" i="1"/>
  <c r="CG558" i="1"/>
  <c r="CG559" i="1"/>
  <c r="CG560" i="1"/>
  <c r="CG561" i="1"/>
  <c r="CG562" i="1"/>
  <c r="CG563" i="1"/>
  <c r="CG564" i="1"/>
  <c r="CG565" i="1"/>
  <c r="CG566" i="1"/>
  <c r="CG567" i="1"/>
  <c r="CG568" i="1"/>
  <c r="CG569" i="1"/>
  <c r="CG570" i="1"/>
  <c r="CG571" i="1"/>
  <c r="CG572" i="1"/>
  <c r="CG573" i="1"/>
  <c r="CG574" i="1"/>
  <c r="CG575" i="1"/>
  <c r="CG576" i="1"/>
  <c r="CG577" i="1"/>
  <c r="CG578" i="1"/>
  <c r="CG579" i="1"/>
  <c r="CG580" i="1"/>
  <c r="CG581" i="1"/>
  <c r="CG582" i="1"/>
  <c r="CG583" i="1"/>
  <c r="CG584" i="1"/>
  <c r="CG585" i="1"/>
  <c r="CG586" i="1"/>
  <c r="CG587" i="1"/>
  <c r="CG588" i="1"/>
  <c r="CG589" i="1"/>
  <c r="CG590" i="1"/>
  <c r="CG591" i="1"/>
  <c r="CG592" i="1"/>
  <c r="CG593" i="1"/>
  <c r="CG594" i="1"/>
  <c r="CG595" i="1"/>
  <c r="CG596" i="1"/>
  <c r="CG597" i="1"/>
  <c r="CG598" i="1"/>
  <c r="CG599" i="1"/>
  <c r="CG600" i="1"/>
  <c r="CG601" i="1"/>
  <c r="CG602" i="1"/>
  <c r="CG603" i="1"/>
  <c r="CG604" i="1"/>
  <c r="CG605" i="1"/>
  <c r="CG606" i="1"/>
  <c r="CG607" i="1"/>
  <c r="CG608" i="1"/>
  <c r="CG609" i="1"/>
  <c r="CG611" i="1"/>
  <c r="CG612" i="1"/>
  <c r="CG614" i="1"/>
  <c r="CG615" i="1"/>
  <c r="CG616" i="1"/>
  <c r="CG617" i="1"/>
  <c r="CG618" i="1"/>
  <c r="CG619" i="1"/>
  <c r="CG620" i="1"/>
  <c r="CG621" i="1"/>
  <c r="CG622" i="1"/>
  <c r="CG623" i="1"/>
  <c r="CG624" i="1"/>
  <c r="CG625" i="1"/>
  <c r="CG626" i="1"/>
  <c r="CG627" i="1"/>
  <c r="CG628" i="1"/>
  <c r="CG629" i="1"/>
  <c r="CG630" i="1"/>
  <c r="CG631" i="1"/>
  <c r="CG632" i="1"/>
  <c r="CG633" i="1"/>
  <c r="CG634" i="1"/>
  <c r="CG635" i="1"/>
  <c r="CG636" i="1"/>
  <c r="CG637" i="1"/>
  <c r="CG638" i="1"/>
  <c r="CG639" i="1"/>
  <c r="CG640" i="1"/>
  <c r="CG641" i="1"/>
  <c r="CG642" i="1"/>
  <c r="CG643" i="1"/>
  <c r="CG644" i="1"/>
  <c r="CG645" i="1"/>
  <c r="CG646" i="1"/>
  <c r="CG647" i="1"/>
  <c r="CG648" i="1"/>
  <c r="CG649" i="1"/>
  <c r="CG650" i="1"/>
  <c r="CG651" i="1"/>
  <c r="CG652" i="1"/>
  <c r="CG653" i="1"/>
  <c r="CG654" i="1"/>
  <c r="CG655" i="1"/>
  <c r="CG656" i="1"/>
  <c r="CG657" i="1"/>
  <c r="CG658" i="1"/>
  <c r="CG659" i="1"/>
  <c r="CG660" i="1"/>
  <c r="CG661" i="1"/>
  <c r="CG662" i="1"/>
  <c r="CG663" i="1"/>
  <c r="CG664" i="1"/>
  <c r="CG665" i="1"/>
  <c r="CG666" i="1"/>
  <c r="CG667" i="1"/>
  <c r="CG668" i="1"/>
  <c r="CG669" i="1"/>
  <c r="CG670" i="1"/>
  <c r="CG671" i="1"/>
  <c r="CG672" i="1"/>
  <c r="CG673" i="1"/>
  <c r="CG674" i="1"/>
  <c r="CG675" i="1"/>
  <c r="CG676" i="1"/>
  <c r="CG677" i="1"/>
  <c r="CG678" i="1"/>
  <c r="CG679" i="1"/>
  <c r="CG680" i="1"/>
  <c r="CG681" i="1"/>
  <c r="CG682" i="1"/>
  <c r="CG683" i="1"/>
  <c r="CG684" i="1"/>
  <c r="CG685" i="1"/>
  <c r="CG686" i="1"/>
  <c r="CG687" i="1"/>
  <c r="CG688" i="1"/>
  <c r="CG689" i="1"/>
  <c r="CG690" i="1"/>
  <c r="CG691" i="1"/>
  <c r="CG692" i="1"/>
  <c r="CG693" i="1"/>
  <c r="CG694" i="1"/>
  <c r="CG695" i="1"/>
  <c r="CG696" i="1"/>
  <c r="CG697" i="1"/>
  <c r="CG698" i="1"/>
  <c r="CG699" i="1"/>
  <c r="CG700" i="1"/>
  <c r="CG701" i="1"/>
  <c r="CG702" i="1"/>
  <c r="CG703" i="1"/>
  <c r="CG704" i="1"/>
  <c r="CG705" i="1"/>
  <c r="CG706" i="1"/>
  <c r="CG707" i="1"/>
  <c r="CG708" i="1"/>
  <c r="CG709" i="1"/>
  <c r="CG710" i="1"/>
  <c r="CG711" i="1"/>
  <c r="CG712" i="1"/>
  <c r="CG713" i="1"/>
  <c r="CG714" i="1"/>
  <c r="CG715" i="1"/>
  <c r="CG716" i="1"/>
  <c r="CG717" i="1"/>
  <c r="CG718" i="1"/>
  <c r="CG719" i="1"/>
  <c r="CG720" i="1"/>
  <c r="CG721" i="1"/>
  <c r="CG722" i="1"/>
  <c r="CG723" i="1"/>
  <c r="CG724" i="1"/>
  <c r="CG725" i="1"/>
  <c r="CG726" i="1"/>
  <c r="CG727" i="1"/>
  <c r="CG728" i="1"/>
  <c r="CG729" i="1"/>
  <c r="CG730" i="1"/>
  <c r="CG731" i="1"/>
  <c r="CG732" i="1"/>
  <c r="CG733" i="1"/>
  <c r="CG734" i="1"/>
  <c r="CG735" i="1"/>
  <c r="CG736" i="1"/>
  <c r="CG737" i="1"/>
  <c r="CG738" i="1"/>
  <c r="CG739" i="1"/>
  <c r="CG740" i="1"/>
  <c r="CG741" i="1"/>
  <c r="CG742" i="1"/>
  <c r="CG743" i="1"/>
  <c r="CG744" i="1"/>
  <c r="CG745" i="1"/>
  <c r="CG746" i="1"/>
  <c r="CG747" i="1"/>
  <c r="CG748" i="1"/>
  <c r="CG749" i="1"/>
  <c r="CG750" i="1"/>
  <c r="CG751" i="1"/>
  <c r="CG752" i="1"/>
  <c r="CG753" i="1"/>
  <c r="CG754" i="1"/>
  <c r="CG755" i="1"/>
  <c r="CG756" i="1"/>
  <c r="CG757" i="1"/>
  <c r="CG758" i="1"/>
  <c r="CG759" i="1"/>
  <c r="CG760" i="1"/>
  <c r="CG761" i="1"/>
  <c r="CG762" i="1"/>
  <c r="CG763" i="1"/>
  <c r="CG764" i="1"/>
  <c r="CG765" i="1"/>
  <c r="CG766" i="1"/>
  <c r="CG767" i="1"/>
  <c r="CG768" i="1"/>
  <c r="CG769" i="1"/>
  <c r="CG770" i="1"/>
  <c r="CG771" i="1"/>
  <c r="CG772" i="1"/>
  <c r="CG773" i="1"/>
  <c r="CG774" i="1"/>
  <c r="CG775" i="1"/>
  <c r="CG776" i="1"/>
  <c r="CG777" i="1"/>
  <c r="CG778" i="1"/>
  <c r="CG779" i="1"/>
  <c r="CG780" i="1"/>
  <c r="CG782" i="1"/>
  <c r="CG783" i="1"/>
  <c r="CG784" i="1"/>
  <c r="CG785" i="1"/>
  <c r="CG786" i="1"/>
  <c r="CG787" i="1"/>
  <c r="CG788" i="1"/>
  <c r="CG789" i="1"/>
  <c r="CG790" i="1"/>
  <c r="CG791" i="1"/>
  <c r="CG792" i="1"/>
  <c r="CG793" i="1"/>
  <c r="CG794" i="1"/>
  <c r="CG795" i="1"/>
  <c r="CG796" i="1"/>
  <c r="CG797" i="1"/>
  <c r="CG798" i="1"/>
  <c r="CG799" i="1"/>
  <c r="CG800" i="1"/>
  <c r="CG801" i="1"/>
  <c r="CG802" i="1"/>
  <c r="CG803" i="1"/>
  <c r="CG804" i="1"/>
  <c r="CG805" i="1"/>
  <c r="CG806" i="1"/>
  <c r="CG807" i="1"/>
  <c r="CG808" i="1"/>
  <c r="CG809" i="1"/>
  <c r="CG810" i="1"/>
  <c r="CG811" i="1"/>
  <c r="CG812" i="1"/>
  <c r="CG813" i="1"/>
  <c r="CG814" i="1"/>
  <c r="CG815" i="1"/>
  <c r="CG816" i="1"/>
  <c r="CG817" i="1"/>
  <c r="CG818" i="1"/>
  <c r="CG819" i="1"/>
  <c r="CG820" i="1"/>
  <c r="CG821" i="1"/>
  <c r="CG822" i="1"/>
  <c r="CG823" i="1"/>
  <c r="CG824" i="1"/>
  <c r="CG825" i="1"/>
  <c r="CG826" i="1"/>
  <c r="CG827" i="1"/>
  <c r="CG828" i="1"/>
  <c r="CG829" i="1"/>
  <c r="CG830" i="1"/>
  <c r="CG831" i="1"/>
  <c r="CG832" i="1"/>
  <c r="CG833" i="1"/>
  <c r="CG834" i="1"/>
  <c r="CG835" i="1"/>
  <c r="CG836" i="1"/>
  <c r="CG837" i="1"/>
  <c r="CG838" i="1"/>
  <c r="CG840" i="1"/>
  <c r="CG841" i="1"/>
  <c r="CG842" i="1"/>
  <c r="CG843" i="1"/>
  <c r="CG844" i="1"/>
  <c r="CG845" i="1"/>
  <c r="CG846" i="1"/>
  <c r="CG847" i="1"/>
  <c r="CG848" i="1"/>
  <c r="CG849" i="1"/>
  <c r="CG850" i="1"/>
  <c r="CG851" i="1"/>
  <c r="CG852" i="1"/>
  <c r="CG853" i="1"/>
  <c r="CG854" i="1"/>
  <c r="CG855" i="1"/>
  <c r="CG856" i="1"/>
  <c r="CG857" i="1"/>
  <c r="CG858" i="1"/>
  <c r="CG859" i="1"/>
  <c r="CG860" i="1"/>
  <c r="CG861" i="1"/>
  <c r="CG862" i="1"/>
  <c r="CG863" i="1"/>
  <c r="CG864" i="1"/>
  <c r="CG865" i="1"/>
  <c r="CG866" i="1"/>
  <c r="CG867" i="1"/>
  <c r="CG868" i="1"/>
  <c r="CG869" i="1"/>
  <c r="CG870" i="1"/>
  <c r="CG871" i="1"/>
  <c r="CG872" i="1"/>
  <c r="CG873" i="1"/>
  <c r="CG874" i="1"/>
  <c r="CG875" i="1"/>
  <c r="CG876" i="1"/>
  <c r="CG877" i="1"/>
  <c r="CG878" i="1"/>
  <c r="CG879" i="1"/>
  <c r="CG880" i="1"/>
  <c r="CG881" i="1"/>
  <c r="CG882" i="1"/>
  <c r="CG883" i="1"/>
  <c r="CG884" i="1"/>
  <c r="CG885" i="1"/>
  <c r="CG886" i="1"/>
  <c r="CG887" i="1"/>
  <c r="CG888" i="1"/>
  <c r="CG889" i="1"/>
  <c r="CG890" i="1"/>
  <c r="CG891" i="1"/>
  <c r="CG892" i="1"/>
  <c r="CG893" i="1"/>
  <c r="CG894" i="1"/>
  <c r="CG895" i="1"/>
  <c r="CG896" i="1"/>
  <c r="CG897" i="1"/>
  <c r="CG898" i="1"/>
  <c r="CG899" i="1"/>
  <c r="CG900" i="1"/>
  <c r="CG901" i="1"/>
  <c r="CG902" i="1"/>
  <c r="CG903" i="1"/>
  <c r="CG904" i="1"/>
  <c r="CG905" i="1"/>
  <c r="CG906" i="1"/>
  <c r="CG907" i="1"/>
  <c r="CG908" i="1"/>
  <c r="CG909" i="1"/>
  <c r="CG910" i="1"/>
  <c r="CG911" i="1"/>
  <c r="CG912" i="1"/>
  <c r="CG913" i="1"/>
  <c r="CG914" i="1"/>
  <c r="CG915" i="1"/>
  <c r="CG916" i="1"/>
  <c r="CG917" i="1"/>
  <c r="CG918" i="1"/>
  <c r="CG919" i="1"/>
  <c r="CG920" i="1"/>
  <c r="CG921" i="1"/>
  <c r="CG922" i="1"/>
  <c r="CG923" i="1"/>
  <c r="CG924" i="1"/>
  <c r="CG925" i="1"/>
  <c r="CG926" i="1"/>
  <c r="CG927" i="1"/>
  <c r="CG928" i="1"/>
  <c r="CG929" i="1"/>
  <c r="CG930" i="1"/>
  <c r="CG931" i="1"/>
  <c r="CG932" i="1"/>
  <c r="CG933" i="1"/>
  <c r="CG934" i="1"/>
  <c r="CG935" i="1"/>
  <c r="CG936" i="1"/>
  <c r="CG937" i="1"/>
  <c r="CG938" i="1"/>
  <c r="CG939" i="1"/>
  <c r="CG940" i="1"/>
  <c r="CG942" i="1"/>
  <c r="CG943" i="1"/>
  <c r="CG944" i="1"/>
  <c r="CG945" i="1"/>
  <c r="CG946" i="1"/>
  <c r="CG947" i="1"/>
  <c r="CG948" i="1"/>
  <c r="CG949" i="1"/>
  <c r="CG950" i="1"/>
  <c r="CG951" i="1"/>
  <c r="CG952" i="1"/>
  <c r="CG953" i="1"/>
  <c r="CG954" i="1"/>
  <c r="CG955" i="1"/>
  <c r="CG956" i="1"/>
  <c r="CG957" i="1"/>
  <c r="CG958" i="1"/>
  <c r="CG959" i="1"/>
  <c r="CG960" i="1"/>
  <c r="CG961" i="1"/>
  <c r="CG962" i="1"/>
  <c r="CG963" i="1"/>
  <c r="CG964" i="1"/>
  <c r="CG965" i="1"/>
  <c r="CG966" i="1"/>
  <c r="CG967" i="1"/>
  <c r="CG968" i="1"/>
  <c r="CG969" i="1"/>
  <c r="CG970" i="1"/>
  <c r="CG971" i="1"/>
  <c r="CG972" i="1"/>
  <c r="CG973" i="1"/>
  <c r="CG974" i="1"/>
  <c r="CG975" i="1"/>
  <c r="CG976" i="1"/>
  <c r="CG977" i="1"/>
  <c r="CG978" i="1"/>
  <c r="CG979" i="1"/>
  <c r="CG980" i="1"/>
  <c r="CG981" i="1"/>
  <c r="CG982" i="1"/>
  <c r="CG983" i="1"/>
  <c r="CG984" i="1"/>
  <c r="CG985" i="1"/>
  <c r="CG986" i="1"/>
  <c r="CG987" i="1"/>
  <c r="CG988" i="1"/>
  <c r="CG989" i="1"/>
  <c r="CG990" i="1"/>
  <c r="CG991" i="1"/>
  <c r="CG992" i="1"/>
  <c r="CG993" i="1"/>
  <c r="CG994" i="1"/>
  <c r="CG995" i="1"/>
  <c r="CG996" i="1"/>
  <c r="CG997" i="1"/>
  <c r="CG998" i="1"/>
  <c r="CG999" i="1"/>
  <c r="CG1000" i="1"/>
  <c r="CG1001" i="1"/>
  <c r="CG1002" i="1"/>
  <c r="CG1003" i="1"/>
  <c r="CG1004" i="1"/>
  <c r="CG1005" i="1"/>
  <c r="CG1006" i="1"/>
  <c r="CG1007" i="1"/>
  <c r="CG1008" i="1"/>
  <c r="CG1009" i="1"/>
  <c r="CG1010" i="1"/>
  <c r="CG1011" i="1"/>
  <c r="CG1012" i="1"/>
  <c r="CG1013" i="1"/>
  <c r="CG1014" i="1"/>
  <c r="CG1015" i="1"/>
  <c r="CG1016" i="1"/>
  <c r="CG1017" i="1"/>
  <c r="CG1018" i="1"/>
  <c r="CG1019" i="1"/>
  <c r="CG1020" i="1"/>
  <c r="CG1021" i="1"/>
  <c r="CG1022" i="1"/>
  <c r="CG1023" i="1"/>
  <c r="CG1024" i="1"/>
  <c r="CG1025" i="1"/>
  <c r="CG1026" i="1"/>
  <c r="CG1027" i="1"/>
  <c r="CG1028" i="1"/>
  <c r="CG1029" i="1"/>
  <c r="CG1030" i="1"/>
  <c r="CG1031" i="1"/>
  <c r="CG1032" i="1"/>
  <c r="CG1033" i="1"/>
  <c r="CG1034" i="1"/>
  <c r="CG1035" i="1"/>
  <c r="CG1036" i="1"/>
  <c r="CG1037" i="1"/>
  <c r="CG1038" i="1"/>
  <c r="CG1039" i="1"/>
  <c r="CG1040" i="1"/>
  <c r="CG1042" i="1"/>
  <c r="CG1043" i="1"/>
  <c r="CG1044" i="1"/>
  <c r="CG1045" i="1"/>
  <c r="CG1046" i="1"/>
  <c r="CG1047" i="1"/>
  <c r="CG1048" i="1"/>
  <c r="CG1049" i="1"/>
  <c r="CG1050" i="1"/>
  <c r="CG1051" i="1"/>
  <c r="CG1052" i="1"/>
  <c r="CG1053" i="1"/>
  <c r="CG1055" i="1"/>
  <c r="CG1056" i="1"/>
  <c r="CG1057" i="1"/>
  <c r="CG1058" i="1"/>
  <c r="CG1059" i="1"/>
  <c r="CG1060" i="1"/>
  <c r="CG1061" i="1"/>
  <c r="CG1062" i="1"/>
  <c r="CG1063" i="1"/>
  <c r="CG1064" i="1"/>
  <c r="CG1065" i="1"/>
  <c r="CG1066" i="1"/>
  <c r="CG1067" i="1"/>
  <c r="CG1068" i="1"/>
  <c r="CG1069" i="1"/>
  <c r="CG1070" i="1"/>
  <c r="CG1071" i="1"/>
  <c r="CG1072" i="1"/>
  <c r="CG1073" i="1"/>
  <c r="CG1074" i="1"/>
  <c r="CG1075" i="1"/>
  <c r="CG1076" i="1"/>
  <c r="CG1077" i="1"/>
  <c r="CG1078" i="1"/>
  <c r="CG1079" i="1"/>
  <c r="CG1080" i="1"/>
  <c r="CG1081" i="1"/>
  <c r="CG1082" i="1"/>
  <c r="CG1083" i="1"/>
  <c r="CG1084" i="1"/>
  <c r="CG1085" i="1"/>
  <c r="CG1086" i="1"/>
  <c r="CG1087" i="1"/>
  <c r="CG1088" i="1"/>
  <c r="CG1089" i="1"/>
  <c r="CG1090" i="1"/>
  <c r="CG1091" i="1"/>
  <c r="CG1092" i="1"/>
  <c r="CG1093" i="1"/>
  <c r="CG1094" i="1"/>
  <c r="CG1095" i="1"/>
  <c r="CG1096" i="1"/>
  <c r="CG1097" i="1"/>
  <c r="CG1098" i="1"/>
  <c r="CG1099" i="1"/>
  <c r="CG1100" i="1"/>
  <c r="CG1101" i="1"/>
  <c r="CG1102" i="1"/>
  <c r="CG1103" i="1"/>
  <c r="CG1104" i="1"/>
  <c r="CG1105" i="1"/>
  <c r="CG1106" i="1"/>
  <c r="CG1107" i="1"/>
  <c r="CG1108" i="1"/>
  <c r="CG1109" i="1"/>
  <c r="CG1110" i="1"/>
  <c r="CG1111" i="1"/>
  <c r="CG1112" i="1"/>
  <c r="CG1113" i="1"/>
  <c r="CG1114" i="1"/>
  <c r="CG1115" i="1"/>
  <c r="CG1116" i="1"/>
  <c r="CG1117" i="1"/>
  <c r="CG1118" i="1"/>
  <c r="CG1119" i="1"/>
  <c r="CG1120" i="1"/>
  <c r="CG1121" i="1"/>
  <c r="CG1122" i="1"/>
  <c r="CG1123" i="1"/>
  <c r="CG1124" i="1"/>
  <c r="CG1125" i="1"/>
  <c r="CG1126" i="1"/>
  <c r="CG1127" i="1"/>
  <c r="CG1128" i="1"/>
  <c r="CG1129" i="1"/>
  <c r="CG1130" i="1"/>
  <c r="CG1131" i="1"/>
  <c r="CG1132" i="1"/>
  <c r="CG1133" i="1"/>
  <c r="CG1134" i="1"/>
  <c r="CG1135" i="1"/>
  <c r="CG1136" i="1"/>
  <c r="CG1137" i="1"/>
  <c r="CG1138" i="1"/>
  <c r="CG1139" i="1"/>
  <c r="CG1140" i="1"/>
  <c r="CG1141" i="1"/>
  <c r="CG1142" i="1"/>
  <c r="CG1143" i="1"/>
  <c r="CG1144" i="1"/>
  <c r="CG1145" i="1"/>
  <c r="CG1146" i="1"/>
  <c r="CG1147" i="1"/>
  <c r="CG1148" i="1"/>
  <c r="CG1149" i="1"/>
  <c r="CG1150" i="1"/>
  <c r="CG1151" i="1"/>
  <c r="CG1152" i="1"/>
  <c r="CG1153" i="1"/>
  <c r="CG1154" i="1"/>
  <c r="CG1155" i="1"/>
  <c r="CG1156" i="1"/>
  <c r="CG1157" i="1"/>
  <c r="CG1158" i="1"/>
  <c r="CG1159" i="1"/>
  <c r="CG1160" i="1"/>
  <c r="CG1161" i="1"/>
  <c r="CG1162" i="1"/>
  <c r="CG1163" i="1"/>
  <c r="CG1164" i="1"/>
  <c r="CG1165" i="1"/>
  <c r="CG1166" i="1"/>
  <c r="CG1167" i="1"/>
  <c r="CG1168" i="1"/>
  <c r="CG1169" i="1"/>
  <c r="CG1170" i="1"/>
  <c r="CG1171" i="1"/>
  <c r="CG1172" i="1"/>
  <c r="CG1173" i="1"/>
  <c r="CG1174" i="1"/>
  <c r="CG1175" i="1"/>
  <c r="CG1176" i="1"/>
  <c r="CG1177" i="1"/>
  <c r="CG1178" i="1"/>
  <c r="CG1179" i="1"/>
  <c r="CG1181" i="1"/>
  <c r="CG1182" i="1"/>
  <c r="CG1183" i="1"/>
  <c r="CG1184" i="1"/>
  <c r="CG1185" i="1"/>
  <c r="CG1186" i="1"/>
  <c r="CG1187" i="1"/>
  <c r="CG1188" i="1"/>
  <c r="CG1189" i="1"/>
  <c r="CG1190" i="1"/>
  <c r="CG1191" i="1"/>
  <c r="CG1192" i="1"/>
  <c r="CG1193" i="1"/>
  <c r="CG1194" i="1"/>
  <c r="CG1195" i="1"/>
  <c r="CG1196" i="1"/>
  <c r="CG1197" i="1"/>
  <c r="CG1198" i="1"/>
  <c r="CG1199" i="1"/>
  <c r="CG1201" i="1"/>
  <c r="CG1204" i="1"/>
  <c r="CG1205" i="1"/>
  <c r="CG1206" i="1"/>
  <c r="CG1207" i="1"/>
  <c r="CG1208" i="1"/>
  <c r="CG1209" i="1"/>
  <c r="CG1210" i="1"/>
  <c r="CG1211" i="1"/>
  <c r="CG1212" i="1"/>
  <c r="CG1213" i="1"/>
  <c r="CG1214" i="1"/>
  <c r="CG1215" i="1"/>
  <c r="CG1216" i="1"/>
  <c r="CG1217" i="1"/>
  <c r="CG1218" i="1"/>
  <c r="CG1219" i="1"/>
  <c r="CG1220" i="1"/>
  <c r="CG1221" i="1"/>
  <c r="CG1222" i="1"/>
  <c r="CG1223" i="1"/>
  <c r="CG1224" i="1"/>
  <c r="CG1225" i="1"/>
  <c r="CG1226" i="1"/>
  <c r="CG1227" i="1"/>
  <c r="CG1228" i="1"/>
  <c r="CG1229" i="1"/>
  <c r="CG1230" i="1"/>
  <c r="CG1231" i="1"/>
  <c r="CG1232" i="1"/>
  <c r="CG1233" i="1"/>
  <c r="CG1234" i="1"/>
  <c r="CG1235" i="1"/>
  <c r="CG1236" i="1"/>
  <c r="CG1237" i="1"/>
  <c r="CG1238" i="1"/>
  <c r="CG1240" i="1"/>
  <c r="CG1241" i="1"/>
  <c r="CG1242" i="1"/>
  <c r="CG1243" i="1"/>
  <c r="CG1244" i="1"/>
  <c r="CG1245" i="1"/>
  <c r="CG1246" i="1"/>
  <c r="CG1247" i="1"/>
  <c r="CG1248" i="1"/>
  <c r="CG1249" i="1"/>
  <c r="CG1250" i="1"/>
  <c r="CG1251" i="1"/>
  <c r="CG1252" i="1"/>
  <c r="CG1253" i="1"/>
  <c r="CG1254" i="1"/>
  <c r="CG1255" i="1"/>
  <c r="CG1256" i="1"/>
  <c r="CG1257" i="1"/>
  <c r="CG1258" i="1"/>
  <c r="CG1259" i="1"/>
  <c r="CG1260" i="1"/>
  <c r="CG1261" i="1"/>
  <c r="CG1262" i="1"/>
  <c r="CG1263" i="1"/>
  <c r="CG1264" i="1"/>
  <c r="CG1265" i="1"/>
  <c r="CG1266" i="1"/>
  <c r="CG1267" i="1"/>
  <c r="CG1268" i="1"/>
  <c r="CG1269" i="1"/>
  <c r="CG1270" i="1"/>
  <c r="CG1272" i="1"/>
  <c r="CG1273" i="1"/>
  <c r="CG1274" i="1"/>
  <c r="CG1275" i="1"/>
  <c r="CG1276" i="1"/>
  <c r="CG1277" i="1"/>
  <c r="CG1278" i="1"/>
  <c r="CG1279" i="1"/>
  <c r="CG1280" i="1"/>
  <c r="CG1281" i="1"/>
  <c r="CG1282" i="1"/>
  <c r="CG1283" i="1"/>
  <c r="CG1284" i="1"/>
  <c r="CG1285" i="1"/>
  <c r="CG1286" i="1"/>
  <c r="CG1287" i="1"/>
  <c r="CG1288" i="1"/>
  <c r="CG1289" i="1"/>
  <c r="CG1290" i="1"/>
  <c r="CG1291" i="1"/>
  <c r="CG1292" i="1"/>
  <c r="CG1293" i="1"/>
  <c r="CG1294" i="1"/>
  <c r="CG1295" i="1"/>
  <c r="CG1296" i="1"/>
  <c r="CG1297" i="1"/>
  <c r="CG1298" i="1"/>
  <c r="CG1299" i="1"/>
  <c r="CG1300" i="1"/>
  <c r="CG1301" i="1"/>
  <c r="CG1302" i="1"/>
  <c r="CG1303" i="1"/>
  <c r="CG1304" i="1"/>
  <c r="CG1305" i="1"/>
  <c r="CG1306" i="1"/>
  <c r="CG1307" i="1"/>
  <c r="CG1308" i="1"/>
  <c r="CG1309" i="1"/>
  <c r="CG1310" i="1"/>
  <c r="CG1311" i="1"/>
  <c r="CG1312" i="1"/>
  <c r="CG1313" i="1"/>
  <c r="CG1314" i="1"/>
  <c r="CG1315" i="1"/>
  <c r="CG1316" i="1"/>
  <c r="CG1317" i="1"/>
  <c r="CG1318" i="1"/>
  <c r="CG1319" i="1"/>
  <c r="CG1320" i="1"/>
  <c r="CG1321" i="1"/>
  <c r="CG1322" i="1"/>
  <c r="CG1323" i="1"/>
  <c r="CG1324" i="1"/>
  <c r="CG1325" i="1"/>
  <c r="CG1327" i="1"/>
  <c r="CG1328" i="1"/>
  <c r="CG1329" i="1"/>
  <c r="CG1330" i="1"/>
  <c r="CG1331" i="1"/>
  <c r="CG1332" i="1"/>
  <c r="CG1334" i="1"/>
  <c r="CG1335" i="1"/>
  <c r="CG1336" i="1"/>
  <c r="CG1337" i="1"/>
  <c r="CG1338" i="1"/>
  <c r="CG1339" i="1"/>
  <c r="CG1340" i="1"/>
  <c r="CG1341" i="1"/>
  <c r="CG1342" i="1"/>
  <c r="CG1343" i="1"/>
  <c r="CG1344" i="1"/>
  <c r="CG1345" i="1"/>
  <c r="CG1346" i="1"/>
  <c r="CG1347" i="1"/>
  <c r="CG1348" i="1"/>
  <c r="CG1349" i="1"/>
  <c r="CG1350" i="1"/>
  <c r="CG1351" i="1"/>
  <c r="CG1352" i="1"/>
  <c r="CG1353" i="1"/>
  <c r="CG1354" i="1"/>
  <c r="CG1355" i="1"/>
  <c r="CG1356" i="1"/>
  <c r="CG1357" i="1"/>
  <c r="CG1358" i="1"/>
  <c r="CG1359" i="1"/>
  <c r="CG1360" i="1"/>
  <c r="CG1361" i="1"/>
  <c r="CG1362" i="1"/>
  <c r="CG1363" i="1"/>
  <c r="CG1364" i="1"/>
  <c r="CG1365" i="1"/>
  <c r="CG1366" i="1"/>
  <c r="CG1367" i="1"/>
  <c r="CG1368" i="1"/>
  <c r="CG1369" i="1"/>
  <c r="CG1370" i="1"/>
  <c r="CG1371" i="1"/>
  <c r="CG1372" i="1"/>
  <c r="CG1373" i="1"/>
  <c r="CG1374" i="1"/>
  <c r="CG1375" i="1"/>
  <c r="CG1376" i="1"/>
  <c r="CG1377" i="1"/>
  <c r="CG1378" i="1"/>
  <c r="CG1379" i="1"/>
  <c r="CG1380" i="1"/>
  <c r="CG1381" i="1"/>
  <c r="CG1382" i="1"/>
  <c r="CG1383" i="1"/>
  <c r="CG1384" i="1"/>
  <c r="CG1385" i="1"/>
  <c r="CG1386" i="1"/>
  <c r="CG1387" i="1"/>
  <c r="CG1388" i="1"/>
  <c r="CG1389" i="1"/>
  <c r="CG1390" i="1"/>
  <c r="CG1391" i="1"/>
  <c r="CG1392" i="1"/>
  <c r="CG1393" i="1"/>
  <c r="CG1394" i="1"/>
  <c r="CG1395" i="1"/>
  <c r="CG1396" i="1"/>
  <c r="CG1397" i="1"/>
  <c r="CG1398" i="1"/>
  <c r="CG1399" i="1"/>
  <c r="CG1400" i="1"/>
  <c r="CG1401" i="1"/>
  <c r="CG1402" i="1"/>
  <c r="CG1403" i="1"/>
  <c r="CG1404" i="1"/>
  <c r="CG1405" i="1"/>
  <c r="CG1406" i="1"/>
  <c r="CG1407" i="1"/>
  <c r="CG1408" i="1"/>
  <c r="CG1409" i="1"/>
  <c r="CG1410" i="1"/>
  <c r="CG1411" i="1"/>
  <c r="CG1412" i="1"/>
  <c r="CG1413" i="1"/>
  <c r="CG1414" i="1"/>
  <c r="CG1415" i="1"/>
  <c r="CG1416" i="1"/>
  <c r="CG1417" i="1"/>
  <c r="CG1418" i="1"/>
  <c r="CG1419" i="1"/>
  <c r="CG1420" i="1"/>
  <c r="CG1421" i="1"/>
  <c r="CG1422" i="1"/>
  <c r="CG1423" i="1"/>
  <c r="CG1424" i="1"/>
  <c r="CG1425" i="1"/>
  <c r="CG1426" i="1"/>
  <c r="CG1427" i="1"/>
  <c r="CG1428" i="1"/>
  <c r="CG1429" i="1"/>
  <c r="CG1430" i="1"/>
  <c r="CG1431" i="1"/>
  <c r="CG1432" i="1"/>
  <c r="CG1433" i="1"/>
  <c r="CG1434" i="1"/>
  <c r="CG1435" i="1"/>
  <c r="CG1436" i="1"/>
  <c r="CG1437" i="1"/>
  <c r="CG1438" i="1"/>
  <c r="CG1439" i="1"/>
  <c r="CG1440" i="1"/>
  <c r="CG1441" i="1"/>
  <c r="CG1442" i="1"/>
  <c r="CG1443" i="1"/>
  <c r="CG1444" i="1"/>
  <c r="CG1445" i="1"/>
  <c r="CG1446" i="1"/>
  <c r="CG1447" i="1"/>
  <c r="CG1448" i="1"/>
  <c r="CG1449" i="1"/>
  <c r="CG1450" i="1"/>
  <c r="CG1452" i="1"/>
  <c r="CG1453" i="1"/>
  <c r="CG1454" i="1"/>
  <c r="CG1455" i="1"/>
  <c r="CG1456" i="1"/>
  <c r="CG1457" i="1"/>
  <c r="CG1458" i="1"/>
  <c r="CG1460" i="1"/>
  <c r="CG1461" i="1"/>
  <c r="CG1462" i="1"/>
  <c r="CG1463" i="1"/>
  <c r="CG1464" i="1"/>
  <c r="CG1465" i="1"/>
  <c r="CG1466" i="1"/>
  <c r="CG1467" i="1"/>
  <c r="CG1468" i="1"/>
  <c r="CG1469" i="1"/>
  <c r="CG1470" i="1"/>
  <c r="CG1471" i="1"/>
  <c r="CG1472" i="1"/>
  <c r="CG1473" i="1"/>
  <c r="CG1475" i="1"/>
  <c r="CG1476" i="1"/>
  <c r="CG1477" i="1"/>
  <c r="CG1478" i="1"/>
  <c r="CG1479" i="1"/>
  <c r="CG1480" i="1"/>
  <c r="CG1481" i="1"/>
  <c r="CG1482" i="1"/>
  <c r="CG1483" i="1"/>
  <c r="CG1484" i="1"/>
  <c r="CG1485" i="1"/>
  <c r="CG1486" i="1"/>
  <c r="CG1487" i="1"/>
  <c r="CG1488" i="1"/>
  <c r="CG1489" i="1"/>
  <c r="CG1490" i="1"/>
  <c r="CG1491" i="1"/>
  <c r="CG1492" i="1"/>
  <c r="CG1493" i="1"/>
  <c r="CG1494" i="1"/>
  <c r="CG1495" i="1"/>
  <c r="CG1497" i="1"/>
  <c r="CG1498" i="1"/>
  <c r="CG1499" i="1"/>
  <c r="CG1500" i="1"/>
  <c r="CG1501" i="1"/>
  <c r="CG1503" i="1"/>
  <c r="CG1504" i="1"/>
  <c r="CG1505" i="1"/>
  <c r="CG1506" i="1"/>
  <c r="CG1507" i="1"/>
  <c r="CG1508" i="1"/>
  <c r="CG1509" i="1"/>
  <c r="CG1510" i="1"/>
  <c r="CG1511" i="1"/>
  <c r="CG1512" i="1"/>
  <c r="CG1513" i="1"/>
  <c r="CG1514" i="1"/>
  <c r="CG1515" i="1"/>
  <c r="CG1516" i="1"/>
  <c r="CG1517" i="1"/>
  <c r="CG1518" i="1"/>
  <c r="CG1519" i="1"/>
  <c r="CG1520" i="1"/>
  <c r="CG1521" i="1"/>
  <c r="CG1522" i="1"/>
  <c r="CG1523" i="1"/>
  <c r="CG1524" i="1"/>
  <c r="CG1525" i="1"/>
  <c r="CG1526" i="1"/>
  <c r="CG1527" i="1"/>
  <c r="CG1528" i="1"/>
  <c r="CG1529" i="1"/>
  <c r="CG1530" i="1"/>
  <c r="CG1531" i="1"/>
  <c r="CG1532" i="1"/>
  <c r="CG1533" i="1"/>
  <c r="CG1534" i="1"/>
  <c r="CG1535" i="1"/>
  <c r="CG1536" i="1"/>
  <c r="CG1537" i="1"/>
  <c r="CG1538" i="1"/>
  <c r="CG1539" i="1"/>
  <c r="CG1540" i="1"/>
  <c r="CG1541" i="1"/>
  <c r="CG1542" i="1"/>
  <c r="CG1543" i="1"/>
  <c r="CG1544" i="1"/>
  <c r="CG1545" i="1"/>
  <c r="CG1546" i="1"/>
  <c r="CG1547" i="1"/>
  <c r="CG1548" i="1"/>
  <c r="CG1549" i="1"/>
  <c r="CG1550" i="1"/>
  <c r="CG1551" i="1"/>
  <c r="CG1552" i="1"/>
  <c r="CG1553" i="1"/>
  <c r="CG1554" i="1"/>
  <c r="CG1555" i="1"/>
  <c r="CG1556" i="1"/>
  <c r="CG1557" i="1"/>
  <c r="CG1558" i="1"/>
  <c r="CG1559" i="1"/>
  <c r="CG1560" i="1"/>
  <c r="CG1561" i="1"/>
  <c r="CG1562" i="1"/>
  <c r="CG1563" i="1"/>
  <c r="CG1564" i="1"/>
  <c r="CG1565" i="1"/>
  <c r="CG1566" i="1"/>
  <c r="CG1567" i="1"/>
  <c r="CG1568" i="1"/>
  <c r="CG1569" i="1"/>
  <c r="CG1570" i="1"/>
  <c r="CG1571" i="1"/>
  <c r="CG1572" i="1"/>
  <c r="CG1573" i="1"/>
  <c r="CG1574" i="1"/>
  <c r="CG1575" i="1"/>
  <c r="CG1576" i="1"/>
  <c r="CG1577" i="1"/>
  <c r="CG1578" i="1"/>
  <c r="CG1579" i="1"/>
  <c r="CG1580" i="1"/>
  <c r="CG1581" i="1"/>
  <c r="CG1582" i="1"/>
  <c r="CG1583" i="1"/>
  <c r="CG1584" i="1"/>
  <c r="CG1586" i="1"/>
  <c r="CG1587" i="1"/>
  <c r="CG1588" i="1"/>
  <c r="CG1589" i="1"/>
  <c r="CG1590" i="1"/>
  <c r="CG1591" i="1"/>
  <c r="CG1592" i="1"/>
  <c r="CG1593" i="1"/>
  <c r="CG1594" i="1"/>
  <c r="CG1595" i="1"/>
  <c r="CG1596" i="1"/>
  <c r="CG1597" i="1"/>
  <c r="CG1598" i="1"/>
  <c r="CG1599" i="1"/>
  <c r="CG1600" i="1"/>
  <c r="CG1601" i="1"/>
  <c r="CG1602" i="1"/>
  <c r="CG1603" i="1"/>
  <c r="CG1605" i="1"/>
  <c r="CG1606" i="1"/>
  <c r="CG1607" i="1"/>
  <c r="CG1608" i="1"/>
  <c r="CG1609" i="1"/>
  <c r="CG1610" i="1"/>
  <c r="CG1611" i="1"/>
  <c r="CG1612" i="1"/>
  <c r="CG1613" i="1"/>
  <c r="CG1614" i="1"/>
  <c r="CG1615" i="1"/>
  <c r="CG1616" i="1"/>
  <c r="CG1617" i="1"/>
  <c r="CG1618" i="1"/>
  <c r="CG1619" i="1"/>
  <c r="CG1620" i="1"/>
  <c r="CG1621" i="1"/>
  <c r="CG1622" i="1"/>
  <c r="CG1623" i="1"/>
  <c r="CG1624" i="1"/>
  <c r="CG1625" i="1"/>
  <c r="CG1626" i="1"/>
  <c r="CG1627" i="1"/>
  <c r="CG1628" i="1"/>
  <c r="CG1629" i="1"/>
  <c r="CG1630" i="1"/>
  <c r="CG1631" i="1"/>
  <c r="CG1632" i="1"/>
  <c r="CG1633" i="1"/>
  <c r="CG1634" i="1"/>
  <c r="CG1635" i="1"/>
  <c r="CG1636" i="1"/>
  <c r="CG1637" i="1"/>
  <c r="CG1638" i="1"/>
  <c r="CG1639" i="1"/>
  <c r="CG1640" i="1"/>
  <c r="CG1641" i="1"/>
  <c r="CG1642" i="1"/>
  <c r="CG1644" i="1"/>
  <c r="CG1645" i="1"/>
  <c r="CG1646" i="1"/>
  <c r="CG1647" i="1"/>
  <c r="CG1648" i="1"/>
  <c r="CG1649" i="1"/>
  <c r="CG1650" i="1"/>
  <c r="CG1651" i="1"/>
  <c r="CG1652" i="1"/>
  <c r="CG1653" i="1"/>
  <c r="CG1654" i="1"/>
  <c r="CG1655" i="1"/>
  <c r="CG1656" i="1"/>
  <c r="CG1657" i="1"/>
  <c r="CG1658" i="1"/>
  <c r="CG1659" i="1"/>
  <c r="CG1660" i="1"/>
  <c r="CG1662" i="1"/>
  <c r="CG1663" i="1"/>
  <c r="CG1664" i="1"/>
  <c r="CG1665" i="1"/>
  <c r="CG1666" i="1"/>
  <c r="CG1667" i="1"/>
  <c r="CG1668" i="1"/>
  <c r="CG1669" i="1"/>
  <c r="CG1670" i="1"/>
  <c r="CG1671" i="1"/>
  <c r="CG1672" i="1"/>
  <c r="CG1673" i="1"/>
  <c r="CG1674" i="1"/>
  <c r="CG1675" i="1"/>
  <c r="CG1676" i="1"/>
  <c r="CG1677" i="1"/>
  <c r="CG1678" i="1"/>
  <c r="CG1679" i="1"/>
  <c r="CG1680" i="1"/>
  <c r="CG1681" i="1"/>
  <c r="CG1682" i="1"/>
  <c r="CG1683" i="1"/>
  <c r="CG1684" i="1"/>
  <c r="CG1685" i="1"/>
  <c r="CG1686" i="1"/>
  <c r="CG1687" i="1"/>
  <c r="CG1688" i="1"/>
  <c r="CG1689" i="1"/>
  <c r="CG1690" i="1"/>
  <c r="CG1691" i="1"/>
  <c r="CG1692" i="1"/>
  <c r="CG1693" i="1"/>
  <c r="CG1694" i="1"/>
  <c r="CG1695" i="1"/>
  <c r="CG1696" i="1"/>
  <c r="CG1697" i="1"/>
  <c r="CG1698" i="1"/>
  <c r="CG1699" i="1"/>
  <c r="CG1700" i="1"/>
  <c r="CG1701" i="1"/>
  <c r="CG1702" i="1"/>
  <c r="CG1703" i="1"/>
  <c r="CG1704" i="1"/>
  <c r="CG1705" i="1"/>
  <c r="CG1706" i="1"/>
  <c r="CG1707" i="1"/>
  <c r="CG1708" i="1"/>
  <c r="CG1709" i="1"/>
  <c r="CG1710" i="1"/>
  <c r="CG1711" i="1"/>
  <c r="CG1712" i="1"/>
  <c r="CG1713" i="1"/>
  <c r="CG1714" i="1"/>
  <c r="CG1715" i="1"/>
  <c r="CG1716" i="1"/>
  <c r="CG1717" i="1"/>
  <c r="CG1718" i="1"/>
  <c r="CG1719" i="1"/>
  <c r="CG1720" i="1"/>
  <c r="CG1721" i="1"/>
  <c r="CG1722" i="1"/>
  <c r="CG1723" i="1"/>
  <c r="CG1724" i="1"/>
  <c r="CG1725" i="1"/>
  <c r="CG1726" i="1"/>
  <c r="CG1727" i="1"/>
  <c r="CG1728" i="1"/>
  <c r="CG1729" i="1"/>
  <c r="CG1730" i="1"/>
  <c r="CG1731" i="1"/>
  <c r="CG1732" i="1"/>
  <c r="CG1733" i="1"/>
  <c r="CG1734" i="1"/>
  <c r="CG1735" i="1"/>
  <c r="CG1736" i="1"/>
  <c r="CG1737" i="1"/>
  <c r="CG1738" i="1"/>
  <c r="CG1739" i="1"/>
  <c r="CG1740" i="1"/>
  <c r="CG1741" i="1"/>
  <c r="CG1742" i="1"/>
  <c r="CG1743" i="1"/>
  <c r="CG1744" i="1"/>
  <c r="CG1745" i="1"/>
  <c r="CG1746" i="1"/>
  <c r="CG1747" i="1"/>
  <c r="CG1748" i="1"/>
  <c r="CG1749" i="1"/>
  <c r="CG1750" i="1"/>
  <c r="CG1751" i="1"/>
  <c r="CG1752" i="1"/>
  <c r="CG1753" i="1"/>
  <c r="CG1755" i="1"/>
  <c r="CG1756" i="1"/>
  <c r="CG1758" i="1"/>
  <c r="CG1759" i="1"/>
  <c r="CG1760" i="1"/>
  <c r="CG1761" i="1"/>
  <c r="CG1762" i="1"/>
  <c r="CG1763" i="1"/>
  <c r="CG1764" i="1"/>
  <c r="CG1765" i="1"/>
  <c r="CG1766" i="1"/>
  <c r="CG1767" i="1"/>
  <c r="CG1768" i="1"/>
  <c r="CG1769" i="1"/>
  <c r="CG1770" i="1"/>
  <c r="CG1771" i="1"/>
  <c r="CG1773" i="1"/>
  <c r="CG1774" i="1"/>
  <c r="CG1776" i="1"/>
  <c r="CG1777" i="1"/>
  <c r="CG1778" i="1"/>
  <c r="CG1779" i="1"/>
  <c r="CG1780" i="1"/>
  <c r="CG1781" i="1"/>
  <c r="CG1782" i="1"/>
  <c r="CG1783" i="1"/>
  <c r="CG1784" i="1"/>
  <c r="CG1785" i="1"/>
  <c r="CG1786" i="1"/>
  <c r="CG1787" i="1"/>
  <c r="CG1788" i="1"/>
  <c r="CG1789" i="1"/>
  <c r="CG1790" i="1"/>
  <c r="CG1791" i="1"/>
  <c r="CG1792" i="1"/>
  <c r="CG1793" i="1"/>
  <c r="CG1794" i="1"/>
  <c r="CG1795" i="1"/>
  <c r="CG1796" i="1"/>
  <c r="CG1797" i="1"/>
  <c r="CG1798" i="1"/>
  <c r="CG1799" i="1"/>
  <c r="CG1800" i="1"/>
  <c r="CG1801" i="1"/>
  <c r="CG1803" i="1"/>
  <c r="CG1804" i="1"/>
  <c r="CG1805" i="1"/>
  <c r="CG1806" i="1"/>
  <c r="CG1807" i="1"/>
  <c r="CG1808" i="1"/>
  <c r="CG1809" i="1"/>
  <c r="CG1810" i="1"/>
  <c r="CG1811" i="1"/>
  <c r="CG1812" i="1"/>
  <c r="CG1813" i="1"/>
  <c r="CG1814" i="1"/>
  <c r="CG1815" i="1"/>
  <c r="CG1816" i="1"/>
  <c r="CG1817" i="1"/>
  <c r="CG1818" i="1"/>
  <c r="CG1819" i="1"/>
  <c r="CG1820" i="1"/>
  <c r="CG1821" i="1"/>
  <c r="CG1822" i="1"/>
  <c r="CG1823" i="1"/>
  <c r="CG1824" i="1"/>
  <c r="CG1825" i="1"/>
  <c r="CG1826" i="1"/>
  <c r="CG1827" i="1"/>
  <c r="CG1828" i="1"/>
  <c r="CG1829" i="1"/>
  <c r="CG1830" i="1"/>
  <c r="CG1831" i="1"/>
  <c r="CG1832" i="1"/>
  <c r="CG1833" i="1"/>
  <c r="CG1834" i="1"/>
  <c r="CG1835" i="1"/>
  <c r="CG1836" i="1"/>
  <c r="CG1837" i="1"/>
  <c r="CG1838" i="1"/>
  <c r="CG1839" i="1"/>
  <c r="CG1840" i="1"/>
  <c r="CG1841" i="1"/>
  <c r="CG1842" i="1"/>
  <c r="CG1844" i="1"/>
  <c r="CG1845" i="1"/>
  <c r="CG1846" i="1"/>
  <c r="CG1847" i="1"/>
  <c r="CG1848" i="1"/>
  <c r="CG1849" i="1"/>
  <c r="CG1850" i="1"/>
  <c r="CG1851" i="1"/>
  <c r="CG1852" i="1"/>
  <c r="CG1853" i="1"/>
  <c r="CG1854" i="1"/>
  <c r="CG1855" i="1"/>
  <c r="CG1856" i="1"/>
  <c r="CG1857" i="1"/>
  <c r="CG1858" i="1"/>
  <c r="CG1859" i="1"/>
  <c r="CG1860" i="1"/>
  <c r="CG1861" i="1"/>
  <c r="CG1862" i="1"/>
  <c r="CG1863" i="1"/>
  <c r="CG1864" i="1"/>
  <c r="CG1866" i="1"/>
  <c r="CG1867" i="1"/>
  <c r="CG1868" i="1"/>
  <c r="CG1869" i="1"/>
  <c r="CG1870" i="1"/>
  <c r="CG1871" i="1"/>
  <c r="CG1872" i="1"/>
  <c r="CG1873" i="1"/>
  <c r="CG1874" i="1"/>
  <c r="CG1875" i="1"/>
  <c r="CG1876" i="1"/>
  <c r="CG1877" i="1"/>
  <c r="CG1879" i="1"/>
  <c r="CG1880" i="1"/>
  <c r="CG1881" i="1"/>
  <c r="CG1882" i="1"/>
  <c r="CG1883" i="1"/>
  <c r="CG1884" i="1"/>
  <c r="CG1886" i="1"/>
  <c r="CG1887" i="1"/>
  <c r="CG1889" i="1"/>
  <c r="CG1890" i="1"/>
  <c r="CG1891" i="1"/>
  <c r="CG1892" i="1"/>
  <c r="CG1893" i="1"/>
  <c r="CG1894" i="1"/>
  <c r="CG1895" i="1"/>
  <c r="CG1896" i="1"/>
  <c r="CG1897" i="1"/>
  <c r="CG1898" i="1"/>
  <c r="CG1899" i="1"/>
  <c r="CG1900" i="1"/>
  <c r="CG1901" i="1"/>
  <c r="CG1902" i="1"/>
  <c r="CG1903" i="1"/>
  <c r="CG1904" i="1"/>
  <c r="CG1905" i="1"/>
  <c r="CG1906" i="1"/>
  <c r="CG1907" i="1"/>
  <c r="CG1908" i="1"/>
  <c r="CG1909" i="1"/>
  <c r="CG1910" i="1"/>
  <c r="CG1911" i="1"/>
  <c r="CG1912" i="1"/>
  <c r="CG1913" i="1"/>
  <c r="CG1914" i="1"/>
  <c r="CG1915" i="1"/>
  <c r="CG1916" i="1"/>
  <c r="CG1917" i="1"/>
  <c r="CG1918" i="1"/>
  <c r="CG1919" i="1"/>
  <c r="CG1920" i="1"/>
  <c r="CG1921" i="1"/>
  <c r="CG1922" i="1"/>
  <c r="CG1923" i="1"/>
  <c r="CG1924" i="1"/>
  <c r="CG1925" i="1"/>
  <c r="CG1926" i="1"/>
  <c r="CG1927" i="1"/>
  <c r="CG1928" i="1"/>
  <c r="CG1929" i="1"/>
  <c r="CG1930" i="1"/>
  <c r="CG1931" i="1"/>
  <c r="CG1932" i="1"/>
  <c r="CG1933" i="1"/>
  <c r="CG1934" i="1"/>
  <c r="CG1935" i="1"/>
  <c r="CG1936" i="1"/>
  <c r="CG1937" i="1"/>
  <c r="CG1938" i="1"/>
  <c r="CG1939" i="1"/>
  <c r="CG1940" i="1"/>
  <c r="CG1941" i="1"/>
  <c r="CG1942" i="1"/>
  <c r="CG1943" i="1"/>
  <c r="CG1944" i="1"/>
  <c r="CG1945" i="1"/>
  <c r="CG1946" i="1"/>
  <c r="CG1947" i="1"/>
  <c r="CG1948" i="1"/>
  <c r="CG1949" i="1"/>
  <c r="CG1950" i="1"/>
  <c r="CG1951" i="1"/>
  <c r="CG1952" i="1"/>
  <c r="CG1953" i="1"/>
  <c r="CG1954" i="1"/>
  <c r="CG1955" i="1"/>
  <c r="CG1956" i="1"/>
  <c r="CG1957" i="1"/>
  <c r="CG1958" i="1"/>
  <c r="CG1959" i="1"/>
  <c r="CG1960" i="1"/>
  <c r="CG1961" i="1"/>
  <c r="CG1962" i="1"/>
  <c r="CG1964" i="1"/>
  <c r="CG1965" i="1"/>
  <c r="CG1966" i="1"/>
  <c r="CG1967" i="1"/>
  <c r="CG1968" i="1"/>
  <c r="CG1969" i="1"/>
  <c r="CG1970" i="1"/>
  <c r="CG1971" i="1"/>
  <c r="CG1973" i="1"/>
  <c r="CG1974" i="1"/>
  <c r="CG1975" i="1"/>
  <c r="CG1976" i="1"/>
  <c r="CG1977" i="1"/>
  <c r="CG1978" i="1"/>
  <c r="CG1979" i="1"/>
  <c r="CG1980" i="1"/>
  <c r="CG1981" i="1"/>
  <c r="CG1982" i="1"/>
  <c r="CG1983" i="1"/>
  <c r="CG1984" i="1"/>
  <c r="CG1985" i="1"/>
  <c r="CG1986" i="1"/>
  <c r="CG1987" i="1"/>
  <c r="CG1988" i="1"/>
  <c r="CG1989" i="1"/>
  <c r="CG1990" i="1"/>
  <c r="CG1991" i="1"/>
  <c r="CG1992" i="1"/>
  <c r="CG1993" i="1"/>
  <c r="CG1994" i="1"/>
  <c r="CG1995" i="1"/>
  <c r="CG1996" i="1"/>
  <c r="CG1997" i="1"/>
  <c r="CG1998" i="1"/>
  <c r="CG1999" i="1"/>
  <c r="CG2000" i="1"/>
  <c r="CG2001" i="1"/>
  <c r="CG2002" i="1"/>
  <c r="CG2003" i="1"/>
  <c r="CG2004" i="1"/>
  <c r="CG2005" i="1"/>
  <c r="CG2006" i="1"/>
  <c r="CG2007" i="1"/>
  <c r="CG2008" i="1"/>
  <c r="CG2009" i="1"/>
  <c r="CG2010" i="1"/>
  <c r="CG2011" i="1"/>
  <c r="CG2012" i="1"/>
  <c r="CG2013" i="1"/>
  <c r="CG2014" i="1"/>
  <c r="CG2015" i="1"/>
  <c r="CG2016" i="1"/>
  <c r="CG2017" i="1"/>
  <c r="CG2018" i="1"/>
  <c r="CG2019" i="1"/>
  <c r="CG2020" i="1"/>
  <c r="CG2021" i="1"/>
  <c r="CG2022" i="1"/>
  <c r="CG2023" i="1"/>
  <c r="CG2024" i="1"/>
  <c r="CG2025" i="1"/>
  <c r="CG2027" i="1"/>
  <c r="CG2028" i="1"/>
  <c r="CG2029" i="1"/>
  <c r="CG2030" i="1"/>
  <c r="CG2031" i="1"/>
  <c r="CG2032" i="1"/>
  <c r="CG2033" i="1"/>
  <c r="CG2034" i="1"/>
  <c r="CG2035" i="1"/>
  <c r="CG2036" i="1"/>
  <c r="CG2037" i="1"/>
  <c r="CG2038" i="1"/>
  <c r="CG2039" i="1"/>
  <c r="CG2040" i="1"/>
  <c r="CG2041" i="1"/>
  <c r="CG2042" i="1"/>
  <c r="CG2043" i="1"/>
  <c r="CG2044" i="1"/>
  <c r="CG2045" i="1"/>
  <c r="CG2046" i="1"/>
  <c r="CG2047" i="1"/>
  <c r="CG2048" i="1"/>
  <c r="CG2049" i="1"/>
  <c r="CG2050" i="1"/>
  <c r="CG2051" i="1"/>
  <c r="CG2052" i="1"/>
  <c r="CG2053" i="1"/>
  <c r="CG2054" i="1"/>
  <c r="CG2055" i="1"/>
  <c r="CG2056" i="1"/>
  <c r="CG2057" i="1"/>
  <c r="CG2058" i="1"/>
  <c r="CG2059" i="1"/>
  <c r="CG2060" i="1"/>
  <c r="CG2061" i="1"/>
  <c r="CG2062" i="1"/>
  <c r="CG2063" i="1"/>
  <c r="CG2064" i="1"/>
  <c r="CG2065" i="1"/>
  <c r="CG2066" i="1"/>
  <c r="CG2067" i="1"/>
  <c r="CG2068" i="1"/>
  <c r="CG2069" i="1"/>
  <c r="CG2070" i="1"/>
  <c r="CG2071" i="1"/>
  <c r="CG2072" i="1"/>
  <c r="CG2073" i="1"/>
  <c r="CG2074" i="1"/>
  <c r="CG2075" i="1"/>
  <c r="CG2076" i="1"/>
  <c r="CG2077" i="1"/>
  <c r="CG2078" i="1"/>
  <c r="CG2079" i="1"/>
  <c r="CG2080" i="1"/>
  <c r="CG2081" i="1"/>
  <c r="CG2082" i="1"/>
  <c r="CG2083" i="1"/>
  <c r="CG2084" i="1"/>
  <c r="CG2085" i="1"/>
  <c r="CG2086" i="1"/>
  <c r="CG2087" i="1"/>
  <c r="CG2088" i="1"/>
  <c r="CG2089" i="1"/>
  <c r="CG2090" i="1"/>
  <c r="CG2091" i="1"/>
  <c r="CG2092" i="1"/>
  <c r="CG2093" i="1"/>
  <c r="CG2094" i="1"/>
  <c r="CG2095" i="1"/>
  <c r="CG2096" i="1"/>
  <c r="CG2097" i="1"/>
  <c r="CG2098" i="1"/>
  <c r="CG2099" i="1"/>
  <c r="CG2100" i="1"/>
  <c r="CG2101" i="1"/>
  <c r="CG2102" i="1"/>
  <c r="CG2103" i="1"/>
  <c r="CG2104" i="1"/>
  <c r="CG2105" i="1"/>
  <c r="CG2106" i="1"/>
  <c r="CG2107" i="1"/>
  <c r="CG2108" i="1"/>
  <c r="CG2109" i="1"/>
  <c r="CG2110" i="1"/>
  <c r="CG2111" i="1"/>
  <c r="CG2112" i="1"/>
  <c r="CG2113" i="1"/>
  <c r="CG2114" i="1"/>
  <c r="CG2115" i="1"/>
  <c r="CG2116" i="1"/>
  <c r="CG2117" i="1"/>
  <c r="CG2118" i="1"/>
  <c r="CG2119" i="1"/>
  <c r="CG2120" i="1"/>
  <c r="CG2121" i="1"/>
  <c r="CG2122" i="1"/>
  <c r="CG2123" i="1"/>
  <c r="CG2124" i="1"/>
  <c r="CG2125" i="1"/>
  <c r="CG2126" i="1"/>
  <c r="CG2127" i="1"/>
  <c r="CG2128" i="1"/>
  <c r="CG2129" i="1"/>
  <c r="CG2131" i="1"/>
  <c r="CG2132" i="1"/>
  <c r="CG2133" i="1"/>
  <c r="CG2134" i="1"/>
  <c r="CG2135" i="1"/>
  <c r="CG2136" i="1"/>
  <c r="CG2137" i="1"/>
  <c r="CG2138" i="1"/>
  <c r="CG2139" i="1"/>
  <c r="CG2140" i="1"/>
  <c r="CG2141" i="1"/>
  <c r="CG2142" i="1"/>
  <c r="CG2143" i="1"/>
  <c r="CG2144" i="1"/>
  <c r="CG2145" i="1"/>
  <c r="CG2146" i="1"/>
  <c r="CG2147" i="1"/>
  <c r="CG2148" i="1"/>
  <c r="CG2149" i="1"/>
  <c r="CG2150" i="1"/>
  <c r="CG2151" i="1"/>
  <c r="CG2152" i="1"/>
  <c r="CG2153" i="1"/>
  <c r="CG2154" i="1"/>
  <c r="CG2155" i="1"/>
  <c r="CG2156" i="1"/>
  <c r="CG2157" i="1"/>
  <c r="CG2158" i="1"/>
  <c r="CG2159" i="1"/>
  <c r="CG2160" i="1"/>
  <c r="CG2161" i="1"/>
  <c r="CG2162" i="1"/>
  <c r="CG2163" i="1"/>
  <c r="CG2164" i="1"/>
  <c r="CG2165" i="1"/>
  <c r="CG2166" i="1"/>
  <c r="CG2167" i="1"/>
  <c r="CG2168" i="1"/>
  <c r="CG2169" i="1"/>
  <c r="CG2170" i="1"/>
  <c r="CG2171" i="1"/>
  <c r="CG2172" i="1"/>
  <c r="CG2173" i="1"/>
  <c r="CG2174" i="1"/>
  <c r="CG2175" i="1"/>
  <c r="CG2176" i="1"/>
  <c r="CG2177" i="1"/>
  <c r="CG2178" i="1"/>
  <c r="CG2179" i="1"/>
  <c r="CG2180" i="1"/>
  <c r="CG2181" i="1"/>
  <c r="CG2182" i="1"/>
  <c r="CG2183" i="1"/>
  <c r="CG2184" i="1"/>
  <c r="CG2185" i="1"/>
  <c r="CG2186" i="1"/>
  <c r="CG2187" i="1"/>
  <c r="CG2188" i="1"/>
  <c r="CG2189" i="1"/>
  <c r="CG2190" i="1"/>
  <c r="CG2191" i="1"/>
  <c r="CG2192" i="1"/>
  <c r="CG2193" i="1"/>
  <c r="CG2194" i="1"/>
  <c r="CG2195" i="1"/>
  <c r="CG2196" i="1"/>
  <c r="CG2197" i="1"/>
  <c r="CG2198" i="1"/>
  <c r="CG2199" i="1"/>
  <c r="CG2200" i="1"/>
  <c r="CG2201" i="1"/>
  <c r="CG2202" i="1"/>
  <c r="CG2203" i="1"/>
  <c r="CG2204" i="1"/>
  <c r="CG2205" i="1"/>
  <c r="CG2207" i="1"/>
  <c r="CG2208" i="1"/>
  <c r="CG2209" i="1"/>
  <c r="CG2210" i="1"/>
  <c r="CG2211" i="1"/>
  <c r="CG2212" i="1"/>
  <c r="CG2213" i="1"/>
  <c r="CG2214" i="1"/>
  <c r="CG2215" i="1"/>
  <c r="CG2216" i="1"/>
  <c r="CG2217" i="1"/>
  <c r="CG2218" i="1"/>
  <c r="CG2219" i="1"/>
  <c r="CG2220" i="1"/>
  <c r="CG2221" i="1"/>
  <c r="CG2222" i="1"/>
  <c r="CG2223" i="1"/>
  <c r="CG2224" i="1"/>
  <c r="CG2225" i="1"/>
  <c r="CG2226" i="1"/>
  <c r="CG2227" i="1"/>
  <c r="CG2228" i="1"/>
  <c r="CG2229" i="1"/>
  <c r="CG2230" i="1"/>
  <c r="CG2231" i="1"/>
  <c r="CG2232" i="1"/>
  <c r="CG2233" i="1"/>
  <c r="CG2234" i="1"/>
  <c r="CG2235" i="1"/>
  <c r="CG2236" i="1"/>
  <c r="CG2237" i="1"/>
  <c r="CG2238" i="1"/>
  <c r="CG2239" i="1"/>
  <c r="CG2240" i="1"/>
  <c r="CG2241" i="1"/>
  <c r="CG2242" i="1"/>
  <c r="CG2243" i="1"/>
  <c r="CG2244" i="1"/>
  <c r="CG2245" i="1"/>
  <c r="CG2246" i="1"/>
  <c r="CG2247" i="1"/>
  <c r="CG2248" i="1"/>
  <c r="CG2249" i="1"/>
  <c r="CG2250" i="1"/>
  <c r="CG2251" i="1"/>
  <c r="CG2252" i="1"/>
  <c r="CG2253" i="1"/>
  <c r="CG2254" i="1"/>
  <c r="CG2255" i="1"/>
  <c r="CG2256" i="1"/>
  <c r="CG2257" i="1"/>
  <c r="CG2258" i="1"/>
  <c r="CG2259" i="1"/>
  <c r="CG2260" i="1"/>
  <c r="CG2261" i="1"/>
  <c r="CG2262" i="1"/>
  <c r="CG2263" i="1"/>
  <c r="CG2264" i="1"/>
  <c r="CG2265" i="1"/>
  <c r="CG2266" i="1"/>
  <c r="CG2267" i="1"/>
  <c r="CG2268" i="1"/>
  <c r="CG2269" i="1"/>
  <c r="CG2270" i="1"/>
  <c r="CG2271" i="1"/>
  <c r="CG2272" i="1"/>
  <c r="CG2273" i="1"/>
  <c r="CG2274" i="1"/>
  <c r="CG2275" i="1"/>
  <c r="CG2276" i="1"/>
  <c r="CG2277" i="1"/>
  <c r="CG2278" i="1"/>
  <c r="CG2279" i="1"/>
  <c r="CG2280" i="1"/>
  <c r="CG2281" i="1"/>
  <c r="CG2282" i="1"/>
  <c r="CG2283" i="1"/>
  <c r="CG2284" i="1"/>
  <c r="CG2285" i="1"/>
  <c r="CG2286" i="1"/>
  <c r="CG2287" i="1"/>
  <c r="CG2288" i="1"/>
  <c r="CG2289" i="1"/>
  <c r="CG2290" i="1"/>
  <c r="CG2291" i="1"/>
  <c r="CG2292" i="1"/>
  <c r="CG2293" i="1"/>
  <c r="CG2294" i="1"/>
  <c r="CG2295" i="1"/>
  <c r="CG2296" i="1"/>
  <c r="CG2298" i="1"/>
  <c r="CG2299" i="1"/>
  <c r="CG2300" i="1"/>
  <c r="CG2301" i="1"/>
  <c r="CG2302" i="1"/>
  <c r="CG2303" i="1"/>
  <c r="CG2304" i="1"/>
  <c r="CG2305" i="1"/>
  <c r="CG2306" i="1"/>
  <c r="CG2307" i="1"/>
  <c r="CG2308" i="1"/>
  <c r="CG2309" i="1"/>
  <c r="CG2310" i="1"/>
  <c r="CG2311" i="1"/>
  <c r="CG2312" i="1"/>
  <c r="CG2313" i="1"/>
  <c r="CG2314" i="1"/>
  <c r="CG2315" i="1"/>
  <c r="CG2316" i="1"/>
  <c r="CG2317" i="1"/>
  <c r="CG2318" i="1"/>
  <c r="CG2319" i="1"/>
  <c r="CG2321" i="1"/>
  <c r="CG2322" i="1"/>
  <c r="CG2323" i="1"/>
  <c r="CG2324" i="1"/>
  <c r="CG2325" i="1"/>
  <c r="CG2326" i="1"/>
  <c r="CG2327" i="1"/>
  <c r="CG2328" i="1"/>
  <c r="CG2329" i="1"/>
  <c r="CG2330" i="1"/>
  <c r="CG2331" i="1"/>
  <c r="CG2332" i="1"/>
  <c r="CG2333" i="1"/>
  <c r="CG2334" i="1"/>
  <c r="CG2335" i="1"/>
  <c r="CG2336" i="1"/>
  <c r="CG2337" i="1"/>
  <c r="CG2338" i="1"/>
  <c r="CG2339" i="1"/>
  <c r="CG2340" i="1"/>
  <c r="CG2342" i="1"/>
  <c r="CG2343" i="1"/>
  <c r="CG2344" i="1"/>
  <c r="CG2345" i="1"/>
  <c r="CG2346" i="1"/>
  <c r="CG2347" i="1"/>
  <c r="CG2348" i="1"/>
  <c r="CG2349" i="1"/>
  <c r="CG2350" i="1"/>
  <c r="CG2351" i="1"/>
  <c r="CG2352" i="1"/>
  <c r="CG2353" i="1"/>
  <c r="CG2354" i="1"/>
  <c r="CG2355" i="1"/>
  <c r="CG2356" i="1"/>
  <c r="CG2357" i="1"/>
  <c r="CG2358" i="1"/>
  <c r="CG2359" i="1"/>
  <c r="CG2360" i="1"/>
  <c r="CG2362" i="1"/>
  <c r="CG2364" i="1"/>
  <c r="CG2365" i="1"/>
  <c r="CG2366" i="1"/>
  <c r="CG2367" i="1"/>
  <c r="CG2368" i="1"/>
  <c r="CG2369" i="1"/>
  <c r="CG2370" i="1"/>
  <c r="CG2371" i="1"/>
  <c r="CG2372" i="1"/>
  <c r="CG2373" i="1"/>
  <c r="CG2374" i="1"/>
  <c r="CG2375" i="1"/>
  <c r="CG2376" i="1"/>
  <c r="CG2377" i="1"/>
  <c r="CG2378" i="1"/>
  <c r="CG2380" i="1"/>
  <c r="CG2381" i="1"/>
  <c r="CG2382" i="1"/>
  <c r="CG2383" i="1"/>
  <c r="CG2384" i="1"/>
  <c r="CG2385" i="1"/>
  <c r="CG2386" i="1"/>
  <c r="CG2387" i="1"/>
  <c r="CG2388" i="1"/>
  <c r="CG2389" i="1"/>
  <c r="CG2390" i="1"/>
  <c r="CG2391" i="1"/>
  <c r="CG2392" i="1"/>
  <c r="CG2393" i="1"/>
  <c r="CG2394" i="1"/>
  <c r="CG2395" i="1"/>
  <c r="CG2396" i="1"/>
  <c r="CG2397" i="1"/>
  <c r="CG2398" i="1"/>
  <c r="CG2399" i="1"/>
  <c r="CG2400" i="1"/>
  <c r="CG2401" i="1"/>
  <c r="CG2402" i="1"/>
  <c r="CG2403" i="1"/>
  <c r="CG2404" i="1"/>
  <c r="CG2405" i="1"/>
  <c r="CG2406" i="1"/>
  <c r="CG2407" i="1"/>
  <c r="CG2408" i="1"/>
  <c r="CG2409" i="1"/>
  <c r="CG2410" i="1"/>
  <c r="CG2411" i="1"/>
  <c r="CG2412" i="1"/>
  <c r="CG2413" i="1"/>
  <c r="CG2414" i="1"/>
  <c r="CG2415" i="1"/>
  <c r="CG2416" i="1"/>
  <c r="CG2417" i="1"/>
  <c r="CG2418" i="1"/>
  <c r="CG2419" i="1"/>
  <c r="CG2420" i="1"/>
  <c r="CG2421" i="1"/>
  <c r="CG2422" i="1"/>
  <c r="CG2423" i="1"/>
  <c r="CG2424" i="1"/>
  <c r="CG2425" i="1"/>
  <c r="CG2426" i="1"/>
  <c r="CG2428" i="1"/>
  <c r="CG2429" i="1"/>
  <c r="CG2430" i="1"/>
  <c r="CG2431" i="1"/>
  <c r="CG2432" i="1"/>
  <c r="CG2433" i="1"/>
  <c r="CG2434" i="1"/>
  <c r="CG2435" i="1"/>
  <c r="CG2436" i="1"/>
  <c r="CG2437" i="1"/>
  <c r="CG2438" i="1"/>
  <c r="CG2439" i="1"/>
  <c r="CG2440" i="1"/>
  <c r="CG2441" i="1"/>
  <c r="CG2442" i="1"/>
  <c r="CG2443" i="1"/>
  <c r="CG2444" i="1"/>
  <c r="CG2445" i="1"/>
  <c r="CG2446" i="1"/>
  <c r="CG2447" i="1"/>
  <c r="CG2448" i="1"/>
  <c r="CG2449" i="1"/>
  <c r="CG2450" i="1"/>
  <c r="CG2451" i="1"/>
  <c r="CG2452" i="1"/>
  <c r="CG2453" i="1"/>
  <c r="CG2454" i="1"/>
  <c r="CG2455" i="1"/>
  <c r="CG2456" i="1"/>
  <c r="CG2457" i="1"/>
  <c r="CG2458" i="1"/>
  <c r="CG2459" i="1"/>
  <c r="CG2460" i="1"/>
  <c r="CG2461" i="1"/>
  <c r="CG2462" i="1"/>
  <c r="CG2463" i="1"/>
  <c r="CG2464" i="1"/>
  <c r="CG2465" i="1"/>
  <c r="CG2466" i="1"/>
  <c r="CG2467" i="1"/>
  <c r="CG2468" i="1"/>
  <c r="CG2469" i="1"/>
  <c r="CG2470" i="1"/>
  <c r="CG2471" i="1"/>
  <c r="CG2472" i="1"/>
  <c r="CG2474" i="1"/>
  <c r="CG2475" i="1"/>
  <c r="CG2476" i="1"/>
  <c r="CG2477" i="1"/>
  <c r="CG2478" i="1"/>
  <c r="CG2479" i="1"/>
  <c r="CG2480" i="1"/>
  <c r="CG2481" i="1"/>
  <c r="CG2482" i="1"/>
  <c r="CG2483" i="1"/>
  <c r="CG2484" i="1"/>
  <c r="CG2485" i="1"/>
  <c r="CG2486" i="1"/>
  <c r="CG2487" i="1"/>
  <c r="CG2488" i="1"/>
  <c r="CG2489" i="1"/>
  <c r="CG2490" i="1"/>
  <c r="CG2491" i="1"/>
  <c r="CG2492" i="1"/>
  <c r="CG2493" i="1"/>
  <c r="CG2494" i="1"/>
  <c r="CG2495" i="1"/>
  <c r="CG2496" i="1"/>
  <c r="CG2497" i="1"/>
  <c r="CG2498" i="1"/>
  <c r="CG2499" i="1"/>
  <c r="CG2500" i="1"/>
  <c r="CG2501" i="1"/>
  <c r="CG2502" i="1"/>
  <c r="CG2503" i="1"/>
  <c r="CG2504" i="1"/>
  <c r="CG2505" i="1"/>
  <c r="CG2506" i="1"/>
  <c r="CG2507" i="1"/>
  <c r="CG2508" i="1"/>
  <c r="CG2509" i="1"/>
  <c r="CG2510" i="1"/>
  <c r="CG2511" i="1"/>
  <c r="CG2512" i="1"/>
  <c r="CG2513" i="1"/>
  <c r="CG2514" i="1"/>
  <c r="CG2515" i="1"/>
  <c r="CG2516" i="1"/>
  <c r="CG2517" i="1"/>
  <c r="CG2518" i="1"/>
  <c r="CG2519" i="1"/>
  <c r="CG2520" i="1"/>
  <c r="CG2521" i="1"/>
  <c r="CG2522" i="1"/>
  <c r="CG2523" i="1"/>
  <c r="CG2526" i="1"/>
  <c r="CG2527" i="1"/>
  <c r="CG2529" i="1"/>
  <c r="CG2530" i="1"/>
  <c r="CG2531" i="1"/>
  <c r="CG2532" i="1"/>
  <c r="CG2533" i="1"/>
  <c r="CG2534" i="1"/>
  <c r="CG2535" i="1"/>
  <c r="CG2536" i="1"/>
  <c r="CG2537" i="1"/>
  <c r="CG2538" i="1"/>
  <c r="CG2539" i="1"/>
  <c r="CG2540" i="1"/>
  <c r="CG2541" i="1"/>
  <c r="CG2542" i="1"/>
  <c r="CG2543" i="1"/>
  <c r="CG2544" i="1"/>
  <c r="CG2545" i="1"/>
  <c r="CG2546" i="1"/>
  <c r="CG2547" i="1"/>
  <c r="CG2548" i="1"/>
  <c r="CG2549" i="1"/>
  <c r="CG2550" i="1"/>
  <c r="CG2551" i="1"/>
  <c r="CG2552" i="1"/>
  <c r="CG2553" i="1"/>
  <c r="CG2554" i="1"/>
  <c r="CG2555" i="1"/>
  <c r="CG2556" i="1"/>
  <c r="CG2557" i="1"/>
  <c r="CG2558" i="1"/>
  <c r="CG2559" i="1"/>
  <c r="CG2560" i="1"/>
  <c r="CG2561" i="1"/>
  <c r="CG2562" i="1"/>
  <c r="CG2563" i="1"/>
  <c r="CG2564" i="1"/>
  <c r="CG2565" i="1"/>
  <c r="CG2566" i="1"/>
  <c r="CG2567" i="1"/>
  <c r="CG2568" i="1"/>
  <c r="CG2569" i="1"/>
  <c r="CG2570" i="1"/>
  <c r="CG2571" i="1"/>
  <c r="CG2572" i="1"/>
  <c r="CG2573" i="1"/>
  <c r="CG2574" i="1"/>
  <c r="CG2575" i="1"/>
  <c r="CG2576" i="1"/>
  <c r="CG2577" i="1"/>
  <c r="CG2578" i="1"/>
  <c r="CG2579" i="1"/>
  <c r="CG2580" i="1"/>
  <c r="CG2581" i="1"/>
  <c r="CG2582" i="1"/>
  <c r="CG2583" i="1"/>
  <c r="CG2584" i="1"/>
  <c r="CG2585" i="1"/>
  <c r="CG2586" i="1"/>
  <c r="CG2587" i="1"/>
  <c r="CG2588" i="1"/>
  <c r="CG2589" i="1"/>
  <c r="CG2590" i="1"/>
  <c r="CG2591" i="1"/>
  <c r="CG2592" i="1"/>
  <c r="CG2593" i="1"/>
  <c r="CG2594" i="1"/>
  <c r="CG2595" i="1"/>
  <c r="CG2596" i="1"/>
  <c r="CG2597" i="1"/>
  <c r="CG2598" i="1"/>
  <c r="CG2599" i="1"/>
  <c r="CG2600" i="1"/>
  <c r="CG2601" i="1"/>
  <c r="CG2602" i="1"/>
  <c r="CG2603" i="1"/>
  <c r="CG2604" i="1"/>
  <c r="CG2605" i="1"/>
  <c r="CG2606" i="1"/>
  <c r="CG2607" i="1"/>
  <c r="CG2608" i="1"/>
  <c r="CG2609" i="1"/>
  <c r="CG2610" i="1"/>
  <c r="CG2611" i="1"/>
  <c r="CG2612" i="1"/>
  <c r="CG2613" i="1"/>
  <c r="CG2614" i="1"/>
  <c r="CG2615" i="1"/>
  <c r="CG2616" i="1"/>
  <c r="CG2617" i="1"/>
  <c r="CG2618" i="1"/>
  <c r="CG2619" i="1"/>
  <c r="CG2620" i="1"/>
  <c r="CG2621" i="1"/>
  <c r="CG2622" i="1"/>
  <c r="CG2623" i="1"/>
  <c r="CG2624" i="1"/>
  <c r="CG2625" i="1"/>
  <c r="CG2626" i="1"/>
  <c r="CG2627" i="1"/>
  <c r="CG2628" i="1"/>
  <c r="CG2629" i="1"/>
  <c r="CG2630" i="1"/>
  <c r="CG2631" i="1"/>
  <c r="CG2632" i="1"/>
  <c r="CG2633" i="1"/>
  <c r="CG2634" i="1"/>
  <c r="CG2635" i="1"/>
  <c r="CG2636" i="1"/>
  <c r="CG2637" i="1"/>
  <c r="CG2638" i="1"/>
  <c r="CG2639" i="1"/>
  <c r="CG2640" i="1"/>
  <c r="CG2641" i="1"/>
  <c r="CG2642" i="1"/>
  <c r="CG2643" i="1"/>
  <c r="CG2644" i="1"/>
  <c r="CG2645" i="1"/>
  <c r="CG2646" i="1"/>
  <c r="CG2647" i="1"/>
  <c r="CG2648" i="1"/>
  <c r="CG2649" i="1"/>
  <c r="CG2650" i="1"/>
  <c r="CG2651" i="1"/>
  <c r="CG2652" i="1"/>
  <c r="CG2654" i="1"/>
  <c r="CG2655" i="1"/>
  <c r="CG2656" i="1"/>
  <c r="CG2657" i="1"/>
  <c r="CG2658" i="1"/>
  <c r="CG2659" i="1"/>
  <c r="CG2660" i="1"/>
  <c r="CG2661" i="1"/>
  <c r="CG2662" i="1"/>
  <c r="CG2663" i="1"/>
  <c r="CG2664" i="1"/>
  <c r="CG2665" i="1"/>
  <c r="CG2666" i="1"/>
  <c r="CG2667" i="1"/>
  <c r="CG2668" i="1"/>
  <c r="CG2669" i="1"/>
  <c r="CG2670" i="1"/>
  <c r="CG2671" i="1"/>
  <c r="CG2672" i="1"/>
  <c r="CG2673" i="1"/>
  <c r="CG2674" i="1"/>
  <c r="CG2676" i="1"/>
  <c r="CG2677" i="1"/>
  <c r="CG2678" i="1"/>
  <c r="CG2679" i="1"/>
  <c r="CG2680" i="1"/>
  <c r="CG2681" i="1"/>
  <c r="CG2682" i="1"/>
  <c r="CG2683" i="1"/>
  <c r="CG2684" i="1"/>
  <c r="CG2685" i="1"/>
  <c r="CG2686" i="1"/>
  <c r="CG2687" i="1"/>
  <c r="CG2688" i="1"/>
  <c r="CG2689" i="1"/>
  <c r="CG2690" i="1"/>
  <c r="CG2691" i="1"/>
  <c r="CG2692" i="1"/>
  <c r="CG2693" i="1"/>
  <c r="CG2694" i="1"/>
  <c r="CG2696" i="1"/>
  <c r="CG2697" i="1"/>
  <c r="CG2698" i="1"/>
  <c r="CG2699" i="1"/>
  <c r="CG2700" i="1"/>
  <c r="CG2701" i="1"/>
  <c r="CG2702" i="1"/>
  <c r="CG2703" i="1"/>
  <c r="CG2704" i="1"/>
  <c r="CG2705" i="1"/>
  <c r="CG2706" i="1"/>
  <c r="CG2707" i="1"/>
  <c r="CG2708" i="1"/>
  <c r="CG2709" i="1"/>
  <c r="CG2710" i="1"/>
  <c r="CG2711" i="1"/>
  <c r="CG2712" i="1"/>
  <c r="CG2713" i="1"/>
  <c r="CG2714" i="1"/>
  <c r="CG2716" i="1"/>
  <c r="CG2717" i="1"/>
  <c r="CG2718" i="1"/>
  <c r="CG2719" i="1"/>
  <c r="CG2720" i="1"/>
  <c r="CG2721" i="1"/>
  <c r="CG2722" i="1"/>
  <c r="CG2723" i="1"/>
  <c r="CG2724" i="1"/>
  <c r="CG2725" i="1"/>
  <c r="CG2726" i="1"/>
  <c r="CG2727" i="1"/>
  <c r="CG2728" i="1"/>
  <c r="CG2729" i="1"/>
  <c r="CG2730" i="1"/>
  <c r="CG2732" i="1"/>
  <c r="CG2733" i="1"/>
  <c r="CG2734" i="1"/>
  <c r="CG2735" i="1"/>
  <c r="CG2736" i="1"/>
  <c r="CG2737" i="1"/>
  <c r="CG2738" i="1"/>
  <c r="CG2739" i="1"/>
  <c r="CG2740" i="1"/>
  <c r="CG2741" i="1"/>
  <c r="CG2742" i="1"/>
  <c r="CG2743" i="1"/>
  <c r="CG2744" i="1"/>
  <c r="CG2745" i="1"/>
  <c r="CG2746" i="1"/>
  <c r="CG2747" i="1"/>
  <c r="CG2748" i="1"/>
  <c r="CG2749" i="1"/>
  <c r="CG2750" i="1"/>
  <c r="CG2751" i="1"/>
  <c r="CG2752" i="1"/>
  <c r="CG2753" i="1"/>
  <c r="CG2754" i="1"/>
  <c r="CG2755" i="1"/>
  <c r="CG2756" i="1"/>
  <c r="CG2759" i="1"/>
  <c r="CG2760" i="1"/>
  <c r="CG2761" i="1"/>
  <c r="CG2762" i="1"/>
  <c r="CG2763" i="1"/>
  <c r="CG2764" i="1"/>
  <c r="CG2765" i="1"/>
  <c r="CG2766" i="1"/>
  <c r="CG2767" i="1"/>
  <c r="CG2768" i="1"/>
  <c r="CG2769" i="1"/>
  <c r="CG2770" i="1"/>
  <c r="CG2771" i="1"/>
  <c r="CG2772" i="1"/>
  <c r="CG2773" i="1"/>
  <c r="CG2774" i="1"/>
  <c r="CG2775" i="1"/>
  <c r="CG2776" i="1"/>
  <c r="CG2777" i="1"/>
  <c r="CG2778" i="1"/>
  <c r="CG2779" i="1"/>
  <c r="CG2780" i="1"/>
  <c r="CG2781" i="1"/>
  <c r="CG2783" i="1"/>
  <c r="CG2784" i="1"/>
  <c r="CG2785" i="1"/>
  <c r="CG2786" i="1"/>
  <c r="CG2787" i="1"/>
  <c r="CG2788" i="1"/>
  <c r="CG2789" i="1"/>
  <c r="CG2790" i="1"/>
  <c r="CG2791" i="1"/>
  <c r="CG2792" i="1"/>
  <c r="CG2793" i="1"/>
  <c r="CG2794" i="1"/>
  <c r="CG2795" i="1"/>
  <c r="CG2796" i="1"/>
  <c r="CG2797" i="1"/>
  <c r="CG2798" i="1"/>
  <c r="CG2799" i="1"/>
  <c r="CG2800" i="1"/>
  <c r="CG2801" i="1"/>
  <c r="CG2802" i="1"/>
  <c r="CG2803" i="1"/>
  <c r="CG2804" i="1"/>
  <c r="CG2805" i="1"/>
  <c r="CG2806" i="1"/>
  <c r="CG2807" i="1"/>
  <c r="CG2808" i="1"/>
  <c r="CG2809" i="1"/>
  <c r="CG2810" i="1"/>
  <c r="CG2811" i="1"/>
  <c r="CG2812" i="1"/>
  <c r="CG2813" i="1"/>
  <c r="CG2814" i="1"/>
  <c r="CG2815" i="1"/>
  <c r="CG2816" i="1"/>
  <c r="CG2817" i="1"/>
  <c r="CG2818" i="1"/>
  <c r="CG2819" i="1"/>
  <c r="CG2820" i="1"/>
  <c r="CG2821" i="1"/>
  <c r="CG2822" i="1"/>
  <c r="CG2823" i="1"/>
  <c r="CG2824" i="1"/>
  <c r="CG2825" i="1"/>
  <c r="CG2826" i="1"/>
  <c r="CG2827" i="1"/>
  <c r="CG2828" i="1"/>
  <c r="CG2829" i="1"/>
  <c r="CG2830" i="1"/>
  <c r="CG2831" i="1"/>
  <c r="CG2832" i="1"/>
  <c r="CG2833" i="1"/>
  <c r="CG2834" i="1"/>
  <c r="CG2835" i="1"/>
  <c r="CG2836" i="1"/>
  <c r="CG2837" i="1"/>
  <c r="CG2838" i="1"/>
  <c r="CG2839" i="1"/>
  <c r="CG2840" i="1"/>
  <c r="CG2841" i="1"/>
  <c r="CG2842" i="1"/>
  <c r="CG2843" i="1"/>
  <c r="CG2844" i="1"/>
  <c r="CG2845" i="1"/>
  <c r="CG2846" i="1"/>
  <c r="CG2847" i="1"/>
  <c r="CG2848" i="1"/>
  <c r="CG2849" i="1"/>
  <c r="CG2850" i="1"/>
  <c r="CG2851" i="1"/>
  <c r="CG2852" i="1"/>
  <c r="CG2853" i="1"/>
  <c r="CG2854" i="1"/>
  <c r="CG2855" i="1"/>
  <c r="CG2856" i="1"/>
  <c r="CG2857" i="1"/>
  <c r="CG2858" i="1"/>
  <c r="CG2859" i="1"/>
  <c r="CG2860" i="1"/>
  <c r="CG2861" i="1"/>
  <c r="CG2862" i="1"/>
  <c r="CG2863" i="1"/>
  <c r="CG2864" i="1"/>
  <c r="CG2866" i="1"/>
  <c r="CG2867" i="1"/>
  <c r="CG2868" i="1"/>
  <c r="CG2869" i="1"/>
  <c r="CG2870" i="1"/>
  <c r="CG2871" i="1"/>
  <c r="CG2872" i="1"/>
  <c r="CG2873" i="1"/>
  <c r="CG2874" i="1"/>
  <c r="CG2875" i="1"/>
  <c r="CG2876" i="1"/>
  <c r="CG2877" i="1"/>
  <c r="CG2878" i="1"/>
  <c r="CG2879" i="1"/>
  <c r="CG2880" i="1"/>
  <c r="CG2881" i="1"/>
  <c r="CG2882" i="1"/>
  <c r="CG2883" i="1"/>
  <c r="CG2884" i="1"/>
  <c r="CG2885" i="1"/>
  <c r="CG2886" i="1"/>
  <c r="CG2887" i="1"/>
  <c r="CG2888" i="1"/>
  <c r="CG2889" i="1"/>
  <c r="CG2890" i="1"/>
  <c r="CG2891" i="1"/>
  <c r="CG2893" i="1"/>
  <c r="CG2894" i="1"/>
  <c r="CG2895" i="1"/>
  <c r="CG2896" i="1"/>
  <c r="CG2897" i="1"/>
  <c r="CG2898" i="1"/>
  <c r="CG2899" i="1"/>
  <c r="CG2900" i="1"/>
  <c r="CG2901" i="1"/>
  <c r="CG2902" i="1"/>
  <c r="CG2903" i="1"/>
  <c r="CG2904" i="1"/>
  <c r="CG2905" i="1"/>
  <c r="CG2906" i="1"/>
  <c r="CG2907" i="1"/>
  <c r="CG2908" i="1"/>
  <c r="CG2909" i="1"/>
  <c r="CG2910" i="1"/>
  <c r="CG2911" i="1"/>
  <c r="CG2912" i="1"/>
  <c r="CG2913" i="1"/>
  <c r="CG2914" i="1"/>
  <c r="CG2915" i="1"/>
  <c r="CG2916" i="1"/>
  <c r="CG2917" i="1"/>
  <c r="CG2918" i="1"/>
  <c r="CG2919" i="1"/>
  <c r="CG2920" i="1"/>
  <c r="CG2921" i="1"/>
  <c r="CG2922" i="1"/>
  <c r="CG2923" i="1"/>
  <c r="CG2924" i="1"/>
  <c r="CG2925" i="1"/>
  <c r="CG2926" i="1"/>
  <c r="CG2927" i="1"/>
  <c r="CG2928" i="1"/>
  <c r="CG2929" i="1"/>
  <c r="CG2930" i="1"/>
  <c r="CG2931" i="1"/>
  <c r="CG2933" i="1"/>
  <c r="CG2934" i="1"/>
  <c r="CG2935" i="1"/>
  <c r="CG2936" i="1"/>
  <c r="CG2937" i="1"/>
  <c r="CG2938" i="1"/>
  <c r="CG2939" i="1"/>
  <c r="CG2940" i="1"/>
  <c r="CG2941" i="1"/>
  <c r="CG2942" i="1"/>
  <c r="CG2943" i="1"/>
  <c r="CG2944" i="1"/>
  <c r="CG2945" i="1"/>
  <c r="CG2946" i="1"/>
  <c r="CG2947" i="1"/>
  <c r="CG2948" i="1"/>
  <c r="CG2949" i="1"/>
  <c r="CG2950" i="1"/>
  <c r="CG2951" i="1"/>
  <c r="CG2952" i="1"/>
  <c r="CG2953" i="1"/>
  <c r="CG2954" i="1"/>
  <c r="CG2955" i="1"/>
  <c r="CG2956" i="1"/>
  <c r="CG2957" i="1"/>
  <c r="CG2958" i="1"/>
  <c r="CG2959" i="1"/>
  <c r="CG2960" i="1"/>
  <c r="CG2961" i="1"/>
  <c r="CG2962" i="1"/>
  <c r="CG2963" i="1"/>
  <c r="CG2964" i="1"/>
  <c r="CG2965" i="1"/>
  <c r="CG2966" i="1"/>
  <c r="CG2967" i="1"/>
  <c r="CG2968" i="1"/>
  <c r="CG2969" i="1"/>
  <c r="CG2970" i="1"/>
  <c r="CG2971" i="1"/>
  <c r="CG2972" i="1"/>
  <c r="CG2973" i="1"/>
  <c r="CG2974" i="1"/>
  <c r="CG2975" i="1"/>
  <c r="CG2976" i="1"/>
  <c r="CG2977" i="1"/>
  <c r="CG2978" i="1"/>
  <c r="CG2979" i="1"/>
  <c r="CG2980" i="1"/>
  <c r="CG2981" i="1"/>
  <c r="CG2982" i="1"/>
  <c r="CG2983" i="1"/>
  <c r="CG2984" i="1"/>
  <c r="CG2985" i="1"/>
  <c r="CG2986" i="1"/>
  <c r="CG2987" i="1"/>
  <c r="CG2988" i="1"/>
  <c r="CG2989" i="1"/>
  <c r="CG2990" i="1"/>
  <c r="CG2991" i="1"/>
  <c r="CG2992" i="1"/>
  <c r="CG2994" i="1"/>
  <c r="CG2995" i="1"/>
  <c r="CG2996" i="1"/>
  <c r="CG2997" i="1"/>
  <c r="CG2998" i="1"/>
  <c r="CG2999" i="1"/>
  <c r="CG3000" i="1"/>
  <c r="CG3001" i="1"/>
  <c r="CG3002" i="1"/>
  <c r="CG3003" i="1"/>
  <c r="CG3004" i="1"/>
  <c r="CG3005" i="1"/>
  <c r="CG3006" i="1"/>
  <c r="CG3007" i="1"/>
  <c r="CG3008" i="1"/>
  <c r="CG3009" i="1"/>
  <c r="CG3010" i="1"/>
  <c r="CG3011" i="1"/>
  <c r="CG3012" i="1"/>
  <c r="CG3013" i="1"/>
  <c r="CG3014" i="1"/>
  <c r="CG3016" i="1"/>
  <c r="CG3017" i="1"/>
  <c r="CG3018" i="1"/>
  <c r="CG3019" i="1"/>
  <c r="CG3020" i="1"/>
  <c r="CG3021" i="1"/>
  <c r="CG3022" i="1"/>
  <c r="CG3023" i="1"/>
  <c r="CG3024" i="1"/>
  <c r="CG3025" i="1"/>
  <c r="CG3026" i="1"/>
  <c r="CG3027" i="1"/>
  <c r="CG3028" i="1"/>
  <c r="CG3029" i="1"/>
  <c r="CG3030" i="1"/>
  <c r="CG3031" i="1"/>
  <c r="CG3032" i="1"/>
  <c r="CG3033" i="1"/>
  <c r="CG3034" i="1"/>
  <c r="CG3035" i="1"/>
  <c r="CG3036" i="1"/>
  <c r="CG3037" i="1"/>
  <c r="CG3038" i="1"/>
  <c r="CG3039" i="1"/>
  <c r="CG3040" i="1"/>
  <c r="CG3041" i="1"/>
  <c r="CG3042" i="1"/>
  <c r="CG3043" i="1"/>
  <c r="CG3044" i="1"/>
  <c r="CG3045" i="1"/>
  <c r="CG3046" i="1"/>
  <c r="CG3047" i="1"/>
  <c r="CG3048" i="1"/>
  <c r="CG3049" i="1"/>
  <c r="CG3050" i="1"/>
  <c r="CG3051" i="1"/>
  <c r="CG3052" i="1"/>
  <c r="CG3053" i="1"/>
  <c r="CG3054" i="1"/>
  <c r="CG3055" i="1"/>
  <c r="CG3056" i="1"/>
  <c r="CG3057" i="1"/>
  <c r="CG3058" i="1"/>
  <c r="CG3059" i="1"/>
  <c r="CG3060" i="1"/>
  <c r="CG3061" i="1"/>
  <c r="CG3062" i="1"/>
  <c r="CG3063" i="1"/>
  <c r="CG3064" i="1"/>
  <c r="CG3065" i="1"/>
  <c r="CG3066" i="1"/>
  <c r="CG3067" i="1"/>
  <c r="CG3068" i="1"/>
  <c r="CG3069" i="1"/>
  <c r="CG3070" i="1"/>
  <c r="CG3072" i="1"/>
  <c r="CG3073" i="1"/>
  <c r="CG3075" i="1"/>
  <c r="CG3076" i="1"/>
  <c r="CG3077" i="1"/>
  <c r="CG3078" i="1"/>
  <c r="CG3079" i="1"/>
  <c r="CG3080" i="1"/>
  <c r="CG3081" i="1"/>
  <c r="CG3082" i="1"/>
  <c r="CG3083" i="1"/>
  <c r="CG3084" i="1"/>
  <c r="CG3085" i="1"/>
  <c r="CG3086" i="1"/>
  <c r="CG3087" i="1"/>
  <c r="CG3088" i="1"/>
  <c r="CG3090" i="1"/>
  <c r="CG3091" i="1"/>
  <c r="CG3092" i="1"/>
  <c r="CG3093" i="1"/>
  <c r="CG3094" i="1"/>
  <c r="CG3095" i="1"/>
  <c r="CG3096" i="1"/>
  <c r="CG3097" i="1"/>
  <c r="CG3098" i="1"/>
  <c r="CG3099" i="1"/>
  <c r="CG3100" i="1"/>
  <c r="CG3101" i="1"/>
  <c r="CG3102" i="1"/>
  <c r="CG3103" i="1"/>
  <c r="CG3104" i="1"/>
  <c r="CG3105" i="1"/>
  <c r="CG3106" i="1"/>
  <c r="CG3107" i="1"/>
  <c r="CG3108" i="1"/>
  <c r="CG3109" i="1"/>
  <c r="CG3110" i="1"/>
  <c r="CG3111" i="1"/>
  <c r="CG3112" i="1"/>
  <c r="CG3113" i="1"/>
  <c r="CG3114" i="1"/>
  <c r="CG3115" i="1"/>
  <c r="CG3116" i="1"/>
  <c r="CG3117" i="1"/>
  <c r="CG3118" i="1"/>
  <c r="CG3119" i="1"/>
  <c r="CG3120" i="1"/>
  <c r="CG3121" i="1"/>
  <c r="CG3122" i="1"/>
  <c r="CG3123" i="1"/>
  <c r="CG3124" i="1"/>
  <c r="CG3125" i="1"/>
  <c r="CG3126" i="1"/>
  <c r="CG3127" i="1"/>
  <c r="CG3128" i="1"/>
  <c r="CG3129" i="1"/>
  <c r="CG3130" i="1"/>
  <c r="CG3131" i="1"/>
  <c r="CG3132" i="1"/>
  <c r="CG3133" i="1"/>
  <c r="CG3134" i="1"/>
  <c r="CG3135" i="1"/>
  <c r="CG3136" i="1"/>
  <c r="CG3137" i="1"/>
  <c r="CG3138" i="1"/>
  <c r="CG3139" i="1"/>
  <c r="CG3140" i="1"/>
  <c r="CG3141" i="1"/>
  <c r="CG3142" i="1"/>
  <c r="CG3143" i="1"/>
  <c r="CG3144" i="1"/>
  <c r="CG3145" i="1"/>
  <c r="CG3146" i="1"/>
  <c r="CG3147" i="1"/>
  <c r="CG3148" i="1"/>
  <c r="CG3149" i="1"/>
  <c r="CG3150" i="1"/>
  <c r="CG3151" i="1"/>
  <c r="CG3152" i="1"/>
  <c r="CG3153" i="1"/>
  <c r="CG3154" i="1"/>
  <c r="CG3155" i="1"/>
  <c r="CG3156" i="1"/>
  <c r="CG3157" i="1"/>
  <c r="CG3158" i="1"/>
  <c r="CG3159" i="1"/>
  <c r="CG3160" i="1"/>
  <c r="CG3161" i="1"/>
  <c r="CG3162" i="1"/>
  <c r="CG3163" i="1"/>
  <c r="CG3164" i="1"/>
  <c r="CG3165" i="1"/>
  <c r="CG3166" i="1"/>
  <c r="CG3167" i="1"/>
  <c r="CG3168" i="1"/>
  <c r="CG3169" i="1"/>
  <c r="CG3170" i="1"/>
  <c r="CG3171" i="1"/>
  <c r="CG3172" i="1"/>
  <c r="CG3173" i="1"/>
  <c r="CG3174" i="1"/>
  <c r="CG3175" i="1"/>
  <c r="CG3176" i="1"/>
  <c r="CG3177" i="1"/>
  <c r="CG3178" i="1"/>
  <c r="CG3179" i="1"/>
  <c r="CG3180" i="1"/>
  <c r="CG3181" i="1"/>
  <c r="CG3182" i="1"/>
  <c r="CG3183" i="1"/>
  <c r="CG3184" i="1"/>
  <c r="CG3185" i="1"/>
  <c r="CG3186" i="1"/>
  <c r="CG3187" i="1"/>
  <c r="CG3188" i="1"/>
  <c r="CG3189" i="1"/>
  <c r="CG3190" i="1"/>
  <c r="CG3191" i="1"/>
  <c r="CG3192" i="1"/>
  <c r="CG3193" i="1"/>
  <c r="CG3194" i="1"/>
  <c r="CG3195" i="1"/>
  <c r="CG3196" i="1"/>
  <c r="CG3197" i="1"/>
  <c r="CG3198" i="1"/>
  <c r="CG3199" i="1"/>
  <c r="CG3200" i="1"/>
  <c r="CG3201" i="1"/>
  <c r="CG3202" i="1"/>
  <c r="CG3203" i="1"/>
  <c r="CG3204" i="1"/>
  <c r="CG3205" i="1"/>
  <c r="CG3206" i="1"/>
  <c r="CG2" i="1"/>
  <c r="BX220" i="1" l="1"/>
  <c r="CF206" i="1" l="1"/>
  <c r="CF205" i="1"/>
  <c r="CF204" i="1"/>
  <c r="CF203" i="1"/>
  <c r="CF202" i="1"/>
  <c r="CF201" i="1"/>
  <c r="CF200" i="1"/>
  <c r="CF199" i="1"/>
  <c r="CF198" i="1"/>
  <c r="CF197" i="1"/>
  <c r="CF196" i="1"/>
  <c r="CF195" i="1"/>
  <c r="CF194" i="1"/>
  <c r="CF193" i="1"/>
  <c r="CF192" i="1"/>
  <c r="CF191" i="1"/>
  <c r="CF190" i="1"/>
  <c r="CF189" i="1"/>
  <c r="CF188" i="1"/>
  <c r="CF187" i="1"/>
  <c r="CF186" i="1"/>
  <c r="CF185" i="1"/>
  <c r="CF184" i="1"/>
  <c r="CF182" i="1"/>
  <c r="CF181" i="1"/>
  <c r="CF180" i="1"/>
  <c r="CF179" i="1"/>
  <c r="CF178" i="1"/>
  <c r="CF177" i="1"/>
  <c r="CF176" i="1"/>
  <c r="CF175" i="1"/>
  <c r="CF174" i="1"/>
  <c r="CF173" i="1"/>
  <c r="CF172" i="1"/>
  <c r="CF171" i="1"/>
  <c r="CF169" i="1"/>
  <c r="CF168" i="1"/>
  <c r="CF167" i="1"/>
  <c r="CF166" i="1"/>
  <c r="CF165" i="1"/>
  <c r="CF164" i="1"/>
  <c r="CF163" i="1"/>
  <c r="CF162" i="1"/>
  <c r="CF161" i="1"/>
  <c r="CF160" i="1"/>
  <c r="CF159" i="1"/>
  <c r="CF158" i="1"/>
  <c r="CF157" i="1"/>
  <c r="CF156" i="1"/>
  <c r="CF155" i="1"/>
  <c r="CF154" i="1"/>
  <c r="CF153" i="1"/>
  <c r="CF152" i="1"/>
  <c r="CF151" i="1"/>
  <c r="CF150" i="1"/>
  <c r="CF149" i="1"/>
  <c r="CF148" i="1"/>
  <c r="CF147" i="1"/>
  <c r="CF146" i="1"/>
  <c r="CF145" i="1"/>
  <c r="CF144" i="1"/>
  <c r="CF143" i="1"/>
  <c r="CF142" i="1"/>
  <c r="CF141" i="1"/>
  <c r="CF140" i="1"/>
  <c r="CF139" i="1"/>
  <c r="CF138" i="1"/>
  <c r="CF136" i="1"/>
  <c r="CF135" i="1"/>
  <c r="CF134" i="1"/>
  <c r="CF133" i="1"/>
  <c r="CF131" i="1"/>
  <c r="CF130" i="1"/>
  <c r="CF129" i="1"/>
  <c r="CF128" i="1"/>
  <c r="CF127" i="1"/>
  <c r="CF126" i="1"/>
  <c r="CF125" i="1"/>
  <c r="CF124" i="1"/>
  <c r="CF123" i="1"/>
  <c r="CF122" i="1"/>
  <c r="CF121" i="1"/>
  <c r="CF120" i="1"/>
  <c r="CF119" i="1"/>
  <c r="CF118" i="1"/>
  <c r="CF117" i="1"/>
  <c r="CF116" i="1"/>
  <c r="CF114" i="1"/>
  <c r="CF113" i="1"/>
  <c r="CF112" i="1"/>
  <c r="CF110" i="1"/>
  <c r="CF109" i="1"/>
  <c r="CF108" i="1"/>
  <c r="CF106" i="1"/>
  <c r="CF105" i="1"/>
  <c r="CF104" i="1"/>
  <c r="CF25" i="1"/>
  <c r="CF24" i="1"/>
  <c r="CF23" i="1"/>
  <c r="CF22" i="1"/>
  <c r="CF21" i="1"/>
  <c r="CF20" i="1"/>
  <c r="CF19" i="1"/>
  <c r="CF18" i="1"/>
  <c r="CF17" i="1"/>
  <c r="CF16" i="1"/>
  <c r="CF15" i="1"/>
  <c r="CF14" i="1"/>
  <c r="CF13" i="1"/>
  <c r="CF12" i="1"/>
  <c r="CF11" i="1"/>
  <c r="CF10" i="1"/>
  <c r="CF9" i="1"/>
  <c r="CF8" i="1"/>
  <c r="CF7" i="1"/>
  <c r="CF6" i="1"/>
  <c r="CF5" i="1"/>
  <c r="CF4" i="1"/>
  <c r="CF3" i="1"/>
  <c r="CF2" i="1"/>
  <c r="CF107" i="1"/>
  <c r="CF111" i="1"/>
  <c r="CF132" i="1"/>
  <c r="CF170" i="1"/>
  <c r="CF183" i="1"/>
  <c r="BQ107" i="1" l="1"/>
  <c r="BQ111" i="1"/>
  <c r="BQ132" i="1"/>
  <c r="BQ159" i="1"/>
  <c r="BQ170" i="1"/>
  <c r="BQ179" i="1"/>
  <c r="BQ183" i="1"/>
  <c r="BQ195" i="1"/>
  <c r="BQ204" i="1"/>
  <c r="BQ297" i="1"/>
  <c r="BQ314" i="1"/>
  <c r="BQ329" i="1"/>
  <c r="BQ331" i="1"/>
  <c r="BQ332" i="1"/>
  <c r="BQ349" i="1"/>
  <c r="BQ367" i="1"/>
  <c r="BQ373" i="1"/>
  <c r="BQ391" i="1"/>
  <c r="BQ407" i="1"/>
  <c r="BQ445" i="1"/>
  <c r="BQ446" i="1"/>
  <c r="BQ448" i="1"/>
  <c r="BQ459" i="1"/>
  <c r="BQ465" i="1"/>
  <c r="BQ476" i="1"/>
  <c r="BQ487" i="1"/>
  <c r="BQ493" i="1"/>
  <c r="BQ504" i="1"/>
  <c r="BQ521" i="1"/>
  <c r="BQ532" i="1"/>
  <c r="BQ535" i="1"/>
  <c r="BQ549" i="1"/>
  <c r="BQ561" i="1"/>
  <c r="BQ562" i="1"/>
  <c r="BQ568" i="1"/>
  <c r="BQ588" i="1"/>
  <c r="BQ589" i="1"/>
  <c r="BQ602" i="1"/>
  <c r="BQ631" i="1"/>
  <c r="BQ655" i="1"/>
  <c r="BQ684" i="1"/>
  <c r="BQ687" i="1"/>
  <c r="BQ707" i="1"/>
  <c r="BQ709" i="1"/>
  <c r="BQ710" i="1"/>
  <c r="BQ712" i="1"/>
  <c r="BQ721" i="1"/>
  <c r="BQ722" i="1"/>
  <c r="BQ737" i="1"/>
  <c r="BQ739" i="1"/>
  <c r="BQ740" i="1"/>
  <c r="BQ742" i="1"/>
  <c r="BQ777" i="1"/>
  <c r="BQ778" i="1"/>
  <c r="BQ791" i="1"/>
  <c r="BQ801" i="1"/>
  <c r="BQ808" i="1"/>
  <c r="BQ812" i="1"/>
  <c r="BQ819" i="1"/>
  <c r="BQ822" i="1"/>
  <c r="BQ823" i="1"/>
  <c r="BQ841" i="1"/>
  <c r="BQ847" i="1"/>
  <c r="BQ849" i="1"/>
  <c r="BQ850" i="1"/>
  <c r="BQ851" i="1"/>
  <c r="BQ856" i="1"/>
  <c r="BQ861" i="1"/>
  <c r="BQ888" i="1"/>
  <c r="BQ896" i="1"/>
  <c r="BQ910" i="1"/>
  <c r="BQ914" i="1"/>
  <c r="BQ917" i="1"/>
  <c r="BQ945" i="1"/>
  <c r="BQ951" i="1"/>
  <c r="BQ971" i="1"/>
  <c r="BQ983" i="1"/>
  <c r="BQ996" i="1"/>
  <c r="BQ1002" i="1"/>
  <c r="BQ1009" i="1"/>
  <c r="BQ1011" i="1"/>
  <c r="BQ1018" i="1"/>
  <c r="BQ1026" i="1"/>
  <c r="BQ1035" i="1"/>
  <c r="BQ1042" i="1"/>
  <c r="BQ1048" i="1"/>
  <c r="BQ1050" i="1"/>
  <c r="BQ1074" i="1"/>
  <c r="BQ1076" i="1"/>
  <c r="BQ1080" i="1"/>
  <c r="BQ1092" i="1"/>
  <c r="BQ1099" i="1"/>
  <c r="BQ1114" i="1"/>
  <c r="BQ1119" i="1"/>
  <c r="BQ1122" i="1"/>
  <c r="BQ1136" i="1"/>
  <c r="BQ1137" i="1"/>
  <c r="BQ1141" i="1"/>
  <c r="BQ1143" i="1"/>
  <c r="BQ1148" i="1"/>
  <c r="BQ1155" i="1"/>
  <c r="BQ1162" i="1"/>
  <c r="BQ1171" i="1"/>
  <c r="BQ1174" i="1"/>
  <c r="BQ1183" i="1"/>
  <c r="BQ1184" i="1"/>
  <c r="BQ1186" i="1"/>
  <c r="BQ1204" i="1"/>
  <c r="BQ1205" i="1"/>
  <c r="BQ1209" i="1"/>
  <c r="BQ1212" i="1"/>
  <c r="BQ1219" i="1"/>
  <c r="BQ1237" i="1"/>
  <c r="BQ1246" i="1"/>
  <c r="BQ1251" i="1"/>
  <c r="BQ1252" i="1"/>
  <c r="BQ1278" i="1"/>
  <c r="BQ1285" i="1"/>
  <c r="BQ1299" i="1"/>
  <c r="BQ1306" i="1"/>
  <c r="BQ1309" i="1"/>
  <c r="BQ1310" i="1"/>
  <c r="BQ1319" i="1"/>
  <c r="BQ1320" i="1"/>
  <c r="BQ1321" i="1"/>
  <c r="BQ1322" i="1"/>
  <c r="BQ1341" i="1"/>
  <c r="BQ1347" i="1"/>
  <c r="BQ1358" i="1"/>
  <c r="BQ1361" i="1"/>
  <c r="BQ1364" i="1"/>
  <c r="BQ1403" i="1"/>
  <c r="BQ1410" i="1"/>
  <c r="BQ1421" i="1"/>
  <c r="BQ1428" i="1"/>
  <c r="BQ1431" i="1"/>
  <c r="BQ1450" i="1"/>
  <c r="BQ1456" i="1"/>
  <c r="BQ1457" i="1"/>
  <c r="BQ1460" i="1"/>
  <c r="BQ1473" i="1"/>
  <c r="BQ1477" i="1"/>
  <c r="BQ1478" i="1"/>
  <c r="BQ1480" i="1"/>
  <c r="BQ1491" i="1"/>
  <c r="BQ1504" i="1"/>
  <c r="BQ1515" i="1"/>
  <c r="BQ1529" i="1"/>
  <c r="BQ1531" i="1"/>
  <c r="BQ1533" i="1"/>
  <c r="BQ1550" i="1"/>
  <c r="BQ1552" i="1"/>
  <c r="BQ1553" i="1"/>
  <c r="BQ1556" i="1"/>
  <c r="BQ1559" i="1"/>
  <c r="BQ1562" i="1"/>
  <c r="BQ1568" i="1"/>
  <c r="BQ1572" i="1"/>
  <c r="BQ1574" i="1"/>
  <c r="BQ1578" i="1"/>
  <c r="BQ1589" i="1"/>
  <c r="BQ1592" i="1"/>
  <c r="BQ1597" i="1"/>
  <c r="BQ1603" i="1"/>
  <c r="BQ1608" i="1"/>
  <c r="BQ1618" i="1"/>
  <c r="BQ1622" i="1"/>
  <c r="BQ1623" i="1"/>
  <c r="BQ1636" i="1"/>
  <c r="BQ1645" i="1"/>
  <c r="BQ1648" i="1"/>
  <c r="BQ1656" i="1"/>
  <c r="BQ1658" i="1"/>
  <c r="BQ1660" i="1"/>
  <c r="BQ1664" i="1"/>
  <c r="BQ1673" i="1"/>
  <c r="BQ1676" i="1"/>
  <c r="BQ1679" i="1"/>
  <c r="BQ1682" i="1"/>
  <c r="BQ1683" i="1"/>
  <c r="BQ1689" i="1"/>
  <c r="BQ1695" i="1"/>
  <c r="BQ1697" i="1"/>
  <c r="BQ1704" i="1"/>
  <c r="BQ1708" i="1"/>
  <c r="BQ1712" i="1"/>
  <c r="BQ1713" i="1"/>
  <c r="BQ1720" i="1"/>
  <c r="BQ1726" i="1"/>
  <c r="BQ1728" i="1"/>
  <c r="BQ1731" i="1"/>
  <c r="BQ1740" i="1"/>
  <c r="BQ1741" i="1"/>
  <c r="BQ1750" i="1"/>
  <c r="BQ1751" i="1"/>
  <c r="BQ1758" i="1"/>
  <c r="BQ1763" i="1"/>
  <c r="BQ1765" i="1"/>
  <c r="BQ1793" i="1"/>
  <c r="BQ1803" i="1"/>
  <c r="BQ1806" i="1"/>
  <c r="BQ1808" i="1"/>
  <c r="BQ1810" i="1"/>
  <c r="BQ1812" i="1"/>
  <c r="BQ1816" i="1"/>
  <c r="BQ1817" i="1"/>
  <c r="BQ1824" i="1"/>
  <c r="BQ1827" i="1"/>
  <c r="BQ1834" i="1"/>
  <c r="BQ1835" i="1"/>
  <c r="BQ1851" i="1"/>
  <c r="BQ1856" i="1"/>
  <c r="BQ1863" i="1"/>
  <c r="BQ1866" i="1"/>
  <c r="BQ1867" i="1"/>
  <c r="BQ1890" i="1"/>
  <c r="BQ1891" i="1"/>
  <c r="BQ1895" i="1"/>
  <c r="BQ1896" i="1"/>
  <c r="BQ1898" i="1"/>
  <c r="BQ1906" i="1"/>
  <c r="BQ1908" i="1"/>
  <c r="BQ1929" i="1"/>
  <c r="BQ1934" i="1"/>
  <c r="BQ1938" i="1"/>
  <c r="BQ1940" i="1"/>
  <c r="BQ1959" i="1"/>
  <c r="BQ1961" i="1"/>
  <c r="BQ1973" i="1"/>
  <c r="BQ1976" i="1"/>
  <c r="BQ1977" i="1"/>
  <c r="BQ1980" i="1"/>
  <c r="BQ1984" i="1"/>
  <c r="BQ1985" i="1"/>
  <c r="BQ1989" i="1"/>
  <c r="BQ1993" i="1"/>
  <c r="BQ2002" i="1"/>
  <c r="BQ2004" i="1"/>
  <c r="BQ2017" i="1"/>
  <c r="BQ2034" i="1"/>
  <c r="BQ2037" i="1"/>
  <c r="BQ2045" i="1"/>
  <c r="BQ2048" i="1"/>
  <c r="BQ2055" i="1"/>
  <c r="BQ2062" i="1"/>
  <c r="BQ2079" i="1"/>
  <c r="BQ2082" i="1"/>
  <c r="BQ2084" i="1"/>
  <c r="BQ2086" i="1"/>
  <c r="BQ2088" i="1"/>
  <c r="BQ2095" i="1"/>
  <c r="BQ2097" i="1"/>
  <c r="BQ2120" i="1"/>
  <c r="BQ2125" i="1"/>
  <c r="BQ2126" i="1"/>
  <c r="BQ2131" i="1"/>
  <c r="BQ2138" i="1"/>
  <c r="BQ2178" i="1"/>
  <c r="BQ2180" i="1"/>
  <c r="BQ2192" i="1"/>
  <c r="BQ2198" i="1"/>
  <c r="BQ2202" i="1"/>
  <c r="BQ2204" i="1"/>
  <c r="BQ2209" i="1"/>
  <c r="BQ2217" i="1"/>
  <c r="BQ2220" i="1"/>
  <c r="BQ2224" i="1"/>
  <c r="BQ2231" i="1"/>
  <c r="BQ2232" i="1"/>
  <c r="BQ2234" i="1"/>
  <c r="BQ2236" i="1"/>
  <c r="BQ2237" i="1"/>
  <c r="BQ2242" i="1"/>
  <c r="BQ2247" i="1"/>
  <c r="BQ2248" i="1"/>
  <c r="BQ2252" i="1"/>
  <c r="BQ2260" i="1"/>
  <c r="BQ2261" i="1"/>
  <c r="BQ2262" i="1"/>
  <c r="BQ2269" i="1"/>
  <c r="BQ2279" i="1"/>
  <c r="BQ2309" i="1"/>
  <c r="BQ2310" i="1"/>
  <c r="BQ2311" i="1"/>
  <c r="BQ2319" i="1"/>
  <c r="BQ2322" i="1"/>
  <c r="BQ2338" i="1"/>
  <c r="BQ2339" i="1"/>
  <c r="BQ2356" i="1"/>
  <c r="BQ2364" i="1"/>
  <c r="BQ2374" i="1"/>
  <c r="BQ2378" i="1"/>
  <c r="BQ2384" i="1"/>
  <c r="BQ2388" i="1"/>
  <c r="BQ2390" i="1"/>
  <c r="BQ2392" i="1"/>
  <c r="BQ2397" i="1"/>
  <c r="BQ2398" i="1"/>
  <c r="BQ2417" i="1"/>
  <c r="BQ2419" i="1"/>
  <c r="BQ2420" i="1"/>
  <c r="BQ2421" i="1"/>
  <c r="BQ2422" i="1"/>
  <c r="BQ2429" i="1"/>
  <c r="BQ2457" i="1"/>
  <c r="BQ2458" i="1"/>
  <c r="BQ2460" i="1"/>
  <c r="BQ2461" i="1"/>
  <c r="BQ2471" i="1"/>
  <c r="BQ2490" i="1"/>
  <c r="BQ2491" i="1"/>
  <c r="BQ2492" i="1"/>
  <c r="BQ2493" i="1"/>
  <c r="BQ2504" i="1"/>
  <c r="BQ2532" i="1"/>
  <c r="BQ2534" i="1"/>
  <c r="BQ2535" i="1"/>
  <c r="BQ2537" i="1"/>
  <c r="BQ2539" i="1"/>
  <c r="BQ2542" i="1"/>
  <c r="BQ2547" i="1"/>
  <c r="BQ2556" i="1"/>
  <c r="BQ2558" i="1"/>
  <c r="BQ2572" i="1"/>
  <c r="BQ2577" i="1"/>
  <c r="BQ2581" i="1"/>
  <c r="BQ2583" i="1"/>
  <c r="BQ2584" i="1"/>
  <c r="BQ2602" i="1"/>
  <c r="BQ2622" i="1"/>
  <c r="BQ2624" i="1"/>
  <c r="BQ2628" i="1"/>
  <c r="BQ2629" i="1"/>
  <c r="BQ2641" i="1"/>
  <c r="BQ2646" i="1"/>
  <c r="BQ2647" i="1"/>
  <c r="BQ2648" i="1"/>
  <c r="BQ2652" i="1"/>
  <c r="BQ2657" i="1"/>
  <c r="BQ2658" i="1"/>
  <c r="BQ2659" i="1"/>
  <c r="BQ2666" i="1"/>
  <c r="BQ2667" i="1"/>
  <c r="BQ2671" i="1"/>
  <c r="BQ2676" i="1"/>
  <c r="BQ2680" i="1"/>
  <c r="BQ2690" i="1"/>
  <c r="BQ2693" i="1"/>
  <c r="BQ2706" i="1"/>
  <c r="BQ2713" i="1"/>
  <c r="BQ2721" i="1"/>
  <c r="BQ2722" i="1"/>
  <c r="BQ2725" i="1"/>
  <c r="BQ2727" i="1"/>
  <c r="BQ2735" i="1"/>
  <c r="BQ2736" i="1"/>
  <c r="BQ2739" i="1"/>
  <c r="BQ2746" i="1"/>
  <c r="BQ2752" i="1"/>
  <c r="BQ2756" i="1"/>
  <c r="BQ2759" i="1"/>
  <c r="BQ2770" i="1"/>
  <c r="BQ2771" i="1"/>
  <c r="BQ2773" i="1"/>
  <c r="BQ2781" i="1"/>
  <c r="BQ2786" i="1"/>
  <c r="BQ2796" i="1"/>
  <c r="BQ2799" i="1"/>
  <c r="BQ2803" i="1"/>
  <c r="BQ2810" i="1"/>
  <c r="BQ2812" i="1"/>
  <c r="BQ2813" i="1"/>
  <c r="BQ2815" i="1"/>
  <c r="BQ2829" i="1"/>
  <c r="BQ2831" i="1"/>
  <c r="BQ2835" i="1"/>
  <c r="BQ2838" i="1"/>
  <c r="BQ2845" i="1"/>
  <c r="BQ2856" i="1"/>
  <c r="BQ2858" i="1"/>
  <c r="BQ2859" i="1"/>
  <c r="BQ2867" i="1"/>
  <c r="BQ2874" i="1"/>
  <c r="BQ2885" i="1"/>
  <c r="BQ2886" i="1"/>
  <c r="BQ2887" i="1"/>
  <c r="BQ2895" i="1"/>
  <c r="BQ2901" i="1"/>
  <c r="BQ2904" i="1"/>
  <c r="BQ2911" i="1"/>
  <c r="BQ2922" i="1"/>
  <c r="BQ2930" i="1"/>
  <c r="BQ2934" i="1"/>
  <c r="BQ2973" i="1"/>
  <c r="BQ2976" i="1"/>
  <c r="BQ2977" i="1"/>
  <c r="BQ2978" i="1"/>
  <c r="BQ2979" i="1"/>
  <c r="BQ2982" i="1"/>
  <c r="BQ2985" i="1"/>
  <c r="BQ2990" i="1"/>
  <c r="BQ2992" i="1"/>
  <c r="BQ3001" i="1"/>
  <c r="BQ3010" i="1"/>
  <c r="BQ3012" i="1"/>
  <c r="BQ3013" i="1"/>
  <c r="BQ3014" i="1"/>
  <c r="BQ3026" i="1"/>
  <c r="BQ3042" i="1"/>
  <c r="BQ3049" i="1"/>
  <c r="BQ3055" i="1"/>
  <c r="BQ3057" i="1"/>
  <c r="BQ3062" i="1"/>
  <c r="BQ3076" i="1"/>
  <c r="BQ3078" i="1"/>
  <c r="BQ3081" i="1"/>
  <c r="BQ3082" i="1"/>
  <c r="BQ3085" i="1"/>
  <c r="BQ3086" i="1"/>
  <c r="BQ3087" i="1"/>
  <c r="BQ3090" i="1"/>
  <c r="BQ3101" i="1"/>
  <c r="BQ3103" i="1"/>
  <c r="BQ3109" i="1"/>
  <c r="BQ3111" i="1"/>
  <c r="BQ3123" i="1"/>
  <c r="BQ3125" i="1"/>
  <c r="BQ3129" i="1"/>
  <c r="BQ3134" i="1"/>
  <c r="BQ3149" i="1"/>
  <c r="BQ3161" i="1"/>
  <c r="BQ3163" i="1"/>
  <c r="BQ3170" i="1"/>
  <c r="BQ3177" i="1"/>
  <c r="BQ3188" i="1"/>
  <c r="BQ3190" i="1"/>
  <c r="BQ3196" i="1"/>
  <c r="BQ3200" i="1"/>
  <c r="BQ3201" i="1"/>
  <c r="BF530" i="1"/>
  <c r="C3201" i="1"/>
  <c r="C3177" i="1"/>
  <c r="C3163" i="1"/>
  <c r="C3101" i="1"/>
  <c r="C3081" i="1"/>
  <c r="C3026" i="1"/>
  <c r="C2982" i="1"/>
  <c r="C2829" i="1"/>
  <c r="C2828" i="1"/>
  <c r="C2772" i="1"/>
  <c r="C2759" i="1"/>
  <c r="C2756" i="1"/>
  <c r="C2677" i="1"/>
  <c r="C2676" i="1"/>
  <c r="C2581" i="1"/>
  <c r="C2577" i="1"/>
  <c r="C2537" i="1"/>
  <c r="C2532" i="1"/>
  <c r="C2419" i="1"/>
  <c r="C2392" i="1"/>
  <c r="C2388" i="1"/>
  <c r="C2374" i="1"/>
  <c r="C2373" i="1"/>
  <c r="C2339" i="1"/>
  <c r="C2309" i="1"/>
  <c r="C2261" i="1"/>
  <c r="C2252" i="1"/>
  <c r="C2237" i="1"/>
  <c r="C2234" i="1"/>
  <c r="C2231" i="1"/>
  <c r="C2220" i="1"/>
  <c r="C2198" i="1"/>
  <c r="C2192" i="1"/>
  <c r="C2079" i="1"/>
  <c r="C2048" i="1"/>
  <c r="C2037" i="1"/>
  <c r="C2004" i="1"/>
  <c r="C1989" i="1"/>
  <c r="C1984" i="1"/>
  <c r="C1934" i="1"/>
  <c r="C1898" i="1"/>
  <c r="C1896" i="1"/>
  <c r="C1867" i="1"/>
  <c r="C1866" i="1"/>
  <c r="C1856" i="1"/>
  <c r="C1835" i="1"/>
  <c r="C1834" i="1"/>
  <c r="C1812" i="1"/>
  <c r="C1810" i="1"/>
  <c r="C1726" i="1"/>
  <c r="C1720" i="1"/>
  <c r="C1689" i="1"/>
  <c r="C1679" i="1"/>
  <c r="C1660" i="1"/>
  <c r="C1658" i="1"/>
  <c r="C1645" i="1"/>
  <c r="C1574" i="1"/>
  <c r="C1562" i="1"/>
  <c r="C1483" i="1"/>
  <c r="C1480" i="1"/>
  <c r="C1473" i="1"/>
  <c r="C1456" i="1"/>
  <c r="C1403" i="1"/>
  <c r="C1370" i="1"/>
  <c r="C1248" i="1"/>
  <c r="C1237" i="1"/>
  <c r="C1080" i="1"/>
  <c r="C1074" i="1"/>
  <c r="C1058" i="1"/>
  <c r="C1026" i="1"/>
  <c r="C983" i="1"/>
  <c r="C971" i="1"/>
  <c r="C915" i="1"/>
  <c r="C850" i="1"/>
  <c r="C819" i="1"/>
  <c r="C723" i="1"/>
  <c r="C602" i="1"/>
  <c r="C589" i="1"/>
  <c r="C535" i="1"/>
  <c r="C448" i="1"/>
  <c r="C407" i="1"/>
  <c r="C183" i="1"/>
  <c r="C132" i="1"/>
  <c r="C107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104" i="1"/>
  <c r="C105" i="1"/>
  <c r="C106" i="1"/>
  <c r="C108" i="1"/>
  <c r="C109" i="1"/>
  <c r="C110" i="1"/>
  <c r="C111" i="1"/>
  <c r="C112" i="1"/>
  <c r="C113" i="1"/>
  <c r="C114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3" i="1"/>
  <c r="C134" i="1"/>
  <c r="C135" i="1"/>
  <c r="C136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3" i="1"/>
  <c r="C604" i="1"/>
  <c r="C605" i="1"/>
  <c r="C606" i="1"/>
  <c r="C607" i="1"/>
  <c r="C608" i="1"/>
  <c r="C609" i="1"/>
  <c r="C611" i="1"/>
  <c r="C612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40" i="1"/>
  <c r="C841" i="1"/>
  <c r="C842" i="1"/>
  <c r="C843" i="1"/>
  <c r="C844" i="1"/>
  <c r="C845" i="1"/>
  <c r="C846" i="1"/>
  <c r="C847" i="1"/>
  <c r="C848" i="1"/>
  <c r="C849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2" i="1"/>
  <c r="C973" i="1"/>
  <c r="C974" i="1"/>
  <c r="C975" i="1"/>
  <c r="C976" i="1"/>
  <c r="C977" i="1"/>
  <c r="C978" i="1"/>
  <c r="C979" i="1"/>
  <c r="C980" i="1"/>
  <c r="C981" i="1"/>
  <c r="C982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5" i="1"/>
  <c r="C1056" i="1"/>
  <c r="C1057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5" i="1"/>
  <c r="C1076" i="1"/>
  <c r="C1077" i="1"/>
  <c r="C1078" i="1"/>
  <c r="C1079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1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8" i="1"/>
  <c r="C1240" i="1"/>
  <c r="C1241" i="1"/>
  <c r="C1242" i="1"/>
  <c r="C1243" i="1"/>
  <c r="C1244" i="1"/>
  <c r="C1245" i="1"/>
  <c r="C1246" i="1"/>
  <c r="C1247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7" i="1"/>
  <c r="C1328" i="1"/>
  <c r="C1329" i="1"/>
  <c r="C1330" i="1"/>
  <c r="C1331" i="1"/>
  <c r="C1332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2" i="1"/>
  <c r="C1453" i="1"/>
  <c r="C1454" i="1"/>
  <c r="C1455" i="1"/>
  <c r="C1457" i="1"/>
  <c r="C1458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5" i="1"/>
  <c r="C1476" i="1"/>
  <c r="C1477" i="1"/>
  <c r="C1478" i="1"/>
  <c r="C1479" i="1"/>
  <c r="C1481" i="1"/>
  <c r="C1482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7" i="1"/>
  <c r="C1498" i="1"/>
  <c r="C1499" i="1"/>
  <c r="C1500" i="1"/>
  <c r="C1501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3" i="1"/>
  <c r="C1564" i="1"/>
  <c r="C1565" i="1"/>
  <c r="C1566" i="1"/>
  <c r="C1567" i="1"/>
  <c r="C1568" i="1"/>
  <c r="C1569" i="1"/>
  <c r="C1570" i="1"/>
  <c r="C1571" i="1"/>
  <c r="C1572" i="1"/>
  <c r="C1573" i="1"/>
  <c r="C1575" i="1"/>
  <c r="C1576" i="1"/>
  <c r="C1577" i="1"/>
  <c r="C1578" i="1"/>
  <c r="C1579" i="1"/>
  <c r="C1580" i="1"/>
  <c r="C1581" i="1"/>
  <c r="C1582" i="1"/>
  <c r="C1583" i="1"/>
  <c r="C1584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4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9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80" i="1"/>
  <c r="C1681" i="1"/>
  <c r="C1682" i="1"/>
  <c r="C1683" i="1"/>
  <c r="C1684" i="1"/>
  <c r="C1685" i="1"/>
  <c r="C1686" i="1"/>
  <c r="C1687" i="1"/>
  <c r="C1688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1" i="1"/>
  <c r="C1722" i="1"/>
  <c r="C1723" i="1"/>
  <c r="C1724" i="1"/>
  <c r="C1725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5" i="1"/>
  <c r="C1756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3" i="1"/>
  <c r="C1774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3" i="1"/>
  <c r="C1804" i="1"/>
  <c r="C1805" i="1"/>
  <c r="C1806" i="1"/>
  <c r="C1807" i="1"/>
  <c r="C1808" i="1"/>
  <c r="C1809" i="1"/>
  <c r="C1811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6" i="1"/>
  <c r="C1837" i="1"/>
  <c r="C1838" i="1"/>
  <c r="C1839" i="1"/>
  <c r="C1840" i="1"/>
  <c r="C1841" i="1"/>
  <c r="C1842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7" i="1"/>
  <c r="C1858" i="1"/>
  <c r="C1859" i="1"/>
  <c r="C1860" i="1"/>
  <c r="C1861" i="1"/>
  <c r="C1862" i="1"/>
  <c r="C1863" i="1"/>
  <c r="C1864" i="1"/>
  <c r="C1868" i="1"/>
  <c r="C1869" i="1"/>
  <c r="C1870" i="1"/>
  <c r="C1871" i="1"/>
  <c r="C1872" i="1"/>
  <c r="C1873" i="1"/>
  <c r="C1874" i="1"/>
  <c r="C1875" i="1"/>
  <c r="C1876" i="1"/>
  <c r="C1877" i="1"/>
  <c r="C1879" i="1"/>
  <c r="C1880" i="1"/>
  <c r="C1881" i="1"/>
  <c r="C1882" i="1"/>
  <c r="C1883" i="1"/>
  <c r="C1884" i="1"/>
  <c r="C1886" i="1"/>
  <c r="C1887" i="1"/>
  <c r="C1889" i="1"/>
  <c r="C1890" i="1"/>
  <c r="C1891" i="1"/>
  <c r="C1892" i="1"/>
  <c r="C1893" i="1"/>
  <c r="C1894" i="1"/>
  <c r="C1895" i="1"/>
  <c r="C1897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4" i="1"/>
  <c r="C1965" i="1"/>
  <c r="C1966" i="1"/>
  <c r="C1967" i="1"/>
  <c r="C1968" i="1"/>
  <c r="C1969" i="1"/>
  <c r="C1970" i="1"/>
  <c r="C1971" i="1"/>
  <c r="C1973" i="1"/>
  <c r="C1974" i="1"/>
  <c r="C1975" i="1"/>
  <c r="C1976" i="1"/>
  <c r="C1977" i="1"/>
  <c r="C1978" i="1"/>
  <c r="C1979" i="1"/>
  <c r="C1980" i="1"/>
  <c r="C1981" i="1"/>
  <c r="C1982" i="1"/>
  <c r="C1983" i="1"/>
  <c r="C1985" i="1"/>
  <c r="C1986" i="1"/>
  <c r="C1987" i="1"/>
  <c r="C1988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7" i="1"/>
  <c r="C2028" i="1"/>
  <c r="C2029" i="1"/>
  <c r="C2030" i="1"/>
  <c r="C2031" i="1"/>
  <c r="C2032" i="1"/>
  <c r="C2033" i="1"/>
  <c r="C2034" i="1"/>
  <c r="C2035" i="1"/>
  <c r="C2036" i="1"/>
  <c r="C2038" i="1"/>
  <c r="C2039" i="1"/>
  <c r="C2040" i="1"/>
  <c r="C2041" i="1"/>
  <c r="C2042" i="1"/>
  <c r="C2043" i="1"/>
  <c r="C2044" i="1"/>
  <c r="C2045" i="1"/>
  <c r="C2046" i="1"/>
  <c r="C2047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3" i="1"/>
  <c r="C2194" i="1"/>
  <c r="C2195" i="1"/>
  <c r="C2196" i="1"/>
  <c r="C2197" i="1"/>
  <c r="C2199" i="1"/>
  <c r="C2200" i="1"/>
  <c r="C2201" i="1"/>
  <c r="C2202" i="1"/>
  <c r="C2203" i="1"/>
  <c r="C2204" i="1"/>
  <c r="C2205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1" i="1"/>
  <c r="C2222" i="1"/>
  <c r="C2223" i="1"/>
  <c r="C2224" i="1"/>
  <c r="C2225" i="1"/>
  <c r="C2226" i="1"/>
  <c r="C2227" i="1"/>
  <c r="C2228" i="1"/>
  <c r="C2229" i="1"/>
  <c r="C2230" i="1"/>
  <c r="C2232" i="1"/>
  <c r="C2233" i="1"/>
  <c r="C2235" i="1"/>
  <c r="C2236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3" i="1"/>
  <c r="C2254" i="1"/>
  <c r="C2255" i="1"/>
  <c r="C2256" i="1"/>
  <c r="C2257" i="1"/>
  <c r="C2258" i="1"/>
  <c r="C2259" i="1"/>
  <c r="C2260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8" i="1"/>
  <c r="C2299" i="1"/>
  <c r="C2300" i="1"/>
  <c r="C2301" i="1"/>
  <c r="C2302" i="1"/>
  <c r="C2303" i="1"/>
  <c r="C2304" i="1"/>
  <c r="C2305" i="1"/>
  <c r="C2306" i="1"/>
  <c r="C2307" i="1"/>
  <c r="C2308" i="1"/>
  <c r="C2310" i="1"/>
  <c r="C2311" i="1"/>
  <c r="C2312" i="1"/>
  <c r="C2313" i="1"/>
  <c r="C2314" i="1"/>
  <c r="C2315" i="1"/>
  <c r="C2316" i="1"/>
  <c r="C2317" i="1"/>
  <c r="C2318" i="1"/>
  <c r="C2319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40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2" i="1"/>
  <c r="C2364" i="1"/>
  <c r="C2365" i="1"/>
  <c r="C2366" i="1"/>
  <c r="C2367" i="1"/>
  <c r="C2368" i="1"/>
  <c r="C2369" i="1"/>
  <c r="C2370" i="1"/>
  <c r="C2371" i="1"/>
  <c r="C2372" i="1"/>
  <c r="C2375" i="1"/>
  <c r="C2376" i="1"/>
  <c r="C2377" i="1"/>
  <c r="C2378" i="1"/>
  <c r="C2380" i="1"/>
  <c r="C2381" i="1"/>
  <c r="C2382" i="1"/>
  <c r="C2383" i="1"/>
  <c r="C2384" i="1"/>
  <c r="C2385" i="1"/>
  <c r="C2386" i="1"/>
  <c r="C2387" i="1"/>
  <c r="C2389" i="1"/>
  <c r="C2390" i="1"/>
  <c r="C2391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20" i="1"/>
  <c r="C2421" i="1"/>
  <c r="C2422" i="1"/>
  <c r="C2423" i="1"/>
  <c r="C2424" i="1"/>
  <c r="C2425" i="1"/>
  <c r="C2426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6" i="1"/>
  <c r="C2527" i="1"/>
  <c r="C2529" i="1"/>
  <c r="C2530" i="1"/>
  <c r="C2531" i="1"/>
  <c r="C2533" i="1"/>
  <c r="C2534" i="1"/>
  <c r="C2535" i="1"/>
  <c r="C2536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8" i="1"/>
  <c r="C2579" i="1"/>
  <c r="C2580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3" i="1"/>
  <c r="C2774" i="1"/>
  <c r="C2775" i="1"/>
  <c r="C2776" i="1"/>
  <c r="C2777" i="1"/>
  <c r="C2778" i="1"/>
  <c r="C2779" i="1"/>
  <c r="C2780" i="1"/>
  <c r="C2781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3" i="1"/>
  <c r="C2984" i="1"/>
  <c r="C2985" i="1"/>
  <c r="C2986" i="1"/>
  <c r="C2987" i="1"/>
  <c r="C2988" i="1"/>
  <c r="C2989" i="1"/>
  <c r="C2990" i="1"/>
  <c r="C2991" i="1"/>
  <c r="C2992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6" i="1"/>
  <c r="C3017" i="1"/>
  <c r="C3018" i="1"/>
  <c r="C3019" i="1"/>
  <c r="C3020" i="1"/>
  <c r="C3021" i="1"/>
  <c r="C3022" i="1"/>
  <c r="C3023" i="1"/>
  <c r="C3024" i="1"/>
  <c r="C3025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2" i="1"/>
  <c r="C3073" i="1"/>
  <c r="C3075" i="1"/>
  <c r="C3076" i="1"/>
  <c r="C3077" i="1"/>
  <c r="C3078" i="1"/>
  <c r="C3079" i="1"/>
  <c r="C3080" i="1"/>
  <c r="C3082" i="1"/>
  <c r="C3083" i="1"/>
  <c r="C3084" i="1"/>
  <c r="C3085" i="1"/>
  <c r="C3086" i="1"/>
  <c r="C3087" i="1"/>
  <c r="C3088" i="1"/>
  <c r="C3090" i="1"/>
  <c r="C3091" i="1"/>
  <c r="C3092" i="1"/>
  <c r="C3093" i="1"/>
  <c r="C3094" i="1"/>
  <c r="C3095" i="1"/>
  <c r="C3096" i="1"/>
  <c r="C3097" i="1"/>
  <c r="C3098" i="1"/>
  <c r="C3099" i="1"/>
  <c r="C3100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2" i="1"/>
  <c r="C3203" i="1"/>
  <c r="C3204" i="1"/>
  <c r="C3205" i="1"/>
  <c r="C3206" i="1"/>
  <c r="C2" i="1"/>
  <c r="CE3" i="1"/>
  <c r="CE4" i="1"/>
  <c r="CE5" i="1"/>
  <c r="CE6" i="1"/>
  <c r="CE7" i="1"/>
  <c r="CE8" i="1"/>
  <c r="CE9" i="1"/>
  <c r="CE10" i="1"/>
  <c r="CE11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104" i="1"/>
  <c r="CE105" i="1"/>
  <c r="CE106" i="1"/>
  <c r="CE107" i="1"/>
  <c r="CE108" i="1"/>
  <c r="CE109" i="1"/>
  <c r="CE110" i="1"/>
  <c r="CE111" i="1"/>
  <c r="CE112" i="1"/>
  <c r="CE113" i="1"/>
  <c r="CE114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8" i="1"/>
  <c r="CE139" i="1"/>
  <c r="CE140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164" i="1"/>
  <c r="CE165" i="1"/>
  <c r="CE166" i="1"/>
  <c r="CE167" i="1"/>
  <c r="CE168" i="1"/>
  <c r="CE169" i="1"/>
  <c r="CE170" i="1"/>
  <c r="CE171" i="1"/>
  <c r="CE172" i="1"/>
  <c r="CE173" i="1"/>
  <c r="CE174" i="1"/>
  <c r="CE175" i="1"/>
  <c r="CE176" i="1"/>
  <c r="CE177" i="1"/>
  <c r="CE178" i="1"/>
  <c r="CE179" i="1"/>
  <c r="CE180" i="1"/>
  <c r="CE181" i="1"/>
  <c r="CE182" i="1"/>
  <c r="CE183" i="1"/>
  <c r="CE184" i="1"/>
  <c r="CE185" i="1"/>
  <c r="CE186" i="1"/>
  <c r="CE187" i="1"/>
  <c r="CE188" i="1"/>
  <c r="CE189" i="1"/>
  <c r="CE190" i="1"/>
  <c r="CE191" i="1"/>
  <c r="CE192" i="1"/>
  <c r="CE193" i="1"/>
  <c r="CE194" i="1"/>
  <c r="CE195" i="1"/>
  <c r="CE196" i="1"/>
  <c r="CE197" i="1"/>
  <c r="CE198" i="1"/>
  <c r="CE199" i="1"/>
  <c r="CE200" i="1"/>
  <c r="CE201" i="1"/>
  <c r="CE202" i="1"/>
  <c r="CE203" i="1"/>
  <c r="CE204" i="1"/>
  <c r="CE205" i="1"/>
  <c r="CE206" i="1"/>
  <c r="CE282" i="1"/>
  <c r="CE283" i="1"/>
  <c r="CE284" i="1"/>
  <c r="CE285" i="1"/>
  <c r="CE286" i="1"/>
  <c r="CE287" i="1"/>
  <c r="CE288" i="1"/>
  <c r="CE289" i="1"/>
  <c r="CE290" i="1"/>
  <c r="CE291" i="1"/>
  <c r="CE292" i="1"/>
  <c r="CE293" i="1"/>
  <c r="CE294" i="1"/>
  <c r="CE295" i="1"/>
  <c r="CE296" i="1"/>
  <c r="CE297" i="1"/>
  <c r="CE298" i="1"/>
  <c r="CE299" i="1"/>
  <c r="CE300" i="1"/>
  <c r="CE301" i="1"/>
  <c r="CE302" i="1"/>
  <c r="CE303" i="1"/>
  <c r="CE304" i="1"/>
  <c r="CE305" i="1"/>
  <c r="CE306" i="1"/>
  <c r="CE307" i="1"/>
  <c r="CE308" i="1"/>
  <c r="CE309" i="1"/>
  <c r="CE310" i="1"/>
  <c r="CE311" i="1"/>
  <c r="CE312" i="1"/>
  <c r="CE313" i="1"/>
  <c r="CE314" i="1"/>
  <c r="CE315" i="1"/>
  <c r="CE316" i="1"/>
  <c r="CE317" i="1"/>
  <c r="CE318" i="1"/>
  <c r="CE319" i="1"/>
  <c r="CE320" i="1"/>
  <c r="CE321" i="1"/>
  <c r="CE322" i="1"/>
  <c r="CE323" i="1"/>
  <c r="CE324" i="1"/>
  <c r="CE325" i="1"/>
  <c r="CE326" i="1"/>
  <c r="CE327" i="1"/>
  <c r="CE328" i="1"/>
  <c r="CE329" i="1"/>
  <c r="CE330" i="1"/>
  <c r="CE331" i="1"/>
  <c r="CE332" i="1"/>
  <c r="CE333" i="1"/>
  <c r="CE334" i="1"/>
  <c r="CE335" i="1"/>
  <c r="CE336" i="1"/>
  <c r="CE337" i="1"/>
  <c r="CE338" i="1"/>
  <c r="CE339" i="1"/>
  <c r="CE341" i="1"/>
  <c r="CE342" i="1"/>
  <c r="CE343" i="1"/>
  <c r="CE344" i="1"/>
  <c r="CE345" i="1"/>
  <c r="CE346" i="1"/>
  <c r="CE347" i="1"/>
  <c r="CE348" i="1"/>
  <c r="CE349" i="1"/>
  <c r="CE350" i="1"/>
  <c r="CE351" i="1"/>
  <c r="CE352" i="1"/>
  <c r="CE353" i="1"/>
  <c r="CE354" i="1"/>
  <c r="CE355" i="1"/>
  <c r="CE356" i="1"/>
  <c r="CE357" i="1"/>
  <c r="CE358" i="1"/>
  <c r="CE359" i="1"/>
  <c r="CE360" i="1"/>
  <c r="CE361" i="1"/>
  <c r="CE362" i="1"/>
  <c r="CE363" i="1"/>
  <c r="CE364" i="1"/>
  <c r="CE365" i="1"/>
  <c r="CE366" i="1"/>
  <c r="CE367" i="1"/>
  <c r="CE368" i="1"/>
  <c r="CE369" i="1"/>
  <c r="CE370" i="1"/>
  <c r="CE371" i="1"/>
  <c r="CE372" i="1"/>
  <c r="CE373" i="1"/>
  <c r="CE374" i="1"/>
  <c r="CE375" i="1"/>
  <c r="CE376" i="1"/>
  <c r="CE377" i="1"/>
  <c r="CE378" i="1"/>
  <c r="CE379" i="1"/>
  <c r="CE380" i="1"/>
  <c r="CE381" i="1"/>
  <c r="CE382" i="1"/>
  <c r="CE383" i="1"/>
  <c r="CE384" i="1"/>
  <c r="CE385" i="1"/>
  <c r="CE386" i="1"/>
  <c r="CE387" i="1"/>
  <c r="CE388" i="1"/>
  <c r="CE389" i="1"/>
  <c r="CE390" i="1"/>
  <c r="CE391" i="1"/>
  <c r="CE392" i="1"/>
  <c r="CE393" i="1"/>
  <c r="CE394" i="1"/>
  <c r="CE395" i="1"/>
  <c r="CE396" i="1"/>
  <c r="CE397" i="1"/>
  <c r="CE398" i="1"/>
  <c r="CE399" i="1"/>
  <c r="CE400" i="1"/>
  <c r="CE401" i="1"/>
  <c r="CE402" i="1"/>
  <c r="CE403" i="1"/>
  <c r="CE404" i="1"/>
  <c r="CE405" i="1"/>
  <c r="CE406" i="1"/>
  <c r="CE407" i="1"/>
  <c r="CE408" i="1"/>
  <c r="CE409" i="1"/>
  <c r="CE410" i="1"/>
  <c r="CE411" i="1"/>
  <c r="CE412" i="1"/>
  <c r="CE413" i="1"/>
  <c r="CE414" i="1"/>
  <c r="CE415" i="1"/>
  <c r="CE416" i="1"/>
  <c r="CE417" i="1"/>
  <c r="CE418" i="1"/>
  <c r="CE419" i="1"/>
  <c r="CE420" i="1"/>
  <c r="CE421" i="1"/>
  <c r="CE422" i="1"/>
  <c r="CE423" i="1"/>
  <c r="CE424" i="1"/>
  <c r="CE425" i="1"/>
  <c r="CE426" i="1"/>
  <c r="CE427" i="1"/>
  <c r="CE428" i="1"/>
  <c r="CE429" i="1"/>
  <c r="CE430" i="1"/>
  <c r="CE431" i="1"/>
  <c r="CE432" i="1"/>
  <c r="CE433" i="1"/>
  <c r="CE434" i="1"/>
  <c r="CE435" i="1"/>
  <c r="CE436" i="1"/>
  <c r="CE437" i="1"/>
  <c r="CE438" i="1"/>
  <c r="CE439" i="1"/>
  <c r="CE440" i="1"/>
  <c r="CE441" i="1"/>
  <c r="CE442" i="1"/>
  <c r="CE443" i="1"/>
  <c r="CE444" i="1"/>
  <c r="CE445" i="1"/>
  <c r="CE446" i="1"/>
  <c r="CE447" i="1"/>
  <c r="CE448" i="1"/>
  <c r="CE449" i="1"/>
  <c r="CE450" i="1"/>
  <c r="CE451" i="1"/>
  <c r="CE452" i="1"/>
  <c r="CE453" i="1"/>
  <c r="CE454" i="1"/>
  <c r="CE455" i="1"/>
  <c r="CE456" i="1"/>
  <c r="CE457" i="1"/>
  <c r="CE458" i="1"/>
  <c r="CE459" i="1"/>
  <c r="CE460" i="1"/>
  <c r="CE461" i="1"/>
  <c r="CE462" i="1"/>
  <c r="CE463" i="1"/>
  <c r="CE465" i="1"/>
  <c r="CE466" i="1"/>
  <c r="CE467" i="1"/>
  <c r="CE468" i="1"/>
  <c r="CE469" i="1"/>
  <c r="CE470" i="1"/>
  <c r="CE471" i="1"/>
  <c r="CE472" i="1"/>
  <c r="CE473" i="1"/>
  <c r="CE474" i="1"/>
  <c r="CE475" i="1"/>
  <c r="CE476" i="1"/>
  <c r="CE477" i="1"/>
  <c r="CE479" i="1"/>
  <c r="CE480" i="1"/>
  <c r="CE481" i="1"/>
  <c r="CE482" i="1"/>
  <c r="CE483" i="1"/>
  <c r="CE484" i="1"/>
  <c r="CE485" i="1"/>
  <c r="CE486" i="1"/>
  <c r="CE487" i="1"/>
  <c r="CE488" i="1"/>
  <c r="CE489" i="1"/>
  <c r="CE490" i="1"/>
  <c r="CE491" i="1"/>
  <c r="CE492" i="1"/>
  <c r="CE493" i="1"/>
  <c r="CE494" i="1"/>
  <c r="CE495" i="1"/>
  <c r="CE496" i="1"/>
  <c r="CE497" i="1"/>
  <c r="CE498" i="1"/>
  <c r="CE499" i="1"/>
  <c r="CE500" i="1"/>
  <c r="CE501" i="1"/>
  <c r="CE502" i="1"/>
  <c r="CE503" i="1"/>
  <c r="CE504" i="1"/>
  <c r="CE505" i="1"/>
  <c r="CE506" i="1"/>
  <c r="CE507" i="1"/>
  <c r="CE508" i="1"/>
  <c r="CE509" i="1"/>
  <c r="CE510" i="1"/>
  <c r="CE511" i="1"/>
  <c r="CE512" i="1"/>
  <c r="CE513" i="1"/>
  <c r="CE515" i="1"/>
  <c r="CE516" i="1"/>
  <c r="CE517" i="1"/>
  <c r="CE518" i="1"/>
  <c r="CE519" i="1"/>
  <c r="CE520" i="1"/>
  <c r="CE521" i="1"/>
  <c r="CE522" i="1"/>
  <c r="CE523" i="1"/>
  <c r="CE524" i="1"/>
  <c r="CE525" i="1"/>
  <c r="CE526" i="1"/>
  <c r="CE527" i="1"/>
  <c r="CE528" i="1"/>
  <c r="CE529" i="1"/>
  <c r="CE530" i="1"/>
  <c r="CE531" i="1"/>
  <c r="CE532" i="1"/>
  <c r="CE533" i="1"/>
  <c r="CE534" i="1"/>
  <c r="CE535" i="1"/>
  <c r="CE536" i="1"/>
  <c r="CE537" i="1"/>
  <c r="CE538" i="1"/>
  <c r="CE539" i="1"/>
  <c r="CE540" i="1"/>
  <c r="CE541" i="1"/>
  <c r="CE542" i="1"/>
  <c r="CE543" i="1"/>
  <c r="CE544" i="1"/>
  <c r="CE545" i="1"/>
  <c r="CE546" i="1"/>
  <c r="CE547" i="1"/>
  <c r="CE548" i="1"/>
  <c r="CE549" i="1"/>
  <c r="CE550" i="1"/>
  <c r="CE551" i="1"/>
  <c r="CE552" i="1"/>
  <c r="CE553" i="1"/>
  <c r="CE554" i="1"/>
  <c r="CE555" i="1"/>
  <c r="CE556" i="1"/>
  <c r="CE557" i="1"/>
  <c r="CE558" i="1"/>
  <c r="CE559" i="1"/>
  <c r="CE560" i="1"/>
  <c r="CE561" i="1"/>
  <c r="CE562" i="1"/>
  <c r="CE563" i="1"/>
  <c r="CE564" i="1"/>
  <c r="CE565" i="1"/>
  <c r="CE566" i="1"/>
  <c r="CE567" i="1"/>
  <c r="CE568" i="1"/>
  <c r="CE569" i="1"/>
  <c r="CE570" i="1"/>
  <c r="CE571" i="1"/>
  <c r="CE572" i="1"/>
  <c r="CE573" i="1"/>
  <c r="CE574" i="1"/>
  <c r="CE575" i="1"/>
  <c r="CE576" i="1"/>
  <c r="CE577" i="1"/>
  <c r="CE578" i="1"/>
  <c r="CE579" i="1"/>
  <c r="CE580" i="1"/>
  <c r="CE581" i="1"/>
  <c r="CE582" i="1"/>
  <c r="CE583" i="1"/>
  <c r="CE584" i="1"/>
  <c r="CE585" i="1"/>
  <c r="CE586" i="1"/>
  <c r="CE587" i="1"/>
  <c r="CE588" i="1"/>
  <c r="CE589" i="1"/>
  <c r="CE590" i="1"/>
  <c r="CE591" i="1"/>
  <c r="CE592" i="1"/>
  <c r="CE593" i="1"/>
  <c r="CE594" i="1"/>
  <c r="CE595" i="1"/>
  <c r="CE596" i="1"/>
  <c r="CE597" i="1"/>
  <c r="CE598" i="1"/>
  <c r="CE599" i="1"/>
  <c r="CE600" i="1"/>
  <c r="CE601" i="1"/>
  <c r="CE602" i="1"/>
  <c r="CE603" i="1"/>
  <c r="CE604" i="1"/>
  <c r="CE605" i="1"/>
  <c r="CE606" i="1"/>
  <c r="CE607" i="1"/>
  <c r="CE608" i="1"/>
  <c r="CE609" i="1"/>
  <c r="CE611" i="1"/>
  <c r="CE612" i="1"/>
  <c r="CE614" i="1"/>
  <c r="CE615" i="1"/>
  <c r="CE616" i="1"/>
  <c r="CE617" i="1"/>
  <c r="CE618" i="1"/>
  <c r="CE619" i="1"/>
  <c r="CE620" i="1"/>
  <c r="CE621" i="1"/>
  <c r="CE622" i="1"/>
  <c r="CE623" i="1"/>
  <c r="CE624" i="1"/>
  <c r="CE625" i="1"/>
  <c r="CE626" i="1"/>
  <c r="CE627" i="1"/>
  <c r="CE628" i="1"/>
  <c r="CE629" i="1"/>
  <c r="CE630" i="1"/>
  <c r="CE631" i="1"/>
  <c r="CE632" i="1"/>
  <c r="CE633" i="1"/>
  <c r="CE634" i="1"/>
  <c r="CE635" i="1"/>
  <c r="CE636" i="1"/>
  <c r="CE637" i="1"/>
  <c r="CE638" i="1"/>
  <c r="CE639" i="1"/>
  <c r="CE640" i="1"/>
  <c r="CE641" i="1"/>
  <c r="CE642" i="1"/>
  <c r="CE643" i="1"/>
  <c r="CE644" i="1"/>
  <c r="CE645" i="1"/>
  <c r="CE646" i="1"/>
  <c r="CE647" i="1"/>
  <c r="CE648" i="1"/>
  <c r="CE649" i="1"/>
  <c r="CE650" i="1"/>
  <c r="CE651" i="1"/>
  <c r="CE652" i="1"/>
  <c r="CE653" i="1"/>
  <c r="CE654" i="1"/>
  <c r="CE655" i="1"/>
  <c r="CE656" i="1"/>
  <c r="CE657" i="1"/>
  <c r="CE658" i="1"/>
  <c r="CE659" i="1"/>
  <c r="CE660" i="1"/>
  <c r="CE661" i="1"/>
  <c r="CE662" i="1"/>
  <c r="CE663" i="1"/>
  <c r="CE664" i="1"/>
  <c r="CE665" i="1"/>
  <c r="CE666" i="1"/>
  <c r="CE667" i="1"/>
  <c r="CE668" i="1"/>
  <c r="CE669" i="1"/>
  <c r="CE670" i="1"/>
  <c r="CE671" i="1"/>
  <c r="CE672" i="1"/>
  <c r="CE673" i="1"/>
  <c r="CE674" i="1"/>
  <c r="CE675" i="1"/>
  <c r="CE676" i="1"/>
  <c r="CE677" i="1"/>
  <c r="CE678" i="1"/>
  <c r="CE679" i="1"/>
  <c r="CE680" i="1"/>
  <c r="CE681" i="1"/>
  <c r="CE682" i="1"/>
  <c r="CE683" i="1"/>
  <c r="CE684" i="1"/>
  <c r="CE685" i="1"/>
  <c r="CE686" i="1"/>
  <c r="CE687" i="1"/>
  <c r="CE688" i="1"/>
  <c r="CE689" i="1"/>
  <c r="CE690" i="1"/>
  <c r="CE691" i="1"/>
  <c r="CE692" i="1"/>
  <c r="CE693" i="1"/>
  <c r="CE694" i="1"/>
  <c r="CE695" i="1"/>
  <c r="CE696" i="1"/>
  <c r="CE697" i="1"/>
  <c r="CE698" i="1"/>
  <c r="CE699" i="1"/>
  <c r="CE700" i="1"/>
  <c r="CE701" i="1"/>
  <c r="CE702" i="1"/>
  <c r="CE703" i="1"/>
  <c r="CE704" i="1"/>
  <c r="CE705" i="1"/>
  <c r="CE706" i="1"/>
  <c r="CE707" i="1"/>
  <c r="CE708" i="1"/>
  <c r="CE709" i="1"/>
  <c r="CE710" i="1"/>
  <c r="CE711" i="1"/>
  <c r="CE712" i="1"/>
  <c r="CE713" i="1"/>
  <c r="CE714" i="1"/>
  <c r="CE715" i="1"/>
  <c r="CE716" i="1"/>
  <c r="CE717" i="1"/>
  <c r="CE718" i="1"/>
  <c r="CE719" i="1"/>
  <c r="CE720" i="1"/>
  <c r="CE721" i="1"/>
  <c r="CE722" i="1"/>
  <c r="CE723" i="1"/>
  <c r="CE724" i="1"/>
  <c r="CE725" i="1"/>
  <c r="CE726" i="1"/>
  <c r="CE727" i="1"/>
  <c r="CE728" i="1"/>
  <c r="CE729" i="1"/>
  <c r="CE730" i="1"/>
  <c r="CE731" i="1"/>
  <c r="CE732" i="1"/>
  <c r="CE733" i="1"/>
  <c r="CE734" i="1"/>
  <c r="CE735" i="1"/>
  <c r="CE736" i="1"/>
  <c r="CE737" i="1"/>
  <c r="CE738" i="1"/>
  <c r="CE739" i="1"/>
  <c r="CE740" i="1"/>
  <c r="CE741" i="1"/>
  <c r="CE742" i="1"/>
  <c r="CE743" i="1"/>
  <c r="CE744" i="1"/>
  <c r="CE745" i="1"/>
  <c r="CE746" i="1"/>
  <c r="CE747" i="1"/>
  <c r="CE748" i="1"/>
  <c r="CE749" i="1"/>
  <c r="CE750" i="1"/>
  <c r="CE751" i="1"/>
  <c r="CE752" i="1"/>
  <c r="CE753" i="1"/>
  <c r="CE754" i="1"/>
  <c r="CE755" i="1"/>
  <c r="CE756" i="1"/>
  <c r="CE757" i="1"/>
  <c r="CE758" i="1"/>
  <c r="CE759" i="1"/>
  <c r="CE760" i="1"/>
  <c r="CE761" i="1"/>
  <c r="CE762" i="1"/>
  <c r="CE763" i="1"/>
  <c r="CE764" i="1"/>
  <c r="CE765" i="1"/>
  <c r="CE766" i="1"/>
  <c r="CE767" i="1"/>
  <c r="CE768" i="1"/>
  <c r="CE769" i="1"/>
  <c r="CE770" i="1"/>
  <c r="CE771" i="1"/>
  <c r="CE772" i="1"/>
  <c r="CE773" i="1"/>
  <c r="CE774" i="1"/>
  <c r="CE775" i="1"/>
  <c r="CE776" i="1"/>
  <c r="CE777" i="1"/>
  <c r="CE778" i="1"/>
  <c r="CE779" i="1"/>
  <c r="CE780" i="1"/>
  <c r="CE782" i="1"/>
  <c r="CE783" i="1"/>
  <c r="CE784" i="1"/>
  <c r="CE785" i="1"/>
  <c r="CE786" i="1"/>
  <c r="CE787" i="1"/>
  <c r="CE788" i="1"/>
  <c r="CE789" i="1"/>
  <c r="CE790" i="1"/>
  <c r="CE791" i="1"/>
  <c r="CE792" i="1"/>
  <c r="CE793" i="1"/>
  <c r="CE794" i="1"/>
  <c r="CE795" i="1"/>
  <c r="CE796" i="1"/>
  <c r="CE797" i="1"/>
  <c r="CE798" i="1"/>
  <c r="CE799" i="1"/>
  <c r="CE800" i="1"/>
  <c r="CE801" i="1"/>
  <c r="CE802" i="1"/>
  <c r="CE803" i="1"/>
  <c r="CE804" i="1"/>
  <c r="CE805" i="1"/>
  <c r="CE806" i="1"/>
  <c r="CE807" i="1"/>
  <c r="CE808" i="1"/>
  <c r="CE809" i="1"/>
  <c r="CE810" i="1"/>
  <c r="CE811" i="1"/>
  <c r="CE812" i="1"/>
  <c r="CE813" i="1"/>
  <c r="CE814" i="1"/>
  <c r="CE815" i="1"/>
  <c r="CE816" i="1"/>
  <c r="CE817" i="1"/>
  <c r="CE818" i="1"/>
  <c r="CE819" i="1"/>
  <c r="CE820" i="1"/>
  <c r="CE821" i="1"/>
  <c r="CE822" i="1"/>
  <c r="CE823" i="1"/>
  <c r="CE824" i="1"/>
  <c r="CE825" i="1"/>
  <c r="CE826" i="1"/>
  <c r="CE827" i="1"/>
  <c r="CE828" i="1"/>
  <c r="CE829" i="1"/>
  <c r="CE830" i="1"/>
  <c r="CE831" i="1"/>
  <c r="CE832" i="1"/>
  <c r="CE833" i="1"/>
  <c r="CE834" i="1"/>
  <c r="CE835" i="1"/>
  <c r="CE836" i="1"/>
  <c r="CE837" i="1"/>
  <c r="CE838" i="1"/>
  <c r="CE840" i="1"/>
  <c r="CE841" i="1"/>
  <c r="CE842" i="1"/>
  <c r="CE843" i="1"/>
  <c r="CE844" i="1"/>
  <c r="CE845" i="1"/>
  <c r="CE846" i="1"/>
  <c r="CE847" i="1"/>
  <c r="CE848" i="1"/>
  <c r="CE849" i="1"/>
  <c r="CE850" i="1"/>
  <c r="CE851" i="1"/>
  <c r="CE852" i="1"/>
  <c r="CE853" i="1"/>
  <c r="CE854" i="1"/>
  <c r="CE855" i="1"/>
  <c r="CE856" i="1"/>
  <c r="CE857" i="1"/>
  <c r="CE858" i="1"/>
  <c r="CE859" i="1"/>
  <c r="CE860" i="1"/>
  <c r="CE861" i="1"/>
  <c r="CE862" i="1"/>
  <c r="CE863" i="1"/>
  <c r="CE864" i="1"/>
  <c r="CE865" i="1"/>
  <c r="CE866" i="1"/>
  <c r="CE867" i="1"/>
  <c r="CE868" i="1"/>
  <c r="CE869" i="1"/>
  <c r="CE870" i="1"/>
  <c r="CE871" i="1"/>
  <c r="CE872" i="1"/>
  <c r="CE873" i="1"/>
  <c r="CE874" i="1"/>
  <c r="CE875" i="1"/>
  <c r="CE876" i="1"/>
  <c r="CE877" i="1"/>
  <c r="CE878" i="1"/>
  <c r="CE879" i="1"/>
  <c r="CE880" i="1"/>
  <c r="CE881" i="1"/>
  <c r="CE882" i="1"/>
  <c r="CE883" i="1"/>
  <c r="CE884" i="1"/>
  <c r="CE885" i="1"/>
  <c r="CE886" i="1"/>
  <c r="CE887" i="1"/>
  <c r="CE888" i="1"/>
  <c r="CE889" i="1"/>
  <c r="CE890" i="1"/>
  <c r="CE891" i="1"/>
  <c r="CE892" i="1"/>
  <c r="CE893" i="1"/>
  <c r="CE894" i="1"/>
  <c r="CE895" i="1"/>
  <c r="CE896" i="1"/>
  <c r="CE897" i="1"/>
  <c r="CE898" i="1"/>
  <c r="CE899" i="1"/>
  <c r="CE900" i="1"/>
  <c r="CE901" i="1"/>
  <c r="CE902" i="1"/>
  <c r="CE903" i="1"/>
  <c r="CE904" i="1"/>
  <c r="CE905" i="1"/>
  <c r="CE906" i="1"/>
  <c r="CE907" i="1"/>
  <c r="CE908" i="1"/>
  <c r="CE909" i="1"/>
  <c r="CE910" i="1"/>
  <c r="CE911" i="1"/>
  <c r="CE912" i="1"/>
  <c r="CE913" i="1"/>
  <c r="CE914" i="1"/>
  <c r="CE915" i="1"/>
  <c r="CE916" i="1"/>
  <c r="CE917" i="1"/>
  <c r="CE918" i="1"/>
  <c r="CE919" i="1"/>
  <c r="CE921" i="1"/>
  <c r="CE922" i="1"/>
  <c r="CE923" i="1"/>
  <c r="CE924" i="1"/>
  <c r="CE925" i="1"/>
  <c r="CE926" i="1"/>
  <c r="CE927" i="1"/>
  <c r="CE928" i="1"/>
  <c r="CE929" i="1"/>
  <c r="CE930" i="1"/>
  <c r="CE931" i="1"/>
  <c r="CE932" i="1"/>
  <c r="CE933" i="1"/>
  <c r="CE934" i="1"/>
  <c r="CE935" i="1"/>
  <c r="CE936" i="1"/>
  <c r="CE937" i="1"/>
  <c r="CE938" i="1"/>
  <c r="CE939" i="1"/>
  <c r="CE940" i="1"/>
  <c r="CE942" i="1"/>
  <c r="CE943" i="1"/>
  <c r="CE944" i="1"/>
  <c r="CE945" i="1"/>
  <c r="CE946" i="1"/>
  <c r="CE947" i="1"/>
  <c r="CE948" i="1"/>
  <c r="CE949" i="1"/>
  <c r="CE950" i="1"/>
  <c r="CE951" i="1"/>
  <c r="CE952" i="1"/>
  <c r="CE953" i="1"/>
  <c r="CE954" i="1"/>
  <c r="CE955" i="1"/>
  <c r="CE956" i="1"/>
  <c r="CE957" i="1"/>
  <c r="CE958" i="1"/>
  <c r="CE959" i="1"/>
  <c r="CE960" i="1"/>
  <c r="CE961" i="1"/>
  <c r="CE962" i="1"/>
  <c r="CE963" i="1"/>
  <c r="CE964" i="1"/>
  <c r="CE965" i="1"/>
  <c r="CE966" i="1"/>
  <c r="CE967" i="1"/>
  <c r="CE968" i="1"/>
  <c r="CE969" i="1"/>
  <c r="CE970" i="1"/>
  <c r="CE971" i="1"/>
  <c r="CE972" i="1"/>
  <c r="CE973" i="1"/>
  <c r="CE974" i="1"/>
  <c r="CE975" i="1"/>
  <c r="CE976" i="1"/>
  <c r="CE977" i="1"/>
  <c r="CE978" i="1"/>
  <c r="CE979" i="1"/>
  <c r="CE980" i="1"/>
  <c r="CE981" i="1"/>
  <c r="CE982" i="1"/>
  <c r="CE983" i="1"/>
  <c r="CE984" i="1"/>
  <c r="CE985" i="1"/>
  <c r="CE986" i="1"/>
  <c r="CE987" i="1"/>
  <c r="CE988" i="1"/>
  <c r="CE989" i="1"/>
  <c r="CE990" i="1"/>
  <c r="CE991" i="1"/>
  <c r="CE992" i="1"/>
  <c r="CE993" i="1"/>
  <c r="CE994" i="1"/>
  <c r="CE995" i="1"/>
  <c r="CE996" i="1"/>
  <c r="CE997" i="1"/>
  <c r="CE998" i="1"/>
  <c r="CE999" i="1"/>
  <c r="CE1000" i="1"/>
  <c r="CE1001" i="1"/>
  <c r="CE1002" i="1"/>
  <c r="CE1003" i="1"/>
  <c r="CE1004" i="1"/>
  <c r="CE1005" i="1"/>
  <c r="CE1006" i="1"/>
  <c r="CE1007" i="1"/>
  <c r="CE1008" i="1"/>
  <c r="CE1009" i="1"/>
  <c r="CE1010" i="1"/>
  <c r="CE1011" i="1"/>
  <c r="CE1012" i="1"/>
  <c r="CE1013" i="1"/>
  <c r="CE1014" i="1"/>
  <c r="CE1015" i="1"/>
  <c r="CE1016" i="1"/>
  <c r="CE1017" i="1"/>
  <c r="CE1018" i="1"/>
  <c r="CE1019" i="1"/>
  <c r="CE1020" i="1"/>
  <c r="CE1021" i="1"/>
  <c r="CE1022" i="1"/>
  <c r="CE1023" i="1"/>
  <c r="CE1024" i="1"/>
  <c r="CE1025" i="1"/>
  <c r="CE1026" i="1"/>
  <c r="CE1027" i="1"/>
  <c r="CE1028" i="1"/>
  <c r="CE1029" i="1"/>
  <c r="CE1030" i="1"/>
  <c r="CE1031" i="1"/>
  <c r="CE1032" i="1"/>
  <c r="CE1033" i="1"/>
  <c r="CE1034" i="1"/>
  <c r="CE1035" i="1"/>
  <c r="CE1036" i="1"/>
  <c r="CE1037" i="1"/>
  <c r="CE1038" i="1"/>
  <c r="CE1039" i="1"/>
  <c r="CE1040" i="1"/>
  <c r="CE1042" i="1"/>
  <c r="CE1043" i="1"/>
  <c r="CE1044" i="1"/>
  <c r="CE1045" i="1"/>
  <c r="CE1046" i="1"/>
  <c r="CE1047" i="1"/>
  <c r="CE1048" i="1"/>
  <c r="CE1049" i="1"/>
  <c r="CE1050" i="1"/>
  <c r="CE1051" i="1"/>
  <c r="CE1052" i="1"/>
  <c r="CE1053" i="1"/>
  <c r="CE1055" i="1"/>
  <c r="CE1056" i="1"/>
  <c r="CE1057" i="1"/>
  <c r="CE1058" i="1"/>
  <c r="CE1059" i="1"/>
  <c r="CE1060" i="1"/>
  <c r="CE1061" i="1"/>
  <c r="CE1062" i="1"/>
  <c r="CE1063" i="1"/>
  <c r="CE1064" i="1"/>
  <c r="CE1065" i="1"/>
  <c r="CE1066" i="1"/>
  <c r="CE1067" i="1"/>
  <c r="CE1068" i="1"/>
  <c r="CE1069" i="1"/>
  <c r="CE1070" i="1"/>
  <c r="CE1071" i="1"/>
  <c r="CE1072" i="1"/>
  <c r="CE1073" i="1"/>
  <c r="CE1074" i="1"/>
  <c r="CE1075" i="1"/>
  <c r="CE1076" i="1"/>
  <c r="CE1077" i="1"/>
  <c r="CE1078" i="1"/>
  <c r="CE1079" i="1"/>
  <c r="CE1080" i="1"/>
  <c r="CE1081" i="1"/>
  <c r="CE1082" i="1"/>
  <c r="CE1083" i="1"/>
  <c r="CE1084" i="1"/>
  <c r="CE1085" i="1"/>
  <c r="CE1086" i="1"/>
  <c r="CE1087" i="1"/>
  <c r="CE1088" i="1"/>
  <c r="CE1089" i="1"/>
  <c r="CE1090" i="1"/>
  <c r="CE1091" i="1"/>
  <c r="CE1092" i="1"/>
  <c r="CE1093" i="1"/>
  <c r="CE1094" i="1"/>
  <c r="CE1095" i="1"/>
  <c r="CE1096" i="1"/>
  <c r="CE1097" i="1"/>
  <c r="CE1098" i="1"/>
  <c r="CE1099" i="1"/>
  <c r="CE1100" i="1"/>
  <c r="CE1101" i="1"/>
  <c r="CE1102" i="1"/>
  <c r="CE1103" i="1"/>
  <c r="CE1104" i="1"/>
  <c r="CE1105" i="1"/>
  <c r="CE1106" i="1"/>
  <c r="CE1107" i="1"/>
  <c r="CE1108" i="1"/>
  <c r="CE1109" i="1"/>
  <c r="CE1110" i="1"/>
  <c r="CE1111" i="1"/>
  <c r="CE1112" i="1"/>
  <c r="CE1113" i="1"/>
  <c r="CE1114" i="1"/>
  <c r="CE1115" i="1"/>
  <c r="CE1116" i="1"/>
  <c r="CE1117" i="1"/>
  <c r="CE1118" i="1"/>
  <c r="CE1119" i="1"/>
  <c r="CE1120" i="1"/>
  <c r="CE1121" i="1"/>
  <c r="CE1122" i="1"/>
  <c r="CE1123" i="1"/>
  <c r="CE1124" i="1"/>
  <c r="CE1125" i="1"/>
  <c r="CE1126" i="1"/>
  <c r="CE1127" i="1"/>
  <c r="CE1128" i="1"/>
  <c r="CE1129" i="1"/>
  <c r="CE1131" i="1"/>
  <c r="CE1132" i="1"/>
  <c r="CE1133" i="1"/>
  <c r="CE1134" i="1"/>
  <c r="CE1135" i="1"/>
  <c r="CE1136" i="1"/>
  <c r="CE1137" i="1"/>
  <c r="CE1138" i="1"/>
  <c r="CE1139" i="1"/>
  <c r="CE1140" i="1"/>
  <c r="CE1141" i="1"/>
  <c r="CE1142" i="1"/>
  <c r="CE1143" i="1"/>
  <c r="CE1144" i="1"/>
  <c r="CE1145" i="1"/>
  <c r="CE1146" i="1"/>
  <c r="CE1147" i="1"/>
  <c r="CE1148" i="1"/>
  <c r="CE1149" i="1"/>
  <c r="CE1150" i="1"/>
  <c r="CE1151" i="1"/>
  <c r="CE1152" i="1"/>
  <c r="CE1153" i="1"/>
  <c r="CE1154" i="1"/>
  <c r="CE1155" i="1"/>
  <c r="CE1156" i="1"/>
  <c r="CE1157" i="1"/>
  <c r="CE1158" i="1"/>
  <c r="CE1159" i="1"/>
  <c r="CE1160" i="1"/>
  <c r="CE1161" i="1"/>
  <c r="CE1162" i="1"/>
  <c r="CE1163" i="1"/>
  <c r="CE1164" i="1"/>
  <c r="CE1165" i="1"/>
  <c r="CE1166" i="1"/>
  <c r="CE1167" i="1"/>
  <c r="CE1168" i="1"/>
  <c r="CE1169" i="1"/>
  <c r="CE1170" i="1"/>
  <c r="CE1171" i="1"/>
  <c r="CE1172" i="1"/>
  <c r="CE1173" i="1"/>
  <c r="CE1174" i="1"/>
  <c r="CE1175" i="1"/>
  <c r="CE1176" i="1"/>
  <c r="CE1177" i="1"/>
  <c r="CE1178" i="1"/>
  <c r="CE1179" i="1"/>
  <c r="CE1181" i="1"/>
  <c r="CE1182" i="1"/>
  <c r="CE1183" i="1"/>
  <c r="CE1184" i="1"/>
  <c r="CE1185" i="1"/>
  <c r="CE1186" i="1"/>
  <c r="CE1187" i="1"/>
  <c r="CE1188" i="1"/>
  <c r="CE1189" i="1"/>
  <c r="CE1190" i="1"/>
  <c r="CE1191" i="1"/>
  <c r="CE1192" i="1"/>
  <c r="CE1193" i="1"/>
  <c r="CE1194" i="1"/>
  <c r="CE1195" i="1"/>
  <c r="CE1196" i="1"/>
  <c r="CE1197" i="1"/>
  <c r="CE1198" i="1"/>
  <c r="CE1199" i="1"/>
  <c r="CE1201" i="1"/>
  <c r="CE1204" i="1"/>
  <c r="CE1205" i="1"/>
  <c r="CE1206" i="1"/>
  <c r="CE1207" i="1"/>
  <c r="CE1208" i="1"/>
  <c r="CE1209" i="1"/>
  <c r="CE1210" i="1"/>
  <c r="CE1211" i="1"/>
  <c r="CE1212" i="1"/>
  <c r="CE1213" i="1"/>
  <c r="CE1214" i="1"/>
  <c r="CE1215" i="1"/>
  <c r="CE1216" i="1"/>
  <c r="CE1217" i="1"/>
  <c r="CE1218" i="1"/>
  <c r="CE1219" i="1"/>
  <c r="CE1220" i="1"/>
  <c r="CE1221" i="1"/>
  <c r="CE1222" i="1"/>
  <c r="CE1223" i="1"/>
  <c r="CE1224" i="1"/>
  <c r="CE1225" i="1"/>
  <c r="CE1226" i="1"/>
  <c r="CE1227" i="1"/>
  <c r="CE1228" i="1"/>
  <c r="CE1229" i="1"/>
  <c r="CE1230" i="1"/>
  <c r="CE1231" i="1"/>
  <c r="CE1232" i="1"/>
  <c r="CE1233" i="1"/>
  <c r="CE1234" i="1"/>
  <c r="CE1235" i="1"/>
  <c r="CE1236" i="1"/>
  <c r="CE1237" i="1"/>
  <c r="CE1238" i="1"/>
  <c r="CE1240" i="1"/>
  <c r="CE1241" i="1"/>
  <c r="CE1242" i="1"/>
  <c r="CE1243" i="1"/>
  <c r="CE1244" i="1"/>
  <c r="CE1245" i="1"/>
  <c r="CE1246" i="1"/>
  <c r="CE1247" i="1"/>
  <c r="CE1248" i="1"/>
  <c r="CE1249" i="1"/>
  <c r="CE1250" i="1"/>
  <c r="CE1251" i="1"/>
  <c r="CE1252" i="1"/>
  <c r="CE1253" i="1"/>
  <c r="CE1254" i="1"/>
  <c r="CE1255" i="1"/>
  <c r="CE1256" i="1"/>
  <c r="CE1257" i="1"/>
  <c r="CE1258" i="1"/>
  <c r="CE1259" i="1"/>
  <c r="CE1260" i="1"/>
  <c r="CE1261" i="1"/>
  <c r="CE1262" i="1"/>
  <c r="CE1263" i="1"/>
  <c r="CE1264" i="1"/>
  <c r="CE1265" i="1"/>
  <c r="CE1266" i="1"/>
  <c r="CE1267" i="1"/>
  <c r="CE1268" i="1"/>
  <c r="CE1269" i="1"/>
  <c r="CE1270" i="1"/>
  <c r="CE1272" i="1"/>
  <c r="CE1273" i="1"/>
  <c r="CE1274" i="1"/>
  <c r="CE1275" i="1"/>
  <c r="CE1276" i="1"/>
  <c r="CE1277" i="1"/>
  <c r="CE2" i="1"/>
  <c r="BQ530" i="1" l="1"/>
  <c r="CI530" i="1"/>
  <c r="CJ530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104" i="1"/>
  <c r="E105" i="1"/>
  <c r="E106" i="1"/>
  <c r="E107" i="1"/>
  <c r="E108" i="1"/>
  <c r="E109" i="1"/>
  <c r="E110" i="1"/>
  <c r="E111" i="1"/>
  <c r="E112" i="1"/>
  <c r="E113" i="1"/>
  <c r="E114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1" i="1"/>
  <c r="E612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1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7" i="1"/>
  <c r="E1328" i="1"/>
  <c r="E1329" i="1"/>
  <c r="E1330" i="1"/>
  <c r="E1331" i="1"/>
  <c r="E1332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2" i="1"/>
  <c r="E1453" i="1"/>
  <c r="E1454" i="1"/>
  <c r="E1455" i="1"/>
  <c r="E1456" i="1"/>
  <c r="E1457" i="1"/>
  <c r="E1458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7" i="1"/>
  <c r="E1498" i="1"/>
  <c r="E1499" i="1"/>
  <c r="E1500" i="1"/>
  <c r="E1501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5" i="1"/>
  <c r="E1756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3" i="1"/>
  <c r="E1774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9" i="1"/>
  <c r="E1880" i="1"/>
  <c r="E1881" i="1"/>
  <c r="E1882" i="1"/>
  <c r="E1883" i="1"/>
  <c r="E1884" i="1"/>
  <c r="E1886" i="1"/>
  <c r="E1887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4" i="1"/>
  <c r="E1965" i="1"/>
  <c r="E1966" i="1"/>
  <c r="E1967" i="1"/>
  <c r="E1968" i="1"/>
  <c r="E1969" i="1"/>
  <c r="E1970" i="1"/>
  <c r="E1971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2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6" i="1"/>
  <c r="E2527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2" i="1"/>
  <c r="E3073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2" i="1"/>
  <c r="BK2492" i="1"/>
  <c r="B3206" i="1" l="1"/>
  <c r="B3205" i="1"/>
  <c r="B3204" i="1"/>
  <c r="B3203" i="1"/>
  <c r="B3202" i="1"/>
  <c r="B3201" i="1"/>
  <c r="B3200" i="1"/>
  <c r="B3199" i="1"/>
  <c r="B3198" i="1"/>
  <c r="B3197" i="1"/>
  <c r="B3196" i="1"/>
  <c r="B3195" i="1"/>
  <c r="B3194" i="1"/>
  <c r="B3193" i="1"/>
  <c r="B3192" i="1"/>
  <c r="B3191" i="1"/>
  <c r="B3190" i="1"/>
  <c r="B3189" i="1"/>
  <c r="B3188" i="1"/>
  <c r="B3187" i="1"/>
  <c r="B3186" i="1"/>
  <c r="B3185" i="1"/>
  <c r="B3184" i="1"/>
  <c r="B3183" i="1"/>
  <c r="B3182" i="1"/>
  <c r="B3181" i="1"/>
  <c r="B3180" i="1"/>
  <c r="B3179" i="1"/>
  <c r="B3178" i="1"/>
  <c r="B3177" i="1"/>
  <c r="B3176" i="1"/>
  <c r="B3175" i="1"/>
  <c r="B3174" i="1"/>
  <c r="B3173" i="1"/>
  <c r="B3172" i="1"/>
  <c r="B3171" i="1"/>
  <c r="B3170" i="1"/>
  <c r="B3169" i="1"/>
  <c r="B3168" i="1"/>
  <c r="B3167" i="1"/>
  <c r="B3166" i="1"/>
  <c r="B3165" i="1"/>
  <c r="B3164" i="1"/>
  <c r="B3163" i="1"/>
  <c r="B3162" i="1"/>
  <c r="B3161" i="1"/>
  <c r="B3160" i="1"/>
  <c r="B3159" i="1"/>
  <c r="B3158" i="1"/>
  <c r="B3157" i="1"/>
  <c r="B3156" i="1"/>
  <c r="B3155" i="1"/>
  <c r="B3154" i="1"/>
  <c r="B3153" i="1"/>
  <c r="B3152" i="1"/>
  <c r="B3151" i="1"/>
  <c r="B3150" i="1"/>
  <c r="B3149" i="1"/>
  <c r="B3148" i="1"/>
  <c r="B3147" i="1"/>
  <c r="B3146" i="1"/>
  <c r="B3145" i="1"/>
  <c r="B3144" i="1"/>
  <c r="B3143" i="1"/>
  <c r="B3142" i="1"/>
  <c r="B3141" i="1"/>
  <c r="B3140" i="1"/>
  <c r="B3139" i="1"/>
  <c r="B3138" i="1"/>
  <c r="B3137" i="1"/>
  <c r="B3136" i="1"/>
  <c r="B3135" i="1"/>
  <c r="B3134" i="1"/>
  <c r="B3133" i="1"/>
  <c r="B3132" i="1"/>
  <c r="B3131" i="1"/>
  <c r="B3130" i="1"/>
  <c r="B3129" i="1"/>
  <c r="B3128" i="1"/>
  <c r="B3127" i="1"/>
  <c r="B3126" i="1"/>
  <c r="B3125" i="1"/>
  <c r="B3124" i="1"/>
  <c r="B3123" i="1"/>
  <c r="B3122" i="1"/>
  <c r="B3121" i="1"/>
  <c r="B3120" i="1"/>
  <c r="B3119" i="1"/>
  <c r="B3118" i="1"/>
  <c r="B3117" i="1"/>
  <c r="B3116" i="1"/>
  <c r="B3115" i="1"/>
  <c r="B3114" i="1"/>
  <c r="B3113" i="1"/>
  <c r="B3112" i="1"/>
  <c r="B3111" i="1"/>
  <c r="B3110" i="1"/>
  <c r="B3109" i="1"/>
  <c r="B3108" i="1"/>
  <c r="B3107" i="1"/>
  <c r="B3106" i="1"/>
  <c r="B3105" i="1"/>
  <c r="B3104" i="1"/>
  <c r="B3103" i="1"/>
  <c r="B3102" i="1"/>
  <c r="B3101" i="1"/>
  <c r="B3100" i="1"/>
  <c r="B3099" i="1"/>
  <c r="B3098" i="1"/>
  <c r="B3097" i="1"/>
  <c r="B3096" i="1"/>
  <c r="B3095" i="1"/>
  <c r="B3094" i="1"/>
  <c r="B3093" i="1"/>
  <c r="B3092" i="1"/>
  <c r="B3091" i="1"/>
  <c r="B3090" i="1"/>
  <c r="B3088" i="1"/>
  <c r="B3087" i="1"/>
  <c r="B3086" i="1"/>
  <c r="B3085" i="1"/>
  <c r="B3084" i="1"/>
  <c r="B3083" i="1"/>
  <c r="B3082" i="1"/>
  <c r="B3081" i="1"/>
  <c r="B3080" i="1"/>
  <c r="B3079" i="1"/>
  <c r="B3078" i="1"/>
  <c r="B3077" i="1"/>
  <c r="B3076" i="1"/>
  <c r="B3075" i="1"/>
  <c r="B3073" i="1"/>
  <c r="B3072" i="1"/>
  <c r="B3070" i="1"/>
  <c r="B3069" i="1"/>
  <c r="B3068" i="1"/>
  <c r="B3067" i="1"/>
  <c r="B3066" i="1"/>
  <c r="B3065" i="1"/>
  <c r="B3064" i="1"/>
  <c r="B3063" i="1"/>
  <c r="B3062" i="1"/>
  <c r="B3061" i="1"/>
  <c r="B3060" i="1"/>
  <c r="B3059" i="1"/>
  <c r="B3058" i="1"/>
  <c r="B3057" i="1"/>
  <c r="B3056" i="1"/>
  <c r="B3055" i="1"/>
  <c r="B3054" i="1"/>
  <c r="B3053" i="1"/>
  <c r="B3052" i="1"/>
  <c r="B3051" i="1"/>
  <c r="B3050" i="1"/>
  <c r="B3049" i="1"/>
  <c r="B3048" i="1"/>
  <c r="B3047" i="1"/>
  <c r="B3046" i="1"/>
  <c r="B3045" i="1"/>
  <c r="B3044" i="1"/>
  <c r="B3043" i="1"/>
  <c r="B3042" i="1"/>
  <c r="B3041" i="1"/>
  <c r="B3040" i="1"/>
  <c r="B3039" i="1"/>
  <c r="B3038" i="1"/>
  <c r="B3037" i="1"/>
  <c r="B3036" i="1"/>
  <c r="B3035" i="1"/>
  <c r="B3034" i="1"/>
  <c r="B3033" i="1"/>
  <c r="B3032" i="1"/>
  <c r="B3031" i="1"/>
  <c r="B3030" i="1"/>
  <c r="B3029" i="1"/>
  <c r="B3028" i="1"/>
  <c r="B3027" i="1"/>
  <c r="B3026" i="1"/>
  <c r="B3025" i="1"/>
  <c r="B3024" i="1"/>
  <c r="B3023" i="1"/>
  <c r="B3022" i="1"/>
  <c r="B3021" i="1"/>
  <c r="B3020" i="1"/>
  <c r="B3019" i="1"/>
  <c r="B3018" i="1"/>
  <c r="B3017" i="1"/>
  <c r="B3016" i="1"/>
  <c r="B3014" i="1"/>
  <c r="B3013" i="1"/>
  <c r="B3012" i="1"/>
  <c r="B3011" i="1"/>
  <c r="B3010" i="1"/>
  <c r="B3009" i="1"/>
  <c r="B3008" i="1"/>
  <c r="B3007" i="1"/>
  <c r="B3006" i="1"/>
  <c r="B3005" i="1"/>
  <c r="B3004" i="1"/>
  <c r="B3003" i="1"/>
  <c r="B3002" i="1"/>
  <c r="B3001" i="1"/>
  <c r="B3000" i="1"/>
  <c r="B2999" i="1"/>
  <c r="B2998" i="1"/>
  <c r="B2997" i="1"/>
  <c r="B2996" i="1"/>
  <c r="B2995" i="1"/>
  <c r="B2994" i="1"/>
  <c r="B2992" i="1"/>
  <c r="B2991" i="1"/>
  <c r="B2990" i="1"/>
  <c r="B2989" i="1"/>
  <c r="B2988" i="1"/>
  <c r="B2987" i="1"/>
  <c r="B2986" i="1"/>
  <c r="B2985" i="1"/>
  <c r="B2984" i="1"/>
  <c r="B2983" i="1"/>
  <c r="B2982" i="1"/>
  <c r="B2981" i="1"/>
  <c r="B2980" i="1"/>
  <c r="B2979" i="1"/>
  <c r="B2978" i="1"/>
  <c r="B2977" i="1"/>
  <c r="B2976" i="1"/>
  <c r="B2975" i="1"/>
  <c r="B2974" i="1"/>
  <c r="B2973" i="1"/>
  <c r="B2972" i="1"/>
  <c r="B2971" i="1"/>
  <c r="B2970" i="1"/>
  <c r="B2969" i="1"/>
  <c r="B2968" i="1"/>
  <c r="B2967" i="1"/>
  <c r="B2966" i="1"/>
  <c r="B2965" i="1"/>
  <c r="B2964" i="1"/>
  <c r="B2963" i="1"/>
  <c r="B2962" i="1"/>
  <c r="B2961" i="1"/>
  <c r="B2960" i="1"/>
  <c r="B2959" i="1"/>
  <c r="B2958" i="1"/>
  <c r="B2957" i="1"/>
  <c r="B2956" i="1"/>
  <c r="B2955" i="1"/>
  <c r="B2954" i="1"/>
  <c r="B2953" i="1"/>
  <c r="B2952" i="1"/>
  <c r="B2951" i="1"/>
  <c r="B2950" i="1"/>
  <c r="B2949" i="1"/>
  <c r="B2948" i="1"/>
  <c r="B2947" i="1"/>
  <c r="B2946" i="1"/>
  <c r="B2945" i="1"/>
  <c r="B2944" i="1"/>
  <c r="B2943" i="1"/>
  <c r="B2942" i="1"/>
  <c r="B2941" i="1"/>
  <c r="B2940" i="1"/>
  <c r="B2939" i="1"/>
  <c r="B2938" i="1"/>
  <c r="B2937" i="1"/>
  <c r="B2936" i="1"/>
  <c r="B2935" i="1"/>
  <c r="B2934" i="1"/>
  <c r="B2933" i="1"/>
  <c r="B2931" i="1"/>
  <c r="B2930" i="1"/>
  <c r="B2929" i="1"/>
  <c r="B2928" i="1"/>
  <c r="B2927" i="1"/>
  <c r="B2926" i="1"/>
  <c r="B2925" i="1"/>
  <c r="B2924" i="1"/>
  <c r="B2923" i="1"/>
  <c r="B2922" i="1"/>
  <c r="B2921" i="1"/>
  <c r="B2920" i="1"/>
  <c r="B2919" i="1"/>
  <c r="B2918" i="1"/>
  <c r="B2917" i="1"/>
  <c r="B2916" i="1"/>
  <c r="B2915" i="1"/>
  <c r="B2914" i="1"/>
  <c r="B2913" i="1"/>
  <c r="B2912" i="1"/>
  <c r="B2911" i="1"/>
  <c r="B2910" i="1"/>
  <c r="B2909" i="1"/>
  <c r="B2908" i="1"/>
  <c r="B2907" i="1"/>
  <c r="B2906" i="1"/>
  <c r="B2905" i="1"/>
  <c r="B2904" i="1"/>
  <c r="B2903" i="1"/>
  <c r="B2902" i="1"/>
  <c r="B2901" i="1"/>
  <c r="B2900" i="1"/>
  <c r="B2899" i="1"/>
  <c r="B2898" i="1"/>
  <c r="B2897" i="1"/>
  <c r="B2896" i="1"/>
  <c r="B2895" i="1"/>
  <c r="B2894" i="1"/>
  <c r="B2893" i="1"/>
  <c r="B2891" i="1"/>
  <c r="B2890" i="1"/>
  <c r="B2889" i="1"/>
  <c r="B2888" i="1"/>
  <c r="B2887" i="1"/>
  <c r="B2886" i="1"/>
  <c r="B2885" i="1"/>
  <c r="B2884" i="1"/>
  <c r="B2883" i="1"/>
  <c r="B2882" i="1"/>
  <c r="B2881" i="1"/>
  <c r="B2880" i="1"/>
  <c r="B2879" i="1"/>
  <c r="B2878" i="1"/>
  <c r="B2877" i="1"/>
  <c r="B2876" i="1"/>
  <c r="B2875" i="1"/>
  <c r="B2874" i="1"/>
  <c r="B2873" i="1"/>
  <c r="B2872" i="1"/>
  <c r="B2871" i="1"/>
  <c r="B2870" i="1"/>
  <c r="B2869" i="1"/>
  <c r="B2868" i="1"/>
  <c r="B2867" i="1"/>
  <c r="B2866" i="1"/>
  <c r="B2864" i="1"/>
  <c r="B2863" i="1"/>
  <c r="B2862" i="1"/>
  <c r="B2861" i="1"/>
  <c r="B2860" i="1"/>
  <c r="B2859" i="1"/>
  <c r="B2858" i="1"/>
  <c r="B2857" i="1"/>
  <c r="B2856" i="1"/>
  <c r="B2855" i="1"/>
  <c r="B2854" i="1"/>
  <c r="B2853" i="1"/>
  <c r="B2852" i="1"/>
  <c r="B2851" i="1"/>
  <c r="B2850" i="1"/>
  <c r="B2849" i="1"/>
  <c r="B2848" i="1"/>
  <c r="B2847" i="1"/>
  <c r="B2846" i="1"/>
  <c r="B2845" i="1"/>
  <c r="B2844" i="1"/>
  <c r="B2843" i="1"/>
  <c r="B2842" i="1"/>
  <c r="B2841" i="1"/>
  <c r="B2840" i="1"/>
  <c r="B2839" i="1"/>
  <c r="B2838" i="1"/>
  <c r="B2837" i="1"/>
  <c r="B2836" i="1"/>
  <c r="B2835" i="1"/>
  <c r="B2834" i="1"/>
  <c r="B2833" i="1"/>
  <c r="B2832" i="1"/>
  <c r="B2831" i="1"/>
  <c r="B2830" i="1"/>
  <c r="B2829" i="1"/>
  <c r="B2828" i="1"/>
  <c r="B2827" i="1"/>
  <c r="B2826" i="1"/>
  <c r="B2825" i="1"/>
  <c r="B2824" i="1"/>
  <c r="B2823" i="1"/>
  <c r="B2822" i="1"/>
  <c r="B2821" i="1"/>
  <c r="B2820" i="1"/>
  <c r="B2819" i="1"/>
  <c r="B2818" i="1"/>
  <c r="B2817" i="1"/>
  <c r="B2816" i="1"/>
  <c r="B2815" i="1"/>
  <c r="B2814" i="1"/>
  <c r="B2813" i="1"/>
  <c r="B2812" i="1"/>
  <c r="B2811" i="1"/>
  <c r="B2810" i="1"/>
  <c r="B2809" i="1"/>
  <c r="B2808" i="1"/>
  <c r="B2807" i="1"/>
  <c r="B2806" i="1"/>
  <c r="B2805" i="1"/>
  <c r="B2804" i="1"/>
  <c r="B2803" i="1"/>
  <c r="B2802" i="1"/>
  <c r="B2801" i="1"/>
  <c r="B2800" i="1"/>
  <c r="B2799" i="1"/>
  <c r="B2798" i="1"/>
  <c r="B2797" i="1"/>
  <c r="B2796" i="1"/>
  <c r="B2795" i="1"/>
  <c r="B2794" i="1"/>
  <c r="B2793" i="1"/>
  <c r="B2792" i="1"/>
  <c r="B2791" i="1"/>
  <c r="B2790" i="1"/>
  <c r="B2789" i="1"/>
  <c r="B2788" i="1"/>
  <c r="B2787" i="1"/>
  <c r="B2786" i="1"/>
  <c r="B2785" i="1"/>
  <c r="B2784" i="1"/>
  <c r="B2783" i="1"/>
  <c r="B2781" i="1"/>
  <c r="B2780" i="1"/>
  <c r="B2779" i="1"/>
  <c r="B2778" i="1"/>
  <c r="B2777" i="1"/>
  <c r="B2776" i="1"/>
  <c r="B2775" i="1"/>
  <c r="B2774" i="1"/>
  <c r="B2773" i="1"/>
  <c r="B2772" i="1"/>
  <c r="B2771" i="1"/>
  <c r="B2770" i="1"/>
  <c r="B2769" i="1"/>
  <c r="B2768" i="1"/>
  <c r="B2767" i="1"/>
  <c r="B2766" i="1"/>
  <c r="B2765" i="1"/>
  <c r="B2764" i="1"/>
  <c r="B2763" i="1"/>
  <c r="B2762" i="1"/>
  <c r="B2761" i="1"/>
  <c r="B2760" i="1"/>
  <c r="B2759" i="1"/>
  <c r="B2756" i="1"/>
  <c r="B2755" i="1"/>
  <c r="B2754" i="1"/>
  <c r="B2753" i="1"/>
  <c r="B2752" i="1"/>
  <c r="B2751" i="1"/>
  <c r="B2750" i="1"/>
  <c r="B2749" i="1"/>
  <c r="B2748" i="1"/>
  <c r="B2747" i="1"/>
  <c r="B2746" i="1"/>
  <c r="B2745" i="1"/>
  <c r="B2744" i="1"/>
  <c r="B2743" i="1"/>
  <c r="B2742" i="1"/>
  <c r="B2741" i="1"/>
  <c r="B2740" i="1"/>
  <c r="B2739" i="1"/>
  <c r="B2738" i="1"/>
  <c r="B2737" i="1"/>
  <c r="B2736" i="1"/>
  <c r="B2735" i="1"/>
  <c r="B2734" i="1"/>
  <c r="B2733" i="1"/>
  <c r="B2732" i="1"/>
  <c r="B2730" i="1"/>
  <c r="B2729" i="1"/>
  <c r="B2728" i="1"/>
  <c r="B2727" i="1"/>
  <c r="B2726" i="1"/>
  <c r="B2725" i="1"/>
  <c r="B2724" i="1"/>
  <c r="B2723" i="1"/>
  <c r="B2722" i="1"/>
  <c r="B2721" i="1"/>
  <c r="B2720" i="1"/>
  <c r="B2719" i="1"/>
  <c r="B2718" i="1"/>
  <c r="B2717" i="1"/>
  <c r="B2716" i="1"/>
  <c r="B2714" i="1"/>
  <c r="B2713" i="1"/>
  <c r="B2712" i="1"/>
  <c r="B2711" i="1"/>
  <c r="B2710" i="1"/>
  <c r="B2709" i="1"/>
  <c r="B2708" i="1"/>
  <c r="B2707" i="1"/>
  <c r="B2706" i="1"/>
  <c r="B2705" i="1"/>
  <c r="B2704" i="1"/>
  <c r="B2703" i="1"/>
  <c r="B2702" i="1"/>
  <c r="B2701" i="1"/>
  <c r="B2700" i="1"/>
  <c r="B2699" i="1"/>
  <c r="B2698" i="1"/>
  <c r="B2697" i="1"/>
  <c r="B2696" i="1"/>
  <c r="B2694" i="1"/>
  <c r="B2693" i="1"/>
  <c r="B2692" i="1"/>
  <c r="B2691" i="1"/>
  <c r="B2690" i="1"/>
  <c r="B2689" i="1"/>
  <c r="B2688" i="1"/>
  <c r="B2687" i="1"/>
  <c r="B2686" i="1"/>
  <c r="B2685" i="1"/>
  <c r="B2684" i="1"/>
  <c r="B2683" i="1"/>
  <c r="B2682" i="1"/>
  <c r="B2681" i="1"/>
  <c r="B2680" i="1"/>
  <c r="B2679" i="1"/>
  <c r="B2678" i="1"/>
  <c r="B2677" i="1"/>
  <c r="B2676" i="1"/>
  <c r="B2674" i="1"/>
  <c r="B2673" i="1"/>
  <c r="B2672" i="1"/>
  <c r="B2671" i="1"/>
  <c r="B2670" i="1"/>
  <c r="B2669" i="1"/>
  <c r="B2668" i="1"/>
  <c r="B2667" i="1"/>
  <c r="B2666" i="1"/>
  <c r="B2665" i="1"/>
  <c r="B2664" i="1"/>
  <c r="B2663" i="1"/>
  <c r="B2662" i="1"/>
  <c r="B2661" i="1"/>
  <c r="B2660" i="1"/>
  <c r="B2659" i="1"/>
  <c r="B2658" i="1"/>
  <c r="B2657" i="1"/>
  <c r="B2656" i="1"/>
  <c r="B2655" i="1"/>
  <c r="B2654" i="1"/>
  <c r="B2652" i="1"/>
  <c r="B2651" i="1"/>
  <c r="B2650" i="1"/>
  <c r="B2649" i="1"/>
  <c r="B2648" i="1"/>
  <c r="B2647" i="1"/>
  <c r="B2646" i="1"/>
  <c r="B2645" i="1"/>
  <c r="B2644" i="1"/>
  <c r="B2643" i="1"/>
  <c r="B2642" i="1"/>
  <c r="B2641" i="1"/>
  <c r="B2640" i="1"/>
  <c r="B2639" i="1"/>
  <c r="B2638" i="1"/>
  <c r="B2637" i="1"/>
  <c r="B2636" i="1"/>
  <c r="B2635" i="1"/>
  <c r="B2634" i="1"/>
  <c r="B2633" i="1"/>
  <c r="B2632" i="1"/>
  <c r="B2631" i="1"/>
  <c r="B2630" i="1"/>
  <c r="B2629" i="1"/>
  <c r="B2628" i="1"/>
  <c r="B2627" i="1"/>
  <c r="B2626" i="1"/>
  <c r="B2625" i="1"/>
  <c r="B2624" i="1"/>
  <c r="B2623" i="1"/>
  <c r="B2622" i="1"/>
  <c r="B2621" i="1"/>
  <c r="B2620" i="1"/>
  <c r="B2619" i="1"/>
  <c r="B2618" i="1"/>
  <c r="B2617" i="1"/>
  <c r="B2616" i="1"/>
  <c r="B2615" i="1"/>
  <c r="B2614" i="1"/>
  <c r="B2613" i="1"/>
  <c r="B2612" i="1"/>
  <c r="B2611" i="1"/>
  <c r="B2610" i="1"/>
  <c r="B2609" i="1"/>
  <c r="B2608" i="1"/>
  <c r="B2607" i="1"/>
  <c r="B2606" i="1"/>
  <c r="B2605" i="1"/>
  <c r="B2604" i="1"/>
  <c r="B2603" i="1"/>
  <c r="B2602" i="1"/>
  <c r="B2601" i="1"/>
  <c r="B2600" i="1"/>
  <c r="B2599" i="1"/>
  <c r="B2598" i="1"/>
  <c r="B2597" i="1"/>
  <c r="B2596" i="1"/>
  <c r="B2595" i="1"/>
  <c r="B2594" i="1"/>
  <c r="B2593" i="1"/>
  <c r="B2592" i="1"/>
  <c r="B2591" i="1"/>
  <c r="B2590" i="1"/>
  <c r="B2589" i="1"/>
  <c r="B2588" i="1"/>
  <c r="B2587" i="1"/>
  <c r="B2586" i="1"/>
  <c r="B2585" i="1"/>
  <c r="B2584" i="1"/>
  <c r="B2583" i="1"/>
  <c r="B2582" i="1"/>
  <c r="B2581" i="1"/>
  <c r="B2580" i="1"/>
  <c r="B2579" i="1"/>
  <c r="B2578" i="1"/>
  <c r="B2577" i="1"/>
  <c r="B2576" i="1"/>
  <c r="B2575" i="1"/>
  <c r="B2574" i="1"/>
  <c r="B2573" i="1"/>
  <c r="B2572" i="1"/>
  <c r="B2571" i="1"/>
  <c r="B2570" i="1"/>
  <c r="B2569" i="1"/>
  <c r="B2568" i="1"/>
  <c r="B2567" i="1"/>
  <c r="B2566" i="1"/>
  <c r="B2565" i="1"/>
  <c r="B2564" i="1"/>
  <c r="B2563" i="1"/>
  <c r="B2562" i="1"/>
  <c r="B2561" i="1"/>
  <c r="B2560" i="1"/>
  <c r="B2559" i="1"/>
  <c r="B2558" i="1"/>
  <c r="B2557" i="1"/>
  <c r="B2556" i="1"/>
  <c r="B2555" i="1"/>
  <c r="B2554" i="1"/>
  <c r="B2553" i="1"/>
  <c r="B2552" i="1"/>
  <c r="B2551" i="1"/>
  <c r="B2550" i="1"/>
  <c r="B2549" i="1"/>
  <c r="B2548" i="1"/>
  <c r="B2547" i="1"/>
  <c r="B2546" i="1"/>
  <c r="B2545" i="1"/>
  <c r="B2544" i="1"/>
  <c r="B2543" i="1"/>
  <c r="B2542" i="1"/>
  <c r="B2541" i="1"/>
  <c r="B2540" i="1"/>
  <c r="B2539" i="1"/>
  <c r="B2538" i="1"/>
  <c r="B2537" i="1"/>
  <c r="B2536" i="1"/>
  <c r="B2535" i="1"/>
  <c r="B2534" i="1"/>
  <c r="B2533" i="1"/>
  <c r="B2532" i="1"/>
  <c r="B2531" i="1"/>
  <c r="B2530" i="1"/>
  <c r="B2529" i="1"/>
  <c r="B2527" i="1"/>
  <c r="B2526" i="1"/>
  <c r="B2523" i="1"/>
  <c r="B2522" i="1"/>
  <c r="B2521" i="1"/>
  <c r="B2520" i="1"/>
  <c r="B2519" i="1"/>
  <c r="B2518" i="1"/>
  <c r="B2517" i="1"/>
  <c r="B2516" i="1"/>
  <c r="B2515" i="1"/>
  <c r="B2514" i="1"/>
  <c r="B2513" i="1"/>
  <c r="B2512" i="1"/>
  <c r="B2511" i="1"/>
  <c r="B2510" i="1"/>
  <c r="B2509" i="1"/>
  <c r="B2508" i="1"/>
  <c r="B2507" i="1"/>
  <c r="B2506" i="1"/>
  <c r="B2505" i="1"/>
  <c r="B2504" i="1"/>
  <c r="B2503" i="1"/>
  <c r="B2502" i="1"/>
  <c r="B2501" i="1"/>
  <c r="B2500" i="1"/>
  <c r="B2499" i="1"/>
  <c r="B2498" i="1"/>
  <c r="B2497" i="1"/>
  <c r="B2496" i="1"/>
  <c r="B2495" i="1"/>
  <c r="B2494" i="1"/>
  <c r="B2493" i="1"/>
  <c r="B2492" i="1"/>
  <c r="B2491" i="1"/>
  <c r="B2490" i="1"/>
  <c r="B2489" i="1"/>
  <c r="B2488" i="1"/>
  <c r="B2487" i="1"/>
  <c r="B2486" i="1"/>
  <c r="B2485" i="1"/>
  <c r="B2484" i="1"/>
  <c r="B2483" i="1"/>
  <c r="B2482" i="1"/>
  <c r="B2481" i="1"/>
  <c r="B2480" i="1"/>
  <c r="B2479" i="1"/>
  <c r="B2478" i="1"/>
  <c r="B2477" i="1"/>
  <c r="B2476" i="1"/>
  <c r="B2475" i="1"/>
  <c r="B2474" i="1"/>
  <c r="B2472" i="1"/>
  <c r="B2471" i="1"/>
  <c r="B2470" i="1"/>
  <c r="B2469" i="1"/>
  <c r="B2468" i="1"/>
  <c r="B2467" i="1"/>
  <c r="B2466" i="1"/>
  <c r="B2465" i="1"/>
  <c r="B2464" i="1"/>
  <c r="B2463" i="1"/>
  <c r="B2462" i="1"/>
  <c r="B2461" i="1"/>
  <c r="B2460" i="1"/>
  <c r="B2459" i="1"/>
  <c r="B2458" i="1"/>
  <c r="B2457" i="1"/>
  <c r="B2456" i="1"/>
  <c r="B2455" i="1"/>
  <c r="B2454" i="1"/>
  <c r="B2453" i="1"/>
  <c r="B2452" i="1"/>
  <c r="B2451" i="1"/>
  <c r="B2450" i="1"/>
  <c r="B2449" i="1"/>
  <c r="B2448" i="1"/>
  <c r="B2447" i="1"/>
  <c r="B2446" i="1"/>
  <c r="B2445" i="1"/>
  <c r="B2444" i="1"/>
  <c r="B2443" i="1"/>
  <c r="B2442" i="1"/>
  <c r="B2441" i="1"/>
  <c r="B2440" i="1"/>
  <c r="B2439" i="1"/>
  <c r="B2438" i="1"/>
  <c r="B2437" i="1"/>
  <c r="B2436" i="1"/>
  <c r="B2435" i="1"/>
  <c r="B2434" i="1"/>
  <c r="B2433" i="1"/>
  <c r="B2432" i="1"/>
  <c r="B2431" i="1"/>
  <c r="B2430" i="1"/>
  <c r="B2429" i="1"/>
  <c r="B2428" i="1"/>
  <c r="B2426" i="1"/>
  <c r="B2425" i="1"/>
  <c r="B2424" i="1"/>
  <c r="B2423" i="1"/>
  <c r="B2422" i="1"/>
  <c r="B2421" i="1"/>
  <c r="B2420" i="1"/>
  <c r="B2419" i="1"/>
  <c r="B2418" i="1"/>
  <c r="B2417" i="1"/>
  <c r="B2416" i="1"/>
  <c r="B2415" i="1"/>
  <c r="B2414" i="1"/>
  <c r="B2413" i="1"/>
  <c r="B2412" i="1"/>
  <c r="B2411" i="1"/>
  <c r="B2410" i="1"/>
  <c r="B2409" i="1"/>
  <c r="B2408" i="1"/>
  <c r="B2407" i="1"/>
  <c r="B2406" i="1"/>
  <c r="B2405" i="1"/>
  <c r="B2404" i="1"/>
  <c r="B2403" i="1"/>
  <c r="B2402" i="1"/>
  <c r="B2401" i="1"/>
  <c r="B2400" i="1"/>
  <c r="B2399" i="1"/>
  <c r="B2398" i="1"/>
  <c r="B2397" i="1"/>
  <c r="B2396" i="1"/>
  <c r="B2395" i="1"/>
  <c r="B2394" i="1"/>
  <c r="B2393" i="1"/>
  <c r="B2392" i="1"/>
  <c r="B2391" i="1"/>
  <c r="B2390" i="1"/>
  <c r="B2389" i="1"/>
  <c r="B2388" i="1"/>
  <c r="B2387" i="1"/>
  <c r="B2386" i="1"/>
  <c r="B2385" i="1"/>
  <c r="B2384" i="1"/>
  <c r="B2383" i="1"/>
  <c r="B2382" i="1"/>
  <c r="B2381" i="1"/>
  <c r="B2380" i="1"/>
  <c r="B2378" i="1"/>
  <c r="B2377" i="1"/>
  <c r="B2376" i="1"/>
  <c r="B2375" i="1"/>
  <c r="B2374" i="1"/>
  <c r="B2373" i="1"/>
  <c r="B2372" i="1"/>
  <c r="B2371" i="1"/>
  <c r="B2370" i="1"/>
  <c r="B2369" i="1"/>
  <c r="B2368" i="1"/>
  <c r="B2367" i="1"/>
  <c r="B2366" i="1"/>
  <c r="B2365" i="1"/>
  <c r="B2364" i="1"/>
  <c r="B2362" i="1"/>
  <c r="B2360" i="1"/>
  <c r="B2359" i="1"/>
  <c r="B2358" i="1"/>
  <c r="B2357" i="1"/>
  <c r="B2356" i="1"/>
  <c r="B2355" i="1"/>
  <c r="B2354" i="1"/>
  <c r="B2353" i="1"/>
  <c r="B2352" i="1"/>
  <c r="B2351" i="1"/>
  <c r="B2350" i="1"/>
  <c r="B2349" i="1"/>
  <c r="B2348" i="1"/>
  <c r="B2347" i="1"/>
  <c r="B2346" i="1"/>
  <c r="B2345" i="1"/>
  <c r="B2344" i="1"/>
  <c r="B2343" i="1"/>
  <c r="B2342" i="1"/>
  <c r="B2340" i="1"/>
  <c r="B2339" i="1"/>
  <c r="B2338" i="1"/>
  <c r="B2337" i="1"/>
  <c r="B2336" i="1"/>
  <c r="B2335" i="1"/>
  <c r="B2334" i="1"/>
  <c r="B2333" i="1"/>
  <c r="B2332" i="1"/>
  <c r="B2331" i="1"/>
  <c r="B2330" i="1"/>
  <c r="B2329" i="1"/>
  <c r="B2328" i="1"/>
  <c r="B2327" i="1"/>
  <c r="B2326" i="1"/>
  <c r="B2325" i="1"/>
  <c r="B2324" i="1"/>
  <c r="B2323" i="1"/>
  <c r="B2322" i="1"/>
  <c r="B2321" i="1"/>
  <c r="B2319" i="1"/>
  <c r="B2318" i="1"/>
  <c r="B2317" i="1"/>
  <c r="B2316" i="1"/>
  <c r="B2315" i="1"/>
  <c r="B2314" i="1"/>
  <c r="B2313" i="1"/>
  <c r="B2312" i="1"/>
  <c r="B2311" i="1"/>
  <c r="B2310" i="1"/>
  <c r="B2309" i="1"/>
  <c r="B2308" i="1"/>
  <c r="B2307" i="1"/>
  <c r="B2306" i="1"/>
  <c r="B2305" i="1"/>
  <c r="B2304" i="1"/>
  <c r="B2303" i="1"/>
  <c r="B2302" i="1"/>
  <c r="B2301" i="1"/>
  <c r="B2300" i="1"/>
  <c r="B2299" i="1"/>
  <c r="B2298" i="1"/>
  <c r="B2296" i="1"/>
  <c r="B2295" i="1"/>
  <c r="B2294" i="1"/>
  <c r="B2293" i="1"/>
  <c r="B2292" i="1"/>
  <c r="B2291" i="1"/>
  <c r="B2290" i="1"/>
  <c r="B2289" i="1"/>
  <c r="B2288" i="1"/>
  <c r="B2287" i="1"/>
  <c r="B2286" i="1"/>
  <c r="B2285" i="1"/>
  <c r="B2284" i="1"/>
  <c r="B2283" i="1"/>
  <c r="B2282" i="1"/>
  <c r="B2281" i="1"/>
  <c r="B2280" i="1"/>
  <c r="B2279" i="1"/>
  <c r="B2278" i="1"/>
  <c r="B2277" i="1"/>
  <c r="B2276" i="1"/>
  <c r="B2275" i="1"/>
  <c r="B2274" i="1"/>
  <c r="B2273" i="1"/>
  <c r="B2272" i="1"/>
  <c r="B2271" i="1"/>
  <c r="B2270" i="1"/>
  <c r="B2269" i="1"/>
  <c r="B2268" i="1"/>
  <c r="B2267" i="1"/>
  <c r="B2266" i="1"/>
  <c r="B2265" i="1"/>
  <c r="B2264" i="1"/>
  <c r="B2263" i="1"/>
  <c r="B2262" i="1"/>
  <c r="B2261" i="1"/>
  <c r="B2260" i="1"/>
  <c r="B2259" i="1"/>
  <c r="B2258" i="1"/>
  <c r="B2257" i="1"/>
  <c r="B2256" i="1"/>
  <c r="B2255" i="1"/>
  <c r="B2254" i="1"/>
  <c r="B2253" i="1"/>
  <c r="B2252" i="1"/>
  <c r="B2251" i="1"/>
  <c r="B2250" i="1"/>
  <c r="B2249" i="1"/>
  <c r="B2248" i="1"/>
  <c r="B2247" i="1"/>
  <c r="B2246" i="1"/>
  <c r="B2245" i="1"/>
  <c r="B2244" i="1"/>
  <c r="B2243" i="1"/>
  <c r="B2242" i="1"/>
  <c r="B2241" i="1"/>
  <c r="B2240" i="1"/>
  <c r="B2239" i="1"/>
  <c r="B2238" i="1"/>
  <c r="B2237" i="1"/>
  <c r="B2236" i="1"/>
  <c r="B2235" i="1"/>
  <c r="B2234" i="1"/>
  <c r="B2233" i="1"/>
  <c r="B2232" i="1"/>
  <c r="B2231" i="1"/>
  <c r="B2230" i="1"/>
  <c r="B2229" i="1"/>
  <c r="B2228" i="1"/>
  <c r="B2227" i="1"/>
  <c r="B2226" i="1"/>
  <c r="B2225" i="1"/>
  <c r="B2224" i="1"/>
  <c r="B2223" i="1"/>
  <c r="B2222" i="1"/>
  <c r="B2221" i="1"/>
  <c r="B2220" i="1"/>
  <c r="B2219" i="1"/>
  <c r="B2218" i="1"/>
  <c r="B2217" i="1"/>
  <c r="B2216" i="1"/>
  <c r="B2215" i="1"/>
  <c r="B2214" i="1"/>
  <c r="B2213" i="1"/>
  <c r="B2212" i="1"/>
  <c r="B2211" i="1"/>
  <c r="B2210" i="1"/>
  <c r="B2209" i="1"/>
  <c r="B2208" i="1"/>
  <c r="B2207" i="1"/>
  <c r="B2205" i="1"/>
  <c r="B2204" i="1"/>
  <c r="B2203" i="1"/>
  <c r="B2202" i="1"/>
  <c r="B2201" i="1"/>
  <c r="B2200" i="1"/>
  <c r="B2199" i="1"/>
  <c r="B2198" i="1"/>
  <c r="B2197" i="1"/>
  <c r="B2196" i="1"/>
  <c r="B2195" i="1"/>
  <c r="B2194" i="1"/>
  <c r="B2193" i="1"/>
  <c r="B2192" i="1"/>
  <c r="B2191" i="1"/>
  <c r="B2190" i="1"/>
  <c r="B2189" i="1"/>
  <c r="B2188" i="1"/>
  <c r="B2187" i="1"/>
  <c r="B2186" i="1"/>
  <c r="B2185" i="1"/>
  <c r="B2184" i="1"/>
  <c r="B2183" i="1"/>
  <c r="B2182" i="1"/>
  <c r="B2181" i="1"/>
  <c r="B2180" i="1"/>
  <c r="B2179" i="1"/>
  <c r="B2178" i="1"/>
  <c r="B2177" i="1"/>
  <c r="B2176" i="1"/>
  <c r="B2175" i="1"/>
  <c r="B2174" i="1"/>
  <c r="B2173" i="1"/>
  <c r="B2172" i="1"/>
  <c r="B2171" i="1"/>
  <c r="B2170" i="1"/>
  <c r="B2169" i="1"/>
  <c r="B2168" i="1"/>
  <c r="B2167" i="1"/>
  <c r="B2166" i="1"/>
  <c r="B2165" i="1"/>
  <c r="B2164" i="1"/>
  <c r="B2163" i="1"/>
  <c r="B2162" i="1"/>
  <c r="B2161" i="1"/>
  <c r="B2160" i="1"/>
  <c r="B2159" i="1"/>
  <c r="B2158" i="1"/>
  <c r="B2157" i="1"/>
  <c r="B2156" i="1"/>
  <c r="B2155" i="1"/>
  <c r="B2154" i="1"/>
  <c r="B2153" i="1"/>
  <c r="B2152" i="1"/>
  <c r="B2151" i="1"/>
  <c r="B2150" i="1"/>
  <c r="B2149" i="1"/>
  <c r="B2148" i="1"/>
  <c r="B2147" i="1"/>
  <c r="B2146" i="1"/>
  <c r="B2145" i="1"/>
  <c r="B2144" i="1"/>
  <c r="B2143" i="1"/>
  <c r="B2142" i="1"/>
  <c r="B2141" i="1"/>
  <c r="B2140" i="1"/>
  <c r="B2139" i="1"/>
  <c r="B2138" i="1"/>
  <c r="B2137" i="1"/>
  <c r="B2136" i="1"/>
  <c r="B2135" i="1"/>
  <c r="B2134" i="1"/>
  <c r="B2133" i="1"/>
  <c r="B2132" i="1"/>
  <c r="B2131" i="1"/>
  <c r="B2129" i="1"/>
  <c r="B2128" i="1"/>
  <c r="B2127" i="1"/>
  <c r="B2126" i="1"/>
  <c r="B2125" i="1"/>
  <c r="B2124" i="1"/>
  <c r="B2123" i="1"/>
  <c r="B2122" i="1"/>
  <c r="B2121" i="1"/>
  <c r="B2120" i="1"/>
  <c r="B2119" i="1"/>
  <c r="B2118" i="1"/>
  <c r="B2117" i="1"/>
  <c r="B2116" i="1"/>
  <c r="B2115" i="1"/>
  <c r="B2114" i="1"/>
  <c r="B2113" i="1"/>
  <c r="B2112" i="1"/>
  <c r="B2111" i="1"/>
  <c r="B2110" i="1"/>
  <c r="B2109" i="1"/>
  <c r="B2108" i="1"/>
  <c r="B2107" i="1"/>
  <c r="B2106" i="1"/>
  <c r="B2105" i="1"/>
  <c r="B2104" i="1"/>
  <c r="B2103" i="1"/>
  <c r="B2102" i="1"/>
  <c r="B2101" i="1"/>
  <c r="B2100" i="1"/>
  <c r="B2099" i="1"/>
  <c r="B2098" i="1"/>
  <c r="B2097" i="1"/>
  <c r="B2096" i="1"/>
  <c r="B2095" i="1"/>
  <c r="B2094" i="1"/>
  <c r="B2093" i="1"/>
  <c r="B2092" i="1"/>
  <c r="B2091" i="1"/>
  <c r="B2090" i="1"/>
  <c r="B2089" i="1"/>
  <c r="B2088" i="1"/>
  <c r="B2087" i="1"/>
  <c r="B2086" i="1"/>
  <c r="B2085" i="1"/>
  <c r="B2084" i="1"/>
  <c r="B2083" i="1"/>
  <c r="B2082" i="1"/>
  <c r="B2081" i="1"/>
  <c r="B2080" i="1"/>
  <c r="B2079" i="1"/>
  <c r="B2078" i="1"/>
  <c r="B2077" i="1"/>
  <c r="B2076" i="1"/>
  <c r="B2075" i="1"/>
  <c r="B2074" i="1"/>
  <c r="B2073" i="1"/>
  <c r="B2072" i="1"/>
  <c r="B2071" i="1"/>
  <c r="B2070" i="1"/>
  <c r="B2069" i="1"/>
  <c r="B2068" i="1"/>
  <c r="B2067" i="1"/>
  <c r="B2066" i="1"/>
  <c r="B2065" i="1"/>
  <c r="B2064" i="1"/>
  <c r="B2063" i="1"/>
  <c r="B2062" i="1"/>
  <c r="B2061" i="1"/>
  <c r="B2060" i="1"/>
  <c r="B2059" i="1"/>
  <c r="B2058" i="1"/>
  <c r="B2057" i="1"/>
  <c r="B2056" i="1"/>
  <c r="B2055" i="1"/>
  <c r="B2054" i="1"/>
  <c r="B2053" i="1"/>
  <c r="B2052" i="1"/>
  <c r="B2051" i="1"/>
  <c r="B2050" i="1"/>
  <c r="B2049" i="1"/>
  <c r="B2048" i="1"/>
  <c r="B2047" i="1"/>
  <c r="B2046" i="1"/>
  <c r="B2045" i="1"/>
  <c r="B2044" i="1"/>
  <c r="B2043" i="1"/>
  <c r="B2042" i="1"/>
  <c r="B2041" i="1"/>
  <c r="B2040" i="1"/>
  <c r="B2039" i="1"/>
  <c r="B2038" i="1"/>
  <c r="B2037" i="1"/>
  <c r="B2036" i="1"/>
  <c r="B2035" i="1"/>
  <c r="B2034" i="1"/>
  <c r="B2033" i="1"/>
  <c r="B2032" i="1"/>
  <c r="B2031" i="1"/>
  <c r="B2030" i="1"/>
  <c r="B2029" i="1"/>
  <c r="B2028" i="1"/>
  <c r="B2027" i="1"/>
  <c r="B2025" i="1"/>
  <c r="B2024" i="1"/>
  <c r="B2023" i="1"/>
  <c r="B2022" i="1"/>
  <c r="B2021" i="1"/>
  <c r="B2020" i="1"/>
  <c r="B2019" i="1"/>
  <c r="B2018" i="1"/>
  <c r="B2017" i="1"/>
  <c r="B2016" i="1"/>
  <c r="B2015" i="1"/>
  <c r="B2014" i="1"/>
  <c r="B2013" i="1"/>
  <c r="B2012" i="1"/>
  <c r="B2011" i="1"/>
  <c r="B2010" i="1"/>
  <c r="B2009" i="1"/>
  <c r="B2008" i="1"/>
  <c r="B2007" i="1"/>
  <c r="B2006" i="1"/>
  <c r="B2005" i="1"/>
  <c r="B2004" i="1"/>
  <c r="B2003" i="1"/>
  <c r="B2002" i="1"/>
  <c r="B2001" i="1"/>
  <c r="B2000" i="1"/>
  <c r="B1999" i="1"/>
  <c r="B1998" i="1"/>
  <c r="B1997" i="1"/>
  <c r="B1996" i="1"/>
  <c r="B1995" i="1"/>
  <c r="B1994" i="1"/>
  <c r="B1993" i="1"/>
  <c r="B1992" i="1"/>
  <c r="B1991" i="1"/>
  <c r="B1990" i="1"/>
  <c r="B1989" i="1"/>
  <c r="B1988" i="1"/>
  <c r="B1987" i="1"/>
  <c r="B1986" i="1"/>
  <c r="B1985" i="1"/>
  <c r="B1984" i="1"/>
  <c r="B1983" i="1"/>
  <c r="B1982" i="1"/>
  <c r="B1981" i="1"/>
  <c r="B1980" i="1"/>
  <c r="B1979" i="1"/>
  <c r="B1978" i="1"/>
  <c r="B1977" i="1"/>
  <c r="B1976" i="1"/>
  <c r="B1975" i="1"/>
  <c r="B1974" i="1"/>
  <c r="B1973" i="1"/>
  <c r="B1971" i="1"/>
  <c r="B1970" i="1"/>
  <c r="B1969" i="1"/>
  <c r="B1968" i="1"/>
  <c r="B1967" i="1"/>
  <c r="B1966" i="1"/>
  <c r="B1965" i="1"/>
  <c r="B1964" i="1"/>
  <c r="B1962" i="1"/>
  <c r="B1961" i="1"/>
  <c r="B1960" i="1"/>
  <c r="B1959" i="1"/>
  <c r="B1958" i="1"/>
  <c r="B1957" i="1"/>
  <c r="B1956" i="1"/>
  <c r="B1955" i="1"/>
  <c r="B1954" i="1"/>
  <c r="B1953" i="1"/>
  <c r="B1952" i="1"/>
  <c r="B1951" i="1"/>
  <c r="B1950" i="1"/>
  <c r="B1949" i="1"/>
  <c r="B1948" i="1"/>
  <c r="B1947" i="1"/>
  <c r="B1946" i="1"/>
  <c r="B1945" i="1"/>
  <c r="B1944" i="1"/>
  <c r="B1943" i="1"/>
  <c r="B1942" i="1"/>
  <c r="B1941" i="1"/>
  <c r="B1940" i="1"/>
  <c r="B1939" i="1"/>
  <c r="B1938" i="1"/>
  <c r="B1937" i="1"/>
  <c r="B1936" i="1"/>
  <c r="B1935" i="1"/>
  <c r="B1934" i="1"/>
  <c r="B1933" i="1"/>
  <c r="B1932" i="1"/>
  <c r="B1931" i="1"/>
  <c r="B1930" i="1"/>
  <c r="B1929" i="1"/>
  <c r="B1928" i="1"/>
  <c r="B1927" i="1"/>
  <c r="B1926" i="1"/>
  <c r="B1925" i="1"/>
  <c r="B1924" i="1"/>
  <c r="B1923" i="1"/>
  <c r="B1922" i="1"/>
  <c r="B1921" i="1"/>
  <c r="B1920" i="1"/>
  <c r="B1919" i="1"/>
  <c r="B1918" i="1"/>
  <c r="B1917" i="1"/>
  <c r="B1916" i="1"/>
  <c r="B1915" i="1"/>
  <c r="B1914" i="1"/>
  <c r="B1913" i="1"/>
  <c r="B1912" i="1"/>
  <c r="B1911" i="1"/>
  <c r="B1910" i="1"/>
  <c r="B1909" i="1"/>
  <c r="B1908" i="1"/>
  <c r="B1907" i="1"/>
  <c r="B1906" i="1"/>
  <c r="B1905" i="1"/>
  <c r="B1904" i="1"/>
  <c r="B1903" i="1"/>
  <c r="B1902" i="1"/>
  <c r="B1901" i="1"/>
  <c r="B1900" i="1"/>
  <c r="B1899" i="1"/>
  <c r="B1898" i="1"/>
  <c r="B1897" i="1"/>
  <c r="B1896" i="1"/>
  <c r="B1895" i="1"/>
  <c r="B1894" i="1"/>
  <c r="B1893" i="1"/>
  <c r="B1892" i="1"/>
  <c r="B1891" i="1"/>
  <c r="B1890" i="1"/>
  <c r="B1889" i="1"/>
  <c r="B1887" i="1"/>
  <c r="B1886" i="1"/>
  <c r="B1884" i="1"/>
  <c r="B1883" i="1"/>
  <c r="B1882" i="1"/>
  <c r="B1881" i="1"/>
  <c r="B1880" i="1"/>
  <c r="B1879" i="1"/>
  <c r="B1877" i="1"/>
  <c r="B1876" i="1"/>
  <c r="B1875" i="1"/>
  <c r="B1874" i="1"/>
  <c r="B1873" i="1"/>
  <c r="B1872" i="1"/>
  <c r="B1871" i="1"/>
  <c r="B1870" i="1"/>
  <c r="B1869" i="1"/>
  <c r="B1868" i="1"/>
  <c r="B1867" i="1"/>
  <c r="B1866" i="1"/>
  <c r="B1864" i="1"/>
  <c r="B1863" i="1"/>
  <c r="B1862" i="1"/>
  <c r="B1861" i="1"/>
  <c r="B1860" i="1"/>
  <c r="B1859" i="1"/>
  <c r="B1858" i="1"/>
  <c r="B1857" i="1"/>
  <c r="B1856" i="1"/>
  <c r="B1855" i="1"/>
  <c r="B1854" i="1"/>
  <c r="B1853" i="1"/>
  <c r="B1852" i="1"/>
  <c r="B1851" i="1"/>
  <c r="B1850" i="1"/>
  <c r="B1849" i="1"/>
  <c r="B1848" i="1"/>
  <c r="B1847" i="1"/>
  <c r="B1846" i="1"/>
  <c r="B1845" i="1"/>
  <c r="B1844" i="1"/>
  <c r="B1842" i="1"/>
  <c r="B1841" i="1"/>
  <c r="B1840" i="1"/>
  <c r="B1839" i="1"/>
  <c r="B1838" i="1"/>
  <c r="B1837" i="1"/>
  <c r="B1836" i="1"/>
  <c r="B1835" i="1"/>
  <c r="B1834" i="1"/>
  <c r="B1833" i="1"/>
  <c r="B1832" i="1"/>
  <c r="B1831" i="1"/>
  <c r="B1830" i="1"/>
  <c r="B1829" i="1"/>
  <c r="B1828" i="1"/>
  <c r="B1827" i="1"/>
  <c r="B1826" i="1"/>
  <c r="B1825" i="1"/>
  <c r="B1824" i="1"/>
  <c r="B1823" i="1"/>
  <c r="B1822" i="1"/>
  <c r="B1821" i="1"/>
  <c r="B1820" i="1"/>
  <c r="B1819" i="1"/>
  <c r="B1818" i="1"/>
  <c r="B1817" i="1"/>
  <c r="B1816" i="1"/>
  <c r="B1815" i="1"/>
  <c r="B1814" i="1"/>
  <c r="B1813" i="1"/>
  <c r="B1812" i="1"/>
  <c r="B1811" i="1"/>
  <c r="B1810" i="1"/>
  <c r="B1809" i="1"/>
  <c r="B1808" i="1"/>
  <c r="B1807" i="1"/>
  <c r="B1806" i="1"/>
  <c r="B1805" i="1"/>
  <c r="B1804" i="1"/>
  <c r="B1803" i="1"/>
  <c r="B1801" i="1"/>
  <c r="B1800" i="1"/>
  <c r="B1799" i="1"/>
  <c r="B1798" i="1"/>
  <c r="B1797" i="1"/>
  <c r="B1796" i="1"/>
  <c r="B1795" i="1"/>
  <c r="B1794" i="1"/>
  <c r="B1793" i="1"/>
  <c r="B1792" i="1"/>
  <c r="B1791" i="1"/>
  <c r="B1790" i="1"/>
  <c r="B1789" i="1"/>
  <c r="B1788" i="1"/>
  <c r="B1787" i="1"/>
  <c r="B1786" i="1"/>
  <c r="B1785" i="1"/>
  <c r="B1784" i="1"/>
  <c r="B1783" i="1"/>
  <c r="B1782" i="1"/>
  <c r="B1781" i="1"/>
  <c r="B1780" i="1"/>
  <c r="B1779" i="1"/>
  <c r="B1778" i="1"/>
  <c r="B1777" i="1"/>
  <c r="B1776" i="1"/>
  <c r="B1774" i="1"/>
  <c r="B1773" i="1"/>
  <c r="B1771" i="1"/>
  <c r="B1770" i="1"/>
  <c r="B1769" i="1"/>
  <c r="B1768" i="1"/>
  <c r="B1767" i="1"/>
  <c r="B1766" i="1"/>
  <c r="B1765" i="1"/>
  <c r="B1764" i="1"/>
  <c r="B1763" i="1"/>
  <c r="B1762" i="1"/>
  <c r="B1761" i="1"/>
  <c r="B1760" i="1"/>
  <c r="B1759" i="1"/>
  <c r="B1758" i="1"/>
  <c r="B1756" i="1"/>
  <c r="B1755" i="1"/>
  <c r="B1753" i="1"/>
  <c r="B1752" i="1"/>
  <c r="B1751" i="1"/>
  <c r="B1750" i="1"/>
  <c r="B1749" i="1"/>
  <c r="B1748" i="1"/>
  <c r="B1747" i="1"/>
  <c r="B1746" i="1"/>
  <c r="B1745" i="1"/>
  <c r="B1744" i="1"/>
  <c r="B1743" i="1"/>
  <c r="B1742" i="1"/>
  <c r="B1741" i="1"/>
  <c r="B1740" i="1"/>
  <c r="B1739" i="1"/>
  <c r="B1738" i="1"/>
  <c r="B1737" i="1"/>
  <c r="B1736" i="1"/>
  <c r="B1735" i="1"/>
  <c r="B1734" i="1"/>
  <c r="B1733" i="1"/>
  <c r="B1732" i="1"/>
  <c r="B1731" i="1"/>
  <c r="B1730" i="1"/>
  <c r="B1729" i="1"/>
  <c r="B1728" i="1"/>
  <c r="B1727" i="1"/>
  <c r="B1726" i="1"/>
  <c r="B1725" i="1"/>
  <c r="B1724" i="1"/>
  <c r="B1723" i="1"/>
  <c r="B1722" i="1"/>
  <c r="B1721" i="1"/>
  <c r="B1720" i="1"/>
  <c r="B1719" i="1"/>
  <c r="B1718" i="1"/>
  <c r="B1717" i="1"/>
  <c r="B1716" i="1"/>
  <c r="B1715" i="1"/>
  <c r="B1714" i="1"/>
  <c r="B1713" i="1"/>
  <c r="B1712" i="1"/>
  <c r="B1711" i="1"/>
  <c r="B1710" i="1"/>
  <c r="B1709" i="1"/>
  <c r="B1708" i="1"/>
  <c r="B1707" i="1"/>
  <c r="B1706" i="1"/>
  <c r="B1705" i="1"/>
  <c r="B1704" i="1"/>
  <c r="B1703" i="1"/>
  <c r="B1702" i="1"/>
  <c r="B1701" i="1"/>
  <c r="B1700" i="1"/>
  <c r="B1699" i="1"/>
  <c r="B1698" i="1"/>
  <c r="B1697" i="1"/>
  <c r="B1696" i="1"/>
  <c r="B1695" i="1"/>
  <c r="B1694" i="1"/>
  <c r="B1693" i="1"/>
  <c r="B1692" i="1"/>
  <c r="B1691" i="1"/>
  <c r="B1690" i="1"/>
  <c r="B1689" i="1"/>
  <c r="B1688" i="1"/>
  <c r="B1687" i="1"/>
  <c r="B1686" i="1"/>
  <c r="B1685" i="1"/>
  <c r="B1684" i="1"/>
  <c r="B1683" i="1"/>
  <c r="B1682" i="1"/>
  <c r="B1681" i="1"/>
  <c r="B1680" i="1"/>
  <c r="B1679" i="1"/>
  <c r="B1678" i="1"/>
  <c r="B1677" i="1"/>
  <c r="B1676" i="1"/>
  <c r="B1675" i="1"/>
  <c r="B1674" i="1"/>
  <c r="B1673" i="1"/>
  <c r="B1672" i="1"/>
  <c r="B1671" i="1"/>
  <c r="B1670" i="1"/>
  <c r="B1669" i="1"/>
  <c r="B1668" i="1"/>
  <c r="B1667" i="1"/>
  <c r="B1666" i="1"/>
  <c r="B1665" i="1"/>
  <c r="B1664" i="1"/>
  <c r="B1663" i="1"/>
  <c r="B1662" i="1"/>
  <c r="B1660" i="1"/>
  <c r="B1659" i="1"/>
  <c r="B1658" i="1"/>
  <c r="B1657" i="1"/>
  <c r="B1656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29" i="1"/>
  <c r="B1628" i="1"/>
  <c r="B1627" i="1"/>
  <c r="B1626" i="1"/>
  <c r="B1625" i="1"/>
  <c r="B1624" i="1"/>
  <c r="B1623" i="1"/>
  <c r="B1622" i="1"/>
  <c r="B1621" i="1"/>
  <c r="B1620" i="1"/>
  <c r="B1619" i="1"/>
  <c r="B1618" i="1"/>
  <c r="B1617" i="1"/>
  <c r="B1616" i="1"/>
  <c r="B1615" i="1"/>
  <c r="B1614" i="1"/>
  <c r="B1613" i="1"/>
  <c r="B1612" i="1"/>
  <c r="B1611" i="1"/>
  <c r="B1610" i="1"/>
  <c r="B1609" i="1"/>
  <c r="B1608" i="1"/>
  <c r="B1607" i="1"/>
  <c r="B1606" i="1"/>
  <c r="B1605" i="1"/>
  <c r="B1603" i="1"/>
  <c r="B1602" i="1"/>
  <c r="B1601" i="1"/>
  <c r="B1600" i="1"/>
  <c r="B1599" i="1"/>
  <c r="B1598" i="1"/>
  <c r="B1597" i="1"/>
  <c r="B1596" i="1"/>
  <c r="B1595" i="1"/>
  <c r="B1594" i="1"/>
  <c r="B1593" i="1"/>
  <c r="B1592" i="1"/>
  <c r="B1591" i="1"/>
  <c r="B1590" i="1"/>
  <c r="B1589" i="1"/>
  <c r="B1588" i="1"/>
  <c r="B1587" i="1"/>
  <c r="B1586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566" i="1"/>
  <c r="B1565" i="1"/>
  <c r="B1564" i="1"/>
  <c r="B1563" i="1"/>
  <c r="B1562" i="1"/>
  <c r="B1561" i="1"/>
  <c r="B1560" i="1"/>
  <c r="B1559" i="1"/>
  <c r="B1558" i="1"/>
  <c r="B1557" i="1"/>
  <c r="B1556" i="1"/>
  <c r="B1555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1" i="1"/>
  <c r="B1500" i="1"/>
  <c r="B1499" i="1"/>
  <c r="B1498" i="1"/>
  <c r="B1497" i="1"/>
  <c r="B1495" i="1"/>
  <c r="B1494" i="1"/>
  <c r="B1493" i="1"/>
  <c r="B1492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3" i="1"/>
  <c r="B1472" i="1"/>
  <c r="B1471" i="1"/>
  <c r="B1470" i="1"/>
  <c r="B1469" i="1"/>
  <c r="B1468" i="1"/>
  <c r="B1467" i="1"/>
  <c r="B1466" i="1"/>
  <c r="B1465" i="1"/>
  <c r="B1464" i="1"/>
  <c r="B1463" i="1"/>
  <c r="B1462" i="1"/>
  <c r="B1461" i="1"/>
  <c r="B1460" i="1"/>
  <c r="B1458" i="1"/>
  <c r="B1457" i="1"/>
  <c r="B1456" i="1"/>
  <c r="B1455" i="1"/>
  <c r="B1454" i="1"/>
  <c r="B1453" i="1"/>
  <c r="B1452" i="1"/>
  <c r="B1450" i="1"/>
  <c r="B1449" i="1"/>
  <c r="B1448" i="1"/>
  <c r="B1447" i="1"/>
  <c r="B1446" i="1"/>
  <c r="B1445" i="1"/>
  <c r="B1444" i="1"/>
  <c r="B1443" i="1"/>
  <c r="B1442" i="1"/>
  <c r="B1441" i="1"/>
  <c r="B1440" i="1"/>
  <c r="B1439" i="1"/>
  <c r="B1438" i="1"/>
  <c r="B1437" i="1"/>
  <c r="B1436" i="1"/>
  <c r="B1435" i="1"/>
  <c r="B1434" i="1"/>
  <c r="B1433" i="1"/>
  <c r="B1432" i="1"/>
  <c r="B1431" i="1"/>
  <c r="B1430" i="1"/>
  <c r="B1429" i="1"/>
  <c r="B1428" i="1"/>
  <c r="B1427" i="1"/>
  <c r="B1426" i="1"/>
  <c r="B1425" i="1"/>
  <c r="B1424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7" i="1"/>
  <c r="B1376" i="1"/>
  <c r="B1375" i="1"/>
  <c r="B1374" i="1"/>
  <c r="B1373" i="1"/>
  <c r="B1372" i="1"/>
  <c r="B1371" i="1"/>
  <c r="B1370" i="1"/>
  <c r="B1369" i="1"/>
  <c r="B1368" i="1"/>
  <c r="B1367" i="1"/>
  <c r="B1366" i="1"/>
  <c r="B1365" i="1"/>
  <c r="B1364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2" i="1"/>
  <c r="B1331" i="1"/>
  <c r="B1330" i="1"/>
  <c r="B1329" i="1"/>
  <c r="B1328" i="1"/>
  <c r="B1327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90" i="1"/>
  <c r="B1289" i="1"/>
  <c r="B1288" i="1"/>
  <c r="B1287" i="1"/>
  <c r="B1286" i="1"/>
  <c r="B1285" i="1"/>
  <c r="B1284" i="1"/>
  <c r="B1283" i="1"/>
  <c r="B1282" i="1"/>
  <c r="B1281" i="1"/>
  <c r="B1280" i="1"/>
  <c r="B1279" i="1"/>
  <c r="B1278" i="1"/>
  <c r="B1277" i="1"/>
  <c r="B1276" i="1"/>
  <c r="B1275" i="1"/>
  <c r="B1274" i="1"/>
  <c r="B1273" i="1"/>
  <c r="B1272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B1225" i="1"/>
  <c r="B1224" i="1"/>
  <c r="B1223" i="1"/>
  <c r="B1222" i="1"/>
  <c r="B1221" i="1"/>
  <c r="B1220" i="1"/>
  <c r="B1219" i="1"/>
  <c r="B1218" i="1"/>
  <c r="B1217" i="1"/>
  <c r="B1216" i="1"/>
  <c r="B1215" i="1"/>
  <c r="B1214" i="1"/>
  <c r="B1213" i="1"/>
  <c r="B1212" i="1"/>
  <c r="B1211" i="1"/>
  <c r="B1210" i="1"/>
  <c r="B1209" i="1"/>
  <c r="B1208" i="1"/>
  <c r="B1207" i="1"/>
  <c r="B1206" i="1"/>
  <c r="B1205" i="1"/>
  <c r="B1204" i="1"/>
  <c r="B1201" i="1"/>
  <c r="B1199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1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2" i="1"/>
  <c r="B611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104" i="1"/>
  <c r="B105" i="1"/>
  <c r="B106" i="1"/>
  <c r="B107" i="1"/>
  <c r="B108" i="1"/>
  <c r="B109" i="1"/>
  <c r="B110" i="1"/>
  <c r="B111" i="1"/>
  <c r="B112" i="1"/>
  <c r="B113" i="1"/>
  <c r="B114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" i="1"/>
  <c r="Q3087" i="1"/>
  <c r="Q2338" i="1"/>
  <c r="Q2209" i="1"/>
  <c r="Q1934" i="1"/>
  <c r="Q1556" i="1"/>
  <c r="Q851" i="1"/>
  <c r="Q778" i="1"/>
  <c r="Q132" i="1"/>
  <c r="Q3200" i="1"/>
  <c r="Q3101" i="1"/>
  <c r="Q2982" i="1"/>
  <c r="Q2976" i="1"/>
  <c r="Q2838" i="1"/>
  <c r="Q2422" i="1"/>
  <c r="Q2237" i="1"/>
  <c r="Q2236" i="1"/>
  <c r="Q2178" i="1"/>
  <c r="Q2125" i="1"/>
  <c r="Q1977" i="1"/>
  <c r="Q1973" i="1"/>
  <c r="Q1689" i="1"/>
  <c r="Q1572" i="1"/>
  <c r="Q1347" i="1"/>
  <c r="Q1321" i="1"/>
  <c r="Q1310" i="1"/>
  <c r="Q1171" i="1"/>
  <c r="Q849" i="1"/>
  <c r="Q819" i="1"/>
  <c r="Q530" i="1"/>
  <c r="Q373" i="1"/>
  <c r="Q349" i="1"/>
  <c r="CD1712" i="1"/>
  <c r="CC1712" i="1"/>
  <c r="F3213" i="1" l="1"/>
  <c r="G3213" i="1"/>
  <c r="CD3200" i="1"/>
  <c r="CD3188" i="1"/>
  <c r="CD3101" i="1"/>
  <c r="CD3087" i="1"/>
  <c r="CD3086" i="1"/>
  <c r="CD3010" i="1"/>
  <c r="CD2982" i="1"/>
  <c r="CD2976" i="1"/>
  <c r="CD2838" i="1"/>
  <c r="CD2803" i="1"/>
  <c r="CD2736" i="1"/>
  <c r="CD2581" i="1"/>
  <c r="CD2422" i="1"/>
  <c r="CD2338" i="1"/>
  <c r="CD2311" i="1"/>
  <c r="CD2237" i="1"/>
  <c r="CD2236" i="1"/>
  <c r="CD2224" i="1"/>
  <c r="CD2209" i="1"/>
  <c r="CD2178" i="1"/>
  <c r="CD2125" i="1"/>
  <c r="CD2097" i="1"/>
  <c r="CD2055" i="1"/>
  <c r="CD1989" i="1"/>
  <c r="CD1977" i="1"/>
  <c r="CD1973" i="1"/>
  <c r="CD1934" i="1"/>
  <c r="CD1896" i="1"/>
  <c r="CD1856" i="1"/>
  <c r="CD1806" i="1"/>
  <c r="CD1741" i="1"/>
  <c r="CD1708" i="1"/>
  <c r="CD1697" i="1"/>
  <c r="CD1689" i="1"/>
  <c r="CD1682" i="1"/>
  <c r="CD1664" i="1"/>
  <c r="CD1636" i="1"/>
  <c r="CD1572" i="1"/>
  <c r="CD1556" i="1"/>
  <c r="CD1533" i="1"/>
  <c r="CD1529" i="1"/>
  <c r="CD1491" i="1"/>
  <c r="CD1403" i="1"/>
  <c r="CD1364" i="1"/>
  <c r="CD1358" i="1"/>
  <c r="CD1347" i="1"/>
  <c r="CD1321" i="1"/>
  <c r="CD1310" i="1"/>
  <c r="CD1252" i="1"/>
  <c r="CD1171" i="1"/>
  <c r="CD1143" i="1"/>
  <c r="CD1035" i="1"/>
  <c r="CD888" i="1"/>
  <c r="CD851" i="1"/>
  <c r="CD849" i="1"/>
  <c r="CD819" i="1"/>
  <c r="CD778" i="1"/>
  <c r="CD709" i="1"/>
  <c r="CD530" i="1"/>
  <c r="CD373" i="1"/>
  <c r="CD349" i="1"/>
  <c r="CD297" i="1"/>
  <c r="CD132" i="1"/>
  <c r="CD111" i="1"/>
  <c r="BF2828" i="1"/>
  <c r="BF2821" i="1"/>
  <c r="BF2772" i="1"/>
  <c r="BF2677" i="1"/>
  <c r="BF2373" i="1"/>
  <c r="BF2150" i="1"/>
  <c r="BF1832" i="1"/>
  <c r="BF1483" i="1"/>
  <c r="BF1352" i="1"/>
  <c r="BF1248" i="1"/>
  <c r="BF1226" i="1"/>
  <c r="BF1104" i="1"/>
  <c r="BF1058" i="1"/>
  <c r="BF915" i="1"/>
  <c r="BF723" i="1"/>
  <c r="BF701" i="1"/>
  <c r="CD3125" i="1"/>
  <c r="CD3082" i="1"/>
  <c r="CD3057" i="1"/>
  <c r="CD2930" i="1"/>
  <c r="CD2885" i="1"/>
  <c r="CD2858" i="1"/>
  <c r="CD2835" i="1"/>
  <c r="CD2786" i="1"/>
  <c r="CD2693" i="1"/>
  <c r="CD2667" i="1"/>
  <c r="CD2658" i="1"/>
  <c r="CD2622" i="1"/>
  <c r="CD2420" i="1"/>
  <c r="CD2279" i="1"/>
  <c r="CD2262" i="1"/>
  <c r="CD2247" i="1"/>
  <c r="CD2217" i="1"/>
  <c r="CD2017" i="1"/>
  <c r="CD1976" i="1"/>
  <c r="CD1793" i="1"/>
  <c r="CD1597" i="1"/>
  <c r="CD1319" i="1"/>
  <c r="CD1099" i="1"/>
  <c r="CD856" i="1"/>
  <c r="CC3204" i="1"/>
  <c r="CC3203" i="1"/>
  <c r="CC3202" i="1"/>
  <c r="CC3199" i="1"/>
  <c r="CD3196" i="1"/>
  <c r="CC3195" i="1"/>
  <c r="CC3194" i="1"/>
  <c r="CC3193" i="1"/>
  <c r="CC3192" i="1"/>
  <c r="CC3191" i="1"/>
  <c r="CD3190" i="1"/>
  <c r="CC3189" i="1"/>
  <c r="CC3185" i="1"/>
  <c r="CC3179" i="1"/>
  <c r="CC3178" i="1"/>
  <c r="CC3176" i="1"/>
  <c r="CC3175" i="1"/>
  <c r="CC3173" i="1"/>
  <c r="CC3172" i="1"/>
  <c r="CC3171" i="1"/>
  <c r="CC3168" i="1"/>
  <c r="CC3165" i="1"/>
  <c r="CC3162" i="1"/>
  <c r="CD3161" i="1"/>
  <c r="CC3157" i="1"/>
  <c r="CC3156" i="1"/>
  <c r="CC3155" i="1"/>
  <c r="CD3149" i="1"/>
  <c r="CC3148" i="1"/>
  <c r="CC3146" i="1"/>
  <c r="CC3140" i="1"/>
  <c r="CC3138" i="1"/>
  <c r="CC3135" i="1"/>
  <c r="CD3134" i="1"/>
  <c r="CC3133" i="1"/>
  <c r="CC3132" i="1"/>
  <c r="CC3130" i="1"/>
  <c r="CD3129" i="1"/>
  <c r="CC3128" i="1"/>
  <c r="CC3127" i="1"/>
  <c r="CC3126" i="1"/>
  <c r="CD3123" i="1"/>
  <c r="CC3122" i="1"/>
  <c r="CC3120" i="1"/>
  <c r="CC3119" i="1"/>
  <c r="CC3118" i="1"/>
  <c r="CC3116" i="1"/>
  <c r="CC3115" i="1"/>
  <c r="CC3114" i="1"/>
  <c r="CC3113" i="1"/>
  <c r="CC3112" i="1"/>
  <c r="CD3111" i="1"/>
  <c r="CC3110" i="1"/>
  <c r="CD3109" i="1"/>
  <c r="CC3108" i="1"/>
  <c r="CC3106" i="1"/>
  <c r="CC3104" i="1"/>
  <c r="CD3103" i="1"/>
  <c r="CC3100" i="1"/>
  <c r="CC3092" i="1"/>
  <c r="CC3091" i="1"/>
  <c r="CD3090" i="1"/>
  <c r="CC3088" i="1"/>
  <c r="CC3084" i="1"/>
  <c r="CC3080" i="1"/>
  <c r="CD3078" i="1"/>
  <c r="CC3077" i="1"/>
  <c r="CD3076" i="1"/>
  <c r="CC3070" i="1"/>
  <c r="CC3069" i="1"/>
  <c r="CC3068" i="1"/>
  <c r="CC3065" i="1"/>
  <c r="CC3060" i="1"/>
  <c r="CC3059" i="1"/>
  <c r="CD3055" i="1"/>
  <c r="CC3053" i="1"/>
  <c r="CC3052" i="1"/>
  <c r="CC3050" i="1"/>
  <c r="CD3049" i="1"/>
  <c r="CC3047" i="1"/>
  <c r="CC3041" i="1"/>
  <c r="CC3036" i="1"/>
  <c r="CC3035" i="1"/>
  <c r="CC3034" i="1"/>
  <c r="CC3033" i="1"/>
  <c r="CC3030" i="1"/>
  <c r="CC3024" i="1"/>
  <c r="CC3022" i="1"/>
  <c r="CC3021" i="1"/>
  <c r="CC3020" i="1"/>
  <c r="CC3018" i="1"/>
  <c r="CC3016" i="1"/>
  <c r="CD3014" i="1"/>
  <c r="CD3012" i="1"/>
  <c r="CC3007" i="1"/>
  <c r="CC3005" i="1"/>
  <c r="CD3001" i="1"/>
  <c r="CC2995" i="1"/>
  <c r="CC2991" i="1"/>
  <c r="CD2990" i="1"/>
  <c r="CD2985" i="1"/>
  <c r="CC2981" i="1"/>
  <c r="CD2979" i="1"/>
  <c r="CD2978" i="1"/>
  <c r="CD2977" i="1"/>
  <c r="CD2973" i="1"/>
  <c r="CC2971" i="1"/>
  <c r="CC2970" i="1"/>
  <c r="CC2966" i="1"/>
  <c r="CC2959" i="1"/>
  <c r="CC2957" i="1"/>
  <c r="CC2956" i="1"/>
  <c r="CC2954" i="1"/>
  <c r="CC2952" i="1"/>
  <c r="CC2949" i="1"/>
  <c r="CC2948" i="1"/>
  <c r="CC2942" i="1"/>
  <c r="CC2941" i="1"/>
  <c r="CC2940" i="1"/>
  <c r="CC2936" i="1"/>
  <c r="CC2935" i="1"/>
  <c r="CC2928" i="1"/>
  <c r="CC2927" i="1"/>
  <c r="CC2926" i="1"/>
  <c r="CC2925" i="1"/>
  <c r="CC2923" i="1"/>
  <c r="CD2922" i="1"/>
  <c r="CC2917" i="1"/>
  <c r="CC2916" i="1"/>
  <c r="CD2911" i="1"/>
  <c r="CC2910" i="1"/>
  <c r="CC2909" i="1"/>
  <c r="CC2908" i="1"/>
  <c r="CC2905" i="1"/>
  <c r="CD2904" i="1"/>
  <c r="CD2901" i="1"/>
  <c r="CC2898" i="1"/>
  <c r="CC2897" i="1"/>
  <c r="CD2895" i="1"/>
  <c r="CC2894" i="1"/>
  <c r="CC2890" i="1"/>
  <c r="CC2889" i="1"/>
  <c r="CD2887" i="1"/>
  <c r="CD2886" i="1"/>
  <c r="CC2884" i="1"/>
  <c r="CC2883" i="1"/>
  <c r="CC2881" i="1"/>
  <c r="CC2879" i="1"/>
  <c r="CC2876" i="1"/>
  <c r="CD2874" i="1"/>
  <c r="CC2873" i="1"/>
  <c r="CC2872" i="1"/>
  <c r="CC2871" i="1"/>
  <c r="CD2867" i="1"/>
  <c r="CC2866" i="1"/>
  <c r="CC2861" i="1"/>
  <c r="CC2857" i="1"/>
  <c r="CD2856" i="1"/>
  <c r="CC2850" i="1"/>
  <c r="CC2849" i="1"/>
  <c r="CC2846" i="1"/>
  <c r="CC2844" i="1"/>
  <c r="CC2840" i="1"/>
  <c r="CC2839" i="1"/>
  <c r="CC2837" i="1"/>
  <c r="CC2836" i="1"/>
  <c r="CD2831" i="1"/>
  <c r="CC2830" i="1"/>
  <c r="CC2826" i="1"/>
  <c r="CC2825" i="1"/>
  <c r="CC2823" i="1"/>
  <c r="CC2820" i="1"/>
  <c r="CC2819" i="1"/>
  <c r="CC2818" i="1"/>
  <c r="CC2816" i="1"/>
  <c r="CD2815" i="1"/>
  <c r="CC2814" i="1"/>
  <c r="CD2812" i="1"/>
  <c r="CD2810" i="1"/>
  <c r="CC2809" i="1"/>
  <c r="CC2805" i="1"/>
  <c r="CC2800" i="1"/>
  <c r="CD2799" i="1"/>
  <c r="CC2797" i="1"/>
  <c r="CD2796" i="1"/>
  <c r="CC2794" i="1"/>
  <c r="CC2792" i="1"/>
  <c r="CC2788" i="1"/>
  <c r="CC2787" i="1"/>
  <c r="CC2785" i="1"/>
  <c r="CD2781" i="1"/>
  <c r="CC2779" i="1"/>
  <c r="CC2776" i="1"/>
  <c r="CC2775" i="1"/>
  <c r="CD2773" i="1"/>
  <c r="CD2771" i="1"/>
  <c r="CD2770" i="1"/>
  <c r="CC2768" i="1"/>
  <c r="CC2767" i="1"/>
  <c r="CC2766" i="1"/>
  <c r="CC2764" i="1"/>
  <c r="CC2753" i="1"/>
  <c r="CD2752" i="1"/>
  <c r="CC2751" i="1"/>
  <c r="CC2749" i="1"/>
  <c r="CC2748" i="1"/>
  <c r="CD2746" i="1"/>
  <c r="CC2745" i="1"/>
  <c r="CC2739" i="1"/>
  <c r="CD2739" i="1" s="1"/>
  <c r="CC2737" i="1"/>
  <c r="CD2735" i="1"/>
  <c r="CC2733" i="1"/>
  <c r="CC2730" i="1"/>
  <c r="CD2725" i="1"/>
  <c r="CD2722" i="1"/>
  <c r="CD2721" i="1"/>
  <c r="CC2719" i="1"/>
  <c r="CC2718" i="1"/>
  <c r="CD2713" i="1"/>
  <c r="CC2711" i="1"/>
  <c r="CC2709" i="1"/>
  <c r="CC2707" i="1"/>
  <c r="CD2706" i="1"/>
  <c r="CC2697" i="1"/>
  <c r="CC2694" i="1"/>
  <c r="CD2690" i="1"/>
  <c r="CC2689" i="1"/>
  <c r="CC2688" i="1"/>
  <c r="CC2687" i="1"/>
  <c r="CC2682" i="1"/>
  <c r="CD2680" i="1"/>
  <c r="CC2673" i="1"/>
  <c r="CD2671" i="1"/>
  <c r="CC2670" i="1"/>
  <c r="CC2666" i="1"/>
  <c r="CD2666" i="1" s="1"/>
  <c r="CC2665" i="1"/>
  <c r="CC2662" i="1"/>
  <c r="CC2661" i="1"/>
  <c r="CC2660" i="1"/>
  <c r="CD2657" i="1"/>
  <c r="CC2656" i="1"/>
  <c r="CC2655" i="1"/>
  <c r="CC2654" i="1"/>
  <c r="CD2652" i="1"/>
  <c r="CC2651" i="1"/>
  <c r="CD2648" i="1"/>
  <c r="CD2647" i="1"/>
  <c r="CD2646" i="1"/>
  <c r="CC2645" i="1"/>
  <c r="CC2640" i="1"/>
  <c r="CC2639" i="1"/>
  <c r="CC2637" i="1"/>
  <c r="CC2635" i="1"/>
  <c r="CC2634" i="1"/>
  <c r="CC2625" i="1"/>
  <c r="CD2624" i="1"/>
  <c r="CC2623" i="1"/>
  <c r="CC2621" i="1"/>
  <c r="CC2619" i="1"/>
  <c r="CC2618" i="1"/>
  <c r="CC2614" i="1"/>
  <c r="CC2613" i="1"/>
  <c r="CC2612" i="1"/>
  <c r="CC2611" i="1"/>
  <c r="CC2609" i="1"/>
  <c r="CC2608" i="1"/>
  <c r="CC2606" i="1"/>
  <c r="CC2605" i="1"/>
  <c r="CC2604" i="1"/>
  <c r="CC2603" i="1"/>
  <c r="CD2602" i="1"/>
  <c r="CC2601" i="1"/>
  <c r="CC2600" i="1"/>
  <c r="CC2597" i="1"/>
  <c r="CC2595" i="1"/>
  <c r="CC2594" i="1"/>
  <c r="CC2592" i="1"/>
  <c r="CC2590" i="1"/>
  <c r="CC2588" i="1"/>
  <c r="CC2587" i="1"/>
  <c r="CD2584" i="1"/>
  <c r="CD2583" i="1"/>
  <c r="CC2582" i="1"/>
  <c r="CC2579" i="1"/>
  <c r="CC2575" i="1"/>
  <c r="CC2574" i="1"/>
  <c r="CC2573" i="1"/>
  <c r="CC2571" i="1"/>
  <c r="CC2570" i="1"/>
  <c r="CC2565" i="1"/>
  <c r="CC2564" i="1"/>
  <c r="CC2563" i="1"/>
  <c r="CC2562" i="1"/>
  <c r="CC2559" i="1"/>
  <c r="CD2556" i="1"/>
  <c r="CC2555" i="1"/>
  <c r="CC2554" i="1"/>
  <c r="CC2551" i="1"/>
  <c r="CC2548" i="1"/>
  <c r="CC2545" i="1"/>
  <c r="CC2536" i="1"/>
  <c r="CD2535" i="1"/>
  <c r="CC2533" i="1"/>
  <c r="CC2527" i="1"/>
  <c r="CC2522" i="1"/>
  <c r="CC2519" i="1"/>
  <c r="CC2514" i="1"/>
  <c r="CC2510" i="1"/>
  <c r="CC2503" i="1"/>
  <c r="CC2501" i="1"/>
  <c r="CC2495" i="1"/>
  <c r="CD2493" i="1"/>
  <c r="CC2492" i="1"/>
  <c r="CD2492" i="1" s="1"/>
  <c r="CD2491" i="1"/>
  <c r="CC2485" i="1"/>
  <c r="CC2474" i="1"/>
  <c r="CD2471" i="1"/>
  <c r="CC2470" i="1"/>
  <c r="CC2466" i="1"/>
  <c r="CC2465" i="1"/>
  <c r="CC2463" i="1"/>
  <c r="CC2461" i="1"/>
  <c r="CD2461" i="1" s="1"/>
  <c r="CD2460" i="1"/>
  <c r="CC2455" i="1"/>
  <c r="CC2453" i="1"/>
  <c r="CC2451" i="1"/>
  <c r="CC2448" i="1"/>
  <c r="CC2447" i="1"/>
  <c r="CC2446" i="1"/>
  <c r="CC2440" i="1"/>
  <c r="CC2435" i="1"/>
  <c r="CC2430" i="1"/>
  <c r="CC2425" i="1"/>
  <c r="CD2417" i="1"/>
  <c r="CC2407" i="1"/>
  <c r="CC2402" i="1"/>
  <c r="CC2400" i="1"/>
  <c r="CD2390" i="1"/>
  <c r="CC2385" i="1"/>
  <c r="CC2372" i="1"/>
  <c r="CC2370" i="1"/>
  <c r="CD2364" i="1"/>
  <c r="CC2359" i="1"/>
  <c r="CC2350" i="1"/>
  <c r="CC2344" i="1"/>
  <c r="CC2343" i="1"/>
  <c r="CC2333" i="1"/>
  <c r="CC2331" i="1"/>
  <c r="CC2329" i="1"/>
  <c r="CC2328" i="1"/>
  <c r="CC2327" i="1"/>
  <c r="CD2322" i="1"/>
  <c r="CC2321" i="1"/>
  <c r="CC2318" i="1"/>
  <c r="CC2313" i="1"/>
  <c r="CC2312" i="1"/>
  <c r="CD2310" i="1"/>
  <c r="CC2308" i="1"/>
  <c r="CC2306" i="1"/>
  <c r="CC2305" i="1"/>
  <c r="CC2303" i="1"/>
  <c r="CC2300" i="1"/>
  <c r="CC2296" i="1"/>
  <c r="CC2293" i="1"/>
  <c r="CC2291" i="1"/>
  <c r="CC2285" i="1"/>
  <c r="CC2280" i="1"/>
  <c r="CC2278" i="1"/>
  <c r="CC2276" i="1"/>
  <c r="CC2274" i="1"/>
  <c r="CC2273" i="1"/>
  <c r="CC2272" i="1"/>
  <c r="CC2270" i="1"/>
  <c r="CC2265" i="1"/>
  <c r="CD2260" i="1"/>
  <c r="CC2259" i="1"/>
  <c r="CC2258" i="1"/>
  <c r="CC2256" i="1"/>
  <c r="CC2250" i="1"/>
  <c r="CD2248" i="1"/>
  <c r="CC2245" i="1"/>
  <c r="CC2244" i="1"/>
  <c r="CC2243" i="1"/>
  <c r="CC2240" i="1"/>
  <c r="CD2232" i="1"/>
  <c r="CC2229" i="1"/>
  <c r="CC2225" i="1"/>
  <c r="CC2218" i="1"/>
  <c r="CC2213" i="1"/>
  <c r="CC2211" i="1"/>
  <c r="CC2210" i="1"/>
  <c r="CC2205" i="1"/>
  <c r="CD2204" i="1"/>
  <c r="CD2202" i="1"/>
  <c r="CC2194" i="1"/>
  <c r="CC2189" i="1"/>
  <c r="CC2187" i="1"/>
  <c r="CC2177" i="1"/>
  <c r="CC2176" i="1"/>
  <c r="CC2175" i="1"/>
  <c r="CC2174" i="1"/>
  <c r="CC2163" i="1"/>
  <c r="CC2160" i="1"/>
  <c r="CC2159" i="1"/>
  <c r="CC2157" i="1"/>
  <c r="CC2154" i="1"/>
  <c r="CC2146" i="1"/>
  <c r="CC2144" i="1"/>
  <c r="CC2142" i="1"/>
  <c r="CC2137" i="1"/>
  <c r="CC2134" i="1"/>
  <c r="CC2132" i="1"/>
  <c r="CD2131" i="1"/>
  <c r="CC2124" i="1"/>
  <c r="CC2123" i="1"/>
  <c r="CC2121" i="1"/>
  <c r="CD2120" i="1"/>
  <c r="CC2117" i="1"/>
  <c r="CC2106" i="1"/>
  <c r="CC2105" i="1"/>
  <c r="CC2103" i="1"/>
  <c r="CC2102" i="1"/>
  <c r="CD2095" i="1"/>
  <c r="CC2091" i="1"/>
  <c r="CD2088" i="1"/>
  <c r="CC2087" i="1"/>
  <c r="CC2085" i="1"/>
  <c r="CD2082" i="1"/>
  <c r="CC2080" i="1"/>
  <c r="CC2078" i="1"/>
  <c r="CC2075" i="1"/>
  <c r="CC2073" i="1"/>
  <c r="CC2072" i="1"/>
  <c r="CC2066" i="1"/>
  <c r="CC2064" i="1"/>
  <c r="CD2062" i="1"/>
  <c r="CC2059" i="1"/>
  <c r="CC2054" i="1"/>
  <c r="CC2052" i="1"/>
  <c r="CC2047" i="1"/>
  <c r="CC2046" i="1"/>
  <c r="CD2045" i="1"/>
  <c r="CC2043" i="1"/>
  <c r="CC2036" i="1"/>
  <c r="CD2034" i="1"/>
  <c r="CC2033" i="1"/>
  <c r="CC2031" i="1"/>
  <c r="CC2030" i="1"/>
  <c r="CC2027" i="1"/>
  <c r="CC2025" i="1"/>
  <c r="CC2016" i="1"/>
  <c r="CC2012" i="1"/>
  <c r="CC2008" i="1"/>
  <c r="CC2006" i="1"/>
  <c r="CC1998" i="1"/>
  <c r="CC1994" i="1"/>
  <c r="CC1988" i="1"/>
  <c r="CC1983" i="1"/>
  <c r="CC1981" i="1"/>
  <c r="CD1980" i="1"/>
  <c r="CC1979" i="1"/>
  <c r="CC1978" i="1"/>
  <c r="CC1974" i="1"/>
  <c r="CC1968" i="1"/>
  <c r="CC1967" i="1"/>
  <c r="CC1966" i="1"/>
  <c r="CD1959" i="1"/>
  <c r="CC1952" i="1"/>
  <c r="CC1951" i="1"/>
  <c r="CC1936" i="1"/>
  <c r="CC1935" i="1"/>
  <c r="CC1932" i="1"/>
  <c r="CD1929" i="1"/>
  <c r="CC1928" i="1"/>
  <c r="CC1922" i="1"/>
  <c r="CC1921" i="1"/>
  <c r="CC1912" i="1"/>
  <c r="CC1911" i="1"/>
  <c r="CC1910" i="1"/>
  <c r="CD1908" i="1"/>
  <c r="CC1907" i="1"/>
  <c r="CC1905" i="1"/>
  <c r="CC1903" i="1"/>
  <c r="CC1900" i="1"/>
  <c r="CC1894" i="1"/>
  <c r="CD1890" i="1"/>
  <c r="CC1884" i="1"/>
  <c r="CC1883" i="1"/>
  <c r="CC1876" i="1"/>
  <c r="CC1873" i="1"/>
  <c r="CC1872" i="1"/>
  <c r="CC1868" i="1"/>
  <c r="CD1863" i="1"/>
  <c r="CC1862" i="1"/>
  <c r="CC1860" i="1"/>
  <c r="CC1858" i="1"/>
  <c r="CC1857" i="1"/>
  <c r="CC1855" i="1"/>
  <c r="CC1852" i="1"/>
  <c r="CD1851" i="1"/>
  <c r="CC1845" i="1"/>
  <c r="CC1839" i="1"/>
  <c r="CC1837" i="1"/>
  <c r="CC1831" i="1"/>
  <c r="CC1829" i="1"/>
  <c r="CC1828" i="1"/>
  <c r="CC1825" i="1"/>
  <c r="CC1819" i="1"/>
  <c r="CC1818" i="1"/>
  <c r="CD1817" i="1"/>
  <c r="CD1816" i="1"/>
  <c r="CC1815" i="1"/>
  <c r="CC1813" i="1"/>
  <c r="CD1808" i="1"/>
  <c r="CC1807" i="1"/>
  <c r="CC1798" i="1"/>
  <c r="CC1789" i="1"/>
  <c r="CC1784" i="1"/>
  <c r="CC1770" i="1"/>
  <c r="CC1769" i="1"/>
  <c r="CC1768" i="1"/>
  <c r="CD1763" i="1"/>
  <c r="CC1759" i="1"/>
  <c r="CD1751" i="1"/>
  <c r="CC1748" i="1"/>
  <c r="CC1747" i="1"/>
  <c r="CC1745" i="1"/>
  <c r="CC1739" i="1"/>
  <c r="CC1738" i="1"/>
  <c r="CC1736" i="1"/>
  <c r="CC1735" i="1"/>
  <c r="CC1733" i="1"/>
  <c r="CD1728" i="1"/>
  <c r="CC1727" i="1"/>
  <c r="CC1725" i="1"/>
  <c r="CC1723" i="1"/>
  <c r="CC1718" i="1"/>
  <c r="CD1713" i="1"/>
  <c r="CC1706" i="1"/>
  <c r="CC1702" i="1"/>
  <c r="CC1701" i="1"/>
  <c r="CC1700" i="1"/>
  <c r="CC1699" i="1"/>
  <c r="CC1696" i="1"/>
  <c r="CD1695" i="1"/>
  <c r="CC1693" i="1"/>
  <c r="CC1687" i="1"/>
  <c r="CC1685" i="1"/>
  <c r="CC1683" i="1"/>
  <c r="CD1683" i="1" s="1"/>
  <c r="CC1680" i="1"/>
  <c r="CC1675" i="1"/>
  <c r="CC1670" i="1"/>
  <c r="CC1669" i="1"/>
  <c r="CC1666" i="1"/>
  <c r="CD1656" i="1"/>
  <c r="CC1652" i="1"/>
  <c r="CC1651" i="1"/>
  <c r="CC1650" i="1"/>
  <c r="CD1648" i="1"/>
  <c r="CC1647" i="1"/>
  <c r="CC1646" i="1"/>
  <c r="CC1638" i="1"/>
  <c r="CC1637" i="1"/>
  <c r="CC1633" i="1"/>
  <c r="CD1623" i="1"/>
  <c r="CD1622" i="1"/>
  <c r="CC1620" i="1"/>
  <c r="CC1616" i="1"/>
  <c r="CC1613" i="1"/>
  <c r="CC1612" i="1"/>
  <c r="CC1608" i="1"/>
  <c r="CD1608" i="1" s="1"/>
  <c r="CC1606" i="1"/>
  <c r="CD1592" i="1"/>
  <c r="CC1590" i="1"/>
  <c r="CD1589" i="1"/>
  <c r="CC1588" i="1"/>
  <c r="CC1587" i="1"/>
  <c r="CC1584" i="1"/>
  <c r="CC1583" i="1"/>
  <c r="CD1578" i="1"/>
  <c r="CC1577" i="1"/>
  <c r="CC1571" i="1"/>
  <c r="CD1568" i="1"/>
  <c r="CC1566" i="1"/>
  <c r="CC1565" i="1"/>
  <c r="CC1564" i="1"/>
  <c r="CC1560" i="1"/>
  <c r="CC1559" i="1"/>
  <c r="CD1559" i="1" s="1"/>
  <c r="CC1555" i="1"/>
  <c r="CD1552" i="1"/>
  <c r="CC1551" i="1"/>
  <c r="CC1543" i="1"/>
  <c r="CC1534" i="1"/>
  <c r="CD1531" i="1"/>
  <c r="CC1527" i="1"/>
  <c r="CC1526" i="1"/>
  <c r="CC1525" i="1"/>
  <c r="CC1522" i="1"/>
  <c r="CC1521" i="1"/>
  <c r="CC1520" i="1"/>
  <c r="CD1515" i="1"/>
  <c r="CC1514" i="1"/>
  <c r="CC1510" i="1"/>
  <c r="CC1503" i="1"/>
  <c r="CC1501" i="1"/>
  <c r="CC1487" i="1"/>
  <c r="CC1485" i="1"/>
  <c r="CC1484" i="1"/>
  <c r="CC1482" i="1"/>
  <c r="CD1477" i="1"/>
  <c r="CC1475" i="1"/>
  <c r="CC1472" i="1"/>
  <c r="CC1471" i="1"/>
  <c r="CC1467" i="1"/>
  <c r="CC1466" i="1"/>
  <c r="CC1465" i="1"/>
  <c r="CC1463" i="1"/>
  <c r="CC1455" i="1"/>
  <c r="CC1453" i="1"/>
  <c r="CC1452" i="1"/>
  <c r="CC1445" i="1"/>
  <c r="CC1444" i="1"/>
  <c r="CC1441" i="1"/>
  <c r="CC1439" i="1"/>
  <c r="CC1437" i="1"/>
  <c r="CC1436" i="1"/>
  <c r="CC1433" i="1"/>
  <c r="CC1430" i="1"/>
  <c r="CD1428" i="1"/>
  <c r="CC1427" i="1"/>
  <c r="CC1426" i="1"/>
  <c r="CC1423" i="1"/>
  <c r="CD1421" i="1"/>
  <c r="CC1417" i="1"/>
  <c r="CC1412" i="1"/>
  <c r="CC1411" i="1"/>
  <c r="CD1410" i="1"/>
  <c r="CC1408" i="1"/>
  <c r="CC1405" i="1"/>
  <c r="CC1402" i="1"/>
  <c r="CC1395" i="1"/>
  <c r="CC1383" i="1"/>
  <c r="CC1382" i="1"/>
  <c r="CC1381" i="1"/>
  <c r="CC1376" i="1"/>
  <c r="CC1369" i="1"/>
  <c r="CC1367" i="1"/>
  <c r="CC1366" i="1"/>
  <c r="CC1363" i="1"/>
  <c r="CC1360" i="1"/>
  <c r="CC1359" i="1"/>
  <c r="CC1348" i="1"/>
  <c r="CC1346" i="1"/>
  <c r="CC1342" i="1"/>
  <c r="CD1341" i="1"/>
  <c r="CC1336" i="1"/>
  <c r="CC1332" i="1"/>
  <c r="CC1331" i="1"/>
  <c r="CD1322" i="1"/>
  <c r="CD1320" i="1"/>
  <c r="CC1318" i="1"/>
  <c r="CC1314" i="1"/>
  <c r="CC1308" i="1"/>
  <c r="CD1306" i="1"/>
  <c r="CC1305" i="1"/>
  <c r="CC1301" i="1"/>
  <c r="CD1299" i="1"/>
  <c r="CC1297" i="1"/>
  <c r="CC1295" i="1"/>
  <c r="CC1293" i="1"/>
  <c r="CC1292" i="1"/>
  <c r="CC1290" i="1"/>
  <c r="CC1288" i="1"/>
  <c r="CC1287" i="1"/>
  <c r="CC1281" i="1"/>
  <c r="CC1280" i="1"/>
  <c r="CC1277" i="1"/>
  <c r="CC1273" i="1"/>
  <c r="CC1272" i="1"/>
  <c r="CC1269" i="1"/>
  <c r="CC1263" i="1"/>
  <c r="CC1262" i="1"/>
  <c r="CC1259" i="1"/>
  <c r="CC1257" i="1"/>
  <c r="CC1253" i="1"/>
  <c r="CC1250" i="1"/>
  <c r="CC1249" i="1"/>
  <c r="CC1247" i="1"/>
  <c r="CC1235" i="1"/>
  <c r="CC1233" i="1"/>
  <c r="CC1220" i="1"/>
  <c r="CD1219" i="1"/>
  <c r="CC1215" i="1"/>
  <c r="CD1212" i="1"/>
  <c r="CC1211" i="1"/>
  <c r="CD1209" i="1"/>
  <c r="CC1206" i="1"/>
  <c r="CD1204" i="1"/>
  <c r="CC1197" i="1"/>
  <c r="CC1192" i="1"/>
  <c r="CC1185" i="1"/>
  <c r="CD1184" i="1"/>
  <c r="CD1183" i="1"/>
  <c r="CD1174" i="1"/>
  <c r="CC1172" i="1"/>
  <c r="CC1165" i="1"/>
  <c r="CC1158" i="1"/>
  <c r="CD1155" i="1"/>
  <c r="CC1152" i="1"/>
  <c r="CC1151" i="1"/>
  <c r="CC1147" i="1"/>
  <c r="CC1142" i="1"/>
  <c r="CD1141" i="1"/>
  <c r="CC1139" i="1"/>
  <c r="CD1136" i="1"/>
  <c r="CC1131" i="1"/>
  <c r="CC1126" i="1"/>
  <c r="CC1119" i="1"/>
  <c r="CD1119" i="1" s="1"/>
  <c r="CC1118" i="1"/>
  <c r="CD1114" i="1"/>
  <c r="CC1113" i="1"/>
  <c r="CC1108" i="1"/>
  <c r="CC1105" i="1"/>
  <c r="CC1101" i="1"/>
  <c r="CC1100" i="1"/>
  <c r="CC1098" i="1"/>
  <c r="CC1089" i="1"/>
  <c r="CC1077" i="1"/>
  <c r="CC1075" i="1"/>
  <c r="CC1072" i="1"/>
  <c r="CC1071" i="1"/>
  <c r="CC1065" i="1"/>
  <c r="CC1062" i="1"/>
  <c r="CC1061" i="1"/>
  <c r="CC1057" i="1"/>
  <c r="CC1055" i="1"/>
  <c r="CC1052" i="1"/>
  <c r="CC1047" i="1"/>
  <c r="CC1044" i="1"/>
  <c r="CD1042" i="1"/>
  <c r="CC1038" i="1"/>
  <c r="CC1034" i="1"/>
  <c r="CC1030" i="1"/>
  <c r="CC1029" i="1"/>
  <c r="CC1019" i="1"/>
  <c r="CD1018" i="1"/>
  <c r="CC1016" i="1"/>
  <c r="CC1013" i="1"/>
  <c r="CD1011" i="1"/>
  <c r="CC1010" i="1"/>
  <c r="CD1009" i="1"/>
  <c r="CC1008" i="1"/>
  <c r="CC1007" i="1"/>
  <c r="CC1004" i="1"/>
  <c r="CD1002" i="1"/>
  <c r="CC1001" i="1"/>
  <c r="CC998" i="1"/>
  <c r="CC997" i="1"/>
  <c r="CC992" i="1"/>
  <c r="CC991" i="1"/>
  <c r="CC987" i="1"/>
  <c r="CC981" i="1"/>
  <c r="CC977" i="1"/>
  <c r="CC976" i="1"/>
  <c r="CC970" i="1"/>
  <c r="CC969" i="1"/>
  <c r="CC965" i="1"/>
  <c r="CC961" i="1"/>
  <c r="CC959" i="1"/>
  <c r="CC953" i="1"/>
  <c r="CD951" i="1"/>
  <c r="CC946" i="1"/>
  <c r="CC944" i="1"/>
  <c r="CC937" i="1"/>
  <c r="CC936" i="1"/>
  <c r="CC931" i="1"/>
  <c r="CC930" i="1"/>
  <c r="CC929" i="1"/>
  <c r="CC927" i="1"/>
  <c r="CD917" i="1"/>
  <c r="CC916" i="1"/>
  <c r="CC911" i="1"/>
  <c r="CC906" i="1"/>
  <c r="CC904" i="1"/>
  <c r="CC900" i="1"/>
  <c r="CC898" i="1"/>
  <c r="CD896" i="1"/>
  <c r="CC893" i="1"/>
  <c r="CC889" i="1"/>
  <c r="CC887" i="1"/>
  <c r="CC879" i="1"/>
  <c r="CC876" i="1"/>
  <c r="CC874" i="1"/>
  <c r="CC873" i="1"/>
  <c r="CC871" i="1"/>
  <c r="CC867" i="1"/>
  <c r="CC866" i="1"/>
  <c r="CC862" i="1"/>
  <c r="CD861" i="1"/>
  <c r="CC860" i="1"/>
  <c r="CC859" i="1"/>
  <c r="CC858" i="1"/>
  <c r="CC857" i="1"/>
  <c r="CC848" i="1"/>
  <c r="CD847" i="1"/>
  <c r="CD841" i="1"/>
  <c r="CC827" i="1"/>
  <c r="CC822" i="1"/>
  <c r="CD822" i="1" s="1"/>
  <c r="CC813" i="1"/>
  <c r="CD812" i="1"/>
  <c r="CC809" i="1"/>
  <c r="CC806" i="1"/>
  <c r="CD801" i="1"/>
  <c r="CC795" i="1"/>
  <c r="CC793" i="1"/>
  <c r="CD791" i="1"/>
  <c r="CC788" i="1"/>
  <c r="CC787" i="1"/>
  <c r="CC785" i="1"/>
  <c r="CC780" i="1"/>
  <c r="CD777" i="1"/>
  <c r="CC771" i="1"/>
  <c r="CC770" i="1"/>
  <c r="CC768" i="1"/>
  <c r="CC763" i="1"/>
  <c r="CC756" i="1"/>
  <c r="CC753" i="1"/>
  <c r="CC751" i="1"/>
  <c r="CC747" i="1"/>
  <c r="CD742" i="1"/>
  <c r="CC741" i="1"/>
  <c r="CD740" i="1"/>
  <c r="CD739" i="1"/>
  <c r="CD737" i="1"/>
  <c r="CC724" i="1"/>
  <c r="CD721" i="1"/>
  <c r="CC715" i="1"/>
  <c r="CC711" i="1"/>
  <c r="CD710" i="1"/>
  <c r="CD707" i="1"/>
  <c r="CC706" i="1"/>
  <c r="CC705" i="1"/>
  <c r="CC703" i="1"/>
  <c r="CC702" i="1"/>
  <c r="CC688" i="1"/>
  <c r="CD687" i="1"/>
  <c r="CC685" i="1"/>
  <c r="CC680" i="1"/>
  <c r="CC679" i="1"/>
  <c r="CC676" i="1"/>
  <c r="CC672" i="1"/>
  <c r="CC667" i="1"/>
  <c r="CC664" i="1"/>
  <c r="CC662" i="1"/>
  <c r="CC660" i="1"/>
  <c r="CC659" i="1"/>
  <c r="CC657" i="1"/>
  <c r="CC656" i="1"/>
  <c r="CC654" i="1"/>
  <c r="CC651" i="1"/>
  <c r="CC644" i="1"/>
  <c r="CC640" i="1"/>
  <c r="CC637" i="1"/>
  <c r="CC636" i="1"/>
  <c r="CC634" i="1"/>
  <c r="CC632" i="1"/>
  <c r="CC622" i="1"/>
  <c r="CC618" i="1"/>
  <c r="CC616" i="1"/>
  <c r="CC615" i="1"/>
  <c r="CC614" i="1"/>
  <c r="CC609" i="1"/>
  <c r="CC601" i="1"/>
  <c r="CC596" i="1"/>
  <c r="CC595" i="1"/>
  <c r="CC590" i="1"/>
  <c r="CD588" i="1"/>
  <c r="CC587" i="1"/>
  <c r="CC586" i="1"/>
  <c r="CC584" i="1"/>
  <c r="CC581" i="1"/>
  <c r="CC580" i="1"/>
  <c r="CC578" i="1"/>
  <c r="CC571" i="1"/>
  <c r="CD568" i="1"/>
  <c r="CC566" i="1"/>
  <c r="CD562" i="1"/>
  <c r="CD561" i="1"/>
  <c r="CC559" i="1"/>
  <c r="CC557" i="1"/>
  <c r="CC556" i="1"/>
  <c r="CC554" i="1"/>
  <c r="CC553" i="1"/>
  <c r="CC548" i="1"/>
  <c r="CC547" i="1"/>
  <c r="CC544" i="1"/>
  <c r="CC543" i="1"/>
  <c r="CC540" i="1"/>
  <c r="CC536" i="1"/>
  <c r="CC534" i="1"/>
  <c r="CC528" i="1"/>
  <c r="CC527" i="1"/>
  <c r="CC526" i="1"/>
  <c r="CD521" i="1"/>
  <c r="CC517" i="1"/>
  <c r="CC510" i="1"/>
  <c r="CC507" i="1"/>
  <c r="CC505" i="1"/>
  <c r="CC503" i="1"/>
  <c r="CC497" i="1"/>
  <c r="CD493" i="1"/>
  <c r="CC489" i="1"/>
  <c r="CD487" i="1"/>
  <c r="CC483" i="1"/>
  <c r="CD476" i="1"/>
  <c r="CC471" i="1"/>
  <c r="CC470" i="1"/>
  <c r="CD465" i="1"/>
  <c r="CD459" i="1"/>
  <c r="CC454" i="1"/>
  <c r="CC450" i="1"/>
  <c r="CD446" i="1"/>
  <c r="CD445" i="1"/>
  <c r="CC438" i="1"/>
  <c r="CC437" i="1"/>
  <c r="CC433" i="1"/>
  <c r="CC429" i="1"/>
  <c r="CC428" i="1"/>
  <c r="CC414" i="1"/>
  <c r="CC398" i="1"/>
  <c r="CC393" i="1"/>
  <c r="CC392" i="1"/>
  <c r="CD391" i="1"/>
  <c r="CC379" i="1"/>
  <c r="CC377" i="1"/>
  <c r="CC374" i="1"/>
  <c r="CC372" i="1"/>
  <c r="CC368" i="1"/>
  <c r="CC366" i="1"/>
  <c r="CC364" i="1"/>
  <c r="CC362" i="1"/>
  <c r="CC360" i="1"/>
  <c r="CC359" i="1"/>
  <c r="CC356" i="1"/>
  <c r="CC354" i="1"/>
  <c r="CC348" i="1"/>
  <c r="CC339" i="1"/>
  <c r="CD332" i="1"/>
  <c r="CD331" i="1"/>
  <c r="CD329" i="1"/>
  <c r="CC327" i="1"/>
  <c r="CC318" i="1"/>
  <c r="CC316" i="1"/>
  <c r="CD314" i="1"/>
  <c r="CC307" i="1"/>
  <c r="CC298" i="1"/>
  <c r="CC293" i="1"/>
  <c r="CC292" i="1"/>
  <c r="CC291" i="1"/>
  <c r="CC283" i="1"/>
  <c r="CD204" i="1"/>
  <c r="CD195" i="1"/>
  <c r="CC193" i="1"/>
  <c r="CC192" i="1"/>
  <c r="CC189" i="1"/>
  <c r="CC180" i="1"/>
  <c r="CD179" i="1"/>
  <c r="CC167" i="1"/>
  <c r="CC162" i="1"/>
  <c r="CD159" i="1"/>
  <c r="CC151" i="1"/>
  <c r="CC144" i="1"/>
  <c r="CC143" i="1"/>
  <c r="CC128" i="1"/>
  <c r="CC127" i="1"/>
  <c r="CC122" i="1"/>
  <c r="CC119" i="1"/>
  <c r="CC106" i="1"/>
  <c r="CC15" i="1"/>
  <c r="CC14" i="1"/>
  <c r="CD3206" i="1"/>
  <c r="CD3205" i="1"/>
  <c r="CD3201" i="1"/>
  <c r="CD3198" i="1"/>
  <c r="CD3197" i="1"/>
  <c r="CD3187" i="1"/>
  <c r="CD3186" i="1"/>
  <c r="CD3184" i="1"/>
  <c r="CD3183" i="1"/>
  <c r="CD3182" i="1"/>
  <c r="CD3181" i="1"/>
  <c r="CD3180" i="1"/>
  <c r="CD3177" i="1"/>
  <c r="CD3174" i="1"/>
  <c r="CD3170" i="1"/>
  <c r="CD3169" i="1"/>
  <c r="CD3167" i="1"/>
  <c r="CD3166" i="1"/>
  <c r="CD3164" i="1"/>
  <c r="CD3163" i="1"/>
  <c r="CD3160" i="1"/>
  <c r="CD3159" i="1"/>
  <c r="CD3158" i="1"/>
  <c r="CD3154" i="1"/>
  <c r="CD3153" i="1"/>
  <c r="CD3152" i="1"/>
  <c r="CD3151" i="1"/>
  <c r="CD3150" i="1"/>
  <c r="CD3147" i="1"/>
  <c r="CD3145" i="1"/>
  <c r="CD3144" i="1"/>
  <c r="CD3143" i="1"/>
  <c r="CD3142" i="1"/>
  <c r="CD3141" i="1"/>
  <c r="CD3139" i="1"/>
  <c r="CD3137" i="1"/>
  <c r="CD3136" i="1"/>
  <c r="CD3131" i="1"/>
  <c r="CD3124" i="1"/>
  <c r="CD3121" i="1"/>
  <c r="CD3117" i="1"/>
  <c r="CD3107" i="1"/>
  <c r="CD3105" i="1"/>
  <c r="CD3102" i="1"/>
  <c r="CD3099" i="1"/>
  <c r="CD3098" i="1"/>
  <c r="CD3097" i="1"/>
  <c r="CD3096" i="1"/>
  <c r="CD3095" i="1"/>
  <c r="CD3094" i="1"/>
  <c r="CD3093" i="1"/>
  <c r="CD3085" i="1"/>
  <c r="CD3083" i="1"/>
  <c r="CD3081" i="1"/>
  <c r="CD3079" i="1"/>
  <c r="CD3075" i="1"/>
  <c r="CD3073" i="1"/>
  <c r="CD3072" i="1"/>
  <c r="CD3067" i="1"/>
  <c r="CD3066" i="1"/>
  <c r="CD3064" i="1"/>
  <c r="CD3063" i="1"/>
  <c r="CD3062" i="1"/>
  <c r="CD3058" i="1"/>
  <c r="CD3056" i="1"/>
  <c r="CD3054" i="1"/>
  <c r="CD3051" i="1"/>
  <c r="CD3048" i="1"/>
  <c r="CD3046" i="1"/>
  <c r="CD3045" i="1"/>
  <c r="CD3044" i="1"/>
  <c r="CD3043" i="1"/>
  <c r="CD3042" i="1"/>
  <c r="CD3040" i="1"/>
  <c r="CD3039" i="1"/>
  <c r="CD3038" i="1"/>
  <c r="CD3037" i="1"/>
  <c r="CD3032" i="1"/>
  <c r="CD3031" i="1"/>
  <c r="CD3029" i="1"/>
  <c r="CD3028" i="1"/>
  <c r="CD3027" i="1"/>
  <c r="CD3026" i="1"/>
  <c r="CD3025" i="1"/>
  <c r="CD3023" i="1"/>
  <c r="CD3019" i="1"/>
  <c r="CD3017" i="1"/>
  <c r="CD3013" i="1"/>
  <c r="CD3011" i="1"/>
  <c r="CD3009" i="1"/>
  <c r="CD3008" i="1"/>
  <c r="CD3006" i="1"/>
  <c r="CD3004" i="1"/>
  <c r="CD3003" i="1"/>
  <c r="CD3002" i="1"/>
  <c r="CD3000" i="1"/>
  <c r="CD2999" i="1"/>
  <c r="CD2998" i="1"/>
  <c r="CD2997" i="1"/>
  <c r="CD2996" i="1"/>
  <c r="CD2994" i="1"/>
  <c r="CD2989" i="1"/>
  <c r="CD2988" i="1"/>
  <c r="CD2987" i="1"/>
  <c r="CD2986" i="1"/>
  <c r="CD2984" i="1"/>
  <c r="CD2983" i="1"/>
  <c r="CD2980" i="1"/>
  <c r="CD2974" i="1"/>
  <c r="CD2972" i="1"/>
  <c r="CD2969" i="1"/>
  <c r="CD2968" i="1"/>
  <c r="CD2967" i="1"/>
  <c r="CD2965" i="1"/>
  <c r="CD2964" i="1"/>
  <c r="CD2963" i="1"/>
  <c r="CD2962" i="1"/>
  <c r="CD2961" i="1"/>
  <c r="CD2960" i="1"/>
  <c r="CD2958" i="1"/>
  <c r="CD2955" i="1"/>
  <c r="CD2953" i="1"/>
  <c r="CD2951" i="1"/>
  <c r="CD2950" i="1"/>
  <c r="CD2947" i="1"/>
  <c r="CD2946" i="1"/>
  <c r="CD2945" i="1"/>
  <c r="CD2944" i="1"/>
  <c r="CD2943" i="1"/>
  <c r="CD2939" i="1"/>
  <c r="CD2938" i="1"/>
  <c r="CD2937" i="1"/>
  <c r="CD2934" i="1"/>
  <c r="CD2933" i="1"/>
  <c r="CD2931" i="1"/>
  <c r="CD2929" i="1"/>
  <c r="CD2924" i="1"/>
  <c r="CD2921" i="1"/>
  <c r="CD2920" i="1"/>
  <c r="CD2919" i="1"/>
  <c r="CD2918" i="1"/>
  <c r="CD2915" i="1"/>
  <c r="CD2914" i="1"/>
  <c r="CD2913" i="1"/>
  <c r="CD2912" i="1"/>
  <c r="CD2907" i="1"/>
  <c r="CD2906" i="1"/>
  <c r="CD2903" i="1"/>
  <c r="CD2902" i="1"/>
  <c r="CD2900" i="1"/>
  <c r="CD2899" i="1"/>
  <c r="CD2896" i="1"/>
  <c r="CD2893" i="1"/>
  <c r="CD2891" i="1"/>
  <c r="CD2888" i="1"/>
  <c r="CD2882" i="1"/>
  <c r="CD2880" i="1"/>
  <c r="CD2878" i="1"/>
  <c r="CD2877" i="1"/>
  <c r="CD2875" i="1"/>
  <c r="CD2870" i="1"/>
  <c r="CD2869" i="1"/>
  <c r="CD2868" i="1"/>
  <c r="CD2864" i="1"/>
  <c r="CD2863" i="1"/>
  <c r="CD2862" i="1"/>
  <c r="CD2860" i="1"/>
  <c r="CD2859" i="1"/>
  <c r="CD2855" i="1"/>
  <c r="CD2854" i="1"/>
  <c r="CD2853" i="1"/>
  <c r="CD2852" i="1"/>
  <c r="CD2851" i="1"/>
  <c r="CD2848" i="1"/>
  <c r="CD2847" i="1"/>
  <c r="CD2843" i="1"/>
  <c r="CD2842" i="1"/>
  <c r="CD2841" i="1"/>
  <c r="CD2834" i="1"/>
  <c r="CD2833" i="1"/>
  <c r="CD2832" i="1"/>
  <c r="CD2829" i="1"/>
  <c r="CD2828" i="1"/>
  <c r="CD2827" i="1"/>
  <c r="CD2824" i="1"/>
  <c r="CD2822" i="1"/>
  <c r="CD2821" i="1"/>
  <c r="CD2817" i="1"/>
  <c r="CD2811" i="1"/>
  <c r="CD2808" i="1"/>
  <c r="CD2807" i="1"/>
  <c r="CD2806" i="1"/>
  <c r="CD2804" i="1"/>
  <c r="CD2802" i="1"/>
  <c r="CD2801" i="1"/>
  <c r="CD2798" i="1"/>
  <c r="CD2795" i="1"/>
  <c r="CD2791" i="1"/>
  <c r="CD2790" i="1"/>
  <c r="CD2789" i="1"/>
  <c r="CD2784" i="1"/>
  <c r="CD2783" i="1"/>
  <c r="CD2780" i="1"/>
  <c r="CD2778" i="1"/>
  <c r="CD2777" i="1"/>
  <c r="CD2774" i="1"/>
  <c r="CD2772" i="1"/>
  <c r="CD2769" i="1"/>
  <c r="CD2765" i="1"/>
  <c r="CD2763" i="1"/>
  <c r="CD2762" i="1"/>
  <c r="CD2761" i="1"/>
  <c r="CD2760" i="1"/>
  <c r="CD2759" i="1"/>
  <c r="CD2756" i="1"/>
  <c r="CD2755" i="1"/>
  <c r="CD2754" i="1"/>
  <c r="CD2750" i="1"/>
  <c r="CD2747" i="1"/>
  <c r="CD2744" i="1"/>
  <c r="CD2743" i="1"/>
  <c r="CD2742" i="1"/>
  <c r="CD2741" i="1"/>
  <c r="CD2740" i="1"/>
  <c r="CD2738" i="1"/>
  <c r="CD2734" i="1"/>
  <c r="CD2732" i="1"/>
  <c r="CD2729" i="1"/>
  <c r="CD2728" i="1"/>
  <c r="CD2726" i="1"/>
  <c r="CD2724" i="1"/>
  <c r="CD2723" i="1"/>
  <c r="CD2720" i="1"/>
  <c r="CD2717" i="1"/>
  <c r="CD2716" i="1"/>
  <c r="CD2714" i="1"/>
  <c r="CD2712" i="1"/>
  <c r="CD2710" i="1"/>
  <c r="CD2708" i="1"/>
  <c r="CD2705" i="1"/>
  <c r="CD2704" i="1"/>
  <c r="CD2703" i="1"/>
  <c r="CD2702" i="1"/>
  <c r="CD2701" i="1"/>
  <c r="CD2700" i="1"/>
  <c r="CD2699" i="1"/>
  <c r="CD2698" i="1"/>
  <c r="CD2696" i="1"/>
  <c r="CD2692" i="1"/>
  <c r="CD2691" i="1"/>
  <c r="CD2686" i="1"/>
  <c r="CD2685" i="1"/>
  <c r="CD2684" i="1"/>
  <c r="CD2683" i="1"/>
  <c r="CD2681" i="1"/>
  <c r="CD2679" i="1"/>
  <c r="CD2678" i="1"/>
  <c r="CD2677" i="1"/>
  <c r="CD2676" i="1"/>
  <c r="CD2674" i="1"/>
  <c r="CD2672" i="1"/>
  <c r="CD2669" i="1"/>
  <c r="CD2668" i="1"/>
  <c r="CD2664" i="1"/>
  <c r="CD2663" i="1"/>
  <c r="CD2650" i="1"/>
  <c r="CD2649" i="1"/>
  <c r="CD2644" i="1"/>
  <c r="CD2643" i="1"/>
  <c r="CD2642" i="1"/>
  <c r="CD2638" i="1"/>
  <c r="CD2636" i="1"/>
  <c r="CD2633" i="1"/>
  <c r="CD2632" i="1"/>
  <c r="CD2631" i="1"/>
  <c r="CD2630" i="1"/>
  <c r="CD2629" i="1"/>
  <c r="CD2628" i="1"/>
  <c r="CD2627" i="1"/>
  <c r="CD2626" i="1"/>
  <c r="CD2620" i="1"/>
  <c r="CD2617" i="1"/>
  <c r="CD2616" i="1"/>
  <c r="CD2615" i="1"/>
  <c r="CD2610" i="1"/>
  <c r="CD2607" i="1"/>
  <c r="CD2599" i="1"/>
  <c r="CD2598" i="1"/>
  <c r="CD2596" i="1"/>
  <c r="CD2593" i="1"/>
  <c r="CD2591" i="1"/>
  <c r="CD2589" i="1"/>
  <c r="CD2586" i="1"/>
  <c r="CD2585" i="1"/>
  <c r="CD2580" i="1"/>
  <c r="CD2578" i="1"/>
  <c r="CD2577" i="1"/>
  <c r="CD2572" i="1"/>
  <c r="CD2569" i="1"/>
  <c r="CD2568" i="1"/>
  <c r="CD2567" i="1"/>
  <c r="CD2566" i="1"/>
  <c r="CD2561" i="1"/>
  <c r="CD2560" i="1"/>
  <c r="CD2558" i="1"/>
  <c r="CD2557" i="1"/>
  <c r="CD2553" i="1"/>
  <c r="CD2552" i="1"/>
  <c r="CD2550" i="1"/>
  <c r="CD2549" i="1"/>
  <c r="CD2547" i="1"/>
  <c r="CD2546" i="1"/>
  <c r="CD2544" i="1"/>
  <c r="CD2543" i="1"/>
  <c r="CD2542" i="1"/>
  <c r="CD2541" i="1"/>
  <c r="CD2540" i="1"/>
  <c r="CD2538" i="1"/>
  <c r="CD2537" i="1"/>
  <c r="CD2532" i="1"/>
  <c r="CD2531" i="1"/>
  <c r="CD2530" i="1"/>
  <c r="CD2529" i="1"/>
  <c r="CD2526" i="1"/>
  <c r="CD2523" i="1"/>
  <c r="CD2521" i="1"/>
  <c r="CD2520" i="1"/>
  <c r="CD2518" i="1"/>
  <c r="CD2517" i="1"/>
  <c r="CD2516" i="1"/>
  <c r="CD2515" i="1"/>
  <c r="CD2513" i="1"/>
  <c r="CD2512" i="1"/>
  <c r="CD2511" i="1"/>
  <c r="CD2509" i="1"/>
  <c r="CD2508" i="1"/>
  <c r="CD2507" i="1"/>
  <c r="CD2506" i="1"/>
  <c r="CD2505" i="1"/>
  <c r="CD2504" i="1"/>
  <c r="CD2502" i="1"/>
  <c r="CD2500" i="1"/>
  <c r="CD2499" i="1"/>
  <c r="CD2498" i="1"/>
  <c r="CD2497" i="1"/>
  <c r="CD2496" i="1"/>
  <c r="CD2494" i="1"/>
  <c r="CD2489" i="1"/>
  <c r="CD2488" i="1"/>
  <c r="CD2487" i="1"/>
  <c r="CD2486" i="1"/>
  <c r="CD2484" i="1"/>
  <c r="CD2483" i="1"/>
  <c r="CD2482" i="1"/>
  <c r="CD2481" i="1"/>
  <c r="CD2480" i="1"/>
  <c r="CD2479" i="1"/>
  <c r="CD2478" i="1"/>
  <c r="CD2477" i="1"/>
  <c r="CD2476" i="1"/>
  <c r="CD2475" i="1"/>
  <c r="CD2472" i="1"/>
  <c r="CD2469" i="1"/>
  <c r="CD2468" i="1"/>
  <c r="CD2467" i="1"/>
  <c r="CD2464" i="1"/>
  <c r="CD2462" i="1"/>
  <c r="CD2459" i="1"/>
  <c r="CD2458" i="1"/>
  <c r="CD2457" i="1"/>
  <c r="CD2456" i="1"/>
  <c r="CD2454" i="1"/>
  <c r="CD2452" i="1"/>
  <c r="CD2450" i="1"/>
  <c r="CD2449" i="1"/>
  <c r="CD2445" i="1"/>
  <c r="CD2444" i="1"/>
  <c r="CD2443" i="1"/>
  <c r="CD2442" i="1"/>
  <c r="CD2441" i="1"/>
  <c r="CD2439" i="1"/>
  <c r="CD2438" i="1"/>
  <c r="CD2437" i="1"/>
  <c r="CD2436" i="1"/>
  <c r="CD2434" i="1"/>
  <c r="CD2433" i="1"/>
  <c r="CD2432" i="1"/>
  <c r="CD2431" i="1"/>
  <c r="CD2429" i="1"/>
  <c r="CD2428" i="1"/>
  <c r="CD2426" i="1"/>
  <c r="CD2424" i="1"/>
  <c r="CD2423" i="1"/>
  <c r="CD2419" i="1"/>
  <c r="CD2418" i="1"/>
  <c r="CD2416" i="1"/>
  <c r="CD2415" i="1"/>
  <c r="CD2414" i="1"/>
  <c r="CD2413" i="1"/>
  <c r="CD2412" i="1"/>
  <c r="CD2411" i="1"/>
  <c r="CD2410" i="1"/>
  <c r="CD2409" i="1"/>
  <c r="CD2408" i="1"/>
  <c r="CD2406" i="1"/>
  <c r="CD2405" i="1"/>
  <c r="CD2404" i="1"/>
  <c r="CD2403" i="1"/>
  <c r="CD2401" i="1"/>
  <c r="CD2399" i="1"/>
  <c r="CD2397" i="1"/>
  <c r="CD2396" i="1"/>
  <c r="CD2395" i="1"/>
  <c r="CD2394" i="1"/>
  <c r="CD2393" i="1"/>
  <c r="CD2392" i="1"/>
  <c r="CD2391" i="1"/>
  <c r="CD2389" i="1"/>
  <c r="CD2388" i="1"/>
  <c r="CD2387" i="1"/>
  <c r="CD2386" i="1"/>
  <c r="CD2383" i="1"/>
  <c r="CD2382" i="1"/>
  <c r="CD2381" i="1"/>
  <c r="CD2380" i="1"/>
  <c r="CD2377" i="1"/>
  <c r="CD2376" i="1"/>
  <c r="CD2375" i="1"/>
  <c r="CD2374" i="1"/>
  <c r="CD2373" i="1"/>
  <c r="CD2371" i="1"/>
  <c r="CD2369" i="1"/>
  <c r="CD2368" i="1"/>
  <c r="CD2367" i="1"/>
  <c r="CD2366" i="1"/>
  <c r="CD2365" i="1"/>
  <c r="CD2362" i="1"/>
  <c r="CD2360" i="1"/>
  <c r="CD2358" i="1"/>
  <c r="CD2357" i="1"/>
  <c r="CD2356" i="1"/>
  <c r="CD2355" i="1"/>
  <c r="CD2354" i="1"/>
  <c r="CD2353" i="1"/>
  <c r="CD2352" i="1"/>
  <c r="CD2351" i="1"/>
  <c r="CD2349" i="1"/>
  <c r="CD2348" i="1"/>
  <c r="CD2347" i="1"/>
  <c r="CD2346" i="1"/>
  <c r="CD2345" i="1"/>
  <c r="CD2342" i="1"/>
  <c r="CD2340" i="1"/>
  <c r="CD2339" i="1"/>
  <c r="CD2337" i="1"/>
  <c r="CD2336" i="1"/>
  <c r="CD2335" i="1"/>
  <c r="CD2334" i="1"/>
  <c r="CD2332" i="1"/>
  <c r="CD2330" i="1"/>
  <c r="CD2326" i="1"/>
  <c r="CD2325" i="1"/>
  <c r="CD2324" i="1"/>
  <c r="CD2323" i="1"/>
  <c r="CD2319" i="1"/>
  <c r="CD2317" i="1"/>
  <c r="CD2316" i="1"/>
  <c r="CD2315" i="1"/>
  <c r="CD2314" i="1"/>
  <c r="CD2309" i="1"/>
  <c r="CD2307" i="1"/>
  <c r="CD2304" i="1"/>
  <c r="CD2302" i="1"/>
  <c r="CD2301" i="1"/>
  <c r="CD2299" i="1"/>
  <c r="CD2298" i="1"/>
  <c r="CD2295" i="1"/>
  <c r="CD2294" i="1"/>
  <c r="CD2292" i="1"/>
  <c r="CD2290" i="1"/>
  <c r="CD2289" i="1"/>
  <c r="CD2288" i="1"/>
  <c r="CD2287" i="1"/>
  <c r="CD2286" i="1"/>
  <c r="CD2284" i="1"/>
  <c r="CD2283" i="1"/>
  <c r="CD2282" i="1"/>
  <c r="CD2281" i="1"/>
  <c r="CD2277" i="1"/>
  <c r="CD2275" i="1"/>
  <c r="CD2271" i="1"/>
  <c r="CD2268" i="1"/>
  <c r="CD2267" i="1"/>
  <c r="CD2266" i="1"/>
  <c r="CD2264" i="1"/>
  <c r="CD2263" i="1"/>
  <c r="CD2261" i="1"/>
  <c r="CD2257" i="1"/>
  <c r="CD2255" i="1"/>
  <c r="CD2254" i="1"/>
  <c r="CD2253" i="1"/>
  <c r="CD2252" i="1"/>
  <c r="CD2251" i="1"/>
  <c r="CD2249" i="1"/>
  <c r="CD2246" i="1"/>
  <c r="CD2242" i="1"/>
  <c r="CD2241" i="1"/>
  <c r="CD2239" i="1"/>
  <c r="CD2238" i="1"/>
  <c r="CD2235" i="1"/>
  <c r="CD2234" i="1"/>
  <c r="CD2233" i="1"/>
  <c r="CD2231" i="1"/>
  <c r="CD2230" i="1"/>
  <c r="CD2228" i="1"/>
  <c r="CD2227" i="1"/>
  <c r="CD2226" i="1"/>
  <c r="CD2223" i="1"/>
  <c r="CD2222" i="1"/>
  <c r="CD2221" i="1"/>
  <c r="CD2220" i="1"/>
  <c r="CD2219" i="1"/>
  <c r="CD2216" i="1"/>
  <c r="CD2215" i="1"/>
  <c r="CD2214" i="1"/>
  <c r="CD2212" i="1"/>
  <c r="CD2208" i="1"/>
  <c r="CD2207" i="1"/>
  <c r="CD2203" i="1"/>
  <c r="CD2201" i="1"/>
  <c r="CD2200" i="1"/>
  <c r="CD2199" i="1"/>
  <c r="CD2198" i="1"/>
  <c r="CD2197" i="1"/>
  <c r="CD2196" i="1"/>
  <c r="CD2195" i="1"/>
  <c r="CD2193" i="1"/>
  <c r="CD2192" i="1"/>
  <c r="CD2191" i="1"/>
  <c r="CD2190" i="1"/>
  <c r="CD2188" i="1"/>
  <c r="CD2186" i="1"/>
  <c r="CD2185" i="1"/>
  <c r="CD2184" i="1"/>
  <c r="CD2183" i="1"/>
  <c r="CD2182" i="1"/>
  <c r="CD2181" i="1"/>
  <c r="CD2180" i="1"/>
  <c r="CD2179" i="1"/>
  <c r="CD2173" i="1"/>
  <c r="CD2172" i="1"/>
  <c r="CD2171" i="1"/>
  <c r="CD2170" i="1"/>
  <c r="CD2169" i="1"/>
  <c r="CD2168" i="1"/>
  <c r="CD2167" i="1"/>
  <c r="CD2166" i="1"/>
  <c r="CD2165" i="1"/>
  <c r="CD2164" i="1"/>
  <c r="CD2162" i="1"/>
  <c r="CD2161" i="1"/>
  <c r="CD2158" i="1"/>
  <c r="CD2156" i="1"/>
  <c r="CD2155" i="1"/>
  <c r="CD2153" i="1"/>
  <c r="CD2152" i="1"/>
  <c r="CD2151" i="1"/>
  <c r="CD2150" i="1"/>
  <c r="CD2149" i="1"/>
  <c r="CD2148" i="1"/>
  <c r="CD2147" i="1"/>
  <c r="CD2145" i="1"/>
  <c r="CD2143" i="1"/>
  <c r="CD2141" i="1"/>
  <c r="CD2140" i="1"/>
  <c r="CD2139" i="1"/>
  <c r="CD2138" i="1"/>
  <c r="CD2136" i="1"/>
  <c r="CD2135" i="1"/>
  <c r="CD2133" i="1"/>
  <c r="CD2129" i="1"/>
  <c r="CD2128" i="1"/>
  <c r="CD2127" i="1"/>
  <c r="CD2122" i="1"/>
  <c r="CD2119" i="1"/>
  <c r="CD2118" i="1"/>
  <c r="CD2116" i="1"/>
  <c r="CD2115" i="1"/>
  <c r="CD2114" i="1"/>
  <c r="CD2113" i="1"/>
  <c r="CD2112" i="1"/>
  <c r="CD2111" i="1"/>
  <c r="CD2110" i="1"/>
  <c r="CD2109" i="1"/>
  <c r="CD2108" i="1"/>
  <c r="CD2107" i="1"/>
  <c r="CD2104" i="1"/>
  <c r="CD2101" i="1"/>
  <c r="CD2100" i="1"/>
  <c r="CD2099" i="1"/>
  <c r="CD2098" i="1"/>
  <c r="CD2096" i="1"/>
  <c r="CD2094" i="1"/>
  <c r="CD2093" i="1"/>
  <c r="CD2092" i="1"/>
  <c r="CD2090" i="1"/>
  <c r="CD2089" i="1"/>
  <c r="CD2086" i="1"/>
  <c r="CD2083" i="1"/>
  <c r="CD2081" i="1"/>
  <c r="CD2079" i="1"/>
  <c r="CD2077" i="1"/>
  <c r="CD2076" i="1"/>
  <c r="CD2074" i="1"/>
  <c r="CD2071" i="1"/>
  <c r="CD2070" i="1"/>
  <c r="CD2069" i="1"/>
  <c r="CD2068" i="1"/>
  <c r="CD2067" i="1"/>
  <c r="CD2065" i="1"/>
  <c r="CD2063" i="1"/>
  <c r="CD2061" i="1"/>
  <c r="CD2060" i="1"/>
  <c r="CD2058" i="1"/>
  <c r="CD2057" i="1"/>
  <c r="CD2056" i="1"/>
  <c r="CD2053" i="1"/>
  <c r="CD2051" i="1"/>
  <c r="CD2050" i="1"/>
  <c r="CD2049" i="1"/>
  <c r="CD2048" i="1"/>
  <c r="CD2044" i="1"/>
  <c r="CD2042" i="1"/>
  <c r="CD2041" i="1"/>
  <c r="CD2040" i="1"/>
  <c r="CD2039" i="1"/>
  <c r="CD2038" i="1"/>
  <c r="CD2037" i="1"/>
  <c r="CD2035" i="1"/>
  <c r="CD2032" i="1"/>
  <c r="CD2029" i="1"/>
  <c r="CD2028" i="1"/>
  <c r="CD2024" i="1"/>
  <c r="CD2023" i="1"/>
  <c r="CD2022" i="1"/>
  <c r="CD2021" i="1"/>
  <c r="CD2020" i="1"/>
  <c r="CD2019" i="1"/>
  <c r="CD2015" i="1"/>
  <c r="CD2014" i="1"/>
  <c r="CD2013" i="1"/>
  <c r="CD2011" i="1"/>
  <c r="CD2010" i="1"/>
  <c r="CD2009" i="1"/>
  <c r="CD2007" i="1"/>
  <c r="CD2005" i="1"/>
  <c r="CD2004" i="1"/>
  <c r="CD2003" i="1"/>
  <c r="CD2002" i="1"/>
  <c r="CD2001" i="1"/>
  <c r="CD2000" i="1"/>
  <c r="CD1999" i="1"/>
  <c r="CD1997" i="1"/>
  <c r="CD1996" i="1"/>
  <c r="CD1995" i="1"/>
  <c r="CD1993" i="1"/>
  <c r="CD1992" i="1"/>
  <c r="CD1991" i="1"/>
  <c r="CD1990" i="1"/>
  <c r="CD1987" i="1"/>
  <c r="CD1986" i="1"/>
  <c r="CD1984" i="1"/>
  <c r="CD1982" i="1"/>
  <c r="CD1975" i="1"/>
  <c r="CD1971" i="1"/>
  <c r="CD1970" i="1"/>
  <c r="CD1969" i="1"/>
  <c r="CD1965" i="1"/>
  <c r="CD1964" i="1"/>
  <c r="CD1962" i="1"/>
  <c r="CD1961" i="1"/>
  <c r="CD1960" i="1"/>
  <c r="CD1958" i="1"/>
  <c r="CD1957" i="1"/>
  <c r="CD1956" i="1"/>
  <c r="CD1955" i="1"/>
  <c r="CD1954" i="1"/>
  <c r="CD1953" i="1"/>
  <c r="CD1950" i="1"/>
  <c r="CD1949" i="1"/>
  <c r="CD1948" i="1"/>
  <c r="CD1947" i="1"/>
  <c r="CD1946" i="1"/>
  <c r="CD1945" i="1"/>
  <c r="CD1944" i="1"/>
  <c r="CD1943" i="1"/>
  <c r="CD1942" i="1"/>
  <c r="CD1941" i="1"/>
  <c r="CD1940" i="1"/>
  <c r="CD1939" i="1"/>
  <c r="CD1937" i="1"/>
  <c r="CD1933" i="1"/>
  <c r="CD1931" i="1"/>
  <c r="CD1930" i="1"/>
  <c r="CD1927" i="1"/>
  <c r="CD1926" i="1"/>
  <c r="CD1925" i="1"/>
  <c r="CD1924" i="1"/>
  <c r="CD1923" i="1"/>
  <c r="CD1920" i="1"/>
  <c r="CD1919" i="1"/>
  <c r="CD1918" i="1"/>
  <c r="CD1917" i="1"/>
  <c r="CD1916" i="1"/>
  <c r="CD1915" i="1"/>
  <c r="CD1914" i="1"/>
  <c r="CD1913" i="1"/>
  <c r="CD1909" i="1"/>
  <c r="CD1906" i="1"/>
  <c r="CD1904" i="1"/>
  <c r="CD1902" i="1"/>
  <c r="CD1901" i="1"/>
  <c r="CD1899" i="1"/>
  <c r="CD1898" i="1"/>
  <c r="CD1897" i="1"/>
  <c r="CD1895" i="1"/>
  <c r="CD1893" i="1"/>
  <c r="CD1892" i="1"/>
  <c r="CD1889" i="1"/>
  <c r="CD1887" i="1"/>
  <c r="CD1886" i="1"/>
  <c r="CD1882" i="1"/>
  <c r="CD1881" i="1"/>
  <c r="CD1880" i="1"/>
  <c r="CD1879" i="1"/>
  <c r="CD1877" i="1"/>
  <c r="CD1875" i="1"/>
  <c r="CD1874" i="1"/>
  <c r="CD1871" i="1"/>
  <c r="CD1870" i="1"/>
  <c r="CD1869" i="1"/>
  <c r="CD1867" i="1"/>
  <c r="CD1866" i="1"/>
  <c r="CD1864" i="1"/>
  <c r="CD1861" i="1"/>
  <c r="CD1859" i="1"/>
  <c r="CD1854" i="1"/>
  <c r="CD1853" i="1"/>
  <c r="CD1850" i="1"/>
  <c r="CD1849" i="1"/>
  <c r="CD1848" i="1"/>
  <c r="CD1847" i="1"/>
  <c r="CD1846" i="1"/>
  <c r="CD1844" i="1"/>
  <c r="CD1842" i="1"/>
  <c r="CD1841" i="1"/>
  <c r="CD1840" i="1"/>
  <c r="CD1838" i="1"/>
  <c r="CD1836" i="1"/>
  <c r="CD1835" i="1"/>
  <c r="CD1834" i="1"/>
  <c r="CD1833" i="1"/>
  <c r="CD1832" i="1"/>
  <c r="CD1830" i="1"/>
  <c r="CD1826" i="1"/>
  <c r="CD1824" i="1"/>
  <c r="CD1823" i="1"/>
  <c r="CD1822" i="1"/>
  <c r="CD1821" i="1"/>
  <c r="CD1820" i="1"/>
  <c r="CD1814" i="1"/>
  <c r="CD1812" i="1"/>
  <c r="CD1811" i="1"/>
  <c r="CD1810" i="1"/>
  <c r="CD1809" i="1"/>
  <c r="CD1805" i="1"/>
  <c r="CD1804" i="1"/>
  <c r="CD1801" i="1"/>
  <c r="CD1800" i="1"/>
  <c r="CD1799" i="1"/>
  <c r="CD1797" i="1"/>
  <c r="CD1796" i="1"/>
  <c r="CD1795" i="1"/>
  <c r="CD1794" i="1"/>
  <c r="CD1792" i="1"/>
  <c r="CD1791" i="1"/>
  <c r="CD1790" i="1"/>
  <c r="CD1788" i="1"/>
  <c r="CD1787" i="1"/>
  <c r="CD1786" i="1"/>
  <c r="CD1785" i="1"/>
  <c r="CD1783" i="1"/>
  <c r="CD1782" i="1"/>
  <c r="CD1781" i="1"/>
  <c r="CD1780" i="1"/>
  <c r="CD1779" i="1"/>
  <c r="CD1778" i="1"/>
  <c r="CD1777" i="1"/>
  <c r="CD1776" i="1"/>
  <c r="CD1774" i="1"/>
  <c r="CD1773" i="1"/>
  <c r="CD1771" i="1"/>
  <c r="CD1767" i="1"/>
  <c r="CD1766" i="1"/>
  <c r="CD1765" i="1"/>
  <c r="CD1764" i="1"/>
  <c r="CD1762" i="1"/>
  <c r="CD1761" i="1"/>
  <c r="CD1760" i="1"/>
  <c r="CD1758" i="1"/>
  <c r="CD1756" i="1"/>
  <c r="CD1755" i="1"/>
  <c r="CD1753" i="1"/>
  <c r="CD1752" i="1"/>
  <c r="CD1750" i="1"/>
  <c r="CD1749" i="1"/>
  <c r="CD1746" i="1"/>
  <c r="CD1744" i="1"/>
  <c r="CD1743" i="1"/>
  <c r="CD1742" i="1"/>
  <c r="CD1737" i="1"/>
  <c r="CD1734" i="1"/>
  <c r="CD1732" i="1"/>
  <c r="CD1731" i="1"/>
  <c r="CD1730" i="1"/>
  <c r="CD1729" i="1"/>
  <c r="CD1726" i="1"/>
  <c r="CD1724" i="1"/>
  <c r="CD1722" i="1"/>
  <c r="CD1721" i="1"/>
  <c r="CD1720" i="1"/>
  <c r="CD1719" i="1"/>
  <c r="CD1717" i="1"/>
  <c r="CD1716" i="1"/>
  <c r="CD1715" i="1"/>
  <c r="CD1714" i="1"/>
  <c r="CD1711" i="1"/>
  <c r="CD1710" i="1"/>
  <c r="CD1709" i="1"/>
  <c r="CD1707" i="1"/>
  <c r="CD1705" i="1"/>
  <c r="CD1703" i="1"/>
  <c r="CD1698" i="1"/>
  <c r="CD1694" i="1"/>
  <c r="CD1692" i="1"/>
  <c r="CD1691" i="1"/>
  <c r="CD1690" i="1"/>
  <c r="CD1688" i="1"/>
  <c r="CD1686" i="1"/>
  <c r="CD1684" i="1"/>
  <c r="CD1681" i="1"/>
  <c r="CD1679" i="1"/>
  <c r="CD1678" i="1"/>
  <c r="CD1677" i="1"/>
  <c r="CD1676" i="1"/>
  <c r="CD1674" i="1"/>
  <c r="CD1673" i="1"/>
  <c r="CD1672" i="1"/>
  <c r="CD1671" i="1"/>
  <c r="CD1668" i="1"/>
  <c r="CD1667" i="1"/>
  <c r="CD1665" i="1"/>
  <c r="CD1663" i="1"/>
  <c r="CD1662" i="1"/>
  <c r="CD1660" i="1"/>
  <c r="CD1659" i="1"/>
  <c r="CD1658" i="1"/>
  <c r="CD1657" i="1"/>
  <c r="CD1655" i="1"/>
  <c r="CD1654" i="1"/>
  <c r="CD1653" i="1"/>
  <c r="CD1649" i="1"/>
  <c r="CD1645" i="1"/>
  <c r="CD1644" i="1"/>
  <c r="CD1642" i="1"/>
  <c r="CD1641" i="1"/>
  <c r="CD1640" i="1"/>
  <c r="CD1639" i="1"/>
  <c r="CD1635" i="1"/>
  <c r="CD1634" i="1"/>
  <c r="CD1632" i="1"/>
  <c r="CD1631" i="1"/>
  <c r="CD1630" i="1"/>
  <c r="CD1629" i="1"/>
  <c r="CD1628" i="1"/>
  <c r="CD1627" i="1"/>
  <c r="CD1626" i="1"/>
  <c r="CD1625" i="1"/>
  <c r="CD1624" i="1"/>
  <c r="CD1621" i="1"/>
  <c r="CD1619" i="1"/>
  <c r="CD1617" i="1"/>
  <c r="CD1615" i="1"/>
  <c r="CD1614" i="1"/>
  <c r="CD1611" i="1"/>
  <c r="CD1610" i="1"/>
  <c r="CD1609" i="1"/>
  <c r="CD1607" i="1"/>
  <c r="CD1605" i="1"/>
  <c r="CD1603" i="1"/>
  <c r="CD1602" i="1"/>
  <c r="CD1601" i="1"/>
  <c r="CD1600" i="1"/>
  <c r="CD1599" i="1"/>
  <c r="CD1598" i="1"/>
  <c r="CD1596" i="1"/>
  <c r="CD1595" i="1"/>
  <c r="CD1594" i="1"/>
  <c r="CD1593" i="1"/>
  <c r="CD1591" i="1"/>
  <c r="CD1586" i="1"/>
  <c r="CD1582" i="1"/>
  <c r="CD1581" i="1"/>
  <c r="CD1580" i="1"/>
  <c r="CD1579" i="1"/>
  <c r="CD1576" i="1"/>
  <c r="CD1575" i="1"/>
  <c r="CD1574" i="1"/>
  <c r="CD1573" i="1"/>
  <c r="CD1570" i="1"/>
  <c r="CD1569" i="1"/>
  <c r="CD1567" i="1"/>
  <c r="CD1563" i="1"/>
  <c r="CD1562" i="1"/>
  <c r="CD1561" i="1"/>
  <c r="CD1558" i="1"/>
  <c r="CD1557" i="1"/>
  <c r="CD1554" i="1"/>
  <c r="CD1550" i="1"/>
  <c r="CD1549" i="1"/>
  <c r="CD1548" i="1"/>
  <c r="CD1547" i="1"/>
  <c r="CD1546" i="1"/>
  <c r="CD1545" i="1"/>
  <c r="CD1544" i="1"/>
  <c r="CD1542" i="1"/>
  <c r="CD1541" i="1"/>
  <c r="CD1540" i="1"/>
  <c r="CD1539" i="1"/>
  <c r="CD1538" i="1"/>
  <c r="CD1537" i="1"/>
  <c r="CD1536" i="1"/>
  <c r="CD1535" i="1"/>
  <c r="CD1532" i="1"/>
  <c r="CD1530" i="1"/>
  <c r="CD1528" i="1"/>
  <c r="CD1524" i="1"/>
  <c r="CD1523" i="1"/>
  <c r="CD1519" i="1"/>
  <c r="CD1518" i="1"/>
  <c r="CD1517" i="1"/>
  <c r="CD1516" i="1"/>
  <c r="CD1513" i="1"/>
  <c r="CD1512" i="1"/>
  <c r="CD1511" i="1"/>
  <c r="CD1509" i="1"/>
  <c r="CD1508" i="1"/>
  <c r="CD1507" i="1"/>
  <c r="CD1506" i="1"/>
  <c r="CD1504" i="1"/>
  <c r="CD1500" i="1"/>
  <c r="CD1499" i="1"/>
  <c r="CD1498" i="1"/>
  <c r="CD1497" i="1"/>
  <c r="CD1495" i="1"/>
  <c r="CD1494" i="1"/>
  <c r="CD1493" i="1"/>
  <c r="CD1492" i="1"/>
  <c r="CD1490" i="1"/>
  <c r="CD1489" i="1"/>
  <c r="CD1488" i="1"/>
  <c r="CD1486" i="1"/>
  <c r="CD1483" i="1"/>
  <c r="CD1481" i="1"/>
  <c r="CD1480" i="1"/>
  <c r="CD1479" i="1"/>
  <c r="CD1478" i="1"/>
  <c r="CD1476" i="1"/>
  <c r="CD1473" i="1"/>
  <c r="CD1470" i="1"/>
  <c r="CD1469" i="1"/>
  <c r="CD1468" i="1"/>
  <c r="CD1464" i="1"/>
  <c r="CD1462" i="1"/>
  <c r="CD1461" i="1"/>
  <c r="CD1460" i="1"/>
  <c r="CD1458" i="1"/>
  <c r="CD1457" i="1"/>
  <c r="CD1456" i="1"/>
  <c r="CD1454" i="1"/>
  <c r="CD1450" i="1"/>
  <c r="CD1449" i="1"/>
  <c r="CD1448" i="1"/>
  <c r="CD1447" i="1"/>
  <c r="CD1446" i="1"/>
  <c r="CD1443" i="1"/>
  <c r="CD1442" i="1"/>
  <c r="CD1440" i="1"/>
  <c r="CD1438" i="1"/>
  <c r="CD1435" i="1"/>
  <c r="CD1434" i="1"/>
  <c r="CD1432" i="1"/>
  <c r="CD1431" i="1"/>
  <c r="CD1429" i="1"/>
  <c r="CD1425" i="1"/>
  <c r="CD1424" i="1"/>
  <c r="CD1422" i="1"/>
  <c r="CD1420" i="1"/>
  <c r="CD1419" i="1"/>
  <c r="CD1418" i="1"/>
  <c r="CD1416" i="1"/>
  <c r="CD1415" i="1"/>
  <c r="CD1414" i="1"/>
  <c r="CD1413" i="1"/>
  <c r="CD1409" i="1"/>
  <c r="CD1407" i="1"/>
  <c r="CD1406" i="1"/>
  <c r="CD1404" i="1"/>
  <c r="CD1401" i="1"/>
  <c r="CD1400" i="1"/>
  <c r="CD1399" i="1"/>
  <c r="CD1398" i="1"/>
  <c r="CD1397" i="1"/>
  <c r="CD1396" i="1"/>
  <c r="CD1394" i="1"/>
  <c r="CD1393" i="1"/>
  <c r="CD1392" i="1"/>
  <c r="CD1391" i="1"/>
  <c r="CD1390" i="1"/>
  <c r="CD1389" i="1"/>
  <c r="CD1388" i="1"/>
  <c r="CD1387" i="1"/>
  <c r="CD1386" i="1"/>
  <c r="CD1385" i="1"/>
  <c r="CD1384" i="1"/>
  <c r="CD1380" i="1"/>
  <c r="CD1379" i="1"/>
  <c r="CD1378" i="1"/>
  <c r="CD1377" i="1"/>
  <c r="CD1375" i="1"/>
  <c r="CD1374" i="1"/>
  <c r="CD1373" i="1"/>
  <c r="CD1372" i="1"/>
  <c r="CD1371" i="1"/>
  <c r="CD1368" i="1"/>
  <c r="CD1365" i="1"/>
  <c r="CD1362" i="1"/>
  <c r="CD1361" i="1"/>
  <c r="CD1357" i="1"/>
  <c r="CD1356" i="1"/>
  <c r="CD1355" i="1"/>
  <c r="CD1354" i="1"/>
  <c r="CD1353" i="1"/>
  <c r="CD1352" i="1"/>
  <c r="CD1351" i="1"/>
  <c r="CD1350" i="1"/>
  <c r="CD1349" i="1"/>
  <c r="CD1345" i="1"/>
  <c r="CD1344" i="1"/>
  <c r="CD1343" i="1"/>
  <c r="CD1340" i="1"/>
  <c r="CD1339" i="1"/>
  <c r="CD1338" i="1"/>
  <c r="CD1337" i="1"/>
  <c r="CD1335" i="1"/>
  <c r="CD1334" i="1"/>
  <c r="CD1330" i="1"/>
  <c r="CD1329" i="1"/>
  <c r="CD1328" i="1"/>
  <c r="CD1327" i="1"/>
  <c r="CD1325" i="1"/>
  <c r="CD1324" i="1"/>
  <c r="CD1323" i="1"/>
  <c r="CD1317" i="1"/>
  <c r="CD1316" i="1"/>
  <c r="CD1315" i="1"/>
  <c r="CD1313" i="1"/>
  <c r="CD1312" i="1"/>
  <c r="CD1311" i="1"/>
  <c r="CD1309" i="1"/>
  <c r="CD1307" i="1"/>
  <c r="CD1304" i="1"/>
  <c r="CD1303" i="1"/>
  <c r="CD1302" i="1"/>
  <c r="CD1300" i="1"/>
  <c r="CD1298" i="1"/>
  <c r="CD1296" i="1"/>
  <c r="CD1294" i="1"/>
  <c r="CD1291" i="1"/>
  <c r="CD1289" i="1"/>
  <c r="CD1286" i="1"/>
  <c r="CD1285" i="1"/>
  <c r="CD1284" i="1"/>
  <c r="CD1283" i="1"/>
  <c r="CD1282" i="1"/>
  <c r="CD1279" i="1"/>
  <c r="CD1278" i="1"/>
  <c r="CD1276" i="1"/>
  <c r="CD1275" i="1"/>
  <c r="CD1274" i="1"/>
  <c r="CD1270" i="1"/>
  <c r="CD1268" i="1"/>
  <c r="CD1267" i="1"/>
  <c r="CD1266" i="1"/>
  <c r="CD1265" i="1"/>
  <c r="CD1264" i="1"/>
  <c r="CD1261" i="1"/>
  <c r="CD1260" i="1"/>
  <c r="CD1258" i="1"/>
  <c r="CD1256" i="1"/>
  <c r="CD1255" i="1"/>
  <c r="CD1254" i="1"/>
  <c r="CD1251" i="1"/>
  <c r="CD1248" i="1"/>
  <c r="CD1246" i="1"/>
  <c r="CD1245" i="1"/>
  <c r="CD1244" i="1"/>
  <c r="CD1243" i="1"/>
  <c r="CD1242" i="1"/>
  <c r="CD1241" i="1"/>
  <c r="CD1240" i="1"/>
  <c r="CD1238" i="1"/>
  <c r="CD1237" i="1"/>
  <c r="CD1236" i="1"/>
  <c r="CD1234" i="1"/>
  <c r="CD1232" i="1"/>
  <c r="CD1231" i="1"/>
  <c r="CD1230" i="1"/>
  <c r="CD1229" i="1"/>
  <c r="CD1228" i="1"/>
  <c r="CD1227" i="1"/>
  <c r="CD1226" i="1"/>
  <c r="CD1225" i="1"/>
  <c r="CD1224" i="1"/>
  <c r="CD1223" i="1"/>
  <c r="CD1222" i="1"/>
  <c r="CD1221" i="1"/>
  <c r="CD1218" i="1"/>
  <c r="CD1217" i="1"/>
  <c r="CD1216" i="1"/>
  <c r="CD1214" i="1"/>
  <c r="CD1213" i="1"/>
  <c r="CD1210" i="1"/>
  <c r="CD1208" i="1"/>
  <c r="CD1207" i="1"/>
  <c r="CD1205" i="1"/>
  <c r="CD1201" i="1"/>
  <c r="CD1199" i="1"/>
  <c r="CD1198" i="1"/>
  <c r="CD1196" i="1"/>
  <c r="CD1195" i="1"/>
  <c r="CD1194" i="1"/>
  <c r="CD1193" i="1"/>
  <c r="CD1191" i="1"/>
  <c r="CD1190" i="1"/>
  <c r="CD1189" i="1"/>
  <c r="CD1188" i="1"/>
  <c r="CD1187" i="1"/>
  <c r="CD1186" i="1"/>
  <c r="CD1182" i="1"/>
  <c r="CD1181" i="1"/>
  <c r="CD1179" i="1"/>
  <c r="CD1178" i="1"/>
  <c r="CD1177" i="1"/>
  <c r="CD1176" i="1"/>
  <c r="CD1175" i="1"/>
  <c r="CD1173" i="1"/>
  <c r="CD1170" i="1"/>
  <c r="CD1169" i="1"/>
  <c r="CD1168" i="1"/>
  <c r="CD1167" i="1"/>
  <c r="CD1166" i="1"/>
  <c r="CD1164" i="1"/>
  <c r="CD1163" i="1"/>
  <c r="CD1162" i="1"/>
  <c r="CD1161" i="1"/>
  <c r="CD1160" i="1"/>
  <c r="CD1159" i="1"/>
  <c r="CD1157" i="1"/>
  <c r="CD1156" i="1"/>
  <c r="CD1154" i="1"/>
  <c r="CD1153" i="1"/>
  <c r="CD1150" i="1"/>
  <c r="CD1149" i="1"/>
  <c r="CD1148" i="1"/>
  <c r="CD1146" i="1"/>
  <c r="CD1145" i="1"/>
  <c r="CD1144" i="1"/>
  <c r="CD1140" i="1"/>
  <c r="CD1138" i="1"/>
  <c r="CD1137" i="1"/>
  <c r="CD1135" i="1"/>
  <c r="CD1134" i="1"/>
  <c r="CD1133" i="1"/>
  <c r="CD1132" i="1"/>
  <c r="CD1129" i="1"/>
  <c r="CD1128" i="1"/>
  <c r="CD1127" i="1"/>
  <c r="CD1125" i="1"/>
  <c r="CD1124" i="1"/>
  <c r="CD1123" i="1"/>
  <c r="CD1122" i="1"/>
  <c r="CD1121" i="1"/>
  <c r="CD1120" i="1"/>
  <c r="CD1117" i="1"/>
  <c r="CD1116" i="1"/>
  <c r="CD1115" i="1"/>
  <c r="CD1112" i="1"/>
  <c r="CD1111" i="1"/>
  <c r="CD1110" i="1"/>
  <c r="CD1109" i="1"/>
  <c r="CD1107" i="1"/>
  <c r="CD1106" i="1"/>
  <c r="CD1104" i="1"/>
  <c r="CD1103" i="1"/>
  <c r="CD1102" i="1"/>
  <c r="CD1097" i="1"/>
  <c r="CD1096" i="1"/>
  <c r="CD1095" i="1"/>
  <c r="CD1094" i="1"/>
  <c r="CD1093" i="1"/>
  <c r="CD1092" i="1"/>
  <c r="CD1091" i="1"/>
  <c r="CD1090" i="1"/>
  <c r="CD1088" i="1"/>
  <c r="CD1087" i="1"/>
  <c r="CD1086" i="1"/>
  <c r="CD1085" i="1"/>
  <c r="CD1084" i="1"/>
  <c r="CD1083" i="1"/>
  <c r="CD1082" i="1"/>
  <c r="CD1081" i="1"/>
  <c r="CD1080" i="1"/>
  <c r="CD1079" i="1"/>
  <c r="CD1078" i="1"/>
  <c r="CD1076" i="1"/>
  <c r="CD1074" i="1"/>
  <c r="CD1073" i="1"/>
  <c r="CD1070" i="1"/>
  <c r="CD1069" i="1"/>
  <c r="CD1068" i="1"/>
  <c r="CD1067" i="1"/>
  <c r="CD1066" i="1"/>
  <c r="CD1064" i="1"/>
  <c r="CD1063" i="1"/>
  <c r="CD1060" i="1"/>
  <c r="CD1059" i="1"/>
  <c r="CD1058" i="1"/>
  <c r="CD1056" i="1"/>
  <c r="CD1053" i="1"/>
  <c r="CD1051" i="1"/>
  <c r="CD1049" i="1"/>
  <c r="CD1046" i="1"/>
  <c r="CD1045" i="1"/>
  <c r="CD1043" i="1"/>
  <c r="CD1040" i="1"/>
  <c r="CD1039" i="1"/>
  <c r="CD1037" i="1"/>
  <c r="CD1036" i="1"/>
  <c r="CD1033" i="1"/>
  <c r="CD1032" i="1"/>
  <c r="CD1031" i="1"/>
  <c r="CD1028" i="1"/>
  <c r="CD1027" i="1"/>
  <c r="CD1026" i="1"/>
  <c r="CD1025" i="1"/>
  <c r="CD1024" i="1"/>
  <c r="CD1023" i="1"/>
  <c r="CD1022" i="1"/>
  <c r="CD1021" i="1"/>
  <c r="CD1020" i="1"/>
  <c r="CD1017" i="1"/>
  <c r="CD1015" i="1"/>
  <c r="CD1014" i="1"/>
  <c r="CD1012" i="1"/>
  <c r="CD1006" i="1"/>
  <c r="CD1005" i="1"/>
  <c r="CD1003" i="1"/>
  <c r="CD1000" i="1"/>
  <c r="CD999" i="1"/>
  <c r="CD995" i="1"/>
  <c r="CD994" i="1"/>
  <c r="CD993" i="1"/>
  <c r="CD990" i="1"/>
  <c r="CD989" i="1"/>
  <c r="CD988" i="1"/>
  <c r="CD986" i="1"/>
  <c r="CD985" i="1"/>
  <c r="CD984" i="1"/>
  <c r="CD983" i="1"/>
  <c r="CD982" i="1"/>
  <c r="CD980" i="1"/>
  <c r="CD979" i="1"/>
  <c r="CD978" i="1"/>
  <c r="CD975" i="1"/>
  <c r="CD974" i="1"/>
  <c r="CD973" i="1"/>
  <c r="CD972" i="1"/>
  <c r="CD971" i="1"/>
  <c r="CD968" i="1"/>
  <c r="CD967" i="1"/>
  <c r="CD966" i="1"/>
  <c r="CD964" i="1"/>
  <c r="CD963" i="1"/>
  <c r="CD962" i="1"/>
  <c r="CD960" i="1"/>
  <c r="CD958" i="1"/>
  <c r="CD957" i="1"/>
  <c r="CD956" i="1"/>
  <c r="CD955" i="1"/>
  <c r="CD954" i="1"/>
  <c r="CD952" i="1"/>
  <c r="CD950" i="1"/>
  <c r="CD949" i="1"/>
  <c r="CD948" i="1"/>
  <c r="CD947" i="1"/>
  <c r="CD945" i="1"/>
  <c r="CD943" i="1"/>
  <c r="CD942" i="1"/>
  <c r="CD940" i="1"/>
  <c r="CD939" i="1"/>
  <c r="CD938" i="1"/>
  <c r="CD935" i="1"/>
  <c r="CD934" i="1"/>
  <c r="CD933" i="1"/>
  <c r="CD932" i="1"/>
  <c r="CD928" i="1"/>
  <c r="CD926" i="1"/>
  <c r="CD925" i="1"/>
  <c r="CD924" i="1"/>
  <c r="CD923" i="1"/>
  <c r="CD922" i="1"/>
  <c r="CD921" i="1"/>
  <c r="CD919" i="1"/>
  <c r="CD918" i="1"/>
  <c r="CD915" i="1"/>
  <c r="CD914" i="1"/>
  <c r="CD913" i="1"/>
  <c r="CD912" i="1"/>
  <c r="CD910" i="1"/>
  <c r="CD909" i="1"/>
  <c r="CD908" i="1"/>
  <c r="CD907" i="1"/>
  <c r="CD905" i="1"/>
  <c r="CD903" i="1"/>
  <c r="CD902" i="1"/>
  <c r="CD901" i="1"/>
  <c r="CD899" i="1"/>
  <c r="CD897" i="1"/>
  <c r="CD895" i="1"/>
  <c r="CD894" i="1"/>
  <c r="CD892" i="1"/>
  <c r="CD891" i="1"/>
  <c r="CD890" i="1"/>
  <c r="CD886" i="1"/>
  <c r="CD885" i="1"/>
  <c r="CD884" i="1"/>
  <c r="CD883" i="1"/>
  <c r="CD882" i="1"/>
  <c r="CD881" i="1"/>
  <c r="CD880" i="1"/>
  <c r="CD878" i="1"/>
  <c r="CD877" i="1"/>
  <c r="CD875" i="1"/>
  <c r="CD872" i="1"/>
  <c r="CD870" i="1"/>
  <c r="CD869" i="1"/>
  <c r="CD868" i="1"/>
  <c r="CD865" i="1"/>
  <c r="CD864" i="1"/>
  <c r="CD863" i="1"/>
  <c r="CD855" i="1"/>
  <c r="CD854" i="1"/>
  <c r="CD853" i="1"/>
  <c r="CD852" i="1"/>
  <c r="CD850" i="1"/>
  <c r="CD846" i="1"/>
  <c r="CD845" i="1"/>
  <c r="CD844" i="1"/>
  <c r="CD843" i="1"/>
  <c r="CD842" i="1"/>
  <c r="CD840" i="1"/>
  <c r="CD838" i="1"/>
  <c r="CD837" i="1"/>
  <c r="CD836" i="1"/>
  <c r="CD835" i="1"/>
  <c r="CD834" i="1"/>
  <c r="CD833" i="1"/>
  <c r="CD832" i="1"/>
  <c r="CD831" i="1"/>
  <c r="CD830" i="1"/>
  <c r="CD829" i="1"/>
  <c r="CD828" i="1"/>
  <c r="CD826" i="1"/>
  <c r="CD825" i="1"/>
  <c r="CD824" i="1"/>
  <c r="CD823" i="1"/>
  <c r="CD821" i="1"/>
  <c r="CD820" i="1"/>
  <c r="CD818" i="1"/>
  <c r="CD817" i="1"/>
  <c r="CD816" i="1"/>
  <c r="CD815" i="1"/>
  <c r="CD814" i="1"/>
  <c r="CD811" i="1"/>
  <c r="CD810" i="1"/>
  <c r="CD808" i="1"/>
  <c r="CD807" i="1"/>
  <c r="CD805" i="1"/>
  <c r="CD804" i="1"/>
  <c r="CD803" i="1"/>
  <c r="CD802" i="1"/>
  <c r="CD800" i="1"/>
  <c r="CD799" i="1"/>
  <c r="CD798" i="1"/>
  <c r="CD797" i="1"/>
  <c r="CD796" i="1"/>
  <c r="CD794" i="1"/>
  <c r="CD792" i="1"/>
  <c r="CD790" i="1"/>
  <c r="CD789" i="1"/>
  <c r="CD786" i="1"/>
  <c r="CD784" i="1"/>
  <c r="CD783" i="1"/>
  <c r="CD782" i="1"/>
  <c r="CD779" i="1"/>
  <c r="CD776" i="1"/>
  <c r="CD775" i="1"/>
  <c r="CD774" i="1"/>
  <c r="CD773" i="1"/>
  <c r="CD772" i="1"/>
  <c r="CD769" i="1"/>
  <c r="CD767" i="1"/>
  <c r="CD766" i="1"/>
  <c r="CD765" i="1"/>
  <c r="CD764" i="1"/>
  <c r="CD762" i="1"/>
  <c r="CD761" i="1"/>
  <c r="CD760" i="1"/>
  <c r="CD759" i="1"/>
  <c r="CD758" i="1"/>
  <c r="CD757" i="1"/>
  <c r="CD755" i="1"/>
  <c r="CD754" i="1"/>
  <c r="CD752" i="1"/>
  <c r="CD750" i="1"/>
  <c r="CD749" i="1"/>
  <c r="CD748" i="1"/>
  <c r="CD746" i="1"/>
  <c r="CD745" i="1"/>
  <c r="CD744" i="1"/>
  <c r="CD743" i="1"/>
  <c r="CD738" i="1"/>
  <c r="CD736" i="1"/>
  <c r="CD735" i="1"/>
  <c r="CD734" i="1"/>
  <c r="CD733" i="1"/>
  <c r="CD732" i="1"/>
  <c r="CD731" i="1"/>
  <c r="CD730" i="1"/>
  <c r="CD729" i="1"/>
  <c r="CD728" i="1"/>
  <c r="CD727" i="1"/>
  <c r="CD726" i="1"/>
  <c r="CD725" i="1"/>
  <c r="CD723" i="1"/>
  <c r="CD722" i="1"/>
  <c r="CD720" i="1"/>
  <c r="CD719" i="1"/>
  <c r="CD718" i="1"/>
  <c r="CD717" i="1"/>
  <c r="CD716" i="1"/>
  <c r="CD714" i="1"/>
  <c r="CD713" i="1"/>
  <c r="CD712" i="1"/>
  <c r="CD708" i="1"/>
  <c r="CD704" i="1"/>
  <c r="CD701" i="1"/>
  <c r="CD700" i="1"/>
  <c r="CD699" i="1"/>
  <c r="CD698" i="1"/>
  <c r="CD697" i="1"/>
  <c r="CD696" i="1"/>
  <c r="CD695" i="1"/>
  <c r="CD694" i="1"/>
  <c r="CD693" i="1"/>
  <c r="CD692" i="1"/>
  <c r="CD691" i="1"/>
  <c r="CD690" i="1"/>
  <c r="CD689" i="1"/>
  <c r="CD686" i="1"/>
  <c r="CD684" i="1"/>
  <c r="CD683" i="1"/>
  <c r="CD682" i="1"/>
  <c r="CD681" i="1"/>
  <c r="CD678" i="1"/>
  <c r="CD677" i="1"/>
  <c r="CD675" i="1"/>
  <c r="CD674" i="1"/>
  <c r="CD673" i="1"/>
  <c r="CD671" i="1"/>
  <c r="CD670" i="1"/>
  <c r="CD669" i="1"/>
  <c r="CD668" i="1"/>
  <c r="CD666" i="1"/>
  <c r="CD665" i="1"/>
  <c r="CD663" i="1"/>
  <c r="CD661" i="1"/>
  <c r="CD658" i="1"/>
  <c r="CD655" i="1"/>
  <c r="CD653" i="1"/>
  <c r="CD652" i="1"/>
  <c r="CD650" i="1"/>
  <c r="CD649" i="1"/>
  <c r="CD648" i="1"/>
  <c r="CD647" i="1"/>
  <c r="CD646" i="1"/>
  <c r="CD645" i="1"/>
  <c r="CD643" i="1"/>
  <c r="CD642" i="1"/>
  <c r="CD641" i="1"/>
  <c r="CD639" i="1"/>
  <c r="CD638" i="1"/>
  <c r="CD635" i="1"/>
  <c r="CD633" i="1"/>
  <c r="CD631" i="1"/>
  <c r="CD630" i="1"/>
  <c r="CD629" i="1"/>
  <c r="CD628" i="1"/>
  <c r="CD627" i="1"/>
  <c r="CD626" i="1"/>
  <c r="CD625" i="1"/>
  <c r="CD624" i="1"/>
  <c r="CD623" i="1"/>
  <c r="CD621" i="1"/>
  <c r="CD620" i="1"/>
  <c r="CD619" i="1"/>
  <c r="CD617" i="1"/>
  <c r="CD612" i="1"/>
  <c r="CD611" i="1"/>
  <c r="CD608" i="1"/>
  <c r="CD607" i="1"/>
  <c r="CD606" i="1"/>
  <c r="CD605" i="1"/>
  <c r="CD604" i="1"/>
  <c r="CD603" i="1"/>
  <c r="CD602" i="1"/>
  <c r="CD600" i="1"/>
  <c r="CD599" i="1"/>
  <c r="CD598" i="1"/>
  <c r="CD597" i="1"/>
  <c r="CD594" i="1"/>
  <c r="CD593" i="1"/>
  <c r="CD592" i="1"/>
  <c r="CD591" i="1"/>
  <c r="CD589" i="1"/>
  <c r="CD585" i="1"/>
  <c r="CD583" i="1"/>
  <c r="CD582" i="1"/>
  <c r="CD579" i="1"/>
  <c r="CD577" i="1"/>
  <c r="CD576" i="1"/>
  <c r="CD575" i="1"/>
  <c r="CD574" i="1"/>
  <c r="CD573" i="1"/>
  <c r="CD572" i="1"/>
  <c r="CD570" i="1"/>
  <c r="CD569" i="1"/>
  <c r="CD567" i="1"/>
  <c r="CD565" i="1"/>
  <c r="CD564" i="1"/>
  <c r="CD563" i="1"/>
  <c r="CD560" i="1"/>
  <c r="CD558" i="1"/>
  <c r="CD555" i="1"/>
  <c r="CD552" i="1"/>
  <c r="CD551" i="1"/>
  <c r="CD550" i="1"/>
  <c r="CD549" i="1"/>
  <c r="CD546" i="1"/>
  <c r="CD545" i="1"/>
  <c r="CD542" i="1"/>
  <c r="CD541" i="1"/>
  <c r="CD539" i="1"/>
  <c r="CD538" i="1"/>
  <c r="CD537" i="1"/>
  <c r="CD535" i="1"/>
  <c r="CD533" i="1"/>
  <c r="CD532" i="1"/>
  <c r="CD531" i="1"/>
  <c r="CD529" i="1"/>
  <c r="CD525" i="1"/>
  <c r="CD524" i="1"/>
  <c r="CD523" i="1"/>
  <c r="CD522" i="1"/>
  <c r="CD520" i="1"/>
  <c r="CD519" i="1"/>
  <c r="CD518" i="1"/>
  <c r="CD516" i="1"/>
  <c r="CD515" i="1"/>
  <c r="CD513" i="1"/>
  <c r="CD512" i="1"/>
  <c r="CD511" i="1"/>
  <c r="CD509" i="1"/>
  <c r="CD508" i="1"/>
  <c r="CD506" i="1"/>
  <c r="CD504" i="1"/>
  <c r="CD502" i="1"/>
  <c r="CD501" i="1"/>
  <c r="CD500" i="1"/>
  <c r="CD499" i="1"/>
  <c r="CD498" i="1"/>
  <c r="CD496" i="1"/>
  <c r="CD495" i="1"/>
  <c r="CD494" i="1"/>
  <c r="CD492" i="1"/>
  <c r="CD491" i="1"/>
  <c r="CD490" i="1"/>
  <c r="CD488" i="1"/>
  <c r="CD486" i="1"/>
  <c r="CD485" i="1"/>
  <c r="CD484" i="1"/>
  <c r="CD482" i="1"/>
  <c r="CD481" i="1"/>
  <c r="CD480" i="1"/>
  <c r="CD479" i="1"/>
  <c r="CD477" i="1"/>
  <c r="CD475" i="1"/>
  <c r="CD474" i="1"/>
  <c r="CD473" i="1"/>
  <c r="CD472" i="1"/>
  <c r="CD469" i="1"/>
  <c r="CD468" i="1"/>
  <c r="CD467" i="1"/>
  <c r="CD466" i="1"/>
  <c r="CD463" i="1"/>
  <c r="CD462" i="1"/>
  <c r="CD461" i="1"/>
  <c r="CD460" i="1"/>
  <c r="CD458" i="1"/>
  <c r="CD457" i="1"/>
  <c r="CD456" i="1"/>
  <c r="CD455" i="1"/>
  <c r="CD453" i="1"/>
  <c r="CD452" i="1"/>
  <c r="CD451" i="1"/>
  <c r="CD449" i="1"/>
  <c r="CD448" i="1"/>
  <c r="CD447" i="1"/>
  <c r="CD444" i="1"/>
  <c r="CD443" i="1"/>
  <c r="CD442" i="1"/>
  <c r="CD441" i="1"/>
  <c r="CD440" i="1"/>
  <c r="CD439" i="1"/>
  <c r="CD436" i="1"/>
  <c r="CD435" i="1"/>
  <c r="CD434" i="1"/>
  <c r="CD432" i="1"/>
  <c r="CD431" i="1"/>
  <c r="CD430" i="1"/>
  <c r="CD427" i="1"/>
  <c r="CD426" i="1"/>
  <c r="CD425" i="1"/>
  <c r="CD424" i="1"/>
  <c r="CD423" i="1"/>
  <c r="CD422" i="1"/>
  <c r="CD421" i="1"/>
  <c r="CD420" i="1"/>
  <c r="CD419" i="1"/>
  <c r="CD418" i="1"/>
  <c r="CD417" i="1"/>
  <c r="CD416" i="1"/>
  <c r="CD415" i="1"/>
  <c r="CD413" i="1"/>
  <c r="CD412" i="1"/>
  <c r="CD411" i="1"/>
  <c r="CD410" i="1"/>
  <c r="CD409" i="1"/>
  <c r="CD408" i="1"/>
  <c r="CD407" i="1"/>
  <c r="CD406" i="1"/>
  <c r="CD405" i="1"/>
  <c r="CD404" i="1"/>
  <c r="CD403" i="1"/>
  <c r="CD402" i="1"/>
  <c r="CD401" i="1"/>
  <c r="CD400" i="1"/>
  <c r="CD399" i="1"/>
  <c r="CD397" i="1"/>
  <c r="CD396" i="1"/>
  <c r="CD395" i="1"/>
  <c r="CD394" i="1"/>
  <c r="CD390" i="1"/>
  <c r="CD389" i="1"/>
  <c r="CD388" i="1"/>
  <c r="CD387" i="1"/>
  <c r="CD386" i="1"/>
  <c r="CD385" i="1"/>
  <c r="CD384" i="1"/>
  <c r="CD383" i="1"/>
  <c r="CD382" i="1"/>
  <c r="CD381" i="1"/>
  <c r="CD380" i="1"/>
  <c r="CD378" i="1"/>
  <c r="CD376" i="1"/>
  <c r="CD375" i="1"/>
  <c r="CD371" i="1"/>
  <c r="CD370" i="1"/>
  <c r="CD369" i="1"/>
  <c r="CD367" i="1"/>
  <c r="CD365" i="1"/>
  <c r="CD363" i="1"/>
  <c r="CD361" i="1"/>
  <c r="CD358" i="1"/>
  <c r="CD357" i="1"/>
  <c r="CD355" i="1"/>
  <c r="CD353" i="1"/>
  <c r="CD352" i="1"/>
  <c r="CD351" i="1"/>
  <c r="CD350" i="1"/>
  <c r="CD347" i="1"/>
  <c r="CD346" i="1"/>
  <c r="CD345" i="1"/>
  <c r="CD344" i="1"/>
  <c r="CD343" i="1"/>
  <c r="CD342" i="1"/>
  <c r="CD341" i="1"/>
  <c r="CD338" i="1"/>
  <c r="CD337" i="1"/>
  <c r="CD336" i="1"/>
  <c r="CD335" i="1"/>
  <c r="CD334" i="1"/>
  <c r="CD333" i="1"/>
  <c r="CD330" i="1"/>
  <c r="CD328" i="1"/>
  <c r="CD326" i="1"/>
  <c r="CD325" i="1"/>
  <c r="CD324" i="1"/>
  <c r="CD323" i="1"/>
  <c r="CD322" i="1"/>
  <c r="CD321" i="1"/>
  <c r="CD320" i="1"/>
  <c r="CD319" i="1"/>
  <c r="CD317" i="1"/>
  <c r="CD315" i="1"/>
  <c r="CD313" i="1"/>
  <c r="CD312" i="1"/>
  <c r="CD311" i="1"/>
  <c r="CD310" i="1"/>
  <c r="CD309" i="1"/>
  <c r="CD308" i="1"/>
  <c r="CD306" i="1"/>
  <c r="CD305" i="1"/>
  <c r="CD304" i="1"/>
  <c r="CD303" i="1"/>
  <c r="CD302" i="1"/>
  <c r="CD301" i="1"/>
  <c r="CD300" i="1"/>
  <c r="CD299" i="1"/>
  <c r="CD296" i="1"/>
  <c r="CD295" i="1"/>
  <c r="CD294" i="1"/>
  <c r="CD290" i="1"/>
  <c r="CD289" i="1"/>
  <c r="CD288" i="1"/>
  <c r="CD287" i="1"/>
  <c r="CD286" i="1"/>
  <c r="CD285" i="1"/>
  <c r="CD284" i="1"/>
  <c r="CD282" i="1"/>
  <c r="CD206" i="1"/>
  <c r="CD205" i="1"/>
  <c r="CD203" i="1"/>
  <c r="CD202" i="1"/>
  <c r="CD201" i="1"/>
  <c r="CD200" i="1"/>
  <c r="CD199" i="1"/>
  <c r="CD198" i="1"/>
  <c r="CD197" i="1"/>
  <c r="CD196" i="1"/>
  <c r="CD194" i="1"/>
  <c r="CD191" i="1"/>
  <c r="CD190" i="1"/>
  <c r="CD188" i="1"/>
  <c r="CD187" i="1"/>
  <c r="CD186" i="1"/>
  <c r="CD185" i="1"/>
  <c r="CD184" i="1"/>
  <c r="CD183" i="1"/>
  <c r="CD182" i="1"/>
  <c r="CD181" i="1"/>
  <c r="CD178" i="1"/>
  <c r="CD177" i="1"/>
  <c r="CD176" i="1"/>
  <c r="CD175" i="1"/>
  <c r="CD174" i="1"/>
  <c r="CD173" i="1"/>
  <c r="CD172" i="1"/>
  <c r="CD171" i="1"/>
  <c r="CD170" i="1"/>
  <c r="CD169" i="1"/>
  <c r="CD168" i="1"/>
  <c r="CD166" i="1"/>
  <c r="CD165" i="1"/>
  <c r="CD164" i="1"/>
  <c r="CD163" i="1"/>
  <c r="CD161" i="1"/>
  <c r="CD160" i="1"/>
  <c r="CD158" i="1"/>
  <c r="CD157" i="1"/>
  <c r="CD156" i="1"/>
  <c r="CD155" i="1"/>
  <c r="CD154" i="1"/>
  <c r="CD153" i="1"/>
  <c r="CD152" i="1"/>
  <c r="CD150" i="1"/>
  <c r="CD149" i="1"/>
  <c r="CD148" i="1"/>
  <c r="CD147" i="1"/>
  <c r="CD146" i="1"/>
  <c r="CD145" i="1"/>
  <c r="CD142" i="1"/>
  <c r="CD141" i="1"/>
  <c r="CD140" i="1"/>
  <c r="CD139" i="1"/>
  <c r="CD138" i="1"/>
  <c r="CD136" i="1"/>
  <c r="CD135" i="1"/>
  <c r="CD134" i="1"/>
  <c r="CD133" i="1"/>
  <c r="CD131" i="1"/>
  <c r="CD130" i="1"/>
  <c r="CD129" i="1"/>
  <c r="CD126" i="1"/>
  <c r="CD125" i="1"/>
  <c r="CD124" i="1"/>
  <c r="CD123" i="1"/>
  <c r="CD121" i="1"/>
  <c r="CD120" i="1"/>
  <c r="CD118" i="1"/>
  <c r="CD117" i="1"/>
  <c r="CD116" i="1"/>
  <c r="CD114" i="1"/>
  <c r="CD113" i="1"/>
  <c r="CD112" i="1"/>
  <c r="CD110" i="1"/>
  <c r="CD109" i="1"/>
  <c r="CD108" i="1"/>
  <c r="CD107" i="1"/>
  <c r="CD105" i="1"/>
  <c r="CD104" i="1"/>
  <c r="CD25" i="1"/>
  <c r="CD24" i="1"/>
  <c r="CD23" i="1"/>
  <c r="CD22" i="1"/>
  <c r="CD21" i="1"/>
  <c r="CD20" i="1"/>
  <c r="CD19" i="1"/>
  <c r="CD18" i="1"/>
  <c r="CD17" i="1"/>
  <c r="CD16" i="1"/>
  <c r="CD13" i="1"/>
  <c r="CD12" i="1"/>
  <c r="CD11" i="1"/>
  <c r="CD10" i="1"/>
  <c r="CD9" i="1"/>
  <c r="CD8" i="1"/>
  <c r="CD7" i="1"/>
  <c r="CD6" i="1"/>
  <c r="CD5" i="1"/>
  <c r="CD4" i="1"/>
  <c r="CD3" i="1"/>
  <c r="CD2" i="1"/>
  <c r="CC3206" i="1"/>
  <c r="CC3205" i="1"/>
  <c r="CC3201" i="1"/>
  <c r="CC3198" i="1"/>
  <c r="CC3197" i="1"/>
  <c r="CC3187" i="1"/>
  <c r="CC3186" i="1"/>
  <c r="CC3184" i="1"/>
  <c r="CC3183" i="1"/>
  <c r="CC3182" i="1"/>
  <c r="CC3181" i="1"/>
  <c r="CC3180" i="1"/>
  <c r="CC3177" i="1"/>
  <c r="CC3174" i="1"/>
  <c r="CC3170" i="1"/>
  <c r="CC3169" i="1"/>
  <c r="CC3167" i="1"/>
  <c r="CC3166" i="1"/>
  <c r="CC3164" i="1"/>
  <c r="CC3163" i="1"/>
  <c r="CC3160" i="1"/>
  <c r="CC3159" i="1"/>
  <c r="CC3158" i="1"/>
  <c r="CC3154" i="1"/>
  <c r="CC3153" i="1"/>
  <c r="CC3152" i="1"/>
  <c r="CC3151" i="1"/>
  <c r="CC3150" i="1"/>
  <c r="CC3147" i="1"/>
  <c r="CC3145" i="1"/>
  <c r="CC3144" i="1"/>
  <c r="CC3143" i="1"/>
  <c r="CC3142" i="1"/>
  <c r="CC3141" i="1"/>
  <c r="CC3139" i="1"/>
  <c r="CC3137" i="1"/>
  <c r="CC3136" i="1"/>
  <c r="CC3131" i="1"/>
  <c r="CC3124" i="1"/>
  <c r="CC3121" i="1"/>
  <c r="CC3117" i="1"/>
  <c r="CC3107" i="1"/>
  <c r="CC3105" i="1"/>
  <c r="CC3102" i="1"/>
  <c r="CC3099" i="1"/>
  <c r="CC3098" i="1"/>
  <c r="CC3097" i="1"/>
  <c r="CC3096" i="1"/>
  <c r="CC3095" i="1"/>
  <c r="CC3094" i="1"/>
  <c r="CC3093" i="1"/>
  <c r="CC3085" i="1"/>
  <c r="CC3083" i="1"/>
  <c r="CC3081" i="1"/>
  <c r="CC3079" i="1"/>
  <c r="CC3075" i="1"/>
  <c r="CC3073" i="1"/>
  <c r="CC3072" i="1"/>
  <c r="CC3067" i="1"/>
  <c r="CC3066" i="1"/>
  <c r="CC3064" i="1"/>
  <c r="CC3063" i="1"/>
  <c r="CC3062" i="1"/>
  <c r="CC3061" i="1"/>
  <c r="CC3058" i="1"/>
  <c r="CC3056" i="1"/>
  <c r="CC3054" i="1"/>
  <c r="CC3051" i="1"/>
  <c r="CC3048" i="1"/>
  <c r="CC3046" i="1"/>
  <c r="CC3045" i="1"/>
  <c r="CC3044" i="1"/>
  <c r="CC3043" i="1"/>
  <c r="CC3042" i="1"/>
  <c r="CC3040" i="1"/>
  <c r="CC3039" i="1"/>
  <c r="CC3038" i="1"/>
  <c r="CC3037" i="1"/>
  <c r="CC3032" i="1"/>
  <c r="CC3031" i="1"/>
  <c r="CC3029" i="1"/>
  <c r="CC3028" i="1"/>
  <c r="CC3027" i="1"/>
  <c r="CC3026" i="1"/>
  <c r="CC3025" i="1"/>
  <c r="CC3023" i="1"/>
  <c r="CC3019" i="1"/>
  <c r="CC3017" i="1"/>
  <c r="CC3013" i="1"/>
  <c r="CC3011" i="1"/>
  <c r="CC3009" i="1"/>
  <c r="CC3008" i="1"/>
  <c r="CC3006" i="1"/>
  <c r="CC3004" i="1"/>
  <c r="CC3003" i="1"/>
  <c r="CC3002" i="1"/>
  <c r="CC3000" i="1"/>
  <c r="CC2999" i="1"/>
  <c r="CC2998" i="1"/>
  <c r="CC2997" i="1"/>
  <c r="CC2996" i="1"/>
  <c r="CC2994" i="1"/>
  <c r="CC2989" i="1"/>
  <c r="CC2988" i="1"/>
  <c r="CC2987" i="1"/>
  <c r="CC2986" i="1"/>
  <c r="CC2984" i="1"/>
  <c r="CC2983" i="1"/>
  <c r="CC2980" i="1"/>
  <c r="CC2975" i="1"/>
  <c r="CC2974" i="1"/>
  <c r="CC2972" i="1"/>
  <c r="CC2969" i="1"/>
  <c r="CC2968" i="1"/>
  <c r="CC2967" i="1"/>
  <c r="CC2965" i="1"/>
  <c r="CC2964" i="1"/>
  <c r="CC2963" i="1"/>
  <c r="CC2962" i="1"/>
  <c r="CC2961" i="1"/>
  <c r="CC2960" i="1"/>
  <c r="CC2958" i="1"/>
  <c r="CC2955" i="1"/>
  <c r="CC2953" i="1"/>
  <c r="CC2951" i="1"/>
  <c r="CC2950" i="1"/>
  <c r="CC2947" i="1"/>
  <c r="CC2946" i="1"/>
  <c r="CC2945" i="1"/>
  <c r="CC2944" i="1"/>
  <c r="CC2943" i="1"/>
  <c r="CC2939" i="1"/>
  <c r="CC2938" i="1"/>
  <c r="CC2937" i="1"/>
  <c r="CC2934" i="1"/>
  <c r="CC2933" i="1"/>
  <c r="CC2931" i="1"/>
  <c r="CC2929" i="1"/>
  <c r="CC2924" i="1"/>
  <c r="CC2921" i="1"/>
  <c r="CC2920" i="1"/>
  <c r="CC2919" i="1"/>
  <c r="CC2918" i="1"/>
  <c r="CC2915" i="1"/>
  <c r="CC2914" i="1"/>
  <c r="CC2913" i="1"/>
  <c r="CC2912" i="1"/>
  <c r="CC2907" i="1"/>
  <c r="CC2906" i="1"/>
  <c r="CC2903" i="1"/>
  <c r="CC2902" i="1"/>
  <c r="CC2900" i="1"/>
  <c r="CC2899" i="1"/>
  <c r="CC2896" i="1"/>
  <c r="CC2893" i="1"/>
  <c r="CC2891" i="1"/>
  <c r="CC2888" i="1"/>
  <c r="CC2882" i="1"/>
  <c r="CC2880" i="1"/>
  <c r="CC2878" i="1"/>
  <c r="CC2877" i="1"/>
  <c r="CC2875" i="1"/>
  <c r="CC2870" i="1"/>
  <c r="CC2869" i="1"/>
  <c r="CC2868" i="1"/>
  <c r="CC2864" i="1"/>
  <c r="CC2863" i="1"/>
  <c r="CC2862" i="1"/>
  <c r="CC2860" i="1"/>
  <c r="CC2859" i="1"/>
  <c r="CC2855" i="1"/>
  <c r="CC2854" i="1"/>
  <c r="CC2853" i="1"/>
  <c r="CC2852" i="1"/>
  <c r="CC2851" i="1"/>
  <c r="CC2848" i="1"/>
  <c r="CC2847" i="1"/>
  <c r="CC2843" i="1"/>
  <c r="CC2842" i="1"/>
  <c r="CC2841" i="1"/>
  <c r="CC2834" i="1"/>
  <c r="CC2833" i="1"/>
  <c r="CC2832" i="1"/>
  <c r="CC2829" i="1"/>
  <c r="CC2828" i="1"/>
  <c r="CC2827" i="1"/>
  <c r="CC2824" i="1"/>
  <c r="CC2822" i="1"/>
  <c r="CC2821" i="1"/>
  <c r="CC2817" i="1"/>
  <c r="CC2811" i="1"/>
  <c r="CC2808" i="1"/>
  <c r="CC2807" i="1"/>
  <c r="CC2806" i="1"/>
  <c r="CC2804" i="1"/>
  <c r="CC2802" i="1"/>
  <c r="CC2801" i="1"/>
  <c r="CC2798" i="1"/>
  <c r="CC2795" i="1"/>
  <c r="CC2793" i="1"/>
  <c r="CC2791" i="1"/>
  <c r="CC2790" i="1"/>
  <c r="CC2789" i="1"/>
  <c r="CC2784" i="1"/>
  <c r="CC2783" i="1"/>
  <c r="CC2780" i="1"/>
  <c r="CC2778" i="1"/>
  <c r="CC2777" i="1"/>
  <c r="CC2774" i="1"/>
  <c r="CC2772" i="1"/>
  <c r="CC2769" i="1"/>
  <c r="CC2765" i="1"/>
  <c r="CC2763" i="1"/>
  <c r="CC2762" i="1"/>
  <c r="CC2761" i="1"/>
  <c r="CC2760" i="1"/>
  <c r="CC2759" i="1"/>
  <c r="CC2756" i="1"/>
  <c r="CC2755" i="1"/>
  <c r="CC2754" i="1"/>
  <c r="CC2750" i="1"/>
  <c r="CC2747" i="1"/>
  <c r="CC2744" i="1"/>
  <c r="CC2743" i="1"/>
  <c r="CC2742" i="1"/>
  <c r="CC2741" i="1"/>
  <c r="CC2740" i="1"/>
  <c r="CC2738" i="1"/>
  <c r="CC2734" i="1"/>
  <c r="CC2732" i="1"/>
  <c r="CC2729" i="1"/>
  <c r="CC2728" i="1"/>
  <c r="CC2726" i="1"/>
  <c r="CC2724" i="1"/>
  <c r="CC2723" i="1"/>
  <c r="CC2720" i="1"/>
  <c r="CC2717" i="1"/>
  <c r="CC2716" i="1"/>
  <c r="CC2714" i="1"/>
  <c r="CC2712" i="1"/>
  <c r="CC2710" i="1"/>
  <c r="CC2708" i="1"/>
  <c r="CC2705" i="1"/>
  <c r="CC2704" i="1"/>
  <c r="CC2703" i="1"/>
  <c r="CC2702" i="1"/>
  <c r="CC2701" i="1"/>
  <c r="CC2700" i="1"/>
  <c r="CC2699" i="1"/>
  <c r="CC2698" i="1"/>
  <c r="CC2696" i="1"/>
  <c r="CC2692" i="1"/>
  <c r="CC2691" i="1"/>
  <c r="CC2686" i="1"/>
  <c r="CC2685" i="1"/>
  <c r="CC2684" i="1"/>
  <c r="CC2683" i="1"/>
  <c r="CC2681" i="1"/>
  <c r="CC2679" i="1"/>
  <c r="CC2678" i="1"/>
  <c r="CC2677" i="1"/>
  <c r="CC2676" i="1"/>
  <c r="CC2674" i="1"/>
  <c r="CC2672" i="1"/>
  <c r="CC2669" i="1"/>
  <c r="CC2668" i="1"/>
  <c r="CC2664" i="1"/>
  <c r="CC2663" i="1"/>
  <c r="CC2650" i="1"/>
  <c r="CC2649" i="1"/>
  <c r="CC2644" i="1"/>
  <c r="CC2643" i="1"/>
  <c r="CC2642" i="1"/>
  <c r="CC2638" i="1"/>
  <c r="CC2636" i="1"/>
  <c r="CC2633" i="1"/>
  <c r="CC2632" i="1"/>
  <c r="CC2631" i="1"/>
  <c r="CC2630" i="1"/>
  <c r="CC2629" i="1"/>
  <c r="CC2628" i="1"/>
  <c r="CC2627" i="1"/>
  <c r="CC2626" i="1"/>
  <c r="CC2620" i="1"/>
  <c r="CC2617" i="1"/>
  <c r="CC2616" i="1"/>
  <c r="CC2615" i="1"/>
  <c r="CC2610" i="1"/>
  <c r="CC2607" i="1"/>
  <c r="CC2599" i="1"/>
  <c r="CC2598" i="1"/>
  <c r="CC2596" i="1"/>
  <c r="CC2593" i="1"/>
  <c r="CC2591" i="1"/>
  <c r="CC2589" i="1"/>
  <c r="CC2586" i="1"/>
  <c r="CC2585" i="1"/>
  <c r="CC2580" i="1"/>
  <c r="CC2578" i="1"/>
  <c r="CC2577" i="1"/>
  <c r="CC2576" i="1"/>
  <c r="CC2572" i="1"/>
  <c r="CC2569" i="1"/>
  <c r="CC2568" i="1"/>
  <c r="CC2567" i="1"/>
  <c r="CC2566" i="1"/>
  <c r="CC2561" i="1"/>
  <c r="CC2560" i="1"/>
  <c r="CC2558" i="1"/>
  <c r="CC2557" i="1"/>
  <c r="CC2553" i="1"/>
  <c r="CC2552" i="1"/>
  <c r="CC2550" i="1"/>
  <c r="CC2549" i="1"/>
  <c r="CC2547" i="1"/>
  <c r="CC2546" i="1"/>
  <c r="CC2544" i="1"/>
  <c r="CC2543" i="1"/>
  <c r="CC2542" i="1"/>
  <c r="CC2541" i="1"/>
  <c r="CC2540" i="1"/>
  <c r="CC2538" i="1"/>
  <c r="CC2537" i="1"/>
  <c r="CC2532" i="1"/>
  <c r="CC2531" i="1"/>
  <c r="CC2530" i="1"/>
  <c r="CC2529" i="1"/>
  <c r="CC2526" i="1"/>
  <c r="CC2523" i="1"/>
  <c r="CC2521" i="1"/>
  <c r="CC2520" i="1"/>
  <c r="CC2518" i="1"/>
  <c r="CC2517" i="1"/>
  <c r="CC2516" i="1"/>
  <c r="CC2515" i="1"/>
  <c r="CC2513" i="1"/>
  <c r="CC2512" i="1"/>
  <c r="CC2511" i="1"/>
  <c r="CC2509" i="1"/>
  <c r="CC2508" i="1"/>
  <c r="CC2507" i="1"/>
  <c r="CC2506" i="1"/>
  <c r="CC2505" i="1"/>
  <c r="CC2504" i="1"/>
  <c r="CC2502" i="1"/>
  <c r="CC2500" i="1"/>
  <c r="CC2499" i="1"/>
  <c r="CC2498" i="1"/>
  <c r="CC2497" i="1"/>
  <c r="CC2496" i="1"/>
  <c r="CC2494" i="1"/>
  <c r="CC2489" i="1"/>
  <c r="CC2488" i="1"/>
  <c r="CC2487" i="1"/>
  <c r="CC2486" i="1"/>
  <c r="CC2484" i="1"/>
  <c r="CC2483" i="1"/>
  <c r="CC2482" i="1"/>
  <c r="CC2481" i="1"/>
  <c r="CC2480" i="1"/>
  <c r="CC2479" i="1"/>
  <c r="CC2478" i="1"/>
  <c r="CC2477" i="1"/>
  <c r="CC2476" i="1"/>
  <c r="CC2475" i="1"/>
  <c r="CC2472" i="1"/>
  <c r="CC2469" i="1"/>
  <c r="CC2468" i="1"/>
  <c r="CC2467" i="1"/>
  <c r="CC2464" i="1"/>
  <c r="CC2462" i="1"/>
  <c r="CC2459" i="1"/>
  <c r="CC2458" i="1"/>
  <c r="CC2457" i="1"/>
  <c r="CC2456" i="1"/>
  <c r="CC2454" i="1"/>
  <c r="CC2452" i="1"/>
  <c r="CC2450" i="1"/>
  <c r="CC2449" i="1"/>
  <c r="CC2445" i="1"/>
  <c r="CC2444" i="1"/>
  <c r="CC2443" i="1"/>
  <c r="CC2442" i="1"/>
  <c r="CC2441" i="1"/>
  <c r="CC2439" i="1"/>
  <c r="CC2438" i="1"/>
  <c r="CC2437" i="1"/>
  <c r="CC2436" i="1"/>
  <c r="CC2434" i="1"/>
  <c r="CC2433" i="1"/>
  <c r="CC2432" i="1"/>
  <c r="CC2431" i="1"/>
  <c r="CC2429" i="1"/>
  <c r="CC2428" i="1"/>
  <c r="CC2426" i="1"/>
  <c r="CC2424" i="1"/>
  <c r="CC2423" i="1"/>
  <c r="CC2419" i="1"/>
  <c r="CC2418" i="1"/>
  <c r="CC2416" i="1"/>
  <c r="CC2415" i="1"/>
  <c r="CC2414" i="1"/>
  <c r="CC2413" i="1"/>
  <c r="CC2412" i="1"/>
  <c r="CC2411" i="1"/>
  <c r="CC2410" i="1"/>
  <c r="CC2409" i="1"/>
  <c r="CC2408" i="1"/>
  <c r="CC2406" i="1"/>
  <c r="CC2405" i="1"/>
  <c r="CC2404" i="1"/>
  <c r="CC2403" i="1"/>
  <c r="CC2401" i="1"/>
  <c r="CC2399" i="1"/>
  <c r="CC2397" i="1"/>
  <c r="CC2396" i="1"/>
  <c r="CC2395" i="1"/>
  <c r="CC2394" i="1"/>
  <c r="CC2393" i="1"/>
  <c r="CC2392" i="1"/>
  <c r="CC2391" i="1"/>
  <c r="CC2389" i="1"/>
  <c r="CC2388" i="1"/>
  <c r="CC2387" i="1"/>
  <c r="CC2386" i="1"/>
  <c r="CC2383" i="1"/>
  <c r="CC2382" i="1"/>
  <c r="CC2381" i="1"/>
  <c r="CC2380" i="1"/>
  <c r="CC2377" i="1"/>
  <c r="CC2376" i="1"/>
  <c r="CC2375" i="1"/>
  <c r="CC2374" i="1"/>
  <c r="CC2373" i="1"/>
  <c r="CC2371" i="1"/>
  <c r="CC2369" i="1"/>
  <c r="CC2368" i="1"/>
  <c r="CC2367" i="1"/>
  <c r="CC2366" i="1"/>
  <c r="CC2365" i="1"/>
  <c r="CC2362" i="1"/>
  <c r="CC2360" i="1"/>
  <c r="CC2358" i="1"/>
  <c r="CC2357" i="1"/>
  <c r="CC2356" i="1"/>
  <c r="CC2355" i="1"/>
  <c r="CC2354" i="1"/>
  <c r="CC2353" i="1"/>
  <c r="CC2352" i="1"/>
  <c r="CC2351" i="1"/>
  <c r="CC2349" i="1"/>
  <c r="CC2348" i="1"/>
  <c r="CC2347" i="1"/>
  <c r="CC2346" i="1"/>
  <c r="CC2345" i="1"/>
  <c r="CC2342" i="1"/>
  <c r="CC2340" i="1"/>
  <c r="CC2339" i="1"/>
  <c r="CC2337" i="1"/>
  <c r="CC2336" i="1"/>
  <c r="CC2335" i="1"/>
  <c r="CC2334" i="1"/>
  <c r="CC2332" i="1"/>
  <c r="CC2330" i="1"/>
  <c r="CC2326" i="1"/>
  <c r="CC2325" i="1"/>
  <c r="CC2324" i="1"/>
  <c r="CC2323" i="1"/>
  <c r="CC2319" i="1"/>
  <c r="CC2317" i="1"/>
  <c r="CC2316" i="1"/>
  <c r="CC2315" i="1"/>
  <c r="CC2314" i="1"/>
  <c r="CC2309" i="1"/>
  <c r="CC2307" i="1"/>
  <c r="CC2304" i="1"/>
  <c r="CC2302" i="1"/>
  <c r="CC2301" i="1"/>
  <c r="CC2299" i="1"/>
  <c r="CC2298" i="1"/>
  <c r="CC2295" i="1"/>
  <c r="CC2294" i="1"/>
  <c r="CC2292" i="1"/>
  <c r="CC2290" i="1"/>
  <c r="CC2289" i="1"/>
  <c r="CC2288" i="1"/>
  <c r="CC2287" i="1"/>
  <c r="CC2286" i="1"/>
  <c r="CC2284" i="1"/>
  <c r="CC2283" i="1"/>
  <c r="CC2282" i="1"/>
  <c r="CC2281" i="1"/>
  <c r="CC2277" i="1"/>
  <c r="CC2275" i="1"/>
  <c r="CC2271" i="1"/>
  <c r="CC2268" i="1"/>
  <c r="CC2267" i="1"/>
  <c r="CC2266" i="1"/>
  <c r="CC2264" i="1"/>
  <c r="CC2263" i="1"/>
  <c r="CC2261" i="1"/>
  <c r="CC2257" i="1"/>
  <c r="CC2255" i="1"/>
  <c r="CC2254" i="1"/>
  <c r="CC2253" i="1"/>
  <c r="CC2252" i="1"/>
  <c r="CC2251" i="1"/>
  <c r="CC2249" i="1"/>
  <c r="CC2246" i="1"/>
  <c r="CC2242" i="1"/>
  <c r="CC2241" i="1"/>
  <c r="CC2239" i="1"/>
  <c r="CC2238" i="1"/>
  <c r="CC2235" i="1"/>
  <c r="CC2234" i="1"/>
  <c r="CC2233" i="1"/>
  <c r="CC2231" i="1"/>
  <c r="CC2230" i="1"/>
  <c r="CC2228" i="1"/>
  <c r="CC2227" i="1"/>
  <c r="CC2226" i="1"/>
  <c r="CC2223" i="1"/>
  <c r="CC2222" i="1"/>
  <c r="CC2221" i="1"/>
  <c r="CC2220" i="1"/>
  <c r="CC2219" i="1"/>
  <c r="CC2216" i="1"/>
  <c r="CC2215" i="1"/>
  <c r="CC2214" i="1"/>
  <c r="CC2212" i="1"/>
  <c r="CC2208" i="1"/>
  <c r="CC2207" i="1"/>
  <c r="CC2203" i="1"/>
  <c r="CC2201" i="1"/>
  <c r="CC2200" i="1"/>
  <c r="CC2199" i="1"/>
  <c r="CC2198" i="1"/>
  <c r="CC2197" i="1"/>
  <c r="CC2196" i="1"/>
  <c r="CC2195" i="1"/>
  <c r="CC2193" i="1"/>
  <c r="CC2192" i="1"/>
  <c r="CC2191" i="1"/>
  <c r="CC2190" i="1"/>
  <c r="CC2188" i="1"/>
  <c r="CC2186" i="1"/>
  <c r="CC2185" i="1"/>
  <c r="CC2184" i="1"/>
  <c r="CC2183" i="1"/>
  <c r="CC2182" i="1"/>
  <c r="CC2181" i="1"/>
  <c r="CC2180" i="1"/>
  <c r="CC2179" i="1"/>
  <c r="CC2173" i="1"/>
  <c r="CC2172" i="1"/>
  <c r="CC2171" i="1"/>
  <c r="CC2170" i="1"/>
  <c r="CC2169" i="1"/>
  <c r="CC2168" i="1"/>
  <c r="CC2167" i="1"/>
  <c r="CC2166" i="1"/>
  <c r="CC2165" i="1"/>
  <c r="CC2164" i="1"/>
  <c r="CC2162" i="1"/>
  <c r="CC2161" i="1"/>
  <c r="CC2158" i="1"/>
  <c r="CC2156" i="1"/>
  <c r="CC2155" i="1"/>
  <c r="CC2153" i="1"/>
  <c r="CC2152" i="1"/>
  <c r="CC2151" i="1"/>
  <c r="CC2150" i="1"/>
  <c r="CC2149" i="1"/>
  <c r="CC2148" i="1"/>
  <c r="CC2147" i="1"/>
  <c r="CC2145" i="1"/>
  <c r="CC2143" i="1"/>
  <c r="CC2141" i="1"/>
  <c r="CC2140" i="1"/>
  <c r="CC2139" i="1"/>
  <c r="CC2138" i="1"/>
  <c r="CC2136" i="1"/>
  <c r="CC2135" i="1"/>
  <c r="CC2133" i="1"/>
  <c r="CC2129" i="1"/>
  <c r="CC2128" i="1"/>
  <c r="CC2127" i="1"/>
  <c r="CC2122" i="1"/>
  <c r="CC2119" i="1"/>
  <c r="CC2118" i="1"/>
  <c r="CC2116" i="1"/>
  <c r="CC2115" i="1"/>
  <c r="CC2114" i="1"/>
  <c r="CC2113" i="1"/>
  <c r="CC2112" i="1"/>
  <c r="CC2111" i="1"/>
  <c r="CC2110" i="1"/>
  <c r="CC2109" i="1"/>
  <c r="CC2108" i="1"/>
  <c r="CC2107" i="1"/>
  <c r="CC2104" i="1"/>
  <c r="CC2101" i="1"/>
  <c r="CC2100" i="1"/>
  <c r="CC2099" i="1"/>
  <c r="CC2098" i="1"/>
  <c r="CC2096" i="1"/>
  <c r="CC2094" i="1"/>
  <c r="CC2093" i="1"/>
  <c r="CC2092" i="1"/>
  <c r="CC2090" i="1"/>
  <c r="CC2089" i="1"/>
  <c r="CC2086" i="1"/>
  <c r="CC2083" i="1"/>
  <c r="CC2081" i="1"/>
  <c r="CC2079" i="1"/>
  <c r="CC2077" i="1"/>
  <c r="CC2076" i="1"/>
  <c r="CC2074" i="1"/>
  <c r="CC2071" i="1"/>
  <c r="CC2070" i="1"/>
  <c r="CC2069" i="1"/>
  <c r="CC2068" i="1"/>
  <c r="CC2067" i="1"/>
  <c r="CC2065" i="1"/>
  <c r="CC2063" i="1"/>
  <c r="CC2061" i="1"/>
  <c r="CC2060" i="1"/>
  <c r="CC2058" i="1"/>
  <c r="CC2057" i="1"/>
  <c r="CC2056" i="1"/>
  <c r="CC2053" i="1"/>
  <c r="CC2051" i="1"/>
  <c r="CC2050" i="1"/>
  <c r="CC2049" i="1"/>
  <c r="CC2048" i="1"/>
  <c r="CC2044" i="1"/>
  <c r="CC2042" i="1"/>
  <c r="CC2041" i="1"/>
  <c r="CC2040" i="1"/>
  <c r="CC2039" i="1"/>
  <c r="CC2038" i="1"/>
  <c r="CC2037" i="1"/>
  <c r="CC2035" i="1"/>
  <c r="CC2032" i="1"/>
  <c r="CC2029" i="1"/>
  <c r="CC2028" i="1"/>
  <c r="CC2024" i="1"/>
  <c r="CC2023" i="1"/>
  <c r="CC2022" i="1"/>
  <c r="CC2021" i="1"/>
  <c r="CC2020" i="1"/>
  <c r="CC2019" i="1"/>
  <c r="CC2018" i="1"/>
  <c r="CC2015" i="1"/>
  <c r="CC2014" i="1"/>
  <c r="CC2013" i="1"/>
  <c r="CC2011" i="1"/>
  <c r="CC2010" i="1"/>
  <c r="CC2009" i="1"/>
  <c r="CC2007" i="1"/>
  <c r="CC2005" i="1"/>
  <c r="CC2004" i="1"/>
  <c r="CC2003" i="1"/>
  <c r="CC2002" i="1"/>
  <c r="CC2001" i="1"/>
  <c r="CC2000" i="1"/>
  <c r="CC1999" i="1"/>
  <c r="CC1997" i="1"/>
  <c r="CC1996" i="1"/>
  <c r="CC1995" i="1"/>
  <c r="CC1993" i="1"/>
  <c r="CC1992" i="1"/>
  <c r="CC1991" i="1"/>
  <c r="CC1990" i="1"/>
  <c r="CC1987" i="1"/>
  <c r="CC1986" i="1"/>
  <c r="CC1984" i="1"/>
  <c r="CC1982" i="1"/>
  <c r="CC1975" i="1"/>
  <c r="CC1971" i="1"/>
  <c r="CC1970" i="1"/>
  <c r="CC1969" i="1"/>
  <c r="CC1965" i="1"/>
  <c r="CC1964" i="1"/>
  <c r="CC1962" i="1"/>
  <c r="CC1961" i="1"/>
  <c r="CC1960" i="1"/>
  <c r="CC1958" i="1"/>
  <c r="CC1957" i="1"/>
  <c r="CC1956" i="1"/>
  <c r="CC1955" i="1"/>
  <c r="CC1954" i="1"/>
  <c r="CC1953" i="1"/>
  <c r="CC1950" i="1"/>
  <c r="CC1949" i="1"/>
  <c r="CC1948" i="1"/>
  <c r="CC1947" i="1"/>
  <c r="CC1946" i="1"/>
  <c r="CC1945" i="1"/>
  <c r="CC1944" i="1"/>
  <c r="CC1943" i="1"/>
  <c r="CC1942" i="1"/>
  <c r="CC1941" i="1"/>
  <c r="CC1940" i="1"/>
  <c r="CC1939" i="1"/>
  <c r="CC1937" i="1"/>
  <c r="CC1933" i="1"/>
  <c r="CC1931" i="1"/>
  <c r="CC1930" i="1"/>
  <c r="CC1927" i="1"/>
  <c r="CC1926" i="1"/>
  <c r="CC1925" i="1"/>
  <c r="CC1924" i="1"/>
  <c r="CC1923" i="1"/>
  <c r="CC1920" i="1"/>
  <c r="CC1919" i="1"/>
  <c r="CC1918" i="1"/>
  <c r="CC1917" i="1"/>
  <c r="CC1916" i="1"/>
  <c r="CC1915" i="1"/>
  <c r="CC1914" i="1"/>
  <c r="CC1913" i="1"/>
  <c r="CC1909" i="1"/>
  <c r="CC1906" i="1"/>
  <c r="CC1904" i="1"/>
  <c r="CC1902" i="1"/>
  <c r="CC1901" i="1"/>
  <c r="CC1899" i="1"/>
  <c r="CC1898" i="1"/>
  <c r="CC1897" i="1"/>
  <c r="CC1895" i="1"/>
  <c r="CC1893" i="1"/>
  <c r="CC1892" i="1"/>
  <c r="CC1889" i="1"/>
  <c r="CC1887" i="1"/>
  <c r="CC1886" i="1"/>
  <c r="CC1882" i="1"/>
  <c r="CC1881" i="1"/>
  <c r="CC1880" i="1"/>
  <c r="CC1879" i="1"/>
  <c r="CC1877" i="1"/>
  <c r="CC1875" i="1"/>
  <c r="CC1874" i="1"/>
  <c r="CC1871" i="1"/>
  <c r="CC1870" i="1"/>
  <c r="CC1869" i="1"/>
  <c r="CC1867" i="1"/>
  <c r="CC1866" i="1"/>
  <c r="CC1864" i="1"/>
  <c r="CC1861" i="1"/>
  <c r="CC1859" i="1"/>
  <c r="CC1854" i="1"/>
  <c r="CC1853" i="1"/>
  <c r="CC1850" i="1"/>
  <c r="CC1849" i="1"/>
  <c r="CC1848" i="1"/>
  <c r="CC1847" i="1"/>
  <c r="CC1846" i="1"/>
  <c r="CC1844" i="1"/>
  <c r="CC1842" i="1"/>
  <c r="CC1841" i="1"/>
  <c r="CC1840" i="1"/>
  <c r="CC1838" i="1"/>
  <c r="CC1836" i="1"/>
  <c r="CC1835" i="1"/>
  <c r="CC1834" i="1"/>
  <c r="CC1833" i="1"/>
  <c r="CC1832" i="1"/>
  <c r="CC1830" i="1"/>
  <c r="CC1826" i="1"/>
  <c r="CC1824" i="1"/>
  <c r="CC1823" i="1"/>
  <c r="CC1822" i="1"/>
  <c r="CC1821" i="1"/>
  <c r="CC1820" i="1"/>
  <c r="CC1814" i="1"/>
  <c r="CC1812" i="1"/>
  <c r="CC1811" i="1"/>
  <c r="CC1810" i="1"/>
  <c r="CC1809" i="1"/>
  <c r="CC1805" i="1"/>
  <c r="CC1804" i="1"/>
  <c r="CC1801" i="1"/>
  <c r="CC1800" i="1"/>
  <c r="CC1799" i="1"/>
  <c r="CC1797" i="1"/>
  <c r="CC1796" i="1"/>
  <c r="CC1795" i="1"/>
  <c r="CC1794" i="1"/>
  <c r="CC1792" i="1"/>
  <c r="CC1791" i="1"/>
  <c r="CC1790" i="1"/>
  <c r="CC1788" i="1"/>
  <c r="CC1787" i="1"/>
  <c r="CC1786" i="1"/>
  <c r="CC1785" i="1"/>
  <c r="CC1783" i="1"/>
  <c r="CC1782" i="1"/>
  <c r="CC1781" i="1"/>
  <c r="CC1780" i="1"/>
  <c r="CC1779" i="1"/>
  <c r="CC1778" i="1"/>
  <c r="CC1777" i="1"/>
  <c r="CC1776" i="1"/>
  <c r="CC1774" i="1"/>
  <c r="CC1773" i="1"/>
  <c r="CC1771" i="1"/>
  <c r="CC1767" i="1"/>
  <c r="CC1766" i="1"/>
  <c r="CC1765" i="1"/>
  <c r="CC1764" i="1"/>
  <c r="CC1762" i="1"/>
  <c r="CC1761" i="1"/>
  <c r="CC1760" i="1"/>
  <c r="CC1758" i="1"/>
  <c r="CC1756" i="1"/>
  <c r="CC1755" i="1"/>
  <c r="CC1753" i="1"/>
  <c r="CC1752" i="1"/>
  <c r="CC1750" i="1"/>
  <c r="CC1749" i="1"/>
  <c r="CC1746" i="1"/>
  <c r="CC1744" i="1"/>
  <c r="CC1743" i="1"/>
  <c r="CC1742" i="1"/>
  <c r="CC1737" i="1"/>
  <c r="CC1734" i="1"/>
  <c r="CC1732" i="1"/>
  <c r="CC1731" i="1"/>
  <c r="CC1730" i="1"/>
  <c r="CC1729" i="1"/>
  <c r="CC1726" i="1"/>
  <c r="CC1724" i="1"/>
  <c r="CC1722" i="1"/>
  <c r="CC1721" i="1"/>
  <c r="CC1720" i="1"/>
  <c r="CC1719" i="1"/>
  <c r="CC1717" i="1"/>
  <c r="CC1716" i="1"/>
  <c r="CC1715" i="1"/>
  <c r="CC1714" i="1"/>
  <c r="CC1711" i="1"/>
  <c r="CC1710" i="1"/>
  <c r="CC1709" i="1"/>
  <c r="CC1707" i="1"/>
  <c r="CC1705" i="1"/>
  <c r="CC1703" i="1"/>
  <c r="CC1698" i="1"/>
  <c r="CC1694" i="1"/>
  <c r="CC1692" i="1"/>
  <c r="CC1691" i="1"/>
  <c r="CC1690" i="1"/>
  <c r="CC1688" i="1"/>
  <c r="CC1686" i="1"/>
  <c r="CC1684" i="1"/>
  <c r="CC1681" i="1"/>
  <c r="CC1679" i="1"/>
  <c r="CC1678" i="1"/>
  <c r="CC1677" i="1"/>
  <c r="CC1676" i="1"/>
  <c r="CC1674" i="1"/>
  <c r="CC1673" i="1"/>
  <c r="CC1672" i="1"/>
  <c r="CC1671" i="1"/>
  <c r="CC1668" i="1"/>
  <c r="CC1667" i="1"/>
  <c r="CC1665" i="1"/>
  <c r="CC1663" i="1"/>
  <c r="CC1662" i="1"/>
  <c r="CC1660" i="1"/>
  <c r="CC1659" i="1"/>
  <c r="CC1658" i="1"/>
  <c r="CC1657" i="1"/>
  <c r="CC1655" i="1"/>
  <c r="CC1654" i="1"/>
  <c r="CC1653" i="1"/>
  <c r="CC1649" i="1"/>
  <c r="CC1645" i="1"/>
  <c r="CC1644" i="1"/>
  <c r="CC1642" i="1"/>
  <c r="CC1641" i="1"/>
  <c r="CC1640" i="1"/>
  <c r="CC1639" i="1"/>
  <c r="CC1635" i="1"/>
  <c r="CC1634" i="1"/>
  <c r="CC1632" i="1"/>
  <c r="CC1631" i="1"/>
  <c r="CC1630" i="1"/>
  <c r="CC1629" i="1"/>
  <c r="CC1628" i="1"/>
  <c r="CC1627" i="1"/>
  <c r="CC1626" i="1"/>
  <c r="CC1625" i="1"/>
  <c r="CC1624" i="1"/>
  <c r="CC1621" i="1"/>
  <c r="CC1619" i="1"/>
  <c r="CC1617" i="1"/>
  <c r="CC1615" i="1"/>
  <c r="CC1614" i="1"/>
  <c r="CC1611" i="1"/>
  <c r="CC1610" i="1"/>
  <c r="CC1609" i="1"/>
  <c r="CC1607" i="1"/>
  <c r="CC1605" i="1"/>
  <c r="CC1603" i="1"/>
  <c r="CC1602" i="1"/>
  <c r="CC1601" i="1"/>
  <c r="CC1600" i="1"/>
  <c r="CC1599" i="1"/>
  <c r="CC1598" i="1"/>
  <c r="CC1596" i="1"/>
  <c r="CC1595" i="1"/>
  <c r="CC1594" i="1"/>
  <c r="CC1593" i="1"/>
  <c r="CC1591" i="1"/>
  <c r="CC1586" i="1"/>
  <c r="CC1582" i="1"/>
  <c r="CC1581" i="1"/>
  <c r="CC1580" i="1"/>
  <c r="CC1579" i="1"/>
  <c r="CC1576" i="1"/>
  <c r="CC1575" i="1"/>
  <c r="CC1574" i="1"/>
  <c r="CC1573" i="1"/>
  <c r="CC1570" i="1"/>
  <c r="CC1569" i="1"/>
  <c r="CC1567" i="1"/>
  <c r="CC1563" i="1"/>
  <c r="CC1562" i="1"/>
  <c r="CC1561" i="1"/>
  <c r="CC1558" i="1"/>
  <c r="CC1557" i="1"/>
  <c r="CC1554" i="1"/>
  <c r="CC1550" i="1"/>
  <c r="CC1549" i="1"/>
  <c r="CC1548" i="1"/>
  <c r="CC1547" i="1"/>
  <c r="CC1546" i="1"/>
  <c r="CC1545" i="1"/>
  <c r="CC1544" i="1"/>
  <c r="CC1542" i="1"/>
  <c r="CC1541" i="1"/>
  <c r="CC1540" i="1"/>
  <c r="CC1539" i="1"/>
  <c r="CC1538" i="1"/>
  <c r="CC1537" i="1"/>
  <c r="CC1536" i="1"/>
  <c r="CC1535" i="1"/>
  <c r="CC1532" i="1"/>
  <c r="CC1530" i="1"/>
  <c r="CC1528" i="1"/>
  <c r="CC1524" i="1"/>
  <c r="CC1523" i="1"/>
  <c r="CC1519" i="1"/>
  <c r="CC1518" i="1"/>
  <c r="CC1517" i="1"/>
  <c r="CC1516" i="1"/>
  <c r="CC1513" i="1"/>
  <c r="CC1512" i="1"/>
  <c r="CC1511" i="1"/>
  <c r="CC1509" i="1"/>
  <c r="CC1508" i="1"/>
  <c r="CC1507" i="1"/>
  <c r="CC1506" i="1"/>
  <c r="CC1505" i="1"/>
  <c r="CC1504" i="1"/>
  <c r="CC1500" i="1"/>
  <c r="CC1499" i="1"/>
  <c r="CC1498" i="1"/>
  <c r="CC1497" i="1"/>
  <c r="CC1495" i="1"/>
  <c r="CC1494" i="1"/>
  <c r="CC1493" i="1"/>
  <c r="CC1492" i="1"/>
  <c r="CC1490" i="1"/>
  <c r="CC1489" i="1"/>
  <c r="CC1488" i="1"/>
  <c r="CC1486" i="1"/>
  <c r="CC1483" i="1"/>
  <c r="CC1481" i="1"/>
  <c r="CC1480" i="1"/>
  <c r="CC1479" i="1"/>
  <c r="CC1478" i="1"/>
  <c r="CC1476" i="1"/>
  <c r="CC1473" i="1"/>
  <c r="CC1470" i="1"/>
  <c r="CC1469" i="1"/>
  <c r="CC1468" i="1"/>
  <c r="CC1464" i="1"/>
  <c r="CC1462" i="1"/>
  <c r="CC1461" i="1"/>
  <c r="CC1460" i="1"/>
  <c r="CC1458" i="1"/>
  <c r="CC1457" i="1"/>
  <c r="CC1456" i="1"/>
  <c r="CC1454" i="1"/>
  <c r="CC1450" i="1"/>
  <c r="CC1449" i="1"/>
  <c r="CC1448" i="1"/>
  <c r="CC1447" i="1"/>
  <c r="CC1446" i="1"/>
  <c r="CC1443" i="1"/>
  <c r="CC1442" i="1"/>
  <c r="CC1440" i="1"/>
  <c r="CC1438" i="1"/>
  <c r="CC1435" i="1"/>
  <c r="CC1434" i="1"/>
  <c r="CC1432" i="1"/>
  <c r="CC1431" i="1"/>
  <c r="CC1429" i="1"/>
  <c r="CC1425" i="1"/>
  <c r="CC1424" i="1"/>
  <c r="CC1422" i="1"/>
  <c r="CC1420" i="1"/>
  <c r="CC1419" i="1"/>
  <c r="CC1418" i="1"/>
  <c r="CC1416" i="1"/>
  <c r="CC1415" i="1"/>
  <c r="CC1414" i="1"/>
  <c r="CC1413" i="1"/>
  <c r="CC1409" i="1"/>
  <c r="CC1407" i="1"/>
  <c r="CC1406" i="1"/>
  <c r="CC1404" i="1"/>
  <c r="CC1401" i="1"/>
  <c r="CC1400" i="1"/>
  <c r="CC1399" i="1"/>
  <c r="CC1398" i="1"/>
  <c r="CC1397" i="1"/>
  <c r="CC1396" i="1"/>
  <c r="CC1394" i="1"/>
  <c r="CC1393" i="1"/>
  <c r="CC1392" i="1"/>
  <c r="CC1391" i="1"/>
  <c r="CC1390" i="1"/>
  <c r="CC1389" i="1"/>
  <c r="CC1388" i="1"/>
  <c r="CC1387" i="1"/>
  <c r="CC1386" i="1"/>
  <c r="CC1385" i="1"/>
  <c r="CC1384" i="1"/>
  <c r="CC1380" i="1"/>
  <c r="CC1379" i="1"/>
  <c r="CC1378" i="1"/>
  <c r="CC1377" i="1"/>
  <c r="CC1375" i="1"/>
  <c r="CC1374" i="1"/>
  <c r="CC1373" i="1"/>
  <c r="CC1372" i="1"/>
  <c r="CC1371" i="1"/>
  <c r="CC1370" i="1"/>
  <c r="CC1368" i="1"/>
  <c r="CC1365" i="1"/>
  <c r="CC1362" i="1"/>
  <c r="CC1361" i="1"/>
  <c r="CC1357" i="1"/>
  <c r="CC1356" i="1"/>
  <c r="CC1355" i="1"/>
  <c r="CC1354" i="1"/>
  <c r="CC1353" i="1"/>
  <c r="CC1352" i="1"/>
  <c r="CC1351" i="1"/>
  <c r="CC1350" i="1"/>
  <c r="CC1349" i="1"/>
  <c r="CC1345" i="1"/>
  <c r="CC1344" i="1"/>
  <c r="CC1343" i="1"/>
  <c r="CC1340" i="1"/>
  <c r="CC1339" i="1"/>
  <c r="CC1338" i="1"/>
  <c r="CC1337" i="1"/>
  <c r="CC1335" i="1"/>
  <c r="CC1334" i="1"/>
  <c r="CC1330" i="1"/>
  <c r="CC1329" i="1"/>
  <c r="CC1328" i="1"/>
  <c r="CC1327" i="1"/>
  <c r="CC1325" i="1"/>
  <c r="CC1324" i="1"/>
  <c r="CC1323" i="1"/>
  <c r="CC1317" i="1"/>
  <c r="CC1316" i="1"/>
  <c r="CC1315" i="1"/>
  <c r="CC1313" i="1"/>
  <c r="CC1312" i="1"/>
  <c r="CC1311" i="1"/>
  <c r="CC1309" i="1"/>
  <c r="CC1307" i="1"/>
  <c r="CC1304" i="1"/>
  <c r="CC1303" i="1"/>
  <c r="CC1302" i="1"/>
  <c r="CC1300" i="1"/>
  <c r="CC1298" i="1"/>
  <c r="CC1296" i="1"/>
  <c r="CC1294" i="1"/>
  <c r="CC1291" i="1"/>
  <c r="CC1289" i="1"/>
  <c r="CC1286" i="1"/>
  <c r="CC1285" i="1"/>
  <c r="CC1284" i="1"/>
  <c r="CC1283" i="1"/>
  <c r="CC1282" i="1"/>
  <c r="CC1279" i="1"/>
  <c r="CC1278" i="1"/>
  <c r="CC1276" i="1"/>
  <c r="CC1275" i="1"/>
  <c r="CC1274" i="1"/>
  <c r="CC1270" i="1"/>
  <c r="CC1268" i="1"/>
  <c r="CC1267" i="1"/>
  <c r="CC1266" i="1"/>
  <c r="CC1265" i="1"/>
  <c r="CC1264" i="1"/>
  <c r="CC1261" i="1"/>
  <c r="CC1260" i="1"/>
  <c r="CC1258" i="1"/>
  <c r="CC1256" i="1"/>
  <c r="CC1255" i="1"/>
  <c r="CC1254" i="1"/>
  <c r="CC1251" i="1"/>
  <c r="CC1248" i="1"/>
  <c r="CC1246" i="1"/>
  <c r="CC1245" i="1"/>
  <c r="CC1244" i="1"/>
  <c r="CC1243" i="1"/>
  <c r="CC1242" i="1"/>
  <c r="CC1241" i="1"/>
  <c r="CC1240" i="1"/>
  <c r="CC1238" i="1"/>
  <c r="CC1237" i="1"/>
  <c r="CC1236" i="1"/>
  <c r="CC1234" i="1"/>
  <c r="CC1232" i="1"/>
  <c r="CC1231" i="1"/>
  <c r="CC1230" i="1"/>
  <c r="CC1229" i="1"/>
  <c r="CC1228" i="1"/>
  <c r="CC1227" i="1"/>
  <c r="CC1226" i="1"/>
  <c r="CC1225" i="1"/>
  <c r="CC1224" i="1"/>
  <c r="CC1223" i="1"/>
  <c r="CC1222" i="1"/>
  <c r="CC1221" i="1"/>
  <c r="CC1218" i="1"/>
  <c r="CC1217" i="1"/>
  <c r="CC1216" i="1"/>
  <c r="CC1214" i="1"/>
  <c r="CC1213" i="1"/>
  <c r="CC1210" i="1"/>
  <c r="CC1208" i="1"/>
  <c r="CC1207" i="1"/>
  <c r="CC1205" i="1"/>
  <c r="CC1201" i="1"/>
  <c r="CC1199" i="1"/>
  <c r="CC1198" i="1"/>
  <c r="CC1196" i="1"/>
  <c r="CC1195" i="1"/>
  <c r="CC1194" i="1"/>
  <c r="CC1193" i="1"/>
  <c r="CC1191" i="1"/>
  <c r="CC1190" i="1"/>
  <c r="CC1189" i="1"/>
  <c r="CC1188" i="1"/>
  <c r="CC1187" i="1"/>
  <c r="CC1186" i="1"/>
  <c r="CC1182" i="1"/>
  <c r="CC1181" i="1"/>
  <c r="CC1179" i="1"/>
  <c r="CC1178" i="1"/>
  <c r="CC1177" i="1"/>
  <c r="CC1176" i="1"/>
  <c r="CC1175" i="1"/>
  <c r="CC1173" i="1"/>
  <c r="CC1170" i="1"/>
  <c r="CC1169" i="1"/>
  <c r="CC1168" i="1"/>
  <c r="CC1167" i="1"/>
  <c r="CC1166" i="1"/>
  <c r="CC1164" i="1"/>
  <c r="CC1163" i="1"/>
  <c r="CC1162" i="1"/>
  <c r="CC1161" i="1"/>
  <c r="CC1160" i="1"/>
  <c r="CC1159" i="1"/>
  <c r="CC1157" i="1"/>
  <c r="CC1156" i="1"/>
  <c r="CC1154" i="1"/>
  <c r="CC1153" i="1"/>
  <c r="CC1150" i="1"/>
  <c r="CC1149" i="1"/>
  <c r="CC1148" i="1"/>
  <c r="CC1146" i="1"/>
  <c r="CC1145" i="1"/>
  <c r="CC1144" i="1"/>
  <c r="CC1140" i="1"/>
  <c r="CC1138" i="1"/>
  <c r="CC1137" i="1"/>
  <c r="CC1135" i="1"/>
  <c r="CC1134" i="1"/>
  <c r="CC1133" i="1"/>
  <c r="CC1132" i="1"/>
  <c r="CC1130" i="1"/>
  <c r="CC1129" i="1"/>
  <c r="CC1128" i="1"/>
  <c r="CC1127" i="1"/>
  <c r="CC1125" i="1"/>
  <c r="CC1124" i="1"/>
  <c r="CC1123" i="1"/>
  <c r="CC1122" i="1"/>
  <c r="CC1121" i="1"/>
  <c r="CC1120" i="1"/>
  <c r="CC1117" i="1"/>
  <c r="CC1116" i="1"/>
  <c r="CC1115" i="1"/>
  <c r="CC1112" i="1"/>
  <c r="CC1111" i="1"/>
  <c r="CC1110" i="1"/>
  <c r="CC1109" i="1"/>
  <c r="CC1107" i="1"/>
  <c r="CC1106" i="1"/>
  <c r="CC1104" i="1"/>
  <c r="CC1103" i="1"/>
  <c r="CC1102" i="1"/>
  <c r="CC1097" i="1"/>
  <c r="CC1096" i="1"/>
  <c r="CC1095" i="1"/>
  <c r="CC1094" i="1"/>
  <c r="CC1093" i="1"/>
  <c r="CC1092" i="1"/>
  <c r="CC1091" i="1"/>
  <c r="CC1090" i="1"/>
  <c r="CC1088" i="1"/>
  <c r="CC1087" i="1"/>
  <c r="CC1086" i="1"/>
  <c r="CC1085" i="1"/>
  <c r="CC1084" i="1"/>
  <c r="CC1083" i="1"/>
  <c r="CC1082" i="1"/>
  <c r="CC1081" i="1"/>
  <c r="CC1080" i="1"/>
  <c r="CC1079" i="1"/>
  <c r="CC1078" i="1"/>
  <c r="CC1076" i="1"/>
  <c r="CC1074" i="1"/>
  <c r="CC1073" i="1"/>
  <c r="CC1070" i="1"/>
  <c r="CC1069" i="1"/>
  <c r="CC1068" i="1"/>
  <c r="CC1067" i="1"/>
  <c r="CC1066" i="1"/>
  <c r="CC1064" i="1"/>
  <c r="CC1063" i="1"/>
  <c r="CC1060" i="1"/>
  <c r="CC1059" i="1"/>
  <c r="CC1058" i="1"/>
  <c r="CC1056" i="1"/>
  <c r="CC1053" i="1"/>
  <c r="CC1051" i="1"/>
  <c r="CC1049" i="1"/>
  <c r="CC1046" i="1"/>
  <c r="CC1045" i="1"/>
  <c r="CC1043" i="1"/>
  <c r="CC1040" i="1"/>
  <c r="CC1039" i="1"/>
  <c r="CC1037" i="1"/>
  <c r="CC1036" i="1"/>
  <c r="CC1033" i="1"/>
  <c r="CC1032" i="1"/>
  <c r="CC1031" i="1"/>
  <c r="CC1028" i="1"/>
  <c r="CC1027" i="1"/>
  <c r="CC1026" i="1"/>
  <c r="CC1025" i="1"/>
  <c r="CC1024" i="1"/>
  <c r="CC1023" i="1"/>
  <c r="CC1022" i="1"/>
  <c r="CC1021" i="1"/>
  <c r="CC1020" i="1"/>
  <c r="CC1017" i="1"/>
  <c r="CC1015" i="1"/>
  <c r="CC1014" i="1"/>
  <c r="CC1012" i="1"/>
  <c r="CC1006" i="1"/>
  <c r="CC1005" i="1"/>
  <c r="CC1003" i="1"/>
  <c r="CC1000" i="1"/>
  <c r="CC999" i="1"/>
  <c r="CC995" i="1"/>
  <c r="CC994" i="1"/>
  <c r="CC993" i="1"/>
  <c r="CC990" i="1"/>
  <c r="CC989" i="1"/>
  <c r="CC988" i="1"/>
  <c r="CC986" i="1"/>
  <c r="CC985" i="1"/>
  <c r="CC984" i="1"/>
  <c r="CC983" i="1"/>
  <c r="CC982" i="1"/>
  <c r="CC980" i="1"/>
  <c r="CC979" i="1"/>
  <c r="CC978" i="1"/>
  <c r="CC975" i="1"/>
  <c r="CC974" i="1"/>
  <c r="CC973" i="1"/>
  <c r="CC972" i="1"/>
  <c r="CC971" i="1"/>
  <c r="CC968" i="1"/>
  <c r="CC967" i="1"/>
  <c r="CC966" i="1"/>
  <c r="CC964" i="1"/>
  <c r="CC963" i="1"/>
  <c r="CC962" i="1"/>
  <c r="CC960" i="1"/>
  <c r="CC958" i="1"/>
  <c r="CC957" i="1"/>
  <c r="CC956" i="1"/>
  <c r="CC955" i="1"/>
  <c r="CC954" i="1"/>
  <c r="CC952" i="1"/>
  <c r="CC950" i="1"/>
  <c r="CC949" i="1"/>
  <c r="CC948" i="1"/>
  <c r="CC947" i="1"/>
  <c r="CC945" i="1"/>
  <c r="CC943" i="1"/>
  <c r="CC942" i="1"/>
  <c r="CC940" i="1"/>
  <c r="CC939" i="1"/>
  <c r="CC938" i="1"/>
  <c r="CC935" i="1"/>
  <c r="CC934" i="1"/>
  <c r="CC933" i="1"/>
  <c r="CC932" i="1"/>
  <c r="CC928" i="1"/>
  <c r="CC926" i="1"/>
  <c r="CC925" i="1"/>
  <c r="CC924" i="1"/>
  <c r="CC923" i="1"/>
  <c r="CC922" i="1"/>
  <c r="CC921" i="1"/>
  <c r="CC920" i="1"/>
  <c r="CC919" i="1"/>
  <c r="CC918" i="1"/>
  <c r="CC915" i="1"/>
  <c r="CC914" i="1"/>
  <c r="CC913" i="1"/>
  <c r="CC912" i="1"/>
  <c r="CC910" i="1"/>
  <c r="CC909" i="1"/>
  <c r="CC908" i="1"/>
  <c r="CC907" i="1"/>
  <c r="CC905" i="1"/>
  <c r="CC903" i="1"/>
  <c r="CC902" i="1"/>
  <c r="CC901" i="1"/>
  <c r="CC899" i="1"/>
  <c r="CC897" i="1"/>
  <c r="CC895" i="1"/>
  <c r="CC894" i="1"/>
  <c r="CC892" i="1"/>
  <c r="CC891" i="1"/>
  <c r="CC890" i="1"/>
  <c r="CC886" i="1"/>
  <c r="CC885" i="1"/>
  <c r="CC884" i="1"/>
  <c r="CC883" i="1"/>
  <c r="CC882" i="1"/>
  <c r="CC881" i="1"/>
  <c r="CC880" i="1"/>
  <c r="CC878" i="1"/>
  <c r="CC877" i="1"/>
  <c r="CC875" i="1"/>
  <c r="CC872" i="1"/>
  <c r="CC870" i="1"/>
  <c r="CC869" i="1"/>
  <c r="CC868" i="1"/>
  <c r="CC865" i="1"/>
  <c r="CC864" i="1"/>
  <c r="CC863" i="1"/>
  <c r="CC855" i="1"/>
  <c r="CC854" i="1"/>
  <c r="CC853" i="1"/>
  <c r="CC852" i="1"/>
  <c r="CC850" i="1"/>
  <c r="CC846" i="1"/>
  <c r="CC845" i="1"/>
  <c r="CC844" i="1"/>
  <c r="CC843" i="1"/>
  <c r="CC842" i="1"/>
  <c r="CC840" i="1"/>
  <c r="CC838" i="1"/>
  <c r="CC837" i="1"/>
  <c r="CC836" i="1"/>
  <c r="CC835" i="1"/>
  <c r="CC834" i="1"/>
  <c r="CC833" i="1"/>
  <c r="CC832" i="1"/>
  <c r="CC831" i="1"/>
  <c r="CC830" i="1"/>
  <c r="CC829" i="1"/>
  <c r="CC828" i="1"/>
  <c r="CC826" i="1"/>
  <c r="CC825" i="1"/>
  <c r="CC824" i="1"/>
  <c r="CC823" i="1"/>
  <c r="CC821" i="1"/>
  <c r="CC820" i="1"/>
  <c r="CC818" i="1"/>
  <c r="CC817" i="1"/>
  <c r="CC816" i="1"/>
  <c r="CC815" i="1"/>
  <c r="CC814" i="1"/>
  <c r="CC811" i="1"/>
  <c r="CC810" i="1"/>
  <c r="CC808" i="1"/>
  <c r="CC807" i="1"/>
  <c r="CC805" i="1"/>
  <c r="CC804" i="1"/>
  <c r="CC803" i="1"/>
  <c r="CC802" i="1"/>
  <c r="CC800" i="1"/>
  <c r="CC799" i="1"/>
  <c r="CC798" i="1"/>
  <c r="CC797" i="1"/>
  <c r="CC796" i="1"/>
  <c r="CC794" i="1"/>
  <c r="CC792" i="1"/>
  <c r="CC790" i="1"/>
  <c r="CC789" i="1"/>
  <c r="CC786" i="1"/>
  <c r="CC784" i="1"/>
  <c r="CC783" i="1"/>
  <c r="CC782" i="1"/>
  <c r="CC779" i="1"/>
  <c r="CC776" i="1"/>
  <c r="CC775" i="1"/>
  <c r="CC774" i="1"/>
  <c r="CC773" i="1"/>
  <c r="CC772" i="1"/>
  <c r="CC769" i="1"/>
  <c r="CC767" i="1"/>
  <c r="CC766" i="1"/>
  <c r="CC765" i="1"/>
  <c r="CC764" i="1"/>
  <c r="CC762" i="1"/>
  <c r="CC761" i="1"/>
  <c r="CC760" i="1"/>
  <c r="CC759" i="1"/>
  <c r="CC758" i="1"/>
  <c r="CC757" i="1"/>
  <c r="CC755" i="1"/>
  <c r="CC754" i="1"/>
  <c r="CC752" i="1"/>
  <c r="CC750" i="1"/>
  <c r="CC749" i="1"/>
  <c r="CC748" i="1"/>
  <c r="CC746" i="1"/>
  <c r="CC745" i="1"/>
  <c r="CC744" i="1"/>
  <c r="CC743" i="1"/>
  <c r="CC738" i="1"/>
  <c r="CC736" i="1"/>
  <c r="CC735" i="1"/>
  <c r="CC734" i="1"/>
  <c r="CC733" i="1"/>
  <c r="CC732" i="1"/>
  <c r="CC731" i="1"/>
  <c r="CC730" i="1"/>
  <c r="CC729" i="1"/>
  <c r="CC728" i="1"/>
  <c r="CC727" i="1"/>
  <c r="CC726" i="1"/>
  <c r="CC725" i="1"/>
  <c r="CC723" i="1"/>
  <c r="CC722" i="1"/>
  <c r="CC720" i="1"/>
  <c r="CC719" i="1"/>
  <c r="CC718" i="1"/>
  <c r="CC717" i="1"/>
  <c r="CC716" i="1"/>
  <c r="CC714" i="1"/>
  <c r="CC713" i="1"/>
  <c r="CC712" i="1"/>
  <c r="CC708" i="1"/>
  <c r="CC704" i="1"/>
  <c r="CC701" i="1"/>
  <c r="CC700" i="1"/>
  <c r="CC699" i="1"/>
  <c r="CC698" i="1"/>
  <c r="CC697" i="1"/>
  <c r="CC696" i="1"/>
  <c r="CC695" i="1"/>
  <c r="CC694" i="1"/>
  <c r="CC693" i="1"/>
  <c r="CC692" i="1"/>
  <c r="CC691" i="1"/>
  <c r="CC690" i="1"/>
  <c r="CC689" i="1"/>
  <c r="CC686" i="1"/>
  <c r="CC684" i="1"/>
  <c r="CC683" i="1"/>
  <c r="CC682" i="1"/>
  <c r="CC681" i="1"/>
  <c r="CC678" i="1"/>
  <c r="CC677" i="1"/>
  <c r="CC675" i="1"/>
  <c r="CC674" i="1"/>
  <c r="CC673" i="1"/>
  <c r="CC671" i="1"/>
  <c r="CC670" i="1"/>
  <c r="CC669" i="1"/>
  <c r="CC668" i="1"/>
  <c r="CC666" i="1"/>
  <c r="CC665" i="1"/>
  <c r="CC663" i="1"/>
  <c r="CC661" i="1"/>
  <c r="CC658" i="1"/>
  <c r="CC655" i="1"/>
  <c r="CC653" i="1"/>
  <c r="CC652" i="1"/>
  <c r="CC650" i="1"/>
  <c r="CC649" i="1"/>
  <c r="CC648" i="1"/>
  <c r="CC647" i="1"/>
  <c r="CC646" i="1"/>
  <c r="CC645" i="1"/>
  <c r="CC643" i="1"/>
  <c r="CC642" i="1"/>
  <c r="CC641" i="1"/>
  <c r="CC639" i="1"/>
  <c r="CC638" i="1"/>
  <c r="CC635" i="1"/>
  <c r="CC633" i="1"/>
  <c r="CC631" i="1"/>
  <c r="CC630" i="1"/>
  <c r="CC629" i="1"/>
  <c r="CC628" i="1"/>
  <c r="CC627" i="1"/>
  <c r="CC626" i="1"/>
  <c r="CC625" i="1"/>
  <c r="CC624" i="1"/>
  <c r="CC623" i="1"/>
  <c r="CC621" i="1"/>
  <c r="CC620" i="1"/>
  <c r="CC619" i="1"/>
  <c r="CC617" i="1"/>
  <c r="CC612" i="1"/>
  <c r="CC611" i="1"/>
  <c r="CC608" i="1"/>
  <c r="CC607" i="1"/>
  <c r="CC606" i="1"/>
  <c r="CC605" i="1"/>
  <c r="CC604" i="1"/>
  <c r="CC603" i="1"/>
  <c r="CC602" i="1"/>
  <c r="CC600" i="1"/>
  <c r="CC599" i="1"/>
  <c r="CC598" i="1"/>
  <c r="CC597" i="1"/>
  <c r="CC594" i="1"/>
  <c r="CC593" i="1"/>
  <c r="CC592" i="1"/>
  <c r="CC591" i="1"/>
  <c r="CC589" i="1"/>
  <c r="CC585" i="1"/>
  <c r="CC583" i="1"/>
  <c r="CC582" i="1"/>
  <c r="CC579" i="1"/>
  <c r="CC577" i="1"/>
  <c r="CC576" i="1"/>
  <c r="CC575" i="1"/>
  <c r="CC574" i="1"/>
  <c r="CC573" i="1"/>
  <c r="CC572" i="1"/>
  <c r="CC570" i="1"/>
  <c r="CC569" i="1"/>
  <c r="CC567" i="1"/>
  <c r="CC565" i="1"/>
  <c r="CC564" i="1"/>
  <c r="CC563" i="1"/>
  <c r="CC560" i="1"/>
  <c r="CC558" i="1"/>
  <c r="CC555" i="1"/>
  <c r="CC552" i="1"/>
  <c r="CC551" i="1"/>
  <c r="CC550" i="1"/>
  <c r="CC549" i="1"/>
  <c r="CC546" i="1"/>
  <c r="CC545" i="1"/>
  <c r="CC542" i="1"/>
  <c r="CC541" i="1"/>
  <c r="CC539" i="1"/>
  <c r="CC538" i="1"/>
  <c r="CC537" i="1"/>
  <c r="CC535" i="1"/>
  <c r="CC533" i="1"/>
  <c r="CC532" i="1"/>
  <c r="CC531" i="1"/>
  <c r="CC529" i="1"/>
  <c r="CC525" i="1"/>
  <c r="CC524" i="1"/>
  <c r="CC523" i="1"/>
  <c r="CC522" i="1"/>
  <c r="CC520" i="1"/>
  <c r="CC519" i="1"/>
  <c r="CC518" i="1"/>
  <c r="CC516" i="1"/>
  <c r="CC515" i="1"/>
  <c r="CC513" i="1"/>
  <c r="CC512" i="1"/>
  <c r="CC511" i="1"/>
  <c r="CC509" i="1"/>
  <c r="CC508" i="1"/>
  <c r="CC506" i="1"/>
  <c r="CC504" i="1"/>
  <c r="CC502" i="1"/>
  <c r="CC501" i="1"/>
  <c r="CC500" i="1"/>
  <c r="CC499" i="1"/>
  <c r="CC498" i="1"/>
  <c r="CC496" i="1"/>
  <c r="CC495" i="1"/>
  <c r="CC494" i="1"/>
  <c r="CC492" i="1"/>
  <c r="CC491" i="1"/>
  <c r="CC490" i="1"/>
  <c r="CC488" i="1"/>
  <c r="CC486" i="1"/>
  <c r="CC485" i="1"/>
  <c r="CC484" i="1"/>
  <c r="CC482" i="1"/>
  <c r="CC481" i="1"/>
  <c r="CC480" i="1"/>
  <c r="CC479" i="1"/>
  <c r="CC477" i="1"/>
  <c r="CC475" i="1"/>
  <c r="CC474" i="1"/>
  <c r="CC473" i="1"/>
  <c r="CC472" i="1"/>
  <c r="CC469" i="1"/>
  <c r="CC468" i="1"/>
  <c r="CC467" i="1"/>
  <c r="CC466" i="1"/>
  <c r="CC463" i="1"/>
  <c r="CC462" i="1"/>
  <c r="CC461" i="1"/>
  <c r="CC460" i="1"/>
  <c r="CC458" i="1"/>
  <c r="CC457" i="1"/>
  <c r="CC456" i="1"/>
  <c r="CC455" i="1"/>
  <c r="CC453" i="1"/>
  <c r="CC452" i="1"/>
  <c r="CC451" i="1"/>
  <c r="CC449" i="1"/>
  <c r="CC448" i="1"/>
  <c r="CC447" i="1"/>
  <c r="CC444" i="1"/>
  <c r="CC443" i="1"/>
  <c r="CC442" i="1"/>
  <c r="CC441" i="1"/>
  <c r="CC440" i="1"/>
  <c r="CC439" i="1"/>
  <c r="CC436" i="1"/>
  <c r="CC435" i="1"/>
  <c r="CC434" i="1"/>
  <c r="CC432" i="1"/>
  <c r="CC431" i="1"/>
  <c r="CC430" i="1"/>
  <c r="CC427" i="1"/>
  <c r="CC426" i="1"/>
  <c r="CC425" i="1"/>
  <c r="CC424" i="1"/>
  <c r="CC423" i="1"/>
  <c r="CC422" i="1"/>
  <c r="CC421" i="1"/>
  <c r="CC420" i="1"/>
  <c r="CC419" i="1"/>
  <c r="CC418" i="1"/>
  <c r="CC417" i="1"/>
  <c r="CC416" i="1"/>
  <c r="CC415" i="1"/>
  <c r="CC413" i="1"/>
  <c r="CC412" i="1"/>
  <c r="CC411" i="1"/>
  <c r="CC410" i="1"/>
  <c r="CC409" i="1"/>
  <c r="CC408" i="1"/>
  <c r="CC407" i="1"/>
  <c r="CC406" i="1"/>
  <c r="CC405" i="1"/>
  <c r="CC404" i="1"/>
  <c r="CC403" i="1"/>
  <c r="CC402" i="1"/>
  <c r="CC401" i="1"/>
  <c r="CC400" i="1"/>
  <c r="CC399" i="1"/>
  <c r="CC397" i="1"/>
  <c r="CC396" i="1"/>
  <c r="CC395" i="1"/>
  <c r="CC394" i="1"/>
  <c r="CC390" i="1"/>
  <c r="CC389" i="1"/>
  <c r="CC388" i="1"/>
  <c r="CC387" i="1"/>
  <c r="CC386" i="1"/>
  <c r="CC385" i="1"/>
  <c r="CC384" i="1"/>
  <c r="CC383" i="1"/>
  <c r="CC382" i="1"/>
  <c r="CC381" i="1"/>
  <c r="CC380" i="1"/>
  <c r="CC378" i="1"/>
  <c r="CC376" i="1"/>
  <c r="CC375" i="1"/>
  <c r="CC371" i="1"/>
  <c r="CC370" i="1"/>
  <c r="CC369" i="1"/>
  <c r="CC367" i="1"/>
  <c r="CC365" i="1"/>
  <c r="CC363" i="1"/>
  <c r="CC361" i="1"/>
  <c r="CC358" i="1"/>
  <c r="CC357" i="1"/>
  <c r="CC355" i="1"/>
  <c r="CC353" i="1"/>
  <c r="CC352" i="1"/>
  <c r="CC351" i="1"/>
  <c r="CC350" i="1"/>
  <c r="CC347" i="1"/>
  <c r="CC346" i="1"/>
  <c r="CC345" i="1"/>
  <c r="CC344" i="1"/>
  <c r="CC343" i="1"/>
  <c r="CC342" i="1"/>
  <c r="CC341" i="1"/>
  <c r="CC338" i="1"/>
  <c r="CC337" i="1"/>
  <c r="CC336" i="1"/>
  <c r="CC335" i="1"/>
  <c r="CC334" i="1"/>
  <c r="CC333" i="1"/>
  <c r="CC330" i="1"/>
  <c r="CC328" i="1"/>
  <c r="CC326" i="1"/>
  <c r="CC325" i="1"/>
  <c r="CC324" i="1"/>
  <c r="CC323" i="1"/>
  <c r="CC322" i="1"/>
  <c r="CC321" i="1"/>
  <c r="CC320" i="1"/>
  <c r="CC319" i="1"/>
  <c r="CC317" i="1"/>
  <c r="CC315" i="1"/>
  <c r="CC313" i="1"/>
  <c r="CC312" i="1"/>
  <c r="CC311" i="1"/>
  <c r="CC310" i="1"/>
  <c r="CC309" i="1"/>
  <c r="CC308" i="1"/>
  <c r="CC306" i="1"/>
  <c r="CC305" i="1"/>
  <c r="CC304" i="1"/>
  <c r="CC303" i="1"/>
  <c r="CC302" i="1"/>
  <c r="CC301" i="1"/>
  <c r="CC300" i="1"/>
  <c r="CC299" i="1"/>
  <c r="CC296" i="1"/>
  <c r="CC295" i="1"/>
  <c r="CC294" i="1"/>
  <c r="CC290" i="1"/>
  <c r="CC289" i="1"/>
  <c r="CC288" i="1"/>
  <c r="CC287" i="1"/>
  <c r="CC286" i="1"/>
  <c r="CC285" i="1"/>
  <c r="CC284" i="1"/>
  <c r="CC282" i="1"/>
  <c r="CC206" i="1"/>
  <c r="CC205" i="1"/>
  <c r="CC203" i="1"/>
  <c r="CC202" i="1"/>
  <c r="CC201" i="1"/>
  <c r="CC200" i="1"/>
  <c r="CC199" i="1"/>
  <c r="CC198" i="1"/>
  <c r="CC197" i="1"/>
  <c r="CC196" i="1"/>
  <c r="CC194" i="1"/>
  <c r="CC191" i="1"/>
  <c r="CC190" i="1"/>
  <c r="CC188" i="1"/>
  <c r="CC187" i="1"/>
  <c r="CC186" i="1"/>
  <c r="CC185" i="1"/>
  <c r="CC184" i="1"/>
  <c r="CC183" i="1"/>
  <c r="CC182" i="1"/>
  <c r="CC181" i="1"/>
  <c r="CC178" i="1"/>
  <c r="CC177" i="1"/>
  <c r="CC176" i="1"/>
  <c r="CC175" i="1"/>
  <c r="CC174" i="1"/>
  <c r="CC173" i="1"/>
  <c r="CC172" i="1"/>
  <c r="CC171" i="1"/>
  <c r="CC170" i="1"/>
  <c r="CC169" i="1"/>
  <c r="CC168" i="1"/>
  <c r="CC166" i="1"/>
  <c r="CC165" i="1"/>
  <c r="CC164" i="1"/>
  <c r="CC163" i="1"/>
  <c r="CC161" i="1"/>
  <c r="CC160" i="1"/>
  <c r="CC158" i="1"/>
  <c r="CC157" i="1"/>
  <c r="CC156" i="1"/>
  <c r="CC155" i="1"/>
  <c r="CC154" i="1"/>
  <c r="CC153" i="1"/>
  <c r="CC152" i="1"/>
  <c r="CC150" i="1"/>
  <c r="CC149" i="1"/>
  <c r="CC148" i="1"/>
  <c r="CC147" i="1"/>
  <c r="CC146" i="1"/>
  <c r="CC145" i="1"/>
  <c r="CC142" i="1"/>
  <c r="CC141" i="1"/>
  <c r="CC140" i="1"/>
  <c r="CC139" i="1"/>
  <c r="CC138" i="1"/>
  <c r="CC136" i="1"/>
  <c r="CC135" i="1"/>
  <c r="CC134" i="1"/>
  <c r="CC133" i="1"/>
  <c r="CC131" i="1"/>
  <c r="CC130" i="1"/>
  <c r="CC129" i="1"/>
  <c r="CC126" i="1"/>
  <c r="CC125" i="1"/>
  <c r="CC124" i="1"/>
  <c r="CC123" i="1"/>
  <c r="CC121" i="1"/>
  <c r="CC120" i="1"/>
  <c r="CC118" i="1"/>
  <c r="CC117" i="1"/>
  <c r="CC116" i="1"/>
  <c r="CC114" i="1"/>
  <c r="CC113" i="1"/>
  <c r="CC112" i="1"/>
  <c r="CC110" i="1"/>
  <c r="CC109" i="1"/>
  <c r="CC108" i="1"/>
  <c r="CC107" i="1"/>
  <c r="CC105" i="1"/>
  <c r="CC104" i="1"/>
  <c r="CC25" i="1"/>
  <c r="CC24" i="1"/>
  <c r="CC23" i="1"/>
  <c r="CC22" i="1"/>
  <c r="CC21" i="1"/>
  <c r="CC20" i="1"/>
  <c r="CC19" i="1"/>
  <c r="CC18" i="1"/>
  <c r="CC17" i="1"/>
  <c r="CC16" i="1"/>
  <c r="CC13" i="1"/>
  <c r="CC12" i="1"/>
  <c r="CC11" i="1"/>
  <c r="CC10" i="1"/>
  <c r="CC9" i="1"/>
  <c r="CC8" i="1"/>
  <c r="CC7" i="1"/>
  <c r="CC6" i="1"/>
  <c r="CC5" i="1"/>
  <c r="CC4" i="1"/>
  <c r="CC3" i="1"/>
  <c r="CC2" i="1"/>
  <c r="BQ2" i="1"/>
  <c r="CB2" i="1"/>
  <c r="CB3" i="1"/>
  <c r="CB4" i="1"/>
  <c r="CB5" i="1"/>
  <c r="CB6" i="1"/>
  <c r="CB7" i="1"/>
  <c r="CB8" i="1"/>
  <c r="CB9" i="1"/>
  <c r="CB10" i="1"/>
  <c r="CB11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104" i="1"/>
  <c r="CB105" i="1"/>
  <c r="CB106" i="1"/>
  <c r="CB108" i="1"/>
  <c r="CB109" i="1"/>
  <c r="CB110" i="1"/>
  <c r="CB111" i="1"/>
  <c r="CB112" i="1"/>
  <c r="CB113" i="1"/>
  <c r="CB114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1" i="1"/>
  <c r="CB132" i="1"/>
  <c r="CB133" i="1"/>
  <c r="CB134" i="1"/>
  <c r="CB135" i="1"/>
  <c r="CB136" i="1"/>
  <c r="CB138" i="1"/>
  <c r="CB139" i="1"/>
  <c r="CB140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60" i="1"/>
  <c r="CB161" i="1"/>
  <c r="CB162" i="1"/>
  <c r="CB163" i="1"/>
  <c r="CB164" i="1"/>
  <c r="CB165" i="1"/>
  <c r="CB166" i="1"/>
  <c r="CB167" i="1"/>
  <c r="CB168" i="1"/>
  <c r="CB169" i="1"/>
  <c r="CB171" i="1"/>
  <c r="CB172" i="1"/>
  <c r="CB173" i="1"/>
  <c r="CB174" i="1"/>
  <c r="CB175" i="1"/>
  <c r="CB176" i="1"/>
  <c r="CB177" i="1"/>
  <c r="CB178" i="1"/>
  <c r="CB180" i="1"/>
  <c r="CB181" i="1"/>
  <c r="CB182" i="1"/>
  <c r="CB184" i="1"/>
  <c r="CB185" i="1"/>
  <c r="CB186" i="1"/>
  <c r="CB187" i="1"/>
  <c r="CB188" i="1"/>
  <c r="CB189" i="1"/>
  <c r="CB190" i="1"/>
  <c r="CB191" i="1"/>
  <c r="CB192" i="1"/>
  <c r="CB193" i="1"/>
  <c r="CB194" i="1"/>
  <c r="CB196" i="1"/>
  <c r="CB197" i="1"/>
  <c r="CB198" i="1"/>
  <c r="CB199" i="1"/>
  <c r="CB200" i="1"/>
  <c r="CB201" i="1"/>
  <c r="CB202" i="1"/>
  <c r="CB203" i="1"/>
  <c r="CB205" i="1"/>
  <c r="CB206" i="1"/>
  <c r="CB282" i="1"/>
  <c r="CB283" i="1"/>
  <c r="CB284" i="1"/>
  <c r="CB285" i="1"/>
  <c r="CB286" i="1"/>
  <c r="CB287" i="1"/>
  <c r="CB288" i="1"/>
  <c r="CB289" i="1"/>
  <c r="CB290" i="1"/>
  <c r="CB291" i="1"/>
  <c r="CB292" i="1"/>
  <c r="CB293" i="1"/>
  <c r="CB294" i="1"/>
  <c r="CB295" i="1"/>
  <c r="CB296" i="1"/>
  <c r="CB298" i="1"/>
  <c r="CB299" i="1"/>
  <c r="CB300" i="1"/>
  <c r="CB301" i="1"/>
  <c r="CB302" i="1"/>
  <c r="CB303" i="1"/>
  <c r="CB304" i="1"/>
  <c r="CB305" i="1"/>
  <c r="CB306" i="1"/>
  <c r="CB307" i="1"/>
  <c r="CB308" i="1"/>
  <c r="CB309" i="1"/>
  <c r="CB310" i="1"/>
  <c r="CB311" i="1"/>
  <c r="CB312" i="1"/>
  <c r="CB313" i="1"/>
  <c r="CB315" i="1"/>
  <c r="CB316" i="1"/>
  <c r="CB317" i="1"/>
  <c r="CB318" i="1"/>
  <c r="CB319" i="1"/>
  <c r="CB320" i="1"/>
  <c r="CB321" i="1"/>
  <c r="CB322" i="1"/>
  <c r="CB323" i="1"/>
  <c r="CB324" i="1"/>
  <c r="CB325" i="1"/>
  <c r="CB326" i="1"/>
  <c r="CB327" i="1"/>
  <c r="CB328" i="1"/>
  <c r="CB330" i="1"/>
  <c r="CB333" i="1"/>
  <c r="CB334" i="1"/>
  <c r="CB335" i="1"/>
  <c r="CB336" i="1"/>
  <c r="CB337" i="1"/>
  <c r="CB338" i="1"/>
  <c r="CB339" i="1"/>
  <c r="CB341" i="1"/>
  <c r="CB342" i="1"/>
  <c r="CB343" i="1"/>
  <c r="CB344" i="1"/>
  <c r="CB345" i="1"/>
  <c r="CB346" i="1"/>
  <c r="CB347" i="1"/>
  <c r="CB348" i="1"/>
  <c r="CB349" i="1"/>
  <c r="CB350" i="1"/>
  <c r="CB351" i="1"/>
  <c r="CB352" i="1"/>
  <c r="CB353" i="1"/>
  <c r="CB354" i="1"/>
  <c r="CB355" i="1"/>
  <c r="CB356" i="1"/>
  <c r="CB357" i="1"/>
  <c r="CB358" i="1"/>
  <c r="CB359" i="1"/>
  <c r="CB360" i="1"/>
  <c r="CB361" i="1"/>
  <c r="CB362" i="1"/>
  <c r="CB363" i="1"/>
  <c r="CB364" i="1"/>
  <c r="CB365" i="1"/>
  <c r="CB366" i="1"/>
  <c r="CB368" i="1"/>
  <c r="CB369" i="1"/>
  <c r="CB370" i="1"/>
  <c r="CB371" i="1"/>
  <c r="CB372" i="1"/>
  <c r="CB373" i="1"/>
  <c r="CB374" i="1"/>
  <c r="CB375" i="1"/>
  <c r="CB376" i="1"/>
  <c r="CB377" i="1"/>
  <c r="CB378" i="1"/>
  <c r="CB379" i="1"/>
  <c r="CB380" i="1"/>
  <c r="CB381" i="1"/>
  <c r="CB382" i="1"/>
  <c r="CB383" i="1"/>
  <c r="CB384" i="1"/>
  <c r="CB385" i="1"/>
  <c r="CB386" i="1"/>
  <c r="CB387" i="1"/>
  <c r="CB388" i="1"/>
  <c r="CB389" i="1"/>
  <c r="CB390" i="1"/>
  <c r="CB392" i="1"/>
  <c r="CB393" i="1"/>
  <c r="CB394" i="1"/>
  <c r="CB395" i="1"/>
  <c r="CB396" i="1"/>
  <c r="CB397" i="1"/>
  <c r="CB398" i="1"/>
  <c r="CB399" i="1"/>
  <c r="CB400" i="1"/>
  <c r="CB401" i="1"/>
  <c r="CB402" i="1"/>
  <c r="CB403" i="1"/>
  <c r="CB404" i="1"/>
  <c r="CB405" i="1"/>
  <c r="CB406" i="1"/>
  <c r="CB408" i="1"/>
  <c r="CB409" i="1"/>
  <c r="CB410" i="1"/>
  <c r="CB411" i="1"/>
  <c r="CB412" i="1"/>
  <c r="CB413" i="1"/>
  <c r="CB414" i="1"/>
  <c r="CB415" i="1"/>
  <c r="CB416" i="1"/>
  <c r="CB417" i="1"/>
  <c r="CB418" i="1"/>
  <c r="CB419" i="1"/>
  <c r="CB420" i="1"/>
  <c r="CB421" i="1"/>
  <c r="CB422" i="1"/>
  <c r="CB423" i="1"/>
  <c r="CB424" i="1"/>
  <c r="CB425" i="1"/>
  <c r="CB426" i="1"/>
  <c r="CB427" i="1"/>
  <c r="CB428" i="1"/>
  <c r="CB429" i="1"/>
  <c r="CB430" i="1"/>
  <c r="CB431" i="1"/>
  <c r="CB432" i="1"/>
  <c r="CB433" i="1"/>
  <c r="CB434" i="1"/>
  <c r="CB435" i="1"/>
  <c r="CB436" i="1"/>
  <c r="CB437" i="1"/>
  <c r="CB438" i="1"/>
  <c r="CB439" i="1"/>
  <c r="CB440" i="1"/>
  <c r="CB441" i="1"/>
  <c r="CB442" i="1"/>
  <c r="CB443" i="1"/>
  <c r="CB444" i="1"/>
  <c r="CB447" i="1"/>
  <c r="CB449" i="1"/>
  <c r="CB450" i="1"/>
  <c r="CB451" i="1"/>
  <c r="CB452" i="1"/>
  <c r="CB453" i="1"/>
  <c r="CB454" i="1"/>
  <c r="CB455" i="1"/>
  <c r="CB456" i="1"/>
  <c r="CB457" i="1"/>
  <c r="CB458" i="1"/>
  <c r="CB460" i="1"/>
  <c r="CB461" i="1"/>
  <c r="CB462" i="1"/>
  <c r="CB463" i="1"/>
  <c r="CB466" i="1"/>
  <c r="CB467" i="1"/>
  <c r="CB468" i="1"/>
  <c r="CB469" i="1"/>
  <c r="CB470" i="1"/>
  <c r="CB471" i="1"/>
  <c r="CB472" i="1"/>
  <c r="CB473" i="1"/>
  <c r="CB474" i="1"/>
  <c r="CB475" i="1"/>
  <c r="CB477" i="1"/>
  <c r="CB479" i="1"/>
  <c r="CB480" i="1"/>
  <c r="CB481" i="1"/>
  <c r="CB482" i="1"/>
  <c r="CB483" i="1"/>
  <c r="CB484" i="1"/>
  <c r="CB485" i="1"/>
  <c r="CB486" i="1"/>
  <c r="CB488" i="1"/>
  <c r="CB489" i="1"/>
  <c r="CB490" i="1"/>
  <c r="CB491" i="1"/>
  <c r="CB492" i="1"/>
  <c r="CB494" i="1"/>
  <c r="CB495" i="1"/>
  <c r="CB496" i="1"/>
  <c r="CB497" i="1"/>
  <c r="CB498" i="1"/>
  <c r="CB499" i="1"/>
  <c r="CB500" i="1"/>
  <c r="CB501" i="1"/>
  <c r="CB502" i="1"/>
  <c r="CB503" i="1"/>
  <c r="CB505" i="1"/>
  <c r="CB506" i="1"/>
  <c r="CB507" i="1"/>
  <c r="CB508" i="1"/>
  <c r="CB509" i="1"/>
  <c r="CB510" i="1"/>
  <c r="CB511" i="1"/>
  <c r="CB512" i="1"/>
  <c r="CB513" i="1"/>
  <c r="CB515" i="1"/>
  <c r="CB516" i="1"/>
  <c r="CB517" i="1"/>
  <c r="CB518" i="1"/>
  <c r="CB519" i="1"/>
  <c r="CB520" i="1"/>
  <c r="CB522" i="1"/>
  <c r="CB523" i="1"/>
  <c r="CB524" i="1"/>
  <c r="CB525" i="1"/>
  <c r="CB526" i="1"/>
  <c r="CB527" i="1"/>
  <c r="CB528" i="1"/>
  <c r="CB529" i="1"/>
  <c r="CB530" i="1"/>
  <c r="CB531" i="1"/>
  <c r="CB533" i="1"/>
  <c r="CB534" i="1"/>
  <c r="CB536" i="1"/>
  <c r="CB537" i="1"/>
  <c r="CB538" i="1"/>
  <c r="CB539" i="1"/>
  <c r="CB540" i="1"/>
  <c r="CB541" i="1"/>
  <c r="CB542" i="1"/>
  <c r="CB543" i="1"/>
  <c r="CB544" i="1"/>
  <c r="CB545" i="1"/>
  <c r="CB546" i="1"/>
  <c r="CB547" i="1"/>
  <c r="CB548" i="1"/>
  <c r="CB550" i="1"/>
  <c r="CB551" i="1"/>
  <c r="CB552" i="1"/>
  <c r="CB553" i="1"/>
  <c r="CB554" i="1"/>
  <c r="CB555" i="1"/>
  <c r="CB556" i="1"/>
  <c r="CB557" i="1"/>
  <c r="CB558" i="1"/>
  <c r="CB559" i="1"/>
  <c r="CB560" i="1"/>
  <c r="CB563" i="1"/>
  <c r="CB564" i="1"/>
  <c r="CB565" i="1"/>
  <c r="CB566" i="1"/>
  <c r="CB567" i="1"/>
  <c r="CB569" i="1"/>
  <c r="CB570" i="1"/>
  <c r="CB571" i="1"/>
  <c r="CB572" i="1"/>
  <c r="CB573" i="1"/>
  <c r="CB574" i="1"/>
  <c r="CB575" i="1"/>
  <c r="CB576" i="1"/>
  <c r="CB577" i="1"/>
  <c r="CB578" i="1"/>
  <c r="CB579" i="1"/>
  <c r="CB580" i="1"/>
  <c r="CB581" i="1"/>
  <c r="CB582" i="1"/>
  <c r="CB583" i="1"/>
  <c r="CB584" i="1"/>
  <c r="CB585" i="1"/>
  <c r="CB586" i="1"/>
  <c r="CB587" i="1"/>
  <c r="CB590" i="1"/>
  <c r="CB591" i="1"/>
  <c r="CB592" i="1"/>
  <c r="CB593" i="1"/>
  <c r="CB594" i="1"/>
  <c r="CB595" i="1"/>
  <c r="CB596" i="1"/>
  <c r="CB597" i="1"/>
  <c r="CB598" i="1"/>
  <c r="CB599" i="1"/>
  <c r="CB600" i="1"/>
  <c r="CB601" i="1"/>
  <c r="CB603" i="1"/>
  <c r="CB604" i="1"/>
  <c r="CB605" i="1"/>
  <c r="CB606" i="1"/>
  <c r="CB607" i="1"/>
  <c r="CB608" i="1"/>
  <c r="CB609" i="1"/>
  <c r="CB611" i="1"/>
  <c r="CB612" i="1"/>
  <c r="CB614" i="1"/>
  <c r="CB615" i="1"/>
  <c r="CB616" i="1"/>
  <c r="CB617" i="1"/>
  <c r="CB618" i="1"/>
  <c r="CB619" i="1"/>
  <c r="CB620" i="1"/>
  <c r="CB621" i="1"/>
  <c r="CB622" i="1"/>
  <c r="CB623" i="1"/>
  <c r="CB624" i="1"/>
  <c r="CB625" i="1"/>
  <c r="CB626" i="1"/>
  <c r="CB627" i="1"/>
  <c r="CB628" i="1"/>
  <c r="CB629" i="1"/>
  <c r="CB630" i="1"/>
  <c r="CB632" i="1"/>
  <c r="CB633" i="1"/>
  <c r="CB634" i="1"/>
  <c r="CB635" i="1"/>
  <c r="CB636" i="1"/>
  <c r="CB637" i="1"/>
  <c r="CB638" i="1"/>
  <c r="CB639" i="1"/>
  <c r="CB640" i="1"/>
  <c r="CB641" i="1"/>
  <c r="CB642" i="1"/>
  <c r="CB643" i="1"/>
  <c r="CB644" i="1"/>
  <c r="CB645" i="1"/>
  <c r="CB646" i="1"/>
  <c r="CB647" i="1"/>
  <c r="CB648" i="1"/>
  <c r="CB649" i="1"/>
  <c r="CB650" i="1"/>
  <c r="CB651" i="1"/>
  <c r="CB652" i="1"/>
  <c r="CB653" i="1"/>
  <c r="CB654" i="1"/>
  <c r="CB656" i="1"/>
  <c r="CB657" i="1"/>
  <c r="CB658" i="1"/>
  <c r="CB659" i="1"/>
  <c r="CB660" i="1"/>
  <c r="CB661" i="1"/>
  <c r="CB662" i="1"/>
  <c r="CB663" i="1"/>
  <c r="CB664" i="1"/>
  <c r="CB665" i="1"/>
  <c r="CB666" i="1"/>
  <c r="CB667" i="1"/>
  <c r="CB668" i="1"/>
  <c r="CB669" i="1"/>
  <c r="CB670" i="1"/>
  <c r="CB671" i="1"/>
  <c r="CB672" i="1"/>
  <c r="CB673" i="1"/>
  <c r="CB674" i="1"/>
  <c r="CB675" i="1"/>
  <c r="CB676" i="1"/>
  <c r="CB677" i="1"/>
  <c r="CB678" i="1"/>
  <c r="CB679" i="1"/>
  <c r="CB680" i="1"/>
  <c r="CB681" i="1"/>
  <c r="CB682" i="1"/>
  <c r="CB683" i="1"/>
  <c r="CB685" i="1"/>
  <c r="CB686" i="1"/>
  <c r="CB688" i="1"/>
  <c r="CB689" i="1"/>
  <c r="CB690" i="1"/>
  <c r="CB691" i="1"/>
  <c r="CB692" i="1"/>
  <c r="CB693" i="1"/>
  <c r="CB694" i="1"/>
  <c r="CB695" i="1"/>
  <c r="CB696" i="1"/>
  <c r="CB697" i="1"/>
  <c r="CB698" i="1"/>
  <c r="CB699" i="1"/>
  <c r="CB700" i="1"/>
  <c r="CB701" i="1"/>
  <c r="CB702" i="1"/>
  <c r="CB703" i="1"/>
  <c r="CB704" i="1"/>
  <c r="CB705" i="1"/>
  <c r="CB706" i="1"/>
  <c r="CB708" i="1"/>
  <c r="CB711" i="1"/>
  <c r="CB713" i="1"/>
  <c r="CB714" i="1"/>
  <c r="CB715" i="1"/>
  <c r="CB716" i="1"/>
  <c r="CB717" i="1"/>
  <c r="CB718" i="1"/>
  <c r="CB719" i="1"/>
  <c r="CB720" i="1"/>
  <c r="CB723" i="1"/>
  <c r="CB724" i="1"/>
  <c r="CB725" i="1"/>
  <c r="CB726" i="1"/>
  <c r="CB727" i="1"/>
  <c r="CB728" i="1"/>
  <c r="CB729" i="1"/>
  <c r="CB730" i="1"/>
  <c r="CB731" i="1"/>
  <c r="CB732" i="1"/>
  <c r="CB733" i="1"/>
  <c r="CB734" i="1"/>
  <c r="CB735" i="1"/>
  <c r="CB736" i="1"/>
  <c r="CB738" i="1"/>
  <c r="CB741" i="1"/>
  <c r="CB743" i="1"/>
  <c r="CB744" i="1"/>
  <c r="CB745" i="1"/>
  <c r="CB746" i="1"/>
  <c r="CB747" i="1"/>
  <c r="CB748" i="1"/>
  <c r="CB749" i="1"/>
  <c r="CB750" i="1"/>
  <c r="CB751" i="1"/>
  <c r="CB752" i="1"/>
  <c r="CB753" i="1"/>
  <c r="CB754" i="1"/>
  <c r="CB755" i="1"/>
  <c r="CB756" i="1"/>
  <c r="CB757" i="1"/>
  <c r="CB758" i="1"/>
  <c r="CB759" i="1"/>
  <c r="CB760" i="1"/>
  <c r="CB761" i="1"/>
  <c r="CB762" i="1"/>
  <c r="CB763" i="1"/>
  <c r="CB764" i="1"/>
  <c r="CB765" i="1"/>
  <c r="CB766" i="1"/>
  <c r="CB767" i="1"/>
  <c r="CB768" i="1"/>
  <c r="CB769" i="1"/>
  <c r="CB770" i="1"/>
  <c r="CB771" i="1"/>
  <c r="CB772" i="1"/>
  <c r="CB773" i="1"/>
  <c r="CB774" i="1"/>
  <c r="CB775" i="1"/>
  <c r="CB776" i="1"/>
  <c r="CB778" i="1"/>
  <c r="CB779" i="1"/>
  <c r="CB780" i="1"/>
  <c r="CB782" i="1"/>
  <c r="CB783" i="1"/>
  <c r="CB784" i="1"/>
  <c r="CB785" i="1"/>
  <c r="CB786" i="1"/>
  <c r="CB787" i="1"/>
  <c r="CB788" i="1"/>
  <c r="CB789" i="1"/>
  <c r="CB790" i="1"/>
  <c r="CB792" i="1"/>
  <c r="CB793" i="1"/>
  <c r="CB794" i="1"/>
  <c r="CB795" i="1"/>
  <c r="CB796" i="1"/>
  <c r="CB797" i="1"/>
  <c r="CB798" i="1"/>
  <c r="CB799" i="1"/>
  <c r="CB800" i="1"/>
  <c r="CB802" i="1"/>
  <c r="CB803" i="1"/>
  <c r="CB804" i="1"/>
  <c r="CB805" i="1"/>
  <c r="CB806" i="1"/>
  <c r="CB807" i="1"/>
  <c r="CB809" i="1"/>
  <c r="CB810" i="1"/>
  <c r="CB811" i="1"/>
  <c r="CB813" i="1"/>
  <c r="CB814" i="1"/>
  <c r="CB815" i="1"/>
  <c r="CB816" i="1"/>
  <c r="CB817" i="1"/>
  <c r="CB818" i="1"/>
  <c r="CB819" i="1"/>
  <c r="CB820" i="1"/>
  <c r="CB821" i="1"/>
  <c r="CB824" i="1"/>
  <c r="CB825" i="1"/>
  <c r="CB826" i="1"/>
  <c r="CB827" i="1"/>
  <c r="CB828" i="1"/>
  <c r="CB829" i="1"/>
  <c r="CB830" i="1"/>
  <c r="CB831" i="1"/>
  <c r="CB832" i="1"/>
  <c r="CB833" i="1"/>
  <c r="CB834" i="1"/>
  <c r="CB835" i="1"/>
  <c r="CB836" i="1"/>
  <c r="CB837" i="1"/>
  <c r="CB838" i="1"/>
  <c r="CB840" i="1"/>
  <c r="CB842" i="1"/>
  <c r="CB843" i="1"/>
  <c r="CB844" i="1"/>
  <c r="CB845" i="1"/>
  <c r="CB846" i="1"/>
  <c r="CB848" i="1"/>
  <c r="CB849" i="1"/>
  <c r="CB851" i="1"/>
  <c r="CB852" i="1"/>
  <c r="CB853" i="1"/>
  <c r="CB854" i="1"/>
  <c r="CB855" i="1"/>
  <c r="CB857" i="1"/>
  <c r="CB858" i="1"/>
  <c r="CB859" i="1"/>
  <c r="CB860" i="1"/>
  <c r="CB862" i="1"/>
  <c r="CB863" i="1"/>
  <c r="CB864" i="1"/>
  <c r="CB865" i="1"/>
  <c r="CB866" i="1"/>
  <c r="CB867" i="1"/>
  <c r="CB868" i="1"/>
  <c r="CB869" i="1"/>
  <c r="CB870" i="1"/>
  <c r="CB871" i="1"/>
  <c r="CB872" i="1"/>
  <c r="CB873" i="1"/>
  <c r="CB874" i="1"/>
  <c r="CB875" i="1"/>
  <c r="CB876" i="1"/>
  <c r="CB877" i="1"/>
  <c r="CB878" i="1"/>
  <c r="CB879" i="1"/>
  <c r="CB880" i="1"/>
  <c r="CB881" i="1"/>
  <c r="CB882" i="1"/>
  <c r="CB883" i="1"/>
  <c r="CB884" i="1"/>
  <c r="CB885" i="1"/>
  <c r="CB886" i="1"/>
  <c r="CB887" i="1"/>
  <c r="CB889" i="1"/>
  <c r="CB890" i="1"/>
  <c r="CB891" i="1"/>
  <c r="CB892" i="1"/>
  <c r="CB893" i="1"/>
  <c r="CB894" i="1"/>
  <c r="CB895" i="1"/>
  <c r="CB897" i="1"/>
  <c r="CB898" i="1"/>
  <c r="CB899" i="1"/>
  <c r="CB900" i="1"/>
  <c r="CB901" i="1"/>
  <c r="CB902" i="1"/>
  <c r="CB903" i="1"/>
  <c r="CB904" i="1"/>
  <c r="CB905" i="1"/>
  <c r="CB906" i="1"/>
  <c r="CB907" i="1"/>
  <c r="CB908" i="1"/>
  <c r="CB909" i="1"/>
  <c r="CB911" i="1"/>
  <c r="CB912" i="1"/>
  <c r="CB913" i="1"/>
  <c r="CB915" i="1"/>
  <c r="CB916" i="1"/>
  <c r="CB918" i="1"/>
  <c r="CB919" i="1"/>
  <c r="CB920" i="1"/>
  <c r="CB921" i="1"/>
  <c r="CB922" i="1"/>
  <c r="CB923" i="1"/>
  <c r="CB924" i="1"/>
  <c r="CB925" i="1"/>
  <c r="CB926" i="1"/>
  <c r="CB927" i="1"/>
  <c r="CB928" i="1"/>
  <c r="CB929" i="1"/>
  <c r="CB930" i="1"/>
  <c r="CB931" i="1"/>
  <c r="CB932" i="1"/>
  <c r="CB933" i="1"/>
  <c r="CB934" i="1"/>
  <c r="CB935" i="1"/>
  <c r="CB936" i="1"/>
  <c r="CB937" i="1"/>
  <c r="CB938" i="1"/>
  <c r="CB939" i="1"/>
  <c r="CB940" i="1"/>
  <c r="CB942" i="1"/>
  <c r="CB943" i="1"/>
  <c r="CB944" i="1"/>
  <c r="CB946" i="1"/>
  <c r="CB947" i="1"/>
  <c r="CB948" i="1"/>
  <c r="CB949" i="1"/>
  <c r="CB950" i="1"/>
  <c r="CB952" i="1"/>
  <c r="CB953" i="1"/>
  <c r="CB954" i="1"/>
  <c r="CB955" i="1"/>
  <c r="CB956" i="1"/>
  <c r="CB957" i="1"/>
  <c r="CB958" i="1"/>
  <c r="CB959" i="1"/>
  <c r="CB960" i="1"/>
  <c r="CB961" i="1"/>
  <c r="CB962" i="1"/>
  <c r="CB963" i="1"/>
  <c r="CB964" i="1"/>
  <c r="CB965" i="1"/>
  <c r="CB966" i="1"/>
  <c r="CB967" i="1"/>
  <c r="CB968" i="1"/>
  <c r="CB969" i="1"/>
  <c r="CB970" i="1"/>
  <c r="CB972" i="1"/>
  <c r="CB973" i="1"/>
  <c r="CB974" i="1"/>
  <c r="CB975" i="1"/>
  <c r="CB976" i="1"/>
  <c r="CB977" i="1"/>
  <c r="CB978" i="1"/>
  <c r="CB979" i="1"/>
  <c r="CB980" i="1"/>
  <c r="CB981" i="1"/>
  <c r="CB982" i="1"/>
  <c r="CB984" i="1"/>
  <c r="CB985" i="1"/>
  <c r="CB986" i="1"/>
  <c r="CB987" i="1"/>
  <c r="CB988" i="1"/>
  <c r="CB989" i="1"/>
  <c r="CB990" i="1"/>
  <c r="CB991" i="1"/>
  <c r="CB992" i="1"/>
  <c r="CB993" i="1"/>
  <c r="CB994" i="1"/>
  <c r="CB995" i="1"/>
  <c r="CB997" i="1"/>
  <c r="CB998" i="1"/>
  <c r="CB999" i="1"/>
  <c r="CB1000" i="1"/>
  <c r="CB1001" i="1"/>
  <c r="CB1003" i="1"/>
  <c r="CB1004" i="1"/>
  <c r="CB1005" i="1"/>
  <c r="CB1006" i="1"/>
  <c r="CB1007" i="1"/>
  <c r="CB1008" i="1"/>
  <c r="CB1010" i="1"/>
  <c r="CB1012" i="1"/>
  <c r="CB1013" i="1"/>
  <c r="CB1014" i="1"/>
  <c r="CB1015" i="1"/>
  <c r="CB1016" i="1"/>
  <c r="CB1017" i="1"/>
  <c r="CB1019" i="1"/>
  <c r="CB1020" i="1"/>
  <c r="CB1021" i="1"/>
  <c r="CB1022" i="1"/>
  <c r="CB1023" i="1"/>
  <c r="CB1024" i="1"/>
  <c r="CB1025" i="1"/>
  <c r="CB1027" i="1"/>
  <c r="CB1028" i="1"/>
  <c r="CB1029" i="1"/>
  <c r="CB1030" i="1"/>
  <c r="CB1031" i="1"/>
  <c r="CB1032" i="1"/>
  <c r="CB1033" i="1"/>
  <c r="CB1034" i="1"/>
  <c r="CB1036" i="1"/>
  <c r="CB1037" i="1"/>
  <c r="CB1038" i="1"/>
  <c r="CB1039" i="1"/>
  <c r="CB1040" i="1"/>
  <c r="CB1043" i="1"/>
  <c r="CB1044" i="1"/>
  <c r="CB1045" i="1"/>
  <c r="CB1046" i="1"/>
  <c r="CB1047" i="1"/>
  <c r="CB1049" i="1"/>
  <c r="CB1051" i="1"/>
  <c r="CB1052" i="1"/>
  <c r="CB1053" i="1"/>
  <c r="CB1055" i="1"/>
  <c r="CB1056" i="1"/>
  <c r="CB1057" i="1"/>
  <c r="CB1058" i="1"/>
  <c r="CB1059" i="1"/>
  <c r="CB1060" i="1"/>
  <c r="CB1061" i="1"/>
  <c r="CB1062" i="1"/>
  <c r="CB1063" i="1"/>
  <c r="CB1064" i="1"/>
  <c r="CB1065" i="1"/>
  <c r="CB1066" i="1"/>
  <c r="CB1067" i="1"/>
  <c r="CB1068" i="1"/>
  <c r="CB1069" i="1"/>
  <c r="CB1070" i="1"/>
  <c r="CB1071" i="1"/>
  <c r="CB1072" i="1"/>
  <c r="CB1073" i="1"/>
  <c r="CB1075" i="1"/>
  <c r="CB1077" i="1"/>
  <c r="CB1078" i="1"/>
  <c r="CB1079" i="1"/>
  <c r="CB1081" i="1"/>
  <c r="CB1082" i="1"/>
  <c r="CB1083" i="1"/>
  <c r="CB1084" i="1"/>
  <c r="CB1085" i="1"/>
  <c r="CB1086" i="1"/>
  <c r="CB1087" i="1"/>
  <c r="CB1088" i="1"/>
  <c r="CB1089" i="1"/>
  <c r="CB1090" i="1"/>
  <c r="CB1091" i="1"/>
  <c r="CB1093" i="1"/>
  <c r="CB1094" i="1"/>
  <c r="CB1095" i="1"/>
  <c r="CB1096" i="1"/>
  <c r="CB1097" i="1"/>
  <c r="CB1098" i="1"/>
  <c r="CB1100" i="1"/>
  <c r="CB1101" i="1"/>
  <c r="CB1102" i="1"/>
  <c r="CB1103" i="1"/>
  <c r="CB1104" i="1"/>
  <c r="CB1105" i="1"/>
  <c r="CB1106" i="1"/>
  <c r="CB1107" i="1"/>
  <c r="CB1108" i="1"/>
  <c r="CB1109" i="1"/>
  <c r="CB1110" i="1"/>
  <c r="CB1111" i="1"/>
  <c r="CB1112" i="1"/>
  <c r="CB1113" i="1"/>
  <c r="CB1115" i="1"/>
  <c r="CB1116" i="1"/>
  <c r="CB1117" i="1"/>
  <c r="CB1118" i="1"/>
  <c r="CB1120" i="1"/>
  <c r="CB1121" i="1"/>
  <c r="CB1123" i="1"/>
  <c r="CB1124" i="1"/>
  <c r="CB1125" i="1"/>
  <c r="CB1126" i="1"/>
  <c r="CB1127" i="1"/>
  <c r="CB1128" i="1"/>
  <c r="CB1129" i="1"/>
  <c r="CB1130" i="1"/>
  <c r="CB1131" i="1"/>
  <c r="CB1132" i="1"/>
  <c r="CB1133" i="1"/>
  <c r="CB1134" i="1"/>
  <c r="CB1135" i="1"/>
  <c r="CB1138" i="1"/>
  <c r="CB1139" i="1"/>
  <c r="CB1140" i="1"/>
  <c r="CB1142" i="1"/>
  <c r="CB1144" i="1"/>
  <c r="CB1145" i="1"/>
  <c r="CB1146" i="1"/>
  <c r="CB1147" i="1"/>
  <c r="CB1149" i="1"/>
  <c r="CB1150" i="1"/>
  <c r="CB1151" i="1"/>
  <c r="CB1152" i="1"/>
  <c r="CB1153" i="1"/>
  <c r="CB1154" i="1"/>
  <c r="CB1156" i="1"/>
  <c r="CB1157" i="1"/>
  <c r="CB1158" i="1"/>
  <c r="CB1159" i="1"/>
  <c r="CB1160" i="1"/>
  <c r="CB1161" i="1"/>
  <c r="CB1163" i="1"/>
  <c r="CB1164" i="1"/>
  <c r="CB1165" i="1"/>
  <c r="CB1166" i="1"/>
  <c r="CB1167" i="1"/>
  <c r="CB1168" i="1"/>
  <c r="CB1169" i="1"/>
  <c r="CB1170" i="1"/>
  <c r="CB1171" i="1"/>
  <c r="CB1172" i="1"/>
  <c r="CB1173" i="1"/>
  <c r="CB1175" i="1"/>
  <c r="CB1176" i="1"/>
  <c r="CB1177" i="1"/>
  <c r="CB1178" i="1"/>
  <c r="CB1179" i="1"/>
  <c r="CB1181" i="1"/>
  <c r="CB1182" i="1"/>
  <c r="CB1185" i="1"/>
  <c r="CB1187" i="1"/>
  <c r="CB1188" i="1"/>
  <c r="CB1189" i="1"/>
  <c r="CB1190" i="1"/>
  <c r="CB1191" i="1"/>
  <c r="CB1192" i="1"/>
  <c r="CB1193" i="1"/>
  <c r="CB1194" i="1"/>
  <c r="CB1195" i="1"/>
  <c r="CB1196" i="1"/>
  <c r="CB1197" i="1"/>
  <c r="CB1198" i="1"/>
  <c r="CB1199" i="1"/>
  <c r="CB1201" i="1"/>
  <c r="CB1206" i="1"/>
  <c r="CB1207" i="1"/>
  <c r="CB1208" i="1"/>
  <c r="CB1210" i="1"/>
  <c r="CB1211" i="1"/>
  <c r="CB1213" i="1"/>
  <c r="CB1214" i="1"/>
  <c r="CB1215" i="1"/>
  <c r="CB1216" i="1"/>
  <c r="CB1217" i="1"/>
  <c r="CB1218" i="1"/>
  <c r="CB1220" i="1"/>
  <c r="CB1221" i="1"/>
  <c r="CB1222" i="1"/>
  <c r="CB1223" i="1"/>
  <c r="CB1224" i="1"/>
  <c r="CB1225" i="1"/>
  <c r="CB1226" i="1"/>
  <c r="CB1227" i="1"/>
  <c r="CB1228" i="1"/>
  <c r="CB1229" i="1"/>
  <c r="CB1230" i="1"/>
  <c r="CB1231" i="1"/>
  <c r="CB1232" i="1"/>
  <c r="CB1233" i="1"/>
  <c r="CB1234" i="1"/>
  <c r="CB1235" i="1"/>
  <c r="CB1236" i="1"/>
  <c r="CB1238" i="1"/>
  <c r="CB1240" i="1"/>
  <c r="CB1241" i="1"/>
  <c r="CB1242" i="1"/>
  <c r="CB1243" i="1"/>
  <c r="CB1244" i="1"/>
  <c r="CB1245" i="1"/>
  <c r="CB1247" i="1"/>
  <c r="CB1248" i="1"/>
  <c r="CB1249" i="1"/>
  <c r="CB1250" i="1"/>
  <c r="CB1253" i="1"/>
  <c r="CB1254" i="1"/>
  <c r="CB1255" i="1"/>
  <c r="CB1256" i="1"/>
  <c r="CB1257" i="1"/>
  <c r="CB1258" i="1"/>
  <c r="CB1259" i="1"/>
  <c r="CB1260" i="1"/>
  <c r="CB1261" i="1"/>
  <c r="CB1262" i="1"/>
  <c r="CB1263" i="1"/>
  <c r="CB1264" i="1"/>
  <c r="CB1265" i="1"/>
  <c r="CB1266" i="1"/>
  <c r="CB1267" i="1"/>
  <c r="CB1268" i="1"/>
  <c r="CB1269" i="1"/>
  <c r="CB1270" i="1"/>
  <c r="CB1272" i="1"/>
  <c r="CB1273" i="1"/>
  <c r="CB1274" i="1"/>
  <c r="CB1275" i="1"/>
  <c r="CB1276" i="1"/>
  <c r="CB1277" i="1"/>
  <c r="CB1279" i="1"/>
  <c r="CB1280" i="1"/>
  <c r="CB1281" i="1"/>
  <c r="CB1282" i="1"/>
  <c r="CB1283" i="1"/>
  <c r="CB1284" i="1"/>
  <c r="CB1286" i="1"/>
  <c r="CB1287" i="1"/>
  <c r="CB1288" i="1"/>
  <c r="CB1289" i="1"/>
  <c r="CB1290" i="1"/>
  <c r="CB1291" i="1"/>
  <c r="CB1292" i="1"/>
  <c r="CB1293" i="1"/>
  <c r="CB1294" i="1"/>
  <c r="CB1295" i="1"/>
  <c r="CB1296" i="1"/>
  <c r="CB1297" i="1"/>
  <c r="CB1298" i="1"/>
  <c r="CB1300" i="1"/>
  <c r="CB1301" i="1"/>
  <c r="CB1302" i="1"/>
  <c r="CB1303" i="1"/>
  <c r="CB1304" i="1"/>
  <c r="CB1305" i="1"/>
  <c r="CB1307" i="1"/>
  <c r="CB1308" i="1"/>
  <c r="CB1310" i="1"/>
  <c r="CB1311" i="1"/>
  <c r="CB1312" i="1"/>
  <c r="CB1313" i="1"/>
  <c r="CB1314" i="1"/>
  <c r="CB1315" i="1"/>
  <c r="CB1316" i="1"/>
  <c r="CB1317" i="1"/>
  <c r="CB1318" i="1"/>
  <c r="CB1321" i="1"/>
  <c r="CB1323" i="1"/>
  <c r="CB1324" i="1"/>
  <c r="CB1325" i="1"/>
  <c r="CB1327" i="1"/>
  <c r="CB1328" i="1"/>
  <c r="CB1329" i="1"/>
  <c r="CB1330" i="1"/>
  <c r="CB1331" i="1"/>
  <c r="CB1332" i="1"/>
  <c r="CB1334" i="1"/>
  <c r="CB1335" i="1"/>
  <c r="CB1336" i="1"/>
  <c r="CB1337" i="1"/>
  <c r="CB1338" i="1"/>
  <c r="CB1339" i="1"/>
  <c r="CB1340" i="1"/>
  <c r="CB1342" i="1"/>
  <c r="CB1343" i="1"/>
  <c r="CB1344" i="1"/>
  <c r="CB1345" i="1"/>
  <c r="CB1346" i="1"/>
  <c r="CB1347" i="1"/>
  <c r="CB1348" i="1"/>
  <c r="CB1349" i="1"/>
  <c r="CB1350" i="1"/>
  <c r="CB1351" i="1"/>
  <c r="CB1352" i="1"/>
  <c r="CB1353" i="1"/>
  <c r="CB1354" i="1"/>
  <c r="CB1355" i="1"/>
  <c r="CB1356" i="1"/>
  <c r="CB1357" i="1"/>
  <c r="CB1359" i="1"/>
  <c r="CB1360" i="1"/>
  <c r="CB1362" i="1"/>
  <c r="CB1363" i="1"/>
  <c r="CB1365" i="1"/>
  <c r="CB1366" i="1"/>
  <c r="CB1367" i="1"/>
  <c r="CB1368" i="1"/>
  <c r="CB1369" i="1"/>
  <c r="CB1370" i="1"/>
  <c r="CB1371" i="1"/>
  <c r="CB1372" i="1"/>
  <c r="CB1373" i="1"/>
  <c r="CB1374" i="1"/>
  <c r="CB1375" i="1"/>
  <c r="CB1376" i="1"/>
  <c r="CB1377" i="1"/>
  <c r="CB1378" i="1"/>
  <c r="CB1379" i="1"/>
  <c r="CB1380" i="1"/>
  <c r="CB1381" i="1"/>
  <c r="CB1382" i="1"/>
  <c r="CB1383" i="1"/>
  <c r="CB1384" i="1"/>
  <c r="CB1385" i="1"/>
  <c r="CB1386" i="1"/>
  <c r="CB1387" i="1"/>
  <c r="CB1388" i="1"/>
  <c r="CB1389" i="1"/>
  <c r="CB1390" i="1"/>
  <c r="CB1391" i="1"/>
  <c r="CB1392" i="1"/>
  <c r="CB1393" i="1"/>
  <c r="CB1394" i="1"/>
  <c r="CB1395" i="1"/>
  <c r="CB1396" i="1"/>
  <c r="CB1397" i="1"/>
  <c r="CB1398" i="1"/>
  <c r="CB1399" i="1"/>
  <c r="CB1400" i="1"/>
  <c r="CB1401" i="1"/>
  <c r="CB1402" i="1"/>
  <c r="CB1404" i="1"/>
  <c r="CB1405" i="1"/>
  <c r="CB1406" i="1"/>
  <c r="CB1407" i="1"/>
  <c r="CB1408" i="1"/>
  <c r="CB1409" i="1"/>
  <c r="CB1411" i="1"/>
  <c r="CB1412" i="1"/>
  <c r="CB1413" i="1"/>
  <c r="CB1414" i="1"/>
  <c r="CB1415" i="1"/>
  <c r="CB1416" i="1"/>
  <c r="CB1417" i="1"/>
  <c r="CB1418" i="1"/>
  <c r="CB1419" i="1"/>
  <c r="CB1420" i="1"/>
  <c r="CB1422" i="1"/>
  <c r="CB1423" i="1"/>
  <c r="CB1424" i="1"/>
  <c r="CB1425" i="1"/>
  <c r="CB1426" i="1"/>
  <c r="CB1427" i="1"/>
  <c r="CB1429" i="1"/>
  <c r="CB1430" i="1"/>
  <c r="CB1432" i="1"/>
  <c r="CB1433" i="1"/>
  <c r="CB1434" i="1"/>
  <c r="CB1435" i="1"/>
  <c r="CB1436" i="1"/>
  <c r="CB1437" i="1"/>
  <c r="CB1438" i="1"/>
  <c r="CB1439" i="1"/>
  <c r="CB1440" i="1"/>
  <c r="CB1441" i="1"/>
  <c r="CB1442" i="1"/>
  <c r="CB1443" i="1"/>
  <c r="CB1444" i="1"/>
  <c r="CB1445" i="1"/>
  <c r="CB1446" i="1"/>
  <c r="CB1447" i="1"/>
  <c r="CB1448" i="1"/>
  <c r="CB1449" i="1"/>
  <c r="CB1452" i="1"/>
  <c r="CB1453" i="1"/>
  <c r="CB1454" i="1"/>
  <c r="CB1455" i="1"/>
  <c r="CB1458" i="1"/>
  <c r="CB1461" i="1"/>
  <c r="CB1462" i="1"/>
  <c r="CB1463" i="1"/>
  <c r="CB1464" i="1"/>
  <c r="CB1465" i="1"/>
  <c r="CB1466" i="1"/>
  <c r="CB1467" i="1"/>
  <c r="CB1468" i="1"/>
  <c r="CB1469" i="1"/>
  <c r="CB1470" i="1"/>
  <c r="CB1471" i="1"/>
  <c r="CB1472" i="1"/>
  <c r="CB1473" i="1"/>
  <c r="CB1475" i="1"/>
  <c r="CB1476" i="1"/>
  <c r="CB1479" i="1"/>
  <c r="CB1481" i="1"/>
  <c r="CB1482" i="1"/>
  <c r="CB1483" i="1"/>
  <c r="CB1484" i="1"/>
  <c r="CB1485" i="1"/>
  <c r="CB1486" i="1"/>
  <c r="CB1487" i="1"/>
  <c r="CB1488" i="1"/>
  <c r="CB1489" i="1"/>
  <c r="CB1490" i="1"/>
  <c r="CB1492" i="1"/>
  <c r="CB1493" i="1"/>
  <c r="CB1494" i="1"/>
  <c r="CB1495" i="1"/>
  <c r="CB1497" i="1"/>
  <c r="CB1498" i="1"/>
  <c r="CB1499" i="1"/>
  <c r="CB1500" i="1"/>
  <c r="CB1501" i="1"/>
  <c r="CB1503" i="1"/>
  <c r="CB1505" i="1"/>
  <c r="CB1506" i="1"/>
  <c r="CB1507" i="1"/>
  <c r="CB1508" i="1"/>
  <c r="CB1509" i="1"/>
  <c r="CB1510" i="1"/>
  <c r="CB1511" i="1"/>
  <c r="CB1512" i="1"/>
  <c r="CB1513" i="1"/>
  <c r="CB1514" i="1"/>
  <c r="CB1516" i="1"/>
  <c r="CB1517" i="1"/>
  <c r="CB1518" i="1"/>
  <c r="CB1519" i="1"/>
  <c r="CB1520" i="1"/>
  <c r="CB1521" i="1"/>
  <c r="CB1522" i="1"/>
  <c r="CB1523" i="1"/>
  <c r="CB1524" i="1"/>
  <c r="CB1525" i="1"/>
  <c r="CB1526" i="1"/>
  <c r="CB1527" i="1"/>
  <c r="CB1528" i="1"/>
  <c r="CB1530" i="1"/>
  <c r="CB1532" i="1"/>
  <c r="CB1534" i="1"/>
  <c r="CB1535" i="1"/>
  <c r="CB1536" i="1"/>
  <c r="CB1537" i="1"/>
  <c r="CB1538" i="1"/>
  <c r="CB1539" i="1"/>
  <c r="CB1540" i="1"/>
  <c r="CB1541" i="1"/>
  <c r="CB1542" i="1"/>
  <c r="CB1543" i="1"/>
  <c r="CB1544" i="1"/>
  <c r="CB1545" i="1"/>
  <c r="CB1546" i="1"/>
  <c r="CB1547" i="1"/>
  <c r="CB1548" i="1"/>
  <c r="CB1549" i="1"/>
  <c r="CB1551" i="1"/>
  <c r="CB1554" i="1"/>
  <c r="CB1555" i="1"/>
  <c r="CB1556" i="1"/>
  <c r="CB1557" i="1"/>
  <c r="CB1558" i="1"/>
  <c r="CB1560" i="1"/>
  <c r="CB1561" i="1"/>
  <c r="CB1563" i="1"/>
  <c r="CB1564" i="1"/>
  <c r="CB1565" i="1"/>
  <c r="CB1566" i="1"/>
  <c r="CB1567" i="1"/>
  <c r="CB1569" i="1"/>
  <c r="CB1570" i="1"/>
  <c r="CB1571" i="1"/>
  <c r="CB1572" i="1"/>
  <c r="CB1573" i="1"/>
  <c r="CB1575" i="1"/>
  <c r="CB1576" i="1"/>
  <c r="CB1577" i="1"/>
  <c r="CB1579" i="1"/>
  <c r="CB1580" i="1"/>
  <c r="CB1581" i="1"/>
  <c r="CB1582" i="1"/>
  <c r="CB1583" i="1"/>
  <c r="CB1584" i="1"/>
  <c r="CB1586" i="1"/>
  <c r="CB1587" i="1"/>
  <c r="CB1588" i="1"/>
  <c r="CB1590" i="1"/>
  <c r="CB1591" i="1"/>
  <c r="CB1593" i="1"/>
  <c r="CB1594" i="1"/>
  <c r="CB1595" i="1"/>
  <c r="CB1596" i="1"/>
  <c r="CB1598" i="1"/>
  <c r="CB1599" i="1"/>
  <c r="CB1600" i="1"/>
  <c r="CB1601" i="1"/>
  <c r="CB1602" i="1"/>
  <c r="CB1605" i="1"/>
  <c r="CB1606" i="1"/>
  <c r="CB1607" i="1"/>
  <c r="CB1609" i="1"/>
  <c r="CB1610" i="1"/>
  <c r="CB1611" i="1"/>
  <c r="CB1612" i="1"/>
  <c r="CB1613" i="1"/>
  <c r="CB1614" i="1"/>
  <c r="CB1615" i="1"/>
  <c r="CB1616" i="1"/>
  <c r="CB1617" i="1"/>
  <c r="CB1619" i="1"/>
  <c r="CB1620" i="1"/>
  <c r="CB1621" i="1"/>
  <c r="CB1624" i="1"/>
  <c r="CB1625" i="1"/>
  <c r="CB1626" i="1"/>
  <c r="CB1627" i="1"/>
  <c r="CB1628" i="1"/>
  <c r="CB1629" i="1"/>
  <c r="CB1630" i="1"/>
  <c r="CB1631" i="1"/>
  <c r="CB1632" i="1"/>
  <c r="CB1633" i="1"/>
  <c r="CB1634" i="1"/>
  <c r="CB1635" i="1"/>
  <c r="CB1637" i="1"/>
  <c r="CB1638" i="1"/>
  <c r="CB1639" i="1"/>
  <c r="CB1640" i="1"/>
  <c r="CB1641" i="1"/>
  <c r="CB1642" i="1"/>
  <c r="CB1644" i="1"/>
  <c r="CB1646" i="1"/>
  <c r="CB1647" i="1"/>
  <c r="CB1649" i="1"/>
  <c r="CB1650" i="1"/>
  <c r="CB1651" i="1"/>
  <c r="CB1652" i="1"/>
  <c r="CB1653" i="1"/>
  <c r="CB1654" i="1"/>
  <c r="CB1655" i="1"/>
  <c r="CB1657" i="1"/>
  <c r="CB1659" i="1"/>
  <c r="CB1662" i="1"/>
  <c r="CB1663" i="1"/>
  <c r="CB1665" i="1"/>
  <c r="CB1666" i="1"/>
  <c r="CB1667" i="1"/>
  <c r="CB1668" i="1"/>
  <c r="CB1669" i="1"/>
  <c r="CB1670" i="1"/>
  <c r="CB1671" i="1"/>
  <c r="CB1672" i="1"/>
  <c r="CB1674" i="1"/>
  <c r="CB1675" i="1"/>
  <c r="CB1677" i="1"/>
  <c r="CB1678" i="1"/>
  <c r="CB1680" i="1"/>
  <c r="CB1681" i="1"/>
  <c r="CB1684" i="1"/>
  <c r="CB1685" i="1"/>
  <c r="CB1686" i="1"/>
  <c r="CB1687" i="1"/>
  <c r="CB1688" i="1"/>
  <c r="CB1689" i="1"/>
  <c r="CB1690" i="1"/>
  <c r="CB1691" i="1"/>
  <c r="CB1692" i="1"/>
  <c r="CB1693" i="1"/>
  <c r="CB1694" i="1"/>
  <c r="CB1696" i="1"/>
  <c r="CB1698" i="1"/>
  <c r="CB1699" i="1"/>
  <c r="CB1700" i="1"/>
  <c r="CB1701" i="1"/>
  <c r="CB1702" i="1"/>
  <c r="CB1703" i="1"/>
  <c r="CB1705" i="1"/>
  <c r="CB1706" i="1"/>
  <c r="CB1707" i="1"/>
  <c r="CB1709" i="1"/>
  <c r="CB1710" i="1"/>
  <c r="CB1711" i="1"/>
  <c r="CB1712" i="1"/>
  <c r="CB1714" i="1"/>
  <c r="CB1715" i="1"/>
  <c r="CB1716" i="1"/>
  <c r="CB1717" i="1"/>
  <c r="CB1718" i="1"/>
  <c r="CB1719" i="1"/>
  <c r="CB1721" i="1"/>
  <c r="CB1722" i="1"/>
  <c r="CB1723" i="1"/>
  <c r="CB1724" i="1"/>
  <c r="CB1725" i="1"/>
  <c r="CB1727" i="1"/>
  <c r="CB1729" i="1"/>
  <c r="CB1730" i="1"/>
  <c r="CB1732" i="1"/>
  <c r="CB1733" i="1"/>
  <c r="CB1734" i="1"/>
  <c r="CB1735" i="1"/>
  <c r="CB1736" i="1"/>
  <c r="CB1737" i="1"/>
  <c r="CB1738" i="1"/>
  <c r="CB1739" i="1"/>
  <c r="CB1742" i="1"/>
  <c r="CB1743" i="1"/>
  <c r="CB1744" i="1"/>
  <c r="CB1745" i="1"/>
  <c r="CB1746" i="1"/>
  <c r="CB1747" i="1"/>
  <c r="CB1748" i="1"/>
  <c r="CB1749" i="1"/>
  <c r="CB1752" i="1"/>
  <c r="CB1753" i="1"/>
  <c r="CB1755" i="1"/>
  <c r="CB1756" i="1"/>
  <c r="CB1759" i="1"/>
  <c r="CB1760" i="1"/>
  <c r="CB1761" i="1"/>
  <c r="CB1762" i="1"/>
  <c r="CB1764" i="1"/>
  <c r="CB1766" i="1"/>
  <c r="CB1767" i="1"/>
  <c r="CB1768" i="1"/>
  <c r="CB1769" i="1"/>
  <c r="CB1770" i="1"/>
  <c r="CB1771" i="1"/>
  <c r="CB1773" i="1"/>
  <c r="CB1774" i="1"/>
  <c r="CB1776" i="1"/>
  <c r="CB1777" i="1"/>
  <c r="CB1778" i="1"/>
  <c r="CB1779" i="1"/>
  <c r="CB1780" i="1"/>
  <c r="CB1781" i="1"/>
  <c r="CB1782" i="1"/>
  <c r="CB1783" i="1"/>
  <c r="CB1784" i="1"/>
  <c r="CB1785" i="1"/>
  <c r="CB1786" i="1"/>
  <c r="CB1787" i="1"/>
  <c r="CB1788" i="1"/>
  <c r="CB1789" i="1"/>
  <c r="CB1790" i="1"/>
  <c r="CB1791" i="1"/>
  <c r="CB1792" i="1"/>
  <c r="CB1794" i="1"/>
  <c r="CB1795" i="1"/>
  <c r="CB1796" i="1"/>
  <c r="CB1797" i="1"/>
  <c r="CB1798" i="1"/>
  <c r="CB1799" i="1"/>
  <c r="CB1800" i="1"/>
  <c r="CB1801" i="1"/>
  <c r="CB1804" i="1"/>
  <c r="CB1805" i="1"/>
  <c r="CB1807" i="1"/>
  <c r="CB1809" i="1"/>
  <c r="CB1811" i="1"/>
  <c r="CB1813" i="1"/>
  <c r="CB1814" i="1"/>
  <c r="CB1815" i="1"/>
  <c r="CB1818" i="1"/>
  <c r="CB1819" i="1"/>
  <c r="CB1820" i="1"/>
  <c r="CB1821" i="1"/>
  <c r="CB1822" i="1"/>
  <c r="CB1823" i="1"/>
  <c r="CB1825" i="1"/>
  <c r="CB1826" i="1"/>
  <c r="CB1828" i="1"/>
  <c r="CB1829" i="1"/>
  <c r="CB1830" i="1"/>
  <c r="CB1831" i="1"/>
  <c r="CB1832" i="1"/>
  <c r="CB1833" i="1"/>
  <c r="CB1836" i="1"/>
  <c r="CB1837" i="1"/>
  <c r="CB1838" i="1"/>
  <c r="CB1839" i="1"/>
  <c r="CB1840" i="1"/>
  <c r="CB1841" i="1"/>
  <c r="CB1842" i="1"/>
  <c r="CB1844" i="1"/>
  <c r="CB1845" i="1"/>
  <c r="CB1846" i="1"/>
  <c r="CB1847" i="1"/>
  <c r="CB1848" i="1"/>
  <c r="CB1849" i="1"/>
  <c r="CB1850" i="1"/>
  <c r="CB1852" i="1"/>
  <c r="CB1853" i="1"/>
  <c r="CB1854" i="1"/>
  <c r="CB1855" i="1"/>
  <c r="CB1857" i="1"/>
  <c r="CB1858" i="1"/>
  <c r="CB1859" i="1"/>
  <c r="CB1860" i="1"/>
  <c r="CB1861" i="1"/>
  <c r="CB1862" i="1"/>
  <c r="CB1864" i="1"/>
  <c r="CB1868" i="1"/>
  <c r="CB1869" i="1"/>
  <c r="CB1870" i="1"/>
  <c r="CB1871" i="1"/>
  <c r="CB1872" i="1"/>
  <c r="CB1873" i="1"/>
  <c r="CB1874" i="1"/>
  <c r="CB1875" i="1"/>
  <c r="CB1876" i="1"/>
  <c r="CB1877" i="1"/>
  <c r="CB1879" i="1"/>
  <c r="CB1880" i="1"/>
  <c r="CB1881" i="1"/>
  <c r="CB1882" i="1"/>
  <c r="CB1883" i="1"/>
  <c r="CB1884" i="1"/>
  <c r="CB1886" i="1"/>
  <c r="CB1887" i="1"/>
  <c r="CB1889" i="1"/>
  <c r="CB1892" i="1"/>
  <c r="CB1893" i="1"/>
  <c r="CB1894" i="1"/>
  <c r="CB1897" i="1"/>
  <c r="CB1899" i="1"/>
  <c r="CB1900" i="1"/>
  <c r="CB1901" i="1"/>
  <c r="CB1902" i="1"/>
  <c r="CB1903" i="1"/>
  <c r="CB1904" i="1"/>
  <c r="CB1905" i="1"/>
  <c r="CB1907" i="1"/>
  <c r="CB1909" i="1"/>
  <c r="CB1910" i="1"/>
  <c r="CB1911" i="1"/>
  <c r="CB1912" i="1"/>
  <c r="CB1913" i="1"/>
  <c r="CB1914" i="1"/>
  <c r="CB1915" i="1"/>
  <c r="CB1916" i="1"/>
  <c r="CB1917" i="1"/>
  <c r="CB1918" i="1"/>
  <c r="CB1919" i="1"/>
  <c r="CB1920" i="1"/>
  <c r="CB1921" i="1"/>
  <c r="CB1922" i="1"/>
  <c r="CB1923" i="1"/>
  <c r="CB1924" i="1"/>
  <c r="CB1925" i="1"/>
  <c r="CB1926" i="1"/>
  <c r="CB1927" i="1"/>
  <c r="CB1928" i="1"/>
  <c r="CB1930" i="1"/>
  <c r="CB1931" i="1"/>
  <c r="CB1932" i="1"/>
  <c r="CB1933" i="1"/>
  <c r="CB1934" i="1"/>
  <c r="CB1935" i="1"/>
  <c r="CB1936" i="1"/>
  <c r="CB1937" i="1"/>
  <c r="CB1939" i="1"/>
  <c r="CB1941" i="1"/>
  <c r="CB1942" i="1"/>
  <c r="CB1943" i="1"/>
  <c r="CB1944" i="1"/>
  <c r="CB1945" i="1"/>
  <c r="CB1946" i="1"/>
  <c r="CB1947" i="1"/>
  <c r="CB1948" i="1"/>
  <c r="CB1949" i="1"/>
  <c r="CB1950" i="1"/>
  <c r="CB1951" i="1"/>
  <c r="CB1952" i="1"/>
  <c r="CB1953" i="1"/>
  <c r="CB1954" i="1"/>
  <c r="CB1955" i="1"/>
  <c r="CB1956" i="1"/>
  <c r="CB1957" i="1"/>
  <c r="CB1958" i="1"/>
  <c r="CB1960" i="1"/>
  <c r="CB1962" i="1"/>
  <c r="CB1964" i="1"/>
  <c r="CB1965" i="1"/>
  <c r="CB1966" i="1"/>
  <c r="CB1967" i="1"/>
  <c r="CB1968" i="1"/>
  <c r="CB1969" i="1"/>
  <c r="CB1970" i="1"/>
  <c r="CB1971" i="1"/>
  <c r="CB1973" i="1"/>
  <c r="CB1974" i="1"/>
  <c r="CB1975" i="1"/>
  <c r="CB1977" i="1"/>
  <c r="CB1978" i="1"/>
  <c r="CB1979" i="1"/>
  <c r="CB1981" i="1"/>
  <c r="CB1982" i="1"/>
  <c r="CB1983" i="1"/>
  <c r="CB1986" i="1"/>
  <c r="CB1987" i="1"/>
  <c r="CB1988" i="1"/>
  <c r="CB1990" i="1"/>
  <c r="CB1991" i="1"/>
  <c r="CB1992" i="1"/>
  <c r="CB1994" i="1"/>
  <c r="CB1995" i="1"/>
  <c r="CB1996" i="1"/>
  <c r="CB1997" i="1"/>
  <c r="CB1998" i="1"/>
  <c r="CB1999" i="1"/>
  <c r="CB2000" i="1"/>
  <c r="CB2001" i="1"/>
  <c r="CB2003" i="1"/>
  <c r="CB2005" i="1"/>
  <c r="CB2006" i="1"/>
  <c r="CB2007" i="1"/>
  <c r="CB2008" i="1"/>
  <c r="CB2009" i="1"/>
  <c r="CB2010" i="1"/>
  <c r="CB2011" i="1"/>
  <c r="CB2012" i="1"/>
  <c r="CB2013" i="1"/>
  <c r="CB2014" i="1"/>
  <c r="CB2015" i="1"/>
  <c r="CB2016" i="1"/>
  <c r="CB2018" i="1"/>
  <c r="CB2019" i="1"/>
  <c r="CB2020" i="1"/>
  <c r="CB2021" i="1"/>
  <c r="CB2022" i="1"/>
  <c r="CB2023" i="1"/>
  <c r="CB2024" i="1"/>
  <c r="CB2025" i="1"/>
  <c r="CB2027" i="1"/>
  <c r="CB2028" i="1"/>
  <c r="CB2029" i="1"/>
  <c r="CB2030" i="1"/>
  <c r="CB2031" i="1"/>
  <c r="CB2032" i="1"/>
  <c r="CB2033" i="1"/>
  <c r="CB2035" i="1"/>
  <c r="CB2036" i="1"/>
  <c r="CB2038" i="1"/>
  <c r="CB2039" i="1"/>
  <c r="CB2040" i="1"/>
  <c r="CB2041" i="1"/>
  <c r="CB2042" i="1"/>
  <c r="CB2043" i="1"/>
  <c r="CB2044" i="1"/>
  <c r="CB2046" i="1"/>
  <c r="CB2047" i="1"/>
  <c r="CB2049" i="1"/>
  <c r="CB2050" i="1"/>
  <c r="CB2051" i="1"/>
  <c r="CB2052" i="1"/>
  <c r="CB2053" i="1"/>
  <c r="CB2054" i="1"/>
  <c r="CB2056" i="1"/>
  <c r="CB2057" i="1"/>
  <c r="CB2058" i="1"/>
  <c r="CB2059" i="1"/>
  <c r="CB2060" i="1"/>
  <c r="CB2061" i="1"/>
  <c r="CB2063" i="1"/>
  <c r="CB2064" i="1"/>
  <c r="CB2065" i="1"/>
  <c r="CB2066" i="1"/>
  <c r="CB2067" i="1"/>
  <c r="CB2068" i="1"/>
  <c r="CB2069" i="1"/>
  <c r="CB2070" i="1"/>
  <c r="CB2071" i="1"/>
  <c r="CB2072" i="1"/>
  <c r="CB2073" i="1"/>
  <c r="CB2074" i="1"/>
  <c r="CB2075" i="1"/>
  <c r="CB2076" i="1"/>
  <c r="CB2077" i="1"/>
  <c r="CB2078" i="1"/>
  <c r="CB2080" i="1"/>
  <c r="CB2081" i="1"/>
  <c r="CB2083" i="1"/>
  <c r="CB2085" i="1"/>
  <c r="CB2087" i="1"/>
  <c r="CB2089" i="1"/>
  <c r="CB2090" i="1"/>
  <c r="CB2091" i="1"/>
  <c r="CB2092" i="1"/>
  <c r="CB2093" i="1"/>
  <c r="CB2094" i="1"/>
  <c r="CB2096" i="1"/>
  <c r="CB2098" i="1"/>
  <c r="CB2099" i="1"/>
  <c r="CB2100" i="1"/>
  <c r="CB2101" i="1"/>
  <c r="CB2102" i="1"/>
  <c r="CB2103" i="1"/>
  <c r="CB2104" i="1"/>
  <c r="CB2105" i="1"/>
  <c r="CB2106" i="1"/>
  <c r="CB2107" i="1"/>
  <c r="CB2108" i="1"/>
  <c r="CB2109" i="1"/>
  <c r="CB2110" i="1"/>
  <c r="CB2111" i="1"/>
  <c r="CB2112" i="1"/>
  <c r="CB2113" i="1"/>
  <c r="CB2114" i="1"/>
  <c r="CB2115" i="1"/>
  <c r="CB2116" i="1"/>
  <c r="CB2117" i="1"/>
  <c r="CB2118" i="1"/>
  <c r="CB2119" i="1"/>
  <c r="CB2121" i="1"/>
  <c r="CB2122" i="1"/>
  <c r="CB2123" i="1"/>
  <c r="CB2124" i="1"/>
  <c r="CB2125" i="1"/>
  <c r="CB2127" i="1"/>
  <c r="CB2128" i="1"/>
  <c r="CB2129" i="1"/>
  <c r="CB2132" i="1"/>
  <c r="CB2133" i="1"/>
  <c r="CB2134" i="1"/>
  <c r="CB2135" i="1"/>
  <c r="CB2136" i="1"/>
  <c r="CB2137" i="1"/>
  <c r="CB2139" i="1"/>
  <c r="CB2140" i="1"/>
  <c r="CB2141" i="1"/>
  <c r="CB2142" i="1"/>
  <c r="CB2143" i="1"/>
  <c r="CB2144" i="1"/>
  <c r="CB2145" i="1"/>
  <c r="CB2146" i="1"/>
  <c r="CB2147" i="1"/>
  <c r="CB2148" i="1"/>
  <c r="CB2149" i="1"/>
  <c r="CB2150" i="1"/>
  <c r="CB2151" i="1"/>
  <c r="CB2152" i="1"/>
  <c r="CB2153" i="1"/>
  <c r="CB2154" i="1"/>
  <c r="CB2155" i="1"/>
  <c r="CB2156" i="1"/>
  <c r="CB2157" i="1"/>
  <c r="CB2158" i="1"/>
  <c r="CB2159" i="1"/>
  <c r="CB2160" i="1"/>
  <c r="CB2161" i="1"/>
  <c r="CB2162" i="1"/>
  <c r="CB2163" i="1"/>
  <c r="CB2164" i="1"/>
  <c r="CB2165" i="1"/>
  <c r="CB2166" i="1"/>
  <c r="CB2167" i="1"/>
  <c r="CB2168" i="1"/>
  <c r="CB2169" i="1"/>
  <c r="CB2170" i="1"/>
  <c r="CB2171" i="1"/>
  <c r="CB2172" i="1"/>
  <c r="CB2173" i="1"/>
  <c r="CB2174" i="1"/>
  <c r="CB2175" i="1"/>
  <c r="CB2176" i="1"/>
  <c r="CB2177" i="1"/>
  <c r="CB2178" i="1"/>
  <c r="CB2179" i="1"/>
  <c r="CB2181" i="1"/>
  <c r="CB2182" i="1"/>
  <c r="CB2183" i="1"/>
  <c r="CB2184" i="1"/>
  <c r="CB2185" i="1"/>
  <c r="CB2186" i="1"/>
  <c r="CB2187" i="1"/>
  <c r="CB2188" i="1"/>
  <c r="CB2189" i="1"/>
  <c r="CB2190" i="1"/>
  <c r="CB2191" i="1"/>
  <c r="CB2193" i="1"/>
  <c r="CB2194" i="1"/>
  <c r="CB2195" i="1"/>
  <c r="CB2196" i="1"/>
  <c r="CB2197" i="1"/>
  <c r="CB2199" i="1"/>
  <c r="CB2200" i="1"/>
  <c r="CB2201" i="1"/>
  <c r="CB2203" i="1"/>
  <c r="CB2205" i="1"/>
  <c r="CB2207" i="1"/>
  <c r="CB2208" i="1"/>
  <c r="CB2209" i="1"/>
  <c r="CB2210" i="1"/>
  <c r="CB2211" i="1"/>
  <c r="CB2212" i="1"/>
  <c r="CB2213" i="1"/>
  <c r="CB2214" i="1"/>
  <c r="CB2215" i="1"/>
  <c r="CB2216" i="1"/>
  <c r="CB2218" i="1"/>
  <c r="CB2219" i="1"/>
  <c r="CB2221" i="1"/>
  <c r="CB2222" i="1"/>
  <c r="CB2223" i="1"/>
  <c r="CB2225" i="1"/>
  <c r="CB2226" i="1"/>
  <c r="CB2227" i="1"/>
  <c r="CB2228" i="1"/>
  <c r="CB2229" i="1"/>
  <c r="CB2230" i="1"/>
  <c r="CB2233" i="1"/>
  <c r="CB2235" i="1"/>
  <c r="CB2236" i="1"/>
  <c r="CB2237" i="1"/>
  <c r="CB2238" i="1"/>
  <c r="CB2239" i="1"/>
  <c r="CB2240" i="1"/>
  <c r="CB2241" i="1"/>
  <c r="CB2243" i="1"/>
  <c r="CB2244" i="1"/>
  <c r="CB2245" i="1"/>
  <c r="CB2246" i="1"/>
  <c r="CB2249" i="1"/>
  <c r="CB2250" i="1"/>
  <c r="CB2251" i="1"/>
  <c r="CB2253" i="1"/>
  <c r="CB2254" i="1"/>
  <c r="CB2255" i="1"/>
  <c r="CB2256" i="1"/>
  <c r="CB2257" i="1"/>
  <c r="CB2258" i="1"/>
  <c r="CB2259" i="1"/>
  <c r="CB2263" i="1"/>
  <c r="CB2264" i="1"/>
  <c r="CB2265" i="1"/>
  <c r="CB2266" i="1"/>
  <c r="CB2267" i="1"/>
  <c r="CB2268" i="1"/>
  <c r="CB2270" i="1"/>
  <c r="CB2271" i="1"/>
  <c r="CB2272" i="1"/>
  <c r="CB2273" i="1"/>
  <c r="CB2274" i="1"/>
  <c r="CB2275" i="1"/>
  <c r="CB2276" i="1"/>
  <c r="CB2277" i="1"/>
  <c r="CB2278" i="1"/>
  <c r="CB2280" i="1"/>
  <c r="CB2281" i="1"/>
  <c r="CB2282" i="1"/>
  <c r="CB2283" i="1"/>
  <c r="CB2284" i="1"/>
  <c r="CB2285" i="1"/>
  <c r="CB2286" i="1"/>
  <c r="CB2287" i="1"/>
  <c r="CB2288" i="1"/>
  <c r="CB2289" i="1"/>
  <c r="CB2290" i="1"/>
  <c r="CB2291" i="1"/>
  <c r="CB2292" i="1"/>
  <c r="CB2293" i="1"/>
  <c r="CB2294" i="1"/>
  <c r="CB2295" i="1"/>
  <c r="CB2296" i="1"/>
  <c r="CB2298" i="1"/>
  <c r="CB2299" i="1"/>
  <c r="CB2300" i="1"/>
  <c r="CB2301" i="1"/>
  <c r="CB2302" i="1"/>
  <c r="CB2303" i="1"/>
  <c r="CB2304" i="1"/>
  <c r="CB2305" i="1"/>
  <c r="CB2306" i="1"/>
  <c r="CB2307" i="1"/>
  <c r="CB2308" i="1"/>
  <c r="CB2312" i="1"/>
  <c r="CB2313" i="1"/>
  <c r="CB2314" i="1"/>
  <c r="CB2315" i="1"/>
  <c r="CB2316" i="1"/>
  <c r="CB2317" i="1"/>
  <c r="CB2318" i="1"/>
  <c r="CB2321" i="1"/>
  <c r="CB2323" i="1"/>
  <c r="CB2324" i="1"/>
  <c r="CB2325" i="1"/>
  <c r="CB2326" i="1"/>
  <c r="CB2327" i="1"/>
  <c r="CB2328" i="1"/>
  <c r="CB2329" i="1"/>
  <c r="CB2330" i="1"/>
  <c r="CB2331" i="1"/>
  <c r="CB2332" i="1"/>
  <c r="CB2333" i="1"/>
  <c r="CB2334" i="1"/>
  <c r="CB2335" i="1"/>
  <c r="CB2336" i="1"/>
  <c r="CB2337" i="1"/>
  <c r="CB2338" i="1"/>
  <c r="CB2340" i="1"/>
  <c r="CB2342" i="1"/>
  <c r="CB2343" i="1"/>
  <c r="CB2344" i="1"/>
  <c r="CB2345" i="1"/>
  <c r="CB2346" i="1"/>
  <c r="CB2347" i="1"/>
  <c r="CB2348" i="1"/>
  <c r="CB2349" i="1"/>
  <c r="CB2350" i="1"/>
  <c r="CB2351" i="1"/>
  <c r="CB2352" i="1"/>
  <c r="CB2353" i="1"/>
  <c r="CB2354" i="1"/>
  <c r="CB2355" i="1"/>
  <c r="CB2357" i="1"/>
  <c r="CB2358" i="1"/>
  <c r="CB2359" i="1"/>
  <c r="CB2360" i="1"/>
  <c r="CB2362" i="1"/>
  <c r="CB2365" i="1"/>
  <c r="CB2366" i="1"/>
  <c r="CB2367" i="1"/>
  <c r="CB2368" i="1"/>
  <c r="CB2369" i="1"/>
  <c r="CB2370" i="1"/>
  <c r="CB2371" i="1"/>
  <c r="CB2372" i="1"/>
  <c r="CB2373" i="1"/>
  <c r="CB2375" i="1"/>
  <c r="CB2376" i="1"/>
  <c r="CB2377" i="1"/>
  <c r="CB2380" i="1"/>
  <c r="CB2381" i="1"/>
  <c r="CB2382" i="1"/>
  <c r="CB2383" i="1"/>
  <c r="CB2385" i="1"/>
  <c r="CB2386" i="1"/>
  <c r="CB2387" i="1"/>
  <c r="CB2389" i="1"/>
  <c r="CB2391" i="1"/>
  <c r="CB2393" i="1"/>
  <c r="CB2394" i="1"/>
  <c r="CB2395" i="1"/>
  <c r="CB2396" i="1"/>
  <c r="CB2399" i="1"/>
  <c r="CB2400" i="1"/>
  <c r="CB2401" i="1"/>
  <c r="CB2402" i="1"/>
  <c r="CB2403" i="1"/>
  <c r="CB2404" i="1"/>
  <c r="CB2405" i="1"/>
  <c r="CB2406" i="1"/>
  <c r="CB2407" i="1"/>
  <c r="CB2408" i="1"/>
  <c r="CB2409" i="1"/>
  <c r="CB2410" i="1"/>
  <c r="CB2411" i="1"/>
  <c r="CB2412" i="1"/>
  <c r="CB2413" i="1"/>
  <c r="CB2414" i="1"/>
  <c r="CB2415" i="1"/>
  <c r="CB2416" i="1"/>
  <c r="CB2418" i="1"/>
  <c r="CB2422" i="1"/>
  <c r="CB2423" i="1"/>
  <c r="CB2424" i="1"/>
  <c r="CB2425" i="1"/>
  <c r="CB2426" i="1"/>
  <c r="CB2428" i="1"/>
  <c r="CB2430" i="1"/>
  <c r="CB2431" i="1"/>
  <c r="CB2432" i="1"/>
  <c r="CB2433" i="1"/>
  <c r="CB2434" i="1"/>
  <c r="CB2435" i="1"/>
  <c r="CB2436" i="1"/>
  <c r="CB2437" i="1"/>
  <c r="CB2438" i="1"/>
  <c r="CB2439" i="1"/>
  <c r="CB2440" i="1"/>
  <c r="CB2441" i="1"/>
  <c r="CB2442" i="1"/>
  <c r="CB2443" i="1"/>
  <c r="CB2444" i="1"/>
  <c r="CB2445" i="1"/>
  <c r="CB2446" i="1"/>
  <c r="CB2447" i="1"/>
  <c r="CB2448" i="1"/>
  <c r="CB2449" i="1"/>
  <c r="CB2450" i="1"/>
  <c r="CB2451" i="1"/>
  <c r="CB2452" i="1"/>
  <c r="CB2453" i="1"/>
  <c r="CB2454" i="1"/>
  <c r="CB2455" i="1"/>
  <c r="CB2456" i="1"/>
  <c r="CB2459" i="1"/>
  <c r="CB2462" i="1"/>
  <c r="CB2463" i="1"/>
  <c r="CB2464" i="1"/>
  <c r="CB2465" i="1"/>
  <c r="CB2466" i="1"/>
  <c r="CB2467" i="1"/>
  <c r="CB2468" i="1"/>
  <c r="CB2469" i="1"/>
  <c r="CB2470" i="1"/>
  <c r="CB2472" i="1"/>
  <c r="CB2474" i="1"/>
  <c r="CB2475" i="1"/>
  <c r="CB2476" i="1"/>
  <c r="CB2477" i="1"/>
  <c r="CB2478" i="1"/>
  <c r="CB2479" i="1"/>
  <c r="CB2480" i="1"/>
  <c r="CB2481" i="1"/>
  <c r="CB2482" i="1"/>
  <c r="CB2483" i="1"/>
  <c r="CB2484" i="1"/>
  <c r="CB2485" i="1"/>
  <c r="CB2486" i="1"/>
  <c r="CB2487" i="1"/>
  <c r="CB2488" i="1"/>
  <c r="CB2489" i="1"/>
  <c r="CB2494" i="1"/>
  <c r="CB2495" i="1"/>
  <c r="CB2496" i="1"/>
  <c r="CB2497" i="1"/>
  <c r="CB2498" i="1"/>
  <c r="CB2499" i="1"/>
  <c r="CB2500" i="1"/>
  <c r="CB2501" i="1"/>
  <c r="CB2502" i="1"/>
  <c r="CB2503" i="1"/>
  <c r="CB2505" i="1"/>
  <c r="CB2506" i="1"/>
  <c r="CB2507" i="1"/>
  <c r="CB2508" i="1"/>
  <c r="CB2509" i="1"/>
  <c r="CB2510" i="1"/>
  <c r="CB2511" i="1"/>
  <c r="CB2512" i="1"/>
  <c r="CB2513" i="1"/>
  <c r="CB2514" i="1"/>
  <c r="CB2515" i="1"/>
  <c r="CB2516" i="1"/>
  <c r="CB2517" i="1"/>
  <c r="CB2518" i="1"/>
  <c r="CB2519" i="1"/>
  <c r="CB2520" i="1"/>
  <c r="CB2521" i="1"/>
  <c r="CB2522" i="1"/>
  <c r="CB2523" i="1"/>
  <c r="CB2526" i="1"/>
  <c r="CB2527" i="1"/>
  <c r="CB2529" i="1"/>
  <c r="CB2530" i="1"/>
  <c r="CB2531" i="1"/>
  <c r="CB2533" i="1"/>
  <c r="CB2536" i="1"/>
  <c r="CB2538" i="1"/>
  <c r="CB2540" i="1"/>
  <c r="CB2541" i="1"/>
  <c r="CB2543" i="1"/>
  <c r="CB2544" i="1"/>
  <c r="CB2545" i="1"/>
  <c r="CB2546" i="1"/>
  <c r="CB2548" i="1"/>
  <c r="CB2549" i="1"/>
  <c r="CB2550" i="1"/>
  <c r="CB2551" i="1"/>
  <c r="CB2552" i="1"/>
  <c r="CB2553" i="1"/>
  <c r="CB2554" i="1"/>
  <c r="CB2555" i="1"/>
  <c r="CB2557" i="1"/>
  <c r="CB2559" i="1"/>
  <c r="CB2560" i="1"/>
  <c r="CB2561" i="1"/>
  <c r="CB2562" i="1"/>
  <c r="CB2563" i="1"/>
  <c r="CB2564" i="1"/>
  <c r="CB2565" i="1"/>
  <c r="CB2566" i="1"/>
  <c r="CB2567" i="1"/>
  <c r="CB2568" i="1"/>
  <c r="CB2569" i="1"/>
  <c r="CB2570" i="1"/>
  <c r="CB2571" i="1"/>
  <c r="CB2573" i="1"/>
  <c r="CB2574" i="1"/>
  <c r="CB2575" i="1"/>
  <c r="CB2576" i="1"/>
  <c r="CB2578" i="1"/>
  <c r="CB2579" i="1"/>
  <c r="CB2580" i="1"/>
  <c r="CB2582" i="1"/>
  <c r="CB2585" i="1"/>
  <c r="CB2586" i="1"/>
  <c r="CB2587" i="1"/>
  <c r="CB2588" i="1"/>
  <c r="CB2589" i="1"/>
  <c r="CB2590" i="1"/>
  <c r="CB2591" i="1"/>
  <c r="CB2592" i="1"/>
  <c r="CB2593" i="1"/>
  <c r="CB2594" i="1"/>
  <c r="CB2595" i="1"/>
  <c r="CB2596" i="1"/>
  <c r="CB2597" i="1"/>
  <c r="CB2598" i="1"/>
  <c r="CB2599" i="1"/>
  <c r="CB2600" i="1"/>
  <c r="CB2601" i="1"/>
  <c r="CB2603" i="1"/>
  <c r="CB2604" i="1"/>
  <c r="CB2605" i="1"/>
  <c r="CB2606" i="1"/>
  <c r="CB2607" i="1"/>
  <c r="CB2608" i="1"/>
  <c r="CB2609" i="1"/>
  <c r="CB2610" i="1"/>
  <c r="CB2611" i="1"/>
  <c r="CB2612" i="1"/>
  <c r="CB2613" i="1"/>
  <c r="CB2614" i="1"/>
  <c r="CB2615" i="1"/>
  <c r="CB2616" i="1"/>
  <c r="CB2617" i="1"/>
  <c r="CB2618" i="1"/>
  <c r="CB2619" i="1"/>
  <c r="CB2620" i="1"/>
  <c r="CB2621" i="1"/>
  <c r="CB2623" i="1"/>
  <c r="CB2625" i="1"/>
  <c r="CB2626" i="1"/>
  <c r="CB2627" i="1"/>
  <c r="CB2630" i="1"/>
  <c r="CB2631" i="1"/>
  <c r="CB2632" i="1"/>
  <c r="CB2633" i="1"/>
  <c r="CB2634" i="1"/>
  <c r="CB2635" i="1"/>
  <c r="CB2636" i="1"/>
  <c r="CB2637" i="1"/>
  <c r="CB2638" i="1"/>
  <c r="CB2639" i="1"/>
  <c r="CB2640" i="1"/>
  <c r="CB2642" i="1"/>
  <c r="CB2643" i="1"/>
  <c r="CB2644" i="1"/>
  <c r="CB2645" i="1"/>
  <c r="CB2649" i="1"/>
  <c r="CB2650" i="1"/>
  <c r="CB2651" i="1"/>
  <c r="CB2654" i="1"/>
  <c r="CB2655" i="1"/>
  <c r="CB2656" i="1"/>
  <c r="CB2660" i="1"/>
  <c r="CB2661" i="1"/>
  <c r="CB2662" i="1"/>
  <c r="CB2663" i="1"/>
  <c r="CB2664" i="1"/>
  <c r="CB2665" i="1"/>
  <c r="CB2668" i="1"/>
  <c r="CB2669" i="1"/>
  <c r="CB2670" i="1"/>
  <c r="CB2672" i="1"/>
  <c r="CB2673" i="1"/>
  <c r="CB2674" i="1"/>
  <c r="CB2677" i="1"/>
  <c r="CB2678" i="1"/>
  <c r="CB2679" i="1"/>
  <c r="CB2681" i="1"/>
  <c r="CB2682" i="1"/>
  <c r="CB2683" i="1"/>
  <c r="CB2684" i="1"/>
  <c r="CB2685" i="1"/>
  <c r="CB2686" i="1"/>
  <c r="CB2687" i="1"/>
  <c r="CB2688" i="1"/>
  <c r="CB2689" i="1"/>
  <c r="CB2691" i="1"/>
  <c r="CB2692" i="1"/>
  <c r="CB2694" i="1"/>
  <c r="CB2696" i="1"/>
  <c r="CB2697" i="1"/>
  <c r="CB2698" i="1"/>
  <c r="CB2699" i="1"/>
  <c r="CB2700" i="1"/>
  <c r="CB2701" i="1"/>
  <c r="CB2702" i="1"/>
  <c r="CB2703" i="1"/>
  <c r="CB2704" i="1"/>
  <c r="CB2705" i="1"/>
  <c r="CB2707" i="1"/>
  <c r="CB2708" i="1"/>
  <c r="CB2709" i="1"/>
  <c r="CB2710" i="1"/>
  <c r="CB2711" i="1"/>
  <c r="CB2712" i="1"/>
  <c r="CB2714" i="1"/>
  <c r="CB2716" i="1"/>
  <c r="CB2717" i="1"/>
  <c r="CB2718" i="1"/>
  <c r="CB2719" i="1"/>
  <c r="CB2720" i="1"/>
  <c r="CB2723" i="1"/>
  <c r="CB2724" i="1"/>
  <c r="CB2726" i="1"/>
  <c r="CB2728" i="1"/>
  <c r="CB2729" i="1"/>
  <c r="CB2730" i="1"/>
  <c r="CB2732" i="1"/>
  <c r="CB2733" i="1"/>
  <c r="CB2734" i="1"/>
  <c r="CB2737" i="1"/>
  <c r="CB2738" i="1"/>
  <c r="CB2740" i="1"/>
  <c r="CB2741" i="1"/>
  <c r="CB2742" i="1"/>
  <c r="CB2743" i="1"/>
  <c r="CB2744" i="1"/>
  <c r="CB2745" i="1"/>
  <c r="CB2747" i="1"/>
  <c r="CB2748" i="1"/>
  <c r="CB2749" i="1"/>
  <c r="CB2750" i="1"/>
  <c r="CB2751" i="1"/>
  <c r="CB2753" i="1"/>
  <c r="CB2754" i="1"/>
  <c r="CB2755" i="1"/>
  <c r="CB2760" i="1"/>
  <c r="CB2761" i="1"/>
  <c r="CB2762" i="1"/>
  <c r="CB2763" i="1"/>
  <c r="CB2764" i="1"/>
  <c r="CB2765" i="1"/>
  <c r="CB2766" i="1"/>
  <c r="CB2767" i="1"/>
  <c r="CB2768" i="1"/>
  <c r="CB2769" i="1"/>
  <c r="CB2772" i="1"/>
  <c r="CB2774" i="1"/>
  <c r="CB2775" i="1"/>
  <c r="CB2776" i="1"/>
  <c r="CB2777" i="1"/>
  <c r="CB2778" i="1"/>
  <c r="CB2779" i="1"/>
  <c r="CB2780" i="1"/>
  <c r="CB2783" i="1"/>
  <c r="CB2784" i="1"/>
  <c r="CB2785" i="1"/>
  <c r="CB2787" i="1"/>
  <c r="CB2788" i="1"/>
  <c r="CB2789" i="1"/>
  <c r="CB2790" i="1"/>
  <c r="CB2791" i="1"/>
  <c r="CB2792" i="1"/>
  <c r="CB2793" i="1"/>
  <c r="CB2794" i="1"/>
  <c r="CB2795" i="1"/>
  <c r="CB2797" i="1"/>
  <c r="CB2798" i="1"/>
  <c r="CB2800" i="1"/>
  <c r="CB2801" i="1"/>
  <c r="CB2802" i="1"/>
  <c r="CB2804" i="1"/>
  <c r="CB2805" i="1"/>
  <c r="CB2806" i="1"/>
  <c r="CB2807" i="1"/>
  <c r="CB2808" i="1"/>
  <c r="CB2809" i="1"/>
  <c r="CB2811" i="1"/>
  <c r="CB2814" i="1"/>
  <c r="CB2816" i="1"/>
  <c r="CB2817" i="1"/>
  <c r="CB2818" i="1"/>
  <c r="CB2819" i="1"/>
  <c r="CB2820" i="1"/>
  <c r="CB2821" i="1"/>
  <c r="CB2822" i="1"/>
  <c r="CB2823" i="1"/>
  <c r="CB2824" i="1"/>
  <c r="CB2825" i="1"/>
  <c r="CB2826" i="1"/>
  <c r="CB2827" i="1"/>
  <c r="CB2828" i="1"/>
  <c r="CB2830" i="1"/>
  <c r="CB2832" i="1"/>
  <c r="CB2833" i="1"/>
  <c r="CB2834" i="1"/>
  <c r="CB2836" i="1"/>
  <c r="CB2837" i="1"/>
  <c r="CB2838" i="1"/>
  <c r="CB2839" i="1"/>
  <c r="CB2840" i="1"/>
  <c r="CB2841" i="1"/>
  <c r="CB2842" i="1"/>
  <c r="CB2843" i="1"/>
  <c r="CB2844" i="1"/>
  <c r="CB2846" i="1"/>
  <c r="CB2847" i="1"/>
  <c r="CB2848" i="1"/>
  <c r="CB2849" i="1"/>
  <c r="CB2850" i="1"/>
  <c r="CB2851" i="1"/>
  <c r="CB2852" i="1"/>
  <c r="CB2853" i="1"/>
  <c r="CB2854" i="1"/>
  <c r="CB2855" i="1"/>
  <c r="CB2857" i="1"/>
  <c r="CB2860" i="1"/>
  <c r="CB2861" i="1"/>
  <c r="CB2862" i="1"/>
  <c r="CB2863" i="1"/>
  <c r="CB2864" i="1"/>
  <c r="CB2866" i="1"/>
  <c r="CB2868" i="1"/>
  <c r="CB2869" i="1"/>
  <c r="CB2870" i="1"/>
  <c r="CB2871" i="1"/>
  <c r="CB2872" i="1"/>
  <c r="CB2873" i="1"/>
  <c r="CB2875" i="1"/>
  <c r="CB2876" i="1"/>
  <c r="CB2877" i="1"/>
  <c r="CB2878" i="1"/>
  <c r="CB2879" i="1"/>
  <c r="CB2880" i="1"/>
  <c r="CB2881" i="1"/>
  <c r="CB2882" i="1"/>
  <c r="CB2883" i="1"/>
  <c r="CB2884" i="1"/>
  <c r="CB2888" i="1"/>
  <c r="CB2889" i="1"/>
  <c r="CB2890" i="1"/>
  <c r="CB2891" i="1"/>
  <c r="CB2893" i="1"/>
  <c r="CB2894" i="1"/>
  <c r="CB2896" i="1"/>
  <c r="CB2897" i="1"/>
  <c r="CB2898" i="1"/>
  <c r="CB2899" i="1"/>
  <c r="CB2900" i="1"/>
  <c r="CB2902" i="1"/>
  <c r="CB2903" i="1"/>
  <c r="CB2905" i="1"/>
  <c r="CB2906" i="1"/>
  <c r="CB2907" i="1"/>
  <c r="CB2908" i="1"/>
  <c r="CB2909" i="1"/>
  <c r="CB2910" i="1"/>
  <c r="CB2912" i="1"/>
  <c r="CB2913" i="1"/>
  <c r="CB2914" i="1"/>
  <c r="CB2915" i="1"/>
  <c r="CB2916" i="1"/>
  <c r="CB2917" i="1"/>
  <c r="CB2918" i="1"/>
  <c r="CB2919" i="1"/>
  <c r="CB2920" i="1"/>
  <c r="CB2921" i="1"/>
  <c r="CB2923" i="1"/>
  <c r="CB2924" i="1"/>
  <c r="CB2925" i="1"/>
  <c r="CB2926" i="1"/>
  <c r="CB2927" i="1"/>
  <c r="CB2928" i="1"/>
  <c r="CB2929" i="1"/>
  <c r="CB2931" i="1"/>
  <c r="CB2933" i="1"/>
  <c r="CB2935" i="1"/>
  <c r="CB2936" i="1"/>
  <c r="CB2937" i="1"/>
  <c r="CB2938" i="1"/>
  <c r="CB2939" i="1"/>
  <c r="CB2940" i="1"/>
  <c r="CB2941" i="1"/>
  <c r="CB2942" i="1"/>
  <c r="CB2943" i="1"/>
  <c r="CB2944" i="1"/>
  <c r="CB2945" i="1"/>
  <c r="CB2946" i="1"/>
  <c r="CB2947" i="1"/>
  <c r="CB2948" i="1"/>
  <c r="CB2949" i="1"/>
  <c r="CB2950" i="1"/>
  <c r="CB2951" i="1"/>
  <c r="CB2952" i="1"/>
  <c r="CB2953" i="1"/>
  <c r="CB2954" i="1"/>
  <c r="CB2955" i="1"/>
  <c r="CB2956" i="1"/>
  <c r="CB2957" i="1"/>
  <c r="CB2958" i="1"/>
  <c r="CB2959" i="1"/>
  <c r="CB2960" i="1"/>
  <c r="CB2961" i="1"/>
  <c r="CB2962" i="1"/>
  <c r="CB2963" i="1"/>
  <c r="CB2964" i="1"/>
  <c r="CB2965" i="1"/>
  <c r="CB2966" i="1"/>
  <c r="CB2967" i="1"/>
  <c r="CB2968" i="1"/>
  <c r="CB2969" i="1"/>
  <c r="CB2970" i="1"/>
  <c r="CB2971" i="1"/>
  <c r="CB2972" i="1"/>
  <c r="CB2974" i="1"/>
  <c r="CB2975" i="1"/>
  <c r="CB2976" i="1"/>
  <c r="CB2980" i="1"/>
  <c r="CB2981" i="1"/>
  <c r="CB2982" i="1"/>
  <c r="CB2983" i="1"/>
  <c r="CB2984" i="1"/>
  <c r="CB2986" i="1"/>
  <c r="CB2987" i="1"/>
  <c r="CB2988" i="1"/>
  <c r="CB2989" i="1"/>
  <c r="CB2991" i="1"/>
  <c r="CB2994" i="1"/>
  <c r="CB2995" i="1"/>
  <c r="CB2996" i="1"/>
  <c r="CB2997" i="1"/>
  <c r="CB2998" i="1"/>
  <c r="CB2999" i="1"/>
  <c r="CB3000" i="1"/>
  <c r="CB3002" i="1"/>
  <c r="CB3003" i="1"/>
  <c r="CB3004" i="1"/>
  <c r="CB3005" i="1"/>
  <c r="CB3006" i="1"/>
  <c r="CB3007" i="1"/>
  <c r="CB3008" i="1"/>
  <c r="CB3009" i="1"/>
  <c r="CB3011" i="1"/>
  <c r="CB3016" i="1"/>
  <c r="CB3017" i="1"/>
  <c r="CB3018" i="1"/>
  <c r="CB3019" i="1"/>
  <c r="CB3020" i="1"/>
  <c r="CB3021" i="1"/>
  <c r="CB3022" i="1"/>
  <c r="CB3023" i="1"/>
  <c r="CB3024" i="1"/>
  <c r="CB3025" i="1"/>
  <c r="CB3027" i="1"/>
  <c r="CB3028" i="1"/>
  <c r="CB3029" i="1"/>
  <c r="CB3030" i="1"/>
  <c r="CB3031" i="1"/>
  <c r="CB3032" i="1"/>
  <c r="CB3033" i="1"/>
  <c r="CB3034" i="1"/>
  <c r="CB3035" i="1"/>
  <c r="CB3036" i="1"/>
  <c r="CB3037" i="1"/>
  <c r="CB3038" i="1"/>
  <c r="CB3039" i="1"/>
  <c r="CB3040" i="1"/>
  <c r="CB3041" i="1"/>
  <c r="CB3043" i="1"/>
  <c r="CB3044" i="1"/>
  <c r="CB3045" i="1"/>
  <c r="CB3046" i="1"/>
  <c r="CB3047" i="1"/>
  <c r="CB3048" i="1"/>
  <c r="CB3050" i="1"/>
  <c r="CB3051" i="1"/>
  <c r="CB3052" i="1"/>
  <c r="CB3053" i="1"/>
  <c r="CB3054" i="1"/>
  <c r="CB3056" i="1"/>
  <c r="CB3058" i="1"/>
  <c r="CB3059" i="1"/>
  <c r="CB3060" i="1"/>
  <c r="CB3061" i="1"/>
  <c r="CB3063" i="1"/>
  <c r="CB3064" i="1"/>
  <c r="CB3065" i="1"/>
  <c r="CB3066" i="1"/>
  <c r="CB3067" i="1"/>
  <c r="CB3068" i="1"/>
  <c r="CB3069" i="1"/>
  <c r="CB3070" i="1"/>
  <c r="CB3072" i="1"/>
  <c r="CB3073" i="1"/>
  <c r="CB3075" i="1"/>
  <c r="CB3077" i="1"/>
  <c r="CB3079" i="1"/>
  <c r="CB3080" i="1"/>
  <c r="CB3083" i="1"/>
  <c r="CB3084" i="1"/>
  <c r="CB3087" i="1"/>
  <c r="CB3088" i="1"/>
  <c r="CB3091" i="1"/>
  <c r="CB3092" i="1"/>
  <c r="CB3093" i="1"/>
  <c r="CB3094" i="1"/>
  <c r="CB3095" i="1"/>
  <c r="CB3096" i="1"/>
  <c r="CB3097" i="1"/>
  <c r="CB3098" i="1"/>
  <c r="CB3099" i="1"/>
  <c r="CB3100" i="1"/>
  <c r="CB3101" i="1"/>
  <c r="CB3102" i="1"/>
  <c r="CB3104" i="1"/>
  <c r="CB3105" i="1"/>
  <c r="CB3106" i="1"/>
  <c r="CB3107" i="1"/>
  <c r="CB3108" i="1"/>
  <c r="CB3110" i="1"/>
  <c r="CB3112" i="1"/>
  <c r="CB3113" i="1"/>
  <c r="CB3114" i="1"/>
  <c r="CB3115" i="1"/>
  <c r="CB3116" i="1"/>
  <c r="CB3117" i="1"/>
  <c r="CB3118" i="1"/>
  <c r="CB3119" i="1"/>
  <c r="CB3120" i="1"/>
  <c r="CB3121" i="1"/>
  <c r="CB3122" i="1"/>
  <c r="CB3124" i="1"/>
  <c r="CB3126" i="1"/>
  <c r="CB3127" i="1"/>
  <c r="CB3128" i="1"/>
  <c r="CB3130" i="1"/>
  <c r="CB3131" i="1"/>
  <c r="CB3132" i="1"/>
  <c r="CB3133" i="1"/>
  <c r="CB3135" i="1"/>
  <c r="CB3136" i="1"/>
  <c r="CB3137" i="1"/>
  <c r="CB3138" i="1"/>
  <c r="CB3139" i="1"/>
  <c r="CB3140" i="1"/>
  <c r="CB3141" i="1"/>
  <c r="CB3142" i="1"/>
  <c r="CB3143" i="1"/>
  <c r="CB3144" i="1"/>
  <c r="CB3145" i="1"/>
  <c r="CB3146" i="1"/>
  <c r="CB3147" i="1"/>
  <c r="CB3148" i="1"/>
  <c r="CB3150" i="1"/>
  <c r="CB3151" i="1"/>
  <c r="CB3152" i="1"/>
  <c r="CB3153" i="1"/>
  <c r="CB3154" i="1"/>
  <c r="CB3155" i="1"/>
  <c r="CB3156" i="1"/>
  <c r="CB3157" i="1"/>
  <c r="CB3158" i="1"/>
  <c r="CB3159" i="1"/>
  <c r="CB3160" i="1"/>
  <c r="CB3162" i="1"/>
  <c r="CB3164" i="1"/>
  <c r="CB3165" i="1"/>
  <c r="CB3166" i="1"/>
  <c r="CB3167" i="1"/>
  <c r="CB3168" i="1"/>
  <c r="CB3169" i="1"/>
  <c r="CB3171" i="1"/>
  <c r="CB3172" i="1"/>
  <c r="CB3173" i="1"/>
  <c r="CB3174" i="1"/>
  <c r="CB3175" i="1"/>
  <c r="CB3176" i="1"/>
  <c r="CB3178" i="1"/>
  <c r="CB3179" i="1"/>
  <c r="CB3180" i="1"/>
  <c r="CB3181" i="1"/>
  <c r="CB3182" i="1"/>
  <c r="CB3183" i="1"/>
  <c r="CB3184" i="1"/>
  <c r="CB3185" i="1"/>
  <c r="CB3186" i="1"/>
  <c r="CB3187" i="1"/>
  <c r="CB3189" i="1"/>
  <c r="CB3191" i="1"/>
  <c r="CB3192" i="1"/>
  <c r="CB3193" i="1"/>
  <c r="CB3194" i="1"/>
  <c r="CB3195" i="1"/>
  <c r="CB3197" i="1"/>
  <c r="CB3198" i="1"/>
  <c r="CB3199" i="1"/>
  <c r="CB3200" i="1"/>
  <c r="CB3202" i="1"/>
  <c r="CB3203" i="1"/>
  <c r="CB3204" i="1"/>
  <c r="CB3205" i="1"/>
  <c r="CB3206" i="1"/>
  <c r="CA407" i="1"/>
  <c r="CA920" i="1"/>
  <c r="CA2242" i="1"/>
  <c r="BJ2" i="1"/>
  <c r="BJ3204" i="1"/>
  <c r="BJ3203" i="1"/>
  <c r="BJ3202" i="1"/>
  <c r="BJ3201" i="1"/>
  <c r="BJ3200" i="1"/>
  <c r="BJ3199" i="1"/>
  <c r="BJ3196" i="1"/>
  <c r="BJ3195" i="1"/>
  <c r="BJ3194" i="1"/>
  <c r="BJ3193" i="1"/>
  <c r="BJ3192" i="1"/>
  <c r="BJ3191" i="1"/>
  <c r="BJ3190" i="1"/>
  <c r="BJ3189" i="1"/>
  <c r="BJ3188" i="1"/>
  <c r="BJ3185" i="1"/>
  <c r="BJ3179" i="1"/>
  <c r="BJ3178" i="1"/>
  <c r="BJ3177" i="1"/>
  <c r="BJ3176" i="1"/>
  <c r="BJ3175" i="1"/>
  <c r="BJ3173" i="1"/>
  <c r="BJ3172" i="1"/>
  <c r="BJ3171" i="1"/>
  <c r="BJ3170" i="1"/>
  <c r="BJ3168" i="1"/>
  <c r="BJ3165" i="1"/>
  <c r="BJ3163" i="1"/>
  <c r="BJ3162" i="1"/>
  <c r="BJ3161" i="1"/>
  <c r="BJ3157" i="1"/>
  <c r="BJ3156" i="1"/>
  <c r="BJ3155" i="1"/>
  <c r="BJ3149" i="1"/>
  <c r="BJ3148" i="1"/>
  <c r="BJ3146" i="1"/>
  <c r="BJ3140" i="1"/>
  <c r="BJ3138" i="1"/>
  <c r="BJ3135" i="1"/>
  <c r="BJ3134" i="1"/>
  <c r="BJ3133" i="1"/>
  <c r="BJ3132" i="1"/>
  <c r="BJ3130" i="1"/>
  <c r="BJ3129" i="1"/>
  <c r="BJ3128" i="1"/>
  <c r="BJ3127" i="1"/>
  <c r="BJ3126" i="1"/>
  <c r="BJ3125" i="1"/>
  <c r="BJ3123" i="1"/>
  <c r="BJ3122" i="1"/>
  <c r="BJ3120" i="1"/>
  <c r="BJ3119" i="1"/>
  <c r="BJ3118" i="1"/>
  <c r="BJ3116" i="1"/>
  <c r="BJ3115" i="1"/>
  <c r="BJ3114" i="1"/>
  <c r="BJ3113" i="1"/>
  <c r="BJ3112" i="1"/>
  <c r="BJ3111" i="1"/>
  <c r="BJ3110" i="1"/>
  <c r="BJ3109" i="1"/>
  <c r="BJ3108" i="1"/>
  <c r="BJ3106" i="1"/>
  <c r="BJ3104" i="1"/>
  <c r="BJ3103" i="1"/>
  <c r="BJ3101" i="1"/>
  <c r="BJ3100" i="1"/>
  <c r="BJ3092" i="1"/>
  <c r="BJ3091" i="1"/>
  <c r="BJ3090" i="1"/>
  <c r="BJ3088" i="1"/>
  <c r="BJ3087" i="1"/>
  <c r="BJ3086" i="1"/>
  <c r="BJ3085" i="1"/>
  <c r="BJ3082" i="1"/>
  <c r="BJ3080" i="1"/>
  <c r="BJ3078" i="1"/>
  <c r="BJ3077" i="1"/>
  <c r="BJ3076" i="1"/>
  <c r="BJ3070" i="1"/>
  <c r="BJ3069" i="1"/>
  <c r="BJ3068" i="1"/>
  <c r="BJ3065" i="1"/>
  <c r="BJ3062" i="1"/>
  <c r="BJ3060" i="1"/>
  <c r="BJ3059" i="1"/>
  <c r="BJ3057" i="1"/>
  <c r="BJ3055" i="1"/>
  <c r="BJ3053" i="1"/>
  <c r="BJ3052" i="1"/>
  <c r="BJ3050" i="1"/>
  <c r="BJ3049" i="1"/>
  <c r="BJ3047" i="1"/>
  <c r="BJ3042" i="1"/>
  <c r="BJ3041" i="1"/>
  <c r="BJ3036" i="1"/>
  <c r="BJ3035" i="1"/>
  <c r="BJ3034" i="1"/>
  <c r="BJ3033" i="1"/>
  <c r="BJ3030" i="1"/>
  <c r="BJ3026" i="1"/>
  <c r="BJ3024" i="1"/>
  <c r="BJ3022" i="1"/>
  <c r="BJ3021" i="1"/>
  <c r="BJ3020" i="1"/>
  <c r="BJ3018" i="1"/>
  <c r="BJ3016" i="1"/>
  <c r="BJ3014" i="1"/>
  <c r="BJ3013" i="1"/>
  <c r="BJ3012" i="1"/>
  <c r="BJ3010" i="1"/>
  <c r="BJ3007" i="1"/>
  <c r="BJ3005" i="1"/>
  <c r="BJ3001" i="1"/>
  <c r="BJ2995" i="1"/>
  <c r="BJ2992" i="1"/>
  <c r="BJ2991" i="1"/>
  <c r="BJ2990" i="1"/>
  <c r="BJ2985" i="1"/>
  <c r="BJ2982" i="1"/>
  <c r="BJ2981" i="1"/>
  <c r="BJ2979" i="1"/>
  <c r="BJ2978" i="1"/>
  <c r="BJ2977" i="1"/>
  <c r="BJ2976" i="1"/>
  <c r="BJ2973" i="1"/>
  <c r="BJ2971" i="1"/>
  <c r="BJ2970" i="1"/>
  <c r="BJ2966" i="1"/>
  <c r="BJ2959" i="1"/>
  <c r="BJ2957" i="1"/>
  <c r="BJ2956" i="1"/>
  <c r="BJ2954" i="1"/>
  <c r="BJ2952" i="1"/>
  <c r="BJ2949" i="1"/>
  <c r="BJ2948" i="1"/>
  <c r="BJ2942" i="1"/>
  <c r="BJ2941" i="1"/>
  <c r="BJ2940" i="1"/>
  <c r="BJ2936" i="1"/>
  <c r="BJ2935" i="1"/>
  <c r="BJ2934" i="1"/>
  <c r="BJ2930" i="1"/>
  <c r="BJ2928" i="1"/>
  <c r="BJ2927" i="1"/>
  <c r="BJ2926" i="1"/>
  <c r="BJ2925" i="1"/>
  <c r="BJ2923" i="1"/>
  <c r="BJ2922" i="1"/>
  <c r="BJ2917" i="1"/>
  <c r="BJ2916" i="1"/>
  <c r="BJ2911" i="1"/>
  <c r="BJ2910" i="1"/>
  <c r="BJ2909" i="1"/>
  <c r="BJ2908" i="1"/>
  <c r="BJ2905" i="1"/>
  <c r="BJ2904" i="1"/>
  <c r="BJ2901" i="1"/>
  <c r="BJ2898" i="1"/>
  <c r="BJ2897" i="1"/>
  <c r="BJ2895" i="1"/>
  <c r="BJ2894" i="1"/>
  <c r="BJ2890" i="1"/>
  <c r="BJ2889" i="1"/>
  <c r="BJ2887" i="1"/>
  <c r="BJ2886" i="1"/>
  <c r="BJ2885" i="1"/>
  <c r="BJ2884" i="1"/>
  <c r="BJ2883" i="1"/>
  <c r="BJ2881" i="1"/>
  <c r="BJ2879" i="1"/>
  <c r="BJ2874" i="1"/>
  <c r="BJ2873" i="1"/>
  <c r="BJ2872" i="1"/>
  <c r="BJ2871" i="1"/>
  <c r="BJ2867" i="1"/>
  <c r="BJ2866" i="1"/>
  <c r="BJ2861" i="1"/>
  <c r="BJ2859" i="1"/>
  <c r="BJ2858" i="1"/>
  <c r="BJ2857" i="1"/>
  <c r="BJ2856" i="1"/>
  <c r="BJ2850" i="1"/>
  <c r="BJ2849" i="1"/>
  <c r="BJ2846" i="1"/>
  <c r="BJ2845" i="1"/>
  <c r="BJ2844" i="1"/>
  <c r="BJ2840" i="1"/>
  <c r="BJ2839" i="1"/>
  <c r="BJ2838" i="1"/>
  <c r="BJ2837" i="1"/>
  <c r="BJ2836" i="1"/>
  <c r="BJ2835" i="1"/>
  <c r="BJ2831" i="1"/>
  <c r="BJ2830" i="1"/>
  <c r="BJ2829" i="1"/>
  <c r="BJ2826" i="1"/>
  <c r="BJ2825" i="1"/>
  <c r="BJ2823" i="1"/>
  <c r="BJ2820" i="1"/>
  <c r="BJ2819" i="1"/>
  <c r="BJ2818" i="1"/>
  <c r="BJ2815" i="1"/>
  <c r="BJ2814" i="1"/>
  <c r="BJ2813" i="1"/>
  <c r="BJ2812" i="1"/>
  <c r="BJ2810" i="1"/>
  <c r="BJ2809" i="1"/>
  <c r="BJ2805" i="1"/>
  <c r="BJ2803" i="1"/>
  <c r="BJ2800" i="1"/>
  <c r="BJ2799" i="1"/>
  <c r="BJ2797" i="1"/>
  <c r="BJ2796" i="1"/>
  <c r="BJ2794" i="1"/>
  <c r="BJ2792" i="1"/>
  <c r="BJ2788" i="1"/>
  <c r="BJ2787" i="1"/>
  <c r="BJ2786" i="1"/>
  <c r="BJ2785" i="1"/>
  <c r="BJ2781" i="1"/>
  <c r="BJ2779" i="1"/>
  <c r="BJ2776" i="1"/>
  <c r="BJ2775" i="1"/>
  <c r="BJ2773" i="1"/>
  <c r="BJ2771" i="1"/>
  <c r="BJ2770" i="1"/>
  <c r="BJ2768" i="1"/>
  <c r="BJ2767" i="1"/>
  <c r="BJ2766" i="1"/>
  <c r="BJ2764" i="1"/>
  <c r="BJ2759" i="1"/>
  <c r="BJ2756" i="1"/>
  <c r="BJ2753" i="1"/>
  <c r="BJ2752" i="1"/>
  <c r="BJ2751" i="1"/>
  <c r="BJ2749" i="1"/>
  <c r="BJ2748" i="1"/>
  <c r="BJ2746" i="1"/>
  <c r="BJ2745" i="1"/>
  <c r="BJ2739" i="1"/>
  <c r="BJ2737" i="1"/>
  <c r="BJ2736" i="1"/>
  <c r="BJ2735" i="1"/>
  <c r="BJ2733" i="1"/>
  <c r="BJ2730" i="1"/>
  <c r="BJ2727" i="1"/>
  <c r="BJ2725" i="1"/>
  <c r="BJ2722" i="1"/>
  <c r="BJ2721" i="1"/>
  <c r="BJ2719" i="1"/>
  <c r="BJ2718" i="1"/>
  <c r="BJ2713" i="1"/>
  <c r="BJ2711" i="1"/>
  <c r="BJ2709" i="1"/>
  <c r="BJ2707" i="1"/>
  <c r="BJ2706" i="1"/>
  <c r="BJ2697" i="1"/>
  <c r="BJ2694" i="1"/>
  <c r="BJ2693" i="1"/>
  <c r="BJ2690" i="1"/>
  <c r="BJ2689" i="1"/>
  <c r="BJ2688" i="1"/>
  <c r="BJ2687" i="1"/>
  <c r="BJ2682" i="1"/>
  <c r="BJ2680" i="1"/>
  <c r="BJ2673" i="1"/>
  <c r="BJ2671" i="1"/>
  <c r="BJ2670" i="1"/>
  <c r="BJ2667" i="1"/>
  <c r="BJ2666" i="1"/>
  <c r="BJ2665" i="1"/>
  <c r="BJ2662" i="1"/>
  <c r="BJ2661" i="1"/>
  <c r="BJ2660" i="1"/>
  <c r="BJ2659" i="1"/>
  <c r="BJ2658" i="1"/>
  <c r="BJ2657" i="1"/>
  <c r="BJ2656" i="1"/>
  <c r="BJ2655" i="1"/>
  <c r="BJ2654" i="1"/>
  <c r="BJ2652" i="1"/>
  <c r="BJ2651" i="1"/>
  <c r="BJ2648" i="1"/>
  <c r="BJ2647" i="1"/>
  <c r="BJ2646" i="1"/>
  <c r="BJ2645" i="1"/>
  <c r="BJ2641" i="1"/>
  <c r="BJ2640" i="1"/>
  <c r="BJ2639" i="1"/>
  <c r="BJ2637" i="1"/>
  <c r="BJ2635" i="1"/>
  <c r="BJ2634" i="1"/>
  <c r="BJ2629" i="1"/>
  <c r="BJ2625" i="1"/>
  <c r="BJ2624" i="1"/>
  <c r="BJ2623" i="1"/>
  <c r="BJ2622" i="1"/>
  <c r="BJ2621" i="1"/>
  <c r="BJ2619" i="1"/>
  <c r="BJ2618" i="1"/>
  <c r="BJ2614" i="1"/>
  <c r="BJ2612" i="1"/>
  <c r="BJ2611" i="1"/>
  <c r="BJ2609" i="1"/>
  <c r="BJ2608" i="1"/>
  <c r="BJ2606" i="1"/>
  <c r="BJ2605" i="1"/>
  <c r="BJ2604" i="1"/>
  <c r="BJ2603" i="1"/>
  <c r="BJ2602" i="1"/>
  <c r="BJ2601" i="1"/>
  <c r="BJ2600" i="1"/>
  <c r="BJ2597" i="1"/>
  <c r="BJ2595" i="1"/>
  <c r="BJ2594" i="1"/>
  <c r="BJ2592" i="1"/>
  <c r="BJ2590" i="1"/>
  <c r="BJ2588" i="1"/>
  <c r="BJ2587" i="1"/>
  <c r="BJ2584" i="1"/>
  <c r="BJ2583" i="1"/>
  <c r="BJ2582" i="1"/>
  <c r="BJ2581" i="1"/>
  <c r="BJ2579" i="1"/>
  <c r="BJ2577" i="1"/>
  <c r="BJ2575" i="1"/>
  <c r="BJ2574" i="1"/>
  <c r="BJ2573" i="1"/>
  <c r="BJ2572" i="1"/>
  <c r="BJ2571" i="1"/>
  <c r="BJ2570" i="1"/>
  <c r="BJ2565" i="1"/>
  <c r="BJ2564" i="1"/>
  <c r="BJ2563" i="1"/>
  <c r="BJ2562" i="1"/>
  <c r="BJ2559" i="1"/>
  <c r="BJ2556" i="1"/>
  <c r="BJ2555" i="1"/>
  <c r="BJ2554" i="1"/>
  <c r="BJ2551" i="1"/>
  <c r="BJ2548" i="1"/>
  <c r="BJ2547" i="1"/>
  <c r="BJ2545" i="1"/>
  <c r="BJ2542" i="1"/>
  <c r="BJ2539" i="1"/>
  <c r="BJ2537" i="1"/>
  <c r="BJ2536" i="1"/>
  <c r="BJ2535" i="1"/>
  <c r="BJ2534" i="1"/>
  <c r="BJ2533" i="1"/>
  <c r="BJ2532" i="1"/>
  <c r="BJ2527" i="1"/>
  <c r="BJ2522" i="1"/>
  <c r="BJ2519" i="1"/>
  <c r="BJ2514" i="1"/>
  <c r="BJ2510" i="1"/>
  <c r="BJ2504" i="1"/>
  <c r="BJ2503" i="1"/>
  <c r="BJ2501" i="1"/>
  <c r="BJ2495" i="1"/>
  <c r="BJ2493" i="1"/>
  <c r="BJ2492" i="1"/>
  <c r="BJ2491" i="1"/>
  <c r="BJ2490" i="1"/>
  <c r="BJ2485" i="1"/>
  <c r="BJ2474" i="1"/>
  <c r="BJ2471" i="1"/>
  <c r="BJ2470" i="1"/>
  <c r="BJ2466" i="1"/>
  <c r="BJ2465" i="1"/>
  <c r="BJ2463" i="1"/>
  <c r="BJ2461" i="1"/>
  <c r="BJ2460" i="1"/>
  <c r="BJ2455" i="1"/>
  <c r="BJ2453" i="1"/>
  <c r="BJ2451" i="1"/>
  <c r="BJ2448" i="1"/>
  <c r="BJ2447" i="1"/>
  <c r="BJ2446" i="1"/>
  <c r="BJ2440" i="1"/>
  <c r="BJ2435" i="1"/>
  <c r="BJ2430" i="1"/>
  <c r="BJ2429" i="1"/>
  <c r="BJ2425" i="1"/>
  <c r="BJ2422" i="1"/>
  <c r="BJ2421" i="1"/>
  <c r="BJ2420" i="1"/>
  <c r="BJ2419" i="1"/>
  <c r="BJ2417" i="1"/>
  <c r="BJ2407" i="1"/>
  <c r="BJ2402" i="1"/>
  <c r="BJ2400" i="1"/>
  <c r="BJ2398" i="1"/>
  <c r="BJ2397" i="1"/>
  <c r="BJ2392" i="1"/>
  <c r="BJ2390" i="1"/>
  <c r="BJ2388" i="1"/>
  <c r="BJ2385" i="1"/>
  <c r="BJ2384" i="1"/>
  <c r="BJ2378" i="1"/>
  <c r="BJ2374" i="1"/>
  <c r="BJ2372" i="1"/>
  <c r="BJ2370" i="1"/>
  <c r="BJ2364" i="1"/>
  <c r="BJ2359" i="1"/>
  <c r="BJ2356" i="1"/>
  <c r="BJ2350" i="1"/>
  <c r="BJ2344" i="1"/>
  <c r="BJ2343" i="1"/>
  <c r="BJ2339" i="1"/>
  <c r="BJ2338" i="1"/>
  <c r="BJ2333" i="1"/>
  <c r="BJ2331" i="1"/>
  <c r="BJ2329" i="1"/>
  <c r="BJ2328" i="1"/>
  <c r="BJ2327" i="1"/>
  <c r="BJ2322" i="1"/>
  <c r="BJ2321" i="1"/>
  <c r="BJ2318" i="1"/>
  <c r="BJ2313" i="1"/>
  <c r="BJ2312" i="1"/>
  <c r="BJ2310" i="1"/>
  <c r="BJ2309" i="1"/>
  <c r="BJ2308" i="1"/>
  <c r="BJ2306" i="1"/>
  <c r="BJ2305" i="1"/>
  <c r="BJ2303" i="1"/>
  <c r="BJ2300" i="1"/>
  <c r="BJ2296" i="1"/>
  <c r="BJ2293" i="1"/>
  <c r="BJ2291" i="1"/>
  <c r="BJ2285" i="1"/>
  <c r="BJ2280" i="1"/>
  <c r="BJ2279" i="1"/>
  <c r="BJ2278" i="1"/>
  <c r="BJ2276" i="1"/>
  <c r="BJ2274" i="1"/>
  <c r="BJ2273" i="1"/>
  <c r="BJ2272" i="1"/>
  <c r="BJ2270" i="1"/>
  <c r="BJ2269" i="1"/>
  <c r="BJ2265" i="1"/>
  <c r="BJ2262" i="1"/>
  <c r="BJ2261" i="1"/>
  <c r="BJ2260" i="1"/>
  <c r="BJ2259" i="1"/>
  <c r="BJ2258" i="1"/>
  <c r="BJ2256" i="1"/>
  <c r="BJ2252" i="1"/>
  <c r="BJ2250" i="1"/>
  <c r="BJ2248" i="1"/>
  <c r="BJ2247" i="1"/>
  <c r="BJ2245" i="1"/>
  <c r="BJ2244" i="1"/>
  <c r="BJ2243" i="1"/>
  <c r="BJ2242" i="1"/>
  <c r="BJ2240" i="1"/>
  <c r="BJ2237" i="1"/>
  <c r="BJ2236" i="1"/>
  <c r="BJ2234" i="1"/>
  <c r="BJ2232" i="1"/>
  <c r="BJ2231" i="1"/>
  <c r="BJ2229" i="1"/>
  <c r="BJ2225" i="1"/>
  <c r="BJ2224" i="1"/>
  <c r="BJ2220" i="1"/>
  <c r="BJ2218" i="1"/>
  <c r="BJ2217" i="1"/>
  <c r="BJ2213" i="1"/>
  <c r="BJ2211" i="1"/>
  <c r="BJ2210" i="1"/>
  <c r="BJ2209" i="1"/>
  <c r="BJ2205" i="1"/>
  <c r="BJ2204" i="1"/>
  <c r="BJ2202" i="1"/>
  <c r="BJ2198" i="1"/>
  <c r="BJ2194" i="1"/>
  <c r="BJ2192" i="1"/>
  <c r="BJ2189" i="1"/>
  <c r="BJ2187" i="1"/>
  <c r="BJ2178" i="1"/>
  <c r="BJ2177" i="1"/>
  <c r="BJ2176" i="1"/>
  <c r="BJ2175" i="1"/>
  <c r="BJ2174" i="1"/>
  <c r="BJ2160" i="1"/>
  <c r="BJ2159" i="1"/>
  <c r="BJ2157" i="1"/>
  <c r="BJ2154" i="1"/>
  <c r="BJ2146" i="1"/>
  <c r="BJ2144" i="1"/>
  <c r="BJ2142" i="1"/>
  <c r="BJ2137" i="1"/>
  <c r="BJ2134" i="1"/>
  <c r="BJ2132" i="1"/>
  <c r="BJ2131" i="1"/>
  <c r="BJ2126" i="1"/>
  <c r="BJ2125" i="1"/>
  <c r="BJ2124" i="1"/>
  <c r="BJ2123" i="1"/>
  <c r="BJ2121" i="1"/>
  <c r="BJ2120" i="1"/>
  <c r="BJ2117" i="1"/>
  <c r="BJ2106" i="1"/>
  <c r="BJ2105" i="1"/>
  <c r="BJ2103" i="1"/>
  <c r="BJ2102" i="1"/>
  <c r="BJ2097" i="1"/>
  <c r="BJ2095" i="1"/>
  <c r="BJ2091" i="1"/>
  <c r="BJ2088" i="1"/>
  <c r="BJ2087" i="1"/>
  <c r="BJ2086" i="1"/>
  <c r="BJ2085" i="1"/>
  <c r="BJ2084" i="1"/>
  <c r="BJ2082" i="1"/>
  <c r="BJ2081" i="1"/>
  <c r="BJ2080" i="1"/>
  <c r="BJ2079" i="1"/>
  <c r="BJ2078" i="1"/>
  <c r="BJ2075" i="1"/>
  <c r="BJ2073" i="1"/>
  <c r="BJ2066" i="1"/>
  <c r="BJ2064" i="1"/>
  <c r="BJ2062" i="1"/>
  <c r="BJ2059" i="1"/>
  <c r="BJ2055" i="1"/>
  <c r="BJ2054" i="1"/>
  <c r="BJ2052" i="1"/>
  <c r="BJ2048" i="1"/>
  <c r="BJ2047" i="1"/>
  <c r="BJ2046" i="1"/>
  <c r="BJ2045" i="1"/>
  <c r="BJ2043" i="1"/>
  <c r="BJ2037" i="1"/>
  <c r="BJ2036" i="1"/>
  <c r="BJ2034" i="1"/>
  <c r="BJ2033" i="1"/>
  <c r="BJ2031" i="1"/>
  <c r="BJ2030" i="1"/>
  <c r="BJ2027" i="1"/>
  <c r="BJ2025" i="1"/>
  <c r="BJ2017" i="1"/>
  <c r="BJ2016" i="1"/>
  <c r="BJ2012" i="1"/>
  <c r="BJ2008" i="1"/>
  <c r="BJ2006" i="1"/>
  <c r="BJ2004" i="1"/>
  <c r="BJ2002" i="1"/>
  <c r="BJ1998" i="1"/>
  <c r="BJ1994" i="1"/>
  <c r="BJ1993" i="1"/>
  <c r="BJ1989" i="1"/>
  <c r="BJ1988" i="1"/>
  <c r="BJ1985" i="1"/>
  <c r="BJ1984" i="1"/>
  <c r="BJ1983" i="1"/>
  <c r="BJ1981" i="1"/>
  <c r="BJ1980" i="1"/>
  <c r="BJ1978" i="1"/>
  <c r="BJ1977" i="1"/>
  <c r="BJ1976" i="1"/>
  <c r="BJ1974" i="1"/>
  <c r="BJ1973" i="1"/>
  <c r="BJ1968" i="1"/>
  <c r="BJ1967" i="1"/>
  <c r="BJ1966" i="1"/>
  <c r="BJ1961" i="1"/>
  <c r="BJ1959" i="1"/>
  <c r="BJ1952" i="1"/>
  <c r="BJ1951" i="1"/>
  <c r="BJ1940" i="1"/>
  <c r="BJ1938" i="1"/>
  <c r="BJ1936" i="1"/>
  <c r="BJ1935" i="1"/>
  <c r="BJ1934" i="1"/>
  <c r="BJ1932" i="1"/>
  <c r="BJ1929" i="1"/>
  <c r="BJ1928" i="1"/>
  <c r="BJ1922" i="1"/>
  <c r="BJ1921" i="1"/>
  <c r="BJ1912" i="1"/>
  <c r="BJ1911" i="1"/>
  <c r="BJ1910" i="1"/>
  <c r="BJ1908" i="1"/>
  <c r="BJ1907" i="1"/>
  <c r="BJ1906" i="1"/>
  <c r="BJ1905" i="1"/>
  <c r="BJ1903" i="1"/>
  <c r="BJ1900" i="1"/>
  <c r="BJ1898" i="1"/>
  <c r="BJ1896" i="1"/>
  <c r="BJ1895" i="1"/>
  <c r="BJ1894" i="1"/>
  <c r="BJ1891" i="1"/>
  <c r="BJ1890" i="1"/>
  <c r="BJ1884" i="1"/>
  <c r="BJ1883" i="1"/>
  <c r="BJ1876" i="1"/>
  <c r="BJ1873" i="1"/>
  <c r="BJ1872" i="1"/>
  <c r="BJ1868" i="1"/>
  <c r="BJ1867" i="1"/>
  <c r="BJ1866" i="1"/>
  <c r="BJ1863" i="1"/>
  <c r="BJ1862" i="1"/>
  <c r="BJ1860" i="1"/>
  <c r="BJ1858" i="1"/>
  <c r="BJ1857" i="1"/>
  <c r="BJ1856" i="1"/>
  <c r="BJ1855" i="1"/>
  <c r="BJ1852" i="1"/>
  <c r="BJ1851" i="1"/>
  <c r="BJ1845" i="1"/>
  <c r="BJ1839" i="1"/>
  <c r="BJ1837" i="1"/>
  <c r="BJ1835" i="1"/>
  <c r="BJ1834" i="1"/>
  <c r="BJ1831" i="1"/>
  <c r="BJ1829" i="1"/>
  <c r="BJ1828" i="1"/>
  <c r="BJ1827" i="1"/>
  <c r="BJ1825" i="1"/>
  <c r="BJ1824" i="1"/>
  <c r="BJ1819" i="1"/>
  <c r="BJ1818" i="1"/>
  <c r="BJ1817" i="1"/>
  <c r="BJ1816" i="1"/>
  <c r="BJ1815" i="1"/>
  <c r="BJ1813" i="1"/>
  <c r="BJ1812" i="1"/>
  <c r="BJ1810" i="1"/>
  <c r="BJ1808" i="1"/>
  <c r="BJ1807" i="1"/>
  <c r="BJ1806" i="1"/>
  <c r="BJ1803" i="1"/>
  <c r="BJ1798" i="1"/>
  <c r="BJ1793" i="1"/>
  <c r="BJ1789" i="1"/>
  <c r="BJ1770" i="1"/>
  <c r="BJ1769" i="1"/>
  <c r="BJ1768" i="1"/>
  <c r="BJ1765" i="1"/>
  <c r="BJ1763" i="1"/>
  <c r="BJ1759" i="1"/>
  <c r="BJ1751" i="1"/>
  <c r="BJ1750" i="1"/>
  <c r="BJ1748" i="1"/>
  <c r="BJ1747" i="1"/>
  <c r="BJ1745" i="1"/>
  <c r="BJ1741" i="1"/>
  <c r="BJ1740" i="1"/>
  <c r="BJ1739" i="1"/>
  <c r="BJ1738" i="1"/>
  <c r="BJ1736" i="1"/>
  <c r="BJ1735" i="1"/>
  <c r="BJ1733" i="1"/>
  <c r="BJ1731" i="1"/>
  <c r="BJ1728" i="1"/>
  <c r="BJ1727" i="1"/>
  <c r="BJ1726" i="1"/>
  <c r="BJ1725" i="1"/>
  <c r="BJ1723" i="1"/>
  <c r="BJ1720" i="1"/>
  <c r="BJ1718" i="1"/>
  <c r="BJ1713" i="1"/>
  <c r="BJ1712" i="1"/>
  <c r="BJ1708" i="1"/>
  <c r="BJ1706" i="1"/>
  <c r="BJ1704" i="1"/>
  <c r="BJ1702" i="1"/>
  <c r="BJ1701" i="1"/>
  <c r="BJ1700" i="1"/>
  <c r="BJ1699" i="1"/>
  <c r="BJ1697" i="1"/>
  <c r="BJ1696" i="1"/>
  <c r="BJ1695" i="1"/>
  <c r="BJ1693" i="1"/>
  <c r="BJ1689" i="1"/>
  <c r="BJ1687" i="1"/>
  <c r="BJ1685" i="1"/>
  <c r="BJ1683" i="1"/>
  <c r="BJ1682" i="1"/>
  <c r="BJ1680" i="1"/>
  <c r="BJ1679" i="1"/>
  <c r="BJ1676" i="1"/>
  <c r="BJ1675" i="1"/>
  <c r="BJ1673" i="1"/>
  <c r="BJ1670" i="1"/>
  <c r="BJ1669" i="1"/>
  <c r="BJ1666" i="1"/>
  <c r="BJ1664" i="1"/>
  <c r="BJ1660" i="1"/>
  <c r="BJ1658" i="1"/>
  <c r="BJ1656" i="1"/>
  <c r="BJ1652" i="1"/>
  <c r="BJ1651" i="1"/>
  <c r="BJ1650" i="1"/>
  <c r="BJ1648" i="1"/>
  <c r="BJ1647" i="1"/>
  <c r="BJ1646" i="1"/>
  <c r="BJ1645" i="1"/>
  <c r="BJ1638" i="1"/>
  <c r="BJ1637" i="1"/>
  <c r="BJ1636" i="1"/>
  <c r="BJ1633" i="1"/>
  <c r="BJ1623" i="1"/>
  <c r="BJ1622" i="1"/>
  <c r="BJ1620" i="1"/>
  <c r="BJ1618" i="1"/>
  <c r="BJ1616" i="1"/>
  <c r="BJ1613" i="1"/>
  <c r="BJ1612" i="1"/>
  <c r="BJ1608" i="1"/>
  <c r="BJ1606" i="1"/>
  <c r="BJ1603" i="1"/>
  <c r="BJ1597" i="1"/>
  <c r="BJ1592" i="1"/>
  <c r="BJ1590" i="1"/>
  <c r="BJ1589" i="1"/>
  <c r="BJ1588" i="1"/>
  <c r="BJ1587" i="1"/>
  <c r="BJ1584" i="1"/>
  <c r="BJ1583" i="1"/>
  <c r="BJ1578" i="1"/>
  <c r="BJ1577" i="1"/>
  <c r="BJ1574" i="1"/>
  <c r="BJ1572" i="1"/>
  <c r="BJ1571" i="1"/>
  <c r="BJ1568" i="1"/>
  <c r="BJ1566" i="1"/>
  <c r="BJ1565" i="1"/>
  <c r="BJ1564" i="1"/>
  <c r="BJ1562" i="1"/>
  <c r="BJ1560" i="1"/>
  <c r="BJ1559" i="1"/>
  <c r="BJ1556" i="1"/>
  <c r="BJ1555" i="1"/>
  <c r="BJ1553" i="1"/>
  <c r="BJ1552" i="1"/>
  <c r="BJ1551" i="1"/>
  <c r="BJ1550" i="1"/>
  <c r="BJ1543" i="1"/>
  <c r="BJ1533" i="1"/>
  <c r="BJ1531" i="1"/>
  <c r="BJ1529" i="1"/>
  <c r="BJ1527" i="1"/>
  <c r="BJ1526" i="1"/>
  <c r="BJ1525" i="1"/>
  <c r="BJ1522" i="1"/>
  <c r="BJ1521" i="1"/>
  <c r="BJ1520" i="1"/>
  <c r="BJ1515" i="1"/>
  <c r="BJ1514" i="1"/>
  <c r="BJ1510" i="1"/>
  <c r="BJ1504" i="1"/>
  <c r="BJ1503" i="1"/>
  <c r="BJ1501" i="1"/>
  <c r="BJ1491" i="1"/>
  <c r="BJ1487" i="1"/>
  <c r="BJ1485" i="1"/>
  <c r="BJ1484" i="1"/>
  <c r="BJ1482" i="1"/>
  <c r="BJ1480" i="1"/>
  <c r="BJ1478" i="1"/>
  <c r="BJ1477" i="1"/>
  <c r="BJ1475" i="1"/>
  <c r="BJ1473" i="1"/>
  <c r="BJ1472" i="1"/>
  <c r="BJ1471" i="1"/>
  <c r="BJ1467" i="1"/>
  <c r="BJ1466" i="1"/>
  <c r="BJ1465" i="1"/>
  <c r="BJ1463" i="1"/>
  <c r="BJ1460" i="1"/>
  <c r="BJ1457" i="1"/>
  <c r="BJ1456" i="1"/>
  <c r="BJ1455" i="1"/>
  <c r="BJ1453" i="1"/>
  <c r="BJ1452" i="1"/>
  <c r="BJ1450" i="1"/>
  <c r="BJ1445" i="1"/>
  <c r="BJ1444" i="1"/>
  <c r="BJ1441" i="1"/>
  <c r="BJ1439" i="1"/>
  <c r="BJ1437" i="1"/>
  <c r="BJ1436" i="1"/>
  <c r="BJ1433" i="1"/>
  <c r="BJ1431" i="1"/>
  <c r="BJ1430" i="1"/>
  <c r="BJ1428" i="1"/>
  <c r="BJ1427" i="1"/>
  <c r="BJ1426" i="1"/>
  <c r="BJ1423" i="1"/>
  <c r="BJ1421" i="1"/>
  <c r="BJ1417" i="1"/>
  <c r="BJ1412" i="1"/>
  <c r="BJ1411" i="1"/>
  <c r="BJ1410" i="1"/>
  <c r="BJ1408" i="1"/>
  <c r="BJ1405" i="1"/>
  <c r="BJ1403" i="1"/>
  <c r="BJ1402" i="1"/>
  <c r="BJ1395" i="1"/>
  <c r="BJ1383" i="1"/>
  <c r="BJ1382" i="1"/>
  <c r="BJ1381" i="1"/>
  <c r="BJ1376" i="1"/>
  <c r="BJ1369" i="1"/>
  <c r="BJ1367" i="1"/>
  <c r="BJ1366" i="1"/>
  <c r="BJ1364" i="1"/>
  <c r="BJ1363" i="1"/>
  <c r="BJ1361" i="1"/>
  <c r="BJ1360" i="1"/>
  <c r="BJ1359" i="1"/>
  <c r="BJ1358" i="1"/>
  <c r="BJ1348" i="1"/>
  <c r="BJ1347" i="1"/>
  <c r="BJ1346" i="1"/>
  <c r="BJ1342" i="1"/>
  <c r="BJ1341" i="1"/>
  <c r="BJ1336" i="1"/>
  <c r="BJ1332" i="1"/>
  <c r="BJ1331" i="1"/>
  <c r="BJ1322" i="1"/>
  <c r="BJ1321" i="1"/>
  <c r="BJ1320" i="1"/>
  <c r="BJ1319" i="1"/>
  <c r="BJ1318" i="1"/>
  <c r="BJ1314" i="1"/>
  <c r="BJ1310" i="1"/>
  <c r="BJ1309" i="1"/>
  <c r="BJ1308" i="1"/>
  <c r="BJ1306" i="1"/>
  <c r="BJ1305" i="1"/>
  <c r="BJ1301" i="1"/>
  <c r="BJ1299" i="1"/>
  <c r="BJ1297" i="1"/>
  <c r="BJ1295" i="1"/>
  <c r="BJ1293" i="1"/>
  <c r="BJ1292" i="1"/>
  <c r="BJ1290" i="1"/>
  <c r="BJ1288" i="1"/>
  <c r="BJ1287" i="1"/>
  <c r="BJ1285" i="1"/>
  <c r="BJ1281" i="1"/>
  <c r="BJ1280" i="1"/>
  <c r="BJ1278" i="1"/>
  <c r="BJ1277" i="1"/>
  <c r="BJ1273" i="1"/>
  <c r="BJ1272" i="1"/>
  <c r="BJ1269" i="1"/>
  <c r="BJ1263" i="1"/>
  <c r="BJ1262" i="1"/>
  <c r="BJ1259" i="1"/>
  <c r="BJ1257" i="1"/>
  <c r="BJ1253" i="1"/>
  <c r="BJ1252" i="1"/>
  <c r="BJ1251" i="1"/>
  <c r="BJ1250" i="1"/>
  <c r="BJ1249" i="1"/>
  <c r="BJ1247" i="1"/>
  <c r="BJ1246" i="1"/>
  <c r="BJ1237" i="1"/>
  <c r="BJ1235" i="1"/>
  <c r="BJ1233" i="1"/>
  <c r="BJ1220" i="1"/>
  <c r="BJ1219" i="1"/>
  <c r="BJ1215" i="1"/>
  <c r="BJ1212" i="1"/>
  <c r="BJ1211" i="1"/>
  <c r="BJ1209" i="1"/>
  <c r="BJ1206" i="1"/>
  <c r="BJ1205" i="1"/>
  <c r="BJ1204" i="1"/>
  <c r="BJ1197" i="1"/>
  <c r="BJ1192" i="1"/>
  <c r="BJ1186" i="1"/>
  <c r="BJ1185" i="1"/>
  <c r="BJ1184" i="1"/>
  <c r="BJ1183" i="1"/>
  <c r="BJ1174" i="1"/>
  <c r="BJ1172" i="1"/>
  <c r="BJ1171" i="1"/>
  <c r="BJ1165" i="1"/>
  <c r="BJ1162" i="1"/>
  <c r="BJ1158" i="1"/>
  <c r="BJ1155" i="1"/>
  <c r="BJ1152" i="1"/>
  <c r="BJ1151" i="1"/>
  <c r="BJ1148" i="1"/>
  <c r="BJ1147" i="1"/>
  <c r="BJ1143" i="1"/>
  <c r="BJ1142" i="1"/>
  <c r="BJ1141" i="1"/>
  <c r="BJ1139" i="1"/>
  <c r="BJ1137" i="1"/>
  <c r="BJ1136" i="1"/>
  <c r="BJ1131" i="1"/>
  <c r="BJ1126" i="1"/>
  <c r="BJ1122" i="1"/>
  <c r="BJ1119" i="1"/>
  <c r="BJ1118" i="1"/>
  <c r="BJ1114" i="1"/>
  <c r="BJ1113" i="1"/>
  <c r="BJ1108" i="1"/>
  <c r="BJ1105" i="1"/>
  <c r="BJ1101" i="1"/>
  <c r="BJ1100" i="1"/>
  <c r="BJ1099" i="1"/>
  <c r="BJ1098" i="1"/>
  <c r="BJ1092" i="1"/>
  <c r="BJ1089" i="1"/>
  <c r="BJ1080" i="1"/>
  <c r="BJ1077" i="1"/>
  <c r="BJ1076" i="1"/>
  <c r="BJ1075" i="1"/>
  <c r="BJ1074" i="1"/>
  <c r="BJ1072" i="1"/>
  <c r="BJ1071" i="1"/>
  <c r="BJ1065" i="1"/>
  <c r="BJ1061" i="1"/>
  <c r="BJ1057" i="1"/>
  <c r="BJ1055" i="1"/>
  <c r="BJ1050" i="1"/>
  <c r="BJ1048" i="1"/>
  <c r="BJ1047" i="1"/>
  <c r="BJ1044" i="1"/>
  <c r="BJ1042" i="1"/>
  <c r="BJ1038" i="1"/>
  <c r="BJ1035" i="1"/>
  <c r="BJ1034" i="1"/>
  <c r="BJ1030" i="1"/>
  <c r="BJ1029" i="1"/>
  <c r="BJ1026" i="1"/>
  <c r="BJ1019" i="1"/>
  <c r="BJ1018" i="1"/>
  <c r="BJ1016" i="1"/>
  <c r="BJ1013" i="1"/>
  <c r="BJ1011" i="1"/>
  <c r="BJ1010" i="1"/>
  <c r="BJ1009" i="1"/>
  <c r="BJ1008" i="1"/>
  <c r="BJ1007" i="1"/>
  <c r="BJ1004" i="1"/>
  <c r="BJ1002" i="1"/>
  <c r="BJ1001" i="1"/>
  <c r="BJ998" i="1"/>
  <c r="BJ997" i="1"/>
  <c r="BJ996" i="1"/>
  <c r="BJ992" i="1"/>
  <c r="BJ991" i="1"/>
  <c r="BJ987" i="1"/>
  <c r="BJ983" i="1"/>
  <c r="BJ981" i="1"/>
  <c r="BJ977" i="1"/>
  <c r="BJ976" i="1"/>
  <c r="BJ971" i="1"/>
  <c r="BJ970" i="1"/>
  <c r="BJ969" i="1"/>
  <c r="BJ965" i="1"/>
  <c r="BJ961" i="1"/>
  <c r="BJ959" i="1"/>
  <c r="BJ953" i="1"/>
  <c r="BJ951" i="1"/>
  <c r="BJ946" i="1"/>
  <c r="BJ945" i="1"/>
  <c r="BJ944" i="1"/>
  <c r="BJ937" i="1"/>
  <c r="BJ936" i="1"/>
  <c r="BJ931" i="1"/>
  <c r="BJ930" i="1"/>
  <c r="BJ929" i="1"/>
  <c r="BJ927" i="1"/>
  <c r="BJ917" i="1"/>
  <c r="BJ916" i="1"/>
  <c r="BJ911" i="1"/>
  <c r="BJ910" i="1"/>
  <c r="BJ906" i="1"/>
  <c r="BJ900" i="1"/>
  <c r="BJ898" i="1"/>
  <c r="BJ896" i="1"/>
  <c r="BJ893" i="1"/>
  <c r="BJ889" i="1"/>
  <c r="BJ888" i="1"/>
  <c r="BJ887" i="1"/>
  <c r="BJ879" i="1"/>
  <c r="BJ876" i="1"/>
  <c r="BJ874" i="1"/>
  <c r="BJ873" i="1"/>
  <c r="BJ871" i="1"/>
  <c r="BJ867" i="1"/>
  <c r="BJ866" i="1"/>
  <c r="BJ862" i="1"/>
  <c r="BJ861" i="1"/>
  <c r="BJ860" i="1"/>
  <c r="BJ859" i="1"/>
  <c r="BJ858" i="1"/>
  <c r="BJ857" i="1"/>
  <c r="BJ856" i="1"/>
  <c r="BJ851" i="1"/>
  <c r="BJ850" i="1"/>
  <c r="BJ849" i="1"/>
  <c r="BJ848" i="1"/>
  <c r="BJ847" i="1"/>
  <c r="BJ841" i="1"/>
  <c r="BJ823" i="1"/>
  <c r="BJ822" i="1"/>
  <c r="BJ819" i="1"/>
  <c r="BJ813" i="1"/>
  <c r="BJ812" i="1"/>
  <c r="BJ809" i="1"/>
  <c r="BJ808" i="1"/>
  <c r="BJ806" i="1"/>
  <c r="BJ801" i="1"/>
  <c r="BJ795" i="1"/>
  <c r="BJ793" i="1"/>
  <c r="BJ791" i="1"/>
  <c r="BJ788" i="1"/>
  <c r="BJ787" i="1"/>
  <c r="BJ785" i="1"/>
  <c r="BJ780" i="1"/>
  <c r="BJ778" i="1"/>
  <c r="BJ777" i="1"/>
  <c r="BJ771" i="1"/>
  <c r="BJ770" i="1"/>
  <c r="BJ768" i="1"/>
  <c r="BJ763" i="1"/>
  <c r="BJ756" i="1"/>
  <c r="BJ753" i="1"/>
  <c r="BJ751" i="1"/>
  <c r="BJ747" i="1"/>
  <c r="BJ742" i="1"/>
  <c r="BJ741" i="1"/>
  <c r="BJ740" i="1"/>
  <c r="BJ739" i="1"/>
  <c r="BJ737" i="1"/>
  <c r="BJ724" i="1"/>
  <c r="BJ722" i="1"/>
  <c r="BJ721" i="1"/>
  <c r="BJ715" i="1"/>
  <c r="BJ712" i="1"/>
  <c r="BJ711" i="1"/>
  <c r="BJ710" i="1"/>
  <c r="BJ709" i="1"/>
  <c r="BJ707" i="1"/>
  <c r="BJ706" i="1"/>
  <c r="BJ705" i="1"/>
  <c r="BJ703" i="1"/>
  <c r="BJ702" i="1"/>
  <c r="BJ688" i="1"/>
  <c r="BJ687" i="1"/>
  <c r="BJ685" i="1"/>
  <c r="BJ684" i="1"/>
  <c r="BJ680" i="1"/>
  <c r="BJ679" i="1"/>
  <c r="BJ676" i="1"/>
  <c r="BJ672" i="1"/>
  <c r="BJ667" i="1"/>
  <c r="BJ664" i="1"/>
  <c r="BJ662" i="1"/>
  <c r="BJ660" i="1"/>
  <c r="BJ659" i="1"/>
  <c r="BJ657" i="1"/>
  <c r="BJ656" i="1"/>
  <c r="BJ655" i="1"/>
  <c r="BJ654" i="1"/>
  <c r="BJ651" i="1"/>
  <c r="BJ644" i="1"/>
  <c r="BJ640" i="1"/>
  <c r="BJ637" i="1"/>
  <c r="BJ636" i="1"/>
  <c r="BJ634" i="1"/>
  <c r="BJ632" i="1"/>
  <c r="BJ631" i="1"/>
  <c r="BJ622" i="1"/>
  <c r="BJ618" i="1"/>
  <c r="BJ616" i="1"/>
  <c r="BJ615" i="1"/>
  <c r="BJ614" i="1"/>
  <c r="BJ609" i="1"/>
  <c r="BJ602" i="1"/>
  <c r="BJ601" i="1"/>
  <c r="BJ596" i="1"/>
  <c r="BJ595" i="1"/>
  <c r="BJ590" i="1"/>
  <c r="BJ589" i="1"/>
  <c r="BJ588" i="1"/>
  <c r="BJ587" i="1"/>
  <c r="BJ586" i="1"/>
  <c r="BJ584" i="1"/>
  <c r="BJ581" i="1"/>
  <c r="BJ580" i="1"/>
  <c r="BJ578" i="1"/>
  <c r="BJ571" i="1"/>
  <c r="BJ568" i="1"/>
  <c r="BJ566" i="1"/>
  <c r="BJ562" i="1"/>
  <c r="BJ561" i="1"/>
  <c r="BJ559" i="1"/>
  <c r="BJ557" i="1"/>
  <c r="BJ554" i="1"/>
  <c r="BJ553" i="1"/>
  <c r="BJ549" i="1"/>
  <c r="BJ548" i="1"/>
  <c r="BJ547" i="1"/>
  <c r="BJ544" i="1"/>
  <c r="BJ543" i="1"/>
  <c r="BJ540" i="1"/>
  <c r="BJ536" i="1"/>
  <c r="BJ535" i="1"/>
  <c r="BJ534" i="1"/>
  <c r="BJ532" i="1"/>
  <c r="BJ530" i="1"/>
  <c r="BJ528" i="1"/>
  <c r="BJ527" i="1"/>
  <c r="BJ526" i="1"/>
  <c r="BJ521" i="1"/>
  <c r="BJ517" i="1"/>
  <c r="BJ510" i="1"/>
  <c r="BJ507" i="1"/>
  <c r="BJ505" i="1"/>
  <c r="BJ503" i="1"/>
  <c r="BJ497" i="1"/>
  <c r="BJ493" i="1"/>
  <c r="BJ487" i="1"/>
  <c r="BJ483" i="1"/>
  <c r="BJ476" i="1"/>
  <c r="BJ471" i="1"/>
  <c r="BJ470" i="1"/>
  <c r="BJ465" i="1"/>
  <c r="BJ459" i="1"/>
  <c r="BJ454" i="1"/>
  <c r="BJ450" i="1"/>
  <c r="BJ448" i="1"/>
  <c r="BJ446" i="1"/>
  <c r="BJ445" i="1"/>
  <c r="BJ438" i="1"/>
  <c r="BJ437" i="1"/>
  <c r="BJ433" i="1"/>
  <c r="BJ429" i="1"/>
  <c r="BJ428" i="1"/>
  <c r="BJ414" i="1"/>
  <c r="BJ407" i="1"/>
  <c r="BJ398" i="1"/>
  <c r="BJ393" i="1"/>
  <c r="BJ392" i="1"/>
  <c r="BJ391" i="1"/>
  <c r="BJ377" i="1"/>
  <c r="BJ373" i="1"/>
  <c r="BJ372" i="1"/>
  <c r="BJ368" i="1"/>
  <c r="BJ367" i="1"/>
  <c r="BJ366" i="1"/>
  <c r="BJ364" i="1"/>
  <c r="BJ362" i="1"/>
  <c r="BJ360" i="1"/>
  <c r="BJ359" i="1"/>
  <c r="BJ356" i="1"/>
  <c r="BJ354" i="1"/>
  <c r="BJ349" i="1"/>
  <c r="BJ348" i="1"/>
  <c r="BJ339" i="1"/>
  <c r="BJ332" i="1"/>
  <c r="BJ331" i="1"/>
  <c r="BJ329" i="1"/>
  <c r="BJ327" i="1"/>
  <c r="BJ318" i="1"/>
  <c r="BJ314" i="1"/>
  <c r="BJ307" i="1"/>
  <c r="BJ298" i="1"/>
  <c r="BJ297" i="1"/>
  <c r="BJ293" i="1"/>
  <c r="BJ292" i="1"/>
  <c r="BJ291" i="1"/>
  <c r="BJ283" i="1"/>
  <c r="BJ204" i="1"/>
  <c r="BJ195" i="1"/>
  <c r="BJ193" i="1"/>
  <c r="BJ192" i="1"/>
  <c r="BJ189" i="1"/>
  <c r="BJ183" i="1"/>
  <c r="BJ180" i="1"/>
  <c r="BJ179" i="1"/>
  <c r="BJ170" i="1"/>
  <c r="BJ167" i="1"/>
  <c r="BJ162" i="1"/>
  <c r="BJ159" i="1"/>
  <c r="BJ151" i="1"/>
  <c r="BJ144" i="1"/>
  <c r="BJ143" i="1"/>
  <c r="BJ132" i="1"/>
  <c r="BJ128" i="1"/>
  <c r="BJ127" i="1"/>
  <c r="BJ122" i="1"/>
  <c r="BJ119" i="1"/>
  <c r="BJ111" i="1"/>
  <c r="BJ107" i="1"/>
  <c r="BJ106" i="1"/>
  <c r="BJ15" i="1"/>
  <c r="BJ3" i="1"/>
  <c r="BJ4" i="1"/>
  <c r="BJ5" i="1"/>
  <c r="BJ6" i="1"/>
  <c r="BJ7" i="1"/>
  <c r="BJ8" i="1"/>
  <c r="BJ9" i="1"/>
  <c r="BJ10" i="1"/>
  <c r="BJ11" i="1"/>
  <c r="BJ12" i="1"/>
  <c r="BJ13" i="1"/>
  <c r="BJ14" i="1"/>
  <c r="BJ16" i="1"/>
  <c r="BJ17" i="1"/>
  <c r="BJ18" i="1"/>
  <c r="BJ19" i="1"/>
  <c r="BJ20" i="1"/>
  <c r="BJ21" i="1"/>
  <c r="BJ22" i="1"/>
  <c r="BJ23" i="1"/>
  <c r="BJ24" i="1"/>
  <c r="BJ25" i="1"/>
  <c r="BJ104" i="1"/>
  <c r="BJ105" i="1"/>
  <c r="BJ108" i="1"/>
  <c r="BJ109" i="1"/>
  <c r="BJ110" i="1"/>
  <c r="BJ112" i="1"/>
  <c r="BJ113" i="1"/>
  <c r="BJ114" i="1"/>
  <c r="BJ116" i="1"/>
  <c r="BJ117" i="1"/>
  <c r="BJ118" i="1"/>
  <c r="BJ120" i="1"/>
  <c r="BJ121" i="1"/>
  <c r="BJ123" i="1"/>
  <c r="BJ124" i="1"/>
  <c r="BJ125" i="1"/>
  <c r="BJ126" i="1"/>
  <c r="BJ129" i="1"/>
  <c r="BJ130" i="1"/>
  <c r="BJ131" i="1"/>
  <c r="BJ133" i="1"/>
  <c r="BJ134" i="1"/>
  <c r="BJ135" i="1"/>
  <c r="BJ136" i="1"/>
  <c r="BJ138" i="1"/>
  <c r="BJ139" i="1"/>
  <c r="BJ140" i="1"/>
  <c r="BJ141" i="1"/>
  <c r="BJ142" i="1"/>
  <c r="BJ145" i="1"/>
  <c r="BJ146" i="1"/>
  <c r="BJ147" i="1"/>
  <c r="BJ148" i="1"/>
  <c r="BJ149" i="1"/>
  <c r="BJ150" i="1"/>
  <c r="BJ152" i="1"/>
  <c r="BJ153" i="1"/>
  <c r="BJ154" i="1"/>
  <c r="BJ155" i="1"/>
  <c r="BJ156" i="1"/>
  <c r="BJ157" i="1"/>
  <c r="BJ158" i="1"/>
  <c r="BJ160" i="1"/>
  <c r="BJ161" i="1"/>
  <c r="BJ163" i="1"/>
  <c r="BJ164" i="1"/>
  <c r="BJ165" i="1"/>
  <c r="BJ166" i="1"/>
  <c r="BJ168" i="1"/>
  <c r="BJ169" i="1"/>
  <c r="BJ171" i="1"/>
  <c r="BJ172" i="1"/>
  <c r="BJ173" i="1"/>
  <c r="BJ174" i="1"/>
  <c r="BJ175" i="1"/>
  <c r="BJ176" i="1"/>
  <c r="BJ177" i="1"/>
  <c r="BJ178" i="1"/>
  <c r="BJ181" i="1"/>
  <c r="BJ182" i="1"/>
  <c r="BJ184" i="1"/>
  <c r="BJ185" i="1"/>
  <c r="BJ186" i="1"/>
  <c r="BJ187" i="1"/>
  <c r="BJ188" i="1"/>
  <c r="BJ190" i="1"/>
  <c r="BJ191" i="1"/>
  <c r="BJ194" i="1"/>
  <c r="BJ196" i="1"/>
  <c r="BJ197" i="1"/>
  <c r="BJ198" i="1"/>
  <c r="BJ199" i="1"/>
  <c r="BJ200" i="1"/>
  <c r="BJ201" i="1"/>
  <c r="BJ202" i="1"/>
  <c r="BJ203" i="1"/>
  <c r="BJ205" i="1"/>
  <c r="BJ206" i="1"/>
  <c r="BJ282" i="1"/>
  <c r="BJ284" i="1"/>
  <c r="BJ285" i="1"/>
  <c r="BJ286" i="1"/>
  <c r="BJ287" i="1"/>
  <c r="BJ288" i="1"/>
  <c r="BJ289" i="1"/>
  <c r="BJ290" i="1"/>
  <c r="BJ294" i="1"/>
  <c r="BJ295" i="1"/>
  <c r="BJ296" i="1"/>
  <c r="BJ299" i="1"/>
  <c r="BJ300" i="1"/>
  <c r="BJ301" i="1"/>
  <c r="BJ302" i="1"/>
  <c r="BJ303" i="1"/>
  <c r="BJ304" i="1"/>
  <c r="BJ305" i="1"/>
  <c r="BJ306" i="1"/>
  <c r="BJ308" i="1"/>
  <c r="BJ309" i="1"/>
  <c r="BJ310" i="1"/>
  <c r="BJ311" i="1"/>
  <c r="BJ312" i="1"/>
  <c r="BJ313" i="1"/>
  <c r="BJ315" i="1"/>
  <c r="BJ316" i="1"/>
  <c r="BJ317" i="1"/>
  <c r="BJ319" i="1"/>
  <c r="BJ320" i="1"/>
  <c r="BJ321" i="1"/>
  <c r="BJ322" i="1"/>
  <c r="BJ323" i="1"/>
  <c r="BJ324" i="1"/>
  <c r="BJ325" i="1"/>
  <c r="BJ326" i="1"/>
  <c r="BJ328" i="1"/>
  <c r="BJ330" i="1"/>
  <c r="BJ333" i="1"/>
  <c r="BJ334" i="1"/>
  <c r="BJ335" i="1"/>
  <c r="BJ336" i="1"/>
  <c r="BJ337" i="1"/>
  <c r="BJ338" i="1"/>
  <c r="BJ341" i="1"/>
  <c r="BJ342" i="1"/>
  <c r="BJ343" i="1"/>
  <c r="BJ344" i="1"/>
  <c r="BJ345" i="1"/>
  <c r="BJ346" i="1"/>
  <c r="BJ347" i="1"/>
  <c r="BJ350" i="1"/>
  <c r="BJ351" i="1"/>
  <c r="BJ352" i="1"/>
  <c r="BJ353" i="1"/>
  <c r="BJ355" i="1"/>
  <c r="BJ357" i="1"/>
  <c r="BJ358" i="1"/>
  <c r="BJ361" i="1"/>
  <c r="BJ363" i="1"/>
  <c r="BJ365" i="1"/>
  <c r="BJ369" i="1"/>
  <c r="BJ370" i="1"/>
  <c r="BJ371" i="1"/>
  <c r="BJ374" i="1"/>
  <c r="BJ375" i="1"/>
  <c r="BJ376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4" i="1"/>
  <c r="BJ395" i="1"/>
  <c r="BJ396" i="1"/>
  <c r="BJ397" i="1"/>
  <c r="BJ399" i="1"/>
  <c r="BJ400" i="1"/>
  <c r="BJ401" i="1"/>
  <c r="BJ402" i="1"/>
  <c r="BJ403" i="1"/>
  <c r="BJ404" i="1"/>
  <c r="BJ405" i="1"/>
  <c r="BJ406" i="1"/>
  <c r="BJ408" i="1"/>
  <c r="BJ409" i="1"/>
  <c r="BJ410" i="1"/>
  <c r="BJ411" i="1"/>
  <c r="BJ412" i="1"/>
  <c r="BJ413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30" i="1"/>
  <c r="BJ431" i="1"/>
  <c r="BJ432" i="1"/>
  <c r="BJ434" i="1"/>
  <c r="BJ435" i="1"/>
  <c r="BJ436" i="1"/>
  <c r="BJ439" i="1"/>
  <c r="BJ440" i="1"/>
  <c r="BJ441" i="1"/>
  <c r="BJ442" i="1"/>
  <c r="BJ443" i="1"/>
  <c r="BJ444" i="1"/>
  <c r="BJ447" i="1"/>
  <c r="BJ449" i="1"/>
  <c r="BJ451" i="1"/>
  <c r="BJ452" i="1"/>
  <c r="BJ453" i="1"/>
  <c r="BJ455" i="1"/>
  <c r="BJ456" i="1"/>
  <c r="BJ457" i="1"/>
  <c r="BJ458" i="1"/>
  <c r="BJ460" i="1"/>
  <c r="BJ461" i="1"/>
  <c r="BJ462" i="1"/>
  <c r="BJ463" i="1"/>
  <c r="BJ466" i="1"/>
  <c r="BJ467" i="1"/>
  <c r="BJ468" i="1"/>
  <c r="BJ469" i="1"/>
  <c r="BJ472" i="1"/>
  <c r="BJ473" i="1"/>
  <c r="BJ474" i="1"/>
  <c r="BJ475" i="1"/>
  <c r="BJ477" i="1"/>
  <c r="BJ479" i="1"/>
  <c r="BJ480" i="1"/>
  <c r="BJ481" i="1"/>
  <c r="BJ482" i="1"/>
  <c r="BJ484" i="1"/>
  <c r="BJ485" i="1"/>
  <c r="BJ486" i="1"/>
  <c r="BJ488" i="1"/>
  <c r="BJ489" i="1"/>
  <c r="BJ490" i="1"/>
  <c r="BJ491" i="1"/>
  <c r="BJ492" i="1"/>
  <c r="BJ494" i="1"/>
  <c r="BJ495" i="1"/>
  <c r="BJ496" i="1"/>
  <c r="BJ498" i="1"/>
  <c r="BJ499" i="1"/>
  <c r="BJ500" i="1"/>
  <c r="BJ501" i="1"/>
  <c r="BJ502" i="1"/>
  <c r="BJ504" i="1"/>
  <c r="BJ506" i="1"/>
  <c r="BJ508" i="1"/>
  <c r="BJ509" i="1"/>
  <c r="BJ511" i="1"/>
  <c r="BJ512" i="1"/>
  <c r="BJ513" i="1"/>
  <c r="BJ515" i="1"/>
  <c r="BJ516" i="1"/>
  <c r="BJ518" i="1"/>
  <c r="BJ519" i="1"/>
  <c r="BJ520" i="1"/>
  <c r="BJ522" i="1"/>
  <c r="BJ523" i="1"/>
  <c r="BJ524" i="1"/>
  <c r="BJ525" i="1"/>
  <c r="BJ529" i="1"/>
  <c r="BJ531" i="1"/>
  <c r="BJ533" i="1"/>
  <c r="BJ537" i="1"/>
  <c r="BJ538" i="1"/>
  <c r="BJ539" i="1"/>
  <c r="BJ541" i="1"/>
  <c r="BJ542" i="1"/>
  <c r="BJ545" i="1"/>
  <c r="BJ546" i="1"/>
  <c r="BJ550" i="1"/>
  <c r="BJ551" i="1"/>
  <c r="BJ552" i="1"/>
  <c r="BJ555" i="1"/>
  <c r="BJ556" i="1"/>
  <c r="BJ558" i="1"/>
  <c r="BJ560" i="1"/>
  <c r="BJ563" i="1"/>
  <c r="BJ564" i="1"/>
  <c r="BJ565" i="1"/>
  <c r="BJ567" i="1"/>
  <c r="BJ569" i="1"/>
  <c r="BJ570" i="1"/>
  <c r="BJ572" i="1"/>
  <c r="BJ573" i="1"/>
  <c r="BJ574" i="1"/>
  <c r="BJ575" i="1"/>
  <c r="BJ576" i="1"/>
  <c r="BJ577" i="1"/>
  <c r="BJ579" i="1"/>
  <c r="BJ582" i="1"/>
  <c r="BJ583" i="1"/>
  <c r="BJ585" i="1"/>
  <c r="BJ591" i="1"/>
  <c r="BJ592" i="1"/>
  <c r="BJ593" i="1"/>
  <c r="BJ594" i="1"/>
  <c r="BJ597" i="1"/>
  <c r="BJ598" i="1"/>
  <c r="BJ599" i="1"/>
  <c r="BJ600" i="1"/>
  <c r="BJ603" i="1"/>
  <c r="BJ604" i="1"/>
  <c r="BJ605" i="1"/>
  <c r="BJ606" i="1"/>
  <c r="BJ607" i="1"/>
  <c r="BJ608" i="1"/>
  <c r="BJ611" i="1"/>
  <c r="BJ612" i="1"/>
  <c r="BJ617" i="1"/>
  <c r="BJ619" i="1"/>
  <c r="BJ620" i="1"/>
  <c r="BJ621" i="1"/>
  <c r="BJ623" i="1"/>
  <c r="BJ624" i="1"/>
  <c r="BJ625" i="1"/>
  <c r="BJ626" i="1"/>
  <c r="BJ627" i="1"/>
  <c r="BJ628" i="1"/>
  <c r="BJ629" i="1"/>
  <c r="BJ630" i="1"/>
  <c r="BJ633" i="1"/>
  <c r="BJ635" i="1"/>
  <c r="BJ638" i="1"/>
  <c r="BJ639" i="1"/>
  <c r="BJ641" i="1"/>
  <c r="BJ642" i="1"/>
  <c r="BJ643" i="1"/>
  <c r="BJ645" i="1"/>
  <c r="BJ646" i="1"/>
  <c r="BJ647" i="1"/>
  <c r="BJ648" i="1"/>
  <c r="BJ649" i="1"/>
  <c r="BJ650" i="1"/>
  <c r="BJ652" i="1"/>
  <c r="BJ653" i="1"/>
  <c r="BJ658" i="1"/>
  <c r="BJ661" i="1"/>
  <c r="BJ663" i="1"/>
  <c r="BJ665" i="1"/>
  <c r="BJ666" i="1"/>
  <c r="BJ668" i="1"/>
  <c r="BJ669" i="1"/>
  <c r="BJ670" i="1"/>
  <c r="BJ671" i="1"/>
  <c r="BJ673" i="1"/>
  <c r="BJ674" i="1"/>
  <c r="BJ675" i="1"/>
  <c r="BJ677" i="1"/>
  <c r="BJ678" i="1"/>
  <c r="BJ681" i="1"/>
  <c r="BJ682" i="1"/>
  <c r="BJ683" i="1"/>
  <c r="BJ686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4" i="1"/>
  <c r="BJ708" i="1"/>
  <c r="BJ713" i="1"/>
  <c r="BJ714" i="1"/>
  <c r="BJ716" i="1"/>
  <c r="BJ717" i="1"/>
  <c r="BJ718" i="1"/>
  <c r="BJ719" i="1"/>
  <c r="BJ720" i="1"/>
  <c r="BJ723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8" i="1"/>
  <c r="BJ743" i="1"/>
  <c r="BJ744" i="1"/>
  <c r="BJ745" i="1"/>
  <c r="BJ746" i="1"/>
  <c r="BJ748" i="1"/>
  <c r="BJ749" i="1"/>
  <c r="BJ750" i="1"/>
  <c r="BJ752" i="1"/>
  <c r="BJ754" i="1"/>
  <c r="BJ755" i="1"/>
  <c r="BJ757" i="1"/>
  <c r="BJ758" i="1"/>
  <c r="BJ759" i="1"/>
  <c r="BJ760" i="1"/>
  <c r="BJ761" i="1"/>
  <c r="BJ762" i="1"/>
  <c r="BJ764" i="1"/>
  <c r="BJ765" i="1"/>
  <c r="BJ766" i="1"/>
  <c r="BJ767" i="1"/>
  <c r="BJ769" i="1"/>
  <c r="BJ772" i="1"/>
  <c r="BJ773" i="1"/>
  <c r="BJ774" i="1"/>
  <c r="BJ775" i="1"/>
  <c r="BJ776" i="1"/>
  <c r="BJ779" i="1"/>
  <c r="BJ782" i="1"/>
  <c r="BJ783" i="1"/>
  <c r="BJ784" i="1"/>
  <c r="BJ786" i="1"/>
  <c r="BJ789" i="1"/>
  <c r="BJ790" i="1"/>
  <c r="BJ792" i="1"/>
  <c r="BJ794" i="1"/>
  <c r="BJ796" i="1"/>
  <c r="BJ797" i="1"/>
  <c r="BJ798" i="1"/>
  <c r="BJ799" i="1"/>
  <c r="BJ800" i="1"/>
  <c r="BJ802" i="1"/>
  <c r="BJ803" i="1"/>
  <c r="BJ804" i="1"/>
  <c r="BJ805" i="1"/>
  <c r="BJ807" i="1"/>
  <c r="BJ810" i="1"/>
  <c r="BJ811" i="1"/>
  <c r="BJ814" i="1"/>
  <c r="BJ815" i="1"/>
  <c r="BJ816" i="1"/>
  <c r="BJ817" i="1"/>
  <c r="BJ818" i="1"/>
  <c r="BJ820" i="1"/>
  <c r="BJ821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40" i="1"/>
  <c r="BJ842" i="1"/>
  <c r="BJ843" i="1"/>
  <c r="BJ844" i="1"/>
  <c r="BJ845" i="1"/>
  <c r="BJ846" i="1"/>
  <c r="BJ852" i="1"/>
  <c r="BJ853" i="1"/>
  <c r="BJ854" i="1"/>
  <c r="BJ855" i="1"/>
  <c r="BJ863" i="1"/>
  <c r="BJ864" i="1"/>
  <c r="BJ865" i="1"/>
  <c r="BJ868" i="1"/>
  <c r="BJ869" i="1"/>
  <c r="BJ870" i="1"/>
  <c r="BJ872" i="1"/>
  <c r="BJ875" i="1"/>
  <c r="BJ877" i="1"/>
  <c r="BJ878" i="1"/>
  <c r="BJ880" i="1"/>
  <c r="BJ881" i="1"/>
  <c r="BJ882" i="1"/>
  <c r="BJ883" i="1"/>
  <c r="BJ884" i="1"/>
  <c r="BJ885" i="1"/>
  <c r="BJ886" i="1"/>
  <c r="BJ890" i="1"/>
  <c r="BJ891" i="1"/>
  <c r="BJ892" i="1"/>
  <c r="BJ894" i="1"/>
  <c r="BJ895" i="1"/>
  <c r="BJ897" i="1"/>
  <c r="BJ899" i="1"/>
  <c r="BJ901" i="1"/>
  <c r="BJ902" i="1"/>
  <c r="BJ903" i="1"/>
  <c r="BJ904" i="1"/>
  <c r="BJ905" i="1"/>
  <c r="BJ907" i="1"/>
  <c r="BJ908" i="1"/>
  <c r="BJ909" i="1"/>
  <c r="BJ912" i="1"/>
  <c r="BJ913" i="1"/>
  <c r="BJ914" i="1"/>
  <c r="BJ915" i="1"/>
  <c r="BJ918" i="1"/>
  <c r="BJ919" i="1"/>
  <c r="BJ921" i="1"/>
  <c r="BJ922" i="1"/>
  <c r="BJ923" i="1"/>
  <c r="BJ924" i="1"/>
  <c r="BJ925" i="1"/>
  <c r="BJ926" i="1"/>
  <c r="BJ928" i="1"/>
  <c r="BJ932" i="1"/>
  <c r="BJ933" i="1"/>
  <c r="BJ934" i="1"/>
  <c r="BJ935" i="1"/>
  <c r="BJ938" i="1"/>
  <c r="BJ939" i="1"/>
  <c r="BJ940" i="1"/>
  <c r="BJ942" i="1"/>
  <c r="BJ943" i="1"/>
  <c r="BJ947" i="1"/>
  <c r="BJ948" i="1"/>
  <c r="BJ949" i="1"/>
  <c r="BJ950" i="1"/>
  <c r="BJ952" i="1"/>
  <c r="BJ954" i="1"/>
  <c r="BJ955" i="1"/>
  <c r="BJ956" i="1"/>
  <c r="BJ957" i="1"/>
  <c r="BJ958" i="1"/>
  <c r="BJ960" i="1"/>
  <c r="BJ962" i="1"/>
  <c r="BJ963" i="1"/>
  <c r="BJ964" i="1"/>
  <c r="BJ966" i="1"/>
  <c r="BJ967" i="1"/>
  <c r="BJ968" i="1"/>
  <c r="BJ972" i="1"/>
  <c r="BJ973" i="1"/>
  <c r="BJ974" i="1"/>
  <c r="BJ975" i="1"/>
  <c r="BJ978" i="1"/>
  <c r="BJ979" i="1"/>
  <c r="BJ980" i="1"/>
  <c r="BJ982" i="1"/>
  <c r="BJ984" i="1"/>
  <c r="BJ985" i="1"/>
  <c r="BJ986" i="1"/>
  <c r="BJ988" i="1"/>
  <c r="BJ989" i="1"/>
  <c r="BJ990" i="1"/>
  <c r="BJ993" i="1"/>
  <c r="BJ994" i="1"/>
  <c r="BJ995" i="1"/>
  <c r="BJ999" i="1"/>
  <c r="BJ1000" i="1"/>
  <c r="BJ1003" i="1"/>
  <c r="BJ1005" i="1"/>
  <c r="BJ1006" i="1"/>
  <c r="BJ1012" i="1"/>
  <c r="BJ1014" i="1"/>
  <c r="BJ1015" i="1"/>
  <c r="BJ1017" i="1"/>
  <c r="BJ1020" i="1"/>
  <c r="BJ1021" i="1"/>
  <c r="BJ1022" i="1"/>
  <c r="BJ1023" i="1"/>
  <c r="BJ1024" i="1"/>
  <c r="BJ1025" i="1"/>
  <c r="BJ1027" i="1"/>
  <c r="BJ1028" i="1"/>
  <c r="BJ1031" i="1"/>
  <c r="BJ1032" i="1"/>
  <c r="BJ1033" i="1"/>
  <c r="BJ1036" i="1"/>
  <c r="BJ1037" i="1"/>
  <c r="BJ1039" i="1"/>
  <c r="BJ1040" i="1"/>
  <c r="BJ1043" i="1"/>
  <c r="BJ1045" i="1"/>
  <c r="BJ1046" i="1"/>
  <c r="BJ1049" i="1"/>
  <c r="BJ1051" i="1"/>
  <c r="BJ1052" i="1"/>
  <c r="BJ1053" i="1"/>
  <c r="BJ1056" i="1"/>
  <c r="BJ1058" i="1"/>
  <c r="BJ1059" i="1"/>
  <c r="BJ1060" i="1"/>
  <c r="BJ1062" i="1"/>
  <c r="BJ1063" i="1"/>
  <c r="BJ1064" i="1"/>
  <c r="BJ1066" i="1"/>
  <c r="BJ1067" i="1"/>
  <c r="BJ1068" i="1"/>
  <c r="BJ1069" i="1"/>
  <c r="BJ1070" i="1"/>
  <c r="BJ1073" i="1"/>
  <c r="BJ1078" i="1"/>
  <c r="BJ1079" i="1"/>
  <c r="BJ1081" i="1"/>
  <c r="BJ1082" i="1"/>
  <c r="BJ1083" i="1"/>
  <c r="BJ1084" i="1"/>
  <c r="BJ1085" i="1"/>
  <c r="BJ1086" i="1"/>
  <c r="BJ1087" i="1"/>
  <c r="BJ1088" i="1"/>
  <c r="BJ1090" i="1"/>
  <c r="BJ1091" i="1"/>
  <c r="BJ1093" i="1"/>
  <c r="BJ1094" i="1"/>
  <c r="BJ1095" i="1"/>
  <c r="BJ1096" i="1"/>
  <c r="BJ1097" i="1"/>
  <c r="BJ1102" i="1"/>
  <c r="BJ1103" i="1"/>
  <c r="BJ1104" i="1"/>
  <c r="BJ1106" i="1"/>
  <c r="BJ1107" i="1"/>
  <c r="BJ1109" i="1"/>
  <c r="BJ1110" i="1"/>
  <c r="BJ1111" i="1"/>
  <c r="BJ1112" i="1"/>
  <c r="BJ1115" i="1"/>
  <c r="BJ1116" i="1"/>
  <c r="BJ1117" i="1"/>
  <c r="BJ1120" i="1"/>
  <c r="BJ1121" i="1"/>
  <c r="BJ1123" i="1"/>
  <c r="BJ1124" i="1"/>
  <c r="BJ1125" i="1"/>
  <c r="BJ1127" i="1"/>
  <c r="BJ1128" i="1"/>
  <c r="BJ1129" i="1"/>
  <c r="BJ1132" i="1"/>
  <c r="BJ1133" i="1"/>
  <c r="BJ1134" i="1"/>
  <c r="BJ1135" i="1"/>
  <c r="BJ1138" i="1"/>
  <c r="BJ1140" i="1"/>
  <c r="BJ1144" i="1"/>
  <c r="BJ1145" i="1"/>
  <c r="BJ1146" i="1"/>
  <c r="BJ1149" i="1"/>
  <c r="BJ1150" i="1"/>
  <c r="BJ1153" i="1"/>
  <c r="BJ1154" i="1"/>
  <c r="BJ1156" i="1"/>
  <c r="BJ1157" i="1"/>
  <c r="BJ1159" i="1"/>
  <c r="BJ1160" i="1"/>
  <c r="BJ1161" i="1"/>
  <c r="BJ1163" i="1"/>
  <c r="BJ1164" i="1"/>
  <c r="BJ1166" i="1"/>
  <c r="BJ1167" i="1"/>
  <c r="BJ1168" i="1"/>
  <c r="BJ1169" i="1"/>
  <c r="BJ1170" i="1"/>
  <c r="BJ1173" i="1"/>
  <c r="BJ1175" i="1"/>
  <c r="BJ1176" i="1"/>
  <c r="BJ1177" i="1"/>
  <c r="BJ1178" i="1"/>
  <c r="BJ1179" i="1"/>
  <c r="BJ1181" i="1"/>
  <c r="BJ1182" i="1"/>
  <c r="BJ1187" i="1"/>
  <c r="BJ1188" i="1"/>
  <c r="BJ1189" i="1"/>
  <c r="BJ1190" i="1"/>
  <c r="BJ1191" i="1"/>
  <c r="BJ1193" i="1"/>
  <c r="BJ1194" i="1"/>
  <c r="BJ1195" i="1"/>
  <c r="BJ1196" i="1"/>
  <c r="BJ1198" i="1"/>
  <c r="BJ1199" i="1"/>
  <c r="BJ1201" i="1"/>
  <c r="BJ1207" i="1"/>
  <c r="BJ1208" i="1"/>
  <c r="BJ1210" i="1"/>
  <c r="BJ1213" i="1"/>
  <c r="BJ1214" i="1"/>
  <c r="BJ1216" i="1"/>
  <c r="BJ1217" i="1"/>
  <c r="BJ1218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4" i="1"/>
  <c r="BJ1236" i="1"/>
  <c r="BJ1238" i="1"/>
  <c r="BJ1240" i="1"/>
  <c r="BJ1241" i="1"/>
  <c r="BJ1242" i="1"/>
  <c r="BJ1243" i="1"/>
  <c r="BJ1244" i="1"/>
  <c r="BJ1245" i="1"/>
  <c r="BJ1248" i="1"/>
  <c r="BJ1254" i="1"/>
  <c r="BJ1255" i="1"/>
  <c r="BJ1256" i="1"/>
  <c r="BJ1258" i="1"/>
  <c r="BJ1260" i="1"/>
  <c r="BJ1261" i="1"/>
  <c r="BJ1264" i="1"/>
  <c r="BJ1265" i="1"/>
  <c r="BJ1266" i="1"/>
  <c r="BJ1267" i="1"/>
  <c r="BJ1268" i="1"/>
  <c r="BJ1270" i="1"/>
  <c r="BJ1274" i="1"/>
  <c r="BJ1275" i="1"/>
  <c r="BJ1276" i="1"/>
  <c r="BJ1279" i="1"/>
  <c r="BJ1282" i="1"/>
  <c r="BJ1283" i="1"/>
  <c r="BJ1284" i="1"/>
  <c r="BJ1286" i="1"/>
  <c r="BJ1289" i="1"/>
  <c r="BJ1291" i="1"/>
  <c r="BJ1294" i="1"/>
  <c r="BJ1296" i="1"/>
  <c r="BJ1298" i="1"/>
  <c r="BJ1300" i="1"/>
  <c r="BJ1302" i="1"/>
  <c r="BJ1303" i="1"/>
  <c r="BJ1304" i="1"/>
  <c r="BJ1307" i="1"/>
  <c r="BJ1311" i="1"/>
  <c r="BJ1312" i="1"/>
  <c r="BJ1313" i="1"/>
  <c r="BJ1315" i="1"/>
  <c r="BJ1316" i="1"/>
  <c r="BJ1317" i="1"/>
  <c r="BJ1323" i="1"/>
  <c r="BJ1324" i="1"/>
  <c r="BJ1325" i="1"/>
  <c r="BJ1327" i="1"/>
  <c r="BJ1328" i="1"/>
  <c r="BJ1329" i="1"/>
  <c r="BJ1330" i="1"/>
  <c r="BJ1334" i="1"/>
  <c r="BJ1335" i="1"/>
  <c r="BJ1337" i="1"/>
  <c r="BJ1338" i="1"/>
  <c r="BJ1339" i="1"/>
  <c r="BJ1340" i="1"/>
  <c r="BJ1343" i="1"/>
  <c r="BJ1344" i="1"/>
  <c r="BJ1345" i="1"/>
  <c r="BJ1349" i="1"/>
  <c r="BJ1350" i="1"/>
  <c r="BJ1351" i="1"/>
  <c r="BJ1352" i="1"/>
  <c r="BJ1353" i="1"/>
  <c r="BJ1354" i="1"/>
  <c r="BJ1355" i="1"/>
  <c r="BJ1356" i="1"/>
  <c r="BJ1357" i="1"/>
  <c r="BJ1362" i="1"/>
  <c r="BJ1365" i="1"/>
  <c r="BJ1368" i="1"/>
  <c r="BJ1371" i="1"/>
  <c r="BJ1372" i="1"/>
  <c r="BJ1373" i="1"/>
  <c r="BJ1374" i="1"/>
  <c r="BJ1375" i="1"/>
  <c r="BJ1377" i="1"/>
  <c r="BJ1378" i="1"/>
  <c r="BJ1379" i="1"/>
  <c r="BJ1380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6" i="1"/>
  <c r="BJ1397" i="1"/>
  <c r="BJ1398" i="1"/>
  <c r="BJ1399" i="1"/>
  <c r="BJ1400" i="1"/>
  <c r="BJ1401" i="1"/>
  <c r="BJ1404" i="1"/>
  <c r="BJ1406" i="1"/>
  <c r="BJ1407" i="1"/>
  <c r="BJ1409" i="1"/>
  <c r="BJ1413" i="1"/>
  <c r="BJ1414" i="1"/>
  <c r="BJ1415" i="1"/>
  <c r="BJ1416" i="1"/>
  <c r="BJ1418" i="1"/>
  <c r="BJ1419" i="1"/>
  <c r="BJ1420" i="1"/>
  <c r="BJ1422" i="1"/>
  <c r="BJ1424" i="1"/>
  <c r="BJ1425" i="1"/>
  <c r="BJ1429" i="1"/>
  <c r="BJ1432" i="1"/>
  <c r="BJ1434" i="1"/>
  <c r="BJ1435" i="1"/>
  <c r="BJ1438" i="1"/>
  <c r="BJ1440" i="1"/>
  <c r="BJ1442" i="1"/>
  <c r="BJ1443" i="1"/>
  <c r="BJ1446" i="1"/>
  <c r="BJ1447" i="1"/>
  <c r="BJ1448" i="1"/>
  <c r="BJ1449" i="1"/>
  <c r="BJ1454" i="1"/>
  <c r="BJ1458" i="1"/>
  <c r="BJ1461" i="1"/>
  <c r="BJ1462" i="1"/>
  <c r="BJ1464" i="1"/>
  <c r="BJ1468" i="1"/>
  <c r="BJ1469" i="1"/>
  <c r="BJ1470" i="1"/>
  <c r="BJ1476" i="1"/>
  <c r="BJ1479" i="1"/>
  <c r="BJ1481" i="1"/>
  <c r="BJ1483" i="1"/>
  <c r="BJ1486" i="1"/>
  <c r="BJ1488" i="1"/>
  <c r="BJ1489" i="1"/>
  <c r="BJ1490" i="1"/>
  <c r="BJ1492" i="1"/>
  <c r="BJ1493" i="1"/>
  <c r="BJ1494" i="1"/>
  <c r="BJ1495" i="1"/>
  <c r="BJ1497" i="1"/>
  <c r="BJ1498" i="1"/>
  <c r="BJ1499" i="1"/>
  <c r="BJ1500" i="1"/>
  <c r="BJ1506" i="1"/>
  <c r="BJ1507" i="1"/>
  <c r="BJ1508" i="1"/>
  <c r="BJ1509" i="1"/>
  <c r="BJ1511" i="1"/>
  <c r="BJ1512" i="1"/>
  <c r="BJ1513" i="1"/>
  <c r="BJ1516" i="1"/>
  <c r="BJ1517" i="1"/>
  <c r="BJ1518" i="1"/>
  <c r="BJ1519" i="1"/>
  <c r="BJ1523" i="1"/>
  <c r="BJ1524" i="1"/>
  <c r="BJ1528" i="1"/>
  <c r="BJ1530" i="1"/>
  <c r="BJ1532" i="1"/>
  <c r="BJ1534" i="1"/>
  <c r="BJ1535" i="1"/>
  <c r="BJ1536" i="1"/>
  <c r="BJ1537" i="1"/>
  <c r="BJ1538" i="1"/>
  <c r="BJ1539" i="1"/>
  <c r="BJ1540" i="1"/>
  <c r="BJ1541" i="1"/>
  <c r="BJ1542" i="1"/>
  <c r="BJ1544" i="1"/>
  <c r="BJ1545" i="1"/>
  <c r="BJ1546" i="1"/>
  <c r="BJ1547" i="1"/>
  <c r="BJ1548" i="1"/>
  <c r="BJ1549" i="1"/>
  <c r="BJ1554" i="1"/>
  <c r="BJ1557" i="1"/>
  <c r="BJ1558" i="1"/>
  <c r="BJ1561" i="1"/>
  <c r="BJ1563" i="1"/>
  <c r="BJ1567" i="1"/>
  <c r="BJ1569" i="1"/>
  <c r="BJ1570" i="1"/>
  <c r="BJ1573" i="1"/>
  <c r="BJ1575" i="1"/>
  <c r="BJ1576" i="1"/>
  <c r="BJ1579" i="1"/>
  <c r="BJ1580" i="1"/>
  <c r="BJ1581" i="1"/>
  <c r="BJ1582" i="1"/>
  <c r="BJ1586" i="1"/>
  <c r="BJ1591" i="1"/>
  <c r="BJ1593" i="1"/>
  <c r="BJ1594" i="1"/>
  <c r="BJ1595" i="1"/>
  <c r="BJ1596" i="1"/>
  <c r="BJ1598" i="1"/>
  <c r="BJ1599" i="1"/>
  <c r="BJ1600" i="1"/>
  <c r="BJ1601" i="1"/>
  <c r="BJ1602" i="1"/>
  <c r="BJ1605" i="1"/>
  <c r="BJ1607" i="1"/>
  <c r="BJ1609" i="1"/>
  <c r="BJ1610" i="1"/>
  <c r="BJ1611" i="1"/>
  <c r="BJ1614" i="1"/>
  <c r="BJ1615" i="1"/>
  <c r="BJ1617" i="1"/>
  <c r="BJ1619" i="1"/>
  <c r="BJ1621" i="1"/>
  <c r="BJ1624" i="1"/>
  <c r="BJ1625" i="1"/>
  <c r="BJ1626" i="1"/>
  <c r="BJ1627" i="1"/>
  <c r="BJ1628" i="1"/>
  <c r="BJ1629" i="1"/>
  <c r="BJ1630" i="1"/>
  <c r="BJ1631" i="1"/>
  <c r="BJ1632" i="1"/>
  <c r="BJ1634" i="1"/>
  <c r="BJ1635" i="1"/>
  <c r="BJ1639" i="1"/>
  <c r="BJ1640" i="1"/>
  <c r="BJ1641" i="1"/>
  <c r="BJ1642" i="1"/>
  <c r="BJ1644" i="1"/>
  <c r="BJ1649" i="1"/>
  <c r="BJ1653" i="1"/>
  <c r="BJ1654" i="1"/>
  <c r="BJ1655" i="1"/>
  <c r="BJ1657" i="1"/>
  <c r="BJ1659" i="1"/>
  <c r="BJ1662" i="1"/>
  <c r="BJ1663" i="1"/>
  <c r="BJ1665" i="1"/>
  <c r="BJ1667" i="1"/>
  <c r="BJ1668" i="1"/>
  <c r="BJ1671" i="1"/>
  <c r="BJ1672" i="1"/>
  <c r="BJ1674" i="1"/>
  <c r="BJ1677" i="1"/>
  <c r="BJ1678" i="1"/>
  <c r="BJ1681" i="1"/>
  <c r="BJ1684" i="1"/>
  <c r="BJ1686" i="1"/>
  <c r="BJ1688" i="1"/>
  <c r="BJ1690" i="1"/>
  <c r="BJ1691" i="1"/>
  <c r="BJ1692" i="1"/>
  <c r="BJ1694" i="1"/>
  <c r="BJ1698" i="1"/>
  <c r="BJ1703" i="1"/>
  <c r="BJ1705" i="1"/>
  <c r="BJ1707" i="1"/>
  <c r="BJ1709" i="1"/>
  <c r="BJ1710" i="1"/>
  <c r="BJ1711" i="1"/>
  <c r="BJ1714" i="1"/>
  <c r="BJ1715" i="1"/>
  <c r="BJ1716" i="1"/>
  <c r="BJ1717" i="1"/>
  <c r="BJ1719" i="1"/>
  <c r="BJ1721" i="1"/>
  <c r="BJ1722" i="1"/>
  <c r="BJ1724" i="1"/>
  <c r="BJ1729" i="1"/>
  <c r="BJ1730" i="1"/>
  <c r="BJ1732" i="1"/>
  <c r="BJ1734" i="1"/>
  <c r="BJ1737" i="1"/>
  <c r="BJ1742" i="1"/>
  <c r="BJ1743" i="1"/>
  <c r="BJ1744" i="1"/>
  <c r="BJ1746" i="1"/>
  <c r="BJ1749" i="1"/>
  <c r="BJ1752" i="1"/>
  <c r="BJ1753" i="1"/>
  <c r="BJ1755" i="1"/>
  <c r="BJ1756" i="1"/>
  <c r="BJ1758" i="1"/>
  <c r="BJ1760" i="1"/>
  <c r="BJ1761" i="1"/>
  <c r="BJ1762" i="1"/>
  <c r="BJ1764" i="1"/>
  <c r="BJ1766" i="1"/>
  <c r="BJ1767" i="1"/>
  <c r="BJ1771" i="1"/>
  <c r="BJ1773" i="1"/>
  <c r="BJ1774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90" i="1"/>
  <c r="BJ1791" i="1"/>
  <c r="BJ1792" i="1"/>
  <c r="BJ1794" i="1"/>
  <c r="BJ1795" i="1"/>
  <c r="BJ1796" i="1"/>
  <c r="BJ1797" i="1"/>
  <c r="BJ1799" i="1"/>
  <c r="BJ1800" i="1"/>
  <c r="BJ1801" i="1"/>
  <c r="BJ1804" i="1"/>
  <c r="BJ1805" i="1"/>
  <c r="BJ1809" i="1"/>
  <c r="BJ1811" i="1"/>
  <c r="BJ1814" i="1"/>
  <c r="BJ1820" i="1"/>
  <c r="BJ1821" i="1"/>
  <c r="BJ1822" i="1"/>
  <c r="BJ1823" i="1"/>
  <c r="BJ1826" i="1"/>
  <c r="BJ1830" i="1"/>
  <c r="BJ1832" i="1"/>
  <c r="BJ1833" i="1"/>
  <c r="BJ1836" i="1"/>
  <c r="BJ1838" i="1"/>
  <c r="BJ1840" i="1"/>
  <c r="BJ1841" i="1"/>
  <c r="BJ1842" i="1"/>
  <c r="BJ1844" i="1"/>
  <c r="BJ1846" i="1"/>
  <c r="BJ1847" i="1"/>
  <c r="BJ1848" i="1"/>
  <c r="BJ1849" i="1"/>
  <c r="BJ1850" i="1"/>
  <c r="BJ1853" i="1"/>
  <c r="BJ1854" i="1"/>
  <c r="BJ1859" i="1"/>
  <c r="BJ1861" i="1"/>
  <c r="BJ1864" i="1"/>
  <c r="BJ1869" i="1"/>
  <c r="BJ1870" i="1"/>
  <c r="BJ1871" i="1"/>
  <c r="BJ1874" i="1"/>
  <c r="BJ1875" i="1"/>
  <c r="BJ1877" i="1"/>
  <c r="BJ1879" i="1"/>
  <c r="BJ1880" i="1"/>
  <c r="BJ1881" i="1"/>
  <c r="BJ1882" i="1"/>
  <c r="BJ1886" i="1"/>
  <c r="BJ1887" i="1"/>
  <c r="BJ1889" i="1"/>
  <c r="BJ1892" i="1"/>
  <c r="BJ1893" i="1"/>
  <c r="BJ1897" i="1"/>
  <c r="BJ1899" i="1"/>
  <c r="BJ1901" i="1"/>
  <c r="BJ1902" i="1"/>
  <c r="BJ1904" i="1"/>
  <c r="BJ1909" i="1"/>
  <c r="BJ1913" i="1"/>
  <c r="BJ1914" i="1"/>
  <c r="BJ1915" i="1"/>
  <c r="BJ1916" i="1"/>
  <c r="BJ1917" i="1"/>
  <c r="BJ1918" i="1"/>
  <c r="BJ1919" i="1"/>
  <c r="BJ1920" i="1"/>
  <c r="BJ1923" i="1"/>
  <c r="BJ1924" i="1"/>
  <c r="BJ1925" i="1"/>
  <c r="BJ1926" i="1"/>
  <c r="BJ1927" i="1"/>
  <c r="BJ1930" i="1"/>
  <c r="BJ1931" i="1"/>
  <c r="BJ1933" i="1"/>
  <c r="BJ1937" i="1"/>
  <c r="BJ1939" i="1"/>
  <c r="BJ1941" i="1"/>
  <c r="BJ1942" i="1"/>
  <c r="BJ1943" i="1"/>
  <c r="BJ1944" i="1"/>
  <c r="BJ1945" i="1"/>
  <c r="BJ1946" i="1"/>
  <c r="BJ1947" i="1"/>
  <c r="BJ1948" i="1"/>
  <c r="BJ1949" i="1"/>
  <c r="BJ1950" i="1"/>
  <c r="BJ1953" i="1"/>
  <c r="BJ1954" i="1"/>
  <c r="BJ1955" i="1"/>
  <c r="BJ1956" i="1"/>
  <c r="BJ1957" i="1"/>
  <c r="BJ1958" i="1"/>
  <c r="BJ1960" i="1"/>
  <c r="BJ1962" i="1"/>
  <c r="BJ1964" i="1"/>
  <c r="BJ1965" i="1"/>
  <c r="BJ1969" i="1"/>
  <c r="BJ1970" i="1"/>
  <c r="BJ1971" i="1"/>
  <c r="BJ1975" i="1"/>
  <c r="BJ1979" i="1"/>
  <c r="BJ1982" i="1"/>
  <c r="BJ1986" i="1"/>
  <c r="BJ1987" i="1"/>
  <c r="BJ1990" i="1"/>
  <c r="BJ1991" i="1"/>
  <c r="BJ1992" i="1"/>
  <c r="BJ1995" i="1"/>
  <c r="BJ1996" i="1"/>
  <c r="BJ1997" i="1"/>
  <c r="BJ1999" i="1"/>
  <c r="BJ2000" i="1"/>
  <c r="BJ2001" i="1"/>
  <c r="BJ2003" i="1"/>
  <c r="BJ2005" i="1"/>
  <c r="BJ2007" i="1"/>
  <c r="BJ2009" i="1"/>
  <c r="BJ2010" i="1"/>
  <c r="BJ2011" i="1"/>
  <c r="BJ2013" i="1"/>
  <c r="BJ2014" i="1"/>
  <c r="BJ2015" i="1"/>
  <c r="BJ2019" i="1"/>
  <c r="BJ2020" i="1"/>
  <c r="BJ2021" i="1"/>
  <c r="BJ2022" i="1"/>
  <c r="BJ2023" i="1"/>
  <c r="BJ2024" i="1"/>
  <c r="BJ2028" i="1"/>
  <c r="BJ2029" i="1"/>
  <c r="BJ2032" i="1"/>
  <c r="BJ2035" i="1"/>
  <c r="BJ2038" i="1"/>
  <c r="BJ2039" i="1"/>
  <c r="BJ2040" i="1"/>
  <c r="BJ2041" i="1"/>
  <c r="BJ2042" i="1"/>
  <c r="BJ2044" i="1"/>
  <c r="BJ2049" i="1"/>
  <c r="BJ2050" i="1"/>
  <c r="BJ2051" i="1"/>
  <c r="BJ2053" i="1"/>
  <c r="BJ2056" i="1"/>
  <c r="BJ2057" i="1"/>
  <c r="BJ2058" i="1"/>
  <c r="BJ2060" i="1"/>
  <c r="BJ2061" i="1"/>
  <c r="BJ2063" i="1"/>
  <c r="BJ2065" i="1"/>
  <c r="BJ2067" i="1"/>
  <c r="BJ2068" i="1"/>
  <c r="BJ2069" i="1"/>
  <c r="BJ2070" i="1"/>
  <c r="BJ2071" i="1"/>
  <c r="BJ2072" i="1"/>
  <c r="BJ2074" i="1"/>
  <c r="BJ2076" i="1"/>
  <c r="BJ2077" i="1"/>
  <c r="BJ2083" i="1"/>
  <c r="BJ2089" i="1"/>
  <c r="BJ2090" i="1"/>
  <c r="BJ2092" i="1"/>
  <c r="BJ2093" i="1"/>
  <c r="BJ2094" i="1"/>
  <c r="BJ2096" i="1"/>
  <c r="BJ2098" i="1"/>
  <c r="BJ2099" i="1"/>
  <c r="BJ2100" i="1"/>
  <c r="BJ2101" i="1"/>
  <c r="BJ2104" i="1"/>
  <c r="BJ2107" i="1"/>
  <c r="BJ2108" i="1"/>
  <c r="BJ2109" i="1"/>
  <c r="BJ2110" i="1"/>
  <c r="BJ2111" i="1"/>
  <c r="BJ2112" i="1"/>
  <c r="BJ2113" i="1"/>
  <c r="BJ2114" i="1"/>
  <c r="BJ2115" i="1"/>
  <c r="BJ2116" i="1"/>
  <c r="BJ2118" i="1"/>
  <c r="BJ2119" i="1"/>
  <c r="BJ2122" i="1"/>
  <c r="BJ2127" i="1"/>
  <c r="BJ2128" i="1"/>
  <c r="BJ2129" i="1"/>
  <c r="BJ2133" i="1"/>
  <c r="BJ2135" i="1"/>
  <c r="BJ2136" i="1"/>
  <c r="BJ2138" i="1"/>
  <c r="BJ2139" i="1"/>
  <c r="BJ2140" i="1"/>
  <c r="BJ2141" i="1"/>
  <c r="BJ2143" i="1"/>
  <c r="BJ2145" i="1"/>
  <c r="BJ2147" i="1"/>
  <c r="BJ2148" i="1"/>
  <c r="BJ2149" i="1"/>
  <c r="BJ2150" i="1"/>
  <c r="BJ2151" i="1"/>
  <c r="BJ2152" i="1"/>
  <c r="BJ2153" i="1"/>
  <c r="BJ2155" i="1"/>
  <c r="BJ2156" i="1"/>
  <c r="BJ2158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9" i="1"/>
  <c r="BJ2180" i="1"/>
  <c r="BJ2181" i="1"/>
  <c r="BJ2182" i="1"/>
  <c r="BJ2183" i="1"/>
  <c r="BJ2184" i="1"/>
  <c r="BJ2185" i="1"/>
  <c r="BJ2186" i="1"/>
  <c r="BJ2188" i="1"/>
  <c r="BJ2190" i="1"/>
  <c r="BJ2191" i="1"/>
  <c r="BJ2193" i="1"/>
  <c r="BJ2195" i="1"/>
  <c r="BJ2196" i="1"/>
  <c r="BJ2197" i="1"/>
  <c r="BJ2199" i="1"/>
  <c r="BJ2200" i="1"/>
  <c r="BJ2201" i="1"/>
  <c r="BJ2203" i="1"/>
  <c r="BJ2207" i="1"/>
  <c r="BJ2208" i="1"/>
  <c r="BJ2212" i="1"/>
  <c r="BJ2214" i="1"/>
  <c r="BJ2215" i="1"/>
  <c r="BJ2216" i="1"/>
  <c r="BJ2219" i="1"/>
  <c r="BJ2221" i="1"/>
  <c r="BJ2222" i="1"/>
  <c r="BJ2223" i="1"/>
  <c r="BJ2226" i="1"/>
  <c r="BJ2227" i="1"/>
  <c r="BJ2228" i="1"/>
  <c r="BJ2230" i="1"/>
  <c r="BJ2233" i="1"/>
  <c r="BJ2235" i="1"/>
  <c r="BJ2238" i="1"/>
  <c r="BJ2239" i="1"/>
  <c r="BJ2241" i="1"/>
  <c r="BJ2246" i="1"/>
  <c r="BJ2249" i="1"/>
  <c r="BJ2251" i="1"/>
  <c r="BJ2253" i="1"/>
  <c r="BJ2254" i="1"/>
  <c r="BJ2255" i="1"/>
  <c r="BJ2257" i="1"/>
  <c r="BJ2263" i="1"/>
  <c r="BJ2264" i="1"/>
  <c r="BJ2266" i="1"/>
  <c r="BJ2267" i="1"/>
  <c r="BJ2268" i="1"/>
  <c r="BJ2271" i="1"/>
  <c r="BJ2275" i="1"/>
  <c r="BJ2277" i="1"/>
  <c r="BJ2281" i="1"/>
  <c r="BJ2282" i="1"/>
  <c r="BJ2283" i="1"/>
  <c r="BJ2284" i="1"/>
  <c r="BJ2286" i="1"/>
  <c r="BJ2287" i="1"/>
  <c r="BJ2288" i="1"/>
  <c r="BJ2289" i="1"/>
  <c r="BJ2290" i="1"/>
  <c r="BJ2292" i="1"/>
  <c r="BJ2294" i="1"/>
  <c r="BJ2295" i="1"/>
  <c r="BJ2298" i="1"/>
  <c r="BJ2299" i="1"/>
  <c r="BJ2301" i="1"/>
  <c r="BJ2302" i="1"/>
  <c r="BJ2304" i="1"/>
  <c r="BJ2307" i="1"/>
  <c r="BJ2311" i="1"/>
  <c r="BJ2314" i="1"/>
  <c r="BJ2315" i="1"/>
  <c r="BJ2316" i="1"/>
  <c r="BJ2317" i="1"/>
  <c r="BJ2319" i="1"/>
  <c r="BJ2323" i="1"/>
  <c r="BJ2324" i="1"/>
  <c r="BJ2325" i="1"/>
  <c r="BJ2326" i="1"/>
  <c r="BJ2330" i="1"/>
  <c r="BJ2332" i="1"/>
  <c r="BJ2334" i="1"/>
  <c r="BJ2335" i="1"/>
  <c r="BJ2336" i="1"/>
  <c r="BJ2337" i="1"/>
  <c r="BJ2340" i="1"/>
  <c r="BJ2342" i="1"/>
  <c r="BJ2345" i="1"/>
  <c r="BJ2346" i="1"/>
  <c r="BJ2347" i="1"/>
  <c r="BJ2348" i="1"/>
  <c r="BJ2349" i="1"/>
  <c r="BJ2351" i="1"/>
  <c r="BJ2352" i="1"/>
  <c r="BJ2353" i="1"/>
  <c r="BJ2354" i="1"/>
  <c r="BJ2355" i="1"/>
  <c r="BJ2357" i="1"/>
  <c r="BJ2358" i="1"/>
  <c r="BJ2360" i="1"/>
  <c r="BJ2362" i="1"/>
  <c r="BJ2365" i="1"/>
  <c r="BJ2366" i="1"/>
  <c r="BJ2367" i="1"/>
  <c r="BJ2368" i="1"/>
  <c r="BJ2369" i="1"/>
  <c r="BJ2371" i="1"/>
  <c r="BJ2373" i="1"/>
  <c r="BJ2375" i="1"/>
  <c r="BJ2376" i="1"/>
  <c r="BJ2377" i="1"/>
  <c r="BJ2380" i="1"/>
  <c r="BJ2381" i="1"/>
  <c r="BJ2382" i="1"/>
  <c r="BJ2383" i="1"/>
  <c r="BJ2386" i="1"/>
  <c r="BJ2387" i="1"/>
  <c r="BJ2389" i="1"/>
  <c r="BJ2391" i="1"/>
  <c r="BJ2393" i="1"/>
  <c r="BJ2394" i="1"/>
  <c r="BJ2395" i="1"/>
  <c r="BJ2396" i="1"/>
  <c r="BJ2399" i="1"/>
  <c r="BJ2401" i="1"/>
  <c r="BJ2403" i="1"/>
  <c r="BJ2404" i="1"/>
  <c r="BJ2405" i="1"/>
  <c r="BJ2406" i="1"/>
  <c r="BJ2408" i="1"/>
  <c r="BJ2409" i="1"/>
  <c r="BJ2410" i="1"/>
  <c r="BJ2411" i="1"/>
  <c r="BJ2412" i="1"/>
  <c r="BJ2413" i="1"/>
  <c r="BJ2414" i="1"/>
  <c r="BJ2415" i="1"/>
  <c r="BJ2416" i="1"/>
  <c r="BJ2418" i="1"/>
  <c r="BJ2423" i="1"/>
  <c r="BJ2424" i="1"/>
  <c r="BJ2426" i="1"/>
  <c r="BJ2428" i="1"/>
  <c r="BJ2431" i="1"/>
  <c r="BJ2432" i="1"/>
  <c r="BJ2433" i="1"/>
  <c r="BJ2434" i="1"/>
  <c r="BJ2436" i="1"/>
  <c r="BJ2437" i="1"/>
  <c r="BJ2438" i="1"/>
  <c r="BJ2439" i="1"/>
  <c r="BJ2441" i="1"/>
  <c r="BJ2442" i="1"/>
  <c r="BJ2443" i="1"/>
  <c r="BJ2444" i="1"/>
  <c r="BJ2445" i="1"/>
  <c r="BJ2449" i="1"/>
  <c r="BJ2450" i="1"/>
  <c r="BJ2452" i="1"/>
  <c r="BJ2454" i="1"/>
  <c r="BJ2456" i="1"/>
  <c r="BJ2457" i="1"/>
  <c r="BJ2458" i="1"/>
  <c r="BJ2459" i="1"/>
  <c r="BJ2462" i="1"/>
  <c r="BJ2464" i="1"/>
  <c r="BJ2467" i="1"/>
  <c r="BJ2468" i="1"/>
  <c r="BJ2469" i="1"/>
  <c r="BJ2472" i="1"/>
  <c r="BJ2475" i="1"/>
  <c r="BJ2476" i="1"/>
  <c r="BJ2477" i="1"/>
  <c r="BJ2478" i="1"/>
  <c r="BJ2479" i="1"/>
  <c r="BJ2480" i="1"/>
  <c r="BJ2481" i="1"/>
  <c r="BJ2482" i="1"/>
  <c r="BJ2483" i="1"/>
  <c r="BJ2484" i="1"/>
  <c r="BJ2486" i="1"/>
  <c r="BJ2487" i="1"/>
  <c r="BJ2488" i="1"/>
  <c r="BJ2489" i="1"/>
  <c r="BJ2494" i="1"/>
  <c r="BJ2496" i="1"/>
  <c r="BJ2497" i="1"/>
  <c r="BJ2498" i="1"/>
  <c r="BJ2499" i="1"/>
  <c r="BJ2500" i="1"/>
  <c r="BJ2502" i="1"/>
  <c r="BJ2505" i="1"/>
  <c r="BJ2506" i="1"/>
  <c r="BJ2507" i="1"/>
  <c r="BJ2508" i="1"/>
  <c r="BJ2509" i="1"/>
  <c r="BJ2511" i="1"/>
  <c r="BJ2512" i="1"/>
  <c r="BJ2513" i="1"/>
  <c r="BJ2515" i="1"/>
  <c r="BJ2516" i="1"/>
  <c r="BJ2517" i="1"/>
  <c r="BJ2518" i="1"/>
  <c r="BJ2520" i="1"/>
  <c r="BJ2521" i="1"/>
  <c r="BJ2523" i="1"/>
  <c r="BJ2526" i="1"/>
  <c r="BJ2529" i="1"/>
  <c r="BJ2530" i="1"/>
  <c r="BJ2531" i="1"/>
  <c r="BJ2538" i="1"/>
  <c r="BJ2540" i="1"/>
  <c r="BJ2541" i="1"/>
  <c r="BJ2543" i="1"/>
  <c r="BJ2544" i="1"/>
  <c r="BJ2546" i="1"/>
  <c r="BJ2549" i="1"/>
  <c r="BJ2550" i="1"/>
  <c r="BJ2552" i="1"/>
  <c r="BJ2553" i="1"/>
  <c r="BJ2557" i="1"/>
  <c r="BJ2558" i="1"/>
  <c r="BJ2560" i="1"/>
  <c r="BJ2561" i="1"/>
  <c r="BJ2566" i="1"/>
  <c r="BJ2567" i="1"/>
  <c r="BJ2568" i="1"/>
  <c r="BJ2569" i="1"/>
  <c r="BJ2578" i="1"/>
  <c r="BJ2580" i="1"/>
  <c r="BJ2585" i="1"/>
  <c r="BJ2586" i="1"/>
  <c r="BJ2589" i="1"/>
  <c r="BJ2591" i="1"/>
  <c r="BJ2593" i="1"/>
  <c r="BJ2596" i="1"/>
  <c r="BJ2598" i="1"/>
  <c r="BJ2599" i="1"/>
  <c r="BJ2607" i="1"/>
  <c r="BJ2610" i="1"/>
  <c r="BJ2613" i="1"/>
  <c r="BJ2615" i="1"/>
  <c r="BJ2616" i="1"/>
  <c r="BJ2617" i="1"/>
  <c r="BJ2620" i="1"/>
  <c r="BJ2626" i="1"/>
  <c r="BJ2627" i="1"/>
  <c r="BJ2628" i="1"/>
  <c r="BJ2630" i="1"/>
  <c r="BJ2631" i="1"/>
  <c r="BJ2632" i="1"/>
  <c r="BJ2633" i="1"/>
  <c r="BJ2636" i="1"/>
  <c r="BJ2638" i="1"/>
  <c r="BJ2642" i="1"/>
  <c r="BJ2643" i="1"/>
  <c r="BJ2644" i="1"/>
  <c r="BJ2649" i="1"/>
  <c r="BJ2650" i="1"/>
  <c r="BJ2663" i="1"/>
  <c r="BJ2664" i="1"/>
  <c r="BJ2668" i="1"/>
  <c r="BJ2669" i="1"/>
  <c r="BJ2672" i="1"/>
  <c r="BJ2674" i="1"/>
  <c r="BJ2676" i="1"/>
  <c r="BJ2677" i="1"/>
  <c r="BJ2678" i="1"/>
  <c r="BJ2679" i="1"/>
  <c r="BJ2681" i="1"/>
  <c r="BJ2683" i="1"/>
  <c r="BJ2684" i="1"/>
  <c r="BJ2685" i="1"/>
  <c r="BJ2686" i="1"/>
  <c r="BJ2691" i="1"/>
  <c r="BJ2692" i="1"/>
  <c r="BJ2696" i="1"/>
  <c r="BJ2698" i="1"/>
  <c r="BJ2699" i="1"/>
  <c r="BJ2700" i="1"/>
  <c r="BJ2701" i="1"/>
  <c r="BJ2702" i="1"/>
  <c r="BJ2703" i="1"/>
  <c r="BJ2704" i="1"/>
  <c r="BJ2705" i="1"/>
  <c r="BJ2708" i="1"/>
  <c r="BJ2710" i="1"/>
  <c r="BJ2712" i="1"/>
  <c r="BJ2714" i="1"/>
  <c r="BJ2716" i="1"/>
  <c r="BJ2717" i="1"/>
  <c r="BJ2720" i="1"/>
  <c r="BJ2723" i="1"/>
  <c r="BJ2724" i="1"/>
  <c r="BJ2726" i="1"/>
  <c r="BJ2728" i="1"/>
  <c r="BJ2729" i="1"/>
  <c r="BJ2732" i="1"/>
  <c r="BJ2734" i="1"/>
  <c r="BJ2738" i="1"/>
  <c r="BJ2740" i="1"/>
  <c r="BJ2741" i="1"/>
  <c r="BJ2742" i="1"/>
  <c r="BJ2743" i="1"/>
  <c r="BJ2744" i="1"/>
  <c r="BJ2747" i="1"/>
  <c r="BJ2750" i="1"/>
  <c r="BJ2754" i="1"/>
  <c r="BJ2755" i="1"/>
  <c r="BJ2760" i="1"/>
  <c r="BJ2761" i="1"/>
  <c r="BJ2762" i="1"/>
  <c r="BJ2763" i="1"/>
  <c r="BJ2765" i="1"/>
  <c r="BJ2769" i="1"/>
  <c r="BJ2772" i="1"/>
  <c r="BJ2774" i="1"/>
  <c r="BJ2777" i="1"/>
  <c r="BJ2778" i="1"/>
  <c r="BJ2780" i="1"/>
  <c r="BJ2783" i="1"/>
  <c r="BJ2784" i="1"/>
  <c r="BJ2789" i="1"/>
  <c r="BJ2790" i="1"/>
  <c r="BJ2791" i="1"/>
  <c r="BJ2795" i="1"/>
  <c r="BJ2798" i="1"/>
  <c r="BJ2801" i="1"/>
  <c r="BJ2802" i="1"/>
  <c r="BJ2804" i="1"/>
  <c r="BJ2806" i="1"/>
  <c r="BJ2807" i="1"/>
  <c r="BJ2808" i="1"/>
  <c r="BJ2811" i="1"/>
  <c r="BJ2816" i="1"/>
  <c r="BJ2817" i="1"/>
  <c r="BJ2821" i="1"/>
  <c r="BJ2822" i="1"/>
  <c r="BJ2824" i="1"/>
  <c r="BJ2827" i="1"/>
  <c r="BJ2828" i="1"/>
  <c r="BJ2832" i="1"/>
  <c r="BJ2833" i="1"/>
  <c r="BJ2834" i="1"/>
  <c r="BJ2841" i="1"/>
  <c r="BJ2842" i="1"/>
  <c r="BJ2843" i="1"/>
  <c r="BJ2847" i="1"/>
  <c r="BJ2848" i="1"/>
  <c r="BJ2851" i="1"/>
  <c r="BJ2852" i="1"/>
  <c r="BJ2853" i="1"/>
  <c r="BJ2854" i="1"/>
  <c r="BJ2855" i="1"/>
  <c r="BJ2860" i="1"/>
  <c r="BJ2862" i="1"/>
  <c r="BJ2863" i="1"/>
  <c r="BJ2864" i="1"/>
  <c r="BJ2868" i="1"/>
  <c r="BJ2869" i="1"/>
  <c r="BJ2870" i="1"/>
  <c r="BJ2875" i="1"/>
  <c r="BJ2876" i="1"/>
  <c r="BJ2877" i="1"/>
  <c r="BJ2878" i="1"/>
  <c r="BJ2880" i="1"/>
  <c r="BJ2882" i="1"/>
  <c r="BJ2888" i="1"/>
  <c r="BJ2891" i="1"/>
  <c r="BJ2893" i="1"/>
  <c r="BJ2896" i="1"/>
  <c r="BJ2899" i="1"/>
  <c r="BJ2900" i="1"/>
  <c r="BJ2902" i="1"/>
  <c r="BJ2903" i="1"/>
  <c r="BJ2906" i="1"/>
  <c r="BJ2907" i="1"/>
  <c r="BJ2912" i="1"/>
  <c r="BJ2913" i="1"/>
  <c r="BJ2914" i="1"/>
  <c r="BJ2915" i="1"/>
  <c r="BJ2918" i="1"/>
  <c r="BJ2919" i="1"/>
  <c r="BJ2920" i="1"/>
  <c r="BJ2921" i="1"/>
  <c r="BJ2924" i="1"/>
  <c r="BJ2929" i="1"/>
  <c r="BJ2931" i="1"/>
  <c r="BJ2933" i="1"/>
  <c r="BJ2937" i="1"/>
  <c r="BJ2938" i="1"/>
  <c r="BJ2939" i="1"/>
  <c r="BJ2943" i="1"/>
  <c r="BJ2944" i="1"/>
  <c r="BJ2945" i="1"/>
  <c r="BJ2946" i="1"/>
  <c r="BJ2947" i="1"/>
  <c r="BJ2950" i="1"/>
  <c r="BJ2951" i="1"/>
  <c r="BJ2953" i="1"/>
  <c r="BJ2955" i="1"/>
  <c r="BJ2958" i="1"/>
  <c r="BJ2960" i="1"/>
  <c r="BJ2961" i="1"/>
  <c r="BJ2962" i="1"/>
  <c r="BJ2963" i="1"/>
  <c r="BJ2964" i="1"/>
  <c r="BJ2965" i="1"/>
  <c r="BJ2967" i="1"/>
  <c r="BJ2968" i="1"/>
  <c r="BJ2969" i="1"/>
  <c r="BJ2972" i="1"/>
  <c r="BJ2974" i="1"/>
  <c r="BJ2980" i="1"/>
  <c r="BJ2983" i="1"/>
  <c r="BJ2984" i="1"/>
  <c r="BJ2986" i="1"/>
  <c r="BJ2987" i="1"/>
  <c r="BJ2988" i="1"/>
  <c r="BJ2989" i="1"/>
  <c r="BJ2994" i="1"/>
  <c r="BJ2996" i="1"/>
  <c r="BJ2997" i="1"/>
  <c r="BJ2998" i="1"/>
  <c r="BJ2999" i="1"/>
  <c r="BJ3000" i="1"/>
  <c r="BJ3002" i="1"/>
  <c r="BJ3003" i="1"/>
  <c r="BJ3004" i="1"/>
  <c r="BJ3006" i="1"/>
  <c r="BJ3008" i="1"/>
  <c r="BJ3009" i="1"/>
  <c r="BJ3011" i="1"/>
  <c r="BJ3017" i="1"/>
  <c r="BJ3019" i="1"/>
  <c r="BJ3023" i="1"/>
  <c r="BJ3025" i="1"/>
  <c r="BJ3027" i="1"/>
  <c r="BJ3028" i="1"/>
  <c r="BJ3029" i="1"/>
  <c r="BJ3031" i="1"/>
  <c r="BJ3032" i="1"/>
  <c r="BJ3037" i="1"/>
  <c r="BJ3038" i="1"/>
  <c r="BJ3039" i="1"/>
  <c r="BJ3040" i="1"/>
  <c r="BJ3043" i="1"/>
  <c r="BJ3044" i="1"/>
  <c r="BJ3045" i="1"/>
  <c r="BJ3046" i="1"/>
  <c r="BJ3048" i="1"/>
  <c r="BJ3051" i="1"/>
  <c r="BJ3054" i="1"/>
  <c r="BJ3056" i="1"/>
  <c r="BJ3058" i="1"/>
  <c r="BJ3063" i="1"/>
  <c r="BJ3064" i="1"/>
  <c r="BJ3066" i="1"/>
  <c r="BJ3067" i="1"/>
  <c r="BJ3072" i="1"/>
  <c r="BJ3073" i="1"/>
  <c r="BJ3075" i="1"/>
  <c r="BJ3079" i="1"/>
  <c r="BJ3081" i="1"/>
  <c r="BJ3083" i="1"/>
  <c r="BJ3084" i="1"/>
  <c r="BJ3093" i="1"/>
  <c r="BJ3094" i="1"/>
  <c r="BJ3095" i="1"/>
  <c r="BJ3096" i="1"/>
  <c r="BJ3097" i="1"/>
  <c r="BJ3098" i="1"/>
  <c r="BJ3099" i="1"/>
  <c r="BJ3102" i="1"/>
  <c r="BJ3105" i="1"/>
  <c r="BJ3107" i="1"/>
  <c r="BJ3117" i="1"/>
  <c r="BJ3121" i="1"/>
  <c r="BJ3124" i="1"/>
  <c r="BJ3131" i="1"/>
  <c r="BJ3136" i="1"/>
  <c r="BJ3137" i="1"/>
  <c r="BJ3139" i="1"/>
  <c r="BJ3141" i="1"/>
  <c r="BJ3142" i="1"/>
  <c r="BJ3143" i="1"/>
  <c r="BJ3144" i="1"/>
  <c r="BJ3145" i="1"/>
  <c r="BJ3147" i="1"/>
  <c r="BJ3150" i="1"/>
  <c r="BJ3151" i="1"/>
  <c r="BJ3152" i="1"/>
  <c r="BJ3153" i="1"/>
  <c r="BJ3154" i="1"/>
  <c r="BJ3158" i="1"/>
  <c r="BJ3159" i="1"/>
  <c r="BJ3160" i="1"/>
  <c r="BJ3164" i="1"/>
  <c r="BJ3166" i="1"/>
  <c r="BJ3167" i="1"/>
  <c r="BJ3169" i="1"/>
  <c r="BJ3174" i="1"/>
  <c r="BJ3180" i="1"/>
  <c r="BJ3181" i="1"/>
  <c r="BJ3182" i="1"/>
  <c r="BJ3183" i="1"/>
  <c r="BJ3184" i="1"/>
  <c r="BJ3186" i="1"/>
  <c r="BJ3187" i="1"/>
  <c r="BJ3197" i="1"/>
  <c r="BJ3198" i="1"/>
  <c r="BJ3205" i="1"/>
  <c r="BJ3206" i="1"/>
  <c r="BU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104" i="1"/>
  <c r="BV105" i="1"/>
  <c r="BV106" i="1"/>
  <c r="BV107" i="1"/>
  <c r="BV108" i="1"/>
  <c r="BV109" i="1"/>
  <c r="BV110" i="1"/>
  <c r="BV111" i="1"/>
  <c r="BV112" i="1"/>
  <c r="BV113" i="1"/>
  <c r="BV114" i="1"/>
  <c r="BV116" i="1"/>
  <c r="BV117" i="1"/>
  <c r="BV118" i="1"/>
  <c r="BV119" i="1"/>
  <c r="BV120" i="1"/>
  <c r="BV121" i="1"/>
  <c r="BV122" i="1"/>
  <c r="BV123" i="1"/>
  <c r="BV124" i="1"/>
  <c r="BV125" i="1"/>
  <c r="BV126" i="1"/>
  <c r="BV127" i="1"/>
  <c r="BV128" i="1"/>
  <c r="BV129" i="1"/>
  <c r="BV130" i="1"/>
  <c r="BV131" i="1"/>
  <c r="BV132" i="1"/>
  <c r="BV133" i="1"/>
  <c r="BV134" i="1"/>
  <c r="BV135" i="1"/>
  <c r="BV136" i="1"/>
  <c r="BV138" i="1"/>
  <c r="BV139" i="1"/>
  <c r="BV140" i="1"/>
  <c r="BV141" i="1"/>
  <c r="BV142" i="1"/>
  <c r="BV143" i="1"/>
  <c r="BV144" i="1"/>
  <c r="BV145" i="1"/>
  <c r="BV146" i="1"/>
  <c r="BV147" i="1"/>
  <c r="BV148" i="1"/>
  <c r="BV149" i="1"/>
  <c r="BV150" i="1"/>
  <c r="BV151" i="1"/>
  <c r="BV152" i="1"/>
  <c r="BV153" i="1"/>
  <c r="BV154" i="1"/>
  <c r="BV155" i="1"/>
  <c r="BV156" i="1"/>
  <c r="BV157" i="1"/>
  <c r="BV158" i="1"/>
  <c r="BV160" i="1"/>
  <c r="BV161" i="1"/>
  <c r="BV162" i="1"/>
  <c r="BV163" i="1"/>
  <c r="BV164" i="1"/>
  <c r="BV165" i="1"/>
  <c r="BV166" i="1"/>
  <c r="BV167" i="1"/>
  <c r="BV168" i="1"/>
  <c r="BV169" i="1"/>
  <c r="BV170" i="1"/>
  <c r="BV171" i="1"/>
  <c r="BV172" i="1"/>
  <c r="BV173" i="1"/>
  <c r="BV174" i="1"/>
  <c r="BV175" i="1"/>
  <c r="BV176" i="1"/>
  <c r="BV177" i="1"/>
  <c r="BV178" i="1"/>
  <c r="BV180" i="1"/>
  <c r="BV181" i="1"/>
  <c r="BV182" i="1"/>
  <c r="BV183" i="1"/>
  <c r="BV184" i="1"/>
  <c r="BV185" i="1"/>
  <c r="BV186" i="1"/>
  <c r="BV187" i="1"/>
  <c r="BV188" i="1"/>
  <c r="BV189" i="1"/>
  <c r="BV190" i="1"/>
  <c r="BV191" i="1"/>
  <c r="BV192" i="1"/>
  <c r="BV193" i="1"/>
  <c r="BV194" i="1"/>
  <c r="BV196" i="1"/>
  <c r="BV197" i="1"/>
  <c r="BV198" i="1"/>
  <c r="BV199" i="1"/>
  <c r="BV200" i="1"/>
  <c r="BV201" i="1"/>
  <c r="BV202" i="1"/>
  <c r="BV203" i="1"/>
  <c r="BV205" i="1"/>
  <c r="BV206" i="1"/>
  <c r="BV282" i="1"/>
  <c r="BV283" i="1"/>
  <c r="BV284" i="1"/>
  <c r="BV285" i="1"/>
  <c r="BV286" i="1"/>
  <c r="BV287" i="1"/>
  <c r="BV288" i="1"/>
  <c r="BV289" i="1"/>
  <c r="BV290" i="1"/>
  <c r="BV291" i="1"/>
  <c r="BV292" i="1"/>
  <c r="BV293" i="1"/>
  <c r="BV294" i="1"/>
  <c r="BV295" i="1"/>
  <c r="BV296" i="1"/>
  <c r="BV297" i="1"/>
  <c r="BV298" i="1"/>
  <c r="BV299" i="1"/>
  <c r="BV300" i="1"/>
  <c r="BV301" i="1"/>
  <c r="BV302" i="1"/>
  <c r="BV303" i="1"/>
  <c r="BV304" i="1"/>
  <c r="BV305" i="1"/>
  <c r="BV306" i="1"/>
  <c r="BV307" i="1"/>
  <c r="BV308" i="1"/>
  <c r="BV309" i="1"/>
  <c r="BV310" i="1"/>
  <c r="BV311" i="1"/>
  <c r="BV312" i="1"/>
  <c r="BV313" i="1"/>
  <c r="BV315" i="1"/>
  <c r="BV316" i="1"/>
  <c r="BV317" i="1"/>
  <c r="BV318" i="1"/>
  <c r="BV319" i="1"/>
  <c r="BV320" i="1"/>
  <c r="BV321" i="1"/>
  <c r="BV322" i="1"/>
  <c r="BV323" i="1"/>
  <c r="BV324" i="1"/>
  <c r="BV325" i="1"/>
  <c r="BV326" i="1"/>
  <c r="BV327" i="1"/>
  <c r="BV328" i="1"/>
  <c r="BV330" i="1"/>
  <c r="BV333" i="1"/>
  <c r="BV334" i="1"/>
  <c r="BV335" i="1"/>
  <c r="BV336" i="1"/>
  <c r="BV337" i="1"/>
  <c r="BV338" i="1"/>
  <c r="BV339" i="1"/>
  <c r="BV341" i="1"/>
  <c r="BV342" i="1"/>
  <c r="BV343" i="1"/>
  <c r="BV344" i="1"/>
  <c r="BV345" i="1"/>
  <c r="BV346" i="1"/>
  <c r="BV347" i="1"/>
  <c r="BV348" i="1"/>
  <c r="BV349" i="1"/>
  <c r="BV350" i="1"/>
  <c r="BV351" i="1"/>
  <c r="BV352" i="1"/>
  <c r="BV353" i="1"/>
  <c r="BV354" i="1"/>
  <c r="BV355" i="1"/>
  <c r="BV356" i="1"/>
  <c r="BV357" i="1"/>
  <c r="BV358" i="1"/>
  <c r="BV359" i="1"/>
  <c r="BV360" i="1"/>
  <c r="BV361" i="1"/>
  <c r="BV362" i="1"/>
  <c r="BV363" i="1"/>
  <c r="BV364" i="1"/>
  <c r="BV365" i="1"/>
  <c r="BV366" i="1"/>
  <c r="BV367" i="1"/>
  <c r="BV368" i="1"/>
  <c r="BV369" i="1"/>
  <c r="BV370" i="1"/>
  <c r="BV371" i="1"/>
  <c r="BV372" i="1"/>
  <c r="BV373" i="1"/>
  <c r="BV374" i="1"/>
  <c r="BV375" i="1"/>
  <c r="BV376" i="1"/>
  <c r="BV377" i="1"/>
  <c r="BV378" i="1"/>
  <c r="BV379" i="1"/>
  <c r="BV380" i="1"/>
  <c r="BV381" i="1"/>
  <c r="BV382" i="1"/>
  <c r="BV383" i="1"/>
  <c r="BV384" i="1"/>
  <c r="BV385" i="1"/>
  <c r="BV386" i="1"/>
  <c r="BV387" i="1"/>
  <c r="BV388" i="1"/>
  <c r="BV389" i="1"/>
  <c r="BV390" i="1"/>
  <c r="BV392" i="1"/>
  <c r="BV393" i="1"/>
  <c r="BV394" i="1"/>
  <c r="BV395" i="1"/>
  <c r="BV396" i="1"/>
  <c r="BV397" i="1"/>
  <c r="BV398" i="1"/>
  <c r="BV399" i="1"/>
  <c r="BV400" i="1"/>
  <c r="BV401" i="1"/>
  <c r="BV402" i="1"/>
  <c r="BV403" i="1"/>
  <c r="BV404" i="1"/>
  <c r="BV405" i="1"/>
  <c r="BV406" i="1"/>
  <c r="BV407" i="1"/>
  <c r="BV408" i="1"/>
  <c r="BV409" i="1"/>
  <c r="BV410" i="1"/>
  <c r="BV411" i="1"/>
  <c r="BV412" i="1"/>
  <c r="BV413" i="1"/>
  <c r="BV414" i="1"/>
  <c r="BV415" i="1"/>
  <c r="BV416" i="1"/>
  <c r="BV417" i="1"/>
  <c r="BV418" i="1"/>
  <c r="BV419" i="1"/>
  <c r="BV420" i="1"/>
  <c r="BV421" i="1"/>
  <c r="BV422" i="1"/>
  <c r="BV423" i="1"/>
  <c r="BV424" i="1"/>
  <c r="BV425" i="1"/>
  <c r="BV426" i="1"/>
  <c r="BV427" i="1"/>
  <c r="BV428" i="1"/>
  <c r="BV429" i="1"/>
  <c r="BV430" i="1"/>
  <c r="BV431" i="1"/>
  <c r="BV432" i="1"/>
  <c r="BV433" i="1"/>
  <c r="BV434" i="1"/>
  <c r="BV435" i="1"/>
  <c r="BV436" i="1"/>
  <c r="BV437" i="1"/>
  <c r="BV438" i="1"/>
  <c r="BV439" i="1"/>
  <c r="BV440" i="1"/>
  <c r="BV441" i="1"/>
  <c r="BV442" i="1"/>
  <c r="BV443" i="1"/>
  <c r="BV444" i="1"/>
  <c r="BV447" i="1"/>
  <c r="BV448" i="1"/>
  <c r="BV449" i="1"/>
  <c r="BV450" i="1"/>
  <c r="BV451" i="1"/>
  <c r="BV452" i="1"/>
  <c r="BV453" i="1"/>
  <c r="BV454" i="1"/>
  <c r="BV455" i="1"/>
  <c r="BV456" i="1"/>
  <c r="BV457" i="1"/>
  <c r="BV458" i="1"/>
  <c r="BV460" i="1"/>
  <c r="BV461" i="1"/>
  <c r="BV462" i="1"/>
  <c r="BV463" i="1"/>
  <c r="BV466" i="1"/>
  <c r="BV467" i="1"/>
  <c r="BV468" i="1"/>
  <c r="BV469" i="1"/>
  <c r="BV470" i="1"/>
  <c r="BV471" i="1"/>
  <c r="BV472" i="1"/>
  <c r="BV473" i="1"/>
  <c r="BV474" i="1"/>
  <c r="BV475" i="1"/>
  <c r="BV477" i="1"/>
  <c r="BV479" i="1"/>
  <c r="BV480" i="1"/>
  <c r="BV481" i="1"/>
  <c r="BV482" i="1"/>
  <c r="BV483" i="1"/>
  <c r="BV484" i="1"/>
  <c r="BV485" i="1"/>
  <c r="BV486" i="1"/>
  <c r="BV488" i="1"/>
  <c r="BV489" i="1"/>
  <c r="BV490" i="1"/>
  <c r="BV491" i="1"/>
  <c r="BV492" i="1"/>
  <c r="BV494" i="1"/>
  <c r="BV495" i="1"/>
  <c r="BV496" i="1"/>
  <c r="BV497" i="1"/>
  <c r="BV498" i="1"/>
  <c r="BV499" i="1"/>
  <c r="BV500" i="1"/>
  <c r="BV501" i="1"/>
  <c r="BV502" i="1"/>
  <c r="BV503" i="1"/>
  <c r="BV504" i="1"/>
  <c r="BV505" i="1"/>
  <c r="BV506" i="1"/>
  <c r="BV507" i="1"/>
  <c r="BV508" i="1"/>
  <c r="BV509" i="1"/>
  <c r="BV510" i="1"/>
  <c r="BV511" i="1"/>
  <c r="BV512" i="1"/>
  <c r="BV513" i="1"/>
  <c r="BV515" i="1"/>
  <c r="BV516" i="1"/>
  <c r="BV517" i="1"/>
  <c r="BV518" i="1"/>
  <c r="BV519" i="1"/>
  <c r="BV520" i="1"/>
  <c r="BV522" i="1"/>
  <c r="BV523" i="1"/>
  <c r="BV524" i="1"/>
  <c r="BV525" i="1"/>
  <c r="BV526" i="1"/>
  <c r="BV527" i="1"/>
  <c r="BV528" i="1"/>
  <c r="BV529" i="1"/>
  <c r="BV530" i="1"/>
  <c r="BV531" i="1"/>
  <c r="BV532" i="1"/>
  <c r="BV533" i="1"/>
  <c r="BV534" i="1"/>
  <c r="BV535" i="1"/>
  <c r="BV536" i="1"/>
  <c r="BV537" i="1"/>
  <c r="BV538" i="1"/>
  <c r="BV539" i="1"/>
  <c r="BV540" i="1"/>
  <c r="BV541" i="1"/>
  <c r="BV542" i="1"/>
  <c r="BV543" i="1"/>
  <c r="BV544" i="1"/>
  <c r="BV545" i="1"/>
  <c r="BV546" i="1"/>
  <c r="BV547" i="1"/>
  <c r="BV548" i="1"/>
  <c r="BV549" i="1"/>
  <c r="BV550" i="1"/>
  <c r="BV551" i="1"/>
  <c r="BV552" i="1"/>
  <c r="BV553" i="1"/>
  <c r="BV554" i="1"/>
  <c r="BV555" i="1"/>
  <c r="BV556" i="1"/>
  <c r="BV557" i="1"/>
  <c r="BV558" i="1"/>
  <c r="BV559" i="1"/>
  <c r="BV560" i="1"/>
  <c r="BV563" i="1"/>
  <c r="BV564" i="1"/>
  <c r="BV565" i="1"/>
  <c r="BV566" i="1"/>
  <c r="BV567" i="1"/>
  <c r="BV569" i="1"/>
  <c r="BV570" i="1"/>
  <c r="BV571" i="1"/>
  <c r="BV572" i="1"/>
  <c r="BV573" i="1"/>
  <c r="BV574" i="1"/>
  <c r="BV575" i="1"/>
  <c r="BV576" i="1"/>
  <c r="BV577" i="1"/>
  <c r="BV578" i="1"/>
  <c r="BV579" i="1"/>
  <c r="BV580" i="1"/>
  <c r="BV581" i="1"/>
  <c r="BV582" i="1"/>
  <c r="BV583" i="1"/>
  <c r="BV584" i="1"/>
  <c r="BV585" i="1"/>
  <c r="BV586" i="1"/>
  <c r="BV587" i="1"/>
  <c r="BV589" i="1"/>
  <c r="BV590" i="1"/>
  <c r="BV591" i="1"/>
  <c r="BV592" i="1"/>
  <c r="BV593" i="1"/>
  <c r="BV594" i="1"/>
  <c r="BV595" i="1"/>
  <c r="BV596" i="1"/>
  <c r="BV597" i="1"/>
  <c r="BV598" i="1"/>
  <c r="BV599" i="1"/>
  <c r="BV600" i="1"/>
  <c r="BV601" i="1"/>
  <c r="BV602" i="1"/>
  <c r="BV603" i="1"/>
  <c r="BV604" i="1"/>
  <c r="BV605" i="1"/>
  <c r="BV606" i="1"/>
  <c r="BV607" i="1"/>
  <c r="BV608" i="1"/>
  <c r="BV609" i="1"/>
  <c r="BV611" i="1"/>
  <c r="BV612" i="1"/>
  <c r="BV614" i="1"/>
  <c r="BV615" i="1"/>
  <c r="BV616" i="1"/>
  <c r="BV617" i="1"/>
  <c r="BV618" i="1"/>
  <c r="BV619" i="1"/>
  <c r="BV620" i="1"/>
  <c r="BV621" i="1"/>
  <c r="BV622" i="1"/>
  <c r="BV623" i="1"/>
  <c r="BV624" i="1"/>
  <c r="BV625" i="1"/>
  <c r="BV626" i="1"/>
  <c r="BV627" i="1"/>
  <c r="BV628" i="1"/>
  <c r="BV629" i="1"/>
  <c r="BV630" i="1"/>
  <c r="BV631" i="1"/>
  <c r="BV632" i="1"/>
  <c r="BV633" i="1"/>
  <c r="BV634" i="1"/>
  <c r="BV635" i="1"/>
  <c r="BV636" i="1"/>
  <c r="BV637" i="1"/>
  <c r="BV638" i="1"/>
  <c r="BV639" i="1"/>
  <c r="BV640" i="1"/>
  <c r="BV641" i="1"/>
  <c r="BV642" i="1"/>
  <c r="BV643" i="1"/>
  <c r="BV644" i="1"/>
  <c r="BV645" i="1"/>
  <c r="BV646" i="1"/>
  <c r="BV647" i="1"/>
  <c r="BV648" i="1"/>
  <c r="BV649" i="1"/>
  <c r="BV650" i="1"/>
  <c r="BV651" i="1"/>
  <c r="BV652" i="1"/>
  <c r="BV653" i="1"/>
  <c r="BV654" i="1"/>
  <c r="BV655" i="1"/>
  <c r="BV656" i="1"/>
  <c r="BV657" i="1"/>
  <c r="BV658" i="1"/>
  <c r="BV659" i="1"/>
  <c r="BV660" i="1"/>
  <c r="BV661" i="1"/>
  <c r="BV662" i="1"/>
  <c r="BV663" i="1"/>
  <c r="BV664" i="1"/>
  <c r="BV665" i="1"/>
  <c r="BV666" i="1"/>
  <c r="BV667" i="1"/>
  <c r="BV668" i="1"/>
  <c r="BV669" i="1"/>
  <c r="BV670" i="1"/>
  <c r="BV671" i="1"/>
  <c r="BV672" i="1"/>
  <c r="BV673" i="1"/>
  <c r="BV674" i="1"/>
  <c r="BV675" i="1"/>
  <c r="BV676" i="1"/>
  <c r="BV677" i="1"/>
  <c r="BV678" i="1"/>
  <c r="BV679" i="1"/>
  <c r="BV680" i="1"/>
  <c r="BV681" i="1"/>
  <c r="BV682" i="1"/>
  <c r="BV683" i="1"/>
  <c r="BV684" i="1"/>
  <c r="BV685" i="1"/>
  <c r="BV686" i="1"/>
  <c r="BV688" i="1"/>
  <c r="BV689" i="1"/>
  <c r="BV690" i="1"/>
  <c r="BV691" i="1"/>
  <c r="BV692" i="1"/>
  <c r="BV693" i="1"/>
  <c r="BV694" i="1"/>
  <c r="BV695" i="1"/>
  <c r="BV696" i="1"/>
  <c r="BV697" i="1"/>
  <c r="BV698" i="1"/>
  <c r="BV699" i="1"/>
  <c r="BV700" i="1"/>
  <c r="BV701" i="1"/>
  <c r="BV702" i="1"/>
  <c r="BV703" i="1"/>
  <c r="BV704" i="1"/>
  <c r="BV705" i="1"/>
  <c r="BV706" i="1"/>
  <c r="BV708" i="1"/>
  <c r="BV709" i="1"/>
  <c r="BV711" i="1"/>
  <c r="BV712" i="1"/>
  <c r="BV713" i="1"/>
  <c r="BV714" i="1"/>
  <c r="BV715" i="1"/>
  <c r="BV716" i="1"/>
  <c r="BV717" i="1"/>
  <c r="BV718" i="1"/>
  <c r="BV719" i="1"/>
  <c r="BV720" i="1"/>
  <c r="BV722" i="1"/>
  <c r="BV723" i="1"/>
  <c r="BV724" i="1"/>
  <c r="BV725" i="1"/>
  <c r="BV726" i="1"/>
  <c r="BV727" i="1"/>
  <c r="BV728" i="1"/>
  <c r="BV729" i="1"/>
  <c r="BV730" i="1"/>
  <c r="BV731" i="1"/>
  <c r="BV732" i="1"/>
  <c r="BV733" i="1"/>
  <c r="BV734" i="1"/>
  <c r="BV735" i="1"/>
  <c r="BV736" i="1"/>
  <c r="BV738" i="1"/>
  <c r="BV741" i="1"/>
  <c r="BV743" i="1"/>
  <c r="BV744" i="1"/>
  <c r="BV745" i="1"/>
  <c r="BV746" i="1"/>
  <c r="BV747" i="1"/>
  <c r="BV748" i="1"/>
  <c r="BV749" i="1"/>
  <c r="BV750" i="1"/>
  <c r="BV751" i="1"/>
  <c r="BV752" i="1"/>
  <c r="BV753" i="1"/>
  <c r="BV754" i="1"/>
  <c r="BV755" i="1"/>
  <c r="BV756" i="1"/>
  <c r="BV757" i="1"/>
  <c r="BV758" i="1"/>
  <c r="BV759" i="1"/>
  <c r="BV760" i="1"/>
  <c r="BV761" i="1"/>
  <c r="BV762" i="1"/>
  <c r="BV763" i="1"/>
  <c r="BV764" i="1"/>
  <c r="BV765" i="1"/>
  <c r="BV766" i="1"/>
  <c r="BV767" i="1"/>
  <c r="BV768" i="1"/>
  <c r="BV769" i="1"/>
  <c r="BV770" i="1"/>
  <c r="BV771" i="1"/>
  <c r="BV772" i="1"/>
  <c r="BV773" i="1"/>
  <c r="BV774" i="1"/>
  <c r="BV775" i="1"/>
  <c r="BV776" i="1"/>
  <c r="BV778" i="1"/>
  <c r="BV779" i="1"/>
  <c r="BV780" i="1"/>
  <c r="BV782" i="1"/>
  <c r="BV783" i="1"/>
  <c r="BV784" i="1"/>
  <c r="BV785" i="1"/>
  <c r="BV786" i="1"/>
  <c r="BV787" i="1"/>
  <c r="BV788" i="1"/>
  <c r="BV789" i="1"/>
  <c r="BV790" i="1"/>
  <c r="BV792" i="1"/>
  <c r="BV793" i="1"/>
  <c r="BV794" i="1"/>
  <c r="BV795" i="1"/>
  <c r="BV796" i="1"/>
  <c r="BV797" i="1"/>
  <c r="BV798" i="1"/>
  <c r="BV799" i="1"/>
  <c r="BV800" i="1"/>
  <c r="BV802" i="1"/>
  <c r="BV803" i="1"/>
  <c r="BV804" i="1"/>
  <c r="BV805" i="1"/>
  <c r="BV806" i="1"/>
  <c r="BV807" i="1"/>
  <c r="BV808" i="1"/>
  <c r="BV809" i="1"/>
  <c r="BV810" i="1"/>
  <c r="BV811" i="1"/>
  <c r="BV813" i="1"/>
  <c r="BV814" i="1"/>
  <c r="BV815" i="1"/>
  <c r="BV816" i="1"/>
  <c r="BV817" i="1"/>
  <c r="BV818" i="1"/>
  <c r="BV819" i="1"/>
  <c r="BV820" i="1"/>
  <c r="BV821" i="1"/>
  <c r="BV822" i="1"/>
  <c r="BV823" i="1"/>
  <c r="BV824" i="1"/>
  <c r="BV825" i="1"/>
  <c r="BV826" i="1"/>
  <c r="BV827" i="1"/>
  <c r="BV828" i="1"/>
  <c r="BV829" i="1"/>
  <c r="BV830" i="1"/>
  <c r="BV831" i="1"/>
  <c r="BV832" i="1"/>
  <c r="BV833" i="1"/>
  <c r="BV834" i="1"/>
  <c r="BV835" i="1"/>
  <c r="BV836" i="1"/>
  <c r="BV837" i="1"/>
  <c r="BV838" i="1"/>
  <c r="BV840" i="1"/>
  <c r="BV842" i="1"/>
  <c r="BV843" i="1"/>
  <c r="BV844" i="1"/>
  <c r="BV845" i="1"/>
  <c r="BV846" i="1"/>
  <c r="BV848" i="1"/>
  <c r="BV849" i="1"/>
  <c r="BV850" i="1"/>
  <c r="BV851" i="1"/>
  <c r="BV852" i="1"/>
  <c r="BV853" i="1"/>
  <c r="BV854" i="1"/>
  <c r="BV855" i="1"/>
  <c r="BV857" i="1"/>
  <c r="BV858" i="1"/>
  <c r="BV859" i="1"/>
  <c r="BV860" i="1"/>
  <c r="BV862" i="1"/>
  <c r="BV863" i="1"/>
  <c r="BV864" i="1"/>
  <c r="BV865" i="1"/>
  <c r="BV866" i="1"/>
  <c r="BV867" i="1"/>
  <c r="BV868" i="1"/>
  <c r="BV869" i="1"/>
  <c r="BV870" i="1"/>
  <c r="BV871" i="1"/>
  <c r="BV872" i="1"/>
  <c r="BV873" i="1"/>
  <c r="BV874" i="1"/>
  <c r="BV875" i="1"/>
  <c r="BV876" i="1"/>
  <c r="BV877" i="1"/>
  <c r="BV878" i="1"/>
  <c r="BV879" i="1"/>
  <c r="BV880" i="1"/>
  <c r="BV881" i="1"/>
  <c r="BV882" i="1"/>
  <c r="BV883" i="1"/>
  <c r="BV884" i="1"/>
  <c r="BV885" i="1"/>
  <c r="BV886" i="1"/>
  <c r="BV887" i="1"/>
  <c r="BV888" i="1"/>
  <c r="BV889" i="1"/>
  <c r="BV890" i="1"/>
  <c r="BV891" i="1"/>
  <c r="BV892" i="1"/>
  <c r="BV893" i="1"/>
  <c r="BV894" i="1"/>
  <c r="BV895" i="1"/>
  <c r="BV897" i="1"/>
  <c r="BV898" i="1"/>
  <c r="BV899" i="1"/>
  <c r="BV900" i="1"/>
  <c r="BV901" i="1"/>
  <c r="BV902" i="1"/>
  <c r="BV903" i="1"/>
  <c r="BV904" i="1"/>
  <c r="BV905" i="1"/>
  <c r="BV906" i="1"/>
  <c r="BV907" i="1"/>
  <c r="BV908" i="1"/>
  <c r="BV909" i="1"/>
  <c r="BV910" i="1"/>
  <c r="BV911" i="1"/>
  <c r="BV912" i="1"/>
  <c r="BV913" i="1"/>
  <c r="BV914" i="1"/>
  <c r="BV915" i="1"/>
  <c r="BV916" i="1"/>
  <c r="BV918" i="1"/>
  <c r="BV919" i="1"/>
  <c r="BV921" i="1"/>
  <c r="BV922" i="1"/>
  <c r="BV923" i="1"/>
  <c r="BV924" i="1"/>
  <c r="BV925" i="1"/>
  <c r="BV926" i="1"/>
  <c r="BV927" i="1"/>
  <c r="BV928" i="1"/>
  <c r="BV929" i="1"/>
  <c r="BV930" i="1"/>
  <c r="BV931" i="1"/>
  <c r="BV932" i="1"/>
  <c r="BV933" i="1"/>
  <c r="BV934" i="1"/>
  <c r="BV935" i="1"/>
  <c r="BV936" i="1"/>
  <c r="BV937" i="1"/>
  <c r="BV938" i="1"/>
  <c r="BV939" i="1"/>
  <c r="BV940" i="1"/>
  <c r="BV942" i="1"/>
  <c r="BV943" i="1"/>
  <c r="BV944" i="1"/>
  <c r="BV945" i="1"/>
  <c r="BV946" i="1"/>
  <c r="BV947" i="1"/>
  <c r="BV948" i="1"/>
  <c r="BV949" i="1"/>
  <c r="BV950" i="1"/>
  <c r="BV952" i="1"/>
  <c r="BV953" i="1"/>
  <c r="BV954" i="1"/>
  <c r="BV955" i="1"/>
  <c r="BV956" i="1"/>
  <c r="BV957" i="1"/>
  <c r="BV958" i="1"/>
  <c r="BV959" i="1"/>
  <c r="BV960" i="1"/>
  <c r="BV961" i="1"/>
  <c r="BV962" i="1"/>
  <c r="BV963" i="1"/>
  <c r="BV964" i="1"/>
  <c r="BV965" i="1"/>
  <c r="BV966" i="1"/>
  <c r="BV967" i="1"/>
  <c r="BV968" i="1"/>
  <c r="BV969" i="1"/>
  <c r="BV970" i="1"/>
  <c r="BV971" i="1"/>
  <c r="BV972" i="1"/>
  <c r="BV973" i="1"/>
  <c r="BV974" i="1"/>
  <c r="BV975" i="1"/>
  <c r="BV976" i="1"/>
  <c r="BV977" i="1"/>
  <c r="BV978" i="1"/>
  <c r="BV979" i="1"/>
  <c r="BV980" i="1"/>
  <c r="BV981" i="1"/>
  <c r="BV982" i="1"/>
  <c r="BV983" i="1"/>
  <c r="BV984" i="1"/>
  <c r="BV985" i="1"/>
  <c r="BV986" i="1"/>
  <c r="BV987" i="1"/>
  <c r="BV988" i="1"/>
  <c r="BV989" i="1"/>
  <c r="BV990" i="1"/>
  <c r="BV991" i="1"/>
  <c r="BV992" i="1"/>
  <c r="BV993" i="1"/>
  <c r="BV994" i="1"/>
  <c r="BV995" i="1"/>
  <c r="BV997" i="1"/>
  <c r="BV998" i="1"/>
  <c r="BV999" i="1"/>
  <c r="BV1000" i="1"/>
  <c r="BV1001" i="1"/>
  <c r="BV1003" i="1"/>
  <c r="BV1004" i="1"/>
  <c r="BV1005" i="1"/>
  <c r="BV1006" i="1"/>
  <c r="BV1007" i="1"/>
  <c r="BV1008" i="1"/>
  <c r="BV1010" i="1"/>
  <c r="BV1012" i="1"/>
  <c r="BV1013" i="1"/>
  <c r="BV1014" i="1"/>
  <c r="BV1015" i="1"/>
  <c r="BV1016" i="1"/>
  <c r="BV1017" i="1"/>
  <c r="BV1019" i="1"/>
  <c r="BV1020" i="1"/>
  <c r="BV1021" i="1"/>
  <c r="BV1022" i="1"/>
  <c r="BV1023" i="1"/>
  <c r="BV1024" i="1"/>
  <c r="BV1025" i="1"/>
  <c r="BV1026" i="1"/>
  <c r="BV1027" i="1"/>
  <c r="BV1028" i="1"/>
  <c r="BV1029" i="1"/>
  <c r="BV1030" i="1"/>
  <c r="BV1031" i="1"/>
  <c r="BV1032" i="1"/>
  <c r="BV1033" i="1"/>
  <c r="BV1034" i="1"/>
  <c r="BV1035" i="1"/>
  <c r="BV1036" i="1"/>
  <c r="BV1037" i="1"/>
  <c r="BV1038" i="1"/>
  <c r="BV1039" i="1"/>
  <c r="BV1040" i="1"/>
  <c r="BV1043" i="1"/>
  <c r="BV1044" i="1"/>
  <c r="BV1045" i="1"/>
  <c r="BV1046" i="1"/>
  <c r="BV1047" i="1"/>
  <c r="BV1049" i="1"/>
  <c r="BV1051" i="1"/>
  <c r="BV1052" i="1"/>
  <c r="BV1053" i="1"/>
  <c r="BV1055" i="1"/>
  <c r="BV1056" i="1"/>
  <c r="BV1057" i="1"/>
  <c r="BV1058" i="1"/>
  <c r="BV1059" i="1"/>
  <c r="BV1060" i="1"/>
  <c r="BV1061" i="1"/>
  <c r="BV1062" i="1"/>
  <c r="BV1063" i="1"/>
  <c r="BV1064" i="1"/>
  <c r="BV1065" i="1"/>
  <c r="BV1066" i="1"/>
  <c r="BV1067" i="1"/>
  <c r="BV1068" i="1"/>
  <c r="BV1069" i="1"/>
  <c r="BV1070" i="1"/>
  <c r="BV1071" i="1"/>
  <c r="BV1072" i="1"/>
  <c r="BV1073" i="1"/>
  <c r="BV1074" i="1"/>
  <c r="BV1075" i="1"/>
  <c r="BV1076" i="1"/>
  <c r="BV1077" i="1"/>
  <c r="BV1078" i="1"/>
  <c r="BV1079" i="1"/>
  <c r="BV1080" i="1"/>
  <c r="BV1081" i="1"/>
  <c r="BV1082" i="1"/>
  <c r="BV1083" i="1"/>
  <c r="BV1084" i="1"/>
  <c r="BV1085" i="1"/>
  <c r="BV1086" i="1"/>
  <c r="BV1087" i="1"/>
  <c r="BV1088" i="1"/>
  <c r="BV1089" i="1"/>
  <c r="BV1090" i="1"/>
  <c r="BV1091" i="1"/>
  <c r="BV1092" i="1"/>
  <c r="BV1093" i="1"/>
  <c r="BV1094" i="1"/>
  <c r="BV1095" i="1"/>
  <c r="BV1096" i="1"/>
  <c r="BV1097" i="1"/>
  <c r="BV1098" i="1"/>
  <c r="BV1100" i="1"/>
  <c r="BV1101" i="1"/>
  <c r="BV1102" i="1"/>
  <c r="BV1103" i="1"/>
  <c r="BV1104" i="1"/>
  <c r="BV1105" i="1"/>
  <c r="BV1106" i="1"/>
  <c r="BV1107" i="1"/>
  <c r="BV1108" i="1"/>
  <c r="BV1109" i="1"/>
  <c r="BV1110" i="1"/>
  <c r="BV1111" i="1"/>
  <c r="BV1112" i="1"/>
  <c r="BV1113" i="1"/>
  <c r="BV1115" i="1"/>
  <c r="BV1116" i="1"/>
  <c r="BV1117" i="1"/>
  <c r="BV1118" i="1"/>
  <c r="BV1119" i="1"/>
  <c r="BV1120" i="1"/>
  <c r="BV1121" i="1"/>
  <c r="BV1122" i="1"/>
  <c r="BV1123" i="1"/>
  <c r="BV1124" i="1"/>
  <c r="BV1125" i="1"/>
  <c r="BV1126" i="1"/>
  <c r="BV1127" i="1"/>
  <c r="BV1128" i="1"/>
  <c r="BV1129" i="1"/>
  <c r="BV1131" i="1"/>
  <c r="BV1132" i="1"/>
  <c r="BV1133" i="1"/>
  <c r="BV1134" i="1"/>
  <c r="BV1135" i="1"/>
  <c r="BV1137" i="1"/>
  <c r="BV1138" i="1"/>
  <c r="BV1139" i="1"/>
  <c r="BV1140" i="1"/>
  <c r="BV1142" i="1"/>
  <c r="BV1144" i="1"/>
  <c r="BV1145" i="1"/>
  <c r="BV1146" i="1"/>
  <c r="BV1147" i="1"/>
  <c r="BV1148" i="1"/>
  <c r="BV1149" i="1"/>
  <c r="BV1150" i="1"/>
  <c r="BV1151" i="1"/>
  <c r="BV1152" i="1"/>
  <c r="BV1153" i="1"/>
  <c r="BV1154" i="1"/>
  <c r="BV1156" i="1"/>
  <c r="BV1157" i="1"/>
  <c r="BV1158" i="1"/>
  <c r="BV1159" i="1"/>
  <c r="BV1160" i="1"/>
  <c r="BV1161" i="1"/>
  <c r="BV1162" i="1"/>
  <c r="BV1163" i="1"/>
  <c r="BV1164" i="1"/>
  <c r="BV1165" i="1"/>
  <c r="BV1166" i="1"/>
  <c r="BV1167" i="1"/>
  <c r="BV1168" i="1"/>
  <c r="BV1169" i="1"/>
  <c r="BV1170" i="1"/>
  <c r="BV1171" i="1"/>
  <c r="BV1172" i="1"/>
  <c r="BV1173" i="1"/>
  <c r="BV1175" i="1"/>
  <c r="BV1176" i="1"/>
  <c r="BV1177" i="1"/>
  <c r="BV1178" i="1"/>
  <c r="BV1179" i="1"/>
  <c r="BV1181" i="1"/>
  <c r="BV1182" i="1"/>
  <c r="BV1185" i="1"/>
  <c r="BV1186" i="1"/>
  <c r="BV1187" i="1"/>
  <c r="BV1188" i="1"/>
  <c r="BV1189" i="1"/>
  <c r="BV1190" i="1"/>
  <c r="BV1191" i="1"/>
  <c r="BV1192" i="1"/>
  <c r="BV1193" i="1"/>
  <c r="BV1194" i="1"/>
  <c r="BV1195" i="1"/>
  <c r="BV1196" i="1"/>
  <c r="BV1197" i="1"/>
  <c r="BV1198" i="1"/>
  <c r="BV1199" i="1"/>
  <c r="BV1201" i="1"/>
  <c r="BV1205" i="1"/>
  <c r="BV1206" i="1"/>
  <c r="BV1207" i="1"/>
  <c r="BV1208" i="1"/>
  <c r="BV1210" i="1"/>
  <c r="BV1211" i="1"/>
  <c r="BV1213" i="1"/>
  <c r="BV1214" i="1"/>
  <c r="BV1215" i="1"/>
  <c r="BV1216" i="1"/>
  <c r="BV1217" i="1"/>
  <c r="BV1218" i="1"/>
  <c r="BV1220" i="1"/>
  <c r="BV1221" i="1"/>
  <c r="BV1222" i="1"/>
  <c r="BV1223" i="1"/>
  <c r="BV1224" i="1"/>
  <c r="BV1225" i="1"/>
  <c r="BV1226" i="1"/>
  <c r="BV1227" i="1"/>
  <c r="BV1228" i="1"/>
  <c r="BV1229" i="1"/>
  <c r="BV1230" i="1"/>
  <c r="BV1231" i="1"/>
  <c r="BV1232" i="1"/>
  <c r="BV1233" i="1"/>
  <c r="BV1234" i="1"/>
  <c r="BV1235" i="1"/>
  <c r="BV1236" i="1"/>
  <c r="BV1237" i="1"/>
  <c r="BV1238" i="1"/>
  <c r="BV1240" i="1"/>
  <c r="BV1241" i="1"/>
  <c r="BV1242" i="1"/>
  <c r="BV1243" i="1"/>
  <c r="BV1244" i="1"/>
  <c r="BV1245" i="1"/>
  <c r="BV1246" i="1"/>
  <c r="BV1247" i="1"/>
  <c r="BV1248" i="1"/>
  <c r="BV1249" i="1"/>
  <c r="BV1250" i="1"/>
  <c r="BV1251" i="1"/>
  <c r="BV1253" i="1"/>
  <c r="BV1254" i="1"/>
  <c r="BV1255" i="1"/>
  <c r="BV1256" i="1"/>
  <c r="BV1257" i="1"/>
  <c r="BV1258" i="1"/>
  <c r="BV1259" i="1"/>
  <c r="BV1260" i="1"/>
  <c r="BV1261" i="1"/>
  <c r="BV1262" i="1"/>
  <c r="BV1263" i="1"/>
  <c r="BV1264" i="1"/>
  <c r="BV1265" i="1"/>
  <c r="BV1266" i="1"/>
  <c r="BV1267" i="1"/>
  <c r="BV1268" i="1"/>
  <c r="BV1269" i="1"/>
  <c r="BV1270" i="1"/>
  <c r="BV1272" i="1"/>
  <c r="BV1273" i="1"/>
  <c r="BV1274" i="1"/>
  <c r="BV1275" i="1"/>
  <c r="BV1276" i="1"/>
  <c r="BV1277" i="1"/>
  <c r="BV1278" i="1"/>
  <c r="BV1279" i="1"/>
  <c r="BV1280" i="1"/>
  <c r="BV1281" i="1"/>
  <c r="BV1282" i="1"/>
  <c r="BV1283" i="1"/>
  <c r="BV1284" i="1"/>
  <c r="BV1285" i="1"/>
  <c r="BV1286" i="1"/>
  <c r="BV1287" i="1"/>
  <c r="BV1288" i="1"/>
  <c r="BV1289" i="1"/>
  <c r="BV1290" i="1"/>
  <c r="BV1291" i="1"/>
  <c r="BV1292" i="1"/>
  <c r="BV1293" i="1"/>
  <c r="BV1294" i="1"/>
  <c r="BV1295" i="1"/>
  <c r="BV1296" i="1"/>
  <c r="BV1297" i="1"/>
  <c r="BV1298" i="1"/>
  <c r="BV1300" i="1"/>
  <c r="BV1301" i="1"/>
  <c r="BV1302" i="1"/>
  <c r="BV1303" i="1"/>
  <c r="BV1304" i="1"/>
  <c r="BV1305" i="1"/>
  <c r="BV1307" i="1"/>
  <c r="BV1308" i="1"/>
  <c r="BV1309" i="1"/>
  <c r="BV1310" i="1"/>
  <c r="BV1311" i="1"/>
  <c r="BV1312" i="1"/>
  <c r="BV1313" i="1"/>
  <c r="BV1314" i="1"/>
  <c r="BV1315" i="1"/>
  <c r="BV1316" i="1"/>
  <c r="BV1317" i="1"/>
  <c r="BV1318" i="1"/>
  <c r="BV1321" i="1"/>
  <c r="BV1323" i="1"/>
  <c r="BV1324" i="1"/>
  <c r="BV1325" i="1"/>
  <c r="BV1327" i="1"/>
  <c r="BV1328" i="1"/>
  <c r="BV1329" i="1"/>
  <c r="BV1330" i="1"/>
  <c r="BV1331" i="1"/>
  <c r="BV1332" i="1"/>
  <c r="BV1334" i="1"/>
  <c r="BV1335" i="1"/>
  <c r="BV1336" i="1"/>
  <c r="BV1337" i="1"/>
  <c r="BV1338" i="1"/>
  <c r="BV1339" i="1"/>
  <c r="BV1340" i="1"/>
  <c r="BV1342" i="1"/>
  <c r="BV1343" i="1"/>
  <c r="BV1344" i="1"/>
  <c r="BV1345" i="1"/>
  <c r="BV1346" i="1"/>
  <c r="BV1347" i="1"/>
  <c r="BV1348" i="1"/>
  <c r="BV1349" i="1"/>
  <c r="BV1350" i="1"/>
  <c r="BV1351" i="1"/>
  <c r="BV1352" i="1"/>
  <c r="BV1353" i="1"/>
  <c r="BV1354" i="1"/>
  <c r="BV1355" i="1"/>
  <c r="BV1356" i="1"/>
  <c r="BV1357" i="1"/>
  <c r="BV1358" i="1"/>
  <c r="BV1359" i="1"/>
  <c r="BV1360" i="1"/>
  <c r="BV1361" i="1"/>
  <c r="BV1362" i="1"/>
  <c r="BV1363" i="1"/>
  <c r="BV1364" i="1"/>
  <c r="BV1365" i="1"/>
  <c r="BV1366" i="1"/>
  <c r="BV1367" i="1"/>
  <c r="BV1368" i="1"/>
  <c r="BV1369" i="1"/>
  <c r="BV1371" i="1"/>
  <c r="BV1372" i="1"/>
  <c r="BV1373" i="1"/>
  <c r="BV1374" i="1"/>
  <c r="BV1375" i="1"/>
  <c r="BV1376" i="1"/>
  <c r="BV1377" i="1"/>
  <c r="BV1378" i="1"/>
  <c r="BV1379" i="1"/>
  <c r="BV1380" i="1"/>
  <c r="BV1381" i="1"/>
  <c r="BV1382" i="1"/>
  <c r="BV1383" i="1"/>
  <c r="BV1384" i="1"/>
  <c r="BV1385" i="1"/>
  <c r="BV1386" i="1"/>
  <c r="BV1387" i="1"/>
  <c r="BV1388" i="1"/>
  <c r="BV1389" i="1"/>
  <c r="BV1390" i="1"/>
  <c r="BV1391" i="1"/>
  <c r="BV1392" i="1"/>
  <c r="BV1393" i="1"/>
  <c r="BV1394" i="1"/>
  <c r="BV1395" i="1"/>
  <c r="BV1396" i="1"/>
  <c r="BV1397" i="1"/>
  <c r="BV1398" i="1"/>
  <c r="BV1399" i="1"/>
  <c r="BV1400" i="1"/>
  <c r="BV1401" i="1"/>
  <c r="BV1402" i="1"/>
  <c r="BV1403" i="1"/>
  <c r="BV1404" i="1"/>
  <c r="BV1405" i="1"/>
  <c r="BV1406" i="1"/>
  <c r="BV1407" i="1"/>
  <c r="BV1408" i="1"/>
  <c r="BV1409" i="1"/>
  <c r="BV1411" i="1"/>
  <c r="BV1412" i="1"/>
  <c r="BV1413" i="1"/>
  <c r="BV1414" i="1"/>
  <c r="BV1415" i="1"/>
  <c r="BV1416" i="1"/>
  <c r="BV1417" i="1"/>
  <c r="BV1418" i="1"/>
  <c r="BV1419" i="1"/>
  <c r="BV1420" i="1"/>
  <c r="BV1422" i="1"/>
  <c r="BV1423" i="1"/>
  <c r="BV1424" i="1"/>
  <c r="BV1425" i="1"/>
  <c r="BV1426" i="1"/>
  <c r="BV1427" i="1"/>
  <c r="BV1429" i="1"/>
  <c r="BV1430" i="1"/>
  <c r="BV1431" i="1"/>
  <c r="BV1432" i="1"/>
  <c r="BV1433" i="1"/>
  <c r="BV1434" i="1"/>
  <c r="BV1435" i="1"/>
  <c r="BV1436" i="1"/>
  <c r="BV1437" i="1"/>
  <c r="BV1438" i="1"/>
  <c r="BV1439" i="1"/>
  <c r="BV1440" i="1"/>
  <c r="BV1441" i="1"/>
  <c r="BV1442" i="1"/>
  <c r="BV1443" i="1"/>
  <c r="BV1444" i="1"/>
  <c r="BV1445" i="1"/>
  <c r="BV1446" i="1"/>
  <c r="BV1447" i="1"/>
  <c r="BV1448" i="1"/>
  <c r="BV1449" i="1"/>
  <c r="BV1450" i="1"/>
  <c r="BV1452" i="1"/>
  <c r="BV1453" i="1"/>
  <c r="BV1454" i="1"/>
  <c r="BV1455" i="1"/>
  <c r="BV1456" i="1"/>
  <c r="BV1457" i="1"/>
  <c r="BV1458" i="1"/>
  <c r="BV1460" i="1"/>
  <c r="BV1461" i="1"/>
  <c r="BV1462" i="1"/>
  <c r="BV1463" i="1"/>
  <c r="BV1464" i="1"/>
  <c r="BV1465" i="1"/>
  <c r="BV1466" i="1"/>
  <c r="BV1467" i="1"/>
  <c r="BV1468" i="1"/>
  <c r="BV1469" i="1"/>
  <c r="BV1470" i="1"/>
  <c r="BV1471" i="1"/>
  <c r="BV1472" i="1"/>
  <c r="BV1473" i="1"/>
  <c r="BV1475" i="1"/>
  <c r="BV1476" i="1"/>
  <c r="BV1478" i="1"/>
  <c r="BV1479" i="1"/>
  <c r="BV1480" i="1"/>
  <c r="BV1481" i="1"/>
  <c r="BV1482" i="1"/>
  <c r="BV1483" i="1"/>
  <c r="BV1484" i="1"/>
  <c r="BV1485" i="1"/>
  <c r="BV1486" i="1"/>
  <c r="BV1487" i="1"/>
  <c r="BV1488" i="1"/>
  <c r="BV1489" i="1"/>
  <c r="BV1490" i="1"/>
  <c r="BV1492" i="1"/>
  <c r="BV1493" i="1"/>
  <c r="BV1494" i="1"/>
  <c r="BV1495" i="1"/>
  <c r="BV1497" i="1"/>
  <c r="BV1498" i="1"/>
  <c r="BV1499" i="1"/>
  <c r="BV1500" i="1"/>
  <c r="BV1501" i="1"/>
  <c r="BV1503" i="1"/>
  <c r="BV1504" i="1"/>
  <c r="BV1506" i="1"/>
  <c r="BV1507" i="1"/>
  <c r="BV1508" i="1"/>
  <c r="BV1509" i="1"/>
  <c r="BV1510" i="1"/>
  <c r="BV1511" i="1"/>
  <c r="BV1512" i="1"/>
  <c r="BV1513" i="1"/>
  <c r="BV1514" i="1"/>
  <c r="BV1516" i="1"/>
  <c r="BV1517" i="1"/>
  <c r="BV1518" i="1"/>
  <c r="BV1519" i="1"/>
  <c r="BV1520" i="1"/>
  <c r="BV1521" i="1"/>
  <c r="BV1522" i="1"/>
  <c r="BV1523" i="1"/>
  <c r="BV1524" i="1"/>
  <c r="BV1525" i="1"/>
  <c r="BV1526" i="1"/>
  <c r="BV1527" i="1"/>
  <c r="BV1528" i="1"/>
  <c r="BV1529" i="1"/>
  <c r="BV1530" i="1"/>
  <c r="BV1532" i="1"/>
  <c r="BV1533" i="1"/>
  <c r="BV1534" i="1"/>
  <c r="BV1535" i="1"/>
  <c r="BV1536" i="1"/>
  <c r="BV1537" i="1"/>
  <c r="BV1538" i="1"/>
  <c r="BV1539" i="1"/>
  <c r="BV1540" i="1"/>
  <c r="BV1541" i="1"/>
  <c r="BV1542" i="1"/>
  <c r="BV1543" i="1"/>
  <c r="BV1544" i="1"/>
  <c r="BV1545" i="1"/>
  <c r="BV1546" i="1"/>
  <c r="BV1547" i="1"/>
  <c r="BV1548" i="1"/>
  <c r="BV1549" i="1"/>
  <c r="BV1550" i="1"/>
  <c r="BV1551" i="1"/>
  <c r="BV1554" i="1"/>
  <c r="BV1555" i="1"/>
  <c r="BV1556" i="1"/>
  <c r="BV1557" i="1"/>
  <c r="BV1558" i="1"/>
  <c r="BV1559" i="1"/>
  <c r="BV1560" i="1"/>
  <c r="BV1561" i="1"/>
  <c r="BV1562" i="1"/>
  <c r="BV1563" i="1"/>
  <c r="BV1564" i="1"/>
  <c r="BV1565" i="1"/>
  <c r="BV1566" i="1"/>
  <c r="BV1567" i="1"/>
  <c r="BV1569" i="1"/>
  <c r="BV1570" i="1"/>
  <c r="BV1571" i="1"/>
  <c r="BV1572" i="1"/>
  <c r="BV1573" i="1"/>
  <c r="BV1574" i="1"/>
  <c r="BV1575" i="1"/>
  <c r="BV1576" i="1"/>
  <c r="BV1577" i="1"/>
  <c r="BV1579" i="1"/>
  <c r="BV1580" i="1"/>
  <c r="BV1581" i="1"/>
  <c r="BV1582" i="1"/>
  <c r="BV1583" i="1"/>
  <c r="BV1584" i="1"/>
  <c r="BV1586" i="1"/>
  <c r="BV1587" i="1"/>
  <c r="BV1588" i="1"/>
  <c r="BV1590" i="1"/>
  <c r="BV1591" i="1"/>
  <c r="BV1593" i="1"/>
  <c r="BV1594" i="1"/>
  <c r="BV1595" i="1"/>
  <c r="BV1596" i="1"/>
  <c r="BV1598" i="1"/>
  <c r="BV1599" i="1"/>
  <c r="BV1600" i="1"/>
  <c r="BV1601" i="1"/>
  <c r="BV1602" i="1"/>
  <c r="BV1603" i="1"/>
  <c r="BV1605" i="1"/>
  <c r="BV1606" i="1"/>
  <c r="BV1607" i="1"/>
  <c r="BV1608" i="1"/>
  <c r="BV1609" i="1"/>
  <c r="BV1610" i="1"/>
  <c r="BV1611" i="1"/>
  <c r="BV1612" i="1"/>
  <c r="BV1613" i="1"/>
  <c r="BV1614" i="1"/>
  <c r="BV1615" i="1"/>
  <c r="BV1616" i="1"/>
  <c r="BV1617" i="1"/>
  <c r="BV1619" i="1"/>
  <c r="BV1620" i="1"/>
  <c r="BV1621" i="1"/>
  <c r="BV1624" i="1"/>
  <c r="BV1625" i="1"/>
  <c r="BV1626" i="1"/>
  <c r="BV1627" i="1"/>
  <c r="BV1628" i="1"/>
  <c r="BV1629" i="1"/>
  <c r="BV1630" i="1"/>
  <c r="BV1631" i="1"/>
  <c r="BV1632" i="1"/>
  <c r="BV1633" i="1"/>
  <c r="BV1634" i="1"/>
  <c r="BV1635" i="1"/>
  <c r="BV1636" i="1"/>
  <c r="BV1637" i="1"/>
  <c r="BV1638" i="1"/>
  <c r="BV1639" i="1"/>
  <c r="BV1640" i="1"/>
  <c r="BV1641" i="1"/>
  <c r="BV1642" i="1"/>
  <c r="BV1644" i="1"/>
  <c r="BV1645" i="1"/>
  <c r="BV1646" i="1"/>
  <c r="BV1647" i="1"/>
  <c r="BV1649" i="1"/>
  <c r="BV1650" i="1"/>
  <c r="BV1651" i="1"/>
  <c r="BV1652" i="1"/>
  <c r="BV1653" i="1"/>
  <c r="BV1654" i="1"/>
  <c r="BV1655" i="1"/>
  <c r="BV1657" i="1"/>
  <c r="BV1658" i="1"/>
  <c r="BV1659" i="1"/>
  <c r="BV1660" i="1"/>
  <c r="BV1662" i="1"/>
  <c r="BV1663" i="1"/>
  <c r="BV1664" i="1"/>
  <c r="BV1665" i="1"/>
  <c r="BV1666" i="1"/>
  <c r="BV1667" i="1"/>
  <c r="BV1668" i="1"/>
  <c r="BV1669" i="1"/>
  <c r="BV1670" i="1"/>
  <c r="BV1671" i="1"/>
  <c r="BV1672" i="1"/>
  <c r="BV1673" i="1"/>
  <c r="BV1674" i="1"/>
  <c r="BV1675" i="1"/>
  <c r="BV1676" i="1"/>
  <c r="BV1677" i="1"/>
  <c r="BV1678" i="1"/>
  <c r="BV1679" i="1"/>
  <c r="BV1680" i="1"/>
  <c r="BV1681" i="1"/>
  <c r="BV1682" i="1"/>
  <c r="BV1683" i="1"/>
  <c r="BV1684" i="1"/>
  <c r="BV1685" i="1"/>
  <c r="BV1686" i="1"/>
  <c r="BV1687" i="1"/>
  <c r="BV1688" i="1"/>
  <c r="BV1689" i="1"/>
  <c r="BV1690" i="1"/>
  <c r="BV1691" i="1"/>
  <c r="BV1692" i="1"/>
  <c r="BV1693" i="1"/>
  <c r="BV1694" i="1"/>
  <c r="BV1696" i="1"/>
  <c r="BV1697" i="1"/>
  <c r="BV1698" i="1"/>
  <c r="BV1699" i="1"/>
  <c r="BV1700" i="1"/>
  <c r="BV1701" i="1"/>
  <c r="BV1702" i="1"/>
  <c r="BV1703" i="1"/>
  <c r="BV1705" i="1"/>
  <c r="BV1706" i="1"/>
  <c r="BV1707" i="1"/>
  <c r="BV1708" i="1"/>
  <c r="BV1709" i="1"/>
  <c r="BV1710" i="1"/>
  <c r="BV1711" i="1"/>
  <c r="BV1712" i="1"/>
  <c r="BV1714" i="1"/>
  <c r="BV1715" i="1"/>
  <c r="BV1716" i="1"/>
  <c r="BV1717" i="1"/>
  <c r="BV1718" i="1"/>
  <c r="BV1719" i="1"/>
  <c r="BV1720" i="1"/>
  <c r="BV1721" i="1"/>
  <c r="BV1722" i="1"/>
  <c r="BV1723" i="1"/>
  <c r="BV1724" i="1"/>
  <c r="BV1725" i="1"/>
  <c r="BV1726" i="1"/>
  <c r="BV1727" i="1"/>
  <c r="BV1729" i="1"/>
  <c r="BV1730" i="1"/>
  <c r="BV1731" i="1"/>
  <c r="BV1732" i="1"/>
  <c r="BV1733" i="1"/>
  <c r="BV1734" i="1"/>
  <c r="BV1735" i="1"/>
  <c r="BV1736" i="1"/>
  <c r="BV1737" i="1"/>
  <c r="BV1738" i="1"/>
  <c r="BV1739" i="1"/>
  <c r="BV1741" i="1"/>
  <c r="BV1742" i="1"/>
  <c r="BV1743" i="1"/>
  <c r="BV1744" i="1"/>
  <c r="BV1745" i="1"/>
  <c r="BV1746" i="1"/>
  <c r="BV1747" i="1"/>
  <c r="BV1748" i="1"/>
  <c r="BV1749" i="1"/>
  <c r="BV1750" i="1"/>
  <c r="BV1752" i="1"/>
  <c r="BV1753" i="1"/>
  <c r="BV1755" i="1"/>
  <c r="BV1756" i="1"/>
  <c r="BV1758" i="1"/>
  <c r="BV1759" i="1"/>
  <c r="BV1760" i="1"/>
  <c r="BV1761" i="1"/>
  <c r="BV1762" i="1"/>
  <c r="BV1764" i="1"/>
  <c r="BV1765" i="1"/>
  <c r="BV1766" i="1"/>
  <c r="BV1767" i="1"/>
  <c r="BV1768" i="1"/>
  <c r="BV1769" i="1"/>
  <c r="BV1770" i="1"/>
  <c r="BV1771" i="1"/>
  <c r="BV1773" i="1"/>
  <c r="BV1774" i="1"/>
  <c r="BV1776" i="1"/>
  <c r="BV1777" i="1"/>
  <c r="BV1778" i="1"/>
  <c r="BV1779" i="1"/>
  <c r="BV1780" i="1"/>
  <c r="BV1781" i="1"/>
  <c r="BV1782" i="1"/>
  <c r="BV1783" i="1"/>
  <c r="BV1784" i="1"/>
  <c r="BV1785" i="1"/>
  <c r="BV1786" i="1"/>
  <c r="BV1787" i="1"/>
  <c r="BV1788" i="1"/>
  <c r="BV1789" i="1"/>
  <c r="BV1790" i="1"/>
  <c r="BV1791" i="1"/>
  <c r="BV1792" i="1"/>
  <c r="BV1794" i="1"/>
  <c r="BV1795" i="1"/>
  <c r="BV1796" i="1"/>
  <c r="BV1797" i="1"/>
  <c r="BV1798" i="1"/>
  <c r="BV1799" i="1"/>
  <c r="BV1800" i="1"/>
  <c r="BV1801" i="1"/>
  <c r="BV1804" i="1"/>
  <c r="BV1805" i="1"/>
  <c r="BV1806" i="1"/>
  <c r="BV1807" i="1"/>
  <c r="BV1809" i="1"/>
  <c r="BV1810" i="1"/>
  <c r="BV1811" i="1"/>
  <c r="BV1812" i="1"/>
  <c r="BV1813" i="1"/>
  <c r="BV1814" i="1"/>
  <c r="BV1815" i="1"/>
  <c r="BV1818" i="1"/>
  <c r="BV1819" i="1"/>
  <c r="BV1820" i="1"/>
  <c r="BV1821" i="1"/>
  <c r="BV1822" i="1"/>
  <c r="BV1823" i="1"/>
  <c r="BV1824" i="1"/>
  <c r="BV1825" i="1"/>
  <c r="BV1826" i="1"/>
  <c r="BV1828" i="1"/>
  <c r="BV1829" i="1"/>
  <c r="BV1830" i="1"/>
  <c r="BV1831" i="1"/>
  <c r="BV1832" i="1"/>
  <c r="BV1833" i="1"/>
  <c r="BV1834" i="1"/>
  <c r="BV1835" i="1"/>
  <c r="BV1836" i="1"/>
  <c r="BV1837" i="1"/>
  <c r="BV1838" i="1"/>
  <c r="BV1839" i="1"/>
  <c r="BV1840" i="1"/>
  <c r="BV1841" i="1"/>
  <c r="BV1842" i="1"/>
  <c r="BV1844" i="1"/>
  <c r="BV1845" i="1"/>
  <c r="BV1846" i="1"/>
  <c r="BV1847" i="1"/>
  <c r="BV1848" i="1"/>
  <c r="BV1849" i="1"/>
  <c r="BV1850" i="1"/>
  <c r="BV1852" i="1"/>
  <c r="BV1853" i="1"/>
  <c r="BV1854" i="1"/>
  <c r="BV1855" i="1"/>
  <c r="BV1856" i="1"/>
  <c r="BV1857" i="1"/>
  <c r="BV1858" i="1"/>
  <c r="BV1859" i="1"/>
  <c r="BV1860" i="1"/>
  <c r="BV1861" i="1"/>
  <c r="BV1862" i="1"/>
  <c r="BV1864" i="1"/>
  <c r="BV1866" i="1"/>
  <c r="BV1867" i="1"/>
  <c r="BV1868" i="1"/>
  <c r="BV1869" i="1"/>
  <c r="BV1870" i="1"/>
  <c r="BV1871" i="1"/>
  <c r="BV1872" i="1"/>
  <c r="BV1873" i="1"/>
  <c r="BV1874" i="1"/>
  <c r="BV1875" i="1"/>
  <c r="BV1876" i="1"/>
  <c r="BV1877" i="1"/>
  <c r="BV1879" i="1"/>
  <c r="BV1880" i="1"/>
  <c r="BV1881" i="1"/>
  <c r="BV1882" i="1"/>
  <c r="BV1883" i="1"/>
  <c r="BV1884" i="1"/>
  <c r="BV1886" i="1"/>
  <c r="BV1887" i="1"/>
  <c r="BV1889" i="1"/>
  <c r="BV1892" i="1"/>
  <c r="BV1893" i="1"/>
  <c r="BV1894" i="1"/>
  <c r="BV1895" i="1"/>
  <c r="BV1896" i="1"/>
  <c r="BV1897" i="1"/>
  <c r="BV1898" i="1"/>
  <c r="BV1899" i="1"/>
  <c r="BV1900" i="1"/>
  <c r="BV1901" i="1"/>
  <c r="BV1902" i="1"/>
  <c r="BV1903" i="1"/>
  <c r="BV1904" i="1"/>
  <c r="BV1905" i="1"/>
  <c r="BV1906" i="1"/>
  <c r="BV1907" i="1"/>
  <c r="BV1909" i="1"/>
  <c r="BV1910" i="1"/>
  <c r="BV1911" i="1"/>
  <c r="BV1912" i="1"/>
  <c r="BV1913" i="1"/>
  <c r="BV1914" i="1"/>
  <c r="BV1915" i="1"/>
  <c r="BV1916" i="1"/>
  <c r="BV1917" i="1"/>
  <c r="BV1918" i="1"/>
  <c r="BV1919" i="1"/>
  <c r="BV1920" i="1"/>
  <c r="BV1921" i="1"/>
  <c r="BV1922" i="1"/>
  <c r="BV1923" i="1"/>
  <c r="BV1924" i="1"/>
  <c r="BV1925" i="1"/>
  <c r="BV1926" i="1"/>
  <c r="BV1927" i="1"/>
  <c r="BV1928" i="1"/>
  <c r="BV1930" i="1"/>
  <c r="BV1931" i="1"/>
  <c r="BV1932" i="1"/>
  <c r="BV1933" i="1"/>
  <c r="BV1934" i="1"/>
  <c r="BV1935" i="1"/>
  <c r="BV1936" i="1"/>
  <c r="BV1937" i="1"/>
  <c r="BV1939" i="1"/>
  <c r="BV1940" i="1"/>
  <c r="BV1941" i="1"/>
  <c r="BV1942" i="1"/>
  <c r="BV1943" i="1"/>
  <c r="BV1944" i="1"/>
  <c r="BV1945" i="1"/>
  <c r="BV1946" i="1"/>
  <c r="BV1947" i="1"/>
  <c r="BV1948" i="1"/>
  <c r="BV1949" i="1"/>
  <c r="BV1950" i="1"/>
  <c r="BV1951" i="1"/>
  <c r="BV1952" i="1"/>
  <c r="BV1953" i="1"/>
  <c r="BV1954" i="1"/>
  <c r="BV1955" i="1"/>
  <c r="BV1956" i="1"/>
  <c r="BV1957" i="1"/>
  <c r="BV1958" i="1"/>
  <c r="BV1960" i="1"/>
  <c r="BV1961" i="1"/>
  <c r="BV1962" i="1"/>
  <c r="BV1964" i="1"/>
  <c r="BV1965" i="1"/>
  <c r="BV1966" i="1"/>
  <c r="BV1967" i="1"/>
  <c r="BV1968" i="1"/>
  <c r="BV1969" i="1"/>
  <c r="BV1970" i="1"/>
  <c r="BV1971" i="1"/>
  <c r="BV1973" i="1"/>
  <c r="BV1974" i="1"/>
  <c r="BV1975" i="1"/>
  <c r="BV1977" i="1"/>
  <c r="BV1978" i="1"/>
  <c r="BV1979" i="1"/>
  <c r="BV1981" i="1"/>
  <c r="BV1982" i="1"/>
  <c r="BV1983" i="1"/>
  <c r="BV1984" i="1"/>
  <c r="BV1986" i="1"/>
  <c r="BV1987" i="1"/>
  <c r="BV1988" i="1"/>
  <c r="BV1989" i="1"/>
  <c r="BV1990" i="1"/>
  <c r="BV1991" i="1"/>
  <c r="BV1992" i="1"/>
  <c r="BV1993" i="1"/>
  <c r="BV1994" i="1"/>
  <c r="BV1995" i="1"/>
  <c r="BV1996" i="1"/>
  <c r="BV1997" i="1"/>
  <c r="BV1998" i="1"/>
  <c r="BV1999" i="1"/>
  <c r="BV2000" i="1"/>
  <c r="BV2001" i="1"/>
  <c r="BV2002" i="1"/>
  <c r="BV2003" i="1"/>
  <c r="BV2004" i="1"/>
  <c r="BV2005" i="1"/>
  <c r="BV2006" i="1"/>
  <c r="BV2007" i="1"/>
  <c r="BV2008" i="1"/>
  <c r="BV2009" i="1"/>
  <c r="BV2010" i="1"/>
  <c r="BV2011" i="1"/>
  <c r="BV2012" i="1"/>
  <c r="BV2013" i="1"/>
  <c r="BV2014" i="1"/>
  <c r="BV2015" i="1"/>
  <c r="BV2016" i="1"/>
  <c r="BV2019" i="1"/>
  <c r="BV2020" i="1"/>
  <c r="BV2021" i="1"/>
  <c r="BV2022" i="1"/>
  <c r="BV2023" i="1"/>
  <c r="BV2024" i="1"/>
  <c r="BV2025" i="1"/>
  <c r="BV2027" i="1"/>
  <c r="BV2028" i="1"/>
  <c r="BV2029" i="1"/>
  <c r="BV2030" i="1"/>
  <c r="BV2031" i="1"/>
  <c r="BV2032" i="1"/>
  <c r="BV2033" i="1"/>
  <c r="BV2035" i="1"/>
  <c r="BV2036" i="1"/>
  <c r="BV2037" i="1"/>
  <c r="BV2038" i="1"/>
  <c r="BV2039" i="1"/>
  <c r="BV2040" i="1"/>
  <c r="BV2041" i="1"/>
  <c r="BV2042" i="1"/>
  <c r="BV2043" i="1"/>
  <c r="BV2044" i="1"/>
  <c r="BV2046" i="1"/>
  <c r="BV2047" i="1"/>
  <c r="BV2048" i="1"/>
  <c r="BV2049" i="1"/>
  <c r="BV2050" i="1"/>
  <c r="BV2051" i="1"/>
  <c r="BV2052" i="1"/>
  <c r="BV2053" i="1"/>
  <c r="BV2054" i="1"/>
  <c r="BV2055" i="1"/>
  <c r="BV2056" i="1"/>
  <c r="BV2057" i="1"/>
  <c r="BV2058" i="1"/>
  <c r="BV2059" i="1"/>
  <c r="BV2060" i="1"/>
  <c r="BV2061" i="1"/>
  <c r="BV2063" i="1"/>
  <c r="BV2064" i="1"/>
  <c r="BV2065" i="1"/>
  <c r="BV2066" i="1"/>
  <c r="BV2067" i="1"/>
  <c r="BV2068" i="1"/>
  <c r="BV2069" i="1"/>
  <c r="BV2070" i="1"/>
  <c r="BV2071" i="1"/>
  <c r="BV2072" i="1"/>
  <c r="BV2073" i="1"/>
  <c r="BV2074" i="1"/>
  <c r="BV2075" i="1"/>
  <c r="BV2076" i="1"/>
  <c r="BV2077" i="1"/>
  <c r="BV2078" i="1"/>
  <c r="BV2079" i="1"/>
  <c r="BV2080" i="1"/>
  <c r="BV2081" i="1"/>
  <c r="BV2083" i="1"/>
  <c r="BV2085" i="1"/>
  <c r="BV2086" i="1"/>
  <c r="BV2087" i="1"/>
  <c r="BV2089" i="1"/>
  <c r="BV2090" i="1"/>
  <c r="BV2091" i="1"/>
  <c r="BV2092" i="1"/>
  <c r="BV2093" i="1"/>
  <c r="BV2094" i="1"/>
  <c r="BV2096" i="1"/>
  <c r="BV2097" i="1"/>
  <c r="BV2098" i="1"/>
  <c r="BV2099" i="1"/>
  <c r="BV2100" i="1"/>
  <c r="BV2101" i="1"/>
  <c r="BV2102" i="1"/>
  <c r="BV2103" i="1"/>
  <c r="BV2104" i="1"/>
  <c r="BV2105" i="1"/>
  <c r="BV2106" i="1"/>
  <c r="BV2107" i="1"/>
  <c r="BV2108" i="1"/>
  <c r="BV2109" i="1"/>
  <c r="BV2110" i="1"/>
  <c r="BV2111" i="1"/>
  <c r="BV2112" i="1"/>
  <c r="BV2113" i="1"/>
  <c r="BV2114" i="1"/>
  <c r="BV2115" i="1"/>
  <c r="BV2116" i="1"/>
  <c r="BV2117" i="1"/>
  <c r="BV2118" i="1"/>
  <c r="BV2119" i="1"/>
  <c r="BV2121" i="1"/>
  <c r="BV2122" i="1"/>
  <c r="BV2123" i="1"/>
  <c r="BV2124" i="1"/>
  <c r="BV2125" i="1"/>
  <c r="BV2127" i="1"/>
  <c r="BV2128" i="1"/>
  <c r="BV2129" i="1"/>
  <c r="BV2132" i="1"/>
  <c r="BV2133" i="1"/>
  <c r="BV2134" i="1"/>
  <c r="BV2135" i="1"/>
  <c r="BV2136" i="1"/>
  <c r="BV2137" i="1"/>
  <c r="BV2138" i="1"/>
  <c r="BV2139" i="1"/>
  <c r="BV2140" i="1"/>
  <c r="BV2141" i="1"/>
  <c r="BV2142" i="1"/>
  <c r="BV2143" i="1"/>
  <c r="BV2144" i="1"/>
  <c r="BV2145" i="1"/>
  <c r="BV2146" i="1"/>
  <c r="BV2147" i="1"/>
  <c r="BV2148" i="1"/>
  <c r="BV2149" i="1"/>
  <c r="BV2150" i="1"/>
  <c r="BV2151" i="1"/>
  <c r="BV2152" i="1"/>
  <c r="BV2153" i="1"/>
  <c r="BV2154" i="1"/>
  <c r="BV2155" i="1"/>
  <c r="BV2156" i="1"/>
  <c r="BV2157" i="1"/>
  <c r="BV2158" i="1"/>
  <c r="BV2159" i="1"/>
  <c r="BV2160" i="1"/>
  <c r="BV2161" i="1"/>
  <c r="BV2162" i="1"/>
  <c r="BV2163" i="1"/>
  <c r="BV2164" i="1"/>
  <c r="BV2165" i="1"/>
  <c r="BV2166" i="1"/>
  <c r="BV2167" i="1"/>
  <c r="BV2168" i="1"/>
  <c r="BV2169" i="1"/>
  <c r="BV2170" i="1"/>
  <c r="BV2171" i="1"/>
  <c r="BV2172" i="1"/>
  <c r="BV2173" i="1"/>
  <c r="BV2174" i="1"/>
  <c r="BV2175" i="1"/>
  <c r="BV2176" i="1"/>
  <c r="BV2177" i="1"/>
  <c r="BV2179" i="1"/>
  <c r="BV2180" i="1"/>
  <c r="BV2181" i="1"/>
  <c r="BV2182" i="1"/>
  <c r="BV2183" i="1"/>
  <c r="BV2184" i="1"/>
  <c r="BV2185" i="1"/>
  <c r="BV2186" i="1"/>
  <c r="BV2187" i="1"/>
  <c r="BV2188" i="1"/>
  <c r="BV2189" i="1"/>
  <c r="BV2190" i="1"/>
  <c r="BV2191" i="1"/>
  <c r="BV2192" i="1"/>
  <c r="BV2193" i="1"/>
  <c r="BV2194" i="1"/>
  <c r="BV2195" i="1"/>
  <c r="BV2196" i="1"/>
  <c r="BV2197" i="1"/>
  <c r="BV2198" i="1"/>
  <c r="BV2199" i="1"/>
  <c r="BV2200" i="1"/>
  <c r="BV2201" i="1"/>
  <c r="BV2203" i="1"/>
  <c r="BV2205" i="1"/>
  <c r="BV2207" i="1"/>
  <c r="BV2208" i="1"/>
  <c r="BV2209" i="1"/>
  <c r="BV2210" i="1"/>
  <c r="BV2211" i="1"/>
  <c r="BV2212" i="1"/>
  <c r="BV2213" i="1"/>
  <c r="BV2214" i="1"/>
  <c r="BV2215" i="1"/>
  <c r="BV2216" i="1"/>
  <c r="BV2218" i="1"/>
  <c r="BV2219" i="1"/>
  <c r="BV2220" i="1"/>
  <c r="BV2221" i="1"/>
  <c r="BV2222" i="1"/>
  <c r="BV2223" i="1"/>
  <c r="BV2224" i="1"/>
  <c r="BV2225" i="1"/>
  <c r="BV2226" i="1"/>
  <c r="BV2227" i="1"/>
  <c r="BV2228" i="1"/>
  <c r="BV2229" i="1"/>
  <c r="BV2230" i="1"/>
  <c r="BV2231" i="1"/>
  <c r="BV2233" i="1"/>
  <c r="BV2234" i="1"/>
  <c r="BV2235" i="1"/>
  <c r="BV2236" i="1"/>
  <c r="BV2237" i="1"/>
  <c r="BV2238" i="1"/>
  <c r="BV2239" i="1"/>
  <c r="BW2239" i="1" s="1"/>
  <c r="BV2240" i="1"/>
  <c r="BV2241" i="1"/>
  <c r="BV2242" i="1"/>
  <c r="BV2243" i="1"/>
  <c r="BV2244" i="1"/>
  <c r="BV2245" i="1"/>
  <c r="BV2246" i="1"/>
  <c r="BV2249" i="1"/>
  <c r="BV2250" i="1"/>
  <c r="BV2251" i="1"/>
  <c r="BV2252" i="1"/>
  <c r="BV2253" i="1"/>
  <c r="BV2254" i="1"/>
  <c r="BV2255" i="1"/>
  <c r="BV2256" i="1"/>
  <c r="BV2257" i="1"/>
  <c r="BV2258" i="1"/>
  <c r="BV2259" i="1"/>
  <c r="BV2261" i="1"/>
  <c r="BV2263" i="1"/>
  <c r="BV2264" i="1"/>
  <c r="BV2265" i="1"/>
  <c r="BV2266" i="1"/>
  <c r="BV2267" i="1"/>
  <c r="BV2268" i="1"/>
  <c r="BV2270" i="1"/>
  <c r="BV2271" i="1"/>
  <c r="BV2272" i="1"/>
  <c r="BV2273" i="1"/>
  <c r="BV2274" i="1"/>
  <c r="BV2275" i="1"/>
  <c r="BV2276" i="1"/>
  <c r="BV2277" i="1"/>
  <c r="BV2278" i="1"/>
  <c r="BV2280" i="1"/>
  <c r="BV2281" i="1"/>
  <c r="BV2282" i="1"/>
  <c r="BV2283" i="1"/>
  <c r="BV2284" i="1"/>
  <c r="BV2285" i="1"/>
  <c r="BV2286" i="1"/>
  <c r="BV2287" i="1"/>
  <c r="BV2288" i="1"/>
  <c r="BV2289" i="1"/>
  <c r="BV2290" i="1"/>
  <c r="BV2291" i="1"/>
  <c r="BV2292" i="1"/>
  <c r="BV2293" i="1"/>
  <c r="BV2294" i="1"/>
  <c r="BV2295" i="1"/>
  <c r="BV2296" i="1"/>
  <c r="BV2298" i="1"/>
  <c r="BV2299" i="1"/>
  <c r="BV2300" i="1"/>
  <c r="BV2301" i="1"/>
  <c r="BV2302" i="1"/>
  <c r="BV2303" i="1"/>
  <c r="BV2304" i="1"/>
  <c r="BV2305" i="1"/>
  <c r="BV2306" i="1"/>
  <c r="BV2307" i="1"/>
  <c r="BV2308" i="1"/>
  <c r="BV2309" i="1"/>
  <c r="BV2311" i="1"/>
  <c r="BV2312" i="1"/>
  <c r="BV2313" i="1"/>
  <c r="BV2314" i="1"/>
  <c r="BV2315" i="1"/>
  <c r="BV2316" i="1"/>
  <c r="BV2317" i="1"/>
  <c r="BV2318" i="1"/>
  <c r="BV2319" i="1"/>
  <c r="BV2321" i="1"/>
  <c r="BV2323" i="1"/>
  <c r="BV2324" i="1"/>
  <c r="BV2325" i="1"/>
  <c r="BV2326" i="1"/>
  <c r="BV2327" i="1"/>
  <c r="BV2328" i="1"/>
  <c r="BV2329" i="1"/>
  <c r="BV2330" i="1"/>
  <c r="BV2331" i="1"/>
  <c r="BV2332" i="1"/>
  <c r="BV2333" i="1"/>
  <c r="BV2334" i="1"/>
  <c r="BV2335" i="1"/>
  <c r="BV2336" i="1"/>
  <c r="BV2337" i="1"/>
  <c r="BV2338" i="1"/>
  <c r="BV2339" i="1"/>
  <c r="BV2340" i="1"/>
  <c r="BV2342" i="1"/>
  <c r="BV2343" i="1"/>
  <c r="BV2344" i="1"/>
  <c r="BV2345" i="1"/>
  <c r="BV2346" i="1"/>
  <c r="BV2347" i="1"/>
  <c r="BV2348" i="1"/>
  <c r="BV2349" i="1"/>
  <c r="BV2350" i="1"/>
  <c r="BV2351" i="1"/>
  <c r="BV2352" i="1"/>
  <c r="BV2353" i="1"/>
  <c r="BV2354" i="1"/>
  <c r="BV2355" i="1"/>
  <c r="BV2356" i="1"/>
  <c r="BV2357" i="1"/>
  <c r="BV2358" i="1"/>
  <c r="BV2359" i="1"/>
  <c r="BV2360" i="1"/>
  <c r="BV2362" i="1"/>
  <c r="BV2365" i="1"/>
  <c r="BV2366" i="1"/>
  <c r="BV2367" i="1"/>
  <c r="BV2368" i="1"/>
  <c r="BV2369" i="1"/>
  <c r="BV2370" i="1"/>
  <c r="BV2371" i="1"/>
  <c r="BV2372" i="1"/>
  <c r="BV2373" i="1"/>
  <c r="BV2374" i="1"/>
  <c r="BV2375" i="1"/>
  <c r="BV2376" i="1"/>
  <c r="BV2377" i="1"/>
  <c r="BV2380" i="1"/>
  <c r="BV2381" i="1"/>
  <c r="BV2382" i="1"/>
  <c r="BV2383" i="1"/>
  <c r="BV2385" i="1"/>
  <c r="BV2386" i="1"/>
  <c r="BV2387" i="1"/>
  <c r="BV2388" i="1"/>
  <c r="BV2389" i="1"/>
  <c r="BV2391" i="1"/>
  <c r="BV2392" i="1"/>
  <c r="BV2393" i="1"/>
  <c r="BV2394" i="1"/>
  <c r="BV2395" i="1"/>
  <c r="BV2396" i="1"/>
  <c r="BV2397" i="1"/>
  <c r="BV2399" i="1"/>
  <c r="BV2400" i="1"/>
  <c r="BV2401" i="1"/>
  <c r="BV2402" i="1"/>
  <c r="BV2403" i="1"/>
  <c r="BV2404" i="1"/>
  <c r="BV2405" i="1"/>
  <c r="BV2406" i="1"/>
  <c r="BV2407" i="1"/>
  <c r="BV2408" i="1"/>
  <c r="BV2409" i="1"/>
  <c r="BV2410" i="1"/>
  <c r="BV2411" i="1"/>
  <c r="BV2412" i="1"/>
  <c r="BV2413" i="1"/>
  <c r="BV2414" i="1"/>
  <c r="BV2415" i="1"/>
  <c r="BV2416" i="1"/>
  <c r="BV2418" i="1"/>
  <c r="BV2419" i="1"/>
  <c r="BV2422" i="1"/>
  <c r="BV2423" i="1"/>
  <c r="BV2424" i="1"/>
  <c r="BV2425" i="1"/>
  <c r="BV2426" i="1"/>
  <c r="BV2428" i="1"/>
  <c r="BV2429" i="1"/>
  <c r="BV2430" i="1"/>
  <c r="BV2431" i="1"/>
  <c r="BV2432" i="1"/>
  <c r="BV2433" i="1"/>
  <c r="BV2434" i="1"/>
  <c r="BV2435" i="1"/>
  <c r="BV2436" i="1"/>
  <c r="BV2437" i="1"/>
  <c r="BV2438" i="1"/>
  <c r="BV2439" i="1"/>
  <c r="BV2440" i="1"/>
  <c r="BV2441" i="1"/>
  <c r="BV2442" i="1"/>
  <c r="BV2443" i="1"/>
  <c r="BV2444" i="1"/>
  <c r="BV2445" i="1"/>
  <c r="BV2446" i="1"/>
  <c r="BV2447" i="1"/>
  <c r="BV2448" i="1"/>
  <c r="BV2449" i="1"/>
  <c r="BV2450" i="1"/>
  <c r="BV2451" i="1"/>
  <c r="BV2452" i="1"/>
  <c r="BV2453" i="1"/>
  <c r="BV2454" i="1"/>
  <c r="BV2455" i="1"/>
  <c r="BV2456" i="1"/>
  <c r="BV2457" i="1"/>
  <c r="BV2458" i="1"/>
  <c r="BV2459" i="1"/>
  <c r="BV2461" i="1"/>
  <c r="BV2462" i="1"/>
  <c r="BV2463" i="1"/>
  <c r="BV2464" i="1"/>
  <c r="BV2465" i="1"/>
  <c r="BV2466" i="1"/>
  <c r="BV2467" i="1"/>
  <c r="BV2468" i="1"/>
  <c r="BV2469" i="1"/>
  <c r="BV2470" i="1"/>
  <c r="BV2472" i="1"/>
  <c r="BV2474" i="1"/>
  <c r="BV2475" i="1"/>
  <c r="BV2476" i="1"/>
  <c r="BV2477" i="1"/>
  <c r="BV2478" i="1"/>
  <c r="BV2479" i="1"/>
  <c r="BV2480" i="1"/>
  <c r="BV2481" i="1"/>
  <c r="BV2482" i="1"/>
  <c r="BV2483" i="1"/>
  <c r="BV2484" i="1"/>
  <c r="BV2485" i="1"/>
  <c r="BV2486" i="1"/>
  <c r="BV2487" i="1"/>
  <c r="BV2488" i="1"/>
  <c r="BV2489" i="1"/>
  <c r="BV2492" i="1"/>
  <c r="BV2494" i="1"/>
  <c r="BV2495" i="1"/>
  <c r="BV2496" i="1"/>
  <c r="BV2497" i="1"/>
  <c r="BV2498" i="1"/>
  <c r="BV2499" i="1"/>
  <c r="BV2500" i="1"/>
  <c r="BV2501" i="1"/>
  <c r="BV2502" i="1"/>
  <c r="BV2503" i="1"/>
  <c r="BV2504" i="1"/>
  <c r="BV2505" i="1"/>
  <c r="BV2506" i="1"/>
  <c r="BV2507" i="1"/>
  <c r="BV2508" i="1"/>
  <c r="BV2509" i="1"/>
  <c r="BV2510" i="1"/>
  <c r="BV2511" i="1"/>
  <c r="BV2512" i="1"/>
  <c r="BV2513" i="1"/>
  <c r="BV2514" i="1"/>
  <c r="BV2515" i="1"/>
  <c r="BV2516" i="1"/>
  <c r="BV2517" i="1"/>
  <c r="BV2518" i="1"/>
  <c r="BV2519" i="1"/>
  <c r="BV2520" i="1"/>
  <c r="BV2521" i="1"/>
  <c r="BV2522" i="1"/>
  <c r="BV2523" i="1"/>
  <c r="BV2526" i="1"/>
  <c r="BV2527" i="1"/>
  <c r="BV2529" i="1"/>
  <c r="BV2530" i="1"/>
  <c r="BV2531" i="1"/>
  <c r="BV2532" i="1"/>
  <c r="BV2533" i="1"/>
  <c r="BV2536" i="1"/>
  <c r="BV2537" i="1"/>
  <c r="BV2538" i="1"/>
  <c r="BV2540" i="1"/>
  <c r="BV2541" i="1"/>
  <c r="BV2542" i="1"/>
  <c r="BV2543" i="1"/>
  <c r="BV2544" i="1"/>
  <c r="BV2545" i="1"/>
  <c r="BV2546" i="1"/>
  <c r="BV2547" i="1"/>
  <c r="BV2548" i="1"/>
  <c r="BV2549" i="1"/>
  <c r="BV2550" i="1"/>
  <c r="BV2551" i="1"/>
  <c r="BV2552" i="1"/>
  <c r="BV2553" i="1"/>
  <c r="BV2554" i="1"/>
  <c r="BV2555" i="1"/>
  <c r="BV2557" i="1"/>
  <c r="BV2558" i="1"/>
  <c r="BV2559" i="1"/>
  <c r="BV2560" i="1"/>
  <c r="BV2561" i="1"/>
  <c r="BV2562" i="1"/>
  <c r="BV2563" i="1"/>
  <c r="BV2564" i="1"/>
  <c r="BV2565" i="1"/>
  <c r="BV2566" i="1"/>
  <c r="BV2567" i="1"/>
  <c r="BV2568" i="1"/>
  <c r="BV2569" i="1"/>
  <c r="BV2570" i="1"/>
  <c r="BV2571" i="1"/>
  <c r="BV2572" i="1"/>
  <c r="BV2573" i="1"/>
  <c r="BV2574" i="1"/>
  <c r="BV2575" i="1"/>
  <c r="BV2577" i="1"/>
  <c r="BV2578" i="1"/>
  <c r="BV2579" i="1"/>
  <c r="BV2580" i="1"/>
  <c r="BV2581" i="1"/>
  <c r="BV2582" i="1"/>
  <c r="BV2585" i="1"/>
  <c r="BV2586" i="1"/>
  <c r="BV2587" i="1"/>
  <c r="BV2588" i="1"/>
  <c r="BV2589" i="1"/>
  <c r="BV2590" i="1"/>
  <c r="BV2591" i="1"/>
  <c r="BV2592" i="1"/>
  <c r="BV2593" i="1"/>
  <c r="BV2594" i="1"/>
  <c r="BV2595" i="1"/>
  <c r="BV2596" i="1"/>
  <c r="BV2597" i="1"/>
  <c r="BV2598" i="1"/>
  <c r="BV2599" i="1"/>
  <c r="BV2600" i="1"/>
  <c r="BV2601" i="1"/>
  <c r="BV2603" i="1"/>
  <c r="BV2604" i="1"/>
  <c r="BV2605" i="1"/>
  <c r="BV2606" i="1"/>
  <c r="BV2607" i="1"/>
  <c r="BV2608" i="1"/>
  <c r="BV2609" i="1"/>
  <c r="BV2610" i="1"/>
  <c r="BV2611" i="1"/>
  <c r="BV2612" i="1"/>
  <c r="BV2613" i="1"/>
  <c r="BV2614" i="1"/>
  <c r="BV2615" i="1"/>
  <c r="BV2616" i="1"/>
  <c r="BV2617" i="1"/>
  <c r="BV2618" i="1"/>
  <c r="BV2619" i="1"/>
  <c r="BV2620" i="1"/>
  <c r="BV2621" i="1"/>
  <c r="BV2623" i="1"/>
  <c r="BV2625" i="1"/>
  <c r="BV2626" i="1"/>
  <c r="BV2627" i="1"/>
  <c r="BV2628" i="1"/>
  <c r="BV2629" i="1"/>
  <c r="BV2630" i="1"/>
  <c r="BV2631" i="1"/>
  <c r="BV2632" i="1"/>
  <c r="BV2633" i="1"/>
  <c r="BV2634" i="1"/>
  <c r="BV2635" i="1"/>
  <c r="BV2636" i="1"/>
  <c r="BV2637" i="1"/>
  <c r="BV2638" i="1"/>
  <c r="BV2639" i="1"/>
  <c r="BV2640" i="1"/>
  <c r="BV2642" i="1"/>
  <c r="BV2643" i="1"/>
  <c r="BV2644" i="1"/>
  <c r="BV2645" i="1"/>
  <c r="BV2649" i="1"/>
  <c r="BV2650" i="1"/>
  <c r="BV2651" i="1"/>
  <c r="BV2654" i="1"/>
  <c r="BV2655" i="1"/>
  <c r="BV2656" i="1"/>
  <c r="BV2660" i="1"/>
  <c r="BV2661" i="1"/>
  <c r="BV2662" i="1"/>
  <c r="BV2663" i="1"/>
  <c r="BV2664" i="1"/>
  <c r="BV2665" i="1"/>
  <c r="BV2666" i="1"/>
  <c r="BV2668" i="1"/>
  <c r="BV2669" i="1"/>
  <c r="BV2670" i="1"/>
  <c r="BV2672" i="1"/>
  <c r="BV2673" i="1"/>
  <c r="BV2674" i="1"/>
  <c r="BV2676" i="1"/>
  <c r="BV2677" i="1"/>
  <c r="BV2678" i="1"/>
  <c r="BV2679" i="1"/>
  <c r="BV2681" i="1"/>
  <c r="BV2682" i="1"/>
  <c r="BV2683" i="1"/>
  <c r="BV2684" i="1"/>
  <c r="BV2685" i="1"/>
  <c r="BV2686" i="1"/>
  <c r="BV2687" i="1"/>
  <c r="BV2688" i="1"/>
  <c r="BV2689" i="1"/>
  <c r="BV2691" i="1"/>
  <c r="BV2692" i="1"/>
  <c r="BV2694" i="1"/>
  <c r="BV2696" i="1"/>
  <c r="BV2697" i="1"/>
  <c r="BV2698" i="1"/>
  <c r="BV2699" i="1"/>
  <c r="BV2700" i="1"/>
  <c r="BV2701" i="1"/>
  <c r="BV2702" i="1"/>
  <c r="BV2703" i="1"/>
  <c r="BV2704" i="1"/>
  <c r="BV2705" i="1"/>
  <c r="BV2707" i="1"/>
  <c r="BV2708" i="1"/>
  <c r="BV2709" i="1"/>
  <c r="BV2710" i="1"/>
  <c r="BV2711" i="1"/>
  <c r="BV2712" i="1"/>
  <c r="BV2714" i="1"/>
  <c r="BV2716" i="1"/>
  <c r="BV2717" i="1"/>
  <c r="BV2718" i="1"/>
  <c r="BV2719" i="1"/>
  <c r="BV2720" i="1"/>
  <c r="BV2723" i="1"/>
  <c r="BV2724" i="1"/>
  <c r="BV2726" i="1"/>
  <c r="BV2728" i="1"/>
  <c r="BV2729" i="1"/>
  <c r="BV2730" i="1"/>
  <c r="BV2732" i="1"/>
  <c r="BV2733" i="1"/>
  <c r="BV2734" i="1"/>
  <c r="BV2736" i="1"/>
  <c r="BV2737" i="1"/>
  <c r="BV2738" i="1"/>
  <c r="BV2739" i="1"/>
  <c r="BV2740" i="1"/>
  <c r="BV2741" i="1"/>
  <c r="BV2742" i="1"/>
  <c r="BV2743" i="1"/>
  <c r="BV2744" i="1"/>
  <c r="BV2745" i="1"/>
  <c r="BV2747" i="1"/>
  <c r="BV2748" i="1"/>
  <c r="BV2749" i="1"/>
  <c r="BV2750" i="1"/>
  <c r="BV2751" i="1"/>
  <c r="BV2753" i="1"/>
  <c r="BV2754" i="1"/>
  <c r="BV2755" i="1"/>
  <c r="BV2756" i="1"/>
  <c r="BV2759" i="1"/>
  <c r="BV2760" i="1"/>
  <c r="BV2761" i="1"/>
  <c r="BV2762" i="1"/>
  <c r="BV2763" i="1"/>
  <c r="BV2764" i="1"/>
  <c r="BV2765" i="1"/>
  <c r="BV2766" i="1"/>
  <c r="BV2767" i="1"/>
  <c r="BV2768" i="1"/>
  <c r="BV2769" i="1"/>
  <c r="BV2772" i="1"/>
  <c r="BV2774" i="1"/>
  <c r="BV2775" i="1"/>
  <c r="BV2776" i="1"/>
  <c r="BV2777" i="1"/>
  <c r="BV2778" i="1"/>
  <c r="BV2779" i="1"/>
  <c r="BV2780" i="1"/>
  <c r="BV2783" i="1"/>
  <c r="BV2784" i="1"/>
  <c r="BV2785" i="1"/>
  <c r="BV2787" i="1"/>
  <c r="BV2788" i="1"/>
  <c r="BV2789" i="1"/>
  <c r="BV2790" i="1"/>
  <c r="BV2791" i="1"/>
  <c r="BV2792" i="1"/>
  <c r="BV2794" i="1"/>
  <c r="BV2795" i="1"/>
  <c r="BV2797" i="1"/>
  <c r="BV2798" i="1"/>
  <c r="BV2800" i="1"/>
  <c r="BV2801" i="1"/>
  <c r="BV2802" i="1"/>
  <c r="BV2803" i="1"/>
  <c r="BV2804" i="1"/>
  <c r="BV2805" i="1"/>
  <c r="BV2806" i="1"/>
  <c r="BV2807" i="1"/>
  <c r="BV2808" i="1"/>
  <c r="BV2809" i="1"/>
  <c r="BV2811" i="1"/>
  <c r="BV2814" i="1"/>
  <c r="BV2816" i="1"/>
  <c r="BV2817" i="1"/>
  <c r="BV2818" i="1"/>
  <c r="BV2819" i="1"/>
  <c r="BV2820" i="1"/>
  <c r="BV2821" i="1"/>
  <c r="BV2822" i="1"/>
  <c r="BV2823" i="1"/>
  <c r="BV2824" i="1"/>
  <c r="BV2825" i="1"/>
  <c r="BV2826" i="1"/>
  <c r="BV2827" i="1"/>
  <c r="BV2828" i="1"/>
  <c r="BV2829" i="1"/>
  <c r="BV2830" i="1"/>
  <c r="BV2832" i="1"/>
  <c r="BV2833" i="1"/>
  <c r="BV2834" i="1"/>
  <c r="BV2836" i="1"/>
  <c r="BV2837" i="1"/>
  <c r="BV2838" i="1"/>
  <c r="BV2839" i="1"/>
  <c r="BV2840" i="1"/>
  <c r="BV2841" i="1"/>
  <c r="BV2842" i="1"/>
  <c r="BV2843" i="1"/>
  <c r="BV2844" i="1"/>
  <c r="BV2846" i="1"/>
  <c r="BV2847" i="1"/>
  <c r="BV2848" i="1"/>
  <c r="BV2849" i="1"/>
  <c r="BV2850" i="1"/>
  <c r="BV2851" i="1"/>
  <c r="BV2852" i="1"/>
  <c r="BV2853" i="1"/>
  <c r="BV2854" i="1"/>
  <c r="BV2855" i="1"/>
  <c r="BV2857" i="1"/>
  <c r="BV2859" i="1"/>
  <c r="BV2860" i="1"/>
  <c r="BV2861" i="1"/>
  <c r="BV2862" i="1"/>
  <c r="BV2863" i="1"/>
  <c r="BV2864" i="1"/>
  <c r="BV2866" i="1"/>
  <c r="BV2868" i="1"/>
  <c r="BV2869" i="1"/>
  <c r="BV2870" i="1"/>
  <c r="BV2871" i="1"/>
  <c r="BV2872" i="1"/>
  <c r="BV2873" i="1"/>
  <c r="BV2875" i="1"/>
  <c r="BV2876" i="1"/>
  <c r="BV2877" i="1"/>
  <c r="BV2878" i="1"/>
  <c r="BV2879" i="1"/>
  <c r="BV2880" i="1"/>
  <c r="BV2881" i="1"/>
  <c r="BV2882" i="1"/>
  <c r="BV2883" i="1"/>
  <c r="BV2884" i="1"/>
  <c r="BV2888" i="1"/>
  <c r="BV2889" i="1"/>
  <c r="BV2890" i="1"/>
  <c r="BV2891" i="1"/>
  <c r="BV2893" i="1"/>
  <c r="BV2894" i="1"/>
  <c r="BV2896" i="1"/>
  <c r="BV2897" i="1"/>
  <c r="BV2898" i="1"/>
  <c r="BV2899" i="1"/>
  <c r="BV2900" i="1"/>
  <c r="BV2902" i="1"/>
  <c r="BV2903" i="1"/>
  <c r="BV2905" i="1"/>
  <c r="BV2906" i="1"/>
  <c r="BV2907" i="1"/>
  <c r="BV2908" i="1"/>
  <c r="BV2909" i="1"/>
  <c r="BV2910" i="1"/>
  <c r="BV2912" i="1"/>
  <c r="BV2913" i="1"/>
  <c r="BV2914" i="1"/>
  <c r="BV2915" i="1"/>
  <c r="BV2916" i="1"/>
  <c r="BV2917" i="1"/>
  <c r="BV2918" i="1"/>
  <c r="BV2919" i="1"/>
  <c r="BV2920" i="1"/>
  <c r="BV2921" i="1"/>
  <c r="BV2923" i="1"/>
  <c r="BV2924" i="1"/>
  <c r="BV2925" i="1"/>
  <c r="BV2926" i="1"/>
  <c r="BV2927" i="1"/>
  <c r="BV2928" i="1"/>
  <c r="BV2929" i="1"/>
  <c r="BV2931" i="1"/>
  <c r="BV2933" i="1"/>
  <c r="BV2934" i="1"/>
  <c r="BV2935" i="1"/>
  <c r="BV2936" i="1"/>
  <c r="BV2937" i="1"/>
  <c r="BV2938" i="1"/>
  <c r="BV2939" i="1"/>
  <c r="BV2940" i="1"/>
  <c r="BV2941" i="1"/>
  <c r="BV2942" i="1"/>
  <c r="BV2943" i="1"/>
  <c r="BV2944" i="1"/>
  <c r="BV2945" i="1"/>
  <c r="BV2946" i="1"/>
  <c r="BV2947" i="1"/>
  <c r="BV2948" i="1"/>
  <c r="BV2949" i="1"/>
  <c r="BV2950" i="1"/>
  <c r="BV2951" i="1"/>
  <c r="BV2952" i="1"/>
  <c r="BV2953" i="1"/>
  <c r="BV2954" i="1"/>
  <c r="BV2955" i="1"/>
  <c r="BV2956" i="1"/>
  <c r="BV2957" i="1"/>
  <c r="BV2958" i="1"/>
  <c r="BV2959" i="1"/>
  <c r="BV2960" i="1"/>
  <c r="BV2961" i="1"/>
  <c r="BV2962" i="1"/>
  <c r="BV2963" i="1"/>
  <c r="BV2964" i="1"/>
  <c r="BV2965" i="1"/>
  <c r="BV2966" i="1"/>
  <c r="BV2967" i="1"/>
  <c r="BV2968" i="1"/>
  <c r="BV2969" i="1"/>
  <c r="BV2970" i="1"/>
  <c r="BV2971" i="1"/>
  <c r="BV2972" i="1"/>
  <c r="BV2974" i="1"/>
  <c r="BV2976" i="1"/>
  <c r="BV2980" i="1"/>
  <c r="BV2981" i="1"/>
  <c r="BV2982" i="1"/>
  <c r="BV2983" i="1"/>
  <c r="BV2984" i="1"/>
  <c r="BV2986" i="1"/>
  <c r="BV2987" i="1"/>
  <c r="BV2988" i="1"/>
  <c r="BV2989" i="1"/>
  <c r="BV2991" i="1"/>
  <c r="BV2994" i="1"/>
  <c r="BV2995" i="1"/>
  <c r="BV2996" i="1"/>
  <c r="BV2997" i="1"/>
  <c r="BV2998" i="1"/>
  <c r="BV2999" i="1"/>
  <c r="BV3000" i="1"/>
  <c r="BV3002" i="1"/>
  <c r="BV3003" i="1"/>
  <c r="BV3004" i="1"/>
  <c r="BV3005" i="1"/>
  <c r="BV3006" i="1"/>
  <c r="BV3007" i="1"/>
  <c r="BV3008" i="1"/>
  <c r="BV3009" i="1"/>
  <c r="BV3010" i="1"/>
  <c r="BV3011" i="1"/>
  <c r="BV3013" i="1"/>
  <c r="BV3016" i="1"/>
  <c r="BV3017" i="1"/>
  <c r="BV3018" i="1"/>
  <c r="BV3019" i="1"/>
  <c r="BV3020" i="1"/>
  <c r="BV3021" i="1"/>
  <c r="BV3022" i="1"/>
  <c r="BV3023" i="1"/>
  <c r="BV3024" i="1"/>
  <c r="BV3025" i="1"/>
  <c r="BV3026" i="1"/>
  <c r="BV3027" i="1"/>
  <c r="BV3028" i="1"/>
  <c r="BV3029" i="1"/>
  <c r="BV3030" i="1"/>
  <c r="BV3031" i="1"/>
  <c r="BV3032" i="1"/>
  <c r="BV3033" i="1"/>
  <c r="BV3034" i="1"/>
  <c r="BV3035" i="1"/>
  <c r="BV3036" i="1"/>
  <c r="BV3037" i="1"/>
  <c r="BV3038" i="1"/>
  <c r="BV3039" i="1"/>
  <c r="BV3040" i="1"/>
  <c r="BV3041" i="1"/>
  <c r="BV3042" i="1"/>
  <c r="BV3043" i="1"/>
  <c r="BV3044" i="1"/>
  <c r="BV3045" i="1"/>
  <c r="BV3046" i="1"/>
  <c r="BV3047" i="1"/>
  <c r="BV3048" i="1"/>
  <c r="BV3050" i="1"/>
  <c r="BV3051" i="1"/>
  <c r="BV3052" i="1"/>
  <c r="BV3053" i="1"/>
  <c r="BV3054" i="1"/>
  <c r="BV3056" i="1"/>
  <c r="BV3058" i="1"/>
  <c r="BV3059" i="1"/>
  <c r="BV3060" i="1"/>
  <c r="BV3062" i="1"/>
  <c r="BV3063" i="1"/>
  <c r="BV3064" i="1"/>
  <c r="BV3065" i="1"/>
  <c r="BV3066" i="1"/>
  <c r="BV3067" i="1"/>
  <c r="BV3068" i="1"/>
  <c r="BV3069" i="1"/>
  <c r="BV3070" i="1"/>
  <c r="BV3072" i="1"/>
  <c r="BV3073" i="1"/>
  <c r="BV3075" i="1"/>
  <c r="BV3077" i="1"/>
  <c r="BV3079" i="1"/>
  <c r="BV3080" i="1"/>
  <c r="BV3081" i="1"/>
  <c r="BV3083" i="1"/>
  <c r="BV3084" i="1"/>
  <c r="BV3085" i="1"/>
  <c r="BV3087" i="1"/>
  <c r="BV3088" i="1"/>
  <c r="BV3091" i="1"/>
  <c r="BV3092" i="1"/>
  <c r="BV3093" i="1"/>
  <c r="BV3094" i="1"/>
  <c r="BV3095" i="1"/>
  <c r="BV3096" i="1"/>
  <c r="BV3097" i="1"/>
  <c r="BV3098" i="1"/>
  <c r="BV3099" i="1"/>
  <c r="BV3100" i="1"/>
  <c r="BV3101" i="1"/>
  <c r="BV3102" i="1"/>
  <c r="BV3104" i="1"/>
  <c r="BV3105" i="1"/>
  <c r="BV3106" i="1"/>
  <c r="BV3107" i="1"/>
  <c r="BV3108" i="1"/>
  <c r="BV3110" i="1"/>
  <c r="BV3112" i="1"/>
  <c r="BV3113" i="1"/>
  <c r="BV3114" i="1"/>
  <c r="BV3115" i="1"/>
  <c r="BV3116" i="1"/>
  <c r="BV3117" i="1"/>
  <c r="BV3118" i="1"/>
  <c r="BV3119" i="1"/>
  <c r="BV3120" i="1"/>
  <c r="BV3121" i="1"/>
  <c r="BV3122" i="1"/>
  <c r="BV3124" i="1"/>
  <c r="BV3126" i="1"/>
  <c r="BV3127" i="1"/>
  <c r="BV3128" i="1"/>
  <c r="BV3130" i="1"/>
  <c r="BV3131" i="1"/>
  <c r="BW3131" i="1" s="1"/>
  <c r="BV3132" i="1"/>
  <c r="BV3133" i="1"/>
  <c r="BV3135" i="1"/>
  <c r="BV3136" i="1"/>
  <c r="BV3137" i="1"/>
  <c r="BV3138" i="1"/>
  <c r="BV3139" i="1"/>
  <c r="BV3140" i="1"/>
  <c r="BV3141" i="1"/>
  <c r="BV3142" i="1"/>
  <c r="BV3143" i="1"/>
  <c r="BV3144" i="1"/>
  <c r="BV3145" i="1"/>
  <c r="BV3146" i="1"/>
  <c r="BV3147" i="1"/>
  <c r="BV3148" i="1"/>
  <c r="BV3150" i="1"/>
  <c r="BV3151" i="1"/>
  <c r="BV3152" i="1"/>
  <c r="BV3153" i="1"/>
  <c r="BV3154" i="1"/>
  <c r="BV3155" i="1"/>
  <c r="BV3156" i="1"/>
  <c r="BV3157" i="1"/>
  <c r="BV3158" i="1"/>
  <c r="BV3159" i="1"/>
  <c r="BV3160" i="1"/>
  <c r="BV3162" i="1"/>
  <c r="BV3163" i="1"/>
  <c r="BV3164" i="1"/>
  <c r="BV3165" i="1"/>
  <c r="BV3166" i="1"/>
  <c r="BV3167" i="1"/>
  <c r="BV3168" i="1"/>
  <c r="BV3169" i="1"/>
  <c r="BV3170" i="1"/>
  <c r="BV3171" i="1"/>
  <c r="BV3172" i="1"/>
  <c r="BV3173" i="1"/>
  <c r="BV3174" i="1"/>
  <c r="BV3175" i="1"/>
  <c r="BV3176" i="1"/>
  <c r="BV3177" i="1"/>
  <c r="BV3178" i="1"/>
  <c r="BV3179" i="1"/>
  <c r="BV3180" i="1"/>
  <c r="BV3181" i="1"/>
  <c r="BV3182" i="1"/>
  <c r="BV3183" i="1"/>
  <c r="BV3184" i="1"/>
  <c r="BV3185" i="1"/>
  <c r="BV3186" i="1"/>
  <c r="BV3187" i="1"/>
  <c r="BV3188" i="1"/>
  <c r="BV3189" i="1"/>
  <c r="BV3191" i="1"/>
  <c r="BV3192" i="1"/>
  <c r="BV3193" i="1"/>
  <c r="BV3194" i="1"/>
  <c r="BV3195" i="1"/>
  <c r="BV3197" i="1"/>
  <c r="BV3198" i="1"/>
  <c r="BV3199" i="1"/>
  <c r="BV3200" i="1"/>
  <c r="BV3201" i="1"/>
  <c r="BV3202" i="1"/>
  <c r="BV3203" i="1"/>
  <c r="BV3204" i="1"/>
  <c r="BV3205" i="1"/>
  <c r="BV3206" i="1"/>
  <c r="BV2" i="1"/>
  <c r="BH2239" i="1"/>
  <c r="BF3131" i="1"/>
  <c r="BF2239" i="1"/>
  <c r="J920" i="1"/>
  <c r="BY3" i="1"/>
  <c r="BY4" i="1"/>
  <c r="BY5" i="1"/>
  <c r="BY6" i="1"/>
  <c r="BY7" i="1"/>
  <c r="BY8" i="1"/>
  <c r="BY9" i="1"/>
  <c r="BY10" i="1"/>
  <c r="BY11" i="1"/>
  <c r="BY12" i="1"/>
  <c r="BY13" i="1"/>
  <c r="BY14" i="1"/>
  <c r="BY15" i="1"/>
  <c r="BY16" i="1"/>
  <c r="BY17" i="1"/>
  <c r="BY18" i="1"/>
  <c r="BY19" i="1"/>
  <c r="BY20" i="1"/>
  <c r="BY21" i="1"/>
  <c r="BY22" i="1"/>
  <c r="BY23" i="1"/>
  <c r="BY24" i="1"/>
  <c r="BY25" i="1"/>
  <c r="BY104" i="1"/>
  <c r="BY105" i="1"/>
  <c r="BY106" i="1"/>
  <c r="BY107" i="1"/>
  <c r="BZ107" i="1" s="1"/>
  <c r="BY108" i="1"/>
  <c r="BY109" i="1"/>
  <c r="BY110" i="1"/>
  <c r="BY111" i="1"/>
  <c r="BY112" i="1"/>
  <c r="BY113" i="1"/>
  <c r="BY114" i="1"/>
  <c r="BY116" i="1"/>
  <c r="BY117" i="1"/>
  <c r="BY118" i="1"/>
  <c r="BY119" i="1"/>
  <c r="BY120" i="1"/>
  <c r="BY121" i="1"/>
  <c r="BY122" i="1"/>
  <c r="BY123" i="1"/>
  <c r="BY124" i="1"/>
  <c r="BY125" i="1"/>
  <c r="BY126" i="1"/>
  <c r="BY127" i="1"/>
  <c r="BY128" i="1"/>
  <c r="BY129" i="1"/>
  <c r="BY130" i="1"/>
  <c r="BY131" i="1"/>
  <c r="BY132" i="1"/>
  <c r="BY133" i="1"/>
  <c r="BY134" i="1"/>
  <c r="BY135" i="1"/>
  <c r="BY136" i="1"/>
  <c r="BY138" i="1"/>
  <c r="BY139" i="1"/>
  <c r="BY140" i="1"/>
  <c r="BY141" i="1"/>
  <c r="BY142" i="1"/>
  <c r="BY143" i="1"/>
  <c r="BY144" i="1"/>
  <c r="BY145" i="1"/>
  <c r="BY146" i="1"/>
  <c r="BY147" i="1"/>
  <c r="BY148" i="1"/>
  <c r="BY149" i="1"/>
  <c r="BY150" i="1"/>
  <c r="BY151" i="1"/>
  <c r="BY152" i="1"/>
  <c r="BY153" i="1"/>
  <c r="BY154" i="1"/>
  <c r="BY155" i="1"/>
  <c r="BY156" i="1"/>
  <c r="BY157" i="1"/>
  <c r="BY158" i="1"/>
  <c r="BY159" i="1"/>
  <c r="BZ159" i="1" s="1"/>
  <c r="BY160" i="1"/>
  <c r="BY161" i="1"/>
  <c r="BY162" i="1"/>
  <c r="BY163" i="1"/>
  <c r="BY164" i="1"/>
  <c r="BY165" i="1"/>
  <c r="BY166" i="1"/>
  <c r="BY167" i="1"/>
  <c r="BY168" i="1"/>
  <c r="BY169" i="1"/>
  <c r="BY170" i="1"/>
  <c r="BZ170" i="1" s="1"/>
  <c r="BY171" i="1"/>
  <c r="BY172" i="1"/>
  <c r="BY173" i="1"/>
  <c r="BY174" i="1"/>
  <c r="BY175" i="1"/>
  <c r="BY176" i="1"/>
  <c r="BY177" i="1"/>
  <c r="BY178" i="1"/>
  <c r="BY179" i="1"/>
  <c r="BZ179" i="1" s="1"/>
  <c r="BY180" i="1"/>
  <c r="BY181" i="1"/>
  <c r="BY182" i="1"/>
  <c r="BY183" i="1"/>
  <c r="BZ183" i="1" s="1"/>
  <c r="BY184" i="1"/>
  <c r="BY185" i="1"/>
  <c r="BY186" i="1"/>
  <c r="BY187" i="1"/>
  <c r="BY188" i="1"/>
  <c r="BY189" i="1"/>
  <c r="BY190" i="1"/>
  <c r="BY191" i="1"/>
  <c r="BY192" i="1"/>
  <c r="BY193" i="1"/>
  <c r="BY194" i="1"/>
  <c r="BY195" i="1"/>
  <c r="BZ195" i="1" s="1"/>
  <c r="BY196" i="1"/>
  <c r="BY197" i="1"/>
  <c r="BY198" i="1"/>
  <c r="BY199" i="1"/>
  <c r="BY200" i="1"/>
  <c r="BY201" i="1"/>
  <c r="BY202" i="1"/>
  <c r="BY203" i="1"/>
  <c r="BY204" i="1"/>
  <c r="BZ204" i="1" s="1"/>
  <c r="BY205" i="1"/>
  <c r="BY206" i="1"/>
  <c r="BY282" i="1"/>
  <c r="BY283" i="1"/>
  <c r="BY284" i="1"/>
  <c r="BY285" i="1"/>
  <c r="BY286" i="1"/>
  <c r="BY287" i="1"/>
  <c r="BY288" i="1"/>
  <c r="BY289" i="1"/>
  <c r="BY290" i="1"/>
  <c r="BY291" i="1"/>
  <c r="BY292" i="1"/>
  <c r="BY293" i="1"/>
  <c r="BY294" i="1"/>
  <c r="BY295" i="1"/>
  <c r="BY296" i="1"/>
  <c r="BY297" i="1"/>
  <c r="BZ297" i="1" s="1"/>
  <c r="BY298" i="1"/>
  <c r="BY299" i="1"/>
  <c r="BY300" i="1"/>
  <c r="BY301" i="1"/>
  <c r="BY302" i="1"/>
  <c r="BY303" i="1"/>
  <c r="BY304" i="1"/>
  <c r="BY305" i="1"/>
  <c r="BY306" i="1"/>
  <c r="BY307" i="1"/>
  <c r="BY308" i="1"/>
  <c r="BY309" i="1"/>
  <c r="BY310" i="1"/>
  <c r="BY311" i="1"/>
  <c r="BY312" i="1"/>
  <c r="BY313" i="1"/>
  <c r="BY314" i="1"/>
  <c r="BZ314" i="1" s="1"/>
  <c r="BY315" i="1"/>
  <c r="BY316" i="1"/>
  <c r="BY317" i="1"/>
  <c r="BY318" i="1"/>
  <c r="BY319" i="1"/>
  <c r="BY320" i="1"/>
  <c r="BY321" i="1"/>
  <c r="BY322" i="1"/>
  <c r="BY323" i="1"/>
  <c r="BY324" i="1"/>
  <c r="BY325" i="1"/>
  <c r="BY326" i="1"/>
  <c r="BY327" i="1"/>
  <c r="BY328" i="1"/>
  <c r="BY329" i="1"/>
  <c r="BZ329" i="1" s="1"/>
  <c r="BY330" i="1"/>
  <c r="BY331" i="1"/>
  <c r="BZ331" i="1" s="1"/>
  <c r="BY332" i="1"/>
  <c r="BZ332" i="1" s="1"/>
  <c r="BY333" i="1"/>
  <c r="BY334" i="1"/>
  <c r="BY335" i="1"/>
  <c r="BY336" i="1"/>
  <c r="BY337" i="1"/>
  <c r="BY338" i="1"/>
  <c r="BY339" i="1"/>
  <c r="BY341" i="1"/>
  <c r="BY342" i="1"/>
  <c r="BY343" i="1"/>
  <c r="BY344" i="1"/>
  <c r="BY345" i="1"/>
  <c r="BY346" i="1"/>
  <c r="BY347" i="1"/>
  <c r="BY348" i="1"/>
  <c r="BY349" i="1"/>
  <c r="BY350" i="1"/>
  <c r="BY351" i="1"/>
  <c r="BY352" i="1"/>
  <c r="BY353" i="1"/>
  <c r="BY354" i="1"/>
  <c r="BY355" i="1"/>
  <c r="BY356" i="1"/>
  <c r="BY357" i="1"/>
  <c r="BY358" i="1"/>
  <c r="BY359" i="1"/>
  <c r="BY360" i="1"/>
  <c r="BY361" i="1"/>
  <c r="BY362" i="1"/>
  <c r="BY363" i="1"/>
  <c r="BY364" i="1"/>
  <c r="BY365" i="1"/>
  <c r="BY366" i="1"/>
  <c r="BY367" i="1"/>
  <c r="BZ367" i="1" s="1"/>
  <c r="BY368" i="1"/>
  <c r="BY369" i="1"/>
  <c r="BY370" i="1"/>
  <c r="BY371" i="1"/>
  <c r="BY372" i="1"/>
  <c r="BY373" i="1"/>
  <c r="BY374" i="1"/>
  <c r="BY375" i="1"/>
  <c r="BY376" i="1"/>
  <c r="BY377" i="1"/>
  <c r="BY378" i="1"/>
  <c r="BY379" i="1"/>
  <c r="BY380" i="1"/>
  <c r="BY381" i="1"/>
  <c r="BY382" i="1"/>
  <c r="BY383" i="1"/>
  <c r="BY384" i="1"/>
  <c r="BY385" i="1"/>
  <c r="BY386" i="1"/>
  <c r="BY387" i="1"/>
  <c r="BY388" i="1"/>
  <c r="BY389" i="1"/>
  <c r="BY390" i="1"/>
  <c r="BY391" i="1"/>
  <c r="BZ391" i="1" s="1"/>
  <c r="BY392" i="1"/>
  <c r="BY393" i="1"/>
  <c r="BY394" i="1"/>
  <c r="BY395" i="1"/>
  <c r="BY396" i="1"/>
  <c r="BY397" i="1"/>
  <c r="BY398" i="1"/>
  <c r="BY399" i="1"/>
  <c r="BY400" i="1"/>
  <c r="BY401" i="1"/>
  <c r="BY402" i="1"/>
  <c r="BY403" i="1"/>
  <c r="BY404" i="1"/>
  <c r="BY405" i="1"/>
  <c r="BY406" i="1"/>
  <c r="BY407" i="1"/>
  <c r="BZ407" i="1" s="1"/>
  <c r="BY408" i="1"/>
  <c r="BY409" i="1"/>
  <c r="BY410" i="1"/>
  <c r="BY411" i="1"/>
  <c r="BY412" i="1"/>
  <c r="BY413" i="1"/>
  <c r="BY414" i="1"/>
  <c r="BY415" i="1"/>
  <c r="BY416" i="1"/>
  <c r="BY417" i="1"/>
  <c r="BY418" i="1"/>
  <c r="BY419" i="1"/>
  <c r="BY420" i="1"/>
  <c r="BY421" i="1"/>
  <c r="BY422" i="1"/>
  <c r="BY423" i="1"/>
  <c r="BY424" i="1"/>
  <c r="BY425" i="1"/>
  <c r="BY426" i="1"/>
  <c r="BY427" i="1"/>
  <c r="BY428" i="1"/>
  <c r="BY429" i="1"/>
  <c r="BY430" i="1"/>
  <c r="BY431" i="1"/>
  <c r="BY432" i="1"/>
  <c r="BY433" i="1"/>
  <c r="BY434" i="1"/>
  <c r="BY435" i="1"/>
  <c r="BY436" i="1"/>
  <c r="BY437" i="1"/>
  <c r="BY438" i="1"/>
  <c r="BY439" i="1"/>
  <c r="BY440" i="1"/>
  <c r="BY441" i="1"/>
  <c r="BY442" i="1"/>
  <c r="BY443" i="1"/>
  <c r="BY444" i="1"/>
  <c r="BY445" i="1"/>
  <c r="BZ445" i="1" s="1"/>
  <c r="BY446" i="1"/>
  <c r="BZ446" i="1" s="1"/>
  <c r="BY447" i="1"/>
  <c r="BY448" i="1"/>
  <c r="BZ448" i="1" s="1"/>
  <c r="BY449" i="1"/>
  <c r="BY450" i="1"/>
  <c r="BY451" i="1"/>
  <c r="BY452" i="1"/>
  <c r="BY453" i="1"/>
  <c r="BY454" i="1"/>
  <c r="BY455" i="1"/>
  <c r="BY456" i="1"/>
  <c r="BY457" i="1"/>
  <c r="BY458" i="1"/>
  <c r="BY459" i="1"/>
  <c r="BZ459" i="1" s="1"/>
  <c r="BY460" i="1"/>
  <c r="BY461" i="1"/>
  <c r="BY462" i="1"/>
  <c r="BY463" i="1"/>
  <c r="BY465" i="1"/>
  <c r="BZ465" i="1" s="1"/>
  <c r="BY466" i="1"/>
  <c r="BY467" i="1"/>
  <c r="BY468" i="1"/>
  <c r="BY469" i="1"/>
  <c r="BY470" i="1"/>
  <c r="BY471" i="1"/>
  <c r="BY472" i="1"/>
  <c r="BY473" i="1"/>
  <c r="BY474" i="1"/>
  <c r="BY475" i="1"/>
  <c r="BY476" i="1"/>
  <c r="BZ476" i="1" s="1"/>
  <c r="BY477" i="1"/>
  <c r="BY479" i="1"/>
  <c r="BY480" i="1"/>
  <c r="BY481" i="1"/>
  <c r="BY482" i="1"/>
  <c r="BY483" i="1"/>
  <c r="BY484" i="1"/>
  <c r="BY485" i="1"/>
  <c r="BY486" i="1"/>
  <c r="BY487" i="1"/>
  <c r="BZ487" i="1" s="1"/>
  <c r="BY488" i="1"/>
  <c r="BY489" i="1"/>
  <c r="BY490" i="1"/>
  <c r="BY491" i="1"/>
  <c r="BY492" i="1"/>
  <c r="BY493" i="1"/>
  <c r="BZ493" i="1" s="1"/>
  <c r="BY494" i="1"/>
  <c r="BY495" i="1"/>
  <c r="BY496" i="1"/>
  <c r="BY497" i="1"/>
  <c r="BY498" i="1"/>
  <c r="BY499" i="1"/>
  <c r="BY500" i="1"/>
  <c r="BY501" i="1"/>
  <c r="BY502" i="1"/>
  <c r="BY503" i="1"/>
  <c r="BY504" i="1"/>
  <c r="BZ504" i="1" s="1"/>
  <c r="BY505" i="1"/>
  <c r="BY506" i="1"/>
  <c r="BY507" i="1"/>
  <c r="BY508" i="1"/>
  <c r="BY509" i="1"/>
  <c r="BY510" i="1"/>
  <c r="BY511" i="1"/>
  <c r="BY512" i="1"/>
  <c r="BY513" i="1"/>
  <c r="BY515" i="1"/>
  <c r="BY516" i="1"/>
  <c r="BY517" i="1"/>
  <c r="BY518" i="1"/>
  <c r="BY519" i="1"/>
  <c r="BY520" i="1"/>
  <c r="BY521" i="1"/>
  <c r="BZ521" i="1" s="1"/>
  <c r="BY522" i="1"/>
  <c r="BY523" i="1"/>
  <c r="BY524" i="1"/>
  <c r="BY525" i="1"/>
  <c r="BY526" i="1"/>
  <c r="BY527" i="1"/>
  <c r="BY528" i="1"/>
  <c r="BY529" i="1"/>
  <c r="BY530" i="1"/>
  <c r="BY531" i="1"/>
  <c r="BY532" i="1"/>
  <c r="BZ532" i="1" s="1"/>
  <c r="BY533" i="1"/>
  <c r="BY534" i="1"/>
  <c r="BY535" i="1"/>
  <c r="BZ535" i="1" s="1"/>
  <c r="BY536" i="1"/>
  <c r="BY537" i="1"/>
  <c r="BY538" i="1"/>
  <c r="BY539" i="1"/>
  <c r="BY540" i="1"/>
  <c r="BY541" i="1"/>
  <c r="BY542" i="1"/>
  <c r="BY543" i="1"/>
  <c r="BY544" i="1"/>
  <c r="BY545" i="1"/>
  <c r="BY546" i="1"/>
  <c r="BY547" i="1"/>
  <c r="BY548" i="1"/>
  <c r="BY549" i="1"/>
  <c r="BZ549" i="1" s="1"/>
  <c r="BY550" i="1"/>
  <c r="BY551" i="1"/>
  <c r="BY552" i="1"/>
  <c r="BY553" i="1"/>
  <c r="BY554" i="1"/>
  <c r="BY555" i="1"/>
  <c r="BY556" i="1"/>
  <c r="BY557" i="1"/>
  <c r="BY558" i="1"/>
  <c r="BY559" i="1"/>
  <c r="BY560" i="1"/>
  <c r="BY561" i="1"/>
  <c r="BZ561" i="1" s="1"/>
  <c r="BY562" i="1"/>
  <c r="BZ562" i="1" s="1"/>
  <c r="BY563" i="1"/>
  <c r="BY564" i="1"/>
  <c r="BY565" i="1"/>
  <c r="BY566" i="1"/>
  <c r="BY567" i="1"/>
  <c r="BY568" i="1"/>
  <c r="BZ568" i="1" s="1"/>
  <c r="BY569" i="1"/>
  <c r="BY570" i="1"/>
  <c r="BY571" i="1"/>
  <c r="BY572" i="1"/>
  <c r="BY573" i="1"/>
  <c r="BY574" i="1"/>
  <c r="BY575" i="1"/>
  <c r="BY576" i="1"/>
  <c r="BY577" i="1"/>
  <c r="BY578" i="1"/>
  <c r="BY579" i="1"/>
  <c r="BY580" i="1"/>
  <c r="BY581" i="1"/>
  <c r="BY582" i="1"/>
  <c r="BY583" i="1"/>
  <c r="BY584" i="1"/>
  <c r="BY585" i="1"/>
  <c r="BY586" i="1"/>
  <c r="BY587" i="1"/>
  <c r="BY588" i="1"/>
  <c r="BZ588" i="1" s="1"/>
  <c r="BY589" i="1"/>
  <c r="BZ589" i="1" s="1"/>
  <c r="BY590" i="1"/>
  <c r="BY591" i="1"/>
  <c r="BY592" i="1"/>
  <c r="BY593" i="1"/>
  <c r="BY594" i="1"/>
  <c r="BY595" i="1"/>
  <c r="BY596" i="1"/>
  <c r="BY597" i="1"/>
  <c r="BY598" i="1"/>
  <c r="BY599" i="1"/>
  <c r="BY600" i="1"/>
  <c r="BY601" i="1"/>
  <c r="BY602" i="1"/>
  <c r="BZ602" i="1" s="1"/>
  <c r="BY603" i="1"/>
  <c r="BY604" i="1"/>
  <c r="BY605" i="1"/>
  <c r="BY606" i="1"/>
  <c r="BY607" i="1"/>
  <c r="BY608" i="1"/>
  <c r="BY609" i="1"/>
  <c r="BY611" i="1"/>
  <c r="BY612" i="1"/>
  <c r="BY614" i="1"/>
  <c r="BY615" i="1"/>
  <c r="BY616" i="1"/>
  <c r="BY617" i="1"/>
  <c r="BY618" i="1"/>
  <c r="BY619" i="1"/>
  <c r="BY620" i="1"/>
  <c r="BY621" i="1"/>
  <c r="BY622" i="1"/>
  <c r="BY623" i="1"/>
  <c r="BY624" i="1"/>
  <c r="BY625" i="1"/>
  <c r="BY626" i="1"/>
  <c r="BY627" i="1"/>
  <c r="BY628" i="1"/>
  <c r="BY629" i="1"/>
  <c r="BY630" i="1"/>
  <c r="BY631" i="1"/>
  <c r="BZ631" i="1" s="1"/>
  <c r="BY632" i="1"/>
  <c r="BY633" i="1"/>
  <c r="BY634" i="1"/>
  <c r="BY635" i="1"/>
  <c r="BY636" i="1"/>
  <c r="BY637" i="1"/>
  <c r="BY638" i="1"/>
  <c r="BY639" i="1"/>
  <c r="BY640" i="1"/>
  <c r="BY641" i="1"/>
  <c r="BY642" i="1"/>
  <c r="BY643" i="1"/>
  <c r="BY644" i="1"/>
  <c r="BY645" i="1"/>
  <c r="BY646" i="1"/>
  <c r="BY647" i="1"/>
  <c r="BY648" i="1"/>
  <c r="BY649" i="1"/>
  <c r="BY650" i="1"/>
  <c r="BY651" i="1"/>
  <c r="BY652" i="1"/>
  <c r="BY653" i="1"/>
  <c r="BY654" i="1"/>
  <c r="BY655" i="1"/>
  <c r="BZ655" i="1" s="1"/>
  <c r="BY656" i="1"/>
  <c r="BY657" i="1"/>
  <c r="BY658" i="1"/>
  <c r="BY659" i="1"/>
  <c r="BY660" i="1"/>
  <c r="BY661" i="1"/>
  <c r="BY662" i="1"/>
  <c r="BY663" i="1"/>
  <c r="BY664" i="1"/>
  <c r="BY665" i="1"/>
  <c r="BY666" i="1"/>
  <c r="BY667" i="1"/>
  <c r="BY668" i="1"/>
  <c r="BY669" i="1"/>
  <c r="BY670" i="1"/>
  <c r="BY671" i="1"/>
  <c r="BY672" i="1"/>
  <c r="BY673" i="1"/>
  <c r="BY674" i="1"/>
  <c r="BY675" i="1"/>
  <c r="BY676" i="1"/>
  <c r="BY677" i="1"/>
  <c r="BY678" i="1"/>
  <c r="BY679" i="1"/>
  <c r="BY680" i="1"/>
  <c r="BY681" i="1"/>
  <c r="BY682" i="1"/>
  <c r="BY683" i="1"/>
  <c r="BY684" i="1"/>
  <c r="BZ684" i="1" s="1"/>
  <c r="BY685" i="1"/>
  <c r="BY686" i="1"/>
  <c r="BY687" i="1"/>
  <c r="BZ687" i="1" s="1"/>
  <c r="BY688" i="1"/>
  <c r="BY689" i="1"/>
  <c r="BY690" i="1"/>
  <c r="BY691" i="1"/>
  <c r="BY692" i="1"/>
  <c r="BY693" i="1"/>
  <c r="BY694" i="1"/>
  <c r="BY695" i="1"/>
  <c r="BY696" i="1"/>
  <c r="BY697" i="1"/>
  <c r="BY698" i="1"/>
  <c r="BY699" i="1"/>
  <c r="BY700" i="1"/>
  <c r="BY701" i="1"/>
  <c r="BY702" i="1"/>
  <c r="BY703" i="1"/>
  <c r="BY704" i="1"/>
  <c r="BY705" i="1"/>
  <c r="BY706" i="1"/>
  <c r="BY707" i="1"/>
  <c r="BZ707" i="1" s="1"/>
  <c r="BY708" i="1"/>
  <c r="BY709" i="1"/>
  <c r="BZ709" i="1" s="1"/>
  <c r="BY710" i="1"/>
  <c r="BZ710" i="1" s="1"/>
  <c r="BY711" i="1"/>
  <c r="BY712" i="1"/>
  <c r="BZ712" i="1" s="1"/>
  <c r="BY713" i="1"/>
  <c r="BY714" i="1"/>
  <c r="BY715" i="1"/>
  <c r="BY716" i="1"/>
  <c r="BY717" i="1"/>
  <c r="BY718" i="1"/>
  <c r="BY719" i="1"/>
  <c r="BY720" i="1"/>
  <c r="BY721" i="1"/>
  <c r="BZ721" i="1" s="1"/>
  <c r="BY722" i="1"/>
  <c r="BZ722" i="1" s="1"/>
  <c r="BY723" i="1"/>
  <c r="BY724" i="1"/>
  <c r="BY725" i="1"/>
  <c r="BY726" i="1"/>
  <c r="BY727" i="1"/>
  <c r="BY728" i="1"/>
  <c r="BY729" i="1"/>
  <c r="BY730" i="1"/>
  <c r="BY731" i="1"/>
  <c r="BY732" i="1"/>
  <c r="BY733" i="1"/>
  <c r="BY734" i="1"/>
  <c r="BY735" i="1"/>
  <c r="BY736" i="1"/>
  <c r="BY737" i="1"/>
  <c r="BZ737" i="1" s="1"/>
  <c r="BY738" i="1"/>
  <c r="BY739" i="1"/>
  <c r="BZ739" i="1" s="1"/>
  <c r="BY740" i="1"/>
  <c r="BZ740" i="1" s="1"/>
  <c r="BY741" i="1"/>
  <c r="BY742" i="1"/>
  <c r="BZ742" i="1" s="1"/>
  <c r="BY743" i="1"/>
  <c r="BY744" i="1"/>
  <c r="BY745" i="1"/>
  <c r="BY746" i="1"/>
  <c r="BY747" i="1"/>
  <c r="BY748" i="1"/>
  <c r="BY749" i="1"/>
  <c r="BY750" i="1"/>
  <c r="BY751" i="1"/>
  <c r="BY752" i="1"/>
  <c r="BY753" i="1"/>
  <c r="BY754" i="1"/>
  <c r="BY755" i="1"/>
  <c r="BY756" i="1"/>
  <c r="BY757" i="1"/>
  <c r="BY758" i="1"/>
  <c r="BY759" i="1"/>
  <c r="BY760" i="1"/>
  <c r="BY761" i="1"/>
  <c r="BY762" i="1"/>
  <c r="BY763" i="1"/>
  <c r="BY764" i="1"/>
  <c r="BY765" i="1"/>
  <c r="BY766" i="1"/>
  <c r="BY767" i="1"/>
  <c r="BY768" i="1"/>
  <c r="BY769" i="1"/>
  <c r="BY770" i="1"/>
  <c r="BY771" i="1"/>
  <c r="BY772" i="1"/>
  <c r="BY773" i="1"/>
  <c r="BY774" i="1"/>
  <c r="BY775" i="1"/>
  <c r="BY776" i="1"/>
  <c r="BY777" i="1"/>
  <c r="BZ777" i="1" s="1"/>
  <c r="BY778" i="1"/>
  <c r="BY779" i="1"/>
  <c r="BY780" i="1"/>
  <c r="BY782" i="1"/>
  <c r="BY783" i="1"/>
  <c r="BY784" i="1"/>
  <c r="BY785" i="1"/>
  <c r="BY786" i="1"/>
  <c r="BY787" i="1"/>
  <c r="BY788" i="1"/>
  <c r="BY789" i="1"/>
  <c r="BY790" i="1"/>
  <c r="BY791" i="1"/>
  <c r="BZ791" i="1" s="1"/>
  <c r="BY792" i="1"/>
  <c r="BY793" i="1"/>
  <c r="BY794" i="1"/>
  <c r="BY795" i="1"/>
  <c r="BY796" i="1"/>
  <c r="BY797" i="1"/>
  <c r="BY798" i="1"/>
  <c r="BY799" i="1"/>
  <c r="BY800" i="1"/>
  <c r="BY801" i="1"/>
  <c r="BZ801" i="1" s="1"/>
  <c r="BY802" i="1"/>
  <c r="BY803" i="1"/>
  <c r="BY804" i="1"/>
  <c r="BY805" i="1"/>
  <c r="BY806" i="1"/>
  <c r="BY807" i="1"/>
  <c r="BY808" i="1"/>
  <c r="BZ808" i="1" s="1"/>
  <c r="BY809" i="1"/>
  <c r="BY810" i="1"/>
  <c r="BY811" i="1"/>
  <c r="BY812" i="1"/>
  <c r="BZ812" i="1" s="1"/>
  <c r="BY813" i="1"/>
  <c r="BY814" i="1"/>
  <c r="BY815" i="1"/>
  <c r="BY816" i="1"/>
  <c r="BY817" i="1"/>
  <c r="BY818" i="1"/>
  <c r="BY819" i="1"/>
  <c r="BY820" i="1"/>
  <c r="BY821" i="1"/>
  <c r="BY822" i="1"/>
  <c r="BZ822" i="1" s="1"/>
  <c r="BY823" i="1"/>
  <c r="BZ823" i="1" s="1"/>
  <c r="BY824" i="1"/>
  <c r="BY825" i="1"/>
  <c r="BY826" i="1"/>
  <c r="BY827" i="1"/>
  <c r="BY828" i="1"/>
  <c r="BY829" i="1"/>
  <c r="BY830" i="1"/>
  <c r="BY831" i="1"/>
  <c r="BY832" i="1"/>
  <c r="BY833" i="1"/>
  <c r="BY834" i="1"/>
  <c r="BY835" i="1"/>
  <c r="BY836" i="1"/>
  <c r="BY837" i="1"/>
  <c r="BY838" i="1"/>
  <c r="BY840" i="1"/>
  <c r="BY841" i="1"/>
  <c r="BZ841" i="1" s="1"/>
  <c r="BY842" i="1"/>
  <c r="BY843" i="1"/>
  <c r="BY844" i="1"/>
  <c r="BY845" i="1"/>
  <c r="BY846" i="1"/>
  <c r="BY847" i="1"/>
  <c r="BZ847" i="1" s="1"/>
  <c r="BY848" i="1"/>
  <c r="BY849" i="1"/>
  <c r="BY850" i="1"/>
  <c r="BZ850" i="1" s="1"/>
  <c r="BY851" i="1"/>
  <c r="BY852" i="1"/>
  <c r="BY853" i="1"/>
  <c r="BY854" i="1"/>
  <c r="BY855" i="1"/>
  <c r="BY856" i="1"/>
  <c r="BZ856" i="1" s="1"/>
  <c r="BY857" i="1"/>
  <c r="BY858" i="1"/>
  <c r="BY859" i="1"/>
  <c r="BY860" i="1"/>
  <c r="BY861" i="1"/>
  <c r="BZ861" i="1" s="1"/>
  <c r="BY862" i="1"/>
  <c r="BY863" i="1"/>
  <c r="BY864" i="1"/>
  <c r="BY865" i="1"/>
  <c r="BY866" i="1"/>
  <c r="BY867" i="1"/>
  <c r="BY868" i="1"/>
  <c r="BY869" i="1"/>
  <c r="BY870" i="1"/>
  <c r="BY871" i="1"/>
  <c r="BY872" i="1"/>
  <c r="BY873" i="1"/>
  <c r="BY874" i="1"/>
  <c r="BY875" i="1"/>
  <c r="BY876" i="1"/>
  <c r="BY877" i="1"/>
  <c r="BY878" i="1"/>
  <c r="BY879" i="1"/>
  <c r="BY880" i="1"/>
  <c r="BY881" i="1"/>
  <c r="BY882" i="1"/>
  <c r="BY883" i="1"/>
  <c r="BY884" i="1"/>
  <c r="BY885" i="1"/>
  <c r="BY886" i="1"/>
  <c r="BY887" i="1"/>
  <c r="BY888" i="1"/>
  <c r="BZ888" i="1" s="1"/>
  <c r="BY889" i="1"/>
  <c r="BY890" i="1"/>
  <c r="BY891" i="1"/>
  <c r="BY892" i="1"/>
  <c r="BY893" i="1"/>
  <c r="BY894" i="1"/>
  <c r="BY895" i="1"/>
  <c r="BY896" i="1"/>
  <c r="BZ896" i="1" s="1"/>
  <c r="BY897" i="1"/>
  <c r="BY898" i="1"/>
  <c r="BY899" i="1"/>
  <c r="BY900" i="1"/>
  <c r="BY901" i="1"/>
  <c r="BY902" i="1"/>
  <c r="BY903" i="1"/>
  <c r="BY904" i="1"/>
  <c r="BY905" i="1"/>
  <c r="BY906" i="1"/>
  <c r="BY907" i="1"/>
  <c r="BY908" i="1"/>
  <c r="BY909" i="1"/>
  <c r="BY910" i="1"/>
  <c r="BZ910" i="1" s="1"/>
  <c r="BY911" i="1"/>
  <c r="BY912" i="1"/>
  <c r="BY913" i="1"/>
  <c r="BY914" i="1"/>
  <c r="BZ914" i="1" s="1"/>
  <c r="BY915" i="1"/>
  <c r="BY916" i="1"/>
  <c r="BY917" i="1"/>
  <c r="BZ917" i="1" s="1"/>
  <c r="BY918" i="1"/>
  <c r="BY919" i="1"/>
  <c r="BY921" i="1"/>
  <c r="BY922" i="1"/>
  <c r="BY923" i="1"/>
  <c r="BY924" i="1"/>
  <c r="BY925" i="1"/>
  <c r="BY926" i="1"/>
  <c r="BY927" i="1"/>
  <c r="BY928" i="1"/>
  <c r="BY929" i="1"/>
  <c r="BY930" i="1"/>
  <c r="BY931" i="1"/>
  <c r="BY932" i="1"/>
  <c r="BY933" i="1"/>
  <c r="BY934" i="1"/>
  <c r="BY935" i="1"/>
  <c r="BY936" i="1"/>
  <c r="BY937" i="1"/>
  <c r="BY938" i="1"/>
  <c r="BY939" i="1"/>
  <c r="BY940" i="1"/>
  <c r="BY942" i="1"/>
  <c r="BY943" i="1"/>
  <c r="BY944" i="1"/>
  <c r="BY945" i="1"/>
  <c r="BZ945" i="1" s="1"/>
  <c r="BY946" i="1"/>
  <c r="BY947" i="1"/>
  <c r="BY948" i="1"/>
  <c r="BY949" i="1"/>
  <c r="BY950" i="1"/>
  <c r="BY951" i="1"/>
  <c r="BZ951" i="1" s="1"/>
  <c r="BY952" i="1"/>
  <c r="BY953" i="1"/>
  <c r="BY954" i="1"/>
  <c r="BY955" i="1"/>
  <c r="BY956" i="1"/>
  <c r="BY957" i="1"/>
  <c r="BY958" i="1"/>
  <c r="BY959" i="1"/>
  <c r="BY960" i="1"/>
  <c r="BY961" i="1"/>
  <c r="BY962" i="1"/>
  <c r="BY963" i="1"/>
  <c r="BY964" i="1"/>
  <c r="BY965" i="1"/>
  <c r="BY966" i="1"/>
  <c r="BY967" i="1"/>
  <c r="BY968" i="1"/>
  <c r="BY969" i="1"/>
  <c r="BY970" i="1"/>
  <c r="BY971" i="1"/>
  <c r="BZ971" i="1" s="1"/>
  <c r="BY972" i="1"/>
  <c r="BY973" i="1"/>
  <c r="BY974" i="1"/>
  <c r="BY975" i="1"/>
  <c r="BY976" i="1"/>
  <c r="BY977" i="1"/>
  <c r="BY978" i="1"/>
  <c r="BY979" i="1"/>
  <c r="BY980" i="1"/>
  <c r="BY981" i="1"/>
  <c r="BY982" i="1"/>
  <c r="BY983" i="1"/>
  <c r="BZ983" i="1" s="1"/>
  <c r="BY984" i="1"/>
  <c r="BY985" i="1"/>
  <c r="BY986" i="1"/>
  <c r="BY987" i="1"/>
  <c r="BY988" i="1"/>
  <c r="BY989" i="1"/>
  <c r="BY990" i="1"/>
  <c r="BY991" i="1"/>
  <c r="BY992" i="1"/>
  <c r="BY993" i="1"/>
  <c r="BY994" i="1"/>
  <c r="BY995" i="1"/>
  <c r="BY996" i="1"/>
  <c r="BZ996" i="1" s="1"/>
  <c r="BY997" i="1"/>
  <c r="BY998" i="1"/>
  <c r="BY999" i="1"/>
  <c r="BY1000" i="1"/>
  <c r="BY1001" i="1"/>
  <c r="BY1002" i="1"/>
  <c r="BZ1002" i="1" s="1"/>
  <c r="BY1003" i="1"/>
  <c r="BY1004" i="1"/>
  <c r="BY1005" i="1"/>
  <c r="BY1006" i="1"/>
  <c r="BY1007" i="1"/>
  <c r="BY1008" i="1"/>
  <c r="BY1009" i="1"/>
  <c r="BZ1009" i="1" s="1"/>
  <c r="BY1010" i="1"/>
  <c r="BY1011" i="1"/>
  <c r="BZ1011" i="1" s="1"/>
  <c r="BY1012" i="1"/>
  <c r="BY1013" i="1"/>
  <c r="BY1014" i="1"/>
  <c r="BY1015" i="1"/>
  <c r="BY1016" i="1"/>
  <c r="BY1017" i="1"/>
  <c r="BY1018" i="1"/>
  <c r="BZ1018" i="1" s="1"/>
  <c r="BY1019" i="1"/>
  <c r="BY1020" i="1"/>
  <c r="BY1021" i="1"/>
  <c r="BY1022" i="1"/>
  <c r="BY1023" i="1"/>
  <c r="BY1024" i="1"/>
  <c r="BY1025" i="1"/>
  <c r="BY1026" i="1"/>
  <c r="BZ1026" i="1" s="1"/>
  <c r="BY1027" i="1"/>
  <c r="BY1028" i="1"/>
  <c r="BY1029" i="1"/>
  <c r="BY1030" i="1"/>
  <c r="BY1031" i="1"/>
  <c r="BY1032" i="1"/>
  <c r="BY1033" i="1"/>
  <c r="BY1034" i="1"/>
  <c r="BY1035" i="1"/>
  <c r="BZ1035" i="1" s="1"/>
  <c r="BY1036" i="1"/>
  <c r="BY1037" i="1"/>
  <c r="BY1038" i="1"/>
  <c r="BY1039" i="1"/>
  <c r="BY1040" i="1"/>
  <c r="BY1042" i="1"/>
  <c r="BZ1042" i="1" s="1"/>
  <c r="BY1043" i="1"/>
  <c r="BY1044" i="1"/>
  <c r="BY1045" i="1"/>
  <c r="BY1046" i="1"/>
  <c r="BY1047" i="1"/>
  <c r="BY1048" i="1"/>
  <c r="BZ1048" i="1" s="1"/>
  <c r="BY1049" i="1"/>
  <c r="BY1050" i="1"/>
  <c r="BZ1050" i="1" s="1"/>
  <c r="BY1051" i="1"/>
  <c r="BY1052" i="1"/>
  <c r="BY1053" i="1"/>
  <c r="BY1055" i="1"/>
  <c r="BY1056" i="1"/>
  <c r="BY1057" i="1"/>
  <c r="BY1058" i="1"/>
  <c r="BY1059" i="1"/>
  <c r="BY1060" i="1"/>
  <c r="BY1061" i="1"/>
  <c r="BY1062" i="1"/>
  <c r="BY1063" i="1"/>
  <c r="BY1064" i="1"/>
  <c r="BY1065" i="1"/>
  <c r="BY1066" i="1"/>
  <c r="BY1067" i="1"/>
  <c r="BY1068" i="1"/>
  <c r="BY1069" i="1"/>
  <c r="BY1070" i="1"/>
  <c r="BY1071" i="1"/>
  <c r="BY1072" i="1"/>
  <c r="BY1073" i="1"/>
  <c r="BY1074" i="1"/>
  <c r="BZ1074" i="1" s="1"/>
  <c r="BY1075" i="1"/>
  <c r="BY1076" i="1"/>
  <c r="BZ1076" i="1" s="1"/>
  <c r="BY1077" i="1"/>
  <c r="BY1078" i="1"/>
  <c r="BY1079" i="1"/>
  <c r="BY1080" i="1"/>
  <c r="BZ1080" i="1" s="1"/>
  <c r="BY1081" i="1"/>
  <c r="BY1082" i="1"/>
  <c r="BY1083" i="1"/>
  <c r="BY1084" i="1"/>
  <c r="BY1085" i="1"/>
  <c r="BY1086" i="1"/>
  <c r="BY1087" i="1"/>
  <c r="BY1088" i="1"/>
  <c r="BY1089" i="1"/>
  <c r="BY1090" i="1"/>
  <c r="BY1091" i="1"/>
  <c r="BY1092" i="1"/>
  <c r="BZ1092" i="1" s="1"/>
  <c r="BY1093" i="1"/>
  <c r="BY1094" i="1"/>
  <c r="BY1095" i="1"/>
  <c r="BY1096" i="1"/>
  <c r="BY1097" i="1"/>
  <c r="BY1098" i="1"/>
  <c r="BY1099" i="1"/>
  <c r="BZ1099" i="1" s="1"/>
  <c r="BY1100" i="1"/>
  <c r="BY1101" i="1"/>
  <c r="BY1102" i="1"/>
  <c r="BY1103" i="1"/>
  <c r="BY1104" i="1"/>
  <c r="BY1105" i="1"/>
  <c r="BY1106" i="1"/>
  <c r="BY1107" i="1"/>
  <c r="BY1108" i="1"/>
  <c r="BY1109" i="1"/>
  <c r="BY1110" i="1"/>
  <c r="BY1111" i="1"/>
  <c r="BY1112" i="1"/>
  <c r="BY1113" i="1"/>
  <c r="BY1114" i="1"/>
  <c r="BZ1114" i="1" s="1"/>
  <c r="BY1115" i="1"/>
  <c r="BY1116" i="1"/>
  <c r="BY1117" i="1"/>
  <c r="BY1118" i="1"/>
  <c r="BY1119" i="1"/>
  <c r="BZ1119" i="1" s="1"/>
  <c r="BY1120" i="1"/>
  <c r="BY1121" i="1"/>
  <c r="BY1122" i="1"/>
  <c r="BZ1122" i="1" s="1"/>
  <c r="BY1123" i="1"/>
  <c r="BY1124" i="1"/>
  <c r="BY1125" i="1"/>
  <c r="BY1126" i="1"/>
  <c r="BY1127" i="1"/>
  <c r="BY1128" i="1"/>
  <c r="BY1129" i="1"/>
  <c r="BY1131" i="1"/>
  <c r="BY1132" i="1"/>
  <c r="BY1133" i="1"/>
  <c r="BY1134" i="1"/>
  <c r="BY1135" i="1"/>
  <c r="BY1136" i="1"/>
  <c r="BZ1136" i="1" s="1"/>
  <c r="BY1137" i="1"/>
  <c r="BZ1137" i="1" s="1"/>
  <c r="BY1138" i="1"/>
  <c r="BY1139" i="1"/>
  <c r="BY1140" i="1"/>
  <c r="BY1141" i="1"/>
  <c r="BZ1141" i="1" s="1"/>
  <c r="BY1142" i="1"/>
  <c r="BY1143" i="1"/>
  <c r="BZ1143" i="1" s="1"/>
  <c r="BY1144" i="1"/>
  <c r="BY1145" i="1"/>
  <c r="BY1146" i="1"/>
  <c r="BY1147" i="1"/>
  <c r="BY1148" i="1"/>
  <c r="BZ1148" i="1" s="1"/>
  <c r="BY1149" i="1"/>
  <c r="BY1150" i="1"/>
  <c r="BY1151" i="1"/>
  <c r="BY1152" i="1"/>
  <c r="BY1153" i="1"/>
  <c r="BY1154" i="1"/>
  <c r="BY1155" i="1"/>
  <c r="BZ1155" i="1" s="1"/>
  <c r="BY1156" i="1"/>
  <c r="BY1157" i="1"/>
  <c r="BY1158" i="1"/>
  <c r="BY1159" i="1"/>
  <c r="BY1160" i="1"/>
  <c r="BY1161" i="1"/>
  <c r="BY1162" i="1"/>
  <c r="BZ1162" i="1" s="1"/>
  <c r="BY1163" i="1"/>
  <c r="BY1164" i="1"/>
  <c r="BY1165" i="1"/>
  <c r="BY1166" i="1"/>
  <c r="BY1167" i="1"/>
  <c r="BY1168" i="1"/>
  <c r="BY1169" i="1"/>
  <c r="BY1170" i="1"/>
  <c r="BY1171" i="1"/>
  <c r="BY1172" i="1"/>
  <c r="BY1173" i="1"/>
  <c r="BY1174" i="1"/>
  <c r="BZ1174" i="1" s="1"/>
  <c r="BY1175" i="1"/>
  <c r="BY1176" i="1"/>
  <c r="BY1177" i="1"/>
  <c r="BY1178" i="1"/>
  <c r="BY1179" i="1"/>
  <c r="BY1181" i="1"/>
  <c r="BY1182" i="1"/>
  <c r="BY1183" i="1"/>
  <c r="BZ1183" i="1" s="1"/>
  <c r="BY1184" i="1"/>
  <c r="BZ1184" i="1" s="1"/>
  <c r="BY1185" i="1"/>
  <c r="BY1186" i="1"/>
  <c r="BZ1186" i="1" s="1"/>
  <c r="BY1187" i="1"/>
  <c r="BY1188" i="1"/>
  <c r="BY1189" i="1"/>
  <c r="BY1190" i="1"/>
  <c r="BY1191" i="1"/>
  <c r="BY1192" i="1"/>
  <c r="BY1193" i="1"/>
  <c r="BY1194" i="1"/>
  <c r="BY1195" i="1"/>
  <c r="BY1196" i="1"/>
  <c r="BY1197" i="1"/>
  <c r="BY1198" i="1"/>
  <c r="BY1199" i="1"/>
  <c r="BY1201" i="1"/>
  <c r="BY1204" i="1"/>
  <c r="BZ1204" i="1" s="1"/>
  <c r="BY1205" i="1"/>
  <c r="BZ1205" i="1" s="1"/>
  <c r="BY1206" i="1"/>
  <c r="BY1207" i="1"/>
  <c r="BY1208" i="1"/>
  <c r="BY1209" i="1"/>
  <c r="BZ1209" i="1" s="1"/>
  <c r="BY1210" i="1"/>
  <c r="BY1211" i="1"/>
  <c r="BY1212" i="1"/>
  <c r="BZ1212" i="1" s="1"/>
  <c r="BY1213" i="1"/>
  <c r="BY1214" i="1"/>
  <c r="BY1215" i="1"/>
  <c r="BY1216" i="1"/>
  <c r="BY1217" i="1"/>
  <c r="BY1218" i="1"/>
  <c r="BY1219" i="1"/>
  <c r="BZ1219" i="1" s="1"/>
  <c r="BY1220" i="1"/>
  <c r="BY1221" i="1"/>
  <c r="BY1222" i="1"/>
  <c r="BY1223" i="1"/>
  <c r="BY1224" i="1"/>
  <c r="BY1225" i="1"/>
  <c r="BY1226" i="1"/>
  <c r="BY1227" i="1"/>
  <c r="BY1228" i="1"/>
  <c r="BY1229" i="1"/>
  <c r="BY1230" i="1"/>
  <c r="BY1231" i="1"/>
  <c r="BY1232" i="1"/>
  <c r="BY1233" i="1"/>
  <c r="BY1234" i="1"/>
  <c r="BY1235" i="1"/>
  <c r="BY1236" i="1"/>
  <c r="BY1237" i="1"/>
  <c r="BZ1237" i="1" s="1"/>
  <c r="BY1238" i="1"/>
  <c r="BY1240" i="1"/>
  <c r="BY1241" i="1"/>
  <c r="BY1242" i="1"/>
  <c r="BY1243" i="1"/>
  <c r="BY1244" i="1"/>
  <c r="BY1245" i="1"/>
  <c r="BY1246" i="1"/>
  <c r="BZ1246" i="1" s="1"/>
  <c r="BY1247" i="1"/>
  <c r="BY1248" i="1"/>
  <c r="BY1249" i="1"/>
  <c r="BY1250" i="1"/>
  <c r="BY1251" i="1"/>
  <c r="BZ1251" i="1" s="1"/>
  <c r="BY1252" i="1"/>
  <c r="BZ1252" i="1" s="1"/>
  <c r="BY1253" i="1"/>
  <c r="BY1254" i="1"/>
  <c r="BY1255" i="1"/>
  <c r="BY1256" i="1"/>
  <c r="BY1257" i="1"/>
  <c r="BY1258" i="1"/>
  <c r="BY1259" i="1"/>
  <c r="BY1260" i="1"/>
  <c r="BY1261" i="1"/>
  <c r="BY1262" i="1"/>
  <c r="BY1263" i="1"/>
  <c r="BY1264" i="1"/>
  <c r="BY1265" i="1"/>
  <c r="BY1266" i="1"/>
  <c r="BY1267" i="1"/>
  <c r="BY1268" i="1"/>
  <c r="BY1269" i="1"/>
  <c r="BY1270" i="1"/>
  <c r="BY1272" i="1"/>
  <c r="BY1273" i="1"/>
  <c r="BY1274" i="1"/>
  <c r="BY1275" i="1"/>
  <c r="BY1276" i="1"/>
  <c r="BY1277" i="1"/>
  <c r="BY1278" i="1"/>
  <c r="BZ1278" i="1" s="1"/>
  <c r="BY1279" i="1"/>
  <c r="BY1280" i="1"/>
  <c r="BY1281" i="1"/>
  <c r="BY1282" i="1"/>
  <c r="BY1283" i="1"/>
  <c r="BY1284" i="1"/>
  <c r="BY1285" i="1"/>
  <c r="BZ1285" i="1" s="1"/>
  <c r="BY1286" i="1"/>
  <c r="BY1287" i="1"/>
  <c r="BY1288" i="1"/>
  <c r="BY1289" i="1"/>
  <c r="BY1290" i="1"/>
  <c r="BY1291" i="1"/>
  <c r="BY1292" i="1"/>
  <c r="BY1293" i="1"/>
  <c r="BY1294" i="1"/>
  <c r="BY1295" i="1"/>
  <c r="BY1296" i="1"/>
  <c r="BY1297" i="1"/>
  <c r="BY1298" i="1"/>
  <c r="BY1299" i="1"/>
  <c r="BZ1299" i="1" s="1"/>
  <c r="BY1300" i="1"/>
  <c r="BY1301" i="1"/>
  <c r="BY1302" i="1"/>
  <c r="BY1303" i="1"/>
  <c r="BY1304" i="1"/>
  <c r="BY1305" i="1"/>
  <c r="BY1306" i="1"/>
  <c r="BZ1306" i="1" s="1"/>
  <c r="BY1307" i="1"/>
  <c r="BY1308" i="1"/>
  <c r="BY1309" i="1"/>
  <c r="BZ1309" i="1" s="1"/>
  <c r="BY1310" i="1"/>
  <c r="BY1311" i="1"/>
  <c r="BY1312" i="1"/>
  <c r="BY1313" i="1"/>
  <c r="BY1314" i="1"/>
  <c r="BY1315" i="1"/>
  <c r="BY1316" i="1"/>
  <c r="BY1317" i="1"/>
  <c r="BY1318" i="1"/>
  <c r="BY1319" i="1"/>
  <c r="BZ1319" i="1" s="1"/>
  <c r="BY1320" i="1"/>
  <c r="BZ1320" i="1" s="1"/>
  <c r="BY1321" i="1"/>
  <c r="BY1322" i="1"/>
  <c r="BZ1322" i="1" s="1"/>
  <c r="BY1323" i="1"/>
  <c r="BY1324" i="1"/>
  <c r="BY1325" i="1"/>
  <c r="BY1327" i="1"/>
  <c r="BY1328" i="1"/>
  <c r="BY1329" i="1"/>
  <c r="BY1330" i="1"/>
  <c r="BY1331" i="1"/>
  <c r="BY1332" i="1"/>
  <c r="BY1334" i="1"/>
  <c r="BY1335" i="1"/>
  <c r="BY1336" i="1"/>
  <c r="BY1337" i="1"/>
  <c r="BY1338" i="1"/>
  <c r="BY1339" i="1"/>
  <c r="BY1340" i="1"/>
  <c r="BY1341" i="1"/>
  <c r="BZ1341" i="1" s="1"/>
  <c r="BY1342" i="1"/>
  <c r="BY1343" i="1"/>
  <c r="BY1344" i="1"/>
  <c r="BY1345" i="1"/>
  <c r="BY1346" i="1"/>
  <c r="BY1347" i="1"/>
  <c r="BY1348" i="1"/>
  <c r="BY1349" i="1"/>
  <c r="BY1350" i="1"/>
  <c r="BY1351" i="1"/>
  <c r="BY1352" i="1"/>
  <c r="BY1353" i="1"/>
  <c r="BY1354" i="1"/>
  <c r="BY1355" i="1"/>
  <c r="BY1356" i="1"/>
  <c r="BY1357" i="1"/>
  <c r="BY1358" i="1"/>
  <c r="BZ1358" i="1" s="1"/>
  <c r="BY1359" i="1"/>
  <c r="BY1360" i="1"/>
  <c r="BY1361" i="1"/>
  <c r="BZ1361" i="1" s="1"/>
  <c r="BY1362" i="1"/>
  <c r="BY1363" i="1"/>
  <c r="BY1364" i="1"/>
  <c r="BZ1364" i="1" s="1"/>
  <c r="BY1365" i="1"/>
  <c r="BY1366" i="1"/>
  <c r="BY1367" i="1"/>
  <c r="BY1368" i="1"/>
  <c r="BY1369" i="1"/>
  <c r="BY1371" i="1"/>
  <c r="BY1372" i="1"/>
  <c r="BY1373" i="1"/>
  <c r="BY1374" i="1"/>
  <c r="BY1375" i="1"/>
  <c r="BY1376" i="1"/>
  <c r="BY1377" i="1"/>
  <c r="BY1378" i="1"/>
  <c r="BY1379" i="1"/>
  <c r="BY1380" i="1"/>
  <c r="BY1381" i="1"/>
  <c r="BY1382" i="1"/>
  <c r="BY1383" i="1"/>
  <c r="BY1384" i="1"/>
  <c r="BY1385" i="1"/>
  <c r="BY1386" i="1"/>
  <c r="BY1387" i="1"/>
  <c r="BY1388" i="1"/>
  <c r="BY1389" i="1"/>
  <c r="BY1390" i="1"/>
  <c r="BY1391" i="1"/>
  <c r="BY1392" i="1"/>
  <c r="BY1393" i="1"/>
  <c r="BY1394" i="1"/>
  <c r="BY1395" i="1"/>
  <c r="BY1396" i="1"/>
  <c r="BY1397" i="1"/>
  <c r="BY1398" i="1"/>
  <c r="BY1399" i="1"/>
  <c r="BY1400" i="1"/>
  <c r="BY1401" i="1"/>
  <c r="BY1402" i="1"/>
  <c r="BY1403" i="1"/>
  <c r="BZ1403" i="1" s="1"/>
  <c r="BY1404" i="1"/>
  <c r="BY1405" i="1"/>
  <c r="BY1406" i="1"/>
  <c r="BY1407" i="1"/>
  <c r="BY1408" i="1"/>
  <c r="BY1409" i="1"/>
  <c r="BY1410" i="1"/>
  <c r="BZ1410" i="1" s="1"/>
  <c r="BY1411" i="1"/>
  <c r="BY1412" i="1"/>
  <c r="BY1413" i="1"/>
  <c r="BY1414" i="1"/>
  <c r="BY1415" i="1"/>
  <c r="BY1416" i="1"/>
  <c r="BY1417" i="1"/>
  <c r="BY1418" i="1"/>
  <c r="BY1419" i="1"/>
  <c r="BY1420" i="1"/>
  <c r="BY1421" i="1"/>
  <c r="BZ1421" i="1" s="1"/>
  <c r="BY1422" i="1"/>
  <c r="BY1423" i="1"/>
  <c r="BY1424" i="1"/>
  <c r="BY1425" i="1"/>
  <c r="BY1426" i="1"/>
  <c r="BY1427" i="1"/>
  <c r="BY1428" i="1"/>
  <c r="BZ1428" i="1" s="1"/>
  <c r="BY1429" i="1"/>
  <c r="BY1430" i="1"/>
  <c r="BY1431" i="1"/>
  <c r="BZ1431" i="1" s="1"/>
  <c r="BY1432" i="1"/>
  <c r="BY1433" i="1"/>
  <c r="BY1434" i="1"/>
  <c r="BY1435" i="1"/>
  <c r="BY1436" i="1"/>
  <c r="BY1437" i="1"/>
  <c r="BY1438" i="1"/>
  <c r="BY1439" i="1"/>
  <c r="BY1440" i="1"/>
  <c r="BY1441" i="1"/>
  <c r="BY1442" i="1"/>
  <c r="BY1443" i="1"/>
  <c r="BY1444" i="1"/>
  <c r="BY1445" i="1"/>
  <c r="BY1446" i="1"/>
  <c r="BY1447" i="1"/>
  <c r="BY1448" i="1"/>
  <c r="BY1449" i="1"/>
  <c r="BY1450" i="1"/>
  <c r="BZ1450" i="1" s="1"/>
  <c r="BY1452" i="1"/>
  <c r="BY1453" i="1"/>
  <c r="BY1454" i="1"/>
  <c r="BY1455" i="1"/>
  <c r="BY1456" i="1"/>
  <c r="BZ1456" i="1" s="1"/>
  <c r="BY1457" i="1"/>
  <c r="BZ1457" i="1" s="1"/>
  <c r="BY1458" i="1"/>
  <c r="BY1460" i="1"/>
  <c r="BZ1460" i="1" s="1"/>
  <c r="BY1461" i="1"/>
  <c r="BY1462" i="1"/>
  <c r="BY1463" i="1"/>
  <c r="BY1464" i="1"/>
  <c r="BY1465" i="1"/>
  <c r="BY1466" i="1"/>
  <c r="BY1467" i="1"/>
  <c r="BY1468" i="1"/>
  <c r="BY1469" i="1"/>
  <c r="BY1470" i="1"/>
  <c r="BY1471" i="1"/>
  <c r="BY1472" i="1"/>
  <c r="BY1473" i="1"/>
  <c r="BY1475" i="1"/>
  <c r="BY1476" i="1"/>
  <c r="BY1477" i="1"/>
  <c r="BZ1477" i="1" s="1"/>
  <c r="BY1478" i="1"/>
  <c r="BZ1478" i="1" s="1"/>
  <c r="BY1479" i="1"/>
  <c r="BY1480" i="1"/>
  <c r="BZ1480" i="1" s="1"/>
  <c r="BY1481" i="1"/>
  <c r="BY1482" i="1"/>
  <c r="BY1483" i="1"/>
  <c r="BY1484" i="1"/>
  <c r="BY1485" i="1"/>
  <c r="BY1486" i="1"/>
  <c r="BY1487" i="1"/>
  <c r="BY1488" i="1"/>
  <c r="BY1489" i="1"/>
  <c r="BY1490" i="1"/>
  <c r="BY1491" i="1"/>
  <c r="BZ1491" i="1" s="1"/>
  <c r="BY1492" i="1"/>
  <c r="BY1493" i="1"/>
  <c r="BY1494" i="1"/>
  <c r="BY1495" i="1"/>
  <c r="BY1497" i="1"/>
  <c r="BY1498" i="1"/>
  <c r="BY1499" i="1"/>
  <c r="BY1500" i="1"/>
  <c r="BY1501" i="1"/>
  <c r="BY1503" i="1"/>
  <c r="BY1504" i="1"/>
  <c r="BZ1504" i="1" s="1"/>
  <c r="BY1506" i="1"/>
  <c r="BY1507" i="1"/>
  <c r="BY1508" i="1"/>
  <c r="BY1509" i="1"/>
  <c r="BY1510" i="1"/>
  <c r="BY1511" i="1"/>
  <c r="BY1512" i="1"/>
  <c r="BY1513" i="1"/>
  <c r="BY1514" i="1"/>
  <c r="BY1515" i="1"/>
  <c r="BZ1515" i="1" s="1"/>
  <c r="BY1516" i="1"/>
  <c r="BY1517" i="1"/>
  <c r="BY1518" i="1"/>
  <c r="BY1519" i="1"/>
  <c r="BY1520" i="1"/>
  <c r="BY1521" i="1"/>
  <c r="BY1522" i="1"/>
  <c r="BY1523" i="1"/>
  <c r="BY1524" i="1"/>
  <c r="BY1525" i="1"/>
  <c r="BY1526" i="1"/>
  <c r="BY1527" i="1"/>
  <c r="BY1528" i="1"/>
  <c r="BY1529" i="1"/>
  <c r="BZ1529" i="1" s="1"/>
  <c r="BY1530" i="1"/>
  <c r="BY1531" i="1"/>
  <c r="BZ1531" i="1" s="1"/>
  <c r="BY1532" i="1"/>
  <c r="BY1533" i="1"/>
  <c r="BZ1533" i="1" s="1"/>
  <c r="BY1534" i="1"/>
  <c r="BY1535" i="1"/>
  <c r="BY1536" i="1"/>
  <c r="BY1537" i="1"/>
  <c r="BY1538" i="1"/>
  <c r="BY1539" i="1"/>
  <c r="BY1540" i="1"/>
  <c r="BY1541" i="1"/>
  <c r="BY1542" i="1"/>
  <c r="BY1543" i="1"/>
  <c r="BY1544" i="1"/>
  <c r="BY1545" i="1"/>
  <c r="BY1546" i="1"/>
  <c r="BY1547" i="1"/>
  <c r="BY1548" i="1"/>
  <c r="BY1549" i="1"/>
  <c r="BY1550" i="1"/>
  <c r="BZ1550" i="1" s="1"/>
  <c r="BY1551" i="1"/>
  <c r="BY1552" i="1"/>
  <c r="BZ1552" i="1" s="1"/>
  <c r="BY1553" i="1"/>
  <c r="BZ1553" i="1" s="1"/>
  <c r="BY1554" i="1"/>
  <c r="BY1555" i="1"/>
  <c r="BY1556" i="1"/>
  <c r="BY1557" i="1"/>
  <c r="BY1558" i="1"/>
  <c r="BY1559" i="1"/>
  <c r="BZ1559" i="1" s="1"/>
  <c r="BY1560" i="1"/>
  <c r="BY1561" i="1"/>
  <c r="BY1562" i="1"/>
  <c r="BZ1562" i="1" s="1"/>
  <c r="BY1563" i="1"/>
  <c r="BY1564" i="1"/>
  <c r="BY1565" i="1"/>
  <c r="BY1566" i="1"/>
  <c r="BY1567" i="1"/>
  <c r="BY1568" i="1"/>
  <c r="BZ1568" i="1" s="1"/>
  <c r="BY1569" i="1"/>
  <c r="BY1570" i="1"/>
  <c r="BY1571" i="1"/>
  <c r="BY1572" i="1"/>
  <c r="BY1573" i="1"/>
  <c r="BY1574" i="1"/>
  <c r="BZ1574" i="1" s="1"/>
  <c r="BY1575" i="1"/>
  <c r="BY1576" i="1"/>
  <c r="BY1577" i="1"/>
  <c r="BY1578" i="1"/>
  <c r="BZ1578" i="1" s="1"/>
  <c r="BY1579" i="1"/>
  <c r="BY1580" i="1"/>
  <c r="BY1581" i="1"/>
  <c r="BY1582" i="1"/>
  <c r="BY1583" i="1"/>
  <c r="BY1584" i="1"/>
  <c r="BY1586" i="1"/>
  <c r="BY1587" i="1"/>
  <c r="BY1588" i="1"/>
  <c r="BY1589" i="1"/>
  <c r="BZ1589" i="1" s="1"/>
  <c r="BY1590" i="1"/>
  <c r="BY1591" i="1"/>
  <c r="BY1592" i="1"/>
  <c r="BZ1592" i="1" s="1"/>
  <c r="BY1593" i="1"/>
  <c r="BY1594" i="1"/>
  <c r="BY1595" i="1"/>
  <c r="BY1596" i="1"/>
  <c r="BY1597" i="1"/>
  <c r="BZ1597" i="1" s="1"/>
  <c r="BY1598" i="1"/>
  <c r="BY1599" i="1"/>
  <c r="BY1600" i="1"/>
  <c r="BY1601" i="1"/>
  <c r="BY1602" i="1"/>
  <c r="BY1603" i="1"/>
  <c r="BZ1603" i="1" s="1"/>
  <c r="BY1605" i="1"/>
  <c r="BY1606" i="1"/>
  <c r="BY1607" i="1"/>
  <c r="BY1608" i="1"/>
  <c r="BZ1608" i="1" s="1"/>
  <c r="BY1609" i="1"/>
  <c r="BY1610" i="1"/>
  <c r="BY1611" i="1"/>
  <c r="BY1612" i="1"/>
  <c r="BY1613" i="1"/>
  <c r="BY1614" i="1"/>
  <c r="BY1615" i="1"/>
  <c r="BY1616" i="1"/>
  <c r="BY1617" i="1"/>
  <c r="BY1618" i="1"/>
  <c r="BZ1618" i="1" s="1"/>
  <c r="BY1619" i="1"/>
  <c r="BY1620" i="1"/>
  <c r="BY1621" i="1"/>
  <c r="BY1622" i="1"/>
  <c r="BZ1622" i="1" s="1"/>
  <c r="BY1623" i="1"/>
  <c r="BZ1623" i="1" s="1"/>
  <c r="BY1624" i="1"/>
  <c r="BY1625" i="1"/>
  <c r="BY1626" i="1"/>
  <c r="BY1627" i="1"/>
  <c r="BY1628" i="1"/>
  <c r="BY1629" i="1"/>
  <c r="BY1630" i="1"/>
  <c r="BY1631" i="1"/>
  <c r="BY1632" i="1"/>
  <c r="BY1633" i="1"/>
  <c r="BY1634" i="1"/>
  <c r="BY1635" i="1"/>
  <c r="BY1636" i="1"/>
  <c r="BZ1636" i="1" s="1"/>
  <c r="BY1637" i="1"/>
  <c r="BY1638" i="1"/>
  <c r="BY1639" i="1"/>
  <c r="BY1640" i="1"/>
  <c r="BY1641" i="1"/>
  <c r="BY1642" i="1"/>
  <c r="BY1644" i="1"/>
  <c r="BY1645" i="1"/>
  <c r="BZ1645" i="1" s="1"/>
  <c r="BY1646" i="1"/>
  <c r="BY1647" i="1"/>
  <c r="BY1648" i="1"/>
  <c r="BZ1648" i="1" s="1"/>
  <c r="BY1649" i="1"/>
  <c r="BY1650" i="1"/>
  <c r="BY1651" i="1"/>
  <c r="BY1652" i="1"/>
  <c r="BY1653" i="1"/>
  <c r="BY1654" i="1"/>
  <c r="BY1655" i="1"/>
  <c r="BY1656" i="1"/>
  <c r="BZ1656" i="1" s="1"/>
  <c r="BY1657" i="1"/>
  <c r="BY1658" i="1"/>
  <c r="BZ1658" i="1" s="1"/>
  <c r="BY1659" i="1"/>
  <c r="BY1660" i="1"/>
  <c r="BZ1660" i="1" s="1"/>
  <c r="BY1662" i="1"/>
  <c r="BY1663" i="1"/>
  <c r="BY1664" i="1"/>
  <c r="BZ1664" i="1" s="1"/>
  <c r="BY1665" i="1"/>
  <c r="BY1666" i="1"/>
  <c r="BY1667" i="1"/>
  <c r="BY1668" i="1"/>
  <c r="BY1669" i="1"/>
  <c r="BY1670" i="1"/>
  <c r="BY1671" i="1"/>
  <c r="BY1672" i="1"/>
  <c r="BY1673" i="1"/>
  <c r="BZ1673" i="1" s="1"/>
  <c r="BY1674" i="1"/>
  <c r="BY1675" i="1"/>
  <c r="BY1676" i="1"/>
  <c r="BZ1676" i="1" s="1"/>
  <c r="BY1677" i="1"/>
  <c r="BY1678" i="1"/>
  <c r="BY1679" i="1"/>
  <c r="BZ1679" i="1" s="1"/>
  <c r="BY1680" i="1"/>
  <c r="BY1681" i="1"/>
  <c r="BY1682" i="1"/>
  <c r="BZ1682" i="1" s="1"/>
  <c r="BY1683" i="1"/>
  <c r="BZ1683" i="1" s="1"/>
  <c r="BY1684" i="1"/>
  <c r="BY1685" i="1"/>
  <c r="BY1686" i="1"/>
  <c r="BY1687" i="1"/>
  <c r="BY1688" i="1"/>
  <c r="BY1689" i="1"/>
  <c r="BY1690" i="1"/>
  <c r="BY1691" i="1"/>
  <c r="BY1692" i="1"/>
  <c r="BY1693" i="1"/>
  <c r="BY1694" i="1"/>
  <c r="BY1695" i="1"/>
  <c r="BZ1695" i="1" s="1"/>
  <c r="BY1696" i="1"/>
  <c r="BY1697" i="1"/>
  <c r="BZ1697" i="1" s="1"/>
  <c r="BY1698" i="1"/>
  <c r="BY1699" i="1"/>
  <c r="BY1700" i="1"/>
  <c r="BY1701" i="1"/>
  <c r="BY1702" i="1"/>
  <c r="BY1703" i="1"/>
  <c r="BY1704" i="1"/>
  <c r="BZ1704" i="1" s="1"/>
  <c r="BY1705" i="1"/>
  <c r="BY1706" i="1"/>
  <c r="BY1707" i="1"/>
  <c r="BY1708" i="1"/>
  <c r="BZ1708" i="1" s="1"/>
  <c r="BY1709" i="1"/>
  <c r="BY1710" i="1"/>
  <c r="BY1711" i="1"/>
  <c r="BY1712" i="1"/>
  <c r="BY1713" i="1"/>
  <c r="BZ1713" i="1" s="1"/>
  <c r="BY1714" i="1"/>
  <c r="BY1715" i="1"/>
  <c r="BY1716" i="1"/>
  <c r="BY1717" i="1"/>
  <c r="BY1718" i="1"/>
  <c r="BY1719" i="1"/>
  <c r="BY1720" i="1"/>
  <c r="BZ1720" i="1" s="1"/>
  <c r="BY1721" i="1"/>
  <c r="BY1722" i="1"/>
  <c r="BY1723" i="1"/>
  <c r="BY1724" i="1"/>
  <c r="BY1725" i="1"/>
  <c r="BY1726" i="1"/>
  <c r="BZ1726" i="1" s="1"/>
  <c r="BY1727" i="1"/>
  <c r="BY1728" i="1"/>
  <c r="BZ1728" i="1" s="1"/>
  <c r="BY1729" i="1"/>
  <c r="BY1730" i="1"/>
  <c r="BY1731" i="1"/>
  <c r="BZ1731" i="1" s="1"/>
  <c r="BY1732" i="1"/>
  <c r="BY1733" i="1"/>
  <c r="BY1734" i="1"/>
  <c r="BY1735" i="1"/>
  <c r="BY1736" i="1"/>
  <c r="BY1737" i="1"/>
  <c r="BY1738" i="1"/>
  <c r="BY1739" i="1"/>
  <c r="BY1740" i="1"/>
  <c r="BZ1740" i="1" s="1"/>
  <c r="BY1741" i="1"/>
  <c r="BZ1741" i="1" s="1"/>
  <c r="BY1742" i="1"/>
  <c r="BY1743" i="1"/>
  <c r="BY1744" i="1"/>
  <c r="BY1745" i="1"/>
  <c r="BY1746" i="1"/>
  <c r="BY1747" i="1"/>
  <c r="BY1748" i="1"/>
  <c r="BY1749" i="1"/>
  <c r="BY1750" i="1"/>
  <c r="BZ1750" i="1" s="1"/>
  <c r="BY1751" i="1"/>
  <c r="BZ1751" i="1" s="1"/>
  <c r="BY1752" i="1"/>
  <c r="BY1753" i="1"/>
  <c r="BY1755" i="1"/>
  <c r="BY1756" i="1"/>
  <c r="BY1758" i="1"/>
  <c r="BZ1758" i="1" s="1"/>
  <c r="BY1759" i="1"/>
  <c r="BY1760" i="1"/>
  <c r="BY1761" i="1"/>
  <c r="BY1762" i="1"/>
  <c r="BY1763" i="1"/>
  <c r="BZ1763" i="1" s="1"/>
  <c r="BY1764" i="1"/>
  <c r="BY1765" i="1"/>
  <c r="BZ1765" i="1" s="1"/>
  <c r="BY1766" i="1"/>
  <c r="BY1767" i="1"/>
  <c r="BY1768" i="1"/>
  <c r="BY1769" i="1"/>
  <c r="BY1770" i="1"/>
  <c r="BY1771" i="1"/>
  <c r="BY1773" i="1"/>
  <c r="BY1774" i="1"/>
  <c r="BY1776" i="1"/>
  <c r="BY1777" i="1"/>
  <c r="BY1778" i="1"/>
  <c r="BY1779" i="1"/>
  <c r="BY1780" i="1"/>
  <c r="BY1781" i="1"/>
  <c r="BY1782" i="1"/>
  <c r="BY1783" i="1"/>
  <c r="BY1784" i="1"/>
  <c r="BY1785" i="1"/>
  <c r="BY1786" i="1"/>
  <c r="BY1787" i="1"/>
  <c r="BY1788" i="1"/>
  <c r="BY1789" i="1"/>
  <c r="BY1790" i="1"/>
  <c r="BY1791" i="1"/>
  <c r="BY1792" i="1"/>
  <c r="BY1793" i="1"/>
  <c r="BZ1793" i="1" s="1"/>
  <c r="BY1794" i="1"/>
  <c r="BY1795" i="1"/>
  <c r="BY1796" i="1"/>
  <c r="BY1797" i="1"/>
  <c r="BY1798" i="1"/>
  <c r="BY1799" i="1"/>
  <c r="BY1800" i="1"/>
  <c r="BY1801" i="1"/>
  <c r="BY1803" i="1"/>
  <c r="BZ1803" i="1" s="1"/>
  <c r="BY1804" i="1"/>
  <c r="BY1805" i="1"/>
  <c r="BY1806" i="1"/>
  <c r="BZ1806" i="1" s="1"/>
  <c r="BY1807" i="1"/>
  <c r="BY1808" i="1"/>
  <c r="BZ1808" i="1" s="1"/>
  <c r="BY1809" i="1"/>
  <c r="BY1810" i="1"/>
  <c r="BZ1810" i="1" s="1"/>
  <c r="BY1811" i="1"/>
  <c r="BY1812" i="1"/>
  <c r="BZ1812" i="1" s="1"/>
  <c r="BY1813" i="1"/>
  <c r="BY1814" i="1"/>
  <c r="BY1815" i="1"/>
  <c r="BY1816" i="1"/>
  <c r="BZ1816" i="1" s="1"/>
  <c r="BY1817" i="1"/>
  <c r="BZ1817" i="1" s="1"/>
  <c r="BY1818" i="1"/>
  <c r="BY1819" i="1"/>
  <c r="BY1820" i="1"/>
  <c r="BY1821" i="1"/>
  <c r="BY1822" i="1"/>
  <c r="BY1823" i="1"/>
  <c r="BY1824" i="1"/>
  <c r="BZ1824" i="1" s="1"/>
  <c r="BY1825" i="1"/>
  <c r="BY1826" i="1"/>
  <c r="BY1827" i="1"/>
  <c r="BZ1827" i="1" s="1"/>
  <c r="BY1828" i="1"/>
  <c r="BY1829" i="1"/>
  <c r="BY1830" i="1"/>
  <c r="BY1831" i="1"/>
  <c r="BY1832" i="1"/>
  <c r="BY1833" i="1"/>
  <c r="BY1834" i="1"/>
  <c r="BZ1834" i="1" s="1"/>
  <c r="BY1835" i="1"/>
  <c r="BZ1835" i="1" s="1"/>
  <c r="BY1836" i="1"/>
  <c r="BY1837" i="1"/>
  <c r="BY1838" i="1"/>
  <c r="BY1839" i="1"/>
  <c r="BY1840" i="1"/>
  <c r="BY1841" i="1"/>
  <c r="BY1842" i="1"/>
  <c r="BY1844" i="1"/>
  <c r="BY1845" i="1"/>
  <c r="BY1846" i="1"/>
  <c r="BY1847" i="1"/>
  <c r="BY1848" i="1"/>
  <c r="BY1849" i="1"/>
  <c r="BY1850" i="1"/>
  <c r="BY1851" i="1"/>
  <c r="BZ1851" i="1" s="1"/>
  <c r="BY1852" i="1"/>
  <c r="BY1853" i="1"/>
  <c r="BY1854" i="1"/>
  <c r="BY1855" i="1"/>
  <c r="BY1856" i="1"/>
  <c r="BZ1856" i="1" s="1"/>
  <c r="BY1857" i="1"/>
  <c r="BY1858" i="1"/>
  <c r="BY1859" i="1"/>
  <c r="BY1860" i="1"/>
  <c r="BY1861" i="1"/>
  <c r="BY1862" i="1"/>
  <c r="BY1863" i="1"/>
  <c r="BZ1863" i="1" s="1"/>
  <c r="BY1864" i="1"/>
  <c r="BY1866" i="1"/>
  <c r="BZ1866" i="1" s="1"/>
  <c r="BY1867" i="1"/>
  <c r="BZ1867" i="1" s="1"/>
  <c r="BY1868" i="1"/>
  <c r="BY1869" i="1"/>
  <c r="BY1870" i="1"/>
  <c r="BY1871" i="1"/>
  <c r="BY1872" i="1"/>
  <c r="BY1873" i="1"/>
  <c r="BY1874" i="1"/>
  <c r="BY1875" i="1"/>
  <c r="BY1876" i="1"/>
  <c r="BY1877" i="1"/>
  <c r="BY1879" i="1"/>
  <c r="BY1880" i="1"/>
  <c r="BY1881" i="1"/>
  <c r="BY1882" i="1"/>
  <c r="BY1883" i="1"/>
  <c r="BY1884" i="1"/>
  <c r="BY1886" i="1"/>
  <c r="BY1887" i="1"/>
  <c r="BY1889" i="1"/>
  <c r="BY1890" i="1"/>
  <c r="BZ1890" i="1" s="1"/>
  <c r="BY1891" i="1"/>
  <c r="BZ1891" i="1" s="1"/>
  <c r="BY1892" i="1"/>
  <c r="BY1893" i="1"/>
  <c r="BY1894" i="1"/>
  <c r="BY1895" i="1"/>
  <c r="BZ1895" i="1" s="1"/>
  <c r="BY1896" i="1"/>
  <c r="BZ1896" i="1" s="1"/>
  <c r="BY1897" i="1"/>
  <c r="BY1898" i="1"/>
  <c r="BZ1898" i="1" s="1"/>
  <c r="BY1899" i="1"/>
  <c r="BY1900" i="1"/>
  <c r="BY1901" i="1"/>
  <c r="BY1902" i="1"/>
  <c r="BY1903" i="1"/>
  <c r="BY1904" i="1"/>
  <c r="BY1905" i="1"/>
  <c r="BY1906" i="1"/>
  <c r="BZ1906" i="1" s="1"/>
  <c r="BY1907" i="1"/>
  <c r="BY1908" i="1"/>
  <c r="BZ1908" i="1" s="1"/>
  <c r="BY1909" i="1"/>
  <c r="BY1910" i="1"/>
  <c r="BY1911" i="1"/>
  <c r="BY1912" i="1"/>
  <c r="BY1913" i="1"/>
  <c r="BY1914" i="1"/>
  <c r="BY1915" i="1"/>
  <c r="BY1916" i="1"/>
  <c r="BY1917" i="1"/>
  <c r="BY1918" i="1"/>
  <c r="BY1919" i="1"/>
  <c r="BY1920" i="1"/>
  <c r="BY1921" i="1"/>
  <c r="BY1922" i="1"/>
  <c r="BY1923" i="1"/>
  <c r="BY1924" i="1"/>
  <c r="BY1925" i="1"/>
  <c r="BY1926" i="1"/>
  <c r="BY1927" i="1"/>
  <c r="BY1928" i="1"/>
  <c r="BY1929" i="1"/>
  <c r="BZ1929" i="1" s="1"/>
  <c r="BY1930" i="1"/>
  <c r="BY1931" i="1"/>
  <c r="BY1932" i="1"/>
  <c r="BY1933" i="1"/>
  <c r="BY1934" i="1"/>
  <c r="BY1935" i="1"/>
  <c r="BY1936" i="1"/>
  <c r="BY1937" i="1"/>
  <c r="BY1938" i="1"/>
  <c r="BZ1938" i="1" s="1"/>
  <c r="BY1939" i="1"/>
  <c r="BY1940" i="1"/>
  <c r="BZ1940" i="1" s="1"/>
  <c r="BY1941" i="1"/>
  <c r="BY1942" i="1"/>
  <c r="BY1943" i="1"/>
  <c r="BY1944" i="1"/>
  <c r="BY1945" i="1"/>
  <c r="BY1946" i="1"/>
  <c r="BY1947" i="1"/>
  <c r="BY1948" i="1"/>
  <c r="BY1949" i="1"/>
  <c r="BY1950" i="1"/>
  <c r="BY1951" i="1"/>
  <c r="BY1952" i="1"/>
  <c r="BY1953" i="1"/>
  <c r="BY1954" i="1"/>
  <c r="BY1955" i="1"/>
  <c r="BY1956" i="1"/>
  <c r="BY1957" i="1"/>
  <c r="BY1958" i="1"/>
  <c r="BY1959" i="1"/>
  <c r="BZ1959" i="1" s="1"/>
  <c r="BY1960" i="1"/>
  <c r="BY1961" i="1"/>
  <c r="BZ1961" i="1" s="1"/>
  <c r="BY1962" i="1"/>
  <c r="BY1964" i="1"/>
  <c r="BY1965" i="1"/>
  <c r="BY1966" i="1"/>
  <c r="BY1967" i="1"/>
  <c r="BY1968" i="1"/>
  <c r="BY1969" i="1"/>
  <c r="BY1970" i="1"/>
  <c r="BY1971" i="1"/>
  <c r="BY1973" i="1"/>
  <c r="BY1974" i="1"/>
  <c r="BY1975" i="1"/>
  <c r="BY1976" i="1"/>
  <c r="BZ1976" i="1" s="1"/>
  <c r="BY1977" i="1"/>
  <c r="BY1978" i="1"/>
  <c r="BY1979" i="1"/>
  <c r="BY1980" i="1"/>
  <c r="BZ1980" i="1" s="1"/>
  <c r="BY1981" i="1"/>
  <c r="BY1982" i="1"/>
  <c r="BY1983" i="1"/>
  <c r="BY1984" i="1"/>
  <c r="BZ1984" i="1" s="1"/>
  <c r="BY1985" i="1"/>
  <c r="BZ1985" i="1" s="1"/>
  <c r="BY1986" i="1"/>
  <c r="BY1987" i="1"/>
  <c r="BY1988" i="1"/>
  <c r="BY1989" i="1"/>
  <c r="BZ1989" i="1" s="1"/>
  <c r="BY1990" i="1"/>
  <c r="BY1991" i="1"/>
  <c r="BY1992" i="1"/>
  <c r="BY1993" i="1"/>
  <c r="BZ1993" i="1" s="1"/>
  <c r="BY1994" i="1"/>
  <c r="BY1995" i="1"/>
  <c r="BY1996" i="1"/>
  <c r="BY1997" i="1"/>
  <c r="BY1998" i="1"/>
  <c r="BY1999" i="1"/>
  <c r="BY2000" i="1"/>
  <c r="BY2001" i="1"/>
  <c r="BY2002" i="1"/>
  <c r="BZ2002" i="1" s="1"/>
  <c r="BY2003" i="1"/>
  <c r="BY2004" i="1"/>
  <c r="BZ2004" i="1" s="1"/>
  <c r="BY2005" i="1"/>
  <c r="BY2006" i="1"/>
  <c r="BY2007" i="1"/>
  <c r="BY2008" i="1"/>
  <c r="BY2009" i="1"/>
  <c r="BY2010" i="1"/>
  <c r="BY2011" i="1"/>
  <c r="BY2012" i="1"/>
  <c r="BY2013" i="1"/>
  <c r="BY2014" i="1"/>
  <c r="BY2015" i="1"/>
  <c r="BY2016" i="1"/>
  <c r="BY2017" i="1"/>
  <c r="BZ2017" i="1" s="1"/>
  <c r="BY2019" i="1"/>
  <c r="BY2020" i="1"/>
  <c r="BY2021" i="1"/>
  <c r="BY2022" i="1"/>
  <c r="BY2023" i="1"/>
  <c r="BY2024" i="1"/>
  <c r="BY2025" i="1"/>
  <c r="BY2027" i="1"/>
  <c r="BY2028" i="1"/>
  <c r="BY2029" i="1"/>
  <c r="BY2030" i="1"/>
  <c r="BY2031" i="1"/>
  <c r="BY2032" i="1"/>
  <c r="BY2033" i="1"/>
  <c r="BY2034" i="1"/>
  <c r="BZ2034" i="1" s="1"/>
  <c r="BY2035" i="1"/>
  <c r="BY2036" i="1"/>
  <c r="BY2037" i="1"/>
  <c r="BZ2037" i="1" s="1"/>
  <c r="BY2038" i="1"/>
  <c r="BY2039" i="1"/>
  <c r="BY2040" i="1"/>
  <c r="BY2041" i="1"/>
  <c r="BY2042" i="1"/>
  <c r="BY2043" i="1"/>
  <c r="BY2044" i="1"/>
  <c r="BY2045" i="1"/>
  <c r="BZ2045" i="1" s="1"/>
  <c r="BY2046" i="1"/>
  <c r="BY2047" i="1"/>
  <c r="BY2048" i="1"/>
  <c r="BZ2048" i="1" s="1"/>
  <c r="BY2049" i="1"/>
  <c r="BY2050" i="1"/>
  <c r="BY2051" i="1"/>
  <c r="BY2052" i="1"/>
  <c r="BY2053" i="1"/>
  <c r="BY2054" i="1"/>
  <c r="BY2055" i="1"/>
  <c r="BZ2055" i="1" s="1"/>
  <c r="BY2056" i="1"/>
  <c r="BY2057" i="1"/>
  <c r="BY2058" i="1"/>
  <c r="BY2059" i="1"/>
  <c r="BY2060" i="1"/>
  <c r="BY2061" i="1"/>
  <c r="BY2062" i="1"/>
  <c r="BZ2062" i="1" s="1"/>
  <c r="BY2063" i="1"/>
  <c r="BY2064" i="1"/>
  <c r="BY2065" i="1"/>
  <c r="BY2066" i="1"/>
  <c r="BY2067" i="1"/>
  <c r="BY2068" i="1"/>
  <c r="BY2069" i="1"/>
  <c r="BY2070" i="1"/>
  <c r="BY2071" i="1"/>
  <c r="BY2072" i="1"/>
  <c r="BY2073" i="1"/>
  <c r="BY2074" i="1"/>
  <c r="BY2075" i="1"/>
  <c r="BY2076" i="1"/>
  <c r="BY2077" i="1"/>
  <c r="BY2078" i="1"/>
  <c r="BY2079" i="1"/>
  <c r="BZ2079" i="1" s="1"/>
  <c r="BY2080" i="1"/>
  <c r="BY2081" i="1"/>
  <c r="BY2082" i="1"/>
  <c r="BZ2082" i="1" s="1"/>
  <c r="BY2083" i="1"/>
  <c r="BY2084" i="1"/>
  <c r="BZ2084" i="1" s="1"/>
  <c r="BY2085" i="1"/>
  <c r="BY2086" i="1"/>
  <c r="BY2087" i="1"/>
  <c r="BY2088" i="1"/>
  <c r="BZ2088" i="1" s="1"/>
  <c r="BY2089" i="1"/>
  <c r="BY2090" i="1"/>
  <c r="BY2091" i="1"/>
  <c r="BY2092" i="1"/>
  <c r="BY2093" i="1"/>
  <c r="BY2094" i="1"/>
  <c r="BY2095" i="1"/>
  <c r="BZ2095" i="1" s="1"/>
  <c r="BY2096" i="1"/>
  <c r="BY2097" i="1"/>
  <c r="BZ2097" i="1" s="1"/>
  <c r="BY2098" i="1"/>
  <c r="BY2099" i="1"/>
  <c r="BY2100" i="1"/>
  <c r="BY2101" i="1"/>
  <c r="BY2102" i="1"/>
  <c r="BY2103" i="1"/>
  <c r="BY2104" i="1"/>
  <c r="BY2105" i="1"/>
  <c r="BY2106" i="1"/>
  <c r="BY2107" i="1"/>
  <c r="BY2108" i="1"/>
  <c r="BY2109" i="1"/>
  <c r="BY2110" i="1"/>
  <c r="BY2111" i="1"/>
  <c r="BY2112" i="1"/>
  <c r="BY2113" i="1"/>
  <c r="BY2114" i="1"/>
  <c r="BY2115" i="1"/>
  <c r="BY2116" i="1"/>
  <c r="BY2117" i="1"/>
  <c r="BY2118" i="1"/>
  <c r="BY2119" i="1"/>
  <c r="BY2120" i="1"/>
  <c r="BZ2120" i="1" s="1"/>
  <c r="BY2121" i="1"/>
  <c r="BY2122" i="1"/>
  <c r="BY2123" i="1"/>
  <c r="BY2124" i="1"/>
  <c r="BY2125" i="1"/>
  <c r="BY2126" i="1"/>
  <c r="BZ2126" i="1" s="1"/>
  <c r="BY2127" i="1"/>
  <c r="BY2128" i="1"/>
  <c r="BY2129" i="1"/>
  <c r="BY2131" i="1"/>
  <c r="BZ2131" i="1" s="1"/>
  <c r="BY2132" i="1"/>
  <c r="BY2133" i="1"/>
  <c r="BY2134" i="1"/>
  <c r="BY2135" i="1"/>
  <c r="BY2136" i="1"/>
  <c r="BY2137" i="1"/>
  <c r="BY2138" i="1"/>
  <c r="BZ2138" i="1" s="1"/>
  <c r="BY2139" i="1"/>
  <c r="BY2140" i="1"/>
  <c r="BY2141" i="1"/>
  <c r="BY2142" i="1"/>
  <c r="BY2143" i="1"/>
  <c r="BY2144" i="1"/>
  <c r="BY2145" i="1"/>
  <c r="BY2146" i="1"/>
  <c r="BY2147" i="1"/>
  <c r="BY2148" i="1"/>
  <c r="BY2149" i="1"/>
  <c r="BY2150" i="1"/>
  <c r="BY2151" i="1"/>
  <c r="BY2152" i="1"/>
  <c r="BY2153" i="1"/>
  <c r="BY2154" i="1"/>
  <c r="BY2155" i="1"/>
  <c r="BY2156" i="1"/>
  <c r="BY2157" i="1"/>
  <c r="BY2158" i="1"/>
  <c r="BY2159" i="1"/>
  <c r="BY2160" i="1"/>
  <c r="BY2161" i="1"/>
  <c r="BY2162" i="1"/>
  <c r="BY2163" i="1"/>
  <c r="BY2164" i="1"/>
  <c r="BY2165" i="1"/>
  <c r="BY2166" i="1"/>
  <c r="BY2167" i="1"/>
  <c r="BY2168" i="1"/>
  <c r="BY2169" i="1"/>
  <c r="BY2170" i="1"/>
  <c r="BY2171" i="1"/>
  <c r="BY2172" i="1"/>
  <c r="BY2173" i="1"/>
  <c r="BY2174" i="1"/>
  <c r="BY2175" i="1"/>
  <c r="BY2176" i="1"/>
  <c r="BY2177" i="1"/>
  <c r="BY2178" i="1"/>
  <c r="BY2179" i="1"/>
  <c r="BY2180" i="1"/>
  <c r="BZ2180" i="1" s="1"/>
  <c r="BY2181" i="1"/>
  <c r="BY2182" i="1"/>
  <c r="BY2183" i="1"/>
  <c r="BY2184" i="1"/>
  <c r="BY2185" i="1"/>
  <c r="BY2186" i="1"/>
  <c r="BY2187" i="1"/>
  <c r="BY2188" i="1"/>
  <c r="BY2189" i="1"/>
  <c r="BY2190" i="1"/>
  <c r="BY2191" i="1"/>
  <c r="BY2192" i="1"/>
  <c r="BZ2192" i="1" s="1"/>
  <c r="BY2193" i="1"/>
  <c r="BY2194" i="1"/>
  <c r="BY2195" i="1"/>
  <c r="BY2196" i="1"/>
  <c r="BY2197" i="1"/>
  <c r="BY2198" i="1"/>
  <c r="BZ2198" i="1" s="1"/>
  <c r="BY2199" i="1"/>
  <c r="BY2200" i="1"/>
  <c r="BY2201" i="1"/>
  <c r="BY2202" i="1"/>
  <c r="BZ2202" i="1" s="1"/>
  <c r="BY2203" i="1"/>
  <c r="BY2204" i="1"/>
  <c r="BZ2204" i="1" s="1"/>
  <c r="BY2205" i="1"/>
  <c r="BY2207" i="1"/>
  <c r="BY2208" i="1"/>
  <c r="BY2209" i="1"/>
  <c r="BY2210" i="1"/>
  <c r="BY2211" i="1"/>
  <c r="BY2212" i="1"/>
  <c r="BY2213" i="1"/>
  <c r="BY2214" i="1"/>
  <c r="BY2215" i="1"/>
  <c r="BY2216" i="1"/>
  <c r="BY2217" i="1"/>
  <c r="BZ2217" i="1" s="1"/>
  <c r="BY2218" i="1"/>
  <c r="BY2219" i="1"/>
  <c r="BY2220" i="1"/>
  <c r="BZ2220" i="1" s="1"/>
  <c r="BY2221" i="1"/>
  <c r="BY2222" i="1"/>
  <c r="BY2223" i="1"/>
  <c r="BY2224" i="1"/>
  <c r="BZ2224" i="1" s="1"/>
  <c r="BY2225" i="1"/>
  <c r="BY2226" i="1"/>
  <c r="BY2227" i="1"/>
  <c r="BY2228" i="1"/>
  <c r="BY2229" i="1"/>
  <c r="BY2230" i="1"/>
  <c r="BY2231" i="1"/>
  <c r="BZ2231" i="1" s="1"/>
  <c r="BY2232" i="1"/>
  <c r="BZ2232" i="1" s="1"/>
  <c r="BY2233" i="1"/>
  <c r="BY2234" i="1"/>
  <c r="BZ2234" i="1" s="1"/>
  <c r="BY2235" i="1"/>
  <c r="BY2236" i="1"/>
  <c r="BY2237" i="1"/>
  <c r="BY2238" i="1"/>
  <c r="BY2239" i="1"/>
  <c r="BY2240" i="1"/>
  <c r="BY2241" i="1"/>
  <c r="BY2242" i="1"/>
  <c r="BZ2242" i="1" s="1"/>
  <c r="BY2243" i="1"/>
  <c r="BY2244" i="1"/>
  <c r="BY2245" i="1"/>
  <c r="BY2246" i="1"/>
  <c r="BY2247" i="1"/>
  <c r="BZ2247" i="1" s="1"/>
  <c r="BY2248" i="1"/>
  <c r="BZ2248" i="1" s="1"/>
  <c r="BY2249" i="1"/>
  <c r="BY2250" i="1"/>
  <c r="BY2251" i="1"/>
  <c r="BY2252" i="1"/>
  <c r="BZ2252" i="1" s="1"/>
  <c r="BY2253" i="1"/>
  <c r="BY2254" i="1"/>
  <c r="BY2255" i="1"/>
  <c r="BY2256" i="1"/>
  <c r="BY2257" i="1"/>
  <c r="BY2258" i="1"/>
  <c r="BY2259" i="1"/>
  <c r="BY2260" i="1"/>
  <c r="BZ2260" i="1" s="1"/>
  <c r="BY2261" i="1"/>
  <c r="BZ2261" i="1" s="1"/>
  <c r="BY2262" i="1"/>
  <c r="BZ2262" i="1" s="1"/>
  <c r="BY2263" i="1"/>
  <c r="BY2264" i="1"/>
  <c r="BY2265" i="1"/>
  <c r="BY2266" i="1"/>
  <c r="BY2267" i="1"/>
  <c r="BY2268" i="1"/>
  <c r="BY2269" i="1"/>
  <c r="BZ2269" i="1" s="1"/>
  <c r="BY2270" i="1"/>
  <c r="BY2271" i="1"/>
  <c r="BY2272" i="1"/>
  <c r="BY2273" i="1"/>
  <c r="BY2274" i="1"/>
  <c r="BY2275" i="1"/>
  <c r="BY2276" i="1"/>
  <c r="BY2277" i="1"/>
  <c r="BY2278" i="1"/>
  <c r="BY2279" i="1"/>
  <c r="BZ2279" i="1" s="1"/>
  <c r="BY2280" i="1"/>
  <c r="BY2281" i="1"/>
  <c r="BY2282" i="1"/>
  <c r="BY2283" i="1"/>
  <c r="BY2284" i="1"/>
  <c r="BY2285" i="1"/>
  <c r="BY2286" i="1"/>
  <c r="BY2287" i="1"/>
  <c r="BY2288" i="1"/>
  <c r="BY2289" i="1"/>
  <c r="BY2290" i="1"/>
  <c r="BY2291" i="1"/>
  <c r="BY2292" i="1"/>
  <c r="BY2293" i="1"/>
  <c r="BY2294" i="1"/>
  <c r="BY2295" i="1"/>
  <c r="BY2296" i="1"/>
  <c r="BY2298" i="1"/>
  <c r="BY2299" i="1"/>
  <c r="BY2300" i="1"/>
  <c r="BY2301" i="1"/>
  <c r="BY2302" i="1"/>
  <c r="BY2303" i="1"/>
  <c r="BY2304" i="1"/>
  <c r="BY2305" i="1"/>
  <c r="BY2306" i="1"/>
  <c r="BY2307" i="1"/>
  <c r="BY2308" i="1"/>
  <c r="BY2309" i="1"/>
  <c r="BZ2309" i="1" s="1"/>
  <c r="BY2310" i="1"/>
  <c r="BZ2310" i="1" s="1"/>
  <c r="BY2311" i="1"/>
  <c r="BZ2311" i="1" s="1"/>
  <c r="BY2312" i="1"/>
  <c r="BY2313" i="1"/>
  <c r="BY2314" i="1"/>
  <c r="BY2315" i="1"/>
  <c r="BY2316" i="1"/>
  <c r="BY2317" i="1"/>
  <c r="BY2318" i="1"/>
  <c r="BY2319" i="1"/>
  <c r="BZ2319" i="1" s="1"/>
  <c r="BY2321" i="1"/>
  <c r="BY2322" i="1"/>
  <c r="BZ2322" i="1" s="1"/>
  <c r="BY2323" i="1"/>
  <c r="BY2324" i="1"/>
  <c r="BY2325" i="1"/>
  <c r="BY2326" i="1"/>
  <c r="BY2327" i="1"/>
  <c r="BY2328" i="1"/>
  <c r="BY2329" i="1"/>
  <c r="BY2330" i="1"/>
  <c r="BY2331" i="1"/>
  <c r="BY2332" i="1"/>
  <c r="BY2333" i="1"/>
  <c r="BY2334" i="1"/>
  <c r="BY2335" i="1"/>
  <c r="BY2336" i="1"/>
  <c r="BY2337" i="1"/>
  <c r="BY2338" i="1"/>
  <c r="BY2339" i="1"/>
  <c r="BZ2339" i="1" s="1"/>
  <c r="BY2340" i="1"/>
  <c r="BY2342" i="1"/>
  <c r="BY2343" i="1"/>
  <c r="BY2344" i="1"/>
  <c r="BY2345" i="1"/>
  <c r="BY2346" i="1"/>
  <c r="BY2347" i="1"/>
  <c r="BY2348" i="1"/>
  <c r="BY2349" i="1"/>
  <c r="BY2350" i="1"/>
  <c r="BY2351" i="1"/>
  <c r="BY2352" i="1"/>
  <c r="BY2353" i="1"/>
  <c r="BY2354" i="1"/>
  <c r="BY2355" i="1"/>
  <c r="BY2356" i="1"/>
  <c r="BZ2356" i="1" s="1"/>
  <c r="BY2357" i="1"/>
  <c r="BY2358" i="1"/>
  <c r="BY2359" i="1"/>
  <c r="BY2360" i="1"/>
  <c r="BY2362" i="1"/>
  <c r="BY2364" i="1"/>
  <c r="BZ2364" i="1" s="1"/>
  <c r="BY2365" i="1"/>
  <c r="BY2366" i="1"/>
  <c r="BY2367" i="1"/>
  <c r="BY2368" i="1"/>
  <c r="BY2369" i="1"/>
  <c r="BY2370" i="1"/>
  <c r="BY2371" i="1"/>
  <c r="BY2372" i="1"/>
  <c r="BY2373" i="1"/>
  <c r="BY2374" i="1"/>
  <c r="BZ2374" i="1" s="1"/>
  <c r="BY2375" i="1"/>
  <c r="BY2376" i="1"/>
  <c r="BY2377" i="1"/>
  <c r="BY2378" i="1"/>
  <c r="BZ2378" i="1" s="1"/>
  <c r="BY2380" i="1"/>
  <c r="BY2381" i="1"/>
  <c r="BY2382" i="1"/>
  <c r="BY2383" i="1"/>
  <c r="BY2384" i="1"/>
  <c r="BZ2384" i="1" s="1"/>
  <c r="BY2385" i="1"/>
  <c r="BY2386" i="1"/>
  <c r="BY2387" i="1"/>
  <c r="BY2388" i="1"/>
  <c r="BZ2388" i="1" s="1"/>
  <c r="BY2389" i="1"/>
  <c r="BY2390" i="1"/>
  <c r="BZ2390" i="1" s="1"/>
  <c r="BY2391" i="1"/>
  <c r="BY2392" i="1"/>
  <c r="BZ2392" i="1" s="1"/>
  <c r="BY2393" i="1"/>
  <c r="BY2394" i="1"/>
  <c r="BY2395" i="1"/>
  <c r="BY2396" i="1"/>
  <c r="BY2397" i="1"/>
  <c r="BZ2397" i="1" s="1"/>
  <c r="BY2398" i="1"/>
  <c r="BZ2398" i="1" s="1"/>
  <c r="BY2399" i="1"/>
  <c r="BY2400" i="1"/>
  <c r="BY2401" i="1"/>
  <c r="BY2402" i="1"/>
  <c r="BY2403" i="1"/>
  <c r="BY2404" i="1"/>
  <c r="BY2405" i="1"/>
  <c r="BY2406" i="1"/>
  <c r="BY2407" i="1"/>
  <c r="BY2408" i="1"/>
  <c r="BY2409" i="1"/>
  <c r="BY2410" i="1"/>
  <c r="BY2411" i="1"/>
  <c r="BY2412" i="1"/>
  <c r="BY2413" i="1"/>
  <c r="BY2414" i="1"/>
  <c r="BY2415" i="1"/>
  <c r="BY2416" i="1"/>
  <c r="BY2417" i="1"/>
  <c r="BZ2417" i="1" s="1"/>
  <c r="BY2418" i="1"/>
  <c r="BY2419" i="1"/>
  <c r="BZ2419" i="1" s="1"/>
  <c r="BY2420" i="1"/>
  <c r="BZ2420" i="1" s="1"/>
  <c r="BY2421" i="1"/>
  <c r="BZ2421" i="1" s="1"/>
  <c r="BY2422" i="1"/>
  <c r="BY2423" i="1"/>
  <c r="BY2424" i="1"/>
  <c r="BY2425" i="1"/>
  <c r="BY2426" i="1"/>
  <c r="BY2428" i="1"/>
  <c r="BY2429" i="1"/>
  <c r="BZ2429" i="1" s="1"/>
  <c r="BY2430" i="1"/>
  <c r="BY2431" i="1"/>
  <c r="BY2432" i="1"/>
  <c r="BY2433" i="1"/>
  <c r="BY2434" i="1"/>
  <c r="BY2435" i="1"/>
  <c r="BY2436" i="1"/>
  <c r="BY2437" i="1"/>
  <c r="BY2438" i="1"/>
  <c r="BY2439" i="1"/>
  <c r="BY2440" i="1"/>
  <c r="BY2441" i="1"/>
  <c r="BY2442" i="1"/>
  <c r="BY2443" i="1"/>
  <c r="BY2444" i="1"/>
  <c r="BY2445" i="1"/>
  <c r="BY2446" i="1"/>
  <c r="BY2447" i="1"/>
  <c r="BY2448" i="1"/>
  <c r="BY2449" i="1"/>
  <c r="BY2450" i="1"/>
  <c r="BY2451" i="1"/>
  <c r="BY2452" i="1"/>
  <c r="BY2453" i="1"/>
  <c r="BY2454" i="1"/>
  <c r="BY2455" i="1"/>
  <c r="BY2456" i="1"/>
  <c r="BY2457" i="1"/>
  <c r="BZ2457" i="1" s="1"/>
  <c r="BY2458" i="1"/>
  <c r="BZ2458" i="1" s="1"/>
  <c r="BY2459" i="1"/>
  <c r="BY2460" i="1"/>
  <c r="BZ2460" i="1" s="1"/>
  <c r="BY2461" i="1"/>
  <c r="BY2462" i="1"/>
  <c r="BY2463" i="1"/>
  <c r="BY2464" i="1"/>
  <c r="BY2465" i="1"/>
  <c r="BY2466" i="1"/>
  <c r="BY2467" i="1"/>
  <c r="BY2468" i="1"/>
  <c r="BY2469" i="1"/>
  <c r="BY2470" i="1"/>
  <c r="BY2471" i="1"/>
  <c r="BZ2471" i="1" s="1"/>
  <c r="BY2472" i="1"/>
  <c r="BY2474" i="1"/>
  <c r="BY2475" i="1"/>
  <c r="BY2476" i="1"/>
  <c r="BY2477" i="1"/>
  <c r="BY2478" i="1"/>
  <c r="BY2479" i="1"/>
  <c r="BY2480" i="1"/>
  <c r="BY2481" i="1"/>
  <c r="BY2482" i="1"/>
  <c r="BY2483" i="1"/>
  <c r="BY2484" i="1"/>
  <c r="BY2485" i="1"/>
  <c r="BY2486" i="1"/>
  <c r="BY2487" i="1"/>
  <c r="BY2488" i="1"/>
  <c r="BY2489" i="1"/>
  <c r="BY2490" i="1"/>
  <c r="BZ2490" i="1" s="1"/>
  <c r="BY2491" i="1"/>
  <c r="BZ2491" i="1" s="1"/>
  <c r="BY2492" i="1"/>
  <c r="BZ2492" i="1" s="1"/>
  <c r="BY2493" i="1"/>
  <c r="BZ2493" i="1" s="1"/>
  <c r="BY2494" i="1"/>
  <c r="BY2495" i="1"/>
  <c r="BY2496" i="1"/>
  <c r="BY2497" i="1"/>
  <c r="BY2498" i="1"/>
  <c r="BY2499" i="1"/>
  <c r="BY2500" i="1"/>
  <c r="BY2501" i="1"/>
  <c r="BY2502" i="1"/>
  <c r="BY2503" i="1"/>
  <c r="BY2504" i="1"/>
  <c r="BZ2504" i="1" s="1"/>
  <c r="BY2505" i="1"/>
  <c r="BY2506" i="1"/>
  <c r="BY2507" i="1"/>
  <c r="BY2508" i="1"/>
  <c r="BY2509" i="1"/>
  <c r="BY2510" i="1"/>
  <c r="BY2511" i="1"/>
  <c r="BY2512" i="1"/>
  <c r="BY2513" i="1"/>
  <c r="BY2514" i="1"/>
  <c r="BY2515" i="1"/>
  <c r="BY2516" i="1"/>
  <c r="BY2517" i="1"/>
  <c r="BY2518" i="1"/>
  <c r="BY2519" i="1"/>
  <c r="BY2520" i="1"/>
  <c r="BY2521" i="1"/>
  <c r="BY2522" i="1"/>
  <c r="BY2523" i="1"/>
  <c r="BY2526" i="1"/>
  <c r="BY2527" i="1"/>
  <c r="BY2529" i="1"/>
  <c r="BY2530" i="1"/>
  <c r="BY2531" i="1"/>
  <c r="BY2532" i="1"/>
  <c r="BZ2532" i="1" s="1"/>
  <c r="BY2533" i="1"/>
  <c r="BY2534" i="1"/>
  <c r="BZ2534" i="1" s="1"/>
  <c r="BY2535" i="1"/>
  <c r="BZ2535" i="1" s="1"/>
  <c r="BY2536" i="1"/>
  <c r="BY2537" i="1"/>
  <c r="BZ2537" i="1" s="1"/>
  <c r="BY2538" i="1"/>
  <c r="BY2539" i="1"/>
  <c r="BZ2539" i="1" s="1"/>
  <c r="BY2540" i="1"/>
  <c r="BY2541" i="1"/>
  <c r="BY2542" i="1"/>
  <c r="BZ2542" i="1" s="1"/>
  <c r="BY2543" i="1"/>
  <c r="BY2544" i="1"/>
  <c r="BY2545" i="1"/>
  <c r="BY2546" i="1"/>
  <c r="BY2547" i="1"/>
  <c r="BZ2547" i="1" s="1"/>
  <c r="BY2548" i="1"/>
  <c r="BY2549" i="1"/>
  <c r="BY2550" i="1"/>
  <c r="BY2551" i="1"/>
  <c r="BY2552" i="1"/>
  <c r="BY2553" i="1"/>
  <c r="BY2554" i="1"/>
  <c r="BY2555" i="1"/>
  <c r="BY2556" i="1"/>
  <c r="BZ2556" i="1" s="1"/>
  <c r="BY2557" i="1"/>
  <c r="BY2558" i="1"/>
  <c r="BZ2558" i="1" s="1"/>
  <c r="BY2559" i="1"/>
  <c r="BY2560" i="1"/>
  <c r="BY2561" i="1"/>
  <c r="BY2562" i="1"/>
  <c r="BY2563" i="1"/>
  <c r="BY2564" i="1"/>
  <c r="BY2565" i="1"/>
  <c r="BY2566" i="1"/>
  <c r="BY2567" i="1"/>
  <c r="BY2568" i="1"/>
  <c r="BY2569" i="1"/>
  <c r="BY2570" i="1"/>
  <c r="BY2571" i="1"/>
  <c r="BY2572" i="1"/>
  <c r="BZ2572" i="1" s="1"/>
  <c r="BY2573" i="1"/>
  <c r="BY2574" i="1"/>
  <c r="BY2575" i="1"/>
  <c r="BY2577" i="1"/>
  <c r="BZ2577" i="1" s="1"/>
  <c r="BY2578" i="1"/>
  <c r="BY2579" i="1"/>
  <c r="BY2580" i="1"/>
  <c r="BY2581" i="1"/>
  <c r="BZ2581" i="1" s="1"/>
  <c r="BY2582" i="1"/>
  <c r="BY2583" i="1"/>
  <c r="BZ2583" i="1" s="1"/>
  <c r="BY2584" i="1"/>
  <c r="BZ2584" i="1" s="1"/>
  <c r="BY2585" i="1"/>
  <c r="BY2586" i="1"/>
  <c r="BY2587" i="1"/>
  <c r="BY2588" i="1"/>
  <c r="BY2589" i="1"/>
  <c r="BY2590" i="1"/>
  <c r="BY2591" i="1"/>
  <c r="BY2592" i="1"/>
  <c r="BY2593" i="1"/>
  <c r="BY2594" i="1"/>
  <c r="BY2595" i="1"/>
  <c r="BY2596" i="1"/>
  <c r="BY2597" i="1"/>
  <c r="BY2598" i="1"/>
  <c r="BY2599" i="1"/>
  <c r="BY2600" i="1"/>
  <c r="BY2601" i="1"/>
  <c r="BY2602" i="1"/>
  <c r="BZ2602" i="1" s="1"/>
  <c r="BY2603" i="1"/>
  <c r="BY2604" i="1"/>
  <c r="BY2605" i="1"/>
  <c r="BY2606" i="1"/>
  <c r="BY2607" i="1"/>
  <c r="BY2608" i="1"/>
  <c r="BY2609" i="1"/>
  <c r="BY2610" i="1"/>
  <c r="BY2611" i="1"/>
  <c r="BY2612" i="1"/>
  <c r="BY2613" i="1"/>
  <c r="BY2614" i="1"/>
  <c r="BY2615" i="1"/>
  <c r="BY2616" i="1"/>
  <c r="BY2617" i="1"/>
  <c r="BY2618" i="1"/>
  <c r="BY2619" i="1"/>
  <c r="BY2620" i="1"/>
  <c r="BY2621" i="1"/>
  <c r="BY2622" i="1"/>
  <c r="BZ2622" i="1" s="1"/>
  <c r="BY2623" i="1"/>
  <c r="BY2624" i="1"/>
  <c r="BZ2624" i="1" s="1"/>
  <c r="BY2625" i="1"/>
  <c r="BY2626" i="1"/>
  <c r="BY2627" i="1"/>
  <c r="BY2628" i="1"/>
  <c r="BZ2628" i="1" s="1"/>
  <c r="BY2629" i="1"/>
  <c r="BZ2629" i="1" s="1"/>
  <c r="BY2630" i="1"/>
  <c r="BY2631" i="1"/>
  <c r="BY2632" i="1"/>
  <c r="BY2633" i="1"/>
  <c r="BY2634" i="1"/>
  <c r="BY2635" i="1"/>
  <c r="BY2636" i="1"/>
  <c r="BY2637" i="1"/>
  <c r="BY2638" i="1"/>
  <c r="BY2639" i="1"/>
  <c r="BY2640" i="1"/>
  <c r="BY2641" i="1"/>
  <c r="BZ2641" i="1" s="1"/>
  <c r="BY2642" i="1"/>
  <c r="BY2643" i="1"/>
  <c r="BY2644" i="1"/>
  <c r="BY2645" i="1"/>
  <c r="BY2646" i="1"/>
  <c r="BZ2646" i="1" s="1"/>
  <c r="BY2647" i="1"/>
  <c r="BZ2647" i="1" s="1"/>
  <c r="BY2648" i="1"/>
  <c r="BZ2648" i="1" s="1"/>
  <c r="BY2649" i="1"/>
  <c r="BY2650" i="1"/>
  <c r="BY2651" i="1"/>
  <c r="BY2652" i="1"/>
  <c r="BZ2652" i="1" s="1"/>
  <c r="BY2654" i="1"/>
  <c r="BY2655" i="1"/>
  <c r="BY2656" i="1"/>
  <c r="BY2657" i="1"/>
  <c r="BZ2657" i="1" s="1"/>
  <c r="BY2658" i="1"/>
  <c r="BZ2658" i="1" s="1"/>
  <c r="BY2659" i="1"/>
  <c r="BZ2659" i="1" s="1"/>
  <c r="BY2660" i="1"/>
  <c r="BY2661" i="1"/>
  <c r="BY2662" i="1"/>
  <c r="BY2663" i="1"/>
  <c r="BY2664" i="1"/>
  <c r="BY2665" i="1"/>
  <c r="BY2666" i="1"/>
  <c r="BY2667" i="1"/>
  <c r="BZ2667" i="1" s="1"/>
  <c r="BY2668" i="1"/>
  <c r="BY2669" i="1"/>
  <c r="BY2670" i="1"/>
  <c r="BY2671" i="1"/>
  <c r="BZ2671" i="1" s="1"/>
  <c r="BY2672" i="1"/>
  <c r="BY2673" i="1"/>
  <c r="BY2674" i="1"/>
  <c r="BY2676" i="1"/>
  <c r="BZ2676" i="1" s="1"/>
  <c r="BY2677" i="1"/>
  <c r="BY2678" i="1"/>
  <c r="BY2679" i="1"/>
  <c r="BY2680" i="1"/>
  <c r="BZ2680" i="1" s="1"/>
  <c r="BY2681" i="1"/>
  <c r="BY2682" i="1"/>
  <c r="BY2683" i="1"/>
  <c r="BY2684" i="1"/>
  <c r="BY2685" i="1"/>
  <c r="BY2686" i="1"/>
  <c r="BY2687" i="1"/>
  <c r="BY2688" i="1"/>
  <c r="BY2689" i="1"/>
  <c r="BY2690" i="1"/>
  <c r="BZ2690" i="1" s="1"/>
  <c r="BY2691" i="1"/>
  <c r="BY2692" i="1"/>
  <c r="BY2693" i="1"/>
  <c r="BZ2693" i="1" s="1"/>
  <c r="BY2694" i="1"/>
  <c r="BY2696" i="1"/>
  <c r="BY2697" i="1"/>
  <c r="BY2698" i="1"/>
  <c r="BY2699" i="1"/>
  <c r="BY2700" i="1"/>
  <c r="BY2701" i="1"/>
  <c r="BY2702" i="1"/>
  <c r="BY2703" i="1"/>
  <c r="BY2704" i="1"/>
  <c r="BY2705" i="1"/>
  <c r="BY2706" i="1"/>
  <c r="BZ2706" i="1" s="1"/>
  <c r="BY2707" i="1"/>
  <c r="BY2708" i="1"/>
  <c r="BY2709" i="1"/>
  <c r="BY2710" i="1"/>
  <c r="BY2711" i="1"/>
  <c r="BY2712" i="1"/>
  <c r="BY2713" i="1"/>
  <c r="BZ2713" i="1" s="1"/>
  <c r="BY2714" i="1"/>
  <c r="BY2716" i="1"/>
  <c r="BY2717" i="1"/>
  <c r="BY2718" i="1"/>
  <c r="BY2719" i="1"/>
  <c r="BY2720" i="1"/>
  <c r="BY2721" i="1"/>
  <c r="BZ2721" i="1" s="1"/>
  <c r="BY2722" i="1"/>
  <c r="BZ2722" i="1" s="1"/>
  <c r="BY2723" i="1"/>
  <c r="BY2724" i="1"/>
  <c r="BY2725" i="1"/>
  <c r="BZ2725" i="1" s="1"/>
  <c r="BY2726" i="1"/>
  <c r="BY2727" i="1"/>
  <c r="BZ2727" i="1" s="1"/>
  <c r="BY2728" i="1"/>
  <c r="BY2729" i="1"/>
  <c r="BY2730" i="1"/>
  <c r="BY2732" i="1"/>
  <c r="BY2733" i="1"/>
  <c r="BY2734" i="1"/>
  <c r="BY2735" i="1"/>
  <c r="BZ2735" i="1" s="1"/>
  <c r="BY2736" i="1"/>
  <c r="BZ2736" i="1" s="1"/>
  <c r="BY2737" i="1"/>
  <c r="BY2738" i="1"/>
  <c r="BY2739" i="1"/>
  <c r="BZ2739" i="1" s="1"/>
  <c r="BY2740" i="1"/>
  <c r="BY2741" i="1"/>
  <c r="BY2742" i="1"/>
  <c r="BY2743" i="1"/>
  <c r="BY2744" i="1"/>
  <c r="BY2745" i="1"/>
  <c r="BY2746" i="1"/>
  <c r="BZ2746" i="1" s="1"/>
  <c r="BY2747" i="1"/>
  <c r="BY2748" i="1"/>
  <c r="BY2749" i="1"/>
  <c r="BY2750" i="1"/>
  <c r="BY2751" i="1"/>
  <c r="BY2752" i="1"/>
  <c r="BZ2752" i="1" s="1"/>
  <c r="BY2753" i="1"/>
  <c r="BY2754" i="1"/>
  <c r="BY2755" i="1"/>
  <c r="BY2756" i="1"/>
  <c r="BZ2756" i="1" s="1"/>
  <c r="BY2759" i="1"/>
  <c r="BZ2759" i="1" s="1"/>
  <c r="BY2760" i="1"/>
  <c r="BY2761" i="1"/>
  <c r="BY2762" i="1"/>
  <c r="BY2763" i="1"/>
  <c r="BY2764" i="1"/>
  <c r="BY2765" i="1"/>
  <c r="BY2766" i="1"/>
  <c r="BY2767" i="1"/>
  <c r="BY2768" i="1"/>
  <c r="BY2769" i="1"/>
  <c r="BY2770" i="1"/>
  <c r="BZ2770" i="1" s="1"/>
  <c r="BY2771" i="1"/>
  <c r="BZ2771" i="1" s="1"/>
  <c r="BY2772" i="1"/>
  <c r="BY2773" i="1"/>
  <c r="BZ2773" i="1" s="1"/>
  <c r="BY2774" i="1"/>
  <c r="BY2775" i="1"/>
  <c r="BY2776" i="1"/>
  <c r="BY2777" i="1"/>
  <c r="BY2778" i="1"/>
  <c r="BY2779" i="1"/>
  <c r="BY2780" i="1"/>
  <c r="BY2781" i="1"/>
  <c r="BZ2781" i="1" s="1"/>
  <c r="BY2783" i="1"/>
  <c r="BY2784" i="1"/>
  <c r="BY2785" i="1"/>
  <c r="BY2786" i="1"/>
  <c r="BZ2786" i="1" s="1"/>
  <c r="BY2787" i="1"/>
  <c r="BY2788" i="1"/>
  <c r="BY2789" i="1"/>
  <c r="BY2790" i="1"/>
  <c r="BY2791" i="1"/>
  <c r="BY2792" i="1"/>
  <c r="BY2794" i="1"/>
  <c r="BY2795" i="1"/>
  <c r="BY2796" i="1"/>
  <c r="BZ2796" i="1" s="1"/>
  <c r="BY2797" i="1"/>
  <c r="BY2798" i="1"/>
  <c r="BY2799" i="1"/>
  <c r="BZ2799" i="1" s="1"/>
  <c r="BY2800" i="1"/>
  <c r="BY2801" i="1"/>
  <c r="BY2802" i="1"/>
  <c r="BY2803" i="1"/>
  <c r="BZ2803" i="1" s="1"/>
  <c r="BY2804" i="1"/>
  <c r="BY2805" i="1"/>
  <c r="BY2806" i="1"/>
  <c r="BY2807" i="1"/>
  <c r="BY2808" i="1"/>
  <c r="BY2809" i="1"/>
  <c r="BY2810" i="1"/>
  <c r="BZ2810" i="1" s="1"/>
  <c r="BY2811" i="1"/>
  <c r="BY2812" i="1"/>
  <c r="BZ2812" i="1" s="1"/>
  <c r="BY2813" i="1"/>
  <c r="BZ2813" i="1" s="1"/>
  <c r="BY2814" i="1"/>
  <c r="BY2815" i="1"/>
  <c r="BZ2815" i="1" s="1"/>
  <c r="BY2816" i="1"/>
  <c r="BY2817" i="1"/>
  <c r="BY2818" i="1"/>
  <c r="BY2819" i="1"/>
  <c r="BY2820" i="1"/>
  <c r="BY2821" i="1"/>
  <c r="BY2822" i="1"/>
  <c r="BY2823" i="1"/>
  <c r="BY2824" i="1"/>
  <c r="BY2825" i="1"/>
  <c r="BY2826" i="1"/>
  <c r="BY2827" i="1"/>
  <c r="BY2828" i="1"/>
  <c r="BY2829" i="1"/>
  <c r="BZ2829" i="1" s="1"/>
  <c r="BY2830" i="1"/>
  <c r="BY2831" i="1"/>
  <c r="BZ2831" i="1" s="1"/>
  <c r="BY2832" i="1"/>
  <c r="BY2833" i="1"/>
  <c r="BY2834" i="1"/>
  <c r="BY2835" i="1"/>
  <c r="BZ2835" i="1" s="1"/>
  <c r="BY2836" i="1"/>
  <c r="BY2837" i="1"/>
  <c r="BY2838" i="1"/>
  <c r="BY2839" i="1"/>
  <c r="BY2840" i="1"/>
  <c r="BY2841" i="1"/>
  <c r="BY2842" i="1"/>
  <c r="BY2843" i="1"/>
  <c r="BY2844" i="1"/>
  <c r="BY2845" i="1"/>
  <c r="BZ2845" i="1" s="1"/>
  <c r="BY2846" i="1"/>
  <c r="BY2847" i="1"/>
  <c r="BY2848" i="1"/>
  <c r="BY2849" i="1"/>
  <c r="BY2850" i="1"/>
  <c r="BY2851" i="1"/>
  <c r="BY2852" i="1"/>
  <c r="BY2853" i="1"/>
  <c r="BY2854" i="1"/>
  <c r="BY2855" i="1"/>
  <c r="BY2856" i="1"/>
  <c r="BZ2856" i="1" s="1"/>
  <c r="BY2857" i="1"/>
  <c r="BY2858" i="1"/>
  <c r="BZ2858" i="1" s="1"/>
  <c r="BY2859" i="1"/>
  <c r="BZ2859" i="1" s="1"/>
  <c r="BY2860" i="1"/>
  <c r="BY2861" i="1"/>
  <c r="BY2862" i="1"/>
  <c r="BY2863" i="1"/>
  <c r="BY2864" i="1"/>
  <c r="BY2866" i="1"/>
  <c r="BY2867" i="1"/>
  <c r="BZ2867" i="1" s="1"/>
  <c r="BY2868" i="1"/>
  <c r="BY2869" i="1"/>
  <c r="BY2870" i="1"/>
  <c r="BY2871" i="1"/>
  <c r="BY2872" i="1"/>
  <c r="BY2873" i="1"/>
  <c r="BY2874" i="1"/>
  <c r="BZ2874" i="1" s="1"/>
  <c r="BY2875" i="1"/>
  <c r="BY2876" i="1"/>
  <c r="BY2877" i="1"/>
  <c r="BY2878" i="1"/>
  <c r="BY2879" i="1"/>
  <c r="BY2880" i="1"/>
  <c r="BY2881" i="1"/>
  <c r="BY2882" i="1"/>
  <c r="BY2883" i="1"/>
  <c r="BY2884" i="1"/>
  <c r="BY2885" i="1"/>
  <c r="BZ2885" i="1" s="1"/>
  <c r="BY2886" i="1"/>
  <c r="BZ2886" i="1" s="1"/>
  <c r="BY2887" i="1"/>
  <c r="BZ2887" i="1" s="1"/>
  <c r="BY2888" i="1"/>
  <c r="BY2889" i="1"/>
  <c r="BY2890" i="1"/>
  <c r="BY2891" i="1"/>
  <c r="BY2893" i="1"/>
  <c r="BY2894" i="1"/>
  <c r="BY2895" i="1"/>
  <c r="BZ2895" i="1" s="1"/>
  <c r="BY2896" i="1"/>
  <c r="BY2897" i="1"/>
  <c r="BY2898" i="1"/>
  <c r="BY2899" i="1"/>
  <c r="BY2900" i="1"/>
  <c r="BY2901" i="1"/>
  <c r="BZ2901" i="1" s="1"/>
  <c r="BY2902" i="1"/>
  <c r="BY2903" i="1"/>
  <c r="BY2904" i="1"/>
  <c r="BZ2904" i="1" s="1"/>
  <c r="BY2905" i="1"/>
  <c r="BY2906" i="1"/>
  <c r="BY2907" i="1"/>
  <c r="BY2908" i="1"/>
  <c r="BY2909" i="1"/>
  <c r="BY2910" i="1"/>
  <c r="BY2911" i="1"/>
  <c r="BZ2911" i="1" s="1"/>
  <c r="BY2912" i="1"/>
  <c r="BY2913" i="1"/>
  <c r="BY2914" i="1"/>
  <c r="BY2915" i="1"/>
  <c r="BY2916" i="1"/>
  <c r="BY2917" i="1"/>
  <c r="BY2918" i="1"/>
  <c r="BY2919" i="1"/>
  <c r="BY2920" i="1"/>
  <c r="BY2921" i="1"/>
  <c r="BY2922" i="1"/>
  <c r="BZ2922" i="1" s="1"/>
  <c r="BY2923" i="1"/>
  <c r="BY2924" i="1"/>
  <c r="BY2925" i="1"/>
  <c r="BY2926" i="1"/>
  <c r="BY2927" i="1"/>
  <c r="BY2928" i="1"/>
  <c r="BY2929" i="1"/>
  <c r="BY2930" i="1"/>
  <c r="BZ2930" i="1" s="1"/>
  <c r="BY2931" i="1"/>
  <c r="BY2933" i="1"/>
  <c r="BY2934" i="1"/>
  <c r="BZ2934" i="1" s="1"/>
  <c r="BY2935" i="1"/>
  <c r="BY2936" i="1"/>
  <c r="BY2937" i="1"/>
  <c r="BY2938" i="1"/>
  <c r="BY2939" i="1"/>
  <c r="BY2940" i="1"/>
  <c r="BY2941" i="1"/>
  <c r="BY2942" i="1"/>
  <c r="BY2943" i="1"/>
  <c r="BY2944" i="1"/>
  <c r="BY2945" i="1"/>
  <c r="BY2946" i="1"/>
  <c r="BY2947" i="1"/>
  <c r="BY2948" i="1"/>
  <c r="BY2949" i="1"/>
  <c r="BY2950" i="1"/>
  <c r="BY2951" i="1"/>
  <c r="BY2952" i="1"/>
  <c r="BY2953" i="1"/>
  <c r="BY2954" i="1"/>
  <c r="BY2955" i="1"/>
  <c r="BY2956" i="1"/>
  <c r="BY2957" i="1"/>
  <c r="BY2958" i="1"/>
  <c r="BY2959" i="1"/>
  <c r="BY2960" i="1"/>
  <c r="BY2961" i="1"/>
  <c r="BY2962" i="1"/>
  <c r="BY2963" i="1"/>
  <c r="BY2964" i="1"/>
  <c r="BY2965" i="1"/>
  <c r="BY2966" i="1"/>
  <c r="BY2967" i="1"/>
  <c r="BY2968" i="1"/>
  <c r="BY2969" i="1"/>
  <c r="BY2970" i="1"/>
  <c r="BY2971" i="1"/>
  <c r="BY2972" i="1"/>
  <c r="BY2973" i="1"/>
  <c r="BZ2973" i="1" s="1"/>
  <c r="BY2974" i="1"/>
  <c r="BY2976" i="1"/>
  <c r="BY2977" i="1"/>
  <c r="BZ2977" i="1" s="1"/>
  <c r="BY2978" i="1"/>
  <c r="BZ2978" i="1" s="1"/>
  <c r="BY2979" i="1"/>
  <c r="BZ2979" i="1" s="1"/>
  <c r="BY2980" i="1"/>
  <c r="BY2981" i="1"/>
  <c r="BY2982" i="1"/>
  <c r="BY2983" i="1"/>
  <c r="BY2984" i="1"/>
  <c r="BY2985" i="1"/>
  <c r="BZ2985" i="1" s="1"/>
  <c r="BY2986" i="1"/>
  <c r="BY2987" i="1"/>
  <c r="BY2988" i="1"/>
  <c r="BY2989" i="1"/>
  <c r="BY2990" i="1"/>
  <c r="BZ2990" i="1" s="1"/>
  <c r="BY2991" i="1"/>
  <c r="BY2992" i="1"/>
  <c r="BZ2992" i="1" s="1"/>
  <c r="BY2994" i="1"/>
  <c r="BY2995" i="1"/>
  <c r="BY2996" i="1"/>
  <c r="BY2997" i="1"/>
  <c r="BY2998" i="1"/>
  <c r="BY2999" i="1"/>
  <c r="BY3000" i="1"/>
  <c r="BY3001" i="1"/>
  <c r="BZ3001" i="1" s="1"/>
  <c r="BY3002" i="1"/>
  <c r="BY3003" i="1"/>
  <c r="BY3004" i="1"/>
  <c r="BY3005" i="1"/>
  <c r="BY3006" i="1"/>
  <c r="BY3007" i="1"/>
  <c r="BY3008" i="1"/>
  <c r="BY3009" i="1"/>
  <c r="BY3010" i="1"/>
  <c r="BZ3010" i="1" s="1"/>
  <c r="BY3011" i="1"/>
  <c r="BY3012" i="1"/>
  <c r="BZ3012" i="1" s="1"/>
  <c r="BY3013" i="1"/>
  <c r="BZ3013" i="1" s="1"/>
  <c r="BY3014" i="1"/>
  <c r="BZ3014" i="1" s="1"/>
  <c r="BY3016" i="1"/>
  <c r="BY3017" i="1"/>
  <c r="BY3018" i="1"/>
  <c r="BY3019" i="1"/>
  <c r="BY3020" i="1"/>
  <c r="BY3021" i="1"/>
  <c r="BY3022" i="1"/>
  <c r="BY3023" i="1"/>
  <c r="BY3024" i="1"/>
  <c r="BY3025" i="1"/>
  <c r="BY3026" i="1"/>
  <c r="BZ3026" i="1" s="1"/>
  <c r="BY3027" i="1"/>
  <c r="BY3028" i="1"/>
  <c r="BY3029" i="1"/>
  <c r="BY3030" i="1"/>
  <c r="BY3031" i="1"/>
  <c r="BY3032" i="1"/>
  <c r="BY3033" i="1"/>
  <c r="BY3034" i="1"/>
  <c r="BY3035" i="1"/>
  <c r="BY3036" i="1"/>
  <c r="BY3037" i="1"/>
  <c r="BY3038" i="1"/>
  <c r="BY3039" i="1"/>
  <c r="BY3040" i="1"/>
  <c r="BY3041" i="1"/>
  <c r="BY3042" i="1"/>
  <c r="BZ3042" i="1" s="1"/>
  <c r="BY3043" i="1"/>
  <c r="BY3044" i="1"/>
  <c r="BY3045" i="1"/>
  <c r="BY3046" i="1"/>
  <c r="BY3047" i="1"/>
  <c r="BY3048" i="1"/>
  <c r="BY3049" i="1"/>
  <c r="BZ3049" i="1" s="1"/>
  <c r="BY3050" i="1"/>
  <c r="BY3051" i="1"/>
  <c r="BY3052" i="1"/>
  <c r="BY3053" i="1"/>
  <c r="BY3054" i="1"/>
  <c r="BY3055" i="1"/>
  <c r="BZ3055" i="1" s="1"/>
  <c r="BY3056" i="1"/>
  <c r="BY3057" i="1"/>
  <c r="BZ3057" i="1" s="1"/>
  <c r="BY3058" i="1"/>
  <c r="BY3059" i="1"/>
  <c r="BY3060" i="1"/>
  <c r="BY3062" i="1"/>
  <c r="BY3063" i="1"/>
  <c r="BY3064" i="1"/>
  <c r="BY3065" i="1"/>
  <c r="BY3066" i="1"/>
  <c r="BY3067" i="1"/>
  <c r="BY3068" i="1"/>
  <c r="BY3069" i="1"/>
  <c r="BY3070" i="1"/>
  <c r="BY3072" i="1"/>
  <c r="BY3073" i="1"/>
  <c r="BY3075" i="1"/>
  <c r="BY3076" i="1"/>
  <c r="BZ3076" i="1" s="1"/>
  <c r="BY3077" i="1"/>
  <c r="BY3078" i="1"/>
  <c r="BZ3078" i="1" s="1"/>
  <c r="BY3079" i="1"/>
  <c r="BY3080" i="1"/>
  <c r="BY3081" i="1"/>
  <c r="BZ3081" i="1" s="1"/>
  <c r="BY3082" i="1"/>
  <c r="BZ3082" i="1" s="1"/>
  <c r="BY3083" i="1"/>
  <c r="BY3084" i="1"/>
  <c r="BY3085" i="1"/>
  <c r="BZ3085" i="1" s="1"/>
  <c r="BY3086" i="1"/>
  <c r="BZ3086" i="1" s="1"/>
  <c r="BY3087" i="1"/>
  <c r="BY3088" i="1"/>
  <c r="BY3090" i="1"/>
  <c r="BZ3090" i="1" s="1"/>
  <c r="BY3091" i="1"/>
  <c r="BY3092" i="1"/>
  <c r="BY3093" i="1"/>
  <c r="BY3094" i="1"/>
  <c r="BY3095" i="1"/>
  <c r="BY3096" i="1"/>
  <c r="BY3097" i="1"/>
  <c r="BY3098" i="1"/>
  <c r="BY3099" i="1"/>
  <c r="BY3100" i="1"/>
  <c r="BY3101" i="1"/>
  <c r="BY3102" i="1"/>
  <c r="BY3103" i="1"/>
  <c r="BZ3103" i="1" s="1"/>
  <c r="BY3104" i="1"/>
  <c r="BY3105" i="1"/>
  <c r="BY3106" i="1"/>
  <c r="BY3107" i="1"/>
  <c r="BY3108" i="1"/>
  <c r="BY3109" i="1"/>
  <c r="BZ3109" i="1" s="1"/>
  <c r="BY3110" i="1"/>
  <c r="BY3111" i="1"/>
  <c r="BZ3111" i="1" s="1"/>
  <c r="BY3112" i="1"/>
  <c r="BY3113" i="1"/>
  <c r="BY3114" i="1"/>
  <c r="BY3115" i="1"/>
  <c r="BY3116" i="1"/>
  <c r="BY3117" i="1"/>
  <c r="BY3118" i="1"/>
  <c r="BY3119" i="1"/>
  <c r="BY3120" i="1"/>
  <c r="BY3121" i="1"/>
  <c r="BY3122" i="1"/>
  <c r="BY3123" i="1"/>
  <c r="BZ3123" i="1" s="1"/>
  <c r="BY3124" i="1"/>
  <c r="BY3125" i="1"/>
  <c r="BZ3125" i="1" s="1"/>
  <c r="BY3126" i="1"/>
  <c r="BY3127" i="1"/>
  <c r="BY3128" i="1"/>
  <c r="BY3129" i="1"/>
  <c r="BZ3129" i="1" s="1"/>
  <c r="BY3130" i="1"/>
  <c r="BY3131" i="1"/>
  <c r="BY3132" i="1"/>
  <c r="BY3133" i="1"/>
  <c r="BY3134" i="1"/>
  <c r="BZ3134" i="1" s="1"/>
  <c r="BY3135" i="1"/>
  <c r="BY3136" i="1"/>
  <c r="BY3137" i="1"/>
  <c r="BY3138" i="1"/>
  <c r="BY3139" i="1"/>
  <c r="BY3140" i="1"/>
  <c r="BY3141" i="1"/>
  <c r="BY3142" i="1"/>
  <c r="BY3143" i="1"/>
  <c r="BY3144" i="1"/>
  <c r="BY3145" i="1"/>
  <c r="BY3146" i="1"/>
  <c r="BY3147" i="1"/>
  <c r="BY3148" i="1"/>
  <c r="BY3149" i="1"/>
  <c r="BZ3149" i="1" s="1"/>
  <c r="BY3150" i="1"/>
  <c r="BY3151" i="1"/>
  <c r="BY3152" i="1"/>
  <c r="BY3153" i="1"/>
  <c r="BY3154" i="1"/>
  <c r="BY3155" i="1"/>
  <c r="BY3156" i="1"/>
  <c r="BY3157" i="1"/>
  <c r="BY3158" i="1"/>
  <c r="BY3159" i="1"/>
  <c r="BY3160" i="1"/>
  <c r="BY3161" i="1"/>
  <c r="BZ3161" i="1" s="1"/>
  <c r="BY3162" i="1"/>
  <c r="BY3163" i="1"/>
  <c r="BZ3163" i="1" s="1"/>
  <c r="BY3164" i="1"/>
  <c r="BY3165" i="1"/>
  <c r="BY3166" i="1"/>
  <c r="BY3167" i="1"/>
  <c r="BY3168" i="1"/>
  <c r="BY3169" i="1"/>
  <c r="BY3170" i="1"/>
  <c r="BZ3170" i="1" s="1"/>
  <c r="BY3171" i="1"/>
  <c r="BY3172" i="1"/>
  <c r="BY3173" i="1"/>
  <c r="BY3174" i="1"/>
  <c r="BY3175" i="1"/>
  <c r="BY3176" i="1"/>
  <c r="BY3177" i="1"/>
  <c r="BZ3177" i="1" s="1"/>
  <c r="BY3178" i="1"/>
  <c r="BY3179" i="1"/>
  <c r="BY3180" i="1"/>
  <c r="BY3181" i="1"/>
  <c r="BY3182" i="1"/>
  <c r="BY3183" i="1"/>
  <c r="BY3184" i="1"/>
  <c r="BY3185" i="1"/>
  <c r="BY3186" i="1"/>
  <c r="BY3187" i="1"/>
  <c r="BY3188" i="1"/>
  <c r="BZ3188" i="1" s="1"/>
  <c r="BY3189" i="1"/>
  <c r="BY3190" i="1"/>
  <c r="BZ3190" i="1" s="1"/>
  <c r="BY3191" i="1"/>
  <c r="BY3192" i="1"/>
  <c r="BY3193" i="1"/>
  <c r="BY3194" i="1"/>
  <c r="BY3195" i="1"/>
  <c r="BY3196" i="1"/>
  <c r="BZ3196" i="1" s="1"/>
  <c r="BY3197" i="1"/>
  <c r="BY3198" i="1"/>
  <c r="BY3199" i="1"/>
  <c r="BY3200" i="1"/>
  <c r="BY3201" i="1"/>
  <c r="BZ3201" i="1" s="1"/>
  <c r="BY3202" i="1"/>
  <c r="BY3203" i="1"/>
  <c r="BY3204" i="1"/>
  <c r="BY3205" i="1"/>
  <c r="BY3206" i="1"/>
  <c r="BY2" i="1"/>
  <c r="BQ915" i="1" l="1"/>
  <c r="CI915" i="1"/>
  <c r="CJ915" i="1" s="1"/>
  <c r="BQ2150" i="1"/>
  <c r="CI2150" i="1"/>
  <c r="CJ2150" i="1" s="1"/>
  <c r="BQ2239" i="1"/>
  <c r="CI2239" i="1"/>
  <c r="CJ2239" i="1" s="1"/>
  <c r="BQ1058" i="1"/>
  <c r="CI1058" i="1"/>
  <c r="CJ1058" i="1" s="1"/>
  <c r="BQ2373" i="1"/>
  <c r="CI2373" i="1"/>
  <c r="CJ2373" i="1" s="1"/>
  <c r="BQ3131" i="1"/>
  <c r="CI3131" i="1"/>
  <c r="CJ3131" i="1" s="1"/>
  <c r="BQ1104" i="1"/>
  <c r="CI1104" i="1"/>
  <c r="CJ1104" i="1" s="1"/>
  <c r="BQ2677" i="1"/>
  <c r="CI2677" i="1"/>
  <c r="CJ2677" i="1" s="1"/>
  <c r="BQ2821" i="1"/>
  <c r="CI2821" i="1"/>
  <c r="CJ2821" i="1" s="1"/>
  <c r="BQ1226" i="1"/>
  <c r="CI1226" i="1"/>
  <c r="CJ1226" i="1" s="1"/>
  <c r="BQ1352" i="1"/>
  <c r="CI1352" i="1"/>
  <c r="CJ1352" i="1" s="1"/>
  <c r="BQ2828" i="1"/>
  <c r="CI2828" i="1"/>
  <c r="CJ2828" i="1" s="1"/>
  <c r="BQ2772" i="1"/>
  <c r="CI2772" i="1"/>
  <c r="CJ2772" i="1" s="1"/>
  <c r="BQ701" i="1"/>
  <c r="CI701" i="1"/>
  <c r="CJ701" i="1" s="1"/>
  <c r="BQ1483" i="1"/>
  <c r="CI1483" i="1"/>
  <c r="CJ1483" i="1" s="1"/>
  <c r="BQ1248" i="1"/>
  <c r="CI1248" i="1"/>
  <c r="CJ1248" i="1" s="1"/>
  <c r="BQ723" i="1"/>
  <c r="CI723" i="1"/>
  <c r="CJ723" i="1" s="1"/>
  <c r="BQ1832" i="1"/>
  <c r="CI1832" i="1"/>
  <c r="CJ1832" i="1" s="1"/>
  <c r="Q920" i="1"/>
  <c r="CE920" i="1"/>
  <c r="CD920" i="1"/>
  <c r="BJ920" i="1"/>
  <c r="BW2" i="1"/>
  <c r="BV920" i="1"/>
  <c r="BY920" i="1"/>
  <c r="BH2958" i="1"/>
  <c r="BF920" i="1" l="1"/>
  <c r="CI920" i="1" s="1"/>
  <c r="CJ920" i="1" s="1"/>
  <c r="BZ920" i="1" l="1"/>
  <c r="BQ920" i="1"/>
  <c r="BG2458" i="1"/>
  <c r="BG914" i="1"/>
  <c r="N504" i="1"/>
  <c r="BX107" i="1" l="1"/>
  <c r="BX183" i="1"/>
  <c r="BX297" i="1"/>
  <c r="BX407" i="1"/>
  <c r="BX448" i="1"/>
  <c r="BX535" i="1"/>
  <c r="BX589" i="1"/>
  <c r="BX602" i="1"/>
  <c r="BX709" i="1"/>
  <c r="BX850" i="1"/>
  <c r="BX914" i="1"/>
  <c r="BX945" i="1"/>
  <c r="BX971" i="1"/>
  <c r="BX983" i="1"/>
  <c r="BX1026" i="1"/>
  <c r="BX1074" i="1"/>
  <c r="BX1080" i="1"/>
  <c r="BX1137" i="1"/>
  <c r="BX1237" i="1"/>
  <c r="BX1246" i="1"/>
  <c r="BX1285" i="1"/>
  <c r="BX1358" i="1"/>
  <c r="BX1364" i="1"/>
  <c r="BX1403" i="1"/>
  <c r="BX1456" i="1"/>
  <c r="BX1480" i="1"/>
  <c r="BX1559" i="1"/>
  <c r="BX1562" i="1"/>
  <c r="BX1574" i="1"/>
  <c r="BX1608" i="1"/>
  <c r="BX1618" i="1"/>
  <c r="BX1645" i="1"/>
  <c r="BX1658" i="1"/>
  <c r="BX1660" i="1"/>
  <c r="BX1679" i="1"/>
  <c r="BX1683" i="1"/>
  <c r="BX1697" i="1"/>
  <c r="BX1720" i="1"/>
  <c r="BX1726" i="1"/>
  <c r="BX1741" i="1"/>
  <c r="BX1810" i="1"/>
  <c r="BX1812" i="1"/>
  <c r="BX1834" i="1"/>
  <c r="BX1835" i="1"/>
  <c r="BX1856" i="1"/>
  <c r="BX1866" i="1"/>
  <c r="BX1867" i="1"/>
  <c r="BX1896" i="1"/>
  <c r="BX1898" i="1"/>
  <c r="BX1961" i="1"/>
  <c r="BX1984" i="1"/>
  <c r="BX1989" i="1"/>
  <c r="BX2004" i="1"/>
  <c r="BX2037" i="1"/>
  <c r="BX2048" i="1"/>
  <c r="BX2079" i="1"/>
  <c r="BX2180" i="1"/>
  <c r="BX2192" i="1"/>
  <c r="BX2198" i="1"/>
  <c r="BX2220" i="1"/>
  <c r="BX2231" i="1"/>
  <c r="BX2234" i="1"/>
  <c r="BX2252" i="1"/>
  <c r="BX2261" i="1"/>
  <c r="BX2309" i="1"/>
  <c r="BX2319" i="1"/>
  <c r="BX2339" i="1"/>
  <c r="BX2374" i="1"/>
  <c r="BX2388" i="1"/>
  <c r="BX2392" i="1"/>
  <c r="BX2419" i="1"/>
  <c r="BX2458" i="1"/>
  <c r="BX2532" i="1"/>
  <c r="BX2537" i="1"/>
  <c r="BX2577" i="1"/>
  <c r="BX2581" i="1"/>
  <c r="BX2666" i="1"/>
  <c r="BX2676" i="1"/>
  <c r="BX2756" i="1"/>
  <c r="BX2759" i="1"/>
  <c r="BX3010" i="1"/>
  <c r="BX3026" i="1"/>
  <c r="BX3062" i="1"/>
  <c r="BX3081" i="1"/>
  <c r="BX3163" i="1"/>
  <c r="BX3177" i="1"/>
  <c r="BX3188" i="1"/>
  <c r="BX3201" i="1"/>
  <c r="BR3188" i="1" l="1"/>
  <c r="BR3156" i="1"/>
  <c r="BR3116" i="1"/>
  <c r="BR3112" i="1"/>
  <c r="BR3110" i="1"/>
  <c r="BR3106" i="1"/>
  <c r="BR3104" i="1"/>
  <c r="BR3091" i="1"/>
  <c r="BR3036" i="1"/>
  <c r="BR3030" i="1"/>
  <c r="BR3005" i="1"/>
  <c r="BR2991" i="1"/>
  <c r="BR2959" i="1"/>
  <c r="BR2949" i="1"/>
  <c r="BR2942" i="1"/>
  <c r="BR2941" i="1"/>
  <c r="BR2927" i="1"/>
  <c r="BR2923" i="1"/>
  <c r="BR2897" i="1"/>
  <c r="BR2872" i="1"/>
  <c r="BR2846" i="1"/>
  <c r="BR2838" i="1"/>
  <c r="BR2819" i="1"/>
  <c r="BR2818" i="1"/>
  <c r="BR2788" i="1"/>
  <c r="BR2767" i="1"/>
  <c r="BR2764" i="1"/>
  <c r="BR2733" i="1"/>
  <c r="BR2707" i="1"/>
  <c r="BR2689" i="1"/>
  <c r="BR2670" i="1"/>
  <c r="BR2666" i="1"/>
  <c r="BR2625" i="1"/>
  <c r="BR2623" i="1"/>
  <c r="BR2618" i="1"/>
  <c r="BR2612" i="1"/>
  <c r="BR2608" i="1"/>
  <c r="BR2594" i="1"/>
  <c r="BR2587" i="1"/>
  <c r="BR2582" i="1"/>
  <c r="BR2573" i="1"/>
  <c r="BR2551" i="1"/>
  <c r="BR2533" i="1"/>
  <c r="BR2492" i="1"/>
  <c r="BR2474" i="1"/>
  <c r="BR2455" i="1"/>
  <c r="BR2453" i="1"/>
  <c r="BR2451" i="1"/>
  <c r="BR2448" i="1"/>
  <c r="BR2435" i="1"/>
  <c r="BR2425" i="1"/>
  <c r="BR2372" i="1"/>
  <c r="BR2344" i="1"/>
  <c r="BR2274" i="1"/>
  <c r="BR2273" i="1"/>
  <c r="BR2258" i="1"/>
  <c r="BR2250" i="1"/>
  <c r="BR2244" i="1"/>
  <c r="BR2236" i="1"/>
  <c r="BR2218" i="1"/>
  <c r="BR2210" i="1"/>
  <c r="BR2205" i="1"/>
  <c r="BR2177" i="1"/>
  <c r="BR2146" i="1"/>
  <c r="BR2134" i="1"/>
  <c r="BR2132" i="1"/>
  <c r="BR2125" i="1"/>
  <c r="BR2121" i="1"/>
  <c r="BR2117" i="1"/>
  <c r="BR2106" i="1"/>
  <c r="BR2105" i="1"/>
  <c r="BR2085" i="1"/>
  <c r="BR2080" i="1"/>
  <c r="BR2078" i="1"/>
  <c r="BR2075" i="1"/>
  <c r="BR2073" i="1"/>
  <c r="BR2047" i="1"/>
  <c r="BR2046" i="1"/>
  <c r="BR2016" i="1"/>
  <c r="BR2012" i="1"/>
  <c r="BR1988" i="1"/>
  <c r="BR1977" i="1"/>
  <c r="BR1973" i="1"/>
  <c r="BR1968" i="1"/>
  <c r="BR1951" i="1"/>
  <c r="BR1911" i="1"/>
  <c r="BR1910" i="1"/>
  <c r="BR1907" i="1"/>
  <c r="BR1903" i="1"/>
  <c r="BR1896" i="1"/>
  <c r="BR1876" i="1"/>
  <c r="BR1872" i="1"/>
  <c r="BR1852" i="1"/>
  <c r="BR1837" i="1"/>
  <c r="BR1825" i="1"/>
  <c r="BR1819" i="1"/>
  <c r="BR1768" i="1"/>
  <c r="BR1759" i="1"/>
  <c r="BR1747" i="1"/>
  <c r="BR1739" i="1"/>
  <c r="BR1735" i="1"/>
  <c r="BR1723" i="1"/>
  <c r="BR1718" i="1"/>
  <c r="BR1706" i="1"/>
  <c r="BR1701" i="1"/>
  <c r="BR1699" i="1"/>
  <c r="BR1687" i="1"/>
  <c r="BR1685" i="1"/>
  <c r="BR1683" i="1"/>
  <c r="BR1682" i="1"/>
  <c r="BR1669" i="1"/>
  <c r="BR1666" i="1"/>
  <c r="BR1664" i="1"/>
  <c r="BR1652" i="1"/>
  <c r="BR1646" i="1"/>
  <c r="BR1616" i="1"/>
  <c r="BR1584" i="1"/>
  <c r="BR1583" i="1"/>
  <c r="BR1572" i="1"/>
  <c r="BR1566" i="1"/>
  <c r="BR1564" i="1"/>
  <c r="BR1559" i="1"/>
  <c r="BR1556" i="1"/>
  <c r="BR1555" i="1"/>
  <c r="BR1551" i="1"/>
  <c r="BR1543" i="1"/>
  <c r="BR1533" i="1"/>
  <c r="BR1529" i="1"/>
  <c r="BR1522" i="1"/>
  <c r="BR1521" i="1"/>
  <c r="BR1510" i="1"/>
  <c r="BR1501" i="1"/>
  <c r="BR1487" i="1"/>
  <c r="BR1485" i="1"/>
  <c r="BR1484" i="1"/>
  <c r="BR1482" i="1"/>
  <c r="BR1467" i="1"/>
  <c r="BR1455" i="1"/>
  <c r="BR1445" i="1"/>
  <c r="BR1439" i="1"/>
  <c r="BR1430" i="1"/>
  <c r="BR1411" i="1"/>
  <c r="BR1403" i="1"/>
  <c r="BR1395" i="1"/>
  <c r="BR1383" i="1"/>
  <c r="BR1376" i="1"/>
  <c r="BR1366" i="1"/>
  <c r="BR1363" i="1"/>
  <c r="BR1358" i="1"/>
  <c r="BR1347" i="1"/>
  <c r="BR1342" i="1"/>
  <c r="BR1332" i="1"/>
  <c r="BR1321" i="1"/>
  <c r="BR1319" i="1"/>
  <c r="BR1314" i="1"/>
  <c r="BR1310" i="1"/>
  <c r="BR1305" i="1"/>
  <c r="BR1301" i="1"/>
  <c r="BR1297" i="1"/>
  <c r="BR1295" i="1"/>
  <c r="BR1293" i="1"/>
  <c r="BR1290" i="1"/>
  <c r="BR1280" i="1"/>
  <c r="BR1269" i="1"/>
  <c r="BR1263" i="1"/>
  <c r="BR1220" i="1"/>
  <c r="BR1215" i="1"/>
  <c r="BR1206" i="1"/>
  <c r="BR1171" i="1"/>
  <c r="BR1158" i="1"/>
  <c r="BR1151" i="1"/>
  <c r="BR1147" i="1"/>
  <c r="BR1139" i="1"/>
  <c r="BR1131" i="1"/>
  <c r="BR1119" i="1"/>
  <c r="BR1118" i="1"/>
  <c r="BR1113" i="1"/>
  <c r="BR1105" i="1"/>
  <c r="BR1100" i="1"/>
  <c r="BR1089" i="1"/>
  <c r="BR1077" i="1"/>
  <c r="BR1075" i="1"/>
  <c r="BR1072" i="1"/>
  <c r="BR1061" i="1"/>
  <c r="BR1057" i="1"/>
  <c r="BR1055" i="1"/>
  <c r="BR1044" i="1"/>
  <c r="BR1010" i="1"/>
  <c r="BR1007" i="1"/>
  <c r="BR1001" i="1"/>
  <c r="BR991" i="1"/>
  <c r="BR987" i="1"/>
  <c r="BR970" i="1"/>
  <c r="BR969" i="1"/>
  <c r="BR953" i="1"/>
  <c r="BR936" i="1"/>
  <c r="BR931" i="1"/>
  <c r="BR927" i="1"/>
  <c r="BR916" i="1"/>
  <c r="BR876" i="1"/>
  <c r="BR874" i="1"/>
  <c r="BR873" i="1"/>
  <c r="BR866" i="1"/>
  <c r="BR862" i="1"/>
  <c r="BR860" i="1"/>
  <c r="BR859" i="1"/>
  <c r="BR858" i="1"/>
  <c r="BR851" i="1"/>
  <c r="BR849" i="1"/>
  <c r="BR813" i="1"/>
  <c r="BR795" i="1"/>
  <c r="BR793" i="1"/>
  <c r="BR780" i="1"/>
  <c r="BR763" i="1"/>
  <c r="BR751" i="1"/>
  <c r="BR747" i="1"/>
  <c r="BR741" i="1"/>
  <c r="BR724" i="1"/>
  <c r="BR705" i="1"/>
  <c r="BR702" i="1"/>
  <c r="BR688" i="1"/>
  <c r="BR685" i="1"/>
  <c r="BR672" i="1"/>
  <c r="BR667" i="1"/>
  <c r="BR662" i="1"/>
  <c r="BR660" i="1"/>
  <c r="BR657" i="1"/>
  <c r="BR654" i="1"/>
  <c r="BR644" i="1"/>
  <c r="BR637" i="1"/>
  <c r="BR636" i="1"/>
  <c r="BR618" i="1"/>
  <c r="BR615" i="1"/>
  <c r="BR614" i="1"/>
  <c r="BR590" i="1"/>
  <c r="BR586" i="1"/>
  <c r="BR584" i="1"/>
  <c r="BR581" i="1"/>
  <c r="BR580" i="1"/>
  <c r="BR557" i="1"/>
  <c r="BR548" i="1"/>
  <c r="BR544" i="1"/>
  <c r="BR543" i="1"/>
  <c r="BR530" i="1"/>
  <c r="BR528" i="1"/>
  <c r="BR527" i="1"/>
  <c r="BR526" i="1"/>
  <c r="BR517" i="1"/>
  <c r="BR507" i="1"/>
  <c r="BR505" i="1"/>
  <c r="BR503" i="1"/>
  <c r="BR471" i="1"/>
  <c r="BR438" i="1"/>
  <c r="BR433" i="1"/>
  <c r="BR428" i="1"/>
  <c r="BR393" i="1"/>
  <c r="BR392" i="1"/>
  <c r="BR372" i="1"/>
  <c r="BR368" i="1"/>
  <c r="BR364" i="1"/>
  <c r="BR360" i="1"/>
  <c r="BR354" i="1"/>
  <c r="BR327" i="1"/>
  <c r="BR318" i="1"/>
  <c r="BR298" i="1"/>
  <c r="BR283" i="1"/>
  <c r="BR193" i="1"/>
  <c r="BR192" i="1"/>
  <c r="BR162" i="1"/>
  <c r="BR122" i="1"/>
  <c r="BR111" i="1"/>
  <c r="BR15" i="1"/>
  <c r="BM3" i="1" l="1"/>
  <c r="BM4" i="1"/>
  <c r="BM5" i="1"/>
  <c r="BM6" i="1"/>
  <c r="BM7" i="1"/>
  <c r="BM8" i="1"/>
  <c r="BM9" i="1"/>
  <c r="BM10" i="1"/>
  <c r="BM11" i="1"/>
  <c r="BM12" i="1"/>
  <c r="BM13" i="1"/>
  <c r="BM16" i="1"/>
  <c r="BM17" i="1"/>
  <c r="BM18" i="1"/>
  <c r="BM19" i="1"/>
  <c r="BM20" i="1"/>
  <c r="BM21" i="1"/>
  <c r="BM22" i="1"/>
  <c r="BM23" i="1"/>
  <c r="BM24" i="1"/>
  <c r="BM25" i="1"/>
  <c r="BM104" i="1"/>
  <c r="BM105" i="1"/>
  <c r="BM108" i="1"/>
  <c r="BM109" i="1"/>
  <c r="BM110" i="1"/>
  <c r="BM112" i="1"/>
  <c r="BM113" i="1"/>
  <c r="BM114" i="1"/>
  <c r="BM116" i="1"/>
  <c r="BM117" i="1"/>
  <c r="BM118" i="1"/>
  <c r="BM120" i="1"/>
  <c r="BM121" i="1"/>
  <c r="BM123" i="1"/>
  <c r="BM124" i="1"/>
  <c r="BM125" i="1"/>
  <c r="BM126" i="1"/>
  <c r="BM129" i="1"/>
  <c r="BM130" i="1"/>
  <c r="BM131" i="1"/>
  <c r="BM133" i="1"/>
  <c r="BM134" i="1"/>
  <c r="BM135" i="1"/>
  <c r="BM136" i="1"/>
  <c r="BM138" i="1"/>
  <c r="BM139" i="1"/>
  <c r="BM140" i="1"/>
  <c r="BM141" i="1"/>
  <c r="BM142" i="1"/>
  <c r="BM145" i="1"/>
  <c r="BM146" i="1"/>
  <c r="BM147" i="1"/>
  <c r="BM148" i="1"/>
  <c r="BM149" i="1"/>
  <c r="BM150" i="1"/>
  <c r="BM152" i="1"/>
  <c r="BM153" i="1"/>
  <c r="BM154" i="1"/>
  <c r="BM155" i="1"/>
  <c r="BM156" i="1"/>
  <c r="BM157" i="1"/>
  <c r="BM158" i="1"/>
  <c r="BM160" i="1"/>
  <c r="BM161" i="1"/>
  <c r="BM163" i="1"/>
  <c r="BM164" i="1"/>
  <c r="BM165" i="1"/>
  <c r="BM166" i="1"/>
  <c r="BM168" i="1"/>
  <c r="BM169" i="1"/>
  <c r="BM171" i="1"/>
  <c r="BM172" i="1"/>
  <c r="BM173" i="1"/>
  <c r="BM174" i="1"/>
  <c r="BM175" i="1"/>
  <c r="BM176" i="1"/>
  <c r="BM177" i="1"/>
  <c r="BM178" i="1"/>
  <c r="BM181" i="1"/>
  <c r="BM182" i="1"/>
  <c r="BM184" i="1"/>
  <c r="BM185" i="1"/>
  <c r="BM186" i="1"/>
  <c r="BM187" i="1"/>
  <c r="BM188" i="1"/>
  <c r="BM190" i="1"/>
  <c r="BM191" i="1"/>
  <c r="BM194" i="1"/>
  <c r="BM196" i="1"/>
  <c r="BM197" i="1"/>
  <c r="BM198" i="1"/>
  <c r="BM199" i="1"/>
  <c r="BM200" i="1"/>
  <c r="BM201" i="1"/>
  <c r="BM202" i="1"/>
  <c r="BM203" i="1"/>
  <c r="BM205" i="1"/>
  <c r="BM206" i="1"/>
  <c r="BM282" i="1"/>
  <c r="BM284" i="1"/>
  <c r="BM285" i="1"/>
  <c r="BM286" i="1"/>
  <c r="BM287" i="1"/>
  <c r="BM288" i="1"/>
  <c r="BM289" i="1"/>
  <c r="BM290" i="1"/>
  <c r="BM294" i="1"/>
  <c r="BM295" i="1"/>
  <c r="BM296" i="1"/>
  <c r="BM299" i="1"/>
  <c r="BM300" i="1"/>
  <c r="BM301" i="1"/>
  <c r="BM302" i="1"/>
  <c r="BM303" i="1"/>
  <c r="BM304" i="1"/>
  <c r="BM305" i="1"/>
  <c r="BM306" i="1"/>
  <c r="BM308" i="1"/>
  <c r="BM309" i="1"/>
  <c r="BM310" i="1"/>
  <c r="BM311" i="1"/>
  <c r="BM312" i="1"/>
  <c r="BM313" i="1"/>
  <c r="BM315" i="1"/>
  <c r="BM317" i="1"/>
  <c r="BM319" i="1"/>
  <c r="BM320" i="1"/>
  <c r="BM321" i="1"/>
  <c r="BM322" i="1"/>
  <c r="BM323" i="1"/>
  <c r="BM324" i="1"/>
  <c r="BM325" i="1"/>
  <c r="BM326" i="1"/>
  <c r="BM328" i="1"/>
  <c r="BM330" i="1"/>
  <c r="BM333" i="1"/>
  <c r="BM334" i="1"/>
  <c r="BM335" i="1"/>
  <c r="BM336" i="1"/>
  <c r="BM337" i="1"/>
  <c r="BM338" i="1"/>
  <c r="BM341" i="1"/>
  <c r="BM342" i="1"/>
  <c r="BM343" i="1"/>
  <c r="BM344" i="1"/>
  <c r="BM345" i="1"/>
  <c r="BM346" i="1"/>
  <c r="BM347" i="1"/>
  <c r="BM350" i="1"/>
  <c r="BM351" i="1"/>
  <c r="BM352" i="1"/>
  <c r="BM353" i="1"/>
  <c r="BM355" i="1"/>
  <c r="BM357" i="1"/>
  <c r="BM358" i="1"/>
  <c r="BM361" i="1"/>
  <c r="BM363" i="1"/>
  <c r="BM365" i="1"/>
  <c r="BM369" i="1"/>
  <c r="BM370" i="1"/>
  <c r="BM371" i="1"/>
  <c r="BM375" i="1"/>
  <c r="BM376" i="1"/>
  <c r="BM378" i="1"/>
  <c r="BM380" i="1"/>
  <c r="BM381" i="1"/>
  <c r="BM382" i="1"/>
  <c r="BM383" i="1"/>
  <c r="BM384" i="1"/>
  <c r="BM385" i="1"/>
  <c r="BM386" i="1"/>
  <c r="BM387" i="1"/>
  <c r="BM388" i="1"/>
  <c r="BM389" i="1"/>
  <c r="BM390" i="1"/>
  <c r="BM394" i="1"/>
  <c r="BM395" i="1"/>
  <c r="BM396" i="1"/>
  <c r="BM397" i="1"/>
  <c r="BM399" i="1"/>
  <c r="BM400" i="1"/>
  <c r="BM401" i="1"/>
  <c r="BM402" i="1"/>
  <c r="BM403" i="1"/>
  <c r="BM404" i="1"/>
  <c r="BM405" i="1"/>
  <c r="BM406" i="1"/>
  <c r="BM408" i="1"/>
  <c r="BM409" i="1"/>
  <c r="BM410" i="1"/>
  <c r="BM411" i="1"/>
  <c r="BM412" i="1"/>
  <c r="BM413" i="1"/>
  <c r="BM415" i="1"/>
  <c r="BM416" i="1"/>
  <c r="BM417" i="1"/>
  <c r="BM418" i="1"/>
  <c r="BM419" i="1"/>
  <c r="BM420" i="1"/>
  <c r="BM421" i="1"/>
  <c r="BM422" i="1"/>
  <c r="BM423" i="1"/>
  <c r="BM424" i="1"/>
  <c r="BM425" i="1"/>
  <c r="BM426" i="1"/>
  <c r="BM427" i="1"/>
  <c r="BM430" i="1"/>
  <c r="BM431" i="1"/>
  <c r="BM432" i="1"/>
  <c r="BM434" i="1"/>
  <c r="BM435" i="1"/>
  <c r="BM436" i="1"/>
  <c r="BM439" i="1"/>
  <c r="BM440" i="1"/>
  <c r="BM441" i="1"/>
  <c r="BM442" i="1"/>
  <c r="BM443" i="1"/>
  <c r="BM444" i="1"/>
  <c r="BM447" i="1"/>
  <c r="BM449" i="1"/>
  <c r="BM451" i="1"/>
  <c r="BM452" i="1"/>
  <c r="BM453" i="1"/>
  <c r="BM455" i="1"/>
  <c r="BM456" i="1"/>
  <c r="BM457" i="1"/>
  <c r="BM458" i="1"/>
  <c r="BM460" i="1"/>
  <c r="BM461" i="1"/>
  <c r="BM462" i="1"/>
  <c r="BM463" i="1"/>
  <c r="BM466" i="1"/>
  <c r="BM467" i="1"/>
  <c r="BM468" i="1"/>
  <c r="BM469" i="1"/>
  <c r="BM472" i="1"/>
  <c r="BM473" i="1"/>
  <c r="BM474" i="1"/>
  <c r="BM475" i="1"/>
  <c r="BM477" i="1"/>
  <c r="BM479" i="1"/>
  <c r="BM480" i="1"/>
  <c r="BM481" i="1"/>
  <c r="BM482" i="1"/>
  <c r="BM484" i="1"/>
  <c r="BM485" i="1"/>
  <c r="BM486" i="1"/>
  <c r="BM488" i="1"/>
  <c r="BM490" i="1"/>
  <c r="BM491" i="1"/>
  <c r="BM492" i="1"/>
  <c r="BM494" i="1"/>
  <c r="BM495" i="1"/>
  <c r="BM496" i="1"/>
  <c r="BM498" i="1"/>
  <c r="BM499" i="1"/>
  <c r="BM500" i="1"/>
  <c r="BM501" i="1"/>
  <c r="BM502" i="1"/>
  <c r="BM504" i="1"/>
  <c r="BM506" i="1"/>
  <c r="BM508" i="1"/>
  <c r="BM509" i="1"/>
  <c r="BM511" i="1"/>
  <c r="BM512" i="1"/>
  <c r="BM513" i="1"/>
  <c r="BM515" i="1"/>
  <c r="BM516" i="1"/>
  <c r="BM518" i="1"/>
  <c r="BM519" i="1"/>
  <c r="BM520" i="1"/>
  <c r="BM522" i="1"/>
  <c r="BM523" i="1"/>
  <c r="BM524" i="1"/>
  <c r="BM525" i="1"/>
  <c r="BM529" i="1"/>
  <c r="BM531" i="1"/>
  <c r="BM533" i="1"/>
  <c r="BM537" i="1"/>
  <c r="BM538" i="1"/>
  <c r="BM539" i="1"/>
  <c r="BM541" i="1"/>
  <c r="BM542" i="1"/>
  <c r="BM545" i="1"/>
  <c r="BM546" i="1"/>
  <c r="BM550" i="1"/>
  <c r="BM551" i="1"/>
  <c r="BM552" i="1"/>
  <c r="BM555" i="1"/>
  <c r="BM558" i="1"/>
  <c r="BM560" i="1"/>
  <c r="BM563" i="1"/>
  <c r="BM564" i="1"/>
  <c r="BM565" i="1"/>
  <c r="BM567" i="1"/>
  <c r="BM569" i="1"/>
  <c r="BM570" i="1"/>
  <c r="BM572" i="1"/>
  <c r="BM573" i="1"/>
  <c r="BM574" i="1"/>
  <c r="BM575" i="1"/>
  <c r="BM576" i="1"/>
  <c r="BM577" i="1"/>
  <c r="BM579" i="1"/>
  <c r="BM582" i="1"/>
  <c r="BM583" i="1"/>
  <c r="BM585" i="1"/>
  <c r="BM591" i="1"/>
  <c r="BM592" i="1"/>
  <c r="BM593" i="1"/>
  <c r="BM594" i="1"/>
  <c r="BM597" i="1"/>
  <c r="BM598" i="1"/>
  <c r="BM599" i="1"/>
  <c r="BM600" i="1"/>
  <c r="BM603" i="1"/>
  <c r="BM604" i="1"/>
  <c r="BM605" i="1"/>
  <c r="BM606" i="1"/>
  <c r="BM607" i="1"/>
  <c r="BM608" i="1"/>
  <c r="BM611" i="1"/>
  <c r="BM612" i="1"/>
  <c r="BM617" i="1"/>
  <c r="BM619" i="1"/>
  <c r="BM620" i="1"/>
  <c r="BM621" i="1"/>
  <c r="BM623" i="1"/>
  <c r="BM624" i="1"/>
  <c r="BM625" i="1"/>
  <c r="BM626" i="1"/>
  <c r="BM627" i="1"/>
  <c r="BM628" i="1"/>
  <c r="BM629" i="1"/>
  <c r="BM630" i="1"/>
  <c r="BM633" i="1"/>
  <c r="BM635" i="1"/>
  <c r="BM638" i="1"/>
  <c r="BM639" i="1"/>
  <c r="BM641" i="1"/>
  <c r="BM642" i="1"/>
  <c r="BM643" i="1"/>
  <c r="BM645" i="1"/>
  <c r="BM646" i="1"/>
  <c r="BM647" i="1"/>
  <c r="BM648" i="1"/>
  <c r="BM649" i="1"/>
  <c r="BM650" i="1"/>
  <c r="BM652" i="1"/>
  <c r="BM653" i="1"/>
  <c r="BM658" i="1"/>
  <c r="BM661" i="1"/>
  <c r="BM663" i="1"/>
  <c r="BM665" i="1"/>
  <c r="BM666" i="1"/>
  <c r="BM668" i="1"/>
  <c r="BM669" i="1"/>
  <c r="BM670" i="1"/>
  <c r="BM671" i="1"/>
  <c r="BM673" i="1"/>
  <c r="BM674" i="1"/>
  <c r="BM675" i="1"/>
  <c r="BM677" i="1"/>
  <c r="BM678" i="1"/>
  <c r="BM681" i="1"/>
  <c r="BM682" i="1"/>
  <c r="BM683" i="1"/>
  <c r="BM686" i="1"/>
  <c r="BM689" i="1"/>
  <c r="BM690" i="1"/>
  <c r="BM691" i="1"/>
  <c r="BM692" i="1"/>
  <c r="BM693" i="1"/>
  <c r="BM694" i="1"/>
  <c r="BM695" i="1"/>
  <c r="BM696" i="1"/>
  <c r="BM697" i="1"/>
  <c r="BM698" i="1"/>
  <c r="BM699" i="1"/>
  <c r="BM700" i="1"/>
  <c r="BM704" i="1"/>
  <c r="BM708" i="1"/>
  <c r="BM713" i="1"/>
  <c r="BM714" i="1"/>
  <c r="BM716" i="1"/>
  <c r="BM717" i="1"/>
  <c r="BM718" i="1"/>
  <c r="BM719" i="1"/>
  <c r="BM720" i="1"/>
  <c r="BM725" i="1"/>
  <c r="BM726" i="1"/>
  <c r="BM727" i="1"/>
  <c r="BM728" i="1"/>
  <c r="BM729" i="1"/>
  <c r="BM730" i="1"/>
  <c r="BM731" i="1"/>
  <c r="BM732" i="1"/>
  <c r="BM733" i="1"/>
  <c r="BM734" i="1"/>
  <c r="BM735" i="1"/>
  <c r="BM736" i="1"/>
  <c r="BM738" i="1"/>
  <c r="BM743" i="1"/>
  <c r="BM744" i="1"/>
  <c r="BM745" i="1"/>
  <c r="BM746" i="1"/>
  <c r="BM748" i="1"/>
  <c r="BM749" i="1"/>
  <c r="BM750" i="1"/>
  <c r="BM752" i="1"/>
  <c r="BM754" i="1"/>
  <c r="BM755" i="1"/>
  <c r="BM757" i="1"/>
  <c r="BM758" i="1"/>
  <c r="BM759" i="1"/>
  <c r="BM760" i="1"/>
  <c r="BM761" i="1"/>
  <c r="BM762" i="1"/>
  <c r="BM764" i="1"/>
  <c r="BM765" i="1"/>
  <c r="BM766" i="1"/>
  <c r="BM767" i="1"/>
  <c r="BM769" i="1"/>
  <c r="BM772" i="1"/>
  <c r="BM773" i="1"/>
  <c r="BM774" i="1"/>
  <c r="BM775" i="1"/>
  <c r="BM776" i="1"/>
  <c r="BM779" i="1"/>
  <c r="BM782" i="1"/>
  <c r="BM783" i="1"/>
  <c r="BM784" i="1"/>
  <c r="BM786" i="1"/>
  <c r="BM789" i="1"/>
  <c r="BM790" i="1"/>
  <c r="BM792" i="1"/>
  <c r="BM794" i="1"/>
  <c r="BM796" i="1"/>
  <c r="BM797" i="1"/>
  <c r="BM798" i="1"/>
  <c r="BM799" i="1"/>
  <c r="BM800" i="1"/>
  <c r="BM802" i="1"/>
  <c r="BM803" i="1"/>
  <c r="BM804" i="1"/>
  <c r="BM805" i="1"/>
  <c r="BM807" i="1"/>
  <c r="BM810" i="1"/>
  <c r="BM811" i="1"/>
  <c r="BM814" i="1"/>
  <c r="BM815" i="1"/>
  <c r="BM816" i="1"/>
  <c r="BM817" i="1"/>
  <c r="BM818" i="1"/>
  <c r="BM820" i="1"/>
  <c r="BM821" i="1"/>
  <c r="BM824" i="1"/>
  <c r="BM825" i="1"/>
  <c r="BM826" i="1"/>
  <c r="BM828" i="1"/>
  <c r="BM829" i="1"/>
  <c r="BM830" i="1"/>
  <c r="BM831" i="1"/>
  <c r="BM832" i="1"/>
  <c r="BM833" i="1"/>
  <c r="BM834" i="1"/>
  <c r="BM835" i="1"/>
  <c r="BM836" i="1"/>
  <c r="BM837" i="1"/>
  <c r="BM838" i="1"/>
  <c r="BM840" i="1"/>
  <c r="BM842" i="1"/>
  <c r="BM843" i="1"/>
  <c r="BM844" i="1"/>
  <c r="BM845" i="1"/>
  <c r="BM846" i="1"/>
  <c r="BM852" i="1"/>
  <c r="BM853" i="1"/>
  <c r="BM854" i="1"/>
  <c r="BM855" i="1"/>
  <c r="BM863" i="1"/>
  <c r="BM864" i="1"/>
  <c r="BM865" i="1"/>
  <c r="BM868" i="1"/>
  <c r="BM869" i="1"/>
  <c r="BM870" i="1"/>
  <c r="BM872" i="1"/>
  <c r="BM875" i="1"/>
  <c r="BM877" i="1"/>
  <c r="BM878" i="1"/>
  <c r="BM880" i="1"/>
  <c r="BM881" i="1"/>
  <c r="BM882" i="1"/>
  <c r="BM883" i="1"/>
  <c r="BM884" i="1"/>
  <c r="BM885" i="1"/>
  <c r="BM886" i="1"/>
  <c r="BM890" i="1"/>
  <c r="BM891" i="1"/>
  <c r="BM892" i="1"/>
  <c r="BM894" i="1"/>
  <c r="BM895" i="1"/>
  <c r="BM897" i="1"/>
  <c r="BM899" i="1"/>
  <c r="BM901" i="1"/>
  <c r="BM902" i="1"/>
  <c r="BM903" i="1"/>
  <c r="BM905" i="1"/>
  <c r="BM907" i="1"/>
  <c r="BM908" i="1"/>
  <c r="BM909" i="1"/>
  <c r="BM912" i="1"/>
  <c r="BM913" i="1"/>
  <c r="BM914" i="1"/>
  <c r="BM918" i="1"/>
  <c r="BM919" i="1"/>
  <c r="BM920" i="1"/>
  <c r="BM921" i="1"/>
  <c r="BM922" i="1"/>
  <c r="BM923" i="1"/>
  <c r="BM924" i="1"/>
  <c r="BM925" i="1"/>
  <c r="BM926" i="1"/>
  <c r="BM928" i="1"/>
  <c r="BM932" i="1"/>
  <c r="BM933" i="1"/>
  <c r="BM934" i="1"/>
  <c r="BM935" i="1"/>
  <c r="BM938" i="1"/>
  <c r="BM939" i="1"/>
  <c r="BM940" i="1"/>
  <c r="BM942" i="1"/>
  <c r="BM943" i="1"/>
  <c r="BM947" i="1"/>
  <c r="BM948" i="1"/>
  <c r="BM949" i="1"/>
  <c r="BM950" i="1"/>
  <c r="BM952" i="1"/>
  <c r="BM954" i="1"/>
  <c r="BM955" i="1"/>
  <c r="BM956" i="1"/>
  <c r="BM957" i="1"/>
  <c r="BM958" i="1"/>
  <c r="BM960" i="1"/>
  <c r="BM962" i="1"/>
  <c r="BM963" i="1"/>
  <c r="BM964" i="1"/>
  <c r="BM966" i="1"/>
  <c r="BM967" i="1"/>
  <c r="BM968" i="1"/>
  <c r="BM972" i="1"/>
  <c r="BM973" i="1"/>
  <c r="BM974" i="1"/>
  <c r="BM975" i="1"/>
  <c r="BM978" i="1"/>
  <c r="BM979" i="1"/>
  <c r="BM980" i="1"/>
  <c r="BM982" i="1"/>
  <c r="BM984" i="1"/>
  <c r="BM985" i="1"/>
  <c r="BM986" i="1"/>
  <c r="BM988" i="1"/>
  <c r="BM989" i="1"/>
  <c r="BM990" i="1"/>
  <c r="BM993" i="1"/>
  <c r="BM994" i="1"/>
  <c r="BM995" i="1"/>
  <c r="BM996" i="1"/>
  <c r="BM999" i="1"/>
  <c r="BM1000" i="1"/>
  <c r="BM1003" i="1"/>
  <c r="BM1005" i="1"/>
  <c r="BM1006" i="1"/>
  <c r="BM1012" i="1"/>
  <c r="BM1014" i="1"/>
  <c r="BM1015" i="1"/>
  <c r="BM1017" i="1"/>
  <c r="BM1020" i="1"/>
  <c r="BM1021" i="1"/>
  <c r="BM1022" i="1"/>
  <c r="BM1023" i="1"/>
  <c r="BM1024" i="1"/>
  <c r="BM1025" i="1"/>
  <c r="BM1027" i="1"/>
  <c r="BM1028" i="1"/>
  <c r="BM1031" i="1"/>
  <c r="BM1032" i="1"/>
  <c r="BM1033" i="1"/>
  <c r="BM1036" i="1"/>
  <c r="BM1037" i="1"/>
  <c r="BM1039" i="1"/>
  <c r="BM1040" i="1"/>
  <c r="BM1043" i="1"/>
  <c r="BM1045" i="1"/>
  <c r="BM1046" i="1"/>
  <c r="BM1048" i="1"/>
  <c r="BM1049" i="1"/>
  <c r="BM1050" i="1"/>
  <c r="BM1051" i="1"/>
  <c r="BM1053" i="1"/>
  <c r="BM1056" i="1"/>
  <c r="BM1059" i="1"/>
  <c r="BM1060" i="1"/>
  <c r="BM1063" i="1"/>
  <c r="BM1064" i="1"/>
  <c r="BM1066" i="1"/>
  <c r="BM1067" i="1"/>
  <c r="BM1068" i="1"/>
  <c r="BM1069" i="1"/>
  <c r="BM1070" i="1"/>
  <c r="BM1073" i="1"/>
  <c r="BM1078" i="1"/>
  <c r="BM1079" i="1"/>
  <c r="BM1081" i="1"/>
  <c r="BM1082" i="1"/>
  <c r="BM1083" i="1"/>
  <c r="BM1084" i="1"/>
  <c r="BM1085" i="1"/>
  <c r="BM1086" i="1"/>
  <c r="BM1087" i="1"/>
  <c r="BM1088" i="1"/>
  <c r="BM1090" i="1"/>
  <c r="BM1091" i="1"/>
  <c r="BM1093" i="1"/>
  <c r="BM1094" i="1"/>
  <c r="BM1095" i="1"/>
  <c r="BM1096" i="1"/>
  <c r="BM1097" i="1"/>
  <c r="BM1102" i="1"/>
  <c r="BM1103" i="1"/>
  <c r="BM1106" i="1"/>
  <c r="BM1107" i="1"/>
  <c r="BM1109" i="1"/>
  <c r="BM1110" i="1"/>
  <c r="BM1111" i="1"/>
  <c r="BM1112" i="1"/>
  <c r="BM1115" i="1"/>
  <c r="BM1116" i="1"/>
  <c r="BM1117" i="1"/>
  <c r="BM1120" i="1"/>
  <c r="BM1121" i="1"/>
  <c r="BM1123" i="1"/>
  <c r="BM1124" i="1"/>
  <c r="BM1125" i="1"/>
  <c r="BM1127" i="1"/>
  <c r="BM1128" i="1"/>
  <c r="BM1129" i="1"/>
  <c r="BM1130" i="1"/>
  <c r="BM1132" i="1"/>
  <c r="BM1133" i="1"/>
  <c r="BM1134" i="1"/>
  <c r="BM1135" i="1"/>
  <c r="BM1138" i="1"/>
  <c r="BM1140" i="1"/>
  <c r="BM1144" i="1"/>
  <c r="BM1145" i="1"/>
  <c r="BM1146" i="1"/>
  <c r="BM1149" i="1"/>
  <c r="BM1150" i="1"/>
  <c r="BM1153" i="1"/>
  <c r="BM1154" i="1"/>
  <c r="BM1156" i="1"/>
  <c r="BM1157" i="1"/>
  <c r="BM1159" i="1"/>
  <c r="BM1160" i="1"/>
  <c r="BM1161" i="1"/>
  <c r="BM1163" i="1"/>
  <c r="BM1164" i="1"/>
  <c r="BM1166" i="1"/>
  <c r="BM1167" i="1"/>
  <c r="BM1168" i="1"/>
  <c r="BM1169" i="1"/>
  <c r="BM1170" i="1"/>
  <c r="BM1173" i="1"/>
  <c r="BM1175" i="1"/>
  <c r="BM1176" i="1"/>
  <c r="BM1177" i="1"/>
  <c r="BM1178" i="1"/>
  <c r="BM1179" i="1"/>
  <c r="BM1181" i="1"/>
  <c r="BM1182" i="1"/>
  <c r="BM1187" i="1"/>
  <c r="BM1188" i="1"/>
  <c r="BM1189" i="1"/>
  <c r="BM1190" i="1"/>
  <c r="BM1191" i="1"/>
  <c r="BM1193" i="1"/>
  <c r="BM1194" i="1"/>
  <c r="BM1195" i="1"/>
  <c r="BM1196" i="1"/>
  <c r="BM1198" i="1"/>
  <c r="BM1199" i="1"/>
  <c r="BM1201" i="1"/>
  <c r="BM1207" i="1"/>
  <c r="BM1208" i="1"/>
  <c r="BM1210" i="1"/>
  <c r="BM1213" i="1"/>
  <c r="BM1214" i="1"/>
  <c r="BM1216" i="1"/>
  <c r="BM1217" i="1"/>
  <c r="BM1218" i="1"/>
  <c r="BM1221" i="1"/>
  <c r="BM1222" i="1"/>
  <c r="BM1223" i="1"/>
  <c r="BM1224" i="1"/>
  <c r="BM1225" i="1"/>
  <c r="BM1227" i="1"/>
  <c r="BM1228" i="1"/>
  <c r="BM1229" i="1"/>
  <c r="BM1230" i="1"/>
  <c r="BM1231" i="1"/>
  <c r="BM1232" i="1"/>
  <c r="BM1234" i="1"/>
  <c r="BM1236" i="1"/>
  <c r="BM1238" i="1"/>
  <c r="BM1240" i="1"/>
  <c r="BM1241" i="1"/>
  <c r="BM1242" i="1"/>
  <c r="BM1243" i="1"/>
  <c r="BM1244" i="1"/>
  <c r="BM1245" i="1"/>
  <c r="BM1254" i="1"/>
  <c r="BM1255" i="1"/>
  <c r="BM1256" i="1"/>
  <c r="BM1258" i="1"/>
  <c r="BM1260" i="1"/>
  <c r="BM1261" i="1"/>
  <c r="BM1264" i="1"/>
  <c r="BM1265" i="1"/>
  <c r="BM1266" i="1"/>
  <c r="BM1267" i="1"/>
  <c r="BM1268" i="1"/>
  <c r="BM1270" i="1"/>
  <c r="BM1274" i="1"/>
  <c r="BM1275" i="1"/>
  <c r="BM1276" i="1"/>
  <c r="BM1279" i="1"/>
  <c r="BM1282" i="1"/>
  <c r="BM1283" i="1"/>
  <c r="BM1284" i="1"/>
  <c r="BM1286" i="1"/>
  <c r="BM1289" i="1"/>
  <c r="BM1291" i="1"/>
  <c r="BM1294" i="1"/>
  <c r="BM1296" i="1"/>
  <c r="BM1298" i="1"/>
  <c r="BM1300" i="1"/>
  <c r="BM1302" i="1"/>
  <c r="BM1303" i="1"/>
  <c r="BM1304" i="1"/>
  <c r="BM1307" i="1"/>
  <c r="BM1311" i="1"/>
  <c r="BM1312" i="1"/>
  <c r="BM1313" i="1"/>
  <c r="BM1315" i="1"/>
  <c r="BM1316" i="1"/>
  <c r="BM1317" i="1"/>
  <c r="BM1323" i="1"/>
  <c r="BM1324" i="1"/>
  <c r="BM1325" i="1"/>
  <c r="BM1327" i="1"/>
  <c r="BM1328" i="1"/>
  <c r="BM1329" i="1"/>
  <c r="BM1330" i="1"/>
  <c r="BM1334" i="1"/>
  <c r="BM1335" i="1"/>
  <c r="BM1337" i="1"/>
  <c r="BM1338" i="1"/>
  <c r="BM1339" i="1"/>
  <c r="BM1340" i="1"/>
  <c r="BM1343" i="1"/>
  <c r="BM1344" i="1"/>
  <c r="BM1345" i="1"/>
  <c r="BM1349" i="1"/>
  <c r="BM1350" i="1"/>
  <c r="BM1351" i="1"/>
  <c r="BM1353" i="1"/>
  <c r="BM1354" i="1"/>
  <c r="BM1355" i="1"/>
  <c r="BM1356" i="1"/>
  <c r="BM1357" i="1"/>
  <c r="BM1362" i="1"/>
  <c r="BM1365" i="1"/>
  <c r="BM1368" i="1"/>
  <c r="BM1370" i="1"/>
  <c r="BM1371" i="1"/>
  <c r="BM1372" i="1"/>
  <c r="BM1373" i="1"/>
  <c r="BM1374" i="1"/>
  <c r="BM1375" i="1"/>
  <c r="BM1377" i="1"/>
  <c r="BM1378" i="1"/>
  <c r="BM1379" i="1"/>
  <c r="BM1380" i="1"/>
  <c r="BM1384" i="1"/>
  <c r="BM1385" i="1"/>
  <c r="BM1386" i="1"/>
  <c r="BM1387" i="1"/>
  <c r="BM1388" i="1"/>
  <c r="BM1389" i="1"/>
  <c r="BM1390" i="1"/>
  <c r="BM1391" i="1"/>
  <c r="BM1392" i="1"/>
  <c r="BM1393" i="1"/>
  <c r="BM1394" i="1"/>
  <c r="BM1396" i="1"/>
  <c r="BM1397" i="1"/>
  <c r="BM1398" i="1"/>
  <c r="BM1399" i="1"/>
  <c r="BM1400" i="1"/>
  <c r="BM1401" i="1"/>
  <c r="BM1404" i="1"/>
  <c r="BM1406" i="1"/>
  <c r="BM1407" i="1"/>
  <c r="BM1409" i="1"/>
  <c r="BM1413" i="1"/>
  <c r="BM1414" i="1"/>
  <c r="BM1415" i="1"/>
  <c r="BM1416" i="1"/>
  <c r="BM1418" i="1"/>
  <c r="BM1419" i="1"/>
  <c r="BM1420" i="1"/>
  <c r="BM1422" i="1"/>
  <c r="BM1424" i="1"/>
  <c r="BM1425" i="1"/>
  <c r="BM1429" i="1"/>
  <c r="BM1432" i="1"/>
  <c r="BM1434" i="1"/>
  <c r="BM1435" i="1"/>
  <c r="BM1438" i="1"/>
  <c r="BM1440" i="1"/>
  <c r="BM1442" i="1"/>
  <c r="BM1443" i="1"/>
  <c r="BM1446" i="1"/>
  <c r="BM1447" i="1"/>
  <c r="BM1448" i="1"/>
  <c r="BM1449" i="1"/>
  <c r="BM1454" i="1"/>
  <c r="BM1458" i="1"/>
  <c r="BM1461" i="1"/>
  <c r="BM1462" i="1"/>
  <c r="BM1464" i="1"/>
  <c r="BM1468" i="1"/>
  <c r="BM1469" i="1"/>
  <c r="BM1470" i="1"/>
  <c r="BM1476" i="1"/>
  <c r="BM1479" i="1"/>
  <c r="BM1481" i="1"/>
  <c r="BM1486" i="1"/>
  <c r="BM1488" i="1"/>
  <c r="BM1489" i="1"/>
  <c r="BM1490" i="1"/>
  <c r="BM1492" i="1"/>
  <c r="BM1493" i="1"/>
  <c r="BM1494" i="1"/>
  <c r="BM1495" i="1"/>
  <c r="BM1497" i="1"/>
  <c r="BM1498" i="1"/>
  <c r="BM1499" i="1"/>
  <c r="BM1500" i="1"/>
  <c r="BM1505" i="1"/>
  <c r="BM1506" i="1"/>
  <c r="BM1507" i="1"/>
  <c r="BM1508" i="1"/>
  <c r="BM1509" i="1"/>
  <c r="BM1511" i="1"/>
  <c r="BM1512" i="1"/>
  <c r="BM1513" i="1"/>
  <c r="BM1516" i="1"/>
  <c r="BM1517" i="1"/>
  <c r="BM1518" i="1"/>
  <c r="BM1519" i="1"/>
  <c r="BM1523" i="1"/>
  <c r="BM1524" i="1"/>
  <c r="BM1528" i="1"/>
  <c r="BM1530" i="1"/>
  <c r="BM1532" i="1"/>
  <c r="BM1535" i="1"/>
  <c r="BM1536" i="1"/>
  <c r="BM1537" i="1"/>
  <c r="BM1538" i="1"/>
  <c r="BM1539" i="1"/>
  <c r="BM1540" i="1"/>
  <c r="BM1541" i="1"/>
  <c r="BM1542" i="1"/>
  <c r="BM1544" i="1"/>
  <c r="BM1545" i="1"/>
  <c r="BM1546" i="1"/>
  <c r="BM1547" i="1"/>
  <c r="BM1548" i="1"/>
  <c r="BM1549" i="1"/>
  <c r="BM1553" i="1"/>
  <c r="BM1554" i="1"/>
  <c r="BM1557" i="1"/>
  <c r="BM1558" i="1"/>
  <c r="BM1561" i="1"/>
  <c r="BM1563" i="1"/>
  <c r="BM1567" i="1"/>
  <c r="BM1569" i="1"/>
  <c r="BM1570" i="1"/>
  <c r="BM1573" i="1"/>
  <c r="BM1575" i="1"/>
  <c r="BM1576" i="1"/>
  <c r="BM1579" i="1"/>
  <c r="BM1580" i="1"/>
  <c r="BM1581" i="1"/>
  <c r="BM1582" i="1"/>
  <c r="BM1586" i="1"/>
  <c r="BM1591" i="1"/>
  <c r="BM1593" i="1"/>
  <c r="BM1594" i="1"/>
  <c r="BM1595" i="1"/>
  <c r="BM1596" i="1"/>
  <c r="BM1598" i="1"/>
  <c r="BM1599" i="1"/>
  <c r="BM1600" i="1"/>
  <c r="BM1601" i="1"/>
  <c r="BM1602" i="1"/>
  <c r="BM1605" i="1"/>
  <c r="BM1607" i="1"/>
  <c r="BM1609" i="1"/>
  <c r="BM1610" i="1"/>
  <c r="BM1611" i="1"/>
  <c r="BM1614" i="1"/>
  <c r="BM1615" i="1"/>
  <c r="BM1617" i="1"/>
  <c r="BM1618" i="1"/>
  <c r="BM1619" i="1"/>
  <c r="BM1621" i="1"/>
  <c r="BM1624" i="1"/>
  <c r="BM1625" i="1"/>
  <c r="BM1626" i="1"/>
  <c r="BM1627" i="1"/>
  <c r="BM1628" i="1"/>
  <c r="BM1629" i="1"/>
  <c r="BM1630" i="1"/>
  <c r="BM1631" i="1"/>
  <c r="BM1632" i="1"/>
  <c r="BM1634" i="1"/>
  <c r="BM1635" i="1"/>
  <c r="BM1639" i="1"/>
  <c r="BM1640" i="1"/>
  <c r="BM1641" i="1"/>
  <c r="BM1642" i="1"/>
  <c r="BM1644" i="1"/>
  <c r="BM1649" i="1"/>
  <c r="BM1653" i="1"/>
  <c r="BM1654" i="1"/>
  <c r="BM1655" i="1"/>
  <c r="BM1657" i="1"/>
  <c r="BM1659" i="1"/>
  <c r="BM1662" i="1"/>
  <c r="BM1663" i="1"/>
  <c r="BM1665" i="1"/>
  <c r="BM1667" i="1"/>
  <c r="BM1668" i="1"/>
  <c r="BM1671" i="1"/>
  <c r="BM1672" i="1"/>
  <c r="BM1674" i="1"/>
  <c r="BM1677" i="1"/>
  <c r="BM1678" i="1"/>
  <c r="BM1681" i="1"/>
  <c r="BM1684" i="1"/>
  <c r="BM1686" i="1"/>
  <c r="BM1688" i="1"/>
  <c r="BM1690" i="1"/>
  <c r="BM1691" i="1"/>
  <c r="BM1692" i="1"/>
  <c r="BM1694" i="1"/>
  <c r="BM1698" i="1"/>
  <c r="BM1703" i="1"/>
  <c r="BM1704" i="1"/>
  <c r="BM1705" i="1"/>
  <c r="BM1707" i="1"/>
  <c r="BM1709" i="1"/>
  <c r="BM1710" i="1"/>
  <c r="BM1711" i="1"/>
  <c r="BM1714" i="1"/>
  <c r="BM1715" i="1"/>
  <c r="BM1716" i="1"/>
  <c r="BM1717" i="1"/>
  <c r="BM1719" i="1"/>
  <c r="BM1721" i="1"/>
  <c r="BM1722" i="1"/>
  <c r="BM1724" i="1"/>
  <c r="BM1729" i="1"/>
  <c r="BM1730" i="1"/>
  <c r="BM1732" i="1"/>
  <c r="BM1734" i="1"/>
  <c r="BM1737" i="1"/>
  <c r="BM1740" i="1"/>
  <c r="BM1742" i="1"/>
  <c r="BM1743" i="1"/>
  <c r="BM1744" i="1"/>
  <c r="BM1746" i="1"/>
  <c r="BM1749" i="1"/>
  <c r="BM1752" i="1"/>
  <c r="BM1753" i="1"/>
  <c r="BM1755" i="1"/>
  <c r="BM1756" i="1"/>
  <c r="BM1760" i="1"/>
  <c r="BM1761" i="1"/>
  <c r="BM1762" i="1"/>
  <c r="BM1764" i="1"/>
  <c r="BM1766" i="1"/>
  <c r="BM1767" i="1"/>
  <c r="BM1771" i="1"/>
  <c r="BM1773" i="1"/>
  <c r="BM1774" i="1"/>
  <c r="BM1776" i="1"/>
  <c r="BM1777" i="1"/>
  <c r="BM1778" i="1"/>
  <c r="BM1779" i="1"/>
  <c r="BM1780" i="1"/>
  <c r="BM1781" i="1"/>
  <c r="BM1782" i="1"/>
  <c r="BM1783" i="1"/>
  <c r="BM1785" i="1"/>
  <c r="BM1786" i="1"/>
  <c r="BM1787" i="1"/>
  <c r="BM1788" i="1"/>
  <c r="BM1790" i="1"/>
  <c r="BM1791" i="1"/>
  <c r="BM1792" i="1"/>
  <c r="BM1794" i="1"/>
  <c r="BM1795" i="1"/>
  <c r="BM1796" i="1"/>
  <c r="BM1797" i="1"/>
  <c r="BM1799" i="1"/>
  <c r="BM1800" i="1"/>
  <c r="BM1801" i="1"/>
  <c r="BM1803" i="1"/>
  <c r="BM1804" i="1"/>
  <c r="BM1805" i="1"/>
  <c r="BM1809" i="1"/>
  <c r="BM1811" i="1"/>
  <c r="BM1814" i="1"/>
  <c r="BM1820" i="1"/>
  <c r="BM1821" i="1"/>
  <c r="BM1822" i="1"/>
  <c r="BM1823" i="1"/>
  <c r="BM1826" i="1"/>
  <c r="BM1827" i="1"/>
  <c r="BM1830" i="1"/>
  <c r="BM1833" i="1"/>
  <c r="BM1836" i="1"/>
  <c r="BM1838" i="1"/>
  <c r="BM1840" i="1"/>
  <c r="BM1841" i="1"/>
  <c r="BM1842" i="1"/>
  <c r="BM1844" i="1"/>
  <c r="BM1846" i="1"/>
  <c r="BM1847" i="1"/>
  <c r="BM1848" i="1"/>
  <c r="BM1849" i="1"/>
  <c r="BM1850" i="1"/>
  <c r="BM1853" i="1"/>
  <c r="BM1854" i="1"/>
  <c r="BM1859" i="1"/>
  <c r="BM1861" i="1"/>
  <c r="BM1864" i="1"/>
  <c r="BM1869" i="1"/>
  <c r="BM1870" i="1"/>
  <c r="BM1871" i="1"/>
  <c r="BM1874" i="1"/>
  <c r="BM1875" i="1"/>
  <c r="BM1877" i="1"/>
  <c r="BM1879" i="1"/>
  <c r="BM1880" i="1"/>
  <c r="BM1881" i="1"/>
  <c r="BM1882" i="1"/>
  <c r="BM1886" i="1"/>
  <c r="BM1887" i="1"/>
  <c r="BM1889" i="1"/>
  <c r="BM1891" i="1"/>
  <c r="BM1892" i="1"/>
  <c r="BM1893" i="1"/>
  <c r="BM1897" i="1"/>
  <c r="BM1899" i="1"/>
  <c r="BM1901" i="1"/>
  <c r="BM1902" i="1"/>
  <c r="BM1904" i="1"/>
  <c r="BM1909" i="1"/>
  <c r="BM1913" i="1"/>
  <c r="BM1914" i="1"/>
  <c r="BM1915" i="1"/>
  <c r="BM1916" i="1"/>
  <c r="BM1917" i="1"/>
  <c r="BM1918" i="1"/>
  <c r="BM1919" i="1"/>
  <c r="BM1920" i="1"/>
  <c r="BM1923" i="1"/>
  <c r="BM1924" i="1"/>
  <c r="BM1925" i="1"/>
  <c r="BM1926" i="1"/>
  <c r="BM1927" i="1"/>
  <c r="BM1930" i="1"/>
  <c r="BM1931" i="1"/>
  <c r="BM1933" i="1"/>
  <c r="BM1937" i="1"/>
  <c r="BM1938" i="1"/>
  <c r="BM1939" i="1"/>
  <c r="BM1941" i="1"/>
  <c r="BM1942" i="1"/>
  <c r="BM1943" i="1"/>
  <c r="BM1944" i="1"/>
  <c r="BM1945" i="1"/>
  <c r="BM1946" i="1"/>
  <c r="BM1947" i="1"/>
  <c r="BM1948" i="1"/>
  <c r="BM1949" i="1"/>
  <c r="BM1950" i="1"/>
  <c r="BM1953" i="1"/>
  <c r="BM1954" i="1"/>
  <c r="BM1955" i="1"/>
  <c r="BM1956" i="1"/>
  <c r="BM1957" i="1"/>
  <c r="BM1958" i="1"/>
  <c r="BM1960" i="1"/>
  <c r="BM1962" i="1"/>
  <c r="BM1964" i="1"/>
  <c r="BM1965" i="1"/>
  <c r="BM1969" i="1"/>
  <c r="BM1970" i="1"/>
  <c r="BM1971" i="1"/>
  <c r="BM1975" i="1"/>
  <c r="BM1982" i="1"/>
  <c r="BM1985" i="1"/>
  <c r="BM1986" i="1"/>
  <c r="BM1987" i="1"/>
  <c r="BM1990" i="1"/>
  <c r="BM1991" i="1"/>
  <c r="BM1992" i="1"/>
  <c r="BM1995" i="1"/>
  <c r="BM1996" i="1"/>
  <c r="BM1997" i="1"/>
  <c r="BM1999" i="1"/>
  <c r="BM2000" i="1"/>
  <c r="BM2001" i="1"/>
  <c r="BM2003" i="1"/>
  <c r="BM2005" i="1"/>
  <c r="BM2007" i="1"/>
  <c r="BM2009" i="1"/>
  <c r="BM2010" i="1"/>
  <c r="BM2011" i="1"/>
  <c r="BM2013" i="1"/>
  <c r="BM2014" i="1"/>
  <c r="BM2015" i="1"/>
  <c r="BM2018" i="1"/>
  <c r="BM2019" i="1"/>
  <c r="BM2020" i="1"/>
  <c r="BM2021" i="1"/>
  <c r="BM2022" i="1"/>
  <c r="BM2023" i="1"/>
  <c r="BM2024" i="1"/>
  <c r="BM2028" i="1"/>
  <c r="BM2029" i="1"/>
  <c r="BM2032" i="1"/>
  <c r="BM2035" i="1"/>
  <c r="BM2038" i="1"/>
  <c r="BM2039" i="1"/>
  <c r="BM2040" i="1"/>
  <c r="BM2041" i="1"/>
  <c r="BM2042" i="1"/>
  <c r="BM2044" i="1"/>
  <c r="BM2049" i="1"/>
  <c r="BM2050" i="1"/>
  <c r="BM2051" i="1"/>
  <c r="BM2053" i="1"/>
  <c r="BM2056" i="1"/>
  <c r="BM2057" i="1"/>
  <c r="BM2058" i="1"/>
  <c r="BM2060" i="1"/>
  <c r="BM2061" i="1"/>
  <c r="BM2063" i="1"/>
  <c r="BM2065" i="1"/>
  <c r="BM2067" i="1"/>
  <c r="BM2068" i="1"/>
  <c r="BM2069" i="1"/>
  <c r="BM2070" i="1"/>
  <c r="BM2071" i="1"/>
  <c r="BM2074" i="1"/>
  <c r="BM2076" i="1"/>
  <c r="BM2077" i="1"/>
  <c r="BM2083" i="1"/>
  <c r="BM2084" i="1"/>
  <c r="BM2089" i="1"/>
  <c r="BM2090" i="1"/>
  <c r="BM2092" i="1"/>
  <c r="BM2093" i="1"/>
  <c r="BM2094" i="1"/>
  <c r="BM2096" i="1"/>
  <c r="BM2098" i="1"/>
  <c r="BM2099" i="1"/>
  <c r="BM2100" i="1"/>
  <c r="BM2101" i="1"/>
  <c r="BM2104" i="1"/>
  <c r="BM2107" i="1"/>
  <c r="BM2108" i="1"/>
  <c r="BM2109" i="1"/>
  <c r="BM2110" i="1"/>
  <c r="BM2111" i="1"/>
  <c r="BM2112" i="1"/>
  <c r="BM2113" i="1"/>
  <c r="BM2114" i="1"/>
  <c r="BM2115" i="1"/>
  <c r="BM2116" i="1"/>
  <c r="BM2118" i="1"/>
  <c r="BM2119" i="1"/>
  <c r="BM2122" i="1"/>
  <c r="BM2126" i="1"/>
  <c r="BM2127" i="1"/>
  <c r="BM2128" i="1"/>
  <c r="BM2129" i="1"/>
  <c r="BM2133" i="1"/>
  <c r="BM2135" i="1"/>
  <c r="BM2136" i="1"/>
  <c r="BM2139" i="1"/>
  <c r="BM2140" i="1"/>
  <c r="BM2141" i="1"/>
  <c r="BM2143" i="1"/>
  <c r="BM2145" i="1"/>
  <c r="BM2147" i="1"/>
  <c r="BM2148" i="1"/>
  <c r="BM2149" i="1"/>
  <c r="BM2151" i="1"/>
  <c r="BM2152" i="1"/>
  <c r="BM2153" i="1"/>
  <c r="BM2155" i="1"/>
  <c r="BM2156" i="1"/>
  <c r="BM2158" i="1"/>
  <c r="BM2161" i="1"/>
  <c r="BM2162" i="1"/>
  <c r="BM2164" i="1"/>
  <c r="BM2165" i="1"/>
  <c r="BM2166" i="1"/>
  <c r="BM2167" i="1"/>
  <c r="BM2168" i="1"/>
  <c r="BM2169" i="1"/>
  <c r="BM2170" i="1"/>
  <c r="BM2171" i="1"/>
  <c r="BM2172" i="1"/>
  <c r="BM2173" i="1"/>
  <c r="BM2179" i="1"/>
  <c r="BM2181" i="1"/>
  <c r="BM2182" i="1"/>
  <c r="BM2183" i="1"/>
  <c r="BM2184" i="1"/>
  <c r="BM2185" i="1"/>
  <c r="BM2186" i="1"/>
  <c r="BM2188" i="1"/>
  <c r="BM2190" i="1"/>
  <c r="BM2191" i="1"/>
  <c r="BM2193" i="1"/>
  <c r="BM2195" i="1"/>
  <c r="BM2196" i="1"/>
  <c r="BM2197" i="1"/>
  <c r="BM2199" i="1"/>
  <c r="BM2200" i="1"/>
  <c r="BM2201" i="1"/>
  <c r="BM2203" i="1"/>
  <c r="BM2207" i="1"/>
  <c r="BM2208" i="1"/>
  <c r="BM2212" i="1"/>
  <c r="BM2214" i="1"/>
  <c r="BM2215" i="1"/>
  <c r="BM2216" i="1"/>
  <c r="BM2219" i="1"/>
  <c r="BM2221" i="1"/>
  <c r="BM2222" i="1"/>
  <c r="BM2223" i="1"/>
  <c r="BM2226" i="1"/>
  <c r="BM2227" i="1"/>
  <c r="BM2228" i="1"/>
  <c r="BM2230" i="1"/>
  <c r="BM2233" i="1"/>
  <c r="BM2235" i="1"/>
  <c r="BM2238" i="1"/>
  <c r="BM2239" i="1"/>
  <c r="BM2241" i="1"/>
  <c r="BM2246" i="1"/>
  <c r="BM2249" i="1"/>
  <c r="BM2251" i="1"/>
  <c r="BM2253" i="1"/>
  <c r="BM2254" i="1"/>
  <c r="BM2255" i="1"/>
  <c r="BM2257" i="1"/>
  <c r="BM2263" i="1"/>
  <c r="BM2264" i="1"/>
  <c r="BM2266" i="1"/>
  <c r="BM2267" i="1"/>
  <c r="BM2268" i="1"/>
  <c r="BM2269" i="1"/>
  <c r="BM2271" i="1"/>
  <c r="BM2275" i="1"/>
  <c r="BM2277" i="1"/>
  <c r="BM2280" i="1"/>
  <c r="BM2281" i="1"/>
  <c r="BM2282" i="1"/>
  <c r="BM2283" i="1"/>
  <c r="BM2284" i="1"/>
  <c r="BM2286" i="1"/>
  <c r="BM2287" i="1"/>
  <c r="BM2288" i="1"/>
  <c r="BM2289" i="1"/>
  <c r="BM2290" i="1"/>
  <c r="BM2292" i="1"/>
  <c r="BM2294" i="1"/>
  <c r="BM2295" i="1"/>
  <c r="BM2298" i="1"/>
  <c r="BM2299" i="1"/>
  <c r="BM2301" i="1"/>
  <c r="BM2302" i="1"/>
  <c r="BM2304" i="1"/>
  <c r="BM2307" i="1"/>
  <c r="BM2314" i="1"/>
  <c r="BM2315" i="1"/>
  <c r="BM2316" i="1"/>
  <c r="BM2317" i="1"/>
  <c r="BM2319" i="1"/>
  <c r="BM2323" i="1"/>
  <c r="BM2324" i="1"/>
  <c r="BM2325" i="1"/>
  <c r="BM2326" i="1"/>
  <c r="BM2330" i="1"/>
  <c r="BM2332" i="1"/>
  <c r="BM2334" i="1"/>
  <c r="BM2335" i="1"/>
  <c r="BM2336" i="1"/>
  <c r="BM2337" i="1"/>
  <c r="BM2340" i="1"/>
  <c r="BM2342" i="1"/>
  <c r="BM2345" i="1"/>
  <c r="BM2346" i="1"/>
  <c r="BM2347" i="1"/>
  <c r="BM2348" i="1"/>
  <c r="BM2349" i="1"/>
  <c r="BM2351" i="1"/>
  <c r="BM2352" i="1"/>
  <c r="BM2353" i="1"/>
  <c r="BM2354" i="1"/>
  <c r="BM2355" i="1"/>
  <c r="BM2357" i="1"/>
  <c r="BM2358" i="1"/>
  <c r="BM2360" i="1"/>
  <c r="BM2362" i="1"/>
  <c r="BM2365" i="1"/>
  <c r="BM2366" i="1"/>
  <c r="BM2367" i="1"/>
  <c r="BM2368" i="1"/>
  <c r="BM2369" i="1"/>
  <c r="BM2371" i="1"/>
  <c r="BM2375" i="1"/>
  <c r="BM2376" i="1"/>
  <c r="BM2377" i="1"/>
  <c r="BM2378" i="1"/>
  <c r="BM2380" i="1"/>
  <c r="BM2381" i="1"/>
  <c r="BM2382" i="1"/>
  <c r="BM2383" i="1"/>
  <c r="BM2384" i="1"/>
  <c r="BM2386" i="1"/>
  <c r="BM2387" i="1"/>
  <c r="BM2389" i="1"/>
  <c r="BM2391" i="1"/>
  <c r="BM2393" i="1"/>
  <c r="BM2394" i="1"/>
  <c r="BM2395" i="1"/>
  <c r="BM2396" i="1"/>
  <c r="BM2398" i="1"/>
  <c r="BM2399" i="1"/>
  <c r="BM2401" i="1"/>
  <c r="BM2403" i="1"/>
  <c r="BM2404" i="1"/>
  <c r="BM2405" i="1"/>
  <c r="BM2406" i="1"/>
  <c r="BM2408" i="1"/>
  <c r="BM2409" i="1"/>
  <c r="BM2410" i="1"/>
  <c r="BM2411" i="1"/>
  <c r="BM2412" i="1"/>
  <c r="BM2413" i="1"/>
  <c r="BM2414" i="1"/>
  <c r="BM2415" i="1"/>
  <c r="BM2416" i="1"/>
  <c r="BM2418" i="1"/>
  <c r="BM2421" i="1"/>
  <c r="BM2423" i="1"/>
  <c r="BM2424" i="1"/>
  <c r="BM2426" i="1"/>
  <c r="BM2428" i="1"/>
  <c r="BM2431" i="1"/>
  <c r="BM2432" i="1"/>
  <c r="BM2433" i="1"/>
  <c r="BM2434" i="1"/>
  <c r="BM2436" i="1"/>
  <c r="BM2437" i="1"/>
  <c r="BM2438" i="1"/>
  <c r="BM2439" i="1"/>
  <c r="BM2441" i="1"/>
  <c r="BM2442" i="1"/>
  <c r="BM2443" i="1"/>
  <c r="BM2444" i="1"/>
  <c r="BM2445" i="1"/>
  <c r="BM2449" i="1"/>
  <c r="BM2450" i="1"/>
  <c r="BM2452" i="1"/>
  <c r="BM2454" i="1"/>
  <c r="BM2456" i="1"/>
  <c r="BM2457" i="1"/>
  <c r="BM2458" i="1"/>
  <c r="BM2459" i="1"/>
  <c r="BM2462" i="1"/>
  <c r="BM2464" i="1"/>
  <c r="BM2467" i="1"/>
  <c r="BM2468" i="1"/>
  <c r="BM2469" i="1"/>
  <c r="BM2472" i="1"/>
  <c r="BM2475" i="1"/>
  <c r="BM2476" i="1"/>
  <c r="BM2477" i="1"/>
  <c r="BM2478" i="1"/>
  <c r="BM2479" i="1"/>
  <c r="BM2480" i="1"/>
  <c r="BM2481" i="1"/>
  <c r="BM2482" i="1"/>
  <c r="BM2483" i="1"/>
  <c r="BM2484" i="1"/>
  <c r="BM2486" i="1"/>
  <c r="BM2487" i="1"/>
  <c r="BM2488" i="1"/>
  <c r="BM2489" i="1"/>
  <c r="BM2490" i="1"/>
  <c r="BM2494" i="1"/>
  <c r="BM2496" i="1"/>
  <c r="BM2497" i="1"/>
  <c r="BM2498" i="1"/>
  <c r="BM2499" i="1"/>
  <c r="BM2500" i="1"/>
  <c r="BM2502" i="1"/>
  <c r="BM2505" i="1"/>
  <c r="BM2506" i="1"/>
  <c r="BM2507" i="1"/>
  <c r="BM2508" i="1"/>
  <c r="BM2509" i="1"/>
  <c r="BM2511" i="1"/>
  <c r="BM2512" i="1"/>
  <c r="BM2513" i="1"/>
  <c r="BM2515" i="1"/>
  <c r="BM2516" i="1"/>
  <c r="BM2517" i="1"/>
  <c r="BM2518" i="1"/>
  <c r="BM2520" i="1"/>
  <c r="BM2521" i="1"/>
  <c r="BM2523" i="1"/>
  <c r="BM2526" i="1"/>
  <c r="BM2529" i="1"/>
  <c r="BM2530" i="1"/>
  <c r="BM2531" i="1"/>
  <c r="BM2534" i="1"/>
  <c r="BM2538" i="1"/>
  <c r="BM2539" i="1"/>
  <c r="BM2540" i="1"/>
  <c r="BM2541" i="1"/>
  <c r="BM2543" i="1"/>
  <c r="BM2544" i="1"/>
  <c r="BM2546" i="1"/>
  <c r="BM2549" i="1"/>
  <c r="BM2550" i="1"/>
  <c r="BM2552" i="1"/>
  <c r="BM2553" i="1"/>
  <c r="BM2557" i="1"/>
  <c r="BM2560" i="1"/>
  <c r="BM2561" i="1"/>
  <c r="BM2566" i="1"/>
  <c r="BM2567" i="1"/>
  <c r="BM2568" i="1"/>
  <c r="BM2569" i="1"/>
  <c r="BM2576" i="1"/>
  <c r="BM2578" i="1"/>
  <c r="BM2580" i="1"/>
  <c r="BM2585" i="1"/>
  <c r="BM2586" i="1"/>
  <c r="BM2589" i="1"/>
  <c r="BM2591" i="1"/>
  <c r="BM2593" i="1"/>
  <c r="BM2596" i="1"/>
  <c r="BM2598" i="1"/>
  <c r="BM2599" i="1"/>
  <c r="BM2607" i="1"/>
  <c r="BM2610" i="1"/>
  <c r="BM2615" i="1"/>
  <c r="BM2616" i="1"/>
  <c r="BM2617" i="1"/>
  <c r="BM2620" i="1"/>
  <c r="BM2626" i="1"/>
  <c r="BM2627" i="1"/>
  <c r="BM2630" i="1"/>
  <c r="BM2631" i="1"/>
  <c r="BM2632" i="1"/>
  <c r="BM2633" i="1"/>
  <c r="BM2636" i="1"/>
  <c r="BM2638" i="1"/>
  <c r="BM2641" i="1"/>
  <c r="BM2642" i="1"/>
  <c r="BM2643" i="1"/>
  <c r="BM2644" i="1"/>
  <c r="BM2649" i="1"/>
  <c r="BM2650" i="1"/>
  <c r="BM2659" i="1"/>
  <c r="BM2663" i="1"/>
  <c r="BM2664" i="1"/>
  <c r="BM2668" i="1"/>
  <c r="BM2669" i="1"/>
  <c r="BM2672" i="1"/>
  <c r="BM2674" i="1"/>
  <c r="BM2678" i="1"/>
  <c r="BM2679" i="1"/>
  <c r="BM2681" i="1"/>
  <c r="BM2683" i="1"/>
  <c r="BM2684" i="1"/>
  <c r="BM2685" i="1"/>
  <c r="BM2686" i="1"/>
  <c r="BM2691" i="1"/>
  <c r="BM2692" i="1"/>
  <c r="BM2696" i="1"/>
  <c r="BM2698" i="1"/>
  <c r="BM2699" i="1"/>
  <c r="BM2700" i="1"/>
  <c r="BM2701" i="1"/>
  <c r="BM2702" i="1"/>
  <c r="BM2703" i="1"/>
  <c r="BM2704" i="1"/>
  <c r="BM2705" i="1"/>
  <c r="BM2708" i="1"/>
  <c r="BM2710" i="1"/>
  <c r="BM2712" i="1"/>
  <c r="BM2714" i="1"/>
  <c r="BM2716" i="1"/>
  <c r="BM2717" i="1"/>
  <c r="BM2720" i="1"/>
  <c r="BM2723" i="1"/>
  <c r="BM2724" i="1"/>
  <c r="BM2726" i="1"/>
  <c r="BM2727" i="1"/>
  <c r="BM2728" i="1"/>
  <c r="BM2729" i="1"/>
  <c r="BM2732" i="1"/>
  <c r="BM2734" i="1"/>
  <c r="BM2738" i="1"/>
  <c r="BM2740" i="1"/>
  <c r="BM2741" i="1"/>
  <c r="BM2742" i="1"/>
  <c r="BM2743" i="1"/>
  <c r="BM2744" i="1"/>
  <c r="BM2747" i="1"/>
  <c r="BM2750" i="1"/>
  <c r="BM2754" i="1"/>
  <c r="BM2755" i="1"/>
  <c r="BM2760" i="1"/>
  <c r="BM2761" i="1"/>
  <c r="BM2762" i="1"/>
  <c r="BM2763" i="1"/>
  <c r="BM2765" i="1"/>
  <c r="BM2769" i="1"/>
  <c r="BM2774" i="1"/>
  <c r="BM2777" i="1"/>
  <c r="BM2778" i="1"/>
  <c r="BM2780" i="1"/>
  <c r="BM2783" i="1"/>
  <c r="BM2784" i="1"/>
  <c r="BM2789" i="1"/>
  <c r="BM2790" i="1"/>
  <c r="BM2791" i="1"/>
  <c r="BM2793" i="1"/>
  <c r="BM2795" i="1"/>
  <c r="BM2798" i="1"/>
  <c r="BM2801" i="1"/>
  <c r="BM2802" i="1"/>
  <c r="BM2804" i="1"/>
  <c r="BM2806" i="1"/>
  <c r="BM2807" i="1"/>
  <c r="BM2808" i="1"/>
  <c r="BM2811" i="1"/>
  <c r="BM2813" i="1"/>
  <c r="BM2817" i="1"/>
  <c r="BM2822" i="1"/>
  <c r="BM2824" i="1"/>
  <c r="BM2827" i="1"/>
  <c r="BM2832" i="1"/>
  <c r="BM2833" i="1"/>
  <c r="BM2834" i="1"/>
  <c r="BM2841" i="1"/>
  <c r="BM2842" i="1"/>
  <c r="BM2843" i="1"/>
  <c r="BM2845" i="1"/>
  <c r="BM2847" i="1"/>
  <c r="BM2848" i="1"/>
  <c r="BM2851" i="1"/>
  <c r="BM2852" i="1"/>
  <c r="BM2853" i="1"/>
  <c r="BM2854" i="1"/>
  <c r="BM2855" i="1"/>
  <c r="BM2860" i="1"/>
  <c r="BM2862" i="1"/>
  <c r="BM2863" i="1"/>
  <c r="BM2864" i="1"/>
  <c r="BM2868" i="1"/>
  <c r="BM2869" i="1"/>
  <c r="BM2870" i="1"/>
  <c r="BM2875" i="1"/>
  <c r="BM2877" i="1"/>
  <c r="BM2878" i="1"/>
  <c r="BM2880" i="1"/>
  <c r="BM2882" i="1"/>
  <c r="BM2888" i="1"/>
  <c r="BM2891" i="1"/>
  <c r="BM2893" i="1"/>
  <c r="BM2896" i="1"/>
  <c r="BM2899" i="1"/>
  <c r="BM2900" i="1"/>
  <c r="BM2902" i="1"/>
  <c r="BM2903" i="1"/>
  <c r="BM2906" i="1"/>
  <c r="BM2907" i="1"/>
  <c r="BM2912" i="1"/>
  <c r="BM2913" i="1"/>
  <c r="BM2914" i="1"/>
  <c r="BM2915" i="1"/>
  <c r="BM2918" i="1"/>
  <c r="BM2919" i="1"/>
  <c r="BM2920" i="1"/>
  <c r="BM2921" i="1"/>
  <c r="BM2924" i="1"/>
  <c r="BM2929" i="1"/>
  <c r="BM2931" i="1"/>
  <c r="BM2933" i="1"/>
  <c r="BM2937" i="1"/>
  <c r="BM2938" i="1"/>
  <c r="BM2939" i="1"/>
  <c r="BM2943" i="1"/>
  <c r="BM2944" i="1"/>
  <c r="BM2945" i="1"/>
  <c r="BM2946" i="1"/>
  <c r="BM2947" i="1"/>
  <c r="BM2950" i="1"/>
  <c r="BM2951" i="1"/>
  <c r="BM2953" i="1"/>
  <c r="BM2955" i="1"/>
  <c r="BM2958" i="1"/>
  <c r="BM2960" i="1"/>
  <c r="BM2961" i="1"/>
  <c r="BM2962" i="1"/>
  <c r="BM2963" i="1"/>
  <c r="BM2964" i="1"/>
  <c r="BM2965" i="1"/>
  <c r="BM2967" i="1"/>
  <c r="BM2968" i="1"/>
  <c r="BM2969" i="1"/>
  <c r="BM2972" i="1"/>
  <c r="BM2974" i="1"/>
  <c r="BM2975" i="1"/>
  <c r="BM2980" i="1"/>
  <c r="BM2983" i="1"/>
  <c r="BM2984" i="1"/>
  <c r="BM2986" i="1"/>
  <c r="BM2987" i="1"/>
  <c r="BM2988" i="1"/>
  <c r="BM2989" i="1"/>
  <c r="BM2992" i="1"/>
  <c r="BM2994" i="1"/>
  <c r="BM2996" i="1"/>
  <c r="BM2997" i="1"/>
  <c r="BM2998" i="1"/>
  <c r="BM2999" i="1"/>
  <c r="BM3000" i="1"/>
  <c r="BM3002" i="1"/>
  <c r="BM3003" i="1"/>
  <c r="BM3004" i="1"/>
  <c r="BM3006" i="1"/>
  <c r="BM3008" i="1"/>
  <c r="BM3009" i="1"/>
  <c r="BM3011" i="1"/>
  <c r="BM3017" i="1"/>
  <c r="BM3019" i="1"/>
  <c r="BM3023" i="1"/>
  <c r="BM3025" i="1"/>
  <c r="BM3027" i="1"/>
  <c r="BM3028" i="1"/>
  <c r="BM3029" i="1"/>
  <c r="BM3031" i="1"/>
  <c r="BM3032" i="1"/>
  <c r="BM3037" i="1"/>
  <c r="BM3038" i="1"/>
  <c r="BM3039" i="1"/>
  <c r="BM3040" i="1"/>
  <c r="BM3043" i="1"/>
  <c r="BM3044" i="1"/>
  <c r="BM3045" i="1"/>
  <c r="BM3046" i="1"/>
  <c r="BM3048" i="1"/>
  <c r="BM3051" i="1"/>
  <c r="BM3054" i="1"/>
  <c r="BM3056" i="1"/>
  <c r="BM3058" i="1"/>
  <c r="BM3061" i="1"/>
  <c r="BM3063" i="1"/>
  <c r="BM3064" i="1"/>
  <c r="BM3066" i="1"/>
  <c r="BM3067" i="1"/>
  <c r="BM3072" i="1"/>
  <c r="BM3073" i="1"/>
  <c r="BM3075" i="1"/>
  <c r="BM3079" i="1"/>
  <c r="BM3083" i="1"/>
  <c r="BM3093" i="1"/>
  <c r="BM3094" i="1"/>
  <c r="BM3095" i="1"/>
  <c r="BM3096" i="1"/>
  <c r="BM3097" i="1"/>
  <c r="BM3098" i="1"/>
  <c r="BM3099" i="1"/>
  <c r="BM3102" i="1"/>
  <c r="BM3105" i="1"/>
  <c r="BM3107" i="1"/>
  <c r="BM3117" i="1"/>
  <c r="BM3121" i="1"/>
  <c r="BM3124" i="1"/>
  <c r="BM3131" i="1"/>
  <c r="BM3136" i="1"/>
  <c r="BM3137" i="1"/>
  <c r="BM3139" i="1"/>
  <c r="BM3141" i="1"/>
  <c r="BM3142" i="1"/>
  <c r="BM3143" i="1"/>
  <c r="BM3144" i="1"/>
  <c r="BM3145" i="1"/>
  <c r="BM3147" i="1"/>
  <c r="BM3150" i="1"/>
  <c r="BM3151" i="1"/>
  <c r="BM3152" i="1"/>
  <c r="BM3153" i="1"/>
  <c r="BM3154" i="1"/>
  <c r="BM3158" i="1"/>
  <c r="BM3159" i="1"/>
  <c r="BM3160" i="1"/>
  <c r="BM3164" i="1"/>
  <c r="BM3166" i="1"/>
  <c r="BM3167" i="1"/>
  <c r="BM3169" i="1"/>
  <c r="BM3174" i="1"/>
  <c r="BM3180" i="1"/>
  <c r="BM3181" i="1"/>
  <c r="BM3182" i="1"/>
  <c r="BM3183" i="1"/>
  <c r="BM3184" i="1"/>
  <c r="BM3186" i="1"/>
  <c r="BM3187" i="1"/>
  <c r="BM3197" i="1"/>
  <c r="BM3198" i="1"/>
  <c r="BM3205" i="1"/>
  <c r="BM3206" i="1"/>
  <c r="BM2" i="1"/>
  <c r="BR914" i="1"/>
  <c r="N1608" i="1" l="1"/>
  <c r="BR1608" i="1" l="1"/>
  <c r="N195" i="1"/>
  <c r="N487" i="1"/>
  <c r="N721" i="1"/>
  <c r="N801" i="1"/>
  <c r="N896" i="1"/>
  <c r="N1204" i="1"/>
  <c r="N2062" i="1"/>
  <c r="N2417" i="1"/>
  <c r="N2693" i="1"/>
  <c r="N2706" i="1"/>
  <c r="N2721" i="1"/>
  <c r="N2722" i="1"/>
  <c r="N2812" i="1"/>
  <c r="N2979" i="1"/>
  <c r="N3125" i="1"/>
  <c r="BU914" i="1"/>
  <c r="BW914" i="1" s="1"/>
  <c r="BU2492" i="1"/>
  <c r="BW2492" i="1" s="1"/>
  <c r="BT3" i="1"/>
  <c r="BT4" i="1"/>
  <c r="BT5" i="1"/>
  <c r="BT6" i="1"/>
  <c r="BT7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104" i="1"/>
  <c r="BT105" i="1"/>
  <c r="BT106" i="1"/>
  <c r="BT107" i="1"/>
  <c r="BT108" i="1"/>
  <c r="BT109" i="1"/>
  <c r="BT110" i="1"/>
  <c r="BT111" i="1"/>
  <c r="BT112" i="1"/>
  <c r="BT113" i="1"/>
  <c r="BT114" i="1"/>
  <c r="BT116" i="1"/>
  <c r="BT117" i="1"/>
  <c r="BT118" i="1"/>
  <c r="BT119" i="1"/>
  <c r="BT120" i="1"/>
  <c r="BT121" i="1"/>
  <c r="BT122" i="1"/>
  <c r="BT123" i="1"/>
  <c r="BT124" i="1"/>
  <c r="BT125" i="1"/>
  <c r="BT126" i="1"/>
  <c r="BT127" i="1"/>
  <c r="BT128" i="1"/>
  <c r="BT129" i="1"/>
  <c r="BT130" i="1"/>
  <c r="BT131" i="1"/>
  <c r="BT132" i="1"/>
  <c r="BT133" i="1"/>
  <c r="BT134" i="1"/>
  <c r="BT135" i="1"/>
  <c r="BT136" i="1"/>
  <c r="BT138" i="1"/>
  <c r="BT139" i="1"/>
  <c r="BT140" i="1"/>
  <c r="BT141" i="1"/>
  <c r="BT142" i="1"/>
  <c r="BT143" i="1"/>
  <c r="BT144" i="1"/>
  <c r="BT145" i="1"/>
  <c r="BT146" i="1"/>
  <c r="BT147" i="1"/>
  <c r="BT148" i="1"/>
  <c r="BT149" i="1"/>
  <c r="BT150" i="1"/>
  <c r="BT151" i="1"/>
  <c r="BT152" i="1"/>
  <c r="BT153" i="1"/>
  <c r="BT154" i="1"/>
  <c r="BT155" i="1"/>
  <c r="BT156" i="1"/>
  <c r="BT157" i="1"/>
  <c r="BT158" i="1"/>
  <c r="BT159" i="1"/>
  <c r="BT160" i="1"/>
  <c r="BT161" i="1"/>
  <c r="BT162" i="1"/>
  <c r="BT163" i="1"/>
  <c r="BT164" i="1"/>
  <c r="BT165" i="1"/>
  <c r="BT166" i="1"/>
  <c r="BT167" i="1"/>
  <c r="BT168" i="1"/>
  <c r="BT169" i="1"/>
  <c r="BT170" i="1"/>
  <c r="BT171" i="1"/>
  <c r="BT172" i="1"/>
  <c r="BT173" i="1"/>
  <c r="BT174" i="1"/>
  <c r="BT175" i="1"/>
  <c r="BT176" i="1"/>
  <c r="BT177" i="1"/>
  <c r="BT178" i="1"/>
  <c r="BT179" i="1"/>
  <c r="BT180" i="1"/>
  <c r="BT181" i="1"/>
  <c r="BT182" i="1"/>
  <c r="BT183" i="1"/>
  <c r="BT184" i="1"/>
  <c r="BT185" i="1"/>
  <c r="BT186" i="1"/>
  <c r="BT187" i="1"/>
  <c r="BT188" i="1"/>
  <c r="BT189" i="1"/>
  <c r="BT190" i="1"/>
  <c r="BT191" i="1"/>
  <c r="BT192" i="1"/>
  <c r="BT193" i="1"/>
  <c r="BT194" i="1"/>
  <c r="BT195" i="1"/>
  <c r="BT196" i="1"/>
  <c r="BT197" i="1"/>
  <c r="BT198" i="1"/>
  <c r="BT199" i="1"/>
  <c r="BT200" i="1"/>
  <c r="BT201" i="1"/>
  <c r="BT202" i="1"/>
  <c r="BT203" i="1"/>
  <c r="BT204" i="1"/>
  <c r="BT205" i="1"/>
  <c r="BT206" i="1"/>
  <c r="BT282" i="1"/>
  <c r="BT283" i="1"/>
  <c r="BT284" i="1"/>
  <c r="BT285" i="1"/>
  <c r="BT286" i="1"/>
  <c r="BT287" i="1"/>
  <c r="BT288" i="1"/>
  <c r="BT289" i="1"/>
  <c r="BT290" i="1"/>
  <c r="BT291" i="1"/>
  <c r="BT292" i="1"/>
  <c r="BT293" i="1"/>
  <c r="BT294" i="1"/>
  <c r="BT295" i="1"/>
  <c r="BT296" i="1"/>
  <c r="BT297" i="1"/>
  <c r="BT298" i="1"/>
  <c r="BT299" i="1"/>
  <c r="BT300" i="1"/>
  <c r="BT301" i="1"/>
  <c r="BT302" i="1"/>
  <c r="BT303" i="1"/>
  <c r="BT304" i="1"/>
  <c r="BT305" i="1"/>
  <c r="BT306" i="1"/>
  <c r="BT307" i="1"/>
  <c r="BT308" i="1"/>
  <c r="BT309" i="1"/>
  <c r="BT310" i="1"/>
  <c r="BT311" i="1"/>
  <c r="BT312" i="1"/>
  <c r="BT313" i="1"/>
  <c r="BT314" i="1"/>
  <c r="BT315" i="1"/>
  <c r="BT316" i="1"/>
  <c r="BT317" i="1"/>
  <c r="BT318" i="1"/>
  <c r="BT319" i="1"/>
  <c r="BT320" i="1"/>
  <c r="BT321" i="1"/>
  <c r="BT322" i="1"/>
  <c r="BT323" i="1"/>
  <c r="BT324" i="1"/>
  <c r="BT325" i="1"/>
  <c r="BT326" i="1"/>
  <c r="BT327" i="1"/>
  <c r="BT328" i="1"/>
  <c r="BT329" i="1"/>
  <c r="BT330" i="1"/>
  <c r="BT331" i="1"/>
  <c r="BT332" i="1"/>
  <c r="BT333" i="1"/>
  <c r="BT334" i="1"/>
  <c r="BT335" i="1"/>
  <c r="BT336" i="1"/>
  <c r="BT337" i="1"/>
  <c r="BT338" i="1"/>
  <c r="BT339" i="1"/>
  <c r="BT341" i="1"/>
  <c r="BT342" i="1"/>
  <c r="BT343" i="1"/>
  <c r="BT344" i="1"/>
  <c r="BT345" i="1"/>
  <c r="BT346" i="1"/>
  <c r="BT347" i="1"/>
  <c r="BT348" i="1"/>
  <c r="BT349" i="1"/>
  <c r="BT350" i="1"/>
  <c r="BT351" i="1"/>
  <c r="BT352" i="1"/>
  <c r="BT353" i="1"/>
  <c r="BT354" i="1"/>
  <c r="BT355" i="1"/>
  <c r="BT356" i="1"/>
  <c r="BT357" i="1"/>
  <c r="BT358" i="1"/>
  <c r="BT359" i="1"/>
  <c r="BT360" i="1"/>
  <c r="BT361" i="1"/>
  <c r="BT362" i="1"/>
  <c r="BT363" i="1"/>
  <c r="BT364" i="1"/>
  <c r="BT365" i="1"/>
  <c r="BT366" i="1"/>
  <c r="BT367" i="1"/>
  <c r="BT368" i="1"/>
  <c r="BT369" i="1"/>
  <c r="BT370" i="1"/>
  <c r="BT371" i="1"/>
  <c r="BT372" i="1"/>
  <c r="BT373" i="1"/>
  <c r="BT374" i="1"/>
  <c r="BT375" i="1"/>
  <c r="BT376" i="1"/>
  <c r="BT377" i="1"/>
  <c r="BT378" i="1"/>
  <c r="BT379" i="1"/>
  <c r="BT380" i="1"/>
  <c r="BT381" i="1"/>
  <c r="BT382" i="1"/>
  <c r="BT383" i="1"/>
  <c r="BT384" i="1"/>
  <c r="BT385" i="1"/>
  <c r="BT386" i="1"/>
  <c r="BT387" i="1"/>
  <c r="BT388" i="1"/>
  <c r="BT389" i="1"/>
  <c r="BT390" i="1"/>
  <c r="BT391" i="1"/>
  <c r="BT392" i="1"/>
  <c r="BT393" i="1"/>
  <c r="BT394" i="1"/>
  <c r="BT395" i="1"/>
  <c r="BT396" i="1"/>
  <c r="BT397" i="1"/>
  <c r="BT398" i="1"/>
  <c r="BT399" i="1"/>
  <c r="BT400" i="1"/>
  <c r="BT401" i="1"/>
  <c r="BT402" i="1"/>
  <c r="BT403" i="1"/>
  <c r="BT404" i="1"/>
  <c r="BT405" i="1"/>
  <c r="BT406" i="1"/>
  <c r="BT407" i="1"/>
  <c r="BT408" i="1"/>
  <c r="BT409" i="1"/>
  <c r="BT410" i="1"/>
  <c r="BT411" i="1"/>
  <c r="BT412" i="1"/>
  <c r="BT413" i="1"/>
  <c r="BT414" i="1"/>
  <c r="BT415" i="1"/>
  <c r="BT416" i="1"/>
  <c r="BT417" i="1"/>
  <c r="BT418" i="1"/>
  <c r="BT419" i="1"/>
  <c r="BT420" i="1"/>
  <c r="BT421" i="1"/>
  <c r="BT422" i="1"/>
  <c r="BT423" i="1"/>
  <c r="BT424" i="1"/>
  <c r="BT425" i="1"/>
  <c r="BT426" i="1"/>
  <c r="BT427" i="1"/>
  <c r="BT428" i="1"/>
  <c r="BT429" i="1"/>
  <c r="BT430" i="1"/>
  <c r="BT431" i="1"/>
  <c r="BT432" i="1"/>
  <c r="BT433" i="1"/>
  <c r="BT434" i="1"/>
  <c r="BT435" i="1"/>
  <c r="BT436" i="1"/>
  <c r="BT437" i="1"/>
  <c r="BT438" i="1"/>
  <c r="BT439" i="1"/>
  <c r="BT440" i="1"/>
  <c r="BT441" i="1"/>
  <c r="BT442" i="1"/>
  <c r="BT443" i="1"/>
  <c r="BT444" i="1"/>
  <c r="BT445" i="1"/>
  <c r="BT446" i="1"/>
  <c r="BT447" i="1"/>
  <c r="BT448" i="1"/>
  <c r="BT449" i="1"/>
  <c r="BT450" i="1"/>
  <c r="BT451" i="1"/>
  <c r="BT452" i="1"/>
  <c r="BT453" i="1"/>
  <c r="BT454" i="1"/>
  <c r="BT455" i="1"/>
  <c r="BT456" i="1"/>
  <c r="BT457" i="1"/>
  <c r="BT458" i="1"/>
  <c r="BT459" i="1"/>
  <c r="BT460" i="1"/>
  <c r="BT461" i="1"/>
  <c r="BT462" i="1"/>
  <c r="BT463" i="1"/>
  <c r="BT465" i="1"/>
  <c r="BT466" i="1"/>
  <c r="BT467" i="1"/>
  <c r="BT468" i="1"/>
  <c r="BT469" i="1"/>
  <c r="BT470" i="1"/>
  <c r="BT471" i="1"/>
  <c r="BT472" i="1"/>
  <c r="BT473" i="1"/>
  <c r="BT474" i="1"/>
  <c r="BT475" i="1"/>
  <c r="BT476" i="1"/>
  <c r="BT477" i="1"/>
  <c r="BT479" i="1"/>
  <c r="BT480" i="1"/>
  <c r="BT481" i="1"/>
  <c r="BT482" i="1"/>
  <c r="BT483" i="1"/>
  <c r="BT484" i="1"/>
  <c r="BT485" i="1"/>
  <c r="BT486" i="1"/>
  <c r="BT487" i="1"/>
  <c r="BT488" i="1"/>
  <c r="BT489" i="1"/>
  <c r="BT490" i="1"/>
  <c r="BT491" i="1"/>
  <c r="BT492" i="1"/>
  <c r="BT493" i="1"/>
  <c r="BT494" i="1"/>
  <c r="BT495" i="1"/>
  <c r="BT496" i="1"/>
  <c r="BT497" i="1"/>
  <c r="BT498" i="1"/>
  <c r="BT499" i="1"/>
  <c r="BT500" i="1"/>
  <c r="BT501" i="1"/>
  <c r="BT502" i="1"/>
  <c r="BT503" i="1"/>
  <c r="BT504" i="1"/>
  <c r="BT505" i="1"/>
  <c r="BT506" i="1"/>
  <c r="BT507" i="1"/>
  <c r="BT508" i="1"/>
  <c r="BT509" i="1"/>
  <c r="BT510" i="1"/>
  <c r="BT511" i="1"/>
  <c r="BT512" i="1"/>
  <c r="BT513" i="1"/>
  <c r="BT515" i="1"/>
  <c r="BT516" i="1"/>
  <c r="BT517" i="1"/>
  <c r="BT518" i="1"/>
  <c r="BT519" i="1"/>
  <c r="BT520" i="1"/>
  <c r="BT521" i="1"/>
  <c r="BT522" i="1"/>
  <c r="BT523" i="1"/>
  <c r="BT524" i="1"/>
  <c r="BT525" i="1"/>
  <c r="BT526" i="1"/>
  <c r="BT527" i="1"/>
  <c r="BT528" i="1"/>
  <c r="BT529" i="1"/>
  <c r="BT530" i="1"/>
  <c r="BT531" i="1"/>
  <c r="BT532" i="1"/>
  <c r="BT533" i="1"/>
  <c r="BT534" i="1"/>
  <c r="BT535" i="1"/>
  <c r="BT536" i="1"/>
  <c r="BT537" i="1"/>
  <c r="BT538" i="1"/>
  <c r="BT539" i="1"/>
  <c r="BT540" i="1"/>
  <c r="BT541" i="1"/>
  <c r="BT542" i="1"/>
  <c r="BT543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68" i="1"/>
  <c r="BT569" i="1"/>
  <c r="BT570" i="1"/>
  <c r="BT571" i="1"/>
  <c r="BT572" i="1"/>
  <c r="BT573" i="1"/>
  <c r="BT574" i="1"/>
  <c r="BT575" i="1"/>
  <c r="BT576" i="1"/>
  <c r="BT577" i="1"/>
  <c r="BT578" i="1"/>
  <c r="BT579" i="1"/>
  <c r="BT580" i="1"/>
  <c r="BT581" i="1"/>
  <c r="BT582" i="1"/>
  <c r="BT583" i="1"/>
  <c r="BT584" i="1"/>
  <c r="BT585" i="1"/>
  <c r="BT586" i="1"/>
  <c r="BT587" i="1"/>
  <c r="BT588" i="1"/>
  <c r="BT589" i="1"/>
  <c r="BT590" i="1"/>
  <c r="BT591" i="1"/>
  <c r="BT592" i="1"/>
  <c r="BT593" i="1"/>
  <c r="BT594" i="1"/>
  <c r="BT595" i="1"/>
  <c r="BT596" i="1"/>
  <c r="BT597" i="1"/>
  <c r="BT598" i="1"/>
  <c r="BT599" i="1"/>
  <c r="BT600" i="1"/>
  <c r="BT601" i="1"/>
  <c r="BT602" i="1"/>
  <c r="BT603" i="1"/>
  <c r="BT604" i="1"/>
  <c r="BT605" i="1"/>
  <c r="BT606" i="1"/>
  <c r="BT607" i="1"/>
  <c r="BT608" i="1"/>
  <c r="BT609" i="1"/>
  <c r="BT611" i="1"/>
  <c r="BT612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56" i="1"/>
  <c r="BT657" i="1"/>
  <c r="BT658" i="1"/>
  <c r="BT659" i="1"/>
  <c r="BT660" i="1"/>
  <c r="BT661" i="1"/>
  <c r="BT662" i="1"/>
  <c r="BT663" i="1"/>
  <c r="BT664" i="1"/>
  <c r="BT665" i="1"/>
  <c r="BT666" i="1"/>
  <c r="BT667" i="1"/>
  <c r="BT668" i="1"/>
  <c r="BT669" i="1"/>
  <c r="BT670" i="1"/>
  <c r="BT671" i="1"/>
  <c r="BT672" i="1"/>
  <c r="BT673" i="1"/>
  <c r="BT674" i="1"/>
  <c r="BT675" i="1"/>
  <c r="BT676" i="1"/>
  <c r="BT677" i="1"/>
  <c r="BT678" i="1"/>
  <c r="BT679" i="1"/>
  <c r="BT680" i="1"/>
  <c r="BT681" i="1"/>
  <c r="BT682" i="1"/>
  <c r="BT683" i="1"/>
  <c r="BT684" i="1"/>
  <c r="BT685" i="1"/>
  <c r="BT686" i="1"/>
  <c r="BT687" i="1"/>
  <c r="BT688" i="1"/>
  <c r="BT689" i="1"/>
  <c r="BT690" i="1"/>
  <c r="BT691" i="1"/>
  <c r="BT692" i="1"/>
  <c r="BT693" i="1"/>
  <c r="BT694" i="1"/>
  <c r="BT695" i="1"/>
  <c r="BT696" i="1"/>
  <c r="BT697" i="1"/>
  <c r="BT698" i="1"/>
  <c r="BT699" i="1"/>
  <c r="BT700" i="1"/>
  <c r="BT701" i="1"/>
  <c r="BT702" i="1"/>
  <c r="BT703" i="1"/>
  <c r="BT704" i="1"/>
  <c r="BT705" i="1"/>
  <c r="BT706" i="1"/>
  <c r="BT707" i="1"/>
  <c r="BT708" i="1"/>
  <c r="BT709" i="1"/>
  <c r="BT710" i="1"/>
  <c r="BT711" i="1"/>
  <c r="BT712" i="1"/>
  <c r="BT713" i="1"/>
  <c r="BT714" i="1"/>
  <c r="BT715" i="1"/>
  <c r="BT716" i="1"/>
  <c r="BT717" i="1"/>
  <c r="BT718" i="1"/>
  <c r="BT719" i="1"/>
  <c r="BT720" i="1"/>
  <c r="BT721" i="1"/>
  <c r="BT722" i="1"/>
  <c r="BT723" i="1"/>
  <c r="BT724" i="1"/>
  <c r="BT725" i="1"/>
  <c r="BT726" i="1"/>
  <c r="BT727" i="1"/>
  <c r="BT728" i="1"/>
  <c r="BT729" i="1"/>
  <c r="BT730" i="1"/>
  <c r="BT731" i="1"/>
  <c r="BT732" i="1"/>
  <c r="BT733" i="1"/>
  <c r="BT734" i="1"/>
  <c r="BT735" i="1"/>
  <c r="BT736" i="1"/>
  <c r="BT737" i="1"/>
  <c r="BT738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2" i="1"/>
  <c r="BT783" i="1"/>
  <c r="BT784" i="1"/>
  <c r="BT785" i="1"/>
  <c r="BT786" i="1"/>
  <c r="BT787" i="1"/>
  <c r="BT788" i="1"/>
  <c r="BT789" i="1"/>
  <c r="BT790" i="1"/>
  <c r="BT791" i="1"/>
  <c r="BT792" i="1"/>
  <c r="BT793" i="1"/>
  <c r="BT794" i="1"/>
  <c r="BT795" i="1"/>
  <c r="BT796" i="1"/>
  <c r="BT797" i="1"/>
  <c r="BT798" i="1"/>
  <c r="BT799" i="1"/>
  <c r="BT800" i="1"/>
  <c r="BT801" i="1"/>
  <c r="BT802" i="1"/>
  <c r="BT803" i="1"/>
  <c r="BT804" i="1"/>
  <c r="BT805" i="1"/>
  <c r="BT806" i="1"/>
  <c r="BT807" i="1"/>
  <c r="BT808" i="1"/>
  <c r="BT809" i="1"/>
  <c r="BT810" i="1"/>
  <c r="BT811" i="1"/>
  <c r="BT812" i="1"/>
  <c r="BT813" i="1"/>
  <c r="BT814" i="1"/>
  <c r="BT815" i="1"/>
  <c r="BT816" i="1"/>
  <c r="BT817" i="1"/>
  <c r="BT818" i="1"/>
  <c r="BT819" i="1"/>
  <c r="BT820" i="1"/>
  <c r="BT82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834" i="1"/>
  <c r="BT835" i="1"/>
  <c r="BT836" i="1"/>
  <c r="BT837" i="1"/>
  <c r="BT838" i="1"/>
  <c r="BT840" i="1"/>
  <c r="BT841" i="1"/>
  <c r="BT842" i="1"/>
  <c r="BT843" i="1"/>
  <c r="BT844" i="1"/>
  <c r="BT845" i="1"/>
  <c r="BT846" i="1"/>
  <c r="BT847" i="1"/>
  <c r="BT848" i="1"/>
  <c r="BT849" i="1"/>
  <c r="BT850" i="1"/>
  <c r="BT851" i="1"/>
  <c r="BT852" i="1"/>
  <c r="BT853" i="1"/>
  <c r="BT854" i="1"/>
  <c r="BT855" i="1"/>
  <c r="BT856" i="1"/>
  <c r="BT857" i="1"/>
  <c r="BT858" i="1"/>
  <c r="BT859" i="1"/>
  <c r="BT860" i="1"/>
  <c r="BT861" i="1"/>
  <c r="BT862" i="1"/>
  <c r="BT863" i="1"/>
  <c r="BT864" i="1"/>
  <c r="BT865" i="1"/>
  <c r="BT866" i="1"/>
  <c r="BT867" i="1"/>
  <c r="BT868" i="1"/>
  <c r="BT869" i="1"/>
  <c r="BT870" i="1"/>
  <c r="BT871" i="1"/>
  <c r="BT872" i="1"/>
  <c r="BT873" i="1"/>
  <c r="BT874" i="1"/>
  <c r="BT875" i="1"/>
  <c r="BT876" i="1"/>
  <c r="BT877" i="1"/>
  <c r="BT878" i="1"/>
  <c r="BT879" i="1"/>
  <c r="BT880" i="1"/>
  <c r="BT881" i="1"/>
  <c r="BT882" i="1"/>
  <c r="BT883" i="1"/>
  <c r="BT884" i="1"/>
  <c r="BT885" i="1"/>
  <c r="BT886" i="1"/>
  <c r="BT887" i="1"/>
  <c r="BT888" i="1"/>
  <c r="BT889" i="1"/>
  <c r="BT890" i="1"/>
  <c r="BT891" i="1"/>
  <c r="BT892" i="1"/>
  <c r="BT893" i="1"/>
  <c r="BT894" i="1"/>
  <c r="BT895" i="1"/>
  <c r="BT896" i="1"/>
  <c r="BT897" i="1"/>
  <c r="BT898" i="1"/>
  <c r="BT899" i="1"/>
  <c r="BT900" i="1"/>
  <c r="BT901" i="1"/>
  <c r="BT902" i="1"/>
  <c r="BT903" i="1"/>
  <c r="BT904" i="1"/>
  <c r="BT905" i="1"/>
  <c r="BT906" i="1"/>
  <c r="BT907" i="1"/>
  <c r="BT908" i="1"/>
  <c r="BT909" i="1"/>
  <c r="BT910" i="1"/>
  <c r="BT911" i="1"/>
  <c r="BT912" i="1"/>
  <c r="BT913" i="1"/>
  <c r="BT914" i="1"/>
  <c r="BT915" i="1"/>
  <c r="BT916" i="1"/>
  <c r="BT917" i="1"/>
  <c r="BT918" i="1"/>
  <c r="BT919" i="1"/>
  <c r="BT920" i="1"/>
  <c r="BT921" i="1"/>
  <c r="BT922" i="1"/>
  <c r="BT923" i="1"/>
  <c r="BT924" i="1"/>
  <c r="BT925" i="1"/>
  <c r="BT926" i="1"/>
  <c r="BT927" i="1"/>
  <c r="BT928" i="1"/>
  <c r="BT929" i="1"/>
  <c r="BT930" i="1"/>
  <c r="BT931" i="1"/>
  <c r="BT932" i="1"/>
  <c r="BT933" i="1"/>
  <c r="BT934" i="1"/>
  <c r="BT935" i="1"/>
  <c r="BT936" i="1"/>
  <c r="BT937" i="1"/>
  <c r="BT938" i="1"/>
  <c r="BT939" i="1"/>
  <c r="BT940" i="1"/>
  <c r="BT942" i="1"/>
  <c r="BT943" i="1"/>
  <c r="BT944" i="1"/>
  <c r="BT945" i="1"/>
  <c r="BT946" i="1"/>
  <c r="BT947" i="1"/>
  <c r="BT948" i="1"/>
  <c r="BT949" i="1"/>
  <c r="BT950" i="1"/>
  <c r="BT951" i="1"/>
  <c r="BT952" i="1"/>
  <c r="BT953" i="1"/>
  <c r="BT954" i="1"/>
  <c r="BT955" i="1"/>
  <c r="BT956" i="1"/>
  <c r="BT957" i="1"/>
  <c r="BT958" i="1"/>
  <c r="BT959" i="1"/>
  <c r="BT960" i="1"/>
  <c r="BT961" i="1"/>
  <c r="BT962" i="1"/>
  <c r="BT963" i="1"/>
  <c r="BT964" i="1"/>
  <c r="BT965" i="1"/>
  <c r="BT966" i="1"/>
  <c r="BT967" i="1"/>
  <c r="BT968" i="1"/>
  <c r="BT969" i="1"/>
  <c r="BT970" i="1"/>
  <c r="BT971" i="1"/>
  <c r="BT972" i="1"/>
  <c r="BT973" i="1"/>
  <c r="BT974" i="1"/>
  <c r="BT975" i="1"/>
  <c r="BT976" i="1"/>
  <c r="BT977" i="1"/>
  <c r="BT978" i="1"/>
  <c r="BT979" i="1"/>
  <c r="BT980" i="1"/>
  <c r="BT981" i="1"/>
  <c r="BT982" i="1"/>
  <c r="BT983" i="1"/>
  <c r="BT984" i="1"/>
  <c r="BT985" i="1"/>
  <c r="BT986" i="1"/>
  <c r="BT987" i="1"/>
  <c r="BT988" i="1"/>
  <c r="BT989" i="1"/>
  <c r="BT990" i="1"/>
  <c r="BT991" i="1"/>
  <c r="BT992" i="1"/>
  <c r="BT993" i="1"/>
  <c r="BT994" i="1"/>
  <c r="BT995" i="1"/>
  <c r="BT996" i="1"/>
  <c r="BT997" i="1"/>
  <c r="BT998" i="1"/>
  <c r="BT999" i="1"/>
  <c r="BT1000" i="1"/>
  <c r="BT1001" i="1"/>
  <c r="BT1002" i="1"/>
  <c r="BT1003" i="1"/>
  <c r="BT1004" i="1"/>
  <c r="BT1005" i="1"/>
  <c r="BT1006" i="1"/>
  <c r="BT1007" i="1"/>
  <c r="BT1008" i="1"/>
  <c r="BT1009" i="1"/>
  <c r="BT1010" i="1"/>
  <c r="BT1011" i="1"/>
  <c r="BT1012" i="1"/>
  <c r="BT1013" i="1"/>
  <c r="BT1014" i="1"/>
  <c r="BT1015" i="1"/>
  <c r="BT1016" i="1"/>
  <c r="BT1017" i="1"/>
  <c r="BT1018" i="1"/>
  <c r="BT1019" i="1"/>
  <c r="BT1020" i="1"/>
  <c r="BT1021" i="1"/>
  <c r="BT1022" i="1"/>
  <c r="BT1023" i="1"/>
  <c r="BT1024" i="1"/>
  <c r="BT1025" i="1"/>
  <c r="BT1026" i="1"/>
  <c r="BT1027" i="1"/>
  <c r="BT1028" i="1"/>
  <c r="BT1029" i="1"/>
  <c r="BT1030" i="1"/>
  <c r="BT1031" i="1"/>
  <c r="BT1032" i="1"/>
  <c r="BT1033" i="1"/>
  <c r="BT1034" i="1"/>
  <c r="BT1035" i="1"/>
  <c r="BT1036" i="1"/>
  <c r="BT1037" i="1"/>
  <c r="BT1038" i="1"/>
  <c r="BT1039" i="1"/>
  <c r="BT1040" i="1"/>
  <c r="BT1042" i="1"/>
  <c r="BT1043" i="1"/>
  <c r="BT1044" i="1"/>
  <c r="BT1045" i="1"/>
  <c r="BT1046" i="1"/>
  <c r="BT1047" i="1"/>
  <c r="BT1048" i="1"/>
  <c r="BT1049" i="1"/>
  <c r="BT1050" i="1"/>
  <c r="BT1051" i="1"/>
  <c r="BT1052" i="1"/>
  <c r="BT1053" i="1"/>
  <c r="BT1055" i="1"/>
  <c r="BT1056" i="1"/>
  <c r="BT1057" i="1"/>
  <c r="BT1058" i="1"/>
  <c r="BT1059" i="1"/>
  <c r="BT1060" i="1"/>
  <c r="BT1061" i="1"/>
  <c r="BT1062" i="1"/>
  <c r="BT1063" i="1"/>
  <c r="BT1064" i="1"/>
  <c r="BT1065" i="1"/>
  <c r="BT1066" i="1"/>
  <c r="BT1067" i="1"/>
  <c r="BT1068" i="1"/>
  <c r="BT1069" i="1"/>
  <c r="BT1070" i="1"/>
  <c r="BT1071" i="1"/>
  <c r="BT1072" i="1"/>
  <c r="BT1073" i="1"/>
  <c r="BT1074" i="1"/>
  <c r="BT1075" i="1"/>
  <c r="BT1076" i="1"/>
  <c r="BT1077" i="1"/>
  <c r="BT1078" i="1"/>
  <c r="BT1079" i="1"/>
  <c r="BT1080" i="1"/>
  <c r="BT1081" i="1"/>
  <c r="BT1082" i="1"/>
  <c r="BT1083" i="1"/>
  <c r="BT1084" i="1"/>
  <c r="BT1085" i="1"/>
  <c r="BT1086" i="1"/>
  <c r="BT1087" i="1"/>
  <c r="BT1088" i="1"/>
  <c r="BT1089" i="1"/>
  <c r="BT1090" i="1"/>
  <c r="BT1091" i="1"/>
  <c r="BT1092" i="1"/>
  <c r="BT1093" i="1"/>
  <c r="BT1094" i="1"/>
  <c r="BT1095" i="1"/>
  <c r="BT1096" i="1"/>
  <c r="BT1097" i="1"/>
  <c r="BT1098" i="1"/>
  <c r="BT1099" i="1"/>
  <c r="BT1100" i="1"/>
  <c r="BT1101" i="1"/>
  <c r="BT1102" i="1"/>
  <c r="BT1103" i="1"/>
  <c r="BT1104" i="1"/>
  <c r="BT1105" i="1"/>
  <c r="BT1106" i="1"/>
  <c r="BT1107" i="1"/>
  <c r="BT1108" i="1"/>
  <c r="BT1109" i="1"/>
  <c r="BT1110" i="1"/>
  <c r="BT1111" i="1"/>
  <c r="BT1112" i="1"/>
  <c r="BT1113" i="1"/>
  <c r="BT1114" i="1"/>
  <c r="BT1115" i="1"/>
  <c r="BT1116" i="1"/>
  <c r="BT1117" i="1"/>
  <c r="BT1118" i="1"/>
  <c r="BT1119" i="1"/>
  <c r="BT1120" i="1"/>
  <c r="BT1121" i="1"/>
  <c r="BT1122" i="1"/>
  <c r="BT1123" i="1"/>
  <c r="BT1124" i="1"/>
  <c r="BT1125" i="1"/>
  <c r="BT1126" i="1"/>
  <c r="BT1127" i="1"/>
  <c r="BT1128" i="1"/>
  <c r="BT1129" i="1"/>
  <c r="BT1130" i="1"/>
  <c r="BT1131" i="1"/>
  <c r="BT1132" i="1"/>
  <c r="BT1133" i="1"/>
  <c r="BT1134" i="1"/>
  <c r="BT1135" i="1"/>
  <c r="BT1136" i="1"/>
  <c r="BT1137" i="1"/>
  <c r="BT1138" i="1"/>
  <c r="BT1139" i="1"/>
  <c r="BT1140" i="1"/>
  <c r="BT1141" i="1"/>
  <c r="BT1142" i="1"/>
  <c r="BT1143" i="1"/>
  <c r="BT1144" i="1"/>
  <c r="BT1145" i="1"/>
  <c r="BT1146" i="1"/>
  <c r="BT1147" i="1"/>
  <c r="BT1148" i="1"/>
  <c r="BT1149" i="1"/>
  <c r="BT1150" i="1"/>
  <c r="BT1151" i="1"/>
  <c r="BT1152" i="1"/>
  <c r="BT1153" i="1"/>
  <c r="BT1154" i="1"/>
  <c r="BT1155" i="1"/>
  <c r="BT1156" i="1"/>
  <c r="BT1157" i="1"/>
  <c r="BT1158" i="1"/>
  <c r="BT1159" i="1"/>
  <c r="BT1160" i="1"/>
  <c r="BT1161" i="1"/>
  <c r="BT1162" i="1"/>
  <c r="BT1163" i="1"/>
  <c r="BT1164" i="1"/>
  <c r="BT1165" i="1"/>
  <c r="BT1166" i="1"/>
  <c r="BT1167" i="1"/>
  <c r="BT1168" i="1"/>
  <c r="BT1169" i="1"/>
  <c r="BT1170" i="1"/>
  <c r="BT1171" i="1"/>
  <c r="BT1172" i="1"/>
  <c r="BT1173" i="1"/>
  <c r="BT1174" i="1"/>
  <c r="BT1175" i="1"/>
  <c r="BT1176" i="1"/>
  <c r="BT1177" i="1"/>
  <c r="BT1178" i="1"/>
  <c r="BT1179" i="1"/>
  <c r="BT1181" i="1"/>
  <c r="BT1182" i="1"/>
  <c r="BT1183" i="1"/>
  <c r="BT1184" i="1"/>
  <c r="BT1185" i="1"/>
  <c r="BT1186" i="1"/>
  <c r="BT1187" i="1"/>
  <c r="BT1188" i="1"/>
  <c r="BT1189" i="1"/>
  <c r="BT1190" i="1"/>
  <c r="BT1191" i="1"/>
  <c r="BT1192" i="1"/>
  <c r="BT1193" i="1"/>
  <c r="BT1194" i="1"/>
  <c r="BT1195" i="1"/>
  <c r="BT1196" i="1"/>
  <c r="BT1197" i="1"/>
  <c r="BT1198" i="1"/>
  <c r="BT1199" i="1"/>
  <c r="BT1201" i="1"/>
  <c r="BT1204" i="1"/>
  <c r="BT1205" i="1"/>
  <c r="BT1206" i="1"/>
  <c r="BT1207" i="1"/>
  <c r="BT1208" i="1"/>
  <c r="BT1209" i="1"/>
  <c r="BT1210" i="1"/>
  <c r="BT1211" i="1"/>
  <c r="BT1212" i="1"/>
  <c r="BT1213" i="1"/>
  <c r="BT1214" i="1"/>
  <c r="BT1215" i="1"/>
  <c r="BT1216" i="1"/>
  <c r="BT1217" i="1"/>
  <c r="BT1218" i="1"/>
  <c r="BT1219" i="1"/>
  <c r="BT1220" i="1"/>
  <c r="BT1221" i="1"/>
  <c r="BT1222" i="1"/>
  <c r="BT1223" i="1"/>
  <c r="BT1224" i="1"/>
  <c r="BT1225" i="1"/>
  <c r="BT1226" i="1"/>
  <c r="BT1227" i="1"/>
  <c r="BT1228" i="1"/>
  <c r="BT1229" i="1"/>
  <c r="BT1230" i="1"/>
  <c r="BT1231" i="1"/>
  <c r="BT1232" i="1"/>
  <c r="BT1233" i="1"/>
  <c r="BT1234" i="1"/>
  <c r="BT1235" i="1"/>
  <c r="BT1236" i="1"/>
  <c r="BT1237" i="1"/>
  <c r="BT1238" i="1"/>
  <c r="BT1240" i="1"/>
  <c r="BT1241" i="1"/>
  <c r="BT1242" i="1"/>
  <c r="BT1243" i="1"/>
  <c r="BT1244" i="1"/>
  <c r="BT1245" i="1"/>
  <c r="BT1246" i="1"/>
  <c r="BT1247" i="1"/>
  <c r="BT1248" i="1"/>
  <c r="BT1249" i="1"/>
  <c r="BT1250" i="1"/>
  <c r="BT1251" i="1"/>
  <c r="BT1252" i="1"/>
  <c r="BT1253" i="1"/>
  <c r="BT1254" i="1"/>
  <c r="BT1255" i="1"/>
  <c r="BT1256" i="1"/>
  <c r="BT1257" i="1"/>
  <c r="BT1258" i="1"/>
  <c r="BT1259" i="1"/>
  <c r="BT1260" i="1"/>
  <c r="BT1261" i="1"/>
  <c r="BT1262" i="1"/>
  <c r="BT1263" i="1"/>
  <c r="BT1264" i="1"/>
  <c r="BT1265" i="1"/>
  <c r="BT1266" i="1"/>
  <c r="BT1267" i="1"/>
  <c r="BT1268" i="1"/>
  <c r="BT1269" i="1"/>
  <c r="BT1270" i="1"/>
  <c r="BT1272" i="1"/>
  <c r="BT1273" i="1"/>
  <c r="BT1274" i="1"/>
  <c r="BT1275" i="1"/>
  <c r="BT1276" i="1"/>
  <c r="BT1277" i="1"/>
  <c r="BT1278" i="1"/>
  <c r="BT1279" i="1"/>
  <c r="BT1280" i="1"/>
  <c r="BT1281" i="1"/>
  <c r="BT1282" i="1"/>
  <c r="BT1283" i="1"/>
  <c r="BT1284" i="1"/>
  <c r="BT1285" i="1"/>
  <c r="BT1286" i="1"/>
  <c r="BT1287" i="1"/>
  <c r="BT1288" i="1"/>
  <c r="BT1289" i="1"/>
  <c r="BT1290" i="1"/>
  <c r="BT1291" i="1"/>
  <c r="BT1292" i="1"/>
  <c r="BT1293" i="1"/>
  <c r="BT1294" i="1"/>
  <c r="BT1295" i="1"/>
  <c r="BT1296" i="1"/>
  <c r="BT1297" i="1"/>
  <c r="BT1298" i="1"/>
  <c r="BT1299" i="1"/>
  <c r="BT1300" i="1"/>
  <c r="BT1301" i="1"/>
  <c r="BT1302" i="1"/>
  <c r="BT1303" i="1"/>
  <c r="BT1304" i="1"/>
  <c r="BT1305" i="1"/>
  <c r="BT1306" i="1"/>
  <c r="BT1307" i="1"/>
  <c r="BT1308" i="1"/>
  <c r="BT1309" i="1"/>
  <c r="BT1310" i="1"/>
  <c r="BT1311" i="1"/>
  <c r="BT1312" i="1"/>
  <c r="BT1313" i="1"/>
  <c r="BT1314" i="1"/>
  <c r="BT1315" i="1"/>
  <c r="BT1316" i="1"/>
  <c r="BT1317" i="1"/>
  <c r="BT1318" i="1"/>
  <c r="BT1319" i="1"/>
  <c r="BT1320" i="1"/>
  <c r="BT1321" i="1"/>
  <c r="BT1322" i="1"/>
  <c r="BT1323" i="1"/>
  <c r="BT1324" i="1"/>
  <c r="BT1325" i="1"/>
  <c r="BT1327" i="1"/>
  <c r="BT1328" i="1"/>
  <c r="BT1329" i="1"/>
  <c r="BT1330" i="1"/>
  <c r="BT1331" i="1"/>
  <c r="BT1332" i="1"/>
  <c r="BT1334" i="1"/>
  <c r="BT1335" i="1"/>
  <c r="BT1336" i="1"/>
  <c r="BT1337" i="1"/>
  <c r="BT1338" i="1"/>
  <c r="BT1339" i="1"/>
  <c r="BT1340" i="1"/>
  <c r="BT1341" i="1"/>
  <c r="BT1342" i="1"/>
  <c r="BT1343" i="1"/>
  <c r="BT1344" i="1"/>
  <c r="BT1345" i="1"/>
  <c r="BT1346" i="1"/>
  <c r="BT1347" i="1"/>
  <c r="BT1348" i="1"/>
  <c r="BT1349" i="1"/>
  <c r="BT1350" i="1"/>
  <c r="BT1351" i="1"/>
  <c r="BT1352" i="1"/>
  <c r="BT1353" i="1"/>
  <c r="BT1354" i="1"/>
  <c r="BT1355" i="1"/>
  <c r="BT1356" i="1"/>
  <c r="BT1357" i="1"/>
  <c r="BT1358" i="1"/>
  <c r="BT1359" i="1"/>
  <c r="BT1360" i="1"/>
  <c r="BT1361" i="1"/>
  <c r="BT1362" i="1"/>
  <c r="BT1363" i="1"/>
  <c r="BT1364" i="1"/>
  <c r="BT1365" i="1"/>
  <c r="BT1366" i="1"/>
  <c r="BT1367" i="1"/>
  <c r="BT1368" i="1"/>
  <c r="BT1369" i="1"/>
  <c r="BT1370" i="1"/>
  <c r="BT1371" i="1"/>
  <c r="BT1372" i="1"/>
  <c r="BT1373" i="1"/>
  <c r="BT1374" i="1"/>
  <c r="BT1375" i="1"/>
  <c r="BT1376" i="1"/>
  <c r="BT1377" i="1"/>
  <c r="BT1378" i="1"/>
  <c r="BT1379" i="1"/>
  <c r="BT1380" i="1"/>
  <c r="BT1381" i="1"/>
  <c r="BT1382" i="1"/>
  <c r="BT1383" i="1"/>
  <c r="BT1384" i="1"/>
  <c r="BT1385" i="1"/>
  <c r="BT1386" i="1"/>
  <c r="BT1387" i="1"/>
  <c r="BT1388" i="1"/>
  <c r="BT1389" i="1"/>
  <c r="BT1390" i="1"/>
  <c r="BT1391" i="1"/>
  <c r="BT1392" i="1"/>
  <c r="BT1393" i="1"/>
  <c r="BT1394" i="1"/>
  <c r="BT1395" i="1"/>
  <c r="BT1396" i="1"/>
  <c r="BT1397" i="1"/>
  <c r="BT1398" i="1"/>
  <c r="BT1399" i="1"/>
  <c r="BT1400" i="1"/>
  <c r="BT1401" i="1"/>
  <c r="BT1402" i="1"/>
  <c r="BT1403" i="1"/>
  <c r="BT1404" i="1"/>
  <c r="BT1405" i="1"/>
  <c r="BT1406" i="1"/>
  <c r="BT1407" i="1"/>
  <c r="BT1408" i="1"/>
  <c r="BT1409" i="1"/>
  <c r="BT1410" i="1"/>
  <c r="BT1411" i="1"/>
  <c r="BT1412" i="1"/>
  <c r="BT1413" i="1"/>
  <c r="BT1414" i="1"/>
  <c r="BT1415" i="1"/>
  <c r="BT1416" i="1"/>
  <c r="BT1417" i="1"/>
  <c r="BT1418" i="1"/>
  <c r="BT1419" i="1"/>
  <c r="BT1420" i="1"/>
  <c r="BT1421" i="1"/>
  <c r="BT1422" i="1"/>
  <c r="BT1423" i="1"/>
  <c r="BT1424" i="1"/>
  <c r="BT1425" i="1"/>
  <c r="BT1426" i="1"/>
  <c r="BT1427" i="1"/>
  <c r="BT1428" i="1"/>
  <c r="BT1429" i="1"/>
  <c r="BT1430" i="1"/>
  <c r="BT1431" i="1"/>
  <c r="BT1432" i="1"/>
  <c r="BT1433" i="1"/>
  <c r="BT1434" i="1"/>
  <c r="BT1435" i="1"/>
  <c r="BT1436" i="1"/>
  <c r="BT1437" i="1"/>
  <c r="BT1438" i="1"/>
  <c r="BT1439" i="1"/>
  <c r="BT1440" i="1"/>
  <c r="BT1441" i="1"/>
  <c r="BT1442" i="1"/>
  <c r="BT1443" i="1"/>
  <c r="BT1444" i="1"/>
  <c r="BT1445" i="1"/>
  <c r="BT1446" i="1"/>
  <c r="BT1447" i="1"/>
  <c r="BT1448" i="1"/>
  <c r="BT1449" i="1"/>
  <c r="BT1450" i="1"/>
  <c r="BT1452" i="1"/>
  <c r="BT1453" i="1"/>
  <c r="BT1454" i="1"/>
  <c r="BT1455" i="1"/>
  <c r="BT1456" i="1"/>
  <c r="BT1457" i="1"/>
  <c r="BT1458" i="1"/>
  <c r="BT1460" i="1"/>
  <c r="BT1461" i="1"/>
  <c r="BT1462" i="1"/>
  <c r="BT1463" i="1"/>
  <c r="BT1464" i="1"/>
  <c r="BT1465" i="1"/>
  <c r="BT1466" i="1"/>
  <c r="BT1467" i="1"/>
  <c r="BT1468" i="1"/>
  <c r="BT1469" i="1"/>
  <c r="BT1470" i="1"/>
  <c r="BT1471" i="1"/>
  <c r="BT1472" i="1"/>
  <c r="BT1473" i="1"/>
  <c r="BT1475" i="1"/>
  <c r="BT1476" i="1"/>
  <c r="BT1477" i="1"/>
  <c r="BT1478" i="1"/>
  <c r="BT1479" i="1"/>
  <c r="BT1480" i="1"/>
  <c r="BT1481" i="1"/>
  <c r="BT1482" i="1"/>
  <c r="BT1483" i="1"/>
  <c r="BT1484" i="1"/>
  <c r="BT1485" i="1"/>
  <c r="BT1486" i="1"/>
  <c r="BT1487" i="1"/>
  <c r="BT1488" i="1"/>
  <c r="BT1489" i="1"/>
  <c r="BT1490" i="1"/>
  <c r="BT1491" i="1"/>
  <c r="BT1492" i="1"/>
  <c r="BT1493" i="1"/>
  <c r="BT1494" i="1"/>
  <c r="BT1495" i="1"/>
  <c r="BT1497" i="1"/>
  <c r="BT1498" i="1"/>
  <c r="BT1499" i="1"/>
  <c r="BT1500" i="1"/>
  <c r="BT1501" i="1"/>
  <c r="BT1503" i="1"/>
  <c r="BT1504" i="1"/>
  <c r="BT1505" i="1"/>
  <c r="BT1506" i="1"/>
  <c r="BT1507" i="1"/>
  <c r="BT1508" i="1"/>
  <c r="BT1509" i="1"/>
  <c r="BT1510" i="1"/>
  <c r="BT1511" i="1"/>
  <c r="BT1512" i="1"/>
  <c r="BT1513" i="1"/>
  <c r="BT1514" i="1"/>
  <c r="BT1515" i="1"/>
  <c r="BT1516" i="1"/>
  <c r="BT1517" i="1"/>
  <c r="BT1519" i="1"/>
  <c r="BT1520" i="1"/>
  <c r="BT1521" i="1"/>
  <c r="BT1522" i="1"/>
  <c r="BT1523" i="1"/>
  <c r="BT1524" i="1"/>
  <c r="BT1525" i="1"/>
  <c r="BT1526" i="1"/>
  <c r="BT1527" i="1"/>
  <c r="BT1528" i="1"/>
  <c r="BT1529" i="1"/>
  <c r="BT1530" i="1"/>
  <c r="BT1531" i="1"/>
  <c r="BT1532" i="1"/>
  <c r="BT1533" i="1"/>
  <c r="BT1534" i="1"/>
  <c r="BT1535" i="1"/>
  <c r="BT1536" i="1"/>
  <c r="BT1537" i="1"/>
  <c r="BT1538" i="1"/>
  <c r="BT1539" i="1"/>
  <c r="BT1540" i="1"/>
  <c r="BT1541" i="1"/>
  <c r="BT1542" i="1"/>
  <c r="BT1543" i="1"/>
  <c r="BT1544" i="1"/>
  <c r="BT1545" i="1"/>
  <c r="BT1546" i="1"/>
  <c r="BT1547" i="1"/>
  <c r="BT1548" i="1"/>
  <c r="BT1549" i="1"/>
  <c r="BT1550" i="1"/>
  <c r="BT1551" i="1"/>
  <c r="BT1552" i="1"/>
  <c r="BT1553" i="1"/>
  <c r="BT1554" i="1"/>
  <c r="BT1555" i="1"/>
  <c r="BT1556" i="1"/>
  <c r="BT1557" i="1"/>
  <c r="BT1558" i="1"/>
  <c r="BT1559" i="1"/>
  <c r="BT1560" i="1"/>
  <c r="BT1561" i="1"/>
  <c r="BT1562" i="1"/>
  <c r="BT1563" i="1"/>
  <c r="BT1564" i="1"/>
  <c r="BT1565" i="1"/>
  <c r="BT1566" i="1"/>
  <c r="BT1567" i="1"/>
  <c r="BT1568" i="1"/>
  <c r="BT1569" i="1"/>
  <c r="BT1570" i="1"/>
  <c r="BT1571" i="1"/>
  <c r="BT1572" i="1"/>
  <c r="BT1573" i="1"/>
  <c r="BT1574" i="1"/>
  <c r="BT1575" i="1"/>
  <c r="BT1576" i="1"/>
  <c r="BT1577" i="1"/>
  <c r="BT1578" i="1"/>
  <c r="BT1579" i="1"/>
  <c r="BT1580" i="1"/>
  <c r="BT1581" i="1"/>
  <c r="BT1582" i="1"/>
  <c r="BT1583" i="1"/>
  <c r="BT1584" i="1"/>
  <c r="BT1586" i="1"/>
  <c r="BT1587" i="1"/>
  <c r="BT1588" i="1"/>
  <c r="BT1589" i="1"/>
  <c r="BT1590" i="1"/>
  <c r="BT1591" i="1"/>
  <c r="BT1592" i="1"/>
  <c r="BT1593" i="1"/>
  <c r="BT1594" i="1"/>
  <c r="BT1595" i="1"/>
  <c r="BT1596" i="1"/>
  <c r="BT1597" i="1"/>
  <c r="BT1598" i="1"/>
  <c r="BT1599" i="1"/>
  <c r="BT1600" i="1"/>
  <c r="BT1601" i="1"/>
  <c r="BT1602" i="1"/>
  <c r="BT1603" i="1"/>
  <c r="BT1605" i="1"/>
  <c r="BT1606" i="1"/>
  <c r="BT1607" i="1"/>
  <c r="BT1608" i="1"/>
  <c r="BT1609" i="1"/>
  <c r="BT1610" i="1"/>
  <c r="BT1611" i="1"/>
  <c r="BT1612" i="1"/>
  <c r="BT1613" i="1"/>
  <c r="BT1614" i="1"/>
  <c r="BT1615" i="1"/>
  <c r="BT1616" i="1"/>
  <c r="BT1617" i="1"/>
  <c r="BT1618" i="1"/>
  <c r="BT1619" i="1"/>
  <c r="BT1620" i="1"/>
  <c r="BT1621" i="1"/>
  <c r="BT1622" i="1"/>
  <c r="BT1623" i="1"/>
  <c r="BT1624" i="1"/>
  <c r="BT1625" i="1"/>
  <c r="BT1626" i="1"/>
  <c r="BT1627" i="1"/>
  <c r="BT1628" i="1"/>
  <c r="BT1629" i="1"/>
  <c r="BT1630" i="1"/>
  <c r="BT1631" i="1"/>
  <c r="BT1632" i="1"/>
  <c r="BT1633" i="1"/>
  <c r="BT1634" i="1"/>
  <c r="BT1635" i="1"/>
  <c r="BT1636" i="1"/>
  <c r="BT1637" i="1"/>
  <c r="BT1638" i="1"/>
  <c r="BT1639" i="1"/>
  <c r="BT1640" i="1"/>
  <c r="BT1641" i="1"/>
  <c r="BT1642" i="1"/>
  <c r="BT1644" i="1"/>
  <c r="BT1645" i="1"/>
  <c r="BT1646" i="1"/>
  <c r="BT1647" i="1"/>
  <c r="BT1648" i="1"/>
  <c r="BT1649" i="1"/>
  <c r="BT1650" i="1"/>
  <c r="BT1651" i="1"/>
  <c r="BT1652" i="1"/>
  <c r="BT1653" i="1"/>
  <c r="BT1654" i="1"/>
  <c r="BT1655" i="1"/>
  <c r="BT1656" i="1"/>
  <c r="BT1657" i="1"/>
  <c r="BT1658" i="1"/>
  <c r="BT1659" i="1"/>
  <c r="BT1660" i="1"/>
  <c r="BT1662" i="1"/>
  <c r="BT1663" i="1"/>
  <c r="BT1664" i="1"/>
  <c r="BT1665" i="1"/>
  <c r="BT1666" i="1"/>
  <c r="BT1667" i="1"/>
  <c r="BT1668" i="1"/>
  <c r="BT1669" i="1"/>
  <c r="BT1670" i="1"/>
  <c r="BT1671" i="1"/>
  <c r="BT1672" i="1"/>
  <c r="BT1673" i="1"/>
  <c r="BT1674" i="1"/>
  <c r="BT1675" i="1"/>
  <c r="BT1676" i="1"/>
  <c r="BT1677" i="1"/>
  <c r="BT1678" i="1"/>
  <c r="BT1679" i="1"/>
  <c r="BT1680" i="1"/>
  <c r="BT1681" i="1"/>
  <c r="BT1682" i="1"/>
  <c r="BT1683" i="1"/>
  <c r="BT1684" i="1"/>
  <c r="BT1685" i="1"/>
  <c r="BT1686" i="1"/>
  <c r="BT1687" i="1"/>
  <c r="BT1688" i="1"/>
  <c r="BT1689" i="1"/>
  <c r="BT1690" i="1"/>
  <c r="BT1691" i="1"/>
  <c r="BT1692" i="1"/>
  <c r="BT1693" i="1"/>
  <c r="BT1694" i="1"/>
  <c r="BT1695" i="1"/>
  <c r="BT1696" i="1"/>
  <c r="BT1697" i="1"/>
  <c r="BT1698" i="1"/>
  <c r="BT1699" i="1"/>
  <c r="BT1700" i="1"/>
  <c r="BT1701" i="1"/>
  <c r="BT1702" i="1"/>
  <c r="BT1703" i="1"/>
  <c r="BT1704" i="1"/>
  <c r="BT1705" i="1"/>
  <c r="BT1706" i="1"/>
  <c r="BT1707" i="1"/>
  <c r="BT1708" i="1"/>
  <c r="BT1709" i="1"/>
  <c r="BT1710" i="1"/>
  <c r="BT1711" i="1"/>
  <c r="BT1712" i="1"/>
  <c r="BT1713" i="1"/>
  <c r="BT1714" i="1"/>
  <c r="BT1715" i="1"/>
  <c r="BT1716" i="1"/>
  <c r="BT1717" i="1"/>
  <c r="BT1718" i="1"/>
  <c r="BT1719" i="1"/>
  <c r="BT1720" i="1"/>
  <c r="BT1721" i="1"/>
  <c r="BT1722" i="1"/>
  <c r="BT1723" i="1"/>
  <c r="BT1724" i="1"/>
  <c r="BT1725" i="1"/>
  <c r="BT1726" i="1"/>
  <c r="BT1727" i="1"/>
  <c r="BT1728" i="1"/>
  <c r="BT1729" i="1"/>
  <c r="BT1730" i="1"/>
  <c r="BT1731" i="1"/>
  <c r="BT1732" i="1"/>
  <c r="BT1733" i="1"/>
  <c r="BT1734" i="1"/>
  <c r="BT1735" i="1"/>
  <c r="BT1736" i="1"/>
  <c r="BT1737" i="1"/>
  <c r="BT1738" i="1"/>
  <c r="BT1739" i="1"/>
  <c r="BT1740" i="1"/>
  <c r="BT1741" i="1"/>
  <c r="BT1742" i="1"/>
  <c r="BT1743" i="1"/>
  <c r="BT1744" i="1"/>
  <c r="BT1745" i="1"/>
  <c r="BT1746" i="1"/>
  <c r="BT1747" i="1"/>
  <c r="BT1748" i="1"/>
  <c r="BT1749" i="1"/>
  <c r="BT1750" i="1"/>
  <c r="BT1751" i="1"/>
  <c r="BT1752" i="1"/>
  <c r="BT1753" i="1"/>
  <c r="BT1755" i="1"/>
  <c r="BT1756" i="1"/>
  <c r="BT1758" i="1"/>
  <c r="BT1759" i="1"/>
  <c r="BT1760" i="1"/>
  <c r="BT1761" i="1"/>
  <c r="BT1762" i="1"/>
  <c r="BT1763" i="1"/>
  <c r="BT1764" i="1"/>
  <c r="BT1765" i="1"/>
  <c r="BT1766" i="1"/>
  <c r="BT1767" i="1"/>
  <c r="BT1768" i="1"/>
  <c r="BT1769" i="1"/>
  <c r="BT1770" i="1"/>
  <c r="BT1771" i="1"/>
  <c r="BT1773" i="1"/>
  <c r="BT1774" i="1"/>
  <c r="BT1776" i="1"/>
  <c r="BT1777" i="1"/>
  <c r="BT1778" i="1"/>
  <c r="BT1779" i="1"/>
  <c r="BT1780" i="1"/>
  <c r="BT1781" i="1"/>
  <c r="BT1782" i="1"/>
  <c r="BT1783" i="1"/>
  <c r="BT1784" i="1"/>
  <c r="BT1785" i="1"/>
  <c r="BT1786" i="1"/>
  <c r="BT1787" i="1"/>
  <c r="BT1788" i="1"/>
  <c r="BT1789" i="1"/>
  <c r="BT1790" i="1"/>
  <c r="BT1791" i="1"/>
  <c r="BT1792" i="1"/>
  <c r="BT1793" i="1"/>
  <c r="BT1794" i="1"/>
  <c r="BT1795" i="1"/>
  <c r="BT1796" i="1"/>
  <c r="BT1797" i="1"/>
  <c r="BT1798" i="1"/>
  <c r="BT1799" i="1"/>
  <c r="BT1800" i="1"/>
  <c r="BT1801" i="1"/>
  <c r="BT1803" i="1"/>
  <c r="BT1804" i="1"/>
  <c r="BT1805" i="1"/>
  <c r="BT1806" i="1"/>
  <c r="BT1807" i="1"/>
  <c r="BT1808" i="1"/>
  <c r="BT1809" i="1"/>
  <c r="BT1810" i="1"/>
  <c r="BT1811" i="1"/>
  <c r="BT1812" i="1"/>
  <c r="BT1813" i="1"/>
  <c r="BT1814" i="1"/>
  <c r="BT1815" i="1"/>
  <c r="BT1816" i="1"/>
  <c r="BT1817" i="1"/>
  <c r="BT1818" i="1"/>
  <c r="BT1819" i="1"/>
  <c r="BT1820" i="1"/>
  <c r="BT1821" i="1"/>
  <c r="BT1822" i="1"/>
  <c r="BT1823" i="1"/>
  <c r="BT1824" i="1"/>
  <c r="BT1825" i="1"/>
  <c r="BT1826" i="1"/>
  <c r="BT1827" i="1"/>
  <c r="BT1828" i="1"/>
  <c r="BT1829" i="1"/>
  <c r="BT1830" i="1"/>
  <c r="BT1831" i="1"/>
  <c r="BT1832" i="1"/>
  <c r="BT1833" i="1"/>
  <c r="BT1834" i="1"/>
  <c r="BT1835" i="1"/>
  <c r="BT1836" i="1"/>
  <c r="BT1837" i="1"/>
  <c r="BT1838" i="1"/>
  <c r="BT1839" i="1"/>
  <c r="BT1840" i="1"/>
  <c r="BT1841" i="1"/>
  <c r="BT1842" i="1"/>
  <c r="BT1844" i="1"/>
  <c r="BT1845" i="1"/>
  <c r="BT1846" i="1"/>
  <c r="BT1847" i="1"/>
  <c r="BT1848" i="1"/>
  <c r="BT1849" i="1"/>
  <c r="BT1850" i="1"/>
  <c r="BT1851" i="1"/>
  <c r="BT1852" i="1"/>
  <c r="BT1853" i="1"/>
  <c r="BT1854" i="1"/>
  <c r="BT1855" i="1"/>
  <c r="BT1856" i="1"/>
  <c r="BT1857" i="1"/>
  <c r="BT1858" i="1"/>
  <c r="BT1859" i="1"/>
  <c r="BT1860" i="1"/>
  <c r="BT1861" i="1"/>
  <c r="BT1862" i="1"/>
  <c r="BT1863" i="1"/>
  <c r="BT1864" i="1"/>
  <c r="BT1866" i="1"/>
  <c r="BT1867" i="1"/>
  <c r="BT1868" i="1"/>
  <c r="BT1869" i="1"/>
  <c r="BT1870" i="1"/>
  <c r="BT1871" i="1"/>
  <c r="BT1872" i="1"/>
  <c r="BT1873" i="1"/>
  <c r="BT1874" i="1"/>
  <c r="BT1875" i="1"/>
  <c r="BT1876" i="1"/>
  <c r="BT1877" i="1"/>
  <c r="BT1879" i="1"/>
  <c r="BT1880" i="1"/>
  <c r="BT1881" i="1"/>
  <c r="BT1882" i="1"/>
  <c r="BT1883" i="1"/>
  <c r="BT1884" i="1"/>
  <c r="BT1886" i="1"/>
  <c r="BT1887" i="1"/>
  <c r="BT1889" i="1"/>
  <c r="BT1890" i="1"/>
  <c r="BT1891" i="1"/>
  <c r="BT1892" i="1"/>
  <c r="BT1893" i="1"/>
  <c r="BT1894" i="1"/>
  <c r="BT1895" i="1"/>
  <c r="BT1896" i="1"/>
  <c r="BT1897" i="1"/>
  <c r="BT1898" i="1"/>
  <c r="BT1899" i="1"/>
  <c r="BT1900" i="1"/>
  <c r="BT1901" i="1"/>
  <c r="BT1902" i="1"/>
  <c r="BT1903" i="1"/>
  <c r="BT1904" i="1"/>
  <c r="BT1905" i="1"/>
  <c r="BT1906" i="1"/>
  <c r="BT1907" i="1"/>
  <c r="BT1908" i="1"/>
  <c r="BT1909" i="1"/>
  <c r="BT1910" i="1"/>
  <c r="BT1911" i="1"/>
  <c r="BT1912" i="1"/>
  <c r="BT1913" i="1"/>
  <c r="BT1914" i="1"/>
  <c r="BT1915" i="1"/>
  <c r="BT1916" i="1"/>
  <c r="BT1917" i="1"/>
  <c r="BT1918" i="1"/>
  <c r="BT1919" i="1"/>
  <c r="BT1920" i="1"/>
  <c r="BT1921" i="1"/>
  <c r="BT1922" i="1"/>
  <c r="BT1923" i="1"/>
  <c r="BT1924" i="1"/>
  <c r="BT1925" i="1"/>
  <c r="BT1926" i="1"/>
  <c r="BT1927" i="1"/>
  <c r="BT1928" i="1"/>
  <c r="BT1929" i="1"/>
  <c r="BT1930" i="1"/>
  <c r="BT1931" i="1"/>
  <c r="BT1932" i="1"/>
  <c r="BT1933" i="1"/>
  <c r="BT1934" i="1"/>
  <c r="BT1935" i="1"/>
  <c r="BT1936" i="1"/>
  <c r="BT1937" i="1"/>
  <c r="BT1938" i="1"/>
  <c r="BT1939" i="1"/>
  <c r="BT1940" i="1"/>
  <c r="BT1941" i="1"/>
  <c r="BT1942" i="1"/>
  <c r="BT1943" i="1"/>
  <c r="BT1944" i="1"/>
  <c r="BT1945" i="1"/>
  <c r="BT1946" i="1"/>
  <c r="BT1947" i="1"/>
  <c r="BT1948" i="1"/>
  <c r="BT1949" i="1"/>
  <c r="BT1950" i="1"/>
  <c r="BT1951" i="1"/>
  <c r="BT1952" i="1"/>
  <c r="BT1953" i="1"/>
  <c r="BT1954" i="1"/>
  <c r="BT1955" i="1"/>
  <c r="BT1956" i="1"/>
  <c r="BT1957" i="1"/>
  <c r="BT1958" i="1"/>
  <c r="BT1959" i="1"/>
  <c r="BT1960" i="1"/>
  <c r="BT1961" i="1"/>
  <c r="BT1962" i="1"/>
  <c r="BT1964" i="1"/>
  <c r="BT1965" i="1"/>
  <c r="BT1966" i="1"/>
  <c r="BT1967" i="1"/>
  <c r="BT1968" i="1"/>
  <c r="BT1969" i="1"/>
  <c r="BT1970" i="1"/>
  <c r="BT1971" i="1"/>
  <c r="BT1973" i="1"/>
  <c r="BT1974" i="1"/>
  <c r="BT1975" i="1"/>
  <c r="BT1976" i="1"/>
  <c r="BT1977" i="1"/>
  <c r="BT1978" i="1"/>
  <c r="BT1979" i="1"/>
  <c r="BT1980" i="1"/>
  <c r="BT1981" i="1"/>
  <c r="BT1982" i="1"/>
  <c r="BT1983" i="1"/>
  <c r="BT1984" i="1"/>
  <c r="BT1985" i="1"/>
  <c r="BT1986" i="1"/>
  <c r="BT1987" i="1"/>
  <c r="BT1988" i="1"/>
  <c r="BT1989" i="1"/>
  <c r="BT1990" i="1"/>
  <c r="BT1991" i="1"/>
  <c r="BT1992" i="1"/>
  <c r="BT1993" i="1"/>
  <c r="BT1994" i="1"/>
  <c r="BT1995" i="1"/>
  <c r="BT1996" i="1"/>
  <c r="BT1997" i="1"/>
  <c r="BT1998" i="1"/>
  <c r="BT1999" i="1"/>
  <c r="BT2000" i="1"/>
  <c r="BT2001" i="1"/>
  <c r="BT2002" i="1"/>
  <c r="BT2003" i="1"/>
  <c r="BT2004" i="1"/>
  <c r="BT2005" i="1"/>
  <c r="BT2006" i="1"/>
  <c r="BT2007" i="1"/>
  <c r="BT2008" i="1"/>
  <c r="BT2009" i="1"/>
  <c r="BT2010" i="1"/>
  <c r="BT2011" i="1"/>
  <c r="BT2012" i="1"/>
  <c r="BT2013" i="1"/>
  <c r="BT2014" i="1"/>
  <c r="BT2015" i="1"/>
  <c r="BT2016" i="1"/>
  <c r="BT2017" i="1"/>
  <c r="BT2018" i="1"/>
  <c r="BT2019" i="1"/>
  <c r="BT2020" i="1"/>
  <c r="BT2021" i="1"/>
  <c r="BT2022" i="1"/>
  <c r="BT2023" i="1"/>
  <c r="BT2024" i="1"/>
  <c r="BT2025" i="1"/>
  <c r="BT2027" i="1"/>
  <c r="BT2028" i="1"/>
  <c r="BT2029" i="1"/>
  <c r="BT2030" i="1"/>
  <c r="BT2031" i="1"/>
  <c r="BT2032" i="1"/>
  <c r="BT2033" i="1"/>
  <c r="BT2034" i="1"/>
  <c r="BT2035" i="1"/>
  <c r="BT2036" i="1"/>
  <c r="BT2037" i="1"/>
  <c r="BT2038" i="1"/>
  <c r="BT2039" i="1"/>
  <c r="BT2040" i="1"/>
  <c r="BT2041" i="1"/>
  <c r="BT2042" i="1"/>
  <c r="BT2043" i="1"/>
  <c r="BT2044" i="1"/>
  <c r="BT2045" i="1"/>
  <c r="BT2046" i="1"/>
  <c r="BT2047" i="1"/>
  <c r="BT2048" i="1"/>
  <c r="BT2049" i="1"/>
  <c r="BT2050" i="1"/>
  <c r="BT2051" i="1"/>
  <c r="BT2052" i="1"/>
  <c r="BT2053" i="1"/>
  <c r="BT2054" i="1"/>
  <c r="BT2055" i="1"/>
  <c r="BT2056" i="1"/>
  <c r="BT2057" i="1"/>
  <c r="BT2058" i="1"/>
  <c r="BT2059" i="1"/>
  <c r="BT2060" i="1"/>
  <c r="BT2061" i="1"/>
  <c r="BT2062" i="1"/>
  <c r="BT2063" i="1"/>
  <c r="BT2064" i="1"/>
  <c r="BT2065" i="1"/>
  <c r="BT2066" i="1"/>
  <c r="BT2067" i="1"/>
  <c r="BT2068" i="1"/>
  <c r="BT2069" i="1"/>
  <c r="BT2070" i="1"/>
  <c r="BT2071" i="1"/>
  <c r="BT2072" i="1"/>
  <c r="BT2073" i="1"/>
  <c r="BT2074" i="1"/>
  <c r="BT2075" i="1"/>
  <c r="BT2076" i="1"/>
  <c r="BT2077" i="1"/>
  <c r="BT2078" i="1"/>
  <c r="BT2079" i="1"/>
  <c r="BT2080" i="1"/>
  <c r="BT2081" i="1"/>
  <c r="BT2082" i="1"/>
  <c r="BT2083" i="1"/>
  <c r="BT2084" i="1"/>
  <c r="BT2085" i="1"/>
  <c r="BT2086" i="1"/>
  <c r="BT2087" i="1"/>
  <c r="BT2088" i="1"/>
  <c r="BT2089" i="1"/>
  <c r="BT2090" i="1"/>
  <c r="BT2091" i="1"/>
  <c r="BT2092" i="1"/>
  <c r="BT2093" i="1"/>
  <c r="BT2094" i="1"/>
  <c r="BT2095" i="1"/>
  <c r="BT2096" i="1"/>
  <c r="BT2097" i="1"/>
  <c r="BT2098" i="1"/>
  <c r="BT2099" i="1"/>
  <c r="BT2100" i="1"/>
  <c r="BT2101" i="1"/>
  <c r="BT2102" i="1"/>
  <c r="BT2103" i="1"/>
  <c r="BT2104" i="1"/>
  <c r="BT2105" i="1"/>
  <c r="BT2106" i="1"/>
  <c r="BT2107" i="1"/>
  <c r="BT2108" i="1"/>
  <c r="BT2109" i="1"/>
  <c r="BT2110" i="1"/>
  <c r="BT2111" i="1"/>
  <c r="BT2112" i="1"/>
  <c r="BT2113" i="1"/>
  <c r="BT2114" i="1"/>
  <c r="BT2115" i="1"/>
  <c r="BT2116" i="1"/>
  <c r="BT2117" i="1"/>
  <c r="BT2118" i="1"/>
  <c r="BT2119" i="1"/>
  <c r="BT2120" i="1"/>
  <c r="BT2121" i="1"/>
  <c r="BT2122" i="1"/>
  <c r="BT2123" i="1"/>
  <c r="BT2124" i="1"/>
  <c r="BT2125" i="1"/>
  <c r="BT2126" i="1"/>
  <c r="BT2127" i="1"/>
  <c r="BT2128" i="1"/>
  <c r="BT2129" i="1"/>
  <c r="BT2131" i="1"/>
  <c r="BT2132" i="1"/>
  <c r="BT2133" i="1"/>
  <c r="BT2134" i="1"/>
  <c r="BT2135" i="1"/>
  <c r="BT2136" i="1"/>
  <c r="BT2137" i="1"/>
  <c r="BT2138" i="1"/>
  <c r="BT2139" i="1"/>
  <c r="BT2140" i="1"/>
  <c r="BT2141" i="1"/>
  <c r="BT2142" i="1"/>
  <c r="BT2143" i="1"/>
  <c r="BT2144" i="1"/>
  <c r="BT2145" i="1"/>
  <c r="BT2146" i="1"/>
  <c r="BT2147" i="1"/>
  <c r="BT2148" i="1"/>
  <c r="BT2149" i="1"/>
  <c r="BT2150" i="1"/>
  <c r="BT2151" i="1"/>
  <c r="BT2152" i="1"/>
  <c r="BT2153" i="1"/>
  <c r="BT2154" i="1"/>
  <c r="BT2155" i="1"/>
  <c r="BT2156" i="1"/>
  <c r="BT2157" i="1"/>
  <c r="BT2158" i="1"/>
  <c r="BT2159" i="1"/>
  <c r="BT2160" i="1"/>
  <c r="BT2161" i="1"/>
  <c r="BT2162" i="1"/>
  <c r="BT2163" i="1"/>
  <c r="BT2164" i="1"/>
  <c r="BT2165" i="1"/>
  <c r="BT2166" i="1"/>
  <c r="BT2167" i="1"/>
  <c r="BT2168" i="1"/>
  <c r="BT2169" i="1"/>
  <c r="BT2170" i="1"/>
  <c r="BT2171" i="1"/>
  <c r="BT2172" i="1"/>
  <c r="BT2173" i="1"/>
  <c r="BT2174" i="1"/>
  <c r="BT2175" i="1"/>
  <c r="BT2176" i="1"/>
  <c r="BT2177" i="1"/>
  <c r="BT2178" i="1"/>
  <c r="BT2179" i="1"/>
  <c r="BT2180" i="1"/>
  <c r="BT2181" i="1"/>
  <c r="BT2182" i="1"/>
  <c r="BT2183" i="1"/>
  <c r="BT2184" i="1"/>
  <c r="BT2185" i="1"/>
  <c r="BT2186" i="1"/>
  <c r="BT2187" i="1"/>
  <c r="BT2188" i="1"/>
  <c r="BT2189" i="1"/>
  <c r="BT2190" i="1"/>
  <c r="BT2191" i="1"/>
  <c r="BT2192" i="1"/>
  <c r="BT2193" i="1"/>
  <c r="BT2194" i="1"/>
  <c r="BT2195" i="1"/>
  <c r="BT2196" i="1"/>
  <c r="BT2197" i="1"/>
  <c r="BT2198" i="1"/>
  <c r="BT2199" i="1"/>
  <c r="BT2200" i="1"/>
  <c r="BT2201" i="1"/>
  <c r="BT2202" i="1"/>
  <c r="BT2203" i="1"/>
  <c r="BT2204" i="1"/>
  <c r="BT2205" i="1"/>
  <c r="BT2207" i="1"/>
  <c r="BT2208" i="1"/>
  <c r="BT2209" i="1"/>
  <c r="BT2210" i="1"/>
  <c r="BT2211" i="1"/>
  <c r="BT2212" i="1"/>
  <c r="BT2213" i="1"/>
  <c r="BT2214" i="1"/>
  <c r="BT2215" i="1"/>
  <c r="BT2216" i="1"/>
  <c r="BT2217" i="1"/>
  <c r="BT2218" i="1"/>
  <c r="BT2219" i="1"/>
  <c r="BT2220" i="1"/>
  <c r="BT2221" i="1"/>
  <c r="BT2222" i="1"/>
  <c r="BT2223" i="1"/>
  <c r="BT2224" i="1"/>
  <c r="BT2225" i="1"/>
  <c r="BT2226" i="1"/>
  <c r="BT2227" i="1"/>
  <c r="BT2228" i="1"/>
  <c r="BT2229" i="1"/>
  <c r="BT2230" i="1"/>
  <c r="BT2231" i="1"/>
  <c r="BT2232" i="1"/>
  <c r="BT2233" i="1"/>
  <c r="BT2234" i="1"/>
  <c r="BT2235" i="1"/>
  <c r="BT2236" i="1"/>
  <c r="BT2237" i="1"/>
  <c r="BT2238" i="1"/>
  <c r="BT2239" i="1"/>
  <c r="BT2240" i="1"/>
  <c r="BT2241" i="1"/>
  <c r="BT2242" i="1"/>
  <c r="BT2243" i="1"/>
  <c r="BT2244" i="1"/>
  <c r="BT2245" i="1"/>
  <c r="BT2246" i="1"/>
  <c r="BT2247" i="1"/>
  <c r="BT2248" i="1"/>
  <c r="BT2249" i="1"/>
  <c r="BT2250" i="1"/>
  <c r="BT2251" i="1"/>
  <c r="BT2252" i="1"/>
  <c r="BT2253" i="1"/>
  <c r="BT2254" i="1"/>
  <c r="BT2255" i="1"/>
  <c r="BT2256" i="1"/>
  <c r="BT2257" i="1"/>
  <c r="BT2258" i="1"/>
  <c r="BT2259" i="1"/>
  <c r="BT2260" i="1"/>
  <c r="BT2261" i="1"/>
  <c r="BT2262" i="1"/>
  <c r="BT2263" i="1"/>
  <c r="BT2264" i="1"/>
  <c r="BT2265" i="1"/>
  <c r="BT2266" i="1"/>
  <c r="BT2267" i="1"/>
  <c r="BT2268" i="1"/>
  <c r="BT2269" i="1"/>
  <c r="BT2270" i="1"/>
  <c r="BT2271" i="1"/>
  <c r="BT2272" i="1"/>
  <c r="BT2273" i="1"/>
  <c r="BT2274" i="1"/>
  <c r="BT2275" i="1"/>
  <c r="BT2276" i="1"/>
  <c r="BT2277" i="1"/>
  <c r="BT2278" i="1"/>
  <c r="BT2279" i="1"/>
  <c r="BT2280" i="1"/>
  <c r="BT2281" i="1"/>
  <c r="BT2282" i="1"/>
  <c r="BT2283" i="1"/>
  <c r="BT2284" i="1"/>
  <c r="BT2285" i="1"/>
  <c r="BT2286" i="1"/>
  <c r="BT2287" i="1"/>
  <c r="BT2288" i="1"/>
  <c r="BT2289" i="1"/>
  <c r="BT2290" i="1"/>
  <c r="BT2291" i="1"/>
  <c r="BT2292" i="1"/>
  <c r="BT2293" i="1"/>
  <c r="BT2294" i="1"/>
  <c r="BT2295" i="1"/>
  <c r="BT2296" i="1"/>
  <c r="BT2298" i="1"/>
  <c r="BT2299" i="1"/>
  <c r="BT2300" i="1"/>
  <c r="BT2301" i="1"/>
  <c r="BT2302" i="1"/>
  <c r="BT2303" i="1"/>
  <c r="BT2304" i="1"/>
  <c r="BT2305" i="1"/>
  <c r="BT2306" i="1"/>
  <c r="BT2307" i="1"/>
  <c r="BT2308" i="1"/>
  <c r="BT2309" i="1"/>
  <c r="BT2310" i="1"/>
  <c r="BT2311" i="1"/>
  <c r="BT2312" i="1"/>
  <c r="BT2313" i="1"/>
  <c r="BT2314" i="1"/>
  <c r="BT2315" i="1"/>
  <c r="BT2316" i="1"/>
  <c r="BT2317" i="1"/>
  <c r="BT2318" i="1"/>
  <c r="BT2319" i="1"/>
  <c r="BT2321" i="1"/>
  <c r="BT2322" i="1"/>
  <c r="BT2323" i="1"/>
  <c r="BT2324" i="1"/>
  <c r="BT2325" i="1"/>
  <c r="BT2326" i="1"/>
  <c r="BT2327" i="1"/>
  <c r="BT2328" i="1"/>
  <c r="BT2329" i="1"/>
  <c r="BT2330" i="1"/>
  <c r="BT2331" i="1"/>
  <c r="BT2332" i="1"/>
  <c r="BT2333" i="1"/>
  <c r="BT2334" i="1"/>
  <c r="BT2335" i="1"/>
  <c r="BT2336" i="1"/>
  <c r="BT2337" i="1"/>
  <c r="BT2338" i="1"/>
  <c r="BT2339" i="1"/>
  <c r="BT2340" i="1"/>
  <c r="BT2342" i="1"/>
  <c r="BT2343" i="1"/>
  <c r="BT2344" i="1"/>
  <c r="BT2345" i="1"/>
  <c r="BT2346" i="1"/>
  <c r="BT2347" i="1"/>
  <c r="BT2348" i="1"/>
  <c r="BT2349" i="1"/>
  <c r="BT2350" i="1"/>
  <c r="BT2351" i="1"/>
  <c r="BT2352" i="1"/>
  <c r="BT2353" i="1"/>
  <c r="BT2354" i="1"/>
  <c r="BT2355" i="1"/>
  <c r="BT2356" i="1"/>
  <c r="BT2357" i="1"/>
  <c r="BT2358" i="1"/>
  <c r="BT2359" i="1"/>
  <c r="BT2360" i="1"/>
  <c r="BT2362" i="1"/>
  <c r="BT2364" i="1"/>
  <c r="BT2365" i="1"/>
  <c r="BT2366" i="1"/>
  <c r="BT2367" i="1"/>
  <c r="BT2368" i="1"/>
  <c r="BT2369" i="1"/>
  <c r="BT2370" i="1"/>
  <c r="BT2371" i="1"/>
  <c r="BT2372" i="1"/>
  <c r="BT2373" i="1"/>
  <c r="BT2374" i="1"/>
  <c r="BT2375" i="1"/>
  <c r="BT2376" i="1"/>
  <c r="BT2377" i="1"/>
  <c r="BT2378" i="1"/>
  <c r="BT2380" i="1"/>
  <c r="BT2381" i="1"/>
  <c r="BT2382" i="1"/>
  <c r="BT2383" i="1"/>
  <c r="BT2384" i="1"/>
  <c r="BT2385" i="1"/>
  <c r="BT2386" i="1"/>
  <c r="BT2387" i="1"/>
  <c r="BT2388" i="1"/>
  <c r="BT2389" i="1"/>
  <c r="BT2390" i="1"/>
  <c r="BT2391" i="1"/>
  <c r="BT2392" i="1"/>
  <c r="BT2393" i="1"/>
  <c r="BT2394" i="1"/>
  <c r="BT2395" i="1"/>
  <c r="BT2396" i="1"/>
  <c r="BT2397" i="1"/>
  <c r="BT2398" i="1"/>
  <c r="BT2399" i="1"/>
  <c r="BT2400" i="1"/>
  <c r="BT2401" i="1"/>
  <c r="BT2402" i="1"/>
  <c r="BT2403" i="1"/>
  <c r="BT2404" i="1"/>
  <c r="BT2405" i="1"/>
  <c r="BT2406" i="1"/>
  <c r="BT2407" i="1"/>
  <c r="BT2408" i="1"/>
  <c r="BT2409" i="1"/>
  <c r="BT2410" i="1"/>
  <c r="BT2411" i="1"/>
  <c r="BT2412" i="1"/>
  <c r="BT2413" i="1"/>
  <c r="BT2414" i="1"/>
  <c r="BT2415" i="1"/>
  <c r="BT2416" i="1"/>
  <c r="BT2417" i="1"/>
  <c r="BT2418" i="1"/>
  <c r="BT2419" i="1"/>
  <c r="BT2420" i="1"/>
  <c r="BT2421" i="1"/>
  <c r="BT2422" i="1"/>
  <c r="BT2423" i="1"/>
  <c r="BT2424" i="1"/>
  <c r="BT2425" i="1"/>
  <c r="BT2426" i="1"/>
  <c r="BT2428" i="1"/>
  <c r="BT2429" i="1"/>
  <c r="BT2430" i="1"/>
  <c r="BT2431" i="1"/>
  <c r="BT2432" i="1"/>
  <c r="BT2433" i="1"/>
  <c r="BT2434" i="1"/>
  <c r="BT2435" i="1"/>
  <c r="BT2436" i="1"/>
  <c r="BT2437" i="1"/>
  <c r="BT2438" i="1"/>
  <c r="BT2439" i="1"/>
  <c r="BT2440" i="1"/>
  <c r="BT2441" i="1"/>
  <c r="BT2442" i="1"/>
  <c r="BT2443" i="1"/>
  <c r="BT2444" i="1"/>
  <c r="BT2445" i="1"/>
  <c r="BT2446" i="1"/>
  <c r="BT2447" i="1"/>
  <c r="BT2448" i="1"/>
  <c r="BT2449" i="1"/>
  <c r="BT2450" i="1"/>
  <c r="BT2451" i="1"/>
  <c r="BT2452" i="1"/>
  <c r="BT2453" i="1"/>
  <c r="BT2454" i="1"/>
  <c r="BT2455" i="1"/>
  <c r="BT2456" i="1"/>
  <c r="BT2457" i="1"/>
  <c r="BT2458" i="1"/>
  <c r="BT2459" i="1"/>
  <c r="BT2460" i="1"/>
  <c r="BT2461" i="1"/>
  <c r="BT2462" i="1"/>
  <c r="BT2463" i="1"/>
  <c r="BT2464" i="1"/>
  <c r="BT2465" i="1"/>
  <c r="BT2466" i="1"/>
  <c r="BT2467" i="1"/>
  <c r="BT2468" i="1"/>
  <c r="BT2469" i="1"/>
  <c r="BT2470" i="1"/>
  <c r="BT2471" i="1"/>
  <c r="BT2472" i="1"/>
  <c r="BT2474" i="1"/>
  <c r="BT2475" i="1"/>
  <c r="BT2476" i="1"/>
  <c r="BT2477" i="1"/>
  <c r="BT2478" i="1"/>
  <c r="BT2479" i="1"/>
  <c r="BT2480" i="1"/>
  <c r="BT2481" i="1"/>
  <c r="BT2482" i="1"/>
  <c r="BT2483" i="1"/>
  <c r="BT2484" i="1"/>
  <c r="BT2485" i="1"/>
  <c r="BT2486" i="1"/>
  <c r="BT2487" i="1"/>
  <c r="BT2488" i="1"/>
  <c r="BT2489" i="1"/>
  <c r="BT2490" i="1"/>
  <c r="BT2491" i="1"/>
  <c r="BT2492" i="1"/>
  <c r="BT2493" i="1"/>
  <c r="BT2494" i="1"/>
  <c r="BT2495" i="1"/>
  <c r="BT2496" i="1"/>
  <c r="BT2497" i="1"/>
  <c r="BT2498" i="1"/>
  <c r="BT2499" i="1"/>
  <c r="BT2500" i="1"/>
  <c r="BT2501" i="1"/>
  <c r="BT2502" i="1"/>
  <c r="BT2503" i="1"/>
  <c r="BT2504" i="1"/>
  <c r="BT2505" i="1"/>
  <c r="BT2506" i="1"/>
  <c r="BT2507" i="1"/>
  <c r="BT2508" i="1"/>
  <c r="BT2509" i="1"/>
  <c r="BT2510" i="1"/>
  <c r="BT2511" i="1"/>
  <c r="BT2512" i="1"/>
  <c r="BT2513" i="1"/>
  <c r="BT2514" i="1"/>
  <c r="BT2515" i="1"/>
  <c r="BT2516" i="1"/>
  <c r="BT2517" i="1"/>
  <c r="BT2518" i="1"/>
  <c r="BT2519" i="1"/>
  <c r="BT2520" i="1"/>
  <c r="BT2521" i="1"/>
  <c r="BT2522" i="1"/>
  <c r="BT2523" i="1"/>
  <c r="BT2526" i="1"/>
  <c r="BT2527" i="1"/>
  <c r="BT2529" i="1"/>
  <c r="BT2530" i="1"/>
  <c r="BT2531" i="1"/>
  <c r="BT2532" i="1"/>
  <c r="BT2533" i="1"/>
  <c r="BT2534" i="1"/>
  <c r="BT2535" i="1"/>
  <c r="BT2536" i="1"/>
  <c r="BT2537" i="1"/>
  <c r="BT2538" i="1"/>
  <c r="BT2539" i="1"/>
  <c r="BT2540" i="1"/>
  <c r="BT2541" i="1"/>
  <c r="BT2542" i="1"/>
  <c r="BT2543" i="1"/>
  <c r="BT2544" i="1"/>
  <c r="BT2545" i="1"/>
  <c r="BT2546" i="1"/>
  <c r="BT2547" i="1"/>
  <c r="BT2548" i="1"/>
  <c r="BT2549" i="1"/>
  <c r="BT2550" i="1"/>
  <c r="BT2551" i="1"/>
  <c r="BT2552" i="1"/>
  <c r="BT2553" i="1"/>
  <c r="BT2554" i="1"/>
  <c r="BT2555" i="1"/>
  <c r="BT2556" i="1"/>
  <c r="BT2557" i="1"/>
  <c r="BT2558" i="1"/>
  <c r="BT2559" i="1"/>
  <c r="BT2560" i="1"/>
  <c r="BT2561" i="1"/>
  <c r="BT2562" i="1"/>
  <c r="BT2563" i="1"/>
  <c r="BT2564" i="1"/>
  <c r="BT2565" i="1"/>
  <c r="BT2566" i="1"/>
  <c r="BT2567" i="1"/>
  <c r="BT2568" i="1"/>
  <c r="BT2569" i="1"/>
  <c r="BT2570" i="1"/>
  <c r="BT2571" i="1"/>
  <c r="BT2572" i="1"/>
  <c r="BT2573" i="1"/>
  <c r="BT2574" i="1"/>
  <c r="BT2575" i="1"/>
  <c r="BT2576" i="1"/>
  <c r="BT2577" i="1"/>
  <c r="BT2578" i="1"/>
  <c r="BT2579" i="1"/>
  <c r="BT2580" i="1"/>
  <c r="BT2581" i="1"/>
  <c r="BT2582" i="1"/>
  <c r="BT2583" i="1"/>
  <c r="BT2584" i="1"/>
  <c r="BT2585" i="1"/>
  <c r="BT2586" i="1"/>
  <c r="BT2587" i="1"/>
  <c r="BT2588" i="1"/>
  <c r="BT2589" i="1"/>
  <c r="BT2590" i="1"/>
  <c r="BT2591" i="1"/>
  <c r="BT2592" i="1"/>
  <c r="BT2593" i="1"/>
  <c r="BT2594" i="1"/>
  <c r="BT2595" i="1"/>
  <c r="BT2596" i="1"/>
  <c r="BT2597" i="1"/>
  <c r="BT2598" i="1"/>
  <c r="BT2599" i="1"/>
  <c r="BT2600" i="1"/>
  <c r="BT2601" i="1"/>
  <c r="BT2602" i="1"/>
  <c r="BT2603" i="1"/>
  <c r="BT2604" i="1"/>
  <c r="BT2605" i="1"/>
  <c r="BT2606" i="1"/>
  <c r="BT2607" i="1"/>
  <c r="BT2608" i="1"/>
  <c r="BT2609" i="1"/>
  <c r="BT2610" i="1"/>
  <c r="BT2611" i="1"/>
  <c r="BT2612" i="1"/>
  <c r="BT2613" i="1"/>
  <c r="BT2614" i="1"/>
  <c r="BT2615" i="1"/>
  <c r="BT2616" i="1"/>
  <c r="BT2617" i="1"/>
  <c r="BT2618" i="1"/>
  <c r="BT2619" i="1"/>
  <c r="BT2620" i="1"/>
  <c r="BT2621" i="1"/>
  <c r="BT2622" i="1"/>
  <c r="BT2623" i="1"/>
  <c r="BT2624" i="1"/>
  <c r="BT2625" i="1"/>
  <c r="BT2626" i="1"/>
  <c r="BT2627" i="1"/>
  <c r="BT2628" i="1"/>
  <c r="BT2629" i="1"/>
  <c r="BT2630" i="1"/>
  <c r="BT2631" i="1"/>
  <c r="BT2632" i="1"/>
  <c r="BT2633" i="1"/>
  <c r="BT2634" i="1"/>
  <c r="BT2635" i="1"/>
  <c r="BT2636" i="1"/>
  <c r="BT2637" i="1"/>
  <c r="BT2638" i="1"/>
  <c r="BT2639" i="1"/>
  <c r="BT2640" i="1"/>
  <c r="BT2641" i="1"/>
  <c r="BT2642" i="1"/>
  <c r="BT2643" i="1"/>
  <c r="BT2644" i="1"/>
  <c r="BT2645" i="1"/>
  <c r="BT2646" i="1"/>
  <c r="BT2647" i="1"/>
  <c r="BT2648" i="1"/>
  <c r="BT2649" i="1"/>
  <c r="BT2650" i="1"/>
  <c r="BT2651" i="1"/>
  <c r="BT2652" i="1"/>
  <c r="BT2654" i="1"/>
  <c r="BT2655" i="1"/>
  <c r="BT2656" i="1"/>
  <c r="BT2657" i="1"/>
  <c r="BT2658" i="1"/>
  <c r="BT2659" i="1"/>
  <c r="BT2660" i="1"/>
  <c r="BT2661" i="1"/>
  <c r="BT2662" i="1"/>
  <c r="BT2663" i="1"/>
  <c r="BT2664" i="1"/>
  <c r="BT2665" i="1"/>
  <c r="BT2666" i="1"/>
  <c r="BT2667" i="1"/>
  <c r="BT2668" i="1"/>
  <c r="BT2669" i="1"/>
  <c r="BT2670" i="1"/>
  <c r="BT2671" i="1"/>
  <c r="BT2672" i="1"/>
  <c r="BT2673" i="1"/>
  <c r="BT2674" i="1"/>
  <c r="BT2676" i="1"/>
  <c r="BT2677" i="1"/>
  <c r="BT2678" i="1"/>
  <c r="BT2679" i="1"/>
  <c r="BT2680" i="1"/>
  <c r="BT2681" i="1"/>
  <c r="BT2682" i="1"/>
  <c r="BT2683" i="1"/>
  <c r="BT2684" i="1"/>
  <c r="BT2685" i="1"/>
  <c r="BT2686" i="1"/>
  <c r="BT2687" i="1"/>
  <c r="BT2688" i="1"/>
  <c r="BT2689" i="1"/>
  <c r="BT2690" i="1"/>
  <c r="BT2691" i="1"/>
  <c r="BT2692" i="1"/>
  <c r="BT2693" i="1"/>
  <c r="BT2694" i="1"/>
  <c r="BT2696" i="1"/>
  <c r="BT2697" i="1"/>
  <c r="BT2698" i="1"/>
  <c r="BT2699" i="1"/>
  <c r="BT2700" i="1"/>
  <c r="BT2701" i="1"/>
  <c r="BT2702" i="1"/>
  <c r="BT2703" i="1"/>
  <c r="BT2704" i="1"/>
  <c r="BT2705" i="1"/>
  <c r="BT2706" i="1"/>
  <c r="BT2707" i="1"/>
  <c r="BT2708" i="1"/>
  <c r="BT2709" i="1"/>
  <c r="BT2710" i="1"/>
  <c r="BT2711" i="1"/>
  <c r="BT2712" i="1"/>
  <c r="BT2713" i="1"/>
  <c r="BT2714" i="1"/>
  <c r="BT2716" i="1"/>
  <c r="BT2717" i="1"/>
  <c r="BT2718" i="1"/>
  <c r="BT2719" i="1"/>
  <c r="BT2720" i="1"/>
  <c r="BT2721" i="1"/>
  <c r="BT2722" i="1"/>
  <c r="BT2723" i="1"/>
  <c r="BT2724" i="1"/>
  <c r="BT2725" i="1"/>
  <c r="BT2726" i="1"/>
  <c r="BT2727" i="1"/>
  <c r="BT2728" i="1"/>
  <c r="BT2729" i="1"/>
  <c r="BT2730" i="1"/>
  <c r="BT2732" i="1"/>
  <c r="BT2733" i="1"/>
  <c r="BT2734" i="1"/>
  <c r="BT2735" i="1"/>
  <c r="BT2736" i="1"/>
  <c r="BT2737" i="1"/>
  <c r="BT2738" i="1"/>
  <c r="BT2739" i="1"/>
  <c r="BT2740" i="1"/>
  <c r="BT2741" i="1"/>
  <c r="BT2742" i="1"/>
  <c r="BT2743" i="1"/>
  <c r="BT2744" i="1"/>
  <c r="BT2745" i="1"/>
  <c r="BT2746" i="1"/>
  <c r="BT2747" i="1"/>
  <c r="BT2748" i="1"/>
  <c r="BT2749" i="1"/>
  <c r="BT2750" i="1"/>
  <c r="BT2751" i="1"/>
  <c r="BT2752" i="1"/>
  <c r="BT2753" i="1"/>
  <c r="BT2754" i="1"/>
  <c r="BT2755" i="1"/>
  <c r="BT2756" i="1"/>
  <c r="BT2759" i="1"/>
  <c r="BT2760" i="1"/>
  <c r="BT2761" i="1"/>
  <c r="BT2762" i="1"/>
  <c r="BT2763" i="1"/>
  <c r="BT2764" i="1"/>
  <c r="BT2765" i="1"/>
  <c r="BT2766" i="1"/>
  <c r="BT2767" i="1"/>
  <c r="BT2768" i="1"/>
  <c r="BT2769" i="1"/>
  <c r="BT2770" i="1"/>
  <c r="BT2771" i="1"/>
  <c r="BT2772" i="1"/>
  <c r="BT2773" i="1"/>
  <c r="BT2774" i="1"/>
  <c r="BT2775" i="1"/>
  <c r="BT2776" i="1"/>
  <c r="BT2777" i="1"/>
  <c r="BT2778" i="1"/>
  <c r="BT2779" i="1"/>
  <c r="BT2780" i="1"/>
  <c r="BT2781" i="1"/>
  <c r="BT2783" i="1"/>
  <c r="BT2784" i="1"/>
  <c r="BT2785" i="1"/>
  <c r="BT2786" i="1"/>
  <c r="BT2787" i="1"/>
  <c r="BT2788" i="1"/>
  <c r="BT2789" i="1"/>
  <c r="BT2790" i="1"/>
  <c r="BT2791" i="1"/>
  <c r="BT2792" i="1"/>
  <c r="BT2793" i="1"/>
  <c r="BT2794" i="1"/>
  <c r="BT2795" i="1"/>
  <c r="BT2796" i="1"/>
  <c r="BT2797" i="1"/>
  <c r="BT2798" i="1"/>
  <c r="BT2799" i="1"/>
  <c r="BT2800" i="1"/>
  <c r="BT2801" i="1"/>
  <c r="BT2802" i="1"/>
  <c r="BT2803" i="1"/>
  <c r="BT2804" i="1"/>
  <c r="BT2805" i="1"/>
  <c r="BT2806" i="1"/>
  <c r="BT2807" i="1"/>
  <c r="BT2808" i="1"/>
  <c r="BT2809" i="1"/>
  <c r="BT2810" i="1"/>
  <c r="BT2811" i="1"/>
  <c r="BT2812" i="1"/>
  <c r="BT2813" i="1"/>
  <c r="BT2814" i="1"/>
  <c r="BT2815" i="1"/>
  <c r="BT2816" i="1"/>
  <c r="BT2817" i="1"/>
  <c r="BT2818" i="1"/>
  <c r="BT2819" i="1"/>
  <c r="BT2820" i="1"/>
  <c r="BT2821" i="1"/>
  <c r="BT2822" i="1"/>
  <c r="BT2823" i="1"/>
  <c r="BT2824" i="1"/>
  <c r="BT2825" i="1"/>
  <c r="BT2826" i="1"/>
  <c r="BT2827" i="1"/>
  <c r="BT2828" i="1"/>
  <c r="BT2829" i="1"/>
  <c r="BT2830" i="1"/>
  <c r="BT2831" i="1"/>
  <c r="BT2832" i="1"/>
  <c r="BT2833" i="1"/>
  <c r="BT2834" i="1"/>
  <c r="BT2835" i="1"/>
  <c r="BT2836" i="1"/>
  <c r="BT2837" i="1"/>
  <c r="BT2838" i="1"/>
  <c r="BT2839" i="1"/>
  <c r="BT2840" i="1"/>
  <c r="BT2841" i="1"/>
  <c r="BT2842" i="1"/>
  <c r="BT2843" i="1"/>
  <c r="BT2844" i="1"/>
  <c r="BT2845" i="1"/>
  <c r="BT2846" i="1"/>
  <c r="BT2847" i="1"/>
  <c r="BT2848" i="1"/>
  <c r="BT2849" i="1"/>
  <c r="BT2850" i="1"/>
  <c r="BT2851" i="1"/>
  <c r="BT2852" i="1"/>
  <c r="BT2853" i="1"/>
  <c r="BT2854" i="1"/>
  <c r="BT2855" i="1"/>
  <c r="BT2856" i="1"/>
  <c r="BT2857" i="1"/>
  <c r="BT2858" i="1"/>
  <c r="BT2859" i="1"/>
  <c r="BT2860" i="1"/>
  <c r="BT2861" i="1"/>
  <c r="BT2862" i="1"/>
  <c r="BT2863" i="1"/>
  <c r="BT2864" i="1"/>
  <c r="BT2866" i="1"/>
  <c r="BT2867" i="1"/>
  <c r="BT2868" i="1"/>
  <c r="BT2869" i="1"/>
  <c r="BT2870" i="1"/>
  <c r="BT2871" i="1"/>
  <c r="BT2872" i="1"/>
  <c r="BT2873" i="1"/>
  <c r="BT2874" i="1"/>
  <c r="BT2875" i="1"/>
  <c r="BT2876" i="1"/>
  <c r="BT2877" i="1"/>
  <c r="BT2878" i="1"/>
  <c r="BT2879" i="1"/>
  <c r="BT2880" i="1"/>
  <c r="BT2881" i="1"/>
  <c r="BT2882" i="1"/>
  <c r="BT2883" i="1"/>
  <c r="BT2884" i="1"/>
  <c r="BT2885" i="1"/>
  <c r="BT2886" i="1"/>
  <c r="BT2887" i="1"/>
  <c r="BT2888" i="1"/>
  <c r="BT2889" i="1"/>
  <c r="BT2890" i="1"/>
  <c r="BT2891" i="1"/>
  <c r="BT2893" i="1"/>
  <c r="BT2894" i="1"/>
  <c r="BT2895" i="1"/>
  <c r="BT2896" i="1"/>
  <c r="BT2897" i="1"/>
  <c r="BT2898" i="1"/>
  <c r="BT2899" i="1"/>
  <c r="BT2900" i="1"/>
  <c r="BT2901" i="1"/>
  <c r="BT2902" i="1"/>
  <c r="BT2903" i="1"/>
  <c r="BT2904" i="1"/>
  <c r="BT2905" i="1"/>
  <c r="BT2906" i="1"/>
  <c r="BT2907" i="1"/>
  <c r="BT2908" i="1"/>
  <c r="BT2909" i="1"/>
  <c r="BT2910" i="1"/>
  <c r="BT2911" i="1"/>
  <c r="BT2912" i="1"/>
  <c r="BT2913" i="1"/>
  <c r="BT2914" i="1"/>
  <c r="BT2915" i="1"/>
  <c r="BT2916" i="1"/>
  <c r="BT2917" i="1"/>
  <c r="BT2918" i="1"/>
  <c r="BT2919" i="1"/>
  <c r="BT2920" i="1"/>
  <c r="BT2921" i="1"/>
  <c r="BT2922" i="1"/>
  <c r="BT2923" i="1"/>
  <c r="BT2924" i="1"/>
  <c r="BT2925" i="1"/>
  <c r="BT2926" i="1"/>
  <c r="BT2927" i="1"/>
  <c r="BT2928" i="1"/>
  <c r="BT2929" i="1"/>
  <c r="BT2930" i="1"/>
  <c r="BT2931" i="1"/>
  <c r="BT2933" i="1"/>
  <c r="BT2934" i="1"/>
  <c r="BT2935" i="1"/>
  <c r="BT2936" i="1"/>
  <c r="BT2937" i="1"/>
  <c r="BT2938" i="1"/>
  <c r="BT2939" i="1"/>
  <c r="BT2940" i="1"/>
  <c r="BT2941" i="1"/>
  <c r="BT2942" i="1"/>
  <c r="BT2943" i="1"/>
  <c r="BT2944" i="1"/>
  <c r="BT2945" i="1"/>
  <c r="BT2946" i="1"/>
  <c r="BT2947" i="1"/>
  <c r="BT2948" i="1"/>
  <c r="BT2949" i="1"/>
  <c r="BT2950" i="1"/>
  <c r="BT2951" i="1"/>
  <c r="BT2952" i="1"/>
  <c r="BT2953" i="1"/>
  <c r="BT2954" i="1"/>
  <c r="BT2955" i="1"/>
  <c r="BT2956" i="1"/>
  <c r="BT2957" i="1"/>
  <c r="BT2958" i="1"/>
  <c r="BT2959" i="1"/>
  <c r="BT2960" i="1"/>
  <c r="BT2961" i="1"/>
  <c r="BT2962" i="1"/>
  <c r="BT2963" i="1"/>
  <c r="BT2964" i="1"/>
  <c r="BT2965" i="1"/>
  <c r="BT2966" i="1"/>
  <c r="BT2967" i="1"/>
  <c r="BT2968" i="1"/>
  <c r="BT2969" i="1"/>
  <c r="BT2970" i="1"/>
  <c r="BT2971" i="1"/>
  <c r="BT2972" i="1"/>
  <c r="BT2973" i="1"/>
  <c r="BT2974" i="1"/>
  <c r="BT2975" i="1"/>
  <c r="BT2976" i="1"/>
  <c r="BT2977" i="1"/>
  <c r="BT2978" i="1"/>
  <c r="BT2979" i="1"/>
  <c r="BT2980" i="1"/>
  <c r="BT2981" i="1"/>
  <c r="BT2982" i="1"/>
  <c r="BT2983" i="1"/>
  <c r="BT2984" i="1"/>
  <c r="BT2985" i="1"/>
  <c r="BT2986" i="1"/>
  <c r="BT2987" i="1"/>
  <c r="BT2988" i="1"/>
  <c r="BT2989" i="1"/>
  <c r="BT2990" i="1"/>
  <c r="BT2991" i="1"/>
  <c r="BT2992" i="1"/>
  <c r="BT2994" i="1"/>
  <c r="BT2995" i="1"/>
  <c r="BT2996" i="1"/>
  <c r="BT2997" i="1"/>
  <c r="BT2998" i="1"/>
  <c r="BT2999" i="1"/>
  <c r="BT3000" i="1"/>
  <c r="BT3001" i="1"/>
  <c r="BT3002" i="1"/>
  <c r="BT3003" i="1"/>
  <c r="BT3004" i="1"/>
  <c r="BT3005" i="1"/>
  <c r="BT3006" i="1"/>
  <c r="BT3007" i="1"/>
  <c r="BT3008" i="1"/>
  <c r="BT3009" i="1"/>
  <c r="BT3010" i="1"/>
  <c r="BT3011" i="1"/>
  <c r="BT3012" i="1"/>
  <c r="BT3013" i="1"/>
  <c r="BT3014" i="1"/>
  <c r="BT3016" i="1"/>
  <c r="BT3017" i="1"/>
  <c r="BT3018" i="1"/>
  <c r="BT3019" i="1"/>
  <c r="BT3020" i="1"/>
  <c r="BT3021" i="1"/>
  <c r="BT3022" i="1"/>
  <c r="BT3023" i="1"/>
  <c r="BT3024" i="1"/>
  <c r="BT3025" i="1"/>
  <c r="BT3026" i="1"/>
  <c r="BT3027" i="1"/>
  <c r="BT3028" i="1"/>
  <c r="BT3029" i="1"/>
  <c r="BT3030" i="1"/>
  <c r="BT3031" i="1"/>
  <c r="BT3032" i="1"/>
  <c r="BT3033" i="1"/>
  <c r="BT3034" i="1"/>
  <c r="BT3035" i="1"/>
  <c r="BT3036" i="1"/>
  <c r="BT3037" i="1"/>
  <c r="BT3038" i="1"/>
  <c r="BT3039" i="1"/>
  <c r="BT3040" i="1"/>
  <c r="BT3041" i="1"/>
  <c r="BT3042" i="1"/>
  <c r="BT3043" i="1"/>
  <c r="BT3044" i="1"/>
  <c r="BT3045" i="1"/>
  <c r="BT3046" i="1"/>
  <c r="BT3047" i="1"/>
  <c r="BT3048" i="1"/>
  <c r="BT3049" i="1"/>
  <c r="BT3050" i="1"/>
  <c r="BT3051" i="1"/>
  <c r="BT3052" i="1"/>
  <c r="BT3053" i="1"/>
  <c r="BT3054" i="1"/>
  <c r="BT3055" i="1"/>
  <c r="BT3056" i="1"/>
  <c r="BT3057" i="1"/>
  <c r="BT3058" i="1"/>
  <c r="BT3059" i="1"/>
  <c r="BT3060" i="1"/>
  <c r="BT3061" i="1"/>
  <c r="BT3062" i="1"/>
  <c r="BT3063" i="1"/>
  <c r="BT3064" i="1"/>
  <c r="BT3065" i="1"/>
  <c r="BT3066" i="1"/>
  <c r="BT3067" i="1"/>
  <c r="BT3068" i="1"/>
  <c r="BT3069" i="1"/>
  <c r="BT3070" i="1"/>
  <c r="BT3072" i="1"/>
  <c r="BT3073" i="1"/>
  <c r="BT3075" i="1"/>
  <c r="BT3076" i="1"/>
  <c r="BT3077" i="1"/>
  <c r="BT3078" i="1"/>
  <c r="BT3079" i="1"/>
  <c r="BT3080" i="1"/>
  <c r="BT3081" i="1"/>
  <c r="BT3082" i="1"/>
  <c r="BT3083" i="1"/>
  <c r="BT3084" i="1"/>
  <c r="BT3085" i="1"/>
  <c r="BT3086" i="1"/>
  <c r="BT3087" i="1"/>
  <c r="BT3088" i="1"/>
  <c r="BT3090" i="1"/>
  <c r="BT3091" i="1"/>
  <c r="BT3092" i="1"/>
  <c r="BT3093" i="1"/>
  <c r="BT3094" i="1"/>
  <c r="BT3095" i="1"/>
  <c r="BT3096" i="1"/>
  <c r="BT3097" i="1"/>
  <c r="BT3098" i="1"/>
  <c r="BT3099" i="1"/>
  <c r="BT3100" i="1"/>
  <c r="BT3101" i="1"/>
  <c r="BT3102" i="1"/>
  <c r="BT3103" i="1"/>
  <c r="BT3104" i="1"/>
  <c r="BT3105" i="1"/>
  <c r="BT3106" i="1"/>
  <c r="BT3107" i="1"/>
  <c r="BT3108" i="1"/>
  <c r="BT3109" i="1"/>
  <c r="BT3110" i="1"/>
  <c r="BT3111" i="1"/>
  <c r="BT3112" i="1"/>
  <c r="BT3113" i="1"/>
  <c r="BT3114" i="1"/>
  <c r="BT3115" i="1"/>
  <c r="BT3116" i="1"/>
  <c r="BT3117" i="1"/>
  <c r="BT3118" i="1"/>
  <c r="BT3119" i="1"/>
  <c r="BT3120" i="1"/>
  <c r="BT3121" i="1"/>
  <c r="BT3122" i="1"/>
  <c r="BT3123" i="1"/>
  <c r="BT3124" i="1"/>
  <c r="BT3125" i="1"/>
  <c r="BT3126" i="1"/>
  <c r="BT3127" i="1"/>
  <c r="BT3128" i="1"/>
  <c r="BT3129" i="1"/>
  <c r="BT3130" i="1"/>
  <c r="BT3131" i="1"/>
  <c r="BT3132" i="1"/>
  <c r="BT3133" i="1"/>
  <c r="BT3134" i="1"/>
  <c r="BT3135" i="1"/>
  <c r="BT3136" i="1"/>
  <c r="BT3137" i="1"/>
  <c r="BT3138" i="1"/>
  <c r="BT3139" i="1"/>
  <c r="BT3140" i="1"/>
  <c r="BT3141" i="1"/>
  <c r="BT3142" i="1"/>
  <c r="BT3143" i="1"/>
  <c r="BT3144" i="1"/>
  <c r="BT3145" i="1"/>
  <c r="BT3146" i="1"/>
  <c r="BT3147" i="1"/>
  <c r="BT3148" i="1"/>
  <c r="BT3149" i="1"/>
  <c r="BT3150" i="1"/>
  <c r="BT3151" i="1"/>
  <c r="BT3152" i="1"/>
  <c r="BT3153" i="1"/>
  <c r="BT3154" i="1"/>
  <c r="BT3155" i="1"/>
  <c r="BT3156" i="1"/>
  <c r="BT3157" i="1"/>
  <c r="BT3158" i="1"/>
  <c r="BT3159" i="1"/>
  <c r="BT3160" i="1"/>
  <c r="BT3161" i="1"/>
  <c r="BT3162" i="1"/>
  <c r="BT3163" i="1"/>
  <c r="BT3164" i="1"/>
  <c r="BT3165" i="1"/>
  <c r="BT3166" i="1"/>
  <c r="BT3167" i="1"/>
  <c r="BT3168" i="1"/>
  <c r="BT3169" i="1"/>
  <c r="BT3170" i="1"/>
  <c r="BT3171" i="1"/>
  <c r="BT3172" i="1"/>
  <c r="BT3173" i="1"/>
  <c r="BT3174" i="1"/>
  <c r="BT3175" i="1"/>
  <c r="BT3176" i="1"/>
  <c r="BT3177" i="1"/>
  <c r="BT3178" i="1"/>
  <c r="BT3179" i="1"/>
  <c r="BT3180" i="1"/>
  <c r="BT3181" i="1"/>
  <c r="BT3182" i="1"/>
  <c r="BT3183" i="1"/>
  <c r="BT3184" i="1"/>
  <c r="BT3185" i="1"/>
  <c r="BT3186" i="1"/>
  <c r="BT3187" i="1"/>
  <c r="BT3188" i="1"/>
  <c r="BT3189" i="1"/>
  <c r="BT3190" i="1"/>
  <c r="BT3191" i="1"/>
  <c r="BT3192" i="1"/>
  <c r="BT3193" i="1"/>
  <c r="BT3194" i="1"/>
  <c r="BT3195" i="1"/>
  <c r="BT3196" i="1"/>
  <c r="BT3197" i="1"/>
  <c r="BT3198" i="1"/>
  <c r="BT3199" i="1"/>
  <c r="BT3200" i="1"/>
  <c r="BT3201" i="1"/>
  <c r="BT3202" i="1"/>
  <c r="BT3203" i="1"/>
  <c r="BT3204" i="1"/>
  <c r="BT3205" i="1"/>
  <c r="BT3206" i="1"/>
  <c r="BT2" i="1"/>
  <c r="BP3" i="1"/>
  <c r="BP4" i="1"/>
  <c r="BP5" i="1"/>
  <c r="BP6" i="1"/>
  <c r="BP7" i="1"/>
  <c r="BP8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104" i="1"/>
  <c r="BP105" i="1"/>
  <c r="BP106" i="1"/>
  <c r="BP107" i="1"/>
  <c r="BP108" i="1"/>
  <c r="BP109" i="1"/>
  <c r="BP110" i="1"/>
  <c r="BP111" i="1"/>
  <c r="BP112" i="1"/>
  <c r="BP113" i="1"/>
  <c r="BP114" i="1"/>
  <c r="BP116" i="1"/>
  <c r="BP117" i="1"/>
  <c r="BP118" i="1"/>
  <c r="BP119" i="1"/>
  <c r="BP120" i="1"/>
  <c r="BP121" i="1"/>
  <c r="BP122" i="1"/>
  <c r="BP123" i="1"/>
  <c r="BP124" i="1"/>
  <c r="BP125" i="1"/>
  <c r="BP126" i="1"/>
  <c r="BP127" i="1"/>
  <c r="BP128" i="1"/>
  <c r="BP129" i="1"/>
  <c r="BP130" i="1"/>
  <c r="BP131" i="1"/>
  <c r="BP132" i="1"/>
  <c r="BP133" i="1"/>
  <c r="BP134" i="1"/>
  <c r="BP135" i="1"/>
  <c r="BP136" i="1"/>
  <c r="BP138" i="1"/>
  <c r="BP139" i="1"/>
  <c r="BP140" i="1"/>
  <c r="BP141" i="1"/>
  <c r="BP142" i="1"/>
  <c r="BP143" i="1"/>
  <c r="BP144" i="1"/>
  <c r="BP145" i="1"/>
  <c r="BP146" i="1"/>
  <c r="BP147" i="1"/>
  <c r="BP148" i="1"/>
  <c r="BP149" i="1"/>
  <c r="BP150" i="1"/>
  <c r="BP151" i="1"/>
  <c r="BP152" i="1"/>
  <c r="BP153" i="1"/>
  <c r="BP154" i="1"/>
  <c r="BP155" i="1"/>
  <c r="BP156" i="1"/>
  <c r="BP157" i="1"/>
  <c r="BP158" i="1"/>
  <c r="BP159" i="1"/>
  <c r="BP160" i="1"/>
  <c r="BP161" i="1"/>
  <c r="BP162" i="1"/>
  <c r="BP163" i="1"/>
  <c r="BP164" i="1"/>
  <c r="BP165" i="1"/>
  <c r="BP166" i="1"/>
  <c r="BP167" i="1"/>
  <c r="BP168" i="1"/>
  <c r="BP169" i="1"/>
  <c r="BP170" i="1"/>
  <c r="BP171" i="1"/>
  <c r="BP172" i="1"/>
  <c r="BP173" i="1"/>
  <c r="BP174" i="1"/>
  <c r="BP175" i="1"/>
  <c r="BP176" i="1"/>
  <c r="BP177" i="1"/>
  <c r="BP178" i="1"/>
  <c r="BP179" i="1"/>
  <c r="BP180" i="1"/>
  <c r="BP181" i="1"/>
  <c r="BP182" i="1"/>
  <c r="BP183" i="1"/>
  <c r="BP184" i="1"/>
  <c r="BP185" i="1"/>
  <c r="BP186" i="1"/>
  <c r="BP187" i="1"/>
  <c r="BP188" i="1"/>
  <c r="BP189" i="1"/>
  <c r="BP190" i="1"/>
  <c r="BP191" i="1"/>
  <c r="BP192" i="1"/>
  <c r="BP193" i="1"/>
  <c r="BP194" i="1"/>
  <c r="BP195" i="1"/>
  <c r="BP196" i="1"/>
  <c r="BP197" i="1"/>
  <c r="BP198" i="1"/>
  <c r="BP199" i="1"/>
  <c r="BP200" i="1"/>
  <c r="BP201" i="1"/>
  <c r="BP202" i="1"/>
  <c r="BP203" i="1"/>
  <c r="BP204" i="1"/>
  <c r="BP205" i="1"/>
  <c r="BP206" i="1"/>
  <c r="BP282" i="1"/>
  <c r="BP283" i="1"/>
  <c r="BP284" i="1"/>
  <c r="BP285" i="1"/>
  <c r="BP286" i="1"/>
  <c r="BP287" i="1"/>
  <c r="BP288" i="1"/>
  <c r="BP289" i="1"/>
  <c r="BP290" i="1"/>
  <c r="BP291" i="1"/>
  <c r="BP292" i="1"/>
  <c r="BP293" i="1"/>
  <c r="BP294" i="1"/>
  <c r="BP295" i="1"/>
  <c r="BP296" i="1"/>
  <c r="BP298" i="1"/>
  <c r="BP299" i="1"/>
  <c r="BP300" i="1"/>
  <c r="BP301" i="1"/>
  <c r="BP302" i="1"/>
  <c r="BP303" i="1"/>
  <c r="BP304" i="1"/>
  <c r="BP305" i="1"/>
  <c r="BP306" i="1"/>
  <c r="BP307" i="1"/>
  <c r="BP308" i="1"/>
  <c r="BP309" i="1"/>
  <c r="BP310" i="1"/>
  <c r="BP311" i="1"/>
  <c r="BP312" i="1"/>
  <c r="BP313" i="1"/>
  <c r="BP314" i="1"/>
  <c r="BP315" i="1"/>
  <c r="BP316" i="1"/>
  <c r="BP317" i="1"/>
  <c r="BP318" i="1"/>
  <c r="BP319" i="1"/>
  <c r="BP320" i="1"/>
  <c r="BP321" i="1"/>
  <c r="BP322" i="1"/>
  <c r="BP323" i="1"/>
  <c r="BP324" i="1"/>
  <c r="BP325" i="1"/>
  <c r="BP326" i="1"/>
  <c r="BP327" i="1"/>
  <c r="BP328" i="1"/>
  <c r="BP329" i="1"/>
  <c r="BP330" i="1"/>
  <c r="BP331" i="1"/>
  <c r="BP332" i="1"/>
  <c r="BP333" i="1"/>
  <c r="BP334" i="1"/>
  <c r="BP335" i="1"/>
  <c r="BP336" i="1"/>
  <c r="BP337" i="1"/>
  <c r="BP338" i="1"/>
  <c r="BP339" i="1"/>
  <c r="BP341" i="1"/>
  <c r="BP342" i="1"/>
  <c r="BP343" i="1"/>
  <c r="BP344" i="1"/>
  <c r="BP345" i="1"/>
  <c r="BP346" i="1"/>
  <c r="BP347" i="1"/>
  <c r="BP348" i="1"/>
  <c r="BP349" i="1"/>
  <c r="BP350" i="1"/>
  <c r="BP351" i="1"/>
  <c r="BP352" i="1"/>
  <c r="BP353" i="1"/>
  <c r="BP354" i="1"/>
  <c r="BP355" i="1"/>
  <c r="BP356" i="1"/>
  <c r="BP357" i="1"/>
  <c r="BP358" i="1"/>
  <c r="BP359" i="1"/>
  <c r="BP360" i="1"/>
  <c r="BP361" i="1"/>
  <c r="BP362" i="1"/>
  <c r="BP363" i="1"/>
  <c r="BP364" i="1"/>
  <c r="BP365" i="1"/>
  <c r="BP366" i="1"/>
  <c r="BP367" i="1"/>
  <c r="BP368" i="1"/>
  <c r="BP369" i="1"/>
  <c r="BP370" i="1"/>
  <c r="BP371" i="1"/>
  <c r="BP372" i="1"/>
  <c r="BP373" i="1"/>
  <c r="BP374" i="1"/>
  <c r="BP375" i="1"/>
  <c r="BP376" i="1"/>
  <c r="BP377" i="1"/>
  <c r="BP378" i="1"/>
  <c r="BP379" i="1"/>
  <c r="BP380" i="1"/>
  <c r="BP381" i="1"/>
  <c r="BP382" i="1"/>
  <c r="BP383" i="1"/>
  <c r="BP384" i="1"/>
  <c r="BP385" i="1"/>
  <c r="BP386" i="1"/>
  <c r="BP387" i="1"/>
  <c r="BP388" i="1"/>
  <c r="BP389" i="1"/>
  <c r="BP390" i="1"/>
  <c r="BP391" i="1"/>
  <c r="BP392" i="1"/>
  <c r="BP393" i="1"/>
  <c r="BP394" i="1"/>
  <c r="BP395" i="1"/>
  <c r="BP396" i="1"/>
  <c r="BP397" i="1"/>
  <c r="BP398" i="1"/>
  <c r="BP399" i="1"/>
  <c r="BP400" i="1"/>
  <c r="BP401" i="1"/>
  <c r="BP402" i="1"/>
  <c r="BP403" i="1"/>
  <c r="BP404" i="1"/>
  <c r="BP405" i="1"/>
  <c r="BP406" i="1"/>
  <c r="BP407" i="1"/>
  <c r="BP408" i="1"/>
  <c r="BP409" i="1"/>
  <c r="BP410" i="1"/>
  <c r="BP411" i="1"/>
  <c r="BP412" i="1"/>
  <c r="BP413" i="1"/>
  <c r="BP414" i="1"/>
  <c r="BP415" i="1"/>
  <c r="BP416" i="1"/>
  <c r="BP417" i="1"/>
  <c r="BP418" i="1"/>
  <c r="BP419" i="1"/>
  <c r="BP420" i="1"/>
  <c r="BP421" i="1"/>
  <c r="BP422" i="1"/>
  <c r="BP423" i="1"/>
  <c r="BP424" i="1"/>
  <c r="BP425" i="1"/>
  <c r="BP426" i="1"/>
  <c r="BP427" i="1"/>
  <c r="BP428" i="1"/>
  <c r="BP429" i="1"/>
  <c r="BP430" i="1"/>
  <c r="BP431" i="1"/>
  <c r="BP432" i="1"/>
  <c r="BP433" i="1"/>
  <c r="BP434" i="1"/>
  <c r="BP435" i="1"/>
  <c r="BP436" i="1"/>
  <c r="BP437" i="1"/>
  <c r="BP438" i="1"/>
  <c r="BP439" i="1"/>
  <c r="BP440" i="1"/>
  <c r="BP441" i="1"/>
  <c r="BP442" i="1"/>
  <c r="BP443" i="1"/>
  <c r="BP444" i="1"/>
  <c r="BP445" i="1"/>
  <c r="BP446" i="1"/>
  <c r="BP447" i="1"/>
  <c r="BP448" i="1"/>
  <c r="BP449" i="1"/>
  <c r="BP450" i="1"/>
  <c r="BP451" i="1"/>
  <c r="BP452" i="1"/>
  <c r="BP453" i="1"/>
  <c r="BP454" i="1"/>
  <c r="BP455" i="1"/>
  <c r="BP456" i="1"/>
  <c r="BP457" i="1"/>
  <c r="BP458" i="1"/>
  <c r="BP459" i="1"/>
  <c r="BP460" i="1"/>
  <c r="BP461" i="1"/>
  <c r="BP462" i="1"/>
  <c r="BP463" i="1"/>
  <c r="BP465" i="1"/>
  <c r="BP466" i="1"/>
  <c r="BP467" i="1"/>
  <c r="BP468" i="1"/>
  <c r="BP469" i="1"/>
  <c r="BP470" i="1"/>
  <c r="BP471" i="1"/>
  <c r="BP472" i="1"/>
  <c r="BP473" i="1"/>
  <c r="BP474" i="1"/>
  <c r="BP475" i="1"/>
  <c r="BP476" i="1"/>
  <c r="BP477" i="1"/>
  <c r="BP479" i="1"/>
  <c r="BP480" i="1"/>
  <c r="BP481" i="1"/>
  <c r="BP482" i="1"/>
  <c r="BP483" i="1"/>
  <c r="BP484" i="1"/>
  <c r="BP485" i="1"/>
  <c r="BP486" i="1"/>
  <c r="BP487" i="1"/>
  <c r="BP488" i="1"/>
  <c r="BP489" i="1"/>
  <c r="BP490" i="1"/>
  <c r="BP491" i="1"/>
  <c r="BP492" i="1"/>
  <c r="BP493" i="1"/>
  <c r="BP494" i="1"/>
  <c r="BP495" i="1"/>
  <c r="BP496" i="1"/>
  <c r="BP497" i="1"/>
  <c r="BP498" i="1"/>
  <c r="BP499" i="1"/>
  <c r="BP500" i="1"/>
  <c r="BP501" i="1"/>
  <c r="BP502" i="1"/>
  <c r="BP503" i="1"/>
  <c r="BP504" i="1"/>
  <c r="BP505" i="1"/>
  <c r="BP506" i="1"/>
  <c r="BP507" i="1"/>
  <c r="BP508" i="1"/>
  <c r="BP509" i="1"/>
  <c r="BP510" i="1"/>
  <c r="BP511" i="1"/>
  <c r="BP512" i="1"/>
  <c r="BP513" i="1"/>
  <c r="BP515" i="1"/>
  <c r="BP516" i="1"/>
  <c r="BP517" i="1"/>
  <c r="BP518" i="1"/>
  <c r="BP519" i="1"/>
  <c r="BP520" i="1"/>
  <c r="BP521" i="1"/>
  <c r="BP522" i="1"/>
  <c r="BP523" i="1"/>
  <c r="BP524" i="1"/>
  <c r="BP525" i="1"/>
  <c r="BP526" i="1"/>
  <c r="BP527" i="1"/>
  <c r="BP528" i="1"/>
  <c r="BP529" i="1"/>
  <c r="BP530" i="1"/>
  <c r="BP531" i="1"/>
  <c r="BP532" i="1"/>
  <c r="BP533" i="1"/>
  <c r="BP534" i="1"/>
  <c r="BP535" i="1"/>
  <c r="BP536" i="1"/>
  <c r="BP537" i="1"/>
  <c r="BP538" i="1"/>
  <c r="BP539" i="1"/>
  <c r="BP540" i="1"/>
  <c r="BP541" i="1"/>
  <c r="BP542" i="1"/>
  <c r="BP543" i="1"/>
  <c r="BP544" i="1"/>
  <c r="BP545" i="1"/>
  <c r="BP546" i="1"/>
  <c r="BP547" i="1"/>
  <c r="BP548" i="1"/>
  <c r="BP549" i="1"/>
  <c r="BP550" i="1"/>
  <c r="BP551" i="1"/>
  <c r="BP552" i="1"/>
  <c r="BP553" i="1"/>
  <c r="BP554" i="1"/>
  <c r="BP555" i="1"/>
  <c r="BP556" i="1"/>
  <c r="BP557" i="1"/>
  <c r="BP558" i="1"/>
  <c r="BP559" i="1"/>
  <c r="BP560" i="1"/>
  <c r="BP561" i="1"/>
  <c r="BP562" i="1"/>
  <c r="BP563" i="1"/>
  <c r="BP564" i="1"/>
  <c r="BP565" i="1"/>
  <c r="BP566" i="1"/>
  <c r="BP567" i="1"/>
  <c r="BP568" i="1"/>
  <c r="BP569" i="1"/>
  <c r="BP570" i="1"/>
  <c r="BP571" i="1"/>
  <c r="BP572" i="1"/>
  <c r="BP573" i="1"/>
  <c r="BP574" i="1"/>
  <c r="BP575" i="1"/>
  <c r="BP576" i="1"/>
  <c r="BP577" i="1"/>
  <c r="BP578" i="1"/>
  <c r="BP579" i="1"/>
  <c r="BP580" i="1"/>
  <c r="BP581" i="1"/>
  <c r="BP582" i="1"/>
  <c r="BP583" i="1"/>
  <c r="BP584" i="1"/>
  <c r="BP585" i="1"/>
  <c r="BP586" i="1"/>
  <c r="BP587" i="1"/>
  <c r="BP588" i="1"/>
  <c r="BP589" i="1"/>
  <c r="BP590" i="1"/>
  <c r="BP591" i="1"/>
  <c r="BP592" i="1"/>
  <c r="BP593" i="1"/>
  <c r="BP594" i="1"/>
  <c r="BP595" i="1"/>
  <c r="BP596" i="1"/>
  <c r="BP597" i="1"/>
  <c r="BP598" i="1"/>
  <c r="BP599" i="1"/>
  <c r="BP600" i="1"/>
  <c r="BP601" i="1"/>
  <c r="BP602" i="1"/>
  <c r="BP603" i="1"/>
  <c r="BP604" i="1"/>
  <c r="BP605" i="1"/>
  <c r="BP606" i="1"/>
  <c r="BP607" i="1"/>
  <c r="BP608" i="1"/>
  <c r="BP609" i="1"/>
  <c r="BP611" i="1"/>
  <c r="BP612" i="1"/>
  <c r="BP614" i="1"/>
  <c r="BP615" i="1"/>
  <c r="BP616" i="1"/>
  <c r="BP617" i="1"/>
  <c r="BP618" i="1"/>
  <c r="BP619" i="1"/>
  <c r="BP620" i="1"/>
  <c r="BP621" i="1"/>
  <c r="BP622" i="1"/>
  <c r="BP623" i="1"/>
  <c r="BP624" i="1"/>
  <c r="BP625" i="1"/>
  <c r="BP626" i="1"/>
  <c r="BP627" i="1"/>
  <c r="BP628" i="1"/>
  <c r="BP629" i="1"/>
  <c r="BP630" i="1"/>
  <c r="BP631" i="1"/>
  <c r="BP632" i="1"/>
  <c r="BP633" i="1"/>
  <c r="BP634" i="1"/>
  <c r="BP635" i="1"/>
  <c r="BP636" i="1"/>
  <c r="BP637" i="1"/>
  <c r="BP638" i="1"/>
  <c r="BP639" i="1"/>
  <c r="BP640" i="1"/>
  <c r="BP641" i="1"/>
  <c r="BP642" i="1"/>
  <c r="BP643" i="1"/>
  <c r="BP644" i="1"/>
  <c r="BP645" i="1"/>
  <c r="BP646" i="1"/>
  <c r="BP647" i="1"/>
  <c r="BP648" i="1"/>
  <c r="BP649" i="1"/>
  <c r="BP650" i="1"/>
  <c r="BP651" i="1"/>
  <c r="BP652" i="1"/>
  <c r="BP653" i="1"/>
  <c r="BP654" i="1"/>
  <c r="BP655" i="1"/>
  <c r="BP656" i="1"/>
  <c r="BP657" i="1"/>
  <c r="BP658" i="1"/>
  <c r="BP659" i="1"/>
  <c r="BP660" i="1"/>
  <c r="BP661" i="1"/>
  <c r="BP662" i="1"/>
  <c r="BP663" i="1"/>
  <c r="BP664" i="1"/>
  <c r="BP665" i="1"/>
  <c r="BP666" i="1"/>
  <c r="BP667" i="1"/>
  <c r="BP668" i="1"/>
  <c r="BP669" i="1"/>
  <c r="BP670" i="1"/>
  <c r="BP671" i="1"/>
  <c r="BP672" i="1"/>
  <c r="BP673" i="1"/>
  <c r="BP674" i="1"/>
  <c r="BP675" i="1"/>
  <c r="BP676" i="1"/>
  <c r="BP677" i="1"/>
  <c r="BP678" i="1"/>
  <c r="BP679" i="1"/>
  <c r="BP680" i="1"/>
  <c r="BP681" i="1"/>
  <c r="BP682" i="1"/>
  <c r="BP683" i="1"/>
  <c r="BP684" i="1"/>
  <c r="BP685" i="1"/>
  <c r="BP686" i="1"/>
  <c r="BP687" i="1"/>
  <c r="BP688" i="1"/>
  <c r="BP689" i="1"/>
  <c r="BP690" i="1"/>
  <c r="BP691" i="1"/>
  <c r="BP692" i="1"/>
  <c r="BP693" i="1"/>
  <c r="BP694" i="1"/>
  <c r="BP695" i="1"/>
  <c r="BP696" i="1"/>
  <c r="BP697" i="1"/>
  <c r="BP698" i="1"/>
  <c r="BP699" i="1"/>
  <c r="BP700" i="1"/>
  <c r="BP701" i="1"/>
  <c r="BP702" i="1"/>
  <c r="BP703" i="1"/>
  <c r="BP704" i="1"/>
  <c r="BP705" i="1"/>
  <c r="BP706" i="1"/>
  <c r="BP707" i="1"/>
  <c r="BP708" i="1"/>
  <c r="BP709" i="1"/>
  <c r="BP710" i="1"/>
  <c r="BP711" i="1"/>
  <c r="BP712" i="1"/>
  <c r="BP713" i="1"/>
  <c r="BP714" i="1"/>
  <c r="BP715" i="1"/>
  <c r="BP716" i="1"/>
  <c r="BP717" i="1"/>
  <c r="BP718" i="1"/>
  <c r="BP719" i="1"/>
  <c r="BP720" i="1"/>
  <c r="BP721" i="1"/>
  <c r="BP722" i="1"/>
  <c r="BP723" i="1"/>
  <c r="BP724" i="1"/>
  <c r="BP725" i="1"/>
  <c r="BP726" i="1"/>
  <c r="BP727" i="1"/>
  <c r="BP728" i="1"/>
  <c r="BP729" i="1"/>
  <c r="BP730" i="1"/>
  <c r="BP731" i="1"/>
  <c r="BP732" i="1"/>
  <c r="BP733" i="1"/>
  <c r="BP734" i="1"/>
  <c r="BP735" i="1"/>
  <c r="BP736" i="1"/>
  <c r="BP737" i="1"/>
  <c r="BP738" i="1"/>
  <c r="BP739" i="1"/>
  <c r="BP740" i="1"/>
  <c r="BP741" i="1"/>
  <c r="BP742" i="1"/>
  <c r="BP743" i="1"/>
  <c r="BP744" i="1"/>
  <c r="BP745" i="1"/>
  <c r="BP746" i="1"/>
  <c r="BP747" i="1"/>
  <c r="BP748" i="1"/>
  <c r="BP749" i="1"/>
  <c r="BP750" i="1"/>
  <c r="BP751" i="1"/>
  <c r="BP752" i="1"/>
  <c r="BP753" i="1"/>
  <c r="BP754" i="1"/>
  <c r="BP755" i="1"/>
  <c r="BP756" i="1"/>
  <c r="BP757" i="1"/>
  <c r="BP758" i="1"/>
  <c r="BP759" i="1"/>
  <c r="BP760" i="1"/>
  <c r="BP761" i="1"/>
  <c r="BP762" i="1"/>
  <c r="BP763" i="1"/>
  <c r="BP764" i="1"/>
  <c r="BP765" i="1"/>
  <c r="BP766" i="1"/>
  <c r="BP767" i="1"/>
  <c r="BP768" i="1"/>
  <c r="BP769" i="1"/>
  <c r="BP770" i="1"/>
  <c r="BP771" i="1"/>
  <c r="BP772" i="1"/>
  <c r="BP773" i="1"/>
  <c r="BP774" i="1"/>
  <c r="BP775" i="1"/>
  <c r="BP776" i="1"/>
  <c r="BP777" i="1"/>
  <c r="BP778" i="1"/>
  <c r="BP779" i="1"/>
  <c r="BP780" i="1"/>
  <c r="BP782" i="1"/>
  <c r="BP783" i="1"/>
  <c r="BP784" i="1"/>
  <c r="BP785" i="1"/>
  <c r="BP786" i="1"/>
  <c r="BP787" i="1"/>
  <c r="BP788" i="1"/>
  <c r="BP789" i="1"/>
  <c r="BP790" i="1"/>
  <c r="BP791" i="1"/>
  <c r="BP792" i="1"/>
  <c r="BP793" i="1"/>
  <c r="BP794" i="1"/>
  <c r="BP795" i="1"/>
  <c r="BP796" i="1"/>
  <c r="BP797" i="1"/>
  <c r="BP798" i="1"/>
  <c r="BP799" i="1"/>
  <c r="BP800" i="1"/>
  <c r="BP801" i="1"/>
  <c r="BP802" i="1"/>
  <c r="BP803" i="1"/>
  <c r="BP804" i="1"/>
  <c r="BP805" i="1"/>
  <c r="BP806" i="1"/>
  <c r="BP807" i="1"/>
  <c r="BP808" i="1"/>
  <c r="BP809" i="1"/>
  <c r="BP810" i="1"/>
  <c r="BP811" i="1"/>
  <c r="BP812" i="1"/>
  <c r="BP813" i="1"/>
  <c r="BP814" i="1"/>
  <c r="BP815" i="1"/>
  <c r="BP816" i="1"/>
  <c r="BP817" i="1"/>
  <c r="BP818" i="1"/>
  <c r="BP819" i="1"/>
  <c r="BP820" i="1"/>
  <c r="BP821" i="1"/>
  <c r="BP822" i="1"/>
  <c r="BP823" i="1"/>
  <c r="BP824" i="1"/>
  <c r="BP825" i="1"/>
  <c r="BP826" i="1"/>
  <c r="BP827" i="1"/>
  <c r="BP828" i="1"/>
  <c r="BP829" i="1"/>
  <c r="BP830" i="1"/>
  <c r="BP831" i="1"/>
  <c r="BP832" i="1"/>
  <c r="BP833" i="1"/>
  <c r="BP834" i="1"/>
  <c r="BP835" i="1"/>
  <c r="BP836" i="1"/>
  <c r="BP837" i="1"/>
  <c r="BP838" i="1"/>
  <c r="BP840" i="1"/>
  <c r="BP841" i="1"/>
  <c r="BP842" i="1"/>
  <c r="BP843" i="1"/>
  <c r="BP844" i="1"/>
  <c r="BP845" i="1"/>
  <c r="BP846" i="1"/>
  <c r="BP847" i="1"/>
  <c r="BP848" i="1"/>
  <c r="BP849" i="1"/>
  <c r="BP850" i="1"/>
  <c r="BP851" i="1"/>
  <c r="BP852" i="1"/>
  <c r="BP853" i="1"/>
  <c r="BP854" i="1"/>
  <c r="BP855" i="1"/>
  <c r="BP856" i="1"/>
  <c r="BP857" i="1"/>
  <c r="BP858" i="1"/>
  <c r="BP859" i="1"/>
  <c r="BP860" i="1"/>
  <c r="BP861" i="1"/>
  <c r="BP862" i="1"/>
  <c r="BP863" i="1"/>
  <c r="BP864" i="1"/>
  <c r="BP865" i="1"/>
  <c r="BP866" i="1"/>
  <c r="BP867" i="1"/>
  <c r="BP868" i="1"/>
  <c r="BP869" i="1"/>
  <c r="BP870" i="1"/>
  <c r="BP871" i="1"/>
  <c r="BP872" i="1"/>
  <c r="BP873" i="1"/>
  <c r="BP874" i="1"/>
  <c r="BP875" i="1"/>
  <c r="BP876" i="1"/>
  <c r="BP877" i="1"/>
  <c r="BP878" i="1"/>
  <c r="BP879" i="1"/>
  <c r="BP880" i="1"/>
  <c r="BP881" i="1"/>
  <c r="BP882" i="1"/>
  <c r="BP883" i="1"/>
  <c r="BP884" i="1"/>
  <c r="BP885" i="1"/>
  <c r="BP886" i="1"/>
  <c r="BP887" i="1"/>
  <c r="BP888" i="1"/>
  <c r="BP889" i="1"/>
  <c r="BP890" i="1"/>
  <c r="BP891" i="1"/>
  <c r="BP892" i="1"/>
  <c r="BP893" i="1"/>
  <c r="BP894" i="1"/>
  <c r="BP895" i="1"/>
  <c r="BP896" i="1"/>
  <c r="BP897" i="1"/>
  <c r="BP898" i="1"/>
  <c r="BP899" i="1"/>
  <c r="BP900" i="1"/>
  <c r="BP901" i="1"/>
  <c r="BP902" i="1"/>
  <c r="BP903" i="1"/>
  <c r="BP904" i="1"/>
  <c r="BP905" i="1"/>
  <c r="BP906" i="1"/>
  <c r="BP907" i="1"/>
  <c r="BP908" i="1"/>
  <c r="BP909" i="1"/>
  <c r="BP910" i="1"/>
  <c r="BP911" i="1"/>
  <c r="BP912" i="1"/>
  <c r="BP913" i="1"/>
  <c r="BP914" i="1"/>
  <c r="BP915" i="1"/>
  <c r="BP916" i="1"/>
  <c r="BP917" i="1"/>
  <c r="BP918" i="1"/>
  <c r="BP919" i="1"/>
  <c r="BP920" i="1"/>
  <c r="BP921" i="1"/>
  <c r="BP922" i="1"/>
  <c r="BP923" i="1"/>
  <c r="BP924" i="1"/>
  <c r="BP925" i="1"/>
  <c r="BP926" i="1"/>
  <c r="BP927" i="1"/>
  <c r="BP928" i="1"/>
  <c r="BP929" i="1"/>
  <c r="BP930" i="1"/>
  <c r="BP931" i="1"/>
  <c r="BP932" i="1"/>
  <c r="BP933" i="1"/>
  <c r="BP934" i="1"/>
  <c r="BP935" i="1"/>
  <c r="BP936" i="1"/>
  <c r="BP937" i="1"/>
  <c r="BP938" i="1"/>
  <c r="BP939" i="1"/>
  <c r="BP940" i="1"/>
  <c r="BP942" i="1"/>
  <c r="BP943" i="1"/>
  <c r="BP944" i="1"/>
  <c r="BP945" i="1"/>
  <c r="BP946" i="1"/>
  <c r="BP947" i="1"/>
  <c r="BP948" i="1"/>
  <c r="BP949" i="1"/>
  <c r="BP950" i="1"/>
  <c r="BP951" i="1"/>
  <c r="BP952" i="1"/>
  <c r="BP953" i="1"/>
  <c r="BP954" i="1"/>
  <c r="BP955" i="1"/>
  <c r="BP956" i="1"/>
  <c r="BP957" i="1"/>
  <c r="BP958" i="1"/>
  <c r="BP959" i="1"/>
  <c r="BP960" i="1"/>
  <c r="BP961" i="1"/>
  <c r="BP962" i="1"/>
  <c r="BP963" i="1"/>
  <c r="BP964" i="1"/>
  <c r="BP965" i="1"/>
  <c r="BP966" i="1"/>
  <c r="BP967" i="1"/>
  <c r="BP968" i="1"/>
  <c r="BP969" i="1"/>
  <c r="BP970" i="1"/>
  <c r="BP971" i="1"/>
  <c r="BP972" i="1"/>
  <c r="BP973" i="1"/>
  <c r="BP974" i="1"/>
  <c r="BP975" i="1"/>
  <c r="BP976" i="1"/>
  <c r="BP977" i="1"/>
  <c r="BP978" i="1"/>
  <c r="BP979" i="1"/>
  <c r="BP980" i="1"/>
  <c r="BP981" i="1"/>
  <c r="BP982" i="1"/>
  <c r="BP983" i="1"/>
  <c r="BP984" i="1"/>
  <c r="BP985" i="1"/>
  <c r="BP986" i="1"/>
  <c r="BP987" i="1"/>
  <c r="BP988" i="1"/>
  <c r="BP989" i="1"/>
  <c r="BP990" i="1"/>
  <c r="BP991" i="1"/>
  <c r="BP992" i="1"/>
  <c r="BP993" i="1"/>
  <c r="BP994" i="1"/>
  <c r="BP995" i="1"/>
  <c r="BP996" i="1"/>
  <c r="BP997" i="1"/>
  <c r="BP998" i="1"/>
  <c r="BP999" i="1"/>
  <c r="BP1000" i="1"/>
  <c r="BP1001" i="1"/>
  <c r="BP1002" i="1"/>
  <c r="BP1003" i="1"/>
  <c r="BP1004" i="1"/>
  <c r="BP1005" i="1"/>
  <c r="BP1006" i="1"/>
  <c r="BP1007" i="1"/>
  <c r="BP1008" i="1"/>
  <c r="BP1009" i="1"/>
  <c r="BP1010" i="1"/>
  <c r="BP1011" i="1"/>
  <c r="BP1012" i="1"/>
  <c r="BP1013" i="1"/>
  <c r="BP1014" i="1"/>
  <c r="BP1015" i="1"/>
  <c r="BP1016" i="1"/>
  <c r="BP1017" i="1"/>
  <c r="BP1018" i="1"/>
  <c r="BP1019" i="1"/>
  <c r="BP1020" i="1"/>
  <c r="BP1021" i="1"/>
  <c r="BP1022" i="1"/>
  <c r="BP1023" i="1"/>
  <c r="BP1024" i="1"/>
  <c r="BP1025" i="1"/>
  <c r="BP1026" i="1"/>
  <c r="BP1027" i="1"/>
  <c r="BP1028" i="1"/>
  <c r="BP1029" i="1"/>
  <c r="BP1030" i="1"/>
  <c r="BP1031" i="1"/>
  <c r="BP1032" i="1"/>
  <c r="BP1033" i="1"/>
  <c r="BP1034" i="1"/>
  <c r="BP1035" i="1"/>
  <c r="BP1036" i="1"/>
  <c r="BP1037" i="1"/>
  <c r="BP1038" i="1"/>
  <c r="BP1039" i="1"/>
  <c r="BP1040" i="1"/>
  <c r="BP1042" i="1"/>
  <c r="BP1043" i="1"/>
  <c r="BP1044" i="1"/>
  <c r="BP1045" i="1"/>
  <c r="BP1046" i="1"/>
  <c r="BP1047" i="1"/>
  <c r="BP1048" i="1"/>
  <c r="BP1049" i="1"/>
  <c r="BP1050" i="1"/>
  <c r="BP1051" i="1"/>
  <c r="BP1052" i="1"/>
  <c r="BP1053" i="1"/>
  <c r="BP1055" i="1"/>
  <c r="BP1056" i="1"/>
  <c r="BP1057" i="1"/>
  <c r="BP1058" i="1"/>
  <c r="BP1059" i="1"/>
  <c r="BP1060" i="1"/>
  <c r="BP1061" i="1"/>
  <c r="BP1062" i="1"/>
  <c r="BP1063" i="1"/>
  <c r="BP1064" i="1"/>
  <c r="BP1065" i="1"/>
  <c r="BP1066" i="1"/>
  <c r="BP1067" i="1"/>
  <c r="BP1068" i="1"/>
  <c r="BP1069" i="1"/>
  <c r="BP1070" i="1"/>
  <c r="BP1071" i="1"/>
  <c r="BP1072" i="1"/>
  <c r="BP1073" i="1"/>
  <c r="BP1074" i="1"/>
  <c r="BP1075" i="1"/>
  <c r="BP1076" i="1"/>
  <c r="BP1077" i="1"/>
  <c r="BP1078" i="1"/>
  <c r="BP1079" i="1"/>
  <c r="BP1080" i="1"/>
  <c r="BP1081" i="1"/>
  <c r="BP1082" i="1"/>
  <c r="BP1083" i="1"/>
  <c r="BP1084" i="1"/>
  <c r="BP1085" i="1"/>
  <c r="BP1086" i="1"/>
  <c r="BP1087" i="1"/>
  <c r="BP1088" i="1"/>
  <c r="BP1089" i="1"/>
  <c r="BP1090" i="1"/>
  <c r="BP1091" i="1"/>
  <c r="BP1092" i="1"/>
  <c r="BP1093" i="1"/>
  <c r="BP1094" i="1"/>
  <c r="BP1095" i="1"/>
  <c r="BP1096" i="1"/>
  <c r="BP1097" i="1"/>
  <c r="BP1098" i="1"/>
  <c r="BP1099" i="1"/>
  <c r="BP1100" i="1"/>
  <c r="BP1101" i="1"/>
  <c r="BP1102" i="1"/>
  <c r="BP1103" i="1"/>
  <c r="BP1104" i="1"/>
  <c r="BP1105" i="1"/>
  <c r="BP1106" i="1"/>
  <c r="BP1107" i="1"/>
  <c r="BP1108" i="1"/>
  <c r="BP1109" i="1"/>
  <c r="BP1110" i="1"/>
  <c r="BP1111" i="1"/>
  <c r="BP1112" i="1"/>
  <c r="BP1113" i="1"/>
  <c r="BP1114" i="1"/>
  <c r="BP1115" i="1"/>
  <c r="BP1116" i="1"/>
  <c r="BP1117" i="1"/>
  <c r="BP1118" i="1"/>
  <c r="BP1119" i="1"/>
  <c r="BP1120" i="1"/>
  <c r="BP1121" i="1"/>
  <c r="BP1122" i="1"/>
  <c r="BP1123" i="1"/>
  <c r="BP1124" i="1"/>
  <c r="BP1125" i="1"/>
  <c r="BP1126" i="1"/>
  <c r="BP1127" i="1"/>
  <c r="BP1128" i="1"/>
  <c r="BP1129" i="1"/>
  <c r="BP1130" i="1"/>
  <c r="BP1131" i="1"/>
  <c r="BP1132" i="1"/>
  <c r="BP1133" i="1"/>
  <c r="BP1134" i="1"/>
  <c r="BP1135" i="1"/>
  <c r="BP1136" i="1"/>
  <c r="BP1137" i="1"/>
  <c r="BP1138" i="1"/>
  <c r="BP1139" i="1"/>
  <c r="BP1140" i="1"/>
  <c r="BP1141" i="1"/>
  <c r="BP1142" i="1"/>
  <c r="BP1143" i="1"/>
  <c r="BP1144" i="1"/>
  <c r="BP1145" i="1"/>
  <c r="BP1146" i="1"/>
  <c r="BP1147" i="1"/>
  <c r="BP1148" i="1"/>
  <c r="BP1149" i="1"/>
  <c r="BP1150" i="1"/>
  <c r="BP1151" i="1"/>
  <c r="BP1152" i="1"/>
  <c r="BP1153" i="1"/>
  <c r="BP1154" i="1"/>
  <c r="BP1155" i="1"/>
  <c r="BP1156" i="1"/>
  <c r="BP1157" i="1"/>
  <c r="BP1158" i="1"/>
  <c r="BP1159" i="1"/>
  <c r="BP1160" i="1"/>
  <c r="BP1161" i="1"/>
  <c r="BP1162" i="1"/>
  <c r="BP1163" i="1"/>
  <c r="BP1164" i="1"/>
  <c r="BP1165" i="1"/>
  <c r="BP1166" i="1"/>
  <c r="BP1167" i="1"/>
  <c r="BP1168" i="1"/>
  <c r="BP1169" i="1"/>
  <c r="BP1170" i="1"/>
  <c r="BP1171" i="1"/>
  <c r="BP1172" i="1"/>
  <c r="BP1173" i="1"/>
  <c r="BP1174" i="1"/>
  <c r="BP1175" i="1"/>
  <c r="BP1176" i="1"/>
  <c r="BP1177" i="1"/>
  <c r="BP1178" i="1"/>
  <c r="BP1179" i="1"/>
  <c r="BP1181" i="1"/>
  <c r="BP1182" i="1"/>
  <c r="BP1183" i="1"/>
  <c r="BP1184" i="1"/>
  <c r="BP1185" i="1"/>
  <c r="BP1186" i="1"/>
  <c r="BP1187" i="1"/>
  <c r="BP1188" i="1"/>
  <c r="BP1189" i="1"/>
  <c r="BP1190" i="1"/>
  <c r="BP1191" i="1"/>
  <c r="BP1192" i="1"/>
  <c r="BP1193" i="1"/>
  <c r="BP1194" i="1"/>
  <c r="BP1195" i="1"/>
  <c r="BP1196" i="1"/>
  <c r="BP1197" i="1"/>
  <c r="BP1198" i="1"/>
  <c r="BP1199" i="1"/>
  <c r="BP1201" i="1"/>
  <c r="BP1204" i="1"/>
  <c r="BP1205" i="1"/>
  <c r="BP1206" i="1"/>
  <c r="BP1207" i="1"/>
  <c r="BP1208" i="1"/>
  <c r="BP1209" i="1"/>
  <c r="BP1210" i="1"/>
  <c r="BP1211" i="1"/>
  <c r="BP1212" i="1"/>
  <c r="BP1213" i="1"/>
  <c r="BP1214" i="1"/>
  <c r="BP1215" i="1"/>
  <c r="BP1216" i="1"/>
  <c r="BP1217" i="1"/>
  <c r="BP1218" i="1"/>
  <c r="BP1219" i="1"/>
  <c r="BP1220" i="1"/>
  <c r="BP1221" i="1"/>
  <c r="BP1222" i="1"/>
  <c r="BP1223" i="1"/>
  <c r="BP1224" i="1"/>
  <c r="BP1225" i="1"/>
  <c r="BP1226" i="1"/>
  <c r="BP1227" i="1"/>
  <c r="BP1228" i="1"/>
  <c r="BP1229" i="1"/>
  <c r="BP1230" i="1"/>
  <c r="BP1231" i="1"/>
  <c r="BP1232" i="1"/>
  <c r="BP1233" i="1"/>
  <c r="BP1234" i="1"/>
  <c r="BP1235" i="1"/>
  <c r="BP1236" i="1"/>
  <c r="BP1237" i="1"/>
  <c r="BP1238" i="1"/>
  <c r="BP1240" i="1"/>
  <c r="BP1241" i="1"/>
  <c r="BP1242" i="1"/>
  <c r="BP1243" i="1"/>
  <c r="BP1244" i="1"/>
  <c r="BP1245" i="1"/>
  <c r="BP1247" i="1"/>
  <c r="BP1248" i="1"/>
  <c r="BP1249" i="1"/>
  <c r="BP1250" i="1"/>
  <c r="BP1251" i="1"/>
  <c r="BP1252" i="1"/>
  <c r="BP1253" i="1"/>
  <c r="BP1254" i="1"/>
  <c r="BP1255" i="1"/>
  <c r="BP1256" i="1"/>
  <c r="BP1257" i="1"/>
  <c r="BP1258" i="1"/>
  <c r="BP1259" i="1"/>
  <c r="BP1260" i="1"/>
  <c r="BP1261" i="1"/>
  <c r="BP1262" i="1"/>
  <c r="BP1263" i="1"/>
  <c r="BP1264" i="1"/>
  <c r="BP1265" i="1"/>
  <c r="BP1266" i="1"/>
  <c r="BP1267" i="1"/>
  <c r="BP1268" i="1"/>
  <c r="BP1269" i="1"/>
  <c r="BP1270" i="1"/>
  <c r="BP1272" i="1"/>
  <c r="BP1273" i="1"/>
  <c r="BP1274" i="1"/>
  <c r="BP1275" i="1"/>
  <c r="BP1276" i="1"/>
  <c r="BP1277" i="1"/>
  <c r="BP1278" i="1"/>
  <c r="BP1279" i="1"/>
  <c r="BP1280" i="1"/>
  <c r="BP1281" i="1"/>
  <c r="BP1282" i="1"/>
  <c r="BP1283" i="1"/>
  <c r="BP1284" i="1"/>
  <c r="BP1285" i="1"/>
  <c r="BP1286" i="1"/>
  <c r="BP1287" i="1"/>
  <c r="BP1288" i="1"/>
  <c r="BP1289" i="1"/>
  <c r="BP1290" i="1"/>
  <c r="BP1291" i="1"/>
  <c r="BP1292" i="1"/>
  <c r="BP1293" i="1"/>
  <c r="BP1294" i="1"/>
  <c r="BP1295" i="1"/>
  <c r="BP1296" i="1"/>
  <c r="BP1297" i="1"/>
  <c r="BP1298" i="1"/>
  <c r="BP1299" i="1"/>
  <c r="BP1300" i="1"/>
  <c r="BP1301" i="1"/>
  <c r="BP1302" i="1"/>
  <c r="BP1303" i="1"/>
  <c r="BP1304" i="1"/>
  <c r="BP1305" i="1"/>
  <c r="BP1306" i="1"/>
  <c r="BP1307" i="1"/>
  <c r="BP1308" i="1"/>
  <c r="BP1309" i="1"/>
  <c r="BP1310" i="1"/>
  <c r="BP1311" i="1"/>
  <c r="BP1312" i="1"/>
  <c r="BP1313" i="1"/>
  <c r="BP1314" i="1"/>
  <c r="BP1315" i="1"/>
  <c r="BP1316" i="1"/>
  <c r="BP1317" i="1"/>
  <c r="BP1318" i="1"/>
  <c r="BP1319" i="1"/>
  <c r="BP1320" i="1"/>
  <c r="BP1321" i="1"/>
  <c r="BP1322" i="1"/>
  <c r="BP1323" i="1"/>
  <c r="BP1324" i="1"/>
  <c r="BP1325" i="1"/>
  <c r="BP1327" i="1"/>
  <c r="BP1328" i="1"/>
  <c r="BP1329" i="1"/>
  <c r="BP1330" i="1"/>
  <c r="BP1331" i="1"/>
  <c r="BP1332" i="1"/>
  <c r="BP1334" i="1"/>
  <c r="BP1335" i="1"/>
  <c r="BP1336" i="1"/>
  <c r="BP1337" i="1"/>
  <c r="BP1338" i="1"/>
  <c r="BP1339" i="1"/>
  <c r="BP1340" i="1"/>
  <c r="BP1341" i="1"/>
  <c r="BP1342" i="1"/>
  <c r="BP1343" i="1"/>
  <c r="BP1344" i="1"/>
  <c r="BP1345" i="1"/>
  <c r="BP1346" i="1"/>
  <c r="BP1347" i="1"/>
  <c r="BP1348" i="1"/>
  <c r="BP1349" i="1"/>
  <c r="BP1350" i="1"/>
  <c r="BP1351" i="1"/>
  <c r="BP1352" i="1"/>
  <c r="BP1353" i="1"/>
  <c r="BP1354" i="1"/>
  <c r="BP1355" i="1"/>
  <c r="BP1356" i="1"/>
  <c r="BP1357" i="1"/>
  <c r="BP1358" i="1"/>
  <c r="BP1359" i="1"/>
  <c r="BP1360" i="1"/>
  <c r="BP1361" i="1"/>
  <c r="BP1362" i="1"/>
  <c r="BP1363" i="1"/>
  <c r="BP1364" i="1"/>
  <c r="BP1365" i="1"/>
  <c r="BP1366" i="1"/>
  <c r="BP1367" i="1"/>
  <c r="BP1368" i="1"/>
  <c r="BP1369" i="1"/>
  <c r="BP1370" i="1"/>
  <c r="BP1371" i="1"/>
  <c r="BP1372" i="1"/>
  <c r="BP1373" i="1"/>
  <c r="BP1374" i="1"/>
  <c r="BP1375" i="1"/>
  <c r="BP1376" i="1"/>
  <c r="BP1377" i="1"/>
  <c r="BP1378" i="1"/>
  <c r="BP1379" i="1"/>
  <c r="BP1380" i="1"/>
  <c r="BP1381" i="1"/>
  <c r="BP1382" i="1"/>
  <c r="BP1383" i="1"/>
  <c r="BP1384" i="1"/>
  <c r="BP1385" i="1"/>
  <c r="BP1386" i="1"/>
  <c r="BP1387" i="1"/>
  <c r="BP1388" i="1"/>
  <c r="BP1389" i="1"/>
  <c r="BP1390" i="1"/>
  <c r="BP1391" i="1"/>
  <c r="BP1392" i="1"/>
  <c r="BP1393" i="1"/>
  <c r="BP1394" i="1"/>
  <c r="BP1395" i="1"/>
  <c r="BP1396" i="1"/>
  <c r="BP1397" i="1"/>
  <c r="BP1398" i="1"/>
  <c r="BP1399" i="1"/>
  <c r="BP1400" i="1"/>
  <c r="BP1401" i="1"/>
  <c r="BP1402" i="1"/>
  <c r="BP1403" i="1"/>
  <c r="BP1404" i="1"/>
  <c r="BP1405" i="1"/>
  <c r="BP1406" i="1"/>
  <c r="BP1407" i="1"/>
  <c r="BP1408" i="1"/>
  <c r="BP1409" i="1"/>
  <c r="BP1410" i="1"/>
  <c r="BP1411" i="1"/>
  <c r="BP1412" i="1"/>
  <c r="BP1413" i="1"/>
  <c r="BP1414" i="1"/>
  <c r="BP1415" i="1"/>
  <c r="BP1416" i="1"/>
  <c r="BP1417" i="1"/>
  <c r="BP1418" i="1"/>
  <c r="BP1419" i="1"/>
  <c r="BP1420" i="1"/>
  <c r="BP1421" i="1"/>
  <c r="BP1422" i="1"/>
  <c r="BP1423" i="1"/>
  <c r="BP1424" i="1"/>
  <c r="BP1425" i="1"/>
  <c r="BP1426" i="1"/>
  <c r="BP1427" i="1"/>
  <c r="BP1428" i="1"/>
  <c r="BP1429" i="1"/>
  <c r="BP1430" i="1"/>
  <c r="BP1431" i="1"/>
  <c r="BP1432" i="1"/>
  <c r="BP1433" i="1"/>
  <c r="BP1434" i="1"/>
  <c r="BP1435" i="1"/>
  <c r="BP1436" i="1"/>
  <c r="BP1437" i="1"/>
  <c r="BP1438" i="1"/>
  <c r="BP1439" i="1"/>
  <c r="BP1440" i="1"/>
  <c r="BP1441" i="1"/>
  <c r="BP1442" i="1"/>
  <c r="BP1443" i="1"/>
  <c r="BP1444" i="1"/>
  <c r="BP1445" i="1"/>
  <c r="BP1446" i="1"/>
  <c r="BP1447" i="1"/>
  <c r="BP1448" i="1"/>
  <c r="BP1449" i="1"/>
  <c r="BP1450" i="1"/>
  <c r="BP1452" i="1"/>
  <c r="BP1453" i="1"/>
  <c r="BP1454" i="1"/>
  <c r="BP1455" i="1"/>
  <c r="BP1456" i="1"/>
  <c r="BP1457" i="1"/>
  <c r="BP1458" i="1"/>
  <c r="BP1460" i="1"/>
  <c r="BP1461" i="1"/>
  <c r="BP1462" i="1"/>
  <c r="BP1463" i="1"/>
  <c r="BP1464" i="1"/>
  <c r="BP1465" i="1"/>
  <c r="BP1466" i="1"/>
  <c r="BP1467" i="1"/>
  <c r="BP1468" i="1"/>
  <c r="BP1469" i="1"/>
  <c r="BP1470" i="1"/>
  <c r="BP1471" i="1"/>
  <c r="BP1472" i="1"/>
  <c r="BP1473" i="1"/>
  <c r="BP1475" i="1"/>
  <c r="BP1476" i="1"/>
  <c r="BP1477" i="1"/>
  <c r="BP1478" i="1"/>
  <c r="BP1479" i="1"/>
  <c r="BP1480" i="1"/>
  <c r="BP1481" i="1"/>
  <c r="BP1482" i="1"/>
  <c r="BP1483" i="1"/>
  <c r="BP1484" i="1"/>
  <c r="BP1485" i="1"/>
  <c r="BP1486" i="1"/>
  <c r="BP1487" i="1"/>
  <c r="BP1488" i="1"/>
  <c r="BP1489" i="1"/>
  <c r="BP1490" i="1"/>
  <c r="BP1491" i="1"/>
  <c r="BP1492" i="1"/>
  <c r="BP1493" i="1"/>
  <c r="BP1494" i="1"/>
  <c r="BP1495" i="1"/>
  <c r="BP1497" i="1"/>
  <c r="BP1498" i="1"/>
  <c r="BP1499" i="1"/>
  <c r="BP1500" i="1"/>
  <c r="BP1501" i="1"/>
  <c r="BP1503" i="1"/>
  <c r="BP1504" i="1"/>
  <c r="BP1505" i="1"/>
  <c r="BP1506" i="1"/>
  <c r="BP1507" i="1"/>
  <c r="BP1508" i="1"/>
  <c r="BP1509" i="1"/>
  <c r="BP1510" i="1"/>
  <c r="BP1511" i="1"/>
  <c r="BP1512" i="1"/>
  <c r="BP1513" i="1"/>
  <c r="BP1514" i="1"/>
  <c r="BP1515" i="1"/>
  <c r="BP1516" i="1"/>
  <c r="BP1517" i="1"/>
  <c r="BP1518" i="1"/>
  <c r="BP1519" i="1"/>
  <c r="BP1520" i="1"/>
  <c r="BP1521" i="1"/>
  <c r="BP1522" i="1"/>
  <c r="BP1523" i="1"/>
  <c r="BP1524" i="1"/>
  <c r="BP1525" i="1"/>
  <c r="BP1526" i="1"/>
  <c r="BP1527" i="1"/>
  <c r="BP1528" i="1"/>
  <c r="BP1529" i="1"/>
  <c r="BP1530" i="1"/>
  <c r="BP1531" i="1"/>
  <c r="BP1532" i="1"/>
  <c r="BP1533" i="1"/>
  <c r="BP1534" i="1"/>
  <c r="BP1535" i="1"/>
  <c r="BP1536" i="1"/>
  <c r="BP1537" i="1"/>
  <c r="BP1538" i="1"/>
  <c r="BP1539" i="1"/>
  <c r="BP1540" i="1"/>
  <c r="BP1541" i="1"/>
  <c r="BP1542" i="1"/>
  <c r="BP1543" i="1"/>
  <c r="BP1544" i="1"/>
  <c r="BP1545" i="1"/>
  <c r="BP1546" i="1"/>
  <c r="BP1547" i="1"/>
  <c r="BP1548" i="1"/>
  <c r="BP1549" i="1"/>
  <c r="BP1550" i="1"/>
  <c r="BP1551" i="1"/>
  <c r="BP1552" i="1"/>
  <c r="BP1553" i="1"/>
  <c r="BP1554" i="1"/>
  <c r="BP1555" i="1"/>
  <c r="BP1556" i="1"/>
  <c r="BP1557" i="1"/>
  <c r="BP1558" i="1"/>
  <c r="BP1559" i="1"/>
  <c r="BP1560" i="1"/>
  <c r="BP1561" i="1"/>
  <c r="BP1562" i="1"/>
  <c r="BP1563" i="1"/>
  <c r="BP1564" i="1"/>
  <c r="BP1565" i="1"/>
  <c r="BP1566" i="1"/>
  <c r="BP1567" i="1"/>
  <c r="BP1568" i="1"/>
  <c r="BP1569" i="1"/>
  <c r="BP1570" i="1"/>
  <c r="BP1571" i="1"/>
  <c r="BP1572" i="1"/>
  <c r="BP1573" i="1"/>
  <c r="BP1574" i="1"/>
  <c r="BP1575" i="1"/>
  <c r="BP1576" i="1"/>
  <c r="BP1577" i="1"/>
  <c r="BP1578" i="1"/>
  <c r="BP1579" i="1"/>
  <c r="BP1580" i="1"/>
  <c r="BP1581" i="1"/>
  <c r="BP1582" i="1"/>
  <c r="BP1583" i="1"/>
  <c r="BP1584" i="1"/>
  <c r="BP1586" i="1"/>
  <c r="BP1587" i="1"/>
  <c r="BP1588" i="1"/>
  <c r="BP1589" i="1"/>
  <c r="BP1590" i="1"/>
  <c r="BP1591" i="1"/>
  <c r="BP1592" i="1"/>
  <c r="BP1593" i="1"/>
  <c r="BP1594" i="1"/>
  <c r="BP1595" i="1"/>
  <c r="BP1596" i="1"/>
  <c r="BP1597" i="1"/>
  <c r="BP1598" i="1"/>
  <c r="BP1599" i="1"/>
  <c r="BP1600" i="1"/>
  <c r="BP1601" i="1"/>
  <c r="BP1602" i="1"/>
  <c r="BP1603" i="1"/>
  <c r="BP1605" i="1"/>
  <c r="BP1606" i="1"/>
  <c r="BP1607" i="1"/>
  <c r="BP1608" i="1"/>
  <c r="BP1609" i="1"/>
  <c r="BP1610" i="1"/>
  <c r="BP1611" i="1"/>
  <c r="BP1612" i="1"/>
  <c r="BP1613" i="1"/>
  <c r="BP1614" i="1"/>
  <c r="BP1615" i="1"/>
  <c r="BP1616" i="1"/>
  <c r="BP1617" i="1"/>
  <c r="BP1618" i="1"/>
  <c r="BP1619" i="1"/>
  <c r="BP1620" i="1"/>
  <c r="BP1621" i="1"/>
  <c r="BP1622" i="1"/>
  <c r="BP1623" i="1"/>
  <c r="BP1624" i="1"/>
  <c r="BP1625" i="1"/>
  <c r="BP1626" i="1"/>
  <c r="BP1627" i="1"/>
  <c r="BP1628" i="1"/>
  <c r="BP1629" i="1"/>
  <c r="BP1630" i="1"/>
  <c r="BP1631" i="1"/>
  <c r="BP1632" i="1"/>
  <c r="BP1633" i="1"/>
  <c r="BP1634" i="1"/>
  <c r="BP1635" i="1"/>
  <c r="BP1636" i="1"/>
  <c r="BP1637" i="1"/>
  <c r="BP1638" i="1"/>
  <c r="BP1639" i="1"/>
  <c r="BP1640" i="1"/>
  <c r="BP1641" i="1"/>
  <c r="BP1642" i="1"/>
  <c r="BP1644" i="1"/>
  <c r="BP1645" i="1"/>
  <c r="BP1646" i="1"/>
  <c r="BP1647" i="1"/>
  <c r="BP1648" i="1"/>
  <c r="BP1649" i="1"/>
  <c r="BP1650" i="1"/>
  <c r="BP1651" i="1"/>
  <c r="BP1652" i="1"/>
  <c r="BP1653" i="1"/>
  <c r="BP1654" i="1"/>
  <c r="BP1655" i="1"/>
  <c r="BP1656" i="1"/>
  <c r="BP1657" i="1"/>
  <c r="BP1658" i="1"/>
  <c r="BP1659" i="1"/>
  <c r="BP1660" i="1"/>
  <c r="BP1662" i="1"/>
  <c r="BP1663" i="1"/>
  <c r="BP1664" i="1"/>
  <c r="BP1665" i="1"/>
  <c r="BP1666" i="1"/>
  <c r="BP1667" i="1"/>
  <c r="BP1668" i="1"/>
  <c r="BP1669" i="1"/>
  <c r="BP1670" i="1"/>
  <c r="BP1671" i="1"/>
  <c r="BP1672" i="1"/>
  <c r="BP1673" i="1"/>
  <c r="BP1674" i="1"/>
  <c r="BP1675" i="1"/>
  <c r="BP1676" i="1"/>
  <c r="BP1677" i="1"/>
  <c r="BP1678" i="1"/>
  <c r="BP1679" i="1"/>
  <c r="BP1680" i="1"/>
  <c r="BP1681" i="1"/>
  <c r="BP1682" i="1"/>
  <c r="BP1683" i="1"/>
  <c r="BP1684" i="1"/>
  <c r="BP1685" i="1"/>
  <c r="BP1686" i="1"/>
  <c r="BP1687" i="1"/>
  <c r="BP1688" i="1"/>
  <c r="BP1689" i="1"/>
  <c r="BP1690" i="1"/>
  <c r="BP1691" i="1"/>
  <c r="BP1692" i="1"/>
  <c r="BP1693" i="1"/>
  <c r="BP1694" i="1"/>
  <c r="BP1695" i="1"/>
  <c r="BP1696" i="1"/>
  <c r="BP1697" i="1"/>
  <c r="BP1698" i="1"/>
  <c r="BP1699" i="1"/>
  <c r="BP1700" i="1"/>
  <c r="BP1701" i="1"/>
  <c r="BP1702" i="1"/>
  <c r="BP1703" i="1"/>
  <c r="BP1704" i="1"/>
  <c r="BP1705" i="1"/>
  <c r="BP1706" i="1"/>
  <c r="BP1707" i="1"/>
  <c r="BP1708" i="1"/>
  <c r="BP1709" i="1"/>
  <c r="BP1710" i="1"/>
  <c r="BP1711" i="1"/>
  <c r="BP1712" i="1"/>
  <c r="BP1713" i="1"/>
  <c r="BP1714" i="1"/>
  <c r="BP1715" i="1"/>
  <c r="BP1716" i="1"/>
  <c r="BP1717" i="1"/>
  <c r="BP1718" i="1"/>
  <c r="BP1719" i="1"/>
  <c r="BP1720" i="1"/>
  <c r="BP1721" i="1"/>
  <c r="BP1722" i="1"/>
  <c r="BP1723" i="1"/>
  <c r="BP1724" i="1"/>
  <c r="BP1725" i="1"/>
  <c r="BP1726" i="1"/>
  <c r="BP1727" i="1"/>
  <c r="BP1728" i="1"/>
  <c r="BP1729" i="1"/>
  <c r="BP1730" i="1"/>
  <c r="BP1731" i="1"/>
  <c r="BP1732" i="1"/>
  <c r="BP1733" i="1"/>
  <c r="BP1734" i="1"/>
  <c r="BP1735" i="1"/>
  <c r="BP1736" i="1"/>
  <c r="BP1737" i="1"/>
  <c r="BP1738" i="1"/>
  <c r="BP1739" i="1"/>
  <c r="BP1740" i="1"/>
  <c r="BP1741" i="1"/>
  <c r="BP1742" i="1"/>
  <c r="BP1743" i="1"/>
  <c r="BP1744" i="1"/>
  <c r="BP1745" i="1"/>
  <c r="BP1746" i="1"/>
  <c r="BP1747" i="1"/>
  <c r="BP1748" i="1"/>
  <c r="BP1749" i="1"/>
  <c r="BP1750" i="1"/>
  <c r="BP1751" i="1"/>
  <c r="BP1752" i="1"/>
  <c r="BP1753" i="1"/>
  <c r="BP1755" i="1"/>
  <c r="BP1756" i="1"/>
  <c r="BP1758" i="1"/>
  <c r="BP1759" i="1"/>
  <c r="BP1760" i="1"/>
  <c r="BP1761" i="1"/>
  <c r="BP1762" i="1"/>
  <c r="BP1763" i="1"/>
  <c r="BP1764" i="1"/>
  <c r="BP1765" i="1"/>
  <c r="BP1766" i="1"/>
  <c r="BP1767" i="1"/>
  <c r="BP1768" i="1"/>
  <c r="BP1769" i="1"/>
  <c r="BP1770" i="1"/>
  <c r="BP1771" i="1"/>
  <c r="BP1773" i="1"/>
  <c r="BP1774" i="1"/>
  <c r="BP1776" i="1"/>
  <c r="BP1777" i="1"/>
  <c r="BP1778" i="1"/>
  <c r="BP1779" i="1"/>
  <c r="BP1780" i="1"/>
  <c r="BP1781" i="1"/>
  <c r="BP1782" i="1"/>
  <c r="BP1783" i="1"/>
  <c r="BP1784" i="1"/>
  <c r="BP1785" i="1"/>
  <c r="BP1786" i="1"/>
  <c r="BP1787" i="1"/>
  <c r="BP1788" i="1"/>
  <c r="BP1789" i="1"/>
  <c r="BP1790" i="1"/>
  <c r="BP1791" i="1"/>
  <c r="BP1792" i="1"/>
  <c r="BP1793" i="1"/>
  <c r="BP1794" i="1"/>
  <c r="BP1795" i="1"/>
  <c r="BP1796" i="1"/>
  <c r="BP1797" i="1"/>
  <c r="BP1798" i="1"/>
  <c r="BP1799" i="1"/>
  <c r="BP1800" i="1"/>
  <c r="BP1801" i="1"/>
  <c r="BP1803" i="1"/>
  <c r="BP1804" i="1"/>
  <c r="BP1805" i="1"/>
  <c r="BP1806" i="1"/>
  <c r="BP1807" i="1"/>
  <c r="BP1808" i="1"/>
  <c r="BP1809" i="1"/>
  <c r="BP1810" i="1"/>
  <c r="BP1811" i="1"/>
  <c r="BP1812" i="1"/>
  <c r="BP1813" i="1"/>
  <c r="BP1814" i="1"/>
  <c r="BP1815" i="1"/>
  <c r="BP1816" i="1"/>
  <c r="BP1817" i="1"/>
  <c r="BP1818" i="1"/>
  <c r="BP1819" i="1"/>
  <c r="BP1820" i="1"/>
  <c r="BP1821" i="1"/>
  <c r="BP1822" i="1"/>
  <c r="BP1823" i="1"/>
  <c r="BP1824" i="1"/>
  <c r="BP1825" i="1"/>
  <c r="BP1826" i="1"/>
  <c r="BP1827" i="1"/>
  <c r="BP1828" i="1"/>
  <c r="BP1829" i="1"/>
  <c r="BP1830" i="1"/>
  <c r="BP1831" i="1"/>
  <c r="BP1832" i="1"/>
  <c r="BP1833" i="1"/>
  <c r="BP1834" i="1"/>
  <c r="BP1835" i="1"/>
  <c r="BP1836" i="1"/>
  <c r="BP1837" i="1"/>
  <c r="BP1838" i="1"/>
  <c r="BP1839" i="1"/>
  <c r="BP1840" i="1"/>
  <c r="BP1841" i="1"/>
  <c r="BP1842" i="1"/>
  <c r="BP1844" i="1"/>
  <c r="BP1845" i="1"/>
  <c r="BP1846" i="1"/>
  <c r="BP1847" i="1"/>
  <c r="BP1848" i="1"/>
  <c r="BP1849" i="1"/>
  <c r="BP1850" i="1"/>
  <c r="BP1851" i="1"/>
  <c r="BP1852" i="1"/>
  <c r="BP1853" i="1"/>
  <c r="BP1854" i="1"/>
  <c r="BP1855" i="1"/>
  <c r="BP1856" i="1"/>
  <c r="BP1857" i="1"/>
  <c r="BP1858" i="1"/>
  <c r="BP1859" i="1"/>
  <c r="BP1860" i="1"/>
  <c r="BP1861" i="1"/>
  <c r="BP1862" i="1"/>
  <c r="BP1863" i="1"/>
  <c r="BP1864" i="1"/>
  <c r="BP1866" i="1"/>
  <c r="BP1867" i="1"/>
  <c r="BP1868" i="1"/>
  <c r="BP1869" i="1"/>
  <c r="BP1870" i="1"/>
  <c r="BP1871" i="1"/>
  <c r="BP1872" i="1"/>
  <c r="BP1873" i="1"/>
  <c r="BP1874" i="1"/>
  <c r="BP1875" i="1"/>
  <c r="BP1876" i="1"/>
  <c r="BP1877" i="1"/>
  <c r="BP1879" i="1"/>
  <c r="BP1880" i="1"/>
  <c r="BP1881" i="1"/>
  <c r="BP1882" i="1"/>
  <c r="BP1883" i="1"/>
  <c r="BP1884" i="1"/>
  <c r="BP1886" i="1"/>
  <c r="BP1887" i="1"/>
  <c r="BP1889" i="1"/>
  <c r="BP1890" i="1"/>
  <c r="BP1891" i="1"/>
  <c r="BP1892" i="1"/>
  <c r="BP1893" i="1"/>
  <c r="BP1894" i="1"/>
  <c r="BP1895" i="1"/>
  <c r="BP1897" i="1"/>
  <c r="BP1898" i="1"/>
  <c r="BP1899" i="1"/>
  <c r="BP1900" i="1"/>
  <c r="BP1901" i="1"/>
  <c r="BP1902" i="1"/>
  <c r="BP1903" i="1"/>
  <c r="BP1904" i="1"/>
  <c r="BP1905" i="1"/>
  <c r="BP1906" i="1"/>
  <c r="BP1907" i="1"/>
  <c r="BP1908" i="1"/>
  <c r="BP1909" i="1"/>
  <c r="BP1910" i="1"/>
  <c r="BP1911" i="1"/>
  <c r="BP1912" i="1"/>
  <c r="BP1913" i="1"/>
  <c r="BP1914" i="1"/>
  <c r="BP1915" i="1"/>
  <c r="BP1916" i="1"/>
  <c r="BP1917" i="1"/>
  <c r="BP1918" i="1"/>
  <c r="BP1919" i="1"/>
  <c r="BP1920" i="1"/>
  <c r="BP1921" i="1"/>
  <c r="BP1922" i="1"/>
  <c r="BP1923" i="1"/>
  <c r="BP1924" i="1"/>
  <c r="BP1925" i="1"/>
  <c r="BP1926" i="1"/>
  <c r="BP1927" i="1"/>
  <c r="BP1928" i="1"/>
  <c r="BP1929" i="1"/>
  <c r="BP1930" i="1"/>
  <c r="BP1931" i="1"/>
  <c r="BP1932" i="1"/>
  <c r="BP1933" i="1"/>
  <c r="BP1934" i="1"/>
  <c r="BP1935" i="1"/>
  <c r="BP1936" i="1"/>
  <c r="BP1937" i="1"/>
  <c r="BP1938" i="1"/>
  <c r="BP1939" i="1"/>
  <c r="BP1940" i="1"/>
  <c r="BP1941" i="1"/>
  <c r="BP1942" i="1"/>
  <c r="BP1943" i="1"/>
  <c r="BP1944" i="1"/>
  <c r="BP1945" i="1"/>
  <c r="BP1946" i="1"/>
  <c r="BP1947" i="1"/>
  <c r="BP1948" i="1"/>
  <c r="BP1949" i="1"/>
  <c r="BP1950" i="1"/>
  <c r="BP1951" i="1"/>
  <c r="BP1952" i="1"/>
  <c r="BP1953" i="1"/>
  <c r="BP1954" i="1"/>
  <c r="BP1955" i="1"/>
  <c r="BP1956" i="1"/>
  <c r="BP1957" i="1"/>
  <c r="BP1958" i="1"/>
  <c r="BP1959" i="1"/>
  <c r="BP1960" i="1"/>
  <c r="BP1961" i="1"/>
  <c r="BP1962" i="1"/>
  <c r="BP1964" i="1"/>
  <c r="BP1965" i="1"/>
  <c r="BP1966" i="1"/>
  <c r="BP1967" i="1"/>
  <c r="BP1968" i="1"/>
  <c r="BP1969" i="1"/>
  <c r="BP1970" i="1"/>
  <c r="BP1971" i="1"/>
  <c r="BP1973" i="1"/>
  <c r="BP1974" i="1"/>
  <c r="BP1975" i="1"/>
  <c r="BP1976" i="1"/>
  <c r="BP1977" i="1"/>
  <c r="BP1978" i="1"/>
  <c r="BP1979" i="1"/>
  <c r="BP1980" i="1"/>
  <c r="BP1981" i="1"/>
  <c r="BP1982" i="1"/>
  <c r="BP1983" i="1"/>
  <c r="BP1984" i="1"/>
  <c r="BP1985" i="1"/>
  <c r="BP1986" i="1"/>
  <c r="BP1987" i="1"/>
  <c r="BP1988" i="1"/>
  <c r="BP1989" i="1"/>
  <c r="BP1990" i="1"/>
  <c r="BP1991" i="1"/>
  <c r="BP1992" i="1"/>
  <c r="BP1993" i="1"/>
  <c r="BP1994" i="1"/>
  <c r="BP1995" i="1"/>
  <c r="BP1996" i="1"/>
  <c r="BP1997" i="1"/>
  <c r="BP1998" i="1"/>
  <c r="BP1999" i="1"/>
  <c r="BP2000" i="1"/>
  <c r="BP2001" i="1"/>
  <c r="BP2002" i="1"/>
  <c r="BP2003" i="1"/>
  <c r="BP2004" i="1"/>
  <c r="BP2005" i="1"/>
  <c r="BP2006" i="1"/>
  <c r="BP2007" i="1"/>
  <c r="BP2008" i="1"/>
  <c r="BP2009" i="1"/>
  <c r="BP2010" i="1"/>
  <c r="BP2011" i="1"/>
  <c r="BP2012" i="1"/>
  <c r="BP2013" i="1"/>
  <c r="BP2014" i="1"/>
  <c r="BP2015" i="1"/>
  <c r="BP2016" i="1"/>
  <c r="BP2017" i="1"/>
  <c r="BP2018" i="1"/>
  <c r="BP2019" i="1"/>
  <c r="BP2020" i="1"/>
  <c r="BP2021" i="1"/>
  <c r="BP2022" i="1"/>
  <c r="BP2023" i="1"/>
  <c r="BP2024" i="1"/>
  <c r="BP2025" i="1"/>
  <c r="BP2027" i="1"/>
  <c r="BP2028" i="1"/>
  <c r="BP2029" i="1"/>
  <c r="BP2030" i="1"/>
  <c r="BP2031" i="1"/>
  <c r="BP2032" i="1"/>
  <c r="BP2033" i="1"/>
  <c r="BP2034" i="1"/>
  <c r="BP2035" i="1"/>
  <c r="BP2036" i="1"/>
  <c r="BP2037" i="1"/>
  <c r="BP2038" i="1"/>
  <c r="BP2039" i="1"/>
  <c r="BP2040" i="1"/>
  <c r="BP2041" i="1"/>
  <c r="BP2042" i="1"/>
  <c r="BP2043" i="1"/>
  <c r="BP2044" i="1"/>
  <c r="BP2045" i="1"/>
  <c r="BP2046" i="1"/>
  <c r="BP2047" i="1"/>
  <c r="BP2048" i="1"/>
  <c r="BP2049" i="1"/>
  <c r="BP2050" i="1"/>
  <c r="BP2051" i="1"/>
  <c r="BP2052" i="1"/>
  <c r="BP2053" i="1"/>
  <c r="BP2054" i="1"/>
  <c r="BP2055" i="1"/>
  <c r="BP2056" i="1"/>
  <c r="BP2057" i="1"/>
  <c r="BP2058" i="1"/>
  <c r="BP2059" i="1"/>
  <c r="BP2060" i="1"/>
  <c r="BP2061" i="1"/>
  <c r="BP2062" i="1"/>
  <c r="BP2063" i="1"/>
  <c r="BP2064" i="1"/>
  <c r="BP2065" i="1"/>
  <c r="BP2066" i="1"/>
  <c r="BP2067" i="1"/>
  <c r="BP2068" i="1"/>
  <c r="BP2069" i="1"/>
  <c r="BP2070" i="1"/>
  <c r="BP2071" i="1"/>
  <c r="BP2072" i="1"/>
  <c r="BP2073" i="1"/>
  <c r="BP2074" i="1"/>
  <c r="BP2075" i="1"/>
  <c r="BP2076" i="1"/>
  <c r="BP2077" i="1"/>
  <c r="BP2078" i="1"/>
  <c r="BP2079" i="1"/>
  <c r="BP2080" i="1"/>
  <c r="BP2081" i="1"/>
  <c r="BP2082" i="1"/>
  <c r="BP2083" i="1"/>
  <c r="BP2084" i="1"/>
  <c r="BP2085" i="1"/>
  <c r="BP2086" i="1"/>
  <c r="BP2087" i="1"/>
  <c r="BP2088" i="1"/>
  <c r="BP2089" i="1"/>
  <c r="BP2090" i="1"/>
  <c r="BP2091" i="1"/>
  <c r="BP2092" i="1"/>
  <c r="BP2093" i="1"/>
  <c r="BP2094" i="1"/>
  <c r="BP2095" i="1"/>
  <c r="BP2096" i="1"/>
  <c r="BP2097" i="1"/>
  <c r="BP2098" i="1"/>
  <c r="BP2099" i="1"/>
  <c r="BP2100" i="1"/>
  <c r="BP2101" i="1"/>
  <c r="BP2102" i="1"/>
  <c r="BP2103" i="1"/>
  <c r="BP2104" i="1"/>
  <c r="BP2105" i="1"/>
  <c r="BP2106" i="1"/>
  <c r="BP2107" i="1"/>
  <c r="BP2108" i="1"/>
  <c r="BP2109" i="1"/>
  <c r="BP2110" i="1"/>
  <c r="BP2111" i="1"/>
  <c r="BP2112" i="1"/>
  <c r="BP2113" i="1"/>
  <c r="BP2114" i="1"/>
  <c r="BP2115" i="1"/>
  <c r="BP2116" i="1"/>
  <c r="BP2117" i="1"/>
  <c r="BP2118" i="1"/>
  <c r="BP2119" i="1"/>
  <c r="BP2120" i="1"/>
  <c r="BP2121" i="1"/>
  <c r="BP2122" i="1"/>
  <c r="BP2123" i="1"/>
  <c r="BP2124" i="1"/>
  <c r="BP2125" i="1"/>
  <c r="BP2126" i="1"/>
  <c r="BP2127" i="1"/>
  <c r="BP2128" i="1"/>
  <c r="BP2129" i="1"/>
  <c r="BP2131" i="1"/>
  <c r="BP2132" i="1"/>
  <c r="BP2133" i="1"/>
  <c r="BP2134" i="1"/>
  <c r="BP2135" i="1"/>
  <c r="BP2136" i="1"/>
  <c r="BP2137" i="1"/>
  <c r="BP2138" i="1"/>
  <c r="BP2139" i="1"/>
  <c r="BP2140" i="1"/>
  <c r="BP2141" i="1"/>
  <c r="BP2142" i="1"/>
  <c r="BP2143" i="1"/>
  <c r="BP2144" i="1"/>
  <c r="BP2145" i="1"/>
  <c r="BP2146" i="1"/>
  <c r="BP2147" i="1"/>
  <c r="BP2148" i="1"/>
  <c r="BP2149" i="1"/>
  <c r="BP2150" i="1"/>
  <c r="BP2151" i="1"/>
  <c r="BP2152" i="1"/>
  <c r="BP2153" i="1"/>
  <c r="BP2154" i="1"/>
  <c r="BP2155" i="1"/>
  <c r="BP2156" i="1"/>
  <c r="BP2157" i="1"/>
  <c r="BP2158" i="1"/>
  <c r="BP2159" i="1"/>
  <c r="BP2160" i="1"/>
  <c r="BP2161" i="1"/>
  <c r="BP2162" i="1"/>
  <c r="BP2163" i="1"/>
  <c r="BP2164" i="1"/>
  <c r="BP2165" i="1"/>
  <c r="BP2166" i="1"/>
  <c r="BP2167" i="1"/>
  <c r="BP2168" i="1"/>
  <c r="BP2169" i="1"/>
  <c r="BP2170" i="1"/>
  <c r="BP2171" i="1"/>
  <c r="BP2172" i="1"/>
  <c r="BP2173" i="1"/>
  <c r="BP2174" i="1"/>
  <c r="BP2175" i="1"/>
  <c r="BP2176" i="1"/>
  <c r="BP2177" i="1"/>
  <c r="BP2178" i="1"/>
  <c r="BP2179" i="1"/>
  <c r="BP2180" i="1"/>
  <c r="BP2181" i="1"/>
  <c r="BP2182" i="1"/>
  <c r="BP2183" i="1"/>
  <c r="BP2184" i="1"/>
  <c r="BP2185" i="1"/>
  <c r="BP2186" i="1"/>
  <c r="BP2187" i="1"/>
  <c r="BP2188" i="1"/>
  <c r="BP2189" i="1"/>
  <c r="BP2190" i="1"/>
  <c r="BP2191" i="1"/>
  <c r="BP2192" i="1"/>
  <c r="BP2193" i="1"/>
  <c r="BP2194" i="1"/>
  <c r="BP2195" i="1"/>
  <c r="BP2196" i="1"/>
  <c r="BP2197" i="1"/>
  <c r="BP2198" i="1"/>
  <c r="BP2199" i="1"/>
  <c r="BP2200" i="1"/>
  <c r="BP2201" i="1"/>
  <c r="BP2202" i="1"/>
  <c r="BP2203" i="1"/>
  <c r="BP2204" i="1"/>
  <c r="BP2205" i="1"/>
  <c r="BP2207" i="1"/>
  <c r="BP2208" i="1"/>
  <c r="BP2209" i="1"/>
  <c r="BP2210" i="1"/>
  <c r="BP2211" i="1"/>
  <c r="BP2212" i="1"/>
  <c r="BP2213" i="1"/>
  <c r="BP2214" i="1"/>
  <c r="BP2215" i="1"/>
  <c r="BP2216" i="1"/>
  <c r="BP2217" i="1"/>
  <c r="BP2218" i="1"/>
  <c r="BP2219" i="1"/>
  <c r="BP2220" i="1"/>
  <c r="BP2221" i="1"/>
  <c r="BP2222" i="1"/>
  <c r="BP2223" i="1"/>
  <c r="BP2224" i="1"/>
  <c r="BP2225" i="1"/>
  <c r="BP2226" i="1"/>
  <c r="BP2227" i="1"/>
  <c r="BP2228" i="1"/>
  <c r="BP2229" i="1"/>
  <c r="BP2230" i="1"/>
  <c r="BP2231" i="1"/>
  <c r="BP2232" i="1"/>
  <c r="BP2233" i="1"/>
  <c r="BP2234" i="1"/>
  <c r="BP2235" i="1"/>
  <c r="BP2236" i="1"/>
  <c r="BP2237" i="1"/>
  <c r="BP2238" i="1"/>
  <c r="BP2239" i="1"/>
  <c r="BP2240" i="1"/>
  <c r="BP2241" i="1"/>
  <c r="BP2243" i="1"/>
  <c r="BP2244" i="1"/>
  <c r="BP2245" i="1"/>
  <c r="BP2246" i="1"/>
  <c r="BP2247" i="1"/>
  <c r="BP2248" i="1"/>
  <c r="BP2249" i="1"/>
  <c r="BP2250" i="1"/>
  <c r="BP2251" i="1"/>
  <c r="BP2252" i="1"/>
  <c r="BP2253" i="1"/>
  <c r="BP2254" i="1"/>
  <c r="BP2255" i="1"/>
  <c r="BP2256" i="1"/>
  <c r="BP2257" i="1"/>
  <c r="BP2258" i="1"/>
  <c r="BP2259" i="1"/>
  <c r="BP2260" i="1"/>
  <c r="BP2261" i="1"/>
  <c r="BP2262" i="1"/>
  <c r="BP2263" i="1"/>
  <c r="BP2264" i="1"/>
  <c r="BP2265" i="1"/>
  <c r="BP2266" i="1"/>
  <c r="BP2267" i="1"/>
  <c r="BP2268" i="1"/>
  <c r="BP2269" i="1"/>
  <c r="BP2270" i="1"/>
  <c r="BP2271" i="1"/>
  <c r="BP2272" i="1"/>
  <c r="BP2273" i="1"/>
  <c r="BP2274" i="1"/>
  <c r="BP2275" i="1"/>
  <c r="BP2276" i="1"/>
  <c r="BP2277" i="1"/>
  <c r="BP2278" i="1"/>
  <c r="BP2279" i="1"/>
  <c r="BP2280" i="1"/>
  <c r="BP2281" i="1"/>
  <c r="BP2282" i="1"/>
  <c r="BP2283" i="1"/>
  <c r="BP2284" i="1"/>
  <c r="BP2285" i="1"/>
  <c r="BP2286" i="1"/>
  <c r="BP2287" i="1"/>
  <c r="BP2288" i="1"/>
  <c r="BP2289" i="1"/>
  <c r="BP2290" i="1"/>
  <c r="BP2291" i="1"/>
  <c r="BP2292" i="1"/>
  <c r="BP2293" i="1"/>
  <c r="BP2294" i="1"/>
  <c r="BP2295" i="1"/>
  <c r="BP2296" i="1"/>
  <c r="BP2298" i="1"/>
  <c r="BP2299" i="1"/>
  <c r="BP2300" i="1"/>
  <c r="BP2301" i="1"/>
  <c r="BP2302" i="1"/>
  <c r="BP2303" i="1"/>
  <c r="BP2304" i="1"/>
  <c r="BP2305" i="1"/>
  <c r="BP2306" i="1"/>
  <c r="BP2307" i="1"/>
  <c r="BP2308" i="1"/>
  <c r="BP2309" i="1"/>
  <c r="BP2310" i="1"/>
  <c r="BP2311" i="1"/>
  <c r="BP2312" i="1"/>
  <c r="BP2313" i="1"/>
  <c r="BP2314" i="1"/>
  <c r="BP2315" i="1"/>
  <c r="BP2316" i="1"/>
  <c r="BP2317" i="1"/>
  <c r="BP2318" i="1"/>
  <c r="BP2319" i="1"/>
  <c r="BP2321" i="1"/>
  <c r="BP2322" i="1"/>
  <c r="BP2323" i="1"/>
  <c r="BP2324" i="1"/>
  <c r="BP2325" i="1"/>
  <c r="BP2326" i="1"/>
  <c r="BP2327" i="1"/>
  <c r="BP2328" i="1"/>
  <c r="BP2329" i="1"/>
  <c r="BP2330" i="1"/>
  <c r="BP2331" i="1"/>
  <c r="BP2332" i="1"/>
  <c r="BP2333" i="1"/>
  <c r="BP2334" i="1"/>
  <c r="BP2335" i="1"/>
  <c r="BP2336" i="1"/>
  <c r="BP2337" i="1"/>
  <c r="BP2338" i="1"/>
  <c r="BP2339" i="1"/>
  <c r="BP2340" i="1"/>
  <c r="BP2342" i="1"/>
  <c r="BP2343" i="1"/>
  <c r="BP2344" i="1"/>
  <c r="BP2345" i="1"/>
  <c r="BP2346" i="1"/>
  <c r="BP2347" i="1"/>
  <c r="BP2348" i="1"/>
  <c r="BP2349" i="1"/>
  <c r="BP2350" i="1"/>
  <c r="BP2351" i="1"/>
  <c r="BP2352" i="1"/>
  <c r="BP2353" i="1"/>
  <c r="BP2354" i="1"/>
  <c r="BP2355" i="1"/>
  <c r="BP2356" i="1"/>
  <c r="BP2357" i="1"/>
  <c r="BP2358" i="1"/>
  <c r="BP2359" i="1"/>
  <c r="BP2360" i="1"/>
  <c r="BP2362" i="1"/>
  <c r="BP2364" i="1"/>
  <c r="BP2365" i="1"/>
  <c r="BP2366" i="1"/>
  <c r="BP2367" i="1"/>
  <c r="BP2368" i="1"/>
  <c r="BP2369" i="1"/>
  <c r="BP2370" i="1"/>
  <c r="BP2371" i="1"/>
  <c r="BP2372" i="1"/>
  <c r="BP2373" i="1"/>
  <c r="BP2374" i="1"/>
  <c r="BP2375" i="1"/>
  <c r="BP2376" i="1"/>
  <c r="BP2377" i="1"/>
  <c r="BP2378" i="1"/>
  <c r="BP2380" i="1"/>
  <c r="BP2381" i="1"/>
  <c r="BP2382" i="1"/>
  <c r="BP2383" i="1"/>
  <c r="BP2384" i="1"/>
  <c r="BP2385" i="1"/>
  <c r="BP2386" i="1"/>
  <c r="BP2387" i="1"/>
  <c r="BP2388" i="1"/>
  <c r="BP2389" i="1"/>
  <c r="BP2390" i="1"/>
  <c r="BP2391" i="1"/>
  <c r="BP2392" i="1"/>
  <c r="BP2393" i="1"/>
  <c r="BP2394" i="1"/>
  <c r="BP2395" i="1"/>
  <c r="BP2396" i="1"/>
  <c r="BP2397" i="1"/>
  <c r="BP2398" i="1"/>
  <c r="BP2399" i="1"/>
  <c r="BP2400" i="1"/>
  <c r="BP2401" i="1"/>
  <c r="BP2402" i="1"/>
  <c r="BP2403" i="1"/>
  <c r="BP2404" i="1"/>
  <c r="BP2405" i="1"/>
  <c r="BP2406" i="1"/>
  <c r="BP2407" i="1"/>
  <c r="BP2408" i="1"/>
  <c r="BP2409" i="1"/>
  <c r="BP2410" i="1"/>
  <c r="BP2411" i="1"/>
  <c r="BP2412" i="1"/>
  <c r="BP2413" i="1"/>
  <c r="BP2414" i="1"/>
  <c r="BP2415" i="1"/>
  <c r="BP2416" i="1"/>
  <c r="BP2417" i="1"/>
  <c r="BP2418" i="1"/>
  <c r="BP2419" i="1"/>
  <c r="BP2420" i="1"/>
  <c r="BP2421" i="1"/>
  <c r="BP2423" i="1"/>
  <c r="BP2424" i="1"/>
  <c r="BP2425" i="1"/>
  <c r="BP2426" i="1"/>
  <c r="BP2428" i="1"/>
  <c r="BP2429" i="1"/>
  <c r="BP2430" i="1"/>
  <c r="BP2431" i="1"/>
  <c r="BP2432" i="1"/>
  <c r="BP2433" i="1"/>
  <c r="BP2434" i="1"/>
  <c r="BP2435" i="1"/>
  <c r="BP2436" i="1"/>
  <c r="BP2437" i="1"/>
  <c r="BP2438" i="1"/>
  <c r="BP2439" i="1"/>
  <c r="BP2440" i="1"/>
  <c r="BP2441" i="1"/>
  <c r="BP2442" i="1"/>
  <c r="BP2443" i="1"/>
  <c r="BP2444" i="1"/>
  <c r="BP2445" i="1"/>
  <c r="BP2446" i="1"/>
  <c r="BP2447" i="1"/>
  <c r="BP2448" i="1"/>
  <c r="BP2449" i="1"/>
  <c r="BP2450" i="1"/>
  <c r="BP2451" i="1"/>
  <c r="BP2452" i="1"/>
  <c r="BP2453" i="1"/>
  <c r="BP2454" i="1"/>
  <c r="BP2455" i="1"/>
  <c r="BP2456" i="1"/>
  <c r="BP2457" i="1"/>
  <c r="BP2458" i="1"/>
  <c r="BP2459" i="1"/>
  <c r="BP2460" i="1"/>
  <c r="BP2461" i="1"/>
  <c r="BP2462" i="1"/>
  <c r="BP2463" i="1"/>
  <c r="BP2464" i="1"/>
  <c r="BP2465" i="1"/>
  <c r="BP2466" i="1"/>
  <c r="BP2467" i="1"/>
  <c r="BP2468" i="1"/>
  <c r="BP2469" i="1"/>
  <c r="BP2470" i="1"/>
  <c r="BP2471" i="1"/>
  <c r="BP2472" i="1"/>
  <c r="BP2474" i="1"/>
  <c r="BP2475" i="1"/>
  <c r="BP2476" i="1"/>
  <c r="BP2477" i="1"/>
  <c r="BP2478" i="1"/>
  <c r="BP2479" i="1"/>
  <c r="BP2480" i="1"/>
  <c r="BP2481" i="1"/>
  <c r="BP2482" i="1"/>
  <c r="BP2483" i="1"/>
  <c r="BP2484" i="1"/>
  <c r="BP2485" i="1"/>
  <c r="BP2486" i="1"/>
  <c r="BP2487" i="1"/>
  <c r="BP2488" i="1"/>
  <c r="BP2489" i="1"/>
  <c r="BP2490" i="1"/>
  <c r="BP2491" i="1"/>
  <c r="BP2492" i="1"/>
  <c r="BP2493" i="1"/>
  <c r="BP2494" i="1"/>
  <c r="BP2495" i="1"/>
  <c r="BP2496" i="1"/>
  <c r="BP2497" i="1"/>
  <c r="BP2498" i="1"/>
  <c r="BP2499" i="1"/>
  <c r="BP2500" i="1"/>
  <c r="BP2501" i="1"/>
  <c r="BP2502" i="1"/>
  <c r="BP2503" i="1"/>
  <c r="BP2504" i="1"/>
  <c r="BP2505" i="1"/>
  <c r="BP2506" i="1"/>
  <c r="BP2507" i="1"/>
  <c r="BP2508" i="1"/>
  <c r="BP2509" i="1"/>
  <c r="BP2510" i="1"/>
  <c r="BP2511" i="1"/>
  <c r="BP2512" i="1"/>
  <c r="BP2513" i="1"/>
  <c r="BP2514" i="1"/>
  <c r="BP2515" i="1"/>
  <c r="BP2516" i="1"/>
  <c r="BP2517" i="1"/>
  <c r="BP2518" i="1"/>
  <c r="BP2519" i="1"/>
  <c r="BP2520" i="1"/>
  <c r="BP2521" i="1"/>
  <c r="BP2522" i="1"/>
  <c r="BP2523" i="1"/>
  <c r="BP2526" i="1"/>
  <c r="BP2527" i="1"/>
  <c r="BP2529" i="1"/>
  <c r="BP2530" i="1"/>
  <c r="BP2531" i="1"/>
  <c r="BP2532" i="1"/>
  <c r="BP2533" i="1"/>
  <c r="BP2534" i="1"/>
  <c r="BP2535" i="1"/>
  <c r="BP2536" i="1"/>
  <c r="BP2537" i="1"/>
  <c r="BP2538" i="1"/>
  <c r="BP2539" i="1"/>
  <c r="BP2540" i="1"/>
  <c r="BP2541" i="1"/>
  <c r="BP2542" i="1"/>
  <c r="BP2543" i="1"/>
  <c r="BP2544" i="1"/>
  <c r="BP2545" i="1"/>
  <c r="BP2546" i="1"/>
  <c r="BP2547" i="1"/>
  <c r="BP2548" i="1"/>
  <c r="BP2549" i="1"/>
  <c r="BP2550" i="1"/>
  <c r="BP2551" i="1"/>
  <c r="BP2552" i="1"/>
  <c r="BP2553" i="1"/>
  <c r="BP2554" i="1"/>
  <c r="BP2555" i="1"/>
  <c r="BP2556" i="1"/>
  <c r="BP2557" i="1"/>
  <c r="BP2558" i="1"/>
  <c r="BP2559" i="1"/>
  <c r="BP2560" i="1"/>
  <c r="BP2561" i="1"/>
  <c r="BP2562" i="1"/>
  <c r="BP2563" i="1"/>
  <c r="BP2564" i="1"/>
  <c r="BP2565" i="1"/>
  <c r="BP2566" i="1"/>
  <c r="BP2567" i="1"/>
  <c r="BP2568" i="1"/>
  <c r="BP2569" i="1"/>
  <c r="BP2570" i="1"/>
  <c r="BP2571" i="1"/>
  <c r="BP2572" i="1"/>
  <c r="BP2573" i="1"/>
  <c r="BP2574" i="1"/>
  <c r="BP2575" i="1"/>
  <c r="BP2576" i="1"/>
  <c r="BP2577" i="1"/>
  <c r="BP2578" i="1"/>
  <c r="BP2579" i="1"/>
  <c r="BP2580" i="1"/>
  <c r="BP2581" i="1"/>
  <c r="BP2582" i="1"/>
  <c r="BP2583" i="1"/>
  <c r="BP2584" i="1"/>
  <c r="BP2585" i="1"/>
  <c r="BP2586" i="1"/>
  <c r="BP2587" i="1"/>
  <c r="BP2588" i="1"/>
  <c r="BP2589" i="1"/>
  <c r="BP2590" i="1"/>
  <c r="BP2591" i="1"/>
  <c r="BP2592" i="1"/>
  <c r="BP2593" i="1"/>
  <c r="BP2594" i="1"/>
  <c r="BP2595" i="1"/>
  <c r="BP2596" i="1"/>
  <c r="BP2597" i="1"/>
  <c r="BP2598" i="1"/>
  <c r="BP2599" i="1"/>
  <c r="BP2600" i="1"/>
  <c r="BP2601" i="1"/>
  <c r="BP2602" i="1"/>
  <c r="BP2603" i="1"/>
  <c r="BP2604" i="1"/>
  <c r="BP2605" i="1"/>
  <c r="BP2606" i="1"/>
  <c r="BP2607" i="1"/>
  <c r="BP2608" i="1"/>
  <c r="BP2609" i="1"/>
  <c r="BP2610" i="1"/>
  <c r="BP2611" i="1"/>
  <c r="BP2612" i="1"/>
  <c r="BP2613" i="1"/>
  <c r="BP2614" i="1"/>
  <c r="BP2615" i="1"/>
  <c r="BP2616" i="1"/>
  <c r="BP2617" i="1"/>
  <c r="BP2618" i="1"/>
  <c r="BP2619" i="1"/>
  <c r="BP2620" i="1"/>
  <c r="BP2621" i="1"/>
  <c r="BP2622" i="1"/>
  <c r="BP2623" i="1"/>
  <c r="BP2624" i="1"/>
  <c r="BP2625" i="1"/>
  <c r="BP2626" i="1"/>
  <c r="BP2627" i="1"/>
  <c r="BP2628" i="1"/>
  <c r="BP2629" i="1"/>
  <c r="BP2630" i="1"/>
  <c r="BP2631" i="1"/>
  <c r="BP2632" i="1"/>
  <c r="BP2633" i="1"/>
  <c r="BP2634" i="1"/>
  <c r="BP2635" i="1"/>
  <c r="BP2636" i="1"/>
  <c r="BP2637" i="1"/>
  <c r="BP2638" i="1"/>
  <c r="BP2639" i="1"/>
  <c r="BP2640" i="1"/>
  <c r="BP2641" i="1"/>
  <c r="BP2642" i="1"/>
  <c r="BP2643" i="1"/>
  <c r="BP2644" i="1"/>
  <c r="BP2645" i="1"/>
  <c r="BP2646" i="1"/>
  <c r="BP2647" i="1"/>
  <c r="BP2648" i="1"/>
  <c r="BP2649" i="1"/>
  <c r="BP2650" i="1"/>
  <c r="BP2651" i="1"/>
  <c r="BP2652" i="1"/>
  <c r="BP2654" i="1"/>
  <c r="BP2655" i="1"/>
  <c r="BP2656" i="1"/>
  <c r="BP2657" i="1"/>
  <c r="BP2658" i="1"/>
  <c r="BP2659" i="1"/>
  <c r="BP2660" i="1"/>
  <c r="BP2661" i="1"/>
  <c r="BP2662" i="1"/>
  <c r="BP2663" i="1"/>
  <c r="BP2664" i="1"/>
  <c r="BP2665" i="1"/>
  <c r="BP2666" i="1"/>
  <c r="BP2667" i="1"/>
  <c r="BP2668" i="1"/>
  <c r="BP2669" i="1"/>
  <c r="BP2670" i="1"/>
  <c r="BP2671" i="1"/>
  <c r="BP2672" i="1"/>
  <c r="BP2673" i="1"/>
  <c r="BP2674" i="1"/>
  <c r="BP2676" i="1"/>
  <c r="BP2677" i="1"/>
  <c r="BP2678" i="1"/>
  <c r="BP2679" i="1"/>
  <c r="BP2680" i="1"/>
  <c r="BP2681" i="1"/>
  <c r="BP2682" i="1"/>
  <c r="BP2683" i="1"/>
  <c r="BP2684" i="1"/>
  <c r="BP2685" i="1"/>
  <c r="BP2686" i="1"/>
  <c r="BP2687" i="1"/>
  <c r="BP2688" i="1"/>
  <c r="BP2689" i="1"/>
  <c r="BP2690" i="1"/>
  <c r="BP2691" i="1"/>
  <c r="BP2692" i="1"/>
  <c r="BP2693" i="1"/>
  <c r="BP2694" i="1"/>
  <c r="BP2696" i="1"/>
  <c r="BP2697" i="1"/>
  <c r="BP2698" i="1"/>
  <c r="BP2699" i="1"/>
  <c r="BP2700" i="1"/>
  <c r="BP2701" i="1"/>
  <c r="BP2702" i="1"/>
  <c r="BP2703" i="1"/>
  <c r="BP2704" i="1"/>
  <c r="BP2705" i="1"/>
  <c r="BP2706" i="1"/>
  <c r="BP2707" i="1"/>
  <c r="BP2708" i="1"/>
  <c r="BP2709" i="1"/>
  <c r="BP2710" i="1"/>
  <c r="BP2711" i="1"/>
  <c r="BP2712" i="1"/>
  <c r="BP2713" i="1"/>
  <c r="BP2714" i="1"/>
  <c r="BP2716" i="1"/>
  <c r="BP2717" i="1"/>
  <c r="BP2718" i="1"/>
  <c r="BP2719" i="1"/>
  <c r="BP2720" i="1"/>
  <c r="BP2721" i="1"/>
  <c r="BP2722" i="1"/>
  <c r="BP2723" i="1"/>
  <c r="BP2724" i="1"/>
  <c r="BP2725" i="1"/>
  <c r="BP2726" i="1"/>
  <c r="BP2727" i="1"/>
  <c r="BP2728" i="1"/>
  <c r="BP2729" i="1"/>
  <c r="BP2730" i="1"/>
  <c r="BP2732" i="1"/>
  <c r="BP2733" i="1"/>
  <c r="BP2734" i="1"/>
  <c r="BP2735" i="1"/>
  <c r="BP2736" i="1"/>
  <c r="BP2737" i="1"/>
  <c r="BP2738" i="1"/>
  <c r="BP2739" i="1"/>
  <c r="BP2740" i="1"/>
  <c r="BP2741" i="1"/>
  <c r="BP2742" i="1"/>
  <c r="BP2743" i="1"/>
  <c r="BP2744" i="1"/>
  <c r="BP2745" i="1"/>
  <c r="BP2746" i="1"/>
  <c r="BP2747" i="1"/>
  <c r="BP2748" i="1"/>
  <c r="BP2749" i="1"/>
  <c r="BP2750" i="1"/>
  <c r="BP2751" i="1"/>
  <c r="BP2752" i="1"/>
  <c r="BP2753" i="1"/>
  <c r="BP2754" i="1"/>
  <c r="BP2755" i="1"/>
  <c r="BP2756" i="1"/>
  <c r="BP2759" i="1"/>
  <c r="BP2760" i="1"/>
  <c r="BP2761" i="1"/>
  <c r="BP2762" i="1"/>
  <c r="BP2763" i="1"/>
  <c r="BP2764" i="1"/>
  <c r="BP2765" i="1"/>
  <c r="BP2766" i="1"/>
  <c r="BP2767" i="1"/>
  <c r="BP2768" i="1"/>
  <c r="BP2769" i="1"/>
  <c r="BP2770" i="1"/>
  <c r="BP2771" i="1"/>
  <c r="BP2772" i="1"/>
  <c r="BP2773" i="1"/>
  <c r="BP2774" i="1"/>
  <c r="BP2775" i="1"/>
  <c r="BP2776" i="1"/>
  <c r="BP2777" i="1"/>
  <c r="BP2778" i="1"/>
  <c r="BP2779" i="1"/>
  <c r="BP2780" i="1"/>
  <c r="BP2781" i="1"/>
  <c r="BP2783" i="1"/>
  <c r="BP2784" i="1"/>
  <c r="BP2785" i="1"/>
  <c r="BP2786" i="1"/>
  <c r="BP2787" i="1"/>
  <c r="BP2788" i="1"/>
  <c r="BP2789" i="1"/>
  <c r="BP2790" i="1"/>
  <c r="BP2791" i="1"/>
  <c r="BP2792" i="1"/>
  <c r="BP2793" i="1"/>
  <c r="BP2794" i="1"/>
  <c r="BP2795" i="1"/>
  <c r="BP2796" i="1"/>
  <c r="BP2797" i="1"/>
  <c r="BP2798" i="1"/>
  <c r="BP2799" i="1"/>
  <c r="BP2800" i="1"/>
  <c r="BP2801" i="1"/>
  <c r="BP2802" i="1"/>
  <c r="BP2803" i="1"/>
  <c r="BP2804" i="1"/>
  <c r="BP2805" i="1"/>
  <c r="BP2806" i="1"/>
  <c r="BP2807" i="1"/>
  <c r="BP2808" i="1"/>
  <c r="BP2809" i="1"/>
  <c r="BP2810" i="1"/>
  <c r="BP2811" i="1"/>
  <c r="BP2812" i="1"/>
  <c r="BP2813" i="1"/>
  <c r="BP2814" i="1"/>
  <c r="BP2815" i="1"/>
  <c r="BP2816" i="1"/>
  <c r="BP2817" i="1"/>
  <c r="BP2818" i="1"/>
  <c r="BP2819" i="1"/>
  <c r="BP2820" i="1"/>
  <c r="BP2821" i="1"/>
  <c r="BP2822" i="1"/>
  <c r="BP2823" i="1"/>
  <c r="BP2824" i="1"/>
  <c r="BP2825" i="1"/>
  <c r="BP2826" i="1"/>
  <c r="BP2827" i="1"/>
  <c r="BP2828" i="1"/>
  <c r="BP2829" i="1"/>
  <c r="BP2830" i="1"/>
  <c r="BP2831" i="1"/>
  <c r="BP2832" i="1"/>
  <c r="BP2833" i="1"/>
  <c r="BP2834" i="1"/>
  <c r="BP2835" i="1"/>
  <c r="BP2836" i="1"/>
  <c r="BP2837" i="1"/>
  <c r="BP2838" i="1"/>
  <c r="BP2839" i="1"/>
  <c r="BP2840" i="1"/>
  <c r="BP2841" i="1"/>
  <c r="BP2842" i="1"/>
  <c r="BP2843" i="1"/>
  <c r="BP2844" i="1"/>
  <c r="BP2845" i="1"/>
  <c r="BP2846" i="1"/>
  <c r="BP2847" i="1"/>
  <c r="BP2848" i="1"/>
  <c r="BP2849" i="1"/>
  <c r="BP2850" i="1"/>
  <c r="BP2851" i="1"/>
  <c r="BP2852" i="1"/>
  <c r="BP2853" i="1"/>
  <c r="BP2854" i="1"/>
  <c r="BP2855" i="1"/>
  <c r="BP2856" i="1"/>
  <c r="BP2857" i="1"/>
  <c r="BP2858" i="1"/>
  <c r="BP2859" i="1"/>
  <c r="BP2860" i="1"/>
  <c r="BP2861" i="1"/>
  <c r="BP2862" i="1"/>
  <c r="BP2863" i="1"/>
  <c r="BP2864" i="1"/>
  <c r="BP2866" i="1"/>
  <c r="BP2867" i="1"/>
  <c r="BP2868" i="1"/>
  <c r="BP2869" i="1"/>
  <c r="BP2870" i="1"/>
  <c r="BP2871" i="1"/>
  <c r="BP2872" i="1"/>
  <c r="BP2873" i="1"/>
  <c r="BP2874" i="1"/>
  <c r="BP2875" i="1"/>
  <c r="BP2876" i="1"/>
  <c r="BP2877" i="1"/>
  <c r="BP2878" i="1"/>
  <c r="BP2879" i="1"/>
  <c r="BP2880" i="1"/>
  <c r="BP2881" i="1"/>
  <c r="BP2882" i="1"/>
  <c r="BP2883" i="1"/>
  <c r="BP2884" i="1"/>
  <c r="BP2885" i="1"/>
  <c r="BP2886" i="1"/>
  <c r="BP2887" i="1"/>
  <c r="BP2888" i="1"/>
  <c r="BP2889" i="1"/>
  <c r="BP2890" i="1"/>
  <c r="BP2891" i="1"/>
  <c r="BP2893" i="1"/>
  <c r="BP2894" i="1"/>
  <c r="BP2895" i="1"/>
  <c r="BP2896" i="1"/>
  <c r="BP2897" i="1"/>
  <c r="BP2898" i="1"/>
  <c r="BP2899" i="1"/>
  <c r="BP2900" i="1"/>
  <c r="BP2901" i="1"/>
  <c r="BP2902" i="1"/>
  <c r="BP2903" i="1"/>
  <c r="BP2904" i="1"/>
  <c r="BP2905" i="1"/>
  <c r="BP2906" i="1"/>
  <c r="BP2907" i="1"/>
  <c r="BP2908" i="1"/>
  <c r="BP2909" i="1"/>
  <c r="BP2910" i="1"/>
  <c r="BP2911" i="1"/>
  <c r="BP2912" i="1"/>
  <c r="BP2913" i="1"/>
  <c r="BP2914" i="1"/>
  <c r="BP2915" i="1"/>
  <c r="BP2916" i="1"/>
  <c r="BP2917" i="1"/>
  <c r="BP2918" i="1"/>
  <c r="BP2919" i="1"/>
  <c r="BP2920" i="1"/>
  <c r="BP2921" i="1"/>
  <c r="BP2922" i="1"/>
  <c r="BP2923" i="1"/>
  <c r="BP2924" i="1"/>
  <c r="BP2925" i="1"/>
  <c r="BP2926" i="1"/>
  <c r="BP2927" i="1"/>
  <c r="BP2928" i="1"/>
  <c r="BP2929" i="1"/>
  <c r="BP2930" i="1"/>
  <c r="BP2931" i="1"/>
  <c r="BP2933" i="1"/>
  <c r="BP2934" i="1"/>
  <c r="BP2935" i="1"/>
  <c r="BP2936" i="1"/>
  <c r="BP2937" i="1"/>
  <c r="BP2938" i="1"/>
  <c r="BP2939" i="1"/>
  <c r="BP2940" i="1"/>
  <c r="BP2941" i="1"/>
  <c r="BP2942" i="1"/>
  <c r="BP2943" i="1"/>
  <c r="BP2944" i="1"/>
  <c r="BP2945" i="1"/>
  <c r="BP2946" i="1"/>
  <c r="BP2947" i="1"/>
  <c r="BP2948" i="1"/>
  <c r="BP2949" i="1"/>
  <c r="BP2950" i="1"/>
  <c r="BP2951" i="1"/>
  <c r="BP2952" i="1"/>
  <c r="BP2953" i="1"/>
  <c r="BP2954" i="1"/>
  <c r="BP2955" i="1"/>
  <c r="BP2956" i="1"/>
  <c r="BP2957" i="1"/>
  <c r="BP2958" i="1"/>
  <c r="BP2959" i="1"/>
  <c r="BP2960" i="1"/>
  <c r="BP2961" i="1"/>
  <c r="BP2962" i="1"/>
  <c r="BP2963" i="1"/>
  <c r="BP2964" i="1"/>
  <c r="BP2965" i="1"/>
  <c r="BP2966" i="1"/>
  <c r="BP2967" i="1"/>
  <c r="BP2968" i="1"/>
  <c r="BP2969" i="1"/>
  <c r="BP2970" i="1"/>
  <c r="BP2971" i="1"/>
  <c r="BP2972" i="1"/>
  <c r="BP2973" i="1"/>
  <c r="BP2974" i="1"/>
  <c r="BP2975" i="1"/>
  <c r="BP2976" i="1"/>
  <c r="BP2977" i="1"/>
  <c r="BP2978" i="1"/>
  <c r="BP2979" i="1"/>
  <c r="BP2980" i="1"/>
  <c r="BP2981" i="1"/>
  <c r="BP2982" i="1"/>
  <c r="BP2983" i="1"/>
  <c r="BP2984" i="1"/>
  <c r="BP2985" i="1"/>
  <c r="BP2986" i="1"/>
  <c r="BP2987" i="1"/>
  <c r="BP2988" i="1"/>
  <c r="BP2989" i="1"/>
  <c r="BP2990" i="1"/>
  <c r="BP2991" i="1"/>
  <c r="BP2992" i="1"/>
  <c r="BP2994" i="1"/>
  <c r="BP2995" i="1"/>
  <c r="BP2996" i="1"/>
  <c r="BP2997" i="1"/>
  <c r="BP2998" i="1"/>
  <c r="BP2999" i="1"/>
  <c r="BP3000" i="1"/>
  <c r="BP3001" i="1"/>
  <c r="BP3002" i="1"/>
  <c r="BP3003" i="1"/>
  <c r="BP3004" i="1"/>
  <c r="BP3005" i="1"/>
  <c r="BP3006" i="1"/>
  <c r="BP3007" i="1"/>
  <c r="BP3008" i="1"/>
  <c r="BP3009" i="1"/>
  <c r="BP3010" i="1"/>
  <c r="BP3011" i="1"/>
  <c r="BP3012" i="1"/>
  <c r="BP3013" i="1"/>
  <c r="BP3014" i="1"/>
  <c r="BP3016" i="1"/>
  <c r="BP3017" i="1"/>
  <c r="BP3018" i="1"/>
  <c r="BP3019" i="1"/>
  <c r="BP3020" i="1"/>
  <c r="BP3021" i="1"/>
  <c r="BP3022" i="1"/>
  <c r="BP3023" i="1"/>
  <c r="BP3024" i="1"/>
  <c r="BP3025" i="1"/>
  <c r="BP3026" i="1"/>
  <c r="BP3027" i="1"/>
  <c r="BP3028" i="1"/>
  <c r="BP3029" i="1"/>
  <c r="BP3030" i="1"/>
  <c r="BP3031" i="1"/>
  <c r="BP3032" i="1"/>
  <c r="BP3033" i="1"/>
  <c r="BP3034" i="1"/>
  <c r="BP3035" i="1"/>
  <c r="BP3036" i="1"/>
  <c r="BP3037" i="1"/>
  <c r="BP3038" i="1"/>
  <c r="BP3039" i="1"/>
  <c r="BP3040" i="1"/>
  <c r="BP3041" i="1"/>
  <c r="BP3042" i="1"/>
  <c r="BP3043" i="1"/>
  <c r="BP3044" i="1"/>
  <c r="BP3045" i="1"/>
  <c r="BP3046" i="1"/>
  <c r="BP3047" i="1"/>
  <c r="BP3048" i="1"/>
  <c r="BP3049" i="1"/>
  <c r="BP3050" i="1"/>
  <c r="BP3051" i="1"/>
  <c r="BP3052" i="1"/>
  <c r="BP3053" i="1"/>
  <c r="BP3054" i="1"/>
  <c r="BP3055" i="1"/>
  <c r="BP3056" i="1"/>
  <c r="BP3057" i="1"/>
  <c r="BP3058" i="1"/>
  <c r="BP3059" i="1"/>
  <c r="BP3060" i="1"/>
  <c r="BP3061" i="1"/>
  <c r="BP3062" i="1"/>
  <c r="BP3063" i="1"/>
  <c r="BP3064" i="1"/>
  <c r="BP3065" i="1"/>
  <c r="BP3066" i="1"/>
  <c r="BP3067" i="1"/>
  <c r="BP3068" i="1"/>
  <c r="BP3069" i="1"/>
  <c r="BP3070" i="1"/>
  <c r="BP3072" i="1"/>
  <c r="BP3073" i="1"/>
  <c r="BP3075" i="1"/>
  <c r="BP3076" i="1"/>
  <c r="BP3077" i="1"/>
  <c r="BP3078" i="1"/>
  <c r="BP3079" i="1"/>
  <c r="BP3080" i="1"/>
  <c r="BP3081" i="1"/>
  <c r="BP3082" i="1"/>
  <c r="BP3083" i="1"/>
  <c r="BP3084" i="1"/>
  <c r="BP3085" i="1"/>
  <c r="BP3086" i="1"/>
  <c r="BP3087" i="1"/>
  <c r="BP3088" i="1"/>
  <c r="BP3090" i="1"/>
  <c r="BP3091" i="1"/>
  <c r="BP3092" i="1"/>
  <c r="BP3093" i="1"/>
  <c r="BP3094" i="1"/>
  <c r="BP3095" i="1"/>
  <c r="BP3096" i="1"/>
  <c r="BP3097" i="1"/>
  <c r="BP3098" i="1"/>
  <c r="BP3099" i="1"/>
  <c r="BP3100" i="1"/>
  <c r="BP3101" i="1"/>
  <c r="BP3102" i="1"/>
  <c r="BP3103" i="1"/>
  <c r="BP3104" i="1"/>
  <c r="BP3105" i="1"/>
  <c r="BP3106" i="1"/>
  <c r="BP3107" i="1"/>
  <c r="BP3108" i="1"/>
  <c r="BP3109" i="1"/>
  <c r="BP3110" i="1"/>
  <c r="BP3111" i="1"/>
  <c r="BP3112" i="1"/>
  <c r="BP3113" i="1"/>
  <c r="BP3114" i="1"/>
  <c r="BP3115" i="1"/>
  <c r="BP3116" i="1"/>
  <c r="BP3117" i="1"/>
  <c r="BP3118" i="1"/>
  <c r="BP3119" i="1"/>
  <c r="BP3120" i="1"/>
  <c r="BP3121" i="1"/>
  <c r="BP3122" i="1"/>
  <c r="BP3123" i="1"/>
  <c r="BP3124" i="1"/>
  <c r="BP3125" i="1"/>
  <c r="BP3126" i="1"/>
  <c r="BP3127" i="1"/>
  <c r="BP3128" i="1"/>
  <c r="BP3129" i="1"/>
  <c r="BP3130" i="1"/>
  <c r="BP3131" i="1"/>
  <c r="BP3132" i="1"/>
  <c r="BP3133" i="1"/>
  <c r="BP3134" i="1"/>
  <c r="BP3135" i="1"/>
  <c r="BP3136" i="1"/>
  <c r="BP3137" i="1"/>
  <c r="BP3138" i="1"/>
  <c r="BP3139" i="1"/>
  <c r="BP3140" i="1"/>
  <c r="BP3141" i="1"/>
  <c r="BP3142" i="1"/>
  <c r="BP3143" i="1"/>
  <c r="BP3144" i="1"/>
  <c r="BP3145" i="1"/>
  <c r="BP3146" i="1"/>
  <c r="BP3147" i="1"/>
  <c r="BP3148" i="1"/>
  <c r="BP3149" i="1"/>
  <c r="BP3150" i="1"/>
  <c r="BP3151" i="1"/>
  <c r="BP3152" i="1"/>
  <c r="BP3153" i="1"/>
  <c r="BP3154" i="1"/>
  <c r="BP3155" i="1"/>
  <c r="BP3156" i="1"/>
  <c r="BP3157" i="1"/>
  <c r="BP3158" i="1"/>
  <c r="BP3159" i="1"/>
  <c r="BP3160" i="1"/>
  <c r="BP3161" i="1"/>
  <c r="BP3162" i="1"/>
  <c r="BP3163" i="1"/>
  <c r="BP3164" i="1"/>
  <c r="BP3165" i="1"/>
  <c r="BP3166" i="1"/>
  <c r="BP3167" i="1"/>
  <c r="BP3168" i="1"/>
  <c r="BP3169" i="1"/>
  <c r="BP3170" i="1"/>
  <c r="BP3171" i="1"/>
  <c r="BP3172" i="1"/>
  <c r="BP3173" i="1"/>
  <c r="BP3174" i="1"/>
  <c r="BP3175" i="1"/>
  <c r="BP3176" i="1"/>
  <c r="BP3177" i="1"/>
  <c r="BP3178" i="1"/>
  <c r="BP3179" i="1"/>
  <c r="BP3180" i="1"/>
  <c r="BP3181" i="1"/>
  <c r="BP3182" i="1"/>
  <c r="BP3183" i="1"/>
  <c r="BP3184" i="1"/>
  <c r="BP3185" i="1"/>
  <c r="BP3186" i="1"/>
  <c r="BP3187" i="1"/>
  <c r="BP3188" i="1"/>
  <c r="BP3189" i="1"/>
  <c r="BP3190" i="1"/>
  <c r="BP3191" i="1"/>
  <c r="BP3192" i="1"/>
  <c r="BP3193" i="1"/>
  <c r="BP3194" i="1"/>
  <c r="BP3195" i="1"/>
  <c r="BP3196" i="1"/>
  <c r="BP3197" i="1"/>
  <c r="BP3198" i="1"/>
  <c r="BP3199" i="1"/>
  <c r="BP3200" i="1"/>
  <c r="BP3201" i="1"/>
  <c r="BP3202" i="1"/>
  <c r="BP3203" i="1"/>
  <c r="BP3204" i="1"/>
  <c r="BP3205" i="1"/>
  <c r="BP3206" i="1"/>
  <c r="BP2" i="1"/>
  <c r="BS3" i="1"/>
  <c r="BS4" i="1"/>
  <c r="BS5" i="1"/>
  <c r="BS6" i="1"/>
  <c r="BS7" i="1"/>
  <c r="BS8" i="1"/>
  <c r="BS9" i="1"/>
  <c r="BS10" i="1"/>
  <c r="BS11" i="1"/>
  <c r="BS12" i="1"/>
  <c r="BS13" i="1"/>
  <c r="BS14" i="1"/>
  <c r="BS15" i="1"/>
  <c r="CA15" i="1" s="1"/>
  <c r="BS16" i="1"/>
  <c r="BS17" i="1"/>
  <c r="BS18" i="1"/>
  <c r="BS19" i="1"/>
  <c r="BS20" i="1"/>
  <c r="BS21" i="1"/>
  <c r="BS22" i="1"/>
  <c r="BS23" i="1"/>
  <c r="BS24" i="1"/>
  <c r="BS25" i="1"/>
  <c r="BS104" i="1"/>
  <c r="BS105" i="1"/>
  <c r="BS106" i="1"/>
  <c r="BS107" i="1"/>
  <c r="CA107" i="1" s="1"/>
  <c r="BS108" i="1"/>
  <c r="BS109" i="1"/>
  <c r="BS110" i="1"/>
  <c r="BS111" i="1"/>
  <c r="CA111" i="1" s="1"/>
  <c r="BS112" i="1"/>
  <c r="BS113" i="1"/>
  <c r="BS114" i="1"/>
  <c r="BS116" i="1"/>
  <c r="BS117" i="1"/>
  <c r="BS118" i="1"/>
  <c r="BS119" i="1"/>
  <c r="BS120" i="1"/>
  <c r="BS121" i="1"/>
  <c r="BS122" i="1"/>
  <c r="CA122" i="1" s="1"/>
  <c r="BS123" i="1"/>
  <c r="BS124" i="1"/>
  <c r="BS125" i="1"/>
  <c r="BS126" i="1"/>
  <c r="BS127" i="1"/>
  <c r="BS128" i="1"/>
  <c r="BS129" i="1"/>
  <c r="BS130" i="1"/>
  <c r="BS131" i="1"/>
  <c r="BS132" i="1"/>
  <c r="BS133" i="1"/>
  <c r="BS134" i="1"/>
  <c r="BS135" i="1"/>
  <c r="BS136" i="1"/>
  <c r="BS138" i="1"/>
  <c r="BS139" i="1"/>
  <c r="BS140" i="1"/>
  <c r="BS141" i="1"/>
  <c r="BS142" i="1"/>
  <c r="BS143" i="1"/>
  <c r="BS144" i="1"/>
  <c r="BS145" i="1"/>
  <c r="BS146" i="1"/>
  <c r="BS147" i="1"/>
  <c r="CA147" i="1" s="1"/>
  <c r="BS148" i="1"/>
  <c r="BS149" i="1"/>
  <c r="BS150" i="1"/>
  <c r="BS151" i="1"/>
  <c r="BS152" i="1"/>
  <c r="BS153" i="1"/>
  <c r="BS154" i="1"/>
  <c r="BS155" i="1"/>
  <c r="BS156" i="1"/>
  <c r="BS157" i="1"/>
  <c r="BS158" i="1"/>
  <c r="BS159" i="1"/>
  <c r="CA159" i="1" s="1"/>
  <c r="BS160" i="1"/>
  <c r="BS161" i="1"/>
  <c r="BS162" i="1"/>
  <c r="CA162" i="1" s="1"/>
  <c r="BS163" i="1"/>
  <c r="BS164" i="1"/>
  <c r="BS165" i="1"/>
  <c r="BS166" i="1"/>
  <c r="BS167" i="1"/>
  <c r="BS168" i="1"/>
  <c r="BS169" i="1"/>
  <c r="BS170" i="1"/>
  <c r="CA170" i="1" s="1"/>
  <c r="BS171" i="1"/>
  <c r="BS172" i="1"/>
  <c r="BS173" i="1"/>
  <c r="BS174" i="1"/>
  <c r="BS175" i="1"/>
  <c r="BS176" i="1"/>
  <c r="BS177" i="1"/>
  <c r="BS178" i="1"/>
  <c r="BS179" i="1"/>
  <c r="CA179" i="1" s="1"/>
  <c r="BS180" i="1"/>
  <c r="BS181" i="1"/>
  <c r="BS182" i="1"/>
  <c r="BS183" i="1"/>
  <c r="CA183" i="1" s="1"/>
  <c r="BS184" i="1"/>
  <c r="BS185" i="1"/>
  <c r="BS186" i="1"/>
  <c r="BS187" i="1"/>
  <c r="BS188" i="1"/>
  <c r="BS189" i="1"/>
  <c r="BS190" i="1"/>
  <c r="BS191" i="1"/>
  <c r="BS192" i="1"/>
  <c r="CA192" i="1" s="1"/>
  <c r="BS193" i="1"/>
  <c r="CA193" i="1" s="1"/>
  <c r="BS194" i="1"/>
  <c r="BS195" i="1"/>
  <c r="CA195" i="1" s="1"/>
  <c r="BS196" i="1"/>
  <c r="BS197" i="1"/>
  <c r="BS198" i="1"/>
  <c r="BS199" i="1"/>
  <c r="BS200" i="1"/>
  <c r="BS201" i="1"/>
  <c r="BS202" i="1"/>
  <c r="BS203" i="1"/>
  <c r="BS204" i="1"/>
  <c r="CA204" i="1" s="1"/>
  <c r="BS205" i="1"/>
  <c r="BS206" i="1"/>
  <c r="BS282" i="1"/>
  <c r="BS283" i="1"/>
  <c r="CA283" i="1" s="1"/>
  <c r="BS284" i="1"/>
  <c r="BS285" i="1"/>
  <c r="BS286" i="1"/>
  <c r="BS287" i="1"/>
  <c r="BS288" i="1"/>
  <c r="BS289" i="1"/>
  <c r="BS290" i="1"/>
  <c r="BS291" i="1"/>
  <c r="BS292" i="1"/>
  <c r="BS293" i="1"/>
  <c r="BS294" i="1"/>
  <c r="BS295" i="1"/>
  <c r="BS296" i="1"/>
  <c r="BS297" i="1"/>
  <c r="BS298" i="1"/>
  <c r="CA298" i="1" s="1"/>
  <c r="BS299" i="1"/>
  <c r="BS300" i="1"/>
  <c r="BS301" i="1"/>
  <c r="BS302" i="1"/>
  <c r="BS303" i="1"/>
  <c r="BS304" i="1"/>
  <c r="BS305" i="1"/>
  <c r="BS306" i="1"/>
  <c r="BS307" i="1"/>
  <c r="BS308" i="1"/>
  <c r="BS309" i="1"/>
  <c r="BS310" i="1"/>
  <c r="BS311" i="1"/>
  <c r="BS312" i="1"/>
  <c r="BS313" i="1"/>
  <c r="BS314" i="1"/>
  <c r="CA314" i="1" s="1"/>
  <c r="BS315" i="1"/>
  <c r="BS316" i="1"/>
  <c r="CA316" i="1" s="1"/>
  <c r="BS317" i="1"/>
  <c r="BS318" i="1"/>
  <c r="CA318" i="1" s="1"/>
  <c r="BS319" i="1"/>
  <c r="BS320" i="1"/>
  <c r="BS321" i="1"/>
  <c r="BS322" i="1"/>
  <c r="BS323" i="1"/>
  <c r="BS324" i="1"/>
  <c r="BS325" i="1"/>
  <c r="BS326" i="1"/>
  <c r="BS327" i="1"/>
  <c r="CA327" i="1" s="1"/>
  <c r="BS328" i="1"/>
  <c r="BS329" i="1"/>
  <c r="CA329" i="1" s="1"/>
  <c r="BS330" i="1"/>
  <c r="BS331" i="1"/>
  <c r="CA331" i="1" s="1"/>
  <c r="BS332" i="1"/>
  <c r="CA332" i="1" s="1"/>
  <c r="BS333" i="1"/>
  <c r="BS334" i="1"/>
  <c r="BS335" i="1"/>
  <c r="BS336" i="1"/>
  <c r="BS337" i="1"/>
  <c r="BS338" i="1"/>
  <c r="BS339" i="1"/>
  <c r="BS341" i="1"/>
  <c r="BS342" i="1"/>
  <c r="BS343" i="1"/>
  <c r="BS344" i="1"/>
  <c r="BS345" i="1"/>
  <c r="BS346" i="1"/>
  <c r="BS347" i="1"/>
  <c r="BS348" i="1"/>
  <c r="BS349" i="1"/>
  <c r="BS350" i="1"/>
  <c r="BS351" i="1"/>
  <c r="BS352" i="1"/>
  <c r="BS353" i="1"/>
  <c r="BS354" i="1"/>
  <c r="CA354" i="1" s="1"/>
  <c r="BS355" i="1"/>
  <c r="BS356" i="1"/>
  <c r="BS357" i="1"/>
  <c r="BS358" i="1"/>
  <c r="BS359" i="1"/>
  <c r="BS360" i="1"/>
  <c r="CA360" i="1" s="1"/>
  <c r="BS361" i="1"/>
  <c r="BS362" i="1"/>
  <c r="BS363" i="1"/>
  <c r="BS364" i="1"/>
  <c r="CA364" i="1" s="1"/>
  <c r="BS365" i="1"/>
  <c r="BS366" i="1"/>
  <c r="BS367" i="1"/>
  <c r="CA367" i="1" s="1"/>
  <c r="BS368" i="1"/>
  <c r="CA368" i="1" s="1"/>
  <c r="BS369" i="1"/>
  <c r="BS370" i="1"/>
  <c r="BS371" i="1"/>
  <c r="BS372" i="1"/>
  <c r="CA372" i="1" s="1"/>
  <c r="BS373" i="1"/>
  <c r="CA373" i="1" s="1"/>
  <c r="BS374" i="1"/>
  <c r="CA374" i="1" s="1"/>
  <c r="BS375" i="1"/>
  <c r="BS376" i="1"/>
  <c r="BS377" i="1"/>
  <c r="BS378" i="1"/>
  <c r="BS379" i="1"/>
  <c r="CA379" i="1" s="1"/>
  <c r="BS380" i="1"/>
  <c r="BS381" i="1"/>
  <c r="BS382" i="1"/>
  <c r="BS383" i="1"/>
  <c r="BS384" i="1"/>
  <c r="BS385" i="1"/>
  <c r="BS386" i="1"/>
  <c r="BS387" i="1"/>
  <c r="BS388" i="1"/>
  <c r="BS389" i="1"/>
  <c r="BS390" i="1"/>
  <c r="BS391" i="1"/>
  <c r="CA391" i="1" s="1"/>
  <c r="BS392" i="1"/>
  <c r="CA392" i="1" s="1"/>
  <c r="BS393" i="1"/>
  <c r="CA393" i="1" s="1"/>
  <c r="BS394" i="1"/>
  <c r="BS395" i="1"/>
  <c r="BS396" i="1"/>
  <c r="BS397" i="1"/>
  <c r="BS398" i="1"/>
  <c r="BS399" i="1"/>
  <c r="BS400" i="1"/>
  <c r="BS401" i="1"/>
  <c r="BS402" i="1"/>
  <c r="BS403" i="1"/>
  <c r="BS404" i="1"/>
  <c r="BS405" i="1"/>
  <c r="BS406" i="1"/>
  <c r="BS408" i="1"/>
  <c r="BS409" i="1"/>
  <c r="BS410" i="1"/>
  <c r="BS411" i="1"/>
  <c r="BS412" i="1"/>
  <c r="BS413" i="1"/>
  <c r="BS414" i="1"/>
  <c r="BS415" i="1"/>
  <c r="BS416" i="1"/>
  <c r="BS417" i="1"/>
  <c r="BS418" i="1"/>
  <c r="BS419" i="1"/>
  <c r="BS420" i="1"/>
  <c r="BS421" i="1"/>
  <c r="BS422" i="1"/>
  <c r="BS423" i="1"/>
  <c r="BS424" i="1"/>
  <c r="BS425" i="1"/>
  <c r="BS426" i="1"/>
  <c r="BS427" i="1"/>
  <c r="BS428" i="1"/>
  <c r="CA428" i="1" s="1"/>
  <c r="BS429" i="1"/>
  <c r="BS430" i="1"/>
  <c r="BS431" i="1"/>
  <c r="BS432" i="1"/>
  <c r="BS433" i="1"/>
  <c r="CA433" i="1" s="1"/>
  <c r="BS434" i="1"/>
  <c r="BS435" i="1"/>
  <c r="BS436" i="1"/>
  <c r="BS437" i="1"/>
  <c r="BS438" i="1"/>
  <c r="CA438" i="1" s="1"/>
  <c r="BS439" i="1"/>
  <c r="BS440" i="1"/>
  <c r="BS441" i="1"/>
  <c r="BS442" i="1"/>
  <c r="BS443" i="1"/>
  <c r="BS444" i="1"/>
  <c r="BS445" i="1"/>
  <c r="CA445" i="1" s="1"/>
  <c r="BS446" i="1"/>
  <c r="CA446" i="1" s="1"/>
  <c r="BS447" i="1"/>
  <c r="BS448" i="1"/>
  <c r="CA448" i="1" s="1"/>
  <c r="BS449" i="1"/>
  <c r="BS450" i="1"/>
  <c r="BS451" i="1"/>
  <c r="BS452" i="1"/>
  <c r="BS453" i="1"/>
  <c r="BS454" i="1"/>
  <c r="BS455" i="1"/>
  <c r="BS456" i="1"/>
  <c r="BS457" i="1"/>
  <c r="BS458" i="1"/>
  <c r="BS459" i="1"/>
  <c r="CA459" i="1" s="1"/>
  <c r="BS460" i="1"/>
  <c r="BS461" i="1"/>
  <c r="BS462" i="1"/>
  <c r="BS463" i="1"/>
  <c r="BS465" i="1"/>
  <c r="CA465" i="1" s="1"/>
  <c r="BS466" i="1"/>
  <c r="BS467" i="1"/>
  <c r="BS468" i="1"/>
  <c r="BS469" i="1"/>
  <c r="BS470" i="1"/>
  <c r="BS471" i="1"/>
  <c r="CA471" i="1" s="1"/>
  <c r="BS472" i="1"/>
  <c r="BS473" i="1"/>
  <c r="BS474" i="1"/>
  <c r="BS475" i="1"/>
  <c r="BS476" i="1"/>
  <c r="CA476" i="1" s="1"/>
  <c r="BS477" i="1"/>
  <c r="BS479" i="1"/>
  <c r="BS480" i="1"/>
  <c r="BS481" i="1"/>
  <c r="BS482" i="1"/>
  <c r="BS483" i="1"/>
  <c r="BS484" i="1"/>
  <c r="BS485" i="1"/>
  <c r="BS486" i="1"/>
  <c r="BS487" i="1"/>
  <c r="CA487" i="1" s="1"/>
  <c r="BS488" i="1"/>
  <c r="BS489" i="1"/>
  <c r="BS490" i="1"/>
  <c r="BS491" i="1"/>
  <c r="BS492" i="1"/>
  <c r="BS493" i="1"/>
  <c r="CA493" i="1" s="1"/>
  <c r="BS494" i="1"/>
  <c r="BS495" i="1"/>
  <c r="BS496" i="1"/>
  <c r="BS497" i="1"/>
  <c r="BS498" i="1"/>
  <c r="BS499" i="1"/>
  <c r="BS500" i="1"/>
  <c r="BS501" i="1"/>
  <c r="BS502" i="1"/>
  <c r="BS503" i="1"/>
  <c r="CA503" i="1" s="1"/>
  <c r="BS504" i="1"/>
  <c r="CA504" i="1" s="1"/>
  <c r="BS505" i="1"/>
  <c r="CA505" i="1" s="1"/>
  <c r="BS506" i="1"/>
  <c r="BS507" i="1"/>
  <c r="CA507" i="1" s="1"/>
  <c r="BS508" i="1"/>
  <c r="BS509" i="1"/>
  <c r="BS510" i="1"/>
  <c r="BS511" i="1"/>
  <c r="BS512" i="1"/>
  <c r="BS513" i="1"/>
  <c r="BS515" i="1"/>
  <c r="BS516" i="1"/>
  <c r="BS517" i="1"/>
  <c r="CA517" i="1" s="1"/>
  <c r="BS518" i="1"/>
  <c r="BS519" i="1"/>
  <c r="BS520" i="1"/>
  <c r="BS521" i="1"/>
  <c r="CA521" i="1" s="1"/>
  <c r="BS522" i="1"/>
  <c r="BS523" i="1"/>
  <c r="BS524" i="1"/>
  <c r="BS525" i="1"/>
  <c r="BS526" i="1"/>
  <c r="CA526" i="1" s="1"/>
  <c r="BS527" i="1"/>
  <c r="CA527" i="1" s="1"/>
  <c r="BS528" i="1"/>
  <c r="CA528" i="1" s="1"/>
  <c r="BS529" i="1"/>
  <c r="BS530" i="1"/>
  <c r="CA530" i="1" s="1"/>
  <c r="BS531" i="1"/>
  <c r="BS532" i="1"/>
  <c r="CA532" i="1" s="1"/>
  <c r="BS533" i="1"/>
  <c r="BS534" i="1"/>
  <c r="BS535" i="1"/>
  <c r="CA535" i="1" s="1"/>
  <c r="BS536" i="1"/>
  <c r="BS537" i="1"/>
  <c r="BS538" i="1"/>
  <c r="BS539" i="1"/>
  <c r="BS540" i="1"/>
  <c r="BS541" i="1"/>
  <c r="BS542" i="1"/>
  <c r="BS543" i="1"/>
  <c r="CA543" i="1" s="1"/>
  <c r="BS544" i="1"/>
  <c r="CA544" i="1" s="1"/>
  <c r="BS545" i="1"/>
  <c r="BS546" i="1"/>
  <c r="BS547" i="1"/>
  <c r="BS548" i="1"/>
  <c r="CA548" i="1" s="1"/>
  <c r="BS549" i="1"/>
  <c r="CA549" i="1" s="1"/>
  <c r="BS550" i="1"/>
  <c r="BS551" i="1"/>
  <c r="BS552" i="1"/>
  <c r="BS553" i="1"/>
  <c r="BS554" i="1"/>
  <c r="BS555" i="1"/>
  <c r="BS556" i="1"/>
  <c r="CA556" i="1" s="1"/>
  <c r="BS557" i="1"/>
  <c r="CA557" i="1" s="1"/>
  <c r="BS558" i="1"/>
  <c r="BS559" i="1"/>
  <c r="BS560" i="1"/>
  <c r="BS561" i="1"/>
  <c r="CA561" i="1" s="1"/>
  <c r="BS562" i="1"/>
  <c r="CA562" i="1" s="1"/>
  <c r="BS563" i="1"/>
  <c r="BS564" i="1"/>
  <c r="BS565" i="1"/>
  <c r="BS566" i="1"/>
  <c r="BS567" i="1"/>
  <c r="BS568" i="1"/>
  <c r="CA568" i="1" s="1"/>
  <c r="BS569" i="1"/>
  <c r="BS570" i="1"/>
  <c r="BS571" i="1"/>
  <c r="BS572" i="1"/>
  <c r="BS573" i="1"/>
  <c r="BS574" i="1"/>
  <c r="BS575" i="1"/>
  <c r="BS576" i="1"/>
  <c r="BS577" i="1"/>
  <c r="BS578" i="1"/>
  <c r="BS579" i="1"/>
  <c r="BS580" i="1"/>
  <c r="CA580" i="1" s="1"/>
  <c r="BS581" i="1"/>
  <c r="CA581" i="1" s="1"/>
  <c r="BS582" i="1"/>
  <c r="BS583" i="1"/>
  <c r="BS584" i="1"/>
  <c r="CA584" i="1" s="1"/>
  <c r="BS585" i="1"/>
  <c r="BS586" i="1"/>
  <c r="CA586" i="1" s="1"/>
  <c r="BS587" i="1"/>
  <c r="BS588" i="1"/>
  <c r="CA588" i="1" s="1"/>
  <c r="BS589" i="1"/>
  <c r="CA589" i="1" s="1"/>
  <c r="BS590" i="1"/>
  <c r="CA590" i="1" s="1"/>
  <c r="BS591" i="1"/>
  <c r="BS592" i="1"/>
  <c r="BS593" i="1"/>
  <c r="BS594" i="1"/>
  <c r="BS595" i="1"/>
  <c r="BS596" i="1"/>
  <c r="BS597" i="1"/>
  <c r="BS598" i="1"/>
  <c r="BS599" i="1"/>
  <c r="BS600" i="1"/>
  <c r="BS601" i="1"/>
  <c r="BS602" i="1"/>
  <c r="CA602" i="1" s="1"/>
  <c r="BS603" i="1"/>
  <c r="BS604" i="1"/>
  <c r="BS605" i="1"/>
  <c r="BS606" i="1"/>
  <c r="BS607" i="1"/>
  <c r="BS608" i="1"/>
  <c r="BS609" i="1"/>
  <c r="BS611" i="1"/>
  <c r="BS612" i="1"/>
  <c r="BS614" i="1"/>
  <c r="CA614" i="1" s="1"/>
  <c r="BS615" i="1"/>
  <c r="CA615" i="1" s="1"/>
  <c r="BS616" i="1"/>
  <c r="BS617" i="1"/>
  <c r="BS618" i="1"/>
  <c r="CA618" i="1" s="1"/>
  <c r="BS619" i="1"/>
  <c r="BS620" i="1"/>
  <c r="BS621" i="1"/>
  <c r="BS622" i="1"/>
  <c r="BS623" i="1"/>
  <c r="BS624" i="1"/>
  <c r="BS625" i="1"/>
  <c r="BS626" i="1"/>
  <c r="BS627" i="1"/>
  <c r="BS628" i="1"/>
  <c r="BS629" i="1"/>
  <c r="BS630" i="1"/>
  <c r="BS631" i="1"/>
  <c r="CA631" i="1" s="1"/>
  <c r="BS632" i="1"/>
  <c r="BS633" i="1"/>
  <c r="BS634" i="1"/>
  <c r="BS635" i="1"/>
  <c r="BS636" i="1"/>
  <c r="CA636" i="1" s="1"/>
  <c r="BS637" i="1"/>
  <c r="CA637" i="1" s="1"/>
  <c r="BS638" i="1"/>
  <c r="BS639" i="1"/>
  <c r="BS640" i="1"/>
  <c r="BS641" i="1"/>
  <c r="BS642" i="1"/>
  <c r="BS643" i="1"/>
  <c r="BS644" i="1"/>
  <c r="CA644" i="1" s="1"/>
  <c r="BS645" i="1"/>
  <c r="BS646" i="1"/>
  <c r="BS647" i="1"/>
  <c r="BS648" i="1"/>
  <c r="BS649" i="1"/>
  <c r="BS650" i="1"/>
  <c r="BS651" i="1"/>
  <c r="BS652" i="1"/>
  <c r="BS653" i="1"/>
  <c r="BS654" i="1"/>
  <c r="CA654" i="1" s="1"/>
  <c r="BS655" i="1"/>
  <c r="CA655" i="1" s="1"/>
  <c r="BS656" i="1"/>
  <c r="BS657" i="1"/>
  <c r="CA657" i="1" s="1"/>
  <c r="BS658" i="1"/>
  <c r="BS659" i="1"/>
  <c r="BS660" i="1"/>
  <c r="CA660" i="1" s="1"/>
  <c r="BS661" i="1"/>
  <c r="BS662" i="1"/>
  <c r="CA662" i="1" s="1"/>
  <c r="BS663" i="1"/>
  <c r="BS664" i="1"/>
  <c r="BS665" i="1"/>
  <c r="BS666" i="1"/>
  <c r="BS667" i="1"/>
  <c r="CA667" i="1" s="1"/>
  <c r="BS668" i="1"/>
  <c r="BS669" i="1"/>
  <c r="BS670" i="1"/>
  <c r="BS671" i="1"/>
  <c r="BS672" i="1"/>
  <c r="CA672" i="1" s="1"/>
  <c r="BS673" i="1"/>
  <c r="BS674" i="1"/>
  <c r="BS675" i="1"/>
  <c r="BS676" i="1"/>
  <c r="BS677" i="1"/>
  <c r="BS678" i="1"/>
  <c r="BS679" i="1"/>
  <c r="BS680" i="1"/>
  <c r="BS681" i="1"/>
  <c r="BS682" i="1"/>
  <c r="BS683" i="1"/>
  <c r="BS684" i="1"/>
  <c r="CA684" i="1" s="1"/>
  <c r="BS685" i="1"/>
  <c r="CA685" i="1" s="1"/>
  <c r="BS686" i="1"/>
  <c r="BS687" i="1"/>
  <c r="CA687" i="1" s="1"/>
  <c r="BS688" i="1"/>
  <c r="CA688" i="1" s="1"/>
  <c r="BS689" i="1"/>
  <c r="BS690" i="1"/>
  <c r="BS691" i="1"/>
  <c r="BS692" i="1"/>
  <c r="BS693" i="1"/>
  <c r="BS694" i="1"/>
  <c r="BS695" i="1"/>
  <c r="BS696" i="1"/>
  <c r="BS697" i="1"/>
  <c r="BS698" i="1"/>
  <c r="BS699" i="1"/>
  <c r="BS700" i="1"/>
  <c r="BS701" i="1"/>
  <c r="CA701" i="1" s="1"/>
  <c r="BS702" i="1"/>
  <c r="CA702" i="1" s="1"/>
  <c r="BS703" i="1"/>
  <c r="BS704" i="1"/>
  <c r="BS705" i="1"/>
  <c r="CA705" i="1" s="1"/>
  <c r="BS706" i="1"/>
  <c r="BS707" i="1"/>
  <c r="CA707" i="1" s="1"/>
  <c r="BS708" i="1"/>
  <c r="BS709" i="1"/>
  <c r="BS710" i="1"/>
  <c r="CA710" i="1" s="1"/>
  <c r="BS711" i="1"/>
  <c r="BS712" i="1"/>
  <c r="CA712" i="1" s="1"/>
  <c r="BS713" i="1"/>
  <c r="BS714" i="1"/>
  <c r="BS715" i="1"/>
  <c r="BS716" i="1"/>
  <c r="BS717" i="1"/>
  <c r="BS718" i="1"/>
  <c r="BS719" i="1"/>
  <c r="BS720" i="1"/>
  <c r="BS721" i="1"/>
  <c r="CA721" i="1" s="1"/>
  <c r="BS722" i="1"/>
  <c r="CA722" i="1" s="1"/>
  <c r="BS723" i="1"/>
  <c r="CA723" i="1" s="1"/>
  <c r="BS724" i="1"/>
  <c r="CA724" i="1" s="1"/>
  <c r="BS725" i="1"/>
  <c r="BS726" i="1"/>
  <c r="BS727" i="1"/>
  <c r="BS728" i="1"/>
  <c r="BS729" i="1"/>
  <c r="BS730" i="1"/>
  <c r="BS731" i="1"/>
  <c r="BS732" i="1"/>
  <c r="BS733" i="1"/>
  <c r="BS734" i="1"/>
  <c r="BS735" i="1"/>
  <c r="BS736" i="1"/>
  <c r="BS737" i="1"/>
  <c r="CA737" i="1" s="1"/>
  <c r="BS738" i="1"/>
  <c r="BS739" i="1"/>
  <c r="CA739" i="1" s="1"/>
  <c r="BS740" i="1"/>
  <c r="CA740" i="1" s="1"/>
  <c r="BS741" i="1"/>
  <c r="CA741" i="1" s="1"/>
  <c r="BS742" i="1"/>
  <c r="CA742" i="1" s="1"/>
  <c r="BS743" i="1"/>
  <c r="BS744" i="1"/>
  <c r="BS745" i="1"/>
  <c r="BS746" i="1"/>
  <c r="BS747" i="1"/>
  <c r="CA747" i="1" s="1"/>
  <c r="BS748" i="1"/>
  <c r="BS749" i="1"/>
  <c r="BS750" i="1"/>
  <c r="BS751" i="1"/>
  <c r="CA751" i="1" s="1"/>
  <c r="BS752" i="1"/>
  <c r="BS753" i="1"/>
  <c r="BS754" i="1"/>
  <c r="BS755" i="1"/>
  <c r="BS756" i="1"/>
  <c r="BS757" i="1"/>
  <c r="BS758" i="1"/>
  <c r="BS759" i="1"/>
  <c r="BS760" i="1"/>
  <c r="BS761" i="1"/>
  <c r="BS762" i="1"/>
  <c r="BS763" i="1"/>
  <c r="CA763" i="1" s="1"/>
  <c r="BS764" i="1"/>
  <c r="BS765" i="1"/>
  <c r="BS766" i="1"/>
  <c r="BS767" i="1"/>
  <c r="BS768" i="1"/>
  <c r="BS769" i="1"/>
  <c r="BS770" i="1"/>
  <c r="BS771" i="1"/>
  <c r="BS772" i="1"/>
  <c r="BS773" i="1"/>
  <c r="BS774" i="1"/>
  <c r="BS775" i="1"/>
  <c r="BS776" i="1"/>
  <c r="BS777" i="1"/>
  <c r="CA777" i="1" s="1"/>
  <c r="BS778" i="1"/>
  <c r="BS779" i="1"/>
  <c r="BS780" i="1"/>
  <c r="CA780" i="1" s="1"/>
  <c r="BS782" i="1"/>
  <c r="BS783" i="1"/>
  <c r="BS784" i="1"/>
  <c r="BS785" i="1"/>
  <c r="BS786" i="1"/>
  <c r="BS787" i="1"/>
  <c r="BS788" i="1"/>
  <c r="BS789" i="1"/>
  <c r="BS790" i="1"/>
  <c r="BS791" i="1"/>
  <c r="CA791" i="1" s="1"/>
  <c r="BS792" i="1"/>
  <c r="BS793" i="1"/>
  <c r="CA793" i="1" s="1"/>
  <c r="BS794" i="1"/>
  <c r="BS795" i="1"/>
  <c r="CA795" i="1" s="1"/>
  <c r="BS796" i="1"/>
  <c r="BS797" i="1"/>
  <c r="BS798" i="1"/>
  <c r="BS799" i="1"/>
  <c r="BS800" i="1"/>
  <c r="BS801" i="1"/>
  <c r="CA801" i="1" s="1"/>
  <c r="BS802" i="1"/>
  <c r="BS803" i="1"/>
  <c r="BS804" i="1"/>
  <c r="BS805" i="1"/>
  <c r="BS806" i="1"/>
  <c r="BS807" i="1"/>
  <c r="BS808" i="1"/>
  <c r="CA808" i="1" s="1"/>
  <c r="BS809" i="1"/>
  <c r="BS810" i="1"/>
  <c r="BS811" i="1"/>
  <c r="BS812" i="1"/>
  <c r="CA812" i="1" s="1"/>
  <c r="BS813" i="1"/>
  <c r="CA813" i="1" s="1"/>
  <c r="BS814" i="1"/>
  <c r="BS815" i="1"/>
  <c r="BS816" i="1"/>
  <c r="BS817" i="1"/>
  <c r="BS818" i="1"/>
  <c r="BS819" i="1"/>
  <c r="BS820" i="1"/>
  <c r="BS821" i="1"/>
  <c r="BS822" i="1"/>
  <c r="BS823" i="1"/>
  <c r="CA823" i="1" s="1"/>
  <c r="BS824" i="1"/>
  <c r="BS825" i="1"/>
  <c r="BS826" i="1"/>
  <c r="BS827" i="1"/>
  <c r="BS828" i="1"/>
  <c r="BS829" i="1"/>
  <c r="BS830" i="1"/>
  <c r="BS831" i="1"/>
  <c r="BS832" i="1"/>
  <c r="BS833" i="1"/>
  <c r="BS834" i="1"/>
  <c r="BS835" i="1"/>
  <c r="BS836" i="1"/>
  <c r="BS837" i="1"/>
  <c r="BS838" i="1"/>
  <c r="BS840" i="1"/>
  <c r="BS841" i="1"/>
  <c r="CA841" i="1" s="1"/>
  <c r="BS842" i="1"/>
  <c r="BS843" i="1"/>
  <c r="BS844" i="1"/>
  <c r="BS845" i="1"/>
  <c r="BS846" i="1"/>
  <c r="BS847" i="1"/>
  <c r="CA847" i="1" s="1"/>
  <c r="BS848" i="1"/>
  <c r="BS849" i="1"/>
  <c r="CA849" i="1" s="1"/>
  <c r="BS850" i="1"/>
  <c r="CA850" i="1" s="1"/>
  <c r="BS851" i="1"/>
  <c r="CA851" i="1" s="1"/>
  <c r="BS852" i="1"/>
  <c r="BS853" i="1"/>
  <c r="BS854" i="1"/>
  <c r="BS855" i="1"/>
  <c r="BS856" i="1"/>
  <c r="CA856" i="1" s="1"/>
  <c r="BS857" i="1"/>
  <c r="BS858" i="1"/>
  <c r="CA858" i="1" s="1"/>
  <c r="BS859" i="1"/>
  <c r="CA859" i="1" s="1"/>
  <c r="BS860" i="1"/>
  <c r="CA860" i="1" s="1"/>
  <c r="BS861" i="1"/>
  <c r="CA861" i="1" s="1"/>
  <c r="BS862" i="1"/>
  <c r="CA862" i="1" s="1"/>
  <c r="BS863" i="1"/>
  <c r="BS864" i="1"/>
  <c r="BS865" i="1"/>
  <c r="BS866" i="1"/>
  <c r="CA866" i="1" s="1"/>
  <c r="BS867" i="1"/>
  <c r="BS868" i="1"/>
  <c r="BS869" i="1"/>
  <c r="BS870" i="1"/>
  <c r="BS871" i="1"/>
  <c r="BS872" i="1"/>
  <c r="BS873" i="1"/>
  <c r="CA873" i="1" s="1"/>
  <c r="BS874" i="1"/>
  <c r="CA874" i="1" s="1"/>
  <c r="BS875" i="1"/>
  <c r="BS876" i="1"/>
  <c r="CA876" i="1" s="1"/>
  <c r="BS877" i="1"/>
  <c r="BS878" i="1"/>
  <c r="BS879" i="1"/>
  <c r="BS880" i="1"/>
  <c r="BS881" i="1"/>
  <c r="BS882" i="1"/>
  <c r="BS883" i="1"/>
  <c r="BS884" i="1"/>
  <c r="BS885" i="1"/>
  <c r="BS886" i="1"/>
  <c r="BS887" i="1"/>
  <c r="BS888" i="1"/>
  <c r="CA888" i="1" s="1"/>
  <c r="BS889" i="1"/>
  <c r="BS890" i="1"/>
  <c r="BS891" i="1"/>
  <c r="BS892" i="1"/>
  <c r="BS893" i="1"/>
  <c r="BS894" i="1"/>
  <c r="BS895" i="1"/>
  <c r="BS896" i="1"/>
  <c r="CA896" i="1" s="1"/>
  <c r="BS897" i="1"/>
  <c r="BS898" i="1"/>
  <c r="BS899" i="1"/>
  <c r="BS900" i="1"/>
  <c r="BS901" i="1"/>
  <c r="BS902" i="1"/>
  <c r="BS903" i="1"/>
  <c r="BS904" i="1"/>
  <c r="BS905" i="1"/>
  <c r="BS906" i="1"/>
  <c r="BS907" i="1"/>
  <c r="BS908" i="1"/>
  <c r="BS909" i="1"/>
  <c r="BS910" i="1"/>
  <c r="CA910" i="1" s="1"/>
  <c r="BS911" i="1"/>
  <c r="BS912" i="1"/>
  <c r="BS913" i="1"/>
  <c r="BS914" i="1"/>
  <c r="CA914" i="1" s="1"/>
  <c r="BS915" i="1"/>
  <c r="CA915" i="1" s="1"/>
  <c r="BS916" i="1"/>
  <c r="CA916" i="1" s="1"/>
  <c r="BS917" i="1"/>
  <c r="CA917" i="1" s="1"/>
  <c r="BS918" i="1"/>
  <c r="BS919" i="1"/>
  <c r="BS921" i="1"/>
  <c r="BS922" i="1"/>
  <c r="BS923" i="1"/>
  <c r="BS924" i="1"/>
  <c r="BS925" i="1"/>
  <c r="BS926" i="1"/>
  <c r="BS927" i="1"/>
  <c r="CA927" i="1" s="1"/>
  <c r="BS928" i="1"/>
  <c r="BS929" i="1"/>
  <c r="BS930" i="1"/>
  <c r="BS931" i="1"/>
  <c r="CA931" i="1" s="1"/>
  <c r="BS932" i="1"/>
  <c r="BS933" i="1"/>
  <c r="BS934" i="1"/>
  <c r="BS935" i="1"/>
  <c r="BS936" i="1"/>
  <c r="CA936" i="1" s="1"/>
  <c r="BS937" i="1"/>
  <c r="BS938" i="1"/>
  <c r="BS939" i="1"/>
  <c r="BS940" i="1"/>
  <c r="BS942" i="1"/>
  <c r="BS943" i="1"/>
  <c r="BS944" i="1"/>
  <c r="BS945" i="1"/>
  <c r="CA945" i="1" s="1"/>
  <c r="BS946" i="1"/>
  <c r="BS947" i="1"/>
  <c r="BS948" i="1"/>
  <c r="BS949" i="1"/>
  <c r="BS950" i="1"/>
  <c r="BS951" i="1"/>
  <c r="CA951" i="1" s="1"/>
  <c r="BS952" i="1"/>
  <c r="BS953" i="1"/>
  <c r="CA953" i="1" s="1"/>
  <c r="BS954" i="1"/>
  <c r="BS955" i="1"/>
  <c r="BS956" i="1"/>
  <c r="BS957" i="1"/>
  <c r="BS958" i="1"/>
  <c r="BS959" i="1"/>
  <c r="BS960" i="1"/>
  <c r="BS961" i="1"/>
  <c r="BS962" i="1"/>
  <c r="BS963" i="1"/>
  <c r="BS964" i="1"/>
  <c r="BS965" i="1"/>
  <c r="BS966" i="1"/>
  <c r="BS967" i="1"/>
  <c r="BS968" i="1"/>
  <c r="BS969" i="1"/>
  <c r="CA969" i="1" s="1"/>
  <c r="BS970" i="1"/>
  <c r="CA970" i="1" s="1"/>
  <c r="BS971" i="1"/>
  <c r="CA971" i="1" s="1"/>
  <c r="BS972" i="1"/>
  <c r="BS973" i="1"/>
  <c r="BS974" i="1"/>
  <c r="BS975" i="1"/>
  <c r="BS976" i="1"/>
  <c r="BS977" i="1"/>
  <c r="BS978" i="1"/>
  <c r="BS979" i="1"/>
  <c r="BS980" i="1"/>
  <c r="BS981" i="1"/>
  <c r="BS982" i="1"/>
  <c r="BS983" i="1"/>
  <c r="CA983" i="1" s="1"/>
  <c r="BS984" i="1"/>
  <c r="BS985" i="1"/>
  <c r="BS986" i="1"/>
  <c r="BS987" i="1"/>
  <c r="CA987" i="1" s="1"/>
  <c r="BS988" i="1"/>
  <c r="BS989" i="1"/>
  <c r="BS990" i="1"/>
  <c r="BS991" i="1"/>
  <c r="CA991" i="1" s="1"/>
  <c r="BS992" i="1"/>
  <c r="BS993" i="1"/>
  <c r="BS994" i="1"/>
  <c r="BS995" i="1"/>
  <c r="BS996" i="1"/>
  <c r="CA996" i="1" s="1"/>
  <c r="BS997" i="1"/>
  <c r="BS998" i="1"/>
  <c r="BS999" i="1"/>
  <c r="BS1000" i="1"/>
  <c r="BS1001" i="1"/>
  <c r="CA1001" i="1" s="1"/>
  <c r="BS1002" i="1"/>
  <c r="CA1002" i="1" s="1"/>
  <c r="BS1003" i="1"/>
  <c r="BS1004" i="1"/>
  <c r="BS1005" i="1"/>
  <c r="BS1006" i="1"/>
  <c r="BS1007" i="1"/>
  <c r="CA1007" i="1" s="1"/>
  <c r="BS1008" i="1"/>
  <c r="BS1009" i="1"/>
  <c r="CA1009" i="1" s="1"/>
  <c r="BS1010" i="1"/>
  <c r="CA1010" i="1" s="1"/>
  <c r="BS1011" i="1"/>
  <c r="CA1011" i="1" s="1"/>
  <c r="BS1012" i="1"/>
  <c r="BS1013" i="1"/>
  <c r="BS1014" i="1"/>
  <c r="BS1015" i="1"/>
  <c r="BS1016" i="1"/>
  <c r="BS1017" i="1"/>
  <c r="BS1018" i="1"/>
  <c r="CA1018" i="1" s="1"/>
  <c r="BS1019" i="1"/>
  <c r="BS1020" i="1"/>
  <c r="BS1021" i="1"/>
  <c r="BS1022" i="1"/>
  <c r="BS1023" i="1"/>
  <c r="BS1024" i="1"/>
  <c r="BS1025" i="1"/>
  <c r="BS1026" i="1"/>
  <c r="CA1026" i="1" s="1"/>
  <c r="BS1027" i="1"/>
  <c r="BS1028" i="1"/>
  <c r="BS1029" i="1"/>
  <c r="BS1030" i="1"/>
  <c r="BS1031" i="1"/>
  <c r="BS1032" i="1"/>
  <c r="BS1033" i="1"/>
  <c r="BS1034" i="1"/>
  <c r="BS1035" i="1"/>
  <c r="CA1035" i="1" s="1"/>
  <c r="BS1036" i="1"/>
  <c r="BS1037" i="1"/>
  <c r="BS1038" i="1"/>
  <c r="BS1039" i="1"/>
  <c r="BS1040" i="1"/>
  <c r="BS1042" i="1"/>
  <c r="CA1042" i="1" s="1"/>
  <c r="BS1043" i="1"/>
  <c r="BS1044" i="1"/>
  <c r="CA1044" i="1" s="1"/>
  <c r="BS1045" i="1"/>
  <c r="BS1046" i="1"/>
  <c r="BS1047" i="1"/>
  <c r="BS1048" i="1"/>
  <c r="CA1048" i="1" s="1"/>
  <c r="BS1049" i="1"/>
  <c r="BS1050" i="1"/>
  <c r="CA1050" i="1" s="1"/>
  <c r="BS1051" i="1"/>
  <c r="BS1052" i="1"/>
  <c r="CA1052" i="1" s="1"/>
  <c r="BS1053" i="1"/>
  <c r="BS1055" i="1"/>
  <c r="CA1055" i="1" s="1"/>
  <c r="BS1056" i="1"/>
  <c r="BS1057" i="1"/>
  <c r="CA1057" i="1" s="1"/>
  <c r="BS1058" i="1"/>
  <c r="CA1058" i="1" s="1"/>
  <c r="BS1059" i="1"/>
  <c r="BS1060" i="1"/>
  <c r="BS1061" i="1"/>
  <c r="CA1061" i="1" s="1"/>
  <c r="BS1062" i="1"/>
  <c r="BS1063" i="1"/>
  <c r="BS1064" i="1"/>
  <c r="BS1065" i="1"/>
  <c r="BS1066" i="1"/>
  <c r="BS1067" i="1"/>
  <c r="BS1068" i="1"/>
  <c r="BS1069" i="1"/>
  <c r="BS1070" i="1"/>
  <c r="BS1071" i="1"/>
  <c r="BS1072" i="1"/>
  <c r="CA1072" i="1" s="1"/>
  <c r="BS1073" i="1"/>
  <c r="BS1074" i="1"/>
  <c r="CA1074" i="1" s="1"/>
  <c r="BS1075" i="1"/>
  <c r="CA1075" i="1" s="1"/>
  <c r="BS1076" i="1"/>
  <c r="CA1076" i="1" s="1"/>
  <c r="BS1077" i="1"/>
  <c r="CA1077" i="1" s="1"/>
  <c r="BS1078" i="1"/>
  <c r="BS1079" i="1"/>
  <c r="BS1080" i="1"/>
  <c r="CA1080" i="1" s="1"/>
  <c r="BS1081" i="1"/>
  <c r="BS1082" i="1"/>
  <c r="BS1083" i="1"/>
  <c r="BS1084" i="1"/>
  <c r="BS1085" i="1"/>
  <c r="BS1086" i="1"/>
  <c r="BS1087" i="1"/>
  <c r="BS1088" i="1"/>
  <c r="BS1089" i="1"/>
  <c r="CA1089" i="1" s="1"/>
  <c r="BS1090" i="1"/>
  <c r="BS1091" i="1"/>
  <c r="BS1092" i="1"/>
  <c r="CA1092" i="1" s="1"/>
  <c r="BS1093" i="1"/>
  <c r="BS1094" i="1"/>
  <c r="BS1095" i="1"/>
  <c r="BS1096" i="1"/>
  <c r="BS1097" i="1"/>
  <c r="BS1098" i="1"/>
  <c r="BS1099" i="1"/>
  <c r="CA1099" i="1" s="1"/>
  <c r="BS1100" i="1"/>
  <c r="CA1100" i="1" s="1"/>
  <c r="BS1101" i="1"/>
  <c r="BS1102" i="1"/>
  <c r="BS1103" i="1"/>
  <c r="BS1104" i="1"/>
  <c r="CA1104" i="1" s="1"/>
  <c r="BS1105" i="1"/>
  <c r="CA1105" i="1" s="1"/>
  <c r="BS1106" i="1"/>
  <c r="BS1107" i="1"/>
  <c r="BS1108" i="1"/>
  <c r="BS1109" i="1"/>
  <c r="BS1110" i="1"/>
  <c r="BS1111" i="1"/>
  <c r="BS1112" i="1"/>
  <c r="BS1113" i="1"/>
  <c r="CA1113" i="1" s="1"/>
  <c r="BS1114" i="1"/>
  <c r="CA1114" i="1" s="1"/>
  <c r="BS1115" i="1"/>
  <c r="BS1116" i="1"/>
  <c r="BS1117" i="1"/>
  <c r="BS1118" i="1"/>
  <c r="CA1118" i="1" s="1"/>
  <c r="BS1119" i="1"/>
  <c r="CA1119" i="1" s="1"/>
  <c r="BS1120" i="1"/>
  <c r="BS1121" i="1"/>
  <c r="BS1122" i="1"/>
  <c r="CA1122" i="1" s="1"/>
  <c r="BS1123" i="1"/>
  <c r="BS1124" i="1"/>
  <c r="BS1125" i="1"/>
  <c r="BS1126" i="1"/>
  <c r="BS1127" i="1"/>
  <c r="BS1128" i="1"/>
  <c r="BS1129" i="1"/>
  <c r="BS1130" i="1"/>
  <c r="BS1131" i="1"/>
  <c r="CA1131" i="1" s="1"/>
  <c r="BS1132" i="1"/>
  <c r="BS1133" i="1"/>
  <c r="BS1134" i="1"/>
  <c r="BS1135" i="1"/>
  <c r="BS1136" i="1"/>
  <c r="CA1136" i="1" s="1"/>
  <c r="BS1137" i="1"/>
  <c r="CA1137" i="1" s="1"/>
  <c r="BS1138" i="1"/>
  <c r="BS1139" i="1"/>
  <c r="CA1139" i="1" s="1"/>
  <c r="BS1140" i="1"/>
  <c r="BS1141" i="1"/>
  <c r="CA1141" i="1" s="1"/>
  <c r="BS1142" i="1"/>
  <c r="BS1143" i="1"/>
  <c r="CA1143" i="1" s="1"/>
  <c r="BS1144" i="1"/>
  <c r="BS1145" i="1"/>
  <c r="BS1146" i="1"/>
  <c r="BS1147" i="1"/>
  <c r="CA1147" i="1" s="1"/>
  <c r="BS1148" i="1"/>
  <c r="CA1148" i="1" s="1"/>
  <c r="BS1149" i="1"/>
  <c r="BS1150" i="1"/>
  <c r="BS1151" i="1"/>
  <c r="CA1151" i="1" s="1"/>
  <c r="BS1152" i="1"/>
  <c r="BS1153" i="1"/>
  <c r="BS1154" i="1"/>
  <c r="BS1155" i="1"/>
  <c r="CA1155" i="1" s="1"/>
  <c r="BS1156" i="1"/>
  <c r="BS1157" i="1"/>
  <c r="BS1158" i="1"/>
  <c r="CA1158" i="1" s="1"/>
  <c r="BS1159" i="1"/>
  <c r="BS1160" i="1"/>
  <c r="BS1161" i="1"/>
  <c r="BS1162" i="1"/>
  <c r="CA1162" i="1" s="1"/>
  <c r="BS1163" i="1"/>
  <c r="BS1164" i="1"/>
  <c r="BS1165" i="1"/>
  <c r="BS1166" i="1"/>
  <c r="BS1167" i="1"/>
  <c r="BS1168" i="1"/>
  <c r="BS1169" i="1"/>
  <c r="BS1170" i="1"/>
  <c r="BS1171" i="1"/>
  <c r="CA1171" i="1" s="1"/>
  <c r="BS1172" i="1"/>
  <c r="BS1173" i="1"/>
  <c r="BS1174" i="1"/>
  <c r="CA1174" i="1" s="1"/>
  <c r="BS1175" i="1"/>
  <c r="BS1176" i="1"/>
  <c r="BS1177" i="1"/>
  <c r="BS1178" i="1"/>
  <c r="BS1179" i="1"/>
  <c r="BS1181" i="1"/>
  <c r="BS1182" i="1"/>
  <c r="BS1183" i="1"/>
  <c r="CA1183" i="1" s="1"/>
  <c r="BS1184" i="1"/>
  <c r="CA1184" i="1" s="1"/>
  <c r="BS1185" i="1"/>
  <c r="BS1186" i="1"/>
  <c r="CA1186" i="1" s="1"/>
  <c r="BS1187" i="1"/>
  <c r="BS1188" i="1"/>
  <c r="BS1189" i="1"/>
  <c r="BS1190" i="1"/>
  <c r="BS1191" i="1"/>
  <c r="BS1192" i="1"/>
  <c r="BS1193" i="1"/>
  <c r="BS1194" i="1"/>
  <c r="BS1195" i="1"/>
  <c r="BS1196" i="1"/>
  <c r="BS1197" i="1"/>
  <c r="BS1198" i="1"/>
  <c r="BS1199" i="1"/>
  <c r="BS1201" i="1"/>
  <c r="BS1204" i="1"/>
  <c r="CA1204" i="1" s="1"/>
  <c r="BS1205" i="1"/>
  <c r="CA1205" i="1" s="1"/>
  <c r="BS1206" i="1"/>
  <c r="CA1206" i="1" s="1"/>
  <c r="BS1207" i="1"/>
  <c r="BS1208" i="1"/>
  <c r="BS1209" i="1"/>
  <c r="CA1209" i="1" s="1"/>
  <c r="BS1210" i="1"/>
  <c r="BS1211" i="1"/>
  <c r="BS1212" i="1"/>
  <c r="CA1212" i="1" s="1"/>
  <c r="BS1213" i="1"/>
  <c r="BS1214" i="1"/>
  <c r="BS1215" i="1"/>
  <c r="CA1215" i="1" s="1"/>
  <c r="BS1216" i="1"/>
  <c r="BS1217" i="1"/>
  <c r="BS1218" i="1"/>
  <c r="BS1219" i="1"/>
  <c r="CA1219" i="1" s="1"/>
  <c r="BS1220" i="1"/>
  <c r="CA1220" i="1" s="1"/>
  <c r="BS1221" i="1"/>
  <c r="BS1222" i="1"/>
  <c r="BS1223" i="1"/>
  <c r="BS1224" i="1"/>
  <c r="BS1225" i="1"/>
  <c r="BS1226" i="1"/>
  <c r="CA1226" i="1" s="1"/>
  <c r="BS1227" i="1"/>
  <c r="BS1228" i="1"/>
  <c r="BS1229" i="1"/>
  <c r="BS1230" i="1"/>
  <c r="BS1231" i="1"/>
  <c r="BS1232" i="1"/>
  <c r="BS1233" i="1"/>
  <c r="BS1234" i="1"/>
  <c r="BS1235" i="1"/>
  <c r="BS1236" i="1"/>
  <c r="BS1237" i="1"/>
  <c r="CA1237" i="1" s="1"/>
  <c r="BS1238" i="1"/>
  <c r="BS1240" i="1"/>
  <c r="BS1241" i="1"/>
  <c r="BS1242" i="1"/>
  <c r="BS1243" i="1"/>
  <c r="BS1244" i="1"/>
  <c r="BS1245" i="1"/>
  <c r="BS1246" i="1"/>
  <c r="CA1246" i="1" s="1"/>
  <c r="BS1247" i="1"/>
  <c r="BS1248" i="1"/>
  <c r="CA1248" i="1" s="1"/>
  <c r="BS1249" i="1"/>
  <c r="BS1250" i="1"/>
  <c r="BS1251" i="1"/>
  <c r="CA1251" i="1" s="1"/>
  <c r="BS1252" i="1"/>
  <c r="CA1252" i="1" s="1"/>
  <c r="BS1253" i="1"/>
  <c r="BS1254" i="1"/>
  <c r="BS1255" i="1"/>
  <c r="BS1256" i="1"/>
  <c r="BS1257" i="1"/>
  <c r="BS1258" i="1"/>
  <c r="BS1259" i="1"/>
  <c r="BS1260" i="1"/>
  <c r="BS1261" i="1"/>
  <c r="BS1262" i="1"/>
  <c r="BS1263" i="1"/>
  <c r="CA1263" i="1" s="1"/>
  <c r="BS1264" i="1"/>
  <c r="BS1265" i="1"/>
  <c r="BS1266" i="1"/>
  <c r="BS1267" i="1"/>
  <c r="BS1268" i="1"/>
  <c r="BS1269" i="1"/>
  <c r="CA1269" i="1" s="1"/>
  <c r="BS1270" i="1"/>
  <c r="BS1272" i="1"/>
  <c r="BS1273" i="1"/>
  <c r="BS1274" i="1"/>
  <c r="BS1275" i="1"/>
  <c r="BS1276" i="1"/>
  <c r="BS1277" i="1"/>
  <c r="BS1278" i="1"/>
  <c r="CA1278" i="1" s="1"/>
  <c r="BS1279" i="1"/>
  <c r="BS1280" i="1"/>
  <c r="CA1280" i="1" s="1"/>
  <c r="BS1281" i="1"/>
  <c r="BS1282" i="1"/>
  <c r="BS1283" i="1"/>
  <c r="BS1284" i="1"/>
  <c r="BS1285" i="1"/>
  <c r="CA1285" i="1" s="1"/>
  <c r="BS1286" i="1"/>
  <c r="BS1287" i="1"/>
  <c r="BS1288" i="1"/>
  <c r="BS1289" i="1"/>
  <c r="BS1290" i="1"/>
  <c r="CA1290" i="1" s="1"/>
  <c r="BS1291" i="1"/>
  <c r="BS1292" i="1"/>
  <c r="BS1293" i="1"/>
  <c r="CA1293" i="1" s="1"/>
  <c r="BS1294" i="1"/>
  <c r="BS1295" i="1"/>
  <c r="CA1295" i="1" s="1"/>
  <c r="BS1296" i="1"/>
  <c r="BS1297" i="1"/>
  <c r="CA1297" i="1" s="1"/>
  <c r="BS1298" i="1"/>
  <c r="BS1299" i="1"/>
  <c r="CA1299" i="1" s="1"/>
  <c r="BS1300" i="1"/>
  <c r="BS1301" i="1"/>
  <c r="CA1301" i="1" s="1"/>
  <c r="BS1302" i="1"/>
  <c r="BS1303" i="1"/>
  <c r="BS1304" i="1"/>
  <c r="BS1305" i="1"/>
  <c r="CA1305" i="1" s="1"/>
  <c r="BS1306" i="1"/>
  <c r="CA1306" i="1" s="1"/>
  <c r="BS1307" i="1"/>
  <c r="BS1308" i="1"/>
  <c r="BS1309" i="1"/>
  <c r="CA1309" i="1" s="1"/>
  <c r="BS1310" i="1"/>
  <c r="CA1310" i="1" s="1"/>
  <c r="BS1311" i="1"/>
  <c r="BS1312" i="1"/>
  <c r="BS1313" i="1"/>
  <c r="BS1314" i="1"/>
  <c r="CA1314" i="1" s="1"/>
  <c r="BS1315" i="1"/>
  <c r="BS1316" i="1"/>
  <c r="BS1317" i="1"/>
  <c r="BS1318" i="1"/>
  <c r="BS1319" i="1"/>
  <c r="CA1319" i="1" s="1"/>
  <c r="BS1320" i="1"/>
  <c r="CA1320" i="1" s="1"/>
  <c r="BS1321" i="1"/>
  <c r="CA1321" i="1" s="1"/>
  <c r="BS1322" i="1"/>
  <c r="CA1322" i="1" s="1"/>
  <c r="BS1323" i="1"/>
  <c r="BS1324" i="1"/>
  <c r="BS1325" i="1"/>
  <c r="BS1327" i="1"/>
  <c r="BS1328" i="1"/>
  <c r="BS1329" i="1"/>
  <c r="BS1330" i="1"/>
  <c r="BS1331" i="1"/>
  <c r="BS1332" i="1"/>
  <c r="CA1332" i="1" s="1"/>
  <c r="BS1334" i="1"/>
  <c r="BS1335" i="1"/>
  <c r="BS1336" i="1"/>
  <c r="BS1337" i="1"/>
  <c r="BS1338" i="1"/>
  <c r="BS1339" i="1"/>
  <c r="BS1340" i="1"/>
  <c r="BS1341" i="1"/>
  <c r="CA1341" i="1" s="1"/>
  <c r="BS1342" i="1"/>
  <c r="CA1342" i="1" s="1"/>
  <c r="BS1343" i="1"/>
  <c r="BS1344" i="1"/>
  <c r="BS1345" i="1"/>
  <c r="BS1346" i="1"/>
  <c r="BS1347" i="1"/>
  <c r="CA1347" i="1" s="1"/>
  <c r="BS1348" i="1"/>
  <c r="BS1349" i="1"/>
  <c r="BS1350" i="1"/>
  <c r="BS1351" i="1"/>
  <c r="BS1352" i="1"/>
  <c r="CA1352" i="1" s="1"/>
  <c r="BS1353" i="1"/>
  <c r="BS1354" i="1"/>
  <c r="BS1355" i="1"/>
  <c r="BS1356" i="1"/>
  <c r="BS1357" i="1"/>
  <c r="BS1358" i="1"/>
  <c r="CA1358" i="1" s="1"/>
  <c r="BS1359" i="1"/>
  <c r="BS1360" i="1"/>
  <c r="BS1361" i="1"/>
  <c r="CA1361" i="1" s="1"/>
  <c r="BS1362" i="1"/>
  <c r="BS1363" i="1"/>
  <c r="CA1363" i="1" s="1"/>
  <c r="BS1364" i="1"/>
  <c r="BS1365" i="1"/>
  <c r="BS1366" i="1"/>
  <c r="CA1366" i="1" s="1"/>
  <c r="BS1367" i="1"/>
  <c r="BS1368" i="1"/>
  <c r="BS1369" i="1"/>
  <c r="BS1370" i="1"/>
  <c r="BS1371" i="1"/>
  <c r="BS1372" i="1"/>
  <c r="BS1373" i="1"/>
  <c r="BS1374" i="1"/>
  <c r="BS1375" i="1"/>
  <c r="BS1376" i="1"/>
  <c r="CA1376" i="1" s="1"/>
  <c r="BS1377" i="1"/>
  <c r="BS1378" i="1"/>
  <c r="BS1379" i="1"/>
  <c r="BS1380" i="1"/>
  <c r="BS1381" i="1"/>
  <c r="BS1382" i="1"/>
  <c r="BS1383" i="1"/>
  <c r="CA1383" i="1" s="1"/>
  <c r="BS1384" i="1"/>
  <c r="BS1385" i="1"/>
  <c r="BS1386" i="1"/>
  <c r="BS1387" i="1"/>
  <c r="BS1388" i="1"/>
  <c r="BS1389" i="1"/>
  <c r="BS1390" i="1"/>
  <c r="BS1391" i="1"/>
  <c r="BS1392" i="1"/>
  <c r="BS1393" i="1"/>
  <c r="BS1394" i="1"/>
  <c r="BS1395" i="1"/>
  <c r="CA1395" i="1" s="1"/>
  <c r="BS1396" i="1"/>
  <c r="BS1397" i="1"/>
  <c r="BS1398" i="1"/>
  <c r="BS1399" i="1"/>
  <c r="BS1400" i="1"/>
  <c r="BS1401" i="1"/>
  <c r="BS1402" i="1"/>
  <c r="BS1403" i="1"/>
  <c r="CA1403" i="1" s="1"/>
  <c r="BS1404" i="1"/>
  <c r="BS1405" i="1"/>
  <c r="BS1406" i="1"/>
  <c r="BS1407" i="1"/>
  <c r="BS1408" i="1"/>
  <c r="BS1409" i="1"/>
  <c r="BS1410" i="1"/>
  <c r="CA1410" i="1" s="1"/>
  <c r="BS1411" i="1"/>
  <c r="CA1411" i="1" s="1"/>
  <c r="BS1412" i="1"/>
  <c r="BS1413" i="1"/>
  <c r="BS1414" i="1"/>
  <c r="BS1415" i="1"/>
  <c r="BS1416" i="1"/>
  <c r="BS1417" i="1"/>
  <c r="BS1418" i="1"/>
  <c r="BS1419" i="1"/>
  <c r="BS1420" i="1"/>
  <c r="BS1421" i="1"/>
  <c r="CA1421" i="1" s="1"/>
  <c r="BS1422" i="1"/>
  <c r="BS1423" i="1"/>
  <c r="BS1424" i="1"/>
  <c r="BS1425" i="1"/>
  <c r="BS1426" i="1"/>
  <c r="BS1427" i="1"/>
  <c r="BS1428" i="1"/>
  <c r="CA1428" i="1" s="1"/>
  <c r="BS1429" i="1"/>
  <c r="BS1430" i="1"/>
  <c r="CA1430" i="1" s="1"/>
  <c r="BS1431" i="1"/>
  <c r="CA1431" i="1" s="1"/>
  <c r="BS1432" i="1"/>
  <c r="BS1433" i="1"/>
  <c r="BS1434" i="1"/>
  <c r="BS1435" i="1"/>
  <c r="BS1436" i="1"/>
  <c r="BS1437" i="1"/>
  <c r="BS1438" i="1"/>
  <c r="BS1439" i="1"/>
  <c r="CA1439" i="1" s="1"/>
  <c r="BS1440" i="1"/>
  <c r="BS1441" i="1"/>
  <c r="BS1442" i="1"/>
  <c r="BS1443" i="1"/>
  <c r="BS1444" i="1"/>
  <c r="BS1445" i="1"/>
  <c r="CA1445" i="1" s="1"/>
  <c r="BS1446" i="1"/>
  <c r="BS1447" i="1"/>
  <c r="BS1448" i="1"/>
  <c r="BS1449" i="1"/>
  <c r="BS1450" i="1"/>
  <c r="CA1450" i="1" s="1"/>
  <c r="BS1452" i="1"/>
  <c r="BS1453" i="1"/>
  <c r="BS1454" i="1"/>
  <c r="BS1455" i="1"/>
  <c r="CA1455" i="1" s="1"/>
  <c r="BS1456" i="1"/>
  <c r="CA1456" i="1" s="1"/>
  <c r="BS1457" i="1"/>
  <c r="CA1457" i="1" s="1"/>
  <c r="BS1458" i="1"/>
  <c r="BS1460" i="1"/>
  <c r="CA1460" i="1" s="1"/>
  <c r="BS1461" i="1"/>
  <c r="BS1462" i="1"/>
  <c r="BS1463" i="1"/>
  <c r="BS1464" i="1"/>
  <c r="BS1465" i="1"/>
  <c r="BS1466" i="1"/>
  <c r="BS1467" i="1"/>
  <c r="CA1467" i="1" s="1"/>
  <c r="BS1468" i="1"/>
  <c r="BS1469" i="1"/>
  <c r="BS1470" i="1"/>
  <c r="BS1471" i="1"/>
  <c r="BS1472" i="1"/>
  <c r="BS1473" i="1"/>
  <c r="CA1473" i="1" s="1"/>
  <c r="BS1475" i="1"/>
  <c r="BS1476" i="1"/>
  <c r="BS1477" i="1"/>
  <c r="CA1477" i="1" s="1"/>
  <c r="BS1478" i="1"/>
  <c r="CA1478" i="1" s="1"/>
  <c r="BS1479" i="1"/>
  <c r="BS1480" i="1"/>
  <c r="CA1480" i="1" s="1"/>
  <c r="BS1481" i="1"/>
  <c r="BS1482" i="1"/>
  <c r="CA1482" i="1" s="1"/>
  <c r="BS1483" i="1"/>
  <c r="CA1483" i="1" s="1"/>
  <c r="BS1484" i="1"/>
  <c r="CA1484" i="1" s="1"/>
  <c r="BS1485" i="1"/>
  <c r="CA1485" i="1" s="1"/>
  <c r="BS1486" i="1"/>
  <c r="BS1487" i="1"/>
  <c r="CA1487" i="1" s="1"/>
  <c r="BS1488" i="1"/>
  <c r="BS1489" i="1"/>
  <c r="BS1490" i="1"/>
  <c r="BS1491" i="1"/>
  <c r="CA1491" i="1" s="1"/>
  <c r="BS1492" i="1"/>
  <c r="BS1493" i="1"/>
  <c r="BS1494" i="1"/>
  <c r="BS1495" i="1"/>
  <c r="BS1497" i="1"/>
  <c r="BS1498" i="1"/>
  <c r="BS1499" i="1"/>
  <c r="BS1500" i="1"/>
  <c r="BS1501" i="1"/>
  <c r="CA1501" i="1" s="1"/>
  <c r="BS1503" i="1"/>
  <c r="BS1504" i="1"/>
  <c r="CA1504" i="1" s="1"/>
  <c r="BS1505" i="1"/>
  <c r="BS1506" i="1"/>
  <c r="BS1507" i="1"/>
  <c r="BS1508" i="1"/>
  <c r="BS1509" i="1"/>
  <c r="BS1510" i="1"/>
  <c r="CA1510" i="1" s="1"/>
  <c r="BS1511" i="1"/>
  <c r="BS1512" i="1"/>
  <c r="BS1513" i="1"/>
  <c r="BS1514" i="1"/>
  <c r="BS1515" i="1"/>
  <c r="CA1515" i="1" s="1"/>
  <c r="BS1516" i="1"/>
  <c r="BS1517" i="1"/>
  <c r="BS1518" i="1"/>
  <c r="BS1519" i="1"/>
  <c r="BS1520" i="1"/>
  <c r="BS1521" i="1"/>
  <c r="CA1521" i="1" s="1"/>
  <c r="BS1522" i="1"/>
  <c r="CA1522" i="1" s="1"/>
  <c r="BS1523" i="1"/>
  <c r="BS1524" i="1"/>
  <c r="BS1525" i="1"/>
  <c r="BS1526" i="1"/>
  <c r="BS1527" i="1"/>
  <c r="BS1528" i="1"/>
  <c r="BS1529" i="1"/>
  <c r="CA1529" i="1" s="1"/>
  <c r="BS1530" i="1"/>
  <c r="BS1531" i="1"/>
  <c r="CA1531" i="1" s="1"/>
  <c r="BS1532" i="1"/>
  <c r="BS1533" i="1"/>
  <c r="CA1533" i="1" s="1"/>
  <c r="BS1534" i="1"/>
  <c r="BS1535" i="1"/>
  <c r="BS1536" i="1"/>
  <c r="BS1537" i="1"/>
  <c r="BS1538" i="1"/>
  <c r="BS1539" i="1"/>
  <c r="BS1540" i="1"/>
  <c r="BS1541" i="1"/>
  <c r="BS1542" i="1"/>
  <c r="BS1543" i="1"/>
  <c r="CA1543" i="1" s="1"/>
  <c r="BS1544" i="1"/>
  <c r="BS1545" i="1"/>
  <c r="BS1546" i="1"/>
  <c r="BS1547" i="1"/>
  <c r="BS1548" i="1"/>
  <c r="BS1549" i="1"/>
  <c r="BS1550" i="1"/>
  <c r="CA1550" i="1" s="1"/>
  <c r="BS1551" i="1"/>
  <c r="CA1551" i="1" s="1"/>
  <c r="BS1552" i="1"/>
  <c r="CA1552" i="1" s="1"/>
  <c r="BS1553" i="1"/>
  <c r="CA1553" i="1" s="1"/>
  <c r="BS1554" i="1"/>
  <c r="BS1555" i="1"/>
  <c r="CA1555" i="1" s="1"/>
  <c r="BS1556" i="1"/>
  <c r="CA1556" i="1" s="1"/>
  <c r="BS1557" i="1"/>
  <c r="BS1558" i="1"/>
  <c r="BS1559" i="1"/>
  <c r="CA1559" i="1" s="1"/>
  <c r="BS1560" i="1"/>
  <c r="BS1561" i="1"/>
  <c r="BS1562" i="1"/>
  <c r="CA1562" i="1" s="1"/>
  <c r="BS1563" i="1"/>
  <c r="BS1564" i="1"/>
  <c r="CA1564" i="1" s="1"/>
  <c r="BS1565" i="1"/>
  <c r="BS1566" i="1"/>
  <c r="CA1566" i="1" s="1"/>
  <c r="BS1567" i="1"/>
  <c r="BS1568" i="1"/>
  <c r="CA1568" i="1" s="1"/>
  <c r="BS1569" i="1"/>
  <c r="BS1570" i="1"/>
  <c r="BS1571" i="1"/>
  <c r="BS1572" i="1"/>
  <c r="CA1572" i="1" s="1"/>
  <c r="BS1573" i="1"/>
  <c r="BS1574" i="1"/>
  <c r="CA1574" i="1" s="1"/>
  <c r="BS1575" i="1"/>
  <c r="BS1576" i="1"/>
  <c r="BS1577" i="1"/>
  <c r="BS1578" i="1"/>
  <c r="CA1578" i="1" s="1"/>
  <c r="BS1579" i="1"/>
  <c r="BS1580" i="1"/>
  <c r="BS1581" i="1"/>
  <c r="BS1582" i="1"/>
  <c r="BS1583" i="1"/>
  <c r="CA1583" i="1" s="1"/>
  <c r="BS1584" i="1"/>
  <c r="CA1584" i="1" s="1"/>
  <c r="BS1586" i="1"/>
  <c r="BS1587" i="1"/>
  <c r="BS1588" i="1"/>
  <c r="BS1589" i="1"/>
  <c r="CA1589" i="1" s="1"/>
  <c r="BS1590" i="1"/>
  <c r="BS1591" i="1"/>
  <c r="BS1592" i="1"/>
  <c r="CA1592" i="1" s="1"/>
  <c r="BS1593" i="1"/>
  <c r="BS1594" i="1"/>
  <c r="BS1595" i="1"/>
  <c r="BS1596" i="1"/>
  <c r="BS1597" i="1"/>
  <c r="CA1597" i="1" s="1"/>
  <c r="BS1598" i="1"/>
  <c r="BS1599" i="1"/>
  <c r="BS1600" i="1"/>
  <c r="BS1601" i="1"/>
  <c r="BS1602" i="1"/>
  <c r="BS1603" i="1"/>
  <c r="CA1603" i="1" s="1"/>
  <c r="BS1605" i="1"/>
  <c r="BS1606" i="1"/>
  <c r="BS1607" i="1"/>
  <c r="BS1608" i="1"/>
  <c r="CA1608" i="1" s="1"/>
  <c r="BS1609" i="1"/>
  <c r="BS1610" i="1"/>
  <c r="BS1611" i="1"/>
  <c r="BS1612" i="1"/>
  <c r="BS1613" i="1"/>
  <c r="BS1614" i="1"/>
  <c r="BS1615" i="1"/>
  <c r="BS1616" i="1"/>
  <c r="CA1616" i="1" s="1"/>
  <c r="BS1617" i="1"/>
  <c r="BS1618" i="1"/>
  <c r="CA1618" i="1" s="1"/>
  <c r="BS1619" i="1"/>
  <c r="BS1620" i="1"/>
  <c r="BS1621" i="1"/>
  <c r="BS1622" i="1"/>
  <c r="CA1622" i="1" s="1"/>
  <c r="BS1623" i="1"/>
  <c r="CA1623" i="1" s="1"/>
  <c r="BS1624" i="1"/>
  <c r="BS1625" i="1"/>
  <c r="BS1626" i="1"/>
  <c r="BS1627" i="1"/>
  <c r="BS1628" i="1"/>
  <c r="BS1629" i="1"/>
  <c r="BS1630" i="1"/>
  <c r="BS1631" i="1"/>
  <c r="BS1632" i="1"/>
  <c r="BS1633" i="1"/>
  <c r="BS1634" i="1"/>
  <c r="BS1635" i="1"/>
  <c r="BS1636" i="1"/>
  <c r="BS1637" i="1"/>
  <c r="BS1638" i="1"/>
  <c r="BS1639" i="1"/>
  <c r="BS1640" i="1"/>
  <c r="BS1641" i="1"/>
  <c r="BS1642" i="1"/>
  <c r="BS1644" i="1"/>
  <c r="BS1645" i="1"/>
  <c r="CA1645" i="1" s="1"/>
  <c r="BS1646" i="1"/>
  <c r="CA1646" i="1" s="1"/>
  <c r="BS1647" i="1"/>
  <c r="BS1648" i="1"/>
  <c r="CA1648" i="1" s="1"/>
  <c r="BS1649" i="1"/>
  <c r="BS1650" i="1"/>
  <c r="BS1651" i="1"/>
  <c r="BS1652" i="1"/>
  <c r="CA1652" i="1" s="1"/>
  <c r="BS1653" i="1"/>
  <c r="BS1654" i="1"/>
  <c r="BS1655" i="1"/>
  <c r="BS1656" i="1"/>
  <c r="CA1656" i="1" s="1"/>
  <c r="BS1657" i="1"/>
  <c r="BS1658" i="1"/>
  <c r="CA1658" i="1" s="1"/>
  <c r="BS1659" i="1"/>
  <c r="BS1660" i="1"/>
  <c r="CA1660" i="1" s="1"/>
  <c r="BS1662" i="1"/>
  <c r="BS1663" i="1"/>
  <c r="BS1664" i="1"/>
  <c r="CA1664" i="1" s="1"/>
  <c r="BS1665" i="1"/>
  <c r="BS1666" i="1"/>
  <c r="CA1666" i="1" s="1"/>
  <c r="BS1667" i="1"/>
  <c r="BS1668" i="1"/>
  <c r="BS1669" i="1"/>
  <c r="CA1669" i="1" s="1"/>
  <c r="BS1670" i="1"/>
  <c r="BS1671" i="1"/>
  <c r="BS1672" i="1"/>
  <c r="BS1673" i="1"/>
  <c r="CA1673" i="1" s="1"/>
  <c r="BS1674" i="1"/>
  <c r="BS1675" i="1"/>
  <c r="BS1676" i="1"/>
  <c r="CA1676" i="1" s="1"/>
  <c r="BS1677" i="1"/>
  <c r="BS1678" i="1"/>
  <c r="BS1679" i="1"/>
  <c r="CA1679" i="1" s="1"/>
  <c r="BS1680" i="1"/>
  <c r="BS1681" i="1"/>
  <c r="BS1682" i="1"/>
  <c r="CA1682" i="1" s="1"/>
  <c r="BS1683" i="1"/>
  <c r="CA1683" i="1" s="1"/>
  <c r="BS1684" i="1"/>
  <c r="BS1685" i="1"/>
  <c r="CA1685" i="1" s="1"/>
  <c r="BS1686" i="1"/>
  <c r="BS1687" i="1"/>
  <c r="CA1687" i="1" s="1"/>
  <c r="BS1688" i="1"/>
  <c r="BS1689" i="1"/>
  <c r="BS1690" i="1"/>
  <c r="BS1691" i="1"/>
  <c r="BS1692" i="1"/>
  <c r="BS1693" i="1"/>
  <c r="BS1694" i="1"/>
  <c r="BS1695" i="1"/>
  <c r="CA1695" i="1" s="1"/>
  <c r="BS1696" i="1"/>
  <c r="BS1697" i="1"/>
  <c r="BS1698" i="1"/>
  <c r="BS1699" i="1"/>
  <c r="CA1699" i="1" s="1"/>
  <c r="BS1700" i="1"/>
  <c r="BS1701" i="1"/>
  <c r="CA1701" i="1" s="1"/>
  <c r="BS1702" i="1"/>
  <c r="BS1703" i="1"/>
  <c r="BS1704" i="1"/>
  <c r="CA1704" i="1" s="1"/>
  <c r="BS1705" i="1"/>
  <c r="BS1706" i="1"/>
  <c r="CA1706" i="1" s="1"/>
  <c r="BS1707" i="1"/>
  <c r="BS1708" i="1"/>
  <c r="BS1709" i="1"/>
  <c r="BS1710" i="1"/>
  <c r="BS1711" i="1"/>
  <c r="BS1712" i="1"/>
  <c r="CA1712" i="1" s="1"/>
  <c r="BS1713" i="1"/>
  <c r="CA1713" i="1" s="1"/>
  <c r="BS1714" i="1"/>
  <c r="BS1715" i="1"/>
  <c r="BS1716" i="1"/>
  <c r="BS1717" i="1"/>
  <c r="BS1718" i="1"/>
  <c r="CA1718" i="1" s="1"/>
  <c r="BS1719" i="1"/>
  <c r="BS1720" i="1"/>
  <c r="CA1720" i="1" s="1"/>
  <c r="BS1721" i="1"/>
  <c r="BS1722" i="1"/>
  <c r="BS1723" i="1"/>
  <c r="CA1723" i="1" s="1"/>
  <c r="BS1724" i="1"/>
  <c r="BS1725" i="1"/>
  <c r="BS1726" i="1"/>
  <c r="CA1726" i="1" s="1"/>
  <c r="BS1727" i="1"/>
  <c r="BS1728" i="1"/>
  <c r="CA1728" i="1" s="1"/>
  <c r="BS1729" i="1"/>
  <c r="BS1730" i="1"/>
  <c r="BS1731" i="1"/>
  <c r="CA1731" i="1" s="1"/>
  <c r="BS1732" i="1"/>
  <c r="BS1733" i="1"/>
  <c r="BS1734" i="1"/>
  <c r="BS1735" i="1"/>
  <c r="CA1735" i="1" s="1"/>
  <c r="BS1736" i="1"/>
  <c r="BS1737" i="1"/>
  <c r="BS1738" i="1"/>
  <c r="BS1739" i="1"/>
  <c r="CA1739" i="1" s="1"/>
  <c r="BS1740" i="1"/>
  <c r="CA1740" i="1" s="1"/>
  <c r="BS1741" i="1"/>
  <c r="BS1742" i="1"/>
  <c r="BS1743" i="1"/>
  <c r="BS1744" i="1"/>
  <c r="BS1745" i="1"/>
  <c r="BS1746" i="1"/>
  <c r="BS1747" i="1"/>
  <c r="CA1747" i="1" s="1"/>
  <c r="BS1748" i="1"/>
  <c r="BS1749" i="1"/>
  <c r="BS1750" i="1"/>
  <c r="CA1750" i="1" s="1"/>
  <c r="BS1751" i="1"/>
  <c r="CA1751" i="1" s="1"/>
  <c r="BS1752" i="1"/>
  <c r="BS1753" i="1"/>
  <c r="BS1755" i="1"/>
  <c r="BS1756" i="1"/>
  <c r="BS1758" i="1"/>
  <c r="CA1758" i="1" s="1"/>
  <c r="BS1759" i="1"/>
  <c r="CA1759" i="1" s="1"/>
  <c r="BS1760" i="1"/>
  <c r="BS1761" i="1"/>
  <c r="BS1762" i="1"/>
  <c r="BS1763" i="1"/>
  <c r="CA1763" i="1" s="1"/>
  <c r="BS1764" i="1"/>
  <c r="BS1765" i="1"/>
  <c r="CA1765" i="1" s="1"/>
  <c r="BS1766" i="1"/>
  <c r="BS1767" i="1"/>
  <c r="BS1768" i="1"/>
  <c r="CA1768" i="1" s="1"/>
  <c r="BS1769" i="1"/>
  <c r="BS1770" i="1"/>
  <c r="BS1771" i="1"/>
  <c r="BS1773" i="1"/>
  <c r="BS1774" i="1"/>
  <c r="BS1776" i="1"/>
  <c r="BS1777" i="1"/>
  <c r="BS1778" i="1"/>
  <c r="BS1779" i="1"/>
  <c r="BS1780" i="1"/>
  <c r="BS1781" i="1"/>
  <c r="BS1782" i="1"/>
  <c r="BS1783" i="1"/>
  <c r="BS1784" i="1"/>
  <c r="BS1785" i="1"/>
  <c r="BS1786" i="1"/>
  <c r="BS1787" i="1"/>
  <c r="BS1788" i="1"/>
  <c r="BS1789" i="1"/>
  <c r="BS1790" i="1"/>
  <c r="BS1791" i="1"/>
  <c r="BS1792" i="1"/>
  <c r="BS1793" i="1"/>
  <c r="CA1793" i="1" s="1"/>
  <c r="BS1794" i="1"/>
  <c r="BS1795" i="1"/>
  <c r="BS1796" i="1"/>
  <c r="BS1797" i="1"/>
  <c r="BS1798" i="1"/>
  <c r="BS1799" i="1"/>
  <c r="BS1800" i="1"/>
  <c r="BS1801" i="1"/>
  <c r="BS1803" i="1"/>
  <c r="CA1803" i="1" s="1"/>
  <c r="BS1804" i="1"/>
  <c r="BS1805" i="1"/>
  <c r="BS1806" i="1"/>
  <c r="BS1807" i="1"/>
  <c r="BS1808" i="1"/>
  <c r="CA1808" i="1" s="1"/>
  <c r="BS1809" i="1"/>
  <c r="BS1810" i="1"/>
  <c r="CA1810" i="1" s="1"/>
  <c r="BS1811" i="1"/>
  <c r="BS1812" i="1"/>
  <c r="CA1812" i="1" s="1"/>
  <c r="BS1813" i="1"/>
  <c r="BS1814" i="1"/>
  <c r="BS1815" i="1"/>
  <c r="BS1816" i="1"/>
  <c r="CA1816" i="1" s="1"/>
  <c r="BS1817" i="1"/>
  <c r="CA1817" i="1" s="1"/>
  <c r="BS1818" i="1"/>
  <c r="BS1819" i="1"/>
  <c r="CA1819" i="1" s="1"/>
  <c r="BS1820" i="1"/>
  <c r="BS1821" i="1"/>
  <c r="BS1822" i="1"/>
  <c r="BS1823" i="1"/>
  <c r="BS1824" i="1"/>
  <c r="CA1824" i="1" s="1"/>
  <c r="BS1825" i="1"/>
  <c r="CA1825" i="1" s="1"/>
  <c r="BS1826" i="1"/>
  <c r="BS1827" i="1"/>
  <c r="CA1827" i="1" s="1"/>
  <c r="BS1828" i="1"/>
  <c r="BS1829" i="1"/>
  <c r="BS1830" i="1"/>
  <c r="BS1831" i="1"/>
  <c r="BS1832" i="1"/>
  <c r="CA1832" i="1" s="1"/>
  <c r="BS1833" i="1"/>
  <c r="BS1834" i="1"/>
  <c r="CA1834" i="1" s="1"/>
  <c r="BS1835" i="1"/>
  <c r="CA1835" i="1" s="1"/>
  <c r="BS1836" i="1"/>
  <c r="BS1837" i="1"/>
  <c r="CA1837" i="1" s="1"/>
  <c r="BS1838" i="1"/>
  <c r="BS1839" i="1"/>
  <c r="BS1840" i="1"/>
  <c r="BS1841" i="1"/>
  <c r="BS1842" i="1"/>
  <c r="BS1844" i="1"/>
  <c r="BS1845" i="1"/>
  <c r="BS1846" i="1"/>
  <c r="BS1847" i="1"/>
  <c r="BS1848" i="1"/>
  <c r="BS1849" i="1"/>
  <c r="BS1850" i="1"/>
  <c r="BS1851" i="1"/>
  <c r="CA1851" i="1" s="1"/>
  <c r="BS1852" i="1"/>
  <c r="CA1852" i="1" s="1"/>
  <c r="BS1853" i="1"/>
  <c r="BS1854" i="1"/>
  <c r="BS1855" i="1"/>
  <c r="BS1856" i="1"/>
  <c r="BS1857" i="1"/>
  <c r="BS1858" i="1"/>
  <c r="BS1859" i="1"/>
  <c r="BS1860" i="1"/>
  <c r="BS1861" i="1"/>
  <c r="BS1862" i="1"/>
  <c r="BS1863" i="1"/>
  <c r="CA1863" i="1" s="1"/>
  <c r="BS1864" i="1"/>
  <c r="BS1866" i="1"/>
  <c r="CA1866" i="1" s="1"/>
  <c r="BS1867" i="1"/>
  <c r="CA1867" i="1" s="1"/>
  <c r="BS1868" i="1"/>
  <c r="BS1869" i="1"/>
  <c r="BS1870" i="1"/>
  <c r="BS1871" i="1"/>
  <c r="BS1872" i="1"/>
  <c r="CA1872" i="1" s="1"/>
  <c r="BS1873" i="1"/>
  <c r="BS1874" i="1"/>
  <c r="BS1875" i="1"/>
  <c r="BS1876" i="1"/>
  <c r="CA1876" i="1" s="1"/>
  <c r="BS1877" i="1"/>
  <c r="BS1879" i="1"/>
  <c r="BS1880" i="1"/>
  <c r="BS1881" i="1"/>
  <c r="BS1882" i="1"/>
  <c r="BS1883" i="1"/>
  <c r="BS1884" i="1"/>
  <c r="BS1886" i="1"/>
  <c r="BS1887" i="1"/>
  <c r="BS1889" i="1"/>
  <c r="BS1890" i="1"/>
  <c r="CA1890" i="1" s="1"/>
  <c r="BS1891" i="1"/>
  <c r="CA1891" i="1" s="1"/>
  <c r="BS1892" i="1"/>
  <c r="BS1893" i="1"/>
  <c r="BS1894" i="1"/>
  <c r="BS1895" i="1"/>
  <c r="CA1895" i="1" s="1"/>
  <c r="BS1896" i="1"/>
  <c r="CA1896" i="1" s="1"/>
  <c r="BS1897" i="1"/>
  <c r="BS1898" i="1"/>
  <c r="CA1898" i="1" s="1"/>
  <c r="BS1899" i="1"/>
  <c r="BS1900" i="1"/>
  <c r="BS1901" i="1"/>
  <c r="BS1902" i="1"/>
  <c r="BS1903" i="1"/>
  <c r="CA1903" i="1" s="1"/>
  <c r="BS1904" i="1"/>
  <c r="BS1905" i="1"/>
  <c r="BS1906" i="1"/>
  <c r="CA1906" i="1" s="1"/>
  <c r="BS1907" i="1"/>
  <c r="CA1907" i="1" s="1"/>
  <c r="BS1908" i="1"/>
  <c r="CA1908" i="1" s="1"/>
  <c r="BS1909" i="1"/>
  <c r="BS1910" i="1"/>
  <c r="CA1910" i="1" s="1"/>
  <c r="BS1911" i="1"/>
  <c r="CA1911" i="1" s="1"/>
  <c r="BS1912" i="1"/>
  <c r="BS1913" i="1"/>
  <c r="BS1914" i="1"/>
  <c r="BS1915" i="1"/>
  <c r="BS1916" i="1"/>
  <c r="BS1917" i="1"/>
  <c r="BS1918" i="1"/>
  <c r="BS1919" i="1"/>
  <c r="BS1920" i="1"/>
  <c r="BS1921" i="1"/>
  <c r="BS1922" i="1"/>
  <c r="BS1923" i="1"/>
  <c r="BS1924" i="1"/>
  <c r="BS1925" i="1"/>
  <c r="BS1926" i="1"/>
  <c r="BS1927" i="1"/>
  <c r="BS1928" i="1"/>
  <c r="BS1929" i="1"/>
  <c r="CA1929" i="1" s="1"/>
  <c r="BS1930" i="1"/>
  <c r="BS1931" i="1"/>
  <c r="BS1932" i="1"/>
  <c r="BS1933" i="1"/>
  <c r="BS1934" i="1"/>
  <c r="BS1935" i="1"/>
  <c r="BS1936" i="1"/>
  <c r="BS1937" i="1"/>
  <c r="BS1938" i="1"/>
  <c r="CA1938" i="1" s="1"/>
  <c r="BS1939" i="1"/>
  <c r="BS1940" i="1"/>
  <c r="CA1940" i="1" s="1"/>
  <c r="BS1941" i="1"/>
  <c r="BS1942" i="1"/>
  <c r="BS1943" i="1"/>
  <c r="BS1944" i="1"/>
  <c r="BS1945" i="1"/>
  <c r="BS1946" i="1"/>
  <c r="BS1947" i="1"/>
  <c r="BS1948" i="1"/>
  <c r="BS1949" i="1"/>
  <c r="BS1950" i="1"/>
  <c r="BS1951" i="1"/>
  <c r="CA1951" i="1" s="1"/>
  <c r="BS1952" i="1"/>
  <c r="BS1953" i="1"/>
  <c r="BS1954" i="1"/>
  <c r="BS1955" i="1"/>
  <c r="BS1956" i="1"/>
  <c r="BS1957" i="1"/>
  <c r="BS1958" i="1"/>
  <c r="BS1959" i="1"/>
  <c r="CA1959" i="1" s="1"/>
  <c r="BS1960" i="1"/>
  <c r="BS1961" i="1"/>
  <c r="CA1961" i="1" s="1"/>
  <c r="BS1962" i="1"/>
  <c r="BS1964" i="1"/>
  <c r="BS1965" i="1"/>
  <c r="BS1966" i="1"/>
  <c r="BS1967" i="1"/>
  <c r="BS1968" i="1"/>
  <c r="CA1968" i="1" s="1"/>
  <c r="BS1969" i="1"/>
  <c r="BS1970" i="1"/>
  <c r="BS1971" i="1"/>
  <c r="BS1973" i="1"/>
  <c r="CA1973" i="1" s="1"/>
  <c r="BS1974" i="1"/>
  <c r="BS1975" i="1"/>
  <c r="BS1976" i="1"/>
  <c r="CA1976" i="1" s="1"/>
  <c r="BS1977" i="1"/>
  <c r="CA1977" i="1" s="1"/>
  <c r="BS1978" i="1"/>
  <c r="BS1979" i="1"/>
  <c r="BS1980" i="1"/>
  <c r="CA1980" i="1" s="1"/>
  <c r="BS1981" i="1"/>
  <c r="BS1982" i="1"/>
  <c r="BS1983" i="1"/>
  <c r="BS1984" i="1"/>
  <c r="CA1984" i="1" s="1"/>
  <c r="BS1985" i="1"/>
  <c r="CA1985" i="1" s="1"/>
  <c r="BS1986" i="1"/>
  <c r="BS1987" i="1"/>
  <c r="BS1988" i="1"/>
  <c r="CA1988" i="1" s="1"/>
  <c r="BS1989" i="1"/>
  <c r="BS1990" i="1"/>
  <c r="BS1991" i="1"/>
  <c r="BS1992" i="1"/>
  <c r="BS1993" i="1"/>
  <c r="CA1993" i="1" s="1"/>
  <c r="BS1994" i="1"/>
  <c r="BS1995" i="1"/>
  <c r="BS1996" i="1"/>
  <c r="BS1997" i="1"/>
  <c r="BS1998" i="1"/>
  <c r="BS1999" i="1"/>
  <c r="BS2000" i="1"/>
  <c r="BS2001" i="1"/>
  <c r="BS2002" i="1"/>
  <c r="CA2002" i="1" s="1"/>
  <c r="BS2003" i="1"/>
  <c r="BS2004" i="1"/>
  <c r="CA2004" i="1" s="1"/>
  <c r="BS2005" i="1"/>
  <c r="BS2006" i="1"/>
  <c r="BS2007" i="1"/>
  <c r="BS2008" i="1"/>
  <c r="BS2009" i="1"/>
  <c r="BS2010" i="1"/>
  <c r="BS2011" i="1"/>
  <c r="BS2012" i="1"/>
  <c r="CA2012" i="1" s="1"/>
  <c r="BS2013" i="1"/>
  <c r="BS2014" i="1"/>
  <c r="BS2015" i="1"/>
  <c r="BS2016" i="1"/>
  <c r="CA2016" i="1" s="1"/>
  <c r="BS2017" i="1"/>
  <c r="CA2017" i="1" s="1"/>
  <c r="BS2018" i="1"/>
  <c r="BS2019" i="1"/>
  <c r="BS2020" i="1"/>
  <c r="BS2021" i="1"/>
  <c r="BS2022" i="1"/>
  <c r="BS2023" i="1"/>
  <c r="BS2024" i="1"/>
  <c r="BS2025" i="1"/>
  <c r="BS2027" i="1"/>
  <c r="BS2028" i="1"/>
  <c r="BS2029" i="1"/>
  <c r="BS2030" i="1"/>
  <c r="BS2031" i="1"/>
  <c r="BS2032" i="1"/>
  <c r="BS2033" i="1"/>
  <c r="BS2034" i="1"/>
  <c r="CA2034" i="1" s="1"/>
  <c r="BS2035" i="1"/>
  <c r="BS2036" i="1"/>
  <c r="BS2037" i="1"/>
  <c r="CA2037" i="1" s="1"/>
  <c r="BS2038" i="1"/>
  <c r="BS2039" i="1"/>
  <c r="BS2040" i="1"/>
  <c r="BS2041" i="1"/>
  <c r="BS2042" i="1"/>
  <c r="BS2043" i="1"/>
  <c r="BS2044" i="1"/>
  <c r="BS2045" i="1"/>
  <c r="CA2045" i="1" s="1"/>
  <c r="BS2046" i="1"/>
  <c r="CA2046" i="1" s="1"/>
  <c r="BS2047" i="1"/>
  <c r="CA2047" i="1" s="1"/>
  <c r="BS2048" i="1"/>
  <c r="CA2048" i="1" s="1"/>
  <c r="BS2049" i="1"/>
  <c r="BS2050" i="1"/>
  <c r="BS2051" i="1"/>
  <c r="BS2052" i="1"/>
  <c r="BS2053" i="1"/>
  <c r="BS2054" i="1"/>
  <c r="BS2055" i="1"/>
  <c r="BS2056" i="1"/>
  <c r="BS2057" i="1"/>
  <c r="BS2058" i="1"/>
  <c r="BS2059" i="1"/>
  <c r="BS2060" i="1"/>
  <c r="BS2061" i="1"/>
  <c r="BS2062" i="1"/>
  <c r="CA2062" i="1" s="1"/>
  <c r="BS2063" i="1"/>
  <c r="BS2064" i="1"/>
  <c r="BS2065" i="1"/>
  <c r="BS2066" i="1"/>
  <c r="BS2067" i="1"/>
  <c r="BS2068" i="1"/>
  <c r="BS2069" i="1"/>
  <c r="BS2070" i="1"/>
  <c r="BS2071" i="1"/>
  <c r="BS2072" i="1"/>
  <c r="BS2073" i="1"/>
  <c r="CA2073" i="1" s="1"/>
  <c r="BS2074" i="1"/>
  <c r="BS2075" i="1"/>
  <c r="CA2075" i="1" s="1"/>
  <c r="BS2076" i="1"/>
  <c r="BS2077" i="1"/>
  <c r="BS2078" i="1"/>
  <c r="CA2078" i="1" s="1"/>
  <c r="BS2079" i="1"/>
  <c r="CA2079" i="1" s="1"/>
  <c r="BS2080" i="1"/>
  <c r="CA2080" i="1" s="1"/>
  <c r="BS2081" i="1"/>
  <c r="CA2081" i="1" s="1"/>
  <c r="BS2082" i="1"/>
  <c r="CA2082" i="1" s="1"/>
  <c r="BS2083" i="1"/>
  <c r="BS2084" i="1"/>
  <c r="CA2084" i="1" s="1"/>
  <c r="BS2085" i="1"/>
  <c r="CA2085" i="1" s="1"/>
  <c r="BS2086" i="1"/>
  <c r="CA2086" i="1" s="1"/>
  <c r="BS2087" i="1"/>
  <c r="BS2088" i="1"/>
  <c r="CA2088" i="1" s="1"/>
  <c r="BS2089" i="1"/>
  <c r="BS2090" i="1"/>
  <c r="BS2091" i="1"/>
  <c r="BS2092" i="1"/>
  <c r="BS2093" i="1"/>
  <c r="BS2094" i="1"/>
  <c r="BS2095" i="1"/>
  <c r="CA2095" i="1" s="1"/>
  <c r="BS2096" i="1"/>
  <c r="BS2097" i="1"/>
  <c r="BS2098" i="1"/>
  <c r="BS2099" i="1"/>
  <c r="BS2100" i="1"/>
  <c r="BS2101" i="1"/>
  <c r="BS2102" i="1"/>
  <c r="BS2103" i="1"/>
  <c r="BS2104" i="1"/>
  <c r="BS2105" i="1"/>
  <c r="CA2105" i="1" s="1"/>
  <c r="BS2106" i="1"/>
  <c r="CA2106" i="1" s="1"/>
  <c r="BS2107" i="1"/>
  <c r="BS2108" i="1"/>
  <c r="BS2109" i="1"/>
  <c r="BS2110" i="1"/>
  <c r="BS2111" i="1"/>
  <c r="BS2112" i="1"/>
  <c r="BS2113" i="1"/>
  <c r="BS2114" i="1"/>
  <c r="BS2115" i="1"/>
  <c r="BS2116" i="1"/>
  <c r="BS2117" i="1"/>
  <c r="CA2117" i="1" s="1"/>
  <c r="BS2118" i="1"/>
  <c r="BS2119" i="1"/>
  <c r="BS2120" i="1"/>
  <c r="CA2120" i="1" s="1"/>
  <c r="BS2121" i="1"/>
  <c r="CA2121" i="1" s="1"/>
  <c r="BS2122" i="1"/>
  <c r="BS2123" i="1"/>
  <c r="BS2124" i="1"/>
  <c r="BS2125" i="1"/>
  <c r="CA2125" i="1" s="1"/>
  <c r="BS2126" i="1"/>
  <c r="CA2126" i="1" s="1"/>
  <c r="BS2127" i="1"/>
  <c r="BS2128" i="1"/>
  <c r="BS2129" i="1"/>
  <c r="BS2131" i="1"/>
  <c r="CA2131" i="1" s="1"/>
  <c r="BS2132" i="1"/>
  <c r="CA2132" i="1" s="1"/>
  <c r="BS2133" i="1"/>
  <c r="BS2134" i="1"/>
  <c r="CA2134" i="1" s="1"/>
  <c r="BS2135" i="1"/>
  <c r="BS2136" i="1"/>
  <c r="BS2137" i="1"/>
  <c r="BS2138" i="1"/>
  <c r="CA2138" i="1" s="1"/>
  <c r="BS2139" i="1"/>
  <c r="BS2140" i="1"/>
  <c r="BS2141" i="1"/>
  <c r="BS2142" i="1"/>
  <c r="BS2143" i="1"/>
  <c r="BS2144" i="1"/>
  <c r="BS2145" i="1"/>
  <c r="BS2146" i="1"/>
  <c r="CA2146" i="1" s="1"/>
  <c r="BS2147" i="1"/>
  <c r="BS2148" i="1"/>
  <c r="BS2149" i="1"/>
  <c r="BS2150" i="1"/>
  <c r="CA2150" i="1" s="1"/>
  <c r="BS2151" i="1"/>
  <c r="BS2152" i="1"/>
  <c r="BS2153" i="1"/>
  <c r="BS2154" i="1"/>
  <c r="BS2155" i="1"/>
  <c r="BS2156" i="1"/>
  <c r="BS2157" i="1"/>
  <c r="BS2158" i="1"/>
  <c r="BS2159" i="1"/>
  <c r="BS2160" i="1"/>
  <c r="BS2161" i="1"/>
  <c r="BS2162" i="1"/>
  <c r="BS2163" i="1"/>
  <c r="CA2163" i="1" s="1"/>
  <c r="BS2164" i="1"/>
  <c r="BS2165" i="1"/>
  <c r="BS2166" i="1"/>
  <c r="BS2167" i="1"/>
  <c r="BS2168" i="1"/>
  <c r="BS2169" i="1"/>
  <c r="BS2170" i="1"/>
  <c r="BS2171" i="1"/>
  <c r="BS2172" i="1"/>
  <c r="BS2173" i="1"/>
  <c r="BS2174" i="1"/>
  <c r="BS2175" i="1"/>
  <c r="BS2176" i="1"/>
  <c r="BS2177" i="1"/>
  <c r="CA2177" i="1" s="1"/>
  <c r="BS2178" i="1"/>
  <c r="BS2179" i="1"/>
  <c r="BS2180" i="1"/>
  <c r="CA2180" i="1" s="1"/>
  <c r="BS2181" i="1"/>
  <c r="BS2182" i="1"/>
  <c r="BS2183" i="1"/>
  <c r="BS2184" i="1"/>
  <c r="BS2185" i="1"/>
  <c r="BS2186" i="1"/>
  <c r="BS2187" i="1"/>
  <c r="BS2188" i="1"/>
  <c r="BS2189" i="1"/>
  <c r="BS2190" i="1"/>
  <c r="BS2191" i="1"/>
  <c r="BS2192" i="1"/>
  <c r="CA2192" i="1" s="1"/>
  <c r="BS2193" i="1"/>
  <c r="BS2194" i="1"/>
  <c r="BS2195" i="1"/>
  <c r="BS2196" i="1"/>
  <c r="BS2197" i="1"/>
  <c r="BS2198" i="1"/>
  <c r="CA2198" i="1" s="1"/>
  <c r="BS2199" i="1"/>
  <c r="BS2200" i="1"/>
  <c r="BS2201" i="1"/>
  <c r="BS2202" i="1"/>
  <c r="CA2202" i="1" s="1"/>
  <c r="BS2203" i="1"/>
  <c r="BS2204" i="1"/>
  <c r="CA2204" i="1" s="1"/>
  <c r="BS2205" i="1"/>
  <c r="CA2205" i="1" s="1"/>
  <c r="BS2207" i="1"/>
  <c r="BS2208" i="1"/>
  <c r="BS2209" i="1"/>
  <c r="BS2210" i="1"/>
  <c r="CA2210" i="1" s="1"/>
  <c r="BS2211" i="1"/>
  <c r="BS2212" i="1"/>
  <c r="BS2213" i="1"/>
  <c r="BS2214" i="1"/>
  <c r="BS2215" i="1"/>
  <c r="BS2216" i="1"/>
  <c r="BS2217" i="1"/>
  <c r="CA2217" i="1" s="1"/>
  <c r="BS2218" i="1"/>
  <c r="CA2218" i="1" s="1"/>
  <c r="BS2219" i="1"/>
  <c r="BS2220" i="1"/>
  <c r="CA2220" i="1" s="1"/>
  <c r="BS2221" i="1"/>
  <c r="BS2222" i="1"/>
  <c r="BS2223" i="1"/>
  <c r="BS2224" i="1"/>
  <c r="BS2225" i="1"/>
  <c r="BS2226" i="1"/>
  <c r="BS2227" i="1"/>
  <c r="BS2228" i="1"/>
  <c r="BS2229" i="1"/>
  <c r="BS2230" i="1"/>
  <c r="BS2231" i="1"/>
  <c r="CA2231" i="1" s="1"/>
  <c r="BS2232" i="1"/>
  <c r="CA2232" i="1" s="1"/>
  <c r="BS2233" i="1"/>
  <c r="BS2234" i="1"/>
  <c r="CA2234" i="1" s="1"/>
  <c r="BS2235" i="1"/>
  <c r="BS2236" i="1"/>
  <c r="CA2236" i="1" s="1"/>
  <c r="BS2237" i="1"/>
  <c r="BS2238" i="1"/>
  <c r="BS2239" i="1"/>
  <c r="BS2240" i="1"/>
  <c r="BS2241" i="1"/>
  <c r="BS2243" i="1"/>
  <c r="BS2244" i="1"/>
  <c r="CA2244" i="1" s="1"/>
  <c r="BS2245" i="1"/>
  <c r="BS2246" i="1"/>
  <c r="BS2247" i="1"/>
  <c r="CA2247" i="1" s="1"/>
  <c r="BS2248" i="1"/>
  <c r="CA2248" i="1" s="1"/>
  <c r="BS2249" i="1"/>
  <c r="BS2250" i="1"/>
  <c r="CA2250" i="1" s="1"/>
  <c r="BS2251" i="1"/>
  <c r="BS2252" i="1"/>
  <c r="CA2252" i="1" s="1"/>
  <c r="BS2253" i="1"/>
  <c r="BS2254" i="1"/>
  <c r="BS2255" i="1"/>
  <c r="BS2256" i="1"/>
  <c r="BS2257" i="1"/>
  <c r="BS2258" i="1"/>
  <c r="CA2258" i="1" s="1"/>
  <c r="BS2259" i="1"/>
  <c r="BS2260" i="1"/>
  <c r="CA2260" i="1" s="1"/>
  <c r="BS2261" i="1"/>
  <c r="CA2261" i="1" s="1"/>
  <c r="BS2262" i="1"/>
  <c r="CA2262" i="1" s="1"/>
  <c r="BS2263" i="1"/>
  <c r="BS2264" i="1"/>
  <c r="BS2265" i="1"/>
  <c r="BS2266" i="1"/>
  <c r="BS2267" i="1"/>
  <c r="BS2268" i="1"/>
  <c r="BS2269" i="1"/>
  <c r="CA2269" i="1" s="1"/>
  <c r="BS2270" i="1"/>
  <c r="BS2271" i="1"/>
  <c r="BS2272" i="1"/>
  <c r="BS2273" i="1"/>
  <c r="CA2273" i="1" s="1"/>
  <c r="BS2274" i="1"/>
  <c r="CA2274" i="1" s="1"/>
  <c r="BS2275" i="1"/>
  <c r="BS2276" i="1"/>
  <c r="BS2277" i="1"/>
  <c r="BS2278" i="1"/>
  <c r="BS2279" i="1"/>
  <c r="CA2279" i="1" s="1"/>
  <c r="BS2280" i="1"/>
  <c r="BS2281" i="1"/>
  <c r="BS2282" i="1"/>
  <c r="BS2283" i="1"/>
  <c r="BS2284" i="1"/>
  <c r="BS2285" i="1"/>
  <c r="BS2286" i="1"/>
  <c r="BS2287" i="1"/>
  <c r="BS2288" i="1"/>
  <c r="BS2289" i="1"/>
  <c r="BS2290" i="1"/>
  <c r="BS2291" i="1"/>
  <c r="BS2292" i="1"/>
  <c r="BS2293" i="1"/>
  <c r="BS2294" i="1"/>
  <c r="BS2295" i="1"/>
  <c r="BS2296" i="1"/>
  <c r="BS2298" i="1"/>
  <c r="BS2299" i="1"/>
  <c r="BS2300" i="1"/>
  <c r="BS2301" i="1"/>
  <c r="BS2302" i="1"/>
  <c r="BS2303" i="1"/>
  <c r="BS2304" i="1"/>
  <c r="BS2305" i="1"/>
  <c r="BS2306" i="1"/>
  <c r="BS2307" i="1"/>
  <c r="BS2308" i="1"/>
  <c r="BS2309" i="1"/>
  <c r="CA2309" i="1" s="1"/>
  <c r="BS2310" i="1"/>
  <c r="CA2310" i="1" s="1"/>
  <c r="BS2311" i="1"/>
  <c r="BS2312" i="1"/>
  <c r="BS2313" i="1"/>
  <c r="BS2314" i="1"/>
  <c r="BS2315" i="1"/>
  <c r="BS2316" i="1"/>
  <c r="BS2317" i="1"/>
  <c r="BS2318" i="1"/>
  <c r="BS2319" i="1"/>
  <c r="BS2321" i="1"/>
  <c r="BS2322" i="1"/>
  <c r="CA2322" i="1" s="1"/>
  <c r="BS2323" i="1"/>
  <c r="BS2324" i="1"/>
  <c r="BS2325" i="1"/>
  <c r="BS2326" i="1"/>
  <c r="BS2327" i="1"/>
  <c r="BS2328" i="1"/>
  <c r="BS2329" i="1"/>
  <c r="BS2330" i="1"/>
  <c r="BS2331" i="1"/>
  <c r="BS2332" i="1"/>
  <c r="BS2333" i="1"/>
  <c r="BS2334" i="1"/>
  <c r="BS2335" i="1"/>
  <c r="BS2336" i="1"/>
  <c r="BS2337" i="1"/>
  <c r="BS2338" i="1"/>
  <c r="BS2339" i="1"/>
  <c r="CA2339" i="1" s="1"/>
  <c r="BS2340" i="1"/>
  <c r="BS2342" i="1"/>
  <c r="BS2343" i="1"/>
  <c r="BS2344" i="1"/>
  <c r="CA2344" i="1" s="1"/>
  <c r="BS2345" i="1"/>
  <c r="BS2346" i="1"/>
  <c r="BS2347" i="1"/>
  <c r="BS2348" i="1"/>
  <c r="BS2349" i="1"/>
  <c r="BS2350" i="1"/>
  <c r="BS2351" i="1"/>
  <c r="BS2352" i="1"/>
  <c r="BS2353" i="1"/>
  <c r="BS2354" i="1"/>
  <c r="BS2355" i="1"/>
  <c r="BS2356" i="1"/>
  <c r="CA2356" i="1" s="1"/>
  <c r="BS2357" i="1"/>
  <c r="BS2358" i="1"/>
  <c r="BS2359" i="1"/>
  <c r="BS2360" i="1"/>
  <c r="BS2362" i="1"/>
  <c r="BS2364" i="1"/>
  <c r="CA2364" i="1" s="1"/>
  <c r="BS2365" i="1"/>
  <c r="BS2366" i="1"/>
  <c r="BS2367" i="1"/>
  <c r="BS2368" i="1"/>
  <c r="BS2369" i="1"/>
  <c r="BS2370" i="1"/>
  <c r="BS2371" i="1"/>
  <c r="BS2372" i="1"/>
  <c r="CA2372" i="1" s="1"/>
  <c r="BS2373" i="1"/>
  <c r="CA2373" i="1" s="1"/>
  <c r="BS2374" i="1"/>
  <c r="CA2374" i="1" s="1"/>
  <c r="BS2375" i="1"/>
  <c r="BS2376" i="1"/>
  <c r="BS2377" i="1"/>
  <c r="BS2378" i="1"/>
  <c r="CA2378" i="1" s="1"/>
  <c r="BS2380" i="1"/>
  <c r="BS2381" i="1"/>
  <c r="BS2382" i="1"/>
  <c r="BS2383" i="1"/>
  <c r="BS2384" i="1"/>
  <c r="CA2384" i="1" s="1"/>
  <c r="BS2385" i="1"/>
  <c r="BS2386" i="1"/>
  <c r="BS2387" i="1"/>
  <c r="BS2388" i="1"/>
  <c r="CA2388" i="1" s="1"/>
  <c r="BS2389" i="1"/>
  <c r="BS2390" i="1"/>
  <c r="CA2390" i="1" s="1"/>
  <c r="BS2391" i="1"/>
  <c r="BS2392" i="1"/>
  <c r="CA2392" i="1" s="1"/>
  <c r="BS2393" i="1"/>
  <c r="BS2394" i="1"/>
  <c r="BS2395" i="1"/>
  <c r="BS2396" i="1"/>
  <c r="BS2397" i="1"/>
  <c r="CA2397" i="1" s="1"/>
  <c r="BS2398" i="1"/>
  <c r="CA2398" i="1" s="1"/>
  <c r="BS2399" i="1"/>
  <c r="BS2400" i="1"/>
  <c r="BS2401" i="1"/>
  <c r="BS2402" i="1"/>
  <c r="BS2403" i="1"/>
  <c r="BS2404" i="1"/>
  <c r="BS2405" i="1"/>
  <c r="BS2406" i="1"/>
  <c r="BS2407" i="1"/>
  <c r="BS2408" i="1"/>
  <c r="BS2409" i="1"/>
  <c r="BS2410" i="1"/>
  <c r="BS2411" i="1"/>
  <c r="BS2412" i="1"/>
  <c r="BS2413" i="1"/>
  <c r="BS2414" i="1"/>
  <c r="BS2415" i="1"/>
  <c r="BS2416" i="1"/>
  <c r="BS2417" i="1"/>
  <c r="CA2417" i="1" s="1"/>
  <c r="BS2418" i="1"/>
  <c r="BS2419" i="1"/>
  <c r="CA2419" i="1" s="1"/>
  <c r="BS2420" i="1"/>
  <c r="CA2420" i="1" s="1"/>
  <c r="BS2421" i="1"/>
  <c r="CA2421" i="1" s="1"/>
  <c r="BS2422" i="1"/>
  <c r="BS2423" i="1"/>
  <c r="BS2424" i="1"/>
  <c r="BS2425" i="1"/>
  <c r="CA2425" i="1" s="1"/>
  <c r="BS2426" i="1"/>
  <c r="BS2428" i="1"/>
  <c r="BS2429" i="1"/>
  <c r="CA2429" i="1" s="1"/>
  <c r="BS2430" i="1"/>
  <c r="BS2431" i="1"/>
  <c r="BS2432" i="1"/>
  <c r="BS2433" i="1"/>
  <c r="BS2434" i="1"/>
  <c r="BS2435" i="1"/>
  <c r="CA2435" i="1" s="1"/>
  <c r="BS2436" i="1"/>
  <c r="BS2437" i="1"/>
  <c r="BS2438" i="1"/>
  <c r="BS2439" i="1"/>
  <c r="BS2440" i="1"/>
  <c r="BS2441" i="1"/>
  <c r="BS2442" i="1"/>
  <c r="BS2443" i="1"/>
  <c r="BS2444" i="1"/>
  <c r="BS2445" i="1"/>
  <c r="BS2446" i="1"/>
  <c r="BS2447" i="1"/>
  <c r="BS2448" i="1"/>
  <c r="CA2448" i="1" s="1"/>
  <c r="BS2449" i="1"/>
  <c r="BS2450" i="1"/>
  <c r="BS2451" i="1"/>
  <c r="CA2451" i="1" s="1"/>
  <c r="BS2452" i="1"/>
  <c r="BS2453" i="1"/>
  <c r="CA2453" i="1" s="1"/>
  <c r="BS2454" i="1"/>
  <c r="BS2455" i="1"/>
  <c r="CA2455" i="1" s="1"/>
  <c r="BS2456" i="1"/>
  <c r="BS2457" i="1"/>
  <c r="CA2457" i="1" s="1"/>
  <c r="BS2458" i="1"/>
  <c r="BS2459" i="1"/>
  <c r="BS2460" i="1"/>
  <c r="CA2460" i="1" s="1"/>
  <c r="BS2461" i="1"/>
  <c r="BS2462" i="1"/>
  <c r="BS2463" i="1"/>
  <c r="BS2464" i="1"/>
  <c r="BS2465" i="1"/>
  <c r="BS2466" i="1"/>
  <c r="BS2467" i="1"/>
  <c r="BS2468" i="1"/>
  <c r="BS2469" i="1"/>
  <c r="BS2470" i="1"/>
  <c r="BS2471" i="1"/>
  <c r="CA2471" i="1" s="1"/>
  <c r="BS2472" i="1"/>
  <c r="BS2474" i="1"/>
  <c r="CA2474" i="1" s="1"/>
  <c r="BS2475" i="1"/>
  <c r="BS2476" i="1"/>
  <c r="BS2477" i="1"/>
  <c r="BS2478" i="1"/>
  <c r="BS2479" i="1"/>
  <c r="BS2480" i="1"/>
  <c r="BS2481" i="1"/>
  <c r="BS2482" i="1"/>
  <c r="BS2483" i="1"/>
  <c r="BS2484" i="1"/>
  <c r="BS2485" i="1"/>
  <c r="BS2486" i="1"/>
  <c r="BS2487" i="1"/>
  <c r="BS2488" i="1"/>
  <c r="BS2489" i="1"/>
  <c r="BS2490" i="1"/>
  <c r="CA2490" i="1" s="1"/>
  <c r="BS2491" i="1"/>
  <c r="CA2491" i="1" s="1"/>
  <c r="BS2492" i="1"/>
  <c r="CA2492" i="1" s="1"/>
  <c r="BS2493" i="1"/>
  <c r="CA2493" i="1" s="1"/>
  <c r="BS2494" i="1"/>
  <c r="BS2495" i="1"/>
  <c r="BS2496" i="1"/>
  <c r="BS2497" i="1"/>
  <c r="BS2498" i="1"/>
  <c r="BS2499" i="1"/>
  <c r="BS2500" i="1"/>
  <c r="BS2501" i="1"/>
  <c r="BS2502" i="1"/>
  <c r="BS2503" i="1"/>
  <c r="BS2504" i="1"/>
  <c r="CA2504" i="1" s="1"/>
  <c r="BS2505" i="1"/>
  <c r="BS2506" i="1"/>
  <c r="BS2507" i="1"/>
  <c r="BS2508" i="1"/>
  <c r="BS2509" i="1"/>
  <c r="BS2510" i="1"/>
  <c r="BS2511" i="1"/>
  <c r="BS2512" i="1"/>
  <c r="BS2513" i="1"/>
  <c r="BS2514" i="1"/>
  <c r="BS2515" i="1"/>
  <c r="BS2516" i="1"/>
  <c r="BS2517" i="1"/>
  <c r="BS2518" i="1"/>
  <c r="BS2519" i="1"/>
  <c r="BS2520" i="1"/>
  <c r="BS2521" i="1"/>
  <c r="BS2522" i="1"/>
  <c r="BS2523" i="1"/>
  <c r="BS2526" i="1"/>
  <c r="BS2527" i="1"/>
  <c r="BS2529" i="1"/>
  <c r="BS2530" i="1"/>
  <c r="BS2531" i="1"/>
  <c r="BS2532" i="1"/>
  <c r="CA2532" i="1" s="1"/>
  <c r="BS2533" i="1"/>
  <c r="CA2533" i="1" s="1"/>
  <c r="BS2534" i="1"/>
  <c r="CA2534" i="1" s="1"/>
  <c r="BS2535" i="1"/>
  <c r="CA2535" i="1" s="1"/>
  <c r="BS2536" i="1"/>
  <c r="BS2537" i="1"/>
  <c r="CA2537" i="1" s="1"/>
  <c r="BS2538" i="1"/>
  <c r="BS2539" i="1"/>
  <c r="CA2539" i="1" s="1"/>
  <c r="BS2540" i="1"/>
  <c r="BS2541" i="1"/>
  <c r="BS2542" i="1"/>
  <c r="CA2542" i="1" s="1"/>
  <c r="BS2543" i="1"/>
  <c r="BS2544" i="1"/>
  <c r="BS2545" i="1"/>
  <c r="BS2546" i="1"/>
  <c r="BS2547" i="1"/>
  <c r="CA2547" i="1" s="1"/>
  <c r="BS2548" i="1"/>
  <c r="BS2549" i="1"/>
  <c r="BS2550" i="1"/>
  <c r="BS2551" i="1"/>
  <c r="CA2551" i="1" s="1"/>
  <c r="BS2552" i="1"/>
  <c r="BS2553" i="1"/>
  <c r="BS2554" i="1"/>
  <c r="BS2555" i="1"/>
  <c r="BS2556" i="1"/>
  <c r="CA2556" i="1" s="1"/>
  <c r="BS2557" i="1"/>
  <c r="BS2558" i="1"/>
  <c r="CA2558" i="1" s="1"/>
  <c r="BS2559" i="1"/>
  <c r="BS2560" i="1"/>
  <c r="BS2561" i="1"/>
  <c r="BS2562" i="1"/>
  <c r="BS2563" i="1"/>
  <c r="BS2564" i="1"/>
  <c r="BS2565" i="1"/>
  <c r="BS2566" i="1"/>
  <c r="BS2567" i="1"/>
  <c r="BS2568" i="1"/>
  <c r="BS2569" i="1"/>
  <c r="BS2570" i="1"/>
  <c r="BS2571" i="1"/>
  <c r="BS2572" i="1"/>
  <c r="CA2572" i="1" s="1"/>
  <c r="BS2573" i="1"/>
  <c r="CA2573" i="1" s="1"/>
  <c r="BS2574" i="1"/>
  <c r="BS2575" i="1"/>
  <c r="BS2576" i="1"/>
  <c r="BS2577" i="1"/>
  <c r="CA2577" i="1" s="1"/>
  <c r="BS2578" i="1"/>
  <c r="BS2579" i="1"/>
  <c r="BS2580" i="1"/>
  <c r="BS2581" i="1"/>
  <c r="BS2582" i="1"/>
  <c r="CA2582" i="1" s="1"/>
  <c r="BS2583" i="1"/>
  <c r="CA2583" i="1" s="1"/>
  <c r="BS2584" i="1"/>
  <c r="CA2584" i="1" s="1"/>
  <c r="BS2585" i="1"/>
  <c r="BS2586" i="1"/>
  <c r="BS2587" i="1"/>
  <c r="CA2587" i="1" s="1"/>
  <c r="BS2588" i="1"/>
  <c r="BS2589" i="1"/>
  <c r="BS2590" i="1"/>
  <c r="BS2591" i="1"/>
  <c r="BS2592" i="1"/>
  <c r="BS2593" i="1"/>
  <c r="BS2594" i="1"/>
  <c r="CA2594" i="1" s="1"/>
  <c r="BS2595" i="1"/>
  <c r="BS2596" i="1"/>
  <c r="BS2597" i="1"/>
  <c r="BS2598" i="1"/>
  <c r="BS2599" i="1"/>
  <c r="BS2600" i="1"/>
  <c r="BS2601" i="1"/>
  <c r="BS2602" i="1"/>
  <c r="CA2602" i="1" s="1"/>
  <c r="BS2603" i="1"/>
  <c r="BS2604" i="1"/>
  <c r="BS2605" i="1"/>
  <c r="BS2606" i="1"/>
  <c r="BS2607" i="1"/>
  <c r="BS2608" i="1"/>
  <c r="CA2608" i="1" s="1"/>
  <c r="BS2609" i="1"/>
  <c r="BS2610" i="1"/>
  <c r="BS2611" i="1"/>
  <c r="BS2612" i="1"/>
  <c r="CA2612" i="1" s="1"/>
  <c r="BS2613" i="1"/>
  <c r="CA2613" i="1" s="1"/>
  <c r="BS2614" i="1"/>
  <c r="BS2615" i="1"/>
  <c r="BS2616" i="1"/>
  <c r="BS2617" i="1"/>
  <c r="BS2618" i="1"/>
  <c r="CA2618" i="1" s="1"/>
  <c r="BS2619" i="1"/>
  <c r="BS2620" i="1"/>
  <c r="BS2621" i="1"/>
  <c r="BS2622" i="1"/>
  <c r="CA2622" i="1" s="1"/>
  <c r="BS2623" i="1"/>
  <c r="CA2623" i="1" s="1"/>
  <c r="BS2624" i="1"/>
  <c r="CA2624" i="1" s="1"/>
  <c r="BS2625" i="1"/>
  <c r="CA2625" i="1" s="1"/>
  <c r="BS2626" i="1"/>
  <c r="BS2627" i="1"/>
  <c r="BS2628" i="1"/>
  <c r="CA2628" i="1" s="1"/>
  <c r="BS2629" i="1"/>
  <c r="CA2629" i="1" s="1"/>
  <c r="BS2630" i="1"/>
  <c r="BS2631" i="1"/>
  <c r="BS2632" i="1"/>
  <c r="BS2633" i="1"/>
  <c r="BS2634" i="1"/>
  <c r="BS2635" i="1"/>
  <c r="BS2636" i="1"/>
  <c r="BS2637" i="1"/>
  <c r="BS2638" i="1"/>
  <c r="BS2639" i="1"/>
  <c r="BS2640" i="1"/>
  <c r="BS2641" i="1"/>
  <c r="CA2641" i="1" s="1"/>
  <c r="BS2642" i="1"/>
  <c r="BS2643" i="1"/>
  <c r="BS2644" i="1"/>
  <c r="BS2645" i="1"/>
  <c r="BS2646" i="1"/>
  <c r="CA2646" i="1" s="1"/>
  <c r="BS2647" i="1"/>
  <c r="CA2647" i="1" s="1"/>
  <c r="BS2648" i="1"/>
  <c r="CA2648" i="1" s="1"/>
  <c r="BS2649" i="1"/>
  <c r="BS2650" i="1"/>
  <c r="BS2651" i="1"/>
  <c r="BS2652" i="1"/>
  <c r="CA2652" i="1" s="1"/>
  <c r="BS2654" i="1"/>
  <c r="BS2655" i="1"/>
  <c r="BS2656" i="1"/>
  <c r="BS2657" i="1"/>
  <c r="CA2657" i="1" s="1"/>
  <c r="BS2658" i="1"/>
  <c r="CA2658" i="1" s="1"/>
  <c r="BS2659" i="1"/>
  <c r="CA2659" i="1" s="1"/>
  <c r="BS2660" i="1"/>
  <c r="BS2661" i="1"/>
  <c r="BS2662" i="1"/>
  <c r="BS2663" i="1"/>
  <c r="BS2664" i="1"/>
  <c r="BS2665" i="1"/>
  <c r="BS2666" i="1"/>
  <c r="CA2666" i="1" s="1"/>
  <c r="BS2667" i="1"/>
  <c r="CA2667" i="1" s="1"/>
  <c r="BS2668" i="1"/>
  <c r="BS2669" i="1"/>
  <c r="BS2670" i="1"/>
  <c r="CA2670" i="1" s="1"/>
  <c r="BS2671" i="1"/>
  <c r="CA2671" i="1" s="1"/>
  <c r="BS2672" i="1"/>
  <c r="BS2673" i="1"/>
  <c r="BS2674" i="1"/>
  <c r="BS2676" i="1"/>
  <c r="CA2676" i="1" s="1"/>
  <c r="BS2677" i="1"/>
  <c r="CA2677" i="1" s="1"/>
  <c r="BS2678" i="1"/>
  <c r="BS2679" i="1"/>
  <c r="BS2680" i="1"/>
  <c r="CA2680" i="1" s="1"/>
  <c r="BS2681" i="1"/>
  <c r="BS2682" i="1"/>
  <c r="BS2683" i="1"/>
  <c r="BS2684" i="1"/>
  <c r="BS2685" i="1"/>
  <c r="BS2686" i="1"/>
  <c r="BS2687" i="1"/>
  <c r="BS2688" i="1"/>
  <c r="BS2689" i="1"/>
  <c r="CA2689" i="1" s="1"/>
  <c r="BS2690" i="1"/>
  <c r="CA2690" i="1" s="1"/>
  <c r="BS2691" i="1"/>
  <c r="BS2692" i="1"/>
  <c r="BS2693" i="1"/>
  <c r="CA2693" i="1" s="1"/>
  <c r="BS2694" i="1"/>
  <c r="BS2696" i="1"/>
  <c r="BS2697" i="1"/>
  <c r="BS2698" i="1"/>
  <c r="BS2699" i="1"/>
  <c r="BS2700" i="1"/>
  <c r="BS2701" i="1"/>
  <c r="BS2702" i="1"/>
  <c r="BS2703" i="1"/>
  <c r="BS2704" i="1"/>
  <c r="BS2705" i="1"/>
  <c r="BS2706" i="1"/>
  <c r="CA2706" i="1" s="1"/>
  <c r="BS2707" i="1"/>
  <c r="CA2707" i="1" s="1"/>
  <c r="BS2708" i="1"/>
  <c r="BS2709" i="1"/>
  <c r="BS2710" i="1"/>
  <c r="BS2711" i="1"/>
  <c r="BS2712" i="1"/>
  <c r="BS2713" i="1"/>
  <c r="CA2713" i="1" s="1"/>
  <c r="BS2714" i="1"/>
  <c r="BS2716" i="1"/>
  <c r="BS2717" i="1"/>
  <c r="BS2718" i="1"/>
  <c r="BS2719" i="1"/>
  <c r="BS2720" i="1"/>
  <c r="BS2721" i="1"/>
  <c r="CA2721" i="1" s="1"/>
  <c r="BS2722" i="1"/>
  <c r="CA2722" i="1" s="1"/>
  <c r="BS2723" i="1"/>
  <c r="BS2724" i="1"/>
  <c r="BS2725" i="1"/>
  <c r="CA2725" i="1" s="1"/>
  <c r="BS2726" i="1"/>
  <c r="BS2727" i="1"/>
  <c r="CA2727" i="1" s="1"/>
  <c r="BS2728" i="1"/>
  <c r="BS2729" i="1"/>
  <c r="BS2730" i="1"/>
  <c r="BS2732" i="1"/>
  <c r="BS2733" i="1"/>
  <c r="CA2733" i="1" s="1"/>
  <c r="BS2734" i="1"/>
  <c r="BS2735" i="1"/>
  <c r="CA2735" i="1" s="1"/>
  <c r="BS2736" i="1"/>
  <c r="CA2736" i="1" s="1"/>
  <c r="BS2737" i="1"/>
  <c r="BS2738" i="1"/>
  <c r="BS2739" i="1"/>
  <c r="BS2740" i="1"/>
  <c r="BS2741" i="1"/>
  <c r="BS2742" i="1"/>
  <c r="BS2743" i="1"/>
  <c r="BS2744" i="1"/>
  <c r="BS2745" i="1"/>
  <c r="BS2746" i="1"/>
  <c r="CA2746" i="1" s="1"/>
  <c r="BS2747" i="1"/>
  <c r="BS2748" i="1"/>
  <c r="BS2749" i="1"/>
  <c r="BS2750" i="1"/>
  <c r="BS2751" i="1"/>
  <c r="BS2752" i="1"/>
  <c r="CA2752" i="1" s="1"/>
  <c r="BS2753" i="1"/>
  <c r="BS2754" i="1"/>
  <c r="BS2755" i="1"/>
  <c r="BS2756" i="1"/>
  <c r="CA2756" i="1" s="1"/>
  <c r="BS2759" i="1"/>
  <c r="CA2759" i="1" s="1"/>
  <c r="BS2760" i="1"/>
  <c r="BS2761" i="1"/>
  <c r="BS2762" i="1"/>
  <c r="BS2763" i="1"/>
  <c r="BS2764" i="1"/>
  <c r="CA2764" i="1" s="1"/>
  <c r="BS2765" i="1"/>
  <c r="BS2766" i="1"/>
  <c r="BS2767" i="1"/>
  <c r="CA2767" i="1" s="1"/>
  <c r="BS2768" i="1"/>
  <c r="BS2769" i="1"/>
  <c r="BS2770" i="1"/>
  <c r="CA2770" i="1" s="1"/>
  <c r="BS2771" i="1"/>
  <c r="CA2771" i="1" s="1"/>
  <c r="BS2772" i="1"/>
  <c r="CA2772" i="1" s="1"/>
  <c r="BS2773" i="1"/>
  <c r="CA2773" i="1" s="1"/>
  <c r="BS2774" i="1"/>
  <c r="BS2775" i="1"/>
  <c r="BS2776" i="1"/>
  <c r="BS2777" i="1"/>
  <c r="BS2778" i="1"/>
  <c r="BS2779" i="1"/>
  <c r="BS2780" i="1"/>
  <c r="BS2781" i="1"/>
  <c r="CA2781" i="1" s="1"/>
  <c r="BS2783" i="1"/>
  <c r="BS2784" i="1"/>
  <c r="BS2785" i="1"/>
  <c r="BS2786" i="1"/>
  <c r="CA2786" i="1" s="1"/>
  <c r="BS2787" i="1"/>
  <c r="BS2788" i="1"/>
  <c r="CA2788" i="1" s="1"/>
  <c r="BS2789" i="1"/>
  <c r="BS2790" i="1"/>
  <c r="BS2791" i="1"/>
  <c r="BS2792" i="1"/>
  <c r="BS2793" i="1"/>
  <c r="BS2794" i="1"/>
  <c r="BS2795" i="1"/>
  <c r="BS2796" i="1"/>
  <c r="CA2796" i="1" s="1"/>
  <c r="BS2797" i="1"/>
  <c r="BS2798" i="1"/>
  <c r="BS2799" i="1"/>
  <c r="CA2799" i="1" s="1"/>
  <c r="BS2800" i="1"/>
  <c r="BS2801" i="1"/>
  <c r="BS2802" i="1"/>
  <c r="BS2803" i="1"/>
  <c r="BS2804" i="1"/>
  <c r="BS2805" i="1"/>
  <c r="BS2806" i="1"/>
  <c r="BS2807" i="1"/>
  <c r="BS2808" i="1"/>
  <c r="BS2809" i="1"/>
  <c r="BS2810" i="1"/>
  <c r="CA2810" i="1" s="1"/>
  <c r="BS2811" i="1"/>
  <c r="BS2812" i="1"/>
  <c r="CA2812" i="1" s="1"/>
  <c r="BS2813" i="1"/>
  <c r="CA2813" i="1" s="1"/>
  <c r="BS2814" i="1"/>
  <c r="BS2815" i="1"/>
  <c r="CA2815" i="1" s="1"/>
  <c r="BS2816" i="1"/>
  <c r="BS2817" i="1"/>
  <c r="BS2818" i="1"/>
  <c r="CA2818" i="1" s="1"/>
  <c r="BS2819" i="1"/>
  <c r="CA2819" i="1" s="1"/>
  <c r="BS2820" i="1"/>
  <c r="BS2821" i="1"/>
  <c r="CA2821" i="1" s="1"/>
  <c r="BS2822" i="1"/>
  <c r="BS2823" i="1"/>
  <c r="BS2824" i="1"/>
  <c r="BS2825" i="1"/>
  <c r="BS2826" i="1"/>
  <c r="BS2827" i="1"/>
  <c r="BS2828" i="1"/>
  <c r="CA2828" i="1" s="1"/>
  <c r="BS2829" i="1"/>
  <c r="CA2829" i="1" s="1"/>
  <c r="BS2830" i="1"/>
  <c r="BS2831" i="1"/>
  <c r="CA2831" i="1" s="1"/>
  <c r="BS2832" i="1"/>
  <c r="BS2833" i="1"/>
  <c r="BS2834" i="1"/>
  <c r="BS2835" i="1"/>
  <c r="CA2835" i="1" s="1"/>
  <c r="BS2836" i="1"/>
  <c r="BS2837" i="1"/>
  <c r="BS2838" i="1"/>
  <c r="CA2838" i="1" s="1"/>
  <c r="BS2839" i="1"/>
  <c r="BS2840" i="1"/>
  <c r="BS2841" i="1"/>
  <c r="BS2842" i="1"/>
  <c r="BS2843" i="1"/>
  <c r="BS2844" i="1"/>
  <c r="BS2845" i="1"/>
  <c r="CA2845" i="1" s="1"/>
  <c r="BS2846" i="1"/>
  <c r="CA2846" i="1" s="1"/>
  <c r="BS2847" i="1"/>
  <c r="BS2848" i="1"/>
  <c r="BS2849" i="1"/>
  <c r="BS2850" i="1"/>
  <c r="BS2851" i="1"/>
  <c r="BS2852" i="1"/>
  <c r="BS2853" i="1"/>
  <c r="BS2854" i="1"/>
  <c r="BS2855" i="1"/>
  <c r="BS2856" i="1"/>
  <c r="CA2856" i="1" s="1"/>
  <c r="BS2857" i="1"/>
  <c r="BS2858" i="1"/>
  <c r="CA2858" i="1" s="1"/>
  <c r="BS2859" i="1"/>
  <c r="CA2859" i="1" s="1"/>
  <c r="BS2860" i="1"/>
  <c r="BS2861" i="1"/>
  <c r="BS2862" i="1"/>
  <c r="BS2863" i="1"/>
  <c r="BS2864" i="1"/>
  <c r="BS2866" i="1"/>
  <c r="BS2867" i="1"/>
  <c r="CA2867" i="1" s="1"/>
  <c r="BS2868" i="1"/>
  <c r="BS2869" i="1"/>
  <c r="BS2870" i="1"/>
  <c r="BS2871" i="1"/>
  <c r="BS2872" i="1"/>
  <c r="CA2872" i="1" s="1"/>
  <c r="BS2873" i="1"/>
  <c r="BS2874" i="1"/>
  <c r="CA2874" i="1" s="1"/>
  <c r="BS2875" i="1"/>
  <c r="BS2876" i="1"/>
  <c r="BS2877" i="1"/>
  <c r="BS2878" i="1"/>
  <c r="BS2879" i="1"/>
  <c r="BS2880" i="1"/>
  <c r="BS2881" i="1"/>
  <c r="BS2882" i="1"/>
  <c r="BS2883" i="1"/>
  <c r="BS2884" i="1"/>
  <c r="BS2885" i="1"/>
  <c r="CA2885" i="1" s="1"/>
  <c r="BS2886" i="1"/>
  <c r="CA2886" i="1" s="1"/>
  <c r="BS2887" i="1"/>
  <c r="CA2887" i="1" s="1"/>
  <c r="BS2888" i="1"/>
  <c r="BS2889" i="1"/>
  <c r="BS2890" i="1"/>
  <c r="BS2891" i="1"/>
  <c r="BS2893" i="1"/>
  <c r="BS2894" i="1"/>
  <c r="BS2895" i="1"/>
  <c r="CA2895" i="1" s="1"/>
  <c r="BS2896" i="1"/>
  <c r="BS2897" i="1"/>
  <c r="CA2897" i="1" s="1"/>
  <c r="BS2898" i="1"/>
  <c r="BS2899" i="1"/>
  <c r="BS2900" i="1"/>
  <c r="BS2901" i="1"/>
  <c r="CA2901" i="1" s="1"/>
  <c r="BS2902" i="1"/>
  <c r="BS2903" i="1"/>
  <c r="BS2904" i="1"/>
  <c r="CA2904" i="1" s="1"/>
  <c r="BS2905" i="1"/>
  <c r="BS2906" i="1"/>
  <c r="BS2907" i="1"/>
  <c r="BS2908" i="1"/>
  <c r="BS2909" i="1"/>
  <c r="BS2910" i="1"/>
  <c r="BS2911" i="1"/>
  <c r="CA2911" i="1" s="1"/>
  <c r="BS2912" i="1"/>
  <c r="BS2913" i="1"/>
  <c r="BS2914" i="1"/>
  <c r="BS2915" i="1"/>
  <c r="BS2916" i="1"/>
  <c r="BS2917" i="1"/>
  <c r="BS2918" i="1"/>
  <c r="BS2919" i="1"/>
  <c r="BS2920" i="1"/>
  <c r="BS2921" i="1"/>
  <c r="BS2922" i="1"/>
  <c r="CA2922" i="1" s="1"/>
  <c r="BS2923" i="1"/>
  <c r="CA2923" i="1" s="1"/>
  <c r="BS2924" i="1"/>
  <c r="BS2925" i="1"/>
  <c r="BS2926" i="1"/>
  <c r="BS2927" i="1"/>
  <c r="CA2927" i="1" s="1"/>
  <c r="BS2928" i="1"/>
  <c r="BS2929" i="1"/>
  <c r="BS2930" i="1"/>
  <c r="CA2930" i="1" s="1"/>
  <c r="BS2931" i="1"/>
  <c r="BS2933" i="1"/>
  <c r="BS2934" i="1"/>
  <c r="CA2934" i="1" s="1"/>
  <c r="BS2935" i="1"/>
  <c r="BS2936" i="1"/>
  <c r="BS2937" i="1"/>
  <c r="BS2938" i="1"/>
  <c r="BS2939" i="1"/>
  <c r="BS2940" i="1"/>
  <c r="BS2941" i="1"/>
  <c r="CA2941" i="1" s="1"/>
  <c r="BS2942" i="1"/>
  <c r="CA2942" i="1" s="1"/>
  <c r="BS2943" i="1"/>
  <c r="BS2944" i="1"/>
  <c r="BS2945" i="1"/>
  <c r="BS2946" i="1"/>
  <c r="BS2947" i="1"/>
  <c r="BS2948" i="1"/>
  <c r="BS2949" i="1"/>
  <c r="CA2949" i="1" s="1"/>
  <c r="BS2950" i="1"/>
  <c r="BS2951" i="1"/>
  <c r="BS2952" i="1"/>
  <c r="BS2953" i="1"/>
  <c r="BS2954" i="1"/>
  <c r="BS2955" i="1"/>
  <c r="BS2956" i="1"/>
  <c r="BS2957" i="1"/>
  <c r="BS2958" i="1"/>
  <c r="BS2959" i="1"/>
  <c r="CA2959" i="1" s="1"/>
  <c r="BS2960" i="1"/>
  <c r="BS2961" i="1"/>
  <c r="BS2962" i="1"/>
  <c r="BS2963" i="1"/>
  <c r="BS2964" i="1"/>
  <c r="BS2965" i="1"/>
  <c r="BS2966" i="1"/>
  <c r="BS2967" i="1"/>
  <c r="BS2968" i="1"/>
  <c r="BS2969" i="1"/>
  <c r="BS2970" i="1"/>
  <c r="BS2971" i="1"/>
  <c r="BS2972" i="1"/>
  <c r="BS2973" i="1"/>
  <c r="CA2973" i="1" s="1"/>
  <c r="BS2974" i="1"/>
  <c r="BS2975" i="1"/>
  <c r="BS2976" i="1"/>
  <c r="BS2977" i="1"/>
  <c r="CA2977" i="1" s="1"/>
  <c r="BS2978" i="1"/>
  <c r="CA2978" i="1" s="1"/>
  <c r="BS2979" i="1"/>
  <c r="CA2979" i="1" s="1"/>
  <c r="BS2980" i="1"/>
  <c r="BS2981" i="1"/>
  <c r="BS2982" i="1"/>
  <c r="BS2983" i="1"/>
  <c r="BS2984" i="1"/>
  <c r="BS2985" i="1"/>
  <c r="CA2985" i="1" s="1"/>
  <c r="BS2986" i="1"/>
  <c r="BS2987" i="1"/>
  <c r="BS2988" i="1"/>
  <c r="BS2989" i="1"/>
  <c r="BS2990" i="1"/>
  <c r="CA2990" i="1" s="1"/>
  <c r="BS2991" i="1"/>
  <c r="CA2991" i="1" s="1"/>
  <c r="BS2992" i="1"/>
  <c r="CA2992" i="1" s="1"/>
  <c r="BS2994" i="1"/>
  <c r="BS2995" i="1"/>
  <c r="BS2996" i="1"/>
  <c r="BS2997" i="1"/>
  <c r="BS2998" i="1"/>
  <c r="BS2999" i="1"/>
  <c r="BS3000" i="1"/>
  <c r="BS3001" i="1"/>
  <c r="CA3001" i="1" s="1"/>
  <c r="BS3002" i="1"/>
  <c r="BS3003" i="1"/>
  <c r="BS3004" i="1"/>
  <c r="BS3005" i="1"/>
  <c r="CA3005" i="1" s="1"/>
  <c r="BS3006" i="1"/>
  <c r="BS3007" i="1"/>
  <c r="BS3008" i="1"/>
  <c r="BS3009" i="1"/>
  <c r="BS3010" i="1"/>
  <c r="BS3011" i="1"/>
  <c r="BS3012" i="1"/>
  <c r="CA3012" i="1" s="1"/>
  <c r="BS3013" i="1"/>
  <c r="CA3013" i="1" s="1"/>
  <c r="BS3014" i="1"/>
  <c r="CA3014" i="1" s="1"/>
  <c r="BS3016" i="1"/>
  <c r="BS3017" i="1"/>
  <c r="BS3018" i="1"/>
  <c r="BS3019" i="1"/>
  <c r="BS3020" i="1"/>
  <c r="BS3021" i="1"/>
  <c r="BS3022" i="1"/>
  <c r="BS3023" i="1"/>
  <c r="BS3024" i="1"/>
  <c r="BS3025" i="1"/>
  <c r="BS3026" i="1"/>
  <c r="CA3026" i="1" s="1"/>
  <c r="BS3027" i="1"/>
  <c r="BS3028" i="1"/>
  <c r="BS3029" i="1"/>
  <c r="BS3030" i="1"/>
  <c r="CA3030" i="1" s="1"/>
  <c r="BS3031" i="1"/>
  <c r="BS3032" i="1"/>
  <c r="BS3033" i="1"/>
  <c r="BS3034" i="1"/>
  <c r="BS3035" i="1"/>
  <c r="BS3036" i="1"/>
  <c r="CA3036" i="1" s="1"/>
  <c r="BS3037" i="1"/>
  <c r="BS3038" i="1"/>
  <c r="BS3039" i="1"/>
  <c r="BS3040" i="1"/>
  <c r="BS3041" i="1"/>
  <c r="BS3042" i="1"/>
  <c r="CA3042" i="1" s="1"/>
  <c r="BS3043" i="1"/>
  <c r="BS3044" i="1"/>
  <c r="BS3045" i="1"/>
  <c r="BS3046" i="1"/>
  <c r="BS3047" i="1"/>
  <c r="BS3048" i="1"/>
  <c r="BS3049" i="1"/>
  <c r="CA3049" i="1" s="1"/>
  <c r="BS3050" i="1"/>
  <c r="BS3051" i="1"/>
  <c r="BS3052" i="1"/>
  <c r="BS3053" i="1"/>
  <c r="BS3054" i="1"/>
  <c r="BS3055" i="1"/>
  <c r="CA3055" i="1" s="1"/>
  <c r="BS3056" i="1"/>
  <c r="BS3057" i="1"/>
  <c r="CA3057" i="1" s="1"/>
  <c r="BS3058" i="1"/>
  <c r="BS3059" i="1"/>
  <c r="BS3060" i="1"/>
  <c r="BS3061" i="1"/>
  <c r="BS3062" i="1"/>
  <c r="CA3062" i="1" s="1"/>
  <c r="BS3063" i="1"/>
  <c r="BS3064" i="1"/>
  <c r="BS3065" i="1"/>
  <c r="BS3066" i="1"/>
  <c r="BS3067" i="1"/>
  <c r="BS3068" i="1"/>
  <c r="BS3069" i="1"/>
  <c r="BS3070" i="1"/>
  <c r="BS3072" i="1"/>
  <c r="BS3073" i="1"/>
  <c r="BS3075" i="1"/>
  <c r="BS3076" i="1"/>
  <c r="CA3076" i="1" s="1"/>
  <c r="BS3077" i="1"/>
  <c r="BS3078" i="1"/>
  <c r="CA3078" i="1" s="1"/>
  <c r="BS3079" i="1"/>
  <c r="BS3080" i="1"/>
  <c r="BS3081" i="1"/>
  <c r="CA3081" i="1" s="1"/>
  <c r="BS3082" i="1"/>
  <c r="CA3082" i="1" s="1"/>
  <c r="BS3083" i="1"/>
  <c r="BS3084" i="1"/>
  <c r="BS3085" i="1"/>
  <c r="CA3085" i="1" s="1"/>
  <c r="BS3086" i="1"/>
  <c r="CA3086" i="1" s="1"/>
  <c r="BS3087" i="1"/>
  <c r="BS3088" i="1"/>
  <c r="BS3090" i="1"/>
  <c r="CA3090" i="1" s="1"/>
  <c r="BS3091" i="1"/>
  <c r="CA3091" i="1" s="1"/>
  <c r="BS3092" i="1"/>
  <c r="BS3093" i="1"/>
  <c r="BS3094" i="1"/>
  <c r="BS3095" i="1"/>
  <c r="BS3096" i="1"/>
  <c r="BS3097" i="1"/>
  <c r="BS3098" i="1"/>
  <c r="BS3099" i="1"/>
  <c r="BS3100" i="1"/>
  <c r="BS3101" i="1"/>
  <c r="BS3102" i="1"/>
  <c r="BS3103" i="1"/>
  <c r="CA3103" i="1" s="1"/>
  <c r="BS3104" i="1"/>
  <c r="CA3104" i="1" s="1"/>
  <c r="BS3105" i="1"/>
  <c r="BS3106" i="1"/>
  <c r="CA3106" i="1" s="1"/>
  <c r="BS3107" i="1"/>
  <c r="BS3108" i="1"/>
  <c r="BS3109" i="1"/>
  <c r="CA3109" i="1" s="1"/>
  <c r="BS3110" i="1"/>
  <c r="CA3110" i="1" s="1"/>
  <c r="BS3111" i="1"/>
  <c r="CA3111" i="1" s="1"/>
  <c r="BS3112" i="1"/>
  <c r="CA3112" i="1" s="1"/>
  <c r="BS3113" i="1"/>
  <c r="BS3114" i="1"/>
  <c r="BS3115" i="1"/>
  <c r="BS3116" i="1"/>
  <c r="CA3116" i="1" s="1"/>
  <c r="BS3117" i="1"/>
  <c r="BS3118" i="1"/>
  <c r="BS3119" i="1"/>
  <c r="BS3120" i="1"/>
  <c r="BS3121" i="1"/>
  <c r="BS3122" i="1"/>
  <c r="BS3123" i="1"/>
  <c r="CA3123" i="1" s="1"/>
  <c r="BS3124" i="1"/>
  <c r="BS3125" i="1"/>
  <c r="CA3125" i="1" s="1"/>
  <c r="BS3126" i="1"/>
  <c r="BS3127" i="1"/>
  <c r="BS3128" i="1"/>
  <c r="BS3129" i="1"/>
  <c r="CA3129" i="1" s="1"/>
  <c r="BS3130" i="1"/>
  <c r="BS3131" i="1"/>
  <c r="BS3132" i="1"/>
  <c r="BS3133" i="1"/>
  <c r="BS3134" i="1"/>
  <c r="CA3134" i="1" s="1"/>
  <c r="BS3135" i="1"/>
  <c r="BS3136" i="1"/>
  <c r="BS3137" i="1"/>
  <c r="BS3138" i="1"/>
  <c r="BS3139" i="1"/>
  <c r="BS3140" i="1"/>
  <c r="BS3141" i="1"/>
  <c r="BS3142" i="1"/>
  <c r="BS3143" i="1"/>
  <c r="BS3144" i="1"/>
  <c r="BS3145" i="1"/>
  <c r="BS3146" i="1"/>
  <c r="BS3147" i="1"/>
  <c r="BS3148" i="1"/>
  <c r="BS3149" i="1"/>
  <c r="CA3149" i="1" s="1"/>
  <c r="BS3150" i="1"/>
  <c r="BS3151" i="1"/>
  <c r="BS3152" i="1"/>
  <c r="BS3153" i="1"/>
  <c r="BS3154" i="1"/>
  <c r="BS3155" i="1"/>
  <c r="BS3156" i="1"/>
  <c r="CA3156" i="1" s="1"/>
  <c r="BS3157" i="1"/>
  <c r="BS3158" i="1"/>
  <c r="BS3159" i="1"/>
  <c r="BS3160" i="1"/>
  <c r="BS3161" i="1"/>
  <c r="CA3161" i="1" s="1"/>
  <c r="BS3162" i="1"/>
  <c r="BS3163" i="1"/>
  <c r="CA3163" i="1" s="1"/>
  <c r="BS3164" i="1"/>
  <c r="BS3165" i="1"/>
  <c r="BS3166" i="1"/>
  <c r="BS3167" i="1"/>
  <c r="BS3168" i="1"/>
  <c r="BS3169" i="1"/>
  <c r="BS3170" i="1"/>
  <c r="CA3170" i="1" s="1"/>
  <c r="BS3171" i="1"/>
  <c r="BS3172" i="1"/>
  <c r="BS3173" i="1"/>
  <c r="BS3174" i="1"/>
  <c r="BS3175" i="1"/>
  <c r="BS3176" i="1"/>
  <c r="BS3177" i="1"/>
  <c r="CA3177" i="1" s="1"/>
  <c r="BS3178" i="1"/>
  <c r="BS3179" i="1"/>
  <c r="BS3180" i="1"/>
  <c r="BS3181" i="1"/>
  <c r="BS3182" i="1"/>
  <c r="BS3183" i="1"/>
  <c r="BS3184" i="1"/>
  <c r="BS3185" i="1"/>
  <c r="BS3186" i="1"/>
  <c r="BS3187" i="1"/>
  <c r="BS3188" i="1"/>
  <c r="CA3188" i="1" s="1"/>
  <c r="BS3189" i="1"/>
  <c r="BS3190" i="1"/>
  <c r="CA3190" i="1" s="1"/>
  <c r="BS3191" i="1"/>
  <c r="BS3192" i="1"/>
  <c r="BS3193" i="1"/>
  <c r="BS3194" i="1"/>
  <c r="BS3195" i="1"/>
  <c r="BS3196" i="1"/>
  <c r="CA3196" i="1" s="1"/>
  <c r="BS3197" i="1"/>
  <c r="BS3198" i="1"/>
  <c r="BS3199" i="1"/>
  <c r="BS3200" i="1"/>
  <c r="BS3201" i="1"/>
  <c r="CA3201" i="1" s="1"/>
  <c r="BS3202" i="1"/>
  <c r="BS3203" i="1"/>
  <c r="BS3204" i="1"/>
  <c r="BS3205" i="1"/>
  <c r="BS3206" i="1"/>
  <c r="BS2" i="1"/>
  <c r="BH1966" i="1" l="1"/>
  <c r="N1471" i="1"/>
  <c r="BF1471" i="1"/>
  <c r="CI1471" i="1" s="1"/>
  <c r="CJ1471" i="1" s="1"/>
  <c r="BG1471" i="1"/>
  <c r="BH1471" i="1"/>
  <c r="R1471" i="1" s="1"/>
  <c r="BI1471" i="1"/>
  <c r="BK1471" i="1"/>
  <c r="BL1471" i="1"/>
  <c r="CD1471" i="1" l="1"/>
  <c r="BQ1471" i="1"/>
  <c r="Q1471" i="1"/>
  <c r="BZ1471" i="1"/>
  <c r="BR1471" i="1"/>
  <c r="CA1471" i="1" s="1"/>
  <c r="BF2061" i="1"/>
  <c r="BG2061" i="1"/>
  <c r="BR2061" i="1" s="1"/>
  <c r="CA2061" i="1" s="1"/>
  <c r="BH2061" i="1"/>
  <c r="R2061" i="1" s="1"/>
  <c r="BI2061" i="1"/>
  <c r="BK2061" i="1"/>
  <c r="BL2061" i="1"/>
  <c r="BQ2061" i="1" l="1"/>
  <c r="CI2061" i="1"/>
  <c r="CJ2061" i="1" s="1"/>
  <c r="BX1471" i="1"/>
  <c r="BU1471" i="1"/>
  <c r="BW1471" i="1" s="1"/>
  <c r="Q2061" i="1"/>
  <c r="BZ2061" i="1"/>
  <c r="R1966" i="1"/>
  <c r="BX2061" i="1" l="1"/>
  <c r="BU2061" i="1"/>
  <c r="BW2061" i="1" s="1"/>
  <c r="BL108" i="1" l="1"/>
  <c r="BL1856" i="1"/>
  <c r="BL2423" i="1"/>
  <c r="BL2554" i="1"/>
  <c r="BL967" i="1"/>
  <c r="BL2555" i="1"/>
  <c r="BL2606" i="1"/>
  <c r="BL471" i="1"/>
  <c r="BL2409" i="1"/>
  <c r="BL2556" i="1"/>
  <c r="BL1826" i="1"/>
  <c r="BL481" i="1"/>
  <c r="BL313" i="1"/>
  <c r="BL1104" i="1"/>
  <c r="BL2437" i="1"/>
  <c r="BL128" i="1"/>
  <c r="BL1594" i="1"/>
  <c r="BL1918" i="1"/>
  <c r="BL2035" i="1"/>
  <c r="BL932" i="1"/>
  <c r="BL1404" i="1"/>
  <c r="BL2155" i="1"/>
  <c r="BL2557" i="1"/>
  <c r="BL2000" i="1"/>
  <c r="BL671" i="1"/>
  <c r="BL2559" i="1"/>
  <c r="BL635" i="1"/>
  <c r="BL491" i="1"/>
  <c r="BL695" i="1"/>
  <c r="BL1164" i="1"/>
  <c r="BL686" i="1"/>
  <c r="BL483" i="1"/>
  <c r="BL2402" i="1"/>
  <c r="BL2367" i="1"/>
  <c r="BL2442" i="1"/>
  <c r="BL1729" i="1"/>
  <c r="BL378" i="1"/>
  <c r="BL2126" i="1"/>
  <c r="BL2543" i="1"/>
  <c r="BL312" i="1"/>
  <c r="BL2055" i="1"/>
  <c r="BL2333" i="1"/>
  <c r="BL2348" i="1"/>
  <c r="BL697" i="1"/>
  <c r="BL2353" i="1"/>
  <c r="BL682" i="1"/>
  <c r="BL1701" i="1"/>
  <c r="BL1148" i="1"/>
  <c r="BL1924" i="1"/>
  <c r="BL2388" i="1"/>
  <c r="BL2562" i="1"/>
  <c r="BL2563" i="1"/>
  <c r="BL1373" i="1"/>
  <c r="BL719" i="1"/>
  <c r="BL1045" i="1"/>
  <c r="BL463" i="1"/>
  <c r="BL1540" i="1"/>
  <c r="BL2564" i="1"/>
  <c r="BL2565" i="1"/>
  <c r="BL1102" i="1"/>
  <c r="BL163" i="1"/>
  <c r="BL2566" i="1"/>
  <c r="BL2567" i="1"/>
  <c r="BL1809" i="1"/>
  <c r="BL1896" i="1"/>
  <c r="BL1689" i="1"/>
  <c r="BL2339" i="1"/>
  <c r="BL597" i="1"/>
  <c r="BL2526" i="1"/>
  <c r="BL2568" i="1"/>
  <c r="BL915" i="1"/>
  <c r="BL1738" i="1"/>
  <c r="BL676" i="1"/>
  <c r="BL1562" i="1"/>
  <c r="BL2570" i="1"/>
  <c r="BL502" i="1"/>
  <c r="BL1938" i="1"/>
  <c r="BL1871" i="1"/>
  <c r="BL497" i="1"/>
  <c r="BL2252" i="1"/>
  <c r="BL1614" i="1"/>
  <c r="BL615" i="1"/>
  <c r="BL1066" i="1"/>
  <c r="BL2018" i="1"/>
  <c r="BL2571" i="1"/>
  <c r="BL2572" i="1"/>
  <c r="BL1899" i="1"/>
  <c r="BL1155" i="1"/>
  <c r="BL741" i="1"/>
  <c r="BL2074" i="1"/>
  <c r="BL600" i="1"/>
  <c r="BL2370" i="1"/>
  <c r="BL579" i="1"/>
  <c r="BL369" i="1"/>
  <c r="BL2573" i="1"/>
  <c r="BL595" i="1"/>
  <c r="BL2022" i="1"/>
  <c r="BL1407" i="1"/>
  <c r="BL2314" i="1"/>
  <c r="BL1001" i="1"/>
  <c r="BL2494" i="1"/>
  <c r="BL1363" i="1"/>
  <c r="BL1375" i="1"/>
  <c r="BL187" i="1"/>
  <c r="BL1298" i="1"/>
  <c r="BL2574" i="1"/>
  <c r="BL632" i="1"/>
  <c r="BL139" i="1"/>
  <c r="BL1142" i="1"/>
  <c r="BL1728" i="1"/>
  <c r="BL148" i="1"/>
  <c r="BL2319" i="1"/>
  <c r="BL2575" i="1"/>
  <c r="BL2522" i="1"/>
  <c r="BL1557" i="1"/>
  <c r="BL1310" i="1"/>
  <c r="BL1555" i="1"/>
  <c r="BL720" i="1"/>
  <c r="BL2579" i="1"/>
  <c r="BL1515" i="1"/>
  <c r="BL2580" i="1"/>
  <c r="BL2191" i="1"/>
  <c r="BL2456" i="1"/>
  <c r="BL453" i="1"/>
  <c r="BL474" i="1"/>
  <c r="BL1393" i="1"/>
  <c r="BL186" i="1"/>
  <c r="BL943" i="1"/>
  <c r="BL866" i="1"/>
  <c r="BL1012" i="1"/>
  <c r="BL2046" i="1"/>
  <c r="BL1226" i="1"/>
  <c r="BL1830" i="1"/>
  <c r="BL1309" i="1"/>
  <c r="BL374" i="1"/>
  <c r="BL954" i="1"/>
  <c r="BL796" i="1"/>
  <c r="BL887" i="1"/>
  <c r="BL13" i="1"/>
  <c r="BL1849" i="1"/>
  <c r="BL1307" i="1"/>
  <c r="BL982" i="1"/>
  <c r="BL1767" i="1"/>
  <c r="BL308" i="1"/>
  <c r="BL2582" i="1"/>
  <c r="BL1013" i="1"/>
  <c r="BL2583" i="1"/>
  <c r="BL2584" i="1"/>
  <c r="BL2581" i="1"/>
  <c r="BL2017" i="1"/>
  <c r="BL1968" i="1"/>
  <c r="BL740" i="1"/>
  <c r="BL2248" i="1"/>
  <c r="BL2394" i="1"/>
  <c r="BL518" i="1"/>
  <c r="BL969" i="1"/>
  <c r="BL120" i="1"/>
  <c r="BL731" i="1"/>
  <c r="BL1857" i="1"/>
  <c r="BL1495" i="1"/>
  <c r="BL657" i="1"/>
  <c r="BL417" i="1"/>
  <c r="BL2585" i="1"/>
  <c r="BL2168" i="1"/>
  <c r="BL2218" i="1"/>
  <c r="BL1256" i="1"/>
  <c r="BL1788" i="1"/>
  <c r="BL923" i="1"/>
  <c r="BL2451" i="1"/>
  <c r="BL130" i="1"/>
  <c r="BL2586" i="1"/>
  <c r="BL942" i="1"/>
  <c r="BL2395" i="1"/>
  <c r="BL1714" i="1"/>
  <c r="BL773" i="1"/>
  <c r="BL2587" i="1"/>
  <c r="BL458" i="1"/>
  <c r="BL403" i="1"/>
  <c r="BL629" i="1"/>
  <c r="BL2198" i="1"/>
  <c r="BL1401" i="1"/>
  <c r="BL1166" i="1"/>
  <c r="BL324" i="1"/>
  <c r="BL1627" i="1"/>
  <c r="BL2588" i="1"/>
  <c r="BL2072" i="1"/>
  <c r="BL1641" i="1"/>
  <c r="BL2589" i="1"/>
  <c r="BL843" i="1"/>
  <c r="BL1285" i="1"/>
  <c r="BL971" i="1"/>
  <c r="BL2401" i="1"/>
  <c r="BL1281" i="1"/>
  <c r="BL409" i="1"/>
  <c r="BL2590" i="1"/>
  <c r="BL1683" i="1"/>
  <c r="BL2591" i="1"/>
  <c r="BL2413" i="1"/>
  <c r="BL2592" i="1"/>
  <c r="BL2436" i="1"/>
  <c r="BL1675" i="1"/>
  <c r="BL1952" i="1"/>
  <c r="BL1355" i="1"/>
  <c r="BL2593" i="1"/>
  <c r="BL2595" i="1"/>
  <c r="BL1656" i="1"/>
  <c r="BL2457" i="1"/>
  <c r="BL1907" i="1"/>
  <c r="BL601" i="1"/>
  <c r="BL2596" i="1"/>
  <c r="BL2597" i="1"/>
  <c r="BL1677" i="1"/>
  <c r="BL2343" i="1"/>
  <c r="BL931" i="1"/>
  <c r="BL1719" i="1"/>
  <c r="BL1132" i="1"/>
  <c r="BL1115" i="1"/>
  <c r="BL501" i="1"/>
  <c r="BL778" i="1"/>
  <c r="BL1576" i="1"/>
  <c r="BL126" i="1"/>
  <c r="BL1986" i="1"/>
  <c r="BL2382" i="1"/>
  <c r="BL1814" i="1"/>
  <c r="BL2431" i="1"/>
  <c r="BL1269" i="1"/>
  <c r="BL2601" i="1"/>
  <c r="BL2452" i="1"/>
  <c r="BL2140" i="1"/>
  <c r="BL1185" i="1"/>
  <c r="BL831" i="1"/>
  <c r="BL1096" i="1"/>
  <c r="BL2600" i="1"/>
  <c r="BL1894" i="1"/>
  <c r="BL451" i="1"/>
  <c r="BL539" i="1"/>
  <c r="BL1229" i="1"/>
  <c r="BL755" i="1"/>
  <c r="BL847" i="1"/>
  <c r="BL2604" i="1"/>
  <c r="BL1266" i="1"/>
  <c r="BL2605" i="1"/>
  <c r="BL399" i="1"/>
  <c r="BL1538" i="1"/>
  <c r="BL1405" i="1"/>
  <c r="BL2607" i="1"/>
  <c r="BL2086" i="1"/>
  <c r="BL800" i="1"/>
  <c r="BL1301" i="1"/>
  <c r="BL319" i="1"/>
  <c r="BL2609" i="1"/>
  <c r="BL2512" i="1"/>
  <c r="BL691" i="1"/>
  <c r="BL761" i="1"/>
  <c r="BL2610" i="1"/>
  <c r="BL2612" i="1"/>
  <c r="BL2611" i="1"/>
  <c r="BL133" i="1"/>
  <c r="BL2613" i="1"/>
  <c r="BL2615" i="1"/>
  <c r="BL537" i="1"/>
  <c r="BL2614" i="1"/>
  <c r="BL2174" i="1"/>
  <c r="BL2616" i="1"/>
  <c r="BL825" i="1"/>
  <c r="BL1151" i="1"/>
  <c r="BL2594" i="1"/>
  <c r="BL1580" i="1"/>
  <c r="BL2383" i="1"/>
  <c r="BL1297" i="1"/>
  <c r="BL1090" i="1"/>
  <c r="BL939" i="1"/>
  <c r="BL2617" i="1"/>
  <c r="BL1987" i="1"/>
  <c r="BL1506" i="1"/>
  <c r="BL1665" i="1"/>
  <c r="BL2618" i="1"/>
  <c r="BL2024" i="1"/>
  <c r="BL2116" i="1"/>
  <c r="BL2619" i="1"/>
  <c r="BL1258" i="1"/>
  <c r="BL1823" i="1"/>
  <c r="BL614" i="1"/>
  <c r="BL1362" i="1"/>
  <c r="BL284" i="1"/>
  <c r="BL2016" i="1"/>
  <c r="BL2621" i="1"/>
  <c r="BL1673" i="1"/>
  <c r="BL918" i="1"/>
  <c r="BL2264" i="1"/>
  <c r="BL2075" i="1"/>
  <c r="BL570" i="1"/>
  <c r="BL1694" i="1"/>
  <c r="BL107" i="1"/>
  <c r="BL650" i="1"/>
  <c r="BL2278" i="1"/>
  <c r="BL412" i="1"/>
  <c r="BL2461" i="1"/>
  <c r="BL2259" i="1"/>
  <c r="BL1430" i="1"/>
  <c r="BL992" i="1"/>
  <c r="BL2727" i="1"/>
  <c r="BL1939" i="1"/>
  <c r="BL2326" i="1"/>
  <c r="BL2622" i="1"/>
  <c r="BL1020" i="1"/>
  <c r="BL2623" i="1"/>
  <c r="BL2476" i="1"/>
  <c r="BL2255" i="1"/>
  <c r="BL1771" i="1"/>
  <c r="BL2624" i="1"/>
  <c r="BL1822" i="1"/>
  <c r="BL427" i="1"/>
  <c r="BL1397" i="1"/>
  <c r="BL2200" i="1"/>
  <c r="BL2625" i="1"/>
  <c r="BL2049" i="1"/>
  <c r="BL2626" i="1"/>
  <c r="BL2063" i="1"/>
  <c r="BL1578" i="1"/>
  <c r="BL493" i="1"/>
  <c r="BL354" i="1"/>
  <c r="BL338" i="1"/>
  <c r="BL2514" i="1"/>
  <c r="BL1392" i="1"/>
  <c r="BL543" i="1"/>
  <c r="BL2450" i="1"/>
  <c r="BL291" i="1"/>
  <c r="BL341" i="1"/>
  <c r="BL5" i="1"/>
  <c r="BL1522" i="1"/>
  <c r="BL177" i="1"/>
  <c r="BL972" i="1"/>
  <c r="BL2629" i="1"/>
  <c r="BL1778" i="1"/>
  <c r="BL846" i="1"/>
  <c r="BL1105" i="1"/>
  <c r="BL1453" i="1"/>
  <c r="BL2630" i="1"/>
  <c r="BL2440" i="1"/>
  <c r="BL2631" i="1"/>
  <c r="BL322" i="1"/>
  <c r="BL1466" i="1"/>
  <c r="BL1464" i="1"/>
  <c r="BL1979" i="1"/>
  <c r="BL197" i="1"/>
  <c r="BL2182" i="1"/>
  <c r="BL2465" i="1"/>
  <c r="BL2211" i="1"/>
  <c r="BL1478" i="1"/>
  <c r="BL2632" i="1"/>
  <c r="BL775" i="1"/>
  <c r="BL2634" i="1"/>
  <c r="BL22" i="1"/>
  <c r="BL1100" i="1"/>
  <c r="BL2635" i="1"/>
  <c r="BL1546" i="1"/>
  <c r="BL1398" i="1"/>
  <c r="BL926" i="1"/>
  <c r="BL1410" i="1"/>
  <c r="BL1158" i="1"/>
  <c r="BL1233" i="1"/>
  <c r="BL2637" i="1"/>
  <c r="BL1448" i="1"/>
  <c r="BL311" i="1"/>
  <c r="BL2005" i="1"/>
  <c r="BL2031" i="1"/>
  <c r="BL2299" i="1"/>
  <c r="BL1861" i="1"/>
  <c r="BL2638" i="1"/>
  <c r="BL1936" i="1"/>
  <c r="BL1470" i="1"/>
  <c r="BL899" i="1"/>
  <c r="BL547" i="1"/>
  <c r="BL2077" i="1"/>
  <c r="BL2128" i="1"/>
  <c r="BL2322" i="1"/>
  <c r="BL419" i="1"/>
  <c r="BL2313" i="1"/>
  <c r="BL435" i="1"/>
  <c r="BL606" i="1"/>
  <c r="BL2069" i="1"/>
  <c r="BL1231" i="1"/>
  <c r="BL1129" i="1"/>
  <c r="BL566" i="1"/>
  <c r="BL2279" i="1"/>
  <c r="BL2535" i="1"/>
  <c r="BL879" i="1"/>
  <c r="BL1500" i="1"/>
  <c r="BL2639" i="1"/>
  <c r="BL1889" i="1"/>
  <c r="BL2641" i="1"/>
  <c r="BL1810" i="1"/>
  <c r="BL2552" i="1"/>
  <c r="BL2058" i="1"/>
  <c r="BL2420" i="1"/>
  <c r="BL1116" i="1"/>
  <c r="BL1345" i="1"/>
  <c r="BL2156" i="1"/>
  <c r="BL1503" i="1"/>
  <c r="BL1389" i="1"/>
  <c r="BL2027" i="1"/>
  <c r="BL947" i="1"/>
  <c r="BL169" i="1"/>
  <c r="BL2642" i="1"/>
  <c r="BL1292" i="1"/>
  <c r="BL2215" i="1"/>
  <c r="BL2643" i="1"/>
  <c r="BL2092" i="1"/>
  <c r="BL2644" i="1"/>
  <c r="BL569" i="1"/>
  <c r="BL1329" i="1"/>
  <c r="BL316" i="1"/>
  <c r="BL2561" i="1"/>
  <c r="BL799" i="1"/>
  <c r="BL2135" i="1"/>
  <c r="BL1606" i="1"/>
  <c r="BL2152" i="1"/>
  <c r="BL2645" i="1"/>
  <c r="BL2646" i="1"/>
  <c r="BL2647" i="1"/>
  <c r="BL2226" i="1"/>
  <c r="BL2648" i="1"/>
  <c r="BL1634" i="1"/>
  <c r="BL2217" i="1"/>
  <c r="BL861" i="1"/>
  <c r="BL1249" i="1"/>
  <c r="BL1152" i="1"/>
  <c r="BL1954" i="1"/>
  <c r="BL2649" i="1"/>
  <c r="BL315" i="1"/>
  <c r="BL1605" i="1"/>
  <c r="BL1635" i="1"/>
  <c r="BL540" i="1"/>
  <c r="BL590" i="1"/>
  <c r="BL730" i="1"/>
  <c r="BL718" i="1"/>
  <c r="BL612" i="1"/>
  <c r="BL1415" i="1"/>
  <c r="BL904" i="1"/>
  <c r="BL2134" i="1"/>
  <c r="BL1805" i="1"/>
  <c r="BL2651" i="1"/>
  <c r="BL2652" i="1"/>
  <c r="BL1821" i="1"/>
  <c r="BL1324" i="1"/>
  <c r="BL1884" i="1"/>
  <c r="BL2654" i="1"/>
  <c r="BL2656" i="1"/>
  <c r="BL2159" i="1"/>
  <c r="BL1286" i="1"/>
  <c r="BL2655" i="1"/>
  <c r="BL2658" i="1"/>
  <c r="BL2657" i="1"/>
  <c r="BL1385" i="1"/>
  <c r="BL1638" i="1"/>
  <c r="BL1780" i="1"/>
  <c r="BL2659" i="1"/>
  <c r="BL2263" i="1"/>
  <c r="BL1553" i="1"/>
  <c r="BL1154" i="1"/>
  <c r="BL1492" i="1"/>
  <c r="BL2660" i="1"/>
  <c r="BL2661" i="1"/>
  <c r="BL2662" i="1"/>
  <c r="BL1253" i="1"/>
  <c r="BL1094" i="1"/>
  <c r="BL347" i="1"/>
  <c r="BL2663" i="1"/>
  <c r="BL379" i="1"/>
  <c r="BL1475" i="1"/>
  <c r="BL9" i="1"/>
  <c r="BL2664" i="1"/>
  <c r="BL1764" i="1"/>
  <c r="BL1018" i="1"/>
  <c r="BL2447" i="1"/>
  <c r="BL936" i="1"/>
  <c r="BL2666" i="1"/>
  <c r="BL1629" i="1"/>
  <c r="BL2157" i="1"/>
  <c r="BL929" i="1"/>
  <c r="BL911" i="1"/>
  <c r="BL2665" i="1"/>
  <c r="BL1291" i="1"/>
  <c r="BL1763" i="1"/>
  <c r="BL2667" i="1"/>
  <c r="BL2371" i="1"/>
  <c r="BL1749" i="1"/>
  <c r="BL6" i="1"/>
  <c r="BL337" i="1"/>
  <c r="BL746" i="1"/>
  <c r="BL2464" i="1"/>
  <c r="BL1792" i="1"/>
  <c r="BL1589" i="1"/>
  <c r="BL1449" i="1"/>
  <c r="BL2669" i="1"/>
  <c r="BL1777" i="1"/>
  <c r="BL1958" i="1"/>
  <c r="BL1891" i="1"/>
  <c r="BL2287" i="1"/>
  <c r="BL151" i="1"/>
  <c r="BL2670" i="1"/>
  <c r="BL2671" i="1"/>
  <c r="BL2477" i="1"/>
  <c r="BL1559" i="1"/>
  <c r="BL1060" i="1"/>
  <c r="BL1106" i="1"/>
  <c r="BL1671" i="1"/>
  <c r="BL328" i="1"/>
  <c r="BL713" i="1"/>
  <c r="BL803" i="1"/>
  <c r="BL1565" i="1"/>
  <c r="BL1930" i="1"/>
  <c r="BL841" i="1"/>
  <c r="BL1524" i="1"/>
  <c r="BL672" i="1"/>
  <c r="BL1335" i="1"/>
  <c r="BL1790" i="1"/>
  <c r="BL1970" i="1"/>
  <c r="BL1518" i="1"/>
  <c r="BL179" i="1"/>
  <c r="BL2672" i="1"/>
  <c r="BL1941" i="1"/>
  <c r="BL1820" i="1"/>
  <c r="BL2673" i="1"/>
  <c r="BL2674" i="1"/>
  <c r="BL840" i="1"/>
  <c r="BL1144" i="1"/>
  <c r="BL2384" i="1"/>
  <c r="BL2144" i="1"/>
  <c r="BL1462" i="1"/>
  <c r="BL1208" i="1"/>
  <c r="BL2676" i="1"/>
  <c r="BL2578" i="1"/>
  <c r="BL1526" i="1"/>
  <c r="BL2677" i="1"/>
  <c r="BL1489" i="1"/>
  <c r="BL1566" i="1"/>
  <c r="BL2380" i="1"/>
  <c r="BL883" i="1"/>
  <c r="BL1062" i="1"/>
  <c r="BL2680" i="1"/>
  <c r="BL314" i="1"/>
  <c r="BL817" i="1"/>
  <c r="BL679" i="1"/>
  <c r="BL1739" i="1"/>
  <c r="BL1681" i="1"/>
  <c r="BL2679" i="1"/>
  <c r="BL1304" i="1"/>
  <c r="BL766" i="1"/>
  <c r="BL2681" i="1"/>
  <c r="BL2083" i="1"/>
  <c r="BL2545" i="1"/>
  <c r="BL722" i="1"/>
  <c r="BL2682" i="1"/>
  <c r="BL134" i="1"/>
  <c r="BL2169" i="1"/>
  <c r="BL2213" i="1"/>
  <c r="BL758" i="1"/>
  <c r="BL2683" i="1"/>
  <c r="BL541" i="1"/>
  <c r="BL1173" i="1"/>
  <c r="BL2684" i="1"/>
  <c r="BL2685" i="1"/>
  <c r="BL689" i="1"/>
  <c r="BL446" i="1"/>
  <c r="BL2686" i="1"/>
  <c r="BL357" i="1"/>
  <c r="BL1488" i="1"/>
  <c r="BL2541" i="1"/>
  <c r="BL2688" i="1"/>
  <c r="BL1601" i="1"/>
  <c r="BL1034" i="1"/>
  <c r="BL2689" i="1"/>
  <c r="BL2640" i="1"/>
  <c r="BL2690" i="1"/>
  <c r="BL109" i="1"/>
  <c r="BL681" i="1"/>
  <c r="BL2687" i="1"/>
  <c r="BL1692" i="1"/>
  <c r="BL2692" i="1"/>
  <c r="BL2627" i="1"/>
  <c r="BL726" i="1"/>
  <c r="BL1390" i="1"/>
  <c r="BL356" i="1"/>
  <c r="BL1101" i="1"/>
  <c r="BL1369" i="1"/>
  <c r="BL1473" i="1"/>
  <c r="BL1851" i="1"/>
  <c r="BL1232" i="1"/>
  <c r="BL1591" i="1"/>
  <c r="BL2693" i="1"/>
  <c r="BL678" i="1"/>
  <c r="BL2620" i="1"/>
  <c r="BL2267" i="1"/>
  <c r="BL602" i="1"/>
  <c r="BL1852" i="1"/>
  <c r="BL2415" i="1"/>
  <c r="BL2696" i="1"/>
  <c r="BL816" i="1"/>
  <c r="BL426" i="1"/>
  <c r="BL2389" i="1"/>
  <c r="BL20" i="1"/>
  <c r="BL2697" i="1"/>
  <c r="BL1940" i="1"/>
  <c r="BL2698" i="1"/>
  <c r="BL283" i="1"/>
  <c r="BL907" i="1"/>
  <c r="BL393" i="1"/>
  <c r="BL1214" i="1"/>
  <c r="BL110" i="1"/>
  <c r="BL2699" i="1"/>
  <c r="BL442" i="1"/>
  <c r="BL1753" i="1"/>
  <c r="BL1383" i="1"/>
  <c r="BL1461" i="1"/>
  <c r="BL797" i="1"/>
  <c r="BL19" i="1"/>
  <c r="BL1182" i="1"/>
  <c r="BL558" i="1"/>
  <c r="BL2043" i="1"/>
  <c r="BL1156" i="1"/>
  <c r="BL714" i="1"/>
  <c r="BL1467" i="1"/>
  <c r="BL1676" i="1"/>
  <c r="BL2021" i="1"/>
  <c r="BL2700" i="1"/>
  <c r="BL424" i="1"/>
  <c r="BL2301" i="1"/>
  <c r="BL1050" i="1"/>
  <c r="BL2246" i="1"/>
  <c r="BL2691" i="1"/>
  <c r="BL2703" i="1"/>
  <c r="BL1053" i="1"/>
  <c r="BL1599" i="1"/>
  <c r="BL1027" i="1"/>
  <c r="BL2292" i="1"/>
  <c r="BL391" i="1"/>
  <c r="BL360" i="1"/>
  <c r="BL2227" i="1"/>
  <c r="BL2165" i="1"/>
  <c r="BL1933" i="1"/>
  <c r="BL2704" i="1"/>
  <c r="BL2539" i="1"/>
  <c r="BL2432" i="1"/>
  <c r="BL2705" i="1"/>
  <c r="BL1750" i="1"/>
  <c r="BL2706" i="1"/>
  <c r="BL2445" i="1"/>
  <c r="BL2707" i="1"/>
  <c r="BL1014" i="1"/>
  <c r="BL573" i="1"/>
  <c r="BL706" i="1"/>
  <c r="BL2709" i="1"/>
  <c r="BL143" i="1"/>
  <c r="BL2510" i="1"/>
  <c r="BL582" i="1"/>
  <c r="BL1382" i="1"/>
  <c r="BL1688" i="1"/>
  <c r="BL2328" i="1"/>
  <c r="BL1672" i="1"/>
  <c r="BL383" i="1"/>
  <c r="BL818" i="1"/>
  <c r="BL1876" i="1"/>
  <c r="BL2710" i="1"/>
  <c r="BL1622" i="1"/>
  <c r="BL1387" i="1"/>
  <c r="BL2011" i="1"/>
  <c r="BL1919" i="1"/>
  <c r="BL1684" i="1"/>
  <c r="BL1033" i="1"/>
  <c r="BL1455" i="1"/>
  <c r="BL1862" i="1"/>
  <c r="BL1338" i="1"/>
  <c r="BL2711" i="1"/>
  <c r="BL2712" i="1"/>
  <c r="BL559" i="1"/>
  <c r="BL1219" i="1"/>
  <c r="BL310" i="1"/>
  <c r="BL2713" i="1"/>
  <c r="BL462" i="1"/>
  <c r="BL1103" i="1"/>
  <c r="BL1221" i="1"/>
  <c r="BL852" i="1"/>
  <c r="BL473" i="1"/>
  <c r="BL2714" i="1"/>
  <c r="BL2093" i="1"/>
  <c r="BL2472" i="1"/>
  <c r="BL1680" i="1"/>
  <c r="BL2716" i="1"/>
  <c r="BL1076" i="1"/>
  <c r="BL330" i="1"/>
  <c r="BL908" i="1"/>
  <c r="BL114" i="1"/>
  <c r="BL508" i="1"/>
  <c r="BL1808" i="1"/>
  <c r="BL1523" i="1"/>
  <c r="BL2101" i="1"/>
  <c r="BL2717" i="1"/>
  <c r="BL2718" i="1"/>
  <c r="BL1356" i="1"/>
  <c r="BL2047" i="1"/>
  <c r="BL2719" i="1"/>
  <c r="BL1978" i="1"/>
  <c r="BL1359" i="1"/>
  <c r="BL837" i="1"/>
  <c r="BL934" i="1"/>
  <c r="BL2720" i="1"/>
  <c r="BL780" i="1"/>
  <c r="BL1781" i="1"/>
  <c r="BL1607" i="1"/>
  <c r="BL206" i="1"/>
  <c r="BL2521" i="1"/>
  <c r="BL1071" i="1"/>
  <c r="BL549" i="1"/>
  <c r="BL454" i="1"/>
  <c r="BL1230" i="1"/>
  <c r="BL1651" i="1"/>
  <c r="BL104" i="1"/>
  <c r="BL2721" i="1"/>
  <c r="BL1092" i="1"/>
  <c r="BL389" i="1"/>
  <c r="BL1468" i="1"/>
  <c r="BL1588" i="1"/>
  <c r="BL1937" i="1"/>
  <c r="BL1742" i="1"/>
  <c r="BL2722" i="1"/>
  <c r="BL2336" i="1"/>
  <c r="BL2724" i="1"/>
  <c r="BL1311" i="1"/>
  <c r="BL2725" i="1"/>
  <c r="BL193" i="1"/>
  <c r="BL2726" i="1"/>
  <c r="BL2167" i="1"/>
  <c r="BL707" i="1"/>
  <c r="BL1235" i="1"/>
  <c r="BL422" i="1"/>
  <c r="BL1531" i="1"/>
  <c r="BL968" i="1"/>
  <c r="BL2266" i="1"/>
  <c r="BL2728" i="1"/>
  <c r="BL1923" i="1"/>
  <c r="BL164" i="1"/>
  <c r="BL2729" i="1"/>
  <c r="BL651" i="1"/>
  <c r="BL2234" i="1"/>
  <c r="BL2138" i="1"/>
  <c r="BL365" i="1"/>
  <c r="BL1244" i="1"/>
  <c r="BL1844" i="1"/>
  <c r="BL1574" i="1"/>
  <c r="BL1596" i="1"/>
  <c r="BL1168" i="1"/>
  <c r="BL762" i="1"/>
  <c r="BL1985" i="1"/>
  <c r="BL993" i="1"/>
  <c r="BL122" i="1"/>
  <c r="BL2493" i="1"/>
  <c r="BL302" i="1"/>
  <c r="BL924" i="1"/>
  <c r="BL1703" i="1"/>
  <c r="BL2531" i="1"/>
  <c r="BL2082" i="1"/>
  <c r="BL1997" i="1"/>
  <c r="BL1381" i="1"/>
  <c r="BL871" i="1"/>
  <c r="BL2366" i="1"/>
  <c r="BL350" i="1"/>
  <c r="BL1866" i="1"/>
  <c r="BL1539" i="1"/>
  <c r="BL1220" i="1"/>
  <c r="BL2225" i="1"/>
  <c r="BL1354" i="1"/>
  <c r="BL688" i="1"/>
  <c r="BL2160" i="1"/>
  <c r="BL531" i="1"/>
  <c r="BL2099" i="1"/>
  <c r="BL554" i="1"/>
  <c r="BL2732" i="1"/>
  <c r="BL1981" i="1"/>
  <c r="BL2033" i="1"/>
  <c r="BL2733" i="1"/>
  <c r="BL2723" i="1"/>
  <c r="BL400" i="1"/>
  <c r="BL1649" i="1"/>
  <c r="BL487" i="1"/>
  <c r="BL826" i="1"/>
  <c r="BL1073" i="1"/>
  <c r="BL1223" i="1"/>
  <c r="BL1785" i="1"/>
  <c r="BL1107" i="1"/>
  <c r="BL286" i="1"/>
  <c r="BL2734" i="1"/>
  <c r="BL1724" i="1"/>
  <c r="BL1240" i="1"/>
  <c r="BL1141" i="1"/>
  <c r="BL2113" i="1"/>
  <c r="BL712" i="1"/>
  <c r="BL2735" i="1"/>
  <c r="BL2736" i="1"/>
  <c r="BL1974" i="1"/>
  <c r="BL2737" i="1"/>
  <c r="BL132" i="1"/>
  <c r="BL2738" i="1"/>
  <c r="BL2730" i="1"/>
  <c r="BL2296" i="1"/>
  <c r="BL2067" i="1"/>
  <c r="BL790" i="1"/>
  <c r="BL1395" i="1"/>
  <c r="BL1289" i="1"/>
  <c r="BL2236" i="1"/>
  <c r="BL1554" i="1"/>
  <c r="BL1087" i="1"/>
  <c r="BL2400" i="1"/>
  <c r="BL1039" i="1"/>
  <c r="BL140" i="1"/>
  <c r="BL884" i="1"/>
  <c r="BL2740" i="1"/>
  <c r="BL2741" i="1"/>
  <c r="BL1147" i="1"/>
  <c r="BL1425" i="1"/>
  <c r="BL2599" i="1"/>
  <c r="BL768" i="1"/>
  <c r="BL2009" i="1"/>
  <c r="BL1126" i="1"/>
  <c r="BL285" i="1"/>
  <c r="BL2739" i="1"/>
  <c r="BL2106" i="1"/>
  <c r="BL859" i="1"/>
  <c r="BL2742" i="1"/>
  <c r="BL2743" i="1"/>
  <c r="BL1065" i="1"/>
  <c r="BL334" i="1"/>
  <c r="BL1616" i="1"/>
  <c r="BL1097" i="1"/>
  <c r="BL2745" i="1"/>
  <c r="BL2746" i="1"/>
  <c r="BL2230" i="1"/>
  <c r="BL824" i="1"/>
  <c r="BL1273" i="1"/>
  <c r="BL917" i="1"/>
  <c r="BL150" i="1"/>
  <c r="BL2053" i="1"/>
  <c r="BL1695" i="1"/>
  <c r="BL2748" i="1"/>
  <c r="BL2747" i="1"/>
  <c r="BL1319" i="1"/>
  <c r="BL160" i="1"/>
  <c r="BL560" i="1"/>
  <c r="BL468" i="1"/>
  <c r="BL634" i="1"/>
  <c r="BL795" i="1"/>
  <c r="BL380" i="1"/>
  <c r="BL1037" i="1"/>
  <c r="BL2245" i="1"/>
  <c r="BL2280" i="1"/>
  <c r="BL1859" i="1"/>
  <c r="BL2356" i="1"/>
  <c r="BL2268" i="1"/>
  <c r="BL494" i="1"/>
  <c r="BL2148" i="1"/>
  <c r="BL2359" i="1"/>
  <c r="BL2337" i="1"/>
  <c r="BL1545" i="1"/>
  <c r="BL1368" i="1"/>
  <c r="BL802" i="1"/>
  <c r="BL2749" i="1"/>
  <c r="BL2312" i="1"/>
  <c r="BL618" i="1"/>
  <c r="BL1980" i="1"/>
  <c r="BL668" i="1"/>
  <c r="BL2750" i="1"/>
  <c r="BL2175" i="1"/>
  <c r="BL136" i="1"/>
  <c r="BL2751" i="1"/>
  <c r="BL1824" i="1"/>
  <c r="BL1942" i="1"/>
  <c r="BL2752" i="1"/>
  <c r="BL1279" i="1"/>
  <c r="BL2753" i="1"/>
  <c r="BL123" i="1"/>
  <c r="BL2754" i="1"/>
  <c r="BL2399" i="1"/>
  <c r="BL1153" i="1"/>
  <c r="BL1436" i="1"/>
  <c r="BL2755" i="1"/>
  <c r="BL1184" i="1"/>
  <c r="BL2756" i="1"/>
  <c r="BL2424" i="1"/>
  <c r="BL836" i="1"/>
  <c r="BL2153" i="1"/>
  <c r="BL460" i="1"/>
  <c r="BL1058" i="1"/>
  <c r="BL1255" i="1"/>
  <c r="BL757" i="1"/>
  <c r="BL2577" i="1"/>
  <c r="BL2761" i="1"/>
  <c r="BL716" i="1"/>
  <c r="BL1246" i="1"/>
  <c r="BL1074" i="1"/>
  <c r="BL1813" i="1"/>
  <c r="BL1348" i="1"/>
  <c r="BL1646" i="1"/>
  <c r="BL2813" i="1"/>
  <c r="BL922" i="1"/>
  <c r="BL2762" i="1"/>
  <c r="BL2763" i="1"/>
  <c r="BL2764" i="1"/>
  <c r="BL2765" i="1"/>
  <c r="BL1831" i="1"/>
  <c r="BL2766" i="1"/>
  <c r="BL752" i="1"/>
  <c r="BL2759" i="1"/>
  <c r="BL2767" i="1"/>
  <c r="BL646" i="1"/>
  <c r="BL2418" i="1"/>
  <c r="BL2066" i="1"/>
  <c r="BL301" i="1"/>
  <c r="BL1048" i="1"/>
  <c r="BL1149" i="1"/>
  <c r="BL965" i="1"/>
  <c r="BL2768" i="1"/>
  <c r="BL295" i="1"/>
  <c r="BL503" i="1"/>
  <c r="BL2769" i="1"/>
  <c r="BL172" i="1"/>
  <c r="BL2173" i="1"/>
  <c r="BL1916" i="1"/>
  <c r="BL201" i="1"/>
  <c r="BL2770" i="1"/>
  <c r="BL2771" i="1"/>
  <c r="BL1199" i="1"/>
  <c r="BL2772" i="1"/>
  <c r="BL670" i="1"/>
  <c r="BL1160" i="1"/>
  <c r="BL2773" i="1"/>
  <c r="BL2176" i="1"/>
  <c r="BL2149" i="1"/>
  <c r="BL431" i="1"/>
  <c r="BL342" i="1"/>
  <c r="BL1447" i="1"/>
  <c r="BL2544" i="1"/>
  <c r="BL2316" i="1"/>
  <c r="BL964" i="1"/>
  <c r="BL2441" i="1"/>
  <c r="BL2210" i="1"/>
  <c r="BL2774" i="1"/>
  <c r="BL727" i="1"/>
  <c r="BL1880" i="1"/>
  <c r="BL1414" i="1"/>
  <c r="BL2776" i="1"/>
  <c r="BL1302" i="1"/>
  <c r="BL2775" i="1"/>
  <c r="BL927" i="1"/>
  <c r="BL683" i="1"/>
  <c r="BL1084" i="1"/>
  <c r="BL2013" i="1"/>
  <c r="BL1019" i="1"/>
  <c r="BL1815" i="1"/>
  <c r="BL1484" i="1"/>
  <c r="BL1332" i="1"/>
  <c r="BL2777" i="1"/>
  <c r="BL1510" i="1"/>
  <c r="BL2778" i="1"/>
  <c r="BL1887" i="1"/>
  <c r="BL2303" i="1"/>
  <c r="BL2779" i="1"/>
  <c r="BL2422" i="1"/>
  <c r="BL2780" i="1"/>
  <c r="BL2781" i="1"/>
  <c r="BL687" i="1"/>
  <c r="BL1112" i="1"/>
  <c r="BL1483" i="1"/>
  <c r="BL961" i="1"/>
  <c r="BL945" i="1"/>
  <c r="BL183" i="1"/>
  <c r="BL2408" i="1"/>
  <c r="BL2507" i="1"/>
  <c r="BL523" i="1"/>
  <c r="BL1848" i="1"/>
  <c r="BL888" i="1"/>
  <c r="BL2411" i="1"/>
  <c r="BL326" i="1"/>
  <c r="BL2038" i="1"/>
  <c r="BL450" i="1"/>
  <c r="BL2784" i="1"/>
  <c r="BL2785" i="1"/>
  <c r="BL2783" i="1"/>
  <c r="BL364" i="1"/>
  <c r="BL410" i="1"/>
  <c r="BL2487" i="1"/>
  <c r="BL2786" i="1"/>
  <c r="BL2080" i="1"/>
  <c r="BL2787" i="1"/>
  <c r="BL2788" i="1"/>
  <c r="BL2789" i="1"/>
  <c r="BL2790" i="1"/>
  <c r="BL2791" i="1"/>
  <c r="BL1207" i="1"/>
  <c r="BL2365" i="1"/>
  <c r="BL2006" i="1"/>
  <c r="BL1529" i="1"/>
  <c r="BL1839" i="1"/>
  <c r="BL398" i="1"/>
  <c r="BL937" i="1"/>
  <c r="BL1222" i="1"/>
  <c r="BL1315" i="1"/>
  <c r="BL2792" i="1"/>
  <c r="BL1583" i="1"/>
  <c r="BL461" i="1"/>
  <c r="BL1784" i="1"/>
  <c r="BL568" i="1"/>
  <c r="BL546" i="1"/>
  <c r="BL2608" i="1"/>
  <c r="BL2238" i="1"/>
  <c r="BL2794" i="1"/>
  <c r="BL2795" i="1"/>
  <c r="BL2797" i="1"/>
  <c r="BL2534" i="1"/>
  <c r="BL2798" i="1"/>
  <c r="BL2490" i="1"/>
  <c r="BL2799" i="1"/>
  <c r="BL2796" i="1"/>
  <c r="BL2800" i="1"/>
  <c r="BL1982" i="1"/>
  <c r="BL784" i="1"/>
  <c r="BL2224" i="1"/>
  <c r="BL949" i="1"/>
  <c r="BL2132" i="1"/>
  <c r="BL2801" i="1"/>
  <c r="BL2002" i="1"/>
  <c r="BL2802" i="1"/>
  <c r="BL886" i="1"/>
  <c r="BL2569" i="1"/>
  <c r="BL1544" i="1"/>
  <c r="BL2434" i="1"/>
  <c r="BL1722" i="1"/>
  <c r="BL684" i="1"/>
  <c r="BL2172" i="1"/>
  <c r="BL2163" i="1"/>
  <c r="BL2803" i="1"/>
  <c r="BL2804" i="1"/>
  <c r="BL885" i="1"/>
  <c r="BL141" i="1"/>
  <c r="BL1314" i="1"/>
  <c r="BL2306" i="1"/>
  <c r="BL2805" i="1"/>
  <c r="BL2429" i="1"/>
  <c r="BL1209" i="1"/>
  <c r="BL2515" i="1"/>
  <c r="BL1698" i="1"/>
  <c r="BL1624" i="1"/>
  <c r="BL637" i="1"/>
  <c r="BL2806" i="1"/>
  <c r="BL848" i="1"/>
  <c r="BL1874" i="1"/>
  <c r="BL2091" i="1"/>
  <c r="BL2498" i="1"/>
  <c r="BL977" i="1"/>
  <c r="BL1964" i="1"/>
  <c r="BL587" i="1"/>
  <c r="BL748" i="1"/>
  <c r="BL659" i="1"/>
  <c r="BL15" i="1"/>
  <c r="BL2283" i="1"/>
  <c r="BL1922" i="1"/>
  <c r="BL1898" i="1"/>
  <c r="BL1353" i="1"/>
  <c r="BL1376" i="1"/>
  <c r="BL1008" i="1"/>
  <c r="BL725" i="1"/>
  <c r="BL2807" i="1"/>
  <c r="BL174" i="1"/>
  <c r="BL2243" i="1"/>
  <c r="BL1280" i="1"/>
  <c r="BL1840" i="1"/>
  <c r="BL2331" i="1"/>
  <c r="BL440" i="1"/>
  <c r="BL2808" i="1"/>
  <c r="BL2506" i="1"/>
  <c r="BL1619" i="1"/>
  <c r="BL2378" i="1"/>
  <c r="BL366" i="1"/>
  <c r="BL2809" i="1"/>
  <c r="BL882" i="1"/>
  <c r="BL619" i="1"/>
  <c r="BL2810" i="1"/>
  <c r="BL594" i="1"/>
  <c r="BL2151" i="1"/>
  <c r="BL1480" i="1"/>
  <c r="BL1002" i="1"/>
  <c r="BL434" i="1"/>
  <c r="BL1122" i="1"/>
  <c r="BL787" i="1"/>
  <c r="BL2811" i="1"/>
  <c r="BL443" i="1"/>
  <c r="BL118" i="1"/>
  <c r="BL2812" i="1"/>
  <c r="BL142" i="1"/>
  <c r="BL1427" i="1"/>
  <c r="BL390" i="1"/>
  <c r="BL782" i="1"/>
  <c r="BL653" i="1"/>
  <c r="BL2222" i="1"/>
  <c r="BL1967" i="1"/>
  <c r="BL457" i="1"/>
  <c r="BL2373" i="1"/>
  <c r="BL2235" i="1"/>
  <c r="BL717" i="1"/>
  <c r="BL1736" i="1"/>
  <c r="BL1476" i="1"/>
  <c r="BL1139" i="1"/>
  <c r="BL1846" i="1"/>
  <c r="BL488" i="1"/>
  <c r="BL2814" i="1"/>
  <c r="BL1920" i="1"/>
  <c r="BL2815" i="1"/>
  <c r="BL2079" i="1"/>
  <c r="BL913" i="1"/>
  <c r="BL849" i="1"/>
  <c r="BL413" i="1"/>
  <c r="BL11" i="1"/>
  <c r="BL2816" i="1"/>
  <c r="BL2817" i="1"/>
  <c r="BL1257" i="1"/>
  <c r="BL2181" i="1"/>
  <c r="BL2271" i="1"/>
  <c r="BL2051" i="1"/>
  <c r="BL2273" i="1"/>
  <c r="BL2818" i="1"/>
  <c r="BL2196" i="1"/>
  <c r="BL2532" i="1"/>
  <c r="BL1300" i="1"/>
  <c r="BL1334" i="1"/>
  <c r="BL1435" i="1"/>
  <c r="BL2819" i="1"/>
  <c r="BL2362" i="1"/>
  <c r="BL1789" i="1"/>
  <c r="BL1138" i="1"/>
  <c r="BL1572" i="1"/>
  <c r="BL1965" i="1"/>
  <c r="BL2820" i="1"/>
  <c r="BL1452" i="1"/>
  <c r="BL289" i="1"/>
  <c r="BL919" i="1"/>
  <c r="BL801" i="1"/>
  <c r="BL592" i="1"/>
  <c r="BL973" i="1"/>
  <c r="BL1603" i="1"/>
  <c r="BL1114" i="1"/>
  <c r="BL381" i="1"/>
  <c r="BL1818" i="1"/>
  <c r="BL1548" i="1"/>
  <c r="BL2821" i="1"/>
  <c r="BL743" i="1"/>
  <c r="BL703" i="1"/>
  <c r="BL963" i="1"/>
  <c r="BL2484" i="1"/>
  <c r="BL1031" i="1"/>
  <c r="BL2444" i="1"/>
  <c r="BL1117" i="1"/>
  <c r="BL377" i="1"/>
  <c r="BL2170" i="1"/>
  <c r="BL821" i="1"/>
  <c r="BL1881" i="1"/>
  <c r="BL1006" i="1"/>
  <c r="BL1873" i="1"/>
  <c r="BL580" i="1"/>
  <c r="BL759" i="1"/>
  <c r="BL1877" i="1"/>
  <c r="BL1731" i="1"/>
  <c r="BL851" i="1"/>
  <c r="BL1242" i="1"/>
  <c r="BL1379" i="1"/>
  <c r="BL2330" i="1"/>
  <c r="BL1858" i="1"/>
  <c r="BL1171" i="1"/>
  <c r="BL2824" i="1"/>
  <c r="BL178" i="1"/>
  <c r="BL2542" i="1"/>
  <c r="BL1543" i="1"/>
  <c r="BL2825" i="1"/>
  <c r="BL447" i="1"/>
  <c r="BL1215" i="1"/>
  <c r="BL2826" i="1"/>
  <c r="BL661" i="1"/>
  <c r="BL751" i="1"/>
  <c r="BL545" i="1"/>
  <c r="BL125" i="1"/>
  <c r="BL2828" i="1"/>
  <c r="BL1934" i="1"/>
  <c r="BL2829" i="1"/>
  <c r="BL1143" i="1"/>
  <c r="BL1167" i="1"/>
  <c r="BL2508" i="1"/>
  <c r="BL127" i="1"/>
  <c r="BL1110" i="1"/>
  <c r="BL2830" i="1"/>
  <c r="BL2482" i="1"/>
  <c r="BL1377" i="1"/>
  <c r="BL1706" i="1"/>
  <c r="BL1512" i="1"/>
  <c r="BL2831" i="1"/>
  <c r="BL1801" i="1"/>
  <c r="BL2827" i="1"/>
  <c r="BL2832" i="1"/>
  <c r="BL1570" i="1"/>
  <c r="BL2318" i="1"/>
  <c r="BL439" i="1"/>
  <c r="BL2833" i="1"/>
  <c r="BL2834" i="1"/>
  <c r="BL2835" i="1"/>
  <c r="BL933" i="1"/>
  <c r="BL1056" i="1"/>
  <c r="BL544" i="1"/>
  <c r="BL1213" i="1"/>
  <c r="BL2550" i="1"/>
  <c r="BL2430" i="1"/>
  <c r="BL2474" i="1"/>
  <c r="BL2836" i="1"/>
  <c r="BL1832" i="1"/>
  <c r="BL1023" i="1"/>
  <c r="BL1272" i="1"/>
  <c r="BL2837" i="1"/>
  <c r="BL593" i="1"/>
  <c r="BL2" i="1"/>
  <c r="BL2260" i="1"/>
  <c r="BL153" i="1"/>
  <c r="BL2838" i="1"/>
  <c r="BL359" i="1"/>
  <c r="BL112" i="1"/>
  <c r="BL2298" i="1"/>
  <c r="BL1850" i="1"/>
  <c r="BL1042" i="1"/>
  <c r="BL2839" i="1"/>
  <c r="BL2183" i="1"/>
  <c r="BL515" i="1"/>
  <c r="BL2840" i="1"/>
  <c r="BL1283" i="1"/>
  <c r="BL181" i="1"/>
  <c r="BL772" i="1"/>
  <c r="BL2841" i="1"/>
  <c r="BL577" i="1"/>
  <c r="BL1243" i="1"/>
  <c r="BL117" i="1"/>
  <c r="BL2842" i="1"/>
  <c r="BL2186" i="1"/>
  <c r="BL1293" i="1"/>
  <c r="BL1374" i="1"/>
  <c r="BL1371" i="1"/>
  <c r="BL2843" i="1"/>
  <c r="BL1296" i="1"/>
  <c r="BL2844" i="1"/>
  <c r="BL2284" i="1"/>
  <c r="BL1176" i="1"/>
  <c r="BL1007" i="1"/>
  <c r="BL184" i="1"/>
  <c r="BL952" i="1"/>
  <c r="BL2845" i="1"/>
  <c r="BL1691" i="1"/>
  <c r="BL121" i="1"/>
  <c r="BL710" i="1"/>
  <c r="BL204" i="1"/>
  <c r="BL2846" i="1"/>
  <c r="BL1988" i="1"/>
  <c r="BL833" i="1"/>
  <c r="BL1893" i="1"/>
  <c r="BL700" i="1"/>
  <c r="BL1131" i="1"/>
  <c r="BL1800" i="1"/>
  <c r="BL2221" i="1"/>
  <c r="BL406" i="1"/>
  <c r="BL1962" i="1"/>
  <c r="BL1432" i="1"/>
  <c r="BL1747" i="1"/>
  <c r="BL386" i="1"/>
  <c r="BL1421" i="1"/>
  <c r="BL2094" i="1"/>
  <c r="BL1111" i="1"/>
  <c r="BL652" i="1"/>
  <c r="BL1882" i="1"/>
  <c r="BL705" i="1"/>
  <c r="BL1119" i="1"/>
  <c r="BL2078" i="1"/>
  <c r="BL578" i="1"/>
  <c r="BL2847" i="1"/>
  <c r="BL2519" i="1"/>
  <c r="BL1910" i="1"/>
  <c r="BL1216" i="1"/>
  <c r="BL2849" i="1"/>
  <c r="BL589" i="1"/>
  <c r="BL521" i="1"/>
  <c r="BL2070" i="1"/>
  <c r="BL914" i="1"/>
  <c r="BL2850" i="1"/>
  <c r="BL2851" i="1"/>
  <c r="BL1095" i="1"/>
  <c r="BL1537" i="1"/>
  <c r="BL2265" i="1"/>
  <c r="BL1751" i="1"/>
  <c r="BL2161" i="1"/>
  <c r="BL2853" i="1"/>
  <c r="BL1035" i="1"/>
  <c r="BL321" i="1"/>
  <c r="BL2854" i="1"/>
  <c r="BL1010" i="1"/>
  <c r="BL189" i="1"/>
  <c r="BL2855" i="1"/>
  <c r="BL437" i="1"/>
  <c r="BL1411" i="1"/>
  <c r="BL1047" i="1"/>
  <c r="BL119" i="1"/>
  <c r="BL2076" i="1"/>
  <c r="BL1999" i="1"/>
  <c r="BL572" i="1"/>
  <c r="BL985" i="1"/>
  <c r="BL2228" i="1"/>
  <c r="BL591" i="1"/>
  <c r="BL2856" i="1"/>
  <c r="BL1710" i="1"/>
  <c r="BL2852" i="1"/>
  <c r="BL981" i="1"/>
  <c r="BL355" i="1"/>
  <c r="BL448" i="1"/>
  <c r="BL2857" i="1"/>
  <c r="BL867" i="1"/>
  <c r="BL624" i="1"/>
  <c r="BL1384" i="1"/>
  <c r="BL351" i="1"/>
  <c r="BL2858" i="1"/>
  <c r="BL1976" i="1"/>
  <c r="BL362" i="1"/>
  <c r="BL416" i="1"/>
  <c r="BL1994" i="1"/>
  <c r="BL1121" i="1"/>
  <c r="BL203" i="1"/>
  <c r="BL2859" i="1"/>
  <c r="BL1721" i="1"/>
  <c r="BL519" i="1"/>
  <c r="BL2860" i="1"/>
  <c r="BL2044" i="1"/>
  <c r="BL2861" i="1"/>
  <c r="BL1913" i="1"/>
  <c r="BL2192" i="1"/>
  <c r="BL2375" i="1"/>
  <c r="BL1245" i="1"/>
  <c r="BL1343" i="1"/>
  <c r="BL2862" i="1"/>
  <c r="BL1897" i="1"/>
  <c r="BL1782" i="1"/>
  <c r="BL1581" i="1"/>
  <c r="BL1388" i="1"/>
  <c r="BL1479" i="1"/>
  <c r="BL2277" i="1"/>
  <c r="BL2863" i="1"/>
  <c r="BL2291" i="1"/>
  <c r="BL2864" i="1"/>
  <c r="BL2866" i="1"/>
  <c r="BL2479" i="1"/>
  <c r="BL1113" i="1"/>
  <c r="BL1853" i="1"/>
  <c r="BL1697" i="1"/>
  <c r="BL1711" i="1"/>
  <c r="BL2475" i="1"/>
  <c r="BL542" i="1"/>
  <c r="BL2867" i="1"/>
  <c r="BL371" i="1"/>
  <c r="BL2868" i="1"/>
  <c r="BL1620" i="1"/>
  <c r="BL1429" i="1"/>
  <c r="BL2869" i="1"/>
  <c r="BL534" i="1"/>
  <c r="BL644" i="1"/>
  <c r="BL1217" i="1"/>
  <c r="BL1417" i="1"/>
  <c r="BL433" i="1"/>
  <c r="BL2307" i="1"/>
  <c r="BL175" i="1"/>
  <c r="BL1687" i="1"/>
  <c r="BL2870" i="1"/>
  <c r="BL997" i="1"/>
  <c r="BL2871" i="1"/>
  <c r="BL2872" i="1"/>
  <c r="BL2377" i="1"/>
  <c r="BL1869" i="1"/>
  <c r="BL2873" i="1"/>
  <c r="BL2874" i="1"/>
  <c r="BL2374" i="1"/>
  <c r="BL2875" i="1"/>
  <c r="BL2108" i="1"/>
  <c r="BL1454" i="1"/>
  <c r="BL2285" i="1"/>
  <c r="BL367" i="1"/>
  <c r="BL735" i="1"/>
  <c r="BL348" i="1"/>
  <c r="BL106" i="1"/>
  <c r="BL10" i="1"/>
  <c r="BL1642" i="1"/>
  <c r="BL1494" i="1"/>
  <c r="BL599" i="1"/>
  <c r="BL853" i="1"/>
  <c r="BL2232" i="1"/>
  <c r="BL2068" i="1"/>
  <c r="BL1541" i="1"/>
  <c r="BL1081" i="1"/>
  <c r="BL1021" i="1"/>
  <c r="BL2668" i="1"/>
  <c r="BL180" i="1"/>
  <c r="BL988" i="1"/>
  <c r="BL2876" i="1"/>
  <c r="BL845" i="1"/>
  <c r="BL711" i="1"/>
  <c r="BL905" i="1"/>
  <c r="BL1807" i="1"/>
  <c r="BL979" i="1"/>
  <c r="BL2702" i="1"/>
  <c r="BL2443" i="1"/>
  <c r="BL2877" i="1"/>
  <c r="BL1016" i="1"/>
  <c r="BL2878" i="1"/>
  <c r="BL2602" i="1"/>
  <c r="BL2879" i="1"/>
  <c r="BL2880" i="1"/>
  <c r="BL18" i="1"/>
  <c r="BL1321" i="1"/>
  <c r="BL2350" i="1"/>
  <c r="BL2881" i="1"/>
  <c r="BL2488" i="1"/>
  <c r="BL2882" i="1"/>
  <c r="BL1508" i="1"/>
  <c r="BL2405" i="1"/>
  <c r="BL2503" i="1"/>
  <c r="BL1224" i="1"/>
  <c r="BL372" i="1"/>
  <c r="BL2883" i="1"/>
  <c r="BL1950" i="1"/>
  <c r="BL2214" i="1"/>
  <c r="BL2884" i="1"/>
  <c r="BL2251" i="1"/>
  <c r="BL1700" i="1"/>
  <c r="BL1123" i="1"/>
  <c r="BL155" i="1"/>
  <c r="BL1163" i="1"/>
  <c r="BL633" i="1"/>
  <c r="BL455" i="1"/>
  <c r="BL630" i="1"/>
  <c r="BL2886" i="1"/>
  <c r="BL2885" i="1"/>
  <c r="BL2115" i="1"/>
  <c r="BL2110" i="1"/>
  <c r="BL2233" i="1"/>
  <c r="BL1564" i="1"/>
  <c r="BL2036" i="1"/>
  <c r="BL1394" i="1"/>
  <c r="BL1086" i="1"/>
  <c r="BL709" i="1"/>
  <c r="BL2887" i="1"/>
  <c r="BL1811" i="1"/>
  <c r="BL1705" i="1"/>
  <c r="BL2888" i="1"/>
  <c r="BL910" i="1"/>
  <c r="BL384" i="1"/>
  <c r="BL1542" i="1"/>
  <c r="BL631" i="1"/>
  <c r="BL1032" i="1"/>
  <c r="BL196" i="1"/>
  <c r="BL1443" i="1"/>
  <c r="BL467" i="1"/>
  <c r="BL2889" i="1"/>
  <c r="BL2890" i="1"/>
  <c r="BL2891" i="1"/>
  <c r="BL2358" i="1"/>
  <c r="BL1678" i="1"/>
  <c r="BL2893" i="1"/>
  <c r="BL1340" i="1"/>
  <c r="BL202" i="1"/>
  <c r="BL1175" i="1"/>
  <c r="BL557" i="1"/>
  <c r="BL756" i="1"/>
  <c r="BL2894" i="1"/>
  <c r="BL358" i="1"/>
  <c r="BL469" i="1"/>
  <c r="BL7" i="1"/>
  <c r="BL1135" i="1"/>
  <c r="BL2293" i="1"/>
  <c r="BL1901" i="1"/>
  <c r="BL352" i="1"/>
  <c r="BL294" i="1"/>
  <c r="BL2189" i="1"/>
  <c r="BL1682" i="1"/>
  <c r="BL1118" i="1"/>
  <c r="BL2081" i="1"/>
  <c r="BL1422" i="1"/>
  <c r="BL1726" i="1"/>
  <c r="BL1317" i="1"/>
  <c r="BL2895" i="1"/>
  <c r="BL1984" i="1"/>
  <c r="BL1992" i="1"/>
  <c r="BL2896" i="1"/>
  <c r="BL2897" i="1"/>
  <c r="BL1248" i="1"/>
  <c r="BL2084" i="1"/>
  <c r="BL1577" i="1"/>
  <c r="BL696" i="1"/>
  <c r="BL307" i="1"/>
  <c r="BL2272" i="1"/>
  <c r="BL1511" i="1"/>
  <c r="BL1755" i="1"/>
  <c r="BL1621" i="1"/>
  <c r="BL535" i="1"/>
  <c r="BL1959" i="1"/>
  <c r="BL2898" i="1"/>
  <c r="BL980" i="1"/>
  <c r="BL1791" i="1"/>
  <c r="BL1308" i="1"/>
  <c r="BL1005" i="1"/>
  <c r="BL1399" i="1"/>
  <c r="BL694" i="1"/>
  <c r="BL287" i="1"/>
  <c r="BL188" i="1"/>
  <c r="BL2899" i="1"/>
  <c r="BL1011" i="1"/>
  <c r="BL1140" i="1"/>
  <c r="BL476" i="1"/>
  <c r="BL144" i="1"/>
  <c r="BL1759" i="1"/>
  <c r="BL2540" i="1"/>
  <c r="BL105" i="1"/>
  <c r="BL2900" i="1"/>
  <c r="BL1551" i="1"/>
  <c r="BL1908" i="1"/>
  <c r="BL736" i="1"/>
  <c r="BL1636" i="1"/>
  <c r="BL2190" i="1"/>
  <c r="BL2386" i="1"/>
  <c r="BL767" i="1"/>
  <c r="BL1367" i="1"/>
  <c r="BL1083" i="1"/>
  <c r="BL2902" i="1"/>
  <c r="BL2901" i="1"/>
  <c r="BL1699" i="1"/>
  <c r="BL1744" i="1"/>
  <c r="BL2903" i="1"/>
  <c r="BL2904" i="1"/>
  <c r="BL2598" i="1"/>
  <c r="BL901" i="1"/>
  <c r="BL24" i="1"/>
  <c r="BL2905" i="1"/>
  <c r="BL2906" i="1"/>
  <c r="BL779" i="1"/>
  <c r="BL1357" i="1"/>
  <c r="BL1597" i="1"/>
  <c r="BL1872" i="1"/>
  <c r="BL1834" i="1"/>
  <c r="BL1380" i="1"/>
  <c r="BL1609" i="1"/>
  <c r="BL655" i="1"/>
  <c r="BL2907" i="1"/>
  <c r="BL1009" i="1"/>
  <c r="BL2454" i="1"/>
  <c r="BL603" i="1"/>
  <c r="BL734" i="1"/>
  <c r="BL1372" i="1"/>
  <c r="BL2909" i="1"/>
  <c r="BL495" i="1"/>
  <c r="BL477" i="1"/>
  <c r="BL776" i="1"/>
  <c r="BL2910" i="1"/>
  <c r="BL2908" i="1"/>
  <c r="BL2121" i="1"/>
  <c r="BL2096" i="1"/>
  <c r="BL1306" i="1"/>
  <c r="BL626" i="1"/>
  <c r="BL2194" i="1"/>
  <c r="BL2199" i="1"/>
  <c r="BL1346" i="1"/>
  <c r="BL1413" i="1"/>
  <c r="BL2911" i="1"/>
  <c r="BL1277" i="1"/>
  <c r="BL1424" i="1"/>
  <c r="BL1519" i="1"/>
  <c r="BL1816" i="1"/>
  <c r="BL763" i="1"/>
  <c r="BL2127" i="1"/>
  <c r="BL2912" i="1"/>
  <c r="BL2913" i="1"/>
  <c r="BL1162" i="1"/>
  <c r="BL1055" i="1"/>
  <c r="BL16" i="1"/>
  <c r="BL472" i="1"/>
  <c r="BL874" i="1"/>
  <c r="BL675" i="1"/>
  <c r="BL1615" i="1"/>
  <c r="BL484" i="1"/>
  <c r="BL2914" i="1"/>
  <c r="BL648" i="1"/>
  <c r="BL526" i="1"/>
  <c r="BL749" i="1"/>
  <c r="BL368" i="1"/>
  <c r="BL1481" i="1"/>
  <c r="BL2915" i="1"/>
  <c r="BL1186" i="1"/>
  <c r="BL336" i="1"/>
  <c r="BL2406" i="1"/>
  <c r="BL309" i="1"/>
  <c r="BL405" i="1"/>
  <c r="BL2916" i="1"/>
  <c r="BL1350" i="1"/>
  <c r="BL2502" i="1"/>
  <c r="BL2010" i="1"/>
  <c r="BL1059" i="1"/>
  <c r="BL1472" i="1"/>
  <c r="BL171" i="1"/>
  <c r="BL737" i="1"/>
  <c r="BL1336" i="1"/>
  <c r="BL2918" i="1"/>
  <c r="BL2145" i="1"/>
  <c r="BL449" i="1"/>
  <c r="BL182" i="1"/>
  <c r="BL200" i="1"/>
  <c r="BL2920" i="1"/>
  <c r="BL2919" i="1"/>
  <c r="BL1036" i="1"/>
  <c r="BL1347" i="1"/>
  <c r="BL1325" i="1"/>
  <c r="BL732" i="1"/>
  <c r="BL2150" i="1"/>
  <c r="BL1352" i="1"/>
  <c r="BL2921" i="1"/>
  <c r="BL373" i="1"/>
  <c r="BL2922" i="1"/>
  <c r="BL912" i="1"/>
  <c r="BL17" i="1"/>
  <c r="BL2392" i="1"/>
  <c r="BL596" i="1"/>
  <c r="BL812" i="1"/>
  <c r="BL2393" i="1"/>
  <c r="BL956" i="1"/>
  <c r="BL2923" i="1"/>
  <c r="BL353" i="1"/>
  <c r="BL948" i="1"/>
  <c r="BL2497" i="1"/>
  <c r="BL2345" i="1"/>
  <c r="BL2470" i="1"/>
  <c r="BL2917" i="1"/>
  <c r="BL1558" i="1"/>
  <c r="BL2924" i="1"/>
  <c r="BL194" i="1"/>
  <c r="BL167" i="1"/>
  <c r="BL1195" i="1"/>
  <c r="BL1662" i="1"/>
  <c r="BL750" i="1"/>
  <c r="BL1344" i="1"/>
  <c r="BL432" i="1"/>
  <c r="BL2387" i="1"/>
  <c r="BL1796" i="1"/>
  <c r="BL984" i="1"/>
  <c r="BL2147" i="1"/>
  <c r="BL835" i="1"/>
  <c r="BL1490" i="1"/>
  <c r="BL2925" i="1"/>
  <c r="BL2237" i="1"/>
  <c r="BL2926" i="1"/>
  <c r="BL1631" i="1"/>
  <c r="BL723" i="1"/>
  <c r="BL2208" i="1"/>
  <c r="BL2119" i="1"/>
  <c r="BL2178" i="1"/>
  <c r="BL2927" i="1"/>
  <c r="BL1530" i="1"/>
  <c r="BL745" i="1"/>
  <c r="BL2538" i="1"/>
  <c r="BL1685" i="1"/>
  <c r="BL2928" i="1"/>
  <c r="BL2929" i="1"/>
  <c r="BL1561" i="1"/>
  <c r="BL2930" i="1"/>
  <c r="BL2023" i="1"/>
  <c r="BL1030" i="1"/>
  <c r="BL2931" i="1"/>
  <c r="BL2239" i="1"/>
  <c r="BL2536" i="1"/>
  <c r="BL2933" i="1"/>
  <c r="BL2935" i="1"/>
  <c r="BL2934" i="1"/>
  <c r="BL991" i="1"/>
  <c r="BL408" i="1"/>
  <c r="BL724" i="1"/>
  <c r="BL868" i="1"/>
  <c r="BL292" i="1"/>
  <c r="BL660" i="1"/>
  <c r="BL584" i="1"/>
  <c r="BL1313" i="1"/>
  <c r="BL2553" i="1"/>
  <c r="BL2937" i="1"/>
  <c r="BL2938" i="1"/>
  <c r="BL1623" i="1"/>
  <c r="BL482" i="1"/>
  <c r="BL1079" i="1"/>
  <c r="BL2547" i="1"/>
  <c r="BL1264" i="1"/>
  <c r="BL2468" i="1"/>
  <c r="BL925" i="1"/>
  <c r="BL2939" i="1"/>
  <c r="BL1969" i="1"/>
  <c r="BL1400" i="1"/>
  <c r="BL617" i="1"/>
  <c r="BL344" i="1"/>
  <c r="BL1838" i="1"/>
  <c r="BL2940" i="1"/>
  <c r="BL1827" i="1"/>
  <c r="BL1183" i="1"/>
  <c r="BL511" i="1"/>
  <c r="BL1628" i="1"/>
  <c r="BL999" i="1"/>
  <c r="BL858" i="1"/>
  <c r="BL1679" i="1"/>
  <c r="BL2428" i="1"/>
  <c r="BL2269" i="1"/>
  <c r="BL162" i="1"/>
  <c r="BL1917" i="1"/>
  <c r="BL2001" i="1"/>
  <c r="BL811" i="1"/>
  <c r="BL586" i="1"/>
  <c r="BL1582" i="1"/>
  <c r="BL2212" i="1"/>
  <c r="BL806" i="1"/>
  <c r="BL2270" i="1"/>
  <c r="BL2941" i="1"/>
  <c r="BL2516" i="1"/>
  <c r="BL2943" i="1"/>
  <c r="BL1787" i="1"/>
  <c r="BL692" i="1"/>
  <c r="BL1945" i="1"/>
  <c r="BL823" i="1"/>
  <c r="BL2462" i="1"/>
  <c r="BL414" i="1"/>
  <c r="BL957" i="1"/>
  <c r="BL2184" i="1"/>
  <c r="BL2942" i="1"/>
  <c r="BL25" i="1"/>
  <c r="BL444" i="1"/>
  <c r="BL664" i="1"/>
  <c r="BL1626" i="1"/>
  <c r="BL2412" i="1"/>
  <c r="BL1205" i="1"/>
  <c r="BL2529" i="1"/>
  <c r="BL1804" i="1"/>
  <c r="BL1458" i="1"/>
  <c r="BL1251" i="1"/>
  <c r="BL304" i="1"/>
  <c r="BL2505" i="1"/>
  <c r="BL1493" i="1"/>
  <c r="BL820" i="1"/>
  <c r="BL571" i="1"/>
  <c r="BL2944" i="1"/>
  <c r="BL1592" i="1"/>
  <c r="BL2064" i="1"/>
  <c r="BL754" i="1"/>
  <c r="BL480" i="1"/>
  <c r="BL2416" i="1"/>
  <c r="BL1847" i="1"/>
  <c r="BL786" i="1"/>
  <c r="BL2410" i="1"/>
  <c r="BL145" i="1"/>
  <c r="BL1029" i="1"/>
  <c r="BL2945" i="1"/>
  <c r="BL673" i="1"/>
  <c r="BL2209" i="1"/>
  <c r="BL1179" i="1"/>
  <c r="BL896" i="1"/>
  <c r="BL2340" i="1"/>
  <c r="BL669" i="1"/>
  <c r="BL1756" i="1"/>
  <c r="BL2325" i="1"/>
  <c r="BL2760" i="1"/>
  <c r="BL2948" i="1"/>
  <c r="BL2950" i="1"/>
  <c r="BL395" i="1"/>
  <c r="BL2949" i="1"/>
  <c r="BL2793" i="1"/>
  <c r="BL2329" i="1"/>
  <c r="BL962" i="1"/>
  <c r="BL2197" i="1"/>
  <c r="BL2102" i="1"/>
  <c r="BL1659" i="1"/>
  <c r="BL792" i="1"/>
  <c r="BL583" i="1"/>
  <c r="BL1189" i="1"/>
  <c r="BL1977" i="1"/>
  <c r="BL628" i="1"/>
  <c r="BL2952" i="1"/>
  <c r="BL930" i="1"/>
  <c r="BL2311" i="1"/>
  <c r="BL2953" i="1"/>
  <c r="BL2012" i="1"/>
  <c r="BL1533" i="1"/>
  <c r="BL2954" i="1"/>
  <c r="BL2955" i="1"/>
  <c r="BL1836" i="1"/>
  <c r="BL2956" i="1"/>
  <c r="BL2125" i="1"/>
  <c r="BL647" i="1"/>
  <c r="BL323" i="1"/>
  <c r="BL832" i="1"/>
  <c r="BL856" i="1"/>
  <c r="BL1290" i="1"/>
  <c r="BL1337" i="1"/>
  <c r="BL2039" i="1"/>
  <c r="BL1947" i="1"/>
  <c r="BL2957" i="1"/>
  <c r="BL2533" i="1"/>
  <c r="BL667" i="1"/>
  <c r="BL1709" i="1"/>
  <c r="BL2220" i="1"/>
  <c r="BL1568" i="1"/>
  <c r="BL2958" i="1"/>
  <c r="BL401" i="1"/>
  <c r="BL2959" i="1"/>
  <c r="BL2520" i="1"/>
  <c r="BL1043" i="1"/>
  <c r="BL1868" i="1"/>
  <c r="BL1613" i="1"/>
  <c r="BL2960" i="1"/>
  <c r="BL986" i="1"/>
  <c r="BL2141" i="1"/>
  <c r="BL522" i="1"/>
  <c r="BL2961" i="1"/>
  <c r="BL152" i="1"/>
  <c r="BL1178" i="1"/>
  <c r="BL2481" i="1"/>
  <c r="BL1259" i="1"/>
  <c r="BL556" i="1"/>
  <c r="BL2962" i="1"/>
  <c r="BL1358" i="1"/>
  <c r="BL1640" i="1"/>
  <c r="BL192" i="1"/>
  <c r="BL1921" i="1"/>
  <c r="BL2963" i="1"/>
  <c r="BL2185" i="1"/>
  <c r="BL2964" i="1"/>
  <c r="BL1902" i="1"/>
  <c r="BL299" i="1"/>
  <c r="BL950" i="1"/>
  <c r="BL2965" i="1"/>
  <c r="BL1040" i="1"/>
  <c r="BL598" i="1"/>
  <c r="BL2117" i="1"/>
  <c r="BL2966" i="1"/>
  <c r="BL2967" i="1"/>
  <c r="BL2968" i="1"/>
  <c r="BL345" i="1"/>
  <c r="BL2701" i="1"/>
  <c r="BL1406" i="1"/>
  <c r="BL2203" i="1"/>
  <c r="BL2054" i="1"/>
  <c r="BL860" i="1"/>
  <c r="BL2969" i="1"/>
  <c r="BL1188" i="1"/>
  <c r="BL916" i="1"/>
  <c r="BL609" i="1"/>
  <c r="BL1477" i="1"/>
  <c r="BL2970" i="1"/>
  <c r="BL2971" i="1"/>
  <c r="BL1299" i="1"/>
  <c r="BL1441" i="1"/>
  <c r="BL1904" i="1"/>
  <c r="BL1612" i="1"/>
  <c r="BL1817" i="1"/>
  <c r="BL479" i="1"/>
  <c r="BL2527" i="1"/>
  <c r="BL1513" i="1"/>
  <c r="BL2972" i="1"/>
  <c r="BL889" i="1"/>
  <c r="BL1360" i="1"/>
  <c r="BL1867" i="1"/>
  <c r="BL1437" i="1"/>
  <c r="BL1915" i="1"/>
  <c r="BL2089" i="1"/>
  <c r="BL809" i="1"/>
  <c r="BL1099" i="1"/>
  <c r="BL1715" i="1"/>
  <c r="BL2973" i="1"/>
  <c r="BL2694" i="1"/>
  <c r="BL2335" i="1"/>
  <c r="BL2974" i="1"/>
  <c r="BL739" i="1"/>
  <c r="BL1948" i="1"/>
  <c r="BL753" i="1"/>
  <c r="BL2040" i="1"/>
  <c r="BL2426" i="1"/>
  <c r="BL2976" i="1"/>
  <c r="BL2302" i="1"/>
  <c r="BL1082" i="1"/>
  <c r="BL1765" i="1"/>
  <c r="BL1956" i="1"/>
  <c r="BL640" i="1"/>
  <c r="BL2020" i="1"/>
  <c r="BL1786" i="1"/>
  <c r="BL2977" i="1"/>
  <c r="BL2166" i="1"/>
  <c r="BL1165" i="1"/>
  <c r="BL2978" i="1"/>
  <c r="BL1833" i="1"/>
  <c r="BL2523" i="1"/>
  <c r="BL2289" i="1"/>
  <c r="BL1587" i="1"/>
  <c r="BL940" i="1"/>
  <c r="BL490" i="1"/>
  <c r="BL2979" i="1"/>
  <c r="BL1088" i="1"/>
  <c r="BL2980" i="1"/>
  <c r="BL2981" i="1"/>
  <c r="BL1063" i="1"/>
  <c r="BL623" i="1"/>
  <c r="BL794" i="1"/>
  <c r="BL2360" i="1"/>
  <c r="BL138" i="1"/>
  <c r="BL1975" i="1"/>
  <c r="BL2122" i="1"/>
  <c r="BL2478" i="1"/>
  <c r="BL499" i="1"/>
  <c r="BL2946" i="1"/>
  <c r="BL2282" i="1"/>
  <c r="BL525" i="1"/>
  <c r="BL2982" i="1"/>
  <c r="BL485" i="1"/>
  <c r="BL1573" i="1"/>
  <c r="BL2294" i="1"/>
  <c r="BL2347" i="1"/>
  <c r="BL789" i="1"/>
  <c r="BL2455" i="1"/>
  <c r="BL2338" i="1"/>
  <c r="BL1450" i="1"/>
  <c r="BL804" i="1"/>
  <c r="BL1931" i="1"/>
  <c r="BL441" i="1"/>
  <c r="BL2983" i="1"/>
  <c r="BL627" i="1"/>
  <c r="BL1423" i="1"/>
  <c r="BL1412" i="1"/>
  <c r="BL553" i="1"/>
  <c r="BL2057" i="1"/>
  <c r="BL2357" i="1"/>
  <c r="BL2421" i="1"/>
  <c r="BL674" i="1"/>
  <c r="BL1498" i="1"/>
  <c r="BL1070" i="1"/>
  <c r="BL2549" i="1"/>
  <c r="BL976" i="1"/>
  <c r="BL2985" i="1"/>
  <c r="BL2446" i="1"/>
  <c r="BL2986" i="1"/>
  <c r="BL2449" i="1"/>
  <c r="BL2321" i="1"/>
  <c r="BL1527" i="1"/>
  <c r="BL1351" i="1"/>
  <c r="BL699" i="1"/>
  <c r="BL2987" i="1"/>
  <c r="BL1863" i="1"/>
  <c r="BL2988" i="1"/>
  <c r="BL585" i="1"/>
  <c r="BL1556" i="1"/>
  <c r="BL788" i="1"/>
  <c r="BL2951" i="1"/>
  <c r="BL2989" i="1"/>
  <c r="BL2453" i="1"/>
  <c r="BL12" i="1"/>
  <c r="BL1906" i="1"/>
  <c r="BL2193" i="1"/>
  <c r="BL2990" i="1"/>
  <c r="BL2050" i="1"/>
  <c r="BL297" i="1"/>
  <c r="BL1737" i="1"/>
  <c r="BL2991" i="1"/>
  <c r="BL1797" i="1"/>
  <c r="BL2460" i="1"/>
  <c r="BL2992" i="1"/>
  <c r="BL1774" i="1"/>
  <c r="BL1378" i="1"/>
  <c r="BL2100" i="1"/>
  <c r="BL2708" i="1"/>
  <c r="BL872" i="1"/>
  <c r="BL708" i="1"/>
  <c r="BL1044" i="1"/>
  <c r="BL305" i="1"/>
  <c r="BL402" i="1"/>
  <c r="BL765" i="1"/>
  <c r="BL813" i="1"/>
  <c r="BL2247" i="1"/>
  <c r="BL2133" i="1"/>
  <c r="BL1708" i="1"/>
  <c r="BL425" i="1"/>
  <c r="BL1465" i="1"/>
  <c r="BL1312" i="1"/>
  <c r="BL1625" i="1"/>
  <c r="BL332" i="1"/>
  <c r="BL2323" i="1"/>
  <c r="BL2994" i="1"/>
  <c r="BL838" i="1"/>
  <c r="BL170" i="1"/>
  <c r="BL1586" i="1"/>
  <c r="BL1966" i="1"/>
  <c r="BL1237" i="1"/>
  <c r="BL2995" i="1"/>
  <c r="BL1261" i="1"/>
  <c r="BL2034" i="1"/>
  <c r="BL2486" i="1"/>
  <c r="BL1664" i="1"/>
  <c r="BL1883" i="1"/>
  <c r="BL2996" i="1"/>
  <c r="BL1187" i="1"/>
  <c r="BL951" i="1"/>
  <c r="BL2997" i="1"/>
  <c r="BL2207" i="1"/>
  <c r="BL2998" i="1"/>
  <c r="BL2999" i="1"/>
  <c r="BL1250" i="1"/>
  <c r="BL2334" i="1"/>
  <c r="BL878" i="1"/>
  <c r="BL3000" i="1"/>
  <c r="BL1089" i="1"/>
  <c r="BL2004" i="1"/>
  <c r="BL747" i="1"/>
  <c r="BL1420" i="1"/>
  <c r="BL1669" i="1"/>
  <c r="BL2517" i="1"/>
  <c r="BL2229" i="1"/>
  <c r="BL1653" i="1"/>
  <c r="BL622" i="1"/>
  <c r="BL3001" i="1"/>
  <c r="BL2492" i="1"/>
  <c r="BL1225" i="1"/>
  <c r="BL1536" i="1"/>
  <c r="BL3002" i="1"/>
  <c r="BL785" i="1"/>
  <c r="BL3003" i="1"/>
  <c r="BL293" i="1"/>
  <c r="BL2633" i="1"/>
  <c r="BL2310" i="1"/>
  <c r="BL946" i="1"/>
  <c r="BL1550" i="1"/>
  <c r="BL2219" i="1"/>
  <c r="BL645" i="1"/>
  <c r="BL2483" i="1"/>
  <c r="BL3004" i="1"/>
  <c r="BL2511" i="1"/>
  <c r="BL2143" i="1"/>
  <c r="BL3005" i="1"/>
  <c r="BL642" i="1"/>
  <c r="BL2032" i="1"/>
  <c r="BL798" i="1"/>
  <c r="BL2025" i="1"/>
  <c r="BL995" i="1"/>
  <c r="BL3006" i="1"/>
  <c r="BL3007" i="1"/>
  <c r="BL3008" i="1"/>
  <c r="BL555" i="1"/>
  <c r="BL1690" i="1"/>
  <c r="BL1890" i="1"/>
  <c r="BL1091" i="1"/>
  <c r="BL1946" i="1"/>
  <c r="BL2984" i="1"/>
  <c r="BL1330" i="1"/>
  <c r="BL3009" i="1"/>
  <c r="BL2253" i="1"/>
  <c r="BL532" i="1"/>
  <c r="BL1655" i="1"/>
  <c r="BL3010" i="1"/>
  <c r="BL3011" i="1"/>
  <c r="BL1746" i="1"/>
  <c r="BL2551" i="1"/>
  <c r="BL3012" i="1"/>
  <c r="BL2425" i="1"/>
  <c r="BL317" i="1"/>
  <c r="BL1497" i="1"/>
  <c r="BL3013" i="1"/>
  <c r="BL2286" i="1"/>
  <c r="BL3014" i="1"/>
  <c r="BL2201" i="1"/>
  <c r="BL2014" i="1"/>
  <c r="BL733" i="1"/>
  <c r="BL1602" i="1"/>
  <c r="BL1438" i="1"/>
  <c r="BL1712" i="1"/>
  <c r="BL2107" i="1"/>
  <c r="BL1004" i="1"/>
  <c r="BL298" i="1"/>
  <c r="BL465" i="1"/>
  <c r="BL1571" i="1"/>
  <c r="BL1130" i="1"/>
  <c r="BL2975" i="1"/>
  <c r="BL2171" i="1"/>
  <c r="BL2244" i="1"/>
  <c r="BL1590" i="1"/>
  <c r="BL1718" i="1"/>
  <c r="BL1514" i="1"/>
  <c r="BL2491" i="1"/>
  <c r="BL2095" i="1"/>
  <c r="BL3016" i="1"/>
  <c r="BL881" i="1"/>
  <c r="BL2397" i="1"/>
  <c r="BL135" i="1"/>
  <c r="BL2105" i="1"/>
  <c r="BL1077" i="1"/>
  <c r="BL1196" i="1"/>
  <c r="BL2104" i="1"/>
  <c r="BL2275" i="1"/>
  <c r="BL900" i="1"/>
  <c r="BL909" i="1"/>
  <c r="BL850" i="1"/>
  <c r="BL2650" i="1"/>
  <c r="BL1657" i="1"/>
  <c r="BL1825" i="1"/>
  <c r="BL3017" i="1"/>
  <c r="BL113" i="1"/>
  <c r="BL438" i="1"/>
  <c r="BL1735" i="1"/>
  <c r="BL1482" i="1"/>
  <c r="BL14" i="1"/>
  <c r="BL1713" i="1"/>
  <c r="BL1446" i="1"/>
  <c r="BL1953" i="1"/>
  <c r="BL3018" i="1"/>
  <c r="BL1025" i="1"/>
  <c r="BL2109" i="1"/>
  <c r="BL1028" i="1"/>
  <c r="BL2678" i="1"/>
  <c r="BL575" i="1"/>
  <c r="BL2396" i="1"/>
  <c r="BL1723" i="1"/>
  <c r="BL385" i="1"/>
  <c r="BL2195" i="1"/>
  <c r="BL2180" i="1"/>
  <c r="BL333" i="1"/>
  <c r="BL1252" i="1"/>
  <c r="BL1909" i="1"/>
  <c r="BL329" i="1"/>
  <c r="BL870" i="1"/>
  <c r="BL3019" i="1"/>
  <c r="BL2146" i="1"/>
  <c r="BL2087" i="1"/>
  <c r="BL2385" i="1"/>
  <c r="BL1666" i="1"/>
  <c r="BL1210" i="1"/>
  <c r="BL774" i="1"/>
  <c r="BL1929" i="1"/>
  <c r="BL176" i="1"/>
  <c r="BL1408" i="1"/>
  <c r="BL890" i="1"/>
  <c r="BL1157" i="1"/>
  <c r="BL3020" i="1"/>
  <c r="BL3021" i="1"/>
  <c r="BL1650" i="1"/>
  <c r="BL2120" i="1"/>
  <c r="BL1212" i="1"/>
  <c r="BL1198" i="1"/>
  <c r="BL1654" i="1"/>
  <c r="BL1507" i="1"/>
  <c r="BL2179" i="1"/>
  <c r="BL2223" i="1"/>
  <c r="BL1442" i="1"/>
  <c r="BL2177" i="1"/>
  <c r="BL1146" i="1"/>
  <c r="BL3023" i="1"/>
  <c r="BL3025" i="1"/>
  <c r="BL2029" i="1"/>
  <c r="BL1003" i="1"/>
  <c r="BL3024" i="1"/>
  <c r="BL1386" i="1"/>
  <c r="BL729" i="1"/>
  <c r="BL3026" i="1"/>
  <c r="BL1469" i="1"/>
  <c r="BL282" i="1"/>
  <c r="BL530" i="1"/>
  <c r="BL1552" i="1"/>
  <c r="BL3027" i="1"/>
  <c r="BL159" i="1"/>
  <c r="BL509" i="1"/>
  <c r="BL1485" i="1"/>
  <c r="BL771" i="1"/>
  <c r="BL3029" i="1"/>
  <c r="BL2300" i="1"/>
  <c r="BL3030" i="1"/>
  <c r="BL3031" i="1"/>
  <c r="BL998" i="1"/>
  <c r="BL815" i="1"/>
  <c r="BL1051" i="1"/>
  <c r="BL3032" i="1"/>
  <c r="BL3028" i="1"/>
  <c r="BL1052" i="1"/>
  <c r="BL2822" i="1"/>
  <c r="BL3033" i="1"/>
  <c r="BL1535" i="1"/>
  <c r="BL3034" i="1"/>
  <c r="BL392" i="1"/>
  <c r="BL3035" i="1"/>
  <c r="BL2403" i="1"/>
  <c r="BL2603" i="1"/>
  <c r="BL3036" i="1"/>
  <c r="BL1779" i="1"/>
  <c r="BL1870" i="1"/>
  <c r="BL693" i="1"/>
  <c r="BL3037" i="1"/>
  <c r="BL1486" i="1"/>
  <c r="BL1639" i="1"/>
  <c r="BL486" i="1"/>
  <c r="BL2469" i="1"/>
  <c r="BL994" i="1"/>
  <c r="BL1127" i="1"/>
  <c r="BL3038" i="1"/>
  <c r="BL677" i="1"/>
  <c r="BL565" i="1"/>
  <c r="BL3039" i="1"/>
  <c r="BL1647" i="1"/>
  <c r="BL111" i="1"/>
  <c r="BL3040" i="1"/>
  <c r="BL1727" i="1"/>
  <c r="BL1174" i="1"/>
  <c r="BL1303" i="1"/>
  <c r="BL2471" i="1"/>
  <c r="BL1247" i="1"/>
  <c r="BL1990" i="1"/>
  <c r="BL2097" i="1"/>
  <c r="BL1445" i="1"/>
  <c r="BL470" i="1"/>
  <c r="BL296" i="1"/>
  <c r="BL3042" i="1"/>
  <c r="BL1108" i="1"/>
  <c r="BL3043" i="1"/>
  <c r="BL3044" i="1"/>
  <c r="BL1652" i="1"/>
  <c r="BL158" i="1"/>
  <c r="BL1717" i="1"/>
  <c r="BL3045" i="1"/>
  <c r="BL370" i="1"/>
  <c r="BL3041" i="1"/>
  <c r="BL1026" i="1"/>
  <c r="BL2509" i="1"/>
  <c r="BL551" i="1"/>
  <c r="BL1912" i="1"/>
  <c r="BL466" i="1"/>
  <c r="BL3046" i="1"/>
  <c r="BL2390" i="1"/>
  <c r="BL3047" i="1"/>
  <c r="BL3048" i="1"/>
  <c r="BL161" i="1"/>
  <c r="BL1197" i="1"/>
  <c r="BL1236" i="1"/>
  <c r="BL1159" i="1"/>
  <c r="BL1534" i="1"/>
  <c r="BL3049" i="1"/>
  <c r="BL1125" i="1"/>
  <c r="BL3050" i="1"/>
  <c r="BL744" i="1"/>
  <c r="BL1109" i="1"/>
  <c r="BL3052" i="1"/>
  <c r="BL643" i="1"/>
  <c r="BL2349" i="1"/>
  <c r="BL3053" i="1"/>
  <c r="BL157" i="1"/>
  <c r="BL1783" i="1"/>
  <c r="BL1509" i="1"/>
  <c r="BL728" i="1"/>
  <c r="BL990" i="1"/>
  <c r="BL1444" i="1"/>
  <c r="BL3054" i="1"/>
  <c r="BL2142" i="1"/>
  <c r="BL1579" i="1"/>
  <c r="BL2274" i="1"/>
  <c r="BL396" i="1"/>
  <c r="BL2351" i="1"/>
  <c r="BL538" i="1"/>
  <c r="BL2448" i="1"/>
  <c r="BL2085" i="1"/>
  <c r="BL1803" i="1"/>
  <c r="BL3055" i="1"/>
  <c r="BL3056" i="1"/>
  <c r="BL394" i="1"/>
  <c r="BL3057" i="1"/>
  <c r="BL3058" i="1"/>
  <c r="BL2281" i="1"/>
  <c r="BL3059" i="1"/>
  <c r="BL1740" i="1"/>
  <c r="BL1098" i="1"/>
  <c r="BL1170" i="1"/>
  <c r="BL1702" i="1"/>
  <c r="BL1516" i="1"/>
  <c r="BL1860" i="1"/>
  <c r="BL2187" i="1"/>
  <c r="BL3060" i="1"/>
  <c r="BL834" i="1"/>
  <c r="BL906" i="1"/>
  <c r="BL1961" i="1"/>
  <c r="BL1584" i="1"/>
  <c r="BL1769" i="1"/>
  <c r="BL1928" i="1"/>
  <c r="BL1262" i="1"/>
  <c r="BL1957" i="1"/>
  <c r="BL376" i="1"/>
  <c r="BL1069" i="1"/>
  <c r="BL2062" i="1"/>
  <c r="BL685" i="1"/>
  <c r="BL2513" i="1"/>
  <c r="BL2008" i="1"/>
  <c r="BL1416" i="1"/>
  <c r="BL665" i="1"/>
  <c r="BL1900" i="1"/>
  <c r="BL3061" i="1"/>
  <c r="BL1305" i="1"/>
  <c r="BL3062" i="1"/>
  <c r="BL3063" i="1"/>
  <c r="BL828" i="1"/>
  <c r="BL2560" i="1"/>
  <c r="BL1973" i="1"/>
  <c r="BL1288" i="1"/>
  <c r="BL1842" i="1"/>
  <c r="BL3064" i="1"/>
  <c r="BL2417" i="1"/>
  <c r="BL805" i="1"/>
  <c r="BL3065" i="1"/>
  <c r="BL1440" i="1"/>
  <c r="BL3066" i="1"/>
  <c r="BL1172" i="1"/>
  <c r="BL2262" i="1"/>
  <c r="BL1743" i="1"/>
  <c r="BL2042" i="1"/>
  <c r="BL320" i="1"/>
  <c r="BL2823" i="1"/>
  <c r="BL2216" i="1"/>
  <c r="BL3067" i="1"/>
  <c r="BL873" i="1"/>
  <c r="BL1075" i="1"/>
  <c r="BL3068" i="1"/>
  <c r="BL742" i="1"/>
  <c r="BL3069" i="1"/>
  <c r="BL3070" i="1"/>
  <c r="BL1732" i="1"/>
  <c r="BL842" i="1"/>
  <c r="BL1274" i="1"/>
  <c r="BL987" i="1"/>
  <c r="BL1128" i="1"/>
  <c r="BL2059" i="1"/>
  <c r="BL1745" i="1"/>
  <c r="BL375" i="1"/>
  <c r="BL1776" i="1"/>
  <c r="BL2254" i="1"/>
  <c r="BL1903" i="1"/>
  <c r="BL343" i="1"/>
  <c r="BL1137" i="1"/>
  <c r="BL3072" i="1"/>
  <c r="BL339" i="1"/>
  <c r="BL944" i="1"/>
  <c r="BL2324" i="1"/>
  <c r="BL3022" i="1"/>
  <c r="BL1645" i="1"/>
  <c r="BL854" i="1"/>
  <c r="BL658" i="1"/>
  <c r="BL721" i="1"/>
  <c r="BL616" i="1"/>
  <c r="BL864" i="1"/>
  <c r="BL1610" i="1"/>
  <c r="BL1600" i="1"/>
  <c r="BL2485" i="1"/>
  <c r="BL3073" i="1"/>
  <c r="BL1793" i="1"/>
  <c r="BL2249" i="1"/>
  <c r="BL2309" i="1"/>
  <c r="BL1932" i="1"/>
  <c r="BL1284" i="1"/>
  <c r="BL865" i="1"/>
  <c r="BL1161" i="1"/>
  <c r="BL1532" i="1"/>
  <c r="BL3" i="1"/>
  <c r="BL3075" i="1"/>
  <c r="BL3076" i="1"/>
  <c r="BL876" i="1"/>
  <c r="BL8" i="1"/>
  <c r="BL517" i="1"/>
  <c r="BL959" i="1"/>
  <c r="BL1517" i="1"/>
  <c r="BL3077" i="1"/>
  <c r="BL1038" i="1"/>
  <c r="BL1316" i="1"/>
  <c r="BL1227" i="1"/>
  <c r="BL608" i="1"/>
  <c r="BL1260" i="1"/>
  <c r="BL978" i="1"/>
  <c r="BL149" i="1"/>
  <c r="BL2204" i="1"/>
  <c r="BL3078" i="1"/>
  <c r="BL3051" i="1"/>
  <c r="BL1418" i="1"/>
  <c r="BL428" i="1"/>
  <c r="BL3079" i="1"/>
  <c r="BL958" i="1"/>
  <c r="BL894" i="1"/>
  <c r="BL475" i="1"/>
  <c r="BL3080" i="1"/>
  <c r="BL611" i="1"/>
  <c r="BL2414" i="1"/>
  <c r="BL1658" i="1"/>
  <c r="BL903" i="1"/>
  <c r="BL777" i="1"/>
  <c r="BL1181" i="1"/>
  <c r="BL3081" i="1"/>
  <c r="BL2007" i="1"/>
  <c r="BL3082" i="1"/>
  <c r="BL2258" i="1"/>
  <c r="BL2499" i="1"/>
  <c r="BL3083" i="1"/>
  <c r="BL505" i="1"/>
  <c r="BL1191" i="1"/>
  <c r="BL1238" i="1"/>
  <c r="BL938" i="1"/>
  <c r="BL1798" i="1"/>
  <c r="BL996" i="1"/>
  <c r="BL921" i="1"/>
  <c r="BL1670" i="1"/>
  <c r="BL2052" i="1"/>
  <c r="BL2548" i="1"/>
  <c r="BL2164" i="1"/>
  <c r="BL3084" i="1"/>
  <c r="BL639" i="1"/>
  <c r="BL1525" i="1"/>
  <c r="BL3085" i="1"/>
  <c r="BL4" i="1"/>
  <c r="BL1829" i="1"/>
  <c r="BL2391" i="1"/>
  <c r="BL1760" i="1"/>
  <c r="BL2744" i="1"/>
  <c r="BL2537" i="1"/>
  <c r="BL1061" i="1"/>
  <c r="BL2558" i="1"/>
  <c r="BL2123" i="1"/>
  <c r="BL955" i="1"/>
  <c r="BL690" i="1"/>
  <c r="BL1318" i="1"/>
  <c r="BL2459" i="1"/>
  <c r="BL1201" i="1"/>
  <c r="BL3086" i="1"/>
  <c r="BL638" i="1"/>
  <c r="BL2158" i="1"/>
  <c r="BL953" i="1"/>
  <c r="BL1761" i="1"/>
  <c r="BL819" i="1"/>
  <c r="BL1265" i="1"/>
  <c r="BL2257" i="1"/>
  <c r="BL3087" i="1"/>
  <c r="BL1799" i="1"/>
  <c r="BL1072" i="1"/>
  <c r="BL3088" i="1"/>
  <c r="BL625" i="1"/>
  <c r="BL989" i="1"/>
  <c r="BL1935" i="1"/>
  <c r="BL1575" i="1"/>
  <c r="BL290" i="1"/>
  <c r="BL2290" i="1"/>
  <c r="BL764" i="1"/>
  <c r="BL1505" i="1"/>
  <c r="BL2131" i="1"/>
  <c r="BL1892" i="1"/>
  <c r="BL346" i="1"/>
  <c r="BL1370" i="1"/>
  <c r="BL1120" i="1"/>
  <c r="BL898" i="1"/>
  <c r="BL863" i="1"/>
  <c r="BL2439" i="1"/>
  <c r="BL2037" i="1"/>
  <c r="BL318" i="1"/>
  <c r="BL581" i="1"/>
  <c r="BL983" i="1"/>
  <c r="BL830" i="1"/>
  <c r="BL2407" i="1"/>
  <c r="BL1696" i="1"/>
  <c r="BL3090" i="1"/>
  <c r="BL3091" i="1"/>
  <c r="BL1521" i="1"/>
  <c r="BL2936" i="1"/>
  <c r="BL1234" i="1"/>
  <c r="BL2098" i="1"/>
  <c r="BL520" i="1"/>
  <c r="BL2376" i="1"/>
  <c r="BL2111" i="1"/>
  <c r="BL527" i="1"/>
  <c r="BL2295" i="1"/>
  <c r="BL704" i="1"/>
  <c r="BL1192" i="1"/>
  <c r="BL715" i="1"/>
  <c r="BL621" i="1"/>
  <c r="BL1434" i="1"/>
  <c r="BL2048" i="1"/>
  <c r="BL2162" i="1"/>
  <c r="BL516" i="1"/>
  <c r="BL3093" i="1"/>
  <c r="BL3095" i="1"/>
  <c r="BL3094" i="1"/>
  <c r="BL2496" i="1"/>
  <c r="BL1955" i="1"/>
  <c r="BL3092" i="1"/>
  <c r="BL3096" i="1"/>
  <c r="BL877" i="1"/>
  <c r="BL3099" i="1"/>
  <c r="BL147" i="1"/>
  <c r="BL3100" i="1"/>
  <c r="BL1263" i="1"/>
  <c r="BL902" i="1"/>
  <c r="BL3098" i="1"/>
  <c r="BL1725" i="1"/>
  <c r="BL1194" i="1"/>
  <c r="BL552" i="1"/>
  <c r="BL2369" i="1"/>
  <c r="BL2463" i="1"/>
  <c r="BL331" i="1"/>
  <c r="BL3101" i="1"/>
  <c r="BL1177" i="1"/>
  <c r="BL3102" i="1"/>
  <c r="BL1254" i="1"/>
  <c r="BL875" i="1"/>
  <c r="BL654" i="1"/>
  <c r="BL1218" i="1"/>
  <c r="BL306" i="1"/>
  <c r="BL3103" i="1"/>
  <c r="BL2467" i="1"/>
  <c r="BL3104" i="1"/>
  <c r="BL1085" i="1"/>
  <c r="BL507" i="1"/>
  <c r="BL783" i="1"/>
  <c r="BL528" i="1"/>
  <c r="BL3105" i="1"/>
  <c r="BL3106" i="1"/>
  <c r="BL1925" i="1"/>
  <c r="BL1057" i="1"/>
  <c r="BL1339" i="1"/>
  <c r="BL960" i="1"/>
  <c r="BL3108" i="1"/>
  <c r="BL1895" i="1"/>
  <c r="BL3107" i="1"/>
  <c r="BL404" i="1"/>
  <c r="BL3109" i="1"/>
  <c r="BL822" i="1"/>
  <c r="BL1528" i="1"/>
  <c r="BL1837" i="1"/>
  <c r="BL3110" i="1"/>
  <c r="BL3111" i="1"/>
  <c r="BL533" i="1"/>
  <c r="BL1567" i="1"/>
  <c r="BL129" i="1"/>
  <c r="BL970" i="1"/>
  <c r="BL3113" i="1"/>
  <c r="BL3114" i="1"/>
  <c r="BL1983" i="1"/>
  <c r="BL3112" i="1"/>
  <c r="BL3115" i="1"/>
  <c r="BL892" i="1"/>
  <c r="BL327" i="1"/>
  <c r="BL300" i="1"/>
  <c r="BL445" i="1"/>
  <c r="BL1960" i="1"/>
  <c r="BL663" i="1"/>
  <c r="BL1855" i="1"/>
  <c r="BL1630" i="1"/>
  <c r="BL1944" i="1"/>
  <c r="BL1547" i="1"/>
  <c r="BL3116" i="1"/>
  <c r="BL891" i="1"/>
  <c r="BL1996" i="1"/>
  <c r="BL636" i="1"/>
  <c r="BL1228" i="1"/>
  <c r="BL680" i="1"/>
  <c r="BL2114" i="1"/>
  <c r="BL1886" i="1"/>
  <c r="BL2073" i="1"/>
  <c r="BL588" i="1"/>
  <c r="BL2308" i="1"/>
  <c r="BL769" i="1"/>
  <c r="BL935" i="1"/>
  <c r="BL2205" i="1"/>
  <c r="BL563" i="1"/>
  <c r="BL1927" i="1"/>
  <c r="BL131" i="1"/>
  <c r="BL407" i="1"/>
  <c r="BL1707" i="1"/>
  <c r="BL3117" i="1"/>
  <c r="BL3118" i="1"/>
  <c r="BL1396" i="1"/>
  <c r="BL1663" i="1"/>
  <c r="BL1190" i="1"/>
  <c r="BL1491" i="1"/>
  <c r="BL1733" i="1"/>
  <c r="BL3119" i="1"/>
  <c r="BL3120" i="1"/>
  <c r="BL1078" i="1"/>
  <c r="BL666" i="1"/>
  <c r="BL1342" i="1"/>
  <c r="BL529" i="1"/>
  <c r="BL698" i="1"/>
  <c r="BL2355" i="1"/>
  <c r="BL3121" i="1"/>
  <c r="BL1366" i="1"/>
  <c r="BL869" i="1"/>
  <c r="BL1282" i="1"/>
  <c r="BL1206" i="1"/>
  <c r="BL3122" i="1"/>
  <c r="BL2276" i="1"/>
  <c r="BL1828" i="1"/>
  <c r="BL1499" i="1"/>
  <c r="BL2136" i="1"/>
  <c r="BL3123" i="1"/>
  <c r="BL3124" i="1"/>
  <c r="BL3125" i="1"/>
  <c r="BL363" i="1"/>
  <c r="BL2364" i="1"/>
  <c r="BL420" i="1"/>
  <c r="BL1133" i="1"/>
  <c r="BL3126" i="1"/>
  <c r="BL1795" i="1"/>
  <c r="BL1660" i="1"/>
  <c r="BL975" i="1"/>
  <c r="BL3127" i="1"/>
  <c r="BL2372" i="1"/>
  <c r="BL3128" i="1"/>
  <c r="BL548" i="1"/>
  <c r="BL1768" i="1"/>
  <c r="BL2404" i="1"/>
  <c r="BL1770" i="1"/>
  <c r="BL3129" i="1"/>
  <c r="BL500" i="1"/>
  <c r="BL3130" i="1"/>
  <c r="BL2088" i="1"/>
  <c r="BL561" i="1"/>
  <c r="BL2466" i="1"/>
  <c r="BL2332" i="1"/>
  <c r="BL2346" i="1"/>
  <c r="BL3132" i="1"/>
  <c r="BL382" i="1"/>
  <c r="BL2546" i="1"/>
  <c r="BL156" i="1"/>
  <c r="BL2241" i="1"/>
  <c r="BL2305" i="1"/>
  <c r="BL2458" i="1"/>
  <c r="BL2124" i="1"/>
  <c r="BL3133" i="1"/>
  <c r="BL3134" i="1"/>
  <c r="BL1845" i="1"/>
  <c r="BL2495" i="1"/>
  <c r="BL1971" i="1"/>
  <c r="BL3136" i="1"/>
  <c r="BL3137" i="1"/>
  <c r="BL3135" i="1"/>
  <c r="BL1716" i="1"/>
  <c r="BL1812" i="1"/>
  <c r="BL827" i="1"/>
  <c r="BL288" i="1"/>
  <c r="BL2518" i="1"/>
  <c r="BL1995" i="1"/>
  <c r="BL195" i="1"/>
  <c r="BL1241" i="1"/>
  <c r="BL2118" i="1"/>
  <c r="BL1704" i="1"/>
  <c r="BL3139" i="1"/>
  <c r="BL198" i="1"/>
  <c r="BL3138" i="1"/>
  <c r="BL862" i="1"/>
  <c r="BL1275" i="1"/>
  <c r="BL1501" i="1"/>
  <c r="BL1046" i="1"/>
  <c r="BL510" i="1"/>
  <c r="BL524" i="1"/>
  <c r="BL1569" i="1"/>
  <c r="BL205" i="1"/>
  <c r="BL1193" i="1"/>
  <c r="BL2947" i="1"/>
  <c r="BL1000" i="1"/>
  <c r="BL388" i="1"/>
  <c r="BL3140" i="1"/>
  <c r="BL3142" i="1"/>
  <c r="BL3141" i="1"/>
  <c r="BL2137" i="1"/>
  <c r="BL1644" i="1"/>
  <c r="BL498" i="1"/>
  <c r="BL1563" i="1"/>
  <c r="BL605" i="1"/>
  <c r="BL1457" i="1"/>
  <c r="BL1068" i="1"/>
  <c r="BL349" i="1"/>
  <c r="BL173" i="1"/>
  <c r="BL2256" i="1"/>
  <c r="BL1428" i="1"/>
  <c r="BL3143" i="1"/>
  <c r="BL1487" i="1"/>
  <c r="BL3144" i="1"/>
  <c r="BL513" i="1"/>
  <c r="BL1328" i="1"/>
  <c r="BL1633" i="1"/>
  <c r="BL1949" i="1"/>
  <c r="BL1875" i="1"/>
  <c r="BL3145" i="1"/>
  <c r="BL3146" i="1"/>
  <c r="BL2848" i="1"/>
  <c r="BL1270" i="1"/>
  <c r="BL1204" i="1"/>
  <c r="BL662" i="1"/>
  <c r="BL146" i="1"/>
  <c r="BL1278" i="1"/>
  <c r="BL1409" i="1"/>
  <c r="BL2327" i="1"/>
  <c r="BL3147" i="1"/>
  <c r="BL1276" i="1"/>
  <c r="BL1762" i="1"/>
  <c r="BL1361" i="1"/>
  <c r="BL1015" i="1"/>
  <c r="BL1431" i="1"/>
  <c r="BL3148" i="1"/>
  <c r="BL124" i="1"/>
  <c r="BL2342" i="1"/>
  <c r="BL1402" i="1"/>
  <c r="BL1419" i="1"/>
  <c r="BL649" i="1"/>
  <c r="BL504" i="1"/>
  <c r="BL2019" i="1"/>
  <c r="BL562" i="1"/>
  <c r="BL2041" i="1"/>
  <c r="BL641" i="1"/>
  <c r="BL3149" i="1"/>
  <c r="BL1674" i="1"/>
  <c r="BL2628" i="1"/>
  <c r="BL459" i="1"/>
  <c r="BL1618" i="1"/>
  <c r="BL3150" i="1"/>
  <c r="BL2352" i="1"/>
  <c r="BL1752" i="1"/>
  <c r="BL1331" i="1"/>
  <c r="BL966" i="1"/>
  <c r="BL3151" i="1"/>
  <c r="BL1595" i="1"/>
  <c r="BL2480" i="1"/>
  <c r="BL1460" i="1"/>
  <c r="BL3152" i="1"/>
  <c r="BL1295" i="1"/>
  <c r="BL3153" i="1"/>
  <c r="BL456" i="1"/>
  <c r="BL1794" i="1"/>
  <c r="BL3154" i="1"/>
  <c r="BL3155" i="1"/>
  <c r="BL1914" i="1"/>
  <c r="BL3156" i="1"/>
  <c r="BL3157" i="1"/>
  <c r="BL1758" i="1"/>
  <c r="BL199" i="1"/>
  <c r="BL3158" i="1"/>
  <c r="BL810" i="1"/>
  <c r="BL423" i="1"/>
  <c r="BL3159" i="1"/>
  <c r="BL2015" i="1"/>
  <c r="BL604" i="1"/>
  <c r="BL166" i="1"/>
  <c r="BL1287" i="1"/>
  <c r="BL1211" i="1"/>
  <c r="BL116" i="1"/>
  <c r="BL550" i="1"/>
  <c r="BL702" i="1"/>
  <c r="BL2354" i="1"/>
  <c r="BL1611" i="1"/>
  <c r="BL1322" i="1"/>
  <c r="BL2240" i="1"/>
  <c r="BL1520" i="1"/>
  <c r="BL829" i="1"/>
  <c r="BL168" i="1"/>
  <c r="BL1998" i="1"/>
  <c r="BL2344" i="1"/>
  <c r="BL3160" i="1"/>
  <c r="BL429" i="1"/>
  <c r="BL1049" i="1"/>
  <c r="BL2188" i="1"/>
  <c r="BL928" i="1"/>
  <c r="BL3161" i="1"/>
  <c r="BL791" i="1"/>
  <c r="BL3162" i="1"/>
  <c r="BL1608" i="1"/>
  <c r="BL1905" i="1"/>
  <c r="BL2530" i="1"/>
  <c r="BL421" i="1"/>
  <c r="BL1864" i="1"/>
  <c r="BL2438" i="1"/>
  <c r="BL1549" i="1"/>
  <c r="BL415" i="1"/>
  <c r="BL191" i="1"/>
  <c r="BL1433" i="1"/>
  <c r="BL2003" i="1"/>
  <c r="BL452" i="1"/>
  <c r="BL3163" i="1"/>
  <c r="BL1267" i="1"/>
  <c r="BL2030" i="1"/>
  <c r="BL855" i="1"/>
  <c r="BL2504" i="1"/>
  <c r="BL3164" i="1"/>
  <c r="BL2154" i="1"/>
  <c r="BL165" i="1"/>
  <c r="BL430" i="1"/>
  <c r="BL506" i="1"/>
  <c r="BL411" i="1"/>
  <c r="BL1879" i="1"/>
  <c r="BL1819" i="1"/>
  <c r="BL1648" i="1"/>
  <c r="BL3165" i="1"/>
  <c r="BL1943" i="1"/>
  <c r="BL1748" i="1"/>
  <c r="BL1294" i="1"/>
  <c r="BL2419" i="1"/>
  <c r="BL3166" i="1"/>
  <c r="BL1730" i="1"/>
  <c r="BL1017" i="1"/>
  <c r="BL974" i="1"/>
  <c r="BL3131" i="1"/>
  <c r="BL895" i="1"/>
  <c r="BL2381" i="1"/>
  <c r="BL3167" i="1"/>
  <c r="BL920" i="1"/>
  <c r="BL2103" i="1"/>
  <c r="BL1926" i="1"/>
  <c r="BL1835" i="1"/>
  <c r="BL3168" i="1"/>
  <c r="BL1734" i="1"/>
  <c r="BL3169" i="1"/>
  <c r="BL1327" i="1"/>
  <c r="BL2636" i="1"/>
  <c r="BL2261" i="1"/>
  <c r="BL1169" i="1"/>
  <c r="BL1693" i="1"/>
  <c r="BL576" i="1"/>
  <c r="BL1341" i="1"/>
  <c r="BL3170" i="1"/>
  <c r="BL2065" i="1"/>
  <c r="BL2304" i="1"/>
  <c r="BL897" i="1"/>
  <c r="BL1391" i="1"/>
  <c r="BL1064" i="1"/>
  <c r="BL2090" i="1"/>
  <c r="BL1773" i="1"/>
  <c r="BL814" i="1"/>
  <c r="BL3171" i="1"/>
  <c r="BL3172" i="1"/>
  <c r="BL1145" i="1"/>
  <c r="BL2288" i="1"/>
  <c r="BL185" i="1"/>
  <c r="BL857" i="1"/>
  <c r="BL3097" i="1"/>
  <c r="BL770" i="1"/>
  <c r="BL1349" i="1"/>
  <c r="BL1560" i="1"/>
  <c r="BL2398" i="1"/>
  <c r="BL1093" i="1"/>
  <c r="BL3173" i="1"/>
  <c r="BL3174" i="1"/>
  <c r="BL656" i="1"/>
  <c r="BL3175" i="1"/>
  <c r="BL893" i="1"/>
  <c r="BL489" i="1"/>
  <c r="BL1668" i="1"/>
  <c r="BL3176" i="1"/>
  <c r="BL3177" i="1"/>
  <c r="BL3178" i="1"/>
  <c r="BL397" i="1"/>
  <c r="BL574" i="1"/>
  <c r="BL564" i="1"/>
  <c r="BL807" i="1"/>
  <c r="BL844" i="1"/>
  <c r="BL2112" i="1"/>
  <c r="BL1989" i="1"/>
  <c r="BL2129" i="1"/>
  <c r="BL2060" i="1"/>
  <c r="BL1806" i="1"/>
  <c r="BL1766" i="1"/>
  <c r="BL3179" i="1"/>
  <c r="BL1024" i="1"/>
  <c r="BL1134" i="1"/>
  <c r="BL3180" i="1"/>
  <c r="BL3181" i="1"/>
  <c r="BL3183" i="1"/>
  <c r="BL3182" i="1"/>
  <c r="BL3184" i="1"/>
  <c r="BL2500" i="1"/>
  <c r="BL2501" i="1"/>
  <c r="BL1637" i="1"/>
  <c r="BL620" i="1"/>
  <c r="BL1323" i="1"/>
  <c r="BL1136" i="1"/>
  <c r="BL1991" i="1"/>
  <c r="BL361" i="1"/>
  <c r="BL3185" i="1"/>
  <c r="BL496" i="1"/>
  <c r="BL190" i="1"/>
  <c r="BL701" i="1"/>
  <c r="BL1632" i="1"/>
  <c r="BL1667" i="1"/>
  <c r="BL567" i="1"/>
  <c r="BL3186" i="1"/>
  <c r="BL3187" i="1"/>
  <c r="BL2056" i="1"/>
  <c r="BL2435" i="1"/>
  <c r="BL1741" i="1"/>
  <c r="BL2368" i="1"/>
  <c r="BL3188" i="1"/>
  <c r="BL1593" i="1"/>
  <c r="BL1426" i="1"/>
  <c r="BL3189" i="1"/>
  <c r="BL3190" i="1"/>
  <c r="BL1841" i="1"/>
  <c r="BL2139" i="1"/>
  <c r="BL2045" i="1"/>
  <c r="BL1993" i="1"/>
  <c r="BL1067" i="1"/>
  <c r="BL1320" i="1"/>
  <c r="BL154" i="1"/>
  <c r="BL1911" i="1"/>
  <c r="BL3191" i="1"/>
  <c r="BL1598" i="1"/>
  <c r="BL3192" i="1"/>
  <c r="BL1124" i="1"/>
  <c r="BL325" i="1"/>
  <c r="BL387" i="1"/>
  <c r="BL2028" i="1"/>
  <c r="BL1403" i="1"/>
  <c r="BL2250" i="1"/>
  <c r="BL1080" i="1"/>
  <c r="BL3193" i="1"/>
  <c r="BL1456" i="1"/>
  <c r="BL793" i="1"/>
  <c r="BL3194" i="1"/>
  <c r="BL3195" i="1"/>
  <c r="BL1268" i="1"/>
  <c r="BL2202" i="1"/>
  <c r="BL2317" i="1"/>
  <c r="BL512" i="1"/>
  <c r="BL1022" i="1"/>
  <c r="BL3196" i="1"/>
  <c r="BL436" i="1"/>
  <c r="BL3197" i="1"/>
  <c r="BL1854" i="1"/>
  <c r="BL2433" i="1"/>
  <c r="BL492" i="1"/>
  <c r="BL1720" i="1"/>
  <c r="BL1150" i="1"/>
  <c r="BL880" i="1"/>
  <c r="BL3198" i="1"/>
  <c r="BL1951" i="1"/>
  <c r="BL3199" i="1"/>
  <c r="BL2576" i="1"/>
  <c r="BL3200" i="1"/>
  <c r="BL1504" i="1"/>
  <c r="BL3201" i="1"/>
  <c r="BL23" i="1"/>
  <c r="BL2071" i="1"/>
  <c r="BL3202" i="1"/>
  <c r="BL607" i="1"/>
  <c r="BL760" i="1"/>
  <c r="BL808" i="1"/>
  <c r="BL738" i="1"/>
  <c r="BL3203" i="1"/>
  <c r="BL2315" i="1"/>
  <c r="BL1463" i="1"/>
  <c r="BL418" i="1"/>
  <c r="BL21" i="1"/>
  <c r="BL1439" i="1"/>
  <c r="BL303" i="1"/>
  <c r="BL1365" i="1"/>
  <c r="BL2489" i="1"/>
  <c r="BL1686" i="1"/>
  <c r="BL3204" i="1"/>
  <c r="BL3205" i="1"/>
  <c r="BL335" i="1"/>
  <c r="BL1617" i="1"/>
  <c r="BL3206" i="1"/>
  <c r="BH3206" i="1"/>
  <c r="BG3206" i="1"/>
  <c r="BF3206" i="1"/>
  <c r="CI3206" i="1" s="1"/>
  <c r="CJ3206" i="1" s="1"/>
  <c r="N3206" i="1"/>
  <c r="BH1617" i="1"/>
  <c r="BG1617" i="1"/>
  <c r="BR1617" i="1" s="1"/>
  <c r="CA1617" i="1" s="1"/>
  <c r="BF1617" i="1"/>
  <c r="CI1617" i="1" s="1"/>
  <c r="CJ1617" i="1" s="1"/>
  <c r="BH335" i="1"/>
  <c r="BG335" i="1"/>
  <c r="BF335" i="1"/>
  <c r="CI335" i="1" s="1"/>
  <c r="CJ335" i="1" s="1"/>
  <c r="N335" i="1"/>
  <c r="BH3205" i="1"/>
  <c r="BG3205" i="1"/>
  <c r="BF3205" i="1"/>
  <c r="CI3205" i="1" s="1"/>
  <c r="CJ3205" i="1" s="1"/>
  <c r="N3205" i="1"/>
  <c r="BH3204" i="1"/>
  <c r="BG3204" i="1"/>
  <c r="BF3204" i="1"/>
  <c r="N3204" i="1"/>
  <c r="BH1686" i="1"/>
  <c r="BG1686" i="1"/>
  <c r="BR1686" i="1" s="1"/>
  <c r="CA1686" i="1" s="1"/>
  <c r="BF1686" i="1"/>
  <c r="CI1686" i="1" s="1"/>
  <c r="CJ1686" i="1" s="1"/>
  <c r="BH2489" i="1"/>
  <c r="BG2489" i="1"/>
  <c r="BF2489" i="1"/>
  <c r="CI2489" i="1" s="1"/>
  <c r="CJ2489" i="1" s="1"/>
  <c r="N2489" i="1"/>
  <c r="BK1365" i="1"/>
  <c r="BI1365" i="1"/>
  <c r="BH1365" i="1"/>
  <c r="R1365" i="1" s="1"/>
  <c r="BG1365" i="1"/>
  <c r="BF1365" i="1"/>
  <c r="N1365" i="1"/>
  <c r="BH303" i="1"/>
  <c r="BG303" i="1"/>
  <c r="BF303" i="1"/>
  <c r="CI303" i="1" s="1"/>
  <c r="CJ303" i="1" s="1"/>
  <c r="N303" i="1"/>
  <c r="BH1439" i="1"/>
  <c r="BG1439" i="1"/>
  <c r="BF1439" i="1"/>
  <c r="N1439" i="1"/>
  <c r="BH21" i="1"/>
  <c r="BG21" i="1"/>
  <c r="BF21" i="1"/>
  <c r="CI21" i="1" s="1"/>
  <c r="CJ21" i="1" s="1"/>
  <c r="N21" i="1"/>
  <c r="BH418" i="1"/>
  <c r="BG418" i="1"/>
  <c r="BR418" i="1" s="1"/>
  <c r="CA418" i="1" s="1"/>
  <c r="BF418" i="1"/>
  <c r="CI418" i="1" s="1"/>
  <c r="CJ418" i="1" s="1"/>
  <c r="BH1463" i="1"/>
  <c r="BG1463" i="1"/>
  <c r="BF1463" i="1"/>
  <c r="N1463" i="1"/>
  <c r="BH2315" i="1"/>
  <c r="BG2315" i="1"/>
  <c r="BR2315" i="1" s="1"/>
  <c r="CA2315" i="1" s="1"/>
  <c r="BF2315" i="1"/>
  <c r="CI2315" i="1" s="1"/>
  <c r="CJ2315" i="1" s="1"/>
  <c r="BH3203" i="1"/>
  <c r="BG3203" i="1"/>
  <c r="BF3203" i="1"/>
  <c r="N3203" i="1"/>
  <c r="BH738" i="1"/>
  <c r="BG738" i="1"/>
  <c r="BF738" i="1"/>
  <c r="CI738" i="1" s="1"/>
  <c r="CJ738" i="1" s="1"/>
  <c r="N738" i="1"/>
  <c r="BK808" i="1"/>
  <c r="BI808" i="1"/>
  <c r="BH808" i="1"/>
  <c r="R808" i="1" s="1"/>
  <c r="BG808" i="1"/>
  <c r="BX808" i="1"/>
  <c r="N808" i="1"/>
  <c r="BH760" i="1"/>
  <c r="BG760" i="1"/>
  <c r="BF760" i="1"/>
  <c r="CI760" i="1" s="1"/>
  <c r="CJ760" i="1" s="1"/>
  <c r="N760" i="1"/>
  <c r="BK607" i="1"/>
  <c r="BI607" i="1"/>
  <c r="BH607" i="1"/>
  <c r="R607" i="1" s="1"/>
  <c r="BG607" i="1"/>
  <c r="BR607" i="1" s="1"/>
  <c r="CA607" i="1" s="1"/>
  <c r="BF607" i="1"/>
  <c r="BK3202" i="1"/>
  <c r="BI3202" i="1"/>
  <c r="BH3202" i="1"/>
  <c r="R3202" i="1" s="1"/>
  <c r="BG3202" i="1"/>
  <c r="BF3202" i="1"/>
  <c r="CI3202" i="1" s="1"/>
  <c r="CJ3202" i="1" s="1"/>
  <c r="N3202" i="1"/>
  <c r="BK2071" i="1"/>
  <c r="BI2071" i="1"/>
  <c r="BH2071" i="1"/>
  <c r="R2071" i="1" s="1"/>
  <c r="BG2071" i="1"/>
  <c r="BR2071" i="1" s="1"/>
  <c r="CA2071" i="1" s="1"/>
  <c r="BF2071" i="1"/>
  <c r="BK23" i="1"/>
  <c r="BI23" i="1"/>
  <c r="BH23" i="1"/>
  <c r="R23" i="1" s="1"/>
  <c r="BG23" i="1"/>
  <c r="BR23" i="1" s="1"/>
  <c r="CA23" i="1" s="1"/>
  <c r="BF23" i="1"/>
  <c r="BK3201" i="1"/>
  <c r="BI3201" i="1"/>
  <c r="BH3201" i="1"/>
  <c r="R3201" i="1" s="1"/>
  <c r="BU3201" i="1" s="1"/>
  <c r="BW3201" i="1" s="1"/>
  <c r="BG3201" i="1"/>
  <c r="N3201" i="1"/>
  <c r="BK1504" i="1"/>
  <c r="BI1504" i="1"/>
  <c r="BH1504" i="1"/>
  <c r="R1504" i="1" s="1"/>
  <c r="BG1504" i="1"/>
  <c r="BX1504" i="1"/>
  <c r="N1504" i="1"/>
  <c r="BK3200" i="1"/>
  <c r="BI3200" i="1"/>
  <c r="BH3200" i="1"/>
  <c r="R3200" i="1" s="1"/>
  <c r="BG3200" i="1"/>
  <c r="N3200" i="1"/>
  <c r="BI2576" i="1"/>
  <c r="BH2576" i="1"/>
  <c r="R2576" i="1" s="1"/>
  <c r="BG2576" i="1"/>
  <c r="J2576" i="1"/>
  <c r="BK3199" i="1"/>
  <c r="BI3199" i="1"/>
  <c r="BH3199" i="1"/>
  <c r="R3199" i="1" s="1"/>
  <c r="BG3199" i="1"/>
  <c r="BF3199" i="1"/>
  <c r="CI3199" i="1" s="1"/>
  <c r="CJ3199" i="1" s="1"/>
  <c r="N3199" i="1"/>
  <c r="BH1951" i="1"/>
  <c r="BG1951" i="1"/>
  <c r="BF1951" i="1"/>
  <c r="N1951" i="1"/>
  <c r="BH3198" i="1"/>
  <c r="BG3198" i="1"/>
  <c r="BF3198" i="1"/>
  <c r="CI3198" i="1" s="1"/>
  <c r="CJ3198" i="1" s="1"/>
  <c r="N3198" i="1"/>
  <c r="BH880" i="1"/>
  <c r="BG880" i="1"/>
  <c r="BF880" i="1"/>
  <c r="CI880" i="1" s="1"/>
  <c r="CJ880" i="1" s="1"/>
  <c r="N880" i="1"/>
  <c r="BH1150" i="1"/>
  <c r="BG1150" i="1"/>
  <c r="BF1150" i="1"/>
  <c r="CI1150" i="1" s="1"/>
  <c r="CJ1150" i="1" s="1"/>
  <c r="N1150" i="1"/>
  <c r="BH1720" i="1"/>
  <c r="BG1720" i="1"/>
  <c r="N1720" i="1"/>
  <c r="BH492" i="1"/>
  <c r="BG492" i="1"/>
  <c r="BF492" i="1"/>
  <c r="CI492" i="1" s="1"/>
  <c r="CJ492" i="1" s="1"/>
  <c r="N492" i="1"/>
  <c r="BH2433" i="1"/>
  <c r="BG2433" i="1"/>
  <c r="BF2433" i="1"/>
  <c r="CI2433" i="1" s="1"/>
  <c r="CJ2433" i="1" s="1"/>
  <c r="N2433" i="1"/>
  <c r="BK1854" i="1"/>
  <c r="BI1854" i="1"/>
  <c r="BH1854" i="1"/>
  <c r="R1854" i="1" s="1"/>
  <c r="BG1854" i="1"/>
  <c r="BF1854" i="1"/>
  <c r="N1854" i="1"/>
  <c r="BH3197" i="1"/>
  <c r="BG3197" i="1"/>
  <c r="BF3197" i="1"/>
  <c r="CI3197" i="1" s="1"/>
  <c r="CJ3197" i="1" s="1"/>
  <c r="N3197" i="1"/>
  <c r="BK436" i="1"/>
  <c r="BI436" i="1"/>
  <c r="BH436" i="1"/>
  <c r="R436" i="1" s="1"/>
  <c r="BG436" i="1"/>
  <c r="BF436" i="1"/>
  <c r="N436" i="1"/>
  <c r="BK3196" i="1"/>
  <c r="BI3196" i="1"/>
  <c r="BH3196" i="1"/>
  <c r="R3196" i="1" s="1"/>
  <c r="Q3196" i="1"/>
  <c r="N3196" i="1"/>
  <c r="BK1022" i="1"/>
  <c r="BI1022" i="1"/>
  <c r="BH1022" i="1"/>
  <c r="R1022" i="1" s="1"/>
  <c r="BG1022" i="1"/>
  <c r="BF1022" i="1"/>
  <c r="N1022" i="1"/>
  <c r="BK512" i="1"/>
  <c r="BI512" i="1"/>
  <c r="BH512" i="1"/>
  <c r="R512" i="1" s="1"/>
  <c r="BG512" i="1"/>
  <c r="BR512" i="1" s="1"/>
  <c r="CA512" i="1" s="1"/>
  <c r="BF512" i="1"/>
  <c r="BK2317" i="1"/>
  <c r="BI2317" i="1"/>
  <c r="BH2317" i="1"/>
  <c r="R2317" i="1" s="1"/>
  <c r="BG2317" i="1"/>
  <c r="BR2317" i="1" s="1"/>
  <c r="CA2317" i="1" s="1"/>
  <c r="BF2317" i="1"/>
  <c r="BK2202" i="1"/>
  <c r="BI2202" i="1"/>
  <c r="BH2202" i="1"/>
  <c r="R2202" i="1" s="1"/>
  <c r="Q2202" i="1"/>
  <c r="N2202" i="1"/>
  <c r="BK1268" i="1"/>
  <c r="BI1268" i="1"/>
  <c r="BH1268" i="1"/>
  <c r="R1268" i="1" s="1"/>
  <c r="BG1268" i="1"/>
  <c r="BF1268" i="1"/>
  <c r="N1268" i="1"/>
  <c r="BK3195" i="1"/>
  <c r="BI3195" i="1"/>
  <c r="BH3195" i="1"/>
  <c r="R3195" i="1" s="1"/>
  <c r="BG3195" i="1"/>
  <c r="BF3195" i="1"/>
  <c r="CI3195" i="1" s="1"/>
  <c r="CJ3195" i="1" s="1"/>
  <c r="N3195" i="1"/>
  <c r="BK3194" i="1"/>
  <c r="BI3194" i="1"/>
  <c r="BH3194" i="1"/>
  <c r="R3194" i="1" s="1"/>
  <c r="BG3194" i="1"/>
  <c r="BF3194" i="1"/>
  <c r="CI3194" i="1" s="1"/>
  <c r="CJ3194" i="1" s="1"/>
  <c r="N3194" i="1"/>
  <c r="BK793" i="1"/>
  <c r="BI793" i="1"/>
  <c r="BH793" i="1"/>
  <c r="R793" i="1" s="1"/>
  <c r="BG793" i="1"/>
  <c r="BF793" i="1"/>
  <c r="CI793" i="1" s="1"/>
  <c r="CJ793" i="1" s="1"/>
  <c r="N793" i="1"/>
  <c r="BK1456" i="1"/>
  <c r="BI1456" i="1"/>
  <c r="BH1456" i="1"/>
  <c r="R1456" i="1" s="1"/>
  <c r="BU1456" i="1" s="1"/>
  <c r="BW1456" i="1" s="1"/>
  <c r="BG1456" i="1"/>
  <c r="N1456" i="1"/>
  <c r="BK3193" i="1"/>
  <c r="BI3193" i="1"/>
  <c r="BH3193" i="1"/>
  <c r="R3193" i="1" s="1"/>
  <c r="BG3193" i="1"/>
  <c r="BF3193" i="1"/>
  <c r="CI3193" i="1" s="1"/>
  <c r="CJ3193" i="1" s="1"/>
  <c r="N3193" i="1"/>
  <c r="BK1080" i="1"/>
  <c r="BI1080" i="1"/>
  <c r="BH1080" i="1"/>
  <c r="R1080" i="1" s="1"/>
  <c r="BU1080" i="1" s="1"/>
  <c r="BW1080" i="1" s="1"/>
  <c r="BG1080" i="1"/>
  <c r="N1080" i="1"/>
  <c r="BK2250" i="1"/>
  <c r="BI2250" i="1"/>
  <c r="BH2250" i="1"/>
  <c r="R2250" i="1" s="1"/>
  <c r="BG2250" i="1"/>
  <c r="BF2250" i="1"/>
  <c r="CI2250" i="1" s="1"/>
  <c r="CJ2250" i="1" s="1"/>
  <c r="N2250" i="1"/>
  <c r="BK1403" i="1"/>
  <c r="BI1403" i="1"/>
  <c r="BH1403" i="1"/>
  <c r="R1403" i="1" s="1"/>
  <c r="BU1403" i="1" s="1"/>
  <c r="BW1403" i="1" s="1"/>
  <c r="BG1403" i="1"/>
  <c r="N1403" i="1"/>
  <c r="BK2028" i="1"/>
  <c r="BI2028" i="1"/>
  <c r="BH2028" i="1"/>
  <c r="R2028" i="1" s="1"/>
  <c r="BG2028" i="1"/>
  <c r="BF2028" i="1"/>
  <c r="N2028" i="1"/>
  <c r="BK387" i="1"/>
  <c r="BI387" i="1"/>
  <c r="BH387" i="1"/>
  <c r="R387" i="1" s="1"/>
  <c r="BG387" i="1"/>
  <c r="BR387" i="1" s="1"/>
  <c r="CA387" i="1" s="1"/>
  <c r="BF387" i="1"/>
  <c r="BK325" i="1"/>
  <c r="BI325" i="1"/>
  <c r="BH325" i="1"/>
  <c r="R325" i="1" s="1"/>
  <c r="BG325" i="1"/>
  <c r="BF325" i="1"/>
  <c r="N325" i="1"/>
  <c r="BK1124" i="1"/>
  <c r="BI1124" i="1"/>
  <c r="BH1124" i="1"/>
  <c r="R1124" i="1" s="1"/>
  <c r="BG1124" i="1"/>
  <c r="BF1124" i="1"/>
  <c r="N1124" i="1"/>
  <c r="BK3192" i="1"/>
  <c r="BI3192" i="1"/>
  <c r="BH3192" i="1"/>
  <c r="R3192" i="1" s="1"/>
  <c r="BG3192" i="1"/>
  <c r="BF3192" i="1"/>
  <c r="CI3192" i="1" s="1"/>
  <c r="CJ3192" i="1" s="1"/>
  <c r="N3192" i="1"/>
  <c r="BK1598" i="1"/>
  <c r="BI1598" i="1"/>
  <c r="BH1598" i="1"/>
  <c r="R1598" i="1" s="1"/>
  <c r="BG1598" i="1"/>
  <c r="BF1598" i="1"/>
  <c r="N1598" i="1"/>
  <c r="BK3191" i="1"/>
  <c r="BI3191" i="1"/>
  <c r="BH3191" i="1"/>
  <c r="R3191" i="1" s="1"/>
  <c r="BG3191" i="1"/>
  <c r="BF3191" i="1"/>
  <c r="CI3191" i="1" s="1"/>
  <c r="CJ3191" i="1" s="1"/>
  <c r="N3191" i="1"/>
  <c r="BK1911" i="1"/>
  <c r="BI1911" i="1"/>
  <c r="BH1911" i="1"/>
  <c r="R1911" i="1" s="1"/>
  <c r="BG1911" i="1"/>
  <c r="BF1911" i="1"/>
  <c r="CI1911" i="1" s="1"/>
  <c r="CJ1911" i="1" s="1"/>
  <c r="N1911" i="1"/>
  <c r="BK154" i="1"/>
  <c r="BI154" i="1"/>
  <c r="BH154" i="1"/>
  <c r="R154" i="1" s="1"/>
  <c r="BG154" i="1"/>
  <c r="BF154" i="1"/>
  <c r="N154" i="1"/>
  <c r="BK1320" i="1"/>
  <c r="BI1320" i="1"/>
  <c r="BH1320" i="1"/>
  <c r="R1320" i="1" s="1"/>
  <c r="Q1320" i="1"/>
  <c r="N1320" i="1"/>
  <c r="BK1067" i="1"/>
  <c r="BI1067" i="1"/>
  <c r="BH1067" i="1"/>
  <c r="R1067" i="1" s="1"/>
  <c r="BG1067" i="1"/>
  <c r="BF1067" i="1"/>
  <c r="N1067" i="1"/>
  <c r="BK1993" i="1"/>
  <c r="BI1993" i="1"/>
  <c r="BH1993" i="1"/>
  <c r="R1993" i="1" s="1"/>
  <c r="BG1993" i="1"/>
  <c r="BX1993" i="1"/>
  <c r="N1993" i="1"/>
  <c r="BK2045" i="1"/>
  <c r="BI2045" i="1"/>
  <c r="BH2045" i="1"/>
  <c r="R2045" i="1" s="1"/>
  <c r="Q2045" i="1"/>
  <c r="N2045" i="1"/>
  <c r="BK2139" i="1"/>
  <c r="BI2139" i="1"/>
  <c r="BH2139" i="1"/>
  <c r="R2139" i="1" s="1"/>
  <c r="BG2139" i="1"/>
  <c r="BF2139" i="1"/>
  <c r="N2139" i="1"/>
  <c r="BK1841" i="1"/>
  <c r="BI1841" i="1"/>
  <c r="BH1841" i="1"/>
  <c r="R1841" i="1" s="1"/>
  <c r="BG1841" i="1"/>
  <c r="BR1841" i="1" s="1"/>
  <c r="CA1841" i="1" s="1"/>
  <c r="BF1841" i="1"/>
  <c r="BK3190" i="1"/>
  <c r="BI3190" i="1"/>
  <c r="BH3190" i="1"/>
  <c r="R3190" i="1" s="1"/>
  <c r="Q3190" i="1"/>
  <c r="N3190" i="1"/>
  <c r="BK3189" i="1"/>
  <c r="BI3189" i="1"/>
  <c r="BH3189" i="1"/>
  <c r="R3189" i="1" s="1"/>
  <c r="BG3189" i="1"/>
  <c r="BF3189" i="1"/>
  <c r="CI3189" i="1" s="1"/>
  <c r="CJ3189" i="1" s="1"/>
  <c r="N3189" i="1"/>
  <c r="BK1426" i="1"/>
  <c r="BI1426" i="1"/>
  <c r="BH1426" i="1"/>
  <c r="R1426" i="1" s="1"/>
  <c r="BG1426" i="1"/>
  <c r="BF1426" i="1"/>
  <c r="CI1426" i="1" s="1"/>
  <c r="CJ1426" i="1" s="1"/>
  <c r="N1426" i="1"/>
  <c r="BK1593" i="1"/>
  <c r="BI1593" i="1"/>
  <c r="BH1593" i="1"/>
  <c r="R1593" i="1" s="1"/>
  <c r="BG1593" i="1"/>
  <c r="BF1593" i="1"/>
  <c r="N1593" i="1"/>
  <c r="BK3188" i="1"/>
  <c r="BI3188" i="1"/>
  <c r="BH3188" i="1"/>
  <c r="R3188" i="1" s="1"/>
  <c r="BU3188" i="1" s="1"/>
  <c r="BW3188" i="1" s="1"/>
  <c r="BG3188" i="1"/>
  <c r="N3188" i="1"/>
  <c r="BK2368" i="1"/>
  <c r="BI2368" i="1"/>
  <c r="BH2368" i="1"/>
  <c r="R2368" i="1" s="1"/>
  <c r="BG2368" i="1"/>
  <c r="BF2368" i="1"/>
  <c r="N2368" i="1"/>
  <c r="BK1741" i="1"/>
  <c r="BI1741" i="1"/>
  <c r="BH1741" i="1"/>
  <c r="R1741" i="1" s="1"/>
  <c r="BU1741" i="1" s="1"/>
  <c r="BW1741" i="1" s="1"/>
  <c r="BG1741" i="1"/>
  <c r="N1741" i="1"/>
  <c r="BK2435" i="1"/>
  <c r="BI2435" i="1"/>
  <c r="BH2435" i="1"/>
  <c r="R2435" i="1" s="1"/>
  <c r="BG2435" i="1"/>
  <c r="BF2435" i="1"/>
  <c r="CI2435" i="1" s="1"/>
  <c r="CJ2435" i="1" s="1"/>
  <c r="N2435" i="1"/>
  <c r="BK2056" i="1"/>
  <c r="BI2056" i="1"/>
  <c r="BH2056" i="1"/>
  <c r="R2056" i="1" s="1"/>
  <c r="BG2056" i="1"/>
  <c r="BF2056" i="1"/>
  <c r="N2056" i="1"/>
  <c r="BK3187" i="1"/>
  <c r="BI3187" i="1"/>
  <c r="BH3187" i="1"/>
  <c r="R3187" i="1" s="1"/>
  <c r="BG3187" i="1"/>
  <c r="BF3187" i="1"/>
  <c r="N3187" i="1"/>
  <c r="BK3186" i="1"/>
  <c r="BI3186" i="1"/>
  <c r="BH3186" i="1"/>
  <c r="R3186" i="1" s="1"/>
  <c r="BG3186" i="1"/>
  <c r="BF3186" i="1"/>
  <c r="N3186" i="1"/>
  <c r="BK567" i="1"/>
  <c r="BI567" i="1"/>
  <c r="BH567" i="1"/>
  <c r="R567" i="1" s="1"/>
  <c r="BG567" i="1"/>
  <c r="BF567" i="1"/>
  <c r="N567" i="1"/>
  <c r="BK1667" i="1"/>
  <c r="BI1667" i="1"/>
  <c r="BH1667" i="1"/>
  <c r="R1667" i="1" s="1"/>
  <c r="BG1667" i="1"/>
  <c r="BF1667" i="1"/>
  <c r="N1667" i="1"/>
  <c r="BK1632" i="1"/>
  <c r="BI1632" i="1"/>
  <c r="BH1632" i="1"/>
  <c r="R1632" i="1" s="1"/>
  <c r="BG1632" i="1"/>
  <c r="BF1632" i="1"/>
  <c r="N1632" i="1"/>
  <c r="BK701" i="1"/>
  <c r="BI701" i="1"/>
  <c r="BH701" i="1"/>
  <c r="R701" i="1" s="1"/>
  <c r="BG701" i="1"/>
  <c r="N701" i="1"/>
  <c r="BK190" i="1"/>
  <c r="BI190" i="1"/>
  <c r="BH190" i="1"/>
  <c r="R190" i="1" s="1"/>
  <c r="BG190" i="1"/>
  <c r="BF190" i="1"/>
  <c r="N190" i="1"/>
  <c r="BK496" i="1"/>
  <c r="BI496" i="1"/>
  <c r="BH496" i="1"/>
  <c r="R496" i="1" s="1"/>
  <c r="BG496" i="1"/>
  <c r="BF496" i="1"/>
  <c r="N496" i="1"/>
  <c r="BK3185" i="1"/>
  <c r="BI3185" i="1"/>
  <c r="BH3185" i="1"/>
  <c r="R3185" i="1" s="1"/>
  <c r="BG3185" i="1"/>
  <c r="BF3185" i="1"/>
  <c r="CI3185" i="1" s="1"/>
  <c r="CJ3185" i="1" s="1"/>
  <c r="N3185" i="1"/>
  <c r="BK361" i="1"/>
  <c r="BI361" i="1"/>
  <c r="BH361" i="1"/>
  <c r="R361" i="1" s="1"/>
  <c r="BG361" i="1"/>
  <c r="BF361" i="1"/>
  <c r="N361" i="1"/>
  <c r="BK1991" i="1"/>
  <c r="BI1991" i="1"/>
  <c r="BH1991" i="1"/>
  <c r="R1991" i="1" s="1"/>
  <c r="BG1991" i="1"/>
  <c r="BF1991" i="1"/>
  <c r="N1991" i="1"/>
  <c r="BK1136" i="1"/>
  <c r="BI1136" i="1"/>
  <c r="BH1136" i="1"/>
  <c r="R1136" i="1" s="1"/>
  <c r="Q1136" i="1"/>
  <c r="N1136" i="1"/>
  <c r="BK1323" i="1"/>
  <c r="BI1323" i="1"/>
  <c r="BH1323" i="1"/>
  <c r="R1323" i="1" s="1"/>
  <c r="BG1323" i="1"/>
  <c r="BF1323" i="1"/>
  <c r="N1323" i="1"/>
  <c r="BK620" i="1"/>
  <c r="BI620" i="1"/>
  <c r="BH620" i="1"/>
  <c r="R620" i="1" s="1"/>
  <c r="BG620" i="1"/>
  <c r="BF620" i="1"/>
  <c r="N620" i="1"/>
  <c r="BK1637" i="1"/>
  <c r="BI1637" i="1"/>
  <c r="BH1637" i="1"/>
  <c r="R1637" i="1" s="1"/>
  <c r="BG1637" i="1"/>
  <c r="BF1637" i="1"/>
  <c r="CI1637" i="1" s="1"/>
  <c r="CJ1637" i="1" s="1"/>
  <c r="N1637" i="1"/>
  <c r="BK2501" i="1"/>
  <c r="BI2501" i="1"/>
  <c r="BH2501" i="1"/>
  <c r="R2501" i="1" s="1"/>
  <c r="BG2501" i="1"/>
  <c r="BF2501" i="1"/>
  <c r="CI2501" i="1" s="1"/>
  <c r="CJ2501" i="1" s="1"/>
  <c r="N2501" i="1"/>
  <c r="BK2231" i="1"/>
  <c r="BI2231" i="1"/>
  <c r="BH2231" i="1"/>
  <c r="R2231" i="1" s="1"/>
  <c r="BU2231" i="1" s="1"/>
  <c r="BW2231" i="1" s="1"/>
  <c r="BG2231" i="1"/>
  <c r="N2231" i="1"/>
  <c r="BK2500" i="1"/>
  <c r="BI2500" i="1"/>
  <c r="BH2500" i="1"/>
  <c r="R2500" i="1" s="1"/>
  <c r="BG2500" i="1"/>
  <c r="BF2500" i="1"/>
  <c r="N2500" i="1"/>
  <c r="BK3184" i="1"/>
  <c r="BI3184" i="1"/>
  <c r="BH3184" i="1"/>
  <c r="R3184" i="1" s="1"/>
  <c r="BG3184" i="1"/>
  <c r="BF3184" i="1"/>
  <c r="N3184" i="1"/>
  <c r="BK3182" i="1"/>
  <c r="BI3182" i="1"/>
  <c r="BH3182" i="1"/>
  <c r="R3182" i="1" s="1"/>
  <c r="BG3182" i="1"/>
  <c r="BF3182" i="1"/>
  <c r="N3182" i="1"/>
  <c r="BK3183" i="1"/>
  <c r="BI3183" i="1"/>
  <c r="BH3183" i="1"/>
  <c r="R3183" i="1" s="1"/>
  <c r="BG3183" i="1"/>
  <c r="BF3183" i="1"/>
  <c r="N3183" i="1"/>
  <c r="BK3181" i="1"/>
  <c r="BI3181" i="1"/>
  <c r="BH3181" i="1"/>
  <c r="R3181" i="1" s="1"/>
  <c r="BG3181" i="1"/>
  <c r="BF3181" i="1"/>
  <c r="N3181" i="1"/>
  <c r="BK3180" i="1"/>
  <c r="BI3180" i="1"/>
  <c r="BH3180" i="1"/>
  <c r="R3180" i="1" s="1"/>
  <c r="BG3180" i="1"/>
  <c r="BF3180" i="1"/>
  <c r="N3180" i="1"/>
  <c r="BK1134" i="1"/>
  <c r="BI1134" i="1"/>
  <c r="BH1134" i="1"/>
  <c r="R1134" i="1" s="1"/>
  <c r="BG1134" i="1"/>
  <c r="BF1134" i="1"/>
  <c r="N1134" i="1"/>
  <c r="BK1024" i="1"/>
  <c r="BI1024" i="1"/>
  <c r="BH1024" i="1"/>
  <c r="R1024" i="1" s="1"/>
  <c r="BG1024" i="1"/>
  <c r="BR1024" i="1" s="1"/>
  <c r="CA1024" i="1" s="1"/>
  <c r="BF1024" i="1"/>
  <c r="BK3179" i="1"/>
  <c r="BI3179" i="1"/>
  <c r="BH3179" i="1"/>
  <c r="R3179" i="1" s="1"/>
  <c r="BG3179" i="1"/>
  <c r="BF3179" i="1"/>
  <c r="CI3179" i="1" s="1"/>
  <c r="CJ3179" i="1" s="1"/>
  <c r="N3179" i="1"/>
  <c r="BK1766" i="1"/>
  <c r="BI1766" i="1"/>
  <c r="BH1766" i="1"/>
  <c r="R1766" i="1" s="1"/>
  <c r="BG1766" i="1"/>
  <c r="BF1766" i="1"/>
  <c r="N1766" i="1"/>
  <c r="BK1806" i="1"/>
  <c r="BI1806" i="1"/>
  <c r="BH1806" i="1"/>
  <c r="R1806" i="1" s="1"/>
  <c r="BG1806" i="1"/>
  <c r="BX1806" i="1"/>
  <c r="N1806" i="1"/>
  <c r="BK2060" i="1"/>
  <c r="BI2060" i="1"/>
  <c r="BH2060" i="1"/>
  <c r="R2060" i="1" s="1"/>
  <c r="BG2060" i="1"/>
  <c r="BR2060" i="1" s="1"/>
  <c r="CA2060" i="1" s="1"/>
  <c r="BF2060" i="1"/>
  <c r="BK2129" i="1"/>
  <c r="BI2129" i="1"/>
  <c r="BH2129" i="1"/>
  <c r="R2129" i="1" s="1"/>
  <c r="BG2129" i="1"/>
  <c r="BR2129" i="1" s="1"/>
  <c r="CA2129" i="1" s="1"/>
  <c r="BF2129" i="1"/>
  <c r="BK1989" i="1"/>
  <c r="BI1989" i="1"/>
  <c r="BH1989" i="1"/>
  <c r="R1989" i="1" s="1"/>
  <c r="BU1989" i="1" s="1"/>
  <c r="BW1989" i="1" s="1"/>
  <c r="BG1989" i="1"/>
  <c r="N1989" i="1"/>
  <c r="BK2112" i="1"/>
  <c r="BI2112" i="1"/>
  <c r="BH2112" i="1"/>
  <c r="R2112" i="1" s="1"/>
  <c r="BG2112" i="1"/>
  <c r="BR2112" i="1" s="1"/>
  <c r="CA2112" i="1" s="1"/>
  <c r="BF2112" i="1"/>
  <c r="BK844" i="1"/>
  <c r="BI844" i="1"/>
  <c r="BH844" i="1"/>
  <c r="R844" i="1" s="1"/>
  <c r="BG844" i="1"/>
  <c r="BR844" i="1" s="1"/>
  <c r="CA844" i="1" s="1"/>
  <c r="BF844" i="1"/>
  <c r="BK807" i="1"/>
  <c r="BI807" i="1"/>
  <c r="BH807" i="1"/>
  <c r="R807" i="1" s="1"/>
  <c r="BG807" i="1"/>
  <c r="BR807" i="1" s="1"/>
  <c r="CA807" i="1" s="1"/>
  <c r="BF807" i="1"/>
  <c r="BK564" i="1"/>
  <c r="BI564" i="1"/>
  <c r="BH564" i="1"/>
  <c r="R564" i="1" s="1"/>
  <c r="BG564" i="1"/>
  <c r="BF564" i="1"/>
  <c r="N564" i="1"/>
  <c r="BK574" i="1"/>
  <c r="BI574" i="1"/>
  <c r="BH574" i="1"/>
  <c r="R574" i="1" s="1"/>
  <c r="BG574" i="1"/>
  <c r="BF574" i="1"/>
  <c r="N574" i="1"/>
  <c r="BK397" i="1"/>
  <c r="BI397" i="1"/>
  <c r="BH397" i="1"/>
  <c r="R397" i="1" s="1"/>
  <c r="BG397" i="1"/>
  <c r="BF397" i="1"/>
  <c r="N397" i="1"/>
  <c r="BK3178" i="1"/>
  <c r="BI3178" i="1"/>
  <c r="BH3178" i="1"/>
  <c r="R3178" i="1" s="1"/>
  <c r="BG3178" i="1"/>
  <c r="BF3178" i="1"/>
  <c r="CI3178" i="1" s="1"/>
  <c r="CJ3178" i="1" s="1"/>
  <c r="N3178" i="1"/>
  <c r="BK3177" i="1"/>
  <c r="BI3177" i="1"/>
  <c r="BH3177" i="1"/>
  <c r="R3177" i="1" s="1"/>
  <c r="BU3177" i="1" s="1"/>
  <c r="BW3177" i="1" s="1"/>
  <c r="BG3177" i="1"/>
  <c r="N3177" i="1"/>
  <c r="BK3176" i="1"/>
  <c r="BI3176" i="1"/>
  <c r="BH3176" i="1"/>
  <c r="R3176" i="1" s="1"/>
  <c r="BG3176" i="1"/>
  <c r="BF3176" i="1"/>
  <c r="CI3176" i="1" s="1"/>
  <c r="CJ3176" i="1" s="1"/>
  <c r="N3176" i="1"/>
  <c r="BK1668" i="1"/>
  <c r="BI1668" i="1"/>
  <c r="BH1668" i="1"/>
  <c r="R1668" i="1" s="1"/>
  <c r="BG1668" i="1"/>
  <c r="BR1668" i="1" s="1"/>
  <c r="CA1668" i="1" s="1"/>
  <c r="BF1668" i="1"/>
  <c r="BK489" i="1"/>
  <c r="BI489" i="1"/>
  <c r="BH489" i="1"/>
  <c r="R489" i="1" s="1"/>
  <c r="BG489" i="1"/>
  <c r="BF489" i="1"/>
  <c r="CI489" i="1" s="1"/>
  <c r="CJ489" i="1" s="1"/>
  <c r="N489" i="1"/>
  <c r="BK893" i="1"/>
  <c r="BI893" i="1"/>
  <c r="BH893" i="1"/>
  <c r="R893" i="1" s="1"/>
  <c r="BG893" i="1"/>
  <c r="BF893" i="1"/>
  <c r="CI893" i="1" s="1"/>
  <c r="CJ893" i="1" s="1"/>
  <c r="N893" i="1"/>
  <c r="BK3175" i="1"/>
  <c r="BI3175" i="1"/>
  <c r="BH3175" i="1"/>
  <c r="R3175" i="1" s="1"/>
  <c r="BG3175" i="1"/>
  <c r="BF3175" i="1"/>
  <c r="CI3175" i="1" s="1"/>
  <c r="CJ3175" i="1" s="1"/>
  <c r="N3175" i="1"/>
  <c r="BK656" i="1"/>
  <c r="BI656" i="1"/>
  <c r="BH656" i="1"/>
  <c r="R656" i="1" s="1"/>
  <c r="BG656" i="1"/>
  <c r="BF656" i="1"/>
  <c r="CI656" i="1" s="1"/>
  <c r="CJ656" i="1" s="1"/>
  <c r="N656" i="1"/>
  <c r="BK3174" i="1"/>
  <c r="BI3174" i="1"/>
  <c r="BH3174" i="1"/>
  <c r="R3174" i="1" s="1"/>
  <c r="BG3174" i="1"/>
  <c r="BF3174" i="1"/>
  <c r="N3174" i="1"/>
  <c r="BK3173" i="1"/>
  <c r="BI3173" i="1"/>
  <c r="BH3173" i="1"/>
  <c r="R3173" i="1" s="1"/>
  <c r="BG3173" i="1"/>
  <c r="BF3173" i="1"/>
  <c r="CI3173" i="1" s="1"/>
  <c r="CJ3173" i="1" s="1"/>
  <c r="N3173" i="1"/>
  <c r="BK1093" i="1"/>
  <c r="BI1093" i="1"/>
  <c r="BH1093" i="1"/>
  <c r="R1093" i="1" s="1"/>
  <c r="BG1093" i="1"/>
  <c r="BF1093" i="1"/>
  <c r="N1093" i="1"/>
  <c r="BK2398" i="1"/>
  <c r="BI2398" i="1"/>
  <c r="BH2398" i="1"/>
  <c r="R2398" i="1" s="1"/>
  <c r="Q2398" i="1"/>
  <c r="BK1560" i="1"/>
  <c r="BI1560" i="1"/>
  <c r="BH1560" i="1"/>
  <c r="R1560" i="1" s="1"/>
  <c r="BG1560" i="1"/>
  <c r="BF1560" i="1"/>
  <c r="CI1560" i="1" s="1"/>
  <c r="CJ1560" i="1" s="1"/>
  <c r="N1560" i="1"/>
  <c r="BK1349" i="1"/>
  <c r="BI1349" i="1"/>
  <c r="BH1349" i="1"/>
  <c r="R1349" i="1" s="1"/>
  <c r="BG1349" i="1"/>
  <c r="BF1349" i="1"/>
  <c r="N1349" i="1"/>
  <c r="BK770" i="1"/>
  <c r="BI770" i="1"/>
  <c r="BH770" i="1"/>
  <c r="R770" i="1" s="1"/>
  <c r="BG770" i="1"/>
  <c r="BF770" i="1"/>
  <c r="CI770" i="1" s="1"/>
  <c r="CJ770" i="1" s="1"/>
  <c r="N770" i="1"/>
  <c r="BH3097" i="1"/>
  <c r="BG3097" i="1"/>
  <c r="BF3097" i="1"/>
  <c r="CI3097" i="1" s="1"/>
  <c r="CJ3097" i="1" s="1"/>
  <c r="N3097" i="1"/>
  <c r="BH857" i="1"/>
  <c r="BG857" i="1"/>
  <c r="BF857" i="1"/>
  <c r="N857" i="1"/>
  <c r="BH185" i="1"/>
  <c r="BG185" i="1"/>
  <c r="BR185" i="1" s="1"/>
  <c r="CA185" i="1" s="1"/>
  <c r="BF185" i="1"/>
  <c r="CI185" i="1" s="1"/>
  <c r="CJ185" i="1" s="1"/>
  <c r="BH2288" i="1"/>
  <c r="BG2288" i="1"/>
  <c r="BF2288" i="1"/>
  <c r="CI2288" i="1" s="1"/>
  <c r="CJ2288" i="1" s="1"/>
  <c r="N2288" i="1"/>
  <c r="BH1145" i="1"/>
  <c r="BG1145" i="1"/>
  <c r="BF1145" i="1"/>
  <c r="CI1145" i="1" s="1"/>
  <c r="CJ1145" i="1" s="1"/>
  <c r="N1145" i="1"/>
  <c r="BH3172" i="1"/>
  <c r="BG3172" i="1"/>
  <c r="BF3172" i="1"/>
  <c r="N3172" i="1"/>
  <c r="BH3171" i="1"/>
  <c r="BG3171" i="1"/>
  <c r="BF3171" i="1"/>
  <c r="N3171" i="1"/>
  <c r="BK814" i="1"/>
  <c r="BI814" i="1"/>
  <c r="BH814" i="1"/>
  <c r="R814" i="1" s="1"/>
  <c r="BG814" i="1"/>
  <c r="BF814" i="1"/>
  <c r="N814" i="1"/>
  <c r="BH1773" i="1"/>
  <c r="BG1773" i="1"/>
  <c r="BF1773" i="1"/>
  <c r="CI1773" i="1" s="1"/>
  <c r="CJ1773" i="1" s="1"/>
  <c r="N1773" i="1"/>
  <c r="BH2090" i="1"/>
  <c r="BG2090" i="1"/>
  <c r="BR2090" i="1" s="1"/>
  <c r="CA2090" i="1" s="1"/>
  <c r="BF2090" i="1"/>
  <c r="CI2090" i="1" s="1"/>
  <c r="CJ2090" i="1" s="1"/>
  <c r="BH1064" i="1"/>
  <c r="BG1064" i="1"/>
  <c r="BR1064" i="1" s="1"/>
  <c r="CA1064" i="1" s="1"/>
  <c r="BF1064" i="1"/>
  <c r="CI1064" i="1" s="1"/>
  <c r="CJ1064" i="1" s="1"/>
  <c r="BH1391" i="1"/>
  <c r="BG1391" i="1"/>
  <c r="BF1391" i="1"/>
  <c r="CI1391" i="1" s="1"/>
  <c r="CJ1391" i="1" s="1"/>
  <c r="N1391" i="1"/>
  <c r="BH897" i="1"/>
  <c r="BG897" i="1"/>
  <c r="BF897" i="1"/>
  <c r="CI897" i="1" s="1"/>
  <c r="CJ897" i="1" s="1"/>
  <c r="N897" i="1"/>
  <c r="BH2304" i="1"/>
  <c r="BG2304" i="1"/>
  <c r="BF2304" i="1"/>
  <c r="CI2304" i="1" s="1"/>
  <c r="CJ2304" i="1" s="1"/>
  <c r="N2304" i="1"/>
  <c r="BH2065" i="1"/>
  <c r="BG2065" i="1"/>
  <c r="BR2065" i="1" s="1"/>
  <c r="CA2065" i="1" s="1"/>
  <c r="BF2065" i="1"/>
  <c r="CI2065" i="1" s="1"/>
  <c r="CJ2065" i="1" s="1"/>
  <c r="BH3170" i="1"/>
  <c r="BG3170" i="1"/>
  <c r="N3170" i="1"/>
  <c r="BH1341" i="1"/>
  <c r="N1341" i="1"/>
  <c r="BK576" i="1"/>
  <c r="BI576" i="1"/>
  <c r="BH576" i="1"/>
  <c r="R576" i="1" s="1"/>
  <c r="BG576" i="1"/>
  <c r="BF576" i="1"/>
  <c r="N576" i="1"/>
  <c r="BH1693" i="1"/>
  <c r="BG1693" i="1"/>
  <c r="BF1693" i="1"/>
  <c r="N1693" i="1"/>
  <c r="BH1169" i="1"/>
  <c r="BG1169" i="1"/>
  <c r="BF1169" i="1"/>
  <c r="CI1169" i="1" s="1"/>
  <c r="CJ1169" i="1" s="1"/>
  <c r="N1169" i="1"/>
  <c r="BH2261" i="1"/>
  <c r="BG2261" i="1"/>
  <c r="N2261" i="1"/>
  <c r="BH2636" i="1"/>
  <c r="BG2636" i="1"/>
  <c r="BF2636" i="1"/>
  <c r="CI2636" i="1" s="1"/>
  <c r="CJ2636" i="1" s="1"/>
  <c r="N2636" i="1"/>
  <c r="BH1327" i="1"/>
  <c r="BG1327" i="1"/>
  <c r="BF1327" i="1"/>
  <c r="CI1327" i="1" s="1"/>
  <c r="CJ1327" i="1" s="1"/>
  <c r="N1327" i="1"/>
  <c r="BH3169" i="1"/>
  <c r="BG3169" i="1"/>
  <c r="BR3169" i="1" s="1"/>
  <c r="CA3169" i="1" s="1"/>
  <c r="BF3169" i="1"/>
  <c r="CI3169" i="1" s="1"/>
  <c r="CJ3169" i="1" s="1"/>
  <c r="BH1734" i="1"/>
  <c r="BG1734" i="1"/>
  <c r="BF1734" i="1"/>
  <c r="CI1734" i="1" s="1"/>
  <c r="CJ1734" i="1" s="1"/>
  <c r="N1734" i="1"/>
  <c r="BH3168" i="1"/>
  <c r="BG3168" i="1"/>
  <c r="BF3168" i="1"/>
  <c r="N3168" i="1"/>
  <c r="BH1835" i="1"/>
  <c r="BG1835" i="1"/>
  <c r="N1835" i="1"/>
  <c r="BK1926" i="1"/>
  <c r="BI1926" i="1"/>
  <c r="BH1926" i="1"/>
  <c r="R1926" i="1" s="1"/>
  <c r="BG1926" i="1"/>
  <c r="BF1926" i="1"/>
  <c r="N1926" i="1"/>
  <c r="BH2103" i="1"/>
  <c r="BG2103" i="1"/>
  <c r="BF2103" i="1"/>
  <c r="N2103" i="1"/>
  <c r="BH920" i="1"/>
  <c r="BG920" i="1"/>
  <c r="N920" i="1"/>
  <c r="BH3167" i="1"/>
  <c r="BG3167" i="1"/>
  <c r="BF3167" i="1"/>
  <c r="CI3167" i="1" s="1"/>
  <c r="CJ3167" i="1" s="1"/>
  <c r="N3167" i="1"/>
  <c r="BH2381" i="1"/>
  <c r="BG2381" i="1"/>
  <c r="BF2381" i="1"/>
  <c r="CI2381" i="1" s="1"/>
  <c r="CJ2381" i="1" s="1"/>
  <c r="N2381" i="1"/>
  <c r="BH895" i="1"/>
  <c r="BG895" i="1"/>
  <c r="BF895" i="1"/>
  <c r="CI895" i="1" s="1"/>
  <c r="CJ895" i="1" s="1"/>
  <c r="N895" i="1"/>
  <c r="BH3131" i="1"/>
  <c r="BG3131" i="1"/>
  <c r="BZ3131" i="1"/>
  <c r="N3131" i="1"/>
  <c r="BH974" i="1"/>
  <c r="BG974" i="1"/>
  <c r="BF974" i="1"/>
  <c r="CI974" i="1" s="1"/>
  <c r="CJ974" i="1" s="1"/>
  <c r="N974" i="1"/>
  <c r="BH1017" i="1"/>
  <c r="BG1017" i="1"/>
  <c r="BF1017" i="1"/>
  <c r="CI1017" i="1" s="1"/>
  <c r="CJ1017" i="1" s="1"/>
  <c r="N1017" i="1"/>
  <c r="BK1730" i="1"/>
  <c r="BI1730" i="1"/>
  <c r="BH1730" i="1"/>
  <c r="R1730" i="1" s="1"/>
  <c r="BG1730" i="1"/>
  <c r="BF1730" i="1"/>
  <c r="N1730" i="1"/>
  <c r="BH3166" i="1"/>
  <c r="BG3166" i="1"/>
  <c r="BR3166" i="1" s="1"/>
  <c r="CA3166" i="1" s="1"/>
  <c r="BF3166" i="1"/>
  <c r="CI3166" i="1" s="1"/>
  <c r="CJ3166" i="1" s="1"/>
  <c r="BH2419" i="1"/>
  <c r="BG2419" i="1"/>
  <c r="N2419" i="1"/>
  <c r="BH1294" i="1"/>
  <c r="BG1294" i="1"/>
  <c r="BF1294" i="1"/>
  <c r="CI1294" i="1" s="1"/>
  <c r="CJ1294" i="1" s="1"/>
  <c r="N1294" i="1"/>
  <c r="BH1748" i="1"/>
  <c r="BG1748" i="1"/>
  <c r="BF1748" i="1"/>
  <c r="N1748" i="1"/>
  <c r="BH1943" i="1"/>
  <c r="BG1943" i="1"/>
  <c r="BF1943" i="1"/>
  <c r="CI1943" i="1" s="1"/>
  <c r="CJ1943" i="1" s="1"/>
  <c r="N1943" i="1"/>
  <c r="BH3165" i="1"/>
  <c r="BG3165" i="1"/>
  <c r="BF3165" i="1"/>
  <c r="N3165" i="1"/>
  <c r="BH1648" i="1"/>
  <c r="N1648" i="1"/>
  <c r="BH1819" i="1"/>
  <c r="BG1819" i="1"/>
  <c r="BF1819" i="1"/>
  <c r="N1819" i="1"/>
  <c r="BH1879" i="1"/>
  <c r="BG1879" i="1"/>
  <c r="BF1879" i="1"/>
  <c r="CI1879" i="1" s="1"/>
  <c r="CJ1879" i="1" s="1"/>
  <c r="N1879" i="1"/>
  <c r="BK411" i="1"/>
  <c r="BI411" i="1"/>
  <c r="BH411" i="1"/>
  <c r="R411" i="1" s="1"/>
  <c r="BG411" i="1"/>
  <c r="BF411" i="1"/>
  <c r="N411" i="1"/>
  <c r="BH506" i="1"/>
  <c r="BG506" i="1"/>
  <c r="BF506" i="1"/>
  <c r="CI506" i="1" s="1"/>
  <c r="CJ506" i="1" s="1"/>
  <c r="N506" i="1"/>
  <c r="BH430" i="1"/>
  <c r="BG430" i="1"/>
  <c r="BF430" i="1"/>
  <c r="CI430" i="1" s="1"/>
  <c r="CJ430" i="1" s="1"/>
  <c r="N430" i="1"/>
  <c r="BH165" i="1"/>
  <c r="BG165" i="1"/>
  <c r="BF165" i="1"/>
  <c r="CI165" i="1" s="1"/>
  <c r="CJ165" i="1" s="1"/>
  <c r="N165" i="1"/>
  <c r="BH2154" i="1"/>
  <c r="BG2154" i="1"/>
  <c r="BF2154" i="1"/>
  <c r="N2154" i="1"/>
  <c r="BH3164" i="1"/>
  <c r="BG3164" i="1"/>
  <c r="BF3164" i="1"/>
  <c r="CI3164" i="1" s="1"/>
  <c r="CJ3164" i="1" s="1"/>
  <c r="N3164" i="1"/>
  <c r="BH2504" i="1"/>
  <c r="BG2504" i="1"/>
  <c r="N2504" i="1"/>
  <c r="BH855" i="1"/>
  <c r="BG855" i="1"/>
  <c r="BF855" i="1"/>
  <c r="CI855" i="1" s="1"/>
  <c r="CJ855" i="1" s="1"/>
  <c r="N855" i="1"/>
  <c r="BH2030" i="1"/>
  <c r="BG2030" i="1"/>
  <c r="BF2030" i="1"/>
  <c r="N2030" i="1"/>
  <c r="BK1267" i="1"/>
  <c r="BI1267" i="1"/>
  <c r="BH1267" i="1"/>
  <c r="R1267" i="1" s="1"/>
  <c r="BG1267" i="1"/>
  <c r="BF1267" i="1"/>
  <c r="N1267" i="1"/>
  <c r="BH3163" i="1"/>
  <c r="BG3163" i="1"/>
  <c r="N3163" i="1"/>
  <c r="BH452" i="1"/>
  <c r="BG452" i="1"/>
  <c r="BR452" i="1" s="1"/>
  <c r="CA452" i="1" s="1"/>
  <c r="BF452" i="1"/>
  <c r="CI452" i="1" s="1"/>
  <c r="CJ452" i="1" s="1"/>
  <c r="BH2003" i="1"/>
  <c r="BG2003" i="1"/>
  <c r="BF2003" i="1"/>
  <c r="CI2003" i="1" s="1"/>
  <c r="CJ2003" i="1" s="1"/>
  <c r="N2003" i="1"/>
  <c r="BH1433" i="1"/>
  <c r="BG1433" i="1"/>
  <c r="BF1433" i="1"/>
  <c r="N1433" i="1"/>
  <c r="BH191" i="1"/>
  <c r="BG191" i="1"/>
  <c r="BF191" i="1"/>
  <c r="CI191" i="1" s="1"/>
  <c r="CJ191" i="1" s="1"/>
  <c r="N191" i="1"/>
  <c r="BH415" i="1"/>
  <c r="BG415" i="1"/>
  <c r="BF415" i="1"/>
  <c r="CI415" i="1" s="1"/>
  <c r="CJ415" i="1" s="1"/>
  <c r="N415" i="1"/>
  <c r="BH1549" i="1"/>
  <c r="BG1549" i="1"/>
  <c r="BF1549" i="1"/>
  <c r="CI1549" i="1" s="1"/>
  <c r="CJ1549" i="1" s="1"/>
  <c r="N1549" i="1"/>
  <c r="BH2438" i="1"/>
  <c r="BG2438" i="1"/>
  <c r="BR2438" i="1" s="1"/>
  <c r="CA2438" i="1" s="1"/>
  <c r="BF2438" i="1"/>
  <c r="CI2438" i="1" s="1"/>
  <c r="CJ2438" i="1" s="1"/>
  <c r="BK1864" i="1"/>
  <c r="BI1864" i="1"/>
  <c r="BH1864" i="1"/>
  <c r="R1864" i="1" s="1"/>
  <c r="BG1864" i="1"/>
  <c r="BR1864" i="1" s="1"/>
  <c r="CA1864" i="1" s="1"/>
  <c r="BF1864" i="1"/>
  <c r="BH421" i="1"/>
  <c r="BG421" i="1"/>
  <c r="BR421" i="1" s="1"/>
  <c r="CA421" i="1" s="1"/>
  <c r="BF421" i="1"/>
  <c r="CI421" i="1" s="1"/>
  <c r="CJ421" i="1" s="1"/>
  <c r="BH2530" i="1"/>
  <c r="BG2530" i="1"/>
  <c r="BR2530" i="1" s="1"/>
  <c r="CA2530" i="1" s="1"/>
  <c r="BF2530" i="1"/>
  <c r="CI2530" i="1" s="1"/>
  <c r="CJ2530" i="1" s="1"/>
  <c r="BH1905" i="1"/>
  <c r="BG1905" i="1"/>
  <c r="BF1905" i="1"/>
  <c r="N1905" i="1"/>
  <c r="BH1608" i="1"/>
  <c r="BH3162" i="1"/>
  <c r="BG3162" i="1"/>
  <c r="BF3162" i="1"/>
  <c r="N3162" i="1"/>
  <c r="BH791" i="1"/>
  <c r="N791" i="1"/>
  <c r="BH3161" i="1"/>
  <c r="N3161" i="1"/>
  <c r="BH928" i="1"/>
  <c r="BG928" i="1"/>
  <c r="BF928" i="1"/>
  <c r="CI928" i="1" s="1"/>
  <c r="CJ928" i="1" s="1"/>
  <c r="N928" i="1"/>
  <c r="BH2188" i="1"/>
  <c r="BG2188" i="1"/>
  <c r="BF2188" i="1"/>
  <c r="CI2188" i="1" s="1"/>
  <c r="CJ2188" i="1" s="1"/>
  <c r="N2188" i="1"/>
  <c r="BK1049" i="1"/>
  <c r="BI1049" i="1"/>
  <c r="BH1049" i="1"/>
  <c r="R1049" i="1" s="1"/>
  <c r="BG1049" i="1"/>
  <c r="BF1049" i="1"/>
  <c r="N1049" i="1"/>
  <c r="BH429" i="1"/>
  <c r="BG429" i="1"/>
  <c r="BF429" i="1"/>
  <c r="N429" i="1"/>
  <c r="BK3160" i="1"/>
  <c r="BI3160" i="1"/>
  <c r="BH3160" i="1"/>
  <c r="R3160" i="1" s="1"/>
  <c r="BG3160" i="1"/>
  <c r="BF3160" i="1"/>
  <c r="N3160" i="1"/>
  <c r="BK2344" i="1"/>
  <c r="BI2344" i="1"/>
  <c r="BH2344" i="1"/>
  <c r="R2344" i="1" s="1"/>
  <c r="BG2344" i="1"/>
  <c r="BF2344" i="1"/>
  <c r="CI2344" i="1" s="1"/>
  <c r="CJ2344" i="1" s="1"/>
  <c r="N2344" i="1"/>
  <c r="BK1998" i="1"/>
  <c r="BI1998" i="1"/>
  <c r="BH1998" i="1"/>
  <c r="R1998" i="1" s="1"/>
  <c r="BG1998" i="1"/>
  <c r="BF1998" i="1"/>
  <c r="CI1998" i="1" s="1"/>
  <c r="CJ1998" i="1" s="1"/>
  <c r="N1998" i="1"/>
  <c r="BK168" i="1"/>
  <c r="BI168" i="1"/>
  <c r="BH168" i="1"/>
  <c r="R168" i="1" s="1"/>
  <c r="BG168" i="1"/>
  <c r="BR168" i="1" s="1"/>
  <c r="CA168" i="1" s="1"/>
  <c r="BF168" i="1"/>
  <c r="BK829" i="1"/>
  <c r="BI829" i="1"/>
  <c r="BH829" i="1"/>
  <c r="R829" i="1" s="1"/>
  <c r="BG829" i="1"/>
  <c r="BF829" i="1"/>
  <c r="N829" i="1"/>
  <c r="BK1520" i="1"/>
  <c r="BI1520" i="1"/>
  <c r="BH1520" i="1"/>
  <c r="R1520" i="1" s="1"/>
  <c r="BG1520" i="1"/>
  <c r="BF1520" i="1"/>
  <c r="CI1520" i="1" s="1"/>
  <c r="CJ1520" i="1" s="1"/>
  <c r="N1520" i="1"/>
  <c r="BK2240" i="1"/>
  <c r="BI2240" i="1"/>
  <c r="BH2240" i="1"/>
  <c r="R2240" i="1" s="1"/>
  <c r="BG2240" i="1"/>
  <c r="BF2240" i="1"/>
  <c r="CI2240" i="1" s="1"/>
  <c r="CJ2240" i="1" s="1"/>
  <c r="N2240" i="1"/>
  <c r="BK1322" i="1"/>
  <c r="BI1322" i="1"/>
  <c r="BH1322" i="1"/>
  <c r="R1322" i="1" s="1"/>
  <c r="Q1322" i="1"/>
  <c r="N1322" i="1"/>
  <c r="BK1611" i="1"/>
  <c r="BI1611" i="1"/>
  <c r="BH1611" i="1"/>
  <c r="R1611" i="1" s="1"/>
  <c r="BG1611" i="1"/>
  <c r="BF1611" i="1"/>
  <c r="N1611" i="1"/>
  <c r="BK2354" i="1"/>
  <c r="BI2354" i="1"/>
  <c r="BH2354" i="1"/>
  <c r="R2354" i="1" s="1"/>
  <c r="BG2354" i="1"/>
  <c r="BF2354" i="1"/>
  <c r="N2354" i="1"/>
  <c r="BH702" i="1"/>
  <c r="BG702" i="1"/>
  <c r="BF702" i="1"/>
  <c r="N702" i="1"/>
  <c r="BH550" i="1"/>
  <c r="BG550" i="1"/>
  <c r="BR550" i="1" s="1"/>
  <c r="CA550" i="1" s="1"/>
  <c r="BF550" i="1"/>
  <c r="CI550" i="1" s="1"/>
  <c r="CJ550" i="1" s="1"/>
  <c r="BH116" i="1"/>
  <c r="BG116" i="1"/>
  <c r="BR116" i="1" s="1"/>
  <c r="CA116" i="1" s="1"/>
  <c r="BF116" i="1"/>
  <c r="CI116" i="1" s="1"/>
  <c r="CJ116" i="1" s="1"/>
  <c r="BH1211" i="1"/>
  <c r="BG1211" i="1"/>
  <c r="BF1211" i="1"/>
  <c r="N1211" i="1"/>
  <c r="BH1287" i="1"/>
  <c r="BG1287" i="1"/>
  <c r="BF1287" i="1"/>
  <c r="N1287" i="1"/>
  <c r="BH166" i="1"/>
  <c r="BG166" i="1"/>
  <c r="BR166" i="1" s="1"/>
  <c r="CA166" i="1" s="1"/>
  <c r="BF166" i="1"/>
  <c r="CI166" i="1" s="1"/>
  <c r="CJ166" i="1" s="1"/>
  <c r="BH604" i="1"/>
  <c r="BG604" i="1"/>
  <c r="BR604" i="1" s="1"/>
  <c r="CA604" i="1" s="1"/>
  <c r="BF604" i="1"/>
  <c r="CI604" i="1" s="1"/>
  <c r="CJ604" i="1" s="1"/>
  <c r="BK2015" i="1"/>
  <c r="BI2015" i="1"/>
  <c r="BH2015" i="1"/>
  <c r="R2015" i="1" s="1"/>
  <c r="BG2015" i="1"/>
  <c r="BF2015" i="1"/>
  <c r="N2015" i="1"/>
  <c r="BH3159" i="1"/>
  <c r="BG3159" i="1"/>
  <c r="BF3159" i="1"/>
  <c r="CI3159" i="1" s="1"/>
  <c r="CJ3159" i="1" s="1"/>
  <c r="N3159" i="1"/>
  <c r="BH423" i="1"/>
  <c r="BG423" i="1"/>
  <c r="BF423" i="1"/>
  <c r="CI423" i="1" s="1"/>
  <c r="CJ423" i="1" s="1"/>
  <c r="N423" i="1"/>
  <c r="BH810" i="1"/>
  <c r="BG810" i="1"/>
  <c r="BR810" i="1" s="1"/>
  <c r="CA810" i="1" s="1"/>
  <c r="BF810" i="1"/>
  <c r="CI810" i="1" s="1"/>
  <c r="CJ810" i="1" s="1"/>
  <c r="BH3158" i="1"/>
  <c r="BG3158" i="1"/>
  <c r="BF3158" i="1"/>
  <c r="CI3158" i="1" s="1"/>
  <c r="CJ3158" i="1" s="1"/>
  <c r="N3158" i="1"/>
  <c r="BH199" i="1"/>
  <c r="BG199" i="1"/>
  <c r="BR199" i="1" s="1"/>
  <c r="CA199" i="1" s="1"/>
  <c r="BF199" i="1"/>
  <c r="CI199" i="1" s="1"/>
  <c r="CJ199" i="1" s="1"/>
  <c r="BH1758" i="1"/>
  <c r="N1758" i="1"/>
  <c r="BH3157" i="1"/>
  <c r="BG3157" i="1"/>
  <c r="BF3157" i="1"/>
  <c r="N3157" i="1"/>
  <c r="BH3156" i="1"/>
  <c r="BG3156" i="1"/>
  <c r="BF3156" i="1"/>
  <c r="N3156" i="1"/>
  <c r="BH1914" i="1"/>
  <c r="BG1914" i="1"/>
  <c r="BF1914" i="1"/>
  <c r="CI1914" i="1" s="1"/>
  <c r="CJ1914" i="1" s="1"/>
  <c r="N1914" i="1"/>
  <c r="BK3155" i="1"/>
  <c r="BI3155" i="1"/>
  <c r="BH3155" i="1"/>
  <c r="R3155" i="1" s="1"/>
  <c r="BG3155" i="1"/>
  <c r="BF3155" i="1"/>
  <c r="CI3155" i="1" s="1"/>
  <c r="CJ3155" i="1" s="1"/>
  <c r="N3155" i="1"/>
  <c r="BH3154" i="1"/>
  <c r="BG3154" i="1"/>
  <c r="BF3154" i="1"/>
  <c r="CI3154" i="1" s="1"/>
  <c r="CJ3154" i="1" s="1"/>
  <c r="N3154" i="1"/>
  <c r="BH1794" i="1"/>
  <c r="BG1794" i="1"/>
  <c r="BF1794" i="1"/>
  <c r="CI1794" i="1" s="1"/>
  <c r="CJ1794" i="1" s="1"/>
  <c r="N1794" i="1"/>
  <c r="BH456" i="1"/>
  <c r="BG456" i="1"/>
  <c r="BR456" i="1" s="1"/>
  <c r="CA456" i="1" s="1"/>
  <c r="BF456" i="1"/>
  <c r="CI456" i="1" s="1"/>
  <c r="CJ456" i="1" s="1"/>
  <c r="BH3153" i="1"/>
  <c r="BG3153" i="1"/>
  <c r="BF3153" i="1"/>
  <c r="CI3153" i="1" s="1"/>
  <c r="CJ3153" i="1" s="1"/>
  <c r="N3153" i="1"/>
  <c r="BH1295" i="1"/>
  <c r="BG1295" i="1"/>
  <c r="BF1295" i="1"/>
  <c r="N1295" i="1"/>
  <c r="BH3152" i="1"/>
  <c r="BG3152" i="1"/>
  <c r="BF3152" i="1"/>
  <c r="CI3152" i="1" s="1"/>
  <c r="CJ3152" i="1" s="1"/>
  <c r="N3152" i="1"/>
  <c r="BH1460" i="1"/>
  <c r="BG1460" i="1"/>
  <c r="N1460" i="1"/>
  <c r="BH2480" i="1"/>
  <c r="BG2480" i="1"/>
  <c r="BF2480" i="1"/>
  <c r="CI2480" i="1" s="1"/>
  <c r="CJ2480" i="1" s="1"/>
  <c r="N2480" i="1"/>
  <c r="BH1595" i="1"/>
  <c r="BG1595" i="1"/>
  <c r="BF1595" i="1"/>
  <c r="CI1595" i="1" s="1"/>
  <c r="CJ1595" i="1" s="1"/>
  <c r="N1595" i="1"/>
  <c r="BK3151" i="1"/>
  <c r="BI3151" i="1"/>
  <c r="BH3151" i="1"/>
  <c r="R3151" i="1" s="1"/>
  <c r="BG3151" i="1"/>
  <c r="BR3151" i="1" s="1"/>
  <c r="CA3151" i="1" s="1"/>
  <c r="BF3151" i="1"/>
  <c r="BH966" i="1"/>
  <c r="BG966" i="1"/>
  <c r="BF966" i="1"/>
  <c r="CI966" i="1" s="1"/>
  <c r="CJ966" i="1" s="1"/>
  <c r="N966" i="1"/>
  <c r="BH1331" i="1"/>
  <c r="BG1331" i="1"/>
  <c r="BF1331" i="1"/>
  <c r="N1331" i="1"/>
  <c r="BH1752" i="1"/>
  <c r="BG1752" i="1"/>
  <c r="BF1752" i="1"/>
  <c r="CI1752" i="1" s="1"/>
  <c r="CJ1752" i="1" s="1"/>
  <c r="N1752" i="1"/>
  <c r="BH2352" i="1"/>
  <c r="BG2352" i="1"/>
  <c r="BR2352" i="1" s="1"/>
  <c r="CA2352" i="1" s="1"/>
  <c r="BF2352" i="1"/>
  <c r="CI2352" i="1" s="1"/>
  <c r="CJ2352" i="1" s="1"/>
  <c r="BH3150" i="1"/>
  <c r="BG3150" i="1"/>
  <c r="BF3150" i="1"/>
  <c r="CI3150" i="1" s="1"/>
  <c r="CJ3150" i="1" s="1"/>
  <c r="N3150" i="1"/>
  <c r="BH1618" i="1"/>
  <c r="BG1618" i="1"/>
  <c r="BH459" i="1"/>
  <c r="N459" i="1"/>
  <c r="BH2628" i="1"/>
  <c r="BG2628" i="1"/>
  <c r="N2628" i="1"/>
  <c r="BK1674" i="1"/>
  <c r="BI1674" i="1"/>
  <c r="BH1674" i="1"/>
  <c r="R1674" i="1" s="1"/>
  <c r="BG1674" i="1"/>
  <c r="BF1674" i="1"/>
  <c r="N1674" i="1"/>
  <c r="BH3149" i="1"/>
  <c r="N3149" i="1"/>
  <c r="BH641" i="1"/>
  <c r="BG641" i="1"/>
  <c r="BF641" i="1"/>
  <c r="CI641" i="1" s="1"/>
  <c r="CJ641" i="1" s="1"/>
  <c r="N641" i="1"/>
  <c r="BH2041" i="1"/>
  <c r="BG2041" i="1"/>
  <c r="BF2041" i="1"/>
  <c r="CI2041" i="1" s="1"/>
  <c r="CJ2041" i="1" s="1"/>
  <c r="N2041" i="1"/>
  <c r="BH562" i="1"/>
  <c r="N562" i="1"/>
  <c r="BH2019" i="1"/>
  <c r="BG2019" i="1"/>
  <c r="BF2019" i="1"/>
  <c r="CI2019" i="1" s="1"/>
  <c r="CJ2019" i="1" s="1"/>
  <c r="N2019" i="1"/>
  <c r="BH504" i="1"/>
  <c r="BH649" i="1"/>
  <c r="BG649" i="1"/>
  <c r="BR649" i="1" s="1"/>
  <c r="CA649" i="1" s="1"/>
  <c r="BF649" i="1"/>
  <c r="CI649" i="1" s="1"/>
  <c r="CJ649" i="1" s="1"/>
  <c r="BH1419" i="1"/>
  <c r="BG1419" i="1"/>
  <c r="BF1419" i="1"/>
  <c r="CI1419" i="1" s="1"/>
  <c r="CJ1419" i="1" s="1"/>
  <c r="N1419" i="1"/>
  <c r="BH1402" i="1"/>
  <c r="BG1402" i="1"/>
  <c r="BF1402" i="1"/>
  <c r="N1402" i="1"/>
  <c r="BK2342" i="1"/>
  <c r="BI2342" i="1"/>
  <c r="BH2342" i="1"/>
  <c r="R2342" i="1" s="1"/>
  <c r="BG2342" i="1"/>
  <c r="BF2342" i="1"/>
  <c r="N2342" i="1"/>
  <c r="BH124" i="1"/>
  <c r="BG124" i="1"/>
  <c r="BR124" i="1" s="1"/>
  <c r="CA124" i="1" s="1"/>
  <c r="BF124" i="1"/>
  <c r="CI124" i="1" s="1"/>
  <c r="CJ124" i="1" s="1"/>
  <c r="BH3148" i="1"/>
  <c r="BG3148" i="1"/>
  <c r="BF3148" i="1"/>
  <c r="N3148" i="1"/>
  <c r="BH1431" i="1"/>
  <c r="BG1431" i="1"/>
  <c r="N1431" i="1"/>
  <c r="BH1015" i="1"/>
  <c r="BG1015" i="1"/>
  <c r="BF1015" i="1"/>
  <c r="CI1015" i="1" s="1"/>
  <c r="CJ1015" i="1" s="1"/>
  <c r="N1015" i="1"/>
  <c r="BH1361" i="1"/>
  <c r="BG1361" i="1"/>
  <c r="N1361" i="1"/>
  <c r="BH1762" i="1"/>
  <c r="BG1762" i="1"/>
  <c r="BF1762" i="1"/>
  <c r="CI1762" i="1" s="1"/>
  <c r="CJ1762" i="1" s="1"/>
  <c r="N1762" i="1"/>
  <c r="BH1276" i="1"/>
  <c r="BG1276" i="1"/>
  <c r="BF1276" i="1"/>
  <c r="CI1276" i="1" s="1"/>
  <c r="CJ1276" i="1" s="1"/>
  <c r="N1276" i="1"/>
  <c r="BH3147" i="1"/>
  <c r="BG3147" i="1"/>
  <c r="BF3147" i="1"/>
  <c r="CI3147" i="1" s="1"/>
  <c r="CJ3147" i="1" s="1"/>
  <c r="N3147" i="1"/>
  <c r="BK2327" i="1"/>
  <c r="BI2327" i="1"/>
  <c r="BH2327" i="1"/>
  <c r="R2327" i="1" s="1"/>
  <c r="BG2327" i="1"/>
  <c r="BF2327" i="1"/>
  <c r="CI2327" i="1" s="1"/>
  <c r="CJ2327" i="1" s="1"/>
  <c r="N2327" i="1"/>
  <c r="BH1409" i="1"/>
  <c r="BG1409" i="1"/>
  <c r="BF1409" i="1"/>
  <c r="CI1409" i="1" s="1"/>
  <c r="CJ1409" i="1" s="1"/>
  <c r="N1409" i="1"/>
  <c r="BH1278" i="1"/>
  <c r="BG1278" i="1"/>
  <c r="N1278" i="1"/>
  <c r="BH146" i="1"/>
  <c r="BG146" i="1"/>
  <c r="BF146" i="1"/>
  <c r="CI146" i="1" s="1"/>
  <c r="CJ146" i="1" s="1"/>
  <c r="N146" i="1"/>
  <c r="BH662" i="1"/>
  <c r="BG662" i="1"/>
  <c r="BF662" i="1"/>
  <c r="N662" i="1"/>
  <c r="BH1204" i="1"/>
  <c r="BG1204" i="1"/>
  <c r="BH1270" i="1"/>
  <c r="BG1270" i="1"/>
  <c r="BF1270" i="1"/>
  <c r="CI1270" i="1" s="1"/>
  <c r="CJ1270" i="1" s="1"/>
  <c r="N1270" i="1"/>
  <c r="BH2848" i="1"/>
  <c r="BG2848" i="1"/>
  <c r="BF2848" i="1"/>
  <c r="CI2848" i="1" s="1"/>
  <c r="CJ2848" i="1" s="1"/>
  <c r="N2848" i="1"/>
  <c r="BH3146" i="1"/>
  <c r="BG3146" i="1"/>
  <c r="BF3146" i="1"/>
  <c r="N3146" i="1"/>
  <c r="BH3145" i="1"/>
  <c r="BG3145" i="1"/>
  <c r="BF3145" i="1"/>
  <c r="CI3145" i="1" s="1"/>
  <c r="CJ3145" i="1" s="1"/>
  <c r="N3145" i="1"/>
  <c r="BH1875" i="1"/>
  <c r="BG1875" i="1"/>
  <c r="BF1875" i="1"/>
  <c r="CI1875" i="1" s="1"/>
  <c r="CJ1875" i="1" s="1"/>
  <c r="N1875" i="1"/>
  <c r="BH1949" i="1"/>
  <c r="BG1949" i="1"/>
  <c r="BR1949" i="1" s="1"/>
  <c r="CA1949" i="1" s="1"/>
  <c r="BF1949" i="1"/>
  <c r="CI1949" i="1" s="1"/>
  <c r="CJ1949" i="1" s="1"/>
  <c r="BH1633" i="1"/>
  <c r="BG1633" i="1"/>
  <c r="BF1633" i="1"/>
  <c r="N1633" i="1"/>
  <c r="BH1328" i="1"/>
  <c r="BG1328" i="1"/>
  <c r="BF1328" i="1"/>
  <c r="CI1328" i="1" s="1"/>
  <c r="CJ1328" i="1" s="1"/>
  <c r="N1328" i="1"/>
  <c r="BH513" i="1"/>
  <c r="BG513" i="1"/>
  <c r="BF513" i="1"/>
  <c r="CI513" i="1" s="1"/>
  <c r="CJ513" i="1" s="1"/>
  <c r="N513" i="1"/>
  <c r="BH3144" i="1"/>
  <c r="BG3144" i="1"/>
  <c r="BF3144" i="1"/>
  <c r="CI3144" i="1" s="1"/>
  <c r="CJ3144" i="1" s="1"/>
  <c r="N3144" i="1"/>
  <c r="BH1487" i="1"/>
  <c r="BG1487" i="1"/>
  <c r="BF1487" i="1"/>
  <c r="N1487" i="1"/>
  <c r="BH3143" i="1"/>
  <c r="BG3143" i="1"/>
  <c r="BF3143" i="1"/>
  <c r="CI3143" i="1" s="1"/>
  <c r="CJ3143" i="1" s="1"/>
  <c r="N3143" i="1"/>
  <c r="BH1428" i="1"/>
  <c r="N1428" i="1"/>
  <c r="BH2256" i="1"/>
  <c r="BG2256" i="1"/>
  <c r="BF2256" i="1"/>
  <c r="N2256" i="1"/>
  <c r="BH173" i="1"/>
  <c r="BG173" i="1"/>
  <c r="BF173" i="1"/>
  <c r="CI173" i="1" s="1"/>
  <c r="CJ173" i="1" s="1"/>
  <c r="N173" i="1"/>
  <c r="BH349" i="1"/>
  <c r="BG349" i="1"/>
  <c r="BZ349" i="1"/>
  <c r="N349" i="1"/>
  <c r="BH1068" i="1"/>
  <c r="BG1068" i="1"/>
  <c r="BF1068" i="1"/>
  <c r="CI1068" i="1" s="1"/>
  <c r="CJ1068" i="1" s="1"/>
  <c r="N1068" i="1"/>
  <c r="BH1457" i="1"/>
  <c r="BG1457" i="1"/>
  <c r="BX1457" i="1"/>
  <c r="N1457" i="1"/>
  <c r="BH605" i="1"/>
  <c r="BG605" i="1"/>
  <c r="BF605" i="1"/>
  <c r="CI605" i="1" s="1"/>
  <c r="CJ605" i="1" s="1"/>
  <c r="N605" i="1"/>
  <c r="BH1563" i="1"/>
  <c r="BG1563" i="1"/>
  <c r="BF1563" i="1"/>
  <c r="CI1563" i="1" s="1"/>
  <c r="CJ1563" i="1" s="1"/>
  <c r="N1563" i="1"/>
  <c r="BK498" i="1"/>
  <c r="BI498" i="1"/>
  <c r="BH498" i="1"/>
  <c r="R498" i="1" s="1"/>
  <c r="BG498" i="1"/>
  <c r="BF498" i="1"/>
  <c r="N498" i="1"/>
  <c r="BH1644" i="1"/>
  <c r="BG1644" i="1"/>
  <c r="BF1644" i="1"/>
  <c r="CI1644" i="1" s="1"/>
  <c r="CJ1644" i="1" s="1"/>
  <c r="N1644" i="1"/>
  <c r="BK2137" i="1"/>
  <c r="BI2137" i="1"/>
  <c r="BH2137" i="1"/>
  <c r="R2137" i="1" s="1"/>
  <c r="BG2137" i="1"/>
  <c r="BF2137" i="1"/>
  <c r="CI2137" i="1" s="1"/>
  <c r="CJ2137" i="1" s="1"/>
  <c r="N2137" i="1"/>
  <c r="BK3141" i="1"/>
  <c r="BI3141" i="1"/>
  <c r="BH3141" i="1"/>
  <c r="R3141" i="1" s="1"/>
  <c r="BG3141" i="1"/>
  <c r="BF3141" i="1"/>
  <c r="N3141" i="1"/>
  <c r="BK3142" i="1"/>
  <c r="BI3142" i="1"/>
  <c r="BH3142" i="1"/>
  <c r="R3142" i="1" s="1"/>
  <c r="BG3142" i="1"/>
  <c r="BF3142" i="1"/>
  <c r="N3142" i="1"/>
  <c r="BK3140" i="1"/>
  <c r="BI3140" i="1"/>
  <c r="BH3140" i="1"/>
  <c r="R3140" i="1" s="1"/>
  <c r="BG3140" i="1"/>
  <c r="BF3140" i="1"/>
  <c r="CI3140" i="1" s="1"/>
  <c r="CJ3140" i="1" s="1"/>
  <c r="N3140" i="1"/>
  <c r="BK388" i="1"/>
  <c r="BI388" i="1"/>
  <c r="BH388" i="1"/>
  <c r="R388" i="1" s="1"/>
  <c r="BG388" i="1"/>
  <c r="BF388" i="1"/>
  <c r="N388" i="1"/>
  <c r="BK1000" i="1"/>
  <c r="BI1000" i="1"/>
  <c r="BH1000" i="1"/>
  <c r="R1000" i="1" s="1"/>
  <c r="BG1000" i="1"/>
  <c r="BF1000" i="1"/>
  <c r="N1000" i="1"/>
  <c r="BK2947" i="1"/>
  <c r="BI2947" i="1"/>
  <c r="BH2947" i="1"/>
  <c r="R2947" i="1" s="1"/>
  <c r="BG2947" i="1"/>
  <c r="BF2947" i="1"/>
  <c r="N2947" i="1"/>
  <c r="BK1193" i="1"/>
  <c r="BI1193" i="1"/>
  <c r="BH1193" i="1"/>
  <c r="R1193" i="1" s="1"/>
  <c r="BG1193" i="1"/>
  <c r="BR1193" i="1" s="1"/>
  <c r="CA1193" i="1" s="1"/>
  <c r="BF1193" i="1"/>
  <c r="BH205" i="1"/>
  <c r="BG205" i="1"/>
  <c r="BF205" i="1"/>
  <c r="CI205" i="1" s="1"/>
  <c r="CJ205" i="1" s="1"/>
  <c r="N205" i="1"/>
  <c r="BH1569" i="1"/>
  <c r="BG1569" i="1"/>
  <c r="BF1569" i="1"/>
  <c r="CI1569" i="1" s="1"/>
  <c r="CJ1569" i="1" s="1"/>
  <c r="N1569" i="1"/>
  <c r="BH524" i="1"/>
  <c r="BG524" i="1"/>
  <c r="BF524" i="1"/>
  <c r="CI524" i="1" s="1"/>
  <c r="CJ524" i="1" s="1"/>
  <c r="N524" i="1"/>
  <c r="BH510" i="1"/>
  <c r="BG510" i="1"/>
  <c r="BF510" i="1"/>
  <c r="N510" i="1"/>
  <c r="BH1046" i="1"/>
  <c r="BG1046" i="1"/>
  <c r="BR1046" i="1" s="1"/>
  <c r="CA1046" i="1" s="1"/>
  <c r="BF1046" i="1"/>
  <c r="CI1046" i="1" s="1"/>
  <c r="CJ1046" i="1" s="1"/>
  <c r="BH1501" i="1"/>
  <c r="BG1501" i="1"/>
  <c r="BF1501" i="1"/>
  <c r="N1501" i="1"/>
  <c r="BH1275" i="1"/>
  <c r="BG1275" i="1"/>
  <c r="BF1275" i="1"/>
  <c r="CI1275" i="1" s="1"/>
  <c r="CJ1275" i="1" s="1"/>
  <c r="N1275" i="1"/>
  <c r="BK862" i="1"/>
  <c r="BI862" i="1"/>
  <c r="BH862" i="1"/>
  <c r="R862" i="1" s="1"/>
  <c r="BG862" i="1"/>
  <c r="BF862" i="1"/>
  <c r="CI862" i="1" s="1"/>
  <c r="CJ862" i="1" s="1"/>
  <c r="N862" i="1"/>
  <c r="BH3138" i="1"/>
  <c r="BG3138" i="1"/>
  <c r="BF3138" i="1"/>
  <c r="N3138" i="1"/>
  <c r="BH198" i="1"/>
  <c r="BG198" i="1"/>
  <c r="BF198" i="1"/>
  <c r="CI198" i="1" s="1"/>
  <c r="CJ198" i="1" s="1"/>
  <c r="N198" i="1"/>
  <c r="BH3139" i="1"/>
  <c r="BG3139" i="1"/>
  <c r="BF3139" i="1"/>
  <c r="CI3139" i="1" s="1"/>
  <c r="CJ3139" i="1" s="1"/>
  <c r="N3139" i="1"/>
  <c r="BH1704" i="1"/>
  <c r="BH2118" i="1"/>
  <c r="BG2118" i="1"/>
  <c r="BR2118" i="1" s="1"/>
  <c r="CA2118" i="1" s="1"/>
  <c r="BF2118" i="1"/>
  <c r="CI2118" i="1" s="1"/>
  <c r="CJ2118" i="1" s="1"/>
  <c r="BH1241" i="1"/>
  <c r="BG1241" i="1"/>
  <c r="BR1241" i="1" s="1"/>
  <c r="CA1241" i="1" s="1"/>
  <c r="BF1241" i="1"/>
  <c r="CI1241" i="1" s="1"/>
  <c r="CJ1241" i="1" s="1"/>
  <c r="BH195" i="1"/>
  <c r="BG195" i="1"/>
  <c r="BH1995" i="1"/>
  <c r="BG1995" i="1"/>
  <c r="BR1995" i="1" s="1"/>
  <c r="CA1995" i="1" s="1"/>
  <c r="BF1995" i="1"/>
  <c r="CI1995" i="1" s="1"/>
  <c r="CJ1995" i="1" s="1"/>
  <c r="BH2518" i="1"/>
  <c r="BG2518" i="1"/>
  <c r="BR2518" i="1" s="1"/>
  <c r="CA2518" i="1" s="1"/>
  <c r="BF2518" i="1"/>
  <c r="CI2518" i="1" s="1"/>
  <c r="CJ2518" i="1" s="1"/>
  <c r="BK288" i="1"/>
  <c r="BI288" i="1"/>
  <c r="BH288" i="1"/>
  <c r="R288" i="1" s="1"/>
  <c r="BG288" i="1"/>
  <c r="BR288" i="1" s="1"/>
  <c r="CA288" i="1" s="1"/>
  <c r="BF288" i="1"/>
  <c r="BH827" i="1"/>
  <c r="BG827" i="1"/>
  <c r="BF827" i="1"/>
  <c r="N827" i="1"/>
  <c r="BH1812" i="1"/>
  <c r="BG1812" i="1"/>
  <c r="N1812" i="1"/>
  <c r="BH1716" i="1"/>
  <c r="BG1716" i="1"/>
  <c r="BF1716" i="1"/>
  <c r="CI1716" i="1" s="1"/>
  <c r="CJ1716" i="1" s="1"/>
  <c r="N1716" i="1"/>
  <c r="BH3135" i="1"/>
  <c r="BG3135" i="1"/>
  <c r="BF3135" i="1"/>
  <c r="N3135" i="1"/>
  <c r="BH3137" i="1"/>
  <c r="BG3137" i="1"/>
  <c r="BF3137" i="1"/>
  <c r="CI3137" i="1" s="1"/>
  <c r="CJ3137" i="1" s="1"/>
  <c r="N3137" i="1"/>
  <c r="BH3136" i="1"/>
  <c r="BG3136" i="1"/>
  <c r="BF3136" i="1"/>
  <c r="CI3136" i="1" s="1"/>
  <c r="CJ3136" i="1" s="1"/>
  <c r="N3136" i="1"/>
  <c r="BH1971" i="1"/>
  <c r="BG1971" i="1"/>
  <c r="BR1971" i="1" s="1"/>
  <c r="CA1971" i="1" s="1"/>
  <c r="BF1971" i="1"/>
  <c r="CI1971" i="1" s="1"/>
  <c r="CJ1971" i="1" s="1"/>
  <c r="BH2495" i="1"/>
  <c r="BG2495" i="1"/>
  <c r="BF2495" i="1"/>
  <c r="N2495" i="1"/>
  <c r="BK1845" i="1"/>
  <c r="BI1845" i="1"/>
  <c r="BH1845" i="1"/>
  <c r="R1845" i="1" s="1"/>
  <c r="BG1845" i="1"/>
  <c r="BF1845" i="1"/>
  <c r="CI1845" i="1" s="1"/>
  <c r="CJ1845" i="1" s="1"/>
  <c r="N1845" i="1"/>
  <c r="BH3134" i="1"/>
  <c r="N3134" i="1"/>
  <c r="BH3133" i="1"/>
  <c r="BG3133" i="1"/>
  <c r="BF3133" i="1"/>
  <c r="N3133" i="1"/>
  <c r="BH2124" i="1"/>
  <c r="BG2124" i="1"/>
  <c r="BF2124" i="1"/>
  <c r="N2124" i="1"/>
  <c r="BH2458" i="1"/>
  <c r="N2458" i="1"/>
  <c r="BR2458" i="1" s="1"/>
  <c r="CA2458" i="1" s="1"/>
  <c r="BH2305" i="1"/>
  <c r="BG2305" i="1"/>
  <c r="BF2305" i="1"/>
  <c r="N2305" i="1"/>
  <c r="BH2241" i="1"/>
  <c r="BG2241" i="1"/>
  <c r="BF2241" i="1"/>
  <c r="CI2241" i="1" s="1"/>
  <c r="CJ2241" i="1" s="1"/>
  <c r="N2241" i="1"/>
  <c r="BH156" i="1"/>
  <c r="BG156" i="1"/>
  <c r="BF156" i="1"/>
  <c r="CI156" i="1" s="1"/>
  <c r="CJ156" i="1" s="1"/>
  <c r="N156" i="1"/>
  <c r="BH2546" i="1"/>
  <c r="BG2546" i="1"/>
  <c r="BF2546" i="1"/>
  <c r="CI2546" i="1" s="1"/>
  <c r="CJ2546" i="1" s="1"/>
  <c r="N2546" i="1"/>
  <c r="BK382" i="1"/>
  <c r="BI382" i="1"/>
  <c r="BH382" i="1"/>
  <c r="R382" i="1" s="1"/>
  <c r="BG382" i="1"/>
  <c r="BF382" i="1"/>
  <c r="N382" i="1"/>
  <c r="BH3132" i="1"/>
  <c r="BG3132" i="1"/>
  <c r="BF3132" i="1"/>
  <c r="N3132" i="1"/>
  <c r="BH2346" i="1"/>
  <c r="BG2346" i="1"/>
  <c r="BF2346" i="1"/>
  <c r="CI2346" i="1" s="1"/>
  <c r="CJ2346" i="1" s="1"/>
  <c r="N2346" i="1"/>
  <c r="BH2332" i="1"/>
  <c r="BG2332" i="1"/>
  <c r="BF2332" i="1"/>
  <c r="CI2332" i="1" s="1"/>
  <c r="CJ2332" i="1" s="1"/>
  <c r="N2332" i="1"/>
  <c r="BH2466" i="1"/>
  <c r="BG2466" i="1"/>
  <c r="BF2466" i="1"/>
  <c r="N2466" i="1"/>
  <c r="BH561" i="1"/>
  <c r="N561" i="1"/>
  <c r="BH2088" i="1"/>
  <c r="N2088" i="1"/>
  <c r="BH3130" i="1"/>
  <c r="BG3130" i="1"/>
  <c r="BF3130" i="1"/>
  <c r="N3130" i="1"/>
  <c r="BK500" i="1"/>
  <c r="BI500" i="1"/>
  <c r="BH500" i="1"/>
  <c r="R500" i="1" s="1"/>
  <c r="BG500" i="1"/>
  <c r="BF500" i="1"/>
  <c r="N500" i="1"/>
  <c r="BH3129" i="1"/>
  <c r="N3129" i="1"/>
  <c r="BH1770" i="1"/>
  <c r="BG1770" i="1"/>
  <c r="BF1770" i="1"/>
  <c r="N1770" i="1"/>
  <c r="BH2404" i="1"/>
  <c r="BG2404" i="1"/>
  <c r="BF2404" i="1"/>
  <c r="CI2404" i="1" s="1"/>
  <c r="CJ2404" i="1" s="1"/>
  <c r="N2404" i="1"/>
  <c r="BH1768" i="1"/>
  <c r="BG1768" i="1"/>
  <c r="BF1768" i="1"/>
  <c r="N1768" i="1"/>
  <c r="BH548" i="1"/>
  <c r="BG548" i="1"/>
  <c r="BF548" i="1"/>
  <c r="N548" i="1"/>
  <c r="BH3128" i="1"/>
  <c r="BG3128" i="1"/>
  <c r="BF3128" i="1"/>
  <c r="N3128" i="1"/>
  <c r="BH2372" i="1"/>
  <c r="BG2372" i="1"/>
  <c r="BF2372" i="1"/>
  <c r="N2372" i="1"/>
  <c r="BH3127" i="1"/>
  <c r="BG3127" i="1"/>
  <c r="BF3127" i="1"/>
  <c r="N3127" i="1"/>
  <c r="BH975" i="1"/>
  <c r="BG975" i="1"/>
  <c r="BR975" i="1" s="1"/>
  <c r="CA975" i="1" s="1"/>
  <c r="BF975" i="1"/>
  <c r="CI975" i="1" s="1"/>
  <c r="CJ975" i="1" s="1"/>
  <c r="BK1660" i="1"/>
  <c r="BI1660" i="1"/>
  <c r="BH1660" i="1"/>
  <c r="R1660" i="1" s="1"/>
  <c r="BU1660" i="1" s="1"/>
  <c r="BW1660" i="1" s="1"/>
  <c r="BG1660" i="1"/>
  <c r="N1660" i="1"/>
  <c r="BH1795" i="1"/>
  <c r="BG1795" i="1"/>
  <c r="BR1795" i="1" s="1"/>
  <c r="CA1795" i="1" s="1"/>
  <c r="BF1795" i="1"/>
  <c r="CI1795" i="1" s="1"/>
  <c r="CJ1795" i="1" s="1"/>
  <c r="BH3126" i="1"/>
  <c r="BG3126" i="1"/>
  <c r="BF3126" i="1"/>
  <c r="N3126" i="1"/>
  <c r="BH1133" i="1"/>
  <c r="BG1133" i="1"/>
  <c r="BF1133" i="1"/>
  <c r="CI1133" i="1" s="1"/>
  <c r="CJ1133" i="1" s="1"/>
  <c r="N1133" i="1"/>
  <c r="BH420" i="1"/>
  <c r="BG420" i="1"/>
  <c r="BF420" i="1"/>
  <c r="CI420" i="1" s="1"/>
  <c r="CJ420" i="1" s="1"/>
  <c r="N420" i="1"/>
  <c r="BH2364" i="1"/>
  <c r="N2364" i="1"/>
  <c r="BH363" i="1"/>
  <c r="BG363" i="1"/>
  <c r="BF363" i="1"/>
  <c r="CI363" i="1" s="1"/>
  <c r="CJ363" i="1" s="1"/>
  <c r="N363" i="1"/>
  <c r="BH3125" i="1"/>
  <c r="BG3125" i="1"/>
  <c r="BH3124" i="1"/>
  <c r="BG3124" i="1"/>
  <c r="BF3124" i="1"/>
  <c r="CI3124" i="1" s="1"/>
  <c r="CJ3124" i="1" s="1"/>
  <c r="N3124" i="1"/>
  <c r="BK3123" i="1"/>
  <c r="BI3123" i="1"/>
  <c r="BH3123" i="1"/>
  <c r="R3123" i="1" s="1"/>
  <c r="Q3123" i="1"/>
  <c r="N3123" i="1"/>
  <c r="BH2136" i="1"/>
  <c r="BG2136" i="1"/>
  <c r="BF2136" i="1"/>
  <c r="CI2136" i="1" s="1"/>
  <c r="CJ2136" i="1" s="1"/>
  <c r="N2136" i="1"/>
  <c r="BH1499" i="1"/>
  <c r="BG1499" i="1"/>
  <c r="BF1499" i="1"/>
  <c r="CI1499" i="1" s="1"/>
  <c r="CJ1499" i="1" s="1"/>
  <c r="N1499" i="1"/>
  <c r="BH1828" i="1"/>
  <c r="BG1828" i="1"/>
  <c r="BF1828" i="1"/>
  <c r="N1828" i="1"/>
  <c r="BH2276" i="1"/>
  <c r="BG2276" i="1"/>
  <c r="BF2276" i="1"/>
  <c r="N2276" i="1"/>
  <c r="BH3122" i="1"/>
  <c r="BG3122" i="1"/>
  <c r="BF3122" i="1"/>
  <c r="N3122" i="1"/>
  <c r="BH1206" i="1"/>
  <c r="BG1206" i="1"/>
  <c r="BF1206" i="1"/>
  <c r="N1206" i="1"/>
  <c r="BH1282" i="1"/>
  <c r="BG1282" i="1"/>
  <c r="BF1282" i="1"/>
  <c r="CI1282" i="1" s="1"/>
  <c r="CJ1282" i="1" s="1"/>
  <c r="N1282" i="1"/>
  <c r="BK869" i="1"/>
  <c r="BI869" i="1"/>
  <c r="BH869" i="1"/>
  <c r="R869" i="1" s="1"/>
  <c r="BG869" i="1"/>
  <c r="BR869" i="1" s="1"/>
  <c r="CA869" i="1" s="1"/>
  <c r="BF869" i="1"/>
  <c r="BH1366" i="1"/>
  <c r="BG1366" i="1"/>
  <c r="BF1366" i="1"/>
  <c r="N1366" i="1"/>
  <c r="BH3121" i="1"/>
  <c r="BG3121" i="1"/>
  <c r="BF3121" i="1"/>
  <c r="CI3121" i="1" s="1"/>
  <c r="CJ3121" i="1" s="1"/>
  <c r="N3121" i="1"/>
  <c r="BH2355" i="1"/>
  <c r="BG2355" i="1"/>
  <c r="BF2355" i="1"/>
  <c r="CI2355" i="1" s="1"/>
  <c r="CJ2355" i="1" s="1"/>
  <c r="N2355" i="1"/>
  <c r="BH698" i="1"/>
  <c r="BG698" i="1"/>
  <c r="BF698" i="1"/>
  <c r="CI698" i="1" s="1"/>
  <c r="CJ698" i="1" s="1"/>
  <c r="N698" i="1"/>
  <c r="BH529" i="1"/>
  <c r="BG529" i="1"/>
  <c r="BR529" i="1" s="1"/>
  <c r="CA529" i="1" s="1"/>
  <c r="BF529" i="1"/>
  <c r="CI529" i="1" s="1"/>
  <c r="CJ529" i="1" s="1"/>
  <c r="BH1342" i="1"/>
  <c r="BG1342" i="1"/>
  <c r="BF1342" i="1"/>
  <c r="N1342" i="1"/>
  <c r="BH666" i="1"/>
  <c r="BG666" i="1"/>
  <c r="BF666" i="1"/>
  <c r="CI666" i="1" s="1"/>
  <c r="CJ666" i="1" s="1"/>
  <c r="N666" i="1"/>
  <c r="BH1078" i="1"/>
  <c r="BG1078" i="1"/>
  <c r="BF1078" i="1"/>
  <c r="CI1078" i="1" s="1"/>
  <c r="CJ1078" i="1" s="1"/>
  <c r="N1078" i="1"/>
  <c r="BH3120" i="1"/>
  <c r="BG3120" i="1"/>
  <c r="BF3120" i="1"/>
  <c r="N3120" i="1"/>
  <c r="BK3119" i="1"/>
  <c r="BI3119" i="1"/>
  <c r="BH3119" i="1"/>
  <c r="R3119" i="1" s="1"/>
  <c r="BG3119" i="1"/>
  <c r="BF3119" i="1"/>
  <c r="CI3119" i="1" s="1"/>
  <c r="CJ3119" i="1" s="1"/>
  <c r="N3119" i="1"/>
  <c r="BH1733" i="1"/>
  <c r="BG1733" i="1"/>
  <c r="BF1733" i="1"/>
  <c r="N1733" i="1"/>
  <c r="BK1491" i="1"/>
  <c r="BI1491" i="1"/>
  <c r="BH1491" i="1"/>
  <c r="R1491" i="1" s="1"/>
  <c r="Q1491" i="1"/>
  <c r="N1491" i="1"/>
  <c r="BK1190" i="1"/>
  <c r="BI1190" i="1"/>
  <c r="BH1190" i="1"/>
  <c r="R1190" i="1" s="1"/>
  <c r="BG1190" i="1"/>
  <c r="BF1190" i="1"/>
  <c r="N1190" i="1"/>
  <c r="BK1663" i="1"/>
  <c r="BI1663" i="1"/>
  <c r="BH1663" i="1"/>
  <c r="R1663" i="1" s="1"/>
  <c r="BG1663" i="1"/>
  <c r="BF1663" i="1"/>
  <c r="N1663" i="1"/>
  <c r="BK1396" i="1"/>
  <c r="BI1396" i="1"/>
  <c r="BH1396" i="1"/>
  <c r="R1396" i="1" s="1"/>
  <c r="BG1396" i="1"/>
  <c r="BF1396" i="1"/>
  <c r="N1396" i="1"/>
  <c r="BK3118" i="1"/>
  <c r="BI3118" i="1"/>
  <c r="BH3118" i="1"/>
  <c r="R3118" i="1" s="1"/>
  <c r="BG3118" i="1"/>
  <c r="BF3118" i="1"/>
  <c r="CI3118" i="1" s="1"/>
  <c r="CJ3118" i="1" s="1"/>
  <c r="N3118" i="1"/>
  <c r="BK3117" i="1"/>
  <c r="BI3117" i="1"/>
  <c r="BH3117" i="1"/>
  <c r="R3117" i="1" s="1"/>
  <c r="BG3117" i="1"/>
  <c r="BF3117" i="1"/>
  <c r="N3117" i="1"/>
  <c r="BK1707" i="1"/>
  <c r="BI1707" i="1"/>
  <c r="BH1707" i="1"/>
  <c r="R1707" i="1" s="1"/>
  <c r="BG1707" i="1"/>
  <c r="BF1707" i="1"/>
  <c r="N1707" i="1"/>
  <c r="BK407" i="1"/>
  <c r="BI407" i="1"/>
  <c r="BH407" i="1"/>
  <c r="R407" i="1" s="1"/>
  <c r="BG407" i="1"/>
  <c r="N407" i="1"/>
  <c r="BK131" i="1"/>
  <c r="BI131" i="1"/>
  <c r="BH131" i="1"/>
  <c r="R131" i="1" s="1"/>
  <c r="BG131" i="1"/>
  <c r="BF131" i="1"/>
  <c r="N131" i="1"/>
  <c r="BK1927" i="1"/>
  <c r="BI1927" i="1"/>
  <c r="BH1927" i="1"/>
  <c r="R1927" i="1" s="1"/>
  <c r="BG1927" i="1"/>
  <c r="BF1927" i="1"/>
  <c r="N1927" i="1"/>
  <c r="BH563" i="1"/>
  <c r="BG563" i="1"/>
  <c r="BF563" i="1"/>
  <c r="CI563" i="1" s="1"/>
  <c r="CJ563" i="1" s="1"/>
  <c r="N563" i="1"/>
  <c r="BH2205" i="1"/>
  <c r="BG2205" i="1"/>
  <c r="BF2205" i="1"/>
  <c r="N2205" i="1"/>
  <c r="BH935" i="1"/>
  <c r="BG935" i="1"/>
  <c r="BF935" i="1"/>
  <c r="CI935" i="1" s="1"/>
  <c r="CJ935" i="1" s="1"/>
  <c r="N935" i="1"/>
  <c r="BH769" i="1"/>
  <c r="BG769" i="1"/>
  <c r="BF769" i="1"/>
  <c r="CI769" i="1" s="1"/>
  <c r="CJ769" i="1" s="1"/>
  <c r="N769" i="1"/>
  <c r="BH2308" i="1"/>
  <c r="BG2308" i="1"/>
  <c r="BF2308" i="1"/>
  <c r="N2308" i="1"/>
  <c r="BH588" i="1"/>
  <c r="N588" i="1"/>
  <c r="BH2073" i="1"/>
  <c r="BG2073" i="1"/>
  <c r="BF2073" i="1"/>
  <c r="N2073" i="1"/>
  <c r="BH1886" i="1"/>
  <c r="BG1886" i="1"/>
  <c r="BF1886" i="1"/>
  <c r="CI1886" i="1" s="1"/>
  <c r="CJ1886" i="1" s="1"/>
  <c r="N1886" i="1"/>
  <c r="BK2114" i="1"/>
  <c r="BI2114" i="1"/>
  <c r="BH2114" i="1"/>
  <c r="R2114" i="1" s="1"/>
  <c r="BG2114" i="1"/>
  <c r="BF2114" i="1"/>
  <c r="N2114" i="1"/>
  <c r="BH680" i="1"/>
  <c r="BG680" i="1"/>
  <c r="BF680" i="1"/>
  <c r="N680" i="1"/>
  <c r="BH1228" i="1"/>
  <c r="BG1228" i="1"/>
  <c r="BF1228" i="1"/>
  <c r="CI1228" i="1" s="1"/>
  <c r="CJ1228" i="1" s="1"/>
  <c r="N1228" i="1"/>
  <c r="BH636" i="1"/>
  <c r="BG636" i="1"/>
  <c r="BF636" i="1"/>
  <c r="N636" i="1"/>
  <c r="BH1996" i="1"/>
  <c r="BG1996" i="1"/>
  <c r="BF1996" i="1"/>
  <c r="CI1996" i="1" s="1"/>
  <c r="CJ1996" i="1" s="1"/>
  <c r="N1996" i="1"/>
  <c r="BH891" i="1"/>
  <c r="BG891" i="1"/>
  <c r="BF891" i="1"/>
  <c r="CI891" i="1" s="1"/>
  <c r="CJ891" i="1" s="1"/>
  <c r="N891" i="1"/>
  <c r="BH3116" i="1"/>
  <c r="BG3116" i="1"/>
  <c r="BF3116" i="1"/>
  <c r="N3116" i="1"/>
  <c r="BH1547" i="1"/>
  <c r="BG1547" i="1"/>
  <c r="BF1547" i="1"/>
  <c r="CI1547" i="1" s="1"/>
  <c r="CJ1547" i="1" s="1"/>
  <c r="N1547" i="1"/>
  <c r="BH1944" i="1"/>
  <c r="BG1944" i="1"/>
  <c r="BF1944" i="1"/>
  <c r="CI1944" i="1" s="1"/>
  <c r="CJ1944" i="1" s="1"/>
  <c r="N1944" i="1"/>
  <c r="BH1630" i="1"/>
  <c r="BG1630" i="1"/>
  <c r="BF1630" i="1"/>
  <c r="CI1630" i="1" s="1"/>
  <c r="CJ1630" i="1" s="1"/>
  <c r="N1630" i="1"/>
  <c r="BK1855" i="1"/>
  <c r="BI1855" i="1"/>
  <c r="BH1855" i="1"/>
  <c r="R1855" i="1" s="1"/>
  <c r="BG1855" i="1"/>
  <c r="BF1855" i="1"/>
  <c r="CI1855" i="1" s="1"/>
  <c r="CJ1855" i="1" s="1"/>
  <c r="N1855" i="1"/>
  <c r="BH663" i="1"/>
  <c r="BG663" i="1"/>
  <c r="BR663" i="1" s="1"/>
  <c r="CA663" i="1" s="1"/>
  <c r="BF663" i="1"/>
  <c r="CI663" i="1" s="1"/>
  <c r="CJ663" i="1" s="1"/>
  <c r="BH1960" i="1"/>
  <c r="BG1960" i="1"/>
  <c r="BF1960" i="1"/>
  <c r="CI1960" i="1" s="1"/>
  <c r="CJ1960" i="1" s="1"/>
  <c r="N1960" i="1"/>
  <c r="BH445" i="1"/>
  <c r="N445" i="1"/>
  <c r="BH300" i="1"/>
  <c r="BG300" i="1"/>
  <c r="BF300" i="1"/>
  <c r="CI300" i="1" s="1"/>
  <c r="CJ300" i="1" s="1"/>
  <c r="N300" i="1"/>
  <c r="BH327" i="1"/>
  <c r="BG327" i="1"/>
  <c r="BF327" i="1"/>
  <c r="N327" i="1"/>
  <c r="BH892" i="1"/>
  <c r="BG892" i="1"/>
  <c r="BF892" i="1"/>
  <c r="CI892" i="1" s="1"/>
  <c r="CJ892" i="1" s="1"/>
  <c r="N892" i="1"/>
  <c r="BH3115" i="1"/>
  <c r="BG3115" i="1"/>
  <c r="BF3115" i="1"/>
  <c r="N3115" i="1"/>
  <c r="BH3112" i="1"/>
  <c r="BG3112" i="1"/>
  <c r="BF3112" i="1"/>
  <c r="N3112" i="1"/>
  <c r="BK1983" i="1"/>
  <c r="BI1983" i="1"/>
  <c r="BH1983" i="1"/>
  <c r="R1983" i="1" s="1"/>
  <c r="BG1983" i="1"/>
  <c r="BF1983" i="1"/>
  <c r="CI1983" i="1" s="1"/>
  <c r="CJ1983" i="1" s="1"/>
  <c r="N1983" i="1"/>
  <c r="BH3114" i="1"/>
  <c r="BG3114" i="1"/>
  <c r="BF3114" i="1"/>
  <c r="N3114" i="1"/>
  <c r="BH3113" i="1"/>
  <c r="BG3113" i="1"/>
  <c r="BF3113" i="1"/>
  <c r="N3113" i="1"/>
  <c r="BH970" i="1"/>
  <c r="BG970" i="1"/>
  <c r="BF970" i="1"/>
  <c r="N970" i="1"/>
  <c r="BH129" i="1"/>
  <c r="BG129" i="1"/>
  <c r="BF129" i="1"/>
  <c r="CI129" i="1" s="1"/>
  <c r="CJ129" i="1" s="1"/>
  <c r="N129" i="1"/>
  <c r="BH1567" i="1"/>
  <c r="BG1567" i="1"/>
  <c r="BF1567" i="1"/>
  <c r="CI1567" i="1" s="1"/>
  <c r="CJ1567" i="1" s="1"/>
  <c r="N1567" i="1"/>
  <c r="BH533" i="1"/>
  <c r="BG533" i="1"/>
  <c r="BF533" i="1"/>
  <c r="CI533" i="1" s="1"/>
  <c r="CJ533" i="1" s="1"/>
  <c r="N533" i="1"/>
  <c r="BH3111" i="1"/>
  <c r="N3111" i="1"/>
  <c r="BH3110" i="1"/>
  <c r="BG3110" i="1"/>
  <c r="BF3110" i="1"/>
  <c r="N3110" i="1"/>
  <c r="BK1837" i="1"/>
  <c r="BI1837" i="1"/>
  <c r="BH1837" i="1"/>
  <c r="R1837" i="1" s="1"/>
  <c r="BG1837" i="1"/>
  <c r="BF1837" i="1"/>
  <c r="CI1837" i="1" s="1"/>
  <c r="CJ1837" i="1" s="1"/>
  <c r="N1837" i="1"/>
  <c r="BH1528" i="1"/>
  <c r="BG1528" i="1"/>
  <c r="BR1528" i="1" s="1"/>
  <c r="CA1528" i="1" s="1"/>
  <c r="BF1528" i="1"/>
  <c r="CI1528" i="1" s="1"/>
  <c r="CJ1528" i="1" s="1"/>
  <c r="BH822" i="1"/>
  <c r="BG822" i="1"/>
  <c r="BX822" i="1"/>
  <c r="N822" i="1"/>
  <c r="BH3109" i="1"/>
  <c r="N3109" i="1"/>
  <c r="BH404" i="1"/>
  <c r="BG404" i="1"/>
  <c r="BF404" i="1"/>
  <c r="CI404" i="1" s="1"/>
  <c r="CJ404" i="1" s="1"/>
  <c r="N404" i="1"/>
  <c r="BH3107" i="1"/>
  <c r="BG3107" i="1"/>
  <c r="BF3107" i="1"/>
  <c r="CI3107" i="1" s="1"/>
  <c r="CJ3107" i="1" s="1"/>
  <c r="N3107" i="1"/>
  <c r="BH1895" i="1"/>
  <c r="BG1895" i="1"/>
  <c r="N1895" i="1"/>
  <c r="BH3108" i="1"/>
  <c r="BG3108" i="1"/>
  <c r="BF3108" i="1"/>
  <c r="N3108" i="1"/>
  <c r="BH960" i="1"/>
  <c r="BG960" i="1"/>
  <c r="BF960" i="1"/>
  <c r="CI960" i="1" s="1"/>
  <c r="CJ960" i="1" s="1"/>
  <c r="N960" i="1"/>
  <c r="BK1339" i="1"/>
  <c r="BI1339" i="1"/>
  <c r="BH1339" i="1"/>
  <c r="R1339" i="1" s="1"/>
  <c r="BG1339" i="1"/>
  <c r="BF1339" i="1"/>
  <c r="N1339" i="1"/>
  <c r="BH1057" i="1"/>
  <c r="BG1057" i="1"/>
  <c r="BF1057" i="1"/>
  <c r="N1057" i="1"/>
  <c r="BH1925" i="1"/>
  <c r="BG1925" i="1"/>
  <c r="BF1925" i="1"/>
  <c r="CI1925" i="1" s="1"/>
  <c r="CJ1925" i="1" s="1"/>
  <c r="N1925" i="1"/>
  <c r="BH3106" i="1"/>
  <c r="BG3106" i="1"/>
  <c r="BF3106" i="1"/>
  <c r="N3106" i="1"/>
  <c r="BH3105" i="1"/>
  <c r="BG3105" i="1"/>
  <c r="BR3105" i="1" s="1"/>
  <c r="CA3105" i="1" s="1"/>
  <c r="BF3105" i="1"/>
  <c r="CI3105" i="1" s="1"/>
  <c r="CJ3105" i="1" s="1"/>
  <c r="BH528" i="1"/>
  <c r="BG528" i="1"/>
  <c r="BF528" i="1"/>
  <c r="N528" i="1"/>
  <c r="BH783" i="1"/>
  <c r="BG783" i="1"/>
  <c r="BR783" i="1" s="1"/>
  <c r="CA783" i="1" s="1"/>
  <c r="BF783" i="1"/>
  <c r="CI783" i="1" s="1"/>
  <c r="CJ783" i="1" s="1"/>
  <c r="BH507" i="1"/>
  <c r="BG507" i="1"/>
  <c r="BF507" i="1"/>
  <c r="N507" i="1"/>
  <c r="BH1085" i="1"/>
  <c r="BG1085" i="1"/>
  <c r="BF1085" i="1"/>
  <c r="CI1085" i="1" s="1"/>
  <c r="CJ1085" i="1" s="1"/>
  <c r="N1085" i="1"/>
  <c r="BK3104" i="1"/>
  <c r="BI3104" i="1"/>
  <c r="BH3104" i="1"/>
  <c r="R3104" i="1" s="1"/>
  <c r="BG3104" i="1"/>
  <c r="BF3104" i="1"/>
  <c r="CI3104" i="1" s="1"/>
  <c r="CJ3104" i="1" s="1"/>
  <c r="N3104" i="1"/>
  <c r="BH2467" i="1"/>
  <c r="BG2467" i="1"/>
  <c r="BF2467" i="1"/>
  <c r="CI2467" i="1" s="1"/>
  <c r="CJ2467" i="1" s="1"/>
  <c r="N2467" i="1"/>
  <c r="BH3103" i="1"/>
  <c r="N3103" i="1"/>
  <c r="BH306" i="1"/>
  <c r="BG306" i="1"/>
  <c r="BF306" i="1"/>
  <c r="CI306" i="1" s="1"/>
  <c r="CJ306" i="1" s="1"/>
  <c r="N306" i="1"/>
  <c r="BH1218" i="1"/>
  <c r="BG1218" i="1"/>
  <c r="BF1218" i="1"/>
  <c r="CI1218" i="1" s="1"/>
  <c r="CJ1218" i="1" s="1"/>
  <c r="N1218" i="1"/>
  <c r="BH654" i="1"/>
  <c r="BG654" i="1"/>
  <c r="BF654" i="1"/>
  <c r="BH875" i="1"/>
  <c r="BG875" i="1"/>
  <c r="BF875" i="1"/>
  <c r="CI875" i="1" s="1"/>
  <c r="CJ875" i="1" s="1"/>
  <c r="N875" i="1"/>
  <c r="BH1254" i="1"/>
  <c r="BG1254" i="1"/>
  <c r="BF1254" i="1"/>
  <c r="CI1254" i="1" s="1"/>
  <c r="CJ1254" i="1" s="1"/>
  <c r="N1254" i="1"/>
  <c r="BH3102" i="1"/>
  <c r="BG3102" i="1"/>
  <c r="BF3102" i="1"/>
  <c r="CI3102" i="1" s="1"/>
  <c r="CJ3102" i="1" s="1"/>
  <c r="N3102" i="1"/>
  <c r="BK1177" i="1"/>
  <c r="BI1177" i="1"/>
  <c r="BH1177" i="1"/>
  <c r="R1177" i="1" s="1"/>
  <c r="BG1177" i="1"/>
  <c r="BF1177" i="1"/>
  <c r="N1177" i="1"/>
  <c r="BH3101" i="1"/>
  <c r="BG3101" i="1"/>
  <c r="BZ3101" i="1"/>
  <c r="N3101" i="1"/>
  <c r="BH331" i="1"/>
  <c r="N331" i="1"/>
  <c r="BH2463" i="1"/>
  <c r="BG2463" i="1"/>
  <c r="BF2463" i="1"/>
  <c r="N2463" i="1"/>
  <c r="BH2369" i="1"/>
  <c r="BG2369" i="1"/>
  <c r="BR2369" i="1" s="1"/>
  <c r="CA2369" i="1" s="1"/>
  <c r="BF2369" i="1"/>
  <c r="CI2369" i="1" s="1"/>
  <c r="CJ2369" i="1" s="1"/>
  <c r="BH552" i="1"/>
  <c r="BG552" i="1"/>
  <c r="BF552" i="1"/>
  <c r="CI552" i="1" s="1"/>
  <c r="CJ552" i="1" s="1"/>
  <c r="N552" i="1"/>
  <c r="BH1194" i="1"/>
  <c r="BG1194" i="1"/>
  <c r="BR1194" i="1" s="1"/>
  <c r="CA1194" i="1" s="1"/>
  <c r="BF1194" i="1"/>
  <c r="CI1194" i="1" s="1"/>
  <c r="CJ1194" i="1" s="1"/>
  <c r="BH1725" i="1"/>
  <c r="BG1725" i="1"/>
  <c r="BF1725" i="1"/>
  <c r="N1725" i="1"/>
  <c r="BH3098" i="1"/>
  <c r="BG3098" i="1"/>
  <c r="BF3098" i="1"/>
  <c r="CI3098" i="1" s="1"/>
  <c r="CJ3098" i="1" s="1"/>
  <c r="N3098" i="1"/>
  <c r="BH902" i="1"/>
  <c r="BG902" i="1"/>
  <c r="BF902" i="1"/>
  <c r="CI902" i="1" s="1"/>
  <c r="CJ902" i="1" s="1"/>
  <c r="N902" i="1"/>
  <c r="BK1263" i="1"/>
  <c r="BI1263" i="1"/>
  <c r="BH1263" i="1"/>
  <c r="R1263" i="1" s="1"/>
  <c r="BG1263" i="1"/>
  <c r="BF1263" i="1"/>
  <c r="CI1263" i="1" s="1"/>
  <c r="CJ1263" i="1" s="1"/>
  <c r="N1263" i="1"/>
  <c r="BH3100" i="1"/>
  <c r="BG3100" i="1"/>
  <c r="BF3100" i="1"/>
  <c r="N3100" i="1"/>
  <c r="BH147" i="1"/>
  <c r="BG147" i="1"/>
  <c r="BF147" i="1"/>
  <c r="CI147" i="1" s="1"/>
  <c r="CJ147" i="1" s="1"/>
  <c r="BH3099" i="1"/>
  <c r="BG3099" i="1"/>
  <c r="BF3099" i="1"/>
  <c r="CI3099" i="1" s="1"/>
  <c r="CJ3099" i="1" s="1"/>
  <c r="N3099" i="1"/>
  <c r="BH877" i="1"/>
  <c r="BG877" i="1"/>
  <c r="BF877" i="1"/>
  <c r="CI877" i="1" s="1"/>
  <c r="CJ877" i="1" s="1"/>
  <c r="N877" i="1"/>
  <c r="BH3096" i="1"/>
  <c r="BG3096" i="1"/>
  <c r="BF3096" i="1"/>
  <c r="CI3096" i="1" s="1"/>
  <c r="CJ3096" i="1" s="1"/>
  <c r="N3096" i="1"/>
  <c r="BH3092" i="1"/>
  <c r="BG3092" i="1"/>
  <c r="BF3092" i="1"/>
  <c r="N3092" i="1"/>
  <c r="BH1955" i="1"/>
  <c r="BG1955" i="1"/>
  <c r="BR1955" i="1" s="1"/>
  <c r="CA1955" i="1" s="1"/>
  <c r="BF1955" i="1"/>
  <c r="CI1955" i="1" s="1"/>
  <c r="CJ1955" i="1" s="1"/>
  <c r="BH2496" i="1"/>
  <c r="BG2496" i="1"/>
  <c r="BF2496" i="1"/>
  <c r="CI2496" i="1" s="1"/>
  <c r="CJ2496" i="1" s="1"/>
  <c r="N2496" i="1"/>
  <c r="BK3094" i="1"/>
  <c r="BI3094" i="1"/>
  <c r="BH3094" i="1"/>
  <c r="R3094" i="1" s="1"/>
  <c r="BG3094" i="1"/>
  <c r="BF3094" i="1"/>
  <c r="N3094" i="1"/>
  <c r="BK3095" i="1"/>
  <c r="BI3095" i="1"/>
  <c r="BH3095" i="1"/>
  <c r="R3095" i="1" s="1"/>
  <c r="BG3095" i="1"/>
  <c r="BF3095" i="1"/>
  <c r="N3095" i="1"/>
  <c r="BK3093" i="1"/>
  <c r="BI3093" i="1"/>
  <c r="BH3093" i="1"/>
  <c r="R3093" i="1" s="1"/>
  <c r="BG3093" i="1"/>
  <c r="BF3093" i="1"/>
  <c r="N3093" i="1"/>
  <c r="BK516" i="1"/>
  <c r="BI516" i="1"/>
  <c r="BH516" i="1"/>
  <c r="R516" i="1" s="1"/>
  <c r="BG516" i="1"/>
  <c r="BF516" i="1"/>
  <c r="N516" i="1"/>
  <c r="BK2162" i="1"/>
  <c r="BI2162" i="1"/>
  <c r="BH2162" i="1"/>
  <c r="R2162" i="1" s="1"/>
  <c r="BG2162" i="1"/>
  <c r="BF2162" i="1"/>
  <c r="N2162" i="1"/>
  <c r="BK2048" i="1"/>
  <c r="BI2048" i="1"/>
  <c r="BH2048" i="1"/>
  <c r="R2048" i="1" s="1"/>
  <c r="BU2048" i="1" s="1"/>
  <c r="BW2048" i="1" s="1"/>
  <c r="BG2048" i="1"/>
  <c r="N2048" i="1"/>
  <c r="BK1434" i="1"/>
  <c r="BI1434" i="1"/>
  <c r="BH1434" i="1"/>
  <c r="R1434" i="1" s="1"/>
  <c r="BG1434" i="1"/>
  <c r="BR1434" i="1" s="1"/>
  <c r="CA1434" i="1" s="1"/>
  <c r="BF1434" i="1"/>
  <c r="BK621" i="1"/>
  <c r="BI621" i="1"/>
  <c r="BH621" i="1"/>
  <c r="R621" i="1" s="1"/>
  <c r="BG621" i="1"/>
  <c r="BF621" i="1"/>
  <c r="N621" i="1"/>
  <c r="BK715" i="1"/>
  <c r="BI715" i="1"/>
  <c r="BH715" i="1"/>
  <c r="R715" i="1" s="1"/>
  <c r="BG715" i="1"/>
  <c r="BF715" i="1"/>
  <c r="CI715" i="1" s="1"/>
  <c r="CJ715" i="1" s="1"/>
  <c r="N715" i="1"/>
  <c r="BK1192" i="1"/>
  <c r="BI1192" i="1"/>
  <c r="BH1192" i="1"/>
  <c r="R1192" i="1" s="1"/>
  <c r="BG1192" i="1"/>
  <c r="BF1192" i="1"/>
  <c r="CI1192" i="1" s="1"/>
  <c r="CJ1192" i="1" s="1"/>
  <c r="N1192" i="1"/>
  <c r="BH704" i="1"/>
  <c r="BG704" i="1"/>
  <c r="BF704" i="1"/>
  <c r="CI704" i="1" s="1"/>
  <c r="CJ704" i="1" s="1"/>
  <c r="N704" i="1"/>
  <c r="BH2295" i="1"/>
  <c r="BG2295" i="1"/>
  <c r="BF2295" i="1"/>
  <c r="CI2295" i="1" s="1"/>
  <c r="CJ2295" i="1" s="1"/>
  <c r="N2295" i="1"/>
  <c r="BH527" i="1"/>
  <c r="BG527" i="1"/>
  <c r="BF527" i="1"/>
  <c r="N527" i="1"/>
  <c r="BH2111" i="1"/>
  <c r="BG2111" i="1"/>
  <c r="BF2111" i="1"/>
  <c r="CI2111" i="1" s="1"/>
  <c r="CJ2111" i="1" s="1"/>
  <c r="N2111" i="1"/>
  <c r="BH2376" i="1"/>
  <c r="BG2376" i="1"/>
  <c r="BF2376" i="1"/>
  <c r="CI2376" i="1" s="1"/>
  <c r="CJ2376" i="1" s="1"/>
  <c r="N2376" i="1"/>
  <c r="BH520" i="1"/>
  <c r="BG520" i="1"/>
  <c r="BF520" i="1"/>
  <c r="CI520" i="1" s="1"/>
  <c r="CJ520" i="1" s="1"/>
  <c r="N520" i="1"/>
  <c r="BH2098" i="1"/>
  <c r="BG2098" i="1"/>
  <c r="BF2098" i="1"/>
  <c r="CI2098" i="1" s="1"/>
  <c r="CJ2098" i="1" s="1"/>
  <c r="N2098" i="1"/>
  <c r="BH1234" i="1"/>
  <c r="BG1234" i="1"/>
  <c r="BR1234" i="1" s="1"/>
  <c r="CA1234" i="1" s="1"/>
  <c r="BF1234" i="1"/>
  <c r="CI1234" i="1" s="1"/>
  <c r="CJ1234" i="1" s="1"/>
  <c r="BK2936" i="1"/>
  <c r="BI2936" i="1"/>
  <c r="BH2936" i="1"/>
  <c r="R2936" i="1" s="1"/>
  <c r="BG2936" i="1"/>
  <c r="BF2936" i="1"/>
  <c r="CI2936" i="1" s="1"/>
  <c r="CJ2936" i="1" s="1"/>
  <c r="N2936" i="1"/>
  <c r="BH1521" i="1"/>
  <c r="BG1521" i="1"/>
  <c r="BF1521" i="1"/>
  <c r="N1521" i="1"/>
  <c r="BH3091" i="1"/>
  <c r="BG3091" i="1"/>
  <c r="BF3091" i="1"/>
  <c r="N3091" i="1"/>
  <c r="BH3090" i="1"/>
  <c r="N3090" i="1"/>
  <c r="BH1696" i="1"/>
  <c r="BG1696" i="1"/>
  <c r="BF1696" i="1"/>
  <c r="N1696" i="1"/>
  <c r="BH2407" i="1"/>
  <c r="BG2407" i="1"/>
  <c r="BF2407" i="1"/>
  <c r="N2407" i="1"/>
  <c r="BH830" i="1"/>
  <c r="BG830" i="1"/>
  <c r="BF830" i="1"/>
  <c r="CI830" i="1" s="1"/>
  <c r="CJ830" i="1" s="1"/>
  <c r="N830" i="1"/>
  <c r="BH983" i="1"/>
  <c r="BG983" i="1"/>
  <c r="N983" i="1"/>
  <c r="BH581" i="1"/>
  <c r="BG581" i="1"/>
  <c r="BF581" i="1"/>
  <c r="N581" i="1"/>
  <c r="BK318" i="1"/>
  <c r="BI318" i="1"/>
  <c r="BH318" i="1"/>
  <c r="R318" i="1" s="1"/>
  <c r="BG318" i="1"/>
  <c r="BF318" i="1"/>
  <c r="CI318" i="1" s="1"/>
  <c r="CJ318" i="1" s="1"/>
  <c r="N318" i="1"/>
  <c r="BH2037" i="1"/>
  <c r="BG2037" i="1"/>
  <c r="N2037" i="1"/>
  <c r="BH2439" i="1"/>
  <c r="BG2439" i="1"/>
  <c r="BF2439" i="1"/>
  <c r="CI2439" i="1" s="1"/>
  <c r="CJ2439" i="1" s="1"/>
  <c r="N2439" i="1"/>
  <c r="BH863" i="1"/>
  <c r="BG863" i="1"/>
  <c r="BF863" i="1"/>
  <c r="CI863" i="1" s="1"/>
  <c r="CJ863" i="1" s="1"/>
  <c r="N863" i="1"/>
  <c r="BH898" i="1"/>
  <c r="BG898" i="1"/>
  <c r="BF898" i="1"/>
  <c r="N898" i="1"/>
  <c r="BH1120" i="1"/>
  <c r="BG1120" i="1"/>
  <c r="BF1120" i="1"/>
  <c r="CI1120" i="1" s="1"/>
  <c r="CJ1120" i="1" s="1"/>
  <c r="N1120" i="1"/>
  <c r="BH1370" i="1"/>
  <c r="BG1370" i="1"/>
  <c r="BH346" i="1"/>
  <c r="BG346" i="1"/>
  <c r="BF346" i="1"/>
  <c r="CI346" i="1" s="1"/>
  <c r="CJ346" i="1" s="1"/>
  <c r="N346" i="1"/>
  <c r="BH1892" i="1"/>
  <c r="BG1892" i="1"/>
  <c r="BF1892" i="1"/>
  <c r="CI1892" i="1" s="1"/>
  <c r="CJ1892" i="1" s="1"/>
  <c r="N1892" i="1"/>
  <c r="BH2131" i="1"/>
  <c r="N2131" i="1"/>
  <c r="BI1505" i="1"/>
  <c r="BH1505" i="1"/>
  <c r="R1505" i="1" s="1"/>
  <c r="BG1505" i="1"/>
  <c r="J1505" i="1"/>
  <c r="BH764" i="1"/>
  <c r="BG764" i="1"/>
  <c r="BF764" i="1"/>
  <c r="CI764" i="1" s="1"/>
  <c r="CJ764" i="1" s="1"/>
  <c r="N764" i="1"/>
  <c r="BH2290" i="1"/>
  <c r="BG2290" i="1"/>
  <c r="BF2290" i="1"/>
  <c r="CI2290" i="1" s="1"/>
  <c r="CJ2290" i="1" s="1"/>
  <c r="N2290" i="1"/>
  <c r="BH290" i="1"/>
  <c r="BG290" i="1"/>
  <c r="BF290" i="1"/>
  <c r="CI290" i="1" s="1"/>
  <c r="CJ290" i="1" s="1"/>
  <c r="N290" i="1"/>
  <c r="BH1575" i="1"/>
  <c r="BG1575" i="1"/>
  <c r="BR1575" i="1" s="1"/>
  <c r="CA1575" i="1" s="1"/>
  <c r="BF1575" i="1"/>
  <c r="CI1575" i="1" s="1"/>
  <c r="CJ1575" i="1" s="1"/>
  <c r="BH1935" i="1"/>
  <c r="BG1935" i="1"/>
  <c r="BF1935" i="1"/>
  <c r="N1935" i="1"/>
  <c r="BH989" i="1"/>
  <c r="BG989" i="1"/>
  <c r="BR989" i="1" s="1"/>
  <c r="CA989" i="1" s="1"/>
  <c r="BF989" i="1"/>
  <c r="CI989" i="1" s="1"/>
  <c r="CJ989" i="1" s="1"/>
  <c r="BH625" i="1"/>
  <c r="BG625" i="1"/>
  <c r="BF625" i="1"/>
  <c r="CI625" i="1" s="1"/>
  <c r="CJ625" i="1" s="1"/>
  <c r="N625" i="1"/>
  <c r="BH3088" i="1"/>
  <c r="BG3088" i="1"/>
  <c r="BF3088" i="1"/>
  <c r="N3088" i="1"/>
  <c r="BK1072" i="1"/>
  <c r="BI1072" i="1"/>
  <c r="BH1072" i="1"/>
  <c r="R1072" i="1" s="1"/>
  <c r="BG1072" i="1"/>
  <c r="BF1072" i="1"/>
  <c r="CI1072" i="1" s="1"/>
  <c r="CJ1072" i="1" s="1"/>
  <c r="N1072" i="1"/>
  <c r="BH1799" i="1"/>
  <c r="BG1799" i="1"/>
  <c r="BF1799" i="1"/>
  <c r="CI1799" i="1" s="1"/>
  <c r="CJ1799" i="1" s="1"/>
  <c r="N1799" i="1"/>
  <c r="BH3087" i="1"/>
  <c r="BG3087" i="1"/>
  <c r="BZ3087" i="1"/>
  <c r="N3087" i="1"/>
  <c r="BH2257" i="1"/>
  <c r="BG2257" i="1"/>
  <c r="BF2257" i="1"/>
  <c r="CI2257" i="1" s="1"/>
  <c r="CJ2257" i="1" s="1"/>
  <c r="N2257" i="1"/>
  <c r="BH1265" i="1"/>
  <c r="BG1265" i="1"/>
  <c r="BR1265" i="1" s="1"/>
  <c r="CA1265" i="1" s="1"/>
  <c r="BF1265" i="1"/>
  <c r="CI1265" i="1" s="1"/>
  <c r="CJ1265" i="1" s="1"/>
  <c r="BH819" i="1"/>
  <c r="BG819" i="1"/>
  <c r="BZ819" i="1"/>
  <c r="N819" i="1"/>
  <c r="BH1761" i="1"/>
  <c r="BG1761" i="1"/>
  <c r="BF1761" i="1"/>
  <c r="CI1761" i="1" s="1"/>
  <c r="CJ1761" i="1" s="1"/>
  <c r="N1761" i="1"/>
  <c r="BH953" i="1"/>
  <c r="BG953" i="1"/>
  <c r="BF953" i="1"/>
  <c r="N953" i="1"/>
  <c r="BH2158" i="1"/>
  <c r="BG2158" i="1"/>
  <c r="BF2158" i="1"/>
  <c r="CI2158" i="1" s="1"/>
  <c r="CJ2158" i="1" s="1"/>
  <c r="N2158" i="1"/>
  <c r="BK638" i="1"/>
  <c r="BI638" i="1"/>
  <c r="BH638" i="1"/>
  <c r="R638" i="1" s="1"/>
  <c r="BG638" i="1"/>
  <c r="BF638" i="1"/>
  <c r="N638" i="1"/>
  <c r="BH3086" i="1"/>
  <c r="N3086" i="1"/>
  <c r="BH1201" i="1"/>
  <c r="BG1201" i="1"/>
  <c r="BF1201" i="1"/>
  <c r="CI1201" i="1" s="1"/>
  <c r="CJ1201" i="1" s="1"/>
  <c r="N1201" i="1"/>
  <c r="BH2459" i="1"/>
  <c r="BG2459" i="1"/>
  <c r="BF2459" i="1"/>
  <c r="CI2459" i="1" s="1"/>
  <c r="CJ2459" i="1" s="1"/>
  <c r="N2459" i="1"/>
  <c r="BH1318" i="1"/>
  <c r="BG1318" i="1"/>
  <c r="BF1318" i="1"/>
  <c r="N1318" i="1"/>
  <c r="BH690" i="1"/>
  <c r="BG690" i="1"/>
  <c r="BF690" i="1"/>
  <c r="CI690" i="1" s="1"/>
  <c r="CJ690" i="1" s="1"/>
  <c r="N690" i="1"/>
  <c r="BH955" i="1"/>
  <c r="BG955" i="1"/>
  <c r="BR955" i="1" s="1"/>
  <c r="CA955" i="1" s="1"/>
  <c r="BF955" i="1"/>
  <c r="CI955" i="1" s="1"/>
  <c r="CJ955" i="1" s="1"/>
  <c r="BH2123" i="1"/>
  <c r="BG2123" i="1"/>
  <c r="BF2123" i="1"/>
  <c r="N2123" i="1"/>
  <c r="BH2558" i="1"/>
  <c r="BG2558" i="1"/>
  <c r="N2558" i="1"/>
  <c r="BK1061" i="1"/>
  <c r="BI1061" i="1"/>
  <c r="BH1061" i="1"/>
  <c r="R1061" i="1" s="1"/>
  <c r="BG1061" i="1"/>
  <c r="BF1061" i="1"/>
  <c r="CI1061" i="1" s="1"/>
  <c r="CJ1061" i="1" s="1"/>
  <c r="N1061" i="1"/>
  <c r="BH2537" i="1"/>
  <c r="BG2537" i="1"/>
  <c r="N2537" i="1"/>
  <c r="BH2744" i="1"/>
  <c r="BG2744" i="1"/>
  <c r="BF2744" i="1"/>
  <c r="CI2744" i="1" s="1"/>
  <c r="CJ2744" i="1" s="1"/>
  <c r="N2744" i="1"/>
  <c r="BH1760" i="1"/>
  <c r="BG1760" i="1"/>
  <c r="BF1760" i="1"/>
  <c r="CI1760" i="1" s="1"/>
  <c r="CJ1760" i="1" s="1"/>
  <c r="N1760" i="1"/>
  <c r="BH2391" i="1"/>
  <c r="BG2391" i="1"/>
  <c r="BF2391" i="1"/>
  <c r="CI2391" i="1" s="1"/>
  <c r="CJ2391" i="1" s="1"/>
  <c r="N2391" i="1"/>
  <c r="BH1829" i="1"/>
  <c r="BG1829" i="1"/>
  <c r="BF1829" i="1"/>
  <c r="N1829" i="1"/>
  <c r="BH4" i="1"/>
  <c r="BG4" i="1"/>
  <c r="BR4" i="1" s="1"/>
  <c r="CA4" i="1" s="1"/>
  <c r="BF4" i="1"/>
  <c r="CI4" i="1" s="1"/>
  <c r="CJ4" i="1" s="1"/>
  <c r="BH3085" i="1"/>
  <c r="BG3085" i="1"/>
  <c r="N3085" i="1"/>
  <c r="BH1525" i="1"/>
  <c r="BG1525" i="1"/>
  <c r="BF1525" i="1"/>
  <c r="N1525" i="1"/>
  <c r="BH639" i="1"/>
  <c r="BG639" i="1"/>
  <c r="BF639" i="1"/>
  <c r="CI639" i="1" s="1"/>
  <c r="CJ639" i="1" s="1"/>
  <c r="N639" i="1"/>
  <c r="BK3084" i="1"/>
  <c r="BI3084" i="1"/>
  <c r="BH3084" i="1"/>
  <c r="R3084" i="1" s="1"/>
  <c r="BG3084" i="1"/>
  <c r="BF3084" i="1"/>
  <c r="CI3084" i="1" s="1"/>
  <c r="CJ3084" i="1" s="1"/>
  <c r="N3084" i="1"/>
  <c r="BH2164" i="1"/>
  <c r="BG2164" i="1"/>
  <c r="BF2164" i="1"/>
  <c r="CI2164" i="1" s="1"/>
  <c r="CJ2164" i="1" s="1"/>
  <c r="N2164" i="1"/>
  <c r="BH2548" i="1"/>
  <c r="BG2548" i="1"/>
  <c r="BF2548" i="1"/>
  <c r="N2548" i="1"/>
  <c r="BH2052" i="1"/>
  <c r="BG2052" i="1"/>
  <c r="BF2052" i="1"/>
  <c r="N2052" i="1"/>
  <c r="BH1670" i="1"/>
  <c r="BG1670" i="1"/>
  <c r="BF1670" i="1"/>
  <c r="N1670" i="1"/>
  <c r="BH921" i="1"/>
  <c r="BG921" i="1"/>
  <c r="BF921" i="1"/>
  <c r="CI921" i="1" s="1"/>
  <c r="CJ921" i="1" s="1"/>
  <c r="N921" i="1"/>
  <c r="BH996" i="1"/>
  <c r="BH1798" i="1"/>
  <c r="BG1798" i="1"/>
  <c r="BF1798" i="1"/>
  <c r="N1798" i="1"/>
  <c r="BH938" i="1"/>
  <c r="BG938" i="1"/>
  <c r="BF938" i="1"/>
  <c r="CI938" i="1" s="1"/>
  <c r="CJ938" i="1" s="1"/>
  <c r="N938" i="1"/>
  <c r="BH1238" i="1"/>
  <c r="BG1238" i="1"/>
  <c r="BR1238" i="1" s="1"/>
  <c r="CA1238" i="1" s="1"/>
  <c r="BF1238" i="1"/>
  <c r="CI1238" i="1" s="1"/>
  <c r="CJ1238" i="1" s="1"/>
  <c r="BK1191" i="1"/>
  <c r="BI1191" i="1"/>
  <c r="BH1191" i="1"/>
  <c r="R1191" i="1" s="1"/>
  <c r="BG1191" i="1"/>
  <c r="BF1191" i="1"/>
  <c r="N1191" i="1"/>
  <c r="BH505" i="1"/>
  <c r="BG505" i="1"/>
  <c r="BF505" i="1"/>
  <c r="N505" i="1"/>
  <c r="BH3083" i="1"/>
  <c r="BG3083" i="1"/>
  <c r="BF3083" i="1"/>
  <c r="CI3083" i="1" s="1"/>
  <c r="CJ3083" i="1" s="1"/>
  <c r="N3083" i="1"/>
  <c r="BH2499" i="1"/>
  <c r="BG2499" i="1"/>
  <c r="BF2499" i="1"/>
  <c r="CI2499" i="1" s="1"/>
  <c r="CJ2499" i="1" s="1"/>
  <c r="N2499" i="1"/>
  <c r="BH2258" i="1"/>
  <c r="BG2258" i="1"/>
  <c r="BF2258" i="1"/>
  <c r="N2258" i="1"/>
  <c r="BH3082" i="1"/>
  <c r="N3082" i="1"/>
  <c r="BH2007" i="1"/>
  <c r="BG2007" i="1"/>
  <c r="BF2007" i="1"/>
  <c r="CI2007" i="1" s="1"/>
  <c r="CJ2007" i="1" s="1"/>
  <c r="N2007" i="1"/>
  <c r="BH3081" i="1"/>
  <c r="N3081" i="1"/>
  <c r="BK1181" i="1"/>
  <c r="BI1181" i="1"/>
  <c r="BH1181" i="1"/>
  <c r="R1181" i="1" s="1"/>
  <c r="BG1181" i="1"/>
  <c r="BF1181" i="1"/>
  <c r="N1181" i="1"/>
  <c r="BH777" i="1"/>
  <c r="N777" i="1"/>
  <c r="BK903" i="1"/>
  <c r="BI903" i="1"/>
  <c r="BH903" i="1"/>
  <c r="R903" i="1" s="1"/>
  <c r="BG903" i="1"/>
  <c r="BF903" i="1"/>
  <c r="N903" i="1"/>
  <c r="BK1658" i="1"/>
  <c r="BI1658" i="1"/>
  <c r="BH1658" i="1"/>
  <c r="R1658" i="1" s="1"/>
  <c r="BU1658" i="1" s="1"/>
  <c r="BW1658" i="1" s="1"/>
  <c r="BG1658" i="1"/>
  <c r="N1658" i="1"/>
  <c r="BK2414" i="1"/>
  <c r="BI2414" i="1"/>
  <c r="BH2414" i="1"/>
  <c r="R2414" i="1" s="1"/>
  <c r="BG2414" i="1"/>
  <c r="BF2414" i="1"/>
  <c r="N2414" i="1"/>
  <c r="BK611" i="1"/>
  <c r="BI611" i="1"/>
  <c r="BH611" i="1"/>
  <c r="R611" i="1" s="1"/>
  <c r="BG611" i="1"/>
  <c r="BF611" i="1"/>
  <c r="N611" i="1"/>
  <c r="BK3080" i="1"/>
  <c r="BI3080" i="1"/>
  <c r="BH3080" i="1"/>
  <c r="R3080" i="1" s="1"/>
  <c r="BG3080" i="1"/>
  <c r="BF3080" i="1"/>
  <c r="CI3080" i="1" s="1"/>
  <c r="CJ3080" i="1" s="1"/>
  <c r="N3080" i="1"/>
  <c r="BK475" i="1"/>
  <c r="BI475" i="1"/>
  <c r="BH475" i="1"/>
  <c r="R475" i="1" s="1"/>
  <c r="BG475" i="1"/>
  <c r="BF475" i="1"/>
  <c r="N475" i="1"/>
  <c r="BK894" i="1"/>
  <c r="BI894" i="1"/>
  <c r="BH894" i="1"/>
  <c r="R894" i="1" s="1"/>
  <c r="BG894" i="1"/>
  <c r="BF894" i="1"/>
  <c r="N894" i="1"/>
  <c r="BK958" i="1"/>
  <c r="BI958" i="1"/>
  <c r="BH958" i="1"/>
  <c r="R958" i="1" s="1"/>
  <c r="BG958" i="1"/>
  <c r="BR958" i="1" s="1"/>
  <c r="CA958" i="1" s="1"/>
  <c r="BF958" i="1"/>
  <c r="BK3079" i="1"/>
  <c r="BI3079" i="1"/>
  <c r="BH3079" i="1"/>
  <c r="R3079" i="1" s="1"/>
  <c r="BG3079" i="1"/>
  <c r="BF3079" i="1"/>
  <c r="N3079" i="1"/>
  <c r="BK428" i="1"/>
  <c r="BI428" i="1"/>
  <c r="BH428" i="1"/>
  <c r="R428" i="1" s="1"/>
  <c r="BG428" i="1"/>
  <c r="BF428" i="1"/>
  <c r="CI428" i="1" s="1"/>
  <c r="CJ428" i="1" s="1"/>
  <c r="N428" i="1"/>
  <c r="BH1418" i="1"/>
  <c r="BG1418" i="1"/>
  <c r="BF1418" i="1"/>
  <c r="CI1418" i="1" s="1"/>
  <c r="CJ1418" i="1" s="1"/>
  <c r="N1418" i="1"/>
  <c r="BH3051" i="1"/>
  <c r="BG3051" i="1"/>
  <c r="BF3051" i="1"/>
  <c r="CI3051" i="1" s="1"/>
  <c r="CJ3051" i="1" s="1"/>
  <c r="N3051" i="1"/>
  <c r="BH3078" i="1"/>
  <c r="N3078" i="1"/>
  <c r="BH2204" i="1"/>
  <c r="N2204" i="1"/>
  <c r="BH149" i="1"/>
  <c r="BG149" i="1"/>
  <c r="BF149" i="1"/>
  <c r="CI149" i="1" s="1"/>
  <c r="CJ149" i="1" s="1"/>
  <c r="N149" i="1"/>
  <c r="BH978" i="1"/>
  <c r="BG978" i="1"/>
  <c r="BF978" i="1"/>
  <c r="CI978" i="1" s="1"/>
  <c r="CJ978" i="1" s="1"/>
  <c r="N978" i="1"/>
  <c r="BH1260" i="1"/>
  <c r="BG1260" i="1"/>
  <c r="BF1260" i="1"/>
  <c r="CI1260" i="1" s="1"/>
  <c r="CJ1260" i="1" s="1"/>
  <c r="N1260" i="1"/>
  <c r="BK608" i="1"/>
  <c r="BI608" i="1"/>
  <c r="BH608" i="1"/>
  <c r="R608" i="1" s="1"/>
  <c r="BG608" i="1"/>
  <c r="BF608" i="1"/>
  <c r="N608" i="1"/>
  <c r="BH1227" i="1"/>
  <c r="BG1227" i="1"/>
  <c r="BF1227" i="1"/>
  <c r="CI1227" i="1" s="1"/>
  <c r="CJ1227" i="1" s="1"/>
  <c r="N1227" i="1"/>
  <c r="BH1316" i="1"/>
  <c r="BG1316" i="1"/>
  <c r="BF1316" i="1"/>
  <c r="CI1316" i="1" s="1"/>
  <c r="CJ1316" i="1" s="1"/>
  <c r="N1316" i="1"/>
  <c r="BH1038" i="1"/>
  <c r="BG1038" i="1"/>
  <c r="BF1038" i="1"/>
  <c r="N1038" i="1"/>
  <c r="BH3077" i="1"/>
  <c r="BG3077" i="1"/>
  <c r="BF3077" i="1"/>
  <c r="N3077" i="1"/>
  <c r="BH1517" i="1"/>
  <c r="BG1517" i="1"/>
  <c r="BF1517" i="1"/>
  <c r="CI1517" i="1" s="1"/>
  <c r="CJ1517" i="1" s="1"/>
  <c r="N1517" i="1"/>
  <c r="BH959" i="1"/>
  <c r="BG959" i="1"/>
  <c r="BF959" i="1"/>
  <c r="N959" i="1"/>
  <c r="BH517" i="1"/>
  <c r="BG517" i="1"/>
  <c r="BF517" i="1"/>
  <c r="N517" i="1"/>
  <c r="BH8" i="1"/>
  <c r="BG8" i="1"/>
  <c r="BR8" i="1" s="1"/>
  <c r="CA8" i="1" s="1"/>
  <c r="BF8" i="1"/>
  <c r="CI8" i="1" s="1"/>
  <c r="CJ8" i="1" s="1"/>
  <c r="BH876" i="1"/>
  <c r="BG876" i="1"/>
  <c r="BF876" i="1"/>
  <c r="N876" i="1"/>
  <c r="BK3076" i="1"/>
  <c r="BI3076" i="1"/>
  <c r="BH3076" i="1"/>
  <c r="R3076" i="1" s="1"/>
  <c r="Q3076" i="1"/>
  <c r="N3076" i="1"/>
  <c r="BH3075" i="1"/>
  <c r="BG3075" i="1"/>
  <c r="BF3075" i="1"/>
  <c r="CI3075" i="1" s="1"/>
  <c r="CJ3075" i="1" s="1"/>
  <c r="N3075" i="1"/>
  <c r="BH3" i="1"/>
  <c r="BG3" i="1"/>
  <c r="BF3" i="1"/>
  <c r="CI3" i="1" s="1"/>
  <c r="CJ3" i="1" s="1"/>
  <c r="N3" i="1"/>
  <c r="BH1532" i="1"/>
  <c r="BG1532" i="1"/>
  <c r="BF1532" i="1"/>
  <c r="CI1532" i="1" s="1"/>
  <c r="CJ1532" i="1" s="1"/>
  <c r="N1532" i="1"/>
  <c r="BH1161" i="1"/>
  <c r="BG1161" i="1"/>
  <c r="BF1161" i="1"/>
  <c r="CI1161" i="1" s="1"/>
  <c r="CJ1161" i="1" s="1"/>
  <c r="N1161" i="1"/>
  <c r="BH865" i="1"/>
  <c r="BG865" i="1"/>
  <c r="BF865" i="1"/>
  <c r="CI865" i="1" s="1"/>
  <c r="CJ865" i="1" s="1"/>
  <c r="N865" i="1"/>
  <c r="BH1284" i="1"/>
  <c r="BG1284" i="1"/>
  <c r="BR1284" i="1" s="1"/>
  <c r="CA1284" i="1" s="1"/>
  <c r="BF1284" i="1"/>
  <c r="CI1284" i="1" s="1"/>
  <c r="CJ1284" i="1" s="1"/>
  <c r="BH1932" i="1"/>
  <c r="BG1932" i="1"/>
  <c r="BF1932" i="1"/>
  <c r="N1932" i="1"/>
  <c r="BH2309" i="1"/>
  <c r="BG2309" i="1"/>
  <c r="N2309" i="1"/>
  <c r="BK2249" i="1"/>
  <c r="BI2249" i="1"/>
  <c r="BH2249" i="1"/>
  <c r="R2249" i="1" s="1"/>
  <c r="BG2249" i="1"/>
  <c r="BR2249" i="1" s="1"/>
  <c r="CA2249" i="1" s="1"/>
  <c r="BF2249" i="1"/>
  <c r="BH1793" i="1"/>
  <c r="N1793" i="1"/>
  <c r="BH3073" i="1"/>
  <c r="BG3073" i="1"/>
  <c r="BF3073" i="1"/>
  <c r="CI3073" i="1" s="1"/>
  <c r="CJ3073" i="1" s="1"/>
  <c r="N3073" i="1"/>
  <c r="BH2485" i="1"/>
  <c r="BG2485" i="1"/>
  <c r="BF2485" i="1"/>
  <c r="N2485" i="1"/>
  <c r="BH1600" i="1"/>
  <c r="BG1600" i="1"/>
  <c r="BF1600" i="1"/>
  <c r="CI1600" i="1" s="1"/>
  <c r="CJ1600" i="1" s="1"/>
  <c r="N1600" i="1"/>
  <c r="BH1610" i="1"/>
  <c r="BG1610" i="1"/>
  <c r="BF1610" i="1"/>
  <c r="CI1610" i="1" s="1"/>
  <c r="CJ1610" i="1" s="1"/>
  <c r="N1610" i="1"/>
  <c r="BH864" i="1"/>
  <c r="BG864" i="1"/>
  <c r="BR864" i="1" s="1"/>
  <c r="CA864" i="1" s="1"/>
  <c r="BF864" i="1"/>
  <c r="CI864" i="1" s="1"/>
  <c r="CJ864" i="1" s="1"/>
  <c r="BH616" i="1"/>
  <c r="BG616" i="1"/>
  <c r="BF616" i="1"/>
  <c r="N616" i="1"/>
  <c r="BH721" i="1"/>
  <c r="BG721" i="1"/>
  <c r="BK658" i="1"/>
  <c r="BI658" i="1"/>
  <c r="BH658" i="1"/>
  <c r="R658" i="1" s="1"/>
  <c r="BG658" i="1"/>
  <c r="BF658" i="1"/>
  <c r="N658" i="1"/>
  <c r="BH854" i="1"/>
  <c r="BG854" i="1"/>
  <c r="BF854" i="1"/>
  <c r="CI854" i="1" s="1"/>
  <c r="CJ854" i="1" s="1"/>
  <c r="N854" i="1"/>
  <c r="BH1645" i="1"/>
  <c r="BG1645" i="1"/>
  <c r="N1645" i="1"/>
  <c r="BH3022" i="1"/>
  <c r="BG3022" i="1"/>
  <c r="BF3022" i="1"/>
  <c r="N3022" i="1"/>
  <c r="BH2324" i="1"/>
  <c r="BG2324" i="1"/>
  <c r="BF2324" i="1"/>
  <c r="CI2324" i="1" s="1"/>
  <c r="CJ2324" i="1" s="1"/>
  <c r="N2324" i="1"/>
  <c r="BH944" i="1"/>
  <c r="BG944" i="1"/>
  <c r="BF944" i="1"/>
  <c r="N944" i="1"/>
  <c r="BH339" i="1"/>
  <c r="BG339" i="1"/>
  <c r="BF339" i="1"/>
  <c r="N339" i="1"/>
  <c r="BH3072" i="1"/>
  <c r="BG3072" i="1"/>
  <c r="BF3072" i="1"/>
  <c r="CI3072" i="1" s="1"/>
  <c r="CJ3072" i="1" s="1"/>
  <c r="N3072" i="1"/>
  <c r="BH1137" i="1"/>
  <c r="BG1137" i="1"/>
  <c r="N1137" i="1"/>
  <c r="BH343" i="1"/>
  <c r="BG343" i="1"/>
  <c r="BF343" i="1"/>
  <c r="CI343" i="1" s="1"/>
  <c r="CJ343" i="1" s="1"/>
  <c r="N343" i="1"/>
  <c r="BK1903" i="1"/>
  <c r="BI1903" i="1"/>
  <c r="BH1903" i="1"/>
  <c r="R1903" i="1" s="1"/>
  <c r="BG1903" i="1"/>
  <c r="BF1903" i="1"/>
  <c r="CI1903" i="1" s="1"/>
  <c r="CJ1903" i="1" s="1"/>
  <c r="N1903" i="1"/>
  <c r="BH2254" i="1"/>
  <c r="BG2254" i="1"/>
  <c r="BF2254" i="1"/>
  <c r="CI2254" i="1" s="1"/>
  <c r="CJ2254" i="1" s="1"/>
  <c r="N2254" i="1"/>
  <c r="BH1776" i="1"/>
  <c r="BG1776" i="1"/>
  <c r="BF1776" i="1"/>
  <c r="CI1776" i="1" s="1"/>
  <c r="CJ1776" i="1" s="1"/>
  <c r="N1776" i="1"/>
  <c r="BH375" i="1"/>
  <c r="BG375" i="1"/>
  <c r="BF375" i="1"/>
  <c r="CI375" i="1" s="1"/>
  <c r="CJ375" i="1" s="1"/>
  <c r="N375" i="1"/>
  <c r="BH1745" i="1"/>
  <c r="BG1745" i="1"/>
  <c r="BF1745" i="1"/>
  <c r="N1745" i="1"/>
  <c r="BH2059" i="1"/>
  <c r="BG2059" i="1"/>
  <c r="BF2059" i="1"/>
  <c r="N2059" i="1"/>
  <c r="BH1128" i="1"/>
  <c r="BG1128" i="1"/>
  <c r="BF1128" i="1"/>
  <c r="CI1128" i="1" s="1"/>
  <c r="CJ1128" i="1" s="1"/>
  <c r="N1128" i="1"/>
  <c r="BH987" i="1"/>
  <c r="BG987" i="1"/>
  <c r="BF987" i="1"/>
  <c r="N987" i="1"/>
  <c r="BH1274" i="1"/>
  <c r="BG1274" i="1"/>
  <c r="BF1274" i="1"/>
  <c r="CI1274" i="1" s="1"/>
  <c r="CJ1274" i="1" s="1"/>
  <c r="N1274" i="1"/>
  <c r="BH842" i="1"/>
  <c r="BG842" i="1"/>
  <c r="BF842" i="1"/>
  <c r="CI842" i="1" s="1"/>
  <c r="CJ842" i="1" s="1"/>
  <c r="N842" i="1"/>
  <c r="BK1732" i="1"/>
  <c r="BI1732" i="1"/>
  <c r="BH1732" i="1"/>
  <c r="R1732" i="1" s="1"/>
  <c r="BG1732" i="1"/>
  <c r="BR1732" i="1" s="1"/>
  <c r="CA1732" i="1" s="1"/>
  <c r="BF1732" i="1"/>
  <c r="BH3070" i="1"/>
  <c r="BG3070" i="1"/>
  <c r="BF3070" i="1"/>
  <c r="N3070" i="1"/>
  <c r="BH3069" i="1"/>
  <c r="BG3069" i="1"/>
  <c r="BF3069" i="1"/>
  <c r="N3069" i="1"/>
  <c r="BH742" i="1"/>
  <c r="N742" i="1"/>
  <c r="BH3068" i="1"/>
  <c r="BG3068" i="1"/>
  <c r="BF3068" i="1"/>
  <c r="N3068" i="1"/>
  <c r="BH1075" i="1"/>
  <c r="BG1075" i="1"/>
  <c r="BF1075" i="1"/>
  <c r="N1075" i="1"/>
  <c r="BH873" i="1"/>
  <c r="BG873" i="1"/>
  <c r="BF873" i="1"/>
  <c r="N873" i="1"/>
  <c r="BH3067" i="1"/>
  <c r="BG3067" i="1"/>
  <c r="BF3067" i="1"/>
  <c r="CI3067" i="1" s="1"/>
  <c r="CJ3067" i="1" s="1"/>
  <c r="N3067" i="1"/>
  <c r="BH2216" i="1"/>
  <c r="BG2216" i="1"/>
  <c r="BR2216" i="1" s="1"/>
  <c r="CA2216" i="1" s="1"/>
  <c r="BF2216" i="1"/>
  <c r="CI2216" i="1" s="1"/>
  <c r="CJ2216" i="1" s="1"/>
  <c r="BK2823" i="1"/>
  <c r="BI2823" i="1"/>
  <c r="BH2823" i="1"/>
  <c r="R2823" i="1" s="1"/>
  <c r="BG2823" i="1"/>
  <c r="BF2823" i="1"/>
  <c r="CI2823" i="1" s="1"/>
  <c r="CJ2823" i="1" s="1"/>
  <c r="N2823" i="1"/>
  <c r="BH320" i="1"/>
  <c r="BG320" i="1"/>
  <c r="BR320" i="1" s="1"/>
  <c r="CA320" i="1" s="1"/>
  <c r="BF320" i="1"/>
  <c r="CI320" i="1" s="1"/>
  <c r="CJ320" i="1" s="1"/>
  <c r="BH2042" i="1"/>
  <c r="BG2042" i="1"/>
  <c r="BR2042" i="1" s="1"/>
  <c r="CA2042" i="1" s="1"/>
  <c r="BF2042" i="1"/>
  <c r="CI2042" i="1" s="1"/>
  <c r="CJ2042" i="1" s="1"/>
  <c r="BH1743" i="1"/>
  <c r="BG1743" i="1"/>
  <c r="BF1743" i="1"/>
  <c r="CI1743" i="1" s="1"/>
  <c r="CJ1743" i="1" s="1"/>
  <c r="N1743" i="1"/>
  <c r="BH2262" i="1"/>
  <c r="N2262" i="1"/>
  <c r="BH1172" i="1"/>
  <c r="BG1172" i="1"/>
  <c r="BF1172" i="1"/>
  <c r="N1172" i="1"/>
  <c r="BH3066" i="1"/>
  <c r="BG3066" i="1"/>
  <c r="BF3066" i="1"/>
  <c r="CI3066" i="1" s="1"/>
  <c r="CJ3066" i="1" s="1"/>
  <c r="N3066" i="1"/>
  <c r="BH1440" i="1"/>
  <c r="BG1440" i="1"/>
  <c r="BF1440" i="1"/>
  <c r="CI1440" i="1" s="1"/>
  <c r="CJ1440" i="1" s="1"/>
  <c r="N1440" i="1"/>
  <c r="BH3065" i="1"/>
  <c r="BG3065" i="1"/>
  <c r="BF3065" i="1"/>
  <c r="N3065" i="1"/>
  <c r="BH805" i="1"/>
  <c r="BG805" i="1"/>
  <c r="BF805" i="1"/>
  <c r="CI805" i="1" s="1"/>
  <c r="CJ805" i="1" s="1"/>
  <c r="N805" i="1"/>
  <c r="BK2417" i="1"/>
  <c r="BI2417" i="1"/>
  <c r="BH2417" i="1"/>
  <c r="R2417" i="1" s="1"/>
  <c r="BG2417" i="1"/>
  <c r="BX2417" i="1"/>
  <c r="BH3064" i="1"/>
  <c r="BG3064" i="1"/>
  <c r="BF3064" i="1"/>
  <c r="CI3064" i="1" s="1"/>
  <c r="CJ3064" i="1" s="1"/>
  <c r="N3064" i="1"/>
  <c r="BH1842" i="1"/>
  <c r="BG1842" i="1"/>
  <c r="BR1842" i="1" s="1"/>
  <c r="CA1842" i="1" s="1"/>
  <c r="BF1842" i="1"/>
  <c r="CI1842" i="1" s="1"/>
  <c r="CJ1842" i="1" s="1"/>
  <c r="BH1288" i="1"/>
  <c r="BG1288" i="1"/>
  <c r="BF1288" i="1"/>
  <c r="N1288" i="1"/>
  <c r="BH1973" i="1"/>
  <c r="BG1973" i="1"/>
  <c r="BZ1973" i="1"/>
  <c r="N1973" i="1"/>
  <c r="BH2560" i="1"/>
  <c r="BG2560" i="1"/>
  <c r="BR2560" i="1" s="1"/>
  <c r="CA2560" i="1" s="1"/>
  <c r="BF2560" i="1"/>
  <c r="CI2560" i="1" s="1"/>
  <c r="CJ2560" i="1" s="1"/>
  <c r="BH828" i="1"/>
  <c r="BG828" i="1"/>
  <c r="BF828" i="1"/>
  <c r="CI828" i="1" s="1"/>
  <c r="CJ828" i="1" s="1"/>
  <c r="N828" i="1"/>
  <c r="BH3063" i="1"/>
  <c r="BG3063" i="1"/>
  <c r="BF3063" i="1"/>
  <c r="CI3063" i="1" s="1"/>
  <c r="CJ3063" i="1" s="1"/>
  <c r="N3063" i="1"/>
  <c r="BH3062" i="1"/>
  <c r="BG3062" i="1"/>
  <c r="N3062" i="1"/>
  <c r="BH1305" i="1"/>
  <c r="BG1305" i="1"/>
  <c r="BF1305" i="1"/>
  <c r="N1305" i="1"/>
  <c r="BI3061" i="1"/>
  <c r="BH3061" i="1"/>
  <c r="R3061" i="1" s="1"/>
  <c r="BG3061" i="1"/>
  <c r="J3061" i="1"/>
  <c r="BH1900" i="1"/>
  <c r="BG1900" i="1"/>
  <c r="BF1900" i="1"/>
  <c r="N1900" i="1"/>
  <c r="BK665" i="1"/>
  <c r="BI665" i="1"/>
  <c r="BH665" i="1"/>
  <c r="R665" i="1" s="1"/>
  <c r="BG665" i="1"/>
  <c r="BR665" i="1" s="1"/>
  <c r="CA665" i="1" s="1"/>
  <c r="BF665" i="1"/>
  <c r="BK1416" i="1"/>
  <c r="BI1416" i="1"/>
  <c r="BH1416" i="1"/>
  <c r="R1416" i="1" s="1"/>
  <c r="BG1416" i="1"/>
  <c r="BF1416" i="1"/>
  <c r="N1416" i="1"/>
  <c r="BK2008" i="1"/>
  <c r="BI2008" i="1"/>
  <c r="BH2008" i="1"/>
  <c r="R2008" i="1" s="1"/>
  <c r="BG2008" i="1"/>
  <c r="BF2008" i="1"/>
  <c r="CI2008" i="1" s="1"/>
  <c r="CJ2008" i="1" s="1"/>
  <c r="N2008" i="1"/>
  <c r="BK2513" i="1"/>
  <c r="BI2513" i="1"/>
  <c r="BH2513" i="1"/>
  <c r="R2513" i="1" s="1"/>
  <c r="BG2513" i="1"/>
  <c r="BF2513" i="1"/>
  <c r="N2513" i="1"/>
  <c r="BK685" i="1"/>
  <c r="BI685" i="1"/>
  <c r="BH685" i="1"/>
  <c r="R685" i="1" s="1"/>
  <c r="BG685" i="1"/>
  <c r="BF685" i="1"/>
  <c r="CI685" i="1" s="1"/>
  <c r="CJ685" i="1" s="1"/>
  <c r="N685" i="1"/>
  <c r="BK2062" i="1"/>
  <c r="BI2062" i="1"/>
  <c r="BH2062" i="1"/>
  <c r="R2062" i="1" s="1"/>
  <c r="BG2062" i="1"/>
  <c r="BX2062" i="1"/>
  <c r="BK1069" i="1"/>
  <c r="BI1069" i="1"/>
  <c r="BH1069" i="1"/>
  <c r="R1069" i="1" s="1"/>
  <c r="BG1069" i="1"/>
  <c r="BF1069" i="1"/>
  <c r="N1069" i="1"/>
  <c r="BK376" i="1"/>
  <c r="BI376" i="1"/>
  <c r="BH376" i="1"/>
  <c r="R376" i="1" s="1"/>
  <c r="BG376" i="1"/>
  <c r="BF376" i="1"/>
  <c r="N376" i="1"/>
  <c r="BK1957" i="1"/>
  <c r="BI1957" i="1"/>
  <c r="BH1957" i="1"/>
  <c r="R1957" i="1" s="1"/>
  <c r="BG1957" i="1"/>
  <c r="BF1957" i="1"/>
  <c r="N1957" i="1"/>
  <c r="BH1262" i="1"/>
  <c r="BG1262" i="1"/>
  <c r="BF1262" i="1"/>
  <c r="N1262" i="1"/>
  <c r="BH1928" i="1"/>
  <c r="BG1928" i="1"/>
  <c r="BF1928" i="1"/>
  <c r="N1928" i="1"/>
  <c r="BH1769" i="1"/>
  <c r="BG1769" i="1"/>
  <c r="BF1769" i="1"/>
  <c r="N1769" i="1"/>
  <c r="BH1584" i="1"/>
  <c r="BG1584" i="1"/>
  <c r="BF1584" i="1"/>
  <c r="N1584" i="1"/>
  <c r="BH1961" i="1"/>
  <c r="BG1961" i="1"/>
  <c r="N1961" i="1"/>
  <c r="BH906" i="1"/>
  <c r="BG906" i="1"/>
  <c r="BF906" i="1"/>
  <c r="N906" i="1"/>
  <c r="BH834" i="1"/>
  <c r="BG834" i="1"/>
  <c r="BF834" i="1"/>
  <c r="CI834" i="1" s="1"/>
  <c r="CJ834" i="1" s="1"/>
  <c r="N834" i="1"/>
  <c r="BH3060" i="1"/>
  <c r="BG3060" i="1"/>
  <c r="BF3060" i="1"/>
  <c r="N3060" i="1"/>
  <c r="BH2187" i="1"/>
  <c r="BG2187" i="1"/>
  <c r="BF2187" i="1"/>
  <c r="N2187" i="1"/>
  <c r="BH2242" i="1"/>
  <c r="BG2242" i="1"/>
  <c r="N2242" i="1"/>
  <c r="BH1860" i="1"/>
  <c r="BG1860" i="1"/>
  <c r="BF1860" i="1"/>
  <c r="N1860" i="1"/>
  <c r="BH1516" i="1"/>
  <c r="BG1516" i="1"/>
  <c r="BF1516" i="1"/>
  <c r="CI1516" i="1" s="1"/>
  <c r="CJ1516" i="1" s="1"/>
  <c r="N1516" i="1"/>
  <c r="BH1702" i="1"/>
  <c r="BG1702" i="1"/>
  <c r="BF1702" i="1"/>
  <c r="N1702" i="1"/>
  <c r="BH1170" i="1"/>
  <c r="BG1170" i="1"/>
  <c r="BF1170" i="1"/>
  <c r="CI1170" i="1" s="1"/>
  <c r="CJ1170" i="1" s="1"/>
  <c r="N1170" i="1"/>
  <c r="BH1098" i="1"/>
  <c r="BG1098" i="1"/>
  <c r="BF1098" i="1"/>
  <c r="N1098" i="1"/>
  <c r="BH1740" i="1"/>
  <c r="BH3059" i="1"/>
  <c r="BG3059" i="1"/>
  <c r="BF3059" i="1"/>
  <c r="N3059" i="1"/>
  <c r="BK2281" i="1"/>
  <c r="BI2281" i="1"/>
  <c r="BH2281" i="1"/>
  <c r="R2281" i="1" s="1"/>
  <c r="BG2281" i="1"/>
  <c r="BF2281" i="1"/>
  <c r="N2281" i="1"/>
  <c r="BH3058" i="1"/>
  <c r="BG3058" i="1"/>
  <c r="BF3058" i="1"/>
  <c r="CI3058" i="1" s="1"/>
  <c r="CJ3058" i="1" s="1"/>
  <c r="N3058" i="1"/>
  <c r="BH3057" i="1"/>
  <c r="N3057" i="1"/>
  <c r="BH394" i="1"/>
  <c r="BG394" i="1"/>
  <c r="BF394" i="1"/>
  <c r="CI394" i="1" s="1"/>
  <c r="CJ394" i="1" s="1"/>
  <c r="N394" i="1"/>
  <c r="BH3056" i="1"/>
  <c r="BG3056" i="1"/>
  <c r="BF3056" i="1"/>
  <c r="CI3056" i="1" s="1"/>
  <c r="CJ3056" i="1" s="1"/>
  <c r="N3056" i="1"/>
  <c r="BH3055" i="1"/>
  <c r="N3055" i="1"/>
  <c r="BH1803" i="1"/>
  <c r="BH2085" i="1"/>
  <c r="BG2085" i="1"/>
  <c r="BF2085" i="1"/>
  <c r="N2085" i="1"/>
  <c r="BK2448" i="1"/>
  <c r="BI2448" i="1"/>
  <c r="BH2448" i="1"/>
  <c r="R2448" i="1" s="1"/>
  <c r="BG2448" i="1"/>
  <c r="BF2448" i="1"/>
  <c r="CI2448" i="1" s="1"/>
  <c r="CJ2448" i="1" s="1"/>
  <c r="N2448" i="1"/>
  <c r="BH538" i="1"/>
  <c r="BG538" i="1"/>
  <c r="BR538" i="1" s="1"/>
  <c r="CA538" i="1" s="1"/>
  <c r="BF538" i="1"/>
  <c r="CI538" i="1" s="1"/>
  <c r="CJ538" i="1" s="1"/>
  <c r="BH2351" i="1"/>
  <c r="BG2351" i="1"/>
  <c r="BF2351" i="1"/>
  <c r="CI2351" i="1" s="1"/>
  <c r="CJ2351" i="1" s="1"/>
  <c r="N2351" i="1"/>
  <c r="BH396" i="1"/>
  <c r="BG396" i="1"/>
  <c r="BF396" i="1"/>
  <c r="CI396" i="1" s="1"/>
  <c r="CJ396" i="1" s="1"/>
  <c r="N396" i="1"/>
  <c r="BH2274" i="1"/>
  <c r="BG2274" i="1"/>
  <c r="BF2274" i="1"/>
  <c r="N2274" i="1"/>
  <c r="BH1579" i="1"/>
  <c r="BG1579" i="1"/>
  <c r="BF1579" i="1"/>
  <c r="CI1579" i="1" s="1"/>
  <c r="CJ1579" i="1" s="1"/>
  <c r="N1579" i="1"/>
  <c r="BH2142" i="1"/>
  <c r="BG2142" i="1"/>
  <c r="BF2142" i="1"/>
  <c r="N2142" i="1"/>
  <c r="BH3054" i="1"/>
  <c r="BG3054" i="1"/>
  <c r="BF3054" i="1"/>
  <c r="CI3054" i="1" s="1"/>
  <c r="CJ3054" i="1" s="1"/>
  <c r="N3054" i="1"/>
  <c r="BH1444" i="1"/>
  <c r="BG1444" i="1"/>
  <c r="BF1444" i="1"/>
  <c r="N1444" i="1"/>
  <c r="BK990" i="1"/>
  <c r="BI990" i="1"/>
  <c r="BH990" i="1"/>
  <c r="R990" i="1" s="1"/>
  <c r="BG990" i="1"/>
  <c r="BF990" i="1"/>
  <c r="N990" i="1"/>
  <c r="BH728" i="1"/>
  <c r="BG728" i="1"/>
  <c r="BF728" i="1"/>
  <c r="CI728" i="1" s="1"/>
  <c r="CJ728" i="1" s="1"/>
  <c r="N728" i="1"/>
  <c r="BH1509" i="1"/>
  <c r="BG1509" i="1"/>
  <c r="BF1509" i="1"/>
  <c r="CI1509" i="1" s="1"/>
  <c r="CJ1509" i="1" s="1"/>
  <c r="N1509" i="1"/>
  <c r="BH1783" i="1"/>
  <c r="BG1783" i="1"/>
  <c r="BF1783" i="1"/>
  <c r="CI1783" i="1" s="1"/>
  <c r="CJ1783" i="1" s="1"/>
  <c r="N1783" i="1"/>
  <c r="BH157" i="1"/>
  <c r="BG157" i="1"/>
  <c r="BR157" i="1" s="1"/>
  <c r="CA157" i="1" s="1"/>
  <c r="BF157" i="1"/>
  <c r="CI157" i="1" s="1"/>
  <c r="CJ157" i="1" s="1"/>
  <c r="BH3053" i="1"/>
  <c r="BG3053" i="1"/>
  <c r="BF3053" i="1"/>
  <c r="N3053" i="1"/>
  <c r="BH2349" i="1"/>
  <c r="BG2349" i="1"/>
  <c r="BF2349" i="1"/>
  <c r="CI2349" i="1" s="1"/>
  <c r="CJ2349" i="1" s="1"/>
  <c r="N2349" i="1"/>
  <c r="BH643" i="1"/>
  <c r="BG643" i="1"/>
  <c r="BF643" i="1"/>
  <c r="CI643" i="1" s="1"/>
  <c r="CJ643" i="1" s="1"/>
  <c r="N643" i="1"/>
  <c r="BH3052" i="1"/>
  <c r="BG3052" i="1"/>
  <c r="BF3052" i="1"/>
  <c r="N3052" i="1"/>
  <c r="BH1109" i="1"/>
  <c r="BG1109" i="1"/>
  <c r="BF1109" i="1"/>
  <c r="CI1109" i="1" s="1"/>
  <c r="CJ1109" i="1" s="1"/>
  <c r="N1109" i="1"/>
  <c r="BK744" i="1"/>
  <c r="BI744" i="1"/>
  <c r="BH744" i="1"/>
  <c r="R744" i="1" s="1"/>
  <c r="BG744" i="1"/>
  <c r="BF744" i="1"/>
  <c r="N744" i="1"/>
  <c r="BH3050" i="1"/>
  <c r="BG3050" i="1"/>
  <c r="BF3050" i="1"/>
  <c r="N3050" i="1"/>
  <c r="BH1125" i="1"/>
  <c r="BG1125" i="1"/>
  <c r="BF1125" i="1"/>
  <c r="CI1125" i="1" s="1"/>
  <c r="CJ1125" i="1" s="1"/>
  <c r="N1125" i="1"/>
  <c r="BH3049" i="1"/>
  <c r="N3049" i="1"/>
  <c r="BH1534" i="1"/>
  <c r="BG1534" i="1"/>
  <c r="BF1534" i="1"/>
  <c r="N1534" i="1"/>
  <c r="BH1159" i="1"/>
  <c r="BG1159" i="1"/>
  <c r="BF1159" i="1"/>
  <c r="CI1159" i="1" s="1"/>
  <c r="CJ1159" i="1" s="1"/>
  <c r="N1159" i="1"/>
  <c r="BH1236" i="1"/>
  <c r="BG1236" i="1"/>
  <c r="BR1236" i="1" s="1"/>
  <c r="CA1236" i="1" s="1"/>
  <c r="BF1236" i="1"/>
  <c r="CI1236" i="1" s="1"/>
  <c r="CJ1236" i="1" s="1"/>
  <c r="BH1197" i="1"/>
  <c r="BG1197" i="1"/>
  <c r="BF1197" i="1"/>
  <c r="N1197" i="1"/>
  <c r="BH161" i="1"/>
  <c r="BG161" i="1"/>
  <c r="BF161" i="1"/>
  <c r="CI161" i="1" s="1"/>
  <c r="CJ161" i="1" s="1"/>
  <c r="N161" i="1"/>
  <c r="BK3048" i="1"/>
  <c r="BI3048" i="1"/>
  <c r="BH3048" i="1"/>
  <c r="R3048" i="1" s="1"/>
  <c r="BG3048" i="1"/>
  <c r="BF3048" i="1"/>
  <c r="N3048" i="1"/>
  <c r="BH3047" i="1"/>
  <c r="BG3047" i="1"/>
  <c r="BF3047" i="1"/>
  <c r="N3047" i="1"/>
  <c r="BH2390" i="1"/>
  <c r="N2390" i="1"/>
  <c r="BH3046" i="1"/>
  <c r="BG3046" i="1"/>
  <c r="BR3046" i="1" s="1"/>
  <c r="CA3046" i="1" s="1"/>
  <c r="BF3046" i="1"/>
  <c r="CI3046" i="1" s="1"/>
  <c r="CJ3046" i="1" s="1"/>
  <c r="BH466" i="1"/>
  <c r="BG466" i="1"/>
  <c r="BF466" i="1"/>
  <c r="CI466" i="1" s="1"/>
  <c r="CJ466" i="1" s="1"/>
  <c r="N466" i="1"/>
  <c r="BH1912" i="1"/>
  <c r="BG1912" i="1"/>
  <c r="BF1912" i="1"/>
  <c r="N1912" i="1"/>
  <c r="BH551" i="1"/>
  <c r="BG551" i="1"/>
  <c r="BF551" i="1"/>
  <c r="CI551" i="1" s="1"/>
  <c r="CJ551" i="1" s="1"/>
  <c r="N551" i="1"/>
  <c r="BH2509" i="1"/>
  <c r="BG2509" i="1"/>
  <c r="BF2509" i="1"/>
  <c r="CI2509" i="1" s="1"/>
  <c r="CJ2509" i="1" s="1"/>
  <c r="N2509" i="1"/>
  <c r="BH1026" i="1"/>
  <c r="BG1026" i="1"/>
  <c r="N1026" i="1"/>
  <c r="BK3041" i="1"/>
  <c r="BI3041" i="1"/>
  <c r="BH3041" i="1"/>
  <c r="R3041" i="1" s="1"/>
  <c r="BG3041" i="1"/>
  <c r="BF3041" i="1"/>
  <c r="CI3041" i="1" s="1"/>
  <c r="CJ3041" i="1" s="1"/>
  <c r="N3041" i="1"/>
  <c r="BH370" i="1"/>
  <c r="BG370" i="1"/>
  <c r="BF370" i="1"/>
  <c r="CI370" i="1" s="1"/>
  <c r="CJ370" i="1" s="1"/>
  <c r="N370" i="1"/>
  <c r="BH3045" i="1"/>
  <c r="BG3045" i="1"/>
  <c r="BR3045" i="1" s="1"/>
  <c r="CA3045" i="1" s="1"/>
  <c r="BF3045" i="1"/>
  <c r="CI3045" i="1" s="1"/>
  <c r="CJ3045" i="1" s="1"/>
  <c r="BH1717" i="1"/>
  <c r="BG1717" i="1"/>
  <c r="BF1717" i="1"/>
  <c r="CI1717" i="1" s="1"/>
  <c r="CJ1717" i="1" s="1"/>
  <c r="N1717" i="1"/>
  <c r="BH158" i="1"/>
  <c r="BG158" i="1"/>
  <c r="BF158" i="1"/>
  <c r="CI158" i="1" s="1"/>
  <c r="CJ158" i="1" s="1"/>
  <c r="N158" i="1"/>
  <c r="BH1652" i="1"/>
  <c r="BG1652" i="1"/>
  <c r="BF1652" i="1"/>
  <c r="N1652" i="1"/>
  <c r="BH3044" i="1"/>
  <c r="BG3044" i="1"/>
  <c r="BF3044" i="1"/>
  <c r="CI3044" i="1" s="1"/>
  <c r="CJ3044" i="1" s="1"/>
  <c r="N3044" i="1"/>
  <c r="BH3043" i="1"/>
  <c r="BG3043" i="1"/>
  <c r="BR3043" i="1" s="1"/>
  <c r="CA3043" i="1" s="1"/>
  <c r="BF3043" i="1"/>
  <c r="CI3043" i="1" s="1"/>
  <c r="CJ3043" i="1" s="1"/>
  <c r="BH1108" i="1"/>
  <c r="BG1108" i="1"/>
  <c r="BF1108" i="1"/>
  <c r="N1108" i="1"/>
  <c r="BH3042" i="1"/>
  <c r="BG3042" i="1"/>
  <c r="N3042" i="1"/>
  <c r="BK296" i="1"/>
  <c r="BI296" i="1"/>
  <c r="BH296" i="1"/>
  <c r="R296" i="1" s="1"/>
  <c r="BG296" i="1"/>
  <c r="BF296" i="1"/>
  <c r="N296" i="1"/>
  <c r="BH470" i="1"/>
  <c r="BG470" i="1"/>
  <c r="BF470" i="1"/>
  <c r="N470" i="1"/>
  <c r="BH1445" i="1"/>
  <c r="BG1445" i="1"/>
  <c r="BF1445" i="1"/>
  <c r="N1445" i="1"/>
  <c r="BH2097" i="1"/>
  <c r="BG2097" i="1"/>
  <c r="N2097" i="1"/>
  <c r="BH1990" i="1"/>
  <c r="BG1990" i="1"/>
  <c r="BF1990" i="1"/>
  <c r="CI1990" i="1" s="1"/>
  <c r="CJ1990" i="1" s="1"/>
  <c r="N1990" i="1"/>
  <c r="BH1247" i="1"/>
  <c r="BG1247" i="1"/>
  <c r="BF1247" i="1"/>
  <c r="N1247" i="1"/>
  <c r="BH2471" i="1"/>
  <c r="N2471" i="1"/>
  <c r="BH1303" i="1"/>
  <c r="BG1303" i="1"/>
  <c r="BF1303" i="1"/>
  <c r="CI1303" i="1" s="1"/>
  <c r="CJ1303" i="1" s="1"/>
  <c r="N1303" i="1"/>
  <c r="BK1174" i="1"/>
  <c r="BI1174" i="1"/>
  <c r="BH1174" i="1"/>
  <c r="R1174" i="1" s="1"/>
  <c r="Q1174" i="1"/>
  <c r="N1174" i="1"/>
  <c r="BK1727" i="1"/>
  <c r="BI1727" i="1"/>
  <c r="BH1727" i="1"/>
  <c r="R1727" i="1" s="1"/>
  <c r="BG1727" i="1"/>
  <c r="BF1727" i="1"/>
  <c r="CI1727" i="1" s="1"/>
  <c r="CJ1727" i="1" s="1"/>
  <c r="N1727" i="1"/>
  <c r="BK3040" i="1"/>
  <c r="BI3040" i="1"/>
  <c r="BH3040" i="1"/>
  <c r="R3040" i="1" s="1"/>
  <c r="BG3040" i="1"/>
  <c r="BF3040" i="1"/>
  <c r="N3040" i="1"/>
  <c r="BK111" i="1"/>
  <c r="BI111" i="1"/>
  <c r="BH111" i="1"/>
  <c r="R111" i="1" s="1"/>
  <c r="BG111" i="1"/>
  <c r="N111" i="1"/>
  <c r="BK1647" i="1"/>
  <c r="BI1647" i="1"/>
  <c r="BH1647" i="1"/>
  <c r="R1647" i="1" s="1"/>
  <c r="BG1647" i="1"/>
  <c r="BF1647" i="1"/>
  <c r="CI1647" i="1" s="1"/>
  <c r="CJ1647" i="1" s="1"/>
  <c r="N1647" i="1"/>
  <c r="BK3039" i="1"/>
  <c r="BI3039" i="1"/>
  <c r="BH3039" i="1"/>
  <c r="R3039" i="1" s="1"/>
  <c r="BG3039" i="1"/>
  <c r="BF3039" i="1"/>
  <c r="N3039" i="1"/>
  <c r="BK565" i="1"/>
  <c r="BI565" i="1"/>
  <c r="BH565" i="1"/>
  <c r="R565" i="1" s="1"/>
  <c r="BG565" i="1"/>
  <c r="BF565" i="1"/>
  <c r="N565" i="1"/>
  <c r="BK677" i="1"/>
  <c r="BI677" i="1"/>
  <c r="BH677" i="1"/>
  <c r="R677" i="1" s="1"/>
  <c r="BG677" i="1"/>
  <c r="BF677" i="1"/>
  <c r="N677" i="1"/>
  <c r="BH3038" i="1"/>
  <c r="BG3038" i="1"/>
  <c r="BF3038" i="1"/>
  <c r="CI3038" i="1" s="1"/>
  <c r="CJ3038" i="1" s="1"/>
  <c r="N3038" i="1"/>
  <c r="BH1127" i="1"/>
  <c r="BG1127" i="1"/>
  <c r="BF1127" i="1"/>
  <c r="CI1127" i="1" s="1"/>
  <c r="CJ1127" i="1" s="1"/>
  <c r="N1127" i="1"/>
  <c r="BH994" i="1"/>
  <c r="BG994" i="1"/>
  <c r="BF994" i="1"/>
  <c r="CI994" i="1" s="1"/>
  <c r="CJ994" i="1" s="1"/>
  <c r="N994" i="1"/>
  <c r="BH2469" i="1"/>
  <c r="BG2469" i="1"/>
  <c r="BF2469" i="1"/>
  <c r="CI2469" i="1" s="1"/>
  <c r="CJ2469" i="1" s="1"/>
  <c r="N2469" i="1"/>
  <c r="BH486" i="1"/>
  <c r="BG486" i="1"/>
  <c r="BF486" i="1"/>
  <c r="CI486" i="1" s="1"/>
  <c r="CJ486" i="1" s="1"/>
  <c r="N486" i="1"/>
  <c r="BH1639" i="1"/>
  <c r="BG1639" i="1"/>
  <c r="BF1639" i="1"/>
  <c r="CI1639" i="1" s="1"/>
  <c r="CJ1639" i="1" s="1"/>
  <c r="N1639" i="1"/>
  <c r="BH1486" i="1"/>
  <c r="BG1486" i="1"/>
  <c r="BF1486" i="1"/>
  <c r="CI1486" i="1" s="1"/>
  <c r="CJ1486" i="1" s="1"/>
  <c r="N1486" i="1"/>
  <c r="BK3037" i="1"/>
  <c r="BI3037" i="1"/>
  <c r="BH3037" i="1"/>
  <c r="R3037" i="1" s="1"/>
  <c r="BG3037" i="1"/>
  <c r="BR3037" i="1" s="1"/>
  <c r="CA3037" i="1" s="1"/>
  <c r="BF3037" i="1"/>
  <c r="BH693" i="1"/>
  <c r="BG693" i="1"/>
  <c r="BF693" i="1"/>
  <c r="CI693" i="1" s="1"/>
  <c r="CJ693" i="1" s="1"/>
  <c r="N693" i="1"/>
  <c r="BH1870" i="1"/>
  <c r="BG1870" i="1"/>
  <c r="BF1870" i="1"/>
  <c r="CI1870" i="1" s="1"/>
  <c r="CJ1870" i="1" s="1"/>
  <c r="N1870" i="1"/>
  <c r="BH1779" i="1"/>
  <c r="BG1779" i="1"/>
  <c r="BF1779" i="1"/>
  <c r="CI1779" i="1" s="1"/>
  <c r="CJ1779" i="1" s="1"/>
  <c r="N1779" i="1"/>
  <c r="BH3036" i="1"/>
  <c r="BG3036" i="1"/>
  <c r="BF3036" i="1"/>
  <c r="N3036" i="1"/>
  <c r="BH2603" i="1"/>
  <c r="BG2603" i="1"/>
  <c r="BF2603" i="1"/>
  <c r="N2603" i="1"/>
  <c r="BH2403" i="1"/>
  <c r="BG2403" i="1"/>
  <c r="BR2403" i="1" s="1"/>
  <c r="CA2403" i="1" s="1"/>
  <c r="BF2403" i="1"/>
  <c r="CI2403" i="1" s="1"/>
  <c r="CJ2403" i="1" s="1"/>
  <c r="BH3035" i="1"/>
  <c r="BG3035" i="1"/>
  <c r="BF3035" i="1"/>
  <c r="N3035" i="1"/>
  <c r="BH392" i="1"/>
  <c r="BG392" i="1"/>
  <c r="BF392" i="1"/>
  <c r="N392" i="1"/>
  <c r="BH3034" i="1"/>
  <c r="BG3034" i="1"/>
  <c r="BF3034" i="1"/>
  <c r="N3034" i="1"/>
  <c r="BK1535" i="1"/>
  <c r="BI1535" i="1"/>
  <c r="BH1535" i="1"/>
  <c r="R1535" i="1" s="1"/>
  <c r="BG1535" i="1"/>
  <c r="BF1535" i="1"/>
  <c r="N1535" i="1"/>
  <c r="BH3033" i="1"/>
  <c r="BG3033" i="1"/>
  <c r="BF3033" i="1"/>
  <c r="N3033" i="1"/>
  <c r="BH2822" i="1"/>
  <c r="BG2822" i="1"/>
  <c r="BR2822" i="1" s="1"/>
  <c r="CA2822" i="1" s="1"/>
  <c r="BF2822" i="1"/>
  <c r="CI2822" i="1" s="1"/>
  <c r="CJ2822" i="1" s="1"/>
  <c r="BH1052" i="1"/>
  <c r="BG1052" i="1"/>
  <c r="BF1052" i="1"/>
  <c r="N1052" i="1"/>
  <c r="BH3028" i="1"/>
  <c r="BG3028" i="1"/>
  <c r="BF3028" i="1"/>
  <c r="CI3028" i="1" s="1"/>
  <c r="CJ3028" i="1" s="1"/>
  <c r="N3028" i="1"/>
  <c r="BH3032" i="1"/>
  <c r="BG3032" i="1"/>
  <c r="BF3032" i="1"/>
  <c r="CI3032" i="1" s="1"/>
  <c r="CJ3032" i="1" s="1"/>
  <c r="N3032" i="1"/>
  <c r="BH1051" i="1"/>
  <c r="BG1051" i="1"/>
  <c r="BF1051" i="1"/>
  <c r="CI1051" i="1" s="1"/>
  <c r="CJ1051" i="1" s="1"/>
  <c r="N1051" i="1"/>
  <c r="BH815" i="1"/>
  <c r="BG815" i="1"/>
  <c r="BF815" i="1"/>
  <c r="CI815" i="1" s="1"/>
  <c r="CJ815" i="1" s="1"/>
  <c r="N815" i="1"/>
  <c r="BH998" i="1"/>
  <c r="BG998" i="1"/>
  <c r="BF998" i="1"/>
  <c r="N998" i="1"/>
  <c r="BK3031" i="1"/>
  <c r="BI3031" i="1"/>
  <c r="BH3031" i="1"/>
  <c r="R3031" i="1" s="1"/>
  <c r="BG3031" i="1"/>
  <c r="BF3031" i="1"/>
  <c r="N3031" i="1"/>
  <c r="BH3030" i="1"/>
  <c r="BG3030" i="1"/>
  <c r="BF3030" i="1"/>
  <c r="N3030" i="1"/>
  <c r="BH2300" i="1"/>
  <c r="BG2300" i="1"/>
  <c r="BF2300" i="1"/>
  <c r="N2300" i="1"/>
  <c r="BH3029" i="1"/>
  <c r="BG3029" i="1"/>
  <c r="BF3029" i="1"/>
  <c r="CI3029" i="1" s="1"/>
  <c r="CJ3029" i="1" s="1"/>
  <c r="N3029" i="1"/>
  <c r="BH771" i="1"/>
  <c r="BG771" i="1"/>
  <c r="BF771" i="1"/>
  <c r="N771" i="1"/>
  <c r="BH1485" i="1"/>
  <c r="BG1485" i="1"/>
  <c r="BF1485" i="1"/>
  <c r="N1485" i="1"/>
  <c r="BH509" i="1"/>
  <c r="BG509" i="1"/>
  <c r="BR509" i="1" s="1"/>
  <c r="CA509" i="1" s="1"/>
  <c r="BF509" i="1"/>
  <c r="CI509" i="1" s="1"/>
  <c r="CJ509" i="1" s="1"/>
  <c r="BH159" i="1"/>
  <c r="N159" i="1"/>
  <c r="BH3027" i="1"/>
  <c r="BG3027" i="1"/>
  <c r="BF3027" i="1"/>
  <c r="CI3027" i="1" s="1"/>
  <c r="CJ3027" i="1" s="1"/>
  <c r="N3027" i="1"/>
  <c r="BH1552" i="1"/>
  <c r="N1552" i="1"/>
  <c r="BK530" i="1"/>
  <c r="BI530" i="1"/>
  <c r="BH530" i="1"/>
  <c r="R530" i="1" s="1"/>
  <c r="BG530" i="1"/>
  <c r="N530" i="1"/>
  <c r="BH282" i="1"/>
  <c r="BG282" i="1"/>
  <c r="BF282" i="1"/>
  <c r="CI282" i="1" s="1"/>
  <c r="CJ282" i="1" s="1"/>
  <c r="N282" i="1"/>
  <c r="BH1469" i="1"/>
  <c r="BG1469" i="1"/>
  <c r="BF1469" i="1"/>
  <c r="CI1469" i="1" s="1"/>
  <c r="CJ1469" i="1" s="1"/>
  <c r="N1469" i="1"/>
  <c r="BH3026" i="1"/>
  <c r="BG3026" i="1"/>
  <c r="N3026" i="1"/>
  <c r="BH729" i="1"/>
  <c r="BG729" i="1"/>
  <c r="BR729" i="1" s="1"/>
  <c r="CA729" i="1" s="1"/>
  <c r="BF729" i="1"/>
  <c r="CI729" i="1" s="1"/>
  <c r="CJ729" i="1" s="1"/>
  <c r="BH1386" i="1"/>
  <c r="BG1386" i="1"/>
  <c r="BF1386" i="1"/>
  <c r="CI1386" i="1" s="1"/>
  <c r="CJ1386" i="1" s="1"/>
  <c r="N1386" i="1"/>
  <c r="BH3024" i="1"/>
  <c r="BG3024" i="1"/>
  <c r="BF3024" i="1"/>
  <c r="N3024" i="1"/>
  <c r="BH1003" i="1"/>
  <c r="BG1003" i="1"/>
  <c r="BR1003" i="1" s="1"/>
  <c r="CA1003" i="1" s="1"/>
  <c r="BF1003" i="1"/>
  <c r="CI1003" i="1" s="1"/>
  <c r="CJ1003" i="1" s="1"/>
  <c r="BH2029" i="1"/>
  <c r="BG2029" i="1"/>
  <c r="BF2029" i="1"/>
  <c r="CI2029" i="1" s="1"/>
  <c r="CJ2029" i="1" s="1"/>
  <c r="N2029" i="1"/>
  <c r="BK3025" i="1"/>
  <c r="BI3025" i="1"/>
  <c r="BH3025" i="1"/>
  <c r="R3025" i="1" s="1"/>
  <c r="BG3025" i="1"/>
  <c r="BF3025" i="1"/>
  <c r="N3025" i="1"/>
  <c r="BH3023" i="1"/>
  <c r="BG3023" i="1"/>
  <c r="BF3023" i="1"/>
  <c r="CI3023" i="1" s="1"/>
  <c r="CJ3023" i="1" s="1"/>
  <c r="N3023" i="1"/>
  <c r="BH1146" i="1"/>
  <c r="BG1146" i="1"/>
  <c r="BF1146" i="1"/>
  <c r="CI1146" i="1" s="1"/>
  <c r="CJ1146" i="1" s="1"/>
  <c r="N1146" i="1"/>
  <c r="BH2177" i="1"/>
  <c r="BG2177" i="1"/>
  <c r="BF2177" i="1"/>
  <c r="N2177" i="1"/>
  <c r="BH1442" i="1"/>
  <c r="BG1442" i="1"/>
  <c r="BF1442" i="1"/>
  <c r="CI1442" i="1" s="1"/>
  <c r="CJ1442" i="1" s="1"/>
  <c r="N1442" i="1"/>
  <c r="BH2223" i="1"/>
  <c r="BG2223" i="1"/>
  <c r="BF2223" i="1"/>
  <c r="CI2223" i="1" s="1"/>
  <c r="CJ2223" i="1" s="1"/>
  <c r="N2223" i="1"/>
  <c r="BH2179" i="1"/>
  <c r="BG2179" i="1"/>
  <c r="BF2179" i="1"/>
  <c r="CI2179" i="1" s="1"/>
  <c r="CJ2179" i="1" s="1"/>
  <c r="N2179" i="1"/>
  <c r="BH1507" i="1"/>
  <c r="BG1507" i="1"/>
  <c r="BF1507" i="1"/>
  <c r="CI1507" i="1" s="1"/>
  <c r="CJ1507" i="1" s="1"/>
  <c r="N1507" i="1"/>
  <c r="BH1654" i="1"/>
  <c r="BG1654" i="1"/>
  <c r="BR1654" i="1" s="1"/>
  <c r="CA1654" i="1" s="1"/>
  <c r="BF1654" i="1"/>
  <c r="CI1654" i="1" s="1"/>
  <c r="CJ1654" i="1" s="1"/>
  <c r="BK1198" i="1"/>
  <c r="BI1198" i="1"/>
  <c r="BH1198" i="1"/>
  <c r="R1198" i="1" s="1"/>
  <c r="BG1198" i="1"/>
  <c r="BF1198" i="1"/>
  <c r="N1198" i="1"/>
  <c r="BH1212" i="1"/>
  <c r="N1212" i="1"/>
  <c r="BH2120" i="1"/>
  <c r="N2120" i="1"/>
  <c r="BH1650" i="1"/>
  <c r="BG1650" i="1"/>
  <c r="BF1650" i="1"/>
  <c r="N1650" i="1"/>
  <c r="BH3021" i="1"/>
  <c r="BG3021" i="1"/>
  <c r="BF3021" i="1"/>
  <c r="N3021" i="1"/>
  <c r="BH3020" i="1"/>
  <c r="BG3020" i="1"/>
  <c r="BF3020" i="1"/>
  <c r="N3020" i="1"/>
  <c r="BH1157" i="1"/>
  <c r="BG1157" i="1"/>
  <c r="BR1157" i="1" s="1"/>
  <c r="CA1157" i="1" s="1"/>
  <c r="BF1157" i="1"/>
  <c r="CI1157" i="1" s="1"/>
  <c r="CJ1157" i="1" s="1"/>
  <c r="BH890" i="1"/>
  <c r="BG890" i="1"/>
  <c r="BF890" i="1"/>
  <c r="CI890" i="1" s="1"/>
  <c r="CJ890" i="1" s="1"/>
  <c r="N890" i="1"/>
  <c r="BK1408" i="1"/>
  <c r="BI1408" i="1"/>
  <c r="BH1408" i="1"/>
  <c r="R1408" i="1" s="1"/>
  <c r="BG1408" i="1"/>
  <c r="BF1408" i="1"/>
  <c r="CI1408" i="1" s="1"/>
  <c r="CJ1408" i="1" s="1"/>
  <c r="N1408" i="1"/>
  <c r="BH176" i="1"/>
  <c r="BG176" i="1"/>
  <c r="BF176" i="1"/>
  <c r="CI176" i="1" s="1"/>
  <c r="CJ176" i="1" s="1"/>
  <c r="N176" i="1"/>
  <c r="BH1929" i="1"/>
  <c r="N1929" i="1"/>
  <c r="BH774" i="1"/>
  <c r="BG774" i="1"/>
  <c r="BF774" i="1"/>
  <c r="CI774" i="1" s="1"/>
  <c r="CJ774" i="1" s="1"/>
  <c r="N774" i="1"/>
  <c r="BH1210" i="1"/>
  <c r="BG1210" i="1"/>
  <c r="BF1210" i="1"/>
  <c r="CI1210" i="1" s="1"/>
  <c r="CJ1210" i="1" s="1"/>
  <c r="N1210" i="1"/>
  <c r="BH1666" i="1"/>
  <c r="BG1666" i="1"/>
  <c r="BF1666" i="1"/>
  <c r="N1666" i="1"/>
  <c r="BH2385" i="1"/>
  <c r="BG2385" i="1"/>
  <c r="BF2385" i="1"/>
  <c r="N2385" i="1"/>
  <c r="BH2087" i="1"/>
  <c r="BG2087" i="1"/>
  <c r="BF2087" i="1"/>
  <c r="N2087" i="1"/>
  <c r="BH2146" i="1"/>
  <c r="BG2146" i="1"/>
  <c r="BF2146" i="1"/>
  <c r="N2146" i="1"/>
  <c r="BK3019" i="1"/>
  <c r="BI3019" i="1"/>
  <c r="BH3019" i="1"/>
  <c r="R3019" i="1" s="1"/>
  <c r="BG3019" i="1"/>
  <c r="BF3019" i="1"/>
  <c r="N3019" i="1"/>
  <c r="BH870" i="1"/>
  <c r="BG870" i="1"/>
  <c r="BF870" i="1"/>
  <c r="CI870" i="1" s="1"/>
  <c r="CJ870" i="1" s="1"/>
  <c r="N870" i="1"/>
  <c r="BH329" i="1"/>
  <c r="N329" i="1"/>
  <c r="BH1909" i="1"/>
  <c r="BG1909" i="1"/>
  <c r="BF1909" i="1"/>
  <c r="CI1909" i="1" s="1"/>
  <c r="CJ1909" i="1" s="1"/>
  <c r="N1909" i="1"/>
  <c r="BH1252" i="1"/>
  <c r="N1252" i="1"/>
  <c r="BH333" i="1"/>
  <c r="BG333" i="1"/>
  <c r="BR333" i="1" s="1"/>
  <c r="CA333" i="1" s="1"/>
  <c r="BF333" i="1"/>
  <c r="CI333" i="1" s="1"/>
  <c r="CJ333" i="1" s="1"/>
  <c r="BH2180" i="1"/>
  <c r="BG2180" i="1"/>
  <c r="N2180" i="1"/>
  <c r="BH2195" i="1"/>
  <c r="BG2195" i="1"/>
  <c r="BR2195" i="1" s="1"/>
  <c r="CA2195" i="1" s="1"/>
  <c r="BF2195" i="1"/>
  <c r="CI2195" i="1" s="1"/>
  <c r="CJ2195" i="1" s="1"/>
  <c r="BH385" i="1"/>
  <c r="BG385" i="1"/>
  <c r="BF385" i="1"/>
  <c r="CI385" i="1" s="1"/>
  <c r="CJ385" i="1" s="1"/>
  <c r="N385" i="1"/>
  <c r="BK1723" i="1"/>
  <c r="BI1723" i="1"/>
  <c r="BH1723" i="1"/>
  <c r="R1723" i="1" s="1"/>
  <c r="BG1723" i="1"/>
  <c r="BF1723" i="1"/>
  <c r="CI1723" i="1" s="1"/>
  <c r="CJ1723" i="1" s="1"/>
  <c r="N1723" i="1"/>
  <c r="BH2396" i="1"/>
  <c r="BG2396" i="1"/>
  <c r="BF2396" i="1"/>
  <c r="CI2396" i="1" s="1"/>
  <c r="CJ2396" i="1" s="1"/>
  <c r="N2396" i="1"/>
  <c r="BK575" i="1"/>
  <c r="BI575" i="1"/>
  <c r="BH575" i="1"/>
  <c r="R575" i="1" s="1"/>
  <c r="BG575" i="1"/>
  <c r="BF575" i="1"/>
  <c r="N575" i="1"/>
  <c r="BK2678" i="1"/>
  <c r="BI2678" i="1"/>
  <c r="BH2678" i="1"/>
  <c r="R2678" i="1" s="1"/>
  <c r="BG2678" i="1"/>
  <c r="BF2678" i="1"/>
  <c r="N2678" i="1"/>
  <c r="BK1028" i="1"/>
  <c r="BI1028" i="1"/>
  <c r="BH1028" i="1"/>
  <c r="R1028" i="1" s="1"/>
  <c r="BG1028" i="1"/>
  <c r="BR1028" i="1" s="1"/>
  <c r="CA1028" i="1" s="1"/>
  <c r="BF1028" i="1"/>
  <c r="BK2109" i="1"/>
  <c r="BI2109" i="1"/>
  <c r="BH2109" i="1"/>
  <c r="R2109" i="1" s="1"/>
  <c r="BG2109" i="1"/>
  <c r="BR2109" i="1" s="1"/>
  <c r="CA2109" i="1" s="1"/>
  <c r="BF2109" i="1"/>
  <c r="BK1025" i="1"/>
  <c r="BI1025" i="1"/>
  <c r="BH1025" i="1"/>
  <c r="R1025" i="1" s="1"/>
  <c r="BG1025" i="1"/>
  <c r="BF1025" i="1"/>
  <c r="N1025" i="1"/>
  <c r="BK3018" i="1"/>
  <c r="BI3018" i="1"/>
  <c r="BH3018" i="1"/>
  <c r="R3018" i="1" s="1"/>
  <c r="BG3018" i="1"/>
  <c r="BF3018" i="1"/>
  <c r="CI3018" i="1" s="1"/>
  <c r="CJ3018" i="1" s="1"/>
  <c r="N3018" i="1"/>
  <c r="BK1953" i="1"/>
  <c r="BI1953" i="1"/>
  <c r="BH1953" i="1"/>
  <c r="R1953" i="1" s="1"/>
  <c r="BG1953" i="1"/>
  <c r="BF1953" i="1"/>
  <c r="N1953" i="1"/>
  <c r="BK1446" i="1"/>
  <c r="BI1446" i="1"/>
  <c r="BH1446" i="1"/>
  <c r="R1446" i="1" s="1"/>
  <c r="BG1446" i="1"/>
  <c r="BF1446" i="1"/>
  <c r="N1446" i="1"/>
  <c r="BK1713" i="1"/>
  <c r="BI1713" i="1"/>
  <c r="BH1713" i="1"/>
  <c r="R1713" i="1" s="1"/>
  <c r="Q1713" i="1"/>
  <c r="N1713" i="1"/>
  <c r="BK14" i="1"/>
  <c r="BI14" i="1"/>
  <c r="BH14" i="1"/>
  <c r="R14" i="1" s="1"/>
  <c r="BG14" i="1"/>
  <c r="BF14" i="1"/>
  <c r="CI14" i="1" s="1"/>
  <c r="CJ14" i="1" s="1"/>
  <c r="N14" i="1"/>
  <c r="BH1482" i="1"/>
  <c r="BG1482" i="1"/>
  <c r="BF1482" i="1"/>
  <c r="N1482" i="1"/>
  <c r="BH1735" i="1"/>
  <c r="BG1735" i="1"/>
  <c r="BF1735" i="1"/>
  <c r="N1735" i="1"/>
  <c r="BH438" i="1"/>
  <c r="BG438" i="1"/>
  <c r="BF438" i="1"/>
  <c r="N438" i="1"/>
  <c r="BH113" i="1"/>
  <c r="BG113" i="1"/>
  <c r="BF113" i="1"/>
  <c r="CI113" i="1" s="1"/>
  <c r="CJ113" i="1" s="1"/>
  <c r="N113" i="1"/>
  <c r="BH3017" i="1"/>
  <c r="BG3017" i="1"/>
  <c r="BF3017" i="1"/>
  <c r="CI3017" i="1" s="1"/>
  <c r="CJ3017" i="1" s="1"/>
  <c r="N3017" i="1"/>
  <c r="BH1825" i="1"/>
  <c r="BG1825" i="1"/>
  <c r="BF1825" i="1"/>
  <c r="N1825" i="1"/>
  <c r="BH1657" i="1"/>
  <c r="BG1657" i="1"/>
  <c r="BR1657" i="1" s="1"/>
  <c r="CA1657" i="1" s="1"/>
  <c r="BF1657" i="1"/>
  <c r="CI1657" i="1" s="1"/>
  <c r="CJ1657" i="1" s="1"/>
  <c r="BK2650" i="1"/>
  <c r="BI2650" i="1"/>
  <c r="BH2650" i="1"/>
  <c r="R2650" i="1" s="1"/>
  <c r="BG2650" i="1"/>
  <c r="BF2650" i="1"/>
  <c r="N2650" i="1"/>
  <c r="BH850" i="1"/>
  <c r="BG850" i="1"/>
  <c r="N850" i="1"/>
  <c r="BH909" i="1"/>
  <c r="BG909" i="1"/>
  <c r="BF909" i="1"/>
  <c r="CI909" i="1" s="1"/>
  <c r="CJ909" i="1" s="1"/>
  <c r="N909" i="1"/>
  <c r="BH900" i="1"/>
  <c r="BG900" i="1"/>
  <c r="BF900" i="1"/>
  <c r="N900" i="1"/>
  <c r="BH2275" i="1"/>
  <c r="BG2275" i="1"/>
  <c r="BR2275" i="1" s="1"/>
  <c r="CA2275" i="1" s="1"/>
  <c r="BF2275" i="1"/>
  <c r="CI2275" i="1" s="1"/>
  <c r="CJ2275" i="1" s="1"/>
  <c r="BH2104" i="1"/>
  <c r="BG2104" i="1"/>
  <c r="BR2104" i="1" s="1"/>
  <c r="CA2104" i="1" s="1"/>
  <c r="BF2104" i="1"/>
  <c r="CI2104" i="1" s="1"/>
  <c r="CJ2104" i="1" s="1"/>
  <c r="BH1196" i="1"/>
  <c r="BG1196" i="1"/>
  <c r="BR1196" i="1" s="1"/>
  <c r="CA1196" i="1" s="1"/>
  <c r="BF1196" i="1"/>
  <c r="CI1196" i="1" s="1"/>
  <c r="CJ1196" i="1" s="1"/>
  <c r="BH1077" i="1"/>
  <c r="BG1077" i="1"/>
  <c r="BF1077" i="1"/>
  <c r="N1077" i="1"/>
  <c r="BH2105" i="1"/>
  <c r="BG2105" i="1"/>
  <c r="BF2105" i="1"/>
  <c r="N2105" i="1"/>
  <c r="BK135" i="1"/>
  <c r="BI135" i="1"/>
  <c r="BH135" i="1"/>
  <c r="R135" i="1" s="1"/>
  <c r="BG135" i="1"/>
  <c r="BF135" i="1"/>
  <c r="N135" i="1"/>
  <c r="BH2397" i="1"/>
  <c r="BG2397" i="1"/>
  <c r="BX2397" i="1"/>
  <c r="N2397" i="1"/>
  <c r="BH881" i="1"/>
  <c r="BG881" i="1"/>
  <c r="BF881" i="1"/>
  <c r="CI881" i="1" s="1"/>
  <c r="CJ881" i="1" s="1"/>
  <c r="N881" i="1"/>
  <c r="BH3016" i="1"/>
  <c r="BG3016" i="1"/>
  <c r="BF3016" i="1"/>
  <c r="N3016" i="1"/>
  <c r="BH2095" i="1"/>
  <c r="N2095" i="1"/>
  <c r="BH2491" i="1"/>
  <c r="N2491" i="1"/>
  <c r="BH1514" i="1"/>
  <c r="BG1514" i="1"/>
  <c r="BF1514" i="1"/>
  <c r="N1514" i="1"/>
  <c r="BH1718" i="1"/>
  <c r="BG1718" i="1"/>
  <c r="BF1718" i="1"/>
  <c r="N1718" i="1"/>
  <c r="BH1590" i="1"/>
  <c r="BG1590" i="1"/>
  <c r="BF1590" i="1"/>
  <c r="N1590" i="1"/>
  <c r="BH2244" i="1"/>
  <c r="BG2244" i="1"/>
  <c r="BF2244" i="1"/>
  <c r="N2244" i="1"/>
  <c r="BK2171" i="1"/>
  <c r="BI2171" i="1"/>
  <c r="BH2171" i="1"/>
  <c r="R2171" i="1" s="1"/>
  <c r="BG2171" i="1"/>
  <c r="BR2171" i="1" s="1"/>
  <c r="CA2171" i="1" s="1"/>
  <c r="BF2171" i="1"/>
  <c r="BH2975" i="1"/>
  <c r="BG2975" i="1"/>
  <c r="BH1130" i="1"/>
  <c r="BG1130" i="1"/>
  <c r="BH1571" i="1"/>
  <c r="BG1571" i="1"/>
  <c r="BF1571" i="1"/>
  <c r="N1571" i="1"/>
  <c r="BH465" i="1"/>
  <c r="N465" i="1"/>
  <c r="BH298" i="1"/>
  <c r="BG298" i="1"/>
  <c r="BF298" i="1"/>
  <c r="N298" i="1"/>
  <c r="BH1004" i="1"/>
  <c r="BG1004" i="1"/>
  <c r="BF1004" i="1"/>
  <c r="N1004" i="1"/>
  <c r="BH2107" i="1"/>
  <c r="BG2107" i="1"/>
  <c r="BF2107" i="1"/>
  <c r="CI2107" i="1" s="1"/>
  <c r="CJ2107" i="1" s="1"/>
  <c r="N2107" i="1"/>
  <c r="BH1712" i="1"/>
  <c r="BG1712" i="1"/>
  <c r="BZ1712" i="1"/>
  <c r="BH1438" i="1"/>
  <c r="BG1438" i="1"/>
  <c r="BF1438" i="1"/>
  <c r="CI1438" i="1" s="1"/>
  <c r="CJ1438" i="1" s="1"/>
  <c r="N1438" i="1"/>
  <c r="BK1602" i="1"/>
  <c r="BI1602" i="1"/>
  <c r="BH1602" i="1"/>
  <c r="R1602" i="1" s="1"/>
  <c r="BG1602" i="1"/>
  <c r="BF1602" i="1"/>
  <c r="N1602" i="1"/>
  <c r="BH733" i="1"/>
  <c r="BG733" i="1"/>
  <c r="BF733" i="1"/>
  <c r="CI733" i="1" s="1"/>
  <c r="CJ733" i="1" s="1"/>
  <c r="N733" i="1"/>
  <c r="BH2014" i="1"/>
  <c r="BG2014" i="1"/>
  <c r="BR2014" i="1" s="1"/>
  <c r="CA2014" i="1" s="1"/>
  <c r="BF2014" i="1"/>
  <c r="CI2014" i="1" s="1"/>
  <c r="CJ2014" i="1" s="1"/>
  <c r="BH2201" i="1"/>
  <c r="BG2201" i="1"/>
  <c r="BF2201" i="1"/>
  <c r="CI2201" i="1" s="1"/>
  <c r="CJ2201" i="1" s="1"/>
  <c r="N2201" i="1"/>
  <c r="BH3014" i="1"/>
  <c r="N3014" i="1"/>
  <c r="BH2286" i="1"/>
  <c r="BG2286" i="1"/>
  <c r="BR2286" i="1" s="1"/>
  <c r="CA2286" i="1" s="1"/>
  <c r="BF2286" i="1"/>
  <c r="CI2286" i="1" s="1"/>
  <c r="CJ2286" i="1" s="1"/>
  <c r="BH3013" i="1"/>
  <c r="BG3013" i="1"/>
  <c r="N3013" i="1"/>
  <c r="BH1497" i="1"/>
  <c r="BG1497" i="1"/>
  <c r="BF1497" i="1"/>
  <c r="CI1497" i="1" s="1"/>
  <c r="CJ1497" i="1" s="1"/>
  <c r="N1497" i="1"/>
  <c r="BH317" i="1"/>
  <c r="BG317" i="1"/>
  <c r="BF317" i="1"/>
  <c r="CI317" i="1" s="1"/>
  <c r="CJ317" i="1" s="1"/>
  <c r="N317" i="1"/>
  <c r="BK2425" i="1"/>
  <c r="BI2425" i="1"/>
  <c r="BH2425" i="1"/>
  <c r="R2425" i="1" s="1"/>
  <c r="BG2425" i="1"/>
  <c r="BF2425" i="1"/>
  <c r="CI2425" i="1" s="1"/>
  <c r="CJ2425" i="1" s="1"/>
  <c r="N2425" i="1"/>
  <c r="BH3012" i="1"/>
  <c r="N3012" i="1"/>
  <c r="BH2551" i="1"/>
  <c r="BG2551" i="1"/>
  <c r="BF2551" i="1"/>
  <c r="N2551" i="1"/>
  <c r="BH1746" i="1"/>
  <c r="BG1746" i="1"/>
  <c r="BF1746" i="1"/>
  <c r="CI1746" i="1" s="1"/>
  <c r="CJ1746" i="1" s="1"/>
  <c r="N1746" i="1"/>
  <c r="BH3011" i="1"/>
  <c r="BG3011" i="1"/>
  <c r="BF3011" i="1"/>
  <c r="CI3011" i="1" s="1"/>
  <c r="CJ3011" i="1" s="1"/>
  <c r="N3011" i="1"/>
  <c r="BH3010" i="1"/>
  <c r="BG3010" i="1"/>
  <c r="N3010" i="1"/>
  <c r="BH1655" i="1"/>
  <c r="BG1655" i="1"/>
  <c r="BF1655" i="1"/>
  <c r="CI1655" i="1" s="1"/>
  <c r="CJ1655" i="1" s="1"/>
  <c r="N1655" i="1"/>
  <c r="BH532" i="1"/>
  <c r="BG532" i="1"/>
  <c r="N532" i="1"/>
  <c r="BK2253" i="1"/>
  <c r="BI2253" i="1"/>
  <c r="BH2253" i="1"/>
  <c r="R2253" i="1" s="1"/>
  <c r="BG2253" i="1"/>
  <c r="BF2253" i="1"/>
  <c r="N2253" i="1"/>
  <c r="BH3009" i="1"/>
  <c r="BG3009" i="1"/>
  <c r="BF3009" i="1"/>
  <c r="CI3009" i="1" s="1"/>
  <c r="CJ3009" i="1" s="1"/>
  <c r="N3009" i="1"/>
  <c r="BH1330" i="1"/>
  <c r="BG1330" i="1"/>
  <c r="BF1330" i="1"/>
  <c r="CI1330" i="1" s="1"/>
  <c r="CJ1330" i="1" s="1"/>
  <c r="N1330" i="1"/>
  <c r="BH2984" i="1"/>
  <c r="BG2984" i="1"/>
  <c r="BF2984" i="1"/>
  <c r="CI2984" i="1" s="1"/>
  <c r="CJ2984" i="1" s="1"/>
  <c r="N2984" i="1"/>
  <c r="BH1946" i="1"/>
  <c r="BG1946" i="1"/>
  <c r="BR1946" i="1" s="1"/>
  <c r="CA1946" i="1" s="1"/>
  <c r="BF1946" i="1"/>
  <c r="CI1946" i="1" s="1"/>
  <c r="CJ1946" i="1" s="1"/>
  <c r="BH1091" i="1"/>
  <c r="BG1091" i="1"/>
  <c r="BF1091" i="1"/>
  <c r="CI1091" i="1" s="1"/>
  <c r="CJ1091" i="1" s="1"/>
  <c r="N1091" i="1"/>
  <c r="BH1890" i="1"/>
  <c r="N1890" i="1"/>
  <c r="BH1690" i="1"/>
  <c r="BG1690" i="1"/>
  <c r="BR1690" i="1" s="1"/>
  <c r="CA1690" i="1" s="1"/>
  <c r="BF1690" i="1"/>
  <c r="CI1690" i="1" s="1"/>
  <c r="CJ1690" i="1" s="1"/>
  <c r="BH555" i="1"/>
  <c r="BG555" i="1"/>
  <c r="BR555" i="1" s="1"/>
  <c r="CA555" i="1" s="1"/>
  <c r="BF555" i="1"/>
  <c r="CI555" i="1" s="1"/>
  <c r="CJ555" i="1" s="1"/>
  <c r="BH3008" i="1"/>
  <c r="BG3008" i="1"/>
  <c r="BF3008" i="1"/>
  <c r="CI3008" i="1" s="1"/>
  <c r="CJ3008" i="1" s="1"/>
  <c r="N3008" i="1"/>
  <c r="BK3007" i="1"/>
  <c r="BI3007" i="1"/>
  <c r="BH3007" i="1"/>
  <c r="R3007" i="1" s="1"/>
  <c r="BG3007" i="1"/>
  <c r="BF3007" i="1"/>
  <c r="CI3007" i="1" s="1"/>
  <c r="CJ3007" i="1" s="1"/>
  <c r="N3007" i="1"/>
  <c r="BH3006" i="1"/>
  <c r="BG3006" i="1"/>
  <c r="BF3006" i="1"/>
  <c r="CI3006" i="1" s="1"/>
  <c r="CJ3006" i="1" s="1"/>
  <c r="N3006" i="1"/>
  <c r="BH995" i="1"/>
  <c r="BG995" i="1"/>
  <c r="BF995" i="1"/>
  <c r="CI995" i="1" s="1"/>
  <c r="CJ995" i="1" s="1"/>
  <c r="N995" i="1"/>
  <c r="BH2025" i="1"/>
  <c r="BG2025" i="1"/>
  <c r="BF2025" i="1"/>
  <c r="N2025" i="1"/>
  <c r="BH798" i="1"/>
  <c r="BG798" i="1"/>
  <c r="BF798" i="1"/>
  <c r="CI798" i="1" s="1"/>
  <c r="CJ798" i="1" s="1"/>
  <c r="N798" i="1"/>
  <c r="BH2032" i="1"/>
  <c r="BG2032" i="1"/>
  <c r="BR2032" i="1" s="1"/>
  <c r="CA2032" i="1" s="1"/>
  <c r="BF2032" i="1"/>
  <c r="CI2032" i="1" s="1"/>
  <c r="CJ2032" i="1" s="1"/>
  <c r="BH642" i="1"/>
  <c r="BG642" i="1"/>
  <c r="BF642" i="1"/>
  <c r="CI642" i="1" s="1"/>
  <c r="CJ642" i="1" s="1"/>
  <c r="N642" i="1"/>
  <c r="BH3005" i="1"/>
  <c r="BG3005" i="1"/>
  <c r="BF3005" i="1"/>
  <c r="N3005" i="1"/>
  <c r="BH2143" i="1"/>
  <c r="BG2143" i="1"/>
  <c r="BF2143" i="1"/>
  <c r="CI2143" i="1" s="1"/>
  <c r="CJ2143" i="1" s="1"/>
  <c r="N2143" i="1"/>
  <c r="BK2511" i="1"/>
  <c r="BI2511" i="1"/>
  <c r="BH2511" i="1"/>
  <c r="R2511" i="1" s="1"/>
  <c r="BG2511" i="1"/>
  <c r="BF2511" i="1"/>
  <c r="N2511" i="1"/>
  <c r="BH3004" i="1"/>
  <c r="BG3004" i="1"/>
  <c r="BF3004" i="1"/>
  <c r="CI3004" i="1" s="1"/>
  <c r="CJ3004" i="1" s="1"/>
  <c r="N3004" i="1"/>
  <c r="BH2483" i="1"/>
  <c r="BG2483" i="1"/>
  <c r="BF2483" i="1"/>
  <c r="CI2483" i="1" s="1"/>
  <c r="CJ2483" i="1" s="1"/>
  <c r="N2483" i="1"/>
  <c r="BH645" i="1"/>
  <c r="BG645" i="1"/>
  <c r="BF645" i="1"/>
  <c r="CI645" i="1" s="1"/>
  <c r="CJ645" i="1" s="1"/>
  <c r="N645" i="1"/>
  <c r="BH2219" i="1"/>
  <c r="BG2219" i="1"/>
  <c r="BF2219" i="1"/>
  <c r="CI2219" i="1" s="1"/>
  <c r="CJ2219" i="1" s="1"/>
  <c r="N2219" i="1"/>
  <c r="BH1550" i="1"/>
  <c r="BG1550" i="1"/>
  <c r="N1550" i="1"/>
  <c r="BH946" i="1"/>
  <c r="BG946" i="1"/>
  <c r="BF946" i="1"/>
  <c r="N946" i="1"/>
  <c r="BH2310" i="1"/>
  <c r="N2310" i="1"/>
  <c r="BH2633" i="1"/>
  <c r="BG2633" i="1"/>
  <c r="BF2633" i="1"/>
  <c r="CI2633" i="1" s="1"/>
  <c r="CJ2633" i="1" s="1"/>
  <c r="N2633" i="1"/>
  <c r="BH293" i="1"/>
  <c r="BG293" i="1"/>
  <c r="BF293" i="1"/>
  <c r="N293" i="1"/>
  <c r="BK3003" i="1"/>
  <c r="BI3003" i="1"/>
  <c r="BH3003" i="1"/>
  <c r="R3003" i="1" s="1"/>
  <c r="BG3003" i="1"/>
  <c r="BF3003" i="1"/>
  <c r="N3003" i="1"/>
  <c r="BK785" i="1"/>
  <c r="BI785" i="1"/>
  <c r="BH785" i="1"/>
  <c r="R785" i="1" s="1"/>
  <c r="BG785" i="1"/>
  <c r="BF785" i="1"/>
  <c r="CI785" i="1" s="1"/>
  <c r="CJ785" i="1" s="1"/>
  <c r="N785" i="1"/>
  <c r="BK3002" i="1"/>
  <c r="BI3002" i="1"/>
  <c r="BH3002" i="1"/>
  <c r="R3002" i="1" s="1"/>
  <c r="BG3002" i="1"/>
  <c r="BF3002" i="1"/>
  <c r="N3002" i="1"/>
  <c r="BK1536" i="1"/>
  <c r="BI1536" i="1"/>
  <c r="BH1536" i="1"/>
  <c r="R1536" i="1" s="1"/>
  <c r="BG1536" i="1"/>
  <c r="BR1536" i="1" s="1"/>
  <c r="CA1536" i="1" s="1"/>
  <c r="BF1536" i="1"/>
  <c r="BK1225" i="1"/>
  <c r="BI1225" i="1"/>
  <c r="BH1225" i="1"/>
  <c r="R1225" i="1" s="1"/>
  <c r="BG1225" i="1"/>
  <c r="BF1225" i="1"/>
  <c r="N1225" i="1"/>
  <c r="BI2492" i="1"/>
  <c r="BG2492" i="1"/>
  <c r="BX2492" i="1"/>
  <c r="BK3001" i="1"/>
  <c r="BI3001" i="1"/>
  <c r="BH3001" i="1"/>
  <c r="R3001" i="1" s="1"/>
  <c r="Q3001" i="1"/>
  <c r="N3001" i="1"/>
  <c r="BK622" i="1"/>
  <c r="BI622" i="1"/>
  <c r="BH622" i="1"/>
  <c r="R622" i="1" s="1"/>
  <c r="BG622" i="1"/>
  <c r="BF622" i="1"/>
  <c r="CI622" i="1" s="1"/>
  <c r="CJ622" i="1" s="1"/>
  <c r="N622" i="1"/>
  <c r="BK1653" i="1"/>
  <c r="BI1653" i="1"/>
  <c r="BH1653" i="1"/>
  <c r="R1653" i="1" s="1"/>
  <c r="BG1653" i="1"/>
  <c r="BR1653" i="1" s="1"/>
  <c r="CA1653" i="1" s="1"/>
  <c r="BF1653" i="1"/>
  <c r="BK2229" i="1"/>
  <c r="BI2229" i="1"/>
  <c r="BH2229" i="1"/>
  <c r="R2229" i="1" s="1"/>
  <c r="BG2229" i="1"/>
  <c r="BF2229" i="1"/>
  <c r="CI2229" i="1" s="1"/>
  <c r="CJ2229" i="1" s="1"/>
  <c r="N2229" i="1"/>
  <c r="BK2517" i="1"/>
  <c r="BI2517" i="1"/>
  <c r="BH2517" i="1"/>
  <c r="R2517" i="1" s="1"/>
  <c r="BG2517" i="1"/>
  <c r="BR2517" i="1" s="1"/>
  <c r="CA2517" i="1" s="1"/>
  <c r="BF2517" i="1"/>
  <c r="BH1669" i="1"/>
  <c r="BG1669" i="1"/>
  <c r="BF1669" i="1"/>
  <c r="N1669" i="1"/>
  <c r="BH1420" i="1"/>
  <c r="BG1420" i="1"/>
  <c r="BF1420" i="1"/>
  <c r="CI1420" i="1" s="1"/>
  <c r="CJ1420" i="1" s="1"/>
  <c r="N1420" i="1"/>
  <c r="BH747" i="1"/>
  <c r="BG747" i="1"/>
  <c r="BF747" i="1"/>
  <c r="N747" i="1"/>
  <c r="BH2004" i="1"/>
  <c r="BG2004" i="1"/>
  <c r="N2004" i="1"/>
  <c r="BH1089" i="1"/>
  <c r="BG1089" i="1"/>
  <c r="BF1089" i="1"/>
  <c r="N1089" i="1"/>
  <c r="BH3000" i="1"/>
  <c r="BG3000" i="1"/>
  <c r="BF3000" i="1"/>
  <c r="CI3000" i="1" s="1"/>
  <c r="CJ3000" i="1" s="1"/>
  <c r="N3000" i="1"/>
  <c r="BH878" i="1"/>
  <c r="BG878" i="1"/>
  <c r="BF878" i="1"/>
  <c r="CI878" i="1" s="1"/>
  <c r="CJ878" i="1" s="1"/>
  <c r="N878" i="1"/>
  <c r="BK2334" i="1"/>
  <c r="BI2334" i="1"/>
  <c r="BH2334" i="1"/>
  <c r="R2334" i="1" s="1"/>
  <c r="BG2334" i="1"/>
  <c r="BF2334" i="1"/>
  <c r="N2334" i="1"/>
  <c r="BH1250" i="1"/>
  <c r="BG1250" i="1"/>
  <c r="BF1250" i="1"/>
  <c r="N1250" i="1"/>
  <c r="BK2999" i="1"/>
  <c r="BI2999" i="1"/>
  <c r="BH2999" i="1"/>
  <c r="R2999" i="1" s="1"/>
  <c r="BG2999" i="1"/>
  <c r="BF2999" i="1"/>
  <c r="N2999" i="1"/>
  <c r="BK2998" i="1"/>
  <c r="BI2998" i="1"/>
  <c r="BH2998" i="1"/>
  <c r="R2998" i="1" s="1"/>
  <c r="BG2998" i="1"/>
  <c r="BF2998" i="1"/>
  <c r="N2998" i="1"/>
  <c r="BK2207" i="1"/>
  <c r="BI2207" i="1"/>
  <c r="BH2207" i="1"/>
  <c r="R2207" i="1" s="1"/>
  <c r="BG2207" i="1"/>
  <c r="BF2207" i="1"/>
  <c r="N2207" i="1"/>
  <c r="BK2997" i="1"/>
  <c r="BI2997" i="1"/>
  <c r="BH2997" i="1"/>
  <c r="R2997" i="1" s="1"/>
  <c r="BG2997" i="1"/>
  <c r="BR2997" i="1" s="1"/>
  <c r="CA2997" i="1" s="1"/>
  <c r="BF2997" i="1"/>
  <c r="BK951" i="1"/>
  <c r="BI951" i="1"/>
  <c r="BH951" i="1"/>
  <c r="R951" i="1" s="1"/>
  <c r="Q951" i="1"/>
  <c r="N951" i="1"/>
  <c r="BK1187" i="1"/>
  <c r="BI1187" i="1"/>
  <c r="BH1187" i="1"/>
  <c r="R1187" i="1" s="1"/>
  <c r="BG1187" i="1"/>
  <c r="BF1187" i="1"/>
  <c r="N1187" i="1"/>
  <c r="BK2996" i="1"/>
  <c r="BI2996" i="1"/>
  <c r="BH2996" i="1"/>
  <c r="R2996" i="1" s="1"/>
  <c r="BG2996" i="1"/>
  <c r="BR2996" i="1" s="1"/>
  <c r="CA2996" i="1" s="1"/>
  <c r="BF2996" i="1"/>
  <c r="BK1883" i="1"/>
  <c r="BI1883" i="1"/>
  <c r="BH1883" i="1"/>
  <c r="R1883" i="1" s="1"/>
  <c r="BG1883" i="1"/>
  <c r="BF1883" i="1"/>
  <c r="CI1883" i="1" s="1"/>
  <c r="CJ1883" i="1" s="1"/>
  <c r="N1883" i="1"/>
  <c r="BK1664" i="1"/>
  <c r="BI1664" i="1"/>
  <c r="BH1664" i="1"/>
  <c r="R1664" i="1" s="1"/>
  <c r="BG1664" i="1"/>
  <c r="BX1664" i="1"/>
  <c r="N1664" i="1"/>
  <c r="BK2486" i="1"/>
  <c r="BI2486" i="1"/>
  <c r="BH2486" i="1"/>
  <c r="R2486" i="1" s="1"/>
  <c r="BG2486" i="1"/>
  <c r="BR2486" i="1" s="1"/>
  <c r="CA2486" i="1" s="1"/>
  <c r="BF2486" i="1"/>
  <c r="BK2034" i="1"/>
  <c r="BI2034" i="1"/>
  <c r="BH2034" i="1"/>
  <c r="R2034" i="1" s="1"/>
  <c r="Q2034" i="1"/>
  <c r="N2034" i="1"/>
  <c r="BK1261" i="1"/>
  <c r="BI1261" i="1"/>
  <c r="BH1261" i="1"/>
  <c r="R1261" i="1" s="1"/>
  <c r="BG1261" i="1"/>
  <c r="BR1261" i="1" s="1"/>
  <c r="CA1261" i="1" s="1"/>
  <c r="BF1261" i="1"/>
  <c r="BK2995" i="1"/>
  <c r="BI2995" i="1"/>
  <c r="BH2995" i="1"/>
  <c r="R2995" i="1" s="1"/>
  <c r="BG2995" i="1"/>
  <c r="BF2995" i="1"/>
  <c r="CI2995" i="1" s="1"/>
  <c r="CJ2995" i="1" s="1"/>
  <c r="N2995" i="1"/>
  <c r="BK1237" i="1"/>
  <c r="BI1237" i="1"/>
  <c r="BH1237" i="1"/>
  <c r="R1237" i="1" s="1"/>
  <c r="BU1237" i="1" s="1"/>
  <c r="BW1237" i="1" s="1"/>
  <c r="BG1237" i="1"/>
  <c r="N1237" i="1"/>
  <c r="BK1966" i="1"/>
  <c r="BI1966" i="1"/>
  <c r="BG1966" i="1"/>
  <c r="BF1966" i="1"/>
  <c r="CI1966" i="1" s="1"/>
  <c r="CJ1966" i="1" s="1"/>
  <c r="N1966" i="1"/>
  <c r="BK1586" i="1"/>
  <c r="BI1586" i="1"/>
  <c r="BH1586" i="1"/>
  <c r="R1586" i="1" s="1"/>
  <c r="BG1586" i="1"/>
  <c r="BF1586" i="1"/>
  <c r="N1586" i="1"/>
  <c r="BK170" i="1"/>
  <c r="BI170" i="1"/>
  <c r="BH170" i="1"/>
  <c r="R170" i="1" s="1"/>
  <c r="BG170" i="1"/>
  <c r="BX170" i="1"/>
  <c r="N170" i="1"/>
  <c r="BK838" i="1"/>
  <c r="BI838" i="1"/>
  <c r="BH838" i="1"/>
  <c r="R838" i="1" s="1"/>
  <c r="BG838" i="1"/>
  <c r="BF838" i="1"/>
  <c r="N838" i="1"/>
  <c r="BK2994" i="1"/>
  <c r="BI2994" i="1"/>
  <c r="BH2994" i="1"/>
  <c r="R2994" i="1" s="1"/>
  <c r="BG2994" i="1"/>
  <c r="BF2994" i="1"/>
  <c r="N2994" i="1"/>
  <c r="BK2323" i="1"/>
  <c r="BI2323" i="1"/>
  <c r="BH2323" i="1"/>
  <c r="R2323" i="1" s="1"/>
  <c r="BG2323" i="1"/>
  <c r="BR2323" i="1" s="1"/>
  <c r="CA2323" i="1" s="1"/>
  <c r="BF2323" i="1"/>
  <c r="BK332" i="1"/>
  <c r="BI332" i="1"/>
  <c r="BH332" i="1"/>
  <c r="R332" i="1" s="1"/>
  <c r="Q332" i="1"/>
  <c r="N332" i="1"/>
  <c r="BK1625" i="1"/>
  <c r="BI1625" i="1"/>
  <c r="BH1625" i="1"/>
  <c r="R1625" i="1" s="1"/>
  <c r="BG1625" i="1"/>
  <c r="BF1625" i="1"/>
  <c r="N1625" i="1"/>
  <c r="BK1312" i="1"/>
  <c r="BI1312" i="1"/>
  <c r="BH1312" i="1"/>
  <c r="R1312" i="1" s="1"/>
  <c r="BG1312" i="1"/>
  <c r="BF1312" i="1"/>
  <c r="N1312" i="1"/>
  <c r="BK1465" i="1"/>
  <c r="BI1465" i="1"/>
  <c r="BH1465" i="1"/>
  <c r="R1465" i="1" s="1"/>
  <c r="BG1465" i="1"/>
  <c r="BF1465" i="1"/>
  <c r="CI1465" i="1" s="1"/>
  <c r="CJ1465" i="1" s="1"/>
  <c r="N1465" i="1"/>
  <c r="BK425" i="1"/>
  <c r="BI425" i="1"/>
  <c r="BH425" i="1"/>
  <c r="R425" i="1" s="1"/>
  <c r="BG425" i="1"/>
  <c r="BF425" i="1"/>
  <c r="N425" i="1"/>
  <c r="BK1708" i="1"/>
  <c r="BI1708" i="1"/>
  <c r="BH1708" i="1"/>
  <c r="R1708" i="1" s="1"/>
  <c r="BG1708" i="1"/>
  <c r="BX1708" i="1"/>
  <c r="N1708" i="1"/>
  <c r="BK2133" i="1"/>
  <c r="BI2133" i="1"/>
  <c r="BH2133" i="1"/>
  <c r="R2133" i="1" s="1"/>
  <c r="BG2133" i="1"/>
  <c r="BF2133" i="1"/>
  <c r="N2133" i="1"/>
  <c r="BK2247" i="1"/>
  <c r="BI2247" i="1"/>
  <c r="BH2247" i="1"/>
  <c r="R2247" i="1" s="1"/>
  <c r="Q2247" i="1"/>
  <c r="N2247" i="1"/>
  <c r="BK813" i="1"/>
  <c r="BI813" i="1"/>
  <c r="BH813" i="1"/>
  <c r="R813" i="1" s="1"/>
  <c r="BG813" i="1"/>
  <c r="BF813" i="1"/>
  <c r="CI813" i="1" s="1"/>
  <c r="CJ813" i="1" s="1"/>
  <c r="N813" i="1"/>
  <c r="BK765" i="1"/>
  <c r="BI765" i="1"/>
  <c r="BH765" i="1"/>
  <c r="R765" i="1" s="1"/>
  <c r="BG765" i="1"/>
  <c r="BF765" i="1"/>
  <c r="N765" i="1"/>
  <c r="BK402" i="1"/>
  <c r="BI402" i="1"/>
  <c r="BH402" i="1"/>
  <c r="R402" i="1" s="1"/>
  <c r="BG402" i="1"/>
  <c r="BF402" i="1"/>
  <c r="N402" i="1"/>
  <c r="BK305" i="1"/>
  <c r="BI305" i="1"/>
  <c r="BH305" i="1"/>
  <c r="R305" i="1" s="1"/>
  <c r="BG305" i="1"/>
  <c r="BR305" i="1" s="1"/>
  <c r="CA305" i="1" s="1"/>
  <c r="BF305" i="1"/>
  <c r="BK1044" i="1"/>
  <c r="BI1044" i="1"/>
  <c r="BH1044" i="1"/>
  <c r="R1044" i="1" s="1"/>
  <c r="BG1044" i="1"/>
  <c r="BF1044" i="1"/>
  <c r="CI1044" i="1" s="1"/>
  <c r="CJ1044" i="1" s="1"/>
  <c r="N1044" i="1"/>
  <c r="BK708" i="1"/>
  <c r="BI708" i="1"/>
  <c r="BH708" i="1"/>
  <c r="R708" i="1" s="1"/>
  <c r="BG708" i="1"/>
  <c r="BR708" i="1" s="1"/>
  <c r="CA708" i="1" s="1"/>
  <c r="BF708" i="1"/>
  <c r="BK872" i="1"/>
  <c r="BI872" i="1"/>
  <c r="BH872" i="1"/>
  <c r="R872" i="1" s="1"/>
  <c r="BG872" i="1"/>
  <c r="BF872" i="1"/>
  <c r="N872" i="1"/>
  <c r="BK2708" i="1"/>
  <c r="BI2708" i="1"/>
  <c r="BH2708" i="1"/>
  <c r="R2708" i="1" s="1"/>
  <c r="BG2708" i="1"/>
  <c r="BF2708" i="1"/>
  <c r="N2708" i="1"/>
  <c r="BK2100" i="1"/>
  <c r="BI2100" i="1"/>
  <c r="BH2100" i="1"/>
  <c r="R2100" i="1" s="1"/>
  <c r="BG2100" i="1"/>
  <c r="BF2100" i="1"/>
  <c r="N2100" i="1"/>
  <c r="BK1378" i="1"/>
  <c r="BI1378" i="1"/>
  <c r="BH1378" i="1"/>
  <c r="R1378" i="1" s="1"/>
  <c r="BG1378" i="1"/>
  <c r="BF1378" i="1"/>
  <c r="N1378" i="1"/>
  <c r="BK1774" i="1"/>
  <c r="BI1774" i="1"/>
  <c r="BH1774" i="1"/>
  <c r="R1774" i="1" s="1"/>
  <c r="BG1774" i="1"/>
  <c r="BF1774" i="1"/>
  <c r="N1774" i="1"/>
  <c r="BK2992" i="1"/>
  <c r="BI2992" i="1"/>
  <c r="BH2992" i="1"/>
  <c r="R2992" i="1" s="1"/>
  <c r="Q2992" i="1"/>
  <c r="BK2460" i="1"/>
  <c r="BI2460" i="1"/>
  <c r="BH2460" i="1"/>
  <c r="R2460" i="1" s="1"/>
  <c r="Q2460" i="1"/>
  <c r="N2460" i="1"/>
  <c r="BK1797" i="1"/>
  <c r="BI1797" i="1"/>
  <c r="BH1797" i="1"/>
  <c r="R1797" i="1" s="1"/>
  <c r="BG1797" i="1"/>
  <c r="BR1797" i="1" s="1"/>
  <c r="CA1797" i="1" s="1"/>
  <c r="BF1797" i="1"/>
  <c r="BK2991" i="1"/>
  <c r="BI2991" i="1"/>
  <c r="BH2991" i="1"/>
  <c r="R2991" i="1" s="1"/>
  <c r="BG2991" i="1"/>
  <c r="BF2991" i="1"/>
  <c r="CI2991" i="1" s="1"/>
  <c r="CJ2991" i="1" s="1"/>
  <c r="N2991" i="1"/>
  <c r="BK1737" i="1"/>
  <c r="BI1737" i="1"/>
  <c r="BH1737" i="1"/>
  <c r="R1737" i="1" s="1"/>
  <c r="BG1737" i="1"/>
  <c r="BF1737" i="1"/>
  <c r="N1737" i="1"/>
  <c r="BK297" i="1"/>
  <c r="BI297" i="1"/>
  <c r="BH297" i="1"/>
  <c r="R297" i="1" s="1"/>
  <c r="BU297" i="1" s="1"/>
  <c r="BW297" i="1" s="1"/>
  <c r="BG297" i="1"/>
  <c r="N297" i="1"/>
  <c r="BK2050" i="1"/>
  <c r="BI2050" i="1"/>
  <c r="BH2050" i="1"/>
  <c r="R2050" i="1" s="1"/>
  <c r="BG2050" i="1"/>
  <c r="BF2050" i="1"/>
  <c r="N2050" i="1"/>
  <c r="BK2990" i="1"/>
  <c r="BI2990" i="1"/>
  <c r="BH2990" i="1"/>
  <c r="R2990" i="1" s="1"/>
  <c r="Q2990" i="1"/>
  <c r="N2990" i="1"/>
  <c r="BK2193" i="1"/>
  <c r="BI2193" i="1"/>
  <c r="BH2193" i="1"/>
  <c r="R2193" i="1" s="1"/>
  <c r="BG2193" i="1"/>
  <c r="BR2193" i="1" s="1"/>
  <c r="CA2193" i="1" s="1"/>
  <c r="BF2193" i="1"/>
  <c r="BK1906" i="1"/>
  <c r="BI1906" i="1"/>
  <c r="BH1906" i="1"/>
  <c r="R1906" i="1" s="1"/>
  <c r="BG1906" i="1"/>
  <c r="BX1906" i="1"/>
  <c r="N1906" i="1"/>
  <c r="BK12" i="1"/>
  <c r="BI12" i="1"/>
  <c r="BH12" i="1"/>
  <c r="R12" i="1" s="1"/>
  <c r="BG12" i="1"/>
  <c r="BF12" i="1"/>
  <c r="N12" i="1"/>
  <c r="BK2453" i="1"/>
  <c r="BI2453" i="1"/>
  <c r="BH2453" i="1"/>
  <c r="R2453" i="1" s="1"/>
  <c r="BG2453" i="1"/>
  <c r="BF2453" i="1"/>
  <c r="CI2453" i="1" s="1"/>
  <c r="CJ2453" i="1" s="1"/>
  <c r="N2453" i="1"/>
  <c r="BK2989" i="1"/>
  <c r="BI2989" i="1"/>
  <c r="BH2989" i="1"/>
  <c r="R2989" i="1" s="1"/>
  <c r="BG2989" i="1"/>
  <c r="BF2989" i="1"/>
  <c r="N2989" i="1"/>
  <c r="BK2951" i="1"/>
  <c r="BI2951" i="1"/>
  <c r="BH2951" i="1"/>
  <c r="R2951" i="1" s="1"/>
  <c r="BG2951" i="1"/>
  <c r="BF2951" i="1"/>
  <c r="N2951" i="1"/>
  <c r="BK788" i="1"/>
  <c r="BI788" i="1"/>
  <c r="BH788" i="1"/>
  <c r="R788" i="1" s="1"/>
  <c r="BG788" i="1"/>
  <c r="BF788" i="1"/>
  <c r="CI788" i="1" s="1"/>
  <c r="CJ788" i="1" s="1"/>
  <c r="N788" i="1"/>
  <c r="BK1556" i="1"/>
  <c r="BI1556" i="1"/>
  <c r="BH1556" i="1"/>
  <c r="R1556" i="1" s="1"/>
  <c r="BG1556" i="1"/>
  <c r="N1556" i="1"/>
  <c r="BK585" i="1"/>
  <c r="BI585" i="1"/>
  <c r="BH585" i="1"/>
  <c r="R585" i="1" s="1"/>
  <c r="BG585" i="1"/>
  <c r="BF585" i="1"/>
  <c r="N585" i="1"/>
  <c r="BK2988" i="1"/>
  <c r="BI2988" i="1"/>
  <c r="BH2988" i="1"/>
  <c r="R2988" i="1" s="1"/>
  <c r="BG2988" i="1"/>
  <c r="BF2988" i="1"/>
  <c r="N2988" i="1"/>
  <c r="BK1863" i="1"/>
  <c r="BI1863" i="1"/>
  <c r="BH1863" i="1"/>
  <c r="R1863" i="1" s="1"/>
  <c r="Q1863" i="1"/>
  <c r="N1863" i="1"/>
  <c r="BK2987" i="1"/>
  <c r="BI2987" i="1"/>
  <c r="BH2987" i="1"/>
  <c r="R2987" i="1" s="1"/>
  <c r="BG2987" i="1"/>
  <c r="BF2987" i="1"/>
  <c r="N2987" i="1"/>
  <c r="BK699" i="1"/>
  <c r="BI699" i="1"/>
  <c r="BH699" i="1"/>
  <c r="R699" i="1" s="1"/>
  <c r="BG699" i="1"/>
  <c r="BR699" i="1" s="1"/>
  <c r="CA699" i="1" s="1"/>
  <c r="BF699" i="1"/>
  <c r="BK1351" i="1"/>
  <c r="BI1351" i="1"/>
  <c r="BH1351" i="1"/>
  <c r="R1351" i="1" s="1"/>
  <c r="BG1351" i="1"/>
  <c r="BF1351" i="1"/>
  <c r="N1351" i="1"/>
  <c r="BK1527" i="1"/>
  <c r="BI1527" i="1"/>
  <c r="BH1527" i="1"/>
  <c r="R1527" i="1" s="1"/>
  <c r="BG1527" i="1"/>
  <c r="BF1527" i="1"/>
  <c r="CI1527" i="1" s="1"/>
  <c r="CJ1527" i="1" s="1"/>
  <c r="N1527" i="1"/>
  <c r="BK2321" i="1"/>
  <c r="BI2321" i="1"/>
  <c r="BH2321" i="1"/>
  <c r="R2321" i="1" s="1"/>
  <c r="BG2321" i="1"/>
  <c r="BF2321" i="1"/>
  <c r="CI2321" i="1" s="1"/>
  <c r="CJ2321" i="1" s="1"/>
  <c r="N2321" i="1"/>
  <c r="BK2449" i="1"/>
  <c r="BI2449" i="1"/>
  <c r="BH2449" i="1"/>
  <c r="R2449" i="1" s="1"/>
  <c r="BG2449" i="1"/>
  <c r="BF2449" i="1"/>
  <c r="N2449" i="1"/>
  <c r="BK2986" i="1"/>
  <c r="BI2986" i="1"/>
  <c r="BH2986" i="1"/>
  <c r="R2986" i="1" s="1"/>
  <c r="BG2986" i="1"/>
  <c r="BF2986" i="1"/>
  <c r="N2986" i="1"/>
  <c r="BK2446" i="1"/>
  <c r="BI2446" i="1"/>
  <c r="BH2446" i="1"/>
  <c r="R2446" i="1" s="1"/>
  <c r="BG2446" i="1"/>
  <c r="BF2446" i="1"/>
  <c r="CI2446" i="1" s="1"/>
  <c r="CJ2446" i="1" s="1"/>
  <c r="N2446" i="1"/>
  <c r="BK2985" i="1"/>
  <c r="BI2985" i="1"/>
  <c r="BH2985" i="1"/>
  <c r="R2985" i="1" s="1"/>
  <c r="Q2985" i="1"/>
  <c r="N2985" i="1"/>
  <c r="BK976" i="1"/>
  <c r="BI976" i="1"/>
  <c r="BH976" i="1"/>
  <c r="R976" i="1" s="1"/>
  <c r="BG976" i="1"/>
  <c r="BF976" i="1"/>
  <c r="CI976" i="1" s="1"/>
  <c r="CJ976" i="1" s="1"/>
  <c r="N976" i="1"/>
  <c r="BK2549" i="1"/>
  <c r="BI2549" i="1"/>
  <c r="BH2549" i="1"/>
  <c r="R2549" i="1" s="1"/>
  <c r="BG2549" i="1"/>
  <c r="BF2549" i="1"/>
  <c r="N2549" i="1"/>
  <c r="BK1070" i="1"/>
  <c r="BI1070" i="1"/>
  <c r="BH1070" i="1"/>
  <c r="R1070" i="1" s="1"/>
  <c r="BG1070" i="1"/>
  <c r="BF1070" i="1"/>
  <c r="N1070" i="1"/>
  <c r="BK1498" i="1"/>
  <c r="BI1498" i="1"/>
  <c r="BH1498" i="1"/>
  <c r="R1498" i="1" s="1"/>
  <c r="BG1498" i="1"/>
  <c r="BR1498" i="1" s="1"/>
  <c r="CA1498" i="1" s="1"/>
  <c r="BF1498" i="1"/>
  <c r="BK674" i="1"/>
  <c r="BI674" i="1"/>
  <c r="BH674" i="1"/>
  <c r="R674" i="1" s="1"/>
  <c r="BG674" i="1"/>
  <c r="BR674" i="1" s="1"/>
  <c r="CA674" i="1" s="1"/>
  <c r="BF674" i="1"/>
  <c r="BK2421" i="1"/>
  <c r="BI2421" i="1"/>
  <c r="BH2421" i="1"/>
  <c r="R2421" i="1" s="1"/>
  <c r="Q2421" i="1"/>
  <c r="BK2357" i="1"/>
  <c r="BI2357" i="1"/>
  <c r="BH2357" i="1"/>
  <c r="R2357" i="1" s="1"/>
  <c r="BG2357" i="1"/>
  <c r="BF2357" i="1"/>
  <c r="N2357" i="1"/>
  <c r="BK2057" i="1"/>
  <c r="BI2057" i="1"/>
  <c r="BH2057" i="1"/>
  <c r="R2057" i="1" s="1"/>
  <c r="BG2057" i="1"/>
  <c r="BF2057" i="1"/>
  <c r="N2057" i="1"/>
  <c r="BK553" i="1"/>
  <c r="BI553" i="1"/>
  <c r="BH553" i="1"/>
  <c r="R553" i="1" s="1"/>
  <c r="BG553" i="1"/>
  <c r="BF553" i="1"/>
  <c r="CI553" i="1" s="1"/>
  <c r="CJ553" i="1" s="1"/>
  <c r="N553" i="1"/>
  <c r="BK1412" i="1"/>
  <c r="BI1412" i="1"/>
  <c r="BH1412" i="1"/>
  <c r="R1412" i="1" s="1"/>
  <c r="BG1412" i="1"/>
  <c r="BF1412" i="1"/>
  <c r="CI1412" i="1" s="1"/>
  <c r="CJ1412" i="1" s="1"/>
  <c r="N1412" i="1"/>
  <c r="BK1423" i="1"/>
  <c r="BI1423" i="1"/>
  <c r="BH1423" i="1"/>
  <c r="R1423" i="1" s="1"/>
  <c r="BG1423" i="1"/>
  <c r="BF1423" i="1"/>
  <c r="CI1423" i="1" s="1"/>
  <c r="CJ1423" i="1" s="1"/>
  <c r="N1423" i="1"/>
  <c r="BK627" i="1"/>
  <c r="BI627" i="1"/>
  <c r="BH627" i="1"/>
  <c r="R627" i="1" s="1"/>
  <c r="BG627" i="1"/>
  <c r="BR627" i="1" s="1"/>
  <c r="CA627" i="1" s="1"/>
  <c r="BF627" i="1"/>
  <c r="BK2983" i="1"/>
  <c r="BI2983" i="1"/>
  <c r="BH2983" i="1"/>
  <c r="R2983" i="1" s="1"/>
  <c r="BG2983" i="1"/>
  <c r="BF2983" i="1"/>
  <c r="N2983" i="1"/>
  <c r="BK441" i="1"/>
  <c r="BI441" i="1"/>
  <c r="BH441" i="1"/>
  <c r="R441" i="1" s="1"/>
  <c r="BG441" i="1"/>
  <c r="BR441" i="1" s="1"/>
  <c r="CA441" i="1" s="1"/>
  <c r="BF441" i="1"/>
  <c r="BK1931" i="1"/>
  <c r="BI1931" i="1"/>
  <c r="BH1931" i="1"/>
  <c r="R1931" i="1" s="1"/>
  <c r="BG1931" i="1"/>
  <c r="BF1931" i="1"/>
  <c r="N1931" i="1"/>
  <c r="BK804" i="1"/>
  <c r="BI804" i="1"/>
  <c r="BH804" i="1"/>
  <c r="R804" i="1" s="1"/>
  <c r="BG804" i="1"/>
  <c r="BR804" i="1" s="1"/>
  <c r="CA804" i="1" s="1"/>
  <c r="BF804" i="1"/>
  <c r="BK1450" i="1"/>
  <c r="BI1450" i="1"/>
  <c r="BH1450" i="1"/>
  <c r="R1450" i="1" s="1"/>
  <c r="BG1450" i="1"/>
  <c r="BX1450" i="1"/>
  <c r="N1450" i="1"/>
  <c r="BK2338" i="1"/>
  <c r="BI2338" i="1"/>
  <c r="BH2338" i="1"/>
  <c r="R2338" i="1" s="1"/>
  <c r="BG2338" i="1"/>
  <c r="N2338" i="1"/>
  <c r="BK2455" i="1"/>
  <c r="BI2455" i="1"/>
  <c r="BH2455" i="1"/>
  <c r="R2455" i="1" s="1"/>
  <c r="BG2455" i="1"/>
  <c r="BF2455" i="1"/>
  <c r="CI2455" i="1" s="1"/>
  <c r="CJ2455" i="1" s="1"/>
  <c r="N2455" i="1"/>
  <c r="BK789" i="1"/>
  <c r="BI789" i="1"/>
  <c r="BH789" i="1"/>
  <c r="R789" i="1" s="1"/>
  <c r="BG789" i="1"/>
  <c r="BF789" i="1"/>
  <c r="N789" i="1"/>
  <c r="BK2347" i="1"/>
  <c r="BI2347" i="1"/>
  <c r="BH2347" i="1"/>
  <c r="R2347" i="1" s="1"/>
  <c r="BG2347" i="1"/>
  <c r="BR2347" i="1" s="1"/>
  <c r="CA2347" i="1" s="1"/>
  <c r="BF2347" i="1"/>
  <c r="BK2294" i="1"/>
  <c r="BI2294" i="1"/>
  <c r="BH2294" i="1"/>
  <c r="R2294" i="1" s="1"/>
  <c r="BG2294" i="1"/>
  <c r="BF2294" i="1"/>
  <c r="N2294" i="1"/>
  <c r="BK1573" i="1"/>
  <c r="BI1573" i="1"/>
  <c r="BH1573" i="1"/>
  <c r="R1573" i="1" s="1"/>
  <c r="BG1573" i="1"/>
  <c r="BF1573" i="1"/>
  <c r="N1573" i="1"/>
  <c r="BK485" i="1"/>
  <c r="BI485" i="1"/>
  <c r="BH485" i="1"/>
  <c r="R485" i="1" s="1"/>
  <c r="BG485" i="1"/>
  <c r="BF485" i="1"/>
  <c r="N485" i="1"/>
  <c r="BK2982" i="1"/>
  <c r="BI2982" i="1"/>
  <c r="BH2982" i="1"/>
  <c r="R2982" i="1" s="1"/>
  <c r="BG2982" i="1"/>
  <c r="N2982" i="1"/>
  <c r="BH525" i="1"/>
  <c r="BG525" i="1"/>
  <c r="BR525" i="1" s="1"/>
  <c r="CA525" i="1" s="1"/>
  <c r="BF525" i="1"/>
  <c r="CI525" i="1" s="1"/>
  <c r="CJ525" i="1" s="1"/>
  <c r="BH2282" i="1"/>
  <c r="BG2282" i="1"/>
  <c r="BF2282" i="1"/>
  <c r="CI2282" i="1" s="1"/>
  <c r="CJ2282" i="1" s="1"/>
  <c r="N2282" i="1"/>
  <c r="BH2946" i="1"/>
  <c r="BG2946" i="1"/>
  <c r="BR2946" i="1" s="1"/>
  <c r="CA2946" i="1" s="1"/>
  <c r="BF2946" i="1"/>
  <c r="CI2946" i="1" s="1"/>
  <c r="CJ2946" i="1" s="1"/>
  <c r="BH499" i="1"/>
  <c r="BG499" i="1"/>
  <c r="BR499" i="1" s="1"/>
  <c r="CA499" i="1" s="1"/>
  <c r="BF499" i="1"/>
  <c r="CI499" i="1" s="1"/>
  <c r="CJ499" i="1" s="1"/>
  <c r="BH2478" i="1"/>
  <c r="BG2478" i="1"/>
  <c r="BF2478" i="1"/>
  <c r="CI2478" i="1" s="1"/>
  <c r="CJ2478" i="1" s="1"/>
  <c r="N2478" i="1"/>
  <c r="BH2122" i="1"/>
  <c r="BG2122" i="1"/>
  <c r="BF2122" i="1"/>
  <c r="CI2122" i="1" s="1"/>
  <c r="CJ2122" i="1" s="1"/>
  <c r="N2122" i="1"/>
  <c r="BH1975" i="1"/>
  <c r="BG1975" i="1"/>
  <c r="BR1975" i="1" s="1"/>
  <c r="CA1975" i="1" s="1"/>
  <c r="BF1975" i="1"/>
  <c r="CI1975" i="1" s="1"/>
  <c r="CJ1975" i="1" s="1"/>
  <c r="BH138" i="1"/>
  <c r="BG138" i="1"/>
  <c r="BF138" i="1"/>
  <c r="CI138" i="1" s="1"/>
  <c r="CJ138" i="1" s="1"/>
  <c r="N138" i="1"/>
  <c r="BK2360" i="1"/>
  <c r="BI2360" i="1"/>
  <c r="BH2360" i="1"/>
  <c r="R2360" i="1" s="1"/>
  <c r="BG2360" i="1"/>
  <c r="BF2360" i="1"/>
  <c r="N2360" i="1"/>
  <c r="BH794" i="1"/>
  <c r="BG794" i="1"/>
  <c r="BF794" i="1"/>
  <c r="CI794" i="1" s="1"/>
  <c r="CJ794" i="1" s="1"/>
  <c r="N794" i="1"/>
  <c r="BH623" i="1"/>
  <c r="BG623" i="1"/>
  <c r="BF623" i="1"/>
  <c r="CI623" i="1" s="1"/>
  <c r="CJ623" i="1" s="1"/>
  <c r="N623" i="1"/>
  <c r="BH1063" i="1"/>
  <c r="BG1063" i="1"/>
  <c r="BF1063" i="1"/>
  <c r="CI1063" i="1" s="1"/>
  <c r="CJ1063" i="1" s="1"/>
  <c r="N1063" i="1"/>
  <c r="BH2981" i="1"/>
  <c r="BG2981" i="1"/>
  <c r="BF2981" i="1"/>
  <c r="N2981" i="1"/>
  <c r="BH2980" i="1"/>
  <c r="BG2980" i="1"/>
  <c r="BR2980" i="1" s="1"/>
  <c r="CA2980" i="1" s="1"/>
  <c r="BF2980" i="1"/>
  <c r="CI2980" i="1" s="1"/>
  <c r="CJ2980" i="1" s="1"/>
  <c r="BH1088" i="1"/>
  <c r="BG1088" i="1"/>
  <c r="BF1088" i="1"/>
  <c r="CI1088" i="1" s="1"/>
  <c r="CJ1088" i="1" s="1"/>
  <c r="N1088" i="1"/>
  <c r="BH2979" i="1"/>
  <c r="BG2979" i="1"/>
  <c r="BH490" i="1"/>
  <c r="BG490" i="1"/>
  <c r="BF490" i="1"/>
  <c r="CI490" i="1" s="1"/>
  <c r="CJ490" i="1" s="1"/>
  <c r="N490" i="1"/>
  <c r="BH940" i="1"/>
  <c r="BG940" i="1"/>
  <c r="BF940" i="1"/>
  <c r="CI940" i="1" s="1"/>
  <c r="CJ940" i="1" s="1"/>
  <c r="N940" i="1"/>
  <c r="BK1587" i="1"/>
  <c r="BI1587" i="1"/>
  <c r="BH1587" i="1"/>
  <c r="R1587" i="1" s="1"/>
  <c r="BG1587" i="1"/>
  <c r="BF1587" i="1"/>
  <c r="CI1587" i="1" s="1"/>
  <c r="CJ1587" i="1" s="1"/>
  <c r="N1587" i="1"/>
  <c r="BH2289" i="1"/>
  <c r="BG2289" i="1"/>
  <c r="BF2289" i="1"/>
  <c r="CI2289" i="1" s="1"/>
  <c r="CJ2289" i="1" s="1"/>
  <c r="N2289" i="1"/>
  <c r="BH2523" i="1"/>
  <c r="BG2523" i="1"/>
  <c r="BR2523" i="1" s="1"/>
  <c r="CA2523" i="1" s="1"/>
  <c r="BF2523" i="1"/>
  <c r="CI2523" i="1" s="1"/>
  <c r="CJ2523" i="1" s="1"/>
  <c r="BH1833" i="1"/>
  <c r="BG1833" i="1"/>
  <c r="BF1833" i="1"/>
  <c r="CI1833" i="1" s="1"/>
  <c r="CJ1833" i="1" s="1"/>
  <c r="N1833" i="1"/>
  <c r="BH2978" i="1"/>
  <c r="N2978" i="1"/>
  <c r="BH1165" i="1"/>
  <c r="BG1165" i="1"/>
  <c r="BF1165" i="1"/>
  <c r="N1165" i="1"/>
  <c r="BH2166" i="1"/>
  <c r="BG2166" i="1"/>
  <c r="BF2166" i="1"/>
  <c r="CI2166" i="1" s="1"/>
  <c r="CJ2166" i="1" s="1"/>
  <c r="N2166" i="1"/>
  <c r="BH2977" i="1"/>
  <c r="N2977" i="1"/>
  <c r="BH1786" i="1"/>
  <c r="BG1786" i="1"/>
  <c r="BF1786" i="1"/>
  <c r="CI1786" i="1" s="1"/>
  <c r="CJ1786" i="1" s="1"/>
  <c r="N1786" i="1"/>
  <c r="BH2020" i="1"/>
  <c r="BG2020" i="1"/>
  <c r="BF2020" i="1"/>
  <c r="CI2020" i="1" s="1"/>
  <c r="CJ2020" i="1" s="1"/>
  <c r="N2020" i="1"/>
  <c r="BK640" i="1"/>
  <c r="BI640" i="1"/>
  <c r="BH640" i="1"/>
  <c r="R640" i="1" s="1"/>
  <c r="BG640" i="1"/>
  <c r="BF640" i="1"/>
  <c r="CI640" i="1" s="1"/>
  <c r="CJ640" i="1" s="1"/>
  <c r="N640" i="1"/>
  <c r="BH1956" i="1"/>
  <c r="BG1956" i="1"/>
  <c r="BR1956" i="1" s="1"/>
  <c r="CA1956" i="1" s="1"/>
  <c r="BF1956" i="1"/>
  <c r="CI1956" i="1" s="1"/>
  <c r="CJ1956" i="1" s="1"/>
  <c r="BH1765" i="1"/>
  <c r="BG1765" i="1"/>
  <c r="N1765" i="1"/>
  <c r="BH1082" i="1"/>
  <c r="BG1082" i="1"/>
  <c r="BF1082" i="1"/>
  <c r="CI1082" i="1" s="1"/>
  <c r="CJ1082" i="1" s="1"/>
  <c r="N1082" i="1"/>
  <c r="BH2302" i="1"/>
  <c r="BG2302" i="1"/>
  <c r="BR2302" i="1" s="1"/>
  <c r="CA2302" i="1" s="1"/>
  <c r="BF2302" i="1"/>
  <c r="CI2302" i="1" s="1"/>
  <c r="CJ2302" i="1" s="1"/>
  <c r="BH2976" i="1"/>
  <c r="BG2976" i="1"/>
  <c r="BZ2976" i="1"/>
  <c r="N2976" i="1"/>
  <c r="BH2426" i="1"/>
  <c r="BG2426" i="1"/>
  <c r="BF2426" i="1"/>
  <c r="CI2426" i="1" s="1"/>
  <c r="CJ2426" i="1" s="1"/>
  <c r="N2426" i="1"/>
  <c r="BH2040" i="1"/>
  <c r="BG2040" i="1"/>
  <c r="BF2040" i="1"/>
  <c r="CI2040" i="1" s="1"/>
  <c r="CJ2040" i="1" s="1"/>
  <c r="N2040" i="1"/>
  <c r="BH753" i="1"/>
  <c r="BG753" i="1"/>
  <c r="BF753" i="1"/>
  <c r="N753" i="1"/>
  <c r="BH1948" i="1"/>
  <c r="BG1948" i="1"/>
  <c r="BF1948" i="1"/>
  <c r="CI1948" i="1" s="1"/>
  <c r="CJ1948" i="1" s="1"/>
  <c r="N1948" i="1"/>
  <c r="BK739" i="1"/>
  <c r="BI739" i="1"/>
  <c r="BH739" i="1"/>
  <c r="R739" i="1" s="1"/>
  <c r="Q739" i="1"/>
  <c r="N739" i="1"/>
  <c r="BH2974" i="1"/>
  <c r="BG2974" i="1"/>
  <c r="BF2974" i="1"/>
  <c r="CI2974" i="1" s="1"/>
  <c r="CJ2974" i="1" s="1"/>
  <c r="N2974" i="1"/>
  <c r="BH2335" i="1"/>
  <c r="BG2335" i="1"/>
  <c r="BF2335" i="1"/>
  <c r="CI2335" i="1" s="1"/>
  <c r="CJ2335" i="1" s="1"/>
  <c r="N2335" i="1"/>
  <c r="BH2694" i="1"/>
  <c r="BG2694" i="1"/>
  <c r="BF2694" i="1"/>
  <c r="N2694" i="1"/>
  <c r="BH2973" i="1"/>
  <c r="N2973" i="1"/>
  <c r="BH1715" i="1"/>
  <c r="BG1715" i="1"/>
  <c r="BR1715" i="1" s="1"/>
  <c r="CA1715" i="1" s="1"/>
  <c r="BF1715" i="1"/>
  <c r="CI1715" i="1" s="1"/>
  <c r="CJ1715" i="1" s="1"/>
  <c r="BH1099" i="1"/>
  <c r="N1099" i="1"/>
  <c r="BH809" i="1"/>
  <c r="BG809" i="1"/>
  <c r="BF809" i="1"/>
  <c r="N809" i="1"/>
  <c r="BH2089" i="1"/>
  <c r="BG2089" i="1"/>
  <c r="BF2089" i="1"/>
  <c r="CI2089" i="1" s="1"/>
  <c r="CJ2089" i="1" s="1"/>
  <c r="N2089" i="1"/>
  <c r="BK1915" i="1"/>
  <c r="BI1915" i="1"/>
  <c r="BH1915" i="1"/>
  <c r="R1915" i="1" s="1"/>
  <c r="BG1915" i="1"/>
  <c r="BR1915" i="1" s="1"/>
  <c r="CA1915" i="1" s="1"/>
  <c r="BF1915" i="1"/>
  <c r="BH1437" i="1"/>
  <c r="BG1437" i="1"/>
  <c r="BF1437" i="1"/>
  <c r="N1437" i="1"/>
  <c r="BH1867" i="1"/>
  <c r="BG1867" i="1"/>
  <c r="N1867" i="1"/>
  <c r="BH1360" i="1"/>
  <c r="BG1360" i="1"/>
  <c r="BF1360" i="1"/>
  <c r="N1360" i="1"/>
  <c r="BH889" i="1"/>
  <c r="BG889" i="1"/>
  <c r="BF889" i="1"/>
  <c r="N889" i="1"/>
  <c r="BH2972" i="1"/>
  <c r="BG2972" i="1"/>
  <c r="BF2972" i="1"/>
  <c r="CI2972" i="1" s="1"/>
  <c r="CJ2972" i="1" s="1"/>
  <c r="N2972" i="1"/>
  <c r="BH1513" i="1"/>
  <c r="BG1513" i="1"/>
  <c r="BF1513" i="1"/>
  <c r="CI1513" i="1" s="1"/>
  <c r="CJ1513" i="1" s="1"/>
  <c r="N1513" i="1"/>
  <c r="BH2527" i="1"/>
  <c r="BG2527" i="1"/>
  <c r="BF2527" i="1"/>
  <c r="N2527" i="1"/>
  <c r="BH479" i="1"/>
  <c r="BG479" i="1"/>
  <c r="BF479" i="1"/>
  <c r="CI479" i="1" s="1"/>
  <c r="CJ479" i="1" s="1"/>
  <c r="N479" i="1"/>
  <c r="BH1817" i="1"/>
  <c r="N1817" i="1"/>
  <c r="BK1612" i="1"/>
  <c r="BI1612" i="1"/>
  <c r="BH1612" i="1"/>
  <c r="R1612" i="1" s="1"/>
  <c r="BG1612" i="1"/>
  <c r="BF1612" i="1"/>
  <c r="CI1612" i="1" s="1"/>
  <c r="CJ1612" i="1" s="1"/>
  <c r="N1612" i="1"/>
  <c r="BH1904" i="1"/>
  <c r="BG1904" i="1"/>
  <c r="BR1904" i="1" s="1"/>
  <c r="CA1904" i="1" s="1"/>
  <c r="BF1904" i="1"/>
  <c r="CI1904" i="1" s="1"/>
  <c r="CJ1904" i="1" s="1"/>
  <c r="BH1441" i="1"/>
  <c r="BG1441" i="1"/>
  <c r="BF1441" i="1"/>
  <c r="N1441" i="1"/>
  <c r="BH1299" i="1"/>
  <c r="N1299" i="1"/>
  <c r="BH2971" i="1"/>
  <c r="BG2971" i="1"/>
  <c r="BF2971" i="1"/>
  <c r="N2971" i="1"/>
  <c r="BH2970" i="1"/>
  <c r="BG2970" i="1"/>
  <c r="BF2970" i="1"/>
  <c r="N2970" i="1"/>
  <c r="BH1477" i="1"/>
  <c r="N1477" i="1"/>
  <c r="BH609" i="1"/>
  <c r="BG609" i="1"/>
  <c r="BF609" i="1"/>
  <c r="N609" i="1"/>
  <c r="BH916" i="1"/>
  <c r="BG916" i="1"/>
  <c r="BF916" i="1"/>
  <c r="N916" i="1"/>
  <c r="BH1188" i="1"/>
  <c r="BG1188" i="1"/>
  <c r="BF1188" i="1"/>
  <c r="CI1188" i="1" s="1"/>
  <c r="CJ1188" i="1" s="1"/>
  <c r="N1188" i="1"/>
  <c r="BK2969" i="1"/>
  <c r="BI2969" i="1"/>
  <c r="BH2969" i="1"/>
  <c r="R2969" i="1" s="1"/>
  <c r="BG2969" i="1"/>
  <c r="BF2969" i="1"/>
  <c r="N2969" i="1"/>
  <c r="BH860" i="1"/>
  <c r="BG860" i="1"/>
  <c r="BF860" i="1"/>
  <c r="N860" i="1"/>
  <c r="BH2054" i="1"/>
  <c r="BG2054" i="1"/>
  <c r="BF2054" i="1"/>
  <c r="N2054" i="1"/>
  <c r="BH2203" i="1"/>
  <c r="BG2203" i="1"/>
  <c r="BF2203" i="1"/>
  <c r="CI2203" i="1" s="1"/>
  <c r="CJ2203" i="1" s="1"/>
  <c r="N2203" i="1"/>
  <c r="BH1406" i="1"/>
  <c r="BG1406" i="1"/>
  <c r="BR1406" i="1" s="1"/>
  <c r="CA1406" i="1" s="1"/>
  <c r="BF1406" i="1"/>
  <c r="CI1406" i="1" s="1"/>
  <c r="CJ1406" i="1" s="1"/>
  <c r="BH2701" i="1"/>
  <c r="BG2701" i="1"/>
  <c r="BR2701" i="1" s="1"/>
  <c r="CA2701" i="1" s="1"/>
  <c r="BF2701" i="1"/>
  <c r="CI2701" i="1" s="1"/>
  <c r="CJ2701" i="1" s="1"/>
  <c r="BH345" i="1"/>
  <c r="BG345" i="1"/>
  <c r="BR345" i="1" s="1"/>
  <c r="CA345" i="1" s="1"/>
  <c r="BF345" i="1"/>
  <c r="CI345" i="1" s="1"/>
  <c r="CJ345" i="1" s="1"/>
  <c r="BH2968" i="1"/>
  <c r="BG2968" i="1"/>
  <c r="BF2968" i="1"/>
  <c r="CI2968" i="1" s="1"/>
  <c r="CJ2968" i="1" s="1"/>
  <c r="N2968" i="1"/>
  <c r="BH2967" i="1"/>
  <c r="BG2967" i="1"/>
  <c r="BF2967" i="1"/>
  <c r="CI2967" i="1" s="1"/>
  <c r="CJ2967" i="1" s="1"/>
  <c r="N2967" i="1"/>
  <c r="BH2966" i="1"/>
  <c r="BG2966" i="1"/>
  <c r="BF2966" i="1"/>
  <c r="N2966" i="1"/>
  <c r="BH2117" i="1"/>
  <c r="BG2117" i="1"/>
  <c r="BF2117" i="1"/>
  <c r="N2117" i="1"/>
  <c r="BK598" i="1"/>
  <c r="BI598" i="1"/>
  <c r="BH598" i="1"/>
  <c r="R598" i="1" s="1"/>
  <c r="BG598" i="1"/>
  <c r="BR598" i="1" s="1"/>
  <c r="CA598" i="1" s="1"/>
  <c r="BF598" i="1"/>
  <c r="BK1040" i="1"/>
  <c r="BI1040" i="1"/>
  <c r="BH1040" i="1"/>
  <c r="R1040" i="1" s="1"/>
  <c r="BG1040" i="1"/>
  <c r="BF1040" i="1"/>
  <c r="N1040" i="1"/>
  <c r="BK2965" i="1"/>
  <c r="BI2965" i="1"/>
  <c r="BH2965" i="1"/>
  <c r="R2965" i="1" s="1"/>
  <c r="BG2965" i="1"/>
  <c r="BF2965" i="1"/>
  <c r="N2965" i="1"/>
  <c r="BK950" i="1"/>
  <c r="BI950" i="1"/>
  <c r="BH950" i="1"/>
  <c r="R950" i="1" s="1"/>
  <c r="BG950" i="1"/>
  <c r="BR950" i="1" s="1"/>
  <c r="CA950" i="1" s="1"/>
  <c r="BF950" i="1"/>
  <c r="BK299" i="1"/>
  <c r="BI299" i="1"/>
  <c r="BH299" i="1"/>
  <c r="R299" i="1" s="1"/>
  <c r="BG299" i="1"/>
  <c r="BF299" i="1"/>
  <c r="N299" i="1"/>
  <c r="BK1902" i="1"/>
  <c r="BI1902" i="1"/>
  <c r="BH1902" i="1"/>
  <c r="R1902" i="1" s="1"/>
  <c r="BG1902" i="1"/>
  <c r="BF1902" i="1"/>
  <c r="N1902" i="1"/>
  <c r="BK2964" i="1"/>
  <c r="BI2964" i="1"/>
  <c r="BH2964" i="1"/>
  <c r="R2964" i="1" s="1"/>
  <c r="BG2964" i="1"/>
  <c r="BF2964" i="1"/>
  <c r="N2964" i="1"/>
  <c r="BK2185" i="1"/>
  <c r="BI2185" i="1"/>
  <c r="BH2185" i="1"/>
  <c r="R2185" i="1" s="1"/>
  <c r="BG2185" i="1"/>
  <c r="BF2185" i="1"/>
  <c r="N2185" i="1"/>
  <c r="BK2963" i="1"/>
  <c r="BI2963" i="1"/>
  <c r="BH2963" i="1"/>
  <c r="R2963" i="1" s="1"/>
  <c r="BG2963" i="1"/>
  <c r="BF2963" i="1"/>
  <c r="N2963" i="1"/>
  <c r="BH1921" i="1"/>
  <c r="BG1921" i="1"/>
  <c r="BF1921" i="1"/>
  <c r="N1921" i="1"/>
  <c r="BH192" i="1"/>
  <c r="BG192" i="1"/>
  <c r="BF192" i="1"/>
  <c r="N192" i="1"/>
  <c r="BH1640" i="1"/>
  <c r="BG1640" i="1"/>
  <c r="BF1640" i="1"/>
  <c r="CI1640" i="1" s="1"/>
  <c r="CJ1640" i="1" s="1"/>
  <c r="N1640" i="1"/>
  <c r="BH1358" i="1"/>
  <c r="BG1358" i="1"/>
  <c r="N1358" i="1"/>
  <c r="BH2962" i="1"/>
  <c r="BG2962" i="1"/>
  <c r="BF2962" i="1"/>
  <c r="CI2962" i="1" s="1"/>
  <c r="CJ2962" i="1" s="1"/>
  <c r="N2962" i="1"/>
  <c r="BH556" i="1"/>
  <c r="BG556" i="1"/>
  <c r="BF556" i="1"/>
  <c r="N556" i="1"/>
  <c r="BH1259" i="1"/>
  <c r="BG1259" i="1"/>
  <c r="BF1259" i="1"/>
  <c r="N1259" i="1"/>
  <c r="BK2481" i="1"/>
  <c r="BI2481" i="1"/>
  <c r="BH2481" i="1"/>
  <c r="R2481" i="1" s="1"/>
  <c r="BG2481" i="1"/>
  <c r="BF2481" i="1"/>
  <c r="N2481" i="1"/>
  <c r="BH1178" i="1"/>
  <c r="BG1178" i="1"/>
  <c r="BF1178" i="1"/>
  <c r="CI1178" i="1" s="1"/>
  <c r="CJ1178" i="1" s="1"/>
  <c r="N1178" i="1"/>
  <c r="BK152" i="1"/>
  <c r="BI152" i="1"/>
  <c r="BH152" i="1"/>
  <c r="R152" i="1" s="1"/>
  <c r="BG152" i="1"/>
  <c r="BF152" i="1"/>
  <c r="N152" i="1"/>
  <c r="BK2961" i="1"/>
  <c r="BI2961" i="1"/>
  <c r="BH2961" i="1"/>
  <c r="R2961" i="1" s="1"/>
  <c r="BG2961" i="1"/>
  <c r="BF2961" i="1"/>
  <c r="N2961" i="1"/>
  <c r="BK522" i="1"/>
  <c r="BI522" i="1"/>
  <c r="BH522" i="1"/>
  <c r="R522" i="1" s="1"/>
  <c r="BG522" i="1"/>
  <c r="BF522" i="1"/>
  <c r="N522" i="1"/>
  <c r="BK2141" i="1"/>
  <c r="BI2141" i="1"/>
  <c r="BH2141" i="1"/>
  <c r="R2141" i="1" s="1"/>
  <c r="BG2141" i="1"/>
  <c r="BF2141" i="1"/>
  <c r="N2141" i="1"/>
  <c r="BK986" i="1"/>
  <c r="BI986" i="1"/>
  <c r="BH986" i="1"/>
  <c r="R986" i="1" s="1"/>
  <c r="BG986" i="1"/>
  <c r="BF986" i="1"/>
  <c r="N986" i="1"/>
  <c r="BK2960" i="1"/>
  <c r="BI2960" i="1"/>
  <c r="BH2960" i="1"/>
  <c r="R2960" i="1" s="1"/>
  <c r="BG2960" i="1"/>
  <c r="BF2960" i="1"/>
  <c r="N2960" i="1"/>
  <c r="BK1613" i="1"/>
  <c r="BI1613" i="1"/>
  <c r="BH1613" i="1"/>
  <c r="R1613" i="1" s="1"/>
  <c r="BG1613" i="1"/>
  <c r="BF1613" i="1"/>
  <c r="CI1613" i="1" s="1"/>
  <c r="CJ1613" i="1" s="1"/>
  <c r="N1613" i="1"/>
  <c r="BK1868" i="1"/>
  <c r="BI1868" i="1"/>
  <c r="BH1868" i="1"/>
  <c r="R1868" i="1" s="1"/>
  <c r="BG1868" i="1"/>
  <c r="BF1868" i="1"/>
  <c r="CI1868" i="1" s="1"/>
  <c r="CJ1868" i="1" s="1"/>
  <c r="N1868" i="1"/>
  <c r="BK1043" i="1"/>
  <c r="BI1043" i="1"/>
  <c r="BH1043" i="1"/>
  <c r="R1043" i="1" s="1"/>
  <c r="BG1043" i="1"/>
  <c r="BF1043" i="1"/>
  <c r="N1043" i="1"/>
  <c r="BK2520" i="1"/>
  <c r="BI2520" i="1"/>
  <c r="BH2520" i="1"/>
  <c r="R2520" i="1" s="1"/>
  <c r="BG2520" i="1"/>
  <c r="BF2520" i="1"/>
  <c r="N2520" i="1"/>
  <c r="BK2959" i="1"/>
  <c r="BI2959" i="1"/>
  <c r="BH2959" i="1"/>
  <c r="R2959" i="1" s="1"/>
  <c r="BG2959" i="1"/>
  <c r="BF2959" i="1"/>
  <c r="CI2959" i="1" s="1"/>
  <c r="CJ2959" i="1" s="1"/>
  <c r="N2959" i="1"/>
  <c r="BK401" i="1"/>
  <c r="BI401" i="1"/>
  <c r="BH401" i="1"/>
  <c r="R401" i="1" s="1"/>
  <c r="BG401" i="1"/>
  <c r="BR401" i="1" s="1"/>
  <c r="CA401" i="1" s="1"/>
  <c r="BF401" i="1"/>
  <c r="BK2958" i="1"/>
  <c r="BI2958" i="1"/>
  <c r="R2958" i="1"/>
  <c r="BG2958" i="1"/>
  <c r="BR2958" i="1" s="1"/>
  <c r="CA2958" i="1" s="1"/>
  <c r="BF2958" i="1"/>
  <c r="BK1568" i="1"/>
  <c r="BI1568" i="1"/>
  <c r="BH1568" i="1"/>
  <c r="R1568" i="1" s="1"/>
  <c r="Q1568" i="1"/>
  <c r="N1568" i="1"/>
  <c r="BK2220" i="1"/>
  <c r="BI2220" i="1"/>
  <c r="BH2220" i="1"/>
  <c r="R2220" i="1" s="1"/>
  <c r="BG2220" i="1"/>
  <c r="N2220" i="1"/>
  <c r="BK1709" i="1"/>
  <c r="BI1709" i="1"/>
  <c r="BH1709" i="1"/>
  <c r="R1709" i="1" s="1"/>
  <c r="BG1709" i="1"/>
  <c r="BF1709" i="1"/>
  <c r="N1709" i="1"/>
  <c r="BK667" i="1"/>
  <c r="BI667" i="1"/>
  <c r="BH667" i="1"/>
  <c r="R667" i="1" s="1"/>
  <c r="BG667" i="1"/>
  <c r="BF667" i="1"/>
  <c r="CI667" i="1" s="1"/>
  <c r="CJ667" i="1" s="1"/>
  <c r="N667" i="1"/>
  <c r="BK2533" i="1"/>
  <c r="BI2533" i="1"/>
  <c r="BH2533" i="1"/>
  <c r="R2533" i="1" s="1"/>
  <c r="BG2533" i="1"/>
  <c r="BF2533" i="1"/>
  <c r="CI2533" i="1" s="1"/>
  <c r="CJ2533" i="1" s="1"/>
  <c r="N2533" i="1"/>
  <c r="BK2957" i="1"/>
  <c r="BI2957" i="1"/>
  <c r="BH2957" i="1"/>
  <c r="R2957" i="1" s="1"/>
  <c r="BG2957" i="1"/>
  <c r="BF2957" i="1"/>
  <c r="CI2957" i="1" s="1"/>
  <c r="CJ2957" i="1" s="1"/>
  <c r="N2957" i="1"/>
  <c r="BK1947" i="1"/>
  <c r="BI1947" i="1"/>
  <c r="BH1947" i="1"/>
  <c r="R1947" i="1" s="1"/>
  <c r="BG1947" i="1"/>
  <c r="BF1947" i="1"/>
  <c r="N1947" i="1"/>
  <c r="BK2039" i="1"/>
  <c r="BI2039" i="1"/>
  <c r="BH2039" i="1"/>
  <c r="R2039" i="1" s="1"/>
  <c r="BG2039" i="1"/>
  <c r="BR2039" i="1" s="1"/>
  <c r="CA2039" i="1" s="1"/>
  <c r="BF2039" i="1"/>
  <c r="BK1337" i="1"/>
  <c r="BI1337" i="1"/>
  <c r="BH1337" i="1"/>
  <c r="R1337" i="1" s="1"/>
  <c r="BG1337" i="1"/>
  <c r="BF1337" i="1"/>
  <c r="N1337" i="1"/>
  <c r="BK1290" i="1"/>
  <c r="BI1290" i="1"/>
  <c r="BH1290" i="1"/>
  <c r="R1290" i="1" s="1"/>
  <c r="BG1290" i="1"/>
  <c r="BF1290" i="1"/>
  <c r="CI1290" i="1" s="1"/>
  <c r="CJ1290" i="1" s="1"/>
  <c r="N1290" i="1"/>
  <c r="BK856" i="1"/>
  <c r="BI856" i="1"/>
  <c r="BH856" i="1"/>
  <c r="R856" i="1" s="1"/>
  <c r="Q856" i="1"/>
  <c r="N856" i="1"/>
  <c r="BK832" i="1"/>
  <c r="BI832" i="1"/>
  <c r="BH832" i="1"/>
  <c r="R832" i="1" s="1"/>
  <c r="BG832" i="1"/>
  <c r="BF832" i="1"/>
  <c r="N832" i="1"/>
  <c r="BK323" i="1"/>
  <c r="BI323" i="1"/>
  <c r="BH323" i="1"/>
  <c r="R323" i="1" s="1"/>
  <c r="BG323" i="1"/>
  <c r="BR323" i="1" s="1"/>
  <c r="CA323" i="1" s="1"/>
  <c r="BF323" i="1"/>
  <c r="BK647" i="1"/>
  <c r="BI647" i="1"/>
  <c r="BH647" i="1"/>
  <c r="R647" i="1" s="1"/>
  <c r="BG647" i="1"/>
  <c r="BF647" i="1"/>
  <c r="N647" i="1"/>
  <c r="BK2125" i="1"/>
  <c r="BI2125" i="1"/>
  <c r="BH2125" i="1"/>
  <c r="R2125" i="1" s="1"/>
  <c r="BG2125" i="1"/>
  <c r="N2125" i="1"/>
  <c r="BK2956" i="1"/>
  <c r="BI2956" i="1"/>
  <c r="BH2956" i="1"/>
  <c r="R2956" i="1" s="1"/>
  <c r="BG2956" i="1"/>
  <c r="BF2956" i="1"/>
  <c r="CI2956" i="1" s="1"/>
  <c r="CJ2956" i="1" s="1"/>
  <c r="N2956" i="1"/>
  <c r="BK1836" i="1"/>
  <c r="BI1836" i="1"/>
  <c r="BH1836" i="1"/>
  <c r="R1836" i="1" s="1"/>
  <c r="BG1836" i="1"/>
  <c r="BF1836" i="1"/>
  <c r="N1836" i="1"/>
  <c r="BK2955" i="1"/>
  <c r="BI2955" i="1"/>
  <c r="BH2955" i="1"/>
  <c r="R2955" i="1" s="1"/>
  <c r="BG2955" i="1"/>
  <c r="BF2955" i="1"/>
  <c r="N2955" i="1"/>
  <c r="BK2954" i="1"/>
  <c r="BI2954" i="1"/>
  <c r="BH2954" i="1"/>
  <c r="R2954" i="1" s="1"/>
  <c r="BG2954" i="1"/>
  <c r="BF2954" i="1"/>
  <c r="CI2954" i="1" s="1"/>
  <c r="CJ2954" i="1" s="1"/>
  <c r="N2954" i="1"/>
  <c r="BK1533" i="1"/>
  <c r="BI1533" i="1"/>
  <c r="BH1533" i="1"/>
  <c r="R1533" i="1" s="1"/>
  <c r="BG1533" i="1"/>
  <c r="Q1533" i="1"/>
  <c r="N1533" i="1"/>
  <c r="BK2012" i="1"/>
  <c r="BI2012" i="1"/>
  <c r="BH2012" i="1"/>
  <c r="R2012" i="1" s="1"/>
  <c r="BG2012" i="1"/>
  <c r="BF2012" i="1"/>
  <c r="CI2012" i="1" s="1"/>
  <c r="CJ2012" i="1" s="1"/>
  <c r="N2012" i="1"/>
  <c r="BK2953" i="1"/>
  <c r="BI2953" i="1"/>
  <c r="BH2953" i="1"/>
  <c r="R2953" i="1" s="1"/>
  <c r="BG2953" i="1"/>
  <c r="BF2953" i="1"/>
  <c r="N2953" i="1"/>
  <c r="BK2311" i="1"/>
  <c r="BI2311" i="1"/>
  <c r="BH2311" i="1"/>
  <c r="R2311" i="1" s="1"/>
  <c r="BG2311" i="1"/>
  <c r="BX2311" i="1"/>
  <c r="N2311" i="1"/>
  <c r="BK930" i="1"/>
  <c r="BI930" i="1"/>
  <c r="BH930" i="1"/>
  <c r="R930" i="1" s="1"/>
  <c r="BG930" i="1"/>
  <c r="BF930" i="1"/>
  <c r="CI930" i="1" s="1"/>
  <c r="CJ930" i="1" s="1"/>
  <c r="N930" i="1"/>
  <c r="BK2952" i="1"/>
  <c r="BI2952" i="1"/>
  <c r="BH2952" i="1"/>
  <c r="R2952" i="1" s="1"/>
  <c r="BG2952" i="1"/>
  <c r="BF2952" i="1"/>
  <c r="CI2952" i="1" s="1"/>
  <c r="CJ2952" i="1" s="1"/>
  <c r="N2952" i="1"/>
  <c r="BK628" i="1"/>
  <c r="BI628" i="1"/>
  <c r="BH628" i="1"/>
  <c r="R628" i="1" s="1"/>
  <c r="BG628" i="1"/>
  <c r="BR628" i="1" s="1"/>
  <c r="CA628" i="1" s="1"/>
  <c r="BF628" i="1"/>
  <c r="BK1977" i="1"/>
  <c r="BI1977" i="1"/>
  <c r="BH1977" i="1"/>
  <c r="R1977" i="1" s="1"/>
  <c r="BG1977" i="1"/>
  <c r="N1977" i="1"/>
  <c r="BK1189" i="1"/>
  <c r="BI1189" i="1"/>
  <c r="BH1189" i="1"/>
  <c r="R1189" i="1" s="1"/>
  <c r="BG1189" i="1"/>
  <c r="BF1189" i="1"/>
  <c r="N1189" i="1"/>
  <c r="BK583" i="1"/>
  <c r="BI583" i="1"/>
  <c r="BH583" i="1"/>
  <c r="R583" i="1" s="1"/>
  <c r="BG583" i="1"/>
  <c r="BF583" i="1"/>
  <c r="N583" i="1"/>
  <c r="BK792" i="1"/>
  <c r="BI792" i="1"/>
  <c r="BH792" i="1"/>
  <c r="R792" i="1" s="1"/>
  <c r="BG792" i="1"/>
  <c r="BF792" i="1"/>
  <c r="N792" i="1"/>
  <c r="BK1659" i="1"/>
  <c r="BI1659" i="1"/>
  <c r="BH1659" i="1"/>
  <c r="R1659" i="1" s="1"/>
  <c r="BG1659" i="1"/>
  <c r="BR1659" i="1" s="1"/>
  <c r="CA1659" i="1" s="1"/>
  <c r="BF1659" i="1"/>
  <c r="BK2102" i="1"/>
  <c r="BI2102" i="1"/>
  <c r="BH2102" i="1"/>
  <c r="R2102" i="1" s="1"/>
  <c r="BG2102" i="1"/>
  <c r="BF2102" i="1"/>
  <c r="CI2102" i="1" s="1"/>
  <c r="CJ2102" i="1" s="1"/>
  <c r="N2102" i="1"/>
  <c r="BK2197" i="1"/>
  <c r="BI2197" i="1"/>
  <c r="BH2197" i="1"/>
  <c r="R2197" i="1" s="1"/>
  <c r="BG2197" i="1"/>
  <c r="BF2197" i="1"/>
  <c r="N2197" i="1"/>
  <c r="BK962" i="1"/>
  <c r="BI962" i="1"/>
  <c r="BH962" i="1"/>
  <c r="R962" i="1" s="1"/>
  <c r="BG962" i="1"/>
  <c r="BF962" i="1"/>
  <c r="N962" i="1"/>
  <c r="BK2329" i="1"/>
  <c r="BI2329" i="1"/>
  <c r="BH2329" i="1"/>
  <c r="R2329" i="1" s="1"/>
  <c r="BG2329" i="1"/>
  <c r="BF2329" i="1"/>
  <c r="CI2329" i="1" s="1"/>
  <c r="CJ2329" i="1" s="1"/>
  <c r="N2329" i="1"/>
  <c r="BI2793" i="1"/>
  <c r="BH2793" i="1"/>
  <c r="R2793" i="1" s="1"/>
  <c r="BG2793" i="1"/>
  <c r="J2793" i="1"/>
  <c r="BK2949" i="1"/>
  <c r="BI2949" i="1"/>
  <c r="BH2949" i="1"/>
  <c r="R2949" i="1" s="1"/>
  <c r="BG2949" i="1"/>
  <c r="BF2949" i="1"/>
  <c r="CI2949" i="1" s="1"/>
  <c r="CJ2949" i="1" s="1"/>
  <c r="N2949" i="1"/>
  <c r="BK395" i="1"/>
  <c r="BI395" i="1"/>
  <c r="BH395" i="1"/>
  <c r="R395" i="1" s="1"/>
  <c r="BG395" i="1"/>
  <c r="BR395" i="1" s="1"/>
  <c r="CA395" i="1" s="1"/>
  <c r="BF395" i="1"/>
  <c r="BK2950" i="1"/>
  <c r="BI2950" i="1"/>
  <c r="BH2950" i="1"/>
  <c r="R2950" i="1" s="1"/>
  <c r="BG2950" i="1"/>
  <c r="BF2950" i="1"/>
  <c r="N2950" i="1"/>
  <c r="BK2948" i="1"/>
  <c r="BI2948" i="1"/>
  <c r="BH2948" i="1"/>
  <c r="R2948" i="1" s="1"/>
  <c r="BG2948" i="1"/>
  <c r="BF2948" i="1"/>
  <c r="CI2948" i="1" s="1"/>
  <c r="CJ2948" i="1" s="1"/>
  <c r="N2948" i="1"/>
  <c r="BK2760" i="1"/>
  <c r="BI2760" i="1"/>
  <c r="BH2760" i="1"/>
  <c r="R2760" i="1" s="1"/>
  <c r="BG2760" i="1"/>
  <c r="BF2760" i="1"/>
  <c r="N2760" i="1"/>
  <c r="BK2325" i="1"/>
  <c r="BI2325" i="1"/>
  <c r="BH2325" i="1"/>
  <c r="R2325" i="1" s="1"/>
  <c r="BG2325" i="1"/>
  <c r="BR2325" i="1" s="1"/>
  <c r="CA2325" i="1" s="1"/>
  <c r="BF2325" i="1"/>
  <c r="BK1756" i="1"/>
  <c r="BI1756" i="1"/>
  <c r="BH1756" i="1"/>
  <c r="R1756" i="1" s="1"/>
  <c r="BG1756" i="1"/>
  <c r="BR1756" i="1" s="1"/>
  <c r="CA1756" i="1" s="1"/>
  <c r="BF1756" i="1"/>
  <c r="BK669" i="1"/>
  <c r="BI669" i="1"/>
  <c r="BH669" i="1"/>
  <c r="R669" i="1" s="1"/>
  <c r="BG669" i="1"/>
  <c r="BF669" i="1"/>
  <c r="N669" i="1"/>
  <c r="BK2340" i="1"/>
  <c r="BI2340" i="1"/>
  <c r="BH2340" i="1"/>
  <c r="R2340" i="1" s="1"/>
  <c r="BG2340" i="1"/>
  <c r="BF2340" i="1"/>
  <c r="N2340" i="1"/>
  <c r="BK896" i="1"/>
  <c r="BI896" i="1"/>
  <c r="BH896" i="1"/>
  <c r="R896" i="1" s="1"/>
  <c r="BG896" i="1"/>
  <c r="BX896" i="1"/>
  <c r="BK1179" i="1"/>
  <c r="BI1179" i="1"/>
  <c r="BH1179" i="1"/>
  <c r="R1179" i="1" s="1"/>
  <c r="BG1179" i="1"/>
  <c r="BF1179" i="1"/>
  <c r="N1179" i="1"/>
  <c r="BK2209" i="1"/>
  <c r="BI2209" i="1"/>
  <c r="BH2209" i="1"/>
  <c r="R2209" i="1" s="1"/>
  <c r="BG2209" i="1"/>
  <c r="N2209" i="1"/>
  <c r="BK673" i="1"/>
  <c r="BI673" i="1"/>
  <c r="BH673" i="1"/>
  <c r="R673" i="1" s="1"/>
  <c r="BG673" i="1"/>
  <c r="BF673" i="1"/>
  <c r="N673" i="1"/>
  <c r="BK2945" i="1"/>
  <c r="BI2945" i="1"/>
  <c r="BH2945" i="1"/>
  <c r="R2945" i="1" s="1"/>
  <c r="BG2945" i="1"/>
  <c r="BF2945" i="1"/>
  <c r="N2945" i="1"/>
  <c r="BK1029" i="1"/>
  <c r="BI1029" i="1"/>
  <c r="BH1029" i="1"/>
  <c r="R1029" i="1" s="1"/>
  <c r="BG1029" i="1"/>
  <c r="BF1029" i="1"/>
  <c r="CI1029" i="1" s="1"/>
  <c r="CJ1029" i="1" s="1"/>
  <c r="N1029" i="1"/>
  <c r="BK145" i="1"/>
  <c r="BI145" i="1"/>
  <c r="BH145" i="1"/>
  <c r="R145" i="1" s="1"/>
  <c r="BG145" i="1"/>
  <c r="BF145" i="1"/>
  <c r="N145" i="1"/>
  <c r="BK2410" i="1"/>
  <c r="BI2410" i="1"/>
  <c r="BH2410" i="1"/>
  <c r="R2410" i="1" s="1"/>
  <c r="BG2410" i="1"/>
  <c r="BF2410" i="1"/>
  <c r="N2410" i="1"/>
  <c r="BK786" i="1"/>
  <c r="BI786" i="1"/>
  <c r="BH786" i="1"/>
  <c r="R786" i="1" s="1"/>
  <c r="BG786" i="1"/>
  <c r="BF786" i="1"/>
  <c r="N786" i="1"/>
  <c r="BK1847" i="1"/>
  <c r="BI1847" i="1"/>
  <c r="BH1847" i="1"/>
  <c r="R1847" i="1" s="1"/>
  <c r="BG1847" i="1"/>
  <c r="BF1847" i="1"/>
  <c r="N1847" i="1"/>
  <c r="BK2416" i="1"/>
  <c r="BI2416" i="1"/>
  <c r="BH2416" i="1"/>
  <c r="R2416" i="1" s="1"/>
  <c r="BG2416" i="1"/>
  <c r="BR2416" i="1" s="1"/>
  <c r="CA2416" i="1" s="1"/>
  <c r="BF2416" i="1"/>
  <c r="BK480" i="1"/>
  <c r="BI480" i="1"/>
  <c r="BH480" i="1"/>
  <c r="R480" i="1" s="1"/>
  <c r="BG480" i="1"/>
  <c r="BR480" i="1" s="1"/>
  <c r="CA480" i="1" s="1"/>
  <c r="BF480" i="1"/>
  <c r="BK754" i="1"/>
  <c r="BI754" i="1"/>
  <c r="BH754" i="1"/>
  <c r="R754" i="1" s="1"/>
  <c r="BG754" i="1"/>
  <c r="BF754" i="1"/>
  <c r="N754" i="1"/>
  <c r="BK2064" i="1"/>
  <c r="BI2064" i="1"/>
  <c r="BH2064" i="1"/>
  <c r="R2064" i="1" s="1"/>
  <c r="BG2064" i="1"/>
  <c r="BF2064" i="1"/>
  <c r="CI2064" i="1" s="1"/>
  <c r="CJ2064" i="1" s="1"/>
  <c r="N2064" i="1"/>
  <c r="BK1592" i="1"/>
  <c r="BI1592" i="1"/>
  <c r="BH1592" i="1"/>
  <c r="R1592" i="1" s="1"/>
  <c r="Q1592" i="1"/>
  <c r="N1592" i="1"/>
  <c r="BK2944" i="1"/>
  <c r="BI2944" i="1"/>
  <c r="BH2944" i="1"/>
  <c r="R2944" i="1" s="1"/>
  <c r="BG2944" i="1"/>
  <c r="BF2944" i="1"/>
  <c r="N2944" i="1"/>
  <c r="BK571" i="1"/>
  <c r="BI571" i="1"/>
  <c r="BH571" i="1"/>
  <c r="R571" i="1" s="1"/>
  <c r="BG571" i="1"/>
  <c r="BF571" i="1"/>
  <c r="CI571" i="1" s="1"/>
  <c r="CJ571" i="1" s="1"/>
  <c r="N571" i="1"/>
  <c r="BK820" i="1"/>
  <c r="BI820" i="1"/>
  <c r="BH820" i="1"/>
  <c r="R820" i="1" s="1"/>
  <c r="BG820" i="1"/>
  <c r="BF820" i="1"/>
  <c r="N820" i="1"/>
  <c r="BK1493" i="1"/>
  <c r="BI1493" i="1"/>
  <c r="BH1493" i="1"/>
  <c r="R1493" i="1" s="1"/>
  <c r="BG1493" i="1"/>
  <c r="BF1493" i="1"/>
  <c r="N1493" i="1"/>
  <c r="BK2505" i="1"/>
  <c r="BI2505" i="1"/>
  <c r="BH2505" i="1"/>
  <c r="R2505" i="1" s="1"/>
  <c r="BG2505" i="1"/>
  <c r="BF2505" i="1"/>
  <c r="N2505" i="1"/>
  <c r="BK304" i="1"/>
  <c r="BI304" i="1"/>
  <c r="BH304" i="1"/>
  <c r="R304" i="1" s="1"/>
  <c r="BG304" i="1"/>
  <c r="BF304" i="1"/>
  <c r="N304" i="1"/>
  <c r="BK1251" i="1"/>
  <c r="BI1251" i="1"/>
  <c r="BH1251" i="1"/>
  <c r="R1251" i="1" s="1"/>
  <c r="BG1251" i="1"/>
  <c r="BX1251" i="1"/>
  <c r="N1251" i="1"/>
  <c r="BK1458" i="1"/>
  <c r="BI1458" i="1"/>
  <c r="BH1458" i="1"/>
  <c r="R1458" i="1" s="1"/>
  <c r="BG1458" i="1"/>
  <c r="BF1458" i="1"/>
  <c r="N1458" i="1"/>
  <c r="BK1804" i="1"/>
  <c r="BI1804" i="1"/>
  <c r="BH1804" i="1"/>
  <c r="R1804" i="1" s="1"/>
  <c r="BG1804" i="1"/>
  <c r="BF1804" i="1"/>
  <c r="N1804" i="1"/>
  <c r="BK2529" i="1"/>
  <c r="BI2529" i="1"/>
  <c r="BH2529" i="1"/>
  <c r="R2529" i="1" s="1"/>
  <c r="BG2529" i="1"/>
  <c r="BF2529" i="1"/>
  <c r="N2529" i="1"/>
  <c r="BK1205" i="1"/>
  <c r="BI1205" i="1"/>
  <c r="BH1205" i="1"/>
  <c r="R1205" i="1" s="1"/>
  <c r="BG1205" i="1"/>
  <c r="BX1205" i="1"/>
  <c r="N1205" i="1"/>
  <c r="BK2412" i="1"/>
  <c r="BI2412" i="1"/>
  <c r="BH2412" i="1"/>
  <c r="R2412" i="1" s="1"/>
  <c r="BG2412" i="1"/>
  <c r="BR2412" i="1" s="1"/>
  <c r="CA2412" i="1" s="1"/>
  <c r="BF2412" i="1"/>
  <c r="BK1626" i="1"/>
  <c r="BI1626" i="1"/>
  <c r="BH1626" i="1"/>
  <c r="R1626" i="1" s="1"/>
  <c r="BG1626" i="1"/>
  <c r="BF1626" i="1"/>
  <c r="N1626" i="1"/>
  <c r="BK664" i="1"/>
  <c r="BI664" i="1"/>
  <c r="BH664" i="1"/>
  <c r="R664" i="1" s="1"/>
  <c r="BG664" i="1"/>
  <c r="BF664" i="1"/>
  <c r="CI664" i="1" s="1"/>
  <c r="CJ664" i="1" s="1"/>
  <c r="N664" i="1"/>
  <c r="BK444" i="1"/>
  <c r="BI444" i="1"/>
  <c r="BH444" i="1"/>
  <c r="R444" i="1" s="1"/>
  <c r="BG444" i="1"/>
  <c r="BF444" i="1"/>
  <c r="N444" i="1"/>
  <c r="BK25" i="1"/>
  <c r="BI25" i="1"/>
  <c r="BH25" i="1"/>
  <c r="R25" i="1" s="1"/>
  <c r="BG25" i="1"/>
  <c r="BR25" i="1" s="1"/>
  <c r="CA25" i="1" s="1"/>
  <c r="BF25" i="1"/>
  <c r="BK2942" i="1"/>
  <c r="BI2942" i="1"/>
  <c r="BH2942" i="1"/>
  <c r="R2942" i="1" s="1"/>
  <c r="BG2942" i="1"/>
  <c r="BF2942" i="1"/>
  <c r="CI2942" i="1" s="1"/>
  <c r="CJ2942" i="1" s="1"/>
  <c r="N2942" i="1"/>
  <c r="BK2184" i="1"/>
  <c r="BI2184" i="1"/>
  <c r="BH2184" i="1"/>
  <c r="R2184" i="1" s="1"/>
  <c r="BG2184" i="1"/>
  <c r="BF2184" i="1"/>
  <c r="N2184" i="1"/>
  <c r="BK957" i="1"/>
  <c r="BI957" i="1"/>
  <c r="BH957" i="1"/>
  <c r="R957" i="1" s="1"/>
  <c r="BG957" i="1"/>
  <c r="BF957" i="1"/>
  <c r="N957" i="1"/>
  <c r="BK414" i="1"/>
  <c r="BI414" i="1"/>
  <c r="BH414" i="1"/>
  <c r="R414" i="1" s="1"/>
  <c r="BG414" i="1"/>
  <c r="BF414" i="1"/>
  <c r="CI414" i="1" s="1"/>
  <c r="CJ414" i="1" s="1"/>
  <c r="N414" i="1"/>
  <c r="BK2462" i="1"/>
  <c r="BI2462" i="1"/>
  <c r="BH2462" i="1"/>
  <c r="R2462" i="1" s="1"/>
  <c r="BG2462" i="1"/>
  <c r="BR2462" i="1" s="1"/>
  <c r="CA2462" i="1" s="1"/>
  <c r="BF2462" i="1"/>
  <c r="BK823" i="1"/>
  <c r="BI823" i="1"/>
  <c r="BH823" i="1"/>
  <c r="R823" i="1" s="1"/>
  <c r="BG823" i="1"/>
  <c r="BX823" i="1"/>
  <c r="N823" i="1"/>
  <c r="BK1945" i="1"/>
  <c r="BI1945" i="1"/>
  <c r="BH1945" i="1"/>
  <c r="R1945" i="1" s="1"/>
  <c r="BG1945" i="1"/>
  <c r="BF1945" i="1"/>
  <c r="N1945" i="1"/>
  <c r="BK692" i="1"/>
  <c r="BI692" i="1"/>
  <c r="BH692" i="1"/>
  <c r="R692" i="1" s="1"/>
  <c r="BG692" i="1"/>
  <c r="BF692" i="1"/>
  <c r="N692" i="1"/>
  <c r="BK1787" i="1"/>
  <c r="BI1787" i="1"/>
  <c r="BH1787" i="1"/>
  <c r="R1787" i="1" s="1"/>
  <c r="BG1787" i="1"/>
  <c r="BF1787" i="1"/>
  <c r="N1787" i="1"/>
  <c r="BK2943" i="1"/>
  <c r="BI2943" i="1"/>
  <c r="BH2943" i="1"/>
  <c r="R2943" i="1" s="1"/>
  <c r="BG2943" i="1"/>
  <c r="BR2943" i="1" s="1"/>
  <c r="CA2943" i="1" s="1"/>
  <c r="BF2943" i="1"/>
  <c r="BK2516" i="1"/>
  <c r="BI2516" i="1"/>
  <c r="BH2516" i="1"/>
  <c r="R2516" i="1" s="1"/>
  <c r="BG2516" i="1"/>
  <c r="BF2516" i="1"/>
  <c r="N2516" i="1"/>
  <c r="BK2941" i="1"/>
  <c r="BI2941" i="1"/>
  <c r="BH2941" i="1"/>
  <c r="R2941" i="1" s="1"/>
  <c r="BG2941" i="1"/>
  <c r="BF2941" i="1"/>
  <c r="CI2941" i="1" s="1"/>
  <c r="CJ2941" i="1" s="1"/>
  <c r="N2941" i="1"/>
  <c r="BK2270" i="1"/>
  <c r="BI2270" i="1"/>
  <c r="BH2270" i="1"/>
  <c r="R2270" i="1" s="1"/>
  <c r="BG2270" i="1"/>
  <c r="BF2270" i="1"/>
  <c r="CI2270" i="1" s="1"/>
  <c r="CJ2270" i="1" s="1"/>
  <c r="N2270" i="1"/>
  <c r="BK806" i="1"/>
  <c r="BI806" i="1"/>
  <c r="BH806" i="1"/>
  <c r="R806" i="1" s="1"/>
  <c r="BG806" i="1"/>
  <c r="BF806" i="1"/>
  <c r="CI806" i="1" s="1"/>
  <c r="CJ806" i="1" s="1"/>
  <c r="N806" i="1"/>
  <c r="BK2212" i="1"/>
  <c r="BI2212" i="1"/>
  <c r="BH2212" i="1"/>
  <c r="R2212" i="1" s="1"/>
  <c r="BG2212" i="1"/>
  <c r="BF2212" i="1"/>
  <c r="N2212" i="1"/>
  <c r="BK1582" i="1"/>
  <c r="BI1582" i="1"/>
  <c r="BH1582" i="1"/>
  <c r="R1582" i="1" s="1"/>
  <c r="BG1582" i="1"/>
  <c r="BF1582" i="1"/>
  <c r="N1582" i="1"/>
  <c r="BK586" i="1"/>
  <c r="BI586" i="1"/>
  <c r="BH586" i="1"/>
  <c r="R586" i="1" s="1"/>
  <c r="BG586" i="1"/>
  <c r="BF586" i="1"/>
  <c r="CI586" i="1" s="1"/>
  <c r="CJ586" i="1" s="1"/>
  <c r="N586" i="1"/>
  <c r="BK811" i="1"/>
  <c r="BI811" i="1"/>
  <c r="BH811" i="1"/>
  <c r="R811" i="1" s="1"/>
  <c r="BG811" i="1"/>
  <c r="BR811" i="1" s="1"/>
  <c r="CA811" i="1" s="1"/>
  <c r="BF811" i="1"/>
  <c r="BK2001" i="1"/>
  <c r="BI2001" i="1"/>
  <c r="BH2001" i="1"/>
  <c r="R2001" i="1" s="1"/>
  <c r="BG2001" i="1"/>
  <c r="BR2001" i="1" s="1"/>
  <c r="CA2001" i="1" s="1"/>
  <c r="BF2001" i="1"/>
  <c r="BK1917" i="1"/>
  <c r="BI1917" i="1"/>
  <c r="BH1917" i="1"/>
  <c r="R1917" i="1" s="1"/>
  <c r="BG1917" i="1"/>
  <c r="BF1917" i="1"/>
  <c r="N1917" i="1"/>
  <c r="BK162" i="1"/>
  <c r="BI162" i="1"/>
  <c r="BH162" i="1"/>
  <c r="R162" i="1" s="1"/>
  <c r="BG162" i="1"/>
  <c r="BF162" i="1"/>
  <c r="CI162" i="1" s="1"/>
  <c r="CJ162" i="1" s="1"/>
  <c r="N162" i="1"/>
  <c r="BK2269" i="1"/>
  <c r="BI2269" i="1"/>
  <c r="BH2269" i="1"/>
  <c r="R2269" i="1" s="1"/>
  <c r="Q2269" i="1"/>
  <c r="BK2428" i="1"/>
  <c r="BI2428" i="1"/>
  <c r="BH2428" i="1"/>
  <c r="R2428" i="1" s="1"/>
  <c r="BG2428" i="1"/>
  <c r="BF2428" i="1"/>
  <c r="N2428" i="1"/>
  <c r="BK1679" i="1"/>
  <c r="BI1679" i="1"/>
  <c r="BH1679" i="1"/>
  <c r="R1679" i="1" s="1"/>
  <c r="BU1679" i="1" s="1"/>
  <c r="BW1679" i="1" s="1"/>
  <c r="BG1679" i="1"/>
  <c r="N1679" i="1"/>
  <c r="BK858" i="1"/>
  <c r="BI858" i="1"/>
  <c r="BH858" i="1"/>
  <c r="R858" i="1" s="1"/>
  <c r="BG858" i="1"/>
  <c r="BF858" i="1"/>
  <c r="CI858" i="1" s="1"/>
  <c r="CJ858" i="1" s="1"/>
  <c r="N858" i="1"/>
  <c r="BK999" i="1"/>
  <c r="BI999" i="1"/>
  <c r="BH999" i="1"/>
  <c r="R999" i="1" s="1"/>
  <c r="BG999" i="1"/>
  <c r="BR999" i="1" s="1"/>
  <c r="CA999" i="1" s="1"/>
  <c r="BF999" i="1"/>
  <c r="BK1628" i="1"/>
  <c r="BI1628" i="1"/>
  <c r="BH1628" i="1"/>
  <c r="R1628" i="1" s="1"/>
  <c r="BG1628" i="1"/>
  <c r="BR1628" i="1" s="1"/>
  <c r="CA1628" i="1" s="1"/>
  <c r="BF1628" i="1"/>
  <c r="BK511" i="1"/>
  <c r="BI511" i="1"/>
  <c r="BH511" i="1"/>
  <c r="R511" i="1" s="1"/>
  <c r="BG511" i="1"/>
  <c r="BF511" i="1"/>
  <c r="N511" i="1"/>
  <c r="BK1183" i="1"/>
  <c r="BI1183" i="1"/>
  <c r="BH1183" i="1"/>
  <c r="R1183" i="1" s="1"/>
  <c r="Q1183" i="1"/>
  <c r="N1183" i="1"/>
  <c r="BK1827" i="1"/>
  <c r="BI1827" i="1"/>
  <c r="BH1827" i="1"/>
  <c r="R1827" i="1" s="1"/>
  <c r="Q1827" i="1"/>
  <c r="BK2940" i="1"/>
  <c r="BI2940" i="1"/>
  <c r="BH2940" i="1"/>
  <c r="R2940" i="1" s="1"/>
  <c r="BG2940" i="1"/>
  <c r="BF2940" i="1"/>
  <c r="CI2940" i="1" s="1"/>
  <c r="CJ2940" i="1" s="1"/>
  <c r="N2940" i="1"/>
  <c r="BK1838" i="1"/>
  <c r="BI1838" i="1"/>
  <c r="BH1838" i="1"/>
  <c r="R1838" i="1" s="1"/>
  <c r="BG1838" i="1"/>
  <c r="BF1838" i="1"/>
  <c r="N1838" i="1"/>
  <c r="BK344" i="1"/>
  <c r="BI344" i="1"/>
  <c r="BH344" i="1"/>
  <c r="R344" i="1" s="1"/>
  <c r="BG344" i="1"/>
  <c r="BF344" i="1"/>
  <c r="N344" i="1"/>
  <c r="BK617" i="1"/>
  <c r="BI617" i="1"/>
  <c r="BH617" i="1"/>
  <c r="R617" i="1" s="1"/>
  <c r="BG617" i="1"/>
  <c r="BF617" i="1"/>
  <c r="N617" i="1"/>
  <c r="BK1400" i="1"/>
  <c r="BI1400" i="1"/>
  <c r="BH1400" i="1"/>
  <c r="R1400" i="1" s="1"/>
  <c r="BG1400" i="1"/>
  <c r="BF1400" i="1"/>
  <c r="N1400" i="1"/>
  <c r="BK1969" i="1"/>
  <c r="BI1969" i="1"/>
  <c r="BH1969" i="1"/>
  <c r="R1969" i="1" s="1"/>
  <c r="BG1969" i="1"/>
  <c r="BF1969" i="1"/>
  <c r="N1969" i="1"/>
  <c r="BK2939" i="1"/>
  <c r="BI2939" i="1"/>
  <c r="BH2939" i="1"/>
  <c r="R2939" i="1" s="1"/>
  <c r="BG2939" i="1"/>
  <c r="BF2939" i="1"/>
  <c r="N2939" i="1"/>
  <c r="BK925" i="1"/>
  <c r="BI925" i="1"/>
  <c r="BH925" i="1"/>
  <c r="R925" i="1" s="1"/>
  <c r="BG925" i="1"/>
  <c r="BF925" i="1"/>
  <c r="N925" i="1"/>
  <c r="BK2468" i="1"/>
  <c r="BI2468" i="1"/>
  <c r="BH2468" i="1"/>
  <c r="R2468" i="1" s="1"/>
  <c r="BG2468" i="1"/>
  <c r="BF2468" i="1"/>
  <c r="N2468" i="1"/>
  <c r="BK1264" i="1"/>
  <c r="BI1264" i="1"/>
  <c r="BH1264" i="1"/>
  <c r="R1264" i="1" s="1"/>
  <c r="BG1264" i="1"/>
  <c r="BF1264" i="1"/>
  <c r="N1264" i="1"/>
  <c r="BK2547" i="1"/>
  <c r="BI2547" i="1"/>
  <c r="BH2547" i="1"/>
  <c r="R2547" i="1" s="1"/>
  <c r="BG2547" i="1"/>
  <c r="BX2547" i="1"/>
  <c r="N2547" i="1"/>
  <c r="BK1079" i="1"/>
  <c r="BI1079" i="1"/>
  <c r="BH1079" i="1"/>
  <c r="R1079" i="1" s="1"/>
  <c r="BG1079" i="1"/>
  <c r="BF1079" i="1"/>
  <c r="N1079" i="1"/>
  <c r="BK482" i="1"/>
  <c r="BI482" i="1"/>
  <c r="BH482" i="1"/>
  <c r="R482" i="1" s="1"/>
  <c r="BG482" i="1"/>
  <c r="BF482" i="1"/>
  <c r="N482" i="1"/>
  <c r="BK1623" i="1"/>
  <c r="BI1623" i="1"/>
  <c r="BH1623" i="1"/>
  <c r="R1623" i="1" s="1"/>
  <c r="Q1623" i="1"/>
  <c r="N1623" i="1"/>
  <c r="BK2938" i="1"/>
  <c r="BI2938" i="1"/>
  <c r="BH2938" i="1"/>
  <c r="R2938" i="1" s="1"/>
  <c r="BG2938" i="1"/>
  <c r="BF2938" i="1"/>
  <c r="N2938" i="1"/>
  <c r="BK2937" i="1"/>
  <c r="BI2937" i="1"/>
  <c r="BH2937" i="1"/>
  <c r="R2937" i="1" s="1"/>
  <c r="BG2937" i="1"/>
  <c r="BF2937" i="1"/>
  <c r="N2937" i="1"/>
  <c r="BK2553" i="1"/>
  <c r="BI2553" i="1"/>
  <c r="BH2553" i="1"/>
  <c r="R2553" i="1" s="1"/>
  <c r="BG2553" i="1"/>
  <c r="BF2553" i="1"/>
  <c r="N2553" i="1"/>
  <c r="BK1313" i="1"/>
  <c r="BI1313" i="1"/>
  <c r="BH1313" i="1"/>
  <c r="R1313" i="1" s="1"/>
  <c r="BG1313" i="1"/>
  <c r="BF1313" i="1"/>
  <c r="N1313" i="1"/>
  <c r="BK584" i="1"/>
  <c r="BI584" i="1"/>
  <c r="BH584" i="1"/>
  <c r="R584" i="1" s="1"/>
  <c r="BG584" i="1"/>
  <c r="BF584" i="1"/>
  <c r="CI584" i="1" s="1"/>
  <c r="CJ584" i="1" s="1"/>
  <c r="N584" i="1"/>
  <c r="BK660" i="1"/>
  <c r="BI660" i="1"/>
  <c r="BH660" i="1"/>
  <c r="R660" i="1" s="1"/>
  <c r="BG660" i="1"/>
  <c r="BF660" i="1"/>
  <c r="CI660" i="1" s="1"/>
  <c r="CJ660" i="1" s="1"/>
  <c r="N660" i="1"/>
  <c r="BK292" i="1"/>
  <c r="BI292" i="1"/>
  <c r="BH292" i="1"/>
  <c r="R292" i="1" s="1"/>
  <c r="BG292" i="1"/>
  <c r="BF292" i="1"/>
  <c r="CI292" i="1" s="1"/>
  <c r="CJ292" i="1" s="1"/>
  <c r="N292" i="1"/>
  <c r="BK868" i="1"/>
  <c r="BI868" i="1"/>
  <c r="BH868" i="1"/>
  <c r="R868" i="1" s="1"/>
  <c r="BG868" i="1"/>
  <c r="BF868" i="1"/>
  <c r="N868" i="1"/>
  <c r="BK724" i="1"/>
  <c r="BI724" i="1"/>
  <c r="BH724" i="1"/>
  <c r="R724" i="1" s="1"/>
  <c r="BG724" i="1"/>
  <c r="BF724" i="1"/>
  <c r="CI724" i="1" s="1"/>
  <c r="CJ724" i="1" s="1"/>
  <c r="N724" i="1"/>
  <c r="BK408" i="1"/>
  <c r="BI408" i="1"/>
  <c r="BH408" i="1"/>
  <c r="R408" i="1" s="1"/>
  <c r="BG408" i="1"/>
  <c r="BF408" i="1"/>
  <c r="N408" i="1"/>
  <c r="BK991" i="1"/>
  <c r="BI991" i="1"/>
  <c r="BH991" i="1"/>
  <c r="R991" i="1" s="1"/>
  <c r="BG991" i="1"/>
  <c r="BF991" i="1"/>
  <c r="CI991" i="1" s="1"/>
  <c r="CJ991" i="1" s="1"/>
  <c r="N991" i="1"/>
  <c r="BK2934" i="1"/>
  <c r="BI2934" i="1"/>
  <c r="BH2934" i="1"/>
  <c r="R2934" i="1" s="1"/>
  <c r="BG2934" i="1"/>
  <c r="BX2934" i="1"/>
  <c r="N2934" i="1"/>
  <c r="BK2935" i="1"/>
  <c r="BI2935" i="1"/>
  <c r="BH2935" i="1"/>
  <c r="R2935" i="1" s="1"/>
  <c r="BG2935" i="1"/>
  <c r="BF2935" i="1"/>
  <c r="CI2935" i="1" s="1"/>
  <c r="CJ2935" i="1" s="1"/>
  <c r="N2935" i="1"/>
  <c r="BK2933" i="1"/>
  <c r="BI2933" i="1"/>
  <c r="BH2933" i="1"/>
  <c r="R2933" i="1" s="1"/>
  <c r="BG2933" i="1"/>
  <c r="BF2933" i="1"/>
  <c r="N2933" i="1"/>
  <c r="BK2536" i="1"/>
  <c r="BI2536" i="1"/>
  <c r="BH2536" i="1"/>
  <c r="R2536" i="1" s="1"/>
  <c r="BG2536" i="1"/>
  <c r="BF2536" i="1"/>
  <c r="CI2536" i="1" s="1"/>
  <c r="CJ2536" i="1" s="1"/>
  <c r="N2536" i="1"/>
  <c r="BK2239" i="1"/>
  <c r="BI2239" i="1"/>
  <c r="R2239" i="1"/>
  <c r="BG2239" i="1"/>
  <c r="N2239" i="1"/>
  <c r="BK2931" i="1"/>
  <c r="BI2931" i="1"/>
  <c r="BH2931" i="1"/>
  <c r="R2931" i="1" s="1"/>
  <c r="BG2931" i="1"/>
  <c r="BF2931" i="1"/>
  <c r="N2931" i="1"/>
  <c r="BK1030" i="1"/>
  <c r="BI1030" i="1"/>
  <c r="BH1030" i="1"/>
  <c r="R1030" i="1" s="1"/>
  <c r="BG1030" i="1"/>
  <c r="BF1030" i="1"/>
  <c r="CI1030" i="1" s="1"/>
  <c r="CJ1030" i="1" s="1"/>
  <c r="N1030" i="1"/>
  <c r="BK2023" i="1"/>
  <c r="BI2023" i="1"/>
  <c r="BH2023" i="1"/>
  <c r="R2023" i="1" s="1"/>
  <c r="BG2023" i="1"/>
  <c r="BF2023" i="1"/>
  <c r="N2023" i="1"/>
  <c r="BK2930" i="1"/>
  <c r="BI2930" i="1"/>
  <c r="BH2930" i="1"/>
  <c r="R2930" i="1" s="1"/>
  <c r="Q2930" i="1"/>
  <c r="N2930" i="1"/>
  <c r="BK1561" i="1"/>
  <c r="BI1561" i="1"/>
  <c r="BH1561" i="1"/>
  <c r="R1561" i="1" s="1"/>
  <c r="BG1561" i="1"/>
  <c r="BR1561" i="1" s="1"/>
  <c r="CA1561" i="1" s="1"/>
  <c r="BF1561" i="1"/>
  <c r="BK2929" i="1"/>
  <c r="BI2929" i="1"/>
  <c r="BH2929" i="1"/>
  <c r="R2929" i="1" s="1"/>
  <c r="BG2929" i="1"/>
  <c r="BF2929" i="1"/>
  <c r="N2929" i="1"/>
  <c r="BK2928" i="1"/>
  <c r="BI2928" i="1"/>
  <c r="BH2928" i="1"/>
  <c r="R2928" i="1" s="1"/>
  <c r="BG2928" i="1"/>
  <c r="BF2928" i="1"/>
  <c r="CI2928" i="1" s="1"/>
  <c r="CJ2928" i="1" s="1"/>
  <c r="N2928" i="1"/>
  <c r="BK1685" i="1"/>
  <c r="BI1685" i="1"/>
  <c r="BH1685" i="1"/>
  <c r="R1685" i="1" s="1"/>
  <c r="BG1685" i="1"/>
  <c r="BF1685" i="1"/>
  <c r="CI1685" i="1" s="1"/>
  <c r="CJ1685" i="1" s="1"/>
  <c r="N1685" i="1"/>
  <c r="BK2538" i="1"/>
  <c r="BI2538" i="1"/>
  <c r="BH2538" i="1"/>
  <c r="R2538" i="1" s="1"/>
  <c r="BG2538" i="1"/>
  <c r="BF2538" i="1"/>
  <c r="N2538" i="1"/>
  <c r="BK745" i="1"/>
  <c r="BI745" i="1"/>
  <c r="BH745" i="1"/>
  <c r="R745" i="1" s="1"/>
  <c r="BG745" i="1"/>
  <c r="BF745" i="1"/>
  <c r="N745" i="1"/>
  <c r="BK1530" i="1"/>
  <c r="BI1530" i="1"/>
  <c r="BH1530" i="1"/>
  <c r="R1530" i="1" s="1"/>
  <c r="BG1530" i="1"/>
  <c r="BF1530" i="1"/>
  <c r="N1530" i="1"/>
  <c r="BK2927" i="1"/>
  <c r="BI2927" i="1"/>
  <c r="BH2927" i="1"/>
  <c r="R2927" i="1" s="1"/>
  <c r="BG2927" i="1"/>
  <c r="BF2927" i="1"/>
  <c r="CI2927" i="1" s="1"/>
  <c r="CJ2927" i="1" s="1"/>
  <c r="N2927" i="1"/>
  <c r="BK2178" i="1"/>
  <c r="BI2178" i="1"/>
  <c r="BH2178" i="1"/>
  <c r="R2178" i="1" s="1"/>
  <c r="N2178" i="1"/>
  <c r="BK2119" i="1"/>
  <c r="BI2119" i="1"/>
  <c r="BH2119" i="1"/>
  <c r="R2119" i="1" s="1"/>
  <c r="BG2119" i="1"/>
  <c r="BF2119" i="1"/>
  <c r="N2119" i="1"/>
  <c r="BK2208" i="1"/>
  <c r="BI2208" i="1"/>
  <c r="BH2208" i="1"/>
  <c r="R2208" i="1" s="1"/>
  <c r="BG2208" i="1"/>
  <c r="BR2208" i="1" s="1"/>
  <c r="CA2208" i="1" s="1"/>
  <c r="BF2208" i="1"/>
  <c r="BK723" i="1"/>
  <c r="BI723" i="1"/>
  <c r="BH723" i="1"/>
  <c r="R723" i="1" s="1"/>
  <c r="BG723" i="1"/>
  <c r="N723" i="1"/>
  <c r="BK1631" i="1"/>
  <c r="BI1631" i="1"/>
  <c r="BH1631" i="1"/>
  <c r="R1631" i="1" s="1"/>
  <c r="BG1631" i="1"/>
  <c r="BF1631" i="1"/>
  <c r="N1631" i="1"/>
  <c r="BK2926" i="1"/>
  <c r="BI2926" i="1"/>
  <c r="BH2926" i="1"/>
  <c r="R2926" i="1" s="1"/>
  <c r="BG2926" i="1"/>
  <c r="BF2926" i="1"/>
  <c r="CI2926" i="1" s="1"/>
  <c r="CJ2926" i="1" s="1"/>
  <c r="N2926" i="1"/>
  <c r="BK2237" i="1"/>
  <c r="BI2237" i="1"/>
  <c r="BH2237" i="1"/>
  <c r="R2237" i="1" s="1"/>
  <c r="BG2237" i="1"/>
  <c r="N2237" i="1"/>
  <c r="BK2925" i="1"/>
  <c r="BI2925" i="1"/>
  <c r="BH2925" i="1"/>
  <c r="R2925" i="1" s="1"/>
  <c r="BG2925" i="1"/>
  <c r="BF2925" i="1"/>
  <c r="CI2925" i="1" s="1"/>
  <c r="CJ2925" i="1" s="1"/>
  <c r="N2925" i="1"/>
  <c r="BK1490" i="1"/>
  <c r="BI1490" i="1"/>
  <c r="BH1490" i="1"/>
  <c r="R1490" i="1" s="1"/>
  <c r="BG1490" i="1"/>
  <c r="BF1490" i="1"/>
  <c r="N1490" i="1"/>
  <c r="BK835" i="1"/>
  <c r="BI835" i="1"/>
  <c r="BH835" i="1"/>
  <c r="R835" i="1" s="1"/>
  <c r="BG835" i="1"/>
  <c r="BF835" i="1"/>
  <c r="N835" i="1"/>
  <c r="BK2147" i="1"/>
  <c r="BI2147" i="1"/>
  <c r="BH2147" i="1"/>
  <c r="R2147" i="1" s="1"/>
  <c r="BG2147" i="1"/>
  <c r="BF2147" i="1"/>
  <c r="N2147" i="1"/>
  <c r="BK984" i="1"/>
  <c r="BI984" i="1"/>
  <c r="BH984" i="1"/>
  <c r="R984" i="1" s="1"/>
  <c r="BG984" i="1"/>
  <c r="BF984" i="1"/>
  <c r="N984" i="1"/>
  <c r="BK1796" i="1"/>
  <c r="BI1796" i="1"/>
  <c r="BH1796" i="1"/>
  <c r="R1796" i="1" s="1"/>
  <c r="BG1796" i="1"/>
  <c r="BF1796" i="1"/>
  <c r="N1796" i="1"/>
  <c r="BK2387" i="1"/>
  <c r="BI2387" i="1"/>
  <c r="BH2387" i="1"/>
  <c r="R2387" i="1" s="1"/>
  <c r="BG2387" i="1"/>
  <c r="BF2387" i="1"/>
  <c r="N2387" i="1"/>
  <c r="BK432" i="1"/>
  <c r="BI432" i="1"/>
  <c r="BH432" i="1"/>
  <c r="R432" i="1" s="1"/>
  <c r="BG432" i="1"/>
  <c r="BR432" i="1" s="1"/>
  <c r="CA432" i="1" s="1"/>
  <c r="BF432" i="1"/>
  <c r="BK1344" i="1"/>
  <c r="BI1344" i="1"/>
  <c r="BH1344" i="1"/>
  <c r="R1344" i="1" s="1"/>
  <c r="BG1344" i="1"/>
  <c r="BF1344" i="1"/>
  <c r="N1344" i="1"/>
  <c r="BK750" i="1"/>
  <c r="BI750" i="1"/>
  <c r="BH750" i="1"/>
  <c r="R750" i="1" s="1"/>
  <c r="BG750" i="1"/>
  <c r="BF750" i="1"/>
  <c r="N750" i="1"/>
  <c r="BK1662" i="1"/>
  <c r="BI1662" i="1"/>
  <c r="BH1662" i="1"/>
  <c r="R1662" i="1" s="1"/>
  <c r="BG1662" i="1"/>
  <c r="BF1662" i="1"/>
  <c r="N1662" i="1"/>
  <c r="BK1195" i="1"/>
  <c r="BI1195" i="1"/>
  <c r="BH1195" i="1"/>
  <c r="R1195" i="1" s="1"/>
  <c r="BG1195" i="1"/>
  <c r="BF1195" i="1"/>
  <c r="N1195" i="1"/>
  <c r="BK167" i="1"/>
  <c r="BI167" i="1"/>
  <c r="BH167" i="1"/>
  <c r="R167" i="1" s="1"/>
  <c r="BG167" i="1"/>
  <c r="BF167" i="1"/>
  <c r="CI167" i="1" s="1"/>
  <c r="CJ167" i="1" s="1"/>
  <c r="N167" i="1"/>
  <c r="BK194" i="1"/>
  <c r="BI194" i="1"/>
  <c r="BH194" i="1"/>
  <c r="R194" i="1" s="1"/>
  <c r="BG194" i="1"/>
  <c r="BR194" i="1" s="1"/>
  <c r="CA194" i="1" s="1"/>
  <c r="BF194" i="1"/>
  <c r="BK2924" i="1"/>
  <c r="BI2924" i="1"/>
  <c r="BH2924" i="1"/>
  <c r="R2924" i="1" s="1"/>
  <c r="BG2924" i="1"/>
  <c r="BR2924" i="1" s="1"/>
  <c r="CA2924" i="1" s="1"/>
  <c r="BF2924" i="1"/>
  <c r="BK1558" i="1"/>
  <c r="BI1558" i="1"/>
  <c r="BH1558" i="1"/>
  <c r="R1558" i="1" s="1"/>
  <c r="BG1558" i="1"/>
  <c r="BF1558" i="1"/>
  <c r="N1558" i="1"/>
  <c r="BK2917" i="1"/>
  <c r="BI2917" i="1"/>
  <c r="BH2917" i="1"/>
  <c r="R2917" i="1" s="1"/>
  <c r="BG2917" i="1"/>
  <c r="BF2917" i="1"/>
  <c r="CI2917" i="1" s="1"/>
  <c r="CJ2917" i="1" s="1"/>
  <c r="N2917" i="1"/>
  <c r="BK2470" i="1"/>
  <c r="BI2470" i="1"/>
  <c r="BH2470" i="1"/>
  <c r="R2470" i="1" s="1"/>
  <c r="BG2470" i="1"/>
  <c r="BF2470" i="1"/>
  <c r="CI2470" i="1" s="1"/>
  <c r="CJ2470" i="1" s="1"/>
  <c r="N2470" i="1"/>
  <c r="BK2345" i="1"/>
  <c r="BI2345" i="1"/>
  <c r="BH2345" i="1"/>
  <c r="R2345" i="1" s="1"/>
  <c r="BG2345" i="1"/>
  <c r="BF2345" i="1"/>
  <c r="N2345" i="1"/>
  <c r="BK2497" i="1"/>
  <c r="BI2497" i="1"/>
  <c r="BH2497" i="1"/>
  <c r="R2497" i="1" s="1"/>
  <c r="BG2497" i="1"/>
  <c r="BF2497" i="1"/>
  <c r="N2497" i="1"/>
  <c r="BK948" i="1"/>
  <c r="BI948" i="1"/>
  <c r="BH948" i="1"/>
  <c r="R948" i="1" s="1"/>
  <c r="BG948" i="1"/>
  <c r="BF948" i="1"/>
  <c r="N948" i="1"/>
  <c r="BK353" i="1"/>
  <c r="BI353" i="1"/>
  <c r="BH353" i="1"/>
  <c r="R353" i="1" s="1"/>
  <c r="BG353" i="1"/>
  <c r="BF353" i="1"/>
  <c r="N353" i="1"/>
  <c r="BK2923" i="1"/>
  <c r="BI2923" i="1"/>
  <c r="BH2923" i="1"/>
  <c r="R2923" i="1" s="1"/>
  <c r="BG2923" i="1"/>
  <c r="BF2923" i="1"/>
  <c r="CI2923" i="1" s="1"/>
  <c r="CJ2923" i="1" s="1"/>
  <c r="N2923" i="1"/>
  <c r="BK956" i="1"/>
  <c r="BI956" i="1"/>
  <c r="BH956" i="1"/>
  <c r="R956" i="1" s="1"/>
  <c r="BG956" i="1"/>
  <c r="BF956" i="1"/>
  <c r="N956" i="1"/>
  <c r="BK2393" i="1"/>
  <c r="BI2393" i="1"/>
  <c r="BH2393" i="1"/>
  <c r="R2393" i="1" s="1"/>
  <c r="BG2393" i="1"/>
  <c r="BR2393" i="1" s="1"/>
  <c r="CA2393" i="1" s="1"/>
  <c r="BF2393" i="1"/>
  <c r="BK812" i="1"/>
  <c r="BI812" i="1"/>
  <c r="BH812" i="1"/>
  <c r="R812" i="1" s="1"/>
  <c r="Q812" i="1"/>
  <c r="N812" i="1"/>
  <c r="BK596" i="1"/>
  <c r="BI596" i="1"/>
  <c r="BH596" i="1"/>
  <c r="R596" i="1" s="1"/>
  <c r="BG596" i="1"/>
  <c r="BF596" i="1"/>
  <c r="CI596" i="1" s="1"/>
  <c r="CJ596" i="1" s="1"/>
  <c r="N596" i="1"/>
  <c r="BK2392" i="1"/>
  <c r="BI2392" i="1"/>
  <c r="BH2392" i="1"/>
  <c r="R2392" i="1" s="1"/>
  <c r="BU2392" i="1" s="1"/>
  <c r="BW2392" i="1" s="1"/>
  <c r="N2392" i="1"/>
  <c r="BK17" i="1"/>
  <c r="BI17" i="1"/>
  <c r="BH17" i="1"/>
  <c r="R17" i="1" s="1"/>
  <c r="BG17" i="1"/>
  <c r="BF17" i="1"/>
  <c r="N17" i="1"/>
  <c r="BK912" i="1"/>
  <c r="BI912" i="1"/>
  <c r="BH912" i="1"/>
  <c r="R912" i="1" s="1"/>
  <c r="BG912" i="1"/>
  <c r="BF912" i="1"/>
  <c r="N912" i="1"/>
  <c r="BK2922" i="1"/>
  <c r="BI2922" i="1"/>
  <c r="BH2922" i="1"/>
  <c r="R2922" i="1" s="1"/>
  <c r="Q2922" i="1"/>
  <c r="N2922" i="1"/>
  <c r="BK373" i="1"/>
  <c r="BI373" i="1"/>
  <c r="BH373" i="1"/>
  <c r="R373" i="1" s="1"/>
  <c r="BG373" i="1"/>
  <c r="N373" i="1"/>
  <c r="BK2921" i="1"/>
  <c r="BI2921" i="1"/>
  <c r="BH2921" i="1"/>
  <c r="R2921" i="1" s="1"/>
  <c r="BG2921" i="1"/>
  <c r="BF2921" i="1"/>
  <c r="N2921" i="1"/>
  <c r="BK1352" i="1"/>
  <c r="BI1352" i="1"/>
  <c r="BH1352" i="1"/>
  <c r="R1352" i="1" s="1"/>
  <c r="BG1352" i="1"/>
  <c r="N1352" i="1"/>
  <c r="BK2150" i="1"/>
  <c r="BI2150" i="1"/>
  <c r="BH2150" i="1"/>
  <c r="R2150" i="1" s="1"/>
  <c r="BG2150" i="1"/>
  <c r="N2150" i="1"/>
  <c r="BK732" i="1"/>
  <c r="BI732" i="1"/>
  <c r="BH732" i="1"/>
  <c r="R732" i="1" s="1"/>
  <c r="BG732" i="1"/>
  <c r="BF732" i="1"/>
  <c r="N732" i="1"/>
  <c r="BK1325" i="1"/>
  <c r="BI1325" i="1"/>
  <c r="BH1325" i="1"/>
  <c r="R1325" i="1" s="1"/>
  <c r="BG1325" i="1"/>
  <c r="BF1325" i="1"/>
  <c r="N1325" i="1"/>
  <c r="BK1347" i="1"/>
  <c r="BI1347" i="1"/>
  <c r="BH1347" i="1"/>
  <c r="R1347" i="1" s="1"/>
  <c r="BG1347" i="1"/>
  <c r="N1347" i="1"/>
  <c r="BK1036" i="1"/>
  <c r="BI1036" i="1"/>
  <c r="BH1036" i="1"/>
  <c r="R1036" i="1" s="1"/>
  <c r="BG1036" i="1"/>
  <c r="BR1036" i="1" s="1"/>
  <c r="CA1036" i="1" s="1"/>
  <c r="BF1036" i="1"/>
  <c r="BK2919" i="1"/>
  <c r="BI2919" i="1"/>
  <c r="BH2919" i="1"/>
  <c r="R2919" i="1" s="1"/>
  <c r="BG2919" i="1"/>
  <c r="BF2919" i="1"/>
  <c r="N2919" i="1"/>
  <c r="BK2920" i="1"/>
  <c r="BI2920" i="1"/>
  <c r="BH2920" i="1"/>
  <c r="R2920" i="1" s="1"/>
  <c r="BG2920" i="1"/>
  <c r="BF2920" i="1"/>
  <c r="N2920" i="1"/>
  <c r="BK200" i="1"/>
  <c r="BI200" i="1"/>
  <c r="BH200" i="1"/>
  <c r="R200" i="1" s="1"/>
  <c r="BG200" i="1"/>
  <c r="BF200" i="1"/>
  <c r="N200" i="1"/>
  <c r="BK182" i="1"/>
  <c r="BI182" i="1"/>
  <c r="BH182" i="1"/>
  <c r="R182" i="1" s="1"/>
  <c r="BG182" i="1"/>
  <c r="BF182" i="1"/>
  <c r="N182" i="1"/>
  <c r="BK449" i="1"/>
  <c r="BI449" i="1"/>
  <c r="BH449" i="1"/>
  <c r="R449" i="1" s="1"/>
  <c r="BG449" i="1"/>
  <c r="BF449" i="1"/>
  <c r="N449" i="1"/>
  <c r="BK2145" i="1"/>
  <c r="BI2145" i="1"/>
  <c r="BH2145" i="1"/>
  <c r="R2145" i="1" s="1"/>
  <c r="BG2145" i="1"/>
  <c r="BF2145" i="1"/>
  <c r="N2145" i="1"/>
  <c r="BK2918" i="1"/>
  <c r="BI2918" i="1"/>
  <c r="BH2918" i="1"/>
  <c r="R2918" i="1" s="1"/>
  <c r="BG2918" i="1"/>
  <c r="BF2918" i="1"/>
  <c r="N2918" i="1"/>
  <c r="BK1336" i="1"/>
  <c r="BI1336" i="1"/>
  <c r="BH1336" i="1"/>
  <c r="R1336" i="1" s="1"/>
  <c r="BG1336" i="1"/>
  <c r="BF1336" i="1"/>
  <c r="CI1336" i="1" s="1"/>
  <c r="CJ1336" i="1" s="1"/>
  <c r="N1336" i="1"/>
  <c r="BK737" i="1"/>
  <c r="BI737" i="1"/>
  <c r="BH737" i="1"/>
  <c r="R737" i="1" s="1"/>
  <c r="Q737" i="1"/>
  <c r="N737" i="1"/>
  <c r="BK171" i="1"/>
  <c r="BI171" i="1"/>
  <c r="BH171" i="1"/>
  <c r="R171" i="1" s="1"/>
  <c r="BG171" i="1"/>
  <c r="BF171" i="1"/>
  <c r="N171" i="1"/>
  <c r="BK1472" i="1"/>
  <c r="BI1472" i="1"/>
  <c r="BH1472" i="1"/>
  <c r="R1472" i="1" s="1"/>
  <c r="BG1472" i="1"/>
  <c r="BF1472" i="1"/>
  <c r="CI1472" i="1" s="1"/>
  <c r="CJ1472" i="1" s="1"/>
  <c r="N1472" i="1"/>
  <c r="BK1059" i="1"/>
  <c r="BI1059" i="1"/>
  <c r="BH1059" i="1"/>
  <c r="R1059" i="1" s="1"/>
  <c r="BG1059" i="1"/>
  <c r="BR1059" i="1" s="1"/>
  <c r="CA1059" i="1" s="1"/>
  <c r="BF1059" i="1"/>
  <c r="BK2010" i="1"/>
  <c r="BI2010" i="1"/>
  <c r="BH2010" i="1"/>
  <c r="R2010" i="1" s="1"/>
  <c r="BG2010" i="1"/>
  <c r="BF2010" i="1"/>
  <c r="N2010" i="1"/>
  <c r="BK2502" i="1"/>
  <c r="BI2502" i="1"/>
  <c r="BH2502" i="1"/>
  <c r="R2502" i="1" s="1"/>
  <c r="BG2502" i="1"/>
  <c r="BF2502" i="1"/>
  <c r="N2502" i="1"/>
  <c r="BK1350" i="1"/>
  <c r="BI1350" i="1"/>
  <c r="BH1350" i="1"/>
  <c r="R1350" i="1" s="1"/>
  <c r="BG1350" i="1"/>
  <c r="BF1350" i="1"/>
  <c r="N1350" i="1"/>
  <c r="BK2916" i="1"/>
  <c r="BI2916" i="1"/>
  <c r="BH2916" i="1"/>
  <c r="R2916" i="1" s="1"/>
  <c r="BG2916" i="1"/>
  <c r="BF2916" i="1"/>
  <c r="CI2916" i="1" s="1"/>
  <c r="CJ2916" i="1" s="1"/>
  <c r="N2916" i="1"/>
  <c r="BK405" i="1"/>
  <c r="BI405" i="1"/>
  <c r="BH405" i="1"/>
  <c r="R405" i="1" s="1"/>
  <c r="BG405" i="1"/>
  <c r="BF405" i="1"/>
  <c r="N405" i="1"/>
  <c r="BK309" i="1"/>
  <c r="BI309" i="1"/>
  <c r="BH309" i="1"/>
  <c r="R309" i="1" s="1"/>
  <c r="BG309" i="1"/>
  <c r="BF309" i="1"/>
  <c r="N309" i="1"/>
  <c r="BK2406" i="1"/>
  <c r="BI2406" i="1"/>
  <c r="BH2406" i="1"/>
  <c r="R2406" i="1" s="1"/>
  <c r="BG2406" i="1"/>
  <c r="BF2406" i="1"/>
  <c r="N2406" i="1"/>
  <c r="BK336" i="1"/>
  <c r="BI336" i="1"/>
  <c r="BH336" i="1"/>
  <c r="R336" i="1" s="1"/>
  <c r="BG336" i="1"/>
  <c r="BF336" i="1"/>
  <c r="N336" i="1"/>
  <c r="BK1186" i="1"/>
  <c r="BI1186" i="1"/>
  <c r="BH1186" i="1"/>
  <c r="R1186" i="1" s="1"/>
  <c r="BG1186" i="1"/>
  <c r="BX1186" i="1"/>
  <c r="N1186" i="1"/>
  <c r="BK2915" i="1"/>
  <c r="BI2915" i="1"/>
  <c r="BH2915" i="1"/>
  <c r="R2915" i="1" s="1"/>
  <c r="BG2915" i="1"/>
  <c r="BF2915" i="1"/>
  <c r="N2915" i="1"/>
  <c r="BK1481" i="1"/>
  <c r="BI1481" i="1"/>
  <c r="BH1481" i="1"/>
  <c r="R1481" i="1" s="1"/>
  <c r="BG1481" i="1"/>
  <c r="BF1481" i="1"/>
  <c r="N1481" i="1"/>
  <c r="BK368" i="1"/>
  <c r="BI368" i="1"/>
  <c r="BH368" i="1"/>
  <c r="R368" i="1" s="1"/>
  <c r="BG368" i="1"/>
  <c r="BF368" i="1"/>
  <c r="CI368" i="1" s="1"/>
  <c r="CJ368" i="1" s="1"/>
  <c r="BK749" i="1"/>
  <c r="BI749" i="1"/>
  <c r="BH749" i="1"/>
  <c r="R749" i="1" s="1"/>
  <c r="BG749" i="1"/>
  <c r="BF749" i="1"/>
  <c r="N749" i="1"/>
  <c r="BK526" i="1"/>
  <c r="BI526" i="1"/>
  <c r="BH526" i="1"/>
  <c r="R526" i="1" s="1"/>
  <c r="BG526" i="1"/>
  <c r="BF526" i="1"/>
  <c r="CI526" i="1" s="1"/>
  <c r="CJ526" i="1" s="1"/>
  <c r="N526" i="1"/>
  <c r="BK648" i="1"/>
  <c r="BI648" i="1"/>
  <c r="BH648" i="1"/>
  <c r="R648" i="1" s="1"/>
  <c r="BG648" i="1"/>
  <c r="BF648" i="1"/>
  <c r="N648" i="1"/>
  <c r="BK2914" i="1"/>
  <c r="BI2914" i="1"/>
  <c r="BH2914" i="1"/>
  <c r="R2914" i="1" s="1"/>
  <c r="BG2914" i="1"/>
  <c r="BF2914" i="1"/>
  <c r="N2914" i="1"/>
  <c r="BK484" i="1"/>
  <c r="BI484" i="1"/>
  <c r="BH484" i="1"/>
  <c r="R484" i="1" s="1"/>
  <c r="BG484" i="1"/>
  <c r="BF484" i="1"/>
  <c r="N484" i="1"/>
  <c r="BK1615" i="1"/>
  <c r="BI1615" i="1"/>
  <c r="BH1615" i="1"/>
  <c r="R1615" i="1" s="1"/>
  <c r="BG1615" i="1"/>
  <c r="BR1615" i="1" s="1"/>
  <c r="CA1615" i="1" s="1"/>
  <c r="BF1615" i="1"/>
  <c r="BK675" i="1"/>
  <c r="BI675" i="1"/>
  <c r="BH675" i="1"/>
  <c r="R675" i="1" s="1"/>
  <c r="BG675" i="1"/>
  <c r="BF675" i="1"/>
  <c r="N675" i="1"/>
  <c r="BK874" i="1"/>
  <c r="BI874" i="1"/>
  <c r="BH874" i="1"/>
  <c r="R874" i="1" s="1"/>
  <c r="BG874" i="1"/>
  <c r="BF874" i="1"/>
  <c r="CI874" i="1" s="1"/>
  <c r="CJ874" i="1" s="1"/>
  <c r="N874" i="1"/>
  <c r="BK472" i="1"/>
  <c r="BI472" i="1"/>
  <c r="BH472" i="1"/>
  <c r="R472" i="1" s="1"/>
  <c r="BG472" i="1"/>
  <c r="BF472" i="1"/>
  <c r="N472" i="1"/>
  <c r="BK16" i="1"/>
  <c r="BI16" i="1"/>
  <c r="BH16" i="1"/>
  <c r="R16" i="1" s="1"/>
  <c r="BG16" i="1"/>
  <c r="BF16" i="1"/>
  <c r="N16" i="1"/>
  <c r="BK1055" i="1"/>
  <c r="BI1055" i="1"/>
  <c r="BH1055" i="1"/>
  <c r="R1055" i="1" s="1"/>
  <c r="BG1055" i="1"/>
  <c r="BF1055" i="1"/>
  <c r="CI1055" i="1" s="1"/>
  <c r="CJ1055" i="1" s="1"/>
  <c r="N1055" i="1"/>
  <c r="BK1162" i="1"/>
  <c r="BI1162" i="1"/>
  <c r="BH1162" i="1"/>
  <c r="R1162" i="1" s="1"/>
  <c r="BG1162" i="1"/>
  <c r="BX1162" i="1"/>
  <c r="N1162" i="1"/>
  <c r="BK2913" i="1"/>
  <c r="BI2913" i="1"/>
  <c r="BH2913" i="1"/>
  <c r="R2913" i="1" s="1"/>
  <c r="BG2913" i="1"/>
  <c r="BF2913" i="1"/>
  <c r="N2913" i="1"/>
  <c r="BK2912" i="1"/>
  <c r="BI2912" i="1"/>
  <c r="BH2912" i="1"/>
  <c r="R2912" i="1" s="1"/>
  <c r="BG2912" i="1"/>
  <c r="BF2912" i="1"/>
  <c r="N2912" i="1"/>
  <c r="BK2127" i="1"/>
  <c r="BI2127" i="1"/>
  <c r="BH2127" i="1"/>
  <c r="R2127" i="1" s="1"/>
  <c r="BG2127" i="1"/>
  <c r="BF2127" i="1"/>
  <c r="N2127" i="1"/>
  <c r="BK536" i="1"/>
  <c r="BI536" i="1"/>
  <c r="BH536" i="1"/>
  <c r="R536" i="1" s="1"/>
  <c r="BG536" i="1"/>
  <c r="BF536" i="1"/>
  <c r="CI536" i="1" s="1"/>
  <c r="CJ536" i="1" s="1"/>
  <c r="N536" i="1"/>
  <c r="BK763" i="1"/>
  <c r="BI763" i="1"/>
  <c r="BH763" i="1"/>
  <c r="R763" i="1" s="1"/>
  <c r="BG763" i="1"/>
  <c r="BF763" i="1"/>
  <c r="CI763" i="1" s="1"/>
  <c r="CJ763" i="1" s="1"/>
  <c r="N763" i="1"/>
  <c r="BK1816" i="1"/>
  <c r="BI1816" i="1"/>
  <c r="BH1816" i="1"/>
  <c r="R1816" i="1" s="1"/>
  <c r="Q1816" i="1"/>
  <c r="N1816" i="1"/>
  <c r="BK1519" i="1"/>
  <c r="BI1519" i="1"/>
  <c r="BH1519" i="1"/>
  <c r="R1519" i="1" s="1"/>
  <c r="BG1519" i="1"/>
  <c r="BR1519" i="1" s="1"/>
  <c r="CA1519" i="1" s="1"/>
  <c r="BF1519" i="1"/>
  <c r="BK1424" i="1"/>
  <c r="BI1424" i="1"/>
  <c r="BH1424" i="1"/>
  <c r="R1424" i="1" s="1"/>
  <c r="BG1424" i="1"/>
  <c r="BF1424" i="1"/>
  <c r="N1424" i="1"/>
  <c r="BK1277" i="1"/>
  <c r="BI1277" i="1"/>
  <c r="BH1277" i="1"/>
  <c r="R1277" i="1" s="1"/>
  <c r="BG1277" i="1"/>
  <c r="BF1277" i="1"/>
  <c r="CI1277" i="1" s="1"/>
  <c r="CJ1277" i="1" s="1"/>
  <c r="N1277" i="1"/>
  <c r="BK2911" i="1"/>
  <c r="BI2911" i="1"/>
  <c r="BH2911" i="1"/>
  <c r="R2911" i="1" s="1"/>
  <c r="Q2911" i="1"/>
  <c r="N2911" i="1"/>
  <c r="BK1413" i="1"/>
  <c r="BI1413" i="1"/>
  <c r="BH1413" i="1"/>
  <c r="R1413" i="1" s="1"/>
  <c r="BG1413" i="1"/>
  <c r="BF1413" i="1"/>
  <c r="N1413" i="1"/>
  <c r="BK1346" i="1"/>
  <c r="BI1346" i="1"/>
  <c r="BH1346" i="1"/>
  <c r="R1346" i="1" s="1"/>
  <c r="BG1346" i="1"/>
  <c r="BF1346" i="1"/>
  <c r="CI1346" i="1" s="1"/>
  <c r="CJ1346" i="1" s="1"/>
  <c r="N1346" i="1"/>
  <c r="BK2199" i="1"/>
  <c r="BI2199" i="1"/>
  <c r="BH2199" i="1"/>
  <c r="R2199" i="1" s="1"/>
  <c r="BG2199" i="1"/>
  <c r="BF2199" i="1"/>
  <c r="N2199" i="1"/>
  <c r="BK2194" i="1"/>
  <c r="BI2194" i="1"/>
  <c r="BH2194" i="1"/>
  <c r="R2194" i="1" s="1"/>
  <c r="BG2194" i="1"/>
  <c r="BF2194" i="1"/>
  <c r="CI2194" i="1" s="1"/>
  <c r="CJ2194" i="1" s="1"/>
  <c r="N2194" i="1"/>
  <c r="BK626" i="1"/>
  <c r="BI626" i="1"/>
  <c r="BH626" i="1"/>
  <c r="R626" i="1" s="1"/>
  <c r="BG626" i="1"/>
  <c r="BF626" i="1"/>
  <c r="N626" i="1"/>
  <c r="BK1306" i="1"/>
  <c r="BI1306" i="1"/>
  <c r="BH1306" i="1"/>
  <c r="R1306" i="1" s="1"/>
  <c r="Q1306" i="1"/>
  <c r="N1306" i="1"/>
  <c r="BK2096" i="1"/>
  <c r="BI2096" i="1"/>
  <c r="BH2096" i="1"/>
  <c r="R2096" i="1" s="1"/>
  <c r="BG2096" i="1"/>
  <c r="BR2096" i="1" s="1"/>
  <c r="CA2096" i="1" s="1"/>
  <c r="BF2096" i="1"/>
  <c r="BK2121" i="1"/>
  <c r="BI2121" i="1"/>
  <c r="BH2121" i="1"/>
  <c r="R2121" i="1" s="1"/>
  <c r="BG2121" i="1"/>
  <c r="BF2121" i="1"/>
  <c r="CI2121" i="1" s="1"/>
  <c r="CJ2121" i="1" s="1"/>
  <c r="N2121" i="1"/>
  <c r="BK2908" i="1"/>
  <c r="BI2908" i="1"/>
  <c r="BH2908" i="1"/>
  <c r="R2908" i="1" s="1"/>
  <c r="BG2908" i="1"/>
  <c r="BF2908" i="1"/>
  <c r="CI2908" i="1" s="1"/>
  <c r="CJ2908" i="1" s="1"/>
  <c r="N2908" i="1"/>
  <c r="BK2910" i="1"/>
  <c r="BI2910" i="1"/>
  <c r="BH2910" i="1"/>
  <c r="R2910" i="1" s="1"/>
  <c r="BG2910" i="1"/>
  <c r="BF2910" i="1"/>
  <c r="CI2910" i="1" s="1"/>
  <c r="CJ2910" i="1" s="1"/>
  <c r="N2910" i="1"/>
  <c r="BK776" i="1"/>
  <c r="BI776" i="1"/>
  <c r="BH776" i="1"/>
  <c r="R776" i="1" s="1"/>
  <c r="BG776" i="1"/>
  <c r="BF776" i="1"/>
  <c r="N776" i="1"/>
  <c r="BK477" i="1"/>
  <c r="BI477" i="1"/>
  <c r="BH477" i="1"/>
  <c r="R477" i="1" s="1"/>
  <c r="BG477" i="1"/>
  <c r="BF477" i="1"/>
  <c r="N477" i="1"/>
  <c r="BK495" i="1"/>
  <c r="BI495" i="1"/>
  <c r="BH495" i="1"/>
  <c r="R495" i="1" s="1"/>
  <c r="BG495" i="1"/>
  <c r="BF495" i="1"/>
  <c r="N495" i="1"/>
  <c r="BK2909" i="1"/>
  <c r="BI2909" i="1"/>
  <c r="BH2909" i="1"/>
  <c r="R2909" i="1" s="1"/>
  <c r="BG2909" i="1"/>
  <c r="BF2909" i="1"/>
  <c r="CI2909" i="1" s="1"/>
  <c r="CJ2909" i="1" s="1"/>
  <c r="N2909" i="1"/>
  <c r="BK1372" i="1"/>
  <c r="BI1372" i="1"/>
  <c r="BH1372" i="1"/>
  <c r="R1372" i="1" s="1"/>
  <c r="BG1372" i="1"/>
  <c r="BF1372" i="1"/>
  <c r="N1372" i="1"/>
  <c r="BK734" i="1"/>
  <c r="BI734" i="1"/>
  <c r="BH734" i="1"/>
  <c r="R734" i="1" s="1"/>
  <c r="BG734" i="1"/>
  <c r="BF734" i="1"/>
  <c r="N734" i="1"/>
  <c r="BK603" i="1"/>
  <c r="BI603" i="1"/>
  <c r="BH603" i="1"/>
  <c r="R603" i="1" s="1"/>
  <c r="BG603" i="1"/>
  <c r="BF603" i="1"/>
  <c r="N603" i="1"/>
  <c r="BK2454" i="1"/>
  <c r="BI2454" i="1"/>
  <c r="BH2454" i="1"/>
  <c r="R2454" i="1" s="1"/>
  <c r="BG2454" i="1"/>
  <c r="BR2454" i="1" s="1"/>
  <c r="CA2454" i="1" s="1"/>
  <c r="BF2454" i="1"/>
  <c r="BK1009" i="1"/>
  <c r="BI1009" i="1"/>
  <c r="BH1009" i="1"/>
  <c r="R1009" i="1" s="1"/>
  <c r="Q1009" i="1"/>
  <c r="N1009" i="1"/>
  <c r="BK2907" i="1"/>
  <c r="BI2907" i="1"/>
  <c r="BH2907" i="1"/>
  <c r="R2907" i="1" s="1"/>
  <c r="BG2907" i="1"/>
  <c r="BF2907" i="1"/>
  <c r="N2907" i="1"/>
  <c r="BK655" i="1"/>
  <c r="BI655" i="1"/>
  <c r="BH655" i="1"/>
  <c r="R655" i="1" s="1"/>
  <c r="BG655" i="1"/>
  <c r="BX655" i="1"/>
  <c r="N655" i="1"/>
  <c r="BK1609" i="1"/>
  <c r="BI1609" i="1"/>
  <c r="BH1609" i="1"/>
  <c r="R1609" i="1" s="1"/>
  <c r="BG1609" i="1"/>
  <c r="BF1609" i="1"/>
  <c r="N1609" i="1"/>
  <c r="BK1380" i="1"/>
  <c r="BI1380" i="1"/>
  <c r="BH1380" i="1"/>
  <c r="R1380" i="1" s="1"/>
  <c r="BG1380" i="1"/>
  <c r="BF1380" i="1"/>
  <c r="N1380" i="1"/>
  <c r="BK1834" i="1"/>
  <c r="BI1834" i="1"/>
  <c r="BH1834" i="1"/>
  <c r="R1834" i="1" s="1"/>
  <c r="BG1834" i="1"/>
  <c r="N1834" i="1"/>
  <c r="BK1872" i="1"/>
  <c r="BI1872" i="1"/>
  <c r="BH1872" i="1"/>
  <c r="R1872" i="1" s="1"/>
  <c r="BG1872" i="1"/>
  <c r="BF1872" i="1"/>
  <c r="CI1872" i="1" s="1"/>
  <c r="CJ1872" i="1" s="1"/>
  <c r="N1872" i="1"/>
  <c r="BK1597" i="1"/>
  <c r="BI1597" i="1"/>
  <c r="BH1597" i="1"/>
  <c r="R1597" i="1" s="1"/>
  <c r="Q1597" i="1"/>
  <c r="N1597" i="1"/>
  <c r="BK1357" i="1"/>
  <c r="BI1357" i="1"/>
  <c r="BH1357" i="1"/>
  <c r="R1357" i="1" s="1"/>
  <c r="BG1357" i="1"/>
  <c r="BF1357" i="1"/>
  <c r="N1357" i="1"/>
  <c r="BK779" i="1"/>
  <c r="BI779" i="1"/>
  <c r="BH779" i="1"/>
  <c r="R779" i="1" s="1"/>
  <c r="BG779" i="1"/>
  <c r="BR779" i="1" s="1"/>
  <c r="CA779" i="1" s="1"/>
  <c r="BF779" i="1"/>
  <c r="BK2906" i="1"/>
  <c r="BI2906" i="1"/>
  <c r="BH2906" i="1"/>
  <c r="R2906" i="1" s="1"/>
  <c r="BG2906" i="1"/>
  <c r="BF2906" i="1"/>
  <c r="N2906" i="1"/>
  <c r="BK2905" i="1"/>
  <c r="BI2905" i="1"/>
  <c r="BH2905" i="1"/>
  <c r="R2905" i="1" s="1"/>
  <c r="BG2905" i="1"/>
  <c r="BF2905" i="1"/>
  <c r="CI2905" i="1" s="1"/>
  <c r="CJ2905" i="1" s="1"/>
  <c r="N2905" i="1"/>
  <c r="BK24" i="1"/>
  <c r="BI24" i="1"/>
  <c r="BH24" i="1"/>
  <c r="R24" i="1" s="1"/>
  <c r="BG24" i="1"/>
  <c r="BF24" i="1"/>
  <c r="N24" i="1"/>
  <c r="BK901" i="1"/>
  <c r="BI901" i="1"/>
  <c r="BH901" i="1"/>
  <c r="R901" i="1" s="1"/>
  <c r="BG901" i="1"/>
  <c r="BR901" i="1" s="1"/>
  <c r="CA901" i="1" s="1"/>
  <c r="BF901" i="1"/>
  <c r="BK2598" i="1"/>
  <c r="BI2598" i="1"/>
  <c r="BH2598" i="1"/>
  <c r="R2598" i="1" s="1"/>
  <c r="BG2598" i="1"/>
  <c r="BF2598" i="1"/>
  <c r="N2598" i="1"/>
  <c r="BK2904" i="1"/>
  <c r="BI2904" i="1"/>
  <c r="BH2904" i="1"/>
  <c r="R2904" i="1" s="1"/>
  <c r="Q2904" i="1"/>
  <c r="N2904" i="1"/>
  <c r="BK2903" i="1"/>
  <c r="BI2903" i="1"/>
  <c r="BH2903" i="1"/>
  <c r="R2903" i="1" s="1"/>
  <c r="BG2903" i="1"/>
  <c r="BF2903" i="1"/>
  <c r="N2903" i="1"/>
  <c r="BK1744" i="1"/>
  <c r="BI1744" i="1"/>
  <c r="BH1744" i="1"/>
  <c r="R1744" i="1" s="1"/>
  <c r="BG1744" i="1"/>
  <c r="BF1744" i="1"/>
  <c r="N1744" i="1"/>
  <c r="BK1699" i="1"/>
  <c r="BI1699" i="1"/>
  <c r="BH1699" i="1"/>
  <c r="R1699" i="1" s="1"/>
  <c r="BG1699" i="1"/>
  <c r="BF1699" i="1"/>
  <c r="CI1699" i="1" s="1"/>
  <c r="CJ1699" i="1" s="1"/>
  <c r="N1699" i="1"/>
  <c r="BK2901" i="1"/>
  <c r="BI2901" i="1"/>
  <c r="BH2901" i="1"/>
  <c r="R2901" i="1" s="1"/>
  <c r="Q2901" i="1"/>
  <c r="N2901" i="1"/>
  <c r="BK2902" i="1"/>
  <c r="BI2902" i="1"/>
  <c r="BH2902" i="1"/>
  <c r="R2902" i="1" s="1"/>
  <c r="BG2902" i="1"/>
  <c r="BF2902" i="1"/>
  <c r="N2902" i="1"/>
  <c r="BK1083" i="1"/>
  <c r="BI1083" i="1"/>
  <c r="BH1083" i="1"/>
  <c r="R1083" i="1" s="1"/>
  <c r="BG1083" i="1"/>
  <c r="BR1083" i="1" s="1"/>
  <c r="CA1083" i="1" s="1"/>
  <c r="BF1083" i="1"/>
  <c r="BK1367" i="1"/>
  <c r="BI1367" i="1"/>
  <c r="BH1367" i="1"/>
  <c r="R1367" i="1" s="1"/>
  <c r="BG1367" i="1"/>
  <c r="BF1367" i="1"/>
  <c r="CI1367" i="1" s="1"/>
  <c r="CJ1367" i="1" s="1"/>
  <c r="N1367" i="1"/>
  <c r="BK767" i="1"/>
  <c r="BI767" i="1"/>
  <c r="BH767" i="1"/>
  <c r="R767" i="1" s="1"/>
  <c r="BG767" i="1"/>
  <c r="BF767" i="1"/>
  <c r="N767" i="1"/>
  <c r="BK2386" i="1"/>
  <c r="BI2386" i="1"/>
  <c r="BH2386" i="1"/>
  <c r="R2386" i="1" s="1"/>
  <c r="BG2386" i="1"/>
  <c r="BF2386" i="1"/>
  <c r="N2386" i="1"/>
  <c r="BK2190" i="1"/>
  <c r="BI2190" i="1"/>
  <c r="BH2190" i="1"/>
  <c r="R2190" i="1" s="1"/>
  <c r="BG2190" i="1"/>
  <c r="BR2190" i="1" s="1"/>
  <c r="CA2190" i="1" s="1"/>
  <c r="BF2190" i="1"/>
  <c r="BK1636" i="1"/>
  <c r="BI1636" i="1"/>
  <c r="BH1636" i="1"/>
  <c r="R1636" i="1" s="1"/>
  <c r="BG1636" i="1"/>
  <c r="BX1636" i="1"/>
  <c r="N1636" i="1"/>
  <c r="BK736" i="1"/>
  <c r="BI736" i="1"/>
  <c r="BH736" i="1"/>
  <c r="R736" i="1" s="1"/>
  <c r="BG736" i="1"/>
  <c r="BF736" i="1"/>
  <c r="N736" i="1"/>
  <c r="BK1908" i="1"/>
  <c r="BI1908" i="1"/>
  <c r="BH1908" i="1"/>
  <c r="R1908" i="1" s="1"/>
  <c r="Q1908" i="1"/>
  <c r="N1908" i="1"/>
  <c r="BK1551" i="1"/>
  <c r="BI1551" i="1"/>
  <c r="BH1551" i="1"/>
  <c r="R1551" i="1" s="1"/>
  <c r="BG1551" i="1"/>
  <c r="BF1551" i="1"/>
  <c r="CI1551" i="1" s="1"/>
  <c r="CJ1551" i="1" s="1"/>
  <c r="N1551" i="1"/>
  <c r="BK2900" i="1"/>
  <c r="BI2900" i="1"/>
  <c r="BH2900" i="1"/>
  <c r="R2900" i="1" s="1"/>
  <c r="BG2900" i="1"/>
  <c r="BF2900" i="1"/>
  <c r="N2900" i="1"/>
  <c r="BK105" i="1"/>
  <c r="BI105" i="1"/>
  <c r="BH105" i="1"/>
  <c r="R105" i="1" s="1"/>
  <c r="BG105" i="1"/>
  <c r="BF105" i="1"/>
  <c r="N105" i="1"/>
  <c r="BK2540" i="1"/>
  <c r="BI2540" i="1"/>
  <c r="BH2540" i="1"/>
  <c r="R2540" i="1" s="1"/>
  <c r="BG2540" i="1"/>
  <c r="BF2540" i="1"/>
  <c r="N2540" i="1"/>
  <c r="BK1759" i="1"/>
  <c r="BI1759" i="1"/>
  <c r="BH1759" i="1"/>
  <c r="R1759" i="1" s="1"/>
  <c r="BG1759" i="1"/>
  <c r="BF1759" i="1"/>
  <c r="CI1759" i="1" s="1"/>
  <c r="CJ1759" i="1" s="1"/>
  <c r="N1759" i="1"/>
  <c r="BK144" i="1"/>
  <c r="BI144" i="1"/>
  <c r="BH144" i="1"/>
  <c r="R144" i="1" s="1"/>
  <c r="BG144" i="1"/>
  <c r="BF144" i="1"/>
  <c r="CI144" i="1" s="1"/>
  <c r="CJ144" i="1" s="1"/>
  <c r="N144" i="1"/>
  <c r="BK476" i="1"/>
  <c r="BI476" i="1"/>
  <c r="BH476" i="1"/>
  <c r="R476" i="1" s="1"/>
  <c r="Q476" i="1"/>
  <c r="N476" i="1"/>
  <c r="BK1140" i="1"/>
  <c r="BI1140" i="1"/>
  <c r="BH1140" i="1"/>
  <c r="R1140" i="1" s="1"/>
  <c r="BG1140" i="1"/>
  <c r="BR1140" i="1" s="1"/>
  <c r="CA1140" i="1" s="1"/>
  <c r="BF1140" i="1"/>
  <c r="BK1011" i="1"/>
  <c r="BI1011" i="1"/>
  <c r="BH1011" i="1"/>
  <c r="R1011" i="1" s="1"/>
  <c r="Q1011" i="1"/>
  <c r="N1011" i="1"/>
  <c r="BK2899" i="1"/>
  <c r="BI2899" i="1"/>
  <c r="BH2899" i="1"/>
  <c r="R2899" i="1" s="1"/>
  <c r="BG2899" i="1"/>
  <c r="BF2899" i="1"/>
  <c r="N2899" i="1"/>
  <c r="BK188" i="1"/>
  <c r="BI188" i="1"/>
  <c r="BH188" i="1"/>
  <c r="R188" i="1" s="1"/>
  <c r="BG188" i="1"/>
  <c r="BF188" i="1"/>
  <c r="N188" i="1"/>
  <c r="BK287" i="1"/>
  <c r="BI287" i="1"/>
  <c r="BH287" i="1"/>
  <c r="R287" i="1" s="1"/>
  <c r="BG287" i="1"/>
  <c r="BF287" i="1"/>
  <c r="N287" i="1"/>
  <c r="BK694" i="1"/>
  <c r="BI694" i="1"/>
  <c r="BH694" i="1"/>
  <c r="R694" i="1" s="1"/>
  <c r="BG694" i="1"/>
  <c r="BF694" i="1"/>
  <c r="N694" i="1"/>
  <c r="BK1399" i="1"/>
  <c r="BI1399" i="1"/>
  <c r="BH1399" i="1"/>
  <c r="R1399" i="1" s="1"/>
  <c r="BG1399" i="1"/>
  <c r="BF1399" i="1"/>
  <c r="N1399" i="1"/>
  <c r="BK1005" i="1"/>
  <c r="BI1005" i="1"/>
  <c r="BH1005" i="1"/>
  <c r="R1005" i="1" s="1"/>
  <c r="BG1005" i="1"/>
  <c r="BF1005" i="1"/>
  <c r="N1005" i="1"/>
  <c r="BK1308" i="1"/>
  <c r="BI1308" i="1"/>
  <c r="BH1308" i="1"/>
  <c r="R1308" i="1" s="1"/>
  <c r="BG1308" i="1"/>
  <c r="BF1308" i="1"/>
  <c r="CI1308" i="1" s="1"/>
  <c r="CJ1308" i="1" s="1"/>
  <c r="N1308" i="1"/>
  <c r="BK1791" i="1"/>
  <c r="BI1791" i="1"/>
  <c r="BH1791" i="1"/>
  <c r="R1791" i="1" s="1"/>
  <c r="BG1791" i="1"/>
  <c r="BR1791" i="1" s="1"/>
  <c r="CA1791" i="1" s="1"/>
  <c r="BF1791" i="1"/>
  <c r="BK980" i="1"/>
  <c r="BI980" i="1"/>
  <c r="BH980" i="1"/>
  <c r="R980" i="1" s="1"/>
  <c r="BG980" i="1"/>
  <c r="BR980" i="1" s="1"/>
  <c r="CA980" i="1" s="1"/>
  <c r="BF980" i="1"/>
  <c r="BK2898" i="1"/>
  <c r="BI2898" i="1"/>
  <c r="BH2898" i="1"/>
  <c r="R2898" i="1" s="1"/>
  <c r="BG2898" i="1"/>
  <c r="BF2898" i="1"/>
  <c r="CI2898" i="1" s="1"/>
  <c r="CJ2898" i="1" s="1"/>
  <c r="N2898" i="1"/>
  <c r="BK1959" i="1"/>
  <c r="BI1959" i="1"/>
  <c r="BH1959" i="1"/>
  <c r="R1959" i="1" s="1"/>
  <c r="Q1959" i="1"/>
  <c r="N1959" i="1"/>
  <c r="BK535" i="1"/>
  <c r="BI535" i="1"/>
  <c r="BH535" i="1"/>
  <c r="R535" i="1" s="1"/>
  <c r="BU535" i="1" s="1"/>
  <c r="BW535" i="1" s="1"/>
  <c r="BG535" i="1"/>
  <c r="BK1621" i="1"/>
  <c r="BI1621" i="1"/>
  <c r="BH1621" i="1"/>
  <c r="R1621" i="1" s="1"/>
  <c r="BG1621" i="1"/>
  <c r="BF1621" i="1"/>
  <c r="N1621" i="1"/>
  <c r="BK1755" i="1"/>
  <c r="BI1755" i="1"/>
  <c r="BH1755" i="1"/>
  <c r="R1755" i="1" s="1"/>
  <c r="BG1755" i="1"/>
  <c r="BR1755" i="1" s="1"/>
  <c r="CA1755" i="1" s="1"/>
  <c r="BF1755" i="1"/>
  <c r="BK1511" i="1"/>
  <c r="BI1511" i="1"/>
  <c r="BH1511" i="1"/>
  <c r="R1511" i="1" s="1"/>
  <c r="BG1511" i="1"/>
  <c r="BF1511" i="1"/>
  <c r="N1511" i="1"/>
  <c r="BK2272" i="1"/>
  <c r="BI2272" i="1"/>
  <c r="BH2272" i="1"/>
  <c r="R2272" i="1" s="1"/>
  <c r="BG2272" i="1"/>
  <c r="BF2272" i="1"/>
  <c r="CI2272" i="1" s="1"/>
  <c r="CJ2272" i="1" s="1"/>
  <c r="N2272" i="1"/>
  <c r="BK307" i="1"/>
  <c r="BI307" i="1"/>
  <c r="BH307" i="1"/>
  <c r="R307" i="1" s="1"/>
  <c r="BG307" i="1"/>
  <c r="BF307" i="1"/>
  <c r="CI307" i="1" s="1"/>
  <c r="CJ307" i="1" s="1"/>
  <c r="N307" i="1"/>
  <c r="BK696" i="1"/>
  <c r="BI696" i="1"/>
  <c r="BH696" i="1"/>
  <c r="R696" i="1" s="1"/>
  <c r="BG696" i="1"/>
  <c r="BF696" i="1"/>
  <c r="N696" i="1"/>
  <c r="BK1577" i="1"/>
  <c r="BI1577" i="1"/>
  <c r="BH1577" i="1"/>
  <c r="R1577" i="1" s="1"/>
  <c r="BG1577" i="1"/>
  <c r="BF1577" i="1"/>
  <c r="CI1577" i="1" s="1"/>
  <c r="CJ1577" i="1" s="1"/>
  <c r="N1577" i="1"/>
  <c r="BK2084" i="1"/>
  <c r="BI2084" i="1"/>
  <c r="BH2084" i="1"/>
  <c r="R2084" i="1" s="1"/>
  <c r="Q2084" i="1"/>
  <c r="BK1248" i="1"/>
  <c r="BI1248" i="1"/>
  <c r="BH1248" i="1"/>
  <c r="R1248" i="1" s="1"/>
  <c r="BG1248" i="1"/>
  <c r="N1248" i="1"/>
  <c r="BK2897" i="1"/>
  <c r="BI2897" i="1"/>
  <c r="BH2897" i="1"/>
  <c r="R2897" i="1" s="1"/>
  <c r="BG2897" i="1"/>
  <c r="BF2897" i="1"/>
  <c r="CI2897" i="1" s="1"/>
  <c r="CJ2897" i="1" s="1"/>
  <c r="N2897" i="1"/>
  <c r="BK2896" i="1"/>
  <c r="BI2896" i="1"/>
  <c r="BH2896" i="1"/>
  <c r="R2896" i="1" s="1"/>
  <c r="BG2896" i="1"/>
  <c r="BF2896" i="1"/>
  <c r="N2896" i="1"/>
  <c r="BK1992" i="1"/>
  <c r="BI1992" i="1"/>
  <c r="BH1992" i="1"/>
  <c r="R1992" i="1" s="1"/>
  <c r="BG1992" i="1"/>
  <c r="BR1992" i="1" s="1"/>
  <c r="CA1992" i="1" s="1"/>
  <c r="BF1992" i="1"/>
  <c r="BK1984" i="1"/>
  <c r="BI1984" i="1"/>
  <c r="BH1984" i="1"/>
  <c r="R1984" i="1" s="1"/>
  <c r="BG1984" i="1"/>
  <c r="N1984" i="1"/>
  <c r="BK2895" i="1"/>
  <c r="BI2895" i="1"/>
  <c r="BH2895" i="1"/>
  <c r="R2895" i="1" s="1"/>
  <c r="Q2895" i="1"/>
  <c r="N2895" i="1"/>
  <c r="BK1317" i="1"/>
  <c r="BI1317" i="1"/>
  <c r="BH1317" i="1"/>
  <c r="R1317" i="1" s="1"/>
  <c r="BG1317" i="1"/>
  <c r="BR1317" i="1" s="1"/>
  <c r="CA1317" i="1" s="1"/>
  <c r="BF1317" i="1"/>
  <c r="BK1726" i="1"/>
  <c r="BI1726" i="1"/>
  <c r="BH1726" i="1"/>
  <c r="R1726" i="1" s="1"/>
  <c r="BU1726" i="1" s="1"/>
  <c r="BW1726" i="1" s="1"/>
  <c r="BG1726" i="1"/>
  <c r="N1726" i="1"/>
  <c r="BK1422" i="1"/>
  <c r="BI1422" i="1"/>
  <c r="BH1422" i="1"/>
  <c r="R1422" i="1" s="1"/>
  <c r="BG1422" i="1"/>
  <c r="BF1422" i="1"/>
  <c r="N1422" i="1"/>
  <c r="BK2081" i="1"/>
  <c r="BI2081" i="1"/>
  <c r="BH2081" i="1"/>
  <c r="R2081" i="1" s="1"/>
  <c r="BG2081" i="1"/>
  <c r="BF2081" i="1"/>
  <c r="N2081" i="1"/>
  <c r="BK1118" i="1"/>
  <c r="BI1118" i="1"/>
  <c r="BH1118" i="1"/>
  <c r="R1118" i="1" s="1"/>
  <c r="BG1118" i="1"/>
  <c r="BF1118" i="1"/>
  <c r="CI1118" i="1" s="1"/>
  <c r="CJ1118" i="1" s="1"/>
  <c r="N1118" i="1"/>
  <c r="BK1682" i="1"/>
  <c r="BI1682" i="1"/>
  <c r="BH1682" i="1"/>
  <c r="R1682" i="1" s="1"/>
  <c r="BG1682" i="1"/>
  <c r="BX1682" i="1"/>
  <c r="N1682" i="1"/>
  <c r="BK2189" i="1"/>
  <c r="BI2189" i="1"/>
  <c r="BH2189" i="1"/>
  <c r="R2189" i="1" s="1"/>
  <c r="BG2189" i="1"/>
  <c r="BF2189" i="1"/>
  <c r="CI2189" i="1" s="1"/>
  <c r="CJ2189" i="1" s="1"/>
  <c r="N2189" i="1"/>
  <c r="BK294" i="1"/>
  <c r="BI294" i="1"/>
  <c r="BH294" i="1"/>
  <c r="R294" i="1" s="1"/>
  <c r="BG294" i="1"/>
  <c r="BR294" i="1" s="1"/>
  <c r="CA294" i="1" s="1"/>
  <c r="BF294" i="1"/>
  <c r="BK352" i="1"/>
  <c r="BI352" i="1"/>
  <c r="BH352" i="1"/>
  <c r="R352" i="1" s="1"/>
  <c r="BG352" i="1"/>
  <c r="BF352" i="1"/>
  <c r="N352" i="1"/>
  <c r="BK1901" i="1"/>
  <c r="BI1901" i="1"/>
  <c r="BH1901" i="1"/>
  <c r="R1901" i="1" s="1"/>
  <c r="BG1901" i="1"/>
  <c r="BF1901" i="1"/>
  <c r="N1901" i="1"/>
  <c r="BK2293" i="1"/>
  <c r="BI2293" i="1"/>
  <c r="BH2293" i="1"/>
  <c r="R2293" i="1" s="1"/>
  <c r="BG2293" i="1"/>
  <c r="BF2293" i="1"/>
  <c r="CI2293" i="1" s="1"/>
  <c r="CJ2293" i="1" s="1"/>
  <c r="N2293" i="1"/>
  <c r="BK1135" i="1"/>
  <c r="BI1135" i="1"/>
  <c r="BH1135" i="1"/>
  <c r="R1135" i="1" s="1"/>
  <c r="BG1135" i="1"/>
  <c r="BF1135" i="1"/>
  <c r="N1135" i="1"/>
  <c r="BK7" i="1"/>
  <c r="BI7" i="1"/>
  <c r="BH7" i="1"/>
  <c r="R7" i="1" s="1"/>
  <c r="BG7" i="1"/>
  <c r="BF7" i="1"/>
  <c r="N7" i="1"/>
  <c r="BK469" i="1"/>
  <c r="BI469" i="1"/>
  <c r="BH469" i="1"/>
  <c r="R469" i="1" s="1"/>
  <c r="BG469" i="1"/>
  <c r="BF469" i="1"/>
  <c r="N469" i="1"/>
  <c r="BK358" i="1"/>
  <c r="BI358" i="1"/>
  <c r="BH358" i="1"/>
  <c r="R358" i="1" s="1"/>
  <c r="BG358" i="1"/>
  <c r="BF358" i="1"/>
  <c r="N358" i="1"/>
  <c r="BK2894" i="1"/>
  <c r="BI2894" i="1"/>
  <c r="BH2894" i="1"/>
  <c r="R2894" i="1" s="1"/>
  <c r="BG2894" i="1"/>
  <c r="BF2894" i="1"/>
  <c r="CI2894" i="1" s="1"/>
  <c r="CJ2894" i="1" s="1"/>
  <c r="N2894" i="1"/>
  <c r="BK756" i="1"/>
  <c r="BI756" i="1"/>
  <c r="BH756" i="1"/>
  <c r="R756" i="1" s="1"/>
  <c r="BG756" i="1"/>
  <c r="BF756" i="1"/>
  <c r="CI756" i="1" s="1"/>
  <c r="CJ756" i="1" s="1"/>
  <c r="N756" i="1"/>
  <c r="BK557" i="1"/>
  <c r="BI557" i="1"/>
  <c r="BH557" i="1"/>
  <c r="R557" i="1" s="1"/>
  <c r="BG557" i="1"/>
  <c r="BF557" i="1"/>
  <c r="CI557" i="1" s="1"/>
  <c r="CJ557" i="1" s="1"/>
  <c r="N557" i="1"/>
  <c r="BK1175" i="1"/>
  <c r="BI1175" i="1"/>
  <c r="BH1175" i="1"/>
  <c r="R1175" i="1" s="1"/>
  <c r="BG1175" i="1"/>
  <c r="BR1175" i="1" s="1"/>
  <c r="CA1175" i="1" s="1"/>
  <c r="BF1175" i="1"/>
  <c r="BK202" i="1"/>
  <c r="BI202" i="1"/>
  <c r="BH202" i="1"/>
  <c r="R202" i="1" s="1"/>
  <c r="BG202" i="1"/>
  <c r="BF202" i="1"/>
  <c r="N202" i="1"/>
  <c r="BK1340" i="1"/>
  <c r="BI1340" i="1"/>
  <c r="BH1340" i="1"/>
  <c r="R1340" i="1" s="1"/>
  <c r="BG1340" i="1"/>
  <c r="BR1340" i="1" s="1"/>
  <c r="CA1340" i="1" s="1"/>
  <c r="BF1340" i="1"/>
  <c r="BK2893" i="1"/>
  <c r="BI2893" i="1"/>
  <c r="BH2893" i="1"/>
  <c r="R2893" i="1" s="1"/>
  <c r="BG2893" i="1"/>
  <c r="BF2893" i="1"/>
  <c r="N2893" i="1"/>
  <c r="BK1678" i="1"/>
  <c r="BI1678" i="1"/>
  <c r="BH1678" i="1"/>
  <c r="R1678" i="1" s="1"/>
  <c r="BG1678" i="1"/>
  <c r="BF1678" i="1"/>
  <c r="N1678" i="1"/>
  <c r="BK2358" i="1"/>
  <c r="BI2358" i="1"/>
  <c r="BH2358" i="1"/>
  <c r="R2358" i="1" s="1"/>
  <c r="BG2358" i="1"/>
  <c r="BR2358" i="1" s="1"/>
  <c r="CA2358" i="1" s="1"/>
  <c r="BF2358" i="1"/>
  <c r="BK2891" i="1"/>
  <c r="BI2891" i="1"/>
  <c r="BH2891" i="1"/>
  <c r="R2891" i="1" s="1"/>
  <c r="BG2891" i="1"/>
  <c r="BF2891" i="1"/>
  <c r="N2891" i="1"/>
  <c r="BK2890" i="1"/>
  <c r="BI2890" i="1"/>
  <c r="BH2890" i="1"/>
  <c r="R2890" i="1" s="1"/>
  <c r="BG2890" i="1"/>
  <c r="BF2890" i="1"/>
  <c r="CI2890" i="1" s="1"/>
  <c r="CJ2890" i="1" s="1"/>
  <c r="N2890" i="1"/>
  <c r="BK2889" i="1"/>
  <c r="BI2889" i="1"/>
  <c r="BH2889" i="1"/>
  <c r="R2889" i="1" s="1"/>
  <c r="BG2889" i="1"/>
  <c r="BF2889" i="1"/>
  <c r="CI2889" i="1" s="1"/>
  <c r="CJ2889" i="1" s="1"/>
  <c r="N2889" i="1"/>
  <c r="BK467" i="1"/>
  <c r="BI467" i="1"/>
  <c r="BH467" i="1"/>
  <c r="R467" i="1" s="1"/>
  <c r="BG467" i="1"/>
  <c r="BF467" i="1"/>
  <c r="N467" i="1"/>
  <c r="BK1443" i="1"/>
  <c r="BI1443" i="1"/>
  <c r="BH1443" i="1"/>
  <c r="R1443" i="1" s="1"/>
  <c r="BG1443" i="1"/>
  <c r="BF1443" i="1"/>
  <c r="N1443" i="1"/>
  <c r="BK196" i="1"/>
  <c r="BI196" i="1"/>
  <c r="BH196" i="1"/>
  <c r="R196" i="1" s="1"/>
  <c r="BG196" i="1"/>
  <c r="BF196" i="1"/>
  <c r="N196" i="1"/>
  <c r="BK1032" i="1"/>
  <c r="BI1032" i="1"/>
  <c r="BH1032" i="1"/>
  <c r="R1032" i="1" s="1"/>
  <c r="BG1032" i="1"/>
  <c r="BF1032" i="1"/>
  <c r="N1032" i="1"/>
  <c r="BK631" i="1"/>
  <c r="BI631" i="1"/>
  <c r="BH631" i="1"/>
  <c r="R631" i="1" s="1"/>
  <c r="BG631" i="1"/>
  <c r="BX631" i="1"/>
  <c r="N631" i="1"/>
  <c r="BK1542" i="1"/>
  <c r="BI1542" i="1"/>
  <c r="BH1542" i="1"/>
  <c r="R1542" i="1" s="1"/>
  <c r="BG1542" i="1"/>
  <c r="BF1542" i="1"/>
  <c r="N1542" i="1"/>
  <c r="BK384" i="1"/>
  <c r="BI384" i="1"/>
  <c r="BH384" i="1"/>
  <c r="R384" i="1" s="1"/>
  <c r="BG384" i="1"/>
  <c r="BF384" i="1"/>
  <c r="N384" i="1"/>
  <c r="BK910" i="1"/>
  <c r="BI910" i="1"/>
  <c r="BH910" i="1"/>
  <c r="R910" i="1" s="1"/>
  <c r="BG910" i="1"/>
  <c r="BX910" i="1"/>
  <c r="N910" i="1"/>
  <c r="BK2888" i="1"/>
  <c r="BI2888" i="1"/>
  <c r="BH2888" i="1"/>
  <c r="R2888" i="1" s="1"/>
  <c r="BG2888" i="1"/>
  <c r="BF2888" i="1"/>
  <c r="N2888" i="1"/>
  <c r="BK1705" i="1"/>
  <c r="BI1705" i="1"/>
  <c r="BH1705" i="1"/>
  <c r="R1705" i="1" s="1"/>
  <c r="BG1705" i="1"/>
  <c r="BF1705" i="1"/>
  <c r="N1705" i="1"/>
  <c r="BK1811" i="1"/>
  <c r="BI1811" i="1"/>
  <c r="BH1811" i="1"/>
  <c r="R1811" i="1" s="1"/>
  <c r="BG1811" i="1"/>
  <c r="BR1811" i="1" s="1"/>
  <c r="CA1811" i="1" s="1"/>
  <c r="BF1811" i="1"/>
  <c r="BK2887" i="1"/>
  <c r="BI2887" i="1"/>
  <c r="BH2887" i="1"/>
  <c r="R2887" i="1" s="1"/>
  <c r="Q2887" i="1"/>
  <c r="N2887" i="1"/>
  <c r="BK709" i="1"/>
  <c r="BI709" i="1"/>
  <c r="BH709" i="1"/>
  <c r="R709" i="1" s="1"/>
  <c r="BU709" i="1" s="1"/>
  <c r="BW709" i="1" s="1"/>
  <c r="BG709" i="1"/>
  <c r="N709" i="1"/>
  <c r="BK1086" i="1"/>
  <c r="BI1086" i="1"/>
  <c r="BH1086" i="1"/>
  <c r="R1086" i="1" s="1"/>
  <c r="BG1086" i="1"/>
  <c r="BF1086" i="1"/>
  <c r="N1086" i="1"/>
  <c r="BK1394" i="1"/>
  <c r="BI1394" i="1"/>
  <c r="BH1394" i="1"/>
  <c r="R1394" i="1" s="1"/>
  <c r="BG1394" i="1"/>
  <c r="BF1394" i="1"/>
  <c r="N1394" i="1"/>
  <c r="BK2036" i="1"/>
  <c r="BI2036" i="1"/>
  <c r="BH2036" i="1"/>
  <c r="R2036" i="1" s="1"/>
  <c r="BG2036" i="1"/>
  <c r="BF2036" i="1"/>
  <c r="CI2036" i="1" s="1"/>
  <c r="CJ2036" i="1" s="1"/>
  <c r="N2036" i="1"/>
  <c r="BK1564" i="1"/>
  <c r="BI1564" i="1"/>
  <c r="BH1564" i="1"/>
  <c r="R1564" i="1" s="1"/>
  <c r="BG1564" i="1"/>
  <c r="BF1564" i="1"/>
  <c r="CI1564" i="1" s="1"/>
  <c r="CJ1564" i="1" s="1"/>
  <c r="N1564" i="1"/>
  <c r="BK2233" i="1"/>
  <c r="BI2233" i="1"/>
  <c r="BH2233" i="1"/>
  <c r="R2233" i="1" s="1"/>
  <c r="BG2233" i="1"/>
  <c r="BF2233" i="1"/>
  <c r="N2233" i="1"/>
  <c r="BK2110" i="1"/>
  <c r="BI2110" i="1"/>
  <c r="BH2110" i="1"/>
  <c r="R2110" i="1" s="1"/>
  <c r="BG2110" i="1"/>
  <c r="BF2110" i="1"/>
  <c r="N2110" i="1"/>
  <c r="BK2115" i="1"/>
  <c r="BI2115" i="1"/>
  <c r="BH2115" i="1"/>
  <c r="R2115" i="1" s="1"/>
  <c r="BG2115" i="1"/>
  <c r="BF2115" i="1"/>
  <c r="N2115" i="1"/>
  <c r="BK2885" i="1"/>
  <c r="BI2885" i="1"/>
  <c r="BH2885" i="1"/>
  <c r="R2885" i="1" s="1"/>
  <c r="Q2885" i="1"/>
  <c r="N2885" i="1"/>
  <c r="BK2886" i="1"/>
  <c r="BI2886" i="1"/>
  <c r="BH2886" i="1"/>
  <c r="R2886" i="1" s="1"/>
  <c r="Q2886" i="1"/>
  <c r="N2886" i="1"/>
  <c r="BK630" i="1"/>
  <c r="BI630" i="1"/>
  <c r="BH630" i="1"/>
  <c r="R630" i="1" s="1"/>
  <c r="BG630" i="1"/>
  <c r="BR630" i="1" s="1"/>
  <c r="CA630" i="1" s="1"/>
  <c r="BF630" i="1"/>
  <c r="BK455" i="1"/>
  <c r="BI455" i="1"/>
  <c r="BH455" i="1"/>
  <c r="R455" i="1" s="1"/>
  <c r="BG455" i="1"/>
  <c r="BF455" i="1"/>
  <c r="N455" i="1"/>
  <c r="BK633" i="1"/>
  <c r="BI633" i="1"/>
  <c r="BH633" i="1"/>
  <c r="R633" i="1" s="1"/>
  <c r="BG633" i="1"/>
  <c r="BF633" i="1"/>
  <c r="N633" i="1"/>
  <c r="BK1163" i="1"/>
  <c r="BI1163" i="1"/>
  <c r="BH1163" i="1"/>
  <c r="R1163" i="1" s="1"/>
  <c r="BG1163" i="1"/>
  <c r="BF1163" i="1"/>
  <c r="N1163" i="1"/>
  <c r="BK155" i="1"/>
  <c r="BI155" i="1"/>
  <c r="BH155" i="1"/>
  <c r="R155" i="1" s="1"/>
  <c r="BG155" i="1"/>
  <c r="BF155" i="1"/>
  <c r="N155" i="1"/>
  <c r="BK1123" i="1"/>
  <c r="BI1123" i="1"/>
  <c r="BH1123" i="1"/>
  <c r="R1123" i="1" s="1"/>
  <c r="BG1123" i="1"/>
  <c r="BF1123" i="1"/>
  <c r="N1123" i="1"/>
  <c r="BK1700" i="1"/>
  <c r="BI1700" i="1"/>
  <c r="BH1700" i="1"/>
  <c r="R1700" i="1" s="1"/>
  <c r="BG1700" i="1"/>
  <c r="BF1700" i="1"/>
  <c r="CI1700" i="1" s="1"/>
  <c r="CJ1700" i="1" s="1"/>
  <c r="N1700" i="1"/>
  <c r="BK2251" i="1"/>
  <c r="BI2251" i="1"/>
  <c r="BH2251" i="1"/>
  <c r="R2251" i="1" s="1"/>
  <c r="BG2251" i="1"/>
  <c r="BR2251" i="1" s="1"/>
  <c r="CA2251" i="1" s="1"/>
  <c r="BF2251" i="1"/>
  <c r="BK2884" i="1"/>
  <c r="BI2884" i="1"/>
  <c r="BH2884" i="1"/>
  <c r="R2884" i="1" s="1"/>
  <c r="BG2884" i="1"/>
  <c r="BF2884" i="1"/>
  <c r="CI2884" i="1" s="1"/>
  <c r="CJ2884" i="1" s="1"/>
  <c r="N2884" i="1"/>
  <c r="BK2214" i="1"/>
  <c r="BI2214" i="1"/>
  <c r="BH2214" i="1"/>
  <c r="R2214" i="1" s="1"/>
  <c r="BG2214" i="1"/>
  <c r="BF2214" i="1"/>
  <c r="N2214" i="1"/>
  <c r="BK1950" i="1"/>
  <c r="BI1950" i="1"/>
  <c r="BH1950" i="1"/>
  <c r="R1950" i="1" s="1"/>
  <c r="BG1950" i="1"/>
  <c r="BF1950" i="1"/>
  <c r="N1950" i="1"/>
  <c r="BK2883" i="1"/>
  <c r="BI2883" i="1"/>
  <c r="BH2883" i="1"/>
  <c r="R2883" i="1" s="1"/>
  <c r="BG2883" i="1"/>
  <c r="BF2883" i="1"/>
  <c r="CI2883" i="1" s="1"/>
  <c r="CJ2883" i="1" s="1"/>
  <c r="N2883" i="1"/>
  <c r="BK372" i="1"/>
  <c r="BI372" i="1"/>
  <c r="BH372" i="1"/>
  <c r="R372" i="1" s="1"/>
  <c r="BG372" i="1"/>
  <c r="BF372" i="1"/>
  <c r="CI372" i="1" s="1"/>
  <c r="CJ372" i="1" s="1"/>
  <c r="N372" i="1"/>
  <c r="BK1224" i="1"/>
  <c r="BI1224" i="1"/>
  <c r="BH1224" i="1"/>
  <c r="R1224" i="1" s="1"/>
  <c r="BG1224" i="1"/>
  <c r="BF1224" i="1"/>
  <c r="N1224" i="1"/>
  <c r="BK2503" i="1"/>
  <c r="BI2503" i="1"/>
  <c r="BH2503" i="1"/>
  <c r="R2503" i="1" s="1"/>
  <c r="BG2503" i="1"/>
  <c r="BF2503" i="1"/>
  <c r="CI2503" i="1" s="1"/>
  <c r="CJ2503" i="1" s="1"/>
  <c r="N2503" i="1"/>
  <c r="BK2405" i="1"/>
  <c r="BI2405" i="1"/>
  <c r="BH2405" i="1"/>
  <c r="R2405" i="1" s="1"/>
  <c r="BG2405" i="1"/>
  <c r="BF2405" i="1"/>
  <c r="N2405" i="1"/>
  <c r="BK1508" i="1"/>
  <c r="BI1508" i="1"/>
  <c r="BH1508" i="1"/>
  <c r="R1508" i="1" s="1"/>
  <c r="BG1508" i="1"/>
  <c r="BF1508" i="1"/>
  <c r="N1508" i="1"/>
  <c r="BK2882" i="1"/>
  <c r="BI2882" i="1"/>
  <c r="BH2882" i="1"/>
  <c r="R2882" i="1" s="1"/>
  <c r="BG2882" i="1"/>
  <c r="BF2882" i="1"/>
  <c r="N2882" i="1"/>
  <c r="BK2488" i="1"/>
  <c r="BI2488" i="1"/>
  <c r="BH2488" i="1"/>
  <c r="R2488" i="1" s="1"/>
  <c r="BG2488" i="1"/>
  <c r="BF2488" i="1"/>
  <c r="N2488" i="1"/>
  <c r="BK2881" i="1"/>
  <c r="BI2881" i="1"/>
  <c r="BH2881" i="1"/>
  <c r="R2881" i="1" s="1"/>
  <c r="BG2881" i="1"/>
  <c r="BF2881" i="1"/>
  <c r="CI2881" i="1" s="1"/>
  <c r="CJ2881" i="1" s="1"/>
  <c r="N2881" i="1"/>
  <c r="BK2350" i="1"/>
  <c r="BI2350" i="1"/>
  <c r="BH2350" i="1"/>
  <c r="R2350" i="1" s="1"/>
  <c r="BG2350" i="1"/>
  <c r="BF2350" i="1"/>
  <c r="CI2350" i="1" s="1"/>
  <c r="CJ2350" i="1" s="1"/>
  <c r="N2350" i="1"/>
  <c r="BK1321" i="1"/>
  <c r="BI1321" i="1"/>
  <c r="BH1321" i="1"/>
  <c r="R1321" i="1" s="1"/>
  <c r="BG1321" i="1"/>
  <c r="N1321" i="1"/>
  <c r="BK18" i="1"/>
  <c r="BI18" i="1"/>
  <c r="BH18" i="1"/>
  <c r="R18" i="1" s="1"/>
  <c r="BG18" i="1"/>
  <c r="BR18" i="1" s="1"/>
  <c r="CA18" i="1" s="1"/>
  <c r="BF18" i="1"/>
  <c r="BK2880" i="1"/>
  <c r="BI2880" i="1"/>
  <c r="BH2880" i="1"/>
  <c r="R2880" i="1" s="1"/>
  <c r="BG2880" i="1"/>
  <c r="BF2880" i="1"/>
  <c r="N2880" i="1"/>
  <c r="BK2879" i="1"/>
  <c r="BI2879" i="1"/>
  <c r="BH2879" i="1"/>
  <c r="R2879" i="1" s="1"/>
  <c r="BG2879" i="1"/>
  <c r="BF2879" i="1"/>
  <c r="CI2879" i="1" s="1"/>
  <c r="CJ2879" i="1" s="1"/>
  <c r="N2879" i="1"/>
  <c r="BK2602" i="1"/>
  <c r="BI2602" i="1"/>
  <c r="BH2602" i="1"/>
  <c r="R2602" i="1" s="1"/>
  <c r="Q2602" i="1"/>
  <c r="N2602" i="1"/>
  <c r="BK2878" i="1"/>
  <c r="BI2878" i="1"/>
  <c r="BH2878" i="1"/>
  <c r="R2878" i="1" s="1"/>
  <c r="BG2878" i="1"/>
  <c r="BF2878" i="1"/>
  <c r="N2878" i="1"/>
  <c r="BK1016" i="1"/>
  <c r="BI1016" i="1"/>
  <c r="BH1016" i="1"/>
  <c r="R1016" i="1" s="1"/>
  <c r="BG1016" i="1"/>
  <c r="BF1016" i="1"/>
  <c r="CI1016" i="1" s="1"/>
  <c r="CJ1016" i="1" s="1"/>
  <c r="N1016" i="1"/>
  <c r="BK2877" i="1"/>
  <c r="BI2877" i="1"/>
  <c r="BH2877" i="1"/>
  <c r="R2877" i="1" s="1"/>
  <c r="BG2877" i="1"/>
  <c r="BF2877" i="1"/>
  <c r="N2877" i="1"/>
  <c r="BK2443" i="1"/>
  <c r="BI2443" i="1"/>
  <c r="BH2443" i="1"/>
  <c r="R2443" i="1" s="1"/>
  <c r="BG2443" i="1"/>
  <c r="BR2443" i="1" s="1"/>
  <c r="CA2443" i="1" s="1"/>
  <c r="BF2443" i="1"/>
  <c r="BK2702" i="1"/>
  <c r="BI2702" i="1"/>
  <c r="BH2702" i="1"/>
  <c r="R2702" i="1" s="1"/>
  <c r="BG2702" i="1"/>
  <c r="BF2702" i="1"/>
  <c r="N2702" i="1"/>
  <c r="BK979" i="1"/>
  <c r="BI979" i="1"/>
  <c r="BH979" i="1"/>
  <c r="R979" i="1" s="1"/>
  <c r="BG979" i="1"/>
  <c r="BF979" i="1"/>
  <c r="N979" i="1"/>
  <c r="BK1807" i="1"/>
  <c r="BI1807" i="1"/>
  <c r="BH1807" i="1"/>
  <c r="R1807" i="1" s="1"/>
  <c r="BG1807" i="1"/>
  <c r="BF1807" i="1"/>
  <c r="CI1807" i="1" s="1"/>
  <c r="CJ1807" i="1" s="1"/>
  <c r="N1807" i="1"/>
  <c r="BK905" i="1"/>
  <c r="BI905" i="1"/>
  <c r="BH905" i="1"/>
  <c r="R905" i="1" s="1"/>
  <c r="BG905" i="1"/>
  <c r="BF905" i="1"/>
  <c r="N905" i="1"/>
  <c r="BK711" i="1"/>
  <c r="BI711" i="1"/>
  <c r="BH711" i="1"/>
  <c r="R711" i="1" s="1"/>
  <c r="BG711" i="1"/>
  <c r="BF711" i="1"/>
  <c r="CI711" i="1" s="1"/>
  <c r="CJ711" i="1" s="1"/>
  <c r="N711" i="1"/>
  <c r="BK845" i="1"/>
  <c r="BI845" i="1"/>
  <c r="BH845" i="1"/>
  <c r="R845" i="1" s="1"/>
  <c r="BG845" i="1"/>
  <c r="BR845" i="1" s="1"/>
  <c r="CA845" i="1" s="1"/>
  <c r="BF845" i="1"/>
  <c r="BK2876" i="1"/>
  <c r="BI2876" i="1"/>
  <c r="BH2876" i="1"/>
  <c r="R2876" i="1" s="1"/>
  <c r="BG2876" i="1"/>
  <c r="BF2876" i="1"/>
  <c r="CI2876" i="1" s="1"/>
  <c r="CJ2876" i="1" s="1"/>
  <c r="N2876" i="1"/>
  <c r="BK988" i="1"/>
  <c r="BI988" i="1"/>
  <c r="BH988" i="1"/>
  <c r="R988" i="1" s="1"/>
  <c r="BG988" i="1"/>
  <c r="BF988" i="1"/>
  <c r="N988" i="1"/>
  <c r="BK180" i="1"/>
  <c r="BI180" i="1"/>
  <c r="BH180" i="1"/>
  <c r="R180" i="1" s="1"/>
  <c r="BG180" i="1"/>
  <c r="BF180" i="1"/>
  <c r="CI180" i="1" s="1"/>
  <c r="CJ180" i="1" s="1"/>
  <c r="N180" i="1"/>
  <c r="BK2668" i="1"/>
  <c r="BI2668" i="1"/>
  <c r="BH2668" i="1"/>
  <c r="R2668" i="1" s="1"/>
  <c r="BG2668" i="1"/>
  <c r="BF2668" i="1"/>
  <c r="N2668" i="1"/>
  <c r="BK1021" i="1"/>
  <c r="BI1021" i="1"/>
  <c r="BH1021" i="1"/>
  <c r="R1021" i="1" s="1"/>
  <c r="BG1021" i="1"/>
  <c r="BR1021" i="1" s="1"/>
  <c r="CA1021" i="1" s="1"/>
  <c r="BF1021" i="1"/>
  <c r="BK1081" i="1"/>
  <c r="BI1081" i="1"/>
  <c r="BH1081" i="1"/>
  <c r="R1081" i="1" s="1"/>
  <c r="BG1081" i="1"/>
  <c r="BR1081" i="1" s="1"/>
  <c r="CA1081" i="1" s="1"/>
  <c r="BF1081" i="1"/>
  <c r="BK1541" i="1"/>
  <c r="BI1541" i="1"/>
  <c r="BH1541" i="1"/>
  <c r="R1541" i="1" s="1"/>
  <c r="BG1541" i="1"/>
  <c r="BF1541" i="1"/>
  <c r="N1541" i="1"/>
  <c r="BK2068" i="1"/>
  <c r="BI2068" i="1"/>
  <c r="BH2068" i="1"/>
  <c r="R2068" i="1" s="1"/>
  <c r="BG2068" i="1"/>
  <c r="BF2068" i="1"/>
  <c r="N2068" i="1"/>
  <c r="BK2232" i="1"/>
  <c r="BI2232" i="1"/>
  <c r="BH2232" i="1"/>
  <c r="R2232" i="1" s="1"/>
  <c r="Q2232" i="1"/>
  <c r="N2232" i="1"/>
  <c r="BK853" i="1"/>
  <c r="BI853" i="1"/>
  <c r="BH853" i="1"/>
  <c r="R853" i="1" s="1"/>
  <c r="BG853" i="1"/>
  <c r="BF853" i="1"/>
  <c r="N853" i="1"/>
  <c r="BK599" i="1"/>
  <c r="BI599" i="1"/>
  <c r="BH599" i="1"/>
  <c r="R599" i="1" s="1"/>
  <c r="BG599" i="1"/>
  <c r="BF599" i="1"/>
  <c r="N599" i="1"/>
  <c r="BK1494" i="1"/>
  <c r="BI1494" i="1"/>
  <c r="BH1494" i="1"/>
  <c r="R1494" i="1" s="1"/>
  <c r="BG1494" i="1"/>
  <c r="BF1494" i="1"/>
  <c r="N1494" i="1"/>
  <c r="BK1642" i="1"/>
  <c r="BI1642" i="1"/>
  <c r="BH1642" i="1"/>
  <c r="R1642" i="1" s="1"/>
  <c r="BG1642" i="1"/>
  <c r="BF1642" i="1"/>
  <c r="N1642" i="1"/>
  <c r="BK10" i="1"/>
  <c r="BI10" i="1"/>
  <c r="BH10" i="1"/>
  <c r="R10" i="1" s="1"/>
  <c r="BG10" i="1"/>
  <c r="BF10" i="1"/>
  <c r="N10" i="1"/>
  <c r="BK106" i="1"/>
  <c r="BI106" i="1"/>
  <c r="BH106" i="1"/>
  <c r="R106" i="1" s="1"/>
  <c r="BG106" i="1"/>
  <c r="BF106" i="1"/>
  <c r="CI106" i="1" s="1"/>
  <c r="CJ106" i="1" s="1"/>
  <c r="N106" i="1"/>
  <c r="BK348" i="1"/>
  <c r="BI348" i="1"/>
  <c r="BH348" i="1"/>
  <c r="R348" i="1" s="1"/>
  <c r="BG348" i="1"/>
  <c r="BF348" i="1"/>
  <c r="CI348" i="1" s="1"/>
  <c r="CJ348" i="1" s="1"/>
  <c r="N348" i="1"/>
  <c r="BK735" i="1"/>
  <c r="BI735" i="1"/>
  <c r="BH735" i="1"/>
  <c r="R735" i="1" s="1"/>
  <c r="BG735" i="1"/>
  <c r="BF735" i="1"/>
  <c r="N735" i="1"/>
  <c r="BK367" i="1"/>
  <c r="BI367" i="1"/>
  <c r="BH367" i="1"/>
  <c r="R367" i="1" s="1"/>
  <c r="BG367" i="1"/>
  <c r="BX367" i="1"/>
  <c r="N367" i="1"/>
  <c r="BK2285" i="1"/>
  <c r="BI2285" i="1"/>
  <c r="BH2285" i="1"/>
  <c r="R2285" i="1" s="1"/>
  <c r="BG2285" i="1"/>
  <c r="BF2285" i="1"/>
  <c r="CI2285" i="1" s="1"/>
  <c r="CJ2285" i="1" s="1"/>
  <c r="N2285" i="1"/>
  <c r="BK1454" i="1"/>
  <c r="BI1454" i="1"/>
  <c r="BH1454" i="1"/>
  <c r="R1454" i="1" s="1"/>
  <c r="BG1454" i="1"/>
  <c r="BF1454" i="1"/>
  <c r="N1454" i="1"/>
  <c r="BK2108" i="1"/>
  <c r="BI2108" i="1"/>
  <c r="BH2108" i="1"/>
  <c r="R2108" i="1" s="1"/>
  <c r="BG2108" i="1"/>
  <c r="BF2108" i="1"/>
  <c r="N2108" i="1"/>
  <c r="BK2875" i="1"/>
  <c r="BI2875" i="1"/>
  <c r="BH2875" i="1"/>
  <c r="R2875" i="1" s="1"/>
  <c r="BG2875" i="1"/>
  <c r="BF2875" i="1"/>
  <c r="N2875" i="1"/>
  <c r="BK2374" i="1"/>
  <c r="BI2374" i="1"/>
  <c r="BH2374" i="1"/>
  <c r="R2374" i="1" s="1"/>
  <c r="BU2374" i="1" s="1"/>
  <c r="BW2374" i="1" s="1"/>
  <c r="BG2374" i="1"/>
  <c r="N2374" i="1"/>
  <c r="BK2874" i="1"/>
  <c r="BI2874" i="1"/>
  <c r="BH2874" i="1"/>
  <c r="R2874" i="1" s="1"/>
  <c r="Q2874" i="1"/>
  <c r="N2874" i="1"/>
  <c r="BK2873" i="1"/>
  <c r="BI2873" i="1"/>
  <c r="BH2873" i="1"/>
  <c r="R2873" i="1" s="1"/>
  <c r="BG2873" i="1"/>
  <c r="BF2873" i="1"/>
  <c r="CI2873" i="1" s="1"/>
  <c r="CJ2873" i="1" s="1"/>
  <c r="N2873" i="1"/>
  <c r="BK1869" i="1"/>
  <c r="BI1869" i="1"/>
  <c r="BH1869" i="1"/>
  <c r="R1869" i="1" s="1"/>
  <c r="BG1869" i="1"/>
  <c r="BF1869" i="1"/>
  <c r="N1869" i="1"/>
  <c r="BK2377" i="1"/>
  <c r="BI2377" i="1"/>
  <c r="BH2377" i="1"/>
  <c r="R2377" i="1" s="1"/>
  <c r="BG2377" i="1"/>
  <c r="BR2377" i="1" s="1"/>
  <c r="CA2377" i="1" s="1"/>
  <c r="BF2377" i="1"/>
  <c r="BK2872" i="1"/>
  <c r="BI2872" i="1"/>
  <c r="BH2872" i="1"/>
  <c r="R2872" i="1" s="1"/>
  <c r="BG2872" i="1"/>
  <c r="BF2872" i="1"/>
  <c r="CI2872" i="1" s="1"/>
  <c r="CJ2872" i="1" s="1"/>
  <c r="N2872" i="1"/>
  <c r="BK2871" i="1"/>
  <c r="BI2871" i="1"/>
  <c r="BH2871" i="1"/>
  <c r="R2871" i="1" s="1"/>
  <c r="BG2871" i="1"/>
  <c r="BF2871" i="1"/>
  <c r="CI2871" i="1" s="1"/>
  <c r="CJ2871" i="1" s="1"/>
  <c r="N2871" i="1"/>
  <c r="BK997" i="1"/>
  <c r="BI997" i="1"/>
  <c r="BH997" i="1"/>
  <c r="R997" i="1" s="1"/>
  <c r="BG997" i="1"/>
  <c r="BF997" i="1"/>
  <c r="CI997" i="1" s="1"/>
  <c r="CJ997" i="1" s="1"/>
  <c r="N997" i="1"/>
  <c r="BK2870" i="1"/>
  <c r="BI2870" i="1"/>
  <c r="BH2870" i="1"/>
  <c r="R2870" i="1" s="1"/>
  <c r="BG2870" i="1"/>
  <c r="BF2870" i="1"/>
  <c r="N2870" i="1"/>
  <c r="BK1687" i="1"/>
  <c r="BI1687" i="1"/>
  <c r="BH1687" i="1"/>
  <c r="R1687" i="1" s="1"/>
  <c r="BG1687" i="1"/>
  <c r="BF1687" i="1"/>
  <c r="CI1687" i="1" s="1"/>
  <c r="CJ1687" i="1" s="1"/>
  <c r="N1687" i="1"/>
  <c r="BK175" i="1"/>
  <c r="BI175" i="1"/>
  <c r="BH175" i="1"/>
  <c r="R175" i="1" s="1"/>
  <c r="BG175" i="1"/>
  <c r="BF175" i="1"/>
  <c r="N175" i="1"/>
  <c r="BK2307" i="1"/>
  <c r="BI2307" i="1"/>
  <c r="BH2307" i="1"/>
  <c r="R2307" i="1" s="1"/>
  <c r="BG2307" i="1"/>
  <c r="BF2307" i="1"/>
  <c r="N2307" i="1"/>
  <c r="BK433" i="1"/>
  <c r="BI433" i="1"/>
  <c r="BH433" i="1"/>
  <c r="R433" i="1" s="1"/>
  <c r="BG433" i="1"/>
  <c r="BF433" i="1"/>
  <c r="CI433" i="1" s="1"/>
  <c r="CJ433" i="1" s="1"/>
  <c r="N433" i="1"/>
  <c r="BK1417" i="1"/>
  <c r="BI1417" i="1"/>
  <c r="BH1417" i="1"/>
  <c r="R1417" i="1" s="1"/>
  <c r="BG1417" i="1"/>
  <c r="BF1417" i="1"/>
  <c r="CI1417" i="1" s="1"/>
  <c r="CJ1417" i="1" s="1"/>
  <c r="N1417" i="1"/>
  <c r="BK1217" i="1"/>
  <c r="BI1217" i="1"/>
  <c r="BH1217" i="1"/>
  <c r="R1217" i="1" s="1"/>
  <c r="BG1217" i="1"/>
  <c r="BF1217" i="1"/>
  <c r="BK644" i="1"/>
  <c r="BI644" i="1"/>
  <c r="BH644" i="1"/>
  <c r="R644" i="1" s="1"/>
  <c r="BG644" i="1"/>
  <c r="BF644" i="1"/>
  <c r="CI644" i="1" s="1"/>
  <c r="CJ644" i="1" s="1"/>
  <c r="N644" i="1"/>
  <c r="BK534" i="1"/>
  <c r="BI534" i="1"/>
  <c r="BH534" i="1"/>
  <c r="R534" i="1" s="1"/>
  <c r="BG534" i="1"/>
  <c r="BF534" i="1"/>
  <c r="CI534" i="1" s="1"/>
  <c r="CJ534" i="1" s="1"/>
  <c r="N534" i="1"/>
  <c r="BK2869" i="1"/>
  <c r="BI2869" i="1"/>
  <c r="BH2869" i="1"/>
  <c r="R2869" i="1" s="1"/>
  <c r="BG2869" i="1"/>
  <c r="BF2869" i="1"/>
  <c r="N2869" i="1"/>
  <c r="BK1429" i="1"/>
  <c r="BI1429" i="1"/>
  <c r="BH1429" i="1"/>
  <c r="R1429" i="1" s="1"/>
  <c r="BG1429" i="1"/>
  <c r="BF1429" i="1"/>
  <c r="N1429" i="1"/>
  <c r="BK1620" i="1"/>
  <c r="BI1620" i="1"/>
  <c r="BH1620" i="1"/>
  <c r="R1620" i="1" s="1"/>
  <c r="BG1620" i="1"/>
  <c r="BF1620" i="1"/>
  <c r="CI1620" i="1" s="1"/>
  <c r="CJ1620" i="1" s="1"/>
  <c r="N1620" i="1"/>
  <c r="BK2868" i="1"/>
  <c r="BI2868" i="1"/>
  <c r="BH2868" i="1"/>
  <c r="R2868" i="1" s="1"/>
  <c r="BG2868" i="1"/>
  <c r="BR2868" i="1" s="1"/>
  <c r="CA2868" i="1" s="1"/>
  <c r="BF2868" i="1"/>
  <c r="BK371" i="1"/>
  <c r="BI371" i="1"/>
  <c r="BH371" i="1"/>
  <c r="R371" i="1" s="1"/>
  <c r="BG371" i="1"/>
  <c r="BF371" i="1"/>
  <c r="N371" i="1"/>
  <c r="BK2867" i="1"/>
  <c r="BI2867" i="1"/>
  <c r="BH2867" i="1"/>
  <c r="R2867" i="1" s="1"/>
  <c r="Q2867" i="1"/>
  <c r="N2867" i="1"/>
  <c r="BK542" i="1"/>
  <c r="BI542" i="1"/>
  <c r="BH542" i="1"/>
  <c r="R542" i="1" s="1"/>
  <c r="BG542" i="1"/>
  <c r="BR542" i="1" s="1"/>
  <c r="CA542" i="1" s="1"/>
  <c r="BF542" i="1"/>
  <c r="BK2475" i="1"/>
  <c r="BI2475" i="1"/>
  <c r="BH2475" i="1"/>
  <c r="R2475" i="1" s="1"/>
  <c r="BG2475" i="1"/>
  <c r="BF2475" i="1"/>
  <c r="N2475" i="1"/>
  <c r="BK1711" i="1"/>
  <c r="BI1711" i="1"/>
  <c r="BH1711" i="1"/>
  <c r="R1711" i="1" s="1"/>
  <c r="BG1711" i="1"/>
  <c r="BF1711" i="1"/>
  <c r="N1711" i="1"/>
  <c r="BK1697" i="1"/>
  <c r="BI1697" i="1"/>
  <c r="BH1697" i="1"/>
  <c r="R1697" i="1" s="1"/>
  <c r="BU1697" i="1" s="1"/>
  <c r="BW1697" i="1" s="1"/>
  <c r="BG1697" i="1"/>
  <c r="BK1853" i="1"/>
  <c r="BI1853" i="1"/>
  <c r="BH1853" i="1"/>
  <c r="R1853" i="1" s="1"/>
  <c r="BG1853" i="1"/>
  <c r="BF1853" i="1"/>
  <c r="N1853" i="1"/>
  <c r="BK1113" i="1"/>
  <c r="BI1113" i="1"/>
  <c r="BH1113" i="1"/>
  <c r="R1113" i="1" s="1"/>
  <c r="BG1113" i="1"/>
  <c r="BF1113" i="1"/>
  <c r="CI1113" i="1" s="1"/>
  <c r="CJ1113" i="1" s="1"/>
  <c r="N1113" i="1"/>
  <c r="BK2479" i="1"/>
  <c r="BI2479" i="1"/>
  <c r="BH2479" i="1"/>
  <c r="R2479" i="1" s="1"/>
  <c r="BG2479" i="1"/>
  <c r="BF2479" i="1"/>
  <c r="N2479" i="1"/>
  <c r="BK2866" i="1"/>
  <c r="BI2866" i="1"/>
  <c r="BH2866" i="1"/>
  <c r="R2866" i="1" s="1"/>
  <c r="BG2866" i="1"/>
  <c r="BF2866" i="1"/>
  <c r="CI2866" i="1" s="1"/>
  <c r="CJ2866" i="1" s="1"/>
  <c r="N2866" i="1"/>
  <c r="BK2864" i="1"/>
  <c r="BI2864" i="1"/>
  <c r="BH2864" i="1"/>
  <c r="R2864" i="1" s="1"/>
  <c r="BG2864" i="1"/>
  <c r="BF2864" i="1"/>
  <c r="N2864" i="1"/>
  <c r="BK2291" i="1"/>
  <c r="BI2291" i="1"/>
  <c r="BH2291" i="1"/>
  <c r="R2291" i="1" s="1"/>
  <c r="BG2291" i="1"/>
  <c r="BF2291" i="1"/>
  <c r="CI2291" i="1" s="1"/>
  <c r="CJ2291" i="1" s="1"/>
  <c r="N2291" i="1"/>
  <c r="BK2863" i="1"/>
  <c r="BI2863" i="1"/>
  <c r="BH2863" i="1"/>
  <c r="R2863" i="1" s="1"/>
  <c r="BG2863" i="1"/>
  <c r="BF2863" i="1"/>
  <c r="N2863" i="1"/>
  <c r="BK2277" i="1"/>
  <c r="BI2277" i="1"/>
  <c r="BH2277" i="1"/>
  <c r="R2277" i="1" s="1"/>
  <c r="BG2277" i="1"/>
  <c r="BF2277" i="1"/>
  <c r="N2277" i="1"/>
  <c r="BK1479" i="1"/>
  <c r="BI1479" i="1"/>
  <c r="BH1479" i="1"/>
  <c r="R1479" i="1" s="1"/>
  <c r="BG1479" i="1"/>
  <c r="BF1479" i="1"/>
  <c r="N1479" i="1"/>
  <c r="BK1388" i="1"/>
  <c r="BI1388" i="1"/>
  <c r="BH1388" i="1"/>
  <c r="R1388" i="1" s="1"/>
  <c r="BG1388" i="1"/>
  <c r="BR1388" i="1" s="1"/>
  <c r="CA1388" i="1" s="1"/>
  <c r="BF1388" i="1"/>
  <c r="BK1581" i="1"/>
  <c r="BI1581" i="1"/>
  <c r="BH1581" i="1"/>
  <c r="R1581" i="1" s="1"/>
  <c r="BG1581" i="1"/>
  <c r="BF1581" i="1"/>
  <c r="N1581" i="1"/>
  <c r="BK1782" i="1"/>
  <c r="BI1782" i="1"/>
  <c r="BH1782" i="1"/>
  <c r="R1782" i="1" s="1"/>
  <c r="BG1782" i="1"/>
  <c r="BF1782" i="1"/>
  <c r="N1782" i="1"/>
  <c r="BK1897" i="1"/>
  <c r="BI1897" i="1"/>
  <c r="BH1897" i="1"/>
  <c r="R1897" i="1" s="1"/>
  <c r="BG1897" i="1"/>
  <c r="BF1897" i="1"/>
  <c r="N1897" i="1"/>
  <c r="BK2862" i="1"/>
  <c r="BI2862" i="1"/>
  <c r="BH2862" i="1"/>
  <c r="R2862" i="1" s="1"/>
  <c r="BG2862" i="1"/>
  <c r="BF2862" i="1"/>
  <c r="N2862" i="1"/>
  <c r="BK1343" i="1"/>
  <c r="BI1343" i="1"/>
  <c r="BH1343" i="1"/>
  <c r="R1343" i="1" s="1"/>
  <c r="BG1343" i="1"/>
  <c r="BF1343" i="1"/>
  <c r="N1343" i="1"/>
  <c r="BK1245" i="1"/>
  <c r="BI1245" i="1"/>
  <c r="BH1245" i="1"/>
  <c r="R1245" i="1" s="1"/>
  <c r="BG1245" i="1"/>
  <c r="BR1245" i="1" s="1"/>
  <c r="CA1245" i="1" s="1"/>
  <c r="BF1245" i="1"/>
  <c r="BK2375" i="1"/>
  <c r="BI2375" i="1"/>
  <c r="BH2375" i="1"/>
  <c r="R2375" i="1" s="1"/>
  <c r="BG2375" i="1"/>
  <c r="BF2375" i="1"/>
  <c r="N2375" i="1"/>
  <c r="BK2192" i="1"/>
  <c r="BI2192" i="1"/>
  <c r="BH2192" i="1"/>
  <c r="R2192" i="1" s="1"/>
  <c r="BG2192" i="1"/>
  <c r="N2192" i="1"/>
  <c r="BK1913" i="1"/>
  <c r="BI1913" i="1"/>
  <c r="BH1913" i="1"/>
  <c r="R1913" i="1" s="1"/>
  <c r="BG1913" i="1"/>
  <c r="BR1913" i="1" s="1"/>
  <c r="CA1913" i="1" s="1"/>
  <c r="BF1913" i="1"/>
  <c r="BK2861" i="1"/>
  <c r="BI2861" i="1"/>
  <c r="BH2861" i="1"/>
  <c r="R2861" i="1" s="1"/>
  <c r="BG2861" i="1"/>
  <c r="BF2861" i="1"/>
  <c r="CI2861" i="1" s="1"/>
  <c r="CJ2861" i="1" s="1"/>
  <c r="N2861" i="1"/>
  <c r="BK2044" i="1"/>
  <c r="BI2044" i="1"/>
  <c r="BH2044" i="1"/>
  <c r="R2044" i="1" s="1"/>
  <c r="BG2044" i="1"/>
  <c r="BF2044" i="1"/>
  <c r="N2044" i="1"/>
  <c r="BK2860" i="1"/>
  <c r="BI2860" i="1"/>
  <c r="BH2860" i="1"/>
  <c r="R2860" i="1" s="1"/>
  <c r="BG2860" i="1"/>
  <c r="BF2860" i="1"/>
  <c r="N2860" i="1"/>
  <c r="BK519" i="1"/>
  <c r="BI519" i="1"/>
  <c r="BH519" i="1"/>
  <c r="R519" i="1" s="1"/>
  <c r="BG519" i="1"/>
  <c r="BR519" i="1" s="1"/>
  <c r="CA519" i="1" s="1"/>
  <c r="BF519" i="1"/>
  <c r="BK1721" i="1"/>
  <c r="BI1721" i="1"/>
  <c r="BH1721" i="1"/>
  <c r="R1721" i="1" s="1"/>
  <c r="BG1721" i="1"/>
  <c r="BF1721" i="1"/>
  <c r="N1721" i="1"/>
  <c r="BK2859" i="1"/>
  <c r="BI2859" i="1"/>
  <c r="BH2859" i="1"/>
  <c r="R2859" i="1" s="1"/>
  <c r="BU2859" i="1" s="1"/>
  <c r="BW2859" i="1" s="1"/>
  <c r="BG2859" i="1"/>
  <c r="BX2859" i="1"/>
  <c r="N2859" i="1"/>
  <c r="BK203" i="1"/>
  <c r="BI203" i="1"/>
  <c r="BH203" i="1"/>
  <c r="R203" i="1" s="1"/>
  <c r="BG203" i="1"/>
  <c r="BR203" i="1" s="1"/>
  <c r="CA203" i="1" s="1"/>
  <c r="BF203" i="1"/>
  <c r="BK1121" i="1"/>
  <c r="BI1121" i="1"/>
  <c r="BH1121" i="1"/>
  <c r="R1121" i="1" s="1"/>
  <c r="BG1121" i="1"/>
  <c r="BF1121" i="1"/>
  <c r="N1121" i="1"/>
  <c r="BK1994" i="1"/>
  <c r="BI1994" i="1"/>
  <c r="BH1994" i="1"/>
  <c r="R1994" i="1" s="1"/>
  <c r="BG1994" i="1"/>
  <c r="BF1994" i="1"/>
  <c r="CI1994" i="1" s="1"/>
  <c r="CJ1994" i="1" s="1"/>
  <c r="N1994" i="1"/>
  <c r="BK416" i="1"/>
  <c r="BI416" i="1"/>
  <c r="BH416" i="1"/>
  <c r="R416" i="1" s="1"/>
  <c r="BG416" i="1"/>
  <c r="BF416" i="1"/>
  <c r="N416" i="1"/>
  <c r="BK362" i="1"/>
  <c r="BI362" i="1"/>
  <c r="BH362" i="1"/>
  <c r="R362" i="1" s="1"/>
  <c r="BG362" i="1"/>
  <c r="BF362" i="1"/>
  <c r="CI362" i="1" s="1"/>
  <c r="CJ362" i="1" s="1"/>
  <c r="N362" i="1"/>
  <c r="BK1976" i="1"/>
  <c r="BI1976" i="1"/>
  <c r="BH1976" i="1"/>
  <c r="R1976" i="1" s="1"/>
  <c r="Q1976" i="1"/>
  <c r="N1976" i="1"/>
  <c r="BK2858" i="1"/>
  <c r="BI2858" i="1"/>
  <c r="BH2858" i="1"/>
  <c r="R2858" i="1" s="1"/>
  <c r="Q2858" i="1"/>
  <c r="N2858" i="1"/>
  <c r="BK351" i="1"/>
  <c r="BI351" i="1"/>
  <c r="BH351" i="1"/>
  <c r="R351" i="1" s="1"/>
  <c r="BG351" i="1"/>
  <c r="BR351" i="1" s="1"/>
  <c r="CA351" i="1" s="1"/>
  <c r="BF351" i="1"/>
  <c r="BK1384" i="1"/>
  <c r="BI1384" i="1"/>
  <c r="BH1384" i="1"/>
  <c r="R1384" i="1" s="1"/>
  <c r="BG1384" i="1"/>
  <c r="BF1384" i="1"/>
  <c r="N1384" i="1"/>
  <c r="BK624" i="1"/>
  <c r="BI624" i="1"/>
  <c r="BH624" i="1"/>
  <c r="R624" i="1" s="1"/>
  <c r="BG624" i="1"/>
  <c r="BF624" i="1"/>
  <c r="N624" i="1"/>
  <c r="BK867" i="1"/>
  <c r="BI867" i="1"/>
  <c r="BH867" i="1"/>
  <c r="R867" i="1" s="1"/>
  <c r="BG867" i="1"/>
  <c r="BF867" i="1"/>
  <c r="CI867" i="1" s="1"/>
  <c r="CJ867" i="1" s="1"/>
  <c r="N867" i="1"/>
  <c r="BK2857" i="1"/>
  <c r="BI2857" i="1"/>
  <c r="BH2857" i="1"/>
  <c r="R2857" i="1" s="1"/>
  <c r="BG2857" i="1"/>
  <c r="BF2857" i="1"/>
  <c r="CI2857" i="1" s="1"/>
  <c r="CJ2857" i="1" s="1"/>
  <c r="N2857" i="1"/>
  <c r="BK448" i="1"/>
  <c r="BI448" i="1"/>
  <c r="BH448" i="1"/>
  <c r="R448" i="1" s="1"/>
  <c r="BG448" i="1"/>
  <c r="N448" i="1"/>
  <c r="BK355" i="1"/>
  <c r="BI355" i="1"/>
  <c r="BH355" i="1"/>
  <c r="R355" i="1" s="1"/>
  <c r="BG355" i="1"/>
  <c r="BR355" i="1" s="1"/>
  <c r="CA355" i="1" s="1"/>
  <c r="BF355" i="1"/>
  <c r="BK981" i="1"/>
  <c r="BI981" i="1"/>
  <c r="BH981" i="1"/>
  <c r="R981" i="1" s="1"/>
  <c r="BG981" i="1"/>
  <c r="BF981" i="1"/>
  <c r="CI981" i="1" s="1"/>
  <c r="CJ981" i="1" s="1"/>
  <c r="N981" i="1"/>
  <c r="BK2852" i="1"/>
  <c r="BI2852" i="1"/>
  <c r="BH2852" i="1"/>
  <c r="R2852" i="1" s="1"/>
  <c r="BG2852" i="1"/>
  <c r="BF2852" i="1"/>
  <c r="N2852" i="1"/>
  <c r="BK1710" i="1"/>
  <c r="BI1710" i="1"/>
  <c r="BH1710" i="1"/>
  <c r="R1710" i="1" s="1"/>
  <c r="BG1710" i="1"/>
  <c r="BF1710" i="1"/>
  <c r="N1710" i="1"/>
  <c r="BK2856" i="1"/>
  <c r="BI2856" i="1"/>
  <c r="BH2856" i="1"/>
  <c r="R2856" i="1" s="1"/>
  <c r="Q2856" i="1"/>
  <c r="N2856" i="1"/>
  <c r="BK591" i="1"/>
  <c r="BI591" i="1"/>
  <c r="BH591" i="1"/>
  <c r="R591" i="1" s="1"/>
  <c r="BG591" i="1"/>
  <c r="BR591" i="1" s="1"/>
  <c r="CA591" i="1" s="1"/>
  <c r="BF591" i="1"/>
  <c r="BK2228" i="1"/>
  <c r="BI2228" i="1"/>
  <c r="BH2228" i="1"/>
  <c r="R2228" i="1" s="1"/>
  <c r="BG2228" i="1"/>
  <c r="BF2228" i="1"/>
  <c r="N2228" i="1"/>
  <c r="BK985" i="1"/>
  <c r="BI985" i="1"/>
  <c r="BH985" i="1"/>
  <c r="R985" i="1" s="1"/>
  <c r="BG985" i="1"/>
  <c r="BF985" i="1"/>
  <c r="N985" i="1"/>
  <c r="BK572" i="1"/>
  <c r="BI572" i="1"/>
  <c r="BH572" i="1"/>
  <c r="R572" i="1" s="1"/>
  <c r="BG572" i="1"/>
  <c r="BF572" i="1"/>
  <c r="N572" i="1"/>
  <c r="BK1999" i="1"/>
  <c r="BI1999" i="1"/>
  <c r="BH1999" i="1"/>
  <c r="R1999" i="1" s="1"/>
  <c r="BG1999" i="1"/>
  <c r="BF1999" i="1"/>
  <c r="N1999" i="1"/>
  <c r="BK2076" i="1"/>
  <c r="BI2076" i="1"/>
  <c r="BH2076" i="1"/>
  <c r="R2076" i="1" s="1"/>
  <c r="BG2076" i="1"/>
  <c r="BF2076" i="1"/>
  <c r="N2076" i="1"/>
  <c r="BK119" i="1"/>
  <c r="BI119" i="1"/>
  <c r="BH119" i="1"/>
  <c r="R119" i="1" s="1"/>
  <c r="BG119" i="1"/>
  <c r="BF119" i="1"/>
  <c r="CI119" i="1" s="1"/>
  <c r="CJ119" i="1" s="1"/>
  <c r="N119" i="1"/>
  <c r="BK1047" i="1"/>
  <c r="BI1047" i="1"/>
  <c r="BH1047" i="1"/>
  <c r="R1047" i="1" s="1"/>
  <c r="BG1047" i="1"/>
  <c r="BF1047" i="1"/>
  <c r="CI1047" i="1" s="1"/>
  <c r="CJ1047" i="1" s="1"/>
  <c r="N1047" i="1"/>
  <c r="BK1411" i="1"/>
  <c r="BI1411" i="1"/>
  <c r="BH1411" i="1"/>
  <c r="R1411" i="1" s="1"/>
  <c r="BG1411" i="1"/>
  <c r="BF1411" i="1"/>
  <c r="CI1411" i="1" s="1"/>
  <c r="CJ1411" i="1" s="1"/>
  <c r="N1411" i="1"/>
  <c r="BK437" i="1"/>
  <c r="BI437" i="1"/>
  <c r="BH437" i="1"/>
  <c r="R437" i="1" s="1"/>
  <c r="BG437" i="1"/>
  <c r="BF437" i="1"/>
  <c r="CI437" i="1" s="1"/>
  <c r="CJ437" i="1" s="1"/>
  <c r="N437" i="1"/>
  <c r="BK2855" i="1"/>
  <c r="BI2855" i="1"/>
  <c r="BH2855" i="1"/>
  <c r="R2855" i="1" s="1"/>
  <c r="BG2855" i="1"/>
  <c r="BF2855" i="1"/>
  <c r="N2855" i="1"/>
  <c r="BK189" i="1"/>
  <c r="BI189" i="1"/>
  <c r="BH189" i="1"/>
  <c r="R189" i="1" s="1"/>
  <c r="BG189" i="1"/>
  <c r="BF189" i="1"/>
  <c r="CI189" i="1" s="1"/>
  <c r="CJ189" i="1" s="1"/>
  <c r="N189" i="1"/>
  <c r="BK1010" i="1"/>
  <c r="BI1010" i="1"/>
  <c r="BH1010" i="1"/>
  <c r="R1010" i="1" s="1"/>
  <c r="BG1010" i="1"/>
  <c r="BF1010" i="1"/>
  <c r="CI1010" i="1" s="1"/>
  <c r="CJ1010" i="1" s="1"/>
  <c r="N1010" i="1"/>
  <c r="BK2854" i="1"/>
  <c r="BI2854" i="1"/>
  <c r="BH2854" i="1"/>
  <c r="R2854" i="1" s="1"/>
  <c r="BG2854" i="1"/>
  <c r="BF2854" i="1"/>
  <c r="N2854" i="1"/>
  <c r="BK321" i="1"/>
  <c r="BI321" i="1"/>
  <c r="BH321" i="1"/>
  <c r="R321" i="1" s="1"/>
  <c r="BG321" i="1"/>
  <c r="BR321" i="1" s="1"/>
  <c r="CA321" i="1" s="1"/>
  <c r="BF321" i="1"/>
  <c r="BK1035" i="1"/>
  <c r="BI1035" i="1"/>
  <c r="BH1035" i="1"/>
  <c r="R1035" i="1" s="1"/>
  <c r="Q1035" i="1"/>
  <c r="N1035" i="1"/>
  <c r="BK2853" i="1"/>
  <c r="BI2853" i="1"/>
  <c r="BH2853" i="1"/>
  <c r="R2853" i="1" s="1"/>
  <c r="BG2853" i="1"/>
  <c r="BF2853" i="1"/>
  <c r="N2853" i="1"/>
  <c r="BK2161" i="1"/>
  <c r="BI2161" i="1"/>
  <c r="BH2161" i="1"/>
  <c r="R2161" i="1" s="1"/>
  <c r="BG2161" i="1"/>
  <c r="BF2161" i="1"/>
  <c r="N2161" i="1"/>
  <c r="BK1751" i="1"/>
  <c r="BI1751" i="1"/>
  <c r="BH1751" i="1"/>
  <c r="R1751" i="1" s="1"/>
  <c r="Q1751" i="1"/>
  <c r="N1751" i="1"/>
  <c r="BK2265" i="1"/>
  <c r="BI2265" i="1"/>
  <c r="BH2265" i="1"/>
  <c r="R2265" i="1" s="1"/>
  <c r="BG2265" i="1"/>
  <c r="BF2265" i="1"/>
  <c r="CI2265" i="1" s="1"/>
  <c r="CJ2265" i="1" s="1"/>
  <c r="N2265" i="1"/>
  <c r="BK1537" i="1"/>
  <c r="BI1537" i="1"/>
  <c r="BH1537" i="1"/>
  <c r="R1537" i="1" s="1"/>
  <c r="BG1537" i="1"/>
  <c r="BF1537" i="1"/>
  <c r="N1537" i="1"/>
  <c r="BK1095" i="1"/>
  <c r="BI1095" i="1"/>
  <c r="BH1095" i="1"/>
  <c r="R1095" i="1" s="1"/>
  <c r="BG1095" i="1"/>
  <c r="BF1095" i="1"/>
  <c r="N1095" i="1"/>
  <c r="BK2851" i="1"/>
  <c r="BI2851" i="1"/>
  <c r="BH2851" i="1"/>
  <c r="R2851" i="1" s="1"/>
  <c r="BG2851" i="1"/>
  <c r="BF2851" i="1"/>
  <c r="N2851" i="1"/>
  <c r="BK2850" i="1"/>
  <c r="BI2850" i="1"/>
  <c r="BH2850" i="1"/>
  <c r="R2850" i="1" s="1"/>
  <c r="BG2850" i="1"/>
  <c r="BF2850" i="1"/>
  <c r="CI2850" i="1" s="1"/>
  <c r="CJ2850" i="1" s="1"/>
  <c r="N2850" i="1"/>
  <c r="BK914" i="1"/>
  <c r="BI914" i="1"/>
  <c r="BH914" i="1"/>
  <c r="BK2070" i="1"/>
  <c r="BI2070" i="1"/>
  <c r="BH2070" i="1"/>
  <c r="R2070" i="1" s="1"/>
  <c r="BG2070" i="1"/>
  <c r="BF2070" i="1"/>
  <c r="N2070" i="1"/>
  <c r="BK521" i="1"/>
  <c r="BI521" i="1"/>
  <c r="BH521" i="1"/>
  <c r="R521" i="1" s="1"/>
  <c r="Q521" i="1"/>
  <c r="N521" i="1"/>
  <c r="BK589" i="1"/>
  <c r="BI589" i="1"/>
  <c r="BH589" i="1"/>
  <c r="R589" i="1" s="1"/>
  <c r="BU589" i="1" s="1"/>
  <c r="BW589" i="1" s="1"/>
  <c r="BG589" i="1"/>
  <c r="BK2849" i="1"/>
  <c r="BI2849" i="1"/>
  <c r="BH2849" i="1"/>
  <c r="R2849" i="1" s="1"/>
  <c r="BG2849" i="1"/>
  <c r="BF2849" i="1"/>
  <c r="CI2849" i="1" s="1"/>
  <c r="CJ2849" i="1" s="1"/>
  <c r="N2849" i="1"/>
  <c r="BK1216" i="1"/>
  <c r="BI1216" i="1"/>
  <c r="BH1216" i="1"/>
  <c r="R1216" i="1" s="1"/>
  <c r="BG1216" i="1"/>
  <c r="BR1216" i="1" s="1"/>
  <c r="CA1216" i="1" s="1"/>
  <c r="BF1216" i="1"/>
  <c r="BK1910" i="1"/>
  <c r="BI1910" i="1"/>
  <c r="BH1910" i="1"/>
  <c r="R1910" i="1" s="1"/>
  <c r="BG1910" i="1"/>
  <c r="BF1910" i="1"/>
  <c r="CI1910" i="1" s="1"/>
  <c r="CJ1910" i="1" s="1"/>
  <c r="N1910" i="1"/>
  <c r="BK2519" i="1"/>
  <c r="BI2519" i="1"/>
  <c r="BH2519" i="1"/>
  <c r="R2519" i="1" s="1"/>
  <c r="BG2519" i="1"/>
  <c r="BF2519" i="1"/>
  <c r="CI2519" i="1" s="1"/>
  <c r="CJ2519" i="1" s="1"/>
  <c r="N2519" i="1"/>
  <c r="BK2847" i="1"/>
  <c r="BI2847" i="1"/>
  <c r="BH2847" i="1"/>
  <c r="R2847" i="1" s="1"/>
  <c r="BG2847" i="1"/>
  <c r="BF2847" i="1"/>
  <c r="N2847" i="1"/>
  <c r="BK578" i="1"/>
  <c r="BI578" i="1"/>
  <c r="BH578" i="1"/>
  <c r="R578" i="1" s="1"/>
  <c r="BG578" i="1"/>
  <c r="BF578" i="1"/>
  <c r="CI578" i="1" s="1"/>
  <c r="CJ578" i="1" s="1"/>
  <c r="N578" i="1"/>
  <c r="BK2078" i="1"/>
  <c r="BI2078" i="1"/>
  <c r="BH2078" i="1"/>
  <c r="R2078" i="1" s="1"/>
  <c r="BG2078" i="1"/>
  <c r="BF2078" i="1"/>
  <c r="CI2078" i="1" s="1"/>
  <c r="CJ2078" i="1" s="1"/>
  <c r="N2078" i="1"/>
  <c r="BK1119" i="1"/>
  <c r="BI1119" i="1"/>
  <c r="BH1119" i="1"/>
  <c r="R1119" i="1" s="1"/>
  <c r="BU1119" i="1" s="1"/>
  <c r="BW1119" i="1" s="1"/>
  <c r="BG1119" i="1"/>
  <c r="BX1119" i="1"/>
  <c r="N1119" i="1"/>
  <c r="BK705" i="1"/>
  <c r="BI705" i="1"/>
  <c r="BH705" i="1"/>
  <c r="R705" i="1" s="1"/>
  <c r="BG705" i="1"/>
  <c r="BF705" i="1"/>
  <c r="CI705" i="1" s="1"/>
  <c r="CJ705" i="1" s="1"/>
  <c r="N705" i="1"/>
  <c r="BK1882" i="1"/>
  <c r="BI1882" i="1"/>
  <c r="BH1882" i="1"/>
  <c r="R1882" i="1" s="1"/>
  <c r="BG1882" i="1"/>
  <c r="BR1882" i="1" s="1"/>
  <c r="CA1882" i="1" s="1"/>
  <c r="BF1882" i="1"/>
  <c r="BK652" i="1"/>
  <c r="BI652" i="1"/>
  <c r="BH652" i="1"/>
  <c r="R652" i="1" s="1"/>
  <c r="BG652" i="1"/>
  <c r="BF652" i="1"/>
  <c r="N652" i="1"/>
  <c r="BK1111" i="1"/>
  <c r="BI1111" i="1"/>
  <c r="BH1111" i="1"/>
  <c r="R1111" i="1" s="1"/>
  <c r="BG1111" i="1"/>
  <c r="BR1111" i="1" s="1"/>
  <c r="CA1111" i="1" s="1"/>
  <c r="BF1111" i="1"/>
  <c r="BK2094" i="1"/>
  <c r="BI2094" i="1"/>
  <c r="BH2094" i="1"/>
  <c r="R2094" i="1" s="1"/>
  <c r="BG2094" i="1"/>
  <c r="BF2094" i="1"/>
  <c r="N2094" i="1"/>
  <c r="BK1421" i="1"/>
  <c r="BI1421" i="1"/>
  <c r="BH1421" i="1"/>
  <c r="R1421" i="1" s="1"/>
  <c r="Q1421" i="1"/>
  <c r="N1421" i="1"/>
  <c r="BK386" i="1"/>
  <c r="BI386" i="1"/>
  <c r="BH386" i="1"/>
  <c r="R386" i="1" s="1"/>
  <c r="BG386" i="1"/>
  <c r="BF386" i="1"/>
  <c r="N386" i="1"/>
  <c r="BK1747" i="1"/>
  <c r="BI1747" i="1"/>
  <c r="BH1747" i="1"/>
  <c r="R1747" i="1" s="1"/>
  <c r="BG1747" i="1"/>
  <c r="BF1747" i="1"/>
  <c r="CI1747" i="1" s="1"/>
  <c r="CJ1747" i="1" s="1"/>
  <c r="N1747" i="1"/>
  <c r="BK1432" i="1"/>
  <c r="BI1432" i="1"/>
  <c r="BH1432" i="1"/>
  <c r="R1432" i="1" s="1"/>
  <c r="BG1432" i="1"/>
  <c r="BF1432" i="1"/>
  <c r="N1432" i="1"/>
  <c r="BK1962" i="1"/>
  <c r="BI1962" i="1"/>
  <c r="BH1962" i="1"/>
  <c r="R1962" i="1" s="1"/>
  <c r="BG1962" i="1"/>
  <c r="BF1962" i="1"/>
  <c r="N1962" i="1"/>
  <c r="BK406" i="1"/>
  <c r="BI406" i="1"/>
  <c r="BH406" i="1"/>
  <c r="R406" i="1" s="1"/>
  <c r="BG406" i="1"/>
  <c r="BF406" i="1"/>
  <c r="N406" i="1"/>
  <c r="BK2221" i="1"/>
  <c r="BI2221" i="1"/>
  <c r="BH2221" i="1"/>
  <c r="R2221" i="1" s="1"/>
  <c r="BG2221" i="1"/>
  <c r="BF2221" i="1"/>
  <c r="N2221" i="1"/>
  <c r="BK1800" i="1"/>
  <c r="BI1800" i="1"/>
  <c r="BH1800" i="1"/>
  <c r="R1800" i="1" s="1"/>
  <c r="BG1800" i="1"/>
  <c r="BF1800" i="1"/>
  <c r="N1800" i="1"/>
  <c r="BK1131" i="1"/>
  <c r="BI1131" i="1"/>
  <c r="BH1131" i="1"/>
  <c r="R1131" i="1" s="1"/>
  <c r="BG1131" i="1"/>
  <c r="BF1131" i="1"/>
  <c r="CI1131" i="1" s="1"/>
  <c r="CJ1131" i="1" s="1"/>
  <c r="N1131" i="1"/>
  <c r="BK700" i="1"/>
  <c r="BI700" i="1"/>
  <c r="BH700" i="1"/>
  <c r="R700" i="1" s="1"/>
  <c r="BG700" i="1"/>
  <c r="BF700" i="1"/>
  <c r="N700" i="1"/>
  <c r="BK1893" i="1"/>
  <c r="BI1893" i="1"/>
  <c r="BH1893" i="1"/>
  <c r="R1893" i="1" s="1"/>
  <c r="BG1893" i="1"/>
  <c r="BR1893" i="1" s="1"/>
  <c r="CA1893" i="1" s="1"/>
  <c r="BF1893" i="1"/>
  <c r="BK833" i="1"/>
  <c r="BI833" i="1"/>
  <c r="BH833" i="1"/>
  <c r="R833" i="1" s="1"/>
  <c r="BG833" i="1"/>
  <c r="BR833" i="1" s="1"/>
  <c r="CA833" i="1" s="1"/>
  <c r="BF833" i="1"/>
  <c r="BK1988" i="1"/>
  <c r="BI1988" i="1"/>
  <c r="BH1988" i="1"/>
  <c r="R1988" i="1" s="1"/>
  <c r="BG1988" i="1"/>
  <c r="BF1988" i="1"/>
  <c r="CI1988" i="1" s="1"/>
  <c r="CJ1988" i="1" s="1"/>
  <c r="N1988" i="1"/>
  <c r="BK2846" i="1"/>
  <c r="BI2846" i="1"/>
  <c r="BH2846" i="1"/>
  <c r="R2846" i="1" s="1"/>
  <c r="BG2846" i="1"/>
  <c r="BF2846" i="1"/>
  <c r="CI2846" i="1" s="1"/>
  <c r="CJ2846" i="1" s="1"/>
  <c r="N2846" i="1"/>
  <c r="BK204" i="1"/>
  <c r="BI204" i="1"/>
  <c r="BH204" i="1"/>
  <c r="R204" i="1" s="1"/>
  <c r="Q204" i="1"/>
  <c r="N204" i="1"/>
  <c r="BK710" i="1"/>
  <c r="BI710" i="1"/>
  <c r="BH710" i="1"/>
  <c r="R710" i="1" s="1"/>
  <c r="Q710" i="1"/>
  <c r="N710" i="1"/>
  <c r="BK121" i="1"/>
  <c r="BI121" i="1"/>
  <c r="BH121" i="1"/>
  <c r="R121" i="1" s="1"/>
  <c r="BG121" i="1"/>
  <c r="BR121" i="1" s="1"/>
  <c r="CA121" i="1" s="1"/>
  <c r="BF121" i="1"/>
  <c r="BK1691" i="1"/>
  <c r="BI1691" i="1"/>
  <c r="BH1691" i="1"/>
  <c r="R1691" i="1" s="1"/>
  <c r="BG1691" i="1"/>
  <c r="BF1691" i="1"/>
  <c r="N1691" i="1"/>
  <c r="BK2845" i="1"/>
  <c r="BI2845" i="1"/>
  <c r="BH2845" i="1"/>
  <c r="R2845" i="1" s="1"/>
  <c r="Q2845" i="1"/>
  <c r="BK952" i="1"/>
  <c r="BI952" i="1"/>
  <c r="BH952" i="1"/>
  <c r="R952" i="1" s="1"/>
  <c r="BG952" i="1"/>
  <c r="BF952" i="1"/>
  <c r="N952" i="1"/>
  <c r="BK184" i="1"/>
  <c r="BI184" i="1"/>
  <c r="BH184" i="1"/>
  <c r="R184" i="1" s="1"/>
  <c r="BG184" i="1"/>
  <c r="BF184" i="1"/>
  <c r="N184" i="1"/>
  <c r="BK1007" i="1"/>
  <c r="BI1007" i="1"/>
  <c r="BH1007" i="1"/>
  <c r="R1007" i="1" s="1"/>
  <c r="BG1007" i="1"/>
  <c r="BF1007" i="1"/>
  <c r="CI1007" i="1" s="1"/>
  <c r="CJ1007" i="1" s="1"/>
  <c r="N1007" i="1"/>
  <c r="BK1176" i="1"/>
  <c r="BI1176" i="1"/>
  <c r="BH1176" i="1"/>
  <c r="R1176" i="1" s="1"/>
  <c r="BG1176" i="1"/>
  <c r="BF1176" i="1"/>
  <c r="N1176" i="1"/>
  <c r="BK2284" i="1"/>
  <c r="BI2284" i="1"/>
  <c r="BH2284" i="1"/>
  <c r="R2284" i="1" s="1"/>
  <c r="BG2284" i="1"/>
  <c r="BF2284" i="1"/>
  <c r="N2284" i="1"/>
  <c r="BK2844" i="1"/>
  <c r="BI2844" i="1"/>
  <c r="BH2844" i="1"/>
  <c r="R2844" i="1" s="1"/>
  <c r="BG2844" i="1"/>
  <c r="BF2844" i="1"/>
  <c r="CI2844" i="1" s="1"/>
  <c r="CJ2844" i="1" s="1"/>
  <c r="N2844" i="1"/>
  <c r="BK1296" i="1"/>
  <c r="BI1296" i="1"/>
  <c r="BH1296" i="1"/>
  <c r="R1296" i="1" s="1"/>
  <c r="BG1296" i="1"/>
  <c r="BF1296" i="1"/>
  <c r="N1296" i="1"/>
  <c r="BK2843" i="1"/>
  <c r="BI2843" i="1"/>
  <c r="BH2843" i="1"/>
  <c r="R2843" i="1" s="1"/>
  <c r="BG2843" i="1"/>
  <c r="BF2843" i="1"/>
  <c r="N2843" i="1"/>
  <c r="BK1371" i="1"/>
  <c r="BI1371" i="1"/>
  <c r="BH1371" i="1"/>
  <c r="R1371" i="1" s="1"/>
  <c r="BG1371" i="1"/>
  <c r="BF1371" i="1"/>
  <c r="N1371" i="1"/>
  <c r="BK1374" i="1"/>
  <c r="BI1374" i="1"/>
  <c r="BH1374" i="1"/>
  <c r="R1374" i="1" s="1"/>
  <c r="BG1374" i="1"/>
  <c r="BF1374" i="1"/>
  <c r="N1374" i="1"/>
  <c r="BK1293" i="1"/>
  <c r="BI1293" i="1"/>
  <c r="BH1293" i="1"/>
  <c r="R1293" i="1" s="1"/>
  <c r="BG1293" i="1"/>
  <c r="BF1293" i="1"/>
  <c r="CI1293" i="1" s="1"/>
  <c r="CJ1293" i="1" s="1"/>
  <c r="N1293" i="1"/>
  <c r="BK2186" i="1"/>
  <c r="BI2186" i="1"/>
  <c r="BH2186" i="1"/>
  <c r="R2186" i="1" s="1"/>
  <c r="BG2186" i="1"/>
  <c r="BF2186" i="1"/>
  <c r="N2186" i="1"/>
  <c r="BK2842" i="1"/>
  <c r="BI2842" i="1"/>
  <c r="BH2842" i="1"/>
  <c r="R2842" i="1" s="1"/>
  <c r="BG2842" i="1"/>
  <c r="BF2842" i="1"/>
  <c r="N2842" i="1"/>
  <c r="BK117" i="1"/>
  <c r="BI117" i="1"/>
  <c r="BH117" i="1"/>
  <c r="R117" i="1" s="1"/>
  <c r="BG117" i="1"/>
  <c r="BR117" i="1" s="1"/>
  <c r="CA117" i="1" s="1"/>
  <c r="BF117" i="1"/>
  <c r="BK1243" i="1"/>
  <c r="BI1243" i="1"/>
  <c r="BH1243" i="1"/>
  <c r="R1243" i="1" s="1"/>
  <c r="BG1243" i="1"/>
  <c r="BF1243" i="1"/>
  <c r="N1243" i="1"/>
  <c r="BK577" i="1"/>
  <c r="BI577" i="1"/>
  <c r="BH577" i="1"/>
  <c r="R577" i="1" s="1"/>
  <c r="BG577" i="1"/>
  <c r="BF577" i="1"/>
  <c r="N577" i="1"/>
  <c r="BK2841" i="1"/>
  <c r="BI2841" i="1"/>
  <c r="BH2841" i="1"/>
  <c r="R2841" i="1" s="1"/>
  <c r="BG2841" i="1"/>
  <c r="BF2841" i="1"/>
  <c r="N2841" i="1"/>
  <c r="BK772" i="1"/>
  <c r="BI772" i="1"/>
  <c r="BH772" i="1"/>
  <c r="R772" i="1" s="1"/>
  <c r="BG772" i="1"/>
  <c r="BF772" i="1"/>
  <c r="N772" i="1"/>
  <c r="BK181" i="1"/>
  <c r="BI181" i="1"/>
  <c r="BH181" i="1"/>
  <c r="R181" i="1" s="1"/>
  <c r="BG181" i="1"/>
  <c r="BF181" i="1"/>
  <c r="N181" i="1"/>
  <c r="BK1283" i="1"/>
  <c r="BI1283" i="1"/>
  <c r="BH1283" i="1"/>
  <c r="R1283" i="1" s="1"/>
  <c r="BG1283" i="1"/>
  <c r="BR1283" i="1" s="1"/>
  <c r="CA1283" i="1" s="1"/>
  <c r="BF1283" i="1"/>
  <c r="BK2840" i="1"/>
  <c r="BI2840" i="1"/>
  <c r="BH2840" i="1"/>
  <c r="R2840" i="1" s="1"/>
  <c r="BG2840" i="1"/>
  <c r="BF2840" i="1"/>
  <c r="CI2840" i="1" s="1"/>
  <c r="CJ2840" i="1" s="1"/>
  <c r="N2840" i="1"/>
  <c r="BK515" i="1"/>
  <c r="BI515" i="1"/>
  <c r="BH515" i="1"/>
  <c r="R515" i="1" s="1"/>
  <c r="BG515" i="1"/>
  <c r="BF515" i="1"/>
  <c r="N515" i="1"/>
  <c r="BK2183" i="1"/>
  <c r="BI2183" i="1"/>
  <c r="BH2183" i="1"/>
  <c r="R2183" i="1" s="1"/>
  <c r="BG2183" i="1"/>
  <c r="BF2183" i="1"/>
  <c r="N2183" i="1"/>
  <c r="BK2839" i="1"/>
  <c r="BI2839" i="1"/>
  <c r="BH2839" i="1"/>
  <c r="R2839" i="1" s="1"/>
  <c r="BG2839" i="1"/>
  <c r="BF2839" i="1"/>
  <c r="CI2839" i="1" s="1"/>
  <c r="CJ2839" i="1" s="1"/>
  <c r="N2839" i="1"/>
  <c r="BK1042" i="1"/>
  <c r="BI1042" i="1"/>
  <c r="BH1042" i="1"/>
  <c r="R1042" i="1" s="1"/>
  <c r="Q1042" i="1"/>
  <c r="N1042" i="1"/>
  <c r="BK1850" i="1"/>
  <c r="BI1850" i="1"/>
  <c r="BH1850" i="1"/>
  <c r="R1850" i="1" s="1"/>
  <c r="BG1850" i="1"/>
  <c r="BF1850" i="1"/>
  <c r="N1850" i="1"/>
  <c r="BK2298" i="1"/>
  <c r="BI2298" i="1"/>
  <c r="BH2298" i="1"/>
  <c r="R2298" i="1" s="1"/>
  <c r="BG2298" i="1"/>
  <c r="BR2298" i="1" s="1"/>
  <c r="CA2298" i="1" s="1"/>
  <c r="BF2298" i="1"/>
  <c r="BK112" i="1"/>
  <c r="BI112" i="1"/>
  <c r="BH112" i="1"/>
  <c r="R112" i="1" s="1"/>
  <c r="BG112" i="1"/>
  <c r="BF112" i="1"/>
  <c r="N112" i="1"/>
  <c r="BK359" i="1"/>
  <c r="BI359" i="1"/>
  <c r="BH359" i="1"/>
  <c r="R359" i="1" s="1"/>
  <c r="BG359" i="1"/>
  <c r="BF359" i="1"/>
  <c r="CI359" i="1" s="1"/>
  <c r="CJ359" i="1" s="1"/>
  <c r="N359" i="1"/>
  <c r="BK2838" i="1"/>
  <c r="BI2838" i="1"/>
  <c r="BH2838" i="1"/>
  <c r="R2838" i="1" s="1"/>
  <c r="BG2838" i="1"/>
  <c r="N2838" i="1"/>
  <c r="BK153" i="1"/>
  <c r="BI153" i="1"/>
  <c r="BH153" i="1"/>
  <c r="R153" i="1" s="1"/>
  <c r="BG153" i="1"/>
  <c r="BF153" i="1"/>
  <c r="N153" i="1"/>
  <c r="BK2260" i="1"/>
  <c r="BI2260" i="1"/>
  <c r="BH2260" i="1"/>
  <c r="R2260" i="1" s="1"/>
  <c r="Q2260" i="1"/>
  <c r="N2260" i="1"/>
  <c r="BK2" i="1"/>
  <c r="BI2" i="1"/>
  <c r="BH2" i="1"/>
  <c r="R2" i="1" s="1"/>
  <c r="BG2" i="1"/>
  <c r="N2" i="1"/>
  <c r="BK593" i="1"/>
  <c r="BI593" i="1"/>
  <c r="BH593" i="1"/>
  <c r="R593" i="1" s="1"/>
  <c r="BG593" i="1"/>
  <c r="BF593" i="1"/>
  <c r="N593" i="1"/>
  <c r="BK2837" i="1"/>
  <c r="BI2837" i="1"/>
  <c r="BH2837" i="1"/>
  <c r="R2837" i="1" s="1"/>
  <c r="BG2837" i="1"/>
  <c r="BF2837" i="1"/>
  <c r="CI2837" i="1" s="1"/>
  <c r="CJ2837" i="1" s="1"/>
  <c r="N2837" i="1"/>
  <c r="BK1272" i="1"/>
  <c r="BI1272" i="1"/>
  <c r="BH1272" i="1"/>
  <c r="R1272" i="1" s="1"/>
  <c r="BG1272" i="1"/>
  <c r="BF1272" i="1"/>
  <c r="CI1272" i="1" s="1"/>
  <c r="CJ1272" i="1" s="1"/>
  <c r="N1272" i="1"/>
  <c r="BK1023" i="1"/>
  <c r="BI1023" i="1"/>
  <c r="BH1023" i="1"/>
  <c r="R1023" i="1" s="1"/>
  <c r="BG1023" i="1"/>
  <c r="BR1023" i="1" s="1"/>
  <c r="CA1023" i="1" s="1"/>
  <c r="BF1023" i="1"/>
  <c r="BK1832" i="1"/>
  <c r="BI1832" i="1"/>
  <c r="BH1832" i="1"/>
  <c r="R1832" i="1" s="1"/>
  <c r="BG1832" i="1"/>
  <c r="N1832" i="1"/>
  <c r="BK2836" i="1"/>
  <c r="BI2836" i="1"/>
  <c r="BH2836" i="1"/>
  <c r="R2836" i="1" s="1"/>
  <c r="BG2836" i="1"/>
  <c r="BF2836" i="1"/>
  <c r="CI2836" i="1" s="1"/>
  <c r="CJ2836" i="1" s="1"/>
  <c r="N2836" i="1"/>
  <c r="BK2474" i="1"/>
  <c r="BI2474" i="1"/>
  <c r="BH2474" i="1"/>
  <c r="R2474" i="1" s="1"/>
  <c r="BG2474" i="1"/>
  <c r="BF2474" i="1"/>
  <c r="CI2474" i="1" s="1"/>
  <c r="CJ2474" i="1" s="1"/>
  <c r="N2474" i="1"/>
  <c r="BK2430" i="1"/>
  <c r="BI2430" i="1"/>
  <c r="BH2430" i="1"/>
  <c r="R2430" i="1" s="1"/>
  <c r="BG2430" i="1"/>
  <c r="BF2430" i="1"/>
  <c r="CI2430" i="1" s="1"/>
  <c r="CJ2430" i="1" s="1"/>
  <c r="N2430" i="1"/>
  <c r="BK2550" i="1"/>
  <c r="BI2550" i="1"/>
  <c r="BH2550" i="1"/>
  <c r="R2550" i="1" s="1"/>
  <c r="BG2550" i="1"/>
  <c r="BR2550" i="1" s="1"/>
  <c r="CA2550" i="1" s="1"/>
  <c r="BF2550" i="1"/>
  <c r="BK1213" i="1"/>
  <c r="BI1213" i="1"/>
  <c r="BH1213" i="1"/>
  <c r="R1213" i="1" s="1"/>
  <c r="BG1213" i="1"/>
  <c r="BF1213" i="1"/>
  <c r="N1213" i="1"/>
  <c r="BK544" i="1"/>
  <c r="BI544" i="1"/>
  <c r="BH544" i="1"/>
  <c r="R544" i="1" s="1"/>
  <c r="BG544" i="1"/>
  <c r="BF544" i="1"/>
  <c r="CI544" i="1" s="1"/>
  <c r="CJ544" i="1" s="1"/>
  <c r="N544" i="1"/>
  <c r="BK1056" i="1"/>
  <c r="BI1056" i="1"/>
  <c r="BH1056" i="1"/>
  <c r="R1056" i="1" s="1"/>
  <c r="BG1056" i="1"/>
  <c r="BF1056" i="1"/>
  <c r="N1056" i="1"/>
  <c r="BK933" i="1"/>
  <c r="BI933" i="1"/>
  <c r="BH933" i="1"/>
  <c r="R933" i="1" s="1"/>
  <c r="BG933" i="1"/>
  <c r="BF933" i="1"/>
  <c r="N933" i="1"/>
  <c r="BK2835" i="1"/>
  <c r="BI2835" i="1"/>
  <c r="BH2835" i="1"/>
  <c r="R2835" i="1" s="1"/>
  <c r="Q2835" i="1"/>
  <c r="N2835" i="1"/>
  <c r="BK2834" i="1"/>
  <c r="BI2834" i="1"/>
  <c r="BH2834" i="1"/>
  <c r="R2834" i="1" s="1"/>
  <c r="BG2834" i="1"/>
  <c r="BF2834" i="1"/>
  <c r="N2834" i="1"/>
  <c r="BK2833" i="1"/>
  <c r="BI2833" i="1"/>
  <c r="BH2833" i="1"/>
  <c r="R2833" i="1" s="1"/>
  <c r="BG2833" i="1"/>
  <c r="BF2833" i="1"/>
  <c r="N2833" i="1"/>
  <c r="BK439" i="1"/>
  <c r="BI439" i="1"/>
  <c r="BH439" i="1"/>
  <c r="R439" i="1" s="1"/>
  <c r="BG439" i="1"/>
  <c r="BF439" i="1"/>
  <c r="N439" i="1"/>
  <c r="BK2318" i="1"/>
  <c r="BI2318" i="1"/>
  <c r="BH2318" i="1"/>
  <c r="R2318" i="1" s="1"/>
  <c r="BG2318" i="1"/>
  <c r="BF2318" i="1"/>
  <c r="CI2318" i="1" s="1"/>
  <c r="CJ2318" i="1" s="1"/>
  <c r="N2318" i="1"/>
  <c r="BK1570" i="1"/>
  <c r="BI1570" i="1"/>
  <c r="BH1570" i="1"/>
  <c r="R1570" i="1" s="1"/>
  <c r="BG1570" i="1"/>
  <c r="BF1570" i="1"/>
  <c r="N1570" i="1"/>
  <c r="BK2832" i="1"/>
  <c r="BI2832" i="1"/>
  <c r="BH2832" i="1"/>
  <c r="R2832" i="1" s="1"/>
  <c r="BG2832" i="1"/>
  <c r="BR2832" i="1" s="1"/>
  <c r="CA2832" i="1" s="1"/>
  <c r="BF2832" i="1"/>
  <c r="BK2827" i="1"/>
  <c r="BI2827" i="1"/>
  <c r="BH2827" i="1"/>
  <c r="R2827" i="1" s="1"/>
  <c r="BG2827" i="1"/>
  <c r="BR2827" i="1" s="1"/>
  <c r="CA2827" i="1" s="1"/>
  <c r="BF2827" i="1"/>
  <c r="BK1801" i="1"/>
  <c r="BI1801" i="1"/>
  <c r="BH1801" i="1"/>
  <c r="R1801" i="1" s="1"/>
  <c r="BG1801" i="1"/>
  <c r="BF1801" i="1"/>
  <c r="N1801" i="1"/>
  <c r="BK2831" i="1"/>
  <c r="BI2831" i="1"/>
  <c r="BH2831" i="1"/>
  <c r="R2831" i="1" s="1"/>
  <c r="Q2831" i="1"/>
  <c r="N2831" i="1"/>
  <c r="BK1512" i="1"/>
  <c r="BI1512" i="1"/>
  <c r="BH1512" i="1"/>
  <c r="R1512" i="1" s="1"/>
  <c r="BG1512" i="1"/>
  <c r="BF1512" i="1"/>
  <c r="N1512" i="1"/>
  <c r="BK1706" i="1"/>
  <c r="BI1706" i="1"/>
  <c r="BH1706" i="1"/>
  <c r="R1706" i="1" s="1"/>
  <c r="BG1706" i="1"/>
  <c r="BF1706" i="1"/>
  <c r="CI1706" i="1" s="1"/>
  <c r="CJ1706" i="1" s="1"/>
  <c r="N1706" i="1"/>
  <c r="BK1377" i="1"/>
  <c r="BI1377" i="1"/>
  <c r="BH1377" i="1"/>
  <c r="R1377" i="1" s="1"/>
  <c r="BG1377" i="1"/>
  <c r="BR1377" i="1" s="1"/>
  <c r="CA1377" i="1" s="1"/>
  <c r="BF1377" i="1"/>
  <c r="BK2482" i="1"/>
  <c r="BI2482" i="1"/>
  <c r="BH2482" i="1"/>
  <c r="R2482" i="1" s="1"/>
  <c r="BG2482" i="1"/>
  <c r="BF2482" i="1"/>
  <c r="N2482" i="1"/>
  <c r="BK2830" i="1"/>
  <c r="BI2830" i="1"/>
  <c r="BH2830" i="1"/>
  <c r="R2830" i="1" s="1"/>
  <c r="BG2830" i="1"/>
  <c r="BF2830" i="1"/>
  <c r="CI2830" i="1" s="1"/>
  <c r="CJ2830" i="1" s="1"/>
  <c r="N2830" i="1"/>
  <c r="BK1110" i="1"/>
  <c r="BI1110" i="1"/>
  <c r="BH1110" i="1"/>
  <c r="R1110" i="1" s="1"/>
  <c r="BG1110" i="1"/>
  <c r="BF1110" i="1"/>
  <c r="N1110" i="1"/>
  <c r="BK127" i="1"/>
  <c r="BI127" i="1"/>
  <c r="BH127" i="1"/>
  <c r="R127" i="1" s="1"/>
  <c r="BG127" i="1"/>
  <c r="BF127" i="1"/>
  <c r="CI127" i="1" s="1"/>
  <c r="CJ127" i="1" s="1"/>
  <c r="N127" i="1"/>
  <c r="BK2508" i="1"/>
  <c r="BI2508" i="1"/>
  <c r="BH2508" i="1"/>
  <c r="R2508" i="1" s="1"/>
  <c r="BG2508" i="1"/>
  <c r="BF2508" i="1"/>
  <c r="N2508" i="1"/>
  <c r="BK1167" i="1"/>
  <c r="BI1167" i="1"/>
  <c r="BH1167" i="1"/>
  <c r="R1167" i="1" s="1"/>
  <c r="BG1167" i="1"/>
  <c r="BR1167" i="1" s="1"/>
  <c r="CA1167" i="1" s="1"/>
  <c r="BF1167" i="1"/>
  <c r="BK1143" i="1"/>
  <c r="BI1143" i="1"/>
  <c r="BH1143" i="1"/>
  <c r="R1143" i="1" s="1"/>
  <c r="Q1143" i="1"/>
  <c r="N1143" i="1"/>
  <c r="BK2829" i="1"/>
  <c r="BI2829" i="1"/>
  <c r="BH2829" i="1"/>
  <c r="R2829" i="1" s="1"/>
  <c r="BG2829" i="1"/>
  <c r="BX2829" i="1"/>
  <c r="N2829" i="1"/>
  <c r="BK1934" i="1"/>
  <c r="BI1934" i="1"/>
  <c r="BH1934" i="1"/>
  <c r="R1934" i="1" s="1"/>
  <c r="BG1934" i="1"/>
  <c r="N1934" i="1"/>
  <c r="BK2828" i="1"/>
  <c r="BI2828" i="1"/>
  <c r="BH2828" i="1"/>
  <c r="R2828" i="1" s="1"/>
  <c r="BG2828" i="1"/>
  <c r="N2828" i="1"/>
  <c r="BK125" i="1"/>
  <c r="BI125" i="1"/>
  <c r="BH125" i="1"/>
  <c r="R125" i="1" s="1"/>
  <c r="BG125" i="1"/>
  <c r="BF125" i="1"/>
  <c r="N125" i="1"/>
  <c r="BK545" i="1"/>
  <c r="BI545" i="1"/>
  <c r="BH545" i="1"/>
  <c r="R545" i="1" s="1"/>
  <c r="BG545" i="1"/>
  <c r="BF545" i="1"/>
  <c r="N545" i="1"/>
  <c r="BK751" i="1"/>
  <c r="BI751" i="1"/>
  <c r="BH751" i="1"/>
  <c r="R751" i="1" s="1"/>
  <c r="BG751" i="1"/>
  <c r="BF751" i="1"/>
  <c r="CI751" i="1" s="1"/>
  <c r="CJ751" i="1" s="1"/>
  <c r="N751" i="1"/>
  <c r="BK661" i="1"/>
  <c r="BI661" i="1"/>
  <c r="BH661" i="1"/>
  <c r="R661" i="1" s="1"/>
  <c r="BG661" i="1"/>
  <c r="BF661" i="1"/>
  <c r="N661" i="1"/>
  <c r="BK2826" i="1"/>
  <c r="BI2826" i="1"/>
  <c r="BH2826" i="1"/>
  <c r="R2826" i="1" s="1"/>
  <c r="BG2826" i="1"/>
  <c r="BF2826" i="1"/>
  <c r="CI2826" i="1" s="1"/>
  <c r="CJ2826" i="1" s="1"/>
  <c r="N2826" i="1"/>
  <c r="BK1215" i="1"/>
  <c r="BI1215" i="1"/>
  <c r="BH1215" i="1"/>
  <c r="R1215" i="1" s="1"/>
  <c r="BG1215" i="1"/>
  <c r="BF1215" i="1"/>
  <c r="CI1215" i="1" s="1"/>
  <c r="CJ1215" i="1" s="1"/>
  <c r="N1215" i="1"/>
  <c r="BK447" i="1"/>
  <c r="BI447" i="1"/>
  <c r="BH447" i="1"/>
  <c r="R447" i="1" s="1"/>
  <c r="BG447" i="1"/>
  <c r="BF447" i="1"/>
  <c r="N447" i="1"/>
  <c r="BK2825" i="1"/>
  <c r="BI2825" i="1"/>
  <c r="BH2825" i="1"/>
  <c r="R2825" i="1" s="1"/>
  <c r="BG2825" i="1"/>
  <c r="BF2825" i="1"/>
  <c r="CI2825" i="1" s="1"/>
  <c r="CJ2825" i="1" s="1"/>
  <c r="N2825" i="1"/>
  <c r="BK1543" i="1"/>
  <c r="BI1543" i="1"/>
  <c r="BH1543" i="1"/>
  <c r="R1543" i="1" s="1"/>
  <c r="BG1543" i="1"/>
  <c r="BF1543" i="1"/>
  <c r="CI1543" i="1" s="1"/>
  <c r="CJ1543" i="1" s="1"/>
  <c r="N1543" i="1"/>
  <c r="BK2542" i="1"/>
  <c r="BI2542" i="1"/>
  <c r="BH2542" i="1"/>
  <c r="R2542" i="1" s="1"/>
  <c r="BG2542" i="1"/>
  <c r="BX2542" i="1"/>
  <c r="N2542" i="1"/>
  <c r="BK178" i="1"/>
  <c r="BI178" i="1"/>
  <c r="BH178" i="1"/>
  <c r="R178" i="1" s="1"/>
  <c r="BG178" i="1"/>
  <c r="BF178" i="1"/>
  <c r="N178" i="1"/>
  <c r="BK2824" i="1"/>
  <c r="BI2824" i="1"/>
  <c r="BH2824" i="1"/>
  <c r="R2824" i="1" s="1"/>
  <c r="BG2824" i="1"/>
  <c r="BF2824" i="1"/>
  <c r="N2824" i="1"/>
  <c r="BK1171" i="1"/>
  <c r="BI1171" i="1"/>
  <c r="BH1171" i="1"/>
  <c r="R1171" i="1" s="1"/>
  <c r="BG1171" i="1"/>
  <c r="N1171" i="1"/>
  <c r="BK1858" i="1"/>
  <c r="BI1858" i="1"/>
  <c r="BH1858" i="1"/>
  <c r="R1858" i="1" s="1"/>
  <c r="BG1858" i="1"/>
  <c r="BF1858" i="1"/>
  <c r="CI1858" i="1" s="1"/>
  <c r="CJ1858" i="1" s="1"/>
  <c r="N1858" i="1"/>
  <c r="BK2330" i="1"/>
  <c r="BI2330" i="1"/>
  <c r="BH2330" i="1"/>
  <c r="R2330" i="1" s="1"/>
  <c r="BG2330" i="1"/>
  <c r="BF2330" i="1"/>
  <c r="N2330" i="1"/>
  <c r="BK1379" i="1"/>
  <c r="BI1379" i="1"/>
  <c r="BH1379" i="1"/>
  <c r="R1379" i="1" s="1"/>
  <c r="BG1379" i="1"/>
  <c r="BF1379" i="1"/>
  <c r="N1379" i="1"/>
  <c r="BK1242" i="1"/>
  <c r="BI1242" i="1"/>
  <c r="BH1242" i="1"/>
  <c r="R1242" i="1" s="1"/>
  <c r="BG1242" i="1"/>
  <c r="BF1242" i="1"/>
  <c r="N1242" i="1"/>
  <c r="BK851" i="1"/>
  <c r="BI851" i="1"/>
  <c r="BH851" i="1"/>
  <c r="R851" i="1" s="1"/>
  <c r="BG851" i="1"/>
  <c r="N851" i="1"/>
  <c r="BK1731" i="1"/>
  <c r="BI1731" i="1"/>
  <c r="BH1731" i="1"/>
  <c r="R1731" i="1" s="1"/>
  <c r="BG1731" i="1"/>
  <c r="BX1731" i="1"/>
  <c r="N1731" i="1"/>
  <c r="BK1877" i="1"/>
  <c r="BI1877" i="1"/>
  <c r="BH1877" i="1"/>
  <c r="R1877" i="1" s="1"/>
  <c r="BG1877" i="1"/>
  <c r="BF1877" i="1"/>
  <c r="N1877" i="1"/>
  <c r="BK759" i="1"/>
  <c r="BI759" i="1"/>
  <c r="BH759" i="1"/>
  <c r="R759" i="1" s="1"/>
  <c r="BG759" i="1"/>
  <c r="BF759" i="1"/>
  <c r="N759" i="1"/>
  <c r="BK580" i="1"/>
  <c r="BI580" i="1"/>
  <c r="BH580" i="1"/>
  <c r="R580" i="1" s="1"/>
  <c r="BG580" i="1"/>
  <c r="BF580" i="1"/>
  <c r="CI580" i="1" s="1"/>
  <c r="CJ580" i="1" s="1"/>
  <c r="N580" i="1"/>
  <c r="BK1873" i="1"/>
  <c r="BI1873" i="1"/>
  <c r="BH1873" i="1"/>
  <c r="R1873" i="1" s="1"/>
  <c r="BG1873" i="1"/>
  <c r="BF1873" i="1"/>
  <c r="CI1873" i="1" s="1"/>
  <c r="CJ1873" i="1" s="1"/>
  <c r="N1873" i="1"/>
  <c r="BK1006" i="1"/>
  <c r="BI1006" i="1"/>
  <c r="BH1006" i="1"/>
  <c r="R1006" i="1" s="1"/>
  <c r="BG1006" i="1"/>
  <c r="BF1006" i="1"/>
  <c r="N1006" i="1"/>
  <c r="BK1881" i="1"/>
  <c r="BI1881" i="1"/>
  <c r="BH1881" i="1"/>
  <c r="R1881" i="1" s="1"/>
  <c r="BG1881" i="1"/>
  <c r="BF1881" i="1"/>
  <c r="N1881" i="1"/>
  <c r="BK821" i="1"/>
  <c r="BI821" i="1"/>
  <c r="BH821" i="1"/>
  <c r="R821" i="1" s="1"/>
  <c r="BG821" i="1"/>
  <c r="BF821" i="1"/>
  <c r="N821" i="1"/>
  <c r="BK2170" i="1"/>
  <c r="BI2170" i="1"/>
  <c r="BH2170" i="1"/>
  <c r="R2170" i="1" s="1"/>
  <c r="BG2170" i="1"/>
  <c r="BR2170" i="1" s="1"/>
  <c r="CA2170" i="1" s="1"/>
  <c r="BF2170" i="1"/>
  <c r="BK377" i="1"/>
  <c r="BI377" i="1"/>
  <c r="BH377" i="1"/>
  <c r="R377" i="1" s="1"/>
  <c r="BG377" i="1"/>
  <c r="BF377" i="1"/>
  <c r="CI377" i="1" s="1"/>
  <c r="CJ377" i="1" s="1"/>
  <c r="N377" i="1"/>
  <c r="BK1117" i="1"/>
  <c r="BI1117" i="1"/>
  <c r="BH1117" i="1"/>
  <c r="R1117" i="1" s="1"/>
  <c r="BG1117" i="1"/>
  <c r="BF1117" i="1"/>
  <c r="N1117" i="1"/>
  <c r="BK2444" i="1"/>
  <c r="BI2444" i="1"/>
  <c r="BH2444" i="1"/>
  <c r="R2444" i="1" s="1"/>
  <c r="BG2444" i="1"/>
  <c r="BR2444" i="1" s="1"/>
  <c r="CA2444" i="1" s="1"/>
  <c r="BF2444" i="1"/>
  <c r="BK1031" i="1"/>
  <c r="BI1031" i="1"/>
  <c r="BH1031" i="1"/>
  <c r="R1031" i="1" s="1"/>
  <c r="BG1031" i="1"/>
  <c r="BF1031" i="1"/>
  <c r="N1031" i="1"/>
  <c r="BK2484" i="1"/>
  <c r="BI2484" i="1"/>
  <c r="BH2484" i="1"/>
  <c r="R2484" i="1" s="1"/>
  <c r="BG2484" i="1"/>
  <c r="BF2484" i="1"/>
  <c r="N2484" i="1"/>
  <c r="BK963" i="1"/>
  <c r="BI963" i="1"/>
  <c r="BH963" i="1"/>
  <c r="R963" i="1" s="1"/>
  <c r="BG963" i="1"/>
  <c r="BF963" i="1"/>
  <c r="N963" i="1"/>
  <c r="BK703" i="1"/>
  <c r="BI703" i="1"/>
  <c r="BH703" i="1"/>
  <c r="R703" i="1" s="1"/>
  <c r="BG703" i="1"/>
  <c r="BF703" i="1"/>
  <c r="CI703" i="1" s="1"/>
  <c r="CJ703" i="1" s="1"/>
  <c r="N703" i="1"/>
  <c r="BK743" i="1"/>
  <c r="BI743" i="1"/>
  <c r="BH743" i="1"/>
  <c r="R743" i="1" s="1"/>
  <c r="BG743" i="1"/>
  <c r="BR743" i="1" s="1"/>
  <c r="CA743" i="1" s="1"/>
  <c r="BF743" i="1"/>
  <c r="BK2821" i="1"/>
  <c r="BI2821" i="1"/>
  <c r="BH2821" i="1"/>
  <c r="R2821" i="1" s="1"/>
  <c r="BG2821" i="1"/>
  <c r="N2821" i="1"/>
  <c r="BK1548" i="1"/>
  <c r="BI1548" i="1"/>
  <c r="BH1548" i="1"/>
  <c r="R1548" i="1" s="1"/>
  <c r="BG1548" i="1"/>
  <c r="BF1548" i="1"/>
  <c r="N1548" i="1"/>
  <c r="BK1818" i="1"/>
  <c r="BI1818" i="1"/>
  <c r="BH1818" i="1"/>
  <c r="R1818" i="1" s="1"/>
  <c r="BG1818" i="1"/>
  <c r="BF1818" i="1"/>
  <c r="CI1818" i="1" s="1"/>
  <c r="CJ1818" i="1" s="1"/>
  <c r="N1818" i="1"/>
  <c r="BK381" i="1"/>
  <c r="BI381" i="1"/>
  <c r="BH381" i="1"/>
  <c r="R381" i="1" s="1"/>
  <c r="BG381" i="1"/>
  <c r="BF381" i="1"/>
  <c r="N381" i="1"/>
  <c r="BK1114" i="1"/>
  <c r="BI1114" i="1"/>
  <c r="BH1114" i="1"/>
  <c r="R1114" i="1" s="1"/>
  <c r="Q1114" i="1"/>
  <c r="N1114" i="1"/>
  <c r="BK1603" i="1"/>
  <c r="BI1603" i="1"/>
  <c r="BH1603" i="1"/>
  <c r="R1603" i="1" s="1"/>
  <c r="BG1603" i="1"/>
  <c r="BX1603" i="1"/>
  <c r="N1603" i="1"/>
  <c r="BK973" i="1"/>
  <c r="BI973" i="1"/>
  <c r="BH973" i="1"/>
  <c r="R973" i="1" s="1"/>
  <c r="BG973" i="1"/>
  <c r="BF973" i="1"/>
  <c r="N973" i="1"/>
  <c r="BK592" i="1"/>
  <c r="BI592" i="1"/>
  <c r="BH592" i="1"/>
  <c r="R592" i="1" s="1"/>
  <c r="BG592" i="1"/>
  <c r="BF592" i="1"/>
  <c r="N592" i="1"/>
  <c r="BK801" i="1"/>
  <c r="BI801" i="1"/>
  <c r="BH801" i="1"/>
  <c r="R801" i="1" s="1"/>
  <c r="BG801" i="1"/>
  <c r="BX801" i="1"/>
  <c r="BK919" i="1"/>
  <c r="BI919" i="1"/>
  <c r="BH919" i="1"/>
  <c r="R919" i="1" s="1"/>
  <c r="BG919" i="1"/>
  <c r="BF919" i="1"/>
  <c r="N919" i="1"/>
  <c r="BK289" i="1"/>
  <c r="BI289" i="1"/>
  <c r="BH289" i="1"/>
  <c r="R289" i="1" s="1"/>
  <c r="BG289" i="1"/>
  <c r="BF289" i="1"/>
  <c r="N289" i="1"/>
  <c r="BK1452" i="1"/>
  <c r="BI1452" i="1"/>
  <c r="BH1452" i="1"/>
  <c r="R1452" i="1" s="1"/>
  <c r="BG1452" i="1"/>
  <c r="BF1452" i="1"/>
  <c r="CI1452" i="1" s="1"/>
  <c r="CJ1452" i="1" s="1"/>
  <c r="N1452" i="1"/>
  <c r="BK2820" i="1"/>
  <c r="BI2820" i="1"/>
  <c r="BH2820" i="1"/>
  <c r="R2820" i="1" s="1"/>
  <c r="BG2820" i="1"/>
  <c r="BF2820" i="1"/>
  <c r="CI2820" i="1" s="1"/>
  <c r="CJ2820" i="1" s="1"/>
  <c r="N2820" i="1"/>
  <c r="BK1965" i="1"/>
  <c r="BI1965" i="1"/>
  <c r="BH1965" i="1"/>
  <c r="R1965" i="1" s="1"/>
  <c r="BG1965" i="1"/>
  <c r="BF1965" i="1"/>
  <c r="N1965" i="1"/>
  <c r="BK1572" i="1"/>
  <c r="BI1572" i="1"/>
  <c r="BH1572" i="1"/>
  <c r="R1572" i="1" s="1"/>
  <c r="BG1572" i="1"/>
  <c r="N1572" i="1"/>
  <c r="BK1138" i="1"/>
  <c r="BI1138" i="1"/>
  <c r="BH1138" i="1"/>
  <c r="R1138" i="1" s="1"/>
  <c r="BG1138" i="1"/>
  <c r="BR1138" i="1" s="1"/>
  <c r="CA1138" i="1" s="1"/>
  <c r="BF1138" i="1"/>
  <c r="BK1789" i="1"/>
  <c r="BI1789" i="1"/>
  <c r="BH1789" i="1"/>
  <c r="R1789" i="1" s="1"/>
  <c r="BG1789" i="1"/>
  <c r="BF1789" i="1"/>
  <c r="CI1789" i="1" s="1"/>
  <c r="CJ1789" i="1" s="1"/>
  <c r="N1789" i="1"/>
  <c r="BK2362" i="1"/>
  <c r="BI2362" i="1"/>
  <c r="BH2362" i="1"/>
  <c r="R2362" i="1" s="1"/>
  <c r="BG2362" i="1"/>
  <c r="BR2362" i="1" s="1"/>
  <c r="CA2362" i="1" s="1"/>
  <c r="BF2362" i="1"/>
  <c r="BK2819" i="1"/>
  <c r="BI2819" i="1"/>
  <c r="BH2819" i="1"/>
  <c r="R2819" i="1" s="1"/>
  <c r="BG2819" i="1"/>
  <c r="BF2819" i="1"/>
  <c r="CI2819" i="1" s="1"/>
  <c r="CJ2819" i="1" s="1"/>
  <c r="N2819" i="1"/>
  <c r="BK1435" i="1"/>
  <c r="BI1435" i="1"/>
  <c r="BH1435" i="1"/>
  <c r="R1435" i="1" s="1"/>
  <c r="BG1435" i="1"/>
  <c r="BR1435" i="1" s="1"/>
  <c r="CA1435" i="1" s="1"/>
  <c r="BF1435" i="1"/>
  <c r="BK1334" i="1"/>
  <c r="BI1334" i="1"/>
  <c r="BH1334" i="1"/>
  <c r="R1334" i="1" s="1"/>
  <c r="BG1334" i="1"/>
  <c r="BF1334" i="1"/>
  <c r="N1334" i="1"/>
  <c r="BK1300" i="1"/>
  <c r="BI1300" i="1"/>
  <c r="BH1300" i="1"/>
  <c r="R1300" i="1" s="1"/>
  <c r="BG1300" i="1"/>
  <c r="BF1300" i="1"/>
  <c r="N1300" i="1"/>
  <c r="BK2532" i="1"/>
  <c r="BI2532" i="1"/>
  <c r="BH2532" i="1"/>
  <c r="R2532" i="1" s="1"/>
  <c r="BG2532" i="1"/>
  <c r="N2532" i="1"/>
  <c r="BK2196" i="1"/>
  <c r="BI2196" i="1"/>
  <c r="BH2196" i="1"/>
  <c r="R2196" i="1" s="1"/>
  <c r="BG2196" i="1"/>
  <c r="BF2196" i="1"/>
  <c r="N2196" i="1"/>
  <c r="BK2818" i="1"/>
  <c r="BI2818" i="1"/>
  <c r="BH2818" i="1"/>
  <c r="R2818" i="1" s="1"/>
  <c r="BG2818" i="1"/>
  <c r="BF2818" i="1"/>
  <c r="CI2818" i="1" s="1"/>
  <c r="CJ2818" i="1" s="1"/>
  <c r="N2818" i="1"/>
  <c r="BK2273" i="1"/>
  <c r="BI2273" i="1"/>
  <c r="BH2273" i="1"/>
  <c r="R2273" i="1" s="1"/>
  <c r="BG2273" i="1"/>
  <c r="BF2273" i="1"/>
  <c r="CI2273" i="1" s="1"/>
  <c r="CJ2273" i="1" s="1"/>
  <c r="N2273" i="1"/>
  <c r="BK2051" i="1"/>
  <c r="BI2051" i="1"/>
  <c r="BH2051" i="1"/>
  <c r="R2051" i="1" s="1"/>
  <c r="BG2051" i="1"/>
  <c r="BF2051" i="1"/>
  <c r="N2051" i="1"/>
  <c r="BK2271" i="1"/>
  <c r="BI2271" i="1"/>
  <c r="BH2271" i="1"/>
  <c r="R2271" i="1" s="1"/>
  <c r="BG2271" i="1"/>
  <c r="BF2271" i="1"/>
  <c r="N2271" i="1"/>
  <c r="BK2181" i="1"/>
  <c r="BI2181" i="1"/>
  <c r="BH2181" i="1"/>
  <c r="R2181" i="1" s="1"/>
  <c r="BG2181" i="1"/>
  <c r="BF2181" i="1"/>
  <c r="N2181" i="1"/>
  <c r="BK1257" i="1"/>
  <c r="BI1257" i="1"/>
  <c r="BH1257" i="1"/>
  <c r="R1257" i="1" s="1"/>
  <c r="BG1257" i="1"/>
  <c r="BF1257" i="1"/>
  <c r="CI1257" i="1" s="1"/>
  <c r="CJ1257" i="1" s="1"/>
  <c r="N1257" i="1"/>
  <c r="BK2817" i="1"/>
  <c r="BI2817" i="1"/>
  <c r="BH2817" i="1"/>
  <c r="R2817" i="1" s="1"/>
  <c r="BG2817" i="1"/>
  <c r="BF2817" i="1"/>
  <c r="N2817" i="1"/>
  <c r="BK2816" i="1"/>
  <c r="BI2816" i="1"/>
  <c r="BH2816" i="1"/>
  <c r="R2816" i="1" s="1"/>
  <c r="BG2816" i="1"/>
  <c r="BF2816" i="1"/>
  <c r="CI2816" i="1" s="1"/>
  <c r="CJ2816" i="1" s="1"/>
  <c r="N2816" i="1"/>
  <c r="BK11" i="1"/>
  <c r="BI11" i="1"/>
  <c r="BH11" i="1"/>
  <c r="R11" i="1" s="1"/>
  <c r="BG11" i="1"/>
  <c r="BR11" i="1" s="1"/>
  <c r="CA11" i="1" s="1"/>
  <c r="BF11" i="1"/>
  <c r="BK413" i="1"/>
  <c r="BI413" i="1"/>
  <c r="BH413" i="1"/>
  <c r="R413" i="1" s="1"/>
  <c r="BG413" i="1"/>
  <c r="BF413" i="1"/>
  <c r="N413" i="1"/>
  <c r="BK849" i="1"/>
  <c r="BI849" i="1"/>
  <c r="BH849" i="1"/>
  <c r="R849" i="1" s="1"/>
  <c r="BG849" i="1"/>
  <c r="N849" i="1"/>
  <c r="BK913" i="1"/>
  <c r="BI913" i="1"/>
  <c r="BH913" i="1"/>
  <c r="R913" i="1" s="1"/>
  <c r="BG913" i="1"/>
  <c r="BF913" i="1"/>
  <c r="N913" i="1"/>
  <c r="BK2079" i="1"/>
  <c r="BI2079" i="1"/>
  <c r="BH2079" i="1"/>
  <c r="R2079" i="1" s="1"/>
  <c r="BU2079" i="1" s="1"/>
  <c r="BW2079" i="1" s="1"/>
  <c r="BG2079" i="1"/>
  <c r="N2079" i="1"/>
  <c r="BK2815" i="1"/>
  <c r="BI2815" i="1"/>
  <c r="BH2815" i="1"/>
  <c r="R2815" i="1" s="1"/>
  <c r="Q2815" i="1"/>
  <c r="N2815" i="1"/>
  <c r="BK1920" i="1"/>
  <c r="BI1920" i="1"/>
  <c r="BH1920" i="1"/>
  <c r="R1920" i="1" s="1"/>
  <c r="BG1920" i="1"/>
  <c r="BF1920" i="1"/>
  <c r="N1920" i="1"/>
  <c r="BK2814" i="1"/>
  <c r="BI2814" i="1"/>
  <c r="BH2814" i="1"/>
  <c r="R2814" i="1" s="1"/>
  <c r="BG2814" i="1"/>
  <c r="BF2814" i="1"/>
  <c r="CI2814" i="1" s="1"/>
  <c r="CJ2814" i="1" s="1"/>
  <c r="N2814" i="1"/>
  <c r="BK488" i="1"/>
  <c r="BI488" i="1"/>
  <c r="BH488" i="1"/>
  <c r="R488" i="1" s="1"/>
  <c r="BG488" i="1"/>
  <c r="BF488" i="1"/>
  <c r="N488" i="1"/>
  <c r="BK1846" i="1"/>
  <c r="BI1846" i="1"/>
  <c r="BH1846" i="1"/>
  <c r="R1846" i="1" s="1"/>
  <c r="BG1846" i="1"/>
  <c r="BR1846" i="1" s="1"/>
  <c r="CA1846" i="1" s="1"/>
  <c r="BF1846" i="1"/>
  <c r="BK1139" i="1"/>
  <c r="BI1139" i="1"/>
  <c r="BH1139" i="1"/>
  <c r="R1139" i="1" s="1"/>
  <c r="BG1139" i="1"/>
  <c r="BF1139" i="1"/>
  <c r="CI1139" i="1" s="1"/>
  <c r="CJ1139" i="1" s="1"/>
  <c r="N1139" i="1"/>
  <c r="BK1476" i="1"/>
  <c r="BI1476" i="1"/>
  <c r="BH1476" i="1"/>
  <c r="R1476" i="1" s="1"/>
  <c r="BG1476" i="1"/>
  <c r="BR1476" i="1" s="1"/>
  <c r="CA1476" i="1" s="1"/>
  <c r="BF1476" i="1"/>
  <c r="BK1736" i="1"/>
  <c r="BI1736" i="1"/>
  <c r="BH1736" i="1"/>
  <c r="R1736" i="1" s="1"/>
  <c r="BG1736" i="1"/>
  <c r="BF1736" i="1"/>
  <c r="CI1736" i="1" s="1"/>
  <c r="CJ1736" i="1" s="1"/>
  <c r="N1736" i="1"/>
  <c r="BK717" i="1"/>
  <c r="BI717" i="1"/>
  <c r="BH717" i="1"/>
  <c r="R717" i="1" s="1"/>
  <c r="BG717" i="1"/>
  <c r="BR717" i="1" s="1"/>
  <c r="CA717" i="1" s="1"/>
  <c r="BF717" i="1"/>
  <c r="BK2235" i="1"/>
  <c r="BI2235" i="1"/>
  <c r="BH2235" i="1"/>
  <c r="R2235" i="1" s="1"/>
  <c r="BG2235" i="1"/>
  <c r="BF2235" i="1"/>
  <c r="N2235" i="1"/>
  <c r="BK2373" i="1"/>
  <c r="BI2373" i="1"/>
  <c r="BH2373" i="1"/>
  <c r="R2373" i="1" s="1"/>
  <c r="BG2373" i="1"/>
  <c r="N2373" i="1"/>
  <c r="BK457" i="1"/>
  <c r="BI457" i="1"/>
  <c r="BH457" i="1"/>
  <c r="R457" i="1" s="1"/>
  <c r="BG457" i="1"/>
  <c r="BF457" i="1"/>
  <c r="N457" i="1"/>
  <c r="BK1967" i="1"/>
  <c r="BI1967" i="1"/>
  <c r="BH1967" i="1"/>
  <c r="R1967" i="1" s="1"/>
  <c r="BG1967" i="1"/>
  <c r="BF1967" i="1"/>
  <c r="CI1967" i="1" s="1"/>
  <c r="CJ1967" i="1" s="1"/>
  <c r="N1967" i="1"/>
  <c r="BK2222" i="1"/>
  <c r="BI2222" i="1"/>
  <c r="BH2222" i="1"/>
  <c r="R2222" i="1" s="1"/>
  <c r="BG2222" i="1"/>
  <c r="BF2222" i="1"/>
  <c r="N2222" i="1"/>
  <c r="BK653" i="1"/>
  <c r="BI653" i="1"/>
  <c r="BH653" i="1"/>
  <c r="R653" i="1" s="1"/>
  <c r="BG653" i="1"/>
  <c r="BR653" i="1" s="1"/>
  <c r="CA653" i="1" s="1"/>
  <c r="BF653" i="1"/>
  <c r="BK782" i="1"/>
  <c r="BI782" i="1"/>
  <c r="BH782" i="1"/>
  <c r="R782" i="1" s="1"/>
  <c r="BG782" i="1"/>
  <c r="BF782" i="1"/>
  <c r="N782" i="1"/>
  <c r="BK390" i="1"/>
  <c r="BI390" i="1"/>
  <c r="BH390" i="1"/>
  <c r="R390" i="1" s="1"/>
  <c r="BG390" i="1"/>
  <c r="BR390" i="1" s="1"/>
  <c r="CA390" i="1" s="1"/>
  <c r="BF390" i="1"/>
  <c r="BK1427" i="1"/>
  <c r="BI1427" i="1"/>
  <c r="BH1427" i="1"/>
  <c r="R1427" i="1" s="1"/>
  <c r="BG1427" i="1"/>
  <c r="BF1427" i="1"/>
  <c r="CI1427" i="1" s="1"/>
  <c r="CJ1427" i="1" s="1"/>
  <c r="N1427" i="1"/>
  <c r="BK142" i="1"/>
  <c r="BI142" i="1"/>
  <c r="BH142" i="1"/>
  <c r="R142" i="1" s="1"/>
  <c r="BG142" i="1"/>
  <c r="BF142" i="1"/>
  <c r="N142" i="1"/>
  <c r="BK2812" i="1"/>
  <c r="BI2812" i="1"/>
  <c r="BH2812" i="1"/>
  <c r="R2812" i="1" s="1"/>
  <c r="BG2812" i="1"/>
  <c r="Q2812" i="1"/>
  <c r="BK118" i="1"/>
  <c r="BI118" i="1"/>
  <c r="BH118" i="1"/>
  <c r="R118" i="1" s="1"/>
  <c r="BG118" i="1"/>
  <c r="BF118" i="1"/>
  <c r="N118" i="1"/>
  <c r="BK443" i="1"/>
  <c r="BI443" i="1"/>
  <c r="BH443" i="1"/>
  <c r="R443" i="1" s="1"/>
  <c r="BG443" i="1"/>
  <c r="BF443" i="1"/>
  <c r="N443" i="1"/>
  <c r="BK2811" i="1"/>
  <c r="BI2811" i="1"/>
  <c r="BH2811" i="1"/>
  <c r="R2811" i="1" s="1"/>
  <c r="BG2811" i="1"/>
  <c r="BF2811" i="1"/>
  <c r="N2811" i="1"/>
  <c r="BK787" i="1"/>
  <c r="BI787" i="1"/>
  <c r="BH787" i="1"/>
  <c r="R787" i="1" s="1"/>
  <c r="BG787" i="1"/>
  <c r="BF787" i="1"/>
  <c r="CI787" i="1" s="1"/>
  <c r="CJ787" i="1" s="1"/>
  <c r="N787" i="1"/>
  <c r="BK1122" i="1"/>
  <c r="BI1122" i="1"/>
  <c r="BH1122" i="1"/>
  <c r="R1122" i="1" s="1"/>
  <c r="BG1122" i="1"/>
  <c r="BX1122" i="1"/>
  <c r="N1122" i="1"/>
  <c r="BK434" i="1"/>
  <c r="BI434" i="1"/>
  <c r="BH434" i="1"/>
  <c r="R434" i="1" s="1"/>
  <c r="BG434" i="1"/>
  <c r="BR434" i="1" s="1"/>
  <c r="CA434" i="1" s="1"/>
  <c r="BF434" i="1"/>
  <c r="BK1002" i="1"/>
  <c r="BI1002" i="1"/>
  <c r="BH1002" i="1"/>
  <c r="R1002" i="1" s="1"/>
  <c r="Q1002" i="1"/>
  <c r="N1002" i="1"/>
  <c r="BK1480" i="1"/>
  <c r="BI1480" i="1"/>
  <c r="BH1480" i="1"/>
  <c r="R1480" i="1" s="1"/>
  <c r="BG1480" i="1"/>
  <c r="N1480" i="1"/>
  <c r="BK2151" i="1"/>
  <c r="BI2151" i="1"/>
  <c r="BH2151" i="1"/>
  <c r="R2151" i="1" s="1"/>
  <c r="BG2151" i="1"/>
  <c r="BF2151" i="1"/>
  <c r="N2151" i="1"/>
  <c r="BK594" i="1"/>
  <c r="BI594" i="1"/>
  <c r="BH594" i="1"/>
  <c r="R594" i="1" s="1"/>
  <c r="BG594" i="1"/>
  <c r="BF594" i="1"/>
  <c r="N594" i="1"/>
  <c r="BK2810" i="1"/>
  <c r="BI2810" i="1"/>
  <c r="BH2810" i="1"/>
  <c r="R2810" i="1" s="1"/>
  <c r="Q2810" i="1"/>
  <c r="N2810" i="1"/>
  <c r="BK619" i="1"/>
  <c r="BI619" i="1"/>
  <c r="BH619" i="1"/>
  <c r="R619" i="1" s="1"/>
  <c r="BG619" i="1"/>
  <c r="BF619" i="1"/>
  <c r="N619" i="1"/>
  <c r="BK882" i="1"/>
  <c r="BI882" i="1"/>
  <c r="BH882" i="1"/>
  <c r="R882" i="1" s="1"/>
  <c r="BG882" i="1"/>
  <c r="BR882" i="1" s="1"/>
  <c r="CA882" i="1" s="1"/>
  <c r="BF882" i="1"/>
  <c r="BK2809" i="1"/>
  <c r="BI2809" i="1"/>
  <c r="BH2809" i="1"/>
  <c r="R2809" i="1" s="1"/>
  <c r="BG2809" i="1"/>
  <c r="BF2809" i="1"/>
  <c r="CI2809" i="1" s="1"/>
  <c r="CJ2809" i="1" s="1"/>
  <c r="N2809" i="1"/>
  <c r="BK366" i="1"/>
  <c r="BI366" i="1"/>
  <c r="BH366" i="1"/>
  <c r="R366" i="1" s="1"/>
  <c r="BG366" i="1"/>
  <c r="BF366" i="1"/>
  <c r="CI366" i="1" s="1"/>
  <c r="CJ366" i="1" s="1"/>
  <c r="N366" i="1"/>
  <c r="BK2378" i="1"/>
  <c r="BI2378" i="1"/>
  <c r="BH2378" i="1"/>
  <c r="R2378" i="1" s="1"/>
  <c r="Q2378" i="1"/>
  <c r="BK1619" i="1"/>
  <c r="BI1619" i="1"/>
  <c r="BH1619" i="1"/>
  <c r="R1619" i="1" s="1"/>
  <c r="BG1619" i="1"/>
  <c r="BR1619" i="1" s="1"/>
  <c r="CA1619" i="1" s="1"/>
  <c r="BF1619" i="1"/>
  <c r="BK2506" i="1"/>
  <c r="BI2506" i="1"/>
  <c r="BH2506" i="1"/>
  <c r="R2506" i="1" s="1"/>
  <c r="BG2506" i="1"/>
  <c r="BF2506" i="1"/>
  <c r="N2506" i="1"/>
  <c r="BK2808" i="1"/>
  <c r="BI2808" i="1"/>
  <c r="BH2808" i="1"/>
  <c r="R2808" i="1" s="1"/>
  <c r="BG2808" i="1"/>
  <c r="BF2808" i="1"/>
  <c r="N2808" i="1"/>
  <c r="BK440" i="1"/>
  <c r="BI440" i="1"/>
  <c r="BH440" i="1"/>
  <c r="R440" i="1" s="1"/>
  <c r="BG440" i="1"/>
  <c r="BF440" i="1"/>
  <c r="N440" i="1"/>
  <c r="BK2331" i="1"/>
  <c r="BI2331" i="1"/>
  <c r="BH2331" i="1"/>
  <c r="R2331" i="1" s="1"/>
  <c r="BG2331" i="1"/>
  <c r="BF2331" i="1"/>
  <c r="CI2331" i="1" s="1"/>
  <c r="CJ2331" i="1" s="1"/>
  <c r="N2331" i="1"/>
  <c r="BK1840" i="1"/>
  <c r="BI1840" i="1"/>
  <c r="BH1840" i="1"/>
  <c r="R1840" i="1" s="1"/>
  <c r="BG1840" i="1"/>
  <c r="BF1840" i="1"/>
  <c r="N1840" i="1"/>
  <c r="BK1280" i="1"/>
  <c r="BI1280" i="1"/>
  <c r="BH1280" i="1"/>
  <c r="R1280" i="1" s="1"/>
  <c r="BG1280" i="1"/>
  <c r="BF1280" i="1"/>
  <c r="CI1280" i="1" s="1"/>
  <c r="CJ1280" i="1" s="1"/>
  <c r="N1280" i="1"/>
  <c r="BK2243" i="1"/>
  <c r="BI2243" i="1"/>
  <c r="BH2243" i="1"/>
  <c r="R2243" i="1" s="1"/>
  <c r="BG2243" i="1"/>
  <c r="BF2243" i="1"/>
  <c r="CI2243" i="1" s="1"/>
  <c r="CJ2243" i="1" s="1"/>
  <c r="N2243" i="1"/>
  <c r="BK174" i="1"/>
  <c r="BI174" i="1"/>
  <c r="BH174" i="1"/>
  <c r="R174" i="1" s="1"/>
  <c r="BG174" i="1"/>
  <c r="BF174" i="1"/>
  <c r="N174" i="1"/>
  <c r="BK2807" i="1"/>
  <c r="BI2807" i="1"/>
  <c r="BH2807" i="1"/>
  <c r="R2807" i="1" s="1"/>
  <c r="BG2807" i="1"/>
  <c r="BF2807" i="1"/>
  <c r="N2807" i="1"/>
  <c r="BK725" i="1"/>
  <c r="BI725" i="1"/>
  <c r="BH725" i="1"/>
  <c r="R725" i="1" s="1"/>
  <c r="BG725" i="1"/>
  <c r="BF725" i="1"/>
  <c r="N725" i="1"/>
  <c r="BK1008" i="1"/>
  <c r="BI1008" i="1"/>
  <c r="BH1008" i="1"/>
  <c r="R1008" i="1" s="1"/>
  <c r="BG1008" i="1"/>
  <c r="BF1008" i="1"/>
  <c r="CI1008" i="1" s="1"/>
  <c r="CJ1008" i="1" s="1"/>
  <c r="N1008" i="1"/>
  <c r="BK1376" i="1"/>
  <c r="BI1376" i="1"/>
  <c r="BH1376" i="1"/>
  <c r="R1376" i="1" s="1"/>
  <c r="BG1376" i="1"/>
  <c r="BF1376" i="1"/>
  <c r="CI1376" i="1" s="1"/>
  <c r="CJ1376" i="1" s="1"/>
  <c r="N1376" i="1"/>
  <c r="BK1353" i="1"/>
  <c r="BI1353" i="1"/>
  <c r="BH1353" i="1"/>
  <c r="R1353" i="1" s="1"/>
  <c r="BG1353" i="1"/>
  <c r="BF1353" i="1"/>
  <c r="N1353" i="1"/>
  <c r="BK1898" i="1"/>
  <c r="BI1898" i="1"/>
  <c r="BH1898" i="1"/>
  <c r="R1898" i="1" s="1"/>
  <c r="BG1898" i="1"/>
  <c r="N1898" i="1"/>
  <c r="BK1922" i="1"/>
  <c r="BI1922" i="1"/>
  <c r="BH1922" i="1"/>
  <c r="R1922" i="1" s="1"/>
  <c r="BG1922" i="1"/>
  <c r="BF1922" i="1"/>
  <c r="CI1922" i="1" s="1"/>
  <c r="CJ1922" i="1" s="1"/>
  <c r="N1922" i="1"/>
  <c r="BK2283" i="1"/>
  <c r="BI2283" i="1"/>
  <c r="BH2283" i="1"/>
  <c r="R2283" i="1" s="1"/>
  <c r="BG2283" i="1"/>
  <c r="BF2283" i="1"/>
  <c r="N2283" i="1"/>
  <c r="BK15" i="1"/>
  <c r="BI15" i="1"/>
  <c r="BH15" i="1"/>
  <c r="R15" i="1" s="1"/>
  <c r="BG15" i="1"/>
  <c r="BF15" i="1"/>
  <c r="CI15" i="1" s="1"/>
  <c r="CJ15" i="1" s="1"/>
  <c r="N15" i="1"/>
  <c r="BK659" i="1"/>
  <c r="BI659" i="1"/>
  <c r="BH659" i="1"/>
  <c r="R659" i="1" s="1"/>
  <c r="BG659" i="1"/>
  <c r="BF659" i="1"/>
  <c r="CI659" i="1" s="1"/>
  <c r="CJ659" i="1" s="1"/>
  <c r="N659" i="1"/>
  <c r="BK748" i="1"/>
  <c r="BI748" i="1"/>
  <c r="BH748" i="1"/>
  <c r="R748" i="1" s="1"/>
  <c r="BG748" i="1"/>
  <c r="BF748" i="1"/>
  <c r="N748" i="1"/>
  <c r="BK587" i="1"/>
  <c r="BI587" i="1"/>
  <c r="BH587" i="1"/>
  <c r="R587" i="1" s="1"/>
  <c r="BG587" i="1"/>
  <c r="BF587" i="1"/>
  <c r="CI587" i="1" s="1"/>
  <c r="CJ587" i="1" s="1"/>
  <c r="N587" i="1"/>
  <c r="BK1964" i="1"/>
  <c r="BI1964" i="1"/>
  <c r="BH1964" i="1"/>
  <c r="R1964" i="1" s="1"/>
  <c r="BG1964" i="1"/>
  <c r="BF1964" i="1"/>
  <c r="N1964" i="1"/>
  <c r="BK977" i="1"/>
  <c r="BI977" i="1"/>
  <c r="BH977" i="1"/>
  <c r="R977" i="1" s="1"/>
  <c r="BG977" i="1"/>
  <c r="BF977" i="1"/>
  <c r="CI977" i="1" s="1"/>
  <c r="CJ977" i="1" s="1"/>
  <c r="N977" i="1"/>
  <c r="BK2498" i="1"/>
  <c r="BI2498" i="1"/>
  <c r="BH2498" i="1"/>
  <c r="R2498" i="1" s="1"/>
  <c r="BG2498" i="1"/>
  <c r="BF2498" i="1"/>
  <c r="N2498" i="1"/>
  <c r="BK2091" i="1"/>
  <c r="BI2091" i="1"/>
  <c r="BH2091" i="1"/>
  <c r="R2091" i="1" s="1"/>
  <c r="BG2091" i="1"/>
  <c r="BF2091" i="1"/>
  <c r="CI2091" i="1" s="1"/>
  <c r="CJ2091" i="1" s="1"/>
  <c r="N2091" i="1"/>
  <c r="BK1874" i="1"/>
  <c r="BI1874" i="1"/>
  <c r="BH1874" i="1"/>
  <c r="R1874" i="1" s="1"/>
  <c r="BG1874" i="1"/>
  <c r="BR1874" i="1" s="1"/>
  <c r="CA1874" i="1" s="1"/>
  <c r="BF1874" i="1"/>
  <c r="BK848" i="1"/>
  <c r="BI848" i="1"/>
  <c r="BH848" i="1"/>
  <c r="R848" i="1" s="1"/>
  <c r="BG848" i="1"/>
  <c r="BF848" i="1"/>
  <c r="CI848" i="1" s="1"/>
  <c r="CJ848" i="1" s="1"/>
  <c r="N848" i="1"/>
  <c r="BK2806" i="1"/>
  <c r="BI2806" i="1"/>
  <c r="BH2806" i="1"/>
  <c r="R2806" i="1" s="1"/>
  <c r="BG2806" i="1"/>
  <c r="BF2806" i="1"/>
  <c r="N2806" i="1"/>
  <c r="BK637" i="1"/>
  <c r="BI637" i="1"/>
  <c r="BH637" i="1"/>
  <c r="R637" i="1" s="1"/>
  <c r="BG637" i="1"/>
  <c r="BF637" i="1"/>
  <c r="CI637" i="1" s="1"/>
  <c r="CJ637" i="1" s="1"/>
  <c r="N637" i="1"/>
  <c r="BK1624" i="1"/>
  <c r="BI1624" i="1"/>
  <c r="BH1624" i="1"/>
  <c r="R1624" i="1" s="1"/>
  <c r="BG1624" i="1"/>
  <c r="BF1624" i="1"/>
  <c r="N1624" i="1"/>
  <c r="BK1698" i="1"/>
  <c r="BI1698" i="1"/>
  <c r="BH1698" i="1"/>
  <c r="R1698" i="1" s="1"/>
  <c r="BG1698" i="1"/>
  <c r="BR1698" i="1" s="1"/>
  <c r="CA1698" i="1" s="1"/>
  <c r="BF1698" i="1"/>
  <c r="BK2515" i="1"/>
  <c r="BI2515" i="1"/>
  <c r="BH2515" i="1"/>
  <c r="R2515" i="1" s="1"/>
  <c r="BG2515" i="1"/>
  <c r="BF2515" i="1"/>
  <c r="N2515" i="1"/>
  <c r="BK1209" i="1"/>
  <c r="BI1209" i="1"/>
  <c r="BH1209" i="1"/>
  <c r="R1209" i="1" s="1"/>
  <c r="Q1209" i="1"/>
  <c r="N1209" i="1"/>
  <c r="BK2429" i="1"/>
  <c r="BI2429" i="1"/>
  <c r="BH2429" i="1"/>
  <c r="R2429" i="1" s="1"/>
  <c r="BG2429" i="1"/>
  <c r="BX2429" i="1"/>
  <c r="N2429" i="1"/>
  <c r="BK2805" i="1"/>
  <c r="BI2805" i="1"/>
  <c r="BH2805" i="1"/>
  <c r="R2805" i="1" s="1"/>
  <c r="BG2805" i="1"/>
  <c r="BF2805" i="1"/>
  <c r="CI2805" i="1" s="1"/>
  <c r="CJ2805" i="1" s="1"/>
  <c r="N2805" i="1"/>
  <c r="BK2306" i="1"/>
  <c r="BI2306" i="1"/>
  <c r="BH2306" i="1"/>
  <c r="R2306" i="1" s="1"/>
  <c r="BG2306" i="1"/>
  <c r="BF2306" i="1"/>
  <c r="CI2306" i="1" s="1"/>
  <c r="CJ2306" i="1" s="1"/>
  <c r="N2306" i="1"/>
  <c r="BK1314" i="1"/>
  <c r="BI1314" i="1"/>
  <c r="BH1314" i="1"/>
  <c r="R1314" i="1" s="1"/>
  <c r="BG1314" i="1"/>
  <c r="BF1314" i="1"/>
  <c r="CI1314" i="1" s="1"/>
  <c r="CJ1314" i="1" s="1"/>
  <c r="N1314" i="1"/>
  <c r="BK141" i="1"/>
  <c r="BI141" i="1"/>
  <c r="BH141" i="1"/>
  <c r="R141" i="1" s="1"/>
  <c r="BG141" i="1"/>
  <c r="BF141" i="1"/>
  <c r="N141" i="1"/>
  <c r="BK885" i="1"/>
  <c r="BI885" i="1"/>
  <c r="BH885" i="1"/>
  <c r="R885" i="1" s="1"/>
  <c r="BG885" i="1"/>
  <c r="BR885" i="1" s="1"/>
  <c r="CA885" i="1" s="1"/>
  <c r="BF885" i="1"/>
  <c r="BK2804" i="1"/>
  <c r="BI2804" i="1"/>
  <c r="BH2804" i="1"/>
  <c r="R2804" i="1" s="1"/>
  <c r="BG2804" i="1"/>
  <c r="BF2804" i="1"/>
  <c r="N2804" i="1"/>
  <c r="BK2803" i="1"/>
  <c r="BI2803" i="1"/>
  <c r="BH2803" i="1"/>
  <c r="R2803" i="1" s="1"/>
  <c r="BG2803" i="1"/>
  <c r="BX2803" i="1"/>
  <c r="N2803" i="1"/>
  <c r="BK2163" i="1"/>
  <c r="BI2163" i="1"/>
  <c r="BH2163" i="1"/>
  <c r="R2163" i="1" s="1"/>
  <c r="BG2163" i="1"/>
  <c r="BF2163" i="1"/>
  <c r="CI2163" i="1" s="1"/>
  <c r="CJ2163" i="1" s="1"/>
  <c r="N2163" i="1"/>
  <c r="BK2172" i="1"/>
  <c r="BI2172" i="1"/>
  <c r="BH2172" i="1"/>
  <c r="R2172" i="1" s="1"/>
  <c r="BG2172" i="1"/>
  <c r="BR2172" i="1" s="1"/>
  <c r="CA2172" i="1" s="1"/>
  <c r="BF2172" i="1"/>
  <c r="BK684" i="1"/>
  <c r="BI684" i="1"/>
  <c r="BH684" i="1"/>
  <c r="R684" i="1" s="1"/>
  <c r="BG684" i="1"/>
  <c r="BX684" i="1"/>
  <c r="N684" i="1"/>
  <c r="BK1722" i="1"/>
  <c r="BI1722" i="1"/>
  <c r="BH1722" i="1"/>
  <c r="R1722" i="1" s="1"/>
  <c r="BG1722" i="1"/>
  <c r="BF1722" i="1"/>
  <c r="N1722" i="1"/>
  <c r="BK2434" i="1"/>
  <c r="BI2434" i="1"/>
  <c r="BH2434" i="1"/>
  <c r="R2434" i="1" s="1"/>
  <c r="BG2434" i="1"/>
  <c r="BR2434" i="1" s="1"/>
  <c r="CA2434" i="1" s="1"/>
  <c r="BF2434" i="1"/>
  <c r="BK1544" i="1"/>
  <c r="BI1544" i="1"/>
  <c r="BH1544" i="1"/>
  <c r="R1544" i="1" s="1"/>
  <c r="BG1544" i="1"/>
  <c r="BF1544" i="1"/>
  <c r="N1544" i="1"/>
  <c r="BK2569" i="1"/>
  <c r="BI2569" i="1"/>
  <c r="BH2569" i="1"/>
  <c r="R2569" i="1" s="1"/>
  <c r="BG2569" i="1"/>
  <c r="BF2569" i="1"/>
  <c r="N2569" i="1"/>
  <c r="BK886" i="1"/>
  <c r="BI886" i="1"/>
  <c r="BH886" i="1"/>
  <c r="R886" i="1" s="1"/>
  <c r="BG886" i="1"/>
  <c r="BF886" i="1"/>
  <c r="N886" i="1"/>
  <c r="BK2802" i="1"/>
  <c r="BI2802" i="1"/>
  <c r="BH2802" i="1"/>
  <c r="R2802" i="1" s="1"/>
  <c r="BG2802" i="1"/>
  <c r="BF2802" i="1"/>
  <c r="N2802" i="1"/>
  <c r="BK2002" i="1"/>
  <c r="BI2002" i="1"/>
  <c r="BH2002" i="1"/>
  <c r="R2002" i="1" s="1"/>
  <c r="BG2002" i="1"/>
  <c r="BX2002" i="1"/>
  <c r="N2002" i="1"/>
  <c r="BK2801" i="1"/>
  <c r="BI2801" i="1"/>
  <c r="BH2801" i="1"/>
  <c r="R2801" i="1" s="1"/>
  <c r="BG2801" i="1"/>
  <c r="BF2801" i="1"/>
  <c r="N2801" i="1"/>
  <c r="BK2132" i="1"/>
  <c r="BI2132" i="1"/>
  <c r="BH2132" i="1"/>
  <c r="R2132" i="1" s="1"/>
  <c r="BG2132" i="1"/>
  <c r="BF2132" i="1"/>
  <c r="CI2132" i="1" s="1"/>
  <c r="CJ2132" i="1" s="1"/>
  <c r="N2132" i="1"/>
  <c r="BK949" i="1"/>
  <c r="BI949" i="1"/>
  <c r="BH949" i="1"/>
  <c r="R949" i="1" s="1"/>
  <c r="BG949" i="1"/>
  <c r="BF949" i="1"/>
  <c r="N949" i="1"/>
  <c r="BK2224" i="1"/>
  <c r="BI2224" i="1"/>
  <c r="BH2224" i="1"/>
  <c r="R2224" i="1" s="1"/>
  <c r="BG2224" i="1"/>
  <c r="BX2224" i="1"/>
  <c r="N2224" i="1"/>
  <c r="BK784" i="1"/>
  <c r="BI784" i="1"/>
  <c r="BH784" i="1"/>
  <c r="R784" i="1" s="1"/>
  <c r="BG784" i="1"/>
  <c r="BR784" i="1" s="1"/>
  <c r="CA784" i="1" s="1"/>
  <c r="BF784" i="1"/>
  <c r="BK1982" i="1"/>
  <c r="BI1982" i="1"/>
  <c r="BH1982" i="1"/>
  <c r="R1982" i="1" s="1"/>
  <c r="BG1982" i="1"/>
  <c r="BF1982" i="1"/>
  <c r="N1982" i="1"/>
  <c r="BK2800" i="1"/>
  <c r="BI2800" i="1"/>
  <c r="BH2800" i="1"/>
  <c r="R2800" i="1" s="1"/>
  <c r="BG2800" i="1"/>
  <c r="BF2800" i="1"/>
  <c r="CI2800" i="1" s="1"/>
  <c r="CJ2800" i="1" s="1"/>
  <c r="N2800" i="1"/>
  <c r="BK2796" i="1"/>
  <c r="BI2796" i="1"/>
  <c r="BH2796" i="1"/>
  <c r="R2796" i="1" s="1"/>
  <c r="Q2796" i="1"/>
  <c r="N2796" i="1"/>
  <c r="BK2799" i="1"/>
  <c r="BI2799" i="1"/>
  <c r="BH2799" i="1"/>
  <c r="R2799" i="1" s="1"/>
  <c r="Q2799" i="1"/>
  <c r="N2799" i="1"/>
  <c r="BK2490" i="1"/>
  <c r="BI2490" i="1"/>
  <c r="BH2490" i="1"/>
  <c r="R2490" i="1" s="1"/>
  <c r="Q2490" i="1"/>
  <c r="BK2798" i="1"/>
  <c r="BI2798" i="1"/>
  <c r="BH2798" i="1"/>
  <c r="R2798" i="1" s="1"/>
  <c r="BG2798" i="1"/>
  <c r="BF2798" i="1"/>
  <c r="N2798" i="1"/>
  <c r="BK2534" i="1"/>
  <c r="BI2534" i="1"/>
  <c r="BH2534" i="1"/>
  <c r="R2534" i="1" s="1"/>
  <c r="Q2534" i="1"/>
  <c r="BK2797" i="1"/>
  <c r="BI2797" i="1"/>
  <c r="BH2797" i="1"/>
  <c r="R2797" i="1" s="1"/>
  <c r="BG2797" i="1"/>
  <c r="BF2797" i="1"/>
  <c r="CI2797" i="1" s="1"/>
  <c r="CJ2797" i="1" s="1"/>
  <c r="N2797" i="1"/>
  <c r="BK2795" i="1"/>
  <c r="BI2795" i="1"/>
  <c r="BH2795" i="1"/>
  <c r="R2795" i="1" s="1"/>
  <c r="BG2795" i="1"/>
  <c r="BR2795" i="1" s="1"/>
  <c r="CA2795" i="1" s="1"/>
  <c r="BF2795" i="1"/>
  <c r="BK2794" i="1"/>
  <c r="BI2794" i="1"/>
  <c r="BH2794" i="1"/>
  <c r="R2794" i="1" s="1"/>
  <c r="BG2794" i="1"/>
  <c r="BF2794" i="1"/>
  <c r="CI2794" i="1" s="1"/>
  <c r="CJ2794" i="1" s="1"/>
  <c r="N2794" i="1"/>
  <c r="BK2238" i="1"/>
  <c r="BI2238" i="1"/>
  <c r="BH2238" i="1"/>
  <c r="R2238" i="1" s="1"/>
  <c r="BG2238" i="1"/>
  <c r="BF2238" i="1"/>
  <c r="N2238" i="1"/>
  <c r="BK2608" i="1"/>
  <c r="BI2608" i="1"/>
  <c r="BH2608" i="1"/>
  <c r="R2608" i="1" s="1"/>
  <c r="BG2608" i="1"/>
  <c r="BF2608" i="1"/>
  <c r="CI2608" i="1" s="1"/>
  <c r="CJ2608" i="1" s="1"/>
  <c r="N2608" i="1"/>
  <c r="BK546" i="1"/>
  <c r="BI546" i="1"/>
  <c r="BH546" i="1"/>
  <c r="R546" i="1" s="1"/>
  <c r="BG546" i="1"/>
  <c r="BF546" i="1"/>
  <c r="N546" i="1"/>
  <c r="BK568" i="1"/>
  <c r="BI568" i="1"/>
  <c r="BH568" i="1"/>
  <c r="R568" i="1" s="1"/>
  <c r="Q568" i="1"/>
  <c r="N568" i="1"/>
  <c r="BK1784" i="1"/>
  <c r="BI1784" i="1"/>
  <c r="BH1784" i="1"/>
  <c r="R1784" i="1" s="1"/>
  <c r="BG1784" i="1"/>
  <c r="BF1784" i="1"/>
  <c r="CI1784" i="1" s="1"/>
  <c r="CJ1784" i="1" s="1"/>
  <c r="N1784" i="1"/>
  <c r="BK461" i="1"/>
  <c r="BI461" i="1"/>
  <c r="BH461" i="1"/>
  <c r="R461" i="1" s="1"/>
  <c r="BG461" i="1"/>
  <c r="BF461" i="1"/>
  <c r="N461" i="1"/>
  <c r="BK1583" i="1"/>
  <c r="BI1583" i="1"/>
  <c r="BH1583" i="1"/>
  <c r="R1583" i="1" s="1"/>
  <c r="BG1583" i="1"/>
  <c r="BF1583" i="1"/>
  <c r="CI1583" i="1" s="1"/>
  <c r="CJ1583" i="1" s="1"/>
  <c r="N1583" i="1"/>
  <c r="BK2792" i="1"/>
  <c r="BI2792" i="1"/>
  <c r="BH2792" i="1"/>
  <c r="R2792" i="1" s="1"/>
  <c r="BG2792" i="1"/>
  <c r="BF2792" i="1"/>
  <c r="CI2792" i="1" s="1"/>
  <c r="CJ2792" i="1" s="1"/>
  <c r="N2792" i="1"/>
  <c r="BK1315" i="1"/>
  <c r="BI1315" i="1"/>
  <c r="BH1315" i="1"/>
  <c r="R1315" i="1" s="1"/>
  <c r="BG1315" i="1"/>
  <c r="BF1315" i="1"/>
  <c r="N1315" i="1"/>
  <c r="BK1222" i="1"/>
  <c r="BI1222" i="1"/>
  <c r="BH1222" i="1"/>
  <c r="R1222" i="1" s="1"/>
  <c r="BG1222" i="1"/>
  <c r="BF1222" i="1"/>
  <c r="N1222" i="1"/>
  <c r="BK937" i="1"/>
  <c r="BI937" i="1"/>
  <c r="BH937" i="1"/>
  <c r="R937" i="1" s="1"/>
  <c r="BG937" i="1"/>
  <c r="BF937" i="1"/>
  <c r="CI937" i="1" s="1"/>
  <c r="CJ937" i="1" s="1"/>
  <c r="N937" i="1"/>
  <c r="BK398" i="1"/>
  <c r="BI398" i="1"/>
  <c r="BH398" i="1"/>
  <c r="R398" i="1" s="1"/>
  <c r="BG398" i="1"/>
  <c r="BF398" i="1"/>
  <c r="CI398" i="1" s="1"/>
  <c r="CJ398" i="1" s="1"/>
  <c r="N398" i="1"/>
  <c r="BK1839" i="1"/>
  <c r="BI1839" i="1"/>
  <c r="BH1839" i="1"/>
  <c r="R1839" i="1" s="1"/>
  <c r="BG1839" i="1"/>
  <c r="BF1839" i="1"/>
  <c r="CI1839" i="1" s="1"/>
  <c r="CJ1839" i="1" s="1"/>
  <c r="N1839" i="1"/>
  <c r="BK1529" i="1"/>
  <c r="BI1529" i="1"/>
  <c r="BH1529" i="1"/>
  <c r="R1529" i="1" s="1"/>
  <c r="BG1529" i="1"/>
  <c r="BX1529" i="1"/>
  <c r="N1529" i="1"/>
  <c r="BK2006" i="1"/>
  <c r="BI2006" i="1"/>
  <c r="BH2006" i="1"/>
  <c r="R2006" i="1" s="1"/>
  <c r="BG2006" i="1"/>
  <c r="BF2006" i="1"/>
  <c r="CI2006" i="1" s="1"/>
  <c r="CJ2006" i="1" s="1"/>
  <c r="N2006" i="1"/>
  <c r="BK2365" i="1"/>
  <c r="BI2365" i="1"/>
  <c r="BH2365" i="1"/>
  <c r="R2365" i="1" s="1"/>
  <c r="BG2365" i="1"/>
  <c r="BF2365" i="1"/>
  <c r="N2365" i="1"/>
  <c r="BK1207" i="1"/>
  <c r="BI1207" i="1"/>
  <c r="BH1207" i="1"/>
  <c r="R1207" i="1" s="1"/>
  <c r="BG1207" i="1"/>
  <c r="BF1207" i="1"/>
  <c r="N1207" i="1"/>
  <c r="BK2791" i="1"/>
  <c r="BI2791" i="1"/>
  <c r="BH2791" i="1"/>
  <c r="R2791" i="1" s="1"/>
  <c r="BG2791" i="1"/>
  <c r="BF2791" i="1"/>
  <c r="N2791" i="1"/>
  <c r="BK2790" i="1"/>
  <c r="BI2790" i="1"/>
  <c r="BH2790" i="1"/>
  <c r="R2790" i="1" s="1"/>
  <c r="BG2790" i="1"/>
  <c r="BF2790" i="1"/>
  <c r="N2790" i="1"/>
  <c r="BK2789" i="1"/>
  <c r="BI2789" i="1"/>
  <c r="BH2789" i="1"/>
  <c r="R2789" i="1" s="1"/>
  <c r="BG2789" i="1"/>
  <c r="BF2789" i="1"/>
  <c r="N2789" i="1"/>
  <c r="BK2788" i="1"/>
  <c r="BI2788" i="1"/>
  <c r="BH2788" i="1"/>
  <c r="R2788" i="1" s="1"/>
  <c r="BG2788" i="1"/>
  <c r="BF2788" i="1"/>
  <c r="CI2788" i="1" s="1"/>
  <c r="CJ2788" i="1" s="1"/>
  <c r="N2788" i="1"/>
  <c r="BK2787" i="1"/>
  <c r="BI2787" i="1"/>
  <c r="BH2787" i="1"/>
  <c r="R2787" i="1" s="1"/>
  <c r="BG2787" i="1"/>
  <c r="BF2787" i="1"/>
  <c r="CI2787" i="1" s="1"/>
  <c r="CJ2787" i="1" s="1"/>
  <c r="N2787" i="1"/>
  <c r="BK2080" i="1"/>
  <c r="BI2080" i="1"/>
  <c r="BH2080" i="1"/>
  <c r="R2080" i="1" s="1"/>
  <c r="BG2080" i="1"/>
  <c r="BF2080" i="1"/>
  <c r="CI2080" i="1" s="1"/>
  <c r="CJ2080" i="1" s="1"/>
  <c r="N2080" i="1"/>
  <c r="BK2786" i="1"/>
  <c r="BI2786" i="1"/>
  <c r="BH2786" i="1"/>
  <c r="R2786" i="1" s="1"/>
  <c r="Q2786" i="1"/>
  <c r="N2786" i="1"/>
  <c r="BK2487" i="1"/>
  <c r="BI2487" i="1"/>
  <c r="BH2487" i="1"/>
  <c r="R2487" i="1" s="1"/>
  <c r="BG2487" i="1"/>
  <c r="BR2487" i="1" s="1"/>
  <c r="CA2487" i="1" s="1"/>
  <c r="BF2487" i="1"/>
  <c r="BK410" i="1"/>
  <c r="BI410" i="1"/>
  <c r="BH410" i="1"/>
  <c r="R410" i="1" s="1"/>
  <c r="BG410" i="1"/>
  <c r="BR410" i="1" s="1"/>
  <c r="CA410" i="1" s="1"/>
  <c r="BF410" i="1"/>
  <c r="BK364" i="1"/>
  <c r="BI364" i="1"/>
  <c r="BH364" i="1"/>
  <c r="R364" i="1" s="1"/>
  <c r="BG364" i="1"/>
  <c r="BF364" i="1"/>
  <c r="CI364" i="1" s="1"/>
  <c r="CJ364" i="1" s="1"/>
  <c r="N364" i="1"/>
  <c r="BK2783" i="1"/>
  <c r="BI2783" i="1"/>
  <c r="BH2783" i="1"/>
  <c r="R2783" i="1" s="1"/>
  <c r="BG2783" i="1"/>
  <c r="BF2783" i="1"/>
  <c r="N2783" i="1"/>
  <c r="BK2785" i="1"/>
  <c r="BI2785" i="1"/>
  <c r="BH2785" i="1"/>
  <c r="R2785" i="1" s="1"/>
  <c r="BG2785" i="1"/>
  <c r="BF2785" i="1"/>
  <c r="CI2785" i="1" s="1"/>
  <c r="CJ2785" i="1" s="1"/>
  <c r="N2785" i="1"/>
  <c r="BK2784" i="1"/>
  <c r="BI2784" i="1"/>
  <c r="BH2784" i="1"/>
  <c r="R2784" i="1" s="1"/>
  <c r="BG2784" i="1"/>
  <c r="BF2784" i="1"/>
  <c r="N2784" i="1"/>
  <c r="BK450" i="1"/>
  <c r="BI450" i="1"/>
  <c r="BH450" i="1"/>
  <c r="R450" i="1" s="1"/>
  <c r="BG450" i="1"/>
  <c r="BF450" i="1"/>
  <c r="CI450" i="1" s="1"/>
  <c r="CJ450" i="1" s="1"/>
  <c r="N450" i="1"/>
  <c r="BK2038" i="1"/>
  <c r="BI2038" i="1"/>
  <c r="BH2038" i="1"/>
  <c r="R2038" i="1" s="1"/>
  <c r="BG2038" i="1"/>
  <c r="BF2038" i="1"/>
  <c r="N2038" i="1"/>
  <c r="BK326" i="1"/>
  <c r="BI326" i="1"/>
  <c r="BH326" i="1"/>
  <c r="R326" i="1" s="1"/>
  <c r="BG326" i="1"/>
  <c r="BF326" i="1"/>
  <c r="N326" i="1"/>
  <c r="BK2411" i="1"/>
  <c r="BI2411" i="1"/>
  <c r="BH2411" i="1"/>
  <c r="R2411" i="1" s="1"/>
  <c r="BG2411" i="1"/>
  <c r="BF2411" i="1"/>
  <c r="N2411" i="1"/>
  <c r="BK888" i="1"/>
  <c r="BI888" i="1"/>
  <c r="BH888" i="1"/>
  <c r="R888" i="1" s="1"/>
  <c r="BU888" i="1" s="1"/>
  <c r="BW888" i="1" s="1"/>
  <c r="BG888" i="1"/>
  <c r="BX888" i="1"/>
  <c r="N888" i="1"/>
  <c r="BK1848" i="1"/>
  <c r="BI1848" i="1"/>
  <c r="BH1848" i="1"/>
  <c r="R1848" i="1" s="1"/>
  <c r="BG1848" i="1"/>
  <c r="BR1848" i="1" s="1"/>
  <c r="CA1848" i="1" s="1"/>
  <c r="BF1848" i="1"/>
  <c r="BK523" i="1"/>
  <c r="BI523" i="1"/>
  <c r="BH523" i="1"/>
  <c r="R523" i="1" s="1"/>
  <c r="BG523" i="1"/>
  <c r="BF523" i="1"/>
  <c r="N523" i="1"/>
  <c r="BK2507" i="1"/>
  <c r="BI2507" i="1"/>
  <c r="BH2507" i="1"/>
  <c r="R2507" i="1" s="1"/>
  <c r="BG2507" i="1"/>
  <c r="BF2507" i="1"/>
  <c r="N2507" i="1"/>
  <c r="BK2408" i="1"/>
  <c r="BI2408" i="1"/>
  <c r="BH2408" i="1"/>
  <c r="R2408" i="1" s="1"/>
  <c r="BG2408" i="1"/>
  <c r="BF2408" i="1"/>
  <c r="N2408" i="1"/>
  <c r="BK183" i="1"/>
  <c r="BI183" i="1"/>
  <c r="BH183" i="1"/>
  <c r="R183" i="1" s="1"/>
  <c r="BG183" i="1"/>
  <c r="N183" i="1"/>
  <c r="BK945" i="1"/>
  <c r="BI945" i="1"/>
  <c r="BH945" i="1"/>
  <c r="R945" i="1" s="1"/>
  <c r="BU945" i="1" s="1"/>
  <c r="BW945" i="1" s="1"/>
  <c r="BG945" i="1"/>
  <c r="N945" i="1"/>
  <c r="BK961" i="1"/>
  <c r="BI961" i="1"/>
  <c r="BH961" i="1"/>
  <c r="R961" i="1" s="1"/>
  <c r="BG961" i="1"/>
  <c r="BF961" i="1"/>
  <c r="CI961" i="1" s="1"/>
  <c r="CJ961" i="1" s="1"/>
  <c r="N961" i="1"/>
  <c r="BK1483" i="1"/>
  <c r="BI1483" i="1"/>
  <c r="BH1483" i="1"/>
  <c r="R1483" i="1" s="1"/>
  <c r="BG1483" i="1"/>
  <c r="N1483" i="1"/>
  <c r="BK1112" i="1"/>
  <c r="BI1112" i="1"/>
  <c r="BH1112" i="1"/>
  <c r="R1112" i="1" s="1"/>
  <c r="BG1112" i="1"/>
  <c r="BF1112" i="1"/>
  <c r="N1112" i="1"/>
  <c r="BK687" i="1"/>
  <c r="BI687" i="1"/>
  <c r="BH687" i="1"/>
  <c r="R687" i="1" s="1"/>
  <c r="Q687" i="1"/>
  <c r="N687" i="1"/>
  <c r="BK2781" i="1"/>
  <c r="BI2781" i="1"/>
  <c r="BH2781" i="1"/>
  <c r="R2781" i="1" s="1"/>
  <c r="Q2781" i="1"/>
  <c r="N2781" i="1"/>
  <c r="BK2780" i="1"/>
  <c r="BI2780" i="1"/>
  <c r="BH2780" i="1"/>
  <c r="R2780" i="1" s="1"/>
  <c r="BG2780" i="1"/>
  <c r="BF2780" i="1"/>
  <c r="N2780" i="1"/>
  <c r="BK2422" i="1"/>
  <c r="BI2422" i="1"/>
  <c r="BH2422" i="1"/>
  <c r="R2422" i="1" s="1"/>
  <c r="BG2422" i="1"/>
  <c r="N2422" i="1"/>
  <c r="BK2779" i="1"/>
  <c r="BI2779" i="1"/>
  <c r="BH2779" i="1"/>
  <c r="R2779" i="1" s="1"/>
  <c r="BG2779" i="1"/>
  <c r="BF2779" i="1"/>
  <c r="CI2779" i="1" s="1"/>
  <c r="CJ2779" i="1" s="1"/>
  <c r="N2779" i="1"/>
  <c r="BK2303" i="1"/>
  <c r="BI2303" i="1"/>
  <c r="BH2303" i="1"/>
  <c r="R2303" i="1" s="1"/>
  <c r="BG2303" i="1"/>
  <c r="BF2303" i="1"/>
  <c r="CI2303" i="1" s="1"/>
  <c r="CJ2303" i="1" s="1"/>
  <c r="N2303" i="1"/>
  <c r="BK1887" i="1"/>
  <c r="BI1887" i="1"/>
  <c r="BH1887" i="1"/>
  <c r="R1887" i="1" s="1"/>
  <c r="BG1887" i="1"/>
  <c r="BF1887" i="1"/>
  <c r="N1887" i="1"/>
  <c r="BK2778" i="1"/>
  <c r="BI2778" i="1"/>
  <c r="BH2778" i="1"/>
  <c r="R2778" i="1" s="1"/>
  <c r="BG2778" i="1"/>
  <c r="BF2778" i="1"/>
  <c r="N2778" i="1"/>
  <c r="BK1510" i="1"/>
  <c r="BI1510" i="1"/>
  <c r="BH1510" i="1"/>
  <c r="R1510" i="1" s="1"/>
  <c r="BG1510" i="1"/>
  <c r="BF1510" i="1"/>
  <c r="CI1510" i="1" s="1"/>
  <c r="CJ1510" i="1" s="1"/>
  <c r="N1510" i="1"/>
  <c r="BK2777" i="1"/>
  <c r="BI2777" i="1"/>
  <c r="BH2777" i="1"/>
  <c r="R2777" i="1" s="1"/>
  <c r="BG2777" i="1"/>
  <c r="BF2777" i="1"/>
  <c r="N2777" i="1"/>
  <c r="BK1332" i="1"/>
  <c r="BI1332" i="1"/>
  <c r="BH1332" i="1"/>
  <c r="R1332" i="1" s="1"/>
  <c r="BG1332" i="1"/>
  <c r="BF1332" i="1"/>
  <c r="CI1332" i="1" s="1"/>
  <c r="CJ1332" i="1" s="1"/>
  <c r="N1332" i="1"/>
  <c r="BK1484" i="1"/>
  <c r="BI1484" i="1"/>
  <c r="BH1484" i="1"/>
  <c r="R1484" i="1" s="1"/>
  <c r="BG1484" i="1"/>
  <c r="BF1484" i="1"/>
  <c r="CI1484" i="1" s="1"/>
  <c r="CJ1484" i="1" s="1"/>
  <c r="N1484" i="1"/>
  <c r="BK1815" i="1"/>
  <c r="BI1815" i="1"/>
  <c r="BH1815" i="1"/>
  <c r="R1815" i="1" s="1"/>
  <c r="BG1815" i="1"/>
  <c r="BF1815" i="1"/>
  <c r="CI1815" i="1" s="1"/>
  <c r="CJ1815" i="1" s="1"/>
  <c r="N1815" i="1"/>
  <c r="BK1019" i="1"/>
  <c r="BI1019" i="1"/>
  <c r="BH1019" i="1"/>
  <c r="R1019" i="1" s="1"/>
  <c r="BG1019" i="1"/>
  <c r="BF1019" i="1"/>
  <c r="CI1019" i="1" s="1"/>
  <c r="CJ1019" i="1" s="1"/>
  <c r="N1019" i="1"/>
  <c r="BK2013" i="1"/>
  <c r="BI2013" i="1"/>
  <c r="BH2013" i="1"/>
  <c r="R2013" i="1" s="1"/>
  <c r="BG2013" i="1"/>
  <c r="BF2013" i="1"/>
  <c r="N2013" i="1"/>
  <c r="BK1084" i="1"/>
  <c r="BI1084" i="1"/>
  <c r="BH1084" i="1"/>
  <c r="R1084" i="1" s="1"/>
  <c r="BG1084" i="1"/>
  <c r="BF1084" i="1"/>
  <c r="N1084" i="1"/>
  <c r="BK683" i="1"/>
  <c r="BI683" i="1"/>
  <c r="BH683" i="1"/>
  <c r="R683" i="1" s="1"/>
  <c r="BG683" i="1"/>
  <c r="BF683" i="1"/>
  <c r="N683" i="1"/>
  <c r="BK927" i="1"/>
  <c r="BI927" i="1"/>
  <c r="BH927" i="1"/>
  <c r="R927" i="1" s="1"/>
  <c r="BG927" i="1"/>
  <c r="BF927" i="1"/>
  <c r="CI927" i="1" s="1"/>
  <c r="CJ927" i="1" s="1"/>
  <c r="BK2775" i="1"/>
  <c r="BI2775" i="1"/>
  <c r="BH2775" i="1"/>
  <c r="R2775" i="1" s="1"/>
  <c r="BG2775" i="1"/>
  <c r="BF2775" i="1"/>
  <c r="CI2775" i="1" s="1"/>
  <c r="CJ2775" i="1" s="1"/>
  <c r="N2775" i="1"/>
  <c r="BK1302" i="1"/>
  <c r="BI1302" i="1"/>
  <c r="BH1302" i="1"/>
  <c r="R1302" i="1" s="1"/>
  <c r="BG1302" i="1"/>
  <c r="BF1302" i="1"/>
  <c r="N1302" i="1"/>
  <c r="BK2776" i="1"/>
  <c r="BI2776" i="1"/>
  <c r="BH2776" i="1"/>
  <c r="R2776" i="1" s="1"/>
  <c r="BG2776" i="1"/>
  <c r="BF2776" i="1"/>
  <c r="CI2776" i="1" s="1"/>
  <c r="CJ2776" i="1" s="1"/>
  <c r="N2776" i="1"/>
  <c r="BK1414" i="1"/>
  <c r="BI1414" i="1"/>
  <c r="BH1414" i="1"/>
  <c r="R1414" i="1" s="1"/>
  <c r="BG1414" i="1"/>
  <c r="BR1414" i="1" s="1"/>
  <c r="CA1414" i="1" s="1"/>
  <c r="BF1414" i="1"/>
  <c r="BK1880" i="1"/>
  <c r="BI1880" i="1"/>
  <c r="BH1880" i="1"/>
  <c r="R1880" i="1" s="1"/>
  <c r="BG1880" i="1"/>
  <c r="BF1880" i="1"/>
  <c r="N1880" i="1"/>
  <c r="BK727" i="1"/>
  <c r="BI727" i="1"/>
  <c r="BH727" i="1"/>
  <c r="R727" i="1" s="1"/>
  <c r="BG727" i="1"/>
  <c r="BF727" i="1"/>
  <c r="N727" i="1"/>
  <c r="BK2774" i="1"/>
  <c r="BI2774" i="1"/>
  <c r="BH2774" i="1"/>
  <c r="R2774" i="1" s="1"/>
  <c r="BG2774" i="1"/>
  <c r="BF2774" i="1"/>
  <c r="N2774" i="1"/>
  <c r="BK2210" i="1"/>
  <c r="BI2210" i="1"/>
  <c r="BH2210" i="1"/>
  <c r="R2210" i="1" s="1"/>
  <c r="BG2210" i="1"/>
  <c r="BF2210" i="1"/>
  <c r="CI2210" i="1" s="1"/>
  <c r="CJ2210" i="1" s="1"/>
  <c r="N2210" i="1"/>
  <c r="BK2441" i="1"/>
  <c r="BI2441" i="1"/>
  <c r="BH2441" i="1"/>
  <c r="R2441" i="1" s="1"/>
  <c r="BG2441" i="1"/>
  <c r="BF2441" i="1"/>
  <c r="N2441" i="1"/>
  <c r="BK964" i="1"/>
  <c r="BI964" i="1"/>
  <c r="BH964" i="1"/>
  <c r="R964" i="1" s="1"/>
  <c r="BG964" i="1"/>
  <c r="BR964" i="1" s="1"/>
  <c r="CA964" i="1" s="1"/>
  <c r="BF964" i="1"/>
  <c r="BK2316" i="1"/>
  <c r="BI2316" i="1"/>
  <c r="BH2316" i="1"/>
  <c r="R2316" i="1" s="1"/>
  <c r="BG2316" i="1"/>
  <c r="BR2316" i="1" s="1"/>
  <c r="CA2316" i="1" s="1"/>
  <c r="BF2316" i="1"/>
  <c r="BK2544" i="1"/>
  <c r="BI2544" i="1"/>
  <c r="BH2544" i="1"/>
  <c r="R2544" i="1" s="1"/>
  <c r="BG2544" i="1"/>
  <c r="BR2544" i="1" s="1"/>
  <c r="CA2544" i="1" s="1"/>
  <c r="BF2544" i="1"/>
  <c r="BK1447" i="1"/>
  <c r="BI1447" i="1"/>
  <c r="BH1447" i="1"/>
  <c r="R1447" i="1" s="1"/>
  <c r="BG1447" i="1"/>
  <c r="BR1447" i="1" s="1"/>
  <c r="CA1447" i="1" s="1"/>
  <c r="BF1447" i="1"/>
  <c r="BK342" i="1"/>
  <c r="BI342" i="1"/>
  <c r="BH342" i="1"/>
  <c r="R342" i="1" s="1"/>
  <c r="BG342" i="1"/>
  <c r="BF342" i="1"/>
  <c r="N342" i="1"/>
  <c r="BK431" i="1"/>
  <c r="BI431" i="1"/>
  <c r="BH431" i="1"/>
  <c r="R431" i="1" s="1"/>
  <c r="BG431" i="1"/>
  <c r="BF431" i="1"/>
  <c r="N431" i="1"/>
  <c r="BK2149" i="1"/>
  <c r="BI2149" i="1"/>
  <c r="BH2149" i="1"/>
  <c r="R2149" i="1" s="1"/>
  <c r="BG2149" i="1"/>
  <c r="BF2149" i="1"/>
  <c r="N2149" i="1"/>
  <c r="BK2176" i="1"/>
  <c r="BI2176" i="1"/>
  <c r="BH2176" i="1"/>
  <c r="R2176" i="1" s="1"/>
  <c r="BG2176" i="1"/>
  <c r="BF2176" i="1"/>
  <c r="CI2176" i="1" s="1"/>
  <c r="CJ2176" i="1" s="1"/>
  <c r="N2176" i="1"/>
  <c r="BK2773" i="1"/>
  <c r="BI2773" i="1"/>
  <c r="BH2773" i="1"/>
  <c r="R2773" i="1" s="1"/>
  <c r="Q2773" i="1"/>
  <c r="N2773" i="1"/>
  <c r="BK1160" i="1"/>
  <c r="BI1160" i="1"/>
  <c r="BH1160" i="1"/>
  <c r="R1160" i="1" s="1"/>
  <c r="BG1160" i="1"/>
  <c r="BF1160" i="1"/>
  <c r="N1160" i="1"/>
  <c r="BK670" i="1"/>
  <c r="BI670" i="1"/>
  <c r="BH670" i="1"/>
  <c r="R670" i="1" s="1"/>
  <c r="BG670" i="1"/>
  <c r="BF670" i="1"/>
  <c r="N670" i="1"/>
  <c r="BK2772" i="1"/>
  <c r="BI2772" i="1"/>
  <c r="BH2772" i="1"/>
  <c r="R2772" i="1" s="1"/>
  <c r="BG2772" i="1"/>
  <c r="N2772" i="1"/>
  <c r="BK1199" i="1"/>
  <c r="BI1199" i="1"/>
  <c r="BH1199" i="1"/>
  <c r="R1199" i="1" s="1"/>
  <c r="BG1199" i="1"/>
  <c r="BF1199" i="1"/>
  <c r="N1199" i="1"/>
  <c r="BK2771" i="1"/>
  <c r="BI2771" i="1"/>
  <c r="BH2771" i="1"/>
  <c r="R2771" i="1" s="1"/>
  <c r="Q2771" i="1"/>
  <c r="N2771" i="1"/>
  <c r="BK2770" i="1"/>
  <c r="BI2770" i="1"/>
  <c r="BH2770" i="1"/>
  <c r="R2770" i="1" s="1"/>
  <c r="Q2770" i="1"/>
  <c r="N2770" i="1"/>
  <c r="BK201" i="1"/>
  <c r="BI201" i="1"/>
  <c r="BH201" i="1"/>
  <c r="R201" i="1" s="1"/>
  <c r="BG201" i="1"/>
  <c r="BF201" i="1"/>
  <c r="N201" i="1"/>
  <c r="BK1916" i="1"/>
  <c r="BI1916" i="1"/>
  <c r="BH1916" i="1"/>
  <c r="R1916" i="1" s="1"/>
  <c r="BG1916" i="1"/>
  <c r="BF1916" i="1"/>
  <c r="N1916" i="1"/>
  <c r="BK2173" i="1"/>
  <c r="BI2173" i="1"/>
  <c r="BH2173" i="1"/>
  <c r="R2173" i="1" s="1"/>
  <c r="BG2173" i="1"/>
  <c r="BR2173" i="1" s="1"/>
  <c r="CA2173" i="1" s="1"/>
  <c r="BF2173" i="1"/>
  <c r="BK172" i="1"/>
  <c r="BI172" i="1"/>
  <c r="BH172" i="1"/>
  <c r="R172" i="1" s="1"/>
  <c r="BG172" i="1"/>
  <c r="BF172" i="1"/>
  <c r="N172" i="1"/>
  <c r="BK2769" i="1"/>
  <c r="BI2769" i="1"/>
  <c r="BH2769" i="1"/>
  <c r="R2769" i="1" s="1"/>
  <c r="BG2769" i="1"/>
  <c r="BF2769" i="1"/>
  <c r="N2769" i="1"/>
  <c r="BK503" i="1"/>
  <c r="BI503" i="1"/>
  <c r="BH503" i="1"/>
  <c r="R503" i="1" s="1"/>
  <c r="BG503" i="1"/>
  <c r="BF503" i="1"/>
  <c r="CI503" i="1" s="1"/>
  <c r="CJ503" i="1" s="1"/>
  <c r="N503" i="1"/>
  <c r="BK295" i="1"/>
  <c r="BI295" i="1"/>
  <c r="BH295" i="1"/>
  <c r="R295" i="1" s="1"/>
  <c r="BG295" i="1"/>
  <c r="BF295" i="1"/>
  <c r="N295" i="1"/>
  <c r="BK2768" i="1"/>
  <c r="BI2768" i="1"/>
  <c r="BH2768" i="1"/>
  <c r="R2768" i="1" s="1"/>
  <c r="BG2768" i="1"/>
  <c r="BF2768" i="1"/>
  <c r="CI2768" i="1" s="1"/>
  <c r="CJ2768" i="1" s="1"/>
  <c r="N2768" i="1"/>
  <c r="BK965" i="1"/>
  <c r="BI965" i="1"/>
  <c r="BH965" i="1"/>
  <c r="R965" i="1" s="1"/>
  <c r="BG965" i="1"/>
  <c r="BF965" i="1"/>
  <c r="CI965" i="1" s="1"/>
  <c r="CJ965" i="1" s="1"/>
  <c r="N965" i="1"/>
  <c r="BK1149" i="1"/>
  <c r="BI1149" i="1"/>
  <c r="BH1149" i="1"/>
  <c r="R1149" i="1" s="1"/>
  <c r="BG1149" i="1"/>
  <c r="BF1149" i="1"/>
  <c r="N1149" i="1"/>
  <c r="BK1048" i="1"/>
  <c r="BI1048" i="1"/>
  <c r="BH1048" i="1"/>
  <c r="R1048" i="1" s="1"/>
  <c r="Q1048" i="1"/>
  <c r="BK301" i="1"/>
  <c r="BI301" i="1"/>
  <c r="BH301" i="1"/>
  <c r="R301" i="1" s="1"/>
  <c r="BG301" i="1"/>
  <c r="BF301" i="1"/>
  <c r="N301" i="1"/>
  <c r="BH2066" i="1"/>
  <c r="BG2066" i="1"/>
  <c r="BF2066" i="1"/>
  <c r="N2066" i="1"/>
  <c r="BH2418" i="1"/>
  <c r="BG2418" i="1"/>
  <c r="BF2418" i="1"/>
  <c r="CI2418" i="1" s="1"/>
  <c r="CJ2418" i="1" s="1"/>
  <c r="N2418" i="1"/>
  <c r="BH646" i="1"/>
  <c r="BG646" i="1"/>
  <c r="BF646" i="1"/>
  <c r="CI646" i="1" s="1"/>
  <c r="CJ646" i="1" s="1"/>
  <c r="N646" i="1"/>
  <c r="BH2767" i="1"/>
  <c r="BG2767" i="1"/>
  <c r="BF2767" i="1"/>
  <c r="N2767" i="1"/>
  <c r="BH2759" i="1"/>
  <c r="BG2759" i="1"/>
  <c r="N2759" i="1"/>
  <c r="BH752" i="1"/>
  <c r="BG752" i="1"/>
  <c r="BR752" i="1" s="1"/>
  <c r="CA752" i="1" s="1"/>
  <c r="BF752" i="1"/>
  <c r="CI752" i="1" s="1"/>
  <c r="CJ752" i="1" s="1"/>
  <c r="BH2766" i="1"/>
  <c r="BG2766" i="1"/>
  <c r="BF2766" i="1"/>
  <c r="N2766" i="1"/>
  <c r="BH1831" i="1"/>
  <c r="BG1831" i="1"/>
  <c r="BF1831" i="1"/>
  <c r="N1831" i="1"/>
  <c r="BK2765" i="1"/>
  <c r="BI2765" i="1"/>
  <c r="BH2765" i="1"/>
  <c r="R2765" i="1" s="1"/>
  <c r="BG2765" i="1"/>
  <c r="BF2765" i="1"/>
  <c r="N2765" i="1"/>
  <c r="BH2764" i="1"/>
  <c r="BG2764" i="1"/>
  <c r="BF2764" i="1"/>
  <c r="N2764" i="1"/>
  <c r="BH2763" i="1"/>
  <c r="BG2763" i="1"/>
  <c r="BF2763" i="1"/>
  <c r="CI2763" i="1" s="1"/>
  <c r="CJ2763" i="1" s="1"/>
  <c r="N2763" i="1"/>
  <c r="BH2762" i="1"/>
  <c r="BG2762" i="1"/>
  <c r="BF2762" i="1"/>
  <c r="CI2762" i="1" s="1"/>
  <c r="CJ2762" i="1" s="1"/>
  <c r="N2762" i="1"/>
  <c r="BH922" i="1"/>
  <c r="BG922" i="1"/>
  <c r="BF922" i="1"/>
  <c r="CI922" i="1" s="1"/>
  <c r="CJ922" i="1" s="1"/>
  <c r="N922" i="1"/>
  <c r="BH2813" i="1"/>
  <c r="BH1646" i="1"/>
  <c r="BG1646" i="1"/>
  <c r="BF1646" i="1"/>
  <c r="N1646" i="1"/>
  <c r="BH1348" i="1"/>
  <c r="BG1348" i="1"/>
  <c r="BF1348" i="1"/>
  <c r="N1348" i="1"/>
  <c r="BH1813" i="1"/>
  <c r="BG1813" i="1"/>
  <c r="BF1813" i="1"/>
  <c r="N1813" i="1"/>
  <c r="BH1074" i="1"/>
  <c r="R1074" i="1" s="1"/>
  <c r="BU1074" i="1" s="1"/>
  <c r="BW1074" i="1" s="1"/>
  <c r="BG1074" i="1"/>
  <c r="N1074" i="1"/>
  <c r="BK1246" i="1"/>
  <c r="BI1246" i="1"/>
  <c r="BH1246" i="1"/>
  <c r="R1246" i="1" s="1"/>
  <c r="BU1246" i="1" s="1"/>
  <c r="BW1246" i="1" s="1"/>
  <c r="BG1246" i="1"/>
  <c r="N1246" i="1"/>
  <c r="BH716" i="1"/>
  <c r="BG716" i="1"/>
  <c r="BF716" i="1"/>
  <c r="CI716" i="1" s="1"/>
  <c r="CJ716" i="1" s="1"/>
  <c r="N716" i="1"/>
  <c r="BH2761" i="1"/>
  <c r="BG2761" i="1"/>
  <c r="BF2761" i="1"/>
  <c r="CI2761" i="1" s="1"/>
  <c r="CJ2761" i="1" s="1"/>
  <c r="N2761" i="1"/>
  <c r="BH2577" i="1"/>
  <c r="BG2577" i="1"/>
  <c r="N2577" i="1"/>
  <c r="BH757" i="1"/>
  <c r="BG757" i="1"/>
  <c r="BR757" i="1" s="1"/>
  <c r="CA757" i="1" s="1"/>
  <c r="BF757" i="1"/>
  <c r="CI757" i="1" s="1"/>
  <c r="CJ757" i="1" s="1"/>
  <c r="BH1255" i="1"/>
  <c r="BG1255" i="1"/>
  <c r="BF1255" i="1"/>
  <c r="CI1255" i="1" s="1"/>
  <c r="CJ1255" i="1" s="1"/>
  <c r="N1255" i="1"/>
  <c r="BH1058" i="1"/>
  <c r="BG1058" i="1"/>
  <c r="BZ1058" i="1"/>
  <c r="N1058" i="1"/>
  <c r="BH460" i="1"/>
  <c r="BG460" i="1"/>
  <c r="BF460" i="1"/>
  <c r="CI460" i="1" s="1"/>
  <c r="CJ460" i="1" s="1"/>
  <c r="N460" i="1"/>
  <c r="BH2153" i="1"/>
  <c r="BG2153" i="1"/>
  <c r="BR2153" i="1" s="1"/>
  <c r="CA2153" i="1" s="1"/>
  <c r="BF2153" i="1"/>
  <c r="CI2153" i="1" s="1"/>
  <c r="CJ2153" i="1" s="1"/>
  <c r="BH836" i="1"/>
  <c r="BG836" i="1"/>
  <c r="BR836" i="1" s="1"/>
  <c r="CA836" i="1" s="1"/>
  <c r="BF836" i="1"/>
  <c r="CI836" i="1" s="1"/>
  <c r="CJ836" i="1" s="1"/>
  <c r="BH2424" i="1"/>
  <c r="BG2424" i="1"/>
  <c r="BF2424" i="1"/>
  <c r="CI2424" i="1" s="1"/>
  <c r="CJ2424" i="1" s="1"/>
  <c r="N2424" i="1"/>
  <c r="BH2756" i="1"/>
  <c r="BG2756" i="1"/>
  <c r="N2756" i="1"/>
  <c r="BH1184" i="1"/>
  <c r="N1184" i="1"/>
  <c r="BH2755" i="1"/>
  <c r="BG2755" i="1"/>
  <c r="BF2755" i="1"/>
  <c r="CI2755" i="1" s="1"/>
  <c r="CJ2755" i="1" s="1"/>
  <c r="N2755" i="1"/>
  <c r="BH1436" i="1"/>
  <c r="BG1436" i="1"/>
  <c r="BF1436" i="1"/>
  <c r="N1436" i="1"/>
  <c r="BH1153" i="1"/>
  <c r="BG1153" i="1"/>
  <c r="BF1153" i="1"/>
  <c r="CI1153" i="1" s="1"/>
  <c r="CJ1153" i="1" s="1"/>
  <c r="N1153" i="1"/>
  <c r="BH2399" i="1"/>
  <c r="BG2399" i="1"/>
  <c r="BF2399" i="1"/>
  <c r="CI2399" i="1" s="1"/>
  <c r="CJ2399" i="1" s="1"/>
  <c r="N2399" i="1"/>
  <c r="BK2754" i="1"/>
  <c r="BI2754" i="1"/>
  <c r="BH2754" i="1"/>
  <c r="R2754" i="1" s="1"/>
  <c r="BG2754" i="1"/>
  <c r="BF2754" i="1"/>
  <c r="N2754" i="1"/>
  <c r="BH123" i="1"/>
  <c r="BG123" i="1"/>
  <c r="BR123" i="1" s="1"/>
  <c r="CA123" i="1" s="1"/>
  <c r="BF123" i="1"/>
  <c r="CI123" i="1" s="1"/>
  <c r="CJ123" i="1" s="1"/>
  <c r="BH2753" i="1"/>
  <c r="BG2753" i="1"/>
  <c r="BF2753" i="1"/>
  <c r="N2753" i="1"/>
  <c r="BH1279" i="1"/>
  <c r="BG1279" i="1"/>
  <c r="BF1279" i="1"/>
  <c r="CI1279" i="1" s="1"/>
  <c r="CJ1279" i="1" s="1"/>
  <c r="N1279" i="1"/>
  <c r="BH2752" i="1"/>
  <c r="N2752" i="1"/>
  <c r="BH1942" i="1"/>
  <c r="BG1942" i="1"/>
  <c r="BF1942" i="1"/>
  <c r="CI1942" i="1" s="1"/>
  <c r="CJ1942" i="1" s="1"/>
  <c r="N1942" i="1"/>
  <c r="BH1824" i="1"/>
  <c r="BG1824" i="1"/>
  <c r="N1824" i="1"/>
  <c r="BH2751" i="1"/>
  <c r="BG2751" i="1"/>
  <c r="BF2751" i="1"/>
  <c r="N2751" i="1"/>
  <c r="BK136" i="1"/>
  <c r="BI136" i="1"/>
  <c r="BH136" i="1"/>
  <c r="R136" i="1" s="1"/>
  <c r="BG136" i="1"/>
  <c r="BF136" i="1"/>
  <c r="N136" i="1"/>
  <c r="BH2175" i="1"/>
  <c r="BG2175" i="1"/>
  <c r="BF2175" i="1"/>
  <c r="N2175" i="1"/>
  <c r="BH2750" i="1"/>
  <c r="BG2750" i="1"/>
  <c r="BF2750" i="1"/>
  <c r="CI2750" i="1" s="1"/>
  <c r="CJ2750" i="1" s="1"/>
  <c r="N2750" i="1"/>
  <c r="BH668" i="1"/>
  <c r="BG668" i="1"/>
  <c r="BF668" i="1"/>
  <c r="CI668" i="1" s="1"/>
  <c r="CJ668" i="1" s="1"/>
  <c r="N668" i="1"/>
  <c r="BH1980" i="1"/>
  <c r="N1980" i="1"/>
  <c r="BH618" i="1"/>
  <c r="BG618" i="1"/>
  <c r="BF618" i="1"/>
  <c r="N618" i="1"/>
  <c r="BH2312" i="1"/>
  <c r="BG2312" i="1"/>
  <c r="BF2312" i="1"/>
  <c r="N2312" i="1"/>
  <c r="BH2749" i="1"/>
  <c r="BG2749" i="1"/>
  <c r="BF2749" i="1"/>
  <c r="N2749" i="1"/>
  <c r="BK802" i="1"/>
  <c r="BI802" i="1"/>
  <c r="BH802" i="1"/>
  <c r="R802" i="1" s="1"/>
  <c r="BG802" i="1"/>
  <c r="BF802" i="1"/>
  <c r="N802" i="1"/>
  <c r="BH1368" i="1"/>
  <c r="BG1368" i="1"/>
  <c r="BF1368" i="1"/>
  <c r="CI1368" i="1" s="1"/>
  <c r="CJ1368" i="1" s="1"/>
  <c r="N1368" i="1"/>
  <c r="BH1545" i="1"/>
  <c r="BG1545" i="1"/>
  <c r="BF1545" i="1"/>
  <c r="CI1545" i="1" s="1"/>
  <c r="CJ1545" i="1" s="1"/>
  <c r="N1545" i="1"/>
  <c r="BH2337" i="1"/>
  <c r="BG2337" i="1"/>
  <c r="BF2337" i="1"/>
  <c r="CI2337" i="1" s="1"/>
  <c r="CJ2337" i="1" s="1"/>
  <c r="N2337" i="1"/>
  <c r="BH2359" i="1"/>
  <c r="BG2359" i="1"/>
  <c r="BF2359" i="1"/>
  <c r="N2359" i="1"/>
  <c r="BH2148" i="1"/>
  <c r="BG2148" i="1"/>
  <c r="BF2148" i="1"/>
  <c r="CI2148" i="1" s="1"/>
  <c r="CJ2148" i="1" s="1"/>
  <c r="N2148" i="1"/>
  <c r="BH494" i="1"/>
  <c r="BG494" i="1"/>
  <c r="BF494" i="1"/>
  <c r="CI494" i="1" s="1"/>
  <c r="CJ494" i="1" s="1"/>
  <c r="N494" i="1"/>
  <c r="BH2268" i="1"/>
  <c r="BG2268" i="1"/>
  <c r="BF2268" i="1"/>
  <c r="CI2268" i="1" s="1"/>
  <c r="CJ2268" i="1" s="1"/>
  <c r="N2268" i="1"/>
  <c r="BH2356" i="1"/>
  <c r="BG2356" i="1"/>
  <c r="N2356" i="1"/>
  <c r="BK1859" i="1"/>
  <c r="BI1859" i="1"/>
  <c r="BH1859" i="1"/>
  <c r="R1859" i="1" s="1"/>
  <c r="BG1859" i="1"/>
  <c r="BF1859" i="1"/>
  <c r="N1859" i="1"/>
  <c r="BH2280" i="1"/>
  <c r="BG2280" i="1"/>
  <c r="BF2280" i="1"/>
  <c r="N2280" i="1"/>
  <c r="BH2245" i="1"/>
  <c r="BG2245" i="1"/>
  <c r="BF2245" i="1"/>
  <c r="N2245" i="1"/>
  <c r="BH1037" i="1"/>
  <c r="BG1037" i="1"/>
  <c r="BF1037" i="1"/>
  <c r="CI1037" i="1" s="1"/>
  <c r="CJ1037" i="1" s="1"/>
  <c r="N1037" i="1"/>
  <c r="BH380" i="1"/>
  <c r="BG380" i="1"/>
  <c r="BF380" i="1"/>
  <c r="CI380" i="1" s="1"/>
  <c r="CJ380" i="1" s="1"/>
  <c r="N380" i="1"/>
  <c r="BH795" i="1"/>
  <c r="BG795" i="1"/>
  <c r="BF795" i="1"/>
  <c r="N795" i="1"/>
  <c r="BH634" i="1"/>
  <c r="BG634" i="1"/>
  <c r="BF634" i="1"/>
  <c r="N634" i="1"/>
  <c r="BH468" i="1"/>
  <c r="BG468" i="1"/>
  <c r="BF468" i="1"/>
  <c r="CI468" i="1" s="1"/>
  <c r="CJ468" i="1" s="1"/>
  <c r="N468" i="1"/>
  <c r="BK560" i="1"/>
  <c r="BI560" i="1"/>
  <c r="BH560" i="1"/>
  <c r="R560" i="1" s="1"/>
  <c r="BG560" i="1"/>
  <c r="BF560" i="1"/>
  <c r="N560" i="1"/>
  <c r="BH160" i="1"/>
  <c r="BG160" i="1"/>
  <c r="BF160" i="1"/>
  <c r="CI160" i="1" s="1"/>
  <c r="CJ160" i="1" s="1"/>
  <c r="N160" i="1"/>
  <c r="BK1319" i="1"/>
  <c r="BI1319" i="1"/>
  <c r="BH1319" i="1"/>
  <c r="R1319" i="1" s="1"/>
  <c r="Q1319" i="1"/>
  <c r="N1319" i="1"/>
  <c r="BK2747" i="1"/>
  <c r="BI2747" i="1"/>
  <c r="BH2747" i="1"/>
  <c r="R2747" i="1" s="1"/>
  <c r="BG2747" i="1"/>
  <c r="BF2747" i="1"/>
  <c r="N2747" i="1"/>
  <c r="BK2748" i="1"/>
  <c r="BI2748" i="1"/>
  <c r="BH2748" i="1"/>
  <c r="R2748" i="1" s="1"/>
  <c r="BG2748" i="1"/>
  <c r="BF2748" i="1"/>
  <c r="CI2748" i="1" s="1"/>
  <c r="CJ2748" i="1" s="1"/>
  <c r="N2748" i="1"/>
  <c r="BK1695" i="1"/>
  <c r="BI1695" i="1"/>
  <c r="BH1695" i="1"/>
  <c r="R1695" i="1" s="1"/>
  <c r="Q1695" i="1"/>
  <c r="N1695" i="1"/>
  <c r="BK2053" i="1"/>
  <c r="BI2053" i="1"/>
  <c r="BH2053" i="1"/>
  <c r="R2053" i="1" s="1"/>
  <c r="BG2053" i="1"/>
  <c r="BF2053" i="1"/>
  <c r="N2053" i="1"/>
  <c r="BK150" i="1"/>
  <c r="BI150" i="1"/>
  <c r="BH150" i="1"/>
  <c r="R150" i="1" s="1"/>
  <c r="BG150" i="1"/>
  <c r="BF150" i="1"/>
  <c r="N150" i="1"/>
  <c r="BK917" i="1"/>
  <c r="BI917" i="1"/>
  <c r="BH917" i="1"/>
  <c r="R917" i="1" s="1"/>
  <c r="Q917" i="1"/>
  <c r="N917" i="1"/>
  <c r="BK1273" i="1"/>
  <c r="BI1273" i="1"/>
  <c r="BH1273" i="1"/>
  <c r="R1273" i="1" s="1"/>
  <c r="BG1273" i="1"/>
  <c r="BF1273" i="1"/>
  <c r="CI1273" i="1" s="1"/>
  <c r="CJ1273" i="1" s="1"/>
  <c r="N1273" i="1"/>
  <c r="BK824" i="1"/>
  <c r="BI824" i="1"/>
  <c r="BH824" i="1"/>
  <c r="R824" i="1" s="1"/>
  <c r="BG824" i="1"/>
  <c r="BF824" i="1"/>
  <c r="N824" i="1"/>
  <c r="BK2230" i="1"/>
  <c r="BI2230" i="1"/>
  <c r="BH2230" i="1"/>
  <c r="R2230" i="1" s="1"/>
  <c r="BG2230" i="1"/>
  <c r="BR2230" i="1" s="1"/>
  <c r="CA2230" i="1" s="1"/>
  <c r="BF2230" i="1"/>
  <c r="BH2746" i="1"/>
  <c r="N2746" i="1"/>
  <c r="BH2745" i="1"/>
  <c r="BG2745" i="1"/>
  <c r="BF2745" i="1"/>
  <c r="N2745" i="1"/>
  <c r="BH1097" i="1"/>
  <c r="BG1097" i="1"/>
  <c r="BF1097" i="1"/>
  <c r="CI1097" i="1" s="1"/>
  <c r="CJ1097" i="1" s="1"/>
  <c r="N1097" i="1"/>
  <c r="BH1616" i="1"/>
  <c r="BG1616" i="1"/>
  <c r="BF1616" i="1"/>
  <c r="N1616" i="1"/>
  <c r="BH334" i="1"/>
  <c r="BG334" i="1"/>
  <c r="BF334" i="1"/>
  <c r="CI334" i="1" s="1"/>
  <c r="CJ334" i="1" s="1"/>
  <c r="N334" i="1"/>
  <c r="BH1065" i="1"/>
  <c r="BG1065" i="1"/>
  <c r="BF1065" i="1"/>
  <c r="N1065" i="1"/>
  <c r="BH2743" i="1"/>
  <c r="BG2743" i="1"/>
  <c r="BF2743" i="1"/>
  <c r="CI2743" i="1" s="1"/>
  <c r="CJ2743" i="1" s="1"/>
  <c r="N2743" i="1"/>
  <c r="BK2742" i="1"/>
  <c r="BI2742" i="1"/>
  <c r="BH2742" i="1"/>
  <c r="R2742" i="1" s="1"/>
  <c r="BG2742" i="1"/>
  <c r="BF2742" i="1"/>
  <c r="N2742" i="1"/>
  <c r="BH859" i="1"/>
  <c r="BG859" i="1"/>
  <c r="BF859" i="1"/>
  <c r="N859" i="1"/>
  <c r="BH2106" i="1"/>
  <c r="BG2106" i="1"/>
  <c r="BF2106" i="1"/>
  <c r="N2106" i="1"/>
  <c r="BH2739" i="1"/>
  <c r="BG2739" i="1"/>
  <c r="N2739" i="1"/>
  <c r="BH285" i="1"/>
  <c r="BG285" i="1"/>
  <c r="BR285" i="1" s="1"/>
  <c r="CA285" i="1" s="1"/>
  <c r="BF285" i="1"/>
  <c r="CI285" i="1" s="1"/>
  <c r="CJ285" i="1" s="1"/>
  <c r="BH1126" i="1"/>
  <c r="BG1126" i="1"/>
  <c r="BF1126" i="1"/>
  <c r="N1126" i="1"/>
  <c r="BH2009" i="1"/>
  <c r="BG2009" i="1"/>
  <c r="BR2009" i="1" s="1"/>
  <c r="CA2009" i="1" s="1"/>
  <c r="BF2009" i="1"/>
  <c r="CI2009" i="1" s="1"/>
  <c r="CJ2009" i="1" s="1"/>
  <c r="BH768" i="1"/>
  <c r="BG768" i="1"/>
  <c r="BF768" i="1"/>
  <c r="N768" i="1"/>
  <c r="BH2599" i="1"/>
  <c r="BG2599" i="1"/>
  <c r="BF2599" i="1"/>
  <c r="CI2599" i="1" s="1"/>
  <c r="CJ2599" i="1" s="1"/>
  <c r="N2599" i="1"/>
  <c r="BK1425" i="1"/>
  <c r="BI1425" i="1"/>
  <c r="BH1425" i="1"/>
  <c r="R1425" i="1" s="1"/>
  <c r="BG1425" i="1"/>
  <c r="BF1425" i="1"/>
  <c r="N1425" i="1"/>
  <c r="BH1147" i="1"/>
  <c r="BG1147" i="1"/>
  <c r="BF1147" i="1"/>
  <c r="N1147" i="1"/>
  <c r="BH2741" i="1"/>
  <c r="BG2741" i="1"/>
  <c r="BF2741" i="1"/>
  <c r="CI2741" i="1" s="1"/>
  <c r="CJ2741" i="1" s="1"/>
  <c r="N2741" i="1"/>
  <c r="BH2740" i="1"/>
  <c r="BG2740" i="1"/>
  <c r="BF2740" i="1"/>
  <c r="CI2740" i="1" s="1"/>
  <c r="CJ2740" i="1" s="1"/>
  <c r="N2740" i="1"/>
  <c r="BH884" i="1"/>
  <c r="BG884" i="1"/>
  <c r="BF884" i="1"/>
  <c r="CI884" i="1" s="1"/>
  <c r="CJ884" i="1" s="1"/>
  <c r="N884" i="1"/>
  <c r="BH140" i="1"/>
  <c r="BG140" i="1"/>
  <c r="BF140" i="1"/>
  <c r="CI140" i="1" s="1"/>
  <c r="CJ140" i="1" s="1"/>
  <c r="N140" i="1"/>
  <c r="BH1039" i="1"/>
  <c r="BG1039" i="1"/>
  <c r="BR1039" i="1" s="1"/>
  <c r="CA1039" i="1" s="1"/>
  <c r="BF1039" i="1"/>
  <c r="CI1039" i="1" s="1"/>
  <c r="CJ1039" i="1" s="1"/>
  <c r="BH2400" i="1"/>
  <c r="BG2400" i="1"/>
  <c r="BF2400" i="1"/>
  <c r="N2400" i="1"/>
  <c r="BH1087" i="1"/>
  <c r="BG1087" i="1"/>
  <c r="BR1087" i="1" s="1"/>
  <c r="CA1087" i="1" s="1"/>
  <c r="BF1087" i="1"/>
  <c r="CI1087" i="1" s="1"/>
  <c r="CJ1087" i="1" s="1"/>
  <c r="BH1554" i="1"/>
  <c r="BG1554" i="1"/>
  <c r="BF1554" i="1"/>
  <c r="CI1554" i="1" s="1"/>
  <c r="CJ1554" i="1" s="1"/>
  <c r="N1554" i="1"/>
  <c r="BK2236" i="1"/>
  <c r="BI2236" i="1"/>
  <c r="BH2236" i="1"/>
  <c r="R2236" i="1" s="1"/>
  <c r="BG2236" i="1"/>
  <c r="N2236" i="1"/>
  <c r="BH1289" i="1"/>
  <c r="BG1289" i="1"/>
  <c r="BR1289" i="1" s="1"/>
  <c r="CA1289" i="1" s="1"/>
  <c r="BF1289" i="1"/>
  <c r="CI1289" i="1" s="1"/>
  <c r="CJ1289" i="1" s="1"/>
  <c r="BH1395" i="1"/>
  <c r="BG1395" i="1"/>
  <c r="BF1395" i="1"/>
  <c r="N1395" i="1"/>
  <c r="BH790" i="1"/>
  <c r="BG790" i="1"/>
  <c r="BR790" i="1" s="1"/>
  <c r="CA790" i="1" s="1"/>
  <c r="BF790" i="1"/>
  <c r="CI790" i="1" s="1"/>
  <c r="CJ790" i="1" s="1"/>
  <c r="BH2067" i="1"/>
  <c r="BG2067" i="1"/>
  <c r="BF2067" i="1"/>
  <c r="CI2067" i="1" s="1"/>
  <c r="CJ2067" i="1" s="1"/>
  <c r="N2067" i="1"/>
  <c r="BH2296" i="1"/>
  <c r="BG2296" i="1"/>
  <c r="BF2296" i="1"/>
  <c r="N2296" i="1"/>
  <c r="BH2730" i="1"/>
  <c r="BG2730" i="1"/>
  <c r="BF2730" i="1"/>
  <c r="N2730" i="1"/>
  <c r="BH2738" i="1"/>
  <c r="BG2738" i="1"/>
  <c r="BF2738" i="1"/>
  <c r="CI2738" i="1" s="1"/>
  <c r="CJ2738" i="1" s="1"/>
  <c r="N2738" i="1"/>
  <c r="BH132" i="1"/>
  <c r="BG132" i="1"/>
  <c r="BZ132" i="1"/>
  <c r="N132" i="1"/>
  <c r="BH2737" i="1"/>
  <c r="BG2737" i="1"/>
  <c r="BF2737" i="1"/>
  <c r="N2737" i="1"/>
  <c r="BK1974" i="1"/>
  <c r="BI1974" i="1"/>
  <c r="BH1974" i="1"/>
  <c r="R1974" i="1" s="1"/>
  <c r="BG1974" i="1"/>
  <c r="BF1974" i="1"/>
  <c r="CI1974" i="1" s="1"/>
  <c r="CJ1974" i="1" s="1"/>
  <c r="N1974" i="1"/>
  <c r="BH2736" i="1"/>
  <c r="BG2736" i="1"/>
  <c r="N2736" i="1"/>
  <c r="BH2735" i="1"/>
  <c r="N2735" i="1"/>
  <c r="BH712" i="1"/>
  <c r="BG712" i="1"/>
  <c r="N712" i="1"/>
  <c r="BH2113" i="1"/>
  <c r="BG2113" i="1"/>
  <c r="BF2113" i="1"/>
  <c r="CI2113" i="1" s="1"/>
  <c r="CJ2113" i="1" s="1"/>
  <c r="N2113" i="1"/>
  <c r="BH1141" i="1"/>
  <c r="N1141" i="1"/>
  <c r="BH1240" i="1"/>
  <c r="BG1240" i="1"/>
  <c r="BF1240" i="1"/>
  <c r="CI1240" i="1" s="1"/>
  <c r="CJ1240" i="1" s="1"/>
  <c r="N1240" i="1"/>
  <c r="BH1724" i="1"/>
  <c r="BG1724" i="1"/>
  <c r="BF1724" i="1"/>
  <c r="CI1724" i="1" s="1"/>
  <c r="CJ1724" i="1" s="1"/>
  <c r="N1724" i="1"/>
  <c r="BK2734" i="1"/>
  <c r="BI2734" i="1"/>
  <c r="BH2734" i="1"/>
  <c r="R2734" i="1" s="1"/>
  <c r="BG2734" i="1"/>
  <c r="BF2734" i="1"/>
  <c r="N2734" i="1"/>
  <c r="BH286" i="1"/>
  <c r="BG286" i="1"/>
  <c r="BF286" i="1"/>
  <c r="CI286" i="1" s="1"/>
  <c r="CJ286" i="1" s="1"/>
  <c r="N286" i="1"/>
  <c r="BH1107" i="1"/>
  <c r="BG1107" i="1"/>
  <c r="BR1107" i="1" s="1"/>
  <c r="CA1107" i="1" s="1"/>
  <c r="BF1107" i="1"/>
  <c r="CI1107" i="1" s="1"/>
  <c r="CJ1107" i="1" s="1"/>
  <c r="BH1785" i="1"/>
  <c r="BG1785" i="1"/>
  <c r="BF1785" i="1"/>
  <c r="CI1785" i="1" s="1"/>
  <c r="CJ1785" i="1" s="1"/>
  <c r="N1785" i="1"/>
  <c r="BH1223" i="1"/>
  <c r="BG1223" i="1"/>
  <c r="BF1223" i="1"/>
  <c r="CI1223" i="1" s="1"/>
  <c r="CJ1223" i="1" s="1"/>
  <c r="N1223" i="1"/>
  <c r="BH1073" i="1"/>
  <c r="BG1073" i="1"/>
  <c r="BF1073" i="1"/>
  <c r="CI1073" i="1" s="1"/>
  <c r="CJ1073" i="1" s="1"/>
  <c r="N1073" i="1"/>
  <c r="BH826" i="1"/>
  <c r="BG826" i="1"/>
  <c r="BF826" i="1"/>
  <c r="CI826" i="1" s="1"/>
  <c r="CJ826" i="1" s="1"/>
  <c r="N826" i="1"/>
  <c r="BH487" i="1"/>
  <c r="BG487" i="1"/>
  <c r="BH1649" i="1"/>
  <c r="BG1649" i="1"/>
  <c r="BF1649" i="1"/>
  <c r="CI1649" i="1" s="1"/>
  <c r="CJ1649" i="1" s="1"/>
  <c r="N1649" i="1"/>
  <c r="BK400" i="1"/>
  <c r="BI400" i="1"/>
  <c r="BH400" i="1"/>
  <c r="R400" i="1" s="1"/>
  <c r="BG400" i="1"/>
  <c r="BF400" i="1"/>
  <c r="N400" i="1"/>
  <c r="BH2723" i="1"/>
  <c r="BG2723" i="1"/>
  <c r="BF2723" i="1"/>
  <c r="CI2723" i="1" s="1"/>
  <c r="CJ2723" i="1" s="1"/>
  <c r="N2723" i="1"/>
  <c r="BH2733" i="1"/>
  <c r="BG2733" i="1"/>
  <c r="BF2733" i="1"/>
  <c r="N2733" i="1"/>
  <c r="BH2033" i="1"/>
  <c r="BG2033" i="1"/>
  <c r="BF2033" i="1"/>
  <c r="N2033" i="1"/>
  <c r="BH1981" i="1"/>
  <c r="BG1981" i="1"/>
  <c r="BF1981" i="1"/>
  <c r="N1981" i="1"/>
  <c r="BH2732" i="1"/>
  <c r="BG2732" i="1"/>
  <c r="BF2732" i="1"/>
  <c r="CI2732" i="1" s="1"/>
  <c r="CJ2732" i="1" s="1"/>
  <c r="N2732" i="1"/>
  <c r="BH554" i="1"/>
  <c r="BG554" i="1"/>
  <c r="BF554" i="1"/>
  <c r="N554" i="1"/>
  <c r="BH2099" i="1"/>
  <c r="BG2099" i="1"/>
  <c r="BR2099" i="1" s="1"/>
  <c r="CA2099" i="1" s="1"/>
  <c r="BF2099" i="1"/>
  <c r="CI2099" i="1" s="1"/>
  <c r="CJ2099" i="1" s="1"/>
  <c r="BH531" i="1"/>
  <c r="BG531" i="1"/>
  <c r="BR531" i="1" s="1"/>
  <c r="CA531" i="1" s="1"/>
  <c r="BF531" i="1"/>
  <c r="CI531" i="1" s="1"/>
  <c r="CJ531" i="1" s="1"/>
  <c r="BH2160" i="1"/>
  <c r="BG2160" i="1"/>
  <c r="BF2160" i="1"/>
  <c r="N2160" i="1"/>
  <c r="BH688" i="1"/>
  <c r="BG688" i="1"/>
  <c r="BF688" i="1"/>
  <c r="N688" i="1"/>
  <c r="BH1354" i="1"/>
  <c r="BG1354" i="1"/>
  <c r="BF1354" i="1"/>
  <c r="CI1354" i="1" s="1"/>
  <c r="CJ1354" i="1" s="1"/>
  <c r="N1354" i="1"/>
  <c r="BH2225" i="1"/>
  <c r="BG2225" i="1"/>
  <c r="BF2225" i="1"/>
  <c r="N2225" i="1"/>
  <c r="BH1220" i="1"/>
  <c r="BG1220" i="1"/>
  <c r="BF1220" i="1"/>
  <c r="N1220" i="1"/>
  <c r="BH1539" i="1"/>
  <c r="BG1539" i="1"/>
  <c r="BF1539" i="1"/>
  <c r="CI1539" i="1" s="1"/>
  <c r="CJ1539" i="1" s="1"/>
  <c r="N1539" i="1"/>
  <c r="BH1866" i="1"/>
  <c r="BG1866" i="1"/>
  <c r="N1866" i="1"/>
  <c r="BH350" i="1"/>
  <c r="BG350" i="1"/>
  <c r="BR350" i="1" s="1"/>
  <c r="CA350" i="1" s="1"/>
  <c r="BF350" i="1"/>
  <c r="CI350" i="1" s="1"/>
  <c r="CJ350" i="1" s="1"/>
  <c r="BH2366" i="1"/>
  <c r="BG2366" i="1"/>
  <c r="BR2366" i="1" s="1"/>
  <c r="CA2366" i="1" s="1"/>
  <c r="BF2366" i="1"/>
  <c r="CI2366" i="1" s="1"/>
  <c r="CJ2366" i="1" s="1"/>
  <c r="BK871" i="1"/>
  <c r="BI871" i="1"/>
  <c r="BH871" i="1"/>
  <c r="R871" i="1" s="1"/>
  <c r="BG871" i="1"/>
  <c r="BF871" i="1"/>
  <c r="CI871" i="1" s="1"/>
  <c r="CJ871" i="1" s="1"/>
  <c r="N871" i="1"/>
  <c r="BH1381" i="1"/>
  <c r="BG1381" i="1"/>
  <c r="BF1381" i="1"/>
  <c r="N1381" i="1"/>
  <c r="BH1997" i="1"/>
  <c r="BG1997" i="1"/>
  <c r="BF1997" i="1"/>
  <c r="CI1997" i="1" s="1"/>
  <c r="CJ1997" i="1" s="1"/>
  <c r="N1997" i="1"/>
  <c r="BH2082" i="1"/>
  <c r="N2082" i="1"/>
  <c r="BH2531" i="1"/>
  <c r="BG2531" i="1"/>
  <c r="BF2531" i="1"/>
  <c r="CI2531" i="1" s="1"/>
  <c r="CJ2531" i="1" s="1"/>
  <c r="N2531" i="1"/>
  <c r="BH1703" i="1"/>
  <c r="BG1703" i="1"/>
  <c r="BR1703" i="1" s="1"/>
  <c r="CA1703" i="1" s="1"/>
  <c r="BF1703" i="1"/>
  <c r="CI1703" i="1" s="1"/>
  <c r="CJ1703" i="1" s="1"/>
  <c r="BH924" i="1"/>
  <c r="BG924" i="1"/>
  <c r="BR924" i="1" s="1"/>
  <c r="CA924" i="1" s="1"/>
  <c r="BF924" i="1"/>
  <c r="CI924" i="1" s="1"/>
  <c r="CJ924" i="1" s="1"/>
  <c r="BH302" i="1"/>
  <c r="BG302" i="1"/>
  <c r="BR302" i="1" s="1"/>
  <c r="CA302" i="1" s="1"/>
  <c r="BF302" i="1"/>
  <c r="CI302" i="1" s="1"/>
  <c r="CJ302" i="1" s="1"/>
  <c r="BK2493" i="1"/>
  <c r="BI2493" i="1"/>
  <c r="BH2493" i="1"/>
  <c r="R2493" i="1" s="1"/>
  <c r="Q2493" i="1"/>
  <c r="N2493" i="1"/>
  <c r="BH122" i="1"/>
  <c r="BG122" i="1"/>
  <c r="BF122" i="1"/>
  <c r="N122" i="1"/>
  <c r="BK993" i="1"/>
  <c r="BI993" i="1"/>
  <c r="BH993" i="1"/>
  <c r="R993" i="1" s="1"/>
  <c r="BG993" i="1"/>
  <c r="BF993" i="1"/>
  <c r="N993" i="1"/>
  <c r="BK1985" i="1"/>
  <c r="BI1985" i="1"/>
  <c r="BH1985" i="1"/>
  <c r="R1985" i="1" s="1"/>
  <c r="Q1985" i="1"/>
  <c r="BK762" i="1"/>
  <c r="BI762" i="1"/>
  <c r="BH762" i="1"/>
  <c r="R762" i="1" s="1"/>
  <c r="BG762" i="1"/>
  <c r="BR762" i="1" s="1"/>
  <c r="CA762" i="1" s="1"/>
  <c r="BF762" i="1"/>
  <c r="BK1168" i="1"/>
  <c r="BI1168" i="1"/>
  <c r="BH1168" i="1"/>
  <c r="R1168" i="1" s="1"/>
  <c r="BG1168" i="1"/>
  <c r="BR1168" i="1" s="1"/>
  <c r="CA1168" i="1" s="1"/>
  <c r="BF1168" i="1"/>
  <c r="BK1596" i="1"/>
  <c r="BI1596" i="1"/>
  <c r="BH1596" i="1"/>
  <c r="R1596" i="1" s="1"/>
  <c r="BG1596" i="1"/>
  <c r="BF1596" i="1"/>
  <c r="N1596" i="1"/>
  <c r="BK1574" i="1"/>
  <c r="BI1574" i="1"/>
  <c r="BH1574" i="1"/>
  <c r="R1574" i="1" s="1"/>
  <c r="BG1574" i="1"/>
  <c r="N1574" i="1"/>
  <c r="BK1844" i="1"/>
  <c r="BI1844" i="1"/>
  <c r="BH1844" i="1"/>
  <c r="R1844" i="1" s="1"/>
  <c r="BG1844" i="1"/>
  <c r="BF1844" i="1"/>
  <c r="N1844" i="1"/>
  <c r="BK1244" i="1"/>
  <c r="BI1244" i="1"/>
  <c r="BH1244" i="1"/>
  <c r="R1244" i="1" s="1"/>
  <c r="BG1244" i="1"/>
  <c r="BF1244" i="1"/>
  <c r="N1244" i="1"/>
  <c r="BK365" i="1"/>
  <c r="BI365" i="1"/>
  <c r="BH365" i="1"/>
  <c r="R365" i="1" s="1"/>
  <c r="BG365" i="1"/>
  <c r="BF365" i="1"/>
  <c r="N365" i="1"/>
  <c r="BK2138" i="1"/>
  <c r="BI2138" i="1"/>
  <c r="BH2138" i="1"/>
  <c r="R2138" i="1" s="1"/>
  <c r="BG2138" i="1"/>
  <c r="BX2138" i="1"/>
  <c r="N2138" i="1"/>
  <c r="BH2234" i="1"/>
  <c r="BG2234" i="1"/>
  <c r="N2234" i="1"/>
  <c r="BH651" i="1"/>
  <c r="BG651" i="1"/>
  <c r="BF651" i="1"/>
  <c r="N651" i="1"/>
  <c r="BH2729" i="1"/>
  <c r="BG2729" i="1"/>
  <c r="BF2729" i="1"/>
  <c r="CI2729" i="1" s="1"/>
  <c r="CJ2729" i="1" s="1"/>
  <c r="N2729" i="1"/>
  <c r="BH164" i="1"/>
  <c r="BG164" i="1"/>
  <c r="BF164" i="1"/>
  <c r="CI164" i="1" s="1"/>
  <c r="CJ164" i="1" s="1"/>
  <c r="N164" i="1"/>
  <c r="BH1923" i="1"/>
  <c r="BG1923" i="1"/>
  <c r="BF1923" i="1"/>
  <c r="CI1923" i="1" s="1"/>
  <c r="CJ1923" i="1" s="1"/>
  <c r="N1923" i="1"/>
  <c r="BH2728" i="1"/>
  <c r="BG2728" i="1"/>
  <c r="BF2728" i="1"/>
  <c r="CI2728" i="1" s="1"/>
  <c r="CJ2728" i="1" s="1"/>
  <c r="N2728" i="1"/>
  <c r="BK2266" i="1"/>
  <c r="BI2266" i="1"/>
  <c r="BH2266" i="1"/>
  <c r="R2266" i="1" s="1"/>
  <c r="BG2266" i="1"/>
  <c r="BR2266" i="1" s="1"/>
  <c r="CA2266" i="1" s="1"/>
  <c r="BF2266" i="1"/>
  <c r="BH968" i="1"/>
  <c r="BG968" i="1"/>
  <c r="BF968" i="1"/>
  <c r="CI968" i="1" s="1"/>
  <c r="CJ968" i="1" s="1"/>
  <c r="N968" i="1"/>
  <c r="BH1531" i="1"/>
  <c r="N1531" i="1"/>
  <c r="BH422" i="1"/>
  <c r="BG422" i="1"/>
  <c r="BF422" i="1"/>
  <c r="CI422" i="1" s="1"/>
  <c r="CJ422" i="1" s="1"/>
  <c r="N422" i="1"/>
  <c r="BH1235" i="1"/>
  <c r="BG1235" i="1"/>
  <c r="BF1235" i="1"/>
  <c r="N1235" i="1"/>
  <c r="BH707" i="1"/>
  <c r="N707" i="1"/>
  <c r="BH2167" i="1"/>
  <c r="BG2167" i="1"/>
  <c r="BF2167" i="1"/>
  <c r="CI2167" i="1" s="1"/>
  <c r="CJ2167" i="1" s="1"/>
  <c r="N2167" i="1"/>
  <c r="BH2726" i="1"/>
  <c r="BG2726" i="1"/>
  <c r="BR2726" i="1" s="1"/>
  <c r="CA2726" i="1" s="1"/>
  <c r="BF2726" i="1"/>
  <c r="CI2726" i="1" s="1"/>
  <c r="CJ2726" i="1" s="1"/>
  <c r="BH193" i="1"/>
  <c r="BG193" i="1"/>
  <c r="BF193" i="1"/>
  <c r="N193" i="1"/>
  <c r="BK2725" i="1"/>
  <c r="BI2725" i="1"/>
  <c r="BH2725" i="1"/>
  <c r="R2725" i="1" s="1"/>
  <c r="Q2725" i="1"/>
  <c r="N2725" i="1"/>
  <c r="BH1311" i="1"/>
  <c r="BG1311" i="1"/>
  <c r="BF1311" i="1"/>
  <c r="CI1311" i="1" s="1"/>
  <c r="CJ1311" i="1" s="1"/>
  <c r="N1311" i="1"/>
  <c r="BH2724" i="1"/>
  <c r="BG2724" i="1"/>
  <c r="BR2724" i="1" s="1"/>
  <c r="CA2724" i="1" s="1"/>
  <c r="BF2724" i="1"/>
  <c r="CI2724" i="1" s="1"/>
  <c r="CJ2724" i="1" s="1"/>
  <c r="BH2336" i="1"/>
  <c r="BG2336" i="1"/>
  <c r="BF2336" i="1"/>
  <c r="CI2336" i="1" s="1"/>
  <c r="CJ2336" i="1" s="1"/>
  <c r="N2336" i="1"/>
  <c r="BH2722" i="1"/>
  <c r="BG2722" i="1"/>
  <c r="BH1742" i="1"/>
  <c r="BG1742" i="1"/>
  <c r="BR1742" i="1" s="1"/>
  <c r="CA1742" i="1" s="1"/>
  <c r="BF1742" i="1"/>
  <c r="CI1742" i="1" s="1"/>
  <c r="CJ1742" i="1" s="1"/>
  <c r="BH1937" i="1"/>
  <c r="BG1937" i="1"/>
  <c r="BR1937" i="1" s="1"/>
  <c r="CA1937" i="1" s="1"/>
  <c r="BF1937" i="1"/>
  <c r="CI1937" i="1" s="1"/>
  <c r="CJ1937" i="1" s="1"/>
  <c r="BH1588" i="1"/>
  <c r="BG1588" i="1"/>
  <c r="BF1588" i="1"/>
  <c r="N1588" i="1"/>
  <c r="BH1468" i="1"/>
  <c r="BG1468" i="1"/>
  <c r="BF1468" i="1"/>
  <c r="CI1468" i="1" s="1"/>
  <c r="CJ1468" i="1" s="1"/>
  <c r="N1468" i="1"/>
  <c r="BH389" i="1"/>
  <c r="BG389" i="1"/>
  <c r="BF389" i="1"/>
  <c r="CI389" i="1" s="1"/>
  <c r="CJ389" i="1" s="1"/>
  <c r="N389" i="1"/>
  <c r="BH1092" i="1"/>
  <c r="BG1092" i="1"/>
  <c r="N1092" i="1"/>
  <c r="BH2721" i="1"/>
  <c r="BG2721" i="1"/>
  <c r="BH104" i="1"/>
  <c r="BG104" i="1"/>
  <c r="BF104" i="1"/>
  <c r="CI104" i="1" s="1"/>
  <c r="CJ104" i="1" s="1"/>
  <c r="N104" i="1"/>
  <c r="BH1651" i="1"/>
  <c r="BG1651" i="1"/>
  <c r="BF1651" i="1"/>
  <c r="N1651" i="1"/>
  <c r="BH1230" i="1"/>
  <c r="BG1230" i="1"/>
  <c r="BF1230" i="1"/>
  <c r="CI1230" i="1" s="1"/>
  <c r="CJ1230" i="1" s="1"/>
  <c r="N1230" i="1"/>
  <c r="BH454" i="1"/>
  <c r="BG454" i="1"/>
  <c r="BF454" i="1"/>
  <c r="N454" i="1"/>
  <c r="BH549" i="1"/>
  <c r="BG549" i="1"/>
  <c r="N549" i="1"/>
  <c r="BH1071" i="1"/>
  <c r="BG1071" i="1"/>
  <c r="BF1071" i="1"/>
  <c r="N1071" i="1"/>
  <c r="BH2521" i="1"/>
  <c r="BG2521" i="1"/>
  <c r="BR2521" i="1" s="1"/>
  <c r="CA2521" i="1" s="1"/>
  <c r="BF2521" i="1"/>
  <c r="CI2521" i="1" s="1"/>
  <c r="CJ2521" i="1" s="1"/>
  <c r="BK206" i="1"/>
  <c r="BI206" i="1"/>
  <c r="BH206" i="1"/>
  <c r="R206" i="1" s="1"/>
  <c r="BG206" i="1"/>
  <c r="BF206" i="1"/>
  <c r="N206" i="1"/>
  <c r="BH1607" i="1"/>
  <c r="BG1607" i="1"/>
  <c r="BF1607" i="1"/>
  <c r="CI1607" i="1" s="1"/>
  <c r="CJ1607" i="1" s="1"/>
  <c r="N1607" i="1"/>
  <c r="BH1781" i="1"/>
  <c r="BG1781" i="1"/>
  <c r="BF1781" i="1"/>
  <c r="CI1781" i="1" s="1"/>
  <c r="CJ1781" i="1" s="1"/>
  <c r="N1781" i="1"/>
  <c r="BH780" i="1"/>
  <c r="BG780" i="1"/>
  <c r="BF780" i="1"/>
  <c r="N780" i="1"/>
  <c r="BH2720" i="1"/>
  <c r="BG2720" i="1"/>
  <c r="BF2720" i="1"/>
  <c r="CI2720" i="1" s="1"/>
  <c r="CJ2720" i="1" s="1"/>
  <c r="N2720" i="1"/>
  <c r="BH934" i="1"/>
  <c r="BG934" i="1"/>
  <c r="BF934" i="1"/>
  <c r="CI934" i="1" s="1"/>
  <c r="CJ934" i="1" s="1"/>
  <c r="N934" i="1"/>
  <c r="BH837" i="1"/>
  <c r="BG837" i="1"/>
  <c r="BF837" i="1"/>
  <c r="CI837" i="1" s="1"/>
  <c r="CJ837" i="1" s="1"/>
  <c r="N837" i="1"/>
  <c r="BH1359" i="1"/>
  <c r="BG1359" i="1"/>
  <c r="BF1359" i="1"/>
  <c r="N1359" i="1"/>
  <c r="BH1978" i="1"/>
  <c r="BG1978" i="1"/>
  <c r="BF1978" i="1"/>
  <c r="N1978" i="1"/>
  <c r="BH2719" i="1"/>
  <c r="BG2719" i="1"/>
  <c r="BF2719" i="1"/>
  <c r="N2719" i="1"/>
  <c r="BK2047" i="1"/>
  <c r="BI2047" i="1"/>
  <c r="BH2047" i="1"/>
  <c r="R2047" i="1" s="1"/>
  <c r="BG2047" i="1"/>
  <c r="BF2047" i="1"/>
  <c r="CI2047" i="1" s="1"/>
  <c r="CJ2047" i="1" s="1"/>
  <c r="N2047" i="1"/>
  <c r="BH1356" i="1"/>
  <c r="BG1356" i="1"/>
  <c r="BF1356" i="1"/>
  <c r="CI1356" i="1" s="1"/>
  <c r="CJ1356" i="1" s="1"/>
  <c r="N1356" i="1"/>
  <c r="BH2718" i="1"/>
  <c r="BG2718" i="1"/>
  <c r="BF2718" i="1"/>
  <c r="N2718" i="1"/>
  <c r="BH2717" i="1"/>
  <c r="BG2717" i="1"/>
  <c r="BF2717" i="1"/>
  <c r="CI2717" i="1" s="1"/>
  <c r="CJ2717" i="1" s="1"/>
  <c r="N2717" i="1"/>
  <c r="BH2101" i="1"/>
  <c r="BG2101" i="1"/>
  <c r="BR2101" i="1" s="1"/>
  <c r="CA2101" i="1" s="1"/>
  <c r="BF2101" i="1"/>
  <c r="CI2101" i="1" s="1"/>
  <c r="CJ2101" i="1" s="1"/>
  <c r="BH1523" i="1"/>
  <c r="BG1523" i="1"/>
  <c r="BR1523" i="1" s="1"/>
  <c r="CA1523" i="1" s="1"/>
  <c r="BF1523" i="1"/>
  <c r="CI1523" i="1" s="1"/>
  <c r="CJ1523" i="1" s="1"/>
  <c r="BH1808" i="1"/>
  <c r="N1808" i="1"/>
  <c r="BH508" i="1"/>
  <c r="BG508" i="1"/>
  <c r="BF508" i="1"/>
  <c r="CI508" i="1" s="1"/>
  <c r="CJ508" i="1" s="1"/>
  <c r="N508" i="1"/>
  <c r="BK114" i="1"/>
  <c r="BI114" i="1"/>
  <c r="BH114" i="1"/>
  <c r="R114" i="1" s="1"/>
  <c r="BG114" i="1"/>
  <c r="BF114" i="1"/>
  <c r="N114" i="1"/>
  <c r="BH908" i="1"/>
  <c r="BG908" i="1"/>
  <c r="BF908" i="1"/>
  <c r="CI908" i="1" s="1"/>
  <c r="CJ908" i="1" s="1"/>
  <c r="N908" i="1"/>
  <c r="BH330" i="1"/>
  <c r="BG330" i="1"/>
  <c r="BF330" i="1"/>
  <c r="CI330" i="1" s="1"/>
  <c r="CJ330" i="1" s="1"/>
  <c r="N330" i="1"/>
  <c r="BH1076" i="1"/>
  <c r="BG1076" i="1"/>
  <c r="N1076" i="1"/>
  <c r="BH2716" i="1"/>
  <c r="BG2716" i="1"/>
  <c r="BF2716" i="1"/>
  <c r="CI2716" i="1" s="1"/>
  <c r="CJ2716" i="1" s="1"/>
  <c r="N2716" i="1"/>
  <c r="BH1680" i="1"/>
  <c r="BG1680" i="1"/>
  <c r="BF1680" i="1"/>
  <c r="N1680" i="1"/>
  <c r="BH2472" i="1"/>
  <c r="BG2472" i="1"/>
  <c r="BF2472" i="1"/>
  <c r="CI2472" i="1" s="1"/>
  <c r="CJ2472" i="1" s="1"/>
  <c r="N2472" i="1"/>
  <c r="BH2093" i="1"/>
  <c r="BG2093" i="1"/>
  <c r="BR2093" i="1" s="1"/>
  <c r="CA2093" i="1" s="1"/>
  <c r="BF2093" i="1"/>
  <c r="CI2093" i="1" s="1"/>
  <c r="CJ2093" i="1" s="1"/>
  <c r="BK2714" i="1"/>
  <c r="BI2714" i="1"/>
  <c r="BH2714" i="1"/>
  <c r="R2714" i="1" s="1"/>
  <c r="BG2714" i="1"/>
  <c r="BR2714" i="1" s="1"/>
  <c r="CA2714" i="1" s="1"/>
  <c r="BF2714" i="1"/>
  <c r="BH473" i="1"/>
  <c r="BG473" i="1"/>
  <c r="BR473" i="1" s="1"/>
  <c r="CA473" i="1" s="1"/>
  <c r="BF473" i="1"/>
  <c r="CI473" i="1" s="1"/>
  <c r="CJ473" i="1" s="1"/>
  <c r="BH852" i="1"/>
  <c r="BG852" i="1"/>
  <c r="BR852" i="1" s="1"/>
  <c r="CA852" i="1" s="1"/>
  <c r="BF852" i="1"/>
  <c r="CI852" i="1" s="1"/>
  <c r="CJ852" i="1" s="1"/>
  <c r="BH1221" i="1"/>
  <c r="BG1221" i="1"/>
  <c r="BF1221" i="1"/>
  <c r="CI1221" i="1" s="1"/>
  <c r="CJ1221" i="1" s="1"/>
  <c r="N1221" i="1"/>
  <c r="BH1103" i="1"/>
  <c r="BG1103" i="1"/>
  <c r="BF1103" i="1"/>
  <c r="CI1103" i="1" s="1"/>
  <c r="CJ1103" i="1" s="1"/>
  <c r="N1103" i="1"/>
  <c r="BH462" i="1"/>
  <c r="BG462" i="1"/>
  <c r="BF462" i="1"/>
  <c r="CI462" i="1" s="1"/>
  <c r="CJ462" i="1" s="1"/>
  <c r="N462" i="1"/>
  <c r="BH2713" i="1"/>
  <c r="N2713" i="1"/>
  <c r="BH310" i="1"/>
  <c r="BG310" i="1"/>
  <c r="BR310" i="1" s="1"/>
  <c r="CA310" i="1" s="1"/>
  <c r="BF310" i="1"/>
  <c r="CI310" i="1" s="1"/>
  <c r="CJ310" i="1" s="1"/>
  <c r="BK1219" i="1"/>
  <c r="BI1219" i="1"/>
  <c r="BH1219" i="1"/>
  <c r="R1219" i="1" s="1"/>
  <c r="Q1219" i="1"/>
  <c r="N1219" i="1"/>
  <c r="BH559" i="1"/>
  <c r="BG559" i="1"/>
  <c r="BF559" i="1"/>
  <c r="N559" i="1"/>
  <c r="BH2712" i="1"/>
  <c r="BG2712" i="1"/>
  <c r="BF2712" i="1"/>
  <c r="CI2712" i="1" s="1"/>
  <c r="CJ2712" i="1" s="1"/>
  <c r="N2712" i="1"/>
  <c r="BH2711" i="1"/>
  <c r="BG2711" i="1"/>
  <c r="BF2711" i="1"/>
  <c r="N2711" i="1"/>
  <c r="BH1338" i="1"/>
  <c r="BG1338" i="1"/>
  <c r="BR1338" i="1" s="1"/>
  <c r="CA1338" i="1" s="1"/>
  <c r="BF1338" i="1"/>
  <c r="CI1338" i="1" s="1"/>
  <c r="CJ1338" i="1" s="1"/>
  <c r="BH1862" i="1"/>
  <c r="BG1862" i="1"/>
  <c r="BF1862" i="1"/>
  <c r="N1862" i="1"/>
  <c r="BH1455" i="1"/>
  <c r="BG1455" i="1"/>
  <c r="BF1455" i="1"/>
  <c r="N1455" i="1"/>
  <c r="BH1033" i="1"/>
  <c r="BG1033" i="1"/>
  <c r="BF1033" i="1"/>
  <c r="CI1033" i="1" s="1"/>
  <c r="CJ1033" i="1" s="1"/>
  <c r="N1033" i="1"/>
  <c r="BH1684" i="1"/>
  <c r="BG1684" i="1"/>
  <c r="BF1684" i="1"/>
  <c r="CI1684" i="1" s="1"/>
  <c r="CJ1684" i="1" s="1"/>
  <c r="N1684" i="1"/>
  <c r="BH1919" i="1"/>
  <c r="BG1919" i="1"/>
  <c r="BF1919" i="1"/>
  <c r="CI1919" i="1" s="1"/>
  <c r="CJ1919" i="1" s="1"/>
  <c r="N1919" i="1"/>
  <c r="BK2011" i="1"/>
  <c r="BI2011" i="1"/>
  <c r="BH2011" i="1"/>
  <c r="R2011" i="1" s="1"/>
  <c r="BG2011" i="1"/>
  <c r="BF2011" i="1"/>
  <c r="N2011" i="1"/>
  <c r="BH1387" i="1"/>
  <c r="BG1387" i="1"/>
  <c r="BF1387" i="1"/>
  <c r="CI1387" i="1" s="1"/>
  <c r="CJ1387" i="1" s="1"/>
  <c r="N1387" i="1"/>
  <c r="BK1622" i="1"/>
  <c r="BI1622" i="1"/>
  <c r="BH1622" i="1"/>
  <c r="R1622" i="1" s="1"/>
  <c r="Q1622" i="1"/>
  <c r="N1622" i="1"/>
  <c r="BK2710" i="1"/>
  <c r="BI2710" i="1"/>
  <c r="BH2710" i="1"/>
  <c r="R2710" i="1" s="1"/>
  <c r="BG2710" i="1"/>
  <c r="BR2710" i="1" s="1"/>
  <c r="CA2710" i="1" s="1"/>
  <c r="BF2710" i="1"/>
  <c r="BK1876" i="1"/>
  <c r="BI1876" i="1"/>
  <c r="BH1876" i="1"/>
  <c r="R1876" i="1" s="1"/>
  <c r="BG1876" i="1"/>
  <c r="BF1876" i="1"/>
  <c r="CI1876" i="1" s="1"/>
  <c r="CJ1876" i="1" s="1"/>
  <c r="N1876" i="1"/>
  <c r="BK818" i="1"/>
  <c r="BI818" i="1"/>
  <c r="BH818" i="1"/>
  <c r="R818" i="1" s="1"/>
  <c r="BG818" i="1"/>
  <c r="BF818" i="1"/>
  <c r="N818" i="1"/>
  <c r="BK383" i="1"/>
  <c r="BI383" i="1"/>
  <c r="BH383" i="1"/>
  <c r="R383" i="1" s="1"/>
  <c r="BG383" i="1"/>
  <c r="BF383" i="1"/>
  <c r="N383" i="1"/>
  <c r="BK1672" i="1"/>
  <c r="BI1672" i="1"/>
  <c r="BH1672" i="1"/>
  <c r="R1672" i="1" s="1"/>
  <c r="BG1672" i="1"/>
  <c r="BF1672" i="1"/>
  <c r="N1672" i="1"/>
  <c r="BK2328" i="1"/>
  <c r="BI2328" i="1"/>
  <c r="BH2328" i="1"/>
  <c r="R2328" i="1" s="1"/>
  <c r="BG2328" i="1"/>
  <c r="BF2328" i="1"/>
  <c r="CI2328" i="1" s="1"/>
  <c r="CJ2328" i="1" s="1"/>
  <c r="N2328" i="1"/>
  <c r="BK1688" i="1"/>
  <c r="BI1688" i="1"/>
  <c r="BH1688" i="1"/>
  <c r="R1688" i="1" s="1"/>
  <c r="BG1688" i="1"/>
  <c r="BF1688" i="1"/>
  <c r="N1688" i="1"/>
  <c r="BK1382" i="1"/>
  <c r="BI1382" i="1"/>
  <c r="BH1382" i="1"/>
  <c r="R1382" i="1" s="1"/>
  <c r="BG1382" i="1"/>
  <c r="BF1382" i="1"/>
  <c r="CI1382" i="1" s="1"/>
  <c r="CJ1382" i="1" s="1"/>
  <c r="N1382" i="1"/>
  <c r="BK582" i="1"/>
  <c r="BI582" i="1"/>
  <c r="BH582" i="1"/>
  <c r="R582" i="1" s="1"/>
  <c r="BG582" i="1"/>
  <c r="BF582" i="1"/>
  <c r="N582" i="1"/>
  <c r="BH2510" i="1"/>
  <c r="BG2510" i="1"/>
  <c r="BF2510" i="1"/>
  <c r="N2510" i="1"/>
  <c r="BH143" i="1"/>
  <c r="BG143" i="1"/>
  <c r="BF143" i="1"/>
  <c r="N143" i="1"/>
  <c r="BH2709" i="1"/>
  <c r="BG2709" i="1"/>
  <c r="BF2709" i="1"/>
  <c r="N2709" i="1"/>
  <c r="BH706" i="1"/>
  <c r="BG706" i="1"/>
  <c r="BF706" i="1"/>
  <c r="N706" i="1"/>
  <c r="BH573" i="1"/>
  <c r="BG573" i="1"/>
  <c r="BF573" i="1"/>
  <c r="CI573" i="1" s="1"/>
  <c r="CJ573" i="1" s="1"/>
  <c r="N573" i="1"/>
  <c r="BH1014" i="1"/>
  <c r="BG1014" i="1"/>
  <c r="BF1014" i="1"/>
  <c r="CI1014" i="1" s="1"/>
  <c r="CJ1014" i="1" s="1"/>
  <c r="N1014" i="1"/>
  <c r="BH2707" i="1"/>
  <c r="BG2707" i="1"/>
  <c r="BF2707" i="1"/>
  <c r="N2707" i="1"/>
  <c r="BK2445" i="1"/>
  <c r="BI2445" i="1"/>
  <c r="BH2445" i="1"/>
  <c r="R2445" i="1" s="1"/>
  <c r="BG2445" i="1"/>
  <c r="BF2445" i="1"/>
  <c r="N2445" i="1"/>
  <c r="BH2706" i="1"/>
  <c r="BG2706" i="1"/>
  <c r="BH1750" i="1"/>
  <c r="BG1750" i="1"/>
  <c r="N1750" i="1"/>
  <c r="BH2705" i="1"/>
  <c r="BG2705" i="1"/>
  <c r="BF2705" i="1"/>
  <c r="CI2705" i="1" s="1"/>
  <c r="CJ2705" i="1" s="1"/>
  <c r="N2705" i="1"/>
  <c r="BH2432" i="1"/>
  <c r="BG2432" i="1"/>
  <c r="BF2432" i="1"/>
  <c r="CI2432" i="1" s="1"/>
  <c r="CJ2432" i="1" s="1"/>
  <c r="N2432" i="1"/>
  <c r="BH2539" i="1"/>
  <c r="BH2704" i="1"/>
  <c r="BG2704" i="1"/>
  <c r="BF2704" i="1"/>
  <c r="CI2704" i="1" s="1"/>
  <c r="CJ2704" i="1" s="1"/>
  <c r="N2704" i="1"/>
  <c r="BH1933" i="1"/>
  <c r="BG1933" i="1"/>
  <c r="BF1933" i="1"/>
  <c r="CI1933" i="1" s="1"/>
  <c r="CJ1933" i="1" s="1"/>
  <c r="N1933" i="1"/>
  <c r="BK2165" i="1"/>
  <c r="BI2165" i="1"/>
  <c r="BH2165" i="1"/>
  <c r="R2165" i="1" s="1"/>
  <c r="BG2165" i="1"/>
  <c r="BF2165" i="1"/>
  <c r="N2165" i="1"/>
  <c r="BH2227" i="1"/>
  <c r="BG2227" i="1"/>
  <c r="BR2227" i="1" s="1"/>
  <c r="CA2227" i="1" s="1"/>
  <c r="BF2227" i="1"/>
  <c r="CI2227" i="1" s="1"/>
  <c r="CJ2227" i="1" s="1"/>
  <c r="BH360" i="1"/>
  <c r="BG360" i="1"/>
  <c r="BF360" i="1"/>
  <c r="N360" i="1"/>
  <c r="BH391" i="1"/>
  <c r="N391" i="1"/>
  <c r="BH2292" i="1"/>
  <c r="BG2292" i="1"/>
  <c r="BR2292" i="1" s="1"/>
  <c r="CA2292" i="1" s="1"/>
  <c r="BF2292" i="1"/>
  <c r="CI2292" i="1" s="1"/>
  <c r="CJ2292" i="1" s="1"/>
  <c r="BH1027" i="1"/>
  <c r="BG1027" i="1"/>
  <c r="BF1027" i="1"/>
  <c r="CI1027" i="1" s="1"/>
  <c r="CJ1027" i="1" s="1"/>
  <c r="N1027" i="1"/>
  <c r="BH1599" i="1"/>
  <c r="BG1599" i="1"/>
  <c r="BR1599" i="1" s="1"/>
  <c r="CA1599" i="1" s="1"/>
  <c r="BF1599" i="1"/>
  <c r="CI1599" i="1" s="1"/>
  <c r="CJ1599" i="1" s="1"/>
  <c r="BH1053" i="1"/>
  <c r="BG1053" i="1"/>
  <c r="BR1053" i="1" s="1"/>
  <c r="CA1053" i="1" s="1"/>
  <c r="BF1053" i="1"/>
  <c r="CI1053" i="1" s="1"/>
  <c r="CJ1053" i="1" s="1"/>
  <c r="BH2703" i="1"/>
  <c r="BG2703" i="1"/>
  <c r="BF2703" i="1"/>
  <c r="CI2703" i="1" s="1"/>
  <c r="CJ2703" i="1" s="1"/>
  <c r="N2703" i="1"/>
  <c r="BH2691" i="1"/>
  <c r="BG2691" i="1"/>
  <c r="BR2691" i="1" s="1"/>
  <c r="CA2691" i="1" s="1"/>
  <c r="BF2691" i="1"/>
  <c r="CI2691" i="1" s="1"/>
  <c r="CJ2691" i="1" s="1"/>
  <c r="BH2246" i="1"/>
  <c r="BG2246" i="1"/>
  <c r="BR2246" i="1" s="1"/>
  <c r="CA2246" i="1" s="1"/>
  <c r="BF2246" i="1"/>
  <c r="CI2246" i="1" s="1"/>
  <c r="CJ2246" i="1" s="1"/>
  <c r="BH1050" i="1"/>
  <c r="BH2301" i="1"/>
  <c r="BG2301" i="1"/>
  <c r="BF2301" i="1"/>
  <c r="CI2301" i="1" s="1"/>
  <c r="CJ2301" i="1" s="1"/>
  <c r="N2301" i="1"/>
  <c r="BH424" i="1"/>
  <c r="BG424" i="1"/>
  <c r="BR424" i="1" s="1"/>
  <c r="CA424" i="1" s="1"/>
  <c r="BF424" i="1"/>
  <c r="CI424" i="1" s="1"/>
  <c r="CJ424" i="1" s="1"/>
  <c r="BH2700" i="1"/>
  <c r="BG2700" i="1"/>
  <c r="BF2700" i="1"/>
  <c r="CI2700" i="1" s="1"/>
  <c r="CJ2700" i="1" s="1"/>
  <c r="N2700" i="1"/>
  <c r="BH2021" i="1"/>
  <c r="BG2021" i="1"/>
  <c r="BF2021" i="1"/>
  <c r="CI2021" i="1" s="1"/>
  <c r="CJ2021" i="1" s="1"/>
  <c r="N2021" i="1"/>
  <c r="BH1676" i="1"/>
  <c r="BG1676" i="1"/>
  <c r="N1676" i="1"/>
  <c r="BK1467" i="1"/>
  <c r="BI1467" i="1"/>
  <c r="BH1467" i="1"/>
  <c r="R1467" i="1" s="1"/>
  <c r="BG1467" i="1"/>
  <c r="BF1467" i="1"/>
  <c r="CI1467" i="1" s="1"/>
  <c r="CJ1467" i="1" s="1"/>
  <c r="N1467" i="1"/>
  <c r="BH714" i="1"/>
  <c r="BG714" i="1"/>
  <c r="BF714" i="1"/>
  <c r="CI714" i="1" s="1"/>
  <c r="CJ714" i="1" s="1"/>
  <c r="N714" i="1"/>
  <c r="BH1156" i="1"/>
  <c r="BG1156" i="1"/>
  <c r="BF1156" i="1"/>
  <c r="CI1156" i="1" s="1"/>
  <c r="CJ1156" i="1" s="1"/>
  <c r="N1156" i="1"/>
  <c r="BH2043" i="1"/>
  <c r="BG2043" i="1"/>
  <c r="BF2043" i="1"/>
  <c r="N2043" i="1"/>
  <c r="BH558" i="1"/>
  <c r="BG558" i="1"/>
  <c r="BR558" i="1" s="1"/>
  <c r="CA558" i="1" s="1"/>
  <c r="BF558" i="1"/>
  <c r="CI558" i="1" s="1"/>
  <c r="CJ558" i="1" s="1"/>
  <c r="BH1182" i="1"/>
  <c r="BG1182" i="1"/>
  <c r="BR1182" i="1" s="1"/>
  <c r="CA1182" i="1" s="1"/>
  <c r="BF1182" i="1"/>
  <c r="CI1182" i="1" s="1"/>
  <c r="CJ1182" i="1" s="1"/>
  <c r="BH19" i="1"/>
  <c r="BG19" i="1"/>
  <c r="BR19" i="1" s="1"/>
  <c r="CA19" i="1" s="1"/>
  <c r="BF19" i="1"/>
  <c r="CI19" i="1" s="1"/>
  <c r="CJ19" i="1" s="1"/>
  <c r="BH797" i="1"/>
  <c r="BG797" i="1"/>
  <c r="BF797" i="1"/>
  <c r="CI797" i="1" s="1"/>
  <c r="CJ797" i="1" s="1"/>
  <c r="N797" i="1"/>
  <c r="BH1461" i="1"/>
  <c r="BG1461" i="1"/>
  <c r="BF1461" i="1"/>
  <c r="CI1461" i="1" s="1"/>
  <c r="CJ1461" i="1" s="1"/>
  <c r="N1461" i="1"/>
  <c r="BH1383" i="1"/>
  <c r="BG1383" i="1"/>
  <c r="BF1383" i="1"/>
  <c r="N1383" i="1"/>
  <c r="BH1753" i="1"/>
  <c r="BG1753" i="1"/>
  <c r="BF1753" i="1"/>
  <c r="CI1753" i="1" s="1"/>
  <c r="CJ1753" i="1" s="1"/>
  <c r="N1753" i="1"/>
  <c r="BH442" i="1"/>
  <c r="BG442" i="1"/>
  <c r="BF442" i="1"/>
  <c r="CI442" i="1" s="1"/>
  <c r="CJ442" i="1" s="1"/>
  <c r="N442" i="1"/>
  <c r="BH2699" i="1"/>
  <c r="BG2699" i="1"/>
  <c r="BR2699" i="1" s="1"/>
  <c r="CA2699" i="1" s="1"/>
  <c r="BF2699" i="1"/>
  <c r="CI2699" i="1" s="1"/>
  <c r="CJ2699" i="1" s="1"/>
  <c r="BH110" i="1"/>
  <c r="BG110" i="1"/>
  <c r="BF110" i="1"/>
  <c r="CI110" i="1" s="1"/>
  <c r="CJ110" i="1" s="1"/>
  <c r="N110" i="1"/>
  <c r="BH1214" i="1"/>
  <c r="BG1214" i="1"/>
  <c r="BF1214" i="1"/>
  <c r="CI1214" i="1" s="1"/>
  <c r="CJ1214" i="1" s="1"/>
  <c r="N1214" i="1"/>
  <c r="BH393" i="1"/>
  <c r="BG393" i="1"/>
  <c r="BF393" i="1"/>
  <c r="N393" i="1"/>
  <c r="BH907" i="1"/>
  <c r="BG907" i="1"/>
  <c r="BR907" i="1" s="1"/>
  <c r="CA907" i="1" s="1"/>
  <c r="BF907" i="1"/>
  <c r="CI907" i="1" s="1"/>
  <c r="CJ907" i="1" s="1"/>
  <c r="BH283" i="1"/>
  <c r="BG283" i="1"/>
  <c r="BF283" i="1"/>
  <c r="N283" i="1"/>
  <c r="BK2698" i="1"/>
  <c r="BI2698" i="1"/>
  <c r="BH2698" i="1"/>
  <c r="R2698" i="1" s="1"/>
  <c r="BG2698" i="1"/>
  <c r="BF2698" i="1"/>
  <c r="N2698" i="1"/>
  <c r="BH1940" i="1"/>
  <c r="BG1940" i="1"/>
  <c r="N1940" i="1"/>
  <c r="BH2697" i="1"/>
  <c r="BG2697" i="1"/>
  <c r="BF2697" i="1"/>
  <c r="N2697" i="1"/>
  <c r="BH20" i="1"/>
  <c r="BG20" i="1"/>
  <c r="BF20" i="1"/>
  <c r="CI20" i="1" s="1"/>
  <c r="CJ20" i="1" s="1"/>
  <c r="N20" i="1"/>
  <c r="BH2389" i="1"/>
  <c r="BG2389" i="1"/>
  <c r="BF2389" i="1"/>
  <c r="CI2389" i="1" s="1"/>
  <c r="CJ2389" i="1" s="1"/>
  <c r="N2389" i="1"/>
  <c r="BH426" i="1"/>
  <c r="BG426" i="1"/>
  <c r="BR426" i="1" s="1"/>
  <c r="CA426" i="1" s="1"/>
  <c r="BF426" i="1"/>
  <c r="CI426" i="1" s="1"/>
  <c r="CJ426" i="1" s="1"/>
  <c r="BH816" i="1"/>
  <c r="BG816" i="1"/>
  <c r="BR816" i="1" s="1"/>
  <c r="CA816" i="1" s="1"/>
  <c r="BF816" i="1"/>
  <c r="CI816" i="1" s="1"/>
  <c r="CJ816" i="1" s="1"/>
  <c r="BH2696" i="1"/>
  <c r="BG2696" i="1"/>
  <c r="BF2696" i="1"/>
  <c r="CI2696" i="1" s="1"/>
  <c r="CJ2696" i="1" s="1"/>
  <c r="N2696" i="1"/>
  <c r="BH2415" i="1"/>
  <c r="BG2415" i="1"/>
  <c r="BR2415" i="1" s="1"/>
  <c r="CA2415" i="1" s="1"/>
  <c r="BF2415" i="1"/>
  <c r="CI2415" i="1" s="1"/>
  <c r="CJ2415" i="1" s="1"/>
  <c r="BK1852" i="1"/>
  <c r="BI1852" i="1"/>
  <c r="BH1852" i="1"/>
  <c r="R1852" i="1" s="1"/>
  <c r="BG1852" i="1"/>
  <c r="BF1852" i="1"/>
  <c r="CI1852" i="1" s="1"/>
  <c r="CJ1852" i="1" s="1"/>
  <c r="N1852" i="1"/>
  <c r="BH602" i="1"/>
  <c r="BG602" i="1"/>
  <c r="N602" i="1"/>
  <c r="BH2267" i="1"/>
  <c r="BG2267" i="1"/>
  <c r="BF2267" i="1"/>
  <c r="CI2267" i="1" s="1"/>
  <c r="CJ2267" i="1" s="1"/>
  <c r="N2267" i="1"/>
  <c r="BH2620" i="1"/>
  <c r="BG2620" i="1"/>
  <c r="BF2620" i="1"/>
  <c r="CI2620" i="1" s="1"/>
  <c r="CJ2620" i="1" s="1"/>
  <c r="N2620" i="1"/>
  <c r="BH678" i="1"/>
  <c r="BG678" i="1"/>
  <c r="BF678" i="1"/>
  <c r="CI678" i="1" s="1"/>
  <c r="CJ678" i="1" s="1"/>
  <c r="N678" i="1"/>
  <c r="BH2693" i="1"/>
  <c r="BG2693" i="1"/>
  <c r="BH1591" i="1"/>
  <c r="BG1591" i="1"/>
  <c r="BR1591" i="1" s="1"/>
  <c r="CA1591" i="1" s="1"/>
  <c r="BF1591" i="1"/>
  <c r="CI1591" i="1" s="1"/>
  <c r="CJ1591" i="1" s="1"/>
  <c r="BH1232" i="1"/>
  <c r="BG1232" i="1"/>
  <c r="BF1232" i="1"/>
  <c r="CI1232" i="1" s="1"/>
  <c r="CJ1232" i="1" s="1"/>
  <c r="N1232" i="1"/>
  <c r="BH1851" i="1"/>
  <c r="N1851" i="1"/>
  <c r="BK1473" i="1"/>
  <c r="BI1473" i="1"/>
  <c r="BH1473" i="1"/>
  <c r="R1473" i="1" s="1"/>
  <c r="BG1473" i="1"/>
  <c r="N1473" i="1"/>
  <c r="BH1369" i="1"/>
  <c r="BG1369" i="1"/>
  <c r="BF1369" i="1"/>
  <c r="N1369" i="1"/>
  <c r="BH1101" i="1"/>
  <c r="BG1101" i="1"/>
  <c r="BF1101" i="1"/>
  <c r="N1101" i="1"/>
  <c r="BH356" i="1"/>
  <c r="BG356" i="1"/>
  <c r="BF356" i="1"/>
  <c r="N356" i="1"/>
  <c r="BH1390" i="1"/>
  <c r="BG1390" i="1"/>
  <c r="BF1390" i="1"/>
  <c r="CI1390" i="1" s="1"/>
  <c r="CJ1390" i="1" s="1"/>
  <c r="N1390" i="1"/>
  <c r="BH726" i="1"/>
  <c r="BG726" i="1"/>
  <c r="BR726" i="1" s="1"/>
  <c r="CA726" i="1" s="1"/>
  <c r="BF726" i="1"/>
  <c r="CI726" i="1" s="1"/>
  <c r="CJ726" i="1" s="1"/>
  <c r="BH2627" i="1"/>
  <c r="BG2627" i="1"/>
  <c r="BF2627" i="1"/>
  <c r="CI2627" i="1" s="1"/>
  <c r="CJ2627" i="1" s="1"/>
  <c r="N2627" i="1"/>
  <c r="BH2692" i="1"/>
  <c r="BG2692" i="1"/>
  <c r="BR2692" i="1" s="1"/>
  <c r="CA2692" i="1" s="1"/>
  <c r="BF2692" i="1"/>
  <c r="CI2692" i="1" s="1"/>
  <c r="CJ2692" i="1" s="1"/>
  <c r="BH1692" i="1"/>
  <c r="BG1692" i="1"/>
  <c r="BF1692" i="1"/>
  <c r="CI1692" i="1" s="1"/>
  <c r="CJ1692" i="1" s="1"/>
  <c r="N1692" i="1"/>
  <c r="BH2687" i="1"/>
  <c r="BG2687" i="1"/>
  <c r="BF2687" i="1"/>
  <c r="N2687" i="1"/>
  <c r="BK681" i="1"/>
  <c r="BI681" i="1"/>
  <c r="BH681" i="1"/>
  <c r="R681" i="1" s="1"/>
  <c r="BG681" i="1"/>
  <c r="BF681" i="1"/>
  <c r="N681" i="1"/>
  <c r="BH109" i="1"/>
  <c r="BG109" i="1"/>
  <c r="BF109" i="1"/>
  <c r="CI109" i="1" s="1"/>
  <c r="CJ109" i="1" s="1"/>
  <c r="N109" i="1"/>
  <c r="BK2690" i="1"/>
  <c r="BI2690" i="1"/>
  <c r="BH2690" i="1"/>
  <c r="R2690" i="1" s="1"/>
  <c r="Q2690" i="1"/>
  <c r="N2690" i="1"/>
  <c r="BK2640" i="1"/>
  <c r="BI2640" i="1"/>
  <c r="BH2640" i="1"/>
  <c r="R2640" i="1" s="1"/>
  <c r="BG2640" i="1"/>
  <c r="BF2640" i="1"/>
  <c r="CI2640" i="1" s="1"/>
  <c r="CJ2640" i="1" s="1"/>
  <c r="N2640" i="1"/>
  <c r="BK2689" i="1"/>
  <c r="BI2689" i="1"/>
  <c r="BH2689" i="1"/>
  <c r="R2689" i="1" s="1"/>
  <c r="BG2689" i="1"/>
  <c r="BF2689" i="1"/>
  <c r="CI2689" i="1" s="1"/>
  <c r="CJ2689" i="1" s="1"/>
  <c r="N2689" i="1"/>
  <c r="BK1034" i="1"/>
  <c r="BI1034" i="1"/>
  <c r="BH1034" i="1"/>
  <c r="R1034" i="1" s="1"/>
  <c r="BG1034" i="1"/>
  <c r="BF1034" i="1"/>
  <c r="CI1034" i="1" s="1"/>
  <c r="CJ1034" i="1" s="1"/>
  <c r="N1034" i="1"/>
  <c r="BK1601" i="1"/>
  <c r="BI1601" i="1"/>
  <c r="BH1601" i="1"/>
  <c r="R1601" i="1" s="1"/>
  <c r="BG1601" i="1"/>
  <c r="BF1601" i="1"/>
  <c r="N1601" i="1"/>
  <c r="BK2688" i="1"/>
  <c r="BI2688" i="1"/>
  <c r="BH2688" i="1"/>
  <c r="R2688" i="1" s="1"/>
  <c r="BG2688" i="1"/>
  <c r="BF2688" i="1"/>
  <c r="CI2688" i="1" s="1"/>
  <c r="CJ2688" i="1" s="1"/>
  <c r="N2688" i="1"/>
  <c r="BK2541" i="1"/>
  <c r="BI2541" i="1"/>
  <c r="BH2541" i="1"/>
  <c r="R2541" i="1" s="1"/>
  <c r="BG2541" i="1"/>
  <c r="BF2541" i="1"/>
  <c r="N2541" i="1"/>
  <c r="BK1488" i="1"/>
  <c r="BI1488" i="1"/>
  <c r="BH1488" i="1"/>
  <c r="R1488" i="1" s="1"/>
  <c r="BG1488" i="1"/>
  <c r="BF1488" i="1"/>
  <c r="N1488" i="1"/>
  <c r="BK357" i="1"/>
  <c r="BI357" i="1"/>
  <c r="BH357" i="1"/>
  <c r="R357" i="1" s="1"/>
  <c r="BG357" i="1"/>
  <c r="BF357" i="1"/>
  <c r="N357" i="1"/>
  <c r="BK2686" i="1"/>
  <c r="BI2686" i="1"/>
  <c r="BH2686" i="1"/>
  <c r="R2686" i="1" s="1"/>
  <c r="BG2686" i="1"/>
  <c r="BF2686" i="1"/>
  <c r="N2686" i="1"/>
  <c r="BH446" i="1"/>
  <c r="N446" i="1"/>
  <c r="BH689" i="1"/>
  <c r="BG689" i="1"/>
  <c r="BF689" i="1"/>
  <c r="CI689" i="1" s="1"/>
  <c r="CJ689" i="1" s="1"/>
  <c r="N689" i="1"/>
  <c r="BH2685" i="1"/>
  <c r="BG2685" i="1"/>
  <c r="BR2685" i="1" s="1"/>
  <c r="CA2685" i="1" s="1"/>
  <c r="BF2685" i="1"/>
  <c r="CI2685" i="1" s="1"/>
  <c r="CJ2685" i="1" s="1"/>
  <c r="BH2684" i="1"/>
  <c r="BG2684" i="1"/>
  <c r="BF2684" i="1"/>
  <c r="CI2684" i="1" s="1"/>
  <c r="CJ2684" i="1" s="1"/>
  <c r="N2684" i="1"/>
  <c r="BH1173" i="1"/>
  <c r="BG1173" i="1"/>
  <c r="BR1173" i="1" s="1"/>
  <c r="CA1173" i="1" s="1"/>
  <c r="BF1173" i="1"/>
  <c r="CI1173" i="1" s="1"/>
  <c r="CJ1173" i="1" s="1"/>
  <c r="BH541" i="1"/>
  <c r="BG541" i="1"/>
  <c r="BF541" i="1"/>
  <c r="CI541" i="1" s="1"/>
  <c r="CJ541" i="1" s="1"/>
  <c r="N541" i="1"/>
  <c r="BH2683" i="1"/>
  <c r="BG2683" i="1"/>
  <c r="BF2683" i="1"/>
  <c r="CI2683" i="1" s="1"/>
  <c r="CJ2683" i="1" s="1"/>
  <c r="N2683" i="1"/>
  <c r="BH758" i="1"/>
  <c r="BG758" i="1"/>
  <c r="BF758" i="1"/>
  <c r="CI758" i="1" s="1"/>
  <c r="CJ758" i="1" s="1"/>
  <c r="N758" i="1"/>
  <c r="BH2213" i="1"/>
  <c r="BG2213" i="1"/>
  <c r="BF2213" i="1"/>
  <c r="N2213" i="1"/>
  <c r="BH2169" i="1"/>
  <c r="BG2169" i="1"/>
  <c r="BF2169" i="1"/>
  <c r="CI2169" i="1" s="1"/>
  <c r="CJ2169" i="1" s="1"/>
  <c r="N2169" i="1"/>
  <c r="BH134" i="1"/>
  <c r="BG134" i="1"/>
  <c r="BF134" i="1"/>
  <c r="CI134" i="1" s="1"/>
  <c r="CJ134" i="1" s="1"/>
  <c r="N134" i="1"/>
  <c r="BH2682" i="1"/>
  <c r="BG2682" i="1"/>
  <c r="BF2682" i="1"/>
  <c r="N2682" i="1"/>
  <c r="BH722" i="1"/>
  <c r="BG722" i="1"/>
  <c r="N722" i="1"/>
  <c r="BH2545" i="1"/>
  <c r="BG2545" i="1"/>
  <c r="BF2545" i="1"/>
  <c r="N2545" i="1"/>
  <c r="BH2083" i="1"/>
  <c r="BG2083" i="1"/>
  <c r="BF2083" i="1"/>
  <c r="CI2083" i="1" s="1"/>
  <c r="CJ2083" i="1" s="1"/>
  <c r="N2083" i="1"/>
  <c r="BH2681" i="1"/>
  <c r="BG2681" i="1"/>
  <c r="BF2681" i="1"/>
  <c r="CI2681" i="1" s="1"/>
  <c r="CJ2681" i="1" s="1"/>
  <c r="N2681" i="1"/>
  <c r="BK766" i="1"/>
  <c r="BI766" i="1"/>
  <c r="BH766" i="1"/>
  <c r="R766" i="1" s="1"/>
  <c r="BG766" i="1"/>
  <c r="BR766" i="1" s="1"/>
  <c r="CA766" i="1" s="1"/>
  <c r="BF766" i="1"/>
  <c r="BH1304" i="1"/>
  <c r="BG1304" i="1"/>
  <c r="BF1304" i="1"/>
  <c r="CI1304" i="1" s="1"/>
  <c r="CJ1304" i="1" s="1"/>
  <c r="N1304" i="1"/>
  <c r="BH2679" i="1"/>
  <c r="BG2679" i="1"/>
  <c r="BF2679" i="1"/>
  <c r="CI2679" i="1" s="1"/>
  <c r="CJ2679" i="1" s="1"/>
  <c r="N2679" i="1"/>
  <c r="BH1681" i="1"/>
  <c r="BG1681" i="1"/>
  <c r="BF1681" i="1"/>
  <c r="CI1681" i="1" s="1"/>
  <c r="CJ1681" i="1" s="1"/>
  <c r="N1681" i="1"/>
  <c r="BH1364" i="1"/>
  <c r="BG1364" i="1"/>
  <c r="N1364" i="1"/>
  <c r="BH1739" i="1"/>
  <c r="BG1739" i="1"/>
  <c r="BF1739" i="1"/>
  <c r="N1739" i="1"/>
  <c r="BH679" i="1"/>
  <c r="BG679" i="1"/>
  <c r="BF679" i="1"/>
  <c r="N679" i="1"/>
  <c r="BH817" i="1"/>
  <c r="BG817" i="1"/>
  <c r="BF817" i="1"/>
  <c r="CI817" i="1" s="1"/>
  <c r="CJ817" i="1" s="1"/>
  <c r="N817" i="1"/>
  <c r="BK314" i="1"/>
  <c r="BI314" i="1"/>
  <c r="BH314" i="1"/>
  <c r="R314" i="1" s="1"/>
  <c r="Q314" i="1"/>
  <c r="N314" i="1"/>
  <c r="BH2680" i="1"/>
  <c r="N2680" i="1"/>
  <c r="BH1062" i="1"/>
  <c r="BG1062" i="1"/>
  <c r="BF1062" i="1"/>
  <c r="N1062" i="1"/>
  <c r="BH883" i="1"/>
  <c r="BG883" i="1"/>
  <c r="BF883" i="1"/>
  <c r="CI883" i="1" s="1"/>
  <c r="CJ883" i="1" s="1"/>
  <c r="N883" i="1"/>
  <c r="BH2380" i="1"/>
  <c r="BG2380" i="1"/>
  <c r="BF2380" i="1"/>
  <c r="CI2380" i="1" s="1"/>
  <c r="CJ2380" i="1" s="1"/>
  <c r="N2380" i="1"/>
  <c r="BH1566" i="1"/>
  <c r="BG1566" i="1"/>
  <c r="BF1566" i="1"/>
  <c r="N1566" i="1"/>
  <c r="BH1489" i="1"/>
  <c r="BG1489" i="1"/>
  <c r="BF1489" i="1"/>
  <c r="CI1489" i="1" s="1"/>
  <c r="CJ1489" i="1" s="1"/>
  <c r="N1489" i="1"/>
  <c r="BH2677" i="1"/>
  <c r="BG2677" i="1"/>
  <c r="BZ2677" i="1"/>
  <c r="N2677" i="1"/>
  <c r="BH1526" i="1"/>
  <c r="BG1526" i="1"/>
  <c r="BF1526" i="1"/>
  <c r="N1526" i="1"/>
  <c r="BH2578" i="1"/>
  <c r="BG2578" i="1"/>
  <c r="BF2578" i="1"/>
  <c r="CI2578" i="1" s="1"/>
  <c r="CJ2578" i="1" s="1"/>
  <c r="N2578" i="1"/>
  <c r="BK2676" i="1"/>
  <c r="BI2676" i="1"/>
  <c r="BH2676" i="1"/>
  <c r="R2676" i="1" s="1"/>
  <c r="BU2676" i="1" s="1"/>
  <c r="BW2676" i="1" s="1"/>
  <c r="N2676" i="1"/>
  <c r="BH1208" i="1"/>
  <c r="BG1208" i="1"/>
  <c r="BF1208" i="1"/>
  <c r="CI1208" i="1" s="1"/>
  <c r="CJ1208" i="1" s="1"/>
  <c r="N1208" i="1"/>
  <c r="BH1462" i="1"/>
  <c r="BG1462" i="1"/>
  <c r="BF1462" i="1"/>
  <c r="CI1462" i="1" s="1"/>
  <c r="CJ1462" i="1" s="1"/>
  <c r="N1462" i="1"/>
  <c r="BH2144" i="1"/>
  <c r="BG2144" i="1"/>
  <c r="BF2144" i="1"/>
  <c r="N2144" i="1"/>
  <c r="BH2384" i="1"/>
  <c r="BH1144" i="1"/>
  <c r="BG1144" i="1"/>
  <c r="BR1144" i="1" s="1"/>
  <c r="CA1144" i="1" s="1"/>
  <c r="BF1144" i="1"/>
  <c r="CI1144" i="1" s="1"/>
  <c r="CJ1144" i="1" s="1"/>
  <c r="BH840" i="1"/>
  <c r="BG840" i="1"/>
  <c r="BF840" i="1"/>
  <c r="CI840" i="1" s="1"/>
  <c r="CJ840" i="1" s="1"/>
  <c r="N840" i="1"/>
  <c r="BH2674" i="1"/>
  <c r="BG2674" i="1"/>
  <c r="BF2674" i="1"/>
  <c r="CI2674" i="1" s="1"/>
  <c r="CJ2674" i="1" s="1"/>
  <c r="N2674" i="1"/>
  <c r="BH2673" i="1"/>
  <c r="BG2673" i="1"/>
  <c r="BF2673" i="1"/>
  <c r="N2673" i="1"/>
  <c r="BK1820" i="1"/>
  <c r="BI1820" i="1"/>
  <c r="BH1820" i="1"/>
  <c r="R1820" i="1" s="1"/>
  <c r="BG1820" i="1"/>
  <c r="BF1820" i="1"/>
  <c r="N1820" i="1"/>
  <c r="BH1941" i="1"/>
  <c r="BG1941" i="1"/>
  <c r="BF1941" i="1"/>
  <c r="CI1941" i="1" s="1"/>
  <c r="CJ1941" i="1" s="1"/>
  <c r="N1941" i="1"/>
  <c r="BH2672" i="1"/>
  <c r="BG2672" i="1"/>
  <c r="BF2672" i="1"/>
  <c r="CI2672" i="1" s="1"/>
  <c r="CJ2672" i="1" s="1"/>
  <c r="N2672" i="1"/>
  <c r="BH179" i="1"/>
  <c r="N179" i="1"/>
  <c r="BH1518" i="1"/>
  <c r="BG1518" i="1"/>
  <c r="BF1518" i="1"/>
  <c r="CI1518" i="1" s="1"/>
  <c r="CJ1518" i="1" s="1"/>
  <c r="N1518" i="1"/>
  <c r="BH1970" i="1"/>
  <c r="BG1970" i="1"/>
  <c r="BF1970" i="1"/>
  <c r="CI1970" i="1" s="1"/>
  <c r="CJ1970" i="1" s="1"/>
  <c r="N1970" i="1"/>
  <c r="BH1790" i="1"/>
  <c r="BG1790" i="1"/>
  <c r="BR1790" i="1" s="1"/>
  <c r="CA1790" i="1" s="1"/>
  <c r="BF1790" i="1"/>
  <c r="CI1790" i="1" s="1"/>
  <c r="CJ1790" i="1" s="1"/>
  <c r="BH1335" i="1"/>
  <c r="BG1335" i="1"/>
  <c r="BR1335" i="1" s="1"/>
  <c r="CA1335" i="1" s="1"/>
  <c r="BF1335" i="1"/>
  <c r="CI1335" i="1" s="1"/>
  <c r="CJ1335" i="1" s="1"/>
  <c r="BH672" i="1"/>
  <c r="BG672" i="1"/>
  <c r="BF672" i="1"/>
  <c r="N672" i="1"/>
  <c r="BH1524" i="1"/>
  <c r="BG1524" i="1"/>
  <c r="BF1524" i="1"/>
  <c r="CI1524" i="1" s="1"/>
  <c r="CJ1524" i="1" s="1"/>
  <c r="N1524" i="1"/>
  <c r="BK841" i="1"/>
  <c r="BI841" i="1"/>
  <c r="BH841" i="1"/>
  <c r="R841" i="1" s="1"/>
  <c r="Q841" i="1"/>
  <c r="N841" i="1"/>
  <c r="BH1930" i="1"/>
  <c r="BG1930" i="1"/>
  <c r="BF1930" i="1"/>
  <c r="CI1930" i="1" s="1"/>
  <c r="CJ1930" i="1" s="1"/>
  <c r="N1930" i="1"/>
  <c r="BH1565" i="1"/>
  <c r="BG1565" i="1"/>
  <c r="BF1565" i="1"/>
  <c r="N1565" i="1"/>
  <c r="BH803" i="1"/>
  <c r="BG803" i="1"/>
  <c r="BF803" i="1"/>
  <c r="CI803" i="1" s="1"/>
  <c r="CJ803" i="1" s="1"/>
  <c r="N803" i="1"/>
  <c r="BH713" i="1"/>
  <c r="BG713" i="1"/>
  <c r="BF713" i="1"/>
  <c r="CI713" i="1" s="1"/>
  <c r="CJ713" i="1" s="1"/>
  <c r="N713" i="1"/>
  <c r="BH328" i="1"/>
  <c r="BG328" i="1"/>
  <c r="BF328" i="1"/>
  <c r="CI328" i="1" s="1"/>
  <c r="CJ328" i="1" s="1"/>
  <c r="N328" i="1"/>
  <c r="BH1671" i="1"/>
  <c r="BG1671" i="1"/>
  <c r="BF1671" i="1"/>
  <c r="CI1671" i="1" s="1"/>
  <c r="CJ1671" i="1" s="1"/>
  <c r="N1671" i="1"/>
  <c r="BH1106" i="1"/>
  <c r="BG1106" i="1"/>
  <c r="BF1106" i="1"/>
  <c r="CI1106" i="1" s="1"/>
  <c r="CJ1106" i="1" s="1"/>
  <c r="N1106" i="1"/>
  <c r="BH1060" i="1"/>
  <c r="BG1060" i="1"/>
  <c r="BF1060" i="1"/>
  <c r="CI1060" i="1" s="1"/>
  <c r="CJ1060" i="1" s="1"/>
  <c r="N1060" i="1"/>
  <c r="BH1559" i="1"/>
  <c r="BG1559" i="1"/>
  <c r="BK2477" i="1"/>
  <c r="BI2477" i="1"/>
  <c r="BH2477" i="1"/>
  <c r="R2477" i="1" s="1"/>
  <c r="BG2477" i="1"/>
  <c r="BF2477" i="1"/>
  <c r="N2477" i="1"/>
  <c r="BH2671" i="1"/>
  <c r="N2671" i="1"/>
  <c r="BH2670" i="1"/>
  <c r="BG2670" i="1"/>
  <c r="BF2670" i="1"/>
  <c r="N2670" i="1"/>
  <c r="BH151" i="1"/>
  <c r="BG151" i="1"/>
  <c r="BF151" i="1"/>
  <c r="N151" i="1"/>
  <c r="BH2287" i="1"/>
  <c r="BG2287" i="1"/>
  <c r="BF2287" i="1"/>
  <c r="CI2287" i="1" s="1"/>
  <c r="CJ2287" i="1" s="1"/>
  <c r="N2287" i="1"/>
  <c r="BH1891" i="1"/>
  <c r="BH1958" i="1"/>
  <c r="BG1958" i="1"/>
  <c r="BF1958" i="1"/>
  <c r="CI1958" i="1" s="1"/>
  <c r="CJ1958" i="1" s="1"/>
  <c r="N1958" i="1"/>
  <c r="BH1777" i="1"/>
  <c r="BG1777" i="1"/>
  <c r="BR1777" i="1" s="1"/>
  <c r="CA1777" i="1" s="1"/>
  <c r="BF1777" i="1"/>
  <c r="CI1777" i="1" s="1"/>
  <c r="CJ1777" i="1" s="1"/>
  <c r="BH2669" i="1"/>
  <c r="BG2669" i="1"/>
  <c r="BF2669" i="1"/>
  <c r="CI2669" i="1" s="1"/>
  <c r="CJ2669" i="1" s="1"/>
  <c r="N2669" i="1"/>
  <c r="BH1449" i="1"/>
  <c r="BG1449" i="1"/>
  <c r="BF1449" i="1"/>
  <c r="CI1449" i="1" s="1"/>
  <c r="CJ1449" i="1" s="1"/>
  <c r="N1449" i="1"/>
  <c r="BK1589" i="1"/>
  <c r="BI1589" i="1"/>
  <c r="BH1589" i="1"/>
  <c r="R1589" i="1" s="1"/>
  <c r="Q1589" i="1"/>
  <c r="N1589" i="1"/>
  <c r="BH1792" i="1"/>
  <c r="BG1792" i="1"/>
  <c r="BF1792" i="1"/>
  <c r="CI1792" i="1" s="1"/>
  <c r="CJ1792" i="1" s="1"/>
  <c r="N1792" i="1"/>
  <c r="BH2464" i="1"/>
  <c r="BG2464" i="1"/>
  <c r="BF2464" i="1"/>
  <c r="CI2464" i="1" s="1"/>
  <c r="CJ2464" i="1" s="1"/>
  <c r="N2464" i="1"/>
  <c r="BH746" i="1"/>
  <c r="BG746" i="1"/>
  <c r="BR746" i="1" s="1"/>
  <c r="CA746" i="1" s="1"/>
  <c r="BF746" i="1"/>
  <c r="CI746" i="1" s="1"/>
  <c r="CJ746" i="1" s="1"/>
  <c r="BH337" i="1"/>
  <c r="BG337" i="1"/>
  <c r="BF337" i="1"/>
  <c r="CI337" i="1" s="1"/>
  <c r="CJ337" i="1" s="1"/>
  <c r="N337" i="1"/>
  <c r="BH6" i="1"/>
  <c r="BG6" i="1"/>
  <c r="BR6" i="1" s="1"/>
  <c r="CA6" i="1" s="1"/>
  <c r="BF6" i="1"/>
  <c r="CI6" i="1" s="1"/>
  <c r="CJ6" i="1" s="1"/>
  <c r="BH1749" i="1"/>
  <c r="BG1749" i="1"/>
  <c r="BF1749" i="1"/>
  <c r="CI1749" i="1" s="1"/>
  <c r="CJ1749" i="1" s="1"/>
  <c r="N1749" i="1"/>
  <c r="BH2371" i="1"/>
  <c r="BG2371" i="1"/>
  <c r="BR2371" i="1" s="1"/>
  <c r="CA2371" i="1" s="1"/>
  <c r="BF2371" i="1"/>
  <c r="CI2371" i="1" s="1"/>
  <c r="CJ2371" i="1" s="1"/>
  <c r="BH2667" i="1"/>
  <c r="N2667" i="1"/>
  <c r="BH1763" i="1"/>
  <c r="N1763" i="1"/>
  <c r="BK1291" i="1"/>
  <c r="BI1291" i="1"/>
  <c r="BH1291" i="1"/>
  <c r="R1291" i="1" s="1"/>
  <c r="BG1291" i="1"/>
  <c r="BR1291" i="1" s="1"/>
  <c r="CA1291" i="1" s="1"/>
  <c r="BF1291" i="1"/>
  <c r="BH2665" i="1"/>
  <c r="BG2665" i="1"/>
  <c r="BF2665" i="1"/>
  <c r="N2665" i="1"/>
  <c r="BK911" i="1"/>
  <c r="BI911" i="1"/>
  <c r="BH911" i="1"/>
  <c r="R911" i="1" s="1"/>
  <c r="BG911" i="1"/>
  <c r="BF911" i="1"/>
  <c r="CI911" i="1" s="1"/>
  <c r="CJ911" i="1" s="1"/>
  <c r="N911" i="1"/>
  <c r="BK929" i="1"/>
  <c r="BI929" i="1"/>
  <c r="BH929" i="1"/>
  <c r="R929" i="1" s="1"/>
  <c r="BG929" i="1"/>
  <c r="BF929" i="1"/>
  <c r="CI929" i="1" s="1"/>
  <c r="CJ929" i="1" s="1"/>
  <c r="N929" i="1"/>
  <c r="BK2157" i="1"/>
  <c r="BI2157" i="1"/>
  <c r="BH2157" i="1"/>
  <c r="R2157" i="1" s="1"/>
  <c r="BG2157" i="1"/>
  <c r="BF2157" i="1"/>
  <c r="CI2157" i="1" s="1"/>
  <c r="CJ2157" i="1" s="1"/>
  <c r="N2157" i="1"/>
  <c r="BK1629" i="1"/>
  <c r="BI1629" i="1"/>
  <c r="BH1629" i="1"/>
  <c r="R1629" i="1" s="1"/>
  <c r="BG1629" i="1"/>
  <c r="BF1629" i="1"/>
  <c r="N1629" i="1"/>
  <c r="BK2666" i="1"/>
  <c r="BI2666" i="1"/>
  <c r="BH2666" i="1"/>
  <c r="R2666" i="1" s="1"/>
  <c r="BG2666" i="1"/>
  <c r="N2666" i="1"/>
  <c r="BK936" i="1"/>
  <c r="BI936" i="1"/>
  <c r="BH936" i="1"/>
  <c r="R936" i="1" s="1"/>
  <c r="BG936" i="1"/>
  <c r="BF936" i="1"/>
  <c r="CI936" i="1" s="1"/>
  <c r="CJ936" i="1" s="1"/>
  <c r="N936" i="1"/>
  <c r="BK2447" i="1"/>
  <c r="BI2447" i="1"/>
  <c r="BH2447" i="1"/>
  <c r="R2447" i="1" s="1"/>
  <c r="BG2447" i="1"/>
  <c r="BF2447" i="1"/>
  <c r="CI2447" i="1" s="1"/>
  <c r="CJ2447" i="1" s="1"/>
  <c r="N2447" i="1"/>
  <c r="BH1018" i="1"/>
  <c r="N1018" i="1"/>
  <c r="BH1764" i="1"/>
  <c r="BG1764" i="1"/>
  <c r="BF1764" i="1"/>
  <c r="CI1764" i="1" s="1"/>
  <c r="CJ1764" i="1" s="1"/>
  <c r="N1764" i="1"/>
  <c r="BH2664" i="1"/>
  <c r="BG2664" i="1"/>
  <c r="BF2664" i="1"/>
  <c r="CI2664" i="1" s="1"/>
  <c r="CJ2664" i="1" s="1"/>
  <c r="N2664" i="1"/>
  <c r="BH9" i="1"/>
  <c r="BG9" i="1"/>
  <c r="BR9" i="1" s="1"/>
  <c r="CA9" i="1" s="1"/>
  <c r="BF9" i="1"/>
  <c r="CI9" i="1" s="1"/>
  <c r="CJ9" i="1" s="1"/>
  <c r="BH1475" i="1"/>
  <c r="BG1475" i="1"/>
  <c r="BF1475" i="1"/>
  <c r="N1475" i="1"/>
  <c r="BH379" i="1"/>
  <c r="BG379" i="1"/>
  <c r="BF379" i="1"/>
  <c r="N379" i="1"/>
  <c r="BH2663" i="1"/>
  <c r="BG2663" i="1"/>
  <c r="BF2663" i="1"/>
  <c r="CI2663" i="1" s="1"/>
  <c r="CJ2663" i="1" s="1"/>
  <c r="N2663" i="1"/>
  <c r="BH347" i="1"/>
  <c r="BG347" i="1"/>
  <c r="BF347" i="1"/>
  <c r="CI347" i="1" s="1"/>
  <c r="CJ347" i="1" s="1"/>
  <c r="N347" i="1"/>
  <c r="BK1094" i="1"/>
  <c r="BI1094" i="1"/>
  <c r="BH1094" i="1"/>
  <c r="R1094" i="1" s="1"/>
  <c r="BG1094" i="1"/>
  <c r="BF1094" i="1"/>
  <c r="N1094" i="1"/>
  <c r="BH1253" i="1"/>
  <c r="BG1253" i="1"/>
  <c r="BF1253" i="1"/>
  <c r="N1253" i="1"/>
  <c r="BH2662" i="1"/>
  <c r="BG2662" i="1"/>
  <c r="BF2662" i="1"/>
  <c r="N2662" i="1"/>
  <c r="BH2661" i="1"/>
  <c r="BG2661" i="1"/>
  <c r="BF2661" i="1"/>
  <c r="N2661" i="1"/>
  <c r="BH2660" i="1"/>
  <c r="BG2660" i="1"/>
  <c r="BF2660" i="1"/>
  <c r="N2660" i="1"/>
  <c r="BH1492" i="1"/>
  <c r="BG1492" i="1"/>
  <c r="BF1492" i="1"/>
  <c r="CI1492" i="1" s="1"/>
  <c r="CJ1492" i="1" s="1"/>
  <c r="N1492" i="1"/>
  <c r="BH1154" i="1"/>
  <c r="BG1154" i="1"/>
  <c r="BF1154" i="1"/>
  <c r="CI1154" i="1" s="1"/>
  <c r="CJ1154" i="1" s="1"/>
  <c r="N1154" i="1"/>
  <c r="BH1553" i="1"/>
  <c r="BH2263" i="1"/>
  <c r="BG2263" i="1"/>
  <c r="BF2263" i="1"/>
  <c r="CI2263" i="1" s="1"/>
  <c r="CJ2263" i="1" s="1"/>
  <c r="N2263" i="1"/>
  <c r="BH2659" i="1"/>
  <c r="BK1780" i="1"/>
  <c r="BI1780" i="1"/>
  <c r="BH1780" i="1"/>
  <c r="R1780" i="1" s="1"/>
  <c r="BG1780" i="1"/>
  <c r="BF1780" i="1"/>
  <c r="N1780" i="1"/>
  <c r="BH1638" i="1"/>
  <c r="BG1638" i="1"/>
  <c r="BF1638" i="1"/>
  <c r="N1638" i="1"/>
  <c r="BH1385" i="1"/>
  <c r="BG1385" i="1"/>
  <c r="BF1385" i="1"/>
  <c r="CI1385" i="1" s="1"/>
  <c r="CJ1385" i="1" s="1"/>
  <c r="N1385" i="1"/>
  <c r="BH2657" i="1"/>
  <c r="N2657" i="1"/>
  <c r="BH2658" i="1"/>
  <c r="N2658" i="1"/>
  <c r="BH2655" i="1"/>
  <c r="BG2655" i="1"/>
  <c r="BF2655" i="1"/>
  <c r="N2655" i="1"/>
  <c r="BH1286" i="1"/>
  <c r="BG1286" i="1"/>
  <c r="BF1286" i="1"/>
  <c r="CI1286" i="1" s="1"/>
  <c r="CJ1286" i="1" s="1"/>
  <c r="N1286" i="1"/>
  <c r="BH2159" i="1"/>
  <c r="BG2159" i="1"/>
  <c r="BF2159" i="1"/>
  <c r="N2159" i="1"/>
  <c r="BH2656" i="1"/>
  <c r="BG2656" i="1"/>
  <c r="BF2656" i="1"/>
  <c r="N2656" i="1"/>
  <c r="BK2654" i="1"/>
  <c r="BI2654" i="1"/>
  <c r="BH2654" i="1"/>
  <c r="R2654" i="1" s="1"/>
  <c r="BG2654" i="1"/>
  <c r="BF2654" i="1"/>
  <c r="CI2654" i="1" s="1"/>
  <c r="CJ2654" i="1" s="1"/>
  <c r="N2654" i="1"/>
  <c r="BH1884" i="1"/>
  <c r="BG1884" i="1"/>
  <c r="BF1884" i="1"/>
  <c r="N1884" i="1"/>
  <c r="BH1324" i="1"/>
  <c r="BG1324" i="1"/>
  <c r="BR1324" i="1" s="1"/>
  <c r="CA1324" i="1" s="1"/>
  <c r="BF1324" i="1"/>
  <c r="CI1324" i="1" s="1"/>
  <c r="CJ1324" i="1" s="1"/>
  <c r="BH1821" i="1"/>
  <c r="BG1821" i="1"/>
  <c r="BF1821" i="1"/>
  <c r="CI1821" i="1" s="1"/>
  <c r="CJ1821" i="1" s="1"/>
  <c r="N1821" i="1"/>
  <c r="BH2652" i="1"/>
  <c r="N2652" i="1"/>
  <c r="BH2651" i="1"/>
  <c r="BG2651" i="1"/>
  <c r="BF2651" i="1"/>
  <c r="N2651" i="1"/>
  <c r="BH1805" i="1"/>
  <c r="BG1805" i="1"/>
  <c r="BF1805" i="1"/>
  <c r="CI1805" i="1" s="1"/>
  <c r="CJ1805" i="1" s="1"/>
  <c r="N1805" i="1"/>
  <c r="BH2134" i="1"/>
  <c r="BG2134" i="1"/>
  <c r="BF2134" i="1"/>
  <c r="N2134" i="1"/>
  <c r="BH904" i="1"/>
  <c r="BG904" i="1"/>
  <c r="BF904" i="1"/>
  <c r="N904" i="1"/>
  <c r="BK1415" i="1"/>
  <c r="BI1415" i="1"/>
  <c r="BH1415" i="1"/>
  <c r="R1415" i="1" s="1"/>
  <c r="BG1415" i="1"/>
  <c r="BF1415" i="1"/>
  <c r="N1415" i="1"/>
  <c r="BH612" i="1"/>
  <c r="BG612" i="1"/>
  <c r="BF612" i="1"/>
  <c r="CI612" i="1" s="1"/>
  <c r="CJ612" i="1" s="1"/>
  <c r="N612" i="1"/>
  <c r="BH718" i="1"/>
  <c r="BG718" i="1"/>
  <c r="BR718" i="1" s="1"/>
  <c r="CA718" i="1" s="1"/>
  <c r="BF718" i="1"/>
  <c r="CI718" i="1" s="1"/>
  <c r="CJ718" i="1" s="1"/>
  <c r="BH730" i="1"/>
  <c r="BG730" i="1"/>
  <c r="BF730" i="1"/>
  <c r="CI730" i="1" s="1"/>
  <c r="CJ730" i="1" s="1"/>
  <c r="N730" i="1"/>
  <c r="BH590" i="1"/>
  <c r="BG590" i="1"/>
  <c r="BF590" i="1"/>
  <c r="N590" i="1"/>
  <c r="BH540" i="1"/>
  <c r="BG540" i="1"/>
  <c r="BF540" i="1"/>
  <c r="N540" i="1"/>
  <c r="BH1635" i="1"/>
  <c r="BG1635" i="1"/>
  <c r="BF1635" i="1"/>
  <c r="CI1635" i="1" s="1"/>
  <c r="CJ1635" i="1" s="1"/>
  <c r="N1635" i="1"/>
  <c r="BH1605" i="1"/>
  <c r="BG1605" i="1"/>
  <c r="BR1605" i="1" s="1"/>
  <c r="CA1605" i="1" s="1"/>
  <c r="BF1605" i="1"/>
  <c r="CI1605" i="1" s="1"/>
  <c r="CJ1605" i="1" s="1"/>
  <c r="BH315" i="1"/>
  <c r="BG315" i="1"/>
  <c r="BF315" i="1"/>
  <c r="CI315" i="1" s="1"/>
  <c r="CJ315" i="1" s="1"/>
  <c r="N315" i="1"/>
  <c r="BH2649" i="1"/>
  <c r="BG2649" i="1"/>
  <c r="BF2649" i="1"/>
  <c r="CI2649" i="1" s="1"/>
  <c r="CJ2649" i="1" s="1"/>
  <c r="N2649" i="1"/>
  <c r="BK1954" i="1"/>
  <c r="BI1954" i="1"/>
  <c r="BH1954" i="1"/>
  <c r="R1954" i="1" s="1"/>
  <c r="BG1954" i="1"/>
  <c r="BF1954" i="1"/>
  <c r="N1954" i="1"/>
  <c r="BH1152" i="1"/>
  <c r="BG1152" i="1"/>
  <c r="BF1152" i="1"/>
  <c r="N1152" i="1"/>
  <c r="BH1249" i="1"/>
  <c r="BG1249" i="1"/>
  <c r="BF1249" i="1"/>
  <c r="N1249" i="1"/>
  <c r="BH861" i="1"/>
  <c r="N861" i="1"/>
  <c r="BH2217" i="1"/>
  <c r="N2217" i="1"/>
  <c r="BH1634" i="1"/>
  <c r="BG1634" i="1"/>
  <c r="BR1634" i="1" s="1"/>
  <c r="CA1634" i="1" s="1"/>
  <c r="BF1634" i="1"/>
  <c r="CI1634" i="1" s="1"/>
  <c r="CJ1634" i="1" s="1"/>
  <c r="BH2648" i="1"/>
  <c r="N2648" i="1"/>
  <c r="BH2226" i="1"/>
  <c r="BG2226" i="1"/>
  <c r="BR2226" i="1" s="1"/>
  <c r="CA2226" i="1" s="1"/>
  <c r="BF2226" i="1"/>
  <c r="CI2226" i="1" s="1"/>
  <c r="CJ2226" i="1" s="1"/>
  <c r="BH2647" i="1"/>
  <c r="N2647" i="1"/>
  <c r="BH2646" i="1"/>
  <c r="N2646" i="1"/>
  <c r="BK2645" i="1"/>
  <c r="BI2645" i="1"/>
  <c r="BH2645" i="1"/>
  <c r="R2645" i="1" s="1"/>
  <c r="BG2645" i="1"/>
  <c r="BF2645" i="1"/>
  <c r="CI2645" i="1" s="1"/>
  <c r="CJ2645" i="1" s="1"/>
  <c r="N2645" i="1"/>
  <c r="BH2152" i="1"/>
  <c r="BG2152" i="1"/>
  <c r="BF2152" i="1"/>
  <c r="CI2152" i="1" s="1"/>
  <c r="CJ2152" i="1" s="1"/>
  <c r="N2152" i="1"/>
  <c r="BH1606" i="1"/>
  <c r="BG1606" i="1"/>
  <c r="BF1606" i="1"/>
  <c r="N1606" i="1"/>
  <c r="BH2135" i="1"/>
  <c r="BG2135" i="1"/>
  <c r="BF2135" i="1"/>
  <c r="CI2135" i="1" s="1"/>
  <c r="CJ2135" i="1" s="1"/>
  <c r="N2135" i="1"/>
  <c r="BH799" i="1"/>
  <c r="BG799" i="1"/>
  <c r="BF799" i="1"/>
  <c r="CI799" i="1" s="1"/>
  <c r="CJ799" i="1" s="1"/>
  <c r="N799" i="1"/>
  <c r="BH2561" i="1"/>
  <c r="BG2561" i="1"/>
  <c r="BR2561" i="1" s="1"/>
  <c r="CA2561" i="1" s="1"/>
  <c r="BF2561" i="1"/>
  <c r="CI2561" i="1" s="1"/>
  <c r="CJ2561" i="1" s="1"/>
  <c r="BH316" i="1"/>
  <c r="BG316" i="1"/>
  <c r="BF316" i="1"/>
  <c r="N316" i="1"/>
  <c r="BH1329" i="1"/>
  <c r="BG1329" i="1"/>
  <c r="BF1329" i="1"/>
  <c r="CI1329" i="1" s="1"/>
  <c r="CJ1329" i="1" s="1"/>
  <c r="N1329" i="1"/>
  <c r="BH569" i="1"/>
  <c r="BG569" i="1"/>
  <c r="BF569" i="1"/>
  <c r="CI569" i="1" s="1"/>
  <c r="CJ569" i="1" s="1"/>
  <c r="N569" i="1"/>
  <c r="BH2644" i="1"/>
  <c r="BG2644" i="1"/>
  <c r="BF2644" i="1"/>
  <c r="CI2644" i="1" s="1"/>
  <c r="CJ2644" i="1" s="1"/>
  <c r="N2644" i="1"/>
  <c r="BK2092" i="1"/>
  <c r="BI2092" i="1"/>
  <c r="BH2092" i="1"/>
  <c r="R2092" i="1" s="1"/>
  <c r="BG2092" i="1"/>
  <c r="BF2092" i="1"/>
  <c r="N2092" i="1"/>
  <c r="BH2643" i="1"/>
  <c r="BG2643" i="1"/>
  <c r="BF2643" i="1"/>
  <c r="CI2643" i="1" s="1"/>
  <c r="CJ2643" i="1" s="1"/>
  <c r="N2643" i="1"/>
  <c r="BH2215" i="1"/>
  <c r="BG2215" i="1"/>
  <c r="BR2215" i="1" s="1"/>
  <c r="CA2215" i="1" s="1"/>
  <c r="BF2215" i="1"/>
  <c r="CI2215" i="1" s="1"/>
  <c r="CJ2215" i="1" s="1"/>
  <c r="BH1292" i="1"/>
  <c r="BG1292" i="1"/>
  <c r="BF1292" i="1"/>
  <c r="N1292" i="1"/>
  <c r="BH2642" i="1"/>
  <c r="BG2642" i="1"/>
  <c r="BF2642" i="1"/>
  <c r="CI2642" i="1" s="1"/>
  <c r="CJ2642" i="1" s="1"/>
  <c r="N2642" i="1"/>
  <c r="BH169" i="1"/>
  <c r="BG169" i="1"/>
  <c r="BF169" i="1"/>
  <c r="CI169" i="1" s="1"/>
  <c r="CJ169" i="1" s="1"/>
  <c r="N169" i="1"/>
  <c r="BH947" i="1"/>
  <c r="BG947" i="1"/>
  <c r="BF947" i="1"/>
  <c r="CI947" i="1" s="1"/>
  <c r="CJ947" i="1" s="1"/>
  <c r="N947" i="1"/>
  <c r="BH2027" i="1"/>
  <c r="BG2027" i="1"/>
  <c r="BF2027" i="1"/>
  <c r="N2027" i="1"/>
  <c r="BH1389" i="1"/>
  <c r="BG1389" i="1"/>
  <c r="BF1389" i="1"/>
  <c r="CI1389" i="1" s="1"/>
  <c r="CJ1389" i="1" s="1"/>
  <c r="N1389" i="1"/>
  <c r="BH1503" i="1"/>
  <c r="BG1503" i="1"/>
  <c r="BF1503" i="1"/>
  <c r="N1503" i="1"/>
  <c r="BK2156" i="1"/>
  <c r="BI2156" i="1"/>
  <c r="BH2156" i="1"/>
  <c r="R2156" i="1" s="1"/>
  <c r="BG2156" i="1"/>
  <c r="BF2156" i="1"/>
  <c r="N2156" i="1"/>
  <c r="BH1345" i="1"/>
  <c r="BG1345" i="1"/>
  <c r="BF1345" i="1"/>
  <c r="CI1345" i="1" s="1"/>
  <c r="CJ1345" i="1" s="1"/>
  <c r="N1345" i="1"/>
  <c r="BH1116" i="1"/>
  <c r="BG1116" i="1"/>
  <c r="BR1116" i="1" s="1"/>
  <c r="CA1116" i="1" s="1"/>
  <c r="BF1116" i="1"/>
  <c r="CI1116" i="1" s="1"/>
  <c r="CJ1116" i="1" s="1"/>
  <c r="BH2420" i="1"/>
  <c r="N2420" i="1"/>
  <c r="BH2058" i="1"/>
  <c r="BG2058" i="1"/>
  <c r="BR2058" i="1" s="1"/>
  <c r="CA2058" i="1" s="1"/>
  <c r="BF2058" i="1"/>
  <c r="CI2058" i="1" s="1"/>
  <c r="CJ2058" i="1" s="1"/>
  <c r="BH2552" i="1"/>
  <c r="BG2552" i="1"/>
  <c r="BF2552" i="1"/>
  <c r="CI2552" i="1" s="1"/>
  <c r="CJ2552" i="1" s="1"/>
  <c r="N2552" i="1"/>
  <c r="BH1810" i="1"/>
  <c r="BG1810" i="1"/>
  <c r="N1810" i="1"/>
  <c r="BH2641" i="1"/>
  <c r="BH1889" i="1"/>
  <c r="BG1889" i="1"/>
  <c r="BF1889" i="1"/>
  <c r="CI1889" i="1" s="1"/>
  <c r="CJ1889" i="1" s="1"/>
  <c r="N1889" i="1"/>
  <c r="BH2639" i="1"/>
  <c r="BG2639" i="1"/>
  <c r="BF2639" i="1"/>
  <c r="N2639" i="1"/>
  <c r="BK1500" i="1"/>
  <c r="BI1500" i="1"/>
  <c r="BH1500" i="1"/>
  <c r="R1500" i="1" s="1"/>
  <c r="BG1500" i="1"/>
  <c r="BF1500" i="1"/>
  <c r="N1500" i="1"/>
  <c r="BH879" i="1"/>
  <c r="BG879" i="1"/>
  <c r="BF879" i="1"/>
  <c r="N879" i="1"/>
  <c r="BK2535" i="1"/>
  <c r="BI2535" i="1"/>
  <c r="BH2535" i="1"/>
  <c r="R2535" i="1" s="1"/>
  <c r="Q2535" i="1"/>
  <c r="N2535" i="1"/>
  <c r="BK2279" i="1"/>
  <c r="BI2279" i="1"/>
  <c r="BH2279" i="1"/>
  <c r="R2279" i="1" s="1"/>
  <c r="Q2279" i="1"/>
  <c r="N2279" i="1"/>
  <c r="BK566" i="1"/>
  <c r="BI566" i="1"/>
  <c r="BH566" i="1"/>
  <c r="R566" i="1" s="1"/>
  <c r="BG566" i="1"/>
  <c r="BF566" i="1"/>
  <c r="CI566" i="1" s="1"/>
  <c r="CJ566" i="1" s="1"/>
  <c r="N566" i="1"/>
  <c r="BK1129" i="1"/>
  <c r="BI1129" i="1"/>
  <c r="BH1129" i="1"/>
  <c r="R1129" i="1" s="1"/>
  <c r="BG1129" i="1"/>
  <c r="BF1129" i="1"/>
  <c r="N1129" i="1"/>
  <c r="BK1231" i="1"/>
  <c r="BI1231" i="1"/>
  <c r="BH1231" i="1"/>
  <c r="R1231" i="1" s="1"/>
  <c r="BG1231" i="1"/>
  <c r="BF1231" i="1"/>
  <c r="N1231" i="1"/>
  <c r="BK2069" i="1"/>
  <c r="BI2069" i="1"/>
  <c r="BH2069" i="1"/>
  <c r="R2069" i="1" s="1"/>
  <c r="BG2069" i="1"/>
  <c r="BF2069" i="1"/>
  <c r="N2069" i="1"/>
  <c r="BK606" i="1"/>
  <c r="BI606" i="1"/>
  <c r="BH606" i="1"/>
  <c r="R606" i="1" s="1"/>
  <c r="BG606" i="1"/>
  <c r="BR606" i="1" s="1"/>
  <c r="CA606" i="1" s="1"/>
  <c r="BF606" i="1"/>
  <c r="BK435" i="1"/>
  <c r="BI435" i="1"/>
  <c r="BH435" i="1"/>
  <c r="R435" i="1" s="1"/>
  <c r="BG435" i="1"/>
  <c r="BF435" i="1"/>
  <c r="N435" i="1"/>
  <c r="BK2313" i="1"/>
  <c r="BI2313" i="1"/>
  <c r="BH2313" i="1"/>
  <c r="R2313" i="1" s="1"/>
  <c r="BG2313" i="1"/>
  <c r="BF2313" i="1"/>
  <c r="CI2313" i="1" s="1"/>
  <c r="CJ2313" i="1" s="1"/>
  <c r="N2313" i="1"/>
  <c r="BK419" i="1"/>
  <c r="BI419" i="1"/>
  <c r="BH419" i="1"/>
  <c r="R419" i="1" s="1"/>
  <c r="BG419" i="1"/>
  <c r="BF419" i="1"/>
  <c r="N419" i="1"/>
  <c r="BH2322" i="1"/>
  <c r="N2322" i="1"/>
  <c r="BH2128" i="1"/>
  <c r="BG2128" i="1"/>
  <c r="BF2128" i="1"/>
  <c r="CI2128" i="1" s="1"/>
  <c r="CJ2128" i="1" s="1"/>
  <c r="N2128" i="1"/>
  <c r="BH2077" i="1"/>
  <c r="BG2077" i="1"/>
  <c r="BF2077" i="1"/>
  <c r="CI2077" i="1" s="1"/>
  <c r="CJ2077" i="1" s="1"/>
  <c r="N2077" i="1"/>
  <c r="BH547" i="1"/>
  <c r="BG547" i="1"/>
  <c r="BF547" i="1"/>
  <c r="N547" i="1"/>
  <c r="BH899" i="1"/>
  <c r="BG899" i="1"/>
  <c r="BF899" i="1"/>
  <c r="CI899" i="1" s="1"/>
  <c r="CJ899" i="1" s="1"/>
  <c r="N899" i="1"/>
  <c r="BH1470" i="1"/>
  <c r="BG1470" i="1"/>
  <c r="BF1470" i="1"/>
  <c r="CI1470" i="1" s="1"/>
  <c r="CJ1470" i="1" s="1"/>
  <c r="N1470" i="1"/>
  <c r="BH1936" i="1"/>
  <c r="BG1936" i="1"/>
  <c r="BF1936" i="1"/>
  <c r="N1936" i="1"/>
  <c r="BK2638" i="1"/>
  <c r="BI2638" i="1"/>
  <c r="BH2638" i="1"/>
  <c r="R2638" i="1" s="1"/>
  <c r="BG2638" i="1"/>
  <c r="BF2638" i="1"/>
  <c r="N2638" i="1"/>
  <c r="BH1861" i="1"/>
  <c r="BG1861" i="1"/>
  <c r="BR1861" i="1" s="1"/>
  <c r="CA1861" i="1" s="1"/>
  <c r="BF1861" i="1"/>
  <c r="CI1861" i="1" s="1"/>
  <c r="CJ1861" i="1" s="1"/>
  <c r="BH2299" i="1"/>
  <c r="BG2299" i="1"/>
  <c r="BF2299" i="1"/>
  <c r="CI2299" i="1" s="1"/>
  <c r="CJ2299" i="1" s="1"/>
  <c r="N2299" i="1"/>
  <c r="BH2031" i="1"/>
  <c r="BG2031" i="1"/>
  <c r="BF2031" i="1"/>
  <c r="N2031" i="1"/>
  <c r="BH2005" i="1"/>
  <c r="BG2005" i="1"/>
  <c r="BF2005" i="1"/>
  <c r="CI2005" i="1" s="1"/>
  <c r="CJ2005" i="1" s="1"/>
  <c r="N2005" i="1"/>
  <c r="BH311" i="1"/>
  <c r="BG311" i="1"/>
  <c r="BR311" i="1" s="1"/>
  <c r="CA311" i="1" s="1"/>
  <c r="BF311" i="1"/>
  <c r="CI311" i="1" s="1"/>
  <c r="CJ311" i="1" s="1"/>
  <c r="BH1448" i="1"/>
  <c r="BG1448" i="1"/>
  <c r="BF1448" i="1"/>
  <c r="CI1448" i="1" s="1"/>
  <c r="CJ1448" i="1" s="1"/>
  <c r="N1448" i="1"/>
  <c r="BK2637" i="1"/>
  <c r="BI2637" i="1"/>
  <c r="BH2637" i="1"/>
  <c r="R2637" i="1" s="1"/>
  <c r="BG2637" i="1"/>
  <c r="BF2637" i="1"/>
  <c r="CI2637" i="1" s="1"/>
  <c r="CJ2637" i="1" s="1"/>
  <c r="N2637" i="1"/>
  <c r="BH1233" i="1"/>
  <c r="BG1233" i="1"/>
  <c r="BF1233" i="1"/>
  <c r="N1233" i="1"/>
  <c r="BH1158" i="1"/>
  <c r="BG1158" i="1"/>
  <c r="BF1158" i="1"/>
  <c r="N1158" i="1"/>
  <c r="BH1410" i="1"/>
  <c r="N1410" i="1"/>
  <c r="BH926" i="1"/>
  <c r="BG926" i="1"/>
  <c r="BF926" i="1"/>
  <c r="CI926" i="1" s="1"/>
  <c r="CJ926" i="1" s="1"/>
  <c r="N926" i="1"/>
  <c r="BH1398" i="1"/>
  <c r="BG1398" i="1"/>
  <c r="BF1398" i="1"/>
  <c r="CI1398" i="1" s="1"/>
  <c r="CJ1398" i="1" s="1"/>
  <c r="N1398" i="1"/>
  <c r="BH1546" i="1"/>
  <c r="BG1546" i="1"/>
  <c r="BR1546" i="1" s="1"/>
  <c r="CA1546" i="1" s="1"/>
  <c r="BF1546" i="1"/>
  <c r="CI1546" i="1" s="1"/>
  <c r="CJ1546" i="1" s="1"/>
  <c r="BH2635" i="1"/>
  <c r="BG2635" i="1"/>
  <c r="BF2635" i="1"/>
  <c r="N2635" i="1"/>
  <c r="BH1100" i="1"/>
  <c r="BG1100" i="1"/>
  <c r="BF1100" i="1"/>
  <c r="N1100" i="1"/>
  <c r="BK22" i="1"/>
  <c r="BI22" i="1"/>
  <c r="BH22" i="1"/>
  <c r="R22" i="1" s="1"/>
  <c r="BG22" i="1"/>
  <c r="BR22" i="1" s="1"/>
  <c r="CA22" i="1" s="1"/>
  <c r="BF22" i="1"/>
  <c r="BH2634" i="1"/>
  <c r="BG2634" i="1"/>
  <c r="BF2634" i="1"/>
  <c r="N2634" i="1"/>
  <c r="BH775" i="1"/>
  <c r="BG775" i="1"/>
  <c r="BR775" i="1" s="1"/>
  <c r="CA775" i="1" s="1"/>
  <c r="BF775" i="1"/>
  <c r="CI775" i="1" s="1"/>
  <c r="CJ775" i="1" s="1"/>
  <c r="BH2632" i="1"/>
  <c r="BG2632" i="1"/>
  <c r="BF2632" i="1"/>
  <c r="CI2632" i="1" s="1"/>
  <c r="CJ2632" i="1" s="1"/>
  <c r="N2632" i="1"/>
  <c r="BH1478" i="1"/>
  <c r="BG1478" i="1"/>
  <c r="N1478" i="1"/>
  <c r="BH2211" i="1"/>
  <c r="BG2211" i="1"/>
  <c r="BF2211" i="1"/>
  <c r="N2211" i="1"/>
  <c r="BH2465" i="1"/>
  <c r="BG2465" i="1"/>
  <c r="BF2465" i="1"/>
  <c r="N2465" i="1"/>
  <c r="BH2182" i="1"/>
  <c r="BG2182" i="1"/>
  <c r="BR2182" i="1" s="1"/>
  <c r="CA2182" i="1" s="1"/>
  <c r="BF2182" i="1"/>
  <c r="CI2182" i="1" s="1"/>
  <c r="CJ2182" i="1" s="1"/>
  <c r="BH197" i="1"/>
  <c r="BG197" i="1"/>
  <c r="BR197" i="1" s="1"/>
  <c r="CA197" i="1" s="1"/>
  <c r="BF197" i="1"/>
  <c r="CI197" i="1" s="1"/>
  <c r="CJ197" i="1" s="1"/>
  <c r="BH1979" i="1"/>
  <c r="BG1979" i="1"/>
  <c r="BF1979" i="1"/>
  <c r="N1979" i="1"/>
  <c r="BK1464" i="1"/>
  <c r="BI1464" i="1"/>
  <c r="BH1464" i="1"/>
  <c r="R1464" i="1" s="1"/>
  <c r="BG1464" i="1"/>
  <c r="BR1464" i="1" s="1"/>
  <c r="CA1464" i="1" s="1"/>
  <c r="BF1464" i="1"/>
  <c r="BH1466" i="1"/>
  <c r="BG1466" i="1"/>
  <c r="BF1466" i="1"/>
  <c r="N1466" i="1"/>
  <c r="BH322" i="1"/>
  <c r="BG322" i="1"/>
  <c r="BF322" i="1"/>
  <c r="CI322" i="1" s="1"/>
  <c r="CJ322" i="1" s="1"/>
  <c r="N322" i="1"/>
  <c r="BH2631" i="1"/>
  <c r="BG2631" i="1"/>
  <c r="BF2631" i="1"/>
  <c r="CI2631" i="1" s="1"/>
  <c r="CJ2631" i="1" s="1"/>
  <c r="N2631" i="1"/>
  <c r="BH2440" i="1"/>
  <c r="BG2440" i="1"/>
  <c r="BF2440" i="1"/>
  <c r="N2440" i="1"/>
  <c r="BH2630" i="1"/>
  <c r="BG2630" i="1"/>
  <c r="BF2630" i="1"/>
  <c r="CI2630" i="1" s="1"/>
  <c r="CJ2630" i="1" s="1"/>
  <c r="N2630" i="1"/>
  <c r="BH1453" i="1"/>
  <c r="BG1453" i="1"/>
  <c r="BF1453" i="1"/>
  <c r="N1453" i="1"/>
  <c r="BH1105" i="1"/>
  <c r="BG1105" i="1"/>
  <c r="BF1105" i="1"/>
  <c r="N1105" i="1"/>
  <c r="BH846" i="1"/>
  <c r="BG846" i="1"/>
  <c r="BR846" i="1" s="1"/>
  <c r="CA846" i="1" s="1"/>
  <c r="BF846" i="1"/>
  <c r="CI846" i="1" s="1"/>
  <c r="CJ846" i="1" s="1"/>
  <c r="BH1778" i="1"/>
  <c r="BG1778" i="1"/>
  <c r="BR1778" i="1" s="1"/>
  <c r="CA1778" i="1" s="1"/>
  <c r="BF1778" i="1"/>
  <c r="CI1778" i="1" s="1"/>
  <c r="CJ1778" i="1" s="1"/>
  <c r="BK2629" i="1"/>
  <c r="BI2629" i="1"/>
  <c r="BH2629" i="1"/>
  <c r="R2629" i="1" s="1"/>
  <c r="BG2629" i="1"/>
  <c r="BX2629" i="1"/>
  <c r="N2629" i="1"/>
  <c r="BH972" i="1"/>
  <c r="BG972" i="1"/>
  <c r="BF972" i="1"/>
  <c r="CI972" i="1" s="1"/>
  <c r="CJ972" i="1" s="1"/>
  <c r="N972" i="1"/>
  <c r="BH177" i="1"/>
  <c r="BG177" i="1"/>
  <c r="BR177" i="1" s="1"/>
  <c r="CA177" i="1" s="1"/>
  <c r="BF177" i="1"/>
  <c r="CI177" i="1" s="1"/>
  <c r="CJ177" i="1" s="1"/>
  <c r="BH1522" i="1"/>
  <c r="BG1522" i="1"/>
  <c r="BF1522" i="1"/>
  <c r="N1522" i="1"/>
  <c r="BH5" i="1"/>
  <c r="BG5" i="1"/>
  <c r="BR5" i="1" s="1"/>
  <c r="CA5" i="1" s="1"/>
  <c r="BF5" i="1"/>
  <c r="CI5" i="1" s="1"/>
  <c r="CJ5" i="1" s="1"/>
  <c r="BH341" i="1"/>
  <c r="BG341" i="1"/>
  <c r="BF341" i="1"/>
  <c r="CI341" i="1" s="1"/>
  <c r="CJ341" i="1" s="1"/>
  <c r="N341" i="1"/>
  <c r="BH291" i="1"/>
  <c r="BG291" i="1"/>
  <c r="BF291" i="1"/>
  <c r="N291" i="1"/>
  <c r="BH2450" i="1"/>
  <c r="BG2450" i="1"/>
  <c r="BF2450" i="1"/>
  <c r="CI2450" i="1" s="1"/>
  <c r="CJ2450" i="1" s="1"/>
  <c r="N2450" i="1"/>
  <c r="BH543" i="1"/>
  <c r="BG543" i="1"/>
  <c r="BF543" i="1"/>
  <c r="N543" i="1"/>
  <c r="BH1392" i="1"/>
  <c r="BG1392" i="1"/>
  <c r="BR1392" i="1" s="1"/>
  <c r="CA1392" i="1" s="1"/>
  <c r="BF1392" i="1"/>
  <c r="CI1392" i="1" s="1"/>
  <c r="CJ1392" i="1" s="1"/>
  <c r="BK2514" i="1"/>
  <c r="BI2514" i="1"/>
  <c r="BH2514" i="1"/>
  <c r="R2514" i="1" s="1"/>
  <c r="BG2514" i="1"/>
  <c r="BF2514" i="1"/>
  <c r="CI2514" i="1" s="1"/>
  <c r="CJ2514" i="1" s="1"/>
  <c r="N2514" i="1"/>
  <c r="BH338" i="1"/>
  <c r="BG338" i="1"/>
  <c r="BF338" i="1"/>
  <c r="CI338" i="1" s="1"/>
  <c r="CJ338" i="1" s="1"/>
  <c r="N338" i="1"/>
  <c r="BH354" i="1"/>
  <c r="BG354" i="1"/>
  <c r="BF354" i="1"/>
  <c r="N354" i="1"/>
  <c r="BH493" i="1"/>
  <c r="N493" i="1"/>
  <c r="BH1578" i="1"/>
  <c r="N1578" i="1"/>
  <c r="BH2063" i="1"/>
  <c r="BG2063" i="1"/>
  <c r="BF2063" i="1"/>
  <c r="CI2063" i="1" s="1"/>
  <c r="CJ2063" i="1" s="1"/>
  <c r="N2063" i="1"/>
  <c r="BH2626" i="1"/>
  <c r="BG2626" i="1"/>
  <c r="BF2626" i="1"/>
  <c r="CI2626" i="1" s="1"/>
  <c r="CJ2626" i="1" s="1"/>
  <c r="N2626" i="1"/>
  <c r="BK2049" i="1"/>
  <c r="BI2049" i="1"/>
  <c r="BH2049" i="1"/>
  <c r="R2049" i="1" s="1"/>
  <c r="BG2049" i="1"/>
  <c r="BF2049" i="1"/>
  <c r="N2049" i="1"/>
  <c r="BH2625" i="1"/>
  <c r="BG2625" i="1"/>
  <c r="BF2625" i="1"/>
  <c r="N2625" i="1"/>
  <c r="BH2200" i="1"/>
  <c r="BG2200" i="1"/>
  <c r="BF2200" i="1"/>
  <c r="CI2200" i="1" s="1"/>
  <c r="CJ2200" i="1" s="1"/>
  <c r="N2200" i="1"/>
  <c r="BH1397" i="1"/>
  <c r="BG1397" i="1"/>
  <c r="BR1397" i="1" s="1"/>
  <c r="CA1397" i="1" s="1"/>
  <c r="BF1397" i="1"/>
  <c r="CI1397" i="1" s="1"/>
  <c r="CJ1397" i="1" s="1"/>
  <c r="BH427" i="1"/>
  <c r="BG427" i="1"/>
  <c r="BF427" i="1"/>
  <c r="CI427" i="1" s="1"/>
  <c r="CJ427" i="1" s="1"/>
  <c r="N427" i="1"/>
  <c r="BH1822" i="1"/>
  <c r="BG1822" i="1"/>
  <c r="BF1822" i="1"/>
  <c r="CI1822" i="1" s="1"/>
  <c r="CJ1822" i="1" s="1"/>
  <c r="N1822" i="1"/>
  <c r="BH2624" i="1"/>
  <c r="N2624" i="1"/>
  <c r="BH1771" i="1"/>
  <c r="BG1771" i="1"/>
  <c r="BF1771" i="1"/>
  <c r="CI1771" i="1" s="1"/>
  <c r="CJ1771" i="1" s="1"/>
  <c r="N1771" i="1"/>
  <c r="BH2255" i="1"/>
  <c r="BG2255" i="1"/>
  <c r="BF2255" i="1"/>
  <c r="CI2255" i="1" s="1"/>
  <c r="CJ2255" i="1" s="1"/>
  <c r="N2255" i="1"/>
  <c r="BH2476" i="1"/>
  <c r="BG2476" i="1"/>
  <c r="BF2476" i="1"/>
  <c r="CI2476" i="1" s="1"/>
  <c r="CJ2476" i="1" s="1"/>
  <c r="N2476" i="1"/>
  <c r="BK2623" i="1"/>
  <c r="BI2623" i="1"/>
  <c r="BH2623" i="1"/>
  <c r="R2623" i="1" s="1"/>
  <c r="BG2623" i="1"/>
  <c r="BF2623" i="1"/>
  <c r="CI2623" i="1" s="1"/>
  <c r="CJ2623" i="1" s="1"/>
  <c r="N2623" i="1"/>
  <c r="BH1020" i="1"/>
  <c r="BG1020" i="1"/>
  <c r="BR1020" i="1" s="1"/>
  <c r="CA1020" i="1" s="1"/>
  <c r="BF1020" i="1"/>
  <c r="CI1020" i="1" s="1"/>
  <c r="CJ1020" i="1" s="1"/>
  <c r="BH2622" i="1"/>
  <c r="N2622" i="1"/>
  <c r="BH2326" i="1"/>
  <c r="BG2326" i="1"/>
  <c r="BR2326" i="1" s="1"/>
  <c r="CA2326" i="1" s="1"/>
  <c r="BF2326" i="1"/>
  <c r="CI2326" i="1" s="1"/>
  <c r="CJ2326" i="1" s="1"/>
  <c r="BH1939" i="1"/>
  <c r="BG1939" i="1"/>
  <c r="BR1939" i="1" s="1"/>
  <c r="CA1939" i="1" s="1"/>
  <c r="BF1939" i="1"/>
  <c r="CI1939" i="1" s="1"/>
  <c r="CJ1939" i="1" s="1"/>
  <c r="BH2727" i="1"/>
  <c r="BH992" i="1"/>
  <c r="BG992" i="1"/>
  <c r="BF992" i="1"/>
  <c r="N992" i="1"/>
  <c r="BH1430" i="1"/>
  <c r="BG1430" i="1"/>
  <c r="BF1430" i="1"/>
  <c r="N1430" i="1"/>
  <c r="BH2259" i="1"/>
  <c r="BG2259" i="1"/>
  <c r="BF2259" i="1"/>
  <c r="N2259" i="1"/>
  <c r="BK2461" i="1"/>
  <c r="BI2461" i="1"/>
  <c r="BH2461" i="1"/>
  <c r="R2461" i="1" s="1"/>
  <c r="BG2461" i="1"/>
  <c r="BX2461" i="1"/>
  <c r="N2461" i="1"/>
  <c r="BH412" i="1"/>
  <c r="BG412" i="1"/>
  <c r="BR412" i="1" s="1"/>
  <c r="CA412" i="1" s="1"/>
  <c r="BF412" i="1"/>
  <c r="CI412" i="1" s="1"/>
  <c r="CJ412" i="1" s="1"/>
  <c r="BK2278" i="1"/>
  <c r="BI2278" i="1"/>
  <c r="BH2278" i="1"/>
  <c r="R2278" i="1" s="1"/>
  <c r="BG2278" i="1"/>
  <c r="BF2278" i="1"/>
  <c r="CI2278" i="1" s="1"/>
  <c r="CJ2278" i="1" s="1"/>
  <c r="N2278" i="1"/>
  <c r="BK650" i="1"/>
  <c r="BI650" i="1"/>
  <c r="BH650" i="1"/>
  <c r="R650" i="1" s="1"/>
  <c r="BG650" i="1"/>
  <c r="BF650" i="1"/>
  <c r="N650" i="1"/>
  <c r="BK107" i="1"/>
  <c r="BI107" i="1"/>
  <c r="BH107" i="1"/>
  <c r="R107" i="1" s="1"/>
  <c r="BU107" i="1" s="1"/>
  <c r="BW107" i="1" s="1"/>
  <c r="BG107" i="1"/>
  <c r="N107" i="1"/>
  <c r="BK1694" i="1"/>
  <c r="BI1694" i="1"/>
  <c r="BH1694" i="1"/>
  <c r="R1694" i="1" s="1"/>
  <c r="BG1694" i="1"/>
  <c r="BR1694" i="1" s="1"/>
  <c r="CA1694" i="1" s="1"/>
  <c r="BF1694" i="1"/>
  <c r="BK570" i="1"/>
  <c r="BI570" i="1"/>
  <c r="BH570" i="1"/>
  <c r="R570" i="1" s="1"/>
  <c r="BG570" i="1"/>
  <c r="BF570" i="1"/>
  <c r="N570" i="1"/>
  <c r="BK2075" i="1"/>
  <c r="BI2075" i="1"/>
  <c r="BH2075" i="1"/>
  <c r="R2075" i="1" s="1"/>
  <c r="BG2075" i="1"/>
  <c r="BF2075" i="1"/>
  <c r="CI2075" i="1" s="1"/>
  <c r="CJ2075" i="1" s="1"/>
  <c r="N2075" i="1"/>
  <c r="BK2264" i="1"/>
  <c r="BI2264" i="1"/>
  <c r="BH2264" i="1"/>
  <c r="R2264" i="1" s="1"/>
  <c r="BG2264" i="1"/>
  <c r="BF2264" i="1"/>
  <c r="N2264" i="1"/>
  <c r="BK918" i="1"/>
  <c r="BI918" i="1"/>
  <c r="BH918" i="1"/>
  <c r="R918" i="1" s="1"/>
  <c r="BG918" i="1"/>
  <c r="BF918" i="1"/>
  <c r="N918" i="1"/>
  <c r="BK1673" i="1"/>
  <c r="BI1673" i="1"/>
  <c r="BH1673" i="1"/>
  <c r="R1673" i="1" s="1"/>
  <c r="BG1673" i="1"/>
  <c r="BX1673" i="1"/>
  <c r="N1673" i="1"/>
  <c r="BK2621" i="1"/>
  <c r="BI2621" i="1"/>
  <c r="BH2621" i="1"/>
  <c r="R2621" i="1" s="1"/>
  <c r="BG2621" i="1"/>
  <c r="BF2621" i="1"/>
  <c r="CI2621" i="1" s="1"/>
  <c r="CJ2621" i="1" s="1"/>
  <c r="N2621" i="1"/>
  <c r="BH2016" i="1"/>
  <c r="BG2016" i="1"/>
  <c r="BF2016" i="1"/>
  <c r="N2016" i="1"/>
  <c r="BH284" i="1"/>
  <c r="BG284" i="1"/>
  <c r="BF284" i="1"/>
  <c r="CI284" i="1" s="1"/>
  <c r="CJ284" i="1" s="1"/>
  <c r="N284" i="1"/>
  <c r="BH1362" i="1"/>
  <c r="BG1362" i="1"/>
  <c r="BF1362" i="1"/>
  <c r="CI1362" i="1" s="1"/>
  <c r="CJ1362" i="1" s="1"/>
  <c r="N1362" i="1"/>
  <c r="BH614" i="1"/>
  <c r="BG614" i="1"/>
  <c r="BF614" i="1"/>
  <c r="N614" i="1"/>
  <c r="BH1823" i="1"/>
  <c r="BG1823" i="1"/>
  <c r="BF1823" i="1"/>
  <c r="CI1823" i="1" s="1"/>
  <c r="CJ1823" i="1" s="1"/>
  <c r="N1823" i="1"/>
  <c r="BH1258" i="1"/>
  <c r="BG1258" i="1"/>
  <c r="BR1258" i="1" s="1"/>
  <c r="CA1258" i="1" s="1"/>
  <c r="BF1258" i="1"/>
  <c r="CI1258" i="1" s="1"/>
  <c r="CJ1258" i="1" s="1"/>
  <c r="BH2619" i="1"/>
  <c r="BG2619" i="1"/>
  <c r="BF2619" i="1"/>
  <c r="N2619" i="1"/>
  <c r="BH2116" i="1"/>
  <c r="BG2116" i="1"/>
  <c r="BF2116" i="1"/>
  <c r="CI2116" i="1" s="1"/>
  <c r="CJ2116" i="1" s="1"/>
  <c r="N2116" i="1"/>
  <c r="BK2024" i="1"/>
  <c r="BI2024" i="1"/>
  <c r="BH2024" i="1"/>
  <c r="R2024" i="1" s="1"/>
  <c r="BG2024" i="1"/>
  <c r="BF2024" i="1"/>
  <c r="N2024" i="1"/>
  <c r="BH2618" i="1"/>
  <c r="BG2618" i="1"/>
  <c r="BF2618" i="1"/>
  <c r="N2618" i="1"/>
  <c r="BH1665" i="1"/>
  <c r="BG1665" i="1"/>
  <c r="BF1665" i="1"/>
  <c r="CI1665" i="1" s="1"/>
  <c r="CJ1665" i="1" s="1"/>
  <c r="N1665" i="1"/>
  <c r="BH1506" i="1"/>
  <c r="BG1506" i="1"/>
  <c r="BR1506" i="1" s="1"/>
  <c r="CA1506" i="1" s="1"/>
  <c r="BF1506" i="1"/>
  <c r="CI1506" i="1" s="1"/>
  <c r="CJ1506" i="1" s="1"/>
  <c r="BH1987" i="1"/>
  <c r="BG1987" i="1"/>
  <c r="BF1987" i="1"/>
  <c r="CI1987" i="1" s="1"/>
  <c r="CJ1987" i="1" s="1"/>
  <c r="N1987" i="1"/>
  <c r="BH2617" i="1"/>
  <c r="BG2617" i="1"/>
  <c r="BF2617" i="1"/>
  <c r="CI2617" i="1" s="1"/>
  <c r="CJ2617" i="1" s="1"/>
  <c r="N2617" i="1"/>
  <c r="BH939" i="1"/>
  <c r="BG939" i="1"/>
  <c r="BF939" i="1"/>
  <c r="CI939" i="1" s="1"/>
  <c r="CJ939" i="1" s="1"/>
  <c r="N939" i="1"/>
  <c r="BH1090" i="1"/>
  <c r="BG1090" i="1"/>
  <c r="BF1090" i="1"/>
  <c r="CI1090" i="1" s="1"/>
  <c r="CJ1090" i="1" s="1"/>
  <c r="N1090" i="1"/>
  <c r="BH1297" i="1"/>
  <c r="BG1297" i="1"/>
  <c r="BF1297" i="1"/>
  <c r="N1297" i="1"/>
  <c r="BH2383" i="1"/>
  <c r="BG2383" i="1"/>
  <c r="BF2383" i="1"/>
  <c r="CI2383" i="1" s="1"/>
  <c r="CJ2383" i="1" s="1"/>
  <c r="N2383" i="1"/>
  <c r="BK1580" i="1"/>
  <c r="BI1580" i="1"/>
  <c r="BH1580" i="1"/>
  <c r="R1580" i="1" s="1"/>
  <c r="BG1580" i="1"/>
  <c r="BR1580" i="1" s="1"/>
  <c r="CA1580" i="1" s="1"/>
  <c r="BF1580" i="1"/>
  <c r="BH2594" i="1"/>
  <c r="BG2594" i="1"/>
  <c r="BF2594" i="1"/>
  <c r="N2594" i="1"/>
  <c r="BH1151" i="1"/>
  <c r="BG1151" i="1"/>
  <c r="BF1151" i="1"/>
  <c r="N1151" i="1"/>
  <c r="BH825" i="1"/>
  <c r="BG825" i="1"/>
  <c r="BF825" i="1"/>
  <c r="CI825" i="1" s="1"/>
  <c r="CJ825" i="1" s="1"/>
  <c r="N825" i="1"/>
  <c r="BH2616" i="1"/>
  <c r="BG2616" i="1"/>
  <c r="BF2616" i="1"/>
  <c r="CI2616" i="1" s="1"/>
  <c r="CJ2616" i="1" s="1"/>
  <c r="N2616" i="1"/>
  <c r="BH2174" i="1"/>
  <c r="BG2174" i="1"/>
  <c r="BF2174" i="1"/>
  <c r="N2174" i="1"/>
  <c r="BH2614" i="1"/>
  <c r="BG2614" i="1"/>
  <c r="BF2614" i="1"/>
  <c r="N2614" i="1"/>
  <c r="BH537" i="1"/>
  <c r="BG537" i="1"/>
  <c r="BF537" i="1"/>
  <c r="CI537" i="1" s="1"/>
  <c r="CJ537" i="1" s="1"/>
  <c r="N537" i="1"/>
  <c r="BH2615" i="1"/>
  <c r="BG2615" i="1"/>
  <c r="BF2615" i="1"/>
  <c r="CI2615" i="1" s="1"/>
  <c r="CJ2615" i="1" s="1"/>
  <c r="N2615" i="1"/>
  <c r="BH2613" i="1"/>
  <c r="BG2613" i="1"/>
  <c r="BF2613" i="1"/>
  <c r="N2613" i="1"/>
  <c r="BK133" i="1"/>
  <c r="BI133" i="1"/>
  <c r="BH133" i="1"/>
  <c r="R133" i="1" s="1"/>
  <c r="BG133" i="1"/>
  <c r="BF133" i="1"/>
  <c r="N133" i="1"/>
  <c r="BH2611" i="1"/>
  <c r="BG2611" i="1"/>
  <c r="BF2611" i="1"/>
  <c r="N2611" i="1"/>
  <c r="BH2612" i="1"/>
  <c r="BG2612" i="1"/>
  <c r="BF2612" i="1"/>
  <c r="N2612" i="1"/>
  <c r="BH2610" i="1"/>
  <c r="BG2610" i="1"/>
  <c r="BF2610" i="1"/>
  <c r="CI2610" i="1" s="1"/>
  <c r="CJ2610" i="1" s="1"/>
  <c r="N2610" i="1"/>
  <c r="BH761" i="1"/>
  <c r="BG761" i="1"/>
  <c r="BF761" i="1"/>
  <c r="CI761" i="1" s="1"/>
  <c r="CJ761" i="1" s="1"/>
  <c r="N761" i="1"/>
  <c r="BH691" i="1"/>
  <c r="BG691" i="1"/>
  <c r="BF691" i="1"/>
  <c r="CI691" i="1" s="1"/>
  <c r="CJ691" i="1" s="1"/>
  <c r="N691" i="1"/>
  <c r="BH2512" i="1"/>
  <c r="BG2512" i="1"/>
  <c r="BF2512" i="1"/>
  <c r="CI2512" i="1" s="1"/>
  <c r="CJ2512" i="1" s="1"/>
  <c r="N2512" i="1"/>
  <c r="BH2609" i="1"/>
  <c r="BG2609" i="1"/>
  <c r="BF2609" i="1"/>
  <c r="N2609" i="1"/>
  <c r="BH319" i="1"/>
  <c r="BG319" i="1"/>
  <c r="BF319" i="1"/>
  <c r="CI319" i="1" s="1"/>
  <c r="CJ319" i="1" s="1"/>
  <c r="N319" i="1"/>
  <c r="BH1301" i="1"/>
  <c r="BG1301" i="1"/>
  <c r="BF1301" i="1"/>
  <c r="N1301" i="1"/>
  <c r="BH800" i="1"/>
  <c r="BG800" i="1"/>
  <c r="BR800" i="1" s="1"/>
  <c r="CA800" i="1" s="1"/>
  <c r="BF800" i="1"/>
  <c r="CI800" i="1" s="1"/>
  <c r="CJ800" i="1" s="1"/>
  <c r="BH2086" i="1"/>
  <c r="BG2086" i="1"/>
  <c r="N2086" i="1"/>
  <c r="BH2607" i="1"/>
  <c r="BG2607" i="1"/>
  <c r="BF2607" i="1"/>
  <c r="CI2607" i="1" s="1"/>
  <c r="CJ2607" i="1" s="1"/>
  <c r="N2607" i="1"/>
  <c r="BH1405" i="1"/>
  <c r="BG1405" i="1"/>
  <c r="BF1405" i="1"/>
  <c r="N1405" i="1"/>
  <c r="BH1538" i="1"/>
  <c r="BG1538" i="1"/>
  <c r="BF1538" i="1"/>
  <c r="CI1538" i="1" s="1"/>
  <c r="CJ1538" i="1" s="1"/>
  <c r="N1538" i="1"/>
  <c r="BH399" i="1"/>
  <c r="BG399" i="1"/>
  <c r="BR399" i="1" s="1"/>
  <c r="CA399" i="1" s="1"/>
  <c r="BF399" i="1"/>
  <c r="CI399" i="1" s="1"/>
  <c r="CJ399" i="1" s="1"/>
  <c r="BH2605" i="1"/>
  <c r="BG2605" i="1"/>
  <c r="BF2605" i="1"/>
  <c r="N2605" i="1"/>
  <c r="BH1266" i="1"/>
  <c r="BG1266" i="1"/>
  <c r="BF1266" i="1"/>
  <c r="CI1266" i="1" s="1"/>
  <c r="CJ1266" i="1" s="1"/>
  <c r="N1266" i="1"/>
  <c r="BK2604" i="1"/>
  <c r="BI2604" i="1"/>
  <c r="BH2604" i="1"/>
  <c r="R2604" i="1" s="1"/>
  <c r="BG2604" i="1"/>
  <c r="BF2604" i="1"/>
  <c r="CI2604" i="1" s="1"/>
  <c r="CJ2604" i="1" s="1"/>
  <c r="N2604" i="1"/>
  <c r="BH847" i="1"/>
  <c r="N847" i="1"/>
  <c r="BH755" i="1"/>
  <c r="BG755" i="1"/>
  <c r="BF755" i="1"/>
  <c r="CI755" i="1" s="1"/>
  <c r="CJ755" i="1" s="1"/>
  <c r="N755" i="1"/>
  <c r="BH1229" i="1"/>
  <c r="BG1229" i="1"/>
  <c r="BF1229" i="1"/>
  <c r="CI1229" i="1" s="1"/>
  <c r="CJ1229" i="1" s="1"/>
  <c r="N1229" i="1"/>
  <c r="BH539" i="1"/>
  <c r="BG539" i="1"/>
  <c r="BF539" i="1"/>
  <c r="CI539" i="1" s="1"/>
  <c r="CJ539" i="1" s="1"/>
  <c r="N539" i="1"/>
  <c r="BH451" i="1"/>
  <c r="BG451" i="1"/>
  <c r="BF451" i="1"/>
  <c r="CI451" i="1" s="1"/>
  <c r="CJ451" i="1" s="1"/>
  <c r="N451" i="1"/>
  <c r="BH1894" i="1"/>
  <c r="BG1894" i="1"/>
  <c r="BF1894" i="1"/>
  <c r="N1894" i="1"/>
  <c r="BH2600" i="1"/>
  <c r="BG2600" i="1"/>
  <c r="BF2600" i="1"/>
  <c r="N2600" i="1"/>
  <c r="BH1096" i="1"/>
  <c r="BG1096" i="1"/>
  <c r="BF1096" i="1"/>
  <c r="CI1096" i="1" s="1"/>
  <c r="CJ1096" i="1" s="1"/>
  <c r="N1096" i="1"/>
  <c r="BH831" i="1"/>
  <c r="BG831" i="1"/>
  <c r="BF831" i="1"/>
  <c r="CI831" i="1" s="1"/>
  <c r="CJ831" i="1" s="1"/>
  <c r="N831" i="1"/>
  <c r="BK1185" i="1"/>
  <c r="BI1185" i="1"/>
  <c r="BH1185" i="1"/>
  <c r="R1185" i="1" s="1"/>
  <c r="BG1185" i="1"/>
  <c r="BF1185" i="1"/>
  <c r="CI1185" i="1" s="1"/>
  <c r="CJ1185" i="1" s="1"/>
  <c r="N1185" i="1"/>
  <c r="BH2140" i="1"/>
  <c r="BG2140" i="1"/>
  <c r="BF2140" i="1"/>
  <c r="CI2140" i="1" s="1"/>
  <c r="CJ2140" i="1" s="1"/>
  <c r="N2140" i="1"/>
  <c r="BH2452" i="1"/>
  <c r="BG2452" i="1"/>
  <c r="BR2452" i="1" s="1"/>
  <c r="CA2452" i="1" s="1"/>
  <c r="BF2452" i="1"/>
  <c r="CI2452" i="1" s="1"/>
  <c r="CJ2452" i="1" s="1"/>
  <c r="BH2601" i="1"/>
  <c r="BG2601" i="1"/>
  <c r="BF2601" i="1"/>
  <c r="N2601" i="1"/>
  <c r="BH1269" i="1"/>
  <c r="BG1269" i="1"/>
  <c r="BF1269" i="1"/>
  <c r="N1269" i="1"/>
  <c r="BH2431" i="1"/>
  <c r="BG2431" i="1"/>
  <c r="BF2431" i="1"/>
  <c r="CI2431" i="1" s="1"/>
  <c r="CJ2431" i="1" s="1"/>
  <c r="N2431" i="1"/>
  <c r="BH1814" i="1"/>
  <c r="BG1814" i="1"/>
  <c r="BF1814" i="1"/>
  <c r="CI1814" i="1" s="1"/>
  <c r="CJ1814" i="1" s="1"/>
  <c r="N1814" i="1"/>
  <c r="BH2382" i="1"/>
  <c r="BG2382" i="1"/>
  <c r="BR2382" i="1" s="1"/>
  <c r="CA2382" i="1" s="1"/>
  <c r="BF2382" i="1"/>
  <c r="CI2382" i="1" s="1"/>
  <c r="CJ2382" i="1" s="1"/>
  <c r="BH1986" i="1"/>
  <c r="BG1986" i="1"/>
  <c r="BR1986" i="1" s="1"/>
  <c r="CA1986" i="1" s="1"/>
  <c r="BF1986" i="1"/>
  <c r="CI1986" i="1" s="1"/>
  <c r="CJ1986" i="1" s="1"/>
  <c r="BK126" i="1"/>
  <c r="BI126" i="1"/>
  <c r="BH126" i="1"/>
  <c r="R126" i="1" s="1"/>
  <c r="BG126" i="1"/>
  <c r="BF126" i="1"/>
  <c r="N126" i="1"/>
  <c r="BH1576" i="1"/>
  <c r="BG1576" i="1"/>
  <c r="BF1576" i="1"/>
  <c r="CI1576" i="1" s="1"/>
  <c r="CJ1576" i="1" s="1"/>
  <c r="N1576" i="1"/>
  <c r="BH778" i="1"/>
  <c r="BG778" i="1"/>
  <c r="BZ778" i="1"/>
  <c r="N778" i="1"/>
  <c r="BH501" i="1"/>
  <c r="BG501" i="1"/>
  <c r="BF501" i="1"/>
  <c r="CI501" i="1" s="1"/>
  <c r="CJ501" i="1" s="1"/>
  <c r="N501" i="1"/>
  <c r="BH1115" i="1"/>
  <c r="BG1115" i="1"/>
  <c r="BR1115" i="1" s="1"/>
  <c r="CA1115" i="1" s="1"/>
  <c r="BF1115" i="1"/>
  <c r="CI1115" i="1" s="1"/>
  <c r="CJ1115" i="1" s="1"/>
  <c r="BH1132" i="1"/>
  <c r="BG1132" i="1"/>
  <c r="BF1132" i="1"/>
  <c r="CI1132" i="1" s="1"/>
  <c r="CJ1132" i="1" s="1"/>
  <c r="N1132" i="1"/>
  <c r="BH1719" i="1"/>
  <c r="BG1719" i="1"/>
  <c r="BF1719" i="1"/>
  <c r="CI1719" i="1" s="1"/>
  <c r="CJ1719" i="1" s="1"/>
  <c r="N1719" i="1"/>
  <c r="BH931" i="1"/>
  <c r="BG931" i="1"/>
  <c r="BF931" i="1"/>
  <c r="N931" i="1"/>
  <c r="BH2343" i="1"/>
  <c r="BG2343" i="1"/>
  <c r="BF2343" i="1"/>
  <c r="N2343" i="1"/>
  <c r="BH1677" i="1"/>
  <c r="BG1677" i="1"/>
  <c r="BF1677" i="1"/>
  <c r="CI1677" i="1" s="1"/>
  <c r="CJ1677" i="1" s="1"/>
  <c r="N1677" i="1"/>
  <c r="BK2597" i="1"/>
  <c r="BI2597" i="1"/>
  <c r="BH2597" i="1"/>
  <c r="R2597" i="1" s="1"/>
  <c r="BG2597" i="1"/>
  <c r="BF2597" i="1"/>
  <c r="CI2597" i="1" s="1"/>
  <c r="CJ2597" i="1" s="1"/>
  <c r="N2597" i="1"/>
  <c r="BH2596" i="1"/>
  <c r="BG2596" i="1"/>
  <c r="BR2596" i="1" s="1"/>
  <c r="CA2596" i="1" s="1"/>
  <c r="BF2596" i="1"/>
  <c r="CI2596" i="1" s="1"/>
  <c r="CJ2596" i="1" s="1"/>
  <c r="BH601" i="1"/>
  <c r="BG601" i="1"/>
  <c r="BF601" i="1"/>
  <c r="N601" i="1"/>
  <c r="BH1907" i="1"/>
  <c r="BG1907" i="1"/>
  <c r="BF1907" i="1"/>
  <c r="N1907" i="1"/>
  <c r="BH2457" i="1"/>
  <c r="BH1656" i="1"/>
  <c r="N1656" i="1"/>
  <c r="BH2595" i="1"/>
  <c r="BG2595" i="1"/>
  <c r="BF2595" i="1"/>
  <c r="N2595" i="1"/>
  <c r="BH2593" i="1"/>
  <c r="BG2593" i="1"/>
  <c r="BF2593" i="1"/>
  <c r="CI2593" i="1" s="1"/>
  <c r="CJ2593" i="1" s="1"/>
  <c r="N2593" i="1"/>
  <c r="BK1355" i="1"/>
  <c r="BI1355" i="1"/>
  <c r="BH1355" i="1"/>
  <c r="R1355" i="1" s="1"/>
  <c r="BG1355" i="1"/>
  <c r="BF1355" i="1"/>
  <c r="N1355" i="1"/>
  <c r="BH1952" i="1"/>
  <c r="BG1952" i="1"/>
  <c r="BF1952" i="1"/>
  <c r="N1952" i="1"/>
  <c r="BK1675" i="1"/>
  <c r="BI1675" i="1"/>
  <c r="BH1675" i="1"/>
  <c r="R1675" i="1" s="1"/>
  <c r="BG1675" i="1"/>
  <c r="BF1675" i="1"/>
  <c r="CI1675" i="1" s="1"/>
  <c r="CJ1675" i="1" s="1"/>
  <c r="N1675" i="1"/>
  <c r="BK2436" i="1"/>
  <c r="BI2436" i="1"/>
  <c r="BH2436" i="1"/>
  <c r="R2436" i="1" s="1"/>
  <c r="BG2436" i="1"/>
  <c r="BF2436" i="1"/>
  <c r="N2436" i="1"/>
  <c r="BK2592" i="1"/>
  <c r="BI2592" i="1"/>
  <c r="BH2592" i="1"/>
  <c r="R2592" i="1" s="1"/>
  <c r="BG2592" i="1"/>
  <c r="BF2592" i="1"/>
  <c r="CI2592" i="1" s="1"/>
  <c r="CJ2592" i="1" s="1"/>
  <c r="N2592" i="1"/>
  <c r="BK2413" i="1"/>
  <c r="BI2413" i="1"/>
  <c r="BH2413" i="1"/>
  <c r="R2413" i="1" s="1"/>
  <c r="BG2413" i="1"/>
  <c r="BF2413" i="1"/>
  <c r="N2413" i="1"/>
  <c r="BK2591" i="1"/>
  <c r="BI2591" i="1"/>
  <c r="BH2591" i="1"/>
  <c r="R2591" i="1" s="1"/>
  <c r="BG2591" i="1"/>
  <c r="BF2591" i="1"/>
  <c r="N2591" i="1"/>
  <c r="BK1683" i="1"/>
  <c r="BI1683" i="1"/>
  <c r="BH1683" i="1"/>
  <c r="R1683" i="1" s="1"/>
  <c r="BU1683" i="1" s="1"/>
  <c r="BW1683" i="1" s="1"/>
  <c r="BG1683" i="1"/>
  <c r="N1683" i="1"/>
  <c r="BK2590" i="1"/>
  <c r="BI2590" i="1"/>
  <c r="BH2590" i="1"/>
  <c r="R2590" i="1" s="1"/>
  <c r="BG2590" i="1"/>
  <c r="BF2590" i="1"/>
  <c r="CI2590" i="1" s="1"/>
  <c r="CJ2590" i="1" s="1"/>
  <c r="N2590" i="1"/>
  <c r="BK409" i="1"/>
  <c r="BI409" i="1"/>
  <c r="BH409" i="1"/>
  <c r="R409" i="1" s="1"/>
  <c r="BG409" i="1"/>
  <c r="BR409" i="1" s="1"/>
  <c r="CA409" i="1" s="1"/>
  <c r="BF409" i="1"/>
  <c r="BK1281" i="1"/>
  <c r="BI1281" i="1"/>
  <c r="BH1281" i="1"/>
  <c r="R1281" i="1" s="1"/>
  <c r="BG1281" i="1"/>
  <c r="BF1281" i="1"/>
  <c r="CI1281" i="1" s="1"/>
  <c r="CJ1281" i="1" s="1"/>
  <c r="N1281" i="1"/>
  <c r="BK2401" i="1"/>
  <c r="BI2401" i="1"/>
  <c r="BH2401" i="1"/>
  <c r="R2401" i="1" s="1"/>
  <c r="BG2401" i="1"/>
  <c r="BR2401" i="1" s="1"/>
  <c r="CA2401" i="1" s="1"/>
  <c r="BF2401" i="1"/>
  <c r="BH971" i="1"/>
  <c r="BG971" i="1"/>
  <c r="N971" i="1"/>
  <c r="BH1285" i="1"/>
  <c r="BG1285" i="1"/>
  <c r="N1285" i="1"/>
  <c r="BH843" i="1"/>
  <c r="BG843" i="1"/>
  <c r="BF843" i="1"/>
  <c r="CI843" i="1" s="1"/>
  <c r="CJ843" i="1" s="1"/>
  <c r="N843" i="1"/>
  <c r="BH2589" i="1"/>
  <c r="BG2589" i="1"/>
  <c r="BF2589" i="1"/>
  <c r="CI2589" i="1" s="1"/>
  <c r="CJ2589" i="1" s="1"/>
  <c r="N2589" i="1"/>
  <c r="BH1641" i="1"/>
  <c r="BG1641" i="1"/>
  <c r="BR1641" i="1" s="1"/>
  <c r="CA1641" i="1" s="1"/>
  <c r="BF1641" i="1"/>
  <c r="CI1641" i="1" s="1"/>
  <c r="CJ1641" i="1" s="1"/>
  <c r="BH2072" i="1"/>
  <c r="BG2072" i="1"/>
  <c r="BF2072" i="1"/>
  <c r="N2072" i="1"/>
  <c r="BH2588" i="1"/>
  <c r="BG2588" i="1"/>
  <c r="BF2588" i="1"/>
  <c r="N2588" i="1"/>
  <c r="BH1627" i="1"/>
  <c r="BG1627" i="1"/>
  <c r="BF1627" i="1"/>
  <c r="CI1627" i="1" s="1"/>
  <c r="CJ1627" i="1" s="1"/>
  <c r="N1627" i="1"/>
  <c r="BK324" i="1"/>
  <c r="BI324" i="1"/>
  <c r="BH324" i="1"/>
  <c r="R324" i="1" s="1"/>
  <c r="BG324" i="1"/>
  <c r="BF324" i="1"/>
  <c r="N324" i="1"/>
  <c r="BH1166" i="1"/>
  <c r="BG1166" i="1"/>
  <c r="BR1166" i="1" s="1"/>
  <c r="CA1166" i="1" s="1"/>
  <c r="BF1166" i="1"/>
  <c r="CI1166" i="1" s="1"/>
  <c r="CJ1166" i="1" s="1"/>
  <c r="BK1401" i="1"/>
  <c r="BI1401" i="1"/>
  <c r="BH1401" i="1"/>
  <c r="R1401" i="1" s="1"/>
  <c r="BG1401" i="1"/>
  <c r="BF1401" i="1"/>
  <c r="N1401" i="1"/>
  <c r="BK2198" i="1"/>
  <c r="BI2198" i="1"/>
  <c r="BH2198" i="1"/>
  <c r="R2198" i="1" s="1"/>
  <c r="BU2198" i="1" s="1"/>
  <c r="BW2198" i="1" s="1"/>
  <c r="BG2198" i="1"/>
  <c r="N2198" i="1"/>
  <c r="BK629" i="1"/>
  <c r="BI629" i="1"/>
  <c r="BH629" i="1"/>
  <c r="R629" i="1" s="1"/>
  <c r="BG629" i="1"/>
  <c r="BR629" i="1" s="1"/>
  <c r="CA629" i="1" s="1"/>
  <c r="BF629" i="1"/>
  <c r="BK403" i="1"/>
  <c r="BI403" i="1"/>
  <c r="BH403" i="1"/>
  <c r="R403" i="1" s="1"/>
  <c r="BG403" i="1"/>
  <c r="BR403" i="1" s="1"/>
  <c r="CA403" i="1" s="1"/>
  <c r="BF403" i="1"/>
  <c r="BK458" i="1"/>
  <c r="BI458" i="1"/>
  <c r="BH458" i="1"/>
  <c r="R458" i="1" s="1"/>
  <c r="BG458" i="1"/>
  <c r="BF458" i="1"/>
  <c r="N458" i="1"/>
  <c r="BK2587" i="1"/>
  <c r="BI2587" i="1"/>
  <c r="BH2587" i="1"/>
  <c r="R2587" i="1" s="1"/>
  <c r="BG2587" i="1"/>
  <c r="BF2587" i="1"/>
  <c r="CI2587" i="1" s="1"/>
  <c r="CJ2587" i="1" s="1"/>
  <c r="N2587" i="1"/>
  <c r="BK773" i="1"/>
  <c r="BI773" i="1"/>
  <c r="BH773" i="1"/>
  <c r="R773" i="1" s="1"/>
  <c r="BG773" i="1"/>
  <c r="BR773" i="1" s="1"/>
  <c r="CA773" i="1" s="1"/>
  <c r="BF773" i="1"/>
  <c r="BK1714" i="1"/>
  <c r="BI1714" i="1"/>
  <c r="BH1714" i="1"/>
  <c r="R1714" i="1" s="1"/>
  <c r="BG1714" i="1"/>
  <c r="BF1714" i="1"/>
  <c r="N1714" i="1"/>
  <c r="BK2395" i="1"/>
  <c r="BI2395" i="1"/>
  <c r="BH2395" i="1"/>
  <c r="R2395" i="1" s="1"/>
  <c r="BG2395" i="1"/>
  <c r="BF2395" i="1"/>
  <c r="N2395" i="1"/>
  <c r="BK942" i="1"/>
  <c r="BI942" i="1"/>
  <c r="BH942" i="1"/>
  <c r="R942" i="1" s="1"/>
  <c r="BG942" i="1"/>
  <c r="BF942" i="1"/>
  <c r="N942" i="1"/>
  <c r="BK2586" i="1"/>
  <c r="BI2586" i="1"/>
  <c r="BH2586" i="1"/>
  <c r="R2586" i="1" s="1"/>
  <c r="BG2586" i="1"/>
  <c r="BF2586" i="1"/>
  <c r="N2586" i="1"/>
  <c r="BK130" i="1"/>
  <c r="BI130" i="1"/>
  <c r="BH130" i="1"/>
  <c r="R130" i="1" s="1"/>
  <c r="BG130" i="1"/>
  <c r="BR130" i="1" s="1"/>
  <c r="CA130" i="1" s="1"/>
  <c r="BF130" i="1"/>
  <c r="BK2451" i="1"/>
  <c r="BI2451" i="1"/>
  <c r="BH2451" i="1"/>
  <c r="R2451" i="1" s="1"/>
  <c r="BG2451" i="1"/>
  <c r="BF2451" i="1"/>
  <c r="CI2451" i="1" s="1"/>
  <c r="CJ2451" i="1" s="1"/>
  <c r="N2451" i="1"/>
  <c r="BK923" i="1"/>
  <c r="BI923" i="1"/>
  <c r="BH923" i="1"/>
  <c r="R923" i="1" s="1"/>
  <c r="BG923" i="1"/>
  <c r="BF923" i="1"/>
  <c r="N923" i="1"/>
  <c r="BK1788" i="1"/>
  <c r="BI1788" i="1"/>
  <c r="BH1788" i="1"/>
  <c r="R1788" i="1" s="1"/>
  <c r="BG1788" i="1"/>
  <c r="BF1788" i="1"/>
  <c r="N1788" i="1"/>
  <c r="BK1256" i="1"/>
  <c r="BI1256" i="1"/>
  <c r="BH1256" i="1"/>
  <c r="R1256" i="1" s="1"/>
  <c r="BG1256" i="1"/>
  <c r="BF1256" i="1"/>
  <c r="N1256" i="1"/>
  <c r="BK2218" i="1"/>
  <c r="BI2218" i="1"/>
  <c r="BH2218" i="1"/>
  <c r="R2218" i="1" s="1"/>
  <c r="BG2218" i="1"/>
  <c r="BF2218" i="1"/>
  <c r="CI2218" i="1" s="1"/>
  <c r="CJ2218" i="1" s="1"/>
  <c r="N2218" i="1"/>
  <c r="BK2168" i="1"/>
  <c r="BI2168" i="1"/>
  <c r="BH2168" i="1"/>
  <c r="R2168" i="1" s="1"/>
  <c r="BG2168" i="1"/>
  <c r="BR2168" i="1" s="1"/>
  <c r="CA2168" i="1" s="1"/>
  <c r="BF2168" i="1"/>
  <c r="BK2585" i="1"/>
  <c r="BI2585" i="1"/>
  <c r="BH2585" i="1"/>
  <c r="R2585" i="1" s="1"/>
  <c r="BG2585" i="1"/>
  <c r="BF2585" i="1"/>
  <c r="N2585" i="1"/>
  <c r="BK417" i="1"/>
  <c r="BI417" i="1"/>
  <c r="BH417" i="1"/>
  <c r="R417" i="1" s="1"/>
  <c r="BG417" i="1"/>
  <c r="BF417" i="1"/>
  <c r="N417" i="1"/>
  <c r="BK657" i="1"/>
  <c r="BI657" i="1"/>
  <c r="BH657" i="1"/>
  <c r="R657" i="1" s="1"/>
  <c r="BG657" i="1"/>
  <c r="BF657" i="1"/>
  <c r="CI657" i="1" s="1"/>
  <c r="CJ657" i="1" s="1"/>
  <c r="N657" i="1"/>
  <c r="BK1495" i="1"/>
  <c r="BI1495" i="1"/>
  <c r="BH1495" i="1"/>
  <c r="R1495" i="1" s="1"/>
  <c r="BG1495" i="1"/>
  <c r="BF1495" i="1"/>
  <c r="N1495" i="1"/>
  <c r="BK1857" i="1"/>
  <c r="BI1857" i="1"/>
  <c r="BH1857" i="1"/>
  <c r="R1857" i="1" s="1"/>
  <c r="BG1857" i="1"/>
  <c r="BF1857" i="1"/>
  <c r="CI1857" i="1" s="1"/>
  <c r="CJ1857" i="1" s="1"/>
  <c r="N1857" i="1"/>
  <c r="BK731" i="1"/>
  <c r="BI731" i="1"/>
  <c r="BH731" i="1"/>
  <c r="R731" i="1" s="1"/>
  <c r="BG731" i="1"/>
  <c r="BF731" i="1"/>
  <c r="N731" i="1"/>
  <c r="BK120" i="1"/>
  <c r="BI120" i="1"/>
  <c r="BH120" i="1"/>
  <c r="R120" i="1" s="1"/>
  <c r="BG120" i="1"/>
  <c r="BF120" i="1"/>
  <c r="N120" i="1"/>
  <c r="BK969" i="1"/>
  <c r="BI969" i="1"/>
  <c r="BH969" i="1"/>
  <c r="R969" i="1" s="1"/>
  <c r="BG969" i="1"/>
  <c r="BF969" i="1"/>
  <c r="CI969" i="1" s="1"/>
  <c r="CJ969" i="1" s="1"/>
  <c r="N969" i="1"/>
  <c r="BK518" i="1"/>
  <c r="BI518" i="1"/>
  <c r="BH518" i="1"/>
  <c r="R518" i="1" s="1"/>
  <c r="BG518" i="1"/>
  <c r="BF518" i="1"/>
  <c r="N518" i="1"/>
  <c r="BK2394" i="1"/>
  <c r="BI2394" i="1"/>
  <c r="BH2394" i="1"/>
  <c r="R2394" i="1" s="1"/>
  <c r="BG2394" i="1"/>
  <c r="BF2394" i="1"/>
  <c r="N2394" i="1"/>
  <c r="BK2248" i="1"/>
  <c r="BI2248" i="1"/>
  <c r="BH2248" i="1"/>
  <c r="R2248" i="1" s="1"/>
  <c r="Q2248" i="1"/>
  <c r="N2248" i="1"/>
  <c r="BK740" i="1"/>
  <c r="BI740" i="1"/>
  <c r="BH740" i="1"/>
  <c r="R740" i="1" s="1"/>
  <c r="Q740" i="1"/>
  <c r="N740" i="1"/>
  <c r="BK1968" i="1"/>
  <c r="BI1968" i="1"/>
  <c r="BH1968" i="1"/>
  <c r="R1968" i="1" s="1"/>
  <c r="BG1968" i="1"/>
  <c r="BF1968" i="1"/>
  <c r="CI1968" i="1" s="1"/>
  <c r="CJ1968" i="1" s="1"/>
  <c r="N1968" i="1"/>
  <c r="BK2017" i="1"/>
  <c r="BI2017" i="1"/>
  <c r="BH2017" i="1"/>
  <c r="R2017" i="1" s="1"/>
  <c r="Q2017" i="1"/>
  <c r="N2017" i="1"/>
  <c r="BK2581" i="1"/>
  <c r="BI2581" i="1"/>
  <c r="BH2581" i="1"/>
  <c r="R2581" i="1" s="1"/>
  <c r="BU2581" i="1" s="1"/>
  <c r="BW2581" i="1" s="1"/>
  <c r="BG2581" i="1"/>
  <c r="N2581" i="1"/>
  <c r="BK2584" i="1"/>
  <c r="BI2584" i="1"/>
  <c r="BH2584" i="1"/>
  <c r="R2584" i="1" s="1"/>
  <c r="Q2584" i="1"/>
  <c r="N2584" i="1"/>
  <c r="BK2583" i="1"/>
  <c r="BI2583" i="1"/>
  <c r="BH2583" i="1"/>
  <c r="R2583" i="1" s="1"/>
  <c r="Q2583" i="1"/>
  <c r="N2583" i="1"/>
  <c r="BK1013" i="1"/>
  <c r="BI1013" i="1"/>
  <c r="BH1013" i="1"/>
  <c r="R1013" i="1" s="1"/>
  <c r="BG1013" i="1"/>
  <c r="BF1013" i="1"/>
  <c r="CI1013" i="1" s="1"/>
  <c r="CJ1013" i="1" s="1"/>
  <c r="N1013" i="1"/>
  <c r="BK2582" i="1"/>
  <c r="BI2582" i="1"/>
  <c r="BH2582" i="1"/>
  <c r="R2582" i="1" s="1"/>
  <c r="BG2582" i="1"/>
  <c r="BF2582" i="1"/>
  <c r="CI2582" i="1" s="1"/>
  <c r="CJ2582" i="1" s="1"/>
  <c r="N2582" i="1"/>
  <c r="BK308" i="1"/>
  <c r="BI308" i="1"/>
  <c r="BH308" i="1"/>
  <c r="R308" i="1" s="1"/>
  <c r="BG308" i="1"/>
  <c r="BF308" i="1"/>
  <c r="N308" i="1"/>
  <c r="BK1767" i="1"/>
  <c r="BI1767" i="1"/>
  <c r="BH1767" i="1"/>
  <c r="R1767" i="1" s="1"/>
  <c r="BG1767" i="1"/>
  <c r="BF1767" i="1"/>
  <c r="N1767" i="1"/>
  <c r="BK982" i="1"/>
  <c r="BI982" i="1"/>
  <c r="BH982" i="1"/>
  <c r="R982" i="1" s="1"/>
  <c r="BG982" i="1"/>
  <c r="BF982" i="1"/>
  <c r="N982" i="1"/>
  <c r="BK1307" i="1"/>
  <c r="BI1307" i="1"/>
  <c r="BH1307" i="1"/>
  <c r="R1307" i="1" s="1"/>
  <c r="BG1307" i="1"/>
  <c r="BR1307" i="1" s="1"/>
  <c r="CA1307" i="1" s="1"/>
  <c r="BF1307" i="1"/>
  <c r="BK1849" i="1"/>
  <c r="BI1849" i="1"/>
  <c r="BH1849" i="1"/>
  <c r="R1849" i="1" s="1"/>
  <c r="BG1849" i="1"/>
  <c r="BR1849" i="1" s="1"/>
  <c r="CA1849" i="1" s="1"/>
  <c r="BF1849" i="1"/>
  <c r="BK13" i="1"/>
  <c r="BI13" i="1"/>
  <c r="BH13" i="1"/>
  <c r="R13" i="1" s="1"/>
  <c r="BG13" i="1"/>
  <c r="BF13" i="1"/>
  <c r="N13" i="1"/>
  <c r="BK887" i="1"/>
  <c r="BI887" i="1"/>
  <c r="BH887" i="1"/>
  <c r="R887" i="1" s="1"/>
  <c r="BG887" i="1"/>
  <c r="BF887" i="1"/>
  <c r="CI887" i="1" s="1"/>
  <c r="CJ887" i="1" s="1"/>
  <c r="N887" i="1"/>
  <c r="BK796" i="1"/>
  <c r="BI796" i="1"/>
  <c r="BH796" i="1"/>
  <c r="R796" i="1" s="1"/>
  <c r="BG796" i="1"/>
  <c r="BF796" i="1"/>
  <c r="N796" i="1"/>
  <c r="BK954" i="1"/>
  <c r="BI954" i="1"/>
  <c r="BH954" i="1"/>
  <c r="R954" i="1" s="1"/>
  <c r="BG954" i="1"/>
  <c r="BF954" i="1"/>
  <c r="N954" i="1"/>
  <c r="BK374" i="1"/>
  <c r="BI374" i="1"/>
  <c r="BH374" i="1"/>
  <c r="R374" i="1" s="1"/>
  <c r="BG374" i="1"/>
  <c r="BF374" i="1"/>
  <c r="CI374" i="1" s="1"/>
  <c r="CJ374" i="1" s="1"/>
  <c r="N374" i="1"/>
  <c r="BK1309" i="1"/>
  <c r="BI1309" i="1"/>
  <c r="BH1309" i="1"/>
  <c r="R1309" i="1" s="1"/>
  <c r="BG1309" i="1"/>
  <c r="BX1309" i="1"/>
  <c r="N1309" i="1"/>
  <c r="BK1830" i="1"/>
  <c r="BI1830" i="1"/>
  <c r="BH1830" i="1"/>
  <c r="R1830" i="1" s="1"/>
  <c r="BG1830" i="1"/>
  <c r="BF1830" i="1"/>
  <c r="N1830" i="1"/>
  <c r="BK1226" i="1"/>
  <c r="BI1226" i="1"/>
  <c r="BH1226" i="1"/>
  <c r="R1226" i="1" s="1"/>
  <c r="BG1226" i="1"/>
  <c r="N1226" i="1"/>
  <c r="BK2046" i="1"/>
  <c r="BI2046" i="1"/>
  <c r="BH2046" i="1"/>
  <c r="R2046" i="1" s="1"/>
  <c r="BG2046" i="1"/>
  <c r="BF2046" i="1"/>
  <c r="CI2046" i="1" s="1"/>
  <c r="CJ2046" i="1" s="1"/>
  <c r="N2046" i="1"/>
  <c r="BK1012" i="1"/>
  <c r="BI1012" i="1"/>
  <c r="BH1012" i="1"/>
  <c r="R1012" i="1" s="1"/>
  <c r="BG1012" i="1"/>
  <c r="BF1012" i="1"/>
  <c r="N1012" i="1"/>
  <c r="BK866" i="1"/>
  <c r="BI866" i="1"/>
  <c r="BH866" i="1"/>
  <c r="R866" i="1" s="1"/>
  <c r="BG866" i="1"/>
  <c r="BF866" i="1"/>
  <c r="CI866" i="1" s="1"/>
  <c r="CJ866" i="1" s="1"/>
  <c r="N866" i="1"/>
  <c r="BK943" i="1"/>
  <c r="BI943" i="1"/>
  <c r="BH943" i="1"/>
  <c r="R943" i="1" s="1"/>
  <c r="BG943" i="1"/>
  <c r="BF943" i="1"/>
  <c r="N943" i="1"/>
  <c r="BK186" i="1"/>
  <c r="BI186" i="1"/>
  <c r="BH186" i="1"/>
  <c r="R186" i="1" s="1"/>
  <c r="BG186" i="1"/>
  <c r="BF186" i="1"/>
  <c r="N186" i="1"/>
  <c r="BK1393" i="1"/>
  <c r="BI1393" i="1"/>
  <c r="BH1393" i="1"/>
  <c r="R1393" i="1" s="1"/>
  <c r="BG1393" i="1"/>
  <c r="BF1393" i="1"/>
  <c r="N1393" i="1"/>
  <c r="BK474" i="1"/>
  <c r="BI474" i="1"/>
  <c r="BH474" i="1"/>
  <c r="R474" i="1" s="1"/>
  <c r="BG474" i="1"/>
  <c r="BR474" i="1" s="1"/>
  <c r="CA474" i="1" s="1"/>
  <c r="BF474" i="1"/>
  <c r="BK453" i="1"/>
  <c r="BI453" i="1"/>
  <c r="BH453" i="1"/>
  <c r="R453" i="1" s="1"/>
  <c r="BG453" i="1"/>
  <c r="BR453" i="1" s="1"/>
  <c r="CA453" i="1" s="1"/>
  <c r="BF453" i="1"/>
  <c r="BK2456" i="1"/>
  <c r="BI2456" i="1"/>
  <c r="BH2456" i="1"/>
  <c r="R2456" i="1" s="1"/>
  <c r="BG2456" i="1"/>
  <c r="BR2456" i="1" s="1"/>
  <c r="CA2456" i="1" s="1"/>
  <c r="BF2456" i="1"/>
  <c r="BK2191" i="1"/>
  <c r="BI2191" i="1"/>
  <c r="BH2191" i="1"/>
  <c r="R2191" i="1" s="1"/>
  <c r="BG2191" i="1"/>
  <c r="BF2191" i="1"/>
  <c r="N2191" i="1"/>
  <c r="BK2580" i="1"/>
  <c r="BI2580" i="1"/>
  <c r="BH2580" i="1"/>
  <c r="R2580" i="1" s="1"/>
  <c r="BG2580" i="1"/>
  <c r="BF2580" i="1"/>
  <c r="N2580" i="1"/>
  <c r="BK1515" i="1"/>
  <c r="BI1515" i="1"/>
  <c r="BH1515" i="1"/>
  <c r="R1515" i="1" s="1"/>
  <c r="Q1515" i="1"/>
  <c r="N1515" i="1"/>
  <c r="BK2579" i="1"/>
  <c r="BI2579" i="1"/>
  <c r="BH2579" i="1"/>
  <c r="R2579" i="1" s="1"/>
  <c r="BG2579" i="1"/>
  <c r="BF2579" i="1"/>
  <c r="CI2579" i="1" s="1"/>
  <c r="CJ2579" i="1" s="1"/>
  <c r="N2579" i="1"/>
  <c r="BK720" i="1"/>
  <c r="BI720" i="1"/>
  <c r="BH720" i="1"/>
  <c r="R720" i="1" s="1"/>
  <c r="BG720" i="1"/>
  <c r="BF720" i="1"/>
  <c r="N720" i="1"/>
  <c r="BK1555" i="1"/>
  <c r="BI1555" i="1"/>
  <c r="BH1555" i="1"/>
  <c r="R1555" i="1" s="1"/>
  <c r="BG1555" i="1"/>
  <c r="BF1555" i="1"/>
  <c r="CI1555" i="1" s="1"/>
  <c r="CJ1555" i="1" s="1"/>
  <c r="N1555" i="1"/>
  <c r="BK1310" i="1"/>
  <c r="BI1310" i="1"/>
  <c r="BH1310" i="1"/>
  <c r="R1310" i="1" s="1"/>
  <c r="BG1310" i="1"/>
  <c r="N1310" i="1"/>
  <c r="BK1557" i="1"/>
  <c r="BI1557" i="1"/>
  <c r="BH1557" i="1"/>
  <c r="R1557" i="1" s="1"/>
  <c r="BG1557" i="1"/>
  <c r="BF1557" i="1"/>
  <c r="N1557" i="1"/>
  <c r="BK2522" i="1"/>
  <c r="BI2522" i="1"/>
  <c r="BH2522" i="1"/>
  <c r="R2522" i="1" s="1"/>
  <c r="BG2522" i="1"/>
  <c r="BF2522" i="1"/>
  <c r="CI2522" i="1" s="1"/>
  <c r="CJ2522" i="1" s="1"/>
  <c r="N2522" i="1"/>
  <c r="BK2575" i="1"/>
  <c r="BI2575" i="1"/>
  <c r="BH2575" i="1"/>
  <c r="R2575" i="1" s="1"/>
  <c r="BG2575" i="1"/>
  <c r="BF2575" i="1"/>
  <c r="CI2575" i="1" s="1"/>
  <c r="CJ2575" i="1" s="1"/>
  <c r="N2575" i="1"/>
  <c r="BK2319" i="1"/>
  <c r="BI2319" i="1"/>
  <c r="BH2319" i="1"/>
  <c r="R2319" i="1" s="1"/>
  <c r="BG2319" i="1"/>
  <c r="BR2319" i="1" s="1"/>
  <c r="CA2319" i="1" s="1"/>
  <c r="BK148" i="1"/>
  <c r="BI148" i="1"/>
  <c r="BH148" i="1"/>
  <c r="R148" i="1" s="1"/>
  <c r="BG148" i="1"/>
  <c r="BF148" i="1"/>
  <c r="N148" i="1"/>
  <c r="BK1728" i="1"/>
  <c r="BI1728" i="1"/>
  <c r="BH1728" i="1"/>
  <c r="R1728" i="1" s="1"/>
  <c r="Q1728" i="1"/>
  <c r="N1728" i="1"/>
  <c r="BK1142" i="1"/>
  <c r="BI1142" i="1"/>
  <c r="BH1142" i="1"/>
  <c r="R1142" i="1" s="1"/>
  <c r="BG1142" i="1"/>
  <c r="BF1142" i="1"/>
  <c r="CI1142" i="1" s="1"/>
  <c r="CJ1142" i="1" s="1"/>
  <c r="N1142" i="1"/>
  <c r="BK139" i="1"/>
  <c r="BI139" i="1"/>
  <c r="BH139" i="1"/>
  <c r="R139" i="1" s="1"/>
  <c r="BG139" i="1"/>
  <c r="BF139" i="1"/>
  <c r="N139" i="1"/>
  <c r="BK632" i="1"/>
  <c r="BI632" i="1"/>
  <c r="BH632" i="1"/>
  <c r="R632" i="1" s="1"/>
  <c r="BG632" i="1"/>
  <c r="BF632" i="1"/>
  <c r="CI632" i="1" s="1"/>
  <c r="CJ632" i="1" s="1"/>
  <c r="N632" i="1"/>
  <c r="BK2574" i="1"/>
  <c r="BI2574" i="1"/>
  <c r="BH2574" i="1"/>
  <c r="R2574" i="1" s="1"/>
  <c r="BG2574" i="1"/>
  <c r="BF2574" i="1"/>
  <c r="CI2574" i="1" s="1"/>
  <c r="CJ2574" i="1" s="1"/>
  <c r="N2574" i="1"/>
  <c r="BK1298" i="1"/>
  <c r="BI1298" i="1"/>
  <c r="BH1298" i="1"/>
  <c r="R1298" i="1" s="1"/>
  <c r="BG1298" i="1"/>
  <c r="BR1298" i="1" s="1"/>
  <c r="CA1298" i="1" s="1"/>
  <c r="BF1298" i="1"/>
  <c r="BK187" i="1"/>
  <c r="BI187" i="1"/>
  <c r="BH187" i="1"/>
  <c r="R187" i="1" s="1"/>
  <c r="BG187" i="1"/>
  <c r="BR187" i="1" s="1"/>
  <c r="CA187" i="1" s="1"/>
  <c r="BF187" i="1"/>
  <c r="BK1375" i="1"/>
  <c r="BI1375" i="1"/>
  <c r="BH1375" i="1"/>
  <c r="R1375" i="1" s="1"/>
  <c r="BG1375" i="1"/>
  <c r="BR1375" i="1" s="1"/>
  <c r="CA1375" i="1" s="1"/>
  <c r="BF1375" i="1"/>
  <c r="BK1363" i="1"/>
  <c r="BI1363" i="1"/>
  <c r="BH1363" i="1"/>
  <c r="R1363" i="1" s="1"/>
  <c r="BG1363" i="1"/>
  <c r="BF1363" i="1"/>
  <c r="CI1363" i="1" s="1"/>
  <c r="CJ1363" i="1" s="1"/>
  <c r="N1363" i="1"/>
  <c r="BK2494" i="1"/>
  <c r="BI2494" i="1"/>
  <c r="BH2494" i="1"/>
  <c r="R2494" i="1" s="1"/>
  <c r="BG2494" i="1"/>
  <c r="BF2494" i="1"/>
  <c r="N2494" i="1"/>
  <c r="BK1001" i="1"/>
  <c r="BI1001" i="1"/>
  <c r="BH1001" i="1"/>
  <c r="R1001" i="1" s="1"/>
  <c r="BG1001" i="1"/>
  <c r="BF1001" i="1"/>
  <c r="CI1001" i="1" s="1"/>
  <c r="CJ1001" i="1" s="1"/>
  <c r="N1001" i="1"/>
  <c r="BK2314" i="1"/>
  <c r="BI2314" i="1"/>
  <c r="BH2314" i="1"/>
  <c r="R2314" i="1" s="1"/>
  <c r="BG2314" i="1"/>
  <c r="BF2314" i="1"/>
  <c r="N2314" i="1"/>
  <c r="BK1407" i="1"/>
  <c r="BI1407" i="1"/>
  <c r="BH1407" i="1"/>
  <c r="R1407" i="1" s="1"/>
  <c r="BG1407" i="1"/>
  <c r="BF1407" i="1"/>
  <c r="N1407" i="1"/>
  <c r="BK2022" i="1"/>
  <c r="BI2022" i="1"/>
  <c r="BH2022" i="1"/>
  <c r="R2022" i="1" s="1"/>
  <c r="BG2022" i="1"/>
  <c r="BR2022" i="1" s="1"/>
  <c r="CA2022" i="1" s="1"/>
  <c r="BF2022" i="1"/>
  <c r="BK595" i="1"/>
  <c r="BI595" i="1"/>
  <c r="BH595" i="1"/>
  <c r="R595" i="1" s="1"/>
  <c r="BG595" i="1"/>
  <c r="BF595" i="1"/>
  <c r="CI595" i="1" s="1"/>
  <c r="CJ595" i="1" s="1"/>
  <c r="N595" i="1"/>
  <c r="BK2573" i="1"/>
  <c r="BI2573" i="1"/>
  <c r="BH2573" i="1"/>
  <c r="R2573" i="1" s="1"/>
  <c r="BG2573" i="1"/>
  <c r="BF2573" i="1"/>
  <c r="CI2573" i="1" s="1"/>
  <c r="CJ2573" i="1" s="1"/>
  <c r="N2573" i="1"/>
  <c r="BK369" i="1"/>
  <c r="BI369" i="1"/>
  <c r="BH369" i="1"/>
  <c r="R369" i="1" s="1"/>
  <c r="BG369" i="1"/>
  <c r="BR369" i="1" s="1"/>
  <c r="CA369" i="1" s="1"/>
  <c r="BF369" i="1"/>
  <c r="BK579" i="1"/>
  <c r="BI579" i="1"/>
  <c r="BH579" i="1"/>
  <c r="R579" i="1" s="1"/>
  <c r="BG579" i="1"/>
  <c r="BR579" i="1" s="1"/>
  <c r="CA579" i="1" s="1"/>
  <c r="BF579" i="1"/>
  <c r="BK2370" i="1"/>
  <c r="BI2370" i="1"/>
  <c r="BH2370" i="1"/>
  <c r="R2370" i="1" s="1"/>
  <c r="BG2370" i="1"/>
  <c r="BF2370" i="1"/>
  <c r="CI2370" i="1" s="1"/>
  <c r="CJ2370" i="1" s="1"/>
  <c r="N2370" i="1"/>
  <c r="BK600" i="1"/>
  <c r="BI600" i="1"/>
  <c r="BH600" i="1"/>
  <c r="R600" i="1" s="1"/>
  <c r="BG600" i="1"/>
  <c r="BF600" i="1"/>
  <c r="N600" i="1"/>
  <c r="BK2074" i="1"/>
  <c r="BI2074" i="1"/>
  <c r="BH2074" i="1"/>
  <c r="R2074" i="1" s="1"/>
  <c r="BG2074" i="1"/>
  <c r="BF2074" i="1"/>
  <c r="N2074" i="1"/>
  <c r="BH741" i="1"/>
  <c r="BG741" i="1"/>
  <c r="BF741" i="1"/>
  <c r="N741" i="1"/>
  <c r="BH1155" i="1"/>
  <c r="N1155" i="1"/>
  <c r="BH1899" i="1"/>
  <c r="BG1899" i="1"/>
  <c r="BF1899" i="1"/>
  <c r="CI1899" i="1" s="1"/>
  <c r="CJ1899" i="1" s="1"/>
  <c r="N1899" i="1"/>
  <c r="BH2572" i="1"/>
  <c r="BG2572" i="1"/>
  <c r="N2572" i="1"/>
  <c r="BH2571" i="1"/>
  <c r="BG2571" i="1"/>
  <c r="BF2571" i="1"/>
  <c r="N2571" i="1"/>
  <c r="BH2018" i="1"/>
  <c r="BG2018" i="1"/>
  <c r="BH1066" i="1"/>
  <c r="BG1066" i="1"/>
  <c r="BF1066" i="1"/>
  <c r="CI1066" i="1" s="1"/>
  <c r="CJ1066" i="1" s="1"/>
  <c r="N1066" i="1"/>
  <c r="BH615" i="1"/>
  <c r="BG615" i="1"/>
  <c r="BF615" i="1"/>
  <c r="N615" i="1"/>
  <c r="BH1614" i="1"/>
  <c r="BG1614" i="1"/>
  <c r="BR1614" i="1" s="1"/>
  <c r="CA1614" i="1" s="1"/>
  <c r="BF1614" i="1"/>
  <c r="CI1614" i="1" s="1"/>
  <c r="CJ1614" i="1" s="1"/>
  <c r="BH2252" i="1"/>
  <c r="BG2252" i="1"/>
  <c r="N2252" i="1"/>
  <c r="BH497" i="1"/>
  <c r="BG497" i="1"/>
  <c r="BF497" i="1"/>
  <c r="N497" i="1"/>
  <c r="BH1871" i="1"/>
  <c r="BG1871" i="1"/>
  <c r="BR1871" i="1" s="1"/>
  <c r="CA1871" i="1" s="1"/>
  <c r="BF1871" i="1"/>
  <c r="CI1871" i="1" s="1"/>
  <c r="CJ1871" i="1" s="1"/>
  <c r="BH1938" i="1"/>
  <c r="BH502" i="1"/>
  <c r="BG502" i="1"/>
  <c r="BF502" i="1"/>
  <c r="CI502" i="1" s="1"/>
  <c r="CJ502" i="1" s="1"/>
  <c r="N502" i="1"/>
  <c r="BH2570" i="1"/>
  <c r="BG2570" i="1"/>
  <c r="BF2570" i="1"/>
  <c r="N2570" i="1"/>
  <c r="BH1562" i="1"/>
  <c r="BG1562" i="1"/>
  <c r="N1562" i="1"/>
  <c r="BK676" i="1"/>
  <c r="BI676" i="1"/>
  <c r="BH676" i="1"/>
  <c r="R676" i="1" s="1"/>
  <c r="BG676" i="1"/>
  <c r="BF676" i="1"/>
  <c r="CI676" i="1" s="1"/>
  <c r="CJ676" i="1" s="1"/>
  <c r="N676" i="1"/>
  <c r="BH1738" i="1"/>
  <c r="BG1738" i="1"/>
  <c r="BF1738" i="1"/>
  <c r="N1738" i="1"/>
  <c r="BH915" i="1"/>
  <c r="BG915" i="1"/>
  <c r="BZ915" i="1"/>
  <c r="N915" i="1"/>
  <c r="BH2568" i="1"/>
  <c r="BG2568" i="1"/>
  <c r="BF2568" i="1"/>
  <c r="CI2568" i="1" s="1"/>
  <c r="CJ2568" i="1" s="1"/>
  <c r="N2568" i="1"/>
  <c r="BH2526" i="1"/>
  <c r="BG2526" i="1"/>
  <c r="BR2526" i="1" s="1"/>
  <c r="CA2526" i="1" s="1"/>
  <c r="BF2526" i="1"/>
  <c r="CI2526" i="1" s="1"/>
  <c r="CJ2526" i="1" s="1"/>
  <c r="BH597" i="1"/>
  <c r="BG597" i="1"/>
  <c r="BF597" i="1"/>
  <c r="CI597" i="1" s="1"/>
  <c r="CJ597" i="1" s="1"/>
  <c r="N597" i="1"/>
  <c r="BH2339" i="1"/>
  <c r="BG2339" i="1"/>
  <c r="N2339" i="1"/>
  <c r="BH1689" i="1"/>
  <c r="BG1689" i="1"/>
  <c r="BZ1689" i="1"/>
  <c r="N1689" i="1"/>
  <c r="BK1896" i="1"/>
  <c r="BI1896" i="1"/>
  <c r="BH1896" i="1"/>
  <c r="R1896" i="1" s="1"/>
  <c r="BG1896" i="1"/>
  <c r="N1896" i="1"/>
  <c r="BH1809" i="1"/>
  <c r="BG1809" i="1"/>
  <c r="BF1809" i="1"/>
  <c r="CI1809" i="1" s="1"/>
  <c r="CJ1809" i="1" s="1"/>
  <c r="N1809" i="1"/>
  <c r="BH2567" i="1"/>
  <c r="BG2567" i="1"/>
  <c r="BF2567" i="1"/>
  <c r="CI2567" i="1" s="1"/>
  <c r="CJ2567" i="1" s="1"/>
  <c r="N2567" i="1"/>
  <c r="BH2566" i="1"/>
  <c r="BG2566" i="1"/>
  <c r="BF2566" i="1"/>
  <c r="CI2566" i="1" s="1"/>
  <c r="CJ2566" i="1" s="1"/>
  <c r="N2566" i="1"/>
  <c r="BH163" i="1"/>
  <c r="BG163" i="1"/>
  <c r="BF163" i="1"/>
  <c r="CI163" i="1" s="1"/>
  <c r="CJ163" i="1" s="1"/>
  <c r="N163" i="1"/>
  <c r="BH1102" i="1"/>
  <c r="BG1102" i="1"/>
  <c r="BF1102" i="1"/>
  <c r="CI1102" i="1" s="1"/>
  <c r="CJ1102" i="1" s="1"/>
  <c r="N1102" i="1"/>
  <c r="BH2565" i="1"/>
  <c r="BG2565" i="1"/>
  <c r="BF2565" i="1"/>
  <c r="N2565" i="1"/>
  <c r="BH2564" i="1"/>
  <c r="BG2564" i="1"/>
  <c r="BF2564" i="1"/>
  <c r="N2564" i="1"/>
  <c r="BH1540" i="1"/>
  <c r="BG1540" i="1"/>
  <c r="BF1540" i="1"/>
  <c r="CI1540" i="1" s="1"/>
  <c r="CJ1540" i="1" s="1"/>
  <c r="N1540" i="1"/>
  <c r="BK463" i="1"/>
  <c r="BI463" i="1"/>
  <c r="BH463" i="1"/>
  <c r="R463" i="1" s="1"/>
  <c r="BG463" i="1"/>
  <c r="BF463" i="1"/>
  <c r="N463" i="1"/>
  <c r="BH1045" i="1"/>
  <c r="BG1045" i="1"/>
  <c r="BF1045" i="1"/>
  <c r="CI1045" i="1" s="1"/>
  <c r="CJ1045" i="1" s="1"/>
  <c r="N1045" i="1"/>
  <c r="BH719" i="1"/>
  <c r="BG719" i="1"/>
  <c r="BF719" i="1"/>
  <c r="CI719" i="1" s="1"/>
  <c r="CJ719" i="1" s="1"/>
  <c r="N719" i="1"/>
  <c r="BH1373" i="1"/>
  <c r="BG1373" i="1"/>
  <c r="BF1373" i="1"/>
  <c r="CI1373" i="1" s="1"/>
  <c r="CJ1373" i="1" s="1"/>
  <c r="N1373" i="1"/>
  <c r="BH2563" i="1"/>
  <c r="BG2563" i="1"/>
  <c r="BF2563" i="1"/>
  <c r="N2563" i="1"/>
  <c r="BH2562" i="1"/>
  <c r="BG2562" i="1"/>
  <c r="BF2562" i="1"/>
  <c r="N2562" i="1"/>
  <c r="BH2388" i="1"/>
  <c r="BG2388" i="1"/>
  <c r="N2388" i="1"/>
  <c r="BH1924" i="1"/>
  <c r="BG1924" i="1"/>
  <c r="BF1924" i="1"/>
  <c r="CI1924" i="1" s="1"/>
  <c r="CJ1924" i="1" s="1"/>
  <c r="N1924" i="1"/>
  <c r="BH1148" i="1"/>
  <c r="BG1148" i="1"/>
  <c r="N1148" i="1"/>
  <c r="BH1701" i="1"/>
  <c r="BG1701" i="1"/>
  <c r="BF1701" i="1"/>
  <c r="N1701" i="1"/>
  <c r="BK682" i="1"/>
  <c r="BI682" i="1"/>
  <c r="BH682" i="1"/>
  <c r="R682" i="1" s="1"/>
  <c r="BG682" i="1"/>
  <c r="BF682" i="1"/>
  <c r="N682" i="1"/>
  <c r="BH2353" i="1"/>
  <c r="BG2353" i="1"/>
  <c r="BF2353" i="1"/>
  <c r="CI2353" i="1" s="1"/>
  <c r="CJ2353" i="1" s="1"/>
  <c r="N2353" i="1"/>
  <c r="BH697" i="1"/>
  <c r="BG697" i="1"/>
  <c r="BF697" i="1"/>
  <c r="CI697" i="1" s="1"/>
  <c r="CJ697" i="1" s="1"/>
  <c r="N697" i="1"/>
  <c r="BH2348" i="1"/>
  <c r="BG2348" i="1"/>
  <c r="BF2348" i="1"/>
  <c r="CI2348" i="1" s="1"/>
  <c r="CJ2348" i="1" s="1"/>
  <c r="N2348" i="1"/>
  <c r="BH2333" i="1"/>
  <c r="BG2333" i="1"/>
  <c r="BF2333" i="1"/>
  <c r="N2333" i="1"/>
  <c r="BH2055" i="1"/>
  <c r="BG2055" i="1"/>
  <c r="N2055" i="1"/>
  <c r="BH312" i="1"/>
  <c r="BG312" i="1"/>
  <c r="BR312" i="1" s="1"/>
  <c r="CA312" i="1" s="1"/>
  <c r="BF312" i="1"/>
  <c r="CI312" i="1" s="1"/>
  <c r="CJ312" i="1" s="1"/>
  <c r="BH2543" i="1"/>
  <c r="BG2543" i="1"/>
  <c r="BF2543" i="1"/>
  <c r="CI2543" i="1" s="1"/>
  <c r="CJ2543" i="1" s="1"/>
  <c r="N2543" i="1"/>
  <c r="BH2126" i="1"/>
  <c r="BH378" i="1"/>
  <c r="BG378" i="1"/>
  <c r="BF378" i="1"/>
  <c r="CI378" i="1" s="1"/>
  <c r="CJ378" i="1" s="1"/>
  <c r="N378" i="1"/>
  <c r="BK1729" i="1"/>
  <c r="BI1729" i="1"/>
  <c r="BH1729" i="1"/>
  <c r="R1729" i="1" s="1"/>
  <c r="BG1729" i="1"/>
  <c r="BF1729" i="1"/>
  <c r="N1729" i="1"/>
  <c r="BH2442" i="1"/>
  <c r="BG2442" i="1"/>
  <c r="BF2442" i="1"/>
  <c r="CI2442" i="1" s="1"/>
  <c r="CJ2442" i="1" s="1"/>
  <c r="N2442" i="1"/>
  <c r="BH2367" i="1"/>
  <c r="BG2367" i="1"/>
  <c r="BR2367" i="1" s="1"/>
  <c r="CA2367" i="1" s="1"/>
  <c r="BF2367" i="1"/>
  <c r="CI2367" i="1" s="1"/>
  <c r="CJ2367" i="1" s="1"/>
  <c r="BH2402" i="1"/>
  <c r="BG2402" i="1"/>
  <c r="BF2402" i="1"/>
  <c r="N2402" i="1"/>
  <c r="BH483" i="1"/>
  <c r="BG483" i="1"/>
  <c r="BF483" i="1"/>
  <c r="N483" i="1"/>
  <c r="BH686" i="1"/>
  <c r="BG686" i="1"/>
  <c r="BR686" i="1" s="1"/>
  <c r="CA686" i="1" s="1"/>
  <c r="BF686" i="1"/>
  <c r="CI686" i="1" s="1"/>
  <c r="CJ686" i="1" s="1"/>
  <c r="BH1164" i="1"/>
  <c r="BG1164" i="1"/>
  <c r="BR1164" i="1" s="1"/>
  <c r="CA1164" i="1" s="1"/>
  <c r="BF1164" i="1"/>
  <c r="CI1164" i="1" s="1"/>
  <c r="CJ1164" i="1" s="1"/>
  <c r="BH695" i="1"/>
  <c r="BG695" i="1"/>
  <c r="BF695" i="1"/>
  <c r="CI695" i="1" s="1"/>
  <c r="CJ695" i="1" s="1"/>
  <c r="N695" i="1"/>
  <c r="BH491" i="1"/>
  <c r="BG491" i="1"/>
  <c r="BF491" i="1"/>
  <c r="CI491" i="1" s="1"/>
  <c r="CJ491" i="1" s="1"/>
  <c r="N491" i="1"/>
  <c r="BK635" i="1"/>
  <c r="BI635" i="1"/>
  <c r="BH635" i="1"/>
  <c r="R635" i="1" s="1"/>
  <c r="BG635" i="1"/>
  <c r="BF635" i="1"/>
  <c r="N635" i="1"/>
  <c r="BH2559" i="1"/>
  <c r="BG2559" i="1"/>
  <c r="BF2559" i="1"/>
  <c r="N2559" i="1"/>
  <c r="BH671" i="1"/>
  <c r="BG671" i="1"/>
  <c r="BF671" i="1"/>
  <c r="CI671" i="1" s="1"/>
  <c r="CJ671" i="1" s="1"/>
  <c r="N671" i="1"/>
  <c r="BH2000" i="1"/>
  <c r="BG2000" i="1"/>
  <c r="BF2000" i="1"/>
  <c r="CI2000" i="1" s="1"/>
  <c r="CJ2000" i="1" s="1"/>
  <c r="N2000" i="1"/>
  <c r="BH2557" i="1"/>
  <c r="BG2557" i="1"/>
  <c r="BF2557" i="1"/>
  <c r="CI2557" i="1" s="1"/>
  <c r="CJ2557" i="1" s="1"/>
  <c r="N2557" i="1"/>
  <c r="BH2155" i="1"/>
  <c r="BG2155" i="1"/>
  <c r="BR2155" i="1" s="1"/>
  <c r="CA2155" i="1" s="1"/>
  <c r="BF2155" i="1"/>
  <c r="CI2155" i="1" s="1"/>
  <c r="CJ2155" i="1" s="1"/>
  <c r="BH1404" i="1"/>
  <c r="BG1404" i="1"/>
  <c r="BF1404" i="1"/>
  <c r="CI1404" i="1" s="1"/>
  <c r="CJ1404" i="1" s="1"/>
  <c r="N1404" i="1"/>
  <c r="BH932" i="1"/>
  <c r="BG932" i="1"/>
  <c r="BF932" i="1"/>
  <c r="CI932" i="1" s="1"/>
  <c r="CJ932" i="1" s="1"/>
  <c r="N932" i="1"/>
  <c r="BH2035" i="1"/>
  <c r="BG2035" i="1"/>
  <c r="BR2035" i="1" s="1"/>
  <c r="CA2035" i="1" s="1"/>
  <c r="BF2035" i="1"/>
  <c r="CI2035" i="1" s="1"/>
  <c r="CJ2035" i="1" s="1"/>
  <c r="BH1918" i="1"/>
  <c r="BG1918" i="1"/>
  <c r="BR1918" i="1" s="1"/>
  <c r="CA1918" i="1" s="1"/>
  <c r="BF1918" i="1"/>
  <c r="CI1918" i="1" s="1"/>
  <c r="CJ1918" i="1" s="1"/>
  <c r="BK1594" i="1"/>
  <c r="BI1594" i="1"/>
  <c r="BH1594" i="1"/>
  <c r="R1594" i="1" s="1"/>
  <c r="BG1594" i="1"/>
  <c r="BF1594" i="1"/>
  <c r="N1594" i="1"/>
  <c r="BH128" i="1"/>
  <c r="BG128" i="1"/>
  <c r="BF128" i="1"/>
  <c r="N128" i="1"/>
  <c r="BK2437" i="1"/>
  <c r="BI2437" i="1"/>
  <c r="BH2437" i="1"/>
  <c r="R2437" i="1" s="1"/>
  <c r="BG2437" i="1"/>
  <c r="BF2437" i="1"/>
  <c r="N2437" i="1"/>
  <c r="BK1104" i="1"/>
  <c r="BI1104" i="1"/>
  <c r="BH1104" i="1"/>
  <c r="R1104" i="1" s="1"/>
  <c r="BG1104" i="1"/>
  <c r="N1104" i="1"/>
  <c r="BK313" i="1"/>
  <c r="BI313" i="1"/>
  <c r="BH313" i="1"/>
  <c r="R313" i="1" s="1"/>
  <c r="BG313" i="1"/>
  <c r="BF313" i="1"/>
  <c r="N313" i="1"/>
  <c r="BK481" i="1"/>
  <c r="BI481" i="1"/>
  <c r="BH481" i="1"/>
  <c r="R481" i="1" s="1"/>
  <c r="BG481" i="1"/>
  <c r="BF481" i="1"/>
  <c r="N481" i="1"/>
  <c r="BK1826" i="1"/>
  <c r="BI1826" i="1"/>
  <c r="BH1826" i="1"/>
  <c r="R1826" i="1" s="1"/>
  <c r="BG1826" i="1"/>
  <c r="BR1826" i="1" s="1"/>
  <c r="CA1826" i="1" s="1"/>
  <c r="BF1826" i="1"/>
  <c r="BK2556" i="1"/>
  <c r="BI2556" i="1"/>
  <c r="BH2556" i="1"/>
  <c r="R2556" i="1" s="1"/>
  <c r="Q2556" i="1"/>
  <c r="N2556" i="1"/>
  <c r="BK2409" i="1"/>
  <c r="BI2409" i="1"/>
  <c r="BH2409" i="1"/>
  <c r="R2409" i="1" s="1"/>
  <c r="BG2409" i="1"/>
  <c r="BF2409" i="1"/>
  <c r="N2409" i="1"/>
  <c r="BK471" i="1"/>
  <c r="BI471" i="1"/>
  <c r="BH471" i="1"/>
  <c r="R471" i="1" s="1"/>
  <c r="BG471" i="1"/>
  <c r="BF471" i="1"/>
  <c r="CI471" i="1" s="1"/>
  <c r="CJ471" i="1" s="1"/>
  <c r="N471" i="1"/>
  <c r="BK2606" i="1"/>
  <c r="BI2606" i="1"/>
  <c r="BH2606" i="1"/>
  <c r="R2606" i="1" s="1"/>
  <c r="BG2606" i="1"/>
  <c r="BF2606" i="1"/>
  <c r="CI2606" i="1" s="1"/>
  <c r="CJ2606" i="1" s="1"/>
  <c r="N2606" i="1"/>
  <c r="BK2555" i="1"/>
  <c r="BI2555" i="1"/>
  <c r="BH2555" i="1"/>
  <c r="R2555" i="1" s="1"/>
  <c r="BG2555" i="1"/>
  <c r="BF2555" i="1"/>
  <c r="CI2555" i="1" s="1"/>
  <c r="CJ2555" i="1" s="1"/>
  <c r="N2555" i="1"/>
  <c r="BH967" i="1"/>
  <c r="BG967" i="1"/>
  <c r="BF967" i="1"/>
  <c r="CI967" i="1" s="1"/>
  <c r="CJ967" i="1" s="1"/>
  <c r="N967" i="1"/>
  <c r="BH2554" i="1"/>
  <c r="BG2554" i="1"/>
  <c r="BF2554" i="1"/>
  <c r="N2554" i="1"/>
  <c r="BH2423" i="1"/>
  <c r="BG2423" i="1"/>
  <c r="BF2423" i="1"/>
  <c r="CI2423" i="1" s="1"/>
  <c r="CJ2423" i="1" s="1"/>
  <c r="N2423" i="1"/>
  <c r="BH1856" i="1"/>
  <c r="BG1856" i="1"/>
  <c r="N1856" i="1"/>
  <c r="BH108" i="1"/>
  <c r="BG108" i="1"/>
  <c r="BF108" i="1"/>
  <c r="N108" i="1"/>
  <c r="BQ2030" i="1" l="1"/>
  <c r="CI2030" i="1"/>
  <c r="CJ2030" i="1" s="1"/>
  <c r="BQ3174" i="1"/>
  <c r="CI3174" i="1"/>
  <c r="CJ3174" i="1" s="1"/>
  <c r="BQ564" i="1"/>
  <c r="CI564" i="1"/>
  <c r="CJ564" i="1" s="1"/>
  <c r="BQ1667" i="1"/>
  <c r="CI1667" i="1"/>
  <c r="CJ1667" i="1" s="1"/>
  <c r="BQ2056" i="1"/>
  <c r="CI2056" i="1"/>
  <c r="CJ2056" i="1" s="1"/>
  <c r="BQ2139" i="1"/>
  <c r="CI2139" i="1"/>
  <c r="CJ2139" i="1" s="1"/>
  <c r="BQ325" i="1"/>
  <c r="CI325" i="1"/>
  <c r="CJ325" i="1" s="1"/>
  <c r="BQ2317" i="1"/>
  <c r="CI2317" i="1"/>
  <c r="CJ2317" i="1" s="1"/>
  <c r="BQ1854" i="1"/>
  <c r="CI1854" i="1"/>
  <c r="CJ1854" i="1" s="1"/>
  <c r="BQ1439" i="1"/>
  <c r="CI1439" i="1"/>
  <c r="CJ1439" i="1" s="1"/>
  <c r="BQ1365" i="1"/>
  <c r="CI1365" i="1"/>
  <c r="CJ1365" i="1" s="1"/>
  <c r="BQ128" i="1"/>
  <c r="CI128" i="1"/>
  <c r="CJ128" i="1" s="1"/>
  <c r="BQ600" i="1"/>
  <c r="CI600" i="1"/>
  <c r="CJ600" i="1" s="1"/>
  <c r="BQ369" i="1"/>
  <c r="CI369" i="1"/>
  <c r="CJ369" i="1" s="1"/>
  <c r="BQ139" i="1"/>
  <c r="CI139" i="1"/>
  <c r="CJ139" i="1" s="1"/>
  <c r="BQ720" i="1"/>
  <c r="CI720" i="1"/>
  <c r="CJ720" i="1" s="1"/>
  <c r="BQ943" i="1"/>
  <c r="CI943" i="1"/>
  <c r="CJ943" i="1" s="1"/>
  <c r="BQ1788" i="1"/>
  <c r="CI1788" i="1"/>
  <c r="CJ1788" i="1" s="1"/>
  <c r="BQ324" i="1"/>
  <c r="CI324" i="1"/>
  <c r="CJ324" i="1" s="1"/>
  <c r="BQ2436" i="1"/>
  <c r="CI2436" i="1"/>
  <c r="CJ2436" i="1" s="1"/>
  <c r="BQ1355" i="1"/>
  <c r="CI1355" i="1"/>
  <c r="CJ1355" i="1" s="1"/>
  <c r="BQ1580" i="1"/>
  <c r="CI1580" i="1"/>
  <c r="CJ1580" i="1" s="1"/>
  <c r="BQ2264" i="1"/>
  <c r="CI2264" i="1"/>
  <c r="CJ2264" i="1" s="1"/>
  <c r="BQ2049" i="1"/>
  <c r="CI2049" i="1"/>
  <c r="CJ2049" i="1" s="1"/>
  <c r="BQ1464" i="1"/>
  <c r="CI1464" i="1"/>
  <c r="CJ1464" i="1" s="1"/>
  <c r="BQ2465" i="1"/>
  <c r="CI2465" i="1"/>
  <c r="CJ2465" i="1" s="1"/>
  <c r="BQ1158" i="1"/>
  <c r="CI1158" i="1"/>
  <c r="CJ1158" i="1" s="1"/>
  <c r="BQ435" i="1"/>
  <c r="CI435" i="1"/>
  <c r="CJ435" i="1" s="1"/>
  <c r="BQ540" i="1"/>
  <c r="CI540" i="1"/>
  <c r="CJ540" i="1" s="1"/>
  <c r="BQ2159" i="1"/>
  <c r="CI2159" i="1"/>
  <c r="CJ2159" i="1" s="1"/>
  <c r="BQ2655" i="1"/>
  <c r="CI2655" i="1"/>
  <c r="CJ2655" i="1" s="1"/>
  <c r="BQ1780" i="1"/>
  <c r="CI1780" i="1"/>
  <c r="CJ1780" i="1" s="1"/>
  <c r="BQ2661" i="1"/>
  <c r="CI2661" i="1"/>
  <c r="CJ2661" i="1" s="1"/>
  <c r="BQ1253" i="1"/>
  <c r="CI1253" i="1"/>
  <c r="CJ1253" i="1" s="1"/>
  <c r="BQ1629" i="1"/>
  <c r="CI1629" i="1"/>
  <c r="CJ1629" i="1" s="1"/>
  <c r="BQ2665" i="1"/>
  <c r="CI2665" i="1"/>
  <c r="CJ2665" i="1" s="1"/>
  <c r="BQ1526" i="1"/>
  <c r="CI1526" i="1"/>
  <c r="CJ1526" i="1" s="1"/>
  <c r="BQ1062" i="1"/>
  <c r="CI1062" i="1"/>
  <c r="CJ1062" i="1" s="1"/>
  <c r="BQ2541" i="1"/>
  <c r="CI2541" i="1"/>
  <c r="CJ2541" i="1" s="1"/>
  <c r="BQ2445" i="1"/>
  <c r="CI2445" i="1"/>
  <c r="CJ2445" i="1" s="1"/>
  <c r="BQ383" i="1"/>
  <c r="CI383" i="1"/>
  <c r="CJ383" i="1" s="1"/>
  <c r="BQ2011" i="1"/>
  <c r="CI2011" i="1"/>
  <c r="CJ2011" i="1" s="1"/>
  <c r="BQ2719" i="1"/>
  <c r="CI2719" i="1"/>
  <c r="CJ2719" i="1" s="1"/>
  <c r="BQ1359" i="1"/>
  <c r="CI1359" i="1"/>
  <c r="CJ1359" i="1" s="1"/>
  <c r="BQ780" i="1"/>
  <c r="CI780" i="1"/>
  <c r="CJ780" i="1" s="1"/>
  <c r="BQ1244" i="1"/>
  <c r="CI1244" i="1"/>
  <c r="CJ1244" i="1" s="1"/>
  <c r="BQ554" i="1"/>
  <c r="CI554" i="1"/>
  <c r="CJ554" i="1" s="1"/>
  <c r="BQ1981" i="1"/>
  <c r="CI1981" i="1"/>
  <c r="CJ1981" i="1" s="1"/>
  <c r="BQ2733" i="1"/>
  <c r="CI2733" i="1"/>
  <c r="CJ2733" i="1" s="1"/>
  <c r="BQ400" i="1"/>
  <c r="CI400" i="1"/>
  <c r="CJ400" i="1" s="1"/>
  <c r="BQ1395" i="1"/>
  <c r="CI1395" i="1"/>
  <c r="CJ1395" i="1" s="1"/>
  <c r="BQ768" i="1"/>
  <c r="CI768" i="1"/>
  <c r="CJ768" i="1" s="1"/>
  <c r="BQ2230" i="1"/>
  <c r="CI2230" i="1"/>
  <c r="CJ2230" i="1" s="1"/>
  <c r="BQ2175" i="1"/>
  <c r="CI2175" i="1"/>
  <c r="CJ2175" i="1" s="1"/>
  <c r="BQ1436" i="1"/>
  <c r="CI1436" i="1"/>
  <c r="CJ1436" i="1" s="1"/>
  <c r="BQ2766" i="1"/>
  <c r="CI2766" i="1"/>
  <c r="CJ2766" i="1" s="1"/>
  <c r="BQ172" i="1"/>
  <c r="CI172" i="1"/>
  <c r="CJ172" i="1" s="1"/>
  <c r="BQ2238" i="1"/>
  <c r="CI2238" i="1"/>
  <c r="CJ2238" i="1" s="1"/>
  <c r="BQ1544" i="1"/>
  <c r="CI1544" i="1"/>
  <c r="CJ1544" i="1" s="1"/>
  <c r="BQ2804" i="1"/>
  <c r="CI2804" i="1"/>
  <c r="CJ2804" i="1" s="1"/>
  <c r="BQ1874" i="1"/>
  <c r="CI1874" i="1"/>
  <c r="CJ1874" i="1" s="1"/>
  <c r="BQ1964" i="1"/>
  <c r="CI1964" i="1"/>
  <c r="CJ1964" i="1" s="1"/>
  <c r="BQ2151" i="1"/>
  <c r="CI2151" i="1"/>
  <c r="CJ2151" i="1" s="1"/>
  <c r="BQ142" i="1"/>
  <c r="CI142" i="1"/>
  <c r="CJ142" i="1" s="1"/>
  <c r="BQ457" i="1"/>
  <c r="CI457" i="1"/>
  <c r="CJ457" i="1" s="1"/>
  <c r="BQ717" i="1"/>
  <c r="CI717" i="1"/>
  <c r="CJ717" i="1" s="1"/>
  <c r="BQ1920" i="1"/>
  <c r="CI1920" i="1"/>
  <c r="CJ1920" i="1" s="1"/>
  <c r="BQ913" i="1"/>
  <c r="CI913" i="1"/>
  <c r="CJ913" i="1" s="1"/>
  <c r="BQ11" i="1"/>
  <c r="CI11" i="1"/>
  <c r="CJ11" i="1" s="1"/>
  <c r="BQ2181" i="1"/>
  <c r="CI2181" i="1"/>
  <c r="CJ2181" i="1" s="1"/>
  <c r="BQ592" i="1"/>
  <c r="CI592" i="1"/>
  <c r="CJ592" i="1" s="1"/>
  <c r="BQ1117" i="1"/>
  <c r="CI1117" i="1"/>
  <c r="CJ1117" i="1" s="1"/>
  <c r="BQ2842" i="1"/>
  <c r="CI2842" i="1"/>
  <c r="CJ2842" i="1" s="1"/>
  <c r="BQ1371" i="1"/>
  <c r="CI1371" i="1"/>
  <c r="CJ1371" i="1" s="1"/>
  <c r="BQ2284" i="1"/>
  <c r="CI2284" i="1"/>
  <c r="CJ2284" i="1" s="1"/>
  <c r="BQ952" i="1"/>
  <c r="CI952" i="1"/>
  <c r="CJ952" i="1" s="1"/>
  <c r="BQ2094" i="1"/>
  <c r="CI2094" i="1"/>
  <c r="CJ2094" i="1" s="1"/>
  <c r="BQ1882" i="1"/>
  <c r="CI1882" i="1"/>
  <c r="CJ1882" i="1" s="1"/>
  <c r="BQ2161" i="1"/>
  <c r="CI2161" i="1"/>
  <c r="CJ2161" i="1" s="1"/>
  <c r="BQ321" i="1"/>
  <c r="CI321" i="1"/>
  <c r="CJ321" i="1" s="1"/>
  <c r="BQ2855" i="1"/>
  <c r="CI2855" i="1"/>
  <c r="CJ2855" i="1" s="1"/>
  <c r="BQ985" i="1"/>
  <c r="CI985" i="1"/>
  <c r="CJ985" i="1" s="1"/>
  <c r="BQ203" i="1"/>
  <c r="CI203" i="1"/>
  <c r="CJ203" i="1" s="1"/>
  <c r="BQ1913" i="1"/>
  <c r="CI1913" i="1"/>
  <c r="CJ1913" i="1" s="1"/>
  <c r="BQ1245" i="1"/>
  <c r="CI1245" i="1"/>
  <c r="CJ1245" i="1" s="1"/>
  <c r="BQ1782" i="1"/>
  <c r="CI1782" i="1"/>
  <c r="CJ1782" i="1" s="1"/>
  <c r="BQ2869" i="1"/>
  <c r="CI2869" i="1"/>
  <c r="CJ2869" i="1" s="1"/>
  <c r="BQ2875" i="1"/>
  <c r="CI2875" i="1"/>
  <c r="CJ2875" i="1" s="1"/>
  <c r="BQ10" i="1"/>
  <c r="CI10" i="1"/>
  <c r="CJ10" i="1" s="1"/>
  <c r="BQ853" i="1"/>
  <c r="CI853" i="1"/>
  <c r="CJ853" i="1" s="1"/>
  <c r="BQ845" i="1"/>
  <c r="CI845" i="1"/>
  <c r="CJ845" i="1" s="1"/>
  <c r="BQ979" i="1"/>
  <c r="CI979" i="1"/>
  <c r="CJ979" i="1" s="1"/>
  <c r="BQ2882" i="1"/>
  <c r="CI2882" i="1"/>
  <c r="CJ2882" i="1" s="1"/>
  <c r="BQ1224" i="1"/>
  <c r="CI1224" i="1"/>
  <c r="CJ1224" i="1" s="1"/>
  <c r="BQ2214" i="1"/>
  <c r="CI2214" i="1"/>
  <c r="CJ2214" i="1" s="1"/>
  <c r="BQ2233" i="1"/>
  <c r="CI2233" i="1"/>
  <c r="CJ2233" i="1" s="1"/>
  <c r="BQ1086" i="1"/>
  <c r="CI1086" i="1"/>
  <c r="CJ1086" i="1" s="1"/>
  <c r="BQ1678" i="1"/>
  <c r="CI1678" i="1"/>
  <c r="CJ1678" i="1" s="1"/>
  <c r="BQ1135" i="1"/>
  <c r="CI1135" i="1"/>
  <c r="CJ1135" i="1" s="1"/>
  <c r="BQ980" i="1"/>
  <c r="CI980" i="1"/>
  <c r="CJ980" i="1" s="1"/>
  <c r="BQ2540" i="1"/>
  <c r="CI2540" i="1"/>
  <c r="CJ2540" i="1" s="1"/>
  <c r="BQ2190" i="1"/>
  <c r="CI2190" i="1"/>
  <c r="CJ2190" i="1" s="1"/>
  <c r="BQ1424" i="1"/>
  <c r="CI1424" i="1"/>
  <c r="CJ1424" i="1" s="1"/>
  <c r="BQ2913" i="1"/>
  <c r="CI2913" i="1"/>
  <c r="CJ2913" i="1" s="1"/>
  <c r="BQ472" i="1"/>
  <c r="CI472" i="1"/>
  <c r="CJ472" i="1" s="1"/>
  <c r="BQ2915" i="1"/>
  <c r="CI2915" i="1"/>
  <c r="CJ2915" i="1" s="1"/>
  <c r="BQ309" i="1"/>
  <c r="CI309" i="1"/>
  <c r="CJ309" i="1" s="1"/>
  <c r="BQ2502" i="1"/>
  <c r="CI2502" i="1"/>
  <c r="CJ2502" i="1" s="1"/>
  <c r="BQ2918" i="1"/>
  <c r="CI2918" i="1"/>
  <c r="CJ2918" i="1" s="1"/>
  <c r="BQ200" i="1"/>
  <c r="CI200" i="1"/>
  <c r="CJ200" i="1" s="1"/>
  <c r="BQ17" i="1"/>
  <c r="CI17" i="1"/>
  <c r="CJ17" i="1" s="1"/>
  <c r="BQ2345" i="1"/>
  <c r="CI2345" i="1"/>
  <c r="CJ2345" i="1" s="1"/>
  <c r="BQ1195" i="1"/>
  <c r="CI1195" i="1"/>
  <c r="CJ1195" i="1" s="1"/>
  <c r="BQ745" i="1"/>
  <c r="CI745" i="1"/>
  <c r="CJ745" i="1" s="1"/>
  <c r="BQ2929" i="1"/>
  <c r="CI2929" i="1"/>
  <c r="CJ2929" i="1" s="1"/>
  <c r="BQ2023" i="1"/>
  <c r="CI2023" i="1"/>
  <c r="CJ2023" i="1" s="1"/>
  <c r="BQ1264" i="1"/>
  <c r="CI1264" i="1"/>
  <c r="CJ1264" i="1" s="1"/>
  <c r="BQ1969" i="1"/>
  <c r="CI1969" i="1"/>
  <c r="CJ1969" i="1" s="1"/>
  <c r="BQ1838" i="1"/>
  <c r="CI1838" i="1"/>
  <c r="CJ1838" i="1" s="1"/>
  <c r="BQ2428" i="1"/>
  <c r="CI2428" i="1"/>
  <c r="CJ2428" i="1" s="1"/>
  <c r="BQ1917" i="1"/>
  <c r="CI1917" i="1"/>
  <c r="CJ1917" i="1" s="1"/>
  <c r="BQ2184" i="1"/>
  <c r="CI2184" i="1"/>
  <c r="CJ2184" i="1" s="1"/>
  <c r="BQ820" i="1"/>
  <c r="CI820" i="1"/>
  <c r="CJ820" i="1" s="1"/>
  <c r="BQ647" i="1"/>
  <c r="CI647" i="1"/>
  <c r="CJ647" i="1" s="1"/>
  <c r="BQ192" i="1"/>
  <c r="CI192" i="1"/>
  <c r="CJ192" i="1" s="1"/>
  <c r="BQ2963" i="1"/>
  <c r="CI2963" i="1"/>
  <c r="CJ2963" i="1" s="1"/>
  <c r="BQ299" i="1"/>
  <c r="CI299" i="1"/>
  <c r="CJ299" i="1" s="1"/>
  <c r="BQ2966" i="1"/>
  <c r="CI2966" i="1"/>
  <c r="CJ2966" i="1" s="1"/>
  <c r="BQ674" i="1"/>
  <c r="CI674" i="1"/>
  <c r="CJ674" i="1" s="1"/>
  <c r="BQ2986" i="1"/>
  <c r="CI2986" i="1"/>
  <c r="CJ2986" i="1" s="1"/>
  <c r="BQ1351" i="1"/>
  <c r="CI1351" i="1"/>
  <c r="CJ1351" i="1" s="1"/>
  <c r="BQ1737" i="1"/>
  <c r="CI1737" i="1"/>
  <c r="CJ1737" i="1" s="1"/>
  <c r="BQ1378" i="1"/>
  <c r="CI1378" i="1"/>
  <c r="CJ1378" i="1" s="1"/>
  <c r="BQ402" i="1"/>
  <c r="CI402" i="1"/>
  <c r="CJ402" i="1" s="1"/>
  <c r="BQ747" i="1"/>
  <c r="CI747" i="1"/>
  <c r="CJ747" i="1" s="1"/>
  <c r="BQ1669" i="1"/>
  <c r="CI1669" i="1"/>
  <c r="CJ1669" i="1" s="1"/>
  <c r="BQ2511" i="1"/>
  <c r="CI2511" i="1"/>
  <c r="CJ2511" i="1" s="1"/>
  <c r="BQ900" i="1"/>
  <c r="CI900" i="1"/>
  <c r="CJ900" i="1" s="1"/>
  <c r="BQ438" i="1"/>
  <c r="CI438" i="1"/>
  <c r="CJ438" i="1" s="1"/>
  <c r="BQ1482" i="1"/>
  <c r="CI1482" i="1"/>
  <c r="CJ1482" i="1" s="1"/>
  <c r="BQ3019" i="1"/>
  <c r="CI3019" i="1"/>
  <c r="CJ3019" i="1" s="1"/>
  <c r="BQ3034" i="1"/>
  <c r="CI3034" i="1"/>
  <c r="CJ3034" i="1" s="1"/>
  <c r="BQ3035" i="1"/>
  <c r="CI3035" i="1"/>
  <c r="CJ3035" i="1" s="1"/>
  <c r="BQ3039" i="1"/>
  <c r="CI3039" i="1"/>
  <c r="CJ3039" i="1" s="1"/>
  <c r="BQ1247" i="1"/>
  <c r="CI1247" i="1"/>
  <c r="CJ1247" i="1" s="1"/>
  <c r="BQ3047" i="1"/>
  <c r="CI3047" i="1"/>
  <c r="CJ3047" i="1" s="1"/>
  <c r="BQ990" i="1"/>
  <c r="CI990" i="1"/>
  <c r="CJ990" i="1" s="1"/>
  <c r="BQ2281" i="1"/>
  <c r="CI2281" i="1"/>
  <c r="CJ2281" i="1" s="1"/>
  <c r="BQ1075" i="1"/>
  <c r="CI1075" i="1"/>
  <c r="CJ1075" i="1" s="1"/>
  <c r="BQ944" i="1"/>
  <c r="CI944" i="1"/>
  <c r="CJ944" i="1" s="1"/>
  <c r="BQ3022" i="1"/>
  <c r="CI3022" i="1"/>
  <c r="CJ3022" i="1" s="1"/>
  <c r="BQ958" i="1"/>
  <c r="CI958" i="1"/>
  <c r="CJ958" i="1" s="1"/>
  <c r="BQ611" i="1"/>
  <c r="CI611" i="1"/>
  <c r="CJ611" i="1" s="1"/>
  <c r="BQ1318" i="1"/>
  <c r="CI1318" i="1"/>
  <c r="CJ1318" i="1" s="1"/>
  <c r="BQ953" i="1"/>
  <c r="CI953" i="1"/>
  <c r="CJ953" i="1" s="1"/>
  <c r="BQ581" i="1"/>
  <c r="CI581" i="1"/>
  <c r="CJ581" i="1" s="1"/>
  <c r="BQ3095" i="1"/>
  <c r="CI3095" i="1"/>
  <c r="CJ3095" i="1" s="1"/>
  <c r="BQ1725" i="1"/>
  <c r="CI1725" i="1"/>
  <c r="CJ1725" i="1" s="1"/>
  <c r="BQ1177" i="1"/>
  <c r="CI1177" i="1"/>
  <c r="CJ1177" i="1" s="1"/>
  <c r="BQ1733" i="1"/>
  <c r="CI1733" i="1"/>
  <c r="CJ1733" i="1" s="1"/>
  <c r="BQ1193" i="1"/>
  <c r="CI1193" i="1"/>
  <c r="CJ1193" i="1" s="1"/>
  <c r="BQ2354" i="1"/>
  <c r="CI2354" i="1"/>
  <c r="CJ2354" i="1" s="1"/>
  <c r="BQ3162" i="1"/>
  <c r="CI3162" i="1"/>
  <c r="CJ3162" i="1" s="1"/>
  <c r="BQ1819" i="1"/>
  <c r="CI1819" i="1"/>
  <c r="CJ1819" i="1" s="1"/>
  <c r="BQ576" i="1"/>
  <c r="CI576" i="1"/>
  <c r="CJ576" i="1" s="1"/>
  <c r="BQ2129" i="1"/>
  <c r="CI2129" i="1"/>
  <c r="CJ2129" i="1" s="1"/>
  <c r="BQ3180" i="1"/>
  <c r="CI3180" i="1"/>
  <c r="CJ3180" i="1" s="1"/>
  <c r="BQ3184" i="1"/>
  <c r="CI3184" i="1"/>
  <c r="CJ3184" i="1" s="1"/>
  <c r="BQ496" i="1"/>
  <c r="CI496" i="1"/>
  <c r="CJ496" i="1" s="1"/>
  <c r="BQ2368" i="1"/>
  <c r="CI2368" i="1"/>
  <c r="CJ2368" i="1" s="1"/>
  <c r="BQ1067" i="1"/>
  <c r="CI1067" i="1"/>
  <c r="CJ1067" i="1" s="1"/>
  <c r="BQ288" i="1"/>
  <c r="CI288" i="1"/>
  <c r="CJ288" i="1" s="1"/>
  <c r="BQ2409" i="1"/>
  <c r="CI2409" i="1"/>
  <c r="CJ2409" i="1" s="1"/>
  <c r="BQ481" i="1"/>
  <c r="CI481" i="1"/>
  <c r="CJ481" i="1" s="1"/>
  <c r="BQ1701" i="1"/>
  <c r="CI1701" i="1"/>
  <c r="CJ1701" i="1" s="1"/>
  <c r="BQ2565" i="1"/>
  <c r="CI2565" i="1"/>
  <c r="CJ2565" i="1" s="1"/>
  <c r="BQ2570" i="1"/>
  <c r="CI2570" i="1"/>
  <c r="CJ2570" i="1" s="1"/>
  <c r="BQ2571" i="1"/>
  <c r="CI2571" i="1"/>
  <c r="CJ2571" i="1" s="1"/>
  <c r="BQ2022" i="1"/>
  <c r="CI2022" i="1"/>
  <c r="CJ2022" i="1" s="1"/>
  <c r="BQ2494" i="1"/>
  <c r="CI2494" i="1"/>
  <c r="CJ2494" i="1" s="1"/>
  <c r="BQ187" i="1"/>
  <c r="CI187" i="1"/>
  <c r="CJ187" i="1" s="1"/>
  <c r="BQ148" i="1"/>
  <c r="CI148" i="1"/>
  <c r="CJ148" i="1" s="1"/>
  <c r="BQ2580" i="1"/>
  <c r="CI2580" i="1"/>
  <c r="CJ2580" i="1" s="1"/>
  <c r="BQ453" i="1"/>
  <c r="CI453" i="1"/>
  <c r="CJ453" i="1" s="1"/>
  <c r="BQ13" i="1"/>
  <c r="CI13" i="1"/>
  <c r="CJ13" i="1" s="1"/>
  <c r="BQ982" i="1"/>
  <c r="CI982" i="1"/>
  <c r="CJ982" i="1" s="1"/>
  <c r="BQ518" i="1"/>
  <c r="CI518" i="1"/>
  <c r="CJ518" i="1" s="1"/>
  <c r="BQ2585" i="1"/>
  <c r="CI2585" i="1"/>
  <c r="CJ2585" i="1" s="1"/>
  <c r="BQ130" i="1"/>
  <c r="CI130" i="1"/>
  <c r="CJ130" i="1" s="1"/>
  <c r="BQ1714" i="1"/>
  <c r="CI1714" i="1"/>
  <c r="CJ1714" i="1" s="1"/>
  <c r="BQ1907" i="1"/>
  <c r="CI1907" i="1"/>
  <c r="CJ1907" i="1" s="1"/>
  <c r="BQ1269" i="1"/>
  <c r="CI1269" i="1"/>
  <c r="CJ1269" i="1" s="1"/>
  <c r="BQ2614" i="1"/>
  <c r="CI2614" i="1"/>
  <c r="CJ2614" i="1" s="1"/>
  <c r="BQ1151" i="1"/>
  <c r="CI1151" i="1"/>
  <c r="CJ1151" i="1" s="1"/>
  <c r="BQ2024" i="1"/>
  <c r="CI2024" i="1"/>
  <c r="CJ2024" i="1" s="1"/>
  <c r="BQ1694" i="1"/>
  <c r="CI1694" i="1"/>
  <c r="CJ1694" i="1" s="1"/>
  <c r="BQ2259" i="1"/>
  <c r="CI2259" i="1"/>
  <c r="CJ2259" i="1" s="1"/>
  <c r="BQ992" i="1"/>
  <c r="CI992" i="1"/>
  <c r="CJ992" i="1" s="1"/>
  <c r="BQ1453" i="1"/>
  <c r="CI1453" i="1"/>
  <c r="CJ1453" i="1" s="1"/>
  <c r="BQ2440" i="1"/>
  <c r="CI2440" i="1"/>
  <c r="CJ2440" i="1" s="1"/>
  <c r="BQ2031" i="1"/>
  <c r="CI2031" i="1"/>
  <c r="CJ2031" i="1" s="1"/>
  <c r="BQ1231" i="1"/>
  <c r="CI1231" i="1"/>
  <c r="CJ1231" i="1" s="1"/>
  <c r="BQ1500" i="1"/>
  <c r="CI1500" i="1"/>
  <c r="CJ1500" i="1" s="1"/>
  <c r="BQ1503" i="1"/>
  <c r="CI1503" i="1"/>
  <c r="CJ1503" i="1" s="1"/>
  <c r="BQ2027" i="1"/>
  <c r="CI2027" i="1"/>
  <c r="CJ2027" i="1" s="1"/>
  <c r="BQ1292" i="1"/>
  <c r="CI1292" i="1"/>
  <c r="CJ1292" i="1" s="1"/>
  <c r="BQ904" i="1"/>
  <c r="CI904" i="1"/>
  <c r="CJ904" i="1" s="1"/>
  <c r="BQ2477" i="1"/>
  <c r="CI2477" i="1"/>
  <c r="CJ2477" i="1" s="1"/>
  <c r="BQ1565" i="1"/>
  <c r="CI1565" i="1"/>
  <c r="CJ1565" i="1" s="1"/>
  <c r="BQ356" i="1"/>
  <c r="CI356" i="1"/>
  <c r="CJ356" i="1" s="1"/>
  <c r="BQ1369" i="1"/>
  <c r="CI1369" i="1"/>
  <c r="CJ1369" i="1" s="1"/>
  <c r="BQ2710" i="1"/>
  <c r="CI2710" i="1"/>
  <c r="CJ2710" i="1" s="1"/>
  <c r="BQ1680" i="1"/>
  <c r="CI1680" i="1"/>
  <c r="CJ1680" i="1" s="1"/>
  <c r="BQ1588" i="1"/>
  <c r="CI1588" i="1"/>
  <c r="CJ1588" i="1" s="1"/>
  <c r="BQ1596" i="1"/>
  <c r="CI1596" i="1"/>
  <c r="CJ1596" i="1" s="1"/>
  <c r="BQ2730" i="1"/>
  <c r="CI2730" i="1"/>
  <c r="CJ2730" i="1" s="1"/>
  <c r="BQ2106" i="1"/>
  <c r="CI2106" i="1"/>
  <c r="CJ2106" i="1" s="1"/>
  <c r="BQ2742" i="1"/>
  <c r="CI2742" i="1"/>
  <c r="CJ2742" i="1" s="1"/>
  <c r="BQ1813" i="1"/>
  <c r="CI1813" i="1"/>
  <c r="CJ1813" i="1" s="1"/>
  <c r="BQ1646" i="1"/>
  <c r="CI1646" i="1"/>
  <c r="CJ1646" i="1" s="1"/>
  <c r="BQ201" i="1"/>
  <c r="CI201" i="1"/>
  <c r="CJ201" i="1" s="1"/>
  <c r="BQ1199" i="1"/>
  <c r="CI1199" i="1"/>
  <c r="CJ1199" i="1" s="1"/>
  <c r="BQ431" i="1"/>
  <c r="CI431" i="1"/>
  <c r="CJ431" i="1" s="1"/>
  <c r="BQ2544" i="1"/>
  <c r="CI2544" i="1"/>
  <c r="CJ2544" i="1" s="1"/>
  <c r="BQ2441" i="1"/>
  <c r="CI2441" i="1"/>
  <c r="CJ2441" i="1" s="1"/>
  <c r="BQ1880" i="1"/>
  <c r="CI1880" i="1"/>
  <c r="CJ1880" i="1" s="1"/>
  <c r="BQ1084" i="1"/>
  <c r="CI1084" i="1"/>
  <c r="CJ1084" i="1" s="1"/>
  <c r="BQ2778" i="1"/>
  <c r="CI2778" i="1"/>
  <c r="CJ2778" i="1" s="1"/>
  <c r="BQ2408" i="1"/>
  <c r="CI2408" i="1"/>
  <c r="CJ2408" i="1" s="1"/>
  <c r="BQ1207" i="1"/>
  <c r="CI1207" i="1"/>
  <c r="CJ1207" i="1" s="1"/>
  <c r="BQ1315" i="1"/>
  <c r="CI1315" i="1"/>
  <c r="CJ1315" i="1" s="1"/>
  <c r="BQ1624" i="1"/>
  <c r="CI1624" i="1"/>
  <c r="CJ1624" i="1" s="1"/>
  <c r="BQ725" i="1"/>
  <c r="CI725" i="1"/>
  <c r="CJ725" i="1" s="1"/>
  <c r="BQ2808" i="1"/>
  <c r="CI2808" i="1"/>
  <c r="CJ2808" i="1" s="1"/>
  <c r="BQ882" i="1"/>
  <c r="CI882" i="1"/>
  <c r="CJ882" i="1" s="1"/>
  <c r="BQ2811" i="1"/>
  <c r="CI2811" i="1"/>
  <c r="CJ2811" i="1" s="1"/>
  <c r="BQ782" i="1"/>
  <c r="CI782" i="1"/>
  <c r="CJ782" i="1" s="1"/>
  <c r="BQ1300" i="1"/>
  <c r="CI1300" i="1"/>
  <c r="CJ1300" i="1" s="1"/>
  <c r="BQ963" i="1"/>
  <c r="CI963" i="1"/>
  <c r="CJ963" i="1" s="1"/>
  <c r="BQ821" i="1"/>
  <c r="CI821" i="1"/>
  <c r="CJ821" i="1" s="1"/>
  <c r="BQ178" i="1"/>
  <c r="CI178" i="1"/>
  <c r="CJ178" i="1" s="1"/>
  <c r="BQ447" i="1"/>
  <c r="CI447" i="1"/>
  <c r="CJ447" i="1" s="1"/>
  <c r="BQ1110" i="1"/>
  <c r="CI1110" i="1"/>
  <c r="CJ1110" i="1" s="1"/>
  <c r="BQ1801" i="1"/>
  <c r="CI1801" i="1"/>
  <c r="CJ1801" i="1" s="1"/>
  <c r="BQ1570" i="1"/>
  <c r="CI1570" i="1"/>
  <c r="CJ1570" i="1" s="1"/>
  <c r="BQ2834" i="1"/>
  <c r="CI2834" i="1"/>
  <c r="CJ2834" i="1" s="1"/>
  <c r="BQ593" i="1"/>
  <c r="CI593" i="1"/>
  <c r="CJ593" i="1" s="1"/>
  <c r="BQ153" i="1"/>
  <c r="CI153" i="1"/>
  <c r="CJ153" i="1" s="1"/>
  <c r="BQ2841" i="1"/>
  <c r="CI2841" i="1"/>
  <c r="CJ2841" i="1" s="1"/>
  <c r="BQ1800" i="1"/>
  <c r="CI1800" i="1"/>
  <c r="CJ1800" i="1" s="1"/>
  <c r="BQ1432" i="1"/>
  <c r="CI1432" i="1"/>
  <c r="CJ1432" i="1" s="1"/>
  <c r="BQ1095" i="1"/>
  <c r="CI1095" i="1"/>
  <c r="CJ1095" i="1" s="1"/>
  <c r="BQ351" i="1"/>
  <c r="CI351" i="1"/>
  <c r="CJ351" i="1" s="1"/>
  <c r="BQ519" i="1"/>
  <c r="CI519" i="1"/>
  <c r="CJ519" i="1" s="1"/>
  <c r="BQ1479" i="1"/>
  <c r="CI1479" i="1"/>
  <c r="CJ1479" i="1" s="1"/>
  <c r="BQ2864" i="1"/>
  <c r="CI2864" i="1"/>
  <c r="CJ2864" i="1" s="1"/>
  <c r="BQ1853" i="1"/>
  <c r="CI1853" i="1"/>
  <c r="CJ1853" i="1" s="1"/>
  <c r="BQ2475" i="1"/>
  <c r="CI2475" i="1"/>
  <c r="CJ2475" i="1" s="1"/>
  <c r="BQ371" i="1"/>
  <c r="CI371" i="1"/>
  <c r="CJ371" i="1" s="1"/>
  <c r="BQ1217" i="1"/>
  <c r="CI1217" i="1"/>
  <c r="CJ1217" i="1" s="1"/>
  <c r="BQ175" i="1"/>
  <c r="CI175" i="1"/>
  <c r="CJ175" i="1" s="1"/>
  <c r="BQ1541" i="1"/>
  <c r="CI1541" i="1"/>
  <c r="CJ1541" i="1" s="1"/>
  <c r="BQ2668" i="1"/>
  <c r="CI2668" i="1"/>
  <c r="CJ2668" i="1" s="1"/>
  <c r="BQ2877" i="1"/>
  <c r="CI2877" i="1"/>
  <c r="CJ2877" i="1" s="1"/>
  <c r="BQ633" i="1"/>
  <c r="CI633" i="1"/>
  <c r="CJ633" i="1" s="1"/>
  <c r="BQ1032" i="1"/>
  <c r="CI1032" i="1"/>
  <c r="CJ1032" i="1" s="1"/>
  <c r="BQ202" i="1"/>
  <c r="CI202" i="1"/>
  <c r="CJ202" i="1" s="1"/>
  <c r="BQ1511" i="1"/>
  <c r="CI1511" i="1"/>
  <c r="CJ1511" i="1" s="1"/>
  <c r="BQ1005" i="1"/>
  <c r="CI1005" i="1"/>
  <c r="CJ1005" i="1" s="1"/>
  <c r="BQ188" i="1"/>
  <c r="CI188" i="1"/>
  <c r="CJ188" i="1" s="1"/>
  <c r="BQ1140" i="1"/>
  <c r="CI1140" i="1"/>
  <c r="CJ1140" i="1" s="1"/>
  <c r="BQ1357" i="1"/>
  <c r="CI1357" i="1"/>
  <c r="CJ1357" i="1" s="1"/>
  <c r="BQ2907" i="1"/>
  <c r="CI2907" i="1"/>
  <c r="CJ2907" i="1" s="1"/>
  <c r="BQ603" i="1"/>
  <c r="CI603" i="1"/>
  <c r="CJ603" i="1" s="1"/>
  <c r="BQ495" i="1"/>
  <c r="CI495" i="1"/>
  <c r="CJ495" i="1" s="1"/>
  <c r="BQ1615" i="1"/>
  <c r="CI1615" i="1"/>
  <c r="CJ1615" i="1" s="1"/>
  <c r="BQ1036" i="1"/>
  <c r="CI1036" i="1"/>
  <c r="CJ1036" i="1" s="1"/>
  <c r="BQ984" i="1"/>
  <c r="CI984" i="1"/>
  <c r="CJ984" i="1" s="1"/>
  <c r="BQ868" i="1"/>
  <c r="CI868" i="1"/>
  <c r="CJ868" i="1" s="1"/>
  <c r="BQ1313" i="1"/>
  <c r="CI1313" i="1"/>
  <c r="CJ1313" i="1" s="1"/>
  <c r="BQ2943" i="1"/>
  <c r="CI2943" i="1"/>
  <c r="CJ2943" i="1" s="1"/>
  <c r="BQ444" i="1"/>
  <c r="CI444" i="1"/>
  <c r="CJ444" i="1" s="1"/>
  <c r="BQ2410" i="1"/>
  <c r="CI2410" i="1"/>
  <c r="CJ2410" i="1" s="1"/>
  <c r="BQ673" i="1"/>
  <c r="CI673" i="1"/>
  <c r="CJ673" i="1" s="1"/>
  <c r="BQ2950" i="1"/>
  <c r="CI2950" i="1"/>
  <c r="CJ2950" i="1" s="1"/>
  <c r="BQ583" i="1"/>
  <c r="CI583" i="1"/>
  <c r="CJ583" i="1" s="1"/>
  <c r="BQ628" i="1"/>
  <c r="CI628" i="1"/>
  <c r="CJ628" i="1" s="1"/>
  <c r="BQ2953" i="1"/>
  <c r="CI2953" i="1"/>
  <c r="CJ2953" i="1" s="1"/>
  <c r="BQ2955" i="1"/>
  <c r="CI2955" i="1"/>
  <c r="CJ2955" i="1" s="1"/>
  <c r="BQ2039" i="1"/>
  <c r="CI2039" i="1"/>
  <c r="CJ2039" i="1" s="1"/>
  <c r="BQ522" i="1"/>
  <c r="CI522" i="1"/>
  <c r="CJ522" i="1" s="1"/>
  <c r="BQ556" i="1"/>
  <c r="CI556" i="1"/>
  <c r="CJ556" i="1" s="1"/>
  <c r="BQ1040" i="1"/>
  <c r="CI1040" i="1"/>
  <c r="CJ1040" i="1" s="1"/>
  <c r="BQ2054" i="1"/>
  <c r="CI2054" i="1"/>
  <c r="CJ2054" i="1" s="1"/>
  <c r="BQ2969" i="1"/>
  <c r="CI2969" i="1"/>
  <c r="CJ2969" i="1" s="1"/>
  <c r="BQ2971" i="1"/>
  <c r="CI2971" i="1"/>
  <c r="CJ2971" i="1" s="1"/>
  <c r="BQ1437" i="1"/>
  <c r="CI1437" i="1"/>
  <c r="CJ1437" i="1" s="1"/>
  <c r="BQ2694" i="1"/>
  <c r="CI2694" i="1"/>
  <c r="CJ2694" i="1" s="1"/>
  <c r="BQ1931" i="1"/>
  <c r="CI1931" i="1"/>
  <c r="CJ1931" i="1" s="1"/>
  <c r="BQ627" i="1"/>
  <c r="CI627" i="1"/>
  <c r="CJ627" i="1" s="1"/>
  <c r="BQ2057" i="1"/>
  <c r="CI2057" i="1"/>
  <c r="CJ2057" i="1" s="1"/>
  <c r="BQ2549" i="1"/>
  <c r="CI2549" i="1"/>
  <c r="CJ2549" i="1" s="1"/>
  <c r="BQ2999" i="1"/>
  <c r="CI2999" i="1"/>
  <c r="CJ2999" i="1" s="1"/>
  <c r="BQ1089" i="1"/>
  <c r="CI1089" i="1"/>
  <c r="CJ1089" i="1" s="1"/>
  <c r="BQ3003" i="1"/>
  <c r="CI3003" i="1"/>
  <c r="CJ3003" i="1" s="1"/>
  <c r="BQ946" i="1"/>
  <c r="CI946" i="1"/>
  <c r="CJ946" i="1" s="1"/>
  <c r="BQ2025" i="1"/>
  <c r="CI2025" i="1"/>
  <c r="CJ2025" i="1" s="1"/>
  <c r="BQ1602" i="1"/>
  <c r="CI1602" i="1"/>
  <c r="CJ1602" i="1" s="1"/>
  <c r="BQ2244" i="1"/>
  <c r="CI2244" i="1"/>
  <c r="CJ2244" i="1" s="1"/>
  <c r="BQ1718" i="1"/>
  <c r="CI1718" i="1"/>
  <c r="CJ1718" i="1" s="1"/>
  <c r="BQ135" i="1"/>
  <c r="CI135" i="1"/>
  <c r="CJ135" i="1" s="1"/>
  <c r="BQ1025" i="1"/>
  <c r="CI1025" i="1"/>
  <c r="CJ1025" i="1" s="1"/>
  <c r="BQ2678" i="1"/>
  <c r="CI2678" i="1"/>
  <c r="CJ2678" i="1" s="1"/>
  <c r="BQ3020" i="1"/>
  <c r="CI3020" i="1"/>
  <c r="CJ3020" i="1" s="1"/>
  <c r="BQ1650" i="1"/>
  <c r="CI1650" i="1"/>
  <c r="CJ1650" i="1" s="1"/>
  <c r="BQ1198" i="1"/>
  <c r="CI1198" i="1"/>
  <c r="CJ1198" i="1" s="1"/>
  <c r="BQ1485" i="1"/>
  <c r="CI1485" i="1"/>
  <c r="CJ1485" i="1" s="1"/>
  <c r="BQ3030" i="1"/>
  <c r="CI3030" i="1"/>
  <c r="CJ3030" i="1" s="1"/>
  <c r="BQ3040" i="1"/>
  <c r="CI3040" i="1"/>
  <c r="CJ3040" i="1" s="1"/>
  <c r="BQ1534" i="1"/>
  <c r="CI1534" i="1"/>
  <c r="CJ1534" i="1" s="1"/>
  <c r="BQ3052" i="1"/>
  <c r="CI3052" i="1"/>
  <c r="CJ3052" i="1" s="1"/>
  <c r="BQ1769" i="1"/>
  <c r="CI1769" i="1"/>
  <c r="CJ1769" i="1" s="1"/>
  <c r="BQ1262" i="1"/>
  <c r="CI1262" i="1"/>
  <c r="CJ1262" i="1" s="1"/>
  <c r="BQ1069" i="1"/>
  <c r="CI1069" i="1"/>
  <c r="CJ1069" i="1" s="1"/>
  <c r="BQ1900" i="1"/>
  <c r="CI1900" i="1"/>
  <c r="CJ1900" i="1" s="1"/>
  <c r="BQ1305" i="1"/>
  <c r="CI1305" i="1"/>
  <c r="CJ1305" i="1" s="1"/>
  <c r="BQ1732" i="1"/>
  <c r="CI1732" i="1"/>
  <c r="CJ1732" i="1" s="1"/>
  <c r="BQ903" i="1"/>
  <c r="CI903" i="1"/>
  <c r="CJ903" i="1" s="1"/>
  <c r="BQ1181" i="1"/>
  <c r="CI1181" i="1"/>
  <c r="CJ1181" i="1" s="1"/>
  <c r="BQ2052" i="1"/>
  <c r="CI2052" i="1"/>
  <c r="CJ2052" i="1" s="1"/>
  <c r="BQ1829" i="1"/>
  <c r="CI1829" i="1"/>
  <c r="CJ1829" i="1" s="1"/>
  <c r="BQ3088" i="1"/>
  <c r="CI3088" i="1"/>
  <c r="CJ3088" i="1" s="1"/>
  <c r="BQ1521" i="1"/>
  <c r="CI1521" i="1"/>
  <c r="CJ1521" i="1" s="1"/>
  <c r="BQ654" i="1"/>
  <c r="CI654" i="1"/>
  <c r="CJ654" i="1" s="1"/>
  <c r="BQ3108" i="1"/>
  <c r="CI3108" i="1"/>
  <c r="CJ3108" i="1" s="1"/>
  <c r="BQ970" i="1"/>
  <c r="CI970" i="1"/>
  <c r="CJ970" i="1" s="1"/>
  <c r="BQ3114" i="1"/>
  <c r="CI3114" i="1"/>
  <c r="CJ3114" i="1" s="1"/>
  <c r="BQ1396" i="1"/>
  <c r="CI1396" i="1"/>
  <c r="CJ1396" i="1" s="1"/>
  <c r="BQ1366" i="1"/>
  <c r="CI1366" i="1"/>
  <c r="CJ1366" i="1" s="1"/>
  <c r="BQ3135" i="1"/>
  <c r="CI3135" i="1"/>
  <c r="CJ3135" i="1" s="1"/>
  <c r="BQ510" i="1"/>
  <c r="CI510" i="1"/>
  <c r="CJ510" i="1" s="1"/>
  <c r="BQ662" i="1"/>
  <c r="CI662" i="1"/>
  <c r="CJ662" i="1" s="1"/>
  <c r="BQ1402" i="1"/>
  <c r="CI1402" i="1"/>
  <c r="CJ1402" i="1" s="1"/>
  <c r="BQ1295" i="1"/>
  <c r="CI1295" i="1"/>
  <c r="CJ1295" i="1" s="1"/>
  <c r="BQ1267" i="1"/>
  <c r="CI1267" i="1"/>
  <c r="CJ1267" i="1" s="1"/>
  <c r="BQ1926" i="1"/>
  <c r="CI1926" i="1"/>
  <c r="CJ1926" i="1" s="1"/>
  <c r="BQ574" i="1"/>
  <c r="CI574" i="1"/>
  <c r="CJ574" i="1" s="1"/>
  <c r="BQ844" i="1"/>
  <c r="CI844" i="1"/>
  <c r="CJ844" i="1" s="1"/>
  <c r="BQ1766" i="1"/>
  <c r="CI1766" i="1"/>
  <c r="CJ1766" i="1" s="1"/>
  <c r="BQ1632" i="1"/>
  <c r="CI1632" i="1"/>
  <c r="CJ1632" i="1" s="1"/>
  <c r="BQ3187" i="1"/>
  <c r="CI3187" i="1"/>
  <c r="CJ3187" i="1" s="1"/>
  <c r="BQ1841" i="1"/>
  <c r="CI1841" i="1"/>
  <c r="CJ1841" i="1" s="1"/>
  <c r="BQ1124" i="1"/>
  <c r="CI1124" i="1"/>
  <c r="CJ1124" i="1" s="1"/>
  <c r="BQ23" i="1"/>
  <c r="CI23" i="1"/>
  <c r="CJ23" i="1" s="1"/>
  <c r="BQ607" i="1"/>
  <c r="CI607" i="1"/>
  <c r="CJ607" i="1" s="1"/>
  <c r="BQ2554" i="1"/>
  <c r="CI2554" i="1"/>
  <c r="CJ2554" i="1" s="1"/>
  <c r="BQ483" i="1"/>
  <c r="CI483" i="1"/>
  <c r="CJ483" i="1" s="1"/>
  <c r="BQ133" i="1"/>
  <c r="CI133" i="1"/>
  <c r="CJ133" i="1" s="1"/>
  <c r="BQ2639" i="1"/>
  <c r="CI2639" i="1"/>
  <c r="CJ2639" i="1" s="1"/>
  <c r="BQ1152" i="1"/>
  <c r="CI1152" i="1"/>
  <c r="CJ1152" i="1" s="1"/>
  <c r="BQ313" i="1"/>
  <c r="CI313" i="1"/>
  <c r="CJ313" i="1" s="1"/>
  <c r="BQ2562" i="1"/>
  <c r="CI2562" i="1"/>
  <c r="CJ2562" i="1" s="1"/>
  <c r="BQ615" i="1"/>
  <c r="CI615" i="1"/>
  <c r="CJ615" i="1" s="1"/>
  <c r="BQ1767" i="1"/>
  <c r="CI1767" i="1"/>
  <c r="CJ1767" i="1" s="1"/>
  <c r="BQ1495" i="1"/>
  <c r="CI1495" i="1"/>
  <c r="CJ1495" i="1" s="1"/>
  <c r="BQ2586" i="1"/>
  <c r="CI2586" i="1"/>
  <c r="CJ2586" i="1" s="1"/>
  <c r="BQ403" i="1"/>
  <c r="CI403" i="1"/>
  <c r="CJ403" i="1" s="1"/>
  <c r="BQ2612" i="1"/>
  <c r="CI2612" i="1"/>
  <c r="CJ2612" i="1" s="1"/>
  <c r="BQ2635" i="1"/>
  <c r="CI2635" i="1"/>
  <c r="CJ2635" i="1" s="1"/>
  <c r="BQ151" i="1"/>
  <c r="CI151" i="1"/>
  <c r="CJ151" i="1" s="1"/>
  <c r="BQ2697" i="1"/>
  <c r="CI2697" i="1"/>
  <c r="CJ2697" i="1" s="1"/>
  <c r="BQ2043" i="1"/>
  <c r="CI2043" i="1"/>
  <c r="CJ2043" i="1" s="1"/>
  <c r="BQ1381" i="1"/>
  <c r="CI1381" i="1"/>
  <c r="CJ1381" i="1" s="1"/>
  <c r="BQ1126" i="1"/>
  <c r="CI1126" i="1"/>
  <c r="CJ1126" i="1" s="1"/>
  <c r="BQ150" i="1"/>
  <c r="CI150" i="1"/>
  <c r="CJ150" i="1" s="1"/>
  <c r="BQ2245" i="1"/>
  <c r="CI2245" i="1"/>
  <c r="CJ2245" i="1" s="1"/>
  <c r="BQ2789" i="1"/>
  <c r="CI2789" i="1"/>
  <c r="CJ2789" i="1" s="1"/>
  <c r="BQ1353" i="1"/>
  <c r="CI1353" i="1"/>
  <c r="CJ1353" i="1" s="1"/>
  <c r="BQ2362" i="1"/>
  <c r="CI2362" i="1"/>
  <c r="CJ2362" i="1" s="1"/>
  <c r="BQ2298" i="1"/>
  <c r="CI2298" i="1"/>
  <c r="CJ2298" i="1" s="1"/>
  <c r="BQ121" i="1"/>
  <c r="CI121" i="1"/>
  <c r="CJ121" i="1" s="1"/>
  <c r="BQ1893" i="1"/>
  <c r="CI1893" i="1"/>
  <c r="CJ1893" i="1" s="1"/>
  <c r="BQ2277" i="1"/>
  <c r="CI2277" i="1"/>
  <c r="CJ2277" i="1" s="1"/>
  <c r="BQ455" i="1"/>
  <c r="CI455" i="1"/>
  <c r="CJ455" i="1" s="1"/>
  <c r="BQ696" i="1"/>
  <c r="CI696" i="1"/>
  <c r="CJ696" i="1" s="1"/>
  <c r="BQ1399" i="1"/>
  <c r="CI1399" i="1"/>
  <c r="CJ1399" i="1" s="1"/>
  <c r="BQ2598" i="1"/>
  <c r="CI2598" i="1"/>
  <c r="CJ2598" i="1" s="1"/>
  <c r="BQ1380" i="1"/>
  <c r="CI1380" i="1"/>
  <c r="CJ1380" i="1" s="1"/>
  <c r="BQ734" i="1"/>
  <c r="CI734" i="1"/>
  <c r="CJ734" i="1" s="1"/>
  <c r="BQ626" i="1"/>
  <c r="CI626" i="1"/>
  <c r="CJ626" i="1" s="1"/>
  <c r="BQ2924" i="1"/>
  <c r="CI2924" i="1"/>
  <c r="CJ2924" i="1" s="1"/>
  <c r="BQ1787" i="1"/>
  <c r="CI1787" i="1"/>
  <c r="CJ1787" i="1" s="1"/>
  <c r="BQ145" i="1"/>
  <c r="CI145" i="1"/>
  <c r="CJ145" i="1" s="1"/>
  <c r="BQ2340" i="1"/>
  <c r="CI2340" i="1"/>
  <c r="CJ2340" i="1" s="1"/>
  <c r="BQ2960" i="1"/>
  <c r="CI2960" i="1"/>
  <c r="CJ2960" i="1" s="1"/>
  <c r="BQ1441" i="1"/>
  <c r="CI1441" i="1"/>
  <c r="CJ1441" i="1" s="1"/>
  <c r="BQ1536" i="1"/>
  <c r="CI1536" i="1"/>
  <c r="CJ1536" i="1" s="1"/>
  <c r="BQ293" i="1"/>
  <c r="CI293" i="1"/>
  <c r="CJ293" i="1" s="1"/>
  <c r="BQ2603" i="1"/>
  <c r="CI2603" i="1"/>
  <c r="CJ2603" i="1" s="1"/>
  <c r="BQ2059" i="1"/>
  <c r="CI2059" i="1"/>
  <c r="CJ2059" i="1" s="1"/>
  <c r="BQ1696" i="1"/>
  <c r="CI1696" i="1"/>
  <c r="CJ1696" i="1" s="1"/>
  <c r="BQ327" i="1"/>
  <c r="CI327" i="1"/>
  <c r="CJ327" i="1" s="1"/>
  <c r="BQ1707" i="1"/>
  <c r="CI1707" i="1"/>
  <c r="CJ1707" i="1" s="1"/>
  <c r="BQ186" i="1"/>
  <c r="CI186" i="1"/>
  <c r="CJ186" i="1" s="1"/>
  <c r="BQ931" i="1"/>
  <c r="CI931" i="1"/>
  <c r="CJ931" i="1" s="1"/>
  <c r="BQ1894" i="1"/>
  <c r="CI1894" i="1"/>
  <c r="CJ1894" i="1" s="1"/>
  <c r="BQ1297" i="1"/>
  <c r="CI1297" i="1"/>
  <c r="CJ1297" i="1" s="1"/>
  <c r="BQ2016" i="1"/>
  <c r="CI2016" i="1"/>
  <c r="CJ2016" i="1" s="1"/>
  <c r="BQ354" i="1"/>
  <c r="CI354" i="1"/>
  <c r="CJ354" i="1" s="1"/>
  <c r="BQ2682" i="1"/>
  <c r="CI2682" i="1"/>
  <c r="CJ2682" i="1" s="1"/>
  <c r="BQ582" i="1"/>
  <c r="CI582" i="1"/>
  <c r="CJ582" i="1" s="1"/>
  <c r="BQ2718" i="1"/>
  <c r="CI2718" i="1"/>
  <c r="CJ2718" i="1" s="1"/>
  <c r="BQ2764" i="1"/>
  <c r="CI2764" i="1"/>
  <c r="CJ2764" i="1" s="1"/>
  <c r="BQ2767" i="1"/>
  <c r="CI2767" i="1"/>
  <c r="CJ2767" i="1" s="1"/>
  <c r="BQ301" i="1"/>
  <c r="CI301" i="1"/>
  <c r="CJ301" i="1" s="1"/>
  <c r="BQ2038" i="1"/>
  <c r="CI2038" i="1"/>
  <c r="CJ2038" i="1" s="1"/>
  <c r="BQ784" i="1"/>
  <c r="CI784" i="1"/>
  <c r="CJ784" i="1" s="1"/>
  <c r="BQ1377" i="1"/>
  <c r="CI1377" i="1"/>
  <c r="CJ1377" i="1" s="1"/>
  <c r="BQ117" i="1"/>
  <c r="CI117" i="1"/>
  <c r="CJ117" i="1" s="1"/>
  <c r="BQ1374" i="1"/>
  <c r="CI1374" i="1"/>
  <c r="CJ1374" i="1" s="1"/>
  <c r="BQ184" i="1"/>
  <c r="CI184" i="1"/>
  <c r="CJ184" i="1" s="1"/>
  <c r="BQ2013" i="1"/>
  <c r="CI2013" i="1"/>
  <c r="CJ2013" i="1" s="1"/>
  <c r="BQ2506" i="1"/>
  <c r="CI2506" i="1"/>
  <c r="CJ2506" i="1" s="1"/>
  <c r="BQ619" i="1"/>
  <c r="CI619" i="1"/>
  <c r="CJ619" i="1" s="1"/>
  <c r="BQ443" i="1"/>
  <c r="CI443" i="1"/>
  <c r="CJ443" i="1" s="1"/>
  <c r="BQ289" i="1"/>
  <c r="CI289" i="1"/>
  <c r="CJ289" i="1" s="1"/>
  <c r="BQ1167" i="1"/>
  <c r="CI1167" i="1"/>
  <c r="CJ1167" i="1" s="1"/>
  <c r="BQ1283" i="1"/>
  <c r="CI1283" i="1"/>
  <c r="CJ1283" i="1" s="1"/>
  <c r="BQ2221" i="1"/>
  <c r="CI2221" i="1"/>
  <c r="CJ2221" i="1" s="1"/>
  <c r="BQ1537" i="1"/>
  <c r="CI1537" i="1"/>
  <c r="CJ1537" i="1" s="1"/>
  <c r="BQ355" i="1"/>
  <c r="CI355" i="1"/>
  <c r="CJ355" i="1" s="1"/>
  <c r="BQ384" i="1"/>
  <c r="CI384" i="1"/>
  <c r="CJ384" i="1" s="1"/>
  <c r="BQ2081" i="1"/>
  <c r="CI2081" i="1"/>
  <c r="CJ2081" i="1" s="1"/>
  <c r="BQ1413" i="1"/>
  <c r="CI1413" i="1"/>
  <c r="CJ1413" i="1" s="1"/>
  <c r="BQ484" i="1"/>
  <c r="CI484" i="1"/>
  <c r="CJ484" i="1" s="1"/>
  <c r="BQ999" i="1"/>
  <c r="CI999" i="1"/>
  <c r="CJ999" i="1" s="1"/>
  <c r="BQ2325" i="1"/>
  <c r="CI2325" i="1"/>
  <c r="CJ2325" i="1" s="1"/>
  <c r="BQ1947" i="1"/>
  <c r="CI1947" i="1"/>
  <c r="CJ1947" i="1" s="1"/>
  <c r="BQ1709" i="1"/>
  <c r="CI1709" i="1"/>
  <c r="CJ1709" i="1" s="1"/>
  <c r="BQ2520" i="1"/>
  <c r="CI2520" i="1"/>
  <c r="CJ2520" i="1" s="1"/>
  <c r="BQ2961" i="1"/>
  <c r="CI2961" i="1"/>
  <c r="CJ2961" i="1" s="1"/>
  <c r="BQ2360" i="1"/>
  <c r="CI2360" i="1"/>
  <c r="CJ2360" i="1" s="1"/>
  <c r="BQ1312" i="1"/>
  <c r="CI1312" i="1"/>
  <c r="CJ1312" i="1" s="1"/>
  <c r="BQ2323" i="1"/>
  <c r="CI2323" i="1"/>
  <c r="CJ2323" i="1" s="1"/>
  <c r="BQ575" i="1"/>
  <c r="CI575" i="1"/>
  <c r="CJ575" i="1" s="1"/>
  <c r="BQ1052" i="1"/>
  <c r="CI1052" i="1"/>
  <c r="CJ1052" i="1" s="1"/>
  <c r="BQ470" i="1"/>
  <c r="CI470" i="1"/>
  <c r="CJ470" i="1" s="1"/>
  <c r="BQ1652" i="1"/>
  <c r="CI1652" i="1"/>
  <c r="CJ1652" i="1" s="1"/>
  <c r="BQ1288" i="1"/>
  <c r="CI1288" i="1"/>
  <c r="CJ1288" i="1" s="1"/>
  <c r="BQ959" i="1"/>
  <c r="CI959" i="1"/>
  <c r="CJ959" i="1" s="1"/>
  <c r="BQ3110" i="1"/>
  <c r="CI3110" i="1"/>
  <c r="CJ3110" i="1" s="1"/>
  <c r="BQ3126" i="1"/>
  <c r="CI3126" i="1"/>
  <c r="CJ3126" i="1" s="1"/>
  <c r="BQ458" i="1"/>
  <c r="CI458" i="1"/>
  <c r="CJ458" i="1" s="1"/>
  <c r="BQ2588" i="1"/>
  <c r="CI2588" i="1"/>
  <c r="CJ2588" i="1" s="1"/>
  <c r="BQ2595" i="1"/>
  <c r="CI2595" i="1"/>
  <c r="CJ2595" i="1" s="1"/>
  <c r="BQ1902" i="1"/>
  <c r="CI1902" i="1"/>
  <c r="CJ1902" i="1" s="1"/>
  <c r="BQ3005" i="1"/>
  <c r="CI3005" i="1"/>
  <c r="CJ3005" i="1" s="1"/>
  <c r="BQ2551" i="1"/>
  <c r="CI2551" i="1"/>
  <c r="CJ2551" i="1" s="1"/>
  <c r="BQ1666" i="1"/>
  <c r="CI1666" i="1"/>
  <c r="CJ1666" i="1" s="1"/>
  <c r="BQ2177" i="1"/>
  <c r="CI2177" i="1"/>
  <c r="CJ2177" i="1" s="1"/>
  <c r="BQ565" i="1"/>
  <c r="CI565" i="1"/>
  <c r="CJ565" i="1" s="1"/>
  <c r="BQ2485" i="1"/>
  <c r="CI2485" i="1"/>
  <c r="CJ2485" i="1" s="1"/>
  <c r="BQ3116" i="1"/>
  <c r="CI3116" i="1"/>
  <c r="CJ3116" i="1" s="1"/>
  <c r="BQ3120" i="1"/>
  <c r="CI3120" i="1"/>
  <c r="CJ3120" i="1" s="1"/>
  <c r="BQ548" i="1"/>
  <c r="CI548" i="1"/>
  <c r="CJ548" i="1" s="1"/>
  <c r="BQ2466" i="1"/>
  <c r="CI2466" i="1"/>
  <c r="CJ2466" i="1" s="1"/>
  <c r="BQ3157" i="1"/>
  <c r="CI3157" i="1"/>
  <c r="CJ3157" i="1" s="1"/>
  <c r="BQ2015" i="1"/>
  <c r="CI2015" i="1"/>
  <c r="CJ2015" i="1" s="1"/>
  <c r="BQ2028" i="1"/>
  <c r="CI2028" i="1"/>
  <c r="CJ2028" i="1" s="1"/>
  <c r="BQ635" i="1"/>
  <c r="CI635" i="1"/>
  <c r="CJ635" i="1" s="1"/>
  <c r="BQ579" i="1"/>
  <c r="CI579" i="1"/>
  <c r="CJ579" i="1" s="1"/>
  <c r="BQ2619" i="1"/>
  <c r="CI2619" i="1"/>
  <c r="CJ2619" i="1" s="1"/>
  <c r="BQ291" i="1"/>
  <c r="CI291" i="1"/>
  <c r="CJ291" i="1" s="1"/>
  <c r="BQ2069" i="1"/>
  <c r="CI2069" i="1"/>
  <c r="CJ2069" i="1" s="1"/>
  <c r="BQ2156" i="1"/>
  <c r="CI2156" i="1"/>
  <c r="CJ2156" i="1" s="1"/>
  <c r="BQ1249" i="1"/>
  <c r="CI1249" i="1"/>
  <c r="CJ1249" i="1" s="1"/>
  <c r="BQ1739" i="1"/>
  <c r="CI1739" i="1"/>
  <c r="CJ1739" i="1" s="1"/>
  <c r="BQ393" i="1"/>
  <c r="CI393" i="1"/>
  <c r="CJ393" i="1" s="1"/>
  <c r="BQ762" i="1"/>
  <c r="CI762" i="1"/>
  <c r="CJ762" i="1" s="1"/>
  <c r="BQ122" i="1"/>
  <c r="CI122" i="1"/>
  <c r="CJ122" i="1" s="1"/>
  <c r="BQ2400" i="1"/>
  <c r="CI2400" i="1"/>
  <c r="CJ2400" i="1" s="1"/>
  <c r="BQ2745" i="1"/>
  <c r="CI2745" i="1"/>
  <c r="CJ2745" i="1" s="1"/>
  <c r="BQ795" i="1"/>
  <c r="CI795" i="1"/>
  <c r="CJ795" i="1" s="1"/>
  <c r="BQ2753" i="1"/>
  <c r="CI2753" i="1"/>
  <c r="CJ2753" i="1" s="1"/>
  <c r="BQ2149" i="1"/>
  <c r="CI2149" i="1"/>
  <c r="CJ2149" i="1" s="1"/>
  <c r="BQ727" i="1"/>
  <c r="CI727" i="1"/>
  <c r="CJ727" i="1" s="1"/>
  <c r="BQ2791" i="1"/>
  <c r="CI2791" i="1"/>
  <c r="CJ2791" i="1" s="1"/>
  <c r="BQ461" i="1"/>
  <c r="CI461" i="1"/>
  <c r="CJ461" i="1" s="1"/>
  <c r="BQ2795" i="1"/>
  <c r="CI2795" i="1"/>
  <c r="CJ2795" i="1" s="1"/>
  <c r="BQ2798" i="1"/>
  <c r="CI2798" i="1"/>
  <c r="CJ2798" i="1" s="1"/>
  <c r="BQ1476" i="1"/>
  <c r="CI1476" i="1"/>
  <c r="CJ1476" i="1" s="1"/>
  <c r="BQ413" i="1"/>
  <c r="CI413" i="1"/>
  <c r="CJ413" i="1" s="1"/>
  <c r="BQ661" i="1"/>
  <c r="CI661" i="1"/>
  <c r="CJ661" i="1" s="1"/>
  <c r="BQ772" i="1"/>
  <c r="CI772" i="1"/>
  <c r="CJ772" i="1" s="1"/>
  <c r="BQ652" i="1"/>
  <c r="CI652" i="1"/>
  <c r="CJ652" i="1" s="1"/>
  <c r="BQ1121" i="1"/>
  <c r="CI1121" i="1"/>
  <c r="CJ1121" i="1" s="1"/>
  <c r="BQ1388" i="1"/>
  <c r="CI1388" i="1"/>
  <c r="CJ1388" i="1" s="1"/>
  <c r="BQ2443" i="1"/>
  <c r="CI2443" i="1"/>
  <c r="CJ2443" i="1" s="1"/>
  <c r="BQ2251" i="1"/>
  <c r="CI2251" i="1"/>
  <c r="CJ2251" i="1" s="1"/>
  <c r="BQ2888" i="1"/>
  <c r="CI2888" i="1"/>
  <c r="CJ2888" i="1" s="1"/>
  <c r="BQ467" i="1"/>
  <c r="CI467" i="1"/>
  <c r="CJ467" i="1" s="1"/>
  <c r="BQ2199" i="1"/>
  <c r="CI2199" i="1"/>
  <c r="CJ2199" i="1" s="1"/>
  <c r="BQ648" i="1"/>
  <c r="CI648" i="1"/>
  <c r="CJ648" i="1" s="1"/>
  <c r="BQ1796" i="1"/>
  <c r="CI1796" i="1"/>
  <c r="CJ1796" i="1" s="1"/>
  <c r="BQ25" i="1"/>
  <c r="CI25" i="1"/>
  <c r="CJ25" i="1" s="1"/>
  <c r="BQ2141" i="1"/>
  <c r="CI2141" i="1"/>
  <c r="CJ2141" i="1" s="1"/>
  <c r="BQ2987" i="1"/>
  <c r="CI2987" i="1"/>
  <c r="CJ2987" i="1" s="1"/>
  <c r="BQ1797" i="1"/>
  <c r="CI1797" i="1"/>
  <c r="CJ1797" i="1" s="1"/>
  <c r="BQ425" i="1"/>
  <c r="CI425" i="1"/>
  <c r="CJ425" i="1" s="1"/>
  <c r="BQ2517" i="1"/>
  <c r="CI2517" i="1"/>
  <c r="CJ2517" i="1" s="1"/>
  <c r="BQ3024" i="1"/>
  <c r="CI3024" i="1"/>
  <c r="CJ3024" i="1" s="1"/>
  <c r="BQ296" i="1"/>
  <c r="CI296" i="1"/>
  <c r="CJ296" i="1" s="1"/>
  <c r="BQ1912" i="1"/>
  <c r="CI1912" i="1"/>
  <c r="CJ1912" i="1" s="1"/>
  <c r="BQ1702" i="1"/>
  <c r="CI1702" i="1"/>
  <c r="CJ1702" i="1" s="1"/>
  <c r="BQ3065" i="1"/>
  <c r="CI3065" i="1"/>
  <c r="CJ3065" i="1" s="1"/>
  <c r="BQ1745" i="1"/>
  <c r="CI1745" i="1"/>
  <c r="CJ1745" i="1" s="1"/>
  <c r="BQ616" i="1"/>
  <c r="CI616" i="1"/>
  <c r="CJ616" i="1" s="1"/>
  <c r="BQ1038" i="1"/>
  <c r="CI1038" i="1"/>
  <c r="CJ1038" i="1" s="1"/>
  <c r="BQ505" i="1"/>
  <c r="CI505" i="1"/>
  <c r="CJ505" i="1" s="1"/>
  <c r="BQ2407" i="1"/>
  <c r="CI2407" i="1"/>
  <c r="CJ2407" i="1" s="1"/>
  <c r="BQ1434" i="1"/>
  <c r="CI1434" i="1"/>
  <c r="CJ1434" i="1" s="1"/>
  <c r="BQ1057" i="1"/>
  <c r="CI1057" i="1"/>
  <c r="CJ1057" i="1" s="1"/>
  <c r="BQ3112" i="1"/>
  <c r="CI3112" i="1"/>
  <c r="CJ3112" i="1" s="1"/>
  <c r="BQ2342" i="1"/>
  <c r="CI2342" i="1"/>
  <c r="CJ2342" i="1" s="1"/>
  <c r="BQ3186" i="1"/>
  <c r="CI3186" i="1"/>
  <c r="CJ3186" i="1" s="1"/>
  <c r="BQ1593" i="1"/>
  <c r="CI1593" i="1"/>
  <c r="CJ1593" i="1" s="1"/>
  <c r="BQ2456" i="1"/>
  <c r="CI2456" i="1"/>
  <c r="CJ2456" i="1" s="1"/>
  <c r="BQ1393" i="1"/>
  <c r="CI1393" i="1"/>
  <c r="CJ1393" i="1" s="1"/>
  <c r="BQ629" i="1"/>
  <c r="CI629" i="1"/>
  <c r="CJ629" i="1" s="1"/>
  <c r="BQ2413" i="1"/>
  <c r="CI2413" i="1"/>
  <c r="CJ2413" i="1" s="1"/>
  <c r="BQ1952" i="1"/>
  <c r="CI1952" i="1"/>
  <c r="CJ1952" i="1" s="1"/>
  <c r="BQ570" i="1"/>
  <c r="CI570" i="1"/>
  <c r="CJ570" i="1" s="1"/>
  <c r="BQ650" i="1"/>
  <c r="CI650" i="1"/>
  <c r="CJ650" i="1" s="1"/>
  <c r="BQ2625" i="1"/>
  <c r="CI2625" i="1"/>
  <c r="CJ2625" i="1" s="1"/>
  <c r="BQ2211" i="1"/>
  <c r="CI2211" i="1"/>
  <c r="CJ2211" i="1" s="1"/>
  <c r="BQ1233" i="1"/>
  <c r="CI1233" i="1"/>
  <c r="CJ1233" i="1" s="1"/>
  <c r="BQ2638" i="1"/>
  <c r="CI2638" i="1"/>
  <c r="CJ2638" i="1" s="1"/>
  <c r="BQ419" i="1"/>
  <c r="CI419" i="1"/>
  <c r="CJ419" i="1" s="1"/>
  <c r="BQ2092" i="1"/>
  <c r="CI2092" i="1"/>
  <c r="CJ2092" i="1" s="1"/>
  <c r="BQ590" i="1"/>
  <c r="CI590" i="1"/>
  <c r="CJ590" i="1" s="1"/>
  <c r="BQ2656" i="1"/>
  <c r="CI2656" i="1"/>
  <c r="CJ2656" i="1" s="1"/>
  <c r="BQ1638" i="1"/>
  <c r="CI1638" i="1"/>
  <c r="CJ1638" i="1" s="1"/>
  <c r="BQ2660" i="1"/>
  <c r="CI2660" i="1"/>
  <c r="CJ2660" i="1" s="1"/>
  <c r="BQ2662" i="1"/>
  <c r="CI2662" i="1"/>
  <c r="CJ2662" i="1" s="1"/>
  <c r="BQ1094" i="1"/>
  <c r="CI1094" i="1"/>
  <c r="CJ1094" i="1" s="1"/>
  <c r="BQ2673" i="1"/>
  <c r="CI2673" i="1"/>
  <c r="CJ2673" i="1" s="1"/>
  <c r="BQ2144" i="1"/>
  <c r="CI2144" i="1"/>
  <c r="CJ2144" i="1" s="1"/>
  <c r="BQ1566" i="1"/>
  <c r="CI1566" i="1"/>
  <c r="CJ1566" i="1" s="1"/>
  <c r="BQ357" i="1"/>
  <c r="CI357" i="1"/>
  <c r="CJ357" i="1" s="1"/>
  <c r="BQ1601" i="1"/>
  <c r="CI1601" i="1"/>
  <c r="CJ1601" i="1" s="1"/>
  <c r="BQ283" i="1"/>
  <c r="CI283" i="1"/>
  <c r="CJ283" i="1" s="1"/>
  <c r="BQ2165" i="1"/>
  <c r="CI2165" i="1"/>
  <c r="CJ2165" i="1" s="1"/>
  <c r="BQ2714" i="1"/>
  <c r="CI2714" i="1"/>
  <c r="CJ2714" i="1" s="1"/>
  <c r="BQ114" i="1"/>
  <c r="CI114" i="1"/>
  <c r="CJ114" i="1" s="1"/>
  <c r="BQ1978" i="1"/>
  <c r="CI1978" i="1"/>
  <c r="CJ1978" i="1" s="1"/>
  <c r="BQ206" i="1"/>
  <c r="CI206" i="1"/>
  <c r="CJ206" i="1" s="1"/>
  <c r="BQ454" i="1"/>
  <c r="CI454" i="1"/>
  <c r="CJ454" i="1" s="1"/>
  <c r="BQ1651" i="1"/>
  <c r="CI1651" i="1"/>
  <c r="CJ1651" i="1" s="1"/>
  <c r="BQ2033" i="1"/>
  <c r="CI2033" i="1"/>
  <c r="CJ2033" i="1" s="1"/>
  <c r="BQ2359" i="1"/>
  <c r="CI2359" i="1"/>
  <c r="CJ2359" i="1" s="1"/>
  <c r="BQ802" i="1"/>
  <c r="CI802" i="1"/>
  <c r="CJ802" i="1" s="1"/>
  <c r="BQ136" i="1"/>
  <c r="CI136" i="1"/>
  <c r="CJ136" i="1" s="1"/>
  <c r="BQ1831" i="1"/>
  <c r="CI1831" i="1"/>
  <c r="CJ1831" i="1" s="1"/>
  <c r="BQ1149" i="1"/>
  <c r="CI1149" i="1"/>
  <c r="CJ1149" i="1" s="1"/>
  <c r="BQ670" i="1"/>
  <c r="CI670" i="1"/>
  <c r="CJ670" i="1" s="1"/>
  <c r="BQ1447" i="1"/>
  <c r="CI1447" i="1"/>
  <c r="CJ1447" i="1" s="1"/>
  <c r="BQ326" i="1"/>
  <c r="CI326" i="1"/>
  <c r="CJ326" i="1" s="1"/>
  <c r="BQ546" i="1"/>
  <c r="CI546" i="1"/>
  <c r="CJ546" i="1" s="1"/>
  <c r="BQ886" i="1"/>
  <c r="CI886" i="1"/>
  <c r="CJ886" i="1" s="1"/>
  <c r="BQ2498" i="1"/>
  <c r="CI2498" i="1"/>
  <c r="CJ2498" i="1" s="1"/>
  <c r="BQ748" i="1"/>
  <c r="CI748" i="1"/>
  <c r="CJ748" i="1" s="1"/>
  <c r="BQ1619" i="1"/>
  <c r="CI1619" i="1"/>
  <c r="CJ1619" i="1" s="1"/>
  <c r="BQ2222" i="1"/>
  <c r="CI2222" i="1"/>
  <c r="CJ2222" i="1" s="1"/>
  <c r="BQ488" i="1"/>
  <c r="CI488" i="1"/>
  <c r="CJ488" i="1" s="1"/>
  <c r="BQ2817" i="1"/>
  <c r="CI2817" i="1"/>
  <c r="CJ2817" i="1" s="1"/>
  <c r="BQ2051" i="1"/>
  <c r="CI2051" i="1"/>
  <c r="CJ2051" i="1" s="1"/>
  <c r="BQ1435" i="1"/>
  <c r="CI1435" i="1"/>
  <c r="CJ1435" i="1" s="1"/>
  <c r="BQ1379" i="1"/>
  <c r="CI1379" i="1"/>
  <c r="CJ1379" i="1" s="1"/>
  <c r="BQ933" i="1"/>
  <c r="CI933" i="1"/>
  <c r="CJ933" i="1" s="1"/>
  <c r="BQ515" i="1"/>
  <c r="CI515" i="1"/>
  <c r="CJ515" i="1" s="1"/>
  <c r="BQ1296" i="1"/>
  <c r="CI1296" i="1"/>
  <c r="CJ1296" i="1" s="1"/>
  <c r="BQ2070" i="1"/>
  <c r="CI2070" i="1"/>
  <c r="CJ2070" i="1" s="1"/>
  <c r="BQ1999" i="1"/>
  <c r="CI1999" i="1"/>
  <c r="CJ1999" i="1" s="1"/>
  <c r="BQ2852" i="1"/>
  <c r="CI2852" i="1"/>
  <c r="CJ2852" i="1" s="1"/>
  <c r="BQ1384" i="1"/>
  <c r="CI1384" i="1"/>
  <c r="CJ1384" i="1" s="1"/>
  <c r="BQ1721" i="1"/>
  <c r="CI1721" i="1"/>
  <c r="CJ1721" i="1" s="1"/>
  <c r="BQ2862" i="1"/>
  <c r="CI2862" i="1"/>
  <c r="CJ2862" i="1" s="1"/>
  <c r="BQ2377" i="1"/>
  <c r="CI2377" i="1"/>
  <c r="CJ2377" i="1" s="1"/>
  <c r="BQ1454" i="1"/>
  <c r="CI1454" i="1"/>
  <c r="CJ1454" i="1" s="1"/>
  <c r="BQ1494" i="1"/>
  <c r="CI1494" i="1"/>
  <c r="CJ1494" i="1" s="1"/>
  <c r="BQ905" i="1"/>
  <c r="CI905" i="1"/>
  <c r="CJ905" i="1" s="1"/>
  <c r="BQ2405" i="1"/>
  <c r="CI2405" i="1"/>
  <c r="CJ2405" i="1" s="1"/>
  <c r="BQ630" i="1"/>
  <c r="CI630" i="1"/>
  <c r="CJ630" i="1" s="1"/>
  <c r="BQ2115" i="1"/>
  <c r="CI2115" i="1"/>
  <c r="CJ2115" i="1" s="1"/>
  <c r="BQ469" i="1"/>
  <c r="CI469" i="1"/>
  <c r="CJ469" i="1" s="1"/>
  <c r="BQ1901" i="1"/>
  <c r="CI1901" i="1"/>
  <c r="CJ1901" i="1" s="1"/>
  <c r="BQ2896" i="1"/>
  <c r="CI2896" i="1"/>
  <c r="CJ2896" i="1" s="1"/>
  <c r="BQ1621" i="1"/>
  <c r="CI1621" i="1"/>
  <c r="CJ1621" i="1" s="1"/>
  <c r="BQ2900" i="1"/>
  <c r="CI2900" i="1"/>
  <c r="CJ2900" i="1" s="1"/>
  <c r="BQ767" i="1"/>
  <c r="CI767" i="1"/>
  <c r="CJ767" i="1" s="1"/>
  <c r="BQ2903" i="1"/>
  <c r="CI2903" i="1"/>
  <c r="CJ2903" i="1" s="1"/>
  <c r="BQ901" i="1"/>
  <c r="CI901" i="1"/>
  <c r="CJ901" i="1" s="1"/>
  <c r="BQ2096" i="1"/>
  <c r="CI2096" i="1"/>
  <c r="CJ2096" i="1" s="1"/>
  <c r="BQ2127" i="1"/>
  <c r="CI2127" i="1"/>
  <c r="CJ2127" i="1" s="1"/>
  <c r="BQ675" i="1"/>
  <c r="CI675" i="1"/>
  <c r="CJ675" i="1" s="1"/>
  <c r="BQ336" i="1"/>
  <c r="CI336" i="1"/>
  <c r="CJ336" i="1" s="1"/>
  <c r="BQ449" i="1"/>
  <c r="CI449" i="1"/>
  <c r="CJ449" i="1" s="1"/>
  <c r="BQ2919" i="1"/>
  <c r="CI2919" i="1"/>
  <c r="CJ2919" i="1" s="1"/>
  <c r="BQ1325" i="1"/>
  <c r="CI1325" i="1"/>
  <c r="CJ1325" i="1" s="1"/>
  <c r="BQ2393" i="1"/>
  <c r="CI2393" i="1"/>
  <c r="CJ2393" i="1" s="1"/>
  <c r="BQ948" i="1"/>
  <c r="CI948" i="1"/>
  <c r="CJ948" i="1" s="1"/>
  <c r="BQ194" i="1"/>
  <c r="CI194" i="1"/>
  <c r="CJ194" i="1" s="1"/>
  <c r="BQ750" i="1"/>
  <c r="CI750" i="1"/>
  <c r="CJ750" i="1" s="1"/>
  <c r="BQ2208" i="1"/>
  <c r="CI2208" i="1"/>
  <c r="CJ2208" i="1" s="1"/>
  <c r="BQ2931" i="1"/>
  <c r="CI2931" i="1"/>
  <c r="CJ2931" i="1" s="1"/>
  <c r="BQ1079" i="1"/>
  <c r="CI1079" i="1"/>
  <c r="CJ1079" i="1" s="1"/>
  <c r="BQ925" i="1"/>
  <c r="CI925" i="1"/>
  <c r="CJ925" i="1" s="1"/>
  <c r="BQ617" i="1"/>
  <c r="CI617" i="1"/>
  <c r="CJ617" i="1" s="1"/>
  <c r="BQ2212" i="1"/>
  <c r="CI2212" i="1"/>
  <c r="CJ2212" i="1" s="1"/>
  <c r="BQ2516" i="1"/>
  <c r="CI2516" i="1"/>
  <c r="CJ2516" i="1" s="1"/>
  <c r="BQ1804" i="1"/>
  <c r="CI1804" i="1"/>
  <c r="CJ1804" i="1" s="1"/>
  <c r="BQ2505" i="1"/>
  <c r="CI2505" i="1"/>
  <c r="CJ2505" i="1" s="1"/>
  <c r="BQ2944" i="1"/>
  <c r="CI2944" i="1"/>
  <c r="CJ2944" i="1" s="1"/>
  <c r="BQ1179" i="1"/>
  <c r="CI1179" i="1"/>
  <c r="CJ1179" i="1" s="1"/>
  <c r="BQ962" i="1"/>
  <c r="CI962" i="1"/>
  <c r="CJ962" i="1" s="1"/>
  <c r="BQ1337" i="1"/>
  <c r="CI1337" i="1"/>
  <c r="CJ1337" i="1" s="1"/>
  <c r="BQ1921" i="1"/>
  <c r="CI1921" i="1"/>
  <c r="CJ1921" i="1" s="1"/>
  <c r="BQ2964" i="1"/>
  <c r="CI2964" i="1"/>
  <c r="CJ2964" i="1" s="1"/>
  <c r="BQ2117" i="1"/>
  <c r="CI2117" i="1"/>
  <c r="CJ2117" i="1" s="1"/>
  <c r="BQ1915" i="1"/>
  <c r="CI1915" i="1"/>
  <c r="CJ1915" i="1" s="1"/>
  <c r="BQ1573" i="1"/>
  <c r="CI1573" i="1"/>
  <c r="CJ1573" i="1" s="1"/>
  <c r="BQ2983" i="1"/>
  <c r="CI2983" i="1"/>
  <c r="CJ2983" i="1" s="1"/>
  <c r="BQ585" i="1"/>
  <c r="CI585" i="1"/>
  <c r="CJ585" i="1" s="1"/>
  <c r="BQ2708" i="1"/>
  <c r="CI2708" i="1"/>
  <c r="CJ2708" i="1" s="1"/>
  <c r="BQ1261" i="1"/>
  <c r="CI1261" i="1"/>
  <c r="CJ1261" i="1" s="1"/>
  <c r="BQ1571" i="1"/>
  <c r="CI1571" i="1"/>
  <c r="CJ1571" i="1" s="1"/>
  <c r="BQ1825" i="1"/>
  <c r="CI1825" i="1"/>
  <c r="CJ1825" i="1" s="1"/>
  <c r="BQ1735" i="1"/>
  <c r="CI1735" i="1"/>
  <c r="CJ1735" i="1" s="1"/>
  <c r="BQ392" i="1"/>
  <c r="CI392" i="1"/>
  <c r="CJ392" i="1" s="1"/>
  <c r="BQ677" i="1"/>
  <c r="CI677" i="1"/>
  <c r="CJ677" i="1" s="1"/>
  <c r="BQ1108" i="1"/>
  <c r="CI1108" i="1"/>
  <c r="CJ1108" i="1" s="1"/>
  <c r="BQ3048" i="1"/>
  <c r="CI3048" i="1"/>
  <c r="CJ3048" i="1" s="1"/>
  <c r="BQ873" i="1"/>
  <c r="CI873" i="1"/>
  <c r="CJ873" i="1" s="1"/>
  <c r="BQ3068" i="1"/>
  <c r="CI3068" i="1"/>
  <c r="CJ3068" i="1" s="1"/>
  <c r="BQ339" i="1"/>
  <c r="CI339" i="1"/>
  <c r="CJ339" i="1" s="1"/>
  <c r="BQ1932" i="1"/>
  <c r="CI1932" i="1"/>
  <c r="CJ1932" i="1" s="1"/>
  <c r="BQ876" i="1"/>
  <c r="CI876" i="1"/>
  <c r="CJ876" i="1" s="1"/>
  <c r="BQ475" i="1"/>
  <c r="CI475" i="1"/>
  <c r="CJ475" i="1" s="1"/>
  <c r="BQ1798" i="1"/>
  <c r="CI1798" i="1"/>
  <c r="CJ1798" i="1" s="1"/>
  <c r="BQ1935" i="1"/>
  <c r="CI1935" i="1"/>
  <c r="CJ1935" i="1" s="1"/>
  <c r="BQ516" i="1"/>
  <c r="CI516" i="1"/>
  <c r="CJ516" i="1" s="1"/>
  <c r="BQ528" i="1"/>
  <c r="CI528" i="1"/>
  <c r="CJ528" i="1" s="1"/>
  <c r="BQ2073" i="1"/>
  <c r="CI2073" i="1"/>
  <c r="CJ2073" i="1" s="1"/>
  <c r="BQ131" i="1"/>
  <c r="CI131" i="1"/>
  <c r="CJ131" i="1" s="1"/>
  <c r="BQ869" i="1"/>
  <c r="CI869" i="1"/>
  <c r="CJ869" i="1" s="1"/>
  <c r="BQ500" i="1"/>
  <c r="CI500" i="1"/>
  <c r="CJ500" i="1" s="1"/>
  <c r="BQ2305" i="1"/>
  <c r="CI2305" i="1"/>
  <c r="CJ2305" i="1" s="1"/>
  <c r="BQ827" i="1"/>
  <c r="CI827" i="1"/>
  <c r="CJ827" i="1" s="1"/>
  <c r="BQ3138" i="1"/>
  <c r="CI3138" i="1"/>
  <c r="CJ3138" i="1" s="1"/>
  <c r="BQ1000" i="1"/>
  <c r="CI1000" i="1"/>
  <c r="CJ1000" i="1" s="1"/>
  <c r="BQ3141" i="1"/>
  <c r="CI3141" i="1"/>
  <c r="CJ3141" i="1" s="1"/>
  <c r="BQ498" i="1"/>
  <c r="CI498" i="1"/>
  <c r="CJ498" i="1" s="1"/>
  <c r="BQ1487" i="1"/>
  <c r="CI1487" i="1"/>
  <c r="CJ1487" i="1" s="1"/>
  <c r="BQ1633" i="1"/>
  <c r="CI1633" i="1"/>
  <c r="CJ1633" i="1" s="1"/>
  <c r="BQ3148" i="1"/>
  <c r="CI3148" i="1"/>
  <c r="CJ3148" i="1" s="1"/>
  <c r="BQ3151" i="1"/>
  <c r="CI3151" i="1"/>
  <c r="CJ3151" i="1" s="1"/>
  <c r="BQ702" i="1"/>
  <c r="CI702" i="1"/>
  <c r="CJ702" i="1" s="1"/>
  <c r="BQ3160" i="1"/>
  <c r="CI3160" i="1"/>
  <c r="CJ3160" i="1" s="1"/>
  <c r="BQ1730" i="1"/>
  <c r="CI1730" i="1"/>
  <c r="CJ1730" i="1" s="1"/>
  <c r="BQ1693" i="1"/>
  <c r="CI1693" i="1"/>
  <c r="CJ1693" i="1" s="1"/>
  <c r="BQ814" i="1"/>
  <c r="CI814" i="1"/>
  <c r="CJ814" i="1" s="1"/>
  <c r="BQ1668" i="1"/>
  <c r="CI1668" i="1"/>
  <c r="CJ1668" i="1" s="1"/>
  <c r="BQ807" i="1"/>
  <c r="CI807" i="1"/>
  <c r="CJ807" i="1" s="1"/>
  <c r="BQ1024" i="1"/>
  <c r="CI1024" i="1"/>
  <c r="CJ1024" i="1" s="1"/>
  <c r="BQ3183" i="1"/>
  <c r="CI3183" i="1"/>
  <c r="CJ3183" i="1" s="1"/>
  <c r="BQ361" i="1"/>
  <c r="CI361" i="1"/>
  <c r="CJ361" i="1" s="1"/>
  <c r="BQ387" i="1"/>
  <c r="CI387" i="1"/>
  <c r="CJ387" i="1" s="1"/>
  <c r="BQ512" i="1"/>
  <c r="CI512" i="1"/>
  <c r="CJ512" i="1" s="1"/>
  <c r="BQ1951" i="1"/>
  <c r="CI1951" i="1"/>
  <c r="CJ1951" i="1" s="1"/>
  <c r="BQ1463" i="1"/>
  <c r="CI1463" i="1"/>
  <c r="CJ1463" i="1" s="1"/>
  <c r="BQ3204" i="1"/>
  <c r="CI3204" i="1"/>
  <c r="CJ3204" i="1" s="1"/>
  <c r="BQ2559" i="1"/>
  <c r="CI2559" i="1"/>
  <c r="CJ2559" i="1" s="1"/>
  <c r="BQ1557" i="1"/>
  <c r="CI1557" i="1"/>
  <c r="CJ1557" i="1" s="1"/>
  <c r="BQ2191" i="1"/>
  <c r="CI2191" i="1"/>
  <c r="CJ2191" i="1" s="1"/>
  <c r="BQ954" i="1"/>
  <c r="CI954" i="1"/>
  <c r="CJ954" i="1" s="1"/>
  <c r="BQ679" i="1"/>
  <c r="CI679" i="1"/>
  <c r="CJ679" i="1" s="1"/>
  <c r="BQ634" i="1"/>
  <c r="CI634" i="1"/>
  <c r="CJ634" i="1" s="1"/>
  <c r="BQ1859" i="1"/>
  <c r="CI1859" i="1"/>
  <c r="CJ1859" i="1" s="1"/>
  <c r="BQ1887" i="1"/>
  <c r="CI1887" i="1"/>
  <c r="CJ1887" i="1" s="1"/>
  <c r="BQ2365" i="1"/>
  <c r="CI2365" i="1"/>
  <c r="CJ2365" i="1" s="1"/>
  <c r="BQ1840" i="1"/>
  <c r="CI1840" i="1"/>
  <c r="CJ1840" i="1" s="1"/>
  <c r="BQ434" i="1"/>
  <c r="CI434" i="1"/>
  <c r="CJ434" i="1" s="1"/>
  <c r="BQ1334" i="1"/>
  <c r="CI1334" i="1"/>
  <c r="CJ1334" i="1" s="1"/>
  <c r="BQ381" i="1"/>
  <c r="CI381" i="1"/>
  <c r="CJ381" i="1" s="1"/>
  <c r="BQ1023" i="1"/>
  <c r="CI1023" i="1"/>
  <c r="CJ1023" i="1" s="1"/>
  <c r="BQ577" i="1"/>
  <c r="CI577" i="1"/>
  <c r="CJ577" i="1" s="1"/>
  <c r="BQ1216" i="1"/>
  <c r="CI1216" i="1"/>
  <c r="CJ1216" i="1" s="1"/>
  <c r="BQ1123" i="1"/>
  <c r="CI1123" i="1"/>
  <c r="CJ1123" i="1" s="1"/>
  <c r="BQ1811" i="1"/>
  <c r="CI1811" i="1"/>
  <c r="CJ1811" i="1" s="1"/>
  <c r="BQ196" i="1"/>
  <c r="CI196" i="1"/>
  <c r="CJ196" i="1" s="1"/>
  <c r="BQ1317" i="1"/>
  <c r="CI1317" i="1"/>
  <c r="CJ1317" i="1" s="1"/>
  <c r="BQ171" i="1"/>
  <c r="CI171" i="1"/>
  <c r="CJ171" i="1" s="1"/>
  <c r="BQ432" i="1"/>
  <c r="CI432" i="1"/>
  <c r="CJ432" i="1" s="1"/>
  <c r="BQ2147" i="1"/>
  <c r="CI2147" i="1"/>
  <c r="CJ2147" i="1" s="1"/>
  <c r="BQ1189" i="1"/>
  <c r="CI1189" i="1"/>
  <c r="CJ1189" i="1" s="1"/>
  <c r="BQ1836" i="1"/>
  <c r="CI1836" i="1"/>
  <c r="CJ1836" i="1" s="1"/>
  <c r="BQ708" i="1"/>
  <c r="CI708" i="1"/>
  <c r="CJ708" i="1" s="1"/>
  <c r="BQ1250" i="1"/>
  <c r="CI1250" i="1"/>
  <c r="CJ1250" i="1" s="1"/>
  <c r="BQ2105" i="1"/>
  <c r="CI2105" i="1"/>
  <c r="CJ2105" i="1" s="1"/>
  <c r="BQ1172" i="1"/>
  <c r="CI1172" i="1"/>
  <c r="CJ1172" i="1" s="1"/>
  <c r="BQ987" i="1"/>
  <c r="CI987" i="1"/>
  <c r="CJ987" i="1" s="1"/>
  <c r="BQ2258" i="1"/>
  <c r="CI2258" i="1"/>
  <c r="CJ2258" i="1" s="1"/>
  <c r="BQ1191" i="1"/>
  <c r="CI1191" i="1"/>
  <c r="CJ1191" i="1" s="1"/>
  <c r="BQ1525" i="1"/>
  <c r="CI1525" i="1"/>
  <c r="CJ1525" i="1" s="1"/>
  <c r="BQ1339" i="1"/>
  <c r="CI1339" i="1"/>
  <c r="CJ1339" i="1" s="1"/>
  <c r="BQ2437" i="1"/>
  <c r="CI2437" i="1"/>
  <c r="CJ2437" i="1" s="1"/>
  <c r="BQ2074" i="1"/>
  <c r="CI2074" i="1"/>
  <c r="CJ2074" i="1" s="1"/>
  <c r="BQ2401" i="1"/>
  <c r="CI2401" i="1"/>
  <c r="CJ2401" i="1" s="1"/>
  <c r="BQ918" i="1"/>
  <c r="CI918" i="1"/>
  <c r="CJ918" i="1" s="1"/>
  <c r="BQ1884" i="1"/>
  <c r="CI1884" i="1"/>
  <c r="CJ1884" i="1" s="1"/>
  <c r="BQ379" i="1"/>
  <c r="CI379" i="1"/>
  <c r="CJ379" i="1" s="1"/>
  <c r="BQ672" i="1"/>
  <c r="CI672" i="1"/>
  <c r="CJ672" i="1" s="1"/>
  <c r="BQ1488" i="1"/>
  <c r="CI1488" i="1"/>
  <c r="CJ1488" i="1" s="1"/>
  <c r="BQ143" i="1"/>
  <c r="CI143" i="1"/>
  <c r="CJ143" i="1" s="1"/>
  <c r="BQ1672" i="1"/>
  <c r="CI1672" i="1"/>
  <c r="CJ1672" i="1" s="1"/>
  <c r="BQ1235" i="1"/>
  <c r="CI1235" i="1"/>
  <c r="CJ1235" i="1" s="1"/>
  <c r="BQ688" i="1"/>
  <c r="CI688" i="1"/>
  <c r="CJ688" i="1" s="1"/>
  <c r="BQ1147" i="1"/>
  <c r="CI1147" i="1"/>
  <c r="CJ1147" i="1" s="1"/>
  <c r="BQ2749" i="1"/>
  <c r="CI2749" i="1"/>
  <c r="CJ2749" i="1" s="1"/>
  <c r="BQ2751" i="1"/>
  <c r="CI2751" i="1"/>
  <c r="CJ2751" i="1" s="1"/>
  <c r="BQ2754" i="1"/>
  <c r="CI2754" i="1"/>
  <c r="CJ2754" i="1" s="1"/>
  <c r="BQ2769" i="1"/>
  <c r="CI2769" i="1"/>
  <c r="CJ2769" i="1" s="1"/>
  <c r="BQ1160" i="1"/>
  <c r="CI1160" i="1"/>
  <c r="CJ1160" i="1" s="1"/>
  <c r="BQ1302" i="1"/>
  <c r="CI1302" i="1"/>
  <c r="CJ1302" i="1" s="1"/>
  <c r="BQ2487" i="1"/>
  <c r="CI2487" i="1"/>
  <c r="CJ2487" i="1" s="1"/>
  <c r="BQ2801" i="1"/>
  <c r="CI2801" i="1"/>
  <c r="CJ2801" i="1" s="1"/>
  <c r="BQ1138" i="1"/>
  <c r="CI1138" i="1"/>
  <c r="CJ1138" i="1" s="1"/>
  <c r="BQ2444" i="1"/>
  <c r="CI2444" i="1"/>
  <c r="CJ2444" i="1" s="1"/>
  <c r="BQ112" i="1"/>
  <c r="CI112" i="1"/>
  <c r="CJ112" i="1" s="1"/>
  <c r="BQ572" i="1"/>
  <c r="CI572" i="1"/>
  <c r="CJ572" i="1" s="1"/>
  <c r="BQ1869" i="1"/>
  <c r="CI1869" i="1"/>
  <c r="CJ1869" i="1" s="1"/>
  <c r="BQ2488" i="1"/>
  <c r="CI2488" i="1"/>
  <c r="CJ2488" i="1" s="1"/>
  <c r="BQ2110" i="1"/>
  <c r="CI2110" i="1"/>
  <c r="CJ2110" i="1" s="1"/>
  <c r="BQ1394" i="1"/>
  <c r="CI1394" i="1"/>
  <c r="CJ1394" i="1" s="1"/>
  <c r="BQ2358" i="1"/>
  <c r="CI2358" i="1"/>
  <c r="CJ2358" i="1" s="1"/>
  <c r="BQ352" i="1"/>
  <c r="CI352" i="1"/>
  <c r="CJ352" i="1" s="1"/>
  <c r="BQ24" i="1"/>
  <c r="CI24" i="1"/>
  <c r="CJ24" i="1" s="1"/>
  <c r="BQ2912" i="1"/>
  <c r="CI2912" i="1"/>
  <c r="CJ2912" i="1" s="1"/>
  <c r="BQ16" i="1"/>
  <c r="CI16" i="1"/>
  <c r="CJ16" i="1" s="1"/>
  <c r="BQ1481" i="1"/>
  <c r="CI1481" i="1"/>
  <c r="CJ1481" i="1" s="1"/>
  <c r="BQ2406" i="1"/>
  <c r="CI2406" i="1"/>
  <c r="CJ2406" i="1" s="1"/>
  <c r="BQ1350" i="1"/>
  <c r="CI1350" i="1"/>
  <c r="CJ1350" i="1" s="1"/>
  <c r="BQ732" i="1"/>
  <c r="CI732" i="1"/>
  <c r="CJ732" i="1" s="1"/>
  <c r="BQ2921" i="1"/>
  <c r="CI2921" i="1"/>
  <c r="CJ2921" i="1" s="1"/>
  <c r="BQ912" i="1"/>
  <c r="CI912" i="1"/>
  <c r="CJ912" i="1" s="1"/>
  <c r="BQ2497" i="1"/>
  <c r="CI2497" i="1"/>
  <c r="CJ2497" i="1" s="1"/>
  <c r="BQ2939" i="1"/>
  <c r="CI2939" i="1"/>
  <c r="CJ2939" i="1" s="1"/>
  <c r="BQ344" i="1"/>
  <c r="CI344" i="1"/>
  <c r="CJ344" i="1" s="1"/>
  <c r="BQ811" i="1"/>
  <c r="CI811" i="1"/>
  <c r="CJ811" i="1" s="1"/>
  <c r="BQ2412" i="1"/>
  <c r="CI2412" i="1"/>
  <c r="CJ2412" i="1" s="1"/>
  <c r="BQ1458" i="1"/>
  <c r="CI1458" i="1"/>
  <c r="CJ1458" i="1" s="1"/>
  <c r="BQ1756" i="1"/>
  <c r="CI1756" i="1"/>
  <c r="CJ1756" i="1" s="1"/>
  <c r="BQ2197" i="1"/>
  <c r="CI2197" i="1"/>
  <c r="CJ2197" i="1" s="1"/>
  <c r="BQ2527" i="1"/>
  <c r="CI2527" i="1"/>
  <c r="CJ2527" i="1" s="1"/>
  <c r="BQ1360" i="1"/>
  <c r="CI1360" i="1"/>
  <c r="CJ1360" i="1" s="1"/>
  <c r="BQ2294" i="1"/>
  <c r="CI2294" i="1"/>
  <c r="CJ2294" i="1" s="1"/>
  <c r="BQ2193" i="1"/>
  <c r="CI2193" i="1"/>
  <c r="CJ2193" i="1" s="1"/>
  <c r="BQ1774" i="1"/>
  <c r="CI1774" i="1"/>
  <c r="CJ1774" i="1" s="1"/>
  <c r="BQ305" i="1"/>
  <c r="CI305" i="1"/>
  <c r="CJ305" i="1" s="1"/>
  <c r="BQ1225" i="1"/>
  <c r="CI1225" i="1"/>
  <c r="CJ1225" i="1" s="1"/>
  <c r="BQ2253" i="1"/>
  <c r="CI2253" i="1"/>
  <c r="CJ2253" i="1" s="1"/>
  <c r="BQ1004" i="1"/>
  <c r="CI1004" i="1"/>
  <c r="CJ1004" i="1" s="1"/>
  <c r="BQ2087" i="1"/>
  <c r="CI2087" i="1"/>
  <c r="CJ2087" i="1" s="1"/>
  <c r="BQ1535" i="1"/>
  <c r="CI1535" i="1"/>
  <c r="CJ1535" i="1" s="1"/>
  <c r="BQ3037" i="1"/>
  <c r="CI3037" i="1"/>
  <c r="CJ3037" i="1" s="1"/>
  <c r="BQ2187" i="1"/>
  <c r="CI2187" i="1"/>
  <c r="CJ2187" i="1" s="1"/>
  <c r="BQ2114" i="1"/>
  <c r="CI2114" i="1"/>
  <c r="CJ2114" i="1" s="1"/>
  <c r="BQ3122" i="1"/>
  <c r="CI3122" i="1"/>
  <c r="CJ3122" i="1" s="1"/>
  <c r="BQ2372" i="1"/>
  <c r="CI2372" i="1"/>
  <c r="CJ2372" i="1" s="1"/>
  <c r="BQ2256" i="1"/>
  <c r="CI2256" i="1"/>
  <c r="CJ2256" i="1" s="1"/>
  <c r="BQ1211" i="1"/>
  <c r="CI1211" i="1"/>
  <c r="CJ1211" i="1" s="1"/>
  <c r="BQ168" i="1"/>
  <c r="CI168" i="1"/>
  <c r="CJ168" i="1" s="1"/>
  <c r="BQ3168" i="1"/>
  <c r="CI3168" i="1"/>
  <c r="CJ3168" i="1" s="1"/>
  <c r="BQ1022" i="1"/>
  <c r="CI1022" i="1"/>
  <c r="CJ1022" i="1" s="1"/>
  <c r="BQ1826" i="1"/>
  <c r="CI1826" i="1"/>
  <c r="CJ1826" i="1" s="1"/>
  <c r="BQ2563" i="1"/>
  <c r="CI2563" i="1"/>
  <c r="CJ2563" i="1" s="1"/>
  <c r="BQ2394" i="1"/>
  <c r="CI2394" i="1"/>
  <c r="CJ2394" i="1" s="1"/>
  <c r="BQ731" i="1"/>
  <c r="CI731" i="1"/>
  <c r="CJ731" i="1" s="1"/>
  <c r="BQ2395" i="1"/>
  <c r="CI2395" i="1"/>
  <c r="CJ2395" i="1" s="1"/>
  <c r="BQ1301" i="1"/>
  <c r="CI1301" i="1"/>
  <c r="CJ1301" i="1" s="1"/>
  <c r="BQ2609" i="1"/>
  <c r="CI2609" i="1"/>
  <c r="CJ2609" i="1" s="1"/>
  <c r="BQ2611" i="1"/>
  <c r="CI2611" i="1"/>
  <c r="CJ2611" i="1" s="1"/>
  <c r="BQ1954" i="1"/>
  <c r="CI1954" i="1"/>
  <c r="CJ1954" i="1" s="1"/>
  <c r="BQ1415" i="1"/>
  <c r="CI1415" i="1"/>
  <c r="CJ1415" i="1" s="1"/>
  <c r="BQ2687" i="1"/>
  <c r="CI2687" i="1"/>
  <c r="CJ2687" i="1" s="1"/>
  <c r="BQ2734" i="1"/>
  <c r="CI2734" i="1"/>
  <c r="CJ2734" i="1" s="1"/>
  <c r="BQ1065" i="1"/>
  <c r="CI1065" i="1"/>
  <c r="CJ1065" i="1" s="1"/>
  <c r="BQ2280" i="1"/>
  <c r="CI2280" i="1"/>
  <c r="CJ2280" i="1" s="1"/>
  <c r="BQ1916" i="1"/>
  <c r="CI1916" i="1"/>
  <c r="CJ1916" i="1" s="1"/>
  <c r="BQ683" i="1"/>
  <c r="CI683" i="1"/>
  <c r="CJ683" i="1" s="1"/>
  <c r="BQ1222" i="1"/>
  <c r="CI1222" i="1"/>
  <c r="CJ1222" i="1" s="1"/>
  <c r="BQ1722" i="1"/>
  <c r="CI1722" i="1"/>
  <c r="CJ1722" i="1" s="1"/>
  <c r="BQ141" i="1"/>
  <c r="CI141" i="1"/>
  <c r="CJ141" i="1" s="1"/>
  <c r="BQ1698" i="1"/>
  <c r="CI1698" i="1"/>
  <c r="CJ1698" i="1" s="1"/>
  <c r="BQ2235" i="1"/>
  <c r="CI2235" i="1"/>
  <c r="CJ2235" i="1" s="1"/>
  <c r="BQ1548" i="1"/>
  <c r="CI1548" i="1"/>
  <c r="CJ1548" i="1" s="1"/>
  <c r="BQ2824" i="1"/>
  <c r="CI2824" i="1"/>
  <c r="CJ2824" i="1" s="1"/>
  <c r="BQ2550" i="1"/>
  <c r="CI2550" i="1"/>
  <c r="CJ2550" i="1" s="1"/>
  <c r="BQ1962" i="1"/>
  <c r="CI1962" i="1"/>
  <c r="CJ1962" i="1" s="1"/>
  <c r="BQ591" i="1"/>
  <c r="CI591" i="1"/>
  <c r="CJ591" i="1" s="1"/>
  <c r="BQ2068" i="1"/>
  <c r="CI2068" i="1"/>
  <c r="CJ2068" i="1" s="1"/>
  <c r="BQ18" i="1"/>
  <c r="CI18" i="1"/>
  <c r="CJ18" i="1" s="1"/>
  <c r="BQ1340" i="1"/>
  <c r="CI1340" i="1"/>
  <c r="CJ1340" i="1" s="1"/>
  <c r="BQ287" i="1"/>
  <c r="CI287" i="1"/>
  <c r="CJ287" i="1" s="1"/>
  <c r="BQ786" i="1"/>
  <c r="CI786" i="1"/>
  <c r="CJ786" i="1" s="1"/>
  <c r="BQ2945" i="1"/>
  <c r="CI2945" i="1"/>
  <c r="CJ2945" i="1" s="1"/>
  <c r="BQ1323" i="1"/>
  <c r="CI1323" i="1"/>
  <c r="CJ1323" i="1" s="1"/>
  <c r="BQ1594" i="1"/>
  <c r="CI1594" i="1"/>
  <c r="CJ1594" i="1" s="1"/>
  <c r="BQ1012" i="1"/>
  <c r="CI1012" i="1"/>
  <c r="CJ1012" i="1" s="1"/>
  <c r="BQ2564" i="1"/>
  <c r="CI2564" i="1"/>
  <c r="CJ2564" i="1" s="1"/>
  <c r="BQ497" i="1"/>
  <c r="CI497" i="1"/>
  <c r="CJ497" i="1" s="1"/>
  <c r="BQ2314" i="1"/>
  <c r="CI2314" i="1"/>
  <c r="CJ2314" i="1" s="1"/>
  <c r="BQ1830" i="1"/>
  <c r="CI1830" i="1"/>
  <c r="CJ1830" i="1" s="1"/>
  <c r="BQ796" i="1"/>
  <c r="CI796" i="1"/>
  <c r="CJ796" i="1" s="1"/>
  <c r="BQ120" i="1"/>
  <c r="CI120" i="1"/>
  <c r="CJ120" i="1" s="1"/>
  <c r="BQ942" i="1"/>
  <c r="CI942" i="1"/>
  <c r="CJ942" i="1" s="1"/>
  <c r="BQ601" i="1"/>
  <c r="CI601" i="1"/>
  <c r="CJ601" i="1" s="1"/>
  <c r="BQ2601" i="1"/>
  <c r="CI2601" i="1"/>
  <c r="CJ2601" i="1" s="1"/>
  <c r="BQ2174" i="1"/>
  <c r="CI2174" i="1"/>
  <c r="CJ2174" i="1" s="1"/>
  <c r="BQ2594" i="1"/>
  <c r="CI2594" i="1"/>
  <c r="CJ2594" i="1" s="1"/>
  <c r="BQ2618" i="1"/>
  <c r="CI2618" i="1"/>
  <c r="CJ2618" i="1" s="1"/>
  <c r="BQ1430" i="1"/>
  <c r="CI1430" i="1"/>
  <c r="CJ1430" i="1" s="1"/>
  <c r="BQ22" i="1"/>
  <c r="CI22" i="1"/>
  <c r="CJ22" i="1" s="1"/>
  <c r="BQ606" i="1"/>
  <c r="CI606" i="1"/>
  <c r="CJ606" i="1" s="1"/>
  <c r="BQ1606" i="1"/>
  <c r="CI1606" i="1"/>
  <c r="CJ1606" i="1" s="1"/>
  <c r="BQ2134" i="1"/>
  <c r="CI2134" i="1"/>
  <c r="CJ2134" i="1" s="1"/>
  <c r="BQ2651" i="1"/>
  <c r="CI2651" i="1"/>
  <c r="CJ2651" i="1" s="1"/>
  <c r="BQ766" i="1"/>
  <c r="CI766" i="1"/>
  <c r="CJ766" i="1" s="1"/>
  <c r="BQ681" i="1"/>
  <c r="CI681" i="1"/>
  <c r="CJ681" i="1" s="1"/>
  <c r="BQ1101" i="1"/>
  <c r="CI1101" i="1"/>
  <c r="CJ1101" i="1" s="1"/>
  <c r="BQ360" i="1"/>
  <c r="CI360" i="1"/>
  <c r="CJ360" i="1" s="1"/>
  <c r="BQ2711" i="1"/>
  <c r="CI2711" i="1"/>
  <c r="CJ2711" i="1" s="1"/>
  <c r="BQ559" i="1"/>
  <c r="CI559" i="1"/>
  <c r="CJ559" i="1" s="1"/>
  <c r="BQ1071" i="1"/>
  <c r="CI1071" i="1"/>
  <c r="CJ1071" i="1" s="1"/>
  <c r="BQ193" i="1"/>
  <c r="CI193" i="1"/>
  <c r="CJ193" i="1" s="1"/>
  <c r="BQ651" i="1"/>
  <c r="CI651" i="1"/>
  <c r="CJ651" i="1" s="1"/>
  <c r="BQ993" i="1"/>
  <c r="CI993" i="1"/>
  <c r="CJ993" i="1" s="1"/>
  <c r="BQ2737" i="1"/>
  <c r="CI2737" i="1"/>
  <c r="CJ2737" i="1" s="1"/>
  <c r="BQ2296" i="1"/>
  <c r="CI2296" i="1"/>
  <c r="CJ2296" i="1" s="1"/>
  <c r="BQ859" i="1"/>
  <c r="CI859" i="1"/>
  <c r="CJ859" i="1" s="1"/>
  <c r="BQ2053" i="1"/>
  <c r="CI2053" i="1"/>
  <c r="CJ2053" i="1" s="1"/>
  <c r="BQ560" i="1"/>
  <c r="CI560" i="1"/>
  <c r="CJ560" i="1" s="1"/>
  <c r="BQ1348" i="1"/>
  <c r="CI1348" i="1"/>
  <c r="CJ1348" i="1" s="1"/>
  <c r="BQ2173" i="1"/>
  <c r="CI2173" i="1"/>
  <c r="CJ2173" i="1" s="1"/>
  <c r="BQ2774" i="1"/>
  <c r="CI2774" i="1"/>
  <c r="CJ2774" i="1" s="1"/>
  <c r="BQ2777" i="1"/>
  <c r="CI2777" i="1"/>
  <c r="CJ2777" i="1" s="1"/>
  <c r="BQ523" i="1"/>
  <c r="CI523" i="1"/>
  <c r="CJ523" i="1" s="1"/>
  <c r="BQ410" i="1"/>
  <c r="CI410" i="1"/>
  <c r="CJ410" i="1" s="1"/>
  <c r="BQ2790" i="1"/>
  <c r="CI2790" i="1"/>
  <c r="CJ2790" i="1" s="1"/>
  <c r="BQ1982" i="1"/>
  <c r="CI1982" i="1"/>
  <c r="CJ1982" i="1" s="1"/>
  <c r="BQ2434" i="1"/>
  <c r="CI2434" i="1"/>
  <c r="CJ2434" i="1" s="1"/>
  <c r="BQ885" i="1"/>
  <c r="CI885" i="1"/>
  <c r="CJ885" i="1" s="1"/>
  <c r="BQ2806" i="1"/>
  <c r="CI2806" i="1"/>
  <c r="CJ2806" i="1" s="1"/>
  <c r="BQ174" i="1"/>
  <c r="CI174" i="1"/>
  <c r="CJ174" i="1" s="1"/>
  <c r="BQ118" i="1"/>
  <c r="CI118" i="1"/>
  <c r="CJ118" i="1" s="1"/>
  <c r="BQ1965" i="1"/>
  <c r="CI1965" i="1"/>
  <c r="CJ1965" i="1" s="1"/>
  <c r="BQ919" i="1"/>
  <c r="CI919" i="1"/>
  <c r="CJ919" i="1" s="1"/>
  <c r="BQ743" i="1"/>
  <c r="CI743" i="1"/>
  <c r="CJ743" i="1" s="1"/>
  <c r="BQ1031" i="1"/>
  <c r="CI1031" i="1"/>
  <c r="CJ1031" i="1" s="1"/>
  <c r="BQ1006" i="1"/>
  <c r="CI1006" i="1"/>
  <c r="CJ1006" i="1" s="1"/>
  <c r="BQ1877" i="1"/>
  <c r="CI1877" i="1"/>
  <c r="CJ1877" i="1" s="1"/>
  <c r="BQ125" i="1"/>
  <c r="CI125" i="1"/>
  <c r="CJ125" i="1" s="1"/>
  <c r="BQ2508" i="1"/>
  <c r="CI2508" i="1"/>
  <c r="CJ2508" i="1" s="1"/>
  <c r="BQ2482" i="1"/>
  <c r="CI2482" i="1"/>
  <c r="CJ2482" i="1" s="1"/>
  <c r="BQ439" i="1"/>
  <c r="CI439" i="1"/>
  <c r="CJ439" i="1" s="1"/>
  <c r="BQ1850" i="1"/>
  <c r="CI1850" i="1"/>
  <c r="CJ1850" i="1" s="1"/>
  <c r="BQ181" i="1"/>
  <c r="CI181" i="1"/>
  <c r="CJ181" i="1" s="1"/>
  <c r="BQ1243" i="1"/>
  <c r="CI1243" i="1"/>
  <c r="CJ1243" i="1" s="1"/>
  <c r="BQ700" i="1"/>
  <c r="CI700" i="1"/>
  <c r="CJ700" i="1" s="1"/>
  <c r="BQ406" i="1"/>
  <c r="CI406" i="1"/>
  <c r="CJ406" i="1" s="1"/>
  <c r="BQ386" i="1"/>
  <c r="CI386" i="1"/>
  <c r="CJ386" i="1" s="1"/>
  <c r="BQ1111" i="1"/>
  <c r="CI1111" i="1"/>
  <c r="CJ1111" i="1" s="1"/>
  <c r="BQ2044" i="1"/>
  <c r="CI2044" i="1"/>
  <c r="CJ2044" i="1" s="1"/>
  <c r="BQ2863" i="1"/>
  <c r="CI2863" i="1"/>
  <c r="CJ2863" i="1" s="1"/>
  <c r="BQ2479" i="1"/>
  <c r="CI2479" i="1"/>
  <c r="CJ2479" i="1" s="1"/>
  <c r="BQ2870" i="1"/>
  <c r="CI2870" i="1"/>
  <c r="CJ2870" i="1" s="1"/>
  <c r="BQ988" i="1"/>
  <c r="CI988" i="1"/>
  <c r="CJ988" i="1" s="1"/>
  <c r="BQ2878" i="1"/>
  <c r="CI2878" i="1"/>
  <c r="CJ2878" i="1" s="1"/>
  <c r="BQ155" i="1"/>
  <c r="CI155" i="1"/>
  <c r="CJ155" i="1" s="1"/>
  <c r="BQ1705" i="1"/>
  <c r="CI1705" i="1"/>
  <c r="CJ1705" i="1" s="1"/>
  <c r="BQ1542" i="1"/>
  <c r="CI1542" i="1"/>
  <c r="CJ1542" i="1" s="1"/>
  <c r="BQ1443" i="1"/>
  <c r="CI1443" i="1"/>
  <c r="CJ1443" i="1" s="1"/>
  <c r="BQ2891" i="1"/>
  <c r="CI2891" i="1"/>
  <c r="CJ2891" i="1" s="1"/>
  <c r="BQ1422" i="1"/>
  <c r="CI1422" i="1"/>
  <c r="CJ1422" i="1" s="1"/>
  <c r="BQ1791" i="1"/>
  <c r="CI1791" i="1"/>
  <c r="CJ1791" i="1" s="1"/>
  <c r="BQ694" i="1"/>
  <c r="CI694" i="1"/>
  <c r="CJ694" i="1" s="1"/>
  <c r="BQ736" i="1"/>
  <c r="CI736" i="1"/>
  <c r="CJ736" i="1" s="1"/>
  <c r="BQ2902" i="1"/>
  <c r="CI2902" i="1"/>
  <c r="CJ2902" i="1" s="1"/>
  <c r="BQ1609" i="1"/>
  <c r="CI1609" i="1"/>
  <c r="CJ1609" i="1" s="1"/>
  <c r="BQ1372" i="1"/>
  <c r="CI1372" i="1"/>
  <c r="CJ1372" i="1" s="1"/>
  <c r="BQ776" i="1"/>
  <c r="CI776" i="1"/>
  <c r="CJ776" i="1" s="1"/>
  <c r="BQ1519" i="1"/>
  <c r="CI1519" i="1"/>
  <c r="CJ1519" i="1" s="1"/>
  <c r="BQ2914" i="1"/>
  <c r="CI2914" i="1"/>
  <c r="CJ2914" i="1" s="1"/>
  <c r="BQ2387" i="1"/>
  <c r="CI2387" i="1"/>
  <c r="CJ2387" i="1" s="1"/>
  <c r="BQ835" i="1"/>
  <c r="CI835" i="1"/>
  <c r="CJ835" i="1" s="1"/>
  <c r="BQ1561" i="1"/>
  <c r="CI1561" i="1"/>
  <c r="CJ1561" i="1" s="1"/>
  <c r="BQ2933" i="1"/>
  <c r="CI2933" i="1"/>
  <c r="CJ2933" i="1" s="1"/>
  <c r="BQ408" i="1"/>
  <c r="CI408" i="1"/>
  <c r="CJ408" i="1" s="1"/>
  <c r="BQ2937" i="1"/>
  <c r="CI2937" i="1"/>
  <c r="CJ2937" i="1" s="1"/>
  <c r="BQ511" i="1"/>
  <c r="CI511" i="1"/>
  <c r="CJ511" i="1" s="1"/>
  <c r="BQ2001" i="1"/>
  <c r="CI2001" i="1"/>
  <c r="CJ2001" i="1" s="1"/>
  <c r="BQ692" i="1"/>
  <c r="CI692" i="1"/>
  <c r="CJ692" i="1" s="1"/>
  <c r="BQ1626" i="1"/>
  <c r="CI1626" i="1"/>
  <c r="CJ1626" i="1" s="1"/>
  <c r="BQ754" i="1"/>
  <c r="CI754" i="1"/>
  <c r="CJ754" i="1" s="1"/>
  <c r="BQ1847" i="1"/>
  <c r="CI1847" i="1"/>
  <c r="CJ1847" i="1" s="1"/>
  <c r="BQ669" i="1"/>
  <c r="CI669" i="1"/>
  <c r="CJ669" i="1" s="1"/>
  <c r="BQ2760" i="1"/>
  <c r="CI2760" i="1"/>
  <c r="CJ2760" i="1" s="1"/>
  <c r="BQ1659" i="1"/>
  <c r="CI1659" i="1"/>
  <c r="CJ1659" i="1" s="1"/>
  <c r="BQ323" i="1"/>
  <c r="CI323" i="1"/>
  <c r="CJ323" i="1" s="1"/>
  <c r="BQ1043" i="1"/>
  <c r="CI1043" i="1"/>
  <c r="CJ1043" i="1" s="1"/>
  <c r="BQ986" i="1"/>
  <c r="CI986" i="1"/>
  <c r="CJ986" i="1" s="1"/>
  <c r="BQ152" i="1"/>
  <c r="CI152" i="1"/>
  <c r="CJ152" i="1" s="1"/>
  <c r="BQ1259" i="1"/>
  <c r="CI1259" i="1"/>
  <c r="CJ1259" i="1" s="1"/>
  <c r="BQ950" i="1"/>
  <c r="CI950" i="1"/>
  <c r="CJ950" i="1" s="1"/>
  <c r="BQ860" i="1"/>
  <c r="CI860" i="1"/>
  <c r="CJ860" i="1" s="1"/>
  <c r="BQ2970" i="1"/>
  <c r="CI2970" i="1"/>
  <c r="CJ2970" i="1" s="1"/>
  <c r="BQ789" i="1"/>
  <c r="CI789" i="1"/>
  <c r="CJ789" i="1" s="1"/>
  <c r="BQ1498" i="1"/>
  <c r="CI1498" i="1"/>
  <c r="CJ1498" i="1" s="1"/>
  <c r="BQ699" i="1"/>
  <c r="CI699" i="1"/>
  <c r="CJ699" i="1" s="1"/>
  <c r="BQ2951" i="1"/>
  <c r="CI2951" i="1"/>
  <c r="CJ2951" i="1" s="1"/>
  <c r="BQ2050" i="1"/>
  <c r="CI2050" i="1"/>
  <c r="CJ2050" i="1" s="1"/>
  <c r="BQ1625" i="1"/>
  <c r="CI1625" i="1"/>
  <c r="CJ1625" i="1" s="1"/>
  <c r="BQ2994" i="1"/>
  <c r="CI2994" i="1"/>
  <c r="CJ2994" i="1" s="1"/>
  <c r="BQ1187" i="1"/>
  <c r="CI1187" i="1"/>
  <c r="CJ1187" i="1" s="1"/>
  <c r="BQ2207" i="1"/>
  <c r="CI2207" i="1"/>
  <c r="CJ2207" i="1" s="1"/>
  <c r="BQ3002" i="1"/>
  <c r="CI3002" i="1"/>
  <c r="CJ3002" i="1" s="1"/>
  <c r="BQ1590" i="1"/>
  <c r="CI1590" i="1"/>
  <c r="CJ1590" i="1" s="1"/>
  <c r="BQ1514" i="1"/>
  <c r="CI1514" i="1"/>
  <c r="CJ1514" i="1" s="1"/>
  <c r="BQ3016" i="1"/>
  <c r="CI3016" i="1"/>
  <c r="CJ3016" i="1" s="1"/>
  <c r="BQ1953" i="1"/>
  <c r="CI1953" i="1"/>
  <c r="CJ1953" i="1" s="1"/>
  <c r="BQ3021" i="1"/>
  <c r="CI3021" i="1"/>
  <c r="CJ3021" i="1" s="1"/>
  <c r="BQ771" i="1"/>
  <c r="CI771" i="1"/>
  <c r="CJ771" i="1" s="1"/>
  <c r="BQ2300" i="1"/>
  <c r="CI2300" i="1"/>
  <c r="CJ2300" i="1" s="1"/>
  <c r="BQ3031" i="1"/>
  <c r="CI3031" i="1"/>
  <c r="CJ3031" i="1" s="1"/>
  <c r="BQ3053" i="1"/>
  <c r="CI3053" i="1"/>
  <c r="CJ3053" i="1" s="1"/>
  <c r="BQ1584" i="1"/>
  <c r="CI1584" i="1"/>
  <c r="CJ1584" i="1" s="1"/>
  <c r="BQ1928" i="1"/>
  <c r="CI1928" i="1"/>
  <c r="CJ1928" i="1" s="1"/>
  <c r="BQ1957" i="1"/>
  <c r="CI1957" i="1"/>
  <c r="CJ1957" i="1" s="1"/>
  <c r="BQ1670" i="1"/>
  <c r="CI1670" i="1"/>
  <c r="CJ1670" i="1" s="1"/>
  <c r="BQ2548" i="1"/>
  <c r="CI2548" i="1"/>
  <c r="CJ2548" i="1" s="1"/>
  <c r="BQ2123" i="1"/>
  <c r="CI2123" i="1"/>
  <c r="CJ2123" i="1" s="1"/>
  <c r="BQ3091" i="1"/>
  <c r="CI3091" i="1"/>
  <c r="CJ3091" i="1" s="1"/>
  <c r="BQ507" i="1"/>
  <c r="CI507" i="1"/>
  <c r="CJ507" i="1" s="1"/>
  <c r="BQ3113" i="1"/>
  <c r="CI3113" i="1"/>
  <c r="CJ3113" i="1" s="1"/>
  <c r="BQ3117" i="1"/>
  <c r="CI3117" i="1"/>
  <c r="CJ3117" i="1" s="1"/>
  <c r="BQ1190" i="1"/>
  <c r="CI1190" i="1"/>
  <c r="CJ1190" i="1" s="1"/>
  <c r="BQ1674" i="1"/>
  <c r="CI1674" i="1"/>
  <c r="CJ1674" i="1" s="1"/>
  <c r="BQ1331" i="1"/>
  <c r="CI1331" i="1"/>
  <c r="CJ1331" i="1" s="1"/>
  <c r="BQ829" i="1"/>
  <c r="CI829" i="1"/>
  <c r="CJ829" i="1" s="1"/>
  <c r="BQ1905" i="1"/>
  <c r="CI1905" i="1"/>
  <c r="CJ1905" i="1" s="1"/>
  <c r="BQ2103" i="1"/>
  <c r="CI2103" i="1"/>
  <c r="CJ2103" i="1" s="1"/>
  <c r="BQ857" i="1"/>
  <c r="CI857" i="1"/>
  <c r="CJ857" i="1" s="1"/>
  <c r="BQ2060" i="1"/>
  <c r="CI2060" i="1"/>
  <c r="CJ2060" i="1" s="1"/>
  <c r="BQ620" i="1"/>
  <c r="CI620" i="1"/>
  <c r="CJ620" i="1" s="1"/>
  <c r="BQ567" i="1"/>
  <c r="CI567" i="1"/>
  <c r="CJ567" i="1" s="1"/>
  <c r="BQ1598" i="1"/>
  <c r="CI1598" i="1"/>
  <c r="CJ1598" i="1" s="1"/>
  <c r="BQ1268" i="1"/>
  <c r="CI1268" i="1"/>
  <c r="CJ1268" i="1" s="1"/>
  <c r="BQ436" i="1"/>
  <c r="CI436" i="1"/>
  <c r="CJ436" i="1" s="1"/>
  <c r="BQ3203" i="1"/>
  <c r="CI3203" i="1"/>
  <c r="CJ3203" i="1" s="1"/>
  <c r="BQ1407" i="1"/>
  <c r="CI1407" i="1"/>
  <c r="CJ1407" i="1" s="1"/>
  <c r="BQ1401" i="1"/>
  <c r="CI1401" i="1"/>
  <c r="CJ1401" i="1" s="1"/>
  <c r="BQ1129" i="1"/>
  <c r="CI1129" i="1"/>
  <c r="CJ1129" i="1" s="1"/>
  <c r="BQ2266" i="1"/>
  <c r="CI2266" i="1"/>
  <c r="CJ2266" i="1" s="1"/>
  <c r="BQ342" i="1"/>
  <c r="CI342" i="1"/>
  <c r="CJ342" i="1" s="1"/>
  <c r="BQ2507" i="1"/>
  <c r="CI2507" i="1"/>
  <c r="CJ2507" i="1" s="1"/>
  <c r="BQ2807" i="1"/>
  <c r="CI2807" i="1"/>
  <c r="CJ2807" i="1" s="1"/>
  <c r="BQ2484" i="1"/>
  <c r="CI2484" i="1"/>
  <c r="CJ2484" i="1" s="1"/>
  <c r="BQ1881" i="1"/>
  <c r="CI1881" i="1"/>
  <c r="CJ1881" i="1" s="1"/>
  <c r="BQ759" i="1"/>
  <c r="CI759" i="1"/>
  <c r="CJ759" i="1" s="1"/>
  <c r="BQ545" i="1"/>
  <c r="CI545" i="1"/>
  <c r="CJ545" i="1" s="1"/>
  <c r="BQ416" i="1"/>
  <c r="CI416" i="1"/>
  <c r="CJ416" i="1" s="1"/>
  <c r="BQ2860" i="1"/>
  <c r="CI2860" i="1"/>
  <c r="CJ2860" i="1" s="1"/>
  <c r="BQ294" i="1"/>
  <c r="CI294" i="1"/>
  <c r="CJ294" i="1" s="1"/>
  <c r="BQ2899" i="1"/>
  <c r="CI2899" i="1"/>
  <c r="CJ2899" i="1" s="1"/>
  <c r="BQ1083" i="1"/>
  <c r="CI1083" i="1"/>
  <c r="CJ1083" i="1" s="1"/>
  <c r="BQ477" i="1"/>
  <c r="CI477" i="1"/>
  <c r="CJ477" i="1" s="1"/>
  <c r="BQ749" i="1"/>
  <c r="CI749" i="1"/>
  <c r="CJ749" i="1" s="1"/>
  <c r="BQ2553" i="1"/>
  <c r="CI2553" i="1"/>
  <c r="CJ2553" i="1" s="1"/>
  <c r="BQ2416" i="1"/>
  <c r="CI2416" i="1"/>
  <c r="CJ2416" i="1" s="1"/>
  <c r="BQ2481" i="1"/>
  <c r="CI2481" i="1"/>
  <c r="CJ2481" i="1" s="1"/>
  <c r="BQ609" i="1"/>
  <c r="CI609" i="1"/>
  <c r="CJ609" i="1" s="1"/>
  <c r="BQ1165" i="1"/>
  <c r="CI1165" i="1"/>
  <c r="CJ1165" i="1" s="1"/>
  <c r="BQ2981" i="1"/>
  <c r="CI2981" i="1"/>
  <c r="CJ2981" i="1" s="1"/>
  <c r="BQ2347" i="1"/>
  <c r="CI2347" i="1"/>
  <c r="CJ2347" i="1" s="1"/>
  <c r="BQ2357" i="1"/>
  <c r="CI2357" i="1"/>
  <c r="CJ2357" i="1" s="1"/>
  <c r="BQ12" i="1"/>
  <c r="CI12" i="1"/>
  <c r="CJ12" i="1" s="1"/>
  <c r="BQ2133" i="1"/>
  <c r="CI2133" i="1"/>
  <c r="CJ2133" i="1" s="1"/>
  <c r="BQ1586" i="1"/>
  <c r="CI1586" i="1"/>
  <c r="CJ1586" i="1" s="1"/>
  <c r="BQ2996" i="1"/>
  <c r="CI2996" i="1"/>
  <c r="CJ2996" i="1" s="1"/>
  <c r="BQ2997" i="1"/>
  <c r="CI2997" i="1"/>
  <c r="CJ2997" i="1" s="1"/>
  <c r="BQ1446" i="1"/>
  <c r="CI1446" i="1"/>
  <c r="CJ1446" i="1" s="1"/>
  <c r="BQ744" i="1"/>
  <c r="CI744" i="1"/>
  <c r="CJ744" i="1" s="1"/>
  <c r="BQ3077" i="1"/>
  <c r="CI3077" i="1"/>
  <c r="CJ3077" i="1" s="1"/>
  <c r="BQ608" i="1"/>
  <c r="CI608" i="1"/>
  <c r="CJ608" i="1" s="1"/>
  <c r="BQ3115" i="1"/>
  <c r="CI3115" i="1"/>
  <c r="CJ3115" i="1" s="1"/>
  <c r="BQ1663" i="1"/>
  <c r="CI1663" i="1"/>
  <c r="CJ1663" i="1" s="1"/>
  <c r="BQ1256" i="1"/>
  <c r="CI1256" i="1"/>
  <c r="CJ1256" i="1" s="1"/>
  <c r="BQ2605" i="1"/>
  <c r="CI2605" i="1"/>
  <c r="CJ2605" i="1" s="1"/>
  <c r="BQ2634" i="1"/>
  <c r="CI2634" i="1"/>
  <c r="CJ2634" i="1" s="1"/>
  <c r="BQ1936" i="1"/>
  <c r="CI1936" i="1"/>
  <c r="CJ1936" i="1" s="1"/>
  <c r="BQ1383" i="1"/>
  <c r="CI1383" i="1"/>
  <c r="CJ1383" i="1" s="1"/>
  <c r="BQ706" i="1"/>
  <c r="CI706" i="1"/>
  <c r="CJ706" i="1" s="1"/>
  <c r="BQ1455" i="1"/>
  <c r="CI1455" i="1"/>
  <c r="CJ1455" i="1" s="1"/>
  <c r="BQ365" i="1"/>
  <c r="CI365" i="1"/>
  <c r="CJ365" i="1" s="1"/>
  <c r="BQ2225" i="1"/>
  <c r="CI2225" i="1"/>
  <c r="CJ2225" i="1" s="1"/>
  <c r="BQ618" i="1"/>
  <c r="CI618" i="1"/>
  <c r="CJ618" i="1" s="1"/>
  <c r="BQ1848" i="1"/>
  <c r="CI1848" i="1"/>
  <c r="CJ1848" i="1" s="1"/>
  <c r="BQ2783" i="1"/>
  <c r="CI2783" i="1"/>
  <c r="CJ2783" i="1" s="1"/>
  <c r="BQ2569" i="1"/>
  <c r="CI2569" i="1"/>
  <c r="CJ2569" i="1" s="1"/>
  <c r="BQ594" i="1"/>
  <c r="CI594" i="1"/>
  <c r="CJ594" i="1" s="1"/>
  <c r="BQ2330" i="1"/>
  <c r="CI2330" i="1"/>
  <c r="CJ2330" i="1" s="1"/>
  <c r="BQ1056" i="1"/>
  <c r="CI1056" i="1"/>
  <c r="CJ1056" i="1" s="1"/>
  <c r="BQ1691" i="1"/>
  <c r="CI1691" i="1"/>
  <c r="CJ1691" i="1" s="1"/>
  <c r="BQ833" i="1"/>
  <c r="CI833" i="1"/>
  <c r="CJ833" i="1" s="1"/>
  <c r="BQ1897" i="1"/>
  <c r="CI1897" i="1"/>
  <c r="CJ1897" i="1" s="1"/>
  <c r="BQ1429" i="1"/>
  <c r="CI1429" i="1"/>
  <c r="CJ1429" i="1" s="1"/>
  <c r="BQ599" i="1"/>
  <c r="CI599" i="1"/>
  <c r="CJ599" i="1" s="1"/>
  <c r="BQ1950" i="1"/>
  <c r="CI1950" i="1"/>
  <c r="CJ1950" i="1" s="1"/>
  <c r="BQ7" i="1"/>
  <c r="CI7" i="1"/>
  <c r="CJ7" i="1" s="1"/>
  <c r="BQ182" i="1"/>
  <c r="CI182" i="1"/>
  <c r="CJ182" i="1" s="1"/>
  <c r="BQ956" i="1"/>
  <c r="CI956" i="1"/>
  <c r="CJ956" i="1" s="1"/>
  <c r="BQ1558" i="1"/>
  <c r="CI1558" i="1"/>
  <c r="CJ1558" i="1" s="1"/>
  <c r="BQ1344" i="1"/>
  <c r="CI1344" i="1"/>
  <c r="CJ1344" i="1" s="1"/>
  <c r="BQ1631" i="1"/>
  <c r="CI1631" i="1"/>
  <c r="CJ1631" i="1" s="1"/>
  <c r="BQ2119" i="1"/>
  <c r="CI2119" i="1"/>
  <c r="CJ2119" i="1" s="1"/>
  <c r="BQ1530" i="1"/>
  <c r="CI1530" i="1"/>
  <c r="CJ1530" i="1" s="1"/>
  <c r="BQ1628" i="1"/>
  <c r="CI1628" i="1"/>
  <c r="CJ1628" i="1" s="1"/>
  <c r="BQ957" i="1"/>
  <c r="CI957" i="1"/>
  <c r="CJ957" i="1" s="1"/>
  <c r="BQ1493" i="1"/>
  <c r="CI1493" i="1"/>
  <c r="CJ1493" i="1" s="1"/>
  <c r="BQ480" i="1"/>
  <c r="CI480" i="1"/>
  <c r="CJ480" i="1" s="1"/>
  <c r="BQ872" i="1"/>
  <c r="CI872" i="1"/>
  <c r="CJ872" i="1" s="1"/>
  <c r="BQ2513" i="1"/>
  <c r="CI2513" i="1"/>
  <c r="CJ2513" i="1" s="1"/>
  <c r="BQ3069" i="1"/>
  <c r="CI3069" i="1"/>
  <c r="CJ3069" i="1" s="1"/>
  <c r="BQ3093" i="1"/>
  <c r="CI3093" i="1"/>
  <c r="CJ3093" i="1" s="1"/>
  <c r="BQ2308" i="1"/>
  <c r="CI2308" i="1"/>
  <c r="CJ2308" i="1" s="1"/>
  <c r="BQ1828" i="1"/>
  <c r="CI1828" i="1"/>
  <c r="CJ1828" i="1" s="1"/>
  <c r="BQ3130" i="1"/>
  <c r="CI3130" i="1"/>
  <c r="CJ3130" i="1" s="1"/>
  <c r="BQ382" i="1"/>
  <c r="CI382" i="1"/>
  <c r="CJ382" i="1" s="1"/>
  <c r="BQ2124" i="1"/>
  <c r="CI2124" i="1"/>
  <c r="CJ2124" i="1" s="1"/>
  <c r="BQ2495" i="1"/>
  <c r="CI2495" i="1"/>
  <c r="CJ2495" i="1" s="1"/>
  <c r="BQ1501" i="1"/>
  <c r="CI1501" i="1"/>
  <c r="CJ1501" i="1" s="1"/>
  <c r="BQ388" i="1"/>
  <c r="CI388" i="1"/>
  <c r="CJ388" i="1" s="1"/>
  <c r="BQ429" i="1"/>
  <c r="CI429" i="1"/>
  <c r="CJ429" i="1" s="1"/>
  <c r="BQ3171" i="1"/>
  <c r="CI3171" i="1"/>
  <c r="CJ3171" i="1" s="1"/>
  <c r="BQ1134" i="1"/>
  <c r="CI1134" i="1"/>
  <c r="CJ1134" i="1" s="1"/>
  <c r="BQ3182" i="1"/>
  <c r="CI3182" i="1"/>
  <c r="CJ3182" i="1" s="1"/>
  <c r="BQ2402" i="1"/>
  <c r="CI2402" i="1"/>
  <c r="CJ2402" i="1" s="1"/>
  <c r="BQ2333" i="1"/>
  <c r="CI2333" i="1"/>
  <c r="CJ2333" i="1" s="1"/>
  <c r="BQ682" i="1"/>
  <c r="CI682" i="1"/>
  <c r="CJ682" i="1" s="1"/>
  <c r="BQ463" i="1"/>
  <c r="CI463" i="1"/>
  <c r="CJ463" i="1" s="1"/>
  <c r="BQ1307" i="1"/>
  <c r="CI1307" i="1"/>
  <c r="CJ1307" i="1" s="1"/>
  <c r="BQ417" i="1"/>
  <c r="CI417" i="1"/>
  <c r="CJ417" i="1" s="1"/>
  <c r="BQ543" i="1"/>
  <c r="CI543" i="1"/>
  <c r="CJ543" i="1" s="1"/>
  <c r="BQ1100" i="1"/>
  <c r="CI1100" i="1"/>
  <c r="CJ1100" i="1" s="1"/>
  <c r="BQ1291" i="1"/>
  <c r="CI1291" i="1"/>
  <c r="CJ1291" i="1" s="1"/>
  <c r="BQ2670" i="1"/>
  <c r="CI2670" i="1"/>
  <c r="CJ2670" i="1" s="1"/>
  <c r="BQ2545" i="1"/>
  <c r="CI2545" i="1"/>
  <c r="CJ2545" i="1" s="1"/>
  <c r="BQ1616" i="1"/>
  <c r="CI1616" i="1"/>
  <c r="CJ1616" i="1" s="1"/>
  <c r="BQ964" i="1"/>
  <c r="CI964" i="1"/>
  <c r="CJ964" i="1" s="1"/>
  <c r="BQ440" i="1"/>
  <c r="CI440" i="1"/>
  <c r="CJ440" i="1" s="1"/>
  <c r="BQ390" i="1"/>
  <c r="CI390" i="1"/>
  <c r="CJ390" i="1" s="1"/>
  <c r="BQ2170" i="1"/>
  <c r="CI2170" i="1"/>
  <c r="CJ2170" i="1" s="1"/>
  <c r="BQ2832" i="1"/>
  <c r="CI2832" i="1"/>
  <c r="CJ2832" i="1" s="1"/>
  <c r="BQ2833" i="1"/>
  <c r="CI2833" i="1"/>
  <c r="CJ2833" i="1" s="1"/>
  <c r="BQ2851" i="1"/>
  <c r="CI2851" i="1"/>
  <c r="CJ2851" i="1" s="1"/>
  <c r="BQ2375" i="1"/>
  <c r="CI2375" i="1"/>
  <c r="CJ2375" i="1" s="1"/>
  <c r="BQ1711" i="1"/>
  <c r="CI1711" i="1"/>
  <c r="CJ1711" i="1" s="1"/>
  <c r="BQ2307" i="1"/>
  <c r="CI2307" i="1"/>
  <c r="CJ2307" i="1" s="1"/>
  <c r="BQ1021" i="1"/>
  <c r="CI1021" i="1"/>
  <c r="CJ1021" i="1" s="1"/>
  <c r="BQ1163" i="1"/>
  <c r="CI1163" i="1"/>
  <c r="CJ1163" i="1" s="1"/>
  <c r="BQ779" i="1"/>
  <c r="CI779" i="1"/>
  <c r="CJ779" i="1" s="1"/>
  <c r="BQ2454" i="1"/>
  <c r="CI2454" i="1"/>
  <c r="CJ2454" i="1" s="1"/>
  <c r="BQ1059" i="1"/>
  <c r="CI1059" i="1"/>
  <c r="CJ1059" i="1" s="1"/>
  <c r="BQ1490" i="1"/>
  <c r="CI1490" i="1"/>
  <c r="CJ1490" i="1" s="1"/>
  <c r="BQ2938" i="1"/>
  <c r="CI2938" i="1"/>
  <c r="CJ2938" i="1" s="1"/>
  <c r="BQ1945" i="1"/>
  <c r="CI1945" i="1"/>
  <c r="CJ1945" i="1" s="1"/>
  <c r="BQ792" i="1"/>
  <c r="CI792" i="1"/>
  <c r="CJ792" i="1" s="1"/>
  <c r="BQ832" i="1"/>
  <c r="CI832" i="1"/>
  <c r="CJ832" i="1" s="1"/>
  <c r="BQ401" i="1"/>
  <c r="CI401" i="1"/>
  <c r="CJ401" i="1" s="1"/>
  <c r="BQ2965" i="1"/>
  <c r="CI2965" i="1"/>
  <c r="CJ2965" i="1" s="1"/>
  <c r="BQ916" i="1"/>
  <c r="CI916" i="1"/>
  <c r="CJ916" i="1" s="1"/>
  <c r="BQ804" i="1"/>
  <c r="CI804" i="1"/>
  <c r="CJ804" i="1" s="1"/>
  <c r="BQ1070" i="1"/>
  <c r="CI1070" i="1"/>
  <c r="CJ1070" i="1" s="1"/>
  <c r="BQ2989" i="1"/>
  <c r="CI2989" i="1"/>
  <c r="CJ2989" i="1" s="1"/>
  <c r="BQ838" i="1"/>
  <c r="CI838" i="1"/>
  <c r="CJ838" i="1" s="1"/>
  <c r="BQ2998" i="1"/>
  <c r="CI2998" i="1"/>
  <c r="CJ2998" i="1" s="1"/>
  <c r="BQ2334" i="1"/>
  <c r="CI2334" i="1"/>
  <c r="CJ2334" i="1" s="1"/>
  <c r="BQ2171" i="1"/>
  <c r="CI2171" i="1"/>
  <c r="CJ2171" i="1" s="1"/>
  <c r="BQ1077" i="1"/>
  <c r="CI1077" i="1"/>
  <c r="CJ1077" i="1" s="1"/>
  <c r="BQ2650" i="1"/>
  <c r="CI2650" i="1"/>
  <c r="CJ2650" i="1" s="1"/>
  <c r="BQ1028" i="1"/>
  <c r="CI1028" i="1"/>
  <c r="CJ1028" i="1" s="1"/>
  <c r="BQ998" i="1"/>
  <c r="CI998" i="1"/>
  <c r="CJ998" i="1" s="1"/>
  <c r="BQ3036" i="1"/>
  <c r="CI3036" i="1"/>
  <c r="CJ3036" i="1" s="1"/>
  <c r="BQ1445" i="1"/>
  <c r="CI1445" i="1"/>
  <c r="CJ1445" i="1" s="1"/>
  <c r="BQ3050" i="1"/>
  <c r="CI3050" i="1"/>
  <c r="CJ3050" i="1" s="1"/>
  <c r="BQ2085" i="1"/>
  <c r="CI2085" i="1"/>
  <c r="CJ2085" i="1" s="1"/>
  <c r="BQ1098" i="1"/>
  <c r="CI1098" i="1"/>
  <c r="CJ1098" i="1" s="1"/>
  <c r="BQ1860" i="1"/>
  <c r="CI1860" i="1"/>
  <c r="CJ1860" i="1" s="1"/>
  <c r="BQ376" i="1"/>
  <c r="CI376" i="1"/>
  <c r="CJ376" i="1" s="1"/>
  <c r="BQ665" i="1"/>
  <c r="CI665" i="1"/>
  <c r="CJ665" i="1" s="1"/>
  <c r="BQ658" i="1"/>
  <c r="CI658" i="1"/>
  <c r="CJ658" i="1" s="1"/>
  <c r="BQ2249" i="1"/>
  <c r="CI2249" i="1"/>
  <c r="CJ2249" i="1" s="1"/>
  <c r="BQ517" i="1"/>
  <c r="CI517" i="1"/>
  <c r="CJ517" i="1" s="1"/>
  <c r="BQ3079" i="1"/>
  <c r="CI3079" i="1"/>
  <c r="CJ3079" i="1" s="1"/>
  <c r="BQ898" i="1"/>
  <c r="CI898" i="1"/>
  <c r="CJ898" i="1" s="1"/>
  <c r="BQ3092" i="1"/>
  <c r="CI3092" i="1"/>
  <c r="CJ3092" i="1" s="1"/>
  <c r="BQ3106" i="1"/>
  <c r="CI3106" i="1"/>
  <c r="CJ3106" i="1" s="1"/>
  <c r="BQ3146" i="1"/>
  <c r="CI3146" i="1"/>
  <c r="CJ3146" i="1" s="1"/>
  <c r="BQ1433" i="1"/>
  <c r="CI1433" i="1"/>
  <c r="CJ1433" i="1" s="1"/>
  <c r="BQ1349" i="1"/>
  <c r="CI1349" i="1"/>
  <c r="CJ1349" i="1" s="1"/>
  <c r="BQ1093" i="1"/>
  <c r="CI1093" i="1"/>
  <c r="CJ1093" i="1" s="1"/>
  <c r="BQ397" i="1"/>
  <c r="CI397" i="1"/>
  <c r="CJ397" i="1" s="1"/>
  <c r="BQ154" i="1"/>
  <c r="CI154" i="1"/>
  <c r="CJ154" i="1" s="1"/>
  <c r="BQ108" i="1"/>
  <c r="CI108" i="1"/>
  <c r="CJ108" i="1" s="1"/>
  <c r="BQ1738" i="1"/>
  <c r="CI1738" i="1"/>
  <c r="CJ1738" i="1" s="1"/>
  <c r="BQ1375" i="1"/>
  <c r="CI1375" i="1"/>
  <c r="CJ1375" i="1" s="1"/>
  <c r="BQ308" i="1"/>
  <c r="CI308" i="1"/>
  <c r="CJ308" i="1" s="1"/>
  <c r="BQ409" i="1"/>
  <c r="CI409" i="1"/>
  <c r="CJ409" i="1" s="1"/>
  <c r="BQ126" i="1"/>
  <c r="CI126" i="1"/>
  <c r="CJ126" i="1" s="1"/>
  <c r="BQ1405" i="1"/>
  <c r="CI1405" i="1"/>
  <c r="CJ1405" i="1" s="1"/>
  <c r="BQ2613" i="1"/>
  <c r="CI2613" i="1"/>
  <c r="CJ2613" i="1" s="1"/>
  <c r="BQ1105" i="1"/>
  <c r="CI1105" i="1"/>
  <c r="CJ1105" i="1" s="1"/>
  <c r="BQ1466" i="1"/>
  <c r="CI1466" i="1"/>
  <c r="CJ1466" i="1" s="1"/>
  <c r="BQ879" i="1"/>
  <c r="CI879" i="1"/>
  <c r="CJ879" i="1" s="1"/>
  <c r="BQ1729" i="1"/>
  <c r="CI1729" i="1"/>
  <c r="CJ1729" i="1" s="1"/>
  <c r="BQ741" i="1"/>
  <c r="CI741" i="1"/>
  <c r="CJ741" i="1" s="1"/>
  <c r="BQ1298" i="1"/>
  <c r="CI1298" i="1"/>
  <c r="CJ1298" i="1" s="1"/>
  <c r="BQ474" i="1"/>
  <c r="CI474" i="1"/>
  <c r="CJ474" i="1" s="1"/>
  <c r="BQ1849" i="1"/>
  <c r="CI1849" i="1"/>
  <c r="CJ1849" i="1" s="1"/>
  <c r="BQ2168" i="1"/>
  <c r="CI2168" i="1"/>
  <c r="CJ2168" i="1" s="1"/>
  <c r="BQ923" i="1"/>
  <c r="CI923" i="1"/>
  <c r="CJ923" i="1" s="1"/>
  <c r="BQ773" i="1"/>
  <c r="CI773" i="1"/>
  <c r="CJ773" i="1" s="1"/>
  <c r="BQ2072" i="1"/>
  <c r="CI2072" i="1"/>
  <c r="CJ2072" i="1" s="1"/>
  <c r="BQ2591" i="1"/>
  <c r="CI2591" i="1"/>
  <c r="CJ2591" i="1" s="1"/>
  <c r="BQ2343" i="1"/>
  <c r="CI2343" i="1"/>
  <c r="CJ2343" i="1" s="1"/>
  <c r="BQ2600" i="1"/>
  <c r="CI2600" i="1"/>
  <c r="CJ2600" i="1" s="1"/>
  <c r="BQ614" i="1"/>
  <c r="CI614" i="1"/>
  <c r="CJ614" i="1" s="1"/>
  <c r="BQ1522" i="1"/>
  <c r="CI1522" i="1"/>
  <c r="CJ1522" i="1" s="1"/>
  <c r="BQ1979" i="1"/>
  <c r="CI1979" i="1"/>
  <c r="CJ1979" i="1" s="1"/>
  <c r="BQ547" i="1"/>
  <c r="CI547" i="1"/>
  <c r="CJ547" i="1" s="1"/>
  <c r="BQ316" i="1"/>
  <c r="CI316" i="1"/>
  <c r="CJ316" i="1" s="1"/>
  <c r="BQ1475" i="1"/>
  <c r="CI1475" i="1"/>
  <c r="CJ1475" i="1" s="1"/>
  <c r="BQ1820" i="1"/>
  <c r="CI1820" i="1"/>
  <c r="CJ1820" i="1" s="1"/>
  <c r="BQ2213" i="1"/>
  <c r="CI2213" i="1"/>
  <c r="CJ2213" i="1" s="1"/>
  <c r="BQ2686" i="1"/>
  <c r="CI2686" i="1"/>
  <c r="CJ2686" i="1" s="1"/>
  <c r="BQ2698" i="1"/>
  <c r="CI2698" i="1"/>
  <c r="CJ2698" i="1" s="1"/>
  <c r="BQ2707" i="1"/>
  <c r="CI2707" i="1"/>
  <c r="CJ2707" i="1" s="1"/>
  <c r="BQ2709" i="1"/>
  <c r="CI2709" i="1"/>
  <c r="CJ2709" i="1" s="1"/>
  <c r="BQ2510" i="1"/>
  <c r="CI2510" i="1"/>
  <c r="CJ2510" i="1" s="1"/>
  <c r="BQ1688" i="1"/>
  <c r="CI1688" i="1"/>
  <c r="CJ1688" i="1" s="1"/>
  <c r="BQ818" i="1"/>
  <c r="CI818" i="1"/>
  <c r="CJ818" i="1" s="1"/>
  <c r="BQ1862" i="1"/>
  <c r="CI1862" i="1"/>
  <c r="CJ1862" i="1" s="1"/>
  <c r="BQ1844" i="1"/>
  <c r="CI1844" i="1"/>
  <c r="CJ1844" i="1" s="1"/>
  <c r="BQ1168" i="1"/>
  <c r="CI1168" i="1"/>
  <c r="CJ1168" i="1" s="1"/>
  <c r="BQ1220" i="1"/>
  <c r="CI1220" i="1"/>
  <c r="CJ1220" i="1" s="1"/>
  <c r="BQ2160" i="1"/>
  <c r="CI2160" i="1"/>
  <c r="CJ2160" i="1" s="1"/>
  <c r="BQ1425" i="1"/>
  <c r="CI1425" i="1"/>
  <c r="CJ1425" i="1" s="1"/>
  <c r="BQ824" i="1"/>
  <c r="CI824" i="1"/>
  <c r="CJ824" i="1" s="1"/>
  <c r="BQ2747" i="1"/>
  <c r="CI2747" i="1"/>
  <c r="CJ2747" i="1" s="1"/>
  <c r="BQ2312" i="1"/>
  <c r="CI2312" i="1"/>
  <c r="CJ2312" i="1" s="1"/>
  <c r="BQ2765" i="1"/>
  <c r="CI2765" i="1"/>
  <c r="CJ2765" i="1" s="1"/>
  <c r="BQ2066" i="1"/>
  <c r="CI2066" i="1"/>
  <c r="CJ2066" i="1" s="1"/>
  <c r="BQ295" i="1"/>
  <c r="CI295" i="1"/>
  <c r="CJ295" i="1" s="1"/>
  <c r="BQ2316" i="1"/>
  <c r="CI2316" i="1"/>
  <c r="CJ2316" i="1" s="1"/>
  <c r="BQ1414" i="1"/>
  <c r="CI1414" i="1"/>
  <c r="CJ1414" i="1" s="1"/>
  <c r="BQ2780" i="1"/>
  <c r="CI2780" i="1"/>
  <c r="CJ2780" i="1" s="1"/>
  <c r="BQ1112" i="1"/>
  <c r="CI1112" i="1"/>
  <c r="CJ1112" i="1" s="1"/>
  <c r="BQ2411" i="1"/>
  <c r="CI2411" i="1"/>
  <c r="CJ2411" i="1" s="1"/>
  <c r="BQ2784" i="1"/>
  <c r="CI2784" i="1"/>
  <c r="CJ2784" i="1" s="1"/>
  <c r="BQ949" i="1"/>
  <c r="CI949" i="1"/>
  <c r="CJ949" i="1" s="1"/>
  <c r="BQ2802" i="1"/>
  <c r="CI2802" i="1"/>
  <c r="CJ2802" i="1" s="1"/>
  <c r="BQ2172" i="1"/>
  <c r="CI2172" i="1"/>
  <c r="CJ2172" i="1" s="1"/>
  <c r="BQ2515" i="1"/>
  <c r="CI2515" i="1"/>
  <c r="CJ2515" i="1" s="1"/>
  <c r="BQ2283" i="1"/>
  <c r="CI2283" i="1"/>
  <c r="CJ2283" i="1" s="1"/>
  <c r="BQ653" i="1"/>
  <c r="CI653" i="1"/>
  <c r="CJ653" i="1" s="1"/>
  <c r="BQ1846" i="1"/>
  <c r="CI1846" i="1"/>
  <c r="CJ1846" i="1" s="1"/>
  <c r="BQ2271" i="1"/>
  <c r="CI2271" i="1"/>
  <c r="CJ2271" i="1" s="1"/>
  <c r="BQ2196" i="1"/>
  <c r="CI2196" i="1"/>
  <c r="CJ2196" i="1" s="1"/>
  <c r="BQ973" i="1"/>
  <c r="CI973" i="1"/>
  <c r="CJ973" i="1" s="1"/>
  <c r="BQ1242" i="1"/>
  <c r="CI1242" i="1"/>
  <c r="CJ1242" i="1" s="1"/>
  <c r="BQ1512" i="1"/>
  <c r="CI1512" i="1"/>
  <c r="CJ1512" i="1" s="1"/>
  <c r="BQ2827" i="1"/>
  <c r="CI2827" i="1"/>
  <c r="CJ2827" i="1" s="1"/>
  <c r="BQ1213" i="1"/>
  <c r="CI1213" i="1"/>
  <c r="CJ1213" i="1" s="1"/>
  <c r="BQ2183" i="1"/>
  <c r="CI2183" i="1"/>
  <c r="CJ2183" i="1" s="1"/>
  <c r="BQ2186" i="1"/>
  <c r="CI2186" i="1"/>
  <c r="CJ2186" i="1" s="1"/>
  <c r="BQ2843" i="1"/>
  <c r="CI2843" i="1"/>
  <c r="CJ2843" i="1" s="1"/>
  <c r="BQ1176" i="1"/>
  <c r="CI1176" i="1"/>
  <c r="CJ1176" i="1" s="1"/>
  <c r="BQ2847" i="1"/>
  <c r="CI2847" i="1"/>
  <c r="CJ2847" i="1" s="1"/>
  <c r="BQ2853" i="1"/>
  <c r="CI2853" i="1"/>
  <c r="CJ2853" i="1" s="1"/>
  <c r="BQ2854" i="1"/>
  <c r="CI2854" i="1"/>
  <c r="CJ2854" i="1" s="1"/>
  <c r="BQ2076" i="1"/>
  <c r="CI2076" i="1"/>
  <c r="CJ2076" i="1" s="1"/>
  <c r="BQ2228" i="1"/>
  <c r="CI2228" i="1"/>
  <c r="CJ2228" i="1" s="1"/>
  <c r="BQ1710" i="1"/>
  <c r="CI1710" i="1"/>
  <c r="CJ1710" i="1" s="1"/>
  <c r="BQ624" i="1"/>
  <c r="CI624" i="1"/>
  <c r="CJ624" i="1" s="1"/>
  <c r="BQ1343" i="1"/>
  <c r="CI1343" i="1"/>
  <c r="CJ1343" i="1" s="1"/>
  <c r="BQ1581" i="1"/>
  <c r="CI1581" i="1"/>
  <c r="CJ1581" i="1" s="1"/>
  <c r="BQ542" i="1"/>
  <c r="CI542" i="1"/>
  <c r="CJ542" i="1" s="1"/>
  <c r="BQ2868" i="1"/>
  <c r="CI2868" i="1"/>
  <c r="CJ2868" i="1" s="1"/>
  <c r="BQ2108" i="1"/>
  <c r="CI2108" i="1"/>
  <c r="CJ2108" i="1" s="1"/>
  <c r="BQ735" i="1"/>
  <c r="CI735" i="1"/>
  <c r="CJ735" i="1" s="1"/>
  <c r="BQ1642" i="1"/>
  <c r="CI1642" i="1"/>
  <c r="CJ1642" i="1" s="1"/>
  <c r="BQ1081" i="1"/>
  <c r="CI1081" i="1"/>
  <c r="CJ1081" i="1" s="1"/>
  <c r="BQ2702" i="1"/>
  <c r="CI2702" i="1"/>
  <c r="CJ2702" i="1" s="1"/>
  <c r="BQ2880" i="1"/>
  <c r="CI2880" i="1"/>
  <c r="CJ2880" i="1" s="1"/>
  <c r="BQ1508" i="1"/>
  <c r="CI1508" i="1"/>
  <c r="CJ1508" i="1" s="1"/>
  <c r="BQ2893" i="1"/>
  <c r="CI2893" i="1"/>
  <c r="CJ2893" i="1" s="1"/>
  <c r="BQ1175" i="1"/>
  <c r="CI1175" i="1"/>
  <c r="CJ1175" i="1" s="1"/>
  <c r="BQ358" i="1"/>
  <c r="CI358" i="1"/>
  <c r="CJ358" i="1" s="1"/>
  <c r="BQ1992" i="1"/>
  <c r="CI1992" i="1"/>
  <c r="CJ1992" i="1" s="1"/>
  <c r="BQ1755" i="1"/>
  <c r="CI1755" i="1"/>
  <c r="CJ1755" i="1" s="1"/>
  <c r="BQ105" i="1"/>
  <c r="CI105" i="1"/>
  <c r="CJ105" i="1" s="1"/>
  <c r="BQ2386" i="1"/>
  <c r="CI2386" i="1"/>
  <c r="CJ2386" i="1" s="1"/>
  <c r="BQ1744" i="1"/>
  <c r="CI1744" i="1"/>
  <c r="CJ1744" i="1" s="1"/>
  <c r="BQ2906" i="1"/>
  <c r="CI2906" i="1"/>
  <c r="CJ2906" i="1" s="1"/>
  <c r="BQ405" i="1"/>
  <c r="CI405" i="1"/>
  <c r="CJ405" i="1" s="1"/>
  <c r="BQ2010" i="1"/>
  <c r="CI2010" i="1"/>
  <c r="CJ2010" i="1" s="1"/>
  <c r="BQ2145" i="1"/>
  <c r="CI2145" i="1"/>
  <c r="CJ2145" i="1" s="1"/>
  <c r="BQ2920" i="1"/>
  <c r="CI2920" i="1"/>
  <c r="CJ2920" i="1" s="1"/>
  <c r="BQ353" i="1"/>
  <c r="CI353" i="1"/>
  <c r="CJ353" i="1" s="1"/>
  <c r="BQ1662" i="1"/>
  <c r="CI1662" i="1"/>
  <c r="CJ1662" i="1" s="1"/>
  <c r="BQ2538" i="1"/>
  <c r="CI2538" i="1"/>
  <c r="CJ2538" i="1" s="1"/>
  <c r="BQ482" i="1"/>
  <c r="CI482" i="1"/>
  <c r="CJ482" i="1" s="1"/>
  <c r="BQ2468" i="1"/>
  <c r="CI2468" i="1"/>
  <c r="CJ2468" i="1" s="1"/>
  <c r="BQ1400" i="1"/>
  <c r="CI1400" i="1"/>
  <c r="CJ1400" i="1" s="1"/>
  <c r="BQ1582" i="1"/>
  <c r="CI1582" i="1"/>
  <c r="CJ1582" i="1" s="1"/>
  <c r="BQ2462" i="1"/>
  <c r="CI2462" i="1"/>
  <c r="CJ2462" i="1" s="1"/>
  <c r="BQ2529" i="1"/>
  <c r="CI2529" i="1"/>
  <c r="CJ2529" i="1" s="1"/>
  <c r="BQ304" i="1"/>
  <c r="CI304" i="1"/>
  <c r="CJ304" i="1" s="1"/>
  <c r="BQ395" i="1"/>
  <c r="CI395" i="1"/>
  <c r="CJ395" i="1" s="1"/>
  <c r="BQ2958" i="1"/>
  <c r="CI2958" i="1"/>
  <c r="CJ2958" i="1" s="1"/>
  <c r="BQ2185" i="1"/>
  <c r="CI2185" i="1"/>
  <c r="CJ2185" i="1" s="1"/>
  <c r="BQ598" i="1"/>
  <c r="CI598" i="1"/>
  <c r="CJ598" i="1" s="1"/>
  <c r="BQ889" i="1"/>
  <c r="CI889" i="1"/>
  <c r="CJ889" i="1" s="1"/>
  <c r="BQ809" i="1"/>
  <c r="CI809" i="1"/>
  <c r="CJ809" i="1" s="1"/>
  <c r="BQ753" i="1"/>
  <c r="CI753" i="1"/>
  <c r="CJ753" i="1" s="1"/>
  <c r="BQ485" i="1"/>
  <c r="CI485" i="1"/>
  <c r="CJ485" i="1" s="1"/>
  <c r="BQ441" i="1"/>
  <c r="CI441" i="1"/>
  <c r="CJ441" i="1" s="1"/>
  <c r="BQ2449" i="1"/>
  <c r="CI2449" i="1"/>
  <c r="CJ2449" i="1" s="1"/>
  <c r="BQ2988" i="1"/>
  <c r="CI2988" i="1"/>
  <c r="CJ2988" i="1" s="1"/>
  <c r="BQ2100" i="1"/>
  <c r="CI2100" i="1"/>
  <c r="CJ2100" i="1" s="1"/>
  <c r="BQ765" i="1"/>
  <c r="CI765" i="1"/>
  <c r="CJ765" i="1" s="1"/>
  <c r="BQ2486" i="1"/>
  <c r="CI2486" i="1"/>
  <c r="CJ2486" i="1" s="1"/>
  <c r="BQ1653" i="1"/>
  <c r="CI1653" i="1"/>
  <c r="CJ1653" i="1" s="1"/>
  <c r="BQ298" i="1"/>
  <c r="CI298" i="1"/>
  <c r="CJ298" i="1" s="1"/>
  <c r="BQ2109" i="1"/>
  <c r="CI2109" i="1"/>
  <c r="CJ2109" i="1" s="1"/>
  <c r="BQ2146" i="1"/>
  <c r="CI2146" i="1"/>
  <c r="CJ2146" i="1" s="1"/>
  <c r="BQ2385" i="1"/>
  <c r="CI2385" i="1"/>
  <c r="CJ2385" i="1" s="1"/>
  <c r="BQ3025" i="1"/>
  <c r="CI3025" i="1"/>
  <c r="CJ3025" i="1" s="1"/>
  <c r="BQ3033" i="1"/>
  <c r="CI3033" i="1"/>
  <c r="CJ3033" i="1" s="1"/>
  <c r="BQ1197" i="1"/>
  <c r="CI1197" i="1"/>
  <c r="CJ1197" i="1" s="1"/>
  <c r="BQ1444" i="1"/>
  <c r="CI1444" i="1"/>
  <c r="CJ1444" i="1" s="1"/>
  <c r="BQ2142" i="1"/>
  <c r="CI2142" i="1"/>
  <c r="CJ2142" i="1" s="1"/>
  <c r="BQ2274" i="1"/>
  <c r="CI2274" i="1"/>
  <c r="CJ2274" i="1" s="1"/>
  <c r="BQ3059" i="1"/>
  <c r="CI3059" i="1"/>
  <c r="CJ3059" i="1" s="1"/>
  <c r="BQ3060" i="1"/>
  <c r="CI3060" i="1"/>
  <c r="CJ3060" i="1" s="1"/>
  <c r="BQ906" i="1"/>
  <c r="CI906" i="1"/>
  <c r="CJ906" i="1" s="1"/>
  <c r="BQ1416" i="1"/>
  <c r="CI1416" i="1"/>
  <c r="CJ1416" i="1" s="1"/>
  <c r="BQ3070" i="1"/>
  <c r="CI3070" i="1"/>
  <c r="CJ3070" i="1" s="1"/>
  <c r="BQ894" i="1"/>
  <c r="CI894" i="1"/>
  <c r="CJ894" i="1" s="1"/>
  <c r="BQ2414" i="1"/>
  <c r="CI2414" i="1"/>
  <c r="CJ2414" i="1" s="1"/>
  <c r="BQ638" i="1"/>
  <c r="CI638" i="1"/>
  <c r="CJ638" i="1" s="1"/>
  <c r="BQ527" i="1"/>
  <c r="CI527" i="1"/>
  <c r="CJ527" i="1" s="1"/>
  <c r="BQ621" i="1"/>
  <c r="CI621" i="1"/>
  <c r="CJ621" i="1" s="1"/>
  <c r="BQ2162" i="1"/>
  <c r="CI2162" i="1"/>
  <c r="CJ2162" i="1" s="1"/>
  <c r="BQ3094" i="1"/>
  <c r="CI3094" i="1"/>
  <c r="CJ3094" i="1" s="1"/>
  <c r="BQ3100" i="1"/>
  <c r="CI3100" i="1"/>
  <c r="CJ3100" i="1" s="1"/>
  <c r="BQ2463" i="1"/>
  <c r="CI2463" i="1"/>
  <c r="CJ2463" i="1" s="1"/>
  <c r="BQ636" i="1"/>
  <c r="CI636" i="1"/>
  <c r="CJ636" i="1" s="1"/>
  <c r="BQ680" i="1"/>
  <c r="CI680" i="1"/>
  <c r="CJ680" i="1" s="1"/>
  <c r="BQ2205" i="1"/>
  <c r="CI2205" i="1"/>
  <c r="CJ2205" i="1" s="1"/>
  <c r="BQ1927" i="1"/>
  <c r="CI1927" i="1"/>
  <c r="CJ1927" i="1" s="1"/>
  <c r="BQ1342" i="1"/>
  <c r="CI1342" i="1"/>
  <c r="CJ1342" i="1" s="1"/>
  <c r="BQ1206" i="1"/>
  <c r="CI1206" i="1"/>
  <c r="CJ1206" i="1" s="1"/>
  <c r="BQ2276" i="1"/>
  <c r="CI2276" i="1"/>
  <c r="CJ2276" i="1" s="1"/>
  <c r="BQ3127" i="1"/>
  <c r="CI3127" i="1"/>
  <c r="CJ3127" i="1" s="1"/>
  <c r="BQ3128" i="1"/>
  <c r="CI3128" i="1"/>
  <c r="CJ3128" i="1" s="1"/>
  <c r="BQ1768" i="1"/>
  <c r="CI1768" i="1"/>
  <c r="CJ1768" i="1" s="1"/>
  <c r="BQ1770" i="1"/>
  <c r="CI1770" i="1"/>
  <c r="CJ1770" i="1" s="1"/>
  <c r="BQ3132" i="1"/>
  <c r="CI3132" i="1"/>
  <c r="CJ3132" i="1" s="1"/>
  <c r="BQ3133" i="1"/>
  <c r="CI3133" i="1"/>
  <c r="CJ3133" i="1" s="1"/>
  <c r="BQ2947" i="1"/>
  <c r="CI2947" i="1"/>
  <c r="CJ2947" i="1" s="1"/>
  <c r="BQ3142" i="1"/>
  <c r="CI3142" i="1"/>
  <c r="CJ3142" i="1" s="1"/>
  <c r="BQ3156" i="1"/>
  <c r="CI3156" i="1"/>
  <c r="CJ3156" i="1" s="1"/>
  <c r="BQ1287" i="1"/>
  <c r="CI1287" i="1"/>
  <c r="CJ1287" i="1" s="1"/>
  <c r="BQ1611" i="1"/>
  <c r="CI1611" i="1"/>
  <c r="CJ1611" i="1" s="1"/>
  <c r="BQ1049" i="1"/>
  <c r="CI1049" i="1"/>
  <c r="CJ1049" i="1" s="1"/>
  <c r="BQ1864" i="1"/>
  <c r="CI1864" i="1"/>
  <c r="CJ1864" i="1" s="1"/>
  <c r="BQ2154" i="1"/>
  <c r="CI2154" i="1"/>
  <c r="CJ2154" i="1" s="1"/>
  <c r="BQ411" i="1"/>
  <c r="CI411" i="1"/>
  <c r="CJ411" i="1" s="1"/>
  <c r="BQ3165" i="1"/>
  <c r="CI3165" i="1"/>
  <c r="CJ3165" i="1" s="1"/>
  <c r="BQ1748" i="1"/>
  <c r="CI1748" i="1"/>
  <c r="CJ1748" i="1" s="1"/>
  <c r="BQ3172" i="1"/>
  <c r="CI3172" i="1"/>
  <c r="CJ3172" i="1" s="1"/>
  <c r="BQ2112" i="1"/>
  <c r="CI2112" i="1"/>
  <c r="CJ2112" i="1" s="1"/>
  <c r="BQ3181" i="1"/>
  <c r="CI3181" i="1"/>
  <c r="CJ3181" i="1" s="1"/>
  <c r="BQ2500" i="1"/>
  <c r="CI2500" i="1"/>
  <c r="CJ2500" i="1" s="1"/>
  <c r="BQ1991" i="1"/>
  <c r="CI1991" i="1"/>
  <c r="CJ1991" i="1" s="1"/>
  <c r="BQ190" i="1"/>
  <c r="CI190" i="1"/>
  <c r="CJ190" i="1" s="1"/>
  <c r="BQ2071" i="1"/>
  <c r="CI2071" i="1"/>
  <c r="CJ2071" i="1" s="1"/>
  <c r="BZ1886" i="1"/>
  <c r="BQ1886" i="1"/>
  <c r="BZ1971" i="1"/>
  <c r="BQ1971" i="1"/>
  <c r="BZ3137" i="1"/>
  <c r="BQ3137" i="1"/>
  <c r="BZ1569" i="1"/>
  <c r="BQ1569" i="1"/>
  <c r="BZ513" i="1"/>
  <c r="BQ513" i="1"/>
  <c r="BZ1276" i="1"/>
  <c r="BQ1276" i="1"/>
  <c r="BZ3150" i="1"/>
  <c r="BQ3150" i="1"/>
  <c r="BZ1595" i="1"/>
  <c r="BQ1595" i="1"/>
  <c r="BZ1914" i="1"/>
  <c r="BQ1914" i="1"/>
  <c r="BZ423" i="1"/>
  <c r="BQ423" i="1"/>
  <c r="BZ166" i="1"/>
  <c r="BQ166" i="1"/>
  <c r="CD2344" i="1"/>
  <c r="BQ2344" i="1"/>
  <c r="BZ452" i="1"/>
  <c r="BQ452" i="1"/>
  <c r="BZ3164" i="1"/>
  <c r="BQ3164" i="1"/>
  <c r="BZ430" i="1"/>
  <c r="BQ430" i="1"/>
  <c r="BZ974" i="1"/>
  <c r="BQ974" i="1"/>
  <c r="CD3176" i="1"/>
  <c r="BQ3176" i="1"/>
  <c r="CD3179" i="1"/>
  <c r="BQ3179" i="1"/>
  <c r="CD1637" i="1"/>
  <c r="BQ1637" i="1"/>
  <c r="CD1426" i="1"/>
  <c r="BQ1426" i="1"/>
  <c r="CD3195" i="1"/>
  <c r="BQ3195" i="1"/>
  <c r="BZ1617" i="1"/>
  <c r="BQ1617" i="1"/>
  <c r="CD557" i="1"/>
  <c r="BQ557" i="1"/>
  <c r="CD1139" i="1"/>
  <c r="BQ1139" i="1"/>
  <c r="BZ1236" i="1"/>
  <c r="BQ1236" i="1"/>
  <c r="CD471" i="1"/>
  <c r="BQ471" i="1"/>
  <c r="BZ697" i="1"/>
  <c r="BQ697" i="1"/>
  <c r="BZ2431" i="1"/>
  <c r="BQ2431" i="1"/>
  <c r="BZ1546" i="1"/>
  <c r="BQ1546" i="1"/>
  <c r="BZ1448" i="1"/>
  <c r="BQ1448" i="1"/>
  <c r="BZ1889" i="1"/>
  <c r="BQ1889" i="1"/>
  <c r="BZ718" i="1"/>
  <c r="BQ718" i="1"/>
  <c r="CD2157" i="1"/>
  <c r="BQ2157" i="1"/>
  <c r="BZ1060" i="1"/>
  <c r="BQ1060" i="1"/>
  <c r="BZ1937" i="1"/>
  <c r="BQ1937" i="1"/>
  <c r="BZ164" i="1"/>
  <c r="BQ164" i="1"/>
  <c r="BZ790" i="1"/>
  <c r="BQ790" i="1"/>
  <c r="CD2779" i="1"/>
  <c r="BQ2779" i="1"/>
  <c r="CD1839" i="1"/>
  <c r="BQ1839" i="1"/>
  <c r="CD1784" i="1"/>
  <c r="BQ1784" i="1"/>
  <c r="CD2091" i="1"/>
  <c r="BQ2091" i="1"/>
  <c r="CD2430" i="1"/>
  <c r="BQ2430" i="1"/>
  <c r="CD2850" i="1"/>
  <c r="BQ2850" i="1"/>
  <c r="CD2265" i="1"/>
  <c r="BQ2265" i="1"/>
  <c r="CD1417" i="1"/>
  <c r="BQ1417" i="1"/>
  <c r="CD2872" i="1"/>
  <c r="BQ2872" i="1"/>
  <c r="BZ623" i="1"/>
  <c r="BQ623" i="1"/>
  <c r="CD1883" i="1"/>
  <c r="BQ1883" i="1"/>
  <c r="CD2229" i="1"/>
  <c r="BQ2229" i="1"/>
  <c r="BZ2032" i="1"/>
  <c r="BQ2032" i="1"/>
  <c r="BZ1690" i="1"/>
  <c r="BQ1690" i="1"/>
  <c r="BZ733" i="1"/>
  <c r="BQ733" i="1"/>
  <c r="CD14" i="1"/>
  <c r="BQ14" i="1"/>
  <c r="BZ3043" i="1"/>
  <c r="BQ3043" i="1"/>
  <c r="BZ1717" i="1"/>
  <c r="BQ1717" i="1"/>
  <c r="BZ466" i="1"/>
  <c r="BQ466" i="1"/>
  <c r="CD2448" i="1"/>
  <c r="BQ2448" i="1"/>
  <c r="BZ3051" i="1"/>
  <c r="BQ3051" i="1"/>
  <c r="CD1855" i="1"/>
  <c r="BQ1855" i="1"/>
  <c r="BZ378" i="1"/>
  <c r="BQ378" i="1"/>
  <c r="CD1001" i="1"/>
  <c r="BQ1001" i="1"/>
  <c r="BZ843" i="1"/>
  <c r="BQ843" i="1"/>
  <c r="BZ1719" i="1"/>
  <c r="BQ1719" i="1"/>
  <c r="BZ1096" i="1"/>
  <c r="BQ1096" i="1"/>
  <c r="BZ1771" i="1"/>
  <c r="BQ1771" i="1"/>
  <c r="BZ2664" i="1"/>
  <c r="BQ2664" i="1"/>
  <c r="BZ1792" i="1"/>
  <c r="BQ1792" i="1"/>
  <c r="BZ541" i="1"/>
  <c r="BQ541" i="1"/>
  <c r="CD2640" i="1"/>
  <c r="BQ2640" i="1"/>
  <c r="BZ1027" i="1"/>
  <c r="BQ1027" i="1"/>
  <c r="CD2328" i="1"/>
  <c r="BQ2328" i="1"/>
  <c r="CD1876" i="1"/>
  <c r="BQ1876" i="1"/>
  <c r="BZ2472" i="1"/>
  <c r="BQ2472" i="1"/>
  <c r="BZ2101" i="1"/>
  <c r="BQ2101" i="1"/>
  <c r="BZ1468" i="1"/>
  <c r="BQ1468" i="1"/>
  <c r="BZ1923" i="1"/>
  <c r="BQ1923" i="1"/>
  <c r="BZ1539" i="1"/>
  <c r="BQ1539" i="1"/>
  <c r="CD2306" i="1"/>
  <c r="BQ2306" i="1"/>
  <c r="CD2820" i="1"/>
  <c r="BQ2820" i="1"/>
  <c r="CD2830" i="1"/>
  <c r="BQ2830" i="1"/>
  <c r="CD705" i="1"/>
  <c r="BQ705" i="1"/>
  <c r="CD437" i="1"/>
  <c r="BQ437" i="1"/>
  <c r="CD2857" i="1"/>
  <c r="BQ2857" i="1"/>
  <c r="CD2291" i="1"/>
  <c r="BQ2291" i="1"/>
  <c r="CD711" i="1"/>
  <c r="BQ711" i="1"/>
  <c r="CD2898" i="1"/>
  <c r="BQ2898" i="1"/>
  <c r="CD1308" i="1"/>
  <c r="BQ1308" i="1"/>
  <c r="CD806" i="1"/>
  <c r="BQ806" i="1"/>
  <c r="CD2270" i="1"/>
  <c r="BQ2270" i="1"/>
  <c r="CD930" i="1"/>
  <c r="BQ930" i="1"/>
  <c r="BZ2967" i="1"/>
  <c r="BQ2967" i="1"/>
  <c r="BZ2523" i="1"/>
  <c r="BQ2523" i="1"/>
  <c r="CD1587" i="1"/>
  <c r="BQ1587" i="1"/>
  <c r="BZ1088" i="1"/>
  <c r="BQ1088" i="1"/>
  <c r="BZ1975" i="1"/>
  <c r="BQ1975" i="1"/>
  <c r="BZ2478" i="1"/>
  <c r="BQ2478" i="1"/>
  <c r="BZ1946" i="1"/>
  <c r="BQ1946" i="1"/>
  <c r="BZ1330" i="1"/>
  <c r="BQ1330" i="1"/>
  <c r="BZ3011" i="1"/>
  <c r="BQ3011" i="1"/>
  <c r="BZ1497" i="1"/>
  <c r="BQ1497" i="1"/>
  <c r="BZ2201" i="1"/>
  <c r="BQ2201" i="1"/>
  <c r="BZ2396" i="1"/>
  <c r="BQ2396" i="1"/>
  <c r="BZ1507" i="1"/>
  <c r="BQ1507" i="1"/>
  <c r="BZ2223" i="1"/>
  <c r="BQ2223" i="1"/>
  <c r="BZ1051" i="1"/>
  <c r="BQ1051" i="1"/>
  <c r="BZ3028" i="1"/>
  <c r="BQ3028" i="1"/>
  <c r="BZ2403" i="1"/>
  <c r="BQ2403" i="1"/>
  <c r="BZ1870" i="1"/>
  <c r="BQ1870" i="1"/>
  <c r="BZ2349" i="1"/>
  <c r="BQ2349" i="1"/>
  <c r="BZ2351" i="1"/>
  <c r="BQ2351" i="1"/>
  <c r="BZ3058" i="1"/>
  <c r="BQ3058" i="1"/>
  <c r="CD685" i="1"/>
  <c r="BQ685" i="1"/>
  <c r="BZ2560" i="1"/>
  <c r="BQ2560" i="1"/>
  <c r="BZ805" i="1"/>
  <c r="BQ805" i="1"/>
  <c r="BZ1440" i="1"/>
  <c r="BQ1440" i="1"/>
  <c r="CD2823" i="1"/>
  <c r="BQ2823" i="1"/>
  <c r="BZ864" i="1"/>
  <c r="BQ864" i="1"/>
  <c r="BZ1600" i="1"/>
  <c r="BQ1600" i="1"/>
  <c r="BZ938" i="1"/>
  <c r="BQ938" i="1"/>
  <c r="BZ955" i="1"/>
  <c r="BQ955" i="1"/>
  <c r="BZ2158" i="1"/>
  <c r="BQ2158" i="1"/>
  <c r="BZ1761" i="1"/>
  <c r="BQ1761" i="1"/>
  <c r="BZ2496" i="1"/>
  <c r="BQ2496" i="1"/>
  <c r="BZ1955" i="1"/>
  <c r="BQ1955" i="1"/>
  <c r="BZ306" i="1"/>
  <c r="BQ306" i="1"/>
  <c r="BZ1960" i="1"/>
  <c r="BQ1960" i="1"/>
  <c r="BZ529" i="1"/>
  <c r="BQ529" i="1"/>
  <c r="BZ2355" i="1"/>
  <c r="BQ2355" i="1"/>
  <c r="BZ1795" i="1"/>
  <c r="BQ1795" i="1"/>
  <c r="BZ975" i="1"/>
  <c r="BQ975" i="1"/>
  <c r="BZ2404" i="1"/>
  <c r="BQ2404" i="1"/>
  <c r="BZ2346" i="1"/>
  <c r="BQ2346" i="1"/>
  <c r="BZ2848" i="1"/>
  <c r="BQ2848" i="1"/>
  <c r="BZ124" i="1"/>
  <c r="BQ124" i="1"/>
  <c r="BZ641" i="1"/>
  <c r="BQ641" i="1"/>
  <c r="BZ3158" i="1"/>
  <c r="BQ3158" i="1"/>
  <c r="CD1520" i="1"/>
  <c r="BQ1520" i="1"/>
  <c r="BZ1549" i="1"/>
  <c r="BQ1549" i="1"/>
  <c r="BZ415" i="1"/>
  <c r="BQ415" i="1"/>
  <c r="BZ855" i="1"/>
  <c r="BQ855" i="1"/>
  <c r="BZ2090" i="1"/>
  <c r="BQ2090" i="1"/>
  <c r="CD3193" i="1"/>
  <c r="BQ3193" i="1"/>
  <c r="BZ1150" i="1"/>
  <c r="BQ1150" i="1"/>
  <c r="BZ3198" i="1"/>
  <c r="BQ3198" i="1"/>
  <c r="BZ760" i="1"/>
  <c r="BQ760" i="1"/>
  <c r="BZ21" i="1"/>
  <c r="BQ21" i="1"/>
  <c r="BZ303" i="1"/>
  <c r="BQ303" i="1"/>
  <c r="BZ1686" i="1"/>
  <c r="BQ1686" i="1"/>
  <c r="BZ3205" i="1"/>
  <c r="BQ3205" i="1"/>
  <c r="BZ2423" i="1"/>
  <c r="BQ2423" i="1"/>
  <c r="CD2606" i="1"/>
  <c r="BQ2606" i="1"/>
  <c r="BZ695" i="1"/>
  <c r="BQ695" i="1"/>
  <c r="BZ1102" i="1"/>
  <c r="BQ1102" i="1"/>
  <c r="BZ2566" i="1"/>
  <c r="BQ2566" i="1"/>
  <c r="BZ2567" i="1"/>
  <c r="BQ2567" i="1"/>
  <c r="BZ502" i="1"/>
  <c r="BQ502" i="1"/>
  <c r="CD632" i="1"/>
  <c r="BQ632" i="1"/>
  <c r="CD2592" i="1"/>
  <c r="BQ2592" i="1"/>
  <c r="BZ939" i="1"/>
  <c r="BQ939" i="1"/>
  <c r="BZ1987" i="1"/>
  <c r="BQ1987" i="1"/>
  <c r="BZ1823" i="1"/>
  <c r="BQ1823" i="1"/>
  <c r="BZ1362" i="1"/>
  <c r="BQ1362" i="1"/>
  <c r="CD2278" i="1"/>
  <c r="BQ2278" i="1"/>
  <c r="BZ2326" i="1"/>
  <c r="BQ2326" i="1"/>
  <c r="BZ2200" i="1"/>
  <c r="BQ2200" i="1"/>
  <c r="BZ2182" i="1"/>
  <c r="BQ2182" i="1"/>
  <c r="CD2637" i="1"/>
  <c r="BQ2637" i="1"/>
  <c r="BZ2299" i="1"/>
  <c r="BQ2299" i="1"/>
  <c r="CD566" i="1"/>
  <c r="BQ566" i="1"/>
  <c r="BZ1389" i="1"/>
  <c r="BQ1389" i="1"/>
  <c r="BZ947" i="1"/>
  <c r="BQ947" i="1"/>
  <c r="BZ2642" i="1"/>
  <c r="BQ2642" i="1"/>
  <c r="BZ799" i="1"/>
  <c r="BQ799" i="1"/>
  <c r="CD2645" i="1"/>
  <c r="BQ2645" i="1"/>
  <c r="BZ315" i="1"/>
  <c r="BQ315" i="1"/>
  <c r="BZ2663" i="1"/>
  <c r="BQ2663" i="1"/>
  <c r="BZ6" i="1"/>
  <c r="BQ6" i="1"/>
  <c r="BZ1449" i="1"/>
  <c r="BQ1449" i="1"/>
  <c r="BZ2287" i="1"/>
  <c r="BQ2287" i="1"/>
  <c r="BZ2681" i="1"/>
  <c r="BQ2681" i="1"/>
  <c r="BZ1692" i="1"/>
  <c r="BQ1692" i="1"/>
  <c r="BZ1591" i="1"/>
  <c r="BQ1591" i="1"/>
  <c r="BZ426" i="1"/>
  <c r="BQ426" i="1"/>
  <c r="BZ20" i="1"/>
  <c r="BQ20" i="1"/>
  <c r="BZ110" i="1"/>
  <c r="BQ110" i="1"/>
  <c r="BZ1461" i="1"/>
  <c r="BQ1461" i="1"/>
  <c r="BZ1053" i="1"/>
  <c r="BQ1053" i="1"/>
  <c r="BZ310" i="1"/>
  <c r="BQ310" i="1"/>
  <c r="BZ852" i="1"/>
  <c r="BQ852" i="1"/>
  <c r="BZ302" i="1"/>
  <c r="BQ302" i="1"/>
  <c r="BZ1997" i="1"/>
  <c r="BQ1997" i="1"/>
  <c r="CD871" i="1"/>
  <c r="BQ871" i="1"/>
  <c r="BZ350" i="1"/>
  <c r="BQ350" i="1"/>
  <c r="BZ826" i="1"/>
  <c r="BQ826" i="1"/>
  <c r="BZ1223" i="1"/>
  <c r="BQ1223" i="1"/>
  <c r="BZ1039" i="1"/>
  <c r="BQ1039" i="1"/>
  <c r="BZ884" i="1"/>
  <c r="BQ884" i="1"/>
  <c r="BZ2741" i="1"/>
  <c r="BQ2741" i="1"/>
  <c r="BZ285" i="1"/>
  <c r="BQ285" i="1"/>
  <c r="BZ1279" i="1"/>
  <c r="BQ1279" i="1"/>
  <c r="BZ922" i="1"/>
  <c r="BQ922" i="1"/>
  <c r="BZ2763" i="1"/>
  <c r="BQ2763" i="1"/>
  <c r="BZ646" i="1"/>
  <c r="BQ646" i="1"/>
  <c r="CD2768" i="1"/>
  <c r="BQ2768" i="1"/>
  <c r="CD927" i="1"/>
  <c r="BQ927" i="1"/>
  <c r="CD1019" i="1"/>
  <c r="BQ1019" i="1"/>
  <c r="CD2303" i="1"/>
  <c r="BQ2303" i="1"/>
  <c r="CD2787" i="1"/>
  <c r="BQ2787" i="1"/>
  <c r="CD15" i="1"/>
  <c r="BQ15" i="1"/>
  <c r="CD1967" i="1"/>
  <c r="BQ1967" i="1"/>
  <c r="CD2814" i="1"/>
  <c r="BQ2814" i="1"/>
  <c r="CD377" i="1"/>
  <c r="BQ377" i="1"/>
  <c r="CD1706" i="1"/>
  <c r="BQ1706" i="1"/>
  <c r="CD2837" i="1"/>
  <c r="BQ2837" i="1"/>
  <c r="CD1747" i="1"/>
  <c r="BQ1747" i="1"/>
  <c r="CD2866" i="1"/>
  <c r="BQ2866" i="1"/>
  <c r="CD2871" i="1"/>
  <c r="BQ2871" i="1"/>
  <c r="CD180" i="1"/>
  <c r="BQ180" i="1"/>
  <c r="CD1016" i="1"/>
  <c r="BQ1016" i="1"/>
  <c r="CD2503" i="1"/>
  <c r="BQ2503" i="1"/>
  <c r="CD2036" i="1"/>
  <c r="BQ2036" i="1"/>
  <c r="CD2890" i="1"/>
  <c r="BQ2890" i="1"/>
  <c r="CD1577" i="1"/>
  <c r="BQ1577" i="1"/>
  <c r="CD144" i="1"/>
  <c r="BQ144" i="1"/>
  <c r="CD2909" i="1"/>
  <c r="BQ2909" i="1"/>
  <c r="CD2910" i="1"/>
  <c r="BQ2910" i="1"/>
  <c r="CD763" i="1"/>
  <c r="BQ763" i="1"/>
  <c r="CD596" i="1"/>
  <c r="BQ596" i="1"/>
  <c r="CD2470" i="1"/>
  <c r="BQ2470" i="1"/>
  <c r="CD2940" i="1"/>
  <c r="BQ2940" i="1"/>
  <c r="CD586" i="1"/>
  <c r="BQ586" i="1"/>
  <c r="CD2329" i="1"/>
  <c r="BQ2329" i="1"/>
  <c r="CD667" i="1"/>
  <c r="BQ667" i="1"/>
  <c r="BZ2203" i="1"/>
  <c r="BQ2203" i="1"/>
  <c r="BZ2335" i="1"/>
  <c r="BQ2335" i="1"/>
  <c r="BZ2974" i="1"/>
  <c r="BQ2974" i="1"/>
  <c r="BZ1082" i="1"/>
  <c r="BQ1082" i="1"/>
  <c r="BZ2020" i="1"/>
  <c r="BQ2020" i="1"/>
  <c r="CD785" i="1"/>
  <c r="BQ785" i="1"/>
  <c r="BZ3008" i="1"/>
  <c r="BQ3008" i="1"/>
  <c r="BZ1655" i="1"/>
  <c r="BQ1655" i="1"/>
  <c r="BZ1438" i="1"/>
  <c r="BQ1438" i="1"/>
  <c r="BZ2107" i="1"/>
  <c r="BQ2107" i="1"/>
  <c r="BZ1196" i="1"/>
  <c r="BQ1196" i="1"/>
  <c r="BZ1909" i="1"/>
  <c r="BQ1909" i="1"/>
  <c r="BZ774" i="1"/>
  <c r="BQ774" i="1"/>
  <c r="BZ890" i="1"/>
  <c r="BQ890" i="1"/>
  <c r="BZ1003" i="1"/>
  <c r="BQ1003" i="1"/>
  <c r="BZ1386" i="1"/>
  <c r="BQ1386" i="1"/>
  <c r="BZ486" i="1"/>
  <c r="BQ486" i="1"/>
  <c r="BZ994" i="1"/>
  <c r="BQ994" i="1"/>
  <c r="BZ3038" i="1"/>
  <c r="BQ3038" i="1"/>
  <c r="CD1647" i="1"/>
  <c r="BQ1647" i="1"/>
  <c r="BZ3054" i="1"/>
  <c r="BQ3054" i="1"/>
  <c r="BZ1579" i="1"/>
  <c r="BQ1579" i="1"/>
  <c r="BZ3063" i="1"/>
  <c r="BQ3063" i="1"/>
  <c r="BZ2042" i="1"/>
  <c r="BQ2042" i="1"/>
  <c r="BZ3067" i="1"/>
  <c r="BQ3067" i="1"/>
  <c r="BZ842" i="1"/>
  <c r="BQ842" i="1"/>
  <c r="BZ375" i="1"/>
  <c r="BQ375" i="1"/>
  <c r="BZ2254" i="1"/>
  <c r="BQ2254" i="1"/>
  <c r="BZ854" i="1"/>
  <c r="BQ854" i="1"/>
  <c r="BZ3073" i="1"/>
  <c r="BQ3073" i="1"/>
  <c r="BZ3075" i="1"/>
  <c r="BQ3075" i="1"/>
  <c r="BZ1517" i="1"/>
  <c r="BQ1517" i="1"/>
  <c r="BZ1227" i="1"/>
  <c r="BQ1227" i="1"/>
  <c r="BZ2499" i="1"/>
  <c r="BQ2499" i="1"/>
  <c r="BZ921" i="1"/>
  <c r="BQ921" i="1"/>
  <c r="BZ2164" i="1"/>
  <c r="BQ2164" i="1"/>
  <c r="BZ1760" i="1"/>
  <c r="BQ1760" i="1"/>
  <c r="BZ625" i="1"/>
  <c r="BQ625" i="1"/>
  <c r="BZ1892" i="1"/>
  <c r="BQ1892" i="1"/>
  <c r="CD2936" i="1"/>
  <c r="BQ2936" i="1"/>
  <c r="BZ147" i="1"/>
  <c r="BQ147" i="1"/>
  <c r="CD1263" i="1"/>
  <c r="BQ1263" i="1"/>
  <c r="BZ2369" i="1"/>
  <c r="BQ2369" i="1"/>
  <c r="BZ1254" i="1"/>
  <c r="BQ1254" i="1"/>
  <c r="BZ2467" i="1"/>
  <c r="BQ2467" i="1"/>
  <c r="BZ3105" i="1"/>
  <c r="BQ3105" i="1"/>
  <c r="BZ1925" i="1"/>
  <c r="BQ1925" i="1"/>
  <c r="BZ533" i="1"/>
  <c r="BQ533" i="1"/>
  <c r="BZ129" i="1"/>
  <c r="BQ129" i="1"/>
  <c r="CD1983" i="1"/>
  <c r="BQ1983" i="1"/>
  <c r="BZ1944" i="1"/>
  <c r="BQ1944" i="1"/>
  <c r="BZ1996" i="1"/>
  <c r="BQ1996" i="1"/>
  <c r="BZ1228" i="1"/>
  <c r="BQ1228" i="1"/>
  <c r="BZ935" i="1"/>
  <c r="BQ935" i="1"/>
  <c r="BZ563" i="1"/>
  <c r="BQ563" i="1"/>
  <c r="BZ666" i="1"/>
  <c r="BQ666" i="1"/>
  <c r="BZ1282" i="1"/>
  <c r="BQ1282" i="1"/>
  <c r="BZ1499" i="1"/>
  <c r="BQ1499" i="1"/>
  <c r="BZ1133" i="1"/>
  <c r="BQ1133" i="1"/>
  <c r="BZ605" i="1"/>
  <c r="BQ605" i="1"/>
  <c r="BZ1068" i="1"/>
  <c r="BQ1068" i="1"/>
  <c r="BZ173" i="1"/>
  <c r="BQ173" i="1"/>
  <c r="BZ1409" i="1"/>
  <c r="BQ1409" i="1"/>
  <c r="BZ649" i="1"/>
  <c r="BQ649" i="1"/>
  <c r="BZ1794" i="1"/>
  <c r="BQ1794" i="1"/>
  <c r="CD3155" i="1"/>
  <c r="BQ3155" i="1"/>
  <c r="BZ550" i="1"/>
  <c r="BQ550" i="1"/>
  <c r="CD1998" i="1"/>
  <c r="BQ1998" i="1"/>
  <c r="BZ928" i="1"/>
  <c r="BQ928" i="1"/>
  <c r="BZ2530" i="1"/>
  <c r="BQ2530" i="1"/>
  <c r="BZ3166" i="1"/>
  <c r="BQ3166" i="1"/>
  <c r="BZ1327" i="1"/>
  <c r="BQ1327" i="1"/>
  <c r="CD1560" i="1"/>
  <c r="BQ1560" i="1"/>
  <c r="CD3173" i="1"/>
  <c r="BQ3173" i="1"/>
  <c r="CD2501" i="1"/>
  <c r="BQ2501" i="1"/>
  <c r="CD2435" i="1"/>
  <c r="BQ2435" i="1"/>
  <c r="CD3194" i="1"/>
  <c r="BQ3194" i="1"/>
  <c r="BZ492" i="1"/>
  <c r="BQ492" i="1"/>
  <c r="CD3199" i="1"/>
  <c r="BQ3199" i="1"/>
  <c r="BZ2315" i="1"/>
  <c r="BQ2315" i="1"/>
  <c r="BZ2596" i="1"/>
  <c r="BQ2596" i="1"/>
  <c r="BZ311" i="1"/>
  <c r="BQ311" i="1"/>
  <c r="BZ2128" i="1"/>
  <c r="BQ2128" i="1"/>
  <c r="BZ1208" i="1"/>
  <c r="BQ1208" i="1"/>
  <c r="BZ883" i="1"/>
  <c r="BQ883" i="1"/>
  <c r="BZ714" i="1"/>
  <c r="BQ714" i="1"/>
  <c r="BZ424" i="1"/>
  <c r="BQ424" i="1"/>
  <c r="BZ1919" i="1"/>
  <c r="BQ1919" i="1"/>
  <c r="BZ837" i="1"/>
  <c r="BQ837" i="1"/>
  <c r="BZ1742" i="1"/>
  <c r="BQ1742" i="1"/>
  <c r="BZ1087" i="1"/>
  <c r="BQ1087" i="1"/>
  <c r="BZ2009" i="1"/>
  <c r="BQ2009" i="1"/>
  <c r="BZ1037" i="1"/>
  <c r="BQ1037" i="1"/>
  <c r="BZ1153" i="1"/>
  <c r="BQ1153" i="1"/>
  <c r="CD961" i="1"/>
  <c r="BQ961" i="1"/>
  <c r="CD2132" i="1"/>
  <c r="BQ2132" i="1"/>
  <c r="CD1280" i="1"/>
  <c r="BQ1280" i="1"/>
  <c r="CD787" i="1"/>
  <c r="BQ787" i="1"/>
  <c r="CD1257" i="1"/>
  <c r="BQ1257" i="1"/>
  <c r="CD1818" i="1"/>
  <c r="BQ1818" i="1"/>
  <c r="CD359" i="1"/>
  <c r="BQ359" i="1"/>
  <c r="CD2844" i="1"/>
  <c r="BQ2844" i="1"/>
  <c r="CD119" i="1"/>
  <c r="BQ119" i="1"/>
  <c r="CD2991" i="1"/>
  <c r="BQ2991" i="1"/>
  <c r="CD1966" i="1"/>
  <c r="BQ1966" i="1"/>
  <c r="BZ1420" i="1"/>
  <c r="BQ1420" i="1"/>
  <c r="CD622" i="1"/>
  <c r="BQ622" i="1"/>
  <c r="BZ2219" i="1"/>
  <c r="BQ2219" i="1"/>
  <c r="BZ2483" i="1"/>
  <c r="BQ2483" i="1"/>
  <c r="BZ385" i="1"/>
  <c r="BQ385" i="1"/>
  <c r="BZ282" i="1"/>
  <c r="BQ282" i="1"/>
  <c r="BZ509" i="1"/>
  <c r="BQ509" i="1"/>
  <c r="CD1727" i="1"/>
  <c r="BQ1727" i="1"/>
  <c r="BZ3045" i="1"/>
  <c r="BQ3045" i="1"/>
  <c r="CD3041" i="1"/>
  <c r="BQ3041" i="1"/>
  <c r="BZ3046" i="1"/>
  <c r="BQ3046" i="1"/>
  <c r="BZ394" i="1"/>
  <c r="BQ394" i="1"/>
  <c r="BZ3072" i="1"/>
  <c r="BQ3072" i="1"/>
  <c r="BZ1284" i="1"/>
  <c r="BQ1284" i="1"/>
  <c r="BZ1161" i="1"/>
  <c r="BQ1161" i="1"/>
  <c r="BZ3" i="1"/>
  <c r="BQ3" i="1"/>
  <c r="BZ2098" i="1"/>
  <c r="BQ2098" i="1"/>
  <c r="BZ2376" i="1"/>
  <c r="BQ2376" i="1"/>
  <c r="BZ704" i="1"/>
  <c r="BQ704" i="1"/>
  <c r="BZ877" i="1"/>
  <c r="BQ877" i="1"/>
  <c r="BZ1194" i="1"/>
  <c r="BQ1194" i="1"/>
  <c r="BZ783" i="1"/>
  <c r="BQ783" i="1"/>
  <c r="BZ404" i="1"/>
  <c r="BQ404" i="1"/>
  <c r="CD1837" i="1"/>
  <c r="BQ1837" i="1"/>
  <c r="BZ300" i="1"/>
  <c r="BQ300" i="1"/>
  <c r="CD3118" i="1"/>
  <c r="BQ3118" i="1"/>
  <c r="BZ420" i="1"/>
  <c r="BQ420" i="1"/>
  <c r="BZ156" i="1"/>
  <c r="BQ156" i="1"/>
  <c r="BZ2518" i="1"/>
  <c r="BQ2518" i="1"/>
  <c r="BZ1241" i="1"/>
  <c r="BQ1241" i="1"/>
  <c r="BZ3139" i="1"/>
  <c r="BQ3139" i="1"/>
  <c r="BZ1949" i="1"/>
  <c r="BQ1949" i="1"/>
  <c r="BZ3145" i="1"/>
  <c r="BQ3145" i="1"/>
  <c r="BZ146" i="1"/>
  <c r="BQ146" i="1"/>
  <c r="BZ2352" i="1"/>
  <c r="BQ2352" i="1"/>
  <c r="BZ3152" i="1"/>
  <c r="BQ3152" i="1"/>
  <c r="BZ3153" i="1"/>
  <c r="BQ3153" i="1"/>
  <c r="BZ116" i="1"/>
  <c r="BQ116" i="1"/>
  <c r="CD2240" i="1"/>
  <c r="BQ2240" i="1"/>
  <c r="BZ895" i="1"/>
  <c r="BQ895" i="1"/>
  <c r="BZ3167" i="1"/>
  <c r="BQ3167" i="1"/>
  <c r="BZ1734" i="1"/>
  <c r="BQ1734" i="1"/>
  <c r="BZ2304" i="1"/>
  <c r="BQ2304" i="1"/>
  <c r="BZ1391" i="1"/>
  <c r="BQ1391" i="1"/>
  <c r="BZ2288" i="1"/>
  <c r="BQ2288" i="1"/>
  <c r="CD3178" i="1"/>
  <c r="BQ3178" i="1"/>
  <c r="CD3185" i="1"/>
  <c r="BQ3185" i="1"/>
  <c r="CD3191" i="1"/>
  <c r="BQ3191" i="1"/>
  <c r="BZ738" i="1"/>
  <c r="BQ738" i="1"/>
  <c r="BZ1799" i="1"/>
  <c r="BQ1799" i="1"/>
  <c r="BZ1644" i="1"/>
  <c r="BQ1644" i="1"/>
  <c r="BZ3143" i="1"/>
  <c r="BQ3143" i="1"/>
  <c r="BZ3144" i="1"/>
  <c r="BQ3144" i="1"/>
  <c r="BZ1328" i="1"/>
  <c r="BQ1328" i="1"/>
  <c r="BZ3147" i="1"/>
  <c r="BQ3147" i="1"/>
  <c r="BZ1762" i="1"/>
  <c r="BQ1762" i="1"/>
  <c r="BZ2480" i="1"/>
  <c r="BQ2480" i="1"/>
  <c r="BZ810" i="1"/>
  <c r="BQ810" i="1"/>
  <c r="BZ3159" i="1"/>
  <c r="BQ3159" i="1"/>
  <c r="BZ165" i="1"/>
  <c r="BQ165" i="1"/>
  <c r="BZ506" i="1"/>
  <c r="BQ506" i="1"/>
  <c r="BZ1943" i="1"/>
  <c r="BQ1943" i="1"/>
  <c r="BZ1294" i="1"/>
  <c r="BQ1294" i="1"/>
  <c r="BZ1017" i="1"/>
  <c r="BQ1017" i="1"/>
  <c r="CD3175" i="1"/>
  <c r="BQ3175" i="1"/>
  <c r="CD793" i="1"/>
  <c r="BQ793" i="1"/>
  <c r="BZ3197" i="1"/>
  <c r="BQ3197" i="1"/>
  <c r="BZ3206" i="1"/>
  <c r="BQ3206" i="1"/>
  <c r="CD2573" i="1"/>
  <c r="BQ2573" i="1"/>
  <c r="BZ2552" i="1"/>
  <c r="BQ2552" i="1"/>
  <c r="BZ1385" i="1"/>
  <c r="BQ1385" i="1"/>
  <c r="BZ713" i="1"/>
  <c r="BQ713" i="1"/>
  <c r="BZ2684" i="1"/>
  <c r="BQ2684" i="1"/>
  <c r="BZ462" i="1"/>
  <c r="BQ462" i="1"/>
  <c r="BZ2521" i="1"/>
  <c r="BQ2521" i="1"/>
  <c r="BZ1703" i="1"/>
  <c r="BQ1703" i="1"/>
  <c r="CD1273" i="1"/>
  <c r="BQ1273" i="1"/>
  <c r="BZ2148" i="1"/>
  <c r="BQ2148" i="1"/>
  <c r="CD1815" i="1"/>
  <c r="BQ1815" i="1"/>
  <c r="CD1510" i="1"/>
  <c r="BQ1510" i="1"/>
  <c r="CD2797" i="1"/>
  <c r="BQ2797" i="1"/>
  <c r="CD2819" i="1"/>
  <c r="BQ2819" i="1"/>
  <c r="CD1994" i="1"/>
  <c r="BQ1994" i="1"/>
  <c r="CD1687" i="1"/>
  <c r="BQ1687" i="1"/>
  <c r="CD536" i="1"/>
  <c r="BQ536" i="1"/>
  <c r="CD2923" i="1"/>
  <c r="BQ2923" i="1"/>
  <c r="CD2917" i="1"/>
  <c r="BQ2917" i="1"/>
  <c r="CD1868" i="1"/>
  <c r="BQ1868" i="1"/>
  <c r="BZ1178" i="1"/>
  <c r="BQ1178" i="1"/>
  <c r="BZ1956" i="1"/>
  <c r="BQ1956" i="1"/>
  <c r="CD976" i="1"/>
  <c r="BQ976" i="1"/>
  <c r="CD1044" i="1"/>
  <c r="BQ1044" i="1"/>
  <c r="BZ3006" i="1"/>
  <c r="BQ3006" i="1"/>
  <c r="BZ551" i="1"/>
  <c r="BQ551" i="1"/>
  <c r="BZ1509" i="1"/>
  <c r="BQ1509" i="1"/>
  <c r="BZ3064" i="1"/>
  <c r="BQ3064" i="1"/>
  <c r="BZ978" i="1"/>
  <c r="BQ978" i="1"/>
  <c r="BZ1404" i="1"/>
  <c r="BQ1404" i="1"/>
  <c r="CD1363" i="1"/>
  <c r="BQ1363" i="1"/>
  <c r="CD866" i="1"/>
  <c r="BQ866" i="1"/>
  <c r="CD1013" i="1"/>
  <c r="BQ1013" i="1"/>
  <c r="BZ539" i="1"/>
  <c r="BQ539" i="1"/>
  <c r="BZ1681" i="1"/>
  <c r="BQ1681" i="1"/>
  <c r="CD2688" i="1"/>
  <c r="BQ2688" i="1"/>
  <c r="BZ2627" i="1"/>
  <c r="BQ2627" i="1"/>
  <c r="BZ2716" i="1"/>
  <c r="BQ2716" i="1"/>
  <c r="BZ508" i="1"/>
  <c r="BQ508" i="1"/>
  <c r="CD2047" i="1"/>
  <c r="BQ2047" i="1"/>
  <c r="BZ2336" i="1"/>
  <c r="BQ2336" i="1"/>
  <c r="BZ123" i="1"/>
  <c r="BQ123" i="1"/>
  <c r="CD2608" i="1"/>
  <c r="BQ2608" i="1"/>
  <c r="CD637" i="1"/>
  <c r="BQ637" i="1"/>
  <c r="CD1873" i="1"/>
  <c r="BQ1873" i="1"/>
  <c r="CD1543" i="1"/>
  <c r="BQ1543" i="1"/>
  <c r="CD2826" i="1"/>
  <c r="BQ2826" i="1"/>
  <c r="CD127" i="1"/>
  <c r="BQ127" i="1"/>
  <c r="BZ2367" i="1"/>
  <c r="BQ2367" i="1"/>
  <c r="BZ1899" i="1"/>
  <c r="BQ1899" i="1"/>
  <c r="CD1968" i="1"/>
  <c r="BQ1968" i="1"/>
  <c r="CD2590" i="1"/>
  <c r="BQ2590" i="1"/>
  <c r="BZ2610" i="1"/>
  <c r="BQ2610" i="1"/>
  <c r="CD2623" i="1"/>
  <c r="BQ2623" i="1"/>
  <c r="BZ2631" i="1"/>
  <c r="BQ2631" i="1"/>
  <c r="BZ2058" i="1"/>
  <c r="BQ2058" i="1"/>
  <c r="BZ569" i="1"/>
  <c r="BQ569" i="1"/>
  <c r="BZ2371" i="1"/>
  <c r="BQ2371" i="1"/>
  <c r="BZ1970" i="1"/>
  <c r="BQ1970" i="1"/>
  <c r="BZ840" i="1"/>
  <c r="BQ840" i="1"/>
  <c r="CD2689" i="1"/>
  <c r="BQ2689" i="1"/>
  <c r="BZ2704" i="1"/>
  <c r="BQ2704" i="1"/>
  <c r="BZ1014" i="1"/>
  <c r="BQ1014" i="1"/>
  <c r="BZ2720" i="1"/>
  <c r="BQ2720" i="1"/>
  <c r="CD1974" i="1"/>
  <c r="BQ1974" i="1"/>
  <c r="BZ2755" i="1"/>
  <c r="BQ2755" i="1"/>
  <c r="BZ1255" i="1"/>
  <c r="BQ1255" i="1"/>
  <c r="CD2776" i="1"/>
  <c r="BQ2776" i="1"/>
  <c r="CD1314" i="1"/>
  <c r="BQ1314" i="1"/>
  <c r="CD1215" i="1"/>
  <c r="BQ1215" i="1"/>
  <c r="CD578" i="1"/>
  <c r="BQ578" i="1"/>
  <c r="CD981" i="1"/>
  <c r="BQ981" i="1"/>
  <c r="CD526" i="1"/>
  <c r="BQ526" i="1"/>
  <c r="CD2012" i="1"/>
  <c r="BQ2012" i="1"/>
  <c r="CD1612" i="1"/>
  <c r="BQ1612" i="1"/>
  <c r="BZ1513" i="1"/>
  <c r="BQ1513" i="1"/>
  <c r="BZ2282" i="1"/>
  <c r="BQ2282" i="1"/>
  <c r="CD2555" i="1"/>
  <c r="BQ2555" i="1"/>
  <c r="BZ2155" i="1"/>
  <c r="BQ2155" i="1"/>
  <c r="BZ2000" i="1"/>
  <c r="BQ2000" i="1"/>
  <c r="BZ2353" i="1"/>
  <c r="BQ2353" i="1"/>
  <c r="BZ1045" i="1"/>
  <c r="BQ1045" i="1"/>
  <c r="CD2587" i="1"/>
  <c r="BQ2587" i="1"/>
  <c r="BZ775" i="1"/>
  <c r="BQ775" i="1"/>
  <c r="BZ926" i="1"/>
  <c r="BQ926" i="1"/>
  <c r="BZ328" i="1"/>
  <c r="BQ328" i="1"/>
  <c r="BZ109" i="1"/>
  <c r="BQ109" i="1"/>
  <c r="BZ726" i="1"/>
  <c r="BQ726" i="1"/>
  <c r="BZ2620" i="1"/>
  <c r="BQ2620" i="1"/>
  <c r="BZ2726" i="1"/>
  <c r="BQ2726" i="1"/>
  <c r="BZ2531" i="1"/>
  <c r="BQ2531" i="1"/>
  <c r="CD2748" i="1"/>
  <c r="BQ2748" i="1"/>
  <c r="BZ2337" i="1"/>
  <c r="BQ2337" i="1"/>
  <c r="BZ1942" i="1"/>
  <c r="BQ1942" i="1"/>
  <c r="BZ2424" i="1"/>
  <c r="BQ2424" i="1"/>
  <c r="CD965" i="1"/>
  <c r="BQ965" i="1"/>
  <c r="CD2176" i="1"/>
  <c r="BQ2176" i="1"/>
  <c r="CD2080" i="1"/>
  <c r="BQ2080" i="1"/>
  <c r="CD659" i="1"/>
  <c r="BQ659" i="1"/>
  <c r="CD2809" i="1"/>
  <c r="BQ2809" i="1"/>
  <c r="CD2836" i="1"/>
  <c r="BQ2836" i="1"/>
  <c r="CD1272" i="1"/>
  <c r="BQ1272" i="1"/>
  <c r="CD2285" i="1"/>
  <c r="BQ2285" i="1"/>
  <c r="CD2883" i="1"/>
  <c r="BQ2883" i="1"/>
  <c r="CD2884" i="1"/>
  <c r="BQ2884" i="1"/>
  <c r="CD1699" i="1"/>
  <c r="BQ1699" i="1"/>
  <c r="CD2905" i="1"/>
  <c r="BQ2905" i="1"/>
  <c r="BZ909" i="1"/>
  <c r="BQ909" i="1"/>
  <c r="BZ2509" i="1"/>
  <c r="BQ2509" i="1"/>
  <c r="BZ728" i="1"/>
  <c r="BQ728" i="1"/>
  <c r="BZ1260" i="1"/>
  <c r="BQ1260" i="1"/>
  <c r="BZ149" i="1"/>
  <c r="BQ149" i="1"/>
  <c r="BZ1418" i="1"/>
  <c r="BQ1418" i="1"/>
  <c r="BZ2257" i="1"/>
  <c r="BQ2257" i="1"/>
  <c r="BZ2290" i="1"/>
  <c r="BQ2290" i="1"/>
  <c r="BZ1120" i="1"/>
  <c r="BQ1120" i="1"/>
  <c r="BZ830" i="1"/>
  <c r="BQ830" i="1"/>
  <c r="BZ3098" i="1"/>
  <c r="BQ3098" i="1"/>
  <c r="BZ663" i="1"/>
  <c r="BQ663" i="1"/>
  <c r="CD3119" i="1"/>
  <c r="BQ3119" i="1"/>
  <c r="CD3140" i="1"/>
  <c r="BQ3140" i="1"/>
  <c r="CD676" i="1"/>
  <c r="BQ676" i="1"/>
  <c r="CD2046" i="1"/>
  <c r="BQ2046" i="1"/>
  <c r="CD657" i="1"/>
  <c r="BQ657" i="1"/>
  <c r="BZ2589" i="1"/>
  <c r="BQ2589" i="1"/>
  <c r="BZ1677" i="1"/>
  <c r="BQ1677" i="1"/>
  <c r="BZ1132" i="1"/>
  <c r="BQ1132" i="1"/>
  <c r="BZ1986" i="1"/>
  <c r="BQ1986" i="1"/>
  <c r="BZ831" i="1"/>
  <c r="BQ831" i="1"/>
  <c r="BZ451" i="1"/>
  <c r="BQ451" i="1"/>
  <c r="BZ1229" i="1"/>
  <c r="BQ1229" i="1"/>
  <c r="BZ1266" i="1"/>
  <c r="BQ1266" i="1"/>
  <c r="BZ537" i="1"/>
  <c r="BQ537" i="1"/>
  <c r="BZ825" i="1"/>
  <c r="BQ825" i="1"/>
  <c r="BZ1506" i="1"/>
  <c r="BQ1506" i="1"/>
  <c r="BZ1939" i="1"/>
  <c r="BQ1939" i="1"/>
  <c r="BZ2255" i="1"/>
  <c r="BQ2255" i="1"/>
  <c r="BZ1392" i="1"/>
  <c r="BQ1392" i="1"/>
  <c r="BZ2450" i="1"/>
  <c r="BQ2450" i="1"/>
  <c r="BZ341" i="1"/>
  <c r="BQ341" i="1"/>
  <c r="BZ1861" i="1"/>
  <c r="BQ1861" i="1"/>
  <c r="BZ2643" i="1"/>
  <c r="BQ2643" i="1"/>
  <c r="BZ1605" i="1"/>
  <c r="BQ1605" i="1"/>
  <c r="BZ730" i="1"/>
  <c r="BQ730" i="1"/>
  <c r="BZ9" i="1"/>
  <c r="BQ9" i="1"/>
  <c r="BZ1764" i="1"/>
  <c r="BQ1764" i="1"/>
  <c r="BZ2464" i="1"/>
  <c r="BQ2464" i="1"/>
  <c r="BZ1958" i="1"/>
  <c r="BQ1958" i="1"/>
  <c r="BZ1524" i="1"/>
  <c r="BQ1524" i="1"/>
  <c r="BZ2672" i="1"/>
  <c r="BQ2672" i="1"/>
  <c r="BZ2679" i="1"/>
  <c r="BQ2679" i="1"/>
  <c r="BZ134" i="1"/>
  <c r="BQ134" i="1"/>
  <c r="BZ2683" i="1"/>
  <c r="BQ2683" i="1"/>
  <c r="CD1034" i="1"/>
  <c r="BQ1034" i="1"/>
  <c r="BZ2692" i="1"/>
  <c r="BQ2692" i="1"/>
  <c r="BZ2699" i="1"/>
  <c r="BQ2699" i="1"/>
  <c r="BZ1753" i="1"/>
  <c r="BQ1753" i="1"/>
  <c r="BZ1599" i="1"/>
  <c r="BQ1599" i="1"/>
  <c r="BZ2227" i="1"/>
  <c r="BQ2227" i="1"/>
  <c r="CD1382" i="1"/>
  <c r="BQ1382" i="1"/>
  <c r="BZ473" i="1"/>
  <c r="BQ473" i="1"/>
  <c r="BZ2093" i="1"/>
  <c r="BQ2093" i="1"/>
  <c r="BZ2717" i="1"/>
  <c r="BQ2717" i="1"/>
  <c r="BZ1356" i="1"/>
  <c r="BQ1356" i="1"/>
  <c r="BZ389" i="1"/>
  <c r="BQ389" i="1"/>
  <c r="BZ2728" i="1"/>
  <c r="BQ2728" i="1"/>
  <c r="BZ924" i="1"/>
  <c r="BQ924" i="1"/>
  <c r="BZ1354" i="1"/>
  <c r="BQ1354" i="1"/>
  <c r="BZ286" i="1"/>
  <c r="BQ286" i="1"/>
  <c r="BZ2067" i="1"/>
  <c r="BQ2067" i="1"/>
  <c r="BZ160" i="1"/>
  <c r="BQ160" i="1"/>
  <c r="BZ2761" i="1"/>
  <c r="BQ2761" i="1"/>
  <c r="CD2794" i="1"/>
  <c r="BQ2794" i="1"/>
  <c r="CD848" i="1"/>
  <c r="BQ848" i="1"/>
  <c r="CD1008" i="1"/>
  <c r="BQ1008" i="1"/>
  <c r="CD2243" i="1"/>
  <c r="BQ2243" i="1"/>
  <c r="CD751" i="1"/>
  <c r="BQ751" i="1"/>
  <c r="CD2839" i="1"/>
  <c r="BQ2839" i="1"/>
  <c r="CD2840" i="1"/>
  <c r="BQ2840" i="1"/>
  <c r="CD1293" i="1"/>
  <c r="BQ1293" i="1"/>
  <c r="CD1007" i="1"/>
  <c r="BQ1007" i="1"/>
  <c r="CD2078" i="1"/>
  <c r="BQ2078" i="1"/>
  <c r="CD1910" i="1"/>
  <c r="BQ1910" i="1"/>
  <c r="CD189" i="1"/>
  <c r="BQ189" i="1"/>
  <c r="CD1047" i="1"/>
  <c r="BQ1047" i="1"/>
  <c r="CD1807" i="1"/>
  <c r="BQ1807" i="1"/>
  <c r="CD1346" i="1"/>
  <c r="BQ1346" i="1"/>
  <c r="CD660" i="1"/>
  <c r="BQ660" i="1"/>
  <c r="CD414" i="1"/>
  <c r="BQ414" i="1"/>
  <c r="BZ1640" i="1"/>
  <c r="BQ1640" i="1"/>
  <c r="BZ2968" i="1"/>
  <c r="BQ2968" i="1"/>
  <c r="BZ2289" i="1"/>
  <c r="BQ2289" i="1"/>
  <c r="BZ2122" i="1"/>
  <c r="BQ2122" i="1"/>
  <c r="CD2321" i="1"/>
  <c r="BQ2321" i="1"/>
  <c r="CD788" i="1"/>
  <c r="BQ788" i="1"/>
  <c r="CD2995" i="1"/>
  <c r="BQ2995" i="1"/>
  <c r="BZ2143" i="1"/>
  <c r="BQ2143" i="1"/>
  <c r="BZ642" i="1"/>
  <c r="BQ642" i="1"/>
  <c r="BZ555" i="1"/>
  <c r="BQ555" i="1"/>
  <c r="BZ2984" i="1"/>
  <c r="BQ2984" i="1"/>
  <c r="BZ3009" i="1"/>
  <c r="BQ3009" i="1"/>
  <c r="BZ1746" i="1"/>
  <c r="BQ1746" i="1"/>
  <c r="BZ317" i="1"/>
  <c r="BQ317" i="1"/>
  <c r="BZ881" i="1"/>
  <c r="BQ881" i="1"/>
  <c r="BZ2104" i="1"/>
  <c r="BQ2104" i="1"/>
  <c r="CD1723" i="1"/>
  <c r="BQ1723" i="1"/>
  <c r="BZ1157" i="1"/>
  <c r="BQ1157" i="1"/>
  <c r="BZ1654" i="1"/>
  <c r="BQ1654" i="1"/>
  <c r="BZ2179" i="1"/>
  <c r="BQ2179" i="1"/>
  <c r="BZ1442" i="1"/>
  <c r="BQ1442" i="1"/>
  <c r="BZ1146" i="1"/>
  <c r="BQ1146" i="1"/>
  <c r="BZ3023" i="1"/>
  <c r="BQ3023" i="1"/>
  <c r="BZ729" i="1"/>
  <c r="BQ729" i="1"/>
  <c r="BZ815" i="1"/>
  <c r="BQ815" i="1"/>
  <c r="BZ3032" i="1"/>
  <c r="BQ3032" i="1"/>
  <c r="BZ1779" i="1"/>
  <c r="BQ1779" i="1"/>
  <c r="BZ693" i="1"/>
  <c r="BQ693" i="1"/>
  <c r="BZ1990" i="1"/>
  <c r="BQ1990" i="1"/>
  <c r="BZ1159" i="1"/>
  <c r="BQ1159" i="1"/>
  <c r="BZ1109" i="1"/>
  <c r="BQ1109" i="1"/>
  <c r="BZ643" i="1"/>
  <c r="BQ643" i="1"/>
  <c r="BZ396" i="1"/>
  <c r="BQ396" i="1"/>
  <c r="BZ3056" i="1"/>
  <c r="BQ3056" i="1"/>
  <c r="CD2008" i="1"/>
  <c r="BQ2008" i="1"/>
  <c r="BZ3066" i="1"/>
  <c r="BQ3066" i="1"/>
  <c r="BZ320" i="1"/>
  <c r="BQ320" i="1"/>
  <c r="BZ1610" i="1"/>
  <c r="BQ1610" i="1"/>
  <c r="CD3080" i="1"/>
  <c r="BQ3080" i="1"/>
  <c r="BZ1238" i="1"/>
  <c r="BQ1238" i="1"/>
  <c r="CD1061" i="1"/>
  <c r="BQ1061" i="1"/>
  <c r="BZ690" i="1"/>
  <c r="BQ690" i="1"/>
  <c r="BZ2459" i="1"/>
  <c r="BQ2459" i="1"/>
  <c r="BZ1201" i="1"/>
  <c r="BQ1201" i="1"/>
  <c r="BZ989" i="1"/>
  <c r="BQ989" i="1"/>
  <c r="CD715" i="1"/>
  <c r="BQ715" i="1"/>
  <c r="BZ1218" i="1"/>
  <c r="BQ1218" i="1"/>
  <c r="BZ698" i="1"/>
  <c r="BQ698" i="1"/>
  <c r="BZ3121" i="1"/>
  <c r="BQ3121" i="1"/>
  <c r="BZ363" i="1"/>
  <c r="BQ363" i="1"/>
  <c r="BZ2332" i="1"/>
  <c r="BQ2332" i="1"/>
  <c r="BZ1275" i="1"/>
  <c r="BQ1275" i="1"/>
  <c r="BZ205" i="1"/>
  <c r="BQ205" i="1"/>
  <c r="BZ1270" i="1"/>
  <c r="BQ1270" i="1"/>
  <c r="BZ2041" i="1"/>
  <c r="BQ2041" i="1"/>
  <c r="BZ199" i="1"/>
  <c r="BQ199" i="1"/>
  <c r="BZ604" i="1"/>
  <c r="BQ604" i="1"/>
  <c r="BZ421" i="1"/>
  <c r="BQ421" i="1"/>
  <c r="BZ2438" i="1"/>
  <c r="BQ2438" i="1"/>
  <c r="BZ191" i="1"/>
  <c r="BQ191" i="1"/>
  <c r="BZ2003" i="1"/>
  <c r="BQ2003" i="1"/>
  <c r="BZ1169" i="1"/>
  <c r="BQ1169" i="1"/>
  <c r="BZ1773" i="1"/>
  <c r="BQ1773" i="1"/>
  <c r="CD489" i="1"/>
  <c r="BQ489" i="1"/>
  <c r="CD1911" i="1"/>
  <c r="BQ1911" i="1"/>
  <c r="BZ880" i="1"/>
  <c r="BQ880" i="1"/>
  <c r="BZ418" i="1"/>
  <c r="BQ418" i="1"/>
  <c r="BZ335" i="1"/>
  <c r="BQ335" i="1"/>
  <c r="BZ967" i="1"/>
  <c r="BQ967" i="1"/>
  <c r="BZ671" i="1"/>
  <c r="BQ671" i="1"/>
  <c r="BZ719" i="1"/>
  <c r="BQ719" i="1"/>
  <c r="CD1281" i="1"/>
  <c r="BQ1281" i="1"/>
  <c r="BZ1115" i="1"/>
  <c r="BQ1115" i="1"/>
  <c r="BZ2382" i="1"/>
  <c r="BQ2382" i="1"/>
  <c r="BZ1538" i="1"/>
  <c r="BQ1538" i="1"/>
  <c r="BZ2626" i="1"/>
  <c r="BQ2626" i="1"/>
  <c r="BZ338" i="1"/>
  <c r="BQ338" i="1"/>
  <c r="CD2514" i="1"/>
  <c r="BQ2514" i="1"/>
  <c r="BZ5" i="1"/>
  <c r="BQ5" i="1"/>
  <c r="BZ1116" i="1"/>
  <c r="BQ1116" i="1"/>
  <c r="BZ1634" i="1"/>
  <c r="BQ1634" i="1"/>
  <c r="BZ1154" i="1"/>
  <c r="BQ1154" i="1"/>
  <c r="BZ678" i="1"/>
  <c r="BQ678" i="1"/>
  <c r="BZ2415" i="1"/>
  <c r="BQ2415" i="1"/>
  <c r="BZ2021" i="1"/>
  <c r="BQ2021" i="1"/>
  <c r="BZ2432" i="1"/>
  <c r="BQ2432" i="1"/>
  <c r="BZ330" i="1"/>
  <c r="BQ330" i="1"/>
  <c r="BZ2729" i="1"/>
  <c r="BQ2729" i="1"/>
  <c r="BZ1554" i="1"/>
  <c r="BQ1554" i="1"/>
  <c r="CD2788" i="1"/>
  <c r="BQ2788" i="1"/>
  <c r="CD2273" i="1"/>
  <c r="BQ2273" i="1"/>
  <c r="CD2293" i="1"/>
  <c r="BQ2293" i="1"/>
  <c r="CD1759" i="1"/>
  <c r="BQ1759" i="1"/>
  <c r="CD1872" i="1"/>
  <c r="BQ1872" i="1"/>
  <c r="CD2908" i="1"/>
  <c r="BQ2908" i="1"/>
  <c r="CD874" i="1"/>
  <c r="BQ874" i="1"/>
  <c r="CD1030" i="1"/>
  <c r="BQ1030" i="1"/>
  <c r="CD2949" i="1"/>
  <c r="BQ2949" i="1"/>
  <c r="BZ345" i="1"/>
  <c r="BQ345" i="1"/>
  <c r="CD1423" i="1"/>
  <c r="BQ1423" i="1"/>
  <c r="BZ870" i="1"/>
  <c r="BQ870" i="1"/>
  <c r="BZ176" i="1"/>
  <c r="BQ176" i="1"/>
  <c r="BZ157" i="1"/>
  <c r="BQ157" i="1"/>
  <c r="CD428" i="1"/>
  <c r="BQ428" i="1"/>
  <c r="BZ2007" i="1"/>
  <c r="BQ2007" i="1"/>
  <c r="BZ1265" i="1"/>
  <c r="BQ1265" i="1"/>
  <c r="CD1072" i="1"/>
  <c r="BQ1072" i="1"/>
  <c r="BZ290" i="1"/>
  <c r="BQ290" i="1"/>
  <c r="BZ2439" i="1"/>
  <c r="BQ2439" i="1"/>
  <c r="BZ902" i="1"/>
  <c r="BQ902" i="1"/>
  <c r="BZ892" i="1"/>
  <c r="BQ892" i="1"/>
  <c r="BZ2035" i="1"/>
  <c r="BQ2035" i="1"/>
  <c r="CD2579" i="1"/>
  <c r="BQ2579" i="1"/>
  <c r="BZ1641" i="1"/>
  <c r="BQ1641" i="1"/>
  <c r="BZ2615" i="1"/>
  <c r="BQ2615" i="1"/>
  <c r="BZ2616" i="1"/>
  <c r="BQ2616" i="1"/>
  <c r="BZ2476" i="1"/>
  <c r="BQ2476" i="1"/>
  <c r="BZ2632" i="1"/>
  <c r="BQ2632" i="1"/>
  <c r="BZ1635" i="1"/>
  <c r="BQ1635" i="1"/>
  <c r="CD2447" i="1"/>
  <c r="BQ2447" i="1"/>
  <c r="BZ746" i="1"/>
  <c r="BQ746" i="1"/>
  <c r="BZ1777" i="1"/>
  <c r="BQ1777" i="1"/>
  <c r="BZ1941" i="1"/>
  <c r="BQ1941" i="1"/>
  <c r="BZ1304" i="1"/>
  <c r="BQ1304" i="1"/>
  <c r="BZ758" i="1"/>
  <c r="BQ758" i="1"/>
  <c r="BZ2140" i="1"/>
  <c r="BQ2140" i="1"/>
  <c r="BZ691" i="1"/>
  <c r="BQ691" i="1"/>
  <c r="BZ427" i="1"/>
  <c r="BQ427" i="1"/>
  <c r="BZ2630" i="1"/>
  <c r="BQ2630" i="1"/>
  <c r="BZ1470" i="1"/>
  <c r="BQ1470" i="1"/>
  <c r="BZ1821" i="1"/>
  <c r="BQ1821" i="1"/>
  <c r="BZ2685" i="1"/>
  <c r="BQ2685" i="1"/>
  <c r="BZ1781" i="1"/>
  <c r="BQ1781" i="1"/>
  <c r="BZ1240" i="1"/>
  <c r="BQ1240" i="1"/>
  <c r="BZ460" i="1"/>
  <c r="BQ460" i="1"/>
  <c r="CD2785" i="1"/>
  <c r="BQ2785" i="1"/>
  <c r="CD1789" i="1"/>
  <c r="BQ1789" i="1"/>
  <c r="CD2879" i="1"/>
  <c r="BQ2879" i="1"/>
  <c r="CD1472" i="1"/>
  <c r="BQ1472" i="1"/>
  <c r="CD2935" i="1"/>
  <c r="BQ2935" i="1"/>
  <c r="CD724" i="1"/>
  <c r="BQ724" i="1"/>
  <c r="CD2952" i="1"/>
  <c r="BQ2952" i="1"/>
  <c r="BZ2040" i="1"/>
  <c r="BQ2040" i="1"/>
  <c r="CD2446" i="1"/>
  <c r="BQ2446" i="1"/>
  <c r="BZ2348" i="1"/>
  <c r="BQ2348" i="1"/>
  <c r="CD374" i="1"/>
  <c r="BQ374" i="1"/>
  <c r="CD2218" i="1"/>
  <c r="BQ2218" i="1"/>
  <c r="CD2451" i="1"/>
  <c r="BQ2451" i="1"/>
  <c r="BZ1166" i="1"/>
  <c r="BQ1166" i="1"/>
  <c r="BZ1576" i="1"/>
  <c r="BQ1576" i="1"/>
  <c r="BZ1814" i="1"/>
  <c r="BQ1814" i="1"/>
  <c r="BZ2063" i="1"/>
  <c r="BQ2063" i="1"/>
  <c r="BZ1778" i="1"/>
  <c r="BQ1778" i="1"/>
  <c r="BZ1286" i="1"/>
  <c r="BQ1286" i="1"/>
  <c r="BZ1492" i="1"/>
  <c r="BQ1492" i="1"/>
  <c r="CD911" i="1"/>
  <c r="BQ911" i="1"/>
  <c r="BZ803" i="1"/>
  <c r="BQ803" i="1"/>
  <c r="BZ1335" i="1"/>
  <c r="BQ1335" i="1"/>
  <c r="BZ1173" i="1"/>
  <c r="BQ1173" i="1"/>
  <c r="BZ2700" i="1"/>
  <c r="BQ2700" i="1"/>
  <c r="BZ2705" i="1"/>
  <c r="BQ2705" i="1"/>
  <c r="BZ2167" i="1"/>
  <c r="BQ2167" i="1"/>
  <c r="BZ968" i="1"/>
  <c r="BQ968" i="1"/>
  <c r="BZ531" i="1"/>
  <c r="BQ531" i="1"/>
  <c r="BZ1649" i="1"/>
  <c r="BQ1649" i="1"/>
  <c r="CD1332" i="1"/>
  <c r="BQ1332" i="1"/>
  <c r="CD937" i="1"/>
  <c r="BQ937" i="1"/>
  <c r="CD977" i="1"/>
  <c r="BQ977" i="1"/>
  <c r="CD1620" i="1"/>
  <c r="BQ1620" i="1"/>
  <c r="CD644" i="1"/>
  <c r="BQ644" i="1"/>
  <c r="CD997" i="1"/>
  <c r="BQ997" i="1"/>
  <c r="CD106" i="1"/>
  <c r="BQ106" i="1"/>
  <c r="CD2881" i="1"/>
  <c r="BQ2881" i="1"/>
  <c r="CD1564" i="1"/>
  <c r="BQ1564" i="1"/>
  <c r="CD2894" i="1"/>
  <c r="BQ2894" i="1"/>
  <c r="CD2928" i="1"/>
  <c r="BQ2928" i="1"/>
  <c r="CD162" i="1"/>
  <c r="BQ162" i="1"/>
  <c r="CD1029" i="1"/>
  <c r="BQ1029" i="1"/>
  <c r="CD2102" i="1"/>
  <c r="BQ2102" i="1"/>
  <c r="CD2954" i="1"/>
  <c r="BQ2954" i="1"/>
  <c r="CD2533" i="1"/>
  <c r="BQ2533" i="1"/>
  <c r="BZ1188" i="1"/>
  <c r="BQ1188" i="1"/>
  <c r="CD640" i="1"/>
  <c r="BQ640" i="1"/>
  <c r="BZ2166" i="1"/>
  <c r="BQ2166" i="1"/>
  <c r="BZ2980" i="1"/>
  <c r="BQ2980" i="1"/>
  <c r="BZ1063" i="1"/>
  <c r="BQ1063" i="1"/>
  <c r="BZ794" i="1"/>
  <c r="BQ794" i="1"/>
  <c r="BZ499" i="1"/>
  <c r="BQ499" i="1"/>
  <c r="CD2455" i="1"/>
  <c r="BQ2455" i="1"/>
  <c r="CD553" i="1"/>
  <c r="BQ553" i="1"/>
  <c r="BZ878" i="1"/>
  <c r="BQ878" i="1"/>
  <c r="BZ3000" i="1"/>
  <c r="BQ3000" i="1"/>
  <c r="BZ798" i="1"/>
  <c r="BQ798" i="1"/>
  <c r="BZ995" i="1"/>
  <c r="BQ995" i="1"/>
  <c r="CD3007" i="1"/>
  <c r="BQ3007" i="1"/>
  <c r="BZ2014" i="1"/>
  <c r="BQ2014" i="1"/>
  <c r="BZ2275" i="1"/>
  <c r="BQ2275" i="1"/>
  <c r="BZ3017" i="1"/>
  <c r="BQ3017" i="1"/>
  <c r="BZ333" i="1"/>
  <c r="BQ333" i="1"/>
  <c r="BZ1783" i="1"/>
  <c r="BQ1783" i="1"/>
  <c r="BZ343" i="1"/>
  <c r="BQ343" i="1"/>
  <c r="BZ639" i="1"/>
  <c r="BQ639" i="1"/>
  <c r="BZ1575" i="1"/>
  <c r="BQ1575" i="1"/>
  <c r="BZ863" i="1"/>
  <c r="BQ863" i="1"/>
  <c r="BZ3136" i="1"/>
  <c r="BQ3136" i="1"/>
  <c r="BZ1716" i="1"/>
  <c r="BQ1716" i="1"/>
  <c r="BZ1046" i="1"/>
  <c r="BQ1046" i="1"/>
  <c r="BZ524" i="1"/>
  <c r="BQ524" i="1"/>
  <c r="BZ932" i="1"/>
  <c r="BQ932" i="1"/>
  <c r="BZ1924" i="1"/>
  <c r="BQ1924" i="1"/>
  <c r="BZ491" i="1"/>
  <c r="BQ491" i="1"/>
  <c r="BZ163" i="1"/>
  <c r="BQ163" i="1"/>
  <c r="BZ1809" i="1"/>
  <c r="BQ1809" i="1"/>
  <c r="BZ597" i="1"/>
  <c r="BQ597" i="1"/>
  <c r="BZ1871" i="1"/>
  <c r="BQ1871" i="1"/>
  <c r="BZ1066" i="1"/>
  <c r="BQ1066" i="1"/>
  <c r="BZ2593" i="1"/>
  <c r="BQ2593" i="1"/>
  <c r="BZ2383" i="1"/>
  <c r="BQ2383" i="1"/>
  <c r="BZ1090" i="1"/>
  <c r="BQ1090" i="1"/>
  <c r="BZ2617" i="1"/>
  <c r="BQ2617" i="1"/>
  <c r="CD2075" i="1"/>
  <c r="BQ2075" i="1"/>
  <c r="BZ1397" i="1"/>
  <c r="BQ1397" i="1"/>
  <c r="BZ2005" i="1"/>
  <c r="BQ2005" i="1"/>
  <c r="BZ169" i="1"/>
  <c r="BQ169" i="1"/>
  <c r="BZ2561" i="1"/>
  <c r="BQ2561" i="1"/>
  <c r="BZ2135" i="1"/>
  <c r="BQ2135" i="1"/>
  <c r="BZ2152" i="1"/>
  <c r="BQ2152" i="1"/>
  <c r="BZ2649" i="1"/>
  <c r="BQ2649" i="1"/>
  <c r="BZ1805" i="1"/>
  <c r="BQ1805" i="1"/>
  <c r="BZ1324" i="1"/>
  <c r="BQ1324" i="1"/>
  <c r="CD2654" i="1"/>
  <c r="BQ2654" i="1"/>
  <c r="BZ347" i="1"/>
  <c r="BQ347" i="1"/>
  <c r="CD929" i="1"/>
  <c r="BQ929" i="1"/>
  <c r="BZ337" i="1"/>
  <c r="BQ337" i="1"/>
  <c r="BZ2669" i="1"/>
  <c r="BQ2669" i="1"/>
  <c r="BZ1144" i="1"/>
  <c r="BQ1144" i="1"/>
  <c r="BZ817" i="1"/>
  <c r="BQ817" i="1"/>
  <c r="BZ2083" i="1"/>
  <c r="BQ2083" i="1"/>
  <c r="BZ2389" i="1"/>
  <c r="BQ2389" i="1"/>
  <c r="BZ907" i="1"/>
  <c r="BQ907" i="1"/>
  <c r="BZ1214" i="1"/>
  <c r="BQ1214" i="1"/>
  <c r="BZ797" i="1"/>
  <c r="BQ797" i="1"/>
  <c r="BZ2691" i="1"/>
  <c r="BQ2691" i="1"/>
  <c r="BZ1338" i="1"/>
  <c r="BQ1338" i="1"/>
  <c r="BZ2712" i="1"/>
  <c r="BQ2712" i="1"/>
  <c r="BZ1523" i="1"/>
  <c r="BQ1523" i="1"/>
  <c r="BZ422" i="1"/>
  <c r="BQ422" i="1"/>
  <c r="BZ1073" i="1"/>
  <c r="BQ1073" i="1"/>
  <c r="BZ1785" i="1"/>
  <c r="BQ1785" i="1"/>
  <c r="BZ140" i="1"/>
  <c r="BQ140" i="1"/>
  <c r="BZ2740" i="1"/>
  <c r="BQ2740" i="1"/>
  <c r="BZ757" i="1"/>
  <c r="BQ757" i="1"/>
  <c r="BZ2762" i="1"/>
  <c r="BQ2762" i="1"/>
  <c r="BZ2418" i="1"/>
  <c r="BQ2418" i="1"/>
  <c r="CD503" i="1"/>
  <c r="BQ503" i="1"/>
  <c r="CD2210" i="1"/>
  <c r="BQ2210" i="1"/>
  <c r="CD1484" i="1"/>
  <c r="BQ1484" i="1"/>
  <c r="CD398" i="1"/>
  <c r="BQ398" i="1"/>
  <c r="CD2792" i="1"/>
  <c r="BQ2792" i="1"/>
  <c r="CD2800" i="1"/>
  <c r="BQ2800" i="1"/>
  <c r="CD2163" i="1"/>
  <c r="BQ2163" i="1"/>
  <c r="CD1922" i="1"/>
  <c r="BQ1922" i="1"/>
  <c r="CD366" i="1"/>
  <c r="BQ366" i="1"/>
  <c r="CD1427" i="1"/>
  <c r="BQ1427" i="1"/>
  <c r="CD1736" i="1"/>
  <c r="BQ1736" i="1"/>
  <c r="CD2818" i="1"/>
  <c r="BQ2818" i="1"/>
  <c r="CD1858" i="1"/>
  <c r="BQ1858" i="1"/>
  <c r="CD2318" i="1"/>
  <c r="BQ2318" i="1"/>
  <c r="CD2474" i="1"/>
  <c r="BQ2474" i="1"/>
  <c r="CD2846" i="1"/>
  <c r="BQ2846" i="1"/>
  <c r="CD1131" i="1"/>
  <c r="BQ1131" i="1"/>
  <c r="CD1113" i="1"/>
  <c r="BQ1113" i="1"/>
  <c r="CD534" i="1"/>
  <c r="BQ534" i="1"/>
  <c r="CD433" i="1"/>
  <c r="BQ433" i="1"/>
  <c r="CD348" i="1"/>
  <c r="BQ348" i="1"/>
  <c r="CD2876" i="1"/>
  <c r="BQ2876" i="1"/>
  <c r="CD2350" i="1"/>
  <c r="BQ2350" i="1"/>
  <c r="CD372" i="1"/>
  <c r="BQ372" i="1"/>
  <c r="CD756" i="1"/>
  <c r="BQ756" i="1"/>
  <c r="CD307" i="1"/>
  <c r="BQ307" i="1"/>
  <c r="CD1551" i="1"/>
  <c r="BQ1551" i="1"/>
  <c r="CD1367" i="1"/>
  <c r="BQ1367" i="1"/>
  <c r="CD2121" i="1"/>
  <c r="BQ2121" i="1"/>
  <c r="CD1277" i="1"/>
  <c r="BQ1277" i="1"/>
  <c r="CD1055" i="1"/>
  <c r="BQ1055" i="1"/>
  <c r="CD368" i="1"/>
  <c r="BQ368" i="1"/>
  <c r="CD2916" i="1"/>
  <c r="BQ2916" i="1"/>
  <c r="CD167" i="1"/>
  <c r="BQ167" i="1"/>
  <c r="CD2926" i="1"/>
  <c r="BQ2926" i="1"/>
  <c r="CD2927" i="1"/>
  <c r="BQ2927" i="1"/>
  <c r="CD1685" i="1"/>
  <c r="BQ1685" i="1"/>
  <c r="CD2956" i="1"/>
  <c r="BQ2956" i="1"/>
  <c r="CD2957" i="1"/>
  <c r="BQ2957" i="1"/>
  <c r="CD2959" i="1"/>
  <c r="BQ2959" i="1"/>
  <c r="CD1613" i="1"/>
  <c r="BQ1613" i="1"/>
  <c r="BZ2962" i="1"/>
  <c r="BQ2962" i="1"/>
  <c r="BZ1406" i="1"/>
  <c r="BQ1406" i="1"/>
  <c r="BZ2302" i="1"/>
  <c r="BQ2302" i="1"/>
  <c r="BZ1786" i="1"/>
  <c r="BQ1786" i="1"/>
  <c r="BZ1833" i="1"/>
  <c r="BQ1833" i="1"/>
  <c r="BZ138" i="1"/>
  <c r="BQ138" i="1"/>
  <c r="BZ525" i="1"/>
  <c r="BQ525" i="1"/>
  <c r="CD1412" i="1"/>
  <c r="BQ1412" i="1"/>
  <c r="BZ2633" i="1"/>
  <c r="BQ2633" i="1"/>
  <c r="BZ1091" i="1"/>
  <c r="BQ1091" i="1"/>
  <c r="BZ2195" i="1"/>
  <c r="BQ2195" i="1"/>
  <c r="BZ1210" i="1"/>
  <c r="BQ1210" i="1"/>
  <c r="BZ3027" i="1"/>
  <c r="BQ3027" i="1"/>
  <c r="BZ1486" i="1"/>
  <c r="BQ1486" i="1"/>
  <c r="BZ1639" i="1"/>
  <c r="BQ1639" i="1"/>
  <c r="BZ2469" i="1"/>
  <c r="BQ2469" i="1"/>
  <c r="BZ1127" i="1"/>
  <c r="BQ1127" i="1"/>
  <c r="BZ1303" i="1"/>
  <c r="BQ1303" i="1"/>
  <c r="BZ1170" i="1"/>
  <c r="BQ1170" i="1"/>
  <c r="BZ1516" i="1"/>
  <c r="BQ1516" i="1"/>
  <c r="BZ828" i="1"/>
  <c r="BQ828" i="1"/>
  <c r="BZ2216" i="1"/>
  <c r="BQ2216" i="1"/>
  <c r="BZ1274" i="1"/>
  <c r="BQ1274" i="1"/>
  <c r="BZ1128" i="1"/>
  <c r="BQ1128" i="1"/>
  <c r="BZ1776" i="1"/>
  <c r="BQ1776" i="1"/>
  <c r="CD1903" i="1"/>
  <c r="BQ1903" i="1"/>
  <c r="BZ8" i="1"/>
  <c r="BQ8" i="1"/>
  <c r="BZ1316" i="1"/>
  <c r="BQ1316" i="1"/>
  <c r="BZ3083" i="1"/>
  <c r="BQ3083" i="1"/>
  <c r="CD3084" i="1"/>
  <c r="BQ3084" i="1"/>
  <c r="BZ4" i="1"/>
  <c r="BQ4" i="1"/>
  <c r="BZ2391" i="1"/>
  <c r="BQ2391" i="1"/>
  <c r="BZ2744" i="1"/>
  <c r="BQ2744" i="1"/>
  <c r="BZ346" i="1"/>
  <c r="BQ346" i="1"/>
  <c r="BZ3102" i="1"/>
  <c r="BQ3102" i="1"/>
  <c r="BZ875" i="1"/>
  <c r="BQ875" i="1"/>
  <c r="CD3104" i="1"/>
  <c r="BQ3104" i="1"/>
  <c r="BZ1567" i="1"/>
  <c r="BQ1567" i="1"/>
  <c r="BZ1630" i="1"/>
  <c r="BQ1630" i="1"/>
  <c r="BZ1547" i="1"/>
  <c r="BQ1547" i="1"/>
  <c r="BZ891" i="1"/>
  <c r="BQ891" i="1"/>
  <c r="BZ769" i="1"/>
  <c r="BQ769" i="1"/>
  <c r="BZ1078" i="1"/>
  <c r="BQ1078" i="1"/>
  <c r="BZ2136" i="1"/>
  <c r="BQ2136" i="1"/>
  <c r="BZ1995" i="1"/>
  <c r="BQ1995" i="1"/>
  <c r="BZ2118" i="1"/>
  <c r="BQ2118" i="1"/>
  <c r="CD2137" i="1"/>
  <c r="BQ2137" i="1"/>
  <c r="BZ1563" i="1"/>
  <c r="BQ1563" i="1"/>
  <c r="CD2327" i="1"/>
  <c r="BQ2327" i="1"/>
  <c r="BZ456" i="1"/>
  <c r="BQ456" i="1"/>
  <c r="BZ3154" i="1"/>
  <c r="BQ3154" i="1"/>
  <c r="BZ2188" i="1"/>
  <c r="BQ2188" i="1"/>
  <c r="BZ1879" i="1"/>
  <c r="BQ1879" i="1"/>
  <c r="BZ3169" i="1"/>
  <c r="BQ3169" i="1"/>
  <c r="BZ2636" i="1"/>
  <c r="BQ2636" i="1"/>
  <c r="BZ1064" i="1"/>
  <c r="BQ1064" i="1"/>
  <c r="BZ185" i="1"/>
  <c r="BQ185" i="1"/>
  <c r="BZ3097" i="1"/>
  <c r="BQ3097" i="1"/>
  <c r="CD770" i="1"/>
  <c r="BQ770" i="1"/>
  <c r="CD656" i="1"/>
  <c r="BQ656" i="1"/>
  <c r="CD3189" i="1"/>
  <c r="BQ3189" i="1"/>
  <c r="CD2250" i="1"/>
  <c r="BQ2250" i="1"/>
  <c r="BZ2433" i="1"/>
  <c r="BQ2433" i="1"/>
  <c r="CD3202" i="1"/>
  <c r="BQ3202" i="1"/>
  <c r="BZ2489" i="1"/>
  <c r="BQ2489" i="1"/>
  <c r="BZ2557" i="1"/>
  <c r="BQ2557" i="1"/>
  <c r="BZ686" i="1"/>
  <c r="BQ686" i="1"/>
  <c r="BZ1614" i="1"/>
  <c r="BQ1614" i="1"/>
  <c r="CD2370" i="1"/>
  <c r="BQ2370" i="1"/>
  <c r="CD2575" i="1"/>
  <c r="BQ2575" i="1"/>
  <c r="BZ2607" i="1"/>
  <c r="BQ2607" i="1"/>
  <c r="BZ1671" i="1"/>
  <c r="BQ1671" i="1"/>
  <c r="BZ1390" i="1"/>
  <c r="BQ1390" i="1"/>
  <c r="BZ2267" i="1"/>
  <c r="BQ2267" i="1"/>
  <c r="BZ1103" i="1"/>
  <c r="BQ1103" i="1"/>
  <c r="BZ1311" i="1"/>
  <c r="BQ1311" i="1"/>
  <c r="BZ2599" i="1"/>
  <c r="BQ2599" i="1"/>
  <c r="BZ2268" i="1"/>
  <c r="BQ2268" i="1"/>
  <c r="BZ1545" i="1"/>
  <c r="BQ1545" i="1"/>
  <c r="CD587" i="1"/>
  <c r="BQ587" i="1"/>
  <c r="CD2849" i="1"/>
  <c r="BQ2849" i="1"/>
  <c r="CD664" i="1"/>
  <c r="BQ664" i="1"/>
  <c r="CD2064" i="1"/>
  <c r="BQ2064" i="1"/>
  <c r="BZ1715" i="1"/>
  <c r="BQ1715" i="1"/>
  <c r="BZ1657" i="1"/>
  <c r="BQ1657" i="1"/>
  <c r="BZ113" i="1"/>
  <c r="BQ113" i="1"/>
  <c r="BZ2822" i="1"/>
  <c r="BQ2822" i="1"/>
  <c r="BZ764" i="1"/>
  <c r="BQ764" i="1"/>
  <c r="BZ312" i="1"/>
  <c r="BQ312" i="1"/>
  <c r="BZ2526" i="1"/>
  <c r="BQ2526" i="1"/>
  <c r="CD1857" i="1"/>
  <c r="BQ1857" i="1"/>
  <c r="BZ755" i="1"/>
  <c r="BQ755" i="1"/>
  <c r="BZ1665" i="1"/>
  <c r="BQ1665" i="1"/>
  <c r="BZ2215" i="1"/>
  <c r="BQ2215" i="1"/>
  <c r="BZ2169" i="1"/>
  <c r="BQ2169" i="1"/>
  <c r="BZ442" i="1"/>
  <c r="BQ442" i="1"/>
  <c r="BZ19" i="1"/>
  <c r="BQ19" i="1"/>
  <c r="BZ1387" i="1"/>
  <c r="BQ1387" i="1"/>
  <c r="BZ1107" i="1"/>
  <c r="BQ1107" i="1"/>
  <c r="BZ2738" i="1"/>
  <c r="BQ2738" i="1"/>
  <c r="BZ716" i="1"/>
  <c r="BQ716" i="1"/>
  <c r="CD2582" i="1"/>
  <c r="BQ2582" i="1"/>
  <c r="BZ972" i="1"/>
  <c r="BQ972" i="1"/>
  <c r="BZ2226" i="1"/>
  <c r="BQ2226" i="1"/>
  <c r="BZ2263" i="1"/>
  <c r="BQ2263" i="1"/>
  <c r="BZ2578" i="1"/>
  <c r="BQ2578" i="1"/>
  <c r="CD1852" i="1"/>
  <c r="BQ1852" i="1"/>
  <c r="BZ2246" i="1"/>
  <c r="BQ2246" i="1"/>
  <c r="BZ1033" i="1"/>
  <c r="BQ1033" i="1"/>
  <c r="BZ2113" i="1"/>
  <c r="BQ2113" i="1"/>
  <c r="BZ668" i="1"/>
  <c r="BQ668" i="1"/>
  <c r="CD1118" i="1"/>
  <c r="BQ1118" i="1"/>
  <c r="CD2925" i="1"/>
  <c r="BQ2925" i="1"/>
  <c r="CD584" i="1"/>
  <c r="BQ584" i="1"/>
  <c r="BZ2701" i="1"/>
  <c r="BQ2701" i="1"/>
  <c r="BZ479" i="1"/>
  <c r="BQ479" i="1"/>
  <c r="BZ1948" i="1"/>
  <c r="BQ1948" i="1"/>
  <c r="BZ490" i="1"/>
  <c r="BQ490" i="1"/>
  <c r="CD1527" i="1"/>
  <c r="BQ1527" i="1"/>
  <c r="BZ1373" i="1"/>
  <c r="BQ1373" i="1"/>
  <c r="BZ501" i="1"/>
  <c r="BQ501" i="1"/>
  <c r="BZ399" i="1"/>
  <c r="BQ399" i="1"/>
  <c r="BZ1398" i="1"/>
  <c r="BQ1398" i="1"/>
  <c r="BZ1345" i="1"/>
  <c r="BQ1345" i="1"/>
  <c r="BZ612" i="1"/>
  <c r="BQ612" i="1"/>
  <c r="BZ1106" i="1"/>
  <c r="BQ1106" i="1"/>
  <c r="BZ1930" i="1"/>
  <c r="BQ1930" i="1"/>
  <c r="BZ2696" i="1"/>
  <c r="BQ2696" i="1"/>
  <c r="BZ1182" i="1"/>
  <c r="BQ1182" i="1"/>
  <c r="BZ2292" i="1"/>
  <c r="BQ2292" i="1"/>
  <c r="BZ908" i="1"/>
  <c r="BQ908" i="1"/>
  <c r="BZ2724" i="1"/>
  <c r="BQ2724" i="1"/>
  <c r="BZ494" i="1"/>
  <c r="BQ494" i="1"/>
  <c r="BZ1368" i="1"/>
  <c r="BQ1368" i="1"/>
  <c r="CD2006" i="1"/>
  <c r="BQ2006" i="1"/>
  <c r="CD1583" i="1"/>
  <c r="BQ1583" i="1"/>
  <c r="CD1988" i="1"/>
  <c r="BQ1988" i="1"/>
  <c r="CD362" i="1"/>
  <c r="BQ362" i="1"/>
  <c r="CD2861" i="1"/>
  <c r="BQ2861" i="1"/>
  <c r="CD2272" i="1"/>
  <c r="BQ2272" i="1"/>
  <c r="CD2194" i="1"/>
  <c r="BQ2194" i="1"/>
  <c r="CD1408" i="1"/>
  <c r="BQ1408" i="1"/>
  <c r="BZ1469" i="1"/>
  <c r="BQ1469" i="1"/>
  <c r="BZ3044" i="1"/>
  <c r="BQ3044" i="1"/>
  <c r="BZ158" i="1"/>
  <c r="BQ158" i="1"/>
  <c r="BZ538" i="1"/>
  <c r="BQ538" i="1"/>
  <c r="BZ1842" i="1"/>
  <c r="BQ1842" i="1"/>
  <c r="BZ3096" i="1"/>
  <c r="BQ3096" i="1"/>
  <c r="BZ1085" i="1"/>
  <c r="BQ1085" i="1"/>
  <c r="BZ960" i="1"/>
  <c r="BQ960" i="1"/>
  <c r="BZ1164" i="1"/>
  <c r="BQ1164" i="1"/>
  <c r="BZ2568" i="1"/>
  <c r="BQ2568" i="1"/>
  <c r="BZ1918" i="1"/>
  <c r="BQ1918" i="1"/>
  <c r="BZ2543" i="1"/>
  <c r="BQ2543" i="1"/>
  <c r="BZ1540" i="1"/>
  <c r="BQ1540" i="1"/>
  <c r="CD595" i="1"/>
  <c r="BQ595" i="1"/>
  <c r="CD2574" i="1"/>
  <c r="BQ2574" i="1"/>
  <c r="CD1142" i="1"/>
  <c r="BQ1142" i="1"/>
  <c r="CD2522" i="1"/>
  <c r="BQ2522" i="1"/>
  <c r="CD887" i="1"/>
  <c r="BQ887" i="1"/>
  <c r="BZ1627" i="1"/>
  <c r="BQ1627" i="1"/>
  <c r="CD1675" i="1"/>
  <c r="BQ1675" i="1"/>
  <c r="BZ800" i="1"/>
  <c r="BQ800" i="1"/>
  <c r="BZ1258" i="1"/>
  <c r="BQ1258" i="1"/>
  <c r="BZ284" i="1"/>
  <c r="BQ284" i="1"/>
  <c r="CD2621" i="1"/>
  <c r="BQ2621" i="1"/>
  <c r="BZ2442" i="1"/>
  <c r="BQ2442" i="1"/>
  <c r="CD1555" i="1"/>
  <c r="BQ1555" i="1"/>
  <c r="CD969" i="1"/>
  <c r="BQ969" i="1"/>
  <c r="CD2597" i="1"/>
  <c r="BQ2597" i="1"/>
  <c r="BZ2452" i="1"/>
  <c r="BQ2452" i="1"/>
  <c r="CD1185" i="1"/>
  <c r="BQ1185" i="1"/>
  <c r="CD2604" i="1"/>
  <c r="BQ2604" i="1"/>
  <c r="BZ319" i="1"/>
  <c r="BQ319" i="1"/>
  <c r="BZ2512" i="1"/>
  <c r="BQ2512" i="1"/>
  <c r="BZ761" i="1"/>
  <c r="BQ761" i="1"/>
  <c r="BZ2116" i="1"/>
  <c r="BQ2116" i="1"/>
  <c r="BZ412" i="1"/>
  <c r="BQ412" i="1"/>
  <c r="BZ1020" i="1"/>
  <c r="BQ1020" i="1"/>
  <c r="BZ1822" i="1"/>
  <c r="BQ1822" i="1"/>
  <c r="BZ177" i="1"/>
  <c r="BQ177" i="1"/>
  <c r="BZ846" i="1"/>
  <c r="BQ846" i="1"/>
  <c r="BZ322" i="1"/>
  <c r="BQ322" i="1"/>
  <c r="BZ197" i="1"/>
  <c r="BQ197" i="1"/>
  <c r="BZ899" i="1"/>
  <c r="BQ899" i="1"/>
  <c r="BZ2077" i="1"/>
  <c r="BQ2077" i="1"/>
  <c r="CD2313" i="1"/>
  <c r="BQ2313" i="1"/>
  <c r="BZ2644" i="1"/>
  <c r="BQ2644" i="1"/>
  <c r="BZ1329" i="1"/>
  <c r="BQ1329" i="1"/>
  <c r="CD936" i="1"/>
  <c r="BQ936" i="1"/>
  <c r="BZ1749" i="1"/>
  <c r="BQ1749" i="1"/>
  <c r="BZ1790" i="1"/>
  <c r="BQ1790" i="1"/>
  <c r="BZ1518" i="1"/>
  <c r="BQ1518" i="1"/>
  <c r="BZ2674" i="1"/>
  <c r="BQ2674" i="1"/>
  <c r="BZ1462" i="1"/>
  <c r="BQ1462" i="1"/>
  <c r="BZ1489" i="1"/>
  <c r="BQ1489" i="1"/>
  <c r="BZ2380" i="1"/>
  <c r="BQ2380" i="1"/>
  <c r="BZ689" i="1"/>
  <c r="BQ689" i="1"/>
  <c r="BZ1232" i="1"/>
  <c r="BQ1232" i="1"/>
  <c r="BZ816" i="1"/>
  <c r="BQ816" i="1"/>
  <c r="BZ558" i="1"/>
  <c r="BQ558" i="1"/>
  <c r="BZ1156" i="1"/>
  <c r="BQ1156" i="1"/>
  <c r="CD1467" i="1"/>
  <c r="BQ1467" i="1"/>
  <c r="BZ2301" i="1"/>
  <c r="BQ2301" i="1"/>
  <c r="BZ2703" i="1"/>
  <c r="BQ2703" i="1"/>
  <c r="BZ1933" i="1"/>
  <c r="BQ1933" i="1"/>
  <c r="BZ573" i="1"/>
  <c r="BQ573" i="1"/>
  <c r="BZ1684" i="1"/>
  <c r="BQ1684" i="1"/>
  <c r="BZ1221" i="1"/>
  <c r="BQ1221" i="1"/>
  <c r="BZ934" i="1"/>
  <c r="BQ934" i="1"/>
  <c r="BZ1607" i="1"/>
  <c r="BQ1607" i="1"/>
  <c r="BZ1230" i="1"/>
  <c r="BQ1230" i="1"/>
  <c r="BZ104" i="1"/>
  <c r="BQ104" i="1"/>
  <c r="BZ2366" i="1"/>
  <c r="BQ2366" i="1"/>
  <c r="BZ2099" i="1"/>
  <c r="BQ2099" i="1"/>
  <c r="BZ2732" i="1"/>
  <c r="BQ2732" i="1"/>
  <c r="BZ2723" i="1"/>
  <c r="BQ2723" i="1"/>
  <c r="BZ1724" i="1"/>
  <c r="BQ1724" i="1"/>
  <c r="BZ1289" i="1"/>
  <c r="BQ1289" i="1"/>
  <c r="BZ2743" i="1"/>
  <c r="BQ2743" i="1"/>
  <c r="BZ334" i="1"/>
  <c r="BQ334" i="1"/>
  <c r="BZ1097" i="1"/>
  <c r="BQ1097" i="1"/>
  <c r="BZ468" i="1"/>
  <c r="BQ468" i="1"/>
  <c r="BZ380" i="1"/>
  <c r="BQ380" i="1"/>
  <c r="BZ2750" i="1"/>
  <c r="BQ2750" i="1"/>
  <c r="BZ2399" i="1"/>
  <c r="BQ2399" i="1"/>
  <c r="BZ836" i="1"/>
  <c r="BQ836" i="1"/>
  <c r="BZ2153" i="1"/>
  <c r="BQ2153" i="1"/>
  <c r="BZ752" i="1"/>
  <c r="BQ752" i="1"/>
  <c r="CD2775" i="1"/>
  <c r="BQ2775" i="1"/>
  <c r="CD450" i="1"/>
  <c r="BQ450" i="1"/>
  <c r="CD364" i="1"/>
  <c r="BQ364" i="1"/>
  <c r="CD2805" i="1"/>
  <c r="BQ2805" i="1"/>
  <c r="CD1376" i="1"/>
  <c r="BQ1376" i="1"/>
  <c r="CD2331" i="1"/>
  <c r="BQ2331" i="1"/>
  <c r="CD2816" i="1"/>
  <c r="BQ2816" i="1"/>
  <c r="CD1452" i="1"/>
  <c r="BQ1452" i="1"/>
  <c r="CD703" i="1"/>
  <c r="BQ703" i="1"/>
  <c r="CD580" i="1"/>
  <c r="BQ580" i="1"/>
  <c r="CD2825" i="1"/>
  <c r="BQ2825" i="1"/>
  <c r="CD544" i="1"/>
  <c r="BQ544" i="1"/>
  <c r="CD2519" i="1"/>
  <c r="BQ2519" i="1"/>
  <c r="CD1010" i="1"/>
  <c r="BQ1010" i="1"/>
  <c r="CD1411" i="1"/>
  <c r="BQ1411" i="1"/>
  <c r="CD867" i="1"/>
  <c r="BQ867" i="1"/>
  <c r="CD2873" i="1"/>
  <c r="BQ2873" i="1"/>
  <c r="CD1700" i="1"/>
  <c r="BQ1700" i="1"/>
  <c r="CD2889" i="1"/>
  <c r="BQ2889" i="1"/>
  <c r="CD2189" i="1"/>
  <c r="BQ2189" i="1"/>
  <c r="CD2897" i="1"/>
  <c r="BQ2897" i="1"/>
  <c r="CD1336" i="1"/>
  <c r="BQ1336" i="1"/>
  <c r="CD2536" i="1"/>
  <c r="BQ2536" i="1"/>
  <c r="CD991" i="1"/>
  <c r="BQ991" i="1"/>
  <c r="CD292" i="1"/>
  <c r="BQ292" i="1"/>
  <c r="CD858" i="1"/>
  <c r="BQ858" i="1"/>
  <c r="CD2941" i="1"/>
  <c r="BQ2941" i="1"/>
  <c r="CD2942" i="1"/>
  <c r="BQ2942" i="1"/>
  <c r="CD571" i="1"/>
  <c r="BQ571" i="1"/>
  <c r="CD2948" i="1"/>
  <c r="BQ2948" i="1"/>
  <c r="CD1290" i="1"/>
  <c r="BQ1290" i="1"/>
  <c r="BZ1904" i="1"/>
  <c r="BQ1904" i="1"/>
  <c r="BZ2972" i="1"/>
  <c r="BQ2972" i="1"/>
  <c r="BZ2089" i="1"/>
  <c r="BQ2089" i="1"/>
  <c r="BZ2426" i="1"/>
  <c r="BQ2426" i="1"/>
  <c r="BZ940" i="1"/>
  <c r="BQ940" i="1"/>
  <c r="BZ2946" i="1"/>
  <c r="BQ2946" i="1"/>
  <c r="CD2453" i="1"/>
  <c r="BQ2453" i="1"/>
  <c r="CD813" i="1"/>
  <c r="BQ813" i="1"/>
  <c r="CD1465" i="1"/>
  <c r="BQ1465" i="1"/>
  <c r="BZ645" i="1"/>
  <c r="BQ645" i="1"/>
  <c r="BZ3004" i="1"/>
  <c r="BQ3004" i="1"/>
  <c r="CD2425" i="1"/>
  <c r="BQ2425" i="1"/>
  <c r="BZ2286" i="1"/>
  <c r="BQ2286" i="1"/>
  <c r="CD3018" i="1"/>
  <c r="BQ3018" i="1"/>
  <c r="BZ2029" i="1"/>
  <c r="BQ2029" i="1"/>
  <c r="BZ3029" i="1"/>
  <c r="BQ3029" i="1"/>
  <c r="BZ370" i="1"/>
  <c r="BQ370" i="1"/>
  <c r="BZ161" i="1"/>
  <c r="BQ161" i="1"/>
  <c r="BZ1125" i="1"/>
  <c r="BQ1125" i="1"/>
  <c r="BZ834" i="1"/>
  <c r="BQ834" i="1"/>
  <c r="BZ1743" i="1"/>
  <c r="BQ1743" i="1"/>
  <c r="BZ2324" i="1"/>
  <c r="BQ2324" i="1"/>
  <c r="BZ865" i="1"/>
  <c r="BQ865" i="1"/>
  <c r="BZ1532" i="1"/>
  <c r="BQ1532" i="1"/>
  <c r="CD318" i="1"/>
  <c r="BQ318" i="1"/>
  <c r="BZ1234" i="1"/>
  <c r="BQ1234" i="1"/>
  <c r="BZ520" i="1"/>
  <c r="BQ520" i="1"/>
  <c r="BZ2111" i="1"/>
  <c r="BQ2111" i="1"/>
  <c r="BZ2295" i="1"/>
  <c r="BQ2295" i="1"/>
  <c r="CD1192" i="1"/>
  <c r="BQ1192" i="1"/>
  <c r="BZ3099" i="1"/>
  <c r="BQ3099" i="1"/>
  <c r="BZ552" i="1"/>
  <c r="BQ552" i="1"/>
  <c r="BZ3107" i="1"/>
  <c r="BQ3107" i="1"/>
  <c r="BZ1528" i="1"/>
  <c r="BQ1528" i="1"/>
  <c r="BZ3124" i="1"/>
  <c r="BQ3124" i="1"/>
  <c r="BZ2546" i="1"/>
  <c r="BQ2546" i="1"/>
  <c r="BZ2241" i="1"/>
  <c r="BQ2241" i="1"/>
  <c r="CD1845" i="1"/>
  <c r="BQ1845" i="1"/>
  <c r="BZ198" i="1"/>
  <c r="BQ198" i="1"/>
  <c r="CD862" i="1"/>
  <c r="BQ862" i="1"/>
  <c r="BZ1875" i="1"/>
  <c r="BQ1875" i="1"/>
  <c r="BZ1015" i="1"/>
  <c r="BQ1015" i="1"/>
  <c r="BZ1419" i="1"/>
  <c r="BQ1419" i="1"/>
  <c r="BZ2019" i="1"/>
  <c r="BQ2019" i="1"/>
  <c r="BZ1752" i="1"/>
  <c r="BQ1752" i="1"/>
  <c r="BZ966" i="1"/>
  <c r="BQ966" i="1"/>
  <c r="BZ2381" i="1"/>
  <c r="BQ2381" i="1"/>
  <c r="BZ2065" i="1"/>
  <c r="BQ2065" i="1"/>
  <c r="BZ897" i="1"/>
  <c r="BQ897" i="1"/>
  <c r="BZ1145" i="1"/>
  <c r="BQ1145" i="1"/>
  <c r="CD893" i="1"/>
  <c r="BQ893" i="1"/>
  <c r="CD3192" i="1"/>
  <c r="BQ3192" i="1"/>
  <c r="BZ916" i="1"/>
  <c r="CD916" i="1"/>
  <c r="BZ1165" i="1"/>
  <c r="CD1165" i="1"/>
  <c r="BZ2981" i="1"/>
  <c r="CD2981" i="1"/>
  <c r="BZ946" i="1"/>
  <c r="CD946" i="1"/>
  <c r="BZ1825" i="1"/>
  <c r="CD1825" i="1"/>
  <c r="BZ438" i="1"/>
  <c r="CD438" i="1"/>
  <c r="BZ1482" i="1"/>
  <c r="CD1482" i="1"/>
  <c r="BZ771" i="1"/>
  <c r="CD771" i="1"/>
  <c r="BZ2300" i="1"/>
  <c r="CD2300" i="1"/>
  <c r="BZ1098" i="1"/>
  <c r="CD1098" i="1"/>
  <c r="BZ1702" i="1"/>
  <c r="CD1702" i="1"/>
  <c r="BZ1860" i="1"/>
  <c r="CD1860" i="1"/>
  <c r="BZ1584" i="1"/>
  <c r="CD1584" i="1"/>
  <c r="BZ1928" i="1"/>
  <c r="CD1928" i="1"/>
  <c r="BZ1075" i="1"/>
  <c r="CD1075" i="1"/>
  <c r="BZ987" i="1"/>
  <c r="CD987" i="1"/>
  <c r="BZ2059" i="1"/>
  <c r="CD2059" i="1"/>
  <c r="BZ517" i="1"/>
  <c r="CD517" i="1"/>
  <c r="BZ1038" i="1"/>
  <c r="CD1038" i="1"/>
  <c r="BZ2052" i="1"/>
  <c r="CD2052" i="1"/>
  <c r="BZ1829" i="1"/>
  <c r="CD1829" i="1"/>
  <c r="BZ3091" i="1"/>
  <c r="CD3091" i="1"/>
  <c r="BZ1057" i="1"/>
  <c r="CD1057" i="1"/>
  <c r="BZ3113" i="1"/>
  <c r="CD3113" i="1"/>
  <c r="BZ3116" i="1"/>
  <c r="CD3116" i="1"/>
  <c r="BZ2308" i="1"/>
  <c r="CD2308" i="1"/>
  <c r="BZ3120" i="1"/>
  <c r="CD3120" i="1"/>
  <c r="BZ3122" i="1"/>
  <c r="CD3122" i="1"/>
  <c r="BZ3162" i="1"/>
  <c r="CD3162" i="1"/>
  <c r="BZ1819" i="1"/>
  <c r="CD1819" i="1"/>
  <c r="BZ2103" i="1"/>
  <c r="CD2103" i="1"/>
  <c r="BZ857" i="1"/>
  <c r="CD857" i="1"/>
  <c r="BZ1951" i="1"/>
  <c r="CD1951" i="1"/>
  <c r="BZ2564" i="1"/>
  <c r="CD2564" i="1"/>
  <c r="BZ497" i="1"/>
  <c r="CD497" i="1"/>
  <c r="BZ601" i="1"/>
  <c r="CD601" i="1"/>
  <c r="BZ2634" i="1"/>
  <c r="CD2634" i="1"/>
  <c r="BZ1249" i="1"/>
  <c r="CD1249" i="1"/>
  <c r="BZ2159" i="1"/>
  <c r="CD2159" i="1"/>
  <c r="BZ2655" i="1"/>
  <c r="CD2655" i="1"/>
  <c r="BZ2660" i="1"/>
  <c r="CD2660" i="1"/>
  <c r="BZ2662" i="1"/>
  <c r="CD2662" i="1"/>
  <c r="BZ1565" i="1"/>
  <c r="CD1565" i="1"/>
  <c r="BZ1101" i="1"/>
  <c r="CD1101" i="1"/>
  <c r="BZ2707" i="1"/>
  <c r="CD2707" i="1"/>
  <c r="BZ2709" i="1"/>
  <c r="CD2709" i="1"/>
  <c r="BZ1455" i="1"/>
  <c r="CD1455" i="1"/>
  <c r="BZ2719" i="1"/>
  <c r="CD2719" i="1"/>
  <c r="BZ1359" i="1"/>
  <c r="CD1359" i="1"/>
  <c r="BZ780" i="1"/>
  <c r="CD780" i="1"/>
  <c r="BZ2033" i="1"/>
  <c r="CD2033" i="1"/>
  <c r="BZ1147" i="1"/>
  <c r="CD1147" i="1"/>
  <c r="BZ2753" i="1"/>
  <c r="CD2753" i="1"/>
  <c r="BZ2764" i="1"/>
  <c r="CD2764" i="1"/>
  <c r="BZ2767" i="1"/>
  <c r="CD2767" i="1"/>
  <c r="BZ2117" i="1"/>
  <c r="CD2117" i="1"/>
  <c r="BZ889" i="1"/>
  <c r="CD889" i="1"/>
  <c r="BZ809" i="1"/>
  <c r="CD809" i="1"/>
  <c r="BZ1089" i="1"/>
  <c r="CD1089" i="1"/>
  <c r="BZ1077" i="1"/>
  <c r="CD1077" i="1"/>
  <c r="BZ3034" i="1"/>
  <c r="CD3034" i="1"/>
  <c r="BZ3035" i="1"/>
  <c r="CD3035" i="1"/>
  <c r="BZ1108" i="1"/>
  <c r="CD1108" i="1"/>
  <c r="BZ3053" i="1"/>
  <c r="CD3053" i="1"/>
  <c r="BZ3059" i="1"/>
  <c r="CD3059" i="1"/>
  <c r="BZ3065" i="1"/>
  <c r="CD3065" i="1"/>
  <c r="BZ2485" i="1"/>
  <c r="CD2485" i="1"/>
  <c r="BZ1798" i="1"/>
  <c r="CD1798" i="1"/>
  <c r="BZ953" i="1"/>
  <c r="CD953" i="1"/>
  <c r="BZ581" i="1"/>
  <c r="CD581" i="1"/>
  <c r="BZ3092" i="1"/>
  <c r="CD3092" i="1"/>
  <c r="BZ3127" i="1"/>
  <c r="CD3127" i="1"/>
  <c r="BZ3128" i="1"/>
  <c r="CD3128" i="1"/>
  <c r="BZ1768" i="1"/>
  <c r="CD1768" i="1"/>
  <c r="BZ1770" i="1"/>
  <c r="CD1770" i="1"/>
  <c r="BZ3130" i="1"/>
  <c r="CD3130" i="1"/>
  <c r="BZ3132" i="1"/>
  <c r="CD3132" i="1"/>
  <c r="BZ2124" i="1"/>
  <c r="CD2124" i="1"/>
  <c r="BZ2495" i="1"/>
  <c r="CD2495" i="1"/>
  <c r="BZ3146" i="1"/>
  <c r="CD3146" i="1"/>
  <c r="BZ2030" i="1"/>
  <c r="CD2030" i="1"/>
  <c r="BZ931" i="1"/>
  <c r="CD931" i="1"/>
  <c r="BZ2600" i="1"/>
  <c r="CD2600" i="1"/>
  <c r="BZ2594" i="1"/>
  <c r="CD2594" i="1"/>
  <c r="BZ1430" i="1"/>
  <c r="CD1430" i="1"/>
  <c r="BZ1071" i="1"/>
  <c r="CD1071" i="1"/>
  <c r="BZ1395" i="1"/>
  <c r="CD1395" i="1"/>
  <c r="BZ1065" i="1"/>
  <c r="CD1065" i="1"/>
  <c r="BZ1616" i="1"/>
  <c r="CD1616" i="1"/>
  <c r="BZ2745" i="1"/>
  <c r="CD2745" i="1"/>
  <c r="BZ192" i="1"/>
  <c r="CD192" i="1"/>
  <c r="BZ2244" i="1"/>
  <c r="CD2244" i="1"/>
  <c r="BZ3033" i="1"/>
  <c r="CD3033" i="1"/>
  <c r="BZ1197" i="1"/>
  <c r="CD1197" i="1"/>
  <c r="BZ3060" i="1"/>
  <c r="CD3060" i="1"/>
  <c r="BZ1900" i="1"/>
  <c r="CD1900" i="1"/>
  <c r="BZ876" i="1"/>
  <c r="CD876" i="1"/>
  <c r="BZ527" i="1"/>
  <c r="CD527" i="1"/>
  <c r="BZ2305" i="1"/>
  <c r="CD2305" i="1"/>
  <c r="BZ1052" i="1"/>
  <c r="CD1052" i="1"/>
  <c r="BZ1912" i="1"/>
  <c r="CD1912" i="1"/>
  <c r="BZ3069" i="1"/>
  <c r="CD3069" i="1"/>
  <c r="BZ505" i="1"/>
  <c r="CD505" i="1"/>
  <c r="BZ1696" i="1"/>
  <c r="CD1696" i="1"/>
  <c r="BZ3115" i="1"/>
  <c r="CD3115" i="1"/>
  <c r="BZ3156" i="1"/>
  <c r="CD3156" i="1"/>
  <c r="BZ1287" i="1"/>
  <c r="CD1287" i="1"/>
  <c r="BZ429" i="1"/>
  <c r="CD429" i="1"/>
  <c r="BZ2613" i="1"/>
  <c r="CD2613" i="1"/>
  <c r="BZ2618" i="1"/>
  <c r="CD2618" i="1"/>
  <c r="BZ2635" i="1"/>
  <c r="CD2635" i="1"/>
  <c r="BZ540" i="1"/>
  <c r="CD540" i="1"/>
  <c r="BZ651" i="1"/>
  <c r="CD651" i="1"/>
  <c r="BZ2280" i="1"/>
  <c r="CD2280" i="1"/>
  <c r="BZ2402" i="1"/>
  <c r="CD2402" i="1"/>
  <c r="BZ614" i="1"/>
  <c r="CD614" i="1"/>
  <c r="BZ2625" i="1"/>
  <c r="CD2625" i="1"/>
  <c r="BZ1233" i="1"/>
  <c r="CD1233" i="1"/>
  <c r="BZ2027" i="1"/>
  <c r="CD2027" i="1"/>
  <c r="BZ904" i="1"/>
  <c r="CD904" i="1"/>
  <c r="BZ379" i="1"/>
  <c r="CD379" i="1"/>
  <c r="BZ2687" i="1"/>
  <c r="CD2687" i="1"/>
  <c r="BZ2766" i="1"/>
  <c r="CD2766" i="1"/>
  <c r="BZ1718" i="1"/>
  <c r="CD1718" i="1"/>
  <c r="BZ906" i="1"/>
  <c r="CD906" i="1"/>
  <c r="BZ1305" i="1"/>
  <c r="CD1305" i="1"/>
  <c r="BZ944" i="1"/>
  <c r="CD944" i="1"/>
  <c r="BZ827" i="1"/>
  <c r="CD827" i="1"/>
  <c r="BZ1331" i="1"/>
  <c r="CD1331" i="1"/>
  <c r="BZ2440" i="1"/>
  <c r="CD2440" i="1"/>
  <c r="BZ1062" i="1"/>
  <c r="CD1062" i="1"/>
  <c r="BZ2312" i="1"/>
  <c r="CD2312" i="1"/>
  <c r="BZ2751" i="1"/>
  <c r="CD2751" i="1"/>
  <c r="BZ1646" i="1"/>
  <c r="CD1646" i="1"/>
  <c r="BZ1445" i="1"/>
  <c r="CD1445" i="1"/>
  <c r="BZ327" i="1"/>
  <c r="CD327" i="1"/>
  <c r="BZ3135" i="1"/>
  <c r="CD3135" i="1"/>
  <c r="BZ2154" i="1"/>
  <c r="CD2154" i="1"/>
  <c r="BZ1894" i="1"/>
  <c r="CD1894" i="1"/>
  <c r="BZ992" i="1"/>
  <c r="CD992" i="1"/>
  <c r="BZ291" i="1"/>
  <c r="CD291" i="1"/>
  <c r="BZ1100" i="1"/>
  <c r="CD1100" i="1"/>
  <c r="BZ609" i="1"/>
  <c r="CD609" i="1"/>
  <c r="BZ900" i="1"/>
  <c r="CD900" i="1"/>
  <c r="BZ1485" i="1"/>
  <c r="CD1485" i="1"/>
  <c r="BZ1247" i="1"/>
  <c r="CD1247" i="1"/>
  <c r="BZ2142" i="1"/>
  <c r="CD2142" i="1"/>
  <c r="BZ1769" i="1"/>
  <c r="CD1769" i="1"/>
  <c r="BZ1745" i="1"/>
  <c r="CD1745" i="1"/>
  <c r="BZ959" i="1"/>
  <c r="CD959" i="1"/>
  <c r="BZ2548" i="1"/>
  <c r="CD2548" i="1"/>
  <c r="BZ702" i="1"/>
  <c r="CD702" i="1"/>
  <c r="BZ483" i="1"/>
  <c r="CD483" i="1"/>
  <c r="BZ2562" i="1"/>
  <c r="CD2562" i="1"/>
  <c r="BZ615" i="1"/>
  <c r="CD615" i="1"/>
  <c r="BZ2571" i="1"/>
  <c r="CD2571" i="1"/>
  <c r="BZ741" i="1"/>
  <c r="CD741" i="1"/>
  <c r="BZ2588" i="1"/>
  <c r="CD2588" i="1"/>
  <c r="BZ2595" i="1"/>
  <c r="CD2595" i="1"/>
  <c r="BZ1297" i="1"/>
  <c r="CD1297" i="1"/>
  <c r="BZ2016" i="1"/>
  <c r="CD2016" i="1"/>
  <c r="BZ2211" i="1"/>
  <c r="CD2211" i="1"/>
  <c r="BZ1158" i="1"/>
  <c r="CD1158" i="1"/>
  <c r="BZ2031" i="1"/>
  <c r="CD2031" i="1"/>
  <c r="BZ879" i="1"/>
  <c r="CD879" i="1"/>
  <c r="BZ1606" i="1"/>
  <c r="CD1606" i="1"/>
  <c r="BZ2134" i="1"/>
  <c r="CD2134" i="1"/>
  <c r="BZ2651" i="1"/>
  <c r="CD2651" i="1"/>
  <c r="BZ1884" i="1"/>
  <c r="CD1884" i="1"/>
  <c r="BZ1475" i="1"/>
  <c r="CD1475" i="1"/>
  <c r="BZ2670" i="1"/>
  <c r="CD2670" i="1"/>
  <c r="BZ679" i="1"/>
  <c r="CD679" i="1"/>
  <c r="BZ1739" i="1"/>
  <c r="CD1739" i="1"/>
  <c r="BZ2545" i="1"/>
  <c r="CD2545" i="1"/>
  <c r="BZ1383" i="1"/>
  <c r="CD1383" i="1"/>
  <c r="BZ2718" i="1"/>
  <c r="CD2718" i="1"/>
  <c r="BZ193" i="1"/>
  <c r="CD193" i="1"/>
  <c r="BZ2225" i="1"/>
  <c r="CD2225" i="1"/>
  <c r="BZ688" i="1"/>
  <c r="CD688" i="1"/>
  <c r="BZ2737" i="1"/>
  <c r="CD2737" i="1"/>
  <c r="BZ2296" i="1"/>
  <c r="CD2296" i="1"/>
  <c r="BZ768" i="1"/>
  <c r="CD768" i="1"/>
  <c r="BZ2359" i="1"/>
  <c r="CD2359" i="1"/>
  <c r="BZ1831" i="1"/>
  <c r="CD1831" i="1"/>
  <c r="BZ1921" i="1"/>
  <c r="CD1921" i="1"/>
  <c r="BZ2966" i="1"/>
  <c r="CD2966" i="1"/>
  <c r="BZ1250" i="1"/>
  <c r="CD1250" i="1"/>
  <c r="BZ3005" i="1"/>
  <c r="CD3005" i="1"/>
  <c r="BZ2551" i="1"/>
  <c r="CD2551" i="1"/>
  <c r="BZ1590" i="1"/>
  <c r="CD1590" i="1"/>
  <c r="BZ1514" i="1"/>
  <c r="CD1514" i="1"/>
  <c r="BZ3016" i="1"/>
  <c r="CD3016" i="1"/>
  <c r="BZ3020" i="1"/>
  <c r="CD3020" i="1"/>
  <c r="BZ1650" i="1"/>
  <c r="CD1650" i="1"/>
  <c r="BZ2177" i="1"/>
  <c r="CD2177" i="1"/>
  <c r="BZ339" i="1"/>
  <c r="CD339" i="1"/>
  <c r="BZ528" i="1"/>
  <c r="CD528" i="1"/>
  <c r="BZ662" i="1"/>
  <c r="CD662" i="1"/>
  <c r="BZ1295" i="1"/>
  <c r="CD1295" i="1"/>
  <c r="BZ1905" i="1"/>
  <c r="CD1905" i="1"/>
  <c r="BZ3168" i="1"/>
  <c r="CD3168" i="1"/>
  <c r="BZ3171" i="1"/>
  <c r="CD3171" i="1"/>
  <c r="BZ1439" i="1"/>
  <c r="CD1439" i="1"/>
  <c r="BZ3204" i="1"/>
  <c r="CD3204" i="1"/>
  <c r="BZ795" i="1"/>
  <c r="CD795" i="1"/>
  <c r="BZ2175" i="1"/>
  <c r="CD2175" i="1"/>
  <c r="BZ2333" i="1"/>
  <c r="CD2333" i="1"/>
  <c r="BZ2563" i="1"/>
  <c r="CD2563" i="1"/>
  <c r="BZ2465" i="1"/>
  <c r="CD2465" i="1"/>
  <c r="BZ1503" i="1"/>
  <c r="CD1503" i="1"/>
  <c r="BZ1292" i="1"/>
  <c r="CD1292" i="1"/>
  <c r="BZ151" i="1"/>
  <c r="CD151" i="1"/>
  <c r="BZ1680" i="1"/>
  <c r="CD1680" i="1"/>
  <c r="BZ1220" i="1"/>
  <c r="CD1220" i="1"/>
  <c r="BZ2160" i="1"/>
  <c r="CD2160" i="1"/>
  <c r="BZ2730" i="1"/>
  <c r="CD2730" i="1"/>
  <c r="BZ1738" i="1"/>
  <c r="CD1738" i="1"/>
  <c r="BZ1936" i="1"/>
  <c r="CD1936" i="1"/>
  <c r="BZ2665" i="1"/>
  <c r="CD2665" i="1"/>
  <c r="BZ2697" i="1"/>
  <c r="CD2697" i="1"/>
  <c r="BZ556" i="1"/>
  <c r="CD556" i="1"/>
  <c r="BZ860" i="1"/>
  <c r="CD860" i="1"/>
  <c r="BZ3024" i="1"/>
  <c r="CD3024" i="1"/>
  <c r="BZ2603" i="1"/>
  <c r="CD2603" i="1"/>
  <c r="BZ2073" i="1"/>
  <c r="CD2073" i="1"/>
  <c r="BZ2605" i="1"/>
  <c r="CD2605" i="1"/>
  <c r="BZ543" i="1"/>
  <c r="CD543" i="1"/>
  <c r="BZ672" i="1"/>
  <c r="CD672" i="1"/>
  <c r="BZ2025" i="1"/>
  <c r="CD2025" i="1"/>
  <c r="BZ1571" i="1"/>
  <c r="CD1571" i="1"/>
  <c r="BZ1444" i="1"/>
  <c r="CD1444" i="1"/>
  <c r="BZ3068" i="1"/>
  <c r="CD3068" i="1"/>
  <c r="BZ616" i="1"/>
  <c r="CD616" i="1"/>
  <c r="BZ3077" i="1"/>
  <c r="CD3077" i="1"/>
  <c r="BZ2258" i="1"/>
  <c r="CD2258" i="1"/>
  <c r="BZ1670" i="1"/>
  <c r="CD1670" i="1"/>
  <c r="BZ3088" i="1"/>
  <c r="CD3088" i="1"/>
  <c r="BZ3100" i="1"/>
  <c r="CD3100" i="1"/>
  <c r="BZ3114" i="1"/>
  <c r="CD3114" i="1"/>
  <c r="BZ680" i="1"/>
  <c r="CD680" i="1"/>
  <c r="BZ1342" i="1"/>
  <c r="CD1342" i="1"/>
  <c r="BZ1206" i="1"/>
  <c r="CD1206" i="1"/>
  <c r="BZ1828" i="1"/>
  <c r="CD1828" i="1"/>
  <c r="BZ2256" i="1"/>
  <c r="CD2256" i="1"/>
  <c r="BZ3148" i="1"/>
  <c r="CD3148" i="1"/>
  <c r="BZ2559" i="1"/>
  <c r="CD2559" i="1"/>
  <c r="BZ2554" i="1"/>
  <c r="CD2554" i="1"/>
  <c r="BZ128" i="1"/>
  <c r="CD128" i="1"/>
  <c r="BZ1301" i="1"/>
  <c r="CD1301" i="1"/>
  <c r="BZ2609" i="1"/>
  <c r="CD2609" i="1"/>
  <c r="BZ2611" i="1"/>
  <c r="CD2611" i="1"/>
  <c r="BZ2619" i="1"/>
  <c r="CD2619" i="1"/>
  <c r="BZ1105" i="1"/>
  <c r="CD1105" i="1"/>
  <c r="BZ1466" i="1"/>
  <c r="CD1466" i="1"/>
  <c r="BZ547" i="1"/>
  <c r="CD547" i="1"/>
  <c r="BZ316" i="1"/>
  <c r="CD316" i="1"/>
  <c r="BZ2673" i="1"/>
  <c r="CD2673" i="1"/>
  <c r="BZ2144" i="1"/>
  <c r="CD2144" i="1"/>
  <c r="BZ1566" i="1"/>
  <c r="CD1566" i="1"/>
  <c r="BZ393" i="1"/>
  <c r="CD393" i="1"/>
  <c r="BZ360" i="1"/>
  <c r="CD360" i="1"/>
  <c r="BZ2711" i="1"/>
  <c r="CD2711" i="1"/>
  <c r="BZ559" i="1"/>
  <c r="CD559" i="1"/>
  <c r="BZ1235" i="1"/>
  <c r="CD1235" i="1"/>
  <c r="BZ122" i="1"/>
  <c r="CD122" i="1"/>
  <c r="BZ2106" i="1"/>
  <c r="CD2106" i="1"/>
  <c r="BZ2749" i="1"/>
  <c r="CD2749" i="1"/>
  <c r="BZ618" i="1"/>
  <c r="CD618" i="1"/>
  <c r="BZ1348" i="1"/>
  <c r="CD1348" i="1"/>
  <c r="BZ1259" i="1"/>
  <c r="CD1259" i="1"/>
  <c r="BZ2054" i="1"/>
  <c r="CD2054" i="1"/>
  <c r="BZ2971" i="1"/>
  <c r="CD2971" i="1"/>
  <c r="BZ1437" i="1"/>
  <c r="CD1437" i="1"/>
  <c r="BZ2694" i="1"/>
  <c r="CD2694" i="1"/>
  <c r="BZ293" i="1"/>
  <c r="CD293" i="1"/>
  <c r="BZ298" i="1"/>
  <c r="CD298" i="1"/>
  <c r="BZ2146" i="1"/>
  <c r="CD2146" i="1"/>
  <c r="BZ2385" i="1"/>
  <c r="CD2385" i="1"/>
  <c r="BZ1666" i="1"/>
  <c r="CD1666" i="1"/>
  <c r="BZ998" i="1"/>
  <c r="CD998" i="1"/>
  <c r="BZ3036" i="1"/>
  <c r="CD3036" i="1"/>
  <c r="BZ470" i="1"/>
  <c r="CD470" i="1"/>
  <c r="BZ1652" i="1"/>
  <c r="CD1652" i="1"/>
  <c r="BZ3070" i="1"/>
  <c r="CD3070" i="1"/>
  <c r="BZ1932" i="1"/>
  <c r="CD1932" i="1"/>
  <c r="BZ1525" i="1"/>
  <c r="CD1525" i="1"/>
  <c r="BZ898" i="1"/>
  <c r="CD898" i="1"/>
  <c r="BZ2407" i="1"/>
  <c r="CD2407" i="1"/>
  <c r="BZ1725" i="1"/>
  <c r="CD1725" i="1"/>
  <c r="BZ507" i="1"/>
  <c r="CD507" i="1"/>
  <c r="BZ3108" i="1"/>
  <c r="CD3108" i="1"/>
  <c r="BZ3112" i="1"/>
  <c r="CD3112" i="1"/>
  <c r="BZ1733" i="1"/>
  <c r="CD1733" i="1"/>
  <c r="BZ510" i="1"/>
  <c r="CD510" i="1"/>
  <c r="BZ1487" i="1"/>
  <c r="CD1487" i="1"/>
  <c r="BZ1633" i="1"/>
  <c r="CD1633" i="1"/>
  <c r="BZ3157" i="1"/>
  <c r="CD3157" i="1"/>
  <c r="BZ1211" i="1"/>
  <c r="CD1211" i="1"/>
  <c r="BZ3165" i="1"/>
  <c r="CD3165" i="1"/>
  <c r="BZ1748" i="1"/>
  <c r="CD1748" i="1"/>
  <c r="BZ1463" i="1"/>
  <c r="CD1463" i="1"/>
  <c r="BZ2174" i="1"/>
  <c r="CD2174" i="1"/>
  <c r="BZ2213" i="1"/>
  <c r="CD2213" i="1"/>
  <c r="BZ2072" i="1"/>
  <c r="CD2072" i="1"/>
  <c r="BZ1588" i="1"/>
  <c r="CD1588" i="1"/>
  <c r="BZ3021" i="1"/>
  <c r="CD3021" i="1"/>
  <c r="BZ3050" i="1"/>
  <c r="CD3050" i="1"/>
  <c r="BZ3022" i="1"/>
  <c r="CD3022" i="1"/>
  <c r="BZ3138" i="1"/>
  <c r="CD3138" i="1"/>
  <c r="BZ1402" i="1"/>
  <c r="CD1402" i="1"/>
  <c r="BZ3172" i="1"/>
  <c r="CD3172" i="1"/>
  <c r="BZ2612" i="1"/>
  <c r="CD2612" i="1"/>
  <c r="BZ1453" i="1"/>
  <c r="CD1453" i="1"/>
  <c r="BZ1526" i="1"/>
  <c r="CD1526" i="1"/>
  <c r="BZ1381" i="1"/>
  <c r="CD1381" i="1"/>
  <c r="BZ859" i="1"/>
  <c r="CD859" i="1"/>
  <c r="BZ1813" i="1"/>
  <c r="CD1813" i="1"/>
  <c r="BZ2970" i="1"/>
  <c r="CD2970" i="1"/>
  <c r="BZ747" i="1"/>
  <c r="CD747" i="1"/>
  <c r="BZ1669" i="1"/>
  <c r="CD1669" i="1"/>
  <c r="BZ1004" i="1"/>
  <c r="CD1004" i="1"/>
  <c r="BZ2087" i="1"/>
  <c r="CD2087" i="1"/>
  <c r="BZ1907" i="1"/>
  <c r="CD1907" i="1"/>
  <c r="BZ2343" i="1"/>
  <c r="CD2343" i="1"/>
  <c r="BZ2614" i="1"/>
  <c r="CD2614" i="1"/>
  <c r="BZ1151" i="1"/>
  <c r="CD1151" i="1"/>
  <c r="BZ2259" i="1"/>
  <c r="CD2259" i="1"/>
  <c r="BZ590" i="1"/>
  <c r="CD590" i="1"/>
  <c r="BZ2682" i="1"/>
  <c r="CD2682" i="1"/>
  <c r="BZ2400" i="1"/>
  <c r="CD2400" i="1"/>
  <c r="BZ1126" i="1"/>
  <c r="CD1126" i="1"/>
  <c r="BZ634" i="1"/>
  <c r="CD634" i="1"/>
  <c r="BZ2245" i="1"/>
  <c r="CD2245" i="1"/>
  <c r="BZ1436" i="1"/>
  <c r="CD1436" i="1"/>
  <c r="BZ1441" i="1"/>
  <c r="CD1441" i="1"/>
  <c r="BZ1735" i="1"/>
  <c r="CD1735" i="1"/>
  <c r="BZ3030" i="1"/>
  <c r="CD3030" i="1"/>
  <c r="BZ2274" i="1"/>
  <c r="CD2274" i="1"/>
  <c r="BZ2085" i="1"/>
  <c r="CD2085" i="1"/>
  <c r="BZ1262" i="1"/>
  <c r="CD1262" i="1"/>
  <c r="BZ873" i="1"/>
  <c r="CD873" i="1"/>
  <c r="BZ2123" i="1"/>
  <c r="CD2123" i="1"/>
  <c r="BZ1521" i="1"/>
  <c r="CD1521" i="1"/>
  <c r="BZ2463" i="1"/>
  <c r="CD2463" i="1"/>
  <c r="BZ3106" i="1"/>
  <c r="CD3106" i="1"/>
  <c r="BZ970" i="1"/>
  <c r="CD970" i="1"/>
  <c r="BZ636" i="1"/>
  <c r="CD636" i="1"/>
  <c r="BZ2205" i="1"/>
  <c r="CD2205" i="1"/>
  <c r="BZ2276" i="1"/>
  <c r="CD2276" i="1"/>
  <c r="BZ3126" i="1"/>
  <c r="CD3126" i="1"/>
  <c r="BZ1701" i="1"/>
  <c r="CD1701" i="1"/>
  <c r="BZ2565" i="1"/>
  <c r="CD2565" i="1"/>
  <c r="BZ2570" i="1"/>
  <c r="CD2570" i="1"/>
  <c r="BZ1952" i="1"/>
  <c r="CD1952" i="1"/>
  <c r="BZ1269" i="1"/>
  <c r="CD1269" i="1"/>
  <c r="BZ2601" i="1"/>
  <c r="CD2601" i="1"/>
  <c r="BZ1405" i="1"/>
  <c r="CD1405" i="1"/>
  <c r="BZ354" i="1"/>
  <c r="CD354" i="1"/>
  <c r="BZ1522" i="1"/>
  <c r="CD1522" i="1"/>
  <c r="BZ1979" i="1"/>
  <c r="CD1979" i="1"/>
  <c r="BZ2639" i="1"/>
  <c r="CD2639" i="1"/>
  <c r="BZ1152" i="1"/>
  <c r="CD1152" i="1"/>
  <c r="BZ2656" i="1"/>
  <c r="CD2656" i="1"/>
  <c r="BZ1638" i="1"/>
  <c r="CD1638" i="1"/>
  <c r="BZ2661" i="1"/>
  <c r="CD2661" i="1"/>
  <c r="BZ1253" i="1"/>
  <c r="CD1253" i="1"/>
  <c r="BZ356" i="1"/>
  <c r="CD356" i="1"/>
  <c r="BZ1369" i="1"/>
  <c r="CD1369" i="1"/>
  <c r="BZ283" i="1"/>
  <c r="CD283" i="1"/>
  <c r="BZ2043" i="1"/>
  <c r="CD2043" i="1"/>
  <c r="BZ706" i="1"/>
  <c r="CD706" i="1"/>
  <c r="BZ143" i="1"/>
  <c r="CD143" i="1"/>
  <c r="BZ2510" i="1"/>
  <c r="CD2510" i="1"/>
  <c r="BZ1862" i="1"/>
  <c r="CD1862" i="1"/>
  <c r="BZ1978" i="1"/>
  <c r="CD1978" i="1"/>
  <c r="BZ454" i="1"/>
  <c r="CD454" i="1"/>
  <c r="BZ1651" i="1"/>
  <c r="CD1651" i="1"/>
  <c r="BZ554" i="1"/>
  <c r="CD554" i="1"/>
  <c r="BZ1981" i="1"/>
  <c r="CD1981" i="1"/>
  <c r="BZ2733" i="1"/>
  <c r="CD2733" i="1"/>
  <c r="BZ2066" i="1"/>
  <c r="CD2066" i="1"/>
  <c r="BZ2527" i="1"/>
  <c r="CD2527" i="1"/>
  <c r="BZ1360" i="1"/>
  <c r="CD1360" i="1"/>
  <c r="BZ753" i="1"/>
  <c r="CD753" i="1"/>
  <c r="BZ2105" i="1"/>
  <c r="CD2105" i="1"/>
  <c r="BZ392" i="1"/>
  <c r="CD392" i="1"/>
  <c r="BZ3047" i="1"/>
  <c r="CD3047" i="1"/>
  <c r="BZ1534" i="1"/>
  <c r="CD1534" i="1"/>
  <c r="BZ3052" i="1"/>
  <c r="CD3052" i="1"/>
  <c r="BZ2187" i="1"/>
  <c r="CD2187" i="1"/>
  <c r="BZ1288" i="1"/>
  <c r="CD1288" i="1"/>
  <c r="BZ1172" i="1"/>
  <c r="CD1172" i="1"/>
  <c r="BZ1318" i="1"/>
  <c r="CD1318" i="1"/>
  <c r="BZ1935" i="1"/>
  <c r="CD1935" i="1"/>
  <c r="BZ654" i="1"/>
  <c r="CD654" i="1"/>
  <c r="BZ3110" i="1"/>
  <c r="CD3110" i="1"/>
  <c r="BZ1366" i="1"/>
  <c r="CD1366" i="1"/>
  <c r="BZ2372" i="1"/>
  <c r="CD2372" i="1"/>
  <c r="BZ548" i="1"/>
  <c r="CD548" i="1"/>
  <c r="BZ2466" i="1"/>
  <c r="CD2466" i="1"/>
  <c r="BZ3133" i="1"/>
  <c r="CD3133" i="1"/>
  <c r="BZ1501" i="1"/>
  <c r="CD1501" i="1"/>
  <c r="BZ1433" i="1"/>
  <c r="CD1433" i="1"/>
  <c r="BZ1693" i="1"/>
  <c r="CD1693" i="1"/>
  <c r="BZ3203" i="1"/>
  <c r="CD3203" i="1"/>
  <c r="BJ2793" i="1"/>
  <c r="CD2793" i="1"/>
  <c r="BJ3061" i="1"/>
  <c r="CD3061" i="1"/>
  <c r="BJ2576" i="1"/>
  <c r="CD2576" i="1"/>
  <c r="BJ1505" i="1"/>
  <c r="CD1505" i="1"/>
  <c r="BX1728" i="1"/>
  <c r="BX2786" i="1"/>
  <c r="BX2490" i="1"/>
  <c r="BX2815" i="1"/>
  <c r="BX1143" i="1"/>
  <c r="BX1042" i="1"/>
  <c r="BX2874" i="1"/>
  <c r="BX476" i="1"/>
  <c r="BX1816" i="1"/>
  <c r="BX1174" i="1"/>
  <c r="BX2845" i="1"/>
  <c r="BX1421" i="1"/>
  <c r="BX2885" i="1"/>
  <c r="BX1597" i="1"/>
  <c r="BX1136" i="1"/>
  <c r="BX740" i="1"/>
  <c r="BX2770" i="1"/>
  <c r="BX2895" i="1"/>
  <c r="BX1959" i="1"/>
  <c r="BX1908" i="1"/>
  <c r="BX2922" i="1"/>
  <c r="BX812" i="1"/>
  <c r="BX1491" i="1"/>
  <c r="BX2781" i="1"/>
  <c r="BX3190" i="1"/>
  <c r="BX1320" i="1"/>
  <c r="BX2556" i="1"/>
  <c r="BX687" i="1"/>
  <c r="BX2810" i="1"/>
  <c r="BX1114" i="1"/>
  <c r="BX1009" i="1"/>
  <c r="BX1183" i="1"/>
  <c r="BX3123" i="1"/>
  <c r="BX2725" i="1"/>
  <c r="BX2867" i="1"/>
  <c r="BX2985" i="1"/>
  <c r="BX2247" i="1"/>
  <c r="BX1048" i="1"/>
  <c r="BX2930" i="1"/>
  <c r="BX3076" i="1"/>
  <c r="BX2045" i="1"/>
  <c r="BX2202" i="1"/>
  <c r="BX2584" i="1"/>
  <c r="BX1985" i="1"/>
  <c r="BX2084" i="1"/>
  <c r="BX2535" i="1"/>
  <c r="BX1589" i="1"/>
  <c r="BX314" i="1"/>
  <c r="BX1695" i="1"/>
  <c r="BX2812" i="1"/>
  <c r="BX2831" i="1"/>
  <c r="BX2835" i="1"/>
  <c r="BX1827" i="1"/>
  <c r="BX2269" i="1"/>
  <c r="BX1863" i="1"/>
  <c r="BX2990" i="1"/>
  <c r="BX1713" i="1"/>
  <c r="BX2398" i="1"/>
  <c r="BX2279" i="1"/>
  <c r="BX1751" i="1"/>
  <c r="BX2602" i="1"/>
  <c r="BX1035" i="1"/>
  <c r="BX1533" i="1"/>
  <c r="BX2493" i="1"/>
  <c r="BX2886" i="1"/>
  <c r="BX2904" i="1"/>
  <c r="BX917" i="1"/>
  <c r="BX2796" i="1"/>
  <c r="BX2378" i="1"/>
  <c r="BX521" i="1"/>
  <c r="BX2856" i="1"/>
  <c r="BX2858" i="1"/>
  <c r="BX951" i="1"/>
  <c r="BX1515" i="1"/>
  <c r="BX2017" i="1"/>
  <c r="BX2248" i="1"/>
  <c r="BX1319" i="1"/>
  <c r="BX2771" i="1"/>
  <c r="BX1209" i="1"/>
  <c r="BX1002" i="1"/>
  <c r="BX710" i="1"/>
  <c r="BX1306" i="1"/>
  <c r="BX2911" i="1"/>
  <c r="BX2034" i="1"/>
  <c r="BX841" i="1"/>
  <c r="BX2773" i="1"/>
  <c r="BX2534" i="1"/>
  <c r="BX1011" i="1"/>
  <c r="BX1568" i="1"/>
  <c r="BX2421" i="1"/>
  <c r="BX2460" i="1"/>
  <c r="BX3196" i="1"/>
  <c r="BX1219" i="1"/>
  <c r="BX568" i="1"/>
  <c r="BX1976" i="1"/>
  <c r="BX1592" i="1"/>
  <c r="BX204" i="1"/>
  <c r="BX856" i="1"/>
  <c r="BX2260" i="1"/>
  <c r="BX2887" i="1"/>
  <c r="BX2901" i="1"/>
  <c r="BX737" i="1"/>
  <c r="BX2992" i="1"/>
  <c r="BX1322" i="1"/>
  <c r="BX2583" i="1"/>
  <c r="BX2690" i="1"/>
  <c r="BX1622" i="1"/>
  <c r="BX2799" i="1"/>
  <c r="BX2232" i="1"/>
  <c r="BX1623" i="1"/>
  <c r="BX739" i="1"/>
  <c r="BX332" i="1"/>
  <c r="BX3001" i="1"/>
  <c r="BY2576" i="1"/>
  <c r="BV2576" i="1"/>
  <c r="BY1505" i="1"/>
  <c r="BV1505" i="1"/>
  <c r="BY2793" i="1"/>
  <c r="BV2793" i="1"/>
  <c r="BY3061" i="1"/>
  <c r="BV3061" i="1"/>
  <c r="Q2191" i="1"/>
  <c r="BZ2191" i="1"/>
  <c r="Q518" i="1"/>
  <c r="BZ518" i="1"/>
  <c r="Q1714" i="1"/>
  <c r="BZ1714" i="1"/>
  <c r="Q2156" i="1"/>
  <c r="BZ2156" i="1"/>
  <c r="Q365" i="1"/>
  <c r="BZ365" i="1"/>
  <c r="Q2238" i="1"/>
  <c r="BZ2238" i="1"/>
  <c r="Q2434" i="1"/>
  <c r="BZ2434" i="1"/>
  <c r="Q1736" i="1"/>
  <c r="BZ1736" i="1"/>
  <c r="BZ849" i="1"/>
  <c r="Q1435" i="1"/>
  <c r="BZ1435" i="1"/>
  <c r="Q2820" i="1"/>
  <c r="BZ2820" i="1"/>
  <c r="Q1296" i="1"/>
  <c r="BZ1296" i="1"/>
  <c r="Q1007" i="1"/>
  <c r="BZ1007" i="1"/>
  <c r="Q1095" i="1"/>
  <c r="BZ1095" i="1"/>
  <c r="Q2889" i="1"/>
  <c r="BZ2889" i="1"/>
  <c r="Q763" i="1"/>
  <c r="BZ763" i="1"/>
  <c r="Q2924" i="1"/>
  <c r="BZ2924" i="1"/>
  <c r="Q2925" i="1"/>
  <c r="BZ2925" i="1"/>
  <c r="Q2468" i="1"/>
  <c r="BZ2468" i="1"/>
  <c r="Q1838" i="1"/>
  <c r="BZ1838" i="1"/>
  <c r="Q2102" i="1"/>
  <c r="BZ2102" i="1"/>
  <c r="Q2012" i="1"/>
  <c r="BZ2012" i="1"/>
  <c r="Q1868" i="1"/>
  <c r="BU1868" i="1" s="1"/>
  <c r="BW1868" i="1" s="1"/>
  <c r="BZ1868" i="1"/>
  <c r="Q1040" i="1"/>
  <c r="BZ1040" i="1"/>
  <c r="Q699" i="1"/>
  <c r="BZ699" i="1"/>
  <c r="Q12" i="1"/>
  <c r="BZ12" i="1"/>
  <c r="Q2193" i="1"/>
  <c r="BU2193" i="1" s="1"/>
  <c r="BW2193" i="1" s="1"/>
  <c r="BZ2193" i="1"/>
  <c r="Q1737" i="1"/>
  <c r="BZ1737" i="1"/>
  <c r="Q2994" i="1"/>
  <c r="BZ2994" i="1"/>
  <c r="Q785" i="1"/>
  <c r="BZ785" i="1"/>
  <c r="Q2109" i="1"/>
  <c r="BZ2109" i="1"/>
  <c r="Q744" i="1"/>
  <c r="BZ744" i="1"/>
  <c r="Q894" i="1"/>
  <c r="BZ894" i="1"/>
  <c r="Q1707" i="1"/>
  <c r="BZ1707" i="1"/>
  <c r="Q1663" i="1"/>
  <c r="BZ1663" i="1"/>
  <c r="Q1845" i="1"/>
  <c r="BZ1845" i="1"/>
  <c r="Q2327" i="1"/>
  <c r="BZ2327" i="1"/>
  <c r="Q1926" i="1"/>
  <c r="BZ1926" i="1"/>
  <c r="Q770" i="1"/>
  <c r="BZ770" i="1"/>
  <c r="Q3183" i="1"/>
  <c r="BZ3183" i="1"/>
  <c r="Q567" i="1"/>
  <c r="BZ567" i="1"/>
  <c r="Q2056" i="1"/>
  <c r="BZ2056" i="1"/>
  <c r="Q3199" i="1"/>
  <c r="BZ3199" i="1"/>
  <c r="Q1594" i="1"/>
  <c r="BZ1594" i="1"/>
  <c r="Q1375" i="1"/>
  <c r="BZ1375" i="1"/>
  <c r="Q453" i="1"/>
  <c r="BZ453" i="1"/>
  <c r="Q2394" i="1"/>
  <c r="BZ2394" i="1"/>
  <c r="Q2590" i="1"/>
  <c r="BZ2590" i="1"/>
  <c r="Q1629" i="1"/>
  <c r="BZ1629" i="1"/>
  <c r="Q2710" i="1"/>
  <c r="BZ2710" i="1"/>
  <c r="Q600" i="1"/>
  <c r="BZ600" i="1"/>
  <c r="Q2494" i="1"/>
  <c r="BZ2494" i="1"/>
  <c r="Q187" i="1"/>
  <c r="BZ187" i="1"/>
  <c r="BZ1310" i="1"/>
  <c r="Q2579" i="1"/>
  <c r="BZ2579" i="1"/>
  <c r="Q474" i="1"/>
  <c r="BZ474" i="1"/>
  <c r="Q866" i="1"/>
  <c r="BZ866" i="1"/>
  <c r="Q1830" i="1"/>
  <c r="BZ1830" i="1"/>
  <c r="Q796" i="1"/>
  <c r="BZ796" i="1"/>
  <c r="Q308" i="1"/>
  <c r="BZ308" i="1"/>
  <c r="Q1788" i="1"/>
  <c r="BZ1788" i="1"/>
  <c r="Q324" i="1"/>
  <c r="BZ324" i="1"/>
  <c r="Q1281" i="1"/>
  <c r="BZ1281" i="1"/>
  <c r="Q2436" i="1"/>
  <c r="BZ2436" i="1"/>
  <c r="Q1355" i="1"/>
  <c r="BZ1355" i="1"/>
  <c r="Q126" i="1"/>
  <c r="BZ126" i="1"/>
  <c r="Q1580" i="1"/>
  <c r="BZ1580" i="1"/>
  <c r="Q2264" i="1"/>
  <c r="BZ2264" i="1"/>
  <c r="Q2313" i="1"/>
  <c r="BZ2313" i="1"/>
  <c r="Q936" i="1"/>
  <c r="BZ936" i="1"/>
  <c r="Q1688" i="1"/>
  <c r="BZ1688" i="1"/>
  <c r="Q818" i="1"/>
  <c r="BZ818" i="1"/>
  <c r="Q2047" i="1"/>
  <c r="BZ2047" i="1"/>
  <c r="Q1596" i="1"/>
  <c r="BZ1596" i="1"/>
  <c r="Q201" i="1"/>
  <c r="BZ201" i="1"/>
  <c r="Q1199" i="1"/>
  <c r="BZ1199" i="1"/>
  <c r="Q1160" i="1"/>
  <c r="BZ1160" i="1"/>
  <c r="Q1302" i="1"/>
  <c r="BZ1302" i="1"/>
  <c r="Q2507" i="1"/>
  <c r="BZ2507" i="1"/>
  <c r="Q2789" i="1"/>
  <c r="BZ2789" i="1"/>
  <c r="Q2365" i="1"/>
  <c r="BZ2365" i="1"/>
  <c r="Q398" i="1"/>
  <c r="BZ398" i="1"/>
  <c r="Q2792" i="1"/>
  <c r="BZ2792" i="1"/>
  <c r="Q2800" i="1"/>
  <c r="BZ2800" i="1"/>
  <c r="Q886" i="1"/>
  <c r="BZ886" i="1"/>
  <c r="Q2163" i="1"/>
  <c r="BZ2163" i="1"/>
  <c r="Q2498" i="1"/>
  <c r="BZ2498" i="1"/>
  <c r="Q748" i="1"/>
  <c r="BZ748" i="1"/>
  <c r="Q1922" i="1"/>
  <c r="BZ1922" i="1"/>
  <c r="Q1619" i="1"/>
  <c r="BZ1619" i="1"/>
  <c r="Q366" i="1"/>
  <c r="BZ366" i="1"/>
  <c r="Q1427" i="1"/>
  <c r="BZ1427" i="1"/>
  <c r="Q653" i="1"/>
  <c r="BZ653" i="1"/>
  <c r="Q2373" i="1"/>
  <c r="BZ2373" i="1"/>
  <c r="Q11" i="1"/>
  <c r="BZ11" i="1"/>
  <c r="Q703" i="1"/>
  <c r="BZ703" i="1"/>
  <c r="Q759" i="1"/>
  <c r="BZ759" i="1"/>
  <c r="Q1242" i="1"/>
  <c r="BZ1242" i="1"/>
  <c r="BZ1171" i="1"/>
  <c r="Q1215" i="1"/>
  <c r="BZ1215" i="1"/>
  <c r="Q545" i="1"/>
  <c r="BZ545" i="1"/>
  <c r="Q127" i="1"/>
  <c r="BZ127" i="1"/>
  <c r="Q2482" i="1"/>
  <c r="BZ2482" i="1"/>
  <c r="Q544" i="1"/>
  <c r="BZ544" i="1"/>
  <c r="Q1023" i="1"/>
  <c r="BZ1023" i="1"/>
  <c r="Q2" i="1"/>
  <c r="BZ2" i="1"/>
  <c r="Q1850" i="1"/>
  <c r="BZ1850" i="1"/>
  <c r="Q2841" i="1"/>
  <c r="BZ2841" i="1"/>
  <c r="Q1988" i="1"/>
  <c r="BZ1988" i="1"/>
  <c r="Q2094" i="1"/>
  <c r="BZ2094" i="1"/>
  <c r="Q1882" i="1"/>
  <c r="BZ1882" i="1"/>
  <c r="Q578" i="1"/>
  <c r="BZ578" i="1"/>
  <c r="Q2161" i="1"/>
  <c r="BZ2161" i="1"/>
  <c r="Q321" i="1"/>
  <c r="BZ321" i="1"/>
  <c r="Q2855" i="1"/>
  <c r="BZ2855" i="1"/>
  <c r="Q119" i="1"/>
  <c r="BZ119" i="1"/>
  <c r="Q572" i="1"/>
  <c r="BZ572" i="1"/>
  <c r="Q981" i="1"/>
  <c r="BZ981" i="1"/>
  <c r="Q1384" i="1"/>
  <c r="BZ1384" i="1"/>
  <c r="Q416" i="1"/>
  <c r="BZ416" i="1"/>
  <c r="Q519" i="1"/>
  <c r="BZ519" i="1"/>
  <c r="Q2375" i="1"/>
  <c r="BZ2375" i="1"/>
  <c r="Q1388" i="1"/>
  <c r="BZ1388" i="1"/>
  <c r="Q2291" i="1"/>
  <c r="BZ2291" i="1"/>
  <c r="Q2479" i="1"/>
  <c r="BZ2479" i="1"/>
  <c r="Q2869" i="1"/>
  <c r="BZ2869" i="1"/>
  <c r="Q1417" i="1"/>
  <c r="BZ1417" i="1"/>
  <c r="Q1687" i="1"/>
  <c r="BZ1687" i="1"/>
  <c r="Q2872" i="1"/>
  <c r="BZ2872" i="1"/>
  <c r="Q2108" i="1"/>
  <c r="BZ2108" i="1"/>
  <c r="Q735" i="1"/>
  <c r="BZ735" i="1"/>
  <c r="Q1642" i="1"/>
  <c r="BZ1642" i="1"/>
  <c r="Q1541" i="1"/>
  <c r="BZ1541" i="1"/>
  <c r="Q1021" i="1"/>
  <c r="BZ1021" i="1"/>
  <c r="Q988" i="1"/>
  <c r="BZ988" i="1"/>
  <c r="Q2878" i="1"/>
  <c r="BZ2878" i="1"/>
  <c r="Q2350" i="1"/>
  <c r="BZ2350" i="1"/>
  <c r="Q1508" i="1"/>
  <c r="BZ1508" i="1"/>
  <c r="Q372" i="1"/>
  <c r="BZ372" i="1"/>
  <c r="Q2233" i="1"/>
  <c r="BZ2233" i="1"/>
  <c r="Q1086" i="1"/>
  <c r="BZ1086" i="1"/>
  <c r="Q2358" i="1"/>
  <c r="BZ2358" i="1"/>
  <c r="Q2893" i="1"/>
  <c r="BZ2893" i="1"/>
  <c r="Q1175" i="1"/>
  <c r="BZ1175" i="1"/>
  <c r="Q2894" i="1"/>
  <c r="BZ2894" i="1"/>
  <c r="Q7" i="1"/>
  <c r="BZ7" i="1"/>
  <c r="Q352" i="1"/>
  <c r="BZ352" i="1"/>
  <c r="Q144" i="1"/>
  <c r="BZ144" i="1"/>
  <c r="Q105" i="1"/>
  <c r="BZ105" i="1"/>
  <c r="Q2386" i="1"/>
  <c r="BZ2386" i="1"/>
  <c r="Q1744" i="1"/>
  <c r="BZ1744" i="1"/>
  <c r="Q2906" i="1"/>
  <c r="BZ2906" i="1"/>
  <c r="Q484" i="1"/>
  <c r="BZ484" i="1"/>
  <c r="Q749" i="1"/>
  <c r="BZ749" i="1"/>
  <c r="Q171" i="1"/>
  <c r="BZ171" i="1"/>
  <c r="Q2145" i="1"/>
  <c r="BZ2145" i="1"/>
  <c r="Q2920" i="1"/>
  <c r="BZ2920" i="1"/>
  <c r="Q2393" i="1"/>
  <c r="BZ2393" i="1"/>
  <c r="Q948" i="1"/>
  <c r="BZ948" i="1"/>
  <c r="Q2470" i="1"/>
  <c r="BZ2470" i="1"/>
  <c r="Q1662" i="1"/>
  <c r="BZ1662" i="1"/>
  <c r="Q2927" i="1"/>
  <c r="BZ2927" i="1"/>
  <c r="Q1685" i="1"/>
  <c r="BZ1685" i="1"/>
  <c r="Q2931" i="1"/>
  <c r="BZ2931" i="1"/>
  <c r="Q2933" i="1"/>
  <c r="BZ2933" i="1"/>
  <c r="Q408" i="1"/>
  <c r="BZ408" i="1"/>
  <c r="Q660" i="1"/>
  <c r="BZ660" i="1"/>
  <c r="Q2937" i="1"/>
  <c r="BZ2937" i="1"/>
  <c r="Q1945" i="1"/>
  <c r="BZ1945" i="1"/>
  <c r="Q25" i="1"/>
  <c r="BZ25" i="1"/>
  <c r="Q786" i="1"/>
  <c r="BZ786" i="1"/>
  <c r="Q1029" i="1"/>
  <c r="BZ1029" i="1"/>
  <c r="Q1179" i="1"/>
  <c r="BZ1179" i="1"/>
  <c r="Q2340" i="1"/>
  <c r="BZ2340" i="1"/>
  <c r="Q2325" i="1"/>
  <c r="BZ2325" i="1"/>
  <c r="Q1189" i="1"/>
  <c r="BZ1189" i="1"/>
  <c r="Q1947" i="1"/>
  <c r="BZ1947" i="1"/>
  <c r="Q1709" i="1"/>
  <c r="BZ1709" i="1"/>
  <c r="Q2185" i="1"/>
  <c r="BZ2185" i="1"/>
  <c r="Q789" i="1"/>
  <c r="BZ789" i="1"/>
  <c r="Q2983" i="1"/>
  <c r="BZ2983" i="1"/>
  <c r="Q2321" i="1"/>
  <c r="BZ2321" i="1"/>
  <c r="Q585" i="1"/>
  <c r="BZ585" i="1"/>
  <c r="Q1261" i="1"/>
  <c r="BZ1261" i="1"/>
  <c r="Q2996" i="1"/>
  <c r="BZ2996" i="1"/>
  <c r="Q2997" i="1"/>
  <c r="BZ2997" i="1"/>
  <c r="Q2517" i="1"/>
  <c r="BZ2517" i="1"/>
  <c r="Q1225" i="1"/>
  <c r="BZ1225" i="1"/>
  <c r="Q2253" i="1"/>
  <c r="BZ2253" i="1"/>
  <c r="Q1953" i="1"/>
  <c r="BZ1953" i="1"/>
  <c r="Q3025" i="1"/>
  <c r="BZ3025" i="1"/>
  <c r="Q1535" i="1"/>
  <c r="BZ1535" i="1"/>
  <c r="Q3037" i="1"/>
  <c r="BZ3037" i="1"/>
  <c r="Q3039" i="1"/>
  <c r="BZ3039" i="1"/>
  <c r="Q2008" i="1"/>
  <c r="BZ2008" i="1"/>
  <c r="Q428" i="1"/>
  <c r="BZ428" i="1"/>
  <c r="Q318" i="1"/>
  <c r="BZ318" i="1"/>
  <c r="Q3104" i="1"/>
  <c r="BZ3104" i="1"/>
  <c r="Q1339" i="1"/>
  <c r="BZ1339" i="1"/>
  <c r="Q1927" i="1"/>
  <c r="BZ1927" i="1"/>
  <c r="Q288" i="1"/>
  <c r="BZ288" i="1"/>
  <c r="Q2947" i="1"/>
  <c r="BZ2947" i="1"/>
  <c r="Q388" i="1"/>
  <c r="BZ388" i="1"/>
  <c r="Q2137" i="1"/>
  <c r="BZ2137" i="1"/>
  <c r="Q2342" i="1"/>
  <c r="BZ2342" i="1"/>
  <c r="Q576" i="1"/>
  <c r="BZ576" i="1"/>
  <c r="Q2129" i="1"/>
  <c r="BZ2129" i="1"/>
  <c r="Q1323" i="1"/>
  <c r="BZ1323" i="1"/>
  <c r="Q1593" i="1"/>
  <c r="BZ1593" i="1"/>
  <c r="Q154" i="1"/>
  <c r="BZ154" i="1"/>
  <c r="Q1598" i="1"/>
  <c r="BZ1598" i="1"/>
  <c r="Q3193" i="1"/>
  <c r="BZ3193" i="1"/>
  <c r="Q2071" i="1"/>
  <c r="BZ2071" i="1"/>
  <c r="Q635" i="1"/>
  <c r="BZ635" i="1"/>
  <c r="Q682" i="1"/>
  <c r="BZ682" i="1"/>
  <c r="Q463" i="1"/>
  <c r="BZ463" i="1"/>
  <c r="Q2074" i="1"/>
  <c r="BZ2074" i="1"/>
  <c r="Q595" i="1"/>
  <c r="BZ595" i="1"/>
  <c r="Q1557" i="1"/>
  <c r="BZ1557" i="1"/>
  <c r="Q720" i="1"/>
  <c r="BZ720" i="1"/>
  <c r="Q943" i="1"/>
  <c r="BZ943" i="1"/>
  <c r="Q1226" i="1"/>
  <c r="BZ1226" i="1"/>
  <c r="Q954" i="1"/>
  <c r="BZ954" i="1"/>
  <c r="Q1767" i="1"/>
  <c r="BZ1767" i="1"/>
  <c r="Q1256" i="1"/>
  <c r="BZ1256" i="1"/>
  <c r="Q458" i="1"/>
  <c r="BZ458" i="1"/>
  <c r="Q2401" i="1"/>
  <c r="BZ2401" i="1"/>
  <c r="Q2592" i="1"/>
  <c r="BZ2592" i="1"/>
  <c r="Q918" i="1"/>
  <c r="BZ918" i="1"/>
  <c r="Q2278" i="1"/>
  <c r="BZ2278" i="1"/>
  <c r="Q2638" i="1"/>
  <c r="BZ2638" i="1"/>
  <c r="Q419" i="1"/>
  <c r="BZ419" i="1"/>
  <c r="Q2092" i="1"/>
  <c r="BZ2092" i="1"/>
  <c r="Q2447" i="1"/>
  <c r="BZ2447" i="1"/>
  <c r="Q2477" i="1"/>
  <c r="BZ2477" i="1"/>
  <c r="Q681" i="1"/>
  <c r="BZ681" i="1"/>
  <c r="BZ1473" i="1"/>
  <c r="Q2698" i="1"/>
  <c r="BZ2698" i="1"/>
  <c r="Q1382" i="1"/>
  <c r="BZ1382" i="1"/>
  <c r="Q383" i="1"/>
  <c r="BZ383" i="1"/>
  <c r="Q2011" i="1"/>
  <c r="BZ2011" i="1"/>
  <c r="Q114" i="1"/>
  <c r="BZ114" i="1"/>
  <c r="Q206" i="1"/>
  <c r="BZ206" i="1"/>
  <c r="Q762" i="1"/>
  <c r="BZ762" i="1"/>
  <c r="Q871" i="1"/>
  <c r="BZ871" i="1"/>
  <c r="Q2734" i="1"/>
  <c r="BZ2734" i="1"/>
  <c r="Q1273" i="1"/>
  <c r="BZ1273" i="1"/>
  <c r="Q802" i="1"/>
  <c r="BZ802" i="1"/>
  <c r="Q1916" i="1"/>
  <c r="BZ1916" i="1"/>
  <c r="Q670" i="1"/>
  <c r="BZ670" i="1"/>
  <c r="Q1447" i="1"/>
  <c r="BZ1447" i="1"/>
  <c r="Q2776" i="1"/>
  <c r="BZ2776" i="1"/>
  <c r="Q2408" i="1"/>
  <c r="BZ2408" i="1"/>
  <c r="Q2788" i="1"/>
  <c r="BZ2788" i="1"/>
  <c r="Q1207" i="1"/>
  <c r="BZ1207" i="1"/>
  <c r="Q1839" i="1"/>
  <c r="BZ1839" i="1"/>
  <c r="Q1315" i="1"/>
  <c r="BZ1315" i="1"/>
  <c r="Q1784" i="1"/>
  <c r="BZ1784" i="1"/>
  <c r="Q2797" i="1"/>
  <c r="BZ2797" i="1"/>
  <c r="Q2802" i="1"/>
  <c r="BZ2802" i="1"/>
  <c r="Q2172" i="1"/>
  <c r="BZ2172" i="1"/>
  <c r="Q2515" i="1"/>
  <c r="BZ2515" i="1"/>
  <c r="Q2091" i="1"/>
  <c r="BZ2091" i="1"/>
  <c r="Q587" i="1"/>
  <c r="BZ587" i="1"/>
  <c r="Q2283" i="1"/>
  <c r="BZ2283" i="1"/>
  <c r="Q2151" i="1"/>
  <c r="BZ2151" i="1"/>
  <c r="Q142" i="1"/>
  <c r="BZ142" i="1"/>
  <c r="Q457" i="1"/>
  <c r="BZ457" i="1"/>
  <c r="Q1257" i="1"/>
  <c r="BZ1257" i="1"/>
  <c r="Q1789" i="1"/>
  <c r="BZ1789" i="1"/>
  <c r="Q1031" i="1"/>
  <c r="BZ1031" i="1"/>
  <c r="Q1881" i="1"/>
  <c r="BZ1881" i="1"/>
  <c r="Q580" i="1"/>
  <c r="BZ580" i="1"/>
  <c r="BZ851" i="1"/>
  <c r="Q1858" i="1"/>
  <c r="BZ1858" i="1"/>
  <c r="Q178" i="1"/>
  <c r="BZ178" i="1"/>
  <c r="Q447" i="1"/>
  <c r="BZ447" i="1"/>
  <c r="Q751" i="1"/>
  <c r="BZ751" i="1"/>
  <c r="BZ1934" i="1"/>
  <c r="Q2830" i="1"/>
  <c r="BZ2830" i="1"/>
  <c r="Q1056" i="1"/>
  <c r="BZ1056" i="1"/>
  <c r="Q593" i="1"/>
  <c r="BZ593" i="1"/>
  <c r="Q2298" i="1"/>
  <c r="BZ2298" i="1"/>
  <c r="Q772" i="1"/>
  <c r="BZ772" i="1"/>
  <c r="Q1243" i="1"/>
  <c r="BZ1243" i="1"/>
  <c r="Q121" i="1"/>
  <c r="BZ121" i="1"/>
  <c r="Q2846" i="1"/>
  <c r="BZ2846" i="1"/>
  <c r="Q1893" i="1"/>
  <c r="BZ1893" i="1"/>
  <c r="Q2078" i="1"/>
  <c r="BZ2078" i="1"/>
  <c r="Q1910" i="1"/>
  <c r="BZ1910" i="1"/>
  <c r="Q189" i="1"/>
  <c r="BZ189" i="1"/>
  <c r="Q1047" i="1"/>
  <c r="BZ1047" i="1"/>
  <c r="Q2852" i="1"/>
  <c r="BZ2852" i="1"/>
  <c r="Q624" i="1"/>
  <c r="BZ624" i="1"/>
  <c r="Q351" i="1"/>
  <c r="BZ351" i="1"/>
  <c r="Q362" i="1"/>
  <c r="BZ362" i="1"/>
  <c r="Q2861" i="1"/>
  <c r="BZ2861" i="1"/>
  <c r="Q2863" i="1"/>
  <c r="BZ2863" i="1"/>
  <c r="Q2866" i="1"/>
  <c r="BZ2866" i="1"/>
  <c r="Q1429" i="1"/>
  <c r="BZ1429" i="1"/>
  <c r="BZ1217" i="1"/>
  <c r="Q175" i="1"/>
  <c r="BZ175" i="1"/>
  <c r="Q2871" i="1"/>
  <c r="BZ2871" i="1"/>
  <c r="Q2875" i="1"/>
  <c r="BZ2875" i="1"/>
  <c r="Q10" i="1"/>
  <c r="BZ10" i="1"/>
  <c r="Q2068" i="1"/>
  <c r="BZ2068" i="1"/>
  <c r="Q180" i="1"/>
  <c r="BZ180" i="1"/>
  <c r="Q1016" i="1"/>
  <c r="BZ1016" i="1"/>
  <c r="BZ1321" i="1"/>
  <c r="Q2882" i="1"/>
  <c r="BZ2882" i="1"/>
  <c r="Q1224" i="1"/>
  <c r="BZ1224" i="1"/>
  <c r="Q2214" i="1"/>
  <c r="BZ2214" i="1"/>
  <c r="Q2110" i="1"/>
  <c r="BZ2110" i="1"/>
  <c r="Q1394" i="1"/>
  <c r="BZ1394" i="1"/>
  <c r="Q1678" i="1"/>
  <c r="BZ1678" i="1"/>
  <c r="Q756" i="1"/>
  <c r="BZ756" i="1"/>
  <c r="Q1901" i="1"/>
  <c r="BZ1901" i="1"/>
  <c r="Q1621" i="1"/>
  <c r="BZ1621" i="1"/>
  <c r="Q2540" i="1"/>
  <c r="BZ2540" i="1"/>
  <c r="Q2190" i="1"/>
  <c r="BZ2190" i="1"/>
  <c r="Q1699" i="1"/>
  <c r="BZ1699" i="1"/>
  <c r="Q2905" i="1"/>
  <c r="BZ2905" i="1"/>
  <c r="Q2096" i="1"/>
  <c r="BZ2096" i="1"/>
  <c r="Q1413" i="1"/>
  <c r="BZ1413" i="1"/>
  <c r="Q1615" i="1"/>
  <c r="BZ1615" i="1"/>
  <c r="Q526" i="1"/>
  <c r="BZ526" i="1"/>
  <c r="Q1472" i="1"/>
  <c r="BZ1472" i="1"/>
  <c r="Q2918" i="1"/>
  <c r="BZ2918" i="1"/>
  <c r="Q200" i="1"/>
  <c r="BZ200" i="1"/>
  <c r="Q353" i="1"/>
  <c r="BZ353" i="1"/>
  <c r="Q2345" i="1"/>
  <c r="BZ2345" i="1"/>
  <c r="Q1195" i="1"/>
  <c r="BZ1195" i="1"/>
  <c r="BZ2178" i="1"/>
  <c r="Q2538" i="1"/>
  <c r="BZ2538" i="1"/>
  <c r="Q1030" i="1"/>
  <c r="BZ1030" i="1"/>
  <c r="Q2536" i="1"/>
  <c r="BZ2536" i="1"/>
  <c r="Q991" i="1"/>
  <c r="BZ991" i="1"/>
  <c r="Q292" i="1"/>
  <c r="BZ292" i="1"/>
  <c r="Q2553" i="1"/>
  <c r="BZ2553" i="1"/>
  <c r="Q511" i="1"/>
  <c r="BZ511" i="1"/>
  <c r="Q858" i="1"/>
  <c r="BZ858" i="1"/>
  <c r="Q2001" i="1"/>
  <c r="BZ2001" i="1"/>
  <c r="Q692" i="1"/>
  <c r="BZ692" i="1"/>
  <c r="Q1626" i="1"/>
  <c r="BZ1626" i="1"/>
  <c r="Q754" i="1"/>
  <c r="BZ754" i="1"/>
  <c r="Q1847" i="1"/>
  <c r="BZ1847" i="1"/>
  <c r="Q145" i="1"/>
  <c r="BZ145" i="1"/>
  <c r="BZ2209" i="1"/>
  <c r="Q2950" i="1"/>
  <c r="BZ2950" i="1"/>
  <c r="Q583" i="1"/>
  <c r="BZ583" i="1"/>
  <c r="Q2039" i="1"/>
  <c r="BZ2039" i="1"/>
  <c r="Q667" i="1"/>
  <c r="BZ667" i="1"/>
  <c r="Q2963" i="1"/>
  <c r="BZ2963" i="1"/>
  <c r="Q299" i="1"/>
  <c r="BZ299" i="1"/>
  <c r="Q1915" i="1"/>
  <c r="BZ1915" i="1"/>
  <c r="Q1587" i="1"/>
  <c r="BZ1587" i="1"/>
  <c r="Q2347" i="1"/>
  <c r="BZ2347" i="1"/>
  <c r="Q441" i="1"/>
  <c r="BZ441" i="1"/>
  <c r="Q2449" i="1"/>
  <c r="BZ2449" i="1"/>
  <c r="Q2988" i="1"/>
  <c r="BZ2988" i="1"/>
  <c r="Q2050" i="1"/>
  <c r="BZ2050" i="1"/>
  <c r="Q1797" i="1"/>
  <c r="BZ1797" i="1"/>
  <c r="Q425" i="1"/>
  <c r="BZ425" i="1"/>
  <c r="Q2486" i="1"/>
  <c r="BZ2486" i="1"/>
  <c r="Q2999" i="1"/>
  <c r="BZ2999" i="1"/>
  <c r="Q2511" i="1"/>
  <c r="BZ2511" i="1"/>
  <c r="Q2650" i="1"/>
  <c r="BZ2650" i="1"/>
  <c r="Q1446" i="1"/>
  <c r="BZ1446" i="1"/>
  <c r="Q575" i="1"/>
  <c r="BZ575" i="1"/>
  <c r="Q565" i="1"/>
  <c r="BZ565" i="1"/>
  <c r="Q990" i="1"/>
  <c r="BZ990" i="1"/>
  <c r="Q2448" i="1"/>
  <c r="BZ2448" i="1"/>
  <c r="Q2281" i="1"/>
  <c r="BZ2281" i="1"/>
  <c r="Q2513" i="1"/>
  <c r="BZ2513" i="1"/>
  <c r="Q1732" i="1"/>
  <c r="BZ1732" i="1"/>
  <c r="Q1434" i="1"/>
  <c r="BZ1434" i="1"/>
  <c r="Q1177" i="1"/>
  <c r="BZ1177" i="1"/>
  <c r="Q1855" i="1"/>
  <c r="BZ1855" i="1"/>
  <c r="Q1193" i="1"/>
  <c r="BZ1193" i="1"/>
  <c r="Q1000" i="1"/>
  <c r="BZ1000" i="1"/>
  <c r="Q3141" i="1"/>
  <c r="BZ3141" i="1"/>
  <c r="Q498" i="1"/>
  <c r="BZ498" i="1"/>
  <c r="Q1674" i="1"/>
  <c r="BZ1674" i="1"/>
  <c r="Q829" i="1"/>
  <c r="BZ829" i="1"/>
  <c r="Q1267" i="1"/>
  <c r="BZ1267" i="1"/>
  <c r="Q620" i="1"/>
  <c r="BZ620" i="1"/>
  <c r="Q2368" i="1"/>
  <c r="BZ2368" i="1"/>
  <c r="Q3191" i="1"/>
  <c r="BZ3191" i="1"/>
  <c r="Q325" i="1"/>
  <c r="BZ325" i="1"/>
  <c r="Q2028" i="1"/>
  <c r="BZ2028" i="1"/>
  <c r="Q1022" i="1"/>
  <c r="BZ1022" i="1"/>
  <c r="Q1163" i="1"/>
  <c r="BZ1163" i="1"/>
  <c r="Q471" i="1"/>
  <c r="BZ471" i="1"/>
  <c r="Q1826" i="1"/>
  <c r="BZ1826" i="1"/>
  <c r="Q2437" i="1"/>
  <c r="BZ2437" i="1"/>
  <c r="Q579" i="1"/>
  <c r="BZ579" i="1"/>
  <c r="Q1013" i="1"/>
  <c r="BZ1013" i="1"/>
  <c r="Q1694" i="1"/>
  <c r="BZ1694" i="1"/>
  <c r="Q1094" i="1"/>
  <c r="BZ1094" i="1"/>
  <c r="Q2157" i="1"/>
  <c r="BZ2157" i="1"/>
  <c r="Q357" i="1"/>
  <c r="BZ357" i="1"/>
  <c r="Q1601" i="1"/>
  <c r="BZ1601" i="1"/>
  <c r="Q2769" i="1"/>
  <c r="BZ2769" i="1"/>
  <c r="Q2149" i="1"/>
  <c r="BZ2149" i="1"/>
  <c r="Q927" i="1"/>
  <c r="BZ927" i="1"/>
  <c r="Q1019" i="1"/>
  <c r="BZ1019" i="1"/>
  <c r="Q2303" i="1"/>
  <c r="BZ2303" i="1"/>
  <c r="Q2805" i="1"/>
  <c r="BZ2805" i="1"/>
  <c r="Q1376" i="1"/>
  <c r="BZ1376" i="1"/>
  <c r="Q174" i="1"/>
  <c r="BZ174" i="1"/>
  <c r="Q443" i="1"/>
  <c r="BZ443" i="1"/>
  <c r="Q2051" i="1"/>
  <c r="BZ2051" i="1"/>
  <c r="Q1512" i="1"/>
  <c r="BZ1512" i="1"/>
  <c r="Q2834" i="1"/>
  <c r="BZ2834" i="1"/>
  <c r="Q371" i="1"/>
  <c r="BZ371" i="1"/>
  <c r="Q599" i="1"/>
  <c r="BZ599" i="1"/>
  <c r="Q2880" i="1"/>
  <c r="BZ2880" i="1"/>
  <c r="Q694" i="1"/>
  <c r="BZ694" i="1"/>
  <c r="Q1561" i="1"/>
  <c r="BZ1561" i="1"/>
  <c r="Q482" i="1"/>
  <c r="BZ482" i="1"/>
  <c r="Q1804" i="1"/>
  <c r="BZ1804" i="1"/>
  <c r="Q2505" i="1"/>
  <c r="BZ2505" i="1"/>
  <c r="Q2955" i="1"/>
  <c r="BZ2955" i="1"/>
  <c r="Q401" i="1"/>
  <c r="BZ401" i="1"/>
  <c r="Q2360" i="1"/>
  <c r="BZ2360" i="1"/>
  <c r="Q1412" i="1"/>
  <c r="BZ1412" i="1"/>
  <c r="Q1498" i="1"/>
  <c r="BZ1498" i="1"/>
  <c r="Q788" i="1"/>
  <c r="BZ788" i="1"/>
  <c r="Q872" i="1"/>
  <c r="BZ872" i="1"/>
  <c r="Q622" i="1"/>
  <c r="BZ622" i="1"/>
  <c r="Q111" i="1"/>
  <c r="BZ111" i="1"/>
  <c r="Q2414" i="1"/>
  <c r="BZ2414" i="1"/>
  <c r="Q1072" i="1"/>
  <c r="BZ1072" i="1"/>
  <c r="Q3093" i="1"/>
  <c r="BZ3093" i="1"/>
  <c r="Q844" i="1"/>
  <c r="BZ844" i="1"/>
  <c r="Q1024" i="1"/>
  <c r="BZ1024" i="1"/>
  <c r="Q2606" i="1"/>
  <c r="BZ2606" i="1"/>
  <c r="Q2582" i="1"/>
  <c r="BZ2582" i="1"/>
  <c r="Q1968" i="1"/>
  <c r="BZ1968" i="1"/>
  <c r="Q731" i="1"/>
  <c r="BZ731" i="1"/>
  <c r="Q417" i="1"/>
  <c r="BZ417" i="1"/>
  <c r="Q2395" i="1"/>
  <c r="BZ2395" i="1"/>
  <c r="Q2053" i="1"/>
  <c r="BZ2053" i="1"/>
  <c r="Q503" i="1"/>
  <c r="BZ503" i="1"/>
  <c r="Q2774" i="1"/>
  <c r="BZ2774" i="1"/>
  <c r="Q1332" i="1"/>
  <c r="BZ1332" i="1"/>
  <c r="Q1887" i="1"/>
  <c r="BZ1887" i="1"/>
  <c r="Q2780" i="1"/>
  <c r="BZ2780" i="1"/>
  <c r="Q1112" i="1"/>
  <c r="BZ1112" i="1"/>
  <c r="Q2783" i="1"/>
  <c r="BZ2783" i="1"/>
  <c r="Q637" i="1"/>
  <c r="BZ637" i="1"/>
  <c r="Q1353" i="1"/>
  <c r="BZ1353" i="1"/>
  <c r="Q2807" i="1"/>
  <c r="BZ2807" i="1"/>
  <c r="Q1840" i="1"/>
  <c r="BZ1840" i="1"/>
  <c r="Q2506" i="1"/>
  <c r="BZ2506" i="1"/>
  <c r="Q782" i="1"/>
  <c r="BZ782" i="1"/>
  <c r="Q1920" i="1"/>
  <c r="BZ1920" i="1"/>
  <c r="Q913" i="1"/>
  <c r="BZ913" i="1"/>
  <c r="Q2271" i="1"/>
  <c r="BZ2271" i="1"/>
  <c r="Q1965" i="1"/>
  <c r="BZ1965" i="1"/>
  <c r="Q1131" i="1"/>
  <c r="BZ1131" i="1"/>
  <c r="Q652" i="1"/>
  <c r="BZ652" i="1"/>
  <c r="Q1721" i="1"/>
  <c r="BZ1721" i="1"/>
  <c r="Q1343" i="1"/>
  <c r="BZ1343" i="1"/>
  <c r="Q1581" i="1"/>
  <c r="BZ1581" i="1"/>
  <c r="Q2891" i="1"/>
  <c r="BZ2891" i="1"/>
  <c r="Q2907" i="1"/>
  <c r="BZ2907" i="1"/>
  <c r="Q2454" i="1"/>
  <c r="BZ2454" i="1"/>
  <c r="Q1036" i="1"/>
  <c r="BZ1036" i="1"/>
  <c r="Q1631" i="1"/>
  <c r="BZ1631" i="1"/>
  <c r="Q2941" i="1"/>
  <c r="BZ2941" i="1"/>
  <c r="Q2462" i="1"/>
  <c r="BZ2462" i="1"/>
  <c r="Q1043" i="1"/>
  <c r="BZ1043" i="1"/>
  <c r="Q986" i="1"/>
  <c r="BZ986" i="1"/>
  <c r="Q1423" i="1"/>
  <c r="BZ1423" i="1"/>
  <c r="Q976" i="1"/>
  <c r="BZ976" i="1"/>
  <c r="Q2453" i="1"/>
  <c r="BZ2453" i="1"/>
  <c r="Q3002" i="1"/>
  <c r="BZ3002" i="1"/>
  <c r="Q1602" i="1"/>
  <c r="BZ1602" i="1"/>
  <c r="Q3019" i="1"/>
  <c r="BZ3019" i="1"/>
  <c r="Q1408" i="1"/>
  <c r="BZ1408" i="1"/>
  <c r="Q376" i="1"/>
  <c r="BZ376" i="1"/>
  <c r="Q611" i="1"/>
  <c r="BZ611" i="1"/>
  <c r="Q516" i="1"/>
  <c r="BZ516" i="1"/>
  <c r="Q2344" i="1"/>
  <c r="BZ2344" i="1"/>
  <c r="Q1864" i="1"/>
  <c r="BZ1864" i="1"/>
  <c r="Q411" i="1"/>
  <c r="BZ411" i="1"/>
  <c r="Q3174" i="1"/>
  <c r="BZ3174" i="1"/>
  <c r="Q893" i="1"/>
  <c r="BZ893" i="1"/>
  <c r="Q574" i="1"/>
  <c r="BZ574" i="1"/>
  <c r="Q2500" i="1"/>
  <c r="BZ2500" i="1"/>
  <c r="Q190" i="1"/>
  <c r="BZ190" i="1"/>
  <c r="Q1667" i="1"/>
  <c r="BZ1667" i="1"/>
  <c r="Q3187" i="1"/>
  <c r="BZ3187" i="1"/>
  <c r="Q186" i="1"/>
  <c r="BZ186" i="1"/>
  <c r="Q2218" i="1"/>
  <c r="BZ2218" i="1"/>
  <c r="Q629" i="1"/>
  <c r="BZ629" i="1"/>
  <c r="Q650" i="1"/>
  <c r="BZ650" i="1"/>
  <c r="Q582" i="1"/>
  <c r="BZ582" i="1"/>
  <c r="Q993" i="1"/>
  <c r="BZ993" i="1"/>
  <c r="Q400" i="1"/>
  <c r="BZ400" i="1"/>
  <c r="Q824" i="1"/>
  <c r="BZ824" i="1"/>
  <c r="Q2747" i="1"/>
  <c r="BZ2747" i="1"/>
  <c r="Q2791" i="1"/>
  <c r="BZ2791" i="1"/>
  <c r="Q461" i="1"/>
  <c r="BZ461" i="1"/>
  <c r="Q1874" i="1"/>
  <c r="BZ1874" i="1"/>
  <c r="Q1964" i="1"/>
  <c r="BZ1964" i="1"/>
  <c r="Q15" i="1"/>
  <c r="BZ15" i="1"/>
  <c r="Q1967" i="1"/>
  <c r="BZ1967" i="1"/>
  <c r="Q1139" i="1"/>
  <c r="BZ1139" i="1"/>
  <c r="Q2817" i="1"/>
  <c r="BZ2817" i="1"/>
  <c r="Q2484" i="1"/>
  <c r="BZ2484" i="1"/>
  <c r="Q821" i="1"/>
  <c r="BZ821" i="1"/>
  <c r="Q1873" i="1"/>
  <c r="BZ1873" i="1"/>
  <c r="Q2330" i="1"/>
  <c r="BZ2330" i="1"/>
  <c r="Q2825" i="1"/>
  <c r="BZ2825" i="1"/>
  <c r="Q661" i="1"/>
  <c r="BZ661" i="1"/>
  <c r="Q2828" i="1"/>
  <c r="BZ2828" i="1"/>
  <c r="Q1570" i="1"/>
  <c r="BZ1570" i="1"/>
  <c r="Q2023" i="1"/>
  <c r="BZ2023" i="1"/>
  <c r="Q999" i="1"/>
  <c r="BZ999" i="1"/>
  <c r="Q1787" i="1"/>
  <c r="BZ1787" i="1"/>
  <c r="Q673" i="1"/>
  <c r="BZ673" i="1"/>
  <c r="Q792" i="1"/>
  <c r="BZ792" i="1"/>
  <c r="Q832" i="1"/>
  <c r="BZ832" i="1"/>
  <c r="Q2958" i="1"/>
  <c r="BZ2958" i="1"/>
  <c r="Q2334" i="1"/>
  <c r="BZ2334" i="1"/>
  <c r="Q135" i="1"/>
  <c r="BZ135" i="1"/>
  <c r="Q2678" i="1"/>
  <c r="BZ2678" i="1"/>
  <c r="Q1723" i="1"/>
  <c r="BZ1723" i="1"/>
  <c r="Q677" i="1"/>
  <c r="BZ677" i="1"/>
  <c r="Q658" i="1"/>
  <c r="BZ658" i="1"/>
  <c r="Q903" i="1"/>
  <c r="BZ903" i="1"/>
  <c r="Q1983" i="1"/>
  <c r="BZ1983" i="1"/>
  <c r="Q2114" i="1"/>
  <c r="BZ2114" i="1"/>
  <c r="Q2555" i="1"/>
  <c r="BZ2555" i="1"/>
  <c r="Q313" i="1"/>
  <c r="BZ313" i="1"/>
  <c r="Q1729" i="1"/>
  <c r="BZ1729" i="1"/>
  <c r="Q1001" i="1"/>
  <c r="BZ1001" i="1"/>
  <c r="Q1298" i="1"/>
  <c r="BZ1298" i="1"/>
  <c r="Q139" i="1"/>
  <c r="BZ139" i="1"/>
  <c r="Q120" i="1"/>
  <c r="BZ120" i="1"/>
  <c r="Q657" i="1"/>
  <c r="BZ657" i="1"/>
  <c r="Q942" i="1"/>
  <c r="BZ942" i="1"/>
  <c r="Q409" i="1"/>
  <c r="BZ409" i="1"/>
  <c r="Q1129" i="1"/>
  <c r="BZ1129" i="1"/>
  <c r="Q1780" i="1"/>
  <c r="BZ1780" i="1"/>
  <c r="Q911" i="1"/>
  <c r="BZ911" i="1"/>
  <c r="Q2541" i="1"/>
  <c r="BZ2541" i="1"/>
  <c r="Q2689" i="1"/>
  <c r="BZ2689" i="1"/>
  <c r="Q2714" i="1"/>
  <c r="BZ2714" i="1"/>
  <c r="Q1844" i="1"/>
  <c r="BZ1844" i="1"/>
  <c r="Q1168" i="1"/>
  <c r="BZ1168" i="1"/>
  <c r="Q150" i="1"/>
  <c r="BZ150" i="1"/>
  <c r="Q1149" i="1"/>
  <c r="BZ1149" i="1"/>
  <c r="Q295" i="1"/>
  <c r="BZ295" i="1"/>
  <c r="Q342" i="1"/>
  <c r="BZ342" i="1"/>
  <c r="Q2210" i="1"/>
  <c r="BZ2210" i="1"/>
  <c r="Q1084" i="1"/>
  <c r="BZ1084" i="1"/>
  <c r="Q1484" i="1"/>
  <c r="BZ1484" i="1"/>
  <c r="Q2778" i="1"/>
  <c r="BZ2778" i="1"/>
  <c r="BZ2422" i="1"/>
  <c r="Q326" i="1"/>
  <c r="BZ326" i="1"/>
  <c r="Q2785" i="1"/>
  <c r="BZ2785" i="1"/>
  <c r="Q546" i="1"/>
  <c r="BZ546" i="1"/>
  <c r="Q2132" i="1"/>
  <c r="BZ2132" i="1"/>
  <c r="Q1314" i="1"/>
  <c r="BZ1314" i="1"/>
  <c r="Q1624" i="1"/>
  <c r="BZ1624" i="1"/>
  <c r="Q725" i="1"/>
  <c r="BZ725" i="1"/>
  <c r="Q1280" i="1"/>
  <c r="BZ1280" i="1"/>
  <c r="Q2808" i="1"/>
  <c r="BZ2808" i="1"/>
  <c r="Q787" i="1"/>
  <c r="BZ787" i="1"/>
  <c r="Q390" i="1"/>
  <c r="BZ390" i="1"/>
  <c r="Q2814" i="1"/>
  <c r="BZ2814" i="1"/>
  <c r="Q413" i="1"/>
  <c r="BZ413" i="1"/>
  <c r="Q2181" i="1"/>
  <c r="BZ2181" i="1"/>
  <c r="Q2818" i="1"/>
  <c r="BZ2818" i="1"/>
  <c r="BZ1572" i="1"/>
  <c r="Q289" i="1"/>
  <c r="BZ289" i="1"/>
  <c r="Q381" i="1"/>
  <c r="BZ381" i="1"/>
  <c r="Q1117" i="1"/>
  <c r="BZ1117" i="1"/>
  <c r="Q2508" i="1"/>
  <c r="BZ2508" i="1"/>
  <c r="Q1377" i="1"/>
  <c r="BZ1377" i="1"/>
  <c r="Q439" i="1"/>
  <c r="BZ439" i="1"/>
  <c r="Q2836" i="1"/>
  <c r="BZ2836" i="1"/>
  <c r="Q112" i="1"/>
  <c r="BZ112" i="1"/>
  <c r="Q2842" i="1"/>
  <c r="BZ2842" i="1"/>
  <c r="Q1371" i="1"/>
  <c r="BZ1371" i="1"/>
  <c r="Q2284" i="1"/>
  <c r="BZ2284" i="1"/>
  <c r="Q952" i="1"/>
  <c r="BZ952" i="1"/>
  <c r="Q833" i="1"/>
  <c r="BZ833" i="1"/>
  <c r="Q700" i="1"/>
  <c r="BZ700" i="1"/>
  <c r="Q406" i="1"/>
  <c r="BZ406" i="1"/>
  <c r="Q386" i="1"/>
  <c r="BZ386" i="1"/>
  <c r="Q1111" i="1"/>
  <c r="BZ1111" i="1"/>
  <c r="Q2849" i="1"/>
  <c r="BZ2849" i="1"/>
  <c r="Q2850" i="1"/>
  <c r="BZ2850" i="1"/>
  <c r="Q2851" i="1"/>
  <c r="BZ2851" i="1"/>
  <c r="Q2265" i="1"/>
  <c r="BZ2265" i="1"/>
  <c r="Q355" i="1"/>
  <c r="BZ355" i="1"/>
  <c r="Q1245" i="1"/>
  <c r="BZ1245" i="1"/>
  <c r="Q1782" i="1"/>
  <c r="BZ1782" i="1"/>
  <c r="Q1081" i="1"/>
  <c r="BZ1081" i="1"/>
  <c r="Q1807" i="1"/>
  <c r="BZ1807" i="1"/>
  <c r="Q155" i="1"/>
  <c r="BZ155" i="1"/>
  <c r="Q1705" i="1"/>
  <c r="BZ1705" i="1"/>
  <c r="Q1542" i="1"/>
  <c r="BZ1542" i="1"/>
  <c r="Q1443" i="1"/>
  <c r="BZ1443" i="1"/>
  <c r="Q2890" i="1"/>
  <c r="BZ2890" i="1"/>
  <c r="Q1340" i="1"/>
  <c r="BZ1340" i="1"/>
  <c r="Q294" i="1"/>
  <c r="BZ294" i="1"/>
  <c r="Q2081" i="1"/>
  <c r="BZ2081" i="1"/>
  <c r="Q2896" i="1"/>
  <c r="BZ2896" i="1"/>
  <c r="Q696" i="1"/>
  <c r="BZ696" i="1"/>
  <c r="Q1005" i="1"/>
  <c r="BZ1005" i="1"/>
  <c r="Q188" i="1"/>
  <c r="BZ188" i="1"/>
  <c r="Q1140" i="1"/>
  <c r="BZ1140" i="1"/>
  <c r="Q779" i="1"/>
  <c r="BZ779" i="1"/>
  <c r="Q734" i="1"/>
  <c r="BZ734" i="1"/>
  <c r="Q477" i="1"/>
  <c r="BZ477" i="1"/>
  <c r="Q2121" i="1"/>
  <c r="BZ2121" i="1"/>
  <c r="Q626" i="1"/>
  <c r="BZ626" i="1"/>
  <c r="Q1277" i="1"/>
  <c r="BZ1277" i="1"/>
  <c r="Q2127" i="1"/>
  <c r="BZ2127" i="1"/>
  <c r="Q1055" i="1"/>
  <c r="BZ1055" i="1"/>
  <c r="Q675" i="1"/>
  <c r="BZ675" i="1"/>
  <c r="Q368" i="1"/>
  <c r="BZ368" i="1"/>
  <c r="Q336" i="1"/>
  <c r="BZ336" i="1"/>
  <c r="Q2916" i="1"/>
  <c r="BZ2916" i="1"/>
  <c r="Q732" i="1"/>
  <c r="BZ732" i="1"/>
  <c r="BZ373" i="1"/>
  <c r="Q835" i="1"/>
  <c r="BZ835" i="1"/>
  <c r="Q2926" i="1"/>
  <c r="BZ2926" i="1"/>
  <c r="Q2939" i="1"/>
  <c r="BZ2939" i="1"/>
  <c r="Q617" i="1"/>
  <c r="BZ617" i="1"/>
  <c r="Q2940" i="1"/>
  <c r="BZ2940" i="1"/>
  <c r="Q2428" i="1"/>
  <c r="BZ2428" i="1"/>
  <c r="Q1917" i="1"/>
  <c r="BZ1917" i="1"/>
  <c r="Q586" i="1"/>
  <c r="BZ586" i="1"/>
  <c r="Q806" i="1"/>
  <c r="BZ806" i="1"/>
  <c r="Q2270" i="1"/>
  <c r="BZ2270" i="1"/>
  <c r="Q2184" i="1"/>
  <c r="BZ2184" i="1"/>
  <c r="Q820" i="1"/>
  <c r="BZ820" i="1"/>
  <c r="Q2949" i="1"/>
  <c r="BZ2949" i="1"/>
  <c r="Q962" i="1"/>
  <c r="BZ962" i="1"/>
  <c r="Q2956" i="1"/>
  <c r="BZ2956" i="1"/>
  <c r="Q1337" i="1"/>
  <c r="BZ1337" i="1"/>
  <c r="Q2520" i="1"/>
  <c r="BZ2520" i="1"/>
  <c r="Q2960" i="1"/>
  <c r="BZ2960" i="1"/>
  <c r="Q2961" i="1"/>
  <c r="BZ2961" i="1"/>
  <c r="Q2481" i="1"/>
  <c r="BZ2481" i="1"/>
  <c r="Q2965" i="1"/>
  <c r="BZ2965" i="1"/>
  <c r="Q640" i="1"/>
  <c r="BZ640" i="1"/>
  <c r="Q2294" i="1"/>
  <c r="BZ2294" i="1"/>
  <c r="Q1931" i="1"/>
  <c r="BZ1931" i="1"/>
  <c r="Q627" i="1"/>
  <c r="BZ627" i="1"/>
  <c r="Q2057" i="1"/>
  <c r="BZ2057" i="1"/>
  <c r="Q2549" i="1"/>
  <c r="BZ2549" i="1"/>
  <c r="Q2989" i="1"/>
  <c r="BZ2989" i="1"/>
  <c r="Q2100" i="1"/>
  <c r="BZ2100" i="1"/>
  <c r="Q765" i="1"/>
  <c r="BZ765" i="1"/>
  <c r="Q1465" i="1"/>
  <c r="BZ1465" i="1"/>
  <c r="Q1536" i="1"/>
  <c r="BZ1536" i="1"/>
  <c r="Q1727" i="1"/>
  <c r="BZ1727" i="1"/>
  <c r="Q3041" i="1"/>
  <c r="BZ3041" i="1"/>
  <c r="Q1957" i="1"/>
  <c r="BZ1957" i="1"/>
  <c r="Q2823" i="1"/>
  <c r="BZ2823" i="1"/>
  <c r="Q3080" i="1"/>
  <c r="BZ3080" i="1"/>
  <c r="Q621" i="1"/>
  <c r="BZ621" i="1"/>
  <c r="Q2162" i="1"/>
  <c r="BZ2162" i="1"/>
  <c r="Q3094" i="1"/>
  <c r="BZ3094" i="1"/>
  <c r="Q1837" i="1"/>
  <c r="BZ1837" i="1"/>
  <c r="Q3118" i="1"/>
  <c r="BZ3118" i="1"/>
  <c r="Q500" i="1"/>
  <c r="BZ500" i="1"/>
  <c r="Q3151" i="1"/>
  <c r="BZ3151" i="1"/>
  <c r="Q3155" i="1"/>
  <c r="BZ3155" i="1"/>
  <c r="Q2354" i="1"/>
  <c r="BZ2354" i="1"/>
  <c r="Q1998" i="1"/>
  <c r="BZ1998" i="1"/>
  <c r="Q1560" i="1"/>
  <c r="BZ1560" i="1"/>
  <c r="Q3173" i="1"/>
  <c r="BZ3173" i="1"/>
  <c r="Q397" i="1"/>
  <c r="BZ397" i="1"/>
  <c r="Q2060" i="1"/>
  <c r="BZ2060" i="1"/>
  <c r="Q3180" i="1"/>
  <c r="BZ3180" i="1"/>
  <c r="Q3184" i="1"/>
  <c r="BZ3184" i="1"/>
  <c r="Q496" i="1"/>
  <c r="BZ496" i="1"/>
  <c r="Q1067" i="1"/>
  <c r="BZ1067" i="1"/>
  <c r="Q2250" i="1"/>
  <c r="BZ2250" i="1"/>
  <c r="Q1268" i="1"/>
  <c r="BZ1268" i="1"/>
  <c r="Q436" i="1"/>
  <c r="BZ436" i="1"/>
  <c r="Q1365" i="1"/>
  <c r="BZ1365" i="1"/>
  <c r="Q1407" i="1"/>
  <c r="BZ1407" i="1"/>
  <c r="Q2585" i="1"/>
  <c r="BZ2585" i="1"/>
  <c r="Q130" i="1"/>
  <c r="BZ130" i="1"/>
  <c r="Q1415" i="1"/>
  <c r="BZ1415" i="1"/>
  <c r="Q965" i="1"/>
  <c r="BZ965" i="1"/>
  <c r="Q450" i="1"/>
  <c r="BZ450" i="1"/>
  <c r="Q2331" i="1"/>
  <c r="BZ2331" i="1"/>
  <c r="Q434" i="1"/>
  <c r="BZ434" i="1"/>
  <c r="Q1548" i="1"/>
  <c r="BZ1548" i="1"/>
  <c r="Q2430" i="1"/>
  <c r="BZ2430" i="1"/>
  <c r="BZ2838" i="1"/>
  <c r="Q2839" i="1"/>
  <c r="BZ2839" i="1"/>
  <c r="Q1800" i="1"/>
  <c r="BZ1800" i="1"/>
  <c r="Q591" i="1"/>
  <c r="BZ591" i="1"/>
  <c r="Q1700" i="1"/>
  <c r="BZ1700" i="1"/>
  <c r="Q633" i="1"/>
  <c r="BZ633" i="1"/>
  <c r="Q2272" i="1"/>
  <c r="BZ2272" i="1"/>
  <c r="Q1380" i="1"/>
  <c r="BZ1380" i="1"/>
  <c r="Q2910" i="1"/>
  <c r="BZ2910" i="1"/>
  <c r="Q2913" i="1"/>
  <c r="BZ2913" i="1"/>
  <c r="Q2915" i="1"/>
  <c r="BZ2915" i="1"/>
  <c r="Q309" i="1"/>
  <c r="BZ309" i="1"/>
  <c r="Q2502" i="1"/>
  <c r="BZ2502" i="1"/>
  <c r="Q723" i="1"/>
  <c r="BZ723" i="1"/>
  <c r="Q2516" i="1"/>
  <c r="BZ2516" i="1"/>
  <c r="Q647" i="1"/>
  <c r="BZ647" i="1"/>
  <c r="Q2141" i="1"/>
  <c r="BZ2141" i="1"/>
  <c r="Q305" i="1"/>
  <c r="BZ305" i="1"/>
  <c r="Q1966" i="1"/>
  <c r="BZ1966" i="1"/>
  <c r="Q1191" i="1"/>
  <c r="BZ1191" i="1"/>
  <c r="Q656" i="1"/>
  <c r="BZ656" i="1"/>
  <c r="Q489" i="1"/>
  <c r="BZ489" i="1"/>
  <c r="Q3194" i="1"/>
  <c r="BZ3194" i="1"/>
  <c r="Q1104" i="1"/>
  <c r="BZ1104" i="1"/>
  <c r="Q2022" i="1"/>
  <c r="BZ2022" i="1"/>
  <c r="Q2574" i="1"/>
  <c r="BZ2574" i="1"/>
  <c r="Q1142" i="1"/>
  <c r="BZ1142" i="1"/>
  <c r="Q2580" i="1"/>
  <c r="BZ2580" i="1"/>
  <c r="Q2637" i="1"/>
  <c r="BZ2637" i="1"/>
  <c r="Q606" i="1"/>
  <c r="BZ606" i="1"/>
  <c r="Q566" i="1"/>
  <c r="BZ566" i="1"/>
  <c r="Q2686" i="1"/>
  <c r="BZ2686" i="1"/>
  <c r="Q2688" i="1"/>
  <c r="BZ2688" i="1"/>
  <c r="Q2742" i="1"/>
  <c r="BZ2742" i="1"/>
  <c r="Q2013" i="1"/>
  <c r="BZ2013" i="1"/>
  <c r="Q2038" i="1"/>
  <c r="BZ2038" i="1"/>
  <c r="Q2487" i="1"/>
  <c r="BZ2487" i="1"/>
  <c r="Q2306" i="1"/>
  <c r="BZ2306" i="1"/>
  <c r="Q717" i="1"/>
  <c r="BZ717" i="1"/>
  <c r="Q2196" i="1"/>
  <c r="BZ2196" i="1"/>
  <c r="Q919" i="1"/>
  <c r="BZ919" i="1"/>
  <c r="Q377" i="1"/>
  <c r="BZ377" i="1"/>
  <c r="Q1706" i="1"/>
  <c r="BZ1706" i="1"/>
  <c r="Q2377" i="1"/>
  <c r="BZ2377" i="1"/>
  <c r="Q1494" i="1"/>
  <c r="BZ1494" i="1"/>
  <c r="Q2879" i="1"/>
  <c r="BZ2879" i="1"/>
  <c r="Q2251" i="1"/>
  <c r="BZ2251" i="1"/>
  <c r="Q1422" i="1"/>
  <c r="BZ1422" i="1"/>
  <c r="Q1317" i="1"/>
  <c r="BZ1317" i="1"/>
  <c r="Q2897" i="1"/>
  <c r="BZ2897" i="1"/>
  <c r="Q1399" i="1"/>
  <c r="BZ1399" i="1"/>
  <c r="Q2899" i="1"/>
  <c r="BZ2899" i="1"/>
  <c r="Q1357" i="1"/>
  <c r="BZ1357" i="1"/>
  <c r="Q1372" i="1"/>
  <c r="BZ1372" i="1"/>
  <c r="Q2194" i="1"/>
  <c r="BZ2194" i="1"/>
  <c r="Q1424" i="1"/>
  <c r="BZ1424" i="1"/>
  <c r="Q2912" i="1"/>
  <c r="BZ2912" i="1"/>
  <c r="Q16" i="1"/>
  <c r="BZ16" i="1"/>
  <c r="Q1481" i="1"/>
  <c r="BZ1481" i="1"/>
  <c r="Q1264" i="1"/>
  <c r="BZ1264" i="1"/>
  <c r="Q1969" i="1"/>
  <c r="BZ1969" i="1"/>
  <c r="Q344" i="1"/>
  <c r="BZ344" i="1"/>
  <c r="Q304" i="1"/>
  <c r="BZ304" i="1"/>
  <c r="Q571" i="1"/>
  <c r="BZ571" i="1"/>
  <c r="Q1756" i="1"/>
  <c r="BZ1756" i="1"/>
  <c r="Q2953" i="1"/>
  <c r="BZ2953" i="1"/>
  <c r="Q2954" i="1"/>
  <c r="BZ2954" i="1"/>
  <c r="BZ2125" i="1"/>
  <c r="BZ2982" i="1"/>
  <c r="Q2357" i="1"/>
  <c r="BZ2357" i="1"/>
  <c r="Q1312" i="1"/>
  <c r="BZ1312" i="1"/>
  <c r="Q1653" i="1"/>
  <c r="BZ1653" i="1"/>
  <c r="Q3003" i="1"/>
  <c r="BZ3003" i="1"/>
  <c r="Q1647" i="1"/>
  <c r="BZ1647" i="1"/>
  <c r="Q3048" i="1"/>
  <c r="BZ3048" i="1"/>
  <c r="Q665" i="1"/>
  <c r="BZ665" i="1"/>
  <c r="Q1049" i="1"/>
  <c r="BZ1049" i="1"/>
  <c r="Q793" i="1"/>
  <c r="BZ793" i="1"/>
  <c r="BZ3200" i="1"/>
  <c r="Q23" i="1"/>
  <c r="BZ23" i="1"/>
  <c r="Q607" i="1"/>
  <c r="BZ607" i="1"/>
  <c r="Q2370" i="1"/>
  <c r="BZ2370" i="1"/>
  <c r="Q2573" i="1"/>
  <c r="BZ2573" i="1"/>
  <c r="Q2522" i="1"/>
  <c r="BZ2522" i="1"/>
  <c r="Q2046" i="1"/>
  <c r="BZ2046" i="1"/>
  <c r="Q374" i="1"/>
  <c r="BZ374" i="1"/>
  <c r="Q13" i="1"/>
  <c r="BZ13" i="1"/>
  <c r="Q982" i="1"/>
  <c r="BZ982" i="1"/>
  <c r="Q2587" i="1"/>
  <c r="BZ2587" i="1"/>
  <c r="Q570" i="1"/>
  <c r="BZ570" i="1"/>
  <c r="Q2623" i="1"/>
  <c r="BZ2623" i="1"/>
  <c r="Q22" i="1"/>
  <c r="BZ22" i="1"/>
  <c r="Q1467" i="1"/>
  <c r="BZ1467" i="1"/>
  <c r="Q1425" i="1"/>
  <c r="BZ1425" i="1"/>
  <c r="Q2173" i="1"/>
  <c r="BZ2173" i="1"/>
  <c r="Q2316" i="1"/>
  <c r="BZ2316" i="1"/>
  <c r="Q1414" i="1"/>
  <c r="BZ1414" i="1"/>
  <c r="Q961" i="1"/>
  <c r="BZ961" i="1"/>
  <c r="Q2787" i="1"/>
  <c r="BZ2787" i="1"/>
  <c r="Q1222" i="1"/>
  <c r="BZ1222" i="1"/>
  <c r="Q2795" i="1"/>
  <c r="BZ2795" i="1"/>
  <c r="Q2798" i="1"/>
  <c r="BZ2798" i="1"/>
  <c r="Q1544" i="1"/>
  <c r="BZ1544" i="1"/>
  <c r="Q1334" i="1"/>
  <c r="BZ1334" i="1"/>
  <c r="Q2362" i="1"/>
  <c r="BZ2362" i="1"/>
  <c r="Q1110" i="1"/>
  <c r="BZ1110" i="1"/>
  <c r="Q2239" i="1"/>
  <c r="BZ2239" i="1"/>
  <c r="Q868" i="1"/>
  <c r="BZ868" i="1"/>
  <c r="Q1313" i="1"/>
  <c r="BZ1313" i="1"/>
  <c r="Q2948" i="1"/>
  <c r="BZ2948" i="1"/>
  <c r="Q1902" i="1"/>
  <c r="BZ1902" i="1"/>
  <c r="Q1612" i="1"/>
  <c r="BZ1612" i="1"/>
  <c r="Q674" i="1"/>
  <c r="BZ674" i="1"/>
  <c r="Q1044" i="1"/>
  <c r="BZ1044" i="1"/>
  <c r="Q685" i="1"/>
  <c r="BZ685" i="1"/>
  <c r="Q1903" i="1"/>
  <c r="BZ1903" i="1"/>
  <c r="Q3142" i="1"/>
  <c r="BZ3142" i="1"/>
  <c r="Q1520" i="1"/>
  <c r="BZ1520" i="1"/>
  <c r="Q3176" i="1"/>
  <c r="BZ3176" i="1"/>
  <c r="Q1637" i="1"/>
  <c r="BZ1637" i="1"/>
  <c r="Q3189" i="1"/>
  <c r="BZ3189" i="1"/>
  <c r="Q2139" i="1"/>
  <c r="BZ2139" i="1"/>
  <c r="Q1911" i="1"/>
  <c r="BZ1911" i="1"/>
  <c r="Q387" i="1"/>
  <c r="BZ387" i="1"/>
  <c r="Q512" i="1"/>
  <c r="BZ512" i="1"/>
  <c r="Q369" i="1"/>
  <c r="BZ369" i="1"/>
  <c r="Q1363" i="1"/>
  <c r="BZ1363" i="1"/>
  <c r="Q148" i="1"/>
  <c r="BZ148" i="1"/>
  <c r="Q2575" i="1"/>
  <c r="BZ2575" i="1"/>
  <c r="Q1555" i="1"/>
  <c r="BZ1555" i="1"/>
  <c r="Q2456" i="1"/>
  <c r="BZ2456" i="1"/>
  <c r="Q1393" i="1"/>
  <c r="BZ1393" i="1"/>
  <c r="Q1012" i="1"/>
  <c r="BZ1012" i="1"/>
  <c r="Q887" i="1"/>
  <c r="BZ887" i="1"/>
  <c r="Q1307" i="1"/>
  <c r="BZ1307" i="1"/>
  <c r="Q2168" i="1"/>
  <c r="BZ2168" i="1"/>
  <c r="Q923" i="1"/>
  <c r="BZ923" i="1"/>
  <c r="Q773" i="1"/>
  <c r="BZ773" i="1"/>
  <c r="Q2591" i="1"/>
  <c r="BZ2591" i="1"/>
  <c r="Q1675" i="1"/>
  <c r="BZ1675" i="1"/>
  <c r="Q2621" i="1"/>
  <c r="BZ2621" i="1"/>
  <c r="Q2075" i="1"/>
  <c r="BZ2075" i="1"/>
  <c r="Q435" i="1"/>
  <c r="BZ435" i="1"/>
  <c r="Q766" i="1"/>
  <c r="BZ766" i="1"/>
  <c r="Q1852" i="1"/>
  <c r="BZ1852" i="1"/>
  <c r="Q2165" i="1"/>
  <c r="BZ2165" i="1"/>
  <c r="Q2445" i="1"/>
  <c r="BZ2445" i="1"/>
  <c r="Q2328" i="1"/>
  <c r="BZ2328" i="1"/>
  <c r="Q1876" i="1"/>
  <c r="BZ1876" i="1"/>
  <c r="Q2266" i="1"/>
  <c r="BZ2266" i="1"/>
  <c r="Q2230" i="1"/>
  <c r="BZ2230" i="1"/>
  <c r="Q2748" i="1"/>
  <c r="BZ2748" i="1"/>
  <c r="Q2772" i="1"/>
  <c r="BZ2772" i="1"/>
  <c r="Q2775" i="1"/>
  <c r="BZ2775" i="1"/>
  <c r="Q1483" i="1"/>
  <c r="BZ1483" i="1"/>
  <c r="Q523" i="1"/>
  <c r="BZ523" i="1"/>
  <c r="Q410" i="1"/>
  <c r="BZ410" i="1"/>
  <c r="Q2080" i="1"/>
  <c r="BZ2080" i="1"/>
  <c r="Q2790" i="1"/>
  <c r="BZ2790" i="1"/>
  <c r="Q2006" i="1"/>
  <c r="BZ2006" i="1"/>
  <c r="Q937" i="1"/>
  <c r="BZ937" i="1"/>
  <c r="Q1583" i="1"/>
  <c r="BZ1583" i="1"/>
  <c r="Q1982" i="1"/>
  <c r="BZ1982" i="1"/>
  <c r="Q2801" i="1"/>
  <c r="BZ2801" i="1"/>
  <c r="Q2569" i="1"/>
  <c r="BZ2569" i="1"/>
  <c r="Q977" i="1"/>
  <c r="BZ977" i="1"/>
  <c r="Q659" i="1"/>
  <c r="BZ659" i="1"/>
  <c r="Q2809" i="1"/>
  <c r="BZ2809" i="1"/>
  <c r="Q2222" i="1"/>
  <c r="BZ2222" i="1"/>
  <c r="Q2235" i="1"/>
  <c r="BZ2235" i="1"/>
  <c r="Q1476" i="1"/>
  <c r="BZ1476" i="1"/>
  <c r="Q2816" i="1"/>
  <c r="BZ2816" i="1"/>
  <c r="Q1300" i="1"/>
  <c r="BZ1300" i="1"/>
  <c r="Q592" i="1"/>
  <c r="BZ592" i="1"/>
  <c r="Q963" i="1"/>
  <c r="BZ963" i="1"/>
  <c r="Q2170" i="1"/>
  <c r="BZ2170" i="1"/>
  <c r="Q1006" i="1"/>
  <c r="BZ1006" i="1"/>
  <c r="Q1877" i="1"/>
  <c r="BZ1877" i="1"/>
  <c r="Q1379" i="1"/>
  <c r="BZ1379" i="1"/>
  <c r="Q1543" i="1"/>
  <c r="BZ1543" i="1"/>
  <c r="Q2826" i="1"/>
  <c r="BZ2826" i="1"/>
  <c r="Q125" i="1"/>
  <c r="BZ125" i="1"/>
  <c r="Q2832" i="1"/>
  <c r="BZ2832" i="1"/>
  <c r="Q1213" i="1"/>
  <c r="BZ1213" i="1"/>
  <c r="Q1272" i="1"/>
  <c r="BZ1272" i="1"/>
  <c r="Q1283" i="1"/>
  <c r="BZ1283" i="1"/>
  <c r="Q577" i="1"/>
  <c r="BZ577" i="1"/>
  <c r="Q705" i="1"/>
  <c r="BZ705" i="1"/>
  <c r="Q2847" i="1"/>
  <c r="BZ2847" i="1"/>
  <c r="Q2853" i="1"/>
  <c r="BZ2853" i="1"/>
  <c r="Q2854" i="1"/>
  <c r="BZ2854" i="1"/>
  <c r="Q437" i="1"/>
  <c r="BZ437" i="1"/>
  <c r="Q2076" i="1"/>
  <c r="BZ2076" i="1"/>
  <c r="Q985" i="1"/>
  <c r="BZ985" i="1"/>
  <c r="Q2857" i="1"/>
  <c r="BZ2857" i="1"/>
  <c r="Q1994" i="1"/>
  <c r="BZ1994" i="1"/>
  <c r="Q2860" i="1"/>
  <c r="BZ2860" i="1"/>
  <c r="Q1479" i="1"/>
  <c r="BZ1479" i="1"/>
  <c r="Q2864" i="1"/>
  <c r="BZ2864" i="1"/>
  <c r="Q1113" i="1"/>
  <c r="BZ1113" i="1"/>
  <c r="Q1711" i="1"/>
  <c r="BZ1711" i="1"/>
  <c r="Q2868" i="1"/>
  <c r="BZ2868" i="1"/>
  <c r="Q534" i="1"/>
  <c r="BZ534" i="1"/>
  <c r="Q433" i="1"/>
  <c r="BZ433" i="1"/>
  <c r="Q2870" i="1"/>
  <c r="BZ2870" i="1"/>
  <c r="Q1454" i="1"/>
  <c r="BZ1454" i="1"/>
  <c r="Q348" i="1"/>
  <c r="BZ348" i="1"/>
  <c r="Q2668" i="1"/>
  <c r="BZ2668" i="1"/>
  <c r="Q2876" i="1"/>
  <c r="BZ2876" i="1"/>
  <c r="Q2443" i="1"/>
  <c r="BZ2443" i="1"/>
  <c r="Q2881" i="1"/>
  <c r="BZ2881" i="1"/>
  <c r="Q2405" i="1"/>
  <c r="BZ2405" i="1"/>
  <c r="Q2883" i="1"/>
  <c r="BZ2883" i="1"/>
  <c r="Q2884" i="1"/>
  <c r="BZ2884" i="1"/>
  <c r="Q1564" i="1"/>
  <c r="BZ1564" i="1"/>
  <c r="Q358" i="1"/>
  <c r="BZ358" i="1"/>
  <c r="Q1135" i="1"/>
  <c r="BZ1135" i="1"/>
  <c r="Q1759" i="1"/>
  <c r="BZ1759" i="1"/>
  <c r="Q2900" i="1"/>
  <c r="BZ2900" i="1"/>
  <c r="Q767" i="1"/>
  <c r="BZ767" i="1"/>
  <c r="Q2903" i="1"/>
  <c r="BZ2903" i="1"/>
  <c r="Q901" i="1"/>
  <c r="BZ901" i="1"/>
  <c r="Q1872" i="1"/>
  <c r="BZ1872" i="1"/>
  <c r="Q2199" i="1"/>
  <c r="BZ2199" i="1"/>
  <c r="Q1519" i="1"/>
  <c r="BZ1519" i="1"/>
  <c r="Q2914" i="1"/>
  <c r="BZ2914" i="1"/>
  <c r="Q1336" i="1"/>
  <c r="BZ1336" i="1"/>
  <c r="Q449" i="1"/>
  <c r="BZ449" i="1"/>
  <c r="Q2919" i="1"/>
  <c r="BZ2919" i="1"/>
  <c r="Q912" i="1"/>
  <c r="BZ912" i="1"/>
  <c r="Q596" i="1"/>
  <c r="BZ596" i="1"/>
  <c r="Q956" i="1"/>
  <c r="BZ956" i="1"/>
  <c r="Q2917" i="1"/>
  <c r="BZ2917" i="1"/>
  <c r="Q194" i="1"/>
  <c r="BZ194" i="1"/>
  <c r="Q750" i="1"/>
  <c r="BZ750" i="1"/>
  <c r="Q2208" i="1"/>
  <c r="BZ2208" i="1"/>
  <c r="Q1530" i="1"/>
  <c r="BZ1530" i="1"/>
  <c r="Q2928" i="1"/>
  <c r="BZ2928" i="1"/>
  <c r="Q2935" i="1"/>
  <c r="BZ2935" i="1"/>
  <c r="Q724" i="1"/>
  <c r="BZ724" i="1"/>
  <c r="Q584" i="1"/>
  <c r="BZ584" i="1"/>
  <c r="Q2938" i="1"/>
  <c r="BZ2938" i="1"/>
  <c r="Q2943" i="1"/>
  <c r="BZ2943" i="1"/>
  <c r="Q444" i="1"/>
  <c r="BZ444" i="1"/>
  <c r="Q2410" i="1"/>
  <c r="BZ2410" i="1"/>
  <c r="Q2945" i="1"/>
  <c r="BZ2945" i="1"/>
  <c r="Q669" i="1"/>
  <c r="BZ669" i="1"/>
  <c r="Q2760" i="1"/>
  <c r="BZ2760" i="1"/>
  <c r="Q1659" i="1"/>
  <c r="BZ1659" i="1"/>
  <c r="BZ1977" i="1"/>
  <c r="Q323" i="1"/>
  <c r="BZ323" i="1"/>
  <c r="Q2957" i="1"/>
  <c r="BZ2957" i="1"/>
  <c r="Q2964" i="1"/>
  <c r="BZ2964" i="1"/>
  <c r="Q598" i="1"/>
  <c r="BZ598" i="1"/>
  <c r="Q2455" i="1"/>
  <c r="BZ2455" i="1"/>
  <c r="Q2446" i="1"/>
  <c r="BZ2446" i="1"/>
  <c r="Q1527" i="1"/>
  <c r="BZ1527" i="1"/>
  <c r="BZ1556" i="1"/>
  <c r="Q708" i="1"/>
  <c r="BZ708" i="1"/>
  <c r="Q2133" i="1"/>
  <c r="BZ2133" i="1"/>
  <c r="Q1883" i="1"/>
  <c r="BZ1883" i="1"/>
  <c r="Q1187" i="1"/>
  <c r="BZ1187" i="1"/>
  <c r="Q2207" i="1"/>
  <c r="BZ2207" i="1"/>
  <c r="Q2229" i="1"/>
  <c r="BZ2229" i="1"/>
  <c r="Q2425" i="1"/>
  <c r="BZ2425" i="1"/>
  <c r="Q2171" i="1"/>
  <c r="BZ2171" i="1"/>
  <c r="Q3018" i="1"/>
  <c r="BZ3018" i="1"/>
  <c r="Q1028" i="1"/>
  <c r="BZ1028" i="1"/>
  <c r="BZ530" i="1"/>
  <c r="Q296" i="1"/>
  <c r="BZ296" i="1"/>
  <c r="Q1416" i="1"/>
  <c r="BZ1416" i="1"/>
  <c r="Q608" i="1"/>
  <c r="BZ608" i="1"/>
  <c r="Q3079" i="1"/>
  <c r="BZ3079" i="1"/>
  <c r="Q1061" i="1"/>
  <c r="BZ1061" i="1"/>
  <c r="Q131" i="1"/>
  <c r="BZ131" i="1"/>
  <c r="Q3119" i="1"/>
  <c r="BZ3119" i="1"/>
  <c r="Q869" i="1"/>
  <c r="BZ869" i="1"/>
  <c r="Q3140" i="1"/>
  <c r="BZ3140" i="1"/>
  <c r="Q2240" i="1"/>
  <c r="BZ2240" i="1"/>
  <c r="Q1668" i="1"/>
  <c r="BZ1668" i="1"/>
  <c r="Q2112" i="1"/>
  <c r="BZ2112" i="1"/>
  <c r="Q1766" i="1"/>
  <c r="BZ1766" i="1"/>
  <c r="Q2501" i="1"/>
  <c r="BZ2501" i="1"/>
  <c r="Q1426" i="1"/>
  <c r="BZ1426" i="1"/>
  <c r="Q1841" i="1"/>
  <c r="BZ1841" i="1"/>
  <c r="Q3192" i="1"/>
  <c r="BZ3192" i="1"/>
  <c r="Q3202" i="1"/>
  <c r="BZ3202" i="1"/>
  <c r="Q1849" i="1"/>
  <c r="BZ1849" i="1"/>
  <c r="Q1857" i="1"/>
  <c r="BZ1857" i="1"/>
  <c r="Q2024" i="1"/>
  <c r="BZ2024" i="1"/>
  <c r="Q2514" i="1"/>
  <c r="BZ2514" i="1"/>
  <c r="Q2069" i="1"/>
  <c r="BZ2069" i="1"/>
  <c r="Q1954" i="1"/>
  <c r="BZ1954" i="1"/>
  <c r="Q1859" i="1"/>
  <c r="BZ1859" i="1"/>
  <c r="Q136" i="1"/>
  <c r="BZ136" i="1"/>
  <c r="Q964" i="1"/>
  <c r="BZ964" i="1"/>
  <c r="Q727" i="1"/>
  <c r="BZ727" i="1"/>
  <c r="Q2777" i="1"/>
  <c r="BZ2777" i="1"/>
  <c r="Q364" i="1"/>
  <c r="BZ364" i="1"/>
  <c r="Q885" i="1"/>
  <c r="BZ885" i="1"/>
  <c r="Q2806" i="1"/>
  <c r="BZ2806" i="1"/>
  <c r="Q619" i="1"/>
  <c r="BZ619" i="1"/>
  <c r="Q1846" i="1"/>
  <c r="BZ1846" i="1"/>
  <c r="Q2827" i="1"/>
  <c r="BZ2827" i="1"/>
  <c r="Q2840" i="1"/>
  <c r="BZ2840" i="1"/>
  <c r="Q1293" i="1"/>
  <c r="BZ1293" i="1"/>
  <c r="Q1432" i="1"/>
  <c r="BZ1432" i="1"/>
  <c r="Q2862" i="1"/>
  <c r="BZ2862" i="1"/>
  <c r="Q542" i="1"/>
  <c r="BZ542" i="1"/>
  <c r="Q1869" i="1"/>
  <c r="BZ1869" i="1"/>
  <c r="Q711" i="1"/>
  <c r="BZ711" i="1"/>
  <c r="Q2702" i="1"/>
  <c r="BZ2702" i="1"/>
  <c r="Q1032" i="1"/>
  <c r="BZ1032" i="1"/>
  <c r="Q1791" i="1"/>
  <c r="BZ1791" i="1"/>
  <c r="Q1083" i="1"/>
  <c r="BZ1083" i="1"/>
  <c r="Q2598" i="1"/>
  <c r="BZ2598" i="1"/>
  <c r="Q2909" i="1"/>
  <c r="BZ2909" i="1"/>
  <c r="Q472" i="1"/>
  <c r="BZ472" i="1"/>
  <c r="BZ1347" i="1"/>
  <c r="Q1352" i="1"/>
  <c r="BZ1352" i="1"/>
  <c r="Q432" i="1"/>
  <c r="BZ432" i="1"/>
  <c r="Q984" i="1"/>
  <c r="BZ984" i="1"/>
  <c r="Q414" i="1"/>
  <c r="BZ414" i="1"/>
  <c r="Q2944" i="1"/>
  <c r="BZ2944" i="1"/>
  <c r="Q2952" i="1"/>
  <c r="BZ2952" i="1"/>
  <c r="Q485" i="1"/>
  <c r="BZ485" i="1"/>
  <c r="Q1774" i="1"/>
  <c r="BZ1774" i="1"/>
  <c r="Q1625" i="1"/>
  <c r="BZ1625" i="1"/>
  <c r="Q1069" i="1"/>
  <c r="BZ1069" i="1"/>
  <c r="Q1192" i="1"/>
  <c r="BZ1192" i="1"/>
  <c r="Q862" i="1"/>
  <c r="BZ862" i="1"/>
  <c r="Q3160" i="1"/>
  <c r="BZ3160" i="1"/>
  <c r="Q1730" i="1"/>
  <c r="BZ1730" i="1"/>
  <c r="Q361" i="1"/>
  <c r="BZ361" i="1"/>
  <c r="Q701" i="1"/>
  <c r="BZ701" i="1"/>
  <c r="Q2049" i="1"/>
  <c r="BZ2049" i="1"/>
  <c r="Q2645" i="1"/>
  <c r="BZ2645" i="1"/>
  <c r="Q2640" i="1"/>
  <c r="BZ2640" i="1"/>
  <c r="Q560" i="1"/>
  <c r="BZ560" i="1"/>
  <c r="Q301" i="1"/>
  <c r="BZ301" i="1"/>
  <c r="Q2176" i="1"/>
  <c r="BZ2176" i="1"/>
  <c r="Q1848" i="1"/>
  <c r="BZ1848" i="1"/>
  <c r="Q2608" i="1"/>
  <c r="BZ2608" i="1"/>
  <c r="Q784" i="1"/>
  <c r="BZ784" i="1"/>
  <c r="Q882" i="1"/>
  <c r="BZ882" i="1"/>
  <c r="Q2811" i="1"/>
  <c r="BZ2811" i="1"/>
  <c r="Q1818" i="1"/>
  <c r="BZ1818" i="1"/>
  <c r="Q2833" i="1"/>
  <c r="BZ2833" i="1"/>
  <c r="Q2550" i="1"/>
  <c r="BZ2550" i="1"/>
  <c r="Q1832" i="1"/>
  <c r="BZ1832" i="1"/>
  <c r="Q153" i="1"/>
  <c r="BZ153" i="1"/>
  <c r="Q515" i="1"/>
  <c r="BZ515" i="1"/>
  <c r="Q2186" i="1"/>
  <c r="BZ2186" i="1"/>
  <c r="Q2843" i="1"/>
  <c r="BZ2843" i="1"/>
  <c r="Q1176" i="1"/>
  <c r="BZ1176" i="1"/>
  <c r="Q1962" i="1"/>
  <c r="BZ1962" i="1"/>
  <c r="Q845" i="1"/>
  <c r="BZ845" i="1"/>
  <c r="Q979" i="1"/>
  <c r="BZ979" i="1"/>
  <c r="Q2888" i="1"/>
  <c r="BZ2888" i="1"/>
  <c r="Q467" i="1"/>
  <c r="BZ467" i="1"/>
  <c r="Q202" i="1"/>
  <c r="BZ202" i="1"/>
  <c r="Q2189" i="1"/>
  <c r="BZ2189" i="1"/>
  <c r="Q307" i="1"/>
  <c r="BZ307" i="1"/>
  <c r="Q776" i="1"/>
  <c r="BZ776" i="1"/>
  <c r="Q2406" i="1"/>
  <c r="BZ2406" i="1"/>
  <c r="Q1350" i="1"/>
  <c r="BZ1350" i="1"/>
  <c r="Q2150" i="1"/>
  <c r="BZ2150" i="1"/>
  <c r="Q1796" i="1"/>
  <c r="BZ1796" i="1"/>
  <c r="Q1490" i="1"/>
  <c r="BZ1490" i="1"/>
  <c r="Q1582" i="1"/>
  <c r="BZ1582" i="1"/>
  <c r="Q2942" i="1"/>
  <c r="BZ2942" i="1"/>
  <c r="Q2529" i="1"/>
  <c r="BZ2529" i="1"/>
  <c r="Q2197" i="1"/>
  <c r="BZ2197" i="1"/>
  <c r="Q628" i="1"/>
  <c r="BZ628" i="1"/>
  <c r="Q152" i="1"/>
  <c r="BZ152" i="1"/>
  <c r="Q2708" i="1"/>
  <c r="BZ2708" i="1"/>
  <c r="Q813" i="1"/>
  <c r="BZ813" i="1"/>
  <c r="Q2323" i="1"/>
  <c r="BZ2323" i="1"/>
  <c r="Q1586" i="1"/>
  <c r="BZ1586" i="1"/>
  <c r="Q2995" i="1"/>
  <c r="BZ2995" i="1"/>
  <c r="Q3007" i="1"/>
  <c r="BZ3007" i="1"/>
  <c r="Q3031" i="1"/>
  <c r="BZ3031" i="1"/>
  <c r="Q958" i="1"/>
  <c r="BZ958" i="1"/>
  <c r="Q1396" i="1"/>
  <c r="BZ1396" i="1"/>
  <c r="Q382" i="1"/>
  <c r="BZ382" i="1"/>
  <c r="Q2015" i="1"/>
  <c r="BZ2015" i="1"/>
  <c r="Q1611" i="1"/>
  <c r="BZ1611" i="1"/>
  <c r="Q3181" i="1"/>
  <c r="BZ3181" i="1"/>
  <c r="Q1991" i="1"/>
  <c r="BZ1991" i="1"/>
  <c r="BZ108" i="1"/>
  <c r="Q2451" i="1"/>
  <c r="BZ2451" i="1"/>
  <c r="Q2413" i="1"/>
  <c r="BZ2413" i="1"/>
  <c r="Q1291" i="1"/>
  <c r="BZ1291" i="1"/>
  <c r="Q1672" i="1"/>
  <c r="BZ1672" i="1"/>
  <c r="Q1974" i="1"/>
  <c r="BZ1974" i="1"/>
  <c r="BZ2236" i="1"/>
  <c r="Q2804" i="1"/>
  <c r="BZ2804" i="1"/>
  <c r="Q594" i="1"/>
  <c r="BZ594" i="1"/>
  <c r="Q973" i="1"/>
  <c r="BZ973" i="1"/>
  <c r="Q743" i="1"/>
  <c r="BZ743" i="1"/>
  <c r="Q2824" i="1"/>
  <c r="BZ2824" i="1"/>
  <c r="Q1801" i="1"/>
  <c r="BZ1801" i="1"/>
  <c r="Q933" i="1"/>
  <c r="BZ933" i="1"/>
  <c r="Q2837" i="1"/>
  <c r="BZ2837" i="1"/>
  <c r="Q181" i="1"/>
  <c r="BZ181" i="1"/>
  <c r="Q2519" i="1"/>
  <c r="BZ2519" i="1"/>
  <c r="Q2070" i="1"/>
  <c r="BZ2070" i="1"/>
  <c r="Q1010" i="1"/>
  <c r="BZ1010" i="1"/>
  <c r="Q1411" i="1"/>
  <c r="BZ1411" i="1"/>
  <c r="Q1999" i="1"/>
  <c r="BZ1999" i="1"/>
  <c r="Q2228" i="1"/>
  <c r="BZ2228" i="1"/>
  <c r="Q1710" i="1"/>
  <c r="BZ1710" i="1"/>
  <c r="Q867" i="1"/>
  <c r="BZ867" i="1"/>
  <c r="Q1121" i="1"/>
  <c r="BZ1121" i="1"/>
  <c r="Q2044" i="1"/>
  <c r="BZ2044" i="1"/>
  <c r="Q2277" i="1"/>
  <c r="BZ2277" i="1"/>
  <c r="Q1853" i="1"/>
  <c r="BZ1853" i="1"/>
  <c r="Q2475" i="1"/>
  <c r="BZ2475" i="1"/>
  <c r="Q1620" i="1"/>
  <c r="BZ1620" i="1"/>
  <c r="Q644" i="1"/>
  <c r="BZ644" i="1"/>
  <c r="Q2307" i="1"/>
  <c r="BZ2307" i="1"/>
  <c r="Q997" i="1"/>
  <c r="BZ997" i="1"/>
  <c r="Q2285" i="1"/>
  <c r="BZ2285" i="1"/>
  <c r="Q106" i="1"/>
  <c r="BZ106" i="1"/>
  <c r="Q2877" i="1"/>
  <c r="BZ2877" i="1"/>
  <c r="Q18" i="1"/>
  <c r="BZ18" i="1"/>
  <c r="Q2488" i="1"/>
  <c r="BZ2488" i="1"/>
  <c r="Q2503" i="1"/>
  <c r="BZ2503" i="1"/>
  <c r="Q1950" i="1"/>
  <c r="BZ1950" i="1"/>
  <c r="Q630" i="1"/>
  <c r="BZ630" i="1"/>
  <c r="Q2115" i="1"/>
  <c r="BZ2115" i="1"/>
  <c r="Q2036" i="1"/>
  <c r="BZ2036" i="1"/>
  <c r="Q557" i="1"/>
  <c r="BZ557" i="1"/>
  <c r="Q469" i="1"/>
  <c r="BZ469" i="1"/>
  <c r="Q2293" i="1"/>
  <c r="BZ2293" i="1"/>
  <c r="Q1755" i="1"/>
  <c r="BZ1755" i="1"/>
  <c r="Q980" i="1"/>
  <c r="BZ980" i="1"/>
  <c r="Q1551" i="1"/>
  <c r="BZ1551" i="1"/>
  <c r="Q1367" i="1"/>
  <c r="BZ1367" i="1"/>
  <c r="Q24" i="1"/>
  <c r="BZ24" i="1"/>
  <c r="Q1346" i="1"/>
  <c r="BZ1346" i="1"/>
  <c r="Q648" i="1"/>
  <c r="BZ648" i="1"/>
  <c r="Q1059" i="1"/>
  <c r="BZ1059" i="1"/>
  <c r="Q182" i="1"/>
  <c r="BZ182" i="1"/>
  <c r="Q17" i="1"/>
  <c r="BZ17" i="1"/>
  <c r="Q2923" i="1"/>
  <c r="BZ2923" i="1"/>
  <c r="Q2497" i="1"/>
  <c r="BZ2497" i="1"/>
  <c r="Q1558" i="1"/>
  <c r="BZ1558" i="1"/>
  <c r="Q167" i="1"/>
  <c r="BZ167" i="1"/>
  <c r="Q1344" i="1"/>
  <c r="BZ1344" i="1"/>
  <c r="Q2119" i="1"/>
  <c r="BZ2119" i="1"/>
  <c r="Q745" i="1"/>
  <c r="BZ745" i="1"/>
  <c r="Q2929" i="1"/>
  <c r="BZ2929" i="1"/>
  <c r="Q664" i="1"/>
  <c r="BZ664" i="1"/>
  <c r="Q2064" i="1"/>
  <c r="BZ2064" i="1"/>
  <c r="Q2416" i="1"/>
  <c r="BZ2416" i="1"/>
  <c r="Q2533" i="1"/>
  <c r="BZ2533" i="1"/>
  <c r="BZ2338" i="1"/>
  <c r="Q2986" i="1"/>
  <c r="BZ2986" i="1"/>
  <c r="Q1351" i="1"/>
  <c r="BZ1351" i="1"/>
  <c r="Q2998" i="1"/>
  <c r="BZ2998" i="1"/>
  <c r="Q1025" i="1"/>
  <c r="BZ1025" i="1"/>
  <c r="Q1181" i="1"/>
  <c r="BZ1181" i="1"/>
  <c r="Q638" i="1"/>
  <c r="BZ638" i="1"/>
  <c r="Q2936" i="1"/>
  <c r="BZ2936" i="1"/>
  <c r="Q1263" i="1"/>
  <c r="BZ1263" i="1"/>
  <c r="Q814" i="1"/>
  <c r="BZ814" i="1"/>
  <c r="Q807" i="1"/>
  <c r="BZ807" i="1"/>
  <c r="Q3179" i="1"/>
  <c r="BZ3179" i="1"/>
  <c r="Q1124" i="1"/>
  <c r="BZ1124" i="1"/>
  <c r="Q2409" i="1"/>
  <c r="BZ2409" i="1"/>
  <c r="Q481" i="1"/>
  <c r="BZ481" i="1"/>
  <c r="Q676" i="1"/>
  <c r="BZ676" i="1"/>
  <c r="Q2314" i="1"/>
  <c r="BZ2314" i="1"/>
  <c r="Q632" i="1"/>
  <c r="BZ632" i="1"/>
  <c r="Q969" i="1"/>
  <c r="BZ969" i="1"/>
  <c r="Q1495" i="1"/>
  <c r="BZ1495" i="1"/>
  <c r="Q2586" i="1"/>
  <c r="BZ2586" i="1"/>
  <c r="Q403" i="1"/>
  <c r="BZ403" i="1"/>
  <c r="Q1401" i="1"/>
  <c r="BZ1401" i="1"/>
  <c r="Q2597" i="1"/>
  <c r="BZ2597" i="1"/>
  <c r="Q1185" i="1"/>
  <c r="BZ1185" i="1"/>
  <c r="Q2604" i="1"/>
  <c r="BZ2604" i="1"/>
  <c r="Q133" i="1"/>
  <c r="BZ133" i="1"/>
  <c r="Q1464" i="1"/>
  <c r="BZ1464" i="1"/>
  <c r="Q1231" i="1"/>
  <c r="BZ1231" i="1"/>
  <c r="Q1500" i="1"/>
  <c r="BZ1500" i="1"/>
  <c r="Q2654" i="1"/>
  <c r="BZ2654" i="1"/>
  <c r="Q929" i="1"/>
  <c r="BZ929" i="1"/>
  <c r="Q1820" i="1"/>
  <c r="BZ1820" i="1"/>
  <c r="Q1488" i="1"/>
  <c r="BZ1488" i="1"/>
  <c r="Q1034" i="1"/>
  <c r="BZ1034" i="1"/>
  <c r="Q1244" i="1"/>
  <c r="BZ1244" i="1"/>
  <c r="Q2754" i="1"/>
  <c r="BZ2754" i="1"/>
  <c r="Q2765" i="1"/>
  <c r="BZ2765" i="1"/>
  <c r="Q2768" i="1"/>
  <c r="BZ2768" i="1"/>
  <c r="Q172" i="1"/>
  <c r="BZ172" i="1"/>
  <c r="Q431" i="1"/>
  <c r="BZ431" i="1"/>
  <c r="Q2544" i="1"/>
  <c r="BZ2544" i="1"/>
  <c r="Q2441" i="1"/>
  <c r="BZ2441" i="1"/>
  <c r="Q1880" i="1"/>
  <c r="BZ1880" i="1"/>
  <c r="Q683" i="1"/>
  <c r="BZ683" i="1"/>
  <c r="Q1815" i="1"/>
  <c r="BZ1815" i="1"/>
  <c r="Q1510" i="1"/>
  <c r="BZ1510" i="1"/>
  <c r="Q2779" i="1"/>
  <c r="BZ2779" i="1"/>
  <c r="Q2411" i="1"/>
  <c r="BZ2411" i="1"/>
  <c r="Q2784" i="1"/>
  <c r="BZ2784" i="1"/>
  <c r="Q2794" i="1"/>
  <c r="BZ2794" i="1"/>
  <c r="Q949" i="1"/>
  <c r="BZ949" i="1"/>
  <c r="Q1722" i="1"/>
  <c r="BZ1722" i="1"/>
  <c r="Q141" i="1"/>
  <c r="BZ141" i="1"/>
  <c r="Q1698" i="1"/>
  <c r="BZ1698" i="1"/>
  <c r="Q848" i="1"/>
  <c r="BZ848" i="1"/>
  <c r="Q1008" i="1"/>
  <c r="BZ1008" i="1"/>
  <c r="Q2243" i="1"/>
  <c r="BZ2243" i="1"/>
  <c r="Q440" i="1"/>
  <c r="BZ440" i="1"/>
  <c r="Q118" i="1"/>
  <c r="BZ118" i="1"/>
  <c r="Q488" i="1"/>
  <c r="BZ488" i="1"/>
  <c r="Q2273" i="1"/>
  <c r="BZ2273" i="1"/>
  <c r="Q2819" i="1"/>
  <c r="BZ2819" i="1"/>
  <c r="Q1138" i="1"/>
  <c r="BZ1138" i="1"/>
  <c r="Q1452" i="1"/>
  <c r="BZ1452" i="1"/>
  <c r="Q2821" i="1"/>
  <c r="BZ2821" i="1"/>
  <c r="Q2444" i="1"/>
  <c r="BZ2444" i="1"/>
  <c r="Q1167" i="1"/>
  <c r="BZ1167" i="1"/>
  <c r="Q2318" i="1"/>
  <c r="BZ2318" i="1"/>
  <c r="Q2474" i="1"/>
  <c r="BZ2474" i="1"/>
  <c r="Q359" i="1"/>
  <c r="BZ359" i="1"/>
  <c r="Q2183" i="1"/>
  <c r="BZ2183" i="1"/>
  <c r="Q117" i="1"/>
  <c r="BZ117" i="1"/>
  <c r="Q1374" i="1"/>
  <c r="BZ1374" i="1"/>
  <c r="Q2844" i="1"/>
  <c r="BZ2844" i="1"/>
  <c r="Q184" i="1"/>
  <c r="BZ184" i="1"/>
  <c r="Q1691" i="1"/>
  <c r="BZ1691" i="1"/>
  <c r="Q2221" i="1"/>
  <c r="BZ2221" i="1"/>
  <c r="Q1747" i="1"/>
  <c r="BZ1747" i="1"/>
  <c r="Q1216" i="1"/>
  <c r="BZ1216" i="1"/>
  <c r="Q1537" i="1"/>
  <c r="BZ1537" i="1"/>
  <c r="Q203" i="1"/>
  <c r="BZ203" i="1"/>
  <c r="Q1913" i="1"/>
  <c r="BZ1913" i="1"/>
  <c r="Q1897" i="1"/>
  <c r="BZ1897" i="1"/>
  <c r="Q2873" i="1"/>
  <c r="BZ2873" i="1"/>
  <c r="Q853" i="1"/>
  <c r="BZ853" i="1"/>
  <c r="Q905" i="1"/>
  <c r="BZ905" i="1"/>
  <c r="Q1123" i="1"/>
  <c r="BZ1123" i="1"/>
  <c r="Q455" i="1"/>
  <c r="BZ455" i="1"/>
  <c r="Q1811" i="1"/>
  <c r="BZ1811" i="1"/>
  <c r="Q384" i="1"/>
  <c r="BZ384" i="1"/>
  <c r="Q196" i="1"/>
  <c r="BZ196" i="1"/>
  <c r="Q1118" i="1"/>
  <c r="BZ1118" i="1"/>
  <c r="Q1992" i="1"/>
  <c r="BZ1992" i="1"/>
  <c r="Q1248" i="1"/>
  <c r="BZ1248" i="1"/>
  <c r="Q1577" i="1"/>
  <c r="BZ1577" i="1"/>
  <c r="Q1511" i="1"/>
  <c r="BZ1511" i="1"/>
  <c r="Q2898" i="1"/>
  <c r="BZ2898" i="1"/>
  <c r="Q1308" i="1"/>
  <c r="BZ1308" i="1"/>
  <c r="Q287" i="1"/>
  <c r="BZ287" i="1"/>
  <c r="Q736" i="1"/>
  <c r="BZ736" i="1"/>
  <c r="Q2902" i="1"/>
  <c r="BZ2902" i="1"/>
  <c r="Q1609" i="1"/>
  <c r="BZ1609" i="1"/>
  <c r="Q603" i="1"/>
  <c r="BZ603" i="1"/>
  <c r="Q495" i="1"/>
  <c r="BZ495" i="1"/>
  <c r="Q2908" i="1"/>
  <c r="BZ2908" i="1"/>
  <c r="Q536" i="1"/>
  <c r="BZ536" i="1"/>
  <c r="Q874" i="1"/>
  <c r="BZ874" i="1"/>
  <c r="Q405" i="1"/>
  <c r="BZ405" i="1"/>
  <c r="Q2010" i="1"/>
  <c r="BZ2010" i="1"/>
  <c r="Q1325" i="1"/>
  <c r="BZ1325" i="1"/>
  <c r="Q2921" i="1"/>
  <c r="BZ2921" i="1"/>
  <c r="Q2387" i="1"/>
  <c r="BZ2387" i="1"/>
  <c r="Q2147" i="1"/>
  <c r="BZ2147" i="1"/>
  <c r="BZ2237" i="1"/>
  <c r="Q1079" i="1"/>
  <c r="BZ1079" i="1"/>
  <c r="Q925" i="1"/>
  <c r="BZ925" i="1"/>
  <c r="Q1400" i="1"/>
  <c r="BZ1400" i="1"/>
  <c r="Q1628" i="1"/>
  <c r="BZ1628" i="1"/>
  <c r="Q162" i="1"/>
  <c r="BZ162" i="1"/>
  <c r="Q811" i="1"/>
  <c r="BZ811" i="1"/>
  <c r="Q2212" i="1"/>
  <c r="BZ2212" i="1"/>
  <c r="Q957" i="1"/>
  <c r="BZ957" i="1"/>
  <c r="Q2412" i="1"/>
  <c r="BZ2412" i="1"/>
  <c r="Q1458" i="1"/>
  <c r="BZ1458" i="1"/>
  <c r="Q1493" i="1"/>
  <c r="BZ1493" i="1"/>
  <c r="Q480" i="1"/>
  <c r="BZ480" i="1"/>
  <c r="Q395" i="1"/>
  <c r="BZ395" i="1"/>
  <c r="Q2329" i="1"/>
  <c r="BZ2329" i="1"/>
  <c r="Q930" i="1"/>
  <c r="BZ930" i="1"/>
  <c r="Q1836" i="1"/>
  <c r="BZ1836" i="1"/>
  <c r="Q1290" i="1"/>
  <c r="BZ1290" i="1"/>
  <c r="Q2959" i="1"/>
  <c r="BZ2959" i="1"/>
  <c r="Q1613" i="1"/>
  <c r="BZ1613" i="1"/>
  <c r="Q522" i="1"/>
  <c r="BZ522" i="1"/>
  <c r="Q950" i="1"/>
  <c r="BZ950" i="1"/>
  <c r="Q2969" i="1"/>
  <c r="BZ2969" i="1"/>
  <c r="Q1573" i="1"/>
  <c r="BZ1573" i="1"/>
  <c r="Q804" i="1"/>
  <c r="BZ804" i="1"/>
  <c r="Q553" i="1"/>
  <c r="BZ553" i="1"/>
  <c r="Q1070" i="1"/>
  <c r="BZ1070" i="1"/>
  <c r="Q2987" i="1"/>
  <c r="BZ2987" i="1"/>
  <c r="Q2951" i="1"/>
  <c r="BZ2951" i="1"/>
  <c r="Q2991" i="1"/>
  <c r="BZ2991" i="1"/>
  <c r="Q1378" i="1"/>
  <c r="BZ1378" i="1"/>
  <c r="Q402" i="1"/>
  <c r="BZ402" i="1"/>
  <c r="Q838" i="1"/>
  <c r="BZ838" i="1"/>
  <c r="Q14" i="1"/>
  <c r="BZ14" i="1"/>
  <c r="Q1198" i="1"/>
  <c r="BZ1198" i="1"/>
  <c r="Q3040" i="1"/>
  <c r="BZ3040" i="1"/>
  <c r="Q2249" i="1"/>
  <c r="BZ2249" i="1"/>
  <c r="Q475" i="1"/>
  <c r="BZ475" i="1"/>
  <c r="Q3084" i="1"/>
  <c r="BZ3084" i="1"/>
  <c r="Q715" i="1"/>
  <c r="BZ715" i="1"/>
  <c r="Q3095" i="1"/>
  <c r="BZ3095" i="1"/>
  <c r="Q3117" i="1"/>
  <c r="BZ3117" i="1"/>
  <c r="Q1190" i="1"/>
  <c r="BZ1190" i="1"/>
  <c r="Q168" i="1"/>
  <c r="BZ168" i="1"/>
  <c r="Q1349" i="1"/>
  <c r="BZ1349" i="1"/>
  <c r="Q1093" i="1"/>
  <c r="BZ1093" i="1"/>
  <c r="Q3175" i="1"/>
  <c r="BZ3175" i="1"/>
  <c r="Q3178" i="1"/>
  <c r="BZ3178" i="1"/>
  <c r="Q564" i="1"/>
  <c r="BZ564" i="1"/>
  <c r="Q1134" i="1"/>
  <c r="BZ1134" i="1"/>
  <c r="Q3182" i="1"/>
  <c r="BZ3182" i="1"/>
  <c r="Q3185" i="1"/>
  <c r="BZ3185" i="1"/>
  <c r="Q1632" i="1"/>
  <c r="BZ1632" i="1"/>
  <c r="Q3186" i="1"/>
  <c r="BZ3186" i="1"/>
  <c r="Q2435" i="1"/>
  <c r="BZ2435" i="1"/>
  <c r="Q3195" i="1"/>
  <c r="BZ3195" i="1"/>
  <c r="Q2317" i="1"/>
  <c r="BZ2317" i="1"/>
  <c r="Q1854" i="1"/>
  <c r="BZ1854" i="1"/>
  <c r="BU2062" i="1"/>
  <c r="BW2062" i="1" s="1"/>
  <c r="BU910" i="1"/>
  <c r="BW910" i="1" s="1"/>
  <c r="BU1682" i="1"/>
  <c r="BW1682" i="1" s="1"/>
  <c r="BU2547" i="1"/>
  <c r="BW2547" i="1" s="1"/>
  <c r="BU631" i="1"/>
  <c r="BW631" i="1" s="1"/>
  <c r="BU2934" i="1"/>
  <c r="BW2934" i="1" s="1"/>
  <c r="BU1636" i="1"/>
  <c r="BW1636" i="1" s="1"/>
  <c r="BU801" i="1"/>
  <c r="BW801" i="1" s="1"/>
  <c r="BU2803" i="1"/>
  <c r="BW2803" i="1" s="1"/>
  <c r="BU1896" i="1"/>
  <c r="BW1896" i="1" s="1"/>
  <c r="BU2781" i="1"/>
  <c r="BW2781" i="1" s="1"/>
  <c r="BU568" i="1"/>
  <c r="BW568" i="1" s="1"/>
  <c r="BU1143" i="1"/>
  <c r="BW1143" i="1" s="1"/>
  <c r="BR2793" i="1"/>
  <c r="CA2793" i="1" s="1"/>
  <c r="BR1505" i="1"/>
  <c r="CA1505" i="1" s="1"/>
  <c r="BR2576" i="1"/>
  <c r="CA2576" i="1" s="1"/>
  <c r="BR1090" i="1"/>
  <c r="CA1090" i="1" s="1"/>
  <c r="BU1035" i="1"/>
  <c r="BW1035" i="1" s="1"/>
  <c r="BU2867" i="1"/>
  <c r="BW2867" i="1" s="1"/>
  <c r="CA1217" i="1"/>
  <c r="BU2602" i="1"/>
  <c r="BW2602" i="1" s="1"/>
  <c r="BU2886" i="1"/>
  <c r="BW2886" i="1" s="1"/>
  <c r="BR3061" i="1"/>
  <c r="CA3061" i="1" s="1"/>
  <c r="BR912" i="1"/>
  <c r="CA912" i="1" s="1"/>
  <c r="BU1728" i="1"/>
  <c r="BW1728" i="1" s="1"/>
  <c r="BU2690" i="1"/>
  <c r="BW2690" i="1" s="1"/>
  <c r="BU1597" i="1"/>
  <c r="BW1597" i="1" s="1"/>
  <c r="BU2985" i="1"/>
  <c r="BW2985" i="1" s="1"/>
  <c r="BU1863" i="1"/>
  <c r="BW1863" i="1" s="1"/>
  <c r="BU2990" i="1"/>
  <c r="BW2990" i="1" s="1"/>
  <c r="BU2930" i="1"/>
  <c r="BW2930" i="1" s="1"/>
  <c r="BU2269" i="1"/>
  <c r="BW2269" i="1" s="1"/>
  <c r="BU332" i="1"/>
  <c r="BW332" i="1" s="1"/>
  <c r="BU3001" i="1"/>
  <c r="BW3001" i="1" s="1"/>
  <c r="BU1322" i="1"/>
  <c r="BW1322" i="1" s="1"/>
  <c r="BU2398" i="1"/>
  <c r="BW2398" i="1" s="1"/>
  <c r="BU1136" i="1"/>
  <c r="BW1136" i="1" s="1"/>
  <c r="BU3190" i="1"/>
  <c r="BW3190" i="1" s="1"/>
  <c r="BU2045" i="1"/>
  <c r="BW2045" i="1" s="1"/>
  <c r="BU2084" i="1"/>
  <c r="BW2084" i="1" s="1"/>
  <c r="BU2904" i="1"/>
  <c r="BW2904" i="1" s="1"/>
  <c r="BU1827" i="1"/>
  <c r="BW1827" i="1" s="1"/>
  <c r="BU739" i="1"/>
  <c r="BW739" i="1" s="1"/>
  <c r="BU2421" i="1"/>
  <c r="BW2421" i="1" s="1"/>
  <c r="BU2460" i="1"/>
  <c r="BW2460" i="1" s="1"/>
  <c r="BU2992" i="1"/>
  <c r="BW2992" i="1" s="1"/>
  <c r="BU951" i="1"/>
  <c r="BW951" i="1" s="1"/>
  <c r="BU1713" i="1"/>
  <c r="BW1713" i="1" s="1"/>
  <c r="BU407" i="1"/>
  <c r="BW407" i="1" s="1"/>
  <c r="BU1515" i="1"/>
  <c r="BW1515" i="1" s="1"/>
  <c r="BU2584" i="1"/>
  <c r="BW2584" i="1" s="1"/>
  <c r="BU740" i="1"/>
  <c r="BW740" i="1" s="1"/>
  <c r="BU1589" i="1"/>
  <c r="BW1589" i="1" s="1"/>
  <c r="BU1219" i="1"/>
  <c r="BW1219" i="1" s="1"/>
  <c r="BU1048" i="1"/>
  <c r="BW1048" i="1" s="1"/>
  <c r="BU2773" i="1"/>
  <c r="BW2773" i="1" s="1"/>
  <c r="BU687" i="1"/>
  <c r="BW687" i="1" s="1"/>
  <c r="BU2534" i="1"/>
  <c r="BW2534" i="1" s="1"/>
  <c r="BU2490" i="1"/>
  <c r="BW2490" i="1" s="1"/>
  <c r="BU1209" i="1"/>
  <c r="BW1209" i="1" s="1"/>
  <c r="BU1002" i="1"/>
  <c r="BW1002" i="1" s="1"/>
  <c r="BU2815" i="1"/>
  <c r="BW2815" i="1" s="1"/>
  <c r="BU2845" i="1"/>
  <c r="BW2845" i="1" s="1"/>
  <c r="BU521" i="1"/>
  <c r="BW521" i="1" s="1"/>
  <c r="BU2856" i="1"/>
  <c r="BW2856" i="1" s="1"/>
  <c r="BR2568" i="1"/>
  <c r="CA2568" i="1" s="1"/>
  <c r="BR1557" i="1"/>
  <c r="CA1557" i="1" s="1"/>
  <c r="BR720" i="1"/>
  <c r="CA720" i="1" s="1"/>
  <c r="BR943" i="1"/>
  <c r="CA943" i="1" s="1"/>
  <c r="BR954" i="1"/>
  <c r="CA954" i="1" s="1"/>
  <c r="BR1767" i="1"/>
  <c r="CA1767" i="1" s="1"/>
  <c r="BR518" i="1"/>
  <c r="CA518" i="1" s="1"/>
  <c r="BR1857" i="1"/>
  <c r="CA1857" i="1" s="1"/>
  <c r="BR2585" i="1"/>
  <c r="CA2585" i="1" s="1"/>
  <c r="BR1714" i="1"/>
  <c r="CA1714" i="1" s="1"/>
  <c r="BR843" i="1"/>
  <c r="CA843" i="1" s="1"/>
  <c r="BR1281" i="1"/>
  <c r="CA1281" i="1" s="1"/>
  <c r="BR2436" i="1"/>
  <c r="CA2436" i="1" s="1"/>
  <c r="BR1355" i="1"/>
  <c r="CA1355" i="1" s="1"/>
  <c r="BR601" i="1"/>
  <c r="CA601" i="1" s="1"/>
  <c r="BR778" i="1"/>
  <c r="CA778" i="1" s="1"/>
  <c r="BR126" i="1"/>
  <c r="CA126" i="1" s="1"/>
  <c r="BR2431" i="1"/>
  <c r="CA2431" i="1" s="1"/>
  <c r="BR1538" i="1"/>
  <c r="CA1538" i="1" s="1"/>
  <c r="BR2607" i="1"/>
  <c r="CA2607" i="1" s="1"/>
  <c r="BR2264" i="1"/>
  <c r="CA2264" i="1" s="1"/>
  <c r="BR1822" i="1"/>
  <c r="CA1822" i="1" s="1"/>
  <c r="BR1453" i="1"/>
  <c r="CA1453" i="1" s="1"/>
  <c r="BR2440" i="1"/>
  <c r="CA2440" i="1" s="1"/>
  <c r="BR322" i="1"/>
  <c r="CA322" i="1" s="1"/>
  <c r="BR1936" i="1"/>
  <c r="CA1936" i="1" s="1"/>
  <c r="BR899" i="1"/>
  <c r="CA899" i="1" s="1"/>
  <c r="BR2077" i="1"/>
  <c r="CA2077" i="1" s="1"/>
  <c r="BR2313" i="1"/>
  <c r="CA2313" i="1" s="1"/>
  <c r="BR1503" i="1"/>
  <c r="CA1503" i="1" s="1"/>
  <c r="BR2027" i="1"/>
  <c r="CA2027" i="1" s="1"/>
  <c r="BR169" i="1"/>
  <c r="CA169" i="1" s="1"/>
  <c r="BR1292" i="1"/>
  <c r="CA1292" i="1" s="1"/>
  <c r="BR2135" i="1"/>
  <c r="CA2135" i="1" s="1"/>
  <c r="BR2152" i="1"/>
  <c r="CA2152" i="1" s="1"/>
  <c r="BR2649" i="1"/>
  <c r="CA2649" i="1" s="1"/>
  <c r="BR904" i="1"/>
  <c r="CA904" i="1" s="1"/>
  <c r="BR1805" i="1"/>
  <c r="CA1805" i="1" s="1"/>
  <c r="BR2654" i="1"/>
  <c r="CA2654" i="1" s="1"/>
  <c r="BR347" i="1"/>
  <c r="CA347" i="1" s="1"/>
  <c r="BR2423" i="1"/>
  <c r="CA2423" i="1" s="1"/>
  <c r="BR2557" i="1"/>
  <c r="CA2557" i="1" s="1"/>
  <c r="BR671" i="1"/>
  <c r="CA671" i="1" s="1"/>
  <c r="BR635" i="1"/>
  <c r="CA635" i="1" s="1"/>
  <c r="BR2402" i="1"/>
  <c r="CA2402" i="1" s="1"/>
  <c r="BR1540" i="1"/>
  <c r="CA1540" i="1" s="1"/>
  <c r="BR2565" i="1"/>
  <c r="CA2565" i="1" s="1"/>
  <c r="BR163" i="1"/>
  <c r="CA163" i="1" s="1"/>
  <c r="BR1809" i="1"/>
  <c r="CA1809" i="1" s="1"/>
  <c r="BR2574" i="1"/>
  <c r="CA2574" i="1" s="1"/>
  <c r="BR1142" i="1"/>
  <c r="CA1142" i="1" s="1"/>
  <c r="BR2616" i="1"/>
  <c r="CA2616" i="1" s="1"/>
  <c r="BR2461" i="1"/>
  <c r="CA2461" i="1" s="1"/>
  <c r="BR1106" i="1"/>
  <c r="CA1106" i="1" s="1"/>
  <c r="BR328" i="1"/>
  <c r="CA328" i="1" s="1"/>
  <c r="BR803" i="1"/>
  <c r="CA803" i="1" s="1"/>
  <c r="BR1930" i="1"/>
  <c r="CA1930" i="1" s="1"/>
  <c r="BR2541" i="1"/>
  <c r="CA2541" i="1" s="1"/>
  <c r="BR20" i="1"/>
  <c r="CA20" i="1" s="1"/>
  <c r="BR1156" i="1"/>
  <c r="CA1156" i="1" s="1"/>
  <c r="BR1382" i="1"/>
  <c r="CA1382" i="1" s="1"/>
  <c r="BR383" i="1"/>
  <c r="CA383" i="1" s="1"/>
  <c r="BR2011" i="1"/>
  <c r="CA2011" i="1" s="1"/>
  <c r="BR1311" i="1"/>
  <c r="CA1311" i="1" s="1"/>
  <c r="BR554" i="1"/>
  <c r="CA554" i="1" s="1"/>
  <c r="BR1981" i="1"/>
  <c r="CA1981" i="1" s="1"/>
  <c r="BR400" i="1"/>
  <c r="CA400" i="1" s="1"/>
  <c r="BR1240" i="1"/>
  <c r="CA1240" i="1" s="1"/>
  <c r="BR2113" i="1"/>
  <c r="CA2113" i="1" s="1"/>
  <c r="BR2737" i="1"/>
  <c r="CA2737" i="1" s="1"/>
  <c r="BR2738" i="1"/>
  <c r="CA2738" i="1" s="1"/>
  <c r="BR2296" i="1"/>
  <c r="CA2296" i="1" s="1"/>
  <c r="BR1554" i="1"/>
  <c r="CA1554" i="1" s="1"/>
  <c r="BR2599" i="1"/>
  <c r="CA2599" i="1" s="1"/>
  <c r="BR2387" i="1"/>
  <c r="CA2387" i="1" s="1"/>
  <c r="BR2147" i="1"/>
  <c r="CA2147" i="1" s="1"/>
  <c r="BR1079" i="1"/>
  <c r="CA1079" i="1" s="1"/>
  <c r="BR925" i="1"/>
  <c r="CA925" i="1" s="1"/>
  <c r="BR1400" i="1"/>
  <c r="CA1400" i="1" s="1"/>
  <c r="BR444" i="1"/>
  <c r="CA444" i="1" s="1"/>
  <c r="BR2708" i="1"/>
  <c r="CA2708" i="1" s="1"/>
  <c r="BR1312" i="1"/>
  <c r="CA1312" i="1" s="1"/>
  <c r="BR1586" i="1"/>
  <c r="CA1586" i="1" s="1"/>
  <c r="BR2995" i="1"/>
  <c r="CA2995" i="1" s="1"/>
  <c r="BR3002" i="1"/>
  <c r="CA3002" i="1" s="1"/>
  <c r="BR3003" i="1"/>
  <c r="CA3003" i="1" s="1"/>
  <c r="BR293" i="1"/>
  <c r="CA293" i="1" s="1"/>
  <c r="BR946" i="1"/>
  <c r="CA946" i="1" s="1"/>
  <c r="BR2219" i="1"/>
  <c r="CA2219" i="1" s="1"/>
  <c r="BR2483" i="1"/>
  <c r="CA2483" i="1" s="1"/>
  <c r="BR2511" i="1"/>
  <c r="CA2511" i="1" s="1"/>
  <c r="BR1655" i="1"/>
  <c r="CA1655" i="1" s="1"/>
  <c r="BR2201" i="1"/>
  <c r="CA2201" i="1" s="1"/>
  <c r="BR1590" i="1"/>
  <c r="CA1590" i="1" s="1"/>
  <c r="BR1514" i="1"/>
  <c r="CA1514" i="1" s="1"/>
  <c r="BR3016" i="1"/>
  <c r="CA3016" i="1" s="1"/>
  <c r="BR1953" i="1"/>
  <c r="CA1953" i="1" s="1"/>
  <c r="BR2396" i="1"/>
  <c r="CA2396" i="1" s="1"/>
  <c r="BR3020" i="1"/>
  <c r="CA3020" i="1" s="1"/>
  <c r="BR1650" i="1"/>
  <c r="CA1650" i="1" s="1"/>
  <c r="BR1507" i="1"/>
  <c r="CA1507" i="1" s="1"/>
  <c r="BR2223" i="1"/>
  <c r="CA2223" i="1" s="1"/>
  <c r="BR3025" i="1"/>
  <c r="CA3025" i="1" s="1"/>
  <c r="BR1535" i="1"/>
  <c r="CA1535" i="1" s="1"/>
  <c r="BR3039" i="1"/>
  <c r="CA3039" i="1" s="1"/>
  <c r="BR1303" i="1"/>
  <c r="CA1303" i="1" s="1"/>
  <c r="BR1247" i="1"/>
  <c r="CA1247" i="1" s="1"/>
  <c r="BR3044" i="1"/>
  <c r="CA3044" i="1" s="1"/>
  <c r="BR158" i="1"/>
  <c r="CA158" i="1" s="1"/>
  <c r="BR2509" i="1"/>
  <c r="CA2509" i="1" s="1"/>
  <c r="BR1912" i="1"/>
  <c r="CA1912" i="1" s="1"/>
  <c r="BR1783" i="1"/>
  <c r="CA1783" i="1" s="1"/>
  <c r="BR728" i="1"/>
  <c r="CA728" i="1" s="1"/>
  <c r="BR1928" i="1"/>
  <c r="CA1928" i="1" s="1"/>
  <c r="BR1957" i="1"/>
  <c r="CA1957" i="1" s="1"/>
  <c r="BR1288" i="1"/>
  <c r="CA1288" i="1" s="1"/>
  <c r="BR805" i="1"/>
  <c r="CA805" i="1" s="1"/>
  <c r="BR1440" i="1"/>
  <c r="CA1440" i="1" s="1"/>
  <c r="BR1172" i="1"/>
  <c r="CA1172" i="1" s="1"/>
  <c r="BR2823" i="1"/>
  <c r="CA2823" i="1" s="1"/>
  <c r="BR1610" i="1"/>
  <c r="CA1610" i="1" s="1"/>
  <c r="BR2485" i="1"/>
  <c r="CA2485" i="1" s="1"/>
  <c r="BR1161" i="1"/>
  <c r="CA1161" i="1" s="1"/>
  <c r="BR3" i="1"/>
  <c r="CA3" i="1" s="1"/>
  <c r="BR611" i="1"/>
  <c r="CA611" i="1" s="1"/>
  <c r="BR921" i="1"/>
  <c r="CA921" i="1" s="1"/>
  <c r="BR2052" i="1"/>
  <c r="CA2052" i="1" s="1"/>
  <c r="BR2164" i="1"/>
  <c r="CA2164" i="1" s="1"/>
  <c r="BR768" i="1"/>
  <c r="CA768" i="1" s="1"/>
  <c r="BR1273" i="1"/>
  <c r="CA1273" i="1" s="1"/>
  <c r="BR2750" i="1"/>
  <c r="CA2750" i="1" s="1"/>
  <c r="BR136" i="1"/>
  <c r="CA136" i="1" s="1"/>
  <c r="BR2753" i="1"/>
  <c r="CA2753" i="1" s="1"/>
  <c r="BR716" i="1"/>
  <c r="CA716" i="1" s="1"/>
  <c r="BR1348" i="1"/>
  <c r="CA1348" i="1" s="1"/>
  <c r="BR1149" i="1"/>
  <c r="CA1149" i="1" s="1"/>
  <c r="BR295" i="1"/>
  <c r="CA295" i="1" s="1"/>
  <c r="BR342" i="1"/>
  <c r="CA342" i="1" s="1"/>
  <c r="BR1084" i="1"/>
  <c r="CA1084" i="1" s="1"/>
  <c r="BR2778" i="1"/>
  <c r="CA2778" i="1" s="1"/>
  <c r="BR2422" i="1"/>
  <c r="CA2422" i="1" s="1"/>
  <c r="BR2787" i="1"/>
  <c r="CA2787" i="1" s="1"/>
  <c r="BR2791" i="1"/>
  <c r="CA2791" i="1" s="1"/>
  <c r="BR1222" i="1"/>
  <c r="CA1222" i="1" s="1"/>
  <c r="BR461" i="1"/>
  <c r="CA461" i="1" s="1"/>
  <c r="BR2798" i="1"/>
  <c r="CA2798" i="1" s="1"/>
  <c r="BR1544" i="1"/>
  <c r="CA1544" i="1" s="1"/>
  <c r="BR2804" i="1"/>
  <c r="CA2804" i="1" s="1"/>
  <c r="BR1964" i="1"/>
  <c r="CA1964" i="1" s="1"/>
  <c r="BR1353" i="1"/>
  <c r="CA1353" i="1" s="1"/>
  <c r="BR2807" i="1"/>
  <c r="CA2807" i="1" s="1"/>
  <c r="BR1840" i="1"/>
  <c r="CA1840" i="1" s="1"/>
  <c r="BR2506" i="1"/>
  <c r="CA2506" i="1" s="1"/>
  <c r="BR142" i="1"/>
  <c r="CA142" i="1" s="1"/>
  <c r="BR457" i="1"/>
  <c r="CA457" i="1" s="1"/>
  <c r="BR2051" i="1"/>
  <c r="CA2051" i="1" s="1"/>
  <c r="BR703" i="1"/>
  <c r="CA703" i="1" s="1"/>
  <c r="BR759" i="1"/>
  <c r="CA759" i="1" s="1"/>
  <c r="BR1242" i="1"/>
  <c r="CA1242" i="1" s="1"/>
  <c r="BR545" i="1"/>
  <c r="CA545" i="1" s="1"/>
  <c r="BR2318" i="1"/>
  <c r="CA2318" i="1" s="1"/>
  <c r="BR359" i="1"/>
  <c r="CA359" i="1" s="1"/>
  <c r="BR2183" i="1"/>
  <c r="CA2183" i="1" s="1"/>
  <c r="BR1374" i="1"/>
  <c r="CA1374" i="1" s="1"/>
  <c r="BR2844" i="1"/>
  <c r="CA2844" i="1" s="1"/>
  <c r="BR184" i="1"/>
  <c r="CA184" i="1" s="1"/>
  <c r="BR1691" i="1"/>
  <c r="CA1691" i="1" s="1"/>
  <c r="BU710" i="1"/>
  <c r="BW710" i="1" s="1"/>
  <c r="BR2221" i="1"/>
  <c r="CA2221" i="1" s="1"/>
  <c r="BR1999" i="1"/>
  <c r="CA1999" i="1" s="1"/>
  <c r="BR2228" i="1"/>
  <c r="CA2228" i="1" s="1"/>
  <c r="BR1710" i="1"/>
  <c r="CA1710" i="1" s="1"/>
  <c r="BR1721" i="1"/>
  <c r="CA1721" i="1" s="1"/>
  <c r="BR2863" i="1"/>
  <c r="CA2863" i="1" s="1"/>
  <c r="BR2866" i="1"/>
  <c r="CA2866" i="1" s="1"/>
  <c r="BR371" i="1"/>
  <c r="CA371" i="1" s="1"/>
  <c r="BR1869" i="1"/>
  <c r="CA1869" i="1" s="1"/>
  <c r="BR2108" i="1"/>
  <c r="CA2108" i="1" s="1"/>
  <c r="BR735" i="1"/>
  <c r="CA735" i="1" s="1"/>
  <c r="BR1642" i="1"/>
  <c r="CA1642" i="1" s="1"/>
  <c r="BR1541" i="1"/>
  <c r="CA1541" i="1" s="1"/>
  <c r="BR988" i="1"/>
  <c r="CA988" i="1" s="1"/>
  <c r="BR2878" i="1"/>
  <c r="CA2878" i="1" s="1"/>
  <c r="BR2350" i="1"/>
  <c r="CA2350" i="1" s="1"/>
  <c r="BR1508" i="1"/>
  <c r="CA1508" i="1" s="1"/>
  <c r="BR2233" i="1"/>
  <c r="CA2233" i="1" s="1"/>
  <c r="BR1086" i="1"/>
  <c r="CA1086" i="1" s="1"/>
  <c r="BR2893" i="1"/>
  <c r="CA2893" i="1" s="1"/>
  <c r="BR2894" i="1"/>
  <c r="CA2894" i="1" s="1"/>
  <c r="BR7" i="1"/>
  <c r="CA7" i="1" s="1"/>
  <c r="BR352" i="1"/>
  <c r="CA352" i="1" s="1"/>
  <c r="BR2900" i="1"/>
  <c r="CA2900" i="1" s="1"/>
  <c r="BR767" i="1"/>
  <c r="CA767" i="1" s="1"/>
  <c r="BR2903" i="1"/>
  <c r="CA2903" i="1" s="1"/>
  <c r="BR734" i="1"/>
  <c r="CA734" i="1" s="1"/>
  <c r="BR477" i="1"/>
  <c r="CA477" i="1" s="1"/>
  <c r="BR626" i="1"/>
  <c r="CA626" i="1" s="1"/>
  <c r="BR1277" i="1"/>
  <c r="CA1277" i="1" s="1"/>
  <c r="BR2127" i="1"/>
  <c r="CA2127" i="1" s="1"/>
  <c r="BR675" i="1"/>
  <c r="CA675" i="1" s="1"/>
  <c r="BR336" i="1"/>
  <c r="CA336" i="1" s="1"/>
  <c r="BR2916" i="1"/>
  <c r="CA2916" i="1" s="1"/>
  <c r="BR1350" i="1"/>
  <c r="CA1350" i="1" s="1"/>
  <c r="BU737" i="1"/>
  <c r="BW737" i="1" s="1"/>
  <c r="BR2145" i="1"/>
  <c r="CA2145" i="1" s="1"/>
  <c r="BR2920" i="1"/>
  <c r="CA2920" i="1" s="1"/>
  <c r="BR948" i="1"/>
  <c r="CA948" i="1" s="1"/>
  <c r="BR2470" i="1"/>
  <c r="CA2470" i="1" s="1"/>
  <c r="BR1662" i="1"/>
  <c r="CA1662" i="1" s="1"/>
  <c r="BR2931" i="1"/>
  <c r="CA2931" i="1" s="1"/>
  <c r="BR2933" i="1"/>
  <c r="CA2933" i="1" s="1"/>
  <c r="BR408" i="1"/>
  <c r="CA408" i="1" s="1"/>
  <c r="BR2937" i="1"/>
  <c r="CA2937" i="1" s="1"/>
  <c r="BR2212" i="1"/>
  <c r="CA2212" i="1" s="1"/>
  <c r="BR957" i="1"/>
  <c r="CA957" i="1" s="1"/>
  <c r="BR1458" i="1"/>
  <c r="CA1458" i="1" s="1"/>
  <c r="BR1493" i="1"/>
  <c r="CA1493" i="1" s="1"/>
  <c r="BR2329" i="1"/>
  <c r="CA2329" i="1" s="1"/>
  <c r="BR930" i="1"/>
  <c r="CA930" i="1" s="1"/>
  <c r="BR1836" i="1"/>
  <c r="CA1836" i="1" s="1"/>
  <c r="BR1640" i="1"/>
  <c r="CA1640" i="1" s="1"/>
  <c r="BR1921" i="1"/>
  <c r="CA1921" i="1" s="1"/>
  <c r="BR2964" i="1"/>
  <c r="CA2964" i="1" s="1"/>
  <c r="BR2966" i="1"/>
  <c r="CA2966" i="1" s="1"/>
  <c r="BR2968" i="1"/>
  <c r="CA2968" i="1" s="1"/>
  <c r="BR490" i="1"/>
  <c r="CA490" i="1" s="1"/>
  <c r="BR2282" i="1"/>
  <c r="CA2282" i="1" s="1"/>
  <c r="BR2338" i="1"/>
  <c r="CA2338" i="1" s="1"/>
  <c r="BR2986" i="1"/>
  <c r="CA2986" i="1" s="1"/>
  <c r="BR1351" i="1"/>
  <c r="CA1351" i="1" s="1"/>
  <c r="BR870" i="1"/>
  <c r="CA870" i="1" s="1"/>
  <c r="BR176" i="1"/>
  <c r="CA176" i="1" s="1"/>
  <c r="BR1198" i="1"/>
  <c r="CA1198" i="1" s="1"/>
  <c r="BR3029" i="1"/>
  <c r="CA3029" i="1" s="1"/>
  <c r="BR3040" i="1"/>
  <c r="CA3040" i="1" s="1"/>
  <c r="BR1990" i="1"/>
  <c r="CA1990" i="1" s="1"/>
  <c r="BR296" i="1"/>
  <c r="CA296" i="1" s="1"/>
  <c r="BR3041" i="1"/>
  <c r="CA3041" i="1" s="1"/>
  <c r="BR1197" i="1"/>
  <c r="CA1197" i="1" s="1"/>
  <c r="BR3050" i="1"/>
  <c r="CA3050" i="1" s="1"/>
  <c r="BR394" i="1"/>
  <c r="CA394" i="1" s="1"/>
  <c r="BR1098" i="1"/>
  <c r="CA1098" i="1" s="1"/>
  <c r="BR1702" i="1"/>
  <c r="CA1702" i="1" s="1"/>
  <c r="BR1860" i="1"/>
  <c r="CA1860" i="1" s="1"/>
  <c r="BR2187" i="1"/>
  <c r="CA2187" i="1" s="1"/>
  <c r="BR3064" i="1"/>
  <c r="CA3064" i="1" s="1"/>
  <c r="BR3070" i="1"/>
  <c r="CA3070" i="1" s="1"/>
  <c r="BR1274" i="1"/>
  <c r="CA1274" i="1" s="1"/>
  <c r="BR1128" i="1"/>
  <c r="CA1128" i="1" s="1"/>
  <c r="BR1745" i="1"/>
  <c r="CA1745" i="1" s="1"/>
  <c r="BR1776" i="1"/>
  <c r="CA1776" i="1" s="1"/>
  <c r="BR3100" i="1"/>
  <c r="CA3100" i="1" s="1"/>
  <c r="BR2463" i="1"/>
  <c r="CA2463" i="1" s="1"/>
  <c r="BR875" i="1"/>
  <c r="CA875" i="1" s="1"/>
  <c r="BR1339" i="1"/>
  <c r="CA1339" i="1" s="1"/>
  <c r="BR3119" i="1"/>
  <c r="CA3119" i="1" s="1"/>
  <c r="BR3179" i="1"/>
  <c r="CA3179" i="1" s="1"/>
  <c r="BR1637" i="1"/>
  <c r="CA1637" i="1" s="1"/>
  <c r="BR1323" i="1"/>
  <c r="CA1323" i="1" s="1"/>
  <c r="BR1741" i="1"/>
  <c r="CA1741" i="1" s="1"/>
  <c r="BR3189" i="1"/>
  <c r="CA3189" i="1" s="1"/>
  <c r="BR3206" i="1"/>
  <c r="CA3206" i="1" s="1"/>
  <c r="BR658" i="1"/>
  <c r="CA658" i="1" s="1"/>
  <c r="BR616" i="1"/>
  <c r="CA616" i="1" s="1"/>
  <c r="BR1260" i="1"/>
  <c r="CA1260" i="1" s="1"/>
  <c r="BR149" i="1"/>
  <c r="CA149" i="1" s="1"/>
  <c r="BR1418" i="1"/>
  <c r="CA1418" i="1" s="1"/>
  <c r="BR903" i="1"/>
  <c r="CA903" i="1" s="1"/>
  <c r="BR1181" i="1"/>
  <c r="CA1181" i="1" s="1"/>
  <c r="BR1829" i="1"/>
  <c r="CA1829" i="1" s="1"/>
  <c r="BR1760" i="1"/>
  <c r="CA1760" i="1" s="1"/>
  <c r="BR3087" i="1"/>
  <c r="CA3087" i="1" s="1"/>
  <c r="BR290" i="1"/>
  <c r="CA290" i="1" s="1"/>
  <c r="BR764" i="1"/>
  <c r="CA764" i="1" s="1"/>
  <c r="BR898" i="1"/>
  <c r="CA898" i="1" s="1"/>
  <c r="BR2439" i="1"/>
  <c r="CA2439" i="1" s="1"/>
  <c r="BR520" i="1"/>
  <c r="CA520" i="1" s="1"/>
  <c r="BR2111" i="1"/>
  <c r="CA2111" i="1" s="1"/>
  <c r="BR2295" i="1"/>
  <c r="CA2295" i="1" s="1"/>
  <c r="BR1192" i="1"/>
  <c r="CA1192" i="1" s="1"/>
  <c r="BR3093" i="1"/>
  <c r="CA3093" i="1" s="1"/>
  <c r="BR3099" i="1"/>
  <c r="CA3099" i="1" s="1"/>
  <c r="BR552" i="1"/>
  <c r="CA552" i="1" s="1"/>
  <c r="BR822" i="1"/>
  <c r="CA822" i="1" s="1"/>
  <c r="BR1567" i="1"/>
  <c r="CA1567" i="1" s="1"/>
  <c r="BR3114" i="1"/>
  <c r="CA3114" i="1" s="1"/>
  <c r="BR1630" i="1"/>
  <c r="CA1630" i="1" s="1"/>
  <c r="BR1547" i="1"/>
  <c r="CA1547" i="1" s="1"/>
  <c r="BR891" i="1"/>
  <c r="CA891" i="1" s="1"/>
  <c r="BR680" i="1"/>
  <c r="CA680" i="1" s="1"/>
  <c r="BR769" i="1"/>
  <c r="CA769" i="1" s="1"/>
  <c r="BR1927" i="1"/>
  <c r="CA1927" i="1" s="1"/>
  <c r="BR3117" i="1"/>
  <c r="CA3117" i="1" s="1"/>
  <c r="BR1190" i="1"/>
  <c r="CA1190" i="1" s="1"/>
  <c r="BR698" i="1"/>
  <c r="CA698" i="1" s="1"/>
  <c r="BR3121" i="1"/>
  <c r="CA3121" i="1" s="1"/>
  <c r="BR363" i="1"/>
  <c r="CA363" i="1" s="1"/>
  <c r="BR3127" i="1"/>
  <c r="CA3127" i="1" s="1"/>
  <c r="BR3128" i="1"/>
  <c r="CA3128" i="1" s="1"/>
  <c r="BR1770" i="1"/>
  <c r="CA1770" i="1" s="1"/>
  <c r="BR3130" i="1"/>
  <c r="CA3130" i="1" s="1"/>
  <c r="BR2332" i="1"/>
  <c r="CA2332" i="1" s="1"/>
  <c r="BR3132" i="1"/>
  <c r="CA3132" i="1" s="1"/>
  <c r="BR2124" i="1"/>
  <c r="CA2124" i="1" s="1"/>
  <c r="BR2495" i="1"/>
  <c r="CA2495" i="1" s="1"/>
  <c r="BR1275" i="1"/>
  <c r="CA1275" i="1" s="1"/>
  <c r="BR205" i="1"/>
  <c r="CA205" i="1" s="1"/>
  <c r="BR3144" i="1"/>
  <c r="CA3144" i="1" s="1"/>
  <c r="BR1328" i="1"/>
  <c r="CA1328" i="1" s="1"/>
  <c r="BR641" i="1"/>
  <c r="CA641" i="1" s="1"/>
  <c r="BR3150" i="1"/>
  <c r="CA3150" i="1" s="1"/>
  <c r="BR1595" i="1"/>
  <c r="CA1595" i="1" s="1"/>
  <c r="BR829" i="1"/>
  <c r="CA829" i="1" s="1"/>
  <c r="BR1905" i="1"/>
  <c r="CA1905" i="1" s="1"/>
  <c r="BR1734" i="1"/>
  <c r="CA1734" i="1" s="1"/>
  <c r="BR857" i="1"/>
  <c r="CA857" i="1" s="1"/>
  <c r="BR1560" i="1"/>
  <c r="CA1560" i="1" s="1"/>
  <c r="BR3173" i="1"/>
  <c r="CA3173" i="1" s="1"/>
  <c r="BR397" i="1"/>
  <c r="CA397" i="1" s="1"/>
  <c r="BR3180" i="1"/>
  <c r="CA3180" i="1" s="1"/>
  <c r="BR3184" i="1"/>
  <c r="CA3184" i="1" s="1"/>
  <c r="BR496" i="1"/>
  <c r="CA496" i="1" s="1"/>
  <c r="BR1067" i="1"/>
  <c r="CA1067" i="1" s="1"/>
  <c r="BR1268" i="1"/>
  <c r="CA1268" i="1" s="1"/>
  <c r="BR436" i="1"/>
  <c r="CA436" i="1" s="1"/>
  <c r="BR2433" i="1"/>
  <c r="CA2433" i="1" s="1"/>
  <c r="BR1365" i="1"/>
  <c r="CA1365" i="1" s="1"/>
  <c r="BR3204" i="1"/>
  <c r="CA3204" i="1" s="1"/>
  <c r="BR335" i="1"/>
  <c r="CA335" i="1" s="1"/>
  <c r="BR2437" i="1"/>
  <c r="CA2437" i="1" s="1"/>
  <c r="BR2442" i="1"/>
  <c r="CA2442" i="1" s="1"/>
  <c r="BR1924" i="1"/>
  <c r="CA1924" i="1" s="1"/>
  <c r="BR502" i="1"/>
  <c r="CA502" i="1" s="1"/>
  <c r="BR497" i="1"/>
  <c r="CA497" i="1" s="1"/>
  <c r="BR2074" i="1"/>
  <c r="CA2074" i="1" s="1"/>
  <c r="BR595" i="1"/>
  <c r="CA595" i="1" s="1"/>
  <c r="BR1013" i="1"/>
  <c r="CA1013" i="1" s="1"/>
  <c r="BR2581" i="1"/>
  <c r="CA2581" i="1" s="1"/>
  <c r="BR1692" i="1"/>
  <c r="CA1692" i="1" s="1"/>
  <c r="BR508" i="1"/>
  <c r="CA508" i="1" s="1"/>
  <c r="BR2718" i="1"/>
  <c r="CA2718" i="1" s="1"/>
  <c r="BR826" i="1"/>
  <c r="CA826" i="1" s="1"/>
  <c r="BR1223" i="1"/>
  <c r="CA1223" i="1" s="1"/>
  <c r="BR2400" i="1"/>
  <c r="CA2400" i="1" s="1"/>
  <c r="BR1126" i="1"/>
  <c r="CA1126" i="1" s="1"/>
  <c r="BR2743" i="1"/>
  <c r="CA2743" i="1" s="1"/>
  <c r="BR334" i="1"/>
  <c r="CA334" i="1" s="1"/>
  <c r="BR1097" i="1"/>
  <c r="CA1097" i="1" s="1"/>
  <c r="BR468" i="1"/>
  <c r="CA468" i="1" s="1"/>
  <c r="BR634" i="1"/>
  <c r="CA634" i="1" s="1"/>
  <c r="BR380" i="1"/>
  <c r="CA380" i="1" s="1"/>
  <c r="BR2245" i="1"/>
  <c r="CA2245" i="1" s="1"/>
  <c r="BR1859" i="1"/>
  <c r="CA1859" i="1" s="1"/>
  <c r="BR1213" i="1"/>
  <c r="CA1213" i="1" s="1"/>
  <c r="BR1272" i="1"/>
  <c r="CA1272" i="1" s="1"/>
  <c r="BR577" i="1"/>
  <c r="CA577" i="1" s="1"/>
  <c r="BR2847" i="1"/>
  <c r="CA2847" i="1" s="1"/>
  <c r="BR2850" i="1"/>
  <c r="CA2850" i="1" s="1"/>
  <c r="BR624" i="1"/>
  <c r="CA624" i="1" s="1"/>
  <c r="BR362" i="1"/>
  <c r="CA362" i="1" s="1"/>
  <c r="BR2861" i="1"/>
  <c r="CA2861" i="1" s="1"/>
  <c r="BR2862" i="1"/>
  <c r="CA2862" i="1" s="1"/>
  <c r="BR2869" i="1"/>
  <c r="CA2869" i="1" s="1"/>
  <c r="BR1417" i="1"/>
  <c r="CA1417" i="1" s="1"/>
  <c r="BU1708" i="1"/>
  <c r="BW1708" i="1" s="1"/>
  <c r="BR1697" i="1"/>
  <c r="CA1697" i="1" s="1"/>
  <c r="BR2139" i="1"/>
  <c r="CA2139" i="1" s="1"/>
  <c r="BR967" i="1"/>
  <c r="CA967" i="1" s="1"/>
  <c r="BR2191" i="1"/>
  <c r="CA2191" i="1" s="1"/>
  <c r="BR1788" i="1"/>
  <c r="CA1788" i="1" s="1"/>
  <c r="BR324" i="1"/>
  <c r="CA324" i="1" s="1"/>
  <c r="BR2597" i="1"/>
  <c r="CA2597" i="1" s="1"/>
  <c r="BR1185" i="1"/>
  <c r="CA1185" i="1" s="1"/>
  <c r="BR2237" i="1"/>
  <c r="CA2237" i="1" s="1"/>
  <c r="BR2410" i="1"/>
  <c r="CA2410" i="1" s="1"/>
  <c r="BR2945" i="1"/>
  <c r="CA2945" i="1" s="1"/>
  <c r="BR669" i="1"/>
  <c r="CA669" i="1" s="1"/>
  <c r="BR2760" i="1"/>
  <c r="CA2760" i="1" s="1"/>
  <c r="BR2957" i="1"/>
  <c r="CA2957" i="1" s="1"/>
  <c r="BR2520" i="1"/>
  <c r="CA2520" i="1" s="1"/>
  <c r="BR2960" i="1"/>
  <c r="CA2960" i="1" s="1"/>
  <c r="BR2961" i="1"/>
  <c r="CA2961" i="1" s="1"/>
  <c r="BR1325" i="1"/>
  <c r="CA1325" i="1" s="1"/>
  <c r="BR2481" i="1"/>
  <c r="CA2481" i="1" s="1"/>
  <c r="BR2965" i="1"/>
  <c r="CA2965" i="1" s="1"/>
  <c r="BR1188" i="1"/>
  <c r="CA1188" i="1" s="1"/>
  <c r="BR609" i="1"/>
  <c r="CA609" i="1" s="1"/>
  <c r="BR1441" i="1"/>
  <c r="CA1441" i="1" s="1"/>
  <c r="BR809" i="1"/>
  <c r="CA809" i="1" s="1"/>
  <c r="BR1948" i="1"/>
  <c r="CA1948" i="1" s="1"/>
  <c r="BR2040" i="1"/>
  <c r="CA2040" i="1" s="1"/>
  <c r="BR2020" i="1"/>
  <c r="CA2020" i="1" s="1"/>
  <c r="BR2982" i="1"/>
  <c r="CA2982" i="1" s="1"/>
  <c r="BR1423" i="1"/>
  <c r="CA1423" i="1" s="1"/>
  <c r="BR3102" i="1"/>
  <c r="CA3102" i="1" s="1"/>
  <c r="BR3136" i="1"/>
  <c r="CA3136" i="1" s="1"/>
  <c r="BR3135" i="1"/>
  <c r="CA3135" i="1" s="1"/>
  <c r="BR1716" i="1"/>
  <c r="CA1716" i="1" s="1"/>
  <c r="BR524" i="1"/>
  <c r="CA524" i="1" s="1"/>
  <c r="BR3140" i="1"/>
  <c r="CA3140" i="1" s="1"/>
  <c r="BR1644" i="1"/>
  <c r="CA1644" i="1" s="1"/>
  <c r="BR3143" i="1"/>
  <c r="CA3143" i="1" s="1"/>
  <c r="BR3145" i="1"/>
  <c r="CA3145" i="1" s="1"/>
  <c r="BR146" i="1"/>
  <c r="CA146" i="1" s="1"/>
  <c r="BR1409" i="1"/>
  <c r="CA1409" i="1" s="1"/>
  <c r="BR1752" i="1"/>
  <c r="CA1752" i="1" s="1"/>
  <c r="BR966" i="1"/>
  <c r="CA966" i="1" s="1"/>
  <c r="BR3154" i="1"/>
  <c r="CA3154" i="1" s="1"/>
  <c r="BR3160" i="1"/>
  <c r="CA3160" i="1" s="1"/>
  <c r="BR880" i="1"/>
  <c r="CA880" i="1" s="1"/>
  <c r="BR3197" i="1"/>
  <c r="CA3197" i="1" s="1"/>
  <c r="BR3200" i="1"/>
  <c r="CA3200" i="1" s="1"/>
  <c r="BR2604" i="1"/>
  <c r="CA2604" i="1" s="1"/>
  <c r="BR319" i="1"/>
  <c r="CA319" i="1" s="1"/>
  <c r="BR2512" i="1"/>
  <c r="CA2512" i="1" s="1"/>
  <c r="BR761" i="1"/>
  <c r="CA761" i="1" s="1"/>
  <c r="BR133" i="1"/>
  <c r="CA133" i="1" s="1"/>
  <c r="BR2116" i="1"/>
  <c r="CA2116" i="1" s="1"/>
  <c r="BR2465" i="1"/>
  <c r="CA2465" i="1" s="1"/>
  <c r="BR1233" i="1"/>
  <c r="CA1233" i="1" s="1"/>
  <c r="BR2005" i="1"/>
  <c r="CA2005" i="1" s="1"/>
  <c r="BR1231" i="1"/>
  <c r="CA1231" i="1" s="1"/>
  <c r="BR1500" i="1"/>
  <c r="CA1500" i="1" s="1"/>
  <c r="BR2643" i="1"/>
  <c r="CA2643" i="1" s="1"/>
  <c r="BR540" i="1"/>
  <c r="CA540" i="1" s="1"/>
  <c r="BR730" i="1"/>
  <c r="CA730" i="1" s="1"/>
  <c r="BR1764" i="1"/>
  <c r="CA1764" i="1" s="1"/>
  <c r="BR911" i="1"/>
  <c r="CA911" i="1" s="1"/>
  <c r="BR1970" i="1"/>
  <c r="CA1970" i="1" s="1"/>
  <c r="BR2673" i="1"/>
  <c r="CA2673" i="1" s="1"/>
  <c r="BR840" i="1"/>
  <c r="CA840" i="1" s="1"/>
  <c r="BR2144" i="1"/>
  <c r="CA2144" i="1" s="1"/>
  <c r="BR1208" i="1"/>
  <c r="CA1208" i="1" s="1"/>
  <c r="BR2578" i="1"/>
  <c r="CA2578" i="1" s="1"/>
  <c r="BR883" i="1"/>
  <c r="CA883" i="1" s="1"/>
  <c r="BR1214" i="1"/>
  <c r="CA1214" i="1" s="1"/>
  <c r="BR797" i="1"/>
  <c r="CA797" i="1" s="1"/>
  <c r="BR1844" i="1"/>
  <c r="CA1844" i="1" s="1"/>
  <c r="BR993" i="1"/>
  <c r="CA993" i="1" s="1"/>
  <c r="BR2531" i="1"/>
  <c r="CA2531" i="1" s="1"/>
  <c r="BR2754" i="1"/>
  <c r="CA2754" i="1" s="1"/>
  <c r="BR2424" i="1"/>
  <c r="CA2424" i="1" s="1"/>
  <c r="BR460" i="1"/>
  <c r="CA460" i="1" s="1"/>
  <c r="BR1831" i="1"/>
  <c r="CA1831" i="1" s="1"/>
  <c r="BR961" i="1"/>
  <c r="CA961" i="1" s="1"/>
  <c r="BR2038" i="1"/>
  <c r="CA2038" i="1" s="1"/>
  <c r="BR2783" i="1"/>
  <c r="CA2783" i="1" s="1"/>
  <c r="BR2306" i="1"/>
  <c r="CA2306" i="1" s="1"/>
  <c r="BR2151" i="1"/>
  <c r="CA2151" i="1" s="1"/>
  <c r="BR443" i="1"/>
  <c r="CA443" i="1" s="1"/>
  <c r="BR1736" i="1"/>
  <c r="CA1736" i="1" s="1"/>
  <c r="BR1452" i="1"/>
  <c r="CA1452" i="1" s="1"/>
  <c r="BR853" i="1"/>
  <c r="CA853" i="1" s="1"/>
  <c r="BR905" i="1"/>
  <c r="CA905" i="1" s="1"/>
  <c r="BR1123" i="1"/>
  <c r="CA1123" i="1" s="1"/>
  <c r="BR455" i="1"/>
  <c r="CA455" i="1" s="1"/>
  <c r="BR384" i="1"/>
  <c r="CA384" i="1" s="1"/>
  <c r="BR196" i="1"/>
  <c r="CA196" i="1" s="1"/>
  <c r="BR2896" i="1"/>
  <c r="CA2896" i="1" s="1"/>
  <c r="BR696" i="1"/>
  <c r="CA696" i="1" s="1"/>
  <c r="BR1005" i="1"/>
  <c r="CA1005" i="1" s="1"/>
  <c r="BR188" i="1"/>
  <c r="CA188" i="1" s="1"/>
  <c r="BR1636" i="1"/>
  <c r="CA1636" i="1" s="1"/>
  <c r="BR1346" i="1"/>
  <c r="CA1346" i="1" s="1"/>
  <c r="BR648" i="1"/>
  <c r="CA648" i="1" s="1"/>
  <c r="BR2921" i="1"/>
  <c r="CA2921" i="1" s="1"/>
  <c r="BR2357" i="1"/>
  <c r="CA2357" i="1" s="1"/>
  <c r="BR976" i="1"/>
  <c r="CA976" i="1" s="1"/>
  <c r="BR425" i="1"/>
  <c r="CA425" i="1" s="1"/>
  <c r="BR2999" i="1"/>
  <c r="CA2999" i="1" s="1"/>
  <c r="BR878" i="1"/>
  <c r="CA878" i="1" s="1"/>
  <c r="BR3000" i="1"/>
  <c r="CA3000" i="1" s="1"/>
  <c r="BR3008" i="1"/>
  <c r="CA3008" i="1" s="1"/>
  <c r="BR3011" i="1"/>
  <c r="CA3011" i="1" s="1"/>
  <c r="BR1497" i="1"/>
  <c r="CA1497" i="1" s="1"/>
  <c r="BR733" i="1"/>
  <c r="CA733" i="1" s="1"/>
  <c r="BR1571" i="1"/>
  <c r="CA1571" i="1" s="1"/>
  <c r="BR900" i="1"/>
  <c r="CA900" i="1" s="1"/>
  <c r="BR113" i="1"/>
  <c r="CA113" i="1" s="1"/>
  <c r="BR14" i="1"/>
  <c r="CA14" i="1" s="1"/>
  <c r="BR2188" i="1"/>
  <c r="CA2188" i="1" s="1"/>
  <c r="BR2030" i="1"/>
  <c r="CA2030" i="1" s="1"/>
  <c r="BR2154" i="1"/>
  <c r="CA2154" i="1" s="1"/>
  <c r="BR165" i="1"/>
  <c r="CA165" i="1" s="1"/>
  <c r="BR506" i="1"/>
  <c r="CA506" i="1" s="1"/>
  <c r="BR1943" i="1"/>
  <c r="CA1943" i="1" s="1"/>
  <c r="BR1294" i="1"/>
  <c r="CA1294" i="1" s="1"/>
  <c r="BR1017" i="1"/>
  <c r="CA1017" i="1" s="1"/>
  <c r="BR3131" i="1"/>
  <c r="CA3131" i="1" s="1"/>
  <c r="BR1327" i="1"/>
  <c r="CA1327" i="1" s="1"/>
  <c r="BR814" i="1"/>
  <c r="CA814" i="1" s="1"/>
  <c r="BR3176" i="1"/>
  <c r="CA3176" i="1" s="1"/>
  <c r="BR1124" i="1"/>
  <c r="CA1124" i="1" s="1"/>
  <c r="BR1336" i="1"/>
  <c r="CA1336" i="1" s="1"/>
  <c r="BR449" i="1"/>
  <c r="CA449" i="1" s="1"/>
  <c r="BR2919" i="1"/>
  <c r="CA2919" i="1" s="1"/>
  <c r="BR596" i="1"/>
  <c r="CA596" i="1" s="1"/>
  <c r="BR956" i="1"/>
  <c r="CA956" i="1" s="1"/>
  <c r="BR2917" i="1"/>
  <c r="CA2917" i="1" s="1"/>
  <c r="BU2429" i="1"/>
  <c r="BW2429" i="1" s="1"/>
  <c r="BU2887" i="1"/>
  <c r="BW2887" i="1" s="1"/>
  <c r="BU1011" i="1"/>
  <c r="BW1011" i="1" s="1"/>
  <c r="BU1306" i="1"/>
  <c r="BW1306" i="1" s="1"/>
  <c r="BU2911" i="1"/>
  <c r="BW2911" i="1" s="1"/>
  <c r="BU2922" i="1"/>
  <c r="BW2922" i="1" s="1"/>
  <c r="BU2629" i="1"/>
  <c r="BW2629" i="1" s="1"/>
  <c r="BU1174" i="1"/>
  <c r="BW1174" i="1" s="1"/>
  <c r="BR2368" i="1"/>
  <c r="CA2368" i="1" s="1"/>
  <c r="BR3191" i="1"/>
  <c r="CA3191" i="1" s="1"/>
  <c r="BR325" i="1"/>
  <c r="CA325" i="1" s="1"/>
  <c r="BR2028" i="1"/>
  <c r="CA2028" i="1" s="1"/>
  <c r="BR1022" i="1"/>
  <c r="CA1022" i="1" s="1"/>
  <c r="BR2194" i="1"/>
  <c r="CA2194" i="1" s="1"/>
  <c r="BR2935" i="1"/>
  <c r="CA2935" i="1" s="1"/>
  <c r="BR2938" i="1"/>
  <c r="CA2938" i="1" s="1"/>
  <c r="BR2428" i="1"/>
  <c r="CA2428" i="1" s="1"/>
  <c r="BR2184" i="1"/>
  <c r="CA2184" i="1" s="1"/>
  <c r="BR2311" i="1"/>
  <c r="CA2311" i="1" s="1"/>
  <c r="BR1337" i="1"/>
  <c r="CA1337" i="1" s="1"/>
  <c r="BU2725" i="1"/>
  <c r="BW2725" i="1" s="1"/>
  <c r="BU2542" i="1"/>
  <c r="BW2542" i="1" s="1"/>
  <c r="BR1902" i="1"/>
  <c r="CA1902" i="1" s="1"/>
  <c r="BR2029" i="1"/>
  <c r="CA2029" i="1" s="1"/>
  <c r="BR3027" i="1"/>
  <c r="CA3027" i="1" s="1"/>
  <c r="BR3034" i="1"/>
  <c r="CA3034" i="1" s="1"/>
  <c r="BR3054" i="1"/>
  <c r="CA3054" i="1" s="1"/>
  <c r="BR1579" i="1"/>
  <c r="CA1579" i="1" s="1"/>
  <c r="BR3075" i="1"/>
  <c r="CA3075" i="1" s="1"/>
  <c r="BU1320" i="1"/>
  <c r="BW1320" i="1" s="1"/>
  <c r="BU2224" i="1"/>
  <c r="BW2224" i="1" s="1"/>
  <c r="BU1480" i="1"/>
  <c r="BW1480" i="1" s="1"/>
  <c r="BU1122" i="1"/>
  <c r="BW1122" i="1" s="1"/>
  <c r="BU448" i="1"/>
  <c r="BW448" i="1" s="1"/>
  <c r="BR3035" i="1"/>
  <c r="CA3035" i="1" s="1"/>
  <c r="BR1486" i="1"/>
  <c r="CA1486" i="1" s="1"/>
  <c r="BR1639" i="1"/>
  <c r="CA1639" i="1" s="1"/>
  <c r="BR2469" i="1"/>
  <c r="CA2469" i="1" s="1"/>
  <c r="BR1127" i="1"/>
  <c r="CA1127" i="1" s="1"/>
  <c r="BU1114" i="1"/>
  <c r="BW1114" i="1" s="1"/>
  <c r="BU2831" i="1"/>
  <c r="BW2831" i="1" s="1"/>
  <c r="BU2835" i="1"/>
  <c r="BW2835" i="1" s="1"/>
  <c r="BR491" i="1"/>
  <c r="CA491" i="1" s="1"/>
  <c r="BU2799" i="1"/>
  <c r="BW2799" i="1" s="1"/>
  <c r="BU1898" i="1"/>
  <c r="BW1898" i="1" s="1"/>
  <c r="BU2812" i="1"/>
  <c r="BW2812" i="1" s="1"/>
  <c r="BU2786" i="1"/>
  <c r="BW2786" i="1" s="1"/>
  <c r="BR2739" i="1"/>
  <c r="CA2739" i="1" s="1"/>
  <c r="BR2543" i="1"/>
  <c r="CA2543" i="1" s="1"/>
  <c r="BR2562" i="1"/>
  <c r="CA2562" i="1" s="1"/>
  <c r="BR1373" i="1"/>
  <c r="CA1373" i="1" s="1"/>
  <c r="BR1045" i="1"/>
  <c r="CA1045" i="1" s="1"/>
  <c r="BR1407" i="1"/>
  <c r="CA1407" i="1" s="1"/>
  <c r="BR2579" i="1"/>
  <c r="CA2579" i="1" s="1"/>
  <c r="BR1830" i="1"/>
  <c r="CA1830" i="1" s="1"/>
  <c r="BR796" i="1"/>
  <c r="CA796" i="1" s="1"/>
  <c r="BR308" i="1"/>
  <c r="CA308" i="1" s="1"/>
  <c r="BR1401" i="1"/>
  <c r="CA1401" i="1" s="1"/>
  <c r="BR2591" i="1"/>
  <c r="CA2591" i="1" s="1"/>
  <c r="BR1675" i="1"/>
  <c r="CA1675" i="1" s="1"/>
  <c r="BR2383" i="1"/>
  <c r="CA2383" i="1" s="1"/>
  <c r="BR2617" i="1"/>
  <c r="CA2617" i="1" s="1"/>
  <c r="BR284" i="1"/>
  <c r="CA284" i="1" s="1"/>
  <c r="BR2255" i="1"/>
  <c r="CA2255" i="1" s="1"/>
  <c r="BR2450" i="1"/>
  <c r="CA2450" i="1" s="1"/>
  <c r="BR2635" i="1"/>
  <c r="CA2635" i="1" s="1"/>
  <c r="BR435" i="1"/>
  <c r="CA435" i="1" s="1"/>
  <c r="BR1345" i="1"/>
  <c r="CA1345" i="1" s="1"/>
  <c r="BR1152" i="1"/>
  <c r="CA1152" i="1" s="1"/>
  <c r="BR612" i="1"/>
  <c r="CA612" i="1" s="1"/>
  <c r="BR2656" i="1"/>
  <c r="CA2656" i="1" s="1"/>
  <c r="BR1286" i="1"/>
  <c r="CA1286" i="1" s="1"/>
  <c r="BR1638" i="1"/>
  <c r="CA1638" i="1" s="1"/>
  <c r="BR1780" i="1"/>
  <c r="CA1780" i="1" s="1"/>
  <c r="BR1492" i="1"/>
  <c r="CA1492" i="1" s="1"/>
  <c r="BR2661" i="1"/>
  <c r="CA2661" i="1" s="1"/>
  <c r="BR1253" i="1"/>
  <c r="CA1253" i="1" s="1"/>
  <c r="BR1449" i="1"/>
  <c r="CA1449" i="1" s="1"/>
  <c r="BR2287" i="1"/>
  <c r="CA2287" i="1" s="1"/>
  <c r="BR679" i="1"/>
  <c r="CA679" i="1" s="1"/>
  <c r="BR2681" i="1"/>
  <c r="CA2681" i="1" s="1"/>
  <c r="BR2545" i="1"/>
  <c r="CA2545" i="1" s="1"/>
  <c r="BR2682" i="1"/>
  <c r="CA2682" i="1" s="1"/>
  <c r="BR2169" i="1"/>
  <c r="CA2169" i="1" s="1"/>
  <c r="BR758" i="1"/>
  <c r="CA758" i="1" s="1"/>
  <c r="BR541" i="1"/>
  <c r="CA541" i="1" s="1"/>
  <c r="BR2686" i="1"/>
  <c r="CA2686" i="1" s="1"/>
  <c r="BR2688" i="1"/>
  <c r="CA2688" i="1" s="1"/>
  <c r="BR2640" i="1"/>
  <c r="CA2640" i="1" s="1"/>
  <c r="BR2627" i="1"/>
  <c r="CA2627" i="1" s="1"/>
  <c r="BR678" i="1"/>
  <c r="CA678" i="1" s="1"/>
  <c r="BR2267" i="1"/>
  <c r="CA2267" i="1" s="1"/>
  <c r="BR2698" i="1"/>
  <c r="CA2698" i="1" s="1"/>
  <c r="BR1753" i="1"/>
  <c r="CA1753" i="1" s="1"/>
  <c r="BR2700" i="1"/>
  <c r="CA2700" i="1" s="1"/>
  <c r="BR2705" i="1"/>
  <c r="CA2705" i="1" s="1"/>
  <c r="BR1014" i="1"/>
  <c r="CA1014" i="1" s="1"/>
  <c r="BR706" i="1"/>
  <c r="CA706" i="1" s="1"/>
  <c r="BR143" i="1"/>
  <c r="CA143" i="1" s="1"/>
  <c r="BR2510" i="1"/>
  <c r="CA2510" i="1" s="1"/>
  <c r="BR1688" i="1"/>
  <c r="CA1688" i="1" s="1"/>
  <c r="BR818" i="1"/>
  <c r="CA818" i="1" s="1"/>
  <c r="BR1919" i="1"/>
  <c r="CA1919" i="1" s="1"/>
  <c r="BR1033" i="1"/>
  <c r="CA1033" i="1" s="1"/>
  <c r="BR1862" i="1"/>
  <c r="CA1862" i="1" s="1"/>
  <c r="BR2472" i="1"/>
  <c r="CA2472" i="1" s="1"/>
  <c r="BR2716" i="1"/>
  <c r="CA2716" i="1" s="1"/>
  <c r="BR330" i="1"/>
  <c r="CA330" i="1" s="1"/>
  <c r="BR1230" i="1"/>
  <c r="CA1230" i="1" s="1"/>
  <c r="BR2734" i="1"/>
  <c r="CA2734" i="1" s="1"/>
  <c r="BR140" i="1"/>
  <c r="CA140" i="1" s="1"/>
  <c r="BR2740" i="1"/>
  <c r="CA2740" i="1" s="1"/>
  <c r="BR2751" i="1"/>
  <c r="CA2751" i="1" s="1"/>
  <c r="BR1989" i="1"/>
  <c r="CA1989" i="1" s="1"/>
  <c r="BR676" i="1"/>
  <c r="CA676" i="1" s="1"/>
  <c r="BR2914" i="1"/>
  <c r="CA2914" i="1" s="1"/>
  <c r="BR984" i="1"/>
  <c r="CA984" i="1" s="1"/>
  <c r="BR2925" i="1"/>
  <c r="CA2925" i="1" s="1"/>
  <c r="BR482" i="1"/>
  <c r="CA482" i="1" s="1"/>
  <c r="BR2468" i="1"/>
  <c r="CA2468" i="1" s="1"/>
  <c r="BR1838" i="1"/>
  <c r="CA1838" i="1" s="1"/>
  <c r="BR1945" i="1"/>
  <c r="CA1945" i="1" s="1"/>
  <c r="BR786" i="1"/>
  <c r="CA786" i="1" s="1"/>
  <c r="BR1029" i="1"/>
  <c r="CA1029" i="1" s="1"/>
  <c r="BR1179" i="1"/>
  <c r="CA1179" i="1" s="1"/>
  <c r="BR2340" i="1"/>
  <c r="CA2340" i="1" s="1"/>
  <c r="BR1189" i="1"/>
  <c r="CA1189" i="1" s="1"/>
  <c r="BR1947" i="1"/>
  <c r="CA1947" i="1" s="1"/>
  <c r="BR1709" i="1"/>
  <c r="CA1709" i="1" s="1"/>
  <c r="BU1568" i="1"/>
  <c r="BW1568" i="1" s="1"/>
  <c r="BR1613" i="1"/>
  <c r="CA1613" i="1" s="1"/>
  <c r="BR522" i="1"/>
  <c r="CA522" i="1" s="1"/>
  <c r="BR1259" i="1"/>
  <c r="CA1259" i="1" s="1"/>
  <c r="BR2962" i="1"/>
  <c r="CA2962" i="1" s="1"/>
  <c r="BR2054" i="1"/>
  <c r="CA2054" i="1" s="1"/>
  <c r="BR2969" i="1"/>
  <c r="CA2969" i="1" s="1"/>
  <c r="BR2971" i="1"/>
  <c r="CA2971" i="1" s="1"/>
  <c r="BR640" i="1"/>
  <c r="CA640" i="1" s="1"/>
  <c r="BR2166" i="1"/>
  <c r="CA2166" i="1" s="1"/>
  <c r="BR1063" i="1"/>
  <c r="CA1063" i="1" s="1"/>
  <c r="BR794" i="1"/>
  <c r="CA794" i="1" s="1"/>
  <c r="BR2294" i="1"/>
  <c r="CA2294" i="1" s="1"/>
  <c r="BR1931" i="1"/>
  <c r="CA1931" i="1" s="1"/>
  <c r="BR2057" i="1"/>
  <c r="CA2057" i="1" s="1"/>
  <c r="BR2549" i="1"/>
  <c r="CA2549" i="1" s="1"/>
  <c r="BR2989" i="1"/>
  <c r="CA2989" i="1" s="1"/>
  <c r="BR1708" i="1"/>
  <c r="CA1708" i="1" s="1"/>
  <c r="BR2998" i="1"/>
  <c r="CA2998" i="1" s="1"/>
  <c r="BR2334" i="1"/>
  <c r="CA2334" i="1" s="1"/>
  <c r="BR798" i="1"/>
  <c r="CA798" i="1" s="1"/>
  <c r="BR995" i="1"/>
  <c r="CA995" i="1" s="1"/>
  <c r="BR3007" i="1"/>
  <c r="CA3007" i="1" s="1"/>
  <c r="BR1438" i="1"/>
  <c r="CA1438" i="1" s="1"/>
  <c r="BR2107" i="1"/>
  <c r="CA2107" i="1" s="1"/>
  <c r="BR1909" i="1"/>
  <c r="CA1909" i="1" s="1"/>
  <c r="BR2385" i="1"/>
  <c r="CA2385" i="1" s="1"/>
  <c r="BR774" i="1"/>
  <c r="CA774" i="1" s="1"/>
  <c r="BR890" i="1"/>
  <c r="CA890" i="1" s="1"/>
  <c r="BR2606" i="1"/>
  <c r="CA2606" i="1" s="1"/>
  <c r="BR1594" i="1"/>
  <c r="CA1594" i="1" s="1"/>
  <c r="BR2333" i="1"/>
  <c r="CA2333" i="1" s="1"/>
  <c r="BR458" i="1"/>
  <c r="CA458" i="1" s="1"/>
  <c r="BR539" i="1"/>
  <c r="CA539" i="1" s="1"/>
  <c r="BR2615" i="1"/>
  <c r="CA2615" i="1" s="1"/>
  <c r="BR2024" i="1"/>
  <c r="CA2024" i="1" s="1"/>
  <c r="BR2626" i="1"/>
  <c r="CA2626" i="1" s="1"/>
  <c r="BR2514" i="1"/>
  <c r="CA2514" i="1" s="1"/>
  <c r="BR2634" i="1"/>
  <c r="CA2634" i="1" s="1"/>
  <c r="BR2644" i="1"/>
  <c r="CA2644" i="1" s="1"/>
  <c r="BR929" i="1"/>
  <c r="CA929" i="1" s="1"/>
  <c r="BR1524" i="1"/>
  <c r="CA1524" i="1" s="1"/>
  <c r="BR1369" i="1"/>
  <c r="CA1369" i="1" s="1"/>
  <c r="BR1933" i="1"/>
  <c r="CA1933" i="1" s="1"/>
  <c r="BR1781" i="1"/>
  <c r="CA1781" i="1" s="1"/>
  <c r="BR2336" i="1"/>
  <c r="CA2336" i="1" s="1"/>
  <c r="BR164" i="1"/>
  <c r="CA164" i="1" s="1"/>
  <c r="BR1354" i="1"/>
  <c r="CA1354" i="1" s="1"/>
  <c r="BR2359" i="1"/>
  <c r="CA2359" i="1" s="1"/>
  <c r="BR1436" i="1"/>
  <c r="CA1436" i="1" s="1"/>
  <c r="BR2763" i="1"/>
  <c r="CA2763" i="1" s="1"/>
  <c r="BR326" i="1"/>
  <c r="CA326" i="1" s="1"/>
  <c r="BR1624" i="1"/>
  <c r="CA1624" i="1" s="1"/>
  <c r="BR782" i="1"/>
  <c r="CA782" i="1" s="1"/>
  <c r="BR1257" i="1"/>
  <c r="CA1257" i="1" s="1"/>
  <c r="BR1548" i="1"/>
  <c r="CA1548" i="1" s="1"/>
  <c r="BR2482" i="1"/>
  <c r="CA2482" i="1" s="1"/>
  <c r="BR2" i="1"/>
  <c r="CA2" i="1" s="1"/>
  <c r="BR2094" i="1"/>
  <c r="CA2094" i="1" s="1"/>
  <c r="BR867" i="1"/>
  <c r="CA867" i="1" s="1"/>
  <c r="BR1429" i="1"/>
  <c r="CA1429" i="1" s="1"/>
  <c r="BR711" i="1"/>
  <c r="CA711" i="1" s="1"/>
  <c r="BR2889" i="1"/>
  <c r="CA2889" i="1" s="1"/>
  <c r="BR1577" i="1"/>
  <c r="CA1577" i="1" s="1"/>
  <c r="BR2898" i="1"/>
  <c r="CA2898" i="1" s="1"/>
  <c r="BR2199" i="1"/>
  <c r="CA2199" i="1" s="1"/>
  <c r="BR719" i="1"/>
  <c r="CA719" i="1" s="1"/>
  <c r="BR13" i="1"/>
  <c r="CA13" i="1" s="1"/>
  <c r="BR731" i="1"/>
  <c r="CA731" i="1" s="1"/>
  <c r="BR2395" i="1"/>
  <c r="CA2395" i="1" s="1"/>
  <c r="BR2595" i="1"/>
  <c r="CA2595" i="1" s="1"/>
  <c r="BR939" i="1"/>
  <c r="CA939" i="1" s="1"/>
  <c r="BR918" i="1"/>
  <c r="CA918" i="1" s="1"/>
  <c r="BR2632" i="1"/>
  <c r="CA2632" i="1" s="1"/>
  <c r="BR1385" i="1"/>
  <c r="CA1385" i="1" s="1"/>
  <c r="BR1094" i="1"/>
  <c r="CA1094" i="1" s="1"/>
  <c r="BR817" i="1"/>
  <c r="CA817" i="1" s="1"/>
  <c r="BR2213" i="1"/>
  <c r="CA2213" i="1" s="1"/>
  <c r="BR1034" i="1"/>
  <c r="CA1034" i="1" s="1"/>
  <c r="BR2696" i="1"/>
  <c r="CA2696" i="1" s="1"/>
  <c r="BR2709" i="1"/>
  <c r="CA2709" i="1" s="1"/>
  <c r="BR1684" i="1"/>
  <c r="CA1684" i="1" s="1"/>
  <c r="BR1071" i="1"/>
  <c r="CA1071" i="1" s="1"/>
  <c r="BR1425" i="1"/>
  <c r="CA1425" i="1" s="1"/>
  <c r="BR2066" i="1"/>
  <c r="CA2066" i="1" s="1"/>
  <c r="BR2441" i="1"/>
  <c r="CA2441" i="1" s="1"/>
  <c r="BR1815" i="1"/>
  <c r="CA1815" i="1" s="1"/>
  <c r="BR2779" i="1"/>
  <c r="CA2779" i="1" s="1"/>
  <c r="BR937" i="1"/>
  <c r="CA937" i="1" s="1"/>
  <c r="BR1982" i="1"/>
  <c r="CA1982" i="1" s="1"/>
  <c r="BR2801" i="1"/>
  <c r="CA2801" i="1" s="1"/>
  <c r="BR1858" i="1"/>
  <c r="CA1858" i="1" s="1"/>
  <c r="BR447" i="1"/>
  <c r="CA447" i="1" s="1"/>
  <c r="BR1934" i="1"/>
  <c r="CA1934" i="1" s="1"/>
  <c r="BR2430" i="1"/>
  <c r="CA2430" i="1" s="1"/>
  <c r="BR2840" i="1"/>
  <c r="CA2840" i="1" s="1"/>
  <c r="BR1296" i="1"/>
  <c r="CA1296" i="1" s="1"/>
  <c r="BR1432" i="1"/>
  <c r="CA1432" i="1" s="1"/>
  <c r="BR437" i="1"/>
  <c r="CA437" i="1" s="1"/>
  <c r="BR985" i="1"/>
  <c r="CA985" i="1" s="1"/>
  <c r="BR1224" i="1"/>
  <c r="CA1224" i="1" s="1"/>
  <c r="BR2110" i="1"/>
  <c r="CA2110" i="1" s="1"/>
  <c r="BR1678" i="1"/>
  <c r="CA1678" i="1" s="1"/>
  <c r="BR756" i="1"/>
  <c r="CA756" i="1" s="1"/>
  <c r="BR105" i="1"/>
  <c r="CA105" i="1" s="1"/>
  <c r="BR353" i="1"/>
  <c r="CA353" i="1" s="1"/>
  <c r="BR2553" i="1"/>
  <c r="CA2553" i="1" s="1"/>
  <c r="BR2516" i="1"/>
  <c r="CA2516" i="1" s="1"/>
  <c r="BR1804" i="1"/>
  <c r="CA1804" i="1" s="1"/>
  <c r="BR2955" i="1"/>
  <c r="CA2955" i="1" s="1"/>
  <c r="BR2185" i="1"/>
  <c r="CA2185" i="1" s="1"/>
  <c r="BR1360" i="1"/>
  <c r="CA1360" i="1" s="1"/>
  <c r="BR2122" i="1"/>
  <c r="CA2122" i="1" s="1"/>
  <c r="BR1527" i="1"/>
  <c r="CA1527" i="1" s="1"/>
  <c r="BR1465" i="1"/>
  <c r="CA1465" i="1" s="1"/>
  <c r="BR2143" i="1"/>
  <c r="CA2143" i="1" s="1"/>
  <c r="BR3009" i="1"/>
  <c r="CA3009" i="1" s="1"/>
  <c r="BR385" i="1"/>
  <c r="CA385" i="1" s="1"/>
  <c r="BR565" i="1"/>
  <c r="CA565" i="1" s="1"/>
  <c r="BR1900" i="1"/>
  <c r="CA1900" i="1" s="1"/>
  <c r="BR1316" i="1"/>
  <c r="CA1316" i="1" s="1"/>
  <c r="BR1798" i="1"/>
  <c r="CA1798" i="1" s="1"/>
  <c r="BR3158" i="1"/>
  <c r="CA3158" i="1" s="1"/>
  <c r="BR1433" i="1"/>
  <c r="CA1433" i="1" s="1"/>
  <c r="BR1926" i="1"/>
  <c r="CA1926" i="1" s="1"/>
  <c r="BR576" i="1"/>
  <c r="CA576" i="1" s="1"/>
  <c r="BR3185" i="1"/>
  <c r="CA3185" i="1" s="1"/>
  <c r="BR1854" i="1"/>
  <c r="CA1854" i="1" s="1"/>
  <c r="BR3203" i="1"/>
  <c r="CA3203" i="1" s="1"/>
  <c r="BR2370" i="1"/>
  <c r="CA2370" i="1" s="1"/>
  <c r="BR2580" i="1"/>
  <c r="CA2580" i="1" s="1"/>
  <c r="BR1256" i="1"/>
  <c r="CA1256" i="1" s="1"/>
  <c r="BR2343" i="1"/>
  <c r="CA2343" i="1" s="1"/>
  <c r="BR1894" i="1"/>
  <c r="CA1894" i="1" s="1"/>
  <c r="BR2614" i="1"/>
  <c r="CA2614" i="1" s="1"/>
  <c r="BR1448" i="1"/>
  <c r="CA1448" i="1" s="1"/>
  <c r="BR2672" i="1"/>
  <c r="CA2672" i="1" s="1"/>
  <c r="BR2679" i="1"/>
  <c r="CA2679" i="1" s="1"/>
  <c r="BR2301" i="1"/>
  <c r="CA2301" i="1" s="1"/>
  <c r="BR1978" i="1"/>
  <c r="CA1978" i="1" s="1"/>
  <c r="BR206" i="1"/>
  <c r="CA206" i="1" s="1"/>
  <c r="BR2729" i="1"/>
  <c r="CA2729" i="1" s="1"/>
  <c r="BR1649" i="1"/>
  <c r="CA1649" i="1" s="1"/>
  <c r="BR2148" i="1"/>
  <c r="CA2148" i="1" s="1"/>
  <c r="BR2765" i="1"/>
  <c r="CA2765" i="1" s="1"/>
  <c r="BR2775" i="1"/>
  <c r="CA2775" i="1" s="1"/>
  <c r="BR1920" i="1"/>
  <c r="CA1920" i="1" s="1"/>
  <c r="BR2820" i="1"/>
  <c r="CA2820" i="1" s="1"/>
  <c r="BR127" i="1"/>
  <c r="CA127" i="1" s="1"/>
  <c r="BR2841" i="1"/>
  <c r="CA2841" i="1" s="1"/>
  <c r="BR2851" i="1"/>
  <c r="CA2851" i="1" s="1"/>
  <c r="BR1343" i="1"/>
  <c r="CA1343" i="1" s="1"/>
  <c r="BR2880" i="1"/>
  <c r="CA2880" i="1" s="1"/>
  <c r="BR1700" i="1"/>
  <c r="CA1700" i="1" s="1"/>
  <c r="BR1032" i="1"/>
  <c r="CA1032" i="1" s="1"/>
  <c r="BR1511" i="1"/>
  <c r="CA1511" i="1" s="1"/>
  <c r="BR463" i="1"/>
  <c r="CA463" i="1" s="1"/>
  <c r="BR1899" i="1"/>
  <c r="CA1899" i="1" s="1"/>
  <c r="BR2522" i="1"/>
  <c r="CA2522" i="1" s="1"/>
  <c r="BR186" i="1"/>
  <c r="CA186" i="1" s="1"/>
  <c r="BR2394" i="1"/>
  <c r="CA2394" i="1" s="1"/>
  <c r="BR417" i="1"/>
  <c r="CA417" i="1" s="1"/>
  <c r="BR1823" i="1"/>
  <c r="CA1823" i="1" s="1"/>
  <c r="BR2476" i="1"/>
  <c r="CA2476" i="1" s="1"/>
  <c r="BR291" i="1"/>
  <c r="CA291" i="1" s="1"/>
  <c r="BR2156" i="1"/>
  <c r="CA2156" i="1" s="1"/>
  <c r="BR1954" i="1"/>
  <c r="CA1954" i="1" s="1"/>
  <c r="BR2662" i="1"/>
  <c r="CA2662" i="1" s="1"/>
  <c r="BR1974" i="1"/>
  <c r="CA1974" i="1" s="1"/>
  <c r="BR683" i="1"/>
  <c r="CA683" i="1" s="1"/>
  <c r="BR725" i="1"/>
  <c r="CA725" i="1" s="1"/>
  <c r="BR913" i="1"/>
  <c r="CA913" i="1" s="1"/>
  <c r="BR2196" i="1"/>
  <c r="CA2196" i="1" s="1"/>
  <c r="BR1800" i="1"/>
  <c r="CA1800" i="1" s="1"/>
  <c r="BR2854" i="1"/>
  <c r="CA2854" i="1" s="1"/>
  <c r="BR2277" i="1"/>
  <c r="CA2277" i="1" s="1"/>
  <c r="BR2882" i="1"/>
  <c r="CA2882" i="1" s="1"/>
  <c r="BR2214" i="1"/>
  <c r="CA2214" i="1" s="1"/>
  <c r="BR1901" i="1"/>
  <c r="CA1901" i="1" s="1"/>
  <c r="BR2906" i="1"/>
  <c r="CA2906" i="1" s="1"/>
  <c r="BR603" i="1"/>
  <c r="CA603" i="1" s="1"/>
  <c r="BR2908" i="1"/>
  <c r="CA2908" i="1" s="1"/>
  <c r="BR2010" i="1"/>
  <c r="CA2010" i="1" s="1"/>
  <c r="BR2918" i="1"/>
  <c r="CA2918" i="1" s="1"/>
  <c r="CA2178" i="1"/>
  <c r="BR2536" i="1"/>
  <c r="CA2536" i="1" s="1"/>
  <c r="BR292" i="1"/>
  <c r="CA292" i="1" s="1"/>
  <c r="BR511" i="1"/>
  <c r="CA511" i="1" s="1"/>
  <c r="BR2944" i="1"/>
  <c r="CA2944" i="1" s="1"/>
  <c r="BF2793" i="1"/>
  <c r="CI2793" i="1" s="1"/>
  <c r="CJ2793" i="1" s="1"/>
  <c r="BR2972" i="1"/>
  <c r="CA2972" i="1" s="1"/>
  <c r="BR2984" i="1"/>
  <c r="CA2984" i="1" s="1"/>
  <c r="BR282" i="1"/>
  <c r="CA282" i="1" s="1"/>
  <c r="BR486" i="1"/>
  <c r="CA486" i="1" s="1"/>
  <c r="BR2142" i="1"/>
  <c r="CA2142" i="1" s="1"/>
  <c r="BR3077" i="1"/>
  <c r="CA3077" i="1" s="1"/>
  <c r="BR3083" i="1"/>
  <c r="CA3083" i="1" s="1"/>
  <c r="BR516" i="1"/>
  <c r="CA516" i="1" s="1"/>
  <c r="BR1707" i="1"/>
  <c r="CA1707" i="1" s="1"/>
  <c r="BR3124" i="1"/>
  <c r="CA3124" i="1" s="1"/>
  <c r="BR1845" i="1"/>
  <c r="CA1845" i="1" s="1"/>
  <c r="BR2381" i="1"/>
  <c r="CA2381" i="1" s="1"/>
  <c r="BR1093" i="1"/>
  <c r="CA1093" i="1" s="1"/>
  <c r="BR564" i="1"/>
  <c r="CA564" i="1" s="1"/>
  <c r="BR3195" i="1"/>
  <c r="CA3195" i="1" s="1"/>
  <c r="BR2555" i="1"/>
  <c r="CA2555" i="1" s="1"/>
  <c r="BR148" i="1"/>
  <c r="CA148" i="1" s="1"/>
  <c r="BR691" i="1"/>
  <c r="CA691" i="1" s="1"/>
  <c r="BR2637" i="1"/>
  <c r="CA2637" i="1" s="1"/>
  <c r="BR2031" i="1"/>
  <c r="CA2031" i="1" s="1"/>
  <c r="BR879" i="1"/>
  <c r="CA879" i="1" s="1"/>
  <c r="BR1635" i="1"/>
  <c r="CA1635" i="1" s="1"/>
  <c r="BR2447" i="1"/>
  <c r="CA2447" i="1" s="1"/>
  <c r="BR2665" i="1"/>
  <c r="CA2665" i="1" s="1"/>
  <c r="BR1518" i="1"/>
  <c r="CA1518" i="1" s="1"/>
  <c r="BR1489" i="1"/>
  <c r="CA1489" i="1" s="1"/>
  <c r="BR1062" i="1"/>
  <c r="CA1062" i="1" s="1"/>
  <c r="BR1404" i="1"/>
  <c r="CA1404" i="1" s="1"/>
  <c r="BR697" i="1"/>
  <c r="CA697" i="1" s="1"/>
  <c r="BR2588" i="1"/>
  <c r="CA2588" i="1" s="1"/>
  <c r="BR755" i="1"/>
  <c r="CA755" i="1" s="1"/>
  <c r="BR992" i="1"/>
  <c r="CA992" i="1" s="1"/>
  <c r="BR2069" i="1"/>
  <c r="CA2069" i="1" s="1"/>
  <c r="BR1889" i="1"/>
  <c r="CA1889" i="1" s="1"/>
  <c r="BR2464" i="1"/>
  <c r="CA2464" i="1" s="1"/>
  <c r="BR1364" i="1"/>
  <c r="CA1364" i="1" s="1"/>
  <c r="BR109" i="1"/>
  <c r="CA109" i="1" s="1"/>
  <c r="BR2703" i="1"/>
  <c r="CA2703" i="1" s="1"/>
  <c r="BR2712" i="1"/>
  <c r="CA2712" i="1" s="1"/>
  <c r="BR114" i="1"/>
  <c r="CA114" i="1" s="1"/>
  <c r="BR837" i="1"/>
  <c r="CA837" i="1" s="1"/>
  <c r="BR1468" i="1"/>
  <c r="CA1468" i="1" s="1"/>
  <c r="BR2160" i="1"/>
  <c r="CA2160" i="1" s="1"/>
  <c r="BR560" i="1"/>
  <c r="CA560" i="1" s="1"/>
  <c r="BR1545" i="1"/>
  <c r="CA1545" i="1" s="1"/>
  <c r="BR2399" i="1"/>
  <c r="CA2399" i="1" s="1"/>
  <c r="BR1255" i="1"/>
  <c r="CA1255" i="1" s="1"/>
  <c r="BR922" i="1"/>
  <c r="CA922" i="1" s="1"/>
  <c r="BR2785" i="1"/>
  <c r="CA2785" i="1" s="1"/>
  <c r="BR546" i="1"/>
  <c r="CA546" i="1" s="1"/>
  <c r="BR2811" i="1"/>
  <c r="CA2811" i="1" s="1"/>
  <c r="BR578" i="1"/>
  <c r="CA578" i="1" s="1"/>
  <c r="BR2265" i="1"/>
  <c r="CA2265" i="1" s="1"/>
  <c r="BR1121" i="1"/>
  <c r="CA1121" i="1" s="1"/>
  <c r="BR2044" i="1"/>
  <c r="CA2044" i="1" s="1"/>
  <c r="BR2871" i="1"/>
  <c r="CA2871" i="1" s="1"/>
  <c r="BR2702" i="1"/>
  <c r="CA2702" i="1" s="1"/>
  <c r="BR633" i="1"/>
  <c r="CA633" i="1" s="1"/>
  <c r="BR1308" i="1"/>
  <c r="CA1308" i="1" s="1"/>
  <c r="BR2902" i="1"/>
  <c r="CA2902" i="1" s="1"/>
  <c r="BR2563" i="1"/>
  <c r="CA2563" i="1" s="1"/>
  <c r="BR597" i="1"/>
  <c r="CA597" i="1" s="1"/>
  <c r="BR2571" i="1"/>
  <c r="CA2571" i="1" s="1"/>
  <c r="BR139" i="1"/>
  <c r="CA139" i="1" s="1"/>
  <c r="BR982" i="1"/>
  <c r="CA982" i="1" s="1"/>
  <c r="BR1987" i="1"/>
  <c r="CA1987" i="1" s="1"/>
  <c r="BR2278" i="1"/>
  <c r="CA2278" i="1" s="1"/>
  <c r="BR2638" i="1"/>
  <c r="CA2638" i="1" s="1"/>
  <c r="BR419" i="1"/>
  <c r="CA419" i="1" s="1"/>
  <c r="BR1249" i="1"/>
  <c r="CA1249" i="1" s="1"/>
  <c r="BR1415" i="1"/>
  <c r="CA1415" i="1" s="1"/>
  <c r="BR2159" i="1"/>
  <c r="CA2159" i="1" s="1"/>
  <c r="BR1154" i="1"/>
  <c r="CA1154" i="1" s="1"/>
  <c r="BR2669" i="1"/>
  <c r="CA2669" i="1" s="1"/>
  <c r="BR2683" i="1"/>
  <c r="CA2683" i="1" s="1"/>
  <c r="BR2021" i="1"/>
  <c r="CA2021" i="1" s="1"/>
  <c r="BR1221" i="1"/>
  <c r="CA1221" i="1" s="1"/>
  <c r="BR1680" i="1"/>
  <c r="CA1680" i="1" s="1"/>
  <c r="BR454" i="1"/>
  <c r="CA454" i="1" s="1"/>
  <c r="BR286" i="1"/>
  <c r="CA286" i="1" s="1"/>
  <c r="BR2741" i="1"/>
  <c r="CA2741" i="1" s="1"/>
  <c r="BR824" i="1"/>
  <c r="CA824" i="1" s="1"/>
  <c r="BR2747" i="1"/>
  <c r="CA2747" i="1" s="1"/>
  <c r="BR646" i="1"/>
  <c r="CA646" i="1" s="1"/>
  <c r="BR172" i="1"/>
  <c r="CA172" i="1" s="1"/>
  <c r="BR431" i="1"/>
  <c r="CA431" i="1" s="1"/>
  <c r="BR2790" i="1"/>
  <c r="CA2790" i="1" s="1"/>
  <c r="BR2569" i="1"/>
  <c r="CA2569" i="1" s="1"/>
  <c r="BR2803" i="1"/>
  <c r="CA2803" i="1" s="1"/>
  <c r="BR977" i="1"/>
  <c r="CA977" i="1" s="1"/>
  <c r="BR2808" i="1"/>
  <c r="CA2808" i="1" s="1"/>
  <c r="BR1967" i="1"/>
  <c r="CA1967" i="1" s="1"/>
  <c r="BR1789" i="1"/>
  <c r="CA1789" i="1" s="1"/>
  <c r="BR1031" i="1"/>
  <c r="CA1031" i="1" s="1"/>
  <c r="BR1881" i="1"/>
  <c r="CA1881" i="1" s="1"/>
  <c r="BR178" i="1"/>
  <c r="CA178" i="1" s="1"/>
  <c r="BR2839" i="1"/>
  <c r="CA2839" i="1" s="1"/>
  <c r="BR2853" i="1"/>
  <c r="CA2853" i="1" s="1"/>
  <c r="BR2076" i="1"/>
  <c r="CA2076" i="1" s="1"/>
  <c r="BR1853" i="1"/>
  <c r="CA1853" i="1" s="1"/>
  <c r="BR2875" i="1"/>
  <c r="CA2875" i="1" s="1"/>
  <c r="BR10" i="1"/>
  <c r="CA10" i="1" s="1"/>
  <c r="BR1394" i="1"/>
  <c r="CA1394" i="1" s="1"/>
  <c r="BR144" i="1"/>
  <c r="CA144" i="1" s="1"/>
  <c r="BR495" i="1"/>
  <c r="CA495" i="1" s="1"/>
  <c r="BR536" i="1"/>
  <c r="CA536" i="1" s="1"/>
  <c r="BR200" i="1"/>
  <c r="CA200" i="1" s="1"/>
  <c r="BR2345" i="1"/>
  <c r="CA2345" i="1" s="1"/>
  <c r="BR414" i="1"/>
  <c r="CA414" i="1" s="1"/>
  <c r="BR2505" i="1"/>
  <c r="CA2505" i="1" s="1"/>
  <c r="BR2952" i="1"/>
  <c r="CA2952" i="1" s="1"/>
  <c r="BR647" i="1"/>
  <c r="CA647" i="1" s="1"/>
  <c r="BR1437" i="1"/>
  <c r="CA1437" i="1" s="1"/>
  <c r="BR2289" i="1"/>
  <c r="CA2289" i="1" s="1"/>
  <c r="BR2446" i="1"/>
  <c r="CA2446" i="1" s="1"/>
  <c r="BR2100" i="1"/>
  <c r="CA2100" i="1" s="1"/>
  <c r="BR765" i="1"/>
  <c r="CA765" i="1" s="1"/>
  <c r="BR2633" i="1"/>
  <c r="CA2633" i="1" s="1"/>
  <c r="BR642" i="1"/>
  <c r="CA642" i="1" s="1"/>
  <c r="BR2650" i="1"/>
  <c r="CA2650" i="1" s="1"/>
  <c r="BR1446" i="1"/>
  <c r="CA1446" i="1" s="1"/>
  <c r="BR575" i="1"/>
  <c r="CA575" i="1" s="1"/>
  <c r="BR3038" i="1"/>
  <c r="CA3038" i="1" s="1"/>
  <c r="BR608" i="1"/>
  <c r="CA608" i="1" s="1"/>
  <c r="BR3079" i="1"/>
  <c r="CA3079" i="1" s="1"/>
  <c r="BR2496" i="1"/>
  <c r="CA2496" i="1" s="1"/>
  <c r="BR1855" i="1"/>
  <c r="CA1855" i="1" s="1"/>
  <c r="BR2546" i="1"/>
  <c r="CA2546" i="1" s="1"/>
  <c r="BR198" i="1"/>
  <c r="CA198" i="1" s="1"/>
  <c r="BR1402" i="1"/>
  <c r="CA1402" i="1" s="1"/>
  <c r="BR1520" i="1"/>
  <c r="CA1520" i="1" s="1"/>
  <c r="BR1549" i="1"/>
  <c r="CA1549" i="1" s="1"/>
  <c r="BR3178" i="1"/>
  <c r="CA3178" i="1" s="1"/>
  <c r="BR1134" i="1"/>
  <c r="CA1134" i="1" s="1"/>
  <c r="BR1632" i="1"/>
  <c r="CA1632" i="1" s="1"/>
  <c r="BR313" i="1"/>
  <c r="CA313" i="1" s="1"/>
  <c r="BR1729" i="1"/>
  <c r="CA1729" i="1" s="1"/>
  <c r="BR2570" i="1"/>
  <c r="CA2570" i="1" s="1"/>
  <c r="BR2590" i="1"/>
  <c r="CA2590" i="1" s="1"/>
  <c r="BR2609" i="1"/>
  <c r="CA2609" i="1" s="1"/>
  <c r="BR2610" i="1"/>
  <c r="CA2610" i="1" s="1"/>
  <c r="BR2200" i="1"/>
  <c r="CA2200" i="1" s="1"/>
  <c r="BR2211" i="1"/>
  <c r="CA2211" i="1" s="1"/>
  <c r="BR2299" i="1"/>
  <c r="CA2299" i="1" s="1"/>
  <c r="BR2664" i="1"/>
  <c r="CA2664" i="1" s="1"/>
  <c r="BR1749" i="1"/>
  <c r="CA1749" i="1" s="1"/>
  <c r="BR1462" i="1"/>
  <c r="CA1462" i="1" s="1"/>
  <c r="BK2576" i="1"/>
  <c r="BR108" i="1"/>
  <c r="CA108" i="1" s="1"/>
  <c r="BR378" i="1"/>
  <c r="CA378" i="1" s="1"/>
  <c r="BR682" i="1"/>
  <c r="CA682" i="1" s="1"/>
  <c r="BR1719" i="1"/>
  <c r="CA1719" i="1" s="1"/>
  <c r="BR1096" i="1"/>
  <c r="CA1096" i="1" s="1"/>
  <c r="BR2605" i="1"/>
  <c r="CA2605" i="1" s="1"/>
  <c r="BR1665" i="1"/>
  <c r="CA1665" i="1" s="1"/>
  <c r="BR2259" i="1"/>
  <c r="CA2259" i="1" s="1"/>
  <c r="BR338" i="1"/>
  <c r="CA338" i="1" s="1"/>
  <c r="BR1329" i="1"/>
  <c r="CA1329" i="1" s="1"/>
  <c r="BR1958" i="1"/>
  <c r="CA1958" i="1" s="1"/>
  <c r="BR1820" i="1"/>
  <c r="CA1820" i="1" s="1"/>
  <c r="BR356" i="1"/>
  <c r="CA356" i="1" s="1"/>
  <c r="BR2720" i="1"/>
  <c r="CA2720" i="1" s="1"/>
  <c r="BR1923" i="1"/>
  <c r="CA1923" i="1" s="1"/>
  <c r="BR1244" i="1"/>
  <c r="CA1244" i="1" s="1"/>
  <c r="BR1381" i="1"/>
  <c r="CA1381" i="1" s="1"/>
  <c r="BR2742" i="1"/>
  <c r="CA2742" i="1" s="1"/>
  <c r="BR2053" i="1"/>
  <c r="CA2053" i="1" s="1"/>
  <c r="BR2268" i="1"/>
  <c r="CA2268" i="1" s="1"/>
  <c r="BR802" i="1"/>
  <c r="CA802" i="1" s="1"/>
  <c r="BR594" i="1"/>
  <c r="CA594" i="1" s="1"/>
  <c r="BR1850" i="1"/>
  <c r="CA1850" i="1" s="1"/>
  <c r="BR1581" i="1"/>
  <c r="CA1581" i="1" s="1"/>
  <c r="BR175" i="1"/>
  <c r="CA175" i="1" s="1"/>
  <c r="BR599" i="1"/>
  <c r="CA599" i="1" s="1"/>
  <c r="BR287" i="1"/>
  <c r="CA287" i="1" s="1"/>
  <c r="BR736" i="1"/>
  <c r="CA736" i="1" s="1"/>
  <c r="BR695" i="1"/>
  <c r="CA695" i="1" s="1"/>
  <c r="BR1689" i="1"/>
  <c r="CA1689" i="1" s="1"/>
  <c r="BR2592" i="1"/>
  <c r="CA2592" i="1" s="1"/>
  <c r="BR1362" i="1"/>
  <c r="CA1362" i="1" s="1"/>
  <c r="BR1771" i="1"/>
  <c r="CA1771" i="1" s="1"/>
  <c r="BR2552" i="1"/>
  <c r="CA2552" i="1" s="1"/>
  <c r="BR2655" i="1"/>
  <c r="CA2655" i="1" s="1"/>
  <c r="BR2660" i="1"/>
  <c r="CA2660" i="1" s="1"/>
  <c r="BR337" i="1"/>
  <c r="CA337" i="1" s="1"/>
  <c r="BR151" i="1"/>
  <c r="CA151" i="1" s="1"/>
  <c r="BR2083" i="1"/>
  <c r="CA2083" i="1" s="1"/>
  <c r="BR134" i="1"/>
  <c r="CA134" i="1" s="1"/>
  <c r="BR1488" i="1"/>
  <c r="CA1488" i="1" s="1"/>
  <c r="BR2620" i="1"/>
  <c r="CA2620" i="1" s="1"/>
  <c r="BR442" i="1"/>
  <c r="CA442" i="1" s="1"/>
  <c r="BR2432" i="1"/>
  <c r="CA2432" i="1" s="1"/>
  <c r="BR573" i="1"/>
  <c r="CA573" i="1" s="1"/>
  <c r="BR582" i="1"/>
  <c r="CA582" i="1" s="1"/>
  <c r="BR1672" i="1"/>
  <c r="CA1672" i="1" s="1"/>
  <c r="BR908" i="1"/>
  <c r="CA908" i="1" s="1"/>
  <c r="BR1651" i="1"/>
  <c r="CA1651" i="1" s="1"/>
  <c r="BR1235" i="1"/>
  <c r="CA1235" i="1" s="1"/>
  <c r="BR884" i="1"/>
  <c r="CA884" i="1" s="1"/>
  <c r="BR2749" i="1"/>
  <c r="CA2749" i="1" s="1"/>
  <c r="BR2768" i="1"/>
  <c r="CA2768" i="1" s="1"/>
  <c r="BR1880" i="1"/>
  <c r="CA1880" i="1" s="1"/>
  <c r="BR523" i="1"/>
  <c r="CA523" i="1" s="1"/>
  <c r="BR2006" i="1"/>
  <c r="CA2006" i="1" s="1"/>
  <c r="BR659" i="1"/>
  <c r="CA659" i="1" s="1"/>
  <c r="BR2271" i="1"/>
  <c r="CA2271" i="1" s="1"/>
  <c r="BR1512" i="1"/>
  <c r="CA1512" i="1" s="1"/>
  <c r="BR2834" i="1"/>
  <c r="CA2834" i="1" s="1"/>
  <c r="BR2068" i="1"/>
  <c r="CA2068" i="1" s="1"/>
  <c r="BR180" i="1"/>
  <c r="CA180" i="1" s="1"/>
  <c r="BR1016" i="1"/>
  <c r="CA1016" i="1" s="1"/>
  <c r="BR2386" i="1"/>
  <c r="CA2386" i="1" s="1"/>
  <c r="BR1744" i="1"/>
  <c r="CA1744" i="1" s="1"/>
  <c r="BR1609" i="1"/>
  <c r="CA1609" i="1" s="1"/>
  <c r="BR405" i="1"/>
  <c r="CA405" i="1" s="1"/>
  <c r="BR1195" i="1"/>
  <c r="CA1195" i="1" s="1"/>
  <c r="BR2538" i="1"/>
  <c r="CA2538" i="1" s="1"/>
  <c r="BR1030" i="1"/>
  <c r="CA1030" i="1" s="1"/>
  <c r="BR2102" i="1"/>
  <c r="CA2102" i="1" s="1"/>
  <c r="BR2527" i="1"/>
  <c r="CA2527" i="1" s="1"/>
  <c r="BR2694" i="1"/>
  <c r="CA2694" i="1" s="1"/>
  <c r="BR994" i="1"/>
  <c r="CA994" i="1" s="1"/>
  <c r="BR1444" i="1"/>
  <c r="CA1444" i="1" s="1"/>
  <c r="BR3059" i="1"/>
  <c r="CA3059" i="1" s="1"/>
  <c r="BR959" i="1"/>
  <c r="CA959" i="1" s="1"/>
  <c r="BR625" i="1"/>
  <c r="CA625" i="1" s="1"/>
  <c r="BR1892" i="1"/>
  <c r="CA1892" i="1" s="1"/>
  <c r="BR306" i="1"/>
  <c r="CA306" i="1" s="1"/>
  <c r="BR892" i="1"/>
  <c r="CA892" i="1" s="1"/>
  <c r="BR1886" i="1"/>
  <c r="CA1886" i="1" s="1"/>
  <c r="BR1663" i="1"/>
  <c r="CA1663" i="1" s="1"/>
  <c r="BR2241" i="1"/>
  <c r="CA2241" i="1" s="1"/>
  <c r="BR415" i="1"/>
  <c r="CA415" i="1" s="1"/>
  <c r="BR1169" i="1"/>
  <c r="CA1169" i="1" s="1"/>
  <c r="BR1349" i="1"/>
  <c r="CA1349" i="1" s="1"/>
  <c r="BR3175" i="1"/>
  <c r="CA3175" i="1" s="1"/>
  <c r="BR3182" i="1"/>
  <c r="CA3182" i="1" s="1"/>
  <c r="BR3186" i="1"/>
  <c r="CA3186" i="1" s="1"/>
  <c r="BR2140" i="1"/>
  <c r="CA2140" i="1" s="1"/>
  <c r="BR2611" i="1"/>
  <c r="CA2611" i="1" s="1"/>
  <c r="BR2619" i="1"/>
  <c r="CA2619" i="1" s="1"/>
  <c r="BR2049" i="1"/>
  <c r="CA2049" i="1" s="1"/>
  <c r="BR566" i="1"/>
  <c r="CA566" i="1" s="1"/>
  <c r="BR2092" i="1"/>
  <c r="CA2092" i="1" s="1"/>
  <c r="BR2157" i="1"/>
  <c r="CA2157" i="1" s="1"/>
  <c r="BR2674" i="1"/>
  <c r="CA2674" i="1" s="1"/>
  <c r="BR1526" i="1"/>
  <c r="CA1526" i="1" s="1"/>
  <c r="BR2380" i="1"/>
  <c r="CA2380" i="1" s="1"/>
  <c r="BR2687" i="1"/>
  <c r="CA2687" i="1" s="1"/>
  <c r="BR1386" i="1"/>
  <c r="CA1386" i="1" s="1"/>
  <c r="BR998" i="1"/>
  <c r="CA998" i="1" s="1"/>
  <c r="BR1051" i="1"/>
  <c r="CA1051" i="1" s="1"/>
  <c r="BR3028" i="1"/>
  <c r="CA3028" i="1" s="1"/>
  <c r="BR1870" i="1"/>
  <c r="CA1870" i="1" s="1"/>
  <c r="BR1108" i="1"/>
  <c r="CA1108" i="1" s="1"/>
  <c r="BR1159" i="1"/>
  <c r="CA1159" i="1" s="1"/>
  <c r="BR1109" i="1"/>
  <c r="CA1109" i="1" s="1"/>
  <c r="BR643" i="1"/>
  <c r="CA643" i="1" s="1"/>
  <c r="BR3053" i="1"/>
  <c r="CA3053" i="1" s="1"/>
  <c r="BR396" i="1"/>
  <c r="CA396" i="1" s="1"/>
  <c r="BR3056" i="1"/>
  <c r="CA3056" i="1" s="1"/>
  <c r="BR3060" i="1"/>
  <c r="CA3060" i="1" s="1"/>
  <c r="BR906" i="1"/>
  <c r="CA906" i="1" s="1"/>
  <c r="BR1416" i="1"/>
  <c r="CA1416" i="1" s="1"/>
  <c r="BR3063" i="1"/>
  <c r="CA3063" i="1" s="1"/>
  <c r="BR3067" i="1"/>
  <c r="CA3067" i="1" s="1"/>
  <c r="BR339" i="1"/>
  <c r="CA339" i="1" s="1"/>
  <c r="BR2324" i="1"/>
  <c r="CA2324" i="1" s="1"/>
  <c r="BR3080" i="1"/>
  <c r="CA3080" i="1" s="1"/>
  <c r="BR639" i="1"/>
  <c r="CA639" i="1" s="1"/>
  <c r="BR1318" i="1"/>
  <c r="CA1318" i="1" s="1"/>
  <c r="BR2158" i="1"/>
  <c r="CA2158" i="1" s="1"/>
  <c r="BR1761" i="1"/>
  <c r="CA1761" i="1" s="1"/>
  <c r="BR1935" i="1"/>
  <c r="CA1935" i="1" s="1"/>
  <c r="BR2407" i="1"/>
  <c r="CA2407" i="1" s="1"/>
  <c r="BR902" i="1"/>
  <c r="CA902" i="1" s="1"/>
  <c r="BR1725" i="1"/>
  <c r="CA1725" i="1" s="1"/>
  <c r="BR1177" i="1"/>
  <c r="CA1177" i="1" s="1"/>
  <c r="BR3108" i="1"/>
  <c r="CA3108" i="1" s="1"/>
  <c r="BR3107" i="1"/>
  <c r="CA3107" i="1" s="1"/>
  <c r="BR1078" i="1"/>
  <c r="CA1078" i="1" s="1"/>
  <c r="BR2276" i="1"/>
  <c r="CA2276" i="1" s="1"/>
  <c r="BR1828" i="1"/>
  <c r="CA1828" i="1" s="1"/>
  <c r="BR2136" i="1"/>
  <c r="CA2136" i="1" s="1"/>
  <c r="BR3126" i="1"/>
  <c r="CA3126" i="1" s="1"/>
  <c r="BR2947" i="1"/>
  <c r="CA2947" i="1" s="1"/>
  <c r="BR388" i="1"/>
  <c r="CA388" i="1" s="1"/>
  <c r="BR2137" i="1"/>
  <c r="CA2137" i="1" s="1"/>
  <c r="BR1563" i="1"/>
  <c r="CA1563" i="1" s="1"/>
  <c r="BR349" i="1"/>
  <c r="CA349" i="1" s="1"/>
  <c r="BR2256" i="1"/>
  <c r="CA2256" i="1" s="1"/>
  <c r="BR3146" i="1"/>
  <c r="CA3146" i="1" s="1"/>
  <c r="BR1270" i="1"/>
  <c r="CA1270" i="1" s="1"/>
  <c r="BR3147" i="1"/>
  <c r="CA3147" i="1" s="1"/>
  <c r="BR1762" i="1"/>
  <c r="CA1762" i="1" s="1"/>
  <c r="BR1914" i="1"/>
  <c r="CA1914" i="1" s="1"/>
  <c r="BR3157" i="1"/>
  <c r="CA3157" i="1" s="1"/>
  <c r="BR423" i="1"/>
  <c r="CA423" i="1" s="1"/>
  <c r="BR2015" i="1"/>
  <c r="CA2015" i="1" s="1"/>
  <c r="BR1211" i="1"/>
  <c r="CA1211" i="1" s="1"/>
  <c r="BR1611" i="1"/>
  <c r="CA1611" i="1" s="1"/>
  <c r="BR1049" i="1"/>
  <c r="CA1049" i="1" s="1"/>
  <c r="BR1267" i="1"/>
  <c r="CA1267" i="1" s="1"/>
  <c r="BR1879" i="1"/>
  <c r="CA1879" i="1" s="1"/>
  <c r="BR1730" i="1"/>
  <c r="CA1730" i="1" s="1"/>
  <c r="BR2304" i="1"/>
  <c r="CA2304" i="1" s="1"/>
  <c r="BR1391" i="1"/>
  <c r="CA1391" i="1" s="1"/>
  <c r="BR3172" i="1"/>
  <c r="CA3172" i="1" s="1"/>
  <c r="BR2288" i="1"/>
  <c r="CA2288" i="1" s="1"/>
  <c r="BR1766" i="1"/>
  <c r="CA1766" i="1" s="1"/>
  <c r="BR2501" i="1"/>
  <c r="CA2501" i="1" s="1"/>
  <c r="BR1426" i="1"/>
  <c r="CA1426" i="1" s="1"/>
  <c r="BR3192" i="1"/>
  <c r="CA3192" i="1" s="1"/>
  <c r="BR3202" i="1"/>
  <c r="CA3202" i="1" s="1"/>
  <c r="BR1463" i="1"/>
  <c r="CA1463" i="1" s="1"/>
  <c r="BR2489" i="1"/>
  <c r="CA2489" i="1" s="1"/>
  <c r="BR1786" i="1"/>
  <c r="CA1786" i="1" s="1"/>
  <c r="BR110" i="1"/>
  <c r="CA110" i="1" s="1"/>
  <c r="BR1027" i="1"/>
  <c r="CA1027" i="1" s="1"/>
  <c r="BR1356" i="1"/>
  <c r="CA1356" i="1" s="1"/>
  <c r="BR365" i="1"/>
  <c r="CA365" i="1" s="1"/>
  <c r="BR1073" i="1"/>
  <c r="CA1073" i="1" s="1"/>
  <c r="BR1065" i="1"/>
  <c r="CA1065" i="1" s="1"/>
  <c r="BR2280" i="1"/>
  <c r="CA2280" i="1" s="1"/>
  <c r="BR201" i="1"/>
  <c r="CA201" i="1" s="1"/>
  <c r="BR1160" i="1"/>
  <c r="CA1160" i="1" s="1"/>
  <c r="BR2784" i="1"/>
  <c r="CA2784" i="1" s="1"/>
  <c r="BR2794" i="1"/>
  <c r="CA2794" i="1" s="1"/>
  <c r="BR949" i="1"/>
  <c r="CA949" i="1" s="1"/>
  <c r="BR141" i="1"/>
  <c r="CA141" i="1" s="1"/>
  <c r="BR2817" i="1"/>
  <c r="CA2817" i="1" s="1"/>
  <c r="BR919" i="1"/>
  <c r="CA919" i="1" s="1"/>
  <c r="BR1818" i="1"/>
  <c r="CA1818" i="1" s="1"/>
  <c r="BR593" i="1"/>
  <c r="CA593" i="1" s="1"/>
  <c r="BR772" i="1"/>
  <c r="CA772" i="1" s="1"/>
  <c r="BR1994" i="1"/>
  <c r="CA1994" i="1" s="1"/>
  <c r="BR2475" i="1"/>
  <c r="CA2475" i="1" s="1"/>
  <c r="BR2307" i="1"/>
  <c r="CA2307" i="1" s="1"/>
  <c r="BR1163" i="1"/>
  <c r="CA1163" i="1" s="1"/>
  <c r="BR2888" i="1"/>
  <c r="CA2888" i="1" s="1"/>
  <c r="BR2891" i="1"/>
  <c r="CA2891" i="1" s="1"/>
  <c r="BR1422" i="1"/>
  <c r="CA1422" i="1" s="1"/>
  <c r="BR2272" i="1"/>
  <c r="CA2272" i="1" s="1"/>
  <c r="BR2598" i="1"/>
  <c r="CA2598" i="1" s="1"/>
  <c r="BR484" i="1"/>
  <c r="CA484" i="1" s="1"/>
  <c r="BR1796" i="1"/>
  <c r="CA1796" i="1" s="1"/>
  <c r="BR1969" i="1"/>
  <c r="CA1969" i="1" s="1"/>
  <c r="BR145" i="1"/>
  <c r="CA145" i="1" s="1"/>
  <c r="BR2950" i="1"/>
  <c r="CA2950" i="1" s="1"/>
  <c r="BR2141" i="1"/>
  <c r="CA2141" i="1" s="1"/>
  <c r="BR1040" i="1"/>
  <c r="CA1040" i="1" s="1"/>
  <c r="BR753" i="1"/>
  <c r="CA753" i="1" s="1"/>
  <c r="BR1856" i="1"/>
  <c r="CA1856" i="1" s="1"/>
  <c r="BR2554" i="1"/>
  <c r="CA2554" i="1" s="1"/>
  <c r="BR2000" i="1"/>
  <c r="CA2000" i="1" s="1"/>
  <c r="BR2559" i="1"/>
  <c r="CA2559" i="1" s="1"/>
  <c r="BR483" i="1"/>
  <c r="CA483" i="1" s="1"/>
  <c r="BR2564" i="1"/>
  <c r="CA2564" i="1" s="1"/>
  <c r="BR1102" i="1"/>
  <c r="CA1102" i="1" s="1"/>
  <c r="BR2566" i="1"/>
  <c r="CA2566" i="1" s="1"/>
  <c r="BR2567" i="1"/>
  <c r="CA2567" i="1" s="1"/>
  <c r="BR1066" i="1"/>
  <c r="CA1066" i="1" s="1"/>
  <c r="BR2314" i="1"/>
  <c r="CA2314" i="1" s="1"/>
  <c r="BR632" i="1"/>
  <c r="CA632" i="1" s="1"/>
  <c r="BR2575" i="1"/>
  <c r="CA2575" i="1" s="1"/>
  <c r="BR1393" i="1"/>
  <c r="CA1393" i="1" s="1"/>
  <c r="BR1012" i="1"/>
  <c r="CA1012" i="1" s="1"/>
  <c r="BR887" i="1"/>
  <c r="CA887" i="1" s="1"/>
  <c r="BR120" i="1"/>
  <c r="CA120" i="1" s="1"/>
  <c r="BR942" i="1"/>
  <c r="CA942" i="1" s="1"/>
  <c r="BR2589" i="1"/>
  <c r="CA2589" i="1" s="1"/>
  <c r="BR2413" i="1"/>
  <c r="CA2413" i="1" s="1"/>
  <c r="BR1952" i="1"/>
  <c r="CA1952" i="1" s="1"/>
  <c r="BR501" i="1"/>
  <c r="CA501" i="1" s="1"/>
  <c r="BR1576" i="1"/>
  <c r="CA1576" i="1" s="1"/>
  <c r="BR1814" i="1"/>
  <c r="CA1814" i="1" s="1"/>
  <c r="BR2601" i="1"/>
  <c r="CA2601" i="1" s="1"/>
  <c r="BR1405" i="1"/>
  <c r="CA1405" i="1" s="1"/>
  <c r="BR570" i="1"/>
  <c r="CA570" i="1" s="1"/>
  <c r="BR650" i="1"/>
  <c r="CA650" i="1" s="1"/>
  <c r="BR427" i="1"/>
  <c r="CA427" i="1" s="1"/>
  <c r="BR972" i="1"/>
  <c r="CA972" i="1" s="1"/>
  <c r="BR2630" i="1"/>
  <c r="CA2630" i="1" s="1"/>
  <c r="BR2631" i="1"/>
  <c r="CA2631" i="1" s="1"/>
  <c r="BR1466" i="1"/>
  <c r="CA1466" i="1" s="1"/>
  <c r="BR1470" i="1"/>
  <c r="CA1470" i="1" s="1"/>
  <c r="BR547" i="1"/>
  <c r="CA547" i="1" s="1"/>
  <c r="BR2128" i="1"/>
  <c r="CA2128" i="1" s="1"/>
  <c r="BR1389" i="1"/>
  <c r="CA1389" i="1" s="1"/>
  <c r="BR947" i="1"/>
  <c r="CA947" i="1" s="1"/>
  <c r="BR2642" i="1"/>
  <c r="CA2642" i="1" s="1"/>
  <c r="BR799" i="1"/>
  <c r="CA799" i="1" s="1"/>
  <c r="BR1606" i="1"/>
  <c r="CA1606" i="1" s="1"/>
  <c r="BR2645" i="1"/>
  <c r="CA2645" i="1" s="1"/>
  <c r="BR315" i="1"/>
  <c r="CA315" i="1" s="1"/>
  <c r="BR2651" i="1"/>
  <c r="CA2651" i="1" s="1"/>
  <c r="BR1884" i="1"/>
  <c r="CA1884" i="1" s="1"/>
  <c r="BR2663" i="1"/>
  <c r="CA2663" i="1" s="1"/>
  <c r="BR1475" i="1"/>
  <c r="CA1475" i="1" s="1"/>
  <c r="BR2477" i="1"/>
  <c r="CA2477" i="1" s="1"/>
  <c r="BR1060" i="1"/>
  <c r="CA1060" i="1" s="1"/>
  <c r="BR1671" i="1"/>
  <c r="CA1671" i="1" s="1"/>
  <c r="BR713" i="1"/>
  <c r="CA713" i="1" s="1"/>
  <c r="BR1565" i="1"/>
  <c r="CA1565" i="1" s="1"/>
  <c r="BR689" i="1"/>
  <c r="CA689" i="1" s="1"/>
  <c r="BR357" i="1"/>
  <c r="CA357" i="1" s="1"/>
  <c r="BR1601" i="1"/>
  <c r="CA1601" i="1" s="1"/>
  <c r="BR2389" i="1"/>
  <c r="CA2389" i="1" s="1"/>
  <c r="BR2697" i="1"/>
  <c r="CA2697" i="1" s="1"/>
  <c r="BR2043" i="1"/>
  <c r="CA2043" i="1" s="1"/>
  <c r="BR714" i="1"/>
  <c r="CA714" i="1" s="1"/>
  <c r="BR2445" i="1"/>
  <c r="CA2445" i="1" s="1"/>
  <c r="BR2328" i="1"/>
  <c r="CA2328" i="1" s="1"/>
  <c r="BR1387" i="1"/>
  <c r="CA1387" i="1" s="1"/>
  <c r="BR2167" i="1"/>
  <c r="CA2167" i="1" s="1"/>
  <c r="BR968" i="1"/>
  <c r="CA968" i="1" s="1"/>
  <c r="BR2732" i="1"/>
  <c r="CA2732" i="1" s="1"/>
  <c r="BR2033" i="1"/>
  <c r="CA2033" i="1" s="1"/>
  <c r="BR2723" i="1"/>
  <c r="CA2723" i="1" s="1"/>
  <c r="BR1724" i="1"/>
  <c r="CA1724" i="1" s="1"/>
  <c r="BR132" i="1"/>
  <c r="CA132" i="1" s="1"/>
  <c r="BR2730" i="1"/>
  <c r="CA2730" i="1" s="1"/>
  <c r="BR2067" i="1"/>
  <c r="CA2067" i="1" s="1"/>
  <c r="BR2748" i="1"/>
  <c r="CA2748" i="1" s="1"/>
  <c r="BR668" i="1"/>
  <c r="CA668" i="1" s="1"/>
  <c r="BR2175" i="1"/>
  <c r="CA2175" i="1" s="1"/>
  <c r="BR1279" i="1"/>
  <c r="CA1279" i="1" s="1"/>
  <c r="BR2761" i="1"/>
  <c r="CA2761" i="1" s="1"/>
  <c r="BR1813" i="1"/>
  <c r="CA1813" i="1" s="1"/>
  <c r="BR965" i="1"/>
  <c r="CA965" i="1" s="1"/>
  <c r="BR2769" i="1"/>
  <c r="CA2769" i="1" s="1"/>
  <c r="BR2149" i="1"/>
  <c r="CA2149" i="1" s="1"/>
  <c r="BR727" i="1"/>
  <c r="CA727" i="1" s="1"/>
  <c r="BR1019" i="1"/>
  <c r="CA1019" i="1" s="1"/>
  <c r="BR2777" i="1"/>
  <c r="CA2777" i="1" s="1"/>
  <c r="BR2303" i="1"/>
  <c r="CA2303" i="1" s="1"/>
  <c r="BR2507" i="1"/>
  <c r="CA2507" i="1" s="1"/>
  <c r="BR2789" i="1"/>
  <c r="CA2789" i="1" s="1"/>
  <c r="BR2365" i="1"/>
  <c r="CA2365" i="1" s="1"/>
  <c r="BR398" i="1"/>
  <c r="CA398" i="1" s="1"/>
  <c r="BR2792" i="1"/>
  <c r="CA2792" i="1" s="1"/>
  <c r="BR2800" i="1"/>
  <c r="CA2800" i="1" s="1"/>
  <c r="BR886" i="1"/>
  <c r="CA886" i="1" s="1"/>
  <c r="BR2498" i="1"/>
  <c r="CA2498" i="1" s="1"/>
  <c r="BR748" i="1"/>
  <c r="CA748" i="1" s="1"/>
  <c r="BR1922" i="1"/>
  <c r="CA1922" i="1" s="1"/>
  <c r="BR1008" i="1"/>
  <c r="CA1008" i="1" s="1"/>
  <c r="BR2243" i="1"/>
  <c r="CA2243" i="1" s="1"/>
  <c r="BR440" i="1"/>
  <c r="CA440" i="1" s="1"/>
  <c r="BR2222" i="1"/>
  <c r="CA2222" i="1" s="1"/>
  <c r="BR2235" i="1"/>
  <c r="CA2235" i="1" s="1"/>
  <c r="BR413" i="1"/>
  <c r="CA413" i="1" s="1"/>
  <c r="BR2181" i="1"/>
  <c r="CA2181" i="1" s="1"/>
  <c r="BR1334" i="1"/>
  <c r="CA1334" i="1" s="1"/>
  <c r="BR973" i="1"/>
  <c r="CA973" i="1" s="1"/>
  <c r="BR2484" i="1"/>
  <c r="CA2484" i="1" s="1"/>
  <c r="BR821" i="1"/>
  <c r="CA821" i="1" s="1"/>
  <c r="BR1873" i="1"/>
  <c r="CA1873" i="1" s="1"/>
  <c r="BR2330" i="1"/>
  <c r="CA2330" i="1" s="1"/>
  <c r="BR2824" i="1"/>
  <c r="CA2824" i="1" s="1"/>
  <c r="BR2825" i="1"/>
  <c r="CA2825" i="1" s="1"/>
  <c r="BR661" i="1"/>
  <c r="CA661" i="1" s="1"/>
  <c r="BR2833" i="1"/>
  <c r="CA2833" i="1" s="1"/>
  <c r="BR153" i="1"/>
  <c r="CA153" i="1" s="1"/>
  <c r="BR515" i="1"/>
  <c r="CA515" i="1" s="1"/>
  <c r="BR2186" i="1"/>
  <c r="CA2186" i="1" s="1"/>
  <c r="BR2843" i="1"/>
  <c r="CA2843" i="1" s="1"/>
  <c r="BR1176" i="1"/>
  <c r="CA1176" i="1" s="1"/>
  <c r="BR1962" i="1"/>
  <c r="CA1962" i="1" s="1"/>
  <c r="BR652" i="1"/>
  <c r="CA652" i="1" s="1"/>
  <c r="BR2161" i="1"/>
  <c r="CA2161" i="1" s="1"/>
  <c r="BR2855" i="1"/>
  <c r="CA2855" i="1" s="1"/>
  <c r="BR119" i="1"/>
  <c r="CA119" i="1" s="1"/>
  <c r="BR572" i="1"/>
  <c r="CA572" i="1" s="1"/>
  <c r="BR981" i="1"/>
  <c r="CA981" i="1" s="1"/>
  <c r="BR1479" i="1"/>
  <c r="CA1479" i="1" s="1"/>
  <c r="BR2864" i="1"/>
  <c r="CA2864" i="1" s="1"/>
  <c r="BR2285" i="1"/>
  <c r="CA2285" i="1" s="1"/>
  <c r="BR106" i="1"/>
  <c r="CA106" i="1" s="1"/>
  <c r="BR2877" i="1"/>
  <c r="CA2877" i="1" s="1"/>
  <c r="BR2488" i="1"/>
  <c r="CA2488" i="1" s="1"/>
  <c r="BR2503" i="1"/>
  <c r="CA2503" i="1" s="1"/>
  <c r="BR1950" i="1"/>
  <c r="CA1950" i="1" s="1"/>
  <c r="BR2115" i="1"/>
  <c r="CA2115" i="1" s="1"/>
  <c r="BR2036" i="1"/>
  <c r="CA2036" i="1" s="1"/>
  <c r="BR469" i="1"/>
  <c r="CA469" i="1" s="1"/>
  <c r="BR2293" i="1"/>
  <c r="CA2293" i="1" s="1"/>
  <c r="BR1461" i="1"/>
  <c r="CA1461" i="1" s="1"/>
  <c r="BR462" i="1"/>
  <c r="CA462" i="1" s="1"/>
  <c r="BR2717" i="1"/>
  <c r="CA2717" i="1" s="1"/>
  <c r="BR1596" i="1"/>
  <c r="CA1596" i="1" s="1"/>
  <c r="BR2745" i="1"/>
  <c r="CA2745" i="1" s="1"/>
  <c r="BR150" i="1"/>
  <c r="CA150" i="1" s="1"/>
  <c r="BR1037" i="1"/>
  <c r="CA1037" i="1" s="1"/>
  <c r="BR2766" i="1"/>
  <c r="CA2766" i="1" s="1"/>
  <c r="BR1199" i="1"/>
  <c r="CA1199" i="1" s="1"/>
  <c r="BR1722" i="1"/>
  <c r="CA1722" i="1" s="1"/>
  <c r="BR787" i="1"/>
  <c r="CA787" i="1" s="1"/>
  <c r="BR377" i="1"/>
  <c r="CA377" i="1" s="1"/>
  <c r="BR1537" i="1"/>
  <c r="CA1537" i="1" s="1"/>
  <c r="BR2860" i="1"/>
  <c r="CA2860" i="1" s="1"/>
  <c r="BR979" i="1"/>
  <c r="CA979" i="1" s="1"/>
  <c r="BR202" i="1"/>
  <c r="CA202" i="1" s="1"/>
  <c r="BR749" i="1"/>
  <c r="CA749" i="1" s="1"/>
  <c r="BR171" i="1"/>
  <c r="CA171" i="1" s="1"/>
  <c r="BR1631" i="1"/>
  <c r="CA1631" i="1" s="1"/>
  <c r="BR1264" i="1"/>
  <c r="CA1264" i="1" s="1"/>
  <c r="BR1626" i="1"/>
  <c r="CA1626" i="1" s="1"/>
  <c r="BR1847" i="1"/>
  <c r="CA1847" i="1" s="1"/>
  <c r="BR2209" i="1"/>
  <c r="CA2209" i="1" s="1"/>
  <c r="BR583" i="1"/>
  <c r="CA583" i="1" s="1"/>
  <c r="BR1178" i="1"/>
  <c r="CA1178" i="1" s="1"/>
  <c r="BR2426" i="1"/>
  <c r="CA2426" i="1" s="1"/>
  <c r="BR2409" i="1"/>
  <c r="CA2409" i="1" s="1"/>
  <c r="BR481" i="1"/>
  <c r="CA481" i="1" s="1"/>
  <c r="BR128" i="1"/>
  <c r="CA128" i="1" s="1"/>
  <c r="BR932" i="1"/>
  <c r="CA932" i="1" s="1"/>
  <c r="BR2055" i="1"/>
  <c r="CA2055" i="1" s="1"/>
  <c r="BR2348" i="1"/>
  <c r="CA2348" i="1" s="1"/>
  <c r="BR2353" i="1"/>
  <c r="CA2353" i="1" s="1"/>
  <c r="BR1738" i="1"/>
  <c r="CA1738" i="1" s="1"/>
  <c r="BR600" i="1"/>
  <c r="CA600" i="1" s="1"/>
  <c r="BR2494" i="1"/>
  <c r="CA2494" i="1" s="1"/>
  <c r="BR923" i="1"/>
  <c r="CA923" i="1" s="1"/>
  <c r="BR1627" i="1"/>
  <c r="CA1627" i="1" s="1"/>
  <c r="BR2072" i="1"/>
  <c r="CA2072" i="1" s="1"/>
  <c r="BR1677" i="1"/>
  <c r="CA1677" i="1" s="1"/>
  <c r="BR1132" i="1"/>
  <c r="CA1132" i="1" s="1"/>
  <c r="BR831" i="1"/>
  <c r="CA831" i="1" s="1"/>
  <c r="BR2600" i="1"/>
  <c r="CA2600" i="1" s="1"/>
  <c r="BR451" i="1"/>
  <c r="CA451" i="1" s="1"/>
  <c r="BR1229" i="1"/>
  <c r="CA1229" i="1" s="1"/>
  <c r="BR1266" i="1"/>
  <c r="CA1266" i="1" s="1"/>
  <c r="BR537" i="1"/>
  <c r="CA537" i="1" s="1"/>
  <c r="BR2174" i="1"/>
  <c r="CA2174" i="1" s="1"/>
  <c r="BR825" i="1"/>
  <c r="CA825" i="1" s="1"/>
  <c r="BR2063" i="1"/>
  <c r="CA2063" i="1" s="1"/>
  <c r="BR1979" i="1"/>
  <c r="CA1979" i="1" s="1"/>
  <c r="BR1398" i="1"/>
  <c r="CA1398" i="1" s="1"/>
  <c r="BR926" i="1"/>
  <c r="CA926" i="1" s="1"/>
  <c r="BR1129" i="1"/>
  <c r="CA1129" i="1" s="1"/>
  <c r="BR2639" i="1"/>
  <c r="CA2639" i="1" s="1"/>
  <c r="BR569" i="1"/>
  <c r="CA569" i="1" s="1"/>
  <c r="BR1821" i="1"/>
  <c r="CA1821" i="1" s="1"/>
  <c r="BR2263" i="1"/>
  <c r="CA2263" i="1" s="1"/>
  <c r="BR1629" i="1"/>
  <c r="CA1629" i="1" s="1"/>
  <c r="BR1792" i="1"/>
  <c r="CA1792" i="1" s="1"/>
  <c r="BR1941" i="1"/>
  <c r="CA1941" i="1" s="1"/>
  <c r="BR1681" i="1"/>
  <c r="CA1681" i="1" s="1"/>
  <c r="BR1304" i="1"/>
  <c r="CA1304" i="1" s="1"/>
  <c r="BR2684" i="1"/>
  <c r="CA2684" i="1" s="1"/>
  <c r="BR681" i="1"/>
  <c r="CA681" i="1" s="1"/>
  <c r="BR1390" i="1"/>
  <c r="CA1390" i="1" s="1"/>
  <c r="BR1101" i="1"/>
  <c r="CA1101" i="1" s="1"/>
  <c r="BR1232" i="1"/>
  <c r="CA1232" i="1" s="1"/>
  <c r="BR2704" i="1"/>
  <c r="CA2704" i="1" s="1"/>
  <c r="BR2711" i="1"/>
  <c r="CA2711" i="1" s="1"/>
  <c r="BR559" i="1"/>
  <c r="CA559" i="1" s="1"/>
  <c r="BR2719" i="1"/>
  <c r="CA2719" i="1" s="1"/>
  <c r="BR1359" i="1"/>
  <c r="CA1359" i="1" s="1"/>
  <c r="BR934" i="1"/>
  <c r="CA934" i="1" s="1"/>
  <c r="BR1607" i="1"/>
  <c r="CA1607" i="1" s="1"/>
  <c r="BR389" i="1"/>
  <c r="CA389" i="1" s="1"/>
  <c r="BR1588" i="1"/>
  <c r="CA1588" i="1" s="1"/>
  <c r="BR2728" i="1"/>
  <c r="CA2728" i="1" s="1"/>
  <c r="BR651" i="1"/>
  <c r="CA651" i="1" s="1"/>
  <c r="BR1997" i="1"/>
  <c r="CA1997" i="1" s="1"/>
  <c r="BR871" i="1"/>
  <c r="CA871" i="1" s="1"/>
  <c r="BR1539" i="1"/>
  <c r="CA1539" i="1" s="1"/>
  <c r="BR2225" i="1"/>
  <c r="CA2225" i="1" s="1"/>
  <c r="BR160" i="1"/>
  <c r="CA160" i="1" s="1"/>
  <c r="BR494" i="1"/>
  <c r="CA494" i="1" s="1"/>
  <c r="BR2337" i="1"/>
  <c r="CA2337" i="1" s="1"/>
  <c r="BR1368" i="1"/>
  <c r="CA1368" i="1" s="1"/>
  <c r="BR1153" i="1"/>
  <c r="CA1153" i="1" s="1"/>
  <c r="BR2755" i="1"/>
  <c r="CA2755" i="1" s="1"/>
  <c r="BR2762" i="1"/>
  <c r="CA2762" i="1" s="1"/>
  <c r="BR1916" i="1"/>
  <c r="CA1916" i="1" s="1"/>
  <c r="BR670" i="1"/>
  <c r="CA670" i="1" s="1"/>
  <c r="BR2776" i="1"/>
  <c r="CA2776" i="1" s="1"/>
  <c r="BR450" i="1"/>
  <c r="CA450" i="1" s="1"/>
  <c r="BR2238" i="1"/>
  <c r="CA2238" i="1" s="1"/>
  <c r="BR2224" i="1"/>
  <c r="CA2224" i="1" s="1"/>
  <c r="BR2805" i="1"/>
  <c r="CA2805" i="1" s="1"/>
  <c r="BR2806" i="1"/>
  <c r="CA2806" i="1" s="1"/>
  <c r="BR366" i="1"/>
  <c r="CA366" i="1" s="1"/>
  <c r="BR118" i="1"/>
  <c r="CA118" i="1" s="1"/>
  <c r="BR488" i="1"/>
  <c r="CA488" i="1" s="1"/>
  <c r="BR2816" i="1"/>
  <c r="CA2816" i="1" s="1"/>
  <c r="BR289" i="1"/>
  <c r="CA289" i="1" s="1"/>
  <c r="BR381" i="1"/>
  <c r="CA381" i="1" s="1"/>
  <c r="BR1117" i="1"/>
  <c r="CA1117" i="1" s="1"/>
  <c r="BR1110" i="1"/>
  <c r="CA1110" i="1" s="1"/>
  <c r="BR1801" i="1"/>
  <c r="CA1801" i="1" s="1"/>
  <c r="BR1570" i="1"/>
  <c r="CA1570" i="1" s="1"/>
  <c r="BR933" i="1"/>
  <c r="CA933" i="1" s="1"/>
  <c r="BR2837" i="1"/>
  <c r="CA2837" i="1" s="1"/>
  <c r="BR181" i="1"/>
  <c r="CA181" i="1" s="1"/>
  <c r="BR2519" i="1"/>
  <c r="CA2519" i="1" s="1"/>
  <c r="BR1095" i="1"/>
  <c r="CA1095" i="1" s="1"/>
  <c r="BR1384" i="1"/>
  <c r="CA1384" i="1" s="1"/>
  <c r="BR416" i="1"/>
  <c r="CA416" i="1" s="1"/>
  <c r="BR1897" i="1"/>
  <c r="CA1897" i="1" s="1"/>
  <c r="BR1711" i="1"/>
  <c r="CA1711" i="1" s="1"/>
  <c r="BR534" i="1"/>
  <c r="CA534" i="1" s="1"/>
  <c r="BR2870" i="1"/>
  <c r="CA2870" i="1" s="1"/>
  <c r="BR1807" i="1"/>
  <c r="CA1807" i="1" s="1"/>
  <c r="BR155" i="1"/>
  <c r="CA155" i="1" s="1"/>
  <c r="BR709" i="1"/>
  <c r="CA709" i="1" s="1"/>
  <c r="BR1705" i="1"/>
  <c r="CA1705" i="1" s="1"/>
  <c r="BR1542" i="1"/>
  <c r="CA1542" i="1" s="1"/>
  <c r="BR1443" i="1"/>
  <c r="CA1443" i="1" s="1"/>
  <c r="BR2890" i="1"/>
  <c r="CA2890" i="1" s="1"/>
  <c r="BR307" i="1"/>
  <c r="CA307" i="1" s="1"/>
  <c r="BR2165" i="1"/>
  <c r="CA2165" i="1" s="1"/>
  <c r="BR1103" i="1"/>
  <c r="CA1103" i="1" s="1"/>
  <c r="BR1785" i="1"/>
  <c r="CA1785" i="1" s="1"/>
  <c r="BR1302" i="1"/>
  <c r="CA1302" i="1" s="1"/>
  <c r="BR2411" i="1"/>
  <c r="CA2411" i="1" s="1"/>
  <c r="BR848" i="1"/>
  <c r="CA848" i="1" s="1"/>
  <c r="BR2809" i="1"/>
  <c r="CA2809" i="1" s="1"/>
  <c r="BR2814" i="1"/>
  <c r="CA2814" i="1" s="1"/>
  <c r="BR1965" i="1"/>
  <c r="CA1965" i="1" s="1"/>
  <c r="BR2830" i="1"/>
  <c r="CA2830" i="1" s="1"/>
  <c r="BR1056" i="1"/>
  <c r="CA1056" i="1" s="1"/>
  <c r="BR1243" i="1"/>
  <c r="CA1243" i="1" s="1"/>
  <c r="BR2857" i="1"/>
  <c r="CA2857" i="1" s="1"/>
  <c r="BR1782" i="1"/>
  <c r="CA1782" i="1" s="1"/>
  <c r="BR1620" i="1"/>
  <c r="CA1620" i="1" s="1"/>
  <c r="BR997" i="1"/>
  <c r="CA997" i="1" s="1"/>
  <c r="BR1494" i="1"/>
  <c r="CA1494" i="1" s="1"/>
  <c r="BR2879" i="1"/>
  <c r="CA2879" i="1" s="1"/>
  <c r="BR467" i="1"/>
  <c r="CA467" i="1" s="1"/>
  <c r="BR2189" i="1"/>
  <c r="CA2189" i="1" s="1"/>
  <c r="BR694" i="1"/>
  <c r="CA694" i="1" s="1"/>
  <c r="BR1490" i="1"/>
  <c r="CA1490" i="1" s="1"/>
  <c r="BR344" i="1"/>
  <c r="CA344" i="1" s="1"/>
  <c r="BR692" i="1"/>
  <c r="CA692" i="1" s="1"/>
  <c r="BR754" i="1"/>
  <c r="CA754" i="1" s="1"/>
  <c r="BR1868" i="1"/>
  <c r="CA1868" i="1" s="1"/>
  <c r="BR2089" i="1"/>
  <c r="CA2089" i="1" s="1"/>
  <c r="BR1495" i="1"/>
  <c r="CA1495" i="1" s="1"/>
  <c r="BR2586" i="1"/>
  <c r="CA2586" i="1" s="1"/>
  <c r="BR2593" i="1"/>
  <c r="CA2593" i="1" s="1"/>
  <c r="BR2621" i="1"/>
  <c r="CA2621" i="1" s="1"/>
  <c r="BR341" i="1"/>
  <c r="CA341" i="1" s="1"/>
  <c r="BR104" i="1"/>
  <c r="CA104" i="1" s="1"/>
  <c r="BR422" i="1"/>
  <c r="CA422" i="1" s="1"/>
  <c r="BR2312" i="1"/>
  <c r="CA2312" i="1" s="1"/>
  <c r="BR1942" i="1"/>
  <c r="CA1942" i="1" s="1"/>
  <c r="BR2418" i="1"/>
  <c r="CA2418" i="1" s="1"/>
  <c r="BR301" i="1"/>
  <c r="CA301" i="1" s="1"/>
  <c r="BR2176" i="1"/>
  <c r="CA2176" i="1" s="1"/>
  <c r="BR2774" i="1"/>
  <c r="CA2774" i="1" s="1"/>
  <c r="BR2013" i="1"/>
  <c r="CA2013" i="1" s="1"/>
  <c r="BR1887" i="1"/>
  <c r="CA1887" i="1" s="1"/>
  <c r="BR2780" i="1"/>
  <c r="CA2780" i="1" s="1"/>
  <c r="BR1112" i="1"/>
  <c r="CA1112" i="1" s="1"/>
  <c r="BR2408" i="1"/>
  <c r="CA2408" i="1" s="1"/>
  <c r="BR1207" i="1"/>
  <c r="CA1207" i="1" s="1"/>
  <c r="BR1839" i="1"/>
  <c r="CA1839" i="1" s="1"/>
  <c r="BR1315" i="1"/>
  <c r="CA1315" i="1" s="1"/>
  <c r="BR1784" i="1"/>
  <c r="CA1784" i="1" s="1"/>
  <c r="BR2797" i="1"/>
  <c r="CA2797" i="1" s="1"/>
  <c r="BR2802" i="1"/>
  <c r="CA2802" i="1" s="1"/>
  <c r="BR2515" i="1"/>
  <c r="CA2515" i="1" s="1"/>
  <c r="BR2091" i="1"/>
  <c r="CA2091" i="1" s="1"/>
  <c r="BR587" i="1"/>
  <c r="CA587" i="1" s="1"/>
  <c r="BR2283" i="1"/>
  <c r="CA2283" i="1" s="1"/>
  <c r="BR174" i="1"/>
  <c r="CA174" i="1" s="1"/>
  <c r="BR2331" i="1"/>
  <c r="CA2331" i="1" s="1"/>
  <c r="BR619" i="1"/>
  <c r="CA619" i="1" s="1"/>
  <c r="BR1427" i="1"/>
  <c r="CA1427" i="1" s="1"/>
  <c r="BR1300" i="1"/>
  <c r="CA1300" i="1" s="1"/>
  <c r="BR592" i="1"/>
  <c r="CA592" i="1" s="1"/>
  <c r="BR963" i="1"/>
  <c r="CA963" i="1" s="1"/>
  <c r="BR1006" i="1"/>
  <c r="CA1006" i="1" s="1"/>
  <c r="BR1877" i="1"/>
  <c r="CA1877" i="1" s="1"/>
  <c r="BR1379" i="1"/>
  <c r="CA1379" i="1" s="1"/>
  <c r="BR2826" i="1"/>
  <c r="CA2826" i="1" s="1"/>
  <c r="BR125" i="1"/>
  <c r="CA125" i="1" s="1"/>
  <c r="BR2508" i="1"/>
  <c r="CA2508" i="1" s="1"/>
  <c r="BR439" i="1"/>
  <c r="CA439" i="1" s="1"/>
  <c r="BR2836" i="1"/>
  <c r="CA2836" i="1" s="1"/>
  <c r="BR112" i="1"/>
  <c r="CA112" i="1" s="1"/>
  <c r="BR2842" i="1"/>
  <c r="CA2842" i="1" s="1"/>
  <c r="BR1371" i="1"/>
  <c r="CA1371" i="1" s="1"/>
  <c r="BR2284" i="1"/>
  <c r="CA2284" i="1" s="1"/>
  <c r="BR952" i="1"/>
  <c r="CA952" i="1" s="1"/>
  <c r="BR700" i="1"/>
  <c r="CA700" i="1" s="1"/>
  <c r="BR406" i="1"/>
  <c r="CA406" i="1" s="1"/>
  <c r="BR386" i="1"/>
  <c r="CA386" i="1" s="1"/>
  <c r="BR2849" i="1"/>
  <c r="CA2849" i="1" s="1"/>
  <c r="BR2070" i="1"/>
  <c r="CA2070" i="1" s="1"/>
  <c r="BR189" i="1"/>
  <c r="CA189" i="1" s="1"/>
  <c r="BR1047" i="1"/>
  <c r="CA1047" i="1" s="1"/>
  <c r="BR2852" i="1"/>
  <c r="CA2852" i="1" s="1"/>
  <c r="BR2375" i="1"/>
  <c r="CA2375" i="1" s="1"/>
  <c r="BR2291" i="1"/>
  <c r="CA2291" i="1" s="1"/>
  <c r="BR2479" i="1"/>
  <c r="CA2479" i="1" s="1"/>
  <c r="BR2873" i="1"/>
  <c r="CA2873" i="1" s="1"/>
  <c r="BR1454" i="1"/>
  <c r="CA1454" i="1" s="1"/>
  <c r="BR348" i="1"/>
  <c r="CA348" i="1" s="1"/>
  <c r="BR2668" i="1"/>
  <c r="CA2668" i="1" s="1"/>
  <c r="BR2876" i="1"/>
  <c r="CA2876" i="1" s="1"/>
  <c r="BR2881" i="1"/>
  <c r="CA2881" i="1" s="1"/>
  <c r="BR2405" i="1"/>
  <c r="CA2405" i="1" s="1"/>
  <c r="BR2883" i="1"/>
  <c r="CA2883" i="1" s="1"/>
  <c r="BR2884" i="1"/>
  <c r="CA2884" i="1" s="1"/>
  <c r="BR1833" i="1"/>
  <c r="CA1833" i="1" s="1"/>
  <c r="BR138" i="1"/>
  <c r="CA138" i="1" s="1"/>
  <c r="BR1573" i="1"/>
  <c r="CA1573" i="1" s="1"/>
  <c r="BR553" i="1"/>
  <c r="CA553" i="1" s="1"/>
  <c r="BR1070" i="1"/>
  <c r="CA1070" i="1" s="1"/>
  <c r="BR2987" i="1"/>
  <c r="CA2987" i="1" s="1"/>
  <c r="BR2951" i="1"/>
  <c r="CA2951" i="1" s="1"/>
  <c r="BR297" i="1"/>
  <c r="CA297" i="1" s="1"/>
  <c r="BR2133" i="1"/>
  <c r="CA2133" i="1" s="1"/>
  <c r="BR1883" i="1"/>
  <c r="CA1883" i="1" s="1"/>
  <c r="BR1187" i="1"/>
  <c r="CA1187" i="1" s="1"/>
  <c r="BR2207" i="1"/>
  <c r="CA2207" i="1" s="1"/>
  <c r="BR2229" i="1"/>
  <c r="CA2229" i="1" s="1"/>
  <c r="BR1091" i="1"/>
  <c r="CA1091" i="1" s="1"/>
  <c r="BR3010" i="1"/>
  <c r="CA3010" i="1" s="1"/>
  <c r="BR1746" i="1"/>
  <c r="CA1746" i="1" s="1"/>
  <c r="BR317" i="1"/>
  <c r="CA317" i="1" s="1"/>
  <c r="BR1602" i="1"/>
  <c r="CA1602" i="1" s="1"/>
  <c r="BR909" i="1"/>
  <c r="CA909" i="1" s="1"/>
  <c r="BR3017" i="1"/>
  <c r="CA3017" i="1" s="1"/>
  <c r="BR3019" i="1"/>
  <c r="CA3019" i="1" s="1"/>
  <c r="BR1408" i="1"/>
  <c r="CA1408" i="1" s="1"/>
  <c r="BR1469" i="1"/>
  <c r="CA1469" i="1" s="1"/>
  <c r="BR771" i="1"/>
  <c r="CA771" i="1" s="1"/>
  <c r="BR2300" i="1"/>
  <c r="CA2300" i="1" s="1"/>
  <c r="BR3031" i="1"/>
  <c r="CA3031" i="1" s="1"/>
  <c r="BR1647" i="1"/>
  <c r="CA1647" i="1" s="1"/>
  <c r="BR2097" i="1"/>
  <c r="CA2097" i="1" s="1"/>
  <c r="BR470" i="1"/>
  <c r="CA470" i="1" s="1"/>
  <c r="BR370" i="1"/>
  <c r="CA370" i="1" s="1"/>
  <c r="BR161" i="1"/>
  <c r="CA161" i="1" s="1"/>
  <c r="BR1125" i="1"/>
  <c r="CA1125" i="1" s="1"/>
  <c r="BR744" i="1"/>
  <c r="CA744" i="1" s="1"/>
  <c r="BR1170" i="1"/>
  <c r="CA1170" i="1" s="1"/>
  <c r="BR1516" i="1"/>
  <c r="CA1516" i="1" s="1"/>
  <c r="BR2008" i="1"/>
  <c r="CA2008" i="1" s="1"/>
  <c r="BR3069" i="1"/>
  <c r="CA3069" i="1" s="1"/>
  <c r="BR842" i="1"/>
  <c r="CA842" i="1" s="1"/>
  <c r="BR2059" i="1"/>
  <c r="CA2059" i="1" s="1"/>
  <c r="BR375" i="1"/>
  <c r="CA375" i="1" s="1"/>
  <c r="BR2254" i="1"/>
  <c r="CA2254" i="1" s="1"/>
  <c r="BR1600" i="1"/>
  <c r="CA1600" i="1" s="1"/>
  <c r="BR865" i="1"/>
  <c r="CA865" i="1" s="1"/>
  <c r="BR1532" i="1"/>
  <c r="CA1532" i="1" s="1"/>
  <c r="BR475" i="1"/>
  <c r="CA475" i="1" s="1"/>
  <c r="BR1670" i="1"/>
  <c r="CA1670" i="1" s="1"/>
  <c r="BR2548" i="1"/>
  <c r="CA2548" i="1" s="1"/>
  <c r="BR3084" i="1"/>
  <c r="CA3084" i="1" s="1"/>
  <c r="BR638" i="1"/>
  <c r="CA638" i="1" s="1"/>
  <c r="BR2936" i="1"/>
  <c r="CA2936" i="1" s="1"/>
  <c r="BR1254" i="1"/>
  <c r="CA1254" i="1" s="1"/>
  <c r="BR2467" i="1"/>
  <c r="CA2467" i="1" s="1"/>
  <c r="BR1925" i="1"/>
  <c r="CA1925" i="1" s="1"/>
  <c r="BR1960" i="1"/>
  <c r="CA1960" i="1" s="1"/>
  <c r="BR1733" i="1"/>
  <c r="CA1733" i="1" s="1"/>
  <c r="BR3137" i="1"/>
  <c r="CA3137" i="1" s="1"/>
  <c r="BR510" i="1"/>
  <c r="CA510" i="1" s="1"/>
  <c r="BR1569" i="1"/>
  <c r="CA1569" i="1" s="1"/>
  <c r="BR1000" i="1"/>
  <c r="CA1000" i="1" s="1"/>
  <c r="BR3141" i="1"/>
  <c r="CA3141" i="1" s="1"/>
  <c r="BR498" i="1"/>
  <c r="CA498" i="1" s="1"/>
  <c r="BR1875" i="1"/>
  <c r="CA1875" i="1" s="1"/>
  <c r="BR2327" i="1"/>
  <c r="CA2327" i="1" s="1"/>
  <c r="BR1331" i="1"/>
  <c r="CA1331" i="1" s="1"/>
  <c r="BR1794" i="1"/>
  <c r="CA1794" i="1" s="1"/>
  <c r="BR3155" i="1"/>
  <c r="CA3155" i="1" s="1"/>
  <c r="BR2354" i="1"/>
  <c r="CA2354" i="1" s="1"/>
  <c r="BR1998" i="1"/>
  <c r="CA1998" i="1" s="1"/>
  <c r="BR928" i="1"/>
  <c r="CA928" i="1" s="1"/>
  <c r="BR3162" i="1"/>
  <c r="CA3162" i="1" s="1"/>
  <c r="BR855" i="1"/>
  <c r="CA855" i="1" s="1"/>
  <c r="BR3164" i="1"/>
  <c r="CA3164" i="1" s="1"/>
  <c r="BR430" i="1"/>
  <c r="CA430" i="1" s="1"/>
  <c r="BR411" i="1"/>
  <c r="CA411" i="1" s="1"/>
  <c r="BR3165" i="1"/>
  <c r="CA3165" i="1" s="1"/>
  <c r="BR1748" i="1"/>
  <c r="CA1748" i="1" s="1"/>
  <c r="BR974" i="1"/>
  <c r="CA974" i="1" s="1"/>
  <c r="BR2636" i="1"/>
  <c r="CA2636" i="1" s="1"/>
  <c r="BR1773" i="1"/>
  <c r="CA1773" i="1" s="1"/>
  <c r="BR1806" i="1"/>
  <c r="CA1806" i="1" s="1"/>
  <c r="BR1593" i="1"/>
  <c r="CA1593" i="1" s="1"/>
  <c r="BR154" i="1"/>
  <c r="CA154" i="1" s="1"/>
  <c r="BR1598" i="1"/>
  <c r="CA1598" i="1" s="1"/>
  <c r="BR3193" i="1"/>
  <c r="CA3193" i="1" s="1"/>
  <c r="BR1150" i="1"/>
  <c r="CA1150" i="1" s="1"/>
  <c r="BR3198" i="1"/>
  <c r="CA3198" i="1" s="1"/>
  <c r="BR1621" i="1"/>
  <c r="CA1621" i="1" s="1"/>
  <c r="BR2540" i="1"/>
  <c r="CA2540" i="1" s="1"/>
  <c r="BR2905" i="1"/>
  <c r="CA2905" i="1" s="1"/>
  <c r="BR1380" i="1"/>
  <c r="CA1380" i="1" s="1"/>
  <c r="BR2909" i="1"/>
  <c r="CA2909" i="1" s="1"/>
  <c r="BR2910" i="1"/>
  <c r="CA2910" i="1" s="1"/>
  <c r="BR2913" i="1"/>
  <c r="CA2913" i="1" s="1"/>
  <c r="BR472" i="1"/>
  <c r="CA472" i="1" s="1"/>
  <c r="BR2915" i="1"/>
  <c r="CA2915" i="1" s="1"/>
  <c r="BR309" i="1"/>
  <c r="CA309" i="1" s="1"/>
  <c r="BR2502" i="1"/>
  <c r="CA2502" i="1" s="1"/>
  <c r="BR182" i="1"/>
  <c r="CA182" i="1" s="1"/>
  <c r="BR17" i="1"/>
  <c r="CA17" i="1" s="1"/>
  <c r="BR2497" i="1"/>
  <c r="CA2497" i="1" s="1"/>
  <c r="BR1558" i="1"/>
  <c r="CA1558" i="1" s="1"/>
  <c r="BR167" i="1"/>
  <c r="CA167" i="1" s="1"/>
  <c r="BR1344" i="1"/>
  <c r="CA1344" i="1" s="1"/>
  <c r="BR2119" i="1"/>
  <c r="CA2119" i="1" s="1"/>
  <c r="BR745" i="1"/>
  <c r="CA745" i="1" s="1"/>
  <c r="BR2929" i="1"/>
  <c r="CA2929" i="1" s="1"/>
  <c r="BR2023" i="1"/>
  <c r="CA2023" i="1" s="1"/>
  <c r="BR2239" i="1"/>
  <c r="CA2239" i="1" s="1"/>
  <c r="BR868" i="1"/>
  <c r="CA868" i="1" s="1"/>
  <c r="BR1313" i="1"/>
  <c r="CA1313" i="1" s="1"/>
  <c r="BR1582" i="1"/>
  <c r="CA1582" i="1" s="1"/>
  <c r="BR2529" i="1"/>
  <c r="CA2529" i="1" s="1"/>
  <c r="BR304" i="1"/>
  <c r="CA304" i="1" s="1"/>
  <c r="BR571" i="1"/>
  <c r="CA571" i="1" s="1"/>
  <c r="BR2197" i="1"/>
  <c r="CA2197" i="1" s="1"/>
  <c r="BR2953" i="1"/>
  <c r="CA2953" i="1" s="1"/>
  <c r="BR2954" i="1"/>
  <c r="CA2954" i="1" s="1"/>
  <c r="BR2963" i="1"/>
  <c r="CA2963" i="1" s="1"/>
  <c r="BR299" i="1"/>
  <c r="CA299" i="1" s="1"/>
  <c r="BR2967" i="1"/>
  <c r="CA2967" i="1" s="1"/>
  <c r="BR940" i="1"/>
  <c r="CA940" i="1" s="1"/>
  <c r="BR789" i="1"/>
  <c r="CA789" i="1" s="1"/>
  <c r="BR2983" i="1"/>
  <c r="CA2983" i="1" s="1"/>
  <c r="BR2321" i="1"/>
  <c r="CA2321" i="1" s="1"/>
  <c r="BR585" i="1"/>
  <c r="CA585" i="1" s="1"/>
  <c r="BR1378" i="1"/>
  <c r="CA1378" i="1" s="1"/>
  <c r="BR402" i="1"/>
  <c r="CA402" i="1" s="1"/>
  <c r="BR838" i="1"/>
  <c r="CA838" i="1" s="1"/>
  <c r="BR645" i="1"/>
  <c r="CA645" i="1" s="1"/>
  <c r="BR3004" i="1"/>
  <c r="CA3004" i="1" s="1"/>
  <c r="BR881" i="1"/>
  <c r="CA881" i="1" s="1"/>
  <c r="BR135" i="1"/>
  <c r="CA135" i="1" s="1"/>
  <c r="BR1025" i="1"/>
  <c r="CA1025" i="1" s="1"/>
  <c r="BR2678" i="1"/>
  <c r="CA2678" i="1" s="1"/>
  <c r="BR3021" i="1"/>
  <c r="CA3021" i="1" s="1"/>
  <c r="BR2179" i="1"/>
  <c r="CA2179" i="1" s="1"/>
  <c r="BR1442" i="1"/>
  <c r="CA1442" i="1" s="1"/>
  <c r="BR1146" i="1"/>
  <c r="CA1146" i="1" s="1"/>
  <c r="BR3023" i="1"/>
  <c r="CA3023" i="1" s="1"/>
  <c r="BR3033" i="1"/>
  <c r="CA3033" i="1" s="1"/>
  <c r="BR677" i="1"/>
  <c r="CA677" i="1" s="1"/>
  <c r="BR1717" i="1"/>
  <c r="CA1717" i="1" s="1"/>
  <c r="BR551" i="1"/>
  <c r="CA551" i="1" s="1"/>
  <c r="BR466" i="1"/>
  <c r="CA466" i="1" s="1"/>
  <c r="BR1509" i="1"/>
  <c r="CA1509" i="1" s="1"/>
  <c r="BR990" i="1"/>
  <c r="CA990" i="1" s="1"/>
  <c r="BR2281" i="1"/>
  <c r="CA2281" i="1" s="1"/>
  <c r="BR1769" i="1"/>
  <c r="CA1769" i="1" s="1"/>
  <c r="BR1262" i="1"/>
  <c r="CA1262" i="1" s="1"/>
  <c r="BR1069" i="1"/>
  <c r="CA1069" i="1" s="1"/>
  <c r="BR3065" i="1"/>
  <c r="CA3065" i="1" s="1"/>
  <c r="BR3066" i="1"/>
  <c r="CA3066" i="1" s="1"/>
  <c r="BR854" i="1"/>
  <c r="CA854" i="1" s="1"/>
  <c r="BR1932" i="1"/>
  <c r="CA1932" i="1" s="1"/>
  <c r="BR978" i="1"/>
  <c r="CA978" i="1" s="1"/>
  <c r="BR3051" i="1"/>
  <c r="CA3051" i="1" s="1"/>
  <c r="BR2007" i="1"/>
  <c r="CA2007" i="1" s="1"/>
  <c r="BR2391" i="1"/>
  <c r="CA2391" i="1" s="1"/>
  <c r="BR2744" i="1"/>
  <c r="CA2744" i="1" s="1"/>
  <c r="BR2257" i="1"/>
  <c r="CA2257" i="1" s="1"/>
  <c r="BR1799" i="1"/>
  <c r="CA1799" i="1" s="1"/>
  <c r="BR2290" i="1"/>
  <c r="CA2290" i="1" s="1"/>
  <c r="BR1120" i="1"/>
  <c r="CA1120" i="1" s="1"/>
  <c r="BR863" i="1"/>
  <c r="CA863" i="1" s="1"/>
  <c r="BR2098" i="1"/>
  <c r="CA2098" i="1" s="1"/>
  <c r="BR2376" i="1"/>
  <c r="CA2376" i="1" s="1"/>
  <c r="BR704" i="1"/>
  <c r="CA704" i="1" s="1"/>
  <c r="BR621" i="1"/>
  <c r="CA621" i="1" s="1"/>
  <c r="BR2162" i="1"/>
  <c r="CA2162" i="1" s="1"/>
  <c r="BR3094" i="1"/>
  <c r="CA3094" i="1" s="1"/>
  <c r="BR877" i="1"/>
  <c r="CA877" i="1" s="1"/>
  <c r="BR533" i="1"/>
  <c r="CA533" i="1" s="1"/>
  <c r="BR129" i="1"/>
  <c r="CA129" i="1" s="1"/>
  <c r="BR3113" i="1"/>
  <c r="CA3113" i="1" s="1"/>
  <c r="BR1983" i="1"/>
  <c r="CA1983" i="1" s="1"/>
  <c r="BR1944" i="1"/>
  <c r="CA1944" i="1" s="1"/>
  <c r="BR1996" i="1"/>
  <c r="CA1996" i="1" s="1"/>
  <c r="BR1228" i="1"/>
  <c r="CA1228" i="1" s="1"/>
  <c r="BR2114" i="1"/>
  <c r="CA2114" i="1" s="1"/>
  <c r="BR2308" i="1"/>
  <c r="CA2308" i="1" s="1"/>
  <c r="BR935" i="1"/>
  <c r="CA935" i="1" s="1"/>
  <c r="BR563" i="1"/>
  <c r="CA563" i="1" s="1"/>
  <c r="BR1396" i="1"/>
  <c r="CA1396" i="1" s="1"/>
  <c r="BR2355" i="1"/>
  <c r="CA2355" i="1" s="1"/>
  <c r="BR2404" i="1"/>
  <c r="CA2404" i="1" s="1"/>
  <c r="BR2466" i="1"/>
  <c r="CA2466" i="1" s="1"/>
  <c r="BR2346" i="1"/>
  <c r="CA2346" i="1" s="1"/>
  <c r="BR382" i="1"/>
  <c r="CA382" i="1" s="1"/>
  <c r="BR3133" i="1"/>
  <c r="CA3133" i="1" s="1"/>
  <c r="BR513" i="1"/>
  <c r="CA513" i="1" s="1"/>
  <c r="BR1633" i="1"/>
  <c r="CA1633" i="1" s="1"/>
  <c r="BR2342" i="1"/>
  <c r="CA2342" i="1" s="1"/>
  <c r="BR2041" i="1"/>
  <c r="CA2041" i="1" s="1"/>
  <c r="BR2480" i="1"/>
  <c r="CA2480" i="1" s="1"/>
  <c r="BR3152" i="1"/>
  <c r="CA3152" i="1" s="1"/>
  <c r="BR3153" i="1"/>
  <c r="CA3153" i="1" s="1"/>
  <c r="BR2240" i="1"/>
  <c r="CA2240" i="1" s="1"/>
  <c r="BR3168" i="1"/>
  <c r="CA3168" i="1" s="1"/>
  <c r="BR3097" i="1"/>
  <c r="CA3097" i="1" s="1"/>
  <c r="BR770" i="1"/>
  <c r="CA770" i="1" s="1"/>
  <c r="BR656" i="1"/>
  <c r="CA656" i="1" s="1"/>
  <c r="BR489" i="1"/>
  <c r="CA489" i="1" s="1"/>
  <c r="BR3183" i="1"/>
  <c r="CA3183" i="1" s="1"/>
  <c r="BR361" i="1"/>
  <c r="CA361" i="1" s="1"/>
  <c r="BR567" i="1"/>
  <c r="CA567" i="1" s="1"/>
  <c r="BR2056" i="1"/>
  <c r="CA2056" i="1" s="1"/>
  <c r="BR3194" i="1"/>
  <c r="CA3194" i="1" s="1"/>
  <c r="BR492" i="1"/>
  <c r="CA492" i="1" s="1"/>
  <c r="BR3199" i="1"/>
  <c r="CA3199" i="1" s="1"/>
  <c r="BR760" i="1"/>
  <c r="CA760" i="1" s="1"/>
  <c r="BR21" i="1"/>
  <c r="CA21" i="1" s="1"/>
  <c r="BR303" i="1"/>
  <c r="CA303" i="1" s="1"/>
  <c r="BR3205" i="1"/>
  <c r="CA3205" i="1" s="1"/>
  <c r="BR1399" i="1"/>
  <c r="CA1399" i="1" s="1"/>
  <c r="BR2899" i="1"/>
  <c r="CA2899" i="1" s="1"/>
  <c r="BR1357" i="1"/>
  <c r="CA1357" i="1" s="1"/>
  <c r="BR1413" i="1"/>
  <c r="CA1413" i="1" s="1"/>
  <c r="BR1472" i="1"/>
  <c r="CA1472" i="1" s="1"/>
  <c r="BR732" i="1"/>
  <c r="CA732" i="1" s="1"/>
  <c r="BR835" i="1"/>
  <c r="CA835" i="1" s="1"/>
  <c r="BR2926" i="1"/>
  <c r="CA2926" i="1" s="1"/>
  <c r="BR2939" i="1"/>
  <c r="CA2939" i="1" s="1"/>
  <c r="BR617" i="1"/>
  <c r="CA617" i="1" s="1"/>
  <c r="BR2940" i="1"/>
  <c r="CA2940" i="1" s="1"/>
  <c r="BR1787" i="1"/>
  <c r="CA1787" i="1" s="1"/>
  <c r="BR664" i="1"/>
  <c r="CA664" i="1" s="1"/>
  <c r="BR2064" i="1"/>
  <c r="CA2064" i="1" s="1"/>
  <c r="BR673" i="1"/>
  <c r="CA673" i="1" s="1"/>
  <c r="BR2948" i="1"/>
  <c r="CA2948" i="1" s="1"/>
  <c r="BR792" i="1"/>
  <c r="CA792" i="1" s="1"/>
  <c r="BR832" i="1"/>
  <c r="CA832" i="1" s="1"/>
  <c r="BR1043" i="1"/>
  <c r="CA1043" i="1" s="1"/>
  <c r="BR986" i="1"/>
  <c r="CA986" i="1" s="1"/>
  <c r="BR152" i="1"/>
  <c r="CA152" i="1" s="1"/>
  <c r="BR2203" i="1"/>
  <c r="CA2203" i="1" s="1"/>
  <c r="BR2970" i="1"/>
  <c r="CA2970" i="1" s="1"/>
  <c r="BR1165" i="1"/>
  <c r="CA1165" i="1" s="1"/>
  <c r="BR2981" i="1"/>
  <c r="CA2981" i="1" s="1"/>
  <c r="BR623" i="1"/>
  <c r="CA623" i="1" s="1"/>
  <c r="BR2360" i="1"/>
  <c r="CA2360" i="1" s="1"/>
  <c r="BR485" i="1"/>
  <c r="CA485" i="1" s="1"/>
  <c r="BR1412" i="1"/>
  <c r="CA1412" i="1" s="1"/>
  <c r="BR788" i="1"/>
  <c r="CA788" i="1" s="1"/>
  <c r="BR12" i="1"/>
  <c r="CA12" i="1" s="1"/>
  <c r="BR1250" i="1"/>
  <c r="CA1250" i="1" s="1"/>
  <c r="BR1225" i="1"/>
  <c r="CA1225" i="1" s="1"/>
  <c r="BR2025" i="1"/>
  <c r="CA2025" i="1" s="1"/>
  <c r="BR3006" i="1"/>
  <c r="CA3006" i="1" s="1"/>
  <c r="BR1004" i="1"/>
  <c r="CA1004" i="1" s="1"/>
  <c r="BR2087" i="1"/>
  <c r="CA2087" i="1" s="1"/>
  <c r="BR1210" i="1"/>
  <c r="CA1210" i="1" s="1"/>
  <c r="BR3024" i="1"/>
  <c r="CA3024" i="1" s="1"/>
  <c r="BR815" i="1"/>
  <c r="CA815" i="1" s="1"/>
  <c r="BR3032" i="1"/>
  <c r="CA3032" i="1" s="1"/>
  <c r="BR2603" i="1"/>
  <c r="CA2603" i="1" s="1"/>
  <c r="BR1779" i="1"/>
  <c r="CA1779" i="1" s="1"/>
  <c r="BR693" i="1"/>
  <c r="CA693" i="1" s="1"/>
  <c r="BR1727" i="1"/>
  <c r="CA1727" i="1" s="1"/>
  <c r="BR3047" i="1"/>
  <c r="CA3047" i="1" s="1"/>
  <c r="BR3048" i="1"/>
  <c r="CA3048" i="1" s="1"/>
  <c r="BR1534" i="1"/>
  <c r="CA1534" i="1" s="1"/>
  <c r="BR3052" i="1"/>
  <c r="CA3052" i="1" s="1"/>
  <c r="BR2349" i="1"/>
  <c r="CA2349" i="1" s="1"/>
  <c r="BR2351" i="1"/>
  <c r="CA2351" i="1" s="1"/>
  <c r="BR3058" i="1"/>
  <c r="CA3058" i="1" s="1"/>
  <c r="BR834" i="1"/>
  <c r="CA834" i="1" s="1"/>
  <c r="BR2513" i="1"/>
  <c r="CA2513" i="1" s="1"/>
  <c r="BR828" i="1"/>
  <c r="CA828" i="1" s="1"/>
  <c r="BR3068" i="1"/>
  <c r="CA3068" i="1" s="1"/>
  <c r="BR343" i="1"/>
  <c r="CA343" i="1" s="1"/>
  <c r="BR3072" i="1"/>
  <c r="CA3072" i="1" s="1"/>
  <c r="BR944" i="1"/>
  <c r="CA944" i="1" s="1"/>
  <c r="BR3022" i="1"/>
  <c r="CA3022" i="1" s="1"/>
  <c r="BR894" i="1"/>
  <c r="CA894" i="1" s="1"/>
  <c r="BR2414" i="1"/>
  <c r="CA2414" i="1" s="1"/>
  <c r="BR1191" i="1"/>
  <c r="CA1191" i="1" s="1"/>
  <c r="BR1525" i="1"/>
  <c r="CA1525" i="1" s="1"/>
  <c r="BR690" i="1"/>
  <c r="CA690" i="1" s="1"/>
  <c r="BR2459" i="1"/>
  <c r="CA2459" i="1" s="1"/>
  <c r="BR1201" i="1"/>
  <c r="CA1201" i="1" s="1"/>
  <c r="BR819" i="1"/>
  <c r="CA819" i="1" s="1"/>
  <c r="BR830" i="1"/>
  <c r="CA830" i="1" s="1"/>
  <c r="BR1696" i="1"/>
  <c r="CA1696" i="1" s="1"/>
  <c r="BR3096" i="1"/>
  <c r="CA3096" i="1" s="1"/>
  <c r="BR3098" i="1"/>
  <c r="CA3098" i="1" s="1"/>
  <c r="BR3101" i="1"/>
  <c r="CA3101" i="1" s="1"/>
  <c r="BR1085" i="1"/>
  <c r="CA1085" i="1" s="1"/>
  <c r="BR960" i="1"/>
  <c r="CA960" i="1" s="1"/>
  <c r="BR404" i="1"/>
  <c r="CA404" i="1" s="1"/>
  <c r="BR300" i="1"/>
  <c r="CA300" i="1" s="1"/>
  <c r="BR3120" i="1"/>
  <c r="CA3120" i="1" s="1"/>
  <c r="BR666" i="1"/>
  <c r="CA666" i="1" s="1"/>
  <c r="BR1282" i="1"/>
  <c r="CA1282" i="1" s="1"/>
  <c r="BR3122" i="1"/>
  <c r="CA3122" i="1" s="1"/>
  <c r="BR1499" i="1"/>
  <c r="CA1499" i="1" s="1"/>
  <c r="BR1133" i="1"/>
  <c r="CA1133" i="1" s="1"/>
  <c r="BR3142" i="1"/>
  <c r="CA3142" i="1" s="1"/>
  <c r="BR605" i="1"/>
  <c r="CA605" i="1" s="1"/>
  <c r="BR1068" i="1"/>
  <c r="CA1068" i="1" s="1"/>
  <c r="BR173" i="1"/>
  <c r="CA173" i="1" s="1"/>
  <c r="BR2848" i="1"/>
  <c r="CA2848" i="1" s="1"/>
  <c r="BR1276" i="1"/>
  <c r="CA1276" i="1" s="1"/>
  <c r="BR1015" i="1"/>
  <c r="CA1015" i="1" s="1"/>
  <c r="BR3148" i="1"/>
  <c r="CA3148" i="1" s="1"/>
  <c r="BR3159" i="1"/>
  <c r="CA3159" i="1" s="1"/>
  <c r="BR1287" i="1"/>
  <c r="CA1287" i="1" s="1"/>
  <c r="BR429" i="1"/>
  <c r="CA429" i="1" s="1"/>
  <c r="BR897" i="1"/>
  <c r="CA897" i="1" s="1"/>
  <c r="BR3171" i="1"/>
  <c r="CA3171" i="1" s="1"/>
  <c r="BR1145" i="1"/>
  <c r="CA1145" i="1" s="1"/>
  <c r="BR620" i="1"/>
  <c r="CA620" i="1" s="1"/>
  <c r="BR358" i="1"/>
  <c r="CA358" i="1" s="1"/>
  <c r="BR1135" i="1"/>
  <c r="CA1135" i="1" s="1"/>
  <c r="BR1367" i="1"/>
  <c r="CA1367" i="1" s="1"/>
  <c r="BR24" i="1"/>
  <c r="CA24" i="1" s="1"/>
  <c r="BR2907" i="1"/>
  <c r="CA2907" i="1" s="1"/>
  <c r="BR1372" i="1"/>
  <c r="CA1372" i="1" s="1"/>
  <c r="BR776" i="1"/>
  <c r="CA776" i="1" s="1"/>
  <c r="BR1424" i="1"/>
  <c r="CA1424" i="1" s="1"/>
  <c r="BR2912" i="1"/>
  <c r="CA2912" i="1" s="1"/>
  <c r="BR16" i="1"/>
  <c r="CA16" i="1" s="1"/>
  <c r="BR1481" i="1"/>
  <c r="CA1481" i="1" s="1"/>
  <c r="BR2406" i="1"/>
  <c r="CA2406" i="1" s="1"/>
  <c r="BR750" i="1"/>
  <c r="CA750" i="1" s="1"/>
  <c r="BR1530" i="1"/>
  <c r="CA1530" i="1" s="1"/>
  <c r="BR2928" i="1"/>
  <c r="CA2928" i="1" s="1"/>
  <c r="BR1917" i="1"/>
  <c r="CA1917" i="1" s="1"/>
  <c r="BR806" i="1"/>
  <c r="CA806" i="1" s="1"/>
  <c r="BR2270" i="1"/>
  <c r="CA2270" i="1" s="1"/>
  <c r="BR820" i="1"/>
  <c r="CA820" i="1" s="1"/>
  <c r="BR962" i="1"/>
  <c r="CA962" i="1" s="1"/>
  <c r="BR2956" i="1"/>
  <c r="CA2956" i="1" s="1"/>
  <c r="BR1612" i="1"/>
  <c r="CA1612" i="1" s="1"/>
  <c r="BR479" i="1"/>
  <c r="CA479" i="1" s="1"/>
  <c r="BR1513" i="1"/>
  <c r="CA1513" i="1" s="1"/>
  <c r="BR889" i="1"/>
  <c r="CA889" i="1" s="1"/>
  <c r="BR2335" i="1"/>
  <c r="CA2335" i="1" s="1"/>
  <c r="BR2974" i="1"/>
  <c r="CA2974" i="1" s="1"/>
  <c r="BR1082" i="1"/>
  <c r="CA1082" i="1" s="1"/>
  <c r="BR1587" i="1"/>
  <c r="CA1587" i="1" s="1"/>
  <c r="BR1088" i="1"/>
  <c r="CA1088" i="1" s="1"/>
  <c r="BR2478" i="1"/>
  <c r="CA2478" i="1" s="1"/>
  <c r="BR2449" i="1"/>
  <c r="CA2449" i="1" s="1"/>
  <c r="BR2988" i="1"/>
  <c r="CA2988" i="1" s="1"/>
  <c r="BR2050" i="1"/>
  <c r="CA2050" i="1" s="1"/>
  <c r="BR1737" i="1"/>
  <c r="CA1737" i="1" s="1"/>
  <c r="BR1774" i="1"/>
  <c r="CA1774" i="1" s="1"/>
  <c r="BR872" i="1"/>
  <c r="CA872" i="1" s="1"/>
  <c r="BR1625" i="1"/>
  <c r="CA1625" i="1" s="1"/>
  <c r="BR2994" i="1"/>
  <c r="CA2994" i="1" s="1"/>
  <c r="BR1966" i="1"/>
  <c r="CA1966" i="1" s="1"/>
  <c r="BR1420" i="1"/>
  <c r="CA1420" i="1" s="1"/>
  <c r="BR622" i="1"/>
  <c r="CA622" i="1" s="1"/>
  <c r="BR785" i="1"/>
  <c r="CA785" i="1" s="1"/>
  <c r="BR1330" i="1"/>
  <c r="CA1330" i="1" s="1"/>
  <c r="BR2253" i="1"/>
  <c r="CA2253" i="1" s="1"/>
  <c r="BR3018" i="1"/>
  <c r="CA3018" i="1" s="1"/>
  <c r="BR376" i="1"/>
  <c r="CA376" i="1" s="1"/>
  <c r="BR1743" i="1"/>
  <c r="CA1743" i="1" s="1"/>
  <c r="BR3073" i="1"/>
  <c r="CA3073" i="1" s="1"/>
  <c r="BR1517" i="1"/>
  <c r="CA1517" i="1" s="1"/>
  <c r="BR1038" i="1"/>
  <c r="CA1038" i="1" s="1"/>
  <c r="BR1227" i="1"/>
  <c r="CA1227" i="1" s="1"/>
  <c r="BR2499" i="1"/>
  <c r="CA2499" i="1" s="1"/>
  <c r="BR938" i="1"/>
  <c r="CA938" i="1" s="1"/>
  <c r="BR2123" i="1"/>
  <c r="CA2123" i="1" s="1"/>
  <c r="BR3088" i="1"/>
  <c r="CA3088" i="1" s="1"/>
  <c r="BR346" i="1"/>
  <c r="CA346" i="1" s="1"/>
  <c r="BR715" i="1"/>
  <c r="CA715" i="1" s="1"/>
  <c r="BR3095" i="1"/>
  <c r="CA3095" i="1" s="1"/>
  <c r="BR3092" i="1"/>
  <c r="CA3092" i="1" s="1"/>
  <c r="BR1218" i="1"/>
  <c r="CA1218" i="1" s="1"/>
  <c r="BR3115" i="1"/>
  <c r="CA3115" i="1" s="1"/>
  <c r="BR131" i="1"/>
  <c r="CA131" i="1" s="1"/>
  <c r="BR3118" i="1"/>
  <c r="CA3118" i="1" s="1"/>
  <c r="BR420" i="1"/>
  <c r="CA420" i="1" s="1"/>
  <c r="BR500" i="1"/>
  <c r="CA500" i="1" s="1"/>
  <c r="BR156" i="1"/>
  <c r="CA156" i="1" s="1"/>
  <c r="BR2305" i="1"/>
  <c r="CA2305" i="1" s="1"/>
  <c r="BR827" i="1"/>
  <c r="CA827" i="1" s="1"/>
  <c r="BR3139" i="1"/>
  <c r="CA3139" i="1" s="1"/>
  <c r="BR3138" i="1"/>
  <c r="CA3138" i="1" s="1"/>
  <c r="BR1419" i="1"/>
  <c r="CA1419" i="1" s="1"/>
  <c r="BR2019" i="1"/>
  <c r="CA2019" i="1" s="1"/>
  <c r="BR1674" i="1"/>
  <c r="CA1674" i="1" s="1"/>
  <c r="BR191" i="1"/>
  <c r="CA191" i="1" s="1"/>
  <c r="BR2003" i="1"/>
  <c r="CA2003" i="1" s="1"/>
  <c r="BR895" i="1"/>
  <c r="CA895" i="1" s="1"/>
  <c r="BR3167" i="1"/>
  <c r="CA3167" i="1" s="1"/>
  <c r="BR2103" i="1"/>
  <c r="CA2103" i="1" s="1"/>
  <c r="BR1693" i="1"/>
  <c r="CA1693" i="1" s="1"/>
  <c r="BR3174" i="1"/>
  <c r="CA3174" i="1" s="1"/>
  <c r="BR893" i="1"/>
  <c r="CA893" i="1" s="1"/>
  <c r="BR574" i="1"/>
  <c r="CA574" i="1" s="1"/>
  <c r="BR3181" i="1"/>
  <c r="CA3181" i="1" s="1"/>
  <c r="BR2500" i="1"/>
  <c r="CA2500" i="1" s="1"/>
  <c r="BR1991" i="1"/>
  <c r="CA1991" i="1" s="1"/>
  <c r="BR190" i="1"/>
  <c r="CA190" i="1" s="1"/>
  <c r="BR1667" i="1"/>
  <c r="CA1667" i="1" s="1"/>
  <c r="BR3187" i="1"/>
  <c r="CA3187" i="1" s="1"/>
  <c r="BR738" i="1"/>
  <c r="CA738" i="1" s="1"/>
  <c r="BU1533" i="1"/>
  <c r="BW1533" i="1" s="1"/>
  <c r="BU2666" i="1"/>
  <c r="BW2666" i="1" s="1"/>
  <c r="BU1491" i="1"/>
  <c r="BW1491" i="1" s="1"/>
  <c r="BU1806" i="1"/>
  <c r="BW1806" i="1" s="1"/>
  <c r="BU3196" i="1"/>
  <c r="BW3196" i="1" s="1"/>
  <c r="BU1183" i="1"/>
  <c r="BW1183" i="1" s="1"/>
  <c r="BU2202" i="1"/>
  <c r="BW2202" i="1" s="1"/>
  <c r="BU917" i="1"/>
  <c r="BW917" i="1" s="1"/>
  <c r="BU2771" i="1"/>
  <c r="BW2771" i="1" s="1"/>
  <c r="BU1421" i="1"/>
  <c r="BW1421" i="1" s="1"/>
  <c r="BU1959" i="1"/>
  <c r="BW1959" i="1" s="1"/>
  <c r="BU1908" i="1"/>
  <c r="BW1908" i="1" s="1"/>
  <c r="BU1009" i="1"/>
  <c r="BW1009" i="1" s="1"/>
  <c r="BU812" i="1"/>
  <c r="BW812" i="1" s="1"/>
  <c r="BU170" i="1"/>
  <c r="BW170" i="1" s="1"/>
  <c r="BU2556" i="1"/>
  <c r="BW2556" i="1" s="1"/>
  <c r="BU2461" i="1"/>
  <c r="BW2461" i="1" s="1"/>
  <c r="BU841" i="1"/>
  <c r="BW841" i="1" s="1"/>
  <c r="BU1695" i="1"/>
  <c r="BW1695" i="1" s="1"/>
  <c r="BU1731" i="1"/>
  <c r="BW1731" i="1" s="1"/>
  <c r="BU1623" i="1"/>
  <c r="BW1623" i="1" s="1"/>
  <c r="BU856" i="1"/>
  <c r="BW856" i="1" s="1"/>
  <c r="BU1504" i="1"/>
  <c r="BW1504" i="1" s="1"/>
  <c r="BU2858" i="1"/>
  <c r="BW2858" i="1" s="1"/>
  <c r="BU1205" i="1"/>
  <c r="BW1205" i="1" s="1"/>
  <c r="BU1251" i="1"/>
  <c r="BW1251" i="1" s="1"/>
  <c r="BU2417" i="1"/>
  <c r="BW2417" i="1" s="1"/>
  <c r="BU2885" i="1"/>
  <c r="BW2885" i="1" s="1"/>
  <c r="BU2279" i="1"/>
  <c r="BW2279" i="1" s="1"/>
  <c r="BU314" i="1"/>
  <c r="BW314" i="1" s="1"/>
  <c r="BU1622" i="1"/>
  <c r="BW1622" i="1" s="1"/>
  <c r="BU2138" i="1"/>
  <c r="BW2138" i="1" s="1"/>
  <c r="BU1574" i="1"/>
  <c r="BW1574" i="1" s="1"/>
  <c r="BU2810" i="1"/>
  <c r="BW2810" i="1" s="1"/>
  <c r="BU1603" i="1"/>
  <c r="BW1603" i="1" s="1"/>
  <c r="BU1976" i="1"/>
  <c r="BW1976" i="1" s="1"/>
  <c r="BU2192" i="1"/>
  <c r="BW2192" i="1" s="1"/>
  <c r="BU367" i="1"/>
  <c r="BW367" i="1" s="1"/>
  <c r="BU2895" i="1"/>
  <c r="BW2895" i="1" s="1"/>
  <c r="BU1162" i="1"/>
  <c r="BW1162" i="1" s="1"/>
  <c r="BU1186" i="1"/>
  <c r="BW1186" i="1" s="1"/>
  <c r="BU1906" i="1"/>
  <c r="BW1906" i="1" s="1"/>
  <c r="BU3123" i="1"/>
  <c r="BW3123" i="1" s="1"/>
  <c r="BU1993" i="1"/>
  <c r="BW1993" i="1" s="1"/>
  <c r="BU1309" i="1"/>
  <c r="BW1309" i="1" s="1"/>
  <c r="BU1673" i="1"/>
  <c r="BW1673" i="1" s="1"/>
  <c r="BU2319" i="1"/>
  <c r="BW2319" i="1" s="1"/>
  <c r="BU2583" i="1"/>
  <c r="BW2583" i="1" s="1"/>
  <c r="BU2017" i="1"/>
  <c r="BW2017" i="1" s="1"/>
  <c r="BU2248" i="1"/>
  <c r="BW2248" i="1" s="1"/>
  <c r="BU2535" i="1"/>
  <c r="BW2535" i="1" s="1"/>
  <c r="BU655" i="1"/>
  <c r="BW655" i="1" s="1"/>
  <c r="BU1592" i="1"/>
  <c r="BW1592" i="1" s="1"/>
  <c r="BU2220" i="1"/>
  <c r="BW2220" i="1" s="1"/>
  <c r="BU1450" i="1"/>
  <c r="BW1450" i="1" s="1"/>
  <c r="BU2247" i="1"/>
  <c r="BW2247" i="1" s="1"/>
  <c r="BU808" i="1"/>
  <c r="BW808" i="1" s="1"/>
  <c r="BU2796" i="1"/>
  <c r="BW2796" i="1" s="1"/>
  <c r="BU1042" i="1"/>
  <c r="BW1042" i="1" s="1"/>
  <c r="BU2232" i="1"/>
  <c r="BW2232" i="1" s="1"/>
  <c r="BU476" i="1"/>
  <c r="BW476" i="1" s="1"/>
  <c r="BU2034" i="1"/>
  <c r="BW2034" i="1" s="1"/>
  <c r="BU2493" i="1"/>
  <c r="BW2493" i="1" s="1"/>
  <c r="BU1319" i="1"/>
  <c r="BW1319" i="1" s="1"/>
  <c r="BU183" i="1"/>
  <c r="BW183" i="1" s="1"/>
  <c r="BU1529" i="1"/>
  <c r="BW1529" i="1" s="1"/>
  <c r="BU2002" i="1"/>
  <c r="BW2002" i="1" s="1"/>
  <c r="BU2378" i="1"/>
  <c r="BW2378" i="1" s="1"/>
  <c r="BU2829" i="1"/>
  <c r="BW2829" i="1" s="1"/>
  <c r="BU204" i="1"/>
  <c r="BW204" i="1" s="1"/>
  <c r="BU1834" i="1"/>
  <c r="BW1834" i="1" s="1"/>
  <c r="BU1985" i="1"/>
  <c r="BW1985" i="1" s="1"/>
  <c r="BU2770" i="1"/>
  <c r="BW2770" i="1" s="1"/>
  <c r="BU684" i="1"/>
  <c r="BW684" i="1" s="1"/>
  <c r="BU2532" i="1"/>
  <c r="BW2532" i="1" s="1"/>
  <c r="BU2260" i="1"/>
  <c r="BW2260" i="1" s="1"/>
  <c r="BU1751" i="1"/>
  <c r="BW1751" i="1" s="1"/>
  <c r="BU2874" i="1"/>
  <c r="BW2874" i="1" s="1"/>
  <c r="BU1984" i="1"/>
  <c r="BW1984" i="1" s="1"/>
  <c r="BU2901" i="1"/>
  <c r="BW2901" i="1" s="1"/>
  <c r="BU1816" i="1"/>
  <c r="BW1816" i="1" s="1"/>
  <c r="BU823" i="1"/>
  <c r="BW823" i="1" s="1"/>
  <c r="BU896" i="1"/>
  <c r="BW896" i="1" s="1"/>
  <c r="BU2311" i="1"/>
  <c r="BW2311" i="1" s="1"/>
  <c r="BU1664" i="1"/>
  <c r="BW1664" i="1" s="1"/>
  <c r="BU3076" i="1"/>
  <c r="BW3076" i="1" s="1"/>
  <c r="BK2793" i="1"/>
  <c r="BF3061" i="1"/>
  <c r="CI3061" i="1" s="1"/>
  <c r="CJ3061" i="1" s="1"/>
  <c r="BK3061" i="1"/>
  <c r="BF1505" i="1"/>
  <c r="CI1505" i="1" s="1"/>
  <c r="CJ1505" i="1" s="1"/>
  <c r="BK1505" i="1"/>
  <c r="BF2576" i="1"/>
  <c r="BQ2576" i="1" l="1"/>
  <c r="CI2576" i="1"/>
  <c r="CJ2576" i="1" s="1"/>
  <c r="Q2793" i="1"/>
  <c r="BU2793" i="1" s="1"/>
  <c r="BW2793" i="1" s="1"/>
  <c r="BQ2793" i="1"/>
  <c r="Q3061" i="1"/>
  <c r="BU3061" i="1" s="1"/>
  <c r="BW3061" i="1" s="1"/>
  <c r="BQ3061" i="1"/>
  <c r="Q1505" i="1"/>
  <c r="BX1505" i="1" s="1"/>
  <c r="BQ1505" i="1"/>
  <c r="CA2976" i="1"/>
  <c r="BU2920" i="1"/>
  <c r="BW2920" i="1" s="1"/>
  <c r="BU2878" i="1"/>
  <c r="BW2878" i="1" s="1"/>
  <c r="BU1642" i="1"/>
  <c r="BW1642" i="1" s="1"/>
  <c r="BU2291" i="1"/>
  <c r="BW2291" i="1" s="1"/>
  <c r="BU2841" i="1"/>
  <c r="BW2841" i="1" s="1"/>
  <c r="BU2795" i="1"/>
  <c r="BW2795" i="1" s="1"/>
  <c r="BU2354" i="1"/>
  <c r="BW2354" i="1" s="1"/>
  <c r="BU3041" i="1"/>
  <c r="BW3041" i="1" s="1"/>
  <c r="BU1337" i="1"/>
  <c r="BW1337" i="1" s="1"/>
  <c r="BU2075" i="1"/>
  <c r="BW2075" i="1" s="1"/>
  <c r="BU635" i="1"/>
  <c r="BW635" i="1" s="1"/>
  <c r="BU647" i="1"/>
  <c r="BW647" i="1" s="1"/>
  <c r="BU1357" i="1"/>
  <c r="BW1357" i="1" s="1"/>
  <c r="BU1142" i="1"/>
  <c r="BW1142" i="1" s="1"/>
  <c r="BU120" i="1"/>
  <c r="BW120" i="1" s="1"/>
  <c r="BU1723" i="1"/>
  <c r="BW1723" i="1" s="1"/>
  <c r="BU637" i="1"/>
  <c r="BW637" i="1" s="1"/>
  <c r="BU731" i="1"/>
  <c r="BW731" i="1" s="1"/>
  <c r="BU872" i="1"/>
  <c r="BW872" i="1" s="1"/>
  <c r="BU2238" i="1"/>
  <c r="BW2238" i="1" s="1"/>
  <c r="BU518" i="1"/>
  <c r="BW518" i="1" s="1"/>
  <c r="BU1446" i="1"/>
  <c r="BW1446" i="1" s="1"/>
  <c r="BU2486" i="1"/>
  <c r="BW2486" i="1" s="1"/>
  <c r="BU2394" i="1"/>
  <c r="BW2394" i="1" s="1"/>
  <c r="BU3199" i="1"/>
  <c r="BW3199" i="1" s="1"/>
  <c r="BU770" i="1"/>
  <c r="BW770" i="1" s="1"/>
  <c r="BU1663" i="1"/>
  <c r="BW1663" i="1" s="1"/>
  <c r="BU2109" i="1"/>
  <c r="BW2109" i="1" s="1"/>
  <c r="BU763" i="1"/>
  <c r="BW763" i="1" s="1"/>
  <c r="BU1007" i="1"/>
  <c r="BW1007" i="1" s="1"/>
  <c r="BU1435" i="1"/>
  <c r="BW1435" i="1" s="1"/>
  <c r="BU546" i="1"/>
  <c r="BW546" i="1" s="1"/>
  <c r="BU2078" i="1"/>
  <c r="BW2078" i="1" s="1"/>
  <c r="BU187" i="1"/>
  <c r="BW187" i="1" s="1"/>
  <c r="BU1425" i="1"/>
  <c r="BW1425" i="1" s="1"/>
  <c r="BU653" i="1"/>
  <c r="BW653" i="1" s="1"/>
  <c r="BU398" i="1"/>
  <c r="BW398" i="1" s="1"/>
  <c r="BX152" i="1"/>
  <c r="BX485" i="1"/>
  <c r="BX3031" i="1"/>
  <c r="BX2942" i="1"/>
  <c r="BX307" i="1"/>
  <c r="BX2888" i="1"/>
  <c r="BX1962" i="1"/>
  <c r="BX2833" i="1"/>
  <c r="BX2640" i="1"/>
  <c r="BX1192" i="1"/>
  <c r="BX984" i="1"/>
  <c r="BX1083" i="1"/>
  <c r="BX711" i="1"/>
  <c r="BX1432" i="1"/>
  <c r="BU1432" i="1"/>
  <c r="BW1432" i="1" s="1"/>
  <c r="BX2015" i="1"/>
  <c r="BX2323" i="1"/>
  <c r="BX2150" i="1"/>
  <c r="BX515" i="1"/>
  <c r="BX2176" i="1"/>
  <c r="BX472" i="1"/>
  <c r="BX361" i="1"/>
  <c r="BX1846" i="1"/>
  <c r="BX364" i="1"/>
  <c r="BX136" i="1"/>
  <c r="BX2514" i="1"/>
  <c r="BX3202" i="1"/>
  <c r="BX1426" i="1"/>
  <c r="BX1668" i="1"/>
  <c r="BX869" i="1"/>
  <c r="BX1061" i="1"/>
  <c r="BX1028" i="1"/>
  <c r="BX2229" i="1"/>
  <c r="BX2133" i="1"/>
  <c r="BX1527" i="1"/>
  <c r="BX2964" i="1"/>
  <c r="BX1659" i="1"/>
  <c r="BX2410" i="1"/>
  <c r="BX584" i="1"/>
  <c r="BX1530" i="1"/>
  <c r="BX2917" i="1"/>
  <c r="BX912" i="1"/>
  <c r="BX2914" i="1"/>
  <c r="BX1872" i="1"/>
  <c r="BX2900" i="1"/>
  <c r="BX358" i="1"/>
  <c r="BX2883" i="1"/>
  <c r="BX2876" i="1"/>
  <c r="BX2868" i="1"/>
  <c r="BX1479" i="1"/>
  <c r="BX985" i="1"/>
  <c r="BX2853" i="1"/>
  <c r="BX1283" i="1"/>
  <c r="BX2832" i="1"/>
  <c r="BX1543" i="1"/>
  <c r="BX1006" i="1"/>
  <c r="BX1300" i="1"/>
  <c r="BX2222" i="1"/>
  <c r="BX2569" i="1"/>
  <c r="BX937" i="1"/>
  <c r="BX410" i="1"/>
  <c r="BX2772" i="1"/>
  <c r="BX2165" i="1"/>
  <c r="BX2075" i="1"/>
  <c r="BX773" i="1"/>
  <c r="BX887" i="1"/>
  <c r="BX1555" i="1"/>
  <c r="BX387" i="1"/>
  <c r="BX1637" i="1"/>
  <c r="BX1903" i="1"/>
  <c r="BX1612" i="1"/>
  <c r="BX868" i="1"/>
  <c r="BX2362" i="1"/>
  <c r="BX2795" i="1"/>
  <c r="BX1414" i="1"/>
  <c r="BX1425" i="1"/>
  <c r="BX570" i="1"/>
  <c r="BX374" i="1"/>
  <c r="BX2370" i="1"/>
  <c r="BX3048" i="1"/>
  <c r="BX2125" i="1"/>
  <c r="BX571" i="1"/>
  <c r="BX1264" i="1"/>
  <c r="BX2912" i="1"/>
  <c r="BX1357" i="1"/>
  <c r="BX1317" i="1"/>
  <c r="BX1706" i="1"/>
  <c r="BX717" i="1"/>
  <c r="BX2013" i="1"/>
  <c r="BX566" i="1"/>
  <c r="BX1142" i="1"/>
  <c r="BX3194" i="1"/>
  <c r="BX647" i="1"/>
  <c r="BX2502" i="1"/>
  <c r="BX2910" i="1"/>
  <c r="BX1700" i="1"/>
  <c r="BX2838" i="1"/>
  <c r="BX2331" i="1"/>
  <c r="BX130" i="1"/>
  <c r="BX1365" i="1"/>
  <c r="BX1067" i="1"/>
  <c r="BX3184" i="1"/>
  <c r="BX2354" i="1"/>
  <c r="BX3118" i="1"/>
  <c r="BX621" i="1"/>
  <c r="BX3041" i="1"/>
  <c r="BX1465" i="1"/>
  <c r="BX2989" i="1"/>
  <c r="BX1931" i="1"/>
  <c r="BX2481" i="1"/>
  <c r="BX1337" i="1"/>
  <c r="BX2949" i="1"/>
  <c r="BX806" i="1"/>
  <c r="BX2940" i="1"/>
  <c r="BX835" i="1"/>
  <c r="BX2916" i="1"/>
  <c r="BX1055" i="1"/>
  <c r="BX2121" i="1"/>
  <c r="BX1140" i="1"/>
  <c r="BX2896" i="1"/>
  <c r="BX2890" i="1"/>
  <c r="BX155" i="1"/>
  <c r="BX1782" i="1"/>
  <c r="BX2265" i="1"/>
  <c r="BX1111" i="1"/>
  <c r="BX833" i="1"/>
  <c r="BX1371" i="1"/>
  <c r="BX2836" i="1"/>
  <c r="BX1117" i="1"/>
  <c r="BX2818" i="1"/>
  <c r="BX390" i="1"/>
  <c r="BX725" i="1"/>
  <c r="BX546" i="1"/>
  <c r="BX2778" i="1"/>
  <c r="BX342" i="1"/>
  <c r="BX150" i="1"/>
  <c r="BX2689" i="1"/>
  <c r="BU1129" i="1"/>
  <c r="BW1129" i="1" s="1"/>
  <c r="BX120" i="1"/>
  <c r="BX1729" i="1"/>
  <c r="BX1983" i="1"/>
  <c r="BX1723" i="1"/>
  <c r="BX2958" i="1"/>
  <c r="BX1570" i="1"/>
  <c r="BX2330" i="1"/>
  <c r="BX2817" i="1"/>
  <c r="BX1964" i="1"/>
  <c r="BX2747" i="1"/>
  <c r="BX582" i="1"/>
  <c r="BX186" i="1"/>
  <c r="BX2500" i="1"/>
  <c r="BX411" i="1"/>
  <c r="BX611" i="1"/>
  <c r="BX1602" i="1"/>
  <c r="BX1423" i="1"/>
  <c r="BX2462" i="1"/>
  <c r="BX1036" i="1"/>
  <c r="BX1581" i="1"/>
  <c r="BX652" i="1"/>
  <c r="BX2506" i="1"/>
  <c r="BX637" i="1"/>
  <c r="BX1887" i="1"/>
  <c r="BX2053" i="1"/>
  <c r="BX731" i="1"/>
  <c r="BX1024" i="1"/>
  <c r="BX1072" i="1"/>
  <c r="BX872" i="1"/>
  <c r="BX2360" i="1"/>
  <c r="BX1804" i="1"/>
  <c r="BX694" i="1"/>
  <c r="BX371" i="1"/>
  <c r="BX2051" i="1"/>
  <c r="BX2805" i="1"/>
  <c r="BX2149" i="1"/>
  <c r="BX2157" i="1"/>
  <c r="BX579" i="1"/>
  <c r="BX1163" i="1"/>
  <c r="BX3191" i="1"/>
  <c r="BX1000" i="1"/>
  <c r="BX1434" i="1"/>
  <c r="BX2448" i="1"/>
  <c r="BX1446" i="1"/>
  <c r="BX2486" i="1"/>
  <c r="BX2988" i="1"/>
  <c r="BX1587" i="1"/>
  <c r="BX667" i="1"/>
  <c r="BX754" i="1"/>
  <c r="BX858" i="1"/>
  <c r="BX991" i="1"/>
  <c r="BX2178" i="1"/>
  <c r="BX200" i="1"/>
  <c r="BX1615" i="1"/>
  <c r="BX1699" i="1"/>
  <c r="BX1901" i="1"/>
  <c r="BX2110" i="1"/>
  <c r="BX1321" i="1"/>
  <c r="BX10" i="1"/>
  <c r="BX175" i="1"/>
  <c r="BX2863" i="1"/>
  <c r="BX362" i="1"/>
  <c r="BX2078" i="1"/>
  <c r="BX1243" i="1"/>
  <c r="BX1056" i="1"/>
  <c r="BX751" i="1"/>
  <c r="BX851" i="1"/>
  <c r="BX142" i="1"/>
  <c r="BX2091" i="1"/>
  <c r="BX2797" i="1"/>
  <c r="BX1207" i="1"/>
  <c r="BX2776" i="1"/>
  <c r="BX802" i="1"/>
  <c r="BX762" i="1"/>
  <c r="BX383" i="1"/>
  <c r="BX681" i="1"/>
  <c r="BX419" i="1"/>
  <c r="BX2592" i="1"/>
  <c r="BX1767" i="1"/>
  <c r="BX720" i="1"/>
  <c r="BX2074" i="1"/>
  <c r="BX635" i="1"/>
  <c r="BX154" i="1"/>
  <c r="BX576" i="1"/>
  <c r="BX2947" i="1"/>
  <c r="BX3104" i="1"/>
  <c r="BX3025" i="1"/>
  <c r="BX2517" i="1"/>
  <c r="BX585" i="1"/>
  <c r="BX1189" i="1"/>
  <c r="BX1029" i="1"/>
  <c r="BX2937" i="1"/>
  <c r="BX2931" i="1"/>
  <c r="BX2920" i="1"/>
  <c r="BX484" i="1"/>
  <c r="BX2386" i="1"/>
  <c r="BX352" i="1"/>
  <c r="BX2893" i="1"/>
  <c r="BX2878" i="1"/>
  <c r="BX1642" i="1"/>
  <c r="BX1687" i="1"/>
  <c r="BX2291" i="1"/>
  <c r="BX416" i="1"/>
  <c r="BX119" i="1"/>
  <c r="BX578" i="1"/>
  <c r="BX2841" i="1"/>
  <c r="BX544" i="1"/>
  <c r="BX1215" i="1"/>
  <c r="BX653" i="1"/>
  <c r="BX1922" i="1"/>
  <c r="BX886" i="1"/>
  <c r="BX398" i="1"/>
  <c r="BX1302" i="1"/>
  <c r="BX1688" i="1"/>
  <c r="BX2264" i="1"/>
  <c r="BX2436" i="1"/>
  <c r="BX308" i="1"/>
  <c r="BX474" i="1"/>
  <c r="BX187" i="1"/>
  <c r="BX2941" i="1"/>
  <c r="BX2710" i="1"/>
  <c r="BX453" i="1"/>
  <c r="BX2056" i="1"/>
  <c r="BX1926" i="1"/>
  <c r="BX1707" i="1"/>
  <c r="BX785" i="1"/>
  <c r="BX12" i="1"/>
  <c r="BX2012" i="1"/>
  <c r="BX2468" i="1"/>
  <c r="BX1296" i="1"/>
  <c r="BX849" i="1"/>
  <c r="BX365" i="1"/>
  <c r="BX2191" i="1"/>
  <c r="BU2817" i="1"/>
  <c r="BW2817" i="1" s="1"/>
  <c r="BU571" i="1"/>
  <c r="BW571" i="1" s="1"/>
  <c r="BU1215" i="1"/>
  <c r="BW1215" i="1" s="1"/>
  <c r="BU2500" i="1"/>
  <c r="BW2500" i="1" s="1"/>
  <c r="BU130" i="1"/>
  <c r="BW130" i="1" s="1"/>
  <c r="BX1991" i="1"/>
  <c r="BX382" i="1"/>
  <c r="BX3007" i="1"/>
  <c r="BX813" i="1"/>
  <c r="BX628" i="1"/>
  <c r="BX1582" i="1"/>
  <c r="BX1350" i="1"/>
  <c r="BX2189" i="1"/>
  <c r="BX979" i="1"/>
  <c r="BX1176" i="1"/>
  <c r="BX153" i="1"/>
  <c r="BX1818" i="1"/>
  <c r="BX784" i="1"/>
  <c r="BX2645" i="1"/>
  <c r="BX1730" i="1"/>
  <c r="BX1069" i="1"/>
  <c r="BX2952" i="1"/>
  <c r="BX432" i="1"/>
  <c r="BX2909" i="1"/>
  <c r="BX1791" i="1"/>
  <c r="BX1869" i="1"/>
  <c r="BX1293" i="1"/>
  <c r="BX619" i="1"/>
  <c r="BX2777" i="1"/>
  <c r="BX1859" i="1"/>
  <c r="BX2024" i="1"/>
  <c r="BX3192" i="1"/>
  <c r="BX2501" i="1"/>
  <c r="BX2240" i="1"/>
  <c r="BX3119" i="1"/>
  <c r="BX3079" i="1"/>
  <c r="BX296" i="1"/>
  <c r="BX3018" i="1"/>
  <c r="BX2207" i="1"/>
  <c r="BX708" i="1"/>
  <c r="BX2446" i="1"/>
  <c r="BX2957" i="1"/>
  <c r="BX2760" i="1"/>
  <c r="BX444" i="1"/>
  <c r="BX724" i="1"/>
  <c r="BX2208" i="1"/>
  <c r="BX2919" i="1"/>
  <c r="BX1519" i="1"/>
  <c r="BX901" i="1"/>
  <c r="BX1759" i="1"/>
  <c r="BX2405" i="1"/>
  <c r="BX2668" i="1"/>
  <c r="BX2870" i="1"/>
  <c r="BX1711" i="1"/>
  <c r="BX2860" i="1"/>
  <c r="BX2076" i="1"/>
  <c r="BX2847" i="1"/>
  <c r="BX2170" i="1"/>
  <c r="BX2816" i="1"/>
  <c r="BX2809" i="1"/>
  <c r="BX2801" i="1"/>
  <c r="BX2006" i="1"/>
  <c r="BX523" i="1"/>
  <c r="BX2748" i="1"/>
  <c r="BX1876" i="1"/>
  <c r="BX1852" i="1"/>
  <c r="BX2621" i="1"/>
  <c r="BX923" i="1"/>
  <c r="BX1012" i="1"/>
  <c r="BX2575" i="1"/>
  <c r="BX369" i="1"/>
  <c r="BX1911" i="1"/>
  <c r="BX3176" i="1"/>
  <c r="BX685" i="1"/>
  <c r="BX1902" i="1"/>
  <c r="BX2239" i="1"/>
  <c r="BX1334" i="1"/>
  <c r="BX1222" i="1"/>
  <c r="BX2316" i="1"/>
  <c r="BX1467" i="1"/>
  <c r="BX2587" i="1"/>
  <c r="BX2046" i="1"/>
  <c r="BX607" i="1"/>
  <c r="BX793" i="1"/>
  <c r="BX1647" i="1"/>
  <c r="BX1312" i="1"/>
  <c r="BX2954" i="1"/>
  <c r="BX304" i="1"/>
  <c r="BX1424" i="1"/>
  <c r="BX2899" i="1"/>
  <c r="BX1422" i="1"/>
  <c r="BX1494" i="1"/>
  <c r="BX377" i="1"/>
  <c r="BX2306" i="1"/>
  <c r="BX2742" i="1"/>
  <c r="BX606" i="1"/>
  <c r="BX2574" i="1"/>
  <c r="BX489" i="1"/>
  <c r="BU1966" i="1"/>
  <c r="BW1966" i="1" s="1"/>
  <c r="BX2516" i="1"/>
  <c r="BX309" i="1"/>
  <c r="BX1380" i="1"/>
  <c r="BX591" i="1"/>
  <c r="BX2430" i="1"/>
  <c r="BX450" i="1"/>
  <c r="BX2585" i="1"/>
  <c r="BX436" i="1"/>
  <c r="BX3180" i="1"/>
  <c r="BX3173" i="1"/>
  <c r="BX3155" i="1"/>
  <c r="BX1837" i="1"/>
  <c r="BX3080" i="1"/>
  <c r="BX1727" i="1"/>
  <c r="BX765" i="1"/>
  <c r="BX2549" i="1"/>
  <c r="BX2294" i="1"/>
  <c r="BX2961" i="1"/>
  <c r="BX2956" i="1"/>
  <c r="BX820" i="1"/>
  <c r="BX586" i="1"/>
  <c r="BX617" i="1"/>
  <c r="BX336" i="1"/>
  <c r="BX2127" i="1"/>
  <c r="BX477" i="1"/>
  <c r="BX188" i="1"/>
  <c r="BX2081" i="1"/>
  <c r="BX1443" i="1"/>
  <c r="BX1807" i="1"/>
  <c r="BX1245" i="1"/>
  <c r="BX2851" i="1"/>
  <c r="BX386" i="1"/>
  <c r="BU2842" i="1"/>
  <c r="BW2842" i="1" s="1"/>
  <c r="BX439" i="1"/>
  <c r="BX381" i="1"/>
  <c r="BX2181" i="1"/>
  <c r="BX787" i="1"/>
  <c r="BX1624" i="1"/>
  <c r="BX2785" i="1"/>
  <c r="BX1484" i="1"/>
  <c r="BX295" i="1"/>
  <c r="BX1168" i="1"/>
  <c r="BX2541" i="1"/>
  <c r="BX409" i="1"/>
  <c r="BX139" i="1"/>
  <c r="BX313" i="1"/>
  <c r="BX903" i="1"/>
  <c r="BX2678" i="1"/>
  <c r="BX832" i="1"/>
  <c r="BX1787" i="1"/>
  <c r="BX2828" i="1"/>
  <c r="BX1873" i="1"/>
  <c r="BX1139" i="1"/>
  <c r="BX1874" i="1"/>
  <c r="BX824" i="1"/>
  <c r="BX650" i="1"/>
  <c r="BX3187" i="1"/>
  <c r="BX574" i="1"/>
  <c r="BX1864" i="1"/>
  <c r="BX376" i="1"/>
  <c r="BX3002" i="1"/>
  <c r="BX986" i="1"/>
  <c r="BX2454" i="1"/>
  <c r="BX1343" i="1"/>
  <c r="BX1131" i="1"/>
  <c r="BX913" i="1"/>
  <c r="BX1840" i="1"/>
  <c r="BX2783" i="1"/>
  <c r="BX1332" i="1"/>
  <c r="BX1968" i="1"/>
  <c r="BX844" i="1"/>
  <c r="BX2414" i="1"/>
  <c r="BX788" i="1"/>
  <c r="BX401" i="1"/>
  <c r="BX482" i="1"/>
  <c r="BX2834" i="1"/>
  <c r="BX443" i="1"/>
  <c r="BX2303" i="1"/>
  <c r="BX2769" i="1"/>
  <c r="BX1094" i="1"/>
  <c r="BX2437" i="1"/>
  <c r="BX1022" i="1"/>
  <c r="BX1267" i="1"/>
  <c r="BX1193" i="1"/>
  <c r="BX1732" i="1"/>
  <c r="BX990" i="1"/>
  <c r="BX2650" i="1"/>
  <c r="BX425" i="1"/>
  <c r="BX2449" i="1"/>
  <c r="BX1915" i="1"/>
  <c r="BX2039" i="1"/>
  <c r="BX2209" i="1"/>
  <c r="BX1626" i="1"/>
  <c r="BX511" i="1"/>
  <c r="BX2536" i="1"/>
  <c r="BX1195" i="1"/>
  <c r="BX2918" i="1"/>
  <c r="BX1413" i="1"/>
  <c r="BX2190" i="1"/>
  <c r="BX756" i="1"/>
  <c r="BX2214" i="1"/>
  <c r="BX1016" i="1"/>
  <c r="BX2875" i="1"/>
  <c r="BX1217" i="1"/>
  <c r="BX351" i="1"/>
  <c r="BX1047" i="1"/>
  <c r="BX1893" i="1"/>
  <c r="BX772" i="1"/>
  <c r="BX2830" i="1"/>
  <c r="BX447" i="1"/>
  <c r="BX580" i="1"/>
  <c r="BX1789" i="1"/>
  <c r="BX2151" i="1"/>
  <c r="BX2515" i="1"/>
  <c r="BX1784" i="1"/>
  <c r="BX2788" i="1"/>
  <c r="BX1447" i="1"/>
  <c r="BX1273" i="1"/>
  <c r="BX206" i="1"/>
  <c r="BX1382" i="1"/>
  <c r="BX2477" i="1"/>
  <c r="BX2638" i="1"/>
  <c r="BX2401" i="1"/>
  <c r="BX954" i="1"/>
  <c r="BX1557" i="1"/>
  <c r="BX2071" i="1"/>
  <c r="BX1593" i="1"/>
  <c r="BX2342" i="1"/>
  <c r="BX288" i="1"/>
  <c r="BX318" i="1"/>
  <c r="BX3039" i="1"/>
  <c r="BX1953" i="1"/>
  <c r="BX2997" i="1"/>
  <c r="BX2321" i="1"/>
  <c r="BX2185" i="1"/>
  <c r="BX2325" i="1"/>
  <c r="BX786" i="1"/>
  <c r="BX660" i="1"/>
  <c r="BX1685" i="1"/>
  <c r="BX948" i="1"/>
  <c r="BU2145" i="1"/>
  <c r="BW2145" i="1" s="1"/>
  <c r="BX105" i="1"/>
  <c r="BX7" i="1"/>
  <c r="BX2358" i="1"/>
  <c r="BX372" i="1"/>
  <c r="BX988" i="1"/>
  <c r="BX735" i="1"/>
  <c r="BX1417" i="1"/>
  <c r="BX1388" i="1"/>
  <c r="BX1384" i="1"/>
  <c r="BX2855" i="1"/>
  <c r="BX1882" i="1"/>
  <c r="BX1850" i="1"/>
  <c r="BX2482" i="1"/>
  <c r="BX1171" i="1"/>
  <c r="BX703" i="1"/>
  <c r="BX1427" i="1"/>
  <c r="BX748" i="1"/>
  <c r="BX2365" i="1"/>
  <c r="BX1160" i="1"/>
  <c r="BX1596" i="1"/>
  <c r="BX936" i="1"/>
  <c r="BX1580" i="1"/>
  <c r="BX1281" i="1"/>
  <c r="BX796" i="1"/>
  <c r="BX2579" i="1"/>
  <c r="BX2494" i="1"/>
  <c r="BU3048" i="1"/>
  <c r="BW3048" i="1" s="1"/>
  <c r="BU2410" i="1"/>
  <c r="BW2410" i="1" s="1"/>
  <c r="BU2053" i="1"/>
  <c r="BW2053" i="1" s="1"/>
  <c r="BU2836" i="1"/>
  <c r="BW2836" i="1" s="1"/>
  <c r="BU1414" i="1"/>
  <c r="BW1414" i="1" s="1"/>
  <c r="BU2121" i="1"/>
  <c r="BW2121" i="1" s="1"/>
  <c r="BU308" i="1"/>
  <c r="BW308" i="1" s="1"/>
  <c r="BU985" i="1"/>
  <c r="BW985" i="1" s="1"/>
  <c r="BU1887" i="1"/>
  <c r="BW1887" i="1" s="1"/>
  <c r="BU2462" i="1"/>
  <c r="BW2462" i="1" s="1"/>
  <c r="BU1903" i="1"/>
  <c r="BW1903" i="1" s="1"/>
  <c r="BU725" i="1"/>
  <c r="BW725" i="1" s="1"/>
  <c r="BU1302" i="1"/>
  <c r="BW1302" i="1" s="1"/>
  <c r="BU3118" i="1"/>
  <c r="BW3118" i="1" s="1"/>
  <c r="BU1029" i="1"/>
  <c r="BW1029" i="1" s="1"/>
  <c r="BX1632" i="1"/>
  <c r="BX564" i="1"/>
  <c r="BX1349" i="1"/>
  <c r="BX3095" i="1"/>
  <c r="BX2249" i="1"/>
  <c r="BX838" i="1"/>
  <c r="BX553" i="1"/>
  <c r="BX950" i="1"/>
  <c r="BX1290" i="1"/>
  <c r="BX395" i="1"/>
  <c r="BX2412" i="1"/>
  <c r="BX162" i="1"/>
  <c r="BX1400" i="1"/>
  <c r="BX2147" i="1"/>
  <c r="BX2010" i="1"/>
  <c r="BX2908" i="1"/>
  <c r="BX2902" i="1"/>
  <c r="BX2898" i="1"/>
  <c r="BX1992" i="1"/>
  <c r="BX384" i="1"/>
  <c r="BX1897" i="1"/>
  <c r="BX1216" i="1"/>
  <c r="BX1691" i="1"/>
  <c r="BX117" i="1"/>
  <c r="BX2318" i="1"/>
  <c r="BX1452" i="1"/>
  <c r="BX440" i="1"/>
  <c r="BX1698" i="1"/>
  <c r="BX2794" i="1"/>
  <c r="BX1510" i="1"/>
  <c r="BX2441" i="1"/>
  <c r="BX2768" i="1"/>
  <c r="BX1034" i="1"/>
  <c r="BX2654" i="1"/>
  <c r="BX133" i="1"/>
  <c r="BX1401" i="1"/>
  <c r="BX969" i="1"/>
  <c r="BX481" i="1"/>
  <c r="BX807" i="1"/>
  <c r="BX2936" i="1"/>
  <c r="BX2998" i="1"/>
  <c r="BX2533" i="1"/>
  <c r="BX2929" i="1"/>
  <c r="BX167" i="1"/>
  <c r="BX17" i="1"/>
  <c r="BX648" i="1"/>
  <c r="BX1551" i="1"/>
  <c r="BX2293" i="1"/>
  <c r="BX2115" i="1"/>
  <c r="BX2488" i="1"/>
  <c r="BX106" i="1"/>
  <c r="BX2307" i="1"/>
  <c r="BX1853" i="1"/>
  <c r="BX1121" i="1"/>
  <c r="BX1999" i="1"/>
  <c r="BX2519" i="1"/>
  <c r="BX1801" i="1"/>
  <c r="BX594" i="1"/>
  <c r="BX1974" i="1"/>
  <c r="BX2413" i="1"/>
  <c r="BX1629" i="1"/>
  <c r="BX567" i="1"/>
  <c r="BX2925" i="1"/>
  <c r="BX1736" i="1"/>
  <c r="BX2156" i="1"/>
  <c r="BX3195" i="1"/>
  <c r="BX1134" i="1"/>
  <c r="BX3117" i="1"/>
  <c r="BX14" i="1"/>
  <c r="BX1070" i="1"/>
  <c r="BX2959" i="1"/>
  <c r="BX1458" i="1"/>
  <c r="BX1325" i="1"/>
  <c r="BX1609" i="1"/>
  <c r="BX1308" i="1"/>
  <c r="BX196" i="1"/>
  <c r="BX1123" i="1"/>
  <c r="BX2873" i="1"/>
  <c r="BX1537" i="1"/>
  <c r="BX1374" i="1"/>
  <c r="BX2821" i="1"/>
  <c r="BX118" i="1"/>
  <c r="BX949" i="1"/>
  <c r="BX1880" i="1"/>
  <c r="BX1244" i="1"/>
  <c r="BX1464" i="1"/>
  <c r="BX1495" i="1"/>
  <c r="BX3179" i="1"/>
  <c r="BX1025" i="1"/>
  <c r="BX664" i="1"/>
  <c r="BX2923" i="1"/>
  <c r="BX1367" i="1"/>
  <c r="BX2036" i="1"/>
  <c r="BX2475" i="1"/>
  <c r="BX2228" i="1"/>
  <c r="BX933" i="1"/>
  <c r="BX2236" i="1"/>
  <c r="BX3181" i="1"/>
  <c r="BX1396" i="1"/>
  <c r="BX2995" i="1"/>
  <c r="BX2708" i="1"/>
  <c r="BX2197" i="1"/>
  <c r="BX1490" i="1"/>
  <c r="BX2406" i="1"/>
  <c r="BX202" i="1"/>
  <c r="BX845" i="1"/>
  <c r="BX2843" i="1"/>
  <c r="BX1832" i="1"/>
  <c r="BX2811" i="1"/>
  <c r="BX2608" i="1"/>
  <c r="BX301" i="1"/>
  <c r="BX2049" i="1"/>
  <c r="BX3160" i="1"/>
  <c r="BX1625" i="1"/>
  <c r="BX2944" i="1"/>
  <c r="BX1352" i="1"/>
  <c r="BX1032" i="1"/>
  <c r="BX542" i="1"/>
  <c r="BX2840" i="1"/>
  <c r="BX1954" i="1"/>
  <c r="BX1857" i="1"/>
  <c r="BX1766" i="1"/>
  <c r="BX3140" i="1"/>
  <c r="BX131" i="1"/>
  <c r="BX608" i="1"/>
  <c r="BX2171" i="1"/>
  <c r="BX1187" i="1"/>
  <c r="BX2455" i="1"/>
  <c r="BX323" i="1"/>
  <c r="BX669" i="1"/>
  <c r="BX2943" i="1"/>
  <c r="BX2935" i="1"/>
  <c r="BX750" i="1"/>
  <c r="BX956" i="1"/>
  <c r="BX449" i="1"/>
  <c r="BX2199" i="1"/>
  <c r="BX2903" i="1"/>
  <c r="BX1564" i="1"/>
  <c r="BX2881" i="1"/>
  <c r="BX348" i="1"/>
  <c r="BX433" i="1"/>
  <c r="BX1113" i="1"/>
  <c r="BX1994" i="1"/>
  <c r="BX437" i="1"/>
  <c r="BX705" i="1"/>
  <c r="BX1272" i="1"/>
  <c r="BX125" i="1"/>
  <c r="BX1379" i="1"/>
  <c r="BX963" i="1"/>
  <c r="BX1476" i="1"/>
  <c r="BX659" i="1"/>
  <c r="BX1982" i="1"/>
  <c r="BX2790" i="1"/>
  <c r="BX1483" i="1"/>
  <c r="BX2230" i="1"/>
  <c r="BX2328" i="1"/>
  <c r="BX766" i="1"/>
  <c r="BX1675" i="1"/>
  <c r="BX2168" i="1"/>
  <c r="BX1393" i="1"/>
  <c r="BX148" i="1"/>
  <c r="BX2139" i="1"/>
  <c r="BX1520" i="1"/>
  <c r="BX2522" i="1"/>
  <c r="BX3003" i="1"/>
  <c r="BX1399" i="1"/>
  <c r="BX2377" i="1"/>
  <c r="BX305" i="1"/>
  <c r="BX2915" i="1"/>
  <c r="BX1548" i="1"/>
  <c r="BX965" i="1"/>
  <c r="BX2960" i="1"/>
  <c r="BX373" i="1"/>
  <c r="BX368" i="1"/>
  <c r="BX1542" i="1"/>
  <c r="BX2850" i="1"/>
  <c r="BX952" i="1"/>
  <c r="BX1314" i="1"/>
  <c r="BX1084" i="1"/>
  <c r="BX2555" i="1"/>
  <c r="BX658" i="1"/>
  <c r="BX135" i="1"/>
  <c r="BX661" i="1"/>
  <c r="BX1967" i="1"/>
  <c r="BX461" i="1"/>
  <c r="BX1667" i="1"/>
  <c r="BX2344" i="1"/>
  <c r="BX1408" i="1"/>
  <c r="BX2907" i="1"/>
  <c r="BX1920" i="1"/>
  <c r="BX2395" i="1"/>
  <c r="BX2955" i="1"/>
  <c r="BX1512" i="1"/>
  <c r="BX174" i="1"/>
  <c r="BX1019" i="1"/>
  <c r="BX1601" i="1"/>
  <c r="BX1694" i="1"/>
  <c r="BX2028" i="1"/>
  <c r="BX829" i="1"/>
  <c r="BX2513" i="1"/>
  <c r="BX565" i="1"/>
  <c r="BX2511" i="1"/>
  <c r="BX583" i="1"/>
  <c r="BX145" i="1"/>
  <c r="BX692" i="1"/>
  <c r="BX2553" i="1"/>
  <c r="BX1030" i="1"/>
  <c r="BX2345" i="1"/>
  <c r="BX1472" i="1"/>
  <c r="BX2096" i="1"/>
  <c r="BX2540" i="1"/>
  <c r="BX1678" i="1"/>
  <c r="BX1224" i="1"/>
  <c r="BX180" i="1"/>
  <c r="BX1429" i="1"/>
  <c r="BX2861" i="1"/>
  <c r="BX189" i="1"/>
  <c r="BX2846" i="1"/>
  <c r="BX2298" i="1"/>
  <c r="BX178" i="1"/>
  <c r="BX1881" i="1"/>
  <c r="BX1257" i="1"/>
  <c r="BX2283" i="1"/>
  <c r="BX1315" i="1"/>
  <c r="BX670" i="1"/>
  <c r="BX2734" i="1"/>
  <c r="BX114" i="1"/>
  <c r="BX2698" i="1"/>
  <c r="BX2447" i="1"/>
  <c r="BX2278" i="1"/>
  <c r="BX458" i="1"/>
  <c r="BX1226" i="1"/>
  <c r="BX3193" i="1"/>
  <c r="BX1323" i="1"/>
  <c r="BX2137" i="1"/>
  <c r="BX1927" i="1"/>
  <c r="BX428" i="1"/>
  <c r="BX2996" i="1"/>
  <c r="BX2983" i="1"/>
  <c r="BX1709" i="1"/>
  <c r="BX2340" i="1"/>
  <c r="BX25" i="1"/>
  <c r="BX2393" i="1"/>
  <c r="BX171" i="1"/>
  <c r="BX2906" i="1"/>
  <c r="BX144" i="1"/>
  <c r="BX2894" i="1"/>
  <c r="BX1086" i="1"/>
  <c r="BX1508" i="1"/>
  <c r="BX1021" i="1"/>
  <c r="BX2869" i="1"/>
  <c r="BX981" i="1"/>
  <c r="BX321" i="1"/>
  <c r="BX2094" i="1"/>
  <c r="BX2" i="1"/>
  <c r="BX127" i="1"/>
  <c r="BX11" i="1"/>
  <c r="BX2498" i="1"/>
  <c r="BX2789" i="1"/>
  <c r="BX1199" i="1"/>
  <c r="BX2313" i="1"/>
  <c r="BX126" i="1"/>
  <c r="BX324" i="1"/>
  <c r="BX1830" i="1"/>
  <c r="BX1310" i="1"/>
  <c r="BU1687" i="1"/>
  <c r="BW1687" i="1" s="1"/>
  <c r="BU1371" i="1"/>
  <c r="BW1371" i="1" s="1"/>
  <c r="BU1055" i="1"/>
  <c r="BW1055" i="1" s="1"/>
  <c r="BU2797" i="1"/>
  <c r="BW2797" i="1" s="1"/>
  <c r="BU1283" i="1"/>
  <c r="BW1283" i="1" s="1"/>
  <c r="BU2165" i="1"/>
  <c r="BW2165" i="1" s="1"/>
  <c r="BU1659" i="1"/>
  <c r="BW1659" i="1" s="1"/>
  <c r="BU474" i="1"/>
  <c r="BW474" i="1" s="1"/>
  <c r="BU1922" i="1"/>
  <c r="BW1922" i="1" s="1"/>
  <c r="BU806" i="1"/>
  <c r="BW806" i="1" s="1"/>
  <c r="BU3104" i="1"/>
  <c r="BW3104" i="1" s="1"/>
  <c r="BU1688" i="1"/>
  <c r="BW1688" i="1" s="1"/>
  <c r="BU2264" i="1"/>
  <c r="BW2264" i="1" s="1"/>
  <c r="BX2806" i="1"/>
  <c r="BU1543" i="1"/>
  <c r="BW1543" i="1" s="1"/>
  <c r="BU1570" i="1"/>
  <c r="BW1570" i="1" s="1"/>
  <c r="BU2900" i="1"/>
  <c r="BW2900" i="1" s="1"/>
  <c r="BU579" i="1"/>
  <c r="BW579" i="1" s="1"/>
  <c r="BU1189" i="1"/>
  <c r="BW1189" i="1" s="1"/>
  <c r="BU886" i="1"/>
  <c r="BW886" i="1" s="1"/>
  <c r="BU1530" i="1"/>
  <c r="BW1530" i="1" s="1"/>
  <c r="BU1479" i="1"/>
  <c r="BW1479" i="1" s="1"/>
  <c r="BU2910" i="1"/>
  <c r="BW2910" i="1" s="1"/>
  <c r="BU611" i="1"/>
  <c r="BW611" i="1" s="1"/>
  <c r="BU1615" i="1"/>
  <c r="BW1615" i="1" s="1"/>
  <c r="BU2964" i="1"/>
  <c r="BW2964" i="1" s="1"/>
  <c r="BU2436" i="1"/>
  <c r="BW2436" i="1" s="1"/>
  <c r="BU119" i="1"/>
  <c r="BW119" i="1" s="1"/>
  <c r="BX2470" i="1"/>
  <c r="BX1854" i="1"/>
  <c r="BX3185" i="1"/>
  <c r="BX3178" i="1"/>
  <c r="BX168" i="1"/>
  <c r="BX715" i="1"/>
  <c r="BX3040" i="1"/>
  <c r="BX402" i="1"/>
  <c r="BX2951" i="1"/>
  <c r="BX804" i="1"/>
  <c r="BX522" i="1"/>
  <c r="BX1836" i="1"/>
  <c r="BX480" i="1"/>
  <c r="BU957" i="1"/>
  <c r="BW957" i="1" s="1"/>
  <c r="BX1628" i="1"/>
  <c r="BX925" i="1"/>
  <c r="BX2387" i="1"/>
  <c r="BX405" i="1"/>
  <c r="BX495" i="1"/>
  <c r="BX736" i="1"/>
  <c r="BX1511" i="1"/>
  <c r="BX1118" i="1"/>
  <c r="BX1811" i="1"/>
  <c r="BX905" i="1"/>
  <c r="BX1913" i="1"/>
  <c r="BX1747" i="1"/>
  <c r="BX184" i="1"/>
  <c r="BX2183" i="1"/>
  <c r="BX1167" i="1"/>
  <c r="BX1138" i="1"/>
  <c r="BX2243" i="1"/>
  <c r="BX141" i="1"/>
  <c r="BX2784" i="1"/>
  <c r="BX1815" i="1"/>
  <c r="BX2544" i="1"/>
  <c r="BX2765" i="1"/>
  <c r="BX1488" i="1"/>
  <c r="BX1500" i="1"/>
  <c r="BX2604" i="1"/>
  <c r="BX403" i="1"/>
  <c r="BX632" i="1"/>
  <c r="BX2409" i="1"/>
  <c r="BX814" i="1"/>
  <c r="BX638" i="1"/>
  <c r="BX1351" i="1"/>
  <c r="BX2416" i="1"/>
  <c r="BX745" i="1"/>
  <c r="BX1558" i="1"/>
  <c r="BX182" i="1"/>
  <c r="BX1346" i="1"/>
  <c r="BX469" i="1"/>
  <c r="BX630" i="1"/>
  <c r="BX18" i="1"/>
  <c r="BX2285" i="1"/>
  <c r="BX644" i="1"/>
  <c r="BX867" i="1"/>
  <c r="BX1411" i="1"/>
  <c r="BX181" i="1"/>
  <c r="BX2824" i="1"/>
  <c r="BX2804" i="1"/>
  <c r="BX2451" i="1"/>
  <c r="BX2590" i="1"/>
  <c r="BX1594" i="1"/>
  <c r="BX3183" i="1"/>
  <c r="BX1845" i="1"/>
  <c r="BX744" i="1"/>
  <c r="BX1737" i="1"/>
  <c r="BX1040" i="1"/>
  <c r="BX1838" i="1"/>
  <c r="BX2924" i="1"/>
  <c r="BX1095" i="1"/>
  <c r="BX2820" i="1"/>
  <c r="BX2434" i="1"/>
  <c r="BX1714" i="1"/>
  <c r="BU371" i="1"/>
  <c r="BW371" i="1" s="1"/>
  <c r="BU342" i="1"/>
  <c r="BW342" i="1" s="1"/>
  <c r="BU1901" i="1"/>
  <c r="BW1901" i="1" s="1"/>
  <c r="BU416" i="1"/>
  <c r="BW416" i="1" s="1"/>
  <c r="BX727" i="1"/>
  <c r="BU1587" i="1"/>
  <c r="BW1587" i="1" s="1"/>
  <c r="BU2832" i="1"/>
  <c r="BW2832" i="1" s="1"/>
  <c r="BU1006" i="1"/>
  <c r="BW1006" i="1" s="1"/>
  <c r="BU1117" i="1"/>
  <c r="BW1117" i="1" s="1"/>
  <c r="BU3184" i="1"/>
  <c r="BW3184" i="1" s="1"/>
  <c r="BU2937" i="1"/>
  <c r="BW2937" i="1" s="1"/>
  <c r="BU352" i="1"/>
  <c r="BW352" i="1" s="1"/>
  <c r="BU1555" i="1"/>
  <c r="BW1555" i="1" s="1"/>
  <c r="BU991" i="1"/>
  <c r="BW991" i="1" s="1"/>
  <c r="BU1321" i="1"/>
  <c r="BW1321" i="1" s="1"/>
  <c r="BU751" i="1"/>
  <c r="BW751" i="1" s="1"/>
  <c r="BU2149" i="1"/>
  <c r="BW2149" i="1" s="1"/>
  <c r="BU2330" i="1"/>
  <c r="BW2330" i="1" s="1"/>
  <c r="BU868" i="1"/>
  <c r="BW868" i="1" s="1"/>
  <c r="BU2890" i="1"/>
  <c r="BW2890" i="1" s="1"/>
  <c r="BU410" i="1"/>
  <c r="BW410" i="1" s="1"/>
  <c r="BU694" i="1"/>
  <c r="BW694" i="1" s="1"/>
  <c r="BU484" i="1"/>
  <c r="BW484" i="1" s="1"/>
  <c r="BU576" i="1"/>
  <c r="BW576" i="1" s="1"/>
  <c r="BU2470" i="1"/>
  <c r="BW2470" i="1" s="1"/>
  <c r="BX1611" i="1"/>
  <c r="BX2529" i="1"/>
  <c r="BX1796" i="1"/>
  <c r="BX776" i="1"/>
  <c r="BX467" i="1"/>
  <c r="BX882" i="1"/>
  <c r="BX414" i="1"/>
  <c r="BX2827" i="1"/>
  <c r="BX2069" i="1"/>
  <c r="BX1841" i="1"/>
  <c r="BX2945" i="1"/>
  <c r="BX1336" i="1"/>
  <c r="BX767" i="1"/>
  <c r="BX2884" i="1"/>
  <c r="BX1454" i="1"/>
  <c r="BX2857" i="1"/>
  <c r="BX2854" i="1"/>
  <c r="BX1213" i="1"/>
  <c r="BU2826" i="1"/>
  <c r="BW2826" i="1" s="1"/>
  <c r="BX2235" i="1"/>
  <c r="BX2080" i="1"/>
  <c r="BX2456" i="1"/>
  <c r="BX512" i="1"/>
  <c r="BX674" i="1"/>
  <c r="BX1313" i="1"/>
  <c r="BX1110" i="1"/>
  <c r="BX2798" i="1"/>
  <c r="BX961" i="1"/>
  <c r="BX2173" i="1"/>
  <c r="BX2623" i="1"/>
  <c r="BX13" i="1"/>
  <c r="BX2573" i="1"/>
  <c r="BX3200" i="1"/>
  <c r="BX665" i="1"/>
  <c r="BX1653" i="1"/>
  <c r="BX2982" i="1"/>
  <c r="BX1756" i="1"/>
  <c r="BX1969" i="1"/>
  <c r="BX16" i="1"/>
  <c r="BX1372" i="1"/>
  <c r="BX2897" i="1"/>
  <c r="BX2879" i="1"/>
  <c r="BX2196" i="1"/>
  <c r="BX2038" i="1"/>
  <c r="BX2686" i="1"/>
  <c r="BX2580" i="1"/>
  <c r="BX1104" i="1"/>
  <c r="BX1191" i="1"/>
  <c r="BX2141" i="1"/>
  <c r="BX723" i="1"/>
  <c r="BX2913" i="1"/>
  <c r="BX633" i="1"/>
  <c r="BX2839" i="1"/>
  <c r="BX434" i="1"/>
  <c r="BX1415" i="1"/>
  <c r="BX1407" i="1"/>
  <c r="BX2250" i="1"/>
  <c r="BX496" i="1"/>
  <c r="BX397" i="1"/>
  <c r="BX1998" i="1"/>
  <c r="BX500" i="1"/>
  <c r="BX2162" i="1"/>
  <c r="BX1957" i="1"/>
  <c r="BX1536" i="1"/>
  <c r="BX627" i="1"/>
  <c r="BX2965" i="1"/>
  <c r="BX2520" i="1"/>
  <c r="BX962" i="1"/>
  <c r="BX2270" i="1"/>
  <c r="BX2428" i="1"/>
  <c r="BX2926" i="1"/>
  <c r="BX732" i="1"/>
  <c r="BX675" i="1"/>
  <c r="BX626" i="1"/>
  <c r="BX779" i="1"/>
  <c r="BX696" i="1"/>
  <c r="BX1340" i="1"/>
  <c r="BX1705" i="1"/>
  <c r="BX355" i="1"/>
  <c r="BX2849" i="1"/>
  <c r="BX700" i="1"/>
  <c r="BU2284" i="1"/>
  <c r="BW2284" i="1" s="1"/>
  <c r="BX112" i="1"/>
  <c r="BX2508" i="1"/>
  <c r="BX1572" i="1"/>
  <c r="BX2814" i="1"/>
  <c r="BX1280" i="1"/>
  <c r="BX2132" i="1"/>
  <c r="BX2422" i="1"/>
  <c r="BX2210" i="1"/>
  <c r="BX2714" i="1"/>
  <c r="BX1780" i="1"/>
  <c r="BX657" i="1"/>
  <c r="BX1001" i="1"/>
  <c r="BX2114" i="1"/>
  <c r="BX677" i="1"/>
  <c r="BX2334" i="1"/>
  <c r="BX673" i="1"/>
  <c r="BX2023" i="1"/>
  <c r="BX2825" i="1"/>
  <c r="BX2484" i="1"/>
  <c r="BX15" i="1"/>
  <c r="BX2791" i="1"/>
  <c r="BX993" i="1"/>
  <c r="BX2218" i="1"/>
  <c r="BX190" i="1"/>
  <c r="BX3174" i="1"/>
  <c r="BX516" i="1"/>
  <c r="BX3019" i="1"/>
  <c r="BX976" i="1"/>
  <c r="BX1631" i="1"/>
  <c r="BX2891" i="1"/>
  <c r="BX2271" i="1"/>
  <c r="BX782" i="1"/>
  <c r="BX1353" i="1"/>
  <c r="BX2780" i="1"/>
  <c r="BX503" i="1"/>
  <c r="BX417" i="1"/>
  <c r="BX2606" i="1"/>
  <c r="BX3093" i="1"/>
  <c r="BX622" i="1"/>
  <c r="BX1412" i="1"/>
  <c r="BX2505" i="1"/>
  <c r="BX599" i="1"/>
  <c r="BX1376" i="1"/>
  <c r="BX927" i="1"/>
  <c r="BX357" i="1"/>
  <c r="BX1013" i="1"/>
  <c r="BX471" i="1"/>
  <c r="BX325" i="1"/>
  <c r="BX620" i="1"/>
  <c r="BX1674" i="1"/>
  <c r="BX3141" i="1"/>
  <c r="BX1177" i="1"/>
  <c r="BX2281" i="1"/>
  <c r="BX575" i="1"/>
  <c r="BX2999" i="1"/>
  <c r="BX2050" i="1"/>
  <c r="BX2347" i="1"/>
  <c r="BX2963" i="1"/>
  <c r="BX2950" i="1"/>
  <c r="BX1847" i="1"/>
  <c r="BX2001" i="1"/>
  <c r="BX292" i="1"/>
  <c r="BX2538" i="1"/>
  <c r="BX353" i="1"/>
  <c r="BX526" i="1"/>
  <c r="BX2905" i="1"/>
  <c r="BX1621" i="1"/>
  <c r="BX1394" i="1"/>
  <c r="BX2882" i="1"/>
  <c r="BX2068" i="1"/>
  <c r="BX2871" i="1"/>
  <c r="BX2866" i="1"/>
  <c r="BX2852" i="1"/>
  <c r="BX1910" i="1"/>
  <c r="BX121" i="1"/>
  <c r="BX593" i="1"/>
  <c r="BX1934" i="1"/>
  <c r="BX1858" i="1"/>
  <c r="BX1031" i="1"/>
  <c r="BX457" i="1"/>
  <c r="BX587" i="1"/>
  <c r="BX2802" i="1"/>
  <c r="BX1839" i="1"/>
  <c r="BX1916" i="1"/>
  <c r="BX871" i="1"/>
  <c r="BX2011" i="1"/>
  <c r="BX1473" i="1"/>
  <c r="BX2092" i="1"/>
  <c r="BX918" i="1"/>
  <c r="BX1256" i="1"/>
  <c r="BX943" i="1"/>
  <c r="BX595" i="1"/>
  <c r="BX682" i="1"/>
  <c r="BX1598" i="1"/>
  <c r="BX2129" i="1"/>
  <c r="BX388" i="1"/>
  <c r="BX1339" i="1"/>
  <c r="BX2008" i="1"/>
  <c r="BX1535" i="1"/>
  <c r="BX1225" i="1"/>
  <c r="BX1261" i="1"/>
  <c r="BX789" i="1"/>
  <c r="BX1947" i="1"/>
  <c r="BX1179" i="1"/>
  <c r="BX1945" i="1"/>
  <c r="BU2933" i="1"/>
  <c r="BW2933" i="1" s="1"/>
  <c r="BX1662" i="1"/>
  <c r="BX749" i="1"/>
  <c r="BX1744" i="1"/>
  <c r="BX1175" i="1"/>
  <c r="BX2233" i="1"/>
  <c r="BX2350" i="1"/>
  <c r="BX1541" i="1"/>
  <c r="BX2872" i="1"/>
  <c r="BX2479" i="1"/>
  <c r="BX519" i="1"/>
  <c r="BX572" i="1"/>
  <c r="BX2161" i="1"/>
  <c r="BX1988" i="1"/>
  <c r="BX1023" i="1"/>
  <c r="BX545" i="1"/>
  <c r="BX759" i="1"/>
  <c r="BX2373" i="1"/>
  <c r="BX1619" i="1"/>
  <c r="BX2163" i="1"/>
  <c r="BX2792" i="1"/>
  <c r="BX2507" i="1"/>
  <c r="BX201" i="1"/>
  <c r="BX818" i="1"/>
  <c r="BX1355" i="1"/>
  <c r="BX1788" i="1"/>
  <c r="BX866" i="1"/>
  <c r="BX600" i="1"/>
  <c r="BU3186" i="1"/>
  <c r="BW3186" i="1" s="1"/>
  <c r="BX1093" i="1"/>
  <c r="BX475" i="1"/>
  <c r="BX2991" i="1"/>
  <c r="BX2969" i="1"/>
  <c r="BX2329" i="1"/>
  <c r="BX811" i="1"/>
  <c r="BX2237" i="1"/>
  <c r="BX536" i="1"/>
  <c r="BX1248" i="1"/>
  <c r="BX2474" i="1"/>
  <c r="BX2273" i="1"/>
  <c r="BX848" i="1"/>
  <c r="BX2779" i="1"/>
  <c r="BX172" i="1"/>
  <c r="BX929" i="1"/>
  <c r="BX2597" i="1"/>
  <c r="BX676" i="1"/>
  <c r="BX1263" i="1"/>
  <c r="BX2338" i="1"/>
  <c r="BX1344" i="1"/>
  <c r="BX1059" i="1"/>
  <c r="BX1755" i="1"/>
  <c r="BX2503" i="1"/>
  <c r="BX997" i="1"/>
  <c r="BX2044" i="1"/>
  <c r="BX2070" i="1"/>
  <c r="BX973" i="1"/>
  <c r="BX1291" i="1"/>
  <c r="BU2386" i="1"/>
  <c r="BW2386" i="1" s="1"/>
  <c r="BU1612" i="1"/>
  <c r="BW1612" i="1" s="1"/>
  <c r="BU2896" i="1"/>
  <c r="BW2896" i="1" s="1"/>
  <c r="BU2883" i="1"/>
  <c r="BW2883" i="1" s="1"/>
  <c r="BU1602" i="1"/>
  <c r="BW1602" i="1" s="1"/>
  <c r="BU1300" i="1"/>
  <c r="BW1300" i="1" s="1"/>
  <c r="BU2947" i="1"/>
  <c r="BW2947" i="1" s="1"/>
  <c r="BU2931" i="1"/>
  <c r="BW2931" i="1" s="1"/>
  <c r="BU2893" i="1"/>
  <c r="BW2893" i="1" s="1"/>
  <c r="BU200" i="1"/>
  <c r="BW200" i="1" s="1"/>
  <c r="BU10" i="1"/>
  <c r="BW10" i="1" s="1"/>
  <c r="BU851" i="1"/>
  <c r="BW851" i="1" s="1"/>
  <c r="BU762" i="1"/>
  <c r="BW762" i="1" s="1"/>
  <c r="BU1434" i="1"/>
  <c r="BW1434" i="1" s="1"/>
  <c r="BU1699" i="1"/>
  <c r="BW1699" i="1" s="1"/>
  <c r="BU155" i="1"/>
  <c r="BW155" i="1" s="1"/>
  <c r="BU2747" i="1"/>
  <c r="BW2747" i="1" s="1"/>
  <c r="BU1767" i="1"/>
  <c r="BW1767" i="1" s="1"/>
  <c r="BU411" i="1"/>
  <c r="BW411" i="1" s="1"/>
  <c r="BX3175" i="1"/>
  <c r="BX1378" i="1"/>
  <c r="BX2987" i="1"/>
  <c r="BX1493" i="1"/>
  <c r="BX1079" i="1"/>
  <c r="BX853" i="1"/>
  <c r="BX2221" i="1"/>
  <c r="BX2444" i="1"/>
  <c r="BX1008" i="1"/>
  <c r="BX2411" i="1"/>
  <c r="BX2754" i="1"/>
  <c r="BX1231" i="1"/>
  <c r="BX1185" i="1"/>
  <c r="BX2314" i="1"/>
  <c r="BX1124" i="1"/>
  <c r="BX1181" i="1"/>
  <c r="BX2986" i="1"/>
  <c r="BX1950" i="1"/>
  <c r="BX2877" i="1"/>
  <c r="BX1010" i="1"/>
  <c r="BX2394" i="1"/>
  <c r="BX3199" i="1"/>
  <c r="BX770" i="1"/>
  <c r="BX1663" i="1"/>
  <c r="BX2109" i="1"/>
  <c r="BX2193" i="1"/>
  <c r="BX1868" i="1"/>
  <c r="BX763" i="1"/>
  <c r="BX1007" i="1"/>
  <c r="BX1435" i="1"/>
  <c r="BX2238" i="1"/>
  <c r="BX518" i="1"/>
  <c r="BU2569" i="1"/>
  <c r="BW2569" i="1" s="1"/>
  <c r="BU1036" i="1"/>
  <c r="BW1036" i="1" s="1"/>
  <c r="BU2988" i="1"/>
  <c r="BW2988" i="1" s="1"/>
  <c r="BU544" i="1"/>
  <c r="BW544" i="1" s="1"/>
  <c r="BU652" i="1"/>
  <c r="BW652" i="1" s="1"/>
  <c r="BU1804" i="1"/>
  <c r="BW1804" i="1" s="1"/>
  <c r="BU2868" i="1"/>
  <c r="BW2868" i="1" s="1"/>
  <c r="BU578" i="1"/>
  <c r="BW578" i="1" s="1"/>
  <c r="BU2157" i="1"/>
  <c r="BW2157" i="1" s="1"/>
  <c r="BU2876" i="1"/>
  <c r="BW2876" i="1" s="1"/>
  <c r="BU1707" i="1"/>
  <c r="BW1707" i="1" s="1"/>
  <c r="BU2185" i="1"/>
  <c r="BW2185" i="1" s="1"/>
  <c r="BU206" i="1"/>
  <c r="BW206" i="1" s="1"/>
  <c r="BU1759" i="1"/>
  <c r="BW1759" i="1" s="1"/>
  <c r="BU1685" i="1"/>
  <c r="BW1685" i="1" s="1"/>
  <c r="BU2316" i="1"/>
  <c r="BW2316" i="1" s="1"/>
  <c r="BU2039" i="1"/>
  <c r="BW2039" i="1" s="1"/>
  <c r="BU2794" i="1"/>
  <c r="BW2794" i="1" s="1"/>
  <c r="BU2321" i="1"/>
  <c r="BW2321" i="1" s="1"/>
  <c r="BU2515" i="1"/>
  <c r="BW2515" i="1" s="1"/>
  <c r="BU786" i="1"/>
  <c r="BW786" i="1" s="1"/>
  <c r="BU1876" i="1"/>
  <c r="BW1876" i="1" s="1"/>
  <c r="BU2501" i="1"/>
  <c r="BW2501" i="1" s="1"/>
  <c r="BU2405" i="1"/>
  <c r="BW2405" i="1" s="1"/>
  <c r="BX2145" i="1"/>
  <c r="BU1168" i="1"/>
  <c r="BW1168" i="1" s="1"/>
  <c r="BU2189" i="1"/>
  <c r="BW2189" i="1" s="1"/>
  <c r="BU1267" i="1"/>
  <c r="BW1267" i="1" s="1"/>
  <c r="BU1296" i="1"/>
  <c r="BW1296" i="1" s="1"/>
  <c r="BU2318" i="1"/>
  <c r="BW2318" i="1" s="1"/>
  <c r="BU440" i="1"/>
  <c r="BW440" i="1" s="1"/>
  <c r="BU3079" i="1"/>
  <c r="BW3079" i="1" s="1"/>
  <c r="BU1647" i="1"/>
  <c r="BW1647" i="1" s="1"/>
  <c r="BU1926" i="1"/>
  <c r="BW1926" i="1" s="1"/>
  <c r="BU1401" i="1"/>
  <c r="BW1401" i="1" s="1"/>
  <c r="BU724" i="1"/>
  <c r="BW724" i="1" s="1"/>
  <c r="BU2875" i="1"/>
  <c r="BW2875" i="1" s="1"/>
  <c r="BU950" i="1"/>
  <c r="BW950" i="1" s="1"/>
  <c r="BU564" i="1"/>
  <c r="BW564" i="1" s="1"/>
  <c r="BU1915" i="1"/>
  <c r="BW1915" i="1" s="1"/>
  <c r="BU1853" i="1"/>
  <c r="BW1853" i="1" s="1"/>
  <c r="BU369" i="1"/>
  <c r="BW369" i="1" s="1"/>
  <c r="BU1789" i="1"/>
  <c r="BW1789" i="1" s="1"/>
  <c r="BU1624" i="1"/>
  <c r="BW1624" i="1" s="1"/>
  <c r="BU2477" i="1"/>
  <c r="BW2477" i="1" s="1"/>
  <c r="BU2536" i="1"/>
  <c r="BW2536" i="1" s="1"/>
  <c r="BU580" i="1"/>
  <c r="BW580" i="1" s="1"/>
  <c r="BU1350" i="1"/>
  <c r="BW1350" i="1" s="1"/>
  <c r="BU3095" i="1"/>
  <c r="BW3095" i="1" s="1"/>
  <c r="BU351" i="1"/>
  <c r="BW351" i="1" s="1"/>
  <c r="BU2957" i="1"/>
  <c r="BW2957" i="1" s="1"/>
  <c r="BU1837" i="1"/>
  <c r="BW1837" i="1" s="1"/>
  <c r="BU1195" i="1"/>
  <c r="BW1195" i="1" s="1"/>
  <c r="BU820" i="1"/>
  <c r="BW820" i="1" s="1"/>
  <c r="BU1582" i="1"/>
  <c r="BW1582" i="1" s="1"/>
  <c r="BU395" i="1"/>
  <c r="BW395" i="1" s="1"/>
  <c r="BU2816" i="1"/>
  <c r="BW2816" i="1" s="1"/>
  <c r="BU2574" i="1"/>
  <c r="BW2574" i="1" s="1"/>
  <c r="BU979" i="1"/>
  <c r="BW979" i="1" s="1"/>
  <c r="BU2147" i="1"/>
  <c r="BW2147" i="1" s="1"/>
  <c r="BU2306" i="1"/>
  <c r="BW2306" i="1" s="1"/>
  <c r="BU923" i="1"/>
  <c r="BW923" i="1" s="1"/>
  <c r="BU2748" i="1"/>
  <c r="BW2748" i="1" s="1"/>
  <c r="BU2855" i="1"/>
  <c r="BW2855" i="1" s="1"/>
  <c r="BU1784" i="1"/>
  <c r="BW1784" i="1" s="1"/>
  <c r="BU2342" i="1"/>
  <c r="BW2342" i="1" s="1"/>
  <c r="BU425" i="1"/>
  <c r="BW425" i="1" s="1"/>
  <c r="BU2191" i="1"/>
  <c r="BW2191" i="1" s="1"/>
  <c r="BU1580" i="1"/>
  <c r="BW1580" i="1" s="1"/>
  <c r="BU377" i="1"/>
  <c r="BW377" i="1" s="1"/>
  <c r="BU2190" i="1"/>
  <c r="BW2190" i="1" s="1"/>
  <c r="BU2209" i="1"/>
  <c r="BW2209" i="1" s="1"/>
  <c r="BU2650" i="1"/>
  <c r="BW2650" i="1" s="1"/>
  <c r="BU849" i="1"/>
  <c r="BW849" i="1" s="1"/>
  <c r="BU2533" i="1"/>
  <c r="BW2533" i="1" s="1"/>
  <c r="BU296" i="1"/>
  <c r="BW296" i="1" s="1"/>
  <c r="BU1171" i="1"/>
  <c r="BW1171" i="1" s="1"/>
  <c r="BU2668" i="1"/>
  <c r="BW2668" i="1" s="1"/>
  <c r="BU2621" i="1"/>
  <c r="BW2621" i="1" s="1"/>
  <c r="BU2918" i="1"/>
  <c r="BW2918" i="1" s="1"/>
  <c r="BU2214" i="1"/>
  <c r="BW2214" i="1" s="1"/>
  <c r="BU793" i="1"/>
  <c r="BW793" i="1" s="1"/>
  <c r="BU2828" i="1"/>
  <c r="BW2828" i="1" s="1"/>
  <c r="BU1869" i="1"/>
  <c r="BW1869" i="1" s="1"/>
  <c r="BU1893" i="1"/>
  <c r="BW1893" i="1" s="1"/>
  <c r="BU1850" i="1"/>
  <c r="BW1850" i="1" s="1"/>
  <c r="BU477" i="1"/>
  <c r="BW477" i="1" s="1"/>
  <c r="BU2549" i="1"/>
  <c r="BW2549" i="1" s="1"/>
  <c r="BU1593" i="1"/>
  <c r="BW1593" i="1" s="1"/>
  <c r="BU1217" i="1"/>
  <c r="BW1217" i="1" s="1"/>
  <c r="BU105" i="1"/>
  <c r="BW105" i="1" s="1"/>
  <c r="BU748" i="1"/>
  <c r="BW748" i="1" s="1"/>
  <c r="BU2919" i="1"/>
  <c r="BW2919" i="1" s="1"/>
  <c r="BU1290" i="1"/>
  <c r="BW1290" i="1" s="1"/>
  <c r="BU523" i="1"/>
  <c r="BW523" i="1" s="1"/>
  <c r="BU1384" i="1"/>
  <c r="BW1384" i="1" s="1"/>
  <c r="BU1424" i="1"/>
  <c r="BW1424" i="1" s="1"/>
  <c r="BU2170" i="1"/>
  <c r="BW2170" i="1" s="1"/>
  <c r="BU2249" i="1"/>
  <c r="BW2249" i="1" s="1"/>
  <c r="BU901" i="1"/>
  <c r="BW901" i="1" s="1"/>
  <c r="BU574" i="1"/>
  <c r="BW574" i="1" s="1"/>
  <c r="BU765" i="1"/>
  <c r="BW765" i="1" s="1"/>
  <c r="BU1380" i="1"/>
  <c r="BW1380" i="1" s="1"/>
  <c r="BU708" i="1"/>
  <c r="BW708" i="1" s="1"/>
  <c r="BU2081" i="1"/>
  <c r="BW2081" i="1" s="1"/>
  <c r="BU2801" i="1"/>
  <c r="BW2801" i="1" s="1"/>
  <c r="BU772" i="1"/>
  <c r="BW772" i="1" s="1"/>
  <c r="BU2240" i="1"/>
  <c r="BW2240" i="1" s="1"/>
  <c r="BU1902" i="1"/>
  <c r="BW1902" i="1" s="1"/>
  <c r="BU648" i="1"/>
  <c r="BW648" i="1" s="1"/>
  <c r="BU1417" i="1"/>
  <c r="BW1417" i="1" s="1"/>
  <c r="BU2742" i="1"/>
  <c r="BW2742" i="1" s="1"/>
  <c r="BU1840" i="1"/>
  <c r="BW1840" i="1" s="1"/>
  <c r="BU1273" i="1"/>
  <c r="BW1273" i="1" s="1"/>
  <c r="BU2151" i="1"/>
  <c r="BW2151" i="1" s="1"/>
  <c r="BU376" i="1"/>
  <c r="BW376" i="1" s="1"/>
  <c r="BU2760" i="1"/>
  <c r="BW2760" i="1" s="1"/>
  <c r="BU948" i="1"/>
  <c r="BW948" i="1" s="1"/>
  <c r="BU2413" i="1"/>
  <c r="BW2413" i="1" s="1"/>
  <c r="BU447" i="1"/>
  <c r="BW447" i="1" s="1"/>
  <c r="BU832" i="1"/>
  <c r="BW832" i="1" s="1"/>
  <c r="BU2208" i="1"/>
  <c r="BW2208" i="1" s="1"/>
  <c r="BU2446" i="1"/>
  <c r="BW2446" i="1" s="1"/>
  <c r="BU1131" i="1"/>
  <c r="BW1131" i="1" s="1"/>
  <c r="BU606" i="1"/>
  <c r="BW606" i="1" s="1"/>
  <c r="BU1864" i="1"/>
  <c r="BW1864" i="1" s="1"/>
  <c r="BU2012" i="1"/>
  <c r="BW2012" i="1" s="1"/>
  <c r="BU2046" i="1"/>
  <c r="BW2046" i="1" s="1"/>
  <c r="BU2056" i="1"/>
  <c r="BW2056" i="1" s="1"/>
  <c r="BU2575" i="1"/>
  <c r="BW2575" i="1" s="1"/>
  <c r="BU2997" i="1"/>
  <c r="BW2997" i="1" s="1"/>
  <c r="BU1626" i="1"/>
  <c r="BW1626" i="1" s="1"/>
  <c r="BU2482" i="1"/>
  <c r="BW2482" i="1" s="1"/>
  <c r="BU2830" i="1"/>
  <c r="BW2830" i="1" s="1"/>
  <c r="BU2851" i="1"/>
  <c r="BW2851" i="1" s="1"/>
  <c r="BU2783" i="1"/>
  <c r="BW2783" i="1" s="1"/>
  <c r="BX2842" i="1"/>
  <c r="BU1732" i="1"/>
  <c r="BW1732" i="1" s="1"/>
  <c r="BU787" i="1"/>
  <c r="BW787" i="1" s="1"/>
  <c r="BU2710" i="1"/>
  <c r="BW2710" i="1" s="1"/>
  <c r="BU1911" i="1"/>
  <c r="BW1911" i="1" s="1"/>
  <c r="BU188" i="1"/>
  <c r="BW188" i="1" s="1"/>
  <c r="BU2847" i="1"/>
  <c r="BW2847" i="1" s="1"/>
  <c r="BU3187" i="1"/>
  <c r="BW3187" i="1" s="1"/>
  <c r="BU1388" i="1"/>
  <c r="BW1388" i="1" s="1"/>
  <c r="BU1801" i="1"/>
  <c r="BW1801" i="1" s="1"/>
  <c r="BU784" i="1"/>
  <c r="BW784" i="1" s="1"/>
  <c r="BU436" i="1"/>
  <c r="BW436" i="1" s="1"/>
  <c r="BU2449" i="1"/>
  <c r="BW2449" i="1" s="1"/>
  <c r="BU162" i="1"/>
  <c r="BW162" i="1" s="1"/>
  <c r="BU336" i="1"/>
  <c r="BW336" i="1" s="1"/>
  <c r="BU7" i="1"/>
  <c r="BW7" i="1" s="1"/>
  <c r="BU796" i="1"/>
  <c r="BW796" i="1" s="1"/>
  <c r="BU1012" i="1"/>
  <c r="BW1012" i="1" s="1"/>
  <c r="BU2414" i="1"/>
  <c r="BW2414" i="1" s="1"/>
  <c r="BU2325" i="1"/>
  <c r="BW2325" i="1" s="1"/>
  <c r="BU2076" i="1"/>
  <c r="BW2076" i="1" s="1"/>
  <c r="BU2788" i="1"/>
  <c r="BW2788" i="1" s="1"/>
  <c r="BU313" i="1"/>
  <c r="BW313" i="1" s="1"/>
  <c r="BU553" i="1"/>
  <c r="BW553" i="1" s="1"/>
  <c r="BU372" i="1"/>
  <c r="BW372" i="1" s="1"/>
  <c r="BU1897" i="1"/>
  <c r="BW1897" i="1" s="1"/>
  <c r="BU703" i="1"/>
  <c r="BW703" i="1" s="1"/>
  <c r="BU1382" i="1"/>
  <c r="BW1382" i="1" s="1"/>
  <c r="BU954" i="1"/>
  <c r="BW954" i="1" s="1"/>
  <c r="BU1494" i="1"/>
  <c r="BW1494" i="1" s="1"/>
  <c r="BU1160" i="1"/>
  <c r="BW1160" i="1" s="1"/>
  <c r="BU2809" i="1"/>
  <c r="BW2809" i="1" s="1"/>
  <c r="BU2998" i="1"/>
  <c r="BW2998" i="1" s="1"/>
  <c r="BU2956" i="1"/>
  <c r="BW2956" i="1" s="1"/>
  <c r="BU2860" i="1"/>
  <c r="BW2860" i="1" s="1"/>
  <c r="BU1852" i="1"/>
  <c r="BW1852" i="1" s="1"/>
  <c r="BU2468" i="1"/>
  <c r="BW2468" i="1" s="1"/>
  <c r="BU2358" i="1"/>
  <c r="BW2358" i="1" s="1"/>
  <c r="BU2954" i="1"/>
  <c r="BW2954" i="1" s="1"/>
  <c r="BU12" i="1"/>
  <c r="BW12" i="1" s="1"/>
  <c r="BU1991" i="1"/>
  <c r="BW1991" i="1" s="1"/>
  <c r="BU1047" i="1"/>
  <c r="BW1047" i="1" s="1"/>
  <c r="BU2494" i="1"/>
  <c r="BW2494" i="1" s="1"/>
  <c r="BU3039" i="1"/>
  <c r="BW3039" i="1" s="1"/>
  <c r="BU511" i="1"/>
  <c r="BW511" i="1" s="1"/>
  <c r="BU1016" i="1"/>
  <c r="BW1016" i="1" s="1"/>
  <c r="BU2365" i="1"/>
  <c r="BW2365" i="1" s="1"/>
  <c r="BU1873" i="1"/>
  <c r="BW1873" i="1" s="1"/>
  <c r="BU2024" i="1"/>
  <c r="BW2024" i="1" s="1"/>
  <c r="BU318" i="1"/>
  <c r="BW318" i="1" s="1"/>
  <c r="BU3155" i="1"/>
  <c r="BW3155" i="1" s="1"/>
  <c r="BU133" i="1"/>
  <c r="BW133" i="1" s="1"/>
  <c r="BU2638" i="1"/>
  <c r="BW2638" i="1" s="1"/>
  <c r="BU1334" i="1"/>
  <c r="BW1334" i="1" s="1"/>
  <c r="BU2541" i="1"/>
  <c r="BW2541" i="1" s="1"/>
  <c r="BU1557" i="1"/>
  <c r="BW1557" i="1" s="1"/>
  <c r="BU1791" i="1"/>
  <c r="BW1791" i="1" s="1"/>
  <c r="BU2307" i="1"/>
  <c r="BW2307" i="1" s="1"/>
  <c r="BU1596" i="1"/>
  <c r="BW1596" i="1" s="1"/>
  <c r="BU756" i="1"/>
  <c r="BW756" i="1" s="1"/>
  <c r="BU2870" i="1"/>
  <c r="BW2870" i="1" s="1"/>
  <c r="BU1281" i="1"/>
  <c r="BW1281" i="1" s="1"/>
  <c r="BU2579" i="1"/>
  <c r="BW2579" i="1" s="1"/>
  <c r="BU1427" i="1"/>
  <c r="BW1427" i="1" s="1"/>
  <c r="BX1966" i="1"/>
  <c r="BU2412" i="1"/>
  <c r="BW2412" i="1" s="1"/>
  <c r="BU2010" i="1"/>
  <c r="BW2010" i="1" s="1"/>
  <c r="BU735" i="1"/>
  <c r="BW735" i="1" s="1"/>
  <c r="BU3176" i="1"/>
  <c r="BW3176" i="1" s="1"/>
  <c r="BU288" i="1"/>
  <c r="BW288" i="1" s="1"/>
  <c r="BU788" i="1"/>
  <c r="BW788" i="1" s="1"/>
  <c r="BU444" i="1"/>
  <c r="BW444" i="1" s="1"/>
  <c r="BU2785" i="1"/>
  <c r="BW2785" i="1" s="1"/>
  <c r="BU386" i="1"/>
  <c r="BW386" i="1" s="1"/>
  <c r="BU1484" i="1"/>
  <c r="BW1484" i="1" s="1"/>
  <c r="BU1413" i="1"/>
  <c r="BW1413" i="1" s="1"/>
  <c r="BU3180" i="1"/>
  <c r="BW3180" i="1" s="1"/>
  <c r="BU660" i="1"/>
  <c r="BW660" i="1" s="1"/>
  <c r="BU481" i="1"/>
  <c r="BW481" i="1" s="1"/>
  <c r="BU1953" i="1"/>
  <c r="BW1953" i="1" s="1"/>
  <c r="BU2777" i="1"/>
  <c r="BW2777" i="1" s="1"/>
  <c r="BU936" i="1"/>
  <c r="BW936" i="1" s="1"/>
  <c r="BU990" i="1"/>
  <c r="BW990" i="1" s="1"/>
  <c r="BU586" i="1"/>
  <c r="BW586" i="1" s="1"/>
  <c r="BU106" i="1"/>
  <c r="BW106" i="1" s="1"/>
  <c r="BU619" i="1"/>
  <c r="BW619" i="1" s="1"/>
  <c r="BU1332" i="1"/>
  <c r="BW1332" i="1" s="1"/>
  <c r="BU489" i="1"/>
  <c r="BW489" i="1" s="1"/>
  <c r="BU2488" i="1"/>
  <c r="BW2488" i="1" s="1"/>
  <c r="BU453" i="1"/>
  <c r="BW453" i="1" s="1"/>
  <c r="BU988" i="1"/>
  <c r="BW988" i="1" s="1"/>
  <c r="BU1807" i="1"/>
  <c r="BW1807" i="1" s="1"/>
  <c r="BU2401" i="1"/>
  <c r="BW2401" i="1" s="1"/>
  <c r="BU1711" i="1"/>
  <c r="BW1711" i="1" s="1"/>
  <c r="BU1447" i="1"/>
  <c r="BW1447" i="1" s="1"/>
  <c r="BU365" i="1"/>
  <c r="BW365" i="1" s="1"/>
  <c r="BU1312" i="1"/>
  <c r="BW1312" i="1" s="1"/>
  <c r="BU591" i="1"/>
  <c r="BW591" i="1" s="1"/>
  <c r="BU2006" i="1"/>
  <c r="BW2006" i="1" s="1"/>
  <c r="BU1882" i="1"/>
  <c r="BW1882" i="1" s="1"/>
  <c r="BU785" i="1"/>
  <c r="BW785" i="1" s="1"/>
  <c r="BU2071" i="1"/>
  <c r="BW2071" i="1" s="1"/>
  <c r="BU512" i="1"/>
  <c r="BW512" i="1" s="1"/>
  <c r="BU1519" i="1"/>
  <c r="BW1519" i="1" s="1"/>
  <c r="BU2236" i="1"/>
  <c r="BW2236" i="1" s="1"/>
  <c r="BU3202" i="1"/>
  <c r="BW3202" i="1" s="1"/>
  <c r="BU943" i="1"/>
  <c r="BW943" i="1" s="1"/>
  <c r="BU519" i="1"/>
  <c r="BW519" i="1" s="1"/>
  <c r="BU3018" i="1"/>
  <c r="BW3018" i="1" s="1"/>
  <c r="BU2207" i="1"/>
  <c r="BW2207" i="1" s="1"/>
  <c r="BU1662" i="1"/>
  <c r="BW1662" i="1" s="1"/>
  <c r="BU789" i="1"/>
  <c r="BW789" i="1" s="1"/>
  <c r="BU587" i="1"/>
  <c r="BW587" i="1" s="1"/>
  <c r="BU1261" i="1"/>
  <c r="BW1261" i="1" s="1"/>
  <c r="BU1095" i="1"/>
  <c r="BW1095" i="1" s="1"/>
  <c r="BU1858" i="1"/>
  <c r="BW1858" i="1" s="1"/>
  <c r="BU682" i="1"/>
  <c r="BW682" i="1" s="1"/>
  <c r="BU1594" i="1"/>
  <c r="BW1594" i="1" s="1"/>
  <c r="BU2233" i="1"/>
  <c r="BW2233" i="1" s="1"/>
  <c r="BU414" i="1"/>
  <c r="BW414" i="1" s="1"/>
  <c r="BU1367" i="1"/>
  <c r="BW1367" i="1" s="1"/>
  <c r="BU2129" i="1"/>
  <c r="BW2129" i="1" s="1"/>
  <c r="BU3175" i="1"/>
  <c r="BW3175" i="1" s="1"/>
  <c r="BU292" i="1"/>
  <c r="BW292" i="1" s="1"/>
  <c r="BU2069" i="1"/>
  <c r="BW2069" i="1" s="1"/>
  <c r="BU471" i="1"/>
  <c r="BW471" i="1" s="1"/>
  <c r="BU599" i="1"/>
  <c r="BW599" i="1" s="1"/>
  <c r="BU368" i="1"/>
  <c r="BW368" i="1" s="1"/>
  <c r="BU2507" i="1"/>
  <c r="BW2507" i="1" s="1"/>
  <c r="BU1541" i="1"/>
  <c r="BW1541" i="1" s="1"/>
  <c r="BU1788" i="1"/>
  <c r="BW1788" i="1" s="1"/>
  <c r="BU388" i="1"/>
  <c r="BW388" i="1" s="1"/>
  <c r="BU1845" i="1"/>
  <c r="BW1845" i="1" s="1"/>
  <c r="BU1175" i="1"/>
  <c r="BW1175" i="1" s="1"/>
  <c r="BU593" i="1"/>
  <c r="BW593" i="1" s="1"/>
  <c r="BU1473" i="1"/>
  <c r="BW1473" i="1" s="1"/>
  <c r="BU1023" i="1"/>
  <c r="BW1023" i="1" s="1"/>
  <c r="BU595" i="1"/>
  <c r="BW595" i="1" s="1"/>
  <c r="BU2604" i="1"/>
  <c r="BW2604" i="1" s="1"/>
  <c r="BU2344" i="1"/>
  <c r="BW2344" i="1" s="1"/>
  <c r="BU2229" i="1"/>
  <c r="BW2229" i="1" s="1"/>
  <c r="BU3119" i="1"/>
  <c r="BW3119" i="1" s="1"/>
  <c r="BU2511" i="1"/>
  <c r="BW2511" i="1" s="1"/>
  <c r="BU323" i="1"/>
  <c r="BW323" i="1" s="1"/>
  <c r="BZ2793" i="1"/>
  <c r="BU583" i="1"/>
  <c r="BW583" i="1" s="1"/>
  <c r="BU776" i="1"/>
  <c r="BW776" i="1" s="1"/>
  <c r="BU1780" i="1"/>
  <c r="BW1780" i="1" s="1"/>
  <c r="BU2986" i="1"/>
  <c r="BW2986" i="1" s="1"/>
  <c r="BU1031" i="1"/>
  <c r="BW1031" i="1" s="1"/>
  <c r="BU1841" i="1"/>
  <c r="BW1841" i="1" s="1"/>
  <c r="BU658" i="1"/>
  <c r="BW658" i="1" s="1"/>
  <c r="BU3192" i="1"/>
  <c r="BW3192" i="1" s="1"/>
  <c r="BU867" i="1"/>
  <c r="BW867" i="1" s="1"/>
  <c r="BU2183" i="1"/>
  <c r="BW2183" i="1" s="1"/>
  <c r="BU148" i="1"/>
  <c r="BW148" i="1" s="1"/>
  <c r="BU2945" i="1"/>
  <c r="BW2945" i="1" s="1"/>
  <c r="BU829" i="1"/>
  <c r="BW829" i="1" s="1"/>
  <c r="BU575" i="1"/>
  <c r="BW575" i="1" s="1"/>
  <c r="BU1488" i="1"/>
  <c r="BW1488" i="1" s="1"/>
  <c r="BU1910" i="1"/>
  <c r="BW1910" i="1" s="1"/>
  <c r="BU201" i="1"/>
  <c r="BW201" i="1" s="1"/>
  <c r="BU1628" i="1"/>
  <c r="BW1628" i="1" s="1"/>
  <c r="BU2955" i="1"/>
  <c r="BW2955" i="1" s="1"/>
  <c r="BU1982" i="1"/>
  <c r="BW1982" i="1" s="1"/>
  <c r="BU1714" i="1"/>
  <c r="BW1714" i="1" s="1"/>
  <c r="BU2001" i="1"/>
  <c r="BW2001" i="1" s="1"/>
  <c r="BU2161" i="1"/>
  <c r="BW2161" i="1" s="1"/>
  <c r="BU1352" i="1"/>
  <c r="BW1352" i="1" s="1"/>
  <c r="BU1408" i="1"/>
  <c r="BW1408" i="1" s="1"/>
  <c r="BU405" i="1"/>
  <c r="BW405" i="1" s="1"/>
  <c r="BU2915" i="1"/>
  <c r="BW2915" i="1" s="1"/>
  <c r="BU2827" i="1"/>
  <c r="BW2827" i="1" s="1"/>
  <c r="BU1314" i="1"/>
  <c r="BW1314" i="1" s="1"/>
  <c r="BU449" i="1"/>
  <c r="BW449" i="1" s="1"/>
  <c r="BU325" i="1"/>
  <c r="BW325" i="1" s="1"/>
  <c r="BU918" i="1"/>
  <c r="BW918" i="1" s="1"/>
  <c r="BU2434" i="1"/>
  <c r="BW2434" i="1" s="1"/>
  <c r="BU1998" i="1"/>
  <c r="BW1998" i="1" s="1"/>
  <c r="BU2350" i="1"/>
  <c r="BW2350" i="1" s="1"/>
  <c r="BU1954" i="1"/>
  <c r="BW1954" i="1" s="1"/>
  <c r="BU2522" i="1"/>
  <c r="BW2522" i="1" s="1"/>
  <c r="BU766" i="1"/>
  <c r="BW766" i="1" s="1"/>
  <c r="BU1967" i="1"/>
  <c r="BW1967" i="1" s="1"/>
  <c r="BU1838" i="1"/>
  <c r="BW1838" i="1" s="1"/>
  <c r="BU1737" i="1"/>
  <c r="BW1737" i="1" s="1"/>
  <c r="BU1520" i="1"/>
  <c r="BW1520" i="1" s="1"/>
  <c r="BU2328" i="1"/>
  <c r="BW2328" i="1" s="1"/>
  <c r="BU2907" i="1"/>
  <c r="BW2907" i="1" s="1"/>
  <c r="BU2852" i="1"/>
  <c r="BW2852" i="1" s="1"/>
  <c r="BU1187" i="1"/>
  <c r="BW1187" i="1" s="1"/>
  <c r="BU1601" i="1"/>
  <c r="BW1601" i="1" s="1"/>
  <c r="BU600" i="1"/>
  <c r="BW600" i="1" s="1"/>
  <c r="BU1393" i="1"/>
  <c r="BW1393" i="1" s="1"/>
  <c r="BU1947" i="1"/>
  <c r="BW1947" i="1" s="1"/>
  <c r="BU1394" i="1"/>
  <c r="BW1394" i="1" s="1"/>
  <c r="BU2377" i="1"/>
  <c r="BW2377" i="1" s="1"/>
  <c r="BU3140" i="1"/>
  <c r="BW3140" i="1" s="1"/>
  <c r="BU2935" i="1"/>
  <c r="BW2935" i="1" s="1"/>
  <c r="BU301" i="1"/>
  <c r="BW301" i="1" s="1"/>
  <c r="BU1621" i="1"/>
  <c r="BW1621" i="1" s="1"/>
  <c r="BU804" i="1"/>
  <c r="BW804" i="1" s="1"/>
  <c r="BU1339" i="1"/>
  <c r="BW1339" i="1" s="1"/>
  <c r="BU818" i="1"/>
  <c r="BW818" i="1" s="1"/>
  <c r="BU2790" i="1"/>
  <c r="BW2790" i="1" s="1"/>
  <c r="BU759" i="1"/>
  <c r="BW759" i="1" s="1"/>
  <c r="BU1920" i="1"/>
  <c r="BW1920" i="1" s="1"/>
  <c r="BU659" i="1"/>
  <c r="BW659" i="1" s="1"/>
  <c r="BU1598" i="1"/>
  <c r="BW1598" i="1" s="1"/>
  <c r="BU925" i="1"/>
  <c r="BW925" i="1" s="1"/>
  <c r="BU2243" i="1"/>
  <c r="BW2243" i="1" s="1"/>
  <c r="BU1832" i="1"/>
  <c r="BW1832" i="1" s="1"/>
  <c r="BU2387" i="1"/>
  <c r="BW2387" i="1" s="1"/>
  <c r="BU522" i="1"/>
  <c r="BW522" i="1" s="1"/>
  <c r="BU125" i="1"/>
  <c r="BW125" i="1" s="1"/>
  <c r="BU2995" i="1"/>
  <c r="BW2995" i="1" s="1"/>
  <c r="BU495" i="1"/>
  <c r="BW495" i="1" s="1"/>
  <c r="BU3040" i="1"/>
  <c r="BW3040" i="1" s="1"/>
  <c r="BU1994" i="1"/>
  <c r="BW1994" i="1" s="1"/>
  <c r="BU2850" i="1"/>
  <c r="BW2850" i="1" s="1"/>
  <c r="BU1667" i="1"/>
  <c r="BW1667" i="1" s="1"/>
  <c r="BU373" i="1"/>
  <c r="BW373" i="1" s="1"/>
  <c r="BU2708" i="1"/>
  <c r="BW2708" i="1" s="1"/>
  <c r="BU1744" i="1"/>
  <c r="BW1744" i="1" s="1"/>
  <c r="BU2163" i="1"/>
  <c r="BW2163" i="1" s="1"/>
  <c r="BU2092" i="1"/>
  <c r="BW2092" i="1" s="1"/>
  <c r="BU2924" i="1"/>
  <c r="BW2924" i="1" s="1"/>
  <c r="BU457" i="1"/>
  <c r="BW457" i="1" s="1"/>
  <c r="BU461" i="1"/>
  <c r="BW461" i="1" s="1"/>
  <c r="BU2513" i="1"/>
  <c r="BW2513" i="1" s="1"/>
  <c r="BU2960" i="1"/>
  <c r="BW2960" i="1" s="1"/>
  <c r="BU2944" i="1"/>
  <c r="BW2944" i="1" s="1"/>
  <c r="BU1934" i="1"/>
  <c r="BW1934" i="1" s="1"/>
  <c r="BU871" i="1"/>
  <c r="BW871" i="1" s="1"/>
  <c r="BU2199" i="1"/>
  <c r="BW2199" i="1" s="1"/>
  <c r="BU750" i="1"/>
  <c r="BW750" i="1" s="1"/>
  <c r="BU2951" i="1"/>
  <c r="BW2951" i="1" s="1"/>
  <c r="BU2455" i="1"/>
  <c r="BW2455" i="1" s="1"/>
  <c r="BU2028" i="1"/>
  <c r="BW2028" i="1" s="1"/>
  <c r="BU1766" i="1"/>
  <c r="BW1766" i="1" s="1"/>
  <c r="BU2395" i="1"/>
  <c r="BW2395" i="1" s="1"/>
  <c r="BU433" i="1"/>
  <c r="BW433" i="1" s="1"/>
  <c r="BU184" i="1"/>
  <c r="BW184" i="1" s="1"/>
  <c r="BU1355" i="1"/>
  <c r="BW1355" i="1" s="1"/>
  <c r="BU1346" i="1"/>
  <c r="BW1346" i="1" s="1"/>
  <c r="BU135" i="1"/>
  <c r="BW135" i="1" s="1"/>
  <c r="BU121" i="1"/>
  <c r="BW121" i="1" s="1"/>
  <c r="BU2802" i="1"/>
  <c r="BW2802" i="1" s="1"/>
  <c r="BU1700" i="1"/>
  <c r="BW1700" i="1" s="1"/>
  <c r="BU2903" i="1"/>
  <c r="BW2903" i="1" s="1"/>
  <c r="BU1084" i="1"/>
  <c r="BW1084" i="1" s="1"/>
  <c r="BU669" i="1"/>
  <c r="BW669" i="1" s="1"/>
  <c r="BU403" i="1"/>
  <c r="BW403" i="1" s="1"/>
  <c r="BU2416" i="1"/>
  <c r="BW2416" i="1" s="1"/>
  <c r="BU1490" i="1"/>
  <c r="BW1490" i="1" s="1"/>
  <c r="BU1548" i="1"/>
  <c r="BW1548" i="1" s="1"/>
  <c r="BU1811" i="1"/>
  <c r="BW1811" i="1" s="1"/>
  <c r="BU1483" i="1"/>
  <c r="BW1483" i="1" s="1"/>
  <c r="BU2168" i="1"/>
  <c r="BW2168" i="1" s="1"/>
  <c r="BU2882" i="1"/>
  <c r="BW2882" i="1" s="1"/>
  <c r="BU1512" i="1"/>
  <c r="BW1512" i="1" s="1"/>
  <c r="BU2230" i="1"/>
  <c r="BW2230" i="1" s="1"/>
  <c r="BU1564" i="1"/>
  <c r="BW1564" i="1" s="1"/>
  <c r="BU2555" i="1"/>
  <c r="BW2555" i="1" s="1"/>
  <c r="BU526" i="1"/>
  <c r="BW526" i="1" s="1"/>
  <c r="BU3183" i="1"/>
  <c r="BW3183" i="1" s="1"/>
  <c r="BU1916" i="1"/>
  <c r="BW1916" i="1" s="1"/>
  <c r="BU2792" i="1"/>
  <c r="BW2792" i="1" s="1"/>
  <c r="BU2872" i="1"/>
  <c r="BW2872" i="1" s="1"/>
  <c r="BU705" i="1"/>
  <c r="BW705" i="1" s="1"/>
  <c r="BU2811" i="1"/>
  <c r="BW2811" i="1" s="1"/>
  <c r="BU3181" i="1"/>
  <c r="BW3181" i="1" s="1"/>
  <c r="BU348" i="1"/>
  <c r="BW348" i="1" s="1"/>
  <c r="BU1379" i="1"/>
  <c r="BW1379" i="1" s="1"/>
  <c r="BU744" i="1"/>
  <c r="BW744" i="1" s="1"/>
  <c r="BU866" i="1"/>
  <c r="BW866" i="1" s="1"/>
  <c r="BU1535" i="1"/>
  <c r="BW1535" i="1" s="1"/>
  <c r="BU2008" i="1"/>
  <c r="BW2008" i="1" s="1"/>
  <c r="BU956" i="1"/>
  <c r="BW956" i="1" s="1"/>
  <c r="BU572" i="1"/>
  <c r="BW572" i="1" s="1"/>
  <c r="BU2950" i="1"/>
  <c r="BW2950" i="1" s="1"/>
  <c r="BU2905" i="1"/>
  <c r="BW2905" i="1" s="1"/>
  <c r="BU1256" i="1"/>
  <c r="BW1256" i="1" s="1"/>
  <c r="BU1411" i="1"/>
  <c r="BW1411" i="1" s="1"/>
  <c r="BU1542" i="1"/>
  <c r="BW1542" i="1" s="1"/>
  <c r="BU1619" i="1"/>
  <c r="BW1619" i="1" s="1"/>
  <c r="BU545" i="1"/>
  <c r="BW545" i="1" s="1"/>
  <c r="BU1476" i="1"/>
  <c r="BW1476" i="1" s="1"/>
  <c r="BU2011" i="1"/>
  <c r="BW2011" i="1" s="1"/>
  <c r="BU749" i="1"/>
  <c r="BW749" i="1" s="1"/>
  <c r="BU1857" i="1"/>
  <c r="BW1857" i="1" s="1"/>
  <c r="BU2538" i="1"/>
  <c r="BW2538" i="1" s="1"/>
  <c r="BU3179" i="1"/>
  <c r="BW3179" i="1" s="1"/>
  <c r="BU1988" i="1"/>
  <c r="BW1988" i="1" s="1"/>
  <c r="BU2772" i="1"/>
  <c r="BW2772" i="1" s="1"/>
  <c r="BU1179" i="1"/>
  <c r="BW1179" i="1" s="1"/>
  <c r="BU1839" i="1"/>
  <c r="BW1839" i="1" s="1"/>
  <c r="BU2871" i="1"/>
  <c r="BW2871" i="1" s="1"/>
  <c r="BU1019" i="1"/>
  <c r="BW1019" i="1" s="1"/>
  <c r="BX2933" i="1"/>
  <c r="BU305" i="1"/>
  <c r="BW305" i="1" s="1"/>
  <c r="BU1675" i="1"/>
  <c r="BW1675" i="1" s="1"/>
  <c r="BU3003" i="1"/>
  <c r="BW3003" i="1" s="1"/>
  <c r="BU1118" i="1"/>
  <c r="BW1118" i="1" s="1"/>
  <c r="BU565" i="1"/>
  <c r="BW565" i="1" s="1"/>
  <c r="BU963" i="1"/>
  <c r="BW963" i="1" s="1"/>
  <c r="BU1032" i="1"/>
  <c r="BW1032" i="1" s="1"/>
  <c r="BU608" i="1"/>
  <c r="BW608" i="1" s="1"/>
  <c r="BU1854" i="1"/>
  <c r="BW1854" i="1" s="1"/>
  <c r="BU353" i="1"/>
  <c r="BW353" i="1" s="1"/>
  <c r="BU1113" i="1"/>
  <c r="BW1113" i="1" s="1"/>
  <c r="BU1040" i="1"/>
  <c r="BW1040" i="1" s="1"/>
  <c r="BU1694" i="1"/>
  <c r="BW1694" i="1" s="1"/>
  <c r="BU2820" i="1"/>
  <c r="BW2820" i="1" s="1"/>
  <c r="BU1399" i="1"/>
  <c r="BW1399" i="1" s="1"/>
  <c r="BU2139" i="1"/>
  <c r="BW2139" i="1" s="1"/>
  <c r="BU1225" i="1"/>
  <c r="BW1225" i="1" s="1"/>
  <c r="BU2943" i="1"/>
  <c r="BW2943" i="1" s="1"/>
  <c r="BU2479" i="1"/>
  <c r="BW2479" i="1" s="1"/>
  <c r="BU952" i="1"/>
  <c r="BW952" i="1" s="1"/>
  <c r="BU2373" i="1"/>
  <c r="BW2373" i="1" s="1"/>
  <c r="BU2171" i="1"/>
  <c r="BW2171" i="1" s="1"/>
  <c r="BU2068" i="1"/>
  <c r="BW2068" i="1" s="1"/>
  <c r="BU174" i="1"/>
  <c r="BW174" i="1" s="1"/>
  <c r="BU2590" i="1"/>
  <c r="BW2590" i="1" s="1"/>
  <c r="BU182" i="1"/>
  <c r="BW182" i="1" s="1"/>
  <c r="BU131" i="1"/>
  <c r="BW131" i="1" s="1"/>
  <c r="BU2806" i="1"/>
  <c r="BW2806" i="1" s="1"/>
  <c r="BU1847" i="1"/>
  <c r="BW1847" i="1" s="1"/>
  <c r="BU644" i="1"/>
  <c r="BW644" i="1" s="1"/>
  <c r="BU2866" i="1"/>
  <c r="BW2866" i="1" s="1"/>
  <c r="BU661" i="1"/>
  <c r="BW661" i="1" s="1"/>
  <c r="BU437" i="1"/>
  <c r="BW437" i="1" s="1"/>
  <c r="BU2176" i="1"/>
  <c r="BW2176" i="1" s="1"/>
  <c r="BU965" i="1"/>
  <c r="BW965" i="1" s="1"/>
  <c r="BX624" i="1"/>
  <c r="BU624" i="1"/>
  <c r="BW624" i="1" s="1"/>
  <c r="BX2172" i="1"/>
  <c r="BU2172" i="1"/>
  <c r="BW2172" i="1" s="1"/>
  <c r="BX2408" i="1"/>
  <c r="BU2408" i="1"/>
  <c r="BW2408" i="1" s="1"/>
  <c r="BX463" i="1"/>
  <c r="BU463" i="1"/>
  <c r="BW463" i="1" s="1"/>
  <c r="BX3037" i="1"/>
  <c r="BU3037" i="1"/>
  <c r="BW3037" i="1" s="1"/>
  <c r="BX2253" i="1"/>
  <c r="BU2253" i="1"/>
  <c r="BW2253" i="1" s="1"/>
  <c r="BX408" i="1"/>
  <c r="BU408" i="1"/>
  <c r="BW408" i="1" s="1"/>
  <c r="BX2927" i="1"/>
  <c r="BU2927" i="1"/>
  <c r="BW2927" i="1" s="1"/>
  <c r="BX2108" i="1"/>
  <c r="BU2108" i="1"/>
  <c r="BW2108" i="1" s="1"/>
  <c r="BX2375" i="1"/>
  <c r="BU2375" i="1"/>
  <c r="BW2375" i="1" s="1"/>
  <c r="BX1242" i="1"/>
  <c r="BU1242" i="1"/>
  <c r="BW1242" i="1" s="1"/>
  <c r="BX366" i="1"/>
  <c r="BU366" i="1"/>
  <c r="BW366" i="1" s="1"/>
  <c r="BX2800" i="1"/>
  <c r="BU2800" i="1"/>
  <c r="BW2800" i="1" s="1"/>
  <c r="BX2047" i="1"/>
  <c r="BU2047" i="1"/>
  <c r="BW2047" i="1" s="1"/>
  <c r="BX1375" i="1"/>
  <c r="BU1375" i="1"/>
  <c r="BW1375" i="1" s="1"/>
  <c r="BX2327" i="1"/>
  <c r="BU2327" i="1"/>
  <c r="BW2327" i="1" s="1"/>
  <c r="BX894" i="1"/>
  <c r="BU894" i="1"/>
  <c r="BW894" i="1" s="1"/>
  <c r="BX2994" i="1"/>
  <c r="BU2994" i="1"/>
  <c r="BW2994" i="1" s="1"/>
  <c r="BX699" i="1"/>
  <c r="BU699" i="1"/>
  <c r="BW699" i="1" s="1"/>
  <c r="BX2102" i="1"/>
  <c r="BU2102" i="1"/>
  <c r="BW2102" i="1" s="1"/>
  <c r="BU321" i="1"/>
  <c r="BW321" i="1" s="1"/>
  <c r="BU930" i="1"/>
  <c r="BW930" i="1" s="1"/>
  <c r="BX930" i="1"/>
  <c r="BX287" i="1"/>
  <c r="BU287" i="1"/>
  <c r="BW287" i="1" s="1"/>
  <c r="BX203" i="1"/>
  <c r="BU203" i="1"/>
  <c r="BW203" i="1" s="1"/>
  <c r="BX359" i="1"/>
  <c r="BU359" i="1"/>
  <c r="BW359" i="1" s="1"/>
  <c r="BX488" i="1"/>
  <c r="BU488" i="1"/>
  <c r="BW488" i="1" s="1"/>
  <c r="BX683" i="1"/>
  <c r="BU683" i="1"/>
  <c r="BW683" i="1" s="1"/>
  <c r="BX24" i="1"/>
  <c r="BU24" i="1"/>
  <c r="BW24" i="1" s="1"/>
  <c r="BX2277" i="1"/>
  <c r="BU2277" i="1"/>
  <c r="BW2277" i="1" s="1"/>
  <c r="BX2837" i="1"/>
  <c r="BU2837" i="1"/>
  <c r="BW2837" i="1" s="1"/>
  <c r="BX958" i="1"/>
  <c r="BU958" i="1"/>
  <c r="BW958" i="1" s="1"/>
  <c r="BX2550" i="1"/>
  <c r="BU2550" i="1"/>
  <c r="BW2550" i="1" s="1"/>
  <c r="BX701" i="1"/>
  <c r="BU701" i="1"/>
  <c r="BW701" i="1" s="1"/>
  <c r="BX1347" i="1"/>
  <c r="BU1347" i="1"/>
  <c r="BW1347" i="1" s="1"/>
  <c r="BX2862" i="1"/>
  <c r="BU2862" i="1"/>
  <c r="BW2862" i="1" s="1"/>
  <c r="BX964" i="1"/>
  <c r="BU964" i="1"/>
  <c r="BW964" i="1" s="1"/>
  <c r="BX2112" i="1"/>
  <c r="BU2112" i="1"/>
  <c r="BW2112" i="1" s="1"/>
  <c r="BX2425" i="1"/>
  <c r="BU2425" i="1"/>
  <c r="BW2425" i="1" s="1"/>
  <c r="BX596" i="1"/>
  <c r="BU596" i="1"/>
  <c r="BW596" i="1" s="1"/>
  <c r="BX1135" i="1"/>
  <c r="BU1135" i="1"/>
  <c r="BW1135" i="1" s="1"/>
  <c r="BX2591" i="1"/>
  <c r="BU2591" i="1"/>
  <c r="BW2591" i="1" s="1"/>
  <c r="BU1079" i="1"/>
  <c r="BW1079" i="1" s="1"/>
  <c r="BU1454" i="1"/>
  <c r="BW1454" i="1" s="1"/>
  <c r="BU1310" i="1"/>
  <c r="BW1310" i="1" s="1"/>
  <c r="BU1336" i="1"/>
  <c r="BW1336" i="1" s="1"/>
  <c r="BU1950" i="1"/>
  <c r="BW1950" i="1" s="1"/>
  <c r="BU1611" i="1"/>
  <c r="BW1611" i="1" s="1"/>
  <c r="BU1231" i="1"/>
  <c r="BW1231" i="1" s="1"/>
  <c r="BU670" i="1"/>
  <c r="BW670" i="1" s="1"/>
  <c r="BX1044" i="1"/>
  <c r="BU1044" i="1"/>
  <c r="BW1044" i="1" s="1"/>
  <c r="BX2948" i="1"/>
  <c r="BU2948" i="1"/>
  <c r="BW2948" i="1" s="1"/>
  <c r="BX1544" i="1"/>
  <c r="BU1544" i="1"/>
  <c r="BW1544" i="1" s="1"/>
  <c r="BX2787" i="1"/>
  <c r="BU2787" i="1"/>
  <c r="BW2787" i="1" s="1"/>
  <c r="BX22" i="1"/>
  <c r="BU22" i="1"/>
  <c r="BW22" i="1" s="1"/>
  <c r="BX982" i="1"/>
  <c r="BU982" i="1"/>
  <c r="BW982" i="1" s="1"/>
  <c r="BX23" i="1"/>
  <c r="BU23" i="1"/>
  <c r="BW23" i="1" s="1"/>
  <c r="BX1049" i="1"/>
  <c r="BU1049" i="1"/>
  <c r="BW1049" i="1" s="1"/>
  <c r="BX2357" i="1"/>
  <c r="BU2357" i="1"/>
  <c r="BW2357" i="1" s="1"/>
  <c r="BX2953" i="1"/>
  <c r="BU2953" i="1"/>
  <c r="BW2953" i="1" s="1"/>
  <c r="BX344" i="1"/>
  <c r="BU344" i="1"/>
  <c r="BW344" i="1" s="1"/>
  <c r="BX1481" i="1"/>
  <c r="BU1481" i="1"/>
  <c r="BW1481" i="1" s="1"/>
  <c r="BX2194" i="1"/>
  <c r="BU2194" i="1"/>
  <c r="BW2194" i="1" s="1"/>
  <c r="BX2251" i="1"/>
  <c r="BU2251" i="1"/>
  <c r="BW2251" i="1" s="1"/>
  <c r="BX919" i="1"/>
  <c r="BU919" i="1"/>
  <c r="BW919" i="1" s="1"/>
  <c r="BX2487" i="1"/>
  <c r="BU2487" i="1"/>
  <c r="BW2487" i="1" s="1"/>
  <c r="BX2688" i="1"/>
  <c r="BU2688" i="1"/>
  <c r="BW2688" i="1" s="1"/>
  <c r="BX2637" i="1"/>
  <c r="BU2637" i="1"/>
  <c r="BW2637" i="1" s="1"/>
  <c r="BX2022" i="1"/>
  <c r="BU2022" i="1"/>
  <c r="BW2022" i="1" s="1"/>
  <c r="BX656" i="1"/>
  <c r="BU656" i="1"/>
  <c r="BW656" i="1" s="1"/>
  <c r="BX2272" i="1"/>
  <c r="BU2272" i="1"/>
  <c r="BW2272" i="1" s="1"/>
  <c r="BX1800" i="1"/>
  <c r="BU1800" i="1"/>
  <c r="BW1800" i="1" s="1"/>
  <c r="BX1268" i="1"/>
  <c r="BU1268" i="1"/>
  <c r="BW1268" i="1" s="1"/>
  <c r="BX2060" i="1"/>
  <c r="BU2060" i="1"/>
  <c r="BW2060" i="1" s="1"/>
  <c r="BX1560" i="1"/>
  <c r="BU1560" i="1"/>
  <c r="BW1560" i="1" s="1"/>
  <c r="BX3151" i="1"/>
  <c r="BU3151" i="1"/>
  <c r="BW3151" i="1" s="1"/>
  <c r="BX3094" i="1"/>
  <c r="BU3094" i="1"/>
  <c r="BW3094" i="1" s="1"/>
  <c r="BX2823" i="1"/>
  <c r="BU2823" i="1"/>
  <c r="BW2823" i="1" s="1"/>
  <c r="BX2100" i="1"/>
  <c r="BU2100" i="1"/>
  <c r="BW2100" i="1" s="1"/>
  <c r="BX2057" i="1"/>
  <c r="BU2057" i="1"/>
  <c r="BW2057" i="1" s="1"/>
  <c r="BX640" i="1"/>
  <c r="BU640" i="1"/>
  <c r="BW640" i="1" s="1"/>
  <c r="BX2184" i="1"/>
  <c r="BU2184" i="1"/>
  <c r="BW2184" i="1" s="1"/>
  <c r="BX1917" i="1"/>
  <c r="BU1917" i="1"/>
  <c r="BW1917" i="1" s="1"/>
  <c r="BX2939" i="1"/>
  <c r="BU2939" i="1"/>
  <c r="BW2939" i="1" s="1"/>
  <c r="BX1277" i="1"/>
  <c r="BU1277" i="1"/>
  <c r="BW1277" i="1" s="1"/>
  <c r="BX734" i="1"/>
  <c r="BU734" i="1"/>
  <c r="BW734" i="1" s="1"/>
  <c r="BX1005" i="1"/>
  <c r="BU1005" i="1"/>
  <c r="BW1005" i="1" s="1"/>
  <c r="BX294" i="1"/>
  <c r="BU294" i="1"/>
  <c r="BW294" i="1" s="1"/>
  <c r="BX1081" i="1"/>
  <c r="BU1081" i="1"/>
  <c r="BW1081" i="1" s="1"/>
  <c r="BX406" i="1"/>
  <c r="BU406" i="1"/>
  <c r="BW406" i="1" s="1"/>
  <c r="BX1377" i="1"/>
  <c r="BU1377" i="1"/>
  <c r="BW1377" i="1" s="1"/>
  <c r="BX289" i="1"/>
  <c r="BU289" i="1"/>
  <c r="BW289" i="1" s="1"/>
  <c r="BX413" i="1"/>
  <c r="BU413" i="1"/>
  <c r="BW413" i="1" s="1"/>
  <c r="BX2808" i="1"/>
  <c r="BU2808" i="1"/>
  <c r="BW2808" i="1" s="1"/>
  <c r="BX326" i="1"/>
  <c r="BU326" i="1"/>
  <c r="BW326" i="1" s="1"/>
  <c r="BX1149" i="1"/>
  <c r="BU1149" i="1"/>
  <c r="BW1149" i="1" s="1"/>
  <c r="BX1844" i="1"/>
  <c r="BU1844" i="1"/>
  <c r="BW1844" i="1" s="1"/>
  <c r="BX911" i="1"/>
  <c r="BU911" i="1"/>
  <c r="BW911" i="1" s="1"/>
  <c r="BX942" i="1"/>
  <c r="BU942" i="1"/>
  <c r="BW942" i="1" s="1"/>
  <c r="BX1298" i="1"/>
  <c r="BU1298" i="1"/>
  <c r="BW1298" i="1" s="1"/>
  <c r="BX792" i="1"/>
  <c r="BU792" i="1"/>
  <c r="BW792" i="1" s="1"/>
  <c r="BX999" i="1"/>
  <c r="BU999" i="1"/>
  <c r="BW999" i="1" s="1"/>
  <c r="BX821" i="1"/>
  <c r="BU821" i="1"/>
  <c r="BW821" i="1" s="1"/>
  <c r="BX400" i="1"/>
  <c r="BU400" i="1"/>
  <c r="BW400" i="1" s="1"/>
  <c r="BX629" i="1"/>
  <c r="BU629" i="1"/>
  <c r="BW629" i="1" s="1"/>
  <c r="BX893" i="1"/>
  <c r="BU893" i="1"/>
  <c r="BW893" i="1" s="1"/>
  <c r="BX2453" i="1"/>
  <c r="BU2453" i="1"/>
  <c r="BW2453" i="1" s="1"/>
  <c r="BX1043" i="1"/>
  <c r="BU1043" i="1"/>
  <c r="BW1043" i="1" s="1"/>
  <c r="BX1721" i="1"/>
  <c r="BU1721" i="1"/>
  <c r="BW1721" i="1" s="1"/>
  <c r="BX1965" i="1"/>
  <c r="BU1965" i="1"/>
  <c r="BW1965" i="1" s="1"/>
  <c r="BX2807" i="1"/>
  <c r="BU2807" i="1"/>
  <c r="BW2807" i="1" s="1"/>
  <c r="BX1112" i="1"/>
  <c r="BU1112" i="1"/>
  <c r="BW1112" i="1" s="1"/>
  <c r="BX2774" i="1"/>
  <c r="BU2774" i="1"/>
  <c r="BW2774" i="1" s="1"/>
  <c r="BX2582" i="1"/>
  <c r="BU2582" i="1"/>
  <c r="BW2582" i="1" s="1"/>
  <c r="BX111" i="1"/>
  <c r="BU111" i="1"/>
  <c r="BW111" i="1" s="1"/>
  <c r="BX1498" i="1"/>
  <c r="BU1498" i="1"/>
  <c r="BW1498" i="1" s="1"/>
  <c r="BX1561" i="1"/>
  <c r="BU1561" i="1"/>
  <c r="BW1561" i="1" s="1"/>
  <c r="BX2880" i="1"/>
  <c r="BU2880" i="1"/>
  <c r="BW2880" i="1" s="1"/>
  <c r="BX1826" i="1"/>
  <c r="BU1826" i="1"/>
  <c r="BW1826" i="1" s="1"/>
  <c r="BX2368" i="1"/>
  <c r="BU2368" i="1"/>
  <c r="BW2368" i="1" s="1"/>
  <c r="BX498" i="1"/>
  <c r="BU498" i="1"/>
  <c r="BW498" i="1" s="1"/>
  <c r="BX1855" i="1"/>
  <c r="BU1855" i="1"/>
  <c r="BW1855" i="1" s="1"/>
  <c r="BX1797" i="1"/>
  <c r="BU1797" i="1"/>
  <c r="BW1797" i="1" s="1"/>
  <c r="BX441" i="1"/>
  <c r="BU441" i="1"/>
  <c r="BW441" i="1" s="1"/>
  <c r="BX299" i="1"/>
  <c r="BU299" i="1"/>
  <c r="BW299" i="1" s="1"/>
  <c r="BX2435" i="1"/>
  <c r="BU2435" i="1"/>
  <c r="BW2435" i="1" s="1"/>
  <c r="BX1198" i="1"/>
  <c r="BU1198" i="1"/>
  <c r="BW1198" i="1" s="1"/>
  <c r="BX874" i="1"/>
  <c r="BU874" i="1"/>
  <c r="BW874" i="1" s="1"/>
  <c r="BX2119" i="1"/>
  <c r="BU2119" i="1"/>
  <c r="BW2119" i="1" s="1"/>
  <c r="BX1710" i="1"/>
  <c r="BU1710" i="1"/>
  <c r="BW1710" i="1" s="1"/>
  <c r="BX1672" i="1"/>
  <c r="BU1672" i="1"/>
  <c r="BW1672" i="1" s="1"/>
  <c r="BX1849" i="1"/>
  <c r="BU1849" i="1"/>
  <c r="BW1849" i="1" s="1"/>
  <c r="BX1883" i="1"/>
  <c r="BU1883" i="1"/>
  <c r="BW1883" i="1" s="1"/>
  <c r="BX1977" i="1"/>
  <c r="BU1977" i="1"/>
  <c r="BW1977" i="1" s="1"/>
  <c r="BX194" i="1"/>
  <c r="BU194" i="1"/>
  <c r="BW194" i="1" s="1"/>
  <c r="BX592" i="1"/>
  <c r="BU592" i="1"/>
  <c r="BW592" i="1" s="1"/>
  <c r="BX1583" i="1"/>
  <c r="BU1583" i="1"/>
  <c r="BW1583" i="1" s="1"/>
  <c r="BX2266" i="1"/>
  <c r="BU2266" i="1"/>
  <c r="BW2266" i="1" s="1"/>
  <c r="BX1307" i="1"/>
  <c r="BU1307" i="1"/>
  <c r="BW1307" i="1" s="1"/>
  <c r="BU2444" i="1"/>
  <c r="BW2444" i="1" s="1"/>
  <c r="BU1493" i="1"/>
  <c r="BW1493" i="1" s="1"/>
  <c r="BU2456" i="1"/>
  <c r="BW2456" i="1" s="1"/>
  <c r="BU2080" i="1"/>
  <c r="BW2080" i="1" s="1"/>
  <c r="BU1796" i="1"/>
  <c r="BW1796" i="1" s="1"/>
  <c r="BU2884" i="1"/>
  <c r="BW2884" i="1" s="1"/>
  <c r="BX2826" i="1"/>
  <c r="BX2889" i="1"/>
  <c r="BU2889" i="1"/>
  <c r="BW2889" i="1" s="1"/>
  <c r="BX2317" i="1"/>
  <c r="BU2317" i="1"/>
  <c r="BW2317" i="1" s="1"/>
  <c r="BX1190" i="1"/>
  <c r="BU1190" i="1"/>
  <c r="BW1190" i="1" s="1"/>
  <c r="BX1573" i="1"/>
  <c r="BU1573" i="1"/>
  <c r="BW1573" i="1" s="1"/>
  <c r="BX2212" i="1"/>
  <c r="BU2212" i="1"/>
  <c r="BW2212" i="1" s="1"/>
  <c r="BX2921" i="1"/>
  <c r="BU2921" i="1"/>
  <c r="BW2921" i="1" s="1"/>
  <c r="BX1577" i="1"/>
  <c r="BU1577" i="1"/>
  <c r="BW1577" i="1" s="1"/>
  <c r="BX455" i="1"/>
  <c r="BU455" i="1"/>
  <c r="BW455" i="1" s="1"/>
  <c r="BX2844" i="1"/>
  <c r="BU2844" i="1"/>
  <c r="BW2844" i="1" s="1"/>
  <c r="BX2819" i="1"/>
  <c r="BU2819" i="1"/>
  <c r="BW2819" i="1" s="1"/>
  <c r="BX1820" i="1"/>
  <c r="BU1820" i="1"/>
  <c r="BW1820" i="1" s="1"/>
  <c r="BX2497" i="1"/>
  <c r="BU2497" i="1"/>
  <c r="BW2497" i="1" s="1"/>
  <c r="BX980" i="1"/>
  <c r="BU980" i="1"/>
  <c r="BW980" i="1" s="1"/>
  <c r="BX1620" i="1"/>
  <c r="BU1620" i="1"/>
  <c r="BW1620" i="1" s="1"/>
  <c r="BX743" i="1"/>
  <c r="BU743" i="1"/>
  <c r="BW743" i="1" s="1"/>
  <c r="BX1848" i="1"/>
  <c r="BU1848" i="1"/>
  <c r="BW1848" i="1" s="1"/>
  <c r="BX1774" i="1"/>
  <c r="BU1774" i="1"/>
  <c r="BW1774" i="1" s="1"/>
  <c r="BX2702" i="1"/>
  <c r="BU2702" i="1"/>
  <c r="BW2702" i="1" s="1"/>
  <c r="BX1416" i="1"/>
  <c r="BU1416" i="1"/>
  <c r="BW1416" i="1" s="1"/>
  <c r="BX1556" i="1"/>
  <c r="BU1556" i="1"/>
  <c r="BW1556" i="1" s="1"/>
  <c r="BX2938" i="1"/>
  <c r="BU2938" i="1"/>
  <c r="BW2938" i="1" s="1"/>
  <c r="BX534" i="1"/>
  <c r="BU534" i="1"/>
  <c r="BW534" i="1" s="1"/>
  <c r="BX577" i="1"/>
  <c r="BU577" i="1"/>
  <c r="BW577" i="1" s="1"/>
  <c r="BX1877" i="1"/>
  <c r="BU1877" i="1"/>
  <c r="BW1877" i="1" s="1"/>
  <c r="BX2445" i="1"/>
  <c r="BU2445" i="1"/>
  <c r="BW2445" i="1" s="1"/>
  <c r="BX3189" i="1"/>
  <c r="BU3189" i="1"/>
  <c r="BW3189" i="1" s="1"/>
  <c r="BU2221" i="1"/>
  <c r="BW2221" i="1" s="1"/>
  <c r="BU853" i="1"/>
  <c r="BW853" i="1" s="1"/>
  <c r="BU882" i="1"/>
  <c r="BW882" i="1" s="1"/>
  <c r="BU2754" i="1"/>
  <c r="BW2754" i="1" s="1"/>
  <c r="BU2314" i="1"/>
  <c r="BW2314" i="1" s="1"/>
  <c r="BU2854" i="1"/>
  <c r="BW2854" i="1" s="1"/>
  <c r="BU1181" i="1"/>
  <c r="BW1181" i="1" s="1"/>
  <c r="BU2529" i="1"/>
  <c r="BW2529" i="1" s="1"/>
  <c r="BU189" i="1"/>
  <c r="BW189" i="1" s="1"/>
  <c r="BU2411" i="1"/>
  <c r="BW2411" i="1" s="1"/>
  <c r="BX3182" i="1"/>
  <c r="BU3182" i="1"/>
  <c r="BW3182" i="1" s="1"/>
  <c r="BX3084" i="1"/>
  <c r="BU3084" i="1"/>
  <c r="BW3084" i="1" s="1"/>
  <c r="BX1613" i="1"/>
  <c r="BU1613" i="1"/>
  <c r="BW1613" i="1" s="1"/>
  <c r="BX603" i="1"/>
  <c r="BU603" i="1"/>
  <c r="BW603" i="1" s="1"/>
  <c r="BX1722" i="1"/>
  <c r="BU1722" i="1"/>
  <c r="BW1722" i="1" s="1"/>
  <c r="BX431" i="1"/>
  <c r="BU431" i="1"/>
  <c r="BW431" i="1" s="1"/>
  <c r="BX2586" i="1"/>
  <c r="BU2586" i="1"/>
  <c r="BW2586" i="1" s="1"/>
  <c r="BX2064" i="1"/>
  <c r="BU2064" i="1"/>
  <c r="BW2064" i="1" s="1"/>
  <c r="BX557" i="1"/>
  <c r="BU557" i="1"/>
  <c r="BW557" i="1" s="1"/>
  <c r="BX1586" i="1"/>
  <c r="BU1586" i="1"/>
  <c r="BW1586" i="1" s="1"/>
  <c r="BX2186" i="1"/>
  <c r="BU2186" i="1"/>
  <c r="BW2186" i="1" s="1"/>
  <c r="BX560" i="1"/>
  <c r="BU560" i="1"/>
  <c r="BW560" i="1" s="1"/>
  <c r="BX862" i="1"/>
  <c r="BU862" i="1"/>
  <c r="BW862" i="1" s="1"/>
  <c r="BX2598" i="1"/>
  <c r="BU2598" i="1"/>
  <c r="BW2598" i="1" s="1"/>
  <c r="BX885" i="1"/>
  <c r="BU885" i="1"/>
  <c r="BW885" i="1" s="1"/>
  <c r="BX530" i="1"/>
  <c r="BU530" i="1"/>
  <c r="BW530" i="1" s="1"/>
  <c r="BX598" i="1"/>
  <c r="BU598" i="1"/>
  <c r="BW598" i="1" s="1"/>
  <c r="BX2928" i="1"/>
  <c r="BU2928" i="1"/>
  <c r="BW2928" i="1" s="1"/>
  <c r="BX2443" i="1"/>
  <c r="BU2443" i="1"/>
  <c r="BW2443" i="1" s="1"/>
  <c r="BX2864" i="1"/>
  <c r="BU2864" i="1"/>
  <c r="BW2864" i="1" s="1"/>
  <c r="BX977" i="1"/>
  <c r="BU977" i="1"/>
  <c r="BW977" i="1" s="1"/>
  <c r="BX2775" i="1"/>
  <c r="BU2775" i="1"/>
  <c r="BW2775" i="1" s="1"/>
  <c r="BX435" i="1"/>
  <c r="BU435" i="1"/>
  <c r="BW435" i="1" s="1"/>
  <c r="BX1363" i="1"/>
  <c r="BU1363" i="1"/>
  <c r="BW1363" i="1" s="1"/>
  <c r="BX3142" i="1"/>
  <c r="BU3142" i="1"/>
  <c r="BW3142" i="1" s="1"/>
  <c r="BU1124" i="1"/>
  <c r="BW1124" i="1" s="1"/>
  <c r="BU2877" i="1"/>
  <c r="BW2877" i="1" s="1"/>
  <c r="Q2576" i="1"/>
  <c r="BZ2576" i="1"/>
  <c r="BU11" i="1"/>
  <c r="BW11" i="1" s="1"/>
  <c r="BU767" i="1"/>
  <c r="BW767" i="1" s="1"/>
  <c r="BU2235" i="1"/>
  <c r="BW2235" i="1" s="1"/>
  <c r="BU2906" i="1"/>
  <c r="BW2906" i="1" s="1"/>
  <c r="BU1378" i="1"/>
  <c r="BW1378" i="1" s="1"/>
  <c r="BU2987" i="1"/>
  <c r="BW2987" i="1" s="1"/>
  <c r="BU1010" i="1"/>
  <c r="BW1010" i="1" s="1"/>
  <c r="BU2857" i="1"/>
  <c r="BW2857" i="1" s="1"/>
  <c r="BU1213" i="1"/>
  <c r="BW1213" i="1" s="1"/>
  <c r="BZ1505" i="1"/>
  <c r="BU2958" i="1"/>
  <c r="BW2958" i="1" s="1"/>
  <c r="BU2051" i="1"/>
  <c r="BW2051" i="1" s="1"/>
  <c r="BU838" i="1"/>
  <c r="BW838" i="1" s="1"/>
  <c r="BU2873" i="1"/>
  <c r="BW2873" i="1" s="1"/>
  <c r="BU1111" i="1"/>
  <c r="BW1111" i="1" s="1"/>
  <c r="BU2506" i="1"/>
  <c r="BW2506" i="1" s="1"/>
  <c r="BU1859" i="1"/>
  <c r="BW1859" i="1" s="1"/>
  <c r="BU1365" i="1"/>
  <c r="BW1365" i="1" s="1"/>
  <c r="BU969" i="1"/>
  <c r="BW969" i="1" s="1"/>
  <c r="BU1551" i="1"/>
  <c r="BW1551" i="1" s="1"/>
  <c r="BU2929" i="1"/>
  <c r="BW2929" i="1" s="1"/>
  <c r="BU1176" i="1"/>
  <c r="BW1176" i="1" s="1"/>
  <c r="BU1983" i="1"/>
  <c r="BW1983" i="1" s="1"/>
  <c r="BU2329" i="1"/>
  <c r="BW2329" i="1" s="1"/>
  <c r="BU1510" i="1"/>
  <c r="BW1510" i="1" s="1"/>
  <c r="BU2805" i="1"/>
  <c r="BW2805" i="1" s="1"/>
  <c r="BU2362" i="1"/>
  <c r="BW2362" i="1" s="1"/>
  <c r="BU1264" i="1"/>
  <c r="BW1264" i="1" s="1"/>
  <c r="BU3007" i="1"/>
  <c r="BW3007" i="1" s="1"/>
  <c r="BU3191" i="1"/>
  <c r="BW3191" i="1" s="1"/>
  <c r="BU2952" i="1"/>
  <c r="BW2952" i="1" s="1"/>
  <c r="BU2989" i="1"/>
  <c r="BW2989" i="1" s="1"/>
  <c r="BU2898" i="1"/>
  <c r="BW2898" i="1" s="1"/>
  <c r="BU807" i="1"/>
  <c r="BW807" i="1" s="1"/>
  <c r="BU384" i="1"/>
  <c r="BW384" i="1" s="1"/>
  <c r="BU3093" i="1"/>
  <c r="BW3093" i="1" s="1"/>
  <c r="BU1000" i="1"/>
  <c r="BW1000" i="1" s="1"/>
  <c r="BU813" i="1"/>
  <c r="BW813" i="1" s="1"/>
  <c r="BU1293" i="1"/>
  <c r="BW1293" i="1" s="1"/>
  <c r="BU2814" i="1"/>
  <c r="BW2814" i="1" s="1"/>
  <c r="BU1069" i="1"/>
  <c r="BW1069" i="1" s="1"/>
  <c r="BU3194" i="1"/>
  <c r="BW3194" i="1" s="1"/>
  <c r="BU153" i="1"/>
  <c r="BW153" i="1" s="1"/>
  <c r="BU1729" i="1"/>
  <c r="BW1729" i="1" s="1"/>
  <c r="BU667" i="1"/>
  <c r="BW667" i="1" s="1"/>
  <c r="BU2909" i="1"/>
  <c r="BW2909" i="1" s="1"/>
  <c r="BU1317" i="1"/>
  <c r="BW1317" i="1" s="1"/>
  <c r="BU2370" i="1"/>
  <c r="BW2370" i="1" s="1"/>
  <c r="BU1730" i="1"/>
  <c r="BW1730" i="1" s="1"/>
  <c r="BU621" i="1"/>
  <c r="BW621" i="1" s="1"/>
  <c r="BU167" i="1"/>
  <c r="BW167" i="1" s="1"/>
  <c r="BU1423" i="1"/>
  <c r="BW1423" i="1" s="1"/>
  <c r="BU1024" i="1"/>
  <c r="BW1024" i="1" s="1"/>
  <c r="BU1880" i="1"/>
  <c r="BW1880" i="1" s="1"/>
  <c r="BU2156" i="1"/>
  <c r="BW2156" i="1" s="1"/>
  <c r="BU374" i="1"/>
  <c r="BW374" i="1" s="1"/>
  <c r="BU2940" i="1"/>
  <c r="BW2940" i="1" s="1"/>
  <c r="BU2818" i="1"/>
  <c r="BW2818" i="1" s="1"/>
  <c r="BU1698" i="1"/>
  <c r="BW1698" i="1" s="1"/>
  <c r="BU150" i="1"/>
  <c r="BW150" i="1" s="1"/>
  <c r="BU2779" i="1"/>
  <c r="BW2779" i="1" s="1"/>
  <c r="BX2284" i="1"/>
  <c r="BU2949" i="1"/>
  <c r="BW2949" i="1" s="1"/>
  <c r="BU1964" i="1"/>
  <c r="BW1964" i="1" s="1"/>
  <c r="BU1072" i="1"/>
  <c r="BW1072" i="1" s="1"/>
  <c r="BU2125" i="1"/>
  <c r="BW2125" i="1" s="1"/>
  <c r="BU2519" i="1"/>
  <c r="BW2519" i="1" s="1"/>
  <c r="BU961" i="1"/>
  <c r="BW961" i="1" s="1"/>
  <c r="BU2936" i="1"/>
  <c r="BW2936" i="1" s="1"/>
  <c r="BU2347" i="1"/>
  <c r="BW2347" i="1" s="1"/>
  <c r="BU1632" i="1"/>
  <c r="BW1632" i="1" s="1"/>
  <c r="BU382" i="1"/>
  <c r="BW382" i="1" s="1"/>
  <c r="BU2838" i="1"/>
  <c r="BW2838" i="1" s="1"/>
  <c r="BU390" i="1"/>
  <c r="BW390" i="1" s="1"/>
  <c r="BU2448" i="1"/>
  <c r="BW2448" i="1" s="1"/>
  <c r="BU17" i="1"/>
  <c r="BW17" i="1" s="1"/>
  <c r="BU2013" i="1"/>
  <c r="BW2013" i="1" s="1"/>
  <c r="BU566" i="1"/>
  <c r="BW566" i="1" s="1"/>
  <c r="BU2502" i="1"/>
  <c r="BW2502" i="1" s="1"/>
  <c r="BU1999" i="1"/>
  <c r="BW1999" i="1" s="1"/>
  <c r="BU2441" i="1"/>
  <c r="BW2441" i="1" s="1"/>
  <c r="BU2689" i="1"/>
  <c r="BW2689" i="1" s="1"/>
  <c r="BU1163" i="1"/>
  <c r="BW1163" i="1" s="1"/>
  <c r="BU2768" i="1"/>
  <c r="BW2768" i="1" s="1"/>
  <c r="BU1931" i="1"/>
  <c r="BW1931" i="1" s="1"/>
  <c r="BU1121" i="1"/>
  <c r="BW1121" i="1" s="1"/>
  <c r="BU677" i="1"/>
  <c r="BW677" i="1" s="1"/>
  <c r="BU833" i="1"/>
  <c r="BW833" i="1" s="1"/>
  <c r="BU2778" i="1"/>
  <c r="BW2778" i="1" s="1"/>
  <c r="BU2360" i="1"/>
  <c r="BW2360" i="1" s="1"/>
  <c r="BU1400" i="1"/>
  <c r="BW1400" i="1" s="1"/>
  <c r="BU1140" i="1"/>
  <c r="BW1140" i="1" s="1"/>
  <c r="BU2912" i="1"/>
  <c r="BW2912" i="1" s="1"/>
  <c r="BU628" i="1"/>
  <c r="BW628" i="1" s="1"/>
  <c r="BU582" i="1"/>
  <c r="BW582" i="1" s="1"/>
  <c r="BU1067" i="1"/>
  <c r="BW1067" i="1" s="1"/>
  <c r="BU2481" i="1"/>
  <c r="BW2481" i="1" s="1"/>
  <c r="BU2916" i="1"/>
  <c r="BW2916" i="1" s="1"/>
  <c r="BU570" i="1"/>
  <c r="BW570" i="1" s="1"/>
  <c r="BU2908" i="1"/>
  <c r="BW2908" i="1" s="1"/>
  <c r="BU361" i="1"/>
  <c r="BW361" i="1" s="1"/>
  <c r="BU2293" i="1"/>
  <c r="BW2293" i="1" s="1"/>
  <c r="BU1706" i="1"/>
  <c r="BW1706" i="1" s="1"/>
  <c r="BU2115" i="1"/>
  <c r="BW2115" i="1" s="1"/>
  <c r="BU2999" i="1"/>
  <c r="BW2999" i="1" s="1"/>
  <c r="BU186" i="1"/>
  <c r="BW186" i="1" s="1"/>
  <c r="BU1216" i="1"/>
  <c r="BW1216" i="1" s="1"/>
  <c r="BU1782" i="1"/>
  <c r="BW1782" i="1" s="1"/>
  <c r="BU1083" i="1"/>
  <c r="BW1083" i="1" s="1"/>
  <c r="BU2331" i="1"/>
  <c r="BW2331" i="1" s="1"/>
  <c r="BU1192" i="1"/>
  <c r="BW1192" i="1" s="1"/>
  <c r="BU1974" i="1"/>
  <c r="BW1974" i="1" s="1"/>
  <c r="BU432" i="1"/>
  <c r="BW432" i="1" s="1"/>
  <c r="BX1129" i="1"/>
  <c r="BU516" i="1"/>
  <c r="BW516" i="1" s="1"/>
  <c r="BU779" i="1"/>
  <c r="BW779" i="1" s="1"/>
  <c r="BU16" i="1"/>
  <c r="BW16" i="1" s="1"/>
  <c r="BU2070" i="1"/>
  <c r="BW2070" i="1" s="1"/>
  <c r="BU2508" i="1"/>
  <c r="BW2508" i="1" s="1"/>
  <c r="BU732" i="1"/>
  <c r="BW732" i="1" s="1"/>
  <c r="BU2273" i="1"/>
  <c r="BW2273" i="1" s="1"/>
  <c r="BU475" i="1"/>
  <c r="BW475" i="1" s="1"/>
  <c r="BU626" i="1"/>
  <c r="BW626" i="1" s="1"/>
  <c r="BU2969" i="1"/>
  <c r="BW2969" i="1" s="1"/>
  <c r="BU2553" i="1"/>
  <c r="BW2553" i="1" s="1"/>
  <c r="BU927" i="1"/>
  <c r="BW927" i="1" s="1"/>
  <c r="BU2991" i="1"/>
  <c r="BW2991" i="1" s="1"/>
  <c r="BU1070" i="1"/>
  <c r="BW1070" i="1" s="1"/>
  <c r="BU2597" i="1"/>
  <c r="BW2597" i="1" s="1"/>
  <c r="BU3117" i="1"/>
  <c r="BW3117" i="1" s="1"/>
  <c r="BU1280" i="1"/>
  <c r="BW1280" i="1" s="1"/>
  <c r="BU1537" i="1"/>
  <c r="BW1537" i="1" s="1"/>
  <c r="BU2137" i="1"/>
  <c r="BW2137" i="1" s="1"/>
  <c r="BU307" i="1"/>
  <c r="BW307" i="1" s="1"/>
  <c r="BU3174" i="1"/>
  <c r="BW3174" i="1" s="1"/>
  <c r="BU2839" i="1"/>
  <c r="BW2839" i="1" s="1"/>
  <c r="BU723" i="1"/>
  <c r="BW723" i="1" s="1"/>
  <c r="BU1705" i="1"/>
  <c r="BW1705" i="1" s="1"/>
  <c r="BU2278" i="1"/>
  <c r="BW2278" i="1" s="1"/>
  <c r="BU2640" i="1"/>
  <c r="BW2640" i="1" s="1"/>
  <c r="BU1308" i="1"/>
  <c r="BW1308" i="1" s="1"/>
  <c r="BU2038" i="1"/>
  <c r="BW2038" i="1" s="1"/>
  <c r="BU3195" i="1"/>
  <c r="BW3195" i="1" s="1"/>
  <c r="BU1637" i="1"/>
  <c r="BW1637" i="1" s="1"/>
  <c r="BU2517" i="1"/>
  <c r="BW2517" i="1" s="1"/>
  <c r="BU2237" i="1"/>
  <c r="BW2237" i="1" s="1"/>
  <c r="BU196" i="1"/>
  <c r="BW196" i="1" s="1"/>
  <c r="BU142" i="1"/>
  <c r="BW142" i="1" s="1"/>
  <c r="BU190" i="1"/>
  <c r="BW190" i="1" s="1"/>
  <c r="BU1755" i="1"/>
  <c r="BW1755" i="1" s="1"/>
  <c r="BU2849" i="1"/>
  <c r="BW2849" i="1" s="1"/>
  <c r="BU2798" i="1"/>
  <c r="BW2798" i="1" s="1"/>
  <c r="BU1625" i="1"/>
  <c r="BW1625" i="1" s="1"/>
  <c r="BU1458" i="1"/>
  <c r="BW1458" i="1" s="1"/>
  <c r="BU2409" i="1"/>
  <c r="BW2409" i="1" s="1"/>
  <c r="BU632" i="1"/>
  <c r="BW632" i="1" s="1"/>
  <c r="BU3185" i="1"/>
  <c r="BW3185" i="1" s="1"/>
  <c r="BU1191" i="1"/>
  <c r="BW1191" i="1" s="1"/>
  <c r="BU2323" i="1"/>
  <c r="BW2323" i="1" s="1"/>
  <c r="BU2340" i="1"/>
  <c r="BW2340" i="1" s="1"/>
  <c r="BU1609" i="1"/>
  <c r="BW1609" i="1" s="1"/>
  <c r="BU1881" i="1"/>
  <c r="BW1881" i="1" s="1"/>
  <c r="BU727" i="1"/>
  <c r="BW727" i="1" s="1"/>
  <c r="BU2281" i="1"/>
  <c r="BW2281" i="1" s="1"/>
  <c r="BU585" i="1"/>
  <c r="BW585" i="1" s="1"/>
  <c r="BU2923" i="1"/>
  <c r="BW2923" i="1" s="1"/>
  <c r="BU1962" i="1"/>
  <c r="BW1962" i="1" s="1"/>
  <c r="BU2833" i="1"/>
  <c r="BW2833" i="1" s="1"/>
  <c r="BU2780" i="1"/>
  <c r="BW2780" i="1" s="1"/>
  <c r="BU2734" i="1"/>
  <c r="BW2734" i="1" s="1"/>
  <c r="BU2049" i="1"/>
  <c r="BW2049" i="1" s="1"/>
  <c r="BU304" i="1"/>
  <c r="BW304" i="1" s="1"/>
  <c r="BU2036" i="1"/>
  <c r="BW2036" i="1" s="1"/>
  <c r="BU1426" i="1"/>
  <c r="BW1426" i="1" s="1"/>
  <c r="BU2162" i="1"/>
  <c r="BW2162" i="1" s="1"/>
  <c r="BU2913" i="1"/>
  <c r="BW2913" i="1" s="1"/>
  <c r="BU2228" i="1"/>
  <c r="BW2228" i="1" s="1"/>
  <c r="BU324" i="1"/>
  <c r="BW324" i="1" s="1"/>
  <c r="BU903" i="1"/>
  <c r="BW903" i="1" s="1"/>
  <c r="BU844" i="1"/>
  <c r="BW844" i="1" s="1"/>
  <c r="BU2196" i="1"/>
  <c r="BW2196" i="1" s="1"/>
  <c r="BU2544" i="1"/>
  <c r="BW2544" i="1" s="1"/>
  <c r="BU1094" i="1"/>
  <c r="BW1094" i="1" s="1"/>
  <c r="BU617" i="1"/>
  <c r="BW617" i="1" s="1"/>
  <c r="BU1061" i="1"/>
  <c r="BW1061" i="1" s="1"/>
  <c r="BU2181" i="1"/>
  <c r="BW2181" i="1" s="1"/>
  <c r="BU1374" i="1"/>
  <c r="BW1374" i="1" s="1"/>
  <c r="BU2313" i="1"/>
  <c r="BW2313" i="1" s="1"/>
  <c r="BU1969" i="1"/>
  <c r="BW1969" i="1" s="1"/>
  <c r="BU141" i="1"/>
  <c r="BW141" i="1" s="1"/>
  <c r="BU1199" i="1"/>
  <c r="BW1199" i="1" s="1"/>
  <c r="BU2150" i="1"/>
  <c r="BW2150" i="1" s="1"/>
  <c r="BU127" i="1"/>
  <c r="BW127" i="1" s="1"/>
  <c r="BU1177" i="1"/>
  <c r="BW1177" i="1" s="1"/>
  <c r="BU14" i="1"/>
  <c r="BW14" i="1" s="1"/>
  <c r="BU1674" i="1"/>
  <c r="BW1674" i="1" s="1"/>
  <c r="BU2430" i="1"/>
  <c r="BW2430" i="1" s="1"/>
  <c r="BU2765" i="1"/>
  <c r="BW2765" i="1" s="1"/>
  <c r="BU2585" i="1"/>
  <c r="BW2585" i="1" s="1"/>
  <c r="BU25" i="1"/>
  <c r="BW25" i="1" s="1"/>
  <c r="BU2925" i="1"/>
  <c r="BW2925" i="1" s="1"/>
  <c r="BU622" i="1"/>
  <c r="BW622" i="1" s="1"/>
  <c r="BU2592" i="1"/>
  <c r="BW2592" i="1" s="1"/>
  <c r="BU2894" i="1"/>
  <c r="BW2894" i="1" s="1"/>
  <c r="BU175" i="1"/>
  <c r="BW175" i="1" s="1"/>
  <c r="BU355" i="1"/>
  <c r="BW355" i="1" s="1"/>
  <c r="BU1008" i="1"/>
  <c r="BW1008" i="1" s="1"/>
  <c r="BU1185" i="1"/>
  <c r="BW1185" i="1" s="1"/>
  <c r="BU2178" i="1"/>
  <c r="BW2178" i="1" s="1"/>
  <c r="BU2422" i="1"/>
  <c r="BW2422" i="1" s="1"/>
  <c r="BU3025" i="1"/>
  <c r="BW3025" i="1" s="1"/>
  <c r="BU450" i="1"/>
  <c r="BW450" i="1" s="1"/>
  <c r="BU500" i="1"/>
  <c r="BW500" i="1" s="1"/>
  <c r="BU309" i="1"/>
  <c r="BW309" i="1" s="1"/>
  <c r="BU1034" i="1"/>
  <c r="BW1034" i="1" s="1"/>
  <c r="BU467" i="1"/>
  <c r="BW467" i="1" s="1"/>
  <c r="BU2094" i="1"/>
  <c r="BW2094" i="1" s="1"/>
  <c r="BU114" i="1"/>
  <c r="BW114" i="1" s="1"/>
  <c r="BU1226" i="1"/>
  <c r="BW1226" i="1" s="1"/>
  <c r="BU627" i="1"/>
  <c r="BW627" i="1" s="1"/>
  <c r="BU1945" i="1"/>
  <c r="BW1945" i="1" s="1"/>
  <c r="BU984" i="1"/>
  <c r="BW984" i="1" s="1"/>
  <c r="BU1243" i="1"/>
  <c r="BW1243" i="1" s="1"/>
  <c r="BU417" i="1"/>
  <c r="BW417" i="1" s="1"/>
  <c r="BU2265" i="1"/>
  <c r="BW2265" i="1" s="1"/>
  <c r="BU2881" i="1"/>
  <c r="BW2881" i="1" s="1"/>
  <c r="BU2447" i="1"/>
  <c r="BW2447" i="1" s="1"/>
  <c r="BU2914" i="1"/>
  <c r="BW2914" i="1" s="1"/>
  <c r="BU1511" i="1"/>
  <c r="BW1511" i="1" s="1"/>
  <c r="BU633" i="1"/>
  <c r="BW633" i="1" s="1"/>
  <c r="BU1272" i="1"/>
  <c r="BW1272" i="1" s="1"/>
  <c r="BU1495" i="1"/>
  <c r="BW1495" i="1" s="1"/>
  <c r="BU2891" i="1"/>
  <c r="BW2891" i="1" s="1"/>
  <c r="BU2996" i="1"/>
  <c r="BW2996" i="1" s="1"/>
  <c r="BU1407" i="1"/>
  <c r="BW1407" i="1" s="1"/>
  <c r="BU657" i="1"/>
  <c r="BW657" i="1" s="1"/>
  <c r="BU3141" i="1"/>
  <c r="BW3141" i="1" s="1"/>
  <c r="BU2484" i="1"/>
  <c r="BW2484" i="1" s="1"/>
  <c r="BU993" i="1"/>
  <c r="BW993" i="1" s="1"/>
  <c r="BU2141" i="1"/>
  <c r="BW2141" i="1" s="1"/>
  <c r="BU664" i="1"/>
  <c r="BW664" i="1" s="1"/>
  <c r="BU1415" i="1"/>
  <c r="BW1415" i="1" s="1"/>
  <c r="BU428" i="1"/>
  <c r="BW428" i="1" s="1"/>
  <c r="BU485" i="1"/>
  <c r="BW485" i="1" s="1"/>
  <c r="BU3031" i="1"/>
  <c r="BW3031" i="1" s="1"/>
  <c r="BU2173" i="1"/>
  <c r="BW2173" i="1" s="1"/>
  <c r="BU2897" i="1"/>
  <c r="BW2897" i="1" s="1"/>
  <c r="BU2474" i="1"/>
  <c r="BW2474" i="1" s="1"/>
  <c r="BU145" i="1"/>
  <c r="BW145" i="1" s="1"/>
  <c r="BU2879" i="1"/>
  <c r="BW2879" i="1" s="1"/>
  <c r="BU949" i="1"/>
  <c r="BW949" i="1" s="1"/>
  <c r="BU3193" i="1"/>
  <c r="BW3193" i="1" s="1"/>
  <c r="BU397" i="1"/>
  <c r="BW397" i="1" s="1"/>
  <c r="BU1257" i="1"/>
  <c r="BW1257" i="1" s="1"/>
  <c r="BU2298" i="1"/>
  <c r="BW2298" i="1" s="1"/>
  <c r="BU814" i="1"/>
  <c r="BW814" i="1" s="1"/>
  <c r="BU1325" i="1"/>
  <c r="BW1325" i="1" s="1"/>
  <c r="BU696" i="1"/>
  <c r="BW696" i="1" s="1"/>
  <c r="BU2869" i="1"/>
  <c r="BW2869" i="1" s="1"/>
  <c r="BU2821" i="1"/>
  <c r="BW2821" i="1" s="1"/>
  <c r="BU802" i="1"/>
  <c r="BW802" i="1" s="1"/>
  <c r="BU2454" i="1"/>
  <c r="BW2454" i="1" s="1"/>
  <c r="BU112" i="1"/>
  <c r="BW112" i="1" s="1"/>
  <c r="BU1846" i="1"/>
  <c r="BW1846" i="1" s="1"/>
  <c r="BU1222" i="1"/>
  <c r="BW1222" i="1" s="1"/>
  <c r="BU2210" i="1"/>
  <c r="BW2210" i="1" s="1"/>
  <c r="BU681" i="1"/>
  <c r="BW681" i="1" s="1"/>
  <c r="BU2197" i="1"/>
  <c r="BW2197" i="1" s="1"/>
  <c r="BU1110" i="1"/>
  <c r="BW1110" i="1" s="1"/>
  <c r="BU443" i="1"/>
  <c r="BW443" i="1" s="1"/>
  <c r="BU2608" i="1"/>
  <c r="BW2608" i="1" s="1"/>
  <c r="BU357" i="1"/>
  <c r="BW357" i="1" s="1"/>
  <c r="BU1263" i="1"/>
  <c r="BW1263" i="1" s="1"/>
  <c r="BU2961" i="1"/>
  <c r="BW2961" i="1" s="1"/>
  <c r="BU811" i="1"/>
  <c r="BW811" i="1" s="1"/>
  <c r="BU675" i="1"/>
  <c r="BW675" i="1" s="1"/>
  <c r="BU1872" i="1"/>
  <c r="BW1872" i="1" s="1"/>
  <c r="BU2623" i="1"/>
  <c r="BW2623" i="1" s="1"/>
  <c r="BU1193" i="1"/>
  <c r="BW1193" i="1" s="1"/>
  <c r="BU685" i="1"/>
  <c r="BW685" i="1" s="1"/>
  <c r="BU3002" i="1"/>
  <c r="BW3002" i="1" s="1"/>
  <c r="BU2959" i="1"/>
  <c r="BW2959" i="1" s="1"/>
  <c r="BU1030" i="1"/>
  <c r="BW1030" i="1" s="1"/>
  <c r="BU2110" i="1"/>
  <c r="BW2110" i="1" s="1"/>
  <c r="BU2840" i="1"/>
  <c r="BW2840" i="1" s="1"/>
  <c r="BU2789" i="1"/>
  <c r="BW2789" i="1" s="1"/>
  <c r="BU2769" i="1"/>
  <c r="BW2769" i="1" s="1"/>
  <c r="BU152" i="1"/>
  <c r="BW152" i="1" s="1"/>
  <c r="BU584" i="1"/>
  <c r="BW584" i="1" s="1"/>
  <c r="BU912" i="1"/>
  <c r="BW912" i="1" s="1"/>
  <c r="BU358" i="1"/>
  <c r="BW358" i="1" s="1"/>
  <c r="BU1313" i="1"/>
  <c r="BW1313" i="1" s="1"/>
  <c r="BU469" i="1"/>
  <c r="BW469" i="1" s="1"/>
  <c r="BU1913" i="1"/>
  <c r="BW1913" i="1" s="1"/>
  <c r="BU2843" i="1"/>
  <c r="BW2843" i="1" s="1"/>
  <c r="BU2825" i="1"/>
  <c r="BW2825" i="1" s="1"/>
  <c r="BU973" i="1"/>
  <c r="BW973" i="1" s="1"/>
  <c r="BU1315" i="1"/>
  <c r="BW1315" i="1" s="1"/>
  <c r="BU2587" i="1"/>
  <c r="BW2587" i="1" s="1"/>
  <c r="BU401" i="1"/>
  <c r="BW401" i="1" s="1"/>
  <c r="BU2540" i="1"/>
  <c r="BW2540" i="1" s="1"/>
  <c r="BU2503" i="1"/>
  <c r="BW2503" i="1" s="1"/>
  <c r="BU472" i="1"/>
  <c r="BW472" i="1" s="1"/>
  <c r="BU542" i="1"/>
  <c r="BW542" i="1" s="1"/>
  <c r="BU1344" i="1"/>
  <c r="BW1344" i="1" s="1"/>
  <c r="BU1323" i="1"/>
  <c r="BW1323" i="1" s="1"/>
  <c r="BU1443" i="1"/>
  <c r="BW1443" i="1" s="1"/>
  <c r="BU1500" i="1"/>
  <c r="BW1500" i="1" s="1"/>
  <c r="BU2074" i="1"/>
  <c r="BW2074" i="1" s="1"/>
  <c r="BU665" i="1"/>
  <c r="BW665" i="1" s="1"/>
  <c r="BU118" i="1"/>
  <c r="BW118" i="1" s="1"/>
  <c r="BU913" i="1"/>
  <c r="BW913" i="1" s="1"/>
  <c r="BU1968" i="1"/>
  <c r="BW1968" i="1" s="1"/>
  <c r="BU383" i="1"/>
  <c r="BW383" i="1" s="1"/>
  <c r="BU171" i="1"/>
  <c r="BW171" i="1" s="1"/>
  <c r="BU1422" i="1"/>
  <c r="BW1422" i="1" s="1"/>
  <c r="BU2475" i="1"/>
  <c r="BW2475" i="1" s="1"/>
  <c r="BU2846" i="1"/>
  <c r="BW2846" i="1" s="1"/>
  <c r="BU2334" i="1"/>
  <c r="BW2334" i="1" s="1"/>
  <c r="BU2338" i="1"/>
  <c r="BW2338" i="1" s="1"/>
  <c r="BU2270" i="1"/>
  <c r="BW2270" i="1" s="1"/>
  <c r="BU136" i="1"/>
  <c r="BW136" i="1" s="1"/>
  <c r="BU976" i="1"/>
  <c r="BW976" i="1" s="1"/>
  <c r="BU2861" i="1"/>
  <c r="BW2861" i="1" s="1"/>
  <c r="BU2645" i="1"/>
  <c r="BW2645" i="1" s="1"/>
  <c r="BU3173" i="1"/>
  <c r="BW3173" i="1" s="1"/>
  <c r="BU1818" i="1"/>
  <c r="BW1818" i="1" s="1"/>
  <c r="BU715" i="1"/>
  <c r="BW715" i="1" s="1"/>
  <c r="BU2285" i="1"/>
  <c r="BW2285" i="1" s="1"/>
  <c r="BU2678" i="1"/>
  <c r="BW2678" i="1" s="1"/>
  <c r="BU2888" i="1"/>
  <c r="BW2888" i="1" s="1"/>
  <c r="BU717" i="1"/>
  <c r="BW717" i="1" s="1"/>
  <c r="BU2294" i="1"/>
  <c r="BW2294" i="1" s="1"/>
  <c r="BU1787" i="1"/>
  <c r="BW1787" i="1" s="1"/>
  <c r="BU2606" i="1"/>
  <c r="BW2606" i="1" s="1"/>
  <c r="BU154" i="1"/>
  <c r="BW154" i="1" s="1"/>
  <c r="BU1248" i="1"/>
  <c r="BW1248" i="1" s="1"/>
  <c r="BU1581" i="1"/>
  <c r="BW1581" i="1" s="1"/>
  <c r="BU1452" i="1"/>
  <c r="BW1452" i="1" s="1"/>
  <c r="BU674" i="1"/>
  <c r="BW674" i="1" s="1"/>
  <c r="BZ3061" i="1"/>
  <c r="BU1412" i="1"/>
  <c r="BW1412" i="1" s="1"/>
  <c r="BU1353" i="1"/>
  <c r="BW1353" i="1" s="1"/>
  <c r="BU1244" i="1"/>
  <c r="BW1244" i="1" s="1"/>
  <c r="BU2096" i="1"/>
  <c r="BW2096" i="1" s="1"/>
  <c r="BU2250" i="1"/>
  <c r="BW2250" i="1" s="1"/>
  <c r="BU1678" i="1"/>
  <c r="BW1678" i="1" s="1"/>
  <c r="BU2428" i="1"/>
  <c r="BW2428" i="1" s="1"/>
  <c r="BU2942" i="1"/>
  <c r="BW2942" i="1" s="1"/>
  <c r="BU1376" i="1"/>
  <c r="BW1376" i="1" s="1"/>
  <c r="BU1340" i="1"/>
  <c r="BW1340" i="1" s="1"/>
  <c r="BU15" i="1"/>
  <c r="BW15" i="1" s="1"/>
  <c r="BU2714" i="1"/>
  <c r="BW2714" i="1" s="1"/>
  <c r="BU1134" i="1"/>
  <c r="BW1134" i="1" s="1"/>
  <c r="BU2505" i="1"/>
  <c r="BW2505" i="1" s="1"/>
  <c r="BU2283" i="1"/>
  <c r="BW2283" i="1" s="1"/>
  <c r="BU172" i="1"/>
  <c r="BW172" i="1" s="1"/>
  <c r="BU536" i="1"/>
  <c r="BW536" i="1" s="1"/>
  <c r="BU676" i="1"/>
  <c r="BW676" i="1" s="1"/>
  <c r="BU1429" i="1"/>
  <c r="BW1429" i="1" s="1"/>
  <c r="BU3160" i="1"/>
  <c r="BW3160" i="1" s="1"/>
  <c r="BU1727" i="1"/>
  <c r="BW1727" i="1" s="1"/>
  <c r="BU1059" i="1"/>
  <c r="BW1059" i="1" s="1"/>
  <c r="BU1123" i="1"/>
  <c r="BW1123" i="1" s="1"/>
  <c r="BU2686" i="1"/>
  <c r="BW2686" i="1" s="1"/>
  <c r="BU700" i="1"/>
  <c r="BW700" i="1" s="1"/>
  <c r="BU1874" i="1"/>
  <c r="BW1874" i="1" s="1"/>
  <c r="BU1629" i="1"/>
  <c r="BW1629" i="1" s="1"/>
  <c r="BU3019" i="1"/>
  <c r="BW3019" i="1" s="1"/>
  <c r="BU1756" i="1"/>
  <c r="BW1756" i="1" s="1"/>
  <c r="BU2899" i="1"/>
  <c r="BW2899" i="1" s="1"/>
  <c r="BU434" i="1"/>
  <c r="BW434" i="1" s="1"/>
  <c r="BU496" i="1"/>
  <c r="BW496" i="1" s="1"/>
  <c r="BU1028" i="1"/>
  <c r="BW1028" i="1" s="1"/>
  <c r="BU1086" i="1"/>
  <c r="BW1086" i="1" s="1"/>
  <c r="BU1830" i="1"/>
  <c r="BW1830" i="1" s="1"/>
  <c r="BU409" i="1"/>
  <c r="BW409" i="1" s="1"/>
  <c r="BU650" i="1"/>
  <c r="BW650" i="1" s="1"/>
  <c r="BU1957" i="1"/>
  <c r="BW1957" i="1" s="1"/>
  <c r="BU1653" i="1"/>
  <c r="BW1653" i="1" s="1"/>
  <c r="BU1709" i="1"/>
  <c r="BW1709" i="1" s="1"/>
  <c r="BU2516" i="1"/>
  <c r="BW2516" i="1" s="1"/>
  <c r="BU178" i="1"/>
  <c r="BW178" i="1" s="1"/>
  <c r="BU1467" i="1"/>
  <c r="BW1467" i="1" s="1"/>
  <c r="BU3200" i="1"/>
  <c r="BW3200" i="1" s="1"/>
  <c r="BU3080" i="1"/>
  <c r="BW3080" i="1" s="1"/>
  <c r="BU1025" i="1"/>
  <c r="BW1025" i="1" s="1"/>
  <c r="BU986" i="1"/>
  <c r="BW986" i="1" s="1"/>
  <c r="BU567" i="1"/>
  <c r="BW567" i="1" s="1"/>
  <c r="BU630" i="1"/>
  <c r="BW630" i="1" s="1"/>
  <c r="BU2824" i="1"/>
  <c r="BW2824" i="1" s="1"/>
  <c r="BU2091" i="1"/>
  <c r="BW2091" i="1" s="1"/>
  <c r="BU1207" i="1"/>
  <c r="BW1207" i="1" s="1"/>
  <c r="BU2451" i="1"/>
  <c r="BW2451" i="1" s="1"/>
  <c r="BU2133" i="1"/>
  <c r="BW2133" i="1" s="1"/>
  <c r="BU2963" i="1"/>
  <c r="BW2963" i="1" s="1"/>
  <c r="BU1668" i="1"/>
  <c r="BW1668" i="1" s="1"/>
  <c r="BU1396" i="1"/>
  <c r="BW1396" i="1" s="1"/>
  <c r="BU1508" i="1"/>
  <c r="BW1508" i="1" s="1"/>
  <c r="BU2863" i="1"/>
  <c r="BW2863" i="1" s="1"/>
  <c r="BU2698" i="1"/>
  <c r="BW2698" i="1" s="1"/>
  <c r="BU1836" i="1"/>
  <c r="BW1836" i="1" s="1"/>
  <c r="BU2437" i="1"/>
  <c r="BW2437" i="1" s="1"/>
  <c r="BU1139" i="1"/>
  <c r="BW1139" i="1" s="1"/>
  <c r="BU1815" i="1"/>
  <c r="BW1815" i="1" s="1"/>
  <c r="BU824" i="1"/>
  <c r="BW824" i="1" s="1"/>
  <c r="BU419" i="1"/>
  <c r="BW419" i="1" s="1"/>
  <c r="BU620" i="1"/>
  <c r="BW620" i="1" s="1"/>
  <c r="BU2776" i="1"/>
  <c r="BW2776" i="1" s="1"/>
  <c r="BU1167" i="1"/>
  <c r="BW1167" i="1" s="1"/>
  <c r="BU2222" i="1"/>
  <c r="BW2222" i="1" s="1"/>
  <c r="BU1747" i="1"/>
  <c r="BW1747" i="1" s="1"/>
  <c r="BU126" i="1"/>
  <c r="BW126" i="1" s="1"/>
  <c r="BU720" i="1"/>
  <c r="BW720" i="1" s="1"/>
  <c r="BU754" i="1"/>
  <c r="BW754" i="1" s="1"/>
  <c r="BU845" i="1"/>
  <c r="BW845" i="1" s="1"/>
  <c r="BU2784" i="1"/>
  <c r="BW2784" i="1" s="1"/>
  <c r="BU1372" i="1"/>
  <c r="BW1372" i="1" s="1"/>
  <c r="BU1691" i="1"/>
  <c r="BW1691" i="1" s="1"/>
  <c r="BU1464" i="1"/>
  <c r="BW1464" i="1" s="1"/>
  <c r="BU2982" i="1"/>
  <c r="BW2982" i="1" s="1"/>
  <c r="BU362" i="1"/>
  <c r="BW362" i="1" s="1"/>
  <c r="BU887" i="1"/>
  <c r="BW887" i="1" s="1"/>
  <c r="BU2917" i="1"/>
  <c r="BW2917" i="1" s="1"/>
  <c r="BU13" i="1"/>
  <c r="BW13" i="1" s="1"/>
  <c r="BU981" i="1"/>
  <c r="BW981" i="1" s="1"/>
  <c r="BU937" i="1"/>
  <c r="BW937" i="1" s="1"/>
  <c r="BU997" i="1"/>
  <c r="BW997" i="1" s="1"/>
  <c r="BU782" i="1"/>
  <c r="BW782" i="1" s="1"/>
  <c r="BU929" i="1"/>
  <c r="BW929" i="1" s="1"/>
  <c r="BU1465" i="1"/>
  <c r="BW1465" i="1" s="1"/>
  <c r="BU3178" i="1"/>
  <c r="BW3178" i="1" s="1"/>
  <c r="BU2406" i="1"/>
  <c r="BW2406" i="1" s="1"/>
  <c r="BU139" i="1"/>
  <c r="BW139" i="1" s="1"/>
  <c r="BU2902" i="1"/>
  <c r="BW2902" i="1" s="1"/>
  <c r="BU1992" i="1"/>
  <c r="BW1992" i="1" s="1"/>
  <c r="BU1343" i="1"/>
  <c r="BW1343" i="1" s="1"/>
  <c r="BU1138" i="1"/>
  <c r="BW1138" i="1" s="1"/>
  <c r="BU1021" i="1"/>
  <c r="BW1021" i="1" s="1"/>
  <c r="BX957" i="1"/>
  <c r="BX3186" i="1"/>
  <c r="BU2983" i="1"/>
  <c r="BW2983" i="1" s="1"/>
  <c r="BU2573" i="1"/>
  <c r="BW2573" i="1" s="1"/>
  <c r="BU1472" i="1"/>
  <c r="BW1472" i="1" s="1"/>
  <c r="BU2271" i="1"/>
  <c r="BW2271" i="1" s="1"/>
  <c r="BU962" i="1"/>
  <c r="BW962" i="1" s="1"/>
  <c r="BU2514" i="1"/>
  <c r="BW2514" i="1" s="1"/>
  <c r="BU2015" i="1"/>
  <c r="BW2015" i="1" s="1"/>
  <c r="BU2023" i="1"/>
  <c r="BW2023" i="1" s="1"/>
  <c r="BU1001" i="1"/>
  <c r="BW1001" i="1" s="1"/>
  <c r="BU1013" i="1"/>
  <c r="BW1013" i="1" s="1"/>
  <c r="BU905" i="1"/>
  <c r="BW905" i="1" s="1"/>
  <c r="BU2132" i="1"/>
  <c r="BW2132" i="1" s="1"/>
  <c r="BU1291" i="1"/>
  <c r="BW1291" i="1" s="1"/>
  <c r="BU439" i="1"/>
  <c r="BW439" i="1" s="1"/>
  <c r="BU2804" i="1"/>
  <c r="BW2804" i="1" s="1"/>
  <c r="BU2791" i="1"/>
  <c r="BW2791" i="1" s="1"/>
  <c r="BU295" i="1"/>
  <c r="BW295" i="1" s="1"/>
  <c r="BU1022" i="1"/>
  <c r="BW1022" i="1" s="1"/>
  <c r="BU2926" i="1"/>
  <c r="BW2926" i="1" s="1"/>
  <c r="BU381" i="1"/>
  <c r="BW381" i="1" s="1"/>
  <c r="BU638" i="1"/>
  <c r="BW638" i="1" s="1"/>
  <c r="BU2050" i="1"/>
  <c r="BW2050" i="1" s="1"/>
  <c r="BU2520" i="1"/>
  <c r="BW2520" i="1" s="1"/>
  <c r="BU480" i="1"/>
  <c r="BW480" i="1" s="1"/>
  <c r="BU2393" i="1"/>
  <c r="BW2393" i="1" s="1"/>
  <c r="BU2127" i="1"/>
  <c r="BW2127" i="1" s="1"/>
  <c r="BU773" i="1"/>
  <c r="BW773" i="1" s="1"/>
  <c r="BU1093" i="1"/>
  <c r="BW1093" i="1" s="1"/>
  <c r="BU1351" i="1"/>
  <c r="BW1351" i="1" s="1"/>
  <c r="BU858" i="1"/>
  <c r="BW858" i="1" s="1"/>
  <c r="BU2345" i="1"/>
  <c r="BW2345" i="1" s="1"/>
  <c r="BU144" i="1"/>
  <c r="BW144" i="1" s="1"/>
  <c r="BU1224" i="1"/>
  <c r="BW1224" i="1" s="1"/>
  <c r="BU2853" i="1"/>
  <c r="BW2853" i="1" s="1"/>
  <c r="BU2834" i="1"/>
  <c r="BW2834" i="1" s="1"/>
  <c r="BU2498" i="1"/>
  <c r="BW2498" i="1" s="1"/>
  <c r="BU2303" i="1"/>
  <c r="BW2303" i="1" s="1"/>
  <c r="BU402" i="1"/>
  <c r="BW402" i="1" s="1"/>
  <c r="BU745" i="1"/>
  <c r="BW745" i="1" s="1"/>
  <c r="BU515" i="1"/>
  <c r="BW515" i="1" s="1"/>
  <c r="BU1572" i="1"/>
  <c r="BW1572" i="1" s="1"/>
  <c r="BU503" i="1"/>
  <c r="BW503" i="1" s="1"/>
  <c r="BU2218" i="1"/>
  <c r="BW2218" i="1" s="1"/>
  <c r="BU1536" i="1"/>
  <c r="BW1536" i="1" s="1"/>
  <c r="BU18" i="1"/>
  <c r="BW18" i="1" s="1"/>
  <c r="BU673" i="1"/>
  <c r="BW673" i="1" s="1"/>
  <c r="BU458" i="1"/>
  <c r="BW458" i="1" s="1"/>
  <c r="BU1104" i="1"/>
  <c r="BW1104" i="1" s="1"/>
  <c r="BU2114" i="1"/>
  <c r="BW2114" i="1" s="1"/>
  <c r="BU181" i="1"/>
  <c r="BW181" i="1" s="1"/>
  <c r="BU869" i="1"/>
  <c r="BW869" i="1" s="1"/>
  <c r="BU2941" i="1"/>
  <c r="BW2941" i="1" s="1"/>
  <c r="BU1558" i="1"/>
  <c r="BW1558" i="1" s="1"/>
  <c r="BU933" i="1"/>
  <c r="BW933" i="1" s="1"/>
  <c r="BU364" i="1"/>
  <c r="BW364" i="1" s="1"/>
  <c r="BU692" i="1"/>
  <c r="BW692" i="1" s="1"/>
  <c r="BU202" i="1"/>
  <c r="BW202" i="1" s="1"/>
  <c r="BU1245" i="1"/>
  <c r="BW1245" i="1" s="1"/>
  <c r="BU1056" i="1"/>
  <c r="BW1056" i="1" s="1"/>
  <c r="BU1631" i="1"/>
  <c r="BW1631" i="1" s="1"/>
  <c r="BU180" i="1"/>
  <c r="BW180" i="1" s="1"/>
  <c r="BU2580" i="1"/>
  <c r="BW2580" i="1" s="1"/>
  <c r="BU168" i="1"/>
  <c r="BW168" i="1" s="1"/>
  <c r="BU1527" i="1"/>
  <c r="BW1527" i="1" s="1"/>
  <c r="BU117" i="1"/>
  <c r="BW117" i="1" s="1"/>
  <c r="BU2965" i="1"/>
  <c r="BW2965" i="1" s="1"/>
  <c r="BU1927" i="1"/>
  <c r="BW1927" i="1" s="1"/>
  <c r="BU387" i="1"/>
  <c r="BW387" i="1" s="1"/>
  <c r="BU607" i="1"/>
  <c r="BW607" i="1" s="1"/>
  <c r="BU594" i="1"/>
  <c r="BW594" i="1" s="1"/>
  <c r="BU2654" i="1"/>
  <c r="BW2654" i="1" s="1"/>
  <c r="BU482" i="1"/>
  <c r="BW482" i="1" s="1"/>
  <c r="BU835" i="1"/>
  <c r="BW835" i="1" s="1"/>
  <c r="BU848" i="1"/>
  <c r="BW848" i="1" s="1"/>
  <c r="BU1349" i="1"/>
  <c r="BW1349" i="1" s="1"/>
  <c r="BU736" i="1"/>
  <c r="BW736" i="1" s="1"/>
  <c r="BU711" i="1"/>
  <c r="BW711" i="1" s="1"/>
  <c r="BU2044" i="1"/>
  <c r="BW2044" i="1" s="1"/>
  <c r="BU1736" i="1"/>
  <c r="BW1736" i="1" s="1"/>
  <c r="BU1505" i="1" l="1"/>
  <c r="BW1505" i="1" s="1"/>
  <c r="BX2793" i="1"/>
  <c r="BX3061" i="1"/>
  <c r="BX2576" i="1"/>
  <c r="BU2576" i="1"/>
  <c r="BW2576" i="1" s="1"/>
  <c r="AB3208" i="1"/>
  <c r="H526" i="9" l="1"/>
  <c r="H527" i="9"/>
  <c r="H528" i="9"/>
  <c r="H525" i="9"/>
  <c r="G526" i="9"/>
  <c r="G527" i="9"/>
  <c r="G528" i="9"/>
  <c r="G525" i="9"/>
  <c r="F526" i="9"/>
  <c r="F527" i="9"/>
  <c r="F528" i="9"/>
  <c r="F525" i="9"/>
  <c r="E526" i="9"/>
  <c r="E527" i="9"/>
  <c r="E528" i="9"/>
  <c r="E525" i="9"/>
  <c r="G21" i="9"/>
  <c r="G22" i="9"/>
  <c r="G20" i="9"/>
  <c r="G23" i="9"/>
  <c r="L50" i="9" l="1"/>
  <c r="L47" i="9"/>
  <c r="G24" i="9"/>
  <c r="L51" i="9" s="1"/>
  <c r="L49" i="9"/>
  <c r="L48" i="9"/>
  <c r="Q161" i="1"/>
  <c r="R161" i="1"/>
  <c r="BI161" i="1"/>
  <c r="BK161" i="1"/>
  <c r="BX161" i="1" l="1"/>
  <c r="BU161" i="1"/>
  <c r="BW161" i="1" s="1"/>
  <c r="M517" i="9"/>
  <c r="E518" i="9"/>
  <c r="F518" i="9"/>
  <c r="H518" i="9"/>
  <c r="I518" i="9"/>
  <c r="J518" i="9"/>
  <c r="K518" i="9"/>
  <c r="L518" i="9"/>
  <c r="M518" i="9"/>
  <c r="N518" i="9"/>
  <c r="E519" i="9"/>
  <c r="F519" i="9"/>
  <c r="H519" i="9"/>
  <c r="I519" i="9"/>
  <c r="J519" i="9"/>
  <c r="K519" i="9"/>
  <c r="L519" i="9"/>
  <c r="M519" i="9"/>
  <c r="N519" i="9"/>
  <c r="E520" i="9"/>
  <c r="F520" i="9"/>
  <c r="H520" i="9"/>
  <c r="I520" i="9"/>
  <c r="J520" i="9"/>
  <c r="K520" i="9"/>
  <c r="L520" i="9"/>
  <c r="M520" i="9"/>
  <c r="N520" i="9"/>
  <c r="N517" i="9"/>
  <c r="L517" i="9"/>
  <c r="K517" i="9"/>
  <c r="J517" i="9"/>
  <c r="I517" i="9"/>
  <c r="H517" i="9"/>
  <c r="F517" i="9"/>
  <c r="E517" i="9"/>
  <c r="E511" i="9"/>
  <c r="F511" i="9"/>
  <c r="H511" i="9"/>
  <c r="I511" i="9"/>
  <c r="J511" i="9"/>
  <c r="K511" i="9"/>
  <c r="L511" i="9"/>
  <c r="M511" i="9"/>
  <c r="N511" i="9"/>
  <c r="E512" i="9"/>
  <c r="F512" i="9"/>
  <c r="H512" i="9"/>
  <c r="I512" i="9"/>
  <c r="J512" i="9"/>
  <c r="K512" i="9"/>
  <c r="L512" i="9"/>
  <c r="M512" i="9"/>
  <c r="N512" i="9"/>
  <c r="E513" i="9"/>
  <c r="F513" i="9"/>
  <c r="H513" i="9"/>
  <c r="I513" i="9"/>
  <c r="J513" i="9"/>
  <c r="K513" i="9"/>
  <c r="L513" i="9"/>
  <c r="M513" i="9"/>
  <c r="N513" i="9"/>
  <c r="N510" i="9"/>
  <c r="M510" i="9"/>
  <c r="L510" i="9"/>
  <c r="K510" i="9"/>
  <c r="J510" i="9"/>
  <c r="I510" i="9"/>
  <c r="H510" i="9"/>
  <c r="G514" i="9"/>
  <c r="F510" i="9"/>
  <c r="E510" i="9"/>
  <c r="N504" i="9"/>
  <c r="M504" i="9"/>
  <c r="L504" i="9"/>
  <c r="K504" i="9"/>
  <c r="J504" i="9"/>
  <c r="I504" i="9"/>
  <c r="H504" i="9"/>
  <c r="G504" i="9"/>
  <c r="F504" i="9"/>
  <c r="E504" i="9"/>
  <c r="N503" i="9"/>
  <c r="M503" i="9"/>
  <c r="L503" i="9"/>
  <c r="K503" i="9"/>
  <c r="J503" i="9"/>
  <c r="I503" i="9"/>
  <c r="H503" i="9"/>
  <c r="G503" i="9"/>
  <c r="F503" i="9"/>
  <c r="E503" i="9"/>
  <c r="N502" i="9"/>
  <c r="M502" i="9"/>
  <c r="L502" i="9"/>
  <c r="K502" i="9"/>
  <c r="J502" i="9"/>
  <c r="I502" i="9"/>
  <c r="H502" i="9"/>
  <c r="G502" i="9"/>
  <c r="F502" i="9"/>
  <c r="E502" i="9"/>
  <c r="N501" i="9"/>
  <c r="M501" i="9"/>
  <c r="L501" i="9"/>
  <c r="K501" i="9"/>
  <c r="J501" i="9"/>
  <c r="I501" i="9"/>
  <c r="H501" i="9"/>
  <c r="G501" i="9"/>
  <c r="F501" i="9"/>
  <c r="E501" i="9"/>
  <c r="N497" i="9"/>
  <c r="M497" i="9"/>
  <c r="L497" i="9"/>
  <c r="K497" i="9"/>
  <c r="J497" i="9"/>
  <c r="I497" i="9"/>
  <c r="H497" i="9"/>
  <c r="G497" i="9"/>
  <c r="F497" i="9"/>
  <c r="E497" i="9"/>
  <c r="N496" i="9"/>
  <c r="M496" i="9"/>
  <c r="L496" i="9"/>
  <c r="K496" i="9"/>
  <c r="J496" i="9"/>
  <c r="I496" i="9"/>
  <c r="H496" i="9"/>
  <c r="G496" i="9"/>
  <c r="F496" i="9"/>
  <c r="E496" i="9"/>
  <c r="N495" i="9"/>
  <c r="M495" i="9"/>
  <c r="L495" i="9"/>
  <c r="K495" i="9"/>
  <c r="J495" i="9"/>
  <c r="I495" i="9"/>
  <c r="H495" i="9"/>
  <c r="G495" i="9"/>
  <c r="F495" i="9"/>
  <c r="E495" i="9"/>
  <c r="N494" i="9"/>
  <c r="M494" i="9"/>
  <c r="L494" i="9"/>
  <c r="K494" i="9"/>
  <c r="J494" i="9"/>
  <c r="I494" i="9"/>
  <c r="H494" i="9"/>
  <c r="G494" i="9"/>
  <c r="F494" i="9"/>
  <c r="E494" i="9"/>
  <c r="E486" i="9"/>
  <c r="F486" i="9"/>
  <c r="G486" i="9"/>
  <c r="H486" i="9"/>
  <c r="I486" i="9"/>
  <c r="J486" i="9"/>
  <c r="K486" i="9"/>
  <c r="L486" i="9"/>
  <c r="M486" i="9"/>
  <c r="N486" i="9"/>
  <c r="E487" i="9"/>
  <c r="F487" i="9"/>
  <c r="G487" i="9"/>
  <c r="H487" i="9"/>
  <c r="I487" i="9"/>
  <c r="J487" i="9"/>
  <c r="K487" i="9"/>
  <c r="L487" i="9"/>
  <c r="M487" i="9"/>
  <c r="N487" i="9"/>
  <c r="E488" i="9"/>
  <c r="F488" i="9"/>
  <c r="G488" i="9"/>
  <c r="H488" i="9"/>
  <c r="I488" i="9"/>
  <c r="J488" i="9"/>
  <c r="K488" i="9"/>
  <c r="L488" i="9"/>
  <c r="M488" i="9"/>
  <c r="N488" i="9"/>
  <c r="N485" i="9"/>
  <c r="M485" i="9"/>
  <c r="L485" i="9"/>
  <c r="K485" i="9"/>
  <c r="J485" i="9"/>
  <c r="I485" i="9"/>
  <c r="H485" i="9"/>
  <c r="G485" i="9"/>
  <c r="F485" i="9"/>
  <c r="E485" i="9"/>
  <c r="E479" i="9"/>
  <c r="F479" i="9"/>
  <c r="G479" i="9"/>
  <c r="H479" i="9"/>
  <c r="I479" i="9"/>
  <c r="J479" i="9"/>
  <c r="K479" i="9"/>
  <c r="L479" i="9"/>
  <c r="M479" i="9"/>
  <c r="N479" i="9"/>
  <c r="E480" i="9"/>
  <c r="F480" i="9"/>
  <c r="G480" i="9"/>
  <c r="H480" i="9"/>
  <c r="I480" i="9"/>
  <c r="J480" i="9"/>
  <c r="K480" i="9"/>
  <c r="L480" i="9"/>
  <c r="M480" i="9"/>
  <c r="N480" i="9"/>
  <c r="E481" i="9"/>
  <c r="F481" i="9"/>
  <c r="G481" i="9"/>
  <c r="H481" i="9"/>
  <c r="I481" i="9"/>
  <c r="J481" i="9"/>
  <c r="K481" i="9"/>
  <c r="L481" i="9"/>
  <c r="M481" i="9"/>
  <c r="N481" i="9"/>
  <c r="N478" i="9"/>
  <c r="M478" i="9"/>
  <c r="L478" i="9"/>
  <c r="K478" i="9"/>
  <c r="J478" i="9"/>
  <c r="I478" i="9"/>
  <c r="H478" i="9"/>
  <c r="G478" i="9"/>
  <c r="F478" i="9"/>
  <c r="E478" i="9"/>
  <c r="P464" i="9"/>
  <c r="P465" i="9"/>
  <c r="P466" i="9"/>
  <c r="P463" i="9"/>
  <c r="M464" i="9"/>
  <c r="N464" i="9"/>
  <c r="O464" i="9"/>
  <c r="M465" i="9"/>
  <c r="N465" i="9"/>
  <c r="O465" i="9"/>
  <c r="M466" i="9"/>
  <c r="N466" i="9"/>
  <c r="O466" i="9"/>
  <c r="O463" i="9"/>
  <c r="N463" i="9"/>
  <c r="M463" i="9"/>
  <c r="I464" i="9"/>
  <c r="I465" i="9"/>
  <c r="I466" i="9"/>
  <c r="I463" i="9"/>
  <c r="M455" i="9"/>
  <c r="N455" i="9"/>
  <c r="O455" i="9"/>
  <c r="P455" i="9"/>
  <c r="M456" i="9"/>
  <c r="N456" i="9"/>
  <c r="O456" i="9"/>
  <c r="P456" i="9"/>
  <c r="M457" i="9"/>
  <c r="N457" i="9"/>
  <c r="O457" i="9"/>
  <c r="P457" i="9"/>
  <c r="P454" i="9"/>
  <c r="O454" i="9"/>
  <c r="N454" i="9"/>
  <c r="M454" i="9"/>
  <c r="I455" i="9"/>
  <c r="I456" i="9"/>
  <c r="I457" i="9"/>
  <c r="I454" i="9"/>
  <c r="H463" i="9"/>
  <c r="M446" i="9"/>
  <c r="N446" i="9"/>
  <c r="O446" i="9"/>
  <c r="P446" i="9"/>
  <c r="M447" i="9"/>
  <c r="N447" i="9"/>
  <c r="O447" i="9"/>
  <c r="P447" i="9"/>
  <c r="M448" i="9"/>
  <c r="N448" i="9"/>
  <c r="O448" i="9"/>
  <c r="P448" i="9"/>
  <c r="P445" i="9"/>
  <c r="O445" i="9"/>
  <c r="N445" i="9"/>
  <c r="M445" i="9"/>
  <c r="I448" i="9"/>
  <c r="I447" i="9"/>
  <c r="I446" i="9"/>
  <c r="I445" i="9"/>
  <c r="P434" i="9"/>
  <c r="P435" i="9"/>
  <c r="P436" i="9"/>
  <c r="P433" i="9"/>
  <c r="I434" i="9"/>
  <c r="I435" i="9"/>
  <c r="I436" i="9"/>
  <c r="I433" i="9"/>
  <c r="P427" i="9"/>
  <c r="P426" i="9"/>
  <c r="P425" i="9"/>
  <c r="P424" i="9"/>
  <c r="I425" i="9"/>
  <c r="I426" i="9"/>
  <c r="I427" i="9"/>
  <c r="I424" i="9"/>
  <c r="M424" i="9"/>
  <c r="N424" i="9"/>
  <c r="O424" i="9"/>
  <c r="M425" i="9"/>
  <c r="N425" i="9"/>
  <c r="O425" i="9"/>
  <c r="M426" i="9"/>
  <c r="N426" i="9"/>
  <c r="O426" i="9"/>
  <c r="M427" i="9"/>
  <c r="N427" i="9"/>
  <c r="O427" i="9"/>
  <c r="M433" i="9"/>
  <c r="N433" i="9"/>
  <c r="O433" i="9"/>
  <c r="M434" i="9"/>
  <c r="N434" i="9"/>
  <c r="O434" i="9"/>
  <c r="M435" i="9"/>
  <c r="N435" i="9"/>
  <c r="O435" i="9"/>
  <c r="M436" i="9"/>
  <c r="N436" i="9"/>
  <c r="O436" i="9"/>
  <c r="F498" i="9" l="1"/>
  <c r="H482" i="9"/>
  <c r="O481" i="9"/>
  <c r="J482" i="9"/>
  <c r="O486" i="9"/>
  <c r="O480" i="9"/>
  <c r="K482" i="9"/>
  <c r="I482" i="9"/>
  <c r="L482" i="9"/>
  <c r="O479" i="9"/>
  <c r="E482" i="9"/>
  <c r="M482" i="9"/>
  <c r="F482" i="9"/>
  <c r="N482" i="9"/>
  <c r="J498" i="9"/>
  <c r="G482" i="9"/>
  <c r="E498" i="9"/>
  <c r="K498" i="9"/>
  <c r="I498" i="9"/>
  <c r="O496" i="9"/>
  <c r="O497" i="9"/>
  <c r="J514" i="9"/>
  <c r="O511" i="9"/>
  <c r="O494" i="9"/>
  <c r="O488" i="9"/>
  <c r="O487" i="9"/>
  <c r="N498" i="9"/>
  <c r="L498" i="9"/>
  <c r="O478" i="9"/>
  <c r="O501" i="9"/>
  <c r="N514" i="9"/>
  <c r="O513" i="9"/>
  <c r="O512" i="9"/>
  <c r="I514" i="9"/>
  <c r="O519" i="9"/>
  <c r="M498" i="9"/>
  <c r="G498" i="9"/>
  <c r="O504" i="9"/>
  <c r="H498" i="9"/>
  <c r="O502" i="9"/>
  <c r="F514" i="9"/>
  <c r="M514" i="9"/>
  <c r="L514" i="9"/>
  <c r="K514" i="9"/>
  <c r="O510" i="9"/>
  <c r="H514" i="9"/>
  <c r="O517" i="9"/>
  <c r="O520" i="9"/>
  <c r="E514" i="9"/>
  <c r="O518" i="9"/>
  <c r="O495" i="9"/>
  <c r="O503" i="9"/>
  <c r="O485" i="9"/>
  <c r="P428" i="9"/>
  <c r="I449" i="9"/>
  <c r="I467" i="9"/>
  <c r="P467" i="9"/>
  <c r="P458" i="9"/>
  <c r="I458" i="9"/>
  <c r="P449" i="9"/>
  <c r="P437" i="9"/>
  <c r="I437" i="9"/>
  <c r="I428" i="9"/>
  <c r="F464" i="9"/>
  <c r="G464" i="9"/>
  <c r="H464" i="9"/>
  <c r="F465" i="9"/>
  <c r="G465" i="9"/>
  <c r="H465" i="9"/>
  <c r="F466" i="9"/>
  <c r="G466" i="9"/>
  <c r="H466" i="9"/>
  <c r="G463" i="9"/>
  <c r="F463" i="9"/>
  <c r="H448" i="9"/>
  <c r="G448" i="9"/>
  <c r="F448" i="9"/>
  <c r="H447" i="9"/>
  <c r="G447" i="9"/>
  <c r="F447" i="9"/>
  <c r="H446" i="9"/>
  <c r="G446" i="9"/>
  <c r="F446" i="9"/>
  <c r="H445" i="9"/>
  <c r="G445" i="9"/>
  <c r="F445" i="9"/>
  <c r="F455" i="9"/>
  <c r="G455" i="9"/>
  <c r="H455" i="9"/>
  <c r="F456" i="9"/>
  <c r="G456" i="9"/>
  <c r="H456" i="9"/>
  <c r="F457" i="9"/>
  <c r="G457" i="9"/>
  <c r="H457" i="9"/>
  <c r="H454" i="9"/>
  <c r="G454" i="9"/>
  <c r="F454" i="9"/>
  <c r="F434" i="9"/>
  <c r="G434" i="9"/>
  <c r="H434" i="9"/>
  <c r="F435" i="9"/>
  <c r="G435" i="9"/>
  <c r="H435" i="9"/>
  <c r="F436" i="9"/>
  <c r="G436" i="9"/>
  <c r="H436" i="9"/>
  <c r="H433" i="9"/>
  <c r="G433" i="9"/>
  <c r="F433" i="9"/>
  <c r="F425" i="9"/>
  <c r="G425" i="9"/>
  <c r="H425" i="9"/>
  <c r="F426" i="9"/>
  <c r="G426" i="9"/>
  <c r="H426" i="9"/>
  <c r="F427" i="9"/>
  <c r="G427" i="9"/>
  <c r="H427" i="9"/>
  <c r="H424" i="9"/>
  <c r="G424" i="9"/>
  <c r="F424" i="9"/>
  <c r="O498" i="9" l="1"/>
  <c r="O482" i="9"/>
  <c r="O514" i="9"/>
  <c r="F394" i="9" l="1"/>
  <c r="F395" i="9"/>
  <c r="F396" i="9"/>
  <c r="E394" i="9"/>
  <c r="I394" i="9"/>
  <c r="K394" i="9"/>
  <c r="L394" i="9"/>
  <c r="M394" i="9"/>
  <c r="E395" i="9"/>
  <c r="I395" i="9"/>
  <c r="K395" i="9"/>
  <c r="L395" i="9"/>
  <c r="M395" i="9"/>
  <c r="E396" i="9"/>
  <c r="I396" i="9"/>
  <c r="K396" i="9"/>
  <c r="L396" i="9"/>
  <c r="M396" i="9"/>
  <c r="F393" i="9"/>
  <c r="M393" i="9"/>
  <c r="L393" i="9"/>
  <c r="K393" i="9"/>
  <c r="I393" i="9"/>
  <c r="E393" i="9"/>
  <c r="G397" i="9"/>
  <c r="H397" i="9"/>
  <c r="E377" i="9"/>
  <c r="F377" i="9"/>
  <c r="H377" i="9"/>
  <c r="I377" i="9"/>
  <c r="J377" i="9"/>
  <c r="K377" i="9"/>
  <c r="L377" i="9"/>
  <c r="M377" i="9"/>
  <c r="E378" i="9"/>
  <c r="F378" i="9"/>
  <c r="H378" i="9"/>
  <c r="I378" i="9"/>
  <c r="J378" i="9"/>
  <c r="K378" i="9"/>
  <c r="L378" i="9"/>
  <c r="M378" i="9"/>
  <c r="E379" i="9"/>
  <c r="F379" i="9"/>
  <c r="H379" i="9"/>
  <c r="I379" i="9"/>
  <c r="J379" i="9"/>
  <c r="K379" i="9"/>
  <c r="L379" i="9"/>
  <c r="M379" i="9"/>
  <c r="M376" i="9"/>
  <c r="L376" i="9"/>
  <c r="K376" i="9"/>
  <c r="J376" i="9"/>
  <c r="I376" i="9"/>
  <c r="H376" i="9"/>
  <c r="F376" i="9"/>
  <c r="E376" i="9"/>
  <c r="G380" i="9"/>
  <c r="H363" i="9"/>
  <c r="G363" i="9"/>
  <c r="F363" i="9"/>
  <c r="E360" i="9"/>
  <c r="I360" i="9"/>
  <c r="J360" i="9"/>
  <c r="K360" i="9"/>
  <c r="L360" i="9"/>
  <c r="M360" i="9"/>
  <c r="E361" i="9"/>
  <c r="I361" i="9"/>
  <c r="J361" i="9"/>
  <c r="K361" i="9"/>
  <c r="L361" i="9"/>
  <c r="M361" i="9"/>
  <c r="E362" i="9"/>
  <c r="I362" i="9"/>
  <c r="J362" i="9"/>
  <c r="K362" i="9"/>
  <c r="L362" i="9"/>
  <c r="M362" i="9"/>
  <c r="M359" i="9"/>
  <c r="L359" i="9"/>
  <c r="K359" i="9"/>
  <c r="J359" i="9"/>
  <c r="I359" i="9"/>
  <c r="E359" i="9"/>
  <c r="E343" i="9"/>
  <c r="F343" i="9"/>
  <c r="G343" i="9"/>
  <c r="I343" i="9"/>
  <c r="J343" i="9"/>
  <c r="K343" i="9"/>
  <c r="L343" i="9"/>
  <c r="M343" i="9"/>
  <c r="E344" i="9"/>
  <c r="F344" i="9"/>
  <c r="G344" i="9"/>
  <c r="I344" i="9"/>
  <c r="J344" i="9"/>
  <c r="K344" i="9"/>
  <c r="L344" i="9"/>
  <c r="M344" i="9"/>
  <c r="E345" i="9"/>
  <c r="F345" i="9"/>
  <c r="G345" i="9"/>
  <c r="I345" i="9"/>
  <c r="J345" i="9"/>
  <c r="K345" i="9"/>
  <c r="L345" i="9"/>
  <c r="M345" i="9"/>
  <c r="E331" i="9"/>
  <c r="F331" i="9"/>
  <c r="G331" i="9"/>
  <c r="H331" i="9"/>
  <c r="I331" i="9"/>
  <c r="J331" i="9"/>
  <c r="K331" i="9"/>
  <c r="L331" i="9"/>
  <c r="M331" i="9"/>
  <c r="E332" i="9"/>
  <c r="F332" i="9"/>
  <c r="G332" i="9"/>
  <c r="H332" i="9"/>
  <c r="I332" i="9"/>
  <c r="J332" i="9"/>
  <c r="K332" i="9"/>
  <c r="L332" i="9"/>
  <c r="M332" i="9"/>
  <c r="E333" i="9"/>
  <c r="F333" i="9"/>
  <c r="G333" i="9"/>
  <c r="H333" i="9"/>
  <c r="I333" i="9"/>
  <c r="J333" i="9"/>
  <c r="K333" i="9"/>
  <c r="L333" i="9"/>
  <c r="M333" i="9"/>
  <c r="E330" i="9"/>
  <c r="F330" i="9"/>
  <c r="G330" i="9"/>
  <c r="H330" i="9"/>
  <c r="I330" i="9"/>
  <c r="J330" i="9"/>
  <c r="K330" i="9"/>
  <c r="L330" i="9"/>
  <c r="M330" i="9"/>
  <c r="H346" i="9"/>
  <c r="M342" i="9"/>
  <c r="L342" i="9"/>
  <c r="K342" i="9"/>
  <c r="J342" i="9"/>
  <c r="I342" i="9"/>
  <c r="G342" i="9"/>
  <c r="F342" i="9"/>
  <c r="E342" i="9"/>
  <c r="G412" i="9"/>
  <c r="E322" i="9"/>
  <c r="F322" i="9"/>
  <c r="E410" i="9"/>
  <c r="E412" i="9"/>
  <c r="E414" i="9"/>
  <c r="E413" i="9"/>
  <c r="F411" i="9"/>
  <c r="F412" i="9"/>
  <c r="G414" i="9"/>
  <c r="F410" i="9"/>
  <c r="G322" i="9"/>
  <c r="H322" i="9"/>
  <c r="G411" i="9"/>
  <c r="E411" i="9"/>
  <c r="G413" i="9"/>
  <c r="F414" i="9"/>
  <c r="F413" i="9"/>
  <c r="G410" i="9"/>
  <c r="J346" i="9" l="1"/>
  <c r="K380" i="9"/>
  <c r="E380" i="9"/>
  <c r="F380" i="9"/>
  <c r="M380" i="9"/>
  <c r="M363" i="9"/>
  <c r="E363" i="9"/>
  <c r="L363" i="9"/>
  <c r="K363" i="9"/>
  <c r="I397" i="9"/>
  <c r="I346" i="9"/>
  <c r="F397" i="9"/>
  <c r="I363" i="9"/>
  <c r="J363" i="9"/>
  <c r="N377" i="9"/>
  <c r="K384" i="9" s="1"/>
  <c r="N360" i="9"/>
  <c r="I367" i="9" s="1"/>
  <c r="N378" i="9"/>
  <c r="M385" i="9" s="1"/>
  <c r="N394" i="9"/>
  <c r="K401" i="9" s="1"/>
  <c r="J397" i="9"/>
  <c r="N393" i="9"/>
  <c r="I400" i="9" s="1"/>
  <c r="K397" i="9"/>
  <c r="N396" i="9"/>
  <c r="L397" i="9"/>
  <c r="N395" i="9"/>
  <c r="H402" i="9" s="1"/>
  <c r="E397" i="9"/>
  <c r="M397" i="9"/>
  <c r="H380" i="9"/>
  <c r="N376" i="9"/>
  <c r="L383" i="9" s="1"/>
  <c r="I380" i="9"/>
  <c r="J380" i="9"/>
  <c r="N379" i="9"/>
  <c r="I386" i="9" s="1"/>
  <c r="L380" i="9"/>
  <c r="N361" i="9"/>
  <c r="E368" i="9" s="1"/>
  <c r="N359" i="9"/>
  <c r="J366" i="9" s="1"/>
  <c r="N362" i="9"/>
  <c r="J369" i="9" s="1"/>
  <c r="N342" i="9"/>
  <c r="G349" i="9" s="1"/>
  <c r="N333" i="9"/>
  <c r="E346" i="9"/>
  <c r="N331" i="9"/>
  <c r="N332" i="9"/>
  <c r="N330" i="9"/>
  <c r="L346" i="9"/>
  <c r="K346" i="9"/>
  <c r="N343" i="9"/>
  <c r="M350" i="9" s="1"/>
  <c r="G346" i="9"/>
  <c r="M346" i="9"/>
  <c r="F346" i="9"/>
  <c r="N345" i="9"/>
  <c r="L352" i="9" s="1"/>
  <c r="N344" i="9"/>
  <c r="K351" i="9" s="1"/>
  <c r="E334" i="9"/>
  <c r="F334" i="9"/>
  <c r="G334" i="9"/>
  <c r="H334" i="9"/>
  <c r="I334" i="9"/>
  <c r="J334" i="9"/>
  <c r="K334" i="9"/>
  <c r="L334" i="9"/>
  <c r="M334" i="9"/>
  <c r="I322" i="9"/>
  <c r="E317" i="9"/>
  <c r="F317" i="9"/>
  <c r="G317" i="9"/>
  <c r="H317" i="9"/>
  <c r="I317" i="9"/>
  <c r="E318" i="9"/>
  <c r="F318" i="9"/>
  <c r="G318" i="9"/>
  <c r="H318" i="9"/>
  <c r="I318" i="9"/>
  <c r="E319" i="9"/>
  <c r="F319" i="9"/>
  <c r="G319" i="9"/>
  <c r="H319" i="9"/>
  <c r="I319" i="9"/>
  <c r="E320" i="9"/>
  <c r="F320" i="9"/>
  <c r="G320" i="9"/>
  <c r="H320" i="9"/>
  <c r="I320" i="9"/>
  <c r="E321" i="9"/>
  <c r="F321" i="9"/>
  <c r="G321" i="9"/>
  <c r="H321" i="9"/>
  <c r="I321" i="9"/>
  <c r="E316" i="9"/>
  <c r="I316" i="9"/>
  <c r="H316" i="9"/>
  <c r="G316" i="9"/>
  <c r="F316" i="9"/>
  <c r="E306" i="9"/>
  <c r="H296" i="9"/>
  <c r="H306" i="9"/>
  <c r="F306" i="9"/>
  <c r="H295" i="9"/>
  <c r="H300" i="9"/>
  <c r="G305" i="9"/>
  <c r="E305" i="9"/>
  <c r="H305" i="9"/>
  <c r="G306" i="9"/>
  <c r="F305" i="9"/>
  <c r="H301" i="9"/>
  <c r="I384" i="9" l="1"/>
  <c r="E386" i="9"/>
  <c r="E352" i="9"/>
  <c r="F349" i="9"/>
  <c r="I368" i="9"/>
  <c r="E349" i="9"/>
  <c r="H385" i="9"/>
  <c r="G352" i="9"/>
  <c r="M400" i="9"/>
  <c r="L351" i="9"/>
  <c r="J385" i="9"/>
  <c r="I366" i="9"/>
  <c r="H384" i="9"/>
  <c r="K349" i="9"/>
  <c r="L368" i="9"/>
  <c r="M367" i="9"/>
  <c r="E384" i="9"/>
  <c r="F384" i="9"/>
  <c r="M384" i="9"/>
  <c r="E366" i="9"/>
  <c r="G369" i="9"/>
  <c r="F369" i="9"/>
  <c r="M369" i="9"/>
  <c r="E369" i="9"/>
  <c r="I369" i="9"/>
  <c r="H369" i="9"/>
  <c r="I385" i="9"/>
  <c r="G384" i="9"/>
  <c r="F385" i="9"/>
  <c r="K352" i="9"/>
  <c r="E385" i="9"/>
  <c r="L384" i="9"/>
  <c r="G385" i="9"/>
  <c r="L401" i="9"/>
  <c r="E351" i="9"/>
  <c r="H366" i="9"/>
  <c r="K366" i="9"/>
  <c r="N363" i="9"/>
  <c r="G366" i="9"/>
  <c r="F366" i="9"/>
  <c r="L366" i="9"/>
  <c r="J384" i="9"/>
  <c r="K385" i="9"/>
  <c r="M366" i="9"/>
  <c r="K369" i="9"/>
  <c r="H368" i="9"/>
  <c r="G368" i="9"/>
  <c r="F368" i="9"/>
  <c r="K368" i="9"/>
  <c r="J368" i="9"/>
  <c r="L385" i="9"/>
  <c r="E401" i="9"/>
  <c r="H367" i="9"/>
  <c r="G367" i="9"/>
  <c r="K367" i="9"/>
  <c r="F367" i="9"/>
  <c r="E367" i="9"/>
  <c r="L367" i="9"/>
  <c r="J367" i="9"/>
  <c r="M368" i="9"/>
  <c r="L369" i="9"/>
  <c r="H401" i="9"/>
  <c r="F401" i="9"/>
  <c r="G401" i="9"/>
  <c r="J401" i="9"/>
  <c r="M401" i="9"/>
  <c r="I401" i="9"/>
  <c r="J400" i="9"/>
  <c r="K400" i="9"/>
  <c r="F400" i="9"/>
  <c r="E400" i="9"/>
  <c r="G400" i="9"/>
  <c r="H400" i="9"/>
  <c r="E402" i="9"/>
  <c r="M402" i="9"/>
  <c r="F402" i="9"/>
  <c r="J402" i="9"/>
  <c r="L400" i="9"/>
  <c r="N397" i="9"/>
  <c r="L402" i="9"/>
  <c r="I402" i="9"/>
  <c r="G403" i="9"/>
  <c r="J403" i="9"/>
  <c r="I403" i="9"/>
  <c r="M403" i="9"/>
  <c r="H403" i="9"/>
  <c r="L403" i="9"/>
  <c r="F403" i="9"/>
  <c r="K403" i="9"/>
  <c r="G402" i="9"/>
  <c r="K402" i="9"/>
  <c r="E403" i="9"/>
  <c r="M383" i="9"/>
  <c r="I383" i="9"/>
  <c r="H383" i="9"/>
  <c r="E383" i="9"/>
  <c r="G383" i="9"/>
  <c r="F383" i="9"/>
  <c r="J383" i="9"/>
  <c r="K383" i="9"/>
  <c r="N380" i="9"/>
  <c r="L386" i="9"/>
  <c r="F386" i="9"/>
  <c r="G386" i="9"/>
  <c r="M386" i="9"/>
  <c r="H386" i="9"/>
  <c r="K386" i="9"/>
  <c r="J386" i="9"/>
  <c r="J349" i="9"/>
  <c r="I349" i="9"/>
  <c r="H349" i="9"/>
  <c r="M349" i="9"/>
  <c r="I351" i="9"/>
  <c r="H351" i="9"/>
  <c r="F351" i="9"/>
  <c r="J351" i="9"/>
  <c r="G350" i="9"/>
  <c r="M351" i="9"/>
  <c r="J350" i="9"/>
  <c r="H350" i="9"/>
  <c r="F350" i="9"/>
  <c r="I350" i="9"/>
  <c r="L350" i="9"/>
  <c r="I352" i="9"/>
  <c r="J352" i="9"/>
  <c r="H352" i="9"/>
  <c r="F352" i="9"/>
  <c r="G351" i="9"/>
  <c r="L349" i="9"/>
  <c r="M352" i="9"/>
  <c r="E350" i="9"/>
  <c r="K350" i="9"/>
  <c r="N346" i="9"/>
  <c r="N334" i="9"/>
  <c r="H323" i="9"/>
  <c r="F323" i="9"/>
  <c r="G323" i="9"/>
  <c r="E323" i="9"/>
  <c r="I323" i="9"/>
  <c r="H294" i="9"/>
  <c r="G294" i="9"/>
  <c r="F294" i="9"/>
  <c r="E294" i="9"/>
  <c r="E295" i="9"/>
  <c r="F296" i="9"/>
  <c r="F300" i="9"/>
  <c r="G295" i="9"/>
  <c r="F295" i="9"/>
  <c r="G300" i="9"/>
  <c r="F301" i="9"/>
  <c r="G296" i="9"/>
  <c r="E300" i="9"/>
  <c r="G301" i="9"/>
  <c r="E301" i="9"/>
  <c r="E296" i="9"/>
  <c r="N366" i="9" l="1"/>
  <c r="N352" i="9"/>
  <c r="N384" i="9"/>
  <c r="N385" i="9"/>
  <c r="N368" i="9"/>
  <c r="N349" i="9"/>
  <c r="N367" i="9"/>
  <c r="N351" i="9"/>
  <c r="N369" i="9"/>
  <c r="N383" i="9"/>
  <c r="N401" i="9"/>
  <c r="N400" i="9"/>
  <c r="N402" i="9"/>
  <c r="N403" i="9"/>
  <c r="N386" i="9"/>
  <c r="N350" i="9"/>
  <c r="I300" i="9"/>
  <c r="I301" i="9"/>
  <c r="I296" i="9"/>
  <c r="I295" i="9"/>
  <c r="I306" i="9"/>
  <c r="E307" i="9"/>
  <c r="I305" i="9"/>
  <c r="G307" i="9"/>
  <c r="F307" i="9"/>
  <c r="H307" i="9"/>
  <c r="E302" i="9"/>
  <c r="F302" i="9"/>
  <c r="H302" i="9"/>
  <c r="G302" i="9"/>
  <c r="F297" i="9"/>
  <c r="E297" i="9"/>
  <c r="G297" i="9"/>
  <c r="H297" i="9"/>
  <c r="J261" i="9"/>
  <c r="K261" i="9"/>
  <c r="L261" i="9"/>
  <c r="J262" i="9"/>
  <c r="K262" i="9"/>
  <c r="L262" i="9"/>
  <c r="J263" i="9"/>
  <c r="K263" i="9"/>
  <c r="L263" i="9"/>
  <c r="L260" i="9"/>
  <c r="K260" i="9"/>
  <c r="J260" i="9"/>
  <c r="J249" i="9"/>
  <c r="K249" i="9"/>
  <c r="L249" i="9"/>
  <c r="J250" i="9"/>
  <c r="K250" i="9"/>
  <c r="L250" i="9"/>
  <c r="J251" i="9"/>
  <c r="K251" i="9"/>
  <c r="L251" i="9"/>
  <c r="L248" i="9"/>
  <c r="K248" i="9"/>
  <c r="J248" i="9"/>
  <c r="J237" i="9"/>
  <c r="K237" i="9"/>
  <c r="L237" i="9"/>
  <c r="J238" i="9"/>
  <c r="K238" i="9"/>
  <c r="L238" i="9"/>
  <c r="J239" i="9"/>
  <c r="K239" i="9"/>
  <c r="L239" i="9"/>
  <c r="L236" i="9"/>
  <c r="K236" i="9"/>
  <c r="J236" i="9"/>
  <c r="J225" i="9"/>
  <c r="K225" i="9"/>
  <c r="L225" i="9"/>
  <c r="J226" i="9"/>
  <c r="K226" i="9"/>
  <c r="L226" i="9"/>
  <c r="J227" i="9"/>
  <c r="K227" i="9"/>
  <c r="L227" i="9"/>
  <c r="L224" i="9"/>
  <c r="K224" i="9"/>
  <c r="J224" i="9"/>
  <c r="J214" i="9"/>
  <c r="K214" i="9"/>
  <c r="L214" i="9"/>
  <c r="J215" i="9"/>
  <c r="K215" i="9"/>
  <c r="L215" i="9"/>
  <c r="J216" i="9"/>
  <c r="K216" i="9"/>
  <c r="L216" i="9"/>
  <c r="L213" i="9"/>
  <c r="J213" i="9"/>
  <c r="K213" i="9"/>
  <c r="F261" i="9"/>
  <c r="G261" i="9"/>
  <c r="F262" i="9"/>
  <c r="G262" i="9"/>
  <c r="G260" i="9"/>
  <c r="F260" i="9"/>
  <c r="E262" i="9"/>
  <c r="E261" i="9"/>
  <c r="E260" i="9"/>
  <c r="G251" i="9"/>
  <c r="G250" i="9"/>
  <c r="G249" i="9"/>
  <c r="G248" i="9"/>
  <c r="F251" i="9"/>
  <c r="F250" i="9"/>
  <c r="F249" i="9"/>
  <c r="F248" i="9"/>
  <c r="E251" i="9"/>
  <c r="E250" i="9"/>
  <c r="E249" i="9"/>
  <c r="E248" i="9"/>
  <c r="G239" i="9"/>
  <c r="G238" i="9"/>
  <c r="G237" i="9"/>
  <c r="G236" i="9"/>
  <c r="F239" i="9"/>
  <c r="F238" i="9"/>
  <c r="F237" i="9"/>
  <c r="F236" i="9"/>
  <c r="E239" i="9"/>
  <c r="E238" i="9"/>
  <c r="E237" i="9"/>
  <c r="E236" i="9"/>
  <c r="K199" i="9"/>
  <c r="E188" i="9"/>
  <c r="F188" i="9"/>
  <c r="G188" i="9"/>
  <c r="I188" i="9"/>
  <c r="J188" i="9"/>
  <c r="E189" i="9"/>
  <c r="F189" i="9"/>
  <c r="G189" i="9"/>
  <c r="I189" i="9"/>
  <c r="J189" i="9"/>
  <c r="E190" i="9"/>
  <c r="F190" i="9"/>
  <c r="G190" i="9"/>
  <c r="I190" i="9"/>
  <c r="J190" i="9"/>
  <c r="E191" i="9"/>
  <c r="F191" i="9"/>
  <c r="G191" i="9"/>
  <c r="I191" i="9"/>
  <c r="J191" i="9"/>
  <c r="E192" i="9"/>
  <c r="F192" i="9"/>
  <c r="G192" i="9"/>
  <c r="I192" i="9"/>
  <c r="J192" i="9"/>
  <c r="E193" i="9"/>
  <c r="F193" i="9"/>
  <c r="G193" i="9"/>
  <c r="I193" i="9"/>
  <c r="J193" i="9"/>
  <c r="E194" i="9"/>
  <c r="F194" i="9"/>
  <c r="G194" i="9"/>
  <c r="I194" i="9"/>
  <c r="J194" i="9"/>
  <c r="E195" i="9"/>
  <c r="F195" i="9"/>
  <c r="G195" i="9"/>
  <c r="I195" i="9"/>
  <c r="J195" i="9"/>
  <c r="E196" i="9"/>
  <c r="F196" i="9"/>
  <c r="G196" i="9"/>
  <c r="I196" i="9"/>
  <c r="J196" i="9"/>
  <c r="E197" i="9"/>
  <c r="F197" i="9"/>
  <c r="G197" i="9"/>
  <c r="I197" i="9"/>
  <c r="J197" i="9"/>
  <c r="E198" i="9"/>
  <c r="F198" i="9"/>
  <c r="G198" i="9"/>
  <c r="I198" i="9"/>
  <c r="J198" i="9"/>
  <c r="E200" i="9"/>
  <c r="F200" i="9"/>
  <c r="G200" i="9"/>
  <c r="I200" i="9"/>
  <c r="J200" i="9"/>
  <c r="E201" i="9"/>
  <c r="F201" i="9"/>
  <c r="G201" i="9"/>
  <c r="I201" i="9"/>
  <c r="J201" i="9"/>
  <c r="E202" i="9"/>
  <c r="F202" i="9"/>
  <c r="G202" i="9"/>
  <c r="I202" i="9"/>
  <c r="J202" i="9"/>
  <c r="J187" i="9"/>
  <c r="I187" i="9"/>
  <c r="G187" i="9"/>
  <c r="F187" i="9"/>
  <c r="E187" i="9"/>
  <c r="I179" i="9"/>
  <c r="H179" i="9"/>
  <c r="G179" i="9"/>
  <c r="F179" i="9"/>
  <c r="E179" i="9"/>
  <c r="I178" i="9"/>
  <c r="H178" i="9"/>
  <c r="G178" i="9"/>
  <c r="F178" i="9"/>
  <c r="E178" i="9"/>
  <c r="I177" i="9"/>
  <c r="H177" i="9"/>
  <c r="G177" i="9"/>
  <c r="F177" i="9"/>
  <c r="E177" i="9"/>
  <c r="I176" i="9"/>
  <c r="H176" i="9"/>
  <c r="G176" i="9"/>
  <c r="F176" i="9"/>
  <c r="E176" i="9"/>
  <c r="I175" i="9"/>
  <c r="H175" i="9"/>
  <c r="G175" i="9"/>
  <c r="F175" i="9"/>
  <c r="E175" i="9"/>
  <c r="I174" i="9"/>
  <c r="H174" i="9"/>
  <c r="G174" i="9"/>
  <c r="F174" i="9"/>
  <c r="E174" i="9"/>
  <c r="I173" i="9"/>
  <c r="H173" i="9"/>
  <c r="G173" i="9"/>
  <c r="F173" i="9"/>
  <c r="E173" i="9"/>
  <c r="I172" i="9"/>
  <c r="H172" i="9"/>
  <c r="G172" i="9"/>
  <c r="F172" i="9"/>
  <c r="E172" i="9"/>
  <c r="I171" i="9"/>
  <c r="H171" i="9"/>
  <c r="G171" i="9"/>
  <c r="F171" i="9"/>
  <c r="E171" i="9"/>
  <c r="I170" i="9"/>
  <c r="H170" i="9"/>
  <c r="G170" i="9"/>
  <c r="F170" i="9"/>
  <c r="E170" i="9"/>
  <c r="I169" i="9"/>
  <c r="H169" i="9"/>
  <c r="G169" i="9"/>
  <c r="F169" i="9"/>
  <c r="E169" i="9"/>
  <c r="I168" i="9"/>
  <c r="H168" i="9"/>
  <c r="G168" i="9"/>
  <c r="F168" i="9"/>
  <c r="E168" i="9"/>
  <c r="I167" i="9"/>
  <c r="H167" i="9"/>
  <c r="G167" i="9"/>
  <c r="F167" i="9"/>
  <c r="E167" i="9"/>
  <c r="I166" i="9"/>
  <c r="H166" i="9"/>
  <c r="G166" i="9"/>
  <c r="F166" i="9"/>
  <c r="E166" i="9"/>
  <c r="I165" i="9"/>
  <c r="H165" i="9"/>
  <c r="G165" i="9"/>
  <c r="F165" i="9"/>
  <c r="E165" i="9"/>
  <c r="K275" i="9"/>
  <c r="N126" i="9"/>
  <c r="H274" i="9"/>
  <c r="I279" i="9"/>
  <c r="K274" i="9"/>
  <c r="F284" i="9"/>
  <c r="J284" i="9"/>
  <c r="G275" i="9"/>
  <c r="H285" i="9"/>
  <c r="I127" i="9"/>
  <c r="I285" i="9"/>
  <c r="G284" i="9"/>
  <c r="K280" i="9"/>
  <c r="G274" i="9"/>
  <c r="L284" i="9"/>
  <c r="L285" i="9"/>
  <c r="H280" i="9"/>
  <c r="N128" i="9"/>
  <c r="I131" i="9"/>
  <c r="K285" i="9"/>
  <c r="J279" i="9"/>
  <c r="H284" i="9"/>
  <c r="I126" i="9"/>
  <c r="H279" i="9"/>
  <c r="I280" i="9"/>
  <c r="E285" i="9"/>
  <c r="I275" i="9"/>
  <c r="G279" i="9"/>
  <c r="I130" i="9"/>
  <c r="F275" i="9"/>
  <c r="J130" i="9"/>
  <c r="I129" i="9"/>
  <c r="L128" i="9"/>
  <c r="L131" i="9"/>
  <c r="K279" i="9"/>
  <c r="G285" i="9"/>
  <c r="N127" i="9"/>
  <c r="G280" i="9"/>
  <c r="J274" i="9"/>
  <c r="J128" i="9"/>
  <c r="L127" i="9"/>
  <c r="L279" i="9"/>
  <c r="E284" i="9"/>
  <c r="I128" i="9"/>
  <c r="I284" i="9"/>
  <c r="N129" i="9"/>
  <c r="K284" i="9"/>
  <c r="L130" i="9"/>
  <c r="H275" i="9"/>
  <c r="N130" i="9"/>
  <c r="J275" i="9"/>
  <c r="L280" i="9"/>
  <c r="L129" i="9"/>
  <c r="I274" i="9"/>
  <c r="J285" i="9"/>
  <c r="N131" i="9"/>
  <c r="L274" i="9"/>
  <c r="F274" i="9"/>
  <c r="F280" i="9"/>
  <c r="J127" i="9"/>
  <c r="J131" i="9"/>
  <c r="J129" i="9"/>
  <c r="F285" i="9"/>
  <c r="L126" i="9"/>
  <c r="J280" i="9"/>
  <c r="J126" i="9"/>
  <c r="L275" i="9"/>
  <c r="F279" i="9"/>
  <c r="I297" i="9" l="1"/>
  <c r="E274" i="9"/>
  <c r="F276" i="9"/>
  <c r="E275" i="9"/>
  <c r="E279" i="9"/>
  <c r="E280" i="9"/>
  <c r="I286" i="9"/>
  <c r="K286" i="9"/>
  <c r="L286" i="9"/>
  <c r="H286" i="9"/>
  <c r="J286" i="9"/>
  <c r="F286" i="9"/>
  <c r="G286" i="9"/>
  <c r="H281" i="9"/>
  <c r="I281" i="9"/>
  <c r="J281" i="9"/>
  <c r="K281" i="9"/>
  <c r="L281" i="9"/>
  <c r="F281" i="9"/>
  <c r="G281" i="9"/>
  <c r="L276" i="9"/>
  <c r="K276" i="9"/>
  <c r="J276" i="9"/>
  <c r="I276" i="9"/>
  <c r="H276" i="9"/>
  <c r="G276" i="9"/>
  <c r="K194" i="9"/>
  <c r="K198" i="9"/>
  <c r="K190" i="9"/>
  <c r="K202" i="9"/>
  <c r="K196" i="9"/>
  <c r="K188" i="9"/>
  <c r="K187" i="9"/>
  <c r="K200" i="9"/>
  <c r="K191" i="9"/>
  <c r="K201" i="9"/>
  <c r="K197" i="9"/>
  <c r="K193" i="9"/>
  <c r="K189" i="9"/>
  <c r="K195" i="9"/>
  <c r="K192" i="9"/>
  <c r="J217" i="9"/>
  <c r="J264" i="9"/>
  <c r="K264" i="9"/>
  <c r="J252" i="9"/>
  <c r="K252" i="9"/>
  <c r="J240" i="9"/>
  <c r="K240" i="9"/>
  <c r="J228" i="9"/>
  <c r="K228" i="9"/>
  <c r="K217" i="9"/>
  <c r="E240" i="9"/>
  <c r="E252" i="9"/>
  <c r="F264" i="9"/>
  <c r="E264" i="9"/>
  <c r="F252" i="9"/>
  <c r="F240" i="9"/>
  <c r="G203" i="9"/>
  <c r="I203" i="9"/>
  <c r="F203" i="9"/>
  <c r="E203" i="9"/>
  <c r="H203" i="9"/>
  <c r="K126" i="9"/>
  <c r="K127" i="9"/>
  <c r="K128" i="9"/>
  <c r="K129" i="9"/>
  <c r="K130" i="9"/>
  <c r="K131" i="9"/>
  <c r="M126" i="9"/>
  <c r="M127" i="9"/>
  <c r="M128" i="9"/>
  <c r="M129" i="9"/>
  <c r="M130" i="9"/>
  <c r="M131" i="9"/>
  <c r="O126" i="9"/>
  <c r="P126" i="9"/>
  <c r="O127" i="9"/>
  <c r="P127" i="9"/>
  <c r="Q127" i="9" s="1"/>
  <c r="O128" i="9"/>
  <c r="P128" i="9"/>
  <c r="Q128" i="9" s="1"/>
  <c r="P129" i="9"/>
  <c r="Q129" i="9" s="1"/>
  <c r="O129" i="9"/>
  <c r="P130" i="9"/>
  <c r="Q130" i="9" s="1"/>
  <c r="O130" i="9"/>
  <c r="P131" i="9"/>
  <c r="Q131" i="9" s="1"/>
  <c r="O131" i="9"/>
  <c r="I132" i="9"/>
  <c r="N132" i="9"/>
  <c r="L132" i="9"/>
  <c r="J132" i="9"/>
  <c r="E32" i="9"/>
  <c r="J241" i="9" l="1"/>
  <c r="L240" i="9" s="1"/>
  <c r="E276" i="9"/>
  <c r="E286" i="9"/>
  <c r="J265" i="9"/>
  <c r="L264" i="9" s="1"/>
  <c r="J218" i="9"/>
  <c r="L217" i="9" s="1"/>
  <c r="K203" i="9"/>
  <c r="J253" i="9"/>
  <c r="L252" i="9" s="1"/>
  <c r="K132" i="9"/>
  <c r="M132" i="9"/>
  <c r="O132" i="9"/>
  <c r="J229" i="9"/>
  <c r="L228" i="9" s="1"/>
  <c r="E253" i="9"/>
  <c r="G252" i="9" s="1"/>
  <c r="E241" i="9"/>
  <c r="G240" i="9" s="1"/>
  <c r="E265" i="9"/>
  <c r="G264" i="9" s="1"/>
  <c r="J203" i="9"/>
  <c r="Q126" i="9"/>
  <c r="P132" i="9"/>
  <c r="Q132" i="9" s="1"/>
  <c r="G227" i="9" l="1"/>
  <c r="G226" i="9"/>
  <c r="G225" i="9"/>
  <c r="G224" i="9"/>
  <c r="F227" i="9"/>
  <c r="F226" i="9"/>
  <c r="F225" i="9"/>
  <c r="F224" i="9"/>
  <c r="E227" i="9"/>
  <c r="E226" i="9"/>
  <c r="E225" i="9"/>
  <c r="E224" i="9"/>
  <c r="G216" i="9"/>
  <c r="F216" i="9"/>
  <c r="E216" i="9"/>
  <c r="G215" i="9"/>
  <c r="F215" i="9"/>
  <c r="E215" i="9"/>
  <c r="G214" i="9"/>
  <c r="F214" i="9"/>
  <c r="E214" i="9"/>
  <c r="G213" i="9"/>
  <c r="F213" i="9"/>
  <c r="E213" i="9"/>
  <c r="K180" i="9"/>
  <c r="J180" i="9" s="1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F217" i="9" l="1"/>
  <c r="E217" i="9"/>
  <c r="F228" i="9"/>
  <c r="E228" i="9"/>
  <c r="J174" i="9"/>
  <c r="J166" i="9"/>
  <c r="J170" i="9"/>
  <c r="J171" i="9"/>
  <c r="J178" i="9"/>
  <c r="J179" i="9"/>
  <c r="J177" i="9"/>
  <c r="J167" i="9"/>
  <c r="J168" i="9"/>
  <c r="J176" i="9"/>
  <c r="J172" i="9"/>
  <c r="J165" i="9"/>
  <c r="J173" i="9"/>
  <c r="J169" i="9"/>
  <c r="J175" i="9"/>
  <c r="K181" i="9"/>
  <c r="H181" i="9"/>
  <c r="E181" i="9"/>
  <c r="F181" i="9"/>
  <c r="G181" i="9"/>
  <c r="I181" i="9"/>
  <c r="F154" i="9"/>
  <c r="F128" i="9"/>
  <c r="P144" i="9"/>
  <c r="O144" i="9"/>
  <c r="P153" i="9"/>
  <c r="P156" i="9"/>
  <c r="P146" i="9"/>
  <c r="J157" i="9"/>
  <c r="F145" i="9"/>
  <c r="J142" i="9"/>
  <c r="O143" i="9"/>
  <c r="K146" i="9"/>
  <c r="F127" i="9"/>
  <c r="F129" i="9"/>
  <c r="F131" i="9"/>
  <c r="O145" i="9"/>
  <c r="F146" i="9"/>
  <c r="E62" i="9"/>
  <c r="P154" i="9"/>
  <c r="F142" i="9"/>
  <c r="K143" i="9"/>
  <c r="E155" i="9"/>
  <c r="E143" i="9"/>
  <c r="J146" i="9"/>
  <c r="J144" i="9"/>
  <c r="F155" i="9"/>
  <c r="E145" i="9"/>
  <c r="O154" i="9"/>
  <c r="E126" i="9"/>
  <c r="P155" i="9"/>
  <c r="J154" i="9"/>
  <c r="P142" i="9"/>
  <c r="E144" i="9"/>
  <c r="O155" i="9"/>
  <c r="P143" i="9"/>
  <c r="O146" i="9"/>
  <c r="K156" i="9"/>
  <c r="J156" i="9"/>
  <c r="E128" i="9"/>
  <c r="K155" i="9"/>
  <c r="K145" i="9"/>
  <c r="E154" i="9"/>
  <c r="F144" i="9"/>
  <c r="E153" i="9"/>
  <c r="F126" i="9"/>
  <c r="K154" i="9"/>
  <c r="J143" i="9"/>
  <c r="E156" i="9"/>
  <c r="O157" i="9"/>
  <c r="E127" i="9"/>
  <c r="J155" i="9"/>
  <c r="O156" i="9"/>
  <c r="J145" i="9"/>
  <c r="K144" i="9"/>
  <c r="P145" i="9"/>
  <c r="O153" i="9"/>
  <c r="E146" i="9"/>
  <c r="J153" i="9"/>
  <c r="K142" i="9"/>
  <c r="E129" i="9"/>
  <c r="F153" i="9"/>
  <c r="K153" i="9"/>
  <c r="F157" i="9"/>
  <c r="F130" i="9"/>
  <c r="O142" i="9"/>
  <c r="K157" i="9"/>
  <c r="F143" i="9"/>
  <c r="F156" i="9"/>
  <c r="E130" i="9"/>
  <c r="E142" i="9"/>
  <c r="P157" i="9"/>
  <c r="E131" i="9"/>
  <c r="E218" i="9" l="1"/>
  <c r="G217" i="9" s="1"/>
  <c r="E229" i="9"/>
  <c r="G228" i="9" s="1"/>
  <c r="J181" i="9"/>
  <c r="G146" i="9"/>
  <c r="G142" i="9"/>
  <c r="G143" i="9"/>
  <c r="G144" i="9"/>
  <c r="G145" i="9"/>
  <c r="Q154" i="9"/>
  <c r="Q156" i="9"/>
  <c r="L157" i="9"/>
  <c r="Q157" i="9"/>
  <c r="L153" i="9"/>
  <c r="L154" i="9"/>
  <c r="L156" i="9"/>
  <c r="Q155" i="9"/>
  <c r="L155" i="9"/>
  <c r="Q153" i="9"/>
  <c r="Q146" i="9"/>
  <c r="Q145" i="9"/>
  <c r="Q144" i="9"/>
  <c r="Q143" i="9"/>
  <c r="Q142" i="9"/>
  <c r="L146" i="9"/>
  <c r="L145" i="9"/>
  <c r="L144" i="9"/>
  <c r="L143" i="9"/>
  <c r="L142" i="9"/>
  <c r="G157" i="9"/>
  <c r="G156" i="9"/>
  <c r="G155" i="9"/>
  <c r="G154" i="9"/>
  <c r="G153" i="9"/>
  <c r="E132" i="9"/>
  <c r="F132" i="9"/>
  <c r="F134" i="9"/>
  <c r="E134" i="9"/>
  <c r="J1370" i="1" l="1"/>
  <c r="J2975" i="1"/>
  <c r="J1130" i="1"/>
  <c r="CE1130" i="1" s="1"/>
  <c r="J2018" i="1"/>
  <c r="Q2211" i="1"/>
  <c r="Q1478" i="1"/>
  <c r="Q2126" i="1"/>
  <c r="Q1938" i="1"/>
  <c r="Q1155" i="1"/>
  <c r="Q1656" i="1"/>
  <c r="BX2457" i="1"/>
  <c r="Q847" i="1"/>
  <c r="Q2727" i="1"/>
  <c r="Q2622" i="1"/>
  <c r="Q2624" i="1"/>
  <c r="Q1578" i="1"/>
  <c r="Q493" i="1"/>
  <c r="Q1410" i="1"/>
  <c r="Q2322" i="1"/>
  <c r="Q2641" i="1"/>
  <c r="Q2420" i="1"/>
  <c r="Q2646" i="1"/>
  <c r="Q2647" i="1"/>
  <c r="Q2648" i="1"/>
  <c r="Q2217" i="1"/>
  <c r="Q861" i="1"/>
  <c r="Q2652" i="1"/>
  <c r="Q2658" i="1"/>
  <c r="Q2657" i="1"/>
  <c r="Q2659" i="1"/>
  <c r="Q1553" i="1"/>
  <c r="Q1018" i="1"/>
  <c r="Q1763" i="1"/>
  <c r="Q2667" i="1"/>
  <c r="Q1891" i="1"/>
  <c r="Q2671" i="1"/>
  <c r="Q179" i="1"/>
  <c r="Q2384" i="1"/>
  <c r="Q2680" i="1"/>
  <c r="Q446" i="1"/>
  <c r="Q1851" i="1"/>
  <c r="BX2693" i="1"/>
  <c r="Q1050" i="1"/>
  <c r="Q391" i="1"/>
  <c r="Q2539" i="1"/>
  <c r="BX2706" i="1"/>
  <c r="Q2713" i="1"/>
  <c r="Q1808" i="1"/>
  <c r="BX2721" i="1"/>
  <c r="BX2722" i="1"/>
  <c r="Q707" i="1"/>
  <c r="Q1531" i="1"/>
  <c r="Q2082" i="1"/>
  <c r="BX487" i="1"/>
  <c r="Q1141" i="1"/>
  <c r="Q2735" i="1"/>
  <c r="Q2746" i="1"/>
  <c r="Q1980" i="1"/>
  <c r="Q2752" i="1"/>
  <c r="Q1184" i="1"/>
  <c r="Q2813" i="1"/>
  <c r="Q1477" i="1"/>
  <c r="Q1299" i="1"/>
  <c r="Q1817" i="1"/>
  <c r="Q1099" i="1"/>
  <c r="Q2973" i="1"/>
  <c r="Q2977" i="1"/>
  <c r="Q2978" i="1"/>
  <c r="BX2979" i="1"/>
  <c r="Q2310" i="1"/>
  <c r="Q1890" i="1"/>
  <c r="Q3012" i="1"/>
  <c r="Q3014" i="1"/>
  <c r="Q465" i="1"/>
  <c r="Q2491" i="1"/>
  <c r="Q2095" i="1"/>
  <c r="Q1252" i="1"/>
  <c r="Q329" i="1"/>
  <c r="Q1929" i="1"/>
  <c r="Q2120" i="1"/>
  <c r="Q1212" i="1"/>
  <c r="Q1552" i="1"/>
  <c r="Q159" i="1"/>
  <c r="Q2471" i="1"/>
  <c r="Q2390" i="1"/>
  <c r="Q3049" i="1"/>
  <c r="Q1803" i="1"/>
  <c r="Q3055" i="1"/>
  <c r="Q3057" i="1"/>
  <c r="Q1740" i="1"/>
  <c r="Q2262" i="1"/>
  <c r="Q742" i="1"/>
  <c r="BX721" i="1"/>
  <c r="Q1793" i="1"/>
  <c r="Q2204" i="1"/>
  <c r="Q3078" i="1"/>
  <c r="Q777" i="1"/>
  <c r="Q3082" i="1"/>
  <c r="Q996" i="1"/>
  <c r="Q3086" i="1"/>
  <c r="Q2131" i="1"/>
  <c r="Q3090" i="1"/>
  <c r="Q331" i="1"/>
  <c r="Q3103" i="1"/>
  <c r="Q3109" i="1"/>
  <c r="Q3111" i="1"/>
  <c r="Q445" i="1"/>
  <c r="Q588" i="1"/>
  <c r="BX3125" i="1"/>
  <c r="Q2364" i="1"/>
  <c r="Q3129" i="1"/>
  <c r="Q2088" i="1"/>
  <c r="Q561" i="1"/>
  <c r="Q3134" i="1"/>
  <c r="Q195" i="1"/>
  <c r="Q1704" i="1"/>
  <c r="Q1428" i="1"/>
  <c r="BX1204" i="1"/>
  <c r="BX504" i="1"/>
  <c r="Q562" i="1"/>
  <c r="Q3149" i="1"/>
  <c r="Q459" i="1"/>
  <c r="BX1758" i="1"/>
  <c r="Q3161" i="1"/>
  <c r="Q791" i="1"/>
  <c r="Q1648" i="1"/>
  <c r="Q1341" i="1"/>
  <c r="BK108" i="1"/>
  <c r="BK1856" i="1"/>
  <c r="BK2423" i="1"/>
  <c r="BK2554" i="1"/>
  <c r="BK967" i="1"/>
  <c r="BK128" i="1"/>
  <c r="BK1918" i="1"/>
  <c r="BK2035" i="1"/>
  <c r="BK932" i="1"/>
  <c r="BK1404" i="1"/>
  <c r="BK2155" i="1"/>
  <c r="BK2557" i="1"/>
  <c r="BK2000" i="1"/>
  <c r="BK671" i="1"/>
  <c r="BK2559" i="1"/>
  <c r="BK491" i="1"/>
  <c r="BK695" i="1"/>
  <c r="BK1164" i="1"/>
  <c r="BK686" i="1"/>
  <c r="BK483" i="1"/>
  <c r="BK2402" i="1"/>
  <c r="BK2367" i="1"/>
  <c r="BK2442" i="1"/>
  <c r="BK378" i="1"/>
  <c r="BK2126" i="1"/>
  <c r="BK2543" i="1"/>
  <c r="BK312" i="1"/>
  <c r="BK2055" i="1"/>
  <c r="BK2333" i="1"/>
  <c r="BK2348" i="1"/>
  <c r="BK697" i="1"/>
  <c r="BK2353" i="1"/>
  <c r="BK1701" i="1"/>
  <c r="BK1148" i="1"/>
  <c r="BK1924" i="1"/>
  <c r="BK2388" i="1"/>
  <c r="BK2562" i="1"/>
  <c r="BK2563" i="1"/>
  <c r="BK1373" i="1"/>
  <c r="BK719" i="1"/>
  <c r="BK1045" i="1"/>
  <c r="BK1540" i="1"/>
  <c r="BK2564" i="1"/>
  <c r="BK2565" i="1"/>
  <c r="BK1102" i="1"/>
  <c r="BK163" i="1"/>
  <c r="BK2566" i="1"/>
  <c r="BK2567" i="1"/>
  <c r="BK1809" i="1"/>
  <c r="BK1689" i="1"/>
  <c r="BK2339" i="1"/>
  <c r="BK597" i="1"/>
  <c r="BK2526" i="1"/>
  <c r="BK2568" i="1"/>
  <c r="BK915" i="1"/>
  <c r="BK1738" i="1"/>
  <c r="BK1562" i="1"/>
  <c r="BK2570" i="1"/>
  <c r="BK502" i="1"/>
  <c r="BK1938" i="1"/>
  <c r="BK1871" i="1"/>
  <c r="BK497" i="1"/>
  <c r="BK2252" i="1"/>
  <c r="BK1614" i="1"/>
  <c r="BK615" i="1"/>
  <c r="BK1066" i="1"/>
  <c r="BK2571" i="1"/>
  <c r="BK2572" i="1"/>
  <c r="BK1899" i="1"/>
  <c r="BK1155" i="1"/>
  <c r="BK741" i="1"/>
  <c r="BK1166" i="1"/>
  <c r="BK1627" i="1"/>
  <c r="BK2588" i="1"/>
  <c r="BK2072" i="1"/>
  <c r="BK1641" i="1"/>
  <c r="BK2589" i="1"/>
  <c r="BK843" i="1"/>
  <c r="BK1285" i="1"/>
  <c r="BK971" i="1"/>
  <c r="BK1952" i="1"/>
  <c r="BK2593" i="1"/>
  <c r="BK2595" i="1"/>
  <c r="BK1656" i="1"/>
  <c r="BK2457" i="1"/>
  <c r="BK1907" i="1"/>
  <c r="BK601" i="1"/>
  <c r="BK2596" i="1"/>
  <c r="BK1677" i="1"/>
  <c r="BK2343" i="1"/>
  <c r="BK931" i="1"/>
  <c r="BK1719" i="1"/>
  <c r="BK1132" i="1"/>
  <c r="BK1115" i="1"/>
  <c r="BK501" i="1"/>
  <c r="BK778" i="1"/>
  <c r="BK1576" i="1"/>
  <c r="BK1986" i="1"/>
  <c r="BK2382" i="1"/>
  <c r="BK1814" i="1"/>
  <c r="BK2431" i="1"/>
  <c r="BK1269" i="1"/>
  <c r="BK2601" i="1"/>
  <c r="BK2452" i="1"/>
  <c r="BK2140" i="1"/>
  <c r="BK831" i="1"/>
  <c r="BK1096" i="1"/>
  <c r="BK2600" i="1"/>
  <c r="BK1894" i="1"/>
  <c r="BK451" i="1"/>
  <c r="BK539" i="1"/>
  <c r="BK1229" i="1"/>
  <c r="BK755" i="1"/>
  <c r="BK847" i="1"/>
  <c r="BK1266" i="1"/>
  <c r="BK2605" i="1"/>
  <c r="BK399" i="1"/>
  <c r="BK1538" i="1"/>
  <c r="BK1405" i="1"/>
  <c r="BK2607" i="1"/>
  <c r="BK2086" i="1"/>
  <c r="BK800" i="1"/>
  <c r="BK1301" i="1"/>
  <c r="BK319" i="1"/>
  <c r="BK2609" i="1"/>
  <c r="BK2512" i="1"/>
  <c r="BK691" i="1"/>
  <c r="BK761" i="1"/>
  <c r="BK2610" i="1"/>
  <c r="BK2612" i="1"/>
  <c r="BK2611" i="1"/>
  <c r="BK2613" i="1"/>
  <c r="BK2615" i="1"/>
  <c r="BK537" i="1"/>
  <c r="BK2614" i="1"/>
  <c r="BK2174" i="1"/>
  <c r="BK2616" i="1"/>
  <c r="BK825" i="1"/>
  <c r="BK1151" i="1"/>
  <c r="BK2594" i="1"/>
  <c r="BK2383" i="1"/>
  <c r="BK1297" i="1"/>
  <c r="BK1090" i="1"/>
  <c r="BK939" i="1"/>
  <c r="BK2617" i="1"/>
  <c r="BK1987" i="1"/>
  <c r="BK1506" i="1"/>
  <c r="BK1665" i="1"/>
  <c r="BK2618" i="1"/>
  <c r="BK2116" i="1"/>
  <c r="BK2619" i="1"/>
  <c r="BK1258" i="1"/>
  <c r="BK1823" i="1"/>
  <c r="BK614" i="1"/>
  <c r="BK1362" i="1"/>
  <c r="BK284" i="1"/>
  <c r="BK2016" i="1"/>
  <c r="BK412" i="1"/>
  <c r="BK2259" i="1"/>
  <c r="BK1430" i="1"/>
  <c r="BK992" i="1"/>
  <c r="BK2727" i="1"/>
  <c r="BK1939" i="1"/>
  <c r="BK2326" i="1"/>
  <c r="BK2622" i="1"/>
  <c r="BK1020" i="1"/>
  <c r="BK2476" i="1"/>
  <c r="BK2255" i="1"/>
  <c r="BK1771" i="1"/>
  <c r="BK2624" i="1"/>
  <c r="BK1822" i="1"/>
  <c r="BK427" i="1"/>
  <c r="BK1397" i="1"/>
  <c r="BK2200" i="1"/>
  <c r="BK2625" i="1"/>
  <c r="BK2626" i="1"/>
  <c r="BK2063" i="1"/>
  <c r="BK1578" i="1"/>
  <c r="BK493" i="1"/>
  <c r="BK354" i="1"/>
  <c r="BK338" i="1"/>
  <c r="BK1392" i="1"/>
  <c r="BK543" i="1"/>
  <c r="BK2450" i="1"/>
  <c r="BK291" i="1"/>
  <c r="BK341" i="1"/>
  <c r="BK5" i="1"/>
  <c r="BK1522" i="1"/>
  <c r="BK177" i="1"/>
  <c r="BK972" i="1"/>
  <c r="BK1778" i="1"/>
  <c r="BK846" i="1"/>
  <c r="BK1105" i="1"/>
  <c r="BK1453" i="1"/>
  <c r="BK2630" i="1"/>
  <c r="BK2440" i="1"/>
  <c r="BK2631" i="1"/>
  <c r="BK322" i="1"/>
  <c r="BK1466" i="1"/>
  <c r="BK1979" i="1"/>
  <c r="BK197" i="1"/>
  <c r="BK2182" i="1"/>
  <c r="BK2465" i="1"/>
  <c r="BK2211" i="1"/>
  <c r="BK1478" i="1"/>
  <c r="BK2632" i="1"/>
  <c r="BK775" i="1"/>
  <c r="BK2634" i="1"/>
  <c r="BK1100" i="1"/>
  <c r="BK2635" i="1"/>
  <c r="BK1546" i="1"/>
  <c r="BK1398" i="1"/>
  <c r="BK926" i="1"/>
  <c r="BK1410" i="1"/>
  <c r="BK1158" i="1"/>
  <c r="BK1233" i="1"/>
  <c r="BK1448" i="1"/>
  <c r="BK311" i="1"/>
  <c r="BK2005" i="1"/>
  <c r="BK2031" i="1"/>
  <c r="BK2299" i="1"/>
  <c r="BK1861" i="1"/>
  <c r="BK1936" i="1"/>
  <c r="BK1470" i="1"/>
  <c r="BK899" i="1"/>
  <c r="BK547" i="1"/>
  <c r="BK2077" i="1"/>
  <c r="BK2128" i="1"/>
  <c r="BK2322" i="1"/>
  <c r="BK879" i="1"/>
  <c r="BK2639" i="1"/>
  <c r="BK1889" i="1"/>
  <c r="BK2641" i="1"/>
  <c r="BK1810" i="1"/>
  <c r="BK2552" i="1"/>
  <c r="BK2058" i="1"/>
  <c r="BK2420" i="1"/>
  <c r="BK1116" i="1"/>
  <c r="BK1345" i="1"/>
  <c r="BK1503" i="1"/>
  <c r="BK1389" i="1"/>
  <c r="BK2027" i="1"/>
  <c r="BK947" i="1"/>
  <c r="BK169" i="1"/>
  <c r="BK2642" i="1"/>
  <c r="BK1292" i="1"/>
  <c r="BK2215" i="1"/>
  <c r="BK2643" i="1"/>
  <c r="BK2644" i="1"/>
  <c r="BK569" i="1"/>
  <c r="BK1329" i="1"/>
  <c r="BK316" i="1"/>
  <c r="BK2561" i="1"/>
  <c r="BK799" i="1"/>
  <c r="BK2135" i="1"/>
  <c r="BK1606" i="1"/>
  <c r="BK2152" i="1"/>
  <c r="BK2646" i="1"/>
  <c r="BK2647" i="1"/>
  <c r="BK2226" i="1"/>
  <c r="BK2648" i="1"/>
  <c r="BK1634" i="1"/>
  <c r="BK2217" i="1"/>
  <c r="BK861" i="1"/>
  <c r="BK1249" i="1"/>
  <c r="BK1152" i="1"/>
  <c r="BK2649" i="1"/>
  <c r="BK315" i="1"/>
  <c r="BK1605" i="1"/>
  <c r="BK1635" i="1"/>
  <c r="BK540" i="1"/>
  <c r="BK590" i="1"/>
  <c r="BK730" i="1"/>
  <c r="BK718" i="1"/>
  <c r="BK612" i="1"/>
  <c r="BK904" i="1"/>
  <c r="BK2134" i="1"/>
  <c r="BK1805" i="1"/>
  <c r="BK2651" i="1"/>
  <c r="BK2652" i="1"/>
  <c r="BK1821" i="1"/>
  <c r="BK1324" i="1"/>
  <c r="BK1884" i="1"/>
  <c r="BK2656" i="1"/>
  <c r="BK2159" i="1"/>
  <c r="BK1286" i="1"/>
  <c r="BK2655" i="1"/>
  <c r="BK2658" i="1"/>
  <c r="BK2657" i="1"/>
  <c r="BK1385" i="1"/>
  <c r="BK1638" i="1"/>
  <c r="BK2659" i="1"/>
  <c r="BK2263" i="1"/>
  <c r="BK1553" i="1"/>
  <c r="BK1154" i="1"/>
  <c r="BK1492" i="1"/>
  <c r="BK2660" i="1"/>
  <c r="BK2661" i="1"/>
  <c r="BK2662" i="1"/>
  <c r="BK1253" i="1"/>
  <c r="BK347" i="1"/>
  <c r="BK2663" i="1"/>
  <c r="BK379" i="1"/>
  <c r="BK1475" i="1"/>
  <c r="BK9" i="1"/>
  <c r="BK2664" i="1"/>
  <c r="BK1764" i="1"/>
  <c r="BK1018" i="1"/>
  <c r="BK2665" i="1"/>
  <c r="BK1763" i="1"/>
  <c r="BK2667" i="1"/>
  <c r="BK2371" i="1"/>
  <c r="BK1749" i="1"/>
  <c r="BK6" i="1"/>
  <c r="BK337" i="1"/>
  <c r="BK746" i="1"/>
  <c r="BK2464" i="1"/>
  <c r="BK1792" i="1"/>
  <c r="BK1449" i="1"/>
  <c r="BK2669" i="1"/>
  <c r="BK1777" i="1"/>
  <c r="BK1958" i="1"/>
  <c r="BK1891" i="1"/>
  <c r="BK2287" i="1"/>
  <c r="BK151" i="1"/>
  <c r="BK2670" i="1"/>
  <c r="BK2671" i="1"/>
  <c r="BK1559" i="1"/>
  <c r="BK1060" i="1"/>
  <c r="BK1106" i="1"/>
  <c r="BK1671" i="1"/>
  <c r="BK328" i="1"/>
  <c r="BK713" i="1"/>
  <c r="BK803" i="1"/>
  <c r="BK1565" i="1"/>
  <c r="BK1930" i="1"/>
  <c r="BK1524" i="1"/>
  <c r="BK672" i="1"/>
  <c r="BK1335" i="1"/>
  <c r="BK1790" i="1"/>
  <c r="BK1970" i="1"/>
  <c r="BK1518" i="1"/>
  <c r="BK179" i="1"/>
  <c r="BK2672" i="1"/>
  <c r="BK1941" i="1"/>
  <c r="BK2673" i="1"/>
  <c r="BK2674" i="1"/>
  <c r="BK840" i="1"/>
  <c r="BK1144" i="1"/>
  <c r="BK2384" i="1"/>
  <c r="BK2144" i="1"/>
  <c r="BK1462" i="1"/>
  <c r="BK1208" i="1"/>
  <c r="BK2578" i="1"/>
  <c r="BK1526" i="1"/>
  <c r="BK2677" i="1"/>
  <c r="BK1489" i="1"/>
  <c r="BK1566" i="1"/>
  <c r="BK2380" i="1"/>
  <c r="BK883" i="1"/>
  <c r="BK1062" i="1"/>
  <c r="BK2680" i="1"/>
  <c r="BK817" i="1"/>
  <c r="BK679" i="1"/>
  <c r="BK1739" i="1"/>
  <c r="BK1364" i="1"/>
  <c r="BK1681" i="1"/>
  <c r="BK2679" i="1"/>
  <c r="BK1304" i="1"/>
  <c r="BK2681" i="1"/>
  <c r="BK2083" i="1"/>
  <c r="BK2545" i="1"/>
  <c r="BK722" i="1"/>
  <c r="BK2682" i="1"/>
  <c r="BK134" i="1"/>
  <c r="BK2169" i="1"/>
  <c r="BK2213" i="1"/>
  <c r="BK758" i="1"/>
  <c r="BK2683" i="1"/>
  <c r="BK541" i="1"/>
  <c r="BK1173" i="1"/>
  <c r="BK2684" i="1"/>
  <c r="BK2685" i="1"/>
  <c r="BK689" i="1"/>
  <c r="BK446" i="1"/>
  <c r="BK109" i="1"/>
  <c r="BK2687" i="1"/>
  <c r="BK1692" i="1"/>
  <c r="BK2692" i="1"/>
  <c r="BK2627" i="1"/>
  <c r="BK726" i="1"/>
  <c r="BK1390" i="1"/>
  <c r="BK356" i="1"/>
  <c r="BK1101" i="1"/>
  <c r="BK1369" i="1"/>
  <c r="BK1851" i="1"/>
  <c r="BK1232" i="1"/>
  <c r="BK1591" i="1"/>
  <c r="BK2693" i="1"/>
  <c r="BK678" i="1"/>
  <c r="BK2620" i="1"/>
  <c r="BK2267" i="1"/>
  <c r="BK602" i="1"/>
  <c r="BK2415" i="1"/>
  <c r="BK2696" i="1"/>
  <c r="BK816" i="1"/>
  <c r="BK426" i="1"/>
  <c r="BK2389" i="1"/>
  <c r="BK20" i="1"/>
  <c r="BK2697" i="1"/>
  <c r="BK1940" i="1"/>
  <c r="BK283" i="1"/>
  <c r="BK907" i="1"/>
  <c r="BK393" i="1"/>
  <c r="BK1214" i="1"/>
  <c r="BK110" i="1"/>
  <c r="BK2699" i="1"/>
  <c r="BK442" i="1"/>
  <c r="BK1753" i="1"/>
  <c r="BK1383" i="1"/>
  <c r="BK1461" i="1"/>
  <c r="BK797" i="1"/>
  <c r="BK19" i="1"/>
  <c r="BK1182" i="1"/>
  <c r="BK558" i="1"/>
  <c r="BK2043" i="1"/>
  <c r="BK1156" i="1"/>
  <c r="BK714" i="1"/>
  <c r="BK1676" i="1"/>
  <c r="BK2021" i="1"/>
  <c r="BK2700" i="1"/>
  <c r="BK424" i="1"/>
  <c r="BK2301" i="1"/>
  <c r="BK1050" i="1"/>
  <c r="BK2246" i="1"/>
  <c r="BK2691" i="1"/>
  <c r="BK2703" i="1"/>
  <c r="BK1053" i="1"/>
  <c r="BK1599" i="1"/>
  <c r="BK1027" i="1"/>
  <c r="BK2292" i="1"/>
  <c r="BK391" i="1"/>
  <c r="BK360" i="1"/>
  <c r="BK2227" i="1"/>
  <c r="BK1933" i="1"/>
  <c r="BK2704" i="1"/>
  <c r="BK2539" i="1"/>
  <c r="BK2432" i="1"/>
  <c r="BK2705" i="1"/>
  <c r="BK1750" i="1"/>
  <c r="BK2706" i="1"/>
  <c r="BK2707" i="1"/>
  <c r="BK1014" i="1"/>
  <c r="BK573" i="1"/>
  <c r="BK706" i="1"/>
  <c r="BK2709" i="1"/>
  <c r="BK143" i="1"/>
  <c r="BK2510" i="1"/>
  <c r="BK1387" i="1"/>
  <c r="BK1919" i="1"/>
  <c r="BK1684" i="1"/>
  <c r="BK1033" i="1"/>
  <c r="BK1455" i="1"/>
  <c r="BK1862" i="1"/>
  <c r="BK1338" i="1"/>
  <c r="BK2711" i="1"/>
  <c r="BK2712" i="1"/>
  <c r="BK559" i="1"/>
  <c r="BK310" i="1"/>
  <c r="BK2713" i="1"/>
  <c r="BK462" i="1"/>
  <c r="BK1103" i="1"/>
  <c r="BK1221" i="1"/>
  <c r="BK852" i="1"/>
  <c r="BK473" i="1"/>
  <c r="BK2093" i="1"/>
  <c r="BK2472" i="1"/>
  <c r="BK1680" i="1"/>
  <c r="BK2716" i="1"/>
  <c r="BK1076" i="1"/>
  <c r="BK330" i="1"/>
  <c r="BK908" i="1"/>
  <c r="BK508" i="1"/>
  <c r="BK1808" i="1"/>
  <c r="BK1523" i="1"/>
  <c r="BK2101" i="1"/>
  <c r="BK2717" i="1"/>
  <c r="BK2718" i="1"/>
  <c r="BK1356" i="1"/>
  <c r="BK2719" i="1"/>
  <c r="BK1978" i="1"/>
  <c r="BK1359" i="1"/>
  <c r="BK837" i="1"/>
  <c r="BK934" i="1"/>
  <c r="BK2720" i="1"/>
  <c r="BK780" i="1"/>
  <c r="BK1781" i="1"/>
  <c r="BK1607" i="1"/>
  <c r="BK2521" i="1"/>
  <c r="BK1071" i="1"/>
  <c r="BK549" i="1"/>
  <c r="BK454" i="1"/>
  <c r="BK1230" i="1"/>
  <c r="BK1651" i="1"/>
  <c r="BK104" i="1"/>
  <c r="BK2721" i="1"/>
  <c r="BK1092" i="1"/>
  <c r="BK389" i="1"/>
  <c r="BK1468" i="1"/>
  <c r="BK1588" i="1"/>
  <c r="BK1937" i="1"/>
  <c r="BK1742" i="1"/>
  <c r="BK2722" i="1"/>
  <c r="BK2336" i="1"/>
  <c r="BK2724" i="1"/>
  <c r="BK1311" i="1"/>
  <c r="BK193" i="1"/>
  <c r="BK2726" i="1"/>
  <c r="BK2167" i="1"/>
  <c r="BK707" i="1"/>
  <c r="BK1235" i="1"/>
  <c r="BK422" i="1"/>
  <c r="BK1531" i="1"/>
  <c r="BK968" i="1"/>
  <c r="BK2728" i="1"/>
  <c r="BK1923" i="1"/>
  <c r="BK164" i="1"/>
  <c r="BK2729" i="1"/>
  <c r="BK651" i="1"/>
  <c r="BK2234" i="1"/>
  <c r="BK122" i="1"/>
  <c r="BK302" i="1"/>
  <c r="BK924" i="1"/>
  <c r="BK1703" i="1"/>
  <c r="BK2531" i="1"/>
  <c r="BK2082" i="1"/>
  <c r="BK1997" i="1"/>
  <c r="BK1381" i="1"/>
  <c r="BK2366" i="1"/>
  <c r="BK350" i="1"/>
  <c r="BK1866" i="1"/>
  <c r="BK1539" i="1"/>
  <c r="BK1220" i="1"/>
  <c r="BK2225" i="1"/>
  <c r="BK1354" i="1"/>
  <c r="BK688" i="1"/>
  <c r="BK2160" i="1"/>
  <c r="BK531" i="1"/>
  <c r="BK2099" i="1"/>
  <c r="BK554" i="1"/>
  <c r="BK2732" i="1"/>
  <c r="BK1981" i="1"/>
  <c r="BK2033" i="1"/>
  <c r="BK2733" i="1"/>
  <c r="BK2723" i="1"/>
  <c r="BK1649" i="1"/>
  <c r="BK487" i="1"/>
  <c r="BK826" i="1"/>
  <c r="BK1073" i="1"/>
  <c r="BK1223" i="1"/>
  <c r="BK1785" i="1"/>
  <c r="BK1107" i="1"/>
  <c r="BK286" i="1"/>
  <c r="BK1724" i="1"/>
  <c r="BK1240" i="1"/>
  <c r="BK1141" i="1"/>
  <c r="BK2113" i="1"/>
  <c r="BK712" i="1"/>
  <c r="BK2735" i="1"/>
  <c r="BK2736" i="1"/>
  <c r="BK2737" i="1"/>
  <c r="BK132" i="1"/>
  <c r="BK2738" i="1"/>
  <c r="BK2730" i="1"/>
  <c r="BK2296" i="1"/>
  <c r="BK2067" i="1"/>
  <c r="BK790" i="1"/>
  <c r="BK1395" i="1"/>
  <c r="BK1289" i="1"/>
  <c r="BK1554" i="1"/>
  <c r="BK1087" i="1"/>
  <c r="BK2400" i="1"/>
  <c r="BK1039" i="1"/>
  <c r="BK140" i="1"/>
  <c r="BK884" i="1"/>
  <c r="BK2740" i="1"/>
  <c r="BK2741" i="1"/>
  <c r="BK1147" i="1"/>
  <c r="BK2599" i="1"/>
  <c r="BK768" i="1"/>
  <c r="BK2009" i="1"/>
  <c r="BK1126" i="1"/>
  <c r="BK285" i="1"/>
  <c r="BK2739" i="1"/>
  <c r="BK2106" i="1"/>
  <c r="BK859" i="1"/>
  <c r="BK2743" i="1"/>
  <c r="BK1065" i="1"/>
  <c r="BK334" i="1"/>
  <c r="BK1616" i="1"/>
  <c r="BK1097" i="1"/>
  <c r="BK2745" i="1"/>
  <c r="BK2746" i="1"/>
  <c r="BK160" i="1"/>
  <c r="BK468" i="1"/>
  <c r="BK634" i="1"/>
  <c r="BK795" i="1"/>
  <c r="BK380" i="1"/>
  <c r="BK1037" i="1"/>
  <c r="BK2245" i="1"/>
  <c r="BK2280" i="1"/>
  <c r="BK2356" i="1"/>
  <c r="BK2268" i="1"/>
  <c r="BK494" i="1"/>
  <c r="BK2148" i="1"/>
  <c r="BK2359" i="1"/>
  <c r="BK2337" i="1"/>
  <c r="BK1545" i="1"/>
  <c r="BK1368" i="1"/>
  <c r="BK2749" i="1"/>
  <c r="BK2312" i="1"/>
  <c r="BK618" i="1"/>
  <c r="BK1980" i="1"/>
  <c r="BK668" i="1"/>
  <c r="BK2750" i="1"/>
  <c r="BK2175" i="1"/>
  <c r="BK2751" i="1"/>
  <c r="BK1824" i="1"/>
  <c r="BK1942" i="1"/>
  <c r="BK2752" i="1"/>
  <c r="BK1279" i="1"/>
  <c r="BK2753" i="1"/>
  <c r="BK123" i="1"/>
  <c r="BK2399" i="1"/>
  <c r="BK1153" i="1"/>
  <c r="BK1436" i="1"/>
  <c r="BK2755" i="1"/>
  <c r="BK1184" i="1"/>
  <c r="BK2756" i="1"/>
  <c r="BK2424" i="1"/>
  <c r="BK836" i="1"/>
  <c r="BK2153" i="1"/>
  <c r="BK460" i="1"/>
  <c r="BK1058" i="1"/>
  <c r="BK1255" i="1"/>
  <c r="BK757" i="1"/>
  <c r="BK2577" i="1"/>
  <c r="BK2761" i="1"/>
  <c r="BK716" i="1"/>
  <c r="BK1074" i="1"/>
  <c r="BK1813" i="1"/>
  <c r="BK1348" i="1"/>
  <c r="BK1646" i="1"/>
  <c r="BK2813" i="1"/>
  <c r="BK922" i="1"/>
  <c r="BK2762" i="1"/>
  <c r="BK2763" i="1"/>
  <c r="BK2764" i="1"/>
  <c r="BK1831" i="1"/>
  <c r="BK2766" i="1"/>
  <c r="BK752" i="1"/>
  <c r="BK2759" i="1"/>
  <c r="BK2767" i="1"/>
  <c r="BK646" i="1"/>
  <c r="BK2418" i="1"/>
  <c r="BK2066" i="1"/>
  <c r="BK1178" i="1"/>
  <c r="BK1259" i="1"/>
  <c r="BK556" i="1"/>
  <c r="BK2962" i="1"/>
  <c r="BK1358" i="1"/>
  <c r="BK1640" i="1"/>
  <c r="BK192" i="1"/>
  <c r="BK1921" i="1"/>
  <c r="BK2117" i="1"/>
  <c r="BK2966" i="1"/>
  <c r="BK2967" i="1"/>
  <c r="BK2968" i="1"/>
  <c r="BK345" i="1"/>
  <c r="BK2701" i="1"/>
  <c r="BK1406" i="1"/>
  <c r="BK2203" i="1"/>
  <c r="BK2054" i="1"/>
  <c r="BK860" i="1"/>
  <c r="BK1188" i="1"/>
  <c r="BK916" i="1"/>
  <c r="BK609" i="1"/>
  <c r="BK1477" i="1"/>
  <c r="BK2970" i="1"/>
  <c r="BK2971" i="1"/>
  <c r="BK1299" i="1"/>
  <c r="BK1441" i="1"/>
  <c r="BK1904" i="1"/>
  <c r="BK1817" i="1"/>
  <c r="BK479" i="1"/>
  <c r="BK2527" i="1"/>
  <c r="BK1513" i="1"/>
  <c r="BK2972" i="1"/>
  <c r="BK889" i="1"/>
  <c r="BK1360" i="1"/>
  <c r="BK1867" i="1"/>
  <c r="BK1437" i="1"/>
  <c r="BK2089" i="1"/>
  <c r="BK809" i="1"/>
  <c r="BK1099" i="1"/>
  <c r="BK1715" i="1"/>
  <c r="BK2973" i="1"/>
  <c r="BK2694" i="1"/>
  <c r="BK2335" i="1"/>
  <c r="BK2974" i="1"/>
  <c r="BK1948" i="1"/>
  <c r="BK753" i="1"/>
  <c r="BK2040" i="1"/>
  <c r="BK2426" i="1"/>
  <c r="BK2976" i="1"/>
  <c r="BK2302" i="1"/>
  <c r="BK1082" i="1"/>
  <c r="BK1765" i="1"/>
  <c r="BK1956" i="1"/>
  <c r="BK2020" i="1"/>
  <c r="BK1786" i="1"/>
  <c r="BK2977" i="1"/>
  <c r="BK2166" i="1"/>
  <c r="BK1165" i="1"/>
  <c r="BK2978" i="1"/>
  <c r="BK1833" i="1"/>
  <c r="BK2523" i="1"/>
  <c r="BK2289" i="1"/>
  <c r="BK940" i="1"/>
  <c r="BK490" i="1"/>
  <c r="BK2979" i="1"/>
  <c r="BK1088" i="1"/>
  <c r="BK2980" i="1"/>
  <c r="BK2981" i="1"/>
  <c r="BK1063" i="1"/>
  <c r="BK623" i="1"/>
  <c r="BK794" i="1"/>
  <c r="BK138" i="1"/>
  <c r="BK1975" i="1"/>
  <c r="BK2122" i="1"/>
  <c r="BK2478" i="1"/>
  <c r="BK499" i="1"/>
  <c r="BK2946" i="1"/>
  <c r="BK2282" i="1"/>
  <c r="BK525" i="1"/>
  <c r="BK1250" i="1"/>
  <c r="BK878" i="1"/>
  <c r="BK3000" i="1"/>
  <c r="BK1089" i="1"/>
  <c r="BK2004" i="1"/>
  <c r="BK747" i="1"/>
  <c r="BK1420" i="1"/>
  <c r="BK1669" i="1"/>
  <c r="BK293" i="1"/>
  <c r="BK2633" i="1"/>
  <c r="BK2310" i="1"/>
  <c r="BK946" i="1"/>
  <c r="BK1550" i="1"/>
  <c r="BK2219" i="1"/>
  <c r="BK645" i="1"/>
  <c r="BK2483" i="1"/>
  <c r="BK3004" i="1"/>
  <c r="BK2143" i="1"/>
  <c r="BK3005" i="1"/>
  <c r="BK642" i="1"/>
  <c r="BK2032" i="1"/>
  <c r="BK798" i="1"/>
  <c r="BK2025" i="1"/>
  <c r="BK995" i="1"/>
  <c r="BK3006" i="1"/>
  <c r="BK3008" i="1"/>
  <c r="BK555" i="1"/>
  <c r="BK1690" i="1"/>
  <c r="BK1890" i="1"/>
  <c r="BK1091" i="1"/>
  <c r="BK1946" i="1"/>
  <c r="BK2984" i="1"/>
  <c r="BK1330" i="1"/>
  <c r="BK3009" i="1"/>
  <c r="BK532" i="1"/>
  <c r="BK1655" i="1"/>
  <c r="BK3010" i="1"/>
  <c r="BK3011" i="1"/>
  <c r="BK1746" i="1"/>
  <c r="BK2551" i="1"/>
  <c r="BK3012" i="1"/>
  <c r="BK317" i="1"/>
  <c r="BK1497" i="1"/>
  <c r="BK3013" i="1"/>
  <c r="BK2286" i="1"/>
  <c r="BK3014" i="1"/>
  <c r="BK2201" i="1"/>
  <c r="BK2014" i="1"/>
  <c r="BK733" i="1"/>
  <c r="BK1438" i="1"/>
  <c r="BK1712" i="1"/>
  <c r="BK2107" i="1"/>
  <c r="BK1004" i="1"/>
  <c r="BK298" i="1"/>
  <c r="BK465" i="1"/>
  <c r="BK1571" i="1"/>
  <c r="BK2244" i="1"/>
  <c r="BK1590" i="1"/>
  <c r="BK1718" i="1"/>
  <c r="BK1514" i="1"/>
  <c r="BK2491" i="1"/>
  <c r="BK2095" i="1"/>
  <c r="BK3016" i="1"/>
  <c r="BK881" i="1"/>
  <c r="BK2397" i="1"/>
  <c r="BK2105" i="1"/>
  <c r="BK1077" i="1"/>
  <c r="BK1196" i="1"/>
  <c r="BK2104" i="1"/>
  <c r="BK2275" i="1"/>
  <c r="BK900" i="1"/>
  <c r="BK909" i="1"/>
  <c r="BK850" i="1"/>
  <c r="BK1657" i="1"/>
  <c r="BK1825" i="1"/>
  <c r="BK3017" i="1"/>
  <c r="BK113" i="1"/>
  <c r="BK438" i="1"/>
  <c r="BK1735" i="1"/>
  <c r="BK1482" i="1"/>
  <c r="BK2396" i="1"/>
  <c r="BK385" i="1"/>
  <c r="BK2195" i="1"/>
  <c r="BK2180" i="1"/>
  <c r="BK333" i="1"/>
  <c r="BK1252" i="1"/>
  <c r="BK1909" i="1"/>
  <c r="BK329" i="1"/>
  <c r="BK870" i="1"/>
  <c r="BK2146" i="1"/>
  <c r="BK2087" i="1"/>
  <c r="BK2385" i="1"/>
  <c r="BK1666" i="1"/>
  <c r="BK1210" i="1"/>
  <c r="BK774" i="1"/>
  <c r="BK1929" i="1"/>
  <c r="BK176" i="1"/>
  <c r="BK890" i="1"/>
  <c r="BK1157" i="1"/>
  <c r="BK3020" i="1"/>
  <c r="BK3021" i="1"/>
  <c r="BK1650" i="1"/>
  <c r="BK2120" i="1"/>
  <c r="BK1212" i="1"/>
  <c r="BK1654" i="1"/>
  <c r="BK1507" i="1"/>
  <c r="BK2179" i="1"/>
  <c r="BK2223" i="1"/>
  <c r="BK1442" i="1"/>
  <c r="BK2177" i="1"/>
  <c r="BK1146" i="1"/>
  <c r="BK3023" i="1"/>
  <c r="BK2029" i="1"/>
  <c r="BK1003" i="1"/>
  <c r="BK3024" i="1"/>
  <c r="BK1386" i="1"/>
  <c r="BK729" i="1"/>
  <c r="BK3026" i="1"/>
  <c r="BK1469" i="1"/>
  <c r="BK282" i="1"/>
  <c r="BK1552" i="1"/>
  <c r="BK3027" i="1"/>
  <c r="BK159" i="1"/>
  <c r="BK509" i="1"/>
  <c r="BK1485" i="1"/>
  <c r="BK771" i="1"/>
  <c r="BK3029" i="1"/>
  <c r="BK2300" i="1"/>
  <c r="BK3030" i="1"/>
  <c r="BK998" i="1"/>
  <c r="BK815" i="1"/>
  <c r="BK1051" i="1"/>
  <c r="BK3032" i="1"/>
  <c r="BK3028" i="1"/>
  <c r="BK1052" i="1"/>
  <c r="BK2822" i="1"/>
  <c r="BK3033" i="1"/>
  <c r="BK3034" i="1"/>
  <c r="BK392" i="1"/>
  <c r="BK3035" i="1"/>
  <c r="BK2403" i="1"/>
  <c r="BK2603" i="1"/>
  <c r="BK3036" i="1"/>
  <c r="BK1779" i="1"/>
  <c r="BK1870" i="1"/>
  <c r="BK693" i="1"/>
  <c r="BK1486" i="1"/>
  <c r="BK1639" i="1"/>
  <c r="BK486" i="1"/>
  <c r="BK2469" i="1"/>
  <c r="BK994" i="1"/>
  <c r="BK1127" i="1"/>
  <c r="BK3038" i="1"/>
  <c r="BK1303" i="1"/>
  <c r="BK2471" i="1"/>
  <c r="BK1247" i="1"/>
  <c r="BK1990" i="1"/>
  <c r="BK2097" i="1"/>
  <c r="BK1445" i="1"/>
  <c r="BK470" i="1"/>
  <c r="BK3042" i="1"/>
  <c r="BK1108" i="1"/>
  <c r="BK3043" i="1"/>
  <c r="BK3044" i="1"/>
  <c r="BK1652" i="1"/>
  <c r="BK158" i="1"/>
  <c r="BK1717" i="1"/>
  <c r="BK3045" i="1"/>
  <c r="BK370" i="1"/>
  <c r="BK1026" i="1"/>
  <c r="BK2509" i="1"/>
  <c r="BK551" i="1"/>
  <c r="BK1912" i="1"/>
  <c r="BK466" i="1"/>
  <c r="BK3046" i="1"/>
  <c r="BK2390" i="1"/>
  <c r="BK3047" i="1"/>
  <c r="BK1197" i="1"/>
  <c r="BK1236" i="1"/>
  <c r="BK1159" i="1"/>
  <c r="BK1534" i="1"/>
  <c r="BK3049" i="1"/>
  <c r="BK1125" i="1"/>
  <c r="BK3050" i="1"/>
  <c r="BK1109" i="1"/>
  <c r="BK3052" i="1"/>
  <c r="BK643" i="1"/>
  <c r="BK2349" i="1"/>
  <c r="BK3053" i="1"/>
  <c r="BK157" i="1"/>
  <c r="BK1783" i="1"/>
  <c r="BK1509" i="1"/>
  <c r="BK728" i="1"/>
  <c r="BK1444" i="1"/>
  <c r="BK3054" i="1"/>
  <c r="BK2142" i="1"/>
  <c r="BK1579" i="1"/>
  <c r="BK2274" i="1"/>
  <c r="BK396" i="1"/>
  <c r="BK2351" i="1"/>
  <c r="BK538" i="1"/>
  <c r="BK2085" i="1"/>
  <c r="BK1803" i="1"/>
  <c r="BK3055" i="1"/>
  <c r="BK3056" i="1"/>
  <c r="BK394" i="1"/>
  <c r="BK3057" i="1"/>
  <c r="BK3058" i="1"/>
  <c r="BK3059" i="1"/>
  <c r="BK1740" i="1"/>
  <c r="BK1098" i="1"/>
  <c r="BK1170" i="1"/>
  <c r="BK1702" i="1"/>
  <c r="BK1516" i="1"/>
  <c r="BK1860" i="1"/>
  <c r="BK2242" i="1"/>
  <c r="BK2187" i="1"/>
  <c r="BK3060" i="1"/>
  <c r="BK834" i="1"/>
  <c r="BK906" i="1"/>
  <c r="BK1961" i="1"/>
  <c r="BK1584" i="1"/>
  <c r="BK1769" i="1"/>
  <c r="BK1928" i="1"/>
  <c r="BK1262" i="1"/>
  <c r="BK1900" i="1"/>
  <c r="BK1305" i="1"/>
  <c r="BK3062" i="1"/>
  <c r="BK3063" i="1"/>
  <c r="BK828" i="1"/>
  <c r="BK2560" i="1"/>
  <c r="BK1973" i="1"/>
  <c r="BK1288" i="1"/>
  <c r="BK1842" i="1"/>
  <c r="BK3064" i="1"/>
  <c r="BK805" i="1"/>
  <c r="BK3065" i="1"/>
  <c r="BK1440" i="1"/>
  <c r="BK3066" i="1"/>
  <c r="BK1172" i="1"/>
  <c r="BK2262" i="1"/>
  <c r="BK1743" i="1"/>
  <c r="BK2042" i="1"/>
  <c r="BK320" i="1"/>
  <c r="BK2216" i="1"/>
  <c r="BK3067" i="1"/>
  <c r="BK873" i="1"/>
  <c r="BK1075" i="1"/>
  <c r="BK3068" i="1"/>
  <c r="BK742" i="1"/>
  <c r="BK3069" i="1"/>
  <c r="BK3070" i="1"/>
  <c r="BK842" i="1"/>
  <c r="BK1274" i="1"/>
  <c r="BK987" i="1"/>
  <c r="BK1128" i="1"/>
  <c r="BK2059" i="1"/>
  <c r="BK1745" i="1"/>
  <c r="BK375" i="1"/>
  <c r="BK1776" i="1"/>
  <c r="BK2254" i="1"/>
  <c r="BK343" i="1"/>
  <c r="BK1137" i="1"/>
  <c r="BK3072" i="1"/>
  <c r="BK339" i="1"/>
  <c r="BK944" i="1"/>
  <c r="BK2324" i="1"/>
  <c r="BK3022" i="1"/>
  <c r="BK1645" i="1"/>
  <c r="BK854" i="1"/>
  <c r="BK721" i="1"/>
  <c r="BK616" i="1"/>
  <c r="BK864" i="1"/>
  <c r="BK1610" i="1"/>
  <c r="BK1600" i="1"/>
  <c r="BK2485" i="1"/>
  <c r="BK3073" i="1"/>
  <c r="BK1793" i="1"/>
  <c r="BK2309" i="1"/>
  <c r="BK1932" i="1"/>
  <c r="BK1284" i="1"/>
  <c r="BK865" i="1"/>
  <c r="BK1161" i="1"/>
  <c r="BK1532" i="1"/>
  <c r="BK3" i="1"/>
  <c r="BK3075" i="1"/>
  <c r="BK876" i="1"/>
  <c r="BK8" i="1"/>
  <c r="BK517" i="1"/>
  <c r="BK959" i="1"/>
  <c r="BK1517" i="1"/>
  <c r="BK3077" i="1"/>
  <c r="BK1038" i="1"/>
  <c r="BK1316" i="1"/>
  <c r="BK1227" i="1"/>
  <c r="BK1260" i="1"/>
  <c r="BK978" i="1"/>
  <c r="BK149" i="1"/>
  <c r="BK2204" i="1"/>
  <c r="BK3078" i="1"/>
  <c r="BK3051" i="1"/>
  <c r="BK1418" i="1"/>
  <c r="BK777" i="1"/>
  <c r="BK3081" i="1"/>
  <c r="BK2007" i="1"/>
  <c r="BK3082" i="1"/>
  <c r="BK2258" i="1"/>
  <c r="BK2499" i="1"/>
  <c r="BK3083" i="1"/>
  <c r="BK505" i="1"/>
  <c r="BK1238" i="1"/>
  <c r="BK938" i="1"/>
  <c r="BK1798" i="1"/>
  <c r="BK996" i="1"/>
  <c r="BK921" i="1"/>
  <c r="BK1670" i="1"/>
  <c r="BK2052" i="1"/>
  <c r="BK2548" i="1"/>
  <c r="BK2164" i="1"/>
  <c r="BK639" i="1"/>
  <c r="BK1525" i="1"/>
  <c r="BK3085" i="1"/>
  <c r="BK4" i="1"/>
  <c r="BK1829" i="1"/>
  <c r="BK2391" i="1"/>
  <c r="BK1760" i="1"/>
  <c r="BK2744" i="1"/>
  <c r="BK2537" i="1"/>
  <c r="BK2558" i="1"/>
  <c r="BK2123" i="1"/>
  <c r="BK955" i="1"/>
  <c r="BK690" i="1"/>
  <c r="BK1318" i="1"/>
  <c r="BK2459" i="1"/>
  <c r="BK1201" i="1"/>
  <c r="BK3086" i="1"/>
  <c r="BK2158" i="1"/>
  <c r="BK953" i="1"/>
  <c r="BK1761" i="1"/>
  <c r="BK819" i="1"/>
  <c r="BK1265" i="1"/>
  <c r="BK2257" i="1"/>
  <c r="BK3087" i="1"/>
  <c r="BK1799" i="1"/>
  <c r="BK3088" i="1"/>
  <c r="BK625" i="1"/>
  <c r="BK989" i="1"/>
  <c r="BK1935" i="1"/>
  <c r="BK1575" i="1"/>
  <c r="BK290" i="1"/>
  <c r="BK2290" i="1"/>
  <c r="BK764" i="1"/>
  <c r="BK2131" i="1"/>
  <c r="BK1892" i="1"/>
  <c r="BK346" i="1"/>
  <c r="BK1120" i="1"/>
  <c r="BK898" i="1"/>
  <c r="BK863" i="1"/>
  <c r="BK2439" i="1"/>
  <c r="BK2037" i="1"/>
  <c r="BK581" i="1"/>
  <c r="BK983" i="1"/>
  <c r="BK830" i="1"/>
  <c r="BK2407" i="1"/>
  <c r="BK1696" i="1"/>
  <c r="BK3090" i="1"/>
  <c r="BK3091" i="1"/>
  <c r="BK1521" i="1"/>
  <c r="BK1234" i="1"/>
  <c r="BK2098" i="1"/>
  <c r="BK520" i="1"/>
  <c r="BK2376" i="1"/>
  <c r="BK2111" i="1"/>
  <c r="BK527" i="1"/>
  <c r="BK2295" i="1"/>
  <c r="BK704" i="1"/>
  <c r="BK2496" i="1"/>
  <c r="BK1955" i="1"/>
  <c r="BK3092" i="1"/>
  <c r="BK3096" i="1"/>
  <c r="BK877" i="1"/>
  <c r="BK3099" i="1"/>
  <c r="BK147" i="1"/>
  <c r="BK3100" i="1"/>
  <c r="BK902" i="1"/>
  <c r="BK3098" i="1"/>
  <c r="BK1725" i="1"/>
  <c r="BK1194" i="1"/>
  <c r="BK552" i="1"/>
  <c r="BK2369" i="1"/>
  <c r="BK2463" i="1"/>
  <c r="BK331" i="1"/>
  <c r="BK3101" i="1"/>
  <c r="BK3102" i="1"/>
  <c r="BK1254" i="1"/>
  <c r="BK875" i="1"/>
  <c r="BK654" i="1"/>
  <c r="BK1218" i="1"/>
  <c r="BK306" i="1"/>
  <c r="BK3103" i="1"/>
  <c r="BK2467" i="1"/>
  <c r="BK1085" i="1"/>
  <c r="BK507" i="1"/>
  <c r="BK783" i="1"/>
  <c r="BK528" i="1"/>
  <c r="BK3105" i="1"/>
  <c r="BK3106" i="1"/>
  <c r="BK1925" i="1"/>
  <c r="BK1057" i="1"/>
  <c r="BK960" i="1"/>
  <c r="BK3108" i="1"/>
  <c r="BK1895" i="1"/>
  <c r="BK3107" i="1"/>
  <c r="BK404" i="1"/>
  <c r="BK3109" i="1"/>
  <c r="BK822" i="1"/>
  <c r="BK1528" i="1"/>
  <c r="BK3110" i="1"/>
  <c r="BK3111" i="1"/>
  <c r="BK533" i="1"/>
  <c r="BK1567" i="1"/>
  <c r="BK129" i="1"/>
  <c r="BK970" i="1"/>
  <c r="BK3113" i="1"/>
  <c r="BK3114" i="1"/>
  <c r="BK3112" i="1"/>
  <c r="BK3115" i="1"/>
  <c r="BK892" i="1"/>
  <c r="BK327" i="1"/>
  <c r="BK300" i="1"/>
  <c r="BK445" i="1"/>
  <c r="BK1960" i="1"/>
  <c r="BK663" i="1"/>
  <c r="BK1630" i="1"/>
  <c r="BK1944" i="1"/>
  <c r="BK1547" i="1"/>
  <c r="BK3116" i="1"/>
  <c r="BK891" i="1"/>
  <c r="BK1996" i="1"/>
  <c r="BK636" i="1"/>
  <c r="BK1228" i="1"/>
  <c r="BK680" i="1"/>
  <c r="BK1886" i="1"/>
  <c r="BK2073" i="1"/>
  <c r="BK588" i="1"/>
  <c r="BK2308" i="1"/>
  <c r="BK769" i="1"/>
  <c r="BK935" i="1"/>
  <c r="BK2205" i="1"/>
  <c r="BK563" i="1"/>
  <c r="BK1733" i="1"/>
  <c r="BK3120" i="1"/>
  <c r="BK1078" i="1"/>
  <c r="BK666" i="1"/>
  <c r="BK1342" i="1"/>
  <c r="BK529" i="1"/>
  <c r="BK698" i="1"/>
  <c r="BK2355" i="1"/>
  <c r="BK3121" i="1"/>
  <c r="BK1366" i="1"/>
  <c r="BK1282" i="1"/>
  <c r="BK1206" i="1"/>
  <c r="BK3122" i="1"/>
  <c r="BK2276" i="1"/>
  <c r="BK1828" i="1"/>
  <c r="BK1499" i="1"/>
  <c r="BK2136" i="1"/>
  <c r="BK3124" i="1"/>
  <c r="BK3125" i="1"/>
  <c r="BK363" i="1"/>
  <c r="BK2364" i="1"/>
  <c r="BK420" i="1"/>
  <c r="BK1133" i="1"/>
  <c r="BK3126" i="1"/>
  <c r="BK1795" i="1"/>
  <c r="BK975" i="1"/>
  <c r="BK3127" i="1"/>
  <c r="BK2372" i="1"/>
  <c r="BK3128" i="1"/>
  <c r="BK548" i="1"/>
  <c r="BK1768" i="1"/>
  <c r="BK2404" i="1"/>
  <c r="BK1770" i="1"/>
  <c r="BK3129" i="1"/>
  <c r="BK3130" i="1"/>
  <c r="BK2088" i="1"/>
  <c r="BK561" i="1"/>
  <c r="BK2466" i="1"/>
  <c r="BK2332" i="1"/>
  <c r="BK2346" i="1"/>
  <c r="BK3132" i="1"/>
  <c r="BK2546" i="1"/>
  <c r="BK156" i="1"/>
  <c r="BK2241" i="1"/>
  <c r="BK2305" i="1"/>
  <c r="BK2458" i="1"/>
  <c r="BK2124" i="1"/>
  <c r="BK3133" i="1"/>
  <c r="BK3134" i="1"/>
  <c r="BK2495" i="1"/>
  <c r="BK1971" i="1"/>
  <c r="BK3136" i="1"/>
  <c r="BK3137" i="1"/>
  <c r="BK3135" i="1"/>
  <c r="BK1716" i="1"/>
  <c r="BK1812" i="1"/>
  <c r="BK827" i="1"/>
  <c r="BK2518" i="1"/>
  <c r="BK1995" i="1"/>
  <c r="BK195" i="1"/>
  <c r="BK1241" i="1"/>
  <c r="BK2118" i="1"/>
  <c r="BK1704" i="1"/>
  <c r="BK3139" i="1"/>
  <c r="BK198" i="1"/>
  <c r="BK3138" i="1"/>
  <c r="BK1275" i="1"/>
  <c r="BK1501" i="1"/>
  <c r="BK1046" i="1"/>
  <c r="BK510" i="1"/>
  <c r="BK524" i="1"/>
  <c r="BK1569" i="1"/>
  <c r="BK205" i="1"/>
  <c r="BK1644" i="1"/>
  <c r="BK1563" i="1"/>
  <c r="BK605" i="1"/>
  <c r="BK1457" i="1"/>
  <c r="BK1068" i="1"/>
  <c r="BK349" i="1"/>
  <c r="BK173" i="1"/>
  <c r="BK2256" i="1"/>
  <c r="BK1428" i="1"/>
  <c r="BK3143" i="1"/>
  <c r="BK1487" i="1"/>
  <c r="BK3144" i="1"/>
  <c r="BK513" i="1"/>
  <c r="BK1328" i="1"/>
  <c r="BK1633" i="1"/>
  <c r="BK1949" i="1"/>
  <c r="BK1875" i="1"/>
  <c r="BK3145" i="1"/>
  <c r="BK3146" i="1"/>
  <c r="BK2848" i="1"/>
  <c r="BK1270" i="1"/>
  <c r="BK1204" i="1"/>
  <c r="BK662" i="1"/>
  <c r="BK146" i="1"/>
  <c r="BK1278" i="1"/>
  <c r="BK1409" i="1"/>
  <c r="BK3147" i="1"/>
  <c r="BK1276" i="1"/>
  <c r="BK1762" i="1"/>
  <c r="BK1361" i="1"/>
  <c r="BK1015" i="1"/>
  <c r="BK1431" i="1"/>
  <c r="BK3148" i="1"/>
  <c r="BK124" i="1"/>
  <c r="BK1402" i="1"/>
  <c r="BK1419" i="1"/>
  <c r="BK649" i="1"/>
  <c r="BK504" i="1"/>
  <c r="BK2019" i="1"/>
  <c r="BK562" i="1"/>
  <c r="BK2041" i="1"/>
  <c r="BK641" i="1"/>
  <c r="BK3149" i="1"/>
  <c r="BK2628" i="1"/>
  <c r="BK459" i="1"/>
  <c r="BK1618" i="1"/>
  <c r="BK3150" i="1"/>
  <c r="BK2352" i="1"/>
  <c r="BK1752" i="1"/>
  <c r="BK1331" i="1"/>
  <c r="BK966" i="1"/>
  <c r="BK1595" i="1"/>
  <c r="BK2480" i="1"/>
  <c r="BK1460" i="1"/>
  <c r="BK3152" i="1"/>
  <c r="BK1295" i="1"/>
  <c r="BK3153" i="1"/>
  <c r="BK456" i="1"/>
  <c r="BK1794" i="1"/>
  <c r="BK3154" i="1"/>
  <c r="BK1914" i="1"/>
  <c r="BK3156" i="1"/>
  <c r="BK3157" i="1"/>
  <c r="BK1758" i="1"/>
  <c r="BK199" i="1"/>
  <c r="BK3158" i="1"/>
  <c r="BK810" i="1"/>
  <c r="BK423" i="1"/>
  <c r="BK3159" i="1"/>
  <c r="BK604" i="1"/>
  <c r="BK166" i="1"/>
  <c r="BK1287" i="1"/>
  <c r="BK1211" i="1"/>
  <c r="BK116" i="1"/>
  <c r="BK550" i="1"/>
  <c r="BK702" i="1"/>
  <c r="BK429" i="1"/>
  <c r="BK2188" i="1"/>
  <c r="BK928" i="1"/>
  <c r="BK3161" i="1"/>
  <c r="BK791" i="1"/>
  <c r="BK3162" i="1"/>
  <c r="BK1608" i="1"/>
  <c r="BK1905" i="1"/>
  <c r="BK2530" i="1"/>
  <c r="BK421" i="1"/>
  <c r="BK2438" i="1"/>
  <c r="BK1549" i="1"/>
  <c r="BK415" i="1"/>
  <c r="BK191" i="1"/>
  <c r="BK1433" i="1"/>
  <c r="BK2003" i="1"/>
  <c r="BK452" i="1"/>
  <c r="BK3163" i="1"/>
  <c r="BK2030" i="1"/>
  <c r="BK855" i="1"/>
  <c r="BK2504" i="1"/>
  <c r="BK3164" i="1"/>
  <c r="BK2154" i="1"/>
  <c r="BK165" i="1"/>
  <c r="BK430" i="1"/>
  <c r="BK506" i="1"/>
  <c r="BK1879" i="1"/>
  <c r="BK1819" i="1"/>
  <c r="BK1648" i="1"/>
  <c r="BK3165" i="1"/>
  <c r="BK1943" i="1"/>
  <c r="BK1748" i="1"/>
  <c r="BK1294" i="1"/>
  <c r="BK2419" i="1"/>
  <c r="BK3166" i="1"/>
  <c r="BK1017" i="1"/>
  <c r="BK974" i="1"/>
  <c r="BK3131" i="1"/>
  <c r="BK895" i="1"/>
  <c r="BK2381" i="1"/>
  <c r="BK3167" i="1"/>
  <c r="BK920" i="1"/>
  <c r="BK2103" i="1"/>
  <c r="BK1835" i="1"/>
  <c r="BK3168" i="1"/>
  <c r="BK1734" i="1"/>
  <c r="BK3169" i="1"/>
  <c r="BK1327" i="1"/>
  <c r="BK2636" i="1"/>
  <c r="BK2261" i="1"/>
  <c r="BK1169" i="1"/>
  <c r="BK1693" i="1"/>
  <c r="BK1341" i="1"/>
  <c r="BK3170" i="1"/>
  <c r="BK2065" i="1"/>
  <c r="BK2304" i="1"/>
  <c r="BK897" i="1"/>
  <c r="BK1391" i="1"/>
  <c r="BK1064" i="1"/>
  <c r="BK2090" i="1"/>
  <c r="BK1773" i="1"/>
  <c r="BK3171" i="1"/>
  <c r="BK3172" i="1"/>
  <c r="BK1145" i="1"/>
  <c r="BK2288" i="1"/>
  <c r="BK185" i="1"/>
  <c r="BK857" i="1"/>
  <c r="BK3097" i="1"/>
  <c r="BK3197" i="1"/>
  <c r="BK2433" i="1"/>
  <c r="BK492" i="1"/>
  <c r="BK1720" i="1"/>
  <c r="BK1150" i="1"/>
  <c r="BK880" i="1"/>
  <c r="BK3198" i="1"/>
  <c r="BK1951" i="1"/>
  <c r="BK760" i="1"/>
  <c r="BK738" i="1"/>
  <c r="BK3203" i="1"/>
  <c r="BK2315" i="1"/>
  <c r="BK1463" i="1"/>
  <c r="BK418" i="1"/>
  <c r="BK21" i="1"/>
  <c r="BK1439" i="1"/>
  <c r="BK303" i="1"/>
  <c r="BK2489" i="1"/>
  <c r="BK1686" i="1"/>
  <c r="BK3204" i="1"/>
  <c r="BK3205" i="1"/>
  <c r="BK335" i="1"/>
  <c r="BK1617" i="1"/>
  <c r="BK3206" i="1"/>
  <c r="BI108" i="1"/>
  <c r="BI1856" i="1"/>
  <c r="BI2423" i="1"/>
  <c r="BI2554" i="1"/>
  <c r="BI967" i="1"/>
  <c r="BI128" i="1"/>
  <c r="BI1918" i="1"/>
  <c r="BI2035" i="1"/>
  <c r="BI932" i="1"/>
  <c r="BI1404" i="1"/>
  <c r="BI2155" i="1"/>
  <c r="BI2557" i="1"/>
  <c r="BI2000" i="1"/>
  <c r="BI671" i="1"/>
  <c r="BI2559" i="1"/>
  <c r="BI491" i="1"/>
  <c r="BI695" i="1"/>
  <c r="BI1164" i="1"/>
  <c r="BI686" i="1"/>
  <c r="BI483" i="1"/>
  <c r="BI2402" i="1"/>
  <c r="BI2367" i="1"/>
  <c r="BI2442" i="1"/>
  <c r="BI378" i="1"/>
  <c r="BI2126" i="1"/>
  <c r="BI2543" i="1"/>
  <c r="BI312" i="1"/>
  <c r="BI2055" i="1"/>
  <c r="BI2333" i="1"/>
  <c r="BI2348" i="1"/>
  <c r="BI697" i="1"/>
  <c r="BI2353" i="1"/>
  <c r="BI1701" i="1"/>
  <c r="BI1148" i="1"/>
  <c r="BI1924" i="1"/>
  <c r="BI2388" i="1"/>
  <c r="BI2562" i="1"/>
  <c r="BI2563" i="1"/>
  <c r="BI1373" i="1"/>
  <c r="BI719" i="1"/>
  <c r="BI1045" i="1"/>
  <c r="BI1540" i="1"/>
  <c r="BI2564" i="1"/>
  <c r="BI2565" i="1"/>
  <c r="BI1102" i="1"/>
  <c r="BI163" i="1"/>
  <c r="BI2566" i="1"/>
  <c r="BI2567" i="1"/>
  <c r="BI1809" i="1"/>
  <c r="BI1689" i="1"/>
  <c r="BI2339" i="1"/>
  <c r="BI597" i="1"/>
  <c r="BI2526" i="1"/>
  <c r="BI2568" i="1"/>
  <c r="BI915" i="1"/>
  <c r="BI1738" i="1"/>
  <c r="BI1562" i="1"/>
  <c r="BI2570" i="1"/>
  <c r="BI502" i="1"/>
  <c r="BI1938" i="1"/>
  <c r="BI1871" i="1"/>
  <c r="BI497" i="1"/>
  <c r="BI2252" i="1"/>
  <c r="BI1614" i="1"/>
  <c r="BI615" i="1"/>
  <c r="BI1066" i="1"/>
  <c r="BI2018" i="1"/>
  <c r="BI2571" i="1"/>
  <c r="BI2572" i="1"/>
  <c r="BI1899" i="1"/>
  <c r="BI1155" i="1"/>
  <c r="BI741" i="1"/>
  <c r="BI1166" i="1"/>
  <c r="BI1627" i="1"/>
  <c r="BI2588" i="1"/>
  <c r="BI2072" i="1"/>
  <c r="BI1641" i="1"/>
  <c r="BI2589" i="1"/>
  <c r="BI843" i="1"/>
  <c r="BI1285" i="1"/>
  <c r="BI971" i="1"/>
  <c r="BI1952" i="1"/>
  <c r="BI2593" i="1"/>
  <c r="BI2595" i="1"/>
  <c r="BI1656" i="1"/>
  <c r="BI2457" i="1"/>
  <c r="BI1907" i="1"/>
  <c r="BI601" i="1"/>
  <c r="BI2596" i="1"/>
  <c r="BI1677" i="1"/>
  <c r="BI2343" i="1"/>
  <c r="BI931" i="1"/>
  <c r="BI1719" i="1"/>
  <c r="BI1132" i="1"/>
  <c r="BI1115" i="1"/>
  <c r="BI501" i="1"/>
  <c r="BI778" i="1"/>
  <c r="BI1576" i="1"/>
  <c r="BI1986" i="1"/>
  <c r="BI2382" i="1"/>
  <c r="BI1814" i="1"/>
  <c r="BI2431" i="1"/>
  <c r="BI1269" i="1"/>
  <c r="BI2601" i="1"/>
  <c r="BI2452" i="1"/>
  <c r="BI2140" i="1"/>
  <c r="BI831" i="1"/>
  <c r="BI1096" i="1"/>
  <c r="BI2600" i="1"/>
  <c r="BI1894" i="1"/>
  <c r="BI451" i="1"/>
  <c r="BI539" i="1"/>
  <c r="BI1229" i="1"/>
  <c r="BI755" i="1"/>
  <c r="BI847" i="1"/>
  <c r="BI1266" i="1"/>
  <c r="BI2605" i="1"/>
  <c r="BI399" i="1"/>
  <c r="BI1538" i="1"/>
  <c r="BI1405" i="1"/>
  <c r="BI2607" i="1"/>
  <c r="BI2086" i="1"/>
  <c r="BI800" i="1"/>
  <c r="BI1301" i="1"/>
  <c r="BI319" i="1"/>
  <c r="BI2609" i="1"/>
  <c r="BI2512" i="1"/>
  <c r="BI691" i="1"/>
  <c r="BI761" i="1"/>
  <c r="BI2610" i="1"/>
  <c r="BI2612" i="1"/>
  <c r="BI2611" i="1"/>
  <c r="BI2613" i="1"/>
  <c r="BI2615" i="1"/>
  <c r="BI537" i="1"/>
  <c r="BI2614" i="1"/>
  <c r="BI2174" i="1"/>
  <c r="BI2616" i="1"/>
  <c r="BI825" i="1"/>
  <c r="BI1151" i="1"/>
  <c r="BI2594" i="1"/>
  <c r="BI2383" i="1"/>
  <c r="BI1297" i="1"/>
  <c r="BI1090" i="1"/>
  <c r="BI939" i="1"/>
  <c r="BI2617" i="1"/>
  <c r="BI1987" i="1"/>
  <c r="BI1506" i="1"/>
  <c r="BI1665" i="1"/>
  <c r="BI2618" i="1"/>
  <c r="BI2116" i="1"/>
  <c r="BI2619" i="1"/>
  <c r="BI1258" i="1"/>
  <c r="BI1823" i="1"/>
  <c r="BI614" i="1"/>
  <c r="BI1362" i="1"/>
  <c r="BI284" i="1"/>
  <c r="BI2016" i="1"/>
  <c r="BI412" i="1"/>
  <c r="BI2259" i="1"/>
  <c r="BI1430" i="1"/>
  <c r="BI992" i="1"/>
  <c r="BI2727" i="1"/>
  <c r="BI1939" i="1"/>
  <c r="BI2326" i="1"/>
  <c r="BI2622" i="1"/>
  <c r="BI1020" i="1"/>
  <c r="BI2476" i="1"/>
  <c r="BI2255" i="1"/>
  <c r="BI1771" i="1"/>
  <c r="BI2624" i="1"/>
  <c r="BI1822" i="1"/>
  <c r="BI427" i="1"/>
  <c r="BI1397" i="1"/>
  <c r="BI2200" i="1"/>
  <c r="BI2625" i="1"/>
  <c r="BI2626" i="1"/>
  <c r="BI2063" i="1"/>
  <c r="BI1578" i="1"/>
  <c r="BI493" i="1"/>
  <c r="BI354" i="1"/>
  <c r="BI338" i="1"/>
  <c r="BI1392" i="1"/>
  <c r="BI543" i="1"/>
  <c r="BI2450" i="1"/>
  <c r="BI291" i="1"/>
  <c r="BI341" i="1"/>
  <c r="BI5" i="1"/>
  <c r="BI1522" i="1"/>
  <c r="BI177" i="1"/>
  <c r="BI972" i="1"/>
  <c r="BI1778" i="1"/>
  <c r="BI846" i="1"/>
  <c r="BI1105" i="1"/>
  <c r="BI1453" i="1"/>
  <c r="BI2630" i="1"/>
  <c r="BI2440" i="1"/>
  <c r="BI2631" i="1"/>
  <c r="BI322" i="1"/>
  <c r="BI1466" i="1"/>
  <c r="BI1979" i="1"/>
  <c r="BI197" i="1"/>
  <c r="BI2182" i="1"/>
  <c r="BI2465" i="1"/>
  <c r="BI2211" i="1"/>
  <c r="BI1478" i="1"/>
  <c r="BI2632" i="1"/>
  <c r="BI775" i="1"/>
  <c r="BI2634" i="1"/>
  <c r="BI1100" i="1"/>
  <c r="BI2635" i="1"/>
  <c r="BI1546" i="1"/>
  <c r="BI1398" i="1"/>
  <c r="BI926" i="1"/>
  <c r="BI1410" i="1"/>
  <c r="BI1158" i="1"/>
  <c r="BI1233" i="1"/>
  <c r="BI1448" i="1"/>
  <c r="BI311" i="1"/>
  <c r="BI2005" i="1"/>
  <c r="BI2031" i="1"/>
  <c r="BI2299" i="1"/>
  <c r="BI1861" i="1"/>
  <c r="BI1936" i="1"/>
  <c r="BI1470" i="1"/>
  <c r="BI899" i="1"/>
  <c r="BI547" i="1"/>
  <c r="BI2077" i="1"/>
  <c r="BI2128" i="1"/>
  <c r="BI2322" i="1"/>
  <c r="BI879" i="1"/>
  <c r="BI2639" i="1"/>
  <c r="BI1889" i="1"/>
  <c r="BI2641" i="1"/>
  <c r="BI1810" i="1"/>
  <c r="BI2552" i="1"/>
  <c r="BI2058" i="1"/>
  <c r="BI2420" i="1"/>
  <c r="BI1116" i="1"/>
  <c r="BI1345" i="1"/>
  <c r="BI1503" i="1"/>
  <c r="BI1389" i="1"/>
  <c r="BI2027" i="1"/>
  <c r="BI947" i="1"/>
  <c r="BI169" i="1"/>
  <c r="BI2642" i="1"/>
  <c r="BI1292" i="1"/>
  <c r="BI2215" i="1"/>
  <c r="BI2643" i="1"/>
  <c r="BI2644" i="1"/>
  <c r="BI569" i="1"/>
  <c r="BI1329" i="1"/>
  <c r="BI316" i="1"/>
  <c r="BI2561" i="1"/>
  <c r="BI799" i="1"/>
  <c r="BI2135" i="1"/>
  <c r="BI1606" i="1"/>
  <c r="BI2152" i="1"/>
  <c r="BI2646" i="1"/>
  <c r="BI2647" i="1"/>
  <c r="BI2226" i="1"/>
  <c r="BI2648" i="1"/>
  <c r="BI1634" i="1"/>
  <c r="BI2217" i="1"/>
  <c r="BI861" i="1"/>
  <c r="BI1249" i="1"/>
  <c r="BI1152" i="1"/>
  <c r="BI2649" i="1"/>
  <c r="BI315" i="1"/>
  <c r="BI1605" i="1"/>
  <c r="BI1635" i="1"/>
  <c r="BI540" i="1"/>
  <c r="BI590" i="1"/>
  <c r="BI730" i="1"/>
  <c r="BI718" i="1"/>
  <c r="BI612" i="1"/>
  <c r="BI904" i="1"/>
  <c r="BI2134" i="1"/>
  <c r="BI1805" i="1"/>
  <c r="BI2651" i="1"/>
  <c r="BI2652" i="1"/>
  <c r="BI1821" i="1"/>
  <c r="BI1324" i="1"/>
  <c r="BI1884" i="1"/>
  <c r="BI2656" i="1"/>
  <c r="BI2159" i="1"/>
  <c r="BI1286" i="1"/>
  <c r="BI2655" i="1"/>
  <c r="BI2658" i="1"/>
  <c r="BI2657" i="1"/>
  <c r="BI1385" i="1"/>
  <c r="BI1638" i="1"/>
  <c r="BI2659" i="1"/>
  <c r="BI2263" i="1"/>
  <c r="BI1553" i="1"/>
  <c r="BI1154" i="1"/>
  <c r="BI1492" i="1"/>
  <c r="BI2660" i="1"/>
  <c r="BI2661" i="1"/>
  <c r="BI2662" i="1"/>
  <c r="BI1253" i="1"/>
  <c r="BI347" i="1"/>
  <c r="BI2663" i="1"/>
  <c r="BI379" i="1"/>
  <c r="BI1475" i="1"/>
  <c r="BI9" i="1"/>
  <c r="BI2664" i="1"/>
  <c r="BI1764" i="1"/>
  <c r="BI1018" i="1"/>
  <c r="BI2665" i="1"/>
  <c r="BI1763" i="1"/>
  <c r="BI2667" i="1"/>
  <c r="BI2371" i="1"/>
  <c r="BI1749" i="1"/>
  <c r="BI6" i="1"/>
  <c r="BI337" i="1"/>
  <c r="BI746" i="1"/>
  <c r="BI2464" i="1"/>
  <c r="BI1792" i="1"/>
  <c r="BI1449" i="1"/>
  <c r="BI2669" i="1"/>
  <c r="BI1777" i="1"/>
  <c r="BI1958" i="1"/>
  <c r="BI1891" i="1"/>
  <c r="BI2287" i="1"/>
  <c r="BI151" i="1"/>
  <c r="BI2670" i="1"/>
  <c r="BI2671" i="1"/>
  <c r="BI1559" i="1"/>
  <c r="BI1060" i="1"/>
  <c r="BI1106" i="1"/>
  <c r="BI1671" i="1"/>
  <c r="BI328" i="1"/>
  <c r="BI713" i="1"/>
  <c r="BI803" i="1"/>
  <c r="BI1565" i="1"/>
  <c r="BI1930" i="1"/>
  <c r="BI1524" i="1"/>
  <c r="BI672" i="1"/>
  <c r="BI1335" i="1"/>
  <c r="BI1790" i="1"/>
  <c r="BI1970" i="1"/>
  <c r="BI1518" i="1"/>
  <c r="BI179" i="1"/>
  <c r="BI2672" i="1"/>
  <c r="BI1941" i="1"/>
  <c r="BI2673" i="1"/>
  <c r="BI2674" i="1"/>
  <c r="BI840" i="1"/>
  <c r="BI1144" i="1"/>
  <c r="BI2384" i="1"/>
  <c r="BI2144" i="1"/>
  <c r="BI1462" i="1"/>
  <c r="BI1208" i="1"/>
  <c r="BI2578" i="1"/>
  <c r="BI1526" i="1"/>
  <c r="BI2677" i="1"/>
  <c r="BI1489" i="1"/>
  <c r="BI1566" i="1"/>
  <c r="BI2380" i="1"/>
  <c r="BI883" i="1"/>
  <c r="BI1062" i="1"/>
  <c r="BI2680" i="1"/>
  <c r="BI817" i="1"/>
  <c r="BI679" i="1"/>
  <c r="BI1739" i="1"/>
  <c r="BI1364" i="1"/>
  <c r="BI1681" i="1"/>
  <c r="BI2679" i="1"/>
  <c r="BI1304" i="1"/>
  <c r="BI2681" i="1"/>
  <c r="BI2083" i="1"/>
  <c r="BI2545" i="1"/>
  <c r="BI722" i="1"/>
  <c r="BI2682" i="1"/>
  <c r="BI134" i="1"/>
  <c r="BI2169" i="1"/>
  <c r="BI2213" i="1"/>
  <c r="BI758" i="1"/>
  <c r="BI2683" i="1"/>
  <c r="BI541" i="1"/>
  <c r="BI1173" i="1"/>
  <c r="BI2684" i="1"/>
  <c r="BI2685" i="1"/>
  <c r="BI689" i="1"/>
  <c r="BI446" i="1"/>
  <c r="BI109" i="1"/>
  <c r="BI2687" i="1"/>
  <c r="BI1692" i="1"/>
  <c r="BI2692" i="1"/>
  <c r="BI2627" i="1"/>
  <c r="BI726" i="1"/>
  <c r="BI1390" i="1"/>
  <c r="BI356" i="1"/>
  <c r="BI1101" i="1"/>
  <c r="BI1369" i="1"/>
  <c r="BI1851" i="1"/>
  <c r="BI1232" i="1"/>
  <c r="BI1591" i="1"/>
  <c r="BI2693" i="1"/>
  <c r="BI678" i="1"/>
  <c r="BI2620" i="1"/>
  <c r="BI2267" i="1"/>
  <c r="BI602" i="1"/>
  <c r="BI2415" i="1"/>
  <c r="BI2696" i="1"/>
  <c r="BI816" i="1"/>
  <c r="BI426" i="1"/>
  <c r="BI2389" i="1"/>
  <c r="BI20" i="1"/>
  <c r="BI2697" i="1"/>
  <c r="BI1940" i="1"/>
  <c r="BI283" i="1"/>
  <c r="BI907" i="1"/>
  <c r="BI393" i="1"/>
  <c r="BI1214" i="1"/>
  <c r="BI110" i="1"/>
  <c r="BI2699" i="1"/>
  <c r="BI442" i="1"/>
  <c r="BI1753" i="1"/>
  <c r="BI1383" i="1"/>
  <c r="BI1461" i="1"/>
  <c r="BI797" i="1"/>
  <c r="BI19" i="1"/>
  <c r="BI1182" i="1"/>
  <c r="BI558" i="1"/>
  <c r="BI2043" i="1"/>
  <c r="BI1156" i="1"/>
  <c r="BI714" i="1"/>
  <c r="BI1676" i="1"/>
  <c r="BI2021" i="1"/>
  <c r="BI2700" i="1"/>
  <c r="BI424" i="1"/>
  <c r="BI2301" i="1"/>
  <c r="BI1050" i="1"/>
  <c r="BI2246" i="1"/>
  <c r="BI2691" i="1"/>
  <c r="BI2703" i="1"/>
  <c r="BI1053" i="1"/>
  <c r="BI1599" i="1"/>
  <c r="BI1027" i="1"/>
  <c r="BI2292" i="1"/>
  <c r="BI391" i="1"/>
  <c r="BI360" i="1"/>
  <c r="BI2227" i="1"/>
  <c r="BI1933" i="1"/>
  <c r="BI2704" i="1"/>
  <c r="BI2539" i="1"/>
  <c r="BI2432" i="1"/>
  <c r="BI2705" i="1"/>
  <c r="BI1750" i="1"/>
  <c r="BI2706" i="1"/>
  <c r="BI2707" i="1"/>
  <c r="BI1014" i="1"/>
  <c r="BI573" i="1"/>
  <c r="BI706" i="1"/>
  <c r="BI2709" i="1"/>
  <c r="BI143" i="1"/>
  <c r="BI2510" i="1"/>
  <c r="BI1387" i="1"/>
  <c r="BI1919" i="1"/>
  <c r="BI1684" i="1"/>
  <c r="BI1033" i="1"/>
  <c r="BI1455" i="1"/>
  <c r="BI1862" i="1"/>
  <c r="BI1338" i="1"/>
  <c r="BI2711" i="1"/>
  <c r="BI2712" i="1"/>
  <c r="BI559" i="1"/>
  <c r="BI310" i="1"/>
  <c r="BI2713" i="1"/>
  <c r="BI462" i="1"/>
  <c r="BI1103" i="1"/>
  <c r="BI1221" i="1"/>
  <c r="BI852" i="1"/>
  <c r="BI473" i="1"/>
  <c r="BI2093" i="1"/>
  <c r="BI2472" i="1"/>
  <c r="BI1680" i="1"/>
  <c r="BI2716" i="1"/>
  <c r="BI1076" i="1"/>
  <c r="BI330" i="1"/>
  <c r="BI908" i="1"/>
  <c r="BI508" i="1"/>
  <c r="BI1808" i="1"/>
  <c r="BI1523" i="1"/>
  <c r="BI2101" i="1"/>
  <c r="BI2717" i="1"/>
  <c r="BI2718" i="1"/>
  <c r="BI1356" i="1"/>
  <c r="BI2719" i="1"/>
  <c r="BI1978" i="1"/>
  <c r="BI1359" i="1"/>
  <c r="BI837" i="1"/>
  <c r="BI934" i="1"/>
  <c r="BI2720" i="1"/>
  <c r="BI780" i="1"/>
  <c r="BI1781" i="1"/>
  <c r="BI1607" i="1"/>
  <c r="BI2521" i="1"/>
  <c r="BI1071" i="1"/>
  <c r="BI549" i="1"/>
  <c r="BI454" i="1"/>
  <c r="BI1230" i="1"/>
  <c r="BI1651" i="1"/>
  <c r="BI104" i="1"/>
  <c r="BI2721" i="1"/>
  <c r="BI1092" i="1"/>
  <c r="BI389" i="1"/>
  <c r="BI1468" i="1"/>
  <c r="BI1588" i="1"/>
  <c r="BI1937" i="1"/>
  <c r="BI1742" i="1"/>
  <c r="BI2722" i="1"/>
  <c r="BI2336" i="1"/>
  <c r="BI2724" i="1"/>
  <c r="BI1311" i="1"/>
  <c r="BI193" i="1"/>
  <c r="BI2726" i="1"/>
  <c r="BI2167" i="1"/>
  <c r="BI707" i="1"/>
  <c r="BI1235" i="1"/>
  <c r="BI422" i="1"/>
  <c r="BI1531" i="1"/>
  <c r="BI968" i="1"/>
  <c r="BI2728" i="1"/>
  <c r="BI1923" i="1"/>
  <c r="BI164" i="1"/>
  <c r="BI2729" i="1"/>
  <c r="BI651" i="1"/>
  <c r="BI2234" i="1"/>
  <c r="BI122" i="1"/>
  <c r="BI302" i="1"/>
  <c r="BI924" i="1"/>
  <c r="BI1703" i="1"/>
  <c r="BI2531" i="1"/>
  <c r="BI2082" i="1"/>
  <c r="BI1997" i="1"/>
  <c r="BI1381" i="1"/>
  <c r="BI2366" i="1"/>
  <c r="BI350" i="1"/>
  <c r="BI1866" i="1"/>
  <c r="BI1539" i="1"/>
  <c r="BI1220" i="1"/>
  <c r="BI2225" i="1"/>
  <c r="BI1354" i="1"/>
  <c r="BI688" i="1"/>
  <c r="BI2160" i="1"/>
  <c r="BI531" i="1"/>
  <c r="BI2099" i="1"/>
  <c r="BI554" i="1"/>
  <c r="BI2732" i="1"/>
  <c r="BI1981" i="1"/>
  <c r="BI2033" i="1"/>
  <c r="BI2733" i="1"/>
  <c r="BI2723" i="1"/>
  <c r="BI1649" i="1"/>
  <c r="BI487" i="1"/>
  <c r="BI826" i="1"/>
  <c r="BI1073" i="1"/>
  <c r="BI1223" i="1"/>
  <c r="BI1785" i="1"/>
  <c r="BI1107" i="1"/>
  <c r="BI286" i="1"/>
  <c r="BI1724" i="1"/>
  <c r="BI1240" i="1"/>
  <c r="BI1141" i="1"/>
  <c r="BI2113" i="1"/>
  <c r="BI712" i="1"/>
  <c r="BI2735" i="1"/>
  <c r="BI2736" i="1"/>
  <c r="BI2737" i="1"/>
  <c r="BI132" i="1"/>
  <c r="BI2738" i="1"/>
  <c r="BI2730" i="1"/>
  <c r="BI2296" i="1"/>
  <c r="BI2067" i="1"/>
  <c r="BI790" i="1"/>
  <c r="BI1395" i="1"/>
  <c r="BI1289" i="1"/>
  <c r="BI1554" i="1"/>
  <c r="BI1087" i="1"/>
  <c r="BI2400" i="1"/>
  <c r="BI1039" i="1"/>
  <c r="BI140" i="1"/>
  <c r="BI884" i="1"/>
  <c r="BI2740" i="1"/>
  <c r="BI2741" i="1"/>
  <c r="BI1147" i="1"/>
  <c r="BI2599" i="1"/>
  <c r="BI768" i="1"/>
  <c r="BI2009" i="1"/>
  <c r="BI1126" i="1"/>
  <c r="BI285" i="1"/>
  <c r="BI2739" i="1"/>
  <c r="BI2106" i="1"/>
  <c r="BI859" i="1"/>
  <c r="BI2743" i="1"/>
  <c r="BI1065" i="1"/>
  <c r="BI334" i="1"/>
  <c r="BI1616" i="1"/>
  <c r="BI1097" i="1"/>
  <c r="BI2745" i="1"/>
  <c r="BI2746" i="1"/>
  <c r="BI160" i="1"/>
  <c r="BI468" i="1"/>
  <c r="BI634" i="1"/>
  <c r="BI795" i="1"/>
  <c r="BI380" i="1"/>
  <c r="BI1037" i="1"/>
  <c r="BI2245" i="1"/>
  <c r="BI2280" i="1"/>
  <c r="BI2356" i="1"/>
  <c r="BI2268" i="1"/>
  <c r="BI494" i="1"/>
  <c r="BI2148" i="1"/>
  <c r="BI2359" i="1"/>
  <c r="BI2337" i="1"/>
  <c r="BI1545" i="1"/>
  <c r="BI1368" i="1"/>
  <c r="BI2749" i="1"/>
  <c r="BI2312" i="1"/>
  <c r="BI618" i="1"/>
  <c r="BI1980" i="1"/>
  <c r="BI668" i="1"/>
  <c r="BI2750" i="1"/>
  <c r="BI2175" i="1"/>
  <c r="BI2751" i="1"/>
  <c r="BI1824" i="1"/>
  <c r="BI1942" i="1"/>
  <c r="BI2752" i="1"/>
  <c r="BI1279" i="1"/>
  <c r="BI2753" i="1"/>
  <c r="BI123" i="1"/>
  <c r="BI2399" i="1"/>
  <c r="BI1153" i="1"/>
  <c r="BI1436" i="1"/>
  <c r="BI2755" i="1"/>
  <c r="BI1184" i="1"/>
  <c r="BI2756" i="1"/>
  <c r="BI2424" i="1"/>
  <c r="BI836" i="1"/>
  <c r="BI2153" i="1"/>
  <c r="BI460" i="1"/>
  <c r="BI1058" i="1"/>
  <c r="BI1255" i="1"/>
  <c r="BI757" i="1"/>
  <c r="BI2577" i="1"/>
  <c r="BI2761" i="1"/>
  <c r="BI716" i="1"/>
  <c r="BI1074" i="1"/>
  <c r="BI1813" i="1"/>
  <c r="BI1348" i="1"/>
  <c r="BI1646" i="1"/>
  <c r="BI2813" i="1"/>
  <c r="BI922" i="1"/>
  <c r="BI2762" i="1"/>
  <c r="BI2763" i="1"/>
  <c r="BI2764" i="1"/>
  <c r="BI1831" i="1"/>
  <c r="BI2766" i="1"/>
  <c r="BI752" i="1"/>
  <c r="BI2759" i="1"/>
  <c r="BI2767" i="1"/>
  <c r="BI646" i="1"/>
  <c r="BI2418" i="1"/>
  <c r="BI2066" i="1"/>
  <c r="BI1178" i="1"/>
  <c r="BI1259" i="1"/>
  <c r="BI556" i="1"/>
  <c r="BI2962" i="1"/>
  <c r="BI1358" i="1"/>
  <c r="BI1640" i="1"/>
  <c r="BI192" i="1"/>
  <c r="BI1921" i="1"/>
  <c r="BI2117" i="1"/>
  <c r="BI2966" i="1"/>
  <c r="BI2967" i="1"/>
  <c r="BI2968" i="1"/>
  <c r="BI345" i="1"/>
  <c r="BI2701" i="1"/>
  <c r="BI1406" i="1"/>
  <c r="BI2203" i="1"/>
  <c r="BI2054" i="1"/>
  <c r="BI860" i="1"/>
  <c r="BI1188" i="1"/>
  <c r="BI916" i="1"/>
  <c r="BI609" i="1"/>
  <c r="BI1477" i="1"/>
  <c r="BI2970" i="1"/>
  <c r="BI2971" i="1"/>
  <c r="BI1299" i="1"/>
  <c r="BI1441" i="1"/>
  <c r="BI1904" i="1"/>
  <c r="BI1817" i="1"/>
  <c r="BI479" i="1"/>
  <c r="BI2527" i="1"/>
  <c r="BI1513" i="1"/>
  <c r="BI2972" i="1"/>
  <c r="BI889" i="1"/>
  <c r="BI1360" i="1"/>
  <c r="BI1867" i="1"/>
  <c r="BI1437" i="1"/>
  <c r="BI2089" i="1"/>
  <c r="BI809" i="1"/>
  <c r="BI1099" i="1"/>
  <c r="BI1715" i="1"/>
  <c r="BI2973" i="1"/>
  <c r="BI2694" i="1"/>
  <c r="BI2335" i="1"/>
  <c r="BI2974" i="1"/>
  <c r="BI1948" i="1"/>
  <c r="BI753" i="1"/>
  <c r="BI2040" i="1"/>
  <c r="BI2426" i="1"/>
  <c r="BI2976" i="1"/>
  <c r="BI2302" i="1"/>
  <c r="BI1082" i="1"/>
  <c r="BI1765" i="1"/>
  <c r="BI1956" i="1"/>
  <c r="BI2020" i="1"/>
  <c r="BI1786" i="1"/>
  <c r="BI2977" i="1"/>
  <c r="BI2166" i="1"/>
  <c r="BI1165" i="1"/>
  <c r="BI2978" i="1"/>
  <c r="BI1833" i="1"/>
  <c r="BI2523" i="1"/>
  <c r="BI2289" i="1"/>
  <c r="BI940" i="1"/>
  <c r="BI490" i="1"/>
  <c r="BI2979" i="1"/>
  <c r="BI1088" i="1"/>
  <c r="BI2980" i="1"/>
  <c r="BI2981" i="1"/>
  <c r="BI1063" i="1"/>
  <c r="BI623" i="1"/>
  <c r="BI794" i="1"/>
  <c r="BI138" i="1"/>
  <c r="BI1975" i="1"/>
  <c r="BI2122" i="1"/>
  <c r="BI2478" i="1"/>
  <c r="BI499" i="1"/>
  <c r="BI2946" i="1"/>
  <c r="BI2282" i="1"/>
  <c r="BI525" i="1"/>
  <c r="BI1250" i="1"/>
  <c r="BI878" i="1"/>
  <c r="BI3000" i="1"/>
  <c r="BI1089" i="1"/>
  <c r="BI2004" i="1"/>
  <c r="BI747" i="1"/>
  <c r="BI1420" i="1"/>
  <c r="BI1669" i="1"/>
  <c r="BI293" i="1"/>
  <c r="BI2633" i="1"/>
  <c r="BI2310" i="1"/>
  <c r="BI946" i="1"/>
  <c r="BI1550" i="1"/>
  <c r="BI2219" i="1"/>
  <c r="BI645" i="1"/>
  <c r="BI2483" i="1"/>
  <c r="BI3004" i="1"/>
  <c r="BI2143" i="1"/>
  <c r="BI3005" i="1"/>
  <c r="BI642" i="1"/>
  <c r="BI2032" i="1"/>
  <c r="BI798" i="1"/>
  <c r="BI2025" i="1"/>
  <c r="BI995" i="1"/>
  <c r="BI3006" i="1"/>
  <c r="BI3008" i="1"/>
  <c r="BI555" i="1"/>
  <c r="BI1690" i="1"/>
  <c r="BI1890" i="1"/>
  <c r="BI1091" i="1"/>
  <c r="BI1946" i="1"/>
  <c r="BI2984" i="1"/>
  <c r="BI1330" i="1"/>
  <c r="BI3009" i="1"/>
  <c r="BI532" i="1"/>
  <c r="BI1655" i="1"/>
  <c r="BI3010" i="1"/>
  <c r="BI3011" i="1"/>
  <c r="BI1746" i="1"/>
  <c r="BI2551" i="1"/>
  <c r="BI3012" i="1"/>
  <c r="BI317" i="1"/>
  <c r="BI1497" i="1"/>
  <c r="BI3013" i="1"/>
  <c r="BI2286" i="1"/>
  <c r="BI3014" i="1"/>
  <c r="BI2201" i="1"/>
  <c r="BI2014" i="1"/>
  <c r="BI733" i="1"/>
  <c r="BI1438" i="1"/>
  <c r="BI1712" i="1"/>
  <c r="BI2107" i="1"/>
  <c r="BI1004" i="1"/>
  <c r="BI298" i="1"/>
  <c r="BI465" i="1"/>
  <c r="BI1571" i="1"/>
  <c r="BI1130" i="1"/>
  <c r="BI2975" i="1"/>
  <c r="BI2244" i="1"/>
  <c r="BI1590" i="1"/>
  <c r="BI1718" i="1"/>
  <c r="BI1514" i="1"/>
  <c r="BI2491" i="1"/>
  <c r="BI2095" i="1"/>
  <c r="BI3016" i="1"/>
  <c r="BI881" i="1"/>
  <c r="BI2397" i="1"/>
  <c r="BI2105" i="1"/>
  <c r="BI1077" i="1"/>
  <c r="BI1196" i="1"/>
  <c r="BI2104" i="1"/>
  <c r="BI2275" i="1"/>
  <c r="BI900" i="1"/>
  <c r="BI909" i="1"/>
  <c r="BI850" i="1"/>
  <c r="BI1657" i="1"/>
  <c r="BI1825" i="1"/>
  <c r="BI3017" i="1"/>
  <c r="BI113" i="1"/>
  <c r="BI438" i="1"/>
  <c r="BI1735" i="1"/>
  <c r="BI1482" i="1"/>
  <c r="BI2396" i="1"/>
  <c r="BI385" i="1"/>
  <c r="BI2195" i="1"/>
  <c r="BI2180" i="1"/>
  <c r="BI333" i="1"/>
  <c r="BI1252" i="1"/>
  <c r="BI1909" i="1"/>
  <c r="BI329" i="1"/>
  <c r="BI870" i="1"/>
  <c r="BI2146" i="1"/>
  <c r="BI2087" i="1"/>
  <c r="BI2385" i="1"/>
  <c r="BI1666" i="1"/>
  <c r="BI1210" i="1"/>
  <c r="BI774" i="1"/>
  <c r="BI1929" i="1"/>
  <c r="BI176" i="1"/>
  <c r="BI890" i="1"/>
  <c r="BI1157" i="1"/>
  <c r="BI3020" i="1"/>
  <c r="BI3021" i="1"/>
  <c r="BI1650" i="1"/>
  <c r="BI2120" i="1"/>
  <c r="BI1212" i="1"/>
  <c r="BI1654" i="1"/>
  <c r="BI1507" i="1"/>
  <c r="BI2179" i="1"/>
  <c r="BI2223" i="1"/>
  <c r="BI1442" i="1"/>
  <c r="BI2177" i="1"/>
  <c r="BI1146" i="1"/>
  <c r="BI3023" i="1"/>
  <c r="BI2029" i="1"/>
  <c r="BI1003" i="1"/>
  <c r="BI3024" i="1"/>
  <c r="BI1386" i="1"/>
  <c r="BI729" i="1"/>
  <c r="BI3026" i="1"/>
  <c r="BI1469" i="1"/>
  <c r="BI282" i="1"/>
  <c r="BI1552" i="1"/>
  <c r="BI3027" i="1"/>
  <c r="BI159" i="1"/>
  <c r="BI509" i="1"/>
  <c r="BI1485" i="1"/>
  <c r="BI771" i="1"/>
  <c r="BI3029" i="1"/>
  <c r="BI2300" i="1"/>
  <c r="BI3030" i="1"/>
  <c r="BI998" i="1"/>
  <c r="BI815" i="1"/>
  <c r="BI1051" i="1"/>
  <c r="BI3032" i="1"/>
  <c r="BI3028" i="1"/>
  <c r="BI1052" i="1"/>
  <c r="BI2822" i="1"/>
  <c r="BI3033" i="1"/>
  <c r="BI3034" i="1"/>
  <c r="BI392" i="1"/>
  <c r="BI3035" i="1"/>
  <c r="BI2403" i="1"/>
  <c r="BI2603" i="1"/>
  <c r="BI3036" i="1"/>
  <c r="BI1779" i="1"/>
  <c r="BI1870" i="1"/>
  <c r="BI693" i="1"/>
  <c r="BI1486" i="1"/>
  <c r="BI1639" i="1"/>
  <c r="BI486" i="1"/>
  <c r="BI2469" i="1"/>
  <c r="BI994" i="1"/>
  <c r="BI1127" i="1"/>
  <c r="BI3038" i="1"/>
  <c r="BI1303" i="1"/>
  <c r="BI2471" i="1"/>
  <c r="BI1247" i="1"/>
  <c r="BI1990" i="1"/>
  <c r="BI2097" i="1"/>
  <c r="BI1445" i="1"/>
  <c r="BI470" i="1"/>
  <c r="BI3042" i="1"/>
  <c r="BI1108" i="1"/>
  <c r="BI3043" i="1"/>
  <c r="BI3044" i="1"/>
  <c r="BI1652" i="1"/>
  <c r="BI158" i="1"/>
  <c r="BI1717" i="1"/>
  <c r="BI3045" i="1"/>
  <c r="BI370" i="1"/>
  <c r="BI1026" i="1"/>
  <c r="BI2509" i="1"/>
  <c r="BI551" i="1"/>
  <c r="BI1912" i="1"/>
  <c r="BI466" i="1"/>
  <c r="BI3046" i="1"/>
  <c r="BI2390" i="1"/>
  <c r="BI3047" i="1"/>
  <c r="BI1197" i="1"/>
  <c r="BI1236" i="1"/>
  <c r="BI1159" i="1"/>
  <c r="BI1534" i="1"/>
  <c r="BI3049" i="1"/>
  <c r="BI1125" i="1"/>
  <c r="BI3050" i="1"/>
  <c r="BI1109" i="1"/>
  <c r="BI3052" i="1"/>
  <c r="BI643" i="1"/>
  <c r="BI2349" i="1"/>
  <c r="BI3053" i="1"/>
  <c r="BI157" i="1"/>
  <c r="BI1783" i="1"/>
  <c r="BI1509" i="1"/>
  <c r="BI728" i="1"/>
  <c r="BI1444" i="1"/>
  <c r="BI3054" i="1"/>
  <c r="BI2142" i="1"/>
  <c r="BI1579" i="1"/>
  <c r="BI2274" i="1"/>
  <c r="BI396" i="1"/>
  <c r="BI2351" i="1"/>
  <c r="BI538" i="1"/>
  <c r="BI2085" i="1"/>
  <c r="BI1803" i="1"/>
  <c r="BI3055" i="1"/>
  <c r="BI3056" i="1"/>
  <c r="BI394" i="1"/>
  <c r="BI3057" i="1"/>
  <c r="BI3058" i="1"/>
  <c r="BI3059" i="1"/>
  <c r="BI1740" i="1"/>
  <c r="BI1098" i="1"/>
  <c r="BI1170" i="1"/>
  <c r="BI1702" i="1"/>
  <c r="BI1516" i="1"/>
  <c r="BI1860" i="1"/>
  <c r="BI2242" i="1"/>
  <c r="BI2187" i="1"/>
  <c r="BI3060" i="1"/>
  <c r="BI834" i="1"/>
  <c r="BI906" i="1"/>
  <c r="BI1961" i="1"/>
  <c r="BI1584" i="1"/>
  <c r="BI1769" i="1"/>
  <c r="BI1928" i="1"/>
  <c r="BI1262" i="1"/>
  <c r="BI1900" i="1"/>
  <c r="BI1305" i="1"/>
  <c r="BI3062" i="1"/>
  <c r="BI3063" i="1"/>
  <c r="BI828" i="1"/>
  <c r="BI2560" i="1"/>
  <c r="BI1973" i="1"/>
  <c r="BI1288" i="1"/>
  <c r="BI1842" i="1"/>
  <c r="BI3064" i="1"/>
  <c r="BI805" i="1"/>
  <c r="BI3065" i="1"/>
  <c r="BI1440" i="1"/>
  <c r="BI3066" i="1"/>
  <c r="BI1172" i="1"/>
  <c r="BI2262" i="1"/>
  <c r="BI1743" i="1"/>
  <c r="BI2042" i="1"/>
  <c r="BI320" i="1"/>
  <c r="BI2216" i="1"/>
  <c r="BI3067" i="1"/>
  <c r="BI873" i="1"/>
  <c r="BI1075" i="1"/>
  <c r="BI3068" i="1"/>
  <c r="BI742" i="1"/>
  <c r="BI3069" i="1"/>
  <c r="BI3070" i="1"/>
  <c r="BI842" i="1"/>
  <c r="BI1274" i="1"/>
  <c r="BI987" i="1"/>
  <c r="BI1128" i="1"/>
  <c r="BI2059" i="1"/>
  <c r="BI1745" i="1"/>
  <c r="BI375" i="1"/>
  <c r="BI1776" i="1"/>
  <c r="BI2254" i="1"/>
  <c r="BI343" i="1"/>
  <c r="BI1137" i="1"/>
  <c r="BI3072" i="1"/>
  <c r="BI339" i="1"/>
  <c r="BI944" i="1"/>
  <c r="BI2324" i="1"/>
  <c r="BI3022" i="1"/>
  <c r="BI1645" i="1"/>
  <c r="BI854" i="1"/>
  <c r="BI721" i="1"/>
  <c r="BI616" i="1"/>
  <c r="BI864" i="1"/>
  <c r="BI1610" i="1"/>
  <c r="BI1600" i="1"/>
  <c r="BI2485" i="1"/>
  <c r="BI3073" i="1"/>
  <c r="BI1793" i="1"/>
  <c r="BI2309" i="1"/>
  <c r="BI1932" i="1"/>
  <c r="BI1284" i="1"/>
  <c r="BI865" i="1"/>
  <c r="BI1161" i="1"/>
  <c r="BI1532" i="1"/>
  <c r="BI3" i="1"/>
  <c r="BI3075" i="1"/>
  <c r="BI876" i="1"/>
  <c r="BI8" i="1"/>
  <c r="BI517" i="1"/>
  <c r="BI959" i="1"/>
  <c r="BI1517" i="1"/>
  <c r="BI3077" i="1"/>
  <c r="BI1038" i="1"/>
  <c r="BI1316" i="1"/>
  <c r="BI1227" i="1"/>
  <c r="BI1260" i="1"/>
  <c r="BI978" i="1"/>
  <c r="BI149" i="1"/>
  <c r="BI2204" i="1"/>
  <c r="BI3078" i="1"/>
  <c r="BI3051" i="1"/>
  <c r="BI1418" i="1"/>
  <c r="BI777" i="1"/>
  <c r="BI3081" i="1"/>
  <c r="BI2007" i="1"/>
  <c r="BI3082" i="1"/>
  <c r="BI2258" i="1"/>
  <c r="BI2499" i="1"/>
  <c r="BI3083" i="1"/>
  <c r="BI505" i="1"/>
  <c r="BI1238" i="1"/>
  <c r="BI938" i="1"/>
  <c r="BI1798" i="1"/>
  <c r="BI996" i="1"/>
  <c r="BI921" i="1"/>
  <c r="BI1670" i="1"/>
  <c r="BI2052" i="1"/>
  <c r="BI2548" i="1"/>
  <c r="BI2164" i="1"/>
  <c r="BI639" i="1"/>
  <c r="BI1525" i="1"/>
  <c r="BI3085" i="1"/>
  <c r="BI4" i="1"/>
  <c r="BI1829" i="1"/>
  <c r="BI2391" i="1"/>
  <c r="BI1760" i="1"/>
  <c r="BI2744" i="1"/>
  <c r="BI2537" i="1"/>
  <c r="BI2558" i="1"/>
  <c r="BI2123" i="1"/>
  <c r="BI955" i="1"/>
  <c r="BI690" i="1"/>
  <c r="BI1318" i="1"/>
  <c r="BI2459" i="1"/>
  <c r="BI1201" i="1"/>
  <c r="BI3086" i="1"/>
  <c r="BI2158" i="1"/>
  <c r="BI953" i="1"/>
  <c r="BI1761" i="1"/>
  <c r="BI819" i="1"/>
  <c r="BI1265" i="1"/>
  <c r="BI2257" i="1"/>
  <c r="BI3087" i="1"/>
  <c r="BI1799" i="1"/>
  <c r="BI3088" i="1"/>
  <c r="BI625" i="1"/>
  <c r="BI989" i="1"/>
  <c r="BI1935" i="1"/>
  <c r="BI1575" i="1"/>
  <c r="BI290" i="1"/>
  <c r="BI2290" i="1"/>
  <c r="BI764" i="1"/>
  <c r="BI2131" i="1"/>
  <c r="BI1892" i="1"/>
  <c r="BI346" i="1"/>
  <c r="BI1370" i="1"/>
  <c r="BI1120" i="1"/>
  <c r="BI898" i="1"/>
  <c r="BI863" i="1"/>
  <c r="BI2439" i="1"/>
  <c r="BI2037" i="1"/>
  <c r="BI581" i="1"/>
  <c r="BI983" i="1"/>
  <c r="BI830" i="1"/>
  <c r="BI2407" i="1"/>
  <c r="BI1696" i="1"/>
  <c r="BI3090" i="1"/>
  <c r="BI3091" i="1"/>
  <c r="BI1521" i="1"/>
  <c r="BI1234" i="1"/>
  <c r="BI2098" i="1"/>
  <c r="BI520" i="1"/>
  <c r="BI2376" i="1"/>
  <c r="BI2111" i="1"/>
  <c r="BI527" i="1"/>
  <c r="BI2295" i="1"/>
  <c r="BI704" i="1"/>
  <c r="BI2496" i="1"/>
  <c r="BI1955" i="1"/>
  <c r="BI3092" i="1"/>
  <c r="BI3096" i="1"/>
  <c r="BI877" i="1"/>
  <c r="BI3099" i="1"/>
  <c r="BI147" i="1"/>
  <c r="BI3100" i="1"/>
  <c r="BI902" i="1"/>
  <c r="BI3098" i="1"/>
  <c r="BI1725" i="1"/>
  <c r="BI1194" i="1"/>
  <c r="BI552" i="1"/>
  <c r="BI2369" i="1"/>
  <c r="BI2463" i="1"/>
  <c r="BI331" i="1"/>
  <c r="BI3101" i="1"/>
  <c r="BI3102" i="1"/>
  <c r="BI1254" i="1"/>
  <c r="BI875" i="1"/>
  <c r="BI654" i="1"/>
  <c r="BI1218" i="1"/>
  <c r="BI306" i="1"/>
  <c r="BI3103" i="1"/>
  <c r="BI2467" i="1"/>
  <c r="BI1085" i="1"/>
  <c r="BI507" i="1"/>
  <c r="BI783" i="1"/>
  <c r="BI528" i="1"/>
  <c r="BI3105" i="1"/>
  <c r="BI3106" i="1"/>
  <c r="BI1925" i="1"/>
  <c r="BI1057" i="1"/>
  <c r="BI960" i="1"/>
  <c r="BI3108" i="1"/>
  <c r="BI1895" i="1"/>
  <c r="BI3107" i="1"/>
  <c r="BI404" i="1"/>
  <c r="BI3109" i="1"/>
  <c r="BI822" i="1"/>
  <c r="BI1528" i="1"/>
  <c r="BI3110" i="1"/>
  <c r="BI3111" i="1"/>
  <c r="BI533" i="1"/>
  <c r="BI1567" i="1"/>
  <c r="BI129" i="1"/>
  <c r="BI970" i="1"/>
  <c r="BI3113" i="1"/>
  <c r="BI3114" i="1"/>
  <c r="BI3112" i="1"/>
  <c r="BI3115" i="1"/>
  <c r="BI892" i="1"/>
  <c r="BI327" i="1"/>
  <c r="BI300" i="1"/>
  <c r="BI445" i="1"/>
  <c r="BI1960" i="1"/>
  <c r="BI663" i="1"/>
  <c r="BI1630" i="1"/>
  <c r="BI1944" i="1"/>
  <c r="BI1547" i="1"/>
  <c r="BI3116" i="1"/>
  <c r="BI891" i="1"/>
  <c r="BI1996" i="1"/>
  <c r="BI636" i="1"/>
  <c r="BI1228" i="1"/>
  <c r="BI680" i="1"/>
  <c r="BI1886" i="1"/>
  <c r="BI2073" i="1"/>
  <c r="BI588" i="1"/>
  <c r="BI2308" i="1"/>
  <c r="BI769" i="1"/>
  <c r="BI935" i="1"/>
  <c r="BI2205" i="1"/>
  <c r="BI563" i="1"/>
  <c r="BI1733" i="1"/>
  <c r="BI3120" i="1"/>
  <c r="BI1078" i="1"/>
  <c r="BI666" i="1"/>
  <c r="BI1342" i="1"/>
  <c r="BI529" i="1"/>
  <c r="BI698" i="1"/>
  <c r="BI2355" i="1"/>
  <c r="BI3121" i="1"/>
  <c r="BI1366" i="1"/>
  <c r="BI1282" i="1"/>
  <c r="BI1206" i="1"/>
  <c r="BI3122" i="1"/>
  <c r="BI2276" i="1"/>
  <c r="BI1828" i="1"/>
  <c r="BI1499" i="1"/>
  <c r="BI2136" i="1"/>
  <c r="BI3124" i="1"/>
  <c r="BI3125" i="1"/>
  <c r="BI363" i="1"/>
  <c r="BI2364" i="1"/>
  <c r="BI420" i="1"/>
  <c r="BI1133" i="1"/>
  <c r="BI3126" i="1"/>
  <c r="BI1795" i="1"/>
  <c r="BI975" i="1"/>
  <c r="BI3127" i="1"/>
  <c r="BI2372" i="1"/>
  <c r="BI3128" i="1"/>
  <c r="BI548" i="1"/>
  <c r="BI1768" i="1"/>
  <c r="BI2404" i="1"/>
  <c r="BI1770" i="1"/>
  <c r="BI3129" i="1"/>
  <c r="BI3130" i="1"/>
  <c r="BI2088" i="1"/>
  <c r="BI561" i="1"/>
  <c r="BI2466" i="1"/>
  <c r="BI2332" i="1"/>
  <c r="BI2346" i="1"/>
  <c r="BI3132" i="1"/>
  <c r="BI2546" i="1"/>
  <c r="BI156" i="1"/>
  <c r="BI2241" i="1"/>
  <c r="BI2305" i="1"/>
  <c r="BI2458" i="1"/>
  <c r="BI2124" i="1"/>
  <c r="BI3133" i="1"/>
  <c r="BI3134" i="1"/>
  <c r="BI2495" i="1"/>
  <c r="BI1971" i="1"/>
  <c r="BI3136" i="1"/>
  <c r="BI3137" i="1"/>
  <c r="BI3135" i="1"/>
  <c r="BI1716" i="1"/>
  <c r="BI1812" i="1"/>
  <c r="BI827" i="1"/>
  <c r="BI2518" i="1"/>
  <c r="BI1995" i="1"/>
  <c r="BI195" i="1"/>
  <c r="BI1241" i="1"/>
  <c r="BI2118" i="1"/>
  <c r="BI1704" i="1"/>
  <c r="BI3139" i="1"/>
  <c r="BI198" i="1"/>
  <c r="BI3138" i="1"/>
  <c r="BI1275" i="1"/>
  <c r="BI1501" i="1"/>
  <c r="BI1046" i="1"/>
  <c r="BI510" i="1"/>
  <c r="BI524" i="1"/>
  <c r="BI1569" i="1"/>
  <c r="BI205" i="1"/>
  <c r="BI1644" i="1"/>
  <c r="BI1563" i="1"/>
  <c r="BI605" i="1"/>
  <c r="BI1457" i="1"/>
  <c r="BI1068" i="1"/>
  <c r="BI349" i="1"/>
  <c r="BI173" i="1"/>
  <c r="BI2256" i="1"/>
  <c r="BI1428" i="1"/>
  <c r="BI3143" i="1"/>
  <c r="BI1487" i="1"/>
  <c r="BI3144" i="1"/>
  <c r="BI513" i="1"/>
  <c r="BI1328" i="1"/>
  <c r="BI1633" i="1"/>
  <c r="BI1949" i="1"/>
  <c r="BI1875" i="1"/>
  <c r="BI3145" i="1"/>
  <c r="BI3146" i="1"/>
  <c r="BI2848" i="1"/>
  <c r="BI1270" i="1"/>
  <c r="BI1204" i="1"/>
  <c r="BI662" i="1"/>
  <c r="BI146" i="1"/>
  <c r="BI1278" i="1"/>
  <c r="BI1409" i="1"/>
  <c r="BI3147" i="1"/>
  <c r="BI1276" i="1"/>
  <c r="BI1762" i="1"/>
  <c r="BI1361" i="1"/>
  <c r="BI1015" i="1"/>
  <c r="BI1431" i="1"/>
  <c r="BI3148" i="1"/>
  <c r="BI124" i="1"/>
  <c r="BI1402" i="1"/>
  <c r="BI1419" i="1"/>
  <c r="BI649" i="1"/>
  <c r="BI504" i="1"/>
  <c r="BI2019" i="1"/>
  <c r="BI562" i="1"/>
  <c r="BI2041" i="1"/>
  <c r="BI641" i="1"/>
  <c r="BI3149" i="1"/>
  <c r="BI2628" i="1"/>
  <c r="BI459" i="1"/>
  <c r="BI1618" i="1"/>
  <c r="BI3150" i="1"/>
  <c r="BI2352" i="1"/>
  <c r="BI1752" i="1"/>
  <c r="BI1331" i="1"/>
  <c r="BI966" i="1"/>
  <c r="BI1595" i="1"/>
  <c r="BI2480" i="1"/>
  <c r="BI1460" i="1"/>
  <c r="BI3152" i="1"/>
  <c r="BI1295" i="1"/>
  <c r="BI3153" i="1"/>
  <c r="BI456" i="1"/>
  <c r="BI1794" i="1"/>
  <c r="BI3154" i="1"/>
  <c r="BI1914" i="1"/>
  <c r="BI3156" i="1"/>
  <c r="BI3157" i="1"/>
  <c r="BI1758" i="1"/>
  <c r="BI199" i="1"/>
  <c r="BI3158" i="1"/>
  <c r="BI810" i="1"/>
  <c r="BI423" i="1"/>
  <c r="BI3159" i="1"/>
  <c r="BI604" i="1"/>
  <c r="BI166" i="1"/>
  <c r="BI1287" i="1"/>
  <c r="BI1211" i="1"/>
  <c r="BI116" i="1"/>
  <c r="BI550" i="1"/>
  <c r="BI702" i="1"/>
  <c r="BI429" i="1"/>
  <c r="BI2188" i="1"/>
  <c r="BI928" i="1"/>
  <c r="BI3161" i="1"/>
  <c r="BI791" i="1"/>
  <c r="BI3162" i="1"/>
  <c r="BI1608" i="1"/>
  <c r="BI1905" i="1"/>
  <c r="BI2530" i="1"/>
  <c r="BI421" i="1"/>
  <c r="BI2438" i="1"/>
  <c r="BI1549" i="1"/>
  <c r="BI415" i="1"/>
  <c r="BI191" i="1"/>
  <c r="BI1433" i="1"/>
  <c r="BI2003" i="1"/>
  <c r="BI452" i="1"/>
  <c r="BI3163" i="1"/>
  <c r="BI2030" i="1"/>
  <c r="BI855" i="1"/>
  <c r="BI2504" i="1"/>
  <c r="BI3164" i="1"/>
  <c r="BI2154" i="1"/>
  <c r="BI165" i="1"/>
  <c r="BI430" i="1"/>
  <c r="BI506" i="1"/>
  <c r="BI1879" i="1"/>
  <c r="BI1819" i="1"/>
  <c r="BI1648" i="1"/>
  <c r="BI3165" i="1"/>
  <c r="BI1943" i="1"/>
  <c r="BI1748" i="1"/>
  <c r="BI1294" i="1"/>
  <c r="BI2419" i="1"/>
  <c r="BI3166" i="1"/>
  <c r="BI1017" i="1"/>
  <c r="BI974" i="1"/>
  <c r="BI3131" i="1"/>
  <c r="BI895" i="1"/>
  <c r="BI2381" i="1"/>
  <c r="BI3167" i="1"/>
  <c r="BI920" i="1"/>
  <c r="BI2103" i="1"/>
  <c r="BI1835" i="1"/>
  <c r="BI3168" i="1"/>
  <c r="BI1734" i="1"/>
  <c r="BI3169" i="1"/>
  <c r="BI1327" i="1"/>
  <c r="BI2636" i="1"/>
  <c r="BI2261" i="1"/>
  <c r="BI1169" i="1"/>
  <c r="BI1693" i="1"/>
  <c r="BI1341" i="1"/>
  <c r="BI3170" i="1"/>
  <c r="BI2065" i="1"/>
  <c r="BI2304" i="1"/>
  <c r="BI897" i="1"/>
  <c r="BI1391" i="1"/>
  <c r="BI1064" i="1"/>
  <c r="BI2090" i="1"/>
  <c r="BI1773" i="1"/>
  <c r="BI3171" i="1"/>
  <c r="BI3172" i="1"/>
  <c r="BI1145" i="1"/>
  <c r="BI2288" i="1"/>
  <c r="BI185" i="1"/>
  <c r="BI857" i="1"/>
  <c r="BI3097" i="1"/>
  <c r="BI3197" i="1"/>
  <c r="BI2433" i="1"/>
  <c r="BI492" i="1"/>
  <c r="BI1720" i="1"/>
  <c r="BI1150" i="1"/>
  <c r="BI880" i="1"/>
  <c r="BI3198" i="1"/>
  <c r="BI1951" i="1"/>
  <c r="BI760" i="1"/>
  <c r="BI738" i="1"/>
  <c r="BI3203" i="1"/>
  <c r="BI2315" i="1"/>
  <c r="BI1463" i="1"/>
  <c r="BI418" i="1"/>
  <c r="BI21" i="1"/>
  <c r="BI1439" i="1"/>
  <c r="BI303" i="1"/>
  <c r="BI2489" i="1"/>
  <c r="BI1686" i="1"/>
  <c r="BI3204" i="1"/>
  <c r="BI3205" i="1"/>
  <c r="BI335" i="1"/>
  <c r="BI1617" i="1"/>
  <c r="BI3206" i="1"/>
  <c r="R108" i="1"/>
  <c r="R1856" i="1"/>
  <c r="BU1856" i="1" s="1"/>
  <c r="BW1856" i="1" s="1"/>
  <c r="R2423" i="1"/>
  <c r="R2554" i="1"/>
  <c r="R967" i="1"/>
  <c r="R128" i="1"/>
  <c r="R1918" i="1"/>
  <c r="R2035" i="1"/>
  <c r="R932" i="1"/>
  <c r="R1404" i="1"/>
  <c r="R2155" i="1"/>
  <c r="R2557" i="1"/>
  <c r="R2000" i="1"/>
  <c r="R671" i="1"/>
  <c r="R2559" i="1"/>
  <c r="R491" i="1"/>
  <c r="R695" i="1"/>
  <c r="R1164" i="1"/>
  <c r="R686" i="1"/>
  <c r="R483" i="1"/>
  <c r="R2402" i="1"/>
  <c r="R2367" i="1"/>
  <c r="R2442" i="1"/>
  <c r="R378" i="1"/>
  <c r="R2126" i="1"/>
  <c r="R2543" i="1"/>
  <c r="R312" i="1"/>
  <c r="R2055" i="1"/>
  <c r="R2333" i="1"/>
  <c r="R2348" i="1"/>
  <c r="R697" i="1"/>
  <c r="R2353" i="1"/>
  <c r="R1701" i="1"/>
  <c r="R1148" i="1"/>
  <c r="R1924" i="1"/>
  <c r="R2388" i="1"/>
  <c r="BU2388" i="1" s="1"/>
  <c r="BW2388" i="1" s="1"/>
  <c r="R2562" i="1"/>
  <c r="R2563" i="1"/>
  <c r="R1373" i="1"/>
  <c r="R719" i="1"/>
  <c r="R1045" i="1"/>
  <c r="R1540" i="1"/>
  <c r="R2564" i="1"/>
  <c r="R2565" i="1"/>
  <c r="R1102" i="1"/>
  <c r="R163" i="1"/>
  <c r="R2566" i="1"/>
  <c r="R2567" i="1"/>
  <c r="R1809" i="1"/>
  <c r="R1689" i="1"/>
  <c r="R2339" i="1"/>
  <c r="R597" i="1"/>
  <c r="R2526" i="1"/>
  <c r="R2568" i="1"/>
  <c r="R915" i="1"/>
  <c r="R1738" i="1"/>
  <c r="R1562" i="1"/>
  <c r="R2570" i="1"/>
  <c r="R502" i="1"/>
  <c r="R1938" i="1"/>
  <c r="R1871" i="1"/>
  <c r="R497" i="1"/>
  <c r="R2252" i="1"/>
  <c r="BU2252" i="1" s="1"/>
  <c r="BW2252" i="1" s="1"/>
  <c r="R1614" i="1"/>
  <c r="R615" i="1"/>
  <c r="R1066" i="1"/>
  <c r="R2018" i="1"/>
  <c r="R2571" i="1"/>
  <c r="R2572" i="1"/>
  <c r="R1899" i="1"/>
  <c r="R1155" i="1"/>
  <c r="R741" i="1"/>
  <c r="R1166" i="1"/>
  <c r="R1627" i="1"/>
  <c r="R2588" i="1"/>
  <c r="R2072" i="1"/>
  <c r="R1641" i="1"/>
  <c r="R2589" i="1"/>
  <c r="R843" i="1"/>
  <c r="R1285" i="1"/>
  <c r="BU1285" i="1" s="1"/>
  <c r="BW1285" i="1" s="1"/>
  <c r="R971" i="1"/>
  <c r="R1952" i="1"/>
  <c r="R2593" i="1"/>
  <c r="R2595" i="1"/>
  <c r="R1656" i="1"/>
  <c r="R2457" i="1"/>
  <c r="R1907" i="1"/>
  <c r="R601" i="1"/>
  <c r="R2596" i="1"/>
  <c r="R1677" i="1"/>
  <c r="R2343" i="1"/>
  <c r="R931" i="1"/>
  <c r="R1719" i="1"/>
  <c r="R1132" i="1"/>
  <c r="R1115" i="1"/>
  <c r="R501" i="1"/>
  <c r="R778" i="1"/>
  <c r="R1576" i="1"/>
  <c r="R1986" i="1"/>
  <c r="R2382" i="1"/>
  <c r="R1814" i="1"/>
  <c r="R2431" i="1"/>
  <c r="R1269" i="1"/>
  <c r="R2601" i="1"/>
  <c r="R2452" i="1"/>
  <c r="R2140" i="1"/>
  <c r="R831" i="1"/>
  <c r="R1096" i="1"/>
  <c r="R2600" i="1"/>
  <c r="R1894" i="1"/>
  <c r="R451" i="1"/>
  <c r="R539" i="1"/>
  <c r="R1229" i="1"/>
  <c r="R755" i="1"/>
  <c r="R847" i="1"/>
  <c r="R1266" i="1"/>
  <c r="R2605" i="1"/>
  <c r="R399" i="1"/>
  <c r="R1538" i="1"/>
  <c r="R1405" i="1"/>
  <c r="R2607" i="1"/>
  <c r="R2086" i="1"/>
  <c r="R800" i="1"/>
  <c r="R1301" i="1"/>
  <c r="R319" i="1"/>
  <c r="R2609" i="1"/>
  <c r="R2512" i="1"/>
  <c r="R691" i="1"/>
  <c r="R761" i="1"/>
  <c r="R2610" i="1"/>
  <c r="R2612" i="1"/>
  <c r="R2611" i="1"/>
  <c r="R2613" i="1"/>
  <c r="R2615" i="1"/>
  <c r="R537" i="1"/>
  <c r="R2614" i="1"/>
  <c r="R2174" i="1"/>
  <c r="R2616" i="1"/>
  <c r="R825" i="1"/>
  <c r="R1151" i="1"/>
  <c r="R2594" i="1"/>
  <c r="R2383" i="1"/>
  <c r="R1297" i="1"/>
  <c r="R1090" i="1"/>
  <c r="R939" i="1"/>
  <c r="R2617" i="1"/>
  <c r="R1987" i="1"/>
  <c r="R1506" i="1"/>
  <c r="R1665" i="1"/>
  <c r="R2618" i="1"/>
  <c r="R2116" i="1"/>
  <c r="R2619" i="1"/>
  <c r="R1258" i="1"/>
  <c r="R1823" i="1"/>
  <c r="R614" i="1"/>
  <c r="R1362" i="1"/>
  <c r="R284" i="1"/>
  <c r="R2016" i="1"/>
  <c r="R412" i="1"/>
  <c r="R2259" i="1"/>
  <c r="R1430" i="1"/>
  <c r="R992" i="1"/>
  <c r="R2727" i="1"/>
  <c r="R1939" i="1"/>
  <c r="R2326" i="1"/>
  <c r="R2622" i="1"/>
  <c r="R1020" i="1"/>
  <c r="R2476" i="1"/>
  <c r="R2255" i="1"/>
  <c r="R1771" i="1"/>
  <c r="R2624" i="1"/>
  <c r="R1822" i="1"/>
  <c r="R427" i="1"/>
  <c r="R1397" i="1"/>
  <c r="R2200" i="1"/>
  <c r="R2625" i="1"/>
  <c r="R2626" i="1"/>
  <c r="R2063" i="1"/>
  <c r="R1578" i="1"/>
  <c r="R493" i="1"/>
  <c r="R354" i="1"/>
  <c r="R338" i="1"/>
  <c r="R1392" i="1"/>
  <c r="R543" i="1"/>
  <c r="R2450" i="1"/>
  <c r="R291" i="1"/>
  <c r="R341" i="1"/>
  <c r="R5" i="1"/>
  <c r="R1522" i="1"/>
  <c r="R177" i="1"/>
  <c r="R972" i="1"/>
  <c r="R1778" i="1"/>
  <c r="R846" i="1"/>
  <c r="R1105" i="1"/>
  <c r="R1453" i="1"/>
  <c r="R2630" i="1"/>
  <c r="R2440" i="1"/>
  <c r="R2631" i="1"/>
  <c r="R322" i="1"/>
  <c r="R1466" i="1"/>
  <c r="R1979" i="1"/>
  <c r="R197" i="1"/>
  <c r="R2182" i="1"/>
  <c r="R2465" i="1"/>
  <c r="R2211" i="1"/>
  <c r="R1478" i="1"/>
  <c r="R2632" i="1"/>
  <c r="R775" i="1"/>
  <c r="R2634" i="1"/>
  <c r="R1100" i="1"/>
  <c r="R2635" i="1"/>
  <c r="R1546" i="1"/>
  <c r="R1398" i="1"/>
  <c r="R926" i="1"/>
  <c r="R1410" i="1"/>
  <c r="R1158" i="1"/>
  <c r="R1233" i="1"/>
  <c r="R1448" i="1"/>
  <c r="R311" i="1"/>
  <c r="R2005" i="1"/>
  <c r="R2031" i="1"/>
  <c r="R2299" i="1"/>
  <c r="R1861" i="1"/>
  <c r="R1936" i="1"/>
  <c r="R1470" i="1"/>
  <c r="R899" i="1"/>
  <c r="R547" i="1"/>
  <c r="R2077" i="1"/>
  <c r="R2128" i="1"/>
  <c r="R2322" i="1"/>
  <c r="R879" i="1"/>
  <c r="R2639" i="1"/>
  <c r="R1889" i="1"/>
  <c r="R2641" i="1"/>
  <c r="R1810" i="1"/>
  <c r="R2552" i="1"/>
  <c r="R2058" i="1"/>
  <c r="R2420" i="1"/>
  <c r="R1116" i="1"/>
  <c r="R1345" i="1"/>
  <c r="R1503" i="1"/>
  <c r="R1389" i="1"/>
  <c r="R2027" i="1"/>
  <c r="R947" i="1"/>
  <c r="R169" i="1"/>
  <c r="R2642" i="1"/>
  <c r="R1292" i="1"/>
  <c r="R2215" i="1"/>
  <c r="R2643" i="1"/>
  <c r="R2644" i="1"/>
  <c r="R569" i="1"/>
  <c r="R1329" i="1"/>
  <c r="R316" i="1"/>
  <c r="R2561" i="1"/>
  <c r="R799" i="1"/>
  <c r="R2135" i="1"/>
  <c r="R1606" i="1"/>
  <c r="R2152" i="1"/>
  <c r="R2646" i="1"/>
  <c r="R2647" i="1"/>
  <c r="R2226" i="1"/>
  <c r="R2648" i="1"/>
  <c r="R1634" i="1"/>
  <c r="R2217" i="1"/>
  <c r="R861" i="1"/>
  <c r="R1249" i="1"/>
  <c r="R1152" i="1"/>
  <c r="R2649" i="1"/>
  <c r="R315" i="1"/>
  <c r="R1605" i="1"/>
  <c r="R1635" i="1"/>
  <c r="R540" i="1"/>
  <c r="R590" i="1"/>
  <c r="R730" i="1"/>
  <c r="R718" i="1"/>
  <c r="R612" i="1"/>
  <c r="R904" i="1"/>
  <c r="R2134" i="1"/>
  <c r="R1805" i="1"/>
  <c r="R2651" i="1"/>
  <c r="R2652" i="1"/>
  <c r="R1821" i="1"/>
  <c r="R1324" i="1"/>
  <c r="R1884" i="1"/>
  <c r="R2656" i="1"/>
  <c r="R2159" i="1"/>
  <c r="R1286" i="1"/>
  <c r="R2655" i="1"/>
  <c r="R2658" i="1"/>
  <c r="R2657" i="1"/>
  <c r="R1385" i="1"/>
  <c r="R1638" i="1"/>
  <c r="R2659" i="1"/>
  <c r="R2263" i="1"/>
  <c r="R1553" i="1"/>
  <c r="R1154" i="1"/>
  <c r="R1492" i="1"/>
  <c r="R2660" i="1"/>
  <c r="R2661" i="1"/>
  <c r="R2662" i="1"/>
  <c r="R1253" i="1"/>
  <c r="R347" i="1"/>
  <c r="R2663" i="1"/>
  <c r="R379" i="1"/>
  <c r="R1475" i="1"/>
  <c r="R9" i="1"/>
  <c r="R2664" i="1"/>
  <c r="R1764" i="1"/>
  <c r="R1018" i="1"/>
  <c r="R2665" i="1"/>
  <c r="R1763" i="1"/>
  <c r="R2667" i="1"/>
  <c r="R2371" i="1"/>
  <c r="R1749" i="1"/>
  <c r="R6" i="1"/>
  <c r="R337" i="1"/>
  <c r="R746" i="1"/>
  <c r="R2464" i="1"/>
  <c r="R1792" i="1"/>
  <c r="R1449" i="1"/>
  <c r="R2669" i="1"/>
  <c r="R1777" i="1"/>
  <c r="R1958" i="1"/>
  <c r="R1891" i="1"/>
  <c r="R2287" i="1"/>
  <c r="R151" i="1"/>
  <c r="R2670" i="1"/>
  <c r="R2671" i="1"/>
  <c r="R1559" i="1"/>
  <c r="BU1559" i="1" s="1"/>
  <c r="BW1559" i="1" s="1"/>
  <c r="R1060" i="1"/>
  <c r="R1106" i="1"/>
  <c r="R1671" i="1"/>
  <c r="R328" i="1"/>
  <c r="R713" i="1"/>
  <c r="R803" i="1"/>
  <c r="R1565" i="1"/>
  <c r="R1930" i="1"/>
  <c r="R1524" i="1"/>
  <c r="R672" i="1"/>
  <c r="R1335" i="1"/>
  <c r="R1790" i="1"/>
  <c r="R1970" i="1"/>
  <c r="R1518" i="1"/>
  <c r="R179" i="1"/>
  <c r="R2672" i="1"/>
  <c r="R1941" i="1"/>
  <c r="R2673" i="1"/>
  <c r="R2674" i="1"/>
  <c r="R840" i="1"/>
  <c r="R1144" i="1"/>
  <c r="R2384" i="1"/>
  <c r="R2144" i="1"/>
  <c r="R1462" i="1"/>
  <c r="R1208" i="1"/>
  <c r="R2578" i="1"/>
  <c r="R1526" i="1"/>
  <c r="R2677" i="1"/>
  <c r="R1489" i="1"/>
  <c r="R1566" i="1"/>
  <c r="R2380" i="1"/>
  <c r="R883" i="1"/>
  <c r="R1062" i="1"/>
  <c r="R2680" i="1"/>
  <c r="R817" i="1"/>
  <c r="R679" i="1"/>
  <c r="R1739" i="1"/>
  <c r="R1364" i="1"/>
  <c r="BU1364" i="1" s="1"/>
  <c r="BW1364" i="1" s="1"/>
  <c r="R1681" i="1"/>
  <c r="R2679" i="1"/>
  <c r="R1304" i="1"/>
  <c r="R2681" i="1"/>
  <c r="R2083" i="1"/>
  <c r="R2545" i="1"/>
  <c r="R722" i="1"/>
  <c r="R2682" i="1"/>
  <c r="R134" i="1"/>
  <c r="R2169" i="1"/>
  <c r="R2213" i="1"/>
  <c r="R758" i="1"/>
  <c r="R2683" i="1"/>
  <c r="R541" i="1"/>
  <c r="R1173" i="1"/>
  <c r="R2684" i="1"/>
  <c r="R2685" i="1"/>
  <c r="R689" i="1"/>
  <c r="R446" i="1"/>
  <c r="R109" i="1"/>
  <c r="R2687" i="1"/>
  <c r="R1692" i="1"/>
  <c r="R2692" i="1"/>
  <c r="R2627" i="1"/>
  <c r="R726" i="1"/>
  <c r="R1390" i="1"/>
  <c r="R356" i="1"/>
  <c r="R1101" i="1"/>
  <c r="R1369" i="1"/>
  <c r="R1851" i="1"/>
  <c r="R1232" i="1"/>
  <c r="R1591" i="1"/>
  <c r="R2693" i="1"/>
  <c r="R678" i="1"/>
  <c r="R2620" i="1"/>
  <c r="R2267" i="1"/>
  <c r="R602" i="1"/>
  <c r="BU602" i="1" s="1"/>
  <c r="BW602" i="1" s="1"/>
  <c r="R2415" i="1"/>
  <c r="R2696" i="1"/>
  <c r="R816" i="1"/>
  <c r="R426" i="1"/>
  <c r="R2389" i="1"/>
  <c r="R20" i="1"/>
  <c r="R2697" i="1"/>
  <c r="R1940" i="1"/>
  <c r="R283" i="1"/>
  <c r="R907" i="1"/>
  <c r="R393" i="1"/>
  <c r="R1214" i="1"/>
  <c r="R110" i="1"/>
  <c r="R2699" i="1"/>
  <c r="R442" i="1"/>
  <c r="R1753" i="1"/>
  <c r="R1383" i="1"/>
  <c r="R1461" i="1"/>
  <c r="R797" i="1"/>
  <c r="R19" i="1"/>
  <c r="R1182" i="1"/>
  <c r="R558" i="1"/>
  <c r="R2043" i="1"/>
  <c r="R1156" i="1"/>
  <c r="R714" i="1"/>
  <c r="R1676" i="1"/>
  <c r="R2021" i="1"/>
  <c r="R2700" i="1"/>
  <c r="R424" i="1"/>
  <c r="R2301" i="1"/>
  <c r="R1050" i="1"/>
  <c r="R2246" i="1"/>
  <c r="R2691" i="1"/>
  <c r="R2703" i="1"/>
  <c r="R1053" i="1"/>
  <c r="R1599" i="1"/>
  <c r="R1027" i="1"/>
  <c r="R2292" i="1"/>
  <c r="R391" i="1"/>
  <c r="R360" i="1"/>
  <c r="R2227" i="1"/>
  <c r="R1933" i="1"/>
  <c r="R2704" i="1"/>
  <c r="R2539" i="1"/>
  <c r="R2432" i="1"/>
  <c r="R2705" i="1"/>
  <c r="R1750" i="1"/>
  <c r="R2706" i="1"/>
  <c r="R2707" i="1"/>
  <c r="R1014" i="1"/>
  <c r="R573" i="1"/>
  <c r="R706" i="1"/>
  <c r="R2709" i="1"/>
  <c r="R143" i="1"/>
  <c r="R2510" i="1"/>
  <c r="R1387" i="1"/>
  <c r="R1919" i="1"/>
  <c r="R1684" i="1"/>
  <c r="R1033" i="1"/>
  <c r="R1455" i="1"/>
  <c r="R1862" i="1"/>
  <c r="R1338" i="1"/>
  <c r="R2711" i="1"/>
  <c r="R2712" i="1"/>
  <c r="R559" i="1"/>
  <c r="R310" i="1"/>
  <c r="R2713" i="1"/>
  <c r="R462" i="1"/>
  <c r="R1103" i="1"/>
  <c r="R1221" i="1"/>
  <c r="R852" i="1"/>
  <c r="R473" i="1"/>
  <c r="R2093" i="1"/>
  <c r="R2472" i="1"/>
  <c r="R1680" i="1"/>
  <c r="R2716" i="1"/>
  <c r="R1076" i="1"/>
  <c r="R330" i="1"/>
  <c r="R908" i="1"/>
  <c r="R508" i="1"/>
  <c r="R1808" i="1"/>
  <c r="R1523" i="1"/>
  <c r="R2101" i="1"/>
  <c r="R2717" i="1"/>
  <c r="R2718" i="1"/>
  <c r="R1356" i="1"/>
  <c r="R2719" i="1"/>
  <c r="R1978" i="1"/>
  <c r="R1359" i="1"/>
  <c r="R837" i="1"/>
  <c r="R934" i="1"/>
  <c r="R2720" i="1"/>
  <c r="R780" i="1"/>
  <c r="R1781" i="1"/>
  <c r="R1607" i="1"/>
  <c r="R2521" i="1"/>
  <c r="R1071" i="1"/>
  <c r="R549" i="1"/>
  <c r="R454" i="1"/>
  <c r="R1230" i="1"/>
  <c r="R1651" i="1"/>
  <c r="R104" i="1"/>
  <c r="R2721" i="1"/>
  <c r="R1092" i="1"/>
  <c r="R389" i="1"/>
  <c r="R1468" i="1"/>
  <c r="R1588" i="1"/>
  <c r="R1937" i="1"/>
  <c r="R1742" i="1"/>
  <c r="R2722" i="1"/>
  <c r="R2336" i="1"/>
  <c r="R2724" i="1"/>
  <c r="R1311" i="1"/>
  <c r="R193" i="1"/>
  <c r="R2726" i="1"/>
  <c r="R2167" i="1"/>
  <c r="R707" i="1"/>
  <c r="R1235" i="1"/>
  <c r="R422" i="1"/>
  <c r="R1531" i="1"/>
  <c r="R968" i="1"/>
  <c r="R2728" i="1"/>
  <c r="R1923" i="1"/>
  <c r="R164" i="1"/>
  <c r="R2729" i="1"/>
  <c r="R651" i="1"/>
  <c r="R2234" i="1"/>
  <c r="BU2234" i="1" s="1"/>
  <c r="BW2234" i="1" s="1"/>
  <c r="R122" i="1"/>
  <c r="R302" i="1"/>
  <c r="R924" i="1"/>
  <c r="R1703" i="1"/>
  <c r="R2531" i="1"/>
  <c r="R2082" i="1"/>
  <c r="R1997" i="1"/>
  <c r="R1381" i="1"/>
  <c r="R2366" i="1"/>
  <c r="R350" i="1"/>
  <c r="R1866" i="1"/>
  <c r="R1539" i="1"/>
  <c r="R1220" i="1"/>
  <c r="R2225" i="1"/>
  <c r="R1354" i="1"/>
  <c r="R688" i="1"/>
  <c r="R2160" i="1"/>
  <c r="R531" i="1"/>
  <c r="R2099" i="1"/>
  <c r="R554" i="1"/>
  <c r="R2732" i="1"/>
  <c r="R1981" i="1"/>
  <c r="R2033" i="1"/>
  <c r="R2733" i="1"/>
  <c r="R2723" i="1"/>
  <c r="R1649" i="1"/>
  <c r="R487" i="1"/>
  <c r="R826" i="1"/>
  <c r="R1073" i="1"/>
  <c r="R1223" i="1"/>
  <c r="R1785" i="1"/>
  <c r="R1107" i="1"/>
  <c r="R286" i="1"/>
  <c r="R1724" i="1"/>
  <c r="R1240" i="1"/>
  <c r="R1141" i="1"/>
  <c r="R2113" i="1"/>
  <c r="R712" i="1"/>
  <c r="R2735" i="1"/>
  <c r="R2736" i="1"/>
  <c r="R2737" i="1"/>
  <c r="R132" i="1"/>
  <c r="R2738" i="1"/>
  <c r="R2730" i="1"/>
  <c r="R2296" i="1"/>
  <c r="R2067" i="1"/>
  <c r="R790" i="1"/>
  <c r="R1395" i="1"/>
  <c r="R1289" i="1"/>
  <c r="R1554" i="1"/>
  <c r="R1087" i="1"/>
  <c r="R2400" i="1"/>
  <c r="R1039" i="1"/>
  <c r="R140" i="1"/>
  <c r="R884" i="1"/>
  <c r="R2740" i="1"/>
  <c r="R2741" i="1"/>
  <c r="R1147" i="1"/>
  <c r="R2599" i="1"/>
  <c r="R768" i="1"/>
  <c r="R2009" i="1"/>
  <c r="R1126" i="1"/>
  <c r="R285" i="1"/>
  <c r="R2739" i="1"/>
  <c r="R2106" i="1"/>
  <c r="R859" i="1"/>
  <c r="R2743" i="1"/>
  <c r="R1065" i="1"/>
  <c r="R334" i="1"/>
  <c r="R1616" i="1"/>
  <c r="R1097" i="1"/>
  <c r="R2745" i="1"/>
  <c r="R2746" i="1"/>
  <c r="R160" i="1"/>
  <c r="R468" i="1"/>
  <c r="R634" i="1"/>
  <c r="R795" i="1"/>
  <c r="R380" i="1"/>
  <c r="R1037" i="1"/>
  <c r="R2245" i="1"/>
  <c r="R2280" i="1"/>
  <c r="R2356" i="1"/>
  <c r="R2268" i="1"/>
  <c r="R494" i="1"/>
  <c r="R2148" i="1"/>
  <c r="R2359" i="1"/>
  <c r="R2337" i="1"/>
  <c r="R1545" i="1"/>
  <c r="R1368" i="1"/>
  <c r="R2749" i="1"/>
  <c r="R2312" i="1"/>
  <c r="R618" i="1"/>
  <c r="R1980" i="1"/>
  <c r="R668" i="1"/>
  <c r="R2750" i="1"/>
  <c r="R2175" i="1"/>
  <c r="R2751" i="1"/>
  <c r="R1824" i="1"/>
  <c r="R1942" i="1"/>
  <c r="R2752" i="1"/>
  <c r="R1279" i="1"/>
  <c r="R2753" i="1"/>
  <c r="R123" i="1"/>
  <c r="R2399" i="1"/>
  <c r="R1153" i="1"/>
  <c r="R1436" i="1"/>
  <c r="R2755" i="1"/>
  <c r="R1184" i="1"/>
  <c r="R2756" i="1"/>
  <c r="R2424" i="1"/>
  <c r="R836" i="1"/>
  <c r="R2153" i="1"/>
  <c r="R460" i="1"/>
  <c r="R1058" i="1"/>
  <c r="R1255" i="1"/>
  <c r="R757" i="1"/>
  <c r="R2577" i="1"/>
  <c r="R2761" i="1"/>
  <c r="R716" i="1"/>
  <c r="R1813" i="1"/>
  <c r="R1348" i="1"/>
  <c r="R1646" i="1"/>
  <c r="R2813" i="1"/>
  <c r="R922" i="1"/>
  <c r="R2762" i="1"/>
  <c r="R2763" i="1"/>
  <c r="R2764" i="1"/>
  <c r="R1831" i="1"/>
  <c r="R2766" i="1"/>
  <c r="R752" i="1"/>
  <c r="R2759" i="1"/>
  <c r="R2767" i="1"/>
  <c r="R646" i="1"/>
  <c r="R2418" i="1"/>
  <c r="R2066" i="1"/>
  <c r="R1178" i="1"/>
  <c r="R1259" i="1"/>
  <c r="R556" i="1"/>
  <c r="R2962" i="1"/>
  <c r="R1358" i="1"/>
  <c r="BU1358" i="1" s="1"/>
  <c r="BW1358" i="1" s="1"/>
  <c r="R1640" i="1"/>
  <c r="R192" i="1"/>
  <c r="R1921" i="1"/>
  <c r="R2117" i="1"/>
  <c r="R2966" i="1"/>
  <c r="R2967" i="1"/>
  <c r="R2968" i="1"/>
  <c r="R345" i="1"/>
  <c r="R2701" i="1"/>
  <c r="R1406" i="1"/>
  <c r="R2203" i="1"/>
  <c r="R2054" i="1"/>
  <c r="R860" i="1"/>
  <c r="R1188" i="1"/>
  <c r="R916" i="1"/>
  <c r="R609" i="1"/>
  <c r="R1477" i="1"/>
  <c r="R2970" i="1"/>
  <c r="R2971" i="1"/>
  <c r="R1299" i="1"/>
  <c r="R1441" i="1"/>
  <c r="R1904" i="1"/>
  <c r="R1817" i="1"/>
  <c r="R479" i="1"/>
  <c r="R2527" i="1"/>
  <c r="R1513" i="1"/>
  <c r="R2972" i="1"/>
  <c r="R889" i="1"/>
  <c r="R1360" i="1"/>
  <c r="R1867" i="1"/>
  <c r="R1437" i="1"/>
  <c r="R2089" i="1"/>
  <c r="R809" i="1"/>
  <c r="R1099" i="1"/>
  <c r="R1715" i="1"/>
  <c r="R2973" i="1"/>
  <c r="R2694" i="1"/>
  <c r="R2335" i="1"/>
  <c r="R2974" i="1"/>
  <c r="R1948" i="1"/>
  <c r="R753" i="1"/>
  <c r="R2040" i="1"/>
  <c r="R2426" i="1"/>
  <c r="R2976" i="1"/>
  <c r="R2302" i="1"/>
  <c r="R1082" i="1"/>
  <c r="R1765" i="1"/>
  <c r="R1956" i="1"/>
  <c r="R2020" i="1"/>
  <c r="R1786" i="1"/>
  <c r="R2977" i="1"/>
  <c r="R2166" i="1"/>
  <c r="R1165" i="1"/>
  <c r="R2978" i="1"/>
  <c r="R1833" i="1"/>
  <c r="R2523" i="1"/>
  <c r="R2289" i="1"/>
  <c r="R940" i="1"/>
  <c r="R490" i="1"/>
  <c r="R2979" i="1"/>
  <c r="R1088" i="1"/>
  <c r="R2980" i="1"/>
  <c r="R2981" i="1"/>
  <c r="R1063" i="1"/>
  <c r="R623" i="1"/>
  <c r="R794" i="1"/>
  <c r="R138" i="1"/>
  <c r="R1975" i="1"/>
  <c r="R2122" i="1"/>
  <c r="R2478" i="1"/>
  <c r="R499" i="1"/>
  <c r="R2946" i="1"/>
  <c r="R2282" i="1"/>
  <c r="R525" i="1"/>
  <c r="R1250" i="1"/>
  <c r="R878" i="1"/>
  <c r="R3000" i="1"/>
  <c r="R1089" i="1"/>
  <c r="R2004" i="1"/>
  <c r="BU2004" i="1" s="1"/>
  <c r="BW2004" i="1" s="1"/>
  <c r="R747" i="1"/>
  <c r="R1420" i="1"/>
  <c r="R1669" i="1"/>
  <c r="R293" i="1"/>
  <c r="R2633" i="1"/>
  <c r="R2310" i="1"/>
  <c r="R946" i="1"/>
  <c r="R1550" i="1"/>
  <c r="R2219" i="1"/>
  <c r="R645" i="1"/>
  <c r="R2483" i="1"/>
  <c r="R3004" i="1"/>
  <c r="R2143" i="1"/>
  <c r="R3005" i="1"/>
  <c r="R642" i="1"/>
  <c r="R2032" i="1"/>
  <c r="R798" i="1"/>
  <c r="R2025" i="1"/>
  <c r="R995" i="1"/>
  <c r="R3006" i="1"/>
  <c r="R3008" i="1"/>
  <c r="R555" i="1"/>
  <c r="R1690" i="1"/>
  <c r="R1890" i="1"/>
  <c r="R1091" i="1"/>
  <c r="R1946" i="1"/>
  <c r="R2984" i="1"/>
  <c r="R1330" i="1"/>
  <c r="R3009" i="1"/>
  <c r="R532" i="1"/>
  <c r="R1655" i="1"/>
  <c r="R3010" i="1"/>
  <c r="BU3010" i="1" s="1"/>
  <c r="BW3010" i="1" s="1"/>
  <c r="R3011" i="1"/>
  <c r="R1746" i="1"/>
  <c r="R2551" i="1"/>
  <c r="R3012" i="1"/>
  <c r="R317" i="1"/>
  <c r="R1497" i="1"/>
  <c r="R3013" i="1"/>
  <c r="R2286" i="1"/>
  <c r="R3014" i="1"/>
  <c r="R2201" i="1"/>
  <c r="R2014" i="1"/>
  <c r="R733" i="1"/>
  <c r="R1438" i="1"/>
  <c r="R1712" i="1"/>
  <c r="R2107" i="1"/>
  <c r="R1004" i="1"/>
  <c r="R298" i="1"/>
  <c r="R465" i="1"/>
  <c r="R1571" i="1"/>
  <c r="R1130" i="1"/>
  <c r="R2975" i="1"/>
  <c r="R2244" i="1"/>
  <c r="R1590" i="1"/>
  <c r="R1718" i="1"/>
  <c r="R1514" i="1"/>
  <c r="R2491" i="1"/>
  <c r="R2095" i="1"/>
  <c r="R3016" i="1"/>
  <c r="R881" i="1"/>
  <c r="R2397" i="1"/>
  <c r="BU2397" i="1" s="1"/>
  <c r="BW2397" i="1" s="1"/>
  <c r="R2105" i="1"/>
  <c r="R1077" i="1"/>
  <c r="R1196" i="1"/>
  <c r="R2104" i="1"/>
  <c r="R2275" i="1"/>
  <c r="R900" i="1"/>
  <c r="R909" i="1"/>
  <c r="R850" i="1"/>
  <c r="BU850" i="1" s="1"/>
  <c r="BW850" i="1" s="1"/>
  <c r="R1657" i="1"/>
  <c r="R1825" i="1"/>
  <c r="R3017" i="1"/>
  <c r="R113" i="1"/>
  <c r="R438" i="1"/>
  <c r="R1735" i="1"/>
  <c r="R1482" i="1"/>
  <c r="R2396" i="1"/>
  <c r="R385" i="1"/>
  <c r="R2195" i="1"/>
  <c r="R2180" i="1"/>
  <c r="R333" i="1"/>
  <c r="R1252" i="1"/>
  <c r="R1909" i="1"/>
  <c r="R329" i="1"/>
  <c r="R870" i="1"/>
  <c r="R2146" i="1"/>
  <c r="R2087" i="1"/>
  <c r="R2385" i="1"/>
  <c r="R1666" i="1"/>
  <c r="R1210" i="1"/>
  <c r="R774" i="1"/>
  <c r="R1929" i="1"/>
  <c r="R176" i="1"/>
  <c r="R890" i="1"/>
  <c r="R1157" i="1"/>
  <c r="R3020" i="1"/>
  <c r="R3021" i="1"/>
  <c r="R1650" i="1"/>
  <c r="R2120" i="1"/>
  <c r="R1212" i="1"/>
  <c r="R1654" i="1"/>
  <c r="R1507" i="1"/>
  <c r="R2179" i="1"/>
  <c r="R2223" i="1"/>
  <c r="R1442" i="1"/>
  <c r="R2177" i="1"/>
  <c r="R1146" i="1"/>
  <c r="R3023" i="1"/>
  <c r="R2029" i="1"/>
  <c r="R1003" i="1"/>
  <c r="R3024" i="1"/>
  <c r="R1386" i="1"/>
  <c r="R729" i="1"/>
  <c r="R3026" i="1"/>
  <c r="BU3026" i="1" s="1"/>
  <c r="BW3026" i="1" s="1"/>
  <c r="R1469" i="1"/>
  <c r="R282" i="1"/>
  <c r="R1552" i="1"/>
  <c r="R3027" i="1"/>
  <c r="R159" i="1"/>
  <c r="R509" i="1"/>
  <c r="R1485" i="1"/>
  <c r="R771" i="1"/>
  <c r="R3029" i="1"/>
  <c r="R2300" i="1"/>
  <c r="R3030" i="1"/>
  <c r="R998" i="1"/>
  <c r="R815" i="1"/>
  <c r="R1051" i="1"/>
  <c r="R3032" i="1"/>
  <c r="R3028" i="1"/>
  <c r="R1052" i="1"/>
  <c r="R2822" i="1"/>
  <c r="R3033" i="1"/>
  <c r="R3034" i="1"/>
  <c r="R392" i="1"/>
  <c r="R3035" i="1"/>
  <c r="R2403" i="1"/>
  <c r="R2603" i="1"/>
  <c r="R3036" i="1"/>
  <c r="R1779" i="1"/>
  <c r="R1870" i="1"/>
  <c r="R693" i="1"/>
  <c r="R1486" i="1"/>
  <c r="R1639" i="1"/>
  <c r="R486" i="1"/>
  <c r="R2469" i="1"/>
  <c r="R994" i="1"/>
  <c r="R1127" i="1"/>
  <c r="R3038" i="1"/>
  <c r="R1303" i="1"/>
  <c r="R2471" i="1"/>
  <c r="R1247" i="1"/>
  <c r="R1990" i="1"/>
  <c r="R2097" i="1"/>
  <c r="R1445" i="1"/>
  <c r="R470" i="1"/>
  <c r="R3042" i="1"/>
  <c r="R1108" i="1"/>
  <c r="R3043" i="1"/>
  <c r="R3044" i="1"/>
  <c r="R1652" i="1"/>
  <c r="R158" i="1"/>
  <c r="R1717" i="1"/>
  <c r="R3045" i="1"/>
  <c r="R370" i="1"/>
  <c r="R1026" i="1"/>
  <c r="BU1026" i="1" s="1"/>
  <c r="BW1026" i="1" s="1"/>
  <c r="R2509" i="1"/>
  <c r="R551" i="1"/>
  <c r="R1912" i="1"/>
  <c r="R466" i="1"/>
  <c r="R3046" i="1"/>
  <c r="R2390" i="1"/>
  <c r="R3047" i="1"/>
  <c r="R1197" i="1"/>
  <c r="R1236" i="1"/>
  <c r="R1159" i="1"/>
  <c r="R1534" i="1"/>
  <c r="R3049" i="1"/>
  <c r="R1125" i="1"/>
  <c r="R3050" i="1"/>
  <c r="R1109" i="1"/>
  <c r="R3052" i="1"/>
  <c r="R643" i="1"/>
  <c r="R2349" i="1"/>
  <c r="R3053" i="1"/>
  <c r="R157" i="1"/>
  <c r="R1783" i="1"/>
  <c r="R1509" i="1"/>
  <c r="R728" i="1"/>
  <c r="R1444" i="1"/>
  <c r="R3054" i="1"/>
  <c r="R2142" i="1"/>
  <c r="R1579" i="1"/>
  <c r="R2274" i="1"/>
  <c r="R396" i="1"/>
  <c r="R2351" i="1"/>
  <c r="R538" i="1"/>
  <c r="R2085" i="1"/>
  <c r="R1803" i="1"/>
  <c r="R3055" i="1"/>
  <c r="R3056" i="1"/>
  <c r="R394" i="1"/>
  <c r="R3057" i="1"/>
  <c r="R3058" i="1"/>
  <c r="R3059" i="1"/>
  <c r="R1740" i="1"/>
  <c r="R1098" i="1"/>
  <c r="R1170" i="1"/>
  <c r="R1702" i="1"/>
  <c r="R1516" i="1"/>
  <c r="R1860" i="1"/>
  <c r="R2242" i="1"/>
  <c r="R2187" i="1"/>
  <c r="R3060" i="1"/>
  <c r="R834" i="1"/>
  <c r="R906" i="1"/>
  <c r="R1961" i="1"/>
  <c r="BU1961" i="1" s="1"/>
  <c r="BW1961" i="1" s="1"/>
  <c r="R1584" i="1"/>
  <c r="R1769" i="1"/>
  <c r="R1928" i="1"/>
  <c r="R1262" i="1"/>
  <c r="R1900" i="1"/>
  <c r="R1305" i="1"/>
  <c r="R3062" i="1"/>
  <c r="BU3062" i="1" s="1"/>
  <c r="BW3062" i="1" s="1"/>
  <c r="R3063" i="1"/>
  <c r="R828" i="1"/>
  <c r="R2560" i="1"/>
  <c r="R1973" i="1"/>
  <c r="R1288" i="1"/>
  <c r="R1842" i="1"/>
  <c r="R3064" i="1"/>
  <c r="R805" i="1"/>
  <c r="R3065" i="1"/>
  <c r="R1440" i="1"/>
  <c r="R3066" i="1"/>
  <c r="R1172" i="1"/>
  <c r="R2262" i="1"/>
  <c r="R1743" i="1"/>
  <c r="R2042" i="1"/>
  <c r="R320" i="1"/>
  <c r="R2216" i="1"/>
  <c r="R3067" i="1"/>
  <c r="R873" i="1"/>
  <c r="R1075" i="1"/>
  <c r="R3068" i="1"/>
  <c r="R742" i="1"/>
  <c r="R3069" i="1"/>
  <c r="R3070" i="1"/>
  <c r="R842" i="1"/>
  <c r="R1274" i="1"/>
  <c r="R987" i="1"/>
  <c r="R1128" i="1"/>
  <c r="R2059" i="1"/>
  <c r="R1745" i="1"/>
  <c r="R375" i="1"/>
  <c r="R1776" i="1"/>
  <c r="R2254" i="1"/>
  <c r="R343" i="1"/>
  <c r="R1137" i="1"/>
  <c r="R3072" i="1"/>
  <c r="R339" i="1"/>
  <c r="R944" i="1"/>
  <c r="R2324" i="1"/>
  <c r="R3022" i="1"/>
  <c r="R1645" i="1"/>
  <c r="BU1645" i="1" s="1"/>
  <c r="BW1645" i="1" s="1"/>
  <c r="R854" i="1"/>
  <c r="R721" i="1"/>
  <c r="R616" i="1"/>
  <c r="R864" i="1"/>
  <c r="R1610" i="1"/>
  <c r="R1600" i="1"/>
  <c r="R2485" i="1"/>
  <c r="R3073" i="1"/>
  <c r="R1793" i="1"/>
  <c r="R2309" i="1"/>
  <c r="BU2309" i="1" s="1"/>
  <c r="BW2309" i="1" s="1"/>
  <c r="R1932" i="1"/>
  <c r="R1284" i="1"/>
  <c r="R865" i="1"/>
  <c r="R1161" i="1"/>
  <c r="R1532" i="1"/>
  <c r="R3" i="1"/>
  <c r="R3075" i="1"/>
  <c r="R876" i="1"/>
  <c r="R8" i="1"/>
  <c r="R517" i="1"/>
  <c r="R959" i="1"/>
  <c r="R1517" i="1"/>
  <c r="R3077" i="1"/>
  <c r="R1038" i="1"/>
  <c r="R1316" i="1"/>
  <c r="R1227" i="1"/>
  <c r="R1260" i="1"/>
  <c r="R978" i="1"/>
  <c r="R149" i="1"/>
  <c r="R2204" i="1"/>
  <c r="R3078" i="1"/>
  <c r="R3051" i="1"/>
  <c r="R1418" i="1"/>
  <c r="R777" i="1"/>
  <c r="R3081" i="1"/>
  <c r="BU3081" i="1" s="1"/>
  <c r="BW3081" i="1" s="1"/>
  <c r="R2007" i="1"/>
  <c r="R3082" i="1"/>
  <c r="R2258" i="1"/>
  <c r="R2499" i="1"/>
  <c r="R3083" i="1"/>
  <c r="R505" i="1"/>
  <c r="R1238" i="1"/>
  <c r="R938" i="1"/>
  <c r="R1798" i="1"/>
  <c r="R996" i="1"/>
  <c r="R921" i="1"/>
  <c r="R1670" i="1"/>
  <c r="R2052" i="1"/>
  <c r="R2548" i="1"/>
  <c r="R2164" i="1"/>
  <c r="R639" i="1"/>
  <c r="R1525" i="1"/>
  <c r="R3085" i="1"/>
  <c r="R4" i="1"/>
  <c r="R1829" i="1"/>
  <c r="R2391" i="1"/>
  <c r="R1760" i="1"/>
  <c r="R2744" i="1"/>
  <c r="R2537" i="1"/>
  <c r="BU2537" i="1" s="1"/>
  <c r="BW2537" i="1" s="1"/>
  <c r="R2558" i="1"/>
  <c r="R2123" i="1"/>
  <c r="R955" i="1"/>
  <c r="R690" i="1"/>
  <c r="R1318" i="1"/>
  <c r="R2459" i="1"/>
  <c r="R1201" i="1"/>
  <c r="R3086" i="1"/>
  <c r="R2158" i="1"/>
  <c r="R953" i="1"/>
  <c r="R1761" i="1"/>
  <c r="R819" i="1"/>
  <c r="R1265" i="1"/>
  <c r="R2257" i="1"/>
  <c r="R3087" i="1"/>
  <c r="R1799" i="1"/>
  <c r="R3088" i="1"/>
  <c r="R625" i="1"/>
  <c r="R989" i="1"/>
  <c r="R1935" i="1"/>
  <c r="R1575" i="1"/>
  <c r="R290" i="1"/>
  <c r="R2290" i="1"/>
  <c r="R764" i="1"/>
  <c r="R2131" i="1"/>
  <c r="R1892" i="1"/>
  <c r="R346" i="1"/>
  <c r="R1370" i="1"/>
  <c r="R1120" i="1"/>
  <c r="R898" i="1"/>
  <c r="R863" i="1"/>
  <c r="R2439" i="1"/>
  <c r="R2037" i="1"/>
  <c r="BU2037" i="1" s="1"/>
  <c r="BW2037" i="1" s="1"/>
  <c r="R581" i="1"/>
  <c r="R983" i="1"/>
  <c r="BU983" i="1" s="1"/>
  <c r="BW983" i="1" s="1"/>
  <c r="R830" i="1"/>
  <c r="R2407" i="1"/>
  <c r="R1696" i="1"/>
  <c r="R3090" i="1"/>
  <c r="R3091" i="1"/>
  <c r="R1521" i="1"/>
  <c r="R1234" i="1"/>
  <c r="R2098" i="1"/>
  <c r="R520" i="1"/>
  <c r="R2376" i="1"/>
  <c r="R2111" i="1"/>
  <c r="R527" i="1"/>
  <c r="R2295" i="1"/>
  <c r="R704" i="1"/>
  <c r="R2496" i="1"/>
  <c r="R1955" i="1"/>
  <c r="R3092" i="1"/>
  <c r="R3096" i="1"/>
  <c r="R877" i="1"/>
  <c r="R3099" i="1"/>
  <c r="R147" i="1"/>
  <c r="R3100" i="1"/>
  <c r="R902" i="1"/>
  <c r="R3098" i="1"/>
  <c r="R1725" i="1"/>
  <c r="R1194" i="1"/>
  <c r="R552" i="1"/>
  <c r="R2369" i="1"/>
  <c r="R2463" i="1"/>
  <c r="R331" i="1"/>
  <c r="R3101" i="1"/>
  <c r="R3102" i="1"/>
  <c r="R1254" i="1"/>
  <c r="R875" i="1"/>
  <c r="R654" i="1"/>
  <c r="R1218" i="1"/>
  <c r="R306" i="1"/>
  <c r="R3103" i="1"/>
  <c r="R2467" i="1"/>
  <c r="R1085" i="1"/>
  <c r="R507" i="1"/>
  <c r="R783" i="1"/>
  <c r="R528" i="1"/>
  <c r="R3105" i="1"/>
  <c r="R3106" i="1"/>
  <c r="R1925" i="1"/>
  <c r="R1057" i="1"/>
  <c r="R960" i="1"/>
  <c r="R3108" i="1"/>
  <c r="R1895" i="1"/>
  <c r="R3107" i="1"/>
  <c r="R404" i="1"/>
  <c r="R3109" i="1"/>
  <c r="R822" i="1"/>
  <c r="R1528" i="1"/>
  <c r="R3110" i="1"/>
  <c r="R3111" i="1"/>
  <c r="R533" i="1"/>
  <c r="R1567" i="1"/>
  <c r="R129" i="1"/>
  <c r="R970" i="1"/>
  <c r="R3113" i="1"/>
  <c r="R3114" i="1"/>
  <c r="R3112" i="1"/>
  <c r="R3115" i="1"/>
  <c r="R892" i="1"/>
  <c r="R327" i="1"/>
  <c r="R300" i="1"/>
  <c r="R445" i="1"/>
  <c r="R1960" i="1"/>
  <c r="R663" i="1"/>
  <c r="R1630" i="1"/>
  <c r="R1944" i="1"/>
  <c r="R1547" i="1"/>
  <c r="R3116" i="1"/>
  <c r="R891" i="1"/>
  <c r="R1996" i="1"/>
  <c r="R636" i="1"/>
  <c r="R1228" i="1"/>
  <c r="R680" i="1"/>
  <c r="R1886" i="1"/>
  <c r="R2073" i="1"/>
  <c r="R588" i="1"/>
  <c r="R2308" i="1"/>
  <c r="R769" i="1"/>
  <c r="R935" i="1"/>
  <c r="R2205" i="1"/>
  <c r="R563" i="1"/>
  <c r="R1733" i="1"/>
  <c r="R3120" i="1"/>
  <c r="R1078" i="1"/>
  <c r="R666" i="1"/>
  <c r="R1342" i="1"/>
  <c r="R529" i="1"/>
  <c r="R698" i="1"/>
  <c r="R2355" i="1"/>
  <c r="R3121" i="1"/>
  <c r="R1366" i="1"/>
  <c r="R1282" i="1"/>
  <c r="R1206" i="1"/>
  <c r="R3122" i="1"/>
  <c r="R2276" i="1"/>
  <c r="R1828" i="1"/>
  <c r="R1499" i="1"/>
  <c r="R2136" i="1"/>
  <c r="R3124" i="1"/>
  <c r="R3125" i="1"/>
  <c r="R363" i="1"/>
  <c r="R2364" i="1"/>
  <c r="R420" i="1"/>
  <c r="R1133" i="1"/>
  <c r="R3126" i="1"/>
  <c r="R1795" i="1"/>
  <c r="R975" i="1"/>
  <c r="R3127" i="1"/>
  <c r="R2372" i="1"/>
  <c r="R3128" i="1"/>
  <c r="R548" i="1"/>
  <c r="R1768" i="1"/>
  <c r="R2404" i="1"/>
  <c r="R1770" i="1"/>
  <c r="R3129" i="1"/>
  <c r="R3130" i="1"/>
  <c r="R2088" i="1"/>
  <c r="R561" i="1"/>
  <c r="R2466" i="1"/>
  <c r="R2332" i="1"/>
  <c r="R2346" i="1"/>
  <c r="R3132" i="1"/>
  <c r="R2546" i="1"/>
  <c r="R156" i="1"/>
  <c r="R2241" i="1"/>
  <c r="R2305" i="1"/>
  <c r="R2458" i="1"/>
  <c r="BU2458" i="1" s="1"/>
  <c r="BW2458" i="1" s="1"/>
  <c r="R2124" i="1"/>
  <c r="R3133" i="1"/>
  <c r="R3134" i="1"/>
  <c r="R2495" i="1"/>
  <c r="R1971" i="1"/>
  <c r="R3136" i="1"/>
  <c r="R3137" i="1"/>
  <c r="R3135" i="1"/>
  <c r="R1716" i="1"/>
  <c r="R1812" i="1"/>
  <c r="BU1812" i="1" s="1"/>
  <c r="BW1812" i="1" s="1"/>
  <c r="R827" i="1"/>
  <c r="R2518" i="1"/>
  <c r="R1995" i="1"/>
  <c r="R195" i="1"/>
  <c r="R1241" i="1"/>
  <c r="R2118" i="1"/>
  <c r="R1704" i="1"/>
  <c r="R3139" i="1"/>
  <c r="R198" i="1"/>
  <c r="R3138" i="1"/>
  <c r="R1275" i="1"/>
  <c r="R1501" i="1"/>
  <c r="R1046" i="1"/>
  <c r="R510" i="1"/>
  <c r="R524" i="1"/>
  <c r="R1569" i="1"/>
  <c r="R205" i="1"/>
  <c r="R1644" i="1"/>
  <c r="R1563" i="1"/>
  <c r="R605" i="1"/>
  <c r="R1457" i="1"/>
  <c r="BU1457" i="1" s="1"/>
  <c r="BW1457" i="1" s="1"/>
  <c r="R1068" i="1"/>
  <c r="R349" i="1"/>
  <c r="R173" i="1"/>
  <c r="R2256" i="1"/>
  <c r="R1428" i="1"/>
  <c r="R3143" i="1"/>
  <c r="R1487" i="1"/>
  <c r="R3144" i="1"/>
  <c r="R513" i="1"/>
  <c r="R1328" i="1"/>
  <c r="R1633" i="1"/>
  <c r="R1949" i="1"/>
  <c r="R1875" i="1"/>
  <c r="R3145" i="1"/>
  <c r="R3146" i="1"/>
  <c r="R2848" i="1"/>
  <c r="R1270" i="1"/>
  <c r="R1204" i="1"/>
  <c r="R662" i="1"/>
  <c r="R146" i="1"/>
  <c r="R1278" i="1"/>
  <c r="R1409" i="1"/>
  <c r="R3147" i="1"/>
  <c r="R1276" i="1"/>
  <c r="R1762" i="1"/>
  <c r="R1361" i="1"/>
  <c r="R1015" i="1"/>
  <c r="R1431" i="1"/>
  <c r="R3148" i="1"/>
  <c r="R124" i="1"/>
  <c r="R1402" i="1"/>
  <c r="R1419" i="1"/>
  <c r="R649" i="1"/>
  <c r="R504" i="1"/>
  <c r="R2019" i="1"/>
  <c r="R562" i="1"/>
  <c r="R2041" i="1"/>
  <c r="R641" i="1"/>
  <c r="R3149" i="1"/>
  <c r="R2628" i="1"/>
  <c r="R459" i="1"/>
  <c r="R1618" i="1"/>
  <c r="BU1618" i="1" s="1"/>
  <c r="BW1618" i="1" s="1"/>
  <c r="R3150" i="1"/>
  <c r="R2352" i="1"/>
  <c r="R1752" i="1"/>
  <c r="R1331" i="1"/>
  <c r="R966" i="1"/>
  <c r="R1595" i="1"/>
  <c r="R2480" i="1"/>
  <c r="R1460" i="1"/>
  <c r="R3152" i="1"/>
  <c r="R1295" i="1"/>
  <c r="R3153" i="1"/>
  <c r="R456" i="1"/>
  <c r="R1794" i="1"/>
  <c r="R3154" i="1"/>
  <c r="R1914" i="1"/>
  <c r="R3156" i="1"/>
  <c r="R3157" i="1"/>
  <c r="R1758" i="1"/>
  <c r="R199" i="1"/>
  <c r="R3158" i="1"/>
  <c r="R810" i="1"/>
  <c r="R423" i="1"/>
  <c r="R3159" i="1"/>
  <c r="R604" i="1"/>
  <c r="R166" i="1"/>
  <c r="R1287" i="1"/>
  <c r="R1211" i="1"/>
  <c r="R116" i="1"/>
  <c r="R550" i="1"/>
  <c r="R702" i="1"/>
  <c r="R429" i="1"/>
  <c r="R2188" i="1"/>
  <c r="R928" i="1"/>
  <c r="R3161" i="1"/>
  <c r="R791" i="1"/>
  <c r="R3162" i="1"/>
  <c r="R1608" i="1"/>
  <c r="R1905" i="1"/>
  <c r="R2530" i="1"/>
  <c r="R421" i="1"/>
  <c r="R2438" i="1"/>
  <c r="R1549" i="1"/>
  <c r="R415" i="1"/>
  <c r="R191" i="1"/>
  <c r="R1433" i="1"/>
  <c r="R2003" i="1"/>
  <c r="R452" i="1"/>
  <c r="R3163" i="1"/>
  <c r="R2030" i="1"/>
  <c r="R855" i="1"/>
  <c r="R2504" i="1"/>
  <c r="R3164" i="1"/>
  <c r="R2154" i="1"/>
  <c r="R165" i="1"/>
  <c r="R430" i="1"/>
  <c r="R506" i="1"/>
  <c r="R1879" i="1"/>
  <c r="R1819" i="1"/>
  <c r="R1648" i="1"/>
  <c r="R3165" i="1"/>
  <c r="R1943" i="1"/>
  <c r="R1748" i="1"/>
  <c r="R1294" i="1"/>
  <c r="R2419" i="1"/>
  <c r="BU2419" i="1" s="1"/>
  <c r="BW2419" i="1" s="1"/>
  <c r="R3166" i="1"/>
  <c r="R1017" i="1"/>
  <c r="R974" i="1"/>
  <c r="R3131" i="1"/>
  <c r="R895" i="1"/>
  <c r="R2381" i="1"/>
  <c r="R3167" i="1"/>
  <c r="R920" i="1"/>
  <c r="R2103" i="1"/>
  <c r="R1835" i="1"/>
  <c r="BU1835" i="1" s="1"/>
  <c r="BW1835" i="1" s="1"/>
  <c r="R3168" i="1"/>
  <c r="R1734" i="1"/>
  <c r="R3169" i="1"/>
  <c r="R1327" i="1"/>
  <c r="R2636" i="1"/>
  <c r="R2261" i="1"/>
  <c r="BU2261" i="1" s="1"/>
  <c r="BW2261" i="1" s="1"/>
  <c r="R1169" i="1"/>
  <c r="R1693" i="1"/>
  <c r="R1341" i="1"/>
  <c r="R3170" i="1"/>
  <c r="R2065" i="1"/>
  <c r="R2304" i="1"/>
  <c r="R897" i="1"/>
  <c r="R1391" i="1"/>
  <c r="R1064" i="1"/>
  <c r="R2090" i="1"/>
  <c r="R1773" i="1"/>
  <c r="R3171" i="1"/>
  <c r="R3172" i="1"/>
  <c r="R1145" i="1"/>
  <c r="R2288" i="1"/>
  <c r="R185" i="1"/>
  <c r="R857" i="1"/>
  <c r="R3097" i="1"/>
  <c r="R3197" i="1"/>
  <c r="R2433" i="1"/>
  <c r="R492" i="1"/>
  <c r="R1720" i="1"/>
  <c r="BU1720" i="1" s="1"/>
  <c r="BW1720" i="1" s="1"/>
  <c r="R1150" i="1"/>
  <c r="R880" i="1"/>
  <c r="R3198" i="1"/>
  <c r="R1951" i="1"/>
  <c r="R760" i="1"/>
  <c r="R738" i="1"/>
  <c r="R3203" i="1"/>
  <c r="R2315" i="1"/>
  <c r="R1463" i="1"/>
  <c r="R418" i="1"/>
  <c r="R21" i="1"/>
  <c r="R1439" i="1"/>
  <c r="R303" i="1"/>
  <c r="R2489" i="1"/>
  <c r="R1686" i="1"/>
  <c r="R3204" i="1"/>
  <c r="R3205" i="1"/>
  <c r="R335" i="1"/>
  <c r="R1617" i="1"/>
  <c r="R3206" i="1"/>
  <c r="Q108" i="1"/>
  <c r="Q2423" i="1"/>
  <c r="Q2554" i="1"/>
  <c r="Q967" i="1"/>
  <c r="Q128" i="1"/>
  <c r="Q1918" i="1"/>
  <c r="Q2035" i="1"/>
  <c r="Q932" i="1"/>
  <c r="Q1404" i="1"/>
  <c r="Q2155" i="1"/>
  <c r="Q2557" i="1"/>
  <c r="Q2000" i="1"/>
  <c r="Q671" i="1"/>
  <c r="Q2559" i="1"/>
  <c r="Q491" i="1"/>
  <c r="Q695" i="1"/>
  <c r="Q1164" i="1"/>
  <c r="Q686" i="1"/>
  <c r="Q483" i="1"/>
  <c r="Q2402" i="1"/>
  <c r="Q2367" i="1"/>
  <c r="Q2442" i="1"/>
  <c r="Q378" i="1"/>
  <c r="Q2543" i="1"/>
  <c r="Q312" i="1"/>
  <c r="BX2055" i="1"/>
  <c r="Q2333" i="1"/>
  <c r="Q2348" i="1"/>
  <c r="Q697" i="1"/>
  <c r="Q2353" i="1"/>
  <c r="Q1701" i="1"/>
  <c r="BX1148" i="1"/>
  <c r="Q1924" i="1"/>
  <c r="Q2562" i="1"/>
  <c r="Q2563" i="1"/>
  <c r="Q1373" i="1"/>
  <c r="Q719" i="1"/>
  <c r="Q1045" i="1"/>
  <c r="Q1540" i="1"/>
  <c r="Q2564" i="1"/>
  <c r="Q2565" i="1"/>
  <c r="Q1102" i="1"/>
  <c r="Q163" i="1"/>
  <c r="Q2566" i="1"/>
  <c r="Q2567" i="1"/>
  <c r="Q1809" i="1"/>
  <c r="Q597" i="1"/>
  <c r="Q2526" i="1"/>
  <c r="Q2568" i="1"/>
  <c r="Q915" i="1"/>
  <c r="Q1738" i="1"/>
  <c r="Q2570" i="1"/>
  <c r="Q502" i="1"/>
  <c r="Q1871" i="1"/>
  <c r="Q497" i="1"/>
  <c r="Q1614" i="1"/>
  <c r="Q615" i="1"/>
  <c r="Q1066" i="1"/>
  <c r="Q2571" i="1"/>
  <c r="BX2572" i="1"/>
  <c r="Q1899" i="1"/>
  <c r="Q741" i="1"/>
  <c r="Q1166" i="1"/>
  <c r="Q1627" i="1"/>
  <c r="Q2588" i="1"/>
  <c r="Q2072" i="1"/>
  <c r="Q1641" i="1"/>
  <c r="Q2589" i="1"/>
  <c r="Q843" i="1"/>
  <c r="Q1952" i="1"/>
  <c r="Q2593" i="1"/>
  <c r="Q2595" i="1"/>
  <c r="Q1907" i="1"/>
  <c r="Q601" i="1"/>
  <c r="Q2596" i="1"/>
  <c r="Q1677" i="1"/>
  <c r="Q2343" i="1"/>
  <c r="Q931" i="1"/>
  <c r="Q1719" i="1"/>
  <c r="Q1132" i="1"/>
  <c r="Q1115" i="1"/>
  <c r="Q501" i="1"/>
  <c r="Q1576" i="1"/>
  <c r="Q1986" i="1"/>
  <c r="Q2382" i="1"/>
  <c r="Q1814" i="1"/>
  <c r="Q2431" i="1"/>
  <c r="Q1269" i="1"/>
  <c r="Q2601" i="1"/>
  <c r="Q2452" i="1"/>
  <c r="Q2140" i="1"/>
  <c r="Q831" i="1"/>
  <c r="Q1096" i="1"/>
  <c r="Q2600" i="1"/>
  <c r="Q1894" i="1"/>
  <c r="Q451" i="1"/>
  <c r="Q539" i="1"/>
  <c r="Q1229" i="1"/>
  <c r="Q755" i="1"/>
  <c r="Q1266" i="1"/>
  <c r="Q2605" i="1"/>
  <c r="Q399" i="1"/>
  <c r="Q1538" i="1"/>
  <c r="Q1405" i="1"/>
  <c r="Q2607" i="1"/>
  <c r="BX2086" i="1"/>
  <c r="Q800" i="1"/>
  <c r="Q1301" i="1"/>
  <c r="Q319" i="1"/>
  <c r="Q2609" i="1"/>
  <c r="Q2512" i="1"/>
  <c r="Q691" i="1"/>
  <c r="Q761" i="1"/>
  <c r="Q2610" i="1"/>
  <c r="Q2612" i="1"/>
  <c r="Q2611" i="1"/>
  <c r="Q2613" i="1"/>
  <c r="Q2615" i="1"/>
  <c r="Q537" i="1"/>
  <c r="Q2614" i="1"/>
  <c r="Q2174" i="1"/>
  <c r="Q2616" i="1"/>
  <c r="Q825" i="1"/>
  <c r="Q1151" i="1"/>
  <c r="Q2594" i="1"/>
  <c r="Q2383" i="1"/>
  <c r="Q1297" i="1"/>
  <c r="Q1090" i="1"/>
  <c r="Q939" i="1"/>
  <c r="Q2617" i="1"/>
  <c r="Q1987" i="1"/>
  <c r="Q1506" i="1"/>
  <c r="Q1665" i="1"/>
  <c r="Q2618" i="1"/>
  <c r="Q2116" i="1"/>
  <c r="Q2619" i="1"/>
  <c r="Q1258" i="1"/>
  <c r="Q1823" i="1"/>
  <c r="Q614" i="1"/>
  <c r="Q1362" i="1"/>
  <c r="Q284" i="1"/>
  <c r="Q2016" i="1"/>
  <c r="Q412" i="1"/>
  <c r="Q2259" i="1"/>
  <c r="Q1430" i="1"/>
  <c r="Q992" i="1"/>
  <c r="Q1939" i="1"/>
  <c r="Q2326" i="1"/>
  <c r="Q1020" i="1"/>
  <c r="Q2476" i="1"/>
  <c r="Q2255" i="1"/>
  <c r="Q1771" i="1"/>
  <c r="Q1822" i="1"/>
  <c r="Q427" i="1"/>
  <c r="Q1397" i="1"/>
  <c r="Q2200" i="1"/>
  <c r="Q2625" i="1"/>
  <c r="Q2626" i="1"/>
  <c r="Q2063" i="1"/>
  <c r="Q354" i="1"/>
  <c r="Q338" i="1"/>
  <c r="Q1392" i="1"/>
  <c r="Q543" i="1"/>
  <c r="Q2450" i="1"/>
  <c r="Q291" i="1"/>
  <c r="Q341" i="1"/>
  <c r="Q5" i="1"/>
  <c r="Q1522" i="1"/>
  <c r="Q177" i="1"/>
  <c r="Q972" i="1"/>
  <c r="Q1778" i="1"/>
  <c r="Q846" i="1"/>
  <c r="Q1105" i="1"/>
  <c r="Q1453" i="1"/>
  <c r="Q2630" i="1"/>
  <c r="Q2440" i="1"/>
  <c r="Q2631" i="1"/>
  <c r="Q322" i="1"/>
  <c r="Q1466" i="1"/>
  <c r="Q1979" i="1"/>
  <c r="Q197" i="1"/>
  <c r="Q2182" i="1"/>
  <c r="Q2465" i="1"/>
  <c r="Q2632" i="1"/>
  <c r="Q775" i="1"/>
  <c r="Q2634" i="1"/>
  <c r="Q1100" i="1"/>
  <c r="Q2635" i="1"/>
  <c r="Q1546" i="1"/>
  <c r="Q1398" i="1"/>
  <c r="Q926" i="1"/>
  <c r="Q1158" i="1"/>
  <c r="Q1233" i="1"/>
  <c r="Q1448" i="1"/>
  <c r="Q311" i="1"/>
  <c r="Q2005" i="1"/>
  <c r="Q2031" i="1"/>
  <c r="Q2299" i="1"/>
  <c r="Q1861" i="1"/>
  <c r="Q1936" i="1"/>
  <c r="Q1470" i="1"/>
  <c r="Q899" i="1"/>
  <c r="Q547" i="1"/>
  <c r="Q2077" i="1"/>
  <c r="Q2128" i="1"/>
  <c r="Q879" i="1"/>
  <c r="Q2639" i="1"/>
  <c r="Q1889" i="1"/>
  <c r="Q2552" i="1"/>
  <c r="Q2058" i="1"/>
  <c r="Q1116" i="1"/>
  <c r="Q1345" i="1"/>
  <c r="Q1503" i="1"/>
  <c r="Q1389" i="1"/>
  <c r="Q2027" i="1"/>
  <c r="Q947" i="1"/>
  <c r="Q169" i="1"/>
  <c r="Q2642" i="1"/>
  <c r="Q1292" i="1"/>
  <c r="Q2215" i="1"/>
  <c r="Q2643" i="1"/>
  <c r="Q2644" i="1"/>
  <c r="Q569" i="1"/>
  <c r="Q1329" i="1"/>
  <c r="Q316" i="1"/>
  <c r="Q2561" i="1"/>
  <c r="Q799" i="1"/>
  <c r="Q2135" i="1"/>
  <c r="Q1606" i="1"/>
  <c r="Q2152" i="1"/>
  <c r="Q2226" i="1"/>
  <c r="Q1634" i="1"/>
  <c r="Q1249" i="1"/>
  <c r="Q1152" i="1"/>
  <c r="Q2649" i="1"/>
  <c r="Q315" i="1"/>
  <c r="Q1605" i="1"/>
  <c r="Q1635" i="1"/>
  <c r="Q540" i="1"/>
  <c r="Q590" i="1"/>
  <c r="Q730" i="1"/>
  <c r="Q718" i="1"/>
  <c r="Q612" i="1"/>
  <c r="Q904" i="1"/>
  <c r="Q2134" i="1"/>
  <c r="Q1805" i="1"/>
  <c r="Q2651" i="1"/>
  <c r="Q1821" i="1"/>
  <c r="Q1324" i="1"/>
  <c r="Q1884" i="1"/>
  <c r="Q2656" i="1"/>
  <c r="Q2159" i="1"/>
  <c r="Q1286" i="1"/>
  <c r="Q2655" i="1"/>
  <c r="Q1385" i="1"/>
  <c r="Q1638" i="1"/>
  <c r="Q2263" i="1"/>
  <c r="Q1154" i="1"/>
  <c r="Q1492" i="1"/>
  <c r="Q2660" i="1"/>
  <c r="Q2661" i="1"/>
  <c r="Q2662" i="1"/>
  <c r="Q1253" i="1"/>
  <c r="Q347" i="1"/>
  <c r="Q2663" i="1"/>
  <c r="Q379" i="1"/>
  <c r="Q1475" i="1"/>
  <c r="Q9" i="1"/>
  <c r="Q2664" i="1"/>
  <c r="Q1764" i="1"/>
  <c r="Q2665" i="1"/>
  <c r="Q2371" i="1"/>
  <c r="Q1749" i="1"/>
  <c r="Q6" i="1"/>
  <c r="Q337" i="1"/>
  <c r="Q746" i="1"/>
  <c r="Q2464" i="1"/>
  <c r="Q1792" i="1"/>
  <c r="Q1449" i="1"/>
  <c r="Q2669" i="1"/>
  <c r="Q1777" i="1"/>
  <c r="Q1958" i="1"/>
  <c r="Q2287" i="1"/>
  <c r="Q151" i="1"/>
  <c r="Q2670" i="1"/>
  <c r="Q1060" i="1"/>
  <c r="Q1106" i="1"/>
  <c r="Q1671" i="1"/>
  <c r="Q328" i="1"/>
  <c r="Q713" i="1"/>
  <c r="Q803" i="1"/>
  <c r="Q1565" i="1"/>
  <c r="Q1930" i="1"/>
  <c r="Q1524" i="1"/>
  <c r="Q672" i="1"/>
  <c r="Q1335" i="1"/>
  <c r="Q1790" i="1"/>
  <c r="Q1970" i="1"/>
  <c r="Q1518" i="1"/>
  <c r="Q2672" i="1"/>
  <c r="Q1941" i="1"/>
  <c r="Q2673" i="1"/>
  <c r="Q2674" i="1"/>
  <c r="Q840" i="1"/>
  <c r="Q1144" i="1"/>
  <c r="Q2144" i="1"/>
  <c r="Q1462" i="1"/>
  <c r="Q1208" i="1"/>
  <c r="Q2578" i="1"/>
  <c r="Q1526" i="1"/>
  <c r="Q2677" i="1"/>
  <c r="Q1489" i="1"/>
  <c r="Q1566" i="1"/>
  <c r="Q2380" i="1"/>
  <c r="Q883" i="1"/>
  <c r="Q1062" i="1"/>
  <c r="Q817" i="1"/>
  <c r="Q679" i="1"/>
  <c r="Q1739" i="1"/>
  <c r="Q1681" i="1"/>
  <c r="Q2679" i="1"/>
  <c r="Q1304" i="1"/>
  <c r="Q2681" i="1"/>
  <c r="Q2083" i="1"/>
  <c r="Q2545" i="1"/>
  <c r="BX722" i="1"/>
  <c r="Q2682" i="1"/>
  <c r="Q134" i="1"/>
  <c r="Q2169" i="1"/>
  <c r="Q2213" i="1"/>
  <c r="Q758" i="1"/>
  <c r="Q2683" i="1"/>
  <c r="Q541" i="1"/>
  <c r="Q1173" i="1"/>
  <c r="Q2684" i="1"/>
  <c r="Q2685" i="1"/>
  <c r="Q689" i="1"/>
  <c r="Q109" i="1"/>
  <c r="Q2687" i="1"/>
  <c r="Q1692" i="1"/>
  <c r="Q2692" i="1"/>
  <c r="Q2627" i="1"/>
  <c r="Q726" i="1"/>
  <c r="Q1390" i="1"/>
  <c r="Q356" i="1"/>
  <c r="Q1101" i="1"/>
  <c r="Q1369" i="1"/>
  <c r="Q1232" i="1"/>
  <c r="Q1591" i="1"/>
  <c r="Q678" i="1"/>
  <c r="Q2620" i="1"/>
  <c r="Q2267" i="1"/>
  <c r="Q2415" i="1"/>
  <c r="Q2696" i="1"/>
  <c r="Q816" i="1"/>
  <c r="Q426" i="1"/>
  <c r="Q2389" i="1"/>
  <c r="Q20" i="1"/>
  <c r="Q2697" i="1"/>
  <c r="BX1940" i="1"/>
  <c r="Q283" i="1"/>
  <c r="Q907" i="1"/>
  <c r="Q393" i="1"/>
  <c r="Q1214" i="1"/>
  <c r="Q110" i="1"/>
  <c r="Q2699" i="1"/>
  <c r="Q442" i="1"/>
  <c r="Q1753" i="1"/>
  <c r="Q1383" i="1"/>
  <c r="Q1461" i="1"/>
  <c r="Q797" i="1"/>
  <c r="Q19" i="1"/>
  <c r="Q1182" i="1"/>
  <c r="Q558" i="1"/>
  <c r="Q2043" i="1"/>
  <c r="Q1156" i="1"/>
  <c r="Q714" i="1"/>
  <c r="BX1676" i="1"/>
  <c r="Q2021" i="1"/>
  <c r="Q2700" i="1"/>
  <c r="Q424" i="1"/>
  <c r="Q2301" i="1"/>
  <c r="Q2246" i="1"/>
  <c r="Q2691" i="1"/>
  <c r="Q2703" i="1"/>
  <c r="Q1053" i="1"/>
  <c r="Q1599" i="1"/>
  <c r="Q1027" i="1"/>
  <c r="Q2292" i="1"/>
  <c r="Q360" i="1"/>
  <c r="Q2227" i="1"/>
  <c r="Q1933" i="1"/>
  <c r="Q2704" i="1"/>
  <c r="Q2432" i="1"/>
  <c r="Q2705" i="1"/>
  <c r="BX1750" i="1"/>
  <c r="Q2707" i="1"/>
  <c r="Q1014" i="1"/>
  <c r="Q573" i="1"/>
  <c r="Q706" i="1"/>
  <c r="Q2709" i="1"/>
  <c r="Q143" i="1"/>
  <c r="Q2510" i="1"/>
  <c r="Q1387" i="1"/>
  <c r="Q1919" i="1"/>
  <c r="Q1684" i="1"/>
  <c r="Q1033" i="1"/>
  <c r="Q1455" i="1"/>
  <c r="Q1862" i="1"/>
  <c r="Q1338" i="1"/>
  <c r="Q2711" i="1"/>
  <c r="Q2712" i="1"/>
  <c r="Q559" i="1"/>
  <c r="Q310" i="1"/>
  <c r="Q462" i="1"/>
  <c r="Q1103" i="1"/>
  <c r="Q1221" i="1"/>
  <c r="Q852" i="1"/>
  <c r="Q473" i="1"/>
  <c r="Q2093" i="1"/>
  <c r="Q2472" i="1"/>
  <c r="Q1680" i="1"/>
  <c r="Q2716" i="1"/>
  <c r="BX1076" i="1"/>
  <c r="Q330" i="1"/>
  <c r="Q908" i="1"/>
  <c r="Q508" i="1"/>
  <c r="Q1523" i="1"/>
  <c r="Q2101" i="1"/>
  <c r="Q2717" i="1"/>
  <c r="Q2718" i="1"/>
  <c r="Q1356" i="1"/>
  <c r="Q2719" i="1"/>
  <c r="Q1978" i="1"/>
  <c r="Q1359" i="1"/>
  <c r="Q837" i="1"/>
  <c r="Q934" i="1"/>
  <c r="Q2720" i="1"/>
  <c r="Q780" i="1"/>
  <c r="Q1781" i="1"/>
  <c r="Q1607" i="1"/>
  <c r="Q2521" i="1"/>
  <c r="Q1071" i="1"/>
  <c r="BX549" i="1"/>
  <c r="Q454" i="1"/>
  <c r="Q1230" i="1"/>
  <c r="Q1651" i="1"/>
  <c r="Q104" i="1"/>
  <c r="BX1092" i="1"/>
  <c r="Q389" i="1"/>
  <c r="Q1468" i="1"/>
  <c r="Q1588" i="1"/>
  <c r="Q1937" i="1"/>
  <c r="Q1742" i="1"/>
  <c r="Q2336" i="1"/>
  <c r="Q2724" i="1"/>
  <c r="Q1311" i="1"/>
  <c r="Q193" i="1"/>
  <c r="Q2726" i="1"/>
  <c r="Q2167" i="1"/>
  <c r="Q1235" i="1"/>
  <c r="Q422" i="1"/>
  <c r="Q968" i="1"/>
  <c r="Q2728" i="1"/>
  <c r="Q1923" i="1"/>
  <c r="Q164" i="1"/>
  <c r="Q2729" i="1"/>
  <c r="Q651" i="1"/>
  <c r="Q122" i="1"/>
  <c r="Q302" i="1"/>
  <c r="Q924" i="1"/>
  <c r="Q1703" i="1"/>
  <c r="Q2531" i="1"/>
  <c r="Q1997" i="1"/>
  <c r="Q1381" i="1"/>
  <c r="Q2366" i="1"/>
  <c r="Q350" i="1"/>
  <c r="Q1539" i="1"/>
  <c r="Q1220" i="1"/>
  <c r="Q2225" i="1"/>
  <c r="Q1354" i="1"/>
  <c r="Q688" i="1"/>
  <c r="Q2160" i="1"/>
  <c r="Q531" i="1"/>
  <c r="Q2099" i="1"/>
  <c r="Q554" i="1"/>
  <c r="Q2732" i="1"/>
  <c r="Q1981" i="1"/>
  <c r="Q2033" i="1"/>
  <c r="Q2733" i="1"/>
  <c r="Q2723" i="1"/>
  <c r="Q1649" i="1"/>
  <c r="Q826" i="1"/>
  <c r="Q1073" i="1"/>
  <c r="Q1223" i="1"/>
  <c r="Q1785" i="1"/>
  <c r="Q1107" i="1"/>
  <c r="Q286" i="1"/>
  <c r="Q1724" i="1"/>
  <c r="Q1240" i="1"/>
  <c r="Q2113" i="1"/>
  <c r="BX712" i="1"/>
  <c r="BX2736" i="1"/>
  <c r="Q2737" i="1"/>
  <c r="Q2738" i="1"/>
  <c r="Q2730" i="1"/>
  <c r="Q2296" i="1"/>
  <c r="Q2067" i="1"/>
  <c r="Q790" i="1"/>
  <c r="Q1395" i="1"/>
  <c r="Q1289" i="1"/>
  <c r="Q1554" i="1"/>
  <c r="Q1087" i="1"/>
  <c r="Q2400" i="1"/>
  <c r="Q1039" i="1"/>
  <c r="Q140" i="1"/>
  <c r="Q884" i="1"/>
  <c r="Q2740" i="1"/>
  <c r="Q2741" i="1"/>
  <c r="Q1147" i="1"/>
  <c r="Q2599" i="1"/>
  <c r="Q768" i="1"/>
  <c r="Q2009" i="1"/>
  <c r="Q1126" i="1"/>
  <c r="Q285" i="1"/>
  <c r="BX2739" i="1"/>
  <c r="Q2106" i="1"/>
  <c r="Q859" i="1"/>
  <c r="Q2743" i="1"/>
  <c r="Q1065" i="1"/>
  <c r="Q334" i="1"/>
  <c r="Q1616" i="1"/>
  <c r="Q1097" i="1"/>
  <c r="Q2745" i="1"/>
  <c r="Q160" i="1"/>
  <c r="Q468" i="1"/>
  <c r="Q634" i="1"/>
  <c r="Q795" i="1"/>
  <c r="Q380" i="1"/>
  <c r="Q1037" i="1"/>
  <c r="Q2245" i="1"/>
  <c r="Q2280" i="1"/>
  <c r="BX2356" i="1"/>
  <c r="Q2268" i="1"/>
  <c r="Q494" i="1"/>
  <c r="Q2148" i="1"/>
  <c r="Q2359" i="1"/>
  <c r="Q2337" i="1"/>
  <c r="Q1545" i="1"/>
  <c r="Q1368" i="1"/>
  <c r="Q2749" i="1"/>
  <c r="Q2312" i="1"/>
  <c r="Q618" i="1"/>
  <c r="Q668" i="1"/>
  <c r="Q2750" i="1"/>
  <c r="Q2175" i="1"/>
  <c r="Q2751" i="1"/>
  <c r="BX1824" i="1"/>
  <c r="Q1942" i="1"/>
  <c r="Q1279" i="1"/>
  <c r="Q2753" i="1"/>
  <c r="Q123" i="1"/>
  <c r="Q2399" i="1"/>
  <c r="Q1153" i="1"/>
  <c r="Q1436" i="1"/>
  <c r="Q2755" i="1"/>
  <c r="Q2424" i="1"/>
  <c r="Q836" i="1"/>
  <c r="Q2153" i="1"/>
  <c r="Q460" i="1"/>
  <c r="Q1058" i="1"/>
  <c r="Q1255" i="1"/>
  <c r="Q757" i="1"/>
  <c r="Q2761" i="1"/>
  <c r="Q716" i="1"/>
  <c r="Q1813" i="1"/>
  <c r="Q1348" i="1"/>
  <c r="Q1646" i="1"/>
  <c r="Q922" i="1"/>
  <c r="Q2762" i="1"/>
  <c r="Q2763" i="1"/>
  <c r="Q2764" i="1"/>
  <c r="Q1831" i="1"/>
  <c r="Q2766" i="1"/>
  <c r="Q752" i="1"/>
  <c r="Q2767" i="1"/>
  <c r="Q646" i="1"/>
  <c r="Q2418" i="1"/>
  <c r="Q2066" i="1"/>
  <c r="Q1178" i="1"/>
  <c r="Q1259" i="1"/>
  <c r="Q556" i="1"/>
  <c r="Q2962" i="1"/>
  <c r="Q1640" i="1"/>
  <c r="Q192" i="1"/>
  <c r="Q1921" i="1"/>
  <c r="Q2117" i="1"/>
  <c r="Q2966" i="1"/>
  <c r="Q2967" i="1"/>
  <c r="Q2968" i="1"/>
  <c r="Q345" i="1"/>
  <c r="Q2701" i="1"/>
  <c r="Q1406" i="1"/>
  <c r="Q2203" i="1"/>
  <c r="Q2054" i="1"/>
  <c r="Q860" i="1"/>
  <c r="Q1188" i="1"/>
  <c r="Q916" i="1"/>
  <c r="Q609" i="1"/>
  <c r="Q2970" i="1"/>
  <c r="Q2971" i="1"/>
  <c r="Q1441" i="1"/>
  <c r="Q1904" i="1"/>
  <c r="Q479" i="1"/>
  <c r="Q2527" i="1"/>
  <c r="Q1513" i="1"/>
  <c r="Q2972" i="1"/>
  <c r="Q889" i="1"/>
  <c r="Q1360" i="1"/>
  <c r="Q1437" i="1"/>
  <c r="Q2089" i="1"/>
  <c r="Q809" i="1"/>
  <c r="Q1715" i="1"/>
  <c r="Q2694" i="1"/>
  <c r="Q2335" i="1"/>
  <c r="Q2974" i="1"/>
  <c r="Q1948" i="1"/>
  <c r="Q753" i="1"/>
  <c r="Q2040" i="1"/>
  <c r="Q2426" i="1"/>
  <c r="Q2302" i="1"/>
  <c r="Q1082" i="1"/>
  <c r="BX1765" i="1"/>
  <c r="Q1956" i="1"/>
  <c r="Q2020" i="1"/>
  <c r="Q1786" i="1"/>
  <c r="Q2166" i="1"/>
  <c r="Q1165" i="1"/>
  <c r="Q1833" i="1"/>
  <c r="Q2523" i="1"/>
  <c r="Q2289" i="1"/>
  <c r="Q940" i="1"/>
  <c r="Q490" i="1"/>
  <c r="Q1088" i="1"/>
  <c r="Q2980" i="1"/>
  <c r="Q2981" i="1"/>
  <c r="Q1063" i="1"/>
  <c r="Q623" i="1"/>
  <c r="Q794" i="1"/>
  <c r="Q138" i="1"/>
  <c r="Q1975" i="1"/>
  <c r="Q2122" i="1"/>
  <c r="Q2478" i="1"/>
  <c r="Q499" i="1"/>
  <c r="Q2946" i="1"/>
  <c r="Q2282" i="1"/>
  <c r="Q525" i="1"/>
  <c r="Q1250" i="1"/>
  <c r="Q878" i="1"/>
  <c r="Q3000" i="1"/>
  <c r="Q1089" i="1"/>
  <c r="Q747" i="1"/>
  <c r="Q1420" i="1"/>
  <c r="Q1669" i="1"/>
  <c r="Q293" i="1"/>
  <c r="Q2633" i="1"/>
  <c r="Q946" i="1"/>
  <c r="BX1550" i="1"/>
  <c r="Q2219" i="1"/>
  <c r="Q645" i="1"/>
  <c r="Q2483" i="1"/>
  <c r="Q3004" i="1"/>
  <c r="Q2143" i="1"/>
  <c r="Q3005" i="1"/>
  <c r="Q642" i="1"/>
  <c r="Q2032" i="1"/>
  <c r="Q798" i="1"/>
  <c r="Q2025" i="1"/>
  <c r="Q995" i="1"/>
  <c r="Q3006" i="1"/>
  <c r="Q3008" i="1"/>
  <c r="Q555" i="1"/>
  <c r="Q1690" i="1"/>
  <c r="Q1091" i="1"/>
  <c r="Q1946" i="1"/>
  <c r="Q2984" i="1"/>
  <c r="Q1330" i="1"/>
  <c r="Q3009" i="1"/>
  <c r="BX532" i="1"/>
  <c r="Q1655" i="1"/>
  <c r="Q3011" i="1"/>
  <c r="Q1746" i="1"/>
  <c r="Q2551" i="1"/>
  <c r="Q317" i="1"/>
  <c r="Q1497" i="1"/>
  <c r="Q3013" i="1"/>
  <c r="Q2286" i="1"/>
  <c r="Q2201" i="1"/>
  <c r="Q2014" i="1"/>
  <c r="Q733" i="1"/>
  <c r="Q1438" i="1"/>
  <c r="Q1712" i="1"/>
  <c r="Q2107" i="1"/>
  <c r="Q1004" i="1"/>
  <c r="Q298" i="1"/>
  <c r="Q1571" i="1"/>
  <c r="Q2244" i="1"/>
  <c r="Q1590" i="1"/>
  <c r="Q1718" i="1"/>
  <c r="Q1514" i="1"/>
  <c r="Q3016" i="1"/>
  <c r="Q881" i="1"/>
  <c r="Q2105" i="1"/>
  <c r="Q1077" i="1"/>
  <c r="Q1196" i="1"/>
  <c r="Q2104" i="1"/>
  <c r="Q2275" i="1"/>
  <c r="Q900" i="1"/>
  <c r="Q909" i="1"/>
  <c r="Q1657" i="1"/>
  <c r="Q1825" i="1"/>
  <c r="Q3017" i="1"/>
  <c r="Q113" i="1"/>
  <c r="Q438" i="1"/>
  <c r="Q1735" i="1"/>
  <c r="Q1482" i="1"/>
  <c r="Q2396" i="1"/>
  <c r="Q385" i="1"/>
  <c r="Q2195" i="1"/>
  <c r="Q333" i="1"/>
  <c r="Q1909" i="1"/>
  <c r="Q870" i="1"/>
  <c r="Q2146" i="1"/>
  <c r="Q2087" i="1"/>
  <c r="Q2385" i="1"/>
  <c r="Q1666" i="1"/>
  <c r="Q1210" i="1"/>
  <c r="Q774" i="1"/>
  <c r="Q176" i="1"/>
  <c r="Q890" i="1"/>
  <c r="Q1157" i="1"/>
  <c r="Q3020" i="1"/>
  <c r="Q3021" i="1"/>
  <c r="Q1650" i="1"/>
  <c r="Q1654" i="1"/>
  <c r="Q1507" i="1"/>
  <c r="Q2179" i="1"/>
  <c r="Q2223" i="1"/>
  <c r="Q1442" i="1"/>
  <c r="Q2177" i="1"/>
  <c r="Q1146" i="1"/>
  <c r="Q3023" i="1"/>
  <c r="Q2029" i="1"/>
  <c r="Q1003" i="1"/>
  <c r="Q3024" i="1"/>
  <c r="Q1386" i="1"/>
  <c r="Q729" i="1"/>
  <c r="Q1469" i="1"/>
  <c r="Q282" i="1"/>
  <c r="Q3027" i="1"/>
  <c r="Q509" i="1"/>
  <c r="Q1485" i="1"/>
  <c r="Q771" i="1"/>
  <c r="Q3029" i="1"/>
  <c r="Q2300" i="1"/>
  <c r="Q3030" i="1"/>
  <c r="Q998" i="1"/>
  <c r="Q815" i="1"/>
  <c r="Q1051" i="1"/>
  <c r="Q3032" i="1"/>
  <c r="Q3028" i="1"/>
  <c r="Q1052" i="1"/>
  <c r="Q2822" i="1"/>
  <c r="Q3033" i="1"/>
  <c r="Q3034" i="1"/>
  <c r="Q392" i="1"/>
  <c r="Q3035" i="1"/>
  <c r="Q2403" i="1"/>
  <c r="Q2603" i="1"/>
  <c r="Q3036" i="1"/>
  <c r="Q1779" i="1"/>
  <c r="Q1870" i="1"/>
  <c r="Q693" i="1"/>
  <c r="Q1486" i="1"/>
  <c r="Q1639" i="1"/>
  <c r="Q486" i="1"/>
  <c r="Q2469" i="1"/>
  <c r="Q994" i="1"/>
  <c r="Q1127" i="1"/>
  <c r="Q3038" i="1"/>
  <c r="Q1303" i="1"/>
  <c r="Q1247" i="1"/>
  <c r="Q1990" i="1"/>
  <c r="BX2097" i="1"/>
  <c r="Q1445" i="1"/>
  <c r="Q470" i="1"/>
  <c r="Q1108" i="1"/>
  <c r="Q3043" i="1"/>
  <c r="Q3044" i="1"/>
  <c r="Q1652" i="1"/>
  <c r="Q158" i="1"/>
  <c r="Q1717" i="1"/>
  <c r="Q3045" i="1"/>
  <c r="Q370" i="1"/>
  <c r="Q2509" i="1"/>
  <c r="Q551" i="1"/>
  <c r="Q1912" i="1"/>
  <c r="Q466" i="1"/>
  <c r="Q3046" i="1"/>
  <c r="Q3047" i="1"/>
  <c r="Q1197" i="1"/>
  <c r="Q1236" i="1"/>
  <c r="Q1159" i="1"/>
  <c r="Q1534" i="1"/>
  <c r="Q1125" i="1"/>
  <c r="Q3050" i="1"/>
  <c r="Q1109" i="1"/>
  <c r="Q3052" i="1"/>
  <c r="Q643" i="1"/>
  <c r="Q2349" i="1"/>
  <c r="Q3053" i="1"/>
  <c r="Q157" i="1"/>
  <c r="Q1783" i="1"/>
  <c r="Q1509" i="1"/>
  <c r="Q728" i="1"/>
  <c r="Q1444" i="1"/>
  <c r="Q3054" i="1"/>
  <c r="Q2142" i="1"/>
  <c r="Q1579" i="1"/>
  <c r="Q2274" i="1"/>
  <c r="Q396" i="1"/>
  <c r="Q2351" i="1"/>
  <c r="Q538" i="1"/>
  <c r="Q2085" i="1"/>
  <c r="Q3056" i="1"/>
  <c r="Q394" i="1"/>
  <c r="Q3058" i="1"/>
  <c r="Q3059" i="1"/>
  <c r="Q1098" i="1"/>
  <c r="Q1170" i="1"/>
  <c r="Q1702" i="1"/>
  <c r="Q1516" i="1"/>
  <c r="Q1860" i="1"/>
  <c r="BX2242" i="1"/>
  <c r="Q2187" i="1"/>
  <c r="Q3060" i="1"/>
  <c r="Q834" i="1"/>
  <c r="Q906" i="1"/>
  <c r="Q1584" i="1"/>
  <c r="Q1769" i="1"/>
  <c r="Q1928" i="1"/>
  <c r="Q1262" i="1"/>
  <c r="Q1900" i="1"/>
  <c r="Q1305" i="1"/>
  <c r="Q3063" i="1"/>
  <c r="Q828" i="1"/>
  <c r="Q2560" i="1"/>
  <c r="Q1288" i="1"/>
  <c r="Q1842" i="1"/>
  <c r="Q3064" i="1"/>
  <c r="Q805" i="1"/>
  <c r="Q3065" i="1"/>
  <c r="Q1440" i="1"/>
  <c r="Q3066" i="1"/>
  <c r="Q1172" i="1"/>
  <c r="Q1743" i="1"/>
  <c r="Q2042" i="1"/>
  <c r="Q320" i="1"/>
  <c r="Q2216" i="1"/>
  <c r="Q3067" i="1"/>
  <c r="Q873" i="1"/>
  <c r="Q1075" i="1"/>
  <c r="Q3068" i="1"/>
  <c r="Q3069" i="1"/>
  <c r="Q3070" i="1"/>
  <c r="Q842" i="1"/>
  <c r="Q1274" i="1"/>
  <c r="Q987" i="1"/>
  <c r="Q1128" i="1"/>
  <c r="Q2059" i="1"/>
  <c r="Q1745" i="1"/>
  <c r="Q375" i="1"/>
  <c r="Q1776" i="1"/>
  <c r="Q2254" i="1"/>
  <c r="Q343" i="1"/>
  <c r="Q3072" i="1"/>
  <c r="Q339" i="1"/>
  <c r="Q944" i="1"/>
  <c r="Q2324" i="1"/>
  <c r="Q3022" i="1"/>
  <c r="Q854" i="1"/>
  <c r="Q616" i="1"/>
  <c r="Q864" i="1"/>
  <c r="Q1610" i="1"/>
  <c r="Q1600" i="1"/>
  <c r="Q2485" i="1"/>
  <c r="Q3073" i="1"/>
  <c r="Q1932" i="1"/>
  <c r="Q1284" i="1"/>
  <c r="Q865" i="1"/>
  <c r="Q1161" i="1"/>
  <c r="Q1532" i="1"/>
  <c r="Q3" i="1"/>
  <c r="Q3075" i="1"/>
  <c r="Q876" i="1"/>
  <c r="Q8" i="1"/>
  <c r="Q517" i="1"/>
  <c r="Q959" i="1"/>
  <c r="Q1517" i="1"/>
  <c r="Q3077" i="1"/>
  <c r="Q1038" i="1"/>
  <c r="Q1316" i="1"/>
  <c r="Q1227" i="1"/>
  <c r="Q1260" i="1"/>
  <c r="Q978" i="1"/>
  <c r="Q149" i="1"/>
  <c r="Q3051" i="1"/>
  <c r="Q1418" i="1"/>
  <c r="Q2007" i="1"/>
  <c r="Q2258" i="1"/>
  <c r="Q2499" i="1"/>
  <c r="Q3083" i="1"/>
  <c r="Q505" i="1"/>
  <c r="Q1238" i="1"/>
  <c r="Q938" i="1"/>
  <c r="Q1798" i="1"/>
  <c r="Q921" i="1"/>
  <c r="Q1670" i="1"/>
  <c r="Q2052" i="1"/>
  <c r="Q2548" i="1"/>
  <c r="Q2164" i="1"/>
  <c r="Q639" i="1"/>
  <c r="Q1525" i="1"/>
  <c r="BX3085" i="1"/>
  <c r="Q4" i="1"/>
  <c r="Q1829" i="1"/>
  <c r="Q2391" i="1"/>
  <c r="Q1760" i="1"/>
  <c r="Q2744" i="1"/>
  <c r="BX2558" i="1"/>
  <c r="Q2123" i="1"/>
  <c r="Q955" i="1"/>
  <c r="Q690" i="1"/>
  <c r="Q1318" i="1"/>
  <c r="Q2459" i="1"/>
  <c r="Q1201" i="1"/>
  <c r="Q2158" i="1"/>
  <c r="Q953" i="1"/>
  <c r="Q1761" i="1"/>
  <c r="Q1265" i="1"/>
  <c r="Q2257" i="1"/>
  <c r="Q1799" i="1"/>
  <c r="Q3088" i="1"/>
  <c r="Q625" i="1"/>
  <c r="Q989" i="1"/>
  <c r="Q1935" i="1"/>
  <c r="Q1575" i="1"/>
  <c r="Q290" i="1"/>
  <c r="Q2290" i="1"/>
  <c r="Q764" i="1"/>
  <c r="Q1892" i="1"/>
  <c r="Q346" i="1"/>
  <c r="Q1120" i="1"/>
  <c r="Q898" i="1"/>
  <c r="Q863" i="1"/>
  <c r="Q2439" i="1"/>
  <c r="Q581" i="1"/>
  <c r="Q830" i="1"/>
  <c r="Q2407" i="1"/>
  <c r="Q1696" i="1"/>
  <c r="Q3091" i="1"/>
  <c r="Q1521" i="1"/>
  <c r="Q1234" i="1"/>
  <c r="Q2098" i="1"/>
  <c r="Q520" i="1"/>
  <c r="Q2376" i="1"/>
  <c r="Q2111" i="1"/>
  <c r="Q527" i="1"/>
  <c r="Q2295" i="1"/>
  <c r="Q704" i="1"/>
  <c r="Q2496" i="1"/>
  <c r="Q1955" i="1"/>
  <c r="Q3092" i="1"/>
  <c r="Q3096" i="1"/>
  <c r="Q877" i="1"/>
  <c r="Q3099" i="1"/>
  <c r="Q147" i="1"/>
  <c r="Q3100" i="1"/>
  <c r="Q902" i="1"/>
  <c r="Q3098" i="1"/>
  <c r="Q1725" i="1"/>
  <c r="Q1194" i="1"/>
  <c r="Q552" i="1"/>
  <c r="Q2369" i="1"/>
  <c r="Q2463" i="1"/>
  <c r="Q3102" i="1"/>
  <c r="Q1254" i="1"/>
  <c r="Q875" i="1"/>
  <c r="Q654" i="1"/>
  <c r="Q1218" i="1"/>
  <c r="Q306" i="1"/>
  <c r="Q2467" i="1"/>
  <c r="Q1085" i="1"/>
  <c r="Q507" i="1"/>
  <c r="Q783" i="1"/>
  <c r="Q528" i="1"/>
  <c r="Q3105" i="1"/>
  <c r="Q3106" i="1"/>
  <c r="Q1925" i="1"/>
  <c r="Q1057" i="1"/>
  <c r="Q960" i="1"/>
  <c r="Q3108" i="1"/>
  <c r="BX1895" i="1"/>
  <c r="Q3107" i="1"/>
  <c r="Q404" i="1"/>
  <c r="Q1528" i="1"/>
  <c r="Q3110" i="1"/>
  <c r="Q533" i="1"/>
  <c r="Q1567" i="1"/>
  <c r="Q129" i="1"/>
  <c r="Q970" i="1"/>
  <c r="Q3113" i="1"/>
  <c r="Q3114" i="1"/>
  <c r="Q3112" i="1"/>
  <c r="Q3115" i="1"/>
  <c r="Q892" i="1"/>
  <c r="Q327" i="1"/>
  <c r="Q300" i="1"/>
  <c r="Q1960" i="1"/>
  <c r="Q663" i="1"/>
  <c r="Q1630" i="1"/>
  <c r="Q1944" i="1"/>
  <c r="Q1547" i="1"/>
  <c r="Q3116" i="1"/>
  <c r="Q891" i="1"/>
  <c r="Q1996" i="1"/>
  <c r="Q636" i="1"/>
  <c r="Q1228" i="1"/>
  <c r="Q680" i="1"/>
  <c r="Q1886" i="1"/>
  <c r="Q2073" i="1"/>
  <c r="Q2308" i="1"/>
  <c r="Q769" i="1"/>
  <c r="Q935" i="1"/>
  <c r="Q2205" i="1"/>
  <c r="Q563" i="1"/>
  <c r="Q1733" i="1"/>
  <c r="Q3120" i="1"/>
  <c r="Q1078" i="1"/>
  <c r="Q666" i="1"/>
  <c r="Q1342" i="1"/>
  <c r="Q529" i="1"/>
  <c r="Q698" i="1"/>
  <c r="Q2355" i="1"/>
  <c r="Q3121" i="1"/>
  <c r="Q1366" i="1"/>
  <c r="Q1282" i="1"/>
  <c r="Q1206" i="1"/>
  <c r="Q3122" i="1"/>
  <c r="Q2276" i="1"/>
  <c r="Q1828" i="1"/>
  <c r="Q1499" i="1"/>
  <c r="Q2136" i="1"/>
  <c r="Q3124" i="1"/>
  <c r="Q363" i="1"/>
  <c r="Q420" i="1"/>
  <c r="Q1133" i="1"/>
  <c r="Q3126" i="1"/>
  <c r="Q1795" i="1"/>
  <c r="Q975" i="1"/>
  <c r="Q3127" i="1"/>
  <c r="Q2372" i="1"/>
  <c r="Q3128" i="1"/>
  <c r="Q548" i="1"/>
  <c r="Q1768" i="1"/>
  <c r="Q2404" i="1"/>
  <c r="Q1770" i="1"/>
  <c r="Q3130" i="1"/>
  <c r="Q2466" i="1"/>
  <c r="Q2332" i="1"/>
  <c r="Q2346" i="1"/>
  <c r="Q3132" i="1"/>
  <c r="Q2546" i="1"/>
  <c r="Q156" i="1"/>
  <c r="Q2241" i="1"/>
  <c r="Q2305" i="1"/>
  <c r="Q2124" i="1"/>
  <c r="Q3133" i="1"/>
  <c r="Q2495" i="1"/>
  <c r="Q1971" i="1"/>
  <c r="Q3136" i="1"/>
  <c r="Q3137" i="1"/>
  <c r="Q3135" i="1"/>
  <c r="Q1716" i="1"/>
  <c r="Q827" i="1"/>
  <c r="Q2518" i="1"/>
  <c r="Q1995" i="1"/>
  <c r="Q1241" i="1"/>
  <c r="Q2118" i="1"/>
  <c r="Q3139" i="1"/>
  <c r="Q198" i="1"/>
  <c r="Q3138" i="1"/>
  <c r="Q1275" i="1"/>
  <c r="Q1501" i="1"/>
  <c r="Q1046" i="1"/>
  <c r="Q510" i="1"/>
  <c r="Q524" i="1"/>
  <c r="Q1569" i="1"/>
  <c r="Q205" i="1"/>
  <c r="Q1644" i="1"/>
  <c r="Q1563" i="1"/>
  <c r="Q605" i="1"/>
  <c r="Q1068" i="1"/>
  <c r="Q173" i="1"/>
  <c r="Q2256" i="1"/>
  <c r="Q3143" i="1"/>
  <c r="Q1487" i="1"/>
  <c r="Q3144" i="1"/>
  <c r="Q513" i="1"/>
  <c r="Q1328" i="1"/>
  <c r="Q1633" i="1"/>
  <c r="Q1949" i="1"/>
  <c r="Q1875" i="1"/>
  <c r="Q3145" i="1"/>
  <c r="Q3146" i="1"/>
  <c r="Q2848" i="1"/>
  <c r="Q1270" i="1"/>
  <c r="Q662" i="1"/>
  <c r="Q146" i="1"/>
  <c r="BX1278" i="1"/>
  <c r="Q1409" i="1"/>
  <c r="Q3147" i="1"/>
  <c r="Q1276" i="1"/>
  <c r="Q1762" i="1"/>
  <c r="BX1361" i="1"/>
  <c r="Q1015" i="1"/>
  <c r="BX1431" i="1"/>
  <c r="Q3148" i="1"/>
  <c r="Q124" i="1"/>
  <c r="Q1402" i="1"/>
  <c r="Q1419" i="1"/>
  <c r="Q649" i="1"/>
  <c r="Q2019" i="1"/>
  <c r="Q2041" i="1"/>
  <c r="Q641" i="1"/>
  <c r="BX2628" i="1"/>
  <c r="Q3150" i="1"/>
  <c r="Q2352" i="1"/>
  <c r="Q1752" i="1"/>
  <c r="Q1331" i="1"/>
  <c r="Q966" i="1"/>
  <c r="Q1595" i="1"/>
  <c r="Q2480" i="1"/>
  <c r="BX1460" i="1"/>
  <c r="Q3152" i="1"/>
  <c r="Q1295" i="1"/>
  <c r="Q3153" i="1"/>
  <c r="Q456" i="1"/>
  <c r="Q1794" i="1"/>
  <c r="Q3154" i="1"/>
  <c r="Q1914" i="1"/>
  <c r="Q3156" i="1"/>
  <c r="Q3157" i="1"/>
  <c r="Q199" i="1"/>
  <c r="Q3158" i="1"/>
  <c r="Q810" i="1"/>
  <c r="Q423" i="1"/>
  <c r="Q3159" i="1"/>
  <c r="Q604" i="1"/>
  <c r="Q166" i="1"/>
  <c r="Q1287" i="1"/>
  <c r="Q1211" i="1"/>
  <c r="Q116" i="1"/>
  <c r="Q550" i="1"/>
  <c r="Q702" i="1"/>
  <c r="Q429" i="1"/>
  <c r="Q2188" i="1"/>
  <c r="Q928" i="1"/>
  <c r="Q3162" i="1"/>
  <c r="Q1905" i="1"/>
  <c r="Q2530" i="1"/>
  <c r="Q421" i="1"/>
  <c r="Q2438" i="1"/>
  <c r="Q1549" i="1"/>
  <c r="Q415" i="1"/>
  <c r="Q191" i="1"/>
  <c r="Q1433" i="1"/>
  <c r="Q2003" i="1"/>
  <c r="Q452" i="1"/>
  <c r="Q2030" i="1"/>
  <c r="Q855" i="1"/>
  <c r="BX2504" i="1"/>
  <c r="Q3164" i="1"/>
  <c r="Q2154" i="1"/>
  <c r="Q165" i="1"/>
  <c r="Q430" i="1"/>
  <c r="Q506" i="1"/>
  <c r="Q1879" i="1"/>
  <c r="Q1819" i="1"/>
  <c r="Q3165" i="1"/>
  <c r="Q1943" i="1"/>
  <c r="Q1748" i="1"/>
  <c r="Q1294" i="1"/>
  <c r="Q3166" i="1"/>
  <c r="Q1017" i="1"/>
  <c r="Q974" i="1"/>
  <c r="Q3131" i="1"/>
  <c r="Q895" i="1"/>
  <c r="Q2381" i="1"/>
  <c r="Q3167" i="1"/>
  <c r="BX920" i="1"/>
  <c r="Q2103" i="1"/>
  <c r="Q3168" i="1"/>
  <c r="Q1734" i="1"/>
  <c r="Q3169" i="1"/>
  <c r="Q1327" i="1"/>
  <c r="Q2636" i="1"/>
  <c r="Q1169" i="1"/>
  <c r="Q1693" i="1"/>
  <c r="BX3170" i="1"/>
  <c r="Q2065" i="1"/>
  <c r="Q2304" i="1"/>
  <c r="Q897" i="1"/>
  <c r="Q1391" i="1"/>
  <c r="Q1064" i="1"/>
  <c r="Q2090" i="1"/>
  <c r="Q1773" i="1"/>
  <c r="Q3171" i="1"/>
  <c r="Q3172" i="1"/>
  <c r="Q1145" i="1"/>
  <c r="Q2288" i="1"/>
  <c r="Q185" i="1"/>
  <c r="Q857" i="1"/>
  <c r="Q3097" i="1"/>
  <c r="Q3197" i="1"/>
  <c r="Q2433" i="1"/>
  <c r="Q492" i="1"/>
  <c r="Q1150" i="1"/>
  <c r="Q880" i="1"/>
  <c r="Q3198" i="1"/>
  <c r="Q1951" i="1"/>
  <c r="Q760" i="1"/>
  <c r="Q738" i="1"/>
  <c r="Q3203" i="1"/>
  <c r="Q2315" i="1"/>
  <c r="Q1463" i="1"/>
  <c r="Q418" i="1"/>
  <c r="Q21" i="1"/>
  <c r="Q1439" i="1"/>
  <c r="Q303" i="1"/>
  <c r="Q2489" i="1"/>
  <c r="Q1686" i="1"/>
  <c r="Q3204" i="1"/>
  <c r="Q3205" i="1"/>
  <c r="Q335" i="1"/>
  <c r="Q1617" i="1"/>
  <c r="Q3206" i="1"/>
  <c r="O84" i="9"/>
  <c r="O113" i="9"/>
  <c r="O73" i="9"/>
  <c r="O82" i="9"/>
  <c r="O81" i="9"/>
  <c r="H62" i="9"/>
  <c r="P71" i="9"/>
  <c r="H92" i="9"/>
  <c r="O72" i="9"/>
  <c r="E113" i="9"/>
  <c r="P82" i="9"/>
  <c r="E59" i="9"/>
  <c r="K114" i="9"/>
  <c r="P83" i="9"/>
  <c r="L95" i="9"/>
  <c r="L80" i="9"/>
  <c r="O80" i="9"/>
  <c r="K94" i="9"/>
  <c r="L106" i="9"/>
  <c r="E117" i="9"/>
  <c r="P84" i="9"/>
  <c r="O93" i="9"/>
  <c r="E95" i="9"/>
  <c r="P104" i="9"/>
  <c r="E115" i="9"/>
  <c r="P80" i="9"/>
  <c r="K80" i="9"/>
  <c r="K73" i="9"/>
  <c r="P73" i="9"/>
  <c r="K71" i="9"/>
  <c r="P92" i="9"/>
  <c r="H23" i="9"/>
  <c r="E82" i="9"/>
  <c r="E9" i="9"/>
  <c r="P50" i="9"/>
  <c r="E106" i="9"/>
  <c r="F6" i="9"/>
  <c r="E51" i="9"/>
  <c r="E5" i="9"/>
  <c r="P48" i="9"/>
  <c r="O62" i="9"/>
  <c r="F21" i="9"/>
  <c r="H47" i="9"/>
  <c r="Q47" i="9"/>
  <c r="E7" i="9"/>
  <c r="E22" i="9"/>
  <c r="E47" i="9"/>
  <c r="F9" i="9"/>
  <c r="K60" i="9"/>
  <c r="E73" i="9"/>
  <c r="L62" i="9"/>
  <c r="H83" i="9"/>
  <c r="E72" i="9"/>
  <c r="K49" i="9"/>
  <c r="F20" i="9"/>
  <c r="F22" i="9"/>
  <c r="H24" i="9"/>
  <c r="O58" i="9"/>
  <c r="P59" i="9"/>
  <c r="H21" i="9"/>
  <c r="Q50" i="9"/>
  <c r="O104" i="9"/>
  <c r="O71" i="9"/>
  <c r="O91" i="9"/>
  <c r="E58" i="9"/>
  <c r="E94" i="9"/>
  <c r="L93" i="9"/>
  <c r="O95" i="9"/>
  <c r="H105" i="9"/>
  <c r="H94" i="9"/>
  <c r="O70" i="9"/>
  <c r="K104" i="9"/>
  <c r="P106" i="9"/>
  <c r="L70" i="9"/>
  <c r="P94" i="9"/>
  <c r="E93" i="9"/>
  <c r="E48" i="9"/>
  <c r="H82" i="9"/>
  <c r="K58" i="9"/>
  <c r="E35" i="9"/>
  <c r="P60" i="9"/>
  <c r="E21" i="9"/>
  <c r="M49" i="9"/>
  <c r="E70" i="9"/>
  <c r="H80" i="9"/>
  <c r="F32" i="9"/>
  <c r="H50" i="9"/>
  <c r="K51" i="9"/>
  <c r="E84" i="9"/>
  <c r="P51" i="9"/>
  <c r="K106" i="9"/>
  <c r="O114" i="9"/>
  <c r="O116" i="9"/>
  <c r="H117" i="9"/>
  <c r="P103" i="9"/>
  <c r="H114" i="9"/>
  <c r="K115" i="9"/>
  <c r="K91" i="9"/>
  <c r="L72" i="9"/>
  <c r="H61" i="9"/>
  <c r="E116" i="9"/>
  <c r="H93" i="9"/>
  <c r="E92" i="9"/>
  <c r="K93" i="9"/>
  <c r="H104" i="9"/>
  <c r="H102" i="9"/>
  <c r="E61" i="9"/>
  <c r="K84" i="9"/>
  <c r="L81" i="9"/>
  <c r="K102" i="9"/>
  <c r="H115" i="9"/>
  <c r="K70" i="9"/>
  <c r="P69" i="9"/>
  <c r="O92" i="9"/>
  <c r="K82" i="9"/>
  <c r="L82" i="9"/>
  <c r="E91" i="9"/>
  <c r="H60" i="9"/>
  <c r="P95" i="9"/>
  <c r="K69" i="9"/>
  <c r="K116" i="9"/>
  <c r="P58" i="9"/>
  <c r="E102" i="9"/>
  <c r="E81" i="9"/>
  <c r="M47" i="9"/>
  <c r="E71" i="9"/>
  <c r="L59" i="9"/>
  <c r="F35" i="9"/>
  <c r="E31" i="9"/>
  <c r="O59" i="9"/>
  <c r="P47" i="9"/>
  <c r="H22" i="9"/>
  <c r="M50" i="9"/>
  <c r="E83" i="9"/>
  <c r="Q48" i="9"/>
  <c r="E8" i="9"/>
  <c r="H71" i="9"/>
  <c r="L60" i="9"/>
  <c r="E50" i="9"/>
  <c r="H70" i="9"/>
  <c r="E33" i="9"/>
  <c r="F31" i="9"/>
  <c r="H84" i="9"/>
  <c r="E23" i="9"/>
  <c r="E6" i="9"/>
  <c r="P62" i="9"/>
  <c r="H72" i="9"/>
  <c r="Q51" i="9"/>
  <c r="H49" i="9"/>
  <c r="E20" i="9"/>
  <c r="F5" i="9"/>
  <c r="E103" i="9"/>
  <c r="L91" i="9"/>
  <c r="P102" i="9"/>
  <c r="L103" i="9"/>
  <c r="L92" i="9"/>
  <c r="O117" i="9"/>
  <c r="O106" i="9"/>
  <c r="P72" i="9"/>
  <c r="K83" i="9"/>
  <c r="P70" i="9"/>
  <c r="O105" i="9"/>
  <c r="H116" i="9"/>
  <c r="H106" i="9"/>
  <c r="H91" i="9"/>
  <c r="K103" i="9"/>
  <c r="H59" i="9"/>
  <c r="L83" i="9"/>
  <c r="F8" i="9"/>
  <c r="O60" i="9"/>
  <c r="P49" i="9"/>
  <c r="E80" i="9"/>
  <c r="Q49" i="9"/>
  <c r="E104" i="9"/>
  <c r="K47" i="9"/>
  <c r="K59" i="9"/>
  <c r="K62" i="9"/>
  <c r="M51" i="9"/>
  <c r="L58" i="9"/>
  <c r="K50" i="9"/>
  <c r="H48" i="9"/>
  <c r="L94" i="9"/>
  <c r="H113" i="9"/>
  <c r="L84" i="9"/>
  <c r="K92" i="9"/>
  <c r="K72" i="9"/>
  <c r="L71" i="9"/>
  <c r="P91" i="9"/>
  <c r="O102" i="9"/>
  <c r="K105" i="9"/>
  <c r="L102" i="9"/>
  <c r="K113" i="9"/>
  <c r="P105" i="9"/>
  <c r="O69" i="9"/>
  <c r="H95" i="9"/>
  <c r="K81" i="9"/>
  <c r="P93" i="9"/>
  <c r="O83" i="9"/>
  <c r="E60" i="9"/>
  <c r="L105" i="9"/>
  <c r="L104" i="9"/>
  <c r="K95" i="9"/>
  <c r="K117" i="9"/>
  <c r="P81" i="9"/>
  <c r="H103" i="9"/>
  <c r="E114" i="9"/>
  <c r="L73" i="9"/>
  <c r="O94" i="9"/>
  <c r="O103" i="9"/>
  <c r="H58" i="9"/>
  <c r="L69" i="9"/>
  <c r="O115" i="9"/>
  <c r="E69" i="9"/>
  <c r="H51" i="9"/>
  <c r="E49" i="9"/>
  <c r="E105" i="9"/>
  <c r="F7" i="9"/>
  <c r="E34" i="9"/>
  <c r="H73" i="9"/>
  <c r="P61" i="9"/>
  <c r="E24" i="9"/>
  <c r="F24" i="9"/>
  <c r="F23" i="9"/>
  <c r="L61" i="9"/>
  <c r="M48" i="9"/>
  <c r="H69" i="9"/>
  <c r="O61" i="9"/>
  <c r="H20" i="9"/>
  <c r="K48" i="9"/>
  <c r="K61" i="9"/>
  <c r="F34" i="9"/>
  <c r="H81" i="9"/>
  <c r="BJ2018" i="1" l="1"/>
  <c r="CD2018" i="1"/>
  <c r="BJ1130" i="1"/>
  <c r="CD1130" i="1"/>
  <c r="BJ2975" i="1"/>
  <c r="CD2975" i="1"/>
  <c r="BJ1370" i="1"/>
  <c r="CD1370" i="1"/>
  <c r="BV2018" i="1"/>
  <c r="BV1130" i="1"/>
  <c r="BV2975" i="1"/>
  <c r="BV1370" i="1"/>
  <c r="BX2647" i="1"/>
  <c r="BX2624" i="1"/>
  <c r="BX2126" i="1"/>
  <c r="BX2622" i="1"/>
  <c r="BX1478" i="1"/>
  <c r="BX2727" i="1"/>
  <c r="BX2211" i="1"/>
  <c r="BX335" i="1"/>
  <c r="BX2041" i="1"/>
  <c r="BX173" i="1"/>
  <c r="BX2118" i="1"/>
  <c r="BX3127" i="1"/>
  <c r="BX1547" i="1"/>
  <c r="BX783" i="1"/>
  <c r="BX1799" i="1"/>
  <c r="BX2164" i="1"/>
  <c r="BX1517" i="1"/>
  <c r="BX3067" i="1"/>
  <c r="BX2351" i="1"/>
  <c r="BX1870" i="1"/>
  <c r="BX1469" i="1"/>
  <c r="BX1666" i="1"/>
  <c r="BX2244" i="1"/>
  <c r="BX2025" i="1"/>
  <c r="BX525" i="1"/>
  <c r="BX2974" i="1"/>
  <c r="BX192" i="1"/>
  <c r="BX2312" i="1"/>
  <c r="BX790" i="1"/>
  <c r="BX508" i="1"/>
  <c r="BX1106" i="1"/>
  <c r="BX2552" i="1"/>
  <c r="BX1979" i="1"/>
  <c r="BX412" i="1"/>
  <c r="BX1405" i="1"/>
  <c r="BX378" i="1"/>
  <c r="BX2082" i="1"/>
  <c r="BX3167" i="1"/>
  <c r="BX2003" i="1"/>
  <c r="BX456" i="1"/>
  <c r="BX662" i="1"/>
  <c r="BX1241" i="1"/>
  <c r="BX3120" i="1"/>
  <c r="BX3115" i="1"/>
  <c r="BX1254" i="1"/>
  <c r="BX581" i="1"/>
  <c r="BX1760" i="1"/>
  <c r="BX149" i="1"/>
  <c r="BX864" i="1"/>
  <c r="BX805" i="1"/>
  <c r="BX3059" i="1"/>
  <c r="BX3046" i="1"/>
  <c r="BX994" i="1"/>
  <c r="BX3021" i="1"/>
  <c r="BX385" i="1"/>
  <c r="BX1571" i="1"/>
  <c r="BX798" i="1"/>
  <c r="BX623" i="1"/>
  <c r="BX889" i="1"/>
  <c r="BX922" i="1"/>
  <c r="BX2749" i="1"/>
  <c r="BX2009" i="1"/>
  <c r="BX1073" i="1"/>
  <c r="BX1703" i="1"/>
  <c r="BX389" i="1"/>
  <c r="BX462" i="1"/>
  <c r="BX2704" i="1"/>
  <c r="BX907" i="1"/>
  <c r="BX2696" i="1"/>
  <c r="BX2683" i="1"/>
  <c r="BX1526" i="1"/>
  <c r="BX1524" i="1"/>
  <c r="BX1792" i="1"/>
  <c r="BX2662" i="1"/>
  <c r="BX1100" i="1"/>
  <c r="BX543" i="1"/>
  <c r="BX2016" i="1"/>
  <c r="BX2383" i="1"/>
  <c r="BX2609" i="1"/>
  <c r="BX1538" i="1"/>
  <c r="BX1269" i="1"/>
  <c r="BX2072" i="1"/>
  <c r="BX1738" i="1"/>
  <c r="BX2353" i="1"/>
  <c r="BX1918" i="1"/>
  <c r="BX561" i="1"/>
  <c r="BX1740" i="1"/>
  <c r="BX1552" i="1"/>
  <c r="BX2491" i="1"/>
  <c r="BX2977" i="1"/>
  <c r="BX1184" i="1"/>
  <c r="BX1531" i="1"/>
  <c r="BX2539" i="1"/>
  <c r="BX2636" i="1"/>
  <c r="BX3158" i="1"/>
  <c r="BX649" i="1"/>
  <c r="BX1328" i="1"/>
  <c r="BX1971" i="1"/>
  <c r="BX1795" i="1"/>
  <c r="BX680" i="1"/>
  <c r="BX1057" i="1"/>
  <c r="BX1955" i="1"/>
  <c r="BX978" i="1"/>
  <c r="BX2254" i="1"/>
  <c r="BX320" i="1"/>
  <c r="BX1900" i="1"/>
  <c r="BX1534" i="1"/>
  <c r="BX2469" i="1"/>
  <c r="BX3029" i="1"/>
  <c r="BX2385" i="1"/>
  <c r="BX1655" i="1"/>
  <c r="BX2219" i="1"/>
  <c r="BX1833" i="1"/>
  <c r="BX2972" i="1"/>
  <c r="BX2962" i="1"/>
  <c r="BX460" i="1"/>
  <c r="BX2751" i="1"/>
  <c r="BX768" i="1"/>
  <c r="BX2296" i="1"/>
  <c r="BX554" i="1"/>
  <c r="BX2728" i="1"/>
  <c r="BX2719" i="1"/>
  <c r="BX1383" i="1"/>
  <c r="BX758" i="1"/>
  <c r="BX2027" i="1"/>
  <c r="BX2634" i="1"/>
  <c r="BX2625" i="1"/>
  <c r="BX2594" i="1"/>
  <c r="BX2600" i="1"/>
  <c r="BX671" i="1"/>
  <c r="BX1341" i="1"/>
  <c r="BX2088" i="1"/>
  <c r="BX3103" i="1"/>
  <c r="BX777" i="1"/>
  <c r="BX3057" i="1"/>
  <c r="BX1212" i="1"/>
  <c r="BX465" i="1"/>
  <c r="BX2973" i="1"/>
  <c r="BX2752" i="1"/>
  <c r="BX707" i="1"/>
  <c r="BX391" i="1"/>
  <c r="BX1943" i="1"/>
  <c r="BX1762" i="1"/>
  <c r="BX2404" i="1"/>
  <c r="BX2467" i="1"/>
  <c r="BX3070" i="1"/>
  <c r="BX3044" i="1"/>
  <c r="BX1482" i="1"/>
  <c r="BX1089" i="1"/>
  <c r="BX1348" i="1"/>
  <c r="BX104" i="1"/>
  <c r="BX1304" i="1"/>
  <c r="BX1565" i="1"/>
  <c r="BX2660" i="1"/>
  <c r="BX2152" i="1"/>
  <c r="BX879" i="1"/>
  <c r="BX2299" i="1"/>
  <c r="BX2631" i="1"/>
  <c r="BX2200" i="1"/>
  <c r="BX2326" i="1"/>
  <c r="BX1362" i="1"/>
  <c r="BX1506" i="1"/>
  <c r="BX1151" i="1"/>
  <c r="BX2611" i="1"/>
  <c r="BX1301" i="1"/>
  <c r="BX1814" i="1"/>
  <c r="BX1627" i="1"/>
  <c r="BX615" i="1"/>
  <c r="BX915" i="1"/>
  <c r="BX2566" i="1"/>
  <c r="BX1373" i="1"/>
  <c r="BX2348" i="1"/>
  <c r="BX1648" i="1"/>
  <c r="BX3129" i="1"/>
  <c r="BX331" i="1"/>
  <c r="BX3078" i="1"/>
  <c r="BX3055" i="1"/>
  <c r="BX3014" i="1"/>
  <c r="BX1099" i="1"/>
  <c r="BX1980" i="1"/>
  <c r="BX1050" i="1"/>
  <c r="BX2671" i="1"/>
  <c r="BX2658" i="1"/>
  <c r="BX2641" i="1"/>
  <c r="BX847" i="1"/>
  <c r="BX791" i="1"/>
  <c r="BX1428" i="1"/>
  <c r="BX2364" i="1"/>
  <c r="BX3090" i="1"/>
  <c r="BX2204" i="1"/>
  <c r="BX1803" i="1"/>
  <c r="BX2120" i="1"/>
  <c r="BX3012" i="1"/>
  <c r="BX1817" i="1"/>
  <c r="BX2746" i="1"/>
  <c r="BX1891" i="1"/>
  <c r="BX2652" i="1"/>
  <c r="BX2322" i="1"/>
  <c r="BX1951" i="1"/>
  <c r="BX1693" i="1"/>
  <c r="BX452" i="1"/>
  <c r="BX966" i="1"/>
  <c r="BX1949" i="1"/>
  <c r="BX3137" i="1"/>
  <c r="BX1282" i="1"/>
  <c r="BX3108" i="1"/>
  <c r="BX830" i="1"/>
  <c r="BX3072" i="1"/>
  <c r="BX3063" i="1"/>
  <c r="BX1509" i="1"/>
  <c r="BX3030" i="1"/>
  <c r="BX2195" i="1"/>
  <c r="BX2014" i="1"/>
  <c r="BX2483" i="1"/>
  <c r="BX2289" i="1"/>
  <c r="BX1406" i="1"/>
  <c r="BX1255" i="1"/>
  <c r="BX1616" i="1"/>
  <c r="BX2531" i="1"/>
  <c r="BX1071" i="1"/>
  <c r="BX2432" i="1"/>
  <c r="BX393" i="1"/>
  <c r="BX541" i="1"/>
  <c r="BX169" i="1"/>
  <c r="BX2635" i="1"/>
  <c r="BX2255" i="1"/>
  <c r="BX537" i="1"/>
  <c r="BX451" i="1"/>
  <c r="BX601" i="1"/>
  <c r="BX1809" i="1"/>
  <c r="BX1701" i="1"/>
  <c r="BX108" i="1"/>
  <c r="BX1294" i="1"/>
  <c r="BX2530" i="1"/>
  <c r="BX1331" i="1"/>
  <c r="BX510" i="1"/>
  <c r="BX156" i="1"/>
  <c r="BX1366" i="1"/>
  <c r="BX1944" i="1"/>
  <c r="BX507" i="1"/>
  <c r="BX3092" i="1"/>
  <c r="BX3087" i="1"/>
  <c r="BX2548" i="1"/>
  <c r="BX1161" i="1"/>
  <c r="BX1274" i="1"/>
  <c r="BX3060" i="1"/>
  <c r="BX1783" i="1"/>
  <c r="BX158" i="1"/>
  <c r="BX1779" i="1"/>
  <c r="BX2300" i="1"/>
  <c r="BX1420" i="1"/>
  <c r="BX1082" i="1"/>
  <c r="BX2970" i="1"/>
  <c r="BX646" i="1"/>
  <c r="BX334" i="1"/>
  <c r="BX1923" i="1"/>
  <c r="BX1978" i="1"/>
  <c r="BX706" i="1"/>
  <c r="BX1461" i="1"/>
  <c r="BX2687" i="1"/>
  <c r="BX2673" i="1"/>
  <c r="BX1385" i="1"/>
  <c r="BX2626" i="1"/>
  <c r="BX562" i="1"/>
  <c r="BX2646" i="1"/>
  <c r="BX3198" i="1"/>
  <c r="BX2381" i="1"/>
  <c r="BX1752" i="1"/>
  <c r="BX1068" i="1"/>
  <c r="BX1770" i="1"/>
  <c r="BX1733" i="1"/>
  <c r="BX3110" i="1"/>
  <c r="BX902" i="1"/>
  <c r="BX2257" i="1"/>
  <c r="BX517" i="1"/>
  <c r="BX466" i="1"/>
  <c r="BX2396" i="1"/>
  <c r="BX1091" i="1"/>
  <c r="BX2946" i="1"/>
  <c r="BX2335" i="1"/>
  <c r="BX2767" i="1"/>
  <c r="BX1039" i="1"/>
  <c r="BX1607" i="1"/>
  <c r="BX714" i="1"/>
  <c r="BX283" i="1"/>
  <c r="BX2415" i="1"/>
  <c r="BX2681" i="1"/>
  <c r="BX1930" i="1"/>
  <c r="BX2661" i="1"/>
  <c r="BX1392" i="1"/>
  <c r="BX1665" i="1"/>
  <c r="BX399" i="1"/>
  <c r="BX1907" i="1"/>
  <c r="BX719" i="1"/>
  <c r="BX128" i="1"/>
  <c r="BX2420" i="1"/>
  <c r="BX185" i="1"/>
  <c r="BX895" i="1"/>
  <c r="BX3162" i="1"/>
  <c r="BX199" i="1"/>
  <c r="BX1419" i="1"/>
  <c r="BX605" i="1"/>
  <c r="BX2495" i="1"/>
  <c r="BX3126" i="1"/>
  <c r="BX563" i="1"/>
  <c r="BX663" i="1"/>
  <c r="BX3101" i="1"/>
  <c r="BX1234" i="1"/>
  <c r="BX1265" i="1"/>
  <c r="BX8" i="1"/>
  <c r="BX486" i="1"/>
  <c r="BX2223" i="1"/>
  <c r="BX1165" i="1"/>
  <c r="BX2976" i="1"/>
  <c r="BX916" i="1"/>
  <c r="BX2968" i="1"/>
  <c r="BX2153" i="1"/>
  <c r="BX1240" i="1"/>
  <c r="BX2099" i="1"/>
  <c r="BX2724" i="1"/>
  <c r="BX1356" i="1"/>
  <c r="BX1156" i="1"/>
  <c r="BX2213" i="1"/>
  <c r="BX1208" i="1"/>
  <c r="BX151" i="1"/>
  <c r="BX9" i="1"/>
  <c r="BX1286" i="1"/>
  <c r="BX2644" i="1"/>
  <c r="BX775" i="1"/>
  <c r="BX1096" i="1"/>
  <c r="BX2489" i="1"/>
  <c r="BX2288" i="1"/>
  <c r="BX415" i="1"/>
  <c r="BX3157" i="1"/>
  <c r="BX1402" i="1"/>
  <c r="BX3144" i="1"/>
  <c r="BX827" i="1"/>
  <c r="BX636" i="1"/>
  <c r="BX3113" i="1"/>
  <c r="BX1925" i="1"/>
  <c r="BX1521" i="1"/>
  <c r="BX4" i="1"/>
  <c r="BX2007" i="1"/>
  <c r="BX3069" i="1"/>
  <c r="BX1928" i="1"/>
  <c r="BX2142" i="1"/>
  <c r="BX1236" i="1"/>
  <c r="BX3032" i="1"/>
  <c r="BX2179" i="1"/>
  <c r="BX1735" i="1"/>
  <c r="BX2107" i="1"/>
  <c r="BX3005" i="1"/>
  <c r="BX2478" i="1"/>
  <c r="BX1715" i="1"/>
  <c r="BX2766" i="1"/>
  <c r="BX1545" i="1"/>
  <c r="BX160" i="1"/>
  <c r="BX1087" i="1"/>
  <c r="BX1724" i="1"/>
  <c r="BX2336" i="1"/>
  <c r="BX2718" i="1"/>
  <c r="BX2712" i="1"/>
  <c r="BX360" i="1"/>
  <c r="BX442" i="1"/>
  <c r="BX689" i="1"/>
  <c r="BX883" i="1"/>
  <c r="BX803" i="1"/>
  <c r="BX1475" i="1"/>
  <c r="BX2134" i="1"/>
  <c r="BX2643" i="1"/>
  <c r="BX2440" i="1"/>
  <c r="BX338" i="1"/>
  <c r="BX1939" i="1"/>
  <c r="BX825" i="1"/>
  <c r="BX2382" i="1"/>
  <c r="BX163" i="1"/>
  <c r="BX3203" i="1"/>
  <c r="BX492" i="1"/>
  <c r="BX1145" i="1"/>
  <c r="BX2304" i="1"/>
  <c r="BX1734" i="1"/>
  <c r="BX1819" i="1"/>
  <c r="BX2188" i="1"/>
  <c r="BX166" i="1"/>
  <c r="BX3156" i="1"/>
  <c r="BX124" i="1"/>
  <c r="BX3147" i="1"/>
  <c r="BX3146" i="1"/>
  <c r="BX1487" i="1"/>
  <c r="BX1644" i="1"/>
  <c r="BX1716" i="1"/>
  <c r="BX2124" i="1"/>
  <c r="BX2332" i="1"/>
  <c r="BX2276" i="1"/>
  <c r="BX529" i="1"/>
  <c r="BX935" i="1"/>
  <c r="BX1996" i="1"/>
  <c r="BX300" i="1"/>
  <c r="BX970" i="1"/>
  <c r="BX404" i="1"/>
  <c r="BX3106" i="1"/>
  <c r="BX306" i="1"/>
  <c r="BX2369" i="1"/>
  <c r="BX3099" i="1"/>
  <c r="BX2295" i="1"/>
  <c r="BX3091" i="1"/>
  <c r="BX1120" i="1"/>
  <c r="BX989" i="1"/>
  <c r="BX955" i="1"/>
  <c r="BX1798" i="1"/>
  <c r="BX1316" i="1"/>
  <c r="BX3075" i="1"/>
  <c r="BX3073" i="1"/>
  <c r="BX2324" i="1"/>
  <c r="BX1745" i="1"/>
  <c r="BX3068" i="1"/>
  <c r="BX1172" i="1"/>
  <c r="BX1973" i="1"/>
  <c r="BX1769" i="1"/>
  <c r="BX1516" i="1"/>
  <c r="BX3056" i="1"/>
  <c r="BX3054" i="1"/>
  <c r="BX643" i="1"/>
  <c r="BX2509" i="1"/>
  <c r="BX1108" i="1"/>
  <c r="BX1051" i="1"/>
  <c r="BX509" i="1"/>
  <c r="BX2029" i="1"/>
  <c r="BX1507" i="1"/>
  <c r="BX176" i="1"/>
  <c r="BX870" i="1"/>
  <c r="BX438" i="1"/>
  <c r="BX2275" i="1"/>
  <c r="BX1712" i="1"/>
  <c r="BX1497" i="1"/>
  <c r="BX3008" i="1"/>
  <c r="BX2143" i="1"/>
  <c r="BX2633" i="1"/>
  <c r="BX2122" i="1"/>
  <c r="BX1088" i="1"/>
  <c r="BX1786" i="1"/>
  <c r="BX2040" i="1"/>
  <c r="BX809" i="1"/>
  <c r="BX479" i="1"/>
  <c r="BX1831" i="1"/>
  <c r="BX716" i="1"/>
  <c r="BX2424" i="1"/>
  <c r="BX668" i="1"/>
  <c r="BX2337" i="1"/>
  <c r="BX2245" i="1"/>
  <c r="BX2106" i="1"/>
  <c r="BX1147" i="1"/>
  <c r="BX1554" i="1"/>
  <c r="BX132" i="1"/>
  <c r="BX286" i="1"/>
  <c r="BX2723" i="1"/>
  <c r="BX2160" i="1"/>
  <c r="BX651" i="1"/>
  <c r="BX1235" i="1"/>
  <c r="BX1742" i="1"/>
  <c r="BX1230" i="1"/>
  <c r="BX2720" i="1"/>
  <c r="BX2717" i="1"/>
  <c r="BX1221" i="1"/>
  <c r="BX2711" i="1"/>
  <c r="BX2510" i="1"/>
  <c r="BX2292" i="1"/>
  <c r="BX424" i="1"/>
  <c r="BX558" i="1"/>
  <c r="BX2699" i="1"/>
  <c r="BX20" i="1"/>
  <c r="BX2620" i="1"/>
  <c r="BX726" i="1"/>
  <c r="BX2685" i="1"/>
  <c r="BX134" i="1"/>
  <c r="BX1681" i="1"/>
  <c r="BX2380" i="1"/>
  <c r="BX2144" i="1"/>
  <c r="BX1970" i="1"/>
  <c r="BX713" i="1"/>
  <c r="BX1958" i="1"/>
  <c r="BX6" i="1"/>
  <c r="BX379" i="1"/>
  <c r="BX1154" i="1"/>
  <c r="BX2656" i="1"/>
  <c r="BX904" i="1"/>
  <c r="BX315" i="1"/>
  <c r="BX2135" i="1"/>
  <c r="BX2215" i="1"/>
  <c r="BX1345" i="1"/>
  <c r="BX2077" i="1"/>
  <c r="BX2031" i="1"/>
  <c r="BX2630" i="1"/>
  <c r="BX5" i="1"/>
  <c r="BX354" i="1"/>
  <c r="BX427" i="1"/>
  <c r="BX992" i="1"/>
  <c r="BX1823" i="1"/>
  <c r="BX2617" i="1"/>
  <c r="BX2616" i="1"/>
  <c r="BX2610" i="1"/>
  <c r="BX800" i="1"/>
  <c r="BX755" i="1"/>
  <c r="BX2140" i="1"/>
  <c r="BX1986" i="1"/>
  <c r="BX2343" i="1"/>
  <c r="BX741" i="1"/>
  <c r="BX497" i="1"/>
  <c r="BX2526" i="1"/>
  <c r="BX1102" i="1"/>
  <c r="BX2562" i="1"/>
  <c r="BX686" i="1"/>
  <c r="BX2155" i="1"/>
  <c r="BX3161" i="1"/>
  <c r="BX1793" i="1"/>
  <c r="BX3049" i="1"/>
  <c r="BX1929" i="1"/>
  <c r="BX1890" i="1"/>
  <c r="BX1299" i="1"/>
  <c r="BX2735" i="1"/>
  <c r="BX1808" i="1"/>
  <c r="BX2667" i="1"/>
  <c r="BX861" i="1"/>
  <c r="BX1410" i="1"/>
  <c r="BX1656" i="1"/>
  <c r="BX21" i="1"/>
  <c r="BX1773" i="1"/>
  <c r="BX430" i="1"/>
  <c r="BX421" i="1"/>
  <c r="BX1794" i="1"/>
  <c r="BX1015" i="1"/>
  <c r="BX524" i="1"/>
  <c r="BX3130" i="1"/>
  <c r="BX1078" i="1"/>
  <c r="BX892" i="1"/>
  <c r="BX1725" i="1"/>
  <c r="BX2744" i="1"/>
  <c r="BX3065" i="1"/>
  <c r="BX1098" i="1"/>
  <c r="BX3047" i="1"/>
  <c r="BX3033" i="1"/>
  <c r="BX1650" i="1"/>
  <c r="BX1746" i="1"/>
  <c r="BX1669" i="1"/>
  <c r="BX2971" i="1"/>
  <c r="BX2762" i="1"/>
  <c r="BX1153" i="1"/>
  <c r="BX2148" i="1"/>
  <c r="BX1126" i="1"/>
  <c r="BX2225" i="1"/>
  <c r="BX1468" i="1"/>
  <c r="BX1680" i="1"/>
  <c r="BX797" i="1"/>
  <c r="BX816" i="1"/>
  <c r="BX2545" i="1"/>
  <c r="BX2450" i="1"/>
  <c r="BX1297" i="1"/>
  <c r="BX2570" i="1"/>
  <c r="BX491" i="1"/>
  <c r="BX3149" i="1"/>
  <c r="BX3134" i="1"/>
  <c r="BX3111" i="1"/>
  <c r="BX996" i="1"/>
  <c r="BX2262" i="1"/>
  <c r="BX159" i="1"/>
  <c r="BX2095" i="1"/>
  <c r="BX2978" i="1"/>
  <c r="BX2680" i="1"/>
  <c r="BX165" i="1"/>
  <c r="BX810" i="1"/>
  <c r="BX1633" i="1"/>
  <c r="BX975" i="1"/>
  <c r="BX3098" i="1"/>
  <c r="BX2290" i="1"/>
  <c r="BX3083" i="1"/>
  <c r="BX343" i="1"/>
  <c r="BX1305" i="1"/>
  <c r="BX1125" i="1"/>
  <c r="BX2822" i="1"/>
  <c r="BX1946" i="1"/>
  <c r="BX2282" i="1"/>
  <c r="BX2701" i="1"/>
  <c r="BX1058" i="1"/>
  <c r="BX494" i="1"/>
  <c r="BX140" i="1"/>
  <c r="BX2732" i="1"/>
  <c r="BX193" i="1"/>
  <c r="BX2472" i="1"/>
  <c r="BX2703" i="1"/>
  <c r="BX2083" i="1"/>
  <c r="BX1634" i="1"/>
  <c r="BX1329" i="1"/>
  <c r="BX947" i="1"/>
  <c r="BX1889" i="1"/>
  <c r="BX1448" i="1"/>
  <c r="BX1778" i="1"/>
  <c r="BX2476" i="1"/>
  <c r="BX2618" i="1"/>
  <c r="BX2615" i="1"/>
  <c r="BX1894" i="1"/>
  <c r="BX1115" i="1"/>
  <c r="BX2571" i="1"/>
  <c r="BX1045" i="1"/>
  <c r="BX2559" i="1"/>
  <c r="BX3109" i="1"/>
  <c r="BX2659" i="1"/>
  <c r="BX857" i="1"/>
  <c r="BX1748" i="1"/>
  <c r="BX116" i="1"/>
  <c r="BX1995" i="1"/>
  <c r="BX1499" i="1"/>
  <c r="BX3112" i="1"/>
  <c r="BX3102" i="1"/>
  <c r="BX2439" i="1"/>
  <c r="BX865" i="1"/>
  <c r="BX3036" i="1"/>
  <c r="BX1052" i="1"/>
  <c r="BX3020" i="1"/>
  <c r="BX1657" i="1"/>
  <c r="BX2032" i="1"/>
  <c r="BX1063" i="1"/>
  <c r="BX609" i="1"/>
  <c r="BX1646" i="1"/>
  <c r="BX2268" i="1"/>
  <c r="BX1539" i="1"/>
  <c r="BX2093" i="1"/>
  <c r="BX1933" i="1"/>
  <c r="BX2578" i="1"/>
  <c r="BX2670" i="1"/>
  <c r="BX2664" i="1"/>
  <c r="BX2655" i="1"/>
  <c r="BX2226" i="1"/>
  <c r="BX2639" i="1"/>
  <c r="BX322" i="1"/>
  <c r="BX1020" i="1"/>
  <c r="BX2613" i="1"/>
  <c r="BX1132" i="1"/>
  <c r="BX1066" i="1"/>
  <c r="BX697" i="1"/>
  <c r="BX2657" i="1"/>
  <c r="BX1686" i="1"/>
  <c r="BX880" i="1"/>
  <c r="BX1327" i="1"/>
  <c r="BX2154" i="1"/>
  <c r="BX1211" i="1"/>
  <c r="BX2352" i="1"/>
  <c r="BX513" i="1"/>
  <c r="BX1501" i="1"/>
  <c r="BX3132" i="1"/>
  <c r="BX1828" i="1"/>
  <c r="BX1228" i="1"/>
  <c r="BX1528" i="1"/>
  <c r="BX3100" i="1"/>
  <c r="BX1575" i="1"/>
  <c r="BX1318" i="1"/>
  <c r="BX2258" i="1"/>
  <c r="BX1284" i="1"/>
  <c r="BX1776" i="1"/>
  <c r="BX1262" i="1"/>
  <c r="BX1912" i="1"/>
  <c r="BX2603" i="1"/>
  <c r="BX771" i="1"/>
  <c r="BX1157" i="1"/>
  <c r="BX881" i="1"/>
  <c r="BX1690" i="1"/>
  <c r="BX2981" i="1"/>
  <c r="BX1513" i="1"/>
  <c r="BX123" i="1"/>
  <c r="BX1368" i="1"/>
  <c r="BX468" i="1"/>
  <c r="BX1649" i="1"/>
  <c r="BX350" i="1"/>
  <c r="BX968" i="1"/>
  <c r="BX1781" i="1"/>
  <c r="BX2246" i="1"/>
  <c r="BX1062" i="1"/>
  <c r="BX1158" i="1"/>
  <c r="BX2605" i="1"/>
  <c r="BX2315" i="1"/>
  <c r="BX897" i="1"/>
  <c r="BX3165" i="1"/>
  <c r="BX928" i="1"/>
  <c r="BX3152" i="1"/>
  <c r="BX1276" i="1"/>
  <c r="BX1563" i="1"/>
  <c r="BX2205" i="1"/>
  <c r="BX898" i="1"/>
  <c r="BX921" i="1"/>
  <c r="BX375" i="1"/>
  <c r="BX1288" i="1"/>
  <c r="BX1860" i="1"/>
  <c r="BX2349" i="1"/>
  <c r="BX3043" i="1"/>
  <c r="BX2403" i="1"/>
  <c r="BX1003" i="1"/>
  <c r="BX2146" i="1"/>
  <c r="BX3016" i="1"/>
  <c r="BX946" i="1"/>
  <c r="BX2980" i="1"/>
  <c r="BX2426" i="1"/>
  <c r="BX1188" i="1"/>
  <c r="BX1813" i="1"/>
  <c r="BX2750" i="1"/>
  <c r="BX859" i="1"/>
  <c r="BX2738" i="1"/>
  <c r="BX1387" i="1"/>
  <c r="BX2301" i="1"/>
  <c r="BX2697" i="1"/>
  <c r="BX1390" i="1"/>
  <c r="BX2679" i="1"/>
  <c r="BX1518" i="1"/>
  <c r="BX337" i="1"/>
  <c r="BX2159" i="1"/>
  <c r="BX1606" i="1"/>
  <c r="BX2128" i="1"/>
  <c r="BX2632" i="1"/>
  <c r="BX1397" i="1"/>
  <c r="BX1987" i="1"/>
  <c r="BX831" i="1"/>
  <c r="BX2593" i="1"/>
  <c r="BX1614" i="1"/>
  <c r="BX2563" i="1"/>
  <c r="BX483" i="1"/>
  <c r="BX738" i="1"/>
  <c r="BX3172" i="1"/>
  <c r="BX2065" i="1"/>
  <c r="BX3168" i="1"/>
  <c r="BX1879" i="1"/>
  <c r="BX855" i="1"/>
  <c r="BX1549" i="1"/>
  <c r="BX604" i="1"/>
  <c r="BX1914" i="1"/>
  <c r="BX2480" i="1"/>
  <c r="BX3148" i="1"/>
  <c r="BX1409" i="1"/>
  <c r="BX3145" i="1"/>
  <c r="BX3143" i="1"/>
  <c r="BX205" i="1"/>
  <c r="BX198" i="1"/>
  <c r="BX2466" i="1"/>
  <c r="BX3128" i="1"/>
  <c r="BX420" i="1"/>
  <c r="BX3122" i="1"/>
  <c r="BX1342" i="1"/>
  <c r="BX769" i="1"/>
  <c r="BX891" i="1"/>
  <c r="BX129" i="1"/>
  <c r="BX3107" i="1"/>
  <c r="BX1218" i="1"/>
  <c r="BX552" i="1"/>
  <c r="BX877" i="1"/>
  <c r="BX527" i="1"/>
  <c r="BX1696" i="1"/>
  <c r="BX346" i="1"/>
  <c r="BX625" i="1"/>
  <c r="BX953" i="1"/>
  <c r="BX2123" i="1"/>
  <c r="BX1525" i="1"/>
  <c r="BX938" i="1"/>
  <c r="BX1418" i="1"/>
  <c r="BX1038" i="1"/>
  <c r="BX2485" i="1"/>
  <c r="BX1075" i="1"/>
  <c r="BX3066" i="1"/>
  <c r="BX2560" i="1"/>
  <c r="BX1584" i="1"/>
  <c r="BX1702" i="1"/>
  <c r="BX2085" i="1"/>
  <c r="BX1444" i="1"/>
  <c r="BX3052" i="1"/>
  <c r="BX1197" i="1"/>
  <c r="BX370" i="1"/>
  <c r="BX470" i="1"/>
  <c r="BX3027" i="1"/>
  <c r="BX3023" i="1"/>
  <c r="BX1654" i="1"/>
  <c r="BX1909" i="1"/>
  <c r="BX113" i="1"/>
  <c r="BX1718" i="1"/>
  <c r="BX1438" i="1"/>
  <c r="BX317" i="1"/>
  <c r="BX3009" i="1"/>
  <c r="BX3006" i="1"/>
  <c r="BX293" i="1"/>
  <c r="BX490" i="1"/>
  <c r="BX2020" i="1"/>
  <c r="BX753" i="1"/>
  <c r="BX2089" i="1"/>
  <c r="BX1904" i="1"/>
  <c r="BX2054" i="1"/>
  <c r="BX2117" i="1"/>
  <c r="BX1178" i="1"/>
  <c r="BX2764" i="1"/>
  <c r="BX2761" i="1"/>
  <c r="BX2359" i="1"/>
  <c r="BX1037" i="1"/>
  <c r="BX2745" i="1"/>
  <c r="BX2741" i="1"/>
  <c r="BX1289" i="1"/>
  <c r="BX2737" i="1"/>
  <c r="BX1107" i="1"/>
  <c r="BX2733" i="1"/>
  <c r="BX688" i="1"/>
  <c r="BX1381" i="1"/>
  <c r="BX2729" i="1"/>
  <c r="BX2167" i="1"/>
  <c r="BX1937" i="1"/>
  <c r="BX1338" i="1"/>
  <c r="BX1027" i="1"/>
  <c r="BX1182" i="1"/>
  <c r="BX110" i="1"/>
  <c r="BX678" i="1"/>
  <c r="BX2627" i="1"/>
  <c r="BX2684" i="1"/>
  <c r="BX2682" i="1"/>
  <c r="BX1739" i="1"/>
  <c r="BX1566" i="1"/>
  <c r="BX1144" i="1"/>
  <c r="BX1777" i="1"/>
  <c r="BX1749" i="1"/>
  <c r="BX2663" i="1"/>
  <c r="BX2263" i="1"/>
  <c r="BX1884" i="1"/>
  <c r="BX612" i="1"/>
  <c r="BX2649" i="1"/>
  <c r="BX547" i="1"/>
  <c r="BX2005" i="1"/>
  <c r="BX1398" i="1"/>
  <c r="BX1822" i="1"/>
  <c r="BX1430" i="1"/>
  <c r="BX1258" i="1"/>
  <c r="BX939" i="1"/>
  <c r="BX2174" i="1"/>
  <c r="BX761" i="1"/>
  <c r="BX1229" i="1"/>
  <c r="BX2452" i="1"/>
  <c r="BX1576" i="1"/>
  <c r="BX1677" i="1"/>
  <c r="BX843" i="1"/>
  <c r="BX1871" i="1"/>
  <c r="BX597" i="1"/>
  <c r="BX2565" i="1"/>
  <c r="BX1924" i="1"/>
  <c r="BX312" i="1"/>
  <c r="BX1164" i="1"/>
  <c r="BX1404" i="1"/>
  <c r="BX2554" i="1"/>
  <c r="BX1704" i="1"/>
  <c r="BX588" i="1"/>
  <c r="BX2131" i="1"/>
  <c r="BX2390" i="1"/>
  <c r="BX329" i="1"/>
  <c r="BX2310" i="1"/>
  <c r="BX1477" i="1"/>
  <c r="BX1141" i="1"/>
  <c r="BX1851" i="1"/>
  <c r="BX1763" i="1"/>
  <c r="BX2217" i="1"/>
  <c r="BX493" i="1"/>
  <c r="BX1155" i="1"/>
  <c r="BX3166" i="1"/>
  <c r="BX146" i="1"/>
  <c r="BX3124" i="1"/>
  <c r="BX2073" i="1"/>
  <c r="BX533" i="1"/>
  <c r="BX875" i="1"/>
  <c r="BX2376" i="1"/>
  <c r="BX764" i="1"/>
  <c r="BX1201" i="1"/>
  <c r="BX505" i="1"/>
  <c r="BX1532" i="1"/>
  <c r="BX987" i="1"/>
  <c r="BX834" i="1"/>
  <c r="BX3050" i="1"/>
  <c r="BX1127" i="1"/>
  <c r="BX1146" i="1"/>
  <c r="BX1196" i="1"/>
  <c r="BX2984" i="1"/>
  <c r="BX794" i="1"/>
  <c r="BX1360" i="1"/>
  <c r="BX2418" i="1"/>
  <c r="BX1942" i="1"/>
  <c r="BX795" i="1"/>
  <c r="BX884" i="1"/>
  <c r="BX1981" i="1"/>
  <c r="BX1359" i="1"/>
  <c r="BX2021" i="1"/>
  <c r="BX1232" i="1"/>
  <c r="BX2674" i="1"/>
  <c r="BX672" i="1"/>
  <c r="BX2665" i="1"/>
  <c r="BX1638" i="1"/>
  <c r="BX1821" i="1"/>
  <c r="BX316" i="1"/>
  <c r="BX311" i="1"/>
  <c r="BX846" i="1"/>
  <c r="BX2063" i="1"/>
  <c r="BX2116" i="1"/>
  <c r="BX2512" i="1"/>
  <c r="BX501" i="1"/>
  <c r="BX1641" i="1"/>
  <c r="BX1540" i="1"/>
  <c r="BX2035" i="1"/>
  <c r="BX1553" i="1"/>
  <c r="BX418" i="1"/>
  <c r="BX1169" i="1"/>
  <c r="BX2019" i="1"/>
  <c r="BX349" i="1"/>
  <c r="BX3136" i="1"/>
  <c r="BX2136" i="1"/>
  <c r="BX1886" i="1"/>
  <c r="BX960" i="1"/>
  <c r="BX520" i="1"/>
  <c r="BX959" i="1"/>
  <c r="BX2216" i="1"/>
  <c r="BX396" i="1"/>
  <c r="BX1990" i="1"/>
  <c r="BX1825" i="1"/>
  <c r="BX2201" i="1"/>
  <c r="BX645" i="1"/>
  <c r="BX2523" i="1"/>
  <c r="BX1640" i="1"/>
  <c r="BX2399" i="1"/>
  <c r="BX634" i="1"/>
  <c r="BX2067" i="1"/>
  <c r="BX1220" i="1"/>
  <c r="BX2521" i="1"/>
  <c r="BX1033" i="1"/>
  <c r="BX1369" i="1"/>
  <c r="BX817" i="1"/>
  <c r="BX1060" i="1"/>
  <c r="BX1764" i="1"/>
  <c r="BX590" i="1"/>
  <c r="BX1466" i="1"/>
  <c r="BX2567" i="1"/>
  <c r="BX2442" i="1"/>
  <c r="BX3082" i="1"/>
  <c r="BX2384" i="1"/>
  <c r="BX3204" i="1"/>
  <c r="BX1064" i="1"/>
  <c r="BX3153" i="1"/>
  <c r="BX1046" i="1"/>
  <c r="BX2546" i="1"/>
  <c r="BX3121" i="1"/>
  <c r="BX1630" i="1"/>
  <c r="BX1085" i="1"/>
  <c r="BX290" i="1"/>
  <c r="BX2459" i="1"/>
  <c r="BX2499" i="1"/>
  <c r="BX616" i="1"/>
  <c r="BX842" i="1"/>
  <c r="BX2187" i="1"/>
  <c r="BX1652" i="1"/>
  <c r="BX298" i="1"/>
  <c r="BX747" i="1"/>
  <c r="BX2302" i="1"/>
  <c r="BX345" i="1"/>
  <c r="BX1065" i="1"/>
  <c r="BX826" i="1"/>
  <c r="BX1311" i="1"/>
  <c r="BX2691" i="1"/>
  <c r="BX1941" i="1"/>
  <c r="BX569" i="1"/>
  <c r="BX1233" i="1"/>
  <c r="BX972" i="1"/>
  <c r="BX284" i="1"/>
  <c r="BX319" i="1"/>
  <c r="BX2431" i="1"/>
  <c r="BX2588" i="1"/>
  <c r="BX2367" i="1"/>
  <c r="BX179" i="1"/>
  <c r="BX1463" i="1"/>
  <c r="BX1391" i="1"/>
  <c r="BX191" i="1"/>
  <c r="BX1295" i="1"/>
  <c r="BX1270" i="1"/>
  <c r="BX2518" i="1"/>
  <c r="BX3114" i="1"/>
  <c r="BX863" i="1"/>
  <c r="BX1829" i="1"/>
  <c r="BX1260" i="1"/>
  <c r="BX854" i="1"/>
  <c r="BX2042" i="1"/>
  <c r="BX3058" i="1"/>
  <c r="BX1159" i="1"/>
  <c r="BX1247" i="1"/>
  <c r="BX3028" i="1"/>
  <c r="BX3024" i="1"/>
  <c r="BX2087" i="1"/>
  <c r="BX909" i="1"/>
  <c r="BX2286" i="1"/>
  <c r="BX642" i="1"/>
  <c r="BX499" i="1"/>
  <c r="BX2694" i="1"/>
  <c r="BX556" i="1"/>
  <c r="BX2175" i="1"/>
  <c r="BX473" i="1"/>
  <c r="BX2227" i="1"/>
  <c r="BX1753" i="1"/>
  <c r="BX2672" i="1"/>
  <c r="BX1389" i="1"/>
  <c r="BX177" i="1"/>
  <c r="BX1719" i="1"/>
  <c r="BX1150" i="1"/>
  <c r="BX3169" i="1"/>
  <c r="BX1287" i="1"/>
  <c r="BX3150" i="1"/>
  <c r="BX2848" i="1"/>
  <c r="BX3133" i="1"/>
  <c r="BX2346" i="1"/>
  <c r="BX698" i="1"/>
  <c r="BX1960" i="1"/>
  <c r="BX704" i="1"/>
  <c r="BX3022" i="1"/>
  <c r="BX1743" i="1"/>
  <c r="BX394" i="1"/>
  <c r="BX551" i="1"/>
  <c r="BX1639" i="1"/>
  <c r="BX1485" i="1"/>
  <c r="BX890" i="1"/>
  <c r="BX900" i="1"/>
  <c r="BX3013" i="1"/>
  <c r="BX555" i="1"/>
  <c r="BX3000" i="1"/>
  <c r="BX2166" i="1"/>
  <c r="BX2527" i="1"/>
  <c r="BX2967" i="1"/>
  <c r="BX836" i="1"/>
  <c r="BX2280" i="1"/>
  <c r="BX2599" i="1"/>
  <c r="BX531" i="1"/>
  <c r="BX2366" i="1"/>
  <c r="BX422" i="1"/>
  <c r="BX780" i="1"/>
  <c r="BX908" i="1"/>
  <c r="BX2707" i="1"/>
  <c r="BX2043" i="1"/>
  <c r="BX2267" i="1"/>
  <c r="BX2169" i="1"/>
  <c r="BX1462" i="1"/>
  <c r="BX2287" i="1"/>
  <c r="BX1492" i="1"/>
  <c r="BX1605" i="1"/>
  <c r="BX1503" i="1"/>
  <c r="BX926" i="1"/>
  <c r="BX1522" i="1"/>
  <c r="BX614" i="1"/>
  <c r="BX2612" i="1"/>
  <c r="BX1266" i="1"/>
  <c r="BX931" i="1"/>
  <c r="BX1166" i="1"/>
  <c r="BX2568" i="1"/>
  <c r="BX2333" i="1"/>
  <c r="BX2557" i="1"/>
  <c r="BX3206" i="1"/>
  <c r="BX303" i="1"/>
  <c r="BX2433" i="1"/>
  <c r="BX1617" i="1"/>
  <c r="BX1439" i="1"/>
  <c r="BX760" i="1"/>
  <c r="BX3197" i="1"/>
  <c r="BX3171" i="1"/>
  <c r="BX2103" i="1"/>
  <c r="BX1017" i="1"/>
  <c r="BX506" i="1"/>
  <c r="BX2030" i="1"/>
  <c r="BX2438" i="1"/>
  <c r="BX702" i="1"/>
  <c r="BX3159" i="1"/>
  <c r="BX3154" i="1"/>
  <c r="BX1595" i="1"/>
  <c r="BX641" i="1"/>
  <c r="BX1875" i="1"/>
  <c r="BX1569" i="1"/>
  <c r="BX3139" i="1"/>
  <c r="BX3135" i="1"/>
  <c r="BX2305" i="1"/>
  <c r="BX2372" i="1"/>
  <c r="BX363" i="1"/>
  <c r="BX1206" i="1"/>
  <c r="BX666" i="1"/>
  <c r="BX2308" i="1"/>
  <c r="BX3116" i="1"/>
  <c r="BX327" i="1"/>
  <c r="BX1567" i="1"/>
  <c r="BX528" i="1"/>
  <c r="BX654" i="1"/>
  <c r="BX1194" i="1"/>
  <c r="BX3096" i="1"/>
  <c r="BX2111" i="1"/>
  <c r="BX2407" i="1"/>
  <c r="BX1892" i="1"/>
  <c r="BX3088" i="1"/>
  <c r="BX2158" i="1"/>
  <c r="BX639" i="1"/>
  <c r="BX1238" i="1"/>
  <c r="BX3051" i="1"/>
  <c r="BX3077" i="1"/>
  <c r="BX3" i="1"/>
  <c r="BX1600" i="1"/>
  <c r="BX1128" i="1"/>
  <c r="BX873" i="1"/>
  <c r="BX1440" i="1"/>
  <c r="BX828" i="1"/>
  <c r="BX906" i="1"/>
  <c r="BX1170" i="1"/>
  <c r="BX538" i="1"/>
  <c r="BX728" i="1"/>
  <c r="BX1109" i="1"/>
  <c r="BX3045" i="1"/>
  <c r="BX3038" i="1"/>
  <c r="BX693" i="1"/>
  <c r="BX3034" i="1"/>
  <c r="BX998" i="1"/>
  <c r="BX282" i="1"/>
  <c r="BX1210" i="1"/>
  <c r="BX333" i="1"/>
  <c r="BX3017" i="1"/>
  <c r="BX2104" i="1"/>
  <c r="BX733" i="1"/>
  <c r="BX2551" i="1"/>
  <c r="BX1330" i="1"/>
  <c r="BX3004" i="1"/>
  <c r="BX1250" i="1"/>
  <c r="BX138" i="1"/>
  <c r="BX940" i="1"/>
  <c r="BX1956" i="1"/>
  <c r="BX1948" i="1"/>
  <c r="BX1437" i="1"/>
  <c r="BX1441" i="1"/>
  <c r="BX2203" i="1"/>
  <c r="BX1921" i="1"/>
  <c r="BX2066" i="1"/>
  <c r="BX2763" i="1"/>
  <c r="BX757" i="1"/>
  <c r="BX1436" i="1"/>
  <c r="BX1279" i="1"/>
  <c r="BX618" i="1"/>
  <c r="BX380" i="1"/>
  <c r="BX1097" i="1"/>
  <c r="BX285" i="1"/>
  <c r="BX2740" i="1"/>
  <c r="BX1395" i="1"/>
  <c r="BX1785" i="1"/>
  <c r="BX1354" i="1"/>
  <c r="BX1997" i="1"/>
  <c r="BX837" i="1"/>
  <c r="BX1523" i="1"/>
  <c r="BX2716" i="1"/>
  <c r="BX1103" i="1"/>
  <c r="BX1862" i="1"/>
  <c r="BX143" i="1"/>
  <c r="BX2705" i="1"/>
  <c r="BX1599" i="1"/>
  <c r="BX426" i="1"/>
  <c r="BX1591" i="1"/>
  <c r="BX2692" i="1"/>
  <c r="BX1173" i="1"/>
  <c r="BX1489" i="1"/>
  <c r="BX1335" i="1"/>
  <c r="BX1671" i="1"/>
  <c r="BX2669" i="1"/>
  <c r="BX2371" i="1"/>
  <c r="BX347" i="1"/>
  <c r="BX1324" i="1"/>
  <c r="BX718" i="1"/>
  <c r="BX1152" i="1"/>
  <c r="BX2561" i="1"/>
  <c r="BX2642" i="1"/>
  <c r="BX2058" i="1"/>
  <c r="BX899" i="1"/>
  <c r="BX1546" i="1"/>
  <c r="BX197" i="1"/>
  <c r="BX1105" i="1"/>
  <c r="BX291" i="1"/>
  <c r="BX1771" i="1"/>
  <c r="BX2619" i="1"/>
  <c r="BX2614" i="1"/>
  <c r="BX691" i="1"/>
  <c r="BX2607" i="1"/>
  <c r="BX2589" i="1"/>
  <c r="BX1899" i="1"/>
  <c r="BX502" i="1"/>
  <c r="BX1689" i="1"/>
  <c r="BX2564" i="1"/>
  <c r="BX2543" i="1"/>
  <c r="BX695" i="1"/>
  <c r="BX932" i="1"/>
  <c r="BX2423" i="1"/>
  <c r="BX459" i="1"/>
  <c r="BX195" i="1"/>
  <c r="BX445" i="1"/>
  <c r="BX3086" i="1"/>
  <c r="BX742" i="1"/>
  <c r="BX2471" i="1"/>
  <c r="BX1252" i="1"/>
  <c r="BX2813" i="1"/>
  <c r="BX2713" i="1"/>
  <c r="BX446" i="1"/>
  <c r="BX1018" i="1"/>
  <c r="BX2648" i="1"/>
  <c r="BX1578" i="1"/>
  <c r="BX1938" i="1"/>
  <c r="BR2018" i="1"/>
  <c r="CA2018" i="1" s="1"/>
  <c r="BY2018" i="1"/>
  <c r="BR1130" i="1"/>
  <c r="CA1130" i="1" s="1"/>
  <c r="BY1130" i="1"/>
  <c r="BR2975" i="1"/>
  <c r="CA2975" i="1" s="1"/>
  <c r="BY2975" i="1"/>
  <c r="BR1370" i="1"/>
  <c r="CA1370" i="1" s="1"/>
  <c r="BY1370" i="1"/>
  <c r="BU1090" i="1"/>
  <c r="BW1090" i="1" s="1"/>
  <c r="BX1090" i="1"/>
  <c r="BU539" i="1"/>
  <c r="BW539" i="1" s="1"/>
  <c r="BX539" i="1"/>
  <c r="BU1433" i="1"/>
  <c r="BW1433" i="1" s="1"/>
  <c r="BX1433" i="1"/>
  <c r="BU1905" i="1"/>
  <c r="BW1905" i="1" s="1"/>
  <c r="BX1905" i="1"/>
  <c r="BU2098" i="1"/>
  <c r="BW2098" i="1" s="1"/>
  <c r="BX2098" i="1"/>
  <c r="BU2391" i="1"/>
  <c r="BW2391" i="1" s="1"/>
  <c r="BX2391" i="1"/>
  <c r="BU2052" i="1"/>
  <c r="BW2052" i="1" s="1"/>
  <c r="BX2052" i="1"/>
  <c r="BU3064" i="1"/>
  <c r="BW3064" i="1" s="1"/>
  <c r="BX3064" i="1"/>
  <c r="BU2274" i="1"/>
  <c r="BW2274" i="1" s="1"/>
  <c r="BX2274" i="1"/>
  <c r="BU157" i="1"/>
  <c r="BW157" i="1" s="1"/>
  <c r="BX157" i="1"/>
  <c r="BU729" i="1"/>
  <c r="BW729" i="1" s="1"/>
  <c r="BX729" i="1"/>
  <c r="BU2177" i="1"/>
  <c r="BW2177" i="1" s="1"/>
  <c r="BX2177" i="1"/>
  <c r="BU1077" i="1"/>
  <c r="BW1077" i="1" s="1"/>
  <c r="BX1077" i="1"/>
  <c r="BU3011" i="1"/>
  <c r="BW3011" i="1" s="1"/>
  <c r="BX3011" i="1"/>
  <c r="BU164" i="1"/>
  <c r="BW164" i="1" s="1"/>
  <c r="BX164" i="1"/>
  <c r="BU2726" i="1"/>
  <c r="BW2726" i="1" s="1"/>
  <c r="BX2726" i="1"/>
  <c r="BU1455" i="1"/>
  <c r="BW1455" i="1" s="1"/>
  <c r="BX1455" i="1"/>
  <c r="BU2709" i="1"/>
  <c r="BW2709" i="1" s="1"/>
  <c r="BX2709" i="1"/>
  <c r="BU1053" i="1"/>
  <c r="BW1053" i="1" s="1"/>
  <c r="BX1053" i="1"/>
  <c r="BU1692" i="1"/>
  <c r="BW1692" i="1" s="1"/>
  <c r="BX1692" i="1"/>
  <c r="BU679" i="1"/>
  <c r="BW679" i="1" s="1"/>
  <c r="BX679" i="1"/>
  <c r="BU2677" i="1"/>
  <c r="BW2677" i="1" s="1"/>
  <c r="BX2677" i="1"/>
  <c r="BU1449" i="1"/>
  <c r="BW1449" i="1" s="1"/>
  <c r="BX1449" i="1"/>
  <c r="BU1253" i="1"/>
  <c r="BW1253" i="1" s="1"/>
  <c r="BX1253" i="1"/>
  <c r="BU730" i="1"/>
  <c r="BW730" i="1" s="1"/>
  <c r="BX730" i="1"/>
  <c r="BU1249" i="1"/>
  <c r="BW1249" i="1" s="1"/>
  <c r="BX1249" i="1"/>
  <c r="BU1470" i="1"/>
  <c r="BW1470" i="1" s="1"/>
  <c r="BX1470" i="1"/>
  <c r="BU2355" i="1"/>
  <c r="BW2355" i="1" s="1"/>
  <c r="BX2355" i="1"/>
  <c r="BU2496" i="1"/>
  <c r="BW2496" i="1" s="1"/>
  <c r="BX2496" i="1"/>
  <c r="BU1670" i="1"/>
  <c r="BW1670" i="1" s="1"/>
  <c r="BX1670" i="1"/>
  <c r="BU1842" i="1"/>
  <c r="BW1842" i="1" s="1"/>
  <c r="BX1842" i="1"/>
  <c r="BU1579" i="1"/>
  <c r="BW1579" i="1" s="1"/>
  <c r="BX1579" i="1"/>
  <c r="BU3053" i="1"/>
  <c r="BW3053" i="1" s="1"/>
  <c r="BX3053" i="1"/>
  <c r="BU1386" i="1"/>
  <c r="BW1386" i="1" s="1"/>
  <c r="BX1386" i="1"/>
  <c r="BU1442" i="1"/>
  <c r="BW1442" i="1" s="1"/>
  <c r="BX1442" i="1"/>
  <c r="BU2105" i="1"/>
  <c r="BW2105" i="1" s="1"/>
  <c r="BX2105" i="1"/>
  <c r="BU2113" i="1"/>
  <c r="BW2113" i="1" s="1"/>
  <c r="BX2113" i="1"/>
  <c r="BU1936" i="1"/>
  <c r="BW1936" i="1" s="1"/>
  <c r="BX1936" i="1"/>
  <c r="BU2601" i="1"/>
  <c r="BW2601" i="1" s="1"/>
  <c r="BX2601" i="1"/>
  <c r="BU3164" i="1"/>
  <c r="BW3164" i="1" s="1"/>
  <c r="BX3164" i="1"/>
  <c r="BU1275" i="1"/>
  <c r="BW1275" i="1" s="1"/>
  <c r="BX1275" i="1"/>
  <c r="BU2463" i="1"/>
  <c r="BW2463" i="1" s="1"/>
  <c r="BX2463" i="1"/>
  <c r="BU1935" i="1"/>
  <c r="BW1935" i="1" s="1"/>
  <c r="BX1935" i="1"/>
  <c r="BU1227" i="1"/>
  <c r="BW1227" i="1" s="1"/>
  <c r="BX1227" i="1"/>
  <c r="BU752" i="1"/>
  <c r="BW752" i="1" s="1"/>
  <c r="BX752" i="1"/>
  <c r="BU2730" i="1"/>
  <c r="BW2730" i="1" s="1"/>
  <c r="BX2730" i="1"/>
  <c r="BU924" i="1"/>
  <c r="BW924" i="1" s="1"/>
  <c r="BX924" i="1"/>
  <c r="BU310" i="1"/>
  <c r="BW310" i="1" s="1"/>
  <c r="BX310" i="1"/>
  <c r="BU573" i="1"/>
  <c r="BW573" i="1" s="1"/>
  <c r="BX573" i="1"/>
  <c r="BU109" i="1"/>
  <c r="BW109" i="1" s="1"/>
  <c r="BX109" i="1"/>
  <c r="BU2651" i="1"/>
  <c r="BW2651" i="1" s="1"/>
  <c r="BX2651" i="1"/>
  <c r="BU1861" i="1"/>
  <c r="BW1861" i="1" s="1"/>
  <c r="BX1861" i="1"/>
  <c r="BU548" i="1"/>
  <c r="BW548" i="1" s="1"/>
  <c r="BX548" i="1"/>
  <c r="BU1259" i="1"/>
  <c r="BW1259" i="1" s="1"/>
  <c r="BX1259" i="1"/>
  <c r="BU302" i="1"/>
  <c r="BW302" i="1" s="1"/>
  <c r="BX302" i="1"/>
  <c r="BU1919" i="1"/>
  <c r="BW1919" i="1" s="1"/>
  <c r="BX1919" i="1"/>
  <c r="BU2402" i="1"/>
  <c r="BW2402" i="1" s="1"/>
  <c r="BX2402" i="1"/>
  <c r="BU974" i="1"/>
  <c r="BW974" i="1" s="1"/>
  <c r="BX974" i="1"/>
  <c r="BU429" i="1"/>
  <c r="BW429" i="1" s="1"/>
  <c r="BX429" i="1"/>
  <c r="BU3105" i="1"/>
  <c r="BW3105" i="1" s="1"/>
  <c r="BX3105" i="1"/>
  <c r="BU944" i="1"/>
  <c r="BW944" i="1" s="1"/>
  <c r="BX944" i="1"/>
  <c r="BU2059" i="1"/>
  <c r="BW2059" i="1" s="1"/>
  <c r="BX2059" i="1"/>
  <c r="BU3042" i="1"/>
  <c r="BW3042" i="1" s="1"/>
  <c r="BX3042" i="1"/>
  <c r="BU3035" i="1"/>
  <c r="BW3035" i="1" s="1"/>
  <c r="BX3035" i="1"/>
  <c r="BU1514" i="1"/>
  <c r="BW1514" i="1" s="1"/>
  <c r="BX1514" i="1"/>
  <c r="BU860" i="1"/>
  <c r="BW860" i="1" s="1"/>
  <c r="BX860" i="1"/>
  <c r="BU2966" i="1"/>
  <c r="BW2966" i="1" s="1"/>
  <c r="BX2966" i="1"/>
  <c r="BU122" i="1"/>
  <c r="BW122" i="1" s="1"/>
  <c r="BX122" i="1"/>
  <c r="BU1651" i="1"/>
  <c r="BW1651" i="1" s="1"/>
  <c r="BX1651" i="1"/>
  <c r="BU852" i="1"/>
  <c r="BW852" i="1" s="1"/>
  <c r="BX852" i="1"/>
  <c r="BU2090" i="1"/>
  <c r="BW2090" i="1" s="1"/>
  <c r="BX2090" i="1"/>
  <c r="BU2596" i="1"/>
  <c r="BW2596" i="1" s="1"/>
  <c r="BX2596" i="1"/>
  <c r="BU1133" i="1"/>
  <c r="BW1133" i="1" s="1"/>
  <c r="BX1133" i="1"/>
  <c r="BU147" i="1"/>
  <c r="BW147" i="1" s="1"/>
  <c r="BX147" i="1"/>
  <c r="BU690" i="1"/>
  <c r="BW690" i="1" s="1"/>
  <c r="BX690" i="1"/>
  <c r="BU1932" i="1"/>
  <c r="BW1932" i="1" s="1"/>
  <c r="BX1932" i="1"/>
  <c r="BU1004" i="1"/>
  <c r="BW1004" i="1" s="1"/>
  <c r="BX1004" i="1"/>
  <c r="BU2400" i="1"/>
  <c r="BW2400" i="1" s="1"/>
  <c r="BX2400" i="1"/>
  <c r="BU1101" i="1"/>
  <c r="BW1101" i="1" s="1"/>
  <c r="BX1101" i="1"/>
  <c r="BU540" i="1"/>
  <c r="BW540" i="1" s="1"/>
  <c r="BX540" i="1"/>
  <c r="BX3131" i="1"/>
  <c r="BU559" i="1"/>
  <c r="BW559" i="1" s="1"/>
  <c r="BX559" i="1"/>
  <c r="BU356" i="1"/>
  <c r="BW356" i="1" s="1"/>
  <c r="BX356" i="1"/>
  <c r="BU1635" i="1"/>
  <c r="BW1635" i="1" s="1"/>
  <c r="BX1635" i="1"/>
  <c r="BU967" i="1"/>
  <c r="BW967" i="1" s="1"/>
  <c r="BX967" i="1"/>
  <c r="BU2256" i="1"/>
  <c r="BW2256" i="1" s="1"/>
  <c r="BX2256" i="1"/>
  <c r="BU339" i="1"/>
  <c r="BW339" i="1" s="1"/>
  <c r="BX339" i="1"/>
  <c r="BU1303" i="1"/>
  <c r="BW1303" i="1" s="1"/>
  <c r="BX1303" i="1"/>
  <c r="BU1486" i="1"/>
  <c r="BW1486" i="1" s="1"/>
  <c r="BX1486" i="1"/>
  <c r="BU392" i="1"/>
  <c r="BW392" i="1" s="1"/>
  <c r="BX392" i="1"/>
  <c r="BU815" i="1"/>
  <c r="BW815" i="1" s="1"/>
  <c r="BX815" i="1"/>
  <c r="BU774" i="1"/>
  <c r="BW774" i="1" s="1"/>
  <c r="BX774" i="1"/>
  <c r="BU878" i="1"/>
  <c r="BW878" i="1" s="1"/>
  <c r="BX878" i="1"/>
  <c r="BU1975" i="1"/>
  <c r="BW1975" i="1" s="1"/>
  <c r="BX1975" i="1"/>
  <c r="BU2755" i="1"/>
  <c r="BW2755" i="1" s="1"/>
  <c r="BX2755" i="1"/>
  <c r="BU2753" i="1"/>
  <c r="BW2753" i="1" s="1"/>
  <c r="BX2753" i="1"/>
  <c r="BU330" i="1"/>
  <c r="BW330" i="1" s="1"/>
  <c r="BX330" i="1"/>
  <c r="BU2465" i="1"/>
  <c r="BW2465" i="1" s="1"/>
  <c r="BX2465" i="1"/>
  <c r="BU1952" i="1"/>
  <c r="BW1952" i="1" s="1"/>
  <c r="BX1952" i="1"/>
  <c r="BU3205" i="1"/>
  <c r="BW3205" i="1" s="1"/>
  <c r="BX3205" i="1"/>
  <c r="BU3097" i="1"/>
  <c r="BW3097" i="1" s="1"/>
  <c r="BX3097" i="1"/>
  <c r="BU1223" i="1"/>
  <c r="BW1223" i="1" s="1"/>
  <c r="BX1223" i="1"/>
  <c r="BU1588" i="1"/>
  <c r="BW1588" i="1" s="1"/>
  <c r="BX1588" i="1"/>
  <c r="BU2700" i="1"/>
  <c r="BW2700" i="1" s="1"/>
  <c r="BX2700" i="1"/>
  <c r="BU19" i="1"/>
  <c r="BW19" i="1" s="1"/>
  <c r="BX19" i="1"/>
  <c r="BU1214" i="1"/>
  <c r="BW1214" i="1" s="1"/>
  <c r="BX1214" i="1"/>
  <c r="BU840" i="1"/>
  <c r="BW840" i="1" s="1"/>
  <c r="BX840" i="1"/>
  <c r="BU2259" i="1"/>
  <c r="BW2259" i="1" s="1"/>
  <c r="BX2259" i="1"/>
  <c r="BU778" i="1"/>
  <c r="BW778" i="1" s="1"/>
  <c r="BX778" i="1"/>
  <c r="BU1768" i="1"/>
  <c r="BW1768" i="1" s="1"/>
  <c r="BX1768" i="1"/>
  <c r="BU819" i="1"/>
  <c r="BW819" i="1" s="1"/>
  <c r="BX819" i="1"/>
  <c r="BU876" i="1"/>
  <c r="BW876" i="1" s="1"/>
  <c r="BX876" i="1"/>
  <c r="BU2743" i="1"/>
  <c r="BW2743" i="1" s="1"/>
  <c r="BX2743" i="1"/>
  <c r="BU1684" i="1"/>
  <c r="BW1684" i="1" s="1"/>
  <c r="BX1684" i="1"/>
  <c r="BU2464" i="1"/>
  <c r="BW2464" i="1" s="1"/>
  <c r="BX2464" i="1"/>
  <c r="BU3138" i="1"/>
  <c r="BW3138" i="1" s="1"/>
  <c r="BX3138" i="1"/>
  <c r="BU1761" i="1"/>
  <c r="BW1761" i="1" s="1"/>
  <c r="BX1761" i="1"/>
  <c r="BU1014" i="1"/>
  <c r="BW1014" i="1" s="1"/>
  <c r="BX1014" i="1"/>
  <c r="BU746" i="1"/>
  <c r="BW746" i="1" s="1"/>
  <c r="BX746" i="1"/>
  <c r="BU1805" i="1"/>
  <c r="BW1805" i="1" s="1"/>
  <c r="BX1805" i="1"/>
  <c r="BU2595" i="1"/>
  <c r="BW2595" i="1" s="1"/>
  <c r="BX2595" i="1"/>
  <c r="BU2000" i="1"/>
  <c r="BW2000" i="1" s="1"/>
  <c r="BX2000" i="1"/>
  <c r="BU550" i="1"/>
  <c r="BW550" i="1" s="1"/>
  <c r="BX550" i="1"/>
  <c r="BU423" i="1"/>
  <c r="BW423" i="1" s="1"/>
  <c r="BX423" i="1"/>
  <c r="BU2241" i="1"/>
  <c r="BW2241" i="1" s="1"/>
  <c r="BX2241" i="1"/>
  <c r="BU1610" i="1"/>
  <c r="BW1610" i="1" s="1"/>
  <c r="BX1610" i="1"/>
  <c r="BU1717" i="1"/>
  <c r="BW1717" i="1" s="1"/>
  <c r="BX1717" i="1"/>
  <c r="BU1445" i="1"/>
  <c r="BW1445" i="1" s="1"/>
  <c r="BX1445" i="1"/>
  <c r="BU1590" i="1"/>
  <c r="BW1590" i="1" s="1"/>
  <c r="BX1590" i="1"/>
  <c r="BU995" i="1"/>
  <c r="BW995" i="1" s="1"/>
  <c r="BX995" i="1"/>
  <c r="BU2033" i="1"/>
  <c r="BW2033" i="1" s="1"/>
  <c r="BX2033" i="1"/>
  <c r="BU454" i="1"/>
  <c r="BW454" i="1" s="1"/>
  <c r="BX454" i="1"/>
  <c r="BU934" i="1"/>
  <c r="BW934" i="1" s="1"/>
  <c r="BX934" i="1"/>
  <c r="BU2101" i="1"/>
  <c r="BW2101" i="1" s="1"/>
  <c r="BX2101" i="1"/>
  <c r="BU2389" i="1"/>
  <c r="BW2389" i="1" s="1"/>
  <c r="BX2389" i="1"/>
  <c r="BU1790" i="1"/>
  <c r="BW1790" i="1" s="1"/>
  <c r="BX1790" i="1"/>
  <c r="BU328" i="1"/>
  <c r="BW328" i="1" s="1"/>
  <c r="BX328" i="1"/>
  <c r="BU799" i="1"/>
  <c r="BW799" i="1" s="1"/>
  <c r="BX799" i="1"/>
  <c r="BU1292" i="1"/>
  <c r="BW1292" i="1" s="1"/>
  <c r="BX1292" i="1"/>
  <c r="BU1116" i="1"/>
  <c r="BW1116" i="1" s="1"/>
  <c r="BX1116" i="1"/>
  <c r="BU2182" i="1"/>
  <c r="BW2182" i="1" s="1"/>
  <c r="BX2182" i="1"/>
  <c r="BU1453" i="1"/>
  <c r="BW1453" i="1" s="1"/>
  <c r="BX1453" i="1"/>
  <c r="BU341" i="1"/>
  <c r="BW341" i="1" s="1"/>
  <c r="BX341" i="1"/>
  <c r="BU123" i="1"/>
  <c r="BW123" i="1" s="1"/>
  <c r="BU3122" i="1"/>
  <c r="BW3122" i="1" s="1"/>
  <c r="BU769" i="1"/>
  <c r="BW769" i="1" s="1"/>
  <c r="BU3066" i="1"/>
  <c r="BW3066" i="1" s="1"/>
  <c r="BU1444" i="1"/>
  <c r="BW1444" i="1" s="1"/>
  <c r="BU3052" i="1"/>
  <c r="BW3052" i="1" s="1"/>
  <c r="BU2029" i="1"/>
  <c r="BW2029" i="1" s="1"/>
  <c r="BU1507" i="1"/>
  <c r="BW1507" i="1" s="1"/>
  <c r="BU2128" i="1"/>
  <c r="BW2128" i="1" s="1"/>
  <c r="BU1614" i="1"/>
  <c r="BW1614" i="1" s="1"/>
  <c r="BU615" i="1"/>
  <c r="BW615" i="1" s="1"/>
  <c r="BU2077" i="1"/>
  <c r="BW2077" i="1" s="1"/>
  <c r="BU2031" i="1"/>
  <c r="BW2031" i="1" s="1"/>
  <c r="BU2729" i="1"/>
  <c r="BW2729" i="1" s="1"/>
  <c r="BU1338" i="1"/>
  <c r="BW1338" i="1" s="1"/>
  <c r="BU2627" i="1"/>
  <c r="BW2627" i="1" s="1"/>
  <c r="BU1777" i="1"/>
  <c r="BW1777" i="1" s="1"/>
  <c r="BU1749" i="1"/>
  <c r="BW1749" i="1" s="1"/>
  <c r="BU612" i="1"/>
  <c r="BW612" i="1" s="1"/>
  <c r="BU2649" i="1"/>
  <c r="BW2649" i="1" s="1"/>
  <c r="BU460" i="1"/>
  <c r="BW460" i="1" s="1"/>
  <c r="BU826" i="1"/>
  <c r="BW826" i="1" s="1"/>
  <c r="BU1703" i="1"/>
  <c r="BW1703" i="1" s="1"/>
  <c r="BU1033" i="1"/>
  <c r="BW1033" i="1" s="1"/>
  <c r="BU706" i="1"/>
  <c r="BW706" i="1" s="1"/>
  <c r="BU1369" i="1"/>
  <c r="BW1369" i="1" s="1"/>
  <c r="BU2687" i="1"/>
  <c r="BW2687" i="1" s="1"/>
  <c r="BU1792" i="1"/>
  <c r="BW1792" i="1" s="1"/>
  <c r="BU590" i="1"/>
  <c r="BW590" i="1" s="1"/>
  <c r="BU877" i="1"/>
  <c r="BW877" i="1" s="1"/>
  <c r="BU2123" i="1"/>
  <c r="BW2123" i="1" s="1"/>
  <c r="BU1038" i="1"/>
  <c r="BW1038" i="1" s="1"/>
  <c r="BU2085" i="1"/>
  <c r="BW2085" i="1" s="1"/>
  <c r="BU1197" i="1"/>
  <c r="BW1197" i="1" s="1"/>
  <c r="BU438" i="1"/>
  <c r="BW438" i="1" s="1"/>
  <c r="BU2040" i="1"/>
  <c r="BW2040" i="1" s="1"/>
  <c r="BU3148" i="1"/>
  <c r="BW3148" i="1" s="1"/>
  <c r="BU809" i="1"/>
  <c r="BW809" i="1" s="1"/>
  <c r="BU1569" i="1"/>
  <c r="BW1569" i="1" s="1"/>
  <c r="BU3139" i="1"/>
  <c r="BW3139" i="1" s="1"/>
  <c r="BU2372" i="1"/>
  <c r="BW2372" i="1" s="1"/>
  <c r="BU654" i="1"/>
  <c r="BW654" i="1" s="1"/>
  <c r="BU3088" i="1"/>
  <c r="BW3088" i="1" s="1"/>
  <c r="BU2158" i="1"/>
  <c r="BW2158" i="1" s="1"/>
  <c r="BU1438" i="1"/>
  <c r="BW1438" i="1" s="1"/>
  <c r="BU552" i="1"/>
  <c r="BW552" i="1" s="1"/>
  <c r="BU1696" i="1"/>
  <c r="BW1696" i="1" s="1"/>
  <c r="BU1075" i="1"/>
  <c r="BW1075" i="1" s="1"/>
  <c r="BU1497" i="1"/>
  <c r="BW1497" i="1" s="1"/>
  <c r="BU1786" i="1"/>
  <c r="BW1786" i="1" s="1"/>
  <c r="BU415" i="1"/>
  <c r="BW415" i="1" s="1"/>
  <c r="BU827" i="1"/>
  <c r="BW827" i="1" s="1"/>
  <c r="BU698" i="1"/>
  <c r="BW698" i="1" s="1"/>
  <c r="BU2205" i="1"/>
  <c r="BW2205" i="1" s="1"/>
  <c r="BU1288" i="1"/>
  <c r="BW1288" i="1" s="1"/>
  <c r="BU2142" i="1"/>
  <c r="BW2142" i="1" s="1"/>
  <c r="BU3024" i="1"/>
  <c r="BW3024" i="1" s="1"/>
  <c r="BU2223" i="1"/>
  <c r="BW2223" i="1" s="1"/>
  <c r="BU1819" i="1"/>
  <c r="BW1819" i="1" s="1"/>
  <c r="BU2504" i="1"/>
  <c r="BW2504" i="1" s="1"/>
  <c r="BU935" i="1"/>
  <c r="BW935" i="1" s="1"/>
  <c r="BU2295" i="1"/>
  <c r="BW2295" i="1" s="1"/>
  <c r="BU3091" i="1"/>
  <c r="BW3091" i="1" s="1"/>
  <c r="BU3085" i="1"/>
  <c r="BW3085" i="1" s="1"/>
  <c r="BU1172" i="1"/>
  <c r="BW1172" i="1" s="1"/>
  <c r="BU1973" i="1"/>
  <c r="BW1973" i="1" s="1"/>
  <c r="BU3054" i="1"/>
  <c r="BW3054" i="1" s="1"/>
  <c r="BU643" i="1"/>
  <c r="BW643" i="1" s="1"/>
  <c r="BU1003" i="1"/>
  <c r="BW1003" i="1" s="1"/>
  <c r="BU2179" i="1"/>
  <c r="BW2179" i="1" s="1"/>
  <c r="BU900" i="1"/>
  <c r="BW900" i="1" s="1"/>
  <c r="BU1715" i="1"/>
  <c r="BW1715" i="1" s="1"/>
  <c r="BU2527" i="1"/>
  <c r="BW2527" i="1" s="1"/>
  <c r="BU1813" i="1"/>
  <c r="BW1813" i="1" s="1"/>
  <c r="BU1066" i="1"/>
  <c r="BW1066" i="1" s="1"/>
  <c r="BU1045" i="1"/>
  <c r="BW1045" i="1" s="1"/>
  <c r="BU1918" i="1"/>
  <c r="BW1918" i="1" s="1"/>
  <c r="BU2299" i="1"/>
  <c r="BW2299" i="1" s="1"/>
  <c r="BU1440" i="1"/>
  <c r="BW1440" i="1" s="1"/>
  <c r="BU3023" i="1"/>
  <c r="BW3023" i="1" s="1"/>
  <c r="BU1387" i="1"/>
  <c r="BW1387" i="1" s="1"/>
  <c r="BU1390" i="1"/>
  <c r="BW1390" i="1" s="1"/>
  <c r="BU2134" i="1"/>
  <c r="BW2134" i="1" s="1"/>
  <c r="BU2376" i="1"/>
  <c r="BW2376" i="1" s="1"/>
  <c r="BU651" i="1"/>
  <c r="BW651" i="1" s="1"/>
  <c r="BU2711" i="1"/>
  <c r="BW2711" i="1" s="1"/>
  <c r="BU1958" i="1"/>
  <c r="BW1958" i="1" s="1"/>
  <c r="BU828" i="1"/>
  <c r="BW828" i="1" s="1"/>
  <c r="BU1654" i="1"/>
  <c r="BW1654" i="1" s="1"/>
  <c r="BU2707" i="1"/>
  <c r="BW2707" i="1" s="1"/>
  <c r="BU1605" i="1"/>
  <c r="BW1605" i="1" s="1"/>
  <c r="BU3166" i="1"/>
  <c r="BW3166" i="1" s="1"/>
  <c r="BU2744" i="1"/>
  <c r="BW2744" i="1" s="1"/>
  <c r="BU3065" i="1"/>
  <c r="BW3065" i="1" s="1"/>
  <c r="BU3050" i="1"/>
  <c r="BW3050" i="1" s="1"/>
  <c r="BU1436" i="1"/>
  <c r="BW1436" i="1" s="1"/>
  <c r="BU726" i="1"/>
  <c r="BW726" i="1" s="1"/>
  <c r="BU904" i="1"/>
  <c r="BW904" i="1" s="1"/>
  <c r="BU520" i="1"/>
  <c r="BW520" i="1" s="1"/>
  <c r="BU805" i="1"/>
  <c r="BW805" i="1" s="1"/>
  <c r="BU1783" i="1"/>
  <c r="BW1783" i="1" s="1"/>
  <c r="BU1125" i="1"/>
  <c r="BW1125" i="1" s="1"/>
  <c r="BU1146" i="1"/>
  <c r="BW1146" i="1" s="1"/>
  <c r="BU1196" i="1"/>
  <c r="BW1196" i="1" s="1"/>
  <c r="BU1746" i="1"/>
  <c r="BW1746" i="1" s="1"/>
  <c r="BU1153" i="1"/>
  <c r="BW1153" i="1" s="1"/>
  <c r="BU1997" i="1"/>
  <c r="BW1997" i="1" s="1"/>
  <c r="BU2167" i="1"/>
  <c r="BW2167" i="1" s="1"/>
  <c r="BU2684" i="1"/>
  <c r="BW2684" i="1" s="1"/>
  <c r="BU1884" i="1"/>
  <c r="BW1884" i="1" s="1"/>
  <c r="BU547" i="1"/>
  <c r="BW547" i="1" s="1"/>
  <c r="BU2005" i="1"/>
  <c r="BW2005" i="1" s="1"/>
  <c r="BU1822" i="1"/>
  <c r="BW1822" i="1" s="1"/>
  <c r="BU497" i="1"/>
  <c r="BW497" i="1" s="1"/>
  <c r="BU2349" i="1"/>
  <c r="BW2349" i="1" s="1"/>
  <c r="BU2326" i="1"/>
  <c r="BW2326" i="1" s="1"/>
  <c r="BU2712" i="1"/>
  <c r="BW2712" i="1" s="1"/>
  <c r="BU337" i="1"/>
  <c r="BW337" i="1" s="1"/>
  <c r="BU920" i="1"/>
  <c r="BW920" i="1" s="1"/>
  <c r="BU2164" i="1"/>
  <c r="BW2164" i="1" s="1"/>
  <c r="BU3063" i="1"/>
  <c r="BW3063" i="1" s="1"/>
  <c r="BU1509" i="1"/>
  <c r="BW1509" i="1" s="1"/>
  <c r="BU2104" i="1"/>
  <c r="BW2104" i="1" s="1"/>
  <c r="BU1279" i="1"/>
  <c r="BW1279" i="1" s="1"/>
  <c r="BU2510" i="1"/>
  <c r="BW2510" i="1" s="1"/>
  <c r="BU6" i="1"/>
  <c r="BW6" i="1" s="1"/>
  <c r="BU315" i="1"/>
  <c r="BW315" i="1" s="1"/>
  <c r="BU741" i="1"/>
  <c r="BW741" i="1" s="1"/>
  <c r="BU2732" i="1"/>
  <c r="BW2732" i="1" s="1"/>
  <c r="BU1220" i="1"/>
  <c r="BW1220" i="1" s="1"/>
  <c r="BU2531" i="1"/>
  <c r="BW2531" i="1" s="1"/>
  <c r="BU2716" i="1"/>
  <c r="BW2716" i="1" s="1"/>
  <c r="BU1862" i="1"/>
  <c r="BW1862" i="1" s="1"/>
  <c r="BU143" i="1"/>
  <c r="BW143" i="1" s="1"/>
  <c r="BU2669" i="1"/>
  <c r="BW2669" i="1" s="1"/>
  <c r="BU2371" i="1"/>
  <c r="BW2371" i="1" s="1"/>
  <c r="BU718" i="1"/>
  <c r="BW718" i="1" s="1"/>
  <c r="BU1152" i="1"/>
  <c r="BW1152" i="1" s="1"/>
  <c r="BU2058" i="1"/>
  <c r="BW2058" i="1" s="1"/>
  <c r="BU899" i="1"/>
  <c r="BW899" i="1" s="1"/>
  <c r="BU1871" i="1"/>
  <c r="BW1871" i="1" s="1"/>
  <c r="BU2692" i="1"/>
  <c r="BW2692" i="1" s="1"/>
  <c r="BU3047" i="1"/>
  <c r="BW3047" i="1" s="1"/>
  <c r="BU1437" i="1"/>
  <c r="BW1437" i="1" s="1"/>
  <c r="BU2175" i="1"/>
  <c r="BW2175" i="1" s="1"/>
  <c r="BU2432" i="1"/>
  <c r="BW2432" i="1" s="1"/>
  <c r="BU3204" i="1"/>
  <c r="BW3204" i="1" s="1"/>
  <c r="BU3198" i="1"/>
  <c r="BW3198" i="1" s="1"/>
  <c r="BU1633" i="1"/>
  <c r="BW1633" i="1" s="1"/>
  <c r="BU3115" i="1"/>
  <c r="BW3115" i="1" s="1"/>
  <c r="BU3083" i="1"/>
  <c r="BW3083" i="1" s="1"/>
  <c r="BU864" i="1"/>
  <c r="BW864" i="1" s="1"/>
  <c r="BU3060" i="1"/>
  <c r="BW3060" i="1" s="1"/>
  <c r="BU2280" i="1"/>
  <c r="BW2280" i="1" s="1"/>
  <c r="BU1634" i="1"/>
  <c r="BW1634" i="1" s="1"/>
  <c r="BU2512" i="1"/>
  <c r="BW2512" i="1" s="1"/>
  <c r="BU1405" i="1"/>
  <c r="BW1405" i="1" s="1"/>
  <c r="BU649" i="1"/>
  <c r="BW649" i="1" s="1"/>
  <c r="BU1361" i="1"/>
  <c r="BW1361" i="1" s="1"/>
  <c r="BU1971" i="1"/>
  <c r="BW1971" i="1" s="1"/>
  <c r="BU680" i="1"/>
  <c r="BW680" i="1" s="1"/>
  <c r="BU1630" i="1"/>
  <c r="BW1630" i="1" s="1"/>
  <c r="BU1900" i="1"/>
  <c r="BW1900" i="1" s="1"/>
  <c r="BU1360" i="1"/>
  <c r="BW1360" i="1" s="1"/>
  <c r="BU1402" i="1"/>
  <c r="BW1402" i="1" s="1"/>
  <c r="BU1276" i="1"/>
  <c r="BW1276" i="1" s="1"/>
  <c r="BU636" i="1"/>
  <c r="BW636" i="1" s="1"/>
  <c r="BU1960" i="1"/>
  <c r="BW1960" i="1" s="1"/>
  <c r="BU1928" i="1"/>
  <c r="BW1928" i="1" s="1"/>
  <c r="BU1236" i="1"/>
  <c r="BW1236" i="1" s="1"/>
  <c r="BU881" i="1"/>
  <c r="BW881" i="1" s="1"/>
  <c r="BU2972" i="1"/>
  <c r="BW2972" i="1" s="1"/>
  <c r="BU689" i="1"/>
  <c r="BW689" i="1" s="1"/>
  <c r="BU2169" i="1"/>
  <c r="BW2169" i="1" s="1"/>
  <c r="BU2679" i="1"/>
  <c r="BW2679" i="1" s="1"/>
  <c r="BU1158" i="1"/>
  <c r="BW1158" i="1" s="1"/>
  <c r="BU1562" i="1"/>
  <c r="BW1562" i="1" s="1"/>
  <c r="BU1689" i="1"/>
  <c r="BW1689" i="1" s="1"/>
  <c r="BU2564" i="1"/>
  <c r="BW2564" i="1" s="1"/>
  <c r="BU1017" i="1"/>
  <c r="BW1017" i="1" s="1"/>
  <c r="BU3128" i="1"/>
  <c r="BW3128" i="1" s="1"/>
  <c r="BU1218" i="1"/>
  <c r="BW1218" i="1" s="1"/>
  <c r="BU625" i="1"/>
  <c r="BW625" i="1" s="1"/>
  <c r="BU1073" i="1"/>
  <c r="BW1073" i="1" s="1"/>
  <c r="BU678" i="1"/>
  <c r="BW678" i="1" s="1"/>
  <c r="BU1166" i="1"/>
  <c r="BW1166" i="1" s="1"/>
  <c r="BU420" i="1"/>
  <c r="BW420" i="1" s="1"/>
  <c r="BU427" i="1"/>
  <c r="BW427" i="1" s="1"/>
  <c r="BU2628" i="1"/>
  <c r="BW2628" i="1" s="1"/>
  <c r="BU1348" i="1"/>
  <c r="BW1348" i="1" s="1"/>
  <c r="BU1076" i="1"/>
  <c r="BW1076" i="1" s="1"/>
  <c r="BU2103" i="1"/>
  <c r="BW2103" i="1" s="1"/>
  <c r="BU198" i="1"/>
  <c r="BW198" i="1" s="1"/>
  <c r="BU953" i="1"/>
  <c r="BW953" i="1" s="1"/>
  <c r="BU1712" i="1"/>
  <c r="BW1712" i="1" s="1"/>
  <c r="BU3203" i="1"/>
  <c r="BW3203" i="1" s="1"/>
  <c r="BU928" i="1"/>
  <c r="BW928" i="1" s="1"/>
  <c r="BU1860" i="1"/>
  <c r="BW1860" i="1" s="1"/>
  <c r="BU2611" i="1"/>
  <c r="BW2611" i="1" s="1"/>
  <c r="BU2124" i="1"/>
  <c r="BW2124" i="1" s="1"/>
  <c r="BU300" i="1"/>
  <c r="BW300" i="1" s="1"/>
  <c r="BU555" i="1"/>
  <c r="BW555" i="1" s="1"/>
  <c r="BU795" i="1"/>
  <c r="BW795" i="1" s="1"/>
  <c r="BU825" i="1"/>
  <c r="BW825" i="1" s="1"/>
  <c r="BU3167" i="1"/>
  <c r="BW3167" i="1" s="1"/>
  <c r="BU1794" i="1"/>
  <c r="BW1794" i="1" s="1"/>
  <c r="BU173" i="1"/>
  <c r="BW173" i="1" s="1"/>
  <c r="BU3127" i="1"/>
  <c r="BW3127" i="1" s="1"/>
  <c r="BU1201" i="1"/>
  <c r="BW1201" i="1" s="1"/>
  <c r="BU1532" i="1"/>
  <c r="BW1532" i="1" s="1"/>
  <c r="BU3067" i="1"/>
  <c r="BW3067" i="1" s="1"/>
  <c r="BU1831" i="1"/>
  <c r="BW1831" i="1" s="1"/>
  <c r="BU2099" i="1"/>
  <c r="BW2099" i="1" s="1"/>
  <c r="BU1169" i="1"/>
  <c r="BW1169" i="1" s="1"/>
  <c r="BU966" i="1"/>
  <c r="BW966" i="1" s="1"/>
  <c r="BU3130" i="1"/>
  <c r="BW3130" i="1" s="1"/>
  <c r="BU3108" i="1"/>
  <c r="BW3108" i="1" s="1"/>
  <c r="BU1725" i="1"/>
  <c r="BW1725" i="1" s="1"/>
  <c r="BU3072" i="1"/>
  <c r="BW3072" i="1" s="1"/>
  <c r="BU1468" i="1"/>
  <c r="BW1468" i="1" s="1"/>
  <c r="BU797" i="1"/>
  <c r="BW797" i="1" s="1"/>
  <c r="BU2381" i="1"/>
  <c r="BW2381" i="1" s="1"/>
  <c r="BU456" i="1"/>
  <c r="BW456" i="1" s="1"/>
  <c r="BU1331" i="1"/>
  <c r="BW1331" i="1" s="1"/>
  <c r="BU349" i="1"/>
  <c r="BW349" i="1" s="1"/>
  <c r="BU510" i="1"/>
  <c r="BW510" i="1" s="1"/>
  <c r="BU975" i="1"/>
  <c r="BW975" i="1" s="1"/>
  <c r="BU3087" i="1"/>
  <c r="BW3087" i="1" s="1"/>
  <c r="BU1127" i="1"/>
  <c r="BW1127" i="1" s="1"/>
  <c r="BU1870" i="1"/>
  <c r="BW1870" i="1" s="1"/>
  <c r="BU3033" i="1"/>
  <c r="BW3033" i="1" s="1"/>
  <c r="BU3030" i="1"/>
  <c r="BW3030" i="1" s="1"/>
  <c r="BU1666" i="1"/>
  <c r="BW1666" i="1" s="1"/>
  <c r="BU525" i="1"/>
  <c r="BW525" i="1" s="1"/>
  <c r="BU794" i="1"/>
  <c r="BW794" i="1" s="1"/>
  <c r="BU2203" i="1"/>
  <c r="BW2203" i="1" s="1"/>
  <c r="BU1921" i="1"/>
  <c r="BW1921" i="1" s="1"/>
  <c r="BU389" i="1"/>
  <c r="BW389" i="1" s="1"/>
  <c r="BU1676" i="1"/>
  <c r="BW1676" i="1" s="1"/>
  <c r="BU1461" i="1"/>
  <c r="BW1461" i="1" s="1"/>
  <c r="BU907" i="1"/>
  <c r="BW907" i="1" s="1"/>
  <c r="BU2673" i="1"/>
  <c r="BW2673" i="1" s="1"/>
  <c r="BU1979" i="1"/>
  <c r="BW1979" i="1" s="1"/>
  <c r="BU846" i="1"/>
  <c r="BW846" i="1" s="1"/>
  <c r="BU2450" i="1"/>
  <c r="BW2450" i="1" s="1"/>
  <c r="BU1652" i="1"/>
  <c r="BW1652" i="1" s="1"/>
  <c r="BU1990" i="1"/>
  <c r="BW1990" i="1" s="1"/>
  <c r="BU3021" i="1"/>
  <c r="BW3021" i="1" s="1"/>
  <c r="BU1420" i="1"/>
  <c r="BW1420" i="1" s="1"/>
  <c r="BU2971" i="1"/>
  <c r="BW2971" i="1" s="1"/>
  <c r="BU2763" i="1"/>
  <c r="BW2763" i="1" s="1"/>
  <c r="BU2106" i="1"/>
  <c r="BW2106" i="1" s="1"/>
  <c r="BU1147" i="1"/>
  <c r="BW1147" i="1" s="1"/>
  <c r="BU1554" i="1"/>
  <c r="BW1554" i="1" s="1"/>
  <c r="BU132" i="1"/>
  <c r="BW132" i="1" s="1"/>
  <c r="BU1311" i="1"/>
  <c r="BW1311" i="1" s="1"/>
  <c r="BU2691" i="1"/>
  <c r="BW2691" i="1" s="1"/>
  <c r="BU2578" i="1"/>
  <c r="BW2578" i="1" s="1"/>
  <c r="BU2664" i="1"/>
  <c r="BW2664" i="1" s="1"/>
  <c r="BU2661" i="1"/>
  <c r="BW2661" i="1" s="1"/>
  <c r="BU2226" i="1"/>
  <c r="BW2226" i="1" s="1"/>
  <c r="BU1894" i="1"/>
  <c r="BW1894" i="1" s="1"/>
  <c r="BU1269" i="1"/>
  <c r="BW1269" i="1" s="1"/>
  <c r="BU1115" i="1"/>
  <c r="BW1115" i="1" s="1"/>
  <c r="BU686" i="1"/>
  <c r="BW686" i="1" s="1"/>
  <c r="BU2155" i="1"/>
  <c r="BW2155" i="1" s="1"/>
  <c r="BU524" i="1"/>
  <c r="BW524" i="1" s="1"/>
  <c r="BU783" i="1"/>
  <c r="BW783" i="1" s="1"/>
  <c r="BU1517" i="1"/>
  <c r="BW1517" i="1" s="1"/>
  <c r="BU998" i="1"/>
  <c r="BW998" i="1" s="1"/>
  <c r="BU716" i="1"/>
  <c r="BW716" i="1" s="1"/>
  <c r="BU1071" i="1"/>
  <c r="BW1071" i="1" s="1"/>
  <c r="BU3158" i="1"/>
  <c r="BW3158" i="1" s="1"/>
  <c r="BU1085" i="1"/>
  <c r="BW1085" i="1" s="1"/>
  <c r="BU2489" i="1"/>
  <c r="BW2489" i="1" s="1"/>
  <c r="BU2315" i="1"/>
  <c r="BW2315" i="1" s="1"/>
  <c r="BU1150" i="1"/>
  <c r="BW1150" i="1" s="1"/>
  <c r="BU2352" i="1"/>
  <c r="BW2352" i="1" s="1"/>
  <c r="BU1270" i="1"/>
  <c r="BW1270" i="1" s="1"/>
  <c r="BU513" i="1"/>
  <c r="BW513" i="1" s="1"/>
  <c r="BU3114" i="1"/>
  <c r="BW3114" i="1" s="1"/>
  <c r="BU2258" i="1"/>
  <c r="BW2258" i="1" s="1"/>
  <c r="BU2242" i="1"/>
  <c r="BW2242" i="1" s="1"/>
  <c r="BU1912" i="1"/>
  <c r="BW1912" i="1" s="1"/>
  <c r="BU2219" i="1"/>
  <c r="BW2219" i="1" s="1"/>
  <c r="BU2701" i="1"/>
  <c r="BW2701" i="1" s="1"/>
  <c r="BU2634" i="1"/>
  <c r="BW2634" i="1" s="1"/>
  <c r="BU909" i="1"/>
  <c r="BW909" i="1" s="1"/>
  <c r="BU3157" i="1"/>
  <c r="BW3157" i="1" s="1"/>
  <c r="BU898" i="1"/>
  <c r="BW898" i="1" s="1"/>
  <c r="BU3022" i="1"/>
  <c r="BW3022" i="1" s="1"/>
  <c r="BU486" i="1"/>
  <c r="BW486" i="1" s="1"/>
  <c r="BU2603" i="1"/>
  <c r="BW2603" i="1" s="1"/>
  <c r="BU2981" i="1"/>
  <c r="BW2981" i="1" s="1"/>
  <c r="BU345" i="1"/>
  <c r="BW345" i="1" s="1"/>
  <c r="BU2301" i="1"/>
  <c r="BW2301" i="1" s="1"/>
  <c r="BU2485" i="1"/>
  <c r="BW2485" i="1" s="1"/>
  <c r="BU634" i="1"/>
  <c r="BW634" i="1" s="1"/>
  <c r="BU2616" i="1"/>
  <c r="BW2616" i="1" s="1"/>
  <c r="BU2610" i="1"/>
  <c r="BW2610" i="1" s="1"/>
  <c r="BU906" i="1"/>
  <c r="BW906" i="1" s="1"/>
  <c r="BU895" i="1"/>
  <c r="BW895" i="1" s="1"/>
  <c r="BU1752" i="1"/>
  <c r="BW1752" i="1" s="1"/>
  <c r="BU1046" i="1"/>
  <c r="BW1046" i="1" s="1"/>
  <c r="BU1770" i="1"/>
  <c r="BW1770" i="1" s="1"/>
  <c r="BU1795" i="1"/>
  <c r="BW1795" i="1" s="1"/>
  <c r="BU902" i="1"/>
  <c r="BW902" i="1" s="1"/>
  <c r="BU2459" i="1"/>
  <c r="BW2459" i="1" s="1"/>
  <c r="BU2499" i="1"/>
  <c r="BW2499" i="1" s="1"/>
  <c r="BU978" i="1"/>
  <c r="BW978" i="1" s="1"/>
  <c r="BU865" i="1"/>
  <c r="BW865" i="1" s="1"/>
  <c r="BU616" i="1"/>
  <c r="BW616" i="1" s="1"/>
  <c r="BU2187" i="1"/>
  <c r="BW2187" i="1" s="1"/>
  <c r="BU466" i="1"/>
  <c r="BW466" i="1" s="1"/>
  <c r="BU2822" i="1"/>
  <c r="BW2822" i="1" s="1"/>
  <c r="BU798" i="1"/>
  <c r="BW798" i="1" s="1"/>
  <c r="BU645" i="1"/>
  <c r="BW645" i="1" s="1"/>
  <c r="BU2337" i="1"/>
  <c r="BW2337" i="1" s="1"/>
  <c r="BU2245" i="1"/>
  <c r="BW2245" i="1" s="1"/>
  <c r="BU2093" i="1"/>
  <c r="BW2093" i="1" s="1"/>
  <c r="BU1933" i="1"/>
  <c r="BW1933" i="1" s="1"/>
  <c r="BU2655" i="1"/>
  <c r="BW2655" i="1" s="1"/>
  <c r="BU1100" i="1"/>
  <c r="BW1100" i="1" s="1"/>
  <c r="BU1466" i="1"/>
  <c r="BW1466" i="1" s="1"/>
  <c r="BU2476" i="1"/>
  <c r="BW2476" i="1" s="1"/>
  <c r="BU2016" i="1"/>
  <c r="BW2016" i="1" s="1"/>
  <c r="BU2618" i="1"/>
  <c r="BW2618" i="1" s="1"/>
  <c r="BU2383" i="1"/>
  <c r="BW2383" i="1" s="1"/>
  <c r="BU2615" i="1"/>
  <c r="BW2615" i="1" s="1"/>
  <c r="BU2609" i="1"/>
  <c r="BW2609" i="1" s="1"/>
  <c r="BU1538" i="1"/>
  <c r="BW1538" i="1" s="1"/>
  <c r="BU2055" i="1"/>
  <c r="BW2055" i="1" s="1"/>
  <c r="BU1501" i="1"/>
  <c r="BW1501" i="1" s="1"/>
  <c r="BU2404" i="1"/>
  <c r="BW2404" i="1" s="1"/>
  <c r="BU3126" i="1"/>
  <c r="BW3126" i="1" s="1"/>
  <c r="BU3101" i="1"/>
  <c r="BW3101" i="1" s="1"/>
  <c r="BU426" i="1"/>
  <c r="BW426" i="1" s="1"/>
  <c r="BU1173" i="1"/>
  <c r="BW1173" i="1" s="1"/>
  <c r="BU2213" i="1"/>
  <c r="BW2213" i="1" s="1"/>
  <c r="BU722" i="1"/>
  <c r="BW722" i="1" s="1"/>
  <c r="BU1489" i="1"/>
  <c r="BW1489" i="1" s="1"/>
  <c r="BU1526" i="1"/>
  <c r="BW1526" i="1" s="1"/>
  <c r="BU2144" i="1"/>
  <c r="BW2144" i="1" s="1"/>
  <c r="BU1335" i="1"/>
  <c r="BW1335" i="1" s="1"/>
  <c r="BU1524" i="1"/>
  <c r="BW1524" i="1" s="1"/>
  <c r="BU713" i="1"/>
  <c r="BW713" i="1" s="1"/>
  <c r="BU1671" i="1"/>
  <c r="BW1671" i="1" s="1"/>
  <c r="BU151" i="1"/>
  <c r="BW151" i="1" s="1"/>
  <c r="BU1764" i="1"/>
  <c r="BW1764" i="1" s="1"/>
  <c r="BU9" i="1"/>
  <c r="BW9" i="1" s="1"/>
  <c r="BU347" i="1"/>
  <c r="BW347" i="1" s="1"/>
  <c r="BU2662" i="1"/>
  <c r="BW2662" i="1" s="1"/>
  <c r="BU1385" i="1"/>
  <c r="BW1385" i="1" s="1"/>
  <c r="BU2656" i="1"/>
  <c r="BW2656" i="1" s="1"/>
  <c r="BU2642" i="1"/>
  <c r="BW2642" i="1" s="1"/>
  <c r="BU1233" i="1"/>
  <c r="BW1233" i="1" s="1"/>
  <c r="BU1020" i="1"/>
  <c r="BW1020" i="1" s="1"/>
  <c r="BU2600" i="1"/>
  <c r="BW2600" i="1" s="1"/>
  <c r="BU501" i="1"/>
  <c r="BW501" i="1" s="1"/>
  <c r="BU601" i="1"/>
  <c r="BW601" i="1" s="1"/>
  <c r="BU2593" i="1"/>
  <c r="BW2593" i="1" s="1"/>
  <c r="BU2571" i="1"/>
  <c r="BW2571" i="1" s="1"/>
  <c r="BU2570" i="1"/>
  <c r="BW2570" i="1" s="1"/>
  <c r="BU1738" i="1"/>
  <c r="BW1738" i="1" s="1"/>
  <c r="BU2565" i="1"/>
  <c r="BW2565" i="1" s="1"/>
  <c r="BU2563" i="1"/>
  <c r="BW2563" i="1" s="1"/>
  <c r="BU483" i="1"/>
  <c r="BW483" i="1" s="1"/>
  <c r="BU2557" i="1"/>
  <c r="BW2557" i="1" s="1"/>
  <c r="BU2554" i="1"/>
  <c r="BW2554" i="1" s="1"/>
  <c r="BU857" i="1"/>
  <c r="BW857" i="1" s="1"/>
  <c r="BU1773" i="1"/>
  <c r="BW1773" i="1" s="1"/>
  <c r="BU1064" i="1"/>
  <c r="BW1064" i="1" s="1"/>
  <c r="BU2065" i="1"/>
  <c r="BW2065" i="1" s="1"/>
  <c r="BU3168" i="1"/>
  <c r="BW3168" i="1" s="1"/>
  <c r="BU1748" i="1"/>
  <c r="BW1748" i="1" s="1"/>
  <c r="BU3162" i="1"/>
  <c r="BW3162" i="1" s="1"/>
  <c r="BU166" i="1"/>
  <c r="BW166" i="1" s="1"/>
  <c r="BU810" i="1"/>
  <c r="BW810" i="1" s="1"/>
  <c r="BU1419" i="1"/>
  <c r="BW1419" i="1" s="1"/>
  <c r="BU1762" i="1"/>
  <c r="BW1762" i="1" s="1"/>
  <c r="BU3147" i="1"/>
  <c r="BW3147" i="1" s="1"/>
  <c r="BU1278" i="1"/>
  <c r="BW1278" i="1" s="1"/>
  <c r="BU662" i="1"/>
  <c r="BW662" i="1" s="1"/>
  <c r="BU605" i="1"/>
  <c r="BW605" i="1" s="1"/>
  <c r="BU1241" i="1"/>
  <c r="BW1241" i="1" s="1"/>
  <c r="BU3135" i="1"/>
  <c r="BW3135" i="1" s="1"/>
  <c r="BU3136" i="1"/>
  <c r="BW3136" i="1" s="1"/>
  <c r="BU2495" i="1"/>
  <c r="BW2495" i="1" s="1"/>
  <c r="BU2305" i="1"/>
  <c r="BW2305" i="1" s="1"/>
  <c r="BU156" i="1"/>
  <c r="BW156" i="1" s="1"/>
  <c r="BU1886" i="1"/>
  <c r="BW1886" i="1" s="1"/>
  <c r="BU1228" i="1"/>
  <c r="BW1228" i="1" s="1"/>
  <c r="BU1944" i="1"/>
  <c r="BW1944" i="1" s="1"/>
  <c r="BU663" i="1"/>
  <c r="BW663" i="1" s="1"/>
  <c r="BU1528" i="1"/>
  <c r="BW1528" i="1" s="1"/>
  <c r="BU1895" i="1"/>
  <c r="BW1895" i="1" s="1"/>
  <c r="BU528" i="1"/>
  <c r="BW528" i="1" s="1"/>
  <c r="BU2467" i="1"/>
  <c r="BW2467" i="1" s="1"/>
  <c r="BU2369" i="1"/>
  <c r="BW2369" i="1" s="1"/>
  <c r="BU1194" i="1"/>
  <c r="BW1194" i="1" s="1"/>
  <c r="BU3098" i="1"/>
  <c r="BW3098" i="1" s="1"/>
  <c r="BU3100" i="1"/>
  <c r="BW3100" i="1" s="1"/>
  <c r="BU3099" i="1"/>
  <c r="BW3099" i="1" s="1"/>
  <c r="BU1892" i="1"/>
  <c r="BW1892" i="1" s="1"/>
  <c r="BU1318" i="1"/>
  <c r="BW1318" i="1" s="1"/>
  <c r="BU955" i="1"/>
  <c r="BW955" i="1" s="1"/>
  <c r="BU2558" i="1"/>
  <c r="BW2558" i="1" s="1"/>
  <c r="BU3051" i="1"/>
  <c r="BW3051" i="1" s="1"/>
  <c r="BU149" i="1"/>
  <c r="BW149" i="1" s="1"/>
  <c r="BU1260" i="1"/>
  <c r="BW1260" i="1" s="1"/>
  <c r="BU1316" i="1"/>
  <c r="BW1316" i="1" s="1"/>
  <c r="BU3077" i="1"/>
  <c r="BW3077" i="1" s="1"/>
  <c r="BU959" i="1"/>
  <c r="BW959" i="1" s="1"/>
  <c r="BU8" i="1"/>
  <c r="BW8" i="1" s="1"/>
  <c r="BU3075" i="1"/>
  <c r="BW3075" i="1" s="1"/>
  <c r="BU3" i="1"/>
  <c r="BW3" i="1" s="1"/>
  <c r="BU1161" i="1"/>
  <c r="BW1161" i="1" s="1"/>
  <c r="BU1284" i="1"/>
  <c r="BW1284" i="1" s="1"/>
  <c r="BU1128" i="1"/>
  <c r="BW1128" i="1" s="1"/>
  <c r="BU3068" i="1"/>
  <c r="BW3068" i="1" s="1"/>
  <c r="BU2216" i="1"/>
  <c r="BW2216" i="1" s="1"/>
  <c r="BU3059" i="1"/>
  <c r="BW3059" i="1" s="1"/>
  <c r="BU3058" i="1"/>
  <c r="BW3058" i="1" s="1"/>
  <c r="BU3045" i="1"/>
  <c r="BW3045" i="1" s="1"/>
  <c r="BU158" i="1"/>
  <c r="BW158" i="1" s="1"/>
  <c r="BU1108" i="1"/>
  <c r="BW1108" i="1" s="1"/>
  <c r="BU470" i="1"/>
  <c r="BW470" i="1" s="1"/>
  <c r="BU2097" i="1"/>
  <c r="BW2097" i="1" s="1"/>
  <c r="BU3027" i="1"/>
  <c r="BW3027" i="1" s="1"/>
  <c r="BU1650" i="1"/>
  <c r="BW1650" i="1" s="1"/>
  <c r="BU1909" i="1"/>
  <c r="BW1909" i="1" s="1"/>
  <c r="BU1735" i="1"/>
  <c r="BW1735" i="1" s="1"/>
  <c r="BU113" i="1"/>
  <c r="BW113" i="1" s="1"/>
  <c r="BU1718" i="1"/>
  <c r="BW1718" i="1" s="1"/>
  <c r="BU2244" i="1"/>
  <c r="BW2244" i="1" s="1"/>
  <c r="BU3013" i="1"/>
  <c r="BW3013" i="1" s="1"/>
  <c r="BU3009" i="1"/>
  <c r="BW3009" i="1" s="1"/>
  <c r="BU293" i="1"/>
  <c r="BW293" i="1" s="1"/>
  <c r="BU1669" i="1"/>
  <c r="BW1669" i="1" s="1"/>
  <c r="BU490" i="1"/>
  <c r="BW490" i="1" s="1"/>
  <c r="BU2289" i="1"/>
  <c r="BW2289" i="1" s="1"/>
  <c r="BU2426" i="1"/>
  <c r="BW2426" i="1" s="1"/>
  <c r="BU753" i="1"/>
  <c r="BW753" i="1" s="1"/>
  <c r="BU2089" i="1"/>
  <c r="BW2089" i="1" s="1"/>
  <c r="BU889" i="1"/>
  <c r="BW889" i="1" s="1"/>
  <c r="BU479" i="1"/>
  <c r="BW479" i="1" s="1"/>
  <c r="BU2970" i="1"/>
  <c r="BW2970" i="1" s="1"/>
  <c r="BU2766" i="1"/>
  <c r="BW2766" i="1" s="1"/>
  <c r="BU1058" i="1"/>
  <c r="BW1058" i="1" s="1"/>
  <c r="BU2751" i="1"/>
  <c r="BW2751" i="1" s="1"/>
  <c r="BU1065" i="1"/>
  <c r="BW1065" i="1" s="1"/>
  <c r="BU859" i="1"/>
  <c r="BW859" i="1" s="1"/>
  <c r="BU2739" i="1"/>
  <c r="BW2739" i="1" s="1"/>
  <c r="BU1126" i="1"/>
  <c r="BW1126" i="1" s="1"/>
  <c r="BU768" i="1"/>
  <c r="BW768" i="1" s="1"/>
  <c r="BU2599" i="1"/>
  <c r="BW2599" i="1" s="1"/>
  <c r="BU1039" i="1"/>
  <c r="BW1039" i="1" s="1"/>
  <c r="BU1087" i="1"/>
  <c r="BW1087" i="1" s="1"/>
  <c r="BU2296" i="1"/>
  <c r="BW2296" i="1" s="1"/>
  <c r="BU2738" i="1"/>
  <c r="BW2738" i="1" s="1"/>
  <c r="BU1981" i="1"/>
  <c r="BW1981" i="1" s="1"/>
  <c r="BU2225" i="1"/>
  <c r="BW2225" i="1" s="1"/>
  <c r="BU350" i="1"/>
  <c r="BW350" i="1" s="1"/>
  <c r="BU1381" i="1"/>
  <c r="BW1381" i="1" s="1"/>
  <c r="BU968" i="1"/>
  <c r="BW968" i="1" s="1"/>
  <c r="BU193" i="1"/>
  <c r="BW193" i="1" s="1"/>
  <c r="BU2724" i="1"/>
  <c r="BW2724" i="1" s="1"/>
  <c r="BU549" i="1"/>
  <c r="BW549" i="1" s="1"/>
  <c r="BU2720" i="1"/>
  <c r="BW2720" i="1" s="1"/>
  <c r="BU837" i="1"/>
  <c r="BW837" i="1" s="1"/>
  <c r="BU1523" i="1"/>
  <c r="BW1523" i="1" s="1"/>
  <c r="BU1221" i="1"/>
  <c r="BW1221" i="1" s="1"/>
  <c r="BU2705" i="1"/>
  <c r="BW2705" i="1" s="1"/>
  <c r="BU1599" i="1"/>
  <c r="BW1599" i="1" s="1"/>
  <c r="BU2703" i="1"/>
  <c r="BW2703" i="1" s="1"/>
  <c r="BU2246" i="1"/>
  <c r="BW2246" i="1" s="1"/>
  <c r="BU459" i="1"/>
  <c r="BW459" i="1" s="1"/>
  <c r="BU562" i="1"/>
  <c r="BW562" i="1" s="1"/>
  <c r="BU1204" i="1"/>
  <c r="BW1204" i="1" s="1"/>
  <c r="BU3134" i="1"/>
  <c r="BW3134" i="1" s="1"/>
  <c r="BU2364" i="1"/>
  <c r="BW2364" i="1" s="1"/>
  <c r="BU588" i="1"/>
  <c r="BW588" i="1" s="1"/>
  <c r="BU777" i="1"/>
  <c r="BW777" i="1" s="1"/>
  <c r="BU2204" i="1"/>
  <c r="BW2204" i="1" s="1"/>
  <c r="BU3057" i="1"/>
  <c r="BW3057" i="1" s="1"/>
  <c r="BU1803" i="1"/>
  <c r="BW1803" i="1" s="1"/>
  <c r="BU1890" i="1"/>
  <c r="BW1890" i="1" s="1"/>
  <c r="BU2979" i="1"/>
  <c r="BW2979" i="1" s="1"/>
  <c r="BU2813" i="1"/>
  <c r="BW2813" i="1" s="1"/>
  <c r="BU1184" i="1"/>
  <c r="BW1184" i="1" s="1"/>
  <c r="BU2706" i="1"/>
  <c r="BW2706" i="1" s="1"/>
  <c r="BU179" i="1"/>
  <c r="BW179" i="1" s="1"/>
  <c r="BU2647" i="1"/>
  <c r="BW2647" i="1" s="1"/>
  <c r="BU2322" i="1"/>
  <c r="BW2322" i="1" s="1"/>
  <c r="BU493" i="1"/>
  <c r="BW493" i="1" s="1"/>
  <c r="BU2727" i="1"/>
  <c r="BW2727" i="1" s="1"/>
  <c r="BU2126" i="1"/>
  <c r="BW2126" i="1" s="1"/>
  <c r="BU2211" i="1"/>
  <c r="BW2211" i="1" s="1"/>
  <c r="BU3125" i="1"/>
  <c r="BW3125" i="1" s="1"/>
  <c r="BU445" i="1"/>
  <c r="BW445" i="1" s="1"/>
  <c r="BU3109" i="1"/>
  <c r="BW3109" i="1" s="1"/>
  <c r="BU3090" i="1"/>
  <c r="BW3090" i="1" s="1"/>
  <c r="BU2131" i="1"/>
  <c r="BW2131" i="1" s="1"/>
  <c r="BU996" i="1"/>
  <c r="BW996" i="1" s="1"/>
  <c r="BU3082" i="1"/>
  <c r="BW3082" i="1" s="1"/>
  <c r="BU3078" i="1"/>
  <c r="BW3078" i="1" s="1"/>
  <c r="BU721" i="1"/>
  <c r="BW721" i="1" s="1"/>
  <c r="BU1740" i="1"/>
  <c r="BW1740" i="1" s="1"/>
  <c r="BU3055" i="1"/>
  <c r="BW3055" i="1" s="1"/>
  <c r="BU2390" i="1"/>
  <c r="BW2390" i="1" s="1"/>
  <c r="BU1212" i="1"/>
  <c r="BW1212" i="1" s="1"/>
  <c r="BU1817" i="1"/>
  <c r="BW1817" i="1" s="1"/>
  <c r="BU1531" i="1"/>
  <c r="BW1531" i="1" s="1"/>
  <c r="BU2722" i="1"/>
  <c r="BW2722" i="1" s="1"/>
  <c r="BU2713" i="1"/>
  <c r="BW2713" i="1" s="1"/>
  <c r="BU1050" i="1"/>
  <c r="BW1050" i="1" s="1"/>
  <c r="BU2667" i="1"/>
  <c r="BW2667" i="1" s="1"/>
  <c r="BU2659" i="1"/>
  <c r="BW2659" i="1" s="1"/>
  <c r="BU2658" i="1"/>
  <c r="BW2658" i="1" s="1"/>
  <c r="BU861" i="1"/>
  <c r="BW861" i="1" s="1"/>
  <c r="BU2641" i="1"/>
  <c r="BW2641" i="1" s="1"/>
  <c r="BU1410" i="1"/>
  <c r="BW1410" i="1" s="1"/>
  <c r="BU2622" i="1"/>
  <c r="BW2622" i="1" s="1"/>
  <c r="BU1938" i="1"/>
  <c r="BW1938" i="1" s="1"/>
  <c r="BU2561" i="1"/>
  <c r="BW2561" i="1" s="1"/>
  <c r="BU1229" i="1"/>
  <c r="BW1229" i="1" s="1"/>
  <c r="BU451" i="1"/>
  <c r="BW451" i="1" s="1"/>
  <c r="BU2452" i="1"/>
  <c r="BW2452" i="1" s="1"/>
  <c r="BU1576" i="1"/>
  <c r="BW1576" i="1" s="1"/>
  <c r="BU1677" i="1"/>
  <c r="BW1677" i="1" s="1"/>
  <c r="BU971" i="1"/>
  <c r="BW971" i="1" s="1"/>
  <c r="BU915" i="1"/>
  <c r="BW915" i="1" s="1"/>
  <c r="BU719" i="1"/>
  <c r="BW719" i="1" s="1"/>
  <c r="BU2367" i="1"/>
  <c r="BW2367" i="1" s="1"/>
  <c r="BU671" i="1"/>
  <c r="BW671" i="1" s="1"/>
  <c r="BU128" i="1"/>
  <c r="BW128" i="1" s="1"/>
  <c r="BU3111" i="1"/>
  <c r="BW3111" i="1" s="1"/>
  <c r="BU465" i="1"/>
  <c r="BW465" i="1" s="1"/>
  <c r="BU2973" i="1"/>
  <c r="BW2973" i="1" s="1"/>
  <c r="BU2752" i="1"/>
  <c r="BW2752" i="1" s="1"/>
  <c r="BU2399" i="1"/>
  <c r="BW2399" i="1" s="1"/>
  <c r="BU191" i="1"/>
  <c r="BW191" i="1" s="1"/>
  <c r="BU2518" i="1"/>
  <c r="BW2518" i="1" s="1"/>
  <c r="BU1828" i="1"/>
  <c r="BW1828" i="1" s="1"/>
  <c r="BU563" i="1"/>
  <c r="BW563" i="1" s="1"/>
  <c r="BU3046" i="1"/>
  <c r="BW3046" i="1" s="1"/>
  <c r="BU2025" i="1"/>
  <c r="BW2025" i="1" s="1"/>
  <c r="BU2483" i="1"/>
  <c r="BW2483" i="1" s="1"/>
  <c r="BU1441" i="1"/>
  <c r="BW1441" i="1" s="1"/>
  <c r="BU1545" i="1"/>
  <c r="BW1545" i="1" s="1"/>
  <c r="BU160" i="1"/>
  <c r="BW160" i="1" s="1"/>
  <c r="BU2704" i="1"/>
  <c r="BW2704" i="1" s="1"/>
  <c r="BU817" i="1"/>
  <c r="BW817" i="1" s="1"/>
  <c r="BU2635" i="1"/>
  <c r="BW2635" i="1" s="1"/>
  <c r="BU412" i="1"/>
  <c r="BW412" i="1" s="1"/>
  <c r="BU2116" i="1"/>
  <c r="BW2116" i="1" s="1"/>
  <c r="BU1297" i="1"/>
  <c r="BW1297" i="1" s="1"/>
  <c r="BU537" i="1"/>
  <c r="BW537" i="1" s="1"/>
  <c r="BU2333" i="1"/>
  <c r="BW2333" i="1" s="1"/>
  <c r="BU418" i="1"/>
  <c r="BW418" i="1" s="1"/>
  <c r="BU1015" i="1"/>
  <c r="BW1015" i="1" s="1"/>
  <c r="BU146" i="1"/>
  <c r="BW146" i="1" s="1"/>
  <c r="BU1949" i="1"/>
  <c r="BW1949" i="1" s="1"/>
  <c r="BU3137" i="1"/>
  <c r="BW3137" i="1" s="1"/>
  <c r="BU2073" i="1"/>
  <c r="BW2073" i="1" s="1"/>
  <c r="BU1547" i="1"/>
  <c r="BW1547" i="1" s="1"/>
  <c r="BU892" i="1"/>
  <c r="BW892" i="1" s="1"/>
  <c r="BU533" i="1"/>
  <c r="BW533" i="1" s="1"/>
  <c r="BU1600" i="1"/>
  <c r="BW1600" i="1" s="1"/>
  <c r="BU370" i="1"/>
  <c r="BW370" i="1" s="1"/>
  <c r="BU1051" i="1"/>
  <c r="BW1051" i="1" s="1"/>
  <c r="BU509" i="1"/>
  <c r="BW509" i="1" s="1"/>
  <c r="BU176" i="1"/>
  <c r="BW176" i="1" s="1"/>
  <c r="BU870" i="1"/>
  <c r="BW870" i="1" s="1"/>
  <c r="BU2633" i="1"/>
  <c r="BW2633" i="1" s="1"/>
  <c r="BU2122" i="1"/>
  <c r="BW2122" i="1" s="1"/>
  <c r="BU1088" i="1"/>
  <c r="BW1088" i="1" s="1"/>
  <c r="BU1188" i="1"/>
  <c r="BW1188" i="1" s="1"/>
  <c r="BU2967" i="1"/>
  <c r="BW2967" i="1" s="1"/>
  <c r="BU334" i="1"/>
  <c r="BW334" i="1" s="1"/>
  <c r="BU2009" i="1"/>
  <c r="BW2009" i="1" s="1"/>
  <c r="BU140" i="1"/>
  <c r="BW140" i="1" s="1"/>
  <c r="BU2067" i="1"/>
  <c r="BW2067" i="1" s="1"/>
  <c r="BU712" i="1"/>
  <c r="BW712" i="1" s="1"/>
  <c r="BU1937" i="1"/>
  <c r="BW1937" i="1" s="1"/>
  <c r="BU1027" i="1"/>
  <c r="BW1027" i="1" s="1"/>
  <c r="BU1182" i="1"/>
  <c r="BW1182" i="1" s="1"/>
  <c r="BU110" i="1"/>
  <c r="BW110" i="1" s="1"/>
  <c r="BU1566" i="1"/>
  <c r="BW1566" i="1" s="1"/>
  <c r="BU1144" i="1"/>
  <c r="BW1144" i="1" s="1"/>
  <c r="BU2663" i="1"/>
  <c r="BW2663" i="1" s="1"/>
  <c r="BU2263" i="1"/>
  <c r="BW2263" i="1" s="1"/>
  <c r="BU2630" i="1"/>
  <c r="BW2630" i="1" s="1"/>
  <c r="BU5" i="1"/>
  <c r="BW5" i="1" s="1"/>
  <c r="BU354" i="1"/>
  <c r="BW354" i="1" s="1"/>
  <c r="BU755" i="1"/>
  <c r="BW755" i="1" s="1"/>
  <c r="BU2140" i="1"/>
  <c r="BW2140" i="1" s="1"/>
  <c r="BU1986" i="1"/>
  <c r="BW1986" i="1" s="1"/>
  <c r="BU2343" i="1"/>
  <c r="BW2343" i="1" s="1"/>
  <c r="BU2442" i="1"/>
  <c r="BW2442" i="1" s="1"/>
  <c r="BU2559" i="1"/>
  <c r="BW2559" i="1" s="1"/>
  <c r="BU2560" i="1"/>
  <c r="BW2560" i="1" s="1"/>
  <c r="BU1294" i="1"/>
  <c r="BW1294" i="1" s="1"/>
  <c r="BU165" i="1"/>
  <c r="BW165" i="1" s="1"/>
  <c r="BU452" i="1"/>
  <c r="BW452" i="1" s="1"/>
  <c r="BU421" i="1"/>
  <c r="BW421" i="1" s="1"/>
  <c r="BU2041" i="1"/>
  <c r="BW2041" i="1" s="1"/>
  <c r="BU2118" i="1"/>
  <c r="BW2118" i="1" s="1"/>
  <c r="BU3124" i="1"/>
  <c r="BW3124" i="1" s="1"/>
  <c r="BU1282" i="1"/>
  <c r="BW1282" i="1" s="1"/>
  <c r="BU1078" i="1"/>
  <c r="BW1078" i="1" s="1"/>
  <c r="BU3096" i="1"/>
  <c r="BW3096" i="1" s="1"/>
  <c r="BU2111" i="1"/>
  <c r="BW2111" i="1" s="1"/>
  <c r="BU2407" i="1"/>
  <c r="BW2407" i="1" s="1"/>
  <c r="BU639" i="1"/>
  <c r="BW639" i="1" s="1"/>
  <c r="BU1238" i="1"/>
  <c r="BW1238" i="1" s="1"/>
  <c r="BU1584" i="1"/>
  <c r="BW1584" i="1" s="1"/>
  <c r="BU1702" i="1"/>
  <c r="BW1702" i="1" s="1"/>
  <c r="BU532" i="1"/>
  <c r="BW532" i="1" s="1"/>
  <c r="BU3008" i="1"/>
  <c r="BW3008" i="1" s="1"/>
  <c r="BU2143" i="1"/>
  <c r="BW2143" i="1" s="1"/>
  <c r="BU1824" i="1"/>
  <c r="BW1824" i="1" s="1"/>
  <c r="BU2749" i="1"/>
  <c r="BW2749" i="1" s="1"/>
  <c r="BU494" i="1"/>
  <c r="BW494" i="1" s="1"/>
  <c r="BU1750" i="1"/>
  <c r="BW1750" i="1" s="1"/>
  <c r="BU2682" i="1"/>
  <c r="BW2682" i="1" s="1"/>
  <c r="BU1739" i="1"/>
  <c r="BW1739" i="1" s="1"/>
  <c r="BU992" i="1"/>
  <c r="BW992" i="1" s="1"/>
  <c r="BU1823" i="1"/>
  <c r="BW1823" i="1" s="1"/>
  <c r="BU2617" i="1"/>
  <c r="BW2617" i="1" s="1"/>
  <c r="BU800" i="1"/>
  <c r="BW800" i="1" s="1"/>
  <c r="BU2567" i="1"/>
  <c r="BW2567" i="1" s="1"/>
  <c r="BU2353" i="1"/>
  <c r="BW2353" i="1" s="1"/>
  <c r="BU1234" i="1"/>
  <c r="BW1234" i="1" s="1"/>
  <c r="BU1829" i="1"/>
  <c r="BW1829" i="1" s="1"/>
  <c r="BU1534" i="1"/>
  <c r="BW1534" i="1" s="1"/>
  <c r="BU1946" i="1"/>
  <c r="BW1946" i="1" s="1"/>
  <c r="BU668" i="1"/>
  <c r="BW668" i="1" s="1"/>
  <c r="BU2728" i="1"/>
  <c r="BW2728" i="1" s="1"/>
  <c r="BU758" i="1"/>
  <c r="BW758" i="1" s="1"/>
  <c r="BU2681" i="1"/>
  <c r="BW2681" i="1" s="1"/>
  <c r="BU1448" i="1"/>
  <c r="BW1448" i="1" s="1"/>
  <c r="BU502" i="1"/>
  <c r="BW502" i="1" s="1"/>
  <c r="BU597" i="1"/>
  <c r="BW597" i="1" s="1"/>
  <c r="BU1102" i="1"/>
  <c r="BW1102" i="1" s="1"/>
  <c r="BU2562" i="1"/>
  <c r="BW2562" i="1" s="1"/>
  <c r="BU1354" i="1"/>
  <c r="BW1354" i="1" s="1"/>
  <c r="BU2287" i="1"/>
  <c r="BW2287" i="1" s="1"/>
  <c r="BU2159" i="1"/>
  <c r="BW2159" i="1" s="1"/>
  <c r="BU879" i="1"/>
  <c r="BW879" i="1" s="1"/>
  <c r="BU2620" i="1"/>
  <c r="BW2620" i="1" s="1"/>
  <c r="BU1397" i="1"/>
  <c r="BW1397" i="1" s="1"/>
  <c r="BU1627" i="1"/>
  <c r="BW1627" i="1" s="1"/>
  <c r="BU2003" i="1"/>
  <c r="BW2003" i="1" s="1"/>
  <c r="BU2530" i="1"/>
  <c r="BW2530" i="1" s="1"/>
  <c r="BU2019" i="1"/>
  <c r="BW2019" i="1" s="1"/>
  <c r="BU2136" i="1"/>
  <c r="BW2136" i="1" s="1"/>
  <c r="BU1366" i="1"/>
  <c r="BW1366" i="1" s="1"/>
  <c r="BU3120" i="1"/>
  <c r="BW3120" i="1" s="1"/>
  <c r="BU830" i="1"/>
  <c r="BW830" i="1" s="1"/>
  <c r="BU505" i="1"/>
  <c r="BW505" i="1" s="1"/>
  <c r="BU1170" i="1"/>
  <c r="BW1170" i="1" s="1"/>
  <c r="BU3006" i="1"/>
  <c r="BW3006" i="1" s="1"/>
  <c r="BU2268" i="1"/>
  <c r="BW2268" i="1" s="1"/>
  <c r="BU1686" i="1"/>
  <c r="BW1686" i="1" s="1"/>
  <c r="BU1463" i="1"/>
  <c r="BW1463" i="1" s="1"/>
  <c r="BU880" i="1"/>
  <c r="BW880" i="1" s="1"/>
  <c r="BU185" i="1"/>
  <c r="BW185" i="1" s="1"/>
  <c r="BU1391" i="1"/>
  <c r="BW1391" i="1" s="1"/>
  <c r="BU116" i="1"/>
  <c r="BW116" i="1" s="1"/>
  <c r="BU1328" i="1"/>
  <c r="BW1328" i="1" s="1"/>
  <c r="BU2546" i="1"/>
  <c r="BW2546" i="1" s="1"/>
  <c r="BU3112" i="1"/>
  <c r="BW3112" i="1" s="1"/>
  <c r="BU3110" i="1"/>
  <c r="BW3110" i="1" s="1"/>
  <c r="BU581" i="1"/>
  <c r="BW581" i="1" s="1"/>
  <c r="BU1137" i="1"/>
  <c r="BW1137" i="1" s="1"/>
  <c r="BU987" i="1"/>
  <c r="BW987" i="1" s="1"/>
  <c r="BU3038" i="1"/>
  <c r="BW3038" i="1" s="1"/>
  <c r="BU693" i="1"/>
  <c r="BW693" i="1" s="1"/>
  <c r="BU3034" i="1"/>
  <c r="BW3034" i="1" s="1"/>
  <c r="BU1210" i="1"/>
  <c r="BW1210" i="1" s="1"/>
  <c r="BU1250" i="1"/>
  <c r="BW1250" i="1" s="1"/>
  <c r="BU138" i="1"/>
  <c r="BW138" i="1" s="1"/>
  <c r="BU940" i="1"/>
  <c r="BW940" i="1" s="1"/>
  <c r="BU2054" i="1"/>
  <c r="BW2054" i="1" s="1"/>
  <c r="BU2117" i="1"/>
  <c r="BW2117" i="1" s="1"/>
  <c r="BU1178" i="1"/>
  <c r="BW1178" i="1" s="1"/>
  <c r="BU1359" i="1"/>
  <c r="BW1359" i="1" s="1"/>
  <c r="BU2021" i="1"/>
  <c r="BW2021" i="1" s="1"/>
  <c r="BU393" i="1"/>
  <c r="BW393" i="1" s="1"/>
  <c r="BU816" i="1"/>
  <c r="BW816" i="1" s="1"/>
  <c r="BU2674" i="1"/>
  <c r="BW2674" i="1" s="1"/>
  <c r="BU672" i="1"/>
  <c r="BW672" i="1" s="1"/>
  <c r="BU1106" i="1"/>
  <c r="BW1106" i="1" s="1"/>
  <c r="BU1638" i="1"/>
  <c r="BW1638" i="1" s="1"/>
  <c r="BU316" i="1"/>
  <c r="BW316" i="1" s="1"/>
  <c r="BU169" i="1"/>
  <c r="BW169" i="1" s="1"/>
  <c r="BU197" i="1"/>
  <c r="BW197" i="1" s="1"/>
  <c r="BU1105" i="1"/>
  <c r="BW1105" i="1" s="1"/>
  <c r="BU291" i="1"/>
  <c r="BW291" i="1" s="1"/>
  <c r="BU1879" i="1"/>
  <c r="BW1879" i="1" s="1"/>
  <c r="BU855" i="1"/>
  <c r="BW855" i="1" s="1"/>
  <c r="BU2276" i="1"/>
  <c r="BW2276" i="1" s="1"/>
  <c r="BU529" i="1"/>
  <c r="BW529" i="1" s="1"/>
  <c r="BU704" i="1"/>
  <c r="BW704" i="1" s="1"/>
  <c r="BU1521" i="1"/>
  <c r="BW1521" i="1" s="1"/>
  <c r="BU4" i="1"/>
  <c r="BW4" i="1" s="1"/>
  <c r="BU921" i="1"/>
  <c r="BW921" i="1" s="1"/>
  <c r="BU1262" i="1"/>
  <c r="BW1262" i="1" s="1"/>
  <c r="BU1159" i="1"/>
  <c r="BW1159" i="1" s="1"/>
  <c r="BU1655" i="1"/>
  <c r="BW1655" i="1" s="1"/>
  <c r="BU1091" i="1"/>
  <c r="BW1091" i="1" s="1"/>
  <c r="BU2032" i="1"/>
  <c r="BW2032" i="1" s="1"/>
  <c r="BU2359" i="1"/>
  <c r="BW2359" i="1" s="1"/>
  <c r="BU1037" i="1"/>
  <c r="BW1037" i="1" s="1"/>
  <c r="BU2227" i="1"/>
  <c r="BW2227" i="1" s="1"/>
  <c r="BU1304" i="1"/>
  <c r="BW1304" i="1" s="1"/>
  <c r="BU284" i="1"/>
  <c r="BW284" i="1" s="1"/>
  <c r="BU1665" i="1"/>
  <c r="BW1665" i="1" s="1"/>
  <c r="BU2594" i="1"/>
  <c r="BW2594" i="1" s="1"/>
  <c r="BU2613" i="1"/>
  <c r="BW2613" i="1" s="1"/>
  <c r="BU319" i="1"/>
  <c r="BW319" i="1" s="1"/>
  <c r="BU399" i="1"/>
  <c r="BW399" i="1" s="1"/>
  <c r="BU2339" i="1"/>
  <c r="BW2339" i="1" s="1"/>
  <c r="BU1924" i="1"/>
  <c r="BW1924" i="1" s="1"/>
  <c r="BU312" i="1"/>
  <c r="BW312" i="1" s="1"/>
  <c r="BU1478" i="1"/>
  <c r="BW1478" i="1" s="1"/>
  <c r="BU3165" i="1"/>
  <c r="BW3165" i="1" s="1"/>
  <c r="BU1955" i="1"/>
  <c r="BW1955" i="1" s="1"/>
  <c r="BU1305" i="1"/>
  <c r="BW1305" i="1" s="1"/>
  <c r="BU2984" i="1"/>
  <c r="BW2984" i="1" s="1"/>
  <c r="BU1867" i="1"/>
  <c r="BW1867" i="1" s="1"/>
  <c r="BU2750" i="1"/>
  <c r="BW2750" i="1" s="1"/>
  <c r="BU1923" i="1"/>
  <c r="BW1923" i="1" s="1"/>
  <c r="BU2683" i="1"/>
  <c r="BW2683" i="1" s="1"/>
  <c r="BU2083" i="1"/>
  <c r="BW2083" i="1" s="1"/>
  <c r="BU311" i="1"/>
  <c r="BW311" i="1" s="1"/>
  <c r="BU2526" i="1"/>
  <c r="BW2526" i="1" s="1"/>
  <c r="BU163" i="1"/>
  <c r="BW163" i="1" s="1"/>
  <c r="BU1608" i="1"/>
  <c r="BW1608" i="1" s="1"/>
  <c r="BU2088" i="1"/>
  <c r="BW2088" i="1" s="1"/>
  <c r="BU3103" i="1"/>
  <c r="BW3103" i="1" s="1"/>
  <c r="BU3049" i="1"/>
  <c r="BW3049" i="1" s="1"/>
  <c r="BU1929" i="1"/>
  <c r="BW1929" i="1" s="1"/>
  <c r="BU2746" i="1"/>
  <c r="BW2746" i="1" s="1"/>
  <c r="BU517" i="1"/>
  <c r="BW517" i="1" s="1"/>
  <c r="BU3149" i="1"/>
  <c r="BW3149" i="1" s="1"/>
  <c r="BU195" i="1"/>
  <c r="BW195" i="1" s="1"/>
  <c r="BU1793" i="1"/>
  <c r="BW1793" i="1" s="1"/>
  <c r="BU2491" i="1"/>
  <c r="BW2491" i="1" s="1"/>
  <c r="BU2977" i="1"/>
  <c r="BW2977" i="1" s="1"/>
  <c r="BU2680" i="1"/>
  <c r="BW2680" i="1" s="1"/>
  <c r="BU1553" i="1"/>
  <c r="BW1553" i="1" s="1"/>
  <c r="BU2624" i="1"/>
  <c r="BW2624" i="1" s="1"/>
  <c r="BU2275" i="1"/>
  <c r="BW2275" i="1" s="1"/>
  <c r="BU1398" i="1"/>
  <c r="BW1398" i="1" s="1"/>
  <c r="BU1430" i="1"/>
  <c r="BW1430" i="1" s="1"/>
  <c r="BU1258" i="1"/>
  <c r="BW1258" i="1" s="1"/>
  <c r="BU939" i="1"/>
  <c r="BW939" i="1" s="1"/>
  <c r="BU2174" i="1"/>
  <c r="BW2174" i="1" s="1"/>
  <c r="BU761" i="1"/>
  <c r="BW761" i="1" s="1"/>
  <c r="BU2086" i="1"/>
  <c r="BW2086" i="1" s="1"/>
  <c r="BU697" i="1"/>
  <c r="BW697" i="1" s="1"/>
  <c r="BU1341" i="1"/>
  <c r="BW1341" i="1" s="1"/>
  <c r="BU2539" i="1"/>
  <c r="BW2539" i="1" s="1"/>
  <c r="BU2384" i="1"/>
  <c r="BW2384" i="1" s="1"/>
  <c r="BU1943" i="1"/>
  <c r="BW1943" i="1" s="1"/>
  <c r="BU2154" i="1"/>
  <c r="BW2154" i="1" s="1"/>
  <c r="BU1995" i="1"/>
  <c r="BW1995" i="1" s="1"/>
  <c r="BU1499" i="1"/>
  <c r="BW1499" i="1" s="1"/>
  <c r="BU3121" i="1"/>
  <c r="BW3121" i="1" s="1"/>
  <c r="BU1733" i="1"/>
  <c r="BW1733" i="1" s="1"/>
  <c r="BU3092" i="1"/>
  <c r="BW3092" i="1" s="1"/>
  <c r="BU1760" i="1"/>
  <c r="BW1760" i="1" s="1"/>
  <c r="BU2548" i="1"/>
  <c r="BW2548" i="1" s="1"/>
  <c r="BU834" i="1"/>
  <c r="BW834" i="1" s="1"/>
  <c r="BU1098" i="1"/>
  <c r="BW1098" i="1" s="1"/>
  <c r="BU1330" i="1"/>
  <c r="BW1330" i="1" s="1"/>
  <c r="BU3004" i="1"/>
  <c r="BW3004" i="1" s="1"/>
  <c r="BU1904" i="1"/>
  <c r="BW1904" i="1" s="1"/>
  <c r="BU1368" i="1"/>
  <c r="BW1368" i="1" s="1"/>
  <c r="BU2356" i="1"/>
  <c r="BW2356" i="1" s="1"/>
  <c r="BU468" i="1"/>
  <c r="BW468" i="1" s="1"/>
  <c r="BU541" i="1"/>
  <c r="BW541" i="1" s="1"/>
  <c r="BU2545" i="1"/>
  <c r="BW2545" i="1" s="1"/>
  <c r="BU2665" i="1"/>
  <c r="BW2665" i="1" s="1"/>
  <c r="BU1546" i="1"/>
  <c r="BW1546" i="1" s="1"/>
  <c r="BU2619" i="1"/>
  <c r="BW2619" i="1" s="1"/>
  <c r="BU2614" i="1"/>
  <c r="BW2614" i="1" s="1"/>
  <c r="BU691" i="1"/>
  <c r="BW691" i="1" s="1"/>
  <c r="BU2607" i="1"/>
  <c r="BW2607" i="1" s="1"/>
  <c r="BU2568" i="1"/>
  <c r="BW2568" i="1" s="1"/>
  <c r="BU2566" i="1"/>
  <c r="BW2566" i="1" s="1"/>
  <c r="BU1373" i="1"/>
  <c r="BW1373" i="1" s="1"/>
  <c r="BU2348" i="1"/>
  <c r="BW2348" i="1" s="1"/>
  <c r="BU2042" i="1"/>
  <c r="BW2042" i="1" s="1"/>
  <c r="BU2396" i="1"/>
  <c r="BW2396" i="1" s="1"/>
  <c r="BU1657" i="1"/>
  <c r="BW1657" i="1" s="1"/>
  <c r="BU2302" i="1"/>
  <c r="BW2302" i="1" s="1"/>
  <c r="BU2335" i="1"/>
  <c r="BW2335" i="1" s="1"/>
  <c r="BU2733" i="1"/>
  <c r="BW2733" i="1" s="1"/>
  <c r="BU688" i="1"/>
  <c r="BW688" i="1" s="1"/>
  <c r="BU473" i="1"/>
  <c r="BW473" i="1" s="1"/>
  <c r="BU1286" i="1"/>
  <c r="BW1286" i="1" s="1"/>
  <c r="BU2639" i="1"/>
  <c r="BW2639" i="1" s="1"/>
  <c r="BU1644" i="1"/>
  <c r="BW1644" i="1" s="1"/>
  <c r="BU1648" i="1"/>
  <c r="BW1648" i="1" s="1"/>
  <c r="BU504" i="1"/>
  <c r="BW504" i="1" s="1"/>
  <c r="BU561" i="1"/>
  <c r="BW561" i="1" s="1"/>
  <c r="BU2120" i="1"/>
  <c r="BW2120" i="1" s="1"/>
  <c r="BU3014" i="1"/>
  <c r="BW3014" i="1" s="1"/>
  <c r="BU1980" i="1"/>
  <c r="BW1980" i="1" s="1"/>
  <c r="BU2420" i="1"/>
  <c r="BW2420" i="1" s="1"/>
  <c r="BU2551" i="1"/>
  <c r="BW2551" i="1" s="1"/>
  <c r="BU1914" i="1"/>
  <c r="BW1914" i="1" s="1"/>
  <c r="BU2480" i="1"/>
  <c r="BW2480" i="1" s="1"/>
  <c r="BU205" i="1"/>
  <c r="BW205" i="1" s="1"/>
  <c r="BU404" i="1"/>
  <c r="BW404" i="1" s="1"/>
  <c r="BU3106" i="1"/>
  <c r="BW3106" i="1" s="1"/>
  <c r="BU306" i="1"/>
  <c r="BW306" i="1" s="1"/>
  <c r="BU989" i="1"/>
  <c r="BW989" i="1" s="1"/>
  <c r="BU3069" i="1"/>
  <c r="BW3069" i="1" s="1"/>
  <c r="BU1743" i="1"/>
  <c r="BW1743" i="1" s="1"/>
  <c r="BU1482" i="1"/>
  <c r="BW1482" i="1" s="1"/>
  <c r="BU2286" i="1"/>
  <c r="BW2286" i="1" s="1"/>
  <c r="BU1165" i="1"/>
  <c r="BW1165" i="1" s="1"/>
  <c r="BU2976" i="1"/>
  <c r="BW2976" i="1" s="1"/>
  <c r="BU2694" i="1"/>
  <c r="BW2694" i="1" s="1"/>
  <c r="BU1255" i="1"/>
  <c r="BW1255" i="1" s="1"/>
  <c r="BU1785" i="1"/>
  <c r="BW1785" i="1" s="1"/>
  <c r="BU908" i="1"/>
  <c r="BW908" i="1" s="1"/>
  <c r="BU2267" i="1"/>
  <c r="BW2267" i="1" s="1"/>
  <c r="BU2200" i="1"/>
  <c r="BW2200" i="1" s="1"/>
  <c r="BU2588" i="1"/>
  <c r="BW2588" i="1" s="1"/>
  <c r="BU1693" i="1"/>
  <c r="BW1693" i="1" s="1"/>
  <c r="BU702" i="1"/>
  <c r="BW702" i="1" s="1"/>
  <c r="BU3159" i="1"/>
  <c r="BW3159" i="1" s="1"/>
  <c r="BU3154" i="1"/>
  <c r="BW3154" i="1" s="1"/>
  <c r="BU1595" i="1"/>
  <c r="BW1595" i="1" s="1"/>
  <c r="BU3107" i="1"/>
  <c r="BW3107" i="1" s="1"/>
  <c r="BU346" i="1"/>
  <c r="BW346" i="1" s="1"/>
  <c r="BU1418" i="1"/>
  <c r="BW1418" i="1" s="1"/>
  <c r="BU1745" i="1"/>
  <c r="BW1745" i="1" s="1"/>
  <c r="BU3056" i="1"/>
  <c r="BW3056" i="1" s="1"/>
  <c r="BU2107" i="1"/>
  <c r="BW2107" i="1" s="1"/>
  <c r="BU2166" i="1"/>
  <c r="BW2166" i="1" s="1"/>
  <c r="BU556" i="1"/>
  <c r="BW556" i="1" s="1"/>
  <c r="BU2759" i="1"/>
  <c r="BW2759" i="1" s="1"/>
  <c r="BU1646" i="1"/>
  <c r="BW1646" i="1" s="1"/>
  <c r="BU1230" i="1"/>
  <c r="BW1230" i="1" s="1"/>
  <c r="BU2717" i="1"/>
  <c r="BW2717" i="1" s="1"/>
  <c r="BU20" i="1"/>
  <c r="BW20" i="1" s="1"/>
  <c r="BU1970" i="1"/>
  <c r="BW1970" i="1" s="1"/>
  <c r="BU2135" i="1"/>
  <c r="BW2135" i="1" s="1"/>
  <c r="BU2215" i="1"/>
  <c r="BW2215" i="1" s="1"/>
  <c r="BU1345" i="1"/>
  <c r="BW1345" i="1" s="1"/>
  <c r="BU2082" i="1"/>
  <c r="BW2082" i="1" s="1"/>
  <c r="BU873" i="1"/>
  <c r="BW873" i="1" s="1"/>
  <c r="BU1539" i="1"/>
  <c r="BW1539" i="1" s="1"/>
  <c r="BU3086" i="1"/>
  <c r="BW3086" i="1" s="1"/>
  <c r="BU960" i="1"/>
  <c r="BW960" i="1" s="1"/>
  <c r="BU2351" i="1"/>
  <c r="BW2351" i="1" s="1"/>
  <c r="BU282" i="1"/>
  <c r="BW282" i="1" s="1"/>
  <c r="BU1240" i="1"/>
  <c r="BW1240" i="1" s="1"/>
  <c r="BU1866" i="1"/>
  <c r="BW1866" i="1" s="1"/>
  <c r="BU1680" i="1"/>
  <c r="BW1680" i="1" s="1"/>
  <c r="BU2552" i="1"/>
  <c r="BW2552" i="1" s="1"/>
  <c r="BU1771" i="1"/>
  <c r="BW1771" i="1" s="1"/>
  <c r="BU2657" i="1"/>
  <c r="BW2657" i="1" s="1"/>
  <c r="BU1211" i="1"/>
  <c r="BW1211" i="1" s="1"/>
  <c r="BU3132" i="1"/>
  <c r="BW3132" i="1" s="1"/>
  <c r="BU3102" i="1"/>
  <c r="BW3102" i="1" s="1"/>
  <c r="BU2439" i="1"/>
  <c r="BW2439" i="1" s="1"/>
  <c r="BU343" i="1"/>
  <c r="BW343" i="1" s="1"/>
  <c r="BU1469" i="1"/>
  <c r="BW1469" i="1" s="1"/>
  <c r="BU2195" i="1"/>
  <c r="BW2195" i="1" s="1"/>
  <c r="BU2014" i="1"/>
  <c r="BW2014" i="1" s="1"/>
  <c r="BU2764" i="1"/>
  <c r="BW2764" i="1" s="1"/>
  <c r="BU1724" i="1"/>
  <c r="BW1724" i="1" s="1"/>
  <c r="BU2521" i="1"/>
  <c r="BW2521" i="1" s="1"/>
  <c r="BU2472" i="1"/>
  <c r="BW2472" i="1" s="1"/>
  <c r="BU1810" i="1"/>
  <c r="BW1810" i="1" s="1"/>
  <c r="BU3012" i="1"/>
  <c r="BW3012" i="1" s="1"/>
  <c r="BU847" i="1"/>
  <c r="BW847" i="1" s="1"/>
  <c r="BU492" i="1"/>
  <c r="BW492" i="1" s="1"/>
  <c r="BU1145" i="1"/>
  <c r="BW1145" i="1" s="1"/>
  <c r="BU2304" i="1"/>
  <c r="BW2304" i="1" s="1"/>
  <c r="BU1734" i="1"/>
  <c r="BW1734" i="1" s="1"/>
  <c r="BU1287" i="1"/>
  <c r="BW1287" i="1" s="1"/>
  <c r="BU3152" i="1"/>
  <c r="BW3152" i="1" s="1"/>
  <c r="BU3150" i="1"/>
  <c r="BW3150" i="1" s="1"/>
  <c r="BU2848" i="1"/>
  <c r="BW2848" i="1" s="1"/>
  <c r="BU3144" i="1"/>
  <c r="BW3144" i="1" s="1"/>
  <c r="BU1563" i="1"/>
  <c r="BW1563" i="1" s="1"/>
  <c r="BU3133" i="1"/>
  <c r="BW3133" i="1" s="1"/>
  <c r="BU2346" i="1"/>
  <c r="BW2346" i="1" s="1"/>
  <c r="BU3113" i="1"/>
  <c r="BW3113" i="1" s="1"/>
  <c r="BU822" i="1"/>
  <c r="BW822" i="1" s="1"/>
  <c r="BU863" i="1"/>
  <c r="BW863" i="1" s="1"/>
  <c r="BU1575" i="1"/>
  <c r="BW1575" i="1" s="1"/>
  <c r="BU1265" i="1"/>
  <c r="BW1265" i="1" s="1"/>
  <c r="BU854" i="1"/>
  <c r="BW854" i="1" s="1"/>
  <c r="BU2254" i="1"/>
  <c r="BW2254" i="1" s="1"/>
  <c r="BU842" i="1"/>
  <c r="BW842" i="1" s="1"/>
  <c r="BU320" i="1"/>
  <c r="BW320" i="1" s="1"/>
  <c r="BU994" i="1"/>
  <c r="BW994" i="1" s="1"/>
  <c r="BU1779" i="1"/>
  <c r="BW1779" i="1" s="1"/>
  <c r="BU2300" i="1"/>
  <c r="BW2300" i="1" s="1"/>
  <c r="BU385" i="1"/>
  <c r="BW385" i="1" s="1"/>
  <c r="BU1825" i="1"/>
  <c r="BW1825" i="1" s="1"/>
  <c r="BU1571" i="1"/>
  <c r="BW1571" i="1" s="1"/>
  <c r="BU2201" i="1"/>
  <c r="BW2201" i="1" s="1"/>
  <c r="BU2282" i="1"/>
  <c r="BW2282" i="1" s="1"/>
  <c r="BU623" i="1"/>
  <c r="BW623" i="1" s="1"/>
  <c r="BU2523" i="1"/>
  <c r="BW2523" i="1" s="1"/>
  <c r="BU1082" i="1"/>
  <c r="BW1082" i="1" s="1"/>
  <c r="BU1406" i="1"/>
  <c r="BW1406" i="1" s="1"/>
  <c r="BU192" i="1"/>
  <c r="BW192" i="1" s="1"/>
  <c r="BU2418" i="1"/>
  <c r="BW2418" i="1" s="1"/>
  <c r="BU2577" i="1"/>
  <c r="BW2577" i="1" s="1"/>
  <c r="BU2756" i="1"/>
  <c r="BW2756" i="1" s="1"/>
  <c r="BU286" i="1"/>
  <c r="BW286" i="1" s="1"/>
  <c r="BU2723" i="1"/>
  <c r="BW2723" i="1" s="1"/>
  <c r="BU2160" i="1"/>
  <c r="BW2160" i="1" s="1"/>
  <c r="BU2366" i="1"/>
  <c r="BW2366" i="1" s="1"/>
  <c r="BU1092" i="1"/>
  <c r="BW1092" i="1" s="1"/>
  <c r="BU1607" i="1"/>
  <c r="BW1607" i="1" s="1"/>
  <c r="BU2719" i="1"/>
  <c r="BW2719" i="1" s="1"/>
  <c r="BU714" i="1"/>
  <c r="BW714" i="1" s="1"/>
  <c r="BU1383" i="1"/>
  <c r="BW1383" i="1" s="1"/>
  <c r="BU283" i="1"/>
  <c r="BW283" i="1" s="1"/>
  <c r="BU2415" i="1"/>
  <c r="BW2415" i="1" s="1"/>
  <c r="BU1941" i="1"/>
  <c r="BW1941" i="1" s="1"/>
  <c r="BU1930" i="1"/>
  <c r="BW1930" i="1" s="1"/>
  <c r="BU2670" i="1"/>
  <c r="BW2670" i="1" s="1"/>
  <c r="BU569" i="1"/>
  <c r="BW569" i="1" s="1"/>
  <c r="BU2027" i="1"/>
  <c r="BW2027" i="1" s="1"/>
  <c r="BU1889" i="1"/>
  <c r="BW1889" i="1" s="1"/>
  <c r="BU1778" i="1"/>
  <c r="BW1778" i="1" s="1"/>
  <c r="BU543" i="1"/>
  <c r="BW543" i="1" s="1"/>
  <c r="BU2626" i="1"/>
  <c r="BW2626" i="1" s="1"/>
  <c r="BU1641" i="1"/>
  <c r="BW1641" i="1" s="1"/>
  <c r="BU2572" i="1"/>
  <c r="BW2572" i="1" s="1"/>
  <c r="BU791" i="1"/>
  <c r="BW791" i="1" s="1"/>
  <c r="BU3129" i="1"/>
  <c r="BW3129" i="1" s="1"/>
  <c r="BU331" i="1"/>
  <c r="BW331" i="1" s="1"/>
  <c r="BU742" i="1"/>
  <c r="BW742" i="1" s="1"/>
  <c r="BU329" i="1"/>
  <c r="BW329" i="1" s="1"/>
  <c r="BU1299" i="1"/>
  <c r="BW1299" i="1" s="1"/>
  <c r="BU2735" i="1"/>
  <c r="BW2735" i="1" s="1"/>
  <c r="BU2721" i="1"/>
  <c r="BW2721" i="1" s="1"/>
  <c r="BU1891" i="1"/>
  <c r="BW1891" i="1" s="1"/>
  <c r="BU2652" i="1"/>
  <c r="BW2652" i="1" s="1"/>
  <c r="BU2457" i="1"/>
  <c r="BW2457" i="1" s="1"/>
  <c r="BU2636" i="1"/>
  <c r="BW2636" i="1" s="1"/>
  <c r="BU875" i="1"/>
  <c r="BW875" i="1" s="1"/>
  <c r="BU1799" i="1"/>
  <c r="BW1799" i="1" s="1"/>
  <c r="BU728" i="1"/>
  <c r="BW728" i="1" s="1"/>
  <c r="BU1103" i="1"/>
  <c r="BW1103" i="1" s="1"/>
  <c r="BU1324" i="1"/>
  <c r="BW1324" i="1" s="1"/>
  <c r="BU1327" i="1"/>
  <c r="BW1327" i="1" s="1"/>
  <c r="BU3153" i="1"/>
  <c r="BW3153" i="1" s="1"/>
  <c r="BU1254" i="1"/>
  <c r="BW1254" i="1" s="1"/>
  <c r="BU2290" i="1"/>
  <c r="BW2290" i="1" s="1"/>
  <c r="BU1948" i="1"/>
  <c r="BW1948" i="1" s="1"/>
  <c r="BU836" i="1"/>
  <c r="BW836" i="1" s="1"/>
  <c r="BU1649" i="1"/>
  <c r="BW1649" i="1" s="1"/>
  <c r="BU1232" i="1"/>
  <c r="BW1232" i="1" s="1"/>
  <c r="BU1099" i="1"/>
  <c r="BW1099" i="1" s="1"/>
  <c r="BU707" i="1"/>
  <c r="BW707" i="1" s="1"/>
  <c r="BU391" i="1"/>
  <c r="BW391" i="1" s="1"/>
  <c r="BU897" i="1"/>
  <c r="BW897" i="1" s="1"/>
  <c r="BU199" i="1"/>
  <c r="BW199" i="1" s="1"/>
  <c r="BU1057" i="1"/>
  <c r="BW1057" i="1" s="1"/>
  <c r="BU2257" i="1"/>
  <c r="BW2257" i="1" s="1"/>
  <c r="BU1274" i="1"/>
  <c r="BW1274" i="1" s="1"/>
  <c r="BU1765" i="1"/>
  <c r="BW1765" i="1" s="1"/>
  <c r="BU2761" i="1"/>
  <c r="BW2761" i="1" s="1"/>
  <c r="BU462" i="1"/>
  <c r="BW462" i="1" s="1"/>
  <c r="BU2696" i="1"/>
  <c r="BW2696" i="1" s="1"/>
  <c r="BU947" i="1"/>
  <c r="BW947" i="1" s="1"/>
  <c r="BU2255" i="1"/>
  <c r="BW2255" i="1" s="1"/>
  <c r="BU1899" i="1"/>
  <c r="BW1899" i="1" s="1"/>
  <c r="BU3206" i="1"/>
  <c r="BW3206" i="1" s="1"/>
  <c r="BU303" i="1"/>
  <c r="BW303" i="1" s="1"/>
  <c r="BU738" i="1"/>
  <c r="BW738" i="1" s="1"/>
  <c r="BU2433" i="1"/>
  <c r="BW2433" i="1" s="1"/>
  <c r="BU3172" i="1"/>
  <c r="BW3172" i="1" s="1"/>
  <c r="BU2188" i="1"/>
  <c r="BW2188" i="1" s="1"/>
  <c r="BU3156" i="1"/>
  <c r="BW3156" i="1" s="1"/>
  <c r="BU1460" i="1"/>
  <c r="BW1460" i="1" s="1"/>
  <c r="BU124" i="1"/>
  <c r="BW124" i="1" s="1"/>
  <c r="BU3146" i="1"/>
  <c r="BW3146" i="1" s="1"/>
  <c r="BU1487" i="1"/>
  <c r="BW1487" i="1" s="1"/>
  <c r="BU1716" i="1"/>
  <c r="BW1716" i="1" s="1"/>
  <c r="BU2332" i="1"/>
  <c r="BW2332" i="1" s="1"/>
  <c r="BU1996" i="1"/>
  <c r="BW1996" i="1" s="1"/>
  <c r="BU970" i="1"/>
  <c r="BW970" i="1" s="1"/>
  <c r="BU1925" i="1"/>
  <c r="BW1925" i="1" s="1"/>
  <c r="BU2007" i="1"/>
  <c r="BW2007" i="1" s="1"/>
  <c r="BU1776" i="1"/>
  <c r="BW1776" i="1" s="1"/>
  <c r="BU3070" i="1"/>
  <c r="BW3070" i="1" s="1"/>
  <c r="BU3044" i="1"/>
  <c r="BW3044" i="1" s="1"/>
  <c r="BU2469" i="1"/>
  <c r="BW2469" i="1" s="1"/>
  <c r="BU3036" i="1"/>
  <c r="BW3036" i="1" s="1"/>
  <c r="BU1052" i="1"/>
  <c r="BW1052" i="1" s="1"/>
  <c r="BU3029" i="1"/>
  <c r="BW3029" i="1" s="1"/>
  <c r="BU3020" i="1"/>
  <c r="BW3020" i="1" s="1"/>
  <c r="BU2385" i="1"/>
  <c r="BW2385" i="1" s="1"/>
  <c r="BU298" i="1"/>
  <c r="BW298" i="1" s="1"/>
  <c r="BU747" i="1"/>
  <c r="BW747" i="1" s="1"/>
  <c r="BU2946" i="1"/>
  <c r="BW2946" i="1" s="1"/>
  <c r="BU1063" i="1"/>
  <c r="BW1063" i="1" s="1"/>
  <c r="BU1833" i="1"/>
  <c r="BW1833" i="1" s="1"/>
  <c r="BU1640" i="1"/>
  <c r="BW1640" i="1" s="1"/>
  <c r="BU646" i="1"/>
  <c r="BW646" i="1" s="1"/>
  <c r="BU2762" i="1"/>
  <c r="BW2762" i="1" s="1"/>
  <c r="BU757" i="1"/>
  <c r="BW757" i="1" s="1"/>
  <c r="BU2745" i="1"/>
  <c r="BW2745" i="1" s="1"/>
  <c r="BU2741" i="1"/>
  <c r="BW2741" i="1" s="1"/>
  <c r="BU1289" i="1"/>
  <c r="BW1289" i="1" s="1"/>
  <c r="BU2737" i="1"/>
  <c r="BW2737" i="1" s="1"/>
  <c r="BU1107" i="1"/>
  <c r="BW1107" i="1" s="1"/>
  <c r="BU104" i="1"/>
  <c r="BW104" i="1" s="1"/>
  <c r="BU1781" i="1"/>
  <c r="BW1781" i="1" s="1"/>
  <c r="BU1356" i="1"/>
  <c r="BW1356" i="1" s="1"/>
  <c r="BU1156" i="1"/>
  <c r="BW1156" i="1" s="1"/>
  <c r="BU1753" i="1"/>
  <c r="BW1753" i="1" s="1"/>
  <c r="BU1940" i="1"/>
  <c r="BW1940" i="1" s="1"/>
  <c r="BU1062" i="1"/>
  <c r="BW1062" i="1" s="1"/>
  <c r="BU1208" i="1"/>
  <c r="BW1208" i="1" s="1"/>
  <c r="BU2672" i="1"/>
  <c r="BW2672" i="1" s="1"/>
  <c r="BU1565" i="1"/>
  <c r="BW1565" i="1" s="1"/>
  <c r="BU2660" i="1"/>
  <c r="BW2660" i="1" s="1"/>
  <c r="BU2152" i="1"/>
  <c r="BW2152" i="1" s="1"/>
  <c r="BU2644" i="1"/>
  <c r="BW2644" i="1" s="1"/>
  <c r="BU1389" i="1"/>
  <c r="BW1389" i="1" s="1"/>
  <c r="BU322" i="1"/>
  <c r="BW322" i="1" s="1"/>
  <c r="BU972" i="1"/>
  <c r="BW972" i="1" s="1"/>
  <c r="BU1392" i="1"/>
  <c r="BW1392" i="1" s="1"/>
  <c r="BU2625" i="1"/>
  <c r="BW2625" i="1" s="1"/>
  <c r="BU2431" i="1"/>
  <c r="BW2431" i="1" s="1"/>
  <c r="BU1132" i="1"/>
  <c r="BW1132" i="1" s="1"/>
  <c r="BU1907" i="1"/>
  <c r="BW1907" i="1" s="1"/>
  <c r="BU2072" i="1"/>
  <c r="BW2072" i="1" s="1"/>
  <c r="BU1164" i="1"/>
  <c r="BW1164" i="1" s="1"/>
  <c r="BU1404" i="1"/>
  <c r="BW1404" i="1" s="1"/>
  <c r="BU3161" i="1"/>
  <c r="BW3161" i="1" s="1"/>
  <c r="BU1428" i="1"/>
  <c r="BW1428" i="1" s="1"/>
  <c r="BU2262" i="1"/>
  <c r="BW2262" i="1" s="1"/>
  <c r="BU2471" i="1"/>
  <c r="BW2471" i="1" s="1"/>
  <c r="BU1252" i="1"/>
  <c r="BW1252" i="1" s="1"/>
  <c r="BU2310" i="1"/>
  <c r="BW2310" i="1" s="1"/>
  <c r="BU1477" i="1"/>
  <c r="BW1477" i="1" s="1"/>
  <c r="BU1808" i="1"/>
  <c r="BW1808" i="1" s="1"/>
  <c r="BU2693" i="1"/>
  <c r="BW2693" i="1" s="1"/>
  <c r="BU1656" i="1"/>
  <c r="BW1656" i="1" s="1"/>
  <c r="BU764" i="1"/>
  <c r="BW764" i="1" s="1"/>
  <c r="BU538" i="1"/>
  <c r="BW538" i="1" s="1"/>
  <c r="BU1109" i="1"/>
  <c r="BW1109" i="1" s="1"/>
  <c r="BU317" i="1"/>
  <c r="BW317" i="1" s="1"/>
  <c r="BU2020" i="1"/>
  <c r="BW2020" i="1" s="1"/>
  <c r="BU554" i="1"/>
  <c r="BW554" i="1" s="1"/>
  <c r="BU1068" i="1"/>
  <c r="BW1068" i="1" s="1"/>
  <c r="BU507" i="1"/>
  <c r="BW507" i="1" s="1"/>
  <c r="BU3017" i="1"/>
  <c r="BW3017" i="1" s="1"/>
  <c r="BU1956" i="1"/>
  <c r="BW1956" i="1" s="1"/>
  <c r="BU1821" i="1"/>
  <c r="BW1821" i="1" s="1"/>
  <c r="BU843" i="1"/>
  <c r="BW843" i="1" s="1"/>
  <c r="BU3169" i="1"/>
  <c r="BW3169" i="1" s="1"/>
  <c r="BU1295" i="1"/>
  <c r="BW1295" i="1" s="1"/>
  <c r="BU396" i="1"/>
  <c r="BW396" i="1" s="1"/>
  <c r="BU2974" i="1"/>
  <c r="BW2974" i="1" s="1"/>
  <c r="BU2424" i="1"/>
  <c r="BW2424" i="1" s="1"/>
  <c r="BU531" i="1"/>
  <c r="BW531" i="1" s="1"/>
  <c r="BU1978" i="1"/>
  <c r="BW1978" i="1" s="1"/>
  <c r="BU1329" i="1"/>
  <c r="BW1329" i="1" s="1"/>
  <c r="BU2063" i="1"/>
  <c r="BW2063" i="1" s="1"/>
  <c r="BU1439" i="1"/>
  <c r="BW1439" i="1" s="1"/>
  <c r="BU3197" i="1"/>
  <c r="BW3197" i="1" s="1"/>
  <c r="BU3171" i="1"/>
  <c r="BW3171" i="1" s="1"/>
  <c r="BU3170" i="1"/>
  <c r="BW3170" i="1" s="1"/>
  <c r="BU506" i="1"/>
  <c r="BW506" i="1" s="1"/>
  <c r="BU2030" i="1"/>
  <c r="BW2030" i="1" s="1"/>
  <c r="BU1549" i="1"/>
  <c r="BW1549" i="1" s="1"/>
  <c r="BU604" i="1"/>
  <c r="BW604" i="1" s="1"/>
  <c r="BU1409" i="1"/>
  <c r="BW1409" i="1" s="1"/>
  <c r="BU3145" i="1"/>
  <c r="BW3145" i="1" s="1"/>
  <c r="BU3143" i="1"/>
  <c r="BW3143" i="1" s="1"/>
  <c r="BU2466" i="1"/>
  <c r="BW2466" i="1" s="1"/>
  <c r="BU1342" i="1"/>
  <c r="BW1342" i="1" s="1"/>
  <c r="BU891" i="1"/>
  <c r="BW891" i="1" s="1"/>
  <c r="BU129" i="1"/>
  <c r="BW129" i="1" s="1"/>
  <c r="BU1120" i="1"/>
  <c r="BW1120" i="1" s="1"/>
  <c r="BU1798" i="1"/>
  <c r="BW1798" i="1" s="1"/>
  <c r="BU3073" i="1"/>
  <c r="BW3073" i="1" s="1"/>
  <c r="BU2324" i="1"/>
  <c r="BW2324" i="1" s="1"/>
  <c r="BU375" i="1"/>
  <c r="BW375" i="1" s="1"/>
  <c r="BU394" i="1"/>
  <c r="BW394" i="1" s="1"/>
  <c r="BU551" i="1"/>
  <c r="BW551" i="1" s="1"/>
  <c r="BU3043" i="1"/>
  <c r="BW3043" i="1" s="1"/>
  <c r="BU1247" i="1"/>
  <c r="BW1247" i="1" s="1"/>
  <c r="BU3028" i="1"/>
  <c r="BW3028" i="1" s="1"/>
  <c r="BU771" i="1"/>
  <c r="BW771" i="1" s="1"/>
  <c r="BU1157" i="1"/>
  <c r="BW1157" i="1" s="1"/>
  <c r="BU2087" i="1"/>
  <c r="BW2087" i="1" s="1"/>
  <c r="BU1690" i="1"/>
  <c r="BW1690" i="1" s="1"/>
  <c r="BU642" i="1"/>
  <c r="BW642" i="1" s="1"/>
  <c r="BU1550" i="1"/>
  <c r="BW1550" i="1" s="1"/>
  <c r="BU1089" i="1"/>
  <c r="BW1089" i="1" s="1"/>
  <c r="BU499" i="1"/>
  <c r="BW499" i="1" s="1"/>
  <c r="BU609" i="1"/>
  <c r="BW609" i="1" s="1"/>
  <c r="BU2962" i="1"/>
  <c r="BW2962" i="1" s="1"/>
  <c r="BU2767" i="1"/>
  <c r="BW2767" i="1" s="1"/>
  <c r="BU922" i="1"/>
  <c r="BW922" i="1" s="1"/>
  <c r="BU618" i="1"/>
  <c r="BW618" i="1" s="1"/>
  <c r="BU380" i="1"/>
  <c r="BW380" i="1" s="1"/>
  <c r="BU1097" i="1"/>
  <c r="BW1097" i="1" s="1"/>
  <c r="BU285" i="1"/>
  <c r="BW285" i="1" s="1"/>
  <c r="BU2740" i="1"/>
  <c r="BW2740" i="1" s="1"/>
  <c r="BU1395" i="1"/>
  <c r="BW1395" i="1" s="1"/>
  <c r="BU2736" i="1"/>
  <c r="BW2736" i="1" s="1"/>
  <c r="BU422" i="1"/>
  <c r="BW422" i="1" s="1"/>
  <c r="BU2336" i="1"/>
  <c r="BW2336" i="1" s="1"/>
  <c r="BU780" i="1"/>
  <c r="BW780" i="1" s="1"/>
  <c r="BU2718" i="1"/>
  <c r="BW2718" i="1" s="1"/>
  <c r="BU360" i="1"/>
  <c r="BW360" i="1" s="1"/>
  <c r="BU2043" i="1"/>
  <c r="BW2043" i="1" s="1"/>
  <c r="BU442" i="1"/>
  <c r="BW442" i="1" s="1"/>
  <c r="BU2697" i="1"/>
  <c r="BW2697" i="1" s="1"/>
  <c r="BU883" i="1"/>
  <c r="BW883" i="1" s="1"/>
  <c r="BU1462" i="1"/>
  <c r="BW1462" i="1" s="1"/>
  <c r="BU1518" i="1"/>
  <c r="BW1518" i="1" s="1"/>
  <c r="BU803" i="1"/>
  <c r="BW803" i="1" s="1"/>
  <c r="BU1475" i="1"/>
  <c r="BW1475" i="1" s="1"/>
  <c r="BU1492" i="1"/>
  <c r="BW1492" i="1" s="1"/>
  <c r="BU1606" i="1"/>
  <c r="BW1606" i="1" s="1"/>
  <c r="BU2643" i="1"/>
  <c r="BW2643" i="1" s="1"/>
  <c r="BU1503" i="1"/>
  <c r="BW1503" i="1" s="1"/>
  <c r="BU775" i="1"/>
  <c r="BW775" i="1" s="1"/>
  <c r="BU2631" i="1"/>
  <c r="BW2631" i="1" s="1"/>
  <c r="BU177" i="1"/>
  <c r="BW177" i="1" s="1"/>
  <c r="BU1362" i="1"/>
  <c r="BW1362" i="1" s="1"/>
  <c r="BU1506" i="1"/>
  <c r="BW1506" i="1" s="1"/>
  <c r="BU1151" i="1"/>
  <c r="BW1151" i="1" s="1"/>
  <c r="BU1301" i="1"/>
  <c r="BW1301" i="1" s="1"/>
  <c r="BU2605" i="1"/>
  <c r="BW2605" i="1" s="1"/>
  <c r="BU1096" i="1"/>
  <c r="BW1096" i="1" s="1"/>
  <c r="BU1814" i="1"/>
  <c r="BW1814" i="1" s="1"/>
  <c r="BU1719" i="1"/>
  <c r="BW1719" i="1" s="1"/>
  <c r="BU1148" i="1"/>
  <c r="BW1148" i="1" s="1"/>
  <c r="BU2543" i="1"/>
  <c r="BW2543" i="1" s="1"/>
  <c r="BU695" i="1"/>
  <c r="BW695" i="1" s="1"/>
  <c r="BU932" i="1"/>
  <c r="BW932" i="1" s="1"/>
  <c r="BU2423" i="1"/>
  <c r="BW2423" i="1" s="1"/>
  <c r="BU1758" i="1"/>
  <c r="BW1758" i="1" s="1"/>
  <c r="BU159" i="1"/>
  <c r="BW159" i="1" s="1"/>
  <c r="BU2180" i="1"/>
  <c r="BW2180" i="1" s="1"/>
  <c r="BU1141" i="1"/>
  <c r="BW1141" i="1" s="1"/>
  <c r="BU1851" i="1"/>
  <c r="BW1851" i="1" s="1"/>
  <c r="BU1763" i="1"/>
  <c r="BW1763" i="1" s="1"/>
  <c r="BU2217" i="1"/>
  <c r="BW2217" i="1" s="1"/>
  <c r="BU1155" i="1"/>
  <c r="BW1155" i="1" s="1"/>
  <c r="BU2153" i="1"/>
  <c r="BW2153" i="1" s="1"/>
  <c r="BU1591" i="1"/>
  <c r="BW1591" i="1" s="1"/>
  <c r="BU2646" i="1"/>
  <c r="BW2646" i="1" s="1"/>
  <c r="BU333" i="1"/>
  <c r="BW333" i="1" s="1"/>
  <c r="BU733" i="1"/>
  <c r="BW733" i="1" s="1"/>
  <c r="BU508" i="1"/>
  <c r="BW508" i="1" s="1"/>
  <c r="BU2288" i="1"/>
  <c r="BW2288" i="1" s="1"/>
  <c r="BU290" i="1"/>
  <c r="BW290" i="1" s="1"/>
  <c r="BU2066" i="1"/>
  <c r="BW2066" i="1" s="1"/>
  <c r="BU1060" i="1"/>
  <c r="BW1060" i="1" s="1"/>
  <c r="BU2589" i="1"/>
  <c r="BW2589" i="1" s="1"/>
  <c r="BU2671" i="1"/>
  <c r="BW2671" i="1" s="1"/>
  <c r="BU1617" i="1"/>
  <c r="BW1617" i="1" s="1"/>
  <c r="BU760" i="1"/>
  <c r="BW760" i="1" s="1"/>
  <c r="BU335" i="1"/>
  <c r="BW335" i="1" s="1"/>
  <c r="BU21" i="1"/>
  <c r="BW21" i="1" s="1"/>
  <c r="BU1951" i="1"/>
  <c r="BW1951" i="1" s="1"/>
  <c r="BU430" i="1"/>
  <c r="BW430" i="1" s="1"/>
  <c r="BU3163" i="1"/>
  <c r="BW3163" i="1" s="1"/>
  <c r="BU2438" i="1"/>
  <c r="BW2438" i="1" s="1"/>
  <c r="BU641" i="1"/>
  <c r="BW641" i="1" s="1"/>
  <c r="BU1431" i="1"/>
  <c r="BW1431" i="1" s="1"/>
  <c r="BU1875" i="1"/>
  <c r="BW1875" i="1" s="1"/>
  <c r="BU363" i="1"/>
  <c r="BW363" i="1" s="1"/>
  <c r="BU1206" i="1"/>
  <c r="BW1206" i="1" s="1"/>
  <c r="BU666" i="1"/>
  <c r="BW666" i="1" s="1"/>
  <c r="BU2308" i="1"/>
  <c r="BW2308" i="1" s="1"/>
  <c r="BU3116" i="1"/>
  <c r="BW3116" i="1" s="1"/>
  <c r="BU327" i="1"/>
  <c r="BW327" i="1" s="1"/>
  <c r="BU1567" i="1"/>
  <c r="BW1567" i="1" s="1"/>
  <c r="BU527" i="1"/>
  <c r="BW527" i="1" s="1"/>
  <c r="BU1525" i="1"/>
  <c r="BW1525" i="1" s="1"/>
  <c r="BU938" i="1"/>
  <c r="BW938" i="1" s="1"/>
  <c r="BU1769" i="1"/>
  <c r="BW1769" i="1" s="1"/>
  <c r="BU1516" i="1"/>
  <c r="BW1516" i="1" s="1"/>
  <c r="BU2509" i="1"/>
  <c r="BW2509" i="1" s="1"/>
  <c r="BU1639" i="1"/>
  <c r="BW1639" i="1" s="1"/>
  <c r="BU2403" i="1"/>
  <c r="BW2403" i="1" s="1"/>
  <c r="BU3032" i="1"/>
  <c r="BW3032" i="1" s="1"/>
  <c r="BU1485" i="1"/>
  <c r="BW1485" i="1" s="1"/>
  <c r="BU890" i="1"/>
  <c r="BW890" i="1" s="1"/>
  <c r="BU2146" i="1"/>
  <c r="BW2146" i="1" s="1"/>
  <c r="BU3016" i="1"/>
  <c r="BW3016" i="1" s="1"/>
  <c r="BU3005" i="1"/>
  <c r="BW3005" i="1" s="1"/>
  <c r="BU946" i="1"/>
  <c r="BW946" i="1" s="1"/>
  <c r="BU3000" i="1"/>
  <c r="BW3000" i="1" s="1"/>
  <c r="BU2478" i="1"/>
  <c r="BW2478" i="1" s="1"/>
  <c r="BU2980" i="1"/>
  <c r="BW2980" i="1" s="1"/>
  <c r="BU1513" i="1"/>
  <c r="BW1513" i="1" s="1"/>
  <c r="BU916" i="1"/>
  <c r="BW916" i="1" s="1"/>
  <c r="BU2968" i="1"/>
  <c r="BW2968" i="1" s="1"/>
  <c r="BU1942" i="1"/>
  <c r="BW1942" i="1" s="1"/>
  <c r="BU2312" i="1"/>
  <c r="BW2312" i="1" s="1"/>
  <c r="BU2148" i="1"/>
  <c r="BW2148" i="1" s="1"/>
  <c r="BU1616" i="1"/>
  <c r="BW1616" i="1" s="1"/>
  <c r="BU884" i="1"/>
  <c r="BW884" i="1" s="1"/>
  <c r="BU790" i="1"/>
  <c r="BW790" i="1" s="1"/>
  <c r="BU1235" i="1"/>
  <c r="BW1235" i="1" s="1"/>
  <c r="BU1742" i="1"/>
  <c r="BW1742" i="1" s="1"/>
  <c r="BU2292" i="1"/>
  <c r="BW2292" i="1" s="1"/>
  <c r="BU424" i="1"/>
  <c r="BW424" i="1" s="1"/>
  <c r="BU558" i="1"/>
  <c r="BW558" i="1" s="1"/>
  <c r="BU2699" i="1"/>
  <c r="BW2699" i="1" s="1"/>
  <c r="BU2685" i="1"/>
  <c r="BW2685" i="1" s="1"/>
  <c r="BU134" i="1"/>
  <c r="BW134" i="1" s="1"/>
  <c r="BU1681" i="1"/>
  <c r="BW1681" i="1" s="1"/>
  <c r="BU2380" i="1"/>
  <c r="BW2380" i="1" s="1"/>
  <c r="BU379" i="1"/>
  <c r="BW379" i="1" s="1"/>
  <c r="BU1154" i="1"/>
  <c r="BW1154" i="1" s="1"/>
  <c r="BU926" i="1"/>
  <c r="BW926" i="1" s="1"/>
  <c r="BU2632" i="1"/>
  <c r="BW2632" i="1" s="1"/>
  <c r="BU2440" i="1"/>
  <c r="BW2440" i="1" s="1"/>
  <c r="BU1522" i="1"/>
  <c r="BW1522" i="1" s="1"/>
  <c r="BU338" i="1"/>
  <c r="BW338" i="1" s="1"/>
  <c r="BU1939" i="1"/>
  <c r="BW1939" i="1" s="1"/>
  <c r="BU614" i="1"/>
  <c r="BW614" i="1" s="1"/>
  <c r="BU1987" i="1"/>
  <c r="BW1987" i="1" s="1"/>
  <c r="BU2612" i="1"/>
  <c r="BW2612" i="1" s="1"/>
  <c r="BU1266" i="1"/>
  <c r="BW1266" i="1" s="1"/>
  <c r="BU831" i="1"/>
  <c r="BW831" i="1" s="1"/>
  <c r="BU2382" i="1"/>
  <c r="BW2382" i="1" s="1"/>
  <c r="BU931" i="1"/>
  <c r="BW931" i="1" s="1"/>
  <c r="BU1809" i="1"/>
  <c r="BW1809" i="1" s="1"/>
  <c r="BU1540" i="1"/>
  <c r="BW1540" i="1" s="1"/>
  <c r="BU1701" i="1"/>
  <c r="BW1701" i="1" s="1"/>
  <c r="BU378" i="1"/>
  <c r="BW378" i="1" s="1"/>
  <c r="BU491" i="1"/>
  <c r="BW491" i="1" s="1"/>
  <c r="BU2035" i="1"/>
  <c r="BW2035" i="1" s="1"/>
  <c r="BU108" i="1"/>
  <c r="BW108" i="1" s="1"/>
  <c r="BU1704" i="1"/>
  <c r="BW1704" i="1" s="1"/>
  <c r="BU1552" i="1"/>
  <c r="BW1552" i="1" s="1"/>
  <c r="BU2095" i="1"/>
  <c r="BW2095" i="1" s="1"/>
  <c r="BU2978" i="1"/>
  <c r="BW2978" i="1" s="1"/>
  <c r="BU487" i="1"/>
  <c r="BW487" i="1" s="1"/>
  <c r="BU446" i="1"/>
  <c r="BW446" i="1" s="1"/>
  <c r="BU1018" i="1"/>
  <c r="BW1018" i="1" s="1"/>
  <c r="BU2648" i="1"/>
  <c r="BW2648" i="1" s="1"/>
  <c r="BU1578" i="1"/>
  <c r="BW1578" i="1" s="1"/>
  <c r="BF2018" i="1"/>
  <c r="CI2018" i="1" s="1"/>
  <c r="CJ2018" i="1" s="1"/>
  <c r="BF1130" i="1"/>
  <c r="BF2975" i="1"/>
  <c r="CI2975" i="1" s="1"/>
  <c r="CJ2975" i="1" s="1"/>
  <c r="BF1370" i="1"/>
  <c r="CI1370" i="1" s="1"/>
  <c r="CJ1370" i="1" s="1"/>
  <c r="BK2018" i="1"/>
  <c r="BK1130" i="1"/>
  <c r="BK1370" i="1"/>
  <c r="BK2975" i="1"/>
  <c r="BQ1130" i="1" l="1"/>
  <c r="CI1130" i="1"/>
  <c r="CJ1130" i="1" s="1"/>
  <c r="Q1370" i="1"/>
  <c r="BU1370" i="1" s="1"/>
  <c r="BW1370" i="1" s="1"/>
  <c r="BQ1370" i="1"/>
  <c r="Q2018" i="1"/>
  <c r="BU2018" i="1" s="1"/>
  <c r="BW2018" i="1" s="1"/>
  <c r="BQ2018" i="1"/>
  <c r="Q2975" i="1"/>
  <c r="BU2975" i="1" s="1"/>
  <c r="BW2975" i="1" s="1"/>
  <c r="BQ2975" i="1"/>
  <c r="BZ1130" i="1"/>
  <c r="BZ2975" i="1"/>
  <c r="BZ1370" i="1"/>
  <c r="BZ2018" i="1"/>
  <c r="Q1130" i="1"/>
  <c r="BX1370" i="1" l="1"/>
  <c r="BX2018" i="1"/>
  <c r="BX2975" i="1"/>
  <c r="BU1130" i="1"/>
  <c r="BW1130" i="1" s="1"/>
  <c r="BX1130" i="1"/>
</calcChain>
</file>

<file path=xl/sharedStrings.xml><?xml version="1.0" encoding="utf-8"?>
<sst xmlns="http://schemas.openxmlformats.org/spreadsheetml/2006/main" count="54151" uniqueCount="1434">
  <si>
    <t>DATE FILED</t>
  </si>
  <si>
    <t>DATE DISPOSED</t>
  </si>
  <si>
    <t>SPN</t>
  </si>
  <si>
    <t>DAYS DETAINED</t>
  </si>
  <si>
    <t>felony priors</t>
  </si>
  <si>
    <t>Misd priors</t>
  </si>
  <si>
    <t>prior fel tdc</t>
  </si>
  <si>
    <t>fel prob</t>
  </si>
  <si>
    <t>prior misd prob</t>
  </si>
  <si>
    <t>pr misd hcj</t>
  </si>
  <si>
    <t>prior Mis fine</t>
  </si>
  <si>
    <t>SPAN SUR NAM</t>
  </si>
  <si>
    <t>DefendantsName</t>
  </si>
  <si>
    <t>DOB</t>
  </si>
  <si>
    <t>Gender</t>
  </si>
  <si>
    <t xml:space="preserve">JIMS Ethnicity  </t>
  </si>
  <si>
    <t>Court</t>
  </si>
  <si>
    <t>JudgmentCategory</t>
  </si>
  <si>
    <t xml:space="preserve"> SETTINGS</t>
  </si>
  <si>
    <t>Sentence</t>
  </si>
  <si>
    <t>OffenseDescription</t>
  </si>
  <si>
    <t>PenalCode</t>
  </si>
  <si>
    <t>OffenseClass</t>
  </si>
  <si>
    <t>Offense</t>
  </si>
  <si>
    <t xml:space="preserve">NOTED SPECIAL ISSUES </t>
  </si>
  <si>
    <t xml:space="preserve">bond fort </t>
  </si>
  <si>
    <t>Bfdate</t>
  </si>
  <si>
    <t>BD REVOKED</t>
  </si>
  <si>
    <t>date apprehend</t>
  </si>
  <si>
    <t>forfeit paid $</t>
  </si>
  <si>
    <t>recidivism  newcase</t>
  </si>
  <si>
    <t>NULL</t>
  </si>
  <si>
    <t>M</t>
  </si>
  <si>
    <t>B</t>
  </si>
  <si>
    <t>178</t>
  </si>
  <si>
    <t>CAPITAL MURDER</t>
  </si>
  <si>
    <t>FC</t>
  </si>
  <si>
    <t>CAP MURDER</t>
  </si>
  <si>
    <t>Appointed Attorney</t>
  </si>
  <si>
    <t>GUILTY PLEA - NO JURY</t>
  </si>
  <si>
    <t>H</t>
  </si>
  <si>
    <t>HISPANIC</t>
  </si>
  <si>
    <t>248</t>
  </si>
  <si>
    <t>POSS CS PG 1 &lt;1G</t>
  </si>
  <si>
    <t>FS</t>
  </si>
  <si>
    <t>POSS DRUG</t>
  </si>
  <si>
    <t>F</t>
  </si>
  <si>
    <t>208</t>
  </si>
  <si>
    <t>DEFERRED</t>
  </si>
  <si>
    <t>POSS CS PG 1 4G - 200G</t>
  </si>
  <si>
    <t>F2</t>
  </si>
  <si>
    <t>y</t>
  </si>
  <si>
    <t>Hired Attorney</t>
  </si>
  <si>
    <t>185</t>
  </si>
  <si>
    <t>PTRc</t>
  </si>
  <si>
    <t>DISMISSED</t>
  </si>
  <si>
    <t>BURGLARY OF HABITATION</t>
  </si>
  <si>
    <t>BURGLARY</t>
  </si>
  <si>
    <t>NON-HISPANIC</t>
  </si>
  <si>
    <t>184</t>
  </si>
  <si>
    <t>THEFT UNDER $1500 - 3RD OFF.</t>
  </si>
  <si>
    <t>THEFT</t>
  </si>
  <si>
    <t>177</t>
  </si>
  <si>
    <t>FORGERY</t>
  </si>
  <si>
    <t>OTHER FEL</t>
  </si>
  <si>
    <t>263</t>
  </si>
  <si>
    <t>DWI 3RD OFFENDER BAC .08</t>
  </si>
  <si>
    <t>F3</t>
  </si>
  <si>
    <t>FEL DWI</t>
  </si>
  <si>
    <t>W</t>
  </si>
  <si>
    <t>183</t>
  </si>
  <si>
    <t>337</t>
  </si>
  <si>
    <t>176</t>
  </si>
  <si>
    <t>AGG ASSAULT W/DEADLY WEAPON</t>
  </si>
  <si>
    <t>ASLT-MURDR</t>
  </si>
  <si>
    <t>REV 4/26/12 ASS WEAPON</t>
  </si>
  <si>
    <t>SURETY</t>
  </si>
  <si>
    <t>DEFENDANT CONVICTED ON ANOTHER CHARGE</t>
  </si>
  <si>
    <t>DISARMING POLICE OFFICER</t>
  </si>
  <si>
    <t>Other/Unknown</t>
  </si>
  <si>
    <t>209</t>
  </si>
  <si>
    <t>POSS W/INT DEL CS PG1 1G &lt;4 GR</t>
  </si>
  <si>
    <t>SALE DRUG</t>
  </si>
  <si>
    <t>180</t>
  </si>
  <si>
    <t>ASSAULT-BOD INJ-PUB SERV/RETAL</t>
  </si>
  <si>
    <t>228</t>
  </si>
  <si>
    <t>6/8/12FTHEFT</t>
  </si>
  <si>
    <t>338</t>
  </si>
  <si>
    <t>Y</t>
  </si>
  <si>
    <t>CONVICTED</t>
  </si>
  <si>
    <t>230</t>
  </si>
  <si>
    <t>AGG ASSLT AGAINST PB SERVANT</t>
  </si>
  <si>
    <t>F1</t>
  </si>
  <si>
    <t>POSS CS PG 1  1 - 4 GRAMS</t>
  </si>
  <si>
    <t>POSS/ATT POSS CS BY FRAUD SCH</t>
  </si>
  <si>
    <t>339</t>
  </si>
  <si>
    <t>INJURY CHILD UNDER 15 B/INJURY</t>
  </si>
  <si>
    <t>232</t>
  </si>
  <si>
    <t>CREDIT/DEBIT CARD ABUSE</t>
  </si>
  <si>
    <t>Public Defender</t>
  </si>
  <si>
    <t>174</t>
  </si>
  <si>
    <t>FELON POSS WPN</t>
  </si>
  <si>
    <t>POSS CS PG 1 200-400GR</t>
  </si>
  <si>
    <t>POSS CS PG 2 &lt;1GRAM</t>
  </si>
  <si>
    <t>CRIM MISCH &gt;=$1500 &lt;$20K</t>
  </si>
  <si>
    <t>AGG ROBBERY-DEADLY WPN</t>
  </si>
  <si>
    <t>ROBBERY</t>
  </si>
  <si>
    <t>BURGLARY OF A BUILDING</t>
  </si>
  <si>
    <t>THEFT $1500-20K</t>
  </si>
  <si>
    <t>THEFT &gt;=$20,000 &lt;$100,000</t>
  </si>
  <si>
    <t>AGG ASSAULT-FAMILY MEMBER</t>
  </si>
  <si>
    <t>POSS CS PG 3 28-200 GRAMS</t>
  </si>
  <si>
    <t>S</t>
  </si>
  <si>
    <t>262</t>
  </si>
  <si>
    <t>179</t>
  </si>
  <si>
    <t>5/14/12 misd tressp</t>
  </si>
  <si>
    <t>PROSTITUTION</t>
  </si>
  <si>
    <t>POSS CS PG 2 1-4 GRAMS</t>
  </si>
  <si>
    <t>182</t>
  </si>
  <si>
    <t>misd DWI 2/8/12</t>
  </si>
  <si>
    <t>revoked 7/3/12TDC</t>
  </si>
  <si>
    <t>UNAUTH USE OF VEHICLE</t>
  </si>
  <si>
    <t>AUTO THEFT</t>
  </si>
  <si>
    <t>NO BILL</t>
  </si>
  <si>
    <t>POSS MARIJ  5 - 50 LBS.</t>
  </si>
  <si>
    <t>SEX ASSLT CHILD 14-17</t>
  </si>
  <si>
    <t>SEX ABUSE</t>
  </si>
  <si>
    <t>MAN/DEL CS PG I &lt;1GRAM</t>
  </si>
  <si>
    <t>5/24/12 auto theftTDC5/31/12</t>
  </si>
  <si>
    <t>AGG SEX ASSLT CHILD-UNDER 14</t>
  </si>
  <si>
    <t>BURG W-INTENT-COMMIT OTHER FEL</t>
  </si>
  <si>
    <t>ROBBERY-THREATS</t>
  </si>
  <si>
    <t>POSS W/INT DEL CS PG1&gt;=4 &lt;200</t>
  </si>
  <si>
    <t>6/22/12 misd assaultHCJ</t>
  </si>
  <si>
    <t>TAMPER GOVT RECORD</t>
  </si>
  <si>
    <t>DISM felOpen</t>
  </si>
  <si>
    <t>TAMPER/FABRICATE EVIDENCE</t>
  </si>
  <si>
    <t>FORGERY GOVT FINANCIAL INST</t>
  </si>
  <si>
    <t>A</t>
  </si>
  <si>
    <t>ABAN/ENDANG CHILD W/INT TO RET</t>
  </si>
  <si>
    <t>DISMISS covPfel</t>
  </si>
  <si>
    <t>351</t>
  </si>
  <si>
    <t>FAIL TO REGISTER AS SEX OFFEND</t>
  </si>
  <si>
    <t>MAN/DEL CS PG III/IV 28-200 GR</t>
  </si>
  <si>
    <t>INJURY TO ELDERLY</t>
  </si>
  <si>
    <t>INDECENCY CHILD-TB</t>
  </si>
  <si>
    <t>9/27/12 def adj  fel unlawful restraint child</t>
  </si>
  <si>
    <t>7/12/12 POSS W/INT DEL 2yrs tdc</t>
  </si>
  <si>
    <t>POSS CS PG 4 28-200 GRAMS</t>
  </si>
  <si>
    <t>MAN/DEL CS PG I OVER 400 GRAMS</t>
  </si>
  <si>
    <t>ASSAULT-BOD INJ-FAMILY MEMBER</t>
  </si>
  <si>
    <t>HARASSMENT OF PUBLIC SERVANT</t>
  </si>
  <si>
    <t>INDECENCY-CHILD EXPOSURE</t>
  </si>
  <si>
    <t>POSS CS PG 4 OVER 400 GRAMS</t>
  </si>
  <si>
    <t xml:space="preserve">5/8/12 auto th </t>
  </si>
  <si>
    <t>ENDANGERING A CHILD</t>
  </si>
  <si>
    <t>8/27/2012 frl evade</t>
  </si>
  <si>
    <t>3/15/12 misd dwi</t>
  </si>
  <si>
    <t>RETALIATION</t>
  </si>
  <si>
    <t>THEFT OF FIREARM</t>
  </si>
  <si>
    <t>PTR</t>
  </si>
  <si>
    <t>lv prob revok 4/13/12 stj 7 mos</t>
  </si>
  <si>
    <t>AGG SEX ASSAULT</t>
  </si>
  <si>
    <t>RAPE</t>
  </si>
  <si>
    <t>MAN/DEL CS PG II 4-400 GRAMS</t>
  </si>
  <si>
    <t xml:space="preserve">STALKING </t>
  </si>
  <si>
    <t>6/28/12   crim misch</t>
  </si>
  <si>
    <t>ATT TAMPER GOVT RECORD</t>
  </si>
  <si>
    <t>convMisd 5/7/12 evad arr</t>
  </si>
  <si>
    <t>HINDER APPREHENSION</t>
  </si>
  <si>
    <t>FAIL TO COMPLY AS SEX OFFENDER</t>
  </si>
  <si>
    <t>ATT FORGE GOVE INSTR</t>
  </si>
  <si>
    <t>dwi 4/14/12, dwi   bk 4/26      5/8/12 pend</t>
  </si>
  <si>
    <t>INDECENCY CHILD-TG</t>
  </si>
  <si>
    <t>THEFT &gt;=$100,000 &lt;$200,000</t>
  </si>
  <si>
    <t>POSS MARIJ  4 OZ. - 5 LBS.</t>
  </si>
  <si>
    <t>POSS CS PG 2 4G - 400G</t>
  </si>
  <si>
    <t>theft tdc  2yrs5/14/12</t>
  </si>
  <si>
    <t>2/23/12 mis fugitive</t>
  </si>
  <si>
    <t>MURDER</t>
  </si>
  <si>
    <t>MURD/MANSL</t>
  </si>
  <si>
    <t>EXHIBIT FIREARM/CAMPUS/SCHOOL</t>
  </si>
  <si>
    <t>THEFT F/ELDERLY 100,000-200,00</t>
  </si>
  <si>
    <t>ftr 4/13/12 prob rev 4/19/12  tdc 7mos</t>
  </si>
  <si>
    <t>ATT TAMPER WITH PHYSICAL EVIDE</t>
  </si>
  <si>
    <t>PROBATION</t>
  </si>
  <si>
    <t>ROBBERY-BODILY INJURY</t>
  </si>
  <si>
    <t>THEFT &gt;= $200,000</t>
  </si>
  <si>
    <t>POSS CHILD PORNOGRAPHY</t>
  </si>
  <si>
    <t>CARRY PROH WPN PROHBITED PLACE</t>
  </si>
  <si>
    <t>POSS W/INT DEL CS 4G &lt;200 GRAM</t>
  </si>
  <si>
    <t>MAN/DEL CS PG I 1-4 GRAMS</t>
  </si>
  <si>
    <t>null</t>
  </si>
  <si>
    <t>STALKING</t>
  </si>
  <si>
    <t>PROMOTE CHILD PORNOGRAPHY</t>
  </si>
  <si>
    <t>9/12/2 stj 6 mos other drug  filed 1/4/12</t>
  </si>
  <si>
    <t>jail 6/5/12 robbery released def adj to ymca7/2/12</t>
  </si>
  <si>
    <t>THEFT FROM PERSON</t>
  </si>
  <si>
    <t>SELL/POSS UNLAB/RCRD&gt;65 RCRD</t>
  </si>
  <si>
    <t xml:space="preserve">burg of veh w/2 or more co </t>
  </si>
  <si>
    <t>burglary</t>
  </si>
  <si>
    <t>ATT BRIBERY</t>
  </si>
  <si>
    <t>THEFT $1500-20K conv of robbery</t>
  </si>
  <si>
    <t>AGG ASSAULT - FAMILY MEMBER SB</t>
  </si>
  <si>
    <t>BK 4/18/12 pcs &lt;1G tdc 8mos</t>
  </si>
  <si>
    <t>MAN/DEL CS PG I 4-200 GRAMS</t>
  </si>
  <si>
    <t>AGG ROBBERY-OVER 65 OR DISABLE</t>
  </si>
  <si>
    <t>POSS WIM/D GP 3/4 CS-400G &amp; UP</t>
  </si>
  <si>
    <t>ATT BURGLARY HABITATION</t>
  </si>
  <si>
    <t>AGG ROBBERY-S-B-I</t>
  </si>
  <si>
    <t>LV drugs bk 2/17/12 bk 3/1/12  HCJ 90 D PROB REV</t>
  </si>
  <si>
    <t>DEL MARIJ 1/4 OZ - 5 LBS</t>
  </si>
  <si>
    <t>OBTAIN DRUGS BY FRAUD-SCH III/</t>
  </si>
  <si>
    <t>AGG PROMOTION PROST</t>
  </si>
  <si>
    <t>MAN/DEL CS PG II 1-4 GRAMS</t>
  </si>
  <si>
    <t>INTERFERE CHILD CUSTODY</t>
  </si>
  <si>
    <t>FORGERY GOVERNMENT INSTRUMENT</t>
  </si>
  <si>
    <t>8/8/12 conv f drugs tdc 1 yr</t>
  </si>
  <si>
    <t>10 days jail cop, misd disp driv li suspend, prob and 3 days hcj</t>
  </si>
  <si>
    <t>8/7/12 convic poss marij 2 days hcj</t>
  </si>
  <si>
    <t>drug poss cs &lt; 1g  5/14/12 defer</t>
  </si>
  <si>
    <t xml:space="preserve">evading arrest/detention w/veh </t>
  </si>
  <si>
    <t>IMPERSON P-O</t>
  </si>
  <si>
    <t>AGG ASLT-SER BOD INJURY</t>
  </si>
  <si>
    <t>ENTICING CHIL W/INT FELONY</t>
  </si>
  <si>
    <t>rev theft 4/25/12 tdc 6 mos</t>
  </si>
  <si>
    <t>OTHER FELONY (ASSAULT-BOD INJ-FAMILY MEMBER)</t>
  </si>
  <si>
    <t>ENGAGING IN ORG CRIM ACTIVITY</t>
  </si>
  <si>
    <t>AGG KIDNAPPING</t>
  </si>
  <si>
    <t>OTHER DRUG (POSS/ATT POSS CS BY FRAUD SCH</t>
  </si>
  <si>
    <t>ATT RETALIATION</t>
  </si>
  <si>
    <t>UNLAWFUL RESTRAINT CHILD</t>
  </si>
  <si>
    <t>THEFT F/ELDERLY 1,500 - 20,000</t>
  </si>
  <si>
    <t>OTHER DRUG (POSS W/INT DEL CS PG1&gt;=4 &lt;200 )</t>
  </si>
  <si>
    <t>POSS CS PG 4 200-400 GRAMS</t>
  </si>
  <si>
    <t>ATT. DEADLY CONDUCT</t>
  </si>
  <si>
    <t>INTOXICATED ASSLT W/VEH SBI</t>
  </si>
  <si>
    <t>theft from person</t>
  </si>
  <si>
    <t>POSS-UNL USE CRIM INSTR</t>
  </si>
  <si>
    <t>prob revoked 6/28/12 tdc 6mos</t>
  </si>
  <si>
    <t>bk  3/22/12 P revoked 3/27/12  hcj4mos</t>
  </si>
  <si>
    <t>pretrial diversion</t>
  </si>
  <si>
    <t>AGG ASSAULT BY PB SERVANT</t>
  </si>
  <si>
    <t>bk 7/25/12  viol 30 days hcj amended cop</t>
  </si>
  <si>
    <t>2 day hcj misd assault conv 7/10/12</t>
  </si>
  <si>
    <t>CIVIL COMMITMENT REQUIR</t>
  </si>
  <si>
    <t>dwi 2/17/12 hcj 30 days</t>
  </si>
  <si>
    <t>misd evade conv 2/2/12 hcj 10 days</t>
  </si>
  <si>
    <t>I</t>
  </si>
  <si>
    <t>SEXUAL ASSAULT</t>
  </si>
  <si>
    <t>POSS CS PG 3 200-400 GRAMS</t>
  </si>
  <si>
    <t>ATT THEFT-OVER $10000-VEH</t>
  </si>
  <si>
    <t>INJURY TO CHILD-SBI</t>
  </si>
  <si>
    <t>POSS W/INT MAN/DEL CS PG1 1&lt;1</t>
  </si>
  <si>
    <t>POSS WIM/D GP 3/4 CS- 200-399G</t>
  </si>
  <si>
    <t>ATT POSS CS PG 3 28-200 GRAMS</t>
  </si>
  <si>
    <t>FRAUD/USE/POSS ID INFO</t>
  </si>
  <si>
    <t>misd conv 3/2/12</t>
  </si>
  <si>
    <t>fel drug conv 6/25/12 6mos tdc</t>
  </si>
  <si>
    <t>MAN/DEL SIM CS-MISLEAD PERS</t>
  </si>
  <si>
    <t>8/10/12 bk for violamend cop  release to ymca</t>
  </si>
  <si>
    <t>conv aslt murder 8/6/12 4yr tdc</t>
  </si>
  <si>
    <t>FAIL COMPLY SEX OFFENDER REGIS</t>
  </si>
  <si>
    <t>MAN/DEL CS PG III/IV  &lt;28 GRAM</t>
  </si>
  <si>
    <t>POSS DANG DRUG - FREE SCHOOL Z</t>
  </si>
  <si>
    <t>6/6/12 p drug 10 days hcj</t>
  </si>
  <si>
    <t>fel dwi conv 7/20/12 2 y tdc</t>
  </si>
  <si>
    <t>misd prosti conv 7/19 12 hcj 90 dys</t>
  </si>
  <si>
    <t>law viol 7/5/12  amend cop 35 days hcj  cont def adj</t>
  </si>
  <si>
    <t>2/8/12 misc conv poss cs 10 daya hcj</t>
  </si>
  <si>
    <t>7/16/12 misd poss weapn def adj</t>
  </si>
  <si>
    <t xml:space="preserve">6/29/12 conv fel tamper w evidence 6mos state jail </t>
  </si>
  <si>
    <t>misd dwi conv 2/9/12 hcj 40 days</t>
  </si>
  <si>
    <t>POSS CS PG3&lt;28G DRUG FREE ZONE</t>
  </si>
  <si>
    <t>MAN/DEL CS PG III/IV OVER 400</t>
  </si>
  <si>
    <t xml:space="preserve">  10/4 12 FREP  bk  10/11/12 jail therapy</t>
  </si>
  <si>
    <t>6/1/12 fel theft conv hcj 6 mos</t>
  </si>
  <si>
    <t>ATT ASSAULT ON PUBLIC SERVANT</t>
  </si>
  <si>
    <t>ATT POSS PROH SUB CORRECT FACI</t>
  </si>
  <si>
    <t>MONEY LAUNDERING&gt;=20K&lt;100K</t>
  </si>
  <si>
    <t>conv misd drug 4/18/12  fel theft conv 6/28/12 8mos tdc</t>
  </si>
  <si>
    <t>RECKLESS INJURY TO CHILD</t>
  </si>
  <si>
    <t>misd assult filed 3/9/12 pend</t>
  </si>
  <si>
    <t>two misd conv 3/30/12 pend fwl aslt murder filed 6/22/12</t>
  </si>
  <si>
    <t>misd crim misch def adj 7/24/12</t>
  </si>
  <si>
    <t>misd conv 6/27/12 same week as fel sent</t>
  </si>
  <si>
    <t>ATT SEXUAL ASSAULT</t>
  </si>
  <si>
    <t>POSS MARIJ 50-2000 LBS.</t>
  </si>
  <si>
    <t>misd conv 5/16/12 weapon hcj 1 yr</t>
  </si>
  <si>
    <t>MONEY LAUNDERING&gt;=100K&lt;200K</t>
  </si>
  <si>
    <t>(EVAD ARREST/DETENTION W/PREV C)</t>
  </si>
  <si>
    <t>fel assault disp 4/20/12 sent 120 days hcj</t>
  </si>
  <si>
    <t>misd dwi dip 4/25/12 probation</t>
  </si>
  <si>
    <t>7/11/12 misd case disposed as fugitive</t>
  </si>
  <si>
    <t>8/28/12 conv fel drug hcj 6 mos</t>
  </si>
  <si>
    <t>def adj revoked 4/16/12 8 mos state jail</t>
  </si>
  <si>
    <t>fel filed 4/12/12 sent same date as study case</t>
  </si>
  <si>
    <t>MAN/DEL CS PG II &lt; 1 GRAMS</t>
  </si>
  <si>
    <t xml:space="preserve"> fel theft filed 7/24/12  def adj rev 7/25/12 1yr st j</t>
  </si>
  <si>
    <t xml:space="preserve">3/14/12 mis con  4/4/12 fel conv fel filed 5/17/12 pend </t>
  </si>
  <si>
    <t>fel drug conv 6/4/12  st j 6 mos</t>
  </si>
  <si>
    <t>misc dwi conv 2/16/12 hcj 30 day</t>
  </si>
  <si>
    <t>DEADLY COND-DISCH F-ARM HAB/BL</t>
  </si>
  <si>
    <t>CRIM MISCH (PLACE/F WORSHIP/BU</t>
  </si>
  <si>
    <t>two misd filed 4/4 and 6/29/12 pend</t>
  </si>
  <si>
    <t>INJ TO DISABLED - BOD INJ</t>
  </si>
  <si>
    <t>ATT FAIL TO COMPLY AS SEX OFFE</t>
  </si>
  <si>
    <t>def adj revoked  EVADE 7/27/12 tdc 2 yrs</t>
  </si>
  <si>
    <t>9/21/12 fel  evade stj 10 mos</t>
  </si>
  <si>
    <t>Law  vio 5/14/12   def adj revoked 5/16/12  sent 10 mos st j</t>
  </si>
  <si>
    <t>misd asslt conv 5/23/12  lv 4/20/12 revoked 6/13/12 sent tdc 3 yrs</t>
  </si>
  <si>
    <t>4/3/12 frep revoked 5/2/12 tdc 3 yrs</t>
  </si>
  <si>
    <t xml:space="preserve">cap muder filed 8/28/12 pend  and motion to rev def adj </t>
  </si>
  <si>
    <t>SELL/POSS UNLAB/RCRD&lt;65 RCRD</t>
  </si>
  <si>
    <t>three misd conv 6/8/12 one misd 6/29/12</t>
  </si>
  <si>
    <t>MAN/DEL CS PG III/IV 200-400 G</t>
  </si>
  <si>
    <t>TAMPER GOVT RECORD-HARM</t>
  </si>
  <si>
    <t>rev 8/15/12 VOIH 8/15/12 hcj 10 mos</t>
  </si>
  <si>
    <t>GRAFFITI MEDICAL EDUC FACIL. &lt;</t>
  </si>
  <si>
    <t>misd conv 5/2/12 crim trespass 4 d hcj</t>
  </si>
  <si>
    <t>ATT ESCAPE - ARR/CONF-FELONY</t>
  </si>
  <si>
    <t xml:space="preserve">fel 6/39/12 sent def adj </t>
  </si>
  <si>
    <t>other misd crim misch&gt;$500&lt;$1500</t>
  </si>
  <si>
    <t xml:space="preserve">fel assault murder conv 5/3/12 tdc 2yrs </t>
  </si>
  <si>
    <t>fel drug conv 6/11/12  st j 8 mos</t>
  </si>
  <si>
    <t>OBTAIN DRUGS BY FRAUD-SCH I-II</t>
  </si>
  <si>
    <t>FALSE STATEMENT TO OBTAIN CRED</t>
  </si>
  <si>
    <t>fel theft conv 6/15/12  st j 10mos</t>
  </si>
  <si>
    <t>ATT POSS PG 1 1-4 GRAMS</t>
  </si>
  <si>
    <t>fel drug conv 7/16/12 hcj 70 days</t>
  </si>
  <si>
    <t>misd conv 4/2/12  hcj 6 d</t>
  </si>
  <si>
    <t>ARSON</t>
  </si>
  <si>
    <t>THEFT F/ELDERLY 500 - 1,500</t>
  </si>
  <si>
    <t>def adj rev 4/19 12 auto theft 8m st jail misd evade 4/24/12 hcj 60 d</t>
  </si>
  <si>
    <t>misd trespass conv 9/4/12  hcj 20 days</t>
  </si>
  <si>
    <t>FREP 4/19/12 motion to rev def adj  dism</t>
  </si>
  <si>
    <t>MAN/DEL CS PG I 200-400 GRAMS</t>
  </si>
  <si>
    <t>revoked 10/1/12 stj 6 mos</t>
  </si>
  <si>
    <t>Misd resist arr conv 6/22/12 hcj 2 days</t>
  </si>
  <si>
    <t>fel theft conv 4/18/12  st j 8 mos same date as study case</t>
  </si>
  <si>
    <t>Def adj Theft 5/21/12</t>
  </si>
  <si>
    <t>ATT ASLT FAM/MEMBER 2ND OFFEND</t>
  </si>
  <si>
    <t>POSS PROH WPN</t>
  </si>
  <si>
    <t>fel drug filed 4/24/12 disp 7/2/12 def adj</t>
  </si>
  <si>
    <t>8/23/12 evade arrest def adj</t>
  </si>
  <si>
    <t>TAKE WEAPON FROM POLICE OFFICE</t>
  </si>
  <si>
    <t>MISD assalt 5/11/12  hcj 20 days</t>
  </si>
  <si>
    <t>POSS GP 3 CS- 400 G OR MORE</t>
  </si>
  <si>
    <t xml:space="preserve">fel burg cov 7/26/12  tdc 3y </t>
  </si>
  <si>
    <t xml:space="preserve"> 5/9/12 FREP rev 5/17/12  6mos stj</t>
  </si>
  <si>
    <t>3/22/12 ACI REV B 7/26/12 COP 30 days hcj</t>
  </si>
  <si>
    <t>5/1/12 drug def adj 6/11/12</t>
  </si>
  <si>
    <t xml:space="preserve">5/14/12 law v  admen 7/26/12cop </t>
  </si>
  <si>
    <t>bk 3/20/12  rev 4/9/12 stj 8 mos</t>
  </si>
  <si>
    <t>fel theft conv 5/4/12   stj 8mos</t>
  </si>
  <si>
    <t>bk 8/16/12  viol 9/6/12 cop amend</t>
  </si>
  <si>
    <t>prob rev  FREP 6/28/12 stj 9 mos</t>
  </si>
  <si>
    <t>9/13/12 misd DWI prob</t>
  </si>
  <si>
    <t xml:space="preserve">5/30/12  amended cop 3 day hcjviol?? </t>
  </si>
  <si>
    <t>OBTAIN DRUGS BY FORGE PRESCRIP</t>
  </si>
  <si>
    <t>law vio rev def adj 9/7/12 tdc 3yrs</t>
  </si>
  <si>
    <t>INJURY CHILD UNDER 15 YOA</t>
  </si>
  <si>
    <t>TDC</t>
  </si>
  <si>
    <t>TAMPERING WITH RECORD</t>
  </si>
  <si>
    <t xml:space="preserve">prob vio 9/7/12 cont mh crt </t>
  </si>
  <si>
    <t>fel drug 8/21/12 stj 7 mos</t>
  </si>
  <si>
    <t>misd marj conv 4/19/12  hcj 100 days</t>
  </si>
  <si>
    <t>law vio 9/14/12  motion to revoke pend</t>
  </si>
  <si>
    <t>misd conv 8/3/12 trespass 40 daya hcj</t>
  </si>
  <si>
    <t>OTHER MISD (ATT ENDANGERING A CHILD</t>
  </si>
  <si>
    <t>OTHERMISD</t>
  </si>
  <si>
    <t>misd assault 7/18/12  hcj 75 days</t>
  </si>
  <si>
    <t>UNLAW CARRY WPN-LIC PREMISE</t>
  </si>
  <si>
    <t>fel prostit 8/30/12 stj 6mos</t>
  </si>
  <si>
    <t>4/20/12 fel drug  stj 6mos</t>
  </si>
  <si>
    <t>SOLICIT CAPITAL MURDER</t>
  </si>
  <si>
    <t>fel theft 9/11/12 hcj 1 yr</t>
  </si>
  <si>
    <t>two misd theft 7/17/12 hcj 130 days</t>
  </si>
  <si>
    <t>prob rev  law viol  evade arrest 9/6/12  tdc 2 yrs</t>
  </si>
  <si>
    <t>INSURANCE FRAUD $1500-20,000</t>
  </si>
  <si>
    <t>misd drug 7/26/12 def adj</t>
  </si>
  <si>
    <t>MAN/DEL CS PG II OVER 400 GRAM</t>
  </si>
  <si>
    <t>KIDNAPPING</t>
  </si>
  <si>
    <t>ATT FAILURE TO STOP AND RENDER</t>
  </si>
  <si>
    <t>4/13/12  fel reg as sex offender 30 days hcj</t>
  </si>
  <si>
    <t xml:space="preserve"> 8/8/12 DWI prob</t>
  </si>
  <si>
    <t xml:space="preserve">FREP8/3/12  bk 8/24/12   motn adj guilt stj 5 mos </t>
  </si>
  <si>
    <t>ASSAULT-BOD INJ-</t>
  </si>
  <si>
    <t>LAWV 4/4/12 bk , new fel 6/25/12 90 hcj, misd 6/27/12</t>
  </si>
  <si>
    <t>DEADLY CONDUCT</t>
  </si>
  <si>
    <t>INTERFER W/POLICE SERVICE ANIM</t>
  </si>
  <si>
    <t>fel rob filed 3/14/12 pend</t>
  </si>
  <si>
    <t>VOIH 6/7/12 bk 6/13/12 amend cop</t>
  </si>
  <si>
    <t>6/20/12 viol amend cop</t>
  </si>
  <si>
    <t xml:space="preserve">misd trespass 4/11/12hcj 30 days </t>
  </si>
  <si>
    <t>TRADEMARK COUNTERFEITING&gt;=1500</t>
  </si>
  <si>
    <t>failed to report 8/16/12 motion pend</t>
  </si>
  <si>
    <t>theft&gt;=$500&lt;$1,500</t>
  </si>
  <si>
    <t>4/20/12 prob  FASP  rev 7/30/12 tdc 2 yrs</t>
  </si>
  <si>
    <t>misd evade arrest 4/25/12  three days hcj</t>
  </si>
  <si>
    <t>INJURY TO CHILD BY OMISSION</t>
  </si>
  <si>
    <t>THEFT (THEFT - $50-$500)</t>
  </si>
  <si>
    <t>misd assault filed 8/7/12 pend</t>
  </si>
  <si>
    <t>8/8/12 felony tamper 2yr tdc</t>
  </si>
  <si>
    <t>misd theft 7/20/12 def adj</t>
  </si>
  <si>
    <t xml:space="preserve">misd trespass7/26/12 hcj 15 days </t>
  </si>
  <si>
    <t>FRAUD/DEL PRESC NOT MEDICAL</t>
  </si>
  <si>
    <t>def ajd glt revoked fraud  6/15/12 stj 7 mos</t>
  </si>
  <si>
    <t>bf fugitive on misd tresp filed 4/12/12</t>
  </si>
  <si>
    <t>9/19/12 fel theft  129 days hcj</t>
  </si>
  <si>
    <t>FALSELY HOLDING ONESELF AS ATY</t>
  </si>
  <si>
    <t>2 misd burg veh evade  5/9/12  hcj 150 days</t>
  </si>
  <si>
    <t>mot to rev 6/11/12 dism bk 6/28  hcj 30 d cop</t>
  </si>
  <si>
    <t>misd theft 6/28/12 hcj 30 days</t>
  </si>
  <si>
    <t>9/5/12 filed bail jump tdc 2 yrs disp 9/13/12</t>
  </si>
  <si>
    <t>6/13/12 filed assault disp 8/30/12 samd disp</t>
  </si>
  <si>
    <t>PROH SUBSTANCE CORRECT FACILIT</t>
  </si>
  <si>
    <t>2 misd drug  conv 9/25/12 hcj 90 days</t>
  </si>
  <si>
    <t>5/11/12 fel drug hcj 7 mos 7/30/12 misd evad 100 d hcj</t>
  </si>
  <si>
    <t xml:space="preserve">6/14/12 misd thf 8/13/12 fel thf  6m stj </t>
  </si>
  <si>
    <t>misd thft 4/23/12 hcj 120 d</t>
  </si>
  <si>
    <t>misd assault 8/8/12 pend</t>
  </si>
  <si>
    <t xml:space="preserve">misd LAW V mot to rev 8/23/12  bk 8/24 cop amend </t>
  </si>
  <si>
    <t>5/21/12 fel burg stj 6mos</t>
  </si>
  <si>
    <t xml:space="preserve">7/30/12 att  fel deadly conduct 15 mos stj </t>
  </si>
  <si>
    <t xml:space="preserve">rev 9/14/12 hcj 60 days </t>
  </si>
  <si>
    <t>ATT POSS FIREARM</t>
  </si>
  <si>
    <t>ESCAPE-WHILE ARR/CONF-FELONY</t>
  </si>
  <si>
    <t>misd cs 8/22/12 hcj 3 days</t>
  </si>
  <si>
    <t>misd assault 5/16/12 def adj</t>
  </si>
  <si>
    <t xml:space="preserve">misd marij filed 9/28 12 pend </t>
  </si>
  <si>
    <t>LAWV misd drug rev 9/24/12 stj 6 mos</t>
  </si>
  <si>
    <t>6/19/12 fel theft 120 hcj</t>
  </si>
  <si>
    <t>7/30/12 misd assault 10 days hcj</t>
  </si>
  <si>
    <t xml:space="preserve">LAWV bk 6/20/12 rev 7/18/12 tdc 2yrs </t>
  </si>
  <si>
    <t>POSS GP 4 CS- 400 G OR MORE</t>
  </si>
  <si>
    <t>9/20/12 misd weapon hcj 10 days</t>
  </si>
  <si>
    <t>9/14/12 three fel pend no bond</t>
  </si>
  <si>
    <t>7/10/12 fel evade hcj 60 days</t>
  </si>
  <si>
    <t>4/4/12 misd resist arr search hcj 60 days</t>
  </si>
  <si>
    <t>LAWVrev 8/21/12 stj 7mos</t>
  </si>
  <si>
    <t>9/19/12 misd trespass 30 d hcj</t>
  </si>
  <si>
    <t>misd assault7/24/12 hcj 190 days</t>
  </si>
  <si>
    <t>fel P drug  9/19/12 stj 6mos</t>
  </si>
  <si>
    <t>fel evade filed 4/23/12 disp 4/24/12 stj 6mos</t>
  </si>
  <si>
    <t>6/6/12 burg and drug cases tdc 2yrs</t>
  </si>
  <si>
    <t>ILLEGAL DUMPING 1ST OFFENSE</t>
  </si>
  <si>
    <t>9/19/12 fel P drug 10 mos stj</t>
  </si>
  <si>
    <t>LAWV 8/7/12  amend cop  bk 8/8 rel 9/13 misd 9/14 HCJ</t>
  </si>
  <si>
    <t>8/24/12 fel prost 7mos stj</t>
  </si>
  <si>
    <t>ACI/OC bk 5/7/12 amend cop</t>
  </si>
  <si>
    <t>two 8/24/12 misd drug and evade 43 d hcj</t>
  </si>
  <si>
    <t>7/12/12  two misd drugs 15 days hcj</t>
  </si>
  <si>
    <t xml:space="preserve"> detainded auto theft filed 8/27/12 pend</t>
  </si>
  <si>
    <t xml:space="preserve"> def adj glt revoked 9/11/12  stj 6mos</t>
  </si>
  <si>
    <t>9/21/12 bk fel injury to child  pend</t>
  </si>
  <si>
    <t>INTOX MANSLAUGHTER W/VEH</t>
  </si>
  <si>
    <t>8/29/12 detained  sex abuse filed pend</t>
  </si>
  <si>
    <t>FALSE STATEMENT ON ALCOHOL LIC</t>
  </si>
  <si>
    <t>violation new charge</t>
  </si>
  <si>
    <t>VIOL. OF PROTECTIVE ORDER ENH.</t>
  </si>
  <si>
    <t xml:space="preserve"> 7/17/12FREP  revoke 9/28/12 stj 6mos</t>
  </si>
  <si>
    <t>FAIL TO STOP AND RENDER AID</t>
  </si>
  <si>
    <t>9/3/12 misd tresspas filed pend</t>
  </si>
  <si>
    <t xml:space="preserve">10/2/12 fugitive hold pend </t>
  </si>
  <si>
    <t>7/12/12  fel  tresspass habit 90 days hcj</t>
  </si>
  <si>
    <t>4/12/12 misd resist arr search hcj 45 day</t>
  </si>
  <si>
    <t>8/9/12 filed (POSS W/INT DEL CS PG1&gt;=4 &lt;200 )</t>
  </si>
  <si>
    <t>C87AI bk 7/9/12  amend cop</t>
  </si>
  <si>
    <t>6/25/12 misd prosti 15 d hcj</t>
  </si>
  <si>
    <t>CRIMINAL SOLICITATION OF A MIN</t>
  </si>
  <si>
    <t>8/9/12 8/24/12 FREP  misd evade 5/10/12  hcj 32d</t>
  </si>
  <si>
    <t>misc LAWV def adj revoked 9/28/12  stj7mos</t>
  </si>
  <si>
    <t>5/5/12 misd drug  hcj 30 d</t>
  </si>
  <si>
    <t>9/14/12 LAWV  amend cop</t>
  </si>
  <si>
    <t>6/20/12 two fel  auto and evad 2 yrs TDC</t>
  </si>
  <si>
    <t>POSS GP I CS- 400 G OR MORE</t>
  </si>
  <si>
    <t>ONLINE SOLICITATION OF MINOR</t>
  </si>
  <si>
    <t>7/16/12 misd dwi  hcj 45 d</t>
  </si>
  <si>
    <t xml:space="preserve">misd assault 6/21/12 hcj 144d </t>
  </si>
  <si>
    <t>7/25/12 def adj  Agg Rob</t>
  </si>
  <si>
    <t>9/24/12 fel CS PG filed pend jail status</t>
  </si>
  <si>
    <t>misd evade 6/20/12  hcj 60 d</t>
  </si>
  <si>
    <t xml:space="preserve">misd assault 4/20/12  hcj 30 d </t>
  </si>
  <si>
    <t>POSS CS PG3&gt;28G DRUG FREE ZONE</t>
  </si>
  <si>
    <t>7/4/12 fel robbery pend</t>
  </si>
  <si>
    <t>8/30/12 misd evade DADJ</t>
  </si>
  <si>
    <t>7/13/12 burg dadj on case filed 7/5/12</t>
  </si>
  <si>
    <t>5/9/12 cop 30 day hcj</t>
  </si>
  <si>
    <t>9/18/12 fel tampering d adj</t>
  </si>
  <si>
    <t>POSS MARIJ  2-4 OZ</t>
  </si>
  <si>
    <t>misd disp 9/19/12 hcj 20 d</t>
  </si>
  <si>
    <t>AGG SEX ASSLT CHILD 14-17</t>
  </si>
  <si>
    <t>pend fel filed 3/26/12</t>
  </si>
  <si>
    <t>LAWV 9/17/12  misd evade pend amend fel cop</t>
  </si>
  <si>
    <t>7/18/12 rev robbery pend detained</t>
  </si>
  <si>
    <t xml:space="preserve">7/19/12 DADJ disp burglary </t>
  </si>
  <si>
    <t>MISAPP/FIDUC/FINAN 20K-100K</t>
  </si>
  <si>
    <t>5/29/12  disp hcj 60 d tresspass oth felony</t>
  </si>
  <si>
    <t>9/21/12 fel fraud filed no arrest</t>
  </si>
  <si>
    <t>10/5/12 misd disp fail to ID to PO hcj 30 d</t>
  </si>
  <si>
    <t>4/20/12 misd assault disp hcj 8 d</t>
  </si>
  <si>
    <t>fel theft filed 8/16/12 disp 10/8/12   10 yrs tdc</t>
  </si>
  <si>
    <t>8/8/12 VOIH  on bond  motionadj g pend</t>
  </si>
  <si>
    <t>9/20/12 fel P CS  drug pend</t>
  </si>
  <si>
    <t>10/8/12 two misd  disp 20 d hcj</t>
  </si>
  <si>
    <t>10/1/12  misd resist arr 8 d hcj</t>
  </si>
  <si>
    <t>10/5/12 fel poss weapon 2yrs tdc</t>
  </si>
  <si>
    <t xml:space="preserve">7/16/12 fel theft same disp as study case filed 4/20/12 </t>
  </si>
  <si>
    <t>10/1/12  def adj on robbery</t>
  </si>
  <si>
    <t>convic on another charge filed 12/29/11  tdc 2 yrs</t>
  </si>
  <si>
    <t>8/14/12 misd fugitive hold</t>
  </si>
  <si>
    <t>ASSAULT - SECURITY OFFICER</t>
  </si>
  <si>
    <t>5/15/12 BK mot toadj g LAWV amend cop  hcj 2 d</t>
  </si>
  <si>
    <t>8/14/12 misd DWI prob</t>
  </si>
  <si>
    <t xml:space="preserve">  filed  5/23/12    disp   9/20/12 fel evade st j 6 mos</t>
  </si>
  <si>
    <t xml:space="preserve"> 3 misd one  6/27/12   two 10/16/12 HCJ days disp</t>
  </si>
  <si>
    <t>9/28/12 fel theft  tdc 5 yrs</t>
  </si>
  <si>
    <t>5/23/12 fel asslt TDC  5 yrs</t>
  </si>
  <si>
    <t>4/25/12 fel pend</t>
  </si>
  <si>
    <t>5/10/12  bk new trial disp 90 d hcj 5/14/12</t>
  </si>
  <si>
    <t>disp9/14/12 viol prot order filed 12/29/11 HCJ 144 d</t>
  </si>
  <si>
    <t>7/6/12 misd viol prot order hcj 100 d</t>
  </si>
  <si>
    <t xml:space="preserve">5/17/12 viol bk revoke  fel asault 10/11/12 st j 6mos  </t>
  </si>
  <si>
    <t>BARRATRY ENHANCED</t>
  </si>
  <si>
    <t>violation intox 8/6/12 amend cop</t>
  </si>
  <si>
    <t>fel  drugLAWV 7/11/12 revoke 7/30/12 stj 6mos</t>
  </si>
  <si>
    <t>LAWV 9/13/12  theft bk  open</t>
  </si>
  <si>
    <t>8/16/12 tressp 30 days hcj</t>
  </si>
  <si>
    <t xml:space="preserve">   misd DWI 7/3/12 30 d hcj</t>
  </si>
  <si>
    <t>LAWV  misd 7/13/12  amend cop 8/16/12 hcj 10 days</t>
  </si>
  <si>
    <t>8/3/12 fel crim misch Probation</t>
  </si>
  <si>
    <t>misd weapon 6/29/12  hcj 2 d fine</t>
  </si>
  <si>
    <t>U</t>
  </si>
  <si>
    <t xml:space="preserve">7/3/12 aslt murder filed disp 10/9/12  tdc 3yrs </t>
  </si>
  <si>
    <t>DWI WITH/CHILD UNDER 15 YOA</t>
  </si>
  <si>
    <t>misd assault 10/10/12 pend</t>
  </si>
  <si>
    <t>MHH</t>
  </si>
  <si>
    <t>5/1/12 8/20/12 misd asslt pend</t>
  </si>
  <si>
    <t>IMPROPER/PHOTOG/VISUAL RECORDI</t>
  </si>
  <si>
    <t>INT/KNOW UNAUTH DISCHARGE OF W</t>
  </si>
  <si>
    <t>NOTES</t>
  </si>
  <si>
    <t>HCJ DATE BOOKED</t>
  </si>
  <si>
    <t>BOND $</t>
  </si>
  <si>
    <t>JUDGEMENT</t>
  </si>
  <si>
    <t>BAIL TYPE</t>
  </si>
  <si>
    <t xml:space="preserve">Notes 2 </t>
  </si>
  <si>
    <t>DAYS QC</t>
  </si>
  <si>
    <t>CONV BY JURY VERDICT</t>
  </si>
  <si>
    <t>NOT GUILTY BY JURY VERDICT</t>
  </si>
  <si>
    <t xml:space="preserve">INCOMPETENT FOR TRIAL </t>
  </si>
  <si>
    <t>TDC YRS</t>
  </si>
  <si>
    <t>Case Life (File vs. Disp)</t>
  </si>
  <si>
    <t>AQUITTAL</t>
  </si>
  <si>
    <t>F HCJ MO</t>
  </si>
  <si>
    <t>Stj Mo</t>
  </si>
  <si>
    <t>TDC Yrs</t>
  </si>
  <si>
    <t>Hcj Days</t>
  </si>
  <si>
    <t>Ref</t>
  </si>
  <si>
    <t>5/22/12 MISD TRESS 10D HCJ  7/13/12 FEL THEFT STJ 8 M</t>
  </si>
  <si>
    <t>FINE</t>
  </si>
  <si>
    <t xml:space="preserve">EVADING ARREST/DETENTION W/VEH </t>
  </si>
  <si>
    <t>NOT BOOKED</t>
  </si>
  <si>
    <t>CASE AGE</t>
  </si>
  <si>
    <t>NO BOND</t>
  </si>
  <si>
    <t>MADE Y / N</t>
  </si>
  <si>
    <t>N</t>
  </si>
  <si>
    <t>BOND CAT</t>
  </si>
  <si>
    <t>2000 or less</t>
  </si>
  <si>
    <t>2001-5000</t>
  </si>
  <si>
    <t>5001-10000</t>
  </si>
  <si>
    <t>10001-20000</t>
  </si>
  <si>
    <t>&gt; 20000</t>
  </si>
  <si>
    <t>Booked vs. Disposition</t>
  </si>
  <si>
    <t>DETAINED</t>
  </si>
  <si>
    <t>ON BOND</t>
  </si>
  <si>
    <t>Row Labels</t>
  </si>
  <si>
    <t xml:space="preserve">RACE </t>
  </si>
  <si>
    <t>% DID NOT MAKE BAIL</t>
  </si>
  <si>
    <t>%  DID MAKE BAIL</t>
  </si>
  <si>
    <t>TOTAL %</t>
  </si>
  <si>
    <t>RACE</t>
  </si>
  <si>
    <t xml:space="preserve">Total </t>
  </si>
  <si>
    <t>CASH</t>
  </si>
  <si>
    <t>CASHPTRc</t>
  </si>
  <si>
    <t>SURETYPTRc</t>
  </si>
  <si>
    <t>BOND TYPE</t>
  </si>
  <si>
    <t>%</t>
  </si>
  <si>
    <t>STILL OPEN</t>
  </si>
  <si>
    <t xml:space="preserve">DEFERRED ADJUDICATION </t>
  </si>
  <si>
    <t>revoked 10/4/12 fasp stj 6 mos</t>
  </si>
  <si>
    <t>f prost  7/31/12 hcj 180 days</t>
  </si>
  <si>
    <t>7/16/12 poss marj hcj 2 days</t>
  </si>
  <si>
    <t>SURETY fugitive</t>
  </si>
  <si>
    <t>fel evade 1/9/13 stj  9 mos</t>
  </si>
  <si>
    <t>NA fugitive</t>
  </si>
  <si>
    <t>FRAUD  filed 5/3/12 disp 5/22/12 same as study case</t>
  </si>
  <si>
    <t>2/17/12 misd PROST hcj 30 days</t>
  </si>
  <si>
    <t>7/31/12 fel  assault hcj 1yr</t>
  </si>
  <si>
    <t>11/15/12 f theft hcj</t>
  </si>
  <si>
    <t>5/23/12  feltheft  P revoked stj 10 mos</t>
  </si>
  <si>
    <t>fel theft  filed 3/11/12 disp 6/5/12  filed same disp stj</t>
  </si>
  <si>
    <t>misd assault pend</t>
  </si>
  <si>
    <t>fel theft 5/24/12 hcj 180 days</t>
  </si>
  <si>
    <t xml:space="preserve">LAWV  misd drug 11/14/12 hcj 30 days </t>
  </si>
  <si>
    <t>SURETYPTRc  fugitive</t>
  </si>
  <si>
    <t>12/11/12 fel theft tdc 10 yrs</t>
  </si>
  <si>
    <t>fel evade 1/22/13 st j 6 mos</t>
  </si>
  <si>
    <t xml:space="preserve">proba revoked fel del drug 1/19/13 tdc 8 yrs </t>
  </si>
  <si>
    <t>misd drug  9/14/12 hcj 8 d</t>
  </si>
  <si>
    <t>detained on pend 2010 murder charge</t>
  </si>
  <si>
    <t>misd 12/11/12 dwi  hcj 60 d</t>
  </si>
  <si>
    <t>conv fel burg 4/20/12 tdc 5 y</t>
  </si>
  <si>
    <t>booked 8/21/12 ACI/R/DFAG  motion pend dism</t>
  </si>
  <si>
    <t>LV 6/12/12 book 6/19/12  motion to adj g dism</t>
  </si>
  <si>
    <t>MISD DRUG 2/14/13 HCJ 2 DAY $400 FINE</t>
  </si>
  <si>
    <t>fel injury child pend</t>
  </si>
  <si>
    <t>detained 4/8/12  4/13/12 4/16/12 robbery murder four fel pend</t>
  </si>
  <si>
    <t>def adj revoked  11/12/12 tdc 2 yrs</t>
  </si>
  <si>
    <t>sent same date for 2 fel filed 1/18/13</t>
  </si>
  <si>
    <t xml:space="preserve"> bk 3/9/12 law vio stj 7 mos 11/13/12</t>
  </si>
  <si>
    <t xml:space="preserve">law  vio 3/23/12 revoke  stj 8 mos </t>
  </si>
  <si>
    <t xml:space="preserve"> misd9/10/12 interf w pub serv hcj 1 d</t>
  </si>
  <si>
    <t>fel assalt fam mem 9/25/12  hcj 120 d</t>
  </si>
  <si>
    <t>misd fail to id 9/11/12 hcj 30 dFREP  8/24/12  mo to revoke dism</t>
  </si>
  <si>
    <t>fel fraud 11/28/12 stj 8 mos</t>
  </si>
  <si>
    <t>misd resist arrest filed 9/7/12</t>
  </si>
  <si>
    <t>fel theft  filed 7/27/12 disp 8/31/12 stj 8 m</t>
  </si>
  <si>
    <t>misd drug 2/5/13 hcj 3 d</t>
  </si>
  <si>
    <t xml:space="preserve">drug fel conv  6/4/12  6mos stj </t>
  </si>
  <si>
    <t>fel drug filed 12/13/12 pend</t>
  </si>
  <si>
    <t xml:space="preserve">revoked def adj 12/12/12 stj 15 mos </t>
  </si>
  <si>
    <t>misd resist arrest dadj 10/5/12</t>
  </si>
  <si>
    <t>misd drug 10/17/12 dadj</t>
  </si>
  <si>
    <t>misd theft 2/5/13 hcj 4 d</t>
  </si>
  <si>
    <t>misc assault 10/4/12 hcj 1 d fine</t>
  </si>
  <si>
    <t>LAWV bk 9/13/12  9/12/12 rev 3 yrs tdc</t>
  </si>
  <si>
    <t>misd drug  2/5/13 hcj 82 d</t>
  </si>
  <si>
    <t>fel theft 10/4/12 hcj 4 d</t>
  </si>
  <si>
    <t>rev prob 10/19/12 rob case tdc 10 yrs</t>
  </si>
  <si>
    <t xml:space="preserve"> misd dwi misd theft revoked prob stj 7 mos 9/25/12</t>
  </si>
  <si>
    <t>disp 10/15/12 fel aslt filed 8/10/12 tdc disp same as study disp date case</t>
  </si>
  <si>
    <t xml:space="preserve"> misd failt to stop 2/1/13  hcj 20 d</t>
  </si>
  <si>
    <t>7/17/12 rev DFAG motion pend dism</t>
  </si>
  <si>
    <t xml:space="preserve">fel pend crim misch 11/7/12 hcj 120 d </t>
  </si>
  <si>
    <t xml:space="preserve"> misd drug filed 7/8/12  disp 10/22 /12 hcj 6 mos</t>
  </si>
  <si>
    <t>detained on  5/10/12 fel robbery pend</t>
  </si>
  <si>
    <t>detained 9/25/12 aslt murder filed pend</t>
  </si>
  <si>
    <t>burg 10/24/12 hcj 1 yr</t>
  </si>
  <si>
    <t xml:space="preserve">misd drug 1/3/13 def adj </t>
  </si>
  <si>
    <t>rev 8/1/12 LAWV detained pend tdc 3 yrs 11/19/12</t>
  </si>
  <si>
    <t xml:space="preserve">def adj revoked 10/11/12 hcj 9 mos FREP 9/11/12  </t>
  </si>
  <si>
    <t>misd drug fel aslt 12/20/12 hcj 30 d</t>
  </si>
  <si>
    <t>fel aslt murd 10/9/12 stj 18 mos</t>
  </si>
  <si>
    <t>Misd DWI 12/21/12 prob</t>
  </si>
  <si>
    <t>mrp voih 1/7/13   bk 1/15/13</t>
  </si>
  <si>
    <t>11/12/12 def adj revoked 7mos stj</t>
  </si>
  <si>
    <t>misd drug  hcj 2 d 1/23/13         fel pend</t>
  </si>
  <si>
    <t>misd pend res arrest filed 11/29/12</t>
  </si>
  <si>
    <t>GUILTY  JURY verdict</t>
  </si>
  <si>
    <t xml:space="preserve">fel theft 11/7/12 tdc 3 yrs jury </t>
  </si>
  <si>
    <t>misd vio order 60 days hcj 12/14/12</t>
  </si>
  <si>
    <t>2 mosd pend</t>
  </si>
  <si>
    <t>fel  drug filed 1/18/13 pend</t>
  </si>
  <si>
    <t>violation? revoked adj glt 10/31/12 stj 1 yr</t>
  </si>
  <si>
    <t>nolo contendre</t>
  </si>
  <si>
    <t>nolo contendre no jury</t>
  </si>
  <si>
    <t xml:space="preserve">DAYS DETAINED </t>
  </si>
  <si>
    <t>ASIAN</t>
  </si>
  <si>
    <t>Defendants Age</t>
  </si>
  <si>
    <t>fel theft 1/11/13  sent 3/13/13 60 d hcj</t>
  </si>
  <si>
    <t xml:space="preserve">fel eng in crim act stj 8 mos 3/13/13 </t>
  </si>
  <si>
    <t>bf 8/28/12</t>
  </si>
  <si>
    <t xml:space="preserve"> rev 4/9/12  </t>
  </si>
  <si>
    <t xml:space="preserve"> REV 2/21/12REIN</t>
  </si>
  <si>
    <t xml:space="preserve"> REV 1/5/12</t>
  </si>
  <si>
    <t>BF 2/1/2012</t>
  </si>
  <si>
    <t>BF 10/9/12</t>
  </si>
  <si>
    <t>BF2/14/2012</t>
  </si>
  <si>
    <t>BF 4/2/12</t>
  </si>
  <si>
    <t>BF5/24/2012</t>
  </si>
  <si>
    <t xml:space="preserve"> revoked 7/17/12</t>
  </si>
  <si>
    <t>BF4/10/2012</t>
  </si>
  <si>
    <t>BF3/30/2012</t>
  </si>
  <si>
    <t xml:space="preserve">rev5/1/12  </t>
  </si>
  <si>
    <t xml:space="preserve">REV5/22/12  </t>
  </si>
  <si>
    <t>bf 4/3/2012</t>
  </si>
  <si>
    <t>BF6/8/2012</t>
  </si>
  <si>
    <t>bd sur 2/27/12</t>
  </si>
  <si>
    <t>REV 5/4/2012</t>
  </si>
  <si>
    <t xml:space="preserve">rev 4/19/12  </t>
  </si>
  <si>
    <t>surety RV 6/21/12</t>
  </si>
  <si>
    <t>rev 4/18/12</t>
  </si>
  <si>
    <t>bf 9/12/12</t>
  </si>
  <si>
    <t xml:space="preserve">revoked4/18/12 </t>
  </si>
  <si>
    <t xml:space="preserve"> 5/7/12</t>
  </si>
  <si>
    <t xml:space="preserve"> 7/12/12  </t>
  </si>
  <si>
    <t xml:space="preserve">rev 7/3/12 </t>
  </si>
  <si>
    <t>rev 8/2/12</t>
  </si>
  <si>
    <t>bf 4/9/12</t>
  </si>
  <si>
    <t xml:space="preserve">rev 3/19/12 </t>
  </si>
  <si>
    <t xml:space="preserve"> rev 3/13/12 </t>
  </si>
  <si>
    <t xml:space="preserve">bf 3/7/12 </t>
  </si>
  <si>
    <t>bf 4/12/2012</t>
  </si>
  <si>
    <t>BF8/9/2012</t>
  </si>
  <si>
    <t>BF6/20/2012</t>
  </si>
  <si>
    <t>BF8/8/2012</t>
  </si>
  <si>
    <t xml:space="preserve"> 4/24/2012 </t>
  </si>
  <si>
    <t xml:space="preserve">REV 7/16/12 </t>
  </si>
  <si>
    <t>REV 2/20/2012</t>
  </si>
  <si>
    <t xml:space="preserve"> rev 5/21/12  </t>
  </si>
  <si>
    <t>revoked 7/5/12</t>
  </si>
  <si>
    <t xml:space="preserve">ptr rev  3/14/12  </t>
  </si>
  <si>
    <t xml:space="preserve">rev 8/21/12 </t>
  </si>
  <si>
    <t>BF 4/18/2012</t>
  </si>
  <si>
    <t>revoked 2/29/12</t>
  </si>
  <si>
    <t>BF 4/4/12</t>
  </si>
  <si>
    <t xml:space="preserve"> bf 3/8/2012</t>
  </si>
  <si>
    <t xml:space="preserve">rev 4/12/12 </t>
  </si>
  <si>
    <t xml:space="preserve"> rev 5/30/12   </t>
  </si>
  <si>
    <t xml:space="preserve">rev 5/23/12 </t>
  </si>
  <si>
    <t xml:space="preserve">bd rev 6/28/12 </t>
  </si>
  <si>
    <t>bf  3/2/12</t>
  </si>
  <si>
    <t xml:space="preserve"> bf 8/21/12 </t>
  </si>
  <si>
    <t>REV BD 4/10/12</t>
  </si>
  <si>
    <t xml:space="preserve">   REV 3/5/12 </t>
  </si>
  <si>
    <t xml:space="preserve"> BF4/12/12 </t>
  </si>
  <si>
    <t>BF 4/23/2012</t>
  </si>
  <si>
    <t>rev 4/10/12</t>
  </si>
  <si>
    <t xml:space="preserve"> BF7/26/12</t>
  </si>
  <si>
    <t>rev 5/25/12</t>
  </si>
  <si>
    <t>rev 4/30/12</t>
  </si>
  <si>
    <t>BF4/2/2012</t>
  </si>
  <si>
    <t xml:space="preserve"> bf 3/20/12</t>
  </si>
  <si>
    <t>bd rev 3/26/12</t>
  </si>
  <si>
    <t xml:space="preserve">bf 5/23/12 </t>
  </si>
  <si>
    <t>bd rev 6/26/12</t>
  </si>
  <si>
    <t xml:space="preserve"> rev 4/30/12 </t>
  </si>
  <si>
    <t xml:space="preserve"> REV 9/13/12</t>
  </si>
  <si>
    <t xml:space="preserve">rev 7/20 </t>
  </si>
  <si>
    <t>rev 4/16/12</t>
  </si>
  <si>
    <t>rev 3/27/12</t>
  </si>
  <si>
    <t>rev8/30/12</t>
  </si>
  <si>
    <t>bf 4/17/2012</t>
  </si>
  <si>
    <t>bf 9/13/12</t>
  </si>
  <si>
    <t>rev 6/5/12</t>
  </si>
  <si>
    <t xml:space="preserve">SSR 7/13/12 </t>
  </si>
  <si>
    <t>rev 8/7/12</t>
  </si>
  <si>
    <t>rev 4/11/12</t>
  </si>
  <si>
    <t>rev 5/18/12</t>
  </si>
  <si>
    <t>revoke 4/16/12</t>
  </si>
  <si>
    <t xml:space="preserve">REV 5/30/12 </t>
  </si>
  <si>
    <t>BF 5/3/12</t>
  </si>
  <si>
    <t xml:space="preserve"> bf  5/14/12</t>
  </si>
  <si>
    <t>rev 7/18/12</t>
  </si>
  <si>
    <t>bf   4/18/2012</t>
  </si>
  <si>
    <t>bd revoke 6/29/12</t>
  </si>
  <si>
    <t>rev 6/19/12</t>
  </si>
  <si>
    <t>bd SSR 6/28/12</t>
  </si>
  <si>
    <t>bd rev 4/19/12</t>
  </si>
  <si>
    <t>bf 8/31/12</t>
  </si>
  <si>
    <t>rev 9/5/12</t>
  </si>
  <si>
    <t>bf 6/26/2012</t>
  </si>
  <si>
    <t>bd rev 5/25/12</t>
  </si>
  <si>
    <t>bd rev 5/30/12</t>
  </si>
  <si>
    <t>bd rev 5/23/12</t>
  </si>
  <si>
    <t>BF 6/8/2012</t>
  </si>
  <si>
    <t>bf 5/31/12</t>
  </si>
  <si>
    <t xml:space="preserve"> bf 4/23/12</t>
  </si>
  <si>
    <t>bd rev 8/9/12</t>
  </si>
  <si>
    <t>bd SSR 4/30/12</t>
  </si>
  <si>
    <t>bf 6/15/12</t>
  </si>
  <si>
    <t>SSR bk 7/8/12</t>
  </si>
  <si>
    <t>bf 7/19/12</t>
  </si>
  <si>
    <t>bf 7/24/12</t>
  </si>
  <si>
    <t xml:space="preserve">bf 6/4/12 </t>
  </si>
  <si>
    <t>bd rev 8/30/12</t>
  </si>
  <si>
    <t>bf 7/17/12</t>
  </si>
  <si>
    <t xml:space="preserve">bd rev 5/14/12  </t>
  </si>
  <si>
    <t>bf 6/19/12</t>
  </si>
  <si>
    <t>rev 10/3/12</t>
  </si>
  <si>
    <t>bf 5/11/12</t>
  </si>
  <si>
    <t>bf7/5/12</t>
  </si>
  <si>
    <t>bf 10/2/12</t>
  </si>
  <si>
    <t xml:space="preserve"> rev 7/19/12</t>
  </si>
  <si>
    <t>bf 9/21/12</t>
  </si>
  <si>
    <t>bf 8/29/12</t>
  </si>
  <si>
    <t>rev 7/10/12</t>
  </si>
  <si>
    <t xml:space="preserve"> revoke 7/31/12</t>
  </si>
  <si>
    <t>revoked 7/30/12</t>
  </si>
  <si>
    <t xml:space="preserve">revoked 7/9/12 </t>
  </si>
  <si>
    <t>bf 6/13/12</t>
  </si>
  <si>
    <t>bd revoked 61/12</t>
  </si>
  <si>
    <t>bf 4/30/12</t>
  </si>
  <si>
    <t>bd rev 6/19/12</t>
  </si>
  <si>
    <t xml:space="preserve">bf 6/28/ 10/2 </t>
  </si>
  <si>
    <t>REV BK 9/16/12</t>
  </si>
  <si>
    <t>bd rev5/22/12</t>
  </si>
  <si>
    <t xml:space="preserve">rev 7/9/12  </t>
  </si>
  <si>
    <t xml:space="preserve">bf 6/5/12 </t>
  </si>
  <si>
    <t>bf 8/7/12</t>
  </si>
  <si>
    <t>bf 10/18/12</t>
  </si>
  <si>
    <t>bd surr7/12/12</t>
  </si>
  <si>
    <t>BF 2/25/13</t>
  </si>
  <si>
    <t>rev 10/9/12</t>
  </si>
  <si>
    <t>srr 3/13/12</t>
  </si>
  <si>
    <t>srr 1/30/12</t>
  </si>
  <si>
    <t>rev 5/15/12 tdc 6mos</t>
  </si>
  <si>
    <t>fel rev 7/6/12 C87AI  jail</t>
  </si>
  <si>
    <t>bk 9/29/12</t>
  </si>
  <si>
    <t>srr 2/9/12</t>
  </si>
  <si>
    <t>revoked 8/16/12 viol rpt</t>
  </si>
  <si>
    <t>bk 4/18/12</t>
  </si>
  <si>
    <t>bf 6/20/12bk 6/21/12 bail denied</t>
  </si>
  <si>
    <t xml:space="preserve">BF 8/8/12 violation 8/7/12  bk 8/24/12 </t>
  </si>
  <si>
    <t>bf 2/23/12 bk 3/1/12 dism 3/9/12</t>
  </si>
  <si>
    <t>bk 5/2/12</t>
  </si>
  <si>
    <t>book 11/4/12</t>
  </si>
  <si>
    <t xml:space="preserve">  rev 3/27/12 </t>
  </si>
  <si>
    <t xml:space="preserve"> booked 6/24/12</t>
  </si>
  <si>
    <t>MOTION rev 6/28/12</t>
  </si>
  <si>
    <t xml:space="preserve"> bk 3/9/12 law vio 5/10/12  bk 5/11/12 pend rev motion</t>
  </si>
  <si>
    <t>viol rep 3/8/12 cont sup</t>
  </si>
  <si>
    <t xml:space="preserve"> c87ai 3/13/12 </t>
  </si>
  <si>
    <t>rev motion pend</t>
  </si>
  <si>
    <t>bf 4/13/12   3/12/12 revoke 8/8/12</t>
  </si>
  <si>
    <t xml:space="preserve">bd viol 4/16/12 </t>
  </si>
  <si>
    <t>bk 5/4/12 mot to rev but cont montly prob conf w ct</t>
  </si>
  <si>
    <t>bd violation 5/17/12 bk 5/23/12  6/19/12</t>
  </si>
  <si>
    <t>bd vio 3/16/12 no action</t>
  </si>
  <si>
    <t>bk 7/2/12</t>
  </si>
  <si>
    <t>rev 10/5/12</t>
  </si>
  <si>
    <t xml:space="preserve"> 6/29/12  C87AI  </t>
  </si>
  <si>
    <t xml:space="preserve"> BK 3/12/12      ?? 2/29/2012</t>
  </si>
  <si>
    <t>9/4/12 revOKE  REINSTATED 9/13/12</t>
  </si>
  <si>
    <t>rev 10/31/12</t>
  </si>
  <si>
    <t>rev 4/2/12  BK 5/23/12</t>
  </si>
  <si>
    <t>BK 4/20/12</t>
  </si>
  <si>
    <t>bk 9/19/12</t>
  </si>
  <si>
    <t>BK 9/5/12</t>
  </si>
  <si>
    <t>4/16/12 bd viol drug urine</t>
  </si>
  <si>
    <t>bd viol 6/13/12 bk 6/20</t>
  </si>
  <si>
    <t>REV 11/1/12</t>
  </si>
  <si>
    <t>bd viol   5/23/12 no act</t>
  </si>
  <si>
    <t>REV 3/26/12    bk 3/27/12</t>
  </si>
  <si>
    <t>BK 6/9/12</t>
  </si>
  <si>
    <t>bond raised made</t>
  </si>
  <si>
    <t>bd viol report 6/25/12</t>
  </si>
  <si>
    <t>bd viol report5/4/12</t>
  </si>
  <si>
    <t>bd rev 9/10/12</t>
  </si>
  <si>
    <t>BK 6/15/12</t>
  </si>
  <si>
    <t xml:space="preserve">bd viol report 4/18/12 </t>
  </si>
  <si>
    <t>BF ON COMPANION CASES</t>
  </si>
  <si>
    <t>bk 10/17/12   0 bond</t>
  </si>
  <si>
    <t>bk 5/16/12 revoke</t>
  </si>
  <si>
    <t>revoked 7/31/12</t>
  </si>
  <si>
    <t>bd revok 5/23/12</t>
  </si>
  <si>
    <t>bd surren 5/15/12</t>
  </si>
  <si>
    <t>rev 7/24/12</t>
  </si>
  <si>
    <t>02/12/2013</t>
  </si>
  <si>
    <t>7/10/12 BD SURR</t>
  </si>
  <si>
    <t>C87AI BD REVOKED BK 4/30/12</t>
  </si>
  <si>
    <t>bf 7/13/12</t>
  </si>
  <si>
    <t xml:space="preserve">BD REINST - bf 5/11/12 </t>
  </si>
  <si>
    <t xml:space="preserve"> 4/3/2012</t>
  </si>
  <si>
    <t xml:space="preserve"> 9/14/12</t>
  </si>
  <si>
    <t xml:space="preserve">  8/21/12 </t>
  </si>
  <si>
    <t xml:space="preserve"> 9/5/12</t>
  </si>
  <si>
    <t xml:space="preserve"> 4/17/2012</t>
  </si>
  <si>
    <t xml:space="preserve"> 7/19/12</t>
  </si>
  <si>
    <t>race/ethnicity(JIMS QCAS)</t>
  </si>
  <si>
    <t>Race/Ethnicity</t>
  </si>
  <si>
    <t>BLACK</t>
  </si>
  <si>
    <t>OTHER</t>
  </si>
  <si>
    <t>WHITE</t>
  </si>
  <si>
    <t>SAMPLE SIZE</t>
  </si>
  <si>
    <t>% DISTRIBUTION</t>
  </si>
  <si>
    <t>TABLE 1:   STUDY POPULATION BY RACE</t>
  </si>
  <si>
    <t xml:space="preserve">TABLE 2:   TOTAL POPULATION - BAIL SPLIT  - QTY OF TOTAL </t>
  </si>
  <si>
    <t xml:space="preserve">TABLE 2A:   TOTAL POPULATION - BAIL SPLIT-  % OF TOTAL </t>
  </si>
  <si>
    <t>ALL</t>
  </si>
  <si>
    <t>ALL BONDS</t>
  </si>
  <si>
    <t>TOTAL - QTY</t>
  </si>
  <si>
    <t>ALL BONDS - %</t>
  </si>
  <si>
    <t xml:space="preserve">ALL BONDS </t>
  </si>
  <si>
    <t>2000 or LESS</t>
  </si>
  <si>
    <t>&gt;20000</t>
  </si>
  <si>
    <t>TABLE 3A</t>
  </si>
  <si>
    <t>TABLE 3B</t>
  </si>
  <si>
    <t>TABLE 3C</t>
  </si>
  <si>
    <t>TABLE 3D</t>
  </si>
  <si>
    <t>TABLE 3E</t>
  </si>
  <si>
    <t>TABLE 3F</t>
  </si>
  <si>
    <t>TABLE 3G</t>
  </si>
  <si>
    <t>TABLE 3H</t>
  </si>
  <si>
    <t>TABLE 3I</t>
  </si>
  <si>
    <t>TABLE 3J</t>
  </si>
  <si>
    <t>TABLE 3K</t>
  </si>
  <si>
    <t>TABLE 3L</t>
  </si>
  <si>
    <t>TABLE 3M</t>
  </si>
  <si>
    <t>TABLE 3N</t>
  </si>
  <si>
    <t>TABLE 3O</t>
  </si>
  <si>
    <t>TABLE 3P</t>
  </si>
  <si>
    <t>TABLE 3Q</t>
  </si>
  <si>
    <t>TABLE 3R</t>
  </si>
  <si>
    <t>TABLE 3S</t>
  </si>
  <si>
    <t>TABLE 3T</t>
  </si>
  <si>
    <t>TABLE 3U</t>
  </si>
  <si>
    <t>TABLE 3V</t>
  </si>
  <si>
    <t>TABLE 3W</t>
  </si>
  <si>
    <t>TABLE 3X</t>
  </si>
  <si>
    <t>TABLE 3Y</t>
  </si>
  <si>
    <t>TABLE 3Z</t>
  </si>
  <si>
    <t>TABLE 3AA</t>
  </si>
  <si>
    <t>TABLE 3BB</t>
  </si>
  <si>
    <t>BOND</t>
  </si>
  <si>
    <t>Total</t>
  </si>
  <si>
    <t>NONE</t>
  </si>
  <si>
    <t>COUNT</t>
  </si>
  <si>
    <t>Table 4:   DISTRIBUTION BY BOND TYPES</t>
  </si>
  <si>
    <t xml:space="preserve">FINANCIAL </t>
  </si>
  <si>
    <t>TOTAL RACE</t>
  </si>
  <si>
    <t>AVERAGE DAYS</t>
  </si>
  <si>
    <t>Table 5:   DISTRIBUTION - DAYS DETAINED BY RACE/ETH</t>
  </si>
  <si>
    <t>Table 6:   DISTRIBUTION - CASE AGE BY RACE/ETH</t>
  </si>
  <si>
    <t>Table 5A:   DISTRIBUTION - DAYS DETAINED BY RACE/ETH - MADE BAIL</t>
  </si>
  <si>
    <t>Table 5B:   DISTRIBUTION - DAYS DETAINED BY RACE/ETH - DID NOT MAKE BAIL</t>
  </si>
  <si>
    <t>Table 6A:   DISTRIBUTION - CASE AGE BY RACE/ETH- MADE BAIL</t>
  </si>
  <si>
    <t>Table 6B:   DISTRIBUTION - CASE AGE BY RACE/ETH- DID NOT MAKE BAIL</t>
  </si>
  <si>
    <t>F - OTHER</t>
  </si>
  <si>
    <t>DESCRIPTION</t>
  </si>
  <si>
    <t>Table 7:   FELONY DISTRUBTION  - TOTAL POPULATION</t>
  </si>
  <si>
    <t xml:space="preserve">MADE BAIL </t>
  </si>
  <si>
    <t xml:space="preserve">DID NOT MAKE BAIL </t>
  </si>
  <si>
    <t>% NO BAIL BY RACE</t>
  </si>
  <si>
    <t>MADE BAIL (Y)</t>
  </si>
  <si>
    <t>DID NOT MAKE BAIL (N)</t>
  </si>
  <si>
    <t>% NO BAIL (N)</t>
  </si>
  <si>
    <t>DETENTION TOT</t>
  </si>
  <si>
    <t>Offense: Drug Possession</t>
  </si>
  <si>
    <t xml:space="preserve">Table 8b:   FELONY DETENTION DISTRIBUTION - DISPOSED CASES - 0 FELONY PRIORS  - BY RACE </t>
  </si>
  <si>
    <t>Offense: ALL</t>
  </si>
  <si>
    <t xml:space="preserve">Table 8a:   FELONY DETENTION DISTRIBUTION - DISPOSED CASES - 0 FELONY PRIORS  - BY RACE </t>
  </si>
  <si>
    <t xml:space="preserve"> '02/12/2013</t>
  </si>
  <si>
    <t xml:space="preserve">booked 1/17/13 fel weap del cs </t>
  </si>
  <si>
    <t>booked set 75k 11/12/12 on misd case recal detent days  pend fel study case</t>
  </si>
  <si>
    <t xml:space="preserve"> bd rev 11/12/12</t>
  </si>
  <si>
    <t>bd rev 3/27/12</t>
  </si>
  <si>
    <t>booked 3/27/12  weapon recal detained days at disp</t>
  </si>
  <si>
    <t>bd rev 8/29/12</t>
  </si>
  <si>
    <r>
      <t>8/27/12 fel fire arm filed</t>
    </r>
    <r>
      <rPr>
        <b/>
        <sz val="11"/>
        <color theme="1"/>
        <rFont val="Calibri"/>
        <family val="2"/>
        <scheme val="minor"/>
      </rPr>
      <t xml:space="preserve"> booked 8/29/12 recal detained days</t>
    </r>
  </si>
  <si>
    <t>sentence??</t>
  </si>
  <si>
    <t>bd srr 1/22/13 rearrested bk 12/3/12</t>
  </si>
  <si>
    <t>rearrest charged injury to child  booked 3/27/13 pend</t>
  </si>
  <si>
    <t>inj child 3/27/13 pend</t>
  </si>
  <si>
    <t>sex asslt 6/4/12 pend</t>
  </si>
  <si>
    <t>bf 3/28/13</t>
  </si>
  <si>
    <t xml:space="preserve">bk 3/28/13 </t>
  </si>
  <si>
    <t xml:space="preserve">bk bd ssr6/12//12 remade 7/7/12 recal jail days </t>
  </si>
  <si>
    <t>bk 8/11/12  SSR 8/16/12</t>
  </si>
  <si>
    <t>rev 10/18/12</t>
  </si>
  <si>
    <t>bk 4/20/12 bd rev</t>
  </si>
  <si>
    <t>BK 3/14/13  ON FEL THEFT FILED 3/5/13 all fel  disp tdc</t>
  </si>
  <si>
    <t xml:space="preserve">bk on another case </t>
  </si>
  <si>
    <t>bk 2/6/13 made bond 2/13/13 another case filed same date add 6 jail days</t>
  </si>
  <si>
    <t>bk 7/25/12</t>
  </si>
  <si>
    <t>revoke 7/25/12 bd made 7/26/12</t>
  </si>
  <si>
    <t>bk2/1/13   4/2/13</t>
  </si>
  <si>
    <t>jury verdict</t>
  </si>
  <si>
    <t xml:space="preserve">study case dism and refiled def detained pend </t>
  </si>
  <si>
    <t>plead guilty</t>
  </si>
  <si>
    <t xml:space="preserve">Table 4A:   DISTRIBUTION BY BOND TYPES - THAT MADE BAIL </t>
  </si>
  <si>
    <t>FORF</t>
  </si>
  <si>
    <t>REV</t>
  </si>
  <si>
    <t>FUG</t>
  </si>
  <si>
    <t xml:space="preserve">TOTAL </t>
  </si>
  <si>
    <t xml:space="preserve">Table 7A:   FELONY DISTRUBTION  - TOTAL DISPOSED </t>
  </si>
  <si>
    <t>Offense: Theft</t>
  </si>
  <si>
    <t xml:space="preserve">Table 8c:   FELONY DETENTION DISTRIBUTION - DISPOSED CASES - 0 FELONY PRIORS  - BY RACE </t>
  </si>
  <si>
    <t>Offense: Aslt-Murder</t>
  </si>
  <si>
    <t xml:space="preserve">Table 8d:   FELONY DETENTION DISTRIBUTION - DISPOSED CASES - 0 FELONY PRIORS  - BY RACE </t>
  </si>
  <si>
    <t xml:space="preserve">Table 8e:   FELONY DETENTION DISTRIBUTION - DISPOSED CASES - 0 FELONY PRIORS  - BY RACE </t>
  </si>
  <si>
    <t>Offense: Burglary</t>
  </si>
  <si>
    <t xml:space="preserve">Table 8f:   FELONY DETENTION DISTRIBUTION - DISPOSED CASES - WITH FELONY PRIORS  - BY RACE </t>
  </si>
  <si>
    <t xml:space="preserve">Table 8g:   FELONY DETENTION DISTRIBUTION - DISPOSED CASES - WITH FELONY PRIORS  - BY RACE </t>
  </si>
  <si>
    <t xml:space="preserve">Table 8h:   FELONY DETENTION DISTRIBUTION - DISPOSED CASES - WITH FELONY PRIORS  - BY RACE </t>
  </si>
  <si>
    <t xml:space="preserve">Table 8i:   FELONY DETENTION DISTRIBUTION - DISPOSED CASES - WITH FELONY PRIORS  - BY RACE </t>
  </si>
  <si>
    <t xml:space="preserve">Table 8j:   FELONY DETENTION DISTRIBUTION - DISPOSED CASES - WITH FELONY PRIORS  - BY RACE </t>
  </si>
  <si>
    <t>NO BAIL</t>
  </si>
  <si>
    <t>BAIL</t>
  </si>
  <si>
    <t>TOTAL</t>
  </si>
  <si>
    <t>HCJ</t>
  </si>
  <si>
    <t>STJ</t>
  </si>
  <si>
    <t>DEFERRED %</t>
  </si>
  <si>
    <t>DISMISSED %</t>
  </si>
  <si>
    <t>HCJ %</t>
  </si>
  <si>
    <t>NO BILL %</t>
  </si>
  <si>
    <t>PROBATION %</t>
  </si>
  <si>
    <t>STJ %</t>
  </si>
  <si>
    <t>TDC %</t>
  </si>
  <si>
    <t xml:space="preserve">Table 9:   FELONY DISTRUBTION  - SENTENCING TRENDS - NO PRIORS  - NO BAIL VS. BAIL </t>
  </si>
  <si>
    <t xml:space="preserve">Counsel Type </t>
  </si>
  <si>
    <t xml:space="preserve">Table 10:   COUNSEL  DISTRUBTION   - NO BAIL VS. BAIL </t>
  </si>
  <si>
    <t>POSS MARIJ 4 OZ</t>
  </si>
  <si>
    <t>Table 11:   COUNSEL  DISTRUBTION   - NO BAIL VS. BAIL - WITH BOND TYPE DISTRIBUTION</t>
  </si>
  <si>
    <t>OPEN</t>
  </si>
  <si>
    <t xml:space="preserve">DISMISSED </t>
  </si>
  <si>
    <t xml:space="preserve">NO BILL </t>
  </si>
  <si>
    <t xml:space="preserve">AQUITTAL </t>
  </si>
  <si>
    <t>PROBATION / FINE</t>
  </si>
  <si>
    <t xml:space="preserve">COUNSEL </t>
  </si>
  <si>
    <t>Table 12a:   DISPOSITION OUTCOME BY TYPE OF COUNSEL - TOTAL DISPOSED POPULATION</t>
  </si>
  <si>
    <t>TOTAL CASES</t>
  </si>
  <si>
    <t>Table 12b:   DISPOSITION OUTCOME BY TYPE OF COUNSEL - TOTAL DISPOSED POPULATION - DRUG POSSESSION CASES - 0 PRIORS</t>
  </si>
  <si>
    <t>Table 12c:   DISPOSITION OUTCOME BY TYPE OF COUNSEL - TOTAL DISPOSED POPULATION - DRUG POSSESSION CASES - 0 PRIORS</t>
  </si>
  <si>
    <t>Table 12d:   DISPOSITION OUTCOME BY TYPE OF COUNSEL - TOTAL DISPOSED POPULATION - DRUG POSSESSION CASES - 0 PRIORS</t>
  </si>
  <si>
    <t>Offense: Asslt-Mrdr</t>
  </si>
  <si>
    <t>Table 12e:   DISPOSITION OUTCOME BY TYPE OF COUNSEL - TOTAL DISPOSED POPULATION - DRUG POSSESSION CASES - 0 PRIORS</t>
  </si>
  <si>
    <t xml:space="preserve">BOND </t>
  </si>
  <si>
    <t>Overall Average</t>
  </si>
  <si>
    <t xml:space="preserve">Table 13:   AVG. CASE AGE BY TYPE OF COUNSEL  </t>
  </si>
  <si>
    <t>MEDIAN</t>
  </si>
  <si>
    <t>MEAN</t>
  </si>
  <si>
    <t>`</t>
  </si>
  <si>
    <t>bond 2 (VALUES)</t>
  </si>
  <si>
    <t>BOND STATUS</t>
  </si>
  <si>
    <t>Table 14:   DISTRIBUTION  - DISPOSED CASES - MEANS AND MEDIANS</t>
  </si>
  <si>
    <t>SETTINGS</t>
  </si>
  <si>
    <t>MADE BOND</t>
  </si>
  <si>
    <t>Table 14A:   RACE DISTRIBUTION  - DISPOSED CASES - MEANS: MADE BOND</t>
  </si>
  <si>
    <t>Table 14C:   RACE DISTRIBUTION  - DISPOSED CASES - MEANS - DETAINED</t>
  </si>
  <si>
    <t>Table 14B:   RACE DISTRIBUTION  - DISPOSED CASES - MEDIANS - MADE BOND</t>
  </si>
  <si>
    <t>Table 14D:   RACE DISTRIBUTION  - DISPOSED CASES - MEDIANS - DETAINED</t>
  </si>
  <si>
    <t>Table 15A:   COUNSEL DISTRIBUTION  - DISPOSED CASES - MEANS:  BOND MADE</t>
  </si>
  <si>
    <t>Table 15B:   COUNSEL DISTRIBUTION  - DISPOSED CASES - MEDIANS:  BOND MADE</t>
  </si>
  <si>
    <t>Table 15C:   COUNSEL DISTRIBUTION  - DISPOSED CASES - MEANS:  DETAINED</t>
  </si>
  <si>
    <t>Table 15D:   COUNSEL DISTRIBUTION  - DISPOSED CASES - MEDIANS:  DETAINED</t>
  </si>
  <si>
    <t>COUNSEL TYPE</t>
  </si>
  <si>
    <t>Table 15.1:   COUNSEL DISTRIBUTION  - DISPOSED CASES - MEANS:  ALL BOND STATUS</t>
  </si>
  <si>
    <t>Table 15.2:   COUNSEL DISTRIBUTION  - DISPOSED CASES - MEDIANS:  ALL BOND STATUS</t>
  </si>
  <si>
    <t>ALL BOND STATUS</t>
  </si>
  <si>
    <t xml:space="preserve">Table 16a:   DISPOSITION OUTCOME BY TYPE OF COUNSEL - TOTAL DISPOSED POPULATION </t>
  </si>
  <si>
    <t>Table 16b:   DISPOSITION OUTCOME BY TYPE OF COUNSEL - TOTAL DISPOSED POPULATION - BONDED</t>
  </si>
  <si>
    <t>Table 16c:   DISPOSITION OUTCOME BY TYPE OF COUNSEL - TOTAL DISPOSED POPULATION - DETAINED</t>
  </si>
  <si>
    <t>Counsel Type</t>
  </si>
  <si>
    <t>rev 5/22/13 tdc</t>
  </si>
  <si>
    <t xml:space="preserve">  jail appeal status</t>
  </si>
  <si>
    <t>jail appeal status</t>
  </si>
  <si>
    <t xml:space="preserve">DETAINED </t>
  </si>
  <si>
    <t>MADE BAIL</t>
  </si>
  <si>
    <t xml:space="preserve">Table 17c:   TYPE OF COUNSEL - TOTAL OPEN  POPULATION </t>
  </si>
  <si>
    <t xml:space="preserve"> DID MAKE BAIL</t>
  </si>
  <si>
    <t>DID NOT MAKE BAIL</t>
  </si>
  <si>
    <t>NO BOND NOT BOOKED</t>
  </si>
  <si>
    <t>other</t>
  </si>
  <si>
    <t xml:space="preserve">Conviction </t>
  </si>
  <si>
    <t>convictino formula</t>
  </si>
  <si>
    <t>CONVICTION</t>
  </si>
  <si>
    <t>NO CONVICTION</t>
  </si>
  <si>
    <t>=IF(OR(AP1="AQUITTAL",AP1="DISMISSED",AP1="FINE",AP1="NO BILL"),"NO CONVICTION",IF(OR(AP1="HCJ",AP1="MHH",AP1="PROBATION",AP1="STJ",AP1="TDC"),"CONVICTION",IF(AP1="DEFERRED","DEFERRED",0)))</t>
  </si>
  <si>
    <t>y robbery 4/16/13 tdc</t>
  </si>
  <si>
    <t>def adj revoked 4/16/13 TDC</t>
  </si>
  <si>
    <t>y 6/25/12 asslt fam 60days</t>
  </si>
  <si>
    <t>y st jail theft9/25/13</t>
  </si>
  <si>
    <t>misd veh burg 4/8/13 hcj200</t>
  </si>
  <si>
    <t>FELONY WEAPON POSS</t>
  </si>
  <si>
    <t>Y fugitve fel drug 7/25/12</t>
  </si>
  <si>
    <t>Y rob 9/6/13 tdc 2yr</t>
  </si>
  <si>
    <t>bf 8/29/12 arrest  on rob bk 11/9/12 recal deten def adj revoked</t>
  </si>
  <si>
    <t>m crim misc 10/18/12</t>
  </si>
  <si>
    <t>misd pcs  filed 10/27/13</t>
  </si>
  <si>
    <t>m interf pub ser 3/11/13</t>
  </si>
  <si>
    <t>poss mj 10/11/12 fel pend</t>
  </si>
  <si>
    <t>Aggrobbery fug 10/15/13</t>
  </si>
  <si>
    <t>y reinstated</t>
  </si>
  <si>
    <t>convicted on another charge</t>
  </si>
  <si>
    <t>2 bonds bf</t>
  </si>
  <si>
    <t>3 misd 4/2/13 NA fugitive</t>
  </si>
  <si>
    <t>fel evade 7/27/12 tdc 2</t>
  </si>
  <si>
    <t>m 9/10/12 interf fel pend</t>
  </si>
  <si>
    <t xml:space="preserve">bk 4/13/13 bd remade 5/8/13, bk8/7/13  bd8/25/13, mot rev pro 9/13 </t>
  </si>
  <si>
    <t xml:space="preserve">   recal detained days bf 7/26/12 bk 7/27/12  </t>
  </si>
  <si>
    <t>9/18/13 fel weapon 2 tdc</t>
  </si>
  <si>
    <t>bf 8/28/12bond  on later charge</t>
  </si>
  <si>
    <t>bf on inj filed8/6/11 tdc rev</t>
  </si>
  <si>
    <t>bf reinstated</t>
  </si>
  <si>
    <t xml:space="preserve">recal detained days add 25 </t>
  </si>
  <si>
    <t>booked9/12/12  recal detained 35 add</t>
  </si>
  <si>
    <t>recal</t>
  </si>
  <si>
    <t xml:space="preserve"> 4/11/12 conv marij 30 days rec al  add 39 d</t>
  </si>
  <si>
    <t>rec det d</t>
  </si>
  <si>
    <t xml:space="preserve">bk 10/9/12 recal detained days </t>
  </si>
  <si>
    <t>f pcs 7/15/13  sj 7 mos</t>
  </si>
  <si>
    <t>book 6-9-12 recal detained</t>
  </si>
  <si>
    <t>bf bk recal</t>
  </si>
  <si>
    <t>att burg H stj 7 M 2/13/13</t>
  </si>
  <si>
    <t>pcs 6/25/13 stj 1Y</t>
  </si>
  <si>
    <t>fel tht 3/13/13 stj 2 y</t>
  </si>
  <si>
    <t>bK recal</t>
  </si>
  <si>
    <t>8/27/12  pCS 2 yrs tdc  misd 5/30/12  open case conv on ano case</t>
  </si>
  <si>
    <t>8/27/12 pcs 2Y tdc</t>
  </si>
  <si>
    <t>bk 7/6/12 recal</t>
  </si>
  <si>
    <t xml:space="preserve"> def jud bf (2k) dismissed adj glt revoked 9/11/12  stj 6mos</t>
  </si>
  <si>
    <t>FOOTNOTEbond on companion case previously filed</t>
  </si>
  <si>
    <t>misd marija 9/20/12 hcj 30 d   bk 5/15/12  recal</t>
  </si>
  <si>
    <t>m marija 9/20/12 hcj 30 d  f pcs stj 7 M</t>
  </si>
  <si>
    <t>bk 8/21/12 recal</t>
  </si>
  <si>
    <t>msd drug 3/28/13  hcj 10 d</t>
  </si>
  <si>
    <t xml:space="preserve">  msd drug 3/28/13  hcj 10 d note dup spn f case deleted 11/21/13 by grw</t>
  </si>
  <si>
    <t>2/8/13 revoked FTR  7m stj</t>
  </si>
  <si>
    <t>10/23/13 M FAIL TO STOP  60 DAYS</t>
  </si>
  <si>
    <t>BK 6/15/12  RECAL 116 MORE DAYS</t>
  </si>
  <si>
    <t>BK 7/12/12 &amp; 10/25/12 RECAL</t>
  </si>
  <si>
    <t>M TFT BY CK 8/26/13 HCJ90D</t>
  </si>
  <si>
    <t>BK 11/3/12  RECAL</t>
  </si>
  <si>
    <t>M TRES 5/1/13  Nafugitive</t>
  </si>
  <si>
    <t>bk 7/26/12 recal</t>
  </si>
  <si>
    <t>3/15/13  m maryj 15 d hcj</t>
  </si>
  <si>
    <t>bf on 2 surety then ptr disposed on ptr</t>
  </si>
  <si>
    <t xml:space="preserve">detained on 3 30K bonds appeal pending </t>
  </si>
  <si>
    <t>booked 2/12/13 put on elect mont</t>
  </si>
  <si>
    <t>ACQUITTAL insane</t>
  </si>
  <si>
    <t>acq insane</t>
  </si>
  <si>
    <t>2 CASES</t>
  </si>
  <si>
    <t>MULTI CASES</t>
  </si>
  <si>
    <t>recal detained days bf 9/5/12 bk 9/19/12  bond made 9/20/12</t>
  </si>
  <si>
    <t>bk 1/24/13  recal</t>
  </si>
  <si>
    <t>3 FEL PEND</t>
  </si>
  <si>
    <t>3 CASES</t>
  </si>
  <si>
    <t xml:space="preserve">CONV ON PRIOR FILED 11/16/10 SAME CHARGE STUDY CASE DISM </t>
  </si>
  <si>
    <t xml:space="preserve">STUDY CASE DISM TDC CONV ON REFILED CASE </t>
  </si>
  <si>
    <t>2/10/12   6/6/13</t>
  </si>
  <si>
    <t>3 COUNTS DISM</t>
  </si>
  <si>
    <t>JURY VERD 40 Y TDC APPEAL PEND DEF JAILED</t>
  </si>
  <si>
    <t>revoke bd remadr  recal detained days</t>
  </si>
  <si>
    <t>3 cases dismissed</t>
  </si>
  <si>
    <t>bk 10/16/13 recal</t>
  </si>
  <si>
    <t>cap pend; life sent for murder filed same date</t>
  </si>
  <si>
    <t>success pt inter dism</t>
  </si>
  <si>
    <t>misd filed 1/20/12 pend- dism</t>
  </si>
  <si>
    <t>sent appeal pend</t>
  </si>
  <si>
    <t>poss mj 10/2/12 hcj 15 days</t>
  </si>
  <si>
    <t>motion to adj glt 11/19/13 bk 11/20/13</t>
  </si>
  <si>
    <t xml:space="preserve">sex abuse pend 11/19/13 </t>
  </si>
  <si>
    <t>GUILTY JURY VERDICT</t>
  </si>
  <si>
    <t>misd pm/ fel evade pend</t>
  </si>
  <si>
    <t>p m / fel filed 9/24    11/27 13</t>
  </si>
  <si>
    <t>2 fel dismissed same file dates</t>
  </si>
  <si>
    <t>REINDICT MURDER 9/10/12</t>
  </si>
  <si>
    <t>MULTIPLE FEL  DISMISSSED           APPEALING 30- YR GUILTY PLEA</t>
  </si>
  <si>
    <t>MURDER 10/4/13 JURY GTY 45 Y TDC APPEAL</t>
  </si>
  <si>
    <t>P CS  TRESS PRIORS</t>
  </si>
  <si>
    <t>APPEAL</t>
  </si>
  <si>
    <t>BK 4/17/13  RECAL</t>
  </si>
  <si>
    <t>11/8/13 TAMPER TO FRAB EVID TDC 10 YR</t>
  </si>
  <si>
    <t>FAIL TO REPORT</t>
  </si>
  <si>
    <t>FTR 11/25/13  FUGITIVE</t>
  </si>
  <si>
    <t>JURY ACQUITTAL</t>
  </si>
  <si>
    <t>ACQUIT</t>
  </si>
  <si>
    <t>APPEAL PEND</t>
  </si>
  <si>
    <t>STACK SENT</t>
  </si>
  <si>
    <t>RECHECK SETTINGS</t>
  </si>
  <si>
    <t>3 CASES SAME DISP</t>
  </si>
  <si>
    <t>2 CASES SAME DISP</t>
  </si>
  <si>
    <t>2 PRIOR FILED F CASES SAME DISP DATE &amp; SENT</t>
  </si>
  <si>
    <t>8/20/13 F FALSE AS ATTY JURY VERD TDC 5Y APPEL</t>
  </si>
  <si>
    <t>UNAUTH USE OF VEH STUDY CASE DISMISSED SAME DISP DATE</t>
  </si>
  <si>
    <t>ROBBERY THREATS</t>
  </si>
  <si>
    <t>TDC SENT OF ROB FILED 4/11 IN LIEU OF  DISM BURG HAB FILED 3/27/12</t>
  </si>
  <si>
    <t xml:space="preserve"> surr 8/29/12  BD 11/17/12 RECAL</t>
  </si>
  <si>
    <t>OTHER CASE DISM</t>
  </si>
  <si>
    <t>BD REVK 2/13/13 misd  case filed new bond</t>
  </si>
  <si>
    <t>OTHER CASES DISM</t>
  </si>
  <si>
    <t xml:space="preserve">ALSO CONV OF RETALIATION SAME DATE ADDED 5 Y TDC </t>
  </si>
  <si>
    <t xml:space="preserve">TWO CASES SAME OUTCOME </t>
  </si>
  <si>
    <t>STUDY C DISM, TDC JUNE FILE C DISP SAME DATE</t>
  </si>
  <si>
    <t>MULTI CHARGES DIM , REFILED</t>
  </si>
  <si>
    <t>8/22/13  M DLS</t>
  </si>
  <si>
    <t>MURDER FILED 8/21/13</t>
  </si>
  <si>
    <t>REFILE CASE</t>
  </si>
  <si>
    <t>CONV ON ANOTHER F   BK 2/6/13  ON ROB FILED 1/23/13  SAME TDC DISP &amp; DATE recal det days BUGLARY FILED 03142012</t>
  </si>
  <si>
    <t>m theft 12/11/12  2f pend</t>
  </si>
  <si>
    <t>same disp vehic charge</t>
  </si>
  <si>
    <t>FELONY PRIOR</t>
  </si>
  <si>
    <t>11/12/13 m thft 10 d  f pcs pend</t>
  </si>
  <si>
    <t xml:space="preserve">trans to ct 185 </t>
  </si>
  <si>
    <t xml:space="preserve">FREP 9/30/13 stj 7mos rev def adj  </t>
  </si>
  <si>
    <t xml:space="preserve">also CONV on fel p marj same date </t>
  </si>
  <si>
    <t xml:space="preserve">pend f theft filed before arrested sent to  12 y tdc on aff robbery </t>
  </si>
  <si>
    <t>JURY verdict</t>
  </si>
  <si>
    <t>date judg paid</t>
  </si>
  <si>
    <t>(2)9/18/2012</t>
  </si>
  <si>
    <t>(2)10/17/2012</t>
  </si>
  <si>
    <t>(2)10/28/2013</t>
  </si>
  <si>
    <t>(2)4/23/2012</t>
  </si>
  <si>
    <t>(2)5/8/2012</t>
  </si>
  <si>
    <t>(2)12/13/2012</t>
  </si>
  <si>
    <t xml:space="preserve"> 2/20/13</t>
  </si>
  <si>
    <t>(2)9/11/2012</t>
  </si>
  <si>
    <t xml:space="preserve"> 5/17/13</t>
  </si>
  <si>
    <t>ptr</t>
  </si>
  <si>
    <t>(2)12/10/2012</t>
  </si>
  <si>
    <t>(2)7/19/2013</t>
  </si>
  <si>
    <t>(2)12/20/2012</t>
  </si>
  <si>
    <t>fine</t>
  </si>
  <si>
    <t>fine 1000</t>
  </si>
  <si>
    <t>misd aslt fam mem filed 11/3/13</t>
  </si>
  <si>
    <t>m alst 3/24/13hcj 30d 9/17/13 fel burg hab2y tdc</t>
  </si>
  <si>
    <t>law v 10/27/13 mot to adj guilt</t>
  </si>
  <si>
    <t xml:space="preserve">m 9/25/13 dri sus l filed </t>
  </si>
  <si>
    <t>4/9/13 fel dwi hcj 9 mos</t>
  </si>
  <si>
    <t xml:space="preserve">11/15/12 f pcs hcj 180 f evade pcs 8/9/13 stj </t>
  </si>
  <si>
    <t>4/30/13 f theft  stj 9 mos</t>
  </si>
  <si>
    <t>7/12/12  fel  tress 90 days hcj 12/13/13 bur tdc 2y</t>
  </si>
  <si>
    <t>no leg defense?</t>
  </si>
  <si>
    <t>5/7/13 m p marj</t>
  </si>
  <si>
    <t>m aslt fam mem hcj 30 d</t>
  </si>
  <si>
    <t>bk 5/18/12 bd9/1/2  bk 7/4/13  pcs filed 7/2/13 detained recal</t>
  </si>
  <si>
    <t>DISMISS</t>
  </si>
  <si>
    <t>AGG SEXUAL ASSAULT</t>
  </si>
  <si>
    <t>f burg bld 3/17/13 tdc 2y</t>
  </si>
  <si>
    <t>tdc no legal defense?</t>
  </si>
  <si>
    <t>m p marj 5/22/12 hcj 2 d</t>
  </si>
  <si>
    <t>2 violent fel pend 7/2/13 bonds made</t>
  </si>
  <si>
    <t>hcj sent no legal defense</t>
  </si>
  <si>
    <t>fel aslt fam mem9/25/12  hcj 120 d,pcs5/20/13hcj</t>
  </si>
  <si>
    <t>5/24/13 law v tdc 4 y</t>
  </si>
  <si>
    <t>m asaut fam mem 12/20/12 hcj 90d</t>
  </si>
  <si>
    <t>stj disp no leg defence</t>
  </si>
  <si>
    <t>5/21/12 fel burg stj 6mos 2/14/13 fraud tdc 2y</t>
  </si>
  <si>
    <t>def adj on 3 cases no legal defense</t>
  </si>
  <si>
    <t>fe asslt fam mem4/2/13 st j7mos</t>
  </si>
  <si>
    <t>law 7/26/13 tdc 2y</t>
  </si>
  <si>
    <t>was na fug</t>
  </si>
  <si>
    <t>revoked LV 4/1/13 rob tdc  2y</t>
  </si>
  <si>
    <t>fug war aslt fam 8/29/13</t>
  </si>
  <si>
    <t>(3)nisi 10/29/12</t>
  </si>
  <si>
    <t>8/19/13 pcs tdc 2y</t>
  </si>
  <si>
    <t xml:space="preserve">feldef adj12/16/11 revoked lv fel aslt 4/23/12 </t>
  </si>
  <si>
    <t>10 day hcj cop  fine 300</t>
  </si>
  <si>
    <t>2/9/12 m tres hcj30 f theft 6/25/12 hcj180d</t>
  </si>
  <si>
    <t>Mdefer adj 2/3/12 misd assault fam mem</t>
  </si>
  <si>
    <t>misd misch def adj 7/24/12 m weap 12/28/12hcj3m</t>
  </si>
  <si>
    <t>ftr 11/14/13  FUGITIVE</t>
  </si>
  <si>
    <t>no leg def of record?</t>
  </si>
  <si>
    <t>7/13/12 auto thf burg 11/12/13 tdc 4y</t>
  </si>
  <si>
    <t>10/3/13 burg h 2ytdc</t>
  </si>
  <si>
    <t>bk 8/30/13</t>
  </si>
  <si>
    <t>ftr mot adj guild bk 8/30/13</t>
  </si>
  <si>
    <t>bk 8/21/13 recal</t>
  </si>
  <si>
    <t>bk 4/13/13 bd reins5/7/13, bk 10/13/13 pcs new charge recal det</t>
  </si>
  <si>
    <t>bk 9/18/12 recal</t>
  </si>
  <si>
    <t>(2) 8/2/13</t>
  </si>
  <si>
    <t>appEAL PEND</t>
  </si>
  <si>
    <t>nisi 10/26/12</t>
  </si>
  <si>
    <t>booked 6/29/12  newbond 2/26/13 (bd RVKD 6/29/12)</t>
  </si>
  <si>
    <t>PRETRIAL STATUS AT DISPOSITION</t>
  </si>
  <si>
    <t>CASE DISPOSED STATUS</t>
  </si>
  <si>
    <t>Detained Days Y/N</t>
  </si>
  <si>
    <t>DISPOSED</t>
  </si>
  <si>
    <t>BF 1/14/13</t>
  </si>
  <si>
    <t xml:space="preserve">INITIAL CASE DISM </t>
  </si>
  <si>
    <t>BOND BEFORE BK</t>
  </si>
  <si>
    <t>misd theft 7/10/12 20 days hcj JAIL FOR MISD AT FEL DISPOSITION</t>
  </si>
  <si>
    <t>BK 10/2/13 RECAL</t>
  </si>
  <si>
    <t>lv ftr 12/18/13 fugitive</t>
  </si>
  <si>
    <t>def revoke st j LV aslt fam 11/13/12</t>
  </si>
  <si>
    <t>misd disc firearm hcj 36 d 8/27/12</t>
  </si>
  <si>
    <t>lv 8/26/13  tdc 5 y</t>
  </si>
  <si>
    <t>THEFT FIREARM REVKE HCJ 7/29/13 6 MOS</t>
  </si>
  <si>
    <t>qc - Rachelle. Should be 0</t>
  </si>
  <si>
    <t>F CS FILED 10/11/13</t>
  </si>
  <si>
    <t>2 FEL PEND 10/18/13</t>
  </si>
  <si>
    <t xml:space="preserve">F PCS FILED 7/2/13 </t>
  </si>
  <si>
    <t xml:space="preserve">BD BEFORE BK recal 1/2/13 </t>
  </si>
  <si>
    <t>MULTI FEL 6/28/12</t>
  </si>
  <si>
    <t>MULTI M F 2/25/12</t>
  </si>
  <si>
    <t>MHH TEMP</t>
  </si>
  <si>
    <t>mh FOUND COMP</t>
  </si>
  <si>
    <t>MH ISSUE</t>
  </si>
  <si>
    <t>M ASLT TRESS FILED 10/14/13</t>
  </si>
  <si>
    <t>MHH ISSUES</t>
  </si>
  <si>
    <t>rev 4/16/12  REINS 4/19</t>
  </si>
  <si>
    <t>10 D HCJ COP</t>
  </si>
  <si>
    <t>F PCS  9/5/13 STJ 6MOS</t>
  </si>
  <si>
    <t>2/27/13 F PCS TDC 2Y</t>
  </si>
  <si>
    <t>8/8/13 f sell /pss unlab recor</t>
  </si>
  <si>
    <t>10/17/12 f pcs tdc 2y  misd fugi8/13</t>
  </si>
  <si>
    <t>8/13/12 agg sex child tdc 8 y</t>
  </si>
  <si>
    <t>lv pcs 4/22/13  tdc 2y</t>
  </si>
  <si>
    <t>m 12/6/12 tress hcj 12d</t>
  </si>
  <si>
    <t>5/9/13 agg aslt  tdc 2y</t>
  </si>
  <si>
    <t>m p marj 9/25/12 90d 3 f alst pend</t>
  </si>
  <si>
    <t>m dwi 7/3/12 30 d</t>
  </si>
  <si>
    <t>1/24/13 tdc f drug</t>
  </si>
  <si>
    <t>sent same date  for bail jump filed 10/9/12</t>
  </si>
  <si>
    <t>1/17/14 lf hcj  agg rob pend j bk</t>
  </si>
  <si>
    <t>sent robb &amp; murder fel</t>
  </si>
  <si>
    <t>revoked 1/31/13 pcs 7 m9s stj</t>
  </si>
  <si>
    <t>m mischief 10/9/12 f theft1/10/14 stj2y</t>
  </si>
  <si>
    <t>m tress 8/15/13 fugitive</t>
  </si>
  <si>
    <t>m pmarj 6/3/13 hcj 15 d</t>
  </si>
  <si>
    <t>mulpi m  p marij tress 2/13/13 hcj60d</t>
  </si>
  <si>
    <t>burg hab revked 12/20/13 tdc 3y</t>
  </si>
  <si>
    <t>ftr 8/16/13 amend cop  90 d hcj</t>
  </si>
  <si>
    <t>m to revoke lv 9/7/12 bk cap murd pend</t>
  </si>
  <si>
    <t xml:space="preserve">m adj 4/29/13 viol </t>
  </si>
  <si>
    <t>7/24/12 m fam aslt 190 d hcj</t>
  </si>
  <si>
    <t>no legal defense</t>
  </si>
  <si>
    <t>RECALC</t>
  </si>
  <si>
    <t>CASES W MORE TIME</t>
  </si>
  <si>
    <t xml:space="preserve">misd theft 7/11/12 hcj 45 da    revoked 7/9/12 </t>
  </si>
  <si>
    <t>B K  9/26/12  RECAL   REV BK 9/16/12</t>
  </si>
  <si>
    <t>6/8/12  misd theft hcj 30 d   bd rev 5/14/12</t>
  </si>
  <si>
    <t>INITIAL DATE MADE</t>
  </si>
  <si>
    <t>MULTIPLE FEL  DISMISSSED  BK 1/21/13          APPEALING 48 YR JURY VERDICT  ADDITIONAL BOOKING 8 /14/13 AND SENTENCED  09/12/13 48 YEARS</t>
  </si>
  <si>
    <t>Pretrial Days Detained % of Case Age (From Filing Date to Disp)</t>
  </si>
  <si>
    <t xml:space="preserve">Difference Det. Days %  </t>
  </si>
  <si>
    <t>STILL OPEN - FUGITIVE</t>
  </si>
  <si>
    <t>NO BOND NOT BOOKED - FUGITIVE</t>
  </si>
  <si>
    <t>DATE INITIAL  RELEASED</t>
  </si>
  <si>
    <t>PRETRIAL MISCONDUCT Y/N</t>
  </si>
  <si>
    <t>'=IF((AND(BS2="DISPOSED",BR2="DETAINED"),G2-I2)),IF((AND(BS2="DISPOSED",BR2="ON BOND"),M2-I2,IF(((AND(BS2="DISPOSED",BR2="STILL OPEN")),"STILL OPEN")))))</t>
  </si>
  <si>
    <t>DAYS DETAINED CALC --- PRETRIAL MIS Y = HARD CODE / NO -- AND PRETRIAL IS BOND -- BOND MADE DATE  OR HARD CODE / IF NO AND PRETRIAL IS NO BOND  - CALC / IF NO  AND NOT BOOKED - 0</t>
  </si>
  <si>
    <t xml:space="preserve">DIFF SB 0 </t>
  </si>
  <si>
    <t>POSS EXCEPTION - NO MANUAL OVERRIDE</t>
  </si>
  <si>
    <t>MANUAL OVER-RIDE IS CORRECT BUT SHOW NO PT MISC</t>
  </si>
  <si>
    <t xml:space="preserve">EVAding arrest/detention w/veh </t>
  </si>
  <si>
    <t>RECIDIVISM Y/N  (POST DISP. OUTCOME)</t>
  </si>
  <si>
    <t>BK Pretrial Days Detained % of Case Age (from initial booking to disposition)</t>
  </si>
  <si>
    <t>fel filed 4/13/12 bk 4/17  PTRc  disp 12/13/12 tdc 6 yrs ---new case filed</t>
  </si>
  <si>
    <t xml:space="preserve">murder conv in liew of dism burg filed 3/29/12 on bond - bk 8/3/12 </t>
  </si>
  <si>
    <t>misd assalt filed 6/8/12 pend - bd viol 6/12/12</t>
  </si>
  <si>
    <t>DISPOSITION SEVERITY SCORE</t>
  </si>
  <si>
    <t>ACQUITTAL</t>
  </si>
  <si>
    <t>NOT BOOKED - FUGITIVE</t>
  </si>
  <si>
    <t>SPN 2</t>
  </si>
  <si>
    <t>REL DATE = DISP DATE BUT WE CALC 112 - SHOULDN’T THERE BE A DIFF?</t>
  </si>
  <si>
    <t>FUGITIVE - STILL OUTSTANDING</t>
  </si>
  <si>
    <t xml:space="preserve">  bd revoke notes</t>
  </si>
  <si>
    <t>PTR REV NEW CRIME</t>
  </si>
  <si>
    <t>bail type made simple</t>
  </si>
  <si>
    <t>NO BOND SET - NON ARREST</t>
  </si>
  <si>
    <t>NO BOND MADE - NON ARREST</t>
  </si>
  <si>
    <t>NON -ARREST - NOT BOOKED - DEFERRED</t>
  </si>
  <si>
    <t>NON-ARREST - NOT BOOKED - DISMISSED</t>
  </si>
  <si>
    <t>NON ARREST - NOT BOOKED - NO BILL</t>
  </si>
  <si>
    <t>PRIORS Y/N</t>
  </si>
  <si>
    <t>V</t>
  </si>
  <si>
    <t>X</t>
  </si>
  <si>
    <t xml:space="preserve">INCOMPETENT FOR TRIAL - </t>
  </si>
  <si>
    <t>misd family assault 2/26/14  60 days</t>
  </si>
  <si>
    <t>JURY VERDICT</t>
  </si>
  <si>
    <t xml:space="preserve">BK 10/15/13 REMADE BOND 10/17/13 </t>
  </si>
  <si>
    <t>appeal pend</t>
  </si>
  <si>
    <t>pend appeal</t>
  </si>
  <si>
    <t>MULTICASES</t>
  </si>
  <si>
    <t>PEND LIFE SENT</t>
  </si>
  <si>
    <t>MULTI FEL CASES</t>
  </si>
  <si>
    <t xml:space="preserve">INDICTED GRAD J ON BOND THEN  DETAINED </t>
  </si>
  <si>
    <t>IDICTO</t>
  </si>
  <si>
    <t xml:space="preserve">SURETYPTRc </t>
  </si>
  <si>
    <t xml:space="preserve">REV4/27/12  BD 5/8/12 </t>
  </si>
  <si>
    <t>drug viola 3/27/15  mag dism</t>
  </si>
  <si>
    <t>ext cop</t>
  </si>
  <si>
    <t>drug vio maj dism ext cop</t>
  </si>
  <si>
    <t>bk 10/19/13 new ch 0 bd recaltreat as rev</t>
  </si>
  <si>
    <t>misd susp lic filed 3/3/13 bd   1 day jail</t>
  </si>
  <si>
    <t>booked 7/25/13  2 bonds revoked3/31/13</t>
  </si>
  <si>
    <t>4/29/15 2 d jail misd f to id police</t>
  </si>
  <si>
    <t>no surety bf penalty</t>
  </si>
  <si>
    <t>why</t>
  </si>
  <si>
    <t xml:space="preserve">DE.COMP TO STAND  hassled </t>
  </si>
  <si>
    <t>9/13/2012 for comp hearing</t>
  </si>
  <si>
    <t>2 tress homeless 80/40 days fel teft 6mos</t>
  </si>
  <si>
    <t>1/28/15 tress incom jail</t>
  </si>
  <si>
    <t>appeal</t>
  </si>
  <si>
    <t>REFILED  MURDER</t>
  </si>
  <si>
    <t>Appeal BY PD</t>
  </si>
  <si>
    <t>POST VIV FEL PEND-DETAINED</t>
  </si>
  <si>
    <t xml:space="preserve">CAP  MURDER   </t>
  </si>
  <si>
    <t>RETALIATION TRANS ON CAP MUR</t>
  </si>
  <si>
    <t>CAP MURD DISP</t>
  </si>
  <si>
    <t>MULTI CASES INVOLVED</t>
  </si>
  <si>
    <t>ASSOC CASES</t>
  </si>
  <si>
    <t>na/bd</t>
  </si>
  <si>
    <t>INCOM TO STAND TRIAL PTRC</t>
  </si>
  <si>
    <t>(2)nisi 8/23/12 $PEN</t>
  </si>
  <si>
    <t>MHH ISSUES 2 CASES</t>
  </si>
  <si>
    <t>JURY VERDCT</t>
  </si>
  <si>
    <t>bd vio drug test ftr hccscd</t>
  </si>
  <si>
    <t>new bond</t>
  </si>
  <si>
    <t>threatened pub serv w deadly 10 tdc sent</t>
  </si>
  <si>
    <t>3 assoc rob cases</t>
  </si>
  <si>
    <t>murder FILED 8/21/13 35 yrs tdc 2/27/14</t>
  </si>
  <si>
    <t xml:space="preserve"> 2FEL INDICTMENT ADDED  CASES dism</t>
  </si>
  <si>
    <t>7 assoc f cases dism</t>
  </si>
  <si>
    <t>non-bked surety fugitiveuntil booked 8-28-13</t>
  </si>
  <si>
    <t>2y tdc assault same disp date filed later</t>
  </si>
  <si>
    <t xml:space="preserve">STILL OPEN - </t>
  </si>
  <si>
    <t xml:space="preserve">STILL OPEN  </t>
  </si>
  <si>
    <t xml:space="preserve">STILL OPEN </t>
  </si>
  <si>
    <t xml:space="preserve"> na cash bd bf 8/27/12 remade surety ok</t>
  </si>
  <si>
    <t>MHH DETAIN 314 DAYS TO DATE re jail 1/15/15</t>
  </si>
  <si>
    <t>XX</t>
  </si>
  <si>
    <t>LABEL DETAINED DAYS</t>
  </si>
  <si>
    <t>LABEL 2 DETAINED DAYS</t>
  </si>
  <si>
    <r>
      <rPr>
        <sz val="11"/>
        <color theme="1"/>
        <rFont val="Calibri"/>
        <family val="2"/>
        <scheme val="minor"/>
      </rPr>
      <t>SURETY</t>
    </r>
    <r>
      <rPr>
        <b/>
        <sz val="11"/>
        <color theme="1"/>
        <rFont val="Calibri"/>
        <family val="2"/>
        <scheme val="minor"/>
      </rPr>
      <t>PTRc</t>
    </r>
  </si>
  <si>
    <r>
      <rPr>
        <b/>
        <sz val="11"/>
        <color theme="1"/>
        <rFont val="Calibri"/>
        <family val="2"/>
        <scheme val="minor"/>
      </rPr>
      <t>SURETY</t>
    </r>
    <r>
      <rPr>
        <sz val="11"/>
        <color theme="1"/>
        <rFont val="Calibri"/>
        <family val="2"/>
        <scheme val="minor"/>
      </rPr>
      <t>PTRc</t>
    </r>
  </si>
  <si>
    <r>
      <rPr>
        <b/>
        <sz val="11"/>
        <color theme="1"/>
        <rFont val="Calibri"/>
        <family val="2"/>
      </rPr>
      <t>rearreste on bond</t>
    </r>
    <r>
      <rPr>
        <sz val="11"/>
        <color theme="1"/>
        <rFont val="Calibri"/>
        <family val="2"/>
        <scheme val="minor"/>
      </rPr>
      <t>fel dwi filed 9/29/12 disposed same date sent 12 yr tdc</t>
    </r>
  </si>
  <si>
    <r>
      <t xml:space="preserve">booked 6/7/12 charge sex asslt pend  </t>
    </r>
    <r>
      <rPr>
        <sz val="11"/>
        <color theme="1"/>
        <rFont val="Calibri"/>
        <family val="2"/>
        <scheme val="minor"/>
      </rPr>
      <t>recal detained days</t>
    </r>
  </si>
  <si>
    <r>
      <t xml:space="preserve">fel drug filed 5/2/12  disp 2/22/12 hcj 180 d  </t>
    </r>
    <r>
      <rPr>
        <b/>
        <sz val="11"/>
        <color theme="1"/>
        <rFont val="Calibri"/>
        <family val="2"/>
      </rPr>
      <t>two new fel drug pend</t>
    </r>
  </si>
  <si>
    <r>
      <t xml:space="preserve">revoked LAWV 5/8/12 st j 5mos </t>
    </r>
    <r>
      <rPr>
        <b/>
        <sz val="11"/>
        <color theme="1"/>
        <rFont val="Calibri"/>
        <family val="2"/>
      </rPr>
      <t xml:space="preserve"> 2 fel 8/17/12 pend</t>
    </r>
  </si>
  <si>
    <r>
      <t>other case no arrest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</si>
  <si>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  <scheme val="minor"/>
      </rPr>
      <t>y  m thft 10/3/12fdrg 90 d</t>
    </r>
    <r>
      <rPr>
        <sz val="11"/>
        <color theme="1"/>
        <rFont val="Calibri"/>
        <family val="2"/>
        <scheme val="minor"/>
      </rPr>
      <t>a</t>
    </r>
  </si>
  <si>
    <r>
      <t xml:space="preserve">5/8/12 misd fail id hch 30 d  </t>
    </r>
    <r>
      <rPr>
        <b/>
        <sz val="11"/>
        <color theme="1"/>
        <rFont val="Calibri"/>
        <family val="2"/>
      </rPr>
      <t xml:space="preserve">fel alst murder detained pend </t>
    </r>
  </si>
  <si>
    <r>
      <t xml:space="preserve">bk 3/28/13  </t>
    </r>
    <r>
      <rPr>
        <b/>
        <sz val="11"/>
        <color theme="1"/>
        <rFont val="Calibri"/>
        <family val="2"/>
        <scheme val="minor"/>
      </rPr>
      <t>recal detained days</t>
    </r>
  </si>
  <si>
    <r>
      <t>bk on bf 5/23/12</t>
    </r>
    <r>
      <rPr>
        <b/>
        <sz val="11"/>
        <color theme="1"/>
        <rFont val="Calibri"/>
        <family val="2"/>
        <scheme val="minor"/>
      </rPr>
      <t xml:space="preserve"> recal detained days</t>
    </r>
  </si>
  <si>
    <r>
      <t xml:space="preserve">booked 1/22/13 misd bf case disp, bond made 2/17/13 </t>
    </r>
    <r>
      <rPr>
        <b/>
        <sz val="11"/>
        <color theme="1"/>
        <rFont val="Calibri"/>
        <family val="2"/>
        <scheme val="minor"/>
      </rPr>
      <t>recal 27 jail days</t>
    </r>
  </si>
  <si>
    <r>
      <t xml:space="preserve">misd dwi  </t>
    </r>
    <r>
      <rPr>
        <b/>
        <sz val="11"/>
        <color theme="1"/>
        <rFont val="Calibri"/>
        <family val="2"/>
      </rPr>
      <t xml:space="preserve"> fel weapon pend</t>
    </r>
  </si>
  <si>
    <r>
      <t>robbery filed 8/1/12</t>
    </r>
    <r>
      <rPr>
        <b/>
        <sz val="11"/>
        <color theme="1"/>
        <rFont val="Calibri"/>
        <family val="2"/>
      </rPr>
      <t xml:space="preserve"> pending</t>
    </r>
    <r>
      <rPr>
        <sz val="11"/>
        <color theme="1"/>
        <rFont val="Calibri"/>
        <family val="2"/>
        <scheme val="minor"/>
      </rPr>
      <t xml:space="preserve"> 30k bd bk 8/3/12</t>
    </r>
  </si>
  <si>
    <r>
      <t xml:space="preserve">8/10/12 9/13/12 </t>
    </r>
    <r>
      <rPr>
        <b/>
        <sz val="11"/>
        <color theme="1"/>
        <rFont val="Calibri"/>
        <family val="2"/>
      </rPr>
      <t>five  cases pend</t>
    </r>
    <r>
      <rPr>
        <sz val="11"/>
        <color theme="1"/>
        <rFont val="Calibri"/>
        <family val="2"/>
        <scheme val="minor"/>
      </rPr>
      <t xml:space="preserve">  fel forgery </t>
    </r>
  </si>
  <si>
    <r>
      <t>f</t>
    </r>
    <r>
      <rPr>
        <sz val="11"/>
        <color theme="1"/>
        <rFont val="Calibri"/>
        <family val="2"/>
      </rPr>
      <t>el theft conv 5/29/12    7/13/12 FREP  rob filed 8/3/12  booked 8/5/12  pend</t>
    </r>
  </si>
  <si>
    <r>
      <t xml:space="preserve">misc evade arresr conv 2/7/12 hcj 6 d </t>
    </r>
    <r>
      <rPr>
        <b/>
        <sz val="11"/>
        <color theme="1"/>
        <rFont val="Calibri"/>
        <family val="2"/>
      </rPr>
      <t>fel theft pend</t>
    </r>
  </si>
  <si>
    <r>
      <t xml:space="preserve"> 2 pend  booked 8/30/12  bond 9/4 /12 BF  9/5/12 BK </t>
    </r>
    <r>
      <rPr>
        <b/>
        <sz val="11"/>
        <color theme="1"/>
        <rFont val="Calibri"/>
        <family val="2"/>
        <scheme val="minor"/>
      </rPr>
      <t>10/16 recal detain</t>
    </r>
  </si>
  <si>
    <r>
      <t>arrest in montg county,</t>
    </r>
    <r>
      <rPr>
        <b/>
        <sz val="11"/>
        <color theme="1"/>
        <rFont val="Calibri"/>
        <family val="2"/>
        <scheme val="minor"/>
      </rPr>
      <t xml:space="preserve"> bond judg dismissed pend</t>
    </r>
  </si>
  <si>
    <r>
      <t xml:space="preserve"> </t>
    </r>
    <r>
      <rPr>
        <b/>
        <sz val="11"/>
        <color theme="1"/>
        <rFont val="Calibri"/>
        <family val="2"/>
        <scheme val="minor"/>
      </rPr>
      <t>bf surety 6/21/12  PTRc granted 6/19/13</t>
    </r>
  </si>
  <si>
    <r>
      <t xml:space="preserve">7/27/12 misd theft hcj 60 d   </t>
    </r>
    <r>
      <rPr>
        <b/>
        <sz val="11"/>
        <color theme="1"/>
        <rFont val="Calibri"/>
        <family val="2"/>
      </rPr>
      <t>2 fel 10/18 and 10/24/12 pend</t>
    </r>
  </si>
  <si>
    <r>
      <t xml:space="preserve">misd assault 3/12/12 </t>
    </r>
    <r>
      <rPr>
        <b/>
        <sz val="11"/>
        <color theme="1"/>
        <rFont val="Calibri"/>
        <family val="2"/>
      </rPr>
      <t>pend</t>
    </r>
  </si>
  <si>
    <t>Grand Total</t>
  </si>
  <si>
    <t>Count of BOND CAT</t>
  </si>
  <si>
    <t>HCJ Booked</t>
  </si>
  <si>
    <t>Booked</t>
  </si>
  <si>
    <t>Not Booked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</si>
</sst>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%"/>
  </numFmts>
  <fonts count="1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.5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A5A5A5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9" fontId="8" fillId="0" borderId="0" applyFont="0" applyFill="0" applyBorder="0" applyAlignment="0" applyProtection="0"/>
  </cellStyleXfs>
  <cellXfs count="171">
    <xf numFmtId="0" fontId="0" fillId="0" borderId="0" xfId="0"/>
    <xf numFmtId="1" fontId="0" fillId="0" borderId="0" xfId="0" applyNumberFormat="1" applyFill="1" applyBorder="1"/>
    <xf numFmtId="0" fontId="0" fillId="0" borderId="0" xfId="0" applyFill="1" applyBorder="1"/>
    <xf numFmtId="0" fontId="5" fillId="0" borderId="0" xfId="0" applyFont="1" applyFill="1" applyBorder="1" applyAlignment="1">
      <alignment horizontal="center"/>
    </xf>
    <xf numFmtId="0" fontId="0" fillId="0" borderId="0" xfId="0" applyFill="1"/>
    <xf numFmtId="0" fontId="10" fillId="0" borderId="5" xfId="0" applyFont="1" applyFill="1" applyBorder="1"/>
    <xf numFmtId="9" fontId="10" fillId="0" borderId="5" xfId="4" applyFont="1" applyFill="1" applyBorder="1"/>
    <xf numFmtId="9" fontId="10" fillId="0" borderId="4" xfId="4" applyFont="1" applyFill="1" applyBorder="1"/>
    <xf numFmtId="0" fontId="9" fillId="0" borderId="0" xfId="0" applyFont="1" applyFill="1" applyBorder="1"/>
    <xf numFmtId="9" fontId="10" fillId="0" borderId="0" xfId="4" applyFont="1" applyFill="1" applyBorder="1"/>
    <xf numFmtId="0" fontId="10" fillId="0" borderId="0" xfId="0" applyFont="1" applyFill="1" applyBorder="1"/>
    <xf numFmtId="0" fontId="9" fillId="0" borderId="5" xfId="0" applyFont="1" applyFill="1" applyBorder="1"/>
    <xf numFmtId="9" fontId="10" fillId="0" borderId="3" xfId="0" applyNumberFormat="1" applyFont="1" applyFill="1" applyBorder="1"/>
    <xf numFmtId="0" fontId="10" fillId="0" borderId="3" xfId="4" applyNumberFormat="1" applyFont="1" applyFill="1" applyBorder="1"/>
    <xf numFmtId="9" fontId="9" fillId="0" borderId="4" xfId="4" applyFont="1" applyFill="1" applyBorder="1"/>
    <xf numFmtId="0" fontId="9" fillId="0" borderId="4" xfId="0" applyFont="1" applyFill="1" applyBorder="1" applyAlignment="1">
      <alignment horizontal="right"/>
    </xf>
    <xf numFmtId="9" fontId="9" fillId="0" borderId="5" xfId="4" applyFont="1" applyFill="1" applyBorder="1"/>
    <xf numFmtId="0" fontId="9" fillId="0" borderId="5" xfId="0" applyFont="1" applyFill="1" applyBorder="1" applyAlignment="1">
      <alignment horizontal="right"/>
    </xf>
    <xf numFmtId="0" fontId="10" fillId="0" borderId="0" xfId="4" applyNumberFormat="1" applyFont="1" applyFill="1" applyBorder="1"/>
    <xf numFmtId="0" fontId="9" fillId="0" borderId="4" xfId="0" applyFont="1" applyFill="1" applyBorder="1" applyAlignment="1">
      <alignment horizontal="center"/>
    </xf>
    <xf numFmtId="0" fontId="10" fillId="0" borderId="9" xfId="4" applyNumberFormat="1" applyFont="1" applyFill="1" applyBorder="1"/>
    <xf numFmtId="0" fontId="9" fillId="0" borderId="4" xfId="4" applyNumberFormat="1" applyFont="1" applyFill="1" applyBorder="1"/>
    <xf numFmtId="9" fontId="10" fillId="0" borderId="9" xfId="4" applyFont="1" applyFill="1" applyBorder="1"/>
    <xf numFmtId="10" fontId="10" fillId="0" borderId="0" xfId="0" applyNumberFormat="1" applyFont="1" applyFill="1" applyBorder="1"/>
    <xf numFmtId="10" fontId="9" fillId="0" borderId="0" xfId="0" applyNumberFormat="1" applyFont="1" applyFill="1" applyBorder="1"/>
    <xf numFmtId="0" fontId="10" fillId="0" borderId="0" xfId="0" applyFont="1" applyFill="1"/>
    <xf numFmtId="9" fontId="10" fillId="0" borderId="0" xfId="0" applyNumberFormat="1" applyFont="1" applyFill="1"/>
    <xf numFmtId="9" fontId="10" fillId="0" borderId="0" xfId="0" applyNumberFormat="1" applyFont="1" applyFill="1" applyAlignment="1">
      <alignment horizontal="left"/>
    </xf>
    <xf numFmtId="0" fontId="9" fillId="0" borderId="0" xfId="0" applyFont="1" applyFill="1" applyBorder="1" applyAlignment="1">
      <alignment horizontal="center"/>
    </xf>
    <xf numFmtId="0" fontId="11" fillId="0" borderId="0" xfId="4" applyNumberFormat="1" applyFont="1" applyFill="1" applyBorder="1"/>
    <xf numFmtId="0" fontId="11" fillId="0" borderId="0" xfId="0" applyFont="1" applyFill="1" applyBorder="1" applyAlignment="1">
      <alignment horizontal="center"/>
    </xf>
    <xf numFmtId="0" fontId="12" fillId="0" borderId="0" xfId="4" applyNumberFormat="1" applyFont="1" applyFill="1" applyBorder="1"/>
    <xf numFmtId="0" fontId="4" fillId="0" borderId="0" xfId="0" applyFont="1" applyFill="1" applyBorder="1"/>
    <xf numFmtId="0" fontId="9" fillId="0" borderId="0" xfId="4" applyNumberFormat="1" applyFont="1" applyFill="1" applyBorder="1"/>
    <xf numFmtId="0" fontId="9" fillId="0" borderId="5" xfId="4" applyNumberFormat="1" applyFont="1" applyFill="1" applyBorder="1"/>
    <xf numFmtId="0" fontId="9" fillId="0" borderId="0" xfId="0" applyFont="1" applyFill="1" applyBorder="1" applyAlignment="1">
      <alignment horizontal="right"/>
    </xf>
    <xf numFmtId="1" fontId="9" fillId="0" borderId="4" xfId="0" applyNumberFormat="1" applyFont="1" applyFill="1" applyBorder="1" applyAlignment="1">
      <alignment horizontal="right"/>
    </xf>
    <xf numFmtId="1" fontId="9" fillId="0" borderId="5" xfId="0" applyNumberFormat="1" applyFont="1" applyFill="1" applyBorder="1" applyAlignment="1">
      <alignment horizontal="right"/>
    </xf>
    <xf numFmtId="0" fontId="9" fillId="0" borderId="3" xfId="0" applyFont="1" applyFill="1" applyBorder="1" applyAlignment="1">
      <alignment horizontal="center"/>
    </xf>
    <xf numFmtId="1" fontId="10" fillId="0" borderId="16" xfId="0" applyNumberFormat="1" applyFont="1" applyFill="1" applyBorder="1" applyAlignment="1">
      <alignment horizontal="center"/>
    </xf>
    <xf numFmtId="164" fontId="10" fillId="0" borderId="16" xfId="0" applyNumberFormat="1" applyFont="1" applyFill="1" applyBorder="1" applyAlignment="1">
      <alignment horizontal="center"/>
    </xf>
    <xf numFmtId="164" fontId="10" fillId="0" borderId="23" xfId="0" applyNumberFormat="1" applyFont="1" applyFill="1" applyBorder="1" applyAlignment="1">
      <alignment horizontal="center"/>
    </xf>
    <xf numFmtId="1" fontId="10" fillId="0" borderId="23" xfId="0" applyNumberFormat="1" applyFont="1" applyFill="1" applyBorder="1" applyAlignment="1">
      <alignment horizontal="center"/>
    </xf>
    <xf numFmtId="0" fontId="4" fillId="0" borderId="5" xfId="0" applyFont="1" applyFill="1" applyBorder="1"/>
    <xf numFmtId="0" fontId="9" fillId="0" borderId="14" xfId="0" applyFont="1" applyFill="1" applyBorder="1" applyAlignment="1">
      <alignment horizontal="center"/>
    </xf>
    <xf numFmtId="0" fontId="9" fillId="0" borderId="15" xfId="0" applyFont="1" applyFill="1" applyBorder="1" applyAlignment="1">
      <alignment horizontal="center"/>
    </xf>
    <xf numFmtId="0" fontId="10" fillId="0" borderId="16" xfId="0" applyFont="1" applyFill="1" applyBorder="1"/>
    <xf numFmtId="0" fontId="10" fillId="0" borderId="24" xfId="0" applyFont="1" applyFill="1" applyBorder="1"/>
    <xf numFmtId="9" fontId="10" fillId="0" borderId="26" xfId="4" applyFont="1" applyFill="1" applyBorder="1"/>
    <xf numFmtId="0" fontId="10" fillId="0" borderId="25" xfId="0" applyFont="1" applyFill="1" applyBorder="1"/>
    <xf numFmtId="0" fontId="9" fillId="0" borderId="5" xfId="0" applyFont="1" applyFill="1" applyBorder="1" applyAlignment="1">
      <alignment horizontal="center"/>
    </xf>
    <xf numFmtId="0" fontId="10" fillId="0" borderId="26" xfId="4" applyNumberFormat="1" applyFont="1" applyFill="1" applyBorder="1"/>
    <xf numFmtId="0" fontId="9" fillId="0" borderId="0" xfId="0" applyFont="1" applyFill="1"/>
    <xf numFmtId="0" fontId="9" fillId="0" borderId="4" xfId="0" applyFont="1" applyFill="1" applyBorder="1"/>
    <xf numFmtId="0" fontId="10" fillId="0" borderId="8" xfId="0" applyFont="1" applyFill="1" applyBorder="1"/>
    <xf numFmtId="0" fontId="10" fillId="0" borderId="12" xfId="0" applyFont="1" applyFill="1" applyBorder="1"/>
    <xf numFmtId="9" fontId="10" fillId="0" borderId="7" xfId="4" applyFont="1" applyFill="1" applyBorder="1"/>
    <xf numFmtId="0" fontId="10" fillId="0" borderId="6" xfId="0" applyFont="1" applyFill="1" applyBorder="1"/>
    <xf numFmtId="0" fontId="10" fillId="0" borderId="13" xfId="0" applyFont="1" applyFill="1" applyBorder="1"/>
    <xf numFmtId="0" fontId="10" fillId="0" borderId="10" xfId="0" applyFont="1" applyFill="1" applyBorder="1"/>
    <xf numFmtId="9" fontId="10" fillId="0" borderId="11" xfId="4" applyFont="1" applyFill="1" applyBorder="1"/>
    <xf numFmtId="0" fontId="10" fillId="0" borderId="3" xfId="0" applyFont="1" applyFill="1" applyBorder="1"/>
    <xf numFmtId="0" fontId="9" fillId="0" borderId="17" xfId="0" applyFont="1" applyFill="1" applyBorder="1" applyAlignment="1">
      <alignment horizontal="center"/>
    </xf>
    <xf numFmtId="9" fontId="10" fillId="0" borderId="8" xfId="4" applyFont="1" applyFill="1" applyBorder="1"/>
    <xf numFmtId="0" fontId="10" fillId="0" borderId="8" xfId="4" applyNumberFormat="1" applyFont="1" applyFill="1" applyBorder="1"/>
    <xf numFmtId="9" fontId="10" fillId="0" borderId="8" xfId="0" applyNumberFormat="1" applyFont="1" applyFill="1" applyBorder="1"/>
    <xf numFmtId="9" fontId="10" fillId="0" borderId="6" xfId="0" applyNumberFormat="1" applyFont="1" applyFill="1" applyBorder="1"/>
    <xf numFmtId="0" fontId="10" fillId="0" borderId="19" xfId="0" applyFont="1" applyFill="1" applyBorder="1"/>
    <xf numFmtId="9" fontId="10" fillId="0" borderId="19" xfId="4" applyFont="1" applyFill="1" applyBorder="1"/>
    <xf numFmtId="0" fontId="10" fillId="0" borderId="19" xfId="4" applyNumberFormat="1" applyFont="1" applyFill="1" applyBorder="1"/>
    <xf numFmtId="9" fontId="10" fillId="0" borderId="10" xfId="0" applyNumberFormat="1" applyFont="1" applyFill="1" applyBorder="1"/>
    <xf numFmtId="0" fontId="10" fillId="0" borderId="7" xfId="4" applyNumberFormat="1" applyFont="1" applyFill="1" applyBorder="1"/>
    <xf numFmtId="0" fontId="10" fillId="0" borderId="4" xfId="4" applyNumberFormat="1" applyFont="1" applyFill="1" applyBorder="1"/>
    <xf numFmtId="9" fontId="10" fillId="0" borderId="0" xfId="4" applyFont="1" applyFill="1"/>
    <xf numFmtId="0" fontId="10" fillId="0" borderId="0" xfId="0" applyFont="1" applyFill="1" applyAlignment="1">
      <alignment horizontal="left"/>
    </xf>
    <xf numFmtId="1" fontId="10" fillId="0" borderId="16" xfId="0" applyNumberFormat="1" applyFont="1" applyFill="1" applyBorder="1"/>
    <xf numFmtId="1" fontId="10" fillId="0" borderId="18" xfId="0" applyNumberFormat="1" applyFont="1" applyFill="1" applyBorder="1"/>
    <xf numFmtId="1" fontId="10" fillId="0" borderId="5" xfId="0" applyNumberFormat="1" applyFont="1" applyFill="1" applyBorder="1"/>
    <xf numFmtId="0" fontId="10" fillId="0" borderId="0" xfId="0" applyNumberFormat="1" applyFont="1" applyFill="1"/>
    <xf numFmtId="1" fontId="10" fillId="0" borderId="0" xfId="0" applyNumberFormat="1" applyFont="1" applyFill="1"/>
    <xf numFmtId="1" fontId="9" fillId="0" borderId="5" xfId="0" applyNumberFormat="1" applyFont="1" applyFill="1" applyBorder="1"/>
    <xf numFmtId="1" fontId="9" fillId="0" borderId="0" xfId="0" applyNumberFormat="1" applyFont="1" applyFill="1" applyBorder="1"/>
    <xf numFmtId="9" fontId="10" fillId="0" borderId="0" xfId="4" quotePrefix="1" applyFont="1" applyFill="1"/>
    <xf numFmtId="9" fontId="10" fillId="0" borderId="16" xfId="4" applyFont="1" applyFill="1" applyBorder="1"/>
    <xf numFmtId="0" fontId="10" fillId="0" borderId="20" xfId="0" applyFont="1" applyFill="1" applyBorder="1"/>
    <xf numFmtId="0" fontId="10" fillId="0" borderId="16" xfId="4" applyNumberFormat="1" applyFont="1" applyFill="1" applyBorder="1"/>
    <xf numFmtId="9" fontId="9" fillId="0" borderId="5" xfId="4" applyFont="1" applyFill="1" applyBorder="1" applyAlignment="1">
      <alignment horizontal="center"/>
    </xf>
    <xf numFmtId="0" fontId="10" fillId="0" borderId="21" xfId="0" applyFont="1" applyFill="1" applyBorder="1"/>
    <xf numFmtId="0" fontId="0" fillId="0" borderId="0" xfId="0" applyFill="1" applyAlignment="1">
      <alignment horizontal="left"/>
    </xf>
    <xf numFmtId="9" fontId="10" fillId="0" borderId="24" xfId="4" applyFont="1" applyFill="1" applyBorder="1"/>
    <xf numFmtId="9" fontId="10" fillId="0" borderId="25" xfId="4" applyFont="1" applyFill="1" applyBorder="1"/>
    <xf numFmtId="9" fontId="10" fillId="0" borderId="23" xfId="4" applyFont="1" applyFill="1" applyBorder="1"/>
    <xf numFmtId="1" fontId="10" fillId="0" borderId="9" xfId="4" applyNumberFormat="1" applyFont="1" applyFill="1" applyBorder="1"/>
    <xf numFmtId="1" fontId="10" fillId="0" borderId="16" xfId="4" applyNumberFormat="1" applyFont="1" applyFill="1" applyBorder="1"/>
    <xf numFmtId="0" fontId="9" fillId="0" borderId="22" xfId="0" applyFont="1" applyFill="1" applyBorder="1" applyAlignment="1">
      <alignment horizontal="center" vertical="center"/>
    </xf>
    <xf numFmtId="0" fontId="9" fillId="0" borderId="14" xfId="0" applyFont="1" applyFill="1" applyBorder="1"/>
    <xf numFmtId="0" fontId="9" fillId="0" borderId="23" xfId="0" applyFont="1" applyFill="1" applyBorder="1" applyAlignment="1">
      <alignment horizontal="center" vertical="center"/>
    </xf>
    <xf numFmtId="0" fontId="10" fillId="0" borderId="23" xfId="0" applyFont="1" applyFill="1" applyBorder="1"/>
    <xf numFmtId="0" fontId="9" fillId="0" borderId="0" xfId="0" applyFont="1" applyFill="1" applyBorder="1" applyAlignment="1">
      <alignment horizontal="center" vertical="center"/>
    </xf>
    <xf numFmtId="0" fontId="5" fillId="0" borderId="0" xfId="0" applyFont="1" applyFill="1"/>
    <xf numFmtId="1" fontId="0" fillId="0" borderId="0" xfId="0" applyNumberFormat="1" applyFill="1"/>
    <xf numFmtId="0" fontId="10" fillId="0" borderId="28" xfId="0" applyFont="1" applyFill="1" applyBorder="1"/>
    <xf numFmtId="0" fontId="10" fillId="0" borderId="29" xfId="0" applyFont="1" applyFill="1" applyBorder="1"/>
    <xf numFmtId="9" fontId="10" fillId="0" borderId="30" xfId="4" applyFont="1" applyFill="1" applyBorder="1"/>
    <xf numFmtId="0" fontId="10" fillId="0" borderId="27" xfId="0" applyFont="1" applyFill="1" applyBorder="1"/>
    <xf numFmtId="9" fontId="10" fillId="0" borderId="31" xfId="4" applyFont="1" applyFill="1" applyBorder="1"/>
    <xf numFmtId="0" fontId="9" fillId="0" borderId="14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10" fontId="0" fillId="0" borderId="0" xfId="4" applyNumberFormat="1" applyFont="1" applyFill="1" applyBorder="1"/>
    <xf numFmtId="9" fontId="0" fillId="0" borderId="0" xfId="4" applyFont="1" applyFill="1" applyBorder="1"/>
    <xf numFmtId="1" fontId="0" fillId="0" borderId="0" xfId="0" applyNumberFormat="1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right"/>
    </xf>
    <xf numFmtId="1" fontId="4" fillId="0" borderId="0" xfId="0" applyNumberFormat="1" applyFont="1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center" wrapText="1"/>
    </xf>
    <xf numFmtId="14" fontId="5" fillId="0" borderId="0" xfId="0" quotePrefix="1" applyNumberFormat="1" applyFont="1" applyFill="1" applyBorder="1" applyAlignment="1">
      <alignment horizontal="center"/>
    </xf>
    <xf numFmtId="0" fontId="6" fillId="0" borderId="0" xfId="0" applyFont="1" applyFill="1" applyBorder="1"/>
    <xf numFmtId="14" fontId="5" fillId="0" borderId="0" xfId="0" applyNumberFormat="1" applyFont="1" applyFill="1" applyBorder="1" applyAlignment="1">
      <alignment horizontal="center"/>
    </xf>
    <xf numFmtId="165" fontId="0" fillId="0" borderId="0" xfId="4" applyNumberFormat="1" applyFont="1" applyFill="1" applyBorder="1"/>
    <xf numFmtId="14" fontId="4" fillId="0" borderId="0" xfId="0" applyNumberFormat="1" applyFont="1" applyFill="1" applyBorder="1"/>
    <xf numFmtId="14" fontId="0" fillId="0" borderId="0" xfId="0" applyNumberFormat="1" applyFont="1" applyFill="1" applyBorder="1" applyAlignment="1">
      <alignment horizontal="right"/>
    </xf>
    <xf numFmtId="14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5" fontId="0" fillId="0" borderId="0" xfId="0" applyNumberFormat="1" applyFont="1" applyFill="1" applyBorder="1"/>
    <xf numFmtId="0" fontId="5" fillId="0" borderId="0" xfId="0" applyFont="1" applyFill="1" applyBorder="1"/>
    <xf numFmtId="1" fontId="5" fillId="0" borderId="0" xfId="0" applyNumberFormat="1" applyFont="1" applyFill="1" applyBorder="1" applyAlignment="1">
      <alignment horizontal="center"/>
    </xf>
    <xf numFmtId="0" fontId="4" fillId="0" borderId="32" xfId="0" applyFont="1" applyFill="1" applyBorder="1" applyAlignment="1">
      <alignment horizontal="center" wrapText="1"/>
    </xf>
    <xf numFmtId="0" fontId="0" fillId="0" borderId="32" xfId="0" applyFont="1" applyFill="1" applyBorder="1"/>
    <xf numFmtId="0" fontId="0" fillId="0" borderId="0" xfId="0" quotePrefix="1" applyFont="1" applyFill="1" applyBorder="1" applyAlignment="1">
      <alignment horizontal="center"/>
    </xf>
    <xf numFmtId="1" fontId="0" fillId="0" borderId="0" xfId="0" quotePrefix="1" applyNumberFormat="1" applyFont="1" applyFill="1" applyBorder="1"/>
    <xf numFmtId="0" fontId="0" fillId="0" borderId="0" xfId="0" quotePrefix="1" applyFont="1" applyFill="1" applyBorder="1"/>
    <xf numFmtId="0" fontId="0" fillId="0" borderId="0" xfId="0" quotePrefix="1" applyFont="1" applyFill="1" applyBorder="1" applyAlignment="1">
      <alignment horizontal="left"/>
    </xf>
    <xf numFmtId="10" fontId="0" fillId="0" borderId="0" xfId="0" applyNumberFormat="1" applyFont="1" applyFill="1" applyBorder="1"/>
    <xf numFmtId="14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horizontal="right"/>
    </xf>
    <xf numFmtId="0" fontId="0" fillId="0" borderId="0" xfId="2" applyFont="1" applyFill="1" applyBorder="1"/>
    <xf numFmtId="0" fontId="0" fillId="0" borderId="0" xfId="2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1" fontId="0" fillId="0" borderId="0" xfId="0" applyNumberFormat="1" applyFont="1" applyFill="1" applyBorder="1" applyAlignment="1">
      <alignment horizontal="right"/>
    </xf>
    <xf numFmtId="0" fontId="7" fillId="0" borderId="0" xfId="0" applyFont="1" applyFill="1" applyBorder="1" applyAlignment="1">
      <alignment horizontal="center"/>
    </xf>
    <xf numFmtId="0" fontId="4" fillId="0" borderId="0" xfId="3" applyFont="1" applyFill="1" applyBorder="1"/>
    <xf numFmtId="14" fontId="5" fillId="0" borderId="0" xfId="2" applyNumberFormat="1" applyFont="1" applyFill="1" applyBorder="1" applyAlignment="1">
      <alignment horizontal="center"/>
    </xf>
    <xf numFmtId="15" fontId="0" fillId="0" borderId="0" xfId="0" applyNumberFormat="1" applyFont="1" applyFill="1" applyBorder="1" applyAlignment="1">
      <alignment horizontal="left"/>
    </xf>
    <xf numFmtId="0" fontId="0" fillId="0" borderId="0" xfId="1" applyFont="1" applyFill="1" applyBorder="1" applyAlignment="1">
      <alignment horizontal="right"/>
    </xf>
    <xf numFmtId="0" fontId="7" fillId="0" borderId="0" xfId="0" applyFont="1" applyFill="1" applyBorder="1"/>
    <xf numFmtId="14" fontId="0" fillId="0" borderId="0" xfId="0" applyNumberFormat="1" applyFont="1" applyFill="1" applyBorder="1" applyAlignment="1">
      <alignment horizontal="left"/>
    </xf>
    <xf numFmtId="1" fontId="0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/>
    <xf numFmtId="1" fontId="4" fillId="0" borderId="32" xfId="0" applyNumberFormat="1" applyFont="1" applyFill="1" applyBorder="1" applyAlignment="1">
      <alignment horizontal="center" wrapText="1"/>
    </xf>
    <xf numFmtId="10" fontId="4" fillId="0" borderId="32" xfId="4" applyNumberFormat="1" applyFont="1" applyFill="1" applyBorder="1" applyAlignment="1">
      <alignment horizontal="center" wrapText="1"/>
    </xf>
    <xf numFmtId="0" fontId="0" fillId="0" borderId="32" xfId="0" applyFont="1" applyFill="1" applyBorder="1" applyAlignment="1">
      <alignment horizontal="center" wrapText="1"/>
    </xf>
    <xf numFmtId="0" fontId="9" fillId="0" borderId="18" xfId="0" applyFont="1" applyFill="1" applyBorder="1" applyAlignment="1">
      <alignment horizontal="center" vertical="center"/>
    </xf>
    <xf numFmtId="0" fontId="9" fillId="0" borderId="23" xfId="0" applyFont="1" applyFill="1" applyBorder="1" applyAlignment="1">
      <alignment horizontal="center" vertical="center"/>
    </xf>
    <xf numFmtId="0" fontId="9" fillId="0" borderId="22" xfId="0" applyFont="1" applyFill="1" applyBorder="1" applyAlignment="1">
      <alignment horizontal="center" vertical="center"/>
    </xf>
    <xf numFmtId="1" fontId="9" fillId="0" borderId="22" xfId="0" applyNumberFormat="1" applyFont="1" applyFill="1" applyBorder="1" applyAlignment="1">
      <alignment horizontal="center" vertical="center"/>
    </xf>
    <xf numFmtId="1" fontId="9" fillId="0" borderId="23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9" fillId="0" borderId="15" xfId="0" applyFont="1" applyFill="1" applyBorder="1" applyAlignment="1">
      <alignment horizontal="center"/>
    </xf>
    <xf numFmtId="1" fontId="9" fillId="0" borderId="18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</cellXfs>
  <cellStyles count="5">
    <cellStyle name="Check Cell" xfId="3" builtinId="23"/>
    <cellStyle name="Good" xfId="1" builtinId="26"/>
    <cellStyle name="Input" xfId="2" builtinId="20"/>
    <cellStyle name="Normal" xfId="0" builtinId="0"/>
    <cellStyle name="Percent" xfId="4" builtinId="5"/>
  </cellStyles>
  <dxfs count="2">
    <dxf>
      <numFmt numFmtId="0" formatCode="General"/>
    </dxf>
    <dxf>
      <numFmt numFmtId="13" formatCode="0%"/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[felony_chart.xlsm]Felony Chart!PivotTable1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Felony Chart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'Felony Chart'!$E$3:$E$4</c:f>
              <c:strCache>
                <c:ptCount val="1"/>
                <c:pt idx="0">
                  <c:v>CASH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'Felony Chart'!$A$5:$D$10</c:f>
              <c:multiLvlStrCache>
                <c:ptCount val="5"/>
                <c:lvl>
                  <c:pt idx="0">
                    <c:v>DETAINED</c:v>
                  </c:pt>
                  <c:pt idx="1">
                    <c:v>ON BOND</c:v>
                  </c:pt>
                  <c:pt idx="2">
                    <c:v>NON -ARREST - NOT BOOKED - DEFERRED</c:v>
                  </c:pt>
                  <c:pt idx="3">
                    <c:v>NON-ARREST - NOT BOOKED - DISMISSED</c:v>
                  </c:pt>
                  <c:pt idx="4">
                    <c:v>ON BOND</c:v>
                  </c:pt>
                </c:lvl>
                <c:lvl>
                  <c:pt idx="0">
                    <c:v>Booked</c:v>
                  </c:pt>
                  <c:pt idx="2">
                    <c:v>Not Booked</c:v>
                  </c:pt>
                </c:lvl>
                <c:lvl>
                  <c:pt idx="0">
                    <c:v>DISPOSED</c:v>
                  </c:pt>
                </c:lvl>
                <c:lvl>
                  <c:pt idx="0">
                    <c:v>2000 or less</c:v>
                  </c:pt>
                </c:lvl>
              </c:multiLvlStrCache>
            </c:multiLvlStrRef>
          </c:cat>
          <c:val>
            <c:numRef>
              <c:f>'Felony Chart'!$E$5:$E$10</c:f>
              <c:numCache>
                <c:formatCode>General</c:formatCode>
                <c:ptCount val="5"/>
                <c:pt idx="1">
                  <c:v>1</c:v>
                </c:pt>
                <c:pt idx="4">
                  <c:v>1</c:v>
                </c:pt>
              </c:numCache>
            </c:numRef>
          </c:val>
        </c:ser>
        <c:ser>
          <c:idx val="1"/>
          <c:order val="1"/>
          <c:tx>
            <c:strRef>
              <c:f>'Felony Chart'!$F$3:$F$4</c:f>
              <c:strCache>
                <c:ptCount val="1"/>
                <c:pt idx="0">
                  <c:v>NONE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'Felony Chart'!$A$5:$D$10</c:f>
              <c:multiLvlStrCache>
                <c:ptCount val="5"/>
                <c:lvl>
                  <c:pt idx="0">
                    <c:v>DETAINED</c:v>
                  </c:pt>
                  <c:pt idx="1">
                    <c:v>ON BOND</c:v>
                  </c:pt>
                  <c:pt idx="2">
                    <c:v>NON -ARREST - NOT BOOKED - DEFERRED</c:v>
                  </c:pt>
                  <c:pt idx="3">
                    <c:v>NON-ARREST - NOT BOOKED - DISMISSED</c:v>
                  </c:pt>
                  <c:pt idx="4">
                    <c:v>ON BOND</c:v>
                  </c:pt>
                </c:lvl>
                <c:lvl>
                  <c:pt idx="0">
                    <c:v>Booked</c:v>
                  </c:pt>
                  <c:pt idx="2">
                    <c:v>Not Booked</c:v>
                  </c:pt>
                </c:lvl>
                <c:lvl>
                  <c:pt idx="0">
                    <c:v>DISPOSED</c:v>
                  </c:pt>
                </c:lvl>
                <c:lvl>
                  <c:pt idx="0">
                    <c:v>2000 or less</c:v>
                  </c:pt>
                </c:lvl>
              </c:multiLvlStrCache>
            </c:multiLvlStrRef>
          </c:cat>
          <c:val>
            <c:numRef>
              <c:f>'Felony Chart'!$F$5:$F$10</c:f>
              <c:numCache>
                <c:formatCode>General</c:formatCode>
                <c:ptCount val="5"/>
                <c:pt idx="0">
                  <c:v>142</c:v>
                </c:pt>
                <c:pt idx="2">
                  <c:v>2</c:v>
                </c:pt>
                <c:pt idx="3">
                  <c:v>5</c:v>
                </c:pt>
              </c:numCache>
            </c:numRef>
          </c:val>
        </c:ser>
        <c:ser>
          <c:idx val="2"/>
          <c:order val="2"/>
          <c:tx>
            <c:strRef>
              <c:f>'Felony Chart'!$G$3:$G$4</c:f>
              <c:strCache>
                <c:ptCount val="1"/>
                <c:pt idx="0">
                  <c:v>PTR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'Felony Chart'!$A$5:$D$10</c:f>
              <c:multiLvlStrCache>
                <c:ptCount val="5"/>
                <c:lvl>
                  <c:pt idx="0">
                    <c:v>DETAINED</c:v>
                  </c:pt>
                  <c:pt idx="1">
                    <c:v>ON BOND</c:v>
                  </c:pt>
                  <c:pt idx="2">
                    <c:v>NON -ARREST - NOT BOOKED - DEFERRED</c:v>
                  </c:pt>
                  <c:pt idx="3">
                    <c:v>NON-ARREST - NOT BOOKED - DISMISSED</c:v>
                  </c:pt>
                  <c:pt idx="4">
                    <c:v>ON BOND</c:v>
                  </c:pt>
                </c:lvl>
                <c:lvl>
                  <c:pt idx="0">
                    <c:v>Booked</c:v>
                  </c:pt>
                  <c:pt idx="2">
                    <c:v>Not Booked</c:v>
                  </c:pt>
                </c:lvl>
                <c:lvl>
                  <c:pt idx="0">
                    <c:v>DISPOSED</c:v>
                  </c:pt>
                </c:lvl>
                <c:lvl>
                  <c:pt idx="0">
                    <c:v>2000 or less</c:v>
                  </c:pt>
                </c:lvl>
              </c:multiLvlStrCache>
            </c:multiLvlStrRef>
          </c:cat>
          <c:val>
            <c:numRef>
              <c:f>'Felony Chart'!$G$5:$G$10</c:f>
              <c:numCache>
                <c:formatCode>General</c:formatCode>
                <c:ptCount val="5"/>
                <c:pt idx="0">
                  <c:v>1</c:v>
                </c:pt>
                <c:pt idx="1">
                  <c:v>15</c:v>
                </c:pt>
                <c:pt idx="4">
                  <c:v>1</c:v>
                </c:pt>
              </c:numCache>
            </c:numRef>
          </c:val>
        </c:ser>
        <c:ser>
          <c:idx val="3"/>
          <c:order val="3"/>
          <c:tx>
            <c:strRef>
              <c:f>'Felony Chart'!$H$3:$H$4</c:f>
              <c:strCache>
                <c:ptCount val="1"/>
                <c:pt idx="0">
                  <c:v>SURETY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'Felony Chart'!$A$5:$D$10</c:f>
              <c:multiLvlStrCache>
                <c:ptCount val="5"/>
                <c:lvl>
                  <c:pt idx="0">
                    <c:v>DETAINED</c:v>
                  </c:pt>
                  <c:pt idx="1">
                    <c:v>ON BOND</c:v>
                  </c:pt>
                  <c:pt idx="2">
                    <c:v>NON -ARREST - NOT BOOKED - DEFERRED</c:v>
                  </c:pt>
                  <c:pt idx="3">
                    <c:v>NON-ARREST - NOT BOOKED - DISMISSED</c:v>
                  </c:pt>
                  <c:pt idx="4">
                    <c:v>ON BOND</c:v>
                  </c:pt>
                </c:lvl>
                <c:lvl>
                  <c:pt idx="0">
                    <c:v>Booked</c:v>
                  </c:pt>
                  <c:pt idx="2">
                    <c:v>Not Booked</c:v>
                  </c:pt>
                </c:lvl>
                <c:lvl>
                  <c:pt idx="0">
                    <c:v>DISPOSED</c:v>
                  </c:pt>
                </c:lvl>
                <c:lvl>
                  <c:pt idx="0">
                    <c:v>2000 or less</c:v>
                  </c:pt>
                </c:lvl>
              </c:multiLvlStrCache>
            </c:multiLvlStrRef>
          </c:cat>
          <c:val>
            <c:numRef>
              <c:f>'Felony Chart'!$H$5:$H$10</c:f>
              <c:numCache>
                <c:formatCode>General</c:formatCode>
                <c:ptCount val="5"/>
                <c:pt idx="0">
                  <c:v>21</c:v>
                </c:pt>
                <c:pt idx="1">
                  <c:v>162</c:v>
                </c:pt>
                <c:pt idx="4">
                  <c:v>78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3487872"/>
        <c:axId val="13749632"/>
      </c:barChart>
      <c:catAx>
        <c:axId val="193487872"/>
        <c:scaling>
          <c:orientation val="minMax"/>
        </c:scaling>
        <c:delete val="0"/>
        <c:axPos val="b"/>
        <c:majorTickMark val="out"/>
        <c:minorTickMark val="none"/>
        <c:tickLblPos val="nextTo"/>
        <c:crossAx val="13749632"/>
        <c:crosses val="autoZero"/>
        <c:auto val="1"/>
        <c:lblAlgn val="ctr"/>
        <c:lblOffset val="100"/>
        <c:noMultiLvlLbl val="0"/>
      </c:catAx>
      <c:valAx>
        <c:axId val="1374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487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9</xdr:row>
      <xdr:rowOff>9525</xdr:rowOff>
    </xdr:from>
    <xdr:to>
      <xdr:col>3</xdr:col>
      <xdr:colOff>1304926</xdr:colOff>
      <xdr:row>33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athan Ford" refreshedDate="42859.887982291664" createdVersion="4" refreshedVersion="4" minRefreshableVersion="3" recordCount="3205">
  <cacheSource type="worksheet">
    <worksheetSource ref="A1:CK3206" sheet="Sheet1"/>
  </cacheSource>
  <cacheFields count="89">
    <cacheField name="Ref" numFmtId="1">
      <sharedItems containsSemiMixedTypes="0" containsString="0" containsNumber="1" containsInteger="1" minValue="2" maxValue="3268"/>
    </cacheField>
    <cacheField name="RECIDIVISM Y/N  (POST DISP. OUTCOME)" numFmtId="0">
      <sharedItems/>
    </cacheField>
    <cacheField name="PRETRIAL MISCONDUCT Y/N" numFmtId="0">
      <sharedItems/>
    </cacheField>
    <cacheField name="SPN 2" numFmtId="0">
      <sharedItems containsSemiMixedTypes="0" containsString="0" containsNumber="1" containsInteger="1" minValue="10267" maxValue="2616797"/>
    </cacheField>
    <cacheField name="DISPOSITION SEVERITY SCORE" numFmtId="0">
      <sharedItems containsMixedTypes="1" containsNumber="1" containsInteger="1" minValue="1" maxValue="6"/>
    </cacheField>
    <cacheField name="DATE FILED" numFmtId="14">
      <sharedItems containsSemiMixedTypes="0" containsNonDate="0" containsDate="1" containsString="0" minDate="2010-09-24T00:00:00" maxDate="2012-06-05T00:00:00"/>
    </cacheField>
    <cacheField name="DATE DISPOSED" numFmtId="14">
      <sharedItems containsNonDate="0" containsDate="1" containsString="0" containsBlank="1" minDate="2012-01-03T00:00:00" maxDate="2015-03-31T00:00:00"/>
    </cacheField>
    <cacheField name="SPN" numFmtId="0">
      <sharedItems containsSemiMixedTypes="0" containsString="0" containsNumber="1" containsInteger="1" minValue="10267" maxValue="2616797"/>
    </cacheField>
    <cacheField name="HCJ DATE BOOKED" numFmtId="14">
      <sharedItems containsDate="1" containsMixedTypes="1" minDate="2011-05-04T00:00:00" maxDate="2015-02-27T00:00:00"/>
    </cacheField>
    <cacheField name="DATE INITIAL  RELEASED" numFmtId="14">
      <sharedItems containsDate="1" containsBlank="1" containsMixedTypes="1" minDate="2011-05-07T00:00:00" maxDate="2015-03-13T00:00:00"/>
    </cacheField>
    <cacheField name="BOND $" numFmtId="0">
      <sharedItems containsMixedTypes="1" containsNumber="1" containsInteger="1" minValue="0" maxValue="2000000"/>
    </cacheField>
    <cacheField name="BOND CAT" numFmtId="0">
      <sharedItems count="6">
        <s v="10001-20000"/>
        <s v="NO BOND"/>
        <s v="&gt; 20000"/>
        <s v="5001-10000"/>
        <s v="2001-5000"/>
        <s v="2000 or less"/>
      </sharedItems>
    </cacheField>
    <cacheField name="INITIAL DATE MADE" numFmtId="0">
      <sharedItems containsDate="1" containsBlank="1" containsMixedTypes="1" minDate="2011-05-07T00:00:00" maxDate="2014-02-14T00:00:00"/>
    </cacheField>
    <cacheField name="MADE Y / N" numFmtId="0">
      <sharedItems/>
    </cacheField>
    <cacheField name="BAIL TYPE" numFmtId="0">
      <sharedItems/>
    </cacheField>
    <cacheField name="JUDGEMENT" numFmtId="0">
      <sharedItems/>
    </cacheField>
    <cacheField name="DAYS DETAINED " numFmtId="1">
      <sharedItems containsBlank="1" containsMixedTypes="1" containsNumber="1" containsInteger="1" minValue="0" maxValue="1146"/>
    </cacheField>
    <cacheField name="CASE AGE" numFmtId="1">
      <sharedItems containsBlank="1" containsMixedTypes="1" containsNumber="1" containsInteger="1" minValue="1" maxValue="1147"/>
    </cacheField>
    <cacheField name="felony priors" numFmtId="0">
      <sharedItems containsSemiMixedTypes="0" containsString="0" containsNumber="1" containsInteger="1" minValue="0" maxValue="28"/>
    </cacheField>
    <cacheField name="Misd priors" numFmtId="0">
      <sharedItems containsSemiMixedTypes="0" containsString="0" containsNumber="1" containsInteger="1" minValue="0" maxValue="25"/>
    </cacheField>
    <cacheField name="prior fel tdc" numFmtId="0">
      <sharedItems containsString="0" containsBlank="1" containsNumber="1" containsInteger="1" minValue="0" maxValue="46"/>
    </cacheField>
    <cacheField name="TDC YRS" numFmtId="0">
      <sharedItems containsString="0" containsBlank="1" containsNumber="1" containsInteger="1" minValue="1" maxValue="8"/>
    </cacheField>
    <cacheField name="F HCJ MO" numFmtId="0">
      <sharedItems containsString="0" containsBlank="1" containsNumber="1" containsInteger="1" minValue="3" maxValue="7"/>
    </cacheField>
    <cacheField name="fel prob" numFmtId="0">
      <sharedItems containsNonDate="0" containsString="0" containsBlank="1"/>
    </cacheField>
    <cacheField name="prior misd prob" numFmtId="0">
      <sharedItems containsNonDate="0" containsString="0" containsBlank="1"/>
    </cacheField>
    <cacheField name="pr misd hcj" numFmtId="0">
      <sharedItems containsNonDate="0" containsString="0" containsBlank="1"/>
    </cacheField>
    <cacheField name="prior Mis fine" numFmtId="0">
      <sharedItems containsNonDate="0" containsString="0" containsBlank="1"/>
    </cacheField>
    <cacheField name="SPAN SUR NAM" numFmtId="0">
      <sharedItems containsBlank="1"/>
    </cacheField>
    <cacheField name="DefendantsName" numFmtId="15">
      <sharedItems containsNonDate="0" containsString="0" containsBlank="1"/>
    </cacheField>
    <cacheField name="DOB" numFmtId="15">
      <sharedItems containsSemiMixedTypes="0" containsNonDate="0" containsDate="1" containsString="0" minDate="1930-05-27T00:00:00" maxDate="1997-01-05T00:00:00"/>
    </cacheField>
    <cacheField name="Gender" numFmtId="0">
      <sharedItems/>
    </cacheField>
    <cacheField name="race/ethnicity(JIMS QCAS)" numFmtId="0">
      <sharedItems/>
    </cacheField>
    <cacheField name="Race/Ethnicity" numFmtId="0">
      <sharedItems/>
    </cacheField>
    <cacheField name="JIMS Ethnicity  " numFmtId="0">
      <sharedItems/>
    </cacheField>
    <cacheField name="Court" numFmtId="0">
      <sharedItems containsMixedTypes="1" containsNumber="1" containsInteger="1" minValue="232" maxValue="337"/>
    </cacheField>
    <cacheField name="JudgmentCategory" numFmtId="0">
      <sharedItems containsBlank="1"/>
    </cacheField>
    <cacheField name=" SETTINGS" numFmtId="0">
      <sharedItems containsString="0" containsBlank="1" containsNumber="1" containsInteger="1" minValue="1" maxValue="39"/>
    </cacheField>
    <cacheField name="Sentence" numFmtId="0">
      <sharedItems containsBlank="1"/>
    </cacheField>
    <cacheField name="TDC Yrs2" numFmtId="0">
      <sharedItems containsString="0" containsBlank="1" containsNumber="1" containsInteger="1" minValue="1" maxValue="99"/>
    </cacheField>
    <cacheField name="Stj Mo" numFmtId="0">
      <sharedItems containsString="0" containsBlank="1" containsNumber="1" containsInteger="1" minValue="6" maxValue="24"/>
    </cacheField>
    <cacheField name="Hcj Days" numFmtId="0">
      <sharedItems containsString="0" containsBlank="1" containsNumber="1" containsInteger="1" minValue="1" maxValue="365"/>
    </cacheField>
    <cacheField name="OffenseDescription" numFmtId="0">
      <sharedItems/>
    </cacheField>
    <cacheField name="PenalCode" numFmtId="0">
      <sharedItems containsNonDate="0" containsString="0" containsBlank="1"/>
    </cacheField>
    <cacheField name="OffenseClass" numFmtId="0">
      <sharedItems containsBlank="1"/>
    </cacheField>
    <cacheField name="Offense" numFmtId="0">
      <sharedItems/>
    </cacheField>
    <cacheField name="NOTED SPECIAL ISSUES " numFmtId="0">
      <sharedItems containsBlank="1"/>
    </cacheField>
    <cacheField name="  bd revoke notes" numFmtId="0">
      <sharedItems containsDate="1" containsBlank="1" containsMixedTypes="1" minDate="2012-03-06T00:00:00" maxDate="2013-10-17T00:00:00"/>
    </cacheField>
    <cacheField name="bond fort " numFmtId="0">
      <sharedItems containsBlank="1"/>
    </cacheField>
    <cacheField name="Bfdate" numFmtId="0">
      <sharedItems containsDate="1" containsBlank="1" containsMixedTypes="1" minDate="2012-02-13T00:00:00" maxDate="2013-10-15T00:00:00"/>
    </cacheField>
    <cacheField name="BD REVOKED" numFmtId="0">
      <sharedItems containsDate="1" containsBlank="1" containsMixedTypes="1" minDate="2012-08-22T00:00:00" maxDate="2012-08-23T00:00:00"/>
    </cacheField>
    <cacheField name="FUGITIVE - STILL OUTSTANDING" numFmtId="0">
      <sharedItems containsBlank="1"/>
    </cacheField>
    <cacheField name="date apprehend" numFmtId="0">
      <sharedItems containsNonDate="0" containsDate="1" containsString="0" containsBlank="1" minDate="2012-11-04T00:00:00" maxDate="2014-05-08T00:00:00"/>
    </cacheField>
    <cacheField name="date judg paid" numFmtId="0">
      <sharedItems containsDate="1" containsBlank="1" containsMixedTypes="1" minDate="2012-03-19T00:00:00" maxDate="2020-10-16T00:00:00"/>
    </cacheField>
    <cacheField name="forfeit paid $" numFmtId="0">
      <sharedItems containsBlank="1" containsMixedTypes="1" containsNumber="1" minValue="235" maxValue="2823"/>
    </cacheField>
    <cacheField name="Counsel Type " numFmtId="0">
      <sharedItems/>
    </cacheField>
    <cacheField name="recidivism  newcase" numFmtId="0">
      <sharedItems containsBlank="1"/>
    </cacheField>
    <cacheField name="NOTES" numFmtId="0">
      <sharedItems containsBlank="1"/>
    </cacheField>
    <cacheField name="DAYS DETAINED" numFmtId="0">
      <sharedItems containsMixedTypes="1" containsNumber="1" containsInteger="1" minValue="-42" maxValue="1147"/>
    </cacheField>
    <cacheField name="Booked vs. Disposition" numFmtId="1">
      <sharedItems containsBlank="1" containsMixedTypes="1" containsNumber="1" containsInteger="1" minValue="0" maxValue="1146"/>
    </cacheField>
    <cacheField name="Case Life (File vs. Disp)" numFmtId="1">
      <sharedItems containsMixedTypes="1" containsNumber="1" containsInteger="1" minValue="1" maxValue="1147"/>
    </cacheField>
    <cacheField name="Defendants Age" numFmtId="1">
      <sharedItems containsSemiMixedTypes="0" containsString="0" containsNumber="1" minValue="15.163934426229508" maxValue="81.497267759562845"/>
    </cacheField>
    <cacheField name="Notes 2 " numFmtId="0">
      <sharedItems containsMixedTypes="1" containsNumber="1" containsInteger="1" minValue="-42075" maxValue="42059"/>
    </cacheField>
    <cacheField name="DAYS QC" numFmtId="0">
      <sharedItems containsMixedTypes="1" containsNumber="1" containsInteger="1" minValue="-42059" maxValue="41335"/>
    </cacheField>
    <cacheField name="Conviction " numFmtId="0">
      <sharedItems containsMixedTypes="1" containsNumber="1" containsInteger="1" minValue="0" maxValue="0"/>
    </cacheField>
    <cacheField name="bail type made simple" numFmtId="0">
      <sharedItems count="4">
        <s v="NONE"/>
        <s v="SURETY"/>
        <s v="PTR"/>
        <s v="CASH"/>
      </sharedItems>
    </cacheField>
    <cacheField name="bond 2 (VALUES)" numFmtId="0">
      <sharedItems containsBlank="1"/>
    </cacheField>
    <cacheField name="convictino formula" numFmtId="0">
      <sharedItems containsNonDate="0" containsString="0" containsBlank="1"/>
    </cacheField>
    <cacheField name="=IF(OR(AP1=&quot;AQUITTAL&quot;,AP1=&quot;DISMISSED&quot;,AP1=&quot;FINE&quot;,AP1=&quot;NO BILL&quot;),&quot;NO CONVICTION&quot;,IF(OR(AP1=&quot;HCJ&quot;,AP1=&quot;MHH&quot;,AP1=&quot;PROBATION&quot;,AP1=&quot;STJ&quot;,AP1=&quot;TDC&quot;),&quot;CONVICTION&quot;,IF(AP1=&quot;DEFERRED&quot;,&quot;DEFERRED&quot;,0)))" numFmtId="0">
      <sharedItems containsBlank="1"/>
    </cacheField>
    <cacheField name="Detained Days Y/N" numFmtId="0">
      <sharedItems containsMixedTypes="1" containsNumber="1" containsInteger="1" minValue="-42" maxValue="0"/>
    </cacheField>
    <cacheField name="PRETRIAL STATUS AT DISPOSITION" numFmtId="0">
      <sharedItems count="8">
        <s v="DETAINED"/>
        <s v="ON BOND"/>
        <s v="NON-ARREST - NOT BOOKED - DISMISSED"/>
        <s v="STILL OPEN"/>
        <s v="STILL OPEN - FUGITIVE"/>
        <s v="NON -ARREST - NOT BOOKED - DEFERRED"/>
        <s v="NON ARREST - NOT BOOKED - NO BILL"/>
        <s v="STILL OPEN - "/>
      </sharedItems>
    </cacheField>
    <cacheField name="CASE DISPOSED STATUS" numFmtId="0">
      <sharedItems count="2">
        <s v="DISPOSED"/>
        <s v="STILL OPEN"/>
      </sharedItems>
    </cacheField>
    <cacheField name="FELONY PRIOR" numFmtId="0">
      <sharedItems/>
    </cacheField>
    <cacheField name="Pretrial Days Detained % of Case Age (From Filing Date to Disp)" numFmtId="0">
      <sharedItems containsMixedTypes="1" containsNumber="1" minValue="0" maxValue="1.2900763358778626"/>
    </cacheField>
    <cacheField name="BK Pretrial Days Detained % of Case Age (from initial booking to disposition)" numFmtId="0">
      <sharedItems containsBlank="1" containsMixedTypes="1" containsNumber="1" minValue="-32.484848484848484" maxValue="21.94"/>
    </cacheField>
    <cacheField name="Difference Det. Days %  " numFmtId="10">
      <sharedItems containsMixedTypes="1" containsNumber="1" minValue="-32.484848484848484" maxValue="0.98715203426124198"/>
    </cacheField>
    <cacheField name="qc - Rachelle. Should be 0" numFmtId="1">
      <sharedItems containsMixedTypes="1" containsNumber="1" containsInteger="1" minValue="-66" maxValue="771"/>
    </cacheField>
    <cacheField name="RECALC" numFmtId="0">
      <sharedItems containsMixedTypes="1" containsNumber="1" containsInteger="1" minValue="-1146" maxValue="41933"/>
    </cacheField>
    <cacheField name="CASES W MORE TIME" numFmtId="1">
      <sharedItems containsMixedTypes="1" containsNumber="1" containsInteger="1" minValue="-442" maxValue="42059"/>
    </cacheField>
    <cacheField name="DAYS DETAINED2" numFmtId="0">
      <sharedItems containsBlank="1" containsMixedTypes="1" containsNumber="1" containsInteger="1" minValue="-876" maxValue="1146"/>
    </cacheField>
    <cacheField name="X" numFmtId="0">
      <sharedItems containsMixedTypes="1" containsNumber="1" containsInteger="1" minValue="0" maxValue="634"/>
    </cacheField>
    <cacheField name="DAYS DETAINED CALC --- PRETRIAL MIS Y = HARD CODE / NO -- AND PRETRIAL IS BOND -- BOND MADE DATE  OR HARD CODE / IF NO AND PRETRIAL IS NO BOND  - CALC / IF NO  AND NOT BOOKED - 0" numFmtId="0">
      <sharedItems containsBlank="1" containsMixedTypes="1" containsNumber="1" containsInteger="1" minValue="-40976" maxValue="1147"/>
    </cacheField>
    <cacheField name="DIFF SB 0 " numFmtId="0">
      <sharedItems containsBlank="1" containsMixedTypes="1" containsNumber="1" containsInteger="1" minValue="-223" maxValue="1105"/>
    </cacheField>
    <cacheField name="'=IF((AND(BS2=&quot;DISPOSED&quot;,BR2=&quot;DETAINED&quot;),G2-I2)),IF((AND(BS2=&quot;DISPOSED&quot;,BR2=&quot;ON BOND&quot;),M2-I2,IF(((AND(BS2=&quot;DISPOSED&quot;,BR2=&quot;STILL OPEN&quot;)),&quot;STILL OPEN&quot;)))))" numFmtId="0">
      <sharedItems containsBlank="1" containsMixedTypes="1" containsNumber="1" containsInteger="1" minValue="-41305" maxValue="41723"/>
    </cacheField>
    <cacheField name="V" numFmtId="0">
      <sharedItems containsBlank="1" containsMixedTypes="1" containsNumber="1" containsInteger="1" minValue="-40977" maxValue="778"/>
    </cacheField>
    <cacheField name="PRIORS Y/N" numFmtId="0">
      <sharedItems/>
    </cacheField>
    <cacheField name="XX" numFmtId="0">
      <sharedItems containsBlank="1"/>
    </cacheField>
    <cacheField name="LABEL DETAINED DAYS" numFmtId="0">
      <sharedItems/>
    </cacheField>
    <cacheField name="LABEL 2 DETAINED DAYS" numFmtId="0">
      <sharedItems containsSemiMixedTypes="0" containsString="0" containsNumber="1" containsInteger="1" minValue="0" maxValue="9"/>
    </cacheField>
    <cacheField name="HCJ Booked" numFmtId="0">
      <sharedItems count="2">
        <s v="Booked"/>
        <s v="Not Book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05">
  <r>
    <n v="1349"/>
    <s v="N"/>
    <s v="N"/>
    <n v="10267"/>
    <n v="5"/>
    <d v="2012-02-19T00:00:00"/>
    <d v="2012-04-03T00:00:00"/>
    <n v="10267"/>
    <d v="2012-02-19T00:00:00"/>
    <d v="2012-04-03T00:00:00"/>
    <n v="15000"/>
    <x v="0"/>
    <m/>
    <s v="N"/>
    <s v="NONE"/>
    <s v="GUILTY PLEA - NO JURY"/>
    <n v="45"/>
    <n v="45"/>
    <n v="11"/>
    <n v="5"/>
    <n v="7"/>
    <m/>
    <m/>
    <m/>
    <m/>
    <m/>
    <m/>
    <m/>
    <m/>
    <d v="1953-10-10T00:00:00"/>
    <s v="M"/>
    <s v="B"/>
    <s v="BLACK"/>
    <s v="NULL"/>
    <s v="232"/>
    <s v="CONVICTED"/>
    <n v="3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45"/>
    <n v="45"/>
    <n v="45"/>
    <n v="58.240437158469945"/>
    <n v="0"/>
    <n v="0"/>
    <s v="CONVICTION"/>
    <x v="0"/>
    <s v="N"/>
    <m/>
    <s v="CONVICTION"/>
    <s v="Y"/>
    <x v="0"/>
    <x v="0"/>
    <s v="Y"/>
    <n v="1"/>
    <n v="1"/>
    <n v="0"/>
    <n v="0"/>
    <n v="-45"/>
    <n v="0"/>
    <n v="45"/>
    <e v="#VALUE!"/>
    <n v="45"/>
    <n v="0"/>
    <n v="0"/>
    <n v="44"/>
    <s v="Y"/>
    <e v="#VALUE!"/>
    <s v="31-60 DAYS"/>
    <n v="3"/>
    <x v="0"/>
  </r>
  <r>
    <n v="2616"/>
    <s v="N"/>
    <s v="N"/>
    <n v="40834"/>
    <n v="5"/>
    <d v="2012-04-06T00:00:00"/>
    <d v="2012-06-12T00:00:00"/>
    <n v="40834"/>
    <d v="2012-04-11T00:00:00"/>
    <d v="2012-06-12T00:00:00"/>
    <n v="15000"/>
    <x v="0"/>
    <m/>
    <s v="N"/>
    <s v="NONE"/>
    <s v="GUILTY PLEA - NO JURY"/>
    <n v="63"/>
    <n v="68"/>
    <n v="8"/>
    <n v="4"/>
    <n v="6"/>
    <m/>
    <m/>
    <m/>
    <m/>
    <m/>
    <m/>
    <m/>
    <m/>
    <d v="1951-08-29T00:00:00"/>
    <s v="M"/>
    <s v="B"/>
    <s v="BLACK"/>
    <s v="NON-HISPANIC"/>
    <s v="351"/>
    <s v="CONVICTED"/>
    <n v="4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63"/>
    <n v="63"/>
    <n v="68"/>
    <n v="60.480874316939889"/>
    <n v="0"/>
    <n v="0"/>
    <s v="CONVICTION"/>
    <x v="0"/>
    <s v="N"/>
    <m/>
    <s v="CONVICTION"/>
    <s v="Y"/>
    <x v="0"/>
    <x v="0"/>
    <s v="Y"/>
    <n v="0.92647058823529416"/>
    <n v="1"/>
    <n v="7.3529411764705843E-2"/>
    <n v="0"/>
    <n v="-63"/>
    <n v="0"/>
    <n v="63"/>
    <e v="#VALUE!"/>
    <n v="63"/>
    <n v="0"/>
    <n v="0"/>
    <n v="62"/>
    <s v="Y"/>
    <m/>
    <s v="61-90 DAYS"/>
    <n v="4"/>
    <x v="0"/>
  </r>
  <r>
    <n v="2673"/>
    <s v="N"/>
    <s v="N"/>
    <n v="43872"/>
    <n v="6"/>
    <d v="2012-04-09T00:00:00"/>
    <d v="2013-05-01T00:00:00"/>
    <n v="43872"/>
    <d v="2012-06-26T00:00:00"/>
    <d v="2013-05-01T00:00:00"/>
    <s v="NO BOND"/>
    <x v="1"/>
    <m/>
    <s v="N"/>
    <s v="NONE"/>
    <s v="GUILTY PLEA - NO JURY"/>
    <n v="310"/>
    <n v="388"/>
    <n v="5"/>
    <n v="1"/>
    <n v="4"/>
    <m/>
    <m/>
    <m/>
    <m/>
    <m/>
    <m/>
    <m/>
    <m/>
    <d v="1950-10-17T00:00:00"/>
    <s v="M"/>
    <s v="H"/>
    <s v="HISPANIC"/>
    <s v="HISPANIC"/>
    <s v="178"/>
    <s v="CONVICTED"/>
    <n v="11"/>
    <s v="TDC"/>
    <n v="12"/>
    <m/>
    <m/>
    <s v="INDECENCY CHILD-TG"/>
    <m/>
    <s v="F2"/>
    <s v="SEX ABUSE"/>
    <m/>
    <m/>
    <m/>
    <m/>
    <m/>
    <m/>
    <m/>
    <m/>
    <m/>
    <s v="Appointed Attorney"/>
    <m/>
    <m/>
    <n v="310"/>
    <n v="310"/>
    <n v="388"/>
    <n v="61.352459016393439"/>
    <n v="0"/>
    <n v="0"/>
    <s v="CONVICTION"/>
    <x v="0"/>
    <s v="N"/>
    <m/>
    <s v="CONVICTION"/>
    <s v="Y"/>
    <x v="0"/>
    <x v="0"/>
    <s v="Y"/>
    <n v="0.7989690721649485"/>
    <n v="1"/>
    <n v="0.2010309278350515"/>
    <n v="0"/>
    <n v="-310"/>
    <n v="0"/>
    <n v="310"/>
    <e v="#VALUE!"/>
    <n v="310"/>
    <n v="0"/>
    <n v="0"/>
    <n v="309"/>
    <s v="Y"/>
    <m/>
    <s v="121-365 DAYS"/>
    <n v="6"/>
    <x v="0"/>
  </r>
  <r>
    <n v="362"/>
    <s v="N"/>
    <s v="N"/>
    <n v="48182"/>
    <n v="6"/>
    <d v="2012-01-15T00:00:00"/>
    <d v="2012-02-16T00:00:00"/>
    <n v="48182"/>
    <d v="2012-01-15T00:00:00"/>
    <d v="2012-02-16T00:00:00"/>
    <s v="NO BOND"/>
    <x v="1"/>
    <m/>
    <s v="N"/>
    <s v="NONE"/>
    <s v="GUILTY PLEA - NO JURY"/>
    <n v="33"/>
    <n v="33"/>
    <n v="6"/>
    <n v="9"/>
    <n v="5"/>
    <m/>
    <m/>
    <m/>
    <m/>
    <m/>
    <m/>
    <m/>
    <m/>
    <d v="1957-01-06T00:00:00"/>
    <s v="M"/>
    <s v="H"/>
    <s v="HISPANIC"/>
    <s v="HISPANIC"/>
    <s v="176"/>
    <s v="CONVICTED"/>
    <n v="2"/>
    <s v="TDC"/>
    <n v="4"/>
    <m/>
    <m/>
    <s v="DWI 3RD OFFENDER BAC .08"/>
    <m/>
    <s v="F3"/>
    <s v="FEL DWI"/>
    <m/>
    <m/>
    <m/>
    <m/>
    <m/>
    <m/>
    <m/>
    <m/>
    <m/>
    <s v="Hired Attorney"/>
    <m/>
    <m/>
    <n v="33"/>
    <n v="33"/>
    <n v="33"/>
    <n v="54.909836065573771"/>
    <n v="0"/>
    <n v="0"/>
    <s v="CONVICTION"/>
    <x v="0"/>
    <s v="N"/>
    <m/>
    <s v="CONVICTION"/>
    <s v="Y"/>
    <x v="0"/>
    <x v="0"/>
    <s v="Y"/>
    <n v="1"/>
    <n v="1"/>
    <n v="0"/>
    <n v="0"/>
    <n v="-33"/>
    <n v="0"/>
    <n v="33"/>
    <e v="#VALUE!"/>
    <n v="33"/>
    <n v="0"/>
    <n v="0"/>
    <n v="32"/>
    <s v="Y"/>
    <m/>
    <s v="31-60 DAYS"/>
    <n v="3"/>
    <x v="0"/>
  </r>
  <r>
    <n v="531"/>
    <s v="N"/>
    <s v="N"/>
    <n v="48245"/>
    <n v="2"/>
    <d v="2012-01-21T00:00:00"/>
    <d v="2012-05-10T00:00:00"/>
    <n v="48245"/>
    <d v="2012-04-20T00:00:00"/>
    <d v="2012-05-10T00:00:00"/>
    <s v="NO BOND"/>
    <x v="1"/>
    <m/>
    <s v="N"/>
    <s v="NONE"/>
    <s v="DEFERRED ADJUDICATION "/>
    <n v="21"/>
    <n v="111"/>
    <n v="3"/>
    <n v="6"/>
    <n v="2"/>
    <n v="1"/>
    <m/>
    <m/>
    <m/>
    <m/>
    <m/>
    <m/>
    <m/>
    <d v="1958-07-30T00:00:00"/>
    <s v="M"/>
    <s v="W"/>
    <s v="WHITE"/>
    <s v="NON-HISPANIC"/>
    <s v="209"/>
    <s v="DEFERRED"/>
    <n v="3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21"/>
    <n v="21"/>
    <n v="111"/>
    <n v="53.368852459016395"/>
    <n v="0"/>
    <n v="0"/>
    <s v="DEFERRED"/>
    <x v="0"/>
    <s v="N"/>
    <m/>
    <s v="DEFERRED"/>
    <s v="Y"/>
    <x v="0"/>
    <x v="0"/>
    <s v="Y"/>
    <n v="0.1891891891891892"/>
    <n v="1"/>
    <n v="0.81081081081081074"/>
    <n v="0"/>
    <n v="-21"/>
    <n v="0"/>
    <n v="21"/>
    <e v="#VALUE!"/>
    <n v="21"/>
    <n v="0"/>
    <n v="0"/>
    <n v="20"/>
    <s v="Y"/>
    <m/>
    <s v="11-30 DAYS"/>
    <n v="2"/>
    <x v="0"/>
  </r>
  <r>
    <n v="1647"/>
    <s v="N"/>
    <s v="N"/>
    <n v="50295"/>
    <n v="4"/>
    <d v="2012-03-01T00:00:00"/>
    <d v="2012-03-05T00:00:00"/>
    <n v="50295"/>
    <d v="2012-03-02T00:00:00"/>
    <d v="2012-03-05T00:00:00"/>
    <n v="15000"/>
    <x v="0"/>
    <m/>
    <s v="N"/>
    <s v="NONE"/>
    <s v="GUILTY PLEA - NO JURY"/>
    <n v="4"/>
    <n v="5"/>
    <n v="3"/>
    <n v="7"/>
    <n v="3"/>
    <m/>
    <m/>
    <m/>
    <m/>
    <m/>
    <m/>
    <m/>
    <m/>
    <d v="1950-06-29T00:00:00"/>
    <s v="M"/>
    <s v="B"/>
    <s v="BLACK"/>
    <s v="NON-HISPANIC"/>
    <s v="263"/>
    <s v="CONVICTED"/>
    <n v="1"/>
    <s v="HCJ"/>
    <m/>
    <m/>
    <n v="180"/>
    <s v="POSS CS PG 1 &lt;1G"/>
    <m/>
    <s v="FS"/>
    <s v="POSS DRUG"/>
    <m/>
    <m/>
    <m/>
    <m/>
    <m/>
    <m/>
    <m/>
    <m/>
    <m/>
    <s v="Appointed Attorney"/>
    <m/>
    <m/>
    <n v="4"/>
    <n v="4"/>
    <n v="5"/>
    <n v="61.546448087431692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n v="3"/>
    <s v="Y"/>
    <m/>
    <s v="0-10 DAYS"/>
    <n v="1"/>
    <x v="0"/>
  </r>
  <r>
    <n v="2621"/>
    <s v="N"/>
    <s v="N"/>
    <n v="50302"/>
    <n v="6"/>
    <d v="2012-04-07T00:00:00"/>
    <d v="2012-06-07T00:00:00"/>
    <n v="50302"/>
    <d v="2012-04-07T00:00:00"/>
    <d v="2012-06-07T00:00:00"/>
    <s v="NO BOND"/>
    <x v="1"/>
    <m/>
    <s v="N"/>
    <s v="NONE"/>
    <s v="GUILTY PLEA - NO JURY"/>
    <n v="62"/>
    <n v="62"/>
    <n v="3"/>
    <n v="4"/>
    <n v="3"/>
    <m/>
    <m/>
    <m/>
    <m/>
    <m/>
    <m/>
    <m/>
    <m/>
    <d v="1952-11-17T00:00:00"/>
    <s v="M"/>
    <s v="W"/>
    <s v="WHITE"/>
    <s v="NON-HISPANIC"/>
    <s v="174"/>
    <s v="CONVICTED"/>
    <n v="3"/>
    <s v="TDC"/>
    <n v="2"/>
    <m/>
    <m/>
    <s v="AGG ASSAULT W/DEADLY WEAPON"/>
    <m/>
    <s v="F2"/>
    <s v="ASLT-MURDR"/>
    <m/>
    <m/>
    <m/>
    <m/>
    <m/>
    <m/>
    <m/>
    <m/>
    <m/>
    <s v="Appointed Attorney"/>
    <m/>
    <m/>
    <n v="62"/>
    <n v="62"/>
    <n v="62"/>
    <n v="59.265027322404372"/>
    <n v="0"/>
    <n v="0"/>
    <s v="CONVICTION"/>
    <x v="0"/>
    <s v="N"/>
    <m/>
    <s v="CONVICTION"/>
    <s v="Y"/>
    <x v="0"/>
    <x v="0"/>
    <s v="Y"/>
    <n v="1"/>
    <n v="1"/>
    <n v="0"/>
    <n v="0"/>
    <n v="-62"/>
    <n v="0"/>
    <n v="62"/>
    <e v="#VALUE!"/>
    <n v="62"/>
    <n v="0"/>
    <n v="0"/>
    <n v="61"/>
    <s v="Y"/>
    <m/>
    <s v="61-90 DAYS"/>
    <n v="4"/>
    <x v="0"/>
  </r>
  <r>
    <n v="511"/>
    <s v="N"/>
    <s v="N"/>
    <n v="55175"/>
    <n v="6"/>
    <d v="2012-01-21T00:00:00"/>
    <d v="2013-08-16T00:00:00"/>
    <n v="55175"/>
    <d v="2012-01-21T00:00:00"/>
    <d v="2013-08-16T00:00:00"/>
    <s v="NO BOND"/>
    <x v="1"/>
    <m/>
    <s v="N"/>
    <s v="NONE"/>
    <s v="GUILTY PLEA - NO JURY"/>
    <n v="574"/>
    <n v="574"/>
    <n v="6"/>
    <n v="12"/>
    <n v="4"/>
    <m/>
    <m/>
    <m/>
    <m/>
    <m/>
    <m/>
    <m/>
    <m/>
    <d v="1958-11-12T00:00:00"/>
    <s v="M"/>
    <s v="B"/>
    <s v="BLACK"/>
    <s v="NON-HISPANIC"/>
    <s v="263"/>
    <s v="NULL"/>
    <n v="18"/>
    <s v="TDC"/>
    <n v="40"/>
    <m/>
    <m/>
    <s v="MURDER"/>
    <m/>
    <s v="F1"/>
    <s v="MURD/MANSL"/>
    <s v="STUDY CASE DISM TDC CONV ON REFILED CASE "/>
    <m/>
    <m/>
    <m/>
    <m/>
    <m/>
    <m/>
    <m/>
    <m/>
    <s v="Hired Attorney"/>
    <m/>
    <m/>
    <n v="574"/>
    <n v="574"/>
    <n v="574"/>
    <n v="53.081967213114751"/>
    <n v="0"/>
    <n v="0"/>
    <s v="CONVICTION"/>
    <x v="0"/>
    <s v="N"/>
    <m/>
    <s v="CONVICTION"/>
    <s v="Y"/>
    <x v="0"/>
    <x v="0"/>
    <s v="Y"/>
    <n v="1"/>
    <n v="1"/>
    <n v="0"/>
    <n v="0"/>
    <n v="-574"/>
    <n v="0"/>
    <n v="574"/>
    <e v="#VALUE!"/>
    <n v="574"/>
    <n v="0"/>
    <n v="0"/>
    <n v="573"/>
    <s v="Y"/>
    <m/>
    <s v=" &gt;1YRS&lt;2YRS"/>
    <n v="0"/>
    <x v="0"/>
  </r>
  <r>
    <n v="1550"/>
    <s v="N"/>
    <s v="N"/>
    <n v="75989"/>
    <n v="4"/>
    <d v="2012-02-27T00:00:00"/>
    <d v="2012-04-23T00:00:00"/>
    <n v="75989"/>
    <d v="2012-02-28T00:00:00"/>
    <d v="2012-04-23T00:00:00"/>
    <n v="15000"/>
    <x v="0"/>
    <m/>
    <s v="N"/>
    <s v="NONE"/>
    <s v="GUILTY PLEA - NO JURY"/>
    <n v="56"/>
    <n v="57"/>
    <n v="7"/>
    <n v="2"/>
    <n v="2"/>
    <m/>
    <m/>
    <m/>
    <m/>
    <m/>
    <m/>
    <m/>
    <m/>
    <d v="1954-08-18T00:00:00"/>
    <s v="M"/>
    <s v="W"/>
    <s v="WHITE"/>
    <s v="NULL"/>
    <s v="263"/>
    <s v="CONVICTED"/>
    <n v="5"/>
    <s v="HCJ"/>
    <m/>
    <m/>
    <n v="90"/>
    <s v="POSS CS PG 1 &lt;1G"/>
    <m/>
    <s v="FS"/>
    <s v="POSS DRUG"/>
    <m/>
    <m/>
    <m/>
    <m/>
    <m/>
    <m/>
    <m/>
    <m/>
    <m/>
    <s v="Hired Attorney"/>
    <m/>
    <m/>
    <n v="56"/>
    <n v="56"/>
    <n v="57"/>
    <n v="57.409836065573771"/>
    <n v="0"/>
    <n v="0"/>
    <s v="CONVICTION"/>
    <x v="0"/>
    <s v="N"/>
    <m/>
    <s v="CONVICTION"/>
    <s v="Y"/>
    <x v="0"/>
    <x v="0"/>
    <s v="Y"/>
    <n v="0.98245614035087714"/>
    <n v="1"/>
    <n v="1.7543859649122862E-2"/>
    <n v="0"/>
    <n v="-56"/>
    <n v="0"/>
    <n v="56"/>
    <e v="#VALUE!"/>
    <n v="56"/>
    <n v="0"/>
    <n v="0"/>
    <n v="55"/>
    <s v="Y"/>
    <m/>
    <s v="31-60 DAYS"/>
    <n v="3"/>
    <x v="0"/>
  </r>
  <r>
    <n v="1233"/>
    <s v="N"/>
    <s v="N"/>
    <n v="89246"/>
    <n v="6"/>
    <d v="2012-02-14T00:00:00"/>
    <d v="2012-04-20T00:00:00"/>
    <n v="89246"/>
    <d v="2012-02-15T00:00:00"/>
    <d v="2012-04-20T00:00:00"/>
    <s v="NO BOND"/>
    <x v="1"/>
    <m/>
    <s v="N"/>
    <s v="NONE"/>
    <s v="GUILTY PLEA - NO JURY"/>
    <n v="66"/>
    <n v="67"/>
    <n v="14"/>
    <n v="3"/>
    <n v="8"/>
    <m/>
    <m/>
    <m/>
    <m/>
    <m/>
    <m/>
    <m/>
    <m/>
    <d v="1952-03-19T00:00:00"/>
    <s v="M"/>
    <s v="B"/>
    <s v="BLACK"/>
    <s v="NULL"/>
    <s v="230"/>
    <s v="CONVICTED"/>
    <n v="6"/>
    <s v="TDC"/>
    <n v="5"/>
    <m/>
    <m/>
    <s v="POSS CS PG 1  1 - 4 GRAMS"/>
    <m/>
    <s v="F3"/>
    <s v="POSS DRUG"/>
    <m/>
    <m/>
    <m/>
    <m/>
    <m/>
    <m/>
    <m/>
    <m/>
    <m/>
    <s v="Hired Attorney"/>
    <m/>
    <m/>
    <n v="66"/>
    <n v="66"/>
    <n v="67"/>
    <n v="59.784153005464482"/>
    <n v="0"/>
    <n v="0"/>
    <s v="CONVICTION"/>
    <x v="0"/>
    <s v="N"/>
    <m/>
    <s v="CONVICTION"/>
    <s v="Y"/>
    <x v="0"/>
    <x v="0"/>
    <s v="Y"/>
    <n v="0.9850746268656716"/>
    <n v="1"/>
    <n v="1.4925373134328401E-2"/>
    <n v="0"/>
    <n v="-66"/>
    <n v="0"/>
    <n v="66"/>
    <e v="#VALUE!"/>
    <n v="66"/>
    <n v="0"/>
    <n v="0"/>
    <n v="65"/>
    <s v="Y"/>
    <m/>
    <s v="61-90 DAYS"/>
    <n v="4"/>
    <x v="0"/>
  </r>
  <r>
    <n v="2168"/>
    <s v="N"/>
    <s v="N"/>
    <n v="98335"/>
    <n v="6"/>
    <d v="2012-03-22T00:00:00"/>
    <d v="2012-07-24T00:00:00"/>
    <n v="98335"/>
    <d v="2012-03-22T00:00:00"/>
    <d v="2012-07-24T00:00:00"/>
    <n v="50000"/>
    <x v="2"/>
    <m/>
    <s v="N"/>
    <s v="NONE"/>
    <s v="GUILTY PLEA - NO JURY"/>
    <n v="125"/>
    <n v="125"/>
    <n v="4"/>
    <n v="13"/>
    <m/>
    <m/>
    <m/>
    <m/>
    <m/>
    <m/>
    <m/>
    <m/>
    <m/>
    <d v="1949-02-25T00:00:00"/>
    <s v="M"/>
    <s v="W"/>
    <s v="WHITE"/>
    <s v="NULL"/>
    <s v="184"/>
    <s v="CONVICTED"/>
    <n v="6"/>
    <s v="TDC"/>
    <n v="3"/>
    <m/>
    <m/>
    <s v="DWI 3RD OFFENDER BAC .08"/>
    <m/>
    <s v="F3"/>
    <s v="FEL DWI"/>
    <m/>
    <m/>
    <m/>
    <m/>
    <m/>
    <m/>
    <m/>
    <m/>
    <m/>
    <s v="Appointed Attorney"/>
    <m/>
    <m/>
    <n v="125"/>
    <n v="125"/>
    <n v="125"/>
    <n v="62.939890710382514"/>
    <n v="0"/>
    <n v="0"/>
    <s v="CONVICTION"/>
    <x v="0"/>
    <s v="N"/>
    <m/>
    <s v="CONVICTION"/>
    <s v="Y"/>
    <x v="0"/>
    <x v="0"/>
    <s v="Y"/>
    <n v="1"/>
    <n v="1"/>
    <n v="0"/>
    <n v="0"/>
    <n v="-125"/>
    <n v="0"/>
    <n v="125"/>
    <e v="#VALUE!"/>
    <n v="125"/>
    <n v="0"/>
    <n v="0"/>
    <n v="124"/>
    <s v="Y"/>
    <m/>
    <s v="121-365 DAYS"/>
    <n v="6"/>
    <x v="0"/>
  </r>
  <r>
    <n v="157"/>
    <s v="N"/>
    <s v="N"/>
    <n v="98465"/>
    <n v="1"/>
    <d v="2012-01-07T00:00:00"/>
    <d v="2012-02-21T00:00:00"/>
    <n v="98465"/>
    <d v="2012-01-07T00:00:00"/>
    <d v="2012-02-21T00:00:00"/>
    <n v="15000"/>
    <x v="0"/>
    <m/>
    <s v="N"/>
    <s v="NONE"/>
    <s v="NO BILL"/>
    <n v="46"/>
    <n v="46"/>
    <n v="3"/>
    <n v="6"/>
    <n v="1"/>
    <m/>
    <m/>
    <m/>
    <m/>
    <m/>
    <m/>
    <m/>
    <m/>
    <d v="1956-02-28T00:00:00"/>
    <s v="M"/>
    <s v="B"/>
    <s v="BLACK"/>
    <s v="NON-HISPANIC"/>
    <s v="248"/>
    <s v="NO BILL"/>
    <n v="5"/>
    <s v="NO BILL"/>
    <m/>
    <m/>
    <m/>
    <s v="POSS CS PG 1 &lt;1G"/>
    <m/>
    <s v="FS"/>
    <s v="POSS DRUG"/>
    <m/>
    <m/>
    <m/>
    <m/>
    <m/>
    <m/>
    <m/>
    <m/>
    <m/>
    <s v="Appointed Attorney"/>
    <m/>
    <m/>
    <n v="46"/>
    <n v="46"/>
    <n v="46"/>
    <n v="55.743169398907106"/>
    <n v="0"/>
    <n v="0"/>
    <s v="NO CONVICTION"/>
    <x v="0"/>
    <s v="N"/>
    <m/>
    <s v="NO CONVICTION"/>
    <s v="Y"/>
    <x v="0"/>
    <x v="0"/>
    <s v="Y"/>
    <n v="1"/>
    <n v="1"/>
    <n v="0"/>
    <n v="0"/>
    <n v="-46"/>
    <n v="0"/>
    <n v="46"/>
    <e v="#VALUE!"/>
    <n v="46"/>
    <n v="0"/>
    <n v="0"/>
    <n v="45"/>
    <s v="Y"/>
    <m/>
    <s v="31-60 DAYS"/>
    <n v="3"/>
    <x v="0"/>
  </r>
  <r>
    <n v="2336"/>
    <s v="N"/>
    <s v="N"/>
    <n v="98564"/>
    <n v="1"/>
    <d v="2012-03-29T00:00:00"/>
    <d v="2013-07-17T00:00:00"/>
    <n v="98564"/>
    <d v="2012-03-29T00:00:00"/>
    <d v="2012-05-05T00:00:00"/>
    <n v="100000"/>
    <x v="2"/>
    <d v="2012-05-05T00:00:00"/>
    <s v="Y"/>
    <s v="SURETY"/>
    <s v="DISMISSED"/>
    <n v="38"/>
    <n v="476"/>
    <n v="8"/>
    <n v="2"/>
    <n v="5"/>
    <n v="1"/>
    <m/>
    <m/>
    <m/>
    <m/>
    <m/>
    <m/>
    <m/>
    <d v="1949-08-12T00:00:00"/>
    <s v="M"/>
    <s v="W"/>
    <s v="WHITE"/>
    <s v="NON-HISPANIC"/>
    <s v="351"/>
    <s v="DISMISSED"/>
    <n v="14"/>
    <s v="DISMISSED"/>
    <m/>
    <m/>
    <m/>
    <s v="POSS CS PG 1 4G - 200G"/>
    <m/>
    <s v="F2"/>
    <s v="POSS DRUG"/>
    <s v="2 CASES SAME DISP"/>
    <m/>
    <m/>
    <m/>
    <m/>
    <m/>
    <m/>
    <m/>
    <m/>
    <s v="Hired Attorney"/>
    <m/>
    <m/>
    <n v="38"/>
    <n v="476"/>
    <n v="476"/>
    <n v="62.5"/>
    <n v="0"/>
    <n v="-438"/>
    <s v="NO CONVICTION"/>
    <x v="1"/>
    <s v="Y"/>
    <m/>
    <s v="NO CONVICTION"/>
    <s v="Y"/>
    <x v="1"/>
    <x v="0"/>
    <s v="Y"/>
    <n v="7.9831932773109238E-2"/>
    <n v="7.9831932773109238E-2"/>
    <n v="0"/>
    <n v="0"/>
    <n v="-38"/>
    <n v="0"/>
    <n v="38"/>
    <e v="#VALUE!"/>
    <n v="38"/>
    <n v="0"/>
    <n v="438"/>
    <n v="37"/>
    <s v="Y"/>
    <m/>
    <s v="31-60 DAYS"/>
    <n v="3"/>
    <x v="0"/>
  </r>
  <r>
    <n v="1172"/>
    <s v="N"/>
    <s v="N"/>
    <n v="111744"/>
    <n v="6"/>
    <d v="2012-02-12T00:00:00"/>
    <d v="2012-07-06T00:00:00"/>
    <n v="111744"/>
    <d v="2012-02-13T00:00:00"/>
    <d v="2012-02-13T00:00:00"/>
    <n v="30000"/>
    <x v="2"/>
    <d v="2012-02-13T00:00:00"/>
    <s v="Y"/>
    <s v="SURETY"/>
    <s v="GUILTY PLEA - NO JURY"/>
    <n v="1"/>
    <n v="146"/>
    <n v="6"/>
    <n v="13"/>
    <n v="3"/>
    <m/>
    <m/>
    <m/>
    <m/>
    <m/>
    <m/>
    <m/>
    <m/>
    <d v="1957-07-14T00:00:00"/>
    <s v="M"/>
    <s v="W"/>
    <s v="WHITE"/>
    <s v="NON-HISPANIC"/>
    <s v="184"/>
    <s v="CONVICTED"/>
    <n v="7"/>
    <s v="TDC"/>
    <n v="10"/>
    <m/>
    <m/>
    <s v="DWI 3RD OFFENDER BAC .08"/>
    <m/>
    <s v="F3"/>
    <s v="FEL DWI"/>
    <m/>
    <m/>
    <m/>
    <m/>
    <m/>
    <m/>
    <m/>
    <m/>
    <m/>
    <s v="Hired Attorney"/>
    <m/>
    <m/>
    <n v="1"/>
    <n v="145"/>
    <n v="146"/>
    <n v="54.469945355191257"/>
    <n v="0"/>
    <n v="-144"/>
    <s v="CONVICTION"/>
    <x v="1"/>
    <s v="Y"/>
    <m/>
    <s v="CONVICTION"/>
    <s v="Y"/>
    <x v="1"/>
    <x v="0"/>
    <s v="Y"/>
    <n v="6.8493150684931503E-3"/>
    <n v="6.8965517241379309E-3"/>
    <n v="4.7236655644780634E-5"/>
    <n v="0"/>
    <n v="-1"/>
    <n v="0"/>
    <n v="1"/>
    <e v="#VALUE!"/>
    <n v="1"/>
    <n v="0"/>
    <n v="144"/>
    <n v="0"/>
    <s v="Y"/>
    <m/>
    <s v="0-10 DAYS"/>
    <n v="1"/>
    <x v="0"/>
  </r>
  <r>
    <n v="1765"/>
    <s v="N"/>
    <s v="N"/>
    <n v="115623"/>
    <n v="5"/>
    <d v="2012-03-06T00:00:00"/>
    <d v="2012-03-08T00:00:00"/>
    <n v="115623"/>
    <d v="2012-03-06T00:00:00"/>
    <d v="2012-03-08T00:00:00"/>
    <n v="30000"/>
    <x v="2"/>
    <m/>
    <s v="N"/>
    <s v="NONE"/>
    <s v="GUILTY PLEA - NO JURY"/>
    <n v="3"/>
    <n v="3"/>
    <n v="13"/>
    <n v="10"/>
    <n v="9"/>
    <m/>
    <m/>
    <m/>
    <m/>
    <m/>
    <m/>
    <m/>
    <m/>
    <d v="1955-01-15T00:00:00"/>
    <s v="M"/>
    <s v="W"/>
    <s v="WHITE"/>
    <s v="NON-HISPANIC"/>
    <s v="248"/>
    <s v="CONVICTED"/>
    <n v="1"/>
    <s v="STJ"/>
    <m/>
    <n v="11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57.021857923497265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n v="2"/>
    <s v="Y"/>
    <m/>
    <s v="0-10 DAYS"/>
    <n v="1"/>
    <x v="0"/>
  </r>
  <r>
    <n v="1814"/>
    <s v="N"/>
    <s v="N"/>
    <n v="116260"/>
    <n v="2"/>
    <d v="2012-03-08T00:00:00"/>
    <d v="2012-03-12T00:00:00"/>
    <n v="116260"/>
    <d v="2012-03-08T00:00:00"/>
    <d v="2012-03-12T00:00:00"/>
    <n v="10000"/>
    <x v="3"/>
    <m/>
    <s v="N"/>
    <s v="NONE"/>
    <s v="DEFERRED ADJUDICATION "/>
    <n v="5"/>
    <n v="5"/>
    <n v="2"/>
    <n v="0"/>
    <n v="1"/>
    <n v="1"/>
    <m/>
    <m/>
    <m/>
    <m/>
    <m/>
    <m/>
    <m/>
    <d v="1959-02-03T00:00:00"/>
    <s v="M"/>
    <s v="W"/>
    <s v="WHITE"/>
    <s v="NON-HISPANIC"/>
    <s v="228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5"/>
    <n v="5"/>
    <n v="5"/>
    <n v="52.983606557377051"/>
    <n v="0"/>
    <n v="0"/>
    <s v="DEFERRED"/>
    <x v="0"/>
    <s v="N"/>
    <m/>
    <s v="DEFERRED"/>
    <s v="Y"/>
    <x v="0"/>
    <x v="0"/>
    <s v="Y"/>
    <n v="1"/>
    <n v="1"/>
    <n v="0"/>
    <n v="0"/>
    <n v="-5"/>
    <n v="0"/>
    <n v="5"/>
    <e v="#VALUE!"/>
    <n v="5"/>
    <n v="0"/>
    <n v="0"/>
    <n v="4"/>
    <s v="Y"/>
    <m/>
    <s v="0-10 DAYS"/>
    <n v="1"/>
    <x v="0"/>
  </r>
  <r>
    <n v="1583"/>
    <s v="N"/>
    <s v="N"/>
    <n v="116473"/>
    <n v="4"/>
    <d v="2012-02-28T00:00:00"/>
    <d v="2012-10-24T00:00:00"/>
    <n v="116473"/>
    <d v="2012-06-25T00:00:00"/>
    <d v="2012-10-24T00:00:00"/>
    <s v="NO BOND"/>
    <x v="1"/>
    <m/>
    <s v="N"/>
    <s v="NONE"/>
    <s v="GUILTY PLEA - NO JURY"/>
    <n v="122"/>
    <n v="240"/>
    <n v="0"/>
    <n v="1"/>
    <m/>
    <m/>
    <m/>
    <m/>
    <m/>
    <m/>
    <m/>
    <m/>
    <m/>
    <d v="1951-05-08T00:00:00"/>
    <s v="M"/>
    <s v="W"/>
    <s v="WHITE"/>
    <s v="NULL"/>
    <s v="263"/>
    <s v="CONVICTED"/>
    <n v="7"/>
    <s v="HCJ"/>
    <m/>
    <m/>
    <n v="240"/>
    <s v="ASSAULT-BOD INJ-FAMILY MEMBER"/>
    <m/>
    <s v="F3"/>
    <s v="ASLT-MURDR"/>
    <m/>
    <m/>
    <m/>
    <m/>
    <m/>
    <m/>
    <m/>
    <m/>
    <m/>
    <s v="Appointed Attorney"/>
    <m/>
    <m/>
    <n v="122"/>
    <n v="122"/>
    <n v="240"/>
    <n v="60.685792349726775"/>
    <n v="0"/>
    <n v="0"/>
    <s v="CONVICTION"/>
    <x v="0"/>
    <s v="N"/>
    <m/>
    <s v="CONVICTION"/>
    <s v="Y"/>
    <x v="0"/>
    <x v="0"/>
    <s v="N"/>
    <n v="0.5083333333333333"/>
    <n v="1"/>
    <n v="0.4916666666666667"/>
    <n v="0"/>
    <n v="-122"/>
    <n v="0"/>
    <n v="122"/>
    <e v="#VALUE!"/>
    <n v="122"/>
    <n v="0"/>
    <n v="0"/>
    <n v="121"/>
    <s v="Y"/>
    <m/>
    <s v="121-365 DAYS"/>
    <n v="6"/>
    <x v="0"/>
  </r>
  <r>
    <n v="670"/>
    <s v="N"/>
    <s v="N"/>
    <n v="121367"/>
    <n v="6"/>
    <d v="2012-01-27T00:00:00"/>
    <d v="2012-02-02T00:00:00"/>
    <n v="121367"/>
    <d v="2012-01-27T00:00:00"/>
    <d v="2012-02-02T00:00:00"/>
    <s v="NO BOND"/>
    <x v="1"/>
    <m/>
    <s v="N"/>
    <s v="NONE"/>
    <s v="GUILTY PLEA - NO JURY"/>
    <n v="7"/>
    <n v="7"/>
    <n v="5"/>
    <n v="6"/>
    <n v="5"/>
    <m/>
    <m/>
    <m/>
    <m/>
    <m/>
    <m/>
    <m/>
    <m/>
    <d v="1957-07-15T00:00:00"/>
    <s v="M"/>
    <s v="W"/>
    <s v="WHITE"/>
    <s v="NON-HISPANIC"/>
    <s v="177"/>
    <s v="CONVICTED"/>
    <n v="3"/>
    <s v="TDC"/>
    <n v="5"/>
    <m/>
    <m/>
    <s v="POSS W/INT DEL CS PG1&gt;=4 &lt;200"/>
    <m/>
    <s v="F1"/>
    <s v="SALE DRUG"/>
    <m/>
    <m/>
    <m/>
    <m/>
    <m/>
    <m/>
    <m/>
    <m/>
    <m/>
    <s v="Appointed Attorney"/>
    <m/>
    <m/>
    <n v="7"/>
    <n v="7"/>
    <n v="7"/>
    <n v="54.423497267759565"/>
    <n v="0"/>
    <n v="0"/>
    <s v="CONVICTION"/>
    <x v="0"/>
    <s v="N"/>
    <m/>
    <s v="CONVICTION"/>
    <s v="Y"/>
    <x v="0"/>
    <x v="0"/>
    <s v="Y"/>
    <n v="1"/>
    <n v="1"/>
    <n v="0"/>
    <n v="0"/>
    <n v="-7"/>
    <n v="0"/>
    <n v="7"/>
    <e v="#VALUE!"/>
    <n v="7"/>
    <n v="0"/>
    <n v="0"/>
    <n v="6"/>
    <s v="Y"/>
    <m/>
    <s v="0-10 DAYS"/>
    <n v="1"/>
    <x v="0"/>
  </r>
  <r>
    <n v="653"/>
    <s v="N"/>
    <s v="N"/>
    <n v="124425"/>
    <n v="6"/>
    <d v="2012-01-26T00:00:00"/>
    <d v="2012-02-28T00:00:00"/>
    <n v="124425"/>
    <d v="2012-01-27T00:00:00"/>
    <d v="2012-02-28T00:00:00"/>
    <n v="30000"/>
    <x v="2"/>
    <m/>
    <s v="N"/>
    <s v="NONE"/>
    <s v="GUILTY PLEA - NO JURY"/>
    <n v="33"/>
    <n v="34"/>
    <n v="13"/>
    <n v="7"/>
    <n v="9"/>
    <n v="1"/>
    <m/>
    <m/>
    <m/>
    <m/>
    <m/>
    <m/>
    <m/>
    <d v="1958-02-24T00:00:00"/>
    <s v="M"/>
    <s v="B"/>
    <s v="BLACK"/>
    <s v="NON-HISPANIC"/>
    <s v="174"/>
    <s v="CONVICTED"/>
    <n v="2"/>
    <s v="TDC"/>
    <n v="2"/>
    <m/>
    <m/>
    <s v="DEL MARIJ 1/4 OZ - 5 LBS"/>
    <m/>
    <s v="FS"/>
    <s v="SALE DRUG"/>
    <m/>
    <m/>
    <m/>
    <m/>
    <m/>
    <m/>
    <m/>
    <m/>
    <m/>
    <s v="Appointed Attorney"/>
    <m/>
    <m/>
    <n v="33"/>
    <n v="33"/>
    <n v="34"/>
    <n v="53.808743169398909"/>
    <n v="0"/>
    <n v="0"/>
    <s v="CONVICTION"/>
    <x v="0"/>
    <s v="N"/>
    <m/>
    <s v="CONVICTION"/>
    <s v="Y"/>
    <x v="0"/>
    <x v="0"/>
    <s v="Y"/>
    <n v="0.97058823529411764"/>
    <n v="1"/>
    <n v="2.9411764705882359E-2"/>
    <n v="0"/>
    <n v="-33"/>
    <n v="0"/>
    <n v="33"/>
    <e v="#VALUE!"/>
    <n v="33"/>
    <n v="0"/>
    <n v="0"/>
    <n v="32"/>
    <s v="Y"/>
    <m/>
    <s v="31-60 DAYS"/>
    <n v="3"/>
    <x v="0"/>
  </r>
  <r>
    <n v="3257"/>
    <s v="N"/>
    <s v="N"/>
    <n v="137641"/>
    <n v="4"/>
    <d v="2012-04-30T00:00:00"/>
    <d v="2012-05-24T00:00:00"/>
    <n v="137641"/>
    <d v="2012-04-30T00:00:00"/>
    <d v="2012-05-24T00:00:00"/>
    <n v="15000"/>
    <x v="0"/>
    <m/>
    <s v="N"/>
    <s v="NONE"/>
    <s v="GUILTY PLEA - NO JURY"/>
    <n v="25"/>
    <n v="25"/>
    <n v="4"/>
    <n v="4"/>
    <n v="2"/>
    <m/>
    <m/>
    <m/>
    <m/>
    <m/>
    <m/>
    <m/>
    <m/>
    <d v="1959-01-26T00:00:00"/>
    <s v="M"/>
    <s v="H"/>
    <s v="HISPANIC"/>
    <s v="HISPANIC"/>
    <s v="263"/>
    <s v="CONVICTED"/>
    <n v="2"/>
    <s v="HCJ"/>
    <m/>
    <m/>
    <n v="60"/>
    <s v="POSS CS PG 1 &lt;1G"/>
    <m/>
    <s v="FS"/>
    <s v="POSS DRUG"/>
    <m/>
    <m/>
    <m/>
    <m/>
    <m/>
    <m/>
    <m/>
    <m/>
    <m/>
    <s v="Appointed Attorney"/>
    <m/>
    <m/>
    <n v="25"/>
    <n v="25"/>
    <n v="25"/>
    <n v="53.150273224043715"/>
    <n v="0"/>
    <n v="0"/>
    <s v="CONVICTION"/>
    <x v="0"/>
    <s v="N"/>
    <m/>
    <s v="CONVICTION"/>
    <s v="Y"/>
    <x v="0"/>
    <x v="0"/>
    <s v="Y"/>
    <n v="1"/>
    <n v="1"/>
    <n v="0"/>
    <n v="0"/>
    <n v="-25"/>
    <n v="0"/>
    <n v="25"/>
    <e v="#VALUE!"/>
    <n v="25"/>
    <n v="0"/>
    <n v="0"/>
    <n v="24"/>
    <s v="Y"/>
    <m/>
    <s v="11-30 DAYS"/>
    <n v="2"/>
    <x v="0"/>
  </r>
  <r>
    <n v="386"/>
    <s v="N"/>
    <s v="N"/>
    <n v="138208"/>
    <n v="5"/>
    <d v="2012-01-17T00:00:00"/>
    <d v="2012-07-26T00:00:00"/>
    <n v="138208"/>
    <d v="2012-01-17T00:00:00"/>
    <d v="2012-07-26T00:00:00"/>
    <s v="NO BOND"/>
    <x v="1"/>
    <m/>
    <s v="N"/>
    <s v="NONE"/>
    <s v="GUILTY PLEA - NO JURY"/>
    <n v="192"/>
    <n v="192"/>
    <n v="4"/>
    <n v="1"/>
    <n v="3"/>
    <n v="2"/>
    <m/>
    <m/>
    <m/>
    <m/>
    <m/>
    <m/>
    <m/>
    <d v="1947-06-12T00:00:00"/>
    <s v="F"/>
    <s v="W"/>
    <s v="WHITE"/>
    <s v="NON-HISPANIC"/>
    <s v="338"/>
    <s v="CONVICTED"/>
    <n v="9"/>
    <s v="STJ"/>
    <m/>
    <n v="7"/>
    <m/>
    <s v="THEFT UNDER $1500 - 3RD OFF."/>
    <m/>
    <s v="FS"/>
    <s v="THEFT"/>
    <m/>
    <m/>
    <m/>
    <m/>
    <m/>
    <m/>
    <m/>
    <m/>
    <m/>
    <s v="Hired Attorney"/>
    <m/>
    <m/>
    <n v="192"/>
    <n v="192"/>
    <n v="192"/>
    <n v="64.467213114754102"/>
    <n v="0"/>
    <n v="0"/>
    <s v="CONVICTION"/>
    <x v="0"/>
    <s v="N"/>
    <m/>
    <s v="CONVICTION"/>
    <s v="Y"/>
    <x v="0"/>
    <x v="0"/>
    <s v="Y"/>
    <n v="1"/>
    <n v="1"/>
    <n v="0"/>
    <n v="0"/>
    <n v="-192"/>
    <n v="0"/>
    <n v="192"/>
    <e v="#VALUE!"/>
    <n v="192"/>
    <n v="0"/>
    <n v="0"/>
    <n v="191"/>
    <s v="Y"/>
    <m/>
    <s v="121-365 DAYS"/>
    <n v="6"/>
    <x v="0"/>
  </r>
  <r>
    <n v="3245"/>
    <s v="N"/>
    <s v="N"/>
    <n v="138556"/>
    <n v="6"/>
    <d v="2012-04-30T00:00:00"/>
    <d v="2013-10-23T00:00:00"/>
    <n v="138556"/>
    <d v="2012-05-01T00:00:00"/>
    <d v="2013-10-23T00:00:00"/>
    <s v="NO BOND"/>
    <x v="1"/>
    <m/>
    <s v="N"/>
    <s v="NONE"/>
    <s v="GUILTY PLEA - NO JURY"/>
    <n v="541"/>
    <n v="542"/>
    <n v="4"/>
    <n v="5"/>
    <n v="3"/>
    <m/>
    <m/>
    <m/>
    <m/>
    <m/>
    <m/>
    <m/>
    <m/>
    <d v="1959-09-01T00:00:00"/>
    <s v="M"/>
    <s v="B"/>
    <s v="BLACK"/>
    <s v="NULL"/>
    <s v="248"/>
    <s v="CONVICTED"/>
    <n v="7"/>
    <s v="TDC"/>
    <n v="12"/>
    <m/>
    <m/>
    <s v="SEX ASSLT CHILD 14-17"/>
    <m/>
    <s v="F2"/>
    <s v="SEX ABUSE"/>
    <s v="study case dism and refiled def detained pend "/>
    <m/>
    <m/>
    <m/>
    <m/>
    <m/>
    <m/>
    <m/>
    <m/>
    <s v="Appointed Attorney"/>
    <m/>
    <s v="REFILE CASE"/>
    <n v="541"/>
    <n v="541"/>
    <n v="542"/>
    <n v="52.55464480874317"/>
    <n v="0"/>
    <n v="0"/>
    <s v="CONVICTION"/>
    <x v="0"/>
    <s v="N"/>
    <m/>
    <s v="CONVICTION"/>
    <s v="Y"/>
    <x v="0"/>
    <x v="0"/>
    <s v="Y"/>
    <n v="0.99815498154981552"/>
    <n v="1"/>
    <n v="1.8450184501844769E-3"/>
    <n v="0"/>
    <n v="-541"/>
    <n v="0"/>
    <n v="541"/>
    <e v="#VALUE!"/>
    <n v="541"/>
    <n v="0"/>
    <n v="0"/>
    <n v="540"/>
    <s v="Y"/>
    <m/>
    <s v=" &gt;1YRS&lt;2YRS"/>
    <n v="0"/>
    <x v="0"/>
  </r>
  <r>
    <n v="1717"/>
    <s v="N"/>
    <s v="N"/>
    <n v="149272"/>
    <n v="5"/>
    <d v="2012-03-04T00:00:00"/>
    <d v="2012-03-06T00:00:00"/>
    <n v="149272"/>
    <d v="2012-03-05T00:00:00"/>
    <d v="2012-03-06T00:00:00"/>
    <n v="15000"/>
    <x v="0"/>
    <m/>
    <s v="N"/>
    <s v="NONE"/>
    <s v="GUILTY PLEA - NO JURY"/>
    <n v="2"/>
    <n v="3"/>
    <n v="8"/>
    <n v="2"/>
    <n v="5"/>
    <m/>
    <m/>
    <m/>
    <m/>
    <m/>
    <m/>
    <m/>
    <m/>
    <d v="1957-04-20T00:00:00"/>
    <s v="M"/>
    <s v="B"/>
    <s v="BLACK"/>
    <s v="NON-HISPANIC"/>
    <s v="338"/>
    <s v="CONVICTED"/>
    <n v="1"/>
    <s v="STJ"/>
    <m/>
    <n v="8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54.759562841530055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n v="1"/>
    <s v="Y"/>
    <m/>
    <s v="0-10 DAYS"/>
    <n v="1"/>
    <x v="0"/>
  </r>
  <r>
    <n v="1931"/>
    <s v="N"/>
    <s v="N"/>
    <n v="149416"/>
    <n v="6"/>
    <d v="2012-03-13T00:00:00"/>
    <d v="2012-10-02T00:00:00"/>
    <n v="149416"/>
    <d v="2012-03-14T00:00:00"/>
    <d v="2012-10-02T00:00:00"/>
    <s v="NO BOND"/>
    <x v="1"/>
    <m/>
    <s v="N"/>
    <s v="NONE"/>
    <s v="GUILTY PLEA - NO JURY"/>
    <n v="203"/>
    <n v="204"/>
    <n v="10"/>
    <n v="4"/>
    <n v="8"/>
    <m/>
    <m/>
    <m/>
    <m/>
    <m/>
    <m/>
    <m/>
    <m/>
    <d v="1953-04-15T00:00:00"/>
    <s v="M"/>
    <s v="B"/>
    <s v="BLACK"/>
    <s v="NULL"/>
    <s v="180"/>
    <s v="CONVICTED"/>
    <n v="9"/>
    <s v="TDC"/>
    <n v="2"/>
    <m/>
    <m/>
    <s v="RETALIATION"/>
    <m/>
    <s v="F3"/>
    <s v="OTHER FEL"/>
    <m/>
    <m/>
    <m/>
    <m/>
    <m/>
    <m/>
    <m/>
    <m/>
    <m/>
    <s v="Appointed Attorney"/>
    <m/>
    <m/>
    <n v="203"/>
    <n v="203"/>
    <n v="204"/>
    <n v="58.789617486338798"/>
    <n v="0"/>
    <n v="0"/>
    <s v="CONVICTION"/>
    <x v="0"/>
    <s v="N"/>
    <m/>
    <s v="CONVICTION"/>
    <s v="Y"/>
    <x v="0"/>
    <x v="0"/>
    <s v="Y"/>
    <n v="0.99509803921568629"/>
    <n v="1"/>
    <n v="4.9019607843137081E-3"/>
    <n v="0"/>
    <n v="-203"/>
    <n v="0"/>
    <n v="203"/>
    <e v="#VALUE!"/>
    <n v="203"/>
    <n v="0"/>
    <n v="0"/>
    <n v="202"/>
    <s v="Y"/>
    <m/>
    <s v="121-365 DAYS"/>
    <n v="6"/>
    <x v="0"/>
  </r>
  <r>
    <n v="2960"/>
    <s v="N"/>
    <s v="N"/>
    <n v="174333"/>
    <n v="6"/>
    <d v="2012-04-19T00:00:00"/>
    <d v="2014-06-11T00:00:00"/>
    <n v="174333"/>
    <d v="2012-04-24T00:00:00"/>
    <d v="2014-06-11T00:00:00"/>
    <n v="90000"/>
    <x v="2"/>
    <m/>
    <s v="N"/>
    <s v="NONE"/>
    <s v="jury verdict"/>
    <n v="779"/>
    <n v="784"/>
    <n v="0"/>
    <n v="2"/>
    <m/>
    <m/>
    <m/>
    <m/>
    <m/>
    <m/>
    <m/>
    <m/>
    <m/>
    <d v="1957-09-18T00:00:00"/>
    <s v="M"/>
    <s v="B"/>
    <s v="BLACK"/>
    <s v="NON-HISPANIC"/>
    <s v="180"/>
    <s v="CONVICTED"/>
    <n v="26"/>
    <s v="TDC"/>
    <n v="12"/>
    <m/>
    <m/>
    <s v="INDECENCY CHILD-TG"/>
    <m/>
    <s v="F2"/>
    <s v="SEX ABUSE"/>
    <s v="APPEAL PEND"/>
    <m/>
    <m/>
    <m/>
    <m/>
    <m/>
    <m/>
    <m/>
    <m/>
    <s v="Appointed Attorney"/>
    <m/>
    <m/>
    <n v="779"/>
    <n v="779"/>
    <n v="784"/>
    <n v="54.472677595628419"/>
    <n v="0"/>
    <n v="0"/>
    <s v="CONVICTION"/>
    <x v="0"/>
    <s v="N"/>
    <m/>
    <s v="CONVICTION"/>
    <s v="Y"/>
    <x v="0"/>
    <x v="0"/>
    <s v="N"/>
    <n v="0.99362244897959184"/>
    <n v="0.99319999999999997"/>
    <n v="0"/>
    <n v="0"/>
    <n v="-779"/>
    <n v="0"/>
    <n v="779"/>
    <e v="#VALUE!"/>
    <n v="779"/>
    <m/>
    <n v="0"/>
    <n v="778"/>
    <s v="Y"/>
    <e v="#N/A"/>
    <s v="&gt;2YRS&lt;3YRS"/>
    <n v="8"/>
    <x v="0"/>
  </r>
  <r>
    <n v="1963"/>
    <s v="N"/>
    <s v="N"/>
    <n v="176421"/>
    <n v="6"/>
    <d v="2012-03-14T00:00:00"/>
    <d v="2012-04-11T00:00:00"/>
    <n v="176421"/>
    <d v="2012-03-14T00:00:00"/>
    <d v="2012-04-11T00:00:00"/>
    <s v="NO BOND"/>
    <x v="1"/>
    <m/>
    <s v="N"/>
    <s v="NONE"/>
    <s v="GUILTY PLEA - NO JURY"/>
    <n v="29"/>
    <n v="29"/>
    <n v="5"/>
    <n v="3"/>
    <n v="4"/>
    <m/>
    <m/>
    <m/>
    <m/>
    <m/>
    <m/>
    <m/>
    <m/>
    <d v="1956-06-15T00:00:00"/>
    <s v="M"/>
    <s v="H"/>
    <s v="HISPANIC"/>
    <s v="HISPANIC"/>
    <s v="184"/>
    <s v="CONVICTED"/>
    <n v="2"/>
    <s v="TDC"/>
    <n v="10"/>
    <m/>
    <m/>
    <s v="FAIL TO COMPLY AS SEX OFFENDER"/>
    <m/>
    <s v="F3"/>
    <s v="OTHER FEL"/>
    <m/>
    <m/>
    <m/>
    <m/>
    <m/>
    <m/>
    <m/>
    <m/>
    <m/>
    <s v="Appointed Attorney"/>
    <m/>
    <m/>
    <n v="29"/>
    <n v="29"/>
    <n v="29"/>
    <n v="55.631147540983605"/>
    <n v="0"/>
    <n v="0"/>
    <s v="CONVICTION"/>
    <x v="0"/>
    <s v="N"/>
    <m/>
    <s v="CONVICTION"/>
    <s v="Y"/>
    <x v="0"/>
    <x v="0"/>
    <s v="Y"/>
    <n v="1"/>
    <n v="1"/>
    <n v="0"/>
    <n v="0"/>
    <n v="-29"/>
    <n v="0"/>
    <n v="29"/>
    <e v="#VALUE!"/>
    <n v="29"/>
    <n v="0"/>
    <n v="0"/>
    <n v="28"/>
    <s v="Y"/>
    <m/>
    <s v="11-30 DAYS"/>
    <n v="2"/>
    <x v="0"/>
  </r>
  <r>
    <n v="1268"/>
    <s v="N"/>
    <s v="N"/>
    <n v="180829"/>
    <n v="3"/>
    <d v="2012-02-16T00:00:00"/>
    <d v="2012-09-19T00:00:00"/>
    <n v="180829"/>
    <d v="2012-02-16T00:00:00"/>
    <d v="2012-02-26T00:00:00"/>
    <n v="20000"/>
    <x v="0"/>
    <d v="2012-02-26T00:00:00"/>
    <s v="Y"/>
    <s v="SURETYPTRc"/>
    <s v="GUILTY PLEA - NO JURY"/>
    <n v="11"/>
    <n v="217"/>
    <n v="1"/>
    <n v="8"/>
    <n v="1"/>
    <m/>
    <m/>
    <m/>
    <m/>
    <m/>
    <m/>
    <m/>
    <m/>
    <d v="1959-07-24T00:00:00"/>
    <s v="M"/>
    <s v="W"/>
    <s v="WHITE"/>
    <s v="NON-HISPANIC"/>
    <s v="337"/>
    <s v="CONVICTED"/>
    <n v="8"/>
    <s v="PROBATION"/>
    <m/>
    <m/>
    <m/>
    <s v="DWI 3RD OFFENDER BAC .08"/>
    <m/>
    <s v="F3"/>
    <s v="FEL DWI"/>
    <m/>
    <m/>
    <m/>
    <m/>
    <m/>
    <m/>
    <m/>
    <m/>
    <m/>
    <s v="Hired Attorney"/>
    <m/>
    <m/>
    <n v="11"/>
    <n v="217"/>
    <n v="217"/>
    <n v="52.459016393442624"/>
    <n v="0"/>
    <n v="-206"/>
    <s v="CONVICTION"/>
    <x v="1"/>
    <s v="Y"/>
    <m/>
    <s v="CONVICTION"/>
    <s v="Y"/>
    <x v="1"/>
    <x v="0"/>
    <s v="Y"/>
    <n v="5.0691244239631339E-2"/>
    <n v="5.0691244239631339E-2"/>
    <n v="0"/>
    <n v="0"/>
    <n v="-11"/>
    <n v="0"/>
    <n v="11"/>
    <e v="#VALUE!"/>
    <n v="11"/>
    <n v="0"/>
    <n v="206"/>
    <n v="10"/>
    <s v="Y"/>
    <m/>
    <s v="11-30 DAYS"/>
    <n v="2"/>
    <x v="0"/>
  </r>
  <r>
    <n v="758"/>
    <s v="N"/>
    <s v="N"/>
    <n v="182368"/>
    <n v="6"/>
    <d v="2012-01-30T00:00:00"/>
    <d v="2012-02-22T00:00:00"/>
    <n v="182368"/>
    <d v="2012-01-31T00:00:00"/>
    <d v="2012-02-22T00:00:00"/>
    <n v="10000"/>
    <x v="3"/>
    <m/>
    <s v="N"/>
    <s v="NONE"/>
    <s v="GUILTY PLEA - NO JURY"/>
    <n v="23"/>
    <n v="24"/>
    <n v="5"/>
    <n v="5"/>
    <n v="2"/>
    <m/>
    <m/>
    <m/>
    <m/>
    <m/>
    <m/>
    <m/>
    <m/>
    <d v="1955-12-13T00:00:00"/>
    <s v="M"/>
    <s v="W"/>
    <s v="WHITE"/>
    <s v="NON-HISPANIC"/>
    <s v="185"/>
    <s v="CONVICTED"/>
    <n v="2"/>
    <s v="TDC"/>
    <n v="2"/>
    <m/>
    <m/>
    <s v="FORGERY GOVT FINANCIAL INST"/>
    <m/>
    <s v="F3"/>
    <s v="OTHER FEL"/>
    <m/>
    <m/>
    <m/>
    <m/>
    <m/>
    <m/>
    <m/>
    <m/>
    <m/>
    <s v="Appointed Attorney"/>
    <m/>
    <m/>
    <n v="23"/>
    <n v="23"/>
    <n v="24"/>
    <n v="56.016393442622949"/>
    <n v="0"/>
    <n v="0"/>
    <s v="CONVICTION"/>
    <x v="0"/>
    <s v="N"/>
    <m/>
    <s v="CONVICTION"/>
    <s v="Y"/>
    <x v="0"/>
    <x v="0"/>
    <s v="Y"/>
    <n v="0.95833333333333337"/>
    <n v="1"/>
    <n v="4.166666666666663E-2"/>
    <n v="0"/>
    <n v="-23"/>
    <n v="0"/>
    <n v="23"/>
    <e v="#VALUE!"/>
    <n v="23"/>
    <n v="0"/>
    <n v="0"/>
    <n v="22"/>
    <s v="Y"/>
    <m/>
    <s v="11-30 DAYS"/>
    <n v="2"/>
    <x v="0"/>
  </r>
  <r>
    <n v="3211"/>
    <s v="N"/>
    <s v="N"/>
    <n v="185210"/>
    <n v="1"/>
    <d v="2012-04-28T00:00:00"/>
    <d v="2012-07-11T00:00:00"/>
    <n v="185210"/>
    <d v="2012-04-28T00:00:00"/>
    <d v="2012-07-11T00:00:00"/>
    <s v="NO BOND"/>
    <x v="1"/>
    <m/>
    <s v="N"/>
    <s v="NONE"/>
    <s v="DISMISSED"/>
    <n v="75"/>
    <n v="75"/>
    <n v="10"/>
    <n v="3"/>
    <n v="6"/>
    <m/>
    <m/>
    <m/>
    <m/>
    <m/>
    <m/>
    <m/>
    <m/>
    <d v="1957-11-18T00:00:00"/>
    <s v="M"/>
    <s v="H"/>
    <s v="HISPANIC"/>
    <s v="HISPANIC"/>
    <s v="262"/>
    <s v="DISMISSED"/>
    <n v="4"/>
    <s v="DISMISSED"/>
    <m/>
    <m/>
    <m/>
    <s v="AGG ASSAULT W/DEADLY WEAPON"/>
    <m/>
    <s v="F2"/>
    <s v="ASLT-MURDR"/>
    <m/>
    <m/>
    <m/>
    <m/>
    <m/>
    <m/>
    <m/>
    <m/>
    <m/>
    <s v="Hired Attorney"/>
    <m/>
    <m/>
    <n v="75"/>
    <n v="75"/>
    <n v="75"/>
    <n v="54.330601092896174"/>
    <n v="0"/>
    <n v="0"/>
    <s v="NO CONVICTION"/>
    <x v="0"/>
    <s v="N"/>
    <m/>
    <s v="NO CONVICTION"/>
    <s v="Y"/>
    <x v="0"/>
    <x v="0"/>
    <s v="Y"/>
    <n v="1"/>
    <n v="1"/>
    <n v="0"/>
    <n v="0"/>
    <n v="-75"/>
    <n v="0"/>
    <n v="75"/>
    <e v="#VALUE!"/>
    <n v="75"/>
    <n v="0"/>
    <n v="0"/>
    <n v="74"/>
    <s v="Y"/>
    <m/>
    <s v="61-90 DAYS"/>
    <n v="4"/>
    <x v="0"/>
  </r>
  <r>
    <n v="1296"/>
    <s v="N"/>
    <s v="N"/>
    <n v="186781"/>
    <n v="5"/>
    <d v="2012-02-17T00:00:00"/>
    <d v="2012-02-20T00:00:00"/>
    <n v="186781"/>
    <d v="2012-02-17T00:00:00"/>
    <d v="2012-02-20T00:00:00"/>
    <n v="15000"/>
    <x v="0"/>
    <m/>
    <s v="N"/>
    <s v="NONE"/>
    <s v="GUILTY PLEA - NO JURY"/>
    <n v="4"/>
    <n v="4"/>
    <n v="6"/>
    <n v="4"/>
    <n v="4"/>
    <m/>
    <m/>
    <m/>
    <m/>
    <m/>
    <m/>
    <m/>
    <m/>
    <d v="1960-03-28T00:00:00"/>
    <s v="M"/>
    <s v="B"/>
    <s v="BLACK"/>
    <s v="NON-HISPANIC"/>
    <s v="185"/>
    <s v="CONVICTED"/>
    <n v="1"/>
    <s v="STJ"/>
    <m/>
    <n v="10"/>
    <m/>
    <s v="MAN/DEL CS PG I &lt;1GRAM"/>
    <m/>
    <s v="FS"/>
    <s v="SALE DRUG"/>
    <m/>
    <m/>
    <m/>
    <m/>
    <m/>
    <m/>
    <m/>
    <m/>
    <m/>
    <s v="Appointed Attorney"/>
    <m/>
    <m/>
    <n v="4"/>
    <n v="4"/>
    <n v="4"/>
    <n v="51.784153005464482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n v="3"/>
    <s v="Y"/>
    <m/>
    <s v="0-10 DAYS"/>
    <n v="1"/>
    <x v="0"/>
  </r>
  <r>
    <n v="959"/>
    <s v="N"/>
    <s v="N"/>
    <n v="187744"/>
    <n v="1"/>
    <d v="2012-02-05T00:00:00"/>
    <d v="2012-05-17T00:00:00"/>
    <n v="187744"/>
    <d v="2012-02-05T00:00:00"/>
    <d v="2012-05-17T00:00:00"/>
    <n v="175000"/>
    <x v="2"/>
    <m/>
    <s v="N"/>
    <s v="NONE"/>
    <s v="DISMISSED"/>
    <n v="103"/>
    <n v="103"/>
    <n v="3"/>
    <n v="4"/>
    <n v="3"/>
    <m/>
    <m/>
    <m/>
    <m/>
    <m/>
    <m/>
    <m/>
    <m/>
    <d v="1958-06-30T00:00:00"/>
    <s v="M"/>
    <s v="H"/>
    <s v="HISPANIC"/>
    <s v="HISPANIC"/>
    <s v="184"/>
    <s v="DISMISSED"/>
    <n v="6"/>
    <s v="DISMISSED"/>
    <m/>
    <m/>
    <m/>
    <s v="MAN/DEL CS PG I OVER 400 GRAMS"/>
    <m/>
    <s v="F1"/>
    <s v="SALE DRUG"/>
    <m/>
    <m/>
    <m/>
    <m/>
    <m/>
    <m/>
    <m/>
    <m/>
    <m/>
    <s v="Hired Attorney"/>
    <m/>
    <m/>
    <n v="103"/>
    <n v="103"/>
    <n v="103"/>
    <n v="53.491803278688522"/>
    <n v="0"/>
    <n v="0"/>
    <s v="NO CONVICTION"/>
    <x v="0"/>
    <s v="N"/>
    <m/>
    <s v="NO CONVICTION"/>
    <s v="Y"/>
    <x v="0"/>
    <x v="0"/>
    <s v="Y"/>
    <n v="1"/>
    <n v="1"/>
    <n v="0"/>
    <n v="0"/>
    <n v="-103"/>
    <n v="0"/>
    <n v="103"/>
    <e v="#VALUE!"/>
    <n v="103"/>
    <n v="0"/>
    <n v="0"/>
    <n v="102"/>
    <s v="Y"/>
    <m/>
    <s v="91-120 DAYS"/>
    <n v="0"/>
    <x v="0"/>
  </r>
  <r>
    <n v="681"/>
    <s v="N"/>
    <s v="N"/>
    <n v="189810"/>
    <n v="5"/>
    <d v="2012-01-27T00:00:00"/>
    <d v="2012-01-30T00:00:00"/>
    <n v="189810"/>
    <d v="2012-01-28T00:00:00"/>
    <d v="2012-01-30T00:00:00"/>
    <n v="15000"/>
    <x v="0"/>
    <m/>
    <s v="N"/>
    <s v="NONE"/>
    <s v="GUILTY PLEA - NO JURY"/>
    <n v="3"/>
    <n v="4"/>
    <n v="15"/>
    <n v="11"/>
    <n v="10"/>
    <m/>
    <m/>
    <m/>
    <m/>
    <m/>
    <m/>
    <m/>
    <m/>
    <d v="1958-06-13T00:00:00"/>
    <s v="M"/>
    <s v="W"/>
    <s v="WHITE"/>
    <s v="NON-HISPANIC"/>
    <s v="209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3"/>
    <n v="3"/>
    <n v="4"/>
    <n v="53.513661202185794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n v="2"/>
    <s v="Y"/>
    <m/>
    <s v="0-10 DAYS"/>
    <n v="1"/>
    <x v="0"/>
  </r>
  <r>
    <n v="2449"/>
    <s v="N"/>
    <s v="N"/>
    <n v="199164"/>
    <n v="6"/>
    <d v="2012-04-02T00:00:00"/>
    <d v="2012-05-01T00:00:00"/>
    <n v="199164"/>
    <d v="2012-04-02T00:00:00"/>
    <d v="2012-05-01T00:00:00"/>
    <s v="NO BOND"/>
    <x v="1"/>
    <m/>
    <s v="N"/>
    <s v="NONE"/>
    <s v="GUILTY PLEA - NO JURY"/>
    <n v="30"/>
    <n v="30"/>
    <n v="6"/>
    <n v="7"/>
    <n v="2"/>
    <m/>
    <m/>
    <m/>
    <m/>
    <m/>
    <m/>
    <m/>
    <m/>
    <d v="1953-07-01T00:00:00"/>
    <s v="M"/>
    <s v="W"/>
    <s v="WHITE"/>
    <s v="NULL"/>
    <s v="248"/>
    <s v="CONVICTED"/>
    <n v="2"/>
    <s v="TDC"/>
    <n v="2"/>
    <m/>
    <m/>
    <s v="BURGLARY OF HABITATION"/>
    <m/>
    <s v="F2"/>
    <s v="BURGLARY"/>
    <m/>
    <m/>
    <m/>
    <m/>
    <m/>
    <m/>
    <m/>
    <m/>
    <m/>
    <s v="Appointed Attorney"/>
    <m/>
    <m/>
    <n v="30"/>
    <n v="30"/>
    <n v="30"/>
    <n v="58.633879781420767"/>
    <n v="0"/>
    <n v="0"/>
    <s v="CONVICTION"/>
    <x v="0"/>
    <s v="N"/>
    <m/>
    <s v="CONVICTION"/>
    <s v="Y"/>
    <x v="0"/>
    <x v="0"/>
    <s v="Y"/>
    <n v="1"/>
    <n v="1"/>
    <n v="0"/>
    <n v="0"/>
    <n v="-30"/>
    <n v="0"/>
    <n v="30"/>
    <e v="#VALUE!"/>
    <n v="30"/>
    <n v="0"/>
    <n v="0"/>
    <n v="29"/>
    <s v="Y"/>
    <m/>
    <s v="11-30 DAYS"/>
    <n v="2"/>
    <x v="0"/>
  </r>
  <r>
    <n v="97"/>
    <s v="N"/>
    <s v="N"/>
    <n v="207233"/>
    <n v="6"/>
    <d v="2012-01-05T00:00:00"/>
    <d v="2012-02-15T00:00:00"/>
    <n v="207233"/>
    <d v="2012-01-06T00:00:00"/>
    <d v="2012-02-15T00:00:00"/>
    <s v="NO BOND"/>
    <x v="1"/>
    <m/>
    <s v="N"/>
    <s v="NONE"/>
    <s v="GUILTY PLEA - NO JURY"/>
    <n v="41"/>
    <n v="42"/>
    <n v="7"/>
    <n v="8"/>
    <n v="6"/>
    <n v="1"/>
    <m/>
    <m/>
    <m/>
    <m/>
    <m/>
    <m/>
    <m/>
    <d v="1957-12-08T00:00:00"/>
    <s v="M"/>
    <s v="H"/>
    <s v="HISPANIC"/>
    <s v="HISPANIC"/>
    <s v="174"/>
    <s v="CONVICTED"/>
    <n v="3"/>
    <s v="TDC"/>
    <n v="16"/>
    <m/>
    <m/>
    <s v="DWI 3RD OFFENDER BAC .08"/>
    <m/>
    <s v="F3"/>
    <s v="FEL DWI"/>
    <m/>
    <m/>
    <m/>
    <m/>
    <m/>
    <m/>
    <m/>
    <m/>
    <m/>
    <s v="Appointed Attorney"/>
    <m/>
    <m/>
    <n v="41"/>
    <n v="41"/>
    <n v="42"/>
    <n v="53.964480874316941"/>
    <n v="0"/>
    <n v="0"/>
    <s v="CONVICTION"/>
    <x v="0"/>
    <s v="N"/>
    <m/>
    <s v="CONVICTION"/>
    <s v="Y"/>
    <x v="0"/>
    <x v="0"/>
    <s v="Y"/>
    <n v="0.97619047619047616"/>
    <n v="1"/>
    <n v="2.3809523809523836E-2"/>
    <n v="0"/>
    <n v="-41"/>
    <n v="0"/>
    <n v="41"/>
    <e v="#VALUE!"/>
    <n v="41"/>
    <n v="0"/>
    <n v="0"/>
    <n v="40"/>
    <s v="Y"/>
    <m/>
    <s v="31-60 DAYS"/>
    <n v="3"/>
    <x v="0"/>
  </r>
  <r>
    <n v="1890"/>
    <s v="N"/>
    <s v="N"/>
    <n v="208209"/>
    <n v="4"/>
    <d v="2012-03-10T00:00:00"/>
    <d v="2012-04-24T00:00:00"/>
    <n v="208209"/>
    <d v="2012-03-11T00:00:00"/>
    <d v="2012-04-24T00:00:00"/>
    <n v="15000"/>
    <x v="0"/>
    <m/>
    <s v="N"/>
    <s v="NONE"/>
    <s v="GUILTY PLEA - NO JURY"/>
    <n v="45"/>
    <n v="46"/>
    <n v="7"/>
    <n v="10"/>
    <n v="6"/>
    <m/>
    <m/>
    <m/>
    <m/>
    <m/>
    <m/>
    <m/>
    <m/>
    <d v="1955-12-24T00:00:00"/>
    <s v="M"/>
    <s v="B"/>
    <s v="BLACK"/>
    <s v="NULL"/>
    <s v="209"/>
    <s v="CONVICTED"/>
    <n v="2"/>
    <s v="HCJ"/>
    <m/>
    <m/>
    <n v="90"/>
    <s v="THEFT UNDER $1500 - 3RD OFF."/>
    <m/>
    <s v="FS"/>
    <s v="THEFT"/>
    <m/>
    <m/>
    <m/>
    <m/>
    <m/>
    <m/>
    <m/>
    <m/>
    <m/>
    <s v="Appointed Attorney"/>
    <m/>
    <m/>
    <n v="45"/>
    <n v="45"/>
    <n v="46"/>
    <n v="56.095628415300546"/>
    <n v="0"/>
    <n v="0"/>
    <s v="CONVICTION"/>
    <x v="0"/>
    <s v="N"/>
    <m/>
    <s v="CONVICTION"/>
    <s v="Y"/>
    <x v="0"/>
    <x v="0"/>
    <s v="Y"/>
    <n v="0.97826086956521741"/>
    <n v="1"/>
    <n v="2.1739130434782594E-2"/>
    <n v="0"/>
    <n v="-45"/>
    <n v="0"/>
    <n v="45"/>
    <e v="#VALUE!"/>
    <n v="45"/>
    <n v="0"/>
    <n v="0"/>
    <n v="44"/>
    <s v="Y"/>
    <m/>
    <s v="31-60 DAYS"/>
    <n v="3"/>
    <x v="0"/>
  </r>
  <r>
    <n v="687"/>
    <s v="Y"/>
    <s v="Y"/>
    <n v="211183"/>
    <n v="4"/>
    <d v="2012-01-27T00:00:00"/>
    <d v="2012-10-17T00:00:00"/>
    <n v="211183"/>
    <d v="2012-01-28T00:00:00"/>
    <d v="2012-02-11T00:00:00"/>
    <n v="20000"/>
    <x v="0"/>
    <d v="2012-02-11T00:00:00"/>
    <s v="Y"/>
    <s v="SURETY"/>
    <s v="GUILTY PLEA - NO JURY"/>
    <n v="50"/>
    <n v="265"/>
    <n v="5"/>
    <n v="3"/>
    <n v="1"/>
    <n v="1"/>
    <m/>
    <m/>
    <m/>
    <m/>
    <m/>
    <m/>
    <m/>
    <d v="1955-01-07T00:00:00"/>
    <s v="M"/>
    <s v="B"/>
    <s v="BLACK"/>
    <s v="NON-HISPANIC"/>
    <s v="174"/>
    <s v="CONVICTED"/>
    <n v="15"/>
    <s v="HCJ"/>
    <m/>
    <m/>
    <n v="120"/>
    <s v="THEFT $1500-20K"/>
    <m/>
    <s v="FS"/>
    <s v="THEFT"/>
    <s v="booked9/12/12  recal detained 35 add"/>
    <m/>
    <s v="Y"/>
    <s v="bf 9/12/12"/>
    <m/>
    <m/>
    <m/>
    <d v="2013-08-21T00:00:00"/>
    <n v="235"/>
    <s v="Hired Attorney"/>
    <s v="m crim misc 10/18/12"/>
    <m/>
    <n v="50"/>
    <n v="264"/>
    <n v="265"/>
    <n v="56.937158469945352"/>
    <n v="0"/>
    <n v="-249"/>
    <s v="CONVICTION"/>
    <x v="1"/>
    <s v="N"/>
    <m/>
    <s v="CONVICTION"/>
    <s v="Y"/>
    <x v="0"/>
    <x v="0"/>
    <s v="Y"/>
    <n v="0.18867924528301888"/>
    <n v="5.6818181818181816E-2"/>
    <n v="-0.13186106346483706"/>
    <n v="0"/>
    <n v="-15"/>
    <n v="35"/>
    <n v="264"/>
    <n v="50"/>
    <n v="264"/>
    <n v="249"/>
    <n v="249"/>
    <n v="-14"/>
    <s v="Y"/>
    <m/>
    <s v="31-60 DAYS"/>
    <n v="3"/>
    <x v="0"/>
  </r>
  <r>
    <n v="2686"/>
    <s v="N"/>
    <s v="N"/>
    <n v="216110"/>
    <n v="5"/>
    <d v="2012-04-10T00:00:00"/>
    <d v="2012-04-11T00:00:00"/>
    <n v="216110"/>
    <d v="2012-04-10T00:00:00"/>
    <d v="2012-04-11T00:00:00"/>
    <n v="15000"/>
    <x v="0"/>
    <m/>
    <s v="N"/>
    <s v="NONE"/>
    <s v="GUILTY PLEA - NO JURY"/>
    <n v="2"/>
    <n v="2"/>
    <n v="9"/>
    <n v="8"/>
    <n v="5"/>
    <m/>
    <m/>
    <m/>
    <m/>
    <m/>
    <m/>
    <m/>
    <m/>
    <d v="1953-09-02T00:00:00"/>
    <s v="M"/>
    <s v="B"/>
    <s v="BLACK"/>
    <s v="NON-HISPANIC"/>
    <s v="184"/>
    <s v="CONVICTED"/>
    <n v="1"/>
    <s v="STJ"/>
    <m/>
    <n v="6"/>
    <m/>
    <s v="THEFT $1500-20K"/>
    <m/>
    <s v="FS"/>
    <s v="THEFT"/>
    <m/>
    <m/>
    <m/>
    <m/>
    <m/>
    <m/>
    <m/>
    <m/>
    <m/>
    <s v="Appointed Attorney"/>
    <m/>
    <m/>
    <n v="2"/>
    <n v="2"/>
    <n v="2"/>
    <n v="58.483606557377051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n v="1"/>
    <s v="Y"/>
    <m/>
    <s v="0-10 DAYS"/>
    <n v="1"/>
    <x v="0"/>
  </r>
  <r>
    <n v="1917"/>
    <s v="N"/>
    <s v="N"/>
    <n v="222373"/>
    <n v="1"/>
    <d v="2012-03-12T00:00:00"/>
    <d v="2012-10-23T00:00:00"/>
    <n v="222373"/>
    <d v="2012-03-12T00:00:00"/>
    <d v="2012-10-23T00:00:00"/>
    <s v="NO BOND"/>
    <x v="1"/>
    <m/>
    <s v="N"/>
    <s v="NONE"/>
    <s v="AQUITTAL"/>
    <n v="226"/>
    <n v="226"/>
    <n v="2"/>
    <n v="2"/>
    <n v="2"/>
    <m/>
    <m/>
    <m/>
    <m/>
    <m/>
    <m/>
    <m/>
    <m/>
    <d v="1957-09-26T00:00:00"/>
    <s v="M"/>
    <s v="B"/>
    <s v="BLACK"/>
    <s v="NULL"/>
    <s v="185"/>
    <s v="AQUITTAL"/>
    <n v="9"/>
    <s v="ACQUITTAL"/>
    <m/>
    <m/>
    <m/>
    <s v="AGG ASSAULT-FAMILY MEMBER"/>
    <m/>
    <s v="F2"/>
    <s v="ASLT-MURDR"/>
    <m/>
    <m/>
    <m/>
    <m/>
    <m/>
    <m/>
    <m/>
    <m/>
    <m/>
    <s v="Appointed Attorney"/>
    <m/>
    <m/>
    <n v="226"/>
    <n v="226"/>
    <n v="226"/>
    <n v="54.346994535519123"/>
    <n v="0"/>
    <n v="0"/>
    <n v="0"/>
    <x v="0"/>
    <s v="N"/>
    <m/>
    <s v="NO CONVICTION"/>
    <s v="Y"/>
    <x v="0"/>
    <x v="0"/>
    <s v="Y"/>
    <n v="1"/>
    <n v="1"/>
    <n v="0"/>
    <n v="0"/>
    <n v="-226"/>
    <n v="0"/>
    <n v="226"/>
    <e v="#VALUE!"/>
    <n v="226"/>
    <n v="0"/>
    <n v="0"/>
    <n v="225"/>
    <s v="Y"/>
    <m/>
    <s v="121-365 DAYS"/>
    <n v="6"/>
    <x v="0"/>
  </r>
  <r>
    <n v="1137"/>
    <s v="N"/>
    <s v="N"/>
    <n v="222698"/>
    <n v="6"/>
    <d v="2012-02-10T00:00:00"/>
    <d v="2012-02-23T00:00:00"/>
    <n v="222698"/>
    <d v="2012-02-20T00:00:00"/>
    <d v="2012-02-23T00:00:00"/>
    <s v="NO BOND"/>
    <x v="1"/>
    <m/>
    <s v="N"/>
    <s v="NONE"/>
    <s v="GUILTY PLEA - NO JURY"/>
    <n v="4"/>
    <n v="14"/>
    <n v="4"/>
    <n v="3"/>
    <n v="2"/>
    <m/>
    <m/>
    <m/>
    <m/>
    <m/>
    <m/>
    <m/>
    <m/>
    <d v="1952-06-22T00:00:00"/>
    <s v="M"/>
    <s v="W"/>
    <s v="WHITE"/>
    <s v="NON-HISPANIC"/>
    <s v="177"/>
    <s v="CONVICTED"/>
    <n v="3"/>
    <s v="TDC"/>
    <n v="5"/>
    <m/>
    <m/>
    <s v="FAIL TO COMPLY AS SEX OFFENDER"/>
    <m/>
    <s v="F3"/>
    <s v="OTHER FEL"/>
    <m/>
    <m/>
    <m/>
    <m/>
    <m/>
    <m/>
    <m/>
    <m/>
    <m/>
    <s v="Appointed Attorney"/>
    <m/>
    <m/>
    <n v="4"/>
    <n v="4"/>
    <n v="14"/>
    <n v="59.513661202185794"/>
    <n v="0"/>
    <n v="0"/>
    <s v="CONVICTION"/>
    <x v="0"/>
    <s v="N"/>
    <m/>
    <s v="CONVICTION"/>
    <s v="Y"/>
    <x v="0"/>
    <x v="0"/>
    <s v="Y"/>
    <n v="0.2857142857142857"/>
    <n v="1"/>
    <n v="0.7142857142857143"/>
    <n v="0"/>
    <n v="-4"/>
    <n v="0"/>
    <n v="4"/>
    <e v="#VALUE!"/>
    <n v="4"/>
    <n v="0"/>
    <n v="0"/>
    <n v="3"/>
    <s v="Y"/>
    <m/>
    <s v="0-10 DAYS"/>
    <n v="1"/>
    <x v="0"/>
  </r>
  <r>
    <n v="121"/>
    <s v="N"/>
    <s v="N"/>
    <n v="229429"/>
    <n v="5"/>
    <d v="2012-01-06T00:00:00"/>
    <d v="2012-01-09T00:00:00"/>
    <n v="229429"/>
    <d v="2012-01-06T00:00:00"/>
    <d v="2012-01-09T00:00:00"/>
    <n v="15000"/>
    <x v="0"/>
    <m/>
    <s v="N"/>
    <s v="NONE"/>
    <s v="GUILTY PLEA - NO JURY"/>
    <n v="4"/>
    <n v="4"/>
    <n v="6"/>
    <n v="2"/>
    <n v="4"/>
    <n v="1"/>
    <m/>
    <m/>
    <m/>
    <m/>
    <m/>
    <m/>
    <m/>
    <d v="1958-12-24T00:00:00"/>
    <s v="M"/>
    <s v="B"/>
    <s v="BLACK"/>
    <s v="NON-HISPANIC"/>
    <s v="351"/>
    <s v="CONVICTED"/>
    <n v="1"/>
    <s v="STJ"/>
    <m/>
    <n v="8"/>
    <m/>
    <s v="POSS CS PG 1 &lt;1G"/>
    <m/>
    <s v="FS"/>
    <s v="POSS DRUG"/>
    <m/>
    <m/>
    <m/>
    <m/>
    <m/>
    <m/>
    <m/>
    <m/>
    <m/>
    <s v="Appointed Attorney"/>
    <m/>
    <m/>
    <n v="4"/>
    <n v="4"/>
    <n v="4"/>
    <n v="52.92622950819672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n v="3"/>
    <s v="Y"/>
    <m/>
    <s v="0-10 DAYS"/>
    <n v="1"/>
    <x v="0"/>
  </r>
  <r>
    <n v="2395"/>
    <s v="N"/>
    <s v="Y"/>
    <n v="235494"/>
    <n v="2"/>
    <d v="2012-03-31T00:00:00"/>
    <d v="2012-06-05T00:00:00"/>
    <n v="235494"/>
    <d v="2012-03-31T00:00:00"/>
    <d v="2012-04-01T00:00:00"/>
    <n v="10000"/>
    <x v="3"/>
    <d v="2012-04-01T00:00:00"/>
    <s v="Y"/>
    <s v="SURETYPTRc"/>
    <s v="DEFERRED ADJUDICATION "/>
    <n v="39"/>
    <n v="67"/>
    <n v="2"/>
    <n v="2"/>
    <n v="1"/>
    <m/>
    <m/>
    <m/>
    <m/>
    <m/>
    <m/>
    <m/>
    <m/>
    <d v="1956-12-10T00:00:00"/>
    <s v="M"/>
    <s v="W"/>
    <s v="WHITE"/>
    <s v="NON-HISPANIC"/>
    <s v="262"/>
    <s v="DEFERRED"/>
    <n v="7"/>
    <s v="DEFERRED"/>
    <m/>
    <m/>
    <m/>
    <s v="POSS CS PG 1 4G - 200G"/>
    <m/>
    <s v="F2"/>
    <s v="POSS DRUG"/>
    <s v="bf bk recal"/>
    <m/>
    <s v="Y"/>
    <s v=" bf 4/23/12"/>
    <m/>
    <m/>
    <m/>
    <d v="2012-07-10T00:00:00"/>
    <n v="329"/>
    <s v="Appointed Attorney"/>
    <m/>
    <m/>
    <n v="39"/>
    <n v="67"/>
    <n v="67"/>
    <n v="55.191256830601091"/>
    <n v="0"/>
    <n v="-65"/>
    <s v="DEFERRED"/>
    <x v="1"/>
    <s v="N"/>
    <m/>
    <s v="DEFERRED"/>
    <s v="Y"/>
    <x v="0"/>
    <x v="0"/>
    <s v="Y"/>
    <n v="0.58208955223880599"/>
    <n v="2.9850746268656716E-2"/>
    <n v="-0.55223880597014929"/>
    <n v="0"/>
    <n v="-2"/>
    <n v="37"/>
    <n v="67"/>
    <n v="39"/>
    <n v="67"/>
    <n v="65"/>
    <n v="65"/>
    <n v="-1"/>
    <s v="Y"/>
    <m/>
    <s v="31-60 DAYS"/>
    <n v="3"/>
    <x v="0"/>
  </r>
  <r>
    <n v="2280"/>
    <s v="N"/>
    <s v="N"/>
    <n v="235840"/>
    <n v="5"/>
    <d v="2012-03-27T00:00:00"/>
    <d v="2012-04-30T00:00:00"/>
    <n v="235840"/>
    <d v="2012-03-27T00:00:00"/>
    <d v="2012-04-30T00:00:00"/>
    <n v="15000"/>
    <x v="0"/>
    <m/>
    <s v="N"/>
    <s v="NONE"/>
    <s v="GUILTY PLEA - NO JURY"/>
    <n v="35"/>
    <n v="35"/>
    <n v="14"/>
    <n v="5"/>
    <n v="7"/>
    <m/>
    <m/>
    <m/>
    <m/>
    <m/>
    <m/>
    <m/>
    <m/>
    <d v="1958-10-19T00:00:00"/>
    <s v="F"/>
    <s v="H"/>
    <s v="HISPANIC"/>
    <s v="HISPANIC"/>
    <s v="177"/>
    <s v="CONVICTED"/>
    <n v="5"/>
    <s v="STJ"/>
    <m/>
    <n v="6"/>
    <m/>
    <s v="POSS CS PG 1 &lt;1G"/>
    <m/>
    <s v="FS"/>
    <s v="POSS DRUG"/>
    <m/>
    <m/>
    <m/>
    <m/>
    <m/>
    <m/>
    <m/>
    <m/>
    <m/>
    <s v="Appointed Attorney"/>
    <m/>
    <m/>
    <n v="35"/>
    <n v="35"/>
    <n v="35"/>
    <n v="53.327868852459019"/>
    <n v="0"/>
    <n v="0"/>
    <s v="CONVICTION"/>
    <x v="0"/>
    <s v="N"/>
    <m/>
    <s v="CONVICTION"/>
    <s v="Y"/>
    <x v="0"/>
    <x v="0"/>
    <s v="Y"/>
    <n v="1"/>
    <n v="1"/>
    <n v="0"/>
    <n v="0"/>
    <n v="-35"/>
    <n v="0"/>
    <n v="35"/>
    <e v="#VALUE!"/>
    <n v="35"/>
    <n v="0"/>
    <n v="0"/>
    <n v="34"/>
    <s v="Y"/>
    <m/>
    <s v="31-60 DAYS"/>
    <n v="3"/>
    <x v="0"/>
  </r>
  <r>
    <n v="1316"/>
    <s v="N"/>
    <s v="N"/>
    <n v="240507"/>
    <n v="6"/>
    <d v="2012-02-17T00:00:00"/>
    <d v="2012-08-02T00:00:00"/>
    <n v="240507"/>
    <d v="2012-03-07T00:00:00"/>
    <d v="2012-08-02T00:00:00"/>
    <s v="NO BOND"/>
    <x v="1"/>
    <m/>
    <s v="N"/>
    <s v="NONE"/>
    <s v="GUILTY PLEA - NO JURY"/>
    <n v="149"/>
    <n v="168"/>
    <n v="7"/>
    <n v="0"/>
    <n v="2"/>
    <m/>
    <m/>
    <m/>
    <m/>
    <m/>
    <m/>
    <m/>
    <m/>
    <d v="1951-12-18T00:00:00"/>
    <s v="M"/>
    <s v="B"/>
    <s v="BLACK"/>
    <s v="NON-HISPANIC"/>
    <s v="228"/>
    <s v="CONVICTED"/>
    <n v="7"/>
    <s v="TDC"/>
    <n v="5"/>
    <m/>
    <m/>
    <s v="FAIL TO COMPLY AS SEX OFFENDER"/>
    <m/>
    <s v="F3"/>
    <s v="OTHER FEL"/>
    <m/>
    <m/>
    <m/>
    <m/>
    <m/>
    <m/>
    <m/>
    <m/>
    <m/>
    <s v="Public Defender"/>
    <m/>
    <m/>
    <n v="149"/>
    <n v="149"/>
    <n v="168"/>
    <n v="60.043715846994537"/>
    <n v="0"/>
    <n v="0"/>
    <s v="CONVICTION"/>
    <x v="0"/>
    <s v="N"/>
    <m/>
    <s v="CONVICTION"/>
    <s v="Y"/>
    <x v="0"/>
    <x v="0"/>
    <s v="Y"/>
    <n v="0.88690476190476186"/>
    <n v="1"/>
    <n v="0.11309523809523814"/>
    <n v="0"/>
    <n v="-149"/>
    <n v="0"/>
    <n v="149"/>
    <e v="#VALUE!"/>
    <n v="149"/>
    <n v="0"/>
    <n v="0"/>
    <n v="148"/>
    <s v="Y"/>
    <m/>
    <s v="121-365 DAYS"/>
    <n v="6"/>
    <x v="0"/>
  </r>
  <r>
    <n v="3190"/>
    <s v="N"/>
    <s v="N"/>
    <n v="244117"/>
    <n v="6"/>
    <d v="2012-04-27T00:00:00"/>
    <d v="2013-01-28T00:00:00"/>
    <n v="244117"/>
    <d v="2012-04-27T00:00:00"/>
    <d v="2013-01-28T00:00:00"/>
    <s v="NO BOND"/>
    <x v="1"/>
    <m/>
    <s v="N"/>
    <s v="NONE"/>
    <s v="GUILTY PLEA - NO JURY"/>
    <n v="277"/>
    <n v="277"/>
    <n v="7"/>
    <n v="3"/>
    <n v="4"/>
    <m/>
    <m/>
    <m/>
    <m/>
    <m/>
    <m/>
    <m/>
    <m/>
    <d v="1958-09-19T00:00:00"/>
    <s v="M"/>
    <s v="B"/>
    <s v="BLACK"/>
    <s v="NON-HISPANIC"/>
    <s v="262"/>
    <s v="CONVICTED"/>
    <n v="6"/>
    <s v="TDC"/>
    <n v="25"/>
    <m/>
    <m/>
    <s v="AGG ROBBERY-DEADLY WPN"/>
    <m/>
    <s v="F1"/>
    <s v="ROBBERY"/>
    <m/>
    <m/>
    <m/>
    <m/>
    <m/>
    <m/>
    <m/>
    <m/>
    <m/>
    <s v="Appointed Attorney"/>
    <m/>
    <m/>
    <n v="277"/>
    <n v="277"/>
    <n v="277"/>
    <n v="53.494535519125684"/>
    <n v="0"/>
    <n v="0"/>
    <s v="CONVICTION"/>
    <x v="0"/>
    <s v="N"/>
    <m/>
    <s v="CONVICTION"/>
    <s v="Y"/>
    <x v="0"/>
    <x v="0"/>
    <s v="Y"/>
    <n v="1"/>
    <n v="1"/>
    <n v="0"/>
    <n v="0"/>
    <n v="-277"/>
    <n v="0"/>
    <n v="277"/>
    <e v="#VALUE!"/>
    <n v="277"/>
    <n v="0"/>
    <n v="0"/>
    <n v="276"/>
    <s v="Y"/>
    <m/>
    <s v="121-365 DAYS"/>
    <n v="6"/>
    <x v="0"/>
  </r>
  <r>
    <n v="1696"/>
    <s v="N"/>
    <s v="N"/>
    <n v="249703"/>
    <n v="4"/>
    <d v="2012-03-03T00:00:00"/>
    <d v="2012-03-06T00:00:00"/>
    <n v="249703"/>
    <d v="2012-03-04T00:00:00"/>
    <d v="2012-03-06T00:00:00"/>
    <n v="15000"/>
    <x v="0"/>
    <m/>
    <s v="N"/>
    <s v="NONE"/>
    <s v="GUILTY PLEA - NO JURY"/>
    <n v="3"/>
    <n v="4"/>
    <n v="9"/>
    <n v="4"/>
    <n v="2"/>
    <m/>
    <m/>
    <m/>
    <m/>
    <m/>
    <m/>
    <m/>
    <m/>
    <d v="1960-07-27T00:00:00"/>
    <s v="M"/>
    <s v="B"/>
    <s v="BLACK"/>
    <s v="NON-HISPANIC"/>
    <s v="179"/>
    <s v="CONVICTED"/>
    <n v="2"/>
    <s v="HCJ"/>
    <m/>
    <m/>
    <n v="90"/>
    <s v="POSS CS PG 1 &lt;1G"/>
    <m/>
    <s v="FS"/>
    <s v="POSS DRUG"/>
    <s v="fel drug 8/21/12 stj 7 mos"/>
    <m/>
    <m/>
    <m/>
    <m/>
    <m/>
    <m/>
    <m/>
    <m/>
    <s v="Appointed Attorney"/>
    <m/>
    <m/>
    <n v="3"/>
    <n v="3"/>
    <n v="4"/>
    <n v="51.494535519125684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n v="2"/>
    <s v="Y"/>
    <m/>
    <s v="0-10 DAYS"/>
    <n v="1"/>
    <x v="0"/>
  </r>
  <r>
    <n v="1895"/>
    <s v="N"/>
    <s v="N"/>
    <n v="252961"/>
    <n v="5"/>
    <d v="2012-03-11T00:00:00"/>
    <d v="2012-03-13T00:00:00"/>
    <n v="252961"/>
    <d v="2012-03-11T00:00:00"/>
    <d v="2012-03-13T00:00:00"/>
    <n v="15000"/>
    <x v="0"/>
    <m/>
    <s v="N"/>
    <s v="NONE"/>
    <s v="GUILTY PLEA - NO JURY"/>
    <n v="3"/>
    <n v="3"/>
    <n v="4"/>
    <n v="3"/>
    <m/>
    <n v="2"/>
    <m/>
    <m/>
    <m/>
    <m/>
    <m/>
    <m/>
    <m/>
    <d v="1957-09-14T00:00:00"/>
    <s v="M"/>
    <s v="B"/>
    <s v="BLACK"/>
    <s v="NON-HISPANIC"/>
    <s v="178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54.377049180327866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n v="2"/>
    <s v="Y"/>
    <m/>
    <s v="0-10 DAYS"/>
    <n v="1"/>
    <x v="0"/>
  </r>
  <r>
    <n v="1432"/>
    <s v="N"/>
    <s v="N"/>
    <n v="257111"/>
    <n v="4"/>
    <d v="2012-02-22T00:00:00"/>
    <d v="2013-02-04T00:00:00"/>
    <n v="257111"/>
    <d v="2012-02-23T00:00:00"/>
    <d v="2012-02-25T00:00:00"/>
    <n v="15000"/>
    <x v="0"/>
    <d v="2012-02-25T00:00:00"/>
    <s v="Y"/>
    <s v="SURETY"/>
    <s v="GUILTY PLEA - NO JURY"/>
    <n v="3"/>
    <n v="349"/>
    <n v="5"/>
    <n v="0"/>
    <n v="5"/>
    <m/>
    <m/>
    <m/>
    <m/>
    <m/>
    <m/>
    <m/>
    <m/>
    <d v="1960-01-01T00:00:00"/>
    <s v="F"/>
    <s v="B"/>
    <s v="BLACK"/>
    <s v="NON-HISPANIC"/>
    <s v="178"/>
    <s v="CONVICTED"/>
    <n v="13"/>
    <s v="HCJ"/>
    <m/>
    <m/>
    <n v="30"/>
    <s v="POSS CS PG 1 &lt;1G"/>
    <m/>
    <s v="FS"/>
    <s v="POSS DRUG"/>
    <m/>
    <m/>
    <m/>
    <m/>
    <m/>
    <m/>
    <m/>
    <m/>
    <m/>
    <s v="Hired Attorney"/>
    <m/>
    <m/>
    <n v="3"/>
    <n v="348"/>
    <n v="349"/>
    <n v="52.035519125683059"/>
    <n v="0"/>
    <n v="-345"/>
    <s v="CONVICTION"/>
    <x v="1"/>
    <s v="Y"/>
    <m/>
    <s v="CONVICTION"/>
    <s v="Y"/>
    <x v="1"/>
    <x v="0"/>
    <s v="Y"/>
    <n v="8.5959885386819486E-3"/>
    <n v="8.6206896551724137E-3"/>
    <n v="2.470111649046508E-5"/>
    <n v="0"/>
    <n v="-3"/>
    <n v="0"/>
    <n v="3"/>
    <e v="#VALUE!"/>
    <n v="3"/>
    <n v="0"/>
    <n v="345"/>
    <n v="2"/>
    <s v="Y"/>
    <m/>
    <s v="0-10 DAYS"/>
    <n v="1"/>
    <x v="0"/>
  </r>
  <r>
    <n v="2529"/>
    <s v="N"/>
    <s v="N"/>
    <n v="267721"/>
    <n v="1"/>
    <d v="2012-04-04T00:00:00"/>
    <d v="2012-04-25T00:00:00"/>
    <n v="267721"/>
    <d v="2012-04-05T00:00:00"/>
    <d v="2012-04-25T00:00:00"/>
    <n v="5000"/>
    <x v="4"/>
    <m/>
    <s v="N"/>
    <s v="NONE"/>
    <s v="DISMISSED"/>
    <n v="21"/>
    <n v="22"/>
    <n v="1"/>
    <n v="1"/>
    <m/>
    <m/>
    <m/>
    <m/>
    <m/>
    <m/>
    <m/>
    <m/>
    <m/>
    <d v="1956-01-19T00:00:00"/>
    <s v="M"/>
    <s v="B"/>
    <s v="BLACK"/>
    <s v="NON-HISPANIC"/>
    <s v="338"/>
    <s v="DISMISSED"/>
    <n v="3"/>
    <s v="DISMISSED"/>
    <m/>
    <m/>
    <m/>
    <s v="POSS CS PG 1 &lt;1G"/>
    <m/>
    <s v="FS"/>
    <s v="POSS DRUG"/>
    <m/>
    <m/>
    <m/>
    <m/>
    <m/>
    <m/>
    <m/>
    <m/>
    <m/>
    <s v="Other/Unknown"/>
    <m/>
    <m/>
    <n v="21"/>
    <n v="21"/>
    <n v="22"/>
    <n v="56.092896174863391"/>
    <n v="0"/>
    <n v="0"/>
    <s v="NO CONVICTION"/>
    <x v="0"/>
    <s v="N"/>
    <m/>
    <s v="NO CONVICTION"/>
    <s v="Y"/>
    <x v="0"/>
    <x v="0"/>
    <s v="Y"/>
    <n v="0.95454545454545459"/>
    <n v="1"/>
    <n v="4.5454545454545414E-2"/>
    <n v="0"/>
    <n v="-21"/>
    <n v="0"/>
    <n v="21"/>
    <e v="#VALUE!"/>
    <n v="21"/>
    <n v="0"/>
    <n v="0"/>
    <n v="20"/>
    <s v="Y"/>
    <m/>
    <s v="11-30 DAYS"/>
    <n v="2"/>
    <x v="0"/>
  </r>
  <r>
    <n v="2330"/>
    <s v="N"/>
    <s v="N"/>
    <n v="276817"/>
    <n v="5"/>
    <d v="2012-03-29T00:00:00"/>
    <d v="2012-08-09T00:00:00"/>
    <n v="276817"/>
    <d v="2012-03-29T00:00:00"/>
    <d v="2012-08-09T00:00:00"/>
    <n v="15000"/>
    <x v="0"/>
    <m/>
    <s v="N"/>
    <s v="NONE"/>
    <s v="GUILTY PLEA - NO JURY"/>
    <n v="134"/>
    <n v="134"/>
    <n v="9"/>
    <n v="2"/>
    <n v="6"/>
    <m/>
    <m/>
    <m/>
    <m/>
    <m/>
    <m/>
    <m/>
    <m/>
    <d v="1959-10-26T00:00:00"/>
    <s v="M"/>
    <s v="B"/>
    <s v="BLACK"/>
    <s v="NON-HISPANIC"/>
    <s v="185"/>
    <s v="CONVICTED"/>
    <n v="7"/>
    <s v="STJ"/>
    <m/>
    <n v="6"/>
    <m/>
    <s v="DEL MARIJ 1/4 OZ - 5 LBS"/>
    <m/>
    <s v="FS"/>
    <s v="SALE DRUG"/>
    <m/>
    <m/>
    <m/>
    <m/>
    <m/>
    <m/>
    <m/>
    <m/>
    <m/>
    <s v="Appointed Attorney"/>
    <m/>
    <m/>
    <n v="134"/>
    <n v="134"/>
    <n v="134"/>
    <n v="52.31693989071038"/>
    <n v="0"/>
    <n v="0"/>
    <s v="CONVICTION"/>
    <x v="0"/>
    <s v="N"/>
    <m/>
    <s v="CONVICTION"/>
    <s v="Y"/>
    <x v="0"/>
    <x v="0"/>
    <s v="Y"/>
    <n v="1"/>
    <n v="1"/>
    <n v="0"/>
    <n v="0"/>
    <n v="-134"/>
    <n v="0"/>
    <n v="134"/>
    <e v="#VALUE!"/>
    <n v="134"/>
    <n v="0"/>
    <n v="0"/>
    <n v="133"/>
    <s v="Y"/>
    <m/>
    <s v="121-365 DAYS"/>
    <n v="6"/>
    <x v="0"/>
  </r>
  <r>
    <n v="2172"/>
    <s v="N"/>
    <s v="N"/>
    <n v="277444"/>
    <n v="5"/>
    <d v="2012-03-22T00:00:00"/>
    <d v="2012-06-27T00:00:00"/>
    <n v="277444"/>
    <d v="2012-03-22T00:00:00"/>
    <d v="2012-06-27T00:00:00"/>
    <n v="15000"/>
    <x v="0"/>
    <m/>
    <s v="N"/>
    <s v="NONE"/>
    <s v="GUILTY PLEA - NO JURY"/>
    <n v="98"/>
    <n v="98"/>
    <n v="9"/>
    <n v="6"/>
    <n v="3"/>
    <m/>
    <m/>
    <m/>
    <m/>
    <m/>
    <m/>
    <m/>
    <m/>
    <d v="1960-09-05T00:00:00"/>
    <s v="M"/>
    <s v="B"/>
    <s v="BLACK"/>
    <s v="NON-HISPANIC"/>
    <s v="184"/>
    <s v="CONVICTED"/>
    <n v="5"/>
    <s v="STJ"/>
    <m/>
    <n v="6"/>
    <m/>
    <s v="BURGLARY OF A BUILDING"/>
    <m/>
    <s v="FS"/>
    <s v="BURGLARY"/>
    <m/>
    <m/>
    <m/>
    <m/>
    <m/>
    <m/>
    <m/>
    <m/>
    <m/>
    <s v="Appointed Attorney"/>
    <m/>
    <m/>
    <n v="98"/>
    <n v="98"/>
    <n v="98"/>
    <n v="51.437158469945352"/>
    <n v="0"/>
    <n v="0"/>
    <s v="CONVICTION"/>
    <x v="0"/>
    <s v="N"/>
    <m/>
    <s v="CONVICTION"/>
    <s v="Y"/>
    <x v="0"/>
    <x v="0"/>
    <s v="Y"/>
    <n v="1"/>
    <n v="1"/>
    <n v="0"/>
    <n v="0"/>
    <n v="-98"/>
    <n v="0"/>
    <n v="98"/>
    <e v="#VALUE!"/>
    <n v="98"/>
    <n v="0"/>
    <n v="0"/>
    <n v="97"/>
    <s v="Y"/>
    <m/>
    <s v="91-120 DAYS"/>
    <n v="0"/>
    <x v="0"/>
  </r>
  <r>
    <n v="2042"/>
    <s v="N"/>
    <s v="N"/>
    <n v="280802"/>
    <n v="2"/>
    <d v="2012-03-17T00:00:00"/>
    <d v="2012-03-19T00:00:00"/>
    <n v="280802"/>
    <d v="2012-03-18T00:00:00"/>
    <d v="2012-03-19T00:00:00"/>
    <n v="10000"/>
    <x v="3"/>
    <m/>
    <s v="N"/>
    <s v="NONE"/>
    <s v="DEFERRED ADJUDICATION "/>
    <n v="2"/>
    <n v="3"/>
    <n v="2"/>
    <n v="0"/>
    <m/>
    <n v="2"/>
    <m/>
    <m/>
    <m/>
    <m/>
    <m/>
    <m/>
    <m/>
    <d v="1955-06-09T00:00:00"/>
    <s v="M"/>
    <s v="W"/>
    <s v="WHITE"/>
    <s v="NULL"/>
    <s v="178"/>
    <s v="DEFERRED"/>
    <n v="1"/>
    <s v="DEFERRED"/>
    <m/>
    <m/>
    <m/>
    <s v="POSS CS PG 1  1 - 4 GRAMS"/>
    <m/>
    <s v="F3"/>
    <s v="POSS DRUG"/>
    <m/>
    <m/>
    <m/>
    <m/>
    <m/>
    <m/>
    <m/>
    <m/>
    <m/>
    <s v="Appointed Attorney"/>
    <m/>
    <m/>
    <n v="2"/>
    <n v="2"/>
    <n v="3"/>
    <n v="56.655737704918032"/>
    <n v="0"/>
    <n v="0"/>
    <s v="DEFERRED"/>
    <x v="0"/>
    <s v="N"/>
    <m/>
    <s v="DEFERRED"/>
    <s v="Y"/>
    <x v="0"/>
    <x v="0"/>
    <s v="Y"/>
    <n v="0.66666666666666663"/>
    <n v="1"/>
    <n v="0.33333333333333337"/>
    <n v="0"/>
    <n v="-2"/>
    <n v="0"/>
    <n v="2"/>
    <e v="#VALUE!"/>
    <n v="2"/>
    <n v="0"/>
    <n v="0"/>
    <n v="1"/>
    <s v="Y"/>
    <m/>
    <s v="0-10 DAYS"/>
    <n v="1"/>
    <x v="0"/>
  </r>
  <r>
    <n v="903"/>
    <s v="N"/>
    <s v="N"/>
    <n v="283449"/>
    <n v="5"/>
    <d v="2012-02-03T00:00:00"/>
    <d v="2012-02-06T00:00:00"/>
    <n v="283449"/>
    <d v="2012-02-03T00:00:00"/>
    <d v="2012-02-06T00:00:00"/>
    <n v="15000"/>
    <x v="0"/>
    <m/>
    <s v="N"/>
    <s v="NONE"/>
    <s v="GUILTY PLEA - NO JURY"/>
    <n v="4"/>
    <n v="4"/>
    <n v="6"/>
    <n v="5"/>
    <n v="6"/>
    <m/>
    <m/>
    <m/>
    <m/>
    <m/>
    <m/>
    <m/>
    <m/>
    <d v="1957-05-31T00:00:00"/>
    <s v="M"/>
    <s v="B"/>
    <s v="BLACK"/>
    <s v="NON-HISPANIC"/>
    <s v="248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4"/>
    <n v="4"/>
    <n v="4"/>
    <n v="54.565573770491802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n v="3"/>
    <s v="Y"/>
    <m/>
    <s v="0-10 DAYS"/>
    <n v="1"/>
    <x v="0"/>
  </r>
  <r>
    <n v="3184"/>
    <s v="N"/>
    <s v="N"/>
    <n v="284173"/>
    <n v="3"/>
    <d v="2012-04-27T00:00:00"/>
    <d v="2013-10-25T00:00:00"/>
    <n v="284173"/>
    <d v="2012-04-27T00:00:00"/>
    <d v="2012-05-02T00:00:00"/>
    <n v="20000"/>
    <x v="0"/>
    <d v="2012-05-02T00:00:00"/>
    <s v="Y"/>
    <s v="SURETYPTRc"/>
    <s v="GUILTY PLEA - NO JURY"/>
    <n v="6"/>
    <n v="547"/>
    <n v="2"/>
    <n v="6"/>
    <n v="2"/>
    <m/>
    <m/>
    <m/>
    <m/>
    <m/>
    <m/>
    <m/>
    <m/>
    <d v="1954-08-04T00:00:00"/>
    <s v="M"/>
    <s v="H"/>
    <s v="HISPANIC"/>
    <s v="HISPANIC"/>
    <s v="176"/>
    <s v="CONVICTED"/>
    <n v="11"/>
    <s v="PROBATION"/>
    <m/>
    <m/>
    <m/>
    <s v="DWI 3RD OFFENDER BAC .08"/>
    <m/>
    <s v="F3"/>
    <s v="FEL DWI"/>
    <m/>
    <m/>
    <m/>
    <m/>
    <m/>
    <m/>
    <m/>
    <m/>
    <m/>
    <s v="Hired Attorney"/>
    <m/>
    <m/>
    <n v="6"/>
    <n v="547"/>
    <n v="547"/>
    <n v="57.612021857923494"/>
    <n v="0"/>
    <n v="-541"/>
    <s v="CONVICTION"/>
    <x v="1"/>
    <s v="Y"/>
    <m/>
    <s v="CONVICTION"/>
    <s v="Y"/>
    <x v="1"/>
    <x v="0"/>
    <s v="Y"/>
    <n v="1.0968921389396709E-2"/>
    <n v="1.0968921389396709E-2"/>
    <n v="0"/>
    <n v="0"/>
    <n v="-6"/>
    <n v="0"/>
    <n v="6"/>
    <e v="#VALUE!"/>
    <n v="6"/>
    <n v="0"/>
    <n v="541"/>
    <n v="5"/>
    <s v="Y"/>
    <m/>
    <s v="0-10 DAYS"/>
    <n v="1"/>
    <x v="0"/>
  </r>
  <r>
    <n v="714"/>
    <s v="N"/>
    <s v="N"/>
    <n v="289578"/>
    <n v="4"/>
    <d v="2012-01-28T00:00:00"/>
    <d v="2012-01-30T00:00:00"/>
    <n v="289578"/>
    <d v="2012-01-29T00:00:00"/>
    <d v="2012-01-30T00:00:00"/>
    <n v="15000"/>
    <x v="0"/>
    <m/>
    <s v="N"/>
    <s v="NONE"/>
    <s v="GUILTY PLEA - NO JURY"/>
    <n v="2"/>
    <n v="3"/>
    <n v="5"/>
    <n v="6"/>
    <n v="3"/>
    <n v="1"/>
    <m/>
    <m/>
    <m/>
    <m/>
    <m/>
    <m/>
    <m/>
    <d v="1958-10-01T00:00:00"/>
    <s v="M"/>
    <s v="B"/>
    <s v="BLACK"/>
    <s v="NON-HISPANIC"/>
    <s v="230"/>
    <s v="CONVICTED"/>
    <n v="1"/>
    <s v="HCJ"/>
    <m/>
    <m/>
    <n v="365"/>
    <s v="POSS CS PG 1 &lt;1G"/>
    <m/>
    <s v="FS"/>
    <s v="POSS DRUG"/>
    <m/>
    <m/>
    <m/>
    <m/>
    <m/>
    <m/>
    <m/>
    <m/>
    <m/>
    <s v="Appointed Attorney"/>
    <m/>
    <m/>
    <n v="2"/>
    <n v="2"/>
    <n v="3"/>
    <n v="53.215846994535518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n v="1"/>
    <s v="Y"/>
    <m/>
    <s v="0-10 DAYS"/>
    <n v="1"/>
    <x v="0"/>
  </r>
  <r>
    <n v="815"/>
    <s v="N"/>
    <s v="N"/>
    <n v="292391"/>
    <n v="4"/>
    <d v="2012-02-01T00:00:00"/>
    <d v="2012-03-13T00:00:00"/>
    <n v="292391"/>
    <d v="2012-03-07T00:00:00"/>
    <d v="2012-03-13T00:00:00"/>
    <n v="15000"/>
    <x v="0"/>
    <m/>
    <s v="N"/>
    <s v="NONE"/>
    <s v="GUILTY PLEA - NO JURY"/>
    <n v="7"/>
    <n v="42"/>
    <n v="2"/>
    <n v="3"/>
    <n v="2"/>
    <m/>
    <m/>
    <m/>
    <m/>
    <m/>
    <m/>
    <m/>
    <m/>
    <d v="1950-05-30T00:00:00"/>
    <s v="F"/>
    <s v="B"/>
    <s v="BLACK"/>
    <s v="NULL"/>
    <s v="179"/>
    <s v="CONVICTED"/>
    <n v="2"/>
    <s v="HCJ"/>
    <m/>
    <m/>
    <n v="30"/>
    <s v="POSS CS PG 1 &lt;1G"/>
    <m/>
    <s v="FS"/>
    <s v="POSS DRUG"/>
    <m/>
    <m/>
    <m/>
    <m/>
    <m/>
    <m/>
    <m/>
    <m/>
    <m/>
    <s v="Appointed Attorney"/>
    <m/>
    <m/>
    <n v="7"/>
    <n v="7"/>
    <n v="42"/>
    <n v="61.549180327868854"/>
    <n v="0"/>
    <n v="0"/>
    <s v="CONVICTION"/>
    <x v="0"/>
    <s v="N"/>
    <m/>
    <s v="CONVICTION"/>
    <s v="Y"/>
    <x v="0"/>
    <x v="0"/>
    <s v="Y"/>
    <n v="0.16666666666666666"/>
    <n v="1"/>
    <n v="0.83333333333333337"/>
    <n v="0"/>
    <n v="-7"/>
    <n v="0"/>
    <n v="7"/>
    <e v="#VALUE!"/>
    <n v="7"/>
    <n v="0"/>
    <n v="0"/>
    <n v="6"/>
    <s v="Y"/>
    <m/>
    <s v="0-10 DAYS"/>
    <n v="1"/>
    <x v="0"/>
  </r>
  <r>
    <n v="1565"/>
    <s v="N"/>
    <s v="N"/>
    <n v="295354"/>
    <n v="5"/>
    <d v="2012-02-28T00:00:00"/>
    <d v="2012-03-01T00:00:00"/>
    <n v="295354"/>
    <d v="2012-02-28T00:00:00"/>
    <d v="2012-03-01T00:00:00"/>
    <n v="15000"/>
    <x v="0"/>
    <m/>
    <s v="N"/>
    <s v="NONE"/>
    <s v="GUILTY PLEA - NO JURY"/>
    <n v="3"/>
    <n v="3"/>
    <n v="1"/>
    <n v="2"/>
    <m/>
    <m/>
    <m/>
    <m/>
    <m/>
    <m/>
    <m/>
    <m/>
    <m/>
    <d v="1940-02-02T00:00:00"/>
    <s v="M"/>
    <s v="H"/>
    <s v="HISPANIC"/>
    <s v="HISPANIC"/>
    <s v="182"/>
    <s v="CONVICTED"/>
    <n v="1"/>
    <s v="STJ"/>
    <m/>
    <n v="8"/>
    <m/>
    <s v="MAN/DEL CS PG I &lt;1GRAM"/>
    <m/>
    <s v="FS"/>
    <s v="SALE DRUG"/>
    <m/>
    <m/>
    <m/>
    <m/>
    <m/>
    <m/>
    <m/>
    <m/>
    <m/>
    <s v="Appointed Attorney"/>
    <m/>
    <m/>
    <n v="3"/>
    <n v="3"/>
    <n v="3"/>
    <n v="71.923497267759558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n v="2"/>
    <s v="Y"/>
    <m/>
    <s v="0-10 DAYS"/>
    <n v="1"/>
    <x v="0"/>
  </r>
  <r>
    <n v="2985"/>
    <s v="N"/>
    <s v="N"/>
    <n v="295673"/>
    <n v="4"/>
    <d v="2012-04-20T00:00:00"/>
    <d v="2012-04-23T00:00:00"/>
    <n v="295673"/>
    <d v="2012-04-20T00:00:00"/>
    <d v="2012-04-23T00:00:00"/>
    <n v="15000"/>
    <x v="0"/>
    <m/>
    <s v="N"/>
    <s v="NONE"/>
    <s v="GUILTY PLEA - NO JURY"/>
    <n v="4"/>
    <n v="4"/>
    <n v="6"/>
    <n v="1"/>
    <n v="3"/>
    <m/>
    <m/>
    <m/>
    <m/>
    <m/>
    <m/>
    <m/>
    <m/>
    <d v="1961-10-07T00:00:00"/>
    <s v="M"/>
    <s v="B"/>
    <s v="BLACK"/>
    <s v="NULL"/>
    <s v="184"/>
    <s v="CONVICTED"/>
    <n v="1"/>
    <s v="HCJ"/>
    <m/>
    <m/>
    <n v="90"/>
    <s v="POSS CS PG 1 &lt;1G"/>
    <m/>
    <s v="FS"/>
    <s v="POSS DRUG"/>
    <m/>
    <m/>
    <m/>
    <m/>
    <m/>
    <m/>
    <m/>
    <m/>
    <m/>
    <s v="Appointed Attorney"/>
    <m/>
    <m/>
    <n v="4"/>
    <n v="4"/>
    <n v="4"/>
    <n v="50.431693989071036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n v="3"/>
    <s v="Y"/>
    <m/>
    <s v="0-10 DAYS"/>
    <n v="1"/>
    <x v="0"/>
  </r>
  <r>
    <n v="2453"/>
    <s v="N"/>
    <s v="N"/>
    <n v="301044"/>
    <n v="6"/>
    <d v="2012-04-02T00:00:00"/>
    <d v="2012-06-05T00:00:00"/>
    <n v="301044"/>
    <d v="2012-04-02T00:00:00"/>
    <d v="2012-06-05T00:00:00"/>
    <s v="NO BOND"/>
    <x v="1"/>
    <m/>
    <s v="N"/>
    <s v="NONE"/>
    <s v="GUILTY PLEA - NO JURY"/>
    <n v="65"/>
    <n v="65"/>
    <n v="3"/>
    <n v="2"/>
    <n v="3"/>
    <m/>
    <m/>
    <m/>
    <m/>
    <m/>
    <m/>
    <m/>
    <m/>
    <d v="1955-03-25T00:00:00"/>
    <s v="M"/>
    <s v="B"/>
    <s v="BLACK"/>
    <s v="NON-HISPANIC"/>
    <s v="180"/>
    <s v="CONVICTED"/>
    <n v="3"/>
    <s v="TDC"/>
    <n v="5"/>
    <m/>
    <m/>
    <s v="BURGLARY OF HABITATION"/>
    <m/>
    <s v="F2"/>
    <s v="BURGLARY"/>
    <m/>
    <m/>
    <m/>
    <m/>
    <m/>
    <m/>
    <m/>
    <m/>
    <m/>
    <s v="Appointed Attorney"/>
    <m/>
    <m/>
    <n v="65"/>
    <n v="65"/>
    <n v="65"/>
    <n v="56.907103825136609"/>
    <n v="0"/>
    <n v="0"/>
    <s v="CONVICTION"/>
    <x v="0"/>
    <s v="N"/>
    <m/>
    <s v="CONVICTION"/>
    <s v="Y"/>
    <x v="0"/>
    <x v="0"/>
    <s v="Y"/>
    <n v="1"/>
    <n v="1"/>
    <n v="0"/>
    <n v="0"/>
    <n v="-65"/>
    <n v="0"/>
    <n v="65"/>
    <e v="#VALUE!"/>
    <n v="65"/>
    <n v="0"/>
    <n v="0"/>
    <n v="64"/>
    <s v="Y"/>
    <m/>
    <s v="61-90 DAYS"/>
    <n v="4"/>
    <x v="0"/>
  </r>
  <r>
    <n v="273"/>
    <s v="N"/>
    <s v="N"/>
    <n v="301452"/>
    <n v="3"/>
    <d v="2012-01-12T00:00:00"/>
    <d v="2012-03-28T00:00:00"/>
    <n v="301452"/>
    <d v="2012-01-12T00:00:00"/>
    <d v="2012-01-14T00:00:00"/>
    <n v="5000"/>
    <x v="4"/>
    <d v="2012-01-14T00:00:00"/>
    <s v="Y"/>
    <s v="SURETY"/>
    <s v="GUILTY PLEA - NO JURY"/>
    <n v="3"/>
    <n v="77"/>
    <n v="0"/>
    <n v="3"/>
    <m/>
    <m/>
    <m/>
    <m/>
    <m/>
    <m/>
    <m/>
    <m/>
    <m/>
    <d v="1949-04-20T00:00:00"/>
    <s v="M"/>
    <s v="W"/>
    <s v="WHITE"/>
    <s v="NON-HISPANIC"/>
    <s v="351"/>
    <s v="CONVICTED"/>
    <n v="5"/>
    <s v="PROBATION"/>
    <m/>
    <m/>
    <m/>
    <s v="DWI 3RD OFFENDER BAC .08"/>
    <m/>
    <s v="F3"/>
    <s v="FEL DWI"/>
    <m/>
    <m/>
    <m/>
    <m/>
    <m/>
    <m/>
    <m/>
    <m/>
    <m/>
    <s v="Hired Attorney"/>
    <m/>
    <m/>
    <n v="3"/>
    <n v="77"/>
    <n v="77"/>
    <n v="62.601092896174862"/>
    <n v="0"/>
    <n v="-74"/>
    <s v="CONVICTION"/>
    <x v="1"/>
    <s v="Y"/>
    <m/>
    <s v="CONVICTION"/>
    <s v="Y"/>
    <x v="1"/>
    <x v="0"/>
    <s v="N"/>
    <n v="3.896103896103896E-2"/>
    <n v="3.896103896103896E-2"/>
    <n v="0"/>
    <n v="0"/>
    <n v="-3"/>
    <n v="0"/>
    <n v="3"/>
    <e v="#VALUE!"/>
    <n v="3"/>
    <n v="0"/>
    <n v="74"/>
    <n v="2"/>
    <s v="Y"/>
    <m/>
    <s v="0-10 DAYS"/>
    <n v="1"/>
    <x v="0"/>
  </r>
  <r>
    <n v="399"/>
    <s v="N"/>
    <s v="N"/>
    <n v="303580"/>
    <n v="5"/>
    <d v="2012-01-17T00:00:00"/>
    <d v="2012-01-19T00:00:00"/>
    <n v="303580"/>
    <d v="2012-01-18T00:00:00"/>
    <d v="2012-01-19T00:00:00"/>
    <n v="15000"/>
    <x v="0"/>
    <m/>
    <s v="N"/>
    <s v="NONE"/>
    <s v="GUILTY PLEA - NO JURY"/>
    <n v="2"/>
    <n v="3"/>
    <n v="6"/>
    <n v="5"/>
    <n v="6"/>
    <m/>
    <m/>
    <m/>
    <m/>
    <m/>
    <m/>
    <m/>
    <m/>
    <d v="1952-08-24T00:00:00"/>
    <s v="M"/>
    <s v="B"/>
    <s v="BLACK"/>
    <s v="NON-HISPANIC"/>
    <s v="185"/>
    <s v="CONVICTED"/>
    <n v="1"/>
    <s v="STJ"/>
    <m/>
    <n v="7"/>
    <m/>
    <s v="FORGERY"/>
    <m/>
    <s v="FS"/>
    <s v="OTHER FEL"/>
    <m/>
    <m/>
    <m/>
    <m/>
    <m/>
    <m/>
    <m/>
    <m/>
    <m/>
    <s v="Appointed Attorney"/>
    <m/>
    <m/>
    <n v="2"/>
    <n v="2"/>
    <n v="3"/>
    <n v="59.275956284153004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n v="1"/>
    <s v="Y"/>
    <m/>
    <s v="0-10 DAYS"/>
    <n v="1"/>
    <x v="0"/>
  </r>
  <r>
    <n v="1054"/>
    <s v="N"/>
    <s v="N"/>
    <n v="304518"/>
    <n v="5"/>
    <d v="2012-02-09T00:00:00"/>
    <d v="2012-04-11T00:00:00"/>
    <n v="304518"/>
    <d v="2012-02-09T00:00:00"/>
    <d v="2012-04-11T00:00:00"/>
    <n v="15000"/>
    <x v="0"/>
    <m/>
    <s v="N"/>
    <s v="NONE"/>
    <s v="GUILTY PLEA - NO JURY"/>
    <n v="63"/>
    <n v="63"/>
    <n v="15"/>
    <n v="2"/>
    <n v="13"/>
    <m/>
    <m/>
    <m/>
    <m/>
    <m/>
    <m/>
    <m/>
    <m/>
    <d v="1960-03-28T00:00:00"/>
    <s v="M"/>
    <s v="B"/>
    <s v="BLACK"/>
    <s v="NON-HISPANIC"/>
    <s v="177"/>
    <s v="CONVICTED"/>
    <n v="4"/>
    <s v="STJ"/>
    <m/>
    <n v="6"/>
    <m/>
    <s v="POSS CS PG 1 &lt;1G"/>
    <m/>
    <s v="FS"/>
    <s v="POSS DRUG"/>
    <m/>
    <m/>
    <m/>
    <m/>
    <m/>
    <m/>
    <m/>
    <m/>
    <m/>
    <s v="Appointed Attorney"/>
    <m/>
    <m/>
    <n v="63"/>
    <n v="63"/>
    <n v="63"/>
    <n v="51.76229508196721"/>
    <n v="0"/>
    <n v="0"/>
    <s v="CONVICTION"/>
    <x v="0"/>
    <s v="N"/>
    <m/>
    <s v="CONVICTION"/>
    <s v="Y"/>
    <x v="0"/>
    <x v="0"/>
    <s v="Y"/>
    <n v="1"/>
    <n v="1"/>
    <n v="0"/>
    <n v="0"/>
    <n v="-63"/>
    <n v="0"/>
    <n v="63"/>
    <e v="#VALUE!"/>
    <n v="63"/>
    <n v="0"/>
    <n v="0"/>
    <n v="62"/>
    <s v="Y"/>
    <m/>
    <s v="61-90 DAYS"/>
    <n v="4"/>
    <x v="0"/>
  </r>
  <r>
    <n v="1232"/>
    <s v="N"/>
    <s v="Y"/>
    <n v="306811"/>
    <n v="6"/>
    <d v="2012-02-14T00:00:00"/>
    <d v="2012-05-09T00:00:00"/>
    <n v="306811"/>
    <d v="2012-02-15T00:00:00"/>
    <d v="2012-02-19T00:00:00"/>
    <n v="15000"/>
    <x v="0"/>
    <d v="2012-02-19T00:00:00"/>
    <s v="Y"/>
    <s v="SURETY"/>
    <s v="GUILTY PLEA - NO JURY"/>
    <n v="27"/>
    <n v="86"/>
    <n v="4"/>
    <n v="0"/>
    <n v="4"/>
    <m/>
    <m/>
    <m/>
    <m/>
    <m/>
    <m/>
    <m/>
    <m/>
    <d v="1954-06-21T00:00:00"/>
    <s v="M"/>
    <s v="B"/>
    <s v="BLACK"/>
    <s v="NULL"/>
    <s v="230"/>
    <s v="CONVICTED"/>
    <n v="7"/>
    <s v="TDC"/>
    <n v="3"/>
    <m/>
    <m/>
    <s v="POSS CS PG 1  1 - 4 GRAMS"/>
    <m/>
    <s v="F3"/>
    <s v="POSS DRUG"/>
    <m/>
    <s v=" c87ai 3/13/12 "/>
    <m/>
    <m/>
    <s v="Y"/>
    <m/>
    <m/>
    <m/>
    <m/>
    <s v="Hired Attorney"/>
    <m/>
    <m/>
    <n v="27"/>
    <n v="85"/>
    <n v="86"/>
    <n v="57.532786885245905"/>
    <n v="0"/>
    <n v="-80"/>
    <s v="CONVICTION"/>
    <x v="1"/>
    <s v="Y"/>
    <m/>
    <s v="CONVICTION"/>
    <s v="Y"/>
    <x v="1"/>
    <x v="0"/>
    <s v="Y"/>
    <n v="0.31395348837209303"/>
    <n v="5.8823529411764705E-2"/>
    <n v="-0.25512995896032831"/>
    <n v="0"/>
    <n v="-5"/>
    <n v="22"/>
    <n v="5"/>
    <e v="#VALUE!"/>
    <m/>
    <n v="80"/>
    <n v="80"/>
    <n v="-4"/>
    <s v="Y"/>
    <m/>
    <s v="11-30 DAYS"/>
    <n v="2"/>
    <x v="0"/>
  </r>
  <r>
    <n v="588"/>
    <s v="N"/>
    <s v="N"/>
    <n v="310256"/>
    <n v="1"/>
    <d v="2012-01-24T00:00:00"/>
    <d v="2012-09-24T00:00:00"/>
    <n v="310256"/>
    <d v="2012-01-24T00:00:00"/>
    <d v="2012-09-24T00:00:00"/>
    <n v="500000"/>
    <x v="2"/>
    <m/>
    <s v="N"/>
    <s v="NONE"/>
    <s v="DISMISSED"/>
    <n v="245"/>
    <n v="245"/>
    <n v="0"/>
    <n v="2"/>
    <m/>
    <m/>
    <m/>
    <m/>
    <m/>
    <m/>
    <m/>
    <m/>
    <m/>
    <d v="1954-09-02T00:00:00"/>
    <s v="F"/>
    <s v="B"/>
    <s v="BLACK"/>
    <s v="NON-HISPANIC"/>
    <s v="208"/>
    <s v="DISMISSED"/>
    <n v="8"/>
    <s v="DISMISSED"/>
    <m/>
    <m/>
    <m/>
    <s v="THEFT &gt;= $200,000"/>
    <m/>
    <s v="F1"/>
    <s v="THEFT"/>
    <s v="12/11/12 fel theft tdc 10 yrs"/>
    <m/>
    <m/>
    <m/>
    <m/>
    <m/>
    <m/>
    <m/>
    <m/>
    <s v="Appointed Attorney"/>
    <m/>
    <m/>
    <n v="245"/>
    <n v="245"/>
    <n v="245"/>
    <n v="57.275956284153004"/>
    <n v="0"/>
    <n v="0"/>
    <s v="NO CONVICTION"/>
    <x v="0"/>
    <s v="N"/>
    <m/>
    <s v="NO CONVICTION"/>
    <s v="Y"/>
    <x v="0"/>
    <x v="0"/>
    <s v="N"/>
    <n v="1"/>
    <n v="1"/>
    <n v="0"/>
    <n v="0"/>
    <n v="-245"/>
    <n v="0"/>
    <n v="245"/>
    <e v="#VALUE!"/>
    <n v="245"/>
    <n v="0"/>
    <n v="0"/>
    <n v="244"/>
    <s v="Y"/>
    <m/>
    <s v="121-365 DAYS"/>
    <n v="6"/>
    <x v="0"/>
  </r>
  <r>
    <n v="2916"/>
    <s v="N"/>
    <s v="N"/>
    <n v="312284"/>
    <n v="5"/>
    <d v="2012-04-17T00:00:00"/>
    <d v="2012-04-20T00:00:00"/>
    <n v="312284"/>
    <d v="2012-04-18T00:00:00"/>
    <d v="2012-04-20T00:00:00"/>
    <n v="15000"/>
    <x v="0"/>
    <m/>
    <s v="N"/>
    <s v="NONE"/>
    <s v="GUILTY PLEA - NO JURY"/>
    <n v="3"/>
    <n v="4"/>
    <n v="8"/>
    <n v="5"/>
    <n v="5"/>
    <n v="1"/>
    <m/>
    <m/>
    <m/>
    <m/>
    <m/>
    <m/>
    <m/>
    <d v="1951-01-25T00:00:00"/>
    <s v="M"/>
    <s v="B"/>
    <s v="BLACK"/>
    <s v="NON-HISPANIC"/>
    <s v="179"/>
    <s v="CONVICTED"/>
    <n v="2"/>
    <s v="STJ"/>
    <m/>
    <n v="6"/>
    <m/>
    <s v="MAN/DEL CS PG I &lt;1GRAM"/>
    <m/>
    <s v="FS"/>
    <s v="SALE DRUG"/>
    <s v="9/21/12 fel fraud filed no arrest"/>
    <m/>
    <m/>
    <m/>
    <m/>
    <m/>
    <m/>
    <m/>
    <m/>
    <s v="Appointed Attorney"/>
    <m/>
    <m/>
    <n v="3"/>
    <n v="3"/>
    <n v="4"/>
    <n v="61.101092896174862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n v="2"/>
    <s v="Y"/>
    <m/>
    <s v="0-10 DAYS"/>
    <n v="1"/>
    <x v="0"/>
  </r>
  <r>
    <n v="741"/>
    <s v="N"/>
    <s v="N"/>
    <n v="318832"/>
    <n v="1"/>
    <d v="2012-01-30T00:00:00"/>
    <d v="2012-01-31T00:00:00"/>
    <n v="318832"/>
    <d v="2012-01-30T00:00:00"/>
    <d v="2012-01-31T00:00:00"/>
    <n v="15000"/>
    <x v="0"/>
    <m/>
    <s v="N"/>
    <s v="NONE"/>
    <s v="DISMISSED"/>
    <n v="2"/>
    <n v="2"/>
    <n v="5"/>
    <n v="6"/>
    <n v="4"/>
    <m/>
    <m/>
    <m/>
    <m/>
    <m/>
    <m/>
    <m/>
    <m/>
    <d v="1952-06-16T00:00:00"/>
    <s v="M"/>
    <s v="B"/>
    <s v="BLACK"/>
    <s v="NON-HISPANIC"/>
    <s v="230"/>
    <s v="DISMISSED"/>
    <n v="1"/>
    <s v="DISMISSED"/>
    <m/>
    <m/>
    <m/>
    <s v="POSS CS PG 1 &lt;1G"/>
    <m/>
    <s v="FS"/>
    <s v="POSS DRUG"/>
    <m/>
    <m/>
    <m/>
    <m/>
    <m/>
    <m/>
    <m/>
    <m/>
    <m/>
    <s v="Other/Unknown"/>
    <m/>
    <m/>
    <n v="2"/>
    <n v="2"/>
    <n v="2"/>
    <n v="59.5"/>
    <n v="0"/>
    <n v="0"/>
    <s v="NO CONVICTION"/>
    <x v="0"/>
    <s v="N"/>
    <m/>
    <s v="NO CONVICTION"/>
    <s v="Y"/>
    <x v="0"/>
    <x v="0"/>
    <s v="Y"/>
    <n v="1"/>
    <n v="1"/>
    <n v="0"/>
    <n v="0"/>
    <n v="-2"/>
    <n v="0"/>
    <n v="2"/>
    <e v="#VALUE!"/>
    <n v="2"/>
    <n v="0"/>
    <n v="0"/>
    <n v="1"/>
    <s v="Y"/>
    <m/>
    <s v="0-10 DAYS"/>
    <n v="1"/>
    <x v="0"/>
  </r>
  <r>
    <n v="2373"/>
    <s v="N"/>
    <s v="N"/>
    <n v="319511"/>
    <n v="6"/>
    <d v="2012-03-30T00:00:00"/>
    <d v="2014-01-03T00:00:00"/>
    <n v="319511"/>
    <d v="2012-03-31T00:00:00"/>
    <d v="2012-04-07T00:00:00"/>
    <n v="50000"/>
    <x v="2"/>
    <d v="2012-04-07T00:00:00"/>
    <s v="Y"/>
    <s v="SURETY"/>
    <s v="GUILTY PLEA - NO JURY"/>
    <n v="8"/>
    <n v="645"/>
    <n v="0"/>
    <n v="2"/>
    <m/>
    <m/>
    <m/>
    <m/>
    <m/>
    <m/>
    <m/>
    <m/>
    <m/>
    <d v="1958-07-09T00:00:00"/>
    <s v="M"/>
    <s v="B"/>
    <s v="BLACK"/>
    <s v="NON-HISPANIC"/>
    <s v="338"/>
    <s v="CONVICTED"/>
    <n v="16"/>
    <s v="TDC"/>
    <n v="35"/>
    <m/>
    <m/>
    <s v="MURDER"/>
    <m/>
    <s v="F1"/>
    <s v="MURD/MANSL"/>
    <s v="APPEAL PEND"/>
    <m/>
    <m/>
    <m/>
    <m/>
    <m/>
    <m/>
    <m/>
    <m/>
    <s v="Appointed Attorney"/>
    <m/>
    <m/>
    <n v="8"/>
    <n v="644"/>
    <n v="645"/>
    <n v="53.614754098360656"/>
    <n v="0"/>
    <n v="-636"/>
    <s v="CONVICTION"/>
    <x v="1"/>
    <s v="Y"/>
    <m/>
    <s v="CONVICTION"/>
    <s v="Y"/>
    <x v="1"/>
    <x v="0"/>
    <s v="N"/>
    <n v="1.2403100775193798E-2"/>
    <n v="1.2422360248447204E-2"/>
    <n v="1.9259473253405851E-5"/>
    <n v="0"/>
    <n v="-8"/>
    <n v="0"/>
    <n v="8"/>
    <e v="#VALUE!"/>
    <n v="8"/>
    <n v="0"/>
    <n v="636"/>
    <n v="7"/>
    <s v="Y"/>
    <m/>
    <s v="0-10 DAYS"/>
    <n v="1"/>
    <x v="0"/>
  </r>
  <r>
    <n v="2814"/>
    <s v="N"/>
    <s v="N"/>
    <n v="320097"/>
    <n v="6"/>
    <d v="2012-04-13T00:00:00"/>
    <d v="2013-05-01T00:00:00"/>
    <n v="320097"/>
    <d v="2012-04-14T00:00:00"/>
    <d v="2013-05-01T00:00:00"/>
    <s v="NO BOND"/>
    <x v="1"/>
    <m/>
    <s v="N"/>
    <s v="NONE"/>
    <s v="GUILTY PLEA - NO JURY"/>
    <n v="383"/>
    <n v="384"/>
    <n v="6"/>
    <n v="4"/>
    <n v="3"/>
    <m/>
    <m/>
    <m/>
    <m/>
    <m/>
    <m/>
    <m/>
    <m/>
    <d v="1962-04-08T00:00:00"/>
    <s v="M"/>
    <s v="B"/>
    <s v="BLACK"/>
    <s v="NON-HISPANIC"/>
    <s v="177"/>
    <s v="CONVICTED"/>
    <n v="14"/>
    <s v="TDC"/>
    <n v="2"/>
    <m/>
    <m/>
    <s v="FELON POSS WPN"/>
    <m/>
    <s v="F3"/>
    <s v="OTHER FEL"/>
    <m/>
    <m/>
    <m/>
    <m/>
    <m/>
    <m/>
    <m/>
    <m/>
    <m/>
    <s v="Appointed Attorney"/>
    <m/>
    <m/>
    <n v="383"/>
    <n v="383"/>
    <n v="384"/>
    <n v="49.912568306010932"/>
    <n v="0"/>
    <n v="0"/>
    <s v="CONVICTION"/>
    <x v="0"/>
    <s v="Y"/>
    <m/>
    <s v="CONVICTION"/>
    <s v="Y"/>
    <x v="0"/>
    <x v="0"/>
    <s v="Y"/>
    <n v="0.99739583333333337"/>
    <n v="1"/>
    <n v="2.6041666666666297E-3"/>
    <n v="0"/>
    <n v="-383"/>
    <n v="0"/>
    <n v="383"/>
    <e v="#VALUE!"/>
    <n v="383"/>
    <n v="0"/>
    <n v="0"/>
    <n v="382"/>
    <s v="Y"/>
    <m/>
    <s v=" &gt;1YRS&lt;2YRS"/>
    <n v="0"/>
    <x v="0"/>
  </r>
  <r>
    <n v="1363"/>
    <s v="N"/>
    <s v="N"/>
    <n v="323681"/>
    <n v="6"/>
    <d v="2012-02-18T00:00:00"/>
    <d v="2012-08-01T00:00:00"/>
    <n v="323681"/>
    <d v="2012-02-19T00:00:00"/>
    <d v="2012-08-01T00:00:00"/>
    <n v="30000"/>
    <x v="2"/>
    <m/>
    <s v="N"/>
    <s v="NONE"/>
    <s v="GUILTY PLEA - NO JURY"/>
    <n v="165"/>
    <n v="166"/>
    <n v="10"/>
    <n v="4"/>
    <n v="6"/>
    <m/>
    <m/>
    <m/>
    <m/>
    <m/>
    <m/>
    <m/>
    <m/>
    <d v="1961-11-03T00:00:00"/>
    <s v="M"/>
    <s v="B"/>
    <s v="BLACK"/>
    <s v="NON-HISPANIC"/>
    <s v="209"/>
    <s v="CONVICTED"/>
    <n v="5"/>
    <s v="TDC"/>
    <n v="5"/>
    <m/>
    <m/>
    <s v="UNAUTH USE OF VEHICLE"/>
    <m/>
    <s v="FS"/>
    <s v="AUTO THEFT"/>
    <m/>
    <m/>
    <m/>
    <m/>
    <m/>
    <m/>
    <m/>
    <m/>
    <m/>
    <s v="Appointed Attorney"/>
    <m/>
    <m/>
    <n v="165"/>
    <n v="165"/>
    <n v="166"/>
    <n v="50.188524590163937"/>
    <n v="0"/>
    <n v="0"/>
    <s v="CONVICTION"/>
    <x v="0"/>
    <s v="N"/>
    <m/>
    <s v="CONVICTION"/>
    <s v="Y"/>
    <x v="0"/>
    <x v="0"/>
    <s v="Y"/>
    <n v="0.99397590361445787"/>
    <n v="1"/>
    <n v="6.0240963855421326E-3"/>
    <n v="0"/>
    <n v="-165"/>
    <n v="0"/>
    <n v="165"/>
    <e v="#VALUE!"/>
    <n v="165"/>
    <n v="0"/>
    <n v="0"/>
    <n v="164"/>
    <s v="Y"/>
    <m/>
    <s v="121-365 DAYS"/>
    <n v="6"/>
    <x v="0"/>
  </r>
  <r>
    <n v="78"/>
    <s v="N"/>
    <s v="N"/>
    <n v="331476"/>
    <n v="5"/>
    <d v="2012-01-04T00:00:00"/>
    <d v="2012-01-06T00:00:00"/>
    <n v="331476"/>
    <d v="2012-01-05T00:00:00"/>
    <d v="2012-01-06T00:00:00"/>
    <n v="15000"/>
    <x v="0"/>
    <m/>
    <s v="N"/>
    <s v="NONE"/>
    <s v="GUILTY PLEA - NO JURY"/>
    <n v="2"/>
    <n v="3"/>
    <n v="9"/>
    <n v="6"/>
    <m/>
    <m/>
    <m/>
    <m/>
    <m/>
    <m/>
    <m/>
    <m/>
    <m/>
    <d v="1961-02-01T00:00:00"/>
    <s v="M"/>
    <s v="B"/>
    <s v="BLACK"/>
    <s v="NULL"/>
    <s v="230"/>
    <s v="CONVICTED"/>
    <n v="1"/>
    <s v="STJ"/>
    <m/>
    <n v="8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50.81693989071038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n v="1"/>
    <s v="Y"/>
    <m/>
    <s v="0-10 DAYS"/>
    <n v="1"/>
    <x v="0"/>
  </r>
  <r>
    <n v="2905"/>
    <s v="N"/>
    <s v="N"/>
    <n v="339148"/>
    <n v="6"/>
    <d v="2012-04-17T00:00:00"/>
    <d v="2012-10-29T00:00:00"/>
    <n v="339148"/>
    <d v="2012-04-18T00:00:00"/>
    <d v="2012-10-29T00:00:00"/>
    <n v="30000"/>
    <x v="2"/>
    <m/>
    <s v="N"/>
    <s v="NONE"/>
    <s v="GUILTY PLEA - NO JURY"/>
    <n v="195"/>
    <n v="196"/>
    <n v="4"/>
    <n v="2"/>
    <n v="3"/>
    <m/>
    <m/>
    <m/>
    <m/>
    <m/>
    <m/>
    <m/>
    <m/>
    <d v="1956-07-13T00:00:00"/>
    <s v="M"/>
    <s v="B"/>
    <s v="BLACK"/>
    <s v="NON-HISPANIC"/>
    <s v="248"/>
    <s v="CONVICTED"/>
    <n v="7"/>
    <s v="TDC"/>
    <n v="2"/>
    <m/>
    <m/>
    <s v="POSS W/INT DEL CS PG1 1G &lt;4 GR"/>
    <m/>
    <s v="F2"/>
    <s v="SALE DRUG"/>
    <m/>
    <m/>
    <m/>
    <m/>
    <m/>
    <m/>
    <m/>
    <m/>
    <m/>
    <s v="Appointed Attorney"/>
    <m/>
    <m/>
    <n v="195"/>
    <n v="195"/>
    <n v="196"/>
    <n v="55.647540983606561"/>
    <n v="0"/>
    <n v="0"/>
    <s v="CONVICTION"/>
    <x v="0"/>
    <s v="N"/>
    <m/>
    <s v="CONVICTION"/>
    <s v="Y"/>
    <x v="0"/>
    <x v="0"/>
    <s v="Y"/>
    <n v="0.99489795918367352"/>
    <n v="1"/>
    <n v="5.1020408163264808E-3"/>
    <n v="0"/>
    <n v="-195"/>
    <n v="0"/>
    <n v="195"/>
    <e v="#VALUE!"/>
    <n v="195"/>
    <n v="0"/>
    <n v="0"/>
    <n v="194"/>
    <s v="Y"/>
    <m/>
    <s v="121-365 DAYS"/>
    <n v="6"/>
    <x v="0"/>
  </r>
  <r>
    <n v="2279"/>
    <s v="N"/>
    <s v="N"/>
    <n v="344287"/>
    <n v="1"/>
    <d v="2012-03-27T00:00:00"/>
    <d v="2012-04-03T00:00:00"/>
    <n v="344287"/>
    <d v="2012-03-29T00:00:00"/>
    <d v="2012-04-03T00:00:00"/>
    <n v="10000"/>
    <x v="3"/>
    <m/>
    <s v="N"/>
    <s v="NONE"/>
    <s v="DISMISSED"/>
    <n v="6"/>
    <n v="8"/>
    <n v="5"/>
    <n v="1"/>
    <n v="1"/>
    <m/>
    <m/>
    <m/>
    <m/>
    <m/>
    <m/>
    <m/>
    <m/>
    <d v="1956-07-28T00:00:00"/>
    <s v="F"/>
    <s v="B"/>
    <s v="BLACK"/>
    <s v="NULL"/>
    <s v="337"/>
    <s v="DISMISSED"/>
    <n v="2"/>
    <s v="DISMISSED"/>
    <m/>
    <m/>
    <m/>
    <s v="BURGLARY OF HABITATION"/>
    <m/>
    <s v="F2"/>
    <s v="BURGLARY"/>
    <m/>
    <m/>
    <m/>
    <m/>
    <m/>
    <m/>
    <m/>
    <m/>
    <m/>
    <s v="Appointed Attorney"/>
    <m/>
    <m/>
    <n v="6"/>
    <n v="6"/>
    <n v="8"/>
    <n v="55.549180327868854"/>
    <n v="0"/>
    <n v="0"/>
    <s v="NO CONVICTION"/>
    <x v="0"/>
    <s v="N"/>
    <m/>
    <s v="NO CONVICTION"/>
    <s v="Y"/>
    <x v="0"/>
    <x v="0"/>
    <s v="Y"/>
    <n v="0.75"/>
    <n v="1"/>
    <n v="0.25"/>
    <n v="0"/>
    <n v="-6"/>
    <n v="0"/>
    <n v="6"/>
    <e v="#VALUE!"/>
    <n v="6"/>
    <n v="0"/>
    <n v="0"/>
    <n v="5"/>
    <s v="Y"/>
    <m/>
    <s v="0-10 DAYS"/>
    <n v="1"/>
    <x v="0"/>
  </r>
  <r>
    <n v="2084"/>
    <s v="N"/>
    <s v="N"/>
    <n v="345338"/>
    <n v="6"/>
    <d v="2012-03-19T00:00:00"/>
    <d v="2012-06-05T00:00:00"/>
    <n v="345338"/>
    <d v="2012-04-25T00:00:00"/>
    <d v="2012-06-05T00:00:00"/>
    <n v="30000"/>
    <x v="2"/>
    <m/>
    <s v="N"/>
    <s v="NONE"/>
    <s v="GUILTY PLEA - NO JURY"/>
    <n v="42"/>
    <n v="79"/>
    <n v="6"/>
    <n v="1"/>
    <n v="4"/>
    <m/>
    <m/>
    <m/>
    <m/>
    <m/>
    <m/>
    <m/>
    <m/>
    <d v="1958-12-26T00:00:00"/>
    <s v="M"/>
    <s v="B"/>
    <s v="BLACK"/>
    <s v="NON-HISPANIC"/>
    <s v="180"/>
    <s v="CONVICTED"/>
    <n v="3"/>
    <s v="TDC"/>
    <n v="3"/>
    <m/>
    <m/>
    <s v="FAIL COMPLY SEX OFFENDER REGIS"/>
    <m/>
    <s v="F2"/>
    <s v="OTHER FEL"/>
    <m/>
    <m/>
    <m/>
    <m/>
    <m/>
    <m/>
    <m/>
    <m/>
    <m/>
    <s v="Appointed Attorney"/>
    <m/>
    <m/>
    <n v="42"/>
    <n v="42"/>
    <n v="79"/>
    <n v="53.120218579234972"/>
    <n v="0"/>
    <n v="0"/>
    <s v="CONVICTION"/>
    <x v="0"/>
    <s v="N"/>
    <m/>
    <s v="CONVICTION"/>
    <s v="Y"/>
    <x v="0"/>
    <x v="0"/>
    <s v="Y"/>
    <n v="0.53164556962025311"/>
    <n v="1"/>
    <n v="0.46835443037974689"/>
    <n v="0"/>
    <n v="-42"/>
    <n v="0"/>
    <n v="42"/>
    <e v="#VALUE!"/>
    <n v="42"/>
    <n v="0"/>
    <n v="0"/>
    <n v="41"/>
    <s v="Y"/>
    <m/>
    <s v="31-60 DAYS"/>
    <n v="3"/>
    <x v="0"/>
  </r>
  <r>
    <n v="2027"/>
    <s v="N"/>
    <s v="N"/>
    <n v="346144"/>
    <n v="5"/>
    <d v="2012-03-17T00:00:00"/>
    <d v="2012-05-04T00:00:00"/>
    <n v="346144"/>
    <d v="2012-03-17T00:00:00"/>
    <d v="2012-05-04T00:00:00"/>
    <n v="15000"/>
    <x v="0"/>
    <m/>
    <s v="N"/>
    <s v="NONE"/>
    <s v="GUILTY PLEA - NO JURY"/>
    <n v="49"/>
    <n v="49"/>
    <n v="4"/>
    <n v="4"/>
    <n v="4"/>
    <m/>
    <m/>
    <m/>
    <m/>
    <m/>
    <m/>
    <m/>
    <m/>
    <d v="1951-01-31T00:00:00"/>
    <s v="M"/>
    <s v="B"/>
    <s v="BLACK"/>
    <s v="NON-HISPANIC"/>
    <s v="232"/>
    <s v="CONVICTED"/>
    <n v="3"/>
    <s v="STJ"/>
    <m/>
    <n v="8"/>
    <m/>
    <s v="POSS CS PG 1 &lt;1G"/>
    <m/>
    <s v="FS"/>
    <s v="POSS DRUG"/>
    <m/>
    <m/>
    <m/>
    <m/>
    <m/>
    <m/>
    <m/>
    <m/>
    <m/>
    <s v="Appointed Attorney"/>
    <m/>
    <m/>
    <n v="49"/>
    <n v="49"/>
    <n v="49"/>
    <n v="61"/>
    <n v="0"/>
    <n v="0"/>
    <s v="CONVICTION"/>
    <x v="0"/>
    <s v="N"/>
    <m/>
    <s v="CONVICTION"/>
    <s v="Y"/>
    <x v="0"/>
    <x v="0"/>
    <s v="Y"/>
    <n v="1"/>
    <n v="1"/>
    <n v="0"/>
    <n v="0"/>
    <n v="-49"/>
    <n v="0"/>
    <n v="49"/>
    <e v="#VALUE!"/>
    <n v="49"/>
    <n v="0"/>
    <n v="0"/>
    <n v="48"/>
    <s v="Y"/>
    <m/>
    <s v="31-60 DAYS"/>
    <n v="3"/>
    <x v="0"/>
  </r>
  <r>
    <n v="3094"/>
    <s v="N"/>
    <s v="N"/>
    <n v="346292"/>
    <n v="6"/>
    <d v="2012-04-24T00:00:00"/>
    <d v="2012-06-20T00:00:00"/>
    <n v="346292"/>
    <d v="2012-04-24T00:00:00"/>
    <d v="2012-06-20T00:00:00"/>
    <s v="NO BOND"/>
    <x v="1"/>
    <m/>
    <s v="N"/>
    <s v="NONE"/>
    <s v="GUILTY PLEA - NO JURY"/>
    <n v="58"/>
    <n v="58"/>
    <n v="4"/>
    <n v="7"/>
    <n v="3"/>
    <m/>
    <m/>
    <m/>
    <m/>
    <m/>
    <m/>
    <m/>
    <m/>
    <d v="1957-12-07T00:00:00"/>
    <s v="M"/>
    <s v="B"/>
    <s v="BLACK"/>
    <s v="NON-HISPANIC"/>
    <s v="176"/>
    <s v="CONVICTED"/>
    <n v="4"/>
    <s v="TDC"/>
    <n v="2"/>
    <m/>
    <m/>
    <s v="FAIL TO COMPLY AS SEX OFFENDER"/>
    <m/>
    <s v="F3"/>
    <s v="OTHER FEL"/>
    <m/>
    <m/>
    <m/>
    <m/>
    <m/>
    <m/>
    <m/>
    <m/>
    <m/>
    <s v="Appointed Attorney"/>
    <m/>
    <m/>
    <n v="58"/>
    <n v="58"/>
    <n v="58"/>
    <n v="54.267759562841533"/>
    <n v="0"/>
    <n v="0"/>
    <s v="CONVICTION"/>
    <x v="0"/>
    <s v="N"/>
    <m/>
    <s v="CONVICTION"/>
    <s v="Y"/>
    <x v="0"/>
    <x v="0"/>
    <s v="Y"/>
    <n v="1"/>
    <n v="1"/>
    <n v="0"/>
    <n v="0"/>
    <n v="-58"/>
    <n v="0"/>
    <n v="58"/>
    <e v="#VALUE!"/>
    <n v="58"/>
    <n v="0"/>
    <n v="0"/>
    <n v="57"/>
    <s v="Y"/>
    <m/>
    <s v="31-60 DAYS"/>
    <n v="3"/>
    <x v="0"/>
  </r>
  <r>
    <n v="3128"/>
    <s v="N"/>
    <s v="N"/>
    <n v="367627"/>
    <n v="5"/>
    <d v="2012-04-25T00:00:00"/>
    <d v="2012-10-17T00:00:00"/>
    <n v="367627"/>
    <d v="2012-07-13T00:00:00"/>
    <d v="2012-10-17T00:00:00"/>
    <n v="15000"/>
    <x v="0"/>
    <m/>
    <s v="N"/>
    <s v="NONE"/>
    <s v="GUILTY PLEA - NO JURY"/>
    <n v="97"/>
    <n v="176"/>
    <n v="5"/>
    <n v="5"/>
    <n v="3"/>
    <m/>
    <m/>
    <m/>
    <m/>
    <m/>
    <m/>
    <m/>
    <m/>
    <d v="1960-08-18T00:00:00"/>
    <s v="M"/>
    <s v="B"/>
    <s v="BLACK"/>
    <s v="NON-HISPANIC"/>
    <s v="185"/>
    <s v="CONVICTED"/>
    <n v="5"/>
    <s v="STJ"/>
    <m/>
    <n v="12"/>
    <m/>
    <s v="BURGLARY OF A BUILDING"/>
    <m/>
    <s v="FS"/>
    <s v="BURGLARY"/>
    <m/>
    <m/>
    <m/>
    <m/>
    <m/>
    <m/>
    <m/>
    <m/>
    <m/>
    <s v="Appointed Attorney"/>
    <m/>
    <m/>
    <n v="97"/>
    <n v="97"/>
    <n v="176"/>
    <n v="51.579234972677597"/>
    <n v="0"/>
    <n v="0"/>
    <s v="CONVICTION"/>
    <x v="0"/>
    <s v="N"/>
    <m/>
    <s v="CONVICTION"/>
    <s v="Y"/>
    <x v="0"/>
    <x v="0"/>
    <s v="Y"/>
    <n v="0.55113636363636365"/>
    <n v="1"/>
    <n v="0.44886363636363635"/>
    <n v="0"/>
    <n v="-97"/>
    <n v="0"/>
    <n v="97"/>
    <e v="#VALUE!"/>
    <n v="97"/>
    <n v="0"/>
    <n v="0"/>
    <n v="96"/>
    <s v="Y"/>
    <m/>
    <s v="91-120 DAYS"/>
    <n v="0"/>
    <x v="0"/>
  </r>
  <r>
    <n v="803"/>
    <s v="N"/>
    <s v="N"/>
    <n v="371206"/>
    <n v="1"/>
    <d v="2012-01-31T00:00:00"/>
    <d v="2012-03-09T00:00:00"/>
    <n v="371206"/>
    <d v="2012-02-01T00:00:00"/>
    <d v="2012-03-09T00:00:00"/>
    <n v="20000"/>
    <x v="0"/>
    <m/>
    <s v="N"/>
    <s v="NONE"/>
    <s v="DISMISSED"/>
    <n v="38"/>
    <n v="39"/>
    <n v="3"/>
    <n v="2"/>
    <n v="2"/>
    <m/>
    <m/>
    <m/>
    <m/>
    <m/>
    <m/>
    <m/>
    <m/>
    <d v="1955-01-14T00:00:00"/>
    <s v="M"/>
    <s v="B"/>
    <s v="BLACK"/>
    <s v="NON-HISPANIC"/>
    <s v="232"/>
    <s v="DISMISSED"/>
    <n v="3"/>
    <s v="DISMISSED"/>
    <m/>
    <m/>
    <m/>
    <s v="POSS CS PG 3 200-400 GRAMS"/>
    <m/>
    <s v="F2"/>
    <s v="POSS DRUG"/>
    <m/>
    <m/>
    <m/>
    <m/>
    <m/>
    <m/>
    <m/>
    <m/>
    <m/>
    <s v="Public Defender"/>
    <m/>
    <m/>
    <n v="38"/>
    <n v="38"/>
    <n v="39"/>
    <n v="56.928961748633881"/>
    <n v="0"/>
    <n v="0"/>
    <s v="NO CONVICTION"/>
    <x v="0"/>
    <s v="N"/>
    <m/>
    <s v="NO CONVICTION"/>
    <s v="Y"/>
    <x v="0"/>
    <x v="0"/>
    <s v="Y"/>
    <n v="0.97435897435897434"/>
    <n v="1"/>
    <n v="2.5641025641025661E-2"/>
    <n v="0"/>
    <n v="-38"/>
    <n v="0"/>
    <n v="38"/>
    <e v="#VALUE!"/>
    <n v="38"/>
    <n v="0"/>
    <n v="0"/>
    <n v="37"/>
    <s v="Y"/>
    <m/>
    <s v="31-60 DAYS"/>
    <n v="3"/>
    <x v="0"/>
  </r>
  <r>
    <n v="1597"/>
    <s v="N"/>
    <s v="N"/>
    <n v="374039"/>
    <n v="4"/>
    <d v="2012-02-29T00:00:00"/>
    <d v="2012-03-01T00:00:00"/>
    <n v="374039"/>
    <d v="2012-02-29T00:00:00"/>
    <d v="2012-03-01T00:00:00"/>
    <n v="15000"/>
    <x v="0"/>
    <m/>
    <s v="N"/>
    <s v="NONE"/>
    <s v="GUILTY PLEA - NO JURY"/>
    <n v="2"/>
    <n v="2"/>
    <n v="3"/>
    <n v="4"/>
    <n v="2"/>
    <n v="1"/>
    <m/>
    <m/>
    <m/>
    <m/>
    <m/>
    <m/>
    <m/>
    <d v="1961-01-03T00:00:00"/>
    <s v="M"/>
    <s v="B"/>
    <s v="BLACK"/>
    <s v="NON-HISPANIC"/>
    <s v="351"/>
    <s v="CONVICTED"/>
    <n v="1"/>
    <s v="HCJ"/>
    <m/>
    <m/>
    <n v="180"/>
    <s v="POSS CS PG 1 &lt;1G"/>
    <m/>
    <s v="FS"/>
    <s v="POSS DRUG"/>
    <m/>
    <m/>
    <m/>
    <m/>
    <m/>
    <m/>
    <m/>
    <m/>
    <m/>
    <s v="Appointed Attorney"/>
    <m/>
    <m/>
    <n v="2"/>
    <n v="2"/>
    <n v="2"/>
    <n v="51.049180327868854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n v="1"/>
    <s v="Y"/>
    <m/>
    <s v="0-10 DAYS"/>
    <n v="1"/>
    <x v="0"/>
  </r>
  <r>
    <n v="90"/>
    <s v="N"/>
    <s v="N"/>
    <n v="376472"/>
    <n v="6"/>
    <d v="2012-01-05T00:00:00"/>
    <d v="2012-05-08T00:00:00"/>
    <n v="376472"/>
    <d v="2012-01-11T00:00:00"/>
    <d v="2012-05-08T00:00:00"/>
    <n v="10000"/>
    <x v="3"/>
    <m/>
    <s v="N"/>
    <s v="NONE"/>
    <s v="DEFENDANT CONVICTED ON ANOTHER CHARGE"/>
    <n v="119"/>
    <n v="125"/>
    <n v="2"/>
    <n v="6"/>
    <n v="1"/>
    <m/>
    <m/>
    <m/>
    <m/>
    <m/>
    <m/>
    <m/>
    <m/>
    <d v="1964-01-06T00:00:00"/>
    <s v="M"/>
    <s v="W"/>
    <s v="WHITE"/>
    <s v="NON-HISPANIC"/>
    <s v="182"/>
    <s v="CONVICTED"/>
    <n v="8"/>
    <s v="TDC"/>
    <n v="4"/>
    <m/>
    <m/>
    <s v="POSS CS PG 1  1 - 4 GRAMS"/>
    <m/>
    <s v="F3"/>
    <s v="POSS DRUG"/>
    <m/>
    <m/>
    <m/>
    <m/>
    <m/>
    <m/>
    <m/>
    <m/>
    <m/>
    <s v="Hired Attorney"/>
    <m/>
    <m/>
    <n v="119"/>
    <n v="119"/>
    <n v="125"/>
    <n v="47.898907103825138"/>
    <n v="0"/>
    <n v="0"/>
    <s v="CONVICTION"/>
    <x v="0"/>
    <s v="N"/>
    <m/>
    <s v="CONVICTION"/>
    <s v="Y"/>
    <x v="0"/>
    <x v="0"/>
    <s v="Y"/>
    <n v="0.95199999999999996"/>
    <n v="1"/>
    <n v="4.8000000000000043E-2"/>
    <n v="0"/>
    <n v="-119"/>
    <n v="0"/>
    <n v="119"/>
    <e v="#VALUE!"/>
    <n v="119"/>
    <n v="0"/>
    <n v="0"/>
    <n v="118"/>
    <s v="Y"/>
    <m/>
    <s v="91-120 DAYS"/>
    <n v="0"/>
    <x v="0"/>
  </r>
  <r>
    <n v="515"/>
    <s v="N"/>
    <s v="Y"/>
    <n v="378339"/>
    <n v="4"/>
    <d v="2012-01-21T00:00:00"/>
    <d v="2013-08-29T00:00:00"/>
    <n v="378339"/>
    <d v="2012-01-21T00:00:00"/>
    <d v="2012-01-23T00:00:00"/>
    <n v="30000"/>
    <x v="2"/>
    <d v="2012-01-23T00:00:00"/>
    <s v="Y"/>
    <s v="SURETYPTRc"/>
    <s v="GUILTY PLEA - NO JURY"/>
    <n v="13"/>
    <n v="587"/>
    <n v="0"/>
    <n v="1"/>
    <m/>
    <m/>
    <m/>
    <m/>
    <m/>
    <m/>
    <m/>
    <m/>
    <m/>
    <d v="1962-05-27T00:00:00"/>
    <s v="M"/>
    <s v="B"/>
    <s v="BLACK"/>
    <s v="NON-HISPANIC"/>
    <s v="174"/>
    <s v="CONVICTED"/>
    <n v="12"/>
    <s v="HCJ"/>
    <m/>
    <m/>
    <n v="60"/>
    <s v="POSS CS PG 1 4G - 200G"/>
    <m/>
    <s v="F2"/>
    <s v="POSS DRUG"/>
    <s v="PTR REV NEW CRIME"/>
    <s v="2/10/12   6/6/13"/>
    <m/>
    <m/>
    <s v="Y"/>
    <m/>
    <m/>
    <m/>
    <m/>
    <s v="Hired Attorney"/>
    <m/>
    <m/>
    <n v="13"/>
    <n v="587"/>
    <n v="587"/>
    <n v="49.551912568306008"/>
    <n v="0"/>
    <n v="-584"/>
    <s v="CONVICTION"/>
    <x v="1"/>
    <s v="N"/>
    <m/>
    <s v="CONVICTION"/>
    <s v="Y"/>
    <x v="0"/>
    <x v="0"/>
    <s v="N"/>
    <n v="2.2146507666098807E-2"/>
    <n v="5.1107325383304937E-3"/>
    <n v="-1.7035775127768313E-2"/>
    <n v="0"/>
    <n v="-3"/>
    <n v="10"/>
    <n v="587"/>
    <n v="13"/>
    <n v="587"/>
    <n v="584"/>
    <n v="584"/>
    <n v="-2"/>
    <s v="Y"/>
    <m/>
    <s v="11-30 DAYS"/>
    <n v="2"/>
    <x v="0"/>
  </r>
  <r>
    <n v="1646"/>
    <s v="N"/>
    <s v="N"/>
    <n v="387207"/>
    <n v="4"/>
    <d v="2012-03-01T00:00:00"/>
    <d v="2012-05-10T00:00:00"/>
    <n v="387207"/>
    <d v="2012-03-02T00:00:00"/>
    <d v="2012-04-03T00:00:00"/>
    <n v="15000"/>
    <x v="0"/>
    <d v="2012-04-03T00:00:00"/>
    <s v="Y"/>
    <s v="SURETY"/>
    <s v="GUILTY PLEA - NO JURY"/>
    <n v="33"/>
    <n v="71"/>
    <n v="5"/>
    <n v="5"/>
    <n v="4"/>
    <n v="1"/>
    <m/>
    <m/>
    <m/>
    <m/>
    <m/>
    <m/>
    <m/>
    <d v="1960-07-15T00:00:00"/>
    <s v="M"/>
    <s v="W"/>
    <s v="WHITE"/>
    <s v="NON-HISPANIC"/>
    <s v="351"/>
    <s v="CONVICTED"/>
    <n v="3"/>
    <s v="HCJ"/>
    <m/>
    <m/>
    <n v="180"/>
    <s v="POSS CS PG 1 &lt;1G"/>
    <m/>
    <s v="FS"/>
    <s v="POSS DRUG"/>
    <m/>
    <m/>
    <m/>
    <m/>
    <m/>
    <m/>
    <m/>
    <m/>
    <m/>
    <s v="Appointed Attorney"/>
    <m/>
    <m/>
    <n v="33"/>
    <n v="70"/>
    <n v="71"/>
    <n v="51.521857923497265"/>
    <n v="0"/>
    <n v="-37"/>
    <s v="CONVICTION"/>
    <x v="1"/>
    <s v="Y"/>
    <m/>
    <s v="CONVICTION"/>
    <s v="Y"/>
    <x v="1"/>
    <x v="0"/>
    <s v="Y"/>
    <n v="0.46478873239436619"/>
    <n v="0.47142857142857142"/>
    <n v="6.6398390342052305E-3"/>
    <n v="0"/>
    <n v="-33"/>
    <n v="0"/>
    <n v="33"/>
    <e v="#VALUE!"/>
    <n v="33"/>
    <n v="0"/>
    <n v="37"/>
    <n v="32"/>
    <s v="Y"/>
    <m/>
    <s v="31-60 DAYS"/>
    <n v="3"/>
    <x v="0"/>
  </r>
  <r>
    <n v="1793"/>
    <s v="N"/>
    <s v="N"/>
    <n v="387871"/>
    <n v="6"/>
    <d v="2012-03-07T00:00:00"/>
    <d v="2012-03-09T00:00:00"/>
    <n v="387871"/>
    <d v="2012-03-08T00:00:00"/>
    <d v="2012-03-09T00:00:00"/>
    <s v="NO BOND"/>
    <x v="1"/>
    <m/>
    <s v="N"/>
    <s v="NONE"/>
    <s v="GUILTY PLEA - NO JURY"/>
    <n v="2"/>
    <n v="3"/>
    <n v="8"/>
    <n v="4"/>
    <n v="7"/>
    <m/>
    <m/>
    <m/>
    <m/>
    <m/>
    <m/>
    <m/>
    <m/>
    <d v="1955-09-07T00:00:00"/>
    <s v="M"/>
    <s v="H"/>
    <s v="HISPANIC"/>
    <s v="HISPANIC"/>
    <s v="174"/>
    <s v="CONVICTED"/>
    <n v="1"/>
    <s v="TDC"/>
    <n v="35"/>
    <m/>
    <m/>
    <s v="BURGLARY OF HABITATION"/>
    <m/>
    <s v="F2"/>
    <s v="BURGLARY"/>
    <m/>
    <m/>
    <m/>
    <m/>
    <m/>
    <m/>
    <m/>
    <m/>
    <m/>
    <s v="Appointed Attorney"/>
    <m/>
    <m/>
    <n v="2"/>
    <n v="2"/>
    <n v="3"/>
    <n v="56.382513661202189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n v="1"/>
    <s v="Y"/>
    <m/>
    <s v="0-10 DAYS"/>
    <n v="1"/>
    <x v="0"/>
  </r>
  <r>
    <n v="7"/>
    <s v="N"/>
    <s v="N"/>
    <n v="390322"/>
    <n v="5"/>
    <d v="2012-01-01T00:00:00"/>
    <d v="2012-01-03T00:00:00"/>
    <n v="390322"/>
    <d v="2012-01-01T00:00:00"/>
    <d v="2012-01-03T00:00:00"/>
    <n v="15000"/>
    <x v="0"/>
    <m/>
    <s v="N"/>
    <s v="NONE"/>
    <s v="GUILTY PLEA - NO JURY"/>
    <n v="3"/>
    <n v="3"/>
    <n v="10"/>
    <n v="7"/>
    <n v="8"/>
    <m/>
    <m/>
    <m/>
    <m/>
    <m/>
    <m/>
    <m/>
    <m/>
    <d v="1963-02-21T00:00:00"/>
    <s v="M"/>
    <s v="W"/>
    <s v="WHITE"/>
    <s v="NON-HISPANIC"/>
    <s v="184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3"/>
    <n v="3"/>
    <n v="3"/>
    <n v="48.759562841530055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n v="2"/>
    <s v="Y"/>
    <m/>
    <s v="0-10 DAYS"/>
    <n v="1"/>
    <x v="0"/>
  </r>
  <r>
    <n v="67"/>
    <s v="N"/>
    <s v="N"/>
    <n v="390501"/>
    <n v="5"/>
    <d v="2012-01-04T00:00:00"/>
    <d v="2012-05-31T00:00:00"/>
    <n v="390501"/>
    <d v="2012-01-04T00:00:00"/>
    <d v="2012-03-05T00:00:00"/>
    <n v="15000"/>
    <x v="0"/>
    <d v="2012-03-05T00:00:00"/>
    <s v="Y"/>
    <s v="SURETY"/>
    <s v="DEFENDANT CONVICTED ON ANOTHER CHARGE"/>
    <n v="62"/>
    <n v="149"/>
    <n v="6"/>
    <n v="10"/>
    <n v="4"/>
    <m/>
    <m/>
    <m/>
    <m/>
    <m/>
    <m/>
    <m/>
    <m/>
    <d v="1960-11-17T00:00:00"/>
    <s v="M"/>
    <s v="H"/>
    <s v="HISPANIC"/>
    <s v="HISPANIC"/>
    <s v="174"/>
    <s v="CONVICTED"/>
    <n v="1"/>
    <s v="STJ"/>
    <m/>
    <n v="9"/>
    <m/>
    <s v="UNAUTH USE OF VEHICLE"/>
    <m/>
    <s v="FS"/>
    <s v="AUTO THEFT"/>
    <s v="5/24/12 auto theftTDC5/31/12"/>
    <m/>
    <m/>
    <m/>
    <m/>
    <m/>
    <m/>
    <m/>
    <m/>
    <s v="Hired Attorney"/>
    <m/>
    <m/>
    <n v="62"/>
    <n v="149"/>
    <n v="149"/>
    <n v="51.024590163934427"/>
    <n v="0"/>
    <n v="-87"/>
    <s v="CONVICTION"/>
    <x v="1"/>
    <s v="Y"/>
    <m/>
    <s v="CONVICTION"/>
    <s v="Y"/>
    <x v="1"/>
    <x v="0"/>
    <s v="Y"/>
    <n v="0.41610738255033558"/>
    <n v="0.41610738255033558"/>
    <n v="0"/>
    <n v="0"/>
    <n v="-62"/>
    <n v="0"/>
    <n v="62"/>
    <e v="#VALUE!"/>
    <n v="62"/>
    <n v="0"/>
    <n v="87"/>
    <n v="61"/>
    <s v="Y"/>
    <m/>
    <s v="61-90 DAYS"/>
    <n v="4"/>
    <x v="0"/>
  </r>
  <r>
    <n v="2448"/>
    <s v="N"/>
    <s v="N"/>
    <n v="393504"/>
    <n v="1"/>
    <d v="2012-04-02T00:00:00"/>
    <d v="2012-04-04T00:00:00"/>
    <n v="393504"/>
    <s v="NOT BOOKED"/>
    <s v="NOT BOOKED"/>
    <n v="10000"/>
    <x v="3"/>
    <m/>
    <s v="NO BOND MADE - NON ARREST"/>
    <s v="NONE"/>
    <s v="DISMISSED"/>
    <n v="0"/>
    <n v="3"/>
    <n v="1"/>
    <n v="1"/>
    <m/>
    <n v="1"/>
    <m/>
    <m/>
    <m/>
    <m/>
    <m/>
    <m/>
    <m/>
    <d v="1964-05-08T00:00:00"/>
    <s v="F"/>
    <s v="H"/>
    <s v="HISPANIC"/>
    <s v="HISPANIC"/>
    <s v="263"/>
    <s v="DISMISSED"/>
    <n v="1"/>
    <s v="DISMISSED"/>
    <m/>
    <m/>
    <m/>
    <s v="FORGERY"/>
    <m/>
    <s v="FS"/>
    <s v="OTHER FEL"/>
    <m/>
    <m/>
    <m/>
    <m/>
    <m/>
    <m/>
    <m/>
    <m/>
    <m/>
    <s v="Other/Unknown"/>
    <m/>
    <m/>
    <n v="0"/>
    <n v="0"/>
    <n v="3"/>
    <n v="47.803278688524593"/>
    <e v="#VALUE!"/>
    <e v="#VALUE!"/>
    <s v="NO CONVICTION"/>
    <x v="0"/>
    <s v="N"/>
    <m/>
    <s v="NO CONVICTION"/>
    <n v="0"/>
    <x v="2"/>
    <x v="0"/>
    <s v="Y"/>
    <n v="0"/>
    <n v="0"/>
    <n v="0"/>
    <n v="0"/>
    <e v="#VALUE!"/>
    <e v="#VALUE!"/>
    <e v="#VALUE!"/>
    <n v="0"/>
    <n v="0"/>
    <m/>
    <e v="#VALUE!"/>
    <e v="#VALUE!"/>
    <s v="Y"/>
    <m/>
    <s v="0-10 DAYS"/>
    <n v="1"/>
    <x v="1"/>
  </r>
  <r>
    <n v="355"/>
    <s v="N"/>
    <s v="N"/>
    <n v="394004"/>
    <n v="2"/>
    <d v="2012-01-14T00:00:00"/>
    <d v="2012-03-19T00:00:00"/>
    <n v="394004"/>
    <d v="2012-01-15T00:00:00"/>
    <d v="2012-03-19T00:00:00"/>
    <n v="30000"/>
    <x v="2"/>
    <m/>
    <s v="N"/>
    <s v="NONE"/>
    <s v="DEFERRED ADJUDICATION "/>
    <n v="65"/>
    <n v="66"/>
    <n v="0"/>
    <n v="1"/>
    <m/>
    <m/>
    <m/>
    <m/>
    <m/>
    <m/>
    <m/>
    <m/>
    <m/>
    <d v="1936-12-03T00:00:00"/>
    <s v="M"/>
    <s v="W"/>
    <s v="WHITE"/>
    <s v="NULL"/>
    <s v="262"/>
    <s v="DEFERRED"/>
    <n v="4"/>
    <s v="DEFERRED"/>
    <m/>
    <m/>
    <m/>
    <s v="AGG ASSAULT W/DEADLY WEAPON"/>
    <m/>
    <s v="F2"/>
    <s v="ASLT-MURDR"/>
    <m/>
    <m/>
    <m/>
    <m/>
    <m/>
    <m/>
    <m/>
    <m/>
    <m/>
    <s v="Appointed Attorney"/>
    <m/>
    <m/>
    <n v="65"/>
    <n v="65"/>
    <n v="66"/>
    <n v="74.959016393442624"/>
    <n v="0"/>
    <n v="0"/>
    <s v="DEFERRED"/>
    <x v="0"/>
    <s v="N"/>
    <m/>
    <s v="DEFERRED"/>
    <s v="Y"/>
    <x v="0"/>
    <x v="0"/>
    <s v="N"/>
    <n v="0.98484848484848486"/>
    <n v="1"/>
    <n v="1.5151515151515138E-2"/>
    <n v="0"/>
    <n v="-65"/>
    <n v="0"/>
    <n v="65"/>
    <e v="#VALUE!"/>
    <n v="65"/>
    <n v="0"/>
    <n v="0"/>
    <n v="64"/>
    <s v="Y"/>
    <m/>
    <s v="61-90 DAYS"/>
    <n v="4"/>
    <x v="0"/>
  </r>
  <r>
    <n v="3239"/>
    <s v="N"/>
    <s v="N"/>
    <n v="396694"/>
    <n v="6"/>
    <d v="2012-04-29T00:00:00"/>
    <d v="2012-07-11T00:00:00"/>
    <n v="396694"/>
    <d v="2012-04-29T00:00:00"/>
    <d v="2012-07-11T00:00:00"/>
    <s v="NO BOND"/>
    <x v="1"/>
    <m/>
    <s v="N"/>
    <s v="NONE"/>
    <s v="GUILTY PLEA - NO JURY"/>
    <n v="74"/>
    <n v="74"/>
    <n v="7"/>
    <n v="3"/>
    <n v="4"/>
    <m/>
    <m/>
    <m/>
    <m/>
    <m/>
    <m/>
    <m/>
    <m/>
    <d v="1946-12-07T00:00:00"/>
    <s v="M"/>
    <s v="B"/>
    <s v="BLACK"/>
    <s v="NON-HISPANIC"/>
    <s v="183"/>
    <s v="CONVICTED"/>
    <n v="5"/>
    <s v="TDC"/>
    <n v="15"/>
    <m/>
    <m/>
    <s v="MAN/DEL CS PG I 1-4 GRAMS"/>
    <m/>
    <s v="F2"/>
    <s v="SALE DRUG"/>
    <m/>
    <m/>
    <m/>
    <m/>
    <m/>
    <m/>
    <m/>
    <m/>
    <m/>
    <s v="Hired Attorney"/>
    <m/>
    <m/>
    <n v="74"/>
    <n v="74"/>
    <n v="74"/>
    <n v="65.259562841530055"/>
    <n v="0"/>
    <n v="0"/>
    <s v="CONVICTION"/>
    <x v="0"/>
    <s v="N"/>
    <m/>
    <s v="CONVICTION"/>
    <s v="Y"/>
    <x v="0"/>
    <x v="0"/>
    <s v="Y"/>
    <n v="1"/>
    <n v="1"/>
    <n v="0"/>
    <n v="0"/>
    <n v="-74"/>
    <n v="0"/>
    <n v="74"/>
    <e v="#VALUE!"/>
    <n v="74"/>
    <n v="0"/>
    <n v="0"/>
    <n v="73"/>
    <s v="Y"/>
    <m/>
    <s v="61-90 DAYS"/>
    <n v="4"/>
    <x v="0"/>
  </r>
  <r>
    <n v="391"/>
    <s v="N"/>
    <s v="N"/>
    <n v="402939"/>
    <n v="1"/>
    <d v="2012-01-17T00:00:00"/>
    <d v="2012-03-02T00:00:00"/>
    <n v="402939"/>
    <d v="2012-01-17T00:00:00"/>
    <d v="2012-03-02T00:00:00"/>
    <n v="15000"/>
    <x v="0"/>
    <m/>
    <s v="N"/>
    <s v="NONE"/>
    <s v="DISMISSED"/>
    <n v="46"/>
    <n v="46"/>
    <n v="7"/>
    <n v="5"/>
    <n v="4"/>
    <n v="1"/>
    <m/>
    <m/>
    <m/>
    <m/>
    <m/>
    <m/>
    <m/>
    <d v="1961-08-16T00:00:00"/>
    <s v="M"/>
    <s v="B"/>
    <s v="BLACK"/>
    <s v="NULL"/>
    <s v="182"/>
    <s v="DISMISSED"/>
    <n v="3"/>
    <s v="DISMISSED"/>
    <m/>
    <m/>
    <m/>
    <s v="POSS CS PG 1 &lt;1G"/>
    <m/>
    <s v="FS"/>
    <s v="POSS DRUG"/>
    <m/>
    <m/>
    <m/>
    <m/>
    <m/>
    <m/>
    <m/>
    <m/>
    <m/>
    <s v="Appointed Attorney"/>
    <m/>
    <m/>
    <n v="46"/>
    <n v="46"/>
    <n v="46"/>
    <n v="50.31693989071038"/>
    <n v="0"/>
    <n v="0"/>
    <s v="NO CONVICTION"/>
    <x v="0"/>
    <s v="N"/>
    <m/>
    <s v="NO CONVICTION"/>
    <s v="Y"/>
    <x v="0"/>
    <x v="0"/>
    <s v="Y"/>
    <n v="1"/>
    <n v="1"/>
    <n v="0"/>
    <n v="0"/>
    <n v="-46"/>
    <n v="0"/>
    <n v="46"/>
    <e v="#VALUE!"/>
    <n v="46"/>
    <n v="0"/>
    <n v="0"/>
    <n v="45"/>
    <s v="Y"/>
    <m/>
    <s v="31-60 DAYS"/>
    <n v="3"/>
    <x v="0"/>
  </r>
  <r>
    <n v="2777"/>
    <s v="N"/>
    <s v="N"/>
    <n v="403644"/>
    <n v="1"/>
    <d v="2012-04-12T00:00:00"/>
    <d v="2012-11-01T00:00:00"/>
    <n v="403644"/>
    <d v="2012-04-13T00:00:00"/>
    <d v="2012-11-01T00:00:00"/>
    <s v="NO BOND"/>
    <x v="1"/>
    <m/>
    <s v="N"/>
    <s v="NONE"/>
    <s v="DISMISSED"/>
    <n v="203"/>
    <n v="204"/>
    <n v="4"/>
    <n v="1"/>
    <n v="3"/>
    <m/>
    <m/>
    <m/>
    <m/>
    <m/>
    <m/>
    <m/>
    <m/>
    <d v="1963-04-29T00:00:00"/>
    <s v="M"/>
    <s v="H"/>
    <s v="HISPANIC"/>
    <s v="HISPANIC"/>
    <s v="180"/>
    <s v="DISMISSED"/>
    <n v="8"/>
    <s v="DISMISSED"/>
    <m/>
    <m/>
    <m/>
    <s v="MAN/DEL CS PG III/IV 28-200 GR"/>
    <m/>
    <s v="F2"/>
    <s v="SALE DRUG"/>
    <m/>
    <m/>
    <m/>
    <m/>
    <m/>
    <m/>
    <m/>
    <m/>
    <m/>
    <s v="Hired Attorney"/>
    <m/>
    <m/>
    <n v="203"/>
    <n v="203"/>
    <n v="204"/>
    <n v="48.855191256830601"/>
    <n v="0"/>
    <n v="0"/>
    <s v="NO CONVICTION"/>
    <x v="0"/>
    <s v="N"/>
    <m/>
    <s v="NO CONVICTION"/>
    <s v="Y"/>
    <x v="0"/>
    <x v="0"/>
    <s v="Y"/>
    <n v="0.99509803921568629"/>
    <n v="1"/>
    <n v="4.9019607843137081E-3"/>
    <n v="0"/>
    <n v="-203"/>
    <n v="0"/>
    <n v="203"/>
    <e v="#VALUE!"/>
    <n v="203"/>
    <n v="0"/>
    <n v="0"/>
    <n v="202"/>
    <s v="Y"/>
    <m/>
    <s v="121-365 DAYS"/>
    <n v="6"/>
    <x v="0"/>
  </r>
  <r>
    <n v="788"/>
    <s v="N"/>
    <s v="N"/>
    <n v="404402"/>
    <n v="6"/>
    <d v="2012-01-31T00:00:00"/>
    <d v="2012-05-24T00:00:00"/>
    <n v="404402"/>
    <d v="2012-05-22T00:00:00"/>
    <d v="2012-05-24T00:00:00"/>
    <s v="NO BOND"/>
    <x v="1"/>
    <m/>
    <s v="N"/>
    <s v="NONE"/>
    <s v="GUILTY PLEA - NO JURY"/>
    <n v="3"/>
    <n v="115"/>
    <n v="5"/>
    <n v="2"/>
    <n v="4"/>
    <m/>
    <m/>
    <m/>
    <m/>
    <m/>
    <m/>
    <m/>
    <m/>
    <d v="1959-06-03T00:00:00"/>
    <s v="M"/>
    <s v="W"/>
    <s v="WHITE"/>
    <s v="NON-HISPANIC"/>
    <s v="263"/>
    <s v="CONVICTED"/>
    <n v="2"/>
    <s v="TDC"/>
    <n v="4"/>
    <m/>
    <m/>
    <s v="FAIL TO COMPLY AS SEX OFFENDER"/>
    <m/>
    <s v="F3"/>
    <s v="OTHER FEL"/>
    <m/>
    <m/>
    <m/>
    <m/>
    <m/>
    <m/>
    <m/>
    <m/>
    <m/>
    <s v="Appointed Attorney"/>
    <m/>
    <m/>
    <n v="3"/>
    <n v="3"/>
    <n v="115"/>
    <n v="52.55464480874317"/>
    <n v="0"/>
    <n v="0"/>
    <s v="CONVICTION"/>
    <x v="0"/>
    <s v="N"/>
    <m/>
    <s v="CONVICTION"/>
    <s v="Y"/>
    <x v="0"/>
    <x v="0"/>
    <s v="Y"/>
    <n v="2.6086956521739129E-2"/>
    <n v="1"/>
    <n v="0.97391304347826091"/>
    <n v="0"/>
    <n v="-3"/>
    <n v="0"/>
    <n v="3"/>
    <e v="#VALUE!"/>
    <n v="3"/>
    <n v="0"/>
    <n v="0"/>
    <n v="2"/>
    <s v="Y"/>
    <m/>
    <s v="0-10 DAYS"/>
    <n v="1"/>
    <x v="0"/>
  </r>
  <r>
    <n v="2450"/>
    <s v="N"/>
    <s v="N"/>
    <n v="405757"/>
    <n v="5"/>
    <d v="2012-04-02T00:00:00"/>
    <d v="2012-04-04T00:00:00"/>
    <n v="405757"/>
    <d v="2012-04-03T00:00:00"/>
    <d v="2012-04-04T00:00:00"/>
    <s v="NO BOND"/>
    <x v="1"/>
    <m/>
    <s v="N"/>
    <s v="NONE"/>
    <s v="GUILTY PLEA - NO JURY"/>
    <n v="2"/>
    <n v="3"/>
    <n v="15"/>
    <n v="4"/>
    <n v="7"/>
    <m/>
    <m/>
    <m/>
    <m/>
    <m/>
    <m/>
    <m/>
    <m/>
    <d v="1964-08-13T00:00:00"/>
    <s v="M"/>
    <s v="B"/>
    <s v="BLACK"/>
    <s v="NON-HISPANIC"/>
    <s v="208"/>
    <s v="CONVICTED"/>
    <n v="1"/>
    <s v="STJ"/>
    <m/>
    <n v="12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47.538251366120221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n v="1"/>
    <s v="Y"/>
    <m/>
    <s v="0-10 DAYS"/>
    <n v="1"/>
    <x v="0"/>
  </r>
  <r>
    <n v="3147"/>
    <s v="N"/>
    <s v="N"/>
    <n v="410802"/>
    <n v="1"/>
    <d v="2012-04-26T00:00:00"/>
    <d v="2013-05-06T00:00:00"/>
    <n v="410802"/>
    <d v="2012-04-26T00:00:00"/>
    <d v="2012-05-04T00:00:00"/>
    <n v="5000"/>
    <x v="4"/>
    <d v="2012-05-04T00:00:00"/>
    <s v="Y"/>
    <s v="SURETY"/>
    <s v="DISMISSED"/>
    <n v="9"/>
    <n v="376"/>
    <n v="1"/>
    <n v="12"/>
    <m/>
    <n v="1"/>
    <m/>
    <m/>
    <m/>
    <m/>
    <m/>
    <m/>
    <m/>
    <d v="1962-06-08T00:00:00"/>
    <s v="M"/>
    <s v="W"/>
    <s v="WHITE"/>
    <s v="NON-HISPANIC"/>
    <s v="174"/>
    <s v="DISMISSED"/>
    <n v="12"/>
    <s v="DISMISSED"/>
    <m/>
    <m/>
    <m/>
    <s v="POSS CS PG 1 &lt;1G"/>
    <m/>
    <s v="FS"/>
    <s v="POSS DRUG"/>
    <m/>
    <m/>
    <m/>
    <m/>
    <m/>
    <m/>
    <m/>
    <m/>
    <m/>
    <s v="Public Defender"/>
    <m/>
    <m/>
    <n v="9"/>
    <n v="376"/>
    <n v="376"/>
    <n v="49.78142076502732"/>
    <n v="0"/>
    <n v="-367"/>
    <s v="NO CONVICTION"/>
    <x v="1"/>
    <s v="Y"/>
    <m/>
    <s v="NO CONVICTION"/>
    <s v="Y"/>
    <x v="1"/>
    <x v="0"/>
    <s v="Y"/>
    <n v="2.3936170212765957E-2"/>
    <n v="2.3936170212765957E-2"/>
    <n v="0"/>
    <n v="0"/>
    <n v="-9"/>
    <n v="0"/>
    <n v="9"/>
    <e v="#VALUE!"/>
    <n v="9"/>
    <n v="0"/>
    <n v="367"/>
    <n v="8"/>
    <s v="Y"/>
    <m/>
    <s v="0-10 DAYS"/>
    <n v="1"/>
    <x v="0"/>
  </r>
  <r>
    <n v="2895"/>
    <s v="N"/>
    <s v="N"/>
    <n v="411241"/>
    <n v="5"/>
    <d v="2012-04-17T00:00:00"/>
    <d v="2012-05-10T00:00:00"/>
    <n v="411241"/>
    <d v="2012-04-18T00:00:00"/>
    <d v="2012-05-10T00:00:00"/>
    <n v="15000"/>
    <x v="0"/>
    <m/>
    <s v="N"/>
    <s v="NONE"/>
    <s v="GUILTY PLEA - NO JURY"/>
    <n v="23"/>
    <n v="24"/>
    <n v="8"/>
    <n v="1"/>
    <n v="5"/>
    <n v="1"/>
    <m/>
    <m/>
    <m/>
    <m/>
    <m/>
    <m/>
    <m/>
    <d v="1962-02-24T00:00:00"/>
    <s v="M"/>
    <s v="B"/>
    <s v="BLACK"/>
    <s v="NON-HISPANIC"/>
    <s v="337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23"/>
    <n v="23"/>
    <n v="24"/>
    <n v="50.040983606557376"/>
    <n v="0"/>
    <n v="0"/>
    <s v="CONVICTION"/>
    <x v="0"/>
    <s v="N"/>
    <m/>
    <s v="CONVICTION"/>
    <s v="Y"/>
    <x v="0"/>
    <x v="0"/>
    <s v="Y"/>
    <n v="0.95833333333333337"/>
    <n v="1"/>
    <n v="4.166666666666663E-2"/>
    <n v="0"/>
    <n v="-23"/>
    <n v="0"/>
    <n v="23"/>
    <e v="#VALUE!"/>
    <n v="23"/>
    <n v="0"/>
    <n v="0"/>
    <n v="22"/>
    <s v="Y"/>
    <m/>
    <s v="11-30 DAYS"/>
    <n v="2"/>
    <x v="0"/>
  </r>
  <r>
    <n v="1463"/>
    <s v="N"/>
    <s v="N"/>
    <n v="412497"/>
    <n v="4"/>
    <d v="2012-02-23T00:00:00"/>
    <d v="2012-02-27T00:00:00"/>
    <n v="412497"/>
    <d v="2012-02-23T00:00:00"/>
    <d v="2012-02-27T00:00:00"/>
    <n v="15000"/>
    <x v="0"/>
    <m/>
    <s v="N"/>
    <s v="NONE"/>
    <s v="GUILTY PLEA - NO JURY"/>
    <n v="5"/>
    <n v="5"/>
    <n v="3"/>
    <n v="7"/>
    <n v="2"/>
    <m/>
    <m/>
    <m/>
    <m/>
    <m/>
    <m/>
    <m/>
    <m/>
    <d v="1955-11-28T00:00:00"/>
    <s v="M"/>
    <s v="W"/>
    <s v="WHITE"/>
    <s v="NULL"/>
    <s v="177"/>
    <s v="CONVICTED"/>
    <n v="1"/>
    <s v="HCJ"/>
    <m/>
    <m/>
    <n v="90"/>
    <s v="THEFT UNDER $1500 - 3RD OFF."/>
    <m/>
    <s v="FS"/>
    <s v="THEFT"/>
    <m/>
    <m/>
    <m/>
    <m/>
    <m/>
    <m/>
    <m/>
    <m/>
    <m/>
    <s v="Appointed Attorney"/>
    <m/>
    <m/>
    <n v="5"/>
    <n v="5"/>
    <n v="5"/>
    <n v="56.122950819672134"/>
    <n v="0"/>
    <n v="0"/>
    <s v="CONVICTION"/>
    <x v="0"/>
    <s v="N"/>
    <m/>
    <s v="CONVICTION"/>
    <s v="Y"/>
    <x v="0"/>
    <x v="0"/>
    <s v="Y"/>
    <n v="1"/>
    <n v="1"/>
    <n v="0"/>
    <n v="0"/>
    <n v="-5"/>
    <n v="0"/>
    <n v="5"/>
    <e v="#VALUE!"/>
    <n v="5"/>
    <n v="0"/>
    <n v="0"/>
    <n v="4"/>
    <s v="Y"/>
    <m/>
    <s v="0-10 DAYS"/>
    <n v="1"/>
    <x v="0"/>
  </r>
  <r>
    <n v="1392"/>
    <s v="N"/>
    <s v="N"/>
    <n v="412963"/>
    <n v="6"/>
    <d v="2012-02-21T00:00:00"/>
    <d v="2012-02-24T00:00:00"/>
    <n v="412963"/>
    <d v="2012-02-22T00:00:00"/>
    <d v="2012-02-24T00:00:00"/>
    <n v="15000"/>
    <x v="0"/>
    <m/>
    <s v="N"/>
    <s v="NONE"/>
    <s v="GUILTY PLEA - NO JURY"/>
    <n v="3"/>
    <n v="4"/>
    <n v="4"/>
    <n v="1"/>
    <n v="1"/>
    <m/>
    <m/>
    <m/>
    <m/>
    <m/>
    <m/>
    <m/>
    <m/>
    <d v="1963-03-14T00:00:00"/>
    <s v="M"/>
    <s v="H"/>
    <s v="HISPANIC"/>
    <s v="HISPANIC"/>
    <s v="230"/>
    <s v="CONVICTED"/>
    <n v="2"/>
    <s v="TDC"/>
    <n v="10"/>
    <m/>
    <m/>
    <s v="THEFT $1500-20K"/>
    <m/>
    <s v="FS"/>
    <s v="THEFT"/>
    <m/>
    <m/>
    <m/>
    <m/>
    <m/>
    <m/>
    <m/>
    <m/>
    <m/>
    <s v="Appointed Attorney"/>
    <m/>
    <m/>
    <n v="3"/>
    <n v="3"/>
    <n v="4"/>
    <n v="48.841530054644807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n v="2"/>
    <s v="Y"/>
    <m/>
    <s v="0-10 DAYS"/>
    <n v="1"/>
    <x v="0"/>
  </r>
  <r>
    <n v="1479"/>
    <s v="N"/>
    <s v="N"/>
    <n v="413984"/>
    <n v="5"/>
    <d v="2012-02-24T00:00:00"/>
    <d v="2012-02-27T00:00:00"/>
    <n v="413984"/>
    <d v="2012-02-24T00:00:00"/>
    <d v="2012-02-27T00:00:00"/>
    <n v="15000"/>
    <x v="0"/>
    <m/>
    <s v="N"/>
    <s v="NONE"/>
    <s v="GUILTY PLEA - NO JURY"/>
    <n v="4"/>
    <n v="4"/>
    <n v="5"/>
    <n v="6"/>
    <n v="2"/>
    <m/>
    <m/>
    <m/>
    <m/>
    <m/>
    <m/>
    <m/>
    <m/>
    <d v="1963-02-10T00:00:00"/>
    <s v="M"/>
    <s v="B"/>
    <s v="BLACK"/>
    <s v="NULL"/>
    <s v="180"/>
    <s v="CONVICTED"/>
    <n v="1"/>
    <s v="STJ"/>
    <m/>
    <n v="6"/>
    <m/>
    <s v="POSS CS PG 1 &lt;1G"/>
    <m/>
    <s v="FS"/>
    <s v="POSS DRUG"/>
    <m/>
    <m/>
    <m/>
    <m/>
    <m/>
    <m/>
    <m/>
    <m/>
    <m/>
    <s v="Other/Unknown"/>
    <m/>
    <m/>
    <n v="4"/>
    <n v="4"/>
    <n v="4"/>
    <n v="48.937158469945352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n v="3"/>
    <s v="Y"/>
    <m/>
    <s v="0-10 DAYS"/>
    <n v="1"/>
    <x v="0"/>
  </r>
  <r>
    <n v="3155"/>
    <s v="N"/>
    <s v="N"/>
    <n v="415067"/>
    <n v="6"/>
    <d v="2012-04-26T00:00:00"/>
    <d v="2013-05-07T00:00:00"/>
    <n v="415067"/>
    <d v="2012-04-27T00:00:00"/>
    <d v="2013-05-07T00:00:00"/>
    <s v="NO BOND"/>
    <x v="1"/>
    <m/>
    <s v="N"/>
    <s v="NONE"/>
    <s v="jury verdict"/>
    <n v="376"/>
    <n v="377"/>
    <n v="6"/>
    <n v="3"/>
    <n v="4"/>
    <m/>
    <m/>
    <m/>
    <m/>
    <m/>
    <m/>
    <m/>
    <m/>
    <d v="1963-05-08T00:00:00"/>
    <s v="M"/>
    <s v="B"/>
    <s v="BLACK"/>
    <s v="NULL"/>
    <s v="351"/>
    <s v="CONVICTED"/>
    <n v="17"/>
    <s v="TDC"/>
    <n v="40"/>
    <m/>
    <m/>
    <s v="AGG ASSAULT-FAMILY MEMBER"/>
    <m/>
    <s v="F2"/>
    <s v="ASLT-MURDR"/>
    <s v="jail appeal status"/>
    <m/>
    <m/>
    <m/>
    <m/>
    <m/>
    <m/>
    <m/>
    <m/>
    <s v="Public Defender"/>
    <m/>
    <m/>
    <n v="376"/>
    <n v="376"/>
    <n v="377"/>
    <n v="48.868852459016395"/>
    <n v="0"/>
    <n v="0"/>
    <s v="CONVICTION"/>
    <x v="0"/>
    <m/>
    <m/>
    <s v="CONVICTION"/>
    <s v="Y"/>
    <x v="0"/>
    <x v="0"/>
    <s v="Y"/>
    <n v="0.99734748010610075"/>
    <n v="1"/>
    <n v="2.6525198938992522E-3"/>
    <n v="0"/>
    <n v="-376"/>
    <n v="0"/>
    <n v="376"/>
    <e v="#VALUE!"/>
    <n v="376"/>
    <n v="0"/>
    <n v="0"/>
    <n v="375"/>
    <s v="Y"/>
    <m/>
    <s v=" &gt;1YRS&lt;2YRS"/>
    <n v="0"/>
    <x v="0"/>
  </r>
  <r>
    <n v="274"/>
    <s v="N"/>
    <s v="N"/>
    <n v="415872"/>
    <n v="3"/>
    <d v="2012-01-12T00:00:00"/>
    <d v="2012-04-30T00:00:00"/>
    <n v="415872"/>
    <s v="NOT BOOKED"/>
    <s v="NOT BOOKED"/>
    <n v="10000"/>
    <x v="3"/>
    <d v="2012-01-12T00:00:00"/>
    <s v="Y"/>
    <s v="SURETYPTRc"/>
    <s v="GUILTY PLEA - NO JURY"/>
    <n v="0"/>
    <n v="110"/>
    <n v="0"/>
    <n v="2"/>
    <m/>
    <m/>
    <m/>
    <m/>
    <m/>
    <m/>
    <m/>
    <m/>
    <m/>
    <d v="1943-07-29T00:00:00"/>
    <s v="M"/>
    <s v="H"/>
    <s v="HISPANIC"/>
    <s v="HISPANIC"/>
    <s v="176"/>
    <s v="CONVICTED"/>
    <n v="5"/>
    <s v="PROBATION"/>
    <m/>
    <m/>
    <m/>
    <s v="DWI 3RD OFFENDER BAC .08"/>
    <m/>
    <s v="F3"/>
    <s v="FEL DWI"/>
    <m/>
    <m/>
    <m/>
    <m/>
    <m/>
    <m/>
    <m/>
    <m/>
    <m/>
    <s v="Hired Attorney"/>
    <m/>
    <m/>
    <n v="0"/>
    <n v="0"/>
    <n v="110"/>
    <n v="68.316939890710387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e v="#VALUE!"/>
    <e v="#VALUE!"/>
    <s v="Y"/>
    <m/>
    <s v="0-10 DAYS"/>
    <n v="1"/>
    <x v="1"/>
  </r>
  <r>
    <n v="1670"/>
    <s v="N"/>
    <s v="N"/>
    <n v="424032"/>
    <n v="5"/>
    <d v="2012-03-02T00:00:00"/>
    <d v="2012-03-05T00:00:00"/>
    <n v="424032"/>
    <d v="2012-03-03T00:00:00"/>
    <d v="2012-03-05T00:00:00"/>
    <n v="15000"/>
    <x v="0"/>
    <m/>
    <s v="N"/>
    <s v="NONE"/>
    <s v="GUILTY PLEA - NO JURY"/>
    <n v="3"/>
    <n v="4"/>
    <n v="11"/>
    <n v="10"/>
    <n v="6"/>
    <m/>
    <m/>
    <m/>
    <m/>
    <m/>
    <m/>
    <m/>
    <m/>
    <d v="1957-10-28T00:00:00"/>
    <s v="M"/>
    <s v="B"/>
    <s v="BLACK"/>
    <s v="NON-HISPANIC"/>
    <s v="209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4"/>
    <n v="54.232240437158467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n v="2"/>
    <s v="Y"/>
    <m/>
    <s v="0-10 DAYS"/>
    <n v="1"/>
    <x v="0"/>
  </r>
  <r>
    <n v="3180"/>
    <s v="N"/>
    <s v="N"/>
    <n v="424647"/>
    <n v="1"/>
    <d v="2012-04-27T00:00:00"/>
    <d v="2012-11-15T00:00:00"/>
    <n v="424647"/>
    <d v="2012-04-27T00:00:00"/>
    <d v="2012-05-01T00:00:00"/>
    <n v="20000"/>
    <x v="0"/>
    <d v="2012-05-01T00:00:00"/>
    <s v="Y"/>
    <s v="SURETY"/>
    <s v="DISMISSED"/>
    <n v="5"/>
    <n v="203"/>
    <n v="5"/>
    <n v="6"/>
    <n v="2"/>
    <m/>
    <m/>
    <m/>
    <m/>
    <m/>
    <m/>
    <m/>
    <m/>
    <d v="1964-06-23T00:00:00"/>
    <s v="M"/>
    <s v="B"/>
    <s v="BLACK"/>
    <s v="NON-HISPANIC"/>
    <s v="338"/>
    <s v="DISMISSED"/>
    <n v="8"/>
    <s v="DISMISSED"/>
    <m/>
    <m/>
    <m/>
    <s v="ASSAULT-BOD INJ-FAMILY MEMBER"/>
    <m/>
    <s v="F3"/>
    <s v="ASLT-MURDR"/>
    <m/>
    <m/>
    <m/>
    <m/>
    <m/>
    <m/>
    <m/>
    <m/>
    <m/>
    <s v="Hired Attorney"/>
    <m/>
    <m/>
    <n v="5"/>
    <n v="203"/>
    <n v="203"/>
    <n v="47.745901639344261"/>
    <n v="0"/>
    <n v="-198"/>
    <s v="NO CONVICTION"/>
    <x v="1"/>
    <s v="Y"/>
    <m/>
    <s v="NO CONVICTION"/>
    <s v="Y"/>
    <x v="1"/>
    <x v="0"/>
    <s v="Y"/>
    <n v="2.4630541871921183E-2"/>
    <n v="2.4630541871921183E-2"/>
    <n v="0"/>
    <n v="0"/>
    <n v="-5"/>
    <n v="0"/>
    <n v="5"/>
    <e v="#VALUE!"/>
    <n v="5"/>
    <n v="0"/>
    <n v="198"/>
    <n v="4"/>
    <s v="Y"/>
    <m/>
    <s v="0-10 DAYS"/>
    <n v="1"/>
    <x v="0"/>
  </r>
  <r>
    <n v="954"/>
    <s v="N"/>
    <s v="N"/>
    <n v="428468"/>
    <n v="6"/>
    <d v="2012-02-04T00:00:00"/>
    <d v="2012-07-18T00:00:00"/>
    <n v="428468"/>
    <d v="2012-02-04T00:00:00"/>
    <d v="2012-07-18T00:00:00"/>
    <s v="NO BOND"/>
    <x v="1"/>
    <m/>
    <s v="N"/>
    <s v="NONE"/>
    <s v="GUILTY PLEA - NO JURY"/>
    <n v="166"/>
    <n v="166"/>
    <n v="4"/>
    <n v="11"/>
    <n v="4"/>
    <m/>
    <m/>
    <m/>
    <m/>
    <m/>
    <m/>
    <m/>
    <m/>
    <d v="1964-04-13T00:00:00"/>
    <s v="M"/>
    <s v="H"/>
    <s v="HISPANIC"/>
    <s v="HISPANIC"/>
    <s v="180"/>
    <s v="CONVICTED"/>
    <n v="9"/>
    <s v="TDC"/>
    <n v="5"/>
    <m/>
    <m/>
    <s v="POSS W/INT DEL CS PG1&gt;=4 &lt;200"/>
    <m/>
    <s v="F1"/>
    <s v="SALE DRUG"/>
    <m/>
    <m/>
    <m/>
    <m/>
    <m/>
    <m/>
    <m/>
    <m/>
    <m/>
    <s v="Hired Attorney"/>
    <m/>
    <m/>
    <n v="166"/>
    <n v="166"/>
    <n v="166"/>
    <n v="47.713114754098363"/>
    <n v="0"/>
    <n v="0"/>
    <s v="CONVICTION"/>
    <x v="0"/>
    <s v="N"/>
    <m/>
    <s v="CONVICTION"/>
    <s v="Y"/>
    <x v="0"/>
    <x v="0"/>
    <s v="Y"/>
    <n v="1"/>
    <n v="1"/>
    <n v="0"/>
    <n v="0"/>
    <n v="-166"/>
    <n v="0"/>
    <n v="166"/>
    <e v="#VALUE!"/>
    <n v="166"/>
    <n v="0"/>
    <n v="0"/>
    <n v="165"/>
    <s v="Y"/>
    <m/>
    <s v="121-365 DAYS"/>
    <n v="6"/>
    <x v="0"/>
  </r>
  <r>
    <n v="2942"/>
    <s v="N"/>
    <s v="N"/>
    <n v="432635"/>
    <n v="2"/>
    <d v="2012-04-18T00:00:00"/>
    <d v="2012-06-20T00:00:00"/>
    <n v="432635"/>
    <d v="2012-04-19T00:00:00"/>
    <d v="2012-04-20T00:00:00"/>
    <n v="30000"/>
    <x v="2"/>
    <d v="2012-04-20T00:00:00"/>
    <s v="Y"/>
    <s v="PTRc"/>
    <s v="DEFERRED ADJUDICATION "/>
    <n v="2"/>
    <n v="64"/>
    <n v="0"/>
    <n v="1"/>
    <m/>
    <m/>
    <m/>
    <m/>
    <m/>
    <m/>
    <m/>
    <m/>
    <m/>
    <d v="1956-10-23T00:00:00"/>
    <s v="M"/>
    <s v="W"/>
    <s v="WHITE"/>
    <s v="NON-HISPANIC"/>
    <s v="338"/>
    <s v="DEFERRED"/>
    <n v="3"/>
    <s v="DEFERRED"/>
    <m/>
    <m/>
    <m/>
    <s v="AGG ASSAULT W/DEADLY WEAPON"/>
    <m/>
    <s v="F2"/>
    <s v="ASLT-MURDR"/>
    <m/>
    <m/>
    <m/>
    <m/>
    <m/>
    <m/>
    <m/>
    <m/>
    <m/>
    <s v="Appointed Attorney"/>
    <m/>
    <m/>
    <n v="2"/>
    <n v="63"/>
    <n v="64"/>
    <n v="55.37158469945355"/>
    <n v="0"/>
    <n v="-61"/>
    <s v="DEFERRED"/>
    <x v="2"/>
    <s v="Y"/>
    <m/>
    <s v="DEFERRED"/>
    <s v="Y"/>
    <x v="1"/>
    <x v="0"/>
    <s v="N"/>
    <n v="3.125E-2"/>
    <n v="3.1746031746031744E-2"/>
    <n v="4.9603174603174427E-4"/>
    <n v="0"/>
    <n v="-2"/>
    <n v="0"/>
    <n v="2"/>
    <e v="#VALUE!"/>
    <n v="2"/>
    <n v="0"/>
    <n v="61"/>
    <n v="1"/>
    <s v="Y"/>
    <m/>
    <s v="0-10 DAYS"/>
    <n v="1"/>
    <x v="0"/>
  </r>
  <r>
    <n v="920"/>
    <s v="N"/>
    <s v="N"/>
    <n v="434723"/>
    <n v="6"/>
    <d v="2012-02-03T00:00:00"/>
    <d v="2012-03-07T00:00:00"/>
    <n v="434723"/>
    <d v="2012-02-03T00:00:00"/>
    <d v="2012-03-07T00:00:00"/>
    <n v="15000"/>
    <x v="0"/>
    <m/>
    <s v="N"/>
    <s v="NONE"/>
    <s v="GUILTY PLEA - NO JURY"/>
    <n v="34"/>
    <n v="34"/>
    <n v="4"/>
    <n v="15"/>
    <n v="4"/>
    <m/>
    <m/>
    <m/>
    <m/>
    <m/>
    <m/>
    <m/>
    <m/>
    <d v="1958-08-09T00:00:00"/>
    <s v="M"/>
    <s v="B"/>
    <s v="BLACK"/>
    <s v="NON-HISPANIC"/>
    <s v="208"/>
    <s v="CONVICTED"/>
    <n v="2"/>
    <s v="TDC"/>
    <n v="3"/>
    <m/>
    <m/>
    <s v="BURGLARY OF A BUILDING"/>
    <m/>
    <s v="FS"/>
    <s v="BURGLARY"/>
    <m/>
    <m/>
    <m/>
    <m/>
    <m/>
    <m/>
    <m/>
    <m/>
    <m/>
    <s v="Appointed Attorney"/>
    <m/>
    <m/>
    <n v="34"/>
    <n v="34"/>
    <n v="34"/>
    <n v="53.377049180327866"/>
    <n v="0"/>
    <n v="0"/>
    <s v="CONVICTION"/>
    <x v="0"/>
    <s v="N"/>
    <m/>
    <s v="CONVICTION"/>
    <s v="Y"/>
    <x v="0"/>
    <x v="0"/>
    <s v="Y"/>
    <n v="1"/>
    <n v="1"/>
    <n v="0"/>
    <n v="0"/>
    <n v="-34"/>
    <n v="0"/>
    <n v="34"/>
    <e v="#VALUE!"/>
    <n v="34"/>
    <n v="0"/>
    <n v="0"/>
    <n v="33"/>
    <s v="Y"/>
    <m/>
    <s v="31-60 DAYS"/>
    <n v="3"/>
    <x v="0"/>
  </r>
  <r>
    <n v="785"/>
    <s v="N"/>
    <s v="N"/>
    <n v="437536"/>
    <n v="4"/>
    <d v="2012-01-31T00:00:00"/>
    <d v="2012-02-02T00:00:00"/>
    <n v="437536"/>
    <d v="2012-01-31T00:00:00"/>
    <d v="2012-02-02T00:00:00"/>
    <n v="15000"/>
    <x v="0"/>
    <m/>
    <s v="N"/>
    <s v="NONE"/>
    <s v="GUILTY PLEA - NO JURY"/>
    <n v="3"/>
    <n v="3"/>
    <n v="2"/>
    <n v="5"/>
    <m/>
    <m/>
    <m/>
    <m/>
    <m/>
    <m/>
    <m/>
    <m/>
    <m/>
    <d v="1958-05-14T00:00:00"/>
    <s v="M"/>
    <s v="B"/>
    <s v="BLACK"/>
    <s v="NULL"/>
    <s v="248"/>
    <s v="CONVICTED"/>
    <n v="2"/>
    <s v="HCJ"/>
    <m/>
    <m/>
    <n v="180"/>
    <s v="POSS CS PG 1 &lt;1G"/>
    <m/>
    <s v="FS"/>
    <s v="POSS DRUG"/>
    <m/>
    <m/>
    <m/>
    <m/>
    <m/>
    <m/>
    <m/>
    <m/>
    <m/>
    <s v="Appointed Attorney"/>
    <m/>
    <m/>
    <n v="3"/>
    <n v="3"/>
    <n v="3"/>
    <n v="53.606557377049178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n v="2"/>
    <s v="Y"/>
    <m/>
    <s v="0-10 DAYS"/>
    <n v="1"/>
    <x v="0"/>
  </r>
  <r>
    <n v="1698"/>
    <s v="N"/>
    <s v="N"/>
    <n v="441971"/>
    <n v="6"/>
    <d v="2012-03-03T00:00:00"/>
    <d v="2012-05-01T00:00:00"/>
    <n v="441971"/>
    <d v="2012-03-04T00:00:00"/>
    <d v="2012-05-01T00:00:00"/>
    <n v="10000"/>
    <x v="3"/>
    <m/>
    <s v="N"/>
    <s v="NONE"/>
    <s v="GUILTY PLEA - NO JURY"/>
    <n v="59"/>
    <n v="60"/>
    <n v="3"/>
    <n v="10"/>
    <n v="1"/>
    <m/>
    <m/>
    <m/>
    <m/>
    <m/>
    <m/>
    <m/>
    <m/>
    <d v="1964-05-18T00:00:00"/>
    <s v="M"/>
    <s v="W"/>
    <s v="WHITE"/>
    <s v="NON-HISPANIC"/>
    <s v="232"/>
    <s v="CONVICTED"/>
    <n v="3"/>
    <s v="TDC"/>
    <n v="3"/>
    <m/>
    <m/>
    <s v="DWI 3RD OFFENDER BAC .08"/>
    <m/>
    <s v="F3"/>
    <s v="FEL DWI"/>
    <m/>
    <m/>
    <m/>
    <m/>
    <m/>
    <m/>
    <m/>
    <m/>
    <m/>
    <s v="Appointed Attorney"/>
    <m/>
    <m/>
    <n v="59"/>
    <n v="59"/>
    <n v="60"/>
    <n v="47.693989071038253"/>
    <n v="0"/>
    <n v="0"/>
    <s v="CONVICTION"/>
    <x v="0"/>
    <s v="N"/>
    <m/>
    <s v="CONVICTION"/>
    <s v="Y"/>
    <x v="0"/>
    <x v="0"/>
    <s v="Y"/>
    <n v="0.98333333333333328"/>
    <n v="1"/>
    <n v="1.6666666666666718E-2"/>
    <n v="0"/>
    <n v="-59"/>
    <n v="0"/>
    <n v="59"/>
    <e v="#VALUE!"/>
    <n v="59"/>
    <n v="0"/>
    <n v="0"/>
    <n v="58"/>
    <s v="Y"/>
    <m/>
    <s v="31-60 DAYS"/>
    <n v="3"/>
    <x v="0"/>
  </r>
  <r>
    <n v="1549"/>
    <s v="N"/>
    <s v="N"/>
    <n v="447050"/>
    <n v="2"/>
    <d v="2012-02-27T00:00:00"/>
    <d v="2012-03-16T00:00:00"/>
    <n v="447050"/>
    <d v="2012-03-14T00:00:00"/>
    <d v="2012-03-15T00:00:00"/>
    <n v="10000"/>
    <x v="3"/>
    <d v="2012-03-15T00:00:00"/>
    <s v="Y"/>
    <s v="SURETY"/>
    <s v="DEFERRED ADJUDICATION "/>
    <n v="2"/>
    <n v="19"/>
    <n v="2"/>
    <n v="5"/>
    <n v="1"/>
    <n v="1"/>
    <m/>
    <m/>
    <m/>
    <m/>
    <m/>
    <m/>
    <m/>
    <d v="1964-09-23T00:00:00"/>
    <s v="M"/>
    <s v="B"/>
    <s v="BLACK"/>
    <s v="NON-HISPANIC"/>
    <s v="179"/>
    <s v="DEFERRED"/>
    <n v="3"/>
    <s v="DEFERRED"/>
    <m/>
    <m/>
    <m/>
    <s v="THEFT UNDER $1500 - 3RD OFF."/>
    <m/>
    <s v="FS"/>
    <s v="THEFT"/>
    <m/>
    <m/>
    <m/>
    <m/>
    <m/>
    <m/>
    <m/>
    <m/>
    <m/>
    <s v="Appointed Attorney"/>
    <m/>
    <m/>
    <n v="2"/>
    <n v="3"/>
    <n v="19"/>
    <n v="47.330601092896174"/>
    <n v="0"/>
    <n v="-1"/>
    <s v="DEFERRED"/>
    <x v="1"/>
    <s v="Y"/>
    <m/>
    <s v="DEFERRED"/>
    <s v="Y"/>
    <x v="1"/>
    <x v="0"/>
    <s v="Y"/>
    <n v="0.10526315789473684"/>
    <n v="0.66666666666666663"/>
    <n v="0.56140350877192979"/>
    <n v="0"/>
    <n v="-2"/>
    <n v="0"/>
    <n v="2"/>
    <e v="#VALUE!"/>
    <n v="2"/>
    <n v="0"/>
    <n v="1"/>
    <n v="1"/>
    <s v="Y"/>
    <m/>
    <s v="0-10 DAYS"/>
    <n v="1"/>
    <x v="0"/>
  </r>
  <r>
    <n v="320"/>
    <s v="N"/>
    <s v="Y"/>
    <n v="452198"/>
    <n v="5"/>
    <d v="2012-01-13T00:00:00"/>
    <d v="2013-08-22T00:00:00"/>
    <n v="452198"/>
    <d v="2012-02-08T00:00:00"/>
    <d v="2012-02-09T00:00:00"/>
    <n v="15000"/>
    <x v="0"/>
    <d v="2012-02-09T00:00:00"/>
    <s v="Y"/>
    <s v="SURETY"/>
    <s v="GUILTY PLEA - NO JURY"/>
    <n v="212"/>
    <n v="588"/>
    <n v="6"/>
    <n v="2"/>
    <n v="6"/>
    <m/>
    <m/>
    <m/>
    <m/>
    <m/>
    <m/>
    <m/>
    <m/>
    <d v="1961-09-30T00:00:00"/>
    <s v="M"/>
    <s v="B"/>
    <s v="BLACK"/>
    <s v="NON-HISPANIC"/>
    <s v="351"/>
    <s v="CONVICTED"/>
    <n v="17"/>
    <s v="STJ"/>
    <m/>
    <n v="18"/>
    <m/>
    <s v="THEFT $1500-20K"/>
    <m/>
    <s v="FS"/>
    <s v="THEFT"/>
    <s v="bk 1/24/13  recal"/>
    <m/>
    <s v="Y"/>
    <d v="2013-01-08T00:00:00"/>
    <m/>
    <m/>
    <m/>
    <d v="2013-07-23T00:00:00"/>
    <n v="263"/>
    <s v="Hired Attorney"/>
    <m/>
    <m/>
    <n v="212"/>
    <n v="562"/>
    <n v="588"/>
    <n v="50.18306010928962"/>
    <n v="0"/>
    <n v="-560"/>
    <s v="CONVICTION"/>
    <x v="1"/>
    <s v="N"/>
    <m/>
    <s v="CONVICTION"/>
    <s v="Y"/>
    <x v="0"/>
    <x v="0"/>
    <s v="Y"/>
    <n v="0.36054421768707484"/>
    <n v="3.5587188612099642E-3"/>
    <n v="-0.35698549882586489"/>
    <n v="0"/>
    <n v="-2"/>
    <n v="210"/>
    <n v="562"/>
    <n v="212"/>
    <n v="562"/>
    <n v="560"/>
    <n v="560"/>
    <n v="-1"/>
    <s v="Y"/>
    <m/>
    <s v="121-365 DAYS"/>
    <n v="6"/>
    <x v="0"/>
  </r>
  <r>
    <n v="3"/>
    <s v="N"/>
    <s v="N"/>
    <n v="452818"/>
    <n v="5"/>
    <d v="2012-01-01T00:00:00"/>
    <d v="2012-02-02T00:00:00"/>
    <n v="452818"/>
    <d v="2012-01-01T00:00:00"/>
    <d v="2012-02-02T00:00:00"/>
    <n v="45000"/>
    <x v="2"/>
    <m/>
    <s v="N"/>
    <s v="NONE"/>
    <s v="GUILTY PLEA - NO JURY"/>
    <n v="33"/>
    <n v="33"/>
    <n v="3"/>
    <n v="3"/>
    <n v="3"/>
    <m/>
    <m/>
    <m/>
    <m/>
    <m/>
    <m/>
    <m/>
    <m/>
    <d v="1964-03-11T00:00:00"/>
    <s v="M"/>
    <s v="H"/>
    <s v="HISPANIC"/>
    <s v="HISPANIC"/>
    <s v="248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33"/>
    <n v="33"/>
    <n v="33"/>
    <n v="47.710382513661202"/>
    <n v="0"/>
    <n v="0"/>
    <s v="CONVICTION"/>
    <x v="0"/>
    <s v="N"/>
    <m/>
    <s v="CONVICTION"/>
    <s v="Y"/>
    <x v="0"/>
    <x v="0"/>
    <s v="Y"/>
    <n v="1"/>
    <n v="1"/>
    <n v="0"/>
    <n v="0"/>
    <n v="-33"/>
    <n v="0"/>
    <n v="33"/>
    <e v="#VALUE!"/>
    <n v="33"/>
    <n v="0"/>
    <n v="0"/>
    <n v="32"/>
    <s v="Y"/>
    <m/>
    <s v="31-60 DAYS"/>
    <n v="3"/>
    <x v="0"/>
  </r>
  <r>
    <n v="626"/>
    <s v="N"/>
    <s v="N"/>
    <n v="466786"/>
    <n v="5"/>
    <d v="2012-01-25T00:00:00"/>
    <d v="2012-01-30T00:00:00"/>
    <n v="466786"/>
    <d v="2012-01-27T00:00:00"/>
    <d v="2012-01-30T00:00:00"/>
    <n v="15000"/>
    <x v="0"/>
    <m/>
    <s v="N"/>
    <s v="NONE"/>
    <s v="GUILTY PLEA - NO JURY"/>
    <n v="4"/>
    <n v="6"/>
    <n v="6"/>
    <n v="4"/>
    <n v="6"/>
    <m/>
    <m/>
    <m/>
    <m/>
    <m/>
    <m/>
    <m/>
    <m/>
    <d v="1958-08-09T00:00:00"/>
    <s v="M"/>
    <s v="B"/>
    <s v="BLACK"/>
    <s v="NULL"/>
    <s v="338"/>
    <s v="CONVICTED"/>
    <n v="2"/>
    <s v="STJ"/>
    <m/>
    <n v="10"/>
    <m/>
    <s v="THEFT UNDER $1500 - 3RD OFF."/>
    <m/>
    <s v="FS"/>
    <s v="THEFT"/>
    <m/>
    <m/>
    <m/>
    <m/>
    <m/>
    <m/>
    <m/>
    <m/>
    <m/>
    <s v="Appointed Attorney"/>
    <m/>
    <m/>
    <n v="4"/>
    <n v="4"/>
    <n v="6"/>
    <n v="53.352459016393439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4"/>
    <n v="0"/>
    <n v="4"/>
    <e v="#VALUE!"/>
    <n v="4"/>
    <n v="0"/>
    <n v="0"/>
    <n v="3"/>
    <s v="Y"/>
    <m/>
    <s v="0-10 DAYS"/>
    <n v="1"/>
    <x v="0"/>
  </r>
  <r>
    <n v="662"/>
    <s v="N"/>
    <s v="N"/>
    <n v="469117"/>
    <n v="5"/>
    <d v="2012-01-27T00:00:00"/>
    <d v="2012-01-30T00:00:00"/>
    <n v="469117"/>
    <d v="2012-01-27T00:00:00"/>
    <d v="2012-01-30T00:00:00"/>
    <n v="15000"/>
    <x v="0"/>
    <m/>
    <s v="N"/>
    <s v="NONE"/>
    <s v="GUILTY PLEA - NO JURY"/>
    <n v="4"/>
    <n v="4"/>
    <n v="6"/>
    <n v="1"/>
    <n v="2"/>
    <n v="2"/>
    <m/>
    <m/>
    <m/>
    <m/>
    <m/>
    <m/>
    <m/>
    <d v="1965-02-20T00:00:00"/>
    <s v="M"/>
    <s v="W"/>
    <s v="WHITE"/>
    <s v="NULL"/>
    <s v="178"/>
    <s v="CONVICTED"/>
    <n v="1"/>
    <s v="STJ"/>
    <m/>
    <n v="7"/>
    <m/>
    <s v="POSS CS PG 1 &lt;1G"/>
    <m/>
    <s v="FS"/>
    <s v="POSS DRUG"/>
    <m/>
    <m/>
    <m/>
    <m/>
    <m/>
    <m/>
    <m/>
    <m/>
    <m/>
    <s v="Appointed Attorney"/>
    <m/>
    <m/>
    <n v="4"/>
    <n v="4"/>
    <n v="4"/>
    <n v="46.83606557377049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n v="3"/>
    <s v="Y"/>
    <m/>
    <s v="0-10 DAYS"/>
    <n v="1"/>
    <x v="0"/>
  </r>
  <r>
    <n v="2442"/>
    <s v="N"/>
    <s v="N"/>
    <n v="469191"/>
    <n v="3"/>
    <d v="2012-04-02T00:00:00"/>
    <d v="2012-10-16T00:00:00"/>
    <n v="469191"/>
    <d v="2012-04-02T00:00:00"/>
    <d v="2012-04-03T00:00:00"/>
    <n v="10000"/>
    <x v="3"/>
    <d v="2012-04-03T00:00:00"/>
    <s v="Y"/>
    <s v="SURETYPTRc"/>
    <s v="GUILTY PLEA - NO JURY"/>
    <n v="2"/>
    <n v="198"/>
    <n v="0"/>
    <n v="2"/>
    <m/>
    <m/>
    <m/>
    <m/>
    <m/>
    <m/>
    <m/>
    <m/>
    <m/>
    <d v="1965-07-08T00:00:00"/>
    <s v="M"/>
    <s v="W"/>
    <s v="WHITE"/>
    <s v="NULL"/>
    <s v="228"/>
    <s v="CONVICTED"/>
    <n v="8"/>
    <s v="PROBATION"/>
    <m/>
    <m/>
    <m/>
    <s v="DWI 3RD OFFENDER BAC .08"/>
    <m/>
    <s v="F3"/>
    <s v="FEL DWI"/>
    <m/>
    <s v="rev 4/16/12  REINS 4/19"/>
    <m/>
    <m/>
    <m/>
    <m/>
    <m/>
    <m/>
    <m/>
    <s v="Hired Attorney"/>
    <m/>
    <s v="10 D HCJ COP"/>
    <n v="2"/>
    <n v="198"/>
    <n v="198"/>
    <n v="46.639344262295083"/>
    <n v="0"/>
    <n v="-196"/>
    <s v="CONVICTION"/>
    <x v="1"/>
    <s v="Y"/>
    <m/>
    <s v="CONVICTION"/>
    <s v="Y"/>
    <x v="1"/>
    <x v="0"/>
    <s v="N"/>
    <n v="1.0101010101010102E-2"/>
    <n v="1.0101010101010102E-2"/>
    <n v="0"/>
    <n v="0"/>
    <n v="-2"/>
    <n v="0"/>
    <n v="2"/>
    <e v="#VALUE!"/>
    <m/>
    <n v="196"/>
    <n v="196"/>
    <n v="-1"/>
    <s v="Y"/>
    <m/>
    <s v="0-10 DAYS"/>
    <n v="1"/>
    <x v="0"/>
  </r>
  <r>
    <n v="1355"/>
    <s v="N"/>
    <s v="N"/>
    <n v="473333"/>
    <n v="5"/>
    <d v="2012-02-19T00:00:00"/>
    <d v="2012-06-29T00:00:00"/>
    <n v="473333"/>
    <d v="2012-02-19T00:00:00"/>
    <d v="2012-06-29T00:00:00"/>
    <n v="15000"/>
    <x v="0"/>
    <m/>
    <s v="N"/>
    <s v="NONE"/>
    <s v="GUILTY PLEA - NO JURY"/>
    <n v="132"/>
    <n v="132"/>
    <n v="2"/>
    <n v="5"/>
    <n v="2"/>
    <m/>
    <m/>
    <m/>
    <m/>
    <m/>
    <m/>
    <m/>
    <m/>
    <d v="1965-03-01T00:00:00"/>
    <s v="M"/>
    <s v="B"/>
    <s v="BLACK"/>
    <s v="NON-HISPANIC"/>
    <s v="351"/>
    <s v="CONVICTED"/>
    <n v="6"/>
    <s v="STJ"/>
    <m/>
    <n v="9"/>
    <m/>
    <s v="POSS CS PG 1 &lt;1G"/>
    <m/>
    <s v="FS"/>
    <s v="POSS DRUG"/>
    <m/>
    <m/>
    <m/>
    <m/>
    <m/>
    <m/>
    <m/>
    <m/>
    <m/>
    <s v="Appointed Attorney"/>
    <m/>
    <m/>
    <n v="132"/>
    <n v="132"/>
    <n v="132"/>
    <n v="46.874316939890711"/>
    <n v="0"/>
    <n v="0"/>
    <s v="CONVICTION"/>
    <x v="0"/>
    <s v="N"/>
    <m/>
    <s v="CONVICTION"/>
    <s v="Y"/>
    <x v="0"/>
    <x v="0"/>
    <s v="Y"/>
    <n v="1"/>
    <n v="1"/>
    <n v="0"/>
    <n v="0"/>
    <n v="-132"/>
    <n v="0"/>
    <n v="132"/>
    <e v="#VALUE!"/>
    <n v="132"/>
    <n v="0"/>
    <n v="0"/>
    <n v="131"/>
    <s v="Y"/>
    <m/>
    <s v="121-365 DAYS"/>
    <n v="6"/>
    <x v="0"/>
  </r>
  <r>
    <n v="2332"/>
    <s v="N"/>
    <s v="N"/>
    <n v="477188"/>
    <n v="1"/>
    <d v="2012-03-29T00:00:00"/>
    <d v="2012-04-02T00:00:00"/>
    <n v="477188"/>
    <d v="2012-03-29T00:00:00"/>
    <d v="2012-04-02T00:00:00"/>
    <n v="15000"/>
    <x v="0"/>
    <m/>
    <s v="N"/>
    <s v="NONE"/>
    <s v="DISMISSED"/>
    <n v="5"/>
    <n v="5"/>
    <n v="3"/>
    <n v="1"/>
    <n v="2"/>
    <m/>
    <m/>
    <m/>
    <m/>
    <m/>
    <m/>
    <m/>
    <m/>
    <d v="1956-03-09T00:00:00"/>
    <s v="M"/>
    <s v="H"/>
    <s v="HISPANIC"/>
    <s v="HISPANIC"/>
    <s v="228"/>
    <s v="DISMISSED"/>
    <n v="3"/>
    <s v="DISMISSED"/>
    <m/>
    <m/>
    <m/>
    <s v="POSS CS PG 1 &lt;1G"/>
    <m/>
    <s v="FS"/>
    <s v="POSS DRUG"/>
    <m/>
    <m/>
    <m/>
    <m/>
    <m/>
    <m/>
    <m/>
    <m/>
    <m/>
    <s v="Appointed Attorney"/>
    <m/>
    <m/>
    <n v="5"/>
    <n v="5"/>
    <n v="5"/>
    <n v="55.939890710382514"/>
    <n v="0"/>
    <n v="0"/>
    <s v="NO CONVICTION"/>
    <x v="0"/>
    <s v="N"/>
    <m/>
    <s v="NO CONVICTION"/>
    <s v="Y"/>
    <x v="0"/>
    <x v="0"/>
    <s v="Y"/>
    <n v="1"/>
    <n v="1"/>
    <n v="0"/>
    <n v="0"/>
    <n v="-5"/>
    <n v="0"/>
    <n v="5"/>
    <e v="#VALUE!"/>
    <n v="5"/>
    <n v="0"/>
    <n v="0"/>
    <n v="4"/>
    <s v="Y"/>
    <m/>
    <s v="0-10 DAYS"/>
    <n v="1"/>
    <x v="0"/>
  </r>
  <r>
    <n v="757"/>
    <s v="N"/>
    <s v="N"/>
    <n v="484867"/>
    <n v="1"/>
    <d v="2012-01-30T00:00:00"/>
    <d v="2012-02-29T00:00:00"/>
    <n v="484867"/>
    <d v="2012-01-30T00:00:00"/>
    <d v="2012-02-29T00:00:00"/>
    <n v="10000"/>
    <x v="3"/>
    <m/>
    <s v="N"/>
    <s v="NONE"/>
    <s v="NO BILL"/>
    <n v="31"/>
    <n v="31"/>
    <n v="0"/>
    <n v="0"/>
    <m/>
    <m/>
    <m/>
    <m/>
    <m/>
    <m/>
    <m/>
    <m/>
    <m/>
    <d v="1959-01-04T00:00:00"/>
    <s v="M"/>
    <s v="W"/>
    <s v="WHITE"/>
    <s v="NON-HISPANIC"/>
    <s v="180"/>
    <s v="NO BILL"/>
    <n v="2"/>
    <s v="NO BILL"/>
    <m/>
    <m/>
    <m/>
    <s v="CIVIL COMMITMENT REQUIR"/>
    <m/>
    <s v="F3"/>
    <s v="OTHER FEL"/>
    <m/>
    <m/>
    <m/>
    <m/>
    <m/>
    <m/>
    <m/>
    <m/>
    <m/>
    <s v="Appointed Attorney"/>
    <m/>
    <m/>
    <n v="31"/>
    <n v="31"/>
    <n v="31"/>
    <n v="52.961748633879779"/>
    <n v="0"/>
    <n v="0"/>
    <s v="NO CONVICTION"/>
    <x v="0"/>
    <s v="N"/>
    <m/>
    <s v="NO CONVICTION"/>
    <s v="Y"/>
    <x v="0"/>
    <x v="0"/>
    <s v="N"/>
    <n v="1"/>
    <n v="1"/>
    <n v="0"/>
    <n v="0"/>
    <n v="-31"/>
    <n v="0"/>
    <n v="31"/>
    <e v="#VALUE!"/>
    <n v="31"/>
    <n v="0"/>
    <n v="0"/>
    <n v="30"/>
    <s v="N"/>
    <m/>
    <s v="31-60 DAYS"/>
    <n v="3"/>
    <x v="0"/>
  </r>
  <r>
    <n v="2657"/>
    <s v="N"/>
    <s v="N"/>
    <n v="487422"/>
    <n v="3"/>
    <d v="2012-04-08T00:00:00"/>
    <d v="2014-03-05T00:00:00"/>
    <n v="487422"/>
    <s v="NOT BOOKED"/>
    <s v="NOT BOOKED"/>
    <n v="5000"/>
    <x v="4"/>
    <d v="2012-04-10T00:00:00"/>
    <s v="Y"/>
    <s v="SURETY"/>
    <s v="GUILTY PLEA - NO JURY"/>
    <n v="0"/>
    <n v="697"/>
    <n v="1"/>
    <n v="14"/>
    <m/>
    <m/>
    <n v="7"/>
    <m/>
    <m/>
    <m/>
    <m/>
    <m/>
    <m/>
    <d v="1962-07-20T00:00:00"/>
    <s v="M"/>
    <s v="B"/>
    <s v="BLACK"/>
    <s v="NULL"/>
    <s v="209"/>
    <s v="CONVICTED"/>
    <n v="16"/>
    <s v="PROBATION"/>
    <m/>
    <m/>
    <m/>
    <s v="HARASSMENT OF PUBLIC SERVANT"/>
    <m/>
    <s v="F3"/>
    <s v="OTHER FEL"/>
    <m/>
    <m/>
    <m/>
    <m/>
    <m/>
    <m/>
    <m/>
    <m/>
    <m/>
    <s v="Hired Attorney"/>
    <m/>
    <m/>
    <n v="0"/>
    <n v="0"/>
    <n v="697"/>
    <n v="49.617486338797811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m/>
    <e v="#VALUE!"/>
    <e v="#VALUE!"/>
    <s v="Y"/>
    <e v="#N/A"/>
    <s v="0-10 DAYS"/>
    <n v="1"/>
    <x v="1"/>
  </r>
  <r>
    <n v="3035"/>
    <s v="N"/>
    <s v="N"/>
    <n v="495787"/>
    <n v="6"/>
    <d v="2012-04-22T00:00:00"/>
    <d v="2012-04-23T00:00:00"/>
    <n v="495787"/>
    <d v="2012-04-22T00:00:00"/>
    <d v="2012-04-23T00:00:00"/>
    <s v="NO BOND"/>
    <x v="1"/>
    <m/>
    <s v="N"/>
    <s v="NONE"/>
    <s v="GUILTY PLEA - NO JURY"/>
    <n v="2"/>
    <n v="2"/>
    <n v="3"/>
    <n v="5"/>
    <n v="3"/>
    <m/>
    <m/>
    <m/>
    <m/>
    <m/>
    <m/>
    <m/>
    <m/>
    <d v="1960-12-19T00:00:00"/>
    <s v="M"/>
    <s v="H"/>
    <s v="HISPANIC"/>
    <s v="HISPANIC"/>
    <s v="338"/>
    <s v="CONVICTED"/>
    <n v="1"/>
    <s v="TDC"/>
    <n v="10"/>
    <m/>
    <m/>
    <s v="DWI 3RD OFFENDER BAC .08"/>
    <m/>
    <s v="F3"/>
    <s v="FEL DWI"/>
    <m/>
    <m/>
    <m/>
    <m/>
    <m/>
    <m/>
    <m/>
    <m/>
    <m/>
    <s v="Appointed Attorney"/>
    <m/>
    <m/>
    <n v="2"/>
    <n v="2"/>
    <n v="2"/>
    <n v="51.234972677595628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n v="1"/>
    <s v="Y"/>
    <m/>
    <s v="0-10 DAYS"/>
    <n v="1"/>
    <x v="0"/>
  </r>
  <r>
    <n v="1374"/>
    <s v="N"/>
    <s v="N"/>
    <n v="497960"/>
    <n v="1"/>
    <d v="2012-02-20T00:00:00"/>
    <d v="2012-08-31T00:00:00"/>
    <n v="497960"/>
    <d v="2012-04-11T00:00:00"/>
    <d v="2012-08-31T00:00:00"/>
    <s v="NO BOND"/>
    <x v="1"/>
    <m/>
    <s v="N"/>
    <s v="NONE"/>
    <s v="DISMISSED"/>
    <n v="143"/>
    <n v="194"/>
    <n v="6"/>
    <n v="5"/>
    <n v="3"/>
    <m/>
    <m/>
    <m/>
    <m/>
    <m/>
    <m/>
    <m/>
    <m/>
    <d v="1965-08-17T00:00:00"/>
    <s v="M"/>
    <s v="B"/>
    <s v="BLACK"/>
    <s v="NON-HISPANIC"/>
    <s v="180"/>
    <s v="DISMISSED"/>
    <n v="6"/>
    <s v="DISMISSED"/>
    <m/>
    <m/>
    <m/>
    <s v="THEFT $1500-20K"/>
    <m/>
    <s v="FS"/>
    <s v="THEFT"/>
    <s v="fel theft  filed 7/27/12 disp 8/31/12 stj 8 m"/>
    <m/>
    <m/>
    <m/>
    <m/>
    <m/>
    <m/>
    <m/>
    <m/>
    <s v="Appointed Attorney"/>
    <m/>
    <m/>
    <n v="143"/>
    <n v="143"/>
    <n v="194"/>
    <n v="46.415300546448087"/>
    <n v="0"/>
    <n v="0"/>
    <s v="NO CONVICTION"/>
    <x v="0"/>
    <s v="N"/>
    <m/>
    <s v="NO CONVICTION"/>
    <s v="Y"/>
    <x v="0"/>
    <x v="0"/>
    <s v="Y"/>
    <n v="0.73711340206185572"/>
    <n v="1"/>
    <n v="0.26288659793814428"/>
    <n v="0"/>
    <n v="-143"/>
    <n v="0"/>
    <n v="143"/>
    <e v="#VALUE!"/>
    <n v="143"/>
    <n v="0"/>
    <n v="0"/>
    <n v="142"/>
    <s v="Y"/>
    <m/>
    <s v="121-365 DAYS"/>
    <n v="6"/>
    <x v="0"/>
  </r>
  <r>
    <n v="1206"/>
    <s v="N"/>
    <s v="N"/>
    <n v="504575"/>
    <n v="5"/>
    <d v="2012-02-14T00:00:00"/>
    <d v="2012-02-17T00:00:00"/>
    <n v="504575"/>
    <d v="2012-02-14T00:00:00"/>
    <d v="2012-02-17T00:00:00"/>
    <n v="15000"/>
    <x v="0"/>
    <m/>
    <s v="N"/>
    <s v="NONE"/>
    <s v="GUILTY PLEA - NO JURY"/>
    <n v="4"/>
    <n v="4"/>
    <n v="11"/>
    <n v="9"/>
    <n v="7"/>
    <m/>
    <m/>
    <m/>
    <m/>
    <m/>
    <m/>
    <m/>
    <m/>
    <d v="1966-01-03T00:00:00"/>
    <s v="M"/>
    <s v="B"/>
    <s v="BLACK"/>
    <s v="NULL"/>
    <s v="184"/>
    <s v="CONVICTED"/>
    <n v="2"/>
    <s v="STJ"/>
    <m/>
    <n v="6"/>
    <m/>
    <s v="MAN/DEL CS PG I &lt;1GRAM"/>
    <m/>
    <s v="FS"/>
    <s v="SALE DRUG"/>
    <m/>
    <m/>
    <m/>
    <m/>
    <m/>
    <m/>
    <m/>
    <m/>
    <m/>
    <s v="Appointed Attorney"/>
    <m/>
    <m/>
    <n v="4"/>
    <n v="4"/>
    <n v="4"/>
    <n v="46.019125683060111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n v="3"/>
    <s v="Y"/>
    <m/>
    <s v="0-10 DAYS"/>
    <n v="1"/>
    <x v="0"/>
  </r>
  <r>
    <n v="1450"/>
    <s v="N"/>
    <s v="N"/>
    <n v="506901"/>
    <n v="1"/>
    <d v="2012-02-23T00:00:00"/>
    <d v="2012-04-18T00:00:00"/>
    <n v="506901"/>
    <d v="2012-02-23T00:00:00"/>
    <d v="2012-03-08T00:00:00"/>
    <n v="40000"/>
    <x v="2"/>
    <d v="2012-03-08T00:00:00"/>
    <s v="Y"/>
    <s v="SURETY"/>
    <s v="DISMISSED"/>
    <n v="15"/>
    <n v="56"/>
    <n v="2"/>
    <n v="5"/>
    <n v="1"/>
    <m/>
    <m/>
    <m/>
    <m/>
    <m/>
    <m/>
    <m/>
    <m/>
    <d v="1964-01-25T00:00:00"/>
    <s v="M"/>
    <s v="W"/>
    <s v="WHITE"/>
    <s v="NON-HISPANIC"/>
    <s v="179"/>
    <s v="DISMISSED"/>
    <n v="3"/>
    <s v="DISMISSED"/>
    <m/>
    <m/>
    <m/>
    <s v="AGG ASSAULT W/DEADLY WEAPON"/>
    <m/>
    <s v="F2"/>
    <s v="ASLT-MURDR"/>
    <m/>
    <m/>
    <m/>
    <m/>
    <m/>
    <m/>
    <m/>
    <m/>
    <m/>
    <s v="Hired Attorney"/>
    <m/>
    <m/>
    <n v="15"/>
    <n v="56"/>
    <n v="56"/>
    <n v="47.980874316939889"/>
    <n v="0"/>
    <n v="-41"/>
    <s v="NO CONVICTION"/>
    <x v="1"/>
    <s v="Y"/>
    <m/>
    <s v="NO CONVICTION"/>
    <s v="Y"/>
    <x v="1"/>
    <x v="0"/>
    <s v="Y"/>
    <n v="0.26785714285714285"/>
    <n v="0.26785714285714285"/>
    <n v="0"/>
    <n v="0"/>
    <n v="-15"/>
    <n v="0"/>
    <n v="15"/>
    <e v="#VALUE!"/>
    <n v="15"/>
    <n v="0"/>
    <n v="41"/>
    <n v="14"/>
    <s v="Y"/>
    <m/>
    <s v="11-30 DAYS"/>
    <n v="2"/>
    <x v="0"/>
  </r>
  <r>
    <n v="176"/>
    <s v="N"/>
    <s v="N"/>
    <n v="507657"/>
    <n v="1"/>
    <d v="2012-01-08T00:00:00"/>
    <d v="2012-02-17T00:00:00"/>
    <n v="507657"/>
    <d v="2012-01-08T00:00:00"/>
    <d v="2012-02-17T00:00:00"/>
    <n v="20000"/>
    <x v="0"/>
    <m/>
    <s v="N"/>
    <s v="NONE"/>
    <s v="DISMISSED"/>
    <n v="41"/>
    <n v="41"/>
    <n v="1"/>
    <n v="1"/>
    <m/>
    <m/>
    <m/>
    <m/>
    <m/>
    <m/>
    <m/>
    <m/>
    <m/>
    <d v="1957-04-21T00:00:00"/>
    <s v="M"/>
    <s v="B"/>
    <s v="BLACK"/>
    <s v="NON-HISPANIC"/>
    <s v="230"/>
    <s v="DISMISSED"/>
    <n v="3"/>
    <s v="DISMISSED"/>
    <m/>
    <m/>
    <m/>
    <s v="AGG SEX ASSAULT"/>
    <m/>
    <s v="F1"/>
    <s v="RAPE"/>
    <m/>
    <m/>
    <m/>
    <m/>
    <m/>
    <m/>
    <m/>
    <m/>
    <m/>
    <s v="Appointed Attorney"/>
    <m/>
    <m/>
    <n v="41"/>
    <n v="41"/>
    <n v="41"/>
    <n v="54.603825136612024"/>
    <n v="0"/>
    <n v="0"/>
    <s v="NO CONVICTION"/>
    <x v="0"/>
    <s v="N"/>
    <m/>
    <s v="NO CONVICTION"/>
    <s v="Y"/>
    <x v="0"/>
    <x v="0"/>
    <s v="Y"/>
    <n v="1"/>
    <n v="1"/>
    <n v="0"/>
    <n v="0"/>
    <n v="-41"/>
    <n v="0"/>
    <n v="41"/>
    <e v="#VALUE!"/>
    <n v="41"/>
    <n v="0"/>
    <n v="0"/>
    <n v="40"/>
    <s v="Y"/>
    <m/>
    <s v="31-60 DAYS"/>
    <n v="3"/>
    <x v="0"/>
  </r>
  <r>
    <n v="1393"/>
    <s v="N"/>
    <s v="N"/>
    <n v="509488"/>
    <n v="1"/>
    <d v="2012-02-21T00:00:00"/>
    <d v="2012-02-24T00:00:00"/>
    <n v="509488"/>
    <d v="2012-02-22T00:00:00"/>
    <d v="2012-02-24T00:00:00"/>
    <s v="NO BOND"/>
    <x v="1"/>
    <m/>
    <s v="N"/>
    <s v="NONE"/>
    <s v="DISMISSED"/>
    <n v="3"/>
    <n v="4"/>
    <n v="2"/>
    <n v="4"/>
    <n v="1"/>
    <m/>
    <m/>
    <m/>
    <m/>
    <m/>
    <m/>
    <m/>
    <m/>
    <d v="1963-08-28T00:00:00"/>
    <s v="F"/>
    <s v="W"/>
    <s v="WHITE"/>
    <s v="NON-HISPANIC"/>
    <s v="176"/>
    <s v="DISMISSED"/>
    <n v="2"/>
    <s v="DISMISSED"/>
    <m/>
    <m/>
    <m/>
    <s v="ARSON"/>
    <m/>
    <s v="F2"/>
    <s v="ARSON"/>
    <m/>
    <m/>
    <m/>
    <m/>
    <m/>
    <m/>
    <m/>
    <m/>
    <m/>
    <s v="Appointed Attorney"/>
    <m/>
    <m/>
    <n v="3"/>
    <n v="3"/>
    <n v="4"/>
    <n v="48.385245901639344"/>
    <n v="0"/>
    <n v="0"/>
    <s v="NO CONVICTION"/>
    <x v="0"/>
    <s v="N"/>
    <m/>
    <s v="NO CONVICTION"/>
    <s v="Y"/>
    <x v="0"/>
    <x v="0"/>
    <s v="Y"/>
    <n v="0.75"/>
    <n v="1"/>
    <n v="0.25"/>
    <n v="0"/>
    <n v="-3"/>
    <n v="0"/>
    <n v="3"/>
    <e v="#VALUE!"/>
    <n v="3"/>
    <n v="0"/>
    <n v="0"/>
    <n v="2"/>
    <s v="Y"/>
    <m/>
    <s v="0-10 DAYS"/>
    <n v="1"/>
    <x v="0"/>
  </r>
  <r>
    <n v="829"/>
    <s v="N"/>
    <s v="N"/>
    <n v="514513"/>
    <n v="5"/>
    <d v="2012-02-01T00:00:00"/>
    <d v="2012-11-29T00:00:00"/>
    <n v="514513"/>
    <d v="2012-02-02T00:00:00"/>
    <d v="2012-02-05T00:00:00"/>
    <n v="15000"/>
    <x v="0"/>
    <d v="2012-02-05T00:00:00"/>
    <s v="Y"/>
    <s v="SURETY"/>
    <s v="GUILTY PLEA - NO JURY"/>
    <n v="4"/>
    <n v="303"/>
    <n v="4"/>
    <n v="7"/>
    <n v="4"/>
    <m/>
    <m/>
    <m/>
    <m/>
    <m/>
    <m/>
    <m/>
    <m/>
    <d v="1965-10-28T00:00:00"/>
    <s v="M"/>
    <s v="H"/>
    <s v="HISPANIC"/>
    <s v="HISPANIC"/>
    <s v="208"/>
    <s v="CONVICTED"/>
    <n v="14"/>
    <s v="STJ"/>
    <m/>
    <n v="12"/>
    <m/>
    <s v="BURGLARY OF A BUILDING"/>
    <m/>
    <s v="FS"/>
    <s v="BURGLARY"/>
    <m/>
    <m/>
    <m/>
    <m/>
    <m/>
    <m/>
    <m/>
    <m/>
    <m/>
    <s v="Hired Attorney"/>
    <m/>
    <m/>
    <n v="4"/>
    <n v="302"/>
    <n v="303"/>
    <n v="46.166666666666664"/>
    <n v="0"/>
    <n v="-298"/>
    <s v="CONVICTION"/>
    <x v="1"/>
    <s v="Y"/>
    <m/>
    <s v="CONVICTION"/>
    <s v="Y"/>
    <x v="1"/>
    <x v="0"/>
    <s v="Y"/>
    <n v="1.3201320132013201E-2"/>
    <n v="1.3245033112582781E-2"/>
    <n v="4.3712980569579965E-5"/>
    <n v="0"/>
    <n v="-4"/>
    <n v="0"/>
    <n v="4"/>
    <e v="#VALUE!"/>
    <n v="4"/>
    <n v="0"/>
    <n v="298"/>
    <n v="3"/>
    <s v="Y"/>
    <m/>
    <s v="0-10 DAYS"/>
    <n v="1"/>
    <x v="0"/>
  </r>
  <r>
    <n v="972"/>
    <s v="N"/>
    <s v="N"/>
    <n v="516054"/>
    <n v="6"/>
    <d v="2012-02-05T00:00:00"/>
    <d v="2012-02-07T00:00:00"/>
    <n v="516054"/>
    <d v="2012-02-06T00:00:00"/>
    <d v="2012-02-07T00:00:00"/>
    <s v="NO BOND"/>
    <x v="1"/>
    <m/>
    <s v="N"/>
    <s v="NONE"/>
    <s v="GUILTY PLEA - NO JURY"/>
    <n v="2"/>
    <n v="3"/>
    <n v="14"/>
    <n v="3"/>
    <n v="10"/>
    <m/>
    <m/>
    <m/>
    <m/>
    <m/>
    <m/>
    <m/>
    <m/>
    <d v="1947-08-15T00:00:00"/>
    <s v="M"/>
    <s v="B"/>
    <s v="BLACK"/>
    <s v="NON-HISPANIC"/>
    <s v="208"/>
    <s v="CONVICTED"/>
    <n v="1"/>
    <s v="TDC"/>
    <n v="3"/>
    <m/>
    <m/>
    <s v="POSS CS PG 1  1 - 4 GRAMS"/>
    <m/>
    <s v="F3"/>
    <s v="POSS DRUG"/>
    <m/>
    <m/>
    <m/>
    <m/>
    <m/>
    <m/>
    <m/>
    <m/>
    <m/>
    <s v="Appointed Attorney"/>
    <m/>
    <m/>
    <n v="2"/>
    <n v="2"/>
    <n v="3"/>
    <n v="64.344262295081961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n v="1"/>
    <s v="Y"/>
    <m/>
    <s v="0-10 DAYS"/>
    <n v="1"/>
    <x v="0"/>
  </r>
  <r>
    <n v="2989"/>
    <s v="N"/>
    <s v="N"/>
    <n v="517662"/>
    <n v="4"/>
    <d v="2012-04-20T00:00:00"/>
    <d v="2012-05-17T00:00:00"/>
    <n v="517662"/>
    <d v="2012-04-20T00:00:00"/>
    <d v="2012-05-17T00:00:00"/>
    <s v="NO BOND"/>
    <x v="1"/>
    <m/>
    <s v="N"/>
    <s v="NONE"/>
    <s v="GUILTY PLEA - NO JURY"/>
    <n v="28"/>
    <n v="28"/>
    <n v="1"/>
    <n v="1"/>
    <n v="1"/>
    <m/>
    <m/>
    <m/>
    <m/>
    <m/>
    <m/>
    <m/>
    <m/>
    <d v="1964-05-07T00:00:00"/>
    <s v="M"/>
    <s v="W"/>
    <s v="WHITE"/>
    <s v="NULL"/>
    <s v="262"/>
    <s v="CONVICTED"/>
    <n v="3"/>
    <s v="HCJ"/>
    <m/>
    <m/>
    <n v="180"/>
    <s v="POSS CS PG 1 &lt;1G"/>
    <m/>
    <s v="FS"/>
    <s v="POSS DRUG"/>
    <m/>
    <m/>
    <m/>
    <m/>
    <m/>
    <m/>
    <m/>
    <m/>
    <m/>
    <s v="Appointed Attorney"/>
    <m/>
    <m/>
    <n v="28"/>
    <n v="28"/>
    <n v="28"/>
    <n v="47.855191256830601"/>
    <n v="0"/>
    <n v="0"/>
    <s v="CONVICTION"/>
    <x v="0"/>
    <s v="N"/>
    <m/>
    <s v="CONVICTION"/>
    <s v="Y"/>
    <x v="0"/>
    <x v="0"/>
    <s v="Y"/>
    <n v="1"/>
    <n v="1"/>
    <n v="0"/>
    <n v="0"/>
    <n v="-28"/>
    <n v="0"/>
    <n v="28"/>
    <e v="#VALUE!"/>
    <n v="28"/>
    <n v="0"/>
    <n v="0"/>
    <n v="27"/>
    <s v="Y"/>
    <m/>
    <s v="11-30 DAYS"/>
    <n v="2"/>
    <x v="0"/>
  </r>
  <r>
    <n v="1308"/>
    <s v="N"/>
    <s v="N"/>
    <n v="517967"/>
    <n v="5"/>
    <d v="2012-02-17T00:00:00"/>
    <d v="2012-07-19T00:00:00"/>
    <n v="517967"/>
    <d v="2012-02-18T00:00:00"/>
    <d v="2012-07-19T00:00:00"/>
    <n v="15000"/>
    <x v="0"/>
    <m/>
    <s v="N"/>
    <s v="NONE"/>
    <s v="GUILTY PLEA - NO JURY"/>
    <n v="153"/>
    <n v="154"/>
    <n v="10"/>
    <n v="6"/>
    <n v="7"/>
    <m/>
    <m/>
    <m/>
    <m/>
    <m/>
    <m/>
    <m/>
    <m/>
    <d v="1961-09-14T00:00:00"/>
    <s v="M"/>
    <s v="B"/>
    <s v="BLACK"/>
    <s v="NON-HISPANIC"/>
    <s v="176"/>
    <s v="CONVICTED"/>
    <n v="5"/>
    <s v="STJ"/>
    <m/>
    <n v="6"/>
    <m/>
    <s v="THEFT $1500-20K"/>
    <m/>
    <s v="FS"/>
    <s v="THEFT"/>
    <m/>
    <m/>
    <m/>
    <m/>
    <m/>
    <m/>
    <m/>
    <m/>
    <m/>
    <s v="Appointed Attorney"/>
    <m/>
    <m/>
    <n v="153"/>
    <n v="153"/>
    <n v="154"/>
    <n v="50.322404371584696"/>
    <n v="0"/>
    <n v="0"/>
    <s v="CONVICTION"/>
    <x v="0"/>
    <s v="N"/>
    <m/>
    <s v="CONVICTION"/>
    <s v="Y"/>
    <x v="0"/>
    <x v="0"/>
    <s v="Y"/>
    <n v="0.99350649350649356"/>
    <n v="1"/>
    <n v="6.4935064935064402E-3"/>
    <n v="0"/>
    <n v="-153"/>
    <n v="0"/>
    <n v="153"/>
    <e v="#VALUE!"/>
    <n v="153"/>
    <n v="0"/>
    <n v="0"/>
    <n v="152"/>
    <s v="Y"/>
    <m/>
    <s v="121-365 DAYS"/>
    <n v="6"/>
    <x v="0"/>
  </r>
  <r>
    <n v="243"/>
    <s v="N"/>
    <s v="N"/>
    <n v="520045"/>
    <n v="4"/>
    <d v="2012-01-11T00:00:00"/>
    <d v="2012-01-12T00:00:00"/>
    <n v="520045"/>
    <d v="2012-01-11T00:00:00"/>
    <d v="2012-01-12T00:00:00"/>
    <n v="15000"/>
    <x v="0"/>
    <m/>
    <s v="N"/>
    <s v="NONE"/>
    <s v="GUILTY PLEA - NO JURY"/>
    <n v="2"/>
    <n v="2"/>
    <n v="7"/>
    <n v="2"/>
    <n v="4"/>
    <m/>
    <m/>
    <m/>
    <m/>
    <m/>
    <m/>
    <m/>
    <m/>
    <d v="1962-06-14T00:00:00"/>
    <s v="M"/>
    <s v="B"/>
    <s v="BLACK"/>
    <s v="NULL"/>
    <s v="174"/>
    <s v="CONVICTED"/>
    <n v="1"/>
    <s v="HCJ"/>
    <m/>
    <m/>
    <n v="180"/>
    <s v="POSS CS PG 1 &lt;1G"/>
    <m/>
    <s v="FS"/>
    <s v="POSS DRUG"/>
    <s v="theft tdc  2yrs5/14/12"/>
    <m/>
    <m/>
    <m/>
    <m/>
    <m/>
    <m/>
    <m/>
    <m/>
    <s v="Appointed Attorney"/>
    <m/>
    <m/>
    <n v="2"/>
    <n v="2"/>
    <n v="2"/>
    <n v="49.475409836065573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n v="1"/>
    <s v="Y"/>
    <m/>
    <s v="0-10 DAYS"/>
    <n v="1"/>
    <x v="0"/>
  </r>
  <r>
    <n v="1317"/>
    <s v="N"/>
    <s v="N"/>
    <n v="528877"/>
    <n v="2"/>
    <d v="2012-02-17T00:00:00"/>
    <d v="2012-11-12T00:00:00"/>
    <n v="528877"/>
    <d v="2012-03-09T00:00:00"/>
    <d v="2012-03-17T00:00:00"/>
    <n v="100000"/>
    <x v="2"/>
    <d v="2012-03-17T00:00:00"/>
    <s v="Y"/>
    <s v="SURETY"/>
    <s v="DEFERRED ADJUDICATION "/>
    <n v="9"/>
    <n v="270"/>
    <n v="0"/>
    <n v="1"/>
    <m/>
    <m/>
    <m/>
    <m/>
    <m/>
    <m/>
    <m/>
    <m/>
    <m/>
    <d v="1942-05-26T00:00:00"/>
    <s v="M"/>
    <s v="B"/>
    <s v="BLACK"/>
    <s v="NULL"/>
    <s v="180"/>
    <s v="DEFERRED"/>
    <n v="15"/>
    <s v="DEFERRED"/>
    <m/>
    <m/>
    <m/>
    <s v="POSS W/INT DEL CS 4G &lt;200 GRAM"/>
    <m/>
    <s v="F2"/>
    <s v="SALE DRUG"/>
    <m/>
    <m/>
    <m/>
    <m/>
    <m/>
    <m/>
    <m/>
    <m/>
    <m/>
    <s v="Hired Attorney"/>
    <m/>
    <m/>
    <n v="9"/>
    <n v="249"/>
    <n v="270"/>
    <n v="69.587431693989075"/>
    <n v="0"/>
    <n v="-240"/>
    <s v="DEFERRED"/>
    <x v="1"/>
    <s v="Y"/>
    <m/>
    <s v="DEFERRED"/>
    <s v="Y"/>
    <x v="1"/>
    <x v="0"/>
    <s v="N"/>
    <n v="3.3333333333333333E-2"/>
    <n v="3.614457831325301E-2"/>
    <n v="2.8112449799196776E-3"/>
    <n v="0"/>
    <n v="-9"/>
    <n v="0"/>
    <n v="9"/>
    <e v="#VALUE!"/>
    <n v="9"/>
    <n v="0"/>
    <n v="240"/>
    <n v="8"/>
    <s v="Y"/>
    <m/>
    <s v="0-10 DAYS"/>
    <n v="1"/>
    <x v="0"/>
  </r>
  <r>
    <n v="19"/>
    <s v="N"/>
    <s v="N"/>
    <n v="531448"/>
    <n v="2"/>
    <d v="2012-01-02T00:00:00"/>
    <d v="2012-06-19T00:00:00"/>
    <n v="531448"/>
    <d v="2012-01-02T00:00:00"/>
    <d v="2012-01-03T00:00:00"/>
    <n v="4500"/>
    <x v="4"/>
    <d v="2012-01-03T00:00:00"/>
    <s v="Y"/>
    <s v="SURETY"/>
    <s v="DEFERRED ADJUDICATION "/>
    <n v="2"/>
    <n v="170"/>
    <n v="0"/>
    <n v="1"/>
    <m/>
    <m/>
    <m/>
    <m/>
    <m/>
    <m/>
    <m/>
    <m/>
    <m/>
    <d v="1960-09-30T00:00:00"/>
    <s v="M"/>
    <s v="H"/>
    <s v="HISPANIC"/>
    <s v="HISPANIC"/>
    <s v="208"/>
    <s v="DEFERRED"/>
    <n v="6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170"/>
    <n v="170"/>
    <n v="51.150273224043715"/>
    <n v="0"/>
    <n v="-168"/>
    <s v="DEFERRED"/>
    <x v="1"/>
    <s v="Y"/>
    <m/>
    <s v="DEFERRED"/>
    <s v="Y"/>
    <x v="1"/>
    <x v="0"/>
    <s v="N"/>
    <n v="1.1764705882352941E-2"/>
    <n v="1.1764705882352941E-2"/>
    <n v="0"/>
    <n v="0"/>
    <n v="-2"/>
    <n v="0"/>
    <n v="2"/>
    <e v="#VALUE!"/>
    <n v="2"/>
    <n v="0"/>
    <n v="168"/>
    <n v="1"/>
    <s v="Y"/>
    <m/>
    <s v="0-10 DAYS"/>
    <n v="1"/>
    <x v="0"/>
  </r>
  <r>
    <n v="2805"/>
    <s v="N"/>
    <s v="N"/>
    <n v="533139"/>
    <n v="5"/>
    <d v="2012-04-13T00:00:00"/>
    <d v="2012-05-16T00:00:00"/>
    <n v="533139"/>
    <d v="2012-04-13T00:00:00"/>
    <d v="2012-05-16T00:00:00"/>
    <n v="15000"/>
    <x v="0"/>
    <m/>
    <s v="N"/>
    <s v="NONE"/>
    <s v="GUILTY PLEA - NO JURY"/>
    <n v="34"/>
    <n v="34"/>
    <n v="7"/>
    <n v="8"/>
    <n v="3"/>
    <n v="1"/>
    <m/>
    <m/>
    <m/>
    <m/>
    <m/>
    <m/>
    <m/>
    <d v="1959-10-22T00:00:00"/>
    <s v="F"/>
    <s v="W"/>
    <s v="WHITE"/>
    <s v="NULL"/>
    <s v="174"/>
    <s v="CONVICTED"/>
    <n v="2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34"/>
    <n v="34"/>
    <n v="34"/>
    <n v="52.368852459016395"/>
    <n v="0"/>
    <n v="0"/>
    <s v="CONVICTION"/>
    <x v="0"/>
    <s v="N"/>
    <m/>
    <s v="CONVICTION"/>
    <s v="Y"/>
    <x v="0"/>
    <x v="0"/>
    <s v="Y"/>
    <n v="1"/>
    <n v="1"/>
    <n v="0"/>
    <n v="0"/>
    <n v="-34"/>
    <n v="0"/>
    <n v="34"/>
    <e v="#VALUE!"/>
    <n v="34"/>
    <n v="0"/>
    <n v="0"/>
    <n v="33"/>
    <s v="Y"/>
    <m/>
    <s v="31-60 DAYS"/>
    <n v="3"/>
    <x v="0"/>
  </r>
  <r>
    <n v="189"/>
    <s v="N"/>
    <s v="N"/>
    <n v="534225"/>
    <n v="1"/>
    <d v="2012-01-09T00:00:00"/>
    <d v="2012-01-10T00:00:00"/>
    <n v="534225"/>
    <d v="2012-01-09T00:00:00"/>
    <d v="2012-01-10T00:00:00"/>
    <s v="NO BOND"/>
    <x v="1"/>
    <m/>
    <s v="N"/>
    <s v="NONE"/>
    <s v="DISMISSED"/>
    <n v="2"/>
    <n v="2"/>
    <n v="3"/>
    <n v="2"/>
    <n v="2"/>
    <m/>
    <m/>
    <m/>
    <m/>
    <m/>
    <m/>
    <m/>
    <m/>
    <d v="1960-11-03T00:00:00"/>
    <s v="M"/>
    <s v="B"/>
    <s v="BLACK"/>
    <s v="NON-HISPANIC"/>
    <s v="232"/>
    <s v="DISMISSED"/>
    <n v="1"/>
    <s v="DISMISSED"/>
    <m/>
    <m/>
    <m/>
    <s v="TAMPER/FABRICATE EVIDENCE"/>
    <m/>
    <s v="F3"/>
    <s v="OTHER FEL"/>
    <m/>
    <m/>
    <m/>
    <m/>
    <m/>
    <m/>
    <m/>
    <m/>
    <m/>
    <s v="Other/Unknown"/>
    <m/>
    <m/>
    <n v="2"/>
    <n v="2"/>
    <n v="2"/>
    <n v="51.076502732240435"/>
    <n v="0"/>
    <n v="0"/>
    <s v="NO CONVICTION"/>
    <x v="0"/>
    <s v="N"/>
    <m/>
    <s v="NO CONVICTION"/>
    <s v="Y"/>
    <x v="0"/>
    <x v="0"/>
    <s v="Y"/>
    <n v="1"/>
    <n v="1"/>
    <n v="0"/>
    <n v="0"/>
    <n v="-2"/>
    <n v="0"/>
    <n v="2"/>
    <e v="#VALUE!"/>
    <n v="2"/>
    <n v="0"/>
    <n v="0"/>
    <n v="1"/>
    <s v="Y"/>
    <m/>
    <s v="0-10 DAYS"/>
    <n v="1"/>
    <x v="0"/>
  </r>
  <r>
    <n v="2839"/>
    <s v="N"/>
    <s v="N"/>
    <n v="535618"/>
    <n v="4"/>
    <d v="2012-04-14T00:00:00"/>
    <d v="2012-04-16T00:00:00"/>
    <n v="535618"/>
    <d v="2012-04-15T00:00:00"/>
    <d v="2012-04-16T00:00:00"/>
    <n v="15000"/>
    <x v="0"/>
    <m/>
    <s v="N"/>
    <s v="NONE"/>
    <s v="GUILTY PLEA - NO JURY"/>
    <n v="2"/>
    <n v="3"/>
    <n v="3"/>
    <n v="4"/>
    <n v="2"/>
    <m/>
    <m/>
    <m/>
    <m/>
    <m/>
    <m/>
    <m/>
    <m/>
    <d v="1965-01-23T00:00:00"/>
    <s v="M"/>
    <s v="H"/>
    <s v="HISPANIC"/>
    <s v="HISPANIC"/>
    <s v="208"/>
    <s v="CONVICTED"/>
    <n v="1"/>
    <s v="HCJ"/>
    <m/>
    <m/>
    <n v="180"/>
    <s v="THEFT UNDER $1500 - 3RD OFF."/>
    <m/>
    <s v="FS"/>
    <s v="THEFT"/>
    <m/>
    <m/>
    <m/>
    <m/>
    <m/>
    <m/>
    <m/>
    <m/>
    <m/>
    <s v="Appointed Attorney"/>
    <m/>
    <m/>
    <n v="2"/>
    <n v="2"/>
    <n v="3"/>
    <n v="47.125683060109289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n v="1"/>
    <s v="Y"/>
    <m/>
    <s v="0-10 DAYS"/>
    <n v="1"/>
    <x v="0"/>
  </r>
  <r>
    <n v="883"/>
    <s v="N"/>
    <s v="Y"/>
    <n v="537137"/>
    <n v="1"/>
    <d v="2012-02-02T00:00:00"/>
    <d v="2012-04-18T00:00:00"/>
    <n v="537137"/>
    <d v="2012-02-03T00:00:00"/>
    <d v="2012-02-05T00:00:00"/>
    <n v="2000"/>
    <x v="5"/>
    <d v="2012-02-05T00:00:00"/>
    <s v="Y"/>
    <s v="SURETY"/>
    <s v="DISMISSED"/>
    <n v="3"/>
    <n v="77"/>
    <n v="0"/>
    <n v="3"/>
    <m/>
    <m/>
    <m/>
    <m/>
    <m/>
    <m/>
    <m/>
    <m/>
    <m/>
    <d v="1955-09-07T00:00:00"/>
    <s v="M"/>
    <s v="B"/>
    <s v="BLACK"/>
    <s v="NULL"/>
    <s v="182"/>
    <s v="DISMISSED"/>
    <n v="5"/>
    <s v="DISMISSED"/>
    <m/>
    <m/>
    <m/>
    <s v="POSS CS PG 1 &lt;1G"/>
    <m/>
    <s v="FS"/>
    <s v="POSS DRUG"/>
    <m/>
    <m/>
    <s v="Y"/>
    <s v="bf 4/9/12"/>
    <m/>
    <m/>
    <m/>
    <d v="2012-09-18T00:00:00"/>
    <n v="271"/>
    <s v="Hired Attorney"/>
    <m/>
    <m/>
    <n v="3"/>
    <n v="76"/>
    <n v="77"/>
    <n v="56.289617486338798"/>
    <n v="0"/>
    <n v="-73"/>
    <s v="NO CONVICTION"/>
    <x v="1"/>
    <s v="Y"/>
    <m/>
    <s v="NO CONVICTION"/>
    <s v="Y"/>
    <x v="1"/>
    <x v="0"/>
    <s v="N"/>
    <n v="3.896103896103896E-2"/>
    <n v="3.9473684210526314E-2"/>
    <n v="5.1264524948735346E-4"/>
    <n v="0"/>
    <n v="-3"/>
    <n v="0"/>
    <n v="3"/>
    <e v="#VALUE!"/>
    <m/>
    <n v="73"/>
    <n v="73"/>
    <n v="-2"/>
    <s v="Y"/>
    <m/>
    <s v="0-10 DAYS"/>
    <n v="1"/>
    <x v="0"/>
  </r>
  <r>
    <n v="284"/>
    <s v="N"/>
    <s v="N"/>
    <n v="538992"/>
    <n v="6"/>
    <d v="2012-01-12T00:00:00"/>
    <d v="2012-02-27T00:00:00"/>
    <n v="538992"/>
    <d v="2012-01-21T00:00:00"/>
    <d v="2012-02-27T00:00:00"/>
    <n v="30000"/>
    <x v="2"/>
    <m/>
    <s v="N"/>
    <s v="NONE"/>
    <s v="GUILTY PLEA - NO JURY"/>
    <n v="38"/>
    <n v="47"/>
    <n v="7"/>
    <n v="9"/>
    <n v="3"/>
    <m/>
    <m/>
    <m/>
    <m/>
    <m/>
    <m/>
    <m/>
    <m/>
    <d v="1965-08-24T00:00:00"/>
    <s v="M"/>
    <s v="B"/>
    <s v="BLACK"/>
    <s v="NON-HISPANIC"/>
    <s v="351"/>
    <s v="CONVICTED"/>
    <n v="3"/>
    <s v="TDC"/>
    <n v="5"/>
    <m/>
    <m/>
    <s v="BURGLARY OF A BUILDING"/>
    <m/>
    <s v="FS"/>
    <s v="BURGLARY"/>
    <m/>
    <m/>
    <m/>
    <m/>
    <m/>
    <m/>
    <m/>
    <m/>
    <m/>
    <s v="Appointed Attorney"/>
    <m/>
    <m/>
    <n v="38"/>
    <n v="38"/>
    <n v="47"/>
    <n v="46.289617486338798"/>
    <n v="0"/>
    <n v="0"/>
    <s v="CONVICTION"/>
    <x v="0"/>
    <s v="N"/>
    <m/>
    <s v="CONVICTION"/>
    <s v="Y"/>
    <x v="0"/>
    <x v="0"/>
    <s v="Y"/>
    <n v="0.80851063829787229"/>
    <n v="1"/>
    <n v="0.19148936170212771"/>
    <n v="0"/>
    <n v="-38"/>
    <n v="0"/>
    <n v="38"/>
    <e v="#VALUE!"/>
    <n v="38"/>
    <n v="0"/>
    <n v="0"/>
    <n v="37"/>
    <s v="Y"/>
    <m/>
    <s v="31-60 DAYS"/>
    <n v="3"/>
    <x v="0"/>
  </r>
  <r>
    <n v="603"/>
    <s v="N"/>
    <s v="N"/>
    <n v="541928"/>
    <n v="5"/>
    <d v="2012-01-24T00:00:00"/>
    <d v="2012-03-27T00:00:00"/>
    <n v="541928"/>
    <d v="2012-01-25T00:00:00"/>
    <d v="2012-03-27T00:00:00"/>
    <n v="15000"/>
    <x v="0"/>
    <m/>
    <s v="N"/>
    <s v="NONE"/>
    <s v="GUILTY PLEA - NO JURY"/>
    <n v="63"/>
    <n v="64"/>
    <n v="7"/>
    <n v="3"/>
    <n v="6"/>
    <m/>
    <m/>
    <m/>
    <m/>
    <m/>
    <m/>
    <m/>
    <m/>
    <d v="1965-11-03T00:00:00"/>
    <s v="M"/>
    <s v="W"/>
    <s v="WHITE"/>
    <s v="NON-HISPANIC"/>
    <s v="338"/>
    <s v="CONVICTED"/>
    <n v="3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63"/>
    <n v="63"/>
    <n v="64"/>
    <n v="46.12841530054645"/>
    <n v="0"/>
    <n v="0"/>
    <s v="CONVICTION"/>
    <x v="0"/>
    <s v="N"/>
    <m/>
    <s v="CONVICTION"/>
    <s v="Y"/>
    <x v="0"/>
    <x v="0"/>
    <s v="Y"/>
    <n v="0.984375"/>
    <n v="1"/>
    <n v="1.5625E-2"/>
    <n v="0"/>
    <n v="-63"/>
    <n v="0"/>
    <n v="63"/>
    <e v="#VALUE!"/>
    <n v="63"/>
    <n v="0"/>
    <n v="0"/>
    <n v="62"/>
    <s v="Y"/>
    <m/>
    <s v="61-90 DAYS"/>
    <n v="4"/>
    <x v="0"/>
  </r>
  <r>
    <n v="2317"/>
    <s v="N"/>
    <s v="N"/>
    <n v="545360"/>
    <n v="1"/>
    <d v="2012-03-28T00:00:00"/>
    <d v="2012-08-29T00:00:00"/>
    <n v="545360"/>
    <d v="2012-03-29T00:00:00"/>
    <d v="2012-08-29T00:00:00"/>
    <n v="15000"/>
    <x v="0"/>
    <m/>
    <s v="N"/>
    <s v="NONE"/>
    <s v="DISMISSED"/>
    <n v="154"/>
    <n v="155"/>
    <n v="3"/>
    <n v="1"/>
    <n v="3"/>
    <m/>
    <m/>
    <m/>
    <m/>
    <m/>
    <m/>
    <m/>
    <m/>
    <d v="1952-04-13T00:00:00"/>
    <s v="F"/>
    <s v="B"/>
    <s v="BLACK"/>
    <s v="NON-HISPANIC"/>
    <s v="228"/>
    <s v="DISMISSED"/>
    <n v="3"/>
    <s v="DISMISSED"/>
    <m/>
    <m/>
    <m/>
    <s v="POSS CS PG 1 &lt;1G"/>
    <m/>
    <s v="FS"/>
    <s v="POSS DRUG"/>
    <m/>
    <m/>
    <m/>
    <m/>
    <m/>
    <m/>
    <m/>
    <m/>
    <m/>
    <s v="Appointed Attorney"/>
    <m/>
    <m/>
    <n v="154"/>
    <n v="154"/>
    <n v="155"/>
    <n v="59.833333333333336"/>
    <n v="0"/>
    <n v="0"/>
    <s v="NO CONVICTION"/>
    <x v="0"/>
    <s v="N"/>
    <m/>
    <s v="NO CONVICTION"/>
    <s v="Y"/>
    <x v="0"/>
    <x v="0"/>
    <s v="Y"/>
    <n v="0.99354838709677418"/>
    <n v="1"/>
    <n v="6.4516129032258229E-3"/>
    <n v="0"/>
    <n v="-154"/>
    <n v="0"/>
    <n v="154"/>
    <e v="#VALUE!"/>
    <n v="154"/>
    <n v="0"/>
    <n v="0"/>
    <n v="153"/>
    <s v="Y"/>
    <m/>
    <s v="121-365 DAYS"/>
    <n v="6"/>
    <x v="0"/>
  </r>
  <r>
    <n v="963"/>
    <s v="N"/>
    <s v="N"/>
    <n v="549379"/>
    <n v="1"/>
    <d v="2012-02-05T00:00:00"/>
    <d v="2012-03-27T00:00:00"/>
    <n v="549379"/>
    <d v="2012-02-05T00:00:00"/>
    <d v="2012-03-27T00:00:00"/>
    <n v="10000"/>
    <x v="3"/>
    <m/>
    <s v="N"/>
    <s v="NONE"/>
    <s v="DISMISSED"/>
    <n v="52"/>
    <n v="52"/>
    <n v="7"/>
    <n v="3"/>
    <n v="6"/>
    <m/>
    <m/>
    <m/>
    <m/>
    <m/>
    <m/>
    <m/>
    <m/>
    <d v="1962-02-25T00:00:00"/>
    <s v="M"/>
    <s v="B"/>
    <s v="BLACK"/>
    <s v="NON-HISPANIC"/>
    <s v="232"/>
    <s v="DISMISSED"/>
    <n v="4"/>
    <s v="DISMISSED"/>
    <m/>
    <m/>
    <m/>
    <s v="POSS CS PG 1  1 - 4 GRAMS"/>
    <m/>
    <s v="F3"/>
    <s v="POSS DRUG"/>
    <m/>
    <m/>
    <m/>
    <m/>
    <m/>
    <m/>
    <m/>
    <m/>
    <m/>
    <s v="Public Defender"/>
    <m/>
    <m/>
    <n v="52"/>
    <n v="52"/>
    <n v="52"/>
    <n v="49.841530054644807"/>
    <n v="0"/>
    <n v="0"/>
    <s v="NO CONVICTION"/>
    <x v="0"/>
    <s v="N"/>
    <m/>
    <s v="NO CONVICTION"/>
    <s v="Y"/>
    <x v="0"/>
    <x v="0"/>
    <s v="Y"/>
    <n v="1"/>
    <n v="1"/>
    <n v="0"/>
    <n v="0"/>
    <n v="-52"/>
    <n v="0"/>
    <n v="52"/>
    <e v="#VALUE!"/>
    <n v="52"/>
    <n v="0"/>
    <n v="0"/>
    <n v="51"/>
    <s v="Y"/>
    <m/>
    <s v="31-60 DAYS"/>
    <n v="3"/>
    <x v="0"/>
  </r>
  <r>
    <n v="1838"/>
    <s v="N"/>
    <s v="N"/>
    <n v="550310"/>
    <s v=""/>
    <d v="2012-03-09T00:00:00"/>
    <m/>
    <n v="550310"/>
    <d v="2012-03-09T00:00:00"/>
    <m/>
    <n v="90000"/>
    <x v="2"/>
    <m/>
    <s v="N"/>
    <s v="NONE"/>
    <s v="INCOMPETENT FOR TRIAL - "/>
    <s v="STILL OPEN"/>
    <s v="STILL OPEN"/>
    <n v="3"/>
    <n v="4"/>
    <n v="3"/>
    <m/>
    <m/>
    <m/>
    <m/>
    <m/>
    <m/>
    <m/>
    <m/>
    <d v="1957-07-09T00:00:00"/>
    <s v="M"/>
    <s v="B"/>
    <s v="BLACK"/>
    <s v="NON-HISPANIC"/>
    <s v="351"/>
    <s v="MHH TEMP"/>
    <m/>
    <m/>
    <m/>
    <m/>
    <m/>
    <s v="ASSAULT-BOD INJ-PUB SERV/RETAL"/>
    <m/>
    <s v="F3"/>
    <s v="ASLT-MURDR"/>
    <m/>
    <m/>
    <m/>
    <m/>
    <m/>
    <m/>
    <m/>
    <m/>
    <m/>
    <s v="Appointed Attorney"/>
    <m/>
    <m/>
    <s v="STILL OPEN"/>
    <s v="STILL OPEN"/>
    <s v="STILL OPEN"/>
    <n v="54.55464480874317"/>
    <n v="0"/>
    <n v="0"/>
    <n v="0"/>
    <x v="0"/>
    <s v="N"/>
    <m/>
    <s v=""/>
    <s v="Y"/>
    <x v="3"/>
    <x v="1"/>
    <s v="Y"/>
    <e v="#VALUE!"/>
    <n v="1"/>
    <e v="#VALUE!"/>
    <e v="#VALUE!"/>
    <n v="40976"/>
    <e v="#VALUE!"/>
    <e v="#VALUE!"/>
    <e v="#VALUE!"/>
    <n v="-40976"/>
    <n v="0"/>
    <n v="0"/>
    <n v="-40977"/>
    <s v="Y"/>
    <e v="#N/A"/>
    <s v="&gt;3YRS"/>
    <n v="9"/>
    <x v="0"/>
  </r>
  <r>
    <n v="2117"/>
    <s v="N"/>
    <s v="N"/>
    <n v="552564"/>
    <n v="5"/>
    <d v="2012-03-20T00:00:00"/>
    <d v="2012-03-21T00:00:00"/>
    <n v="552564"/>
    <d v="2012-03-20T00:00:00"/>
    <d v="2012-03-21T00:00:00"/>
    <n v="15000"/>
    <x v="0"/>
    <m/>
    <s v="N"/>
    <s v="NONE"/>
    <s v="GUILTY PLEA - NO JURY"/>
    <n v="2"/>
    <n v="2"/>
    <n v="11"/>
    <n v="4"/>
    <n v="9"/>
    <m/>
    <m/>
    <m/>
    <m/>
    <m/>
    <m/>
    <m/>
    <m/>
    <d v="1961-03-27T00:00:00"/>
    <s v="M"/>
    <s v="B"/>
    <s v="BLACK"/>
    <s v="NON-HISPANIC"/>
    <s v="228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2"/>
    <n v="2"/>
    <n v="2"/>
    <n v="50.877049180327866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n v="1"/>
    <s v="Y"/>
    <m/>
    <s v="0-10 DAYS"/>
    <n v="1"/>
    <x v="0"/>
  </r>
  <r>
    <n v="124"/>
    <s v="N"/>
    <s v="N"/>
    <n v="553187"/>
    <n v="1"/>
    <d v="2012-01-06T00:00:00"/>
    <d v="2012-01-26T00:00:00"/>
    <n v="553187"/>
    <d v="2012-01-06T00:00:00"/>
    <d v="2012-01-26T00:00:00"/>
    <n v="15000"/>
    <x v="0"/>
    <m/>
    <s v="N"/>
    <s v="NONE"/>
    <s v="DISMISSED"/>
    <n v="21"/>
    <n v="21"/>
    <n v="3"/>
    <n v="0"/>
    <n v="3"/>
    <m/>
    <m/>
    <m/>
    <m/>
    <m/>
    <m/>
    <m/>
    <m/>
    <d v="1954-12-02T00:00:00"/>
    <s v="M"/>
    <s v="W"/>
    <s v="WHITE"/>
    <s v="NON-HISPANIC"/>
    <s v="248"/>
    <s v="DISMISSED"/>
    <n v="2"/>
    <s v="DISMISSED"/>
    <m/>
    <m/>
    <m/>
    <s v="POSS CS PG 2 &lt;1GRAM"/>
    <m/>
    <s v="FS"/>
    <s v="POSS DRUG"/>
    <m/>
    <m/>
    <m/>
    <m/>
    <m/>
    <m/>
    <m/>
    <m/>
    <m/>
    <s v="Appointed Attorney"/>
    <m/>
    <m/>
    <n v="21"/>
    <n v="21"/>
    <n v="21"/>
    <n v="56.978142076502735"/>
    <n v="0"/>
    <n v="0"/>
    <s v="NO CONVICTION"/>
    <x v="0"/>
    <s v="N"/>
    <m/>
    <s v="NO CONVICTION"/>
    <s v="Y"/>
    <x v="0"/>
    <x v="0"/>
    <s v="Y"/>
    <n v="1"/>
    <n v="1"/>
    <n v="0"/>
    <n v="0"/>
    <n v="-21"/>
    <n v="0"/>
    <n v="21"/>
    <e v="#VALUE!"/>
    <n v="21"/>
    <n v="0"/>
    <n v="0"/>
    <n v="20"/>
    <s v="Y"/>
    <m/>
    <s v="11-30 DAYS"/>
    <n v="2"/>
    <x v="0"/>
  </r>
  <r>
    <n v="896"/>
    <s v="N"/>
    <s v="N"/>
    <n v="553570"/>
    <n v="5"/>
    <d v="2012-02-03T00:00:00"/>
    <d v="2012-02-06T00:00:00"/>
    <n v="553570"/>
    <d v="2012-02-03T00:00:00"/>
    <d v="2012-02-06T00:00:00"/>
    <n v="15000"/>
    <x v="0"/>
    <m/>
    <s v="N"/>
    <s v="NONE"/>
    <s v="GUILTY PLEA - NO JURY"/>
    <n v="4"/>
    <n v="4"/>
    <n v="6"/>
    <n v="10"/>
    <n v="2"/>
    <m/>
    <m/>
    <m/>
    <m/>
    <m/>
    <m/>
    <m/>
    <m/>
    <d v="1963-01-02T00:00:00"/>
    <s v="M"/>
    <s v="W"/>
    <s v="WHITE"/>
    <s v="NON-HISPANIC"/>
    <s v="184"/>
    <s v="CONVICTED"/>
    <n v="1"/>
    <s v="STJ"/>
    <m/>
    <n v="6"/>
    <m/>
    <s v="MAN/DEL CS PG I &lt;1GRAM"/>
    <m/>
    <s v="FS"/>
    <s v="SALE DRUG"/>
    <m/>
    <m/>
    <m/>
    <m/>
    <m/>
    <m/>
    <m/>
    <m/>
    <m/>
    <s v="Appointed Attorney"/>
    <m/>
    <m/>
    <n v="4"/>
    <n v="4"/>
    <n v="4"/>
    <n v="48.986338797814206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n v="3"/>
    <s v="Y"/>
    <m/>
    <s v="0-10 DAYS"/>
    <n v="1"/>
    <x v="0"/>
  </r>
  <r>
    <n v="1152"/>
    <s v="N"/>
    <s v="N"/>
    <n v="555487"/>
    <n v="5"/>
    <d v="2012-02-11T00:00:00"/>
    <d v="2012-03-09T00:00:00"/>
    <n v="555487"/>
    <d v="2012-02-11T00:00:00"/>
    <d v="2012-03-09T00:00:00"/>
    <n v="25000"/>
    <x v="2"/>
    <m/>
    <s v="N"/>
    <s v="NONE"/>
    <s v="GUILTY PLEA - NO JURY"/>
    <n v="28"/>
    <n v="28"/>
    <n v="5"/>
    <n v="2"/>
    <n v="5"/>
    <m/>
    <m/>
    <m/>
    <m/>
    <m/>
    <m/>
    <m/>
    <m/>
    <d v="1953-09-12T00:00:00"/>
    <s v="M"/>
    <s v="W"/>
    <s v="WHITE"/>
    <s v="NULL"/>
    <s v="248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28"/>
    <n v="28"/>
    <n v="28"/>
    <n v="58.295081967213115"/>
    <n v="0"/>
    <n v="0"/>
    <s v="CONVICTION"/>
    <x v="0"/>
    <s v="N"/>
    <m/>
    <s v="CONVICTION"/>
    <s v="Y"/>
    <x v="0"/>
    <x v="0"/>
    <s v="Y"/>
    <n v="1"/>
    <n v="1"/>
    <n v="0"/>
    <n v="0"/>
    <n v="-28"/>
    <n v="0"/>
    <n v="28"/>
    <e v="#VALUE!"/>
    <n v="28"/>
    <n v="0"/>
    <n v="0"/>
    <n v="27"/>
    <s v="Y"/>
    <m/>
    <s v="11-30 DAYS"/>
    <n v="2"/>
    <x v="0"/>
  </r>
  <r>
    <n v="1208"/>
    <s v="N"/>
    <s v="N"/>
    <n v="555552"/>
    <n v="3"/>
    <d v="2012-02-14T00:00:00"/>
    <d v="2012-02-15T00:00:00"/>
    <n v="555552"/>
    <d v="2012-02-14T00:00:00"/>
    <d v="2012-02-15T00:00:00"/>
    <n v="5000"/>
    <x v="4"/>
    <m/>
    <s v="N"/>
    <s v="NONE"/>
    <s v="GUILTY PLEA - NO JURY"/>
    <n v="2"/>
    <n v="2"/>
    <n v="2"/>
    <n v="0"/>
    <m/>
    <n v="2"/>
    <m/>
    <m/>
    <m/>
    <m/>
    <m/>
    <m/>
    <m/>
    <d v="1951-11-03T00:00:00"/>
    <s v="M"/>
    <s v="W"/>
    <s v="WHITE"/>
    <s v="NON-HISPANIC"/>
    <s v="208"/>
    <s v="CONVICTED"/>
    <n v="1"/>
    <s v="PROBATION"/>
    <m/>
    <m/>
    <m/>
    <s v="POSS CS PG 1  1 - 4 GRAMS"/>
    <m/>
    <s v="F3"/>
    <s v="POSS DRUG"/>
    <m/>
    <m/>
    <m/>
    <m/>
    <m/>
    <m/>
    <m/>
    <m/>
    <m/>
    <s v="Appointed Attorney"/>
    <m/>
    <m/>
    <n v="2"/>
    <n v="2"/>
    <n v="2"/>
    <n v="60.158469945355193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n v="1"/>
    <s v="Y"/>
    <m/>
    <s v="0-10 DAYS"/>
    <n v="1"/>
    <x v="0"/>
  </r>
  <r>
    <n v="713"/>
    <s v="N"/>
    <s v="N"/>
    <n v="564794"/>
    <n v="2"/>
    <d v="2012-01-28T00:00:00"/>
    <d v="2013-04-18T00:00:00"/>
    <n v="564794"/>
    <d v="2012-03-06T00:00:00"/>
    <d v="2012-03-13T00:00:00"/>
    <n v="10000"/>
    <x v="3"/>
    <d v="2012-03-13T00:00:00"/>
    <s v="Y"/>
    <s v="SURETY"/>
    <s v="DEFERRED ADJUDICATION "/>
    <n v="8"/>
    <n v="447"/>
    <n v="1"/>
    <n v="1"/>
    <m/>
    <n v="1"/>
    <m/>
    <m/>
    <m/>
    <m/>
    <m/>
    <m/>
    <m/>
    <d v="1962-05-20T00:00:00"/>
    <s v="M"/>
    <s v="H"/>
    <s v="HISPANIC"/>
    <s v="HISPANIC"/>
    <s v="209"/>
    <s v="NULL"/>
    <n v="12"/>
    <s v="DEFERRED"/>
    <m/>
    <m/>
    <m/>
    <s v="AGG ASSAULT-FAMILY MEMBER"/>
    <m/>
    <s v="F2"/>
    <s v="ASLT-MURDR"/>
    <s v="misd filed 1/20/12 pend- dism"/>
    <m/>
    <m/>
    <m/>
    <m/>
    <m/>
    <m/>
    <m/>
    <m/>
    <s v="Appointed Attorney"/>
    <m/>
    <m/>
    <n v="8"/>
    <n v="409"/>
    <n v="447"/>
    <n v="49.590163934426229"/>
    <n v="0"/>
    <n v="-401"/>
    <s v="DEFERRED"/>
    <x v="1"/>
    <s v="Y"/>
    <m/>
    <s v=""/>
    <s v="Y"/>
    <x v="1"/>
    <x v="0"/>
    <s v="Y"/>
    <n v="1.7897091722595078E-2"/>
    <n v="1.9559902200488997E-2"/>
    <n v="1.6628104778939196E-3"/>
    <n v="0"/>
    <n v="-8"/>
    <n v="0"/>
    <n v="8"/>
    <e v="#VALUE!"/>
    <n v="8"/>
    <n v="0"/>
    <n v="401"/>
    <n v="7"/>
    <s v="Y"/>
    <m/>
    <s v="0-10 DAYS"/>
    <n v="1"/>
    <x v="0"/>
  </r>
  <r>
    <n v="1694"/>
    <s v="N"/>
    <s v="N"/>
    <n v="581736"/>
    <n v="2"/>
    <d v="2012-03-03T00:00:00"/>
    <d v="2012-07-25T00:00:00"/>
    <n v="581736"/>
    <d v="2012-03-03T00:00:00"/>
    <d v="2012-03-06T00:00:00"/>
    <n v="15000"/>
    <x v="0"/>
    <d v="2012-03-06T00:00:00"/>
    <s v="Y"/>
    <s v="SURETY"/>
    <s v="DEFERRED ADJUDICATION "/>
    <n v="4"/>
    <n v="145"/>
    <n v="9"/>
    <n v="4"/>
    <n v="1"/>
    <n v="1"/>
    <m/>
    <m/>
    <m/>
    <m/>
    <m/>
    <m/>
    <m/>
    <d v="1956-02-09T00:00:00"/>
    <s v="F"/>
    <s v="B"/>
    <s v="BLACK"/>
    <s v="NULL"/>
    <s v="184"/>
    <s v="DEFERRED"/>
    <n v="7"/>
    <s v="DEFERRED"/>
    <m/>
    <m/>
    <m/>
    <s v="THEFT UNDER $1500 - 3RD OFF."/>
    <m/>
    <s v="FS"/>
    <s v="THEFT"/>
    <s v="prob vio 9/7/12 cont mh crt "/>
    <m/>
    <m/>
    <m/>
    <m/>
    <m/>
    <m/>
    <m/>
    <m/>
    <s v="Hired Attorney"/>
    <m/>
    <m/>
    <n v="4"/>
    <n v="145"/>
    <n v="145"/>
    <n v="55.948087431693992"/>
    <n v="0"/>
    <n v="-141"/>
    <s v="DEFERRED"/>
    <x v="1"/>
    <s v="Y"/>
    <m/>
    <s v="DEFERRED"/>
    <s v="Y"/>
    <x v="1"/>
    <x v="0"/>
    <s v="Y"/>
    <n v="2.7586206896551724E-2"/>
    <n v="2.7586206896551724E-2"/>
    <n v="0"/>
    <n v="0"/>
    <n v="-4"/>
    <n v="0"/>
    <n v="4"/>
    <e v="#VALUE!"/>
    <n v="4"/>
    <n v="0"/>
    <n v="141"/>
    <n v="3"/>
    <s v="Y"/>
    <m/>
    <s v="0-10 DAYS"/>
    <n v="1"/>
    <x v="0"/>
  </r>
  <r>
    <n v="1956"/>
    <s v="N"/>
    <s v="N"/>
    <n v="585262"/>
    <n v="4"/>
    <d v="2012-03-14T00:00:00"/>
    <d v="2012-03-19T00:00:00"/>
    <n v="585262"/>
    <d v="2012-03-14T00:00:00"/>
    <d v="2012-03-19T00:00:00"/>
    <n v="15000"/>
    <x v="0"/>
    <m/>
    <s v="N"/>
    <s v="NONE"/>
    <s v="GUILTY PLEA - NO JURY"/>
    <n v="6"/>
    <n v="6"/>
    <n v="6"/>
    <n v="3"/>
    <n v="2"/>
    <m/>
    <m/>
    <m/>
    <m/>
    <m/>
    <m/>
    <m/>
    <m/>
    <d v="1957-04-19T00:00:00"/>
    <s v="M"/>
    <s v="H"/>
    <s v="HISPANIC"/>
    <s v="HISPANIC"/>
    <s v="228"/>
    <s v="CONVICTED"/>
    <n v="1"/>
    <s v="HCJ"/>
    <m/>
    <m/>
    <n v="365"/>
    <s v="POSS CS PG 1 &lt;1G"/>
    <m/>
    <s v="FS"/>
    <s v="POSS DRUG"/>
    <m/>
    <m/>
    <m/>
    <m/>
    <m/>
    <m/>
    <m/>
    <m/>
    <m/>
    <s v="Appointed Attorney"/>
    <m/>
    <m/>
    <n v="6"/>
    <n v="6"/>
    <n v="6"/>
    <n v="54.789617486338798"/>
    <n v="0"/>
    <n v="0"/>
    <s v="CONVICTION"/>
    <x v="0"/>
    <s v="N"/>
    <m/>
    <s v="CONVICTION"/>
    <s v="Y"/>
    <x v="0"/>
    <x v="0"/>
    <s v="Y"/>
    <n v="1"/>
    <n v="1"/>
    <n v="0"/>
    <n v="0"/>
    <n v="-6"/>
    <n v="0"/>
    <n v="6"/>
    <e v="#VALUE!"/>
    <n v="6"/>
    <n v="0"/>
    <n v="0"/>
    <n v="5"/>
    <s v="Y"/>
    <m/>
    <s v="0-10 DAYS"/>
    <n v="1"/>
    <x v="0"/>
  </r>
  <r>
    <n v="2977"/>
    <s v="N"/>
    <s v="N"/>
    <n v="586496"/>
    <n v="5"/>
    <d v="2012-04-19T00:00:00"/>
    <d v="2012-04-23T00:00:00"/>
    <n v="586496"/>
    <d v="2012-04-20T00:00:00"/>
    <d v="2012-04-23T00:00:00"/>
    <n v="15000"/>
    <x v="0"/>
    <m/>
    <s v="N"/>
    <s v="NONE"/>
    <s v="GUILTY PLEA - NO JURY"/>
    <n v="4"/>
    <n v="5"/>
    <n v="3"/>
    <n v="1"/>
    <n v="1"/>
    <m/>
    <m/>
    <m/>
    <m/>
    <m/>
    <m/>
    <m/>
    <m/>
    <d v="1966-12-26T00:00:00"/>
    <s v="M"/>
    <s v="B"/>
    <s v="BLACK"/>
    <s v="NULL"/>
    <s v="248"/>
    <s v="CONVICTED"/>
    <n v="1"/>
    <s v="STJ"/>
    <m/>
    <n v="12"/>
    <m/>
    <s v="POSS CS PG 1 &lt;1G"/>
    <m/>
    <s v="FS"/>
    <s v="POSS DRUG"/>
    <m/>
    <m/>
    <m/>
    <m/>
    <m/>
    <m/>
    <m/>
    <m/>
    <m/>
    <s v="Appointed Attorney"/>
    <m/>
    <m/>
    <n v="4"/>
    <n v="4"/>
    <n v="5"/>
    <n v="45.221311475409834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n v="3"/>
    <s v="Y"/>
    <m/>
    <s v="0-10 DAYS"/>
    <n v="1"/>
    <x v="0"/>
  </r>
  <r>
    <n v="2757"/>
    <s v="N"/>
    <s v="N"/>
    <n v="587039"/>
    <n v="6"/>
    <d v="2012-04-12T00:00:00"/>
    <d v="2012-11-27T00:00:00"/>
    <n v="587039"/>
    <d v="2012-04-12T00:00:00"/>
    <d v="2012-11-27T00:00:00"/>
    <s v="NO BOND"/>
    <x v="1"/>
    <m/>
    <s v="N"/>
    <s v="NONE"/>
    <s v="GUILTY PLEA - NO JURY"/>
    <n v="230"/>
    <n v="230"/>
    <n v="7"/>
    <n v="7"/>
    <n v="7"/>
    <m/>
    <m/>
    <m/>
    <m/>
    <m/>
    <m/>
    <m/>
    <m/>
    <d v="1958-02-14T00:00:00"/>
    <s v="M"/>
    <s v="B"/>
    <s v="BLACK"/>
    <s v="NON-HISPANIC"/>
    <s v="184"/>
    <s v="CONVICTED"/>
    <n v="11"/>
    <s v="TDC"/>
    <n v="2"/>
    <m/>
    <m/>
    <s v="POSS CS PG 1  1 - 4 GRAMS"/>
    <m/>
    <s v="F3"/>
    <s v="POSS DRUG"/>
    <s v="mh FOUND COMP"/>
    <m/>
    <m/>
    <m/>
    <m/>
    <m/>
    <m/>
    <m/>
    <m/>
    <s v="Appointed Attorney"/>
    <m/>
    <m/>
    <n v="230"/>
    <n v="230"/>
    <n v="230"/>
    <n v="54.046448087431692"/>
    <n v="0"/>
    <n v="0"/>
    <s v="CONVICTION"/>
    <x v="0"/>
    <s v="N"/>
    <m/>
    <s v="CONVICTION"/>
    <s v="Y"/>
    <x v="0"/>
    <x v="0"/>
    <s v="Y"/>
    <n v="1"/>
    <n v="1"/>
    <n v="0"/>
    <n v="0"/>
    <n v="-230"/>
    <n v="0"/>
    <n v="230"/>
    <e v="#VALUE!"/>
    <n v="230"/>
    <n v="0"/>
    <n v="0"/>
    <n v="229"/>
    <s v="Y"/>
    <m/>
    <s v="121-365 DAYS"/>
    <n v="6"/>
    <x v="0"/>
  </r>
  <r>
    <n v="127"/>
    <s v="N"/>
    <s v="N"/>
    <n v="591758"/>
    <n v="5"/>
    <d v="2012-01-06T00:00:00"/>
    <d v="2012-01-09T00:00:00"/>
    <n v="591758"/>
    <d v="2012-01-06T00:00:00"/>
    <d v="2012-01-09T00:00:00"/>
    <n v="15000"/>
    <x v="0"/>
    <m/>
    <s v="N"/>
    <s v="NONE"/>
    <s v="GUILTY PLEA - NO JURY"/>
    <n v="4"/>
    <n v="4"/>
    <n v="3"/>
    <n v="0"/>
    <n v="1"/>
    <m/>
    <m/>
    <m/>
    <m/>
    <m/>
    <m/>
    <m/>
    <m/>
    <d v="1961-12-13T00:00:00"/>
    <s v="M"/>
    <s v="B"/>
    <s v="BLACK"/>
    <s v="NON-HISPANIC"/>
    <s v="351"/>
    <s v="CONVICTED"/>
    <n v="1"/>
    <s v="STJ"/>
    <m/>
    <n v="8"/>
    <m/>
    <s v="POSS CS PG 1 &lt;1G"/>
    <m/>
    <s v="FS"/>
    <s v="POSS DRUG"/>
    <m/>
    <m/>
    <m/>
    <m/>
    <m/>
    <m/>
    <m/>
    <m/>
    <m/>
    <s v="Appointed Attorney"/>
    <m/>
    <m/>
    <n v="4"/>
    <n v="4"/>
    <n v="4"/>
    <n v="49.961748633879779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n v="3"/>
    <s v="Y"/>
    <m/>
    <s v="0-10 DAYS"/>
    <n v="1"/>
    <x v="0"/>
  </r>
  <r>
    <n v="2632"/>
    <s v="N"/>
    <s v="N"/>
    <n v="592419"/>
    <n v="6"/>
    <d v="2012-04-07T00:00:00"/>
    <d v="2012-06-19T00:00:00"/>
    <n v="592419"/>
    <d v="2012-04-08T00:00:00"/>
    <d v="2012-06-19T00:00:00"/>
    <n v="30000"/>
    <x v="2"/>
    <m/>
    <s v="N"/>
    <s v="NONE"/>
    <s v="GUILTY PLEA - NO JURY"/>
    <n v="73"/>
    <n v="74"/>
    <n v="7"/>
    <n v="7"/>
    <n v="5"/>
    <m/>
    <m/>
    <m/>
    <m/>
    <m/>
    <m/>
    <m/>
    <m/>
    <d v="1966-08-09T00:00:00"/>
    <s v="M"/>
    <s v="W"/>
    <s v="WHITE"/>
    <s v="NON-HISPANIC"/>
    <s v="174"/>
    <s v="CONVICTED"/>
    <n v="3"/>
    <s v="TDC"/>
    <n v="10"/>
    <m/>
    <m/>
    <s v="evading arrest/detention w/veh "/>
    <m/>
    <s v="F3"/>
    <s v="OTHER FEL"/>
    <m/>
    <m/>
    <m/>
    <m/>
    <m/>
    <m/>
    <m/>
    <m/>
    <m/>
    <s v="Appointed Attorney"/>
    <m/>
    <m/>
    <n v="73"/>
    <n v="73"/>
    <n v="74"/>
    <n v="45.568306010928964"/>
    <n v="0"/>
    <n v="0"/>
    <s v="CONVICTION"/>
    <x v="0"/>
    <s v="N"/>
    <m/>
    <s v="CONVICTION"/>
    <s v="Y"/>
    <x v="0"/>
    <x v="0"/>
    <s v="Y"/>
    <n v="0.98648648648648651"/>
    <n v="1"/>
    <n v="1.3513513513513487E-2"/>
    <n v="0"/>
    <n v="-73"/>
    <n v="0"/>
    <n v="73"/>
    <e v="#VALUE!"/>
    <n v="73"/>
    <n v="0"/>
    <n v="0"/>
    <n v="72"/>
    <s v="Y"/>
    <m/>
    <s v="61-90 DAYS"/>
    <n v="4"/>
    <x v="0"/>
  </r>
  <r>
    <n v="926"/>
    <s v="N"/>
    <s v="N"/>
    <n v="592943"/>
    <n v="6"/>
    <d v="2012-02-04T00:00:00"/>
    <d v="2012-04-25T00:00:00"/>
    <n v="592943"/>
    <d v="2012-02-04T00:00:00"/>
    <d v="2012-04-25T00:00:00"/>
    <n v="10000"/>
    <x v="3"/>
    <m/>
    <s v="N"/>
    <s v="NONE"/>
    <s v="GUILTY PLEA - NO JURY"/>
    <n v="82"/>
    <n v="82"/>
    <n v="2"/>
    <n v="6"/>
    <n v="1"/>
    <m/>
    <m/>
    <m/>
    <m/>
    <m/>
    <m/>
    <m/>
    <m/>
    <d v="1965-10-28T00:00:00"/>
    <s v="M"/>
    <s v="H"/>
    <s v="HISPANIC"/>
    <s v="HISPANIC"/>
    <s v="338"/>
    <s v="CONVICTED"/>
    <n v="4"/>
    <s v="TDC"/>
    <n v="2"/>
    <m/>
    <m/>
    <s v="POSS CS PG 1  1 - 4 GRAMS"/>
    <m/>
    <s v="F3"/>
    <s v="POSS DRUG"/>
    <s v="fel dwi conv 7/20/12 2 y tdc"/>
    <m/>
    <m/>
    <m/>
    <m/>
    <m/>
    <m/>
    <m/>
    <m/>
    <s v="Appointed Attorney"/>
    <m/>
    <m/>
    <n v="82"/>
    <n v="82"/>
    <n v="82"/>
    <n v="46.174863387978142"/>
    <n v="0"/>
    <n v="0"/>
    <s v="CONVICTION"/>
    <x v="0"/>
    <s v="N"/>
    <m/>
    <s v="CONVICTION"/>
    <s v="Y"/>
    <x v="0"/>
    <x v="0"/>
    <s v="Y"/>
    <n v="1"/>
    <n v="1"/>
    <n v="0"/>
    <n v="0"/>
    <n v="-82"/>
    <n v="0"/>
    <n v="82"/>
    <e v="#VALUE!"/>
    <n v="82"/>
    <n v="0"/>
    <n v="0"/>
    <n v="81"/>
    <s v="Y"/>
    <m/>
    <s v="61-90 DAYS"/>
    <n v="4"/>
    <x v="0"/>
  </r>
  <r>
    <n v="543"/>
    <s v="N"/>
    <s v="N"/>
    <n v="594059"/>
    <n v="1"/>
    <d v="2012-01-22T00:00:00"/>
    <d v="2012-03-12T00:00:00"/>
    <n v="594059"/>
    <d v="2012-01-24T00:00:00"/>
    <d v="2012-02-03T00:00:00"/>
    <n v="60000"/>
    <x v="2"/>
    <d v="2012-02-03T00:00:00"/>
    <s v="Y"/>
    <s v="SURETYPTRc"/>
    <s v="DISMISSED"/>
    <n v="11"/>
    <n v="51"/>
    <n v="3"/>
    <n v="1"/>
    <n v="3"/>
    <m/>
    <m/>
    <m/>
    <m/>
    <m/>
    <m/>
    <m/>
    <m/>
    <d v="1965-10-29T00:00:00"/>
    <s v="M"/>
    <s v="B"/>
    <s v="BLACK"/>
    <s v="NULL"/>
    <s v="338"/>
    <s v="DISMISSED"/>
    <n v="6"/>
    <s v="DISMISSED"/>
    <m/>
    <m/>
    <m/>
    <s v="ROBBERY-BODILY INJURY"/>
    <m/>
    <s v="F2"/>
    <s v="ROBBERY"/>
    <m/>
    <m/>
    <m/>
    <m/>
    <m/>
    <m/>
    <m/>
    <m/>
    <m/>
    <s v="Hired Attorney"/>
    <m/>
    <m/>
    <n v="11"/>
    <n v="49"/>
    <n v="51"/>
    <n v="46.136612021857921"/>
    <n v="0"/>
    <n v="-38"/>
    <s v="NO CONVICTION"/>
    <x v="1"/>
    <s v="Y"/>
    <m/>
    <s v="NO CONVICTION"/>
    <s v="Y"/>
    <x v="1"/>
    <x v="0"/>
    <s v="Y"/>
    <n v="0.21568627450980393"/>
    <n v="0.22448979591836735"/>
    <n v="8.8035214085634139E-3"/>
    <n v="0"/>
    <n v="-11"/>
    <n v="0"/>
    <n v="11"/>
    <e v="#VALUE!"/>
    <n v="11"/>
    <n v="0"/>
    <n v="38"/>
    <n v="10"/>
    <s v="Y"/>
    <m/>
    <s v="11-30 DAYS"/>
    <n v="2"/>
    <x v="0"/>
  </r>
  <r>
    <n v="2024"/>
    <s v="N"/>
    <s v="N"/>
    <n v="594479"/>
    <n v="4"/>
    <d v="2012-03-17T00:00:00"/>
    <d v="2012-05-15T00:00:00"/>
    <n v="594479"/>
    <d v="2012-03-17T00:00:00"/>
    <d v="2012-05-15T00:00:00"/>
    <n v="5000"/>
    <x v="4"/>
    <m/>
    <s v="N"/>
    <s v="NONE"/>
    <s v="GUILTY PLEA - NO JURY"/>
    <n v="60"/>
    <n v="60"/>
    <n v="3"/>
    <n v="11"/>
    <n v="1"/>
    <m/>
    <m/>
    <m/>
    <m/>
    <m/>
    <m/>
    <m/>
    <m/>
    <d v="1961-01-27T00:00:00"/>
    <s v="M"/>
    <s v="H"/>
    <s v="HISPANIC"/>
    <s v="HISPANIC"/>
    <s v="337"/>
    <s v="CONVICTED"/>
    <n v="3"/>
    <s v="HCJ"/>
    <m/>
    <m/>
    <n v="120"/>
    <s v="THEFT UNDER $1500 - 3RD OFF."/>
    <m/>
    <s v="FS"/>
    <s v="THEFT"/>
    <m/>
    <m/>
    <m/>
    <m/>
    <m/>
    <m/>
    <m/>
    <m/>
    <m/>
    <s v="Appointed Attorney"/>
    <m/>
    <m/>
    <n v="60"/>
    <n v="60"/>
    <n v="60"/>
    <n v="51.030054644808743"/>
    <n v="0"/>
    <n v="0"/>
    <s v="CONVICTION"/>
    <x v="0"/>
    <s v="N"/>
    <m/>
    <s v="CONVICTION"/>
    <s v="Y"/>
    <x v="0"/>
    <x v="0"/>
    <s v="Y"/>
    <n v="1"/>
    <n v="1"/>
    <n v="0"/>
    <n v="0"/>
    <n v="-60"/>
    <n v="0"/>
    <n v="60"/>
    <e v="#VALUE!"/>
    <n v="60"/>
    <n v="0"/>
    <n v="0"/>
    <n v="59"/>
    <s v="Y"/>
    <m/>
    <s v="31-60 DAYS"/>
    <n v="3"/>
    <x v="0"/>
  </r>
  <r>
    <n v="1352"/>
    <s v="N"/>
    <s v="N"/>
    <n v="601169"/>
    <n v="5"/>
    <d v="2012-02-19T00:00:00"/>
    <d v="2012-02-21T00:00:00"/>
    <n v="601169"/>
    <d v="2012-02-20T00:00:00"/>
    <d v="2012-02-21T00:00:00"/>
    <n v="15000"/>
    <x v="0"/>
    <m/>
    <s v="N"/>
    <s v="NONE"/>
    <s v="GUILTY PLEA - NO JURY"/>
    <n v="2"/>
    <n v="3"/>
    <n v="6"/>
    <n v="3"/>
    <n v="5"/>
    <m/>
    <m/>
    <m/>
    <m/>
    <m/>
    <m/>
    <m/>
    <m/>
    <d v="1955-08-03T00:00:00"/>
    <s v="M"/>
    <s v="B"/>
    <s v="BLACK"/>
    <s v="NON-HISPANIC"/>
    <s v="177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56.431693989071036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n v="1"/>
    <s v="Y"/>
    <m/>
    <s v="0-10 DAYS"/>
    <n v="1"/>
    <x v="0"/>
  </r>
  <r>
    <n v="3203"/>
    <s v="N"/>
    <s v="N"/>
    <n v="605069"/>
    <n v="4"/>
    <d v="2012-04-27T00:00:00"/>
    <d v="2012-04-30T00:00:00"/>
    <n v="605069"/>
    <d v="2012-04-28T00:00:00"/>
    <d v="2012-04-30T00:00:00"/>
    <n v="5000"/>
    <x v="4"/>
    <m/>
    <s v="N"/>
    <s v="NONE"/>
    <s v="GUILTY PLEA - NO JURY"/>
    <n v="3"/>
    <n v="4"/>
    <n v="2"/>
    <n v="1"/>
    <n v="1"/>
    <m/>
    <m/>
    <m/>
    <m/>
    <m/>
    <m/>
    <m/>
    <m/>
    <d v="1952-04-27T00:00:00"/>
    <s v="M"/>
    <s v="B"/>
    <s v="BLACK"/>
    <s v="NON-HISPANIC"/>
    <s v="263"/>
    <s v="CONVICTED"/>
    <n v="1"/>
    <s v="HCJ"/>
    <m/>
    <m/>
    <n v="180"/>
    <s v="POSS CS PG 1 &lt;1G"/>
    <m/>
    <s v="FS"/>
    <s v="POSS DRUG"/>
    <m/>
    <m/>
    <m/>
    <m/>
    <m/>
    <m/>
    <m/>
    <m/>
    <m/>
    <s v="Appointed Attorney"/>
    <m/>
    <m/>
    <n v="3"/>
    <n v="3"/>
    <n v="4"/>
    <n v="59.877049180327866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n v="2"/>
    <s v="Y"/>
    <m/>
    <s v="0-10 DAYS"/>
    <n v="1"/>
    <x v="0"/>
  </r>
  <r>
    <n v="1602"/>
    <s v="N"/>
    <s v="N"/>
    <n v="606579"/>
    <n v="5"/>
    <d v="2012-02-29T00:00:00"/>
    <d v="2012-11-09T00:00:00"/>
    <n v="606579"/>
    <d v="2012-07-14T00:00:00"/>
    <d v="2012-11-09T00:00:00"/>
    <n v="40000"/>
    <x v="2"/>
    <m/>
    <s v="N"/>
    <s v="NONE"/>
    <s v="GUILTY PLEA - NO JURY"/>
    <n v="119"/>
    <n v="255"/>
    <n v="4"/>
    <n v="0"/>
    <m/>
    <m/>
    <m/>
    <m/>
    <m/>
    <m/>
    <m/>
    <m/>
    <m/>
    <d v="1954-06-01T00:00:00"/>
    <s v="F"/>
    <s v="B"/>
    <s v="BLACK"/>
    <s v="NON-HISPANIC"/>
    <s v="337"/>
    <s v="CONVICTED"/>
    <n v="6"/>
    <s v="STJ"/>
    <m/>
    <n v="8"/>
    <m/>
    <s v="MAN/DEL CS PG I 1-4 GRAMS"/>
    <m/>
    <s v="F2"/>
    <s v="SALE DRUG"/>
    <m/>
    <m/>
    <m/>
    <m/>
    <m/>
    <m/>
    <m/>
    <m/>
    <m/>
    <s v="Appointed Attorney"/>
    <m/>
    <m/>
    <n v="119"/>
    <n v="119"/>
    <n v="255"/>
    <n v="57.62841530054645"/>
    <n v="0"/>
    <n v="0"/>
    <s v="CONVICTION"/>
    <x v="0"/>
    <s v="N"/>
    <m/>
    <s v="CONVICTION"/>
    <s v="Y"/>
    <x v="0"/>
    <x v="0"/>
    <s v="Y"/>
    <n v="0.46666666666666667"/>
    <n v="1"/>
    <n v="0.53333333333333333"/>
    <n v="0"/>
    <n v="-119"/>
    <n v="0"/>
    <n v="119"/>
    <e v="#VALUE!"/>
    <n v="119"/>
    <n v="0"/>
    <n v="0"/>
    <n v="118"/>
    <s v="Y"/>
    <m/>
    <s v="91-120 DAYS"/>
    <n v="0"/>
    <x v="0"/>
  </r>
  <r>
    <n v="2902"/>
    <s v="N"/>
    <s v="N"/>
    <n v="609541"/>
    <n v="5"/>
    <d v="2012-04-17T00:00:00"/>
    <d v="2012-08-10T00:00:00"/>
    <n v="609541"/>
    <d v="2012-04-18T00:00:00"/>
    <d v="2012-08-10T00:00:00"/>
    <n v="15000"/>
    <x v="0"/>
    <m/>
    <s v="N"/>
    <s v="NONE"/>
    <s v="GUILTY PLEA - NO JURY"/>
    <n v="115"/>
    <n v="116"/>
    <n v="13"/>
    <n v="8"/>
    <n v="4"/>
    <n v="1"/>
    <m/>
    <m/>
    <m/>
    <m/>
    <m/>
    <m/>
    <m/>
    <d v="1963-12-29T00:00:00"/>
    <s v="F"/>
    <s v="B"/>
    <s v="BLACK"/>
    <s v="NON-HISPANIC"/>
    <s v="262"/>
    <s v="CONVICTED"/>
    <n v="6"/>
    <s v="STJ"/>
    <m/>
    <n v="7"/>
    <m/>
    <s v="POSS CS PG 1 &lt;1G"/>
    <m/>
    <s v="FS"/>
    <s v="POSS DRUG"/>
    <m/>
    <m/>
    <m/>
    <m/>
    <m/>
    <m/>
    <m/>
    <m/>
    <m/>
    <s v="Appointed Attorney"/>
    <m/>
    <m/>
    <n v="115"/>
    <n v="115"/>
    <n v="116"/>
    <n v="48.202185792349724"/>
    <n v="0"/>
    <n v="0"/>
    <s v="CONVICTION"/>
    <x v="0"/>
    <s v="N"/>
    <m/>
    <s v="CONVICTION"/>
    <s v="Y"/>
    <x v="0"/>
    <x v="0"/>
    <s v="Y"/>
    <n v="0.99137931034482762"/>
    <n v="1"/>
    <n v="8.6206896551723755E-3"/>
    <n v="0"/>
    <n v="-115"/>
    <n v="0"/>
    <n v="115"/>
    <e v="#VALUE!"/>
    <n v="115"/>
    <n v="0"/>
    <n v="0"/>
    <n v="114"/>
    <s v="Y"/>
    <m/>
    <s v="91-120 DAYS"/>
    <n v="0"/>
    <x v="0"/>
  </r>
  <r>
    <n v="2495"/>
    <s v="N"/>
    <s v="N"/>
    <n v="610775"/>
    <n v="6"/>
    <d v="2012-04-04T00:00:00"/>
    <d v="2012-11-27T00:00:00"/>
    <n v="610775"/>
    <d v="2012-04-04T00:00:00"/>
    <d v="2012-11-27T00:00:00"/>
    <s v="NO BOND"/>
    <x v="1"/>
    <m/>
    <s v="N"/>
    <s v="NONE"/>
    <s v="GUILTY PLEA - NO JURY"/>
    <n v="238"/>
    <n v="238"/>
    <n v="11"/>
    <n v="2"/>
    <n v="5"/>
    <m/>
    <m/>
    <m/>
    <m/>
    <m/>
    <m/>
    <m/>
    <m/>
    <d v="1963-02-08T00:00:00"/>
    <s v="M"/>
    <s v="B"/>
    <s v="BLACK"/>
    <s v="NULL"/>
    <s v="180"/>
    <s v="CONVICTED"/>
    <n v="11"/>
    <s v="TDC"/>
    <n v="11"/>
    <m/>
    <m/>
    <s v="POSS W/INT DEL CS PG1 1G &lt;4 GR"/>
    <m/>
    <s v="F2"/>
    <s v="SALE DRUG"/>
    <m/>
    <m/>
    <m/>
    <m/>
    <m/>
    <m/>
    <m/>
    <m/>
    <m/>
    <s v="Hired Attorney"/>
    <m/>
    <m/>
    <n v="238"/>
    <n v="238"/>
    <n v="238"/>
    <n v="49.051912568306008"/>
    <n v="0"/>
    <n v="0"/>
    <s v="CONVICTION"/>
    <x v="0"/>
    <s v="N"/>
    <m/>
    <s v="CONVICTION"/>
    <s v="Y"/>
    <x v="0"/>
    <x v="0"/>
    <s v="Y"/>
    <n v="1"/>
    <n v="1"/>
    <n v="0"/>
    <n v="0"/>
    <n v="-238"/>
    <n v="0"/>
    <n v="238"/>
    <e v="#VALUE!"/>
    <n v="238"/>
    <n v="0"/>
    <n v="0"/>
    <n v="237"/>
    <s v="Y"/>
    <m/>
    <s v="121-365 DAYS"/>
    <n v="6"/>
    <x v="0"/>
  </r>
  <r>
    <n v="2465"/>
    <s v="N"/>
    <s v="N"/>
    <n v="619916"/>
    <n v="6"/>
    <d v="2012-04-03T00:00:00"/>
    <d v="2012-05-11T00:00:00"/>
    <n v="619916"/>
    <d v="2012-04-03T00:00:00"/>
    <d v="2012-05-11T00:00:00"/>
    <n v="15000"/>
    <x v="0"/>
    <m/>
    <s v="N"/>
    <s v="NONE"/>
    <s v="GUILTY PLEA - NO JURY"/>
    <n v="39"/>
    <n v="39"/>
    <n v="11"/>
    <n v="4"/>
    <n v="9"/>
    <m/>
    <m/>
    <m/>
    <m/>
    <m/>
    <m/>
    <m/>
    <m/>
    <d v="1955-01-17T00:00:00"/>
    <s v="M"/>
    <s v="B"/>
    <s v="BLACK"/>
    <s v="NON-HISPANIC"/>
    <s v="182"/>
    <s v="CONVICTED"/>
    <n v="2"/>
    <s v="TDC"/>
    <n v="2"/>
    <m/>
    <m/>
    <s v="MAN/DEL CS PG I &lt;1GRAM"/>
    <m/>
    <s v="FS"/>
    <s v="SALE DRUG"/>
    <m/>
    <m/>
    <m/>
    <m/>
    <m/>
    <m/>
    <m/>
    <m/>
    <m/>
    <s v="Appointed Attorney"/>
    <m/>
    <m/>
    <n v="39"/>
    <n v="39"/>
    <n v="39"/>
    <n v="57.092896174863391"/>
    <n v="0"/>
    <n v="0"/>
    <s v="CONVICTION"/>
    <x v="0"/>
    <s v="N"/>
    <m/>
    <s v="CONVICTION"/>
    <s v="Y"/>
    <x v="0"/>
    <x v="0"/>
    <s v="Y"/>
    <n v="1"/>
    <n v="1"/>
    <n v="0"/>
    <n v="0"/>
    <n v="-39"/>
    <n v="0"/>
    <n v="39"/>
    <e v="#VALUE!"/>
    <n v="39"/>
    <n v="0"/>
    <n v="0"/>
    <n v="38"/>
    <s v="Y"/>
    <m/>
    <s v="31-60 DAYS"/>
    <n v="3"/>
    <x v="0"/>
  </r>
  <r>
    <n v="2400"/>
    <s v="N"/>
    <s v="N"/>
    <n v="622909"/>
    <n v="3"/>
    <d v="2012-03-31T00:00:00"/>
    <d v="2012-11-27T00:00:00"/>
    <n v="622909"/>
    <s v="NOT BOOKED"/>
    <s v="NOT BOOKED"/>
    <n v="10000"/>
    <x v="3"/>
    <d v="2012-04-01T00:00:00"/>
    <s v="Y"/>
    <s v="SURETYPTRc"/>
    <s v="GUILTY PLEA - NO JURY"/>
    <n v="0"/>
    <n v="242"/>
    <n v="0"/>
    <n v="2"/>
    <m/>
    <m/>
    <m/>
    <m/>
    <m/>
    <m/>
    <m/>
    <m/>
    <m/>
    <d v="1947-07-10T00:00:00"/>
    <s v="M"/>
    <s v="H"/>
    <s v="HISPANIC"/>
    <s v="HISPANIC"/>
    <s v="351"/>
    <s v="CONVICTED"/>
    <n v="10"/>
    <s v="PROBATION"/>
    <m/>
    <m/>
    <n v="10"/>
    <s v="DWI 3RD OFFENDER BAC .08"/>
    <m/>
    <s v="F3"/>
    <s v="FEL DWI"/>
    <m/>
    <m/>
    <m/>
    <m/>
    <m/>
    <m/>
    <m/>
    <m/>
    <m/>
    <s v="Hired Attorney"/>
    <m/>
    <m/>
    <n v="0"/>
    <n v="0"/>
    <n v="242"/>
    <n v="64.592896174863384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e v="#VALUE!"/>
    <e v="#VALUE!"/>
    <s v="Y"/>
    <m/>
    <s v="0-10 DAYS"/>
    <n v="1"/>
    <x v="1"/>
  </r>
  <r>
    <n v="932"/>
    <s v="N"/>
    <s v="N"/>
    <n v="623556"/>
    <n v="5"/>
    <d v="2012-02-04T00:00:00"/>
    <d v="2012-03-06T00:00:00"/>
    <n v="623556"/>
    <d v="2012-02-04T00:00:00"/>
    <d v="2012-03-06T00:00:00"/>
    <n v="15000"/>
    <x v="0"/>
    <m/>
    <s v="N"/>
    <s v="NONE"/>
    <s v="GUILTY PLEA - NO JURY"/>
    <n v="32"/>
    <n v="32"/>
    <n v="5"/>
    <n v="1"/>
    <n v="5"/>
    <m/>
    <m/>
    <m/>
    <m/>
    <m/>
    <m/>
    <m/>
    <m/>
    <d v="1963-06-13T00:00:00"/>
    <s v="M"/>
    <s v="B"/>
    <s v="BLACK"/>
    <s v="NON-HISPANIC"/>
    <s v="351"/>
    <s v="CONVICTED"/>
    <n v="2"/>
    <s v="STJ"/>
    <m/>
    <n v="7"/>
    <m/>
    <s v="POSS CS PG 1 &lt;1G"/>
    <m/>
    <s v="FS"/>
    <s v="POSS DRUG"/>
    <m/>
    <m/>
    <m/>
    <m/>
    <m/>
    <m/>
    <m/>
    <m/>
    <m/>
    <s v="Appointed Attorney"/>
    <m/>
    <m/>
    <n v="32"/>
    <n v="32"/>
    <n v="32"/>
    <n v="48.546448087431692"/>
    <n v="0"/>
    <n v="0"/>
    <s v="CONVICTION"/>
    <x v="0"/>
    <s v="N"/>
    <m/>
    <s v="CONVICTION"/>
    <s v="Y"/>
    <x v="0"/>
    <x v="0"/>
    <s v="Y"/>
    <n v="1"/>
    <n v="1"/>
    <n v="0"/>
    <n v="0"/>
    <n v="-32"/>
    <n v="0"/>
    <n v="32"/>
    <e v="#VALUE!"/>
    <n v="32"/>
    <n v="0"/>
    <n v="0"/>
    <n v="31"/>
    <s v="Y"/>
    <m/>
    <s v="31-60 DAYS"/>
    <n v="3"/>
    <x v="0"/>
  </r>
  <r>
    <n v="2480"/>
    <s v="N"/>
    <s v="N"/>
    <n v="625891"/>
    <n v="6"/>
    <d v="2012-04-03T00:00:00"/>
    <d v="2012-07-24T00:00:00"/>
    <n v="625891"/>
    <d v="2012-07-03T00:00:00"/>
    <d v="2012-07-24T00:00:00"/>
    <n v="10000"/>
    <x v="3"/>
    <m/>
    <s v="N"/>
    <s v="NONE"/>
    <s v="GUILTY PLEA - NO JURY"/>
    <n v="22"/>
    <n v="113"/>
    <n v="4"/>
    <n v="5"/>
    <n v="3"/>
    <m/>
    <m/>
    <m/>
    <m/>
    <m/>
    <m/>
    <m/>
    <m/>
    <d v="1966-10-11T00:00:00"/>
    <s v="M"/>
    <s v="H"/>
    <s v="HISPANIC"/>
    <s v="HISPANIC"/>
    <s v="228"/>
    <s v="CONVICTED"/>
    <n v="2"/>
    <s v="TDC"/>
    <n v="2"/>
    <m/>
    <m/>
    <s v="FAIL TO COMPLY AS SEX OFFENDER"/>
    <m/>
    <s v="F3"/>
    <s v="OTHER FEL"/>
    <m/>
    <m/>
    <m/>
    <m/>
    <m/>
    <m/>
    <m/>
    <m/>
    <m/>
    <s v="Appointed Attorney"/>
    <m/>
    <m/>
    <n v="22"/>
    <n v="22"/>
    <n v="113"/>
    <n v="45.385245901639344"/>
    <n v="0"/>
    <n v="0"/>
    <s v="CONVICTION"/>
    <x v="0"/>
    <s v="N"/>
    <m/>
    <s v="CONVICTION"/>
    <s v="Y"/>
    <x v="0"/>
    <x v="0"/>
    <s v="Y"/>
    <n v="0.19469026548672566"/>
    <n v="1"/>
    <n v="0.80530973451327437"/>
    <n v="0"/>
    <n v="-22"/>
    <n v="0"/>
    <n v="22"/>
    <e v="#VALUE!"/>
    <n v="22"/>
    <n v="0"/>
    <n v="0"/>
    <n v="21"/>
    <s v="Y"/>
    <m/>
    <s v="11-30 DAYS"/>
    <n v="2"/>
    <x v="0"/>
  </r>
  <r>
    <n v="1907"/>
    <s v="N"/>
    <s v="N"/>
    <n v="626507"/>
    <n v="4"/>
    <d v="2012-03-11T00:00:00"/>
    <d v="2012-09-25T00:00:00"/>
    <n v="626507"/>
    <d v="2012-05-16T00:00:00"/>
    <d v="2012-07-20T00:00:00"/>
    <n v="10000"/>
    <x v="3"/>
    <d v="2012-07-20T00:00:00"/>
    <s v="Y"/>
    <s v="SURETYPTRc"/>
    <s v="GUILTY PLEA - NO JURY"/>
    <n v="66"/>
    <n v="199"/>
    <n v="0"/>
    <n v="4"/>
    <m/>
    <m/>
    <m/>
    <m/>
    <m/>
    <m/>
    <m/>
    <m/>
    <m/>
    <d v="1966-01-07T00:00:00"/>
    <s v="M"/>
    <s v="W"/>
    <s v="WHITE"/>
    <s v="NULL"/>
    <s v="230"/>
    <s v="CONVICTED"/>
    <n v="8"/>
    <s v="HCJ"/>
    <m/>
    <m/>
    <n v="60"/>
    <s v="BURGLARY OF HABITATION"/>
    <m/>
    <s v="F2"/>
    <s v="BURGLARY"/>
    <m/>
    <m/>
    <m/>
    <m/>
    <m/>
    <m/>
    <m/>
    <m/>
    <m/>
    <s v="Appointed Attorney"/>
    <m/>
    <m/>
    <n v="66"/>
    <n v="133"/>
    <n v="199"/>
    <n v="46.079234972677597"/>
    <n v="0"/>
    <n v="-67"/>
    <s v="CONVICTION"/>
    <x v="1"/>
    <s v="Y"/>
    <m/>
    <s v="CONVICTION"/>
    <s v="Y"/>
    <x v="1"/>
    <x v="0"/>
    <s v="N"/>
    <n v="0.33165829145728642"/>
    <n v="0.49624060150375937"/>
    <n v="0.16458231004647295"/>
    <n v="0"/>
    <n v="-66"/>
    <n v="0"/>
    <n v="66"/>
    <e v="#VALUE!"/>
    <n v="66"/>
    <n v="0"/>
    <n v="67"/>
    <n v="65"/>
    <s v="Y"/>
    <m/>
    <s v="61-90 DAYS"/>
    <n v="4"/>
    <x v="0"/>
  </r>
  <r>
    <n v="65"/>
    <s v="N"/>
    <s v="N"/>
    <n v="631030"/>
    <n v="5"/>
    <d v="2012-01-04T00:00:00"/>
    <d v="2012-01-05T00:00:00"/>
    <n v="631030"/>
    <d v="2012-01-04T00:00:00"/>
    <d v="2012-01-05T00:00:00"/>
    <n v="15000"/>
    <x v="0"/>
    <m/>
    <s v="N"/>
    <s v="NONE"/>
    <s v="GUILTY PLEA - NO JURY"/>
    <n v="2"/>
    <n v="2"/>
    <n v="4"/>
    <n v="1"/>
    <n v="3"/>
    <m/>
    <m/>
    <m/>
    <m/>
    <m/>
    <m/>
    <m/>
    <m/>
    <d v="1964-10-15T00:00:00"/>
    <s v="M"/>
    <s v="B"/>
    <s v="BLACK"/>
    <s v="NON-HISPANIC"/>
    <s v="230"/>
    <s v="CONVICTED"/>
    <n v="1"/>
    <s v="STJ"/>
    <m/>
    <n v="8"/>
    <m/>
    <s v="MAN/DEL CS PG I &lt;1GRAM"/>
    <m/>
    <s v="FS"/>
    <s v="SALE DRUG"/>
    <m/>
    <m/>
    <m/>
    <m/>
    <m/>
    <m/>
    <m/>
    <m/>
    <m/>
    <s v="Appointed Attorney"/>
    <m/>
    <m/>
    <n v="2"/>
    <n v="2"/>
    <n v="2"/>
    <n v="47.122950819672134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n v="1"/>
    <s v="Y"/>
    <m/>
    <s v="0-10 DAYS"/>
    <n v="1"/>
    <x v="0"/>
  </r>
  <r>
    <n v="814"/>
    <s v="N"/>
    <s v="N"/>
    <n v="634518"/>
    <n v="4"/>
    <d v="2012-02-01T00:00:00"/>
    <d v="2012-03-13T00:00:00"/>
    <n v="634518"/>
    <d v="2012-03-07T00:00:00"/>
    <d v="2012-03-13T00:00:00"/>
    <n v="2000"/>
    <x v="5"/>
    <m/>
    <s v="N"/>
    <s v="NONE"/>
    <s v="GUILTY PLEA - NO JURY"/>
    <n v="7"/>
    <n v="42"/>
    <n v="1"/>
    <n v="1"/>
    <m/>
    <m/>
    <m/>
    <m/>
    <m/>
    <m/>
    <m/>
    <m/>
    <m/>
    <d v="1952-02-07T00:00:00"/>
    <s v="M"/>
    <s v="B"/>
    <s v="BLACK"/>
    <s v="NON-HISPANIC"/>
    <s v="179"/>
    <s v="CONVICTED"/>
    <n v="2"/>
    <s v="HCJ"/>
    <m/>
    <m/>
    <n v="60"/>
    <s v="POSS CS PG 1 &lt;1G"/>
    <m/>
    <s v="FS"/>
    <s v="POSS DRUG"/>
    <m/>
    <m/>
    <m/>
    <m/>
    <m/>
    <m/>
    <m/>
    <m/>
    <m/>
    <s v="Appointed Attorney"/>
    <m/>
    <m/>
    <n v="7"/>
    <n v="7"/>
    <n v="42"/>
    <n v="59.860655737704917"/>
    <n v="0"/>
    <n v="0"/>
    <s v="CONVICTION"/>
    <x v="0"/>
    <s v="N"/>
    <m/>
    <s v="CONVICTION"/>
    <s v="Y"/>
    <x v="0"/>
    <x v="0"/>
    <s v="Y"/>
    <n v="0.16666666666666666"/>
    <n v="1"/>
    <n v="0.83333333333333337"/>
    <n v="0"/>
    <n v="-7"/>
    <n v="0"/>
    <n v="7"/>
    <e v="#VALUE!"/>
    <n v="7"/>
    <n v="0"/>
    <n v="0"/>
    <n v="6"/>
    <s v="Y"/>
    <m/>
    <s v="0-10 DAYS"/>
    <n v="1"/>
    <x v="0"/>
  </r>
  <r>
    <n v="3077"/>
    <s v="N"/>
    <s v="N"/>
    <n v="635008"/>
    <n v="5"/>
    <d v="2012-04-24T00:00:00"/>
    <d v="2012-04-27T00:00:00"/>
    <n v="635008"/>
    <d v="2012-04-24T00:00:00"/>
    <d v="2012-04-27T00:00:00"/>
    <n v="15000"/>
    <x v="0"/>
    <m/>
    <s v="N"/>
    <s v="NONE"/>
    <s v="GUILTY PLEA - NO JURY"/>
    <n v="4"/>
    <n v="4"/>
    <n v="3"/>
    <n v="5"/>
    <n v="2"/>
    <m/>
    <m/>
    <m/>
    <m/>
    <m/>
    <m/>
    <m/>
    <m/>
    <d v="1961-06-15T00:00:00"/>
    <s v="M"/>
    <s v="H"/>
    <s v="HISPANIC"/>
    <s v="HISPANIC"/>
    <s v="337"/>
    <s v="CONVICTED"/>
    <n v="3"/>
    <s v="STJ"/>
    <m/>
    <n v="8"/>
    <m/>
    <s v="POSS CS PG 1 &lt;1G"/>
    <m/>
    <s v="FS"/>
    <s v="POSS DRUG"/>
    <m/>
    <m/>
    <m/>
    <m/>
    <m/>
    <m/>
    <m/>
    <m/>
    <m/>
    <s v="Appointed Attorney"/>
    <m/>
    <m/>
    <n v="4"/>
    <n v="4"/>
    <n v="4"/>
    <n v="50.754098360655739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n v="3"/>
    <s v="Y"/>
    <m/>
    <s v="0-10 DAYS"/>
    <n v="1"/>
    <x v="0"/>
  </r>
  <r>
    <n v="3032"/>
    <s v="N"/>
    <s v="N"/>
    <n v="636243"/>
    <n v="1"/>
    <d v="2012-04-22T00:00:00"/>
    <d v="2012-08-14T00:00:00"/>
    <n v="636243"/>
    <d v="2012-04-22T00:00:00"/>
    <d v="2012-08-14T00:00:00"/>
    <s v="NO BOND"/>
    <x v="1"/>
    <m/>
    <s v="N"/>
    <s v="NONE"/>
    <s v="DISMISSED"/>
    <n v="115"/>
    <n v="115"/>
    <n v="5"/>
    <n v="5"/>
    <n v="4"/>
    <m/>
    <m/>
    <m/>
    <m/>
    <m/>
    <m/>
    <m/>
    <m/>
    <d v="1947-11-10T00:00:00"/>
    <s v="M"/>
    <s v="B"/>
    <s v="BLACK"/>
    <s v="NULL"/>
    <s v="183"/>
    <s v="DISMISSED"/>
    <n v="11"/>
    <s v="DISMISSED"/>
    <m/>
    <m/>
    <m/>
    <s v="AGG ASSAULT W/DEADLY WEAPON"/>
    <m/>
    <s v="F2"/>
    <s v="ASLT-MURDR"/>
    <s v="8/14/12 misd DWI prob"/>
    <m/>
    <m/>
    <m/>
    <m/>
    <m/>
    <m/>
    <m/>
    <m/>
    <s v="Public Defender"/>
    <m/>
    <m/>
    <n v="115"/>
    <n v="115"/>
    <n v="115"/>
    <n v="64.316939890710387"/>
    <n v="0"/>
    <n v="0"/>
    <s v="NO CONVICTION"/>
    <x v="0"/>
    <s v="N"/>
    <m/>
    <s v="NO CONVICTION"/>
    <s v="Y"/>
    <x v="0"/>
    <x v="0"/>
    <s v="Y"/>
    <n v="1"/>
    <n v="1"/>
    <n v="0"/>
    <n v="0"/>
    <n v="-115"/>
    <n v="0"/>
    <n v="115"/>
    <e v="#VALUE!"/>
    <n v="115"/>
    <n v="0"/>
    <n v="0"/>
    <n v="114"/>
    <s v="Y"/>
    <m/>
    <s v="91-120 DAYS"/>
    <n v="0"/>
    <x v="0"/>
  </r>
  <r>
    <n v="1831"/>
    <s v="N"/>
    <s v="N"/>
    <n v="636779"/>
    <n v="2"/>
    <d v="2012-03-08T00:00:00"/>
    <d v="2012-09-06T00:00:00"/>
    <n v="636779"/>
    <d v="2012-03-09T00:00:00"/>
    <d v="2012-03-10T00:00:00"/>
    <n v="20000"/>
    <x v="0"/>
    <d v="2012-03-10T00:00:00"/>
    <s v="Y"/>
    <s v="SURETYPTRc"/>
    <s v="DEFERRED ADJUDICATION "/>
    <n v="2"/>
    <n v="183"/>
    <n v="0"/>
    <n v="3"/>
    <m/>
    <m/>
    <m/>
    <m/>
    <m/>
    <m/>
    <m/>
    <m/>
    <m/>
    <d v="1951-07-29T00:00:00"/>
    <s v="F"/>
    <s v="W"/>
    <s v="WHITE"/>
    <s v="NULL"/>
    <s v="337"/>
    <s v="DEFERRED"/>
    <n v="6"/>
    <s v="DEFERRED"/>
    <m/>
    <m/>
    <m/>
    <s v="POSS WIM/D GP 3/4 CS- 200-399G"/>
    <m/>
    <s v="F1"/>
    <s v="SALE DRUG"/>
    <m/>
    <m/>
    <m/>
    <m/>
    <m/>
    <m/>
    <m/>
    <m/>
    <m/>
    <s v="Hired Attorney"/>
    <m/>
    <m/>
    <n v="2"/>
    <n v="182"/>
    <n v="183"/>
    <n v="60.486338797814206"/>
    <n v="0"/>
    <n v="-180"/>
    <s v="DEFERRED"/>
    <x v="1"/>
    <s v="Y"/>
    <m/>
    <s v="DEFERRED"/>
    <s v="Y"/>
    <x v="1"/>
    <x v="0"/>
    <s v="N"/>
    <n v="1.092896174863388E-2"/>
    <n v="1.098901098901099E-2"/>
    <n v="6.0049240377110097E-5"/>
    <n v="0"/>
    <n v="-2"/>
    <n v="0"/>
    <n v="2"/>
    <e v="#VALUE!"/>
    <n v="2"/>
    <n v="0"/>
    <n v="180"/>
    <n v="1"/>
    <s v="Y"/>
    <m/>
    <s v="0-10 DAYS"/>
    <n v="1"/>
    <x v="0"/>
  </r>
  <r>
    <n v="3045"/>
    <s v="N"/>
    <s v="N"/>
    <n v="640047"/>
    <n v="1"/>
    <d v="2012-04-23T00:00:00"/>
    <d v="2012-09-28T00:00:00"/>
    <n v="640047"/>
    <d v="2012-04-23T00:00:00"/>
    <d v="2012-09-28T00:00:00"/>
    <s v="NO BOND"/>
    <x v="1"/>
    <m/>
    <s v="N"/>
    <s v="NONE"/>
    <s v="DISMISSED"/>
    <n v="159"/>
    <n v="159"/>
    <n v="2"/>
    <n v="4"/>
    <m/>
    <m/>
    <m/>
    <m/>
    <m/>
    <m/>
    <m/>
    <m/>
    <m/>
    <d v="1956-02-27T00:00:00"/>
    <s v="F"/>
    <s v="W"/>
    <s v="WHITE"/>
    <s v="NULL"/>
    <s v="184"/>
    <s v="DISMISSED"/>
    <n v="8"/>
    <s v="DISMISSED"/>
    <m/>
    <m/>
    <m/>
    <s v="POSS CS PG 1  1 - 4 GRAMS"/>
    <m/>
    <s v="F3"/>
    <s v="POSS DRUG"/>
    <s v="9/28/12 fel theft  tdc 5 yrs"/>
    <m/>
    <m/>
    <m/>
    <m/>
    <m/>
    <m/>
    <m/>
    <m/>
    <s v="Appointed Attorney"/>
    <m/>
    <m/>
    <n v="159"/>
    <n v="159"/>
    <n v="159"/>
    <n v="56.038251366120221"/>
    <n v="0"/>
    <n v="0"/>
    <s v="NO CONVICTION"/>
    <x v="0"/>
    <s v="N"/>
    <m/>
    <s v="NO CONVICTION"/>
    <s v="Y"/>
    <x v="0"/>
    <x v="0"/>
    <s v="Y"/>
    <n v="1"/>
    <n v="1"/>
    <n v="0"/>
    <n v="0"/>
    <n v="-159"/>
    <n v="0"/>
    <n v="159"/>
    <e v="#VALUE!"/>
    <n v="159"/>
    <n v="0"/>
    <n v="0"/>
    <n v="158"/>
    <s v="Y"/>
    <m/>
    <s v="121-365 DAYS"/>
    <n v="6"/>
    <x v="0"/>
  </r>
  <r>
    <n v="441"/>
    <s v="N"/>
    <s v="N"/>
    <n v="645780"/>
    <n v="6"/>
    <d v="2012-01-19T00:00:00"/>
    <d v="2012-07-23T00:00:00"/>
    <n v="645780"/>
    <d v="2012-06-23T00:00:00"/>
    <d v="2012-07-23T00:00:00"/>
    <n v="10000"/>
    <x v="3"/>
    <m/>
    <s v="N"/>
    <s v="NONE"/>
    <s v="GUILTY PLEA - NO JURY"/>
    <n v="31"/>
    <n v="187"/>
    <n v="4"/>
    <n v="4"/>
    <n v="4"/>
    <m/>
    <m/>
    <m/>
    <m/>
    <m/>
    <m/>
    <m/>
    <m/>
    <d v="1967-05-29T00:00:00"/>
    <s v="M"/>
    <s v="B"/>
    <s v="BLACK"/>
    <s v="NON-HISPANIC"/>
    <s v="185"/>
    <s v="CONVICTED"/>
    <n v="3"/>
    <s v="TDC"/>
    <n v="5"/>
    <m/>
    <m/>
    <s v="THEFT $1500-20K"/>
    <m/>
    <s v="FS"/>
    <s v="THEFT"/>
    <m/>
    <m/>
    <m/>
    <m/>
    <m/>
    <m/>
    <m/>
    <m/>
    <m/>
    <s v="Appointed Attorney"/>
    <m/>
    <m/>
    <n v="31"/>
    <n v="31"/>
    <n v="187"/>
    <n v="44.551912568306008"/>
    <n v="0"/>
    <n v="0"/>
    <s v="CONVICTION"/>
    <x v="0"/>
    <s v="N"/>
    <m/>
    <s v="CONVICTION"/>
    <s v="Y"/>
    <x v="0"/>
    <x v="0"/>
    <s v="Y"/>
    <n v="0.16577540106951871"/>
    <n v="1"/>
    <n v="0.83422459893048129"/>
    <n v="0"/>
    <n v="-31"/>
    <n v="0"/>
    <n v="31"/>
    <e v="#VALUE!"/>
    <n v="31"/>
    <n v="0"/>
    <n v="0"/>
    <n v="30"/>
    <s v="Y"/>
    <m/>
    <s v="31-60 DAYS"/>
    <n v="3"/>
    <x v="0"/>
  </r>
  <r>
    <n v="2208"/>
    <s v="N"/>
    <s v="Y"/>
    <n v="646800"/>
    <n v="2"/>
    <d v="2012-03-23T00:00:00"/>
    <d v="2012-05-08T00:00:00"/>
    <n v="646800"/>
    <d v="2012-03-24T00:00:00"/>
    <d v="2012-03-26T00:00:00"/>
    <n v="5000"/>
    <x v="4"/>
    <d v="2012-03-26T00:00:00"/>
    <s v="Y"/>
    <s v="PTR"/>
    <s v="DEFERRED ADJUDICATION "/>
    <n v="19"/>
    <n v="47"/>
    <n v="0"/>
    <n v="3"/>
    <m/>
    <m/>
    <m/>
    <m/>
    <m/>
    <m/>
    <m/>
    <m/>
    <m/>
    <d v="1957-12-11T00:00:00"/>
    <s v="M"/>
    <s v="B"/>
    <s v="BLACK"/>
    <s v="NON-HISPANIC"/>
    <s v="180"/>
    <s v="DEFERRED"/>
    <n v="5"/>
    <s v="DEFERRED"/>
    <m/>
    <m/>
    <m/>
    <s v="POSS CS PG 1 &lt;1G"/>
    <m/>
    <s v="FS"/>
    <s v="POSS DRUG"/>
    <m/>
    <s v="bd rev 4/19/12"/>
    <m/>
    <m/>
    <s v="Y"/>
    <m/>
    <m/>
    <m/>
    <m/>
    <s v="Appointed Attorney"/>
    <m/>
    <m/>
    <n v="19"/>
    <n v="46"/>
    <n v="47"/>
    <n v="54.169398907103826"/>
    <n v="0"/>
    <n v="-43"/>
    <s v="DEFERRED"/>
    <x v="2"/>
    <s v="Y"/>
    <m/>
    <s v="DEFERRED"/>
    <s v="Y"/>
    <x v="0"/>
    <x v="0"/>
    <s v="N"/>
    <n v="0.40425531914893614"/>
    <n v="6.5217391304347824E-2"/>
    <n v="-0.3390379278445883"/>
    <n v="0"/>
    <n v="-3"/>
    <n v="16"/>
    <n v="46"/>
    <n v="19"/>
    <n v="46"/>
    <n v="43"/>
    <n v="43"/>
    <n v="-2"/>
    <s v="Y"/>
    <m/>
    <s v="11-30 DAYS"/>
    <n v="2"/>
    <x v="0"/>
  </r>
  <r>
    <n v="1789"/>
    <s v="N"/>
    <s v="N"/>
    <n v="646949"/>
    <n v="5"/>
    <d v="2012-03-07T00:00:00"/>
    <d v="2012-03-16T00:00:00"/>
    <n v="646949"/>
    <d v="2012-03-14T00:00:00"/>
    <d v="2012-03-16T00:00:00"/>
    <n v="5000"/>
    <x v="4"/>
    <m/>
    <s v="N"/>
    <s v="NONE"/>
    <s v="GUILTY PLEA - NO JURY"/>
    <n v="3"/>
    <n v="10"/>
    <n v="4"/>
    <n v="3"/>
    <n v="1"/>
    <n v="1"/>
    <m/>
    <m/>
    <m/>
    <m/>
    <m/>
    <m/>
    <m/>
    <d v="1965-09-22T00:00:00"/>
    <s v="M"/>
    <s v="B"/>
    <s v="BLACK"/>
    <s v="NON-HISPANIC"/>
    <s v="263"/>
    <s v="CONVICTED"/>
    <n v="3"/>
    <s v="STJ"/>
    <m/>
    <n v="10"/>
    <m/>
    <s v="OBTAIN DRUGS BY FRAUD-SCH III/"/>
    <m/>
    <s v="F3"/>
    <s v="SALE DRUG"/>
    <m/>
    <m/>
    <m/>
    <m/>
    <m/>
    <m/>
    <m/>
    <m/>
    <m/>
    <s v="Appointed Attorney"/>
    <m/>
    <m/>
    <n v="3"/>
    <n v="3"/>
    <n v="10"/>
    <n v="46.360655737704917"/>
    <n v="0"/>
    <n v="0"/>
    <s v="CONVICTION"/>
    <x v="0"/>
    <s v="N"/>
    <m/>
    <s v="CONVICTION"/>
    <s v="Y"/>
    <x v="0"/>
    <x v="0"/>
    <s v="Y"/>
    <n v="0.3"/>
    <n v="1"/>
    <n v="0.7"/>
    <n v="0"/>
    <n v="-3"/>
    <n v="0"/>
    <n v="3"/>
    <e v="#VALUE!"/>
    <n v="3"/>
    <n v="0"/>
    <n v="0"/>
    <n v="2"/>
    <s v="Y"/>
    <m/>
    <s v="0-10 DAYS"/>
    <n v="1"/>
    <x v="0"/>
  </r>
  <r>
    <n v="1024"/>
    <s v="N"/>
    <s v="N"/>
    <n v="651447"/>
    <n v="2"/>
    <d v="2012-02-08T00:00:00"/>
    <d v="2012-05-10T00:00:00"/>
    <n v="651447"/>
    <d v="2012-02-08T00:00:00"/>
    <d v="2012-05-10T00:00:00"/>
    <n v="15000"/>
    <x v="0"/>
    <m/>
    <s v="N"/>
    <s v="NONE"/>
    <s v="DEFERRED ADJUDICATION "/>
    <n v="93"/>
    <n v="93"/>
    <n v="4"/>
    <n v="3"/>
    <n v="2"/>
    <m/>
    <m/>
    <m/>
    <m/>
    <m/>
    <m/>
    <m/>
    <m/>
    <d v="1954-10-07T00:00:00"/>
    <s v="M"/>
    <s v="B"/>
    <s v="BLACK"/>
    <s v="NULL"/>
    <s v="183"/>
    <s v="DEFERRED"/>
    <n v="10"/>
    <s v="DEFERRED"/>
    <m/>
    <m/>
    <m/>
    <s v="POSS CS PG 1 &lt;1G"/>
    <m/>
    <s v="FS"/>
    <s v="POSS DRUG"/>
    <m/>
    <m/>
    <m/>
    <m/>
    <m/>
    <m/>
    <m/>
    <m/>
    <m/>
    <s v="Appointed Attorney"/>
    <m/>
    <m/>
    <n v="93"/>
    <n v="93"/>
    <n v="93"/>
    <n v="57.221311475409834"/>
    <n v="0"/>
    <n v="0"/>
    <s v="DEFERRED"/>
    <x v="0"/>
    <s v="N"/>
    <m/>
    <s v="DEFERRED"/>
    <s v="Y"/>
    <x v="0"/>
    <x v="0"/>
    <s v="Y"/>
    <n v="1"/>
    <n v="1"/>
    <n v="0"/>
    <n v="0"/>
    <n v="-93"/>
    <n v="0"/>
    <n v="93"/>
    <e v="#VALUE!"/>
    <n v="93"/>
    <n v="0"/>
    <n v="0"/>
    <n v="92"/>
    <s v="Y"/>
    <m/>
    <s v="91-120 DAYS"/>
    <n v="0"/>
    <x v="0"/>
  </r>
  <r>
    <n v="2956"/>
    <s v="N"/>
    <s v="N"/>
    <n v="655707"/>
    <n v="5"/>
    <d v="2012-04-19T00:00:00"/>
    <d v="2012-05-21T00:00:00"/>
    <n v="655707"/>
    <d v="2012-04-19T00:00:00"/>
    <d v="2012-05-21T00:00:00"/>
    <n v="15000"/>
    <x v="0"/>
    <m/>
    <s v="N"/>
    <s v="NONE"/>
    <s v="GUILTY PLEA - NO JURY"/>
    <n v="33"/>
    <n v="33"/>
    <n v="9"/>
    <n v="7"/>
    <n v="7"/>
    <m/>
    <m/>
    <m/>
    <m/>
    <m/>
    <m/>
    <m/>
    <m/>
    <d v="1963-02-09T00:00:00"/>
    <s v="M"/>
    <s v="W"/>
    <s v="WHITE"/>
    <s v="NON-HISPANIC"/>
    <s v="338"/>
    <s v="CONVICTED"/>
    <n v="4"/>
    <s v="STJ"/>
    <m/>
    <n v="7"/>
    <m/>
    <s v="POSS CS PG 1 &lt;1G"/>
    <m/>
    <s v="FS"/>
    <s v="POSS DRUG"/>
    <m/>
    <m/>
    <m/>
    <m/>
    <m/>
    <m/>
    <m/>
    <m/>
    <m/>
    <s v="Appointed Attorney"/>
    <m/>
    <m/>
    <n v="33"/>
    <n v="33"/>
    <n v="33"/>
    <n v="49.090163934426229"/>
    <n v="0"/>
    <n v="0"/>
    <s v="CONVICTION"/>
    <x v="0"/>
    <s v="N"/>
    <m/>
    <s v="CONVICTION"/>
    <s v="Y"/>
    <x v="0"/>
    <x v="0"/>
    <s v="Y"/>
    <n v="1"/>
    <n v="1"/>
    <n v="0"/>
    <n v="0"/>
    <n v="-33"/>
    <n v="0"/>
    <n v="33"/>
    <e v="#VALUE!"/>
    <n v="33"/>
    <n v="0"/>
    <n v="0"/>
    <n v="32"/>
    <s v="Y"/>
    <m/>
    <s v="31-60 DAYS"/>
    <n v="3"/>
    <x v="0"/>
  </r>
  <r>
    <n v="1181"/>
    <s v="N"/>
    <s v="N"/>
    <n v="656870"/>
    <n v="5"/>
    <d v="2012-02-13T00:00:00"/>
    <d v="2012-02-14T00:00:00"/>
    <n v="656870"/>
    <d v="2012-02-13T00:00:00"/>
    <d v="2012-02-14T00:00:00"/>
    <n v="15000"/>
    <x v="0"/>
    <m/>
    <s v="N"/>
    <s v="NONE"/>
    <s v="GUILTY PLEA - NO JURY"/>
    <n v="2"/>
    <n v="2"/>
    <n v="2"/>
    <n v="4"/>
    <n v="2"/>
    <m/>
    <m/>
    <m/>
    <m/>
    <m/>
    <m/>
    <m/>
    <m/>
    <d v="1966-02-22T00:00:00"/>
    <s v="M"/>
    <s v="B"/>
    <s v="BLACK"/>
    <s v="NULL"/>
    <s v="339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2"/>
    <n v="2"/>
    <n v="2"/>
    <n v="45.879781420765028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n v="1"/>
    <s v="Y"/>
    <m/>
    <s v="0-10 DAYS"/>
    <n v="1"/>
    <x v="0"/>
  </r>
  <r>
    <n v="1527"/>
    <s v="N"/>
    <s v="N"/>
    <n v="657428"/>
    <n v="5"/>
    <d v="2012-02-26T00:00:00"/>
    <d v="2012-04-13T00:00:00"/>
    <n v="657428"/>
    <d v="2012-02-26T00:00:00"/>
    <d v="2012-04-13T00:00:00"/>
    <n v="15000"/>
    <x v="0"/>
    <m/>
    <s v="N"/>
    <s v="NONE"/>
    <s v="GUILTY PLEA - NO JURY"/>
    <n v="48"/>
    <n v="48"/>
    <n v="7"/>
    <n v="4"/>
    <n v="2"/>
    <m/>
    <m/>
    <m/>
    <m/>
    <m/>
    <m/>
    <m/>
    <m/>
    <d v="1962-09-20T00:00:00"/>
    <s v="F"/>
    <s v="B"/>
    <s v="BLACK"/>
    <s v="NON-HISPANIC"/>
    <s v="185"/>
    <s v="CONVICTED"/>
    <n v="3"/>
    <s v="STJ"/>
    <m/>
    <n v="9"/>
    <m/>
    <s v="THEFT UNDER $1500 - 3RD OFF."/>
    <m/>
    <s v="FS"/>
    <s v="THEFT"/>
    <m/>
    <m/>
    <m/>
    <m/>
    <m/>
    <m/>
    <m/>
    <m/>
    <m/>
    <s v="Hired Attorney"/>
    <m/>
    <m/>
    <n v="48"/>
    <n v="48"/>
    <n v="48"/>
    <n v="49.333333333333336"/>
    <n v="0"/>
    <n v="0"/>
    <s v="CONVICTION"/>
    <x v="0"/>
    <s v="N"/>
    <m/>
    <s v="CONVICTION"/>
    <s v="Y"/>
    <x v="0"/>
    <x v="0"/>
    <s v="Y"/>
    <n v="1"/>
    <n v="1"/>
    <n v="0"/>
    <n v="0"/>
    <n v="-48"/>
    <n v="0"/>
    <n v="48"/>
    <e v="#VALUE!"/>
    <n v="48"/>
    <n v="0"/>
    <n v="0"/>
    <n v="47"/>
    <s v="Y"/>
    <m/>
    <s v="31-60 DAYS"/>
    <n v="3"/>
    <x v="0"/>
  </r>
  <r>
    <n v="2366"/>
    <s v="N"/>
    <s v="N"/>
    <n v="661628"/>
    <n v="4"/>
    <d v="2012-03-30T00:00:00"/>
    <d v="2012-04-02T00:00:00"/>
    <n v="661628"/>
    <d v="2012-03-30T00:00:00"/>
    <d v="2012-04-02T00:00:00"/>
    <n v="15000"/>
    <x v="0"/>
    <m/>
    <s v="N"/>
    <s v="NONE"/>
    <s v="GUILTY PLEA - NO JURY"/>
    <n v="4"/>
    <n v="4"/>
    <n v="10"/>
    <n v="6"/>
    <n v="7"/>
    <m/>
    <m/>
    <m/>
    <m/>
    <m/>
    <m/>
    <m/>
    <m/>
    <d v="1958-11-02T00:00:00"/>
    <s v="M"/>
    <s v="B"/>
    <s v="BLACK"/>
    <s v="NON-HISPANIC"/>
    <s v="248"/>
    <s v="CONVICTED"/>
    <n v="1"/>
    <s v="HCJ"/>
    <m/>
    <m/>
    <n v="75"/>
    <s v="POSS CS PG 1 &lt;1G"/>
    <m/>
    <s v="FS"/>
    <s v="POSS DRUG"/>
    <m/>
    <m/>
    <m/>
    <m/>
    <m/>
    <m/>
    <m/>
    <m/>
    <m/>
    <s v="Appointed Attorney"/>
    <m/>
    <m/>
    <n v="4"/>
    <n v="4"/>
    <n v="4"/>
    <n v="53.297814207650276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n v="3"/>
    <s v="Y"/>
    <m/>
    <s v="0-10 DAYS"/>
    <n v="1"/>
    <x v="0"/>
  </r>
  <r>
    <n v="364"/>
    <s v="N"/>
    <s v="N"/>
    <n v="663668"/>
    <n v="6"/>
    <d v="2012-01-15T00:00:00"/>
    <d v="2012-03-30T00:00:00"/>
    <n v="663668"/>
    <d v="2012-01-15T00:00:00"/>
    <d v="2012-03-30T00:00:00"/>
    <s v="NO BOND"/>
    <x v="1"/>
    <m/>
    <s v="N"/>
    <s v="NONE"/>
    <s v="GUILTY PLEA - NO JURY"/>
    <n v="76"/>
    <n v="76"/>
    <n v="4"/>
    <n v="5"/>
    <n v="2"/>
    <m/>
    <m/>
    <m/>
    <m/>
    <m/>
    <m/>
    <m/>
    <m/>
    <d v="1964-06-19T00:00:00"/>
    <s v="M"/>
    <s v="H"/>
    <s v="HISPANIC"/>
    <s v="HISPANIC"/>
    <s v="182"/>
    <s v="CONVICTED"/>
    <n v="3"/>
    <s v="TDC"/>
    <n v="6"/>
    <m/>
    <m/>
    <s v="DWI 3RD OFFENDER BAC .08"/>
    <m/>
    <s v="F3"/>
    <s v="FEL DWI"/>
    <m/>
    <m/>
    <m/>
    <m/>
    <m/>
    <m/>
    <m/>
    <m/>
    <m/>
    <s v="Appointed Attorney"/>
    <m/>
    <m/>
    <n v="76"/>
    <n v="76"/>
    <n v="76"/>
    <n v="47.475409836065573"/>
    <n v="0"/>
    <n v="0"/>
    <s v="CONVICTION"/>
    <x v="0"/>
    <s v="N"/>
    <m/>
    <s v="CONVICTION"/>
    <s v="Y"/>
    <x v="0"/>
    <x v="0"/>
    <s v="Y"/>
    <n v="1"/>
    <n v="1"/>
    <n v="0"/>
    <n v="0"/>
    <n v="-76"/>
    <n v="0"/>
    <n v="76"/>
    <e v="#VALUE!"/>
    <n v="76"/>
    <n v="0"/>
    <n v="0"/>
    <n v="75"/>
    <s v="Y"/>
    <m/>
    <s v="61-90 DAYS"/>
    <n v="4"/>
    <x v="0"/>
  </r>
  <r>
    <n v="1298"/>
    <s v="N"/>
    <s v="N"/>
    <n v="665017"/>
    <n v="5"/>
    <d v="2012-02-17T00:00:00"/>
    <d v="2012-02-20T00:00:00"/>
    <n v="665017"/>
    <d v="2012-02-17T00:00:00"/>
    <d v="2012-02-20T00:00:00"/>
    <n v="15000"/>
    <x v="0"/>
    <m/>
    <s v="N"/>
    <s v="NONE"/>
    <s v="GUILTY PLEA - NO JURY"/>
    <n v="4"/>
    <n v="4"/>
    <n v="5"/>
    <n v="7"/>
    <n v="4"/>
    <m/>
    <m/>
    <m/>
    <m/>
    <m/>
    <m/>
    <m/>
    <m/>
    <d v="1964-01-13T00:00:00"/>
    <s v="M"/>
    <s v="B"/>
    <s v="BLACK"/>
    <s v="NON-HISPANIC"/>
    <s v="180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4"/>
    <n v="4"/>
    <n v="4"/>
    <n v="47.997267759562838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n v="3"/>
    <s v="Y"/>
    <m/>
    <s v="0-10 DAYS"/>
    <n v="1"/>
    <x v="0"/>
  </r>
  <r>
    <n v="564"/>
    <s v="N"/>
    <s v="N"/>
    <n v="665600"/>
    <n v="1"/>
    <d v="2012-01-23T00:00:00"/>
    <d v="2012-11-27T00:00:00"/>
    <n v="665600"/>
    <s v="NOT BOOKED"/>
    <s v="NOT BOOKED"/>
    <n v="15000"/>
    <x v="0"/>
    <d v="2012-02-09T00:00:00"/>
    <s v="Y"/>
    <s v="SURETY"/>
    <s v="DISMISSED"/>
    <n v="0"/>
    <n v="310"/>
    <n v="2"/>
    <n v="1"/>
    <n v="2"/>
    <m/>
    <m/>
    <m/>
    <m/>
    <m/>
    <m/>
    <m/>
    <m/>
    <d v="1968-05-02T00:00:00"/>
    <s v="F"/>
    <s v="B"/>
    <s v="BLACK"/>
    <s v="NULL"/>
    <s v="228"/>
    <s v="DISMISSED"/>
    <n v="13"/>
    <s v="DISMISSED"/>
    <m/>
    <m/>
    <m/>
    <s v="THEFT $1500-20K"/>
    <m/>
    <s v="FS"/>
    <s v="THEFT"/>
    <m/>
    <m/>
    <m/>
    <m/>
    <m/>
    <m/>
    <m/>
    <m/>
    <m/>
    <s v="Hired Attorney"/>
    <m/>
    <m/>
    <n v="0"/>
    <n v="0"/>
    <n v="310"/>
    <n v="43.636612021857921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e v="#VALUE!"/>
    <e v="#VALUE!"/>
    <s v="Y"/>
    <m/>
    <s v="0-10 DAYS"/>
    <n v="1"/>
    <x v="1"/>
  </r>
  <r>
    <n v="1566"/>
    <s v="N"/>
    <s v="N"/>
    <n v="665751"/>
    <n v="1"/>
    <d v="2012-02-28T00:00:00"/>
    <d v="2012-03-21T00:00:00"/>
    <n v="665751"/>
    <d v="2012-02-28T00:00:00"/>
    <d v="2012-02-29T00:00:00"/>
    <n v="2000"/>
    <x v="5"/>
    <d v="2012-02-29T00:00:00"/>
    <s v="Y"/>
    <s v="PTR"/>
    <s v="DISMISSED"/>
    <n v="2"/>
    <n v="23"/>
    <n v="0"/>
    <n v="1"/>
    <m/>
    <m/>
    <m/>
    <m/>
    <m/>
    <m/>
    <m/>
    <m/>
    <m/>
    <d v="1962-01-14T00:00:00"/>
    <s v="F"/>
    <s v="W"/>
    <s v="WHITE"/>
    <s v="NULL"/>
    <s v="232"/>
    <s v="DISMISSED"/>
    <n v="2"/>
    <s v="DISMISSED"/>
    <m/>
    <m/>
    <m/>
    <s v="POSS CS PG 1 &lt;1G"/>
    <m/>
    <s v="FS"/>
    <s v="POSS DRUG"/>
    <m/>
    <m/>
    <m/>
    <m/>
    <m/>
    <m/>
    <m/>
    <m/>
    <m/>
    <s v="Public Defender"/>
    <m/>
    <m/>
    <n v="2"/>
    <n v="23"/>
    <n v="23"/>
    <n v="50.019125683060111"/>
    <n v="0"/>
    <n v="-21"/>
    <s v="NO CONVICTION"/>
    <x v="2"/>
    <s v="Y"/>
    <m/>
    <s v="NO CONVICTION"/>
    <s v="Y"/>
    <x v="1"/>
    <x v="0"/>
    <s v="N"/>
    <n v="8.6956521739130432E-2"/>
    <n v="8.6956521739130432E-2"/>
    <n v="0"/>
    <n v="0"/>
    <n v="-2"/>
    <n v="0"/>
    <n v="2"/>
    <e v="#VALUE!"/>
    <n v="2"/>
    <n v="0"/>
    <n v="21"/>
    <n v="1"/>
    <s v="Y"/>
    <m/>
    <s v="0-10 DAYS"/>
    <n v="1"/>
    <x v="0"/>
  </r>
  <r>
    <n v="1367"/>
    <s v="N"/>
    <s v="N"/>
    <n v="677607"/>
    <n v="4"/>
    <d v="2012-02-20T00:00:00"/>
    <d v="2012-06-07T00:00:00"/>
    <n v="677607"/>
    <d v="2012-02-20T00:00:00"/>
    <d v="2012-06-07T00:00:00"/>
    <n v="15000"/>
    <x v="0"/>
    <m/>
    <s v="N"/>
    <s v="NONE"/>
    <s v="GUILTY PLEA - NO JURY"/>
    <n v="109"/>
    <n v="109"/>
    <n v="5"/>
    <n v="3"/>
    <n v="3"/>
    <m/>
    <m/>
    <m/>
    <m/>
    <m/>
    <m/>
    <m/>
    <m/>
    <d v="1961-05-09T00:00:00"/>
    <s v="M"/>
    <s v="B"/>
    <s v="BLACK"/>
    <s v="NON-HISPANIC"/>
    <s v="174"/>
    <s v="CONVICTED"/>
    <n v="6"/>
    <s v="HCJ"/>
    <m/>
    <m/>
    <n v="240"/>
    <s v="POSS CS PG 1 &lt;1G"/>
    <m/>
    <s v="FS"/>
    <s v="POSS DRUG"/>
    <m/>
    <m/>
    <m/>
    <m/>
    <m/>
    <m/>
    <m/>
    <m/>
    <m/>
    <s v="Appointed Attorney"/>
    <m/>
    <m/>
    <n v="109"/>
    <n v="109"/>
    <n v="109"/>
    <n v="50.680327868852459"/>
    <n v="0"/>
    <n v="0"/>
    <s v="CONVICTION"/>
    <x v="0"/>
    <s v="N"/>
    <m/>
    <s v="CONVICTION"/>
    <s v="Y"/>
    <x v="0"/>
    <x v="0"/>
    <s v="Y"/>
    <n v="1"/>
    <n v="1"/>
    <n v="0"/>
    <n v="0"/>
    <n v="-109"/>
    <n v="0"/>
    <n v="109"/>
    <e v="#VALUE!"/>
    <n v="109"/>
    <n v="0"/>
    <n v="0"/>
    <n v="108"/>
    <s v="Y"/>
    <m/>
    <s v="91-120 DAYS"/>
    <n v="0"/>
    <x v="0"/>
  </r>
  <r>
    <n v="1799"/>
    <s v="N"/>
    <s v="N"/>
    <n v="679715"/>
    <n v="4"/>
    <d v="2012-03-07T00:00:00"/>
    <d v="2012-03-13T00:00:00"/>
    <n v="679715"/>
    <d v="2012-03-08T00:00:00"/>
    <d v="2012-03-13T00:00:00"/>
    <n v="15000"/>
    <x v="0"/>
    <m/>
    <s v="N"/>
    <s v="NONE"/>
    <s v="GUILTY PLEA - NO JURY"/>
    <n v="6"/>
    <n v="7"/>
    <n v="6"/>
    <n v="6"/>
    <n v="4"/>
    <m/>
    <m/>
    <m/>
    <m/>
    <m/>
    <m/>
    <m/>
    <m/>
    <d v="1964-06-26T00:00:00"/>
    <s v="M"/>
    <s v="B"/>
    <s v="BLACK"/>
    <s v="NON-HISPANIC"/>
    <s v="228"/>
    <s v="CONVICTED"/>
    <n v="2"/>
    <s v="HCJ"/>
    <m/>
    <m/>
    <n v="17"/>
    <s v="THEFT UNDER $1500 - 3RD OFF."/>
    <m/>
    <s v="FS"/>
    <s v="THEFT"/>
    <m/>
    <m/>
    <m/>
    <m/>
    <m/>
    <m/>
    <m/>
    <m/>
    <m/>
    <s v="Appointed Attorney"/>
    <m/>
    <m/>
    <n v="6"/>
    <n v="6"/>
    <n v="7"/>
    <n v="47.598360655737707"/>
    <n v="0"/>
    <n v="0"/>
    <s v="CONVICTION"/>
    <x v="0"/>
    <s v="N"/>
    <m/>
    <s v="CONVICTION"/>
    <s v="Y"/>
    <x v="0"/>
    <x v="0"/>
    <s v="Y"/>
    <n v="0.8571428571428571"/>
    <n v="1"/>
    <n v="0.1428571428571429"/>
    <n v="0"/>
    <n v="-6"/>
    <n v="0"/>
    <n v="6"/>
    <e v="#VALUE!"/>
    <n v="6"/>
    <n v="0"/>
    <n v="0"/>
    <n v="5"/>
    <s v="Y"/>
    <m/>
    <s v="0-10 DAYS"/>
    <n v="1"/>
    <x v="0"/>
  </r>
  <r>
    <n v="1079"/>
    <s v="N"/>
    <s v="Y"/>
    <n v="682570"/>
    <n v="6"/>
    <d v="2012-02-09T00:00:00"/>
    <d v="2013-01-09T00:00:00"/>
    <n v="682570"/>
    <d v="2012-03-31T00:00:00"/>
    <d v="2012-05-02T00:00:00"/>
    <n v="30000"/>
    <x v="2"/>
    <d v="2012-05-02T00:00:00"/>
    <s v="Y"/>
    <s v="SURETY"/>
    <s v="GUILTY PLEA - NO JURY"/>
    <n v="68"/>
    <n v="336"/>
    <n v="15"/>
    <n v="7"/>
    <n v="6"/>
    <n v="1"/>
    <m/>
    <m/>
    <m/>
    <m/>
    <m/>
    <m/>
    <m/>
    <d v="1965-12-12T00:00:00"/>
    <s v="M"/>
    <s v="B"/>
    <s v="BLACK"/>
    <s v="NON-HISPANIC"/>
    <s v="339"/>
    <s v="CONVICTED"/>
    <n v="4"/>
    <s v="TDC"/>
    <n v="3"/>
    <m/>
    <m/>
    <s v="AGG ROBBERY-DEADLY WPN"/>
    <m/>
    <s v="F1"/>
    <s v="ROBBERY"/>
    <s v="convicted on another charge"/>
    <s v="book 11/4/12"/>
    <s v="Y"/>
    <d v="2012-07-26T00:00:00"/>
    <m/>
    <m/>
    <d v="2012-11-04T00:00:00"/>
    <d v="2012-11-13T00:00:00"/>
    <n v="433"/>
    <s v="Appointed Attorney"/>
    <m/>
    <m/>
    <n v="68"/>
    <n v="285"/>
    <n v="336"/>
    <n v="46.065573770491802"/>
    <n v="0"/>
    <n v="-252"/>
    <s v="CONVICTION"/>
    <x v="1"/>
    <s v="Y"/>
    <m/>
    <s v="CONVICTION"/>
    <s v="Y"/>
    <x v="0"/>
    <x v="0"/>
    <s v="Y"/>
    <n v="0.20238095238095238"/>
    <n v="0.11578947368421053"/>
    <n v="-8.6591478696741858E-2"/>
    <n v="0"/>
    <n v="-33"/>
    <n v="35"/>
    <n v="285"/>
    <n v="68"/>
    <n v="285"/>
    <n v="252"/>
    <n v="252"/>
    <n v="-32"/>
    <s v="Y"/>
    <m/>
    <s v="61-90 DAYS"/>
    <n v="4"/>
    <x v="0"/>
  </r>
  <r>
    <n v="1388"/>
    <s v="N"/>
    <s v="N"/>
    <n v="684804"/>
    <n v="5"/>
    <d v="2012-02-21T00:00:00"/>
    <d v="2012-02-24T00:00:00"/>
    <n v="684804"/>
    <d v="2012-02-23T00:00:00"/>
    <d v="2012-02-24T00:00:00"/>
    <n v="15000"/>
    <x v="0"/>
    <m/>
    <s v="N"/>
    <s v="NONE"/>
    <s v="GUILTY PLEA - NO JURY"/>
    <n v="2"/>
    <n v="4"/>
    <n v="5"/>
    <n v="8"/>
    <n v="3"/>
    <m/>
    <m/>
    <m/>
    <m/>
    <m/>
    <m/>
    <m/>
    <m/>
    <d v="1968-02-05T00:00:00"/>
    <s v="M"/>
    <s v="B"/>
    <s v="BLACK"/>
    <s v="NON-HISPANIC"/>
    <s v="183"/>
    <s v="CONVICTED"/>
    <n v="2"/>
    <s v="STJ"/>
    <m/>
    <n v="9"/>
    <m/>
    <s v="THEFT UNDER $1500 - 3RD OFF."/>
    <m/>
    <s v="FS"/>
    <s v="THEFT"/>
    <m/>
    <m/>
    <m/>
    <m/>
    <m/>
    <m/>
    <m/>
    <m/>
    <m/>
    <s v="Appointed Attorney"/>
    <m/>
    <m/>
    <n v="2"/>
    <n v="2"/>
    <n v="4"/>
    <n v="43.953551912568308"/>
    <n v="0"/>
    <n v="0"/>
    <s v="CONVICTION"/>
    <x v="0"/>
    <s v="N"/>
    <m/>
    <s v="CONVICTION"/>
    <s v="Y"/>
    <x v="0"/>
    <x v="0"/>
    <s v="Y"/>
    <n v="0.5"/>
    <n v="1"/>
    <n v="0.5"/>
    <n v="0"/>
    <n v="-2"/>
    <n v="0"/>
    <n v="2"/>
    <e v="#VALUE!"/>
    <n v="2"/>
    <n v="0"/>
    <n v="0"/>
    <n v="1"/>
    <s v="Y"/>
    <m/>
    <s v="0-10 DAYS"/>
    <n v="1"/>
    <x v="0"/>
  </r>
  <r>
    <n v="3125"/>
    <s v="N"/>
    <s v="N"/>
    <n v="687443"/>
    <n v="5"/>
    <d v="2012-04-25T00:00:00"/>
    <d v="2012-06-04T00:00:00"/>
    <n v="687443"/>
    <d v="2012-04-26T00:00:00"/>
    <d v="2012-06-04T00:00:00"/>
    <s v="NO BOND"/>
    <x v="1"/>
    <m/>
    <s v="N"/>
    <s v="NONE"/>
    <s v="GUILTY PLEA - NO JURY"/>
    <n v="40"/>
    <n v="41"/>
    <n v="0"/>
    <n v="1"/>
    <m/>
    <m/>
    <m/>
    <m/>
    <m/>
    <m/>
    <m/>
    <m/>
    <m/>
    <d v="1957-06-06T00:00:00"/>
    <s v="M"/>
    <s v="B"/>
    <s v="BLACK"/>
    <s v="NON-HISPANIC"/>
    <s v="178"/>
    <s v="CONVICTED"/>
    <n v="2"/>
    <s v="STJ"/>
    <m/>
    <n v="6"/>
    <m/>
    <s v="BURGLARY OF A BUILDING"/>
    <m/>
    <s v="FS"/>
    <s v="BURGLARY"/>
    <m/>
    <m/>
    <m/>
    <m/>
    <m/>
    <m/>
    <m/>
    <m/>
    <m/>
    <s v="Appointed Attorney"/>
    <m/>
    <m/>
    <n v="40"/>
    <n v="40"/>
    <n v="41"/>
    <n v="54.77322404371585"/>
    <n v="0"/>
    <n v="0"/>
    <s v="CONVICTION"/>
    <x v="0"/>
    <s v="N"/>
    <m/>
    <s v="CONVICTION"/>
    <s v="Y"/>
    <x v="0"/>
    <x v="0"/>
    <s v="N"/>
    <n v="0.97560975609756095"/>
    <n v="1"/>
    <n v="2.4390243902439046E-2"/>
    <n v="0"/>
    <n v="-40"/>
    <n v="0"/>
    <n v="40"/>
    <e v="#VALUE!"/>
    <n v="40"/>
    <n v="0"/>
    <n v="0"/>
    <n v="39"/>
    <s v="Y"/>
    <m/>
    <s v="31-60 DAYS"/>
    <n v="3"/>
    <x v="0"/>
  </r>
  <r>
    <n v="145"/>
    <s v="N"/>
    <s v="N"/>
    <n v="688282"/>
    <n v="6"/>
    <d v="2012-01-07T00:00:00"/>
    <d v="2012-03-22T00:00:00"/>
    <n v="688282"/>
    <d v="2012-01-07T00:00:00"/>
    <d v="2012-03-22T00:00:00"/>
    <n v="20000"/>
    <x v="0"/>
    <m/>
    <s v="N"/>
    <s v="NONE"/>
    <s v="GUILTY PLEA - NO JURY"/>
    <n v="76"/>
    <n v="76"/>
    <n v="6"/>
    <n v="8"/>
    <n v="3"/>
    <m/>
    <m/>
    <m/>
    <m/>
    <m/>
    <m/>
    <m/>
    <m/>
    <d v="1967-02-14T00:00:00"/>
    <s v="M"/>
    <s v="B"/>
    <s v="BLACK"/>
    <s v="NON-HISPANIC"/>
    <s v="185"/>
    <s v="CONVICTED"/>
    <n v="6"/>
    <s v="TDC"/>
    <n v="8"/>
    <m/>
    <m/>
    <s v="DWI 3RD OFFENDER BAC .08"/>
    <m/>
    <s v="F3"/>
    <s v="FEL DWI"/>
    <m/>
    <m/>
    <m/>
    <m/>
    <m/>
    <m/>
    <m/>
    <m/>
    <m/>
    <s v="Hired Attorney"/>
    <m/>
    <m/>
    <n v="76"/>
    <n v="76"/>
    <n v="76"/>
    <n v="44.803278688524593"/>
    <n v="0"/>
    <n v="0"/>
    <s v="CONVICTION"/>
    <x v="0"/>
    <s v="N"/>
    <m/>
    <s v="CONVICTION"/>
    <s v="Y"/>
    <x v="0"/>
    <x v="0"/>
    <s v="Y"/>
    <n v="1"/>
    <n v="1"/>
    <n v="0"/>
    <n v="0"/>
    <n v="-76"/>
    <n v="0"/>
    <n v="76"/>
    <e v="#VALUE!"/>
    <n v="76"/>
    <n v="0"/>
    <n v="0"/>
    <n v="75"/>
    <s v="Y"/>
    <m/>
    <s v="61-90 DAYS"/>
    <n v="4"/>
    <x v="0"/>
  </r>
  <r>
    <n v="118"/>
    <s v="N"/>
    <s v="N"/>
    <n v="690356"/>
    <n v="6"/>
    <d v="2012-01-06T00:00:00"/>
    <d v="2012-02-16T00:00:00"/>
    <n v="690356"/>
    <d v="2012-01-06T00:00:00"/>
    <d v="2012-02-16T00:00:00"/>
    <s v="NO BOND"/>
    <x v="1"/>
    <m/>
    <s v="N"/>
    <s v="NONE"/>
    <s v="GUILTY PLEA - NO JURY"/>
    <n v="42"/>
    <n v="42"/>
    <n v="6"/>
    <n v="7"/>
    <n v="1"/>
    <m/>
    <m/>
    <m/>
    <m/>
    <m/>
    <m/>
    <m/>
    <m/>
    <d v="1967-07-03T00:00:00"/>
    <s v="M"/>
    <s v="W"/>
    <s v="WHITE"/>
    <s v="NON-HISPANIC"/>
    <s v="183"/>
    <s v="CONVICTED"/>
    <n v="3"/>
    <s v="TDC"/>
    <n v="3"/>
    <m/>
    <m/>
    <s v="UNAUTH USE OF VEHICLE"/>
    <m/>
    <s v="FS"/>
    <s v="AUTO THEFT"/>
    <m/>
    <m/>
    <m/>
    <m/>
    <m/>
    <m/>
    <m/>
    <m/>
    <m/>
    <s v="Appointed Attorney"/>
    <m/>
    <m/>
    <n v="42"/>
    <n v="42"/>
    <n v="42"/>
    <n v="44.420765027322403"/>
    <n v="0"/>
    <n v="0"/>
    <s v="CONVICTION"/>
    <x v="0"/>
    <s v="N"/>
    <m/>
    <s v="CONVICTION"/>
    <s v="Y"/>
    <x v="0"/>
    <x v="0"/>
    <s v="Y"/>
    <n v="1"/>
    <n v="1"/>
    <n v="0"/>
    <n v="0"/>
    <n v="-42"/>
    <n v="0"/>
    <n v="42"/>
    <e v="#VALUE!"/>
    <n v="42"/>
    <n v="0"/>
    <n v="0"/>
    <n v="41"/>
    <s v="Y"/>
    <m/>
    <s v="31-60 DAYS"/>
    <n v="3"/>
    <x v="0"/>
  </r>
  <r>
    <n v="1689"/>
    <s v="N"/>
    <s v="N"/>
    <n v="690924"/>
    <n v="5"/>
    <d v="2012-03-03T00:00:00"/>
    <d v="2012-03-05T00:00:00"/>
    <n v="690924"/>
    <d v="2012-03-03T00:00:00"/>
    <d v="2012-03-05T00:00:00"/>
    <n v="15000"/>
    <x v="0"/>
    <m/>
    <s v="N"/>
    <s v="NONE"/>
    <s v="GUILTY PLEA - NO JURY"/>
    <n v="3"/>
    <n v="3"/>
    <n v="6"/>
    <n v="0"/>
    <n v="3"/>
    <m/>
    <m/>
    <m/>
    <m/>
    <m/>
    <m/>
    <m/>
    <m/>
    <d v="1968-01-21T00:00:00"/>
    <s v="M"/>
    <s v="B"/>
    <s v="BLACK"/>
    <s v="NON-HISPANIC"/>
    <s v="180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44.024590163934427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n v="2"/>
    <s v="Y"/>
    <m/>
    <s v="0-10 DAYS"/>
    <n v="1"/>
    <x v="0"/>
  </r>
  <r>
    <n v="1445"/>
    <s v="N"/>
    <s v="N"/>
    <n v="692542"/>
    <n v="2"/>
    <d v="2012-02-23T00:00:00"/>
    <d v="2013-01-18T00:00:00"/>
    <n v="692542"/>
    <d v="2012-02-28T00:00:00"/>
    <d v="2012-03-08T00:00:00"/>
    <n v="5000"/>
    <x v="4"/>
    <d v="2012-03-08T00:00:00"/>
    <s v="Y"/>
    <s v="SURETY"/>
    <s v="DEFERRED ADJUDICATION "/>
    <n v="10"/>
    <n v="331"/>
    <n v="1"/>
    <n v="2"/>
    <m/>
    <m/>
    <m/>
    <m/>
    <m/>
    <m/>
    <m/>
    <m/>
    <m/>
    <d v="1959-10-11T00:00:00"/>
    <s v="M"/>
    <s v="W"/>
    <s v="WHITE"/>
    <s v="NON-HISPANIC"/>
    <s v="263"/>
    <s v="DEFERRED"/>
    <n v="13"/>
    <s v="DEFERRED"/>
    <m/>
    <m/>
    <m/>
    <s v="THEFT UNDER $1500 - 3RD OFF."/>
    <m/>
    <s v="FS"/>
    <s v="THEFT"/>
    <m/>
    <m/>
    <m/>
    <m/>
    <m/>
    <m/>
    <m/>
    <m/>
    <m/>
    <s v="Hired Attorney"/>
    <m/>
    <m/>
    <n v="10"/>
    <n v="326"/>
    <n v="331"/>
    <n v="52.26229508196721"/>
    <n v="0"/>
    <n v="-316"/>
    <s v="DEFERRED"/>
    <x v="1"/>
    <s v="Y"/>
    <m/>
    <s v="DEFERRED"/>
    <s v="Y"/>
    <x v="1"/>
    <x v="0"/>
    <s v="Y"/>
    <n v="3.0211480362537766E-2"/>
    <n v="3.0674846625766871E-2"/>
    <n v="4.6336626322910496E-4"/>
    <n v="0"/>
    <n v="-10"/>
    <n v="0"/>
    <n v="10"/>
    <e v="#VALUE!"/>
    <n v="10"/>
    <n v="0"/>
    <n v="316"/>
    <n v="9"/>
    <s v="Y"/>
    <m/>
    <s v="0-10 DAYS"/>
    <n v="1"/>
    <x v="0"/>
  </r>
  <r>
    <n v="3177"/>
    <s v="N"/>
    <s v="N"/>
    <n v="694052"/>
    <n v="5"/>
    <d v="2012-04-26T00:00:00"/>
    <d v="2012-08-17T00:00:00"/>
    <n v="694052"/>
    <d v="2012-04-27T00:00:00"/>
    <d v="2012-08-17T00:00:00"/>
    <n v="15000"/>
    <x v="0"/>
    <m/>
    <s v="N"/>
    <s v="NONE"/>
    <s v="GUILTY PLEA - NO JURY"/>
    <n v="113"/>
    <n v="114"/>
    <n v="6"/>
    <n v="2"/>
    <n v="5"/>
    <m/>
    <m/>
    <m/>
    <m/>
    <m/>
    <m/>
    <m/>
    <m/>
    <d v="1964-01-18T00:00:00"/>
    <s v="M"/>
    <s v="B"/>
    <s v="BLACK"/>
    <s v="NON-HISPANIC"/>
    <s v="182"/>
    <s v="CONVICTED"/>
    <n v="4"/>
    <s v="STJ"/>
    <m/>
    <n v="6"/>
    <m/>
    <s v="TAMPER/FABRICATE EVIDENCE"/>
    <m/>
    <s v="F3"/>
    <s v="OTHER FEL"/>
    <m/>
    <m/>
    <m/>
    <m/>
    <m/>
    <m/>
    <m/>
    <m/>
    <m/>
    <s v="Appointed Attorney"/>
    <m/>
    <m/>
    <n v="113"/>
    <n v="113"/>
    <n v="114"/>
    <n v="48.172131147540981"/>
    <n v="0"/>
    <n v="0"/>
    <s v="CONVICTION"/>
    <x v="0"/>
    <s v="N"/>
    <m/>
    <s v="CONVICTION"/>
    <s v="Y"/>
    <x v="0"/>
    <x v="0"/>
    <s v="Y"/>
    <n v="0.99122807017543857"/>
    <n v="1"/>
    <n v="8.7719298245614308E-3"/>
    <n v="0"/>
    <n v="-113"/>
    <n v="0"/>
    <n v="113"/>
    <e v="#VALUE!"/>
    <n v="113"/>
    <n v="0"/>
    <n v="0"/>
    <n v="112"/>
    <s v="Y"/>
    <m/>
    <s v="91-120 DAYS"/>
    <n v="0"/>
    <x v="0"/>
  </r>
  <r>
    <n v="3065"/>
    <s v="N"/>
    <s v="N"/>
    <n v="694596"/>
    <n v="5"/>
    <d v="2012-04-23T00:00:00"/>
    <d v="2012-05-16T00:00:00"/>
    <n v="694596"/>
    <d v="2012-04-24T00:00:00"/>
    <d v="2012-05-16T00:00:00"/>
    <n v="15000"/>
    <x v="0"/>
    <m/>
    <s v="N"/>
    <s v="NONE"/>
    <s v="GUILTY PLEA - NO JURY"/>
    <n v="23"/>
    <n v="24"/>
    <n v="5"/>
    <n v="4"/>
    <n v="3"/>
    <m/>
    <m/>
    <m/>
    <m/>
    <m/>
    <m/>
    <m/>
    <m/>
    <d v="1965-08-30T00:00:00"/>
    <s v="M"/>
    <s v="B"/>
    <s v="BLACK"/>
    <s v="NON-HISPANIC"/>
    <s v="337"/>
    <s v="CONVICTED"/>
    <n v="2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23"/>
    <n v="23"/>
    <n v="24"/>
    <n v="46.551912568306008"/>
    <n v="0"/>
    <n v="0"/>
    <s v="CONVICTION"/>
    <x v="0"/>
    <s v="N"/>
    <m/>
    <s v="CONVICTION"/>
    <s v="Y"/>
    <x v="0"/>
    <x v="0"/>
    <s v="Y"/>
    <n v="0.95833333333333337"/>
    <n v="1"/>
    <n v="4.166666666666663E-2"/>
    <n v="0"/>
    <n v="-23"/>
    <n v="0"/>
    <n v="23"/>
    <e v="#VALUE!"/>
    <n v="23"/>
    <n v="0"/>
    <n v="0"/>
    <n v="22"/>
    <s v="Y"/>
    <m/>
    <s v="11-30 DAYS"/>
    <n v="2"/>
    <x v="0"/>
  </r>
  <r>
    <n v="2033"/>
    <s v="N"/>
    <s v="N"/>
    <n v="695175"/>
    <n v="3"/>
    <d v="2012-03-17T00:00:00"/>
    <d v="2012-10-23T00:00:00"/>
    <n v="695175"/>
    <d v="2012-03-17T00:00:00"/>
    <d v="2012-03-18T00:00:00"/>
    <n v="20000"/>
    <x v="0"/>
    <d v="2012-03-18T00:00:00"/>
    <s v="Y"/>
    <s v="SURETYPTRc"/>
    <s v="GUILTY PLEA - NO JURY"/>
    <n v="2"/>
    <n v="221"/>
    <n v="1"/>
    <n v="7"/>
    <m/>
    <m/>
    <m/>
    <m/>
    <m/>
    <m/>
    <m/>
    <m/>
    <m/>
    <d v="1967-06-03T00:00:00"/>
    <s v="M"/>
    <s v="H"/>
    <s v="HISPANIC"/>
    <s v="HISPANIC"/>
    <s v="178"/>
    <s v="CONVICTED"/>
    <n v="11"/>
    <s v="PROBATION"/>
    <m/>
    <m/>
    <n v="15"/>
    <s v="DWI 3RD OFFENDER BAC .08"/>
    <m/>
    <s v="F3"/>
    <s v="FEL DWI"/>
    <m/>
    <m/>
    <m/>
    <m/>
    <m/>
    <m/>
    <m/>
    <m/>
    <m/>
    <s v="Hired Attorney"/>
    <m/>
    <m/>
    <n v="2"/>
    <n v="221"/>
    <n v="221"/>
    <n v="44.696721311475407"/>
    <n v="0"/>
    <n v="-219"/>
    <s v="CONVICTION"/>
    <x v="1"/>
    <s v="Y"/>
    <m/>
    <s v="CONVICTION"/>
    <s v="Y"/>
    <x v="1"/>
    <x v="0"/>
    <s v="Y"/>
    <n v="9.0497737556561094E-3"/>
    <n v="9.0497737556561094E-3"/>
    <n v="0"/>
    <n v="0"/>
    <n v="-2"/>
    <n v="0"/>
    <n v="2"/>
    <e v="#VALUE!"/>
    <n v="2"/>
    <n v="0"/>
    <n v="219"/>
    <n v="1"/>
    <s v="Y"/>
    <m/>
    <s v="0-10 DAYS"/>
    <n v="1"/>
    <x v="0"/>
  </r>
  <r>
    <n v="801"/>
    <s v="N"/>
    <s v="N"/>
    <n v="695643"/>
    <n v="6"/>
    <d v="2012-01-31T00:00:00"/>
    <d v="2012-08-17T00:00:00"/>
    <n v="695643"/>
    <d v="2012-02-09T00:00:00"/>
    <d v="2012-03-27T00:00:00"/>
    <n v="50000"/>
    <x v="2"/>
    <d v="2012-03-27T00:00:00"/>
    <s v="Y"/>
    <s v="SURETY"/>
    <s v="GUILTY PLEA - NO JURY"/>
    <n v="48"/>
    <n v="200"/>
    <n v="5"/>
    <n v="6"/>
    <n v="4"/>
    <m/>
    <m/>
    <m/>
    <m/>
    <m/>
    <m/>
    <m/>
    <m/>
    <d v="1964-07-14T00:00:00"/>
    <s v="M"/>
    <s v="B"/>
    <s v="BLACK"/>
    <s v="NON-HISPANIC"/>
    <s v="180"/>
    <s v="CONVICTED"/>
    <n v="11"/>
    <s v="TDC"/>
    <n v="3"/>
    <m/>
    <m/>
    <s v="AGG ASSAULT W/DEADLY WEAPON"/>
    <m/>
    <s v="F2"/>
    <s v="ASLT-MURDR"/>
    <m/>
    <m/>
    <m/>
    <m/>
    <m/>
    <m/>
    <m/>
    <m/>
    <m/>
    <s v="Appointed Attorney"/>
    <m/>
    <m/>
    <n v="48"/>
    <n v="191"/>
    <n v="200"/>
    <n v="47.450819672131146"/>
    <n v="0"/>
    <n v="-143"/>
    <s v="CONVICTION"/>
    <x v="1"/>
    <s v="Y"/>
    <m/>
    <s v="CONVICTION"/>
    <s v="Y"/>
    <x v="1"/>
    <x v="0"/>
    <s v="Y"/>
    <n v="0.24"/>
    <n v="0.2513089005235602"/>
    <n v="1.1308900523560206E-2"/>
    <n v="0"/>
    <n v="-48"/>
    <n v="0"/>
    <n v="48"/>
    <e v="#VALUE!"/>
    <n v="48"/>
    <n v="0"/>
    <n v="143"/>
    <n v="47"/>
    <s v="Y"/>
    <m/>
    <s v="31-60 DAYS"/>
    <n v="3"/>
    <x v="0"/>
  </r>
  <r>
    <n v="1830"/>
    <s v="N"/>
    <s v="N"/>
    <n v="698582"/>
    <n v="5"/>
    <d v="2012-03-08T00:00:00"/>
    <d v="2012-08-24T00:00:00"/>
    <n v="698582"/>
    <d v="2012-06-09T00:00:00"/>
    <d v="2012-08-24T00:00:00"/>
    <s v="NO BOND"/>
    <x v="1"/>
    <m/>
    <s v="N"/>
    <s v="NONE"/>
    <s v="GUILTY PLEA - NO JURY"/>
    <n v="77"/>
    <n v="170"/>
    <n v="7"/>
    <n v="2"/>
    <n v="6"/>
    <m/>
    <m/>
    <m/>
    <m/>
    <m/>
    <m/>
    <m/>
    <m/>
    <d v="1955-12-25T00:00:00"/>
    <s v="M"/>
    <s v="B"/>
    <s v="BLACK"/>
    <s v="NON-HISPANIC"/>
    <s v="232"/>
    <s v="CONVICTED"/>
    <n v="6"/>
    <s v="STJ"/>
    <m/>
    <n v="9"/>
    <m/>
    <s v="FORGERY"/>
    <m/>
    <s v="FS"/>
    <s v="OTHER FEL"/>
    <m/>
    <m/>
    <m/>
    <m/>
    <m/>
    <m/>
    <m/>
    <m/>
    <m/>
    <s v="Public Defender"/>
    <m/>
    <m/>
    <n v="77"/>
    <n v="77"/>
    <n v="170"/>
    <n v="56.087431693989068"/>
    <n v="0"/>
    <n v="0"/>
    <s v="CONVICTION"/>
    <x v="0"/>
    <s v="N"/>
    <m/>
    <s v="CONVICTION"/>
    <s v="Y"/>
    <x v="0"/>
    <x v="0"/>
    <s v="Y"/>
    <n v="0.45294117647058824"/>
    <n v="1"/>
    <n v="0.54705882352941182"/>
    <n v="0"/>
    <n v="-77"/>
    <n v="0"/>
    <n v="77"/>
    <e v="#VALUE!"/>
    <n v="77"/>
    <n v="0"/>
    <n v="0"/>
    <n v="76"/>
    <s v="Y"/>
    <m/>
    <s v="61-90 DAYS"/>
    <n v="4"/>
    <x v="0"/>
  </r>
  <r>
    <n v="2923"/>
    <s v="N"/>
    <s v="N"/>
    <n v="698802"/>
    <n v="2"/>
    <d v="2012-04-18T00:00:00"/>
    <d v="2013-03-25T00:00:00"/>
    <n v="698802"/>
    <s v="NOT BOOKED"/>
    <s v="NOT BOOKED"/>
    <n v="35000"/>
    <x v="2"/>
    <d v="2012-04-19T00:00:00"/>
    <s v="Y"/>
    <s v="SURETY"/>
    <s v="DEFERRED ADJUDICATION "/>
    <n v="0"/>
    <n v="342"/>
    <n v="0"/>
    <n v="0"/>
    <m/>
    <m/>
    <m/>
    <m/>
    <m/>
    <m/>
    <m/>
    <m/>
    <m/>
    <d v="1958-04-10T00:00:00"/>
    <s v="M"/>
    <s v="B"/>
    <s v="BLACK"/>
    <s v="NULL"/>
    <s v="180"/>
    <s v="DEFERRED"/>
    <n v="13"/>
    <s v="DEFERRED"/>
    <m/>
    <m/>
    <m/>
    <s v="MAN/DEL CS PG III/IV 200-400 G"/>
    <m/>
    <s v="F1"/>
    <s v="SALE DRUG"/>
    <m/>
    <m/>
    <m/>
    <m/>
    <m/>
    <m/>
    <m/>
    <m/>
    <m/>
    <s v="Hired Attorney"/>
    <m/>
    <m/>
    <n v="0"/>
    <e v="#VALUE!"/>
    <n v="342"/>
    <n v="53.912568306010932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e v="#VALUE!"/>
    <e v="#VALUE!"/>
    <s v="N"/>
    <m/>
    <s v="0-10 DAYS"/>
    <n v="1"/>
    <x v="1"/>
  </r>
  <r>
    <n v="1626"/>
    <s v="N"/>
    <s v="N"/>
    <n v="703514"/>
    <n v="4"/>
    <d v="2012-03-01T00:00:00"/>
    <d v="2012-06-05T00:00:00"/>
    <n v="703514"/>
    <d v="2012-03-01T00:00:00"/>
    <d v="2012-06-05T00:00:00"/>
    <n v="15000"/>
    <x v="0"/>
    <m/>
    <s v="N"/>
    <s v="NONE"/>
    <s v="GUILTY PLEA - NO JURY"/>
    <n v="97"/>
    <n v="97"/>
    <n v="4"/>
    <n v="5"/>
    <n v="2"/>
    <m/>
    <m/>
    <m/>
    <m/>
    <m/>
    <m/>
    <m/>
    <m/>
    <d v="1958-01-02T00:00:00"/>
    <s v="M"/>
    <s v="B"/>
    <s v="BLACK"/>
    <s v="NON-HISPANIC"/>
    <s v="232"/>
    <s v="CONVICTED"/>
    <n v="6"/>
    <s v="HCJ"/>
    <m/>
    <m/>
    <n v="120"/>
    <s v="POSS CS PG 1 &lt;1G"/>
    <m/>
    <s v="FS"/>
    <s v="POSS DRUG"/>
    <m/>
    <m/>
    <m/>
    <m/>
    <m/>
    <m/>
    <m/>
    <m/>
    <m/>
    <s v="Public Defender"/>
    <m/>
    <m/>
    <n v="97"/>
    <n v="97"/>
    <n v="97"/>
    <n v="54.049180327868854"/>
    <n v="0"/>
    <n v="0"/>
    <s v="CONVICTION"/>
    <x v="0"/>
    <s v="N"/>
    <m/>
    <s v="CONVICTION"/>
    <s v="Y"/>
    <x v="0"/>
    <x v="0"/>
    <s v="Y"/>
    <n v="1"/>
    <n v="1"/>
    <n v="0"/>
    <n v="0"/>
    <n v="-97"/>
    <n v="0"/>
    <n v="97"/>
    <e v="#VALUE!"/>
    <n v="97"/>
    <n v="0"/>
    <n v="0"/>
    <n v="96"/>
    <s v="Y"/>
    <m/>
    <s v="91-120 DAYS"/>
    <n v="0"/>
    <x v="0"/>
  </r>
  <r>
    <n v="378"/>
    <s v="N"/>
    <s v="N"/>
    <n v="704131"/>
    <n v="6"/>
    <d v="2012-01-16T00:00:00"/>
    <d v="2012-02-17T00:00:00"/>
    <n v="704131"/>
    <d v="2012-02-15T00:00:00"/>
    <d v="2012-02-17T00:00:00"/>
    <s v="NO BOND"/>
    <x v="1"/>
    <m/>
    <s v="N"/>
    <s v="NONE"/>
    <s v="GUILTY PLEA - NO JURY"/>
    <n v="3"/>
    <n v="33"/>
    <n v="8"/>
    <n v="1"/>
    <n v="7"/>
    <m/>
    <m/>
    <m/>
    <m/>
    <m/>
    <m/>
    <m/>
    <m/>
    <d v="1965-07-13T00:00:00"/>
    <s v="M"/>
    <s v="B"/>
    <s v="BLACK"/>
    <s v="NULL"/>
    <s v="179"/>
    <s v="CONVICTED"/>
    <n v="2"/>
    <s v="TDC"/>
    <n v="3"/>
    <m/>
    <m/>
    <s v="THEFT &gt;=$20,000 &lt;$100,000"/>
    <m/>
    <s v="F3"/>
    <s v="THEFT"/>
    <m/>
    <m/>
    <m/>
    <m/>
    <m/>
    <m/>
    <m/>
    <m/>
    <m/>
    <s v="Appointed Attorney"/>
    <m/>
    <m/>
    <n v="3"/>
    <n v="3"/>
    <n v="33"/>
    <n v="46.415300546448087"/>
    <n v="0"/>
    <n v="0"/>
    <s v="CONVICTION"/>
    <x v="0"/>
    <s v="N"/>
    <m/>
    <s v="CONVICTION"/>
    <s v="Y"/>
    <x v="0"/>
    <x v="0"/>
    <s v="Y"/>
    <n v="9.0909090909090912E-2"/>
    <n v="1"/>
    <n v="0.90909090909090906"/>
    <n v="0"/>
    <n v="-3"/>
    <n v="0"/>
    <n v="3"/>
    <e v="#VALUE!"/>
    <n v="3"/>
    <n v="0"/>
    <n v="0"/>
    <n v="2"/>
    <s v="Y"/>
    <m/>
    <s v="0-10 DAYS"/>
    <n v="1"/>
    <x v="0"/>
  </r>
  <r>
    <n v="2928"/>
    <s v="N"/>
    <s v="N"/>
    <n v="705238"/>
    <n v="5"/>
    <d v="2012-04-18T00:00:00"/>
    <d v="2012-07-12T00:00:00"/>
    <n v="705238"/>
    <d v="2012-04-18T00:00:00"/>
    <d v="2012-07-12T00:00:00"/>
    <n v="15000"/>
    <x v="0"/>
    <m/>
    <s v="N"/>
    <s v="NONE"/>
    <s v="GUILTY PLEA - NO JURY"/>
    <n v="86"/>
    <n v="86"/>
    <n v="2"/>
    <n v="0"/>
    <n v="1"/>
    <n v="1"/>
    <m/>
    <m/>
    <m/>
    <m/>
    <m/>
    <m/>
    <m/>
    <d v="1956-06-15T00:00:00"/>
    <s v="M"/>
    <s v="B"/>
    <s v="BLACK"/>
    <s v="NULL"/>
    <s v="184"/>
    <s v="CONVICTED"/>
    <n v="7"/>
    <s v="STJ"/>
    <m/>
    <n v="6"/>
    <m/>
    <s v="POSS CS PG 1 &lt;1G"/>
    <m/>
    <s v="FS"/>
    <s v="POSS DRUG"/>
    <m/>
    <m/>
    <m/>
    <m/>
    <m/>
    <m/>
    <m/>
    <m/>
    <m/>
    <s v="Public Defender"/>
    <m/>
    <m/>
    <n v="86"/>
    <n v="86"/>
    <n v="86"/>
    <n v="55.72677595628415"/>
    <n v="0"/>
    <n v="0"/>
    <s v="CONVICTION"/>
    <x v="0"/>
    <s v="N"/>
    <m/>
    <s v="CONVICTION"/>
    <s v="Y"/>
    <x v="0"/>
    <x v="0"/>
    <s v="Y"/>
    <n v="1"/>
    <n v="1"/>
    <n v="0"/>
    <n v="0"/>
    <n v="-86"/>
    <n v="0"/>
    <n v="86"/>
    <e v="#VALUE!"/>
    <n v="86"/>
    <n v="0"/>
    <n v="0"/>
    <n v="85"/>
    <s v="Y"/>
    <m/>
    <s v="61-90 DAYS"/>
    <n v="4"/>
    <x v="0"/>
  </r>
  <r>
    <n v="3025"/>
    <s v="N"/>
    <s v="N"/>
    <n v="707803"/>
    <n v="6"/>
    <d v="2012-04-21T00:00:00"/>
    <d v="2012-08-28T00:00:00"/>
    <n v="707803"/>
    <d v="2012-04-22T00:00:00"/>
    <d v="2012-08-28T00:00:00"/>
    <s v="NO BOND"/>
    <x v="1"/>
    <m/>
    <s v="N"/>
    <s v="NONE"/>
    <s v="GUILTY PLEA - NO JURY"/>
    <n v="129"/>
    <n v="130"/>
    <n v="9"/>
    <n v="8"/>
    <n v="4"/>
    <m/>
    <m/>
    <m/>
    <m/>
    <m/>
    <m/>
    <m/>
    <m/>
    <d v="1968-06-13T00:00:00"/>
    <s v="F"/>
    <s v="B"/>
    <s v="BLACK"/>
    <s v="NON-HISPANIC"/>
    <s v="262"/>
    <s v="CONVICTED"/>
    <n v="8"/>
    <s v="TDC"/>
    <n v="8"/>
    <m/>
    <m/>
    <s v="ESCAPE-WHILE ARR/CONF-FELONY"/>
    <m/>
    <s v="F3"/>
    <s v="OTHER FEL"/>
    <m/>
    <m/>
    <m/>
    <m/>
    <m/>
    <m/>
    <m/>
    <m/>
    <m/>
    <s v="Appointed Attorney"/>
    <m/>
    <m/>
    <n v="129"/>
    <n v="129"/>
    <n v="130"/>
    <n v="43.765027322404372"/>
    <n v="0"/>
    <n v="0"/>
    <s v="CONVICTION"/>
    <x v="0"/>
    <s v="N"/>
    <m/>
    <s v="CONVICTION"/>
    <s v="Y"/>
    <x v="0"/>
    <x v="0"/>
    <s v="Y"/>
    <n v="0.99230769230769234"/>
    <n v="1"/>
    <n v="7.692307692307665E-3"/>
    <n v="0"/>
    <n v="-129"/>
    <n v="0"/>
    <n v="129"/>
    <e v="#VALUE!"/>
    <n v="129"/>
    <n v="0"/>
    <n v="0"/>
    <n v="128"/>
    <s v="Y"/>
    <m/>
    <s v="121-365 DAYS"/>
    <n v="6"/>
    <x v="0"/>
  </r>
  <r>
    <n v="1800"/>
    <s v="N"/>
    <s v="N"/>
    <n v="709427"/>
    <n v="5"/>
    <d v="2012-03-08T00:00:00"/>
    <d v="2012-03-09T00:00:00"/>
    <n v="709427"/>
    <d v="2012-03-08T00:00:00"/>
    <d v="2012-03-09T00:00:00"/>
    <n v="5000"/>
    <x v="4"/>
    <m/>
    <s v="N"/>
    <s v="NONE"/>
    <s v="GUILTY PLEA - NO JURY"/>
    <n v="2"/>
    <n v="2"/>
    <n v="2"/>
    <n v="2"/>
    <n v="1"/>
    <n v="1"/>
    <m/>
    <m/>
    <m/>
    <m/>
    <m/>
    <m/>
    <m/>
    <d v="1966-03-13T00:00:00"/>
    <s v="M"/>
    <s v="W"/>
    <s v="WHITE"/>
    <s v="NULL"/>
    <s v="182"/>
    <s v="CONVICTED"/>
    <n v="1"/>
    <s v="STJ"/>
    <m/>
    <n v="6"/>
    <m/>
    <s v="MAN/DEL CS PG I &lt;1GRAM"/>
    <m/>
    <s v="FS"/>
    <s v="SALE DRUG"/>
    <m/>
    <m/>
    <m/>
    <m/>
    <m/>
    <m/>
    <m/>
    <m/>
    <m/>
    <s v="Appointed Attorney"/>
    <m/>
    <m/>
    <n v="2"/>
    <n v="2"/>
    <n v="2"/>
    <n v="45.893442622950822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n v="1"/>
    <s v="Y"/>
    <m/>
    <s v="0-10 DAYS"/>
    <n v="1"/>
    <x v="0"/>
  </r>
  <r>
    <n v="1027"/>
    <s v="N"/>
    <s v="N"/>
    <n v="714546"/>
    <n v="5"/>
    <d v="2012-02-08T00:00:00"/>
    <d v="2012-06-21T00:00:00"/>
    <n v="714546"/>
    <d v="2012-02-08T00:00:00"/>
    <d v="2012-06-21T00:00:00"/>
    <n v="15000"/>
    <x v="0"/>
    <m/>
    <s v="N"/>
    <s v="NONE"/>
    <s v="GUILTY PLEA - NO JURY"/>
    <n v="135"/>
    <n v="135"/>
    <n v="8"/>
    <n v="1"/>
    <n v="4"/>
    <m/>
    <m/>
    <m/>
    <m/>
    <m/>
    <m/>
    <m/>
    <m/>
    <d v="1956-09-02T00:00:00"/>
    <s v="M"/>
    <s v="B"/>
    <s v="BLACK"/>
    <s v="NON-HISPANIC"/>
    <s v="262"/>
    <s v="CONVICTED"/>
    <n v="6"/>
    <s v="STJ"/>
    <m/>
    <n v="6"/>
    <m/>
    <s v="MAN/DEL CS PG I &lt;1GRAM"/>
    <m/>
    <s v="FS"/>
    <s v="SALE DRUG"/>
    <m/>
    <m/>
    <m/>
    <m/>
    <m/>
    <m/>
    <m/>
    <m/>
    <m/>
    <s v="Appointed Attorney"/>
    <m/>
    <m/>
    <n v="135"/>
    <n v="135"/>
    <n v="135"/>
    <n v="55.319672131147541"/>
    <n v="0"/>
    <n v="0"/>
    <s v="CONVICTION"/>
    <x v="0"/>
    <s v="N"/>
    <m/>
    <s v="CONVICTION"/>
    <s v="Y"/>
    <x v="0"/>
    <x v="0"/>
    <s v="Y"/>
    <n v="1"/>
    <n v="1"/>
    <n v="0"/>
    <n v="0"/>
    <n v="-135"/>
    <n v="0"/>
    <n v="135"/>
    <e v="#VALUE!"/>
    <n v="135"/>
    <n v="0"/>
    <n v="0"/>
    <n v="134"/>
    <s v="Y"/>
    <m/>
    <s v="121-365 DAYS"/>
    <n v="6"/>
    <x v="0"/>
  </r>
  <r>
    <n v="1638"/>
    <s v="N"/>
    <s v="N"/>
    <n v="720311"/>
    <n v="5"/>
    <d v="2012-03-01T00:00:00"/>
    <d v="2012-03-05T00:00:00"/>
    <n v="720311"/>
    <d v="2012-03-01T00:00:00"/>
    <d v="2012-03-05T00:00:00"/>
    <n v="15000"/>
    <x v="0"/>
    <m/>
    <s v="N"/>
    <s v="NONE"/>
    <s v="GUILTY PLEA - NO JURY"/>
    <n v="5"/>
    <n v="5"/>
    <n v="10"/>
    <n v="5"/>
    <n v="7"/>
    <m/>
    <m/>
    <m/>
    <m/>
    <m/>
    <m/>
    <m/>
    <m/>
    <d v="1963-05-13T00:00:00"/>
    <s v="M"/>
    <s v="B"/>
    <s v="BLACK"/>
    <s v="NON-HISPANIC"/>
    <s v="208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5"/>
    <n v="5"/>
    <n v="5"/>
    <n v="48.702185792349724"/>
    <n v="0"/>
    <n v="0"/>
    <s v="CONVICTION"/>
    <x v="0"/>
    <s v="N"/>
    <m/>
    <s v="CONVICTION"/>
    <s v="Y"/>
    <x v="0"/>
    <x v="0"/>
    <s v="Y"/>
    <n v="1"/>
    <n v="1"/>
    <n v="0"/>
    <n v="0"/>
    <n v="-5"/>
    <n v="0"/>
    <n v="5"/>
    <e v="#VALUE!"/>
    <n v="5"/>
    <n v="0"/>
    <n v="0"/>
    <n v="4"/>
    <s v="Y"/>
    <m/>
    <s v="0-10 DAYS"/>
    <n v="1"/>
    <x v="0"/>
  </r>
  <r>
    <n v="1480"/>
    <s v="N"/>
    <s v="N"/>
    <n v="724312"/>
    <n v="6"/>
    <d v="2012-02-24T00:00:00"/>
    <d v="2012-02-27T00:00:00"/>
    <n v="724312"/>
    <d v="2012-02-25T00:00:00"/>
    <d v="2012-02-27T00:00:00"/>
    <s v="NO BOND"/>
    <x v="1"/>
    <m/>
    <s v="N"/>
    <s v="NONE"/>
    <s v="GUILTY PLEA - NO JURY"/>
    <n v="3"/>
    <n v="4"/>
    <n v="6"/>
    <n v="3"/>
    <n v="5"/>
    <m/>
    <m/>
    <m/>
    <m/>
    <m/>
    <m/>
    <m/>
    <m/>
    <d v="1965-03-15T00:00:00"/>
    <s v="M"/>
    <s v="B"/>
    <s v="BLACK"/>
    <s v="NON-HISPANIC"/>
    <s v="177"/>
    <s v="CONVICTED"/>
    <n v="1"/>
    <s v="TDC"/>
    <n v="5"/>
    <m/>
    <m/>
    <s v="ROBBERY-THREATS"/>
    <m/>
    <s v="F2"/>
    <s v="ROBBERY"/>
    <m/>
    <m/>
    <m/>
    <m/>
    <m/>
    <m/>
    <m/>
    <m/>
    <m/>
    <s v="Appointed Attorney"/>
    <m/>
    <m/>
    <n v="3"/>
    <n v="3"/>
    <n v="4"/>
    <n v="46.849726775956285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n v="2"/>
    <s v="Y"/>
    <m/>
    <s v="0-10 DAYS"/>
    <n v="1"/>
    <x v="0"/>
  </r>
  <r>
    <n v="1395"/>
    <s v="N"/>
    <s v="N"/>
    <n v="728093"/>
    <n v="4"/>
    <d v="2012-02-21T00:00:00"/>
    <d v="2012-08-30T00:00:00"/>
    <n v="728093"/>
    <s v="NOT BOOKED"/>
    <s v="NOT BOOKED"/>
    <n v="2000"/>
    <x v="5"/>
    <d v="2012-02-22T00:00:00"/>
    <s v="Y"/>
    <s v="SURETY"/>
    <s v="GUILTY PLEA - NO JURY"/>
    <n v="0"/>
    <n v="192"/>
    <n v="0"/>
    <n v="2"/>
    <m/>
    <m/>
    <m/>
    <m/>
    <m/>
    <m/>
    <m/>
    <s v="S"/>
    <m/>
    <d v="1963-06-10T00:00:00"/>
    <s v="M"/>
    <s v="H"/>
    <s v="HISPANIC"/>
    <s v="NULL"/>
    <s v="182"/>
    <s v="CONVICTED"/>
    <n v="8"/>
    <s v="HCJ"/>
    <m/>
    <m/>
    <n v="8"/>
    <s v="FORGERY"/>
    <m/>
    <s v="FS"/>
    <s v="OTHER FEL"/>
    <m/>
    <m/>
    <m/>
    <m/>
    <m/>
    <m/>
    <m/>
    <m/>
    <m/>
    <s v="Hired Attorney"/>
    <m/>
    <m/>
    <n v="0"/>
    <n v="0"/>
    <n v="192"/>
    <n v="48.601092896174862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e v="#VALUE!"/>
    <e v="#VALUE!"/>
    <s v="Y"/>
    <m/>
    <s v="0-10 DAYS"/>
    <n v="1"/>
    <x v="1"/>
  </r>
  <r>
    <n v="2938"/>
    <s v="N"/>
    <s v="N"/>
    <n v="730440"/>
    <n v="5"/>
    <d v="2012-04-18T00:00:00"/>
    <d v="2012-04-25T00:00:00"/>
    <n v="730440"/>
    <d v="2012-04-20T00:00:00"/>
    <d v="2012-04-25T00:00:00"/>
    <n v="15000"/>
    <x v="0"/>
    <m/>
    <s v="N"/>
    <s v="NONE"/>
    <s v="GUILTY PLEA - NO JURY"/>
    <n v="6"/>
    <n v="8"/>
    <n v="9"/>
    <n v="5"/>
    <n v="6"/>
    <n v="1"/>
    <m/>
    <m/>
    <m/>
    <m/>
    <m/>
    <m/>
    <m/>
    <d v="1966-06-11T00:00:00"/>
    <s v="M"/>
    <s v="W"/>
    <s v="WHITE"/>
    <s v="NON-HISPANIC"/>
    <s v="177"/>
    <s v="CONVICTED"/>
    <n v="2"/>
    <s v="STJ"/>
    <m/>
    <n v="12"/>
    <m/>
    <s v="THEFT UNDER $1500 - 3RD OFF."/>
    <m/>
    <s v="FS"/>
    <s v="THEFT"/>
    <m/>
    <m/>
    <m/>
    <m/>
    <m/>
    <m/>
    <m/>
    <m/>
    <m/>
    <s v="Appointed Attorney"/>
    <m/>
    <m/>
    <n v="6"/>
    <n v="6"/>
    <n v="8"/>
    <n v="45.759562841530055"/>
    <n v="0"/>
    <n v="0"/>
    <s v="CONVICTION"/>
    <x v="0"/>
    <s v="N"/>
    <m/>
    <s v="CONVICTION"/>
    <s v="Y"/>
    <x v="0"/>
    <x v="0"/>
    <s v="Y"/>
    <n v="0.75"/>
    <n v="1"/>
    <n v="0.25"/>
    <n v="0"/>
    <n v="-6"/>
    <n v="0"/>
    <n v="6"/>
    <e v="#VALUE!"/>
    <n v="6"/>
    <n v="0"/>
    <n v="0"/>
    <n v="5"/>
    <s v="Y"/>
    <m/>
    <s v="0-10 DAYS"/>
    <n v="1"/>
    <x v="0"/>
  </r>
  <r>
    <n v="778"/>
    <s v="N"/>
    <s v="N"/>
    <n v="731980"/>
    <n v="5"/>
    <d v="2012-01-31T00:00:00"/>
    <d v="2012-05-10T00:00:00"/>
    <n v="731980"/>
    <d v="2012-01-31T00:00:00"/>
    <d v="2012-05-10T00:00:00"/>
    <n v="15000"/>
    <x v="0"/>
    <m/>
    <s v="N"/>
    <s v="NONE"/>
    <s v="GUILTY PLEA - NO JURY"/>
    <n v="101"/>
    <n v="101"/>
    <n v="6"/>
    <n v="11"/>
    <n v="5"/>
    <m/>
    <m/>
    <m/>
    <m/>
    <m/>
    <m/>
    <m/>
    <m/>
    <d v="1961-07-15T00:00:00"/>
    <s v="M"/>
    <s v="W"/>
    <s v="WHITE"/>
    <s v="NON-HISPANIC"/>
    <s v="184"/>
    <s v="CONVICTED"/>
    <n v="5"/>
    <s v="STJ"/>
    <m/>
    <n v="6"/>
    <m/>
    <s v="UNAUTH USE OF VEHICLE"/>
    <m/>
    <s v="FS"/>
    <s v="AUTO THEFT"/>
    <m/>
    <m/>
    <m/>
    <m/>
    <m/>
    <m/>
    <m/>
    <m/>
    <m/>
    <s v="Appointed Attorney"/>
    <m/>
    <m/>
    <n v="101"/>
    <n v="101"/>
    <n v="101"/>
    <n v="50.442622950819676"/>
    <n v="0"/>
    <n v="0"/>
    <s v="CONVICTION"/>
    <x v="0"/>
    <s v="N"/>
    <m/>
    <s v="CONVICTION"/>
    <s v="Y"/>
    <x v="0"/>
    <x v="0"/>
    <s v="Y"/>
    <n v="1"/>
    <n v="1"/>
    <n v="0"/>
    <n v="0"/>
    <n v="-101"/>
    <n v="0"/>
    <n v="101"/>
    <e v="#VALUE!"/>
    <n v="101"/>
    <n v="0"/>
    <n v="0"/>
    <n v="100"/>
    <s v="Y"/>
    <m/>
    <s v="91-120 DAYS"/>
    <n v="0"/>
    <x v="0"/>
  </r>
  <r>
    <n v="1630"/>
    <s v="Y"/>
    <s v="Y"/>
    <n v="734485"/>
    <n v="2"/>
    <d v="2012-03-01T00:00:00"/>
    <d v="2014-04-16T00:00:00"/>
    <n v="734485"/>
    <d v="2012-03-01T00:00:00"/>
    <d v="2012-03-03T00:00:00"/>
    <n v="2000"/>
    <x v="5"/>
    <d v="2012-03-03T00:00:00"/>
    <s v="Y"/>
    <s v="SURETY"/>
    <s v="DEFERRED ADJUDICATION "/>
    <n v="6"/>
    <n v="777"/>
    <n v="0"/>
    <n v="1"/>
    <m/>
    <m/>
    <m/>
    <m/>
    <m/>
    <m/>
    <m/>
    <m/>
    <m/>
    <d v="1967-08-29T00:00:00"/>
    <s v="M"/>
    <s v="H"/>
    <s v="HISPANIC"/>
    <s v="HISPANIC"/>
    <s v="209"/>
    <s v="DEFERRED"/>
    <n v="24"/>
    <s v="DEFERRED"/>
    <m/>
    <m/>
    <m/>
    <s v="POSS CS PG 1 &lt;1G"/>
    <m/>
    <s v="FS"/>
    <s v="POSS DRUG"/>
    <s v="recal detained days bf 9/5/12 bk 9/19/12  bond made 9/20/12"/>
    <m/>
    <s v="Y"/>
    <s v=" 9/5/12"/>
    <m/>
    <m/>
    <m/>
    <d v="2013-08-13T00:00:00"/>
    <n v="238"/>
    <s v="Hired Attorney"/>
    <s v="misd family assault 2/26/14  60 days"/>
    <m/>
    <n v="6"/>
    <n v="777"/>
    <n v="777"/>
    <n v="44.415300546448087"/>
    <n v="0"/>
    <n v="-774"/>
    <s v="DEFERRED"/>
    <x v="1"/>
    <s v="N"/>
    <m/>
    <s v="DEFERRED"/>
    <s v="Y"/>
    <x v="1"/>
    <x v="0"/>
    <s v="N"/>
    <n v="7.7220077220077222E-3"/>
    <s v="STILL OPEN"/>
    <n v="0"/>
    <n v="0"/>
    <n v="-3"/>
    <n v="3"/>
    <n v="3"/>
    <e v="#VALUE!"/>
    <n v="6"/>
    <m/>
    <n v="774"/>
    <n v="-2"/>
    <s v="Y"/>
    <e v="#N/A"/>
    <s v="0-10 DAYS"/>
    <n v="1"/>
    <x v="0"/>
  </r>
  <r>
    <n v="1453"/>
    <s v="N"/>
    <s v="N"/>
    <n v="734546"/>
    <n v="5"/>
    <d v="2012-02-23T00:00:00"/>
    <d v="2012-05-21T00:00:00"/>
    <n v="734546"/>
    <d v="2012-02-24T00:00:00"/>
    <d v="2012-05-21T00:00:00"/>
    <n v="15000"/>
    <x v="0"/>
    <m/>
    <s v="N"/>
    <s v="NONE"/>
    <s v="GUILTY PLEA - NO JURY"/>
    <n v="88"/>
    <n v="89"/>
    <n v="5"/>
    <n v="3"/>
    <n v="3"/>
    <m/>
    <m/>
    <m/>
    <m/>
    <m/>
    <m/>
    <m/>
    <m/>
    <d v="1966-12-27T00:00:00"/>
    <s v="M"/>
    <s v="B"/>
    <s v="BLACK"/>
    <s v="NON-HISPANIC"/>
    <s v="208"/>
    <s v="CONVICTED"/>
    <n v="4"/>
    <s v="STJ"/>
    <m/>
    <n v="6"/>
    <m/>
    <s v="THEFT $1500-20K"/>
    <m/>
    <s v="FS"/>
    <s v="THEFT"/>
    <m/>
    <m/>
    <m/>
    <m/>
    <m/>
    <m/>
    <m/>
    <m/>
    <m/>
    <s v="Appointed Attorney"/>
    <m/>
    <m/>
    <n v="88"/>
    <n v="88"/>
    <n v="89"/>
    <n v="45.065573770491802"/>
    <n v="0"/>
    <n v="0"/>
    <s v="CONVICTION"/>
    <x v="0"/>
    <s v="N"/>
    <m/>
    <s v="CONVICTION"/>
    <s v="Y"/>
    <x v="0"/>
    <x v="0"/>
    <s v="Y"/>
    <n v="0.9887640449438202"/>
    <n v="1"/>
    <n v="1.1235955056179803E-2"/>
    <n v="0"/>
    <n v="-88"/>
    <n v="0"/>
    <n v="88"/>
    <e v="#VALUE!"/>
    <n v="88"/>
    <n v="0"/>
    <n v="0"/>
    <n v="87"/>
    <s v="Y"/>
    <m/>
    <s v="61-90 DAYS"/>
    <n v="4"/>
    <x v="0"/>
  </r>
  <r>
    <n v="2246"/>
    <s v="N"/>
    <s v="N"/>
    <n v="741821"/>
    <n v="5"/>
    <d v="2012-03-26T00:00:00"/>
    <d v="2012-03-27T00:00:00"/>
    <n v="741821"/>
    <d v="2012-03-26T00:00:00"/>
    <d v="2012-03-27T00:00:00"/>
    <n v="15000"/>
    <x v="0"/>
    <m/>
    <s v="N"/>
    <s v="NONE"/>
    <s v="GUILTY PLEA - NO JURY"/>
    <n v="2"/>
    <n v="2"/>
    <n v="9"/>
    <n v="1"/>
    <n v="7"/>
    <m/>
    <m/>
    <m/>
    <m/>
    <m/>
    <m/>
    <m/>
    <m/>
    <d v="1952-01-11T00:00:00"/>
    <s v="M"/>
    <s v="B"/>
    <s v="BLACK"/>
    <s v="NON-HISPANIC"/>
    <s v="263"/>
    <s v="CONVICTED"/>
    <n v="1"/>
    <s v="STJ"/>
    <m/>
    <n v="7"/>
    <m/>
    <s v="POSS CS PG 1 &lt;1G"/>
    <m/>
    <s v="FS"/>
    <s v="POSS DRUG"/>
    <m/>
    <m/>
    <m/>
    <m/>
    <m/>
    <m/>
    <m/>
    <m/>
    <m/>
    <s v="Appointed Attorney"/>
    <m/>
    <m/>
    <n v="2"/>
    <n v="2"/>
    <n v="2"/>
    <n v="60.081967213114751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n v="1"/>
    <s v="Y"/>
    <m/>
    <s v="0-10 DAYS"/>
    <n v="1"/>
    <x v="0"/>
  </r>
  <r>
    <n v="2440"/>
    <s v="N"/>
    <s v="N"/>
    <n v="743342"/>
    <n v="5"/>
    <d v="2012-04-02T00:00:00"/>
    <d v="2012-04-11T00:00:00"/>
    <n v="743342"/>
    <d v="2012-04-02T00:00:00"/>
    <d v="2012-04-11T00:00:00"/>
    <s v="NO BOND"/>
    <x v="1"/>
    <m/>
    <s v="N"/>
    <s v="NONE"/>
    <s v="GUILTY PLEA - NO JURY"/>
    <n v="10"/>
    <n v="10"/>
    <n v="7"/>
    <n v="4"/>
    <n v="46"/>
    <m/>
    <m/>
    <m/>
    <m/>
    <m/>
    <m/>
    <m/>
    <m/>
    <d v="1966-04-05T00:00:00"/>
    <s v="M"/>
    <s v="B"/>
    <s v="BLACK"/>
    <s v="NON-HISPANIC"/>
    <s v="208"/>
    <s v="CONVICTED"/>
    <n v="2"/>
    <s v="STJ"/>
    <m/>
    <n v="10"/>
    <m/>
    <s v="POSS CS PG 1 &lt;1G"/>
    <m/>
    <s v="FS"/>
    <s v="POSS DRUG"/>
    <m/>
    <m/>
    <m/>
    <m/>
    <m/>
    <m/>
    <m/>
    <m/>
    <m/>
    <s v="Appointed Attorney"/>
    <m/>
    <m/>
    <n v="10"/>
    <n v="10"/>
    <n v="10"/>
    <n v="45.898907103825138"/>
    <n v="0"/>
    <n v="0"/>
    <s v="CONVICTION"/>
    <x v="0"/>
    <s v="N"/>
    <m/>
    <s v="CONVICTION"/>
    <s v="Y"/>
    <x v="0"/>
    <x v="0"/>
    <s v="Y"/>
    <n v="1"/>
    <n v="1"/>
    <n v="0"/>
    <n v="0"/>
    <n v="-10"/>
    <n v="0"/>
    <n v="10"/>
    <e v="#VALUE!"/>
    <n v="10"/>
    <n v="0"/>
    <n v="0"/>
    <n v="9"/>
    <s v="Y"/>
    <m/>
    <s v="0-10 DAYS"/>
    <n v="1"/>
    <x v="0"/>
  </r>
  <r>
    <n v="2941"/>
    <s v="N"/>
    <s v="N"/>
    <n v="745249"/>
    <n v="5"/>
    <d v="2012-04-18T00:00:00"/>
    <d v="2012-08-06T00:00:00"/>
    <n v="745249"/>
    <d v="2012-04-18T00:00:00"/>
    <d v="2012-08-06T00:00:00"/>
    <n v="15000"/>
    <x v="0"/>
    <m/>
    <s v="N"/>
    <s v="NONE"/>
    <s v="GUILTY PLEA - NO JURY"/>
    <n v="111"/>
    <n v="111"/>
    <n v="10"/>
    <n v="6"/>
    <n v="6"/>
    <m/>
    <m/>
    <m/>
    <m/>
    <m/>
    <m/>
    <m/>
    <m/>
    <d v="1968-08-29T00:00:00"/>
    <s v="M"/>
    <s v="W"/>
    <s v="WHITE"/>
    <s v="NON-HISPANIC"/>
    <s v="230"/>
    <s v="CONVICTED"/>
    <n v="5"/>
    <s v="STJ"/>
    <m/>
    <n v="12"/>
    <m/>
    <s v="POSS CS PG 1 &lt;1G"/>
    <m/>
    <s v="FS"/>
    <s v="POSS DRUG"/>
    <m/>
    <m/>
    <m/>
    <m/>
    <m/>
    <m/>
    <m/>
    <m/>
    <m/>
    <s v="Appointed Attorney"/>
    <m/>
    <m/>
    <n v="111"/>
    <n v="111"/>
    <n v="111"/>
    <n v="43.546448087431692"/>
    <n v="0"/>
    <n v="0"/>
    <s v="CONVICTION"/>
    <x v="0"/>
    <s v="N"/>
    <m/>
    <s v="CONVICTION"/>
    <s v="Y"/>
    <x v="0"/>
    <x v="0"/>
    <s v="Y"/>
    <n v="1"/>
    <n v="1"/>
    <n v="0"/>
    <n v="0"/>
    <n v="-111"/>
    <n v="0"/>
    <n v="111"/>
    <e v="#VALUE!"/>
    <n v="111"/>
    <n v="0"/>
    <n v="0"/>
    <n v="110"/>
    <s v="Y"/>
    <m/>
    <s v="91-120 DAYS"/>
    <n v="0"/>
    <x v="0"/>
  </r>
  <r>
    <n v="2046"/>
    <s v="N"/>
    <s v="N"/>
    <n v="747962"/>
    <n v="5"/>
    <d v="2012-03-17T00:00:00"/>
    <d v="2012-03-19T00:00:00"/>
    <n v="747962"/>
    <d v="2012-03-18T00:00:00"/>
    <d v="2012-03-19T00:00:00"/>
    <n v="15000"/>
    <x v="0"/>
    <m/>
    <s v="N"/>
    <s v="NONE"/>
    <s v="GUILTY PLEA - NO JURY"/>
    <n v="2"/>
    <n v="3"/>
    <n v="5"/>
    <n v="6"/>
    <n v="3"/>
    <m/>
    <m/>
    <m/>
    <m/>
    <m/>
    <m/>
    <m/>
    <m/>
    <d v="1966-01-20T00:00:00"/>
    <s v="F"/>
    <s v="B"/>
    <s v="BLACK"/>
    <s v="NON-HISPANIC"/>
    <s v="262"/>
    <s v="CONVICTED"/>
    <n v="1"/>
    <s v="STJ"/>
    <m/>
    <n v="9"/>
    <m/>
    <s v="THEFT UNDER $1500 - 3RD OFF."/>
    <m/>
    <s v="FS"/>
    <s v="THEFT"/>
    <m/>
    <m/>
    <m/>
    <m/>
    <m/>
    <m/>
    <m/>
    <m/>
    <m/>
    <s v="Appointed Attorney"/>
    <m/>
    <m/>
    <n v="2"/>
    <n v="2"/>
    <n v="3"/>
    <n v="46.060109289617486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n v="1"/>
    <s v="Y"/>
    <m/>
    <s v="0-10 DAYS"/>
    <n v="1"/>
    <x v="0"/>
  </r>
  <r>
    <n v="2163"/>
    <s v="N"/>
    <s v="N"/>
    <n v="749020"/>
    <n v="2"/>
    <d v="2012-03-22T00:00:00"/>
    <d v="2012-03-23T00:00:00"/>
    <n v="749020"/>
    <s v="NOT BOOKED"/>
    <s v="NOT BOOKED"/>
    <n v="2000"/>
    <x v="5"/>
    <d v="2012-03-22T00:00:00"/>
    <s v="Y"/>
    <s v="SURETY"/>
    <s v="DEFERRED ADJUDICATION "/>
    <n v="0"/>
    <n v="2"/>
    <n v="0"/>
    <n v="2"/>
    <m/>
    <m/>
    <m/>
    <m/>
    <m/>
    <m/>
    <m/>
    <m/>
    <m/>
    <d v="1960-07-17T00:00:00"/>
    <s v="M"/>
    <s v="W"/>
    <s v="WHITE"/>
    <s v="NULL"/>
    <s v="228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0"/>
    <n v="0"/>
    <n v="2"/>
    <n v="51.57377049180328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e v="#VALUE!"/>
    <e v="#VALUE!"/>
    <s v="Y"/>
    <m/>
    <s v="0-10 DAYS"/>
    <n v="1"/>
    <x v="1"/>
  </r>
  <r>
    <n v="615"/>
    <s v="N"/>
    <s v="N"/>
    <n v="751107"/>
    <n v="5"/>
    <d v="2012-01-25T00:00:00"/>
    <d v="2012-07-19T00:00:00"/>
    <n v="751107"/>
    <d v="2012-01-25T00:00:00"/>
    <d v="2012-02-29T00:00:00"/>
    <n v="7500"/>
    <x v="3"/>
    <d v="2012-02-29T00:00:00"/>
    <s v="Y"/>
    <s v="SURETY"/>
    <s v="GUILTY PLEA - NO JURY"/>
    <n v="36"/>
    <n v="177"/>
    <n v="1"/>
    <n v="1"/>
    <n v="1"/>
    <m/>
    <m/>
    <m/>
    <m/>
    <m/>
    <m/>
    <m/>
    <m/>
    <d v="1964-07-11T00:00:00"/>
    <s v="M"/>
    <s v="W"/>
    <s v="WHITE"/>
    <s v="NON-HISPANIC"/>
    <s v="184"/>
    <s v="CONVICTED"/>
    <n v="6"/>
    <s v="STJ"/>
    <m/>
    <n v="10"/>
    <m/>
    <s v="UNAUTH USE OF VEHICLE"/>
    <m/>
    <s v="FS"/>
    <s v="AUTO THEFT"/>
    <m/>
    <m/>
    <m/>
    <m/>
    <m/>
    <m/>
    <m/>
    <m/>
    <m/>
    <s v="Appointed Attorney"/>
    <m/>
    <m/>
    <n v="36"/>
    <n v="177"/>
    <n v="177"/>
    <n v="47.442622950819676"/>
    <n v="0"/>
    <n v="-141"/>
    <s v="CONVICTION"/>
    <x v="1"/>
    <s v="Y"/>
    <m/>
    <s v="CONVICTION"/>
    <s v="Y"/>
    <x v="1"/>
    <x v="0"/>
    <s v="Y"/>
    <n v="0.20338983050847459"/>
    <n v="0.20338983050847459"/>
    <n v="0"/>
    <n v="0"/>
    <n v="-36"/>
    <n v="0"/>
    <n v="36"/>
    <e v="#VALUE!"/>
    <n v="36"/>
    <n v="0"/>
    <n v="141"/>
    <n v="35"/>
    <s v="Y"/>
    <m/>
    <s v="31-60 DAYS"/>
    <n v="3"/>
    <x v="0"/>
  </r>
  <r>
    <n v="2218"/>
    <s v="N"/>
    <s v="N"/>
    <n v="751239"/>
    <n v="6"/>
    <d v="2012-03-24T00:00:00"/>
    <d v="2012-07-02T00:00:00"/>
    <n v="751239"/>
    <d v="2012-03-24T00:00:00"/>
    <d v="2012-07-02T00:00:00"/>
    <s v="NO BOND"/>
    <x v="1"/>
    <m/>
    <s v="N"/>
    <s v="NONE"/>
    <s v="GUILTY PLEA - NO JURY"/>
    <n v="101"/>
    <n v="101"/>
    <n v="3"/>
    <n v="1"/>
    <n v="37"/>
    <m/>
    <m/>
    <m/>
    <m/>
    <m/>
    <m/>
    <m/>
    <m/>
    <d v="1960-01-23T00:00:00"/>
    <s v="M"/>
    <s v="B"/>
    <s v="BLACK"/>
    <s v="NON-HISPANIC"/>
    <s v="208"/>
    <s v="CONVICTED"/>
    <n v="5"/>
    <s v="TDC"/>
    <n v="11"/>
    <m/>
    <m/>
    <s v="POSS CS PG 1 &lt;1G"/>
    <m/>
    <s v="FS"/>
    <s v="POSS DRUG"/>
    <m/>
    <m/>
    <m/>
    <m/>
    <m/>
    <m/>
    <m/>
    <m/>
    <m/>
    <s v="Hired Attorney"/>
    <m/>
    <m/>
    <n v="101"/>
    <n v="101"/>
    <n v="101"/>
    <n v="52.060109289617486"/>
    <n v="0"/>
    <n v="0"/>
    <s v="CONVICTION"/>
    <x v="0"/>
    <s v="N"/>
    <m/>
    <s v="CONVICTION"/>
    <s v="Y"/>
    <x v="0"/>
    <x v="0"/>
    <s v="Y"/>
    <n v="1"/>
    <n v="1"/>
    <n v="0"/>
    <n v="0"/>
    <n v="-101"/>
    <n v="0"/>
    <n v="101"/>
    <e v="#VALUE!"/>
    <n v="101"/>
    <n v="0"/>
    <n v="0"/>
    <n v="100"/>
    <s v="Y"/>
    <m/>
    <s v="91-120 DAYS"/>
    <n v="0"/>
    <x v="0"/>
  </r>
  <r>
    <n v="1562"/>
    <s v="N"/>
    <s v="N"/>
    <n v="751260"/>
    <n v="5"/>
    <d v="2012-02-28T00:00:00"/>
    <d v="2012-04-10T00:00:00"/>
    <n v="751260"/>
    <d v="2012-02-28T00:00:00"/>
    <d v="2012-04-10T00:00:00"/>
    <n v="15000"/>
    <x v="0"/>
    <m/>
    <s v="N"/>
    <s v="NONE"/>
    <s v="GUILTY PLEA - NO JURY"/>
    <n v="43"/>
    <n v="43"/>
    <n v="6"/>
    <n v="3"/>
    <n v="5"/>
    <m/>
    <m/>
    <m/>
    <m/>
    <m/>
    <m/>
    <m/>
    <m/>
    <d v="1961-06-27T00:00:00"/>
    <s v="M"/>
    <s v="B"/>
    <s v="BLACK"/>
    <s v="NON-HISPANIC"/>
    <s v="176"/>
    <s v="CONVICTED"/>
    <n v="3"/>
    <s v="STJ"/>
    <m/>
    <n v="7"/>
    <m/>
    <s v="POSS CS PG 1 &lt;1G"/>
    <m/>
    <s v="FS"/>
    <s v="POSS DRUG"/>
    <m/>
    <m/>
    <m/>
    <m/>
    <m/>
    <m/>
    <m/>
    <m/>
    <m/>
    <s v="Appointed Attorney"/>
    <m/>
    <m/>
    <n v="43"/>
    <n v="43"/>
    <n v="43"/>
    <n v="50.568306010928964"/>
    <n v="0"/>
    <n v="0"/>
    <s v="CONVICTION"/>
    <x v="0"/>
    <s v="N"/>
    <m/>
    <s v="CONVICTION"/>
    <s v="Y"/>
    <x v="0"/>
    <x v="0"/>
    <s v="Y"/>
    <n v="1"/>
    <n v="1"/>
    <n v="0"/>
    <n v="0"/>
    <n v="-43"/>
    <n v="0"/>
    <n v="43"/>
    <e v="#VALUE!"/>
    <n v="43"/>
    <n v="0"/>
    <n v="0"/>
    <n v="42"/>
    <s v="Y"/>
    <m/>
    <s v="31-60 DAYS"/>
    <n v="3"/>
    <x v="0"/>
  </r>
  <r>
    <n v="1667"/>
    <s v="N"/>
    <s v="N"/>
    <n v="752558"/>
    <n v="6"/>
    <d v="2012-03-02T00:00:00"/>
    <d v="2012-07-05T00:00:00"/>
    <n v="752558"/>
    <d v="2012-07-02T00:00:00"/>
    <d v="2012-07-05T00:00:00"/>
    <n v="15000"/>
    <x v="0"/>
    <m/>
    <s v="N"/>
    <s v="NONE"/>
    <s v="GUILTY PLEA - NO JURY"/>
    <n v="4"/>
    <n v="126"/>
    <n v="4"/>
    <n v="3"/>
    <n v="2"/>
    <n v="1"/>
    <m/>
    <m/>
    <m/>
    <m/>
    <m/>
    <m/>
    <m/>
    <d v="1966-09-05T00:00:00"/>
    <s v="M"/>
    <s v="W"/>
    <s v="WHITE"/>
    <s v="NULL"/>
    <s v="179"/>
    <s v="CONVICTED"/>
    <n v="2"/>
    <s v="TDC"/>
    <n v="2"/>
    <m/>
    <m/>
    <s v="CREDIT/DEBIT CARD ABUSE"/>
    <m/>
    <s v="FS"/>
    <s v="OTHER FEL"/>
    <m/>
    <m/>
    <m/>
    <m/>
    <m/>
    <m/>
    <m/>
    <m/>
    <m/>
    <s v="Appointed Attorney"/>
    <m/>
    <m/>
    <n v="4"/>
    <n v="4"/>
    <n v="126"/>
    <n v="45.396174863387976"/>
    <n v="0"/>
    <n v="0"/>
    <s v="CONVICTION"/>
    <x v="0"/>
    <s v="N"/>
    <m/>
    <s v="CONVICTION"/>
    <s v="Y"/>
    <x v="0"/>
    <x v="0"/>
    <s v="Y"/>
    <n v="3.1746031746031744E-2"/>
    <n v="1"/>
    <n v="0.96825396825396826"/>
    <n v="0"/>
    <n v="-4"/>
    <n v="0"/>
    <n v="4"/>
    <e v="#VALUE!"/>
    <n v="4"/>
    <n v="0"/>
    <n v="0"/>
    <n v="3"/>
    <s v="Y"/>
    <m/>
    <s v="0-10 DAYS"/>
    <n v="1"/>
    <x v="0"/>
  </r>
  <r>
    <n v="1537"/>
    <s v="N"/>
    <s v="N"/>
    <n v="753825"/>
    <n v="6"/>
    <d v="2012-02-27T00:00:00"/>
    <d v="2012-09-13T00:00:00"/>
    <n v="753825"/>
    <d v="2012-02-27T00:00:00"/>
    <d v="2012-09-13T00:00:00"/>
    <s v="NO BOND"/>
    <x v="1"/>
    <m/>
    <s v="N"/>
    <s v="NONE"/>
    <s v="CONV BY JURY VERDICT"/>
    <n v="200"/>
    <n v="200"/>
    <n v="3"/>
    <n v="6"/>
    <n v="3"/>
    <m/>
    <m/>
    <m/>
    <m/>
    <m/>
    <m/>
    <m/>
    <m/>
    <d v="1955-05-02T00:00:00"/>
    <s v="M"/>
    <s v="B"/>
    <s v="BLACK"/>
    <s v="NON-HISPANIC"/>
    <s v="338"/>
    <s v="CONVICTED"/>
    <n v="13"/>
    <s v="TDC"/>
    <n v="12"/>
    <m/>
    <m/>
    <s v="AGG ASSAULT-FAMILY MEMBER"/>
    <m/>
    <s v="F2"/>
    <s v="ASLT-MURDR"/>
    <m/>
    <m/>
    <m/>
    <m/>
    <m/>
    <m/>
    <m/>
    <m/>
    <m/>
    <s v="Appointed Attorney"/>
    <m/>
    <m/>
    <n v="200"/>
    <n v="200"/>
    <n v="200"/>
    <n v="56.707650273224047"/>
    <n v="0"/>
    <n v="0"/>
    <s v="CONVICTION"/>
    <x v="0"/>
    <s v="N"/>
    <m/>
    <s v="CONVICTION"/>
    <s v="Y"/>
    <x v="0"/>
    <x v="0"/>
    <s v="Y"/>
    <n v="1"/>
    <n v="1"/>
    <n v="0"/>
    <n v="0"/>
    <n v="-200"/>
    <n v="0"/>
    <n v="200"/>
    <e v="#VALUE!"/>
    <n v="200"/>
    <n v="0"/>
    <n v="0"/>
    <n v="199"/>
    <s v="Y"/>
    <m/>
    <s v="121-365 DAYS"/>
    <n v="6"/>
    <x v="0"/>
  </r>
  <r>
    <n v="108"/>
    <s v="N"/>
    <s v="N"/>
    <n v="754144"/>
    <n v="1"/>
    <d v="2012-01-05T00:00:00"/>
    <d v="2012-03-27T00:00:00"/>
    <n v="754144"/>
    <d v="2012-01-06T00:00:00"/>
    <d v="2012-01-15T00:00:00"/>
    <n v="2000"/>
    <x v="5"/>
    <d v="2012-01-15T00:00:00"/>
    <s v="Y"/>
    <s v="SURETY"/>
    <s v="DISMISSED"/>
    <n v="10"/>
    <n v="83"/>
    <n v="0"/>
    <n v="3"/>
    <m/>
    <m/>
    <m/>
    <m/>
    <m/>
    <m/>
    <m/>
    <m/>
    <m/>
    <d v="1953-07-24T00:00:00"/>
    <s v="F"/>
    <s v="B"/>
    <s v="BLACK"/>
    <s v="NON-HISPANIC"/>
    <s v="174"/>
    <s v="DISMISSED"/>
    <n v="5"/>
    <s v="DISMISSED"/>
    <m/>
    <m/>
    <m/>
    <s v="MAN/DEL CS PG I &lt;1GRAM"/>
    <m/>
    <s v="FS"/>
    <s v="SALE DRUG"/>
    <m/>
    <m/>
    <m/>
    <m/>
    <m/>
    <m/>
    <m/>
    <m/>
    <m/>
    <s v="Appointed Attorney"/>
    <m/>
    <m/>
    <n v="10"/>
    <n v="82"/>
    <n v="83"/>
    <n v="58.330601092896174"/>
    <n v="0"/>
    <n v="-72"/>
    <s v="NO CONVICTION"/>
    <x v="1"/>
    <s v="Y"/>
    <m/>
    <s v="NO CONVICTION"/>
    <s v="Y"/>
    <x v="1"/>
    <x v="0"/>
    <s v="N"/>
    <n v="0.12048192771084337"/>
    <n v="0.12195121951219512"/>
    <n v="1.4692918013517464E-3"/>
    <n v="0"/>
    <n v="-10"/>
    <n v="0"/>
    <n v="10"/>
    <e v="#VALUE!"/>
    <n v="10"/>
    <n v="0"/>
    <n v="72"/>
    <n v="9"/>
    <s v="Y"/>
    <m/>
    <s v="0-10 DAYS"/>
    <n v="1"/>
    <x v="0"/>
  </r>
  <r>
    <n v="2514"/>
    <s v="N"/>
    <s v="N"/>
    <n v="755226"/>
    <n v="5"/>
    <d v="2012-04-04T00:00:00"/>
    <d v="2012-06-01T00:00:00"/>
    <n v="755226"/>
    <d v="2012-04-05T00:00:00"/>
    <d v="2012-06-01T00:00:00"/>
    <s v="NO BOND"/>
    <x v="1"/>
    <m/>
    <s v="N"/>
    <s v="NONE"/>
    <s v="GUILTY PLEA - NO JURY"/>
    <n v="58"/>
    <n v="59"/>
    <n v="8"/>
    <n v="3"/>
    <n v="6"/>
    <m/>
    <m/>
    <m/>
    <m/>
    <m/>
    <m/>
    <m/>
    <m/>
    <d v="1960-10-14T00:00:00"/>
    <s v="M"/>
    <s v="B"/>
    <s v="BLACK"/>
    <s v="NULL"/>
    <s v="183"/>
    <s v="CONVICTED"/>
    <n v="3"/>
    <s v="STJ"/>
    <m/>
    <n v="12"/>
    <m/>
    <s v="FORGERY"/>
    <m/>
    <s v="FS"/>
    <s v="OTHER FEL"/>
    <m/>
    <m/>
    <m/>
    <m/>
    <m/>
    <m/>
    <m/>
    <m/>
    <m/>
    <s v="Appointed Attorney"/>
    <m/>
    <m/>
    <n v="58"/>
    <n v="58"/>
    <n v="59"/>
    <n v="51.366120218579233"/>
    <n v="0"/>
    <n v="0"/>
    <s v="CONVICTION"/>
    <x v="0"/>
    <s v="N"/>
    <m/>
    <s v="CONVICTION"/>
    <s v="Y"/>
    <x v="0"/>
    <x v="0"/>
    <s v="Y"/>
    <n v="0.98305084745762716"/>
    <n v="1"/>
    <n v="1.6949152542372836E-2"/>
    <n v="0"/>
    <n v="-58"/>
    <n v="0"/>
    <n v="58"/>
    <e v="#VALUE!"/>
    <n v="58"/>
    <n v="0"/>
    <n v="0"/>
    <n v="57"/>
    <s v="Y"/>
    <m/>
    <s v="31-60 DAYS"/>
    <n v="3"/>
    <x v="0"/>
  </r>
  <r>
    <n v="1640"/>
    <s v="N"/>
    <s v="N"/>
    <n v="755895"/>
    <n v="5"/>
    <d v="2012-03-01T00:00:00"/>
    <d v="2012-04-26T00:00:00"/>
    <n v="755895"/>
    <d v="2012-03-01T00:00:00"/>
    <d v="2012-04-26T00:00:00"/>
    <n v="15000"/>
    <x v="0"/>
    <m/>
    <s v="N"/>
    <s v="NONE"/>
    <s v="GUILTY PLEA - NO JURY"/>
    <n v="57"/>
    <n v="57"/>
    <n v="4"/>
    <n v="5"/>
    <n v="3"/>
    <m/>
    <m/>
    <m/>
    <m/>
    <m/>
    <m/>
    <m/>
    <m/>
    <d v="1965-03-11T00:00:00"/>
    <s v="F"/>
    <s v="B"/>
    <s v="BLACK"/>
    <s v="NON-HISPANIC"/>
    <s v="337"/>
    <s v="CONVICTED"/>
    <n v="4"/>
    <s v="STJ"/>
    <m/>
    <n v="6"/>
    <m/>
    <s v="POSS CS PG 1 &lt;1G"/>
    <m/>
    <s v="FS"/>
    <s v="POSS DRUG"/>
    <m/>
    <m/>
    <m/>
    <m/>
    <m/>
    <m/>
    <m/>
    <m/>
    <m/>
    <s v="Public Defender"/>
    <m/>
    <m/>
    <n v="57"/>
    <n v="57"/>
    <n v="57"/>
    <n v="46.877049180327866"/>
    <n v="0"/>
    <n v="0"/>
    <s v="CONVICTION"/>
    <x v="0"/>
    <s v="N"/>
    <m/>
    <s v="CONVICTION"/>
    <s v="Y"/>
    <x v="0"/>
    <x v="0"/>
    <s v="Y"/>
    <n v="1"/>
    <n v="1"/>
    <n v="0"/>
    <n v="0"/>
    <n v="-57"/>
    <n v="0"/>
    <n v="57"/>
    <e v="#VALUE!"/>
    <n v="57"/>
    <n v="0"/>
    <n v="0"/>
    <n v="56"/>
    <s v="Y"/>
    <m/>
    <s v="31-60 DAYS"/>
    <n v="3"/>
    <x v="0"/>
  </r>
  <r>
    <n v="935"/>
    <s v="N"/>
    <s v="N"/>
    <n v="759413"/>
    <n v="5"/>
    <d v="2012-02-04T00:00:00"/>
    <d v="2012-02-07T00:00:00"/>
    <n v="759413"/>
    <d v="2012-02-04T00:00:00"/>
    <d v="2012-02-07T00:00:00"/>
    <n v="15000"/>
    <x v="0"/>
    <m/>
    <s v="N"/>
    <s v="NONE"/>
    <s v="GUILTY PLEA - NO JURY"/>
    <n v="4"/>
    <n v="4"/>
    <n v="3"/>
    <n v="0"/>
    <n v="3"/>
    <m/>
    <m/>
    <m/>
    <m/>
    <m/>
    <m/>
    <m/>
    <m/>
    <d v="1961-11-26T00:00:00"/>
    <s v="M"/>
    <s v="B"/>
    <s v="BLACK"/>
    <s v="NULL"/>
    <s v="208"/>
    <s v="CONVICTED"/>
    <n v="2"/>
    <s v="STJ"/>
    <m/>
    <n v="9"/>
    <m/>
    <s v="POSS CS PG 1 &lt;1G"/>
    <m/>
    <s v="FS"/>
    <s v="POSS DRUG"/>
    <m/>
    <m/>
    <m/>
    <m/>
    <m/>
    <m/>
    <m/>
    <m/>
    <m/>
    <s v="Appointed Attorney"/>
    <m/>
    <m/>
    <n v="4"/>
    <n v="4"/>
    <n v="4"/>
    <n v="50.087431693989068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n v="3"/>
    <s v="Y"/>
    <m/>
    <s v="0-10 DAYS"/>
    <n v="1"/>
    <x v="0"/>
  </r>
  <r>
    <n v="1730"/>
    <s v="N"/>
    <s v="N"/>
    <n v="769441"/>
    <n v="6"/>
    <d v="2012-03-05T00:00:00"/>
    <d v="2012-03-06T00:00:00"/>
    <n v="769441"/>
    <d v="2012-03-05T00:00:00"/>
    <d v="2012-03-06T00:00:00"/>
    <n v="10000"/>
    <x v="3"/>
    <m/>
    <s v="N"/>
    <s v="NONE"/>
    <s v="GUILTY PLEA - NO JURY"/>
    <n v="2"/>
    <n v="2"/>
    <n v="0"/>
    <n v="3"/>
    <m/>
    <m/>
    <m/>
    <m/>
    <m/>
    <m/>
    <m/>
    <m/>
    <m/>
    <d v="1968-07-16T00:00:00"/>
    <s v="M"/>
    <s v="B"/>
    <s v="BLACK"/>
    <s v="NON-HISPANIC"/>
    <s v="177"/>
    <s v="CONVICTED"/>
    <n v="1"/>
    <s v="TDC"/>
    <n v="2"/>
    <m/>
    <m/>
    <s v="DWI 3RD OFFENDER BAC .08"/>
    <m/>
    <s v="F3"/>
    <s v="FEL DWI"/>
    <m/>
    <m/>
    <m/>
    <m/>
    <m/>
    <m/>
    <m/>
    <m/>
    <m/>
    <s v="Appointed Attorney"/>
    <m/>
    <m/>
    <n v="2"/>
    <n v="2"/>
    <n v="2"/>
    <n v="43.546448087431692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n v="0"/>
    <n v="1"/>
    <s v="Y"/>
    <m/>
    <s v="0-10 DAYS"/>
    <n v="1"/>
    <x v="0"/>
  </r>
  <r>
    <n v="706"/>
    <s v="N"/>
    <s v="N"/>
    <n v="774151"/>
    <n v="6"/>
    <d v="2012-01-28T00:00:00"/>
    <d v="2012-08-07T00:00:00"/>
    <n v="774151"/>
    <d v="2012-01-28T00:00:00"/>
    <d v="2012-08-07T00:00:00"/>
    <n v="15000"/>
    <x v="0"/>
    <m/>
    <s v="N"/>
    <s v="NONE"/>
    <s v="GUILTY PLEA - NO JURY"/>
    <n v="193"/>
    <n v="193"/>
    <n v="6"/>
    <n v="8"/>
    <n v="5"/>
    <m/>
    <m/>
    <m/>
    <m/>
    <m/>
    <m/>
    <m/>
    <m/>
    <d v="1967-02-26T00:00:00"/>
    <s v="M"/>
    <s v="B"/>
    <s v="BLACK"/>
    <s v="NULL"/>
    <s v="263"/>
    <s v="CONVICTED"/>
    <n v="8"/>
    <s v="TDC"/>
    <n v="1"/>
    <m/>
    <m/>
    <s v="BURGLARY OF A BUILDING"/>
    <m/>
    <s v="FS"/>
    <s v="BURGLARY"/>
    <m/>
    <m/>
    <m/>
    <m/>
    <m/>
    <m/>
    <m/>
    <m/>
    <m/>
    <s v="Appointed Attorney"/>
    <m/>
    <m/>
    <n v="193"/>
    <n v="193"/>
    <n v="193"/>
    <n v="44.827868852459019"/>
    <n v="0"/>
    <n v="0"/>
    <s v="CONVICTION"/>
    <x v="0"/>
    <s v="N"/>
    <m/>
    <s v="CONVICTION"/>
    <s v="Y"/>
    <x v="0"/>
    <x v="0"/>
    <s v="Y"/>
    <n v="1"/>
    <n v="1"/>
    <n v="0"/>
    <n v="0"/>
    <n v="-193"/>
    <n v="0"/>
    <n v="193"/>
    <e v="#VALUE!"/>
    <n v="193"/>
    <n v="0"/>
    <n v="0"/>
    <n v="192"/>
    <s v="Y"/>
    <m/>
    <s v="121-365 DAYS"/>
    <n v="6"/>
    <x v="0"/>
  </r>
  <r>
    <n v="1898"/>
    <s v="N"/>
    <s v="N"/>
    <n v="776679"/>
    <n v="2"/>
    <d v="2012-03-11T00:00:00"/>
    <d v="2012-03-12T00:00:00"/>
    <n v="776679"/>
    <d v="2012-03-11T00:00:00"/>
    <d v="2012-03-12T00:00:00"/>
    <n v="2000"/>
    <x v="5"/>
    <m/>
    <s v="N"/>
    <s v="NONE"/>
    <s v="DEFERRED ADJUDICATION "/>
    <n v="2"/>
    <n v="2"/>
    <n v="0"/>
    <n v="2"/>
    <m/>
    <m/>
    <m/>
    <m/>
    <m/>
    <m/>
    <m/>
    <m/>
    <m/>
    <d v="1959-07-17T00:00:00"/>
    <s v="M"/>
    <s v="B"/>
    <s v="BLACK"/>
    <s v="NON-HISPANIC"/>
    <s v="184"/>
    <s v="DEFERRED"/>
    <n v="1"/>
    <s v="DEFERRED"/>
    <m/>
    <m/>
    <m/>
    <s v="POSS CS PG 1 &lt;1G"/>
    <m/>
    <s v="FS"/>
    <s v="POSS DRUG"/>
    <s v="FREP8/3/12  bk 8/24/12   motn adj guilt stj 5 mos "/>
    <m/>
    <m/>
    <m/>
    <m/>
    <m/>
    <m/>
    <m/>
    <m/>
    <s v="Appointed Attorney"/>
    <m/>
    <m/>
    <n v="2"/>
    <n v="2"/>
    <n v="2"/>
    <n v="52.543715846994537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n v="0"/>
    <n v="1"/>
    <s v="Y"/>
    <m/>
    <s v="0-10 DAYS"/>
    <n v="1"/>
    <x v="0"/>
  </r>
  <r>
    <n v="8"/>
    <s v="N"/>
    <s v="N"/>
    <n v="778190"/>
    <n v="1"/>
    <d v="2012-01-01T00:00:00"/>
    <d v="2012-03-05T00:00:00"/>
    <n v="778190"/>
    <d v="2012-01-05T00:00:00"/>
    <d v="2012-03-05T00:00:00"/>
    <s v="NO BOND"/>
    <x v="1"/>
    <m/>
    <s v="N"/>
    <s v="NONE"/>
    <s v="DISMISSED"/>
    <n v="61"/>
    <n v="65"/>
    <n v="8"/>
    <n v="3"/>
    <n v="6"/>
    <n v="1"/>
    <m/>
    <m/>
    <m/>
    <m/>
    <m/>
    <m/>
    <m/>
    <d v="1968-12-21T00:00:00"/>
    <s v="M"/>
    <s v="B"/>
    <s v="BLACK"/>
    <s v="NON-HISPANIC"/>
    <s v="177"/>
    <s v="DISMISSED"/>
    <n v="7"/>
    <s v="DISMISSED"/>
    <m/>
    <m/>
    <m/>
    <s v="FORGERY"/>
    <m/>
    <s v="FS"/>
    <s v="OTHER FEL"/>
    <m/>
    <m/>
    <m/>
    <m/>
    <m/>
    <m/>
    <m/>
    <m/>
    <m/>
    <s v="Hired Attorney"/>
    <m/>
    <m/>
    <n v="61"/>
    <n v="61"/>
    <n v="65"/>
    <n v="42.939890710382514"/>
    <n v="0"/>
    <n v="0"/>
    <s v="NO CONVICTION"/>
    <x v="0"/>
    <s v="N"/>
    <m/>
    <s v="NO CONVICTION"/>
    <s v="Y"/>
    <x v="0"/>
    <x v="0"/>
    <s v="Y"/>
    <n v="0.93846153846153846"/>
    <n v="1"/>
    <n v="6.1538461538461542E-2"/>
    <n v="0"/>
    <n v="-61"/>
    <n v="0"/>
    <n v="61"/>
    <e v="#VALUE!"/>
    <n v="61"/>
    <n v="0"/>
    <n v="0"/>
    <n v="60"/>
    <s v="Y"/>
    <m/>
    <s v="61-90 DAYS"/>
    <n v="4"/>
    <x v="0"/>
  </r>
  <r>
    <n v="1311"/>
    <s v="N"/>
    <s v="Y"/>
    <n v="779388"/>
    <n v="4"/>
    <d v="2012-02-17T00:00:00"/>
    <d v="2013-11-20T00:00:00"/>
    <n v="779388"/>
    <d v="2012-02-17T00:00:00"/>
    <d v="2012-04-15T00:00:00"/>
    <n v="10000"/>
    <x v="3"/>
    <d v="2012-04-15T00:00:00"/>
    <s v="Y"/>
    <s v="SURETY"/>
    <s v="GUILTY PLEA - NO JURY"/>
    <n v="101"/>
    <n v="643"/>
    <n v="8"/>
    <n v="6"/>
    <n v="4"/>
    <m/>
    <m/>
    <m/>
    <m/>
    <m/>
    <m/>
    <m/>
    <m/>
    <d v="1960-07-10T00:00:00"/>
    <s v="F"/>
    <s v="W"/>
    <s v="WHITE"/>
    <s v="NON-HISPANIC"/>
    <s v="177"/>
    <s v="CONVICTED"/>
    <n v="17"/>
    <s v="HCJ"/>
    <m/>
    <m/>
    <n v="104"/>
    <s v="THEFT UNDER $1500 - 3RD OFF."/>
    <m/>
    <s v="FS"/>
    <s v="THEFT"/>
    <s v="bk 4/13/13 bd remade 5/8/13, bk8/7/13  bd8/25/13, mot rev pro 9/13 "/>
    <s v="rev 10/5/12"/>
    <s v="Y"/>
    <d v="2013-07-25T00:00:00"/>
    <s v="Y"/>
    <m/>
    <m/>
    <d v="2013-09-13T00:00:00"/>
    <n v="259"/>
    <s v="Appointed Attorney"/>
    <m/>
    <m/>
    <n v="101"/>
    <n v="643"/>
    <n v="643"/>
    <n v="51.5"/>
    <n v="0"/>
    <n v="-584"/>
    <s v="CONVICTION"/>
    <x v="1"/>
    <s v="N"/>
    <m/>
    <s v="CONVICTION"/>
    <s v="Y"/>
    <x v="1"/>
    <x v="0"/>
    <s v="Y"/>
    <n v="0.15707620528771385"/>
    <n v="9.1757387247278388E-2"/>
    <n v="-6.5318818040435461E-2"/>
    <n v="0"/>
    <n v="-59"/>
    <n v="42"/>
    <n v="59"/>
    <n v="101"/>
    <m/>
    <n v="584"/>
    <n v="584"/>
    <n v="-58"/>
    <s v="Y"/>
    <m/>
    <s v="91-120 DAYS"/>
    <n v="0"/>
    <x v="0"/>
  </r>
  <r>
    <n v="2229"/>
    <s v="N"/>
    <s v="N"/>
    <n v="779984"/>
    <n v="4"/>
    <d v="2012-03-24T00:00:00"/>
    <d v="2012-03-26T00:00:00"/>
    <n v="779984"/>
    <d v="2012-03-25T00:00:00"/>
    <d v="2012-03-26T00:00:00"/>
    <n v="15000"/>
    <x v="0"/>
    <m/>
    <s v="N"/>
    <s v="NONE"/>
    <s v="GUILTY PLEA - NO JURY"/>
    <n v="2"/>
    <n v="3"/>
    <n v="5"/>
    <n v="7"/>
    <n v="3"/>
    <m/>
    <m/>
    <m/>
    <m/>
    <m/>
    <m/>
    <m/>
    <m/>
    <d v="1964-08-20T00:00:00"/>
    <s v="M"/>
    <s v="B"/>
    <s v="BLACK"/>
    <s v="NON-HISPANIC"/>
    <s v="184"/>
    <s v="CONVICTED"/>
    <n v="1"/>
    <s v="HCJ"/>
    <m/>
    <m/>
    <n v="240"/>
    <s v="THEFT UNDER $1500 - 3RD OFF."/>
    <m/>
    <s v="FS"/>
    <s v="THEFT"/>
    <s v="6/14/12 misd thf 8/13/12 fel thf  6m stj "/>
    <m/>
    <m/>
    <m/>
    <m/>
    <m/>
    <m/>
    <m/>
    <m/>
    <s v="Appointed Attorney"/>
    <m/>
    <m/>
    <n v="2"/>
    <n v="2"/>
    <n v="3"/>
    <n v="47.494535519125684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n v="1"/>
    <s v="Y"/>
    <m/>
    <s v="0-10 DAYS"/>
    <n v="1"/>
    <x v="0"/>
  </r>
  <r>
    <n v="1539"/>
    <s v="N"/>
    <s v="N"/>
    <n v="780535"/>
    <n v="5"/>
    <d v="2012-02-27T00:00:00"/>
    <d v="2012-02-28T00:00:00"/>
    <n v="780535"/>
    <d v="2012-02-27T00:00:00"/>
    <d v="2012-02-28T00:00:00"/>
    <n v="15000"/>
    <x v="0"/>
    <m/>
    <s v="N"/>
    <s v="NONE"/>
    <s v="GUILTY PLEA - NO JURY"/>
    <n v="2"/>
    <n v="2"/>
    <n v="8"/>
    <n v="6"/>
    <n v="6"/>
    <m/>
    <m/>
    <m/>
    <m/>
    <m/>
    <m/>
    <m/>
    <m/>
    <d v="1964-08-30T00:00:00"/>
    <s v="F"/>
    <s v="W"/>
    <s v="WHITE"/>
    <s v="NON-HISPANIC"/>
    <s v="177"/>
    <s v="CONVICTED"/>
    <n v="1"/>
    <s v="STJ"/>
    <m/>
    <n v="10"/>
    <m/>
    <s v="POSS CS PG 1 &lt;1G"/>
    <m/>
    <s v="FS"/>
    <s v="POSS DRUG"/>
    <m/>
    <m/>
    <m/>
    <m/>
    <m/>
    <m/>
    <m/>
    <m/>
    <m/>
    <s v="Appointed Attorney"/>
    <m/>
    <m/>
    <n v="2"/>
    <n v="2"/>
    <n v="2"/>
    <n v="47.396174863387976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n v="1"/>
    <s v="Y"/>
    <m/>
    <s v="0-10 DAYS"/>
    <n v="1"/>
    <x v="0"/>
  </r>
  <r>
    <n v="1470"/>
    <s v="N"/>
    <s v="N"/>
    <n v="787915"/>
    <n v="6"/>
    <d v="2012-02-23T00:00:00"/>
    <d v="2014-03-25T00:00:00"/>
    <n v="787915"/>
    <d v="2012-02-24T00:00:00"/>
    <m/>
    <s v="NO BOND"/>
    <x v="1"/>
    <m/>
    <s v="N"/>
    <s v="NONE"/>
    <s v="GUILTY PLEA - NO JURY"/>
    <n v="761"/>
    <n v="762"/>
    <n v="8"/>
    <n v="6"/>
    <n v="7"/>
    <m/>
    <m/>
    <m/>
    <m/>
    <m/>
    <m/>
    <m/>
    <m/>
    <d v="1967-08-21T00:00:00"/>
    <s v="M"/>
    <s v="B"/>
    <s v="BLACK"/>
    <s v="NON-HISPANIC"/>
    <s v="209"/>
    <s v="CONVICTED"/>
    <n v="19"/>
    <s v="TDC"/>
    <n v="4"/>
    <m/>
    <m/>
    <s v="INDECENCY CHILD-TB"/>
    <m/>
    <s v="F2"/>
    <s v="SEX ABUSE"/>
    <m/>
    <m/>
    <m/>
    <m/>
    <m/>
    <m/>
    <m/>
    <m/>
    <m/>
    <s v="Appointed Attorney"/>
    <m/>
    <m/>
    <n v="761"/>
    <n v="761"/>
    <n v="762"/>
    <n v="44.418032786885249"/>
    <n v="41723"/>
    <n v="-41723"/>
    <s v="CONVICTION"/>
    <x v="0"/>
    <s v="N"/>
    <m/>
    <s v="CONVICTION"/>
    <s v="Y"/>
    <x v="0"/>
    <x v="0"/>
    <s v="Y"/>
    <n v="0.99868766404199472"/>
    <n v="0.99870000000000003"/>
    <n v="0"/>
    <n v="0"/>
    <n v="40962"/>
    <n v="41723"/>
    <n v="761"/>
    <e v="#VALUE!"/>
    <n v="761"/>
    <m/>
    <n v="41723"/>
    <n v="-40963"/>
    <s v="Y"/>
    <e v="#N/A"/>
    <s v="&gt;2YRS&lt;3YRS"/>
    <n v="8"/>
    <x v="0"/>
  </r>
  <r>
    <n v="2891"/>
    <s v="N"/>
    <s v="N"/>
    <n v="792069"/>
    <n v="6"/>
    <d v="2012-04-17T00:00:00"/>
    <d v="2012-06-07T00:00:00"/>
    <n v="792069"/>
    <d v="2012-04-17T00:00:00"/>
    <d v="2012-06-07T00:00:00"/>
    <n v="10000"/>
    <x v="3"/>
    <m/>
    <s v="N"/>
    <s v="NONE"/>
    <s v="GUILTY PLEA - NO JURY"/>
    <n v="52"/>
    <n v="52"/>
    <n v="2"/>
    <n v="4"/>
    <n v="2"/>
    <m/>
    <m/>
    <m/>
    <m/>
    <m/>
    <m/>
    <m/>
    <m/>
    <d v="1948-11-02T00:00:00"/>
    <s v="M"/>
    <s v="W"/>
    <s v="WHITE"/>
    <s v="NON-HISPANIC"/>
    <s v="184"/>
    <s v="CONVICTED"/>
    <n v="3"/>
    <s v="TDC"/>
    <n v="2"/>
    <m/>
    <m/>
    <s v="FAIL TO COMPLY AS SEX OFFENDER"/>
    <m/>
    <s v="F3"/>
    <s v="OTHER FEL"/>
    <m/>
    <m/>
    <m/>
    <m/>
    <m/>
    <m/>
    <m/>
    <m/>
    <m/>
    <s v="Appointed Attorney"/>
    <m/>
    <m/>
    <n v="52"/>
    <n v="52"/>
    <n v="52"/>
    <n v="63.325136612021858"/>
    <n v="0"/>
    <n v="0"/>
    <s v="CONVICTION"/>
    <x v="0"/>
    <s v="N"/>
    <m/>
    <s v="CONVICTION"/>
    <s v="Y"/>
    <x v="0"/>
    <x v="0"/>
    <s v="Y"/>
    <n v="1"/>
    <n v="1"/>
    <n v="0"/>
    <n v="0"/>
    <n v="-52"/>
    <n v="0"/>
    <n v="52"/>
    <e v="#VALUE!"/>
    <n v="52"/>
    <n v="0"/>
    <n v="0"/>
    <n v="51"/>
    <s v="Y"/>
    <m/>
    <s v="31-60 DAYS"/>
    <n v="3"/>
    <x v="0"/>
  </r>
  <r>
    <n v="759"/>
    <s v="N"/>
    <s v="N"/>
    <n v="793569"/>
    <n v="4"/>
    <d v="2012-01-30T00:00:00"/>
    <d v="2012-08-23T00:00:00"/>
    <n v="793569"/>
    <d v="2012-01-31T00:00:00"/>
    <d v="2012-02-07T00:00:00"/>
    <n v="15000"/>
    <x v="0"/>
    <d v="2012-02-07T00:00:00"/>
    <s v="Y"/>
    <s v="SURETY"/>
    <s v="GUILTY PLEA - NO JURY"/>
    <n v="8"/>
    <n v="207"/>
    <n v="3"/>
    <n v="1"/>
    <n v="3"/>
    <m/>
    <m/>
    <m/>
    <m/>
    <m/>
    <m/>
    <m/>
    <m/>
    <d v="1942-07-19T00:00:00"/>
    <s v="M"/>
    <s v="B"/>
    <s v="BLACK"/>
    <s v="NULL"/>
    <s v="263"/>
    <s v="CONVICTED"/>
    <n v="8"/>
    <s v="HCJ"/>
    <m/>
    <m/>
    <n v="15"/>
    <s v="BURGLARY OF A BUILDING"/>
    <m/>
    <s v="FS"/>
    <s v="BURGLARY"/>
    <m/>
    <m/>
    <m/>
    <m/>
    <m/>
    <m/>
    <m/>
    <m/>
    <m/>
    <s v="Hired Attorney"/>
    <m/>
    <m/>
    <n v="8"/>
    <n v="206"/>
    <n v="207"/>
    <n v="69.39071038251366"/>
    <n v="0"/>
    <n v="-198"/>
    <s v="CONVICTION"/>
    <x v="1"/>
    <s v="Y"/>
    <m/>
    <s v="CONVICTION"/>
    <s v="Y"/>
    <x v="1"/>
    <x v="0"/>
    <s v="Y"/>
    <n v="3.864734299516908E-2"/>
    <n v="3.8834951456310676E-2"/>
    <n v="1.8760846114159596E-4"/>
    <n v="0"/>
    <n v="-8"/>
    <n v="0"/>
    <n v="8"/>
    <e v="#VALUE!"/>
    <n v="8"/>
    <n v="0"/>
    <n v="198"/>
    <n v="7"/>
    <s v="Y"/>
    <m/>
    <s v="0-10 DAYS"/>
    <n v="1"/>
    <x v="0"/>
  </r>
  <r>
    <n v="2970"/>
    <s v="N"/>
    <s v="N"/>
    <n v="794207"/>
    <n v="5"/>
    <d v="2012-04-19T00:00:00"/>
    <d v="2012-09-05T00:00:00"/>
    <n v="794207"/>
    <d v="2012-04-28T00:00:00"/>
    <d v="2012-09-05T00:00:00"/>
    <n v="15000"/>
    <x v="0"/>
    <m/>
    <s v="N"/>
    <s v="NONE"/>
    <s v="GUILTY PLEA - NO JURY"/>
    <n v="131"/>
    <n v="140"/>
    <n v="4"/>
    <n v="14"/>
    <n v="4"/>
    <m/>
    <m/>
    <m/>
    <m/>
    <m/>
    <m/>
    <m/>
    <m/>
    <d v="1967-09-08T00:00:00"/>
    <s v="M"/>
    <s v="W"/>
    <s v="WHITE"/>
    <s v="NON-HISPANIC"/>
    <s v="176"/>
    <s v="CONVICTED"/>
    <n v="6"/>
    <s v="STJ"/>
    <m/>
    <n v="6"/>
    <m/>
    <s v="FAIL TO REGISTER AS SEX OFFEND"/>
    <m/>
    <s v="FS"/>
    <s v="OTHER FEL"/>
    <m/>
    <m/>
    <m/>
    <m/>
    <m/>
    <m/>
    <m/>
    <m/>
    <m/>
    <s v="Appointed Attorney"/>
    <m/>
    <m/>
    <n v="131"/>
    <n v="131"/>
    <n v="140"/>
    <n v="44.521857923497265"/>
    <n v="0"/>
    <n v="0"/>
    <s v="CONVICTION"/>
    <x v="0"/>
    <s v="N"/>
    <m/>
    <s v="CONVICTION"/>
    <s v="Y"/>
    <x v="0"/>
    <x v="0"/>
    <s v="Y"/>
    <n v="0.93571428571428572"/>
    <n v="1"/>
    <n v="6.4285714285714279E-2"/>
    <n v="0"/>
    <n v="-131"/>
    <n v="0"/>
    <n v="131"/>
    <e v="#VALUE!"/>
    <n v="131"/>
    <n v="0"/>
    <n v="0"/>
    <n v="130"/>
    <s v="Y"/>
    <m/>
    <s v="121-365 DAYS"/>
    <n v="6"/>
    <x v="0"/>
  </r>
  <r>
    <n v="1371"/>
    <s v="N"/>
    <s v="N"/>
    <n v="794876"/>
    <n v="2"/>
    <d v="2012-02-20T00:00:00"/>
    <d v="2012-04-02T00:00:00"/>
    <n v="794876"/>
    <d v="2012-02-20T00:00:00"/>
    <d v="2012-04-02T00:00:00"/>
    <n v="20000"/>
    <x v="0"/>
    <m/>
    <s v="N"/>
    <s v="NONE"/>
    <s v="DEFERRED ADJUDICATION "/>
    <n v="43"/>
    <n v="43"/>
    <n v="2"/>
    <n v="4"/>
    <n v="1"/>
    <m/>
    <m/>
    <m/>
    <m/>
    <m/>
    <m/>
    <m/>
    <m/>
    <d v="1968-03-22T00:00:00"/>
    <s v="M"/>
    <s v="B"/>
    <s v="BLACK"/>
    <s v="NON-HISPANIC"/>
    <s v="174"/>
    <s v="DEFERRED"/>
    <n v="3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43"/>
    <n v="43"/>
    <n v="43"/>
    <n v="43.825136612021858"/>
    <n v="0"/>
    <n v="0"/>
    <s v="DEFERRED"/>
    <x v="0"/>
    <s v="N"/>
    <m/>
    <s v="DEFERRED"/>
    <s v="Y"/>
    <x v="0"/>
    <x v="0"/>
    <s v="Y"/>
    <n v="1"/>
    <n v="1"/>
    <n v="0"/>
    <n v="0"/>
    <n v="-43"/>
    <n v="0"/>
    <n v="43"/>
    <e v="#VALUE!"/>
    <n v="43"/>
    <n v="0"/>
    <n v="0"/>
    <n v="42"/>
    <s v="Y"/>
    <m/>
    <s v="31-60 DAYS"/>
    <n v="3"/>
    <x v="0"/>
  </r>
  <r>
    <n v="948"/>
    <s v="N"/>
    <s v="N"/>
    <n v="796534"/>
    <n v="5"/>
    <d v="2012-02-04T00:00:00"/>
    <d v="2012-02-06T00:00:00"/>
    <n v="796534"/>
    <d v="2012-02-05T00:00:00"/>
    <d v="2012-02-06T00:00:00"/>
    <n v="15000"/>
    <x v="0"/>
    <m/>
    <s v="N"/>
    <s v="NONE"/>
    <s v="GUILTY PLEA - NO JURY"/>
    <n v="2"/>
    <n v="3"/>
    <n v="9"/>
    <n v="6"/>
    <n v="8"/>
    <m/>
    <m/>
    <m/>
    <m/>
    <m/>
    <m/>
    <m/>
    <m/>
    <d v="1965-10-14T00:00:00"/>
    <s v="M"/>
    <s v="B"/>
    <s v="BLACK"/>
    <s v="NON-HISPANIC"/>
    <s v="177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2"/>
    <n v="2"/>
    <n v="3"/>
    <n v="46.213114754098363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n v="1"/>
    <s v="Y"/>
    <m/>
    <s v="0-10 DAYS"/>
    <n v="1"/>
    <x v="0"/>
  </r>
  <r>
    <n v="971"/>
    <s v="N"/>
    <s v="Y"/>
    <n v="799361"/>
    <n v="2"/>
    <d v="2012-02-05T00:00:00"/>
    <d v="2012-08-27T00:00:00"/>
    <n v="799361"/>
    <d v="2012-02-05T00:00:00"/>
    <d v="2012-02-06T00:00:00"/>
    <n v="30000"/>
    <x v="2"/>
    <d v="2012-02-06T00:00:00"/>
    <s v="Y"/>
    <s v="SURETYPTRc"/>
    <s v="DEFERRED ADJUDICATION "/>
    <n v="2"/>
    <n v="205"/>
    <n v="0"/>
    <n v="3"/>
    <m/>
    <m/>
    <m/>
    <m/>
    <m/>
    <m/>
    <m/>
    <m/>
    <m/>
    <d v="1967-10-11T00:00:00"/>
    <s v="M"/>
    <s v="H"/>
    <s v="HISPANIC"/>
    <s v="HISPANIC"/>
    <s v="183"/>
    <s v="DEFERRED"/>
    <n v="9"/>
    <s v="DEFERRED"/>
    <m/>
    <m/>
    <m/>
    <s v="AGG ASSAULT-FAMILY MEMBER"/>
    <m/>
    <s v="F2"/>
    <s v="ASLT-MURDR"/>
    <m/>
    <s v="revoked 8/16/12 viol rpt"/>
    <m/>
    <m/>
    <s v="Y"/>
    <m/>
    <m/>
    <m/>
    <m/>
    <s v="Hired Attorney"/>
    <m/>
    <m/>
    <n v="2"/>
    <n v="205"/>
    <n v="205"/>
    <n v="44.229508196721312"/>
    <n v="0"/>
    <n v="-203"/>
    <s v="DEFERRED"/>
    <x v="1"/>
    <s v="Y"/>
    <m/>
    <s v="DEFERRED"/>
    <s v="Y"/>
    <x v="1"/>
    <x v="0"/>
    <s v="N"/>
    <n v="9.7560975609756097E-3"/>
    <n v="9.7560975609756097E-3"/>
    <n v="0"/>
    <n v="0"/>
    <n v="-2"/>
    <n v="0"/>
    <n v="2"/>
    <e v="#VALUE!"/>
    <m/>
    <n v="203"/>
    <n v="203"/>
    <n v="-1"/>
    <s v="Y"/>
    <m/>
    <s v="0-10 DAYS"/>
    <n v="1"/>
    <x v="0"/>
  </r>
  <r>
    <n v="1792"/>
    <s v="N"/>
    <s v="N"/>
    <n v="809343"/>
    <n v="4"/>
    <d v="2012-03-07T00:00:00"/>
    <d v="2012-03-09T00:00:00"/>
    <n v="809343"/>
    <d v="2012-03-08T00:00:00"/>
    <d v="2012-03-09T00:00:00"/>
    <n v="15000"/>
    <x v="0"/>
    <m/>
    <s v="N"/>
    <s v="NONE"/>
    <s v="GUILTY PLEA - NO JURY"/>
    <n v="2"/>
    <n v="3"/>
    <n v="12"/>
    <n v="13"/>
    <n v="8"/>
    <m/>
    <m/>
    <m/>
    <m/>
    <m/>
    <m/>
    <m/>
    <m/>
    <d v="1966-05-16T00:00:00"/>
    <s v="F"/>
    <s v="B"/>
    <s v="BLACK"/>
    <s v="NON-HISPANIC"/>
    <s v="230"/>
    <s v="CONVICTED"/>
    <n v="1"/>
    <s v="HCJ"/>
    <m/>
    <m/>
    <n v="300"/>
    <s v="POSS CS PG 1 &lt;1G"/>
    <m/>
    <s v="FS"/>
    <s v="POSS DRUG"/>
    <m/>
    <m/>
    <m/>
    <m/>
    <m/>
    <m/>
    <m/>
    <m/>
    <m/>
    <s v="Appointed Attorney"/>
    <m/>
    <m/>
    <n v="2"/>
    <n v="2"/>
    <n v="3"/>
    <n v="45.715846994535518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n v="1"/>
    <s v="Y"/>
    <m/>
    <s v="0-10 DAYS"/>
    <n v="1"/>
    <x v="0"/>
  </r>
  <r>
    <n v="1515"/>
    <s v="N"/>
    <s v="N"/>
    <n v="812192"/>
    <n v="6"/>
    <d v="2012-02-25T00:00:00"/>
    <d v="2012-06-28T00:00:00"/>
    <n v="812192"/>
    <d v="2012-02-26T00:00:00"/>
    <d v="2012-06-28T00:00:00"/>
    <s v="NO BOND"/>
    <x v="1"/>
    <m/>
    <s v="N"/>
    <s v="NONE"/>
    <s v="GUILTY PLEA - NO JURY"/>
    <n v="124"/>
    <n v="125"/>
    <n v="10"/>
    <n v="3"/>
    <n v="8"/>
    <m/>
    <m/>
    <m/>
    <m/>
    <m/>
    <m/>
    <m/>
    <m/>
    <d v="1969-03-08T00:00:00"/>
    <s v="M"/>
    <s v="B"/>
    <s v="BLACK"/>
    <s v="NON-HISPANIC"/>
    <s v="178"/>
    <s v="CONVICTED"/>
    <n v="6"/>
    <s v="TDC"/>
    <n v="7"/>
    <m/>
    <m/>
    <s v="POSS CS PG 1  1 - 4 GRAMS"/>
    <m/>
    <s v="F3"/>
    <s v="POSS DRUG"/>
    <m/>
    <m/>
    <m/>
    <m/>
    <m/>
    <m/>
    <m/>
    <m/>
    <m/>
    <s v="Hired Attorney"/>
    <m/>
    <m/>
    <n v="124"/>
    <n v="124"/>
    <n v="125"/>
    <n v="42.879781420765028"/>
    <n v="0"/>
    <n v="0"/>
    <s v="CONVICTION"/>
    <x v="0"/>
    <s v="N"/>
    <m/>
    <s v="CONVICTION"/>
    <s v="Y"/>
    <x v="0"/>
    <x v="0"/>
    <s v="Y"/>
    <n v="0.99199999999999999"/>
    <n v="1"/>
    <n v="8.0000000000000071E-3"/>
    <n v="0"/>
    <n v="-124"/>
    <n v="0"/>
    <n v="124"/>
    <e v="#VALUE!"/>
    <n v="124"/>
    <n v="0"/>
    <n v="0"/>
    <n v="123"/>
    <s v="Y"/>
    <m/>
    <s v="121-365 DAYS"/>
    <n v="6"/>
    <x v="0"/>
  </r>
  <r>
    <n v="403"/>
    <s v="N"/>
    <s v="N"/>
    <n v="813286"/>
    <n v="5"/>
    <d v="2012-01-17T00:00:00"/>
    <d v="2012-01-19T00:00:00"/>
    <n v="813286"/>
    <d v="2012-01-17T00:00:00"/>
    <d v="2012-01-19T00:00:00"/>
    <n v="15000"/>
    <x v="0"/>
    <m/>
    <s v="N"/>
    <s v="NONE"/>
    <s v="GUILTY PLEA - NO JURY"/>
    <n v="3"/>
    <n v="3"/>
    <n v="12"/>
    <n v="4"/>
    <n v="10"/>
    <m/>
    <m/>
    <m/>
    <m/>
    <m/>
    <m/>
    <m/>
    <m/>
    <d v="1966-04-02T00:00:00"/>
    <s v="F"/>
    <s v="B"/>
    <s v="BLACK"/>
    <s v="NULL"/>
    <s v="263"/>
    <s v="CONVICTED"/>
    <n v="1"/>
    <s v="STJ"/>
    <m/>
    <n v="7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45.699453551912569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n v="2"/>
    <s v="Y"/>
    <m/>
    <s v="0-10 DAYS"/>
    <n v="1"/>
    <x v="0"/>
  </r>
  <r>
    <n v="2974"/>
    <s v="N"/>
    <s v="N"/>
    <n v="816065"/>
    <n v="5"/>
    <d v="2012-04-19T00:00:00"/>
    <d v="2013-03-04T00:00:00"/>
    <n v="816065"/>
    <d v="2012-05-14T00:00:00"/>
    <d v="2013-03-04T00:00:00"/>
    <n v="15000"/>
    <x v="0"/>
    <m/>
    <s v="N"/>
    <s v="NONE"/>
    <s v="GUILTY PLEA - NO JURY"/>
    <n v="295"/>
    <n v="320"/>
    <n v="14"/>
    <n v="3"/>
    <n v="8"/>
    <m/>
    <m/>
    <m/>
    <m/>
    <m/>
    <m/>
    <m/>
    <m/>
    <d v="1968-07-28T00:00:00"/>
    <s v="M"/>
    <s v="B"/>
    <s v="BLACK"/>
    <s v="HISPANIC"/>
    <s v="182"/>
    <s v="CONVICTED"/>
    <n v="8"/>
    <s v="STJ"/>
    <m/>
    <n v="6"/>
    <m/>
    <s v="UNAUTH USE OF VEHICLE"/>
    <m/>
    <s v="FS"/>
    <s v="AUTO THEFT"/>
    <m/>
    <m/>
    <m/>
    <m/>
    <m/>
    <m/>
    <m/>
    <m/>
    <m/>
    <s v="Appointed Attorney"/>
    <m/>
    <m/>
    <n v="295"/>
    <n v="295"/>
    <n v="320"/>
    <n v="43.636612021857921"/>
    <n v="0"/>
    <n v="0"/>
    <s v="CONVICTION"/>
    <x v="0"/>
    <s v="N"/>
    <m/>
    <s v="CONVICTION"/>
    <s v="Y"/>
    <x v="0"/>
    <x v="0"/>
    <s v="Y"/>
    <n v="0.921875"/>
    <n v="1"/>
    <n v="7.8125E-2"/>
    <n v="0"/>
    <n v="-295"/>
    <n v="0"/>
    <n v="295"/>
    <e v="#VALUE!"/>
    <n v="295"/>
    <n v="0"/>
    <n v="0"/>
    <n v="294"/>
    <s v="Y"/>
    <m/>
    <s v="121-365 DAYS"/>
    <n v="6"/>
    <x v="0"/>
  </r>
  <r>
    <n v="743"/>
    <s v="N"/>
    <s v="N"/>
    <n v="816267"/>
    <n v="6"/>
    <d v="2012-01-30T00:00:00"/>
    <d v="2013-04-02T00:00:00"/>
    <n v="816267"/>
    <d v="2012-01-30T00:00:00"/>
    <d v="2013-04-02T00:00:00"/>
    <s v="NO BOND"/>
    <x v="1"/>
    <m/>
    <s v="N"/>
    <s v="NONE"/>
    <s v="GUILTY PLEA - NO JURY"/>
    <n v="429"/>
    <n v="429"/>
    <n v="9"/>
    <n v="9"/>
    <n v="7"/>
    <m/>
    <m/>
    <m/>
    <m/>
    <m/>
    <m/>
    <m/>
    <m/>
    <d v="1969-02-08T00:00:00"/>
    <s v="M"/>
    <s v="W"/>
    <s v="WHITE"/>
    <s v="NON-HISPANIC"/>
    <s v="174"/>
    <s v="CONVICTED"/>
    <n v="13"/>
    <s v="TDC"/>
    <n v="5"/>
    <m/>
    <m/>
    <s v="DWI 3RD OFFENDER BAC .08"/>
    <m/>
    <s v="F3"/>
    <s v="FEL DWI"/>
    <m/>
    <m/>
    <m/>
    <m/>
    <m/>
    <m/>
    <m/>
    <m/>
    <m/>
    <s v="Appointed Attorney"/>
    <m/>
    <m/>
    <n v="429"/>
    <n v="429"/>
    <n v="429"/>
    <n v="42.885245901639344"/>
    <n v="0"/>
    <n v="0"/>
    <s v="CONVICTION"/>
    <x v="0"/>
    <s v="N"/>
    <m/>
    <s v="CONVICTION"/>
    <s v="Y"/>
    <x v="0"/>
    <x v="0"/>
    <s v="Y"/>
    <n v="1"/>
    <n v="1"/>
    <n v="0"/>
    <n v="0"/>
    <n v="-429"/>
    <n v="0"/>
    <n v="429"/>
    <e v="#VALUE!"/>
    <n v="429"/>
    <n v="0"/>
    <n v="0"/>
    <n v="428"/>
    <s v="Y"/>
    <m/>
    <s v=" &gt;1YRS&lt;2YRS"/>
    <n v="0"/>
    <x v="0"/>
  </r>
  <r>
    <n v="2322"/>
    <s v="N"/>
    <s v="N"/>
    <n v="816934"/>
    <n v="6"/>
    <d v="2012-03-28T00:00:00"/>
    <d v="2012-07-31T00:00:00"/>
    <n v="816934"/>
    <d v="2012-03-28T00:00:00"/>
    <d v="2012-07-31T00:00:00"/>
    <n v="110000"/>
    <x v="2"/>
    <m/>
    <s v="N"/>
    <s v="NONE"/>
    <s v="GUILTY PLEA - NO JURY"/>
    <n v="126"/>
    <n v="126"/>
    <n v="5"/>
    <n v="1"/>
    <n v="2"/>
    <m/>
    <m/>
    <m/>
    <m/>
    <m/>
    <m/>
    <m/>
    <m/>
    <d v="1963-04-18T00:00:00"/>
    <s v="M"/>
    <s v="W"/>
    <s v="WHITE"/>
    <s v="NON-HISPANIC"/>
    <s v="339"/>
    <s v="CONVICTED"/>
    <n v="6"/>
    <s v="TDC"/>
    <n v="12"/>
    <m/>
    <m/>
    <s v="AGG ASSLT AGAINST PB SERVANT"/>
    <m/>
    <s v="F1"/>
    <s v="ASLT-MURDR"/>
    <m/>
    <m/>
    <m/>
    <m/>
    <m/>
    <m/>
    <m/>
    <m/>
    <m/>
    <s v="Public Defender"/>
    <m/>
    <m/>
    <n v="126"/>
    <n v="126"/>
    <n v="126"/>
    <n v="48.844262295081968"/>
    <n v="0"/>
    <n v="0"/>
    <s v="CONVICTION"/>
    <x v="0"/>
    <s v="N"/>
    <m/>
    <s v="CONVICTION"/>
    <s v="Y"/>
    <x v="0"/>
    <x v="0"/>
    <s v="Y"/>
    <n v="1"/>
    <n v="1"/>
    <n v="0"/>
    <n v="0"/>
    <n v="-126"/>
    <n v="0"/>
    <n v="126"/>
    <e v="#VALUE!"/>
    <n v="126"/>
    <n v="0"/>
    <n v="0"/>
    <n v="125"/>
    <s v="Y"/>
    <m/>
    <s v="121-365 DAYS"/>
    <n v="6"/>
    <x v="0"/>
  </r>
  <r>
    <n v="2795"/>
    <s v="N"/>
    <s v="N"/>
    <n v="817860"/>
    <n v="6"/>
    <d v="2012-04-13T00:00:00"/>
    <d v="2012-11-02T00:00:00"/>
    <n v="817860"/>
    <d v="2012-04-13T00:00:00"/>
    <d v="2012-11-02T00:00:00"/>
    <s v="NO BOND"/>
    <x v="1"/>
    <m/>
    <s v="N"/>
    <s v="NONE"/>
    <s v="GUILTY PLEA - NO JURY"/>
    <n v="204"/>
    <n v="204"/>
    <n v="4"/>
    <n v="2"/>
    <n v="4"/>
    <m/>
    <m/>
    <m/>
    <m/>
    <m/>
    <m/>
    <m/>
    <m/>
    <d v="1967-07-22T00:00:00"/>
    <s v="M"/>
    <s v="B"/>
    <s v="BLACK"/>
    <s v="NULL"/>
    <s v="180"/>
    <s v="CONVICTED"/>
    <n v="10"/>
    <s v="TDC"/>
    <n v="15"/>
    <m/>
    <m/>
    <s v="POSS W/INT DEL CS PG1 1G &lt;4 GR"/>
    <m/>
    <s v="F2"/>
    <s v="SALE DRUG"/>
    <m/>
    <m/>
    <m/>
    <m/>
    <m/>
    <m/>
    <m/>
    <m/>
    <m/>
    <s v="Hired Attorney"/>
    <m/>
    <m/>
    <n v="204"/>
    <n v="204"/>
    <n v="204"/>
    <n v="44.636612021857921"/>
    <n v="0"/>
    <n v="0"/>
    <s v="CONVICTION"/>
    <x v="0"/>
    <s v="N"/>
    <m/>
    <s v="CONVICTION"/>
    <s v="Y"/>
    <x v="0"/>
    <x v="0"/>
    <s v="Y"/>
    <n v="1"/>
    <n v="1"/>
    <n v="0"/>
    <n v="0"/>
    <n v="-204"/>
    <n v="0"/>
    <n v="204"/>
    <e v="#VALUE!"/>
    <n v="204"/>
    <n v="0"/>
    <n v="0"/>
    <n v="203"/>
    <s v="Y"/>
    <m/>
    <s v="121-365 DAYS"/>
    <n v="6"/>
    <x v="0"/>
  </r>
  <r>
    <n v="2482"/>
    <s v="N"/>
    <s v="N"/>
    <n v="818852"/>
    <n v="6"/>
    <d v="2012-04-03T00:00:00"/>
    <d v="2013-09-26T00:00:00"/>
    <n v="818852"/>
    <d v="2012-07-30T00:00:00"/>
    <d v="2013-09-26T00:00:00"/>
    <s v="NO BOND"/>
    <x v="1"/>
    <m/>
    <s v="N"/>
    <s v="NONE"/>
    <s v="GUILTY PLEA - NO JURY"/>
    <n v="424"/>
    <n v="542"/>
    <n v="0"/>
    <n v="2"/>
    <m/>
    <m/>
    <m/>
    <m/>
    <m/>
    <m/>
    <m/>
    <m/>
    <m/>
    <d v="1959-07-25T00:00:00"/>
    <s v="M"/>
    <s v="W"/>
    <s v="WHITE"/>
    <s v="NULL"/>
    <s v="182"/>
    <s v="CONVICTED"/>
    <n v="7"/>
    <s v="TDC"/>
    <n v="40"/>
    <m/>
    <m/>
    <s v="CAPITAL MURDER"/>
    <m/>
    <s v="FC"/>
    <s v="CAP MURDER"/>
    <m/>
    <m/>
    <m/>
    <m/>
    <m/>
    <m/>
    <m/>
    <m/>
    <m/>
    <s v="Appointed Attorney"/>
    <m/>
    <m/>
    <n v="424"/>
    <n v="424"/>
    <n v="542"/>
    <n v="52.584699453551913"/>
    <n v="0"/>
    <n v="0"/>
    <s v="CONVICTION"/>
    <x v="0"/>
    <s v="N"/>
    <m/>
    <s v="CONVICTION"/>
    <s v="Y"/>
    <x v="0"/>
    <x v="0"/>
    <s v="N"/>
    <n v="0.78228782287822873"/>
    <n v="1"/>
    <n v="0.21771217712177127"/>
    <n v="0"/>
    <n v="-424"/>
    <n v="0"/>
    <n v="424"/>
    <e v="#VALUE!"/>
    <n v="424"/>
    <n v="0"/>
    <n v="0"/>
    <n v="423"/>
    <s v="Y"/>
    <m/>
    <s v=" &gt;1YRS&lt;2YRS"/>
    <n v="0"/>
    <x v="0"/>
  </r>
  <r>
    <n v="2478"/>
    <s v="N"/>
    <s v="N"/>
    <n v="818911"/>
    <n v="4"/>
    <d v="2012-04-03T00:00:00"/>
    <d v="2012-05-03T00:00:00"/>
    <n v="818911"/>
    <d v="2012-04-03T00:00:00"/>
    <d v="2012-05-03T00:00:00"/>
    <n v="5000"/>
    <x v="4"/>
    <m/>
    <s v="N"/>
    <s v="NONE"/>
    <s v="GUILTY PLEA - NO JURY"/>
    <n v="31"/>
    <n v="31"/>
    <n v="1"/>
    <n v="2"/>
    <n v="1"/>
    <m/>
    <m/>
    <m/>
    <m/>
    <m/>
    <m/>
    <m/>
    <m/>
    <d v="1955-11-02T00:00:00"/>
    <s v="M"/>
    <s v="B"/>
    <s v="BLACK"/>
    <s v="NON-HISPANIC"/>
    <s v="337"/>
    <s v="CONVICTED"/>
    <n v="2"/>
    <s v="HCJ"/>
    <m/>
    <m/>
    <n v="60"/>
    <s v="POSS CS PG 1 &lt;1G"/>
    <m/>
    <s v="FS"/>
    <s v="POSS DRUG"/>
    <m/>
    <m/>
    <m/>
    <m/>
    <m/>
    <m/>
    <m/>
    <m/>
    <m/>
    <s v="Appointed Attorney"/>
    <m/>
    <m/>
    <n v="31"/>
    <n v="31"/>
    <n v="31"/>
    <n v="56.303278688524593"/>
    <n v="0"/>
    <n v="0"/>
    <s v="CONVICTION"/>
    <x v="0"/>
    <s v="N"/>
    <m/>
    <s v="CONVICTION"/>
    <s v="Y"/>
    <x v="0"/>
    <x v="0"/>
    <s v="Y"/>
    <n v="1"/>
    <n v="1"/>
    <n v="0"/>
    <n v="0"/>
    <n v="-31"/>
    <n v="0"/>
    <n v="31"/>
    <e v="#VALUE!"/>
    <n v="31"/>
    <n v="0"/>
    <n v="0"/>
    <n v="30"/>
    <s v="Y"/>
    <m/>
    <s v="31-60 DAYS"/>
    <n v="3"/>
    <x v="0"/>
  </r>
  <r>
    <n v="2876"/>
    <s v="N"/>
    <s v="N"/>
    <n v="829760"/>
    <n v="6"/>
    <d v="2012-04-17T00:00:00"/>
    <d v="2013-02-11T00:00:00"/>
    <n v="829760"/>
    <d v="2012-04-17T00:00:00"/>
    <d v="2013-02-11T00:00:00"/>
    <s v="NO BOND"/>
    <x v="1"/>
    <m/>
    <s v="N"/>
    <s v="NONE"/>
    <s v="GUILTY PLEA - NO JURY"/>
    <n v="301"/>
    <n v="301"/>
    <n v="9"/>
    <n v="11"/>
    <n v="6"/>
    <m/>
    <m/>
    <m/>
    <m/>
    <m/>
    <m/>
    <m/>
    <m/>
    <d v="1962-08-01T00:00:00"/>
    <s v="M"/>
    <s v="W"/>
    <s v="WHITE"/>
    <s v="NULL"/>
    <s v="232"/>
    <s v="CONVICTED"/>
    <n v="11"/>
    <s v="TDC"/>
    <n v="35"/>
    <m/>
    <m/>
    <s v="AGG ROBBERY-DEADLY WPN"/>
    <m/>
    <s v="F3"/>
    <s v="ROBBERY"/>
    <m/>
    <m/>
    <m/>
    <m/>
    <m/>
    <m/>
    <m/>
    <m/>
    <m/>
    <s v="Appointed Attorney"/>
    <m/>
    <m/>
    <n v="301"/>
    <n v="301"/>
    <n v="301"/>
    <n v="49.60928961748634"/>
    <n v="0"/>
    <n v="0"/>
    <s v="CONVICTION"/>
    <x v="0"/>
    <s v="N"/>
    <m/>
    <s v="CONVICTION"/>
    <s v="Y"/>
    <x v="0"/>
    <x v="0"/>
    <s v="Y"/>
    <n v="1"/>
    <n v="1"/>
    <n v="0"/>
    <n v="0"/>
    <n v="-301"/>
    <n v="0"/>
    <n v="301"/>
    <e v="#VALUE!"/>
    <n v="301"/>
    <n v="0"/>
    <n v="0"/>
    <n v="300"/>
    <s v="Y"/>
    <m/>
    <s v="121-365 DAYS"/>
    <n v="6"/>
    <x v="0"/>
  </r>
  <r>
    <n v="1755"/>
    <s v="N"/>
    <s v="N"/>
    <n v="835934"/>
    <n v="1"/>
    <d v="2012-03-06T00:00:00"/>
    <d v="2012-06-27T00:00:00"/>
    <n v="835934"/>
    <d v="2012-03-06T00:00:00"/>
    <d v="2012-04-04T00:00:00"/>
    <n v="15000"/>
    <x v="0"/>
    <d v="2012-04-04T00:00:00"/>
    <s v="Y"/>
    <s v="SURETYPTRc"/>
    <s v="DISMISSED"/>
    <n v="30"/>
    <n v="114"/>
    <n v="5"/>
    <n v="4"/>
    <n v="2"/>
    <m/>
    <m/>
    <m/>
    <m/>
    <m/>
    <m/>
    <m/>
    <m/>
    <d v="1951-12-19T00:00:00"/>
    <s v="M"/>
    <s v="H"/>
    <s v="HISPANIC"/>
    <s v="HISPANIC"/>
    <s v="183"/>
    <s v="DISMISSED"/>
    <n v="6"/>
    <s v="DISMISSED"/>
    <m/>
    <m/>
    <m/>
    <s v="POSS CS PG 1 &lt;1G"/>
    <m/>
    <s v="FS"/>
    <s v="POSS DRUG"/>
    <m/>
    <m/>
    <m/>
    <m/>
    <m/>
    <m/>
    <m/>
    <m/>
    <m/>
    <s v="Hired Attorney"/>
    <m/>
    <m/>
    <n v="30"/>
    <n v="114"/>
    <n v="114"/>
    <n v="60.090163934426229"/>
    <n v="0"/>
    <n v="-84"/>
    <s v="NO CONVICTION"/>
    <x v="1"/>
    <s v="Y"/>
    <m/>
    <s v="NO CONVICTION"/>
    <s v="Y"/>
    <x v="1"/>
    <x v="0"/>
    <s v="Y"/>
    <n v="0.26315789473684209"/>
    <n v="0.26315789473684209"/>
    <n v="0"/>
    <n v="0"/>
    <n v="-30"/>
    <n v="0"/>
    <n v="30"/>
    <e v="#VALUE!"/>
    <n v="30"/>
    <n v="0"/>
    <n v="84"/>
    <n v="29"/>
    <s v="Y"/>
    <m/>
    <s v="11-30 DAYS"/>
    <n v="2"/>
    <x v="0"/>
  </r>
  <r>
    <n v="400"/>
    <s v="N"/>
    <s v="Y"/>
    <n v="841951"/>
    <n v="6"/>
    <d v="2012-01-17T00:00:00"/>
    <d v="2013-09-13T00:00:00"/>
    <n v="841951"/>
    <d v="2013-05-16T00:00:00"/>
    <d v="2012-01-18T00:00:00"/>
    <n v="60000"/>
    <x v="2"/>
    <d v="2012-01-18T00:00:00"/>
    <s v="Y"/>
    <s v="SURETY"/>
    <s v="GUILTY PLEA - NO JURY"/>
    <n v="111"/>
    <n v="606"/>
    <n v="0"/>
    <n v="0"/>
    <m/>
    <m/>
    <m/>
    <m/>
    <m/>
    <m/>
    <m/>
    <m/>
    <m/>
    <d v="1955-08-01T00:00:00"/>
    <s v="M"/>
    <s v="W"/>
    <s v="WHITE"/>
    <s v="NULL"/>
    <s v="176"/>
    <s v="CONVICTED"/>
    <n v="15"/>
    <s v="TDC"/>
    <n v="7"/>
    <m/>
    <m/>
    <s v="POSS CHILD PORNOGRAPHY"/>
    <m/>
    <s v="F3"/>
    <s v="OTHER FEL"/>
    <s v="3 CASES"/>
    <m/>
    <s v="Y"/>
    <d v="2013-05-03T00:00:00"/>
    <m/>
    <m/>
    <m/>
    <m/>
    <m/>
    <s v="Hired Attorney"/>
    <m/>
    <m/>
    <n v="111"/>
    <n v="121"/>
    <n v="606"/>
    <n v="56.346994535519123"/>
    <n v="604"/>
    <n v="-604"/>
    <s v="CONVICTION"/>
    <x v="1"/>
    <s v="Y"/>
    <m/>
    <s v="CONVICTION"/>
    <s v="Y"/>
    <x v="0"/>
    <x v="0"/>
    <s v="N"/>
    <n v="0.18316831683168316"/>
    <n v="-3.9917355371900825"/>
    <n v="-4.1749038540217658"/>
    <n v="0"/>
    <n v="483"/>
    <n v="594"/>
    <n v="121"/>
    <n v="111"/>
    <n v="121"/>
    <n v="604"/>
    <n v="604"/>
    <s v="REL DATE = DISP DATE BUT WE CALC 112 - SHOULDN’T THERE BE A DIFF?"/>
    <s v="N"/>
    <m/>
    <s v="91-120 DAYS"/>
    <n v="0"/>
    <x v="0"/>
  </r>
  <r>
    <n v="107"/>
    <s v="N"/>
    <s v="N"/>
    <n v="841986"/>
    <n v="5"/>
    <d v="2012-01-05T00:00:00"/>
    <d v="2012-07-10T00:00:00"/>
    <n v="841986"/>
    <d v="2012-01-06T00:00:00"/>
    <d v="2012-07-10T00:00:00"/>
    <n v="45000"/>
    <x v="2"/>
    <m/>
    <s v="N"/>
    <s v="NONE"/>
    <s v="GUILTY PLEA - NO JURY"/>
    <n v="187"/>
    <n v="188"/>
    <n v="14"/>
    <n v="1"/>
    <n v="9"/>
    <m/>
    <m/>
    <m/>
    <m/>
    <m/>
    <m/>
    <m/>
    <m/>
    <d v="1961-12-09T00:00:00"/>
    <s v="M"/>
    <s v="B"/>
    <s v="BLACK"/>
    <s v="NULL"/>
    <s v="351"/>
    <s v="CONVICTED"/>
    <n v="9"/>
    <s v="STJ"/>
    <m/>
    <n v="6"/>
    <m/>
    <s v="UNAUTH USE OF VEHICLE"/>
    <m/>
    <s v="FS"/>
    <s v="AUTO THEFT"/>
    <m/>
    <m/>
    <m/>
    <m/>
    <m/>
    <m/>
    <m/>
    <m/>
    <m/>
    <s v="Appointed Attorney"/>
    <m/>
    <m/>
    <n v="187"/>
    <n v="187"/>
    <n v="188"/>
    <n v="49.969945355191257"/>
    <n v="0"/>
    <n v="0"/>
    <s v="CONVICTION"/>
    <x v="0"/>
    <s v="N"/>
    <m/>
    <s v="CONVICTION"/>
    <s v="Y"/>
    <x v="0"/>
    <x v="0"/>
    <s v="Y"/>
    <n v="0.99468085106382975"/>
    <n v="1"/>
    <n v="5.3191489361702482E-3"/>
    <n v="0"/>
    <n v="-187"/>
    <n v="0"/>
    <n v="187"/>
    <e v="#VALUE!"/>
    <n v="187"/>
    <n v="0"/>
    <n v="0"/>
    <m/>
    <s v="Y"/>
    <m/>
    <s v="121-365 DAYS"/>
    <n v="6"/>
    <x v="0"/>
  </r>
  <r>
    <n v="1659"/>
    <s v="N"/>
    <s v="N"/>
    <n v="842272"/>
    <n v="4"/>
    <d v="2012-03-02T00:00:00"/>
    <d v="2012-03-05T00:00:00"/>
    <n v="842272"/>
    <d v="2012-03-02T00:00:00"/>
    <d v="2012-03-05T00:00:00"/>
    <n v="5000"/>
    <x v="4"/>
    <m/>
    <s v="N"/>
    <s v="NONE"/>
    <s v="GUILTY PLEA - NO JURY"/>
    <n v="4"/>
    <n v="4"/>
    <n v="0"/>
    <n v="3"/>
    <m/>
    <m/>
    <m/>
    <m/>
    <m/>
    <m/>
    <m/>
    <m/>
    <m/>
    <d v="1959-11-08T00:00:00"/>
    <s v="M"/>
    <s v="B"/>
    <s v="BLACK"/>
    <s v="NULL"/>
    <s v="177"/>
    <s v="CONVICTED"/>
    <n v="1"/>
    <s v="HCJ"/>
    <m/>
    <m/>
    <n v="60"/>
    <s v="POSS CS PG 1 &lt;1G"/>
    <m/>
    <s v="FS"/>
    <s v="POSS DRUG"/>
    <m/>
    <m/>
    <m/>
    <m/>
    <m/>
    <m/>
    <m/>
    <m/>
    <m/>
    <s v="Appointed Attorney"/>
    <m/>
    <m/>
    <n v="4"/>
    <n v="4"/>
    <n v="4"/>
    <n v="52.207650273224047"/>
    <n v="0"/>
    <n v="0"/>
    <s v="CONVICTION"/>
    <x v="0"/>
    <s v="N"/>
    <m/>
    <s v="CONVICTION"/>
    <s v="Y"/>
    <x v="0"/>
    <x v="0"/>
    <s v="N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2361"/>
    <s v="N"/>
    <s v="N"/>
    <n v="845625"/>
    <n v="5"/>
    <d v="2012-03-30T00:00:00"/>
    <d v="2012-05-02T00:00:00"/>
    <n v="845625"/>
    <d v="2012-03-30T00:00:00"/>
    <d v="2012-05-02T00:00:00"/>
    <n v="15000"/>
    <x v="0"/>
    <m/>
    <s v="N"/>
    <s v="NONE"/>
    <s v="GUILTY PLEA - NO JURY"/>
    <n v="34"/>
    <n v="34"/>
    <n v="18"/>
    <n v="17"/>
    <n v="9"/>
    <m/>
    <m/>
    <m/>
    <m/>
    <m/>
    <m/>
    <m/>
    <m/>
    <d v="1957-09-02T00:00:00"/>
    <s v="M"/>
    <s v="B"/>
    <s v="BLACK"/>
    <s v="NON-HISPANIC"/>
    <s v="232"/>
    <s v="CONVICTED"/>
    <n v="4"/>
    <s v="STJ"/>
    <m/>
    <n v="8"/>
    <m/>
    <s v="THEFT UNDER $1500 - 3RD OFF."/>
    <m/>
    <s v="FS"/>
    <s v="THEFT"/>
    <m/>
    <m/>
    <m/>
    <m/>
    <m/>
    <m/>
    <m/>
    <m/>
    <m/>
    <s v="Appointed Attorney"/>
    <m/>
    <m/>
    <n v="34"/>
    <n v="34"/>
    <n v="34"/>
    <n v="54.461748633879779"/>
    <n v="0"/>
    <n v="0"/>
    <s v="CONVICTION"/>
    <x v="0"/>
    <s v="N"/>
    <m/>
    <s v="CONVICTION"/>
    <s v="Y"/>
    <x v="0"/>
    <x v="0"/>
    <s v="Y"/>
    <n v="1"/>
    <n v="1"/>
    <n v="0"/>
    <n v="0"/>
    <n v="-34"/>
    <n v="0"/>
    <n v="34"/>
    <e v="#VALUE!"/>
    <n v="34"/>
    <n v="0"/>
    <n v="0"/>
    <m/>
    <s v="Y"/>
    <m/>
    <s v="31-60 DAYS"/>
    <n v="3"/>
    <x v="0"/>
  </r>
  <r>
    <n v="2787"/>
    <s v="N"/>
    <s v="N"/>
    <n v="846800"/>
    <n v="6"/>
    <d v="2012-04-13T00:00:00"/>
    <d v="2012-05-11T00:00:00"/>
    <n v="846800"/>
    <d v="2012-04-13T00:00:00"/>
    <d v="2012-05-11T00:00:00"/>
    <n v="20000"/>
    <x v="0"/>
    <m/>
    <s v="N"/>
    <s v="NONE"/>
    <s v="GUILTY PLEA - NO JURY"/>
    <n v="29"/>
    <n v="29"/>
    <n v="3"/>
    <n v="6"/>
    <n v="2"/>
    <n v="1"/>
    <m/>
    <m/>
    <m/>
    <m/>
    <m/>
    <m/>
    <m/>
    <d v="1964-11-23T00:00:00"/>
    <s v="M"/>
    <s v="W"/>
    <s v="WHITE"/>
    <s v="NON-HISPANIC"/>
    <s v="185"/>
    <s v="CONVICTED"/>
    <n v="3"/>
    <s v="TDC"/>
    <n v="3"/>
    <m/>
    <m/>
    <s v="DWI 3RD OFFENDER BAC .08"/>
    <m/>
    <s v="F3"/>
    <s v="FEL DWI"/>
    <m/>
    <m/>
    <m/>
    <m/>
    <m/>
    <m/>
    <m/>
    <m/>
    <m/>
    <s v="Appointed Attorney"/>
    <m/>
    <m/>
    <n v="29"/>
    <n v="29"/>
    <n v="29"/>
    <n v="47.289617486338798"/>
    <n v="0"/>
    <n v="0"/>
    <s v="CONVICTION"/>
    <x v="0"/>
    <s v="N"/>
    <m/>
    <s v="CONVICTION"/>
    <s v="Y"/>
    <x v="0"/>
    <x v="0"/>
    <s v="Y"/>
    <n v="1"/>
    <n v="1"/>
    <n v="0"/>
    <n v="0"/>
    <n v="-29"/>
    <n v="0"/>
    <n v="29"/>
    <e v="#VALUE!"/>
    <n v="29"/>
    <n v="0"/>
    <n v="0"/>
    <m/>
    <s v="Y"/>
    <m/>
    <s v="11-30 DAYS"/>
    <n v="2"/>
    <x v="0"/>
  </r>
  <r>
    <n v="249"/>
    <s v="N"/>
    <s v="N"/>
    <n v="848371"/>
    <n v="5"/>
    <d v="2012-01-11T00:00:00"/>
    <d v="2012-02-28T00:00:00"/>
    <n v="848371"/>
    <d v="2012-01-21T00:00:00"/>
    <d v="2012-02-28T00:00:00"/>
    <n v="15000"/>
    <x v="0"/>
    <m/>
    <s v="N"/>
    <s v="NONE"/>
    <s v="GUILTY PLEA - NO JURY"/>
    <n v="39"/>
    <n v="49"/>
    <n v="7"/>
    <n v="11"/>
    <n v="7"/>
    <m/>
    <m/>
    <m/>
    <m/>
    <m/>
    <m/>
    <m/>
    <m/>
    <d v="1965-10-25T00:00:00"/>
    <s v="M"/>
    <s v="B"/>
    <s v="BLACK"/>
    <s v="NULL"/>
    <s v="262"/>
    <s v="CONVICTED"/>
    <n v="3"/>
    <s v="STJ"/>
    <m/>
    <n v="15"/>
    <m/>
    <s v="THEFT $1500-20K"/>
    <m/>
    <s v="FS"/>
    <s v="THEFT"/>
    <m/>
    <m/>
    <m/>
    <m/>
    <m/>
    <m/>
    <m/>
    <m/>
    <m/>
    <s v="Appointed Attorney"/>
    <m/>
    <m/>
    <n v="39"/>
    <n v="39"/>
    <n v="49"/>
    <n v="46.117486338797811"/>
    <n v="0"/>
    <n v="0"/>
    <s v="CONVICTION"/>
    <x v="0"/>
    <s v="N"/>
    <m/>
    <s v="CONVICTION"/>
    <s v="Y"/>
    <x v="0"/>
    <x v="0"/>
    <s v="Y"/>
    <n v="0.79591836734693877"/>
    <n v="1"/>
    <n v="0.20408163265306123"/>
    <n v="0"/>
    <n v="-39"/>
    <n v="0"/>
    <n v="39"/>
    <e v="#VALUE!"/>
    <n v="39"/>
    <n v="0"/>
    <n v="0"/>
    <m/>
    <s v="Y"/>
    <m/>
    <s v="31-60 DAYS"/>
    <n v="3"/>
    <x v="0"/>
  </r>
  <r>
    <n v="135"/>
    <s v="N"/>
    <s v="N"/>
    <n v="852028"/>
    <n v="2"/>
    <d v="2012-01-06T00:00:00"/>
    <d v="2012-07-24T00:00:00"/>
    <n v="852028"/>
    <d v="2012-01-07T00:00:00"/>
    <d v="2012-01-08T00:00:00"/>
    <n v="30000"/>
    <x v="2"/>
    <d v="2012-01-08T00:00:00"/>
    <s v="Y"/>
    <s v="SURETY"/>
    <s v="DEFERRED ADJUDICATION "/>
    <n v="2"/>
    <n v="201"/>
    <n v="0"/>
    <n v="0"/>
    <m/>
    <m/>
    <m/>
    <m/>
    <m/>
    <m/>
    <m/>
    <m/>
    <m/>
    <d v="1967-05-01T00:00:00"/>
    <s v="M"/>
    <s v="W"/>
    <s v="WHITE"/>
    <s v="NON-HISPANIC"/>
    <s v="174"/>
    <s v="DEFERRED"/>
    <n v="7"/>
    <s v="DEFERRED"/>
    <m/>
    <m/>
    <m/>
    <s v="INDECENCY-CHILD EXPOSURE"/>
    <m/>
    <s v="F3"/>
    <s v="SEX ABUSE"/>
    <m/>
    <m/>
    <m/>
    <m/>
    <m/>
    <m/>
    <m/>
    <m/>
    <m/>
    <s v="Hired Attorney"/>
    <m/>
    <m/>
    <n v="2"/>
    <n v="200"/>
    <n v="201"/>
    <n v="44.592896174863391"/>
    <n v="0"/>
    <n v="-198"/>
    <s v="DEFERRED"/>
    <x v="1"/>
    <s v="Y"/>
    <m/>
    <s v="DEFERRED"/>
    <s v="Y"/>
    <x v="1"/>
    <x v="0"/>
    <s v="N"/>
    <n v="9.9502487562189053E-3"/>
    <n v="0.01"/>
    <n v="4.9751243781094925E-5"/>
    <n v="0"/>
    <n v="-2"/>
    <n v="0"/>
    <n v="2"/>
    <e v="#VALUE!"/>
    <n v="2"/>
    <n v="0"/>
    <n v="198"/>
    <m/>
    <s v="N"/>
    <m/>
    <s v="0-10 DAYS"/>
    <n v="1"/>
    <x v="0"/>
  </r>
  <r>
    <n v="1955"/>
    <s v="N"/>
    <s v="N"/>
    <n v="852400"/>
    <n v="6"/>
    <d v="2012-03-14T00:00:00"/>
    <d v="2012-03-15T00:00:00"/>
    <n v="852400"/>
    <d v="2012-03-14T00:00:00"/>
    <d v="2012-03-15T00:00:00"/>
    <n v="15000"/>
    <x v="0"/>
    <m/>
    <s v="N"/>
    <s v="NONE"/>
    <s v="GUILTY PLEA - NO JURY"/>
    <n v="2"/>
    <n v="2"/>
    <n v="4"/>
    <n v="0"/>
    <n v="2"/>
    <m/>
    <m/>
    <m/>
    <m/>
    <m/>
    <m/>
    <m/>
    <m/>
    <d v="1968-03-05T00:00:00"/>
    <s v="M"/>
    <s v="B"/>
    <s v="BLACK"/>
    <s v="NON-HISPANIC"/>
    <s v="180"/>
    <s v="CONVICTED"/>
    <n v="1"/>
    <s v="TDC"/>
    <n v="2"/>
    <m/>
    <m/>
    <s v="POSS CS PG 1 &lt;1G"/>
    <m/>
    <s v="FS"/>
    <s v="POSS DRUG"/>
    <m/>
    <m/>
    <m/>
    <m/>
    <m/>
    <m/>
    <m/>
    <m/>
    <m/>
    <s v="Appointed Attorney"/>
    <m/>
    <m/>
    <n v="2"/>
    <n v="2"/>
    <n v="2"/>
    <n v="43.934426229508198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1237"/>
    <s v="N"/>
    <s v="N"/>
    <n v="854555"/>
    <n v="6"/>
    <d v="2012-02-15T00:00:00"/>
    <d v="2012-02-16T00:00:00"/>
    <n v="854555"/>
    <d v="2012-02-15T00:00:00"/>
    <d v="2012-02-16T00:00:00"/>
    <s v="NO BOND"/>
    <x v="1"/>
    <m/>
    <s v="N"/>
    <s v="NONE"/>
    <s v="GUILTY PLEA - NO JURY"/>
    <n v="2"/>
    <n v="2"/>
    <n v="7"/>
    <n v="3"/>
    <n v="4"/>
    <m/>
    <m/>
    <m/>
    <m/>
    <m/>
    <m/>
    <m/>
    <m/>
    <d v="1969-07-29T00:00:00"/>
    <s v="M"/>
    <s v="B"/>
    <s v="BLACK"/>
    <s v="NON-HISPANIC"/>
    <s v="208"/>
    <s v="CONVICTED"/>
    <n v="1"/>
    <s v="TDC"/>
    <n v="4"/>
    <m/>
    <m/>
    <s v="POSS CS PG 1  1 - 4 GRAMS"/>
    <m/>
    <s v="F3"/>
    <s v="POSS DRUG"/>
    <m/>
    <m/>
    <m/>
    <m/>
    <m/>
    <m/>
    <m/>
    <m/>
    <m/>
    <s v="Appointed Attorney"/>
    <m/>
    <m/>
    <n v="2"/>
    <n v="2"/>
    <n v="2"/>
    <n v="42.461748633879779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970"/>
    <s v="N"/>
    <s v="N"/>
    <n v="855081"/>
    <n v="6"/>
    <d v="2012-02-05T00:00:00"/>
    <d v="2012-02-21T00:00:00"/>
    <n v="855081"/>
    <d v="2012-02-06T00:00:00"/>
    <d v="2012-02-21T00:00:00"/>
    <n v="5000"/>
    <x v="4"/>
    <m/>
    <s v="N"/>
    <s v="NONE"/>
    <s v="GUILTY PLEA - NO JURY"/>
    <n v="16"/>
    <n v="17"/>
    <n v="1"/>
    <n v="3"/>
    <m/>
    <m/>
    <m/>
    <m/>
    <m/>
    <m/>
    <m/>
    <m/>
    <m/>
    <d v="1958-07-09T00:00:00"/>
    <s v="M"/>
    <s v="H"/>
    <s v="HISPANIC"/>
    <s v="HISPANIC"/>
    <s v="184"/>
    <s v="CONVICTED"/>
    <n v="2"/>
    <s v="TDC"/>
    <n v="2"/>
    <m/>
    <m/>
    <s v="DWI 3RD OFFENDER BAC .08"/>
    <m/>
    <s v="F3"/>
    <s v="FEL DWI"/>
    <m/>
    <m/>
    <m/>
    <m/>
    <m/>
    <m/>
    <m/>
    <m/>
    <m/>
    <s v="Appointed Attorney"/>
    <m/>
    <m/>
    <n v="16"/>
    <n v="16"/>
    <n v="17"/>
    <n v="53.467213114754095"/>
    <n v="0"/>
    <n v="0"/>
    <s v="CONVICTION"/>
    <x v="0"/>
    <s v="N"/>
    <m/>
    <s v="CONVICTION"/>
    <s v="Y"/>
    <x v="0"/>
    <x v="0"/>
    <s v="Y"/>
    <n v="0.94117647058823528"/>
    <n v="1"/>
    <n v="5.8823529411764719E-2"/>
    <n v="0"/>
    <n v="-16"/>
    <n v="0"/>
    <n v="16"/>
    <e v="#VALUE!"/>
    <n v="16"/>
    <n v="0"/>
    <n v="0"/>
    <m/>
    <s v="Y"/>
    <m/>
    <s v="11-30 DAYS"/>
    <n v="2"/>
    <x v="0"/>
  </r>
  <r>
    <n v="495"/>
    <s v="N"/>
    <s v="N"/>
    <n v="856366"/>
    <n v="5"/>
    <d v="2012-01-20T00:00:00"/>
    <d v="2012-02-28T00:00:00"/>
    <n v="856366"/>
    <d v="2012-01-20T00:00:00"/>
    <d v="2012-02-28T00:00:00"/>
    <n v="5000"/>
    <x v="4"/>
    <m/>
    <s v="N"/>
    <s v="NONE"/>
    <s v="GUILTY PLEA - NO JURY"/>
    <n v="40"/>
    <n v="40"/>
    <n v="7"/>
    <n v="2"/>
    <n v="6"/>
    <m/>
    <m/>
    <m/>
    <m/>
    <m/>
    <m/>
    <m/>
    <m/>
    <d v="1967-01-21T00:00:00"/>
    <s v="M"/>
    <s v="B"/>
    <s v="BLACK"/>
    <s v="NON-HISPANIC"/>
    <s v="338"/>
    <s v="CONVICTED"/>
    <n v="3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40"/>
    <n v="40"/>
    <n v="40"/>
    <n v="44.904371584699454"/>
    <n v="0"/>
    <n v="0"/>
    <s v="CONVICTION"/>
    <x v="0"/>
    <s v="N"/>
    <m/>
    <s v="CONVICTION"/>
    <s v="Y"/>
    <x v="0"/>
    <x v="0"/>
    <s v="Y"/>
    <n v="1"/>
    <n v="1"/>
    <n v="0"/>
    <n v="0"/>
    <n v="-40"/>
    <n v="0"/>
    <n v="40"/>
    <e v="#VALUE!"/>
    <n v="40"/>
    <n v="0"/>
    <n v="0"/>
    <m/>
    <s v="Y"/>
    <m/>
    <s v="31-60 DAYS"/>
    <n v="3"/>
    <x v="0"/>
  </r>
  <r>
    <n v="1554"/>
    <s v="N"/>
    <s v="N"/>
    <n v="857348"/>
    <n v="6"/>
    <d v="2012-02-27T00:00:00"/>
    <d v="2012-04-10T00:00:00"/>
    <n v="857348"/>
    <d v="2012-02-28T00:00:00"/>
    <d v="2012-04-10T00:00:00"/>
    <s v="NO BOND"/>
    <x v="1"/>
    <m/>
    <s v="N"/>
    <s v="NONE"/>
    <s v="GUILTY PLEA - NO JURY"/>
    <n v="43"/>
    <n v="44"/>
    <n v="0"/>
    <n v="2"/>
    <m/>
    <m/>
    <m/>
    <m/>
    <m/>
    <m/>
    <m/>
    <m/>
    <m/>
    <d v="1956-08-21T00:00:00"/>
    <s v="F"/>
    <s v="B"/>
    <s v="BLACK"/>
    <s v="NON-HISPANIC"/>
    <s v="185"/>
    <s v="CONVICTED"/>
    <n v="3"/>
    <s v="TDC"/>
    <n v="2"/>
    <m/>
    <m/>
    <s v="POSS CS PG 3 28-200 GRAMS"/>
    <m/>
    <s v="F3"/>
    <s v="POSS DRUG"/>
    <m/>
    <m/>
    <m/>
    <m/>
    <m/>
    <m/>
    <m/>
    <m/>
    <m/>
    <s v="Appointed Attorney"/>
    <m/>
    <m/>
    <n v="43"/>
    <n v="43"/>
    <n v="44"/>
    <n v="55.404371584699454"/>
    <n v="0"/>
    <n v="0"/>
    <s v="CONVICTION"/>
    <x v="0"/>
    <s v="N"/>
    <m/>
    <s v="CONVICTION"/>
    <s v="Y"/>
    <x v="0"/>
    <x v="0"/>
    <s v="N"/>
    <n v="0.97727272727272729"/>
    <n v="1"/>
    <n v="2.2727272727272707E-2"/>
    <n v="0"/>
    <n v="-43"/>
    <n v="0"/>
    <n v="43"/>
    <e v="#VALUE!"/>
    <n v="43"/>
    <n v="0"/>
    <n v="0"/>
    <m/>
    <s v="Y"/>
    <m/>
    <s v="31-60 DAYS"/>
    <n v="3"/>
    <x v="0"/>
  </r>
  <r>
    <n v="3261"/>
    <s v="N"/>
    <s v="N"/>
    <n v="857762"/>
    <n v="6"/>
    <d v="2012-04-30T00:00:00"/>
    <d v="2012-11-20T00:00:00"/>
    <n v="857762"/>
    <d v="2012-04-30T00:00:00"/>
    <d v="2012-11-20T00:00:00"/>
    <s v="NO BOND"/>
    <x v="1"/>
    <m/>
    <s v="N"/>
    <s v="NONE"/>
    <s v="GUILTY PLEA - NO JURY"/>
    <n v="205"/>
    <n v="205"/>
    <n v="5"/>
    <n v="0"/>
    <n v="3"/>
    <n v="1"/>
    <m/>
    <m/>
    <m/>
    <m/>
    <m/>
    <m/>
    <m/>
    <d v="1963-08-09T00:00:00"/>
    <s v="M"/>
    <s v="null"/>
    <s v="OTHER"/>
    <s v="NON-HISPANIC"/>
    <s v="337"/>
    <s v="CONVICTED"/>
    <n v="8"/>
    <s v="TDC"/>
    <n v="27"/>
    <m/>
    <m/>
    <s v="ROBBERY-THREATS"/>
    <m/>
    <s v="F2"/>
    <s v="ROBBERY"/>
    <m/>
    <m/>
    <m/>
    <m/>
    <m/>
    <m/>
    <m/>
    <m/>
    <m/>
    <s v="Appointed Attorney"/>
    <m/>
    <m/>
    <n v="205"/>
    <n v="205"/>
    <n v="205"/>
    <n v="48.625683060109289"/>
    <n v="0"/>
    <n v="0"/>
    <s v="CONVICTION"/>
    <x v="0"/>
    <s v="N"/>
    <m/>
    <s v="CONVICTION"/>
    <s v="Y"/>
    <x v="0"/>
    <x v="0"/>
    <s v="Y"/>
    <n v="1"/>
    <n v="1"/>
    <n v="0"/>
    <n v="0"/>
    <n v="-205"/>
    <n v="0"/>
    <n v="205"/>
    <e v="#VALUE!"/>
    <n v="205"/>
    <n v="0"/>
    <n v="0"/>
    <m/>
    <s v="Y"/>
    <m/>
    <s v="121-365 DAYS"/>
    <n v="6"/>
    <x v="0"/>
  </r>
  <r>
    <n v="1916"/>
    <s v="N"/>
    <s v="N"/>
    <n v="858463"/>
    <n v="3"/>
    <d v="2012-03-12T00:00:00"/>
    <d v="2012-03-22T00:00:00"/>
    <n v="858463"/>
    <d v="2012-03-12T00:00:00"/>
    <d v="2012-03-22T00:00:00"/>
    <n v="30000"/>
    <x v="2"/>
    <m/>
    <s v="N"/>
    <s v="NONE"/>
    <s v="GUILTY PLEA - NO JURY"/>
    <n v="11"/>
    <n v="11"/>
    <n v="2"/>
    <n v="2"/>
    <n v="1"/>
    <m/>
    <m/>
    <m/>
    <m/>
    <m/>
    <m/>
    <m/>
    <m/>
    <d v="1969-08-30T00:00:00"/>
    <s v="M"/>
    <s v="W"/>
    <s v="WHITE"/>
    <s v="NON-HISPANIC"/>
    <s v="185"/>
    <s v="CONVICTED"/>
    <n v="1"/>
    <s v="PROBATION"/>
    <m/>
    <m/>
    <m/>
    <s v="ASSAULT-BOD INJ-FAMILY MEMBER"/>
    <m/>
    <s v="F3"/>
    <s v="ASLT-MURDR"/>
    <m/>
    <m/>
    <m/>
    <m/>
    <m/>
    <m/>
    <m/>
    <m/>
    <m/>
    <s v="Hired Attorney"/>
    <m/>
    <m/>
    <n v="11"/>
    <n v="11"/>
    <n v="11"/>
    <n v="42.44535519125683"/>
    <n v="0"/>
    <n v="0"/>
    <s v="CONVICTION"/>
    <x v="0"/>
    <s v="N"/>
    <m/>
    <s v="CONVICTION"/>
    <s v="Y"/>
    <x v="0"/>
    <x v="0"/>
    <s v="Y"/>
    <n v="1"/>
    <n v="1"/>
    <n v="0"/>
    <n v="0"/>
    <n v="-11"/>
    <n v="0"/>
    <n v="11"/>
    <e v="#VALUE!"/>
    <n v="11"/>
    <n v="0"/>
    <n v="0"/>
    <m/>
    <s v="Y"/>
    <m/>
    <s v="11-30 DAYS"/>
    <n v="2"/>
    <x v="0"/>
  </r>
  <r>
    <n v="2865"/>
    <s v="N"/>
    <s v="N"/>
    <n v="861498"/>
    <n v="5"/>
    <d v="2012-04-15T00:00:00"/>
    <d v="2012-05-11T00:00:00"/>
    <n v="861498"/>
    <d v="2012-04-16T00:00:00"/>
    <d v="2012-05-11T00:00:00"/>
    <n v="15000"/>
    <x v="0"/>
    <m/>
    <s v="N"/>
    <s v="NONE"/>
    <s v="GUILTY PLEA - NO JURY"/>
    <n v="26"/>
    <n v="27"/>
    <n v="5"/>
    <n v="2"/>
    <n v="4"/>
    <m/>
    <m/>
    <m/>
    <m/>
    <m/>
    <m/>
    <m/>
    <m/>
    <d v="1953-05-13T00:00:00"/>
    <s v="M"/>
    <s v="B"/>
    <s v="BLACK"/>
    <s v="NULL"/>
    <s v="183"/>
    <s v="CONVICTED"/>
    <n v="2"/>
    <s v="STJ"/>
    <m/>
    <n v="7"/>
    <m/>
    <s v="POSS CS PG 1 &lt;1G"/>
    <m/>
    <s v="FS"/>
    <s v="POSS DRUG"/>
    <m/>
    <m/>
    <m/>
    <m/>
    <m/>
    <m/>
    <m/>
    <m/>
    <m/>
    <s v="Appointed Attorney"/>
    <m/>
    <m/>
    <n v="26"/>
    <n v="26"/>
    <n v="27"/>
    <n v="58.803278688524593"/>
    <n v="0"/>
    <n v="0"/>
    <s v="CONVICTION"/>
    <x v="0"/>
    <s v="N"/>
    <m/>
    <s v="CONVICTION"/>
    <s v="Y"/>
    <x v="0"/>
    <x v="0"/>
    <s v="Y"/>
    <n v="0.96296296296296291"/>
    <n v="1"/>
    <n v="3.703703703703709E-2"/>
    <n v="0"/>
    <n v="-26"/>
    <n v="0"/>
    <n v="26"/>
    <e v="#VALUE!"/>
    <n v="26"/>
    <n v="0"/>
    <n v="0"/>
    <m/>
    <s v="Y"/>
    <m/>
    <s v="11-30 DAYS"/>
    <n v="2"/>
    <x v="0"/>
  </r>
  <r>
    <n v="2801"/>
    <s v="N"/>
    <s v="N"/>
    <n v="862811"/>
    <n v="6"/>
    <d v="2012-04-13T00:00:00"/>
    <d v="2014-02-11T00:00:00"/>
    <n v="862811"/>
    <d v="2012-05-22T00:00:00"/>
    <m/>
    <s v="NO BOND"/>
    <x v="1"/>
    <m/>
    <s v="N"/>
    <s v="NONE"/>
    <s v="GUILTY PLEA - NO JURY"/>
    <n v="39"/>
    <n v="670"/>
    <n v="4"/>
    <n v="0"/>
    <n v="2"/>
    <n v="8"/>
    <m/>
    <m/>
    <m/>
    <m/>
    <m/>
    <m/>
    <m/>
    <d v="1970-01-02T00:00:00"/>
    <s v="M"/>
    <s v="B"/>
    <s v="BLACK"/>
    <s v="NULL"/>
    <s v="338"/>
    <s v="CONVICTED"/>
    <n v="20"/>
    <s v="TDC"/>
    <n v="30"/>
    <m/>
    <m/>
    <s v="FAIL TO COMPLY AS SEX OFFENDER"/>
    <m/>
    <s v="F3"/>
    <s v="OTHER FEL"/>
    <m/>
    <m/>
    <m/>
    <m/>
    <m/>
    <m/>
    <m/>
    <m/>
    <m/>
    <s v="Appointed Attorney"/>
    <m/>
    <m/>
    <n v="39"/>
    <n v="631"/>
    <n v="670"/>
    <n v="42.191256830601091"/>
    <n v="41681"/>
    <n v="-41681"/>
    <s v="CONVICTION"/>
    <x v="0"/>
    <s v="N"/>
    <m/>
    <s v="CONVICTION"/>
    <s v="Y"/>
    <x v="0"/>
    <x v="0"/>
    <s v="Y"/>
    <n v="0.94199999999999995"/>
    <n v="0.94199999999999995"/>
    <n v="0"/>
    <n v="0"/>
    <n v="41050"/>
    <n v="41089"/>
    <n v="631"/>
    <e v="#VALUE!"/>
    <n v="39"/>
    <m/>
    <n v="41681"/>
    <m/>
    <s v="Y"/>
    <e v="#N/A"/>
    <s v="31-60 DAYS"/>
    <n v="3"/>
    <x v="0"/>
  </r>
  <r>
    <n v="2169"/>
    <s v="N"/>
    <s v="N"/>
    <n v="865441"/>
    <n v="6"/>
    <d v="2012-03-22T00:00:00"/>
    <d v="2012-05-16T00:00:00"/>
    <n v="865441"/>
    <d v="2012-03-22T00:00:00"/>
    <d v="2012-05-16T00:00:00"/>
    <s v="NO BOND"/>
    <x v="1"/>
    <m/>
    <s v="N"/>
    <s v="NONE"/>
    <s v="GUILTY PLEA - NO JURY"/>
    <n v="56"/>
    <n v="56"/>
    <n v="2"/>
    <n v="1"/>
    <n v="2"/>
    <m/>
    <m/>
    <m/>
    <m/>
    <m/>
    <m/>
    <m/>
    <m/>
    <d v="1969-11-14T00:00:00"/>
    <s v="M"/>
    <s v="B"/>
    <s v="BLACK"/>
    <s v="NULL"/>
    <s v="230"/>
    <s v="CONVICTED"/>
    <n v="4"/>
    <s v="TDC"/>
    <n v="8"/>
    <m/>
    <m/>
    <s v="ATT BURGLARY HABITATION"/>
    <m/>
    <s v="F3"/>
    <s v="BURGLARY"/>
    <m/>
    <m/>
    <m/>
    <m/>
    <m/>
    <m/>
    <m/>
    <m/>
    <m/>
    <s v="Appointed Attorney"/>
    <m/>
    <m/>
    <n v="56"/>
    <n v="56"/>
    <n v="56"/>
    <n v="42.265027322404372"/>
    <n v="0"/>
    <n v="0"/>
    <s v="CONVICTION"/>
    <x v="0"/>
    <s v="N"/>
    <m/>
    <s v="CONVICTION"/>
    <s v="Y"/>
    <x v="0"/>
    <x v="0"/>
    <s v="Y"/>
    <n v="1"/>
    <n v="1"/>
    <n v="0"/>
    <n v="0"/>
    <n v="-56"/>
    <n v="0"/>
    <n v="56"/>
    <e v="#VALUE!"/>
    <n v="56"/>
    <n v="0"/>
    <n v="0"/>
    <m/>
    <s v="Y"/>
    <m/>
    <s v="31-60 DAYS"/>
    <n v="3"/>
    <x v="0"/>
  </r>
  <r>
    <n v="878"/>
    <s v="N"/>
    <s v="N"/>
    <n v="867397"/>
    <n v="1"/>
    <d v="2012-02-02T00:00:00"/>
    <d v="2012-03-28T00:00:00"/>
    <n v="867397"/>
    <d v="2012-02-02T00:00:00"/>
    <d v="2012-02-04T00:00:00"/>
    <n v="2000"/>
    <x v="5"/>
    <d v="2012-02-04T00:00:00"/>
    <s v="Y"/>
    <s v="SURETY"/>
    <s v="DISMISSED"/>
    <n v="3"/>
    <n v="56"/>
    <n v="0"/>
    <n v="0"/>
    <m/>
    <m/>
    <m/>
    <m/>
    <m/>
    <m/>
    <m/>
    <m/>
    <m/>
    <d v="1961-01-20T00:00:00"/>
    <s v="F"/>
    <s v="H"/>
    <s v="HISPANIC"/>
    <s v="HISPANIC"/>
    <s v="183"/>
    <s v="DISMISSED"/>
    <n v="3"/>
    <s v="DISMISSED"/>
    <m/>
    <m/>
    <m/>
    <s v="CRIM MISCH &gt;=$1500 &lt;$20K"/>
    <m/>
    <s v="FS"/>
    <s v="OTHER FEL"/>
    <m/>
    <m/>
    <m/>
    <m/>
    <m/>
    <m/>
    <m/>
    <m/>
    <m/>
    <s v="Hired Attorney"/>
    <m/>
    <m/>
    <n v="3"/>
    <n v="56"/>
    <n v="56"/>
    <n v="50.928961748633881"/>
    <n v="0"/>
    <n v="-53"/>
    <s v="NO CONVICTION"/>
    <x v="1"/>
    <s v="Y"/>
    <m/>
    <s v="NO CONVICTION"/>
    <s v="Y"/>
    <x v="1"/>
    <x v="0"/>
    <s v="N"/>
    <n v="5.3571428571428568E-2"/>
    <n v="5.3571428571428568E-2"/>
    <n v="0"/>
    <n v="0"/>
    <n v="-3"/>
    <n v="0"/>
    <n v="3"/>
    <e v="#VALUE!"/>
    <n v="3"/>
    <n v="0"/>
    <n v="53"/>
    <m/>
    <s v="N"/>
    <m/>
    <s v="0-10 DAYS"/>
    <n v="1"/>
    <x v="0"/>
  </r>
  <r>
    <n v="2180"/>
    <s v="N"/>
    <s v="N"/>
    <n v="867473"/>
    <n v="1"/>
    <d v="2012-03-22T00:00:00"/>
    <d v="2012-03-26T00:00:00"/>
    <n v="867473"/>
    <d v="2012-03-23T00:00:00"/>
    <d v="2012-03-26T00:00:00"/>
    <n v="15000"/>
    <x v="0"/>
    <m/>
    <s v="N"/>
    <s v="NONE"/>
    <s v="DISMISSED"/>
    <n v="4"/>
    <n v="5"/>
    <n v="2"/>
    <n v="2"/>
    <n v="2"/>
    <m/>
    <m/>
    <m/>
    <m/>
    <m/>
    <m/>
    <m/>
    <m/>
    <d v="1969-09-03T00:00:00"/>
    <s v="M"/>
    <s v="W"/>
    <s v="WHITE"/>
    <s v="NON-HISPANIC"/>
    <s v="183"/>
    <s v="DISMISSED"/>
    <n v="1"/>
    <s v="DISMISSED"/>
    <m/>
    <m/>
    <m/>
    <s v="POSS CS PG 1 &lt;1G"/>
    <m/>
    <s v="FS"/>
    <s v="POSS DRUG"/>
    <m/>
    <m/>
    <m/>
    <m/>
    <m/>
    <m/>
    <m/>
    <m/>
    <m/>
    <s v="Appointed Attorney"/>
    <m/>
    <m/>
    <n v="4"/>
    <n v="4"/>
    <n v="5"/>
    <n v="42.461748633879779"/>
    <n v="0"/>
    <n v="0"/>
    <s v="NO CONVICTION"/>
    <x v="0"/>
    <s v="N"/>
    <m/>
    <s v="NO 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974"/>
    <s v="N"/>
    <s v="N"/>
    <n v="868348"/>
    <n v="6"/>
    <d v="2012-02-06T00:00:00"/>
    <d v="2012-08-31T00:00:00"/>
    <n v="868348"/>
    <d v="2012-02-06T00:00:00"/>
    <d v="2012-08-31T00:00:00"/>
    <n v="30000"/>
    <x v="2"/>
    <m/>
    <s v="N"/>
    <s v="NONE"/>
    <s v="GUILTY PLEA - NO JURY"/>
    <n v="208"/>
    <n v="208"/>
    <n v="5"/>
    <n v="6"/>
    <n v="4"/>
    <m/>
    <m/>
    <m/>
    <m/>
    <m/>
    <m/>
    <m/>
    <m/>
    <d v="1969-11-29T00:00:00"/>
    <s v="M"/>
    <s v="B"/>
    <s v="BLACK"/>
    <s v="NULL"/>
    <s v="183"/>
    <s v="CONVICTED"/>
    <n v="10"/>
    <s v="TDC"/>
    <n v="5"/>
    <m/>
    <m/>
    <s v="POSS CS PG 4 28-200 GRAMS"/>
    <m/>
    <s v="F3"/>
    <s v="POSS DRUG"/>
    <m/>
    <m/>
    <m/>
    <m/>
    <m/>
    <m/>
    <m/>
    <m/>
    <m/>
    <s v="Hired Attorney"/>
    <m/>
    <m/>
    <n v="208"/>
    <n v="208"/>
    <n v="208"/>
    <n v="42.101092896174862"/>
    <n v="0"/>
    <n v="0"/>
    <s v="CONVICTION"/>
    <x v="0"/>
    <s v="N"/>
    <m/>
    <s v="CONVICTION"/>
    <s v="Y"/>
    <x v="0"/>
    <x v="0"/>
    <s v="Y"/>
    <n v="1"/>
    <n v="1"/>
    <n v="0"/>
    <n v="0"/>
    <n v="-208"/>
    <n v="0"/>
    <n v="208"/>
    <e v="#VALUE!"/>
    <n v="208"/>
    <n v="0"/>
    <n v="0"/>
    <m/>
    <s v="Y"/>
    <m/>
    <s v="121-365 DAYS"/>
    <n v="6"/>
    <x v="0"/>
  </r>
  <r>
    <n v="349"/>
    <s v="N"/>
    <s v="N"/>
    <n v="869523"/>
    <n v="5"/>
    <d v="2012-01-14T00:00:00"/>
    <d v="2012-01-17T00:00:00"/>
    <n v="869523"/>
    <d v="2012-01-14T00:00:00"/>
    <d v="2012-01-17T00:00:00"/>
    <n v="15000"/>
    <x v="0"/>
    <m/>
    <s v="N"/>
    <s v="NONE"/>
    <s v="GUILTY PLEA - NO JURY"/>
    <n v="4"/>
    <n v="4"/>
    <n v="19"/>
    <n v="4"/>
    <n v="13"/>
    <m/>
    <m/>
    <m/>
    <m/>
    <m/>
    <m/>
    <m/>
    <m/>
    <d v="1966-08-09T00:00:00"/>
    <s v="M"/>
    <s v="W"/>
    <s v="WHITE"/>
    <s v="NON-HISPANIC"/>
    <s v="185"/>
    <s v="CONVICTED"/>
    <n v="1"/>
    <s v="STJ"/>
    <m/>
    <n v="7"/>
    <m/>
    <s v="THEFT UNDER $1500 - 3RD OFF."/>
    <m/>
    <s v="FS"/>
    <s v="THEFT"/>
    <m/>
    <m/>
    <m/>
    <m/>
    <m/>
    <m/>
    <m/>
    <m/>
    <m/>
    <s v="Appointed Attorney"/>
    <m/>
    <m/>
    <n v="4"/>
    <n v="4"/>
    <n v="4"/>
    <n v="45.338797814207652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1281"/>
    <s v="N"/>
    <s v="N"/>
    <n v="870706"/>
    <n v="5"/>
    <d v="2012-02-16T00:00:00"/>
    <d v="2012-05-04T00:00:00"/>
    <n v="870706"/>
    <d v="2012-02-17T00:00:00"/>
    <d v="2012-05-04T00:00:00"/>
    <n v="10000"/>
    <x v="3"/>
    <m/>
    <s v="N"/>
    <s v="NONE"/>
    <s v="GUILTY PLEA - NO JURY"/>
    <n v="78"/>
    <n v="79"/>
    <n v="3"/>
    <n v="4"/>
    <n v="1"/>
    <m/>
    <m/>
    <m/>
    <m/>
    <m/>
    <m/>
    <m/>
    <m/>
    <d v="1963-09-04T00:00:00"/>
    <s v="F"/>
    <s v="B"/>
    <s v="BLACK"/>
    <s v="NON-HISPANIC"/>
    <s v="232"/>
    <s v="CONVICTED"/>
    <n v="4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78"/>
    <n v="78"/>
    <n v="79"/>
    <n v="48.352459016393439"/>
    <n v="0"/>
    <n v="0"/>
    <s v="CONVICTION"/>
    <x v="0"/>
    <s v="N"/>
    <m/>
    <s v="CONVICTION"/>
    <s v="Y"/>
    <x v="0"/>
    <x v="0"/>
    <s v="Y"/>
    <n v="0.98734177215189878"/>
    <n v="1"/>
    <n v="1.2658227848101222E-2"/>
    <n v="0"/>
    <n v="-78"/>
    <n v="0"/>
    <n v="78"/>
    <e v="#VALUE!"/>
    <n v="78"/>
    <n v="0"/>
    <n v="0"/>
    <m/>
    <s v="Y"/>
    <m/>
    <s v="61-90 DAYS"/>
    <n v="4"/>
    <x v="0"/>
  </r>
  <r>
    <n v="2429"/>
    <s v="N"/>
    <s v="N"/>
    <n v="875680"/>
    <n v="1"/>
    <d v="2012-04-01T00:00:00"/>
    <d v="2012-06-04T00:00:00"/>
    <n v="875680"/>
    <d v="2012-04-02T00:00:00"/>
    <d v="2012-04-21T00:00:00"/>
    <n v="100000"/>
    <x v="2"/>
    <d v="2012-04-21T00:00:00"/>
    <s v="Y"/>
    <s v="SURETY"/>
    <s v="NO BILL"/>
    <n v="20"/>
    <n v="65"/>
    <n v="0"/>
    <n v="3"/>
    <m/>
    <m/>
    <m/>
    <m/>
    <m/>
    <m/>
    <m/>
    <m/>
    <m/>
    <d v="1969-10-14T00:00:00"/>
    <s v="M"/>
    <s v="B"/>
    <s v="BLACK"/>
    <s v="NON-HISPANIC"/>
    <s v="185"/>
    <s v="NO BILL"/>
    <n v="6"/>
    <s v="NO BILL"/>
    <m/>
    <m/>
    <m/>
    <s v="AGG ASSAULT-FAMILY MEMBER"/>
    <m/>
    <s v="F2"/>
    <s v="ASLT-MURDR"/>
    <m/>
    <m/>
    <m/>
    <m/>
    <m/>
    <m/>
    <m/>
    <m/>
    <m/>
    <s v="Hired Attorney"/>
    <m/>
    <m/>
    <n v="20"/>
    <n v="64"/>
    <n v="65"/>
    <n v="42.377049180327866"/>
    <n v="0"/>
    <n v="-44"/>
    <s v="NO CONVICTION"/>
    <x v="1"/>
    <s v="Y"/>
    <m/>
    <s v="NO CONVICTION"/>
    <s v="Y"/>
    <x v="1"/>
    <x v="0"/>
    <s v="N"/>
    <n v="0.30769230769230771"/>
    <n v="0.3125"/>
    <n v="4.8076923076922906E-3"/>
    <n v="0"/>
    <n v="-20"/>
    <n v="0"/>
    <n v="20"/>
    <e v="#VALUE!"/>
    <n v="20"/>
    <n v="0"/>
    <n v="44"/>
    <m/>
    <s v="Y"/>
    <m/>
    <s v="11-30 DAYS"/>
    <n v="2"/>
    <x v="0"/>
  </r>
  <r>
    <n v="1018"/>
    <s v="N"/>
    <s v="N"/>
    <n v="875747"/>
    <n v="4"/>
    <d v="2012-02-08T00:00:00"/>
    <d v="2012-09-13T00:00:00"/>
    <n v="875747"/>
    <d v="2012-02-08T00:00:00"/>
    <d v="2012-09-13T00:00:00"/>
    <n v="20000"/>
    <x v="0"/>
    <m/>
    <s v="N"/>
    <s v="NONE"/>
    <s v="GUILTY PLEA - NO JURY"/>
    <n v="219"/>
    <n v="219"/>
    <n v="1"/>
    <n v="3"/>
    <m/>
    <n v="1"/>
    <m/>
    <m/>
    <m/>
    <m/>
    <m/>
    <m/>
    <m/>
    <d v="1954-04-29T00:00:00"/>
    <s v="M"/>
    <s v="B"/>
    <s v="BLACK"/>
    <s v="NON-HISPANIC"/>
    <s v="208"/>
    <s v="CONVICTED"/>
    <n v="8"/>
    <s v="HCJ"/>
    <m/>
    <m/>
    <n v="365"/>
    <s v="AGG ASSAULT W/DEADLY WEAPON"/>
    <m/>
    <s v="F2"/>
    <s v="ASLT-MURDR"/>
    <m/>
    <m/>
    <m/>
    <m/>
    <m/>
    <m/>
    <m/>
    <m/>
    <m/>
    <s v="Appointed Attorney"/>
    <m/>
    <m/>
    <n v="219"/>
    <n v="219"/>
    <n v="219"/>
    <n v="57.661202185792348"/>
    <n v="0"/>
    <n v="0"/>
    <s v="CONVICTION"/>
    <x v="0"/>
    <s v="N"/>
    <m/>
    <s v="CONVICTION"/>
    <s v="Y"/>
    <x v="0"/>
    <x v="0"/>
    <s v="Y"/>
    <n v="1"/>
    <n v="1"/>
    <n v="0"/>
    <n v="0"/>
    <n v="-219"/>
    <n v="0"/>
    <n v="219"/>
    <e v="#VALUE!"/>
    <n v="219"/>
    <n v="0"/>
    <n v="0"/>
    <m/>
    <s v="Y"/>
    <m/>
    <s v="121-365 DAYS"/>
    <n v="6"/>
    <x v="0"/>
  </r>
  <r>
    <n v="1533"/>
    <s v="N"/>
    <s v="N"/>
    <n v="880133"/>
    <n v="2"/>
    <d v="2012-02-26T00:00:00"/>
    <d v="2012-08-09T00:00:00"/>
    <n v="880133"/>
    <d v="2012-02-27T00:00:00"/>
    <d v="2012-02-28T00:00:00"/>
    <n v="5000"/>
    <x v="4"/>
    <d v="2012-02-28T00:00:00"/>
    <s v="Y"/>
    <s v="SURETY"/>
    <s v="DEFERRED ADJUDICATION "/>
    <n v="2"/>
    <n v="166"/>
    <n v="1"/>
    <n v="0"/>
    <m/>
    <n v="1"/>
    <m/>
    <m/>
    <m/>
    <m/>
    <m/>
    <m/>
    <m/>
    <d v="1969-08-01T00:00:00"/>
    <s v="F"/>
    <s v="W"/>
    <s v="WHITE"/>
    <s v="NULL"/>
    <s v="178"/>
    <s v="DEFERRED"/>
    <n v="7"/>
    <s v="DEFERRED"/>
    <m/>
    <m/>
    <m/>
    <s v="POSS CS PG 1  1 - 4 GRAMS"/>
    <m/>
    <s v="F3"/>
    <s v="POSS DRUG"/>
    <m/>
    <m/>
    <m/>
    <m/>
    <m/>
    <m/>
    <m/>
    <m/>
    <m/>
    <s v="Hired Attorney"/>
    <m/>
    <m/>
    <n v="2"/>
    <n v="165"/>
    <n v="166"/>
    <n v="42.483606557377051"/>
    <n v="0"/>
    <n v="-163"/>
    <s v="DEFERRED"/>
    <x v="1"/>
    <s v="Y"/>
    <m/>
    <s v="DEFERRED"/>
    <s v="Y"/>
    <x v="1"/>
    <x v="0"/>
    <s v="Y"/>
    <n v="1.2048192771084338E-2"/>
    <n v="1.2121212121212121E-2"/>
    <n v="7.3019350127783225E-5"/>
    <n v="0"/>
    <n v="-2"/>
    <n v="0"/>
    <n v="2"/>
    <e v="#VALUE!"/>
    <n v="2"/>
    <n v="0"/>
    <n v="163"/>
    <m/>
    <s v="Y"/>
    <m/>
    <s v="0-10 DAYS"/>
    <n v="1"/>
    <x v="0"/>
  </r>
  <r>
    <n v="1136"/>
    <s v="N"/>
    <s v="N"/>
    <n v="885062"/>
    <n v="4"/>
    <d v="2012-02-10T00:00:00"/>
    <d v="2013-05-16T00:00:00"/>
    <n v="885062"/>
    <d v="2012-03-02T00:00:00"/>
    <d v="2013-05-16T00:00:00"/>
    <n v="30000"/>
    <x v="2"/>
    <m/>
    <s v="N"/>
    <s v="NONE"/>
    <s v="GUILTY PLEA - NO JURY"/>
    <n v="441"/>
    <n v="462"/>
    <n v="3"/>
    <n v="7"/>
    <n v="1"/>
    <n v="1"/>
    <m/>
    <m/>
    <m/>
    <m/>
    <m/>
    <m/>
    <m/>
    <d v="1966-08-14T00:00:00"/>
    <s v="M"/>
    <s v="B"/>
    <s v="BLACK"/>
    <s v="NON-HISPANIC"/>
    <s v="248"/>
    <s v="CONVICTED"/>
    <n v="14"/>
    <s v="HCJ"/>
    <m/>
    <m/>
    <n v="365"/>
    <s v="ASSAULT-BOD INJ-FAMILY MEMBER"/>
    <m/>
    <s v="F3"/>
    <s v="ASLT-MURDR"/>
    <m/>
    <m/>
    <m/>
    <m/>
    <m/>
    <m/>
    <m/>
    <m/>
    <m/>
    <s v="Appointed Attorney"/>
    <m/>
    <m/>
    <n v="441"/>
    <n v="441"/>
    <n v="462"/>
    <n v="45.398907103825138"/>
    <n v="0"/>
    <n v="0"/>
    <s v="CONVICTION"/>
    <x v="0"/>
    <s v="N"/>
    <m/>
    <s v="CONVICTION"/>
    <s v="Y"/>
    <x v="0"/>
    <x v="0"/>
    <s v="Y"/>
    <n v="0.95454545454545459"/>
    <n v="1"/>
    <n v="4.5454545454545414E-2"/>
    <n v="0"/>
    <n v="-441"/>
    <n v="0"/>
    <n v="441"/>
    <e v="#VALUE!"/>
    <n v="441"/>
    <n v="0"/>
    <n v="0"/>
    <m/>
    <s v="Y"/>
    <m/>
    <s v=" &gt;1YRS&lt;2YRS"/>
    <n v="0"/>
    <x v="0"/>
  </r>
  <r>
    <n v="2385"/>
    <s v="N"/>
    <s v="N"/>
    <n v="891246"/>
    <n v="5"/>
    <d v="2012-03-30T00:00:00"/>
    <d v="2012-05-03T00:00:00"/>
    <n v="891246"/>
    <d v="2012-03-31T00:00:00"/>
    <d v="2012-05-03T00:00:00"/>
    <n v="15000"/>
    <x v="0"/>
    <m/>
    <s v="N"/>
    <s v="NONE"/>
    <s v="GUILTY PLEA - NO JURY"/>
    <n v="34"/>
    <n v="35"/>
    <n v="1"/>
    <n v="8"/>
    <m/>
    <m/>
    <m/>
    <m/>
    <m/>
    <m/>
    <m/>
    <m/>
    <m/>
    <d v="1969-11-26T00:00:00"/>
    <s v="M"/>
    <s v="H"/>
    <s v="HISPANIC"/>
    <s v="HISPANIC"/>
    <s v="177"/>
    <s v="CONVICTED"/>
    <n v="3"/>
    <s v="STJ"/>
    <m/>
    <n v="6"/>
    <m/>
    <s v="POSS CS PG 1 &lt;1G"/>
    <m/>
    <s v="FS"/>
    <s v="POSS DRUG"/>
    <m/>
    <m/>
    <m/>
    <m/>
    <m/>
    <m/>
    <m/>
    <m/>
    <m/>
    <s v="Appointed Attorney"/>
    <m/>
    <m/>
    <n v="34"/>
    <n v="34"/>
    <n v="35"/>
    <n v="42.254098360655739"/>
    <n v="0"/>
    <n v="0"/>
    <s v="CONVICTION"/>
    <x v="0"/>
    <s v="N"/>
    <m/>
    <s v="CONVICTION"/>
    <s v="Y"/>
    <x v="0"/>
    <x v="0"/>
    <s v="Y"/>
    <n v="0.97142857142857142"/>
    <n v="1"/>
    <n v="2.8571428571428581E-2"/>
    <n v="0"/>
    <n v="-34"/>
    <n v="0"/>
    <n v="34"/>
    <e v="#VALUE!"/>
    <n v="34"/>
    <n v="0"/>
    <n v="0"/>
    <m/>
    <s v="Y"/>
    <m/>
    <s v="31-60 DAYS"/>
    <n v="3"/>
    <x v="0"/>
  </r>
  <r>
    <n v="1748"/>
    <s v="N"/>
    <s v="N"/>
    <n v="892044"/>
    <n v="5"/>
    <d v="2012-03-06T00:00:00"/>
    <d v="2012-05-02T00:00:00"/>
    <n v="892044"/>
    <d v="2012-03-06T00:00:00"/>
    <d v="2012-05-02T00:00:00"/>
    <s v="NO BOND"/>
    <x v="1"/>
    <m/>
    <s v="N"/>
    <s v="NONE"/>
    <s v="GUILTY PLEA - NO JURY"/>
    <n v="58"/>
    <n v="58"/>
    <n v="5"/>
    <n v="8"/>
    <n v="4"/>
    <m/>
    <m/>
    <m/>
    <m/>
    <m/>
    <m/>
    <m/>
    <m/>
    <d v="1967-05-27T00:00:00"/>
    <s v="M"/>
    <s v="B"/>
    <s v="BLACK"/>
    <s v="NON-HISPANIC"/>
    <s v="262"/>
    <s v="CONVICTED"/>
    <n v="4"/>
    <s v="STJ"/>
    <m/>
    <n v="9"/>
    <m/>
    <s v="THEFT UNDER $1500 - 3RD OFF."/>
    <m/>
    <s v="FS"/>
    <s v="THEFT"/>
    <m/>
    <m/>
    <m/>
    <m/>
    <m/>
    <m/>
    <m/>
    <m/>
    <m/>
    <s v="Appointed Attorney"/>
    <m/>
    <m/>
    <n v="58"/>
    <n v="58"/>
    <n v="58"/>
    <n v="44.685792349726775"/>
    <n v="0"/>
    <n v="0"/>
    <s v="CONVICTION"/>
    <x v="0"/>
    <s v="N"/>
    <m/>
    <s v="CONVICTION"/>
    <s v="Y"/>
    <x v="0"/>
    <x v="0"/>
    <s v="Y"/>
    <n v="1"/>
    <n v="1"/>
    <n v="0"/>
    <n v="0"/>
    <n v="-58"/>
    <n v="0"/>
    <n v="58"/>
    <e v="#VALUE!"/>
    <n v="58"/>
    <n v="0"/>
    <n v="0"/>
    <m/>
    <s v="Y"/>
    <m/>
    <s v="31-60 DAYS"/>
    <n v="3"/>
    <x v="0"/>
  </r>
  <r>
    <n v="2749"/>
    <s v="N"/>
    <s v="N"/>
    <n v="892765"/>
    <n v="6"/>
    <d v="2012-04-12T00:00:00"/>
    <d v="2012-08-15T00:00:00"/>
    <n v="892765"/>
    <d v="2012-04-12T00:00:00"/>
    <d v="2012-08-15T00:00:00"/>
    <s v="NO BOND"/>
    <x v="1"/>
    <m/>
    <s v="N"/>
    <s v="NONE"/>
    <s v="GUILTY PLEA - NO JURY"/>
    <n v="126"/>
    <n v="126"/>
    <n v="3"/>
    <n v="2"/>
    <n v="2"/>
    <m/>
    <m/>
    <m/>
    <m/>
    <m/>
    <m/>
    <m/>
    <m/>
    <d v="1965-05-17T00:00:00"/>
    <s v="M"/>
    <s v="W"/>
    <s v="WHITE"/>
    <s v="NULL"/>
    <s v="182"/>
    <s v="CONVICTED"/>
    <n v="5"/>
    <s v="TDC"/>
    <n v="4"/>
    <m/>
    <m/>
    <s v="ASSAULT-BOD INJ-FAMILY MEMBER"/>
    <m/>
    <s v="F3"/>
    <s v="ASLT-MURDR"/>
    <m/>
    <m/>
    <m/>
    <m/>
    <m/>
    <m/>
    <m/>
    <m/>
    <m/>
    <s v="Appointed Attorney"/>
    <m/>
    <m/>
    <n v="126"/>
    <n v="126"/>
    <n v="126"/>
    <n v="46.808743169398909"/>
    <n v="0"/>
    <n v="0"/>
    <s v="CONVICTION"/>
    <x v="0"/>
    <s v="N"/>
    <m/>
    <s v="CONVICTION"/>
    <s v="Y"/>
    <x v="0"/>
    <x v="0"/>
    <s v="Y"/>
    <n v="1"/>
    <n v="1"/>
    <n v="0"/>
    <n v="0"/>
    <n v="-126"/>
    <n v="0"/>
    <n v="126"/>
    <e v="#VALUE!"/>
    <n v="126"/>
    <n v="0"/>
    <n v="0"/>
    <m/>
    <s v="Y"/>
    <m/>
    <s v="121-365 DAYS"/>
    <n v="6"/>
    <x v="0"/>
  </r>
  <r>
    <n v="1330"/>
    <s v="N"/>
    <s v="N"/>
    <n v="893183"/>
    <n v="6"/>
    <d v="2012-02-17T00:00:00"/>
    <d v="2013-03-21T00:00:00"/>
    <n v="893183"/>
    <d v="2012-02-18T00:00:00"/>
    <d v="2013-03-21T00:00:00"/>
    <s v="NO BOND"/>
    <x v="1"/>
    <m/>
    <s v="N"/>
    <s v="NONE"/>
    <s v="GUILTY PLEA - NO JURY"/>
    <n v="398"/>
    <n v="399"/>
    <n v="4"/>
    <n v="2"/>
    <n v="2"/>
    <n v="1"/>
    <m/>
    <m/>
    <m/>
    <m/>
    <m/>
    <m/>
    <m/>
    <d v="1964-09-23T00:00:00"/>
    <s v="M"/>
    <s v="W"/>
    <s v="WHITE"/>
    <s v="NULL"/>
    <s v="208"/>
    <s v="CONVICTED"/>
    <n v="13"/>
    <s v="TDC"/>
    <n v="2"/>
    <m/>
    <m/>
    <s v="ASSAULT-BOD INJ-PUB SERV/RETAL"/>
    <m/>
    <s v="F3"/>
    <s v="ASLT-MURDR"/>
    <s v="sentence??"/>
    <m/>
    <m/>
    <m/>
    <m/>
    <m/>
    <m/>
    <m/>
    <m/>
    <s v="Appointed Attorney"/>
    <m/>
    <m/>
    <n v="398"/>
    <n v="398"/>
    <n v="399"/>
    <n v="47.303278688524593"/>
    <n v="0"/>
    <n v="0"/>
    <s v="CONVICTION"/>
    <x v="0"/>
    <s v="N"/>
    <m/>
    <s v="CONVICTION"/>
    <s v="Y"/>
    <x v="0"/>
    <x v="0"/>
    <s v="Y"/>
    <n v="0.99749373433583954"/>
    <n v="1"/>
    <n v="2.5062656641604564E-3"/>
    <n v="0"/>
    <n v="-398"/>
    <n v="0"/>
    <n v="398"/>
    <e v="#VALUE!"/>
    <n v="398"/>
    <n v="0"/>
    <n v="0"/>
    <m/>
    <s v="Y"/>
    <m/>
    <s v=" &gt;1YRS&lt;2YRS"/>
    <n v="0"/>
    <x v="0"/>
  </r>
  <r>
    <n v="3002"/>
    <s v="N"/>
    <s v="N"/>
    <n v="897389"/>
    <n v="4"/>
    <d v="2012-04-20T00:00:00"/>
    <d v="2012-06-06T00:00:00"/>
    <n v="897389"/>
    <d v="2012-05-29T00:00:00"/>
    <d v="2012-06-06T00:00:00"/>
    <n v="15000"/>
    <x v="0"/>
    <m/>
    <s v="N"/>
    <s v="NONE"/>
    <s v="GUILTY PLEA - NO JURY"/>
    <n v="9"/>
    <n v="48"/>
    <n v="5"/>
    <n v="4"/>
    <n v="3"/>
    <m/>
    <m/>
    <m/>
    <m/>
    <m/>
    <m/>
    <m/>
    <m/>
    <d v="1966-07-22T00:00:00"/>
    <s v="F"/>
    <s v="B"/>
    <s v="BLACK"/>
    <s v="NULL"/>
    <s v="176"/>
    <s v="CONVICTED"/>
    <n v="2"/>
    <s v="HCJ"/>
    <m/>
    <m/>
    <n v="180"/>
    <s v="THEFT UNDER $1500 - 3RD OFF."/>
    <m/>
    <s v="FS"/>
    <s v="THEFT"/>
    <m/>
    <m/>
    <m/>
    <m/>
    <m/>
    <m/>
    <m/>
    <m/>
    <m/>
    <s v="Appointed Attorney"/>
    <m/>
    <m/>
    <n v="9"/>
    <n v="9"/>
    <n v="48"/>
    <n v="45.653005464480877"/>
    <n v="0"/>
    <n v="0"/>
    <s v="CONVICTION"/>
    <x v="0"/>
    <s v="N"/>
    <m/>
    <s v="CONVICTION"/>
    <s v="Y"/>
    <x v="0"/>
    <x v="0"/>
    <s v="Y"/>
    <n v="0.1875"/>
    <n v="1"/>
    <n v="0.8125"/>
    <n v="0"/>
    <n v="-9"/>
    <n v="0"/>
    <n v="9"/>
    <e v="#VALUE!"/>
    <n v="9"/>
    <n v="0"/>
    <n v="0"/>
    <m/>
    <s v="Y"/>
    <m/>
    <s v="0-10 DAYS"/>
    <n v="1"/>
    <x v="0"/>
  </r>
  <r>
    <n v="163"/>
    <s v="N"/>
    <s v="N"/>
    <n v="900638"/>
    <n v="2"/>
    <d v="2012-01-07T00:00:00"/>
    <d v="2013-03-13T00:00:00"/>
    <n v="900638"/>
    <s v="NOT BOOKED"/>
    <s v="NOT BOOKED"/>
    <n v="15000"/>
    <x v="0"/>
    <d v="2012-01-08T00:00:00"/>
    <s v="Y"/>
    <s v="SURETY"/>
    <s v="DEFERRED ADJUDICATION "/>
    <n v="0"/>
    <n v="432"/>
    <n v="5"/>
    <n v="6"/>
    <n v="4"/>
    <m/>
    <m/>
    <m/>
    <m/>
    <m/>
    <m/>
    <m/>
    <m/>
    <d v="1961-10-05T00:00:00"/>
    <s v="M"/>
    <s v="B"/>
    <s v="BLACK"/>
    <s v="NON-HISPANIC"/>
    <s v="176"/>
    <s v="DEFERRED"/>
    <n v="10"/>
    <s v="DEFERRED"/>
    <m/>
    <m/>
    <m/>
    <s v="THEFT UNDER $1500 - 3RD OFF."/>
    <m/>
    <s v="FS"/>
    <s v="THEFT"/>
    <m/>
    <m/>
    <m/>
    <m/>
    <m/>
    <m/>
    <m/>
    <m/>
    <m/>
    <s v="Hired Attorney"/>
    <m/>
    <m/>
    <n v="0"/>
    <n v="0"/>
    <n v="432"/>
    <n v="50.153005464480877"/>
    <e v="#VALUE!"/>
    <e v="#VALUE!"/>
    <s v="DEFERRED"/>
    <x v="1"/>
    <s v="Y"/>
    <m/>
    <s v="DEFERRED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1795"/>
    <s v="N"/>
    <s v="N"/>
    <n v="900735"/>
    <n v="5"/>
    <d v="2012-03-07T00:00:00"/>
    <d v="2012-04-04T00:00:00"/>
    <n v="900735"/>
    <d v="2012-03-08T00:00:00"/>
    <d v="2012-04-04T00:00:00"/>
    <n v="15000"/>
    <x v="0"/>
    <m/>
    <s v="N"/>
    <s v="NONE"/>
    <s v="GUILTY PLEA - NO JURY"/>
    <n v="28"/>
    <n v="29"/>
    <n v="3"/>
    <n v="1"/>
    <n v="1"/>
    <m/>
    <m/>
    <m/>
    <m/>
    <m/>
    <m/>
    <m/>
    <m/>
    <d v="1965-01-18T00:00:00"/>
    <s v="M"/>
    <s v="H"/>
    <s v="HISPANIC"/>
    <s v="HISPANIC"/>
    <s v="185"/>
    <s v="CONVICTED"/>
    <n v="3"/>
    <s v="STJ"/>
    <m/>
    <n v="6"/>
    <m/>
    <s v="MAN/DEL CS PG I &lt;1GRAM"/>
    <m/>
    <s v="FS"/>
    <s v="SALE DRUG"/>
    <m/>
    <m/>
    <m/>
    <m/>
    <m/>
    <m/>
    <m/>
    <m/>
    <m/>
    <s v="Appointed Attorney"/>
    <m/>
    <m/>
    <n v="28"/>
    <n v="28"/>
    <n v="29"/>
    <n v="47.035519125683059"/>
    <n v="0"/>
    <n v="0"/>
    <s v="CONVICTION"/>
    <x v="0"/>
    <s v="N"/>
    <m/>
    <s v="CONVICTION"/>
    <s v="Y"/>
    <x v="0"/>
    <x v="0"/>
    <s v="Y"/>
    <n v="0.96551724137931039"/>
    <n v="1"/>
    <n v="3.4482758620689613E-2"/>
    <n v="0"/>
    <n v="-28"/>
    <n v="0"/>
    <n v="28"/>
    <e v="#VALUE!"/>
    <n v="28"/>
    <n v="0"/>
    <n v="0"/>
    <m/>
    <s v="Y"/>
    <m/>
    <s v="11-30 DAYS"/>
    <n v="2"/>
    <x v="0"/>
  </r>
  <r>
    <n v="1359"/>
    <s v="N"/>
    <s v="N"/>
    <n v="901214"/>
    <n v="5"/>
    <d v="2012-02-19T00:00:00"/>
    <d v="2012-04-12T00:00:00"/>
    <n v="901214"/>
    <d v="2012-02-19T00:00:00"/>
    <d v="2012-04-12T00:00:00"/>
    <n v="15000"/>
    <x v="0"/>
    <m/>
    <s v="N"/>
    <s v="NONE"/>
    <s v="GUILTY PLEA - NO JURY"/>
    <n v="54"/>
    <n v="54"/>
    <n v="9"/>
    <n v="8"/>
    <n v="8"/>
    <m/>
    <m/>
    <m/>
    <m/>
    <m/>
    <m/>
    <m/>
    <m/>
    <d v="1965-03-08T00:00:00"/>
    <s v="F"/>
    <s v="H"/>
    <s v="HISPANIC"/>
    <s v="HISPANIC"/>
    <s v="182"/>
    <s v="CONVICTED"/>
    <n v="3"/>
    <s v="STJ"/>
    <m/>
    <n v="7"/>
    <m/>
    <s v="THEFT UNDER $1500 - 3RD OFF."/>
    <m/>
    <s v="FS"/>
    <s v="THEFT"/>
    <m/>
    <m/>
    <m/>
    <m/>
    <m/>
    <m/>
    <m/>
    <m/>
    <m/>
    <s v="Appointed Attorney"/>
    <m/>
    <m/>
    <n v="54"/>
    <n v="54"/>
    <n v="54"/>
    <n v="46.855191256830601"/>
    <n v="0"/>
    <n v="0"/>
    <s v="CONVICTION"/>
    <x v="0"/>
    <s v="N"/>
    <m/>
    <s v="CONVICTION"/>
    <s v="Y"/>
    <x v="0"/>
    <x v="0"/>
    <s v="Y"/>
    <n v="1"/>
    <n v="1"/>
    <n v="0"/>
    <n v="0"/>
    <n v="-54"/>
    <n v="0"/>
    <n v="54"/>
    <e v="#VALUE!"/>
    <n v="54"/>
    <n v="0"/>
    <n v="0"/>
    <m/>
    <s v="Y"/>
    <m/>
    <s v="31-60 DAYS"/>
    <n v="3"/>
    <x v="0"/>
  </r>
  <r>
    <n v="2396"/>
    <s v="N"/>
    <s v="N"/>
    <n v="901873"/>
    <n v="5"/>
    <d v="2012-03-31T00:00:00"/>
    <d v="2012-04-02T00:00:00"/>
    <n v="901873"/>
    <d v="2012-03-31T00:00:00"/>
    <d v="2012-04-02T00:00:00"/>
    <n v="15000"/>
    <x v="0"/>
    <m/>
    <s v="N"/>
    <s v="NONE"/>
    <s v="GUILTY PLEA - NO JURY"/>
    <n v="3"/>
    <n v="3"/>
    <n v="1"/>
    <n v="0"/>
    <n v="1"/>
    <m/>
    <m/>
    <m/>
    <m/>
    <m/>
    <m/>
    <m/>
    <m/>
    <d v="1964-01-14T00:00:00"/>
    <s v="M"/>
    <s v="W"/>
    <s v="WHITE"/>
    <s v="NON-HISPANIC"/>
    <s v="179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48.112021857923494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658"/>
    <s v="N"/>
    <s v="N"/>
    <n v="905040"/>
    <n v="4"/>
    <d v="2012-01-27T00:00:00"/>
    <d v="2012-05-29T00:00:00"/>
    <n v="905040"/>
    <d v="2012-01-27T00:00:00"/>
    <d v="2012-01-28T00:00:00"/>
    <n v="20000"/>
    <x v="0"/>
    <d v="2012-01-28T00:00:00"/>
    <s v="Y"/>
    <s v="SURETYPTRc"/>
    <s v="GUILTY PLEA - NO JURY"/>
    <n v="2"/>
    <n v="124"/>
    <n v="6"/>
    <n v="3"/>
    <n v="6"/>
    <m/>
    <m/>
    <m/>
    <m/>
    <m/>
    <m/>
    <m/>
    <m/>
    <d v="1964-09-27T00:00:00"/>
    <s v="M"/>
    <s v="B"/>
    <s v="BLACK"/>
    <s v="NULL"/>
    <s v="262"/>
    <s v="CONVICTED"/>
    <n v="7"/>
    <s v="HCJ"/>
    <m/>
    <m/>
    <n v="365"/>
    <s v="POSS CS PG 1 &lt;1G"/>
    <m/>
    <s v="FS"/>
    <s v="POSS DRUG"/>
    <m/>
    <m/>
    <m/>
    <m/>
    <m/>
    <m/>
    <m/>
    <m/>
    <m/>
    <s v="Hired Attorney"/>
    <m/>
    <m/>
    <n v="2"/>
    <n v="124"/>
    <n v="124"/>
    <n v="47.234972677595628"/>
    <n v="0"/>
    <n v="-122"/>
    <s v="CONVICTION"/>
    <x v="1"/>
    <s v="Y"/>
    <m/>
    <s v="CONVICTION"/>
    <s v="Y"/>
    <x v="1"/>
    <x v="0"/>
    <s v="Y"/>
    <n v="1.6129032258064516E-2"/>
    <n v="1.6129032258064516E-2"/>
    <n v="0"/>
    <n v="0"/>
    <n v="-2"/>
    <n v="0"/>
    <n v="2"/>
    <e v="#VALUE!"/>
    <n v="2"/>
    <n v="0"/>
    <n v="122"/>
    <m/>
    <s v="Y"/>
    <m/>
    <s v="0-10 DAYS"/>
    <n v="1"/>
    <x v="0"/>
  </r>
  <r>
    <n v="311"/>
    <s v="N"/>
    <s v="N"/>
    <n v="905377"/>
    <n v="4"/>
    <d v="2012-01-13T00:00:00"/>
    <d v="2012-02-17T00:00:00"/>
    <n v="905377"/>
    <d v="2012-01-13T00:00:00"/>
    <d v="2012-02-17T00:00:00"/>
    <n v="25000"/>
    <x v="2"/>
    <m/>
    <s v="N"/>
    <s v="NONE"/>
    <s v="GUILTY PLEA - NO JURY"/>
    <n v="36"/>
    <n v="36"/>
    <n v="3"/>
    <n v="1"/>
    <n v="3"/>
    <m/>
    <m/>
    <m/>
    <m/>
    <m/>
    <m/>
    <m/>
    <m/>
    <d v="1957-10-08T00:00:00"/>
    <s v="M"/>
    <s v="B"/>
    <s v="BLACK"/>
    <s v="NON-HISPANIC"/>
    <s v="248"/>
    <s v="CONVICTED"/>
    <n v="2"/>
    <s v="HCJ"/>
    <m/>
    <m/>
    <n v="180"/>
    <s v="POSS CS PG 1 &lt;1G"/>
    <m/>
    <s v="FS"/>
    <s v="POSS DRUG"/>
    <m/>
    <m/>
    <m/>
    <m/>
    <m/>
    <m/>
    <m/>
    <m/>
    <m/>
    <s v="Appointed Attorney"/>
    <m/>
    <m/>
    <n v="36"/>
    <n v="36"/>
    <n v="36"/>
    <n v="54.153005464480877"/>
    <n v="0"/>
    <n v="0"/>
    <s v="CONVICTION"/>
    <x v="0"/>
    <s v="N"/>
    <m/>
    <s v="CONVICTION"/>
    <s v="Y"/>
    <x v="0"/>
    <x v="0"/>
    <s v="Y"/>
    <n v="1"/>
    <n v="1"/>
    <n v="0"/>
    <n v="0"/>
    <n v="-36"/>
    <n v="0"/>
    <n v="36"/>
    <e v="#VALUE!"/>
    <n v="36"/>
    <n v="0"/>
    <n v="0"/>
    <m/>
    <s v="Y"/>
    <m/>
    <s v="31-60 DAYS"/>
    <n v="3"/>
    <x v="0"/>
  </r>
  <r>
    <n v="907"/>
    <s v="N"/>
    <s v="N"/>
    <n v="905995"/>
    <n v="5"/>
    <d v="2012-02-03T00:00:00"/>
    <d v="2012-08-29T00:00:00"/>
    <n v="905995"/>
    <d v="2012-02-28T00:00:00"/>
    <d v="2012-08-29T00:00:00"/>
    <s v="NO BOND"/>
    <x v="1"/>
    <m/>
    <s v="N"/>
    <s v="NONE"/>
    <s v="GUILTY PLEA - NO JURY"/>
    <n v="184"/>
    <n v="209"/>
    <n v="4"/>
    <n v="4"/>
    <n v="3"/>
    <m/>
    <m/>
    <m/>
    <m/>
    <m/>
    <m/>
    <m/>
    <m/>
    <d v="1968-12-27T00:00:00"/>
    <s v="M"/>
    <s v="W"/>
    <s v="WHITE"/>
    <s v="NON-HISPANIC"/>
    <s v="180"/>
    <s v="CONVICTED"/>
    <n v="7"/>
    <s v="STJ"/>
    <m/>
    <n v="6"/>
    <m/>
    <s v="FAIL TO COMPLY AS SEX OFFENDER"/>
    <m/>
    <s v="F3"/>
    <s v="OTHER FEL"/>
    <s v="detained on pend 2010 murder charge"/>
    <m/>
    <m/>
    <m/>
    <m/>
    <m/>
    <m/>
    <m/>
    <m/>
    <s v="Appointed Attorney"/>
    <m/>
    <m/>
    <n v="184"/>
    <n v="184"/>
    <n v="209"/>
    <n v="43.013661202185794"/>
    <n v="0"/>
    <n v="0"/>
    <s v="CONVICTION"/>
    <x v="0"/>
    <s v="N"/>
    <m/>
    <s v="CONVICTION"/>
    <s v="Y"/>
    <x v="0"/>
    <x v="0"/>
    <s v="Y"/>
    <n v="0.88038277511961727"/>
    <n v="1"/>
    <n v="0.11961722488038273"/>
    <n v="0"/>
    <n v="-184"/>
    <n v="0"/>
    <n v="184"/>
    <e v="#VALUE!"/>
    <n v="184"/>
    <n v="0"/>
    <n v="0"/>
    <m/>
    <s v="Y"/>
    <m/>
    <s v="121-365 DAYS"/>
    <n v="6"/>
    <x v="0"/>
  </r>
  <r>
    <n v="870"/>
    <s v="N"/>
    <s v="N"/>
    <n v="908154"/>
    <n v="4"/>
    <d v="2012-02-02T00:00:00"/>
    <d v="2012-02-06T00:00:00"/>
    <n v="908154"/>
    <d v="2012-02-02T00:00:00"/>
    <d v="2012-02-06T00:00:00"/>
    <n v="15000"/>
    <x v="0"/>
    <m/>
    <s v="N"/>
    <s v="NONE"/>
    <s v="GUILTY PLEA - NO JURY"/>
    <n v="5"/>
    <n v="5"/>
    <n v="2"/>
    <n v="0"/>
    <n v="2"/>
    <m/>
    <m/>
    <m/>
    <m/>
    <m/>
    <m/>
    <m/>
    <m/>
    <d v="1964-03-08T00:00:00"/>
    <s v="M"/>
    <s v="B"/>
    <s v="BLACK"/>
    <s v="NULL"/>
    <s v="185"/>
    <s v="CONVICTED"/>
    <n v="1"/>
    <s v="HCJ"/>
    <m/>
    <m/>
    <n v="180"/>
    <s v="POSS CS PG 1 &lt;1G"/>
    <m/>
    <s v="FS"/>
    <s v="POSS DRUG"/>
    <m/>
    <m/>
    <m/>
    <m/>
    <m/>
    <m/>
    <m/>
    <m/>
    <m/>
    <s v="Public Defender"/>
    <m/>
    <m/>
    <n v="5"/>
    <n v="5"/>
    <n v="5"/>
    <n v="47.806010928961747"/>
    <n v="0"/>
    <n v="0"/>
    <s v="CONVICTION"/>
    <x v="0"/>
    <s v="N"/>
    <m/>
    <s v="CONVICTION"/>
    <s v="Y"/>
    <x v="0"/>
    <x v="0"/>
    <s v="Y"/>
    <n v="1"/>
    <n v="1"/>
    <n v="0"/>
    <n v="0"/>
    <n v="-5"/>
    <n v="0"/>
    <n v="5"/>
    <e v="#VALUE!"/>
    <n v="5"/>
    <n v="0"/>
    <n v="0"/>
    <m/>
    <s v="Y"/>
    <m/>
    <s v="0-10 DAYS"/>
    <n v="1"/>
    <x v="0"/>
  </r>
  <r>
    <n v="1688"/>
    <s v="N"/>
    <s v="N"/>
    <n v="909453"/>
    <n v="5"/>
    <d v="2012-03-03T00:00:00"/>
    <d v="2012-05-25T00:00:00"/>
    <n v="909453"/>
    <d v="2012-03-03T00:00:00"/>
    <d v="2012-05-25T00:00:00"/>
    <n v="15000"/>
    <x v="0"/>
    <m/>
    <s v="N"/>
    <s v="NONE"/>
    <s v="GUILTY PLEA - NO JURY"/>
    <n v="84"/>
    <n v="84"/>
    <n v="5"/>
    <n v="4"/>
    <n v="3"/>
    <n v="1"/>
    <m/>
    <m/>
    <m/>
    <m/>
    <m/>
    <m/>
    <m/>
    <d v="1970-06-16T00:00:00"/>
    <s v="M"/>
    <s v="W"/>
    <s v="WHITE"/>
    <s v="NON-HISPANIC"/>
    <s v="248"/>
    <s v="CONVICTED"/>
    <n v="5"/>
    <s v="STJ"/>
    <m/>
    <n v="6"/>
    <m/>
    <s v="POSS CS PG 1 &lt;1G"/>
    <m/>
    <s v="FS"/>
    <s v="POSS DRUG"/>
    <m/>
    <m/>
    <m/>
    <m/>
    <m/>
    <m/>
    <m/>
    <m/>
    <m/>
    <s v="Appointed Attorney"/>
    <m/>
    <m/>
    <n v="84"/>
    <n v="84"/>
    <n v="84"/>
    <n v="41.62841530054645"/>
    <n v="0"/>
    <n v="0"/>
    <s v="CONVICTION"/>
    <x v="0"/>
    <s v="N"/>
    <m/>
    <s v="CONVICTION"/>
    <s v="Y"/>
    <x v="0"/>
    <x v="0"/>
    <s v="Y"/>
    <n v="1"/>
    <n v="1"/>
    <n v="0"/>
    <n v="0"/>
    <n v="-84"/>
    <n v="0"/>
    <n v="84"/>
    <e v="#VALUE!"/>
    <n v="84"/>
    <n v="0"/>
    <n v="0"/>
    <m/>
    <s v="Y"/>
    <m/>
    <s v="61-90 DAYS"/>
    <n v="4"/>
    <x v="0"/>
  </r>
  <r>
    <n v="2920"/>
    <s v="N"/>
    <s v="N"/>
    <n v="910427"/>
    <n v="2"/>
    <d v="2012-04-18T00:00:00"/>
    <d v="2012-12-13T00:00:00"/>
    <n v="910427"/>
    <d v="2012-04-18T00:00:00"/>
    <d v="2012-12-13T00:00:00"/>
    <s v="NO BOND"/>
    <x v="1"/>
    <m/>
    <s v="N"/>
    <s v="NONE"/>
    <s v="DEFERRED ADJUDICATION "/>
    <n v="240"/>
    <n v="240"/>
    <n v="5"/>
    <n v="0"/>
    <n v="4"/>
    <m/>
    <m/>
    <m/>
    <m/>
    <m/>
    <m/>
    <m/>
    <m/>
    <d v="1969-06-14T00:00:00"/>
    <s v="M"/>
    <s v="B"/>
    <s v="BLACK"/>
    <s v="NULL"/>
    <s v="178"/>
    <s v="DEFERRED"/>
    <n v="13"/>
    <s v="DEFERRED"/>
    <m/>
    <m/>
    <m/>
    <s v="INJ TO DISABLED - BOD INJ"/>
    <m/>
    <s v="F3"/>
    <s v="ASLT-MURDR"/>
    <s v="misd vio order 60 days hcj 12/14/12"/>
    <m/>
    <m/>
    <m/>
    <m/>
    <m/>
    <m/>
    <m/>
    <m/>
    <s v="Appointed Attorney"/>
    <m/>
    <m/>
    <n v="240"/>
    <n v="240"/>
    <n v="240"/>
    <n v="42.756830601092894"/>
    <n v="0"/>
    <n v="0"/>
    <s v="DEFERRED"/>
    <x v="0"/>
    <s v="N"/>
    <m/>
    <s v="DEFERRED"/>
    <s v="Y"/>
    <x v="0"/>
    <x v="0"/>
    <s v="Y"/>
    <n v="1"/>
    <n v="1"/>
    <n v="0"/>
    <n v="0"/>
    <n v="-240"/>
    <n v="0"/>
    <n v="240"/>
    <e v="#VALUE!"/>
    <n v="240"/>
    <n v="0"/>
    <n v="0"/>
    <m/>
    <s v="Y"/>
    <m/>
    <s v="121-365 DAYS"/>
    <n v="6"/>
    <x v="0"/>
  </r>
  <r>
    <n v="1256"/>
    <s v="N"/>
    <s v="N"/>
    <n v="910571"/>
    <n v="6"/>
    <d v="2012-02-15T00:00:00"/>
    <d v="2012-02-17T00:00:00"/>
    <n v="910571"/>
    <d v="2012-02-16T00:00:00"/>
    <d v="2012-02-17T00:00:00"/>
    <n v="15000"/>
    <x v="0"/>
    <m/>
    <s v="N"/>
    <s v="NONE"/>
    <s v="GUILTY PLEA - NO JURY"/>
    <n v="2"/>
    <n v="3"/>
    <n v="5"/>
    <n v="4"/>
    <n v="4"/>
    <m/>
    <m/>
    <m/>
    <m/>
    <m/>
    <m/>
    <m/>
    <m/>
    <d v="1968-03-11T00:00:00"/>
    <s v="M"/>
    <s v="B"/>
    <s v="BLACK"/>
    <s v="NON-HISPANIC"/>
    <s v="183"/>
    <s v="CONVICTED"/>
    <n v="1"/>
    <s v="TDC"/>
    <n v="2"/>
    <m/>
    <m/>
    <s v="POSS CS PG 1 &lt;1G"/>
    <m/>
    <s v="FS"/>
    <s v="POSS DRUG"/>
    <m/>
    <m/>
    <m/>
    <m/>
    <m/>
    <m/>
    <m/>
    <m/>
    <m/>
    <s v="Appointed Attorney"/>
    <m/>
    <m/>
    <n v="2"/>
    <n v="2"/>
    <n v="3"/>
    <n v="43.841530054644807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706"/>
    <s v="N"/>
    <s v="N"/>
    <n v="910840"/>
    <n v="5"/>
    <d v="2012-04-10T00:00:00"/>
    <d v="2012-04-12T00:00:00"/>
    <n v="910840"/>
    <d v="2012-04-10T00:00:00"/>
    <d v="2012-04-12T00:00:00"/>
    <n v="15000"/>
    <x v="0"/>
    <m/>
    <s v="N"/>
    <s v="NONE"/>
    <s v="GUILTY PLEA - NO JURY"/>
    <n v="3"/>
    <n v="3"/>
    <n v="10"/>
    <n v="5"/>
    <n v="8"/>
    <m/>
    <m/>
    <m/>
    <m/>
    <m/>
    <m/>
    <m/>
    <m/>
    <d v="1968-11-21T00:00:00"/>
    <s v="M"/>
    <s v="B"/>
    <s v="BLACK"/>
    <s v="NON-HISPANIC"/>
    <s v="263"/>
    <s v="CONVICTED"/>
    <n v="1"/>
    <s v="STJ"/>
    <m/>
    <n v="10"/>
    <m/>
    <s v="THEFT UNDER $1500 - 3RD OFF."/>
    <m/>
    <s v="FS"/>
    <s v="THEFT"/>
    <m/>
    <m/>
    <m/>
    <m/>
    <m/>
    <m/>
    <m/>
    <m/>
    <m/>
    <s v="Appointed Attorney"/>
    <m/>
    <m/>
    <n v="3"/>
    <n v="3"/>
    <n v="3"/>
    <n v="43.295081967213115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360"/>
    <s v="N"/>
    <s v="N"/>
    <n v="910954"/>
    <n v="2"/>
    <d v="2012-01-15T00:00:00"/>
    <d v="2012-04-25T00:00:00"/>
    <n v="910954"/>
    <d v="2012-01-15T00:00:00"/>
    <d v="2012-01-19T00:00:00"/>
    <n v="5000"/>
    <x v="4"/>
    <d v="2012-01-19T00:00:00"/>
    <s v="Y"/>
    <s v="SURETY"/>
    <s v="DEFERRED ADJUDICATION "/>
    <n v="5"/>
    <n v="102"/>
    <n v="0"/>
    <n v="4"/>
    <m/>
    <m/>
    <m/>
    <m/>
    <m/>
    <m/>
    <m/>
    <m/>
    <m/>
    <d v="1964-02-03T00:00:00"/>
    <s v="M"/>
    <s v="B"/>
    <s v="BLACK"/>
    <s v="NULL"/>
    <s v="230"/>
    <s v="DEFERRED"/>
    <n v="6"/>
    <s v="DEFERRED"/>
    <m/>
    <m/>
    <m/>
    <s v="TAMPER/FABRICATE EVIDENCE"/>
    <m/>
    <s v="F3"/>
    <s v="OTHER FEL"/>
    <m/>
    <m/>
    <m/>
    <m/>
    <m/>
    <m/>
    <m/>
    <m/>
    <m/>
    <s v="Hired Attorney"/>
    <m/>
    <m/>
    <n v="5"/>
    <n v="102"/>
    <n v="102"/>
    <n v="47.849726775956285"/>
    <n v="0"/>
    <n v="-97"/>
    <s v="DEFERRED"/>
    <x v="1"/>
    <s v="Y"/>
    <m/>
    <s v="DEFERRED"/>
    <s v="Y"/>
    <x v="1"/>
    <x v="0"/>
    <s v="N"/>
    <n v="4.9019607843137254E-2"/>
    <n v="4.9019607843137254E-2"/>
    <n v="0"/>
    <n v="0"/>
    <n v="-5"/>
    <n v="0"/>
    <n v="5"/>
    <e v="#VALUE!"/>
    <n v="5"/>
    <n v="0"/>
    <n v="97"/>
    <m/>
    <s v="Y"/>
    <m/>
    <s v="0-10 DAYS"/>
    <n v="1"/>
    <x v="0"/>
  </r>
  <r>
    <n v="1874"/>
    <s v="N"/>
    <s v="N"/>
    <n v="911510"/>
    <n v="2"/>
    <d v="2012-03-10T00:00:00"/>
    <d v="2012-10-31T00:00:00"/>
    <n v="911510"/>
    <d v="2012-03-10T00:00:00"/>
    <d v="2012-03-11T00:00:00"/>
    <n v="2000"/>
    <x v="5"/>
    <d v="2012-03-11T00:00:00"/>
    <s v="Y"/>
    <s v="SURETY"/>
    <s v="DEFERRED ADJUDICATION "/>
    <n v="2"/>
    <n v="236"/>
    <n v="0"/>
    <n v="5"/>
    <m/>
    <m/>
    <m/>
    <m/>
    <m/>
    <m/>
    <m/>
    <m/>
    <m/>
    <d v="1965-10-11T00:00:00"/>
    <s v="F"/>
    <s v="B"/>
    <s v="BLACK"/>
    <s v="NON-HISPANIC"/>
    <s v="208"/>
    <s v="DEFERRED"/>
    <n v="10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236"/>
    <n v="236"/>
    <n v="46.31693989071038"/>
    <n v="0"/>
    <n v="-234"/>
    <s v="DEFERRED"/>
    <x v="1"/>
    <s v="Y"/>
    <m/>
    <s v="DEFERRED"/>
    <s v="Y"/>
    <x v="1"/>
    <x v="0"/>
    <s v="N"/>
    <n v="8.4745762711864406E-3"/>
    <n v="8.4745762711864406E-3"/>
    <n v="0"/>
    <n v="0"/>
    <n v="-2"/>
    <n v="0"/>
    <n v="2"/>
    <e v="#VALUE!"/>
    <n v="2"/>
    <n v="0"/>
    <n v="234"/>
    <m/>
    <s v="Y"/>
    <m/>
    <s v="0-10 DAYS"/>
    <n v="1"/>
    <x v="0"/>
  </r>
  <r>
    <n v="2248"/>
    <s v="N"/>
    <s v="N"/>
    <n v="912955"/>
    <n v="1"/>
    <d v="2012-03-26T00:00:00"/>
    <d v="2013-12-13T00:00:00"/>
    <n v="912955"/>
    <d v="2012-03-26T00:00:00"/>
    <d v="2012-03-28T00:00:00"/>
    <n v="40000"/>
    <x v="2"/>
    <d v="2012-03-28T00:00:00"/>
    <s v="Y"/>
    <s v="SURETYPTRc"/>
    <s v="DISMISSED"/>
    <n v="3"/>
    <n v="628"/>
    <n v="1"/>
    <n v="2"/>
    <n v="1"/>
    <m/>
    <m/>
    <m/>
    <m/>
    <m/>
    <m/>
    <m/>
    <m/>
    <d v="1964-06-10T00:00:00"/>
    <s v="M"/>
    <s v="H"/>
    <s v="HISPANIC"/>
    <s v="HISPANIC"/>
    <s v="338"/>
    <s v="DISMISSED"/>
    <n v="17"/>
    <s v="DISMISSED"/>
    <m/>
    <m/>
    <m/>
    <s v="AGG ASSLT AGAINST PB SERVANT"/>
    <m/>
    <s v="F1"/>
    <s v="ASLT-MURDR"/>
    <m/>
    <m/>
    <m/>
    <m/>
    <m/>
    <m/>
    <m/>
    <m/>
    <m/>
    <s v="Public Defender"/>
    <m/>
    <m/>
    <n v="3"/>
    <n v="628"/>
    <n v="628"/>
    <n v="47.693989071038253"/>
    <n v="0"/>
    <n v="-625"/>
    <s v="NO CONVICTION"/>
    <x v="1"/>
    <s v="Y"/>
    <m/>
    <s v="NO CONVICTION"/>
    <s v="Y"/>
    <x v="1"/>
    <x v="0"/>
    <s v="Y"/>
    <n v="4.7770700636942673E-3"/>
    <n v="4.7770700636942673E-3"/>
    <n v="0"/>
    <n v="0"/>
    <n v="-3"/>
    <n v="0"/>
    <n v="3"/>
    <e v="#VALUE!"/>
    <n v="3"/>
    <n v="0"/>
    <n v="625"/>
    <m/>
    <s v="Y"/>
    <m/>
    <s v="0-10 DAYS"/>
    <n v="1"/>
    <x v="0"/>
  </r>
  <r>
    <n v="1652"/>
    <s v="N"/>
    <s v="N"/>
    <n v="913106"/>
    <n v="6"/>
    <d v="2012-03-01T00:00:00"/>
    <d v="2012-03-05T00:00:00"/>
    <n v="913106"/>
    <d v="2012-03-02T00:00:00"/>
    <d v="2012-03-05T00:00:00"/>
    <s v="NO BOND"/>
    <x v="1"/>
    <m/>
    <s v="N"/>
    <s v="NONE"/>
    <s v="GUILTY PLEA - NO JURY"/>
    <n v="4"/>
    <n v="5"/>
    <n v="5"/>
    <n v="2"/>
    <n v="3"/>
    <m/>
    <m/>
    <m/>
    <m/>
    <m/>
    <m/>
    <m/>
    <m/>
    <d v="1970-04-29T00:00:00"/>
    <s v="M"/>
    <s v="B"/>
    <s v="BLACK"/>
    <s v="NON-HISPANIC"/>
    <s v="339"/>
    <s v="CONVICTED"/>
    <n v="1"/>
    <s v="TDC"/>
    <n v="11"/>
    <m/>
    <m/>
    <s v="OBTAIN DRUGS BY FORGE PRESCRIP"/>
    <m/>
    <s v="F3"/>
    <s v="SALE DRUG"/>
    <m/>
    <m/>
    <m/>
    <m/>
    <m/>
    <m/>
    <m/>
    <m/>
    <m/>
    <s v="Appointed Attorney"/>
    <m/>
    <m/>
    <n v="4"/>
    <n v="4"/>
    <n v="5"/>
    <n v="41.754098360655739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1021"/>
    <s v="N"/>
    <s v="N"/>
    <n v="915536"/>
    <n v="2"/>
    <d v="2012-02-08T00:00:00"/>
    <d v="2012-04-23T00:00:00"/>
    <n v="915536"/>
    <d v="2012-02-08T00:00:00"/>
    <d v="2012-04-23T00:00:00"/>
    <n v="20000"/>
    <x v="0"/>
    <m/>
    <s v="N"/>
    <s v="NONE"/>
    <s v="DEFERRED ADJUDICATION "/>
    <n v="76"/>
    <n v="76"/>
    <n v="1"/>
    <n v="5"/>
    <m/>
    <n v="1"/>
    <m/>
    <m/>
    <m/>
    <m/>
    <m/>
    <m/>
    <m/>
    <d v="1968-05-23T00:00:00"/>
    <s v="M"/>
    <s v="W"/>
    <s v="WHITE"/>
    <s v="NON-HISPANIC"/>
    <s v="230"/>
    <s v="DEFERRED"/>
    <n v="6"/>
    <s v="DEFERRED"/>
    <m/>
    <m/>
    <m/>
    <s v="AGG ASSAULT W/DEADLY WEAPON"/>
    <m/>
    <s v="F2"/>
    <s v="ASLT-MURDR"/>
    <m/>
    <m/>
    <m/>
    <m/>
    <m/>
    <m/>
    <m/>
    <m/>
    <m/>
    <s v="Appointed Attorney"/>
    <m/>
    <m/>
    <n v="76"/>
    <n v="76"/>
    <n v="76"/>
    <n v="43.622950819672134"/>
    <n v="0"/>
    <n v="0"/>
    <s v="DEFERRED"/>
    <x v="0"/>
    <s v="N"/>
    <m/>
    <s v="DEFERRED"/>
    <s v="Y"/>
    <x v="0"/>
    <x v="0"/>
    <s v="Y"/>
    <n v="1"/>
    <n v="1"/>
    <n v="0"/>
    <n v="0"/>
    <n v="-76"/>
    <n v="0"/>
    <n v="76"/>
    <e v="#VALUE!"/>
    <n v="76"/>
    <n v="0"/>
    <n v="0"/>
    <m/>
    <s v="Y"/>
    <m/>
    <s v="61-90 DAYS"/>
    <n v="4"/>
    <x v="0"/>
  </r>
  <r>
    <n v="2458"/>
    <s v="N"/>
    <s v="N"/>
    <n v="917228"/>
    <n v="5"/>
    <d v="2012-04-02T00:00:00"/>
    <d v="2012-05-31T00:00:00"/>
    <n v="917228"/>
    <d v="2012-04-03T00:00:00"/>
    <d v="2012-05-31T00:00:00"/>
    <n v="15000"/>
    <x v="0"/>
    <m/>
    <s v="N"/>
    <s v="NONE"/>
    <s v="GUILTY PLEA - NO JURY"/>
    <n v="59"/>
    <n v="60"/>
    <n v="5"/>
    <n v="8"/>
    <n v="3"/>
    <m/>
    <m/>
    <m/>
    <m/>
    <m/>
    <m/>
    <m/>
    <m/>
    <d v="1969-05-25T00:00:00"/>
    <s v="M"/>
    <s v="B"/>
    <s v="BLACK"/>
    <s v="NON-HISPANIC"/>
    <s v="248"/>
    <s v="CONVICTED"/>
    <n v="3"/>
    <s v="STJ"/>
    <m/>
    <n v="8"/>
    <m/>
    <s v="THEFT $1500-20K"/>
    <m/>
    <s v="FS"/>
    <s v="THEFT"/>
    <m/>
    <m/>
    <m/>
    <m/>
    <m/>
    <m/>
    <m/>
    <m/>
    <m/>
    <s v="Appointed Attorney"/>
    <m/>
    <m/>
    <n v="59"/>
    <n v="59"/>
    <n v="60"/>
    <n v="42.767759562841533"/>
    <n v="0"/>
    <n v="0"/>
    <s v="CONVICTION"/>
    <x v="0"/>
    <s v="N"/>
    <m/>
    <s v="CONVICTION"/>
    <s v="Y"/>
    <x v="0"/>
    <x v="0"/>
    <s v="Y"/>
    <n v="0.98333333333333328"/>
    <n v="1"/>
    <n v="1.6666666666666718E-2"/>
    <n v="0"/>
    <n v="-59"/>
    <n v="0"/>
    <n v="59"/>
    <e v="#VALUE!"/>
    <n v="59"/>
    <n v="0"/>
    <n v="0"/>
    <m/>
    <s v="Y"/>
    <m/>
    <s v="31-60 DAYS"/>
    <n v="3"/>
    <x v="0"/>
  </r>
  <r>
    <n v="2175"/>
    <s v="Y"/>
    <s v="Y"/>
    <n v="917979"/>
    <n v="1"/>
    <d v="2012-03-22T00:00:00"/>
    <d v="2013-08-27T00:00:00"/>
    <n v="917979"/>
    <d v="2012-03-28T00:00:00"/>
    <d v="2012-03-29T00:00:00"/>
    <n v="5000"/>
    <x v="4"/>
    <d v="2012-03-29T00:00:00"/>
    <s v="Y"/>
    <s v="SURETY"/>
    <s v="DISMISSED"/>
    <n v="27"/>
    <n v="524"/>
    <n v="0"/>
    <n v="2"/>
    <m/>
    <m/>
    <m/>
    <m/>
    <m/>
    <m/>
    <m/>
    <m/>
    <m/>
    <d v="1970-02-07T00:00:00"/>
    <s v="M"/>
    <s v="B"/>
    <s v="BLACK"/>
    <s v="NON-HISPANIC"/>
    <s v="262"/>
    <s v="NULL"/>
    <n v="17"/>
    <s v="DISMISSED"/>
    <m/>
    <m/>
    <m/>
    <s v="FALSELY HOLDING ONESELF AS ATY"/>
    <m/>
    <s v="F3"/>
    <s v="OTHER FEL"/>
    <m/>
    <s v="bk bd ssr6/12//12 remade 7/7/12 recal jail days "/>
    <m/>
    <m/>
    <s v="Y"/>
    <m/>
    <m/>
    <m/>
    <m/>
    <s v="Hired Attorney"/>
    <s v="8/20/13 F FALSE AS ATTY JURY VERD TDC 5Y APPEL"/>
    <m/>
    <n v="27"/>
    <n v="518"/>
    <n v="524"/>
    <n v="42.032786885245905"/>
    <n v="0"/>
    <n v="-516"/>
    <s v="NO CONVICTION"/>
    <x v="1"/>
    <s v="Y"/>
    <m/>
    <s v="NO CONVICTION"/>
    <s v="Y"/>
    <x v="1"/>
    <x v="0"/>
    <s v="N"/>
    <n v="5.1526717557251911E-2"/>
    <n v="3.8610038610038611E-3"/>
    <n v="-4.7665713696248051E-2"/>
    <n v="0"/>
    <n v="-2"/>
    <n v="25"/>
    <n v="2"/>
    <n v="27"/>
    <m/>
    <n v="516"/>
    <n v="516"/>
    <m/>
    <s v="Y"/>
    <m/>
    <s v="11-30 DAYS"/>
    <n v="2"/>
    <x v="0"/>
  </r>
  <r>
    <n v="2302"/>
    <s v="N"/>
    <s v="N"/>
    <n v="918538"/>
    <n v="6"/>
    <d v="2012-03-28T00:00:00"/>
    <d v="2012-11-26T00:00:00"/>
    <n v="918538"/>
    <d v="2012-03-28T00:00:00"/>
    <d v="2012-03-30T00:00:00"/>
    <n v="15000"/>
    <x v="0"/>
    <d v="2012-03-30T00:00:00"/>
    <s v="Y"/>
    <s v="SURETY"/>
    <s v="GUILTY PLEA - NO JURY"/>
    <n v="3"/>
    <n v="244"/>
    <n v="9"/>
    <n v="8"/>
    <n v="5"/>
    <m/>
    <m/>
    <m/>
    <m/>
    <m/>
    <m/>
    <m/>
    <m/>
    <d v="1970-01-19T00:00:00"/>
    <s v="M"/>
    <s v="B"/>
    <s v="BLACK"/>
    <s v="NON-HISPANIC"/>
    <s v="262"/>
    <s v="CONVICTED"/>
    <n v="12"/>
    <s v="TDC"/>
    <n v="4"/>
    <m/>
    <m/>
    <s v="THEFT UNDER $1500 - 3RD OFF."/>
    <m/>
    <s v="FS"/>
    <s v="THEFT"/>
    <m/>
    <m/>
    <m/>
    <m/>
    <m/>
    <m/>
    <m/>
    <m/>
    <m/>
    <s v="Hired Attorney"/>
    <m/>
    <m/>
    <n v="3"/>
    <n v="244"/>
    <n v="244"/>
    <n v="42.101092896174862"/>
    <n v="0"/>
    <n v="-241"/>
    <s v="CONVICTION"/>
    <x v="1"/>
    <s v="Y"/>
    <m/>
    <s v="CONVICTION"/>
    <s v="Y"/>
    <x v="1"/>
    <x v="0"/>
    <s v="Y"/>
    <n v="1.2295081967213115E-2"/>
    <n v="1.2295081967213115E-2"/>
    <n v="0"/>
    <n v="0"/>
    <n v="-3"/>
    <n v="0"/>
    <n v="3"/>
    <e v="#VALUE!"/>
    <n v="3"/>
    <n v="0"/>
    <n v="241"/>
    <m/>
    <s v="Y"/>
    <m/>
    <s v="0-10 DAYS"/>
    <n v="1"/>
    <x v="0"/>
  </r>
  <r>
    <n v="2039"/>
    <s v="N"/>
    <s v="N"/>
    <n v="918740"/>
    <n v="5"/>
    <d v="2012-03-17T00:00:00"/>
    <d v="2012-03-19T00:00:00"/>
    <n v="918740"/>
    <d v="2012-03-18T00:00:00"/>
    <d v="2012-03-19T00:00:00"/>
    <n v="15000"/>
    <x v="0"/>
    <m/>
    <s v="N"/>
    <s v="NONE"/>
    <s v="GUILTY PLEA - NO JURY"/>
    <n v="2"/>
    <n v="3"/>
    <n v="3"/>
    <n v="12"/>
    <n v="1"/>
    <m/>
    <m/>
    <m/>
    <m/>
    <m/>
    <m/>
    <m/>
    <m/>
    <d v="1962-07-30T00:00:00"/>
    <s v="M"/>
    <s v="B"/>
    <s v="BLACK"/>
    <s v="NON-HISPANIC"/>
    <s v="180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2"/>
    <n v="2"/>
    <n v="3"/>
    <n v="49.530054644808743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815"/>
    <s v="N"/>
    <s v="N"/>
    <n v="922188"/>
    <n v="1"/>
    <d v="2012-04-13T00:00:00"/>
    <d v="2013-05-01T00:00:00"/>
    <n v="922188"/>
    <d v="2012-04-14T00:00:00"/>
    <d v="2013-05-01T00:00:00"/>
    <n v="35000"/>
    <x v="2"/>
    <m/>
    <s v="N"/>
    <s v="NONE"/>
    <s v="DISMISSED"/>
    <n v="383"/>
    <n v="384"/>
    <n v="5"/>
    <n v="0"/>
    <n v="3"/>
    <m/>
    <m/>
    <m/>
    <m/>
    <m/>
    <m/>
    <m/>
    <m/>
    <d v="1968-01-13T00:00:00"/>
    <s v="M"/>
    <s v="B"/>
    <s v="BLACK"/>
    <s v="NULL"/>
    <s v="177"/>
    <s v="DISMISSED"/>
    <n v="11"/>
    <s v="DISMISSED"/>
    <m/>
    <m/>
    <m/>
    <s v="POSS W/INT DEL CS PG1&gt;=4 &lt;200"/>
    <m/>
    <s v="F1"/>
    <s v="SALE DRUG"/>
    <m/>
    <m/>
    <m/>
    <m/>
    <m/>
    <m/>
    <m/>
    <m/>
    <m/>
    <s v="Appointed Attorney"/>
    <m/>
    <m/>
    <n v="383"/>
    <n v="383"/>
    <n v="384"/>
    <n v="44.158469945355193"/>
    <n v="0"/>
    <n v="0"/>
    <s v="NO CONVICTION"/>
    <x v="0"/>
    <s v="N"/>
    <m/>
    <s v="NO CONVICTION"/>
    <s v="Y"/>
    <x v="0"/>
    <x v="0"/>
    <s v="Y"/>
    <n v="0.99739583333333337"/>
    <n v="1"/>
    <n v="2.6041666666666297E-3"/>
    <n v="0"/>
    <n v="-383"/>
    <n v="0"/>
    <n v="383"/>
    <e v="#VALUE!"/>
    <n v="383"/>
    <n v="0"/>
    <n v="0"/>
    <m/>
    <s v="Y"/>
    <m/>
    <s v=" &gt;1YRS&lt;2YRS"/>
    <n v="0"/>
    <x v="0"/>
  </r>
  <r>
    <n v="1014"/>
    <s v="N"/>
    <s v="N"/>
    <n v="922619"/>
    <n v="6"/>
    <d v="2012-02-07T00:00:00"/>
    <d v="2012-11-21T00:00:00"/>
    <n v="922619"/>
    <d v="2012-02-08T00:00:00"/>
    <d v="2012-11-21T00:00:00"/>
    <n v="30000"/>
    <x v="2"/>
    <m/>
    <s v="N"/>
    <s v="NONE"/>
    <s v="GUILTY PLEA - NO JURY"/>
    <n v="288"/>
    <n v="289"/>
    <n v="5"/>
    <n v="6"/>
    <n v="2"/>
    <m/>
    <m/>
    <m/>
    <m/>
    <m/>
    <m/>
    <m/>
    <m/>
    <d v="1957-12-12T00:00:00"/>
    <s v="M"/>
    <s v="B"/>
    <s v="BLACK"/>
    <s v="NON-HISPANIC"/>
    <s v="209"/>
    <s v="CONVICTED"/>
    <n v="7"/>
    <s v="TDC"/>
    <n v="5"/>
    <m/>
    <m/>
    <s v="POSS CS PG 4 OVER 400 GRAMS"/>
    <m/>
    <s v="F1"/>
    <s v="POSS DRUG"/>
    <m/>
    <m/>
    <m/>
    <m/>
    <m/>
    <m/>
    <m/>
    <m/>
    <m/>
    <s v="Appointed Attorney"/>
    <m/>
    <m/>
    <n v="288"/>
    <n v="288"/>
    <n v="289"/>
    <n v="54.043715846994537"/>
    <n v="0"/>
    <n v="0"/>
    <s v="CONVICTION"/>
    <x v="0"/>
    <s v="N"/>
    <m/>
    <s v="CONVICTION"/>
    <s v="Y"/>
    <x v="0"/>
    <x v="0"/>
    <s v="Y"/>
    <n v="0.9965397923875432"/>
    <n v="1"/>
    <n v="3.4602076124568004E-3"/>
    <n v="0"/>
    <n v="-288"/>
    <n v="0"/>
    <n v="288"/>
    <e v="#VALUE!"/>
    <n v="288"/>
    <n v="0"/>
    <n v="0"/>
    <m/>
    <s v="Y"/>
    <m/>
    <s v="121-365 DAYS"/>
    <n v="6"/>
    <x v="0"/>
  </r>
  <r>
    <n v="831"/>
    <s v="N"/>
    <s v="N"/>
    <n v="923126"/>
    <n v="6"/>
    <d v="2012-02-01T00:00:00"/>
    <d v="2012-03-07T00:00:00"/>
    <n v="923126"/>
    <d v="2012-02-02T00:00:00"/>
    <d v="2012-03-07T00:00:00"/>
    <s v="NO BOND"/>
    <x v="1"/>
    <m/>
    <s v="N"/>
    <s v="NONE"/>
    <s v="GUILTY PLEA - NO JURY"/>
    <n v="35"/>
    <n v="36"/>
    <n v="6"/>
    <n v="3"/>
    <n v="6"/>
    <m/>
    <m/>
    <m/>
    <m/>
    <m/>
    <m/>
    <m/>
    <m/>
    <d v="1970-08-14T00:00:00"/>
    <s v="M"/>
    <s v="B"/>
    <s v="BLACK"/>
    <s v="NON-HISPANIC"/>
    <s v="338"/>
    <s v="CONVICTED"/>
    <n v="2"/>
    <s v="TDC"/>
    <n v="12"/>
    <m/>
    <m/>
    <s v="DWI 3RD OFFENDER BAC .08"/>
    <m/>
    <s v="F3"/>
    <s v="FEL DWI"/>
    <m/>
    <m/>
    <m/>
    <m/>
    <m/>
    <m/>
    <m/>
    <m/>
    <m/>
    <s v="Appointed Attorney"/>
    <m/>
    <m/>
    <n v="35"/>
    <n v="35"/>
    <n v="36"/>
    <n v="41.382513661202189"/>
    <n v="0"/>
    <n v="0"/>
    <s v="CONVICTION"/>
    <x v="0"/>
    <s v="N"/>
    <m/>
    <s v="CONVICTION"/>
    <s v="Y"/>
    <x v="0"/>
    <x v="0"/>
    <s v="Y"/>
    <n v="0.97222222222222221"/>
    <n v="1"/>
    <n v="2.777777777777779E-2"/>
    <n v="0"/>
    <n v="-35"/>
    <n v="0"/>
    <n v="35"/>
    <e v="#VALUE!"/>
    <n v="35"/>
    <n v="0"/>
    <n v="0"/>
    <m/>
    <s v="Y"/>
    <m/>
    <s v="31-60 DAYS"/>
    <n v="3"/>
    <x v="0"/>
  </r>
  <r>
    <n v="3259"/>
    <s v="N"/>
    <s v="N"/>
    <n v="926707"/>
    <n v="6"/>
    <d v="2012-04-30T00:00:00"/>
    <d v="2012-06-04T00:00:00"/>
    <n v="926707"/>
    <d v="2012-05-01T00:00:00"/>
    <d v="2012-06-04T00:00:00"/>
    <n v="15000"/>
    <x v="0"/>
    <m/>
    <s v="N"/>
    <s v="NONE"/>
    <s v="GUILTY PLEA - NO JURY"/>
    <n v="35"/>
    <n v="36"/>
    <n v="5"/>
    <n v="6"/>
    <n v="3"/>
    <m/>
    <m/>
    <m/>
    <m/>
    <m/>
    <m/>
    <m/>
    <m/>
    <d v="1970-10-21T00:00:00"/>
    <s v="M"/>
    <s v="H"/>
    <s v="HISPANIC"/>
    <s v="HISPANIC"/>
    <s v="262"/>
    <s v="CONVICTED"/>
    <n v="3"/>
    <s v="TDC"/>
    <n v="2"/>
    <m/>
    <m/>
    <s v="BURGLARY OF A BUILDING"/>
    <m/>
    <s v="FS"/>
    <s v="BURGLARY"/>
    <m/>
    <m/>
    <m/>
    <m/>
    <m/>
    <m/>
    <m/>
    <m/>
    <m/>
    <s v="Appointed Attorney"/>
    <m/>
    <m/>
    <n v="35"/>
    <n v="35"/>
    <n v="36"/>
    <n v="41.439890710382514"/>
    <n v="0"/>
    <n v="0"/>
    <s v="CONVICTION"/>
    <x v="0"/>
    <s v="N"/>
    <m/>
    <s v="CONVICTION"/>
    <s v="Y"/>
    <x v="0"/>
    <x v="0"/>
    <s v="Y"/>
    <n v="0.97222222222222221"/>
    <n v="1"/>
    <n v="2.777777777777779E-2"/>
    <n v="0"/>
    <n v="-35"/>
    <n v="0"/>
    <n v="35"/>
    <e v="#VALUE!"/>
    <n v="35"/>
    <n v="0"/>
    <n v="0"/>
    <m/>
    <s v="Y"/>
    <m/>
    <s v="31-60 DAYS"/>
    <n v="3"/>
    <x v="0"/>
  </r>
  <r>
    <n v="1941"/>
    <s v="N"/>
    <s v="N"/>
    <n v="928210"/>
    <n v="6"/>
    <d v="2012-03-13T00:00:00"/>
    <d v="2012-12-19T00:00:00"/>
    <n v="928210"/>
    <d v="2012-03-14T00:00:00"/>
    <d v="2012-12-19T00:00:00"/>
    <n v="2000000"/>
    <x v="2"/>
    <m/>
    <s v="N"/>
    <s v="NONE"/>
    <s v="GUILTY PLEA - NO JURY"/>
    <n v="281"/>
    <n v="282"/>
    <n v="3"/>
    <n v="4"/>
    <n v="3"/>
    <m/>
    <m/>
    <m/>
    <m/>
    <m/>
    <m/>
    <m/>
    <m/>
    <d v="1967-08-18T00:00:00"/>
    <s v="M"/>
    <s v="H"/>
    <s v="HISPANIC"/>
    <s v="HISPANIC"/>
    <s v="177"/>
    <s v="CONVICTED"/>
    <n v="10"/>
    <s v="TDC"/>
    <n v="20"/>
    <m/>
    <m/>
    <s v="MAN/DEL CS PG I OVER 400 GRAMS"/>
    <m/>
    <s v="F1"/>
    <s v="SALE DRUG"/>
    <m/>
    <m/>
    <m/>
    <m/>
    <m/>
    <m/>
    <m/>
    <m/>
    <m/>
    <s v="Public Defender"/>
    <m/>
    <m/>
    <n v="281"/>
    <n v="281"/>
    <n v="282"/>
    <n v="44.478142076502735"/>
    <n v="0"/>
    <n v="0"/>
    <s v="CONVICTION"/>
    <x v="0"/>
    <s v="N"/>
    <m/>
    <s v="CONVICTION"/>
    <s v="Y"/>
    <x v="0"/>
    <x v="0"/>
    <s v="Y"/>
    <n v="0.99645390070921991"/>
    <n v="1"/>
    <n v="3.5460992907800915E-3"/>
    <n v="0"/>
    <n v="-281"/>
    <n v="0"/>
    <n v="281"/>
    <e v="#VALUE!"/>
    <n v="281"/>
    <n v="0"/>
    <n v="0"/>
    <m/>
    <s v="Y"/>
    <m/>
    <s v="121-365 DAYS"/>
    <n v="6"/>
    <x v="0"/>
  </r>
  <r>
    <n v="2191"/>
    <s v="N"/>
    <s v="N"/>
    <n v="935572"/>
    <n v="6"/>
    <d v="2012-03-22T00:00:00"/>
    <d v="2012-07-18T00:00:00"/>
    <n v="935572"/>
    <d v="2012-03-23T00:00:00"/>
    <d v="2012-07-18T00:00:00"/>
    <s v="NO BOND"/>
    <x v="1"/>
    <m/>
    <s v="N"/>
    <s v="NONE"/>
    <s v="GUILTY PLEA - NO JURY"/>
    <n v="118"/>
    <n v="119"/>
    <n v="6"/>
    <n v="3"/>
    <n v="5"/>
    <m/>
    <m/>
    <m/>
    <m/>
    <m/>
    <m/>
    <m/>
    <m/>
    <d v="1964-02-01T00:00:00"/>
    <s v="M"/>
    <s v="B"/>
    <s v="BLACK"/>
    <s v="NULL"/>
    <s v="182"/>
    <s v="CONVICTED"/>
    <n v="4"/>
    <s v="TDC"/>
    <n v="2"/>
    <m/>
    <m/>
    <s v="ASSAULT-BOD INJ-FAMILY MEMBER"/>
    <m/>
    <s v="F3"/>
    <s v="ASLT-MURDR"/>
    <m/>
    <m/>
    <m/>
    <m/>
    <m/>
    <m/>
    <m/>
    <m/>
    <m/>
    <s v="Appointed Attorney"/>
    <m/>
    <m/>
    <n v="118"/>
    <n v="118"/>
    <n v="119"/>
    <n v="48.038251366120221"/>
    <n v="0"/>
    <n v="0"/>
    <s v="CONVICTION"/>
    <x v="0"/>
    <s v="N"/>
    <m/>
    <s v="CONVICTION"/>
    <s v="Y"/>
    <x v="0"/>
    <x v="0"/>
    <s v="Y"/>
    <n v="0.99159663865546221"/>
    <n v="1"/>
    <n v="8.4033613445377853E-3"/>
    <n v="0"/>
    <n v="-118"/>
    <n v="0"/>
    <n v="118"/>
    <e v="#VALUE!"/>
    <n v="118"/>
    <n v="0"/>
    <n v="0"/>
    <m/>
    <s v="Y"/>
    <m/>
    <s v="91-120 DAYS"/>
    <n v="0"/>
    <x v="0"/>
  </r>
  <r>
    <n v="2775"/>
    <s v="N"/>
    <s v="N"/>
    <n v="936269"/>
    <n v="6"/>
    <d v="2012-04-12T00:00:00"/>
    <d v="2012-06-29T00:00:00"/>
    <n v="936269"/>
    <d v="2012-04-12T00:00:00"/>
    <d v="2012-06-29T00:00:00"/>
    <n v="10000"/>
    <x v="3"/>
    <m/>
    <s v="N"/>
    <s v="NONE"/>
    <s v="GUILTY PLEA - NO JURY"/>
    <n v="79"/>
    <n v="79"/>
    <n v="2"/>
    <n v="4"/>
    <n v="1"/>
    <n v="1"/>
    <m/>
    <m/>
    <m/>
    <m/>
    <m/>
    <m/>
    <m/>
    <d v="1970-08-21T00:00:00"/>
    <s v="F"/>
    <s v="B"/>
    <s v="BLACK"/>
    <s v="NON-HISPANIC"/>
    <s v="184"/>
    <s v="CONVICTED"/>
    <n v="5"/>
    <s v="TDC"/>
    <n v="2"/>
    <m/>
    <m/>
    <s v="INJ TO DISABLED - BOD INJ"/>
    <m/>
    <s v="F3"/>
    <s v="ASLT-MURDR"/>
    <m/>
    <m/>
    <m/>
    <m/>
    <m/>
    <m/>
    <m/>
    <m/>
    <m/>
    <s v="Appointed Attorney"/>
    <m/>
    <m/>
    <n v="79"/>
    <n v="79"/>
    <n v="79"/>
    <n v="41.557377049180324"/>
    <n v="0"/>
    <n v="0"/>
    <s v="CONVICTION"/>
    <x v="0"/>
    <s v="N"/>
    <m/>
    <s v="CONVICTION"/>
    <s v="Y"/>
    <x v="0"/>
    <x v="0"/>
    <s v="Y"/>
    <n v="1"/>
    <n v="1"/>
    <n v="0"/>
    <n v="0"/>
    <n v="-79"/>
    <n v="0"/>
    <n v="79"/>
    <e v="#VALUE!"/>
    <n v="79"/>
    <n v="0"/>
    <n v="0"/>
    <m/>
    <s v="Y"/>
    <m/>
    <s v="61-90 DAYS"/>
    <n v="4"/>
    <x v="0"/>
  </r>
  <r>
    <n v="1673"/>
    <s v="N"/>
    <s v="N"/>
    <n v="936709"/>
    <n v="1"/>
    <d v="2012-03-02T00:00:00"/>
    <d v="2013-08-23T00:00:00"/>
    <n v="936709"/>
    <d v="2012-03-02T00:00:00"/>
    <d v="2012-03-04T00:00:00"/>
    <n v="10000"/>
    <x v="3"/>
    <d v="2012-03-04T00:00:00"/>
    <s v="Y"/>
    <s v="SURETY"/>
    <s v="DISMISSED"/>
    <n v="3"/>
    <n v="540"/>
    <n v="0"/>
    <n v="0"/>
    <m/>
    <m/>
    <m/>
    <m/>
    <m/>
    <m/>
    <m/>
    <m/>
    <m/>
    <d v="1971-02-05T00:00:00"/>
    <s v="M"/>
    <s v="W"/>
    <s v="WHITE"/>
    <s v="NULL"/>
    <s v="263"/>
    <s v="DISMISSED"/>
    <n v="15"/>
    <s v="DISMISSED"/>
    <m/>
    <m/>
    <m/>
    <s v="MAN/DEL CS PG I 1-4 GRAMS"/>
    <m/>
    <s v="F2"/>
    <s v="SALE DRUG"/>
    <m/>
    <m/>
    <m/>
    <m/>
    <m/>
    <m/>
    <m/>
    <m/>
    <m/>
    <s v="Hired Attorney"/>
    <m/>
    <m/>
    <n v="3"/>
    <n v="540"/>
    <n v="540"/>
    <n v="40.986338797814206"/>
    <n v="0"/>
    <n v="-537"/>
    <s v="NO CONVICTION"/>
    <x v="1"/>
    <s v="N"/>
    <m/>
    <s v="NO CONVICTION"/>
    <s v="Y"/>
    <x v="1"/>
    <x v="0"/>
    <s v="N"/>
    <n v="5.5555555555555558E-3"/>
    <n v="5.5555555555555558E-3"/>
    <n v="0"/>
    <n v="0"/>
    <n v="-3"/>
    <n v="0"/>
    <n v="3"/>
    <e v="#VALUE!"/>
    <n v="3"/>
    <n v="0"/>
    <n v="537"/>
    <m/>
    <s v="N"/>
    <m/>
    <s v="0-10 DAYS"/>
    <n v="1"/>
    <x v="0"/>
  </r>
  <r>
    <n v="162"/>
    <s v="N"/>
    <s v="N"/>
    <n v="937809"/>
    <n v="6"/>
    <d v="2012-01-07T00:00:00"/>
    <d v="2012-01-12T00:00:00"/>
    <n v="937809"/>
    <d v="2012-01-08T00:00:00"/>
    <d v="2012-01-12T00:00:00"/>
    <n v="20000"/>
    <x v="0"/>
    <m/>
    <s v="N"/>
    <s v="NONE"/>
    <s v="GUILTY PLEA - NO JURY"/>
    <n v="5"/>
    <n v="6"/>
    <n v="2"/>
    <n v="1"/>
    <n v="2"/>
    <m/>
    <m/>
    <m/>
    <m/>
    <m/>
    <m/>
    <m/>
    <m/>
    <d v="1960-01-13T00:00:00"/>
    <s v="M"/>
    <s v="B"/>
    <s v="BLACK"/>
    <s v="NON-HISPANIC"/>
    <s v="174"/>
    <s v="CONVICTED"/>
    <n v="2"/>
    <s v="TDC"/>
    <n v="10"/>
    <m/>
    <m/>
    <s v="ROBBERY-THREATS"/>
    <m/>
    <s v="F2"/>
    <s v="ROBBERY"/>
    <m/>
    <m/>
    <m/>
    <m/>
    <m/>
    <m/>
    <m/>
    <m/>
    <m/>
    <s v="Appointed Attorney"/>
    <m/>
    <m/>
    <n v="5"/>
    <n v="5"/>
    <n v="6"/>
    <n v="51.877049180327866"/>
    <n v="0"/>
    <n v="0"/>
    <s v="CONVICTION"/>
    <x v="0"/>
    <s v="N"/>
    <m/>
    <s v="CONVICTION"/>
    <s v="Y"/>
    <x v="0"/>
    <x v="0"/>
    <s v="Y"/>
    <n v="0.83333333333333337"/>
    <n v="1"/>
    <n v="0.16666666666666663"/>
    <n v="0"/>
    <n v="-5"/>
    <n v="0"/>
    <n v="5"/>
    <e v="#VALUE!"/>
    <n v="5"/>
    <n v="0"/>
    <n v="0"/>
    <m/>
    <s v="Y"/>
    <m/>
    <s v="0-10 DAYS"/>
    <n v="1"/>
    <x v="0"/>
  </r>
  <r>
    <n v="1781"/>
    <s v="N"/>
    <s v="N"/>
    <n v="938158"/>
    <n v="1"/>
    <d v="2012-03-07T00:00:00"/>
    <d v="2012-03-09T00:00:00"/>
    <n v="938158"/>
    <d v="2012-03-07T00:00:00"/>
    <d v="2012-03-09T00:00:00"/>
    <n v="10000"/>
    <x v="3"/>
    <m/>
    <s v="N"/>
    <s v="NONE"/>
    <s v="DISMISSED"/>
    <n v="3"/>
    <n v="3"/>
    <n v="3"/>
    <n v="2"/>
    <n v="2"/>
    <m/>
    <m/>
    <m/>
    <m/>
    <m/>
    <m/>
    <m/>
    <m/>
    <d v="1961-11-18T00:00:00"/>
    <s v="F"/>
    <s v="B"/>
    <s v="BLACK"/>
    <s v="NULL"/>
    <s v="230"/>
    <s v="DISMISSED"/>
    <n v="1"/>
    <s v="DISMISSED"/>
    <m/>
    <m/>
    <m/>
    <s v="TAMPER/FABRICATE EVIDENCE"/>
    <m/>
    <s v="F3"/>
    <s v="OTHER FEL"/>
    <m/>
    <m/>
    <m/>
    <m/>
    <m/>
    <m/>
    <m/>
    <m/>
    <m/>
    <s v="Appointed Attorney"/>
    <m/>
    <m/>
    <n v="3"/>
    <n v="3"/>
    <n v="3"/>
    <n v="50.196721311475407"/>
    <n v="0"/>
    <n v="0"/>
    <s v="NO CONVICTION"/>
    <x v="0"/>
    <s v="N"/>
    <m/>
    <s v="NO 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738"/>
    <s v="N"/>
    <s v="N"/>
    <n v="938963"/>
    <n v="5"/>
    <d v="2012-01-19T00:00:00"/>
    <d v="2012-04-10T00:00:00"/>
    <n v="938963"/>
    <d v="2012-02-14T00:00:00"/>
    <d v="2012-04-10T00:00:00"/>
    <s v="NO BOND"/>
    <x v="1"/>
    <m/>
    <s v="N"/>
    <s v="NONE"/>
    <s v="GUILTY PLEA - NO JURY"/>
    <n v="57"/>
    <n v="83"/>
    <n v="13"/>
    <n v="24"/>
    <n v="10"/>
    <m/>
    <m/>
    <m/>
    <m/>
    <m/>
    <m/>
    <m/>
    <m/>
    <d v="1956-09-15T00:00:00"/>
    <s v="M"/>
    <s v="B"/>
    <s v="BLACK"/>
    <s v="NULL"/>
    <s v="180"/>
    <s v="CONVICTED"/>
    <n v="4"/>
    <s v="STJ"/>
    <m/>
    <n v="9"/>
    <m/>
    <s v="THEFT UNDER $1500 - 3RD OFF."/>
    <m/>
    <s v="FS"/>
    <s v="THEFT"/>
    <m/>
    <m/>
    <m/>
    <m/>
    <m/>
    <m/>
    <m/>
    <m/>
    <m/>
    <s v="Appointed Attorney"/>
    <m/>
    <m/>
    <n v="57"/>
    <n v="57"/>
    <n v="83"/>
    <n v="55.229508196721312"/>
    <n v="0"/>
    <n v="0"/>
    <s v="CONVICTION"/>
    <x v="0"/>
    <s v="N"/>
    <m/>
    <s v="CONVICTION"/>
    <s v="Y"/>
    <x v="0"/>
    <x v="0"/>
    <s v="Y"/>
    <n v="0.68674698795180722"/>
    <n v="1"/>
    <n v="0.31325301204819278"/>
    <n v="0"/>
    <n v="-57"/>
    <n v="0"/>
    <n v="57"/>
    <e v="#VALUE!"/>
    <n v="57"/>
    <n v="0"/>
    <n v="0"/>
    <m/>
    <s v="Y"/>
    <m/>
    <s v="31-60 DAYS"/>
    <n v="3"/>
    <x v="0"/>
  </r>
  <r>
    <n v="398"/>
    <s v="N"/>
    <s v="N"/>
    <n v="945291"/>
    <n v="6"/>
    <d v="2012-01-17T00:00:00"/>
    <d v="2013-01-17T00:00:00"/>
    <n v="945291"/>
    <d v="2012-01-18T00:00:00"/>
    <d v="2013-01-17T00:00:00"/>
    <s v="NO BOND"/>
    <x v="1"/>
    <m/>
    <s v="N"/>
    <s v="NONE"/>
    <s v="GUILTY PLEA - NO JURY"/>
    <n v="366"/>
    <n v="367"/>
    <n v="3"/>
    <n v="4"/>
    <n v="2"/>
    <m/>
    <m/>
    <m/>
    <m/>
    <m/>
    <m/>
    <m/>
    <m/>
    <d v="1968-05-24T00:00:00"/>
    <s v="M"/>
    <s v="B"/>
    <s v="BLACK"/>
    <s v="NON-HISPANIC"/>
    <s v="208"/>
    <s v="CONVICTED"/>
    <n v="14"/>
    <s v="TDC"/>
    <n v="2"/>
    <m/>
    <m/>
    <s v="THEFT &gt;=$20,000 &lt;$100,000"/>
    <m/>
    <s v="F3"/>
    <s v="THEFT"/>
    <m/>
    <m/>
    <m/>
    <m/>
    <m/>
    <m/>
    <m/>
    <m/>
    <m/>
    <s v="Hired Attorney"/>
    <m/>
    <m/>
    <n v="366"/>
    <n v="366"/>
    <n v="367"/>
    <n v="43.560109289617486"/>
    <n v="0"/>
    <n v="0"/>
    <s v="CONVICTION"/>
    <x v="0"/>
    <s v="N"/>
    <m/>
    <s v="CONVICTION"/>
    <s v="Y"/>
    <x v="0"/>
    <x v="0"/>
    <s v="Y"/>
    <n v="0.99727520435967298"/>
    <n v="1"/>
    <n v="2.7247956403270157E-3"/>
    <n v="0"/>
    <n v="-366"/>
    <n v="0"/>
    <n v="366"/>
    <e v="#VALUE!"/>
    <n v="366"/>
    <n v="0"/>
    <n v="0"/>
    <m/>
    <s v="Y"/>
    <m/>
    <s v=" &gt;1YRS&lt;2YRS"/>
    <n v="0"/>
    <x v="0"/>
  </r>
  <r>
    <n v="44"/>
    <s v="N"/>
    <s v="N"/>
    <n v="945332"/>
    <n v="6"/>
    <d v="2012-01-03T00:00:00"/>
    <d v="2012-01-05T00:00:00"/>
    <n v="945332"/>
    <d v="2012-01-03T00:00:00"/>
    <d v="2012-01-05T00:00:00"/>
    <s v="NO BOND"/>
    <x v="1"/>
    <m/>
    <s v="N"/>
    <s v="NONE"/>
    <s v="GUILTY PLEA - NO JURY"/>
    <n v="3"/>
    <n v="3"/>
    <n v="7"/>
    <n v="1"/>
    <m/>
    <m/>
    <m/>
    <m/>
    <m/>
    <m/>
    <m/>
    <m/>
    <m/>
    <d v="1964-10-31T00:00:00"/>
    <s v="M"/>
    <s v="W"/>
    <s v="WHITE"/>
    <s v="NON-HISPANIC"/>
    <s v="184"/>
    <s v="CONVICTED"/>
    <n v="1"/>
    <s v="TDC"/>
    <n v="1"/>
    <m/>
    <m/>
    <s v="THEFT UNDER $1500 - 3RD OFF."/>
    <m/>
    <s v="FS"/>
    <s v="THEFT"/>
    <m/>
    <m/>
    <m/>
    <m/>
    <m/>
    <m/>
    <m/>
    <m/>
    <m/>
    <s v="Appointed Attorney"/>
    <m/>
    <m/>
    <n v="3"/>
    <n v="3"/>
    <n v="3"/>
    <n v="47.076502732240435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6"/>
    <s v="N"/>
    <s v="N"/>
    <n v="947602"/>
    <n v="5"/>
    <d v="2012-01-02T00:00:00"/>
    <d v="2012-01-05T00:00:00"/>
    <n v="947602"/>
    <d v="2012-01-02T00:00:00"/>
    <d v="2012-01-05T00:00:00"/>
    <n v="20000"/>
    <x v="0"/>
    <m/>
    <s v="N"/>
    <s v="NONE"/>
    <s v="GUILTY PLEA - NO JURY"/>
    <n v="4"/>
    <n v="4"/>
    <n v="7"/>
    <n v="8"/>
    <n v="3"/>
    <m/>
    <m/>
    <m/>
    <m/>
    <m/>
    <m/>
    <m/>
    <m/>
    <d v="1961-11-16T00:00:00"/>
    <s v="F"/>
    <s v="W"/>
    <s v="WHITE"/>
    <s v="NON-HISPANIC"/>
    <s v="228"/>
    <s v="CONVICTED"/>
    <n v="1"/>
    <s v="STJ"/>
    <m/>
    <n v="6"/>
    <m/>
    <s v="THEFT UNDER $1500 - 3RD OFF."/>
    <m/>
    <s v="FS"/>
    <s v="THEFT"/>
    <s v="6/8/12FTHEFT"/>
    <m/>
    <m/>
    <m/>
    <m/>
    <m/>
    <m/>
    <m/>
    <m/>
    <s v="Appointed Attorney"/>
    <m/>
    <m/>
    <n v="4"/>
    <n v="4"/>
    <n v="4"/>
    <n v="50.024590163934427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587"/>
    <s v="N"/>
    <s v="N"/>
    <n v="950869"/>
    <n v="6"/>
    <d v="2012-01-24T00:00:00"/>
    <d v="2012-08-06T00:00:00"/>
    <n v="950869"/>
    <s v="NOT BOOKED"/>
    <s v="NOT BOOKED"/>
    <n v="15000"/>
    <x v="0"/>
    <d v="2012-01-31T00:00:00"/>
    <s v="Y"/>
    <s v="SURETYPTRc"/>
    <s v="GUILTY PLEA - NO JURY"/>
    <n v="0"/>
    <n v="196"/>
    <n v="7"/>
    <n v="2"/>
    <n v="7"/>
    <m/>
    <m/>
    <m/>
    <m/>
    <m/>
    <m/>
    <m/>
    <m/>
    <d v="1971-04-04T00:00:00"/>
    <s v="M"/>
    <s v="B"/>
    <s v="BLACK"/>
    <s v="NULL"/>
    <s v="183"/>
    <s v="CONVICTED"/>
    <n v="11"/>
    <s v="TDC"/>
    <n v="3"/>
    <m/>
    <m/>
    <s v="DEL MARIJ 1/4 OZ - 5 LBS"/>
    <m/>
    <s v="FS"/>
    <s v="SALE DRUG"/>
    <m/>
    <m/>
    <m/>
    <m/>
    <m/>
    <m/>
    <m/>
    <m/>
    <m/>
    <s v="Hired Attorney"/>
    <m/>
    <m/>
    <n v="0"/>
    <n v="0"/>
    <n v="196"/>
    <n v="40.724043715846996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468"/>
    <s v="N"/>
    <s v="N"/>
    <n v="952023"/>
    <n v="6"/>
    <d v="2012-01-19T00:00:00"/>
    <d v="2012-03-29T00:00:00"/>
    <n v="952023"/>
    <d v="2012-01-20T00:00:00"/>
    <d v="2012-03-29T00:00:00"/>
    <n v="20000"/>
    <x v="0"/>
    <m/>
    <s v="N"/>
    <s v="NONE"/>
    <s v="GUILTY PLEA - NO JURY"/>
    <n v="70"/>
    <n v="71"/>
    <n v="2"/>
    <n v="1"/>
    <m/>
    <n v="2"/>
    <m/>
    <m/>
    <m/>
    <m/>
    <m/>
    <m/>
    <m/>
    <d v="1961-05-05T00:00:00"/>
    <s v="M"/>
    <s v="W"/>
    <s v="WHITE"/>
    <s v="NULL"/>
    <s v="182"/>
    <s v="CONVICTED"/>
    <n v="3"/>
    <s v="TDC"/>
    <n v="2"/>
    <m/>
    <m/>
    <s v="POSS CS PG 1 4G - 200G"/>
    <m/>
    <s v="F2"/>
    <s v="POSS DRUG"/>
    <m/>
    <m/>
    <m/>
    <m/>
    <m/>
    <m/>
    <m/>
    <m/>
    <m/>
    <s v="Appointed Attorney"/>
    <m/>
    <m/>
    <n v="70"/>
    <n v="70"/>
    <n v="71"/>
    <n v="50.603825136612024"/>
    <n v="0"/>
    <n v="0"/>
    <s v="CONVICTION"/>
    <x v="0"/>
    <s v="N"/>
    <m/>
    <s v="CONVICTION"/>
    <s v="Y"/>
    <x v="0"/>
    <x v="0"/>
    <s v="Y"/>
    <n v="0.9859154929577465"/>
    <n v="1"/>
    <n v="1.4084507042253502E-2"/>
    <n v="0"/>
    <n v="-70"/>
    <n v="0"/>
    <n v="70"/>
    <e v="#VALUE!"/>
    <n v="70"/>
    <n v="0"/>
    <n v="0"/>
    <m/>
    <s v="Y"/>
    <m/>
    <s v="61-90 DAYS"/>
    <n v="4"/>
    <x v="0"/>
  </r>
  <r>
    <n v="450"/>
    <s v="N"/>
    <s v="N"/>
    <n v="953736"/>
    <n v="6"/>
    <d v="2012-01-19T00:00:00"/>
    <d v="2012-03-20T00:00:00"/>
    <n v="953736"/>
    <d v="2012-03-20T00:00:00"/>
    <d v="2012-03-20T00:00:00"/>
    <n v="15000"/>
    <x v="0"/>
    <d v="2012-01-20T00:00:00"/>
    <s v="Y"/>
    <s v="SURETYPTRc"/>
    <s v="GUILTY PLEA - NO JURY"/>
    <n v="1"/>
    <n v="62"/>
    <n v="5"/>
    <n v="0"/>
    <n v="5"/>
    <m/>
    <m/>
    <m/>
    <m/>
    <m/>
    <m/>
    <m/>
    <m/>
    <d v="1967-10-03T00:00:00"/>
    <s v="M"/>
    <s v="B"/>
    <s v="BLACK"/>
    <s v="NON-HISPANIC"/>
    <s v="185"/>
    <s v="CONVICTED"/>
    <n v="4"/>
    <s v="TDC"/>
    <n v="2"/>
    <m/>
    <m/>
    <s v="POSS CS PG 1 &lt;1G"/>
    <m/>
    <s v="FS"/>
    <s v="POSS DRUG"/>
    <m/>
    <m/>
    <m/>
    <m/>
    <m/>
    <m/>
    <m/>
    <m/>
    <m/>
    <s v="Hired Attorney"/>
    <m/>
    <m/>
    <n v="1"/>
    <n v="1"/>
    <n v="62"/>
    <n v="44.204918032786885"/>
    <n v="0"/>
    <n v="0"/>
    <s v="CONVICTION"/>
    <x v="1"/>
    <s v="Y"/>
    <m/>
    <s v="CONVICTION"/>
    <s v="Y"/>
    <x v="1"/>
    <x v="0"/>
    <s v="Y"/>
    <n v="1.6129032258064516E-2"/>
    <n v="1"/>
    <n v="0.9838709677419355"/>
    <n v="0"/>
    <n v="-1"/>
    <n v="0"/>
    <n v="-59"/>
    <e v="#VALUE!"/>
    <n v="-59"/>
    <n v="-60"/>
    <n v="0"/>
    <m/>
    <s v="Y"/>
    <m/>
    <s v="0-10 DAYS"/>
    <n v="1"/>
    <x v="0"/>
  </r>
  <r>
    <n v="2288"/>
    <s v="N"/>
    <s v="N"/>
    <n v="956225"/>
    <n v="6"/>
    <d v="2012-03-27T00:00:00"/>
    <d v="2012-03-30T00:00:00"/>
    <n v="956225"/>
    <d v="2012-03-28T00:00:00"/>
    <d v="2012-03-30T00:00:00"/>
    <n v="30000"/>
    <x v="2"/>
    <m/>
    <s v="N"/>
    <s v="NONE"/>
    <s v="GUILTY PLEA - NO JURY"/>
    <n v="3"/>
    <n v="4"/>
    <n v="17"/>
    <n v="9"/>
    <n v="8"/>
    <m/>
    <m/>
    <m/>
    <m/>
    <m/>
    <m/>
    <m/>
    <m/>
    <d v="1968-12-10T00:00:00"/>
    <s v="M"/>
    <s v="W"/>
    <s v="WHITE"/>
    <s v="NON-HISPANIC"/>
    <s v="337"/>
    <s v="CONVICTED"/>
    <n v="2"/>
    <s v="TDC"/>
    <n v="2"/>
    <m/>
    <m/>
    <s v="THEFT UNDER $1500 - 3RD OFF."/>
    <m/>
    <s v="FS"/>
    <s v="THEFT"/>
    <m/>
    <m/>
    <m/>
    <m/>
    <m/>
    <m/>
    <m/>
    <m/>
    <m/>
    <s v="Appointed Attorney"/>
    <m/>
    <m/>
    <n v="3"/>
    <n v="3"/>
    <n v="4"/>
    <n v="43.204918032786885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2719"/>
    <s v="N"/>
    <s v="N"/>
    <n v="960036"/>
    <n v="5"/>
    <d v="2012-04-11T00:00:00"/>
    <d v="2012-08-21T00:00:00"/>
    <n v="960036"/>
    <d v="2012-04-11T00:00:00"/>
    <d v="2012-04-17T00:00:00"/>
    <n v="15000"/>
    <x v="0"/>
    <d v="2012-04-12T00:00:00"/>
    <s v="Y"/>
    <s v="SURETYPTRc"/>
    <s v="GUILTY PLEA - NO JURY"/>
    <n v="7"/>
    <n v="133"/>
    <n v="4"/>
    <n v="2"/>
    <n v="2"/>
    <n v="1"/>
    <m/>
    <m/>
    <m/>
    <m/>
    <m/>
    <m/>
    <m/>
    <d v="1972-07-02T00:00:00"/>
    <s v="M"/>
    <s v="B"/>
    <s v="BLACK"/>
    <s v="NON-HISPANIC"/>
    <s v="176"/>
    <s v="CONVICTED"/>
    <n v="6"/>
    <s v="STJ"/>
    <m/>
    <n v="6"/>
    <m/>
    <s v="POSS CS PG 1 &lt;1G"/>
    <m/>
    <s v="FS"/>
    <s v="POSS DRUG"/>
    <m/>
    <m/>
    <m/>
    <m/>
    <m/>
    <m/>
    <m/>
    <m/>
    <m/>
    <s v="Hired Attorney"/>
    <m/>
    <m/>
    <n v="7"/>
    <n v="133"/>
    <n v="133"/>
    <n v="39.693989071038253"/>
    <n v="-5"/>
    <n v="-126"/>
    <s v="CONVICTION"/>
    <x v="1"/>
    <s v="Y"/>
    <m/>
    <s v="CONVICTION"/>
    <s v="Y"/>
    <x v="1"/>
    <x v="0"/>
    <s v="Y"/>
    <n v="5.2631578947368418E-2"/>
    <n v="5.2631578947368418E-2"/>
    <n v="0"/>
    <n v="0"/>
    <n v="-7"/>
    <n v="0"/>
    <n v="2"/>
    <e v="#VALUE!"/>
    <n v="2"/>
    <n v="-5"/>
    <n v="126"/>
    <m/>
    <s v="Y"/>
    <m/>
    <s v="0-10 DAYS"/>
    <n v="1"/>
    <x v="0"/>
  </r>
  <r>
    <n v="276"/>
    <s v="N"/>
    <s v="N"/>
    <n v="964457"/>
    <n v="4"/>
    <d v="2012-01-12T00:00:00"/>
    <d v="2012-05-07T00:00:00"/>
    <n v="964457"/>
    <d v="2012-01-12T00:00:00"/>
    <d v="2012-05-07T00:00:00"/>
    <n v="15000"/>
    <x v="0"/>
    <m/>
    <s v="N"/>
    <s v="NONE"/>
    <s v="GUILTY PLEA - NO JURY"/>
    <n v="117"/>
    <n v="117"/>
    <n v="2"/>
    <n v="4"/>
    <n v="2"/>
    <m/>
    <m/>
    <m/>
    <m/>
    <m/>
    <m/>
    <m/>
    <m/>
    <d v="1958-10-19T00:00:00"/>
    <s v="M"/>
    <s v="B"/>
    <s v="BLACK"/>
    <s v="NON-HISPANIC"/>
    <s v="263"/>
    <s v="CONVICTED"/>
    <n v="6"/>
    <s v="HCJ"/>
    <m/>
    <m/>
    <n v="240"/>
    <s v="POSS CS PG 1 &lt;1G"/>
    <m/>
    <s v="FS"/>
    <s v="POSS DRUG"/>
    <m/>
    <m/>
    <m/>
    <m/>
    <m/>
    <m/>
    <m/>
    <m/>
    <m/>
    <s v="Appointed Attorney"/>
    <m/>
    <m/>
    <n v="117"/>
    <n v="117"/>
    <n v="117"/>
    <n v="53.122950819672134"/>
    <n v="0"/>
    <n v="0"/>
    <s v="CONVICTION"/>
    <x v="0"/>
    <s v="N"/>
    <m/>
    <s v="CONVICTION"/>
    <s v="Y"/>
    <x v="0"/>
    <x v="0"/>
    <s v="Y"/>
    <n v="1"/>
    <n v="1"/>
    <n v="0"/>
    <n v="0"/>
    <n v="-117"/>
    <n v="0"/>
    <n v="117"/>
    <e v="#VALUE!"/>
    <n v="117"/>
    <n v="0"/>
    <n v="0"/>
    <m/>
    <s v="Y"/>
    <m/>
    <s v="91-120 DAYS"/>
    <n v="0"/>
    <x v="0"/>
  </r>
  <r>
    <n v="2568"/>
    <s v="N"/>
    <s v="N"/>
    <n v="968674"/>
    <n v="2"/>
    <d v="2012-04-05T00:00:00"/>
    <d v="2012-06-22T00:00:00"/>
    <n v="968674"/>
    <d v="2012-04-06T00:00:00"/>
    <d v="2012-06-22T00:00:00"/>
    <s v="NO BOND"/>
    <x v="1"/>
    <m/>
    <s v="N"/>
    <s v="NONE"/>
    <s v="DEFERRED ADJUDICATION "/>
    <n v="78"/>
    <n v="79"/>
    <n v="14"/>
    <n v="12"/>
    <n v="7"/>
    <m/>
    <m/>
    <m/>
    <m/>
    <m/>
    <m/>
    <m/>
    <m/>
    <d v="1970-09-26T00:00:00"/>
    <s v="M"/>
    <s v="W"/>
    <s v="WHITE"/>
    <s v="NON-HISPANIC"/>
    <s v="185"/>
    <s v="DEFERRED"/>
    <n v="5"/>
    <s v="DEFERRED"/>
    <m/>
    <m/>
    <m/>
    <s v="INJURY TO ELDERLY"/>
    <m/>
    <s v="F3"/>
    <s v="ASLT-MURDR"/>
    <m/>
    <m/>
    <m/>
    <m/>
    <m/>
    <m/>
    <m/>
    <m/>
    <m/>
    <s v="Appointed Attorney"/>
    <m/>
    <m/>
    <n v="78"/>
    <n v="78"/>
    <n v="79"/>
    <n v="41.439890710382514"/>
    <n v="0"/>
    <n v="0"/>
    <s v="DEFERRED"/>
    <x v="0"/>
    <s v="N"/>
    <m/>
    <s v="DEFERRED"/>
    <s v="Y"/>
    <x v="0"/>
    <x v="0"/>
    <s v="Y"/>
    <n v="0.98734177215189878"/>
    <n v="1"/>
    <n v="1.2658227848101222E-2"/>
    <n v="0"/>
    <n v="-78"/>
    <n v="0"/>
    <n v="78"/>
    <e v="#VALUE!"/>
    <n v="78"/>
    <n v="0"/>
    <n v="0"/>
    <m/>
    <s v="Y"/>
    <m/>
    <s v="61-90 DAYS"/>
    <n v="4"/>
    <x v="0"/>
  </r>
  <r>
    <n v="1442"/>
    <s v="N"/>
    <s v="N"/>
    <n v="972336"/>
    <n v="6"/>
    <d v="2012-02-23T00:00:00"/>
    <d v="2012-10-09T00:00:00"/>
    <n v="972336"/>
    <d v="2012-02-23T00:00:00"/>
    <d v="2012-10-09T00:00:00"/>
    <s v="NO BOND"/>
    <x v="1"/>
    <m/>
    <s v="N"/>
    <s v="NONE"/>
    <s v="GUILTY PLEA - NO JURY"/>
    <n v="230"/>
    <n v="230"/>
    <n v="3"/>
    <n v="2"/>
    <n v="3"/>
    <m/>
    <m/>
    <m/>
    <m/>
    <m/>
    <m/>
    <m/>
    <m/>
    <d v="1957-06-26T00:00:00"/>
    <s v="F"/>
    <s v="H"/>
    <s v="HISPANIC"/>
    <s v="HISPANIC"/>
    <s v="180"/>
    <s v="CONVICTED"/>
    <n v="11"/>
    <s v="TDC"/>
    <n v="15"/>
    <m/>
    <m/>
    <s v="DWI 3RD OFFENDER BAC .08"/>
    <m/>
    <s v="F3"/>
    <s v="FEL DWI"/>
    <m/>
    <m/>
    <m/>
    <m/>
    <m/>
    <m/>
    <m/>
    <m/>
    <m/>
    <s v="Appointed Attorney"/>
    <m/>
    <m/>
    <n v="230"/>
    <n v="230"/>
    <n v="230"/>
    <n v="54.549180327868854"/>
    <n v="0"/>
    <n v="0"/>
    <s v="CONVICTION"/>
    <x v="0"/>
    <s v="N"/>
    <m/>
    <s v="CONVICTION"/>
    <s v="Y"/>
    <x v="0"/>
    <x v="0"/>
    <s v="Y"/>
    <n v="1"/>
    <n v="1"/>
    <n v="0"/>
    <n v="0"/>
    <n v="-230"/>
    <n v="0"/>
    <n v="230"/>
    <e v="#VALUE!"/>
    <n v="230"/>
    <n v="0"/>
    <n v="0"/>
    <m/>
    <s v="Y"/>
    <m/>
    <s v="121-365 DAYS"/>
    <n v="6"/>
    <x v="0"/>
  </r>
  <r>
    <n v="374"/>
    <s v="N"/>
    <s v="N"/>
    <n v="975166"/>
    <n v="6"/>
    <d v="2012-01-16T00:00:00"/>
    <d v="2012-01-18T00:00:00"/>
    <n v="975166"/>
    <d v="2012-01-16T00:00:00"/>
    <d v="2012-01-18T00:00:00"/>
    <n v="15000"/>
    <x v="0"/>
    <m/>
    <s v="N"/>
    <s v="NONE"/>
    <s v="GUILTY PLEA - NO JURY"/>
    <n v="3"/>
    <n v="3"/>
    <n v="6"/>
    <n v="4"/>
    <n v="3"/>
    <m/>
    <m/>
    <m/>
    <m/>
    <m/>
    <m/>
    <m/>
    <m/>
    <d v="1963-12-15T00:00:00"/>
    <s v="M"/>
    <s v="B"/>
    <s v="BLACK"/>
    <s v="NULL"/>
    <s v="339"/>
    <s v="CONVICTED"/>
    <n v="1"/>
    <s v="TDC"/>
    <n v="1"/>
    <m/>
    <m/>
    <s v="UNAUTH USE OF VEHICLE"/>
    <m/>
    <s v="FS"/>
    <s v="AUTO THEFT"/>
    <m/>
    <m/>
    <m/>
    <m/>
    <m/>
    <m/>
    <m/>
    <m/>
    <m/>
    <s v="Appointed Attorney"/>
    <m/>
    <m/>
    <n v="3"/>
    <n v="3"/>
    <n v="3"/>
    <n v="47.989071038251367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998"/>
    <s v="N"/>
    <s v="N"/>
    <n v="977560"/>
    <n v="6"/>
    <d v="2012-03-15T00:00:00"/>
    <d v="2012-03-21T00:00:00"/>
    <n v="977560"/>
    <d v="2012-03-16T00:00:00"/>
    <d v="2012-03-21T00:00:00"/>
    <s v="NO BOND"/>
    <x v="1"/>
    <m/>
    <s v="N"/>
    <s v="NONE"/>
    <s v="GUILTY PLEA - NO JURY"/>
    <n v="6"/>
    <n v="7"/>
    <n v="7"/>
    <n v="4"/>
    <n v="6"/>
    <m/>
    <m/>
    <m/>
    <m/>
    <m/>
    <m/>
    <m/>
    <m/>
    <d v="1966-06-17T00:00:00"/>
    <s v="M"/>
    <s v="B"/>
    <s v="BLACK"/>
    <s v="NULL"/>
    <s v="178"/>
    <s v="CONVICTED"/>
    <n v="2"/>
    <s v="TDC"/>
    <n v="10"/>
    <m/>
    <m/>
    <s v="ASSAULT-BOD INJ-PUB SERV/RETAL"/>
    <m/>
    <s v="F3"/>
    <s v="ASLT-MURDR"/>
    <m/>
    <m/>
    <m/>
    <m/>
    <m/>
    <m/>
    <m/>
    <m/>
    <m/>
    <s v="Public Defender"/>
    <m/>
    <m/>
    <n v="6"/>
    <n v="6"/>
    <n v="7"/>
    <n v="45.650273224043715"/>
    <n v="0"/>
    <n v="0"/>
    <s v="CONVICTION"/>
    <x v="0"/>
    <s v="N"/>
    <m/>
    <s v="CONVICTION"/>
    <s v="Y"/>
    <x v="0"/>
    <x v="0"/>
    <s v="Y"/>
    <n v="0.8571428571428571"/>
    <n v="1"/>
    <n v="0.1428571428571429"/>
    <n v="0"/>
    <n v="-6"/>
    <n v="0"/>
    <n v="6"/>
    <e v="#VALUE!"/>
    <n v="6"/>
    <n v="0"/>
    <n v="0"/>
    <m/>
    <s v="Y"/>
    <m/>
    <s v="0-10 DAYS"/>
    <n v="1"/>
    <x v="0"/>
  </r>
  <r>
    <n v="202"/>
    <s v="N"/>
    <s v="N"/>
    <n v="980986"/>
    <n v="6"/>
    <d v="2012-01-09T00:00:00"/>
    <d v="2012-04-18T00:00:00"/>
    <n v="980986"/>
    <d v="2012-01-10T00:00:00"/>
    <d v="2012-04-18T00:00:00"/>
    <n v="15000"/>
    <x v="0"/>
    <m/>
    <s v="N"/>
    <s v="NONE"/>
    <s v="GUILTY PLEA - NO JURY"/>
    <n v="100"/>
    <n v="101"/>
    <n v="8"/>
    <n v="11"/>
    <n v="8"/>
    <m/>
    <m/>
    <m/>
    <m/>
    <m/>
    <m/>
    <m/>
    <m/>
    <d v="1971-09-18T00:00:00"/>
    <s v="M"/>
    <s v="B"/>
    <s v="BLACK"/>
    <s v="NULL"/>
    <s v="338"/>
    <s v="CONVICTED"/>
    <n v="5"/>
    <s v="TDC"/>
    <n v="2"/>
    <m/>
    <m/>
    <s v="BURGLARY OF A BUILDING"/>
    <m/>
    <s v="FS"/>
    <s v="BURGLARY"/>
    <m/>
    <m/>
    <m/>
    <m/>
    <m/>
    <m/>
    <m/>
    <m/>
    <m/>
    <s v="Appointed Attorney"/>
    <m/>
    <m/>
    <n v="100"/>
    <n v="100"/>
    <n v="101"/>
    <n v="40.22677595628415"/>
    <n v="0"/>
    <n v="0"/>
    <s v="CONVICTION"/>
    <x v="0"/>
    <s v="N"/>
    <m/>
    <s v="CONVICTION"/>
    <s v="Y"/>
    <x v="0"/>
    <x v="0"/>
    <s v="Y"/>
    <n v="0.99009900990099009"/>
    <n v="1"/>
    <n v="9.9009900990099098E-3"/>
    <n v="0"/>
    <n v="-100"/>
    <n v="0"/>
    <n v="100"/>
    <e v="#VALUE!"/>
    <n v="100"/>
    <n v="0"/>
    <n v="0"/>
    <m/>
    <s v="Y"/>
    <m/>
    <s v="91-120 DAYS"/>
    <n v="0"/>
    <x v="0"/>
  </r>
  <r>
    <n v="3210"/>
    <s v="N"/>
    <s v="N"/>
    <n v="981401"/>
    <n v="5"/>
    <d v="2012-04-28T00:00:00"/>
    <d v="2012-04-30T00:00:00"/>
    <n v="981401"/>
    <d v="2012-04-28T00:00:00"/>
    <d v="2012-04-30T00:00:00"/>
    <n v="5000"/>
    <x v="4"/>
    <m/>
    <s v="N"/>
    <s v="NONE"/>
    <s v="GUILTY PLEA - NO JURY"/>
    <n v="3"/>
    <n v="3"/>
    <n v="3"/>
    <n v="2"/>
    <m/>
    <n v="1"/>
    <m/>
    <m/>
    <m/>
    <m/>
    <m/>
    <m/>
    <m/>
    <d v="1960-09-09T00:00:00"/>
    <s v="F"/>
    <s v="H"/>
    <s v="HISPANIC"/>
    <s v="HISPANIC"/>
    <s v="185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3"/>
    <n v="3"/>
    <n v="3"/>
    <n v="51.527322404371581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088"/>
    <s v="N"/>
    <s v="N"/>
    <n v="982399"/>
    <n v="5"/>
    <d v="2012-02-09T00:00:00"/>
    <d v="2012-02-13T00:00:00"/>
    <n v="982399"/>
    <d v="2012-02-10T00:00:00"/>
    <d v="2012-02-13T00:00:00"/>
    <n v="15000"/>
    <x v="0"/>
    <m/>
    <s v="N"/>
    <s v="NONE"/>
    <s v="GUILTY PLEA - NO JURY"/>
    <n v="4"/>
    <n v="5"/>
    <n v="7"/>
    <n v="5"/>
    <n v="5"/>
    <n v="1"/>
    <m/>
    <m/>
    <m/>
    <m/>
    <m/>
    <m/>
    <m/>
    <d v="1943-10-01T00:00:00"/>
    <s v="M"/>
    <s v="B"/>
    <s v="BLACK"/>
    <s v="NON-HISPANIC"/>
    <s v="180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4"/>
    <n v="4"/>
    <n v="5"/>
    <n v="68.21857923497268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2813"/>
    <s v="N"/>
    <s v="N"/>
    <n v="983576"/>
    <n v="5"/>
    <d v="2012-04-13T00:00:00"/>
    <d v="2012-08-03T00:00:00"/>
    <n v="983576"/>
    <d v="2012-04-14T00:00:00"/>
    <d v="2012-04-15T00:00:00"/>
    <n v="15000"/>
    <x v="0"/>
    <d v="2012-04-15T00:00:00"/>
    <s v="Y"/>
    <s v="SURETY"/>
    <s v="GUILTY PLEA - NO JURY"/>
    <n v="2"/>
    <n v="113"/>
    <n v="4"/>
    <n v="3"/>
    <n v="3"/>
    <m/>
    <m/>
    <m/>
    <m/>
    <m/>
    <m/>
    <m/>
    <m/>
    <d v="1958-08-07T00:00:00"/>
    <s v="M"/>
    <s v="B"/>
    <s v="BLACK"/>
    <s v="NON-HISPANIC"/>
    <s v="185"/>
    <s v="CONVICTED"/>
    <n v="6"/>
    <s v="STJ"/>
    <m/>
    <n v="6"/>
    <m/>
    <s v="THEFT UNDER $1500 - 3RD OFF."/>
    <m/>
    <s v="FS"/>
    <s v="THEFT"/>
    <m/>
    <m/>
    <m/>
    <m/>
    <m/>
    <m/>
    <m/>
    <m/>
    <m/>
    <s v="Hired Attorney"/>
    <m/>
    <m/>
    <n v="2"/>
    <n v="112"/>
    <n v="113"/>
    <n v="53.57377049180328"/>
    <n v="0"/>
    <n v="-110"/>
    <s v="CONVICTION"/>
    <x v="1"/>
    <s v="Y"/>
    <m/>
    <s v="CONVICTION"/>
    <s v="Y"/>
    <x v="1"/>
    <x v="0"/>
    <s v="Y"/>
    <n v="1.7699115044247787E-2"/>
    <n v="1.7857142857142856E-2"/>
    <n v="1.5802781289506879E-4"/>
    <n v="0"/>
    <n v="-2"/>
    <n v="0"/>
    <n v="2"/>
    <e v="#VALUE!"/>
    <n v="2"/>
    <n v="0"/>
    <n v="110"/>
    <m/>
    <s v="Y"/>
    <m/>
    <s v="0-10 DAYS"/>
    <n v="1"/>
    <x v="0"/>
  </r>
  <r>
    <n v="551"/>
    <s v="N"/>
    <s v="N"/>
    <n v="985888"/>
    <n v="4"/>
    <d v="2012-01-23T00:00:00"/>
    <d v="2012-01-31T00:00:00"/>
    <n v="985888"/>
    <d v="2012-01-23T00:00:00"/>
    <d v="2012-01-31T00:00:00"/>
    <n v="15000"/>
    <x v="0"/>
    <m/>
    <s v="N"/>
    <s v="NONE"/>
    <s v="GUILTY PLEA - NO JURY"/>
    <n v="9"/>
    <n v="9"/>
    <n v="4"/>
    <n v="2"/>
    <n v="1"/>
    <n v="1"/>
    <m/>
    <m/>
    <m/>
    <m/>
    <m/>
    <m/>
    <m/>
    <d v="1961-06-15T00:00:00"/>
    <s v="M"/>
    <s v="B"/>
    <s v="BLACK"/>
    <s v="NON-HISPANIC"/>
    <s v="177"/>
    <s v="CONVICTED"/>
    <n v="3"/>
    <s v="HCJ"/>
    <m/>
    <m/>
    <n v="120"/>
    <s v="POSS CS PG 1 &lt;1G"/>
    <m/>
    <s v="FS"/>
    <s v="POSS DRUG"/>
    <m/>
    <m/>
    <m/>
    <m/>
    <m/>
    <m/>
    <m/>
    <m/>
    <m/>
    <s v="Appointed Attorney"/>
    <m/>
    <m/>
    <n v="9"/>
    <n v="9"/>
    <n v="9"/>
    <n v="50.502732240437162"/>
    <n v="0"/>
    <n v="0"/>
    <s v="CONVICTION"/>
    <x v="0"/>
    <s v="N"/>
    <m/>
    <s v="CONVICTION"/>
    <s v="Y"/>
    <x v="0"/>
    <x v="0"/>
    <s v="Y"/>
    <n v="1"/>
    <n v="1"/>
    <n v="0"/>
    <n v="0"/>
    <n v="-9"/>
    <n v="0"/>
    <n v="9"/>
    <e v="#VALUE!"/>
    <n v="9"/>
    <n v="0"/>
    <n v="0"/>
    <m/>
    <s v="Y"/>
    <m/>
    <s v="0-10 DAYS"/>
    <n v="1"/>
    <x v="0"/>
  </r>
  <r>
    <n v="2355"/>
    <s v="N"/>
    <s v="N"/>
    <n v="986260"/>
    <n v="2"/>
    <d v="2012-03-29T00:00:00"/>
    <d v="2012-10-08T00:00:00"/>
    <n v="986260"/>
    <s v="NOT BOOKED"/>
    <s v="NOT BOOKED"/>
    <n v="10000"/>
    <x v="3"/>
    <d v="2012-03-30T00:00:00"/>
    <s v="Y"/>
    <s v="SURETYPTRc"/>
    <s v="DEFENDANT CONVICTED ON ANOTHER CHARGE"/>
    <n v="0"/>
    <n v="194"/>
    <n v="1"/>
    <n v="10"/>
    <m/>
    <m/>
    <m/>
    <m/>
    <m/>
    <m/>
    <m/>
    <m/>
    <m/>
    <d v="1960-07-08T00:00:00"/>
    <s v="M"/>
    <s v="W"/>
    <s v="WHITE"/>
    <s v="NON-HISPANIC"/>
    <s v="185"/>
    <s v="DEFERRED"/>
    <n v="10"/>
    <s v="DEFERRED"/>
    <m/>
    <m/>
    <m/>
    <s v="POSS MARIJ  5 - 50 LBS."/>
    <m/>
    <s v="F3"/>
    <s v="POSS DRUG"/>
    <m/>
    <m/>
    <m/>
    <m/>
    <m/>
    <m/>
    <m/>
    <m/>
    <m/>
    <s v="Hired Attorney"/>
    <m/>
    <m/>
    <n v="0"/>
    <n v="0"/>
    <n v="194"/>
    <n v="51.617486338797811"/>
    <e v="#VALUE!"/>
    <e v="#VALUE!"/>
    <s v="DEFERRED"/>
    <x v="1"/>
    <s v="Y"/>
    <m/>
    <s v="DEFERRED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754"/>
    <s v="N"/>
    <s v="N"/>
    <n v="986910"/>
    <n v="1"/>
    <d v="2012-01-30T00:00:00"/>
    <d v="2012-02-01T00:00:00"/>
    <n v="986910"/>
    <d v="2012-01-30T00:00:00"/>
    <d v="2012-02-01T00:00:00"/>
    <n v="5000"/>
    <x v="4"/>
    <m/>
    <s v="N"/>
    <s v="NONE"/>
    <s v="DISMISSED"/>
    <n v="3"/>
    <n v="3"/>
    <n v="1"/>
    <n v="3"/>
    <m/>
    <m/>
    <m/>
    <m/>
    <m/>
    <m/>
    <m/>
    <m/>
    <m/>
    <d v="1955-12-10T00:00:00"/>
    <s v="M"/>
    <s v="B"/>
    <s v="BLACK"/>
    <s v="NON-HISPANIC"/>
    <s v="179"/>
    <s v="DISMISSED"/>
    <n v="1"/>
    <s v="DISMISSED"/>
    <m/>
    <m/>
    <m/>
    <s v="POSS CS PG 1 &lt;1G"/>
    <m/>
    <s v="FS"/>
    <s v="POSS DRUG"/>
    <m/>
    <m/>
    <m/>
    <m/>
    <m/>
    <m/>
    <m/>
    <m/>
    <m/>
    <s v="Other/Unknown"/>
    <m/>
    <m/>
    <n v="3"/>
    <n v="3"/>
    <n v="3"/>
    <n v="56.024590163934427"/>
    <n v="0"/>
    <n v="0"/>
    <s v="NO CONVICTION"/>
    <x v="0"/>
    <s v="N"/>
    <m/>
    <s v="NO 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767"/>
    <s v="N"/>
    <s v="N"/>
    <n v="986977"/>
    <n v="4"/>
    <d v="2012-04-12T00:00:00"/>
    <d v="2013-01-24T00:00:00"/>
    <n v="986977"/>
    <s v="NOT BOOKED"/>
    <s v="NOT BOOKED"/>
    <n v="2000"/>
    <x v="5"/>
    <d v="2012-06-29T00:00:00"/>
    <s v="Y"/>
    <s v="SURETY"/>
    <s v="GUILTY PLEA - NO JURY"/>
    <n v="0"/>
    <n v="288"/>
    <n v="1"/>
    <n v="2"/>
    <m/>
    <n v="1"/>
    <m/>
    <m/>
    <m/>
    <m/>
    <m/>
    <m/>
    <m/>
    <d v="1969-02-23T00:00:00"/>
    <s v="F"/>
    <s v="B"/>
    <s v="BLACK"/>
    <s v="NULL"/>
    <s v="232"/>
    <s v="CONVICTED"/>
    <n v="9"/>
    <s v="fine"/>
    <m/>
    <m/>
    <m/>
    <s v="POSS/ATT POSS CS BY FRAUD SCH"/>
    <m/>
    <s v="F3"/>
    <s v="SALE DRUG"/>
    <s v="fine 1000"/>
    <m/>
    <m/>
    <m/>
    <m/>
    <m/>
    <m/>
    <m/>
    <m/>
    <s v="Hired Attorney"/>
    <m/>
    <m/>
    <n v="0"/>
    <n v="0"/>
    <n v="288"/>
    <n v="43.043715846994537"/>
    <e v="#VALUE!"/>
    <e v="#VALUE!"/>
    <s v="NO 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204"/>
    <s v="N"/>
    <s v="N"/>
    <n v="988465"/>
    <n v="1"/>
    <d v="2012-03-23T00:00:00"/>
    <d v="2012-04-12T00:00:00"/>
    <n v="988465"/>
    <s v="NOT BOOKED"/>
    <s v="NOT BOOKED"/>
    <n v="5000"/>
    <x v="4"/>
    <d v="2012-03-24T00:00:00"/>
    <s v="Y"/>
    <s v="SURETY"/>
    <s v="DISMISSED"/>
    <n v="0"/>
    <n v="21"/>
    <n v="1"/>
    <n v="0"/>
    <m/>
    <n v="1"/>
    <m/>
    <m/>
    <m/>
    <m/>
    <m/>
    <m/>
    <m/>
    <d v="1960-04-09T00:00:00"/>
    <s v="M"/>
    <s v="W"/>
    <s v="WHITE"/>
    <s v="NULL"/>
    <s v="228"/>
    <s v="DISMISSED"/>
    <n v="2"/>
    <s v="DISMISSED"/>
    <m/>
    <m/>
    <m/>
    <s v="CRIM MISCH &gt;=$1500 &lt;$20K"/>
    <m/>
    <s v="FS"/>
    <s v="OTHER FEL"/>
    <m/>
    <m/>
    <m/>
    <m/>
    <m/>
    <m/>
    <m/>
    <m/>
    <m/>
    <s v="Hired Attorney"/>
    <m/>
    <m/>
    <n v="0"/>
    <n v="0"/>
    <n v="21"/>
    <n v="51.846994535519123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351"/>
    <s v="N"/>
    <s v="N"/>
    <n v="990513"/>
    <n v="6"/>
    <d v="2012-03-29T00:00:00"/>
    <d v="2012-08-02T00:00:00"/>
    <n v="990513"/>
    <d v="2012-03-30T00:00:00"/>
    <d v="2012-08-02T00:00:00"/>
    <s v="NO BOND"/>
    <x v="1"/>
    <m/>
    <s v="N"/>
    <s v="NONE"/>
    <s v="GUILTY PLEA - NO JURY"/>
    <n v="126"/>
    <n v="127"/>
    <n v="3"/>
    <n v="3"/>
    <n v="2"/>
    <m/>
    <m/>
    <m/>
    <m/>
    <m/>
    <m/>
    <m/>
    <m/>
    <d v="1971-07-17T00:00:00"/>
    <s v="M"/>
    <s v="H"/>
    <s v="HISPANIC"/>
    <s v="HISPANIC"/>
    <s v="209"/>
    <s v="CONVICTED"/>
    <n v="4"/>
    <s v="TDC"/>
    <n v="10"/>
    <m/>
    <m/>
    <s v="FELON POSS WPN"/>
    <m/>
    <s v="F3"/>
    <s v="OTHER FEL"/>
    <m/>
    <m/>
    <m/>
    <m/>
    <m/>
    <m/>
    <m/>
    <m/>
    <m/>
    <s v="Appointed Attorney"/>
    <m/>
    <m/>
    <n v="126"/>
    <n v="126"/>
    <n v="127"/>
    <n v="40.617486338797811"/>
    <n v="0"/>
    <n v="0"/>
    <s v="CONVICTION"/>
    <x v="0"/>
    <s v="N"/>
    <m/>
    <s v="CONVICTION"/>
    <s v="Y"/>
    <x v="0"/>
    <x v="0"/>
    <s v="Y"/>
    <n v="0.99212598425196852"/>
    <n v="1"/>
    <n v="7.8740157480314821E-3"/>
    <n v="0"/>
    <n v="-126"/>
    <n v="0"/>
    <n v="126"/>
    <e v="#VALUE!"/>
    <n v="126"/>
    <n v="0"/>
    <n v="0"/>
    <m/>
    <s v="Y"/>
    <m/>
    <s v="121-365 DAYS"/>
    <n v="6"/>
    <x v="0"/>
  </r>
  <r>
    <n v="914"/>
    <s v="N"/>
    <s v="N"/>
    <n v="991172"/>
    <n v="6"/>
    <d v="2012-02-03T00:00:00"/>
    <d v="2012-08-14T00:00:00"/>
    <n v="991172"/>
    <d v="2012-02-08T00:00:00"/>
    <d v="2012-08-14T00:00:00"/>
    <n v="10000"/>
    <x v="3"/>
    <m/>
    <s v="N"/>
    <s v="NONE"/>
    <s v="GUILTY PLEA - NO JURY"/>
    <n v="189"/>
    <n v="194"/>
    <n v="3"/>
    <n v="3"/>
    <n v="3"/>
    <m/>
    <m/>
    <m/>
    <m/>
    <m/>
    <m/>
    <m/>
    <m/>
    <d v="1952-04-05T00:00:00"/>
    <s v="M"/>
    <s v="B"/>
    <s v="BLACK"/>
    <s v="NULL"/>
    <s v="338"/>
    <s v="CONVICTED"/>
    <n v="9"/>
    <s v="TDC"/>
    <n v="1"/>
    <m/>
    <m/>
    <s v="FAIL TO COMPLY AS SEX OFFENDER"/>
    <m/>
    <s v="F3"/>
    <s v="OTHER FEL"/>
    <m/>
    <m/>
    <m/>
    <m/>
    <m/>
    <m/>
    <m/>
    <m/>
    <m/>
    <s v="Appointed Attorney"/>
    <m/>
    <m/>
    <n v="189"/>
    <n v="189"/>
    <n v="194"/>
    <n v="59.707650273224047"/>
    <n v="0"/>
    <n v="0"/>
    <s v="CONVICTION"/>
    <x v="0"/>
    <s v="N"/>
    <m/>
    <s v="CONVICTION"/>
    <s v="Y"/>
    <x v="0"/>
    <x v="0"/>
    <s v="Y"/>
    <n v="0.97422680412371132"/>
    <n v="1"/>
    <n v="2.5773195876288679E-2"/>
    <n v="0"/>
    <n v="-189"/>
    <n v="0"/>
    <n v="189"/>
    <e v="#VALUE!"/>
    <n v="189"/>
    <n v="0"/>
    <n v="0"/>
    <m/>
    <s v="Y"/>
    <m/>
    <s v="121-365 DAYS"/>
    <n v="6"/>
    <x v="0"/>
  </r>
  <r>
    <n v="3266"/>
    <s v="N"/>
    <s v="N"/>
    <n v="991194"/>
    <n v="4"/>
    <d v="2012-04-30T00:00:00"/>
    <d v="2012-08-28T00:00:00"/>
    <n v="991194"/>
    <d v="2012-04-30T00:00:00"/>
    <d v="2012-08-28T00:00:00"/>
    <n v="5000"/>
    <x v="4"/>
    <m/>
    <s v="N"/>
    <s v="NONE"/>
    <s v="GUILTY PLEA - NO JURY"/>
    <n v="121"/>
    <n v="121"/>
    <n v="3"/>
    <n v="3"/>
    <n v="1"/>
    <m/>
    <m/>
    <m/>
    <m/>
    <m/>
    <m/>
    <m/>
    <m/>
    <d v="1962-07-23T00:00:00"/>
    <s v="M"/>
    <s v="B"/>
    <s v="BLACK"/>
    <s v="NON-HISPANIC"/>
    <s v="185"/>
    <s v="CONVICTED"/>
    <n v="6"/>
    <s v="HCJ"/>
    <m/>
    <m/>
    <n v="180"/>
    <s v="THEFT UNDER $1500 - 3RD OFF."/>
    <m/>
    <s v="FS"/>
    <s v="THEFT"/>
    <m/>
    <m/>
    <m/>
    <m/>
    <m/>
    <m/>
    <m/>
    <m/>
    <m/>
    <s v="Appointed Attorney"/>
    <m/>
    <m/>
    <n v="121"/>
    <n v="121"/>
    <n v="121"/>
    <n v="49.669398907103826"/>
    <n v="0"/>
    <n v="0"/>
    <s v="CONVICTION"/>
    <x v="0"/>
    <s v="N"/>
    <m/>
    <s v="CONVICTION"/>
    <s v="Y"/>
    <x v="0"/>
    <x v="0"/>
    <s v="Y"/>
    <n v="1"/>
    <n v="1"/>
    <n v="0"/>
    <n v="0"/>
    <n v="-121"/>
    <n v="0"/>
    <n v="121"/>
    <e v="#VALUE!"/>
    <n v="121"/>
    <n v="0"/>
    <n v="0"/>
    <m/>
    <s v="Y"/>
    <m/>
    <s v="121-365 DAYS"/>
    <n v="6"/>
    <x v="0"/>
  </r>
  <r>
    <n v="1779"/>
    <s v="N"/>
    <s v="N"/>
    <n v="993302"/>
    <n v="5"/>
    <d v="2012-03-07T00:00:00"/>
    <d v="2012-03-09T00:00:00"/>
    <n v="993302"/>
    <d v="2012-03-07T00:00:00"/>
    <d v="2012-03-09T00:00:00"/>
    <n v="20000"/>
    <x v="0"/>
    <m/>
    <s v="N"/>
    <s v="NONE"/>
    <s v="GUILTY PLEA - NO JURY"/>
    <n v="3"/>
    <n v="3"/>
    <n v="7"/>
    <n v="1"/>
    <m/>
    <m/>
    <m/>
    <m/>
    <m/>
    <m/>
    <m/>
    <m/>
    <m/>
    <d v="1970-10-25T00:00:00"/>
    <s v="M"/>
    <s v="B"/>
    <s v="BLACK"/>
    <s v="NON-HISPANIC"/>
    <s v="232"/>
    <s v="CONVICTED"/>
    <n v="2"/>
    <s v="STJ"/>
    <m/>
    <n v="6"/>
    <m/>
    <s v="MAN/DEL SIM CS-MISLEAD PERS"/>
    <m/>
    <s v="FS"/>
    <s v="SALE DRUG"/>
    <m/>
    <m/>
    <m/>
    <m/>
    <m/>
    <m/>
    <m/>
    <m/>
    <m/>
    <s v="Appointed Attorney"/>
    <m/>
    <m/>
    <n v="3"/>
    <n v="3"/>
    <n v="3"/>
    <n v="41.28142076502732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532"/>
    <s v="N"/>
    <s v="N"/>
    <n v="993662"/>
    <n v="5"/>
    <d v="2012-01-21T00:00:00"/>
    <d v="2012-01-24T00:00:00"/>
    <n v="993662"/>
    <d v="2012-01-22T00:00:00"/>
    <d v="2012-01-24T00:00:00"/>
    <n v="15000"/>
    <x v="0"/>
    <m/>
    <s v="N"/>
    <s v="NONE"/>
    <s v="GUILTY PLEA - NO JURY"/>
    <n v="3"/>
    <n v="4"/>
    <n v="4"/>
    <n v="4"/>
    <n v="3"/>
    <m/>
    <m/>
    <m/>
    <m/>
    <m/>
    <m/>
    <m/>
    <m/>
    <d v="1953-09-17T00:00:00"/>
    <s v="M"/>
    <s v="W"/>
    <s v="WHITE"/>
    <s v="NON-HISPANIC"/>
    <s v="230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4"/>
    <n v="58.224043715846996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354"/>
    <s v="N"/>
    <s v="N"/>
    <n v="994106"/>
    <n v="2"/>
    <d v="2012-01-14T00:00:00"/>
    <d v="2012-03-01T00:00:00"/>
    <n v="994106"/>
    <d v="2012-01-15T00:00:00"/>
    <d v="2012-03-01T00:00:00"/>
    <n v="5000"/>
    <x v="4"/>
    <m/>
    <s v="N"/>
    <s v="NONE"/>
    <s v="DEFERRED ADJUDICATION "/>
    <n v="47"/>
    <n v="48"/>
    <n v="0"/>
    <n v="8"/>
    <m/>
    <m/>
    <m/>
    <m/>
    <m/>
    <m/>
    <m/>
    <m/>
    <m/>
    <d v="1971-12-13T00:00:00"/>
    <s v="M"/>
    <s v="B"/>
    <s v="BLACK"/>
    <s v="NON-HISPANIC"/>
    <s v="184"/>
    <s v="DEFERRED"/>
    <n v="3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47"/>
    <n v="47"/>
    <n v="48"/>
    <n v="40.005464480874316"/>
    <n v="0"/>
    <n v="0"/>
    <s v="DEFERRED"/>
    <x v="0"/>
    <s v="N"/>
    <m/>
    <s v="DEFERRED"/>
    <s v="Y"/>
    <x v="0"/>
    <x v="0"/>
    <s v="N"/>
    <n v="0.97916666666666663"/>
    <n v="1"/>
    <n v="2.083333333333337E-2"/>
    <n v="0"/>
    <n v="-47"/>
    <n v="0"/>
    <n v="47"/>
    <e v="#VALUE!"/>
    <n v="47"/>
    <n v="0"/>
    <n v="0"/>
    <m/>
    <s v="Y"/>
    <m/>
    <s v="31-60 DAYS"/>
    <n v="3"/>
    <x v="0"/>
  </r>
  <r>
    <n v="2593"/>
    <s v="N"/>
    <s v="N"/>
    <n v="996573"/>
    <n v="1"/>
    <d v="2012-04-06T00:00:00"/>
    <d v="2013-04-15T00:00:00"/>
    <n v="996573"/>
    <d v="2012-04-06T00:00:00"/>
    <d v="2012-04-12T00:00:00"/>
    <n v="100000"/>
    <x v="2"/>
    <d v="2012-04-12T00:00:00"/>
    <s v="Y"/>
    <s v="SURETY"/>
    <s v="NULL"/>
    <n v="7"/>
    <n v="375"/>
    <n v="1"/>
    <n v="3"/>
    <m/>
    <n v="1"/>
    <m/>
    <m/>
    <m/>
    <m/>
    <m/>
    <m/>
    <m/>
    <d v="1965-05-04T00:00:00"/>
    <s v="M"/>
    <s v="H"/>
    <s v="HISPANIC"/>
    <s v="HISPANIC"/>
    <s v="263"/>
    <s v="DISMISSED"/>
    <n v="11"/>
    <s v="DISMISSED"/>
    <m/>
    <m/>
    <m/>
    <s v="POSS MARIJ 50-2000 LBS."/>
    <m/>
    <s v="F2"/>
    <s v="POSS DRUG"/>
    <m/>
    <m/>
    <m/>
    <m/>
    <m/>
    <m/>
    <m/>
    <m/>
    <m/>
    <s v="Hired Attorney"/>
    <m/>
    <m/>
    <n v="7"/>
    <n v="375"/>
    <n v="375"/>
    <n v="46.827868852459019"/>
    <n v="0"/>
    <n v="-368"/>
    <s v="NO CONVICTION"/>
    <x v="1"/>
    <s v="Y"/>
    <m/>
    <s v="NO CONVICTION"/>
    <s v="Y"/>
    <x v="1"/>
    <x v="0"/>
    <s v="Y"/>
    <n v="1.8666666666666668E-2"/>
    <n v="1.8666666666666668E-2"/>
    <n v="0"/>
    <n v="0"/>
    <n v="-7"/>
    <n v="0"/>
    <n v="7"/>
    <e v="#VALUE!"/>
    <n v="7"/>
    <n v="0"/>
    <n v="368"/>
    <m/>
    <s v="Y"/>
    <m/>
    <s v="0-10 DAYS"/>
    <n v="1"/>
    <x v="0"/>
  </r>
  <r>
    <n v="1732"/>
    <s v="N"/>
    <s v="N"/>
    <n v="997247"/>
    <s v=""/>
    <d v="2012-03-05T00:00:00"/>
    <m/>
    <n v="997247"/>
    <d v="2012-03-07T00:00:00"/>
    <m/>
    <n v="60000"/>
    <x v="2"/>
    <m/>
    <s v="N"/>
    <s v="NONE"/>
    <s v="NULL"/>
    <s v="STILL OPEN"/>
    <s v="STILL OPEN"/>
    <n v="3"/>
    <n v="3"/>
    <n v="2"/>
    <m/>
    <m/>
    <m/>
    <m/>
    <m/>
    <m/>
    <m/>
    <m/>
    <d v="1964-01-24T00:00:00"/>
    <s v="M"/>
    <s v="B"/>
    <s v="BLACK"/>
    <s v="NON-HISPANIC"/>
    <s v="174"/>
    <s v="NULL"/>
    <m/>
    <m/>
    <m/>
    <m/>
    <m/>
    <s v="AGG SEX ASSLT CHILD-UNDER 14"/>
    <m/>
    <s v="F1"/>
    <s v="SEX ABUSE"/>
    <m/>
    <m/>
    <m/>
    <m/>
    <m/>
    <m/>
    <m/>
    <m/>
    <m/>
    <s v="Appointed Attorney"/>
    <m/>
    <m/>
    <s v="STILL OPEN"/>
    <s v="STILL OPEN"/>
    <s v="STILL OPEN"/>
    <n v="48.013661202185794"/>
    <n v="0"/>
    <n v="0"/>
    <n v="0"/>
    <x v="0"/>
    <s v="N"/>
    <m/>
    <s v=""/>
    <s v="Y"/>
    <x v="3"/>
    <x v="1"/>
    <s v="Y"/>
    <s v="STILL OPEN"/>
    <s v="STILL OPEN"/>
    <n v="0"/>
    <e v="#VALUE!"/>
    <n v="40974"/>
    <e v="#VALUE!"/>
    <e v="#VALUE!"/>
    <s v="STILL OPEN"/>
    <s v="STILL OPEN"/>
    <m/>
    <n v="0"/>
    <m/>
    <s v="Y"/>
    <e v="#N/A"/>
    <s v="&gt;3YRS"/>
    <n v="9"/>
    <x v="0"/>
  </r>
  <r>
    <n v="361"/>
    <s v="N"/>
    <s v="N"/>
    <n v="997408"/>
    <n v="5"/>
    <d v="2012-01-09T00:00:00"/>
    <d v="2012-01-11T00:00:00"/>
    <n v="997408"/>
    <d v="2012-01-10T00:00:00"/>
    <d v="2012-01-11T00:00:00"/>
    <n v="10000"/>
    <x v="3"/>
    <m/>
    <s v="N"/>
    <s v="NONE"/>
    <s v="GUILTY PLEA - NO JURY"/>
    <n v="2"/>
    <n v="3"/>
    <n v="9"/>
    <n v="5"/>
    <n v="5"/>
    <m/>
    <m/>
    <m/>
    <m/>
    <m/>
    <m/>
    <m/>
    <m/>
    <d v="1969-01-28T00:00:00"/>
    <s v="M"/>
    <s v="B"/>
    <s v="BLACK"/>
    <s v="NON-HISPANIC"/>
    <s v="228"/>
    <s v="CONVICTED"/>
    <n v="1"/>
    <s v="STJ"/>
    <m/>
    <n v="8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42.857923497267763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1040"/>
    <s v="N"/>
    <s v="N"/>
    <n v="1000132"/>
    <n v="4"/>
    <d v="2012-02-08T00:00:00"/>
    <d v="2012-02-10T00:00:00"/>
    <n v="1000132"/>
    <d v="2012-02-08T00:00:00"/>
    <d v="2012-02-10T00:00:00"/>
    <n v="5000"/>
    <x v="4"/>
    <m/>
    <s v="N"/>
    <s v="NONE"/>
    <s v="GUILTY PLEA - NO JURY"/>
    <n v="3"/>
    <n v="3"/>
    <n v="2"/>
    <n v="1"/>
    <n v="1"/>
    <n v="1"/>
    <m/>
    <m/>
    <m/>
    <m/>
    <m/>
    <m/>
    <m/>
    <d v="1968-10-27T00:00:00"/>
    <s v="F"/>
    <s v="W"/>
    <s v="WHITE"/>
    <s v="NON-HISPANIC"/>
    <s v="184"/>
    <s v="CONVICTED"/>
    <n v="1"/>
    <s v="HCJ"/>
    <m/>
    <m/>
    <n v="180"/>
    <s v="POSS CS PG 1 &lt;1G"/>
    <m/>
    <s v="FS"/>
    <s v="POSS DRUG"/>
    <m/>
    <m/>
    <m/>
    <m/>
    <m/>
    <m/>
    <m/>
    <m/>
    <m/>
    <s v="Appointed Attorney"/>
    <m/>
    <m/>
    <n v="3"/>
    <n v="3"/>
    <n v="3"/>
    <n v="43.193989071038253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590"/>
    <s v="N"/>
    <s v="N"/>
    <n v="1001673"/>
    <n v="5"/>
    <d v="2012-04-06T00:00:00"/>
    <d v="2012-06-13T00:00:00"/>
    <n v="1001673"/>
    <d v="2012-04-06T00:00:00"/>
    <d v="2012-06-13T00:00:00"/>
    <n v="30000"/>
    <x v="2"/>
    <m/>
    <s v="N"/>
    <s v="NONE"/>
    <s v="GUILTY PLEA - NO JURY"/>
    <n v="69"/>
    <n v="69"/>
    <n v="3"/>
    <n v="5"/>
    <n v="1"/>
    <m/>
    <m/>
    <m/>
    <m/>
    <m/>
    <m/>
    <m/>
    <m/>
    <d v="1971-01-26T00:00:00"/>
    <s v="M"/>
    <s v="H"/>
    <s v="HISPANIC"/>
    <s v="HISPANIC"/>
    <s v="176"/>
    <s v="CONVICTED"/>
    <n v="3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69"/>
    <n v="69"/>
    <n v="69"/>
    <n v="41.10928961748634"/>
    <n v="0"/>
    <n v="0"/>
    <s v="CONVICTION"/>
    <x v="0"/>
    <s v="N"/>
    <m/>
    <s v="CONVICTION"/>
    <s v="Y"/>
    <x v="0"/>
    <x v="0"/>
    <s v="Y"/>
    <n v="1"/>
    <n v="1"/>
    <n v="0"/>
    <n v="0"/>
    <n v="-69"/>
    <n v="0"/>
    <n v="69"/>
    <e v="#VALUE!"/>
    <n v="69"/>
    <n v="0"/>
    <n v="0"/>
    <m/>
    <s v="Y"/>
    <m/>
    <s v="61-90 DAYS"/>
    <n v="4"/>
    <x v="0"/>
  </r>
  <r>
    <n v="1893"/>
    <s v="N"/>
    <s v="N"/>
    <n v="1001976"/>
    <n v="2"/>
    <d v="2012-03-11T00:00:00"/>
    <d v="2012-09-13T00:00:00"/>
    <n v="1001976"/>
    <d v="2012-09-10T00:00:00"/>
    <d v="2012-09-13T00:00:00"/>
    <n v="5000"/>
    <x v="4"/>
    <m/>
    <s v="N"/>
    <s v="NONE"/>
    <s v="DEFERRED ADJUDICATION "/>
    <n v="4"/>
    <n v="187"/>
    <n v="0"/>
    <n v="4"/>
    <m/>
    <m/>
    <m/>
    <m/>
    <m/>
    <m/>
    <m/>
    <m/>
    <m/>
    <d v="1965-05-10T00:00:00"/>
    <s v="M"/>
    <s v="B"/>
    <s v="BLACK"/>
    <s v="NULL"/>
    <s v="176"/>
    <s v="DEFERRED"/>
    <n v="2"/>
    <s v="DEFERRED"/>
    <m/>
    <m/>
    <m/>
    <s v="POSS CS PG 1 &lt;1G"/>
    <m/>
    <s v="FS"/>
    <s v="POSS DRUG"/>
    <m/>
    <m/>
    <m/>
    <m/>
    <m/>
    <m/>
    <m/>
    <m/>
    <m/>
    <s v="Appointed Attorney"/>
    <m/>
    <m/>
    <n v="4"/>
    <n v="4"/>
    <n v="187"/>
    <n v="46.740437158469945"/>
    <n v="0"/>
    <n v="0"/>
    <s v="DEFERRED"/>
    <x v="0"/>
    <s v="N"/>
    <m/>
    <s v="DEFERRED"/>
    <s v="Y"/>
    <x v="0"/>
    <x v="0"/>
    <s v="N"/>
    <n v="2.1390374331550801E-2"/>
    <n v="1"/>
    <n v="0.97860962566844922"/>
    <n v="0"/>
    <n v="-4"/>
    <n v="0"/>
    <n v="4"/>
    <e v="#VALUE!"/>
    <n v="4"/>
    <n v="0"/>
    <n v="0"/>
    <m/>
    <s v="Y"/>
    <m/>
    <s v="0-10 DAYS"/>
    <n v="1"/>
    <x v="0"/>
  </r>
  <r>
    <n v="2050"/>
    <s v="N"/>
    <s v="N"/>
    <n v="1002058"/>
    <n v="1"/>
    <d v="2012-03-18T00:00:00"/>
    <d v="2012-10-16T00:00:00"/>
    <n v="1002058"/>
    <d v="2012-03-18T00:00:00"/>
    <d v="2012-10-16T00:00:00"/>
    <s v="NO BOND"/>
    <x v="1"/>
    <m/>
    <s v="N"/>
    <s v="NONE"/>
    <s v="DISMISSED"/>
    <n v="213"/>
    <n v="213"/>
    <n v="12"/>
    <n v="12"/>
    <n v="9"/>
    <m/>
    <m/>
    <m/>
    <m/>
    <m/>
    <m/>
    <m/>
    <m/>
    <d v="1965-02-23T00:00:00"/>
    <s v="M"/>
    <s v="B"/>
    <s v="BLACK"/>
    <s v="NULL"/>
    <s v="182"/>
    <s v="DISMISSED"/>
    <n v="7"/>
    <s v="DISMISSED"/>
    <m/>
    <m/>
    <m/>
    <s v="ASSAULT-BOD INJ-PUB SERV/RETAL"/>
    <m/>
    <s v="F3"/>
    <s v="ASLT-MURDR"/>
    <s v="detained 9/25/12 aslt murder filed pend"/>
    <m/>
    <m/>
    <m/>
    <m/>
    <m/>
    <m/>
    <m/>
    <m/>
    <s v="Appointed Attorney"/>
    <m/>
    <m/>
    <n v="213"/>
    <n v="213"/>
    <n v="213"/>
    <n v="46.967213114754095"/>
    <n v="0"/>
    <n v="0"/>
    <s v="NO CONVICTION"/>
    <x v="0"/>
    <s v="N"/>
    <m/>
    <s v="NO CONVICTION"/>
    <s v="Y"/>
    <x v="0"/>
    <x v="0"/>
    <s v="Y"/>
    <n v="1"/>
    <n v="1"/>
    <n v="0"/>
    <n v="0"/>
    <n v="-213"/>
    <n v="0"/>
    <n v="213"/>
    <e v="#VALUE!"/>
    <n v="213"/>
    <n v="0"/>
    <n v="0"/>
    <m/>
    <s v="Y"/>
    <m/>
    <s v="121-365 DAYS"/>
    <n v="6"/>
    <x v="0"/>
  </r>
  <r>
    <n v="2712"/>
    <s v="N"/>
    <s v="N"/>
    <n v="1002249"/>
    <n v="4"/>
    <d v="2012-04-10T00:00:00"/>
    <d v="2012-04-12T00:00:00"/>
    <n v="1002249"/>
    <d v="2012-04-11T00:00:00"/>
    <d v="2012-04-12T00:00:00"/>
    <n v="15000"/>
    <x v="0"/>
    <m/>
    <s v="N"/>
    <s v="NONE"/>
    <s v="GUILTY PLEA - NO JURY"/>
    <n v="2"/>
    <n v="3"/>
    <n v="2"/>
    <n v="0"/>
    <n v="1"/>
    <m/>
    <m/>
    <m/>
    <m/>
    <m/>
    <m/>
    <m/>
    <m/>
    <d v="1961-07-17T00:00:00"/>
    <s v="M"/>
    <s v="B"/>
    <s v="BLACK"/>
    <s v="NON-HISPANIC"/>
    <s v="262"/>
    <s v="CONVICTED"/>
    <n v="1"/>
    <s v="HCJ"/>
    <m/>
    <m/>
    <n v="180"/>
    <s v="POSS CS PG 1 &lt;1G"/>
    <m/>
    <s v="FS"/>
    <s v="POSS DRUG"/>
    <m/>
    <m/>
    <m/>
    <m/>
    <m/>
    <m/>
    <m/>
    <m/>
    <m/>
    <s v="Appointed Attorney"/>
    <m/>
    <m/>
    <n v="2"/>
    <n v="2"/>
    <n v="3"/>
    <n v="50.62841530054645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507"/>
    <s v="N"/>
    <s v="N"/>
    <n v="1002326"/>
    <n v="4"/>
    <d v="2012-01-21T00:00:00"/>
    <d v="2012-01-23T00:00:00"/>
    <n v="1002326"/>
    <d v="2012-01-21T00:00:00"/>
    <d v="2012-01-23T00:00:00"/>
    <n v="15000"/>
    <x v="0"/>
    <m/>
    <s v="N"/>
    <s v="NONE"/>
    <s v="GUILTY PLEA - NO JURY"/>
    <n v="3"/>
    <n v="3"/>
    <n v="3"/>
    <n v="1"/>
    <n v="3"/>
    <m/>
    <m/>
    <m/>
    <m/>
    <m/>
    <m/>
    <m/>
    <m/>
    <d v="1962-02-18T00:00:00"/>
    <s v="M"/>
    <s v="B"/>
    <s v="BLACK"/>
    <s v="NON-HISPANIC"/>
    <s v="262"/>
    <s v="CONVICTED"/>
    <n v="1"/>
    <s v="HCJ"/>
    <m/>
    <m/>
    <n v="180"/>
    <s v="POSS CS PG 1 &lt;1G"/>
    <m/>
    <s v="FS"/>
    <s v="POSS DRUG"/>
    <m/>
    <m/>
    <m/>
    <m/>
    <m/>
    <m/>
    <m/>
    <m/>
    <m/>
    <s v="Appointed Attorney"/>
    <m/>
    <m/>
    <n v="3"/>
    <n v="3"/>
    <n v="3"/>
    <n v="49.819672131147541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548"/>
    <s v="N"/>
    <s v="N"/>
    <n v="1003289"/>
    <n v="2"/>
    <d v="2012-02-27T00:00:00"/>
    <d v="2012-07-18T00:00:00"/>
    <n v="1003289"/>
    <d v="2012-02-28T00:00:00"/>
    <d v="2012-04-10T00:00:00"/>
    <n v="10000"/>
    <x v="3"/>
    <d v="2012-04-10T00:00:00"/>
    <s v="Y"/>
    <s v="SURETY"/>
    <s v="DEFERRED ADJUDICATION "/>
    <n v="43"/>
    <n v="143"/>
    <n v="0"/>
    <n v="2"/>
    <m/>
    <m/>
    <m/>
    <m/>
    <m/>
    <m/>
    <m/>
    <m/>
    <m/>
    <d v="1961-03-09T00:00:00"/>
    <s v="M"/>
    <s v="B"/>
    <s v="BLACK"/>
    <s v="NULL"/>
    <s v="180"/>
    <s v="DEFERRED"/>
    <n v="5"/>
    <s v="DEFERRED"/>
    <m/>
    <m/>
    <m/>
    <s v="ROBBERY-BODILY INJURY"/>
    <m/>
    <s v="F2"/>
    <s v="ROBBERY"/>
    <m/>
    <m/>
    <m/>
    <m/>
    <m/>
    <m/>
    <m/>
    <m/>
    <m/>
    <s v="Appointed Attorney"/>
    <m/>
    <m/>
    <n v="43"/>
    <n v="142"/>
    <n v="143"/>
    <n v="50.866120218579233"/>
    <n v="0"/>
    <n v="-99"/>
    <s v="DEFERRED"/>
    <x v="1"/>
    <s v="Y"/>
    <m/>
    <s v="DEFERRED"/>
    <s v="Y"/>
    <x v="1"/>
    <x v="0"/>
    <s v="N"/>
    <n v="0.30069930069930068"/>
    <n v="0.30281690140845069"/>
    <n v="2.1176007091500137E-3"/>
    <n v="0"/>
    <n v="-43"/>
    <n v="0"/>
    <n v="43"/>
    <e v="#VALUE!"/>
    <n v="43"/>
    <n v="0"/>
    <n v="99"/>
    <m/>
    <s v="Y"/>
    <m/>
    <s v="31-60 DAYS"/>
    <n v="3"/>
    <x v="0"/>
  </r>
  <r>
    <n v="2955"/>
    <s v="N"/>
    <s v="Y"/>
    <n v="1004490"/>
    <n v="1"/>
    <d v="2012-04-18T00:00:00"/>
    <d v="2012-11-02T00:00:00"/>
    <n v="1004490"/>
    <d v="2012-04-19T00:00:00"/>
    <d v="2012-04-20T00:00:00"/>
    <n v="10000"/>
    <x v="3"/>
    <d v="2012-04-20T00:00:00"/>
    <s v="Y"/>
    <s v="SURETY"/>
    <s v="DISMISSED"/>
    <n v="13"/>
    <n v="199"/>
    <n v="1"/>
    <n v="5"/>
    <n v="1"/>
    <m/>
    <m/>
    <m/>
    <m/>
    <m/>
    <m/>
    <m/>
    <m/>
    <d v="1964-10-17T00:00:00"/>
    <s v="M"/>
    <s v="H"/>
    <s v="HISPANIC"/>
    <s v="HISPANIC"/>
    <s v="185"/>
    <s v="DISMISSED"/>
    <n v="14"/>
    <s v="DISMISSED"/>
    <m/>
    <m/>
    <m/>
    <s v="INJURY CHILD UNDER 15 B/INJURY"/>
    <m/>
    <s v="F3"/>
    <s v="OTHER FEL"/>
    <m/>
    <s v="rev 7/10/12"/>
    <m/>
    <m/>
    <s v="Y"/>
    <m/>
    <m/>
    <m/>
    <m/>
    <s v="Hired Attorney"/>
    <m/>
    <m/>
    <n v="13"/>
    <n v="198"/>
    <n v="199"/>
    <n v="47.404371584699454"/>
    <n v="0"/>
    <n v="-196"/>
    <s v="NO CONVICTION"/>
    <x v="1"/>
    <s v="Y"/>
    <m/>
    <s v="NO CONVICTION"/>
    <s v="Y"/>
    <x v="1"/>
    <x v="0"/>
    <s v="Y"/>
    <n v="6.5326633165829151E-2"/>
    <n v="1.0101010101010102E-2"/>
    <n v="-5.5225623064819047E-2"/>
    <n v="0"/>
    <n v="-2"/>
    <n v="11"/>
    <n v="2"/>
    <e v="#VALUE!"/>
    <m/>
    <n v="196"/>
    <n v="196"/>
    <m/>
    <s v="Y"/>
    <m/>
    <s v="11-30 DAYS"/>
    <n v="2"/>
    <x v="0"/>
  </r>
  <r>
    <n v="843"/>
    <s v="N"/>
    <s v="N"/>
    <n v="1011357"/>
    <n v="1"/>
    <d v="2012-02-01T00:00:00"/>
    <d v="2012-08-27T00:00:00"/>
    <n v="1011357"/>
    <d v="2012-03-15T00:00:00"/>
    <d v="2012-08-27T00:00:00"/>
    <s v="NO BOND"/>
    <x v="1"/>
    <m/>
    <s v="N"/>
    <s v="NONE"/>
    <s v="DISMISSED"/>
    <n v="166"/>
    <n v="209"/>
    <n v="3"/>
    <n v="3"/>
    <n v="2"/>
    <n v="1"/>
    <m/>
    <m/>
    <m/>
    <m/>
    <m/>
    <m/>
    <m/>
    <d v="1971-06-02T00:00:00"/>
    <s v="M"/>
    <s v="B"/>
    <s v="BLACK"/>
    <s v="NULL"/>
    <s v="232"/>
    <s v="DISMISSED"/>
    <n v="6"/>
    <s v="DISMISSED"/>
    <m/>
    <m/>
    <m/>
    <s v="BURGLARY OF HABITATION"/>
    <m/>
    <s v="F2"/>
    <s v="BURGLARY"/>
    <m/>
    <m/>
    <m/>
    <m/>
    <m/>
    <m/>
    <m/>
    <m/>
    <m/>
    <s v="Appointed Attorney"/>
    <m/>
    <m/>
    <n v="166"/>
    <n v="166"/>
    <n v="209"/>
    <n v="40.584699453551913"/>
    <n v="0"/>
    <n v="0"/>
    <s v="NO CONVICTION"/>
    <x v="0"/>
    <s v="N"/>
    <m/>
    <s v="NO CONVICTION"/>
    <s v="Y"/>
    <x v="0"/>
    <x v="0"/>
    <s v="Y"/>
    <n v="0.79425837320574166"/>
    <n v="1"/>
    <n v="0.20574162679425834"/>
    <n v="0"/>
    <n v="-166"/>
    <n v="0"/>
    <n v="166"/>
    <e v="#VALUE!"/>
    <n v="166"/>
    <n v="0"/>
    <n v="0"/>
    <m/>
    <s v="Y"/>
    <m/>
    <s v="121-365 DAYS"/>
    <n v="6"/>
    <x v="0"/>
  </r>
  <r>
    <n v="1471"/>
    <s v="N"/>
    <s v="N"/>
    <n v="1011620"/>
    <n v="6"/>
    <d v="2012-02-23T00:00:00"/>
    <d v="2012-10-26T00:00:00"/>
    <n v="1011620"/>
    <d v="2012-07-04T00:00:00"/>
    <d v="2012-10-26T00:00:00"/>
    <s v="NO BOND"/>
    <x v="1"/>
    <m/>
    <s v="N"/>
    <s v="NONE"/>
    <s v="GUILTY PLEA - NO JURY"/>
    <n v="115"/>
    <n v="247"/>
    <n v="3"/>
    <n v="2"/>
    <n v="1"/>
    <m/>
    <m/>
    <m/>
    <m/>
    <m/>
    <m/>
    <m/>
    <m/>
    <d v="1962-04-23T00:00:00"/>
    <s v="M"/>
    <s v="B"/>
    <s v="BLACK"/>
    <s v="NON-HISPANIC"/>
    <s v="174"/>
    <s v="CONVICTED"/>
    <n v="5"/>
    <s v="TDC"/>
    <n v="5"/>
    <m/>
    <m/>
    <s v="AGG ASSAULT - FAMILY MEMBER SB"/>
    <m/>
    <s v="F1"/>
    <s v="ASLT-MURDR"/>
    <m/>
    <m/>
    <m/>
    <m/>
    <m/>
    <m/>
    <m/>
    <m/>
    <m/>
    <s v="Appointed Attorney"/>
    <m/>
    <m/>
    <n v="115"/>
    <n v="115"/>
    <n v="247"/>
    <n v="49.734972677595628"/>
    <n v="0"/>
    <n v="0"/>
    <s v="CONVICTION"/>
    <x v="0"/>
    <s v="N"/>
    <m/>
    <s v="CONVICTION"/>
    <s v="Y"/>
    <x v="0"/>
    <x v="0"/>
    <s v="Y"/>
    <n v="0.46558704453441296"/>
    <n v="1"/>
    <n v="0.53441295546558698"/>
    <n v="0"/>
    <n v="-115"/>
    <n v="0"/>
    <n v="115"/>
    <e v="#VALUE!"/>
    <n v="115"/>
    <n v="0"/>
    <n v="0"/>
    <m/>
    <s v="Y"/>
    <m/>
    <s v="91-120 DAYS"/>
    <n v="0"/>
    <x v="0"/>
  </r>
  <r>
    <n v="1651"/>
    <s v="N"/>
    <s v="N"/>
    <n v="1014338"/>
    <n v="4"/>
    <d v="2012-03-01T00:00:00"/>
    <d v="2012-03-05T00:00:00"/>
    <n v="1014338"/>
    <d v="2012-03-02T00:00:00"/>
    <d v="2012-03-05T00:00:00"/>
    <n v="15000"/>
    <x v="0"/>
    <m/>
    <s v="N"/>
    <s v="NONE"/>
    <s v="GUILTY PLEA - NO JURY"/>
    <n v="4"/>
    <n v="5"/>
    <n v="4"/>
    <n v="3"/>
    <n v="3"/>
    <m/>
    <m/>
    <m/>
    <m/>
    <m/>
    <m/>
    <m/>
    <m/>
    <d v="1970-11-09T00:00:00"/>
    <s v="M"/>
    <s v="W"/>
    <s v="WHITE"/>
    <s v="NON-HISPANIC"/>
    <s v="176"/>
    <s v="CONVICTED"/>
    <n v="1"/>
    <s v="HCJ"/>
    <m/>
    <m/>
    <n v="180"/>
    <s v="THEFT UNDER $1500 - 3RD OFF."/>
    <m/>
    <s v="FS"/>
    <s v="THEFT"/>
    <m/>
    <m/>
    <m/>
    <m/>
    <m/>
    <m/>
    <m/>
    <m/>
    <m/>
    <s v="Appointed Attorney"/>
    <m/>
    <m/>
    <n v="4"/>
    <n v="4"/>
    <n v="5"/>
    <n v="41.224043715846996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1821"/>
    <s v="N"/>
    <s v="N"/>
    <n v="1019500"/>
    <n v="5"/>
    <d v="2012-03-08T00:00:00"/>
    <d v="2012-03-12T00:00:00"/>
    <n v="1019500"/>
    <d v="2012-03-09T00:00:00"/>
    <d v="2012-03-12T00:00:00"/>
    <n v="15000"/>
    <x v="0"/>
    <m/>
    <s v="N"/>
    <s v="NONE"/>
    <s v="GUILTY PLEA - NO JURY"/>
    <n v="4"/>
    <n v="5"/>
    <n v="13"/>
    <n v="4"/>
    <n v="7"/>
    <m/>
    <m/>
    <m/>
    <m/>
    <m/>
    <m/>
    <m/>
    <m/>
    <d v="1964-07-08T00:00:00"/>
    <s v="F"/>
    <s v="B"/>
    <s v="BLACK"/>
    <s v="NON-HISPANIC"/>
    <s v="180"/>
    <s v="CONVICTED"/>
    <n v="1"/>
    <s v="STJ"/>
    <m/>
    <n v="6"/>
    <m/>
    <s v="MAN/DEL CS PG I &lt;1GRAM"/>
    <m/>
    <s v="FS"/>
    <s v="SALE DRUG"/>
    <m/>
    <m/>
    <m/>
    <m/>
    <m/>
    <m/>
    <m/>
    <m/>
    <m/>
    <s v="Appointed Attorney"/>
    <m/>
    <m/>
    <n v="4"/>
    <n v="4"/>
    <n v="5"/>
    <n v="47.568306010928964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353"/>
    <s v="N"/>
    <s v="N"/>
    <n v="1025837"/>
    <n v="6"/>
    <d v="2012-01-14T00:00:00"/>
    <d v="2012-09-04T00:00:00"/>
    <n v="1025837"/>
    <d v="2012-01-15T00:00:00"/>
    <d v="2012-05-05T00:00:00"/>
    <n v="60000"/>
    <x v="2"/>
    <d v="2012-05-05T00:00:00"/>
    <s v="Y"/>
    <s v="SURETYPTRc"/>
    <s v="GUILTY PLEA - NO JURY"/>
    <n v="112"/>
    <n v="235"/>
    <n v="4"/>
    <n v="4"/>
    <n v="4"/>
    <n v="1"/>
    <m/>
    <m/>
    <m/>
    <m/>
    <m/>
    <m/>
    <m/>
    <d v="1972-01-14T00:00:00"/>
    <s v="M"/>
    <s v="B"/>
    <s v="BLACK"/>
    <s v="NON-HISPANIC"/>
    <s v="248"/>
    <s v="CONVICTED"/>
    <n v="8"/>
    <s v="TDC"/>
    <n v="3"/>
    <m/>
    <m/>
    <s v="AGG ASSAULT-FAMILY MEMBER"/>
    <m/>
    <s v="F2"/>
    <s v="ASLT-MURDR"/>
    <m/>
    <m/>
    <m/>
    <m/>
    <m/>
    <m/>
    <m/>
    <m/>
    <m/>
    <s v="Hired Attorney"/>
    <m/>
    <m/>
    <n v="112"/>
    <n v="234"/>
    <n v="235"/>
    <n v="39.918032786885249"/>
    <n v="0"/>
    <n v="-122"/>
    <s v="CONVICTION"/>
    <x v="1"/>
    <s v="Y"/>
    <m/>
    <s v="CONVICTION"/>
    <s v="Y"/>
    <x v="1"/>
    <x v="0"/>
    <s v="Y"/>
    <n v="0.47659574468085109"/>
    <n v="0.47863247863247865"/>
    <n v="2.0367339516275673E-3"/>
    <n v="0"/>
    <n v="-112"/>
    <n v="0"/>
    <n v="112"/>
    <e v="#VALUE!"/>
    <n v="112"/>
    <n v="0"/>
    <n v="122"/>
    <m/>
    <s v="Y"/>
    <m/>
    <s v="91-120 DAYS"/>
    <n v="0"/>
    <x v="0"/>
  </r>
  <r>
    <n v="1462"/>
    <s v="N"/>
    <s v="N"/>
    <n v="1026153"/>
    <n v="5"/>
    <d v="2012-02-23T00:00:00"/>
    <d v="2012-07-11T00:00:00"/>
    <n v="1026153"/>
    <d v="2012-02-24T00:00:00"/>
    <d v="2012-07-11T00:00:00"/>
    <s v="NO BOND"/>
    <x v="1"/>
    <m/>
    <s v="N"/>
    <s v="NONE"/>
    <s v="GUILTY PLEA - NO JURY"/>
    <n v="139"/>
    <n v="140"/>
    <n v="7"/>
    <n v="5"/>
    <n v="4"/>
    <m/>
    <m/>
    <m/>
    <m/>
    <m/>
    <m/>
    <m/>
    <m/>
    <d v="1969-11-05T00:00:00"/>
    <s v="M"/>
    <s v="B"/>
    <s v="BLACK"/>
    <s v="NULL"/>
    <s v="248"/>
    <s v="CONVICTED"/>
    <n v="6"/>
    <s v="STJ"/>
    <m/>
    <n v="8"/>
    <m/>
    <s v="TAMPER/FABRICATE EVIDENCE"/>
    <m/>
    <s v="F3"/>
    <s v="OTHER FEL"/>
    <m/>
    <m/>
    <m/>
    <m/>
    <m/>
    <m/>
    <m/>
    <m/>
    <m/>
    <s v="Appointed Attorney"/>
    <m/>
    <m/>
    <n v="139"/>
    <n v="139"/>
    <n v="140"/>
    <n v="42.213114754098363"/>
    <n v="0"/>
    <n v="0"/>
    <s v="CONVICTION"/>
    <x v="0"/>
    <s v="N"/>
    <m/>
    <s v="CONVICTION"/>
    <s v="Y"/>
    <x v="0"/>
    <x v="0"/>
    <s v="Y"/>
    <n v="0.99285714285714288"/>
    <n v="1"/>
    <n v="7.1428571428571175E-3"/>
    <n v="0"/>
    <n v="-139"/>
    <n v="0"/>
    <n v="139"/>
    <e v="#VALUE!"/>
    <n v="139"/>
    <n v="0"/>
    <n v="0"/>
    <m/>
    <s v="Y"/>
    <m/>
    <s v="121-365 DAYS"/>
    <n v="6"/>
    <x v="0"/>
  </r>
  <r>
    <n v="634"/>
    <s v="N"/>
    <s v="N"/>
    <n v="1026954"/>
    <n v="1"/>
    <d v="2012-01-25T00:00:00"/>
    <d v="2012-02-09T00:00:00"/>
    <n v="1026954"/>
    <d v="2012-01-26T00:00:00"/>
    <d v="2012-01-31T00:00:00"/>
    <n v="40000"/>
    <x v="2"/>
    <d v="2012-01-31T00:00:00"/>
    <s v="Y"/>
    <s v="PTR"/>
    <s v="DISMISSED"/>
    <n v="6"/>
    <n v="16"/>
    <n v="3"/>
    <n v="1"/>
    <n v="3"/>
    <m/>
    <m/>
    <m/>
    <m/>
    <m/>
    <m/>
    <m/>
    <m/>
    <d v="1937-10-20T00:00:00"/>
    <s v="F"/>
    <s v="B"/>
    <s v="BLACK"/>
    <s v="NON-HISPANIC"/>
    <s v="232"/>
    <s v="DISMISSED"/>
    <n v="2"/>
    <s v="DISMISSED"/>
    <m/>
    <m/>
    <m/>
    <s v="AGG ASSAULT W/DEADLY WEAPON"/>
    <m/>
    <s v="F2"/>
    <s v="ASLT-MURDR"/>
    <m/>
    <m/>
    <m/>
    <m/>
    <m/>
    <m/>
    <m/>
    <m/>
    <m/>
    <s v="Public Defender"/>
    <m/>
    <m/>
    <n v="6"/>
    <n v="15"/>
    <n v="16"/>
    <n v="74.112021857923494"/>
    <n v="0"/>
    <n v="-9"/>
    <s v="NO CONVICTION"/>
    <x v="2"/>
    <s v="Y"/>
    <m/>
    <s v="NO CONVICTION"/>
    <s v="Y"/>
    <x v="1"/>
    <x v="0"/>
    <s v="Y"/>
    <n v="0.375"/>
    <n v="0.4"/>
    <n v="2.5000000000000022E-2"/>
    <n v="0"/>
    <n v="-6"/>
    <n v="0"/>
    <n v="6"/>
    <e v="#VALUE!"/>
    <n v="6"/>
    <n v="0"/>
    <n v="9"/>
    <m/>
    <s v="Y"/>
    <m/>
    <s v="0-10 DAYS"/>
    <n v="1"/>
    <x v="0"/>
  </r>
  <r>
    <n v="617"/>
    <s v="N"/>
    <s v="N"/>
    <n v="1028336"/>
    <n v="5"/>
    <d v="2012-01-25T00:00:00"/>
    <d v="2012-01-27T00:00:00"/>
    <n v="1028336"/>
    <d v="2012-01-25T00:00:00"/>
    <d v="2012-01-27T00:00:00"/>
    <n v="15000"/>
    <x v="0"/>
    <m/>
    <s v="N"/>
    <s v="NONE"/>
    <s v="GUILTY PLEA - NO JURY"/>
    <n v="3"/>
    <n v="3"/>
    <n v="7"/>
    <n v="9"/>
    <n v="7"/>
    <m/>
    <m/>
    <m/>
    <m/>
    <m/>
    <m/>
    <m/>
    <m/>
    <d v="1970-09-25T00:00:00"/>
    <s v="M"/>
    <s v="B"/>
    <s v="BLACK"/>
    <s v="NON-HISPANIC"/>
    <s v="185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41.248633879781423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644"/>
    <s v="N"/>
    <s v="N"/>
    <n v="1028829"/>
    <n v="2"/>
    <d v="2012-03-01T00:00:00"/>
    <d v="2012-05-15T00:00:00"/>
    <n v="1028829"/>
    <d v="2012-03-03T00:00:00"/>
    <d v="2012-05-15T00:00:00"/>
    <n v="30000"/>
    <x v="2"/>
    <m/>
    <s v="N"/>
    <s v="NONE"/>
    <s v="DEFERRED ADJUDICATION "/>
    <n v="74"/>
    <n v="76"/>
    <n v="2"/>
    <n v="2"/>
    <n v="1"/>
    <m/>
    <m/>
    <m/>
    <m/>
    <m/>
    <m/>
    <m/>
    <m/>
    <d v="1967-12-10T00:00:00"/>
    <s v="M"/>
    <s v="H"/>
    <s v="HISPANIC"/>
    <s v="HISPANIC"/>
    <s v="248"/>
    <s v="DEFERRED"/>
    <n v="4"/>
    <s v="DEFERRED"/>
    <m/>
    <m/>
    <m/>
    <s v="AGG ASSAULT W/DEADLY WEAPON"/>
    <m/>
    <s v="F2"/>
    <s v="ASLT-MURDR"/>
    <m/>
    <m/>
    <m/>
    <m/>
    <m/>
    <m/>
    <m/>
    <m/>
    <m/>
    <s v="Appointed Attorney"/>
    <m/>
    <m/>
    <n v="74"/>
    <n v="74"/>
    <n v="76"/>
    <n v="44.133879781420767"/>
    <n v="0"/>
    <n v="0"/>
    <s v="DEFERRED"/>
    <x v="0"/>
    <s v="N"/>
    <m/>
    <s v="DEFERRED"/>
    <s v="Y"/>
    <x v="0"/>
    <x v="0"/>
    <s v="Y"/>
    <n v="0.97368421052631582"/>
    <n v="1"/>
    <n v="2.6315789473684181E-2"/>
    <n v="0"/>
    <n v="-74"/>
    <n v="0"/>
    <n v="74"/>
    <e v="#VALUE!"/>
    <n v="74"/>
    <n v="0"/>
    <n v="0"/>
    <m/>
    <s v="Y"/>
    <m/>
    <s v="61-90 DAYS"/>
    <n v="4"/>
    <x v="0"/>
  </r>
  <r>
    <n v="1354"/>
    <s v="N"/>
    <s v="N"/>
    <n v="1028975"/>
    <n v="2"/>
    <d v="2012-02-19T00:00:00"/>
    <d v="2012-05-03T00:00:00"/>
    <n v="1028975"/>
    <d v="2012-02-19T00:00:00"/>
    <d v="2012-02-20T00:00:00"/>
    <n v="5000"/>
    <x v="4"/>
    <d v="2012-02-20T00:00:00"/>
    <s v="Y"/>
    <s v="SURETY"/>
    <s v="DEFERRED ADJUDICATION "/>
    <n v="2"/>
    <n v="75"/>
    <n v="1"/>
    <n v="1"/>
    <m/>
    <n v="1"/>
    <m/>
    <m/>
    <m/>
    <m/>
    <m/>
    <m/>
    <m/>
    <d v="1972-02-15T00:00:00"/>
    <s v="M"/>
    <s v="H"/>
    <s v="HISPANIC"/>
    <s v="HISPANIC"/>
    <s v="263"/>
    <s v="DEFERRED"/>
    <n v="4"/>
    <s v="DEFERRED"/>
    <m/>
    <m/>
    <m/>
    <s v="POSS CS PG 1  1 - 4 GRAMS"/>
    <m/>
    <s v="F3"/>
    <s v="POSS DRUG"/>
    <m/>
    <m/>
    <m/>
    <m/>
    <m/>
    <m/>
    <m/>
    <m/>
    <m/>
    <s v="Hired Attorney"/>
    <m/>
    <m/>
    <n v="2"/>
    <n v="75"/>
    <n v="75"/>
    <n v="39.928961748633881"/>
    <n v="0"/>
    <n v="-73"/>
    <s v="DEFERRED"/>
    <x v="1"/>
    <s v="Y"/>
    <m/>
    <s v="DEFERRED"/>
    <s v="Y"/>
    <x v="1"/>
    <x v="0"/>
    <s v="Y"/>
    <n v="2.6666666666666668E-2"/>
    <n v="2.6666666666666668E-2"/>
    <n v="0"/>
    <n v="0"/>
    <n v="-2"/>
    <n v="0"/>
    <n v="2"/>
    <e v="#VALUE!"/>
    <n v="2"/>
    <n v="0"/>
    <n v="73"/>
    <m/>
    <s v="Y"/>
    <m/>
    <s v="0-10 DAYS"/>
    <n v="1"/>
    <x v="0"/>
  </r>
  <r>
    <n v="695"/>
    <s v="N"/>
    <s v="N"/>
    <n v="1029771"/>
    <n v="5"/>
    <d v="2012-01-28T00:00:00"/>
    <d v="2012-06-07T00:00:00"/>
    <n v="1029771"/>
    <d v="2012-01-28T00:00:00"/>
    <d v="2012-02-18T00:00:00"/>
    <n v="15000"/>
    <x v="0"/>
    <d v="2012-02-18T00:00:00"/>
    <s v="Y"/>
    <s v="SURETY"/>
    <s v="GUILTY PLEA - NO JURY"/>
    <n v="22"/>
    <n v="132"/>
    <n v="3"/>
    <n v="2"/>
    <n v="1"/>
    <n v="1"/>
    <m/>
    <m/>
    <m/>
    <m/>
    <m/>
    <m/>
    <m/>
    <d v="1966-01-28T00:00:00"/>
    <s v="M"/>
    <s v="B"/>
    <s v="BLACK"/>
    <s v="NON-HISPANIC"/>
    <s v="174"/>
    <s v="CONVICTED"/>
    <n v="8"/>
    <s v="STJ"/>
    <m/>
    <n v="9"/>
    <m/>
    <s v="POSS CS PG 1 &lt;1G"/>
    <m/>
    <s v="FS"/>
    <s v="POSS DRUG"/>
    <m/>
    <m/>
    <m/>
    <m/>
    <m/>
    <m/>
    <m/>
    <m/>
    <m/>
    <s v="Hired Attorney"/>
    <m/>
    <m/>
    <n v="22"/>
    <n v="132"/>
    <n v="132"/>
    <n v="45.904371584699454"/>
    <n v="0"/>
    <n v="-110"/>
    <s v="CONVICTION"/>
    <x v="1"/>
    <s v="Y"/>
    <m/>
    <s v="CONVICTION"/>
    <s v="Y"/>
    <x v="1"/>
    <x v="0"/>
    <s v="Y"/>
    <n v="0.16666666666666666"/>
    <n v="0.16666666666666666"/>
    <n v="0"/>
    <n v="0"/>
    <n v="-22"/>
    <n v="0"/>
    <n v="22"/>
    <e v="#VALUE!"/>
    <n v="22"/>
    <n v="0"/>
    <n v="110"/>
    <m/>
    <s v="Y"/>
    <m/>
    <s v="11-30 DAYS"/>
    <n v="2"/>
    <x v="0"/>
  </r>
  <r>
    <n v="3174"/>
    <s v="N"/>
    <s v="N"/>
    <n v="1030231"/>
    <n v="4"/>
    <d v="2012-04-26T00:00:00"/>
    <d v="2012-04-30T00:00:00"/>
    <n v="1030231"/>
    <d v="2012-04-27T00:00:00"/>
    <d v="2012-04-30T00:00:00"/>
    <n v="15000"/>
    <x v="0"/>
    <m/>
    <s v="N"/>
    <s v="NONE"/>
    <s v="GUILTY PLEA - NO JURY"/>
    <n v="4"/>
    <n v="5"/>
    <n v="5"/>
    <n v="1"/>
    <m/>
    <n v="2"/>
    <m/>
    <m/>
    <m/>
    <m/>
    <m/>
    <m/>
    <m/>
    <d v="1954-06-29T00:00:00"/>
    <s v="M"/>
    <s v="B"/>
    <s v="BLACK"/>
    <s v="NULL"/>
    <s v="208"/>
    <s v="CONVICTED"/>
    <n v="1"/>
    <s v="HCJ"/>
    <m/>
    <m/>
    <n v="90"/>
    <s v="THEFT UNDER $1500 - 3RD OFF."/>
    <m/>
    <s v="FS"/>
    <s v="THEFT"/>
    <m/>
    <m/>
    <m/>
    <m/>
    <m/>
    <m/>
    <m/>
    <m/>
    <m/>
    <s v="Appointed Attorney"/>
    <m/>
    <m/>
    <n v="4"/>
    <n v="4"/>
    <n v="5"/>
    <n v="57.707650273224047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1474"/>
    <s v="N"/>
    <s v="N"/>
    <n v="1033903"/>
    <n v="1"/>
    <d v="2012-02-23T00:00:00"/>
    <d v="2012-07-24T00:00:00"/>
    <n v="1033903"/>
    <d v="2012-02-24T00:00:00"/>
    <d v="2012-02-26T00:00:00"/>
    <n v="30000"/>
    <x v="2"/>
    <d v="2012-02-26T00:00:00"/>
    <s v="Y"/>
    <s v="SURETY"/>
    <s v="DISMISSED"/>
    <n v="3"/>
    <n v="153"/>
    <n v="1"/>
    <n v="4"/>
    <m/>
    <n v="1"/>
    <m/>
    <m/>
    <m/>
    <m/>
    <m/>
    <m/>
    <m/>
    <d v="1968-03-02T00:00:00"/>
    <s v="M"/>
    <s v="B"/>
    <s v="BLACK"/>
    <s v="NON-HISPANIC"/>
    <s v="176"/>
    <s v="DISMISSED"/>
    <n v="6"/>
    <s v="DISMISSED"/>
    <m/>
    <m/>
    <m/>
    <s v="AGG ASSAULT W/DEADLY WEAPON"/>
    <m/>
    <s v="F2"/>
    <s v="ASLT-MURDR"/>
    <m/>
    <m/>
    <m/>
    <m/>
    <m/>
    <m/>
    <m/>
    <m/>
    <m/>
    <s v="Appointed Attorney"/>
    <m/>
    <m/>
    <n v="3"/>
    <n v="152"/>
    <n v="153"/>
    <n v="43.887978142076506"/>
    <n v="0"/>
    <n v="-149"/>
    <s v="NO CONVICTION"/>
    <x v="1"/>
    <s v="Y"/>
    <m/>
    <s v="NO CONVICTION"/>
    <s v="Y"/>
    <x v="1"/>
    <x v="0"/>
    <s v="Y"/>
    <n v="1.9607843137254902E-2"/>
    <n v="1.9736842105263157E-2"/>
    <n v="1.2899896800825511E-4"/>
    <n v="0"/>
    <n v="-3"/>
    <n v="0"/>
    <n v="3"/>
    <e v="#VALUE!"/>
    <n v="3"/>
    <n v="0"/>
    <n v="149"/>
    <m/>
    <s v="Y"/>
    <m/>
    <s v="0-10 DAYS"/>
    <n v="1"/>
    <x v="0"/>
  </r>
  <r>
    <n v="2873"/>
    <s v="N"/>
    <s v="N"/>
    <n v="1036022"/>
    <n v="5"/>
    <d v="2012-04-16T00:00:00"/>
    <d v="2012-04-18T00:00:00"/>
    <n v="1036022"/>
    <d v="2012-04-16T00:00:00"/>
    <d v="2012-04-18T00:00:00"/>
    <n v="15000"/>
    <x v="0"/>
    <m/>
    <s v="N"/>
    <s v="NONE"/>
    <s v="GUILTY PLEA - NO JURY"/>
    <n v="3"/>
    <n v="3"/>
    <n v="1"/>
    <n v="4"/>
    <m/>
    <m/>
    <m/>
    <m/>
    <m/>
    <m/>
    <m/>
    <m/>
    <m/>
    <d v="1966-11-16T00:00:00"/>
    <s v="M"/>
    <s v="B"/>
    <s v="BLACK"/>
    <s v="NON-HISPANIC"/>
    <s v="185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3"/>
    <n v="3"/>
    <n v="3"/>
    <n v="45.322404371584696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095"/>
    <s v="N"/>
    <s v="N"/>
    <n v="1036059"/>
    <n v="6"/>
    <d v="2012-02-09T00:00:00"/>
    <d v="2012-06-22T00:00:00"/>
    <n v="1036059"/>
    <d v="2012-02-10T00:00:00"/>
    <d v="2012-02-15T00:00:00"/>
    <n v="30000"/>
    <x v="2"/>
    <d v="2012-02-15T00:00:00"/>
    <s v="Y"/>
    <s v="SURETY"/>
    <s v="GUILTY PLEA - NO JURY"/>
    <n v="6"/>
    <n v="135"/>
    <n v="4"/>
    <n v="13"/>
    <n v="4"/>
    <m/>
    <m/>
    <m/>
    <m/>
    <m/>
    <m/>
    <m/>
    <m/>
    <d v="1972-03-22T00:00:00"/>
    <s v="M"/>
    <s v="B"/>
    <s v="BLACK"/>
    <s v="NON-HISPANIC"/>
    <s v="179"/>
    <s v="CONVICTED"/>
    <n v="7"/>
    <s v="TDC"/>
    <n v="5"/>
    <m/>
    <m/>
    <s v="POSS CS PG 1 4G - 200G"/>
    <m/>
    <s v="F2"/>
    <s v="POSS DRUG"/>
    <s v="misd conv 6/27/12 same week as fel sent"/>
    <m/>
    <m/>
    <m/>
    <m/>
    <m/>
    <m/>
    <m/>
    <m/>
    <s v="Hired Attorney"/>
    <m/>
    <m/>
    <n v="6"/>
    <n v="134"/>
    <n v="135"/>
    <n v="39.803278688524593"/>
    <n v="0"/>
    <n v="-128"/>
    <s v="CONVICTION"/>
    <x v="1"/>
    <s v="Y"/>
    <m/>
    <s v="CONVICTION"/>
    <s v="Y"/>
    <x v="1"/>
    <x v="0"/>
    <s v="Y"/>
    <n v="4.4444444444444446E-2"/>
    <n v="4.4776119402985072E-2"/>
    <n v="3.316749585406259E-4"/>
    <n v="0"/>
    <n v="-6"/>
    <n v="0"/>
    <n v="6"/>
    <e v="#VALUE!"/>
    <n v="6"/>
    <n v="0"/>
    <n v="128"/>
    <m/>
    <s v="Y"/>
    <m/>
    <s v="0-10 DAYS"/>
    <n v="1"/>
    <x v="0"/>
  </r>
  <r>
    <n v="820"/>
    <s v="N"/>
    <s v="N"/>
    <n v="1036824"/>
    <n v="6"/>
    <d v="2012-02-01T00:00:00"/>
    <d v="2012-05-11T00:00:00"/>
    <n v="1036824"/>
    <d v="2012-02-02T00:00:00"/>
    <d v="2012-05-11T00:00:00"/>
    <n v="60000"/>
    <x v="2"/>
    <m/>
    <s v="N"/>
    <s v="NONE"/>
    <s v="GUILTY PLEA - NO JURY"/>
    <n v="100"/>
    <n v="101"/>
    <n v="5"/>
    <n v="0"/>
    <n v="5"/>
    <m/>
    <m/>
    <m/>
    <m/>
    <m/>
    <m/>
    <m/>
    <m/>
    <d v="1968-12-19T00:00:00"/>
    <s v="M"/>
    <s v="B"/>
    <s v="BLACK"/>
    <s v="NON-HISPANIC"/>
    <s v="338"/>
    <s v="CONVICTED"/>
    <n v="6"/>
    <s v="TDC"/>
    <n v="12"/>
    <m/>
    <m/>
    <s v="SEX ASSLT CHILD 14-17"/>
    <m/>
    <s v="F2"/>
    <s v="SEX ABUSE"/>
    <m/>
    <m/>
    <m/>
    <m/>
    <m/>
    <m/>
    <m/>
    <m/>
    <m/>
    <s v="Appointed Attorney"/>
    <m/>
    <m/>
    <n v="100"/>
    <n v="100"/>
    <n v="101"/>
    <n v="43.030054644808743"/>
    <n v="0"/>
    <n v="0"/>
    <s v="CONVICTION"/>
    <x v="0"/>
    <s v="N"/>
    <m/>
    <s v="CONVICTION"/>
    <s v="Y"/>
    <x v="0"/>
    <x v="0"/>
    <s v="Y"/>
    <n v="0.99009900990099009"/>
    <n v="1"/>
    <n v="9.9009900990099098E-3"/>
    <n v="0"/>
    <n v="-100"/>
    <n v="0"/>
    <n v="100"/>
    <e v="#VALUE!"/>
    <n v="100"/>
    <n v="0"/>
    <n v="0"/>
    <m/>
    <s v="Y"/>
    <m/>
    <s v="91-120 DAYS"/>
    <n v="0"/>
    <x v="0"/>
  </r>
  <r>
    <n v="1192"/>
    <s v="N"/>
    <s v="N"/>
    <n v="1038161"/>
    <n v="1"/>
    <d v="2012-02-13T00:00:00"/>
    <d v="2013-04-04T00:00:00"/>
    <n v="1038161"/>
    <d v="2012-02-14T00:00:00"/>
    <d v="2012-02-16T00:00:00"/>
    <n v="10000"/>
    <x v="3"/>
    <d v="2012-02-16T00:00:00"/>
    <s v="Y"/>
    <s v="SURETY"/>
    <s v="DISMISSED"/>
    <n v="3"/>
    <n v="417"/>
    <n v="0"/>
    <n v="0"/>
    <m/>
    <m/>
    <m/>
    <m/>
    <m/>
    <m/>
    <m/>
    <m/>
    <m/>
    <d v="1971-03-28T00:00:00"/>
    <s v="M"/>
    <s v="B"/>
    <s v="BLACK"/>
    <s v="NULL"/>
    <s v="178"/>
    <s v="DISMISSED"/>
    <n v="14"/>
    <s v="DISMISSED"/>
    <m/>
    <m/>
    <m/>
    <s v="AGG ASSAULT-FAMILY MEMBER"/>
    <m/>
    <s v="F2"/>
    <s v="ASLT-MURDR"/>
    <m/>
    <m/>
    <m/>
    <m/>
    <m/>
    <m/>
    <m/>
    <m/>
    <m/>
    <s v="Hired Attorney"/>
    <m/>
    <m/>
    <n v="3"/>
    <n v="416"/>
    <n v="417"/>
    <n v="40.797814207650276"/>
    <n v="0"/>
    <n v="-413"/>
    <s v="NO CONVICTION"/>
    <x v="1"/>
    <s v="Y"/>
    <m/>
    <s v="NO CONVICTION"/>
    <s v="Y"/>
    <x v="1"/>
    <x v="0"/>
    <s v="N"/>
    <n v="7.1942446043165471E-3"/>
    <n v="7.2115384615384619E-3"/>
    <n v="1.7293857221914802E-5"/>
    <n v="0"/>
    <n v="-3"/>
    <n v="0"/>
    <n v="3"/>
    <e v="#VALUE!"/>
    <n v="3"/>
    <n v="0"/>
    <n v="413"/>
    <m/>
    <s v="N"/>
    <m/>
    <s v="0-10 DAYS"/>
    <n v="1"/>
    <x v="0"/>
  </r>
  <r>
    <n v="1546"/>
    <s v="N"/>
    <s v="Y"/>
    <n v="1040747"/>
    <n v="5"/>
    <d v="2012-02-27T00:00:00"/>
    <d v="2012-06-19T00:00:00"/>
    <n v="1040747"/>
    <d v="2012-02-27T00:00:00"/>
    <d v="2012-03-14T00:00:00"/>
    <n v="15000"/>
    <x v="0"/>
    <d v="2012-03-14T00:00:00"/>
    <s v="Y"/>
    <s v="SURETY"/>
    <s v="GUILTY PLEA - NO JURY"/>
    <n v="39"/>
    <n v="114"/>
    <n v="8"/>
    <n v="5"/>
    <m/>
    <m/>
    <m/>
    <m/>
    <m/>
    <m/>
    <m/>
    <m/>
    <m/>
    <d v="1969-09-12T00:00:00"/>
    <s v="M"/>
    <s v="W"/>
    <s v="WHITE"/>
    <s v="NON-HISPANIC"/>
    <s v="185"/>
    <s v="CONVICTED"/>
    <n v="8"/>
    <s v="STJ"/>
    <m/>
    <n v="6"/>
    <m/>
    <s v="POSS CS PG 1 &lt;1G"/>
    <m/>
    <s v="FS"/>
    <s v="POSS DRUG"/>
    <m/>
    <s v="rev 5/25/12"/>
    <m/>
    <m/>
    <s v="Y"/>
    <m/>
    <m/>
    <m/>
    <m/>
    <s v="Public Defender"/>
    <m/>
    <m/>
    <n v="39"/>
    <n v="114"/>
    <n v="114"/>
    <n v="42.37158469945355"/>
    <n v="0"/>
    <n v="-97"/>
    <s v="CONVICTION"/>
    <x v="1"/>
    <s v="Y"/>
    <m/>
    <s v="CONVICTION"/>
    <s v="Y"/>
    <x v="0"/>
    <x v="0"/>
    <s v="Y"/>
    <n v="0.34210526315789475"/>
    <n v="0.14912280701754385"/>
    <n v="-0.19298245614035089"/>
    <n v="0"/>
    <n v="-17"/>
    <n v="22"/>
    <n v="114"/>
    <n v="39"/>
    <n v="114"/>
    <n v="97"/>
    <n v="97"/>
    <m/>
    <s v="Y"/>
    <m/>
    <s v="31-60 DAYS"/>
    <n v="3"/>
    <x v="0"/>
  </r>
  <r>
    <n v="1775"/>
    <s v="N"/>
    <s v="N"/>
    <n v="1040883"/>
    <n v="6"/>
    <d v="2012-03-07T00:00:00"/>
    <d v="2012-06-25T00:00:00"/>
    <n v="1040883"/>
    <d v="2012-03-07T00:00:00"/>
    <d v="2012-03-08T00:00:00"/>
    <n v="20000"/>
    <x v="0"/>
    <d v="2012-03-08T00:00:00"/>
    <s v="Y"/>
    <s v="SURETYPTRc"/>
    <s v="GUILTY PLEA - NO JURY"/>
    <n v="2"/>
    <n v="111"/>
    <n v="2"/>
    <n v="3"/>
    <n v="1"/>
    <m/>
    <m/>
    <m/>
    <m/>
    <m/>
    <m/>
    <m/>
    <m/>
    <d v="1966-08-06T00:00:00"/>
    <s v="M"/>
    <s v="B"/>
    <s v="BLACK"/>
    <s v="NULL"/>
    <s v="351"/>
    <s v="CONVICTED"/>
    <n v="5"/>
    <s v="TDC"/>
    <n v="2"/>
    <m/>
    <m/>
    <s v="DWI 3RD OFFENDER BAC .08"/>
    <m/>
    <s v="F3"/>
    <s v="FEL DWI"/>
    <m/>
    <m/>
    <m/>
    <m/>
    <m/>
    <m/>
    <m/>
    <m/>
    <m/>
    <s v="Hired Attorney"/>
    <m/>
    <m/>
    <n v="2"/>
    <n v="111"/>
    <n v="111"/>
    <n v="45.491803278688522"/>
    <n v="0"/>
    <n v="-109"/>
    <s v="CONVICTION"/>
    <x v="1"/>
    <s v="Y"/>
    <m/>
    <s v="CONVICTION"/>
    <s v="Y"/>
    <x v="1"/>
    <x v="0"/>
    <s v="Y"/>
    <n v="1.8018018018018018E-2"/>
    <n v="1.8018018018018018E-2"/>
    <n v="0"/>
    <n v="0"/>
    <n v="-2"/>
    <n v="0"/>
    <n v="2"/>
    <e v="#VALUE!"/>
    <n v="2"/>
    <n v="0"/>
    <n v="109"/>
    <m/>
    <s v="Y"/>
    <m/>
    <s v="0-10 DAYS"/>
    <n v="1"/>
    <x v="0"/>
  </r>
  <r>
    <n v="104"/>
    <s v="N"/>
    <s v="N"/>
    <n v="1041292"/>
    <n v="6"/>
    <d v="2012-01-05T00:00:00"/>
    <d v="2012-10-03T00:00:00"/>
    <n v="1041292"/>
    <d v="2012-01-05T00:00:00"/>
    <d v="2012-10-03T00:00:00"/>
    <s v="NO BOND"/>
    <x v="1"/>
    <m/>
    <s v="N"/>
    <s v="NONE"/>
    <s v="GUILTY PLEA - NO JURY"/>
    <n v="273"/>
    <n v="273"/>
    <n v="3"/>
    <n v="1"/>
    <m/>
    <m/>
    <m/>
    <m/>
    <m/>
    <m/>
    <m/>
    <m/>
    <m/>
    <d v="1972-05-20T00:00:00"/>
    <s v="M"/>
    <s v="B"/>
    <s v="BLACK"/>
    <s v="NULL"/>
    <s v="185"/>
    <s v="CONVICTED"/>
    <n v="13"/>
    <s v="TDC"/>
    <n v="13"/>
    <m/>
    <m/>
    <s v="INJURY TO ELDERLY"/>
    <m/>
    <s v="F3"/>
    <s v="ASLT-MURDR"/>
    <m/>
    <m/>
    <m/>
    <m/>
    <m/>
    <m/>
    <m/>
    <m/>
    <m/>
    <s v="Appointed Attorney"/>
    <m/>
    <m/>
    <n v="273"/>
    <n v="273"/>
    <n v="273"/>
    <n v="39.546448087431692"/>
    <n v="0"/>
    <n v="0"/>
    <s v="CONVICTION"/>
    <x v="0"/>
    <s v="N"/>
    <m/>
    <s v="CONVICTION"/>
    <s v="Y"/>
    <x v="0"/>
    <x v="0"/>
    <s v="Y"/>
    <n v="1"/>
    <n v="1"/>
    <n v="0"/>
    <n v="0"/>
    <n v="-273"/>
    <n v="0"/>
    <n v="273"/>
    <e v="#VALUE!"/>
    <n v="273"/>
    <n v="0"/>
    <n v="0"/>
    <m/>
    <s v="Y"/>
    <m/>
    <s v="121-365 DAYS"/>
    <n v="6"/>
    <x v="0"/>
  </r>
  <r>
    <n v="2468"/>
    <s v="N"/>
    <s v="N"/>
    <n v="1041654"/>
    <n v="4"/>
    <d v="2012-04-03T00:00:00"/>
    <d v="2012-04-04T00:00:00"/>
    <n v="1041654"/>
    <d v="2012-04-03T00:00:00"/>
    <d v="2012-04-04T00:00:00"/>
    <n v="15000"/>
    <x v="0"/>
    <m/>
    <s v="N"/>
    <s v="NONE"/>
    <s v="GUILTY PLEA - NO JURY"/>
    <n v="2"/>
    <n v="2"/>
    <n v="3"/>
    <n v="4"/>
    <n v="2"/>
    <m/>
    <m/>
    <m/>
    <m/>
    <m/>
    <m/>
    <m/>
    <m/>
    <d v="1956-11-19T00:00:00"/>
    <s v="F"/>
    <s v="B"/>
    <s v="BLACK"/>
    <s v="NULL"/>
    <s v="183"/>
    <s v="CONVICTED"/>
    <n v="1"/>
    <s v="HCJ"/>
    <m/>
    <m/>
    <n v="120"/>
    <s v="POSS CS PG 1 &lt;1G"/>
    <m/>
    <s v="FS"/>
    <s v="POSS DRUG"/>
    <m/>
    <m/>
    <m/>
    <m/>
    <m/>
    <m/>
    <m/>
    <m/>
    <m/>
    <s v="Appointed Attorney"/>
    <m/>
    <m/>
    <n v="2"/>
    <n v="2"/>
    <n v="2"/>
    <n v="55.256830601092894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1516"/>
    <s v="N"/>
    <s v="N"/>
    <n v="1042344"/>
    <n v="5"/>
    <d v="2012-02-25T00:00:00"/>
    <d v="2012-02-27T00:00:00"/>
    <n v="1042344"/>
    <d v="2012-02-26T00:00:00"/>
    <d v="2012-02-27T00:00:00"/>
    <n v="30000"/>
    <x v="2"/>
    <m/>
    <s v="N"/>
    <s v="NONE"/>
    <s v="GUILTY PLEA - NO JURY"/>
    <n v="2"/>
    <n v="3"/>
    <n v="3"/>
    <n v="4"/>
    <n v="2"/>
    <m/>
    <m/>
    <m/>
    <m/>
    <m/>
    <m/>
    <m/>
    <m/>
    <d v="1971-03-12T00:00:00"/>
    <s v="M"/>
    <s v="A"/>
    <s v="OTHER"/>
    <s v="NON-HISPANIC"/>
    <s v="248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2"/>
    <n v="2"/>
    <n v="3"/>
    <n v="40.874316939890711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1593"/>
    <s v="N"/>
    <s v="N"/>
    <n v="1042468"/>
    <n v="5"/>
    <d v="2012-02-29T00:00:00"/>
    <d v="2012-08-20T00:00:00"/>
    <n v="1042468"/>
    <d v="2012-02-29T00:00:00"/>
    <d v="2012-03-02T00:00:00"/>
    <n v="15000"/>
    <x v="0"/>
    <d v="2012-03-02T00:00:00"/>
    <s v="Y"/>
    <s v="SURETY"/>
    <s v="GUILTY PLEA - NO JURY"/>
    <n v="3"/>
    <n v="174"/>
    <n v="6"/>
    <n v="5"/>
    <n v="5"/>
    <m/>
    <m/>
    <m/>
    <m/>
    <m/>
    <m/>
    <m/>
    <m/>
    <d v="1970-03-15T00:00:00"/>
    <s v="M"/>
    <s v="H"/>
    <s v="HISPANIC"/>
    <s v="HISPANIC"/>
    <s v="338"/>
    <s v="CONVICTED"/>
    <n v="8"/>
    <s v="STJ"/>
    <m/>
    <n v="6"/>
    <m/>
    <s v="POSS CS PG 1 &lt;1G"/>
    <m/>
    <s v="FS"/>
    <s v="POSS DRUG"/>
    <m/>
    <m/>
    <m/>
    <m/>
    <m/>
    <m/>
    <m/>
    <m/>
    <m/>
    <s v="Hired Attorney"/>
    <m/>
    <m/>
    <n v="3"/>
    <n v="174"/>
    <n v="174"/>
    <n v="41.874316939890711"/>
    <n v="0"/>
    <n v="-171"/>
    <s v="CONVICTION"/>
    <x v="1"/>
    <s v="Y"/>
    <m/>
    <s v="CONVICTION"/>
    <s v="Y"/>
    <x v="1"/>
    <x v="0"/>
    <s v="Y"/>
    <n v="1.7241379310344827E-2"/>
    <n v="1.7241379310344827E-2"/>
    <n v="0"/>
    <n v="0"/>
    <n v="-3"/>
    <n v="0"/>
    <n v="3"/>
    <e v="#VALUE!"/>
    <n v="3"/>
    <n v="0"/>
    <n v="171"/>
    <m/>
    <s v="Y"/>
    <m/>
    <s v="0-10 DAYS"/>
    <n v="1"/>
    <x v="0"/>
  </r>
  <r>
    <n v="1810"/>
    <s v="Y"/>
    <s v="Y"/>
    <n v="1042556"/>
    <n v="2"/>
    <d v="2012-03-08T00:00:00"/>
    <d v="2012-09-05T00:00:00"/>
    <n v="1042556"/>
    <d v="2012-03-08T00:00:00"/>
    <d v="2012-08-19T00:00:00"/>
    <n v="2000"/>
    <x v="5"/>
    <d v="2012-08-19T00:00:00"/>
    <s v="Y"/>
    <s v="SURETYPTRc"/>
    <s v="DEFERRED ADJUDICATION "/>
    <n v="165"/>
    <n v="182"/>
    <n v="0"/>
    <n v="8"/>
    <m/>
    <m/>
    <m/>
    <m/>
    <m/>
    <m/>
    <m/>
    <m/>
    <m/>
    <d v="1967-02-26T00:00:00"/>
    <s v="M"/>
    <s v="W"/>
    <s v="WHITE"/>
    <s v="NON-HISPANIC"/>
    <s v="185"/>
    <s v="DEFERRED"/>
    <n v="6"/>
    <s v="DEFERRED"/>
    <m/>
    <m/>
    <m/>
    <s v="POSS CS PG 1 &lt;1G"/>
    <m/>
    <s v="FS"/>
    <s v="POSS DRUG"/>
    <m/>
    <s v="rev8/30/12"/>
    <m/>
    <m/>
    <s v="Y"/>
    <m/>
    <m/>
    <m/>
    <m/>
    <s v="Appointed Attorney"/>
    <s v="F PCS  9/5/13 STJ 6MOS"/>
    <m/>
    <n v="165"/>
    <n v="182"/>
    <n v="182"/>
    <n v="44.937158469945352"/>
    <n v="0"/>
    <n v="-17"/>
    <s v="DEFERRED"/>
    <x v="1"/>
    <s v="Y"/>
    <m/>
    <s v="DEFERRED"/>
    <s v="Y"/>
    <x v="1"/>
    <x v="0"/>
    <s v="N"/>
    <n v="0.90659340659340659"/>
    <n v="0.90659340659340659"/>
    <n v="0"/>
    <n v="0"/>
    <n v="-165"/>
    <n v="0"/>
    <n v="165"/>
    <e v="#VALUE!"/>
    <m/>
    <n v="17"/>
    <n v="17"/>
    <m/>
    <s v="Y"/>
    <m/>
    <s v="121-365 DAYS"/>
    <n v="6"/>
    <x v="0"/>
  </r>
  <r>
    <n v="153"/>
    <s v="N"/>
    <s v="N"/>
    <n v="1043185"/>
    <n v="3"/>
    <d v="2012-01-07T00:00:00"/>
    <d v="2012-09-11T00:00:00"/>
    <n v="1043185"/>
    <d v="2012-09-06T00:00:00"/>
    <d v="2012-09-11T00:00:00"/>
    <n v="10000"/>
    <x v="3"/>
    <d v="2012-02-01T00:00:00"/>
    <s v="Y"/>
    <s v="SURETYPTRc"/>
    <s v="GUILTY PLEA - NO JURY"/>
    <n v="6"/>
    <n v="249"/>
    <n v="0"/>
    <n v="5"/>
    <m/>
    <m/>
    <m/>
    <m/>
    <m/>
    <m/>
    <m/>
    <m/>
    <m/>
    <d v="1971-12-20T00:00:00"/>
    <s v="M"/>
    <s v="W"/>
    <s v="WHITE"/>
    <s v="NON-HISPANIC"/>
    <s v="351"/>
    <s v="CONVICTED"/>
    <n v="11"/>
    <s v="PROBATION"/>
    <m/>
    <m/>
    <m/>
    <s v="DWI 3RD OFFENDER BAC .08"/>
    <m/>
    <s v="F3"/>
    <s v="FEL DWI"/>
    <m/>
    <m/>
    <m/>
    <m/>
    <m/>
    <m/>
    <m/>
    <m/>
    <m/>
    <s v="Hired Attorney"/>
    <m/>
    <m/>
    <n v="6"/>
    <n v="6"/>
    <n v="249"/>
    <n v="39.967213114754095"/>
    <n v="0"/>
    <n v="0"/>
    <s v="CONVICTION"/>
    <x v="1"/>
    <s v="Y"/>
    <m/>
    <s v="CONVICTION"/>
    <s v="Y"/>
    <x v="1"/>
    <x v="0"/>
    <s v="N"/>
    <n v="2.4096385542168676E-2"/>
    <n v="1"/>
    <n v="0.97590361445783136"/>
    <n v="0"/>
    <n v="-6"/>
    <n v="0"/>
    <n v="-217"/>
    <e v="#VALUE!"/>
    <n v="-217"/>
    <n v="-223"/>
    <n v="0"/>
    <m/>
    <s v="Y"/>
    <m/>
    <s v="0-10 DAYS"/>
    <n v="1"/>
    <x v="0"/>
  </r>
  <r>
    <n v="2586"/>
    <s v="N"/>
    <s v="N"/>
    <n v="1045403"/>
    <n v="5"/>
    <d v="2012-04-06T00:00:00"/>
    <d v="2012-04-30T00:00:00"/>
    <n v="1045403"/>
    <d v="2012-04-06T00:00:00"/>
    <d v="2012-04-30T00:00:00"/>
    <n v="15000"/>
    <x v="0"/>
    <m/>
    <s v="N"/>
    <s v="NONE"/>
    <s v="GUILTY PLEA - NO JURY"/>
    <n v="25"/>
    <n v="25"/>
    <n v="9"/>
    <n v="5"/>
    <n v="8"/>
    <m/>
    <m/>
    <m/>
    <m/>
    <m/>
    <m/>
    <m/>
    <m/>
    <d v="1971-04-25T00:00:00"/>
    <s v="M"/>
    <s v="B"/>
    <s v="BLACK"/>
    <s v="NON-HISPANIC"/>
    <s v="248"/>
    <s v="CONVICTED"/>
    <n v="3"/>
    <s v="STJ"/>
    <m/>
    <n v="7"/>
    <m/>
    <s v="POSS CS PG 1 &lt;1G"/>
    <m/>
    <s v="FS"/>
    <s v="POSS DRUG"/>
    <m/>
    <m/>
    <m/>
    <m/>
    <m/>
    <m/>
    <m/>
    <m/>
    <m/>
    <s v="Appointed Attorney"/>
    <m/>
    <m/>
    <n v="25"/>
    <n v="25"/>
    <n v="25"/>
    <n v="40.866120218579233"/>
    <n v="0"/>
    <n v="0"/>
    <s v="CONVICTION"/>
    <x v="0"/>
    <s v="N"/>
    <m/>
    <s v="CONVICTION"/>
    <s v="Y"/>
    <x v="0"/>
    <x v="0"/>
    <s v="Y"/>
    <n v="1"/>
    <n v="1"/>
    <n v="0"/>
    <n v="0"/>
    <n v="-25"/>
    <n v="0"/>
    <n v="25"/>
    <e v="#VALUE!"/>
    <n v="25"/>
    <n v="0"/>
    <n v="0"/>
    <m/>
    <s v="Y"/>
    <m/>
    <s v="11-30 DAYS"/>
    <n v="2"/>
    <x v="0"/>
  </r>
  <r>
    <n v="2539"/>
    <s v="N"/>
    <s v="N"/>
    <n v="1046234"/>
    <n v="4"/>
    <d v="2012-04-04T00:00:00"/>
    <d v="2012-07-02T00:00:00"/>
    <n v="1046234"/>
    <d v="2012-04-05T00:00:00"/>
    <d v="2012-07-02T00:00:00"/>
    <n v="15000"/>
    <x v="0"/>
    <m/>
    <s v="N"/>
    <s v="NONE"/>
    <s v="GUILTY PLEA - NO JURY"/>
    <n v="89"/>
    <n v="90"/>
    <n v="14"/>
    <n v="6"/>
    <n v="10"/>
    <n v="1"/>
    <m/>
    <m/>
    <m/>
    <m/>
    <m/>
    <m/>
    <m/>
    <d v="1953-11-24T00:00:00"/>
    <s v="M"/>
    <s v="B"/>
    <s v="BLACK"/>
    <s v="NON-HISPANIC"/>
    <s v="185"/>
    <s v="CONVICTED"/>
    <n v="4"/>
    <s v="HCJ"/>
    <m/>
    <m/>
    <n v="180"/>
    <s v="THEFT UNDER $1500 - 3RD OFF."/>
    <m/>
    <s v="FS"/>
    <s v="THEFT"/>
    <s v=" detainded auto theft filed 8/27/12 pend"/>
    <m/>
    <m/>
    <m/>
    <m/>
    <m/>
    <m/>
    <m/>
    <m/>
    <s v="Appointed Attorney"/>
    <m/>
    <m/>
    <n v="89"/>
    <n v="89"/>
    <n v="90"/>
    <n v="58.240437158469945"/>
    <n v="0"/>
    <n v="0"/>
    <s v="CONVICTION"/>
    <x v="0"/>
    <s v="N"/>
    <m/>
    <s v="CONVICTION"/>
    <s v="Y"/>
    <x v="0"/>
    <x v="0"/>
    <s v="Y"/>
    <n v="0.98888888888888893"/>
    <n v="1"/>
    <n v="1.1111111111111072E-2"/>
    <n v="0"/>
    <n v="-89"/>
    <n v="0"/>
    <n v="89"/>
    <e v="#VALUE!"/>
    <n v="89"/>
    <n v="0"/>
    <n v="0"/>
    <m/>
    <s v="Y"/>
    <m/>
    <s v="61-90 DAYS"/>
    <n v="4"/>
    <x v="0"/>
  </r>
  <r>
    <n v="1275"/>
    <s v="N"/>
    <s v="N"/>
    <n v="1048991"/>
    <n v="2"/>
    <d v="2012-02-16T00:00:00"/>
    <d v="2012-05-02T00:00:00"/>
    <n v="1048991"/>
    <d v="2012-02-17T00:00:00"/>
    <d v="2012-02-18T00:00:00"/>
    <n v="15000"/>
    <x v="0"/>
    <d v="2012-02-18T00:00:00"/>
    <s v="Y"/>
    <s v="SURETY"/>
    <s v="DEFERRED ADJUDICATION "/>
    <n v="2"/>
    <n v="77"/>
    <n v="5"/>
    <n v="1"/>
    <n v="1"/>
    <m/>
    <m/>
    <m/>
    <m/>
    <m/>
    <m/>
    <m/>
    <m/>
    <d v="1959-08-06T00:00:00"/>
    <s v="F"/>
    <s v="H"/>
    <s v="HISPANIC"/>
    <s v="HISPANIC"/>
    <s v="263"/>
    <s v="DEFERRED"/>
    <n v="4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76"/>
    <n v="77"/>
    <n v="52.423497267759565"/>
    <n v="0"/>
    <n v="-74"/>
    <s v="DEFERRED"/>
    <x v="1"/>
    <s v="Y"/>
    <m/>
    <s v="DEFERRED"/>
    <s v="Y"/>
    <x v="1"/>
    <x v="0"/>
    <s v="Y"/>
    <n v="2.5974025974025976E-2"/>
    <n v="2.6315789473684209E-2"/>
    <n v="3.4176349965823333E-4"/>
    <n v="0"/>
    <n v="-2"/>
    <n v="0"/>
    <n v="2"/>
    <e v="#VALUE!"/>
    <n v="2"/>
    <n v="0"/>
    <n v="74"/>
    <m/>
    <s v="Y"/>
    <m/>
    <s v="0-10 DAYS"/>
    <n v="1"/>
    <x v="0"/>
  </r>
  <r>
    <n v="41"/>
    <s v="N"/>
    <s v="N"/>
    <n v="1049429"/>
    <n v="4"/>
    <d v="2012-01-03T00:00:00"/>
    <d v="2012-08-08T00:00:00"/>
    <n v="1049429"/>
    <d v="2012-07-16T00:00:00"/>
    <d v="2012-08-08T00:00:00"/>
    <n v="5000"/>
    <x v="4"/>
    <m/>
    <s v="N"/>
    <s v="NONE"/>
    <s v="GUILTY PLEA - NO JURY"/>
    <n v="24"/>
    <n v="219"/>
    <n v="2"/>
    <n v="5"/>
    <n v="2"/>
    <m/>
    <m/>
    <m/>
    <m/>
    <m/>
    <m/>
    <m/>
    <m/>
    <d v="1966-02-11T00:00:00"/>
    <s v="M"/>
    <s v="B"/>
    <s v="BLACK"/>
    <s v="NULL"/>
    <s v="338"/>
    <s v="CONVICTED"/>
    <n v="3"/>
    <s v="HCJ"/>
    <m/>
    <m/>
    <n v="40"/>
    <s v="THEFT $1500-20K"/>
    <m/>
    <s v="FS"/>
    <s v="THEFT"/>
    <m/>
    <m/>
    <m/>
    <m/>
    <m/>
    <m/>
    <m/>
    <m/>
    <m/>
    <s v="Appointed Attorney"/>
    <m/>
    <m/>
    <n v="24"/>
    <n v="24"/>
    <n v="219"/>
    <n v="45.797814207650276"/>
    <n v="0"/>
    <n v="0"/>
    <s v="CONVICTION"/>
    <x v="0"/>
    <s v="N"/>
    <m/>
    <s v="CONVICTION"/>
    <s v="Y"/>
    <x v="0"/>
    <x v="0"/>
    <s v="Y"/>
    <n v="0.1095890410958904"/>
    <n v="1"/>
    <n v="0.8904109589041096"/>
    <n v="0"/>
    <n v="-24"/>
    <n v="0"/>
    <n v="24"/>
    <e v="#VALUE!"/>
    <n v="24"/>
    <n v="0"/>
    <n v="0"/>
    <m/>
    <s v="Y"/>
    <m/>
    <s v="11-30 DAYS"/>
    <n v="2"/>
    <x v="0"/>
  </r>
  <r>
    <n v="509"/>
    <s v="N"/>
    <s v="N"/>
    <n v="1053364"/>
    <n v="4"/>
    <d v="2012-01-21T00:00:00"/>
    <d v="2012-07-16T00:00:00"/>
    <n v="1053364"/>
    <d v="2012-06-19T00:00:00"/>
    <d v="2012-07-16T00:00:00"/>
    <n v="5000"/>
    <x v="4"/>
    <d v="2012-01-22T00:00:00"/>
    <s v="Y"/>
    <s v="SURETY"/>
    <s v="GUILTY PLEA - NO JURY"/>
    <n v="28"/>
    <n v="178"/>
    <n v="1"/>
    <n v="1"/>
    <m/>
    <m/>
    <m/>
    <m/>
    <m/>
    <m/>
    <m/>
    <m/>
    <m/>
    <d v="1972-05-23T00:00:00"/>
    <s v="M"/>
    <s v="W"/>
    <s v="WHITE"/>
    <s v="NULL"/>
    <s v="182"/>
    <s v="CONVICTED"/>
    <n v="8"/>
    <s v="HCJ"/>
    <m/>
    <m/>
    <n v="180"/>
    <s v="POSS CS PG 1 &lt;1G"/>
    <m/>
    <s v="FS"/>
    <s v="POSS DRUG"/>
    <m/>
    <m/>
    <m/>
    <m/>
    <m/>
    <m/>
    <m/>
    <m/>
    <m/>
    <s v="Appointed Attorney"/>
    <m/>
    <m/>
    <n v="28"/>
    <n v="28"/>
    <n v="178"/>
    <n v="39.581967213114751"/>
    <n v="0"/>
    <n v="0"/>
    <s v="CONVICTION"/>
    <x v="1"/>
    <s v="Y"/>
    <m/>
    <s v="CONVICTION"/>
    <s v="Y"/>
    <x v="1"/>
    <x v="0"/>
    <s v="Y"/>
    <n v="0.15730337078651685"/>
    <n v="1"/>
    <n v="0.84269662921348321"/>
    <n v="0"/>
    <n v="-28"/>
    <n v="0"/>
    <n v="-148"/>
    <e v="#VALUE!"/>
    <n v="-148"/>
    <n v="-176"/>
    <n v="0"/>
    <m/>
    <s v="Y"/>
    <m/>
    <s v="11-30 DAYS"/>
    <n v="2"/>
    <x v="0"/>
  </r>
  <r>
    <n v="939"/>
    <s v="N"/>
    <s v="N"/>
    <n v="1057996"/>
    <n v="5"/>
    <d v="2012-02-04T00:00:00"/>
    <d v="2012-02-06T00:00:00"/>
    <n v="1057996"/>
    <d v="2012-02-04T00:00:00"/>
    <d v="2012-02-06T00:00:00"/>
    <n v="15000"/>
    <x v="0"/>
    <m/>
    <s v="N"/>
    <s v="NONE"/>
    <s v="GUILTY PLEA - NO JURY"/>
    <n v="3"/>
    <n v="3"/>
    <n v="9"/>
    <n v="4"/>
    <n v="4"/>
    <m/>
    <m/>
    <m/>
    <m/>
    <m/>
    <m/>
    <m/>
    <m/>
    <d v="1964-11-22T00:00:00"/>
    <s v="F"/>
    <s v="B"/>
    <s v="BLACK"/>
    <s v="NON-HISPANIC"/>
    <s v="228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47.103825136612024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263"/>
    <s v="N"/>
    <s v="N"/>
    <n v="1059071"/>
    <n v="4"/>
    <d v="2012-02-16T00:00:00"/>
    <d v="2012-04-25T00:00:00"/>
    <n v="1059071"/>
    <d v="2012-02-16T00:00:00"/>
    <d v="2012-04-25T00:00:00"/>
    <n v="20000"/>
    <x v="0"/>
    <m/>
    <s v="N"/>
    <s v="NONE"/>
    <s v="GUILTY PLEA - NO JURY"/>
    <n v="70"/>
    <n v="70"/>
    <n v="1"/>
    <n v="5"/>
    <n v="1"/>
    <m/>
    <m/>
    <m/>
    <m/>
    <m/>
    <m/>
    <m/>
    <m/>
    <d v="1968-02-09T00:00:00"/>
    <s v="M"/>
    <s v="W"/>
    <s v="WHITE"/>
    <s v="NON-HISPANIC"/>
    <s v="228"/>
    <s v="CONVICTED"/>
    <n v="4"/>
    <s v="HCJ"/>
    <m/>
    <m/>
    <n v="120"/>
    <s v="THEFT FROM PERSON"/>
    <m/>
    <s v="FS"/>
    <s v="THEFT"/>
    <m/>
    <m/>
    <m/>
    <m/>
    <m/>
    <m/>
    <m/>
    <m/>
    <m/>
    <s v="Hired Attorney"/>
    <m/>
    <m/>
    <n v="70"/>
    <n v="70"/>
    <n v="70"/>
    <n v="43.928961748633881"/>
    <n v="0"/>
    <n v="0"/>
    <s v="CONVICTION"/>
    <x v="0"/>
    <s v="N"/>
    <m/>
    <s v="CONVICTION"/>
    <s v="Y"/>
    <x v="0"/>
    <x v="0"/>
    <s v="Y"/>
    <n v="1"/>
    <n v="1"/>
    <n v="0"/>
    <n v="0"/>
    <n v="-70"/>
    <n v="0"/>
    <n v="70"/>
    <e v="#VALUE!"/>
    <n v="70"/>
    <n v="0"/>
    <n v="0"/>
    <m/>
    <s v="Y"/>
    <m/>
    <s v="61-90 DAYS"/>
    <n v="4"/>
    <x v="0"/>
  </r>
  <r>
    <n v="2900"/>
    <s v="N"/>
    <s v="N"/>
    <n v="1060030"/>
    <n v="5"/>
    <d v="2012-04-17T00:00:00"/>
    <d v="2012-07-18T00:00:00"/>
    <n v="1060030"/>
    <d v="2012-04-17T00:00:00"/>
    <d v="2012-07-18T00:00:00"/>
    <n v="15000"/>
    <x v="0"/>
    <m/>
    <s v="N"/>
    <s v="NONE"/>
    <s v="GUILTY PLEA - NO JURY"/>
    <n v="93"/>
    <n v="93"/>
    <n v="4"/>
    <n v="4"/>
    <n v="1"/>
    <n v="1"/>
    <m/>
    <m/>
    <m/>
    <m/>
    <m/>
    <m/>
    <m/>
    <d v="1956-05-13T00:00:00"/>
    <s v="M"/>
    <s v="W"/>
    <s v="WHITE"/>
    <s v="NULL"/>
    <s v="178"/>
    <s v="CONVICTED"/>
    <n v="4"/>
    <s v="STJ"/>
    <m/>
    <n v="6"/>
    <m/>
    <s v="POSS CS PG 1 &lt;1G"/>
    <m/>
    <s v="FS"/>
    <s v="POSS DRUG"/>
    <m/>
    <m/>
    <m/>
    <m/>
    <m/>
    <m/>
    <m/>
    <m/>
    <m/>
    <s v="Appointed Attorney"/>
    <m/>
    <m/>
    <n v="93"/>
    <n v="93"/>
    <n v="93"/>
    <n v="55.814207650273225"/>
    <n v="0"/>
    <n v="0"/>
    <s v="CONVICTION"/>
    <x v="0"/>
    <s v="N"/>
    <m/>
    <s v="CONVICTION"/>
    <s v="Y"/>
    <x v="0"/>
    <x v="0"/>
    <s v="Y"/>
    <n v="1"/>
    <n v="1"/>
    <n v="0"/>
    <n v="0"/>
    <n v="-93"/>
    <n v="0"/>
    <n v="93"/>
    <e v="#VALUE!"/>
    <n v="93"/>
    <n v="0"/>
    <n v="0"/>
    <m/>
    <s v="Y"/>
    <m/>
    <s v="91-120 DAYS"/>
    <n v="0"/>
    <x v="0"/>
  </r>
  <r>
    <n v="721"/>
    <s v="N"/>
    <s v="N"/>
    <n v="1060695"/>
    <n v="5"/>
    <d v="2012-01-29T00:00:00"/>
    <d v="2012-01-30T00:00:00"/>
    <n v="1060695"/>
    <d v="2012-01-29T00:00:00"/>
    <d v="2012-01-30T00:00:00"/>
    <n v="15000"/>
    <x v="0"/>
    <m/>
    <s v="N"/>
    <s v="NONE"/>
    <s v="GUILTY PLEA - NO JURY"/>
    <n v="2"/>
    <n v="2"/>
    <n v="3"/>
    <n v="1"/>
    <n v="3"/>
    <m/>
    <m/>
    <m/>
    <m/>
    <m/>
    <m/>
    <m/>
    <m/>
    <d v="1971-11-21T00:00:00"/>
    <s v="M"/>
    <s v="B"/>
    <s v="BLACK"/>
    <s v="NON-HISPANIC"/>
    <s v="208"/>
    <s v="CONVICTED"/>
    <n v="1"/>
    <s v="STJ"/>
    <m/>
    <n v="7"/>
    <m/>
    <s v="POSS CS PG 1 &lt;1G"/>
    <m/>
    <s v="FS"/>
    <s v="POSS DRUG"/>
    <m/>
    <m/>
    <m/>
    <m/>
    <m/>
    <m/>
    <m/>
    <m/>
    <m/>
    <s v="Appointed Attorney"/>
    <m/>
    <m/>
    <n v="2"/>
    <n v="2"/>
    <n v="2"/>
    <n v="40.106557377049178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1622"/>
    <s v="N"/>
    <s v="N"/>
    <n v="1062061"/>
    <n v="5"/>
    <d v="2012-03-01T00:00:00"/>
    <d v="2012-04-25T00:00:00"/>
    <n v="1062061"/>
    <d v="2012-03-01T00:00:00"/>
    <d v="2012-04-25T00:00:00"/>
    <n v="15000"/>
    <x v="0"/>
    <m/>
    <s v="N"/>
    <s v="NONE"/>
    <s v="GUILTY PLEA - NO JURY"/>
    <n v="56"/>
    <n v="56"/>
    <n v="5"/>
    <n v="12"/>
    <n v="3"/>
    <m/>
    <m/>
    <m/>
    <m/>
    <m/>
    <m/>
    <m/>
    <m/>
    <d v="1972-10-25T00:00:00"/>
    <s v="M"/>
    <s v="B"/>
    <s v="BLACK"/>
    <s v="NON-HISPANIC"/>
    <s v="262"/>
    <s v="CONVICTED"/>
    <n v="5"/>
    <s v="STJ"/>
    <m/>
    <n v="9"/>
    <m/>
    <s v="MAN/DEL CS PG I &lt;1GRAM"/>
    <m/>
    <s v="FS"/>
    <s v="SALE DRUG"/>
    <m/>
    <m/>
    <m/>
    <m/>
    <m/>
    <m/>
    <m/>
    <m/>
    <m/>
    <s v="Appointed Attorney"/>
    <m/>
    <m/>
    <n v="56"/>
    <n v="56"/>
    <n v="56"/>
    <n v="39.267759562841533"/>
    <n v="0"/>
    <n v="0"/>
    <s v="CONVICTION"/>
    <x v="0"/>
    <s v="N"/>
    <m/>
    <s v="CONVICTION"/>
    <s v="Y"/>
    <x v="0"/>
    <x v="0"/>
    <s v="Y"/>
    <n v="1"/>
    <n v="1"/>
    <n v="0"/>
    <n v="0"/>
    <n v="-56"/>
    <n v="0"/>
    <n v="56"/>
    <e v="#VALUE!"/>
    <n v="56"/>
    <n v="0"/>
    <n v="0"/>
    <m/>
    <s v="Y"/>
    <m/>
    <s v="31-60 DAYS"/>
    <n v="3"/>
    <x v="0"/>
  </r>
  <r>
    <n v="2348"/>
    <s v="N"/>
    <s v="N"/>
    <n v="1062089"/>
    <n v="6"/>
    <d v="2012-03-29T00:00:00"/>
    <d v="2012-04-02T00:00:00"/>
    <n v="1062089"/>
    <d v="2012-03-29T00:00:00"/>
    <d v="2012-04-02T00:00:00"/>
    <n v="15000"/>
    <x v="0"/>
    <m/>
    <s v="N"/>
    <s v="NONE"/>
    <s v="GUILTY PLEA - NO JURY"/>
    <n v="5"/>
    <n v="5"/>
    <n v="5"/>
    <n v="2"/>
    <n v="3"/>
    <m/>
    <m/>
    <m/>
    <m/>
    <m/>
    <m/>
    <m/>
    <m/>
    <d v="1972-10-23T00:00:00"/>
    <s v="M"/>
    <s v="H"/>
    <s v="HISPANIC"/>
    <s v="HISPANIC"/>
    <s v="176"/>
    <s v="CONVICTED"/>
    <n v="1"/>
    <s v="TDC"/>
    <n v="3"/>
    <m/>
    <m/>
    <s v="BURGLARY OF A BUILDING"/>
    <m/>
    <s v="FS"/>
    <s v="BURGLARY"/>
    <m/>
    <m/>
    <m/>
    <m/>
    <m/>
    <m/>
    <m/>
    <m/>
    <m/>
    <s v="Appointed Attorney"/>
    <m/>
    <m/>
    <n v="5"/>
    <n v="5"/>
    <n v="5"/>
    <n v="39.349726775956285"/>
    <n v="0"/>
    <n v="0"/>
    <s v="CONVICTION"/>
    <x v="0"/>
    <s v="N"/>
    <m/>
    <s v="CONVICTION"/>
    <s v="Y"/>
    <x v="0"/>
    <x v="0"/>
    <s v="Y"/>
    <n v="1"/>
    <n v="1"/>
    <n v="0"/>
    <n v="0"/>
    <n v="-5"/>
    <n v="0"/>
    <n v="5"/>
    <e v="#VALUE!"/>
    <n v="5"/>
    <n v="0"/>
    <n v="0"/>
    <m/>
    <s v="Y"/>
    <m/>
    <s v="0-10 DAYS"/>
    <n v="1"/>
    <x v="0"/>
  </r>
  <r>
    <n v="1409"/>
    <s v="N"/>
    <s v="N"/>
    <n v="1064177"/>
    <n v="5"/>
    <d v="2012-02-21T00:00:00"/>
    <d v="2012-07-11T00:00:00"/>
    <n v="1064177"/>
    <d v="2012-02-22T00:00:00"/>
    <d v="2012-07-11T00:00:00"/>
    <n v="15000"/>
    <x v="0"/>
    <m/>
    <s v="N"/>
    <s v="NONE"/>
    <s v="nolo contendre"/>
    <n v="141"/>
    <n v="142"/>
    <n v="5"/>
    <n v="4"/>
    <n v="2"/>
    <m/>
    <m/>
    <m/>
    <m/>
    <m/>
    <m/>
    <m/>
    <m/>
    <d v="1960-07-15T00:00:00"/>
    <s v="M"/>
    <s v="B"/>
    <s v="BLACK"/>
    <s v="NON-HISPANIC"/>
    <s v="351"/>
    <s v="CONVICTED"/>
    <n v="5"/>
    <s v="STJ"/>
    <m/>
    <n v="6"/>
    <m/>
    <s v="POSS CS PG 1 &lt;1G"/>
    <m/>
    <s v="FS"/>
    <s v="POSS DRUG"/>
    <m/>
    <m/>
    <m/>
    <m/>
    <m/>
    <m/>
    <m/>
    <m/>
    <m/>
    <s v="Appointed Attorney"/>
    <m/>
    <m/>
    <n v="141"/>
    <n v="141"/>
    <n v="142"/>
    <n v="51.497267759562838"/>
    <n v="0"/>
    <n v="0"/>
    <s v="CONVICTION"/>
    <x v="0"/>
    <s v="N"/>
    <m/>
    <s v="CONVICTION"/>
    <s v="Y"/>
    <x v="0"/>
    <x v="0"/>
    <s v="Y"/>
    <n v="0.99295774647887325"/>
    <n v="1"/>
    <n v="7.0422535211267512E-3"/>
    <n v="0"/>
    <n v="-141"/>
    <n v="0"/>
    <n v="141"/>
    <e v="#VALUE!"/>
    <n v="141"/>
    <n v="0"/>
    <n v="0"/>
    <m/>
    <s v="Y"/>
    <m/>
    <s v="121-365 DAYS"/>
    <n v="6"/>
    <x v="0"/>
  </r>
  <r>
    <n v="3212"/>
    <s v="N"/>
    <s v="N"/>
    <n v="1066309"/>
    <n v="1"/>
    <d v="2012-04-28T00:00:00"/>
    <d v="2012-07-11T00:00:00"/>
    <n v="1066309"/>
    <d v="2012-04-28T00:00:00"/>
    <d v="2012-07-11T00:00:00"/>
    <s v="NO BOND"/>
    <x v="1"/>
    <m/>
    <s v="N"/>
    <s v="NONE"/>
    <s v="DISMISSED"/>
    <n v="75"/>
    <n v="75"/>
    <n v="2"/>
    <n v="0"/>
    <n v="2"/>
    <m/>
    <m/>
    <m/>
    <m/>
    <m/>
    <m/>
    <m/>
    <m/>
    <d v="1959-12-19T00:00:00"/>
    <s v="M"/>
    <s v="H"/>
    <s v="HISPANIC"/>
    <s v="HISPANIC"/>
    <s v="262"/>
    <s v="DISMISSED"/>
    <n v="4"/>
    <s v="DISMISSED"/>
    <m/>
    <m/>
    <m/>
    <s v="AGG ASSAULT W/DEADLY WEAPON"/>
    <m/>
    <s v="F2"/>
    <s v="ASLT-MURDR"/>
    <m/>
    <m/>
    <m/>
    <m/>
    <m/>
    <m/>
    <m/>
    <m/>
    <m/>
    <s v="Hired Attorney"/>
    <m/>
    <m/>
    <n v="75"/>
    <n v="75"/>
    <n v="75"/>
    <n v="52.251366120218577"/>
    <n v="0"/>
    <n v="0"/>
    <s v="NO CONVICTION"/>
    <x v="0"/>
    <s v="N"/>
    <m/>
    <s v="NO CONVICTION"/>
    <s v="Y"/>
    <x v="0"/>
    <x v="0"/>
    <s v="Y"/>
    <n v="1"/>
    <n v="1"/>
    <n v="0"/>
    <n v="0"/>
    <n v="-75"/>
    <n v="0"/>
    <n v="75"/>
    <e v="#VALUE!"/>
    <n v="75"/>
    <n v="0"/>
    <n v="0"/>
    <m/>
    <s v="Y"/>
    <m/>
    <s v="61-90 DAYS"/>
    <n v="4"/>
    <x v="0"/>
  </r>
  <r>
    <n v="2944"/>
    <s v="N"/>
    <s v="N"/>
    <n v="1067638"/>
    <n v="5"/>
    <d v="2012-04-18T00:00:00"/>
    <d v="2012-07-05T00:00:00"/>
    <n v="1067638"/>
    <d v="2012-04-25T00:00:00"/>
    <d v="2012-07-05T00:00:00"/>
    <n v="20000"/>
    <x v="0"/>
    <m/>
    <s v="N"/>
    <s v="NONE"/>
    <s v="GUILTY PLEA - NO JURY"/>
    <n v="72"/>
    <n v="79"/>
    <n v="8"/>
    <n v="7"/>
    <n v="5"/>
    <m/>
    <m/>
    <m/>
    <m/>
    <m/>
    <m/>
    <m/>
    <m/>
    <d v="1970-06-09T00:00:00"/>
    <s v="M"/>
    <s v="B"/>
    <s v="BLACK"/>
    <s v="NON-HISPANIC"/>
    <s v="184"/>
    <s v="CONVICTED"/>
    <n v="4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72"/>
    <n v="72"/>
    <n v="79"/>
    <n v="41.77322404371585"/>
    <n v="0"/>
    <n v="0"/>
    <s v="CONVICTION"/>
    <x v="0"/>
    <s v="N"/>
    <m/>
    <s v="CONVICTION"/>
    <s v="Y"/>
    <x v="0"/>
    <x v="0"/>
    <s v="Y"/>
    <n v="0.91139240506329111"/>
    <n v="1"/>
    <n v="8.8607594936708889E-2"/>
    <n v="0"/>
    <n v="-72"/>
    <n v="0"/>
    <n v="72"/>
    <e v="#VALUE!"/>
    <n v="72"/>
    <n v="0"/>
    <n v="0"/>
    <m/>
    <s v="Y"/>
    <m/>
    <s v="61-90 DAYS"/>
    <n v="4"/>
    <x v="0"/>
  </r>
  <r>
    <n v="789"/>
    <s v="N"/>
    <s v="N"/>
    <n v="1070599"/>
    <n v="6"/>
    <d v="2012-01-31T00:00:00"/>
    <d v="2012-02-10T00:00:00"/>
    <n v="1070599"/>
    <d v="2012-02-01T00:00:00"/>
    <d v="2012-02-10T00:00:00"/>
    <n v="10000"/>
    <x v="3"/>
    <m/>
    <s v="N"/>
    <s v="NONE"/>
    <s v="GUILTY PLEA - NO JURY"/>
    <n v="10"/>
    <n v="11"/>
    <n v="2"/>
    <n v="4"/>
    <n v="2"/>
    <m/>
    <m/>
    <m/>
    <m/>
    <m/>
    <m/>
    <m/>
    <m/>
    <d v="1969-10-17T00:00:00"/>
    <s v="M"/>
    <s v="B"/>
    <s v="BLACK"/>
    <s v="NON-HISPANIC"/>
    <s v="185"/>
    <s v="CONVICTED"/>
    <n v="3"/>
    <s v="TDC"/>
    <n v="2"/>
    <m/>
    <m/>
    <s v="FAIL TO COMPLY AS SEX OFFENDER"/>
    <m/>
    <s v="F3"/>
    <s v="OTHER FEL"/>
    <m/>
    <m/>
    <m/>
    <m/>
    <m/>
    <m/>
    <m/>
    <m/>
    <m/>
    <s v="Appointed Attorney"/>
    <m/>
    <m/>
    <n v="10"/>
    <n v="10"/>
    <n v="11"/>
    <n v="42.202185792349724"/>
    <n v="0"/>
    <n v="0"/>
    <s v="CONVICTION"/>
    <x v="0"/>
    <s v="N"/>
    <m/>
    <s v="CONVICTION"/>
    <s v="Y"/>
    <x v="0"/>
    <x v="0"/>
    <s v="Y"/>
    <n v="0.90909090909090906"/>
    <n v="1"/>
    <n v="9.0909090909090939E-2"/>
    <n v="0"/>
    <n v="-10"/>
    <n v="0"/>
    <n v="10"/>
    <e v="#VALUE!"/>
    <n v="10"/>
    <n v="0"/>
    <n v="0"/>
    <m/>
    <s v="Y"/>
    <m/>
    <s v="0-10 DAYS"/>
    <n v="1"/>
    <x v="0"/>
  </r>
  <r>
    <n v="1210"/>
    <s v="N"/>
    <s v="N"/>
    <n v="1072704"/>
    <n v="6"/>
    <d v="2012-02-14T00:00:00"/>
    <d v="2012-08-09T00:00:00"/>
    <n v="1072704"/>
    <d v="2012-02-14T00:00:00"/>
    <d v="2012-08-09T00:00:00"/>
    <s v="NO BOND"/>
    <x v="1"/>
    <m/>
    <s v="N"/>
    <s v="NONE"/>
    <s v="GUILTY PLEA - NO JURY"/>
    <n v="178"/>
    <n v="178"/>
    <n v="8"/>
    <n v="14"/>
    <n v="5"/>
    <m/>
    <m/>
    <m/>
    <m/>
    <m/>
    <m/>
    <m/>
    <m/>
    <d v="1971-12-18T00:00:00"/>
    <s v="M"/>
    <s v="B"/>
    <s v="BLACK"/>
    <s v="NULL"/>
    <s v="209"/>
    <s v="CONVICTED"/>
    <n v="5"/>
    <s v="TDC"/>
    <n v="2"/>
    <m/>
    <m/>
    <s v="ASSAULT-BOD INJ-PUB SERV/RETAL"/>
    <m/>
    <s v="F3"/>
    <s v="ASLT-MURDR"/>
    <m/>
    <m/>
    <m/>
    <m/>
    <m/>
    <m/>
    <m/>
    <m/>
    <m/>
    <s v="Hired Attorney"/>
    <m/>
    <m/>
    <n v="178"/>
    <n v="178"/>
    <n v="178"/>
    <n v="40.076502732240435"/>
    <n v="0"/>
    <n v="0"/>
    <s v="CONVICTION"/>
    <x v="0"/>
    <s v="N"/>
    <m/>
    <s v="CONVICTION"/>
    <s v="Y"/>
    <x v="0"/>
    <x v="0"/>
    <s v="Y"/>
    <n v="1"/>
    <n v="1"/>
    <n v="0"/>
    <n v="0"/>
    <n v="-178"/>
    <n v="0"/>
    <n v="178"/>
    <e v="#VALUE!"/>
    <n v="178"/>
    <n v="0"/>
    <n v="0"/>
    <m/>
    <s v="Y"/>
    <m/>
    <s v="121-365 DAYS"/>
    <n v="6"/>
    <x v="0"/>
  </r>
  <r>
    <n v="694"/>
    <s v="N"/>
    <s v="N"/>
    <n v="1073569"/>
    <n v="3"/>
    <d v="2012-01-28T00:00:00"/>
    <d v="2012-06-13T00:00:00"/>
    <n v="1073569"/>
    <s v="NOT BOOKED"/>
    <s v="NOT BOOKED"/>
    <n v="10000"/>
    <x v="3"/>
    <d v="2012-01-29T00:00:00"/>
    <s v="Y"/>
    <s v="SURETYPTRc"/>
    <s v="GUILTY PLEA - NO JURY"/>
    <n v="0"/>
    <n v="138"/>
    <n v="0"/>
    <n v="3"/>
    <m/>
    <m/>
    <m/>
    <m/>
    <m/>
    <m/>
    <m/>
    <m/>
    <m/>
    <d v="1968-12-07T00:00:00"/>
    <s v="F"/>
    <s v="W"/>
    <s v="WHITE"/>
    <s v="NULL"/>
    <s v="185"/>
    <s v="CONVICTED"/>
    <n v="8"/>
    <s v="PROBATION"/>
    <m/>
    <m/>
    <m/>
    <s v="DWI 3RD OFFENDER BAC .08"/>
    <m/>
    <s v="F3"/>
    <s v="FEL DWI"/>
    <m/>
    <m/>
    <m/>
    <m/>
    <m/>
    <m/>
    <m/>
    <m/>
    <m/>
    <s v="Hired Attorney"/>
    <m/>
    <m/>
    <n v="0"/>
    <n v="0"/>
    <n v="138"/>
    <n v="43.051912568306008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419"/>
    <s v="N"/>
    <s v="N"/>
    <n v="1077321"/>
    <n v="3"/>
    <d v="2012-04-01T00:00:00"/>
    <d v="2012-07-13T00:00:00"/>
    <n v="1077321"/>
    <d v="2012-04-01T00:00:00"/>
    <d v="2012-04-02T00:00:00"/>
    <n v="10000"/>
    <x v="3"/>
    <d v="2012-04-02T00:00:00"/>
    <s v="Y"/>
    <s v="SURETYPTRc"/>
    <s v="GUILTY PLEA - NO JURY"/>
    <n v="2"/>
    <n v="104"/>
    <n v="1"/>
    <n v="7"/>
    <m/>
    <n v="1"/>
    <m/>
    <m/>
    <m/>
    <m/>
    <m/>
    <m/>
    <m/>
    <d v="1972-01-10T00:00:00"/>
    <s v="M"/>
    <s v="B"/>
    <s v="BLACK"/>
    <s v="NULL"/>
    <s v="337"/>
    <s v="CONVICTED"/>
    <n v="4"/>
    <s v="PROBATION"/>
    <m/>
    <m/>
    <m/>
    <s v="DWI 3RD OFFENDER BAC .08"/>
    <m/>
    <s v="F3"/>
    <s v="FEL DWI"/>
    <m/>
    <m/>
    <m/>
    <m/>
    <m/>
    <m/>
    <m/>
    <m/>
    <m/>
    <s v="Hired Attorney"/>
    <m/>
    <m/>
    <n v="2"/>
    <n v="104"/>
    <n v="104"/>
    <n v="40.142076502732237"/>
    <n v="0"/>
    <n v="-102"/>
    <s v="CONVICTION"/>
    <x v="1"/>
    <s v="Y"/>
    <m/>
    <s v="CONVICTION"/>
    <s v="Y"/>
    <x v="1"/>
    <x v="0"/>
    <s v="Y"/>
    <n v="1.9230769230769232E-2"/>
    <n v="1.9230769230769232E-2"/>
    <n v="0"/>
    <n v="0"/>
    <n v="-2"/>
    <n v="0"/>
    <n v="2"/>
    <e v="#VALUE!"/>
    <n v="2"/>
    <n v="0"/>
    <n v="102"/>
    <m/>
    <s v="Y"/>
    <m/>
    <s v="0-10 DAYS"/>
    <n v="1"/>
    <x v="0"/>
  </r>
  <r>
    <n v="660"/>
    <s v="N"/>
    <s v="N"/>
    <n v="1078196"/>
    <n v="5"/>
    <d v="2012-01-27T00:00:00"/>
    <d v="2012-06-18T00:00:00"/>
    <n v="1078196"/>
    <d v="2012-01-27T00:00:00"/>
    <d v="2012-02-02T00:00:00"/>
    <n v="15000"/>
    <x v="0"/>
    <d v="2012-02-02T00:00:00"/>
    <s v="Y"/>
    <s v="SURETYPTRc"/>
    <s v="GUILTY PLEA - NO JURY"/>
    <n v="7"/>
    <n v="144"/>
    <n v="3"/>
    <n v="7"/>
    <n v="2"/>
    <m/>
    <m/>
    <m/>
    <m/>
    <m/>
    <m/>
    <m/>
    <m/>
    <d v="1966-07-15T00:00:00"/>
    <s v="M"/>
    <s v="H"/>
    <s v="HISPANIC"/>
    <s v="HISPANIC"/>
    <s v="185"/>
    <s v="CONVICTED"/>
    <n v="10"/>
    <s v="STJ"/>
    <m/>
    <n v="6"/>
    <m/>
    <s v="POSS CS PG 1 &lt;1G"/>
    <m/>
    <s v="FS"/>
    <s v="POSS DRUG"/>
    <m/>
    <m/>
    <m/>
    <m/>
    <m/>
    <m/>
    <m/>
    <m/>
    <m/>
    <s v="Hired Attorney"/>
    <m/>
    <m/>
    <n v="7"/>
    <n v="144"/>
    <n v="144"/>
    <n v="45.442622950819676"/>
    <n v="0"/>
    <n v="-137"/>
    <s v="CONVICTION"/>
    <x v="1"/>
    <s v="Y"/>
    <m/>
    <s v="CONVICTION"/>
    <s v="Y"/>
    <x v="1"/>
    <x v="0"/>
    <s v="Y"/>
    <n v="4.8611111111111112E-2"/>
    <n v="4.8611111111111112E-2"/>
    <n v="0"/>
    <n v="0"/>
    <n v="-7"/>
    <n v="0"/>
    <n v="7"/>
    <e v="#VALUE!"/>
    <n v="7"/>
    <n v="0"/>
    <n v="137"/>
    <m/>
    <s v="Y"/>
    <m/>
    <s v="0-10 DAYS"/>
    <n v="1"/>
    <x v="0"/>
  </r>
  <r>
    <n v="2515"/>
    <s v="N"/>
    <s v="N"/>
    <n v="1079885"/>
    <n v="5"/>
    <d v="2012-04-04T00:00:00"/>
    <d v="2012-07-11T00:00:00"/>
    <n v="1079885"/>
    <d v="2012-04-04T00:00:00"/>
    <d v="2012-07-11T00:00:00"/>
    <n v="15000"/>
    <x v="0"/>
    <m/>
    <s v="N"/>
    <s v="NONE"/>
    <s v="GUILTY PLEA - NO JURY"/>
    <n v="99"/>
    <n v="99"/>
    <n v="2"/>
    <n v="4"/>
    <n v="2"/>
    <m/>
    <m/>
    <m/>
    <m/>
    <m/>
    <m/>
    <m/>
    <m/>
    <d v="1972-11-25T00:00:00"/>
    <s v="M"/>
    <s v="H"/>
    <s v="HISPANIC"/>
    <s v="HISPANIC"/>
    <s v="174"/>
    <s v="CONVICTED"/>
    <n v="5"/>
    <s v="STJ"/>
    <m/>
    <n v="9"/>
    <m/>
    <s v="THEFT UNDER $1500 - 3RD OFF."/>
    <m/>
    <s v="FS"/>
    <s v="THEFT"/>
    <m/>
    <m/>
    <m/>
    <m/>
    <m/>
    <m/>
    <m/>
    <m/>
    <m/>
    <s v="Hired Attorney"/>
    <m/>
    <m/>
    <n v="99"/>
    <n v="99"/>
    <n v="99"/>
    <n v="39.275956284153004"/>
    <n v="0"/>
    <n v="0"/>
    <s v="CONVICTION"/>
    <x v="0"/>
    <s v="N"/>
    <m/>
    <s v="CONVICTION"/>
    <s v="Y"/>
    <x v="0"/>
    <x v="0"/>
    <s v="Y"/>
    <n v="1"/>
    <n v="1"/>
    <n v="0"/>
    <n v="0"/>
    <n v="-99"/>
    <n v="0"/>
    <n v="99"/>
    <e v="#VALUE!"/>
    <n v="99"/>
    <n v="0"/>
    <n v="0"/>
    <m/>
    <s v="Y"/>
    <m/>
    <s v="91-120 DAYS"/>
    <n v="0"/>
    <x v="0"/>
  </r>
  <r>
    <n v="1972"/>
    <s v="N"/>
    <s v="N"/>
    <n v="1080170"/>
    <n v="6"/>
    <d v="2012-03-14T00:00:00"/>
    <d v="2012-07-13T00:00:00"/>
    <n v="1080170"/>
    <d v="2012-03-15T00:00:00"/>
    <d v="2012-07-13T00:00:00"/>
    <s v="NO BOND"/>
    <x v="1"/>
    <m/>
    <s v="N"/>
    <s v="NONE"/>
    <s v="GUILTY PLEA - NO JURY"/>
    <n v="121"/>
    <n v="122"/>
    <n v="7"/>
    <n v="0"/>
    <n v="4"/>
    <m/>
    <m/>
    <m/>
    <m/>
    <m/>
    <m/>
    <m/>
    <m/>
    <d v="1958-05-04T00:00:00"/>
    <s v="M"/>
    <s v="B"/>
    <s v="BLACK"/>
    <s v="NON-HISPANIC"/>
    <s v="174"/>
    <s v="CONVICTED"/>
    <n v="5"/>
    <s v="TDC"/>
    <n v="10"/>
    <m/>
    <m/>
    <s v="POSS CS PG 1  1 - 4 GRAMS"/>
    <m/>
    <s v="F3"/>
    <s v="POSS DRUG"/>
    <m/>
    <m/>
    <m/>
    <m/>
    <m/>
    <m/>
    <m/>
    <m/>
    <m/>
    <s v="Public Defender"/>
    <m/>
    <m/>
    <n v="121"/>
    <n v="121"/>
    <n v="122"/>
    <n v="53.751366120218577"/>
    <n v="0"/>
    <n v="0"/>
    <s v="CONVICTION"/>
    <x v="0"/>
    <s v="N"/>
    <m/>
    <s v="CONVICTION"/>
    <s v="Y"/>
    <x v="0"/>
    <x v="0"/>
    <s v="Y"/>
    <n v="0.99180327868852458"/>
    <n v="1"/>
    <n v="8.1967213114754189E-3"/>
    <n v="0"/>
    <n v="-121"/>
    <n v="0"/>
    <n v="121"/>
    <e v="#VALUE!"/>
    <n v="121"/>
    <n v="0"/>
    <n v="0"/>
    <m/>
    <s v="Y"/>
    <m/>
    <s v="121-365 DAYS"/>
    <n v="6"/>
    <x v="0"/>
  </r>
  <r>
    <n v="2506"/>
    <s v="N"/>
    <s v="N"/>
    <n v="1080191"/>
    <n v="5"/>
    <d v="2012-04-04T00:00:00"/>
    <d v="2012-04-05T00:00:00"/>
    <n v="1080191"/>
    <d v="2012-04-04T00:00:00"/>
    <d v="2012-04-05T00:00:00"/>
    <n v="15000"/>
    <x v="0"/>
    <m/>
    <s v="N"/>
    <s v="NONE"/>
    <s v="GUILTY PLEA - NO JURY"/>
    <n v="2"/>
    <n v="2"/>
    <n v="5"/>
    <n v="8"/>
    <n v="4"/>
    <m/>
    <m/>
    <m/>
    <m/>
    <m/>
    <m/>
    <m/>
    <m/>
    <d v="1966-05-22T00:00:00"/>
    <s v="M"/>
    <s v="B"/>
    <s v="BLACK"/>
    <s v="NULL"/>
    <s v="208"/>
    <s v="CONVICTED"/>
    <n v="1"/>
    <s v="STJ"/>
    <m/>
    <n v="6"/>
    <m/>
    <s v="UNAUTH USE OF VEHICLE"/>
    <m/>
    <s v="FS"/>
    <s v="AUTO THEFT"/>
    <m/>
    <m/>
    <m/>
    <m/>
    <m/>
    <m/>
    <m/>
    <m/>
    <m/>
    <s v="Appointed Attorney"/>
    <m/>
    <m/>
    <n v="2"/>
    <n v="2"/>
    <n v="2"/>
    <n v="45.775956284153004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3145"/>
    <s v="N"/>
    <s v="N"/>
    <n v="1081120"/>
    <n v="1"/>
    <d v="2012-04-26T00:00:00"/>
    <d v="2012-07-18T00:00:00"/>
    <n v="1081120"/>
    <d v="2012-04-26T00:00:00"/>
    <d v="2012-07-18T00:00:00"/>
    <n v="15000"/>
    <x v="0"/>
    <m/>
    <s v="N"/>
    <s v="NONE"/>
    <s v="NO BILL"/>
    <n v="84"/>
    <n v="84"/>
    <n v="5"/>
    <n v="2"/>
    <n v="2"/>
    <m/>
    <m/>
    <m/>
    <m/>
    <m/>
    <m/>
    <s v="S"/>
    <m/>
    <d v="1971-11-09T00:00:00"/>
    <s v="M"/>
    <s v="H"/>
    <s v="HISPANIC"/>
    <s v="NON-HISPANIC"/>
    <s v="182"/>
    <s v="NO BILL"/>
    <n v="6"/>
    <s v="NO BILL"/>
    <m/>
    <m/>
    <m/>
    <s v="POSS CS PG 1 &lt;1G"/>
    <m/>
    <s v="FS"/>
    <s v="POSS DRUG"/>
    <m/>
    <m/>
    <m/>
    <m/>
    <m/>
    <m/>
    <m/>
    <m/>
    <m/>
    <s v="Hired Attorney"/>
    <m/>
    <m/>
    <n v="84"/>
    <n v="84"/>
    <n v="84"/>
    <n v="40.379781420765028"/>
    <n v="0"/>
    <n v="0"/>
    <s v="NO CONVICTION"/>
    <x v="0"/>
    <s v="N"/>
    <m/>
    <s v="NO CONVICTION"/>
    <s v="Y"/>
    <x v="0"/>
    <x v="0"/>
    <s v="Y"/>
    <n v="1"/>
    <n v="1"/>
    <n v="0"/>
    <n v="0"/>
    <n v="-84"/>
    <n v="0"/>
    <n v="84"/>
    <e v="#VALUE!"/>
    <n v="84"/>
    <n v="0"/>
    <n v="0"/>
    <m/>
    <s v="Y"/>
    <m/>
    <s v="61-90 DAYS"/>
    <n v="4"/>
    <x v="0"/>
  </r>
  <r>
    <n v="1110"/>
    <s v="N"/>
    <s v="N"/>
    <n v="1084073"/>
    <n v="1"/>
    <d v="2012-02-10T00:00:00"/>
    <d v="2012-08-23T00:00:00"/>
    <n v="1084073"/>
    <d v="2012-02-10T00:00:00"/>
    <d v="2012-02-12T00:00:00"/>
    <n v="30000"/>
    <x v="2"/>
    <d v="2012-02-12T00:00:00"/>
    <s v="Y"/>
    <s v="SURETY"/>
    <s v="DISMISSED"/>
    <n v="3"/>
    <n v="196"/>
    <n v="0"/>
    <n v="0"/>
    <m/>
    <m/>
    <m/>
    <m/>
    <m/>
    <m/>
    <m/>
    <m/>
    <m/>
    <d v="1968-08-20T00:00:00"/>
    <s v="M"/>
    <s v="W"/>
    <s v="WHITE"/>
    <s v="NULL"/>
    <s v="209"/>
    <s v="DISMISSED"/>
    <n v="6"/>
    <s v="DISMISSED"/>
    <m/>
    <m/>
    <m/>
    <s v="AGG ASSAULT-FAMILY MEMBER"/>
    <m/>
    <s v="F2"/>
    <s v="ASLT-MURDR"/>
    <m/>
    <m/>
    <m/>
    <m/>
    <m/>
    <m/>
    <m/>
    <m/>
    <m/>
    <s v="Hired Attorney"/>
    <m/>
    <m/>
    <n v="3"/>
    <n v="196"/>
    <n v="196"/>
    <n v="43.385245901639344"/>
    <n v="0"/>
    <n v="-193"/>
    <s v="NO CONVICTION"/>
    <x v="1"/>
    <s v="Y"/>
    <m/>
    <s v="NO CONVICTION"/>
    <s v="Y"/>
    <x v="1"/>
    <x v="0"/>
    <s v="N"/>
    <n v="1.5306122448979591E-2"/>
    <n v="1.5306122448979591E-2"/>
    <n v="0"/>
    <n v="0"/>
    <n v="-3"/>
    <n v="0"/>
    <n v="3"/>
    <e v="#VALUE!"/>
    <n v="3"/>
    <n v="0"/>
    <n v="193"/>
    <m/>
    <s v="N"/>
    <m/>
    <s v="0-10 DAYS"/>
    <n v="1"/>
    <x v="0"/>
  </r>
  <r>
    <n v="267"/>
    <s v="N"/>
    <s v="N"/>
    <n v="1085099"/>
    <n v="2"/>
    <d v="2012-01-12T00:00:00"/>
    <d v="2012-02-14T00:00:00"/>
    <n v="1085099"/>
    <d v="2012-02-11T00:00:00"/>
    <d v="2012-02-14T00:00:00"/>
    <s v="NO BOND"/>
    <x v="1"/>
    <m/>
    <s v="N"/>
    <s v="NONE"/>
    <s v="DEFERRED ADJUDICATION "/>
    <n v="4"/>
    <n v="34"/>
    <n v="0"/>
    <n v="5"/>
    <m/>
    <m/>
    <m/>
    <m/>
    <m/>
    <m/>
    <m/>
    <m/>
    <m/>
    <d v="1969-05-23T00:00:00"/>
    <s v="M"/>
    <s v="B"/>
    <s v="BLACK"/>
    <s v="NON-HISPANIC"/>
    <s v="174"/>
    <s v="DEFERRED"/>
    <n v="2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4"/>
    <n v="4"/>
    <n v="34"/>
    <n v="42.551912568306008"/>
    <n v="0"/>
    <n v="0"/>
    <s v="DEFERRED"/>
    <x v="0"/>
    <s v="N"/>
    <m/>
    <s v="DEFERRED"/>
    <s v="Y"/>
    <x v="0"/>
    <x v="0"/>
    <s v="N"/>
    <n v="0.11764705882352941"/>
    <n v="1"/>
    <n v="0.88235294117647056"/>
    <n v="0"/>
    <n v="-4"/>
    <n v="0"/>
    <n v="4"/>
    <e v="#VALUE!"/>
    <n v="4"/>
    <n v="0"/>
    <n v="0"/>
    <m/>
    <s v="Y"/>
    <m/>
    <s v="0-10 DAYS"/>
    <n v="1"/>
    <x v="0"/>
  </r>
  <r>
    <n v="861"/>
    <s v="N"/>
    <s v="N"/>
    <n v="1085257"/>
    <n v="6"/>
    <d v="2012-02-02T00:00:00"/>
    <d v="2012-02-06T00:00:00"/>
    <n v="1085257"/>
    <d v="2012-02-02T00:00:00"/>
    <d v="2012-02-06T00:00:00"/>
    <n v="20000"/>
    <x v="0"/>
    <m/>
    <s v="N"/>
    <s v="NONE"/>
    <s v="GUILTY PLEA - NO JURY"/>
    <n v="5"/>
    <n v="5"/>
    <n v="1"/>
    <n v="0"/>
    <n v="1"/>
    <m/>
    <m/>
    <m/>
    <m/>
    <m/>
    <m/>
    <m/>
    <m/>
    <d v="1944-07-12T00:00:00"/>
    <s v="M"/>
    <s v="W"/>
    <s v="WHITE"/>
    <s v="NON-HISPANIC"/>
    <s v="178"/>
    <s v="CONVICTED"/>
    <n v="2"/>
    <s v="TDC"/>
    <n v="2"/>
    <m/>
    <m/>
    <s v="DWI 3RD OFFENDER BAC .08"/>
    <m/>
    <s v="F3"/>
    <s v="FEL DWI"/>
    <m/>
    <m/>
    <m/>
    <m/>
    <m/>
    <m/>
    <m/>
    <m/>
    <m/>
    <s v="Appointed Attorney"/>
    <m/>
    <m/>
    <n v="5"/>
    <n v="5"/>
    <n v="5"/>
    <n v="67.420765027322403"/>
    <n v="0"/>
    <n v="0"/>
    <s v="CONVICTION"/>
    <x v="0"/>
    <s v="N"/>
    <m/>
    <s v="CONVICTION"/>
    <s v="Y"/>
    <x v="0"/>
    <x v="0"/>
    <s v="Y"/>
    <n v="1"/>
    <n v="1"/>
    <n v="0"/>
    <n v="0"/>
    <n v="-5"/>
    <n v="0"/>
    <n v="5"/>
    <e v="#VALUE!"/>
    <n v="5"/>
    <n v="0"/>
    <n v="0"/>
    <m/>
    <s v="Y"/>
    <m/>
    <s v="0-10 DAYS"/>
    <n v="1"/>
    <x v="0"/>
  </r>
  <r>
    <n v="2013"/>
    <s v="N"/>
    <s v="N"/>
    <n v="1087523"/>
    <n v="6"/>
    <d v="2012-03-16T00:00:00"/>
    <d v="2012-05-14T00:00:00"/>
    <n v="1087523"/>
    <d v="2012-03-16T00:00:00"/>
    <d v="2012-05-14T00:00:00"/>
    <s v="NO BOND"/>
    <x v="1"/>
    <m/>
    <s v="N"/>
    <s v="NONE"/>
    <s v="GUILTY PLEA - NO JURY"/>
    <n v="60"/>
    <n v="60"/>
    <n v="3"/>
    <n v="1"/>
    <n v="3"/>
    <m/>
    <m/>
    <m/>
    <m/>
    <m/>
    <m/>
    <m/>
    <m/>
    <d v="1968-06-04T00:00:00"/>
    <s v="M"/>
    <s v="B"/>
    <s v="BLACK"/>
    <s v="NON-HISPANIC"/>
    <s v="228"/>
    <s v="CONVICTED"/>
    <n v="3"/>
    <s v="TDC"/>
    <n v="12"/>
    <m/>
    <m/>
    <s v="POSS W/INT DEL CS PG1 1G &lt;4 GR"/>
    <m/>
    <s v="F2"/>
    <s v="SALE DRUG"/>
    <m/>
    <m/>
    <m/>
    <m/>
    <m/>
    <m/>
    <m/>
    <m/>
    <m/>
    <s v="Hired Attorney"/>
    <m/>
    <m/>
    <n v="60"/>
    <n v="60"/>
    <n v="60"/>
    <n v="43.691256830601091"/>
    <n v="0"/>
    <n v="0"/>
    <s v="CONVICTION"/>
    <x v="0"/>
    <s v="N"/>
    <m/>
    <s v="CONVICTION"/>
    <s v="Y"/>
    <x v="0"/>
    <x v="0"/>
    <s v="Y"/>
    <n v="1"/>
    <n v="1"/>
    <n v="0"/>
    <n v="0"/>
    <n v="-60"/>
    <n v="0"/>
    <n v="60"/>
    <e v="#VALUE!"/>
    <n v="60"/>
    <n v="0"/>
    <n v="0"/>
    <m/>
    <s v="Y"/>
    <m/>
    <s v="31-60 DAYS"/>
    <n v="3"/>
    <x v="0"/>
  </r>
  <r>
    <n v="2192"/>
    <s v="N"/>
    <s v="N"/>
    <n v="1090286"/>
    <n v="5"/>
    <d v="2012-03-23T00:00:00"/>
    <d v="2012-07-25T00:00:00"/>
    <n v="1090286"/>
    <d v="2012-03-23T00:00:00"/>
    <d v="2012-07-25T00:00:00"/>
    <n v="30000"/>
    <x v="2"/>
    <m/>
    <s v="N"/>
    <s v="NONE"/>
    <s v="GUILTY PLEA - NO JURY"/>
    <n v="125"/>
    <n v="125"/>
    <n v="3"/>
    <n v="16"/>
    <n v="1"/>
    <m/>
    <m/>
    <m/>
    <m/>
    <m/>
    <m/>
    <m/>
    <m/>
    <d v="1968-12-26T00:00:00"/>
    <s v="M"/>
    <s v="W"/>
    <s v="WHITE"/>
    <s v="NULL"/>
    <s v="208"/>
    <s v="CONVICTED"/>
    <n v="6"/>
    <s v="STJ"/>
    <m/>
    <n v="10"/>
    <m/>
    <s v="BURGLARY OF A BUILDING"/>
    <m/>
    <s v="FS"/>
    <s v="BURGLARY"/>
    <m/>
    <m/>
    <m/>
    <m/>
    <m/>
    <m/>
    <m/>
    <m/>
    <m/>
    <s v="Appointed Attorney"/>
    <m/>
    <m/>
    <n v="125"/>
    <n v="125"/>
    <n v="125"/>
    <n v="43.150273224043715"/>
    <n v="0"/>
    <n v="0"/>
    <s v="CONVICTION"/>
    <x v="0"/>
    <s v="N"/>
    <m/>
    <s v="CONVICTION"/>
    <s v="Y"/>
    <x v="0"/>
    <x v="0"/>
    <s v="Y"/>
    <n v="1"/>
    <n v="1"/>
    <n v="0"/>
    <n v="0"/>
    <n v="-125"/>
    <n v="0"/>
    <n v="125"/>
    <e v="#VALUE!"/>
    <n v="125"/>
    <n v="0"/>
    <n v="0"/>
    <m/>
    <s v="Y"/>
    <m/>
    <s v="121-365 DAYS"/>
    <n v="6"/>
    <x v="0"/>
  </r>
  <r>
    <n v="197"/>
    <s v="N"/>
    <s v="N"/>
    <n v="1091126"/>
    <n v="6"/>
    <d v="2012-01-09T00:00:00"/>
    <d v="2012-02-29T00:00:00"/>
    <n v="1091126"/>
    <d v="2012-01-09T00:00:00"/>
    <d v="2012-02-29T00:00:00"/>
    <s v="NO BOND"/>
    <x v="1"/>
    <m/>
    <s v="N"/>
    <s v="NONE"/>
    <s v="GUILTY PLEA - NO JURY"/>
    <n v="52"/>
    <n v="52"/>
    <n v="8"/>
    <n v="4"/>
    <n v="7"/>
    <m/>
    <m/>
    <m/>
    <m/>
    <m/>
    <m/>
    <m/>
    <m/>
    <d v="1958-02-21T00:00:00"/>
    <s v="M"/>
    <s v="B"/>
    <s v="BLACK"/>
    <s v="NON-HISPANIC"/>
    <s v="232"/>
    <s v="CONVICTED"/>
    <n v="3"/>
    <s v="TDC"/>
    <n v="5"/>
    <m/>
    <m/>
    <s v="POSS CS PG 1  1 - 4 GRAMS"/>
    <m/>
    <s v="F3"/>
    <s v="POSS DRUG"/>
    <m/>
    <m/>
    <m/>
    <m/>
    <m/>
    <m/>
    <m/>
    <m/>
    <m/>
    <s v="Public Defender"/>
    <m/>
    <m/>
    <n v="52"/>
    <n v="52"/>
    <n v="52"/>
    <n v="53.770491803278688"/>
    <n v="0"/>
    <n v="0"/>
    <s v="CONVICTION"/>
    <x v="0"/>
    <s v="N"/>
    <m/>
    <s v="CONVICTION"/>
    <s v="Y"/>
    <x v="0"/>
    <x v="0"/>
    <s v="Y"/>
    <n v="1"/>
    <n v="1"/>
    <n v="0"/>
    <n v="0"/>
    <n v="-52"/>
    <n v="0"/>
    <n v="52"/>
    <e v="#VALUE!"/>
    <n v="52"/>
    <n v="0"/>
    <n v="0"/>
    <m/>
    <s v="Y"/>
    <m/>
    <s v="31-60 DAYS"/>
    <n v="3"/>
    <x v="0"/>
  </r>
  <r>
    <n v="2794"/>
    <s v="N"/>
    <s v="N"/>
    <n v="1091857"/>
    <n v="4"/>
    <d v="2012-04-13T00:00:00"/>
    <d v="2012-05-16T00:00:00"/>
    <n v="1091857"/>
    <d v="2012-04-13T00:00:00"/>
    <d v="2012-05-16T00:00:00"/>
    <n v="35000"/>
    <x v="2"/>
    <m/>
    <s v="N"/>
    <s v="NONE"/>
    <s v="GUILTY PLEA - NO JURY"/>
    <n v="34"/>
    <n v="34"/>
    <n v="5"/>
    <n v="4"/>
    <n v="3"/>
    <m/>
    <m/>
    <m/>
    <m/>
    <m/>
    <m/>
    <m/>
    <m/>
    <d v="1970-07-02T00:00:00"/>
    <s v="M"/>
    <s v="B"/>
    <s v="BLACK"/>
    <s v="NON-HISPANIC"/>
    <s v="262"/>
    <s v="CONVICTED"/>
    <n v="4"/>
    <s v="HCJ"/>
    <m/>
    <m/>
    <n v="180"/>
    <s v="POSS MARIJ  2-4 OZ"/>
    <m/>
    <s v="FS"/>
    <s v="POSS DRUG"/>
    <m/>
    <m/>
    <m/>
    <m/>
    <m/>
    <m/>
    <m/>
    <m/>
    <m/>
    <s v="Appointed Attorney"/>
    <m/>
    <m/>
    <n v="34"/>
    <n v="34"/>
    <n v="34"/>
    <n v="41.696721311475407"/>
    <n v="0"/>
    <n v="0"/>
    <s v="CONVICTION"/>
    <x v="0"/>
    <s v="N"/>
    <m/>
    <s v="CONVICTION"/>
    <s v="Y"/>
    <x v="0"/>
    <x v="0"/>
    <s v="Y"/>
    <n v="1"/>
    <n v="1"/>
    <n v="0"/>
    <n v="0"/>
    <n v="-34"/>
    <n v="0"/>
    <n v="34"/>
    <e v="#VALUE!"/>
    <n v="34"/>
    <n v="0"/>
    <n v="0"/>
    <m/>
    <s v="Y"/>
    <m/>
    <s v="31-60 DAYS"/>
    <n v="3"/>
    <x v="0"/>
  </r>
  <r>
    <n v="1782"/>
    <s v="N"/>
    <s v="N"/>
    <n v="1092255"/>
    <n v="5"/>
    <d v="2012-03-07T00:00:00"/>
    <d v="2012-04-11T00:00:00"/>
    <n v="1092255"/>
    <d v="2012-03-07T00:00:00"/>
    <d v="2012-04-11T00:00:00"/>
    <n v="10000"/>
    <x v="3"/>
    <m/>
    <s v="N"/>
    <s v="NONE"/>
    <s v="GUILTY PLEA - NO JURY"/>
    <n v="36"/>
    <n v="36"/>
    <n v="2"/>
    <n v="2"/>
    <n v="2"/>
    <m/>
    <m/>
    <m/>
    <m/>
    <m/>
    <m/>
    <m/>
    <m/>
    <d v="1969-08-06T00:00:00"/>
    <s v="M"/>
    <s v="W"/>
    <s v="WHITE"/>
    <s v="NON-HISPANIC"/>
    <s v="230"/>
    <s v="CONVICTED"/>
    <n v="3"/>
    <s v="STJ"/>
    <m/>
    <n v="6"/>
    <m/>
    <s v="POSS CS PG 1 &lt;1G"/>
    <m/>
    <s v="FS"/>
    <s v="POSS DRUG"/>
    <m/>
    <m/>
    <m/>
    <m/>
    <m/>
    <m/>
    <m/>
    <m/>
    <m/>
    <s v="Appointed Attorney"/>
    <m/>
    <m/>
    <n v="36"/>
    <n v="36"/>
    <n v="36"/>
    <n v="42.497267759562838"/>
    <n v="0"/>
    <n v="0"/>
    <s v="CONVICTION"/>
    <x v="0"/>
    <s v="N"/>
    <m/>
    <s v="CONVICTION"/>
    <s v="Y"/>
    <x v="0"/>
    <x v="0"/>
    <s v="Y"/>
    <n v="1"/>
    <n v="1"/>
    <n v="0"/>
    <n v="0"/>
    <n v="-36"/>
    <n v="0"/>
    <n v="36"/>
    <e v="#VALUE!"/>
    <n v="36"/>
    <n v="0"/>
    <n v="0"/>
    <m/>
    <s v="Y"/>
    <m/>
    <s v="31-60 DAYS"/>
    <n v="3"/>
    <x v="0"/>
  </r>
  <r>
    <n v="1405"/>
    <s v="N"/>
    <s v="N"/>
    <n v="1096477"/>
    <n v="5"/>
    <d v="2012-02-21T00:00:00"/>
    <d v="2012-03-09T00:00:00"/>
    <n v="1096477"/>
    <d v="2012-02-22T00:00:00"/>
    <d v="2012-03-09T00:00:00"/>
    <n v="15000"/>
    <x v="0"/>
    <m/>
    <s v="N"/>
    <s v="NONE"/>
    <s v="GUILTY PLEA - NO JURY"/>
    <n v="17"/>
    <n v="18"/>
    <n v="4"/>
    <n v="6"/>
    <n v="3"/>
    <m/>
    <m/>
    <m/>
    <m/>
    <m/>
    <m/>
    <m/>
    <m/>
    <d v="1969-03-15T00:00:00"/>
    <s v="M"/>
    <s v="B"/>
    <s v="BLACK"/>
    <s v="NON-HISPANIC"/>
    <s v="178"/>
    <s v="CONVICTED"/>
    <n v="2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17"/>
    <n v="17"/>
    <n v="18"/>
    <n v="42.849726775956285"/>
    <n v="0"/>
    <n v="0"/>
    <s v="CONVICTION"/>
    <x v="0"/>
    <s v="N"/>
    <m/>
    <s v="CONVICTION"/>
    <s v="Y"/>
    <x v="0"/>
    <x v="0"/>
    <s v="Y"/>
    <n v="0.94444444444444442"/>
    <n v="1"/>
    <n v="5.555555555555558E-2"/>
    <n v="0"/>
    <n v="-17"/>
    <n v="0"/>
    <n v="17"/>
    <e v="#VALUE!"/>
    <n v="17"/>
    <n v="0"/>
    <n v="0"/>
    <m/>
    <s v="Y"/>
    <m/>
    <s v="11-30 DAYS"/>
    <n v="2"/>
    <x v="0"/>
  </r>
  <r>
    <n v="2840"/>
    <s v="N"/>
    <s v="Y"/>
    <n v="1099064"/>
    <n v="6"/>
    <d v="2012-04-14T00:00:00"/>
    <d v="2013-12-30T00:00:00"/>
    <n v="1099064"/>
    <d v="2012-05-25T00:00:00"/>
    <d v="2012-08-07T00:00:00"/>
    <n v="50000"/>
    <x v="2"/>
    <d v="2012-08-07T00:00:00"/>
    <s v="Y"/>
    <s v="SURETY"/>
    <s v="GUILTY PLEA - NO JURY"/>
    <n v="205"/>
    <n v="626"/>
    <n v="5"/>
    <n v="9"/>
    <n v="3"/>
    <m/>
    <m/>
    <m/>
    <m/>
    <m/>
    <m/>
    <m/>
    <m/>
    <d v="1973-08-05T00:00:00"/>
    <s v="M"/>
    <s v="W"/>
    <s v="WHITE"/>
    <s v="NULL"/>
    <s v="174"/>
    <s v="CONVICTED"/>
    <n v="26"/>
    <s v="TDC"/>
    <n v="5"/>
    <m/>
    <m/>
    <s v="AGG ROBBERY-DEADLY WPN"/>
    <m/>
    <s v="F1"/>
    <s v="ROBBERY"/>
    <s v="bk 8/21/13 recal"/>
    <m/>
    <s v="Y"/>
    <d v="2013-08-09T00:00:00"/>
    <m/>
    <m/>
    <m/>
    <d v="2013-09-30T00:00:00"/>
    <n v="289"/>
    <s v="Appointed Attorney"/>
    <m/>
    <m/>
    <n v="205"/>
    <n v="585"/>
    <n v="626"/>
    <n v="38.612021857923494"/>
    <n v="0"/>
    <n v="-510"/>
    <s v="CONVICTION"/>
    <x v="1"/>
    <s v="N"/>
    <m/>
    <s v="CONVICTION"/>
    <s v="Y"/>
    <x v="0"/>
    <x v="0"/>
    <s v="Y"/>
    <n v="0.32747603833865813"/>
    <n v="0.12820512820512819"/>
    <n v="-0.19927091013352993"/>
    <n v="0"/>
    <n v="-75"/>
    <n v="130"/>
    <n v="585"/>
    <n v="205"/>
    <n v="585"/>
    <n v="510"/>
    <n v="510"/>
    <m/>
    <s v="Y"/>
    <m/>
    <s v="121-365 DAYS"/>
    <n v="6"/>
    <x v="0"/>
  </r>
  <r>
    <n v="1871"/>
    <s v="N"/>
    <s v="N"/>
    <n v="1101158"/>
    <n v="5"/>
    <d v="2012-03-10T00:00:00"/>
    <d v="2012-03-12T00:00:00"/>
    <n v="1101158"/>
    <d v="2012-03-10T00:00:00"/>
    <d v="2012-03-12T00:00:00"/>
    <n v="15000"/>
    <x v="0"/>
    <m/>
    <s v="N"/>
    <s v="NONE"/>
    <s v="GUILTY PLEA - NO JURY"/>
    <n v="3"/>
    <n v="3"/>
    <n v="6"/>
    <n v="4"/>
    <n v="5"/>
    <m/>
    <m/>
    <m/>
    <m/>
    <m/>
    <m/>
    <m/>
    <m/>
    <d v="1971-09-14T00:00:00"/>
    <s v="M"/>
    <s v="W"/>
    <s v="WHITE"/>
    <s v="NULL"/>
    <s v="180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3"/>
    <n v="3"/>
    <n v="3"/>
    <n v="40.404371584699454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13"/>
    <s v="N"/>
    <s v="N"/>
    <n v="1101506"/>
    <n v="6"/>
    <d v="2012-01-07T00:00:00"/>
    <d v="2012-05-18T00:00:00"/>
    <n v="1101506"/>
    <d v="2012-01-07T00:00:00"/>
    <d v="2012-05-18T00:00:00"/>
    <s v="NO BOND"/>
    <x v="1"/>
    <m/>
    <s v="N"/>
    <s v="NONE"/>
    <s v="GUILTY PLEA - NO JURY"/>
    <n v="133"/>
    <n v="133"/>
    <n v="1"/>
    <n v="2"/>
    <n v="2"/>
    <m/>
    <m/>
    <m/>
    <m/>
    <m/>
    <m/>
    <m/>
    <m/>
    <d v="1969-12-10T00:00:00"/>
    <s v="M"/>
    <s v="H"/>
    <s v="HISPANIC"/>
    <s v="HISPANIC"/>
    <s v="339"/>
    <s v="CONVICTED"/>
    <n v="5"/>
    <s v="TDC"/>
    <n v="5"/>
    <m/>
    <m/>
    <s v="AGG ROBBERY-DEADLY WPN"/>
    <m/>
    <s v="F1"/>
    <s v="ROBBERY"/>
    <m/>
    <m/>
    <m/>
    <m/>
    <m/>
    <m/>
    <m/>
    <m/>
    <m/>
    <s v="Appointed Attorney"/>
    <m/>
    <m/>
    <n v="133"/>
    <n v="133"/>
    <n v="133"/>
    <n v="41.989071038251367"/>
    <n v="0"/>
    <n v="0"/>
    <s v="CONVICTION"/>
    <x v="0"/>
    <s v="N"/>
    <m/>
    <s v="CONVICTION"/>
    <s v="Y"/>
    <x v="0"/>
    <x v="0"/>
    <s v="Y"/>
    <n v="1"/>
    <n v="1"/>
    <n v="0"/>
    <n v="0"/>
    <n v="-133"/>
    <n v="0"/>
    <n v="133"/>
    <e v="#VALUE!"/>
    <n v="133"/>
    <n v="0"/>
    <n v="0"/>
    <m/>
    <s v="Y"/>
    <m/>
    <s v="121-365 DAYS"/>
    <n v="6"/>
    <x v="0"/>
  </r>
  <r>
    <n v="1096"/>
    <s v="N"/>
    <s v="N"/>
    <n v="1103218"/>
    <n v="6"/>
    <d v="2012-02-09T00:00:00"/>
    <d v="2012-02-13T00:00:00"/>
    <n v="1103218"/>
    <d v="2012-02-10T00:00:00"/>
    <d v="2012-02-13T00:00:00"/>
    <s v="NO BOND"/>
    <x v="1"/>
    <m/>
    <s v="N"/>
    <s v="NONE"/>
    <s v="GUILTY PLEA - NO JURY"/>
    <n v="4"/>
    <n v="5"/>
    <n v="2"/>
    <n v="2"/>
    <n v="2"/>
    <m/>
    <m/>
    <m/>
    <m/>
    <m/>
    <m/>
    <m/>
    <m/>
    <d v="1958-11-15T00:00:00"/>
    <s v="M"/>
    <s v="B"/>
    <s v="BLACK"/>
    <s v="NULL"/>
    <s v="176"/>
    <s v="CONVICTED"/>
    <n v="1"/>
    <s v="TDC"/>
    <n v="3"/>
    <m/>
    <m/>
    <s v="TAMPER/FABRICATE EVIDENCE"/>
    <m/>
    <s v="F3"/>
    <s v="OTHER FEL"/>
    <m/>
    <m/>
    <m/>
    <m/>
    <m/>
    <m/>
    <m/>
    <m/>
    <m/>
    <s v="Appointed Attorney"/>
    <m/>
    <m/>
    <n v="4"/>
    <n v="4"/>
    <n v="5"/>
    <n v="53.125683060109289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3080"/>
    <s v="N"/>
    <s v="N"/>
    <n v="1106952"/>
    <n v="1"/>
    <d v="2012-04-24T00:00:00"/>
    <d v="2012-06-20T00:00:00"/>
    <n v="1106952"/>
    <d v="2012-04-24T00:00:00"/>
    <d v="2012-06-20T00:00:00"/>
    <n v="30000"/>
    <x v="2"/>
    <m/>
    <s v="N"/>
    <s v="NONE"/>
    <s v="DISMISSED"/>
    <n v="58"/>
    <n v="58"/>
    <n v="2"/>
    <n v="2"/>
    <n v="1"/>
    <m/>
    <m/>
    <m/>
    <m/>
    <m/>
    <m/>
    <m/>
    <m/>
    <d v="1964-01-27T00:00:00"/>
    <s v="M"/>
    <s v="B"/>
    <s v="BLACK"/>
    <s v="NON-HISPANIC"/>
    <s v="180"/>
    <s v="DISMISSED"/>
    <n v="3"/>
    <s v="DISMISSED"/>
    <m/>
    <m/>
    <m/>
    <s v="AGG ASSAULT W/DEADLY WEAPON"/>
    <m/>
    <s v="F2"/>
    <s v="ASLT-MURDR"/>
    <m/>
    <m/>
    <m/>
    <m/>
    <m/>
    <m/>
    <m/>
    <m/>
    <m/>
    <s v="Appointed Attorney"/>
    <m/>
    <m/>
    <n v="58"/>
    <n v="58"/>
    <n v="58"/>
    <n v="48.142076502732237"/>
    <n v="0"/>
    <n v="0"/>
    <s v="NO CONVICTION"/>
    <x v="0"/>
    <s v="N"/>
    <m/>
    <s v="NO CONVICTION"/>
    <s v="Y"/>
    <x v="0"/>
    <x v="0"/>
    <s v="Y"/>
    <n v="1"/>
    <n v="1"/>
    <n v="0"/>
    <n v="0"/>
    <n v="-58"/>
    <n v="0"/>
    <n v="58"/>
    <e v="#VALUE!"/>
    <n v="58"/>
    <n v="0"/>
    <n v="0"/>
    <m/>
    <s v="Y"/>
    <m/>
    <s v="31-60 DAYS"/>
    <n v="3"/>
    <x v="0"/>
  </r>
  <r>
    <n v="323"/>
    <s v="N"/>
    <s v="N"/>
    <n v="1111148"/>
    <n v="6"/>
    <d v="2012-01-13T00:00:00"/>
    <d v="2012-06-27T00:00:00"/>
    <n v="1111148"/>
    <d v="2012-02-03T00:00:00"/>
    <d v="2012-06-27T00:00:00"/>
    <s v="NO BOND"/>
    <x v="1"/>
    <m/>
    <s v="N"/>
    <s v="NONE"/>
    <s v="GUILTY PLEA - NO JURY"/>
    <n v="146"/>
    <n v="167"/>
    <n v="11"/>
    <n v="11"/>
    <n v="9"/>
    <m/>
    <m/>
    <m/>
    <m/>
    <m/>
    <m/>
    <m/>
    <m/>
    <d v="1969-10-26T00:00:00"/>
    <s v="M"/>
    <s v="B"/>
    <s v="BLACK"/>
    <s v="NULL"/>
    <s v="182"/>
    <s v="CONVICTED"/>
    <n v="6"/>
    <s v="TDC"/>
    <n v="2"/>
    <m/>
    <m/>
    <s v="STALKING"/>
    <m/>
    <s v="F3"/>
    <s v="OTHER FEL"/>
    <m/>
    <m/>
    <m/>
    <m/>
    <m/>
    <m/>
    <m/>
    <m/>
    <m/>
    <s v="Appointed Attorney"/>
    <m/>
    <m/>
    <n v="146"/>
    <n v="146"/>
    <n v="167"/>
    <n v="42.12841530054645"/>
    <n v="0"/>
    <n v="0"/>
    <s v="CONVICTION"/>
    <x v="0"/>
    <s v="N"/>
    <m/>
    <s v="CONVICTION"/>
    <s v="Y"/>
    <x v="0"/>
    <x v="0"/>
    <s v="Y"/>
    <n v="0.87425149700598803"/>
    <n v="1"/>
    <n v="0.12574850299401197"/>
    <n v="0"/>
    <n v="-146"/>
    <n v="0"/>
    <n v="146"/>
    <e v="#VALUE!"/>
    <n v="146"/>
    <n v="0"/>
    <n v="0"/>
    <m/>
    <s v="Y"/>
    <m/>
    <s v="121-365 DAYS"/>
    <n v="6"/>
    <x v="0"/>
  </r>
  <r>
    <n v="1231"/>
    <s v="N"/>
    <s v="N"/>
    <n v="1111567"/>
    <n v="4"/>
    <d v="2012-02-14T00:00:00"/>
    <d v="2012-02-16T00:00:00"/>
    <n v="1111567"/>
    <d v="2012-02-15T00:00:00"/>
    <d v="2012-02-16T00:00:00"/>
    <n v="25000"/>
    <x v="2"/>
    <m/>
    <s v="N"/>
    <s v="NONE"/>
    <s v="GUILTY PLEA - NO JURY"/>
    <n v="2"/>
    <n v="3"/>
    <n v="5"/>
    <n v="3"/>
    <n v="2"/>
    <m/>
    <m/>
    <m/>
    <m/>
    <m/>
    <m/>
    <m/>
    <m/>
    <d v="1955-11-25T00:00:00"/>
    <s v="M"/>
    <s v="B"/>
    <s v="BLACK"/>
    <s v="NON-HISPANIC"/>
    <s v="209"/>
    <s v="CONVICTED"/>
    <n v="1"/>
    <s v="HCJ"/>
    <m/>
    <m/>
    <n v="30"/>
    <s v="POSS CS PG 1 &lt;1G"/>
    <m/>
    <s v="FS"/>
    <s v="POSS DRUG"/>
    <m/>
    <m/>
    <m/>
    <m/>
    <m/>
    <m/>
    <m/>
    <m/>
    <m/>
    <s v="Appointed Attorney"/>
    <m/>
    <m/>
    <n v="2"/>
    <n v="2"/>
    <n v="3"/>
    <n v="56.106557377049178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1927"/>
    <s v="N"/>
    <s v="N"/>
    <n v="1112085"/>
    <n v="2"/>
    <d v="2012-03-13T00:00:00"/>
    <d v="2012-07-06T00:00:00"/>
    <n v="1112085"/>
    <d v="2012-03-13T00:00:00"/>
    <d v="2012-03-13T00:00:00"/>
    <n v="2000"/>
    <x v="5"/>
    <d v="2012-03-13T00:00:00"/>
    <s v="Y"/>
    <s v="PTR"/>
    <s v="DEFERRED ADJUDICATION "/>
    <n v="1"/>
    <n v="116"/>
    <n v="0"/>
    <n v="0"/>
    <m/>
    <m/>
    <m/>
    <m/>
    <m/>
    <m/>
    <m/>
    <m/>
    <m/>
    <d v="1956-06-20T00:00:00"/>
    <s v="M"/>
    <s v="B"/>
    <s v="BLACK"/>
    <s v="NULL"/>
    <s v="184"/>
    <s v="DEFERRED"/>
    <n v="5"/>
    <s v="DEFERRED"/>
    <m/>
    <m/>
    <m/>
    <s v="POSS CS PG 1 &lt;1G"/>
    <m/>
    <s v="FS"/>
    <s v="POSS DRUG"/>
    <m/>
    <m/>
    <m/>
    <m/>
    <m/>
    <m/>
    <m/>
    <m/>
    <m/>
    <s v="Hired Attorney"/>
    <m/>
    <m/>
    <n v="1"/>
    <n v="116"/>
    <n v="116"/>
    <n v="55.614754098360656"/>
    <n v="0"/>
    <n v="-115"/>
    <s v="DEFERRED"/>
    <x v="2"/>
    <s v="Y"/>
    <m/>
    <s v="DEFERRED"/>
    <s v="Y"/>
    <x v="1"/>
    <x v="0"/>
    <s v="N"/>
    <n v="8.6206896551724137E-3"/>
    <n v="8.6206896551724137E-3"/>
    <n v="0"/>
    <n v="0"/>
    <n v="-1"/>
    <n v="0"/>
    <n v="1"/>
    <e v="#VALUE!"/>
    <n v="1"/>
    <n v="0"/>
    <n v="115"/>
    <m/>
    <s v="N"/>
    <m/>
    <s v="0-10 DAYS"/>
    <n v="1"/>
    <x v="0"/>
  </r>
  <r>
    <n v="3064"/>
    <s v="N"/>
    <s v="N"/>
    <n v="1112495"/>
    <n v="5"/>
    <d v="2012-04-23T00:00:00"/>
    <d v="2012-04-25T00:00:00"/>
    <n v="1112495"/>
    <d v="2012-04-23T00:00:00"/>
    <d v="2012-04-25T00:00:00"/>
    <n v="15000"/>
    <x v="0"/>
    <m/>
    <s v="N"/>
    <s v="NONE"/>
    <s v="GUILTY PLEA - NO JURY"/>
    <n v="3"/>
    <n v="3"/>
    <n v="9"/>
    <n v="5"/>
    <n v="9"/>
    <m/>
    <m/>
    <m/>
    <m/>
    <m/>
    <m/>
    <m/>
    <m/>
    <d v="1966-08-31T00:00:00"/>
    <s v="M"/>
    <s v="B"/>
    <s v="BLACK"/>
    <s v="NON-HISPANIC"/>
    <s v="232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3"/>
    <n v="3"/>
    <n v="3"/>
    <n v="45.551912568306008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475"/>
    <s v="N"/>
    <s v="N"/>
    <n v="1116553"/>
    <n v="2"/>
    <d v="2012-02-24T00:00:00"/>
    <d v="2012-02-27T00:00:00"/>
    <n v="1116553"/>
    <d v="2012-02-24T00:00:00"/>
    <d v="2012-02-27T00:00:00"/>
    <n v="2000"/>
    <x v="5"/>
    <m/>
    <s v="N"/>
    <s v="NONE"/>
    <s v="DEFERRED ADJUDICATION "/>
    <n v="4"/>
    <n v="4"/>
    <n v="0"/>
    <n v="4"/>
    <m/>
    <m/>
    <m/>
    <m/>
    <m/>
    <m/>
    <m/>
    <m/>
    <m/>
    <d v="1955-07-03T00:00:00"/>
    <s v="M"/>
    <s v="B"/>
    <s v="BLACK"/>
    <s v="NULL"/>
    <s v="178"/>
    <s v="DEFERRED"/>
    <n v="2"/>
    <s v="DEFERRED"/>
    <m/>
    <m/>
    <m/>
    <s v="POSS CS PG 1 &lt;1G"/>
    <m/>
    <s v="FS"/>
    <s v="POSS DRUG"/>
    <s v="revoked def adj 12/12/12 stj 15 mos "/>
    <m/>
    <m/>
    <m/>
    <m/>
    <m/>
    <m/>
    <m/>
    <m/>
    <s v="Appointed Attorney"/>
    <m/>
    <m/>
    <n v="4"/>
    <n v="4"/>
    <n v="4"/>
    <n v="56.530054644808743"/>
    <n v="0"/>
    <n v="0"/>
    <s v="DEFERRED"/>
    <x v="0"/>
    <s v="N"/>
    <m/>
    <s v="DEFERRED"/>
    <s v="Y"/>
    <x v="0"/>
    <x v="0"/>
    <s v="N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181"/>
    <s v="N"/>
    <s v="N"/>
    <n v="1118629"/>
    <n v="1"/>
    <d v="2012-01-08T00:00:00"/>
    <d v="2013-03-11T00:00:00"/>
    <n v="1118629"/>
    <d v="2012-01-09T00:00:00"/>
    <d v="2013-03-11T00:00:00"/>
    <n v="100000"/>
    <x v="2"/>
    <m/>
    <s v="N"/>
    <s v="NONE"/>
    <s v="DISMISSED"/>
    <n v="428"/>
    <n v="429"/>
    <n v="1"/>
    <n v="2"/>
    <n v="1"/>
    <m/>
    <m/>
    <m/>
    <m/>
    <m/>
    <m/>
    <m/>
    <m/>
    <d v="1971-01-11T00:00:00"/>
    <s v="M"/>
    <s v="B"/>
    <s v="BLACK"/>
    <s v="NULL"/>
    <s v="351"/>
    <s v="DISMISSED"/>
    <n v="2"/>
    <s v="DISMISSED"/>
    <m/>
    <m/>
    <m/>
    <s v="POSS MARIJ 4 OZ"/>
    <m/>
    <s v="F3"/>
    <s v="POSS DRUG"/>
    <m/>
    <m/>
    <m/>
    <m/>
    <m/>
    <m/>
    <m/>
    <m/>
    <m/>
    <s v="Hired Attorney"/>
    <m/>
    <m/>
    <n v="428"/>
    <n v="428"/>
    <n v="429"/>
    <n v="40.907103825136609"/>
    <n v="0"/>
    <n v="0"/>
    <s v="NO CONVICTION"/>
    <x v="0"/>
    <s v="N"/>
    <m/>
    <s v="NO CONVICTION"/>
    <s v="Y"/>
    <x v="0"/>
    <x v="0"/>
    <s v="Y"/>
    <n v="0.99766899766899764"/>
    <n v="1"/>
    <n v="2.3310023310023631E-3"/>
    <n v="0"/>
    <n v="-428"/>
    <n v="0"/>
    <n v="428"/>
    <e v="#VALUE!"/>
    <n v="428"/>
    <n v="0"/>
    <n v="0"/>
    <m/>
    <s v="Y"/>
    <m/>
    <s v=" &gt;1YRS&lt;2YRS"/>
    <n v="0"/>
    <x v="0"/>
  </r>
  <r>
    <n v="3256"/>
    <s v="N"/>
    <s v="N"/>
    <n v="1118920"/>
    <n v="6"/>
    <d v="2012-04-30T00:00:00"/>
    <d v="2013-03-04T00:00:00"/>
    <n v="1118920"/>
    <d v="2012-04-30T00:00:00"/>
    <d v="2013-03-04T00:00:00"/>
    <s v="NO BOND"/>
    <x v="1"/>
    <m/>
    <s v="N"/>
    <s v="NONE"/>
    <s v="GUILTY PLEA - NO JURY"/>
    <n v="309"/>
    <n v="309"/>
    <n v="6"/>
    <n v="5"/>
    <n v="4"/>
    <m/>
    <m/>
    <m/>
    <m/>
    <m/>
    <m/>
    <m/>
    <m/>
    <d v="1971-01-26T00:00:00"/>
    <s v="M"/>
    <s v="B"/>
    <s v="BLACK"/>
    <s v="NON-HISPANIC"/>
    <s v="338"/>
    <s v="CONVICTED"/>
    <n v="10"/>
    <s v="TDC"/>
    <n v="17"/>
    <m/>
    <m/>
    <s v="AGG ROBBERY-DEADLY WPN"/>
    <m/>
    <s v="F1"/>
    <s v="ROBBERY"/>
    <m/>
    <m/>
    <m/>
    <m/>
    <m/>
    <m/>
    <m/>
    <m/>
    <m/>
    <s v="Hired Attorney"/>
    <m/>
    <m/>
    <n v="309"/>
    <n v="309"/>
    <n v="309"/>
    <n v="41.174863387978142"/>
    <n v="0"/>
    <n v="0"/>
    <s v="CONVICTION"/>
    <x v="0"/>
    <s v="N"/>
    <m/>
    <s v="CONVICTION"/>
    <s v="Y"/>
    <x v="0"/>
    <x v="0"/>
    <s v="Y"/>
    <n v="1"/>
    <n v="1"/>
    <n v="0"/>
    <n v="0"/>
    <n v="-309"/>
    <n v="0"/>
    <n v="309"/>
    <e v="#VALUE!"/>
    <n v="309"/>
    <n v="0"/>
    <n v="0"/>
    <m/>
    <s v="Y"/>
    <m/>
    <s v="121-365 DAYS"/>
    <n v="6"/>
    <x v="0"/>
  </r>
  <r>
    <n v="415"/>
    <s v="N"/>
    <s v="N"/>
    <n v="1121305"/>
    <n v="4"/>
    <d v="2012-01-18T00:00:00"/>
    <d v="2012-01-20T00:00:00"/>
    <n v="1121305"/>
    <d v="2012-01-18T00:00:00"/>
    <d v="2012-01-20T00:00:00"/>
    <n v="15000"/>
    <x v="0"/>
    <m/>
    <s v="N"/>
    <s v="NONE"/>
    <s v="GUILTY PLEA - NO JURY"/>
    <n v="3"/>
    <n v="3"/>
    <n v="2"/>
    <n v="0"/>
    <n v="1"/>
    <m/>
    <m/>
    <m/>
    <m/>
    <m/>
    <m/>
    <m/>
    <m/>
    <d v="1964-04-19T00:00:00"/>
    <s v="M"/>
    <s v="B"/>
    <s v="BLACK"/>
    <s v="NULL"/>
    <s v="182"/>
    <s v="CONVICTED"/>
    <n v="1"/>
    <s v="HCJ"/>
    <m/>
    <m/>
    <n v="180"/>
    <s v="POSS CS PG 1 &lt;1G"/>
    <m/>
    <s v="FS"/>
    <s v="POSS DRUG"/>
    <m/>
    <m/>
    <m/>
    <m/>
    <m/>
    <m/>
    <m/>
    <m/>
    <m/>
    <s v="Appointed Attorney"/>
    <m/>
    <m/>
    <n v="3"/>
    <n v="3"/>
    <n v="3"/>
    <n v="47.650273224043715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875"/>
    <s v="N"/>
    <s v="N"/>
    <n v="1124850"/>
    <n v="5"/>
    <d v="2012-04-16T00:00:00"/>
    <d v="2012-04-18T00:00:00"/>
    <n v="1124850"/>
    <d v="2012-04-17T00:00:00"/>
    <d v="2012-04-18T00:00:00"/>
    <n v="5000"/>
    <x v="4"/>
    <m/>
    <s v="N"/>
    <s v="NONE"/>
    <s v="GUILTY PLEA - NO JURY"/>
    <n v="2"/>
    <n v="3"/>
    <n v="3"/>
    <n v="5"/>
    <n v="1"/>
    <n v="1"/>
    <m/>
    <m/>
    <m/>
    <m/>
    <m/>
    <m/>
    <m/>
    <d v="1972-12-29T00:00:00"/>
    <s v="M"/>
    <s v="W"/>
    <s v="WHITE"/>
    <s v="NON-HISPANIC"/>
    <s v="179"/>
    <s v="CONVICTED"/>
    <n v="1"/>
    <s v="STJ"/>
    <m/>
    <n v="9"/>
    <m/>
    <s v="UNAUTH USE OF VEHICLE"/>
    <m/>
    <s v="FS"/>
    <s v="AUTO THEFT"/>
    <m/>
    <m/>
    <m/>
    <m/>
    <m/>
    <m/>
    <m/>
    <m/>
    <m/>
    <s v="Appointed Attorney"/>
    <m/>
    <m/>
    <n v="2"/>
    <n v="2"/>
    <n v="3"/>
    <n v="39.215846994535518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3059"/>
    <s v="N"/>
    <s v="N"/>
    <n v="1124911"/>
    <n v="6"/>
    <d v="2012-04-23T00:00:00"/>
    <d v="2013-02-01T00:00:00"/>
    <n v="1124911"/>
    <d v="2012-04-30T00:00:00"/>
    <d v="2013-02-01T00:00:00"/>
    <s v="NO BOND"/>
    <x v="1"/>
    <m/>
    <s v="N"/>
    <s v="NONE"/>
    <s v="GUILTY PLEA - NO JURY"/>
    <n v="278"/>
    <n v="285"/>
    <n v="6"/>
    <n v="2"/>
    <n v="5"/>
    <m/>
    <m/>
    <m/>
    <m/>
    <m/>
    <m/>
    <m/>
    <m/>
    <d v="1968-09-07T00:00:00"/>
    <s v="M"/>
    <s v="B"/>
    <s v="BLACK"/>
    <s v="NON-HISPANIC"/>
    <s v="339"/>
    <s v="CONVICTED"/>
    <n v="8"/>
    <s v="TDC"/>
    <n v="12"/>
    <m/>
    <m/>
    <s v="INDECENCY-CHILD EXPOSURE"/>
    <m/>
    <s v="F3"/>
    <s v="SEX ABUSE"/>
    <m/>
    <m/>
    <m/>
    <m/>
    <m/>
    <m/>
    <m/>
    <m/>
    <m/>
    <s v="Appointed Attorney"/>
    <m/>
    <m/>
    <n v="278"/>
    <n v="278"/>
    <n v="285"/>
    <n v="43.535519125683059"/>
    <n v="0"/>
    <n v="0"/>
    <s v="CONVICTION"/>
    <x v="0"/>
    <s v="N"/>
    <m/>
    <s v="CONVICTION"/>
    <s v="Y"/>
    <x v="0"/>
    <x v="0"/>
    <s v="Y"/>
    <n v="0.9754385964912281"/>
    <n v="1"/>
    <n v="2.4561403508771895E-2"/>
    <n v="0"/>
    <n v="-278"/>
    <n v="0"/>
    <n v="278"/>
    <e v="#VALUE!"/>
    <n v="278"/>
    <n v="0"/>
    <n v="0"/>
    <m/>
    <s v="Y"/>
    <m/>
    <s v="121-365 DAYS"/>
    <n v="6"/>
    <x v="0"/>
  </r>
  <r>
    <n v="807"/>
    <s v="N"/>
    <s v="N"/>
    <n v="1127650"/>
    <n v="5"/>
    <d v="2012-01-31T00:00:00"/>
    <d v="2012-07-26T00:00:00"/>
    <n v="1127650"/>
    <d v="2012-03-29T00:00:00"/>
    <d v="2012-07-26T00:00:00"/>
    <n v="15000"/>
    <x v="0"/>
    <m/>
    <s v="N"/>
    <s v="NONE"/>
    <s v="GUILTY PLEA - NO JURY"/>
    <n v="120"/>
    <n v="178"/>
    <n v="5"/>
    <n v="3"/>
    <n v="4"/>
    <m/>
    <m/>
    <m/>
    <m/>
    <m/>
    <m/>
    <m/>
    <m/>
    <d v="1967-04-01T00:00:00"/>
    <s v="F"/>
    <s v="B"/>
    <s v="BLACK"/>
    <s v="NON-HISPANIC"/>
    <s v="248"/>
    <s v="CONVICTED"/>
    <n v="7"/>
    <s v="STJ"/>
    <m/>
    <n v="6"/>
    <m/>
    <s v="FORGERY"/>
    <m/>
    <s v="FS"/>
    <s v="OTHER FEL"/>
    <m/>
    <m/>
    <m/>
    <m/>
    <m/>
    <m/>
    <m/>
    <m/>
    <m/>
    <s v="Appointed Attorney"/>
    <m/>
    <m/>
    <n v="120"/>
    <n v="120"/>
    <n v="178"/>
    <n v="44.743169398907106"/>
    <n v="0"/>
    <n v="0"/>
    <s v="CONVICTION"/>
    <x v="0"/>
    <s v="N"/>
    <m/>
    <s v="CONVICTION"/>
    <s v="Y"/>
    <x v="0"/>
    <x v="0"/>
    <s v="Y"/>
    <n v="0.6741573033707865"/>
    <n v="1"/>
    <n v="0.3258426966292135"/>
    <n v="0"/>
    <n v="-120"/>
    <n v="0"/>
    <n v="120"/>
    <e v="#VALUE!"/>
    <n v="120"/>
    <n v="0"/>
    <n v="0"/>
    <m/>
    <s v="Y"/>
    <m/>
    <s v="91-120 DAYS"/>
    <n v="0"/>
    <x v="0"/>
  </r>
  <r>
    <n v="3028"/>
    <s v="N"/>
    <s v="N"/>
    <n v="1127908"/>
    <n v="2"/>
    <d v="2012-04-22T00:00:00"/>
    <d v="2012-05-30T00:00:00"/>
    <n v="1127908"/>
    <d v="2012-04-22T00:00:00"/>
    <d v="2012-05-30T00:00:00"/>
    <n v="15000"/>
    <x v="0"/>
    <m/>
    <s v="N"/>
    <s v="NONE"/>
    <s v="DEFERRED ADJUDICATION "/>
    <n v="39"/>
    <n v="39"/>
    <n v="7"/>
    <n v="8"/>
    <n v="3"/>
    <m/>
    <m/>
    <m/>
    <m/>
    <m/>
    <m/>
    <m/>
    <m/>
    <d v="1973-03-09T00:00:00"/>
    <s v="F"/>
    <s v="W"/>
    <s v="WHITE"/>
    <s v="NON-HISPANIC"/>
    <s v="179"/>
    <s v="DEFERRED"/>
    <n v="3"/>
    <s v="DEFERRED"/>
    <m/>
    <m/>
    <m/>
    <s v="POSS CS PG 1 &lt;1G"/>
    <m/>
    <s v="FS"/>
    <s v="POSS DRUG"/>
    <m/>
    <m/>
    <m/>
    <m/>
    <m/>
    <m/>
    <m/>
    <m/>
    <m/>
    <s v="Appointed Attorney"/>
    <m/>
    <m/>
    <n v="39"/>
    <n v="39"/>
    <n v="39"/>
    <n v="39.040983606557376"/>
    <n v="0"/>
    <n v="0"/>
    <s v="DEFERRED"/>
    <x v="0"/>
    <s v="N"/>
    <m/>
    <s v="DEFERRED"/>
    <s v="Y"/>
    <x v="0"/>
    <x v="0"/>
    <s v="Y"/>
    <n v="1"/>
    <n v="1"/>
    <n v="0"/>
    <n v="0"/>
    <n v="-39"/>
    <n v="0"/>
    <n v="39"/>
    <e v="#VALUE!"/>
    <n v="39"/>
    <n v="0"/>
    <n v="0"/>
    <m/>
    <s v="Y"/>
    <m/>
    <s v="31-60 DAYS"/>
    <n v="3"/>
    <x v="0"/>
  </r>
  <r>
    <n v="682"/>
    <s v="N"/>
    <s v="N"/>
    <n v="1128707"/>
    <n v="2"/>
    <d v="2012-01-27T00:00:00"/>
    <d v="2012-05-01T00:00:00"/>
    <n v="1128707"/>
    <d v="2012-03-05T00:00:00"/>
    <d v="2012-05-01T00:00:00"/>
    <s v="NO BOND"/>
    <x v="1"/>
    <m/>
    <s v="N"/>
    <s v="NONE"/>
    <s v="DEFERRED ADJUDICATION "/>
    <n v="58"/>
    <n v="96"/>
    <n v="3"/>
    <n v="1"/>
    <n v="1"/>
    <m/>
    <m/>
    <m/>
    <m/>
    <m/>
    <m/>
    <m/>
    <m/>
    <d v="1972-07-11T00:00:00"/>
    <s v="M"/>
    <s v="B"/>
    <s v="BLACK"/>
    <s v="NON-HISPANIC"/>
    <s v="180"/>
    <s v="DEFERRED"/>
    <n v="4"/>
    <s v="DEFERRED"/>
    <m/>
    <m/>
    <m/>
    <s v="ASSAULT-BOD INJ-FAMILY MEMBER"/>
    <m/>
    <s v="F3"/>
    <s v="ASLT-MURDR"/>
    <m/>
    <m/>
    <m/>
    <m/>
    <m/>
    <m/>
    <m/>
    <m/>
    <m/>
    <s v="Public Defender"/>
    <m/>
    <m/>
    <n v="58"/>
    <n v="58"/>
    <n v="96"/>
    <n v="39.464480874316941"/>
    <n v="0"/>
    <n v="0"/>
    <s v="DEFERRED"/>
    <x v="0"/>
    <s v="N"/>
    <m/>
    <s v="DEFERRED"/>
    <s v="Y"/>
    <x v="0"/>
    <x v="0"/>
    <s v="Y"/>
    <n v="0.60416666666666663"/>
    <n v="1"/>
    <n v="0.39583333333333337"/>
    <n v="0"/>
    <n v="-58"/>
    <n v="0"/>
    <n v="58"/>
    <e v="#VALUE!"/>
    <n v="58"/>
    <n v="0"/>
    <n v="0"/>
    <m/>
    <s v="Y"/>
    <m/>
    <s v="31-60 DAYS"/>
    <n v="3"/>
    <x v="0"/>
  </r>
  <r>
    <n v="2198"/>
    <s v="N"/>
    <s v="N"/>
    <n v="1129253"/>
    <n v="5"/>
    <d v="2012-03-23T00:00:00"/>
    <d v="2012-03-26T00:00:00"/>
    <n v="1129253"/>
    <d v="2012-03-24T00:00:00"/>
    <d v="2012-03-26T00:00:00"/>
    <n v="15000"/>
    <x v="0"/>
    <m/>
    <s v="N"/>
    <s v="NONE"/>
    <s v="GUILTY PLEA - NO JURY"/>
    <n v="3"/>
    <n v="4"/>
    <n v="13"/>
    <n v="3"/>
    <n v="6"/>
    <m/>
    <m/>
    <m/>
    <m/>
    <m/>
    <m/>
    <m/>
    <m/>
    <d v="1968-02-04T00:00:00"/>
    <s v="F"/>
    <s v="B"/>
    <s v="BLACK"/>
    <s v="NON-HISPANIC"/>
    <s v="208"/>
    <s v="CONVICTED"/>
    <n v="2"/>
    <s v="STJ"/>
    <m/>
    <n v="12"/>
    <m/>
    <s v="MAN/DEL CS PG I &lt;1GRAM"/>
    <m/>
    <s v="FS"/>
    <s v="SALE DRUG"/>
    <m/>
    <m/>
    <m/>
    <m/>
    <m/>
    <m/>
    <m/>
    <m/>
    <m/>
    <s v="Appointed Attorney"/>
    <m/>
    <m/>
    <n v="3"/>
    <n v="3"/>
    <n v="4"/>
    <n v="44.040983606557376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651"/>
    <s v="N"/>
    <s v="N"/>
    <n v="1130030"/>
    <n v="1"/>
    <d v="2012-01-26T00:00:00"/>
    <d v="2012-03-02T00:00:00"/>
    <n v="1130030"/>
    <d v="2012-02-23T00:00:00"/>
    <d v="2012-03-02T00:00:00"/>
    <s v="NO BOND"/>
    <x v="1"/>
    <m/>
    <s v="N"/>
    <s v="NONE"/>
    <s v="DISMISSED"/>
    <n v="9"/>
    <n v="37"/>
    <n v="3"/>
    <n v="3"/>
    <n v="2"/>
    <n v="1"/>
    <m/>
    <m/>
    <m/>
    <m/>
    <m/>
    <m/>
    <m/>
    <d v="1967-11-18T00:00:00"/>
    <s v="F"/>
    <s v="B"/>
    <s v="BLACK"/>
    <s v="NON-HISPANIC"/>
    <s v="228"/>
    <s v="DISMISSED"/>
    <n v="2"/>
    <s v="DISMISSED"/>
    <m/>
    <m/>
    <m/>
    <s v="POSS CS PG 1 &lt;1G"/>
    <m/>
    <s v="FS"/>
    <s v="POSS DRUG"/>
    <m/>
    <m/>
    <m/>
    <m/>
    <m/>
    <m/>
    <m/>
    <m/>
    <m/>
    <s v="Appointed Attorney"/>
    <m/>
    <m/>
    <n v="9"/>
    <n v="9"/>
    <n v="37"/>
    <n v="44.098360655737707"/>
    <n v="0"/>
    <n v="0"/>
    <s v="NO CONVICTION"/>
    <x v="0"/>
    <s v="N"/>
    <m/>
    <s v="NO CONVICTION"/>
    <s v="Y"/>
    <x v="0"/>
    <x v="0"/>
    <s v="Y"/>
    <n v="0.24324324324324326"/>
    <n v="1"/>
    <n v="0.7567567567567568"/>
    <n v="0"/>
    <n v="-9"/>
    <n v="0"/>
    <n v="9"/>
    <e v="#VALUE!"/>
    <n v="9"/>
    <n v="0"/>
    <n v="0"/>
    <m/>
    <s v="Y"/>
    <m/>
    <s v="0-10 DAYS"/>
    <n v="1"/>
    <x v="0"/>
  </r>
  <r>
    <n v="341"/>
    <s v="N"/>
    <s v="N"/>
    <n v="1130351"/>
    <n v="5"/>
    <d v="2012-01-14T00:00:00"/>
    <d v="2012-01-17T00:00:00"/>
    <n v="1130351"/>
    <d v="2012-01-14T00:00:00"/>
    <d v="2012-01-17T00:00:00"/>
    <n v="15000"/>
    <x v="0"/>
    <m/>
    <s v="N"/>
    <s v="NONE"/>
    <s v="GUILTY PLEA - NO JURY"/>
    <n v="4"/>
    <n v="4"/>
    <n v="4"/>
    <n v="6"/>
    <n v="4"/>
    <m/>
    <m/>
    <m/>
    <m/>
    <m/>
    <m/>
    <m/>
    <m/>
    <d v="1971-10-09T00:00:00"/>
    <s v="M"/>
    <s v="H"/>
    <s v="HISPANIC"/>
    <s v="HISPANIC"/>
    <s v="248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4"/>
    <n v="4"/>
    <n v="4"/>
    <n v="40.18306010928962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2638"/>
    <s v="N"/>
    <s v="N"/>
    <n v="1130429"/>
    <n v="4"/>
    <d v="2012-04-07T00:00:00"/>
    <d v="2012-11-28T00:00:00"/>
    <n v="1130429"/>
    <d v="2012-04-07T00:00:00"/>
    <d v="2012-04-08T00:00:00"/>
    <n v="15000"/>
    <x v="0"/>
    <d v="2012-04-08T00:00:00"/>
    <s v="Y"/>
    <s v="SURETY"/>
    <s v="GUILTY PLEA - NO JURY"/>
    <n v="2"/>
    <n v="236"/>
    <n v="7"/>
    <n v="4"/>
    <n v="7"/>
    <m/>
    <m/>
    <m/>
    <m/>
    <m/>
    <m/>
    <m/>
    <m/>
    <d v="1958-08-28T00:00:00"/>
    <s v="M"/>
    <s v="B"/>
    <s v="BLACK"/>
    <s v="NON-HISPANIC"/>
    <s v="178"/>
    <s v="CONVICTED"/>
    <n v="9"/>
    <s v="HCJ"/>
    <m/>
    <m/>
    <n v="88"/>
    <s v="POSS MARIJ  4 OZ. - 5 LBS."/>
    <m/>
    <s v="FS"/>
    <s v="POSS DRUG"/>
    <m/>
    <m/>
    <m/>
    <m/>
    <m/>
    <m/>
    <m/>
    <m/>
    <m/>
    <s v="Hired Attorney"/>
    <m/>
    <m/>
    <n v="2"/>
    <n v="236"/>
    <n v="236"/>
    <n v="53.5"/>
    <n v="0"/>
    <n v="-234"/>
    <s v="CONVICTION"/>
    <x v="1"/>
    <s v="Y"/>
    <m/>
    <s v="CONVICTION"/>
    <s v="Y"/>
    <x v="1"/>
    <x v="0"/>
    <s v="Y"/>
    <n v="8.4745762711864406E-3"/>
    <n v="8.4745762711864406E-3"/>
    <n v="0"/>
    <n v="0"/>
    <n v="-2"/>
    <n v="0"/>
    <n v="2"/>
    <e v="#VALUE!"/>
    <n v="2"/>
    <n v="0"/>
    <n v="234"/>
    <m/>
    <s v="Y"/>
    <m/>
    <s v="0-10 DAYS"/>
    <n v="1"/>
    <x v="0"/>
  </r>
  <r>
    <n v="3049"/>
    <s v="N"/>
    <s v="N"/>
    <n v="1132846"/>
    <n v="1"/>
    <d v="2012-04-23T00:00:00"/>
    <d v="2013-01-24T00:00:00"/>
    <n v="1132846"/>
    <d v="2012-04-23T00:00:00"/>
    <d v="2012-04-24T00:00:00"/>
    <n v="2000"/>
    <x v="5"/>
    <d v="2012-04-24T00:00:00"/>
    <s v="Y"/>
    <s v="SURETYPTRc"/>
    <s v="DISMISSED"/>
    <n v="2"/>
    <n v="277"/>
    <n v="0"/>
    <n v="2"/>
    <m/>
    <m/>
    <m/>
    <m/>
    <m/>
    <m/>
    <m/>
    <m/>
    <m/>
    <d v="1967-12-31T00:00:00"/>
    <s v="M"/>
    <s v="H"/>
    <s v="HISPANIC"/>
    <s v="HISPANIC"/>
    <s v="183"/>
    <s v="DISMISSED"/>
    <n v="11"/>
    <s v="DISMISSED"/>
    <m/>
    <m/>
    <m/>
    <s v="POSS CS PG 1 &lt;1G"/>
    <m/>
    <s v="FS"/>
    <s v="POSS DRUG"/>
    <s v="fel  drug filed 1/18/13 pend"/>
    <m/>
    <m/>
    <m/>
    <m/>
    <m/>
    <m/>
    <m/>
    <m/>
    <s v="Hired Attorney"/>
    <m/>
    <m/>
    <n v="2"/>
    <n v="277"/>
    <n v="277"/>
    <n v="44.221311475409834"/>
    <n v="0"/>
    <n v="-275"/>
    <s v="NO CONVICTION"/>
    <x v="1"/>
    <s v="Y"/>
    <m/>
    <s v="NO CONVICTION"/>
    <s v="Y"/>
    <x v="1"/>
    <x v="0"/>
    <s v="N"/>
    <n v="7.2202166064981952E-3"/>
    <n v="7.2202166064981952E-3"/>
    <n v="0"/>
    <n v="0"/>
    <n v="-2"/>
    <n v="0"/>
    <n v="2"/>
    <e v="#VALUE!"/>
    <n v="2"/>
    <n v="0"/>
    <n v="275"/>
    <m/>
    <s v="Y"/>
    <m/>
    <s v="0-10 DAYS"/>
    <n v="1"/>
    <x v="0"/>
  </r>
  <r>
    <n v="3078"/>
    <s v="N"/>
    <s v="N"/>
    <n v="1134866"/>
    <n v="2"/>
    <d v="2012-04-24T00:00:00"/>
    <d v="2012-04-26T00:00:00"/>
    <n v="1134866"/>
    <d v="2012-04-24T00:00:00"/>
    <d v="2012-04-26T00:00:00"/>
    <n v="2000"/>
    <x v="5"/>
    <m/>
    <s v="N"/>
    <s v="NONE"/>
    <s v="DEFERRED ADJUDICATION "/>
    <n v="3"/>
    <n v="3"/>
    <n v="0"/>
    <n v="3"/>
    <m/>
    <m/>
    <m/>
    <m/>
    <m/>
    <m/>
    <m/>
    <m/>
    <m/>
    <d v="1964-06-10T00:00:00"/>
    <s v="M"/>
    <s v="B"/>
    <s v="BLACK"/>
    <s v="NON-HISPANIC"/>
    <s v="185"/>
    <s v="DEFERRED"/>
    <m/>
    <s v="DEFERRED"/>
    <m/>
    <m/>
    <m/>
    <s v="POSS CS PG 1 &lt;1G"/>
    <m/>
    <s v="FS"/>
    <s v="POSS DRUG"/>
    <s v="5/10/12  bk new trial disp 90 d hcj 5/14/12"/>
    <m/>
    <m/>
    <m/>
    <m/>
    <m/>
    <m/>
    <m/>
    <m/>
    <s v="Appointed Attorney"/>
    <m/>
    <m/>
    <n v="3"/>
    <n v="3"/>
    <n v="3"/>
    <n v="47.77322404371585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039"/>
    <s v="N"/>
    <s v="N"/>
    <n v="1135261"/>
    <n v="5"/>
    <d v="2012-02-08T00:00:00"/>
    <d v="2012-02-10T00:00:00"/>
    <n v="1135261"/>
    <d v="2012-02-09T00:00:00"/>
    <d v="2012-02-10T00:00:00"/>
    <n v="15000"/>
    <x v="0"/>
    <m/>
    <s v="N"/>
    <s v="NONE"/>
    <s v="GUILTY PLEA - NO JURY"/>
    <n v="2"/>
    <n v="3"/>
    <n v="10"/>
    <n v="3"/>
    <n v="6"/>
    <n v="1"/>
    <m/>
    <m/>
    <m/>
    <m/>
    <m/>
    <m/>
    <m/>
    <d v="1968-04-25T00:00:00"/>
    <s v="M"/>
    <s v="B"/>
    <s v="BLACK"/>
    <s v="NULL"/>
    <s v="339"/>
    <s v="CONVICTED"/>
    <n v="1"/>
    <s v="STJ"/>
    <m/>
    <n v="7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43.699453551912569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1836"/>
    <s v="N"/>
    <s v="N"/>
    <n v="1136929"/>
    <n v="6"/>
    <d v="2012-03-09T00:00:00"/>
    <d v="2012-05-17T00:00:00"/>
    <n v="1136929"/>
    <d v="2012-03-14T00:00:00"/>
    <d v="2012-05-17T00:00:00"/>
    <s v="NO BOND"/>
    <x v="1"/>
    <m/>
    <s v="N"/>
    <s v="NONE"/>
    <s v="GUILTY PLEA - NO JURY"/>
    <n v="65"/>
    <n v="70"/>
    <n v="13"/>
    <n v="9"/>
    <n v="4"/>
    <n v="1"/>
    <m/>
    <m/>
    <m/>
    <m/>
    <m/>
    <m/>
    <m/>
    <d v="1956-11-07T00:00:00"/>
    <s v="M"/>
    <s v="B"/>
    <s v="BLACK"/>
    <s v="NULL"/>
    <s v="185"/>
    <s v="CONVICTED"/>
    <n v="5"/>
    <s v="TDC"/>
    <n v="8"/>
    <m/>
    <m/>
    <s v="INSURANCE FRAUD $1500-20,000"/>
    <m/>
    <s v="FS"/>
    <s v="OTHER FEL"/>
    <m/>
    <m/>
    <m/>
    <m/>
    <m/>
    <m/>
    <m/>
    <m/>
    <m/>
    <s v="Hired Attorney"/>
    <m/>
    <m/>
    <n v="65"/>
    <n v="65"/>
    <n v="70"/>
    <n v="55.221311475409834"/>
    <n v="0"/>
    <n v="0"/>
    <s v="CONVICTION"/>
    <x v="0"/>
    <s v="N"/>
    <m/>
    <s v="CONVICTION"/>
    <s v="Y"/>
    <x v="0"/>
    <x v="0"/>
    <s v="Y"/>
    <n v="0.9285714285714286"/>
    <n v="1"/>
    <n v="7.1428571428571397E-2"/>
    <n v="0"/>
    <n v="-65"/>
    <n v="0"/>
    <n v="65"/>
    <e v="#VALUE!"/>
    <n v="65"/>
    <n v="0"/>
    <n v="0"/>
    <m/>
    <s v="Y"/>
    <m/>
    <s v="61-90 DAYS"/>
    <n v="4"/>
    <x v="0"/>
  </r>
  <r>
    <n v="1525"/>
    <s v="N"/>
    <s v="N"/>
    <n v="1139624"/>
    <n v="6"/>
    <d v="2012-02-26T00:00:00"/>
    <d v="2012-11-13T00:00:00"/>
    <n v="1139624"/>
    <d v="2012-02-26T00:00:00"/>
    <d v="2012-05-12T00:00:00"/>
    <n v="55000"/>
    <x v="2"/>
    <d v="2012-05-12T00:00:00"/>
    <s v="Y"/>
    <s v="SURETY"/>
    <s v="GUILTY PLEA - NO JURY"/>
    <n v="77"/>
    <n v="262"/>
    <n v="2"/>
    <n v="7"/>
    <m/>
    <m/>
    <m/>
    <m/>
    <m/>
    <m/>
    <m/>
    <m/>
    <m/>
    <d v="1971-02-07T00:00:00"/>
    <s v="M"/>
    <s v="B"/>
    <s v="BLACK"/>
    <s v="NULL"/>
    <s v="184"/>
    <s v="CONVICTED"/>
    <n v="12"/>
    <s v="TDC"/>
    <n v="2"/>
    <m/>
    <m/>
    <s v="AGG ASSLT AGAINST PB SERVANT"/>
    <m/>
    <s v="F1"/>
    <s v="ASLT-MURDR"/>
    <m/>
    <m/>
    <m/>
    <m/>
    <m/>
    <m/>
    <m/>
    <m/>
    <m/>
    <s v="Hired Attorney"/>
    <m/>
    <m/>
    <n v="77"/>
    <n v="262"/>
    <n v="262"/>
    <n v="40.967213114754095"/>
    <n v="0"/>
    <n v="-185"/>
    <s v="CONVICTION"/>
    <x v="1"/>
    <s v="Y"/>
    <m/>
    <s v="CONVICTION"/>
    <s v="Y"/>
    <x v="1"/>
    <x v="0"/>
    <s v="Y"/>
    <n v="0.29389312977099236"/>
    <n v="0.29389312977099236"/>
    <n v="0"/>
    <n v="0"/>
    <n v="-77"/>
    <n v="0"/>
    <n v="77"/>
    <e v="#VALUE!"/>
    <n v="77"/>
    <n v="0"/>
    <n v="185"/>
    <m/>
    <s v="Y"/>
    <m/>
    <s v="61-90 DAYS"/>
    <n v="4"/>
    <x v="0"/>
  </r>
  <r>
    <n v="1201"/>
    <s v="N"/>
    <s v="N"/>
    <n v="1141530"/>
    <n v="6"/>
    <d v="2012-02-14T00:00:00"/>
    <d v="2012-05-17T00:00:00"/>
    <n v="1141530"/>
    <d v="2012-02-14T00:00:00"/>
    <d v="2012-05-17T00:00:00"/>
    <s v="NO BOND"/>
    <x v="1"/>
    <m/>
    <s v="N"/>
    <s v="NONE"/>
    <s v="GUILTY PLEA - NO JURY"/>
    <n v="94"/>
    <n v="94"/>
    <n v="4"/>
    <n v="2"/>
    <n v="2"/>
    <m/>
    <m/>
    <m/>
    <m/>
    <m/>
    <m/>
    <m/>
    <m/>
    <d v="1972-08-24T00:00:00"/>
    <s v="F"/>
    <s v="B"/>
    <s v="BLACK"/>
    <s v="NON-HISPANIC"/>
    <s v="338"/>
    <s v="CONVICTED"/>
    <n v="4"/>
    <s v="TDC"/>
    <n v="5"/>
    <m/>
    <m/>
    <s v="INJ TO DISABLED - BOD INJ"/>
    <m/>
    <s v="F3"/>
    <s v="ASLT-MURDR"/>
    <m/>
    <m/>
    <m/>
    <m/>
    <m/>
    <m/>
    <m/>
    <m/>
    <m/>
    <s v="Appointed Attorney"/>
    <m/>
    <m/>
    <n v="94"/>
    <n v="94"/>
    <n v="94"/>
    <n v="39.393442622950822"/>
    <n v="0"/>
    <n v="0"/>
    <s v="CONVICTION"/>
    <x v="0"/>
    <s v="N"/>
    <m/>
    <s v="CONVICTION"/>
    <s v="Y"/>
    <x v="0"/>
    <x v="0"/>
    <s v="Y"/>
    <n v="1"/>
    <n v="1"/>
    <n v="0"/>
    <n v="0"/>
    <n v="-94"/>
    <n v="0"/>
    <n v="94"/>
    <e v="#VALUE!"/>
    <n v="94"/>
    <n v="0"/>
    <n v="0"/>
    <m/>
    <s v="Y"/>
    <m/>
    <s v="91-120 DAYS"/>
    <n v="0"/>
    <x v="0"/>
  </r>
  <r>
    <n v="417"/>
    <s v="N"/>
    <s v="N"/>
    <n v="1142010"/>
    <n v="5"/>
    <d v="2012-01-18T00:00:00"/>
    <d v="2012-01-20T00:00:00"/>
    <n v="1142010"/>
    <d v="2012-01-19T00:00:00"/>
    <d v="2012-01-20T00:00:00"/>
    <n v="5000"/>
    <x v="4"/>
    <m/>
    <s v="N"/>
    <s v="NONE"/>
    <s v="GUILTY PLEA - NO JURY"/>
    <n v="2"/>
    <n v="3"/>
    <n v="2"/>
    <n v="1"/>
    <n v="1"/>
    <m/>
    <m/>
    <m/>
    <m/>
    <m/>
    <m/>
    <m/>
    <m/>
    <d v="1967-04-30T00:00:00"/>
    <s v="M"/>
    <s v="B"/>
    <s v="BLACK"/>
    <s v="NON-HISPANIC"/>
    <s v="230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44.62841530054645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3228"/>
    <s v="N"/>
    <s v="N"/>
    <n v="1143618"/>
    <n v="4"/>
    <d v="2012-04-29T00:00:00"/>
    <d v="2012-05-01T00:00:00"/>
    <n v="1143618"/>
    <d v="2012-04-29T00:00:00"/>
    <d v="2012-05-01T00:00:00"/>
    <n v="15000"/>
    <x v="0"/>
    <m/>
    <s v="N"/>
    <s v="NONE"/>
    <s v="GUILTY PLEA - NO JURY"/>
    <n v="3"/>
    <n v="3"/>
    <n v="6"/>
    <n v="9"/>
    <n v="5"/>
    <n v="1"/>
    <m/>
    <m/>
    <m/>
    <m/>
    <m/>
    <m/>
    <m/>
    <d v="1966-09-11T00:00:00"/>
    <s v="M"/>
    <s v="B"/>
    <s v="BLACK"/>
    <s v="NON-HISPANIC"/>
    <s v="180"/>
    <s v="CONVICTED"/>
    <n v="2"/>
    <s v="HCJ"/>
    <m/>
    <m/>
    <n v="270"/>
    <s v="POSS CS PG 1 &lt;1G"/>
    <m/>
    <s v="FS"/>
    <s v="POSS DRUG"/>
    <s v="misd assault 10/10/12 pend"/>
    <m/>
    <m/>
    <m/>
    <m/>
    <m/>
    <m/>
    <m/>
    <m/>
    <s v="Appointed Attorney"/>
    <m/>
    <m/>
    <n v="3"/>
    <n v="3"/>
    <n v="3"/>
    <n v="45.538251366120221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447"/>
    <s v="N"/>
    <s v="N"/>
    <n v="1144151"/>
    <n v="1"/>
    <d v="2012-02-23T00:00:00"/>
    <d v="2012-04-05T00:00:00"/>
    <n v="1144151"/>
    <d v="2012-02-23T00:00:00"/>
    <d v="2012-02-28T00:00:00"/>
    <n v="5000"/>
    <x v="4"/>
    <d v="2012-02-28T00:00:00"/>
    <s v="Y"/>
    <s v="SURETY"/>
    <s v="DISMISSED"/>
    <n v="6"/>
    <n v="43"/>
    <n v="1"/>
    <n v="2"/>
    <n v="1"/>
    <m/>
    <m/>
    <m/>
    <m/>
    <m/>
    <m/>
    <m/>
    <m/>
    <d v="1965-10-24T00:00:00"/>
    <s v="F"/>
    <s v="B"/>
    <s v="BLACK"/>
    <s v="NON-HISPANIC"/>
    <s v="176"/>
    <s v="DISMISSED"/>
    <n v="3"/>
    <s v="DISMISSED"/>
    <m/>
    <m/>
    <m/>
    <s v="POSS CS PG 1 &lt;1G"/>
    <m/>
    <s v="FS"/>
    <s v="POSS DRUG"/>
    <m/>
    <m/>
    <m/>
    <m/>
    <m/>
    <m/>
    <m/>
    <m/>
    <m/>
    <s v="Hired Attorney"/>
    <m/>
    <m/>
    <n v="6"/>
    <n v="43"/>
    <n v="43"/>
    <n v="46.23770491803279"/>
    <n v="0"/>
    <n v="-37"/>
    <s v="NO CONVICTION"/>
    <x v="1"/>
    <s v="Y"/>
    <m/>
    <s v="NO CONVICTION"/>
    <s v="Y"/>
    <x v="1"/>
    <x v="0"/>
    <s v="Y"/>
    <n v="0.13953488372093023"/>
    <n v="0.13953488372093023"/>
    <n v="0"/>
    <n v="0"/>
    <n v="-6"/>
    <n v="0"/>
    <n v="6"/>
    <e v="#VALUE!"/>
    <n v="6"/>
    <n v="0"/>
    <n v="37"/>
    <m/>
    <s v="Y"/>
    <m/>
    <s v="0-10 DAYS"/>
    <n v="1"/>
    <x v="0"/>
  </r>
  <r>
    <n v="2333"/>
    <s v="N"/>
    <s v="N"/>
    <n v="1144190"/>
    <n v="6"/>
    <d v="2012-03-29T00:00:00"/>
    <d v="2013-01-30T00:00:00"/>
    <n v="1144190"/>
    <d v="2012-03-29T00:00:00"/>
    <d v="2012-06-14T00:00:00"/>
    <n v="20000"/>
    <x v="0"/>
    <d v="2012-06-14T00:00:00"/>
    <s v="Y"/>
    <s v="SURETYPTRc"/>
    <s v="GUILTY PLEA - NO JURY"/>
    <n v="78"/>
    <n v="308"/>
    <n v="0"/>
    <n v="3"/>
    <m/>
    <m/>
    <m/>
    <m/>
    <m/>
    <m/>
    <m/>
    <m/>
    <m/>
    <d v="1970-06-16T00:00:00"/>
    <s v="F"/>
    <s v="W"/>
    <s v="WHITE"/>
    <s v="NULL"/>
    <s v="183"/>
    <s v="NULL"/>
    <n v="13"/>
    <s v="TDC"/>
    <n v="2"/>
    <m/>
    <m/>
    <s v="DWI 3RD OFFENDER BAC .08"/>
    <m/>
    <s v="F3"/>
    <s v="FEL DWI"/>
    <m/>
    <m/>
    <m/>
    <m/>
    <m/>
    <m/>
    <m/>
    <m/>
    <m/>
    <s v="Appointed Attorney"/>
    <m/>
    <m/>
    <n v="78"/>
    <n v="308"/>
    <n v="308"/>
    <n v="41.699453551912569"/>
    <n v="0"/>
    <n v="-230"/>
    <s v="CONVICTION"/>
    <x v="1"/>
    <s v="Y"/>
    <m/>
    <s v=""/>
    <s v="Y"/>
    <x v="1"/>
    <x v="0"/>
    <s v="N"/>
    <n v="0.25324675324675322"/>
    <n v="0.25324675324675322"/>
    <n v="0"/>
    <n v="0"/>
    <n v="-78"/>
    <n v="0"/>
    <n v="78"/>
    <e v="#VALUE!"/>
    <n v="78"/>
    <n v="0"/>
    <n v="230"/>
    <m/>
    <s v="Y"/>
    <m/>
    <s v="61-90 DAYS"/>
    <n v="4"/>
    <x v="0"/>
  </r>
  <r>
    <n v="1332"/>
    <s v="N"/>
    <s v="N"/>
    <n v="1146280"/>
    <n v="5"/>
    <d v="2012-02-18T00:00:00"/>
    <d v="2012-02-20T00:00:00"/>
    <n v="1146280"/>
    <d v="2012-02-18T00:00:00"/>
    <d v="2012-02-20T00:00:00"/>
    <n v="15000"/>
    <x v="0"/>
    <m/>
    <s v="N"/>
    <s v="NONE"/>
    <s v="GUILTY PLEA - NO JURY"/>
    <n v="3"/>
    <n v="3"/>
    <n v="5"/>
    <n v="1"/>
    <n v="5"/>
    <m/>
    <m/>
    <m/>
    <m/>
    <m/>
    <m/>
    <m/>
    <m/>
    <d v="1972-10-14T00:00:00"/>
    <s v="M"/>
    <s v="B"/>
    <s v="BLACK"/>
    <s v="NULL"/>
    <s v="177"/>
    <s v="CONVICTED"/>
    <n v="1"/>
    <s v="STJ"/>
    <m/>
    <n v="9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39.265027322404372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186"/>
    <s v="N"/>
    <s v="N"/>
    <n v="1150175"/>
    <n v="6"/>
    <d v="2012-02-13T00:00:00"/>
    <d v="2012-02-16T00:00:00"/>
    <n v="1150175"/>
    <d v="2012-02-15T00:00:00"/>
    <d v="2012-02-16T00:00:00"/>
    <n v="30000"/>
    <x v="2"/>
    <m/>
    <s v="N"/>
    <s v="NONE"/>
    <s v="GUILTY PLEA - NO JURY"/>
    <n v="2"/>
    <n v="4"/>
    <n v="7"/>
    <n v="8"/>
    <n v="6"/>
    <m/>
    <m/>
    <m/>
    <m/>
    <m/>
    <m/>
    <m/>
    <m/>
    <d v="1972-01-08T00:00:00"/>
    <s v="M"/>
    <s v="W"/>
    <s v="WHITE"/>
    <s v="NULL"/>
    <s v="208"/>
    <s v="CONVICTED"/>
    <n v="2"/>
    <s v="TDC"/>
    <n v="7"/>
    <m/>
    <m/>
    <s v="BURGLARY OF A BUILDING"/>
    <m/>
    <s v="FS"/>
    <s v="BURGLARY"/>
    <m/>
    <m/>
    <m/>
    <m/>
    <m/>
    <m/>
    <m/>
    <m/>
    <m/>
    <s v="Appointed Attorney"/>
    <m/>
    <m/>
    <n v="2"/>
    <n v="2"/>
    <n v="4"/>
    <n v="40.016393442622949"/>
    <n v="0"/>
    <n v="0"/>
    <s v="CONVICTION"/>
    <x v="0"/>
    <s v="N"/>
    <m/>
    <s v="CONVICTION"/>
    <s v="Y"/>
    <x v="0"/>
    <x v="0"/>
    <s v="Y"/>
    <n v="0.5"/>
    <n v="1"/>
    <n v="0.5"/>
    <n v="0"/>
    <n v="-2"/>
    <n v="0"/>
    <n v="2"/>
    <e v="#VALUE!"/>
    <n v="2"/>
    <n v="0"/>
    <n v="0"/>
    <m/>
    <s v="Y"/>
    <m/>
    <s v="0-10 DAYS"/>
    <n v="1"/>
    <x v="0"/>
  </r>
  <r>
    <n v="2136"/>
    <s v="N"/>
    <s v="N"/>
    <n v="1150549"/>
    <n v="6"/>
    <d v="2012-03-21T00:00:00"/>
    <d v="2012-05-23T00:00:00"/>
    <n v="1150549"/>
    <d v="2012-03-21T00:00:00"/>
    <d v="2012-05-23T00:00:00"/>
    <s v="NO BOND"/>
    <x v="1"/>
    <m/>
    <s v="N"/>
    <s v="NONE"/>
    <s v="GUILTY PLEA - NO JURY"/>
    <n v="64"/>
    <n v="64"/>
    <n v="4"/>
    <n v="6"/>
    <n v="3"/>
    <m/>
    <m/>
    <m/>
    <m/>
    <m/>
    <m/>
    <m/>
    <m/>
    <d v="1974-12-18T00:00:00"/>
    <s v="M"/>
    <s v="B"/>
    <s v="BLACK"/>
    <s v="NON-HISPANIC"/>
    <s v="178"/>
    <s v="CONVICTED"/>
    <n v="6"/>
    <s v="TDC"/>
    <n v="2"/>
    <m/>
    <m/>
    <s v="FELON POSS WPN"/>
    <m/>
    <s v="F3"/>
    <s v="OTHER FEL"/>
    <m/>
    <m/>
    <m/>
    <m/>
    <m/>
    <m/>
    <m/>
    <m/>
    <m/>
    <s v="Hired Attorney"/>
    <m/>
    <m/>
    <n v="64"/>
    <n v="64"/>
    <n v="64"/>
    <n v="37.180327868852459"/>
    <n v="0"/>
    <n v="0"/>
    <s v="CONVICTION"/>
    <x v="0"/>
    <s v="N"/>
    <m/>
    <s v="CONVICTION"/>
    <s v="Y"/>
    <x v="0"/>
    <x v="0"/>
    <s v="Y"/>
    <n v="1"/>
    <n v="1"/>
    <n v="0"/>
    <n v="0"/>
    <n v="-64"/>
    <n v="0"/>
    <n v="64"/>
    <e v="#VALUE!"/>
    <n v="64"/>
    <n v="0"/>
    <n v="0"/>
    <m/>
    <s v="Y"/>
    <m/>
    <s v="61-90 DAYS"/>
    <n v="4"/>
    <x v="0"/>
  </r>
  <r>
    <n v="664"/>
    <s v="N"/>
    <s v="N"/>
    <n v="1150903"/>
    <n v="5"/>
    <d v="2012-01-27T00:00:00"/>
    <d v="2012-01-30T00:00:00"/>
    <n v="1150903"/>
    <d v="2012-01-27T00:00:00"/>
    <d v="2012-01-30T00:00:00"/>
    <n v="15000"/>
    <x v="0"/>
    <m/>
    <s v="N"/>
    <s v="NONE"/>
    <s v="GUILTY PLEA - NO JURY"/>
    <n v="4"/>
    <n v="4"/>
    <n v="2"/>
    <n v="3"/>
    <n v="2"/>
    <m/>
    <m/>
    <m/>
    <m/>
    <m/>
    <m/>
    <m/>
    <m/>
    <d v="1970-09-07T00:00:00"/>
    <s v="M"/>
    <s v="B"/>
    <s v="BLACK"/>
    <s v="NON-HISPANIC"/>
    <s v="208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4"/>
    <n v="4"/>
    <n v="4"/>
    <n v="41.303278688524593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1205"/>
    <s v="N"/>
    <s v="N"/>
    <n v="1151758"/>
    <n v="5"/>
    <d v="2012-02-14T00:00:00"/>
    <d v="2012-02-22T00:00:00"/>
    <n v="1151758"/>
    <d v="2012-02-14T00:00:00"/>
    <d v="2012-02-22T00:00:00"/>
    <n v="15000"/>
    <x v="0"/>
    <m/>
    <s v="N"/>
    <s v="NONE"/>
    <s v="GUILTY PLEA - NO JURY"/>
    <n v="9"/>
    <n v="9"/>
    <n v="3"/>
    <n v="1"/>
    <n v="2"/>
    <m/>
    <m/>
    <m/>
    <m/>
    <m/>
    <m/>
    <m/>
    <m/>
    <d v="1958-09-23T00:00:00"/>
    <s v="M"/>
    <s v="B"/>
    <s v="BLACK"/>
    <s v="NULL"/>
    <s v="339"/>
    <s v="CONVICTED"/>
    <n v="2"/>
    <s v="STJ"/>
    <m/>
    <n v="8"/>
    <m/>
    <s v="MAN/DEL CS PG I &lt;1GRAM"/>
    <m/>
    <s v="FS"/>
    <s v="SALE DRUG"/>
    <m/>
    <m/>
    <m/>
    <m/>
    <m/>
    <m/>
    <m/>
    <m/>
    <m/>
    <s v="Appointed Attorney"/>
    <m/>
    <m/>
    <n v="9"/>
    <n v="9"/>
    <n v="9"/>
    <n v="53.284153005464482"/>
    <n v="0"/>
    <n v="0"/>
    <s v="CONVICTION"/>
    <x v="0"/>
    <s v="N"/>
    <m/>
    <s v="CONVICTION"/>
    <s v="Y"/>
    <x v="0"/>
    <x v="0"/>
    <s v="Y"/>
    <n v="1"/>
    <n v="1"/>
    <n v="0"/>
    <n v="0"/>
    <n v="-9"/>
    <n v="0"/>
    <n v="9"/>
    <e v="#VALUE!"/>
    <n v="9"/>
    <n v="0"/>
    <n v="0"/>
    <m/>
    <s v="Y"/>
    <m/>
    <s v="0-10 DAYS"/>
    <n v="1"/>
    <x v="0"/>
  </r>
  <r>
    <n v="1932"/>
    <s v="N"/>
    <s v="N"/>
    <n v="1152798"/>
    <n v="6"/>
    <d v="2012-03-13T00:00:00"/>
    <d v="2012-03-15T00:00:00"/>
    <n v="1152798"/>
    <d v="2012-03-14T00:00:00"/>
    <d v="2012-03-15T00:00:00"/>
    <n v="10000"/>
    <x v="3"/>
    <m/>
    <s v="N"/>
    <s v="NONE"/>
    <s v="GUILTY PLEA - NO JURY"/>
    <n v="2"/>
    <n v="3"/>
    <n v="11"/>
    <n v="6"/>
    <n v="7"/>
    <m/>
    <m/>
    <m/>
    <m/>
    <m/>
    <m/>
    <m/>
    <m/>
    <d v="1968-12-18T00:00:00"/>
    <s v="M"/>
    <s v="B"/>
    <s v="BLACK"/>
    <s v="NON-HISPANIC"/>
    <s v="179"/>
    <s v="CONVICTED"/>
    <n v="1"/>
    <s v="TDC"/>
    <n v="6"/>
    <m/>
    <m/>
    <s v="THEFT &gt;=$20,000 &lt;$100,000"/>
    <m/>
    <s v="F3"/>
    <s v="THEFT"/>
    <m/>
    <m/>
    <m/>
    <m/>
    <m/>
    <m/>
    <m/>
    <m/>
    <m/>
    <s v="Public Defender"/>
    <m/>
    <m/>
    <n v="2"/>
    <n v="2"/>
    <n v="3"/>
    <n v="43.144808743169399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816"/>
    <s v="N"/>
    <s v="N"/>
    <n v="1155637"/>
    <n v="1"/>
    <d v="2012-04-13T00:00:00"/>
    <d v="2012-11-08T00:00:00"/>
    <n v="1155637"/>
    <s v="NOT BOOKED"/>
    <s v="NOT BOOKED"/>
    <n v="5000"/>
    <x v="4"/>
    <d v="2012-04-14T00:00:00"/>
    <s v="Y"/>
    <s v="SURETY"/>
    <s v="DISMISSED"/>
    <n v="0"/>
    <n v="210"/>
    <n v="1"/>
    <n v="6"/>
    <m/>
    <m/>
    <m/>
    <m/>
    <m/>
    <m/>
    <m/>
    <m/>
    <m/>
    <d v="1972-09-11T00:00:00"/>
    <s v="M"/>
    <s v="W"/>
    <s v="WHITE"/>
    <s v="NULL"/>
    <s v="180"/>
    <s v="DISMISSED"/>
    <n v="9"/>
    <s v="DISMISSED"/>
    <m/>
    <m/>
    <m/>
    <s v="THEFT &gt;=$20,000 &lt;$100,000"/>
    <m/>
    <s v="F3"/>
    <s v="THEFT"/>
    <m/>
    <m/>
    <m/>
    <m/>
    <m/>
    <m/>
    <m/>
    <m/>
    <m/>
    <s v="Hired Attorney"/>
    <m/>
    <m/>
    <n v="0"/>
    <n v="0"/>
    <n v="210"/>
    <n v="39.505464480874316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614"/>
    <s v="N"/>
    <s v="N"/>
    <n v="1156075"/>
    <n v="3"/>
    <d v="2012-01-25T00:00:00"/>
    <d v="2012-08-20T00:00:00"/>
    <n v="1156075"/>
    <s v="NOT BOOKED"/>
    <s v="NOT BOOKED"/>
    <n v="10000"/>
    <x v="3"/>
    <d v="2012-01-26T00:00:00"/>
    <s v="Y"/>
    <s v="SURETYPTRc"/>
    <s v="GUILTY PLEA - NO JURY"/>
    <n v="0"/>
    <n v="209"/>
    <n v="0"/>
    <n v="3"/>
    <m/>
    <m/>
    <m/>
    <m/>
    <m/>
    <m/>
    <m/>
    <m/>
    <m/>
    <d v="1964-01-13T00:00:00"/>
    <s v="M"/>
    <s v="W"/>
    <s v="WHITE"/>
    <s v="NULL"/>
    <s v="248"/>
    <s v="CONVICTED"/>
    <n v="8"/>
    <s v="PROBATION"/>
    <m/>
    <m/>
    <n v="10"/>
    <s v="DWI 3RD OFFENDER BAC .08"/>
    <m/>
    <s v="F3"/>
    <s v="FEL DWI"/>
    <m/>
    <m/>
    <m/>
    <m/>
    <m/>
    <m/>
    <m/>
    <m/>
    <m/>
    <s v="Hired Attorney"/>
    <m/>
    <m/>
    <n v="0"/>
    <n v="0"/>
    <n v="209"/>
    <n v="47.934426229508198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1302"/>
    <s v="N"/>
    <s v="N"/>
    <n v="1156158"/>
    <n v="5"/>
    <d v="2012-02-17T00:00:00"/>
    <d v="2012-05-17T00:00:00"/>
    <n v="1156158"/>
    <d v="2012-02-17T00:00:00"/>
    <d v="2012-05-17T00:00:00"/>
    <n v="10000"/>
    <x v="3"/>
    <m/>
    <s v="N"/>
    <s v="NONE"/>
    <s v="GUILTY PLEA - NO JURY"/>
    <n v="91"/>
    <n v="91"/>
    <n v="11"/>
    <n v="8"/>
    <n v="7"/>
    <m/>
    <m/>
    <m/>
    <m/>
    <m/>
    <m/>
    <m/>
    <m/>
    <d v="1969-01-24T00:00:00"/>
    <s v="F"/>
    <s v="W"/>
    <s v="WHITE"/>
    <s v="NULL"/>
    <s v="232"/>
    <s v="CONVICTED"/>
    <n v="4"/>
    <s v="STJ"/>
    <m/>
    <n v="10"/>
    <m/>
    <s v="POSS CS PG 1 &lt;1G"/>
    <m/>
    <s v="FS"/>
    <s v="POSS DRUG"/>
    <m/>
    <m/>
    <m/>
    <m/>
    <m/>
    <m/>
    <m/>
    <m/>
    <m/>
    <s v="Appointed Attorney"/>
    <m/>
    <m/>
    <n v="91"/>
    <n v="91"/>
    <n v="91"/>
    <n v="42.975409836065573"/>
    <n v="0"/>
    <n v="0"/>
    <s v="CONVICTION"/>
    <x v="0"/>
    <s v="N"/>
    <m/>
    <s v="CONVICTION"/>
    <s v="Y"/>
    <x v="0"/>
    <x v="0"/>
    <s v="Y"/>
    <n v="1"/>
    <n v="1"/>
    <n v="0"/>
    <n v="0"/>
    <n v="-91"/>
    <n v="0"/>
    <n v="91"/>
    <e v="#VALUE!"/>
    <n v="91"/>
    <n v="0"/>
    <n v="0"/>
    <m/>
    <s v="Y"/>
    <m/>
    <s v="91-120 DAYS"/>
    <n v="0"/>
    <x v="0"/>
  </r>
  <r>
    <n v="1464"/>
    <s v="N"/>
    <s v="Y"/>
    <n v="1156910"/>
    <n v="5"/>
    <d v="2012-02-23T00:00:00"/>
    <d v="2012-05-18T00:00:00"/>
    <n v="1156910"/>
    <d v="2012-02-23T00:00:00"/>
    <d v="2012-03-04T00:00:00"/>
    <n v="3500"/>
    <x v="4"/>
    <d v="2012-03-04T00:00:00"/>
    <s v="Y"/>
    <s v="SURETY"/>
    <s v="GUILTY PLEA - NO JURY"/>
    <n v="18"/>
    <n v="86"/>
    <n v="2"/>
    <n v="1"/>
    <m/>
    <n v="1"/>
    <m/>
    <m/>
    <m/>
    <m/>
    <m/>
    <m/>
    <m/>
    <d v="1973-12-23T00:00:00"/>
    <s v="M"/>
    <s v="W"/>
    <s v="WHITE"/>
    <s v="NON-HISPANIC"/>
    <s v="232"/>
    <s v="CONVICTED"/>
    <n v="5"/>
    <s v="STJ"/>
    <m/>
    <n v="6"/>
    <m/>
    <s v="BURGLARY OF A BUILDING"/>
    <m/>
    <s v="FS"/>
    <s v="BURGLARY"/>
    <s v="2 CASES"/>
    <m/>
    <s v="Y"/>
    <s v=" BF4/12/12 "/>
    <m/>
    <m/>
    <m/>
    <m/>
    <m/>
    <s v="Public Defender"/>
    <m/>
    <m/>
    <n v="18"/>
    <n v="86"/>
    <n v="86"/>
    <n v="38.090163934426229"/>
    <n v="0"/>
    <n v="-75"/>
    <s v="CONVICTION"/>
    <x v="1"/>
    <s v="Y"/>
    <m/>
    <s v="CONVICTION"/>
    <s v="Y"/>
    <x v="0"/>
    <x v="0"/>
    <s v="Y"/>
    <n v="0.20930232558139536"/>
    <n v="0.12790697674418605"/>
    <n v="-8.1395348837209308E-2"/>
    <n v="0"/>
    <n v="-11"/>
    <n v="7"/>
    <n v="86"/>
    <n v="18"/>
    <n v="86"/>
    <n v="75"/>
    <n v="75"/>
    <m/>
    <s v="Y"/>
    <m/>
    <s v="11-30 DAYS"/>
    <n v="2"/>
    <x v="0"/>
  </r>
  <r>
    <n v="1798"/>
    <s v="N"/>
    <s v="N"/>
    <n v="1157028"/>
    <n v="5"/>
    <d v="2012-03-07T00:00:00"/>
    <d v="2012-03-09T00:00:00"/>
    <n v="1157028"/>
    <d v="2012-03-08T00:00:00"/>
    <d v="2012-03-09T00:00:00"/>
    <n v="15000"/>
    <x v="0"/>
    <m/>
    <s v="N"/>
    <s v="NONE"/>
    <s v="GUILTY PLEA - NO JURY"/>
    <n v="2"/>
    <n v="3"/>
    <n v="9"/>
    <n v="5"/>
    <n v="6"/>
    <m/>
    <m/>
    <m/>
    <m/>
    <m/>
    <m/>
    <m/>
    <m/>
    <d v="1973-09-04T00:00:00"/>
    <s v="M"/>
    <s v="B"/>
    <s v="BLACK"/>
    <s v="NON-HISPANIC"/>
    <s v="179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2"/>
    <n v="2"/>
    <n v="3"/>
    <n v="38.42622950819672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1090"/>
    <s v="N"/>
    <s v="N"/>
    <n v="1157590"/>
    <n v="1"/>
    <d v="2012-02-09T00:00:00"/>
    <d v="2013-08-01T00:00:00"/>
    <n v="1157590"/>
    <d v="2012-02-10T00:00:00"/>
    <d v="2012-02-14T00:00:00"/>
    <n v="30000"/>
    <x v="2"/>
    <d v="2012-02-14T00:00:00"/>
    <s v="Y"/>
    <s v="SURETY"/>
    <s v="DISMISSED"/>
    <n v="5"/>
    <n v="540"/>
    <n v="4"/>
    <n v="2"/>
    <n v="2"/>
    <m/>
    <m/>
    <m/>
    <m/>
    <m/>
    <m/>
    <m/>
    <m/>
    <d v="1973-10-06T00:00:00"/>
    <s v="M"/>
    <s v="B"/>
    <s v="BLACK"/>
    <s v="NON-HISPANIC"/>
    <s v="339"/>
    <s v="DISMISSED"/>
    <n v="16"/>
    <s v="DISMISSED"/>
    <m/>
    <m/>
    <m/>
    <s v="POSS W/INT DEL CS PG1&gt;=4 &lt;200"/>
    <m/>
    <s v="F1"/>
    <s v="SALE DRUG"/>
    <m/>
    <m/>
    <m/>
    <m/>
    <m/>
    <m/>
    <m/>
    <m/>
    <m/>
    <s v="Hired Attorney"/>
    <m/>
    <m/>
    <n v="5"/>
    <n v="539"/>
    <n v="540"/>
    <n v="38.265027322404372"/>
    <n v="0"/>
    <n v="-534"/>
    <s v="NO CONVICTION"/>
    <x v="1"/>
    <s v="N"/>
    <m/>
    <s v="NO CONVICTION"/>
    <s v="Y"/>
    <x v="1"/>
    <x v="0"/>
    <s v="Y"/>
    <n v="9.2592592592592587E-3"/>
    <n v="9.2764378478664197E-3"/>
    <n v="1.7178588607160913E-5"/>
    <n v="0"/>
    <n v="-5"/>
    <n v="0"/>
    <n v="5"/>
    <e v="#VALUE!"/>
    <n v="5"/>
    <n v="0"/>
    <n v="534"/>
    <m/>
    <s v="Y"/>
    <m/>
    <s v="0-10 DAYS"/>
    <n v="1"/>
    <x v="0"/>
  </r>
  <r>
    <n v="258"/>
    <s v="N"/>
    <s v="N"/>
    <n v="1158049"/>
    <n v="2"/>
    <d v="2012-01-11T00:00:00"/>
    <d v="2012-01-13T00:00:00"/>
    <n v="1158049"/>
    <d v="2012-01-12T00:00:00"/>
    <d v="2012-01-13T00:00:00"/>
    <n v="5000"/>
    <x v="4"/>
    <m/>
    <s v="N"/>
    <s v="NONE"/>
    <s v="DEFERRED ADJUDICATION "/>
    <n v="2"/>
    <n v="3"/>
    <n v="0"/>
    <n v="2"/>
    <m/>
    <m/>
    <m/>
    <m/>
    <m/>
    <m/>
    <m/>
    <m/>
    <m/>
    <d v="1971-07-26T00:00:00"/>
    <s v="F"/>
    <s v="W"/>
    <s v="WHITE"/>
    <s v="NON-HISPANIC"/>
    <s v="262"/>
    <s v="DEFERRED"/>
    <n v="3"/>
    <s v="DEFERRED"/>
    <m/>
    <m/>
    <m/>
    <s v="POSS CS PG 1 &lt;1G"/>
    <m/>
    <s v="FS"/>
    <s v="POSS DRUG"/>
    <s v="ftr 4/13/12 prob rev 4/19/12  tdc 7mos"/>
    <m/>
    <m/>
    <m/>
    <m/>
    <m/>
    <m/>
    <m/>
    <m/>
    <s v="Appointed Attorney"/>
    <m/>
    <m/>
    <n v="2"/>
    <n v="2"/>
    <n v="3"/>
    <n v="40.379781420765028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3068"/>
    <s v="N"/>
    <s v="N"/>
    <n v="1158098"/>
    <n v="4"/>
    <d v="2012-04-23T00:00:00"/>
    <d v="2012-06-26T00:00:00"/>
    <n v="1158098"/>
    <d v="2012-04-24T00:00:00"/>
    <d v="2012-06-26T00:00:00"/>
    <s v="NO BOND"/>
    <x v="1"/>
    <m/>
    <s v="N"/>
    <s v="NONE"/>
    <s v="GUILTY PLEA - NO JURY"/>
    <n v="64"/>
    <n v="65"/>
    <n v="7"/>
    <n v="7"/>
    <n v="5"/>
    <n v="1"/>
    <m/>
    <m/>
    <m/>
    <m/>
    <m/>
    <m/>
    <m/>
    <d v="1968-07-28T00:00:00"/>
    <s v="M"/>
    <s v="B"/>
    <s v="BLACK"/>
    <s v="NULL"/>
    <s v="232"/>
    <s v="CONVICTED"/>
    <n v="6"/>
    <s v="HCJ"/>
    <m/>
    <m/>
    <n v="365"/>
    <s v="AGG ASSAULT W/DEADLY WEAPON"/>
    <m/>
    <s v="F2"/>
    <s v="ASLT-MURDR"/>
    <m/>
    <m/>
    <m/>
    <m/>
    <m/>
    <m/>
    <m/>
    <m/>
    <m/>
    <s v="Public Defender"/>
    <m/>
    <m/>
    <n v="64"/>
    <n v="64"/>
    <n v="65"/>
    <n v="43.647540983606561"/>
    <n v="0"/>
    <n v="0"/>
    <s v="CONVICTION"/>
    <x v="0"/>
    <s v="N"/>
    <m/>
    <s v="CONVICTION"/>
    <s v="Y"/>
    <x v="0"/>
    <x v="0"/>
    <s v="Y"/>
    <n v="0.98461538461538467"/>
    <n v="1"/>
    <n v="1.538461538461533E-2"/>
    <n v="0"/>
    <n v="-64"/>
    <n v="0"/>
    <n v="64"/>
    <e v="#VALUE!"/>
    <n v="64"/>
    <n v="0"/>
    <n v="0"/>
    <m/>
    <s v="Y"/>
    <m/>
    <s v="61-90 DAYS"/>
    <n v="4"/>
    <x v="0"/>
  </r>
  <r>
    <n v="142"/>
    <s v="N"/>
    <s v="N"/>
    <n v="1158283"/>
    <n v="6"/>
    <d v="2012-01-07T00:00:00"/>
    <d v="2012-07-19T00:00:00"/>
    <n v="1158283"/>
    <d v="2012-01-07T00:00:00"/>
    <d v="2012-07-19T00:00:00"/>
    <s v="NO BOND"/>
    <x v="1"/>
    <m/>
    <s v="N"/>
    <s v="NONE"/>
    <s v="GUILTY PLEA - NO JURY"/>
    <n v="195"/>
    <n v="195"/>
    <n v="5"/>
    <n v="4"/>
    <n v="5"/>
    <m/>
    <m/>
    <m/>
    <m/>
    <m/>
    <m/>
    <m/>
    <m/>
    <d v="1966-09-15T00:00:00"/>
    <s v="M"/>
    <s v="B"/>
    <s v="BLACK"/>
    <s v="NON-HISPANIC"/>
    <s v="338"/>
    <s v="CONVICTED"/>
    <n v="6"/>
    <s v="TDC"/>
    <n v="10"/>
    <m/>
    <m/>
    <s v="DWI 3RD OFFENDER BAC .08"/>
    <m/>
    <s v="F3"/>
    <s v="FEL DWI"/>
    <m/>
    <m/>
    <m/>
    <m/>
    <m/>
    <m/>
    <m/>
    <m/>
    <m/>
    <s v="Hired Attorney"/>
    <m/>
    <m/>
    <n v="195"/>
    <n v="195"/>
    <n v="195"/>
    <n v="45.21857923497268"/>
    <n v="0"/>
    <n v="0"/>
    <s v="CONVICTION"/>
    <x v="0"/>
    <s v="N"/>
    <m/>
    <s v="CONVICTION"/>
    <s v="Y"/>
    <x v="0"/>
    <x v="0"/>
    <s v="Y"/>
    <n v="1"/>
    <n v="1"/>
    <n v="0"/>
    <n v="0"/>
    <n v="-195"/>
    <n v="0"/>
    <n v="195"/>
    <e v="#VALUE!"/>
    <n v="195"/>
    <n v="0"/>
    <n v="0"/>
    <m/>
    <s v="Y"/>
    <m/>
    <s v="121-365 DAYS"/>
    <n v="6"/>
    <x v="0"/>
  </r>
  <r>
    <n v="782"/>
    <s v="N"/>
    <s v="N"/>
    <n v="1158630"/>
    <n v="1"/>
    <d v="2012-01-31T00:00:00"/>
    <d v="2012-04-09T00:00:00"/>
    <n v="1158630"/>
    <d v="2012-01-31T00:00:00"/>
    <d v="2012-03-17T00:00:00"/>
    <n v="40000"/>
    <x v="2"/>
    <d v="2012-03-17T00:00:00"/>
    <s v="Y"/>
    <s v="SURETY"/>
    <s v="NO BILL"/>
    <n v="47"/>
    <n v="70"/>
    <n v="5"/>
    <n v="2"/>
    <n v="4"/>
    <m/>
    <m/>
    <m/>
    <m/>
    <m/>
    <m/>
    <m/>
    <m/>
    <d v="1958-03-17T00:00:00"/>
    <s v="M"/>
    <s v="B"/>
    <s v="BLACK"/>
    <s v="NULL"/>
    <s v="208"/>
    <s v="NO BILL"/>
    <n v="4"/>
    <s v="NO BILL"/>
    <m/>
    <m/>
    <m/>
    <s v="ASSAULT-BOD INJ-FAMILY MEMBER"/>
    <m/>
    <s v="F3"/>
    <s v="ASLT-MURDR"/>
    <m/>
    <m/>
    <m/>
    <m/>
    <m/>
    <m/>
    <m/>
    <m/>
    <m/>
    <s v="Hired Attorney"/>
    <m/>
    <m/>
    <n v="47"/>
    <n v="70"/>
    <n v="70"/>
    <n v="53.765027322404372"/>
    <n v="0"/>
    <n v="-23"/>
    <s v="NO CONVICTION"/>
    <x v="1"/>
    <s v="Y"/>
    <m/>
    <s v="NO CONVICTION"/>
    <s v="Y"/>
    <x v="1"/>
    <x v="0"/>
    <s v="Y"/>
    <n v="0.67142857142857137"/>
    <n v="0.67142857142857137"/>
    <n v="0"/>
    <n v="0"/>
    <n v="-47"/>
    <n v="0"/>
    <n v="47"/>
    <e v="#VALUE!"/>
    <n v="47"/>
    <n v="0"/>
    <n v="23"/>
    <m/>
    <s v="Y"/>
    <m/>
    <s v="31-60 DAYS"/>
    <n v="3"/>
    <x v="0"/>
  </r>
  <r>
    <n v="1605"/>
    <s v="N"/>
    <s v="N"/>
    <n v="1161585"/>
    <n v="5"/>
    <d v="2012-02-29T00:00:00"/>
    <d v="2012-03-02T00:00:00"/>
    <n v="1161585"/>
    <d v="2012-02-29T00:00:00"/>
    <d v="2012-03-02T00:00:00"/>
    <n v="5000"/>
    <x v="4"/>
    <m/>
    <s v="N"/>
    <s v="NONE"/>
    <s v="GUILTY PLEA - NO JURY"/>
    <n v="3"/>
    <n v="3"/>
    <n v="3"/>
    <n v="4"/>
    <n v="1"/>
    <m/>
    <m/>
    <m/>
    <m/>
    <m/>
    <m/>
    <m/>
    <m/>
    <d v="1971-10-18T00:00:00"/>
    <s v="M"/>
    <s v="B"/>
    <s v="BLACK"/>
    <s v="NULL"/>
    <s v="178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40.284153005464482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3017"/>
    <s v="N"/>
    <s v="N"/>
    <n v="1163601"/>
    <n v="5"/>
    <d v="2012-04-21T00:00:00"/>
    <d v="2012-04-23T00:00:00"/>
    <n v="1163601"/>
    <d v="2012-04-21T00:00:00"/>
    <d v="2012-04-23T00:00:00"/>
    <s v="NO BOND"/>
    <x v="1"/>
    <m/>
    <s v="N"/>
    <s v="NONE"/>
    <s v="GUILTY PLEA - NO JURY"/>
    <n v="3"/>
    <n v="3"/>
    <n v="4"/>
    <n v="1"/>
    <n v="3"/>
    <m/>
    <m/>
    <m/>
    <m/>
    <m/>
    <m/>
    <m/>
    <m/>
    <d v="1972-03-24T00:00:00"/>
    <s v="M"/>
    <s v="B"/>
    <s v="BLACK"/>
    <s v="NULL"/>
    <s v="262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39.994535519125684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215"/>
    <s v="N"/>
    <s v="N"/>
    <n v="1164305"/>
    <n v="5"/>
    <d v="2012-02-14T00:00:00"/>
    <d v="2012-03-14T00:00:00"/>
    <n v="1164305"/>
    <d v="2012-03-08T00:00:00"/>
    <d v="2012-03-14T00:00:00"/>
    <n v="30000"/>
    <x v="2"/>
    <m/>
    <s v="N"/>
    <s v="NONE"/>
    <s v="GUILTY PLEA - NO JURY"/>
    <n v="7"/>
    <n v="30"/>
    <n v="3"/>
    <n v="0"/>
    <n v="3"/>
    <m/>
    <m/>
    <m/>
    <m/>
    <m/>
    <m/>
    <m/>
    <m/>
    <d v="1959-01-04T00:00:00"/>
    <s v="M"/>
    <s v="W"/>
    <s v="WHITE"/>
    <s v="NON-HISPANIC"/>
    <s v="185"/>
    <s v="CONVICTED"/>
    <n v="4"/>
    <s v="STJ"/>
    <m/>
    <n v="18"/>
    <m/>
    <s v="ATT FAIL TO COMPLY AS SEX OFFE"/>
    <m/>
    <s v="FS"/>
    <s v="OTHER FEL"/>
    <m/>
    <m/>
    <m/>
    <m/>
    <m/>
    <m/>
    <m/>
    <m/>
    <m/>
    <s v="Appointed Attorney"/>
    <m/>
    <m/>
    <n v="7"/>
    <n v="7"/>
    <n v="30"/>
    <n v="53.002732240437162"/>
    <n v="0"/>
    <n v="0"/>
    <s v="CONVICTION"/>
    <x v="0"/>
    <s v="N"/>
    <m/>
    <s v="CONVICTION"/>
    <s v="Y"/>
    <x v="0"/>
    <x v="0"/>
    <s v="Y"/>
    <n v="0.23333333333333334"/>
    <n v="1"/>
    <n v="0.76666666666666661"/>
    <n v="0"/>
    <n v="-7"/>
    <n v="0"/>
    <n v="7"/>
    <e v="#VALUE!"/>
    <n v="7"/>
    <n v="0"/>
    <n v="0"/>
    <m/>
    <s v="Y"/>
    <m/>
    <s v="0-10 DAYS"/>
    <n v="1"/>
    <x v="0"/>
  </r>
  <r>
    <n v="196"/>
    <s v="N"/>
    <s v="N"/>
    <n v="1172234"/>
    <n v="6"/>
    <d v="2012-01-09T00:00:00"/>
    <d v="2012-07-11T00:00:00"/>
    <n v="1172234"/>
    <d v="2012-01-09T00:00:00"/>
    <d v="2012-07-11T00:00:00"/>
    <n v="15000"/>
    <x v="0"/>
    <m/>
    <s v="N"/>
    <s v="NONE"/>
    <s v="GUILTY PLEA - NO JURY"/>
    <n v="185"/>
    <n v="185"/>
    <n v="13"/>
    <n v="8"/>
    <n v="7"/>
    <m/>
    <m/>
    <m/>
    <m/>
    <m/>
    <m/>
    <m/>
    <m/>
    <d v="1969-09-17T00:00:00"/>
    <s v="M"/>
    <s v="B"/>
    <s v="BLACK"/>
    <s v="NON-HISPANIC"/>
    <s v="184"/>
    <s v="CONVICTED"/>
    <n v="6"/>
    <s v="TDC"/>
    <n v="6"/>
    <m/>
    <m/>
    <s v="THEFT UNDER $1500 - 3RD OFF."/>
    <m/>
    <s v="FS"/>
    <s v="THEFT"/>
    <m/>
    <m/>
    <m/>
    <m/>
    <m/>
    <m/>
    <m/>
    <m/>
    <m/>
    <s v="Appointed Attorney"/>
    <m/>
    <m/>
    <n v="185"/>
    <n v="185"/>
    <n v="185"/>
    <n v="42.224043715846996"/>
    <n v="0"/>
    <n v="0"/>
    <s v="CONVICTION"/>
    <x v="0"/>
    <s v="N"/>
    <m/>
    <s v="CONVICTION"/>
    <s v="Y"/>
    <x v="0"/>
    <x v="0"/>
    <s v="Y"/>
    <n v="1"/>
    <n v="1"/>
    <n v="0"/>
    <n v="0"/>
    <n v="-185"/>
    <n v="0"/>
    <n v="185"/>
    <e v="#VALUE!"/>
    <n v="185"/>
    <n v="0"/>
    <n v="0"/>
    <m/>
    <s v="Y"/>
    <m/>
    <s v="121-365 DAYS"/>
    <n v="6"/>
    <x v="0"/>
  </r>
  <r>
    <n v="3003"/>
    <s v="N"/>
    <s v="N"/>
    <n v="1174558"/>
    <n v="1"/>
    <d v="2012-04-20T00:00:00"/>
    <d v="2012-08-28T00:00:00"/>
    <n v="1174558"/>
    <s v="NOT BOOKED"/>
    <s v="NOT BOOKED"/>
    <n v="2000"/>
    <x v="5"/>
    <d v="2012-05-16T00:00:00"/>
    <s v="Y"/>
    <s v="CASH"/>
    <s v="DISMISSED"/>
    <n v="0"/>
    <n v="131"/>
    <n v="1"/>
    <n v="2"/>
    <m/>
    <n v="1"/>
    <m/>
    <m/>
    <m/>
    <m/>
    <m/>
    <m/>
    <m/>
    <d v="1971-11-03T00:00:00"/>
    <s v="M"/>
    <s v="H"/>
    <s v="HISPANIC"/>
    <s v="HISPANIC"/>
    <s v="338"/>
    <s v="DISMISSED"/>
    <n v="6"/>
    <s v="DISMISSED"/>
    <m/>
    <m/>
    <m/>
    <s v="FORGERY"/>
    <m/>
    <s v="FS"/>
    <s v="OTHER FEL"/>
    <m/>
    <m/>
    <m/>
    <m/>
    <m/>
    <m/>
    <m/>
    <m/>
    <m/>
    <s v="Hired Attorney"/>
    <m/>
    <m/>
    <n v="0"/>
    <n v="0"/>
    <n v="131"/>
    <n v="40.379781420765028"/>
    <e v="#VALUE!"/>
    <e v="#VALUE!"/>
    <s v="NO CONVICTION"/>
    <x v="3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985"/>
    <s v="N"/>
    <s v="N"/>
    <n v="1176678"/>
    <n v="1"/>
    <d v="2012-02-06T00:00:00"/>
    <d v="2012-03-23T00:00:00"/>
    <n v="1176678"/>
    <d v="2012-02-07T00:00:00"/>
    <d v="2012-03-23T00:00:00"/>
    <n v="15000"/>
    <x v="0"/>
    <m/>
    <s v="N"/>
    <s v="NONE"/>
    <s v="NO BILL"/>
    <n v="46"/>
    <n v="47"/>
    <n v="4"/>
    <n v="1"/>
    <m/>
    <m/>
    <m/>
    <m/>
    <m/>
    <m/>
    <m/>
    <m/>
    <m/>
    <d v="1974-02-17T00:00:00"/>
    <s v="M"/>
    <s v="H"/>
    <s v="HISPANIC"/>
    <s v="HISPANIC"/>
    <s v="185"/>
    <s v="NO BILL"/>
    <n v="5"/>
    <s v="NO BILL"/>
    <m/>
    <m/>
    <m/>
    <s v="BURGLARY OF A BUILDING"/>
    <m/>
    <s v="FS"/>
    <s v="BURGLARY"/>
    <m/>
    <m/>
    <m/>
    <m/>
    <m/>
    <m/>
    <m/>
    <m/>
    <m/>
    <s v="Appointed Attorney"/>
    <m/>
    <m/>
    <n v="46"/>
    <n v="46"/>
    <n v="47"/>
    <n v="37.89071038251366"/>
    <n v="0"/>
    <n v="0"/>
    <s v="NO CONVICTION"/>
    <x v="0"/>
    <s v="N"/>
    <m/>
    <s v="NO CONVICTION"/>
    <s v="Y"/>
    <x v="0"/>
    <x v="0"/>
    <s v="Y"/>
    <n v="0.97872340425531912"/>
    <n v="1"/>
    <n v="2.1276595744680882E-2"/>
    <n v="0"/>
    <n v="-46"/>
    <n v="0"/>
    <n v="46"/>
    <e v="#VALUE!"/>
    <n v="46"/>
    <n v="0"/>
    <n v="0"/>
    <m/>
    <s v="Y"/>
    <m/>
    <s v="31-60 DAYS"/>
    <n v="3"/>
    <x v="0"/>
  </r>
  <r>
    <n v="1116"/>
    <s v="N"/>
    <s v="N"/>
    <n v="1176922"/>
    <n v="6"/>
    <d v="2012-02-10T00:00:00"/>
    <d v="2012-04-05T00:00:00"/>
    <n v="1176922"/>
    <d v="2012-02-10T00:00:00"/>
    <d v="2012-04-05T00:00:00"/>
    <n v="5000"/>
    <x v="4"/>
    <m/>
    <s v="N"/>
    <s v="NONE"/>
    <s v="GUILTY PLEA - NO JURY"/>
    <n v="56"/>
    <n v="56"/>
    <n v="1"/>
    <n v="8"/>
    <n v="1"/>
    <m/>
    <m/>
    <m/>
    <m/>
    <m/>
    <m/>
    <m/>
    <m/>
    <d v="1969-03-12T00:00:00"/>
    <s v="M"/>
    <s v="H"/>
    <s v="HISPANIC"/>
    <s v="HISPANIC"/>
    <s v="228"/>
    <s v="CONVICTED"/>
    <n v="3"/>
    <s v="TDC"/>
    <n v="2"/>
    <m/>
    <m/>
    <s v="FELON POSS WPN"/>
    <m/>
    <s v="F3"/>
    <s v="OTHER FEL"/>
    <m/>
    <m/>
    <m/>
    <m/>
    <m/>
    <m/>
    <m/>
    <m/>
    <m/>
    <s v="Hired Attorney"/>
    <m/>
    <m/>
    <n v="56"/>
    <n v="56"/>
    <n v="56"/>
    <n v="42.827868852459019"/>
    <n v="0"/>
    <n v="0"/>
    <s v="CONVICTION"/>
    <x v="0"/>
    <s v="N"/>
    <m/>
    <s v="CONVICTION"/>
    <s v="Y"/>
    <x v="0"/>
    <x v="0"/>
    <s v="Y"/>
    <n v="1"/>
    <n v="1"/>
    <n v="0"/>
    <n v="0"/>
    <n v="-56"/>
    <n v="0"/>
    <n v="56"/>
    <e v="#VALUE!"/>
    <n v="56"/>
    <n v="0"/>
    <n v="0"/>
    <m/>
    <s v="Y"/>
    <m/>
    <s v="31-60 DAYS"/>
    <n v="3"/>
    <x v="0"/>
  </r>
  <r>
    <n v="740"/>
    <s v="N"/>
    <s v="N"/>
    <n v="1177925"/>
    <n v="5"/>
    <d v="2012-01-30T00:00:00"/>
    <d v="2012-01-31T00:00:00"/>
    <n v="1177925"/>
    <d v="2012-01-30T00:00:00"/>
    <d v="2012-01-31T00:00:00"/>
    <n v="5000"/>
    <x v="4"/>
    <m/>
    <s v="N"/>
    <s v="NONE"/>
    <s v="GUILTY PLEA - NO JURY"/>
    <n v="2"/>
    <n v="2"/>
    <n v="1"/>
    <n v="0"/>
    <n v="1"/>
    <m/>
    <m/>
    <m/>
    <m/>
    <m/>
    <m/>
    <m/>
    <m/>
    <d v="1956-05-19T00:00:00"/>
    <s v="F"/>
    <s v="B"/>
    <s v="BLACK"/>
    <s v="NULL"/>
    <s v="185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2"/>
    <n v="2"/>
    <n v="2"/>
    <n v="55.584699453551913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60"/>
    <s v="N"/>
    <s v="N"/>
    <n v="1178606"/>
    <n v="1"/>
    <d v="2012-01-04T00:00:00"/>
    <d v="2012-02-22T00:00:00"/>
    <n v="1178606"/>
    <d v="2012-01-04T00:00:00"/>
    <d v="2012-02-22T00:00:00"/>
    <n v="5000"/>
    <x v="4"/>
    <m/>
    <s v="N"/>
    <s v="NONE"/>
    <s v="NO BILL"/>
    <n v="50"/>
    <n v="50"/>
    <n v="1"/>
    <n v="3"/>
    <n v="1"/>
    <m/>
    <m/>
    <m/>
    <m/>
    <m/>
    <m/>
    <m/>
    <m/>
    <d v="1959-02-18T00:00:00"/>
    <s v="M"/>
    <s v="B"/>
    <s v="BLACK"/>
    <s v="NULL"/>
    <s v="182"/>
    <s v="NO BILL"/>
    <n v="3"/>
    <s v="NO BILL"/>
    <m/>
    <m/>
    <m/>
    <s v="POSS CS PG 1 &lt;1G"/>
    <m/>
    <s v="FS"/>
    <s v="POSS DRUG"/>
    <m/>
    <m/>
    <m/>
    <m/>
    <m/>
    <m/>
    <m/>
    <m/>
    <m/>
    <s v="Appointed Attorney"/>
    <m/>
    <m/>
    <n v="50"/>
    <n v="50"/>
    <n v="50"/>
    <n v="52.767759562841533"/>
    <n v="0"/>
    <n v="0"/>
    <s v="NO CONVICTION"/>
    <x v="0"/>
    <s v="N"/>
    <m/>
    <s v="NO CONVICTION"/>
    <s v="Y"/>
    <x v="0"/>
    <x v="0"/>
    <s v="Y"/>
    <n v="1"/>
    <n v="1"/>
    <n v="0"/>
    <n v="0"/>
    <n v="-50"/>
    <n v="0"/>
    <n v="50"/>
    <e v="#VALUE!"/>
    <n v="50"/>
    <n v="0"/>
    <n v="0"/>
    <m/>
    <s v="Y"/>
    <m/>
    <s v="31-60 DAYS"/>
    <n v="3"/>
    <x v="0"/>
  </r>
  <r>
    <n v="2518"/>
    <s v="N"/>
    <s v="N"/>
    <n v="1179169"/>
    <n v="6"/>
    <d v="2012-04-04T00:00:00"/>
    <d v="2014-02-21T00:00:00"/>
    <n v="1179169"/>
    <d v="2012-10-04T00:00:00"/>
    <d v="2013-04-18T00:00:00"/>
    <n v="35000"/>
    <x v="2"/>
    <d v="2013-04-18T00:00:00"/>
    <s v="Y"/>
    <s v="SURETY"/>
    <s v="jury verdict"/>
    <n v="196"/>
    <n v="689"/>
    <n v="2"/>
    <n v="2"/>
    <n v="1"/>
    <m/>
    <m/>
    <m/>
    <m/>
    <m/>
    <m/>
    <m/>
    <m/>
    <d v="1971-03-10T00:00:00"/>
    <s v="M"/>
    <s v="B"/>
    <s v="BLACK"/>
    <s v="NON-HISPANIC"/>
    <s v="182"/>
    <s v="CONVICTED"/>
    <n v="23"/>
    <s v="TDC"/>
    <n v="6"/>
    <m/>
    <m/>
    <s v="AGG ASSAULT-FAMILY MEMBER"/>
    <m/>
    <s v="F2"/>
    <s v="ASLT-MURDR"/>
    <m/>
    <m/>
    <m/>
    <m/>
    <m/>
    <m/>
    <m/>
    <m/>
    <m/>
    <s v="Hired Attorney"/>
    <m/>
    <m/>
    <n v="196"/>
    <n v="506"/>
    <n v="689"/>
    <n v="40.986338797814206"/>
    <n v="0"/>
    <n v="-309"/>
    <s v="CONVICTION"/>
    <x v="1"/>
    <s v="N"/>
    <m/>
    <s v="CONVICTION"/>
    <s v="Y"/>
    <x v="1"/>
    <x v="0"/>
    <s v="Y"/>
    <n v="0.28447024673439769"/>
    <n v="0.28449999999999998"/>
    <n v="0"/>
    <n v="0"/>
    <n v="-197"/>
    <n v="-1"/>
    <n v="197"/>
    <e v="#VALUE!"/>
    <n v="196"/>
    <m/>
    <n v="309"/>
    <m/>
    <s v="Y"/>
    <e v="#N/A"/>
    <s v="121-365 DAYS"/>
    <n v="6"/>
    <x v="0"/>
  </r>
  <r>
    <n v="2303"/>
    <s v="N"/>
    <s v="N"/>
    <n v="1179851"/>
    <n v="5"/>
    <d v="2012-03-28T00:00:00"/>
    <d v="2012-09-24T00:00:00"/>
    <n v="1179851"/>
    <s v="NOT BOOKED"/>
    <s v="NOT BOOKED"/>
    <n v="5000"/>
    <x v="4"/>
    <d v="2012-03-29T00:00:00"/>
    <s v="Y"/>
    <s v="SURETY"/>
    <s v="GUILTY PLEA - NO JURY"/>
    <n v="0"/>
    <n v="181"/>
    <n v="4"/>
    <n v="5"/>
    <n v="2"/>
    <m/>
    <m/>
    <m/>
    <m/>
    <m/>
    <m/>
    <m/>
    <m/>
    <d v="1974-02-24T00:00:00"/>
    <s v="F"/>
    <s v="B"/>
    <s v="BLACK"/>
    <s v="NULL"/>
    <s v="351"/>
    <s v="CONVICTED"/>
    <n v="8"/>
    <s v="STJ"/>
    <m/>
    <n v="11"/>
    <m/>
    <s v="POSS MARIJ  4 OZ. - 5 LBS."/>
    <m/>
    <s v="FS"/>
    <s v="POSS DRUG"/>
    <m/>
    <m/>
    <m/>
    <m/>
    <m/>
    <m/>
    <m/>
    <m/>
    <m/>
    <s v="Hired Attorney"/>
    <m/>
    <m/>
    <n v="0"/>
    <n v="0"/>
    <n v="181"/>
    <n v="38.010928961748633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474"/>
    <s v="N"/>
    <s v="N"/>
    <n v="1179885"/>
    <n v="3"/>
    <d v="2012-04-03T00:00:00"/>
    <d v="2012-04-26T00:00:00"/>
    <n v="1179885"/>
    <d v="2012-04-03T00:00:00"/>
    <d v="2012-04-26T00:00:00"/>
    <n v="10000"/>
    <x v="3"/>
    <m/>
    <s v="N"/>
    <s v="NONE"/>
    <s v="GUILTY PLEA - NO JURY"/>
    <n v="24"/>
    <n v="24"/>
    <n v="0"/>
    <n v="3"/>
    <m/>
    <m/>
    <m/>
    <m/>
    <m/>
    <m/>
    <m/>
    <m/>
    <m/>
    <d v="1969-09-02T00:00:00"/>
    <s v="M"/>
    <s v="H"/>
    <s v="HISPANIC"/>
    <s v="HISPANIC"/>
    <s v="248"/>
    <s v="CONVICTED"/>
    <n v="3"/>
    <s v="PROBATION"/>
    <m/>
    <m/>
    <m/>
    <s v="DWI 3RD OFFENDER BAC .08"/>
    <m/>
    <s v="F3"/>
    <s v="FEL DWI"/>
    <m/>
    <m/>
    <m/>
    <m/>
    <m/>
    <m/>
    <m/>
    <m/>
    <m/>
    <s v="Appointed Attorney"/>
    <m/>
    <m/>
    <n v="24"/>
    <n v="24"/>
    <n v="24"/>
    <n v="42.497267759562838"/>
    <n v="0"/>
    <n v="0"/>
    <s v="CONVICTION"/>
    <x v="0"/>
    <s v="N"/>
    <m/>
    <s v="CONVICTION"/>
    <s v="Y"/>
    <x v="0"/>
    <x v="0"/>
    <s v="N"/>
    <n v="1"/>
    <n v="1"/>
    <n v="0"/>
    <n v="0"/>
    <n v="-24"/>
    <n v="0"/>
    <n v="24"/>
    <e v="#VALUE!"/>
    <n v="24"/>
    <n v="0"/>
    <n v="0"/>
    <m/>
    <s v="Y"/>
    <m/>
    <s v="11-30 DAYS"/>
    <n v="2"/>
    <x v="0"/>
  </r>
  <r>
    <n v="1628"/>
    <s v="N"/>
    <s v="N"/>
    <n v="1180659"/>
    <n v="1"/>
    <d v="2012-03-01T00:00:00"/>
    <d v="2012-03-02T00:00:00"/>
    <n v="1180659"/>
    <d v="2012-03-01T00:00:00"/>
    <d v="2012-03-02T00:00:00"/>
    <n v="15000"/>
    <x v="0"/>
    <m/>
    <s v="N"/>
    <s v="NONE"/>
    <s v="DISMISSED"/>
    <n v="2"/>
    <n v="2"/>
    <n v="12"/>
    <n v="3"/>
    <n v="5"/>
    <m/>
    <m/>
    <m/>
    <m/>
    <m/>
    <m/>
    <m/>
    <m/>
    <d v="1966-09-10T00:00:00"/>
    <s v="M"/>
    <s v="W"/>
    <s v="WHITE"/>
    <s v="NON-HISPANIC"/>
    <s v="337"/>
    <s v="DISMISSED"/>
    <n v="1"/>
    <s v="DISMISSED"/>
    <m/>
    <m/>
    <m/>
    <s v="UNAUTH USE OF VEHICLE"/>
    <m/>
    <s v="FS"/>
    <s v="AUTO THEFT"/>
    <m/>
    <m/>
    <m/>
    <m/>
    <m/>
    <m/>
    <m/>
    <m/>
    <m/>
    <s v="Other/Unknown"/>
    <m/>
    <m/>
    <n v="2"/>
    <n v="2"/>
    <n v="2"/>
    <n v="45.379781420765028"/>
    <n v="0"/>
    <n v="0"/>
    <s v="NO CONVICTION"/>
    <x v="0"/>
    <s v="N"/>
    <m/>
    <s v="NO 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934"/>
    <s v="N"/>
    <s v="N"/>
    <n v="1185451"/>
    <n v="4"/>
    <d v="2012-02-04T00:00:00"/>
    <d v="2012-03-05T00:00:00"/>
    <n v="1185451"/>
    <d v="2012-02-04T00:00:00"/>
    <d v="2012-03-05T00:00:00"/>
    <n v="15000"/>
    <x v="0"/>
    <m/>
    <s v="N"/>
    <s v="NONE"/>
    <s v="GUILTY PLEA - NO JURY"/>
    <n v="31"/>
    <n v="31"/>
    <n v="3"/>
    <n v="3"/>
    <n v="1"/>
    <m/>
    <m/>
    <m/>
    <m/>
    <m/>
    <m/>
    <m/>
    <m/>
    <d v="1973-03-26T00:00:00"/>
    <s v="F"/>
    <s v="W"/>
    <s v="WHITE"/>
    <s v="NON-HISPANIC"/>
    <s v="263"/>
    <s v="CONVICTED"/>
    <n v="3"/>
    <s v="HCJ"/>
    <m/>
    <m/>
    <n v="30"/>
    <s v="POSS CS PG 1 &lt;1G"/>
    <m/>
    <s v="FS"/>
    <s v="POSS DRUG"/>
    <s v="misd prosti conv 7/19 12 hcj 90 dys"/>
    <m/>
    <m/>
    <m/>
    <m/>
    <m/>
    <m/>
    <m/>
    <m/>
    <s v="Appointed Attorney"/>
    <m/>
    <m/>
    <n v="31"/>
    <n v="31"/>
    <n v="31"/>
    <n v="38.78142076502732"/>
    <n v="0"/>
    <n v="0"/>
    <s v="CONVICTION"/>
    <x v="0"/>
    <s v="N"/>
    <m/>
    <s v="CONVICTION"/>
    <s v="Y"/>
    <x v="0"/>
    <x v="0"/>
    <s v="Y"/>
    <n v="1"/>
    <n v="1"/>
    <n v="0"/>
    <n v="0"/>
    <n v="-31"/>
    <n v="0"/>
    <n v="31"/>
    <e v="#VALUE!"/>
    <n v="31"/>
    <n v="0"/>
    <n v="0"/>
    <m/>
    <s v="Y"/>
    <m/>
    <s v="31-60 DAYS"/>
    <n v="3"/>
    <x v="0"/>
  </r>
  <r>
    <n v="1645"/>
    <s v="N"/>
    <s v="N"/>
    <n v="1186095"/>
    <n v="4"/>
    <d v="2012-03-01T00:00:00"/>
    <d v="2012-07-10T00:00:00"/>
    <n v="1186095"/>
    <d v="2012-04-11T00:00:00"/>
    <d v="2012-07-10T00:00:00"/>
    <n v="30000"/>
    <x v="2"/>
    <m/>
    <s v="N"/>
    <s v="NONE"/>
    <s v="GUILTY PLEA - NO JURY"/>
    <n v="91"/>
    <n v="132"/>
    <n v="3"/>
    <n v="7"/>
    <n v="1"/>
    <m/>
    <m/>
    <m/>
    <m/>
    <m/>
    <m/>
    <m/>
    <m/>
    <d v="1970-12-29T00:00:00"/>
    <s v="M"/>
    <s v="W"/>
    <s v="WHITE"/>
    <s v="NULL"/>
    <s v="232"/>
    <s v="CONVICTED"/>
    <n v="5"/>
    <s v="HCJ"/>
    <m/>
    <m/>
    <n v="180"/>
    <s v="AGG ASSAULT W/DEADLY WEAPON"/>
    <m/>
    <s v="F2"/>
    <s v="ASLT-MURDR"/>
    <m/>
    <m/>
    <m/>
    <m/>
    <m/>
    <m/>
    <m/>
    <m/>
    <m/>
    <s v="Appointed Attorney"/>
    <m/>
    <m/>
    <n v="91"/>
    <n v="91"/>
    <n v="132"/>
    <n v="41.087431693989068"/>
    <n v="0"/>
    <n v="0"/>
    <s v="CONVICTION"/>
    <x v="0"/>
    <s v="N"/>
    <m/>
    <s v="CONVICTION"/>
    <s v="Y"/>
    <x v="0"/>
    <x v="0"/>
    <s v="Y"/>
    <n v="0.68939393939393945"/>
    <n v="1"/>
    <n v="0.31060606060606055"/>
    <n v="0"/>
    <n v="-91"/>
    <n v="0"/>
    <n v="91"/>
    <e v="#VALUE!"/>
    <n v="91"/>
    <n v="0"/>
    <n v="0"/>
    <m/>
    <s v="Y"/>
    <m/>
    <s v="91-120 DAYS"/>
    <n v="0"/>
    <x v="0"/>
  </r>
  <r>
    <n v="2457"/>
    <s v="N"/>
    <s v="N"/>
    <n v="1187773"/>
    <n v="1"/>
    <d v="2012-04-02T00:00:00"/>
    <d v="2012-10-11T00:00:00"/>
    <n v="1187773"/>
    <d v="2012-04-03T00:00:00"/>
    <d v="2012-04-10T00:00:00"/>
    <n v="50000"/>
    <x v="2"/>
    <d v="2012-04-10T00:00:00"/>
    <s v="Y"/>
    <s v="SURETY"/>
    <s v="DISMISSED"/>
    <n v="8"/>
    <n v="193"/>
    <n v="7"/>
    <n v="5"/>
    <n v="1"/>
    <n v="1"/>
    <m/>
    <m/>
    <m/>
    <m/>
    <m/>
    <m/>
    <m/>
    <d v="1973-12-17T00:00:00"/>
    <s v="M"/>
    <s v="B"/>
    <s v="BLACK"/>
    <s v="NULL"/>
    <s v="176"/>
    <s v="DISMISSED"/>
    <n v="9"/>
    <s v="DISMISSED"/>
    <m/>
    <m/>
    <m/>
    <s v="ASSAULT-BOD INJ-FAMILY MEMBER"/>
    <m/>
    <s v="F3"/>
    <s v="ASLT-MURDR"/>
    <m/>
    <m/>
    <m/>
    <m/>
    <m/>
    <m/>
    <m/>
    <m/>
    <m/>
    <s v="Hired Attorney"/>
    <m/>
    <m/>
    <n v="8"/>
    <n v="192"/>
    <n v="193"/>
    <n v="38.213114754098363"/>
    <n v="0"/>
    <n v="-184"/>
    <s v="NO CONVICTION"/>
    <x v="1"/>
    <s v="Y"/>
    <m/>
    <s v="NO CONVICTION"/>
    <s v="Y"/>
    <x v="1"/>
    <x v="0"/>
    <s v="Y"/>
    <n v="4.145077720207254E-2"/>
    <n v="4.1666666666666664E-2"/>
    <n v="2.1588946459412395E-4"/>
    <n v="0"/>
    <n v="-8"/>
    <n v="0"/>
    <n v="8"/>
    <e v="#VALUE!"/>
    <n v="8"/>
    <n v="0"/>
    <n v="184"/>
    <m/>
    <s v="Y"/>
    <m/>
    <s v="0-10 DAYS"/>
    <n v="1"/>
    <x v="0"/>
  </r>
  <r>
    <n v="11"/>
    <s v="N"/>
    <s v="N"/>
    <n v="1190181"/>
    <n v="3"/>
    <d v="2012-01-01T00:00:00"/>
    <d v="2012-06-20T00:00:00"/>
    <n v="1190181"/>
    <d v="2012-01-02T00:00:00"/>
    <d v="2012-01-04T00:00:00"/>
    <n v="10000"/>
    <x v="3"/>
    <d v="2012-01-04T00:00:00"/>
    <s v="Y"/>
    <s v="SURETY"/>
    <s v="GUILTY PLEA - NO JURY"/>
    <n v="3"/>
    <n v="172"/>
    <n v="0"/>
    <n v="0"/>
    <m/>
    <m/>
    <m/>
    <m/>
    <m/>
    <m/>
    <m/>
    <m/>
    <m/>
    <d v="1954-12-14T00:00:00"/>
    <s v="M"/>
    <s v="H"/>
    <s v="HISPANIC"/>
    <s v="HISPANIC"/>
    <s v="337"/>
    <s v="CONVICTED"/>
    <n v="7"/>
    <s v="PROBATION"/>
    <m/>
    <m/>
    <n v="10"/>
    <s v="DWI 3RD OFFENDER BAC .08"/>
    <m/>
    <s v="F3"/>
    <s v="FEL DWI"/>
    <m/>
    <m/>
    <m/>
    <m/>
    <m/>
    <m/>
    <m/>
    <m/>
    <m/>
    <s v="Hired Attorney"/>
    <m/>
    <m/>
    <n v="3"/>
    <n v="171"/>
    <n v="172"/>
    <n v="56.931693989071036"/>
    <n v="0"/>
    <n v="-168"/>
    <s v="CONVICTION"/>
    <x v="1"/>
    <s v="Y"/>
    <m/>
    <s v="CONVICTION"/>
    <s v="Y"/>
    <x v="1"/>
    <x v="0"/>
    <s v="N"/>
    <n v="1.7441860465116279E-2"/>
    <n v="1.7543859649122806E-2"/>
    <n v="1.0199918400652722E-4"/>
    <n v="0"/>
    <n v="-3"/>
    <n v="0"/>
    <n v="3"/>
    <e v="#VALUE!"/>
    <n v="3"/>
    <n v="0"/>
    <n v="168"/>
    <m/>
    <s v="N"/>
    <m/>
    <s v="0-10 DAYS"/>
    <n v="1"/>
    <x v="0"/>
  </r>
  <r>
    <n v="1766"/>
    <s v="N"/>
    <s v="N"/>
    <n v="1190258"/>
    <n v="5"/>
    <d v="2012-03-06T00:00:00"/>
    <d v="2012-04-27T00:00:00"/>
    <n v="1190258"/>
    <d v="2012-03-07T00:00:00"/>
    <d v="2012-04-27T00:00:00"/>
    <n v="15000"/>
    <x v="0"/>
    <m/>
    <s v="N"/>
    <s v="NONE"/>
    <s v="GUILTY PLEA - NO JURY"/>
    <n v="52"/>
    <n v="53"/>
    <n v="10"/>
    <n v="7"/>
    <n v="5"/>
    <m/>
    <m/>
    <m/>
    <m/>
    <m/>
    <m/>
    <m/>
    <m/>
    <d v="1967-10-29T00:00:00"/>
    <s v="M"/>
    <s v="B"/>
    <s v="BLACK"/>
    <s v="NULL"/>
    <s v="182"/>
    <s v="CONVICTED"/>
    <n v="3"/>
    <s v="STJ"/>
    <m/>
    <n v="7"/>
    <m/>
    <s v="POSS CS PG 1 &lt;1G"/>
    <m/>
    <s v="FS"/>
    <s v="POSS DRUG"/>
    <m/>
    <m/>
    <m/>
    <m/>
    <m/>
    <m/>
    <m/>
    <m/>
    <m/>
    <s v="Appointed Attorney"/>
    <m/>
    <m/>
    <n v="52"/>
    <n v="52"/>
    <n v="53"/>
    <n v="44.26229508196721"/>
    <n v="0"/>
    <n v="0"/>
    <s v="CONVICTION"/>
    <x v="0"/>
    <s v="N"/>
    <m/>
    <s v="CONVICTION"/>
    <s v="Y"/>
    <x v="0"/>
    <x v="0"/>
    <s v="Y"/>
    <n v="0.98113207547169812"/>
    <n v="1"/>
    <n v="1.8867924528301883E-2"/>
    <n v="0"/>
    <n v="-52"/>
    <n v="0"/>
    <n v="52"/>
    <e v="#VALUE!"/>
    <n v="52"/>
    <n v="0"/>
    <n v="0"/>
    <m/>
    <s v="Y"/>
    <m/>
    <s v="31-60 DAYS"/>
    <n v="3"/>
    <x v="0"/>
  </r>
  <r>
    <n v="746"/>
    <s v="N"/>
    <s v="N"/>
    <n v="1191468"/>
    <n v="4"/>
    <d v="2012-01-30T00:00:00"/>
    <d v="2012-02-01T00:00:00"/>
    <n v="1191468"/>
    <d v="2012-01-30T00:00:00"/>
    <d v="2012-02-01T00:00:00"/>
    <s v="NO BOND"/>
    <x v="1"/>
    <m/>
    <s v="N"/>
    <s v="NONE"/>
    <s v="GUILTY PLEA - NO JURY"/>
    <n v="3"/>
    <n v="3"/>
    <n v="8"/>
    <n v="8"/>
    <n v="7"/>
    <n v="1"/>
    <m/>
    <m/>
    <m/>
    <m/>
    <m/>
    <m/>
    <m/>
    <d v="1973-09-09T00:00:00"/>
    <s v="M"/>
    <s v="B"/>
    <s v="BLACK"/>
    <s v="NON-HISPANIC"/>
    <s v="232"/>
    <s v="CONVICTED"/>
    <n v="2"/>
    <s v="HCJ"/>
    <m/>
    <m/>
    <n v="120"/>
    <s v="POSS CS PG 1 &lt;1G"/>
    <m/>
    <s v="FS"/>
    <s v="POSS DRUG"/>
    <m/>
    <m/>
    <m/>
    <m/>
    <m/>
    <m/>
    <m/>
    <m/>
    <m/>
    <s v="Public Defender"/>
    <m/>
    <m/>
    <n v="3"/>
    <n v="3"/>
    <n v="3"/>
    <n v="38.311475409836063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43"/>
    <s v="N"/>
    <s v="N"/>
    <n v="1191783"/>
    <n v="6"/>
    <d v="2012-01-07T00:00:00"/>
    <d v="2012-11-12T00:00:00"/>
    <n v="1191783"/>
    <d v="2012-01-07T00:00:00"/>
    <d v="2012-11-12T00:00:00"/>
    <s v="NO BOND"/>
    <x v="1"/>
    <m/>
    <s v="N"/>
    <s v="NONE"/>
    <s v="GUILTY PLEA - NO JURY"/>
    <n v="311"/>
    <n v="311"/>
    <n v="2"/>
    <n v="1"/>
    <m/>
    <m/>
    <m/>
    <m/>
    <m/>
    <m/>
    <m/>
    <m/>
    <m/>
    <d v="1957-05-28T00:00:00"/>
    <s v="M"/>
    <s v="B"/>
    <s v="BLACK"/>
    <s v="NULL"/>
    <s v="182"/>
    <s v="CONVICTED"/>
    <n v="9"/>
    <s v="TDC"/>
    <n v="6"/>
    <m/>
    <m/>
    <s v="AGG ASSAULT W/DEADLY WEAPON"/>
    <m/>
    <s v="F2"/>
    <s v="ASLT-MURDR"/>
    <m/>
    <m/>
    <m/>
    <m/>
    <m/>
    <m/>
    <m/>
    <m/>
    <m/>
    <s v="Appointed Attorney"/>
    <m/>
    <m/>
    <n v="311"/>
    <n v="311"/>
    <n v="311"/>
    <n v="54.5"/>
    <n v="0"/>
    <n v="0"/>
    <s v="CONVICTION"/>
    <x v="0"/>
    <s v="N"/>
    <m/>
    <s v="CONVICTION"/>
    <s v="Y"/>
    <x v="0"/>
    <x v="0"/>
    <s v="Y"/>
    <n v="1"/>
    <n v="1"/>
    <n v="0"/>
    <n v="0"/>
    <n v="-311"/>
    <n v="0"/>
    <n v="311"/>
    <e v="#VALUE!"/>
    <n v="311"/>
    <n v="0"/>
    <n v="0"/>
    <m/>
    <s v="Y"/>
    <m/>
    <s v="121-365 DAYS"/>
    <n v="6"/>
    <x v="0"/>
  </r>
  <r>
    <n v="2642"/>
    <s v="N"/>
    <s v="N"/>
    <n v="1192048"/>
    <n v="5"/>
    <d v="2012-04-08T00:00:00"/>
    <d v="2012-05-08T00:00:00"/>
    <n v="1192048"/>
    <d v="2012-04-08T00:00:00"/>
    <d v="2012-05-08T00:00:00"/>
    <n v="12000"/>
    <x v="0"/>
    <m/>
    <s v="N"/>
    <s v="NONE"/>
    <s v="GUILTY PLEA - NO JURY"/>
    <n v="31"/>
    <n v="31"/>
    <n v="1"/>
    <n v="1"/>
    <m/>
    <m/>
    <m/>
    <m/>
    <m/>
    <m/>
    <m/>
    <m/>
    <m/>
    <d v="1971-04-30T00:00:00"/>
    <s v="M"/>
    <s v="H"/>
    <s v="HISPANIC"/>
    <s v="HISPANIC"/>
    <s v="228"/>
    <s v="CONVICTED"/>
    <n v="2"/>
    <s v="STJ"/>
    <m/>
    <n v="10"/>
    <m/>
    <s v="ATT TAMPER GOVT RECORD"/>
    <m/>
    <s v="FS"/>
    <s v="OTHER FEL"/>
    <m/>
    <m/>
    <m/>
    <m/>
    <m/>
    <m/>
    <m/>
    <m/>
    <m/>
    <s v="Appointed Attorney"/>
    <m/>
    <m/>
    <n v="31"/>
    <n v="31"/>
    <n v="31"/>
    <n v="40.857923497267763"/>
    <n v="0"/>
    <n v="0"/>
    <s v="CONVICTION"/>
    <x v="0"/>
    <s v="N"/>
    <m/>
    <s v="CONVICTION"/>
    <s v="Y"/>
    <x v="0"/>
    <x v="0"/>
    <s v="Y"/>
    <n v="1"/>
    <n v="1"/>
    <n v="0"/>
    <n v="0"/>
    <n v="-31"/>
    <n v="0"/>
    <n v="31"/>
    <e v="#VALUE!"/>
    <n v="31"/>
    <n v="0"/>
    <n v="0"/>
    <m/>
    <s v="Y"/>
    <m/>
    <s v="31-60 DAYS"/>
    <n v="3"/>
    <x v="0"/>
  </r>
  <r>
    <n v="1693"/>
    <s v="N"/>
    <s v="N"/>
    <n v="1192318"/>
    <n v="4"/>
    <d v="2012-03-03T00:00:00"/>
    <d v="2013-03-11T00:00:00"/>
    <n v="1192318"/>
    <s v="NOT BOOKED"/>
    <s v="NOT BOOKED"/>
    <n v="2000"/>
    <x v="5"/>
    <d v="2012-03-05T00:00:00"/>
    <s v="Y"/>
    <s v="SURETY"/>
    <s v="GUILTY PLEA - NO JURY"/>
    <n v="0"/>
    <n v="374"/>
    <n v="0"/>
    <n v="2"/>
    <m/>
    <m/>
    <m/>
    <m/>
    <m/>
    <m/>
    <m/>
    <s v="S"/>
    <m/>
    <d v="1964-03-02T00:00:00"/>
    <s v="M"/>
    <s v="H"/>
    <s v="HISPANIC"/>
    <s v="NULL"/>
    <s v="178"/>
    <s v="CONVICTED"/>
    <n v="10"/>
    <s v="HCJ"/>
    <m/>
    <m/>
    <n v="2"/>
    <s v="DISARMING POLICE OFFICER"/>
    <m/>
    <s v="FS"/>
    <s v="OTHER FEL"/>
    <m/>
    <m/>
    <m/>
    <m/>
    <m/>
    <m/>
    <m/>
    <m/>
    <m/>
    <s v="Hired Attorney"/>
    <m/>
    <m/>
    <n v="0"/>
    <n v="0"/>
    <n v="374"/>
    <n v="47.904371584699454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1738"/>
    <s v="N"/>
    <s v="N"/>
    <n v="1192467"/>
    <n v="1"/>
    <d v="2012-03-05T00:00:00"/>
    <d v="2012-05-25T00:00:00"/>
    <n v="1192467"/>
    <d v="2012-03-06T00:00:00"/>
    <d v="2012-05-25T00:00:00"/>
    <n v="15000"/>
    <x v="0"/>
    <m/>
    <s v="N"/>
    <s v="NONE"/>
    <s v="DISMISSED"/>
    <n v="81"/>
    <n v="82"/>
    <n v="9"/>
    <n v="9"/>
    <n v="6"/>
    <m/>
    <m/>
    <m/>
    <m/>
    <m/>
    <m/>
    <m/>
    <m/>
    <d v="1966-05-16T00:00:00"/>
    <s v="M"/>
    <s v="B"/>
    <s v="BLACK"/>
    <s v="NON-HISPANIC"/>
    <s v="209"/>
    <s v="DISMISSED"/>
    <n v="4"/>
    <s v="DISMISSED"/>
    <m/>
    <m/>
    <m/>
    <s v="BURGLARY OF A BUILDING"/>
    <m/>
    <s v="FS"/>
    <s v="BURGLARY"/>
    <m/>
    <m/>
    <m/>
    <m/>
    <m/>
    <m/>
    <m/>
    <m/>
    <m/>
    <s v="Appointed Attorney"/>
    <m/>
    <m/>
    <n v="81"/>
    <n v="81"/>
    <n v="82"/>
    <n v="45.710382513661202"/>
    <n v="0"/>
    <n v="0"/>
    <s v="NO CONVICTION"/>
    <x v="0"/>
    <s v="N"/>
    <m/>
    <s v="NO CONVICTION"/>
    <s v="Y"/>
    <x v="0"/>
    <x v="0"/>
    <s v="Y"/>
    <n v="0.98780487804878048"/>
    <n v="1"/>
    <n v="1.2195121951219523E-2"/>
    <n v="0"/>
    <n v="-81"/>
    <n v="0"/>
    <n v="81"/>
    <e v="#VALUE!"/>
    <n v="81"/>
    <n v="0"/>
    <n v="0"/>
    <m/>
    <s v="Y"/>
    <m/>
    <s v="61-90 DAYS"/>
    <n v="4"/>
    <x v="0"/>
  </r>
  <r>
    <n v="3076"/>
    <s v="N"/>
    <s v="Y"/>
    <n v="1192795"/>
    <n v="4"/>
    <d v="2012-04-24T00:00:00"/>
    <d v="2014-02-25T00:00:00"/>
    <n v="1192795"/>
    <d v="2012-04-24T00:00:00"/>
    <d v="2012-04-25T00:00:00"/>
    <n v="10000"/>
    <x v="3"/>
    <d v="2012-04-25T00:00:00"/>
    <s v="Y"/>
    <s v="SURETY"/>
    <s v="GUILTY PLEA - NO JURY"/>
    <n v="4"/>
    <n v="673"/>
    <n v="1"/>
    <n v="4"/>
    <n v="1"/>
    <m/>
    <m/>
    <m/>
    <m/>
    <m/>
    <m/>
    <m/>
    <m/>
    <d v="1973-08-18T00:00:00"/>
    <s v="M"/>
    <s v="W"/>
    <s v="WHITE"/>
    <s v="NON-HISPANIC"/>
    <s v="339"/>
    <s v="CONVICTED"/>
    <n v="18"/>
    <s v="HCJ"/>
    <m/>
    <m/>
    <n v="6"/>
    <s v="ASSAULT-BOD INJ-PUB SERV/RETAL"/>
    <m/>
    <s v="F3"/>
    <s v="ASLT-MURDR"/>
    <s v="BK 10/15/13 REMADE BOND 10/17/13 "/>
    <m/>
    <s v="Y"/>
    <d v="2013-10-14T00:00:00"/>
    <m/>
    <m/>
    <m/>
    <d v="2013-11-25T00:00:00"/>
    <n v="255"/>
    <s v="Hired Attorney"/>
    <m/>
    <m/>
    <n v="6"/>
    <n v="673"/>
    <n v="673"/>
    <n v="38.603825136612024"/>
    <n v="0"/>
    <n v="-671"/>
    <s v="CONVICTION"/>
    <x v="1"/>
    <s v="Y"/>
    <m/>
    <s v="CONVICTION"/>
    <s v="Y"/>
    <x v="1"/>
    <x v="0"/>
    <s v="Y"/>
    <n v="5.9435364041604752E-3"/>
    <n v="5.8999999999999999E-3"/>
    <n v="0"/>
    <n v="-2"/>
    <n v="-2"/>
    <n v="4"/>
    <n v="2"/>
    <e v="#VALUE!"/>
    <n v="6"/>
    <m/>
    <n v="671"/>
    <m/>
    <s v="Y"/>
    <e v="#N/A"/>
    <s v="0-10 DAYS"/>
    <n v="1"/>
    <x v="0"/>
  </r>
  <r>
    <n v="2068"/>
    <s v="N"/>
    <s v="N"/>
    <n v="1193542"/>
    <n v="5"/>
    <d v="2012-03-18T00:00:00"/>
    <d v="2012-03-30T00:00:00"/>
    <n v="1193542"/>
    <d v="2012-03-19T00:00:00"/>
    <d v="2012-03-30T00:00:00"/>
    <n v="30000"/>
    <x v="2"/>
    <m/>
    <s v="N"/>
    <s v="NONE"/>
    <s v="GUILTY PLEA - NO JURY"/>
    <n v="12"/>
    <n v="13"/>
    <n v="6"/>
    <n v="16"/>
    <n v="5"/>
    <m/>
    <m/>
    <m/>
    <m/>
    <m/>
    <m/>
    <m/>
    <m/>
    <d v="1971-02-15T00:00:00"/>
    <s v="M"/>
    <s v="B"/>
    <s v="BLACK"/>
    <s v="NON-HISPANIC"/>
    <s v="182"/>
    <s v="CONVICTED"/>
    <n v="2"/>
    <s v="STJ"/>
    <m/>
    <n v="8"/>
    <m/>
    <s v="THEFT UNDER $1500 - 3RD OFF."/>
    <m/>
    <s v="FS"/>
    <s v="THEFT"/>
    <m/>
    <m/>
    <m/>
    <m/>
    <m/>
    <m/>
    <m/>
    <m/>
    <m/>
    <s v="Appointed Attorney"/>
    <m/>
    <m/>
    <n v="12"/>
    <n v="12"/>
    <n v="13"/>
    <n v="41.002732240437162"/>
    <n v="0"/>
    <n v="0"/>
    <s v="CONVICTION"/>
    <x v="0"/>
    <s v="N"/>
    <m/>
    <s v="CONVICTION"/>
    <s v="Y"/>
    <x v="0"/>
    <x v="0"/>
    <s v="Y"/>
    <n v="0.92307692307692313"/>
    <n v="1"/>
    <n v="7.6923076923076872E-2"/>
    <n v="0"/>
    <n v="-12"/>
    <n v="0"/>
    <n v="12"/>
    <e v="#VALUE!"/>
    <n v="12"/>
    <n v="0"/>
    <n v="0"/>
    <m/>
    <s v="Y"/>
    <m/>
    <s v="11-30 DAYS"/>
    <n v="2"/>
    <x v="0"/>
  </r>
  <r>
    <n v="1950"/>
    <s v="N"/>
    <s v="N"/>
    <n v="1195104"/>
    <n v="6"/>
    <d v="2012-03-14T00:00:00"/>
    <d v="2012-11-19T00:00:00"/>
    <n v="1195104"/>
    <d v="2012-03-15T00:00:00"/>
    <d v="2012-11-19T00:00:00"/>
    <s v="NO BOND"/>
    <x v="1"/>
    <m/>
    <s v="N"/>
    <s v="NONE"/>
    <s v="GUILTY PLEA - NO JURY"/>
    <n v="250"/>
    <n v="251"/>
    <n v="6"/>
    <n v="5"/>
    <n v="2"/>
    <m/>
    <m/>
    <m/>
    <m/>
    <m/>
    <m/>
    <m/>
    <m/>
    <d v="1972-02-26T00:00:00"/>
    <s v="M"/>
    <s v="B"/>
    <s v="BLACK"/>
    <s v="NON-HISPANIC"/>
    <s v="178"/>
    <s v="CONVICTED"/>
    <n v="11"/>
    <s v="TDC"/>
    <n v="10"/>
    <m/>
    <m/>
    <s v="POSS CS PG 1  1 - 4 GRAMS"/>
    <m/>
    <s v="F3"/>
    <s v="POSS DRUG"/>
    <m/>
    <m/>
    <m/>
    <m/>
    <m/>
    <m/>
    <m/>
    <m/>
    <m/>
    <s v="Public Defender"/>
    <m/>
    <m/>
    <n v="250"/>
    <n v="250"/>
    <n v="251"/>
    <n v="39.964480874316941"/>
    <n v="0"/>
    <n v="0"/>
    <s v="CONVICTION"/>
    <x v="0"/>
    <s v="N"/>
    <m/>
    <s v="CONVICTION"/>
    <s v="Y"/>
    <x v="0"/>
    <x v="0"/>
    <s v="Y"/>
    <n v="0.99601593625498008"/>
    <n v="1"/>
    <n v="3.9840637450199168E-3"/>
    <n v="0"/>
    <n v="-250"/>
    <n v="0"/>
    <n v="250"/>
    <e v="#VALUE!"/>
    <n v="250"/>
    <n v="0"/>
    <n v="0"/>
    <m/>
    <s v="Y"/>
    <m/>
    <s v="121-365 DAYS"/>
    <n v="6"/>
    <x v="0"/>
  </r>
  <r>
    <n v="15"/>
    <s v="N"/>
    <s v="N"/>
    <n v="1198282"/>
    <n v="5"/>
    <d v="2012-01-02T00:00:00"/>
    <d v="2012-08-27T00:00:00"/>
    <n v="1198282"/>
    <d v="2012-01-02T00:00:00"/>
    <d v="2012-08-27T00:00:00"/>
    <n v="10000"/>
    <x v="3"/>
    <m/>
    <s v="N"/>
    <s v="NONE"/>
    <s v="GUILTY PLEA - NO JURY"/>
    <n v="239"/>
    <n v="239"/>
    <n v="3"/>
    <n v="2"/>
    <n v="3"/>
    <m/>
    <m/>
    <m/>
    <m/>
    <m/>
    <m/>
    <m/>
    <m/>
    <d v="1973-06-07T00:00:00"/>
    <s v="M"/>
    <s v="W"/>
    <s v="WHITE"/>
    <s v="NON-HISPANIC"/>
    <s v="180"/>
    <s v="CONVICTED"/>
    <n v="8"/>
    <s v="STJ"/>
    <m/>
    <n v="9"/>
    <m/>
    <s v="ASSAULT-BOD INJ-PUB SERV/RETAL"/>
    <m/>
    <s v="F3"/>
    <s v="ASLT-MURDR"/>
    <m/>
    <m/>
    <m/>
    <m/>
    <m/>
    <m/>
    <m/>
    <m/>
    <m/>
    <s v="Appointed Attorney"/>
    <m/>
    <m/>
    <n v="239"/>
    <n v="239"/>
    <n v="239"/>
    <n v="38.491803278688522"/>
    <n v="0"/>
    <n v="0"/>
    <s v="CONVICTION"/>
    <x v="0"/>
    <s v="N"/>
    <m/>
    <s v="CONVICTION"/>
    <s v="Y"/>
    <x v="0"/>
    <x v="0"/>
    <s v="Y"/>
    <n v="1"/>
    <n v="1"/>
    <n v="0"/>
    <n v="0"/>
    <n v="-239"/>
    <n v="0"/>
    <n v="239"/>
    <e v="#VALUE!"/>
    <n v="239"/>
    <n v="0"/>
    <n v="0"/>
    <m/>
    <s v="Y"/>
    <m/>
    <s v="121-365 DAYS"/>
    <n v="6"/>
    <x v="0"/>
  </r>
  <r>
    <n v="1882"/>
    <s v="N"/>
    <s v="N"/>
    <n v="1199484"/>
    <n v="5"/>
    <d v="2012-03-10T00:00:00"/>
    <d v="2012-06-07T00:00:00"/>
    <n v="1199484"/>
    <d v="2012-03-10T00:00:00"/>
    <d v="2012-06-07T00:00:00"/>
    <n v="15000"/>
    <x v="0"/>
    <m/>
    <s v="N"/>
    <s v="NONE"/>
    <s v="GUILTY PLEA - NO JURY"/>
    <n v="90"/>
    <n v="90"/>
    <n v="8"/>
    <n v="8"/>
    <n v="5"/>
    <m/>
    <m/>
    <m/>
    <m/>
    <m/>
    <m/>
    <m/>
    <m/>
    <d v="1973-05-25T00:00:00"/>
    <s v="M"/>
    <s v="W"/>
    <s v="WHITE"/>
    <s v="NON-HISPANIC"/>
    <s v="228"/>
    <s v="CONVICTED"/>
    <n v="6"/>
    <s v="STJ"/>
    <m/>
    <n v="8"/>
    <m/>
    <s v="UNAUTH USE OF VEHICLE"/>
    <m/>
    <s v="FS"/>
    <s v="AUTO THEFT"/>
    <m/>
    <m/>
    <m/>
    <m/>
    <m/>
    <m/>
    <m/>
    <m/>
    <m/>
    <s v="Public Defender"/>
    <m/>
    <m/>
    <n v="90"/>
    <n v="90"/>
    <n v="90"/>
    <n v="38.713114754098363"/>
    <n v="0"/>
    <n v="0"/>
    <s v="CONVICTION"/>
    <x v="0"/>
    <s v="N"/>
    <m/>
    <s v="CONVICTION"/>
    <s v="Y"/>
    <x v="0"/>
    <x v="0"/>
    <s v="Y"/>
    <n v="1"/>
    <n v="1"/>
    <n v="0"/>
    <n v="0"/>
    <n v="-90"/>
    <n v="0"/>
    <n v="90"/>
    <e v="#VALUE!"/>
    <n v="90"/>
    <n v="0"/>
    <n v="0"/>
    <m/>
    <s v="Y"/>
    <m/>
    <s v="61-90 DAYS"/>
    <n v="4"/>
    <x v="0"/>
  </r>
  <r>
    <n v="36"/>
    <s v="N"/>
    <s v="N"/>
    <n v="1199593"/>
    <n v="1"/>
    <d v="2012-01-03T00:00:00"/>
    <d v="2012-02-27T00:00:00"/>
    <n v="1199593"/>
    <d v="2012-01-03T00:00:00"/>
    <d v="2012-01-08T00:00:00"/>
    <n v="2000"/>
    <x v="5"/>
    <d v="2012-01-08T00:00:00"/>
    <s v="Y"/>
    <s v="SURETY"/>
    <s v="DISMISSED"/>
    <n v="6"/>
    <n v="56"/>
    <n v="0"/>
    <n v="2"/>
    <m/>
    <m/>
    <m/>
    <m/>
    <m/>
    <m/>
    <m/>
    <m/>
    <m/>
    <d v="1970-10-18T00:00:00"/>
    <s v="M"/>
    <s v="B"/>
    <s v="BLACK"/>
    <s v="NON-HISPANIC"/>
    <s v="174"/>
    <s v="DISMISSED"/>
    <n v="4"/>
    <s v="DISMISSED"/>
    <m/>
    <m/>
    <m/>
    <s v="POSS CS PG 2 &lt;1GRAM"/>
    <m/>
    <s v="FS"/>
    <s v="POSS DRUG"/>
    <m/>
    <m/>
    <m/>
    <m/>
    <m/>
    <m/>
    <m/>
    <m/>
    <m/>
    <s v="Hired Attorney"/>
    <m/>
    <m/>
    <n v="6"/>
    <n v="56"/>
    <n v="56"/>
    <n v="41.125683060109289"/>
    <n v="0"/>
    <n v="-50"/>
    <s v="NO CONVICTION"/>
    <x v="1"/>
    <s v="Y"/>
    <m/>
    <s v="NO CONVICTION"/>
    <s v="Y"/>
    <x v="1"/>
    <x v="0"/>
    <s v="N"/>
    <n v="0.10714285714285714"/>
    <n v="0.10714285714285714"/>
    <n v="0"/>
    <n v="0"/>
    <n v="-6"/>
    <n v="0"/>
    <n v="6"/>
    <e v="#VALUE!"/>
    <n v="6"/>
    <n v="0"/>
    <n v="50"/>
    <m/>
    <s v="Y"/>
    <m/>
    <s v="0-10 DAYS"/>
    <n v="1"/>
    <x v="0"/>
  </r>
  <r>
    <n v="1770"/>
    <s v="N"/>
    <s v="N"/>
    <n v="1199946"/>
    <n v="1"/>
    <d v="2012-03-06T00:00:00"/>
    <d v="2012-03-12T00:00:00"/>
    <n v="1199946"/>
    <d v="2012-03-07T00:00:00"/>
    <d v="2012-03-12T00:00:00"/>
    <n v="30000"/>
    <x v="2"/>
    <m/>
    <s v="N"/>
    <s v="NONE"/>
    <s v="DISMISSED"/>
    <n v="6"/>
    <n v="7"/>
    <n v="3"/>
    <n v="1"/>
    <n v="2"/>
    <m/>
    <m/>
    <m/>
    <m/>
    <m/>
    <m/>
    <m/>
    <m/>
    <d v="1968-09-30T00:00:00"/>
    <s v="M"/>
    <s v="B"/>
    <s v="BLACK"/>
    <s v="NON-HISPANIC"/>
    <s v="183"/>
    <s v="DISMISSED"/>
    <n v="2"/>
    <s v="DISMISSED"/>
    <m/>
    <m/>
    <m/>
    <s v="POSS W/INT DEL CS PG1&gt;=4 &lt;200"/>
    <m/>
    <s v="F1"/>
    <s v="SALE DRUG"/>
    <m/>
    <m/>
    <m/>
    <m/>
    <m/>
    <m/>
    <m/>
    <m/>
    <m/>
    <s v="Appointed Attorney"/>
    <m/>
    <m/>
    <n v="6"/>
    <n v="6"/>
    <n v="7"/>
    <n v="43.341530054644807"/>
    <n v="0"/>
    <n v="0"/>
    <s v="NO CONVICTION"/>
    <x v="0"/>
    <s v="N"/>
    <m/>
    <s v="NO CONVICTION"/>
    <s v="Y"/>
    <x v="0"/>
    <x v="0"/>
    <s v="Y"/>
    <n v="0.8571428571428571"/>
    <n v="1"/>
    <n v="0.1428571428571429"/>
    <n v="0"/>
    <n v="-6"/>
    <n v="0"/>
    <n v="6"/>
    <e v="#VALUE!"/>
    <n v="6"/>
    <n v="0"/>
    <n v="0"/>
    <m/>
    <s v="Y"/>
    <m/>
    <s v="0-10 DAYS"/>
    <n v="1"/>
    <x v="0"/>
  </r>
  <r>
    <n v="2126"/>
    <s v="N"/>
    <s v="N"/>
    <n v="1201209"/>
    <n v="5"/>
    <d v="2012-03-20T00:00:00"/>
    <d v="2012-03-22T00:00:00"/>
    <n v="1201209"/>
    <d v="2012-03-21T00:00:00"/>
    <d v="2012-03-22T00:00:00"/>
    <n v="15000"/>
    <x v="0"/>
    <m/>
    <s v="N"/>
    <s v="NONE"/>
    <s v="GUILTY PLEA - NO JURY"/>
    <n v="2"/>
    <n v="3"/>
    <n v="6"/>
    <n v="2"/>
    <n v="4"/>
    <n v="1"/>
    <m/>
    <m/>
    <m/>
    <m/>
    <m/>
    <m/>
    <m/>
    <d v="1964-12-11T00:00:00"/>
    <s v="M"/>
    <s v="W"/>
    <s v="WHITE"/>
    <s v="NULL"/>
    <s v="180"/>
    <s v="CONVICTED"/>
    <n v="1"/>
    <s v="STJ"/>
    <m/>
    <n v="7"/>
    <m/>
    <s v="THEFT UNDER $1500 - 3RD OFF."/>
    <m/>
    <s v="FS"/>
    <s v="THEFT"/>
    <m/>
    <m/>
    <m/>
    <m/>
    <m/>
    <m/>
    <m/>
    <m/>
    <m/>
    <s v="Appointed Attorney"/>
    <m/>
    <m/>
    <n v="2"/>
    <n v="2"/>
    <n v="3"/>
    <n v="47.174863387978142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431"/>
    <s v="N"/>
    <s v="N"/>
    <n v="1201965"/>
    <n v="1"/>
    <d v="2012-04-01T00:00:00"/>
    <d v="2012-04-11T00:00:00"/>
    <n v="1201965"/>
    <d v="2012-04-01T00:00:00"/>
    <d v="2012-04-11T00:00:00"/>
    <n v="15000"/>
    <x v="0"/>
    <m/>
    <s v="N"/>
    <s v="NONE"/>
    <s v="DISMISSED"/>
    <n v="11"/>
    <n v="11"/>
    <n v="2"/>
    <n v="7"/>
    <n v="1"/>
    <m/>
    <m/>
    <m/>
    <m/>
    <m/>
    <m/>
    <m/>
    <m/>
    <d v="1968-06-27T00:00:00"/>
    <s v="M"/>
    <s v="B"/>
    <s v="BLACK"/>
    <s v="NON-HISPANIC"/>
    <s v="177"/>
    <s v="DISMISSED"/>
    <n v="4"/>
    <s v="DISMISSED"/>
    <m/>
    <m/>
    <m/>
    <s v="UNAUTH USE OF VEHICLE"/>
    <m/>
    <s v="FS"/>
    <s v="AUTO THEFT"/>
    <s v="7/10/12 fel evade hcj 60 days"/>
    <m/>
    <m/>
    <m/>
    <m/>
    <m/>
    <m/>
    <m/>
    <m/>
    <s v="Appointed Attorney"/>
    <m/>
    <m/>
    <n v="11"/>
    <n v="11"/>
    <n v="11"/>
    <n v="43.672131147540981"/>
    <n v="0"/>
    <n v="0"/>
    <s v="NO CONVICTION"/>
    <x v="0"/>
    <s v="N"/>
    <m/>
    <s v="NO CONVICTION"/>
    <s v="Y"/>
    <x v="0"/>
    <x v="0"/>
    <s v="Y"/>
    <n v="1"/>
    <n v="1"/>
    <n v="0"/>
    <n v="0"/>
    <n v="-11"/>
    <n v="0"/>
    <n v="11"/>
    <e v="#VALUE!"/>
    <n v="11"/>
    <n v="0"/>
    <n v="0"/>
    <m/>
    <s v="Y"/>
    <m/>
    <s v="11-30 DAYS"/>
    <n v="2"/>
    <x v="0"/>
  </r>
  <r>
    <n v="864"/>
    <s v="N"/>
    <s v="N"/>
    <n v="1202074"/>
    <n v="6"/>
    <d v="2012-02-02T00:00:00"/>
    <d v="2013-05-17T00:00:00"/>
    <n v="1202074"/>
    <s v="NOT BOOKED"/>
    <s v="NOT BOOKED"/>
    <n v="120000"/>
    <x v="2"/>
    <d v="2012-02-05T00:00:00"/>
    <s v="Y"/>
    <s v="SURETY"/>
    <s v="GUILTY PLEA - NO JURY"/>
    <n v="0"/>
    <n v="471"/>
    <n v="0"/>
    <n v="2"/>
    <m/>
    <m/>
    <m/>
    <m/>
    <m/>
    <m/>
    <m/>
    <m/>
    <m/>
    <d v="1973-06-14T00:00:00"/>
    <s v="M"/>
    <s v="W"/>
    <s v="WHITE"/>
    <s v="NULL"/>
    <s v="208"/>
    <s v="CONVICTED"/>
    <n v="17"/>
    <s v="TDC"/>
    <n v="3"/>
    <m/>
    <m/>
    <s v="PROMOTE CHILD PORNOGRAPHY"/>
    <m/>
    <s v="F2"/>
    <s v="OTHER FEL"/>
    <m/>
    <m/>
    <m/>
    <m/>
    <m/>
    <m/>
    <m/>
    <m/>
    <m/>
    <s v="Hired Attorney"/>
    <m/>
    <m/>
    <n v="0"/>
    <e v="#VALUE!"/>
    <n v="471"/>
    <n v="38.557377049180324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s v="NOT BOOKED"/>
    <n v="0"/>
    <n v="0"/>
    <e v="#VALUE!"/>
    <m/>
    <s v="Y"/>
    <m/>
    <s v="0-10 DAYS"/>
    <n v="1"/>
    <x v="1"/>
  </r>
  <r>
    <n v="1223"/>
    <s v="N"/>
    <s v="N"/>
    <n v="1202870"/>
    <n v="5"/>
    <d v="2012-02-14T00:00:00"/>
    <d v="2012-08-13T00:00:00"/>
    <n v="1202870"/>
    <d v="2012-02-15T00:00:00"/>
    <d v="2012-08-13T00:00:00"/>
    <n v="15000"/>
    <x v="0"/>
    <m/>
    <s v="N"/>
    <s v="NONE"/>
    <s v="GUILTY PLEA - NO JURY"/>
    <n v="181"/>
    <n v="182"/>
    <n v="4"/>
    <n v="7"/>
    <m/>
    <n v="1"/>
    <m/>
    <m/>
    <m/>
    <m/>
    <m/>
    <m/>
    <m/>
    <d v="1973-09-06T00:00:00"/>
    <s v="M"/>
    <s v="H"/>
    <s v="HISPANIC"/>
    <s v="HISPANIC"/>
    <s v="177"/>
    <s v="CONVICTED"/>
    <n v="8"/>
    <s v="STJ"/>
    <m/>
    <n v="6"/>
    <m/>
    <s v="POSS CS PG 1 &lt;1G"/>
    <m/>
    <s v="FS"/>
    <s v="POSS DRUG"/>
    <m/>
    <m/>
    <m/>
    <m/>
    <m/>
    <m/>
    <m/>
    <m/>
    <m/>
    <s v="Appointed Attorney"/>
    <m/>
    <m/>
    <n v="181"/>
    <n v="181"/>
    <n v="182"/>
    <n v="38.360655737704917"/>
    <n v="0"/>
    <n v="0"/>
    <s v="CONVICTION"/>
    <x v="0"/>
    <s v="N"/>
    <m/>
    <s v="CONVICTION"/>
    <s v="Y"/>
    <x v="0"/>
    <x v="0"/>
    <s v="Y"/>
    <n v="0.99450549450549453"/>
    <n v="1"/>
    <n v="5.494505494505475E-3"/>
    <n v="0"/>
    <n v="-181"/>
    <n v="0"/>
    <n v="181"/>
    <e v="#VALUE!"/>
    <n v="181"/>
    <n v="0"/>
    <n v="0"/>
    <m/>
    <s v="Y"/>
    <m/>
    <s v="121-365 DAYS"/>
    <n v="6"/>
    <x v="0"/>
  </r>
  <r>
    <n v="3140"/>
    <s v="N"/>
    <s v="N"/>
    <n v="1203370"/>
    <n v="2"/>
    <d v="2012-04-25T00:00:00"/>
    <d v="2012-04-27T00:00:00"/>
    <n v="1203370"/>
    <d v="2012-04-26T00:00:00"/>
    <d v="2012-04-27T00:00:00"/>
    <n v="2000"/>
    <x v="5"/>
    <d v="2012-04-27T00:00:00"/>
    <s v="Y"/>
    <s v="SURETY"/>
    <s v="DEFERRED ADJUDICATION "/>
    <n v="2"/>
    <n v="3"/>
    <n v="0"/>
    <n v="2"/>
    <m/>
    <m/>
    <m/>
    <m/>
    <m/>
    <m/>
    <m/>
    <m/>
    <m/>
    <d v="1966-07-23T00:00:00"/>
    <s v="M"/>
    <s v="B"/>
    <s v="BLACK"/>
    <s v="NON-HISPANIC"/>
    <s v="262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2"/>
    <n v="2"/>
    <n v="3"/>
    <n v="45.66393442622951"/>
    <n v="0"/>
    <n v="0"/>
    <s v="DEFERRED"/>
    <x v="1"/>
    <s v="Y"/>
    <m/>
    <s v="DEFERRED"/>
    <s v="Y"/>
    <x v="1"/>
    <x v="0"/>
    <s v="N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108"/>
    <s v="N"/>
    <s v="N"/>
    <n v="1203874"/>
    <n v="5"/>
    <d v="2012-03-20T00:00:00"/>
    <d v="2012-04-16T00:00:00"/>
    <n v="1203874"/>
    <d v="2012-03-20T00:00:00"/>
    <d v="2012-04-16T00:00:00"/>
    <n v="15000"/>
    <x v="0"/>
    <m/>
    <s v="N"/>
    <s v="NONE"/>
    <s v="GUILTY PLEA - NO JURY"/>
    <n v="28"/>
    <n v="28"/>
    <n v="3"/>
    <n v="2"/>
    <n v="1"/>
    <m/>
    <m/>
    <m/>
    <m/>
    <m/>
    <m/>
    <m/>
    <m/>
    <d v="1974-05-16T00:00:00"/>
    <s v="M"/>
    <s v="B"/>
    <s v="BLACK"/>
    <s v="NON-HISPANIC"/>
    <s v="176"/>
    <s v="CONVICTED"/>
    <n v="3"/>
    <s v="STJ"/>
    <m/>
    <n v="6"/>
    <m/>
    <s v="POSS CS PG 1 &lt;1G"/>
    <m/>
    <s v="FS"/>
    <s v="POSS DRUG"/>
    <m/>
    <m/>
    <m/>
    <m/>
    <m/>
    <m/>
    <m/>
    <m/>
    <m/>
    <s v="Hired Attorney"/>
    <m/>
    <m/>
    <n v="28"/>
    <n v="28"/>
    <n v="28"/>
    <n v="37.767759562841533"/>
    <n v="0"/>
    <n v="0"/>
    <s v="CONVICTION"/>
    <x v="0"/>
    <s v="N"/>
    <m/>
    <s v="CONVICTION"/>
    <s v="Y"/>
    <x v="0"/>
    <x v="0"/>
    <s v="Y"/>
    <n v="1"/>
    <n v="1"/>
    <n v="0"/>
    <n v="0"/>
    <n v="-28"/>
    <n v="0"/>
    <n v="28"/>
    <e v="#VALUE!"/>
    <n v="28"/>
    <n v="0"/>
    <n v="0"/>
    <m/>
    <s v="Y"/>
    <m/>
    <s v="11-30 DAYS"/>
    <n v="2"/>
    <x v="0"/>
  </r>
  <r>
    <n v="31"/>
    <s v="Y"/>
    <s v="N"/>
    <n v="1204664"/>
    <n v="5"/>
    <d v="2012-01-03T00:00:00"/>
    <d v="2012-04-02T00:00:00"/>
    <n v="1204664"/>
    <d v="2012-01-03T00:00:00"/>
    <d v="2012-04-02T00:00:00"/>
    <n v="30000"/>
    <x v="2"/>
    <m/>
    <s v="N"/>
    <s v="NONE"/>
    <s v="GUILTY PLEA - NO JURY"/>
    <n v="91"/>
    <n v="91"/>
    <n v="4"/>
    <n v="1"/>
    <n v="3"/>
    <m/>
    <m/>
    <m/>
    <m/>
    <m/>
    <m/>
    <m/>
    <m/>
    <d v="1958-06-12T00:00:00"/>
    <s v="M"/>
    <s v="W"/>
    <s v="WHITE"/>
    <s v="NULL"/>
    <s v="338"/>
    <s v="CONVICTED"/>
    <n v="4"/>
    <s v="STJ"/>
    <m/>
    <n v="6"/>
    <m/>
    <s v="POSS CS PG 1 &lt;1G"/>
    <m/>
    <s v="FS"/>
    <s v="POSS DRUG"/>
    <m/>
    <m/>
    <m/>
    <m/>
    <m/>
    <m/>
    <m/>
    <m/>
    <m/>
    <s v="Appointed Attorney"/>
    <s v="11/12/13 m thft 10 d  f pcs pend"/>
    <m/>
    <n v="91"/>
    <n v="91"/>
    <n v="91"/>
    <n v="53.450819672131146"/>
    <n v="0"/>
    <n v="0"/>
    <s v="CONVICTION"/>
    <x v="0"/>
    <s v="N"/>
    <m/>
    <s v="CONVICTION"/>
    <s v="Y"/>
    <x v="0"/>
    <x v="0"/>
    <s v="Y"/>
    <n v="1"/>
    <n v="1"/>
    <n v="0"/>
    <n v="0"/>
    <n v="-91"/>
    <n v="0"/>
    <n v="91"/>
    <e v="#VALUE!"/>
    <n v="91"/>
    <n v="0"/>
    <n v="0"/>
    <m/>
    <s v="Y"/>
    <m/>
    <s v="91-120 DAYS"/>
    <n v="0"/>
    <x v="0"/>
  </r>
  <r>
    <n v="3232"/>
    <s v="N"/>
    <s v="N"/>
    <n v="1204716"/>
    <n v="5"/>
    <d v="2012-04-29T00:00:00"/>
    <d v="2012-07-31T00:00:00"/>
    <n v="1204716"/>
    <d v="2012-04-29T00:00:00"/>
    <d v="2012-07-31T00:00:00"/>
    <n v="15000"/>
    <x v="0"/>
    <m/>
    <s v="N"/>
    <s v="NONE"/>
    <s v="GUILTY PLEA - NO JURY"/>
    <n v="94"/>
    <n v="94"/>
    <n v="7"/>
    <n v="8"/>
    <n v="2"/>
    <m/>
    <m/>
    <m/>
    <m/>
    <m/>
    <m/>
    <m/>
    <m/>
    <d v="1955-06-10T00:00:00"/>
    <s v="M"/>
    <s v="B"/>
    <s v="BLACK"/>
    <s v="NON-HISPANIC"/>
    <s v="248"/>
    <s v="CONVICTED"/>
    <n v="5"/>
    <s v="STJ"/>
    <m/>
    <n v="7"/>
    <m/>
    <s v="CREDIT/DEBIT CARD ABUSE"/>
    <m/>
    <s v="FS"/>
    <s v="OTHER FEL"/>
    <m/>
    <m/>
    <m/>
    <m/>
    <m/>
    <m/>
    <m/>
    <m/>
    <m/>
    <s v="Appointed Attorney"/>
    <m/>
    <m/>
    <n v="94"/>
    <n v="94"/>
    <n v="94"/>
    <n v="56.770491803278688"/>
    <n v="0"/>
    <n v="0"/>
    <s v="CONVICTION"/>
    <x v="0"/>
    <s v="N"/>
    <m/>
    <s v="CONVICTION"/>
    <s v="Y"/>
    <x v="0"/>
    <x v="0"/>
    <s v="Y"/>
    <n v="1"/>
    <n v="1"/>
    <n v="0"/>
    <n v="0"/>
    <n v="-94"/>
    <n v="0"/>
    <n v="94"/>
    <e v="#VALUE!"/>
    <n v="94"/>
    <n v="0"/>
    <n v="0"/>
    <m/>
    <s v="Y"/>
    <m/>
    <s v="91-120 DAYS"/>
    <n v="0"/>
    <x v="0"/>
  </r>
  <r>
    <n v="351"/>
    <s v="Y"/>
    <s v="N"/>
    <n v="1204838"/>
    <n v="1"/>
    <d v="2012-01-14T00:00:00"/>
    <d v="2012-01-23T00:00:00"/>
    <n v="1204838"/>
    <s v="NOT BOOKED"/>
    <s v="NOT BOOKED"/>
    <n v="2000"/>
    <x v="5"/>
    <d v="2012-01-21T00:00:00"/>
    <s v="Y"/>
    <s v="SURETY"/>
    <s v="DISMISSED"/>
    <n v="0"/>
    <n v="10"/>
    <n v="3"/>
    <n v="5"/>
    <m/>
    <n v="2"/>
    <m/>
    <m/>
    <m/>
    <m/>
    <m/>
    <m/>
    <m/>
    <d v="1973-05-14T00:00:00"/>
    <s v="F"/>
    <s v="B"/>
    <s v="BLACK"/>
    <s v="NON-HISPANIC"/>
    <s v="338"/>
    <s v="DISMISSED"/>
    <n v="2"/>
    <s v="DISMISSED"/>
    <m/>
    <m/>
    <m/>
    <s v="FORGERY"/>
    <m/>
    <s v="FS"/>
    <s v="OTHER FEL"/>
    <m/>
    <m/>
    <m/>
    <m/>
    <m/>
    <m/>
    <m/>
    <m/>
    <m/>
    <s v="Other/Unknown"/>
    <s v="misd aslt fam mem filed 11/3/13"/>
    <m/>
    <n v="0"/>
    <n v="0"/>
    <n v="10"/>
    <n v="38.590163934426229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946"/>
    <s v="N"/>
    <s v="N"/>
    <n v="1204971"/>
    <n v="5"/>
    <d v="2012-02-04T00:00:00"/>
    <d v="2012-02-06T00:00:00"/>
    <n v="1204971"/>
    <d v="2012-02-05T00:00:00"/>
    <d v="2012-02-06T00:00:00"/>
    <n v="15000"/>
    <x v="0"/>
    <m/>
    <s v="N"/>
    <s v="NONE"/>
    <s v="GUILTY PLEA - NO JURY"/>
    <n v="2"/>
    <n v="3"/>
    <n v="4"/>
    <n v="4"/>
    <n v="4"/>
    <m/>
    <m/>
    <m/>
    <m/>
    <m/>
    <m/>
    <m/>
    <m/>
    <d v="1971-03-22T00:00:00"/>
    <s v="M"/>
    <s v="B"/>
    <s v="BLACK"/>
    <s v="NULL"/>
    <s v="179"/>
    <s v="CONVICTED"/>
    <n v="1"/>
    <s v="STJ"/>
    <m/>
    <n v="9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40.789617486338798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1737"/>
    <s v="N"/>
    <s v="N"/>
    <n v="1205460"/>
    <n v="5"/>
    <d v="2012-03-05T00:00:00"/>
    <d v="2012-03-07T00:00:00"/>
    <n v="1205460"/>
    <d v="2012-03-05T00:00:00"/>
    <d v="2012-03-07T00:00:00"/>
    <n v="15000"/>
    <x v="0"/>
    <m/>
    <s v="N"/>
    <s v="NONE"/>
    <s v="GUILTY PLEA - NO JURY"/>
    <n v="3"/>
    <n v="3"/>
    <n v="2"/>
    <n v="7"/>
    <n v="1"/>
    <m/>
    <m/>
    <m/>
    <m/>
    <m/>
    <m/>
    <s v="S"/>
    <m/>
    <d v="1973-06-14T00:00:00"/>
    <s v="M"/>
    <s v="H"/>
    <s v="HISPANIC"/>
    <s v="NON-HISPANIC"/>
    <s v="232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38.644808743169399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3176"/>
    <s v="N"/>
    <s v="N"/>
    <n v="1206457"/>
    <n v="5"/>
    <d v="2012-04-26T00:00:00"/>
    <d v="2012-04-30T00:00:00"/>
    <n v="1206457"/>
    <d v="2012-04-27T00:00:00"/>
    <d v="2012-04-30T00:00:00"/>
    <n v="10000"/>
    <x v="3"/>
    <m/>
    <s v="N"/>
    <s v="NONE"/>
    <s v="GUILTY PLEA - NO JURY"/>
    <n v="4"/>
    <n v="5"/>
    <n v="3"/>
    <n v="0"/>
    <n v="3"/>
    <m/>
    <m/>
    <m/>
    <m/>
    <m/>
    <m/>
    <m/>
    <m/>
    <d v="1968-03-21T00:00:00"/>
    <s v="M"/>
    <s v="B"/>
    <s v="BLACK"/>
    <s v="NULL"/>
    <s v="178"/>
    <s v="CONVICTED"/>
    <n v="1"/>
    <s v="STJ"/>
    <m/>
    <n v="10"/>
    <m/>
    <s v="POSS CS PG 1 &lt;1G"/>
    <m/>
    <s v="FS"/>
    <s v="POSS DRUG"/>
    <m/>
    <m/>
    <m/>
    <m/>
    <m/>
    <m/>
    <m/>
    <m/>
    <m/>
    <s v="Appointed Attorney"/>
    <m/>
    <m/>
    <n v="4"/>
    <n v="4"/>
    <n v="5"/>
    <n v="44.008196721311478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86"/>
    <s v="N"/>
    <s v="N"/>
    <n v="1209482"/>
    <n v="1"/>
    <d v="2012-01-05T00:00:00"/>
    <d v="2012-03-02T00:00:00"/>
    <n v="1209482"/>
    <d v="2012-01-05T00:00:00"/>
    <d v="2012-01-07T00:00:00"/>
    <n v="2000"/>
    <x v="5"/>
    <d v="2012-01-07T00:00:00"/>
    <s v="Y"/>
    <s v="SURETY"/>
    <s v="NO BILL"/>
    <n v="3"/>
    <n v="58"/>
    <n v="0"/>
    <n v="10"/>
    <m/>
    <m/>
    <m/>
    <m/>
    <m/>
    <m/>
    <m/>
    <m/>
    <m/>
    <d v="1973-07-06T00:00:00"/>
    <s v="M"/>
    <s v="W"/>
    <s v="WHITE"/>
    <s v="NULL"/>
    <s v="177"/>
    <s v="NO BILL"/>
    <n v="4"/>
    <s v="NO BILL"/>
    <m/>
    <m/>
    <m/>
    <s v="POSS CS PG 1 &lt;1G"/>
    <m/>
    <s v="FS"/>
    <s v="POSS DRUG"/>
    <m/>
    <m/>
    <m/>
    <m/>
    <m/>
    <m/>
    <m/>
    <m/>
    <m/>
    <s v="Appointed Attorney"/>
    <m/>
    <m/>
    <n v="3"/>
    <n v="58"/>
    <n v="58"/>
    <n v="38.420765027322403"/>
    <n v="0"/>
    <n v="-55"/>
    <s v="NO CONVICTION"/>
    <x v="1"/>
    <s v="Y"/>
    <m/>
    <s v="NO CONVICTION"/>
    <s v="Y"/>
    <x v="1"/>
    <x v="0"/>
    <s v="N"/>
    <n v="5.1724137931034482E-2"/>
    <n v="5.1724137931034482E-2"/>
    <n v="0"/>
    <n v="0"/>
    <n v="-3"/>
    <n v="0"/>
    <n v="3"/>
    <e v="#VALUE!"/>
    <n v="3"/>
    <n v="0"/>
    <n v="55"/>
    <m/>
    <s v="Y"/>
    <m/>
    <s v="0-10 DAYS"/>
    <n v="1"/>
    <x v="0"/>
  </r>
  <r>
    <n v="2950"/>
    <s v="N"/>
    <s v="N"/>
    <n v="1210104"/>
    <n v="1"/>
    <d v="2012-04-18T00:00:00"/>
    <d v="2012-04-20T00:00:00"/>
    <n v="1210104"/>
    <d v="2012-04-19T00:00:00"/>
    <d v="2012-04-20T00:00:00"/>
    <n v="15000"/>
    <x v="0"/>
    <m/>
    <s v="N"/>
    <s v="NONE"/>
    <s v="DISMISSED"/>
    <n v="2"/>
    <n v="3"/>
    <n v="3"/>
    <n v="2"/>
    <n v="1"/>
    <m/>
    <m/>
    <m/>
    <m/>
    <m/>
    <m/>
    <m/>
    <m/>
    <d v="1966-11-24T00:00:00"/>
    <s v="M"/>
    <s v="B"/>
    <s v="BLACK"/>
    <s v="NON-HISPANIC"/>
    <s v="177"/>
    <s v="DISMISSED"/>
    <n v="1"/>
    <s v="DISMISSED"/>
    <m/>
    <m/>
    <m/>
    <s v="POSS CS PG 1 &lt;1G"/>
    <m/>
    <s v="FS"/>
    <s v="POSS DRUG"/>
    <m/>
    <m/>
    <m/>
    <m/>
    <m/>
    <m/>
    <m/>
    <m/>
    <m/>
    <s v="Appointed Attorney"/>
    <m/>
    <m/>
    <n v="2"/>
    <n v="2"/>
    <n v="3"/>
    <n v="45.306010928961747"/>
    <n v="0"/>
    <n v="0"/>
    <s v="NO CONVICTION"/>
    <x v="0"/>
    <s v="N"/>
    <m/>
    <s v="NO 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121"/>
    <s v="N"/>
    <s v="N"/>
    <n v="1210466"/>
    <n v="6"/>
    <d v="2012-03-20T00:00:00"/>
    <d v="2012-04-27T00:00:00"/>
    <n v="1210466"/>
    <d v="2012-03-22T00:00:00"/>
    <d v="2012-04-27T00:00:00"/>
    <s v="NO BOND"/>
    <x v="1"/>
    <m/>
    <s v="N"/>
    <s v="NONE"/>
    <s v="GUILTY PLEA - NO JURY"/>
    <n v="37"/>
    <n v="39"/>
    <n v="4"/>
    <n v="4"/>
    <n v="3"/>
    <m/>
    <m/>
    <m/>
    <m/>
    <m/>
    <m/>
    <s v="S"/>
    <m/>
    <d v="1972-11-28T00:00:00"/>
    <s v="M"/>
    <s v="H"/>
    <s v="HISPANIC"/>
    <s v="NULL"/>
    <s v="351"/>
    <s v="CONVICTED"/>
    <n v="4"/>
    <s v="TDC"/>
    <n v="4"/>
    <m/>
    <m/>
    <s v="FELON POSS WPN"/>
    <m/>
    <s v="F3"/>
    <s v="OTHER FEL"/>
    <m/>
    <m/>
    <m/>
    <m/>
    <m/>
    <m/>
    <m/>
    <m/>
    <m/>
    <s v="Hired Attorney"/>
    <m/>
    <m/>
    <n v="37"/>
    <n v="37"/>
    <n v="39"/>
    <n v="39.22677595628415"/>
    <n v="0"/>
    <n v="0"/>
    <s v="CONVICTION"/>
    <x v="0"/>
    <s v="N"/>
    <m/>
    <s v="CONVICTION"/>
    <s v="Y"/>
    <x v="0"/>
    <x v="0"/>
    <s v="Y"/>
    <n v="0.94871794871794868"/>
    <n v="1"/>
    <n v="5.1282051282051322E-2"/>
    <n v="0"/>
    <n v="-37"/>
    <n v="0"/>
    <n v="37"/>
    <e v="#VALUE!"/>
    <n v="37"/>
    <n v="0"/>
    <n v="0"/>
    <m/>
    <s v="Y"/>
    <m/>
    <s v="31-60 DAYS"/>
    <n v="3"/>
    <x v="0"/>
  </r>
  <r>
    <n v="2890"/>
    <s v="N"/>
    <s v="N"/>
    <n v="1214012"/>
    <n v="1"/>
    <d v="2012-04-17T00:00:00"/>
    <d v="2013-04-04T00:00:00"/>
    <n v="1214012"/>
    <d v="2012-04-26T00:00:00"/>
    <d v="2013-04-04T00:00:00"/>
    <n v="20000"/>
    <x v="0"/>
    <m/>
    <s v="N"/>
    <s v="NONE"/>
    <s v="DISMISSED"/>
    <n v="344"/>
    <n v="353"/>
    <n v="1"/>
    <n v="0"/>
    <n v="1"/>
    <m/>
    <m/>
    <m/>
    <m/>
    <m/>
    <m/>
    <m/>
    <m/>
    <d v="1967-11-10T00:00:00"/>
    <s v="M"/>
    <s v="B"/>
    <s v="BLACK"/>
    <s v="NON-HISPANIC"/>
    <s v="182"/>
    <s v="DISMISSED"/>
    <n v="10"/>
    <s v="DISMISSED"/>
    <m/>
    <m/>
    <m/>
    <s v="FAIL COMPLY SEX OFFENDER REGIS"/>
    <m/>
    <s v="F2"/>
    <s v="OTHER FEL"/>
    <m/>
    <m/>
    <m/>
    <m/>
    <m/>
    <m/>
    <m/>
    <m/>
    <m/>
    <s v="Appointed Attorney"/>
    <m/>
    <m/>
    <n v="344"/>
    <n v="344"/>
    <n v="353"/>
    <n v="44.344262295081968"/>
    <n v="0"/>
    <n v="0"/>
    <s v="NO CONVICTION"/>
    <x v="0"/>
    <s v="N"/>
    <m/>
    <s v="NO CONVICTION"/>
    <s v="Y"/>
    <x v="0"/>
    <x v="0"/>
    <s v="Y"/>
    <n v="0.9745042492917847"/>
    <n v="1"/>
    <n v="2.5495750708215303E-2"/>
    <n v="0"/>
    <n v="-344"/>
    <n v="0"/>
    <n v="344"/>
    <e v="#VALUE!"/>
    <n v="344"/>
    <n v="0"/>
    <n v="0"/>
    <m/>
    <s v="Y"/>
    <m/>
    <s v="121-365 DAYS"/>
    <n v="6"/>
    <x v="0"/>
  </r>
  <r>
    <n v="240"/>
    <s v="N"/>
    <s v="N"/>
    <n v="1214903"/>
    <n v="1"/>
    <d v="2012-01-11T00:00:00"/>
    <d v="2012-02-20T00:00:00"/>
    <n v="1214903"/>
    <d v="2012-01-11T00:00:00"/>
    <d v="2012-02-20T00:00:00"/>
    <n v="20000"/>
    <x v="0"/>
    <m/>
    <s v="N"/>
    <s v="NONE"/>
    <s v="NO BILL"/>
    <n v="41"/>
    <n v="41"/>
    <n v="8"/>
    <n v="2"/>
    <n v="7"/>
    <m/>
    <m/>
    <m/>
    <m/>
    <m/>
    <m/>
    <m/>
    <m/>
    <d v="1973-09-07T00:00:00"/>
    <s v="M"/>
    <s v="B"/>
    <s v="BLACK"/>
    <s v="NON-HISPANIC"/>
    <s v="183"/>
    <s v="NO BILL"/>
    <n v="3"/>
    <s v="NO BILL"/>
    <m/>
    <m/>
    <m/>
    <s v="FELON POSS WPN"/>
    <m/>
    <s v="F3"/>
    <s v="OTHER FEL"/>
    <m/>
    <m/>
    <m/>
    <m/>
    <m/>
    <m/>
    <m/>
    <m/>
    <m/>
    <s v="Appointed Attorney"/>
    <m/>
    <m/>
    <n v="41"/>
    <n v="41"/>
    <n v="41"/>
    <n v="38.265027322404372"/>
    <n v="0"/>
    <n v="0"/>
    <s v="NO CONVICTION"/>
    <x v="0"/>
    <s v="N"/>
    <m/>
    <s v="NO CONVICTION"/>
    <s v="Y"/>
    <x v="0"/>
    <x v="0"/>
    <s v="Y"/>
    <n v="1"/>
    <n v="1"/>
    <n v="0"/>
    <n v="0"/>
    <n v="-41"/>
    <n v="0"/>
    <n v="41"/>
    <e v="#VALUE!"/>
    <n v="41"/>
    <n v="0"/>
    <n v="0"/>
    <m/>
    <s v="Y"/>
    <m/>
    <s v="31-60 DAYS"/>
    <n v="3"/>
    <x v="0"/>
  </r>
  <r>
    <n v="83"/>
    <s v="N"/>
    <s v="N"/>
    <n v="1216061"/>
    <n v="5"/>
    <d v="2012-01-05T00:00:00"/>
    <d v="2012-01-09T00:00:00"/>
    <n v="1216061"/>
    <d v="2012-01-05T00:00:00"/>
    <d v="2012-01-09T00:00:00"/>
    <n v="15000"/>
    <x v="0"/>
    <m/>
    <s v="N"/>
    <s v="NONE"/>
    <s v="GUILTY PLEA - NO JURY"/>
    <n v="5"/>
    <n v="5"/>
    <n v="2"/>
    <n v="8"/>
    <n v="1"/>
    <m/>
    <m/>
    <m/>
    <m/>
    <m/>
    <m/>
    <m/>
    <m/>
    <d v="1968-03-09T00:00:00"/>
    <s v="M"/>
    <s v="H"/>
    <s v="HISPANIC"/>
    <s v="HISPANIC"/>
    <s v="228"/>
    <s v="CONVICTED"/>
    <n v="2"/>
    <s v="STJ"/>
    <m/>
    <n v="7"/>
    <m/>
    <s v="THEFT UNDER $1500 - 3RD OFF."/>
    <m/>
    <s v="FS"/>
    <s v="THEFT"/>
    <m/>
    <m/>
    <m/>
    <m/>
    <m/>
    <m/>
    <m/>
    <m/>
    <m/>
    <s v="Appointed Attorney"/>
    <m/>
    <m/>
    <n v="5"/>
    <n v="5"/>
    <n v="5"/>
    <n v="43.734972677595628"/>
    <n v="0"/>
    <n v="0"/>
    <s v="CONVICTION"/>
    <x v="0"/>
    <s v="N"/>
    <m/>
    <s v="CONVICTION"/>
    <s v="Y"/>
    <x v="0"/>
    <x v="0"/>
    <s v="Y"/>
    <n v="1"/>
    <n v="1"/>
    <n v="0"/>
    <n v="0"/>
    <n v="-5"/>
    <n v="0"/>
    <n v="5"/>
    <e v="#VALUE!"/>
    <n v="5"/>
    <n v="0"/>
    <n v="0"/>
    <m/>
    <s v="Y"/>
    <m/>
    <s v="0-10 DAYS"/>
    <n v="1"/>
    <x v="0"/>
  </r>
  <r>
    <n v="1022"/>
    <s v="N"/>
    <s v="N"/>
    <n v="1216552"/>
    <n v="5"/>
    <d v="2012-02-08T00:00:00"/>
    <d v="2012-04-09T00:00:00"/>
    <n v="1216552"/>
    <d v="2012-02-08T00:00:00"/>
    <d v="2012-02-11T00:00:00"/>
    <n v="5000"/>
    <x v="4"/>
    <d v="2012-02-11T00:00:00"/>
    <s v="Y"/>
    <s v="SURETY"/>
    <s v="GUILTY PLEA - NO JURY"/>
    <n v="4"/>
    <n v="62"/>
    <n v="1"/>
    <n v="3"/>
    <n v="1"/>
    <n v="1"/>
    <m/>
    <m/>
    <m/>
    <m/>
    <m/>
    <m/>
    <m/>
    <d v="1974-06-14T00:00:00"/>
    <s v="M"/>
    <s v="B"/>
    <s v="BLACK"/>
    <s v="NON-HISPANIC"/>
    <s v="232"/>
    <s v="CONVICTED"/>
    <n v="4"/>
    <s v="STJ"/>
    <m/>
    <n v="6"/>
    <m/>
    <s v="POSS CS PG 1 &lt;1G"/>
    <m/>
    <s v="FS"/>
    <s v="POSS DRUG"/>
    <m/>
    <m/>
    <m/>
    <m/>
    <m/>
    <m/>
    <m/>
    <m/>
    <m/>
    <s v="Public Defender"/>
    <m/>
    <m/>
    <n v="4"/>
    <n v="62"/>
    <n v="62"/>
    <n v="37.576502732240435"/>
    <n v="0"/>
    <n v="-58"/>
    <s v="CONVICTION"/>
    <x v="1"/>
    <s v="Y"/>
    <m/>
    <s v="CONVICTION"/>
    <s v="Y"/>
    <x v="1"/>
    <x v="0"/>
    <s v="Y"/>
    <n v="6.4516129032258063E-2"/>
    <n v="6.4516129032258063E-2"/>
    <n v="0"/>
    <n v="0"/>
    <n v="-4"/>
    <n v="0"/>
    <n v="4"/>
    <e v="#VALUE!"/>
    <n v="4"/>
    <n v="0"/>
    <n v="58"/>
    <m/>
    <s v="Y"/>
    <m/>
    <s v="0-10 DAYS"/>
    <n v="1"/>
    <x v="0"/>
  </r>
  <r>
    <n v="2994"/>
    <s v="Y"/>
    <s v="N"/>
    <n v="1216950"/>
    <n v="5"/>
    <d v="2012-04-20T00:00:00"/>
    <d v="2012-04-23T00:00:00"/>
    <n v="1216950"/>
    <d v="2012-04-20T00:00:00"/>
    <d v="2012-04-23T00:00:00"/>
    <n v="15000"/>
    <x v="0"/>
    <m/>
    <s v="N"/>
    <s v="NONE"/>
    <s v="GUILTY PLEA - NO JURY"/>
    <n v="4"/>
    <n v="4"/>
    <n v="2"/>
    <n v="11"/>
    <n v="2"/>
    <m/>
    <m/>
    <m/>
    <m/>
    <m/>
    <m/>
    <m/>
    <m/>
    <d v="1964-01-18T00:00:00"/>
    <s v="M"/>
    <s v="B"/>
    <s v="BLACK"/>
    <s v="NON-HISPANIC"/>
    <s v="230"/>
    <s v="CONVICTED"/>
    <n v="1"/>
    <s v="STJ"/>
    <m/>
    <n v="6"/>
    <m/>
    <s v="POSS CS PG 1 &lt;1G"/>
    <m/>
    <s v="FS"/>
    <s v="POSS DRUG"/>
    <m/>
    <m/>
    <m/>
    <m/>
    <m/>
    <m/>
    <m/>
    <m/>
    <m/>
    <s v="Other/Unknown"/>
    <s v="m alst 3/24/13hcj 30d 9/17/13 fel burg hab2y tdc"/>
    <m/>
    <n v="3"/>
    <n v="0"/>
    <n v="4"/>
    <n v="48.155737704918032"/>
    <n v="0"/>
    <n v="0"/>
    <s v="CONVICTION"/>
    <x v="0"/>
    <s v="N"/>
    <m/>
    <s v="CONVICTION"/>
    <s v="Y"/>
    <x v="0"/>
    <x v="0"/>
    <s v="Y"/>
    <n v="1"/>
    <n v="1"/>
    <n v="0"/>
    <n v="1"/>
    <n v="-4"/>
    <n v="-1"/>
    <n v="4"/>
    <n v="3"/>
    <n v="4"/>
    <n v="0"/>
    <n v="0"/>
    <m/>
    <s v="Y"/>
    <m/>
    <s v="0-10 DAYS"/>
    <n v="1"/>
    <x v="0"/>
  </r>
  <r>
    <n v="2658"/>
    <s v="N"/>
    <s v="N"/>
    <n v="1218802"/>
    <n v="3"/>
    <d v="2012-04-08T00:00:00"/>
    <d v="2013-02-01T00:00:00"/>
    <n v="1218802"/>
    <d v="2012-04-09T00:00:00"/>
    <d v="2012-04-12T00:00:00"/>
    <n v="10000"/>
    <x v="3"/>
    <d v="2012-04-12T00:00:00"/>
    <s v="Y"/>
    <s v="SURETYPTRc"/>
    <s v="GUILTY PLEA - NO JURY"/>
    <n v="4"/>
    <n v="300"/>
    <n v="0"/>
    <n v="6"/>
    <m/>
    <m/>
    <m/>
    <m/>
    <m/>
    <m/>
    <m/>
    <m/>
    <m/>
    <d v="1957-03-21T00:00:00"/>
    <s v="M"/>
    <s v="H"/>
    <s v="HISPANIC"/>
    <s v="HISPANIC"/>
    <s v="338"/>
    <s v="CONVICTED"/>
    <n v="13"/>
    <s v="PROBATION"/>
    <m/>
    <m/>
    <m/>
    <s v="DWI 3RD OFFENDER BAC .08"/>
    <m/>
    <s v="F3"/>
    <s v="FEL DWI"/>
    <m/>
    <m/>
    <m/>
    <m/>
    <m/>
    <m/>
    <m/>
    <m/>
    <m/>
    <s v="Hired Attorney"/>
    <m/>
    <m/>
    <n v="4"/>
    <n v="299"/>
    <n v="300"/>
    <n v="54.937158469945352"/>
    <n v="0"/>
    <n v="-295"/>
    <s v="CONVICTION"/>
    <x v="1"/>
    <s v="Y"/>
    <m/>
    <s v="CONVICTION"/>
    <s v="Y"/>
    <x v="1"/>
    <x v="0"/>
    <s v="N"/>
    <n v="1.3333333333333334E-2"/>
    <n v="1.3377926421404682E-2"/>
    <n v="4.4593088071347847E-5"/>
    <n v="0"/>
    <n v="-4"/>
    <n v="0"/>
    <n v="4"/>
    <e v="#VALUE!"/>
    <n v="4"/>
    <n v="0"/>
    <n v="295"/>
    <m/>
    <s v="Y"/>
    <m/>
    <s v="0-10 DAYS"/>
    <n v="1"/>
    <x v="0"/>
  </r>
  <r>
    <n v="3079"/>
    <s v="N"/>
    <s v="N"/>
    <n v="1221193"/>
    <n v="6"/>
    <d v="2012-04-24T00:00:00"/>
    <d v="2012-06-28T00:00:00"/>
    <n v="1221193"/>
    <d v="2012-04-24T00:00:00"/>
    <d v="2012-06-28T00:00:00"/>
    <n v="10000"/>
    <x v="3"/>
    <m/>
    <s v="N"/>
    <s v="NONE"/>
    <s v="GUILTY PLEA - NO JURY"/>
    <n v="66"/>
    <n v="66"/>
    <n v="1"/>
    <n v="3"/>
    <n v="1"/>
    <m/>
    <m/>
    <m/>
    <m/>
    <m/>
    <m/>
    <m/>
    <m/>
    <d v="1962-05-25T00:00:00"/>
    <s v="M"/>
    <s v="H"/>
    <s v="HISPANIC"/>
    <s v="HISPANIC"/>
    <s v="230"/>
    <s v="CONVICTED"/>
    <n v="4"/>
    <s v="TDC"/>
    <n v="3"/>
    <m/>
    <m/>
    <s v="DWI 3RD OFFENDER BAC .08"/>
    <m/>
    <s v="F3"/>
    <s v="FEL DWI"/>
    <m/>
    <m/>
    <m/>
    <m/>
    <m/>
    <m/>
    <m/>
    <m/>
    <m/>
    <s v="Appointed Attorney"/>
    <m/>
    <m/>
    <n v="66"/>
    <n v="66"/>
    <n v="66"/>
    <n v="49.814207650273225"/>
    <n v="0"/>
    <n v="0"/>
    <s v="CONVICTION"/>
    <x v="0"/>
    <s v="N"/>
    <m/>
    <s v="CONVICTION"/>
    <s v="Y"/>
    <x v="0"/>
    <x v="0"/>
    <s v="Y"/>
    <n v="1"/>
    <n v="1"/>
    <n v="0"/>
    <n v="0"/>
    <n v="-66"/>
    <n v="0"/>
    <n v="66"/>
    <e v="#VALUE!"/>
    <n v="66"/>
    <n v="0"/>
    <n v="0"/>
    <m/>
    <s v="Y"/>
    <m/>
    <s v="61-90 DAYS"/>
    <n v="4"/>
    <x v="0"/>
  </r>
  <r>
    <n v="2781"/>
    <s v="N"/>
    <s v="N"/>
    <n v="1221765"/>
    <n v="4"/>
    <d v="2012-04-12T00:00:00"/>
    <d v="2013-03-12T00:00:00"/>
    <n v="1221765"/>
    <d v="2012-04-13T00:00:00"/>
    <d v="2012-04-15T00:00:00"/>
    <n v="15000"/>
    <x v="0"/>
    <d v="2012-04-15T00:00:00"/>
    <s v="Y"/>
    <s v="SURETYPTRc"/>
    <s v="GUILTY PLEA - NO JURY"/>
    <n v="3"/>
    <n v="335"/>
    <n v="3"/>
    <n v="4"/>
    <n v="3"/>
    <m/>
    <m/>
    <m/>
    <m/>
    <m/>
    <m/>
    <m/>
    <m/>
    <d v="1962-12-19T00:00:00"/>
    <s v="M"/>
    <s v="H"/>
    <s v="HISPANIC"/>
    <s v="HISPANIC"/>
    <s v="337"/>
    <s v="CONVICTED"/>
    <n v="10"/>
    <s v="HCJ"/>
    <m/>
    <m/>
    <n v="3"/>
    <s v="POSS CS PG 1 &lt;1G"/>
    <m/>
    <s v="FS"/>
    <s v="POSS DRUG"/>
    <m/>
    <m/>
    <m/>
    <m/>
    <m/>
    <m/>
    <m/>
    <m/>
    <m/>
    <s v="Hired Attorney"/>
    <m/>
    <m/>
    <n v="3"/>
    <n v="334"/>
    <n v="335"/>
    <n v="49.213114754098363"/>
    <n v="0"/>
    <n v="-331"/>
    <s v="CONVICTION"/>
    <x v="1"/>
    <s v="Y"/>
    <m/>
    <s v="CONVICTION"/>
    <s v="Y"/>
    <x v="1"/>
    <x v="0"/>
    <s v="Y"/>
    <n v="8.9552238805970154E-3"/>
    <n v="8.9820359281437123E-3"/>
    <n v="2.6812047546696804E-5"/>
    <n v="0"/>
    <n v="-3"/>
    <n v="0"/>
    <n v="3"/>
    <e v="#VALUE!"/>
    <n v="3"/>
    <n v="0"/>
    <n v="331"/>
    <m/>
    <s v="Y"/>
    <m/>
    <s v="0-10 DAYS"/>
    <n v="1"/>
    <x v="0"/>
  </r>
  <r>
    <n v="760"/>
    <s v="N"/>
    <s v="N"/>
    <n v="1222726"/>
    <n v="2"/>
    <d v="2012-01-30T00:00:00"/>
    <d v="2012-02-07T00:00:00"/>
    <n v="1222726"/>
    <d v="2012-01-31T00:00:00"/>
    <d v="2012-02-07T00:00:00"/>
    <n v="2000"/>
    <x v="5"/>
    <m/>
    <s v="N"/>
    <s v="NONE"/>
    <s v="DEFERRED ADJUDICATION "/>
    <n v="8"/>
    <n v="9"/>
    <n v="0"/>
    <n v="2"/>
    <m/>
    <m/>
    <m/>
    <m/>
    <m/>
    <m/>
    <m/>
    <m/>
    <m/>
    <d v="1971-08-07T00:00:00"/>
    <s v="F"/>
    <s v="W"/>
    <s v="WHITE"/>
    <s v="NULL"/>
    <s v="185"/>
    <s v="DEFERRED"/>
    <n v="3"/>
    <s v="DEFERRED"/>
    <m/>
    <m/>
    <m/>
    <s v="POSS CS PG 1 &lt;1G"/>
    <m/>
    <s v="FS"/>
    <s v="POSS DRUG"/>
    <m/>
    <m/>
    <m/>
    <m/>
    <m/>
    <m/>
    <m/>
    <m/>
    <m/>
    <s v="Public Defender"/>
    <m/>
    <m/>
    <n v="8"/>
    <n v="8"/>
    <n v="9"/>
    <n v="40.398907103825138"/>
    <n v="0"/>
    <n v="0"/>
    <s v="DEFERRED"/>
    <x v="0"/>
    <s v="N"/>
    <m/>
    <s v="DEFERRED"/>
    <s v="Y"/>
    <x v="0"/>
    <x v="0"/>
    <s v="N"/>
    <n v="0.88888888888888884"/>
    <n v="1"/>
    <n v="0.11111111111111116"/>
    <n v="0"/>
    <n v="-8"/>
    <n v="0"/>
    <n v="8"/>
    <e v="#VALUE!"/>
    <n v="8"/>
    <n v="0"/>
    <n v="0"/>
    <m/>
    <s v="Y"/>
    <m/>
    <s v="0-10 DAYS"/>
    <n v="1"/>
    <x v="0"/>
  </r>
  <r>
    <n v="2401"/>
    <s v="N"/>
    <s v="N"/>
    <n v="1223681"/>
    <n v="5"/>
    <d v="2012-03-31T00:00:00"/>
    <d v="2012-04-02T00:00:00"/>
    <n v="1223681"/>
    <d v="2012-03-31T00:00:00"/>
    <d v="2012-04-02T00:00:00"/>
    <s v="NO BOND"/>
    <x v="1"/>
    <m/>
    <s v="N"/>
    <s v="NONE"/>
    <s v="GUILTY PLEA - NO JURY"/>
    <n v="3"/>
    <n v="3"/>
    <n v="5"/>
    <n v="3"/>
    <n v="3"/>
    <m/>
    <m/>
    <m/>
    <m/>
    <m/>
    <m/>
    <m/>
    <m/>
    <d v="1974-08-16T00:00:00"/>
    <s v="M"/>
    <s v="B"/>
    <s v="BLACK"/>
    <s v="NON-HISPANIC"/>
    <s v="179"/>
    <s v="CONVICTED"/>
    <n v="1"/>
    <s v="STJ"/>
    <m/>
    <n v="8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37.546448087431692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934"/>
    <s v="N"/>
    <s v="N"/>
    <n v="1223750"/>
    <n v="2"/>
    <d v="2012-04-18T00:00:00"/>
    <d v="2012-11-16T00:00:00"/>
    <n v="1223750"/>
    <d v="2012-04-28T00:00:00"/>
    <d v="2012-04-29T00:00:00"/>
    <n v="10000"/>
    <x v="3"/>
    <d v="2012-04-29T00:00:00"/>
    <s v="Y"/>
    <s v="SURETYPTRc"/>
    <s v="DEFERRED ADJUDICATION "/>
    <n v="2"/>
    <n v="213"/>
    <n v="0"/>
    <n v="3"/>
    <m/>
    <m/>
    <m/>
    <m/>
    <m/>
    <m/>
    <m/>
    <m/>
    <m/>
    <d v="1971-06-14T00:00:00"/>
    <s v="M"/>
    <s v="B"/>
    <s v="BLACK"/>
    <s v="NON-HISPANIC"/>
    <s v="337"/>
    <s v="DEFERRED"/>
    <n v="8"/>
    <s v="DEFERRED"/>
    <m/>
    <m/>
    <m/>
    <s v="BURGLARY OF HABITATION"/>
    <m/>
    <s v="F2"/>
    <s v="BURGLARY"/>
    <m/>
    <m/>
    <m/>
    <m/>
    <m/>
    <m/>
    <m/>
    <m/>
    <m/>
    <s v="Hired Attorney"/>
    <m/>
    <m/>
    <n v="2"/>
    <n v="203"/>
    <n v="213"/>
    <n v="40.76229508196721"/>
    <n v="0"/>
    <n v="-201"/>
    <s v="DEFERRED"/>
    <x v="1"/>
    <s v="Y"/>
    <m/>
    <s v="DEFERRED"/>
    <s v="Y"/>
    <x v="1"/>
    <x v="0"/>
    <s v="N"/>
    <n v="9.3896713615023476E-3"/>
    <n v="9.852216748768473E-3"/>
    <n v="4.6254538726612539E-4"/>
    <n v="0"/>
    <n v="-2"/>
    <n v="0"/>
    <n v="2"/>
    <e v="#VALUE!"/>
    <n v="2"/>
    <n v="0"/>
    <n v="201"/>
    <m/>
    <s v="Y"/>
    <m/>
    <s v="0-10 DAYS"/>
    <n v="1"/>
    <x v="0"/>
  </r>
  <r>
    <n v="1900"/>
    <s v="N"/>
    <s v="N"/>
    <n v="1229380"/>
    <n v="5"/>
    <d v="2012-03-11T00:00:00"/>
    <d v="2012-04-20T00:00:00"/>
    <n v="1229380"/>
    <d v="2012-03-11T00:00:00"/>
    <d v="2012-04-20T00:00:00"/>
    <n v="15000"/>
    <x v="0"/>
    <m/>
    <s v="N"/>
    <s v="NONE"/>
    <s v="GUILTY PLEA - NO JURY"/>
    <n v="41"/>
    <n v="41"/>
    <n v="14"/>
    <n v="4"/>
    <n v="9"/>
    <m/>
    <m/>
    <m/>
    <m/>
    <m/>
    <m/>
    <m/>
    <m/>
    <d v="1962-03-04T00:00:00"/>
    <s v="M"/>
    <s v="B"/>
    <s v="BLACK"/>
    <s v="NON-HISPANIC"/>
    <s v="209"/>
    <s v="CONVICTED"/>
    <n v="3"/>
    <s v="STJ"/>
    <m/>
    <n v="6"/>
    <m/>
    <s v="POSS CS PG 1 &lt;1G"/>
    <m/>
    <s v="FS"/>
    <s v="POSS DRUG"/>
    <m/>
    <m/>
    <m/>
    <m/>
    <m/>
    <m/>
    <m/>
    <m/>
    <m/>
    <s v="Appointed Attorney"/>
    <m/>
    <m/>
    <n v="41"/>
    <n v="41"/>
    <n v="41"/>
    <n v="49.918032786885249"/>
    <n v="0"/>
    <n v="0"/>
    <s v="CONVICTION"/>
    <x v="0"/>
    <s v="N"/>
    <m/>
    <s v="CONVICTION"/>
    <s v="Y"/>
    <x v="0"/>
    <x v="0"/>
    <s v="Y"/>
    <n v="1"/>
    <n v="1"/>
    <n v="0"/>
    <n v="0"/>
    <n v="-41"/>
    <n v="0"/>
    <n v="41"/>
    <e v="#VALUE!"/>
    <n v="41"/>
    <n v="0"/>
    <n v="0"/>
    <m/>
    <s v="Y"/>
    <m/>
    <s v="31-60 DAYS"/>
    <n v="3"/>
    <x v="0"/>
  </r>
  <r>
    <n v="3225"/>
    <s v="N"/>
    <s v="N"/>
    <n v="1230956"/>
    <n v="6"/>
    <d v="2012-04-29T00:00:00"/>
    <d v="2012-08-27T00:00:00"/>
    <n v="1230956"/>
    <d v="2012-04-29T00:00:00"/>
    <d v="2012-08-27T00:00:00"/>
    <s v="NO BOND"/>
    <x v="1"/>
    <m/>
    <s v="N"/>
    <s v="NONE"/>
    <s v="GUILTY PLEA - NO JURY"/>
    <n v="121"/>
    <n v="121"/>
    <n v="4"/>
    <n v="4"/>
    <n v="2"/>
    <m/>
    <m/>
    <m/>
    <m/>
    <m/>
    <m/>
    <m/>
    <m/>
    <d v="1966-03-30T00:00:00"/>
    <s v="M"/>
    <s v="B"/>
    <s v="BLACK"/>
    <s v="NULL"/>
    <s v="230"/>
    <s v="CONVICTED"/>
    <n v="6"/>
    <s v="TDC"/>
    <n v="2"/>
    <m/>
    <m/>
    <s v="AGG ASSAULT W/DEADLY WEAPON"/>
    <m/>
    <s v="F2"/>
    <s v="ASLT-MURDR"/>
    <m/>
    <m/>
    <m/>
    <m/>
    <m/>
    <m/>
    <m/>
    <m/>
    <m/>
    <s v="Appointed Attorney"/>
    <m/>
    <m/>
    <n v="121"/>
    <n v="121"/>
    <n v="121"/>
    <n v="45.989071038251367"/>
    <n v="0"/>
    <n v="0"/>
    <s v="CONVICTION"/>
    <x v="0"/>
    <s v="N"/>
    <m/>
    <s v="CONVICTION"/>
    <s v="Y"/>
    <x v="0"/>
    <x v="0"/>
    <s v="Y"/>
    <n v="1"/>
    <n v="1"/>
    <n v="0"/>
    <n v="0"/>
    <n v="-121"/>
    <n v="0"/>
    <n v="121"/>
    <e v="#VALUE!"/>
    <n v="121"/>
    <n v="0"/>
    <n v="0"/>
    <m/>
    <s v="Y"/>
    <m/>
    <s v="121-365 DAYS"/>
    <n v="6"/>
    <x v="0"/>
  </r>
  <r>
    <n v="2964"/>
    <s v="N"/>
    <s v="N"/>
    <n v="1231965"/>
    <n v="2"/>
    <d v="2012-04-19T00:00:00"/>
    <d v="2012-08-03T00:00:00"/>
    <n v="1231965"/>
    <d v="2012-04-19T00:00:00"/>
    <d v="2012-08-03T00:00:00"/>
    <n v="45000"/>
    <x v="2"/>
    <m/>
    <s v="N"/>
    <s v="NONE"/>
    <s v="DEFERRED ADJUDICATION "/>
    <n v="107"/>
    <n v="107"/>
    <n v="2"/>
    <n v="2"/>
    <n v="2"/>
    <m/>
    <m/>
    <m/>
    <m/>
    <m/>
    <m/>
    <m/>
    <m/>
    <d v="1973-03-26T00:00:00"/>
    <s v="M"/>
    <s v="B"/>
    <s v="BLACK"/>
    <s v="NULL"/>
    <s v="338"/>
    <s v="DEFERRED"/>
    <n v="5"/>
    <s v="DEFERRED"/>
    <m/>
    <m/>
    <m/>
    <s v="AGG ASSAULT-FAMILY MEMBER"/>
    <m/>
    <s v="F2"/>
    <s v="ASLT-MURDR"/>
    <m/>
    <m/>
    <m/>
    <m/>
    <m/>
    <m/>
    <m/>
    <m/>
    <m/>
    <s v="Appointed Attorney"/>
    <m/>
    <m/>
    <n v="107"/>
    <n v="107"/>
    <n v="107"/>
    <n v="38.986338797814206"/>
    <n v="0"/>
    <n v="0"/>
    <s v="DEFERRED"/>
    <x v="0"/>
    <s v="N"/>
    <m/>
    <s v="DEFERRED"/>
    <s v="Y"/>
    <x v="0"/>
    <x v="0"/>
    <s v="Y"/>
    <n v="1"/>
    <n v="1"/>
    <n v="0"/>
    <n v="0"/>
    <n v="-107"/>
    <n v="0"/>
    <n v="107"/>
    <e v="#VALUE!"/>
    <n v="107"/>
    <n v="0"/>
    <n v="0"/>
    <m/>
    <s v="Y"/>
    <m/>
    <s v="91-120 DAYS"/>
    <n v="0"/>
    <x v="0"/>
  </r>
  <r>
    <n v="3237"/>
    <s v="N"/>
    <s v="N"/>
    <n v="1232896"/>
    <s v=""/>
    <d v="2012-04-29T00:00:00"/>
    <m/>
    <n v="1232896"/>
    <d v="2012-04-29T00:00:00"/>
    <d v="2013-01-31T00:00:00"/>
    <n v="40000"/>
    <x v="2"/>
    <d v="2013-01-31T00:00:00"/>
    <s v="Y"/>
    <s v="PTR"/>
    <s v="INCOMPETENT FOR TRIAL "/>
    <s v="STILL OPEN"/>
    <s v="STILL OPEN"/>
    <n v="9"/>
    <n v="5"/>
    <m/>
    <n v="1"/>
    <m/>
    <m/>
    <m/>
    <m/>
    <m/>
    <m/>
    <m/>
    <d v="1974-09-05T00:00:00"/>
    <s v="M"/>
    <s v="W"/>
    <s v="WHITE"/>
    <s v="NON-HISPANIC"/>
    <s v="351"/>
    <s v="MHH"/>
    <m/>
    <m/>
    <m/>
    <m/>
    <m/>
    <s v="AGG ASSAULT W/DEADLY WEAPON"/>
    <m/>
    <s v="F2"/>
    <s v="ASLT-MURDR"/>
    <s v="MHH DETAIN 314 DAYS TO DATE re jail 1/15/15"/>
    <m/>
    <m/>
    <m/>
    <m/>
    <m/>
    <m/>
    <m/>
    <m/>
    <s v="Public Defender"/>
    <m/>
    <m/>
    <s v="STILL OPEN"/>
    <s v="STILL OPEN"/>
    <s v="STILL OPEN"/>
    <n v="37.571038251366119"/>
    <n v="0"/>
    <n v="41305"/>
    <n v="0"/>
    <x v="2"/>
    <s v="N"/>
    <m/>
    <m/>
    <s v="Y"/>
    <x v="3"/>
    <x v="1"/>
    <s v="Y"/>
    <s v="STILL OPEN"/>
    <s v="STILL OPEN"/>
    <n v="0"/>
    <e v="#VALUE!"/>
    <n v="-278"/>
    <e v="#VALUE!"/>
    <e v="#VALUE!"/>
    <s v="STILL OPEN"/>
    <s v="STILL OPEN"/>
    <m/>
    <n v="-41305"/>
    <m/>
    <s v="Y"/>
    <e v="#N/A"/>
    <s v="&gt;3YRS"/>
    <n v="9"/>
    <x v="0"/>
  </r>
  <r>
    <n v="1364"/>
    <s v="N"/>
    <s v="N"/>
    <n v="1233510"/>
    <n v="5"/>
    <d v="2012-02-19T00:00:00"/>
    <d v="2012-06-26T00:00:00"/>
    <n v="1233510"/>
    <d v="2012-02-20T00:00:00"/>
    <d v="2012-06-26T00:00:00"/>
    <n v="15000"/>
    <x v="0"/>
    <m/>
    <s v="N"/>
    <s v="NONE"/>
    <s v="GUILTY PLEA - NO JURY"/>
    <n v="128"/>
    <n v="129"/>
    <n v="6"/>
    <n v="7"/>
    <n v="4"/>
    <m/>
    <m/>
    <m/>
    <m/>
    <m/>
    <m/>
    <m/>
    <m/>
    <d v="1974-09-30T00:00:00"/>
    <s v="M"/>
    <s v="B"/>
    <s v="BLACK"/>
    <s v="NON-HISPANIC"/>
    <s v="248"/>
    <s v="CONVICTED"/>
    <n v="5"/>
    <s v="STJ"/>
    <m/>
    <n v="7"/>
    <m/>
    <s v="DISARMING POLICE OFFICER"/>
    <m/>
    <s v="FS"/>
    <s v="OTHER FEL"/>
    <m/>
    <m/>
    <m/>
    <m/>
    <m/>
    <m/>
    <m/>
    <m/>
    <m/>
    <s v="Appointed Attorney"/>
    <m/>
    <m/>
    <n v="128"/>
    <n v="128"/>
    <n v="129"/>
    <n v="37.311475409836063"/>
    <n v="0"/>
    <n v="0"/>
    <s v="CONVICTION"/>
    <x v="0"/>
    <s v="N"/>
    <m/>
    <s v="CONVICTION"/>
    <s v="Y"/>
    <x v="0"/>
    <x v="0"/>
    <s v="Y"/>
    <n v="0.99224806201550386"/>
    <n v="1"/>
    <n v="7.7519379844961378E-3"/>
    <n v="0"/>
    <n v="-128"/>
    <n v="0"/>
    <n v="128"/>
    <e v="#VALUE!"/>
    <n v="128"/>
    <n v="0"/>
    <n v="0"/>
    <m/>
    <s v="Y"/>
    <m/>
    <s v="121-365 DAYS"/>
    <n v="6"/>
    <x v="0"/>
  </r>
  <r>
    <n v="2744"/>
    <s v="N"/>
    <s v="N"/>
    <n v="1234692"/>
    <n v="4"/>
    <d v="2012-04-11T00:00:00"/>
    <d v="2012-04-13T00:00:00"/>
    <n v="1234692"/>
    <d v="2012-04-12T00:00:00"/>
    <d v="2012-04-13T00:00:00"/>
    <n v="15000"/>
    <x v="0"/>
    <m/>
    <s v="N"/>
    <s v="NONE"/>
    <s v="GUILTY PLEA - NO JURY"/>
    <n v="2"/>
    <n v="3"/>
    <n v="3"/>
    <n v="2"/>
    <n v="1"/>
    <m/>
    <m/>
    <m/>
    <m/>
    <m/>
    <m/>
    <m/>
    <m/>
    <d v="1972-12-15T00:00:00"/>
    <s v="M"/>
    <s v="W"/>
    <s v="WHITE"/>
    <s v="NON-HISPANIC"/>
    <s v="339"/>
    <s v="CONVICTED"/>
    <n v="1"/>
    <s v="HCJ"/>
    <m/>
    <m/>
    <n v="180"/>
    <s v="POSS CS PG 1 &lt;1G"/>
    <m/>
    <s v="FS"/>
    <s v="POSS DRUG"/>
    <s v="9/24/12 fel CS PG filed pend jail status"/>
    <m/>
    <m/>
    <m/>
    <m/>
    <m/>
    <m/>
    <m/>
    <m/>
    <s v="Appointed Attorney"/>
    <m/>
    <m/>
    <n v="2"/>
    <n v="2"/>
    <n v="3"/>
    <n v="39.240437158469945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622"/>
    <s v="N"/>
    <s v="N"/>
    <n v="1235053"/>
    <n v="3"/>
    <d v="2012-04-07T00:00:00"/>
    <d v="2012-11-19T00:00:00"/>
    <n v="1235053"/>
    <d v="2012-04-07T00:00:00"/>
    <d v="2012-04-08T00:00:00"/>
    <n v="10000"/>
    <x v="3"/>
    <d v="2012-04-08T00:00:00"/>
    <s v="Y"/>
    <s v="SURETYPTRc"/>
    <s v="GUILTY PLEA - NO JURY"/>
    <n v="2"/>
    <n v="227"/>
    <n v="0"/>
    <n v="2"/>
    <m/>
    <m/>
    <m/>
    <m/>
    <m/>
    <m/>
    <m/>
    <m/>
    <m/>
    <d v="1952-11-18T00:00:00"/>
    <s v="M"/>
    <s v="W"/>
    <s v="WHITE"/>
    <s v="NULL"/>
    <s v="176"/>
    <s v="CONVICTED"/>
    <n v="8"/>
    <s v="PROBATION"/>
    <m/>
    <m/>
    <n v="5"/>
    <s v="DWI 3RD OFFENDER BAC .08"/>
    <m/>
    <s v="F3"/>
    <s v="FEL DWI"/>
    <m/>
    <m/>
    <m/>
    <m/>
    <m/>
    <m/>
    <m/>
    <m/>
    <m/>
    <s v="Hired Attorney"/>
    <m/>
    <m/>
    <n v="2"/>
    <n v="227"/>
    <n v="227"/>
    <n v="59.26229508196721"/>
    <n v="0"/>
    <n v="-225"/>
    <s v="CONVICTION"/>
    <x v="1"/>
    <s v="Y"/>
    <m/>
    <s v="CONVICTION"/>
    <s v="Y"/>
    <x v="1"/>
    <x v="0"/>
    <s v="N"/>
    <n v="8.8105726872246704E-3"/>
    <n v="8.8105726872246704E-3"/>
    <n v="0"/>
    <n v="0"/>
    <n v="-2"/>
    <n v="0"/>
    <n v="2"/>
    <e v="#VALUE!"/>
    <n v="2"/>
    <n v="0"/>
    <n v="225"/>
    <m/>
    <s v="Y"/>
    <m/>
    <s v="0-10 DAYS"/>
    <n v="1"/>
    <x v="0"/>
  </r>
  <r>
    <n v="174"/>
    <s v="N"/>
    <s v="N"/>
    <n v="1236532"/>
    <n v="5"/>
    <d v="2012-01-08T00:00:00"/>
    <d v="2012-01-19T00:00:00"/>
    <n v="1236532"/>
    <d v="2012-01-08T00:00:00"/>
    <d v="2012-01-19T00:00:00"/>
    <n v="15000"/>
    <x v="0"/>
    <m/>
    <s v="N"/>
    <s v="NONE"/>
    <s v="GUILTY PLEA - NO JURY"/>
    <n v="12"/>
    <n v="12"/>
    <n v="9"/>
    <n v="10"/>
    <n v="8"/>
    <m/>
    <m/>
    <m/>
    <m/>
    <m/>
    <m/>
    <m/>
    <m/>
    <d v="1966-08-12T00:00:00"/>
    <s v="M"/>
    <s v="B"/>
    <s v="BLACK"/>
    <s v="NON-HISPANIC"/>
    <s v="339"/>
    <s v="CONVICTED"/>
    <n v="2"/>
    <s v="STJ"/>
    <m/>
    <n v="8"/>
    <m/>
    <s v="BURGLARY OF A BUILDING"/>
    <m/>
    <s v="FS"/>
    <s v="BURGLARY"/>
    <m/>
    <m/>
    <m/>
    <m/>
    <m/>
    <m/>
    <m/>
    <m/>
    <m/>
    <s v="Appointed Attorney"/>
    <m/>
    <m/>
    <n v="12"/>
    <n v="12"/>
    <n v="12"/>
    <n v="45.314207650273225"/>
    <n v="0"/>
    <n v="0"/>
    <s v="CONVICTION"/>
    <x v="0"/>
    <s v="N"/>
    <m/>
    <s v="CONVICTION"/>
    <s v="Y"/>
    <x v="0"/>
    <x v="0"/>
    <s v="Y"/>
    <n v="1"/>
    <n v="1"/>
    <n v="0"/>
    <n v="0"/>
    <n v="-12"/>
    <n v="0"/>
    <n v="12"/>
    <e v="#VALUE!"/>
    <n v="12"/>
    <n v="0"/>
    <n v="0"/>
    <m/>
    <s v="Y"/>
    <m/>
    <s v="11-30 DAYS"/>
    <n v="2"/>
    <x v="0"/>
  </r>
  <r>
    <n v="1483"/>
    <s v="N"/>
    <s v="N"/>
    <n v="1239351"/>
    <n v="5"/>
    <d v="2012-02-24T00:00:00"/>
    <d v="2013-01-10T00:00:00"/>
    <n v="1239351"/>
    <d v="2012-03-27T00:00:00"/>
    <d v="2013-01-10T00:00:00"/>
    <s v="NO BOND"/>
    <x v="1"/>
    <m/>
    <s v="N"/>
    <s v="NONE"/>
    <s v="GUILTY PLEA - NO JURY"/>
    <n v="290"/>
    <n v="322"/>
    <n v="11"/>
    <n v="7"/>
    <n v="5"/>
    <m/>
    <m/>
    <m/>
    <m/>
    <m/>
    <m/>
    <m/>
    <m/>
    <d v="1970-11-16T00:00:00"/>
    <s v="M"/>
    <s v="B"/>
    <s v="BLACK"/>
    <s v="NON-HISPANIC"/>
    <s v="209"/>
    <s v="CONVICTED"/>
    <n v="9"/>
    <s v="STJ"/>
    <m/>
    <n v="10"/>
    <m/>
    <s v="THEFT UNDER $1500 - 3RD OFF."/>
    <m/>
    <s v="FS"/>
    <s v="THEFT"/>
    <m/>
    <m/>
    <m/>
    <m/>
    <m/>
    <m/>
    <m/>
    <m/>
    <m/>
    <s v="Appointed Attorney"/>
    <m/>
    <m/>
    <n v="290"/>
    <n v="290"/>
    <n v="322"/>
    <n v="41.188524590163937"/>
    <n v="0"/>
    <n v="0"/>
    <s v="CONVICTION"/>
    <x v="0"/>
    <s v="N"/>
    <m/>
    <s v="CONVICTION"/>
    <s v="Y"/>
    <x v="0"/>
    <x v="0"/>
    <s v="Y"/>
    <n v="0.90062111801242239"/>
    <n v="1"/>
    <n v="9.9378881987577605E-2"/>
    <n v="0"/>
    <n v="-290"/>
    <n v="0"/>
    <n v="290"/>
    <e v="#VALUE!"/>
    <n v="290"/>
    <n v="0"/>
    <n v="0"/>
    <m/>
    <s v="Y"/>
    <m/>
    <s v="121-365 DAYS"/>
    <n v="6"/>
    <x v="0"/>
  </r>
  <r>
    <n v="2732"/>
    <s v="N"/>
    <s v="N"/>
    <n v="1241324"/>
    <n v="1"/>
    <d v="2012-04-11T00:00:00"/>
    <d v="2012-04-13T00:00:00"/>
    <n v="1241324"/>
    <d v="2012-04-11T00:00:00"/>
    <d v="2012-04-13T00:00:00"/>
    <n v="15000"/>
    <x v="0"/>
    <m/>
    <s v="N"/>
    <s v="NONE"/>
    <s v="DISMISSED"/>
    <n v="3"/>
    <n v="3"/>
    <n v="11"/>
    <n v="7"/>
    <n v="9"/>
    <m/>
    <m/>
    <m/>
    <m/>
    <m/>
    <m/>
    <m/>
    <m/>
    <d v="1966-01-11T00:00:00"/>
    <s v="M"/>
    <s v="W"/>
    <s v="WHITE"/>
    <s v="NULL"/>
    <s v="263"/>
    <s v="DISMISSED"/>
    <n v="1"/>
    <s v="DISMISSED"/>
    <m/>
    <m/>
    <m/>
    <s v="UNAUTH USE OF VEHICLE"/>
    <m/>
    <s v="FS"/>
    <s v="AUTO THEFT"/>
    <m/>
    <m/>
    <m/>
    <m/>
    <m/>
    <m/>
    <m/>
    <m/>
    <m/>
    <s v="Other/Unknown"/>
    <m/>
    <m/>
    <n v="3"/>
    <n v="3"/>
    <n v="3"/>
    <n v="46.153005464480877"/>
    <n v="0"/>
    <n v="0"/>
    <s v="NO CONVICTION"/>
    <x v="0"/>
    <s v="N"/>
    <m/>
    <s v="NO 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425"/>
    <s v="N"/>
    <s v="N"/>
    <n v="1244879"/>
    <n v="1"/>
    <d v="2012-02-22T00:00:00"/>
    <d v="2012-11-14T00:00:00"/>
    <n v="1244879"/>
    <s v="NOT BOOKED"/>
    <s v="NOT BOOKED"/>
    <n v="2000"/>
    <x v="5"/>
    <d v="2012-02-24T00:00:00"/>
    <s v="Y"/>
    <s v="SURETY"/>
    <s v="DISMISSED"/>
    <n v="0"/>
    <n v="267"/>
    <n v="0"/>
    <n v="2"/>
    <m/>
    <m/>
    <m/>
    <m/>
    <m/>
    <m/>
    <m/>
    <s v="S"/>
    <m/>
    <d v="1953-03-21T00:00:00"/>
    <s v="M"/>
    <s v="H"/>
    <s v="HISPANIC"/>
    <s v="NULL"/>
    <s v="177"/>
    <s v="DISMISSED"/>
    <n v="9"/>
    <s v="DISMISSED"/>
    <m/>
    <m/>
    <m/>
    <s v="THEFT $1500-20K"/>
    <m/>
    <s v="FS"/>
    <s v="THEFT"/>
    <m/>
    <m/>
    <m/>
    <m/>
    <m/>
    <m/>
    <m/>
    <m/>
    <m/>
    <s v="Hired Attorney"/>
    <m/>
    <m/>
    <n v="0"/>
    <n v="0"/>
    <n v="267"/>
    <n v="58.803278688524593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022"/>
    <s v="N"/>
    <s v="N"/>
    <n v="1246025"/>
    <n v="2"/>
    <d v="2012-03-16T00:00:00"/>
    <d v="2012-03-19T00:00:00"/>
    <n v="1246025"/>
    <d v="2012-03-17T00:00:00"/>
    <d v="2012-03-19T00:00:00"/>
    <n v="5000"/>
    <x v="4"/>
    <m/>
    <s v="N"/>
    <s v="NONE"/>
    <s v="DEFERRED ADJUDICATION "/>
    <n v="3"/>
    <n v="4"/>
    <n v="0"/>
    <n v="1"/>
    <m/>
    <m/>
    <m/>
    <m/>
    <m/>
    <m/>
    <m/>
    <m/>
    <m/>
    <d v="1969-10-30T00:00:00"/>
    <s v="F"/>
    <s v="W"/>
    <s v="WHITE"/>
    <s v="NULL"/>
    <s v="351"/>
    <s v="DEFERRED"/>
    <n v="1"/>
    <s v="DEFERRED"/>
    <m/>
    <m/>
    <m/>
    <s v="POSS CS PG 1  1 - 4 GRAMS"/>
    <m/>
    <s v="F3"/>
    <s v="POSS DRUG"/>
    <m/>
    <m/>
    <m/>
    <m/>
    <m/>
    <m/>
    <m/>
    <m/>
    <m/>
    <s v="Appointed Attorney"/>
    <m/>
    <m/>
    <n v="3"/>
    <n v="3"/>
    <n v="4"/>
    <n v="42.289617486338798"/>
    <n v="0"/>
    <n v="0"/>
    <s v="DEFERRED"/>
    <x v="0"/>
    <s v="N"/>
    <m/>
    <s v="DEFERRED"/>
    <s v="Y"/>
    <x v="0"/>
    <x v="0"/>
    <s v="N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1083"/>
    <s v="N"/>
    <s v="N"/>
    <n v="1246357"/>
    <n v="5"/>
    <d v="2012-02-09T00:00:00"/>
    <d v="2012-03-15T00:00:00"/>
    <n v="1246357"/>
    <d v="2012-02-09T00:00:00"/>
    <d v="2012-03-15T00:00:00"/>
    <n v="15000"/>
    <x v="0"/>
    <m/>
    <s v="N"/>
    <s v="NONE"/>
    <s v="GUILTY PLEA - NO JURY"/>
    <n v="36"/>
    <n v="36"/>
    <n v="27"/>
    <n v="10"/>
    <n v="8"/>
    <m/>
    <m/>
    <m/>
    <m/>
    <m/>
    <m/>
    <s v="S"/>
    <m/>
    <d v="1969-11-19T00:00:00"/>
    <s v="F"/>
    <s v="H"/>
    <s v="HISPANIC"/>
    <s v="NON-HISPANIC"/>
    <s v="185"/>
    <s v="CONVICTED"/>
    <n v="2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36"/>
    <n v="36"/>
    <n v="36"/>
    <n v="42.136612021857921"/>
    <n v="0"/>
    <n v="0"/>
    <s v="CONVICTION"/>
    <x v="0"/>
    <s v="N"/>
    <m/>
    <s v="CONVICTION"/>
    <s v="Y"/>
    <x v="0"/>
    <x v="0"/>
    <s v="Y"/>
    <n v="1"/>
    <n v="1"/>
    <n v="0"/>
    <n v="0"/>
    <n v="-36"/>
    <n v="0"/>
    <n v="36"/>
    <e v="#VALUE!"/>
    <n v="36"/>
    <n v="0"/>
    <n v="0"/>
    <m/>
    <s v="Y"/>
    <m/>
    <s v="31-60 DAYS"/>
    <n v="3"/>
    <x v="0"/>
  </r>
  <r>
    <n v="2935"/>
    <s v="N"/>
    <s v="N"/>
    <n v="1248074"/>
    <n v="6"/>
    <d v="2012-04-18T00:00:00"/>
    <d v="2012-09-18T00:00:00"/>
    <n v="1248074"/>
    <d v="2012-06-28T00:00:00"/>
    <d v="2012-09-18T00:00:00"/>
    <n v="50000"/>
    <x v="2"/>
    <m/>
    <s v="N"/>
    <s v="NONE"/>
    <s v="GUILTY PLEA - NO JURY"/>
    <n v="83"/>
    <n v="154"/>
    <n v="0"/>
    <n v="0"/>
    <m/>
    <m/>
    <m/>
    <m/>
    <m/>
    <m/>
    <m/>
    <s v="S"/>
    <m/>
    <d v="1968-04-24T00:00:00"/>
    <s v="M"/>
    <s v="H"/>
    <s v="HISPANIC"/>
    <s v="NULL"/>
    <s v="262"/>
    <s v="CONVICTED"/>
    <n v="6"/>
    <s v="TDC"/>
    <n v="5"/>
    <m/>
    <m/>
    <s v="THEFT &gt;=$20,000 &lt;$100,000"/>
    <m/>
    <s v="F3"/>
    <s v="THEFT"/>
    <m/>
    <m/>
    <m/>
    <m/>
    <m/>
    <m/>
    <m/>
    <m/>
    <m/>
    <s v="Appointed Attorney"/>
    <m/>
    <m/>
    <n v="83"/>
    <n v="83"/>
    <n v="154"/>
    <n v="43.893442622950822"/>
    <n v="0"/>
    <n v="0"/>
    <s v="CONVICTION"/>
    <x v="0"/>
    <s v="N"/>
    <m/>
    <s v="CONVICTION"/>
    <s v="Y"/>
    <x v="0"/>
    <x v="0"/>
    <s v="N"/>
    <n v="0.53896103896103897"/>
    <n v="1"/>
    <n v="0.46103896103896103"/>
    <n v="0"/>
    <n v="-83"/>
    <n v="0"/>
    <n v="83"/>
    <e v="#VALUE!"/>
    <n v="83"/>
    <n v="0"/>
    <n v="0"/>
    <m/>
    <s v="N"/>
    <m/>
    <s v="61-90 DAYS"/>
    <n v="4"/>
    <x v="0"/>
  </r>
  <r>
    <n v="2124"/>
    <s v="N"/>
    <s v="N"/>
    <n v="1250495"/>
    <n v="2"/>
    <d v="2012-03-20T00:00:00"/>
    <d v="2012-04-18T00:00:00"/>
    <n v="1250495"/>
    <d v="2012-03-21T00:00:00"/>
    <d v="2012-04-18T00:00:00"/>
    <s v="NO BOND"/>
    <x v="1"/>
    <m/>
    <s v="N"/>
    <s v="NONE"/>
    <s v="DEFERRED ADJUDICATION "/>
    <n v="29"/>
    <n v="30"/>
    <n v="0"/>
    <n v="13"/>
    <m/>
    <m/>
    <m/>
    <m/>
    <m/>
    <m/>
    <m/>
    <m/>
    <m/>
    <d v="1969-10-05T00:00:00"/>
    <s v="M"/>
    <s v="B"/>
    <s v="BLACK"/>
    <s v="NON-HISPANIC"/>
    <s v="263"/>
    <s v="DEFERRED"/>
    <n v="3"/>
    <s v="DEFERRED"/>
    <m/>
    <m/>
    <m/>
    <s v="AGG ASSAULT-FAMILY MEMBER"/>
    <m/>
    <s v="F2"/>
    <s v="ASLT-MURDR"/>
    <m/>
    <m/>
    <m/>
    <m/>
    <m/>
    <m/>
    <m/>
    <m/>
    <m/>
    <s v="Appointed Attorney"/>
    <m/>
    <m/>
    <n v="29"/>
    <n v="29"/>
    <n v="30"/>
    <n v="42.368852459016395"/>
    <n v="0"/>
    <n v="0"/>
    <s v="DEFERRED"/>
    <x v="0"/>
    <s v="N"/>
    <m/>
    <s v="DEFERRED"/>
    <s v="Y"/>
    <x v="0"/>
    <x v="0"/>
    <s v="N"/>
    <n v="0.96666666666666667"/>
    <n v="1"/>
    <n v="3.3333333333333326E-2"/>
    <n v="0"/>
    <n v="-29"/>
    <n v="0"/>
    <n v="29"/>
    <e v="#VALUE!"/>
    <n v="29"/>
    <n v="0"/>
    <n v="0"/>
    <m/>
    <s v="Y"/>
    <m/>
    <s v="11-30 DAYS"/>
    <n v="2"/>
    <x v="0"/>
  </r>
  <r>
    <n v="1773"/>
    <s v="N"/>
    <s v="N"/>
    <n v="1252806"/>
    <n v="4"/>
    <d v="2012-03-07T00:00:00"/>
    <d v="2012-09-11T00:00:00"/>
    <n v="1252806"/>
    <d v="2012-03-07T00:00:00"/>
    <d v="2012-03-10T00:00:00"/>
    <n v="15000"/>
    <x v="0"/>
    <d v="2012-03-10T00:00:00"/>
    <s v="Y"/>
    <s v="SURETY"/>
    <s v="GUILTY PLEA - NO JURY"/>
    <n v="4"/>
    <n v="189"/>
    <n v="6"/>
    <n v="7"/>
    <n v="1"/>
    <m/>
    <m/>
    <m/>
    <m/>
    <m/>
    <m/>
    <m/>
    <m/>
    <d v="1957-04-09T00:00:00"/>
    <s v="F"/>
    <s v="B"/>
    <s v="BLACK"/>
    <s v="NULL"/>
    <s v="208"/>
    <s v="CONVICTED"/>
    <n v="9"/>
    <s v="HCJ"/>
    <m/>
    <m/>
    <n v="120"/>
    <s v="POSS CS PG 1 &lt;1G"/>
    <m/>
    <s v="FS"/>
    <s v="POSS DRUG"/>
    <m/>
    <m/>
    <m/>
    <m/>
    <m/>
    <m/>
    <m/>
    <m/>
    <m/>
    <s v="Hired Attorney"/>
    <m/>
    <m/>
    <n v="4"/>
    <n v="189"/>
    <n v="189"/>
    <n v="54.797814207650276"/>
    <n v="0"/>
    <n v="-185"/>
    <s v="CONVICTION"/>
    <x v="1"/>
    <s v="Y"/>
    <m/>
    <s v="CONVICTION"/>
    <s v="Y"/>
    <x v="1"/>
    <x v="0"/>
    <s v="Y"/>
    <n v="2.1164021164021163E-2"/>
    <n v="2.1164021164021163E-2"/>
    <n v="0"/>
    <n v="0"/>
    <n v="-4"/>
    <n v="0"/>
    <n v="4"/>
    <e v="#VALUE!"/>
    <n v="4"/>
    <n v="0"/>
    <n v="185"/>
    <m/>
    <s v="Y"/>
    <m/>
    <s v="0-10 DAYS"/>
    <n v="1"/>
    <x v="0"/>
  </r>
  <r>
    <n v="2735"/>
    <s v="N"/>
    <s v="N"/>
    <n v="1252896"/>
    <n v="3"/>
    <d v="2012-04-11T00:00:00"/>
    <d v="2012-07-13T00:00:00"/>
    <n v="1252896"/>
    <d v="2012-04-12T00:00:00"/>
    <d v="2012-04-14T00:00:00"/>
    <n v="10000"/>
    <x v="3"/>
    <d v="2012-04-14T00:00:00"/>
    <s v="Y"/>
    <s v="SURETYPTRc"/>
    <s v="GUILTY PLEA - NO JURY"/>
    <n v="3"/>
    <n v="94"/>
    <n v="0"/>
    <n v="2"/>
    <m/>
    <m/>
    <m/>
    <m/>
    <m/>
    <m/>
    <m/>
    <m/>
    <m/>
    <d v="1966-07-21T00:00:00"/>
    <s v="M"/>
    <s v="H"/>
    <s v="HISPANIC"/>
    <s v="HISPANIC"/>
    <s v="262"/>
    <s v="CONVICTED"/>
    <n v="5"/>
    <s v="PROBATION"/>
    <m/>
    <m/>
    <m/>
    <s v="DWI 3RD OFFENDER BAC .08"/>
    <m/>
    <s v="F3"/>
    <s v="FEL DWI"/>
    <m/>
    <m/>
    <m/>
    <m/>
    <m/>
    <m/>
    <m/>
    <m/>
    <m/>
    <s v="Hired Attorney"/>
    <m/>
    <m/>
    <n v="3"/>
    <n v="93"/>
    <n v="94"/>
    <n v="45.631147540983605"/>
    <n v="0"/>
    <n v="-90"/>
    <s v="CONVICTION"/>
    <x v="1"/>
    <s v="Y"/>
    <m/>
    <s v="CONVICTION"/>
    <s v="Y"/>
    <x v="1"/>
    <x v="0"/>
    <s v="N"/>
    <n v="3.1914893617021274E-2"/>
    <n v="3.2258064516129031E-2"/>
    <n v="3.4317089910775728E-4"/>
    <n v="0"/>
    <n v="-3"/>
    <n v="0"/>
    <n v="3"/>
    <e v="#VALUE!"/>
    <n v="3"/>
    <n v="0"/>
    <n v="90"/>
    <m/>
    <s v="Y"/>
    <m/>
    <s v="0-10 DAYS"/>
    <n v="1"/>
    <x v="0"/>
  </r>
  <r>
    <n v="2783"/>
    <s v="N"/>
    <s v="N"/>
    <n v="1256727"/>
    <n v="6"/>
    <d v="2012-04-13T00:00:00"/>
    <d v="2012-12-05T00:00:00"/>
    <n v="1256727"/>
    <d v="2012-04-13T00:00:00"/>
    <d v="2012-05-17T00:00:00"/>
    <n v="30000"/>
    <x v="2"/>
    <d v="2012-05-17T00:00:00"/>
    <s v="Y"/>
    <s v="SURETY"/>
    <s v="GUILTY PLEA - NO JURY"/>
    <n v="35"/>
    <n v="237"/>
    <n v="4"/>
    <n v="2"/>
    <n v="1"/>
    <n v="1"/>
    <m/>
    <m/>
    <m/>
    <m/>
    <m/>
    <m/>
    <m/>
    <d v="1959-01-15T00:00:00"/>
    <s v="M"/>
    <s v="B"/>
    <s v="BLACK"/>
    <s v="NULL"/>
    <s v="248"/>
    <s v="CONVICTED"/>
    <n v="9"/>
    <s v="TDC"/>
    <n v="2"/>
    <m/>
    <m/>
    <s v="POSS CS PG 3 200-400 GRAMS"/>
    <m/>
    <s v="F2"/>
    <s v="POSS DRUG"/>
    <m/>
    <m/>
    <m/>
    <m/>
    <m/>
    <m/>
    <m/>
    <m/>
    <m/>
    <s v="Hired Attorney"/>
    <m/>
    <m/>
    <n v="35"/>
    <n v="237"/>
    <n v="237"/>
    <n v="53.133879781420767"/>
    <n v="0"/>
    <n v="-202"/>
    <s v="CONVICTION"/>
    <x v="1"/>
    <s v="Y"/>
    <m/>
    <s v="CONVICTION"/>
    <s v="Y"/>
    <x v="1"/>
    <x v="0"/>
    <s v="Y"/>
    <n v="0.14767932489451477"/>
    <n v="0.14767932489451477"/>
    <n v="0"/>
    <n v="0"/>
    <n v="-35"/>
    <n v="0"/>
    <n v="35"/>
    <e v="#VALUE!"/>
    <n v="35"/>
    <n v="0"/>
    <n v="202"/>
    <m/>
    <s v="Y"/>
    <m/>
    <s v="31-60 DAYS"/>
    <n v="3"/>
    <x v="0"/>
  </r>
  <r>
    <n v="2854"/>
    <s v="N"/>
    <s v="N"/>
    <n v="1256846"/>
    <n v="4"/>
    <d v="2012-04-15T00:00:00"/>
    <d v="2012-08-09T00:00:00"/>
    <n v="1256846"/>
    <d v="2012-04-15T00:00:00"/>
    <d v="2012-08-09T00:00:00"/>
    <s v="NO BOND"/>
    <x v="1"/>
    <m/>
    <s v="N"/>
    <s v="NONE"/>
    <s v="GUILTY PLEA - NO JURY"/>
    <n v="117"/>
    <n v="117"/>
    <n v="3"/>
    <n v="3"/>
    <n v="2"/>
    <n v="1"/>
    <m/>
    <m/>
    <m/>
    <m/>
    <m/>
    <m/>
    <m/>
    <d v="1972-11-05T00:00:00"/>
    <s v="M"/>
    <s v="B"/>
    <s v="BLACK"/>
    <s v="NON-HISPANIC"/>
    <s v="183"/>
    <s v="CONVICTED"/>
    <n v="5"/>
    <s v="HCJ"/>
    <m/>
    <m/>
    <n v="365"/>
    <s v="AGG ASSAULT W/DEADLY WEAPON"/>
    <m/>
    <s v="F2"/>
    <s v="ASLT-MURDR"/>
    <m/>
    <m/>
    <m/>
    <m/>
    <m/>
    <m/>
    <m/>
    <m/>
    <m/>
    <s v="Hired Attorney"/>
    <m/>
    <m/>
    <n v="117"/>
    <n v="117"/>
    <n v="117"/>
    <n v="39.360655737704917"/>
    <n v="0"/>
    <n v="0"/>
    <s v="CONVICTION"/>
    <x v="0"/>
    <s v="N"/>
    <m/>
    <s v="CONVICTION"/>
    <s v="Y"/>
    <x v="0"/>
    <x v="0"/>
    <s v="Y"/>
    <n v="1"/>
    <n v="1"/>
    <n v="0"/>
    <n v="0"/>
    <n v="-117"/>
    <n v="0"/>
    <n v="117"/>
    <e v="#VALUE!"/>
    <n v="117"/>
    <n v="0"/>
    <n v="0"/>
    <m/>
    <s v="Y"/>
    <m/>
    <s v="91-120 DAYS"/>
    <n v="0"/>
    <x v="0"/>
  </r>
  <r>
    <n v="2397"/>
    <s v="N"/>
    <s v="N"/>
    <n v="1257192"/>
    <n v="3"/>
    <d v="2012-03-31T00:00:00"/>
    <d v="2013-04-20T00:00:00"/>
    <n v="1257192"/>
    <d v="2012-03-31T00:00:00"/>
    <d v="2012-04-01T00:00:00"/>
    <n v="10000"/>
    <x v="3"/>
    <d v="2012-04-01T00:00:00"/>
    <s v="Y"/>
    <s v="SURETYPTRc"/>
    <s v="GUILTY PLEA - NO JURY"/>
    <n v="2"/>
    <n v="386"/>
    <n v="0"/>
    <n v="7"/>
    <m/>
    <m/>
    <m/>
    <m/>
    <m/>
    <m/>
    <m/>
    <m/>
    <m/>
    <d v="1964-01-30T00:00:00"/>
    <s v="M"/>
    <s v="B"/>
    <s v="BLACK"/>
    <s v="NULL"/>
    <s v="177"/>
    <s v="CONVICTED"/>
    <n v="19"/>
    <s v="PROBATION"/>
    <m/>
    <m/>
    <m/>
    <s v="DWI 3RD OFFENDER BAC .08"/>
    <m/>
    <s v="F3"/>
    <s v="FEL DWI"/>
    <s v="bd viol report 6/25/12"/>
    <m/>
    <m/>
    <m/>
    <m/>
    <m/>
    <m/>
    <m/>
    <m/>
    <s v="Hired Attorney"/>
    <m/>
    <m/>
    <n v="2"/>
    <n v="386"/>
    <n v="386"/>
    <n v="48.068306010928964"/>
    <n v="0"/>
    <n v="-384"/>
    <s v="CONVICTION"/>
    <x v="1"/>
    <s v="Y"/>
    <m/>
    <s v="CONVICTION"/>
    <s v="Y"/>
    <x v="1"/>
    <x v="0"/>
    <s v="N"/>
    <n v="5.1813471502590676E-3"/>
    <n v="5.1813471502590676E-3"/>
    <n v="0"/>
    <n v="0"/>
    <n v="-2"/>
    <n v="0"/>
    <n v="2"/>
    <e v="#VALUE!"/>
    <m/>
    <n v="384"/>
    <n v="384"/>
    <m/>
    <s v="Y"/>
    <m/>
    <s v="0-10 DAYS"/>
    <n v="1"/>
    <x v="0"/>
  </r>
  <r>
    <n v="852"/>
    <s v="N"/>
    <s v="N"/>
    <n v="1260711"/>
    <n v="6"/>
    <d v="2012-02-01T00:00:00"/>
    <d v="2012-03-29T00:00:00"/>
    <n v="1260711"/>
    <d v="2012-02-02T00:00:00"/>
    <d v="2012-03-29T00:00:00"/>
    <s v="NO BOND"/>
    <x v="1"/>
    <m/>
    <s v="N"/>
    <s v="NONE"/>
    <s v="GUILTY PLEA - NO JURY"/>
    <n v="57"/>
    <n v="58"/>
    <n v="5"/>
    <n v="2"/>
    <n v="5"/>
    <m/>
    <m/>
    <m/>
    <m/>
    <m/>
    <m/>
    <m/>
    <m/>
    <d v="1973-09-01T00:00:00"/>
    <s v="M"/>
    <s v="B"/>
    <s v="BLACK"/>
    <s v="NON-HISPANIC"/>
    <s v="262"/>
    <s v="CONVICTED"/>
    <n v="3"/>
    <s v="TDC"/>
    <n v="7"/>
    <m/>
    <m/>
    <s v="POSS W/INT DEL CS PG1 1G &lt;4 GR"/>
    <m/>
    <s v="F2"/>
    <s v="SALE DRUG"/>
    <m/>
    <m/>
    <m/>
    <m/>
    <m/>
    <m/>
    <m/>
    <m/>
    <m/>
    <s v="Appointed Attorney"/>
    <m/>
    <m/>
    <n v="57"/>
    <n v="57"/>
    <n v="58"/>
    <n v="38.338797814207652"/>
    <n v="0"/>
    <n v="0"/>
    <s v="CONVICTION"/>
    <x v="0"/>
    <s v="N"/>
    <m/>
    <s v="CONVICTION"/>
    <s v="Y"/>
    <x v="0"/>
    <x v="0"/>
    <s v="Y"/>
    <n v="0.98275862068965514"/>
    <n v="1"/>
    <n v="1.7241379310344862E-2"/>
    <n v="0"/>
    <n v="-57"/>
    <n v="0"/>
    <n v="57"/>
    <e v="#VALUE!"/>
    <n v="57"/>
    <n v="0"/>
    <n v="0"/>
    <m/>
    <s v="Y"/>
    <m/>
    <s v="31-60 DAYS"/>
    <n v="3"/>
    <x v="0"/>
  </r>
  <r>
    <n v="2278"/>
    <s v="Y"/>
    <s v="Y"/>
    <n v="1266751"/>
    <n v="2"/>
    <d v="2012-03-27T00:00:00"/>
    <d v="2012-06-01T00:00:00"/>
    <n v="1266751"/>
    <d v="2012-03-28T00:00:00"/>
    <d v="2012-04-06T00:00:00"/>
    <n v="5000"/>
    <x v="4"/>
    <d v="2012-04-06T00:00:00"/>
    <s v="Y"/>
    <s v="SURETYPTRc"/>
    <s v="DEFERRED ADJUDICATION "/>
    <n v="6"/>
    <n v="67"/>
    <n v="0"/>
    <n v="2"/>
    <m/>
    <m/>
    <m/>
    <m/>
    <m/>
    <m/>
    <m/>
    <m/>
    <m/>
    <d v="1968-02-19T00:00:00"/>
    <s v="M"/>
    <s v="W"/>
    <s v="WHITE"/>
    <s v="NON-HISPANIC"/>
    <s v="183"/>
    <s v="DEFERRED"/>
    <n v="5"/>
    <s v="DEFERRED"/>
    <m/>
    <m/>
    <m/>
    <s v="POSS CS PG 1  1 - 4 GRAMS"/>
    <m/>
    <s v="F3"/>
    <s v="POSS DRUG"/>
    <s v="bd rev 5/30/12"/>
    <d v="2012-05-30T00:00:00"/>
    <m/>
    <m/>
    <s v="Y"/>
    <m/>
    <m/>
    <m/>
    <m/>
    <s v="Appointed Attorney"/>
    <s v="2/27/13 F PCS TDC 2Y"/>
    <m/>
    <n v="6"/>
    <n v="66"/>
    <n v="67"/>
    <n v="44.010928961748633"/>
    <n v="0"/>
    <n v="-56"/>
    <s v="DEFERRED"/>
    <x v="1"/>
    <s v="Y"/>
    <m/>
    <s v="DEFERRED"/>
    <s v="Y"/>
    <x v="0"/>
    <x v="0"/>
    <s v="N"/>
    <n v="8.9552238805970144E-2"/>
    <n v="0.15151515151515152"/>
    <n v="6.1962912709181375E-2"/>
    <n v="0"/>
    <n v="-10"/>
    <n v="-4"/>
    <n v="66"/>
    <n v="6"/>
    <n v="66"/>
    <n v="56"/>
    <n v="56"/>
    <m/>
    <s v="Y"/>
    <m/>
    <s v="0-10 DAYS"/>
    <n v="1"/>
    <x v="0"/>
  </r>
  <r>
    <n v="2803"/>
    <s v="N"/>
    <s v="N"/>
    <n v="1268363"/>
    <n v="6"/>
    <d v="2012-04-13T00:00:00"/>
    <d v="2013-07-23T00:00:00"/>
    <n v="1268363"/>
    <d v="2012-07-10T00:00:00"/>
    <d v="2013-07-23T00:00:00"/>
    <n v="45000"/>
    <x v="2"/>
    <m/>
    <s v="N"/>
    <s v="NONE"/>
    <s v="GUILTY PLEA - NO JURY"/>
    <n v="379"/>
    <n v="467"/>
    <n v="2"/>
    <n v="6"/>
    <n v="2"/>
    <m/>
    <m/>
    <m/>
    <m/>
    <m/>
    <m/>
    <m/>
    <m/>
    <d v="1967-02-04T00:00:00"/>
    <s v="M"/>
    <s v="H"/>
    <s v="HISPANIC"/>
    <s v="HISPANIC"/>
    <s v="182"/>
    <s v="CONVICTED"/>
    <n v="8"/>
    <s v="TDC"/>
    <n v="2"/>
    <m/>
    <m/>
    <s v="INJURY CHILD UNDER 15 B/INJURY"/>
    <m/>
    <s v="F3"/>
    <s v="OTHER FEL"/>
    <m/>
    <m/>
    <m/>
    <m/>
    <m/>
    <m/>
    <m/>
    <m/>
    <m/>
    <s v="Appointed Attorney"/>
    <m/>
    <m/>
    <n v="379"/>
    <n v="379"/>
    <n v="467"/>
    <n v="45.095628415300546"/>
    <n v="0"/>
    <n v="0"/>
    <s v="CONVICTION"/>
    <x v="0"/>
    <s v="N"/>
    <m/>
    <s v="CONVICTION"/>
    <s v="Y"/>
    <x v="0"/>
    <x v="0"/>
    <s v="Y"/>
    <n v="0.81156316916488225"/>
    <n v="1"/>
    <n v="0.18843683083511775"/>
    <n v="0"/>
    <n v="-379"/>
    <n v="0"/>
    <n v="379"/>
    <e v="#VALUE!"/>
    <n v="379"/>
    <n v="0"/>
    <n v="0"/>
    <m/>
    <s v="Y"/>
    <m/>
    <s v=" &gt;1YRS&lt;2YRS"/>
    <n v="0"/>
    <x v="0"/>
  </r>
  <r>
    <n v="1521"/>
    <s v="N"/>
    <s v="N"/>
    <n v="1268592"/>
    <n v="1"/>
    <d v="2012-02-26T00:00:00"/>
    <d v="2013-04-03T00:00:00"/>
    <n v="1268592"/>
    <d v="2012-02-26T00:00:00"/>
    <d v="2012-02-28T00:00:00"/>
    <n v="10000"/>
    <x v="3"/>
    <d v="2012-02-28T00:00:00"/>
    <s v="Y"/>
    <s v="SURETY"/>
    <s v="DISMISSED"/>
    <n v="3"/>
    <n v="403"/>
    <n v="5"/>
    <n v="9"/>
    <n v="2"/>
    <m/>
    <m/>
    <m/>
    <m/>
    <m/>
    <m/>
    <m/>
    <m/>
    <d v="1975-07-23T00:00:00"/>
    <s v="M"/>
    <s v="H"/>
    <s v="HISPANIC"/>
    <s v="HISPANIC"/>
    <s v="209"/>
    <s v="DISMISSED"/>
    <n v="10"/>
    <s v="DISMISSED"/>
    <m/>
    <m/>
    <m/>
    <s v="POSS CS PG 1  1 - 4 GRAMS"/>
    <m/>
    <s v="F3"/>
    <s v="POSS DRUG"/>
    <m/>
    <m/>
    <m/>
    <m/>
    <m/>
    <m/>
    <m/>
    <m/>
    <m/>
    <s v="Hired Attorney"/>
    <m/>
    <m/>
    <n v="3"/>
    <n v="403"/>
    <n v="403"/>
    <n v="36.521857923497265"/>
    <n v="0"/>
    <n v="-400"/>
    <s v="NO CONVICTION"/>
    <x v="1"/>
    <s v="Y"/>
    <m/>
    <s v="NO CONVICTION"/>
    <s v="Y"/>
    <x v="1"/>
    <x v="0"/>
    <s v="Y"/>
    <n v="7.4441687344913151E-3"/>
    <n v="7.4441687344913151E-3"/>
    <n v="0"/>
    <n v="0"/>
    <n v="-3"/>
    <n v="0"/>
    <n v="3"/>
    <e v="#VALUE!"/>
    <n v="3"/>
    <n v="0"/>
    <n v="400"/>
    <m/>
    <s v="Y"/>
    <m/>
    <s v="0-10 DAYS"/>
    <n v="1"/>
    <x v="0"/>
  </r>
  <r>
    <n v="1679"/>
    <s v="N"/>
    <s v="Y"/>
    <n v="1270765"/>
    <n v="6"/>
    <d v="2012-03-02T00:00:00"/>
    <d v="2013-05-30T00:00:00"/>
    <n v="1270765"/>
    <d v="2012-03-03T00:00:00"/>
    <d v="2012-03-10T00:00:00"/>
    <n v="40000"/>
    <x v="2"/>
    <d v="2012-03-10T00:00:00"/>
    <s v="Y"/>
    <s v="SURETY"/>
    <s v="GUILTY PLEA - NO JURY"/>
    <n v="308"/>
    <n v="455"/>
    <n v="4"/>
    <n v="12"/>
    <n v="3"/>
    <m/>
    <m/>
    <m/>
    <m/>
    <m/>
    <m/>
    <m/>
    <m/>
    <d v="1974-11-20T00:00:00"/>
    <s v="M"/>
    <s v="B"/>
    <s v="BLACK"/>
    <s v="NON-HISPANIC"/>
    <s v="351"/>
    <s v="CONVICTED"/>
    <n v="15"/>
    <s v="TDC"/>
    <n v="8"/>
    <m/>
    <m/>
    <s v="MAN/DEL CS PG II 4-400 GRAMS"/>
    <m/>
    <s v="F1"/>
    <s v="SALE DRUG"/>
    <m/>
    <m/>
    <s v="Y"/>
    <d v="2012-06-01T00:00:00"/>
    <m/>
    <m/>
    <m/>
    <s v="(2)9/18/2012"/>
    <n v="792"/>
    <s v="Appointed Attorney"/>
    <m/>
    <m/>
    <n v="308"/>
    <n v="454"/>
    <n v="455"/>
    <n v="37.204918032786885"/>
    <n v="0"/>
    <n v="-446"/>
    <s v="CONVICTION"/>
    <x v="1"/>
    <s v="N"/>
    <m/>
    <s v="CONVICTION"/>
    <s v="Y"/>
    <x v="0"/>
    <x v="0"/>
    <s v="Y"/>
    <n v="0.67692307692307696"/>
    <n v="1.7621145374449341E-2"/>
    <n v="-0.6593019315486276"/>
    <n v="0"/>
    <n v="-8"/>
    <n v="300"/>
    <n v="454"/>
    <n v="308"/>
    <n v="454"/>
    <n v="446"/>
    <n v="446"/>
    <m/>
    <s v="Y"/>
    <m/>
    <s v="121-365 DAYS"/>
    <n v="6"/>
    <x v="0"/>
  </r>
  <r>
    <n v="1759"/>
    <s v="N"/>
    <s v="N"/>
    <n v="1271519"/>
    <n v="1"/>
    <d v="2012-03-06T00:00:00"/>
    <d v="2013-04-23T00:00:00"/>
    <n v="1271519"/>
    <d v="2012-03-07T00:00:00"/>
    <d v="2012-03-09T00:00:00"/>
    <n v="30000"/>
    <x v="2"/>
    <d v="2012-03-09T00:00:00"/>
    <s v="Y"/>
    <s v="SURETYPTRc"/>
    <s v="JURY ACQUITTAL"/>
    <n v="3"/>
    <n v="414"/>
    <n v="3"/>
    <n v="5"/>
    <n v="1"/>
    <n v="1"/>
    <m/>
    <m/>
    <m/>
    <m/>
    <m/>
    <m/>
    <m/>
    <d v="1971-01-31T00:00:00"/>
    <s v="M"/>
    <s v="B"/>
    <s v="BLACK"/>
    <s v="NON-HISPANIC"/>
    <s v="176"/>
    <s v="ACQUIT"/>
    <n v="16"/>
    <s v="ACQUIT"/>
    <m/>
    <m/>
    <m/>
    <s v="POSS W/INT DEL CS PG1&gt;=4 &lt;200"/>
    <m/>
    <s v="F1"/>
    <s v="SALE DRUG"/>
    <m/>
    <m/>
    <m/>
    <m/>
    <m/>
    <m/>
    <m/>
    <m/>
    <m/>
    <s v="Hired Attorney"/>
    <m/>
    <m/>
    <n v="3"/>
    <n v="413"/>
    <n v="414"/>
    <n v="41.010928961748633"/>
    <n v="0"/>
    <n v="-410"/>
    <s v="NO CONVICTION"/>
    <x v="1"/>
    <s v="Y"/>
    <m/>
    <s v=""/>
    <s v="Y"/>
    <x v="1"/>
    <x v="0"/>
    <s v="Y"/>
    <n v="7.246376811594203E-3"/>
    <n v="7.2639225181598066E-3"/>
    <n v="1.7545706565603655E-5"/>
    <n v="0"/>
    <n v="-3"/>
    <n v="0"/>
    <n v="3"/>
    <e v="#VALUE!"/>
    <n v="3"/>
    <n v="0"/>
    <n v="410"/>
    <m/>
    <s v="Y"/>
    <m/>
    <s v="0-10 DAYS"/>
    <n v="1"/>
    <x v="0"/>
  </r>
  <r>
    <n v="287"/>
    <s v="N"/>
    <s v="N"/>
    <n v="1271574"/>
    <n v="6"/>
    <d v="2012-01-12T00:00:00"/>
    <d v="2013-07-24T00:00:00"/>
    <n v="1271574"/>
    <d v="2012-01-12T00:00:00"/>
    <d v="2013-07-24T00:00:00"/>
    <n v="65000"/>
    <x v="2"/>
    <m/>
    <s v="N"/>
    <s v="NONE"/>
    <s v="GUILTY PLEA - NO JURY"/>
    <n v="560"/>
    <n v="560"/>
    <n v="3"/>
    <n v="2"/>
    <n v="2"/>
    <m/>
    <m/>
    <m/>
    <m/>
    <m/>
    <m/>
    <s v="S"/>
    <m/>
    <d v="1970-12-06T00:00:00"/>
    <s v="M"/>
    <s v="H"/>
    <s v="HISPANIC"/>
    <s v="NULL"/>
    <s v="174"/>
    <s v="CONVICTED"/>
    <n v="17"/>
    <s v="TDC"/>
    <n v="5"/>
    <m/>
    <m/>
    <s v="POSS W/INT DEL CS PG1&gt;=4 &lt;200"/>
    <m/>
    <s v="F1"/>
    <s v="SALE DRUG"/>
    <m/>
    <m/>
    <m/>
    <m/>
    <m/>
    <m/>
    <m/>
    <m/>
    <m/>
    <s v="Appointed Attorney"/>
    <m/>
    <m/>
    <n v="560"/>
    <n v="560"/>
    <n v="560"/>
    <n v="41.016393442622949"/>
    <n v="0"/>
    <n v="0"/>
    <s v="CONVICTION"/>
    <x v="0"/>
    <s v="N"/>
    <m/>
    <s v="CONVICTION"/>
    <s v="Y"/>
    <x v="0"/>
    <x v="0"/>
    <s v="Y"/>
    <n v="1"/>
    <n v="1"/>
    <n v="0"/>
    <n v="0"/>
    <n v="-560"/>
    <n v="0"/>
    <n v="560"/>
    <e v="#VALUE!"/>
    <n v="560"/>
    <n v="0"/>
    <n v="0"/>
    <m/>
    <s v="Y"/>
    <m/>
    <s v=" &gt;1YRS&lt;2YRS"/>
    <n v="0"/>
    <x v="0"/>
  </r>
  <r>
    <n v="2508"/>
    <s v="N"/>
    <s v="N"/>
    <n v="1272755"/>
    <n v="6"/>
    <d v="2012-04-04T00:00:00"/>
    <d v="2013-04-08T00:00:00"/>
    <n v="1272755"/>
    <d v="2012-04-04T00:00:00"/>
    <d v="2013-04-08T00:00:00"/>
    <s v="NO BOND"/>
    <x v="1"/>
    <m/>
    <s v="N"/>
    <s v="NONE"/>
    <s v="GUILTY PLEA - NO JURY"/>
    <n v="370"/>
    <n v="370"/>
    <n v="5"/>
    <n v="1"/>
    <n v="1"/>
    <m/>
    <m/>
    <m/>
    <m/>
    <m/>
    <m/>
    <m/>
    <m/>
    <d v="1967-10-18T00:00:00"/>
    <s v="M"/>
    <s v="B"/>
    <s v="BLACK"/>
    <s v="NULL"/>
    <s v="182"/>
    <s v="CONVICTED"/>
    <n v="9"/>
    <s v="TDC"/>
    <n v="2"/>
    <m/>
    <m/>
    <s v="ASSAULT-BOD INJ-PUB SERV/RETAL"/>
    <m/>
    <s v="F3"/>
    <s v="ASLT-MURDR"/>
    <m/>
    <m/>
    <m/>
    <m/>
    <m/>
    <m/>
    <m/>
    <m/>
    <m/>
    <s v="Appointed Attorney"/>
    <m/>
    <m/>
    <n v="370"/>
    <n v="370"/>
    <n v="370"/>
    <n v="44.37158469945355"/>
    <n v="0"/>
    <n v="0"/>
    <s v="CONVICTION"/>
    <x v="0"/>
    <s v="N"/>
    <m/>
    <s v="CONVICTION"/>
    <s v="Y"/>
    <x v="0"/>
    <x v="0"/>
    <s v="Y"/>
    <n v="1"/>
    <n v="1"/>
    <n v="0"/>
    <n v="0"/>
    <n v="-370"/>
    <n v="0"/>
    <n v="370"/>
    <e v="#VALUE!"/>
    <n v="370"/>
    <n v="0"/>
    <n v="0"/>
    <m/>
    <s v="Y"/>
    <m/>
    <s v=" &gt;1YRS&lt;2YRS"/>
    <n v="0"/>
    <x v="0"/>
  </r>
  <r>
    <n v="259"/>
    <s v="N"/>
    <s v="N"/>
    <n v="1272826"/>
    <n v="5"/>
    <d v="2012-01-11T00:00:00"/>
    <d v="2012-01-13T00:00:00"/>
    <n v="1272826"/>
    <d v="2012-01-12T00:00:00"/>
    <d v="2012-01-13T00:00:00"/>
    <n v="15000"/>
    <x v="0"/>
    <m/>
    <s v="N"/>
    <s v="NONE"/>
    <s v="GUILTY PLEA - NO JURY"/>
    <n v="2"/>
    <n v="3"/>
    <n v="8"/>
    <n v="5"/>
    <m/>
    <m/>
    <m/>
    <m/>
    <m/>
    <m/>
    <m/>
    <m/>
    <m/>
    <d v="1967-02-05T00:00:00"/>
    <s v="F"/>
    <s v="B"/>
    <s v="BLACK"/>
    <s v="NON-HISPANIC"/>
    <s v="180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2"/>
    <n v="2"/>
    <n v="3"/>
    <n v="44.838797814207652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471"/>
    <s v="N"/>
    <s v="N"/>
    <n v="1273575"/>
    <n v="2"/>
    <d v="2012-01-20T00:00:00"/>
    <d v="2012-09-19T00:00:00"/>
    <n v="1273575"/>
    <d v="2012-01-20T00:00:00"/>
    <d v="2012-01-21T00:00:00"/>
    <n v="2000"/>
    <x v="5"/>
    <d v="2012-01-21T00:00:00"/>
    <s v="Y"/>
    <s v="SURETY"/>
    <s v="DEFERRED ADJUDICATION "/>
    <n v="2"/>
    <n v="244"/>
    <n v="0"/>
    <n v="3"/>
    <m/>
    <m/>
    <m/>
    <m/>
    <m/>
    <m/>
    <m/>
    <m/>
    <m/>
    <d v="1966-12-09T00:00:00"/>
    <s v="F"/>
    <s v="W"/>
    <s v="WHITE"/>
    <s v="NON-HISPANIC"/>
    <s v="209"/>
    <s v="DEFERRED"/>
    <n v="9"/>
    <s v="DEFERRED"/>
    <m/>
    <m/>
    <m/>
    <s v="THEFT UNDER $1500 - 3RD OFF."/>
    <m/>
    <s v="FS"/>
    <s v="THEFT"/>
    <m/>
    <m/>
    <m/>
    <m/>
    <m/>
    <m/>
    <m/>
    <m/>
    <m/>
    <s v="Hired Attorney"/>
    <m/>
    <m/>
    <n v="2"/>
    <n v="244"/>
    <n v="244"/>
    <n v="45.021857923497265"/>
    <n v="0"/>
    <n v="-242"/>
    <s v="DEFERRED"/>
    <x v="1"/>
    <s v="Y"/>
    <m/>
    <s v="DEFERRED"/>
    <s v="Y"/>
    <x v="1"/>
    <x v="0"/>
    <s v="N"/>
    <n v="8.1967213114754103E-3"/>
    <n v="8.1967213114754103E-3"/>
    <n v="0"/>
    <n v="0"/>
    <n v="-2"/>
    <n v="0"/>
    <n v="2"/>
    <e v="#VALUE!"/>
    <n v="2"/>
    <n v="0"/>
    <n v="242"/>
    <m/>
    <s v="Y"/>
    <m/>
    <s v="0-10 DAYS"/>
    <n v="1"/>
    <x v="0"/>
  </r>
  <r>
    <n v="609"/>
    <s v="N"/>
    <s v="N"/>
    <n v="1275023"/>
    <n v="5"/>
    <d v="2012-01-24T00:00:00"/>
    <d v="2012-01-26T00:00:00"/>
    <n v="1275023"/>
    <d v="2012-01-24T00:00:00"/>
    <d v="2012-01-26T00:00:00"/>
    <n v="15000"/>
    <x v="0"/>
    <m/>
    <s v="N"/>
    <s v="NONE"/>
    <s v="GUILTY PLEA - NO JURY"/>
    <n v="3"/>
    <n v="3"/>
    <n v="4"/>
    <n v="2"/>
    <m/>
    <m/>
    <m/>
    <m/>
    <m/>
    <m/>
    <m/>
    <m/>
    <m/>
    <d v="1969-10-03T00:00:00"/>
    <s v="F"/>
    <s v="B"/>
    <s v="BLACK"/>
    <s v="NON-HISPANIC"/>
    <s v="230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3"/>
    <n v="3"/>
    <n v="3"/>
    <n v="42.221311475409834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513"/>
    <s v="N"/>
    <s v="N"/>
    <n v="1276605"/>
    <n v="6"/>
    <d v="2012-02-25T00:00:00"/>
    <d v="2012-04-12T00:00:00"/>
    <n v="1276605"/>
    <d v="2012-02-26T00:00:00"/>
    <d v="2012-04-12T00:00:00"/>
    <s v="NO BOND"/>
    <x v="1"/>
    <m/>
    <s v="N"/>
    <s v="NONE"/>
    <s v="GUILTY PLEA - NO JURY"/>
    <n v="47"/>
    <n v="48"/>
    <n v="3"/>
    <n v="14"/>
    <m/>
    <m/>
    <m/>
    <m/>
    <m/>
    <m/>
    <m/>
    <m/>
    <m/>
    <d v="1969-10-18T00:00:00"/>
    <s v="M"/>
    <s v="W"/>
    <s v="WHITE"/>
    <s v="NON-HISPANIC"/>
    <s v="230"/>
    <s v="CONVICTED"/>
    <n v="4"/>
    <s v="TDC"/>
    <n v="4"/>
    <m/>
    <m/>
    <s v="DWI 3RD OFFENDER BAC .08"/>
    <m/>
    <s v="F3"/>
    <s v="FEL DWI"/>
    <m/>
    <m/>
    <m/>
    <m/>
    <m/>
    <m/>
    <m/>
    <m/>
    <m/>
    <s v="Hired Attorney"/>
    <m/>
    <m/>
    <n v="47"/>
    <n v="47"/>
    <n v="48"/>
    <n v="42.267759562841533"/>
    <n v="0"/>
    <n v="0"/>
    <s v="CONVICTION"/>
    <x v="0"/>
    <s v="N"/>
    <m/>
    <s v="CONVICTION"/>
    <s v="Y"/>
    <x v="0"/>
    <x v="0"/>
    <s v="Y"/>
    <n v="0.97916666666666663"/>
    <n v="1"/>
    <n v="2.083333333333337E-2"/>
    <n v="0"/>
    <n v="-47"/>
    <n v="0"/>
    <n v="47"/>
    <e v="#VALUE!"/>
    <n v="47"/>
    <n v="0"/>
    <n v="0"/>
    <m/>
    <s v="Y"/>
    <m/>
    <s v="31-60 DAYS"/>
    <n v="3"/>
    <x v="0"/>
  </r>
  <r>
    <n v="358"/>
    <s v="N"/>
    <s v="N"/>
    <n v="1276775"/>
    <n v="6"/>
    <d v="2012-01-15T00:00:00"/>
    <d v="2012-02-23T00:00:00"/>
    <n v="1276775"/>
    <d v="2012-01-15T00:00:00"/>
    <d v="2012-01-18T00:00:00"/>
    <n v="10000"/>
    <x v="3"/>
    <d v="2012-01-18T00:00:00"/>
    <s v="Y"/>
    <s v="SURETY"/>
    <s v="GUILTY PLEA - NO JURY"/>
    <n v="4"/>
    <n v="40"/>
    <n v="0"/>
    <n v="3"/>
    <m/>
    <m/>
    <m/>
    <m/>
    <m/>
    <m/>
    <m/>
    <m/>
    <m/>
    <d v="1964-09-26T00:00:00"/>
    <s v="M"/>
    <s v="B"/>
    <s v="BLACK"/>
    <s v="NON-HISPANIC"/>
    <s v="178"/>
    <s v="CONVICTED"/>
    <n v="3"/>
    <s v="TDC"/>
    <n v="5"/>
    <m/>
    <m/>
    <s v="DWI 3RD OFFENDER BAC .08"/>
    <m/>
    <s v="F3"/>
    <s v="FEL DWI"/>
    <m/>
    <m/>
    <m/>
    <m/>
    <m/>
    <m/>
    <m/>
    <m/>
    <m/>
    <s v="Appointed Attorney"/>
    <m/>
    <m/>
    <n v="4"/>
    <n v="40"/>
    <n v="40"/>
    <n v="47.204918032786885"/>
    <n v="0"/>
    <n v="-36"/>
    <s v="CONVICTION"/>
    <x v="1"/>
    <s v="Y"/>
    <m/>
    <s v="CONVICTION"/>
    <s v="Y"/>
    <x v="1"/>
    <x v="0"/>
    <s v="N"/>
    <n v="0.1"/>
    <n v="0.1"/>
    <n v="0"/>
    <n v="0"/>
    <n v="-4"/>
    <n v="0"/>
    <n v="4"/>
    <e v="#VALUE!"/>
    <n v="4"/>
    <n v="0"/>
    <n v="36"/>
    <m/>
    <s v="Y"/>
    <m/>
    <s v="0-10 DAYS"/>
    <n v="1"/>
    <x v="0"/>
  </r>
  <r>
    <n v="1338"/>
    <s v="N"/>
    <s v="N"/>
    <n v="1276863"/>
    <n v="3"/>
    <d v="2012-02-18T00:00:00"/>
    <d v="2012-04-24T00:00:00"/>
    <n v="1276863"/>
    <d v="2012-02-18T00:00:00"/>
    <d v="2012-02-19T00:00:00"/>
    <n v="5000"/>
    <x v="4"/>
    <d v="2012-02-19T00:00:00"/>
    <s v="Y"/>
    <s v="CASH"/>
    <s v="GUILTY PLEA - NO JURY"/>
    <n v="2"/>
    <n v="67"/>
    <n v="0"/>
    <n v="1"/>
    <m/>
    <m/>
    <m/>
    <m/>
    <m/>
    <m/>
    <m/>
    <m/>
    <m/>
    <d v="1959-08-24T00:00:00"/>
    <s v="M"/>
    <s v="W"/>
    <s v="WHITE"/>
    <s v="NON-HISPANIC"/>
    <s v="208"/>
    <s v="CONVICTED"/>
    <n v="3"/>
    <s v="PROBATION"/>
    <m/>
    <m/>
    <m/>
    <s v="DWI 3RD OFFENDER BAC .08"/>
    <m/>
    <s v="F3"/>
    <s v="FEL DWI"/>
    <m/>
    <m/>
    <m/>
    <m/>
    <m/>
    <m/>
    <m/>
    <m/>
    <m/>
    <s v="Hired Attorney"/>
    <m/>
    <m/>
    <n v="2"/>
    <n v="67"/>
    <n v="67"/>
    <n v="52.379781420765028"/>
    <n v="0"/>
    <n v="-65"/>
    <s v="CONVICTION"/>
    <x v="3"/>
    <s v="Y"/>
    <m/>
    <s v="CONVICTION"/>
    <s v="Y"/>
    <x v="1"/>
    <x v="0"/>
    <s v="N"/>
    <n v="2.9850746268656716E-2"/>
    <n v="2.9850746268656716E-2"/>
    <n v="0"/>
    <n v="0"/>
    <n v="-2"/>
    <n v="0"/>
    <n v="2"/>
    <e v="#VALUE!"/>
    <n v="2"/>
    <n v="0"/>
    <n v="65"/>
    <m/>
    <s v="Y"/>
    <m/>
    <s v="0-10 DAYS"/>
    <n v="1"/>
    <x v="0"/>
  </r>
  <r>
    <n v="1307"/>
    <s v="N"/>
    <s v="N"/>
    <n v="1277158"/>
    <n v="5"/>
    <d v="2012-02-17T00:00:00"/>
    <d v="2012-02-20T00:00:00"/>
    <n v="1277158"/>
    <d v="2012-02-17T00:00:00"/>
    <d v="2012-02-20T00:00:00"/>
    <n v="15000"/>
    <x v="0"/>
    <m/>
    <s v="N"/>
    <s v="NONE"/>
    <s v="GUILTY PLEA - NO JURY"/>
    <n v="4"/>
    <n v="4"/>
    <n v="2"/>
    <n v="2"/>
    <n v="2"/>
    <m/>
    <m/>
    <m/>
    <m/>
    <m/>
    <m/>
    <m/>
    <m/>
    <d v="1965-05-23T00:00:00"/>
    <s v="F"/>
    <s v="B"/>
    <s v="BLACK"/>
    <s v="NON-HISPANIC"/>
    <s v="185"/>
    <s v="CONVICTED"/>
    <n v="1"/>
    <s v="STJ"/>
    <m/>
    <n v="6"/>
    <m/>
    <s v="MAN/DEL CS PG I &lt;1GRAM"/>
    <m/>
    <s v="FS"/>
    <s v="SALE DRUG"/>
    <m/>
    <m/>
    <m/>
    <m/>
    <m/>
    <m/>
    <m/>
    <m/>
    <m/>
    <s v="Appointed Attorney"/>
    <m/>
    <m/>
    <n v="4"/>
    <n v="4"/>
    <n v="4"/>
    <n v="46.642076502732237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1119"/>
    <s v="N"/>
    <s v="N"/>
    <n v="1279885"/>
    <n v="2"/>
    <d v="2012-02-10T00:00:00"/>
    <d v="2012-03-02T00:00:00"/>
    <n v="1279885"/>
    <d v="2012-02-11T00:00:00"/>
    <d v="2012-03-02T00:00:00"/>
    <n v="30000"/>
    <x v="2"/>
    <m/>
    <s v="N"/>
    <s v="NONE"/>
    <s v="DEFERRED ADJUDICATION "/>
    <n v="21"/>
    <n v="22"/>
    <n v="4"/>
    <n v="9"/>
    <m/>
    <m/>
    <m/>
    <m/>
    <m/>
    <m/>
    <m/>
    <m/>
    <m/>
    <d v="1975-01-13T00:00:00"/>
    <s v="M"/>
    <s v="W"/>
    <s v="WHITE"/>
    <s v="NULL"/>
    <s v="177"/>
    <s v="DEFERRED"/>
    <n v="3"/>
    <s v="DEFERRED"/>
    <m/>
    <m/>
    <m/>
    <s v="AGG ASSAULT-FAMILY MEMBER"/>
    <m/>
    <s v="F2"/>
    <s v="ASLT-MURDR"/>
    <m/>
    <m/>
    <m/>
    <m/>
    <m/>
    <m/>
    <m/>
    <m/>
    <m/>
    <s v="Appointed Attorney"/>
    <m/>
    <m/>
    <n v="21"/>
    <n v="21"/>
    <n v="22"/>
    <n v="37"/>
    <n v="0"/>
    <n v="0"/>
    <s v="DEFERRED"/>
    <x v="0"/>
    <s v="N"/>
    <m/>
    <s v="DEFERRED"/>
    <s v="Y"/>
    <x v="0"/>
    <x v="0"/>
    <s v="Y"/>
    <n v="0.95454545454545459"/>
    <n v="1"/>
    <n v="4.5454545454545414E-2"/>
    <n v="0"/>
    <n v="-21"/>
    <n v="0"/>
    <n v="21"/>
    <e v="#VALUE!"/>
    <n v="21"/>
    <n v="0"/>
    <n v="0"/>
    <m/>
    <s v="Y"/>
    <m/>
    <s v="11-30 DAYS"/>
    <n v="2"/>
    <x v="0"/>
  </r>
  <r>
    <n v="411"/>
    <s v="N"/>
    <s v="N"/>
    <n v="1280955"/>
    <n v="2"/>
    <d v="2012-01-18T00:00:00"/>
    <d v="2012-11-12T00:00:00"/>
    <n v="1280955"/>
    <d v="2012-01-18T00:00:00"/>
    <d v="2012-02-01T00:00:00"/>
    <n v="5000"/>
    <x v="4"/>
    <d v="2012-02-01T00:00:00"/>
    <s v="Y"/>
    <s v="SURETY"/>
    <s v="DEFERRED ADJUDICATION "/>
    <n v="15"/>
    <n v="300"/>
    <n v="2"/>
    <n v="5"/>
    <n v="1"/>
    <m/>
    <m/>
    <m/>
    <m/>
    <m/>
    <m/>
    <m/>
    <m/>
    <d v="1972-01-31T00:00:00"/>
    <s v="M"/>
    <s v="H"/>
    <s v="HISPANIC"/>
    <s v="HISPANIC"/>
    <s v="339"/>
    <s v="DEFERRED"/>
    <n v="12"/>
    <s v="DEFERRED"/>
    <m/>
    <m/>
    <m/>
    <s v="POSS CS PG 1 &lt;1G"/>
    <m/>
    <s v="FS"/>
    <s v="POSS DRUG"/>
    <m/>
    <m/>
    <m/>
    <m/>
    <m/>
    <m/>
    <m/>
    <m/>
    <m/>
    <s v="Hired Attorney"/>
    <m/>
    <m/>
    <n v="15"/>
    <n v="300"/>
    <n v="300"/>
    <n v="39.882513661202189"/>
    <n v="0"/>
    <n v="-285"/>
    <s v="DEFERRED"/>
    <x v="1"/>
    <s v="Y"/>
    <m/>
    <s v="DEFERRED"/>
    <s v="Y"/>
    <x v="1"/>
    <x v="0"/>
    <s v="Y"/>
    <n v="0.05"/>
    <n v="0.05"/>
    <n v="0"/>
    <n v="0"/>
    <n v="-15"/>
    <n v="0"/>
    <n v="15"/>
    <e v="#VALUE!"/>
    <n v="15"/>
    <n v="0"/>
    <n v="285"/>
    <m/>
    <s v="Y"/>
    <m/>
    <s v="11-30 DAYS"/>
    <n v="2"/>
    <x v="0"/>
  </r>
  <r>
    <n v="2885"/>
    <s v="N"/>
    <s v="N"/>
    <n v="1281323"/>
    <n v="4"/>
    <d v="2012-04-17T00:00:00"/>
    <d v="2012-10-05T00:00:00"/>
    <n v="1281323"/>
    <d v="2012-04-17T00:00:00"/>
    <d v="2012-04-19T00:00:00"/>
    <n v="15000"/>
    <x v="0"/>
    <d v="2012-04-19T00:00:00"/>
    <s v="Y"/>
    <s v="SURETYPTRc"/>
    <s v="GUILTY PLEA - NO JURY"/>
    <n v="3"/>
    <n v="172"/>
    <n v="6"/>
    <n v="9"/>
    <n v="2"/>
    <m/>
    <m/>
    <m/>
    <m/>
    <m/>
    <m/>
    <m/>
    <m/>
    <d v="1975-01-26T00:00:00"/>
    <s v="M"/>
    <s v="B"/>
    <s v="BLACK"/>
    <s v="NULL"/>
    <s v="337"/>
    <s v="CONVICTED"/>
    <n v="9"/>
    <s v="HCJ"/>
    <m/>
    <m/>
    <n v="90"/>
    <s v="POSS CS PG 1 &lt;1G"/>
    <m/>
    <s v="FS"/>
    <s v="POSS DRUG"/>
    <m/>
    <m/>
    <m/>
    <m/>
    <m/>
    <m/>
    <m/>
    <m/>
    <m/>
    <s v="Hired Attorney"/>
    <m/>
    <m/>
    <n v="3"/>
    <n v="172"/>
    <n v="172"/>
    <n v="37.147540983606561"/>
    <n v="0"/>
    <n v="-169"/>
    <s v="CONVICTION"/>
    <x v="1"/>
    <s v="Y"/>
    <m/>
    <s v="CONVICTION"/>
    <s v="Y"/>
    <x v="1"/>
    <x v="0"/>
    <s v="Y"/>
    <n v="1.7441860465116279E-2"/>
    <n v="1.7441860465116279E-2"/>
    <n v="0"/>
    <n v="0"/>
    <n v="-3"/>
    <n v="0"/>
    <n v="3"/>
    <e v="#VALUE!"/>
    <n v="3"/>
    <n v="0"/>
    <n v="169"/>
    <m/>
    <s v="Y"/>
    <m/>
    <s v="0-10 DAYS"/>
    <n v="1"/>
    <x v="0"/>
  </r>
  <r>
    <n v="781"/>
    <s v="N"/>
    <s v="Y"/>
    <n v="1284053"/>
    <n v="5"/>
    <d v="2012-01-31T00:00:00"/>
    <d v="2012-05-15T00:00:00"/>
    <n v="1284053"/>
    <d v="2012-01-31T00:00:00"/>
    <d v="2012-02-02T00:00:00"/>
    <n v="10000"/>
    <x v="3"/>
    <d v="2012-02-02T00:00:00"/>
    <s v="Y"/>
    <s v="SURETY"/>
    <s v="GUILTY PLEA - NO JURY"/>
    <n v="29"/>
    <n v="106"/>
    <n v="2"/>
    <n v="0"/>
    <n v="1"/>
    <m/>
    <m/>
    <m/>
    <m/>
    <m/>
    <m/>
    <m/>
    <m/>
    <d v="1953-01-30T00:00:00"/>
    <s v="M"/>
    <s v="B"/>
    <s v="BLACK"/>
    <s v="NON-HISPANIC"/>
    <s v="183"/>
    <s v="CONVICTED"/>
    <n v="8"/>
    <s v="STJ"/>
    <m/>
    <n v="6"/>
    <m/>
    <s v="FAIL TO REGISTER AS SEX OFFEND"/>
    <m/>
    <s v="FS"/>
    <s v="OTHER FEL"/>
    <m/>
    <s v="rev 5/15/12 tdc 6mos"/>
    <m/>
    <m/>
    <s v="Y"/>
    <m/>
    <m/>
    <m/>
    <m/>
    <s v="Hired Attorney"/>
    <m/>
    <m/>
    <n v="29"/>
    <n v="106"/>
    <n v="106"/>
    <n v="58.879781420765028"/>
    <n v="0"/>
    <n v="-103"/>
    <s v="CONVICTION"/>
    <x v="1"/>
    <s v="Y"/>
    <m/>
    <s v="CONVICTION"/>
    <s v="Y"/>
    <x v="0"/>
    <x v="0"/>
    <s v="Y"/>
    <n v="0.27358490566037735"/>
    <n v="2.8301886792452831E-2"/>
    <n v="-0.24528301886792453"/>
    <n v="0"/>
    <n v="-3"/>
    <n v="26"/>
    <n v="106"/>
    <n v="29"/>
    <n v="106"/>
    <n v="103"/>
    <n v="103"/>
    <m/>
    <s v="Y"/>
    <m/>
    <s v="11-30 DAYS"/>
    <n v="2"/>
    <x v="0"/>
  </r>
  <r>
    <n v="3037"/>
    <s v="N"/>
    <s v="N"/>
    <n v="1287104"/>
    <n v="4"/>
    <d v="2012-04-22T00:00:00"/>
    <d v="2012-07-25T00:00:00"/>
    <n v="1287104"/>
    <d v="2012-04-22T00:00:00"/>
    <d v="2012-07-25T00:00:00"/>
    <s v="NO BOND"/>
    <x v="1"/>
    <m/>
    <s v="N"/>
    <s v="NONE"/>
    <s v="GUILTY PLEA - NO JURY"/>
    <n v="95"/>
    <n v="95"/>
    <n v="0"/>
    <n v="1"/>
    <m/>
    <m/>
    <m/>
    <m/>
    <m/>
    <m/>
    <m/>
    <m/>
    <m/>
    <d v="1964-01-24T00:00:00"/>
    <s v="M"/>
    <s v="W"/>
    <s v="WHITE"/>
    <s v="NON-HISPANIC"/>
    <s v="185"/>
    <s v="CONVICTED"/>
    <n v="6"/>
    <s v="HCJ"/>
    <m/>
    <m/>
    <n v="365"/>
    <s v="DWI 3RD OFFENDER BAC .08"/>
    <m/>
    <s v="F3"/>
    <s v="FEL DWI"/>
    <m/>
    <m/>
    <m/>
    <m/>
    <m/>
    <m/>
    <m/>
    <m/>
    <m/>
    <s v="Hired Attorney"/>
    <m/>
    <m/>
    <n v="95"/>
    <n v="95"/>
    <n v="95"/>
    <n v="48.144808743169399"/>
    <n v="0"/>
    <n v="0"/>
    <s v="CONVICTION"/>
    <x v="0"/>
    <s v="N"/>
    <m/>
    <s v="CONVICTION"/>
    <s v="Y"/>
    <x v="0"/>
    <x v="0"/>
    <s v="N"/>
    <n v="1"/>
    <n v="1"/>
    <n v="0"/>
    <n v="0"/>
    <n v="-95"/>
    <n v="0"/>
    <n v="95"/>
    <e v="#VALUE!"/>
    <n v="95"/>
    <n v="0"/>
    <n v="0"/>
    <m/>
    <s v="Y"/>
    <m/>
    <s v="91-120 DAYS"/>
    <n v="0"/>
    <x v="0"/>
  </r>
  <r>
    <n v="2472"/>
    <s v="N"/>
    <s v="N"/>
    <n v="1289488"/>
    <n v="4"/>
    <d v="2012-04-03T00:00:00"/>
    <d v="2012-04-05T00:00:00"/>
    <n v="1289488"/>
    <d v="2012-04-03T00:00:00"/>
    <d v="2012-04-05T00:00:00"/>
    <n v="5000"/>
    <x v="4"/>
    <m/>
    <s v="N"/>
    <s v="NONE"/>
    <s v="GUILTY PLEA - NO JURY"/>
    <n v="3"/>
    <n v="3"/>
    <n v="2"/>
    <n v="1"/>
    <n v="2"/>
    <m/>
    <m/>
    <m/>
    <m/>
    <m/>
    <m/>
    <m/>
    <m/>
    <d v="1956-07-27T00:00:00"/>
    <s v="M"/>
    <s v="B"/>
    <s v="BLACK"/>
    <s v="NON-HISPANIC"/>
    <s v="179"/>
    <s v="CONVICTED"/>
    <n v="2"/>
    <s v="HCJ"/>
    <m/>
    <m/>
    <n v="90"/>
    <s v="POSS CS PG 1 &lt;1G"/>
    <m/>
    <s v="FS"/>
    <s v="POSS DRUG"/>
    <m/>
    <m/>
    <m/>
    <m/>
    <m/>
    <m/>
    <m/>
    <m/>
    <m/>
    <s v="Appointed Attorney"/>
    <m/>
    <m/>
    <n v="3"/>
    <n v="3"/>
    <n v="3"/>
    <n v="55.571038251366119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764"/>
    <s v="N"/>
    <s v="N"/>
    <n v="1292681"/>
    <n v="5"/>
    <d v="2012-04-12T00:00:00"/>
    <d v="2012-06-04T00:00:00"/>
    <n v="1292681"/>
    <d v="2012-04-12T00:00:00"/>
    <d v="2012-06-04T00:00:00"/>
    <n v="15000"/>
    <x v="0"/>
    <m/>
    <s v="N"/>
    <s v="NONE"/>
    <s v="GUILTY PLEA - NO JURY"/>
    <n v="54"/>
    <n v="54"/>
    <n v="3"/>
    <n v="4"/>
    <n v="1"/>
    <m/>
    <m/>
    <m/>
    <m/>
    <m/>
    <m/>
    <m/>
    <m/>
    <d v="1969-12-27T00:00:00"/>
    <s v="M"/>
    <s v="H"/>
    <s v="HISPANIC"/>
    <s v="HISPANIC"/>
    <s v="180"/>
    <s v="CONVICTED"/>
    <n v="5"/>
    <s v="STJ"/>
    <m/>
    <n v="6"/>
    <m/>
    <s v="POSS CS PG 1 &lt;1G"/>
    <m/>
    <s v="FS"/>
    <s v="POSS DRUG"/>
    <m/>
    <m/>
    <m/>
    <m/>
    <m/>
    <m/>
    <m/>
    <m/>
    <m/>
    <s v="Appointed Attorney"/>
    <m/>
    <m/>
    <n v="54"/>
    <n v="54"/>
    <n v="54"/>
    <n v="42.204918032786885"/>
    <n v="0"/>
    <n v="0"/>
    <s v="CONVICTION"/>
    <x v="0"/>
    <s v="N"/>
    <m/>
    <s v="CONVICTION"/>
    <s v="Y"/>
    <x v="0"/>
    <x v="0"/>
    <s v="Y"/>
    <n v="1"/>
    <n v="1"/>
    <n v="0"/>
    <n v="0"/>
    <n v="-54"/>
    <n v="0"/>
    <n v="54"/>
    <e v="#VALUE!"/>
    <n v="54"/>
    <n v="0"/>
    <n v="0"/>
    <m/>
    <s v="Y"/>
    <m/>
    <s v="31-60 DAYS"/>
    <n v="3"/>
    <x v="0"/>
  </r>
  <r>
    <n v="2141"/>
    <s v="N"/>
    <s v="N"/>
    <n v="1292687"/>
    <n v="2"/>
    <d v="2012-03-21T00:00:00"/>
    <d v="2012-08-14T00:00:00"/>
    <n v="1292687"/>
    <d v="2012-03-24T00:00:00"/>
    <d v="2012-03-25T00:00:00"/>
    <n v="2000"/>
    <x v="5"/>
    <d v="2012-03-25T00:00:00"/>
    <s v="Y"/>
    <s v="SURETYPTRc"/>
    <s v="DEFERRED ADJUDICATION "/>
    <n v="2"/>
    <n v="147"/>
    <n v="0"/>
    <n v="1"/>
    <m/>
    <m/>
    <m/>
    <m/>
    <m/>
    <m/>
    <m/>
    <s v="S"/>
    <m/>
    <d v="1973-10-22T00:00:00"/>
    <s v="F"/>
    <s v="H"/>
    <s v="HISPANIC"/>
    <s v="NULL"/>
    <s v="337"/>
    <s v="DEFERRED"/>
    <n v="7"/>
    <s v="DEFERRED"/>
    <m/>
    <m/>
    <m/>
    <s v="INJURY CHILD UNDER 15 B/INJURY"/>
    <m/>
    <s v="F3"/>
    <s v="OTHER FEL"/>
    <m/>
    <m/>
    <m/>
    <m/>
    <m/>
    <m/>
    <m/>
    <m/>
    <m/>
    <s v="Hired Attorney"/>
    <m/>
    <m/>
    <n v="2"/>
    <n v="144"/>
    <n v="147"/>
    <n v="38.333333333333336"/>
    <n v="0"/>
    <n v="-142"/>
    <s v="DEFERRED"/>
    <x v="1"/>
    <s v="Y"/>
    <m/>
    <s v="DEFERRED"/>
    <s v="Y"/>
    <x v="1"/>
    <x v="0"/>
    <s v="N"/>
    <n v="1.3605442176870748E-2"/>
    <n v="1.3888888888888888E-2"/>
    <n v="2.8344671201814033E-4"/>
    <n v="0"/>
    <n v="-2"/>
    <n v="0"/>
    <n v="2"/>
    <e v="#VALUE!"/>
    <n v="2"/>
    <n v="0"/>
    <n v="142"/>
    <m/>
    <s v="Y"/>
    <m/>
    <s v="0-10 DAYS"/>
    <n v="1"/>
    <x v="0"/>
  </r>
  <r>
    <n v="854"/>
    <s v="N"/>
    <s v="N"/>
    <n v="1293436"/>
    <n v="2"/>
    <d v="2012-02-01T00:00:00"/>
    <d v="2012-09-06T00:00:00"/>
    <n v="1293436"/>
    <d v="2012-02-02T00:00:00"/>
    <d v="2012-02-03T00:00:00"/>
    <n v="2000"/>
    <x v="5"/>
    <d v="2012-02-03T00:00:00"/>
    <s v="Y"/>
    <s v="PTRc"/>
    <s v="DEFERRED ADJUDICATION "/>
    <n v="2"/>
    <n v="219"/>
    <n v="0"/>
    <n v="1"/>
    <m/>
    <m/>
    <m/>
    <m/>
    <m/>
    <m/>
    <m/>
    <m/>
    <m/>
    <d v="1973-11-10T00:00:00"/>
    <s v="F"/>
    <s v="B"/>
    <s v="BLACK"/>
    <s v="NULL"/>
    <s v="338"/>
    <s v="DEFERRED"/>
    <n v="8"/>
    <s v="DEFERRED"/>
    <m/>
    <m/>
    <m/>
    <s v="ENDANGERING A CHILD"/>
    <m/>
    <s v="FS"/>
    <s v="OTHER FEL"/>
    <m/>
    <m/>
    <m/>
    <m/>
    <m/>
    <m/>
    <m/>
    <m/>
    <m/>
    <s v="Appointed Attorney"/>
    <m/>
    <m/>
    <n v="2"/>
    <n v="218"/>
    <n v="219"/>
    <n v="38.147540983606561"/>
    <n v="0"/>
    <n v="-216"/>
    <s v="DEFERRED"/>
    <x v="2"/>
    <s v="Y"/>
    <m/>
    <s v="DEFERRED"/>
    <s v="Y"/>
    <x v="1"/>
    <x v="0"/>
    <s v="N"/>
    <n v="9.1324200913242004E-3"/>
    <n v="9.1743119266055051E-3"/>
    <n v="4.189183528130469E-5"/>
    <n v="0"/>
    <n v="-2"/>
    <n v="0"/>
    <n v="2"/>
    <e v="#VALUE!"/>
    <n v="2"/>
    <n v="0"/>
    <n v="216"/>
    <m/>
    <s v="Y"/>
    <m/>
    <s v="0-10 DAYS"/>
    <n v="1"/>
    <x v="0"/>
  </r>
  <r>
    <n v="2269"/>
    <s v="N"/>
    <s v="N"/>
    <n v="1294647"/>
    <n v="1"/>
    <d v="2012-03-27T00:00:00"/>
    <d v="2012-07-11T00:00:00"/>
    <n v="1294647"/>
    <d v="2012-03-27T00:00:00"/>
    <d v="2012-07-11T00:00:00"/>
    <s v="NO BOND"/>
    <x v="1"/>
    <m/>
    <s v="N"/>
    <s v="NONE"/>
    <s v="AQUITTAL"/>
    <n v="107"/>
    <n v="107"/>
    <n v="1"/>
    <n v="8"/>
    <n v="1"/>
    <m/>
    <m/>
    <m/>
    <m/>
    <m/>
    <m/>
    <m/>
    <m/>
    <d v="1965-01-01T00:00:00"/>
    <s v="M"/>
    <s v="B"/>
    <s v="BLACK"/>
    <s v="NON-HISPANIC"/>
    <n v="263"/>
    <s v="AQUITTAL"/>
    <n v="6"/>
    <s v="ACQUITTAL"/>
    <m/>
    <m/>
    <m/>
    <s v="AGG ASSAULT W/DEADLY WEAPON"/>
    <m/>
    <s v="F2"/>
    <s v="ASLT-MURDR"/>
    <m/>
    <m/>
    <m/>
    <m/>
    <m/>
    <m/>
    <m/>
    <m/>
    <m/>
    <s v="Appointed Attorney"/>
    <m/>
    <m/>
    <n v="107"/>
    <n v="107"/>
    <n v="107"/>
    <n v="47.136612021857921"/>
    <n v="0"/>
    <n v="0"/>
    <n v="0"/>
    <x v="0"/>
    <s v="N"/>
    <m/>
    <s v="NO CONVICTION"/>
    <s v="Y"/>
    <x v="0"/>
    <x v="0"/>
    <s v="Y"/>
    <n v="1"/>
    <n v="1"/>
    <n v="0"/>
    <n v="0"/>
    <n v="-107"/>
    <n v="0"/>
    <n v="107"/>
    <e v="#VALUE!"/>
    <n v="107"/>
    <n v="0"/>
    <n v="0"/>
    <m/>
    <s v="Y"/>
    <m/>
    <s v="91-120 DAYS"/>
    <n v="0"/>
    <x v="0"/>
  </r>
  <r>
    <n v="2029"/>
    <s v="N"/>
    <s v="N"/>
    <n v="1295645"/>
    <n v="4"/>
    <d v="2012-03-17T00:00:00"/>
    <d v="2012-10-22T00:00:00"/>
    <n v="1295645"/>
    <d v="2012-07-08T00:00:00"/>
    <d v="2012-10-22T00:00:00"/>
    <n v="5000"/>
    <x v="4"/>
    <d v="2012-03-18T00:00:00"/>
    <s v="Y"/>
    <s v="SURETYPTRc"/>
    <s v="GUILTY PLEA - NO JURY"/>
    <n v="107"/>
    <n v="220"/>
    <n v="1"/>
    <n v="2"/>
    <m/>
    <m/>
    <m/>
    <m/>
    <m/>
    <m/>
    <m/>
    <m/>
    <m/>
    <d v="1970-08-30T00:00:00"/>
    <s v="M"/>
    <s v="H"/>
    <s v="HISPANIC"/>
    <s v="HISPANIC"/>
    <s v="248"/>
    <s v="CONVICTED"/>
    <n v="10"/>
    <s v="HCJ"/>
    <m/>
    <m/>
    <n v="180"/>
    <s v="POSS CS PG 1 &lt;1G"/>
    <m/>
    <s v="FS"/>
    <s v="POSS DRUG"/>
    <s v=" misd drug filed 7/8/12  disp 10/22 /12 hcj 6 mos"/>
    <m/>
    <m/>
    <m/>
    <m/>
    <m/>
    <m/>
    <m/>
    <m/>
    <s v="Hired Attorney"/>
    <m/>
    <m/>
    <n v="107"/>
    <n v="107"/>
    <n v="220"/>
    <n v="41.461748633879779"/>
    <n v="0"/>
    <n v="0"/>
    <s v="CONVICTION"/>
    <x v="1"/>
    <s v="Y"/>
    <m/>
    <s v="CONVICTION"/>
    <s v="Y"/>
    <x v="1"/>
    <x v="0"/>
    <s v="Y"/>
    <n v="0.48636363636363639"/>
    <n v="1"/>
    <n v="0.51363636363636367"/>
    <n v="0"/>
    <n v="-107"/>
    <n v="0"/>
    <n v="-111"/>
    <e v="#VALUE!"/>
    <n v="-111"/>
    <n v="-218"/>
    <n v="0"/>
    <m/>
    <s v="Y"/>
    <m/>
    <s v="91-120 DAYS"/>
    <n v="0"/>
    <x v="0"/>
  </r>
  <r>
    <n v="1641"/>
    <s v="N"/>
    <s v="N"/>
    <n v="1295839"/>
    <n v="5"/>
    <d v="2012-03-01T00:00:00"/>
    <d v="2012-10-02T00:00:00"/>
    <n v="1295839"/>
    <d v="2012-03-01T00:00:00"/>
    <d v="2012-03-25T00:00:00"/>
    <n v="15000"/>
    <x v="0"/>
    <d v="2012-03-25T00:00:00"/>
    <s v="Y"/>
    <s v="SURETYPTRc"/>
    <s v="GUILTY PLEA - NO JURY"/>
    <n v="25"/>
    <n v="216"/>
    <n v="4"/>
    <n v="4"/>
    <n v="2"/>
    <m/>
    <m/>
    <m/>
    <m/>
    <m/>
    <m/>
    <m/>
    <m/>
    <d v="1970-09-11T00:00:00"/>
    <s v="M"/>
    <s v="B"/>
    <s v="BLACK"/>
    <s v="NULL"/>
    <s v="337"/>
    <s v="CONVICTED"/>
    <n v="13"/>
    <s v="STJ"/>
    <m/>
    <n v="6"/>
    <m/>
    <s v="POSS CS PG 1 &lt;1G"/>
    <m/>
    <s v="FS"/>
    <s v="POSS DRUG"/>
    <m/>
    <m/>
    <m/>
    <m/>
    <m/>
    <m/>
    <m/>
    <m/>
    <m/>
    <s v="Hired Attorney"/>
    <m/>
    <m/>
    <n v="25"/>
    <n v="216"/>
    <n v="216"/>
    <n v="41.385245901639344"/>
    <n v="0"/>
    <n v="-191"/>
    <s v="CONVICTION"/>
    <x v="1"/>
    <s v="Y"/>
    <m/>
    <s v="CONVICTION"/>
    <s v="Y"/>
    <x v="1"/>
    <x v="0"/>
    <s v="Y"/>
    <n v="0.11574074074074074"/>
    <n v="0.11574074074074074"/>
    <n v="0"/>
    <n v="0"/>
    <n v="-25"/>
    <n v="0"/>
    <n v="25"/>
    <e v="#VALUE!"/>
    <n v="25"/>
    <n v="0"/>
    <n v="191"/>
    <m/>
    <s v="Y"/>
    <m/>
    <s v="11-30 DAYS"/>
    <n v="2"/>
    <x v="0"/>
  </r>
  <r>
    <n v="672"/>
    <s v="N"/>
    <s v="N"/>
    <n v="1296828"/>
    <n v="6"/>
    <d v="2012-01-27T00:00:00"/>
    <d v="2012-03-06T00:00:00"/>
    <n v="1296828"/>
    <d v="2012-01-27T00:00:00"/>
    <d v="2012-03-06T00:00:00"/>
    <s v="NO BOND"/>
    <x v="1"/>
    <m/>
    <s v="N"/>
    <s v="NONE"/>
    <s v="GUILTY PLEA - NO JURY"/>
    <n v="40"/>
    <n v="40"/>
    <n v="11"/>
    <n v="10"/>
    <n v="9"/>
    <m/>
    <m/>
    <m/>
    <m/>
    <m/>
    <m/>
    <m/>
    <m/>
    <d v="1975-06-21T00:00:00"/>
    <s v="M"/>
    <s v="B"/>
    <s v="BLACK"/>
    <s v="NON-HISPANIC"/>
    <s v="182"/>
    <s v="CONVICTED"/>
    <n v="2"/>
    <s v="TDC"/>
    <n v="8"/>
    <m/>
    <m/>
    <s v="POSS CS PG 1  1 - 4 GRAMS"/>
    <m/>
    <s v="F3"/>
    <s v="POSS DRUG"/>
    <m/>
    <m/>
    <m/>
    <m/>
    <m/>
    <m/>
    <m/>
    <m/>
    <m/>
    <s v="Appointed Attorney"/>
    <m/>
    <m/>
    <n v="40"/>
    <n v="40"/>
    <n v="40"/>
    <n v="36.527322404371581"/>
    <n v="0"/>
    <n v="0"/>
    <s v="CONVICTION"/>
    <x v="0"/>
    <s v="N"/>
    <m/>
    <s v="CONVICTION"/>
    <s v="Y"/>
    <x v="0"/>
    <x v="0"/>
    <s v="Y"/>
    <n v="1"/>
    <n v="1"/>
    <n v="0"/>
    <n v="0"/>
    <n v="-40"/>
    <n v="0"/>
    <n v="40"/>
    <e v="#VALUE!"/>
    <n v="40"/>
    <n v="0"/>
    <n v="0"/>
    <m/>
    <s v="Y"/>
    <m/>
    <s v="31-60 DAYS"/>
    <n v="3"/>
    <x v="0"/>
  </r>
  <r>
    <n v="736"/>
    <s v="N"/>
    <s v="N"/>
    <n v="1297602"/>
    <n v="1"/>
    <d v="2012-01-29T00:00:00"/>
    <d v="2012-05-04T00:00:00"/>
    <n v="1297602"/>
    <d v="2012-01-30T00:00:00"/>
    <d v="2012-03-16T00:00:00"/>
    <n v="30000"/>
    <x v="2"/>
    <d v="2012-03-16T00:00:00"/>
    <s v="Y"/>
    <s v="SURETYPTRc"/>
    <s v="DISMISSED"/>
    <n v="47"/>
    <n v="97"/>
    <n v="1"/>
    <n v="2"/>
    <m/>
    <n v="1"/>
    <m/>
    <m/>
    <m/>
    <m/>
    <m/>
    <m/>
    <m/>
    <d v="1955-09-29T00:00:00"/>
    <s v="M"/>
    <s v="B"/>
    <s v="BLACK"/>
    <s v="NON-HISPANIC"/>
    <s v="230"/>
    <s v="DISMISSED"/>
    <n v="7"/>
    <s v="DISMISSED"/>
    <m/>
    <m/>
    <m/>
    <s v="BURG W-INTENT-COMMIT OTHER FEL"/>
    <m/>
    <s v="F1"/>
    <s v="BURGLARY"/>
    <m/>
    <m/>
    <m/>
    <m/>
    <m/>
    <m/>
    <m/>
    <m/>
    <m/>
    <s v="Hired Attorney"/>
    <m/>
    <m/>
    <n v="47"/>
    <n v="96"/>
    <n v="97"/>
    <n v="56.21857923497268"/>
    <n v="0"/>
    <n v="-49"/>
    <s v="NO CONVICTION"/>
    <x v="1"/>
    <s v="Y"/>
    <m/>
    <s v="NO CONVICTION"/>
    <s v="Y"/>
    <x v="1"/>
    <x v="0"/>
    <s v="Y"/>
    <n v="0.4845360824742268"/>
    <n v="0.48958333333333331"/>
    <n v="5.0472508591065113E-3"/>
    <n v="0"/>
    <n v="-47"/>
    <n v="0"/>
    <n v="47"/>
    <e v="#VALUE!"/>
    <n v="47"/>
    <n v="0"/>
    <n v="49"/>
    <m/>
    <s v="Y"/>
    <m/>
    <s v="31-60 DAYS"/>
    <n v="3"/>
    <x v="0"/>
  </r>
  <r>
    <n v="933"/>
    <s v="N"/>
    <s v="N"/>
    <n v="1297921"/>
    <n v="6"/>
    <d v="2012-02-04T00:00:00"/>
    <d v="2012-02-06T00:00:00"/>
    <n v="1297921"/>
    <d v="2012-02-04T00:00:00"/>
    <d v="2012-02-06T00:00:00"/>
    <n v="25000"/>
    <x v="2"/>
    <m/>
    <s v="N"/>
    <s v="NONE"/>
    <s v="GUILTY PLEA - NO JURY"/>
    <n v="3"/>
    <n v="3"/>
    <n v="3"/>
    <n v="8"/>
    <n v="3"/>
    <m/>
    <m/>
    <m/>
    <m/>
    <m/>
    <m/>
    <m/>
    <m/>
    <d v="1974-11-12T00:00:00"/>
    <s v="M"/>
    <s v="B"/>
    <s v="BLACK"/>
    <s v="NULL"/>
    <s v="182"/>
    <s v="CONVICTED"/>
    <n v="1"/>
    <s v="TDC"/>
    <n v="2"/>
    <m/>
    <m/>
    <s v="FELON POSS WPN"/>
    <m/>
    <s v="F3"/>
    <s v="OTHER FEL"/>
    <m/>
    <m/>
    <m/>
    <m/>
    <m/>
    <m/>
    <m/>
    <m/>
    <m/>
    <s v="Appointed Attorney"/>
    <m/>
    <m/>
    <n v="3"/>
    <n v="3"/>
    <n v="3"/>
    <n v="37.153005464480877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894"/>
    <s v="N"/>
    <s v="N"/>
    <n v="1301396"/>
    <n v="6"/>
    <d v="2012-04-17T00:00:00"/>
    <d v="2012-12-17T00:00:00"/>
    <n v="1301396"/>
    <s v="NOT BOOKED"/>
    <s v="NOT BOOKED"/>
    <n v="10000"/>
    <x v="3"/>
    <d v="2012-05-16T00:00:00"/>
    <s v="Y"/>
    <s v="SURETY"/>
    <s v="GUILTY PLEA - NO JURY"/>
    <n v="0"/>
    <n v="245"/>
    <n v="6"/>
    <n v="9"/>
    <n v="3"/>
    <m/>
    <m/>
    <m/>
    <m/>
    <m/>
    <m/>
    <m/>
    <m/>
    <d v="1965-03-29T00:00:00"/>
    <s v="M"/>
    <s v="W"/>
    <s v="WHITE"/>
    <s v="NON-HISPANIC"/>
    <s v="208"/>
    <s v="CONVICTED"/>
    <n v="9"/>
    <s v="TDC"/>
    <n v="12"/>
    <m/>
    <m/>
    <s v="DWI 3RD OFFENDER BAC .08"/>
    <m/>
    <s v="F3"/>
    <s v="FEL DWI"/>
    <s v="rearreste on bondfel dwi filed 9/29/12 disposed same date sent 12 yr tdc"/>
    <m/>
    <m/>
    <m/>
    <m/>
    <m/>
    <m/>
    <m/>
    <m/>
    <s v="Hired Attorney"/>
    <m/>
    <m/>
    <n v="0"/>
    <n v="0"/>
    <n v="245"/>
    <n v="46.956284153005463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996"/>
    <s v="N"/>
    <s v="N"/>
    <n v="1302165"/>
    <n v="1"/>
    <d v="2012-04-20T00:00:00"/>
    <d v="2013-01-07T00:00:00"/>
    <n v="1302165"/>
    <s v="NOT BOOKED"/>
    <s v="NOT BOOKED"/>
    <n v="2000"/>
    <x v="5"/>
    <d v="2012-04-26T00:00:00"/>
    <s v="Y"/>
    <s v="SURETY"/>
    <s v="DISMISSED"/>
    <n v="0"/>
    <n v="263"/>
    <n v="0"/>
    <n v="3"/>
    <m/>
    <m/>
    <m/>
    <m/>
    <m/>
    <m/>
    <m/>
    <m/>
    <m/>
    <d v="1966-01-29T00:00:00"/>
    <s v="M"/>
    <s v="H"/>
    <s v="HISPANIC"/>
    <s v="HISPANIC"/>
    <s v="182"/>
    <s v="DISMISSED"/>
    <n v="9"/>
    <s v="DISMISSED"/>
    <m/>
    <m/>
    <m/>
    <s v="THEFT $1500-20K"/>
    <m/>
    <s v="FS"/>
    <s v="THEFT"/>
    <m/>
    <m/>
    <m/>
    <m/>
    <m/>
    <m/>
    <m/>
    <m/>
    <m/>
    <s v="Hired Attorney"/>
    <m/>
    <m/>
    <n v="0"/>
    <n v="0"/>
    <n v="263"/>
    <n v="46.12841530054645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837"/>
    <s v="N"/>
    <s v="N"/>
    <n v="1302584"/>
    <n v="2"/>
    <d v="2012-04-14T00:00:00"/>
    <d v="2012-09-17T00:00:00"/>
    <n v="1302584"/>
    <d v="2012-04-14T00:00:00"/>
    <d v="2012-09-17T00:00:00"/>
    <n v="30000"/>
    <x v="2"/>
    <m/>
    <s v="N"/>
    <s v="NONE"/>
    <s v="DEFERRED ADJUDICATION "/>
    <n v="157"/>
    <n v="157"/>
    <n v="2"/>
    <n v="2"/>
    <m/>
    <m/>
    <m/>
    <m/>
    <m/>
    <m/>
    <m/>
    <m/>
    <m/>
    <d v="1956-08-17T00:00:00"/>
    <s v="F"/>
    <s v="B"/>
    <s v="BLACK"/>
    <s v="NULL"/>
    <s v="338"/>
    <s v="DEFERRED"/>
    <n v="9"/>
    <s v="DEFERRED"/>
    <m/>
    <m/>
    <m/>
    <s v="AGG ASSAULT-FAMILY MEMBER"/>
    <m/>
    <s v="F2"/>
    <s v="ASLT-MURDR"/>
    <m/>
    <m/>
    <m/>
    <m/>
    <m/>
    <m/>
    <m/>
    <m/>
    <m/>
    <s v="Appointed Attorney"/>
    <m/>
    <m/>
    <n v="157"/>
    <n v="157"/>
    <n v="157"/>
    <n v="55.543715846994537"/>
    <n v="0"/>
    <n v="0"/>
    <s v="DEFERRED"/>
    <x v="0"/>
    <s v="N"/>
    <m/>
    <s v="DEFERRED"/>
    <s v="Y"/>
    <x v="0"/>
    <x v="0"/>
    <s v="Y"/>
    <n v="1"/>
    <n v="1"/>
    <n v="0"/>
    <n v="0"/>
    <n v="-157"/>
    <n v="0"/>
    <n v="157"/>
    <e v="#VALUE!"/>
    <n v="157"/>
    <n v="0"/>
    <n v="0"/>
    <m/>
    <s v="Y"/>
    <m/>
    <s v="121-365 DAYS"/>
    <n v="6"/>
    <x v="0"/>
  </r>
  <r>
    <n v="3148"/>
    <s v="N"/>
    <s v="N"/>
    <n v="1302709"/>
    <n v="5"/>
    <d v="2012-04-26T00:00:00"/>
    <d v="2012-04-27T00:00:00"/>
    <n v="1302709"/>
    <d v="2012-04-26T00:00:00"/>
    <d v="2012-04-27T00:00:00"/>
    <n v="15000"/>
    <x v="0"/>
    <m/>
    <s v="N"/>
    <s v="NONE"/>
    <s v="GUILTY PLEA - NO JURY"/>
    <n v="2"/>
    <n v="2"/>
    <n v="5"/>
    <n v="9"/>
    <n v="2"/>
    <m/>
    <m/>
    <m/>
    <m/>
    <m/>
    <m/>
    <m/>
    <m/>
    <d v="1975-08-18T00:00:00"/>
    <s v="M"/>
    <s v="B"/>
    <s v="BLACK"/>
    <s v="NON-HISPANIC"/>
    <s v="228"/>
    <s v="CONVICTED"/>
    <n v="1"/>
    <s v="STJ"/>
    <m/>
    <n v="6"/>
    <m/>
    <s v="MAN/DEL CS PG I &lt;1GRAM"/>
    <m/>
    <s v="FS"/>
    <s v="SALE DRUG"/>
    <m/>
    <m/>
    <m/>
    <m/>
    <m/>
    <m/>
    <m/>
    <m/>
    <m/>
    <s v="Appointed Attorney"/>
    <m/>
    <m/>
    <n v="2"/>
    <n v="2"/>
    <n v="2"/>
    <n v="36.614754098360656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2438"/>
    <s v="N"/>
    <s v="N"/>
    <n v="1303202"/>
    <n v="5"/>
    <d v="2012-04-01T00:00:00"/>
    <d v="2012-04-03T00:00:00"/>
    <n v="1303202"/>
    <d v="2012-04-01T00:00:00"/>
    <d v="2012-04-03T00:00:00"/>
    <n v="15000"/>
    <x v="0"/>
    <m/>
    <s v="N"/>
    <s v="NONE"/>
    <s v="GUILTY PLEA - NO JURY"/>
    <n v="3"/>
    <n v="3"/>
    <n v="2"/>
    <n v="0"/>
    <n v="1"/>
    <m/>
    <m/>
    <m/>
    <m/>
    <m/>
    <m/>
    <m/>
    <m/>
    <d v="1972-04-15T00:00:00"/>
    <s v="M"/>
    <s v="W"/>
    <s v="WHITE"/>
    <s v="NON-HISPANIC"/>
    <s v="178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39.879781420765028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422"/>
    <s v="N"/>
    <s v="N"/>
    <n v="1303511"/>
    <n v="2"/>
    <d v="2012-01-18T00:00:00"/>
    <d v="2013-04-03T00:00:00"/>
    <n v="1303511"/>
    <d v="2012-07-02T00:00:00"/>
    <d v="2012-07-03T00:00:00"/>
    <n v="2000"/>
    <x v="5"/>
    <d v="2012-07-03T00:00:00"/>
    <s v="Y"/>
    <s v="SURETY"/>
    <s v="DEFERRED ADJUDICATION "/>
    <n v="2"/>
    <n v="442"/>
    <n v="0"/>
    <n v="0"/>
    <m/>
    <m/>
    <m/>
    <m/>
    <m/>
    <m/>
    <m/>
    <m/>
    <m/>
    <d v="1972-02-15T00:00:00"/>
    <s v="F"/>
    <s v="B"/>
    <s v="BLACK"/>
    <s v="NULL"/>
    <s v="248"/>
    <s v="DEFERRED"/>
    <n v="14"/>
    <s v="DEFERRED"/>
    <m/>
    <m/>
    <m/>
    <s v="CREDIT/DEBIT CARD ABUSE"/>
    <m/>
    <s v="FS"/>
    <s v="OTHER FEL"/>
    <m/>
    <m/>
    <m/>
    <m/>
    <m/>
    <m/>
    <m/>
    <m/>
    <m/>
    <s v="Hired Attorney"/>
    <m/>
    <m/>
    <n v="2"/>
    <n v="276"/>
    <n v="442"/>
    <n v="39.841530054644807"/>
    <n v="0"/>
    <n v="-274"/>
    <s v="DEFERRED"/>
    <x v="1"/>
    <s v="Y"/>
    <m/>
    <s v="DEFERRED"/>
    <s v="Y"/>
    <x v="1"/>
    <x v="0"/>
    <s v="N"/>
    <n v="4.5248868778280547E-3"/>
    <n v="7.246376811594203E-3"/>
    <n v="2.7214899337661483E-3"/>
    <n v="0"/>
    <n v="-2"/>
    <n v="0"/>
    <n v="2"/>
    <e v="#VALUE!"/>
    <n v="2"/>
    <n v="0"/>
    <n v="274"/>
    <m/>
    <s v="N"/>
    <m/>
    <s v="0-10 DAYS"/>
    <n v="1"/>
    <x v="0"/>
  </r>
  <r>
    <n v="3182"/>
    <s v="N"/>
    <s v="N"/>
    <n v="1304146"/>
    <n v="5"/>
    <d v="2012-04-27T00:00:00"/>
    <d v="2012-04-30T00:00:00"/>
    <n v="1304146"/>
    <d v="2012-04-27T00:00:00"/>
    <d v="2012-04-30T00:00:00"/>
    <n v="15000"/>
    <x v="0"/>
    <m/>
    <s v="N"/>
    <s v="NONE"/>
    <s v="GUILTY PLEA - NO JURY"/>
    <n v="4"/>
    <n v="4"/>
    <n v="4"/>
    <n v="5"/>
    <n v="2"/>
    <m/>
    <m/>
    <m/>
    <m/>
    <m/>
    <m/>
    <m/>
    <m/>
    <d v="1974-07-06T00:00:00"/>
    <s v="F"/>
    <s v="H"/>
    <s v="HISPANIC"/>
    <s v="HISPANIC"/>
    <s v="184"/>
    <s v="CONVICTED"/>
    <n v="1"/>
    <s v="STJ"/>
    <m/>
    <n v="6"/>
    <m/>
    <s v="POSS CS PG 1 &lt;1G"/>
    <m/>
    <s v="FS"/>
    <s v="POSS DRUG"/>
    <m/>
    <m/>
    <m/>
    <m/>
    <m/>
    <m/>
    <m/>
    <m/>
    <m/>
    <s v="Public Defender"/>
    <m/>
    <m/>
    <n v="4"/>
    <n v="4"/>
    <n v="4"/>
    <n v="37.732240437158467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1118"/>
    <s v="N"/>
    <s v="N"/>
    <n v="1305772"/>
    <n v="1"/>
    <d v="2012-02-10T00:00:00"/>
    <d v="2012-06-01T00:00:00"/>
    <n v="1305772"/>
    <s v="NOT BOOKED"/>
    <s v="NOT BOOKED"/>
    <n v="5000"/>
    <x v="4"/>
    <d v="2012-02-11T00:00:00"/>
    <s v="Y"/>
    <s v="SURETYPTRc"/>
    <s v="DISMISSED"/>
    <n v="0"/>
    <n v="113"/>
    <n v="1"/>
    <n v="0"/>
    <m/>
    <n v="1"/>
    <m/>
    <m/>
    <m/>
    <m/>
    <m/>
    <m/>
    <m/>
    <d v="1960-04-02T00:00:00"/>
    <s v="F"/>
    <s v="B"/>
    <s v="BLACK"/>
    <s v="NULL"/>
    <s v="248"/>
    <s v="DISMISSED"/>
    <n v="5"/>
    <s v="DISMISS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113"/>
    <n v="51.751366120218577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448"/>
    <s v="N"/>
    <s v="N"/>
    <n v="1307124"/>
    <n v="5"/>
    <d v="2012-01-19T00:00:00"/>
    <d v="2012-03-15T00:00:00"/>
    <n v="1307124"/>
    <d v="2012-01-19T00:00:00"/>
    <d v="2012-03-15T00:00:00"/>
    <n v="10000"/>
    <x v="3"/>
    <m/>
    <s v="N"/>
    <s v="NONE"/>
    <s v="GUILTY PLEA - NO JURY"/>
    <n v="57"/>
    <n v="57"/>
    <n v="2"/>
    <n v="0"/>
    <n v="1"/>
    <m/>
    <m/>
    <m/>
    <m/>
    <m/>
    <m/>
    <m/>
    <m/>
    <d v="1965-08-03T00:00:00"/>
    <s v="F"/>
    <s v="B"/>
    <s v="BLACK"/>
    <s v="NULL"/>
    <s v="176"/>
    <s v="CONVICTED"/>
    <n v="4"/>
    <s v="STJ"/>
    <m/>
    <n v="8"/>
    <m/>
    <s v="THEFT FROM PERSON"/>
    <m/>
    <s v="FS"/>
    <s v="THEFT"/>
    <m/>
    <m/>
    <m/>
    <m/>
    <m/>
    <m/>
    <m/>
    <m/>
    <m/>
    <s v="Appointed Attorney"/>
    <m/>
    <m/>
    <n v="57"/>
    <n v="57"/>
    <n v="57"/>
    <n v="46.366120218579233"/>
    <n v="0"/>
    <n v="0"/>
    <s v="CONVICTION"/>
    <x v="0"/>
    <s v="N"/>
    <m/>
    <s v="CONVICTION"/>
    <s v="Y"/>
    <x v="0"/>
    <x v="0"/>
    <s v="Y"/>
    <n v="1"/>
    <n v="1"/>
    <n v="0"/>
    <n v="0"/>
    <n v="-57"/>
    <n v="0"/>
    <n v="57"/>
    <e v="#VALUE!"/>
    <n v="57"/>
    <n v="0"/>
    <n v="0"/>
    <m/>
    <s v="Y"/>
    <m/>
    <s v="31-60 DAYS"/>
    <n v="3"/>
    <x v="0"/>
  </r>
  <r>
    <n v="318"/>
    <s v="N"/>
    <s v="N"/>
    <n v="1307816"/>
    <n v="5"/>
    <d v="2011-12-20T00:00:00"/>
    <d v="2012-05-09T00:00:00"/>
    <n v="1307816"/>
    <d v="2012-02-08T00:00:00"/>
    <d v="2012-05-09T00:00:00"/>
    <n v="5000"/>
    <x v="4"/>
    <m/>
    <s v="N"/>
    <s v="NONE"/>
    <s v="GUILTY PLEA - NO JURY"/>
    <n v="92"/>
    <n v="142"/>
    <n v="1"/>
    <n v="5"/>
    <n v="1"/>
    <m/>
    <m/>
    <m/>
    <m/>
    <m/>
    <m/>
    <m/>
    <m/>
    <d v="1974-02-14T00:00:00"/>
    <s v="M"/>
    <s v="W"/>
    <s v="WHITE"/>
    <s v="NON-HISPANIC"/>
    <s v="338"/>
    <s v="CONVICTED"/>
    <n v="6"/>
    <s v="STJ"/>
    <m/>
    <n v="12"/>
    <m/>
    <s v="THEFT $1500-20K"/>
    <m/>
    <s v="FS"/>
    <s v="THEFT"/>
    <m/>
    <m/>
    <m/>
    <m/>
    <m/>
    <m/>
    <m/>
    <m/>
    <m/>
    <s v="Appointed Attorney"/>
    <m/>
    <m/>
    <n v="92"/>
    <n v="92"/>
    <n v="142"/>
    <n v="37.767759562841533"/>
    <n v="0"/>
    <n v="0"/>
    <s v="CONVICTION"/>
    <x v="0"/>
    <s v="N"/>
    <m/>
    <s v="CONVICTION"/>
    <s v="Y"/>
    <x v="0"/>
    <x v="0"/>
    <s v="Y"/>
    <n v="0.647887323943662"/>
    <n v="1"/>
    <n v="0.352112676056338"/>
    <n v="0"/>
    <n v="-92"/>
    <n v="0"/>
    <n v="92"/>
    <e v="#VALUE!"/>
    <n v="92"/>
    <n v="0"/>
    <n v="0"/>
    <m/>
    <s v="Y"/>
    <m/>
    <s v="91-120 DAYS"/>
    <n v="0"/>
    <x v="0"/>
  </r>
  <r>
    <n v="1945"/>
    <s v="N"/>
    <s v="N"/>
    <n v="1312361"/>
    <n v="2"/>
    <d v="2012-03-13T00:00:00"/>
    <d v="2012-07-23T00:00:00"/>
    <n v="1312361"/>
    <d v="2012-03-14T00:00:00"/>
    <d v="2012-03-15T00:00:00"/>
    <n v="5000"/>
    <x v="4"/>
    <d v="2012-03-15T00:00:00"/>
    <s v="Y"/>
    <s v="SURETY"/>
    <s v="DEFERRED ADJUDICATION "/>
    <n v="2"/>
    <n v="133"/>
    <n v="0"/>
    <n v="2"/>
    <m/>
    <m/>
    <m/>
    <m/>
    <m/>
    <m/>
    <m/>
    <m/>
    <m/>
    <d v="1960-03-19T00:00:00"/>
    <s v="M"/>
    <s v="H"/>
    <s v="HISPANIC"/>
    <s v="HISPANIC"/>
    <s v="176"/>
    <s v="DEFERRED"/>
    <n v="6"/>
    <s v="DEFERRED"/>
    <m/>
    <m/>
    <m/>
    <s v="POSS MARIJ  4 OZ. - 5 LBS."/>
    <m/>
    <s v="FS"/>
    <s v="POSS DRUG"/>
    <m/>
    <m/>
    <m/>
    <m/>
    <m/>
    <m/>
    <m/>
    <m/>
    <m/>
    <s v="Hired Attorney"/>
    <m/>
    <m/>
    <n v="2"/>
    <n v="132"/>
    <n v="133"/>
    <n v="51.877049180327866"/>
    <n v="0"/>
    <n v="-130"/>
    <s v="DEFERRED"/>
    <x v="1"/>
    <s v="Y"/>
    <m/>
    <s v="DEFERRED"/>
    <s v="Y"/>
    <x v="1"/>
    <x v="0"/>
    <s v="N"/>
    <n v="1.5037593984962405E-2"/>
    <n v="1.5151515151515152E-2"/>
    <n v="1.1392116655274676E-4"/>
    <n v="0"/>
    <n v="-2"/>
    <n v="0"/>
    <n v="2"/>
    <e v="#VALUE!"/>
    <n v="2"/>
    <n v="0"/>
    <n v="130"/>
    <m/>
    <s v="Y"/>
    <m/>
    <s v="0-10 DAYS"/>
    <n v="1"/>
    <x v="0"/>
  </r>
  <r>
    <n v="1454"/>
    <s v="N"/>
    <s v="N"/>
    <n v="1317795"/>
    <n v="5"/>
    <d v="2012-02-23T00:00:00"/>
    <d v="2012-06-20T00:00:00"/>
    <n v="1317795"/>
    <d v="2012-02-23T00:00:00"/>
    <d v="2012-06-20T00:00:00"/>
    <n v="15000"/>
    <x v="0"/>
    <m/>
    <s v="N"/>
    <s v="NONE"/>
    <s v="GUILTY PLEA - NO JURY"/>
    <n v="119"/>
    <n v="119"/>
    <n v="7"/>
    <n v="5"/>
    <n v="4"/>
    <m/>
    <m/>
    <m/>
    <m/>
    <m/>
    <m/>
    <m/>
    <m/>
    <d v="1958-10-25T00:00:00"/>
    <s v="M"/>
    <s v="B"/>
    <s v="BLACK"/>
    <s v="NON-HISPANIC"/>
    <s v="208"/>
    <s v="CONVICTED"/>
    <n v="6"/>
    <s v="STJ"/>
    <m/>
    <n v="6"/>
    <m/>
    <s v="THEFT $1500-20K"/>
    <m/>
    <s v="FS"/>
    <s v="THEFT"/>
    <m/>
    <m/>
    <m/>
    <m/>
    <m/>
    <m/>
    <m/>
    <m/>
    <m/>
    <s v="Appointed Attorney"/>
    <m/>
    <m/>
    <n v="119"/>
    <n v="119"/>
    <n v="119"/>
    <n v="53.221311475409834"/>
    <n v="0"/>
    <n v="0"/>
    <s v="CONVICTION"/>
    <x v="0"/>
    <s v="N"/>
    <m/>
    <s v="CONVICTION"/>
    <s v="Y"/>
    <x v="0"/>
    <x v="0"/>
    <s v="Y"/>
    <n v="1"/>
    <n v="1"/>
    <n v="0"/>
    <n v="0"/>
    <n v="-119"/>
    <n v="0"/>
    <n v="119"/>
    <e v="#VALUE!"/>
    <n v="119"/>
    <n v="0"/>
    <n v="0"/>
    <m/>
    <s v="Y"/>
    <m/>
    <s v="91-120 DAYS"/>
    <n v="0"/>
    <x v="0"/>
  </r>
  <r>
    <n v="710"/>
    <s v="N"/>
    <s v="N"/>
    <n v="1319522"/>
    <n v="2"/>
    <d v="2012-01-28T00:00:00"/>
    <d v="2013-04-30T00:00:00"/>
    <n v="1319522"/>
    <d v="2012-01-29T00:00:00"/>
    <d v="2013-04-30T00:00:00"/>
    <n v="30000"/>
    <x v="2"/>
    <m/>
    <s v="N"/>
    <s v="NONE"/>
    <s v="DEFERRED ADJUDICATION "/>
    <n v="458"/>
    <n v="459"/>
    <n v="2"/>
    <n v="2"/>
    <n v="1"/>
    <m/>
    <m/>
    <m/>
    <m/>
    <m/>
    <m/>
    <m/>
    <m/>
    <d v="1975-02-08T00:00:00"/>
    <s v="M"/>
    <s v="W"/>
    <s v="WHITE"/>
    <s v="NULL"/>
    <s v="182"/>
    <s v="DEFERRED"/>
    <n v="19"/>
    <s v="DEFERRED"/>
    <m/>
    <m/>
    <m/>
    <s v="AGG ASSAULT BY PB SERVANT"/>
    <m/>
    <s v="F1"/>
    <s v="ASLT-MURDR"/>
    <m/>
    <m/>
    <m/>
    <m/>
    <m/>
    <m/>
    <m/>
    <m/>
    <m/>
    <s v="Hired Attorney"/>
    <m/>
    <m/>
    <n v="458"/>
    <n v="458"/>
    <n v="459"/>
    <n v="36.893442622950822"/>
    <n v="0"/>
    <n v="0"/>
    <s v="DEFERRED"/>
    <x v="0"/>
    <s v="N"/>
    <m/>
    <s v="DEFERRED"/>
    <s v="Y"/>
    <x v="0"/>
    <x v="0"/>
    <s v="Y"/>
    <n v="0.9978213507625272"/>
    <n v="1"/>
    <n v="2.1786492374727962E-3"/>
    <n v="0"/>
    <n v="-458"/>
    <n v="0"/>
    <n v="458"/>
    <e v="#VALUE!"/>
    <n v="458"/>
    <n v="0"/>
    <n v="0"/>
    <m/>
    <s v="Y"/>
    <m/>
    <s v=" &gt;1YRS&lt;2YRS"/>
    <n v="0"/>
    <x v="0"/>
  </r>
  <r>
    <n v="3146"/>
    <s v="N"/>
    <s v="N"/>
    <n v="1320875"/>
    <n v="5"/>
    <d v="2012-04-26T00:00:00"/>
    <d v="2012-04-27T00:00:00"/>
    <n v="1320875"/>
    <d v="2012-04-26T00:00:00"/>
    <d v="2012-04-27T00:00:00"/>
    <n v="5000"/>
    <x v="4"/>
    <m/>
    <s v="N"/>
    <s v="NONE"/>
    <s v="GUILTY PLEA - NO JURY"/>
    <n v="2"/>
    <n v="2"/>
    <n v="1"/>
    <n v="5"/>
    <n v="1"/>
    <m/>
    <m/>
    <m/>
    <m/>
    <m/>
    <m/>
    <m/>
    <m/>
    <d v="1972-10-07T00:00:00"/>
    <s v="M"/>
    <s v="B"/>
    <s v="BLACK"/>
    <s v="NON-HISPANIC"/>
    <s v="183"/>
    <s v="CONVICTED"/>
    <n v="1"/>
    <s v="STJ"/>
    <m/>
    <n v="6"/>
    <m/>
    <s v="MAN/DEL CS PG I &lt;1GRAM"/>
    <m/>
    <s v="FS"/>
    <s v="SALE DRUG"/>
    <m/>
    <m/>
    <m/>
    <m/>
    <m/>
    <m/>
    <m/>
    <m/>
    <m/>
    <s v="Appointed Attorney"/>
    <m/>
    <m/>
    <n v="2"/>
    <n v="2"/>
    <n v="2"/>
    <n v="39.469945355191257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2345"/>
    <s v="N"/>
    <s v="N"/>
    <n v="1321649"/>
    <n v="4"/>
    <d v="2012-03-29T00:00:00"/>
    <d v="2012-04-02T00:00:00"/>
    <n v="1321649"/>
    <d v="2012-03-30T00:00:00"/>
    <d v="2012-04-02T00:00:00"/>
    <n v="5000"/>
    <x v="4"/>
    <m/>
    <s v="N"/>
    <s v="NONE"/>
    <s v="GUILTY PLEA - NO JURY"/>
    <n v="4"/>
    <n v="5"/>
    <n v="9"/>
    <n v="6"/>
    <n v="6"/>
    <m/>
    <m/>
    <m/>
    <m/>
    <m/>
    <m/>
    <m/>
    <m/>
    <d v="1975-12-27T00:00:00"/>
    <s v="M"/>
    <s v="B"/>
    <s v="BLACK"/>
    <s v="NON-HISPANIC"/>
    <s v="230"/>
    <s v="CONVICTED"/>
    <n v="1"/>
    <s v="HCJ"/>
    <m/>
    <m/>
    <n v="180"/>
    <s v="SELL/POSS UNLAB/RCRD&lt;65 RCRD"/>
    <m/>
    <s v="F"/>
    <s v="POSS DRUG"/>
    <m/>
    <m/>
    <m/>
    <m/>
    <m/>
    <m/>
    <m/>
    <m/>
    <m/>
    <s v="Appointed Attorney"/>
    <m/>
    <m/>
    <n v="4"/>
    <n v="4"/>
    <n v="5"/>
    <n v="36.180327868852459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3110"/>
    <s v="N"/>
    <s v="N"/>
    <n v="1322370"/>
    <n v="1"/>
    <d v="2012-04-25T00:00:00"/>
    <d v="2012-05-10T00:00:00"/>
    <n v="1322370"/>
    <d v="2012-04-25T00:00:00"/>
    <d v="2012-05-10T00:00:00"/>
    <n v="10000"/>
    <x v="3"/>
    <m/>
    <s v="N"/>
    <s v="NONE"/>
    <s v="DISMISSED"/>
    <n v="16"/>
    <n v="16"/>
    <n v="4"/>
    <n v="4"/>
    <n v="2"/>
    <m/>
    <m/>
    <m/>
    <m/>
    <m/>
    <m/>
    <m/>
    <m/>
    <d v="1974-09-01T00:00:00"/>
    <s v="M"/>
    <s v="H"/>
    <s v="HISPANIC"/>
    <s v="HISPANIC"/>
    <s v="180"/>
    <s v="DISMISSED"/>
    <n v="2"/>
    <s v="DISMISSED"/>
    <m/>
    <m/>
    <m/>
    <s v="POSS CS PG 1  1 - 4 GRAMS"/>
    <m/>
    <s v="F3"/>
    <s v="POSS DRUG"/>
    <m/>
    <m/>
    <m/>
    <m/>
    <m/>
    <m/>
    <m/>
    <m/>
    <m/>
    <s v="Appointed Attorney"/>
    <m/>
    <m/>
    <n v="16"/>
    <n v="16"/>
    <n v="16"/>
    <n v="37.571038251366119"/>
    <n v="0"/>
    <n v="0"/>
    <s v="NO CONVICTION"/>
    <x v="0"/>
    <s v="N"/>
    <m/>
    <s v="NO CONVICTION"/>
    <s v="Y"/>
    <x v="0"/>
    <x v="0"/>
    <s v="Y"/>
    <n v="1"/>
    <n v="1"/>
    <n v="0"/>
    <n v="0"/>
    <n v="-16"/>
    <n v="0"/>
    <n v="16"/>
    <e v="#VALUE!"/>
    <n v="16"/>
    <n v="0"/>
    <n v="0"/>
    <m/>
    <s v="Y"/>
    <m/>
    <s v="11-30 DAYS"/>
    <n v="2"/>
    <x v="0"/>
  </r>
  <r>
    <n v="1370"/>
    <s v="N"/>
    <s v="N"/>
    <n v="1323320"/>
    <n v="5"/>
    <d v="2012-02-20T00:00:00"/>
    <d v="2012-02-22T00:00:00"/>
    <n v="1323320"/>
    <d v="2012-02-20T00:00:00"/>
    <d v="2012-02-22T00:00:00"/>
    <n v="15000"/>
    <x v="0"/>
    <m/>
    <s v="N"/>
    <s v="NONE"/>
    <s v="GUILTY PLEA - NO JURY"/>
    <n v="3"/>
    <n v="3"/>
    <n v="8"/>
    <n v="9"/>
    <n v="5"/>
    <m/>
    <m/>
    <m/>
    <m/>
    <m/>
    <m/>
    <m/>
    <m/>
    <d v="1975-02-14T00:00:00"/>
    <s v="M"/>
    <s v="B"/>
    <s v="BLACK"/>
    <s v="NON-HISPANIC"/>
    <s v="177"/>
    <s v="CONVICTED"/>
    <n v="2"/>
    <s v="STJ"/>
    <m/>
    <n v="7"/>
    <m/>
    <s v="THEFT $1500-20K"/>
    <m/>
    <s v="FS"/>
    <s v="THEFT"/>
    <m/>
    <m/>
    <m/>
    <m/>
    <m/>
    <m/>
    <m/>
    <m/>
    <m/>
    <s v="Appointed Attorney"/>
    <m/>
    <m/>
    <n v="3"/>
    <n v="3"/>
    <n v="3"/>
    <n v="36.939890710382514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418"/>
    <s v="N"/>
    <s v="N"/>
    <n v="1323564"/>
    <n v="1"/>
    <d v="2012-02-22T00:00:00"/>
    <d v="2012-08-21T00:00:00"/>
    <n v="1323564"/>
    <d v="2012-02-22T00:00:00"/>
    <d v="2012-02-25T00:00:00"/>
    <n v="2000"/>
    <x v="5"/>
    <d v="2012-02-25T00:00:00"/>
    <s v="Y"/>
    <s v="SURETY"/>
    <s v="DISMISSED"/>
    <n v="4"/>
    <n v="182"/>
    <n v="0"/>
    <n v="1"/>
    <m/>
    <m/>
    <m/>
    <m/>
    <m/>
    <m/>
    <m/>
    <m/>
    <m/>
    <d v="1974-10-18T00:00:00"/>
    <s v="F"/>
    <s v="W"/>
    <s v="WHITE"/>
    <s v="NULL"/>
    <s v="185"/>
    <s v="DISMISSED"/>
    <n v="12"/>
    <s v="DISMISSED"/>
    <m/>
    <m/>
    <m/>
    <s v="FORGERY"/>
    <m/>
    <s v="FS"/>
    <s v="OTHER FEL"/>
    <m/>
    <m/>
    <m/>
    <m/>
    <m/>
    <m/>
    <m/>
    <m/>
    <m/>
    <s v="Appointed Attorney"/>
    <m/>
    <m/>
    <n v="4"/>
    <n v="182"/>
    <n v="182"/>
    <n v="37.270491803278688"/>
    <n v="0"/>
    <n v="-178"/>
    <s v="NO CONVICTION"/>
    <x v="1"/>
    <s v="Y"/>
    <m/>
    <s v="NO CONVICTION"/>
    <s v="Y"/>
    <x v="1"/>
    <x v="0"/>
    <s v="N"/>
    <n v="2.197802197802198E-2"/>
    <n v="2.197802197802198E-2"/>
    <n v="0"/>
    <n v="0"/>
    <n v="-4"/>
    <n v="0"/>
    <n v="4"/>
    <e v="#VALUE!"/>
    <n v="4"/>
    <n v="0"/>
    <n v="178"/>
    <m/>
    <s v="Y"/>
    <m/>
    <s v="0-10 DAYS"/>
    <n v="1"/>
    <x v="0"/>
  </r>
  <r>
    <n v="103"/>
    <s v="N"/>
    <s v="N"/>
    <n v="1325230"/>
    <n v="6"/>
    <d v="2012-01-06T00:00:00"/>
    <d v="2012-05-09T00:00:00"/>
    <n v="1325230"/>
    <d v="2012-01-06T00:00:00"/>
    <d v="2012-05-09T00:00:00"/>
    <s v="NO BOND"/>
    <x v="1"/>
    <m/>
    <s v="N"/>
    <s v="NONE"/>
    <s v="GUILTY PLEA - NO JURY"/>
    <n v="125"/>
    <n v="125"/>
    <n v="1"/>
    <n v="2"/>
    <m/>
    <m/>
    <m/>
    <m/>
    <m/>
    <m/>
    <m/>
    <m/>
    <m/>
    <d v="1975-12-04T00:00:00"/>
    <s v="M"/>
    <s v="B"/>
    <s v="BLACK"/>
    <s v="NON-HISPANIC"/>
    <s v="232"/>
    <s v="CONVICTED"/>
    <n v="5"/>
    <s v="TDC"/>
    <n v="8"/>
    <m/>
    <m/>
    <s v="POSS W/INT DEL CS PG1&gt;=4 &lt;200"/>
    <m/>
    <s v="F1"/>
    <s v="SALE DRUG"/>
    <m/>
    <m/>
    <m/>
    <m/>
    <m/>
    <m/>
    <m/>
    <m/>
    <m/>
    <s v="Hired Attorney"/>
    <m/>
    <m/>
    <n v="125"/>
    <n v="125"/>
    <n v="125"/>
    <n v="36.016393442622949"/>
    <n v="0"/>
    <n v="0"/>
    <s v="CONVICTION"/>
    <x v="0"/>
    <s v="N"/>
    <m/>
    <s v="CONVICTION"/>
    <s v="Y"/>
    <x v="0"/>
    <x v="0"/>
    <s v="Y"/>
    <n v="1"/>
    <n v="1"/>
    <n v="0"/>
    <n v="0"/>
    <n v="-125"/>
    <n v="0"/>
    <n v="125"/>
    <e v="#VALUE!"/>
    <n v="125"/>
    <n v="0"/>
    <n v="0"/>
    <m/>
    <s v="Y"/>
    <m/>
    <s v="121-365 DAYS"/>
    <n v="6"/>
    <x v="0"/>
  </r>
  <r>
    <n v="1285"/>
    <s v="N"/>
    <s v="N"/>
    <n v="1328343"/>
    <n v="6"/>
    <d v="2012-02-17T00:00:00"/>
    <d v="2013-03-01T00:00:00"/>
    <n v="1328343"/>
    <d v="2012-02-17T00:00:00"/>
    <d v="2012-08-29T00:00:00"/>
    <n v="20000"/>
    <x v="0"/>
    <d v="2012-08-29T00:00:00"/>
    <s v="Y"/>
    <s v="SURETY"/>
    <s v="GUILTY PLEA - NO JURY"/>
    <n v="195"/>
    <n v="379"/>
    <n v="1"/>
    <n v="0"/>
    <n v="1"/>
    <m/>
    <m/>
    <m/>
    <m/>
    <m/>
    <m/>
    <m/>
    <m/>
    <d v="1976-01-23T00:00:00"/>
    <s v="F"/>
    <s v="B"/>
    <s v="BLACK"/>
    <s v="NULL"/>
    <s v="182"/>
    <s v="CONVICTED"/>
    <n v="14"/>
    <s v="TDC"/>
    <n v="23"/>
    <m/>
    <m/>
    <s v="ROBBERY-THREATS"/>
    <m/>
    <s v="F2"/>
    <s v="ROBBERY"/>
    <m/>
    <m/>
    <m/>
    <m/>
    <m/>
    <m/>
    <m/>
    <m/>
    <m/>
    <s v="Appointed Attorney"/>
    <m/>
    <m/>
    <n v="195"/>
    <n v="379"/>
    <n v="379"/>
    <n v="35.994535519125684"/>
    <n v="0"/>
    <n v="-184"/>
    <s v="CONVICTION"/>
    <x v="1"/>
    <s v="Y"/>
    <m/>
    <s v="CONVICTION"/>
    <s v="Y"/>
    <x v="1"/>
    <x v="0"/>
    <s v="Y"/>
    <n v="0.51451187335092352"/>
    <n v="0.51451187335092352"/>
    <n v="0"/>
    <n v="0"/>
    <n v="-195"/>
    <n v="0"/>
    <n v="195"/>
    <e v="#VALUE!"/>
    <n v="195"/>
    <n v="0"/>
    <n v="184"/>
    <m/>
    <s v="Y"/>
    <m/>
    <s v="121-365 DAYS"/>
    <n v="6"/>
    <x v="0"/>
  </r>
  <r>
    <n v="2720"/>
    <s v="N"/>
    <s v="N"/>
    <n v="1328883"/>
    <n v="5"/>
    <d v="2012-04-11T00:00:00"/>
    <d v="2012-08-09T00:00:00"/>
    <n v="1328883"/>
    <d v="2012-04-11T00:00:00"/>
    <d v="2012-05-04T00:00:00"/>
    <n v="15000"/>
    <x v="0"/>
    <d v="2012-05-04T00:00:00"/>
    <s v="Y"/>
    <s v="SURETYPTRc"/>
    <s v="GUILTY PLEA - NO JURY"/>
    <n v="24"/>
    <n v="121"/>
    <n v="1"/>
    <n v="1"/>
    <n v="1"/>
    <m/>
    <m/>
    <m/>
    <m/>
    <m/>
    <m/>
    <m/>
    <m/>
    <d v="1975-10-09T00:00:00"/>
    <s v="M"/>
    <s v="B"/>
    <s v="BLACK"/>
    <s v="NULL"/>
    <s v="176"/>
    <s v="CONVICTED"/>
    <n v="5"/>
    <s v="STJ"/>
    <m/>
    <n v="6"/>
    <m/>
    <s v="POSS CS PG 1 &lt;1G"/>
    <m/>
    <s v="FS"/>
    <s v="POSS DRUG"/>
    <m/>
    <m/>
    <m/>
    <m/>
    <m/>
    <m/>
    <m/>
    <m/>
    <m/>
    <s v="Appointed Attorney"/>
    <m/>
    <m/>
    <n v="24"/>
    <n v="121"/>
    <n v="121"/>
    <n v="36.431693989071036"/>
    <n v="0"/>
    <n v="-97"/>
    <s v="CONVICTION"/>
    <x v="1"/>
    <s v="Y"/>
    <m/>
    <s v="CONVICTION"/>
    <s v="Y"/>
    <x v="1"/>
    <x v="0"/>
    <s v="Y"/>
    <n v="0.19834710743801653"/>
    <n v="0.19834710743801653"/>
    <n v="0"/>
    <n v="0"/>
    <n v="-24"/>
    <n v="0"/>
    <n v="24"/>
    <e v="#VALUE!"/>
    <n v="24"/>
    <n v="0"/>
    <n v="97"/>
    <m/>
    <s v="Y"/>
    <m/>
    <s v="11-30 DAYS"/>
    <n v="2"/>
    <x v="0"/>
  </r>
  <r>
    <n v="716"/>
    <s v="N"/>
    <s v="N"/>
    <n v="1330440"/>
    <n v="4"/>
    <d v="2012-01-28T00:00:00"/>
    <d v="2012-01-30T00:00:00"/>
    <n v="1330440"/>
    <d v="2012-01-29T00:00:00"/>
    <d v="2012-01-30T00:00:00"/>
    <n v="15000"/>
    <x v="0"/>
    <m/>
    <s v="N"/>
    <s v="NONE"/>
    <s v="GUILTY PLEA - NO JURY"/>
    <n v="2"/>
    <n v="3"/>
    <n v="2"/>
    <n v="8"/>
    <n v="2"/>
    <m/>
    <m/>
    <m/>
    <m/>
    <m/>
    <m/>
    <m/>
    <m/>
    <d v="1973-03-17T00:00:00"/>
    <s v="M"/>
    <s v="H"/>
    <s v="HISPANIC"/>
    <s v="HISPANIC"/>
    <s v="228"/>
    <s v="CONVICTED"/>
    <n v="1"/>
    <s v="HCJ"/>
    <m/>
    <m/>
    <n v="30"/>
    <s v="POSS CS PG 1 &lt;1G"/>
    <m/>
    <s v="FS"/>
    <s v="POSS DRUG"/>
    <m/>
    <m/>
    <m/>
    <m/>
    <m/>
    <m/>
    <m/>
    <m/>
    <m/>
    <s v="Appointed Attorney"/>
    <m/>
    <m/>
    <n v="2"/>
    <n v="2"/>
    <n v="3"/>
    <n v="38.786885245901637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1981"/>
    <s v="N"/>
    <s v="N"/>
    <n v="1333076"/>
    <n v="3"/>
    <d v="2012-03-15T00:00:00"/>
    <d v="2012-03-16T00:00:00"/>
    <n v="1333076"/>
    <d v="2012-03-15T00:00:00"/>
    <d v="2012-03-16T00:00:00"/>
    <n v="10000"/>
    <x v="3"/>
    <m/>
    <s v="N"/>
    <s v="NONE"/>
    <s v="GUILTY PLEA - NO JURY"/>
    <n v="2"/>
    <n v="2"/>
    <n v="0"/>
    <n v="2"/>
    <m/>
    <m/>
    <m/>
    <m/>
    <m/>
    <m/>
    <m/>
    <m/>
    <m/>
    <d v="1950-06-18T00:00:00"/>
    <s v="M"/>
    <s v="W"/>
    <s v="WHITE"/>
    <s v="NON-HISPANIC"/>
    <s v="182"/>
    <s v="CONVICTED"/>
    <n v="1"/>
    <s v="PROBATION"/>
    <m/>
    <m/>
    <m/>
    <s v="DWI 3RD OFFENDER BAC .08"/>
    <m/>
    <s v="F3"/>
    <s v="FEL DWI"/>
    <s v="4/20/12 prob  FASP  rev 7/30/12 tdc 2 yrs"/>
    <m/>
    <m/>
    <m/>
    <m/>
    <m/>
    <m/>
    <m/>
    <m/>
    <s v="Appointed Attorney"/>
    <m/>
    <m/>
    <n v="2"/>
    <n v="2"/>
    <n v="2"/>
    <n v="61.614754098360656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1876"/>
    <s v="N"/>
    <s v="N"/>
    <n v="1333523"/>
    <n v="6"/>
    <d v="2012-03-10T00:00:00"/>
    <d v="2012-10-26T00:00:00"/>
    <n v="1333523"/>
    <d v="2012-03-10T00:00:00"/>
    <d v="2012-03-12T00:00:00"/>
    <n v="20000"/>
    <x v="0"/>
    <d v="2012-03-12T00:00:00"/>
    <s v="Y"/>
    <s v="SURETY"/>
    <s v="GUILTY PLEA - NO JURY"/>
    <n v="3"/>
    <n v="231"/>
    <n v="1"/>
    <n v="2"/>
    <n v="1"/>
    <m/>
    <m/>
    <m/>
    <m/>
    <m/>
    <m/>
    <m/>
    <m/>
    <d v="1973-09-30T00:00:00"/>
    <s v="M"/>
    <s v="H"/>
    <s v="HISPANIC"/>
    <s v="HISPANIC"/>
    <s v="180"/>
    <s v="CONVICTED"/>
    <n v="8"/>
    <s v="TDC"/>
    <n v="2"/>
    <m/>
    <m/>
    <s v="DWI 3RD OFFENDER BAC .08"/>
    <m/>
    <s v="F3"/>
    <s v="FEL DWI"/>
    <m/>
    <m/>
    <m/>
    <m/>
    <m/>
    <m/>
    <m/>
    <m/>
    <m/>
    <s v="Hired Attorney"/>
    <m/>
    <m/>
    <n v="3"/>
    <n v="231"/>
    <n v="231"/>
    <n v="38.363387978142079"/>
    <n v="0"/>
    <n v="-228"/>
    <s v="CONVICTION"/>
    <x v="1"/>
    <s v="Y"/>
    <m/>
    <s v="CONVICTION"/>
    <s v="Y"/>
    <x v="1"/>
    <x v="0"/>
    <s v="Y"/>
    <n v="1.2987012987012988E-2"/>
    <n v="1.2987012987012988E-2"/>
    <n v="0"/>
    <n v="0"/>
    <n v="-3"/>
    <n v="0"/>
    <n v="3"/>
    <e v="#VALUE!"/>
    <n v="3"/>
    <n v="0"/>
    <n v="228"/>
    <m/>
    <s v="Y"/>
    <m/>
    <s v="0-10 DAYS"/>
    <n v="1"/>
    <x v="0"/>
  </r>
  <r>
    <n v="2161"/>
    <s v="N"/>
    <s v="N"/>
    <n v="1334533"/>
    <n v="6"/>
    <d v="2012-03-22T00:00:00"/>
    <d v="2012-08-08T00:00:00"/>
    <n v="1334533"/>
    <d v="2012-03-22T00:00:00"/>
    <d v="2012-08-08T00:00:00"/>
    <n v="15000"/>
    <x v="0"/>
    <m/>
    <s v="N"/>
    <s v="NONE"/>
    <s v="GUILTY PLEA - NO JURY"/>
    <n v="140"/>
    <n v="140"/>
    <n v="5"/>
    <n v="5"/>
    <n v="4"/>
    <m/>
    <m/>
    <m/>
    <m/>
    <m/>
    <m/>
    <m/>
    <m/>
    <d v="1977-03-03T00:00:00"/>
    <s v="M"/>
    <s v="B"/>
    <s v="BLACK"/>
    <s v="NON-HISPANIC"/>
    <s v="263"/>
    <s v="CONVICTED"/>
    <n v="8"/>
    <s v="TDC"/>
    <n v="2"/>
    <m/>
    <m/>
    <s v="POSS CS PG 1 &lt;1G"/>
    <m/>
    <s v="FS"/>
    <s v="POSS DRUG"/>
    <m/>
    <m/>
    <m/>
    <m/>
    <m/>
    <m/>
    <m/>
    <m/>
    <m/>
    <s v="Appointed Attorney"/>
    <m/>
    <m/>
    <n v="140"/>
    <n v="140"/>
    <n v="140"/>
    <n v="34.980874316939889"/>
    <n v="0"/>
    <n v="0"/>
    <s v="CONVICTION"/>
    <x v="0"/>
    <s v="N"/>
    <m/>
    <s v="CONVICTION"/>
    <s v="Y"/>
    <x v="0"/>
    <x v="0"/>
    <s v="Y"/>
    <n v="1"/>
    <n v="1"/>
    <n v="0"/>
    <n v="0"/>
    <n v="-140"/>
    <n v="0"/>
    <n v="140"/>
    <e v="#VALUE!"/>
    <n v="140"/>
    <n v="0"/>
    <n v="0"/>
    <m/>
    <s v="Y"/>
    <m/>
    <s v="121-365 DAYS"/>
    <n v="6"/>
    <x v="0"/>
  </r>
  <r>
    <n v="1911"/>
    <s v="N"/>
    <s v="N"/>
    <n v="1334898"/>
    <n v="3"/>
    <d v="2012-03-12T00:00:00"/>
    <d v="2012-08-23T00:00:00"/>
    <n v="1334898"/>
    <d v="2012-03-12T00:00:00"/>
    <d v="2012-03-17T00:00:00"/>
    <n v="10000"/>
    <x v="3"/>
    <d v="2012-03-17T00:00:00"/>
    <s v="Y"/>
    <s v="SURETYPTRc"/>
    <s v="GUILTY PLEA - NO JURY"/>
    <n v="6"/>
    <n v="165"/>
    <n v="0"/>
    <n v="2"/>
    <m/>
    <m/>
    <m/>
    <m/>
    <m/>
    <m/>
    <m/>
    <m/>
    <m/>
    <d v="1962-05-06T00:00:00"/>
    <s v="M"/>
    <s v="W"/>
    <s v="WHITE"/>
    <s v="NON-HISPANIC"/>
    <s v="176"/>
    <s v="CONVICTED"/>
    <n v="6"/>
    <s v="PROBATION"/>
    <m/>
    <m/>
    <m/>
    <s v="DWI 3RD OFFENDER BAC .08"/>
    <m/>
    <s v="F3"/>
    <s v="FEL DWI"/>
    <s v="bf reinstated"/>
    <m/>
    <m/>
    <m/>
    <m/>
    <m/>
    <m/>
    <m/>
    <m/>
    <s v="Hired Attorney"/>
    <m/>
    <m/>
    <n v="6"/>
    <n v="165"/>
    <n v="165"/>
    <n v="49.748633879781423"/>
    <n v="0"/>
    <n v="-159"/>
    <s v="CONVICTION"/>
    <x v="1"/>
    <s v="Y"/>
    <m/>
    <s v="CONVICTION"/>
    <s v="Y"/>
    <x v="1"/>
    <x v="0"/>
    <s v="N"/>
    <n v="3.6363636363636362E-2"/>
    <n v="3.6363636363636362E-2"/>
    <n v="0"/>
    <n v="0"/>
    <n v="-6"/>
    <n v="0"/>
    <n v="6"/>
    <e v="#VALUE!"/>
    <n v="6"/>
    <n v="0"/>
    <n v="159"/>
    <m/>
    <s v="Y"/>
    <m/>
    <s v="0-10 DAYS"/>
    <n v="1"/>
    <x v="0"/>
  </r>
  <r>
    <n v="1169"/>
    <s v="N"/>
    <s v="N"/>
    <n v="1336390"/>
    <n v="2"/>
    <d v="2012-02-12T00:00:00"/>
    <d v="2012-02-27T00:00:00"/>
    <n v="1336390"/>
    <d v="2012-02-12T00:00:00"/>
    <d v="2012-02-13T00:00:00"/>
    <n v="2000"/>
    <x v="5"/>
    <d v="2012-02-13T00:00:00"/>
    <s v="Y"/>
    <s v="SURETY"/>
    <s v="DEFERRED ADJUDICATION "/>
    <n v="2"/>
    <n v="16"/>
    <n v="0"/>
    <n v="1"/>
    <m/>
    <m/>
    <m/>
    <m/>
    <m/>
    <m/>
    <m/>
    <s v="S"/>
    <m/>
    <d v="1975-03-10T00:00:00"/>
    <s v="F"/>
    <s v="H"/>
    <s v="HISPANIC"/>
    <s v="NON-HISPANIC"/>
    <s v="209"/>
    <s v="DEFERRED"/>
    <n v="2"/>
    <s v="DEFERRED"/>
    <m/>
    <m/>
    <m/>
    <s v="POSS CS PG 1 &lt;1G"/>
    <m/>
    <s v="FS"/>
    <s v="POSS DRUG"/>
    <m/>
    <m/>
    <m/>
    <m/>
    <m/>
    <m/>
    <m/>
    <m/>
    <m/>
    <s v="Appointed Attorney"/>
    <m/>
    <m/>
    <n v="2"/>
    <n v="16"/>
    <n v="16"/>
    <n v="36.852459016393439"/>
    <n v="0"/>
    <n v="-14"/>
    <s v="DEFERRED"/>
    <x v="1"/>
    <s v="Y"/>
    <m/>
    <s v="DEFERRED"/>
    <s v="Y"/>
    <x v="1"/>
    <x v="0"/>
    <s v="N"/>
    <n v="0.125"/>
    <n v="0.125"/>
    <n v="0"/>
    <n v="0"/>
    <n v="-2"/>
    <n v="0"/>
    <n v="2"/>
    <e v="#VALUE!"/>
    <n v="2"/>
    <n v="0"/>
    <n v="14"/>
    <m/>
    <s v="Y"/>
    <m/>
    <s v="0-10 DAYS"/>
    <n v="1"/>
    <x v="0"/>
  </r>
  <r>
    <n v="2832"/>
    <s v="N"/>
    <s v="N"/>
    <n v="1337850"/>
    <n v="1"/>
    <d v="2012-04-14T00:00:00"/>
    <d v="2012-10-25T00:00:00"/>
    <n v="1337850"/>
    <s v="NOT BOOKED"/>
    <s v="NOT BOOKED"/>
    <n v="10000"/>
    <x v="3"/>
    <d v="2012-04-15T00:00:00"/>
    <s v="Y"/>
    <s v="SURETY"/>
    <s v="DISMISSED"/>
    <n v="0"/>
    <n v="195"/>
    <n v="3"/>
    <n v="5"/>
    <n v="2"/>
    <n v="1"/>
    <m/>
    <m/>
    <m/>
    <m/>
    <m/>
    <m/>
    <m/>
    <d v="1975-03-08T00:00:00"/>
    <s v="M"/>
    <s v="B"/>
    <s v="BLACK"/>
    <s v="NON-HISPANIC"/>
    <s v="182"/>
    <s v="DISMISSED"/>
    <n v="9"/>
    <s v="DISMISSED"/>
    <m/>
    <m/>
    <m/>
    <s v="FELON POSS WPN"/>
    <m/>
    <s v="F3"/>
    <s v="OTHER FEL"/>
    <m/>
    <m/>
    <m/>
    <m/>
    <m/>
    <m/>
    <m/>
    <m/>
    <m/>
    <s v="Hired Attorney"/>
    <m/>
    <m/>
    <n v="0"/>
    <n v="0"/>
    <n v="195"/>
    <n v="37.027322404371581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1424"/>
    <s v="N"/>
    <s v="Y"/>
    <n v="1337912"/>
    <n v="5"/>
    <d v="2012-02-22T00:00:00"/>
    <d v="2013-01-25T00:00:00"/>
    <n v="1337912"/>
    <d v="2012-09-29T00:00:00"/>
    <d v="2012-10-20T00:00:00"/>
    <n v="15000"/>
    <x v="0"/>
    <d v="2012-10-20T00:00:00"/>
    <s v="Y"/>
    <s v="SURETY"/>
    <s v="GUILTY PLEA - NO JURY"/>
    <n v="30"/>
    <n v="339"/>
    <n v="3"/>
    <n v="1"/>
    <n v="3"/>
    <m/>
    <m/>
    <m/>
    <m/>
    <m/>
    <m/>
    <m/>
    <m/>
    <d v="1974-08-05T00:00:00"/>
    <s v="M"/>
    <s v="H"/>
    <s v="HISPANIC"/>
    <s v="HISPANIC"/>
    <s v="351"/>
    <s v="CONVICTED"/>
    <n v="1"/>
    <s v="STJ"/>
    <m/>
    <n v="10"/>
    <m/>
    <s v="THEFT $1500-20K"/>
    <m/>
    <s v="FS"/>
    <s v="THEFT"/>
    <s v="BF 1/14/13"/>
    <m/>
    <s v="Y"/>
    <d v="2013-01-14T00:00:00"/>
    <m/>
    <m/>
    <m/>
    <d v="2013-05-08T00:00:00"/>
    <n v="237"/>
    <s v="Hired Attorney"/>
    <m/>
    <m/>
    <n v="30"/>
    <n v="119"/>
    <n v="339"/>
    <n v="37.472677595628419"/>
    <n v="0"/>
    <n v="-97"/>
    <s v="CONVICTION"/>
    <x v="1"/>
    <s v="N"/>
    <m/>
    <s v="CONVICTION"/>
    <s v="Y"/>
    <x v="0"/>
    <x v="0"/>
    <s v="Y"/>
    <n v="8.8495575221238937E-2"/>
    <n v="0.18487394957983194"/>
    <n v="9.6378374358593005E-2"/>
    <n v="0"/>
    <n v="-22"/>
    <n v="8"/>
    <n v="119"/>
    <n v="30"/>
    <n v="119"/>
    <n v="97"/>
    <n v="97"/>
    <m/>
    <s v="Y"/>
    <m/>
    <s v="11-30 DAYS"/>
    <n v="2"/>
    <x v="0"/>
  </r>
  <r>
    <n v="472"/>
    <s v="N"/>
    <s v="N"/>
    <n v="1340525"/>
    <n v="6"/>
    <d v="2012-01-20T00:00:00"/>
    <d v="2013-09-27T00:00:00"/>
    <n v="1340525"/>
    <d v="2012-01-20T00:00:00"/>
    <d v="2012-02-01T00:00:00"/>
    <n v="20000"/>
    <x v="0"/>
    <d v="2012-02-01T00:00:00"/>
    <s v="Y"/>
    <s v="SURETY"/>
    <s v="GUILTY PLEA - NO JURY"/>
    <n v="13"/>
    <n v="617"/>
    <n v="2"/>
    <n v="2"/>
    <n v="1"/>
    <m/>
    <m/>
    <m/>
    <m/>
    <m/>
    <m/>
    <m/>
    <m/>
    <d v="1976-02-26T00:00:00"/>
    <s v="M"/>
    <s v="B"/>
    <s v="BLACK"/>
    <s v="NULL"/>
    <s v="209"/>
    <s v="CONVICTED"/>
    <n v="26"/>
    <s v="TDC"/>
    <n v="5"/>
    <m/>
    <m/>
    <s v="POSS CS PG 1 &lt;1G"/>
    <m/>
    <s v="FS"/>
    <s v="POSS DRUG"/>
    <s v="CONV ON PRIOR FILED 11/16/10 SAME CHARGE STUDY CASE DISM "/>
    <m/>
    <m/>
    <m/>
    <m/>
    <m/>
    <m/>
    <m/>
    <m/>
    <s v="Hired Attorney"/>
    <m/>
    <m/>
    <n v="13"/>
    <n v="617"/>
    <n v="617"/>
    <n v="35.825136612021858"/>
    <n v="0"/>
    <n v="-604"/>
    <s v="CONVICTION"/>
    <x v="1"/>
    <s v="Y"/>
    <m/>
    <s v="CONVICTION"/>
    <s v="Y"/>
    <x v="1"/>
    <x v="0"/>
    <s v="Y"/>
    <n v="2.1069692058346839E-2"/>
    <n v="2.1069692058346839E-2"/>
    <n v="0"/>
    <n v="0"/>
    <n v="-13"/>
    <n v="0"/>
    <n v="13"/>
    <e v="#VALUE!"/>
    <n v="13"/>
    <n v="0"/>
    <n v="604"/>
    <m/>
    <s v="Y"/>
    <m/>
    <s v="11-30 DAYS"/>
    <n v="2"/>
    <x v="0"/>
  </r>
  <r>
    <n v="1457"/>
    <s v="N"/>
    <s v="N"/>
    <n v="1341241"/>
    <n v="1"/>
    <d v="2012-02-23T00:00:00"/>
    <d v="2012-06-06T00:00:00"/>
    <n v="1341241"/>
    <d v="2012-05-24T00:00:00"/>
    <d v="2012-06-06T00:00:00"/>
    <s v="NO BOND"/>
    <x v="1"/>
    <m/>
    <s v="N"/>
    <s v="NONE"/>
    <s v="DISMISSED"/>
    <n v="14"/>
    <n v="105"/>
    <n v="3"/>
    <n v="9"/>
    <n v="3"/>
    <m/>
    <m/>
    <m/>
    <m/>
    <m/>
    <m/>
    <m/>
    <m/>
    <d v="1980-10-04T00:00:00"/>
    <s v="M"/>
    <s v="H"/>
    <s v="HISPANIC"/>
    <s v="HISPANIC"/>
    <s v="339"/>
    <s v="DISMISSED"/>
    <n v="4"/>
    <s v="DISMISSED"/>
    <m/>
    <m/>
    <m/>
    <s v="ASSAULT-BOD INJ-FAMILY MEMBER"/>
    <m/>
    <s v="F3"/>
    <s v="ASLT-MURDR"/>
    <m/>
    <m/>
    <m/>
    <m/>
    <m/>
    <m/>
    <m/>
    <m/>
    <m/>
    <s v="Appointed Attorney"/>
    <m/>
    <m/>
    <n v="14"/>
    <n v="14"/>
    <n v="105"/>
    <n v="31.3224043715847"/>
    <n v="0"/>
    <n v="0"/>
    <s v="NO CONVICTION"/>
    <x v="0"/>
    <s v="N"/>
    <m/>
    <s v="NO CONVICTION"/>
    <s v="Y"/>
    <x v="0"/>
    <x v="0"/>
    <s v="Y"/>
    <n v="0.13333333333333333"/>
    <n v="1"/>
    <n v="0.8666666666666667"/>
    <n v="0"/>
    <n v="-14"/>
    <n v="0"/>
    <n v="14"/>
    <e v="#VALUE!"/>
    <n v="14"/>
    <n v="0"/>
    <n v="0"/>
    <m/>
    <s v="Y"/>
    <m/>
    <s v="11-30 DAYS"/>
    <n v="2"/>
    <x v="0"/>
  </r>
  <r>
    <n v="1259"/>
    <s v="N"/>
    <s v="N"/>
    <n v="1341618"/>
    <n v="5"/>
    <d v="2012-02-16T00:00:00"/>
    <d v="2012-08-13T00:00:00"/>
    <n v="1341618"/>
    <d v="2012-02-16T00:00:00"/>
    <d v="2012-08-13T00:00:00"/>
    <n v="15000"/>
    <x v="0"/>
    <m/>
    <s v="N"/>
    <s v="NONE"/>
    <s v="GUILTY PLEA - NO JURY"/>
    <n v="180"/>
    <n v="180"/>
    <n v="9"/>
    <n v="2"/>
    <n v="8"/>
    <m/>
    <m/>
    <m/>
    <m/>
    <m/>
    <m/>
    <m/>
    <m/>
    <d v="1970-08-03T00:00:00"/>
    <s v="M"/>
    <s v="B"/>
    <s v="BLACK"/>
    <s v="NON-HISPANIC"/>
    <s v="228"/>
    <s v="CONVICTED"/>
    <n v="5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180"/>
    <n v="180"/>
    <n v="180"/>
    <n v="41.453551912568308"/>
    <n v="0"/>
    <n v="0"/>
    <s v="CONVICTION"/>
    <x v="0"/>
    <s v="N"/>
    <m/>
    <s v="CONVICTION"/>
    <s v="Y"/>
    <x v="0"/>
    <x v="0"/>
    <s v="Y"/>
    <n v="1"/>
    <n v="1"/>
    <n v="0"/>
    <n v="0"/>
    <n v="-180"/>
    <n v="0"/>
    <n v="180"/>
    <e v="#VALUE!"/>
    <n v="180"/>
    <n v="0"/>
    <n v="0"/>
    <m/>
    <s v="Y"/>
    <m/>
    <s v="121-365 DAYS"/>
    <n v="6"/>
    <x v="0"/>
  </r>
  <r>
    <n v="1348"/>
    <s v="N"/>
    <s v="N"/>
    <n v="1342520"/>
    <n v="2"/>
    <d v="2012-02-18T00:00:00"/>
    <d v="2012-08-16T00:00:00"/>
    <n v="1342520"/>
    <d v="2012-02-19T00:00:00"/>
    <d v="2012-08-16T00:00:00"/>
    <n v="10000"/>
    <x v="3"/>
    <m/>
    <s v="N"/>
    <s v="NONE"/>
    <s v="DEFERRED ADJUDICATION "/>
    <n v="180"/>
    <n v="181"/>
    <n v="1"/>
    <n v="2"/>
    <m/>
    <n v="1"/>
    <m/>
    <m/>
    <m/>
    <m/>
    <m/>
    <m/>
    <m/>
    <d v="1977-10-26T00:00:00"/>
    <s v="M"/>
    <s v="W"/>
    <s v="WHITE"/>
    <s v="NON-HISPANIC"/>
    <s v="339"/>
    <s v="DEFERRED"/>
    <n v="8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180"/>
    <n v="180"/>
    <n v="181"/>
    <n v="34.243169398907106"/>
    <n v="0"/>
    <n v="0"/>
    <s v="DEFERRED"/>
    <x v="0"/>
    <s v="N"/>
    <m/>
    <s v="DEFERRED"/>
    <s v="Y"/>
    <x v="0"/>
    <x v="0"/>
    <s v="Y"/>
    <n v="0.99447513812154698"/>
    <n v="1"/>
    <n v="5.5248618784530246E-3"/>
    <n v="0"/>
    <n v="-180"/>
    <n v="0"/>
    <n v="180"/>
    <e v="#VALUE!"/>
    <n v="180"/>
    <n v="0"/>
    <n v="0"/>
    <m/>
    <s v="Y"/>
    <m/>
    <s v="121-365 DAYS"/>
    <n v="6"/>
    <x v="0"/>
  </r>
  <r>
    <n v="1197"/>
    <s v="N"/>
    <s v="N"/>
    <n v="1344428"/>
    <n v="1"/>
    <d v="2012-02-13T00:00:00"/>
    <d v="2012-03-20T00:00:00"/>
    <n v="1344428"/>
    <d v="2012-02-14T00:00:00"/>
    <d v="2012-03-20T00:00:00"/>
    <n v="40000"/>
    <x v="2"/>
    <m/>
    <s v="N"/>
    <s v="NONE"/>
    <s v="DISMISSED"/>
    <n v="36"/>
    <n v="37"/>
    <n v="1"/>
    <n v="3"/>
    <m/>
    <n v="1"/>
    <m/>
    <m/>
    <m/>
    <m/>
    <m/>
    <m/>
    <m/>
    <d v="1971-12-16T00:00:00"/>
    <s v="M"/>
    <s v="B"/>
    <s v="BLACK"/>
    <s v="NON-HISPANIC"/>
    <s v="228"/>
    <s v="DISMISSED"/>
    <n v="2"/>
    <s v="DISMISSED"/>
    <m/>
    <m/>
    <m/>
    <s v="POSS W/INT DEL CS PG1&gt;=4 &lt;200"/>
    <m/>
    <s v="F1"/>
    <s v="SALE DRUG"/>
    <m/>
    <m/>
    <m/>
    <m/>
    <m/>
    <m/>
    <m/>
    <m/>
    <m/>
    <s v="Appointed Attorney"/>
    <m/>
    <m/>
    <n v="36"/>
    <n v="36"/>
    <n v="37"/>
    <n v="40.079234972677597"/>
    <n v="0"/>
    <n v="0"/>
    <s v="NO CONVICTION"/>
    <x v="0"/>
    <s v="N"/>
    <m/>
    <s v="NO CONVICTION"/>
    <s v="Y"/>
    <x v="0"/>
    <x v="0"/>
    <s v="Y"/>
    <n v="0.97297297297297303"/>
    <n v="1"/>
    <n v="2.7027027027026973E-2"/>
    <n v="0"/>
    <n v="-36"/>
    <n v="0"/>
    <n v="36"/>
    <e v="#VALUE!"/>
    <n v="36"/>
    <n v="0"/>
    <n v="0"/>
    <m/>
    <s v="Y"/>
    <m/>
    <s v="31-60 DAYS"/>
    <n v="3"/>
    <x v="0"/>
  </r>
  <r>
    <n v="106"/>
    <s v="N"/>
    <s v="N"/>
    <n v="1347324"/>
    <n v="1"/>
    <d v="2012-01-05T00:00:00"/>
    <d v="2012-09-27T00:00:00"/>
    <n v="1347324"/>
    <d v="2012-02-08T00:00:00"/>
    <d v="2012-02-09T00:00:00"/>
    <n v="30000"/>
    <x v="2"/>
    <d v="2012-02-09T00:00:00"/>
    <s v="Y"/>
    <s v="SURETY"/>
    <s v="DISMISSED"/>
    <n v="2"/>
    <n v="267"/>
    <n v="1"/>
    <n v="3"/>
    <m/>
    <m/>
    <m/>
    <m/>
    <m/>
    <m/>
    <m/>
    <m/>
    <m/>
    <d v="1974-03-01T00:00:00"/>
    <s v="M"/>
    <s v="B"/>
    <s v="BLACK"/>
    <s v="NULL"/>
    <s v="337"/>
    <s v="DISMISSED"/>
    <n v="9"/>
    <s v="DISMISSED"/>
    <m/>
    <m/>
    <m/>
    <s v="INDECENCY CHILD-TB"/>
    <m/>
    <s v="F2"/>
    <s v="SEX ABUSE"/>
    <s v="9/27/12 def adj  fel unlawful restraint child"/>
    <m/>
    <m/>
    <m/>
    <m/>
    <m/>
    <m/>
    <m/>
    <m/>
    <s v="Hired Attorney"/>
    <m/>
    <m/>
    <n v="2"/>
    <n v="233"/>
    <n v="267"/>
    <n v="37.770491803278688"/>
    <n v="0"/>
    <n v="-231"/>
    <s v="NO CONVICTION"/>
    <x v="1"/>
    <s v="Y"/>
    <m/>
    <s v="NO CONVICTION"/>
    <s v="Y"/>
    <x v="1"/>
    <x v="0"/>
    <s v="Y"/>
    <n v="7.4906367041198503E-3"/>
    <n v="8.5836909871244635E-3"/>
    <n v="1.0930542830046132E-3"/>
    <n v="0"/>
    <n v="-2"/>
    <n v="0"/>
    <n v="2"/>
    <e v="#VALUE!"/>
    <n v="2"/>
    <n v="0"/>
    <n v="231"/>
    <m/>
    <s v="Y"/>
    <m/>
    <s v="0-10 DAYS"/>
    <n v="1"/>
    <x v="0"/>
  </r>
  <r>
    <n v="1816"/>
    <s v="N"/>
    <s v="N"/>
    <n v="1348285"/>
    <n v="1"/>
    <d v="2012-03-08T00:00:00"/>
    <d v="2012-05-11T00:00:00"/>
    <n v="1348285"/>
    <d v="2012-03-09T00:00:00"/>
    <d v="2012-03-10T00:00:00"/>
    <n v="30000"/>
    <x v="2"/>
    <d v="2012-03-10T00:00:00"/>
    <s v="Y"/>
    <s v="SURETY"/>
    <s v="NO BILL"/>
    <n v="2"/>
    <n v="65"/>
    <n v="0"/>
    <n v="0"/>
    <m/>
    <m/>
    <m/>
    <m/>
    <m/>
    <m/>
    <m/>
    <m/>
    <m/>
    <d v="1974-01-23T00:00:00"/>
    <s v="M"/>
    <s v="W"/>
    <s v="WHITE"/>
    <s v="NULL"/>
    <s v="177"/>
    <s v="NO BILL"/>
    <n v="3"/>
    <s v="NO BILL"/>
    <m/>
    <m/>
    <m/>
    <s v="AGG ASSAULT W/DEADLY WEAPON"/>
    <m/>
    <s v="F2"/>
    <s v="ASLT-MURDR"/>
    <m/>
    <m/>
    <m/>
    <m/>
    <m/>
    <m/>
    <m/>
    <m/>
    <m/>
    <s v="Hired Attorney"/>
    <m/>
    <m/>
    <n v="2"/>
    <n v="64"/>
    <n v="65"/>
    <n v="38.043715846994537"/>
    <n v="0"/>
    <n v="-62"/>
    <s v="NO CONVICTION"/>
    <x v="1"/>
    <s v="Y"/>
    <m/>
    <s v="NO CONVICTION"/>
    <s v="Y"/>
    <x v="1"/>
    <x v="0"/>
    <s v="N"/>
    <n v="3.0769230769230771E-2"/>
    <n v="3.125E-2"/>
    <n v="4.8076923076922906E-4"/>
    <n v="0"/>
    <n v="-2"/>
    <n v="0"/>
    <n v="2"/>
    <e v="#VALUE!"/>
    <n v="2"/>
    <n v="0"/>
    <n v="62"/>
    <m/>
    <s v="N"/>
    <m/>
    <s v="0-10 DAYS"/>
    <n v="1"/>
    <x v="0"/>
  </r>
  <r>
    <n v="74"/>
    <s v="N"/>
    <s v="N"/>
    <n v="1348605"/>
    <n v="5"/>
    <d v="2012-01-04T00:00:00"/>
    <d v="2012-01-06T00:00:00"/>
    <n v="1348605"/>
    <d v="2012-01-05T00:00:00"/>
    <d v="2012-01-06T00:00:00"/>
    <n v="15000"/>
    <x v="0"/>
    <m/>
    <s v="N"/>
    <s v="NONE"/>
    <s v="GUILTY PLEA - NO JURY"/>
    <n v="2"/>
    <n v="3"/>
    <n v="6"/>
    <n v="0"/>
    <n v="6"/>
    <m/>
    <m/>
    <m/>
    <m/>
    <m/>
    <m/>
    <m/>
    <m/>
    <d v="1974-11-05T00:00:00"/>
    <s v="M"/>
    <s v="B"/>
    <s v="BLACK"/>
    <s v="NON-HISPANIC"/>
    <s v="338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37.087431693989068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044"/>
    <s v="N"/>
    <s v="N"/>
    <n v="1350310"/>
    <n v="6"/>
    <d v="2012-03-17T00:00:00"/>
    <d v="2012-06-25T00:00:00"/>
    <n v="1350310"/>
    <d v="2012-03-18T00:00:00"/>
    <d v="2012-06-25T00:00:00"/>
    <s v="NO BOND"/>
    <x v="1"/>
    <m/>
    <s v="N"/>
    <s v="NONE"/>
    <s v="GUILTY PLEA - NO JURY"/>
    <n v="100"/>
    <n v="101"/>
    <n v="6"/>
    <n v="4"/>
    <n v="4"/>
    <m/>
    <m/>
    <m/>
    <m/>
    <m/>
    <m/>
    <m/>
    <m/>
    <d v="1972-07-14T00:00:00"/>
    <s v="M"/>
    <s v="H"/>
    <s v="HISPANIC"/>
    <s v="HISPANIC"/>
    <s v="185"/>
    <s v="CONVICTED"/>
    <n v="8"/>
    <s v="TDC"/>
    <n v="5"/>
    <m/>
    <m/>
    <s v="AGG ASSAULT W/DEADLY WEAPON"/>
    <m/>
    <s v="F2"/>
    <s v="ASLT-MURDR"/>
    <m/>
    <m/>
    <m/>
    <m/>
    <m/>
    <m/>
    <m/>
    <m/>
    <m/>
    <s v="Hired Attorney"/>
    <m/>
    <m/>
    <n v="100"/>
    <n v="100"/>
    <n v="101"/>
    <n v="39.592896174863391"/>
    <n v="0"/>
    <n v="0"/>
    <s v="CONVICTION"/>
    <x v="0"/>
    <s v="N"/>
    <m/>
    <s v="CONVICTION"/>
    <s v="Y"/>
    <x v="0"/>
    <x v="0"/>
    <s v="Y"/>
    <n v="0.99009900990099009"/>
    <n v="1"/>
    <n v="9.9009900990099098E-3"/>
    <n v="0"/>
    <n v="-100"/>
    <n v="0"/>
    <n v="100"/>
    <e v="#VALUE!"/>
    <n v="100"/>
    <n v="0"/>
    <n v="0"/>
    <m/>
    <s v="Y"/>
    <m/>
    <s v="91-120 DAYS"/>
    <n v="0"/>
    <x v="0"/>
  </r>
  <r>
    <n v="1556"/>
    <s v="N"/>
    <s v="N"/>
    <n v="1351032"/>
    <n v="6"/>
    <d v="2012-02-27T00:00:00"/>
    <d v="2012-04-26T00:00:00"/>
    <n v="1351032"/>
    <d v="2012-02-28T00:00:00"/>
    <d v="2012-04-26T00:00:00"/>
    <n v="30000"/>
    <x v="2"/>
    <m/>
    <s v="N"/>
    <s v="NONE"/>
    <s v="GUILTY PLEA - NO JURY"/>
    <n v="59"/>
    <n v="60"/>
    <n v="4"/>
    <n v="3"/>
    <n v="2"/>
    <m/>
    <m/>
    <m/>
    <m/>
    <m/>
    <m/>
    <m/>
    <m/>
    <d v="1976-06-15T00:00:00"/>
    <s v="M"/>
    <s v="W"/>
    <s v="WHITE"/>
    <s v="NON-HISPANIC"/>
    <s v="338"/>
    <s v="CONVICTED"/>
    <n v="3"/>
    <s v="TDC"/>
    <n v="2"/>
    <m/>
    <m/>
    <s v="BURGLARY OF HABITATION"/>
    <m/>
    <s v="F2"/>
    <s v="BURGLARY"/>
    <m/>
    <m/>
    <m/>
    <m/>
    <m/>
    <m/>
    <m/>
    <m/>
    <m/>
    <s v="Public Defender"/>
    <m/>
    <m/>
    <n v="59"/>
    <n v="59"/>
    <n v="60"/>
    <n v="35.62841530054645"/>
    <n v="0"/>
    <n v="0"/>
    <s v="CONVICTION"/>
    <x v="0"/>
    <s v="N"/>
    <m/>
    <s v="CONVICTION"/>
    <s v="Y"/>
    <x v="0"/>
    <x v="0"/>
    <s v="Y"/>
    <n v="0.98333333333333328"/>
    <n v="1"/>
    <n v="1.6666666666666718E-2"/>
    <n v="0"/>
    <n v="-59"/>
    <n v="0"/>
    <n v="59"/>
    <e v="#VALUE!"/>
    <n v="59"/>
    <n v="0"/>
    <n v="0"/>
    <m/>
    <s v="Y"/>
    <m/>
    <s v="31-60 DAYS"/>
    <n v="3"/>
    <x v="0"/>
  </r>
  <r>
    <n v="100"/>
    <s v="N"/>
    <s v="N"/>
    <n v="1351641"/>
    <n v="5"/>
    <d v="2012-01-05T00:00:00"/>
    <d v="2012-03-28T00:00:00"/>
    <n v="1351641"/>
    <d v="2012-01-05T00:00:00"/>
    <d v="2012-03-28T00:00:00"/>
    <n v="10000"/>
    <x v="3"/>
    <m/>
    <s v="N"/>
    <s v="NONE"/>
    <s v="GUILTY PLEA - NO JURY"/>
    <n v="84"/>
    <n v="84"/>
    <n v="4"/>
    <n v="7"/>
    <n v="1"/>
    <n v="1"/>
    <m/>
    <m/>
    <m/>
    <m/>
    <m/>
    <m/>
    <m/>
    <d v="1976-03-02T00:00:00"/>
    <s v="M"/>
    <s v="B"/>
    <s v="BLACK"/>
    <s v="NULL"/>
    <s v="182"/>
    <s v="CONVICTED"/>
    <n v="3"/>
    <s v="STJ"/>
    <m/>
    <n v="8"/>
    <m/>
    <s v="POSS CS PG 1 &lt;1G"/>
    <m/>
    <s v="FS"/>
    <s v="POSS DRUG"/>
    <m/>
    <m/>
    <m/>
    <m/>
    <m/>
    <m/>
    <m/>
    <m/>
    <m/>
    <s v="Appointed Attorney"/>
    <m/>
    <m/>
    <n v="84"/>
    <n v="84"/>
    <n v="84"/>
    <n v="35.770491803278688"/>
    <n v="0"/>
    <n v="0"/>
    <s v="CONVICTION"/>
    <x v="0"/>
    <s v="N"/>
    <m/>
    <s v="CONVICTION"/>
    <s v="Y"/>
    <x v="0"/>
    <x v="0"/>
    <s v="Y"/>
    <n v="1"/>
    <n v="1"/>
    <n v="0"/>
    <n v="0"/>
    <n v="-84"/>
    <n v="0"/>
    <n v="84"/>
    <e v="#VALUE!"/>
    <n v="84"/>
    <n v="0"/>
    <n v="0"/>
    <m/>
    <s v="Y"/>
    <m/>
    <s v="61-90 DAYS"/>
    <n v="4"/>
    <x v="0"/>
  </r>
  <r>
    <n v="231"/>
    <s v="N"/>
    <s v="N"/>
    <n v="1351680"/>
    <n v="1"/>
    <d v="2012-01-10T00:00:00"/>
    <d v="2012-05-18T00:00:00"/>
    <n v="1351680"/>
    <d v="2012-01-11T00:00:00"/>
    <d v="2012-02-01T00:00:00"/>
    <n v="50000"/>
    <x v="2"/>
    <d v="2012-02-01T00:00:00"/>
    <s v="Y"/>
    <s v="SURETY"/>
    <s v="DISMISSED"/>
    <n v="22"/>
    <n v="130"/>
    <n v="8"/>
    <n v="0"/>
    <n v="8"/>
    <m/>
    <m/>
    <m/>
    <m/>
    <m/>
    <m/>
    <m/>
    <m/>
    <d v="1975-11-02T00:00:00"/>
    <s v="M"/>
    <s v="B"/>
    <s v="BLACK"/>
    <s v="NON-HISPANIC"/>
    <s v="339"/>
    <s v="DISMISSED"/>
    <n v="6"/>
    <s v="DISMISSED"/>
    <m/>
    <m/>
    <m/>
    <s v="POSS W/INT DEL CS PG1&gt;=4 &lt;200"/>
    <m/>
    <s v="F1"/>
    <s v="SALE DRUG"/>
    <m/>
    <m/>
    <m/>
    <m/>
    <m/>
    <m/>
    <m/>
    <m/>
    <m/>
    <s v="Hired Attorney"/>
    <m/>
    <m/>
    <n v="22"/>
    <n v="129"/>
    <n v="130"/>
    <n v="36.114754098360656"/>
    <n v="0"/>
    <n v="-107"/>
    <s v="NO CONVICTION"/>
    <x v="1"/>
    <s v="Y"/>
    <m/>
    <s v="NO CONVICTION"/>
    <s v="Y"/>
    <x v="1"/>
    <x v="0"/>
    <s v="Y"/>
    <n v="0.16923076923076924"/>
    <n v="0.17054263565891473"/>
    <n v="1.3118664281454862E-3"/>
    <n v="0"/>
    <n v="-22"/>
    <n v="0"/>
    <n v="22"/>
    <e v="#VALUE!"/>
    <n v="22"/>
    <n v="0"/>
    <n v="107"/>
    <m/>
    <s v="Y"/>
    <m/>
    <s v="11-30 DAYS"/>
    <n v="2"/>
    <x v="0"/>
  </r>
  <r>
    <n v="646"/>
    <s v="N"/>
    <s v="Y"/>
    <n v="1351922"/>
    <n v="6"/>
    <d v="2012-01-26T00:00:00"/>
    <d v="2013-07-02T00:00:00"/>
    <n v="1351922"/>
    <d v="2012-08-11T00:00:00"/>
    <d v="2012-08-12T00:00:00"/>
    <n v="4000"/>
    <x v="4"/>
    <d v="2012-08-12T00:00:00"/>
    <s v="Y"/>
    <s v="SURETY"/>
    <s v="GUILTY PLEA - NO JURY"/>
    <n v="32"/>
    <n v="524"/>
    <n v="2"/>
    <n v="4"/>
    <m/>
    <n v="1"/>
    <m/>
    <m/>
    <m/>
    <m/>
    <m/>
    <m/>
    <m/>
    <d v="1976-02-20T00:00:00"/>
    <s v="M"/>
    <s v="W"/>
    <s v="WHITE"/>
    <s v="NON-HISPANIC"/>
    <s v="338"/>
    <s v="CONVICTED"/>
    <n v="12"/>
    <s v="TDC"/>
    <n v="2"/>
    <m/>
    <m/>
    <s v="THEFT $1500-20K"/>
    <m/>
    <s v="FS"/>
    <s v="THEFT"/>
    <s v="recal"/>
    <m/>
    <s v="Y"/>
    <s v=" 9/14/12"/>
    <m/>
    <m/>
    <m/>
    <d v="2013-07-26T00:00:00"/>
    <n v="274"/>
    <s v="Hired Attorney"/>
    <m/>
    <m/>
    <n v="32"/>
    <n v="326"/>
    <n v="524"/>
    <n v="35.857923497267763"/>
    <n v="0"/>
    <n v="-324"/>
    <s v="CONVICTION"/>
    <x v="1"/>
    <s v="N"/>
    <m/>
    <s v="CONVICTION"/>
    <s v="Y"/>
    <x v="0"/>
    <x v="0"/>
    <s v="Y"/>
    <n v="6.1068702290076333E-2"/>
    <n v="6.1349693251533744E-3"/>
    <n v="-5.493373296492296E-2"/>
    <n v="0"/>
    <n v="-2"/>
    <n v="30"/>
    <n v="326"/>
    <n v="32"/>
    <n v="326"/>
    <n v="324"/>
    <n v="324"/>
    <m/>
    <s v="Y"/>
    <m/>
    <s v="31-60 DAYS"/>
    <n v="3"/>
    <x v="0"/>
  </r>
  <r>
    <n v="1733"/>
    <s v="N"/>
    <s v="N"/>
    <n v="1352296"/>
    <n v="1"/>
    <d v="2012-03-05T00:00:00"/>
    <d v="2012-03-07T00:00:00"/>
    <n v="1352296"/>
    <d v="2012-03-05T00:00:00"/>
    <d v="2012-03-07T00:00:00"/>
    <n v="15000"/>
    <x v="0"/>
    <m/>
    <s v="N"/>
    <s v="NONE"/>
    <s v="DISMISSED"/>
    <n v="3"/>
    <n v="3"/>
    <n v="10"/>
    <n v="12"/>
    <n v="7"/>
    <m/>
    <m/>
    <m/>
    <m/>
    <m/>
    <m/>
    <m/>
    <m/>
    <d v="1977-07-20T00:00:00"/>
    <s v="F"/>
    <s v="B"/>
    <s v="BLACK"/>
    <s v="NULL"/>
    <s v="228"/>
    <s v="DISMISSED"/>
    <n v="1"/>
    <s v="DISMISSED"/>
    <m/>
    <m/>
    <m/>
    <s v="POSS CS PG 1 &lt;1G"/>
    <m/>
    <s v="FS"/>
    <s v="POSS DRUG"/>
    <s v="fel prostit 8/30/12 stj 6mos"/>
    <m/>
    <m/>
    <m/>
    <m/>
    <m/>
    <m/>
    <m/>
    <m/>
    <s v="Other/Unknown"/>
    <m/>
    <m/>
    <n v="3"/>
    <n v="3"/>
    <n v="3"/>
    <n v="34.55464480874317"/>
    <n v="0"/>
    <n v="0"/>
    <s v="NO CONVICTION"/>
    <x v="0"/>
    <s v="N"/>
    <m/>
    <s v="NO 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3031"/>
    <s v="N"/>
    <s v="N"/>
    <n v="1353052"/>
    <n v="4"/>
    <d v="2012-04-22T00:00:00"/>
    <d v="2012-11-06T00:00:00"/>
    <n v="1353052"/>
    <d v="2012-07-24T00:00:00"/>
    <d v="2012-11-06T00:00:00"/>
    <s v="NO BOND"/>
    <x v="1"/>
    <m/>
    <s v="N"/>
    <s v="NONE"/>
    <s v="GUILTY PLEA - NO JURY"/>
    <n v="106"/>
    <n v="199"/>
    <n v="3"/>
    <n v="5"/>
    <m/>
    <n v="1"/>
    <m/>
    <m/>
    <m/>
    <m/>
    <m/>
    <m/>
    <m/>
    <d v="1965-12-04T00:00:00"/>
    <s v="F"/>
    <s v="B"/>
    <s v="BLACK"/>
    <s v="NULL"/>
    <s v="184"/>
    <s v="CONVICTED"/>
    <n v="5"/>
    <s v="HCJ"/>
    <m/>
    <m/>
    <n v="270"/>
    <s v="AGG ASSAULT-FAMILY MEMBER"/>
    <m/>
    <s v="F2"/>
    <s v="ASLT-MURDR"/>
    <m/>
    <m/>
    <m/>
    <m/>
    <m/>
    <m/>
    <m/>
    <m/>
    <m/>
    <s v="Appointed Attorney"/>
    <m/>
    <m/>
    <n v="106"/>
    <n v="106"/>
    <n v="199"/>
    <n v="46.286885245901637"/>
    <n v="0"/>
    <n v="0"/>
    <s v="CONVICTION"/>
    <x v="0"/>
    <s v="N"/>
    <m/>
    <s v="CONVICTION"/>
    <s v="Y"/>
    <x v="0"/>
    <x v="0"/>
    <s v="Y"/>
    <n v="0.53266331658291455"/>
    <n v="1"/>
    <n v="0.46733668341708545"/>
    <n v="0"/>
    <n v="-106"/>
    <n v="0"/>
    <n v="106"/>
    <e v="#VALUE!"/>
    <n v="106"/>
    <n v="0"/>
    <n v="0"/>
    <m/>
    <s v="Y"/>
    <m/>
    <s v="91-120 DAYS"/>
    <n v="0"/>
    <x v="0"/>
  </r>
  <r>
    <n v="2952"/>
    <s v="N"/>
    <s v="N"/>
    <n v="1353570"/>
    <n v="1"/>
    <d v="2012-04-18T00:00:00"/>
    <d v="2012-06-05T00:00:00"/>
    <n v="1353570"/>
    <d v="2012-04-19T00:00:00"/>
    <d v="2012-06-05T00:00:00"/>
    <n v="20000"/>
    <x v="0"/>
    <m/>
    <s v="N"/>
    <s v="NONE"/>
    <s v="DISMISSED"/>
    <n v="48"/>
    <n v="49"/>
    <n v="2"/>
    <n v="1"/>
    <n v="2"/>
    <m/>
    <m/>
    <m/>
    <m/>
    <m/>
    <m/>
    <m/>
    <m/>
    <d v="1979-07-19T00:00:00"/>
    <s v="M"/>
    <s v="H"/>
    <s v="HISPANIC"/>
    <s v="HISPANIC"/>
    <s v="184"/>
    <s v="DISMISSED"/>
    <n v="3"/>
    <s v="DISMISSED"/>
    <m/>
    <m/>
    <m/>
    <s v="POSS W/INT DEL CS PG1&gt;=4 &lt;200"/>
    <m/>
    <s v="F1"/>
    <s v="SALE DRUG"/>
    <m/>
    <m/>
    <m/>
    <m/>
    <m/>
    <m/>
    <m/>
    <m/>
    <m/>
    <s v="Appointed Attorney"/>
    <m/>
    <m/>
    <n v="48"/>
    <n v="48"/>
    <n v="49"/>
    <n v="32.68306010928962"/>
    <n v="0"/>
    <n v="0"/>
    <s v="NO CONVICTION"/>
    <x v="0"/>
    <s v="N"/>
    <m/>
    <s v="NO CONVICTION"/>
    <s v="Y"/>
    <x v="0"/>
    <x v="0"/>
    <s v="Y"/>
    <n v="0.97959183673469385"/>
    <n v="1"/>
    <n v="2.0408163265306145E-2"/>
    <n v="0"/>
    <n v="-48"/>
    <n v="0"/>
    <n v="48"/>
    <e v="#VALUE!"/>
    <n v="48"/>
    <n v="0"/>
    <n v="0"/>
    <m/>
    <s v="Y"/>
    <m/>
    <s v="31-60 DAYS"/>
    <n v="3"/>
    <x v="0"/>
  </r>
  <r>
    <n v="418"/>
    <s v="N"/>
    <s v="N"/>
    <n v="1354980"/>
    <n v="6"/>
    <d v="2012-01-18T00:00:00"/>
    <d v="2013-02-22T00:00:00"/>
    <n v="1354980"/>
    <d v="2012-01-27T00:00:00"/>
    <d v="2013-02-22T00:00:00"/>
    <s v="NO BOND"/>
    <x v="1"/>
    <m/>
    <s v="N"/>
    <s v="NONE"/>
    <s v="GUILTY PLEA - NO JURY"/>
    <n v="393"/>
    <n v="402"/>
    <n v="2"/>
    <n v="7"/>
    <n v="2"/>
    <m/>
    <m/>
    <m/>
    <m/>
    <m/>
    <m/>
    <m/>
    <m/>
    <d v="1973-06-21T00:00:00"/>
    <s v="M"/>
    <s v="W"/>
    <s v="WHITE"/>
    <s v="NON-HISPANIC"/>
    <s v="248"/>
    <s v="CONVICTED"/>
    <n v="15"/>
    <s v="TDC"/>
    <n v="7"/>
    <m/>
    <m/>
    <s v="RETALIATION"/>
    <m/>
    <s v="F3"/>
    <s v="OTHER FEL"/>
    <m/>
    <m/>
    <m/>
    <m/>
    <m/>
    <m/>
    <m/>
    <m/>
    <m/>
    <s v="Hired Attorney"/>
    <m/>
    <m/>
    <n v="393"/>
    <n v="393"/>
    <n v="402"/>
    <n v="38.497267759562838"/>
    <n v="0"/>
    <n v="0"/>
    <s v="CONVICTION"/>
    <x v="0"/>
    <s v="N"/>
    <m/>
    <s v="CONVICTION"/>
    <s v="Y"/>
    <x v="0"/>
    <x v="0"/>
    <s v="Y"/>
    <n v="0.97761194029850751"/>
    <n v="1"/>
    <n v="2.2388059701492491E-2"/>
    <n v="0"/>
    <n v="-393"/>
    <n v="0"/>
    <n v="393"/>
    <e v="#VALUE!"/>
    <n v="393"/>
    <n v="0"/>
    <n v="0"/>
    <m/>
    <s v="Y"/>
    <m/>
    <s v=" &gt;1YRS&lt;2YRS"/>
    <n v="0"/>
    <x v="0"/>
  </r>
  <r>
    <n v="3248"/>
    <s v="N"/>
    <s v="N"/>
    <n v="1356354"/>
    <n v="1"/>
    <d v="2012-04-30T00:00:00"/>
    <d v="2012-07-24T00:00:00"/>
    <n v="1356354"/>
    <d v="2012-05-01T00:00:00"/>
    <d v="2012-07-24T00:00:00"/>
    <s v="NO BOND"/>
    <x v="1"/>
    <m/>
    <s v="N"/>
    <s v="NONE"/>
    <s v="NO BILL"/>
    <n v="85"/>
    <n v="86"/>
    <n v="4"/>
    <n v="6"/>
    <n v="2"/>
    <m/>
    <m/>
    <m/>
    <m/>
    <m/>
    <m/>
    <m/>
    <m/>
    <d v="1976-11-20T00:00:00"/>
    <s v="M"/>
    <s v="B"/>
    <s v="BLACK"/>
    <s v="NON-HISPANIC"/>
    <s v="180"/>
    <s v="NO BILL"/>
    <n v="6"/>
    <s v="NO BILL"/>
    <m/>
    <m/>
    <m/>
    <s v="ASSAULT-BOD INJ-PUB SERV/RETAL"/>
    <m/>
    <s v="F3"/>
    <s v="ASLT-MURDR"/>
    <m/>
    <m/>
    <m/>
    <m/>
    <m/>
    <m/>
    <m/>
    <m/>
    <m/>
    <s v="Appointed Attorney"/>
    <m/>
    <m/>
    <n v="85"/>
    <n v="85"/>
    <n v="86"/>
    <n v="35.368852459016395"/>
    <n v="0"/>
    <n v="0"/>
    <s v="NO CONVICTION"/>
    <x v="0"/>
    <s v="N"/>
    <m/>
    <s v="NO CONVICTION"/>
    <s v="Y"/>
    <x v="0"/>
    <x v="0"/>
    <s v="Y"/>
    <n v="0.98837209302325579"/>
    <n v="1"/>
    <n v="1.1627906976744207E-2"/>
    <n v="0"/>
    <n v="-85"/>
    <n v="0"/>
    <n v="85"/>
    <e v="#VALUE!"/>
    <n v="85"/>
    <n v="0"/>
    <n v="0"/>
    <m/>
    <s v="Y"/>
    <m/>
    <s v="61-90 DAYS"/>
    <n v="4"/>
    <x v="0"/>
  </r>
  <r>
    <n v="2629"/>
    <s v="N"/>
    <s v="N"/>
    <n v="1357012"/>
    <n v="4"/>
    <d v="2012-04-07T00:00:00"/>
    <d v="2012-04-09T00:00:00"/>
    <n v="1357012"/>
    <d v="2012-04-07T00:00:00"/>
    <d v="2012-04-09T00:00:00"/>
    <n v="15000"/>
    <x v="0"/>
    <m/>
    <s v="N"/>
    <s v="NONE"/>
    <s v="GUILTY PLEA - NO JURY"/>
    <n v="3"/>
    <n v="3"/>
    <n v="7"/>
    <n v="3"/>
    <n v="4"/>
    <m/>
    <m/>
    <m/>
    <m/>
    <m/>
    <m/>
    <m/>
    <m/>
    <d v="1967-09-12T00:00:00"/>
    <s v="F"/>
    <s v="B"/>
    <s v="BLACK"/>
    <s v="NON-HISPANIC"/>
    <s v="208"/>
    <s v="CONVICTED"/>
    <n v="1"/>
    <s v="HCJ"/>
    <m/>
    <m/>
    <n v="180"/>
    <s v="THEFT UNDER $1500 - 3RD OFF."/>
    <m/>
    <s v="FS"/>
    <s v="THEFT"/>
    <m/>
    <m/>
    <m/>
    <m/>
    <m/>
    <m/>
    <m/>
    <m/>
    <m/>
    <s v="Appointed Attorney"/>
    <m/>
    <m/>
    <n v="3"/>
    <n v="3"/>
    <n v="3"/>
    <n v="44.478142076502735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059"/>
    <s v="N"/>
    <s v="N"/>
    <n v="1358777"/>
    <n v="2"/>
    <d v="2012-03-18T00:00:00"/>
    <d v="2012-06-28T00:00:00"/>
    <n v="1358777"/>
    <d v="2012-03-18T00:00:00"/>
    <d v="2012-03-20T00:00:00"/>
    <n v="2000"/>
    <x v="5"/>
    <d v="2012-03-20T00:00:00"/>
    <s v="Y"/>
    <s v="SURETY"/>
    <s v="DEFERRED ADJUDICATION "/>
    <n v="3"/>
    <n v="103"/>
    <n v="0"/>
    <n v="0"/>
    <m/>
    <m/>
    <m/>
    <m/>
    <m/>
    <m/>
    <m/>
    <m/>
    <m/>
    <d v="1961-06-15T00:00:00"/>
    <s v="M"/>
    <s v="H"/>
    <s v="HISPANIC"/>
    <s v="HISPANIC"/>
    <s v="262"/>
    <s v="DEFERRED"/>
    <n v="7"/>
    <s v="DEFERRED"/>
    <m/>
    <m/>
    <m/>
    <s v="POSS CS PG 1 &lt;1G"/>
    <m/>
    <s v="FS"/>
    <s v="POSS DRUG"/>
    <m/>
    <m/>
    <m/>
    <m/>
    <m/>
    <m/>
    <m/>
    <m/>
    <m/>
    <s v="Hired Attorney"/>
    <m/>
    <m/>
    <n v="3"/>
    <n v="103"/>
    <n v="103"/>
    <n v="50.653005464480877"/>
    <n v="0"/>
    <n v="-100"/>
    <s v="DEFERRED"/>
    <x v="1"/>
    <s v="Y"/>
    <m/>
    <s v="DEFERRED"/>
    <s v="Y"/>
    <x v="1"/>
    <x v="0"/>
    <s v="N"/>
    <n v="2.9126213592233011E-2"/>
    <n v="2.9126213592233011E-2"/>
    <n v="0"/>
    <n v="0"/>
    <n v="-3"/>
    <n v="0"/>
    <n v="3"/>
    <e v="#VALUE!"/>
    <n v="3"/>
    <n v="0"/>
    <n v="100"/>
    <m/>
    <s v="N"/>
    <m/>
    <s v="0-10 DAYS"/>
    <n v="1"/>
    <x v="0"/>
  </r>
  <r>
    <n v="2937"/>
    <s v="N"/>
    <s v="N"/>
    <n v="1359471"/>
    <n v="1"/>
    <d v="2012-04-18T00:00:00"/>
    <d v="2012-11-14T00:00:00"/>
    <n v="1359471"/>
    <s v="NOT BOOKED"/>
    <s v="NOT BOOKED"/>
    <n v="2000"/>
    <x v="5"/>
    <m/>
    <s v="NO BOND MADE - NON ARREST"/>
    <s v="NONE"/>
    <s v="DISMISSED"/>
    <n v="0"/>
    <n v="211"/>
    <n v="0"/>
    <n v="0"/>
    <m/>
    <m/>
    <m/>
    <m/>
    <m/>
    <m/>
    <m/>
    <m/>
    <m/>
    <d v="1973-07-18T00:00:00"/>
    <s v="F"/>
    <s v="W"/>
    <s v="WHITE"/>
    <s v="NULL"/>
    <s v="338"/>
    <s v="DISMISSED"/>
    <n v="4"/>
    <s v="DISMISSED"/>
    <m/>
    <m/>
    <m/>
    <s v="THEFT $1500-20K"/>
    <m/>
    <s v="FS"/>
    <s v="THEFT"/>
    <m/>
    <m/>
    <m/>
    <m/>
    <m/>
    <m/>
    <m/>
    <m/>
    <m/>
    <s v="Appointed Attorney"/>
    <m/>
    <m/>
    <n v="0"/>
    <n v="0"/>
    <n v="211"/>
    <n v="38.672131147540981"/>
    <e v="#VALUE!"/>
    <e v="#VALUE!"/>
    <s v="NO CONVICTION"/>
    <x v="0"/>
    <s v="N"/>
    <m/>
    <s v="NO CONVICTION"/>
    <n v="0"/>
    <x v="2"/>
    <x v="0"/>
    <s v="N"/>
    <n v="0"/>
    <n v="0"/>
    <n v="0"/>
    <n v="0"/>
    <e v="#VALUE!"/>
    <e v="#VALUE!"/>
    <e v="#VALUE!"/>
    <n v="0"/>
    <n v="0"/>
    <m/>
    <e v="#VALUE!"/>
    <m/>
    <s v="N"/>
    <e v="#N/A"/>
    <s v="0-10 DAYS"/>
    <n v="1"/>
    <x v="1"/>
  </r>
  <r>
    <n v="2644"/>
    <s v="N"/>
    <s v="N"/>
    <n v="1360384"/>
    <n v="4"/>
    <d v="2012-04-08T00:00:00"/>
    <d v="2012-04-10T00:00:00"/>
    <n v="1360384"/>
    <d v="2012-04-08T00:00:00"/>
    <d v="2012-04-10T00:00:00"/>
    <n v="15000"/>
    <x v="0"/>
    <m/>
    <s v="N"/>
    <s v="NONE"/>
    <s v="GUILTY PLEA - NO JURY"/>
    <n v="3"/>
    <n v="3"/>
    <n v="8"/>
    <n v="1"/>
    <n v="5"/>
    <m/>
    <m/>
    <m/>
    <m/>
    <m/>
    <m/>
    <m/>
    <m/>
    <d v="1961-08-21T00:00:00"/>
    <s v="M"/>
    <s v="B"/>
    <s v="BLACK"/>
    <s v="NULL"/>
    <s v="248"/>
    <s v="CONVICTED"/>
    <n v="1"/>
    <s v="HCJ"/>
    <m/>
    <m/>
    <n v="30"/>
    <s v="POSS CS PG 1 &lt;1G"/>
    <m/>
    <s v="FS"/>
    <s v="POSS DRUG"/>
    <s v="8/9/12 filed (POSS W/INT DEL CS PG1&gt;=4 &lt;200 )"/>
    <m/>
    <m/>
    <m/>
    <m/>
    <m/>
    <m/>
    <m/>
    <m/>
    <s v="Appointed Attorney"/>
    <m/>
    <m/>
    <n v="3"/>
    <n v="3"/>
    <n v="3"/>
    <n v="50.527322404371581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475"/>
    <s v="N"/>
    <s v="N"/>
    <n v="1360727"/>
    <n v="5"/>
    <d v="2012-01-20T00:00:00"/>
    <d v="2012-01-23T00:00:00"/>
    <n v="1360727"/>
    <d v="2012-01-20T00:00:00"/>
    <d v="2012-01-23T00:00:00"/>
    <n v="5000"/>
    <x v="4"/>
    <m/>
    <s v="N"/>
    <s v="NONE"/>
    <s v="GUILTY PLEA - NO JURY"/>
    <n v="4"/>
    <n v="4"/>
    <n v="2"/>
    <n v="5"/>
    <n v="2"/>
    <m/>
    <m/>
    <m/>
    <m/>
    <m/>
    <m/>
    <m/>
    <m/>
    <d v="1976-10-02T00:00:00"/>
    <s v="M"/>
    <s v="W"/>
    <s v="WHITE"/>
    <s v="NON-HISPANIC"/>
    <s v="174"/>
    <s v="CONVICTED"/>
    <n v="1"/>
    <s v="STJ"/>
    <m/>
    <n v="6"/>
    <m/>
    <s v="POSS CS PG 2 &lt;1GRAM"/>
    <m/>
    <s v="FS"/>
    <s v="POSS DRUG"/>
    <m/>
    <m/>
    <m/>
    <m/>
    <m/>
    <m/>
    <m/>
    <m/>
    <m/>
    <s v="Appointed Attorney"/>
    <m/>
    <m/>
    <n v="4"/>
    <n v="4"/>
    <n v="4"/>
    <n v="35.22677595628415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2754"/>
    <s v="N"/>
    <s v="N"/>
    <n v="1362381"/>
    <n v="3"/>
    <d v="2012-04-12T00:00:00"/>
    <d v="2014-04-12T00:00:00"/>
    <n v="1362381"/>
    <s v="NOT BOOKED"/>
    <s v="NOT BOOKED"/>
    <n v="50000"/>
    <x v="2"/>
    <d v="2012-04-14T00:00:00"/>
    <s v="Y"/>
    <s v="SURETYPTRc"/>
    <s v="GUILTY PLEA - NO JURY"/>
    <n v="0"/>
    <n v="731"/>
    <n v="0"/>
    <n v="0"/>
    <m/>
    <m/>
    <m/>
    <m/>
    <m/>
    <m/>
    <m/>
    <m/>
    <m/>
    <d v="1963-05-17T00:00:00"/>
    <s v="M"/>
    <s v="W"/>
    <s v="WHITE"/>
    <s v="NULL"/>
    <s v="182"/>
    <s v="CONVICTED"/>
    <n v="9"/>
    <s v="PROBATION"/>
    <m/>
    <m/>
    <n v="180"/>
    <s v="INTOX MANSLAUGHTER W/VEH"/>
    <m/>
    <s v="F2"/>
    <s v="MURD/MANSL"/>
    <m/>
    <m/>
    <m/>
    <m/>
    <m/>
    <m/>
    <m/>
    <m/>
    <m/>
    <s v="Hired Attorney"/>
    <m/>
    <m/>
    <n v="0"/>
    <n v="0"/>
    <n v="731"/>
    <n v="48.806010928961747"/>
    <e v="#VALUE!"/>
    <e v="#VALUE!"/>
    <s v="CONVICTION"/>
    <x v="1"/>
    <s v="N"/>
    <m/>
    <s v="CONVICTION"/>
    <n v="0"/>
    <x v="1"/>
    <x v="0"/>
    <s v="N"/>
    <n v="0"/>
    <n v="0"/>
    <n v="0"/>
    <n v="0"/>
    <e v="#VALUE!"/>
    <e v="#VALUE!"/>
    <e v="#VALUE!"/>
    <s v="STILL OPEN"/>
    <n v="0"/>
    <n v="0"/>
    <e v="#VALUE!"/>
    <n v="0"/>
    <s v="N"/>
    <e v="#N/A"/>
    <s v="0-10 DAYS"/>
    <n v="1"/>
    <x v="1"/>
  </r>
  <r>
    <n v="309"/>
    <s v="N"/>
    <s v="N"/>
    <n v="1362675"/>
    <n v="6"/>
    <d v="2012-01-13T00:00:00"/>
    <d v="2012-02-22T00:00:00"/>
    <n v="1362675"/>
    <d v="2012-01-13T00:00:00"/>
    <d v="2012-01-18T00:00:00"/>
    <n v="15000"/>
    <x v="0"/>
    <d v="2012-01-18T00:00:00"/>
    <s v="Y"/>
    <s v="SURETY"/>
    <s v="GUILTY PLEA - NO JURY"/>
    <n v="6"/>
    <n v="41"/>
    <n v="3"/>
    <n v="4"/>
    <n v="2"/>
    <m/>
    <m/>
    <m/>
    <m/>
    <m/>
    <m/>
    <m/>
    <m/>
    <d v="1976-08-30T00:00:00"/>
    <s v="F"/>
    <s v="W"/>
    <s v="WHITE"/>
    <s v="NON-HISPANIC"/>
    <s v="178"/>
    <s v="CONVICTED"/>
    <n v="3"/>
    <s v="TDC"/>
    <n v="9"/>
    <m/>
    <m/>
    <s v="POSS CS PG 1 &lt;1G"/>
    <m/>
    <s v="FS"/>
    <s v="POSS DRUG"/>
    <m/>
    <m/>
    <m/>
    <m/>
    <m/>
    <m/>
    <m/>
    <m/>
    <m/>
    <s v="Appointed Attorney"/>
    <m/>
    <m/>
    <n v="6"/>
    <n v="41"/>
    <n v="41"/>
    <n v="35.297814207650276"/>
    <n v="0"/>
    <n v="-35"/>
    <s v="CONVICTION"/>
    <x v="1"/>
    <s v="Y"/>
    <m/>
    <s v="CONVICTION"/>
    <s v="Y"/>
    <x v="1"/>
    <x v="0"/>
    <s v="Y"/>
    <n v="0.14634146341463414"/>
    <n v="0.14634146341463414"/>
    <n v="0"/>
    <n v="0"/>
    <n v="-6"/>
    <n v="0"/>
    <n v="6"/>
    <e v="#VALUE!"/>
    <n v="6"/>
    <n v="0"/>
    <n v="35"/>
    <m/>
    <s v="Y"/>
    <m/>
    <s v="0-10 DAYS"/>
    <n v="1"/>
    <x v="0"/>
  </r>
  <r>
    <n v="89"/>
    <s v="N"/>
    <s v="N"/>
    <n v="1362858"/>
    <n v="4"/>
    <d v="2012-01-05T00:00:00"/>
    <d v="2012-12-11T00:00:00"/>
    <n v="1362858"/>
    <d v="2012-01-06T00:00:00"/>
    <d v="2012-01-07T00:00:00"/>
    <n v="2000"/>
    <x v="5"/>
    <d v="2012-01-07T00:00:00"/>
    <s v="Y"/>
    <s v="SURETY"/>
    <s v="GUILTY PLEA - NO JURY"/>
    <n v="2"/>
    <n v="342"/>
    <n v="0"/>
    <n v="3"/>
    <m/>
    <m/>
    <m/>
    <m/>
    <m/>
    <m/>
    <m/>
    <m/>
    <m/>
    <d v="1974-05-30T00:00:00"/>
    <s v="M"/>
    <s v="W"/>
    <s v="WHITE"/>
    <s v="NON-HISPANIC"/>
    <s v="174"/>
    <s v="CONVICTED"/>
    <n v="12"/>
    <s v="HCJ"/>
    <m/>
    <m/>
    <n v="200"/>
    <s v="BURGLARY OF A BUILDING"/>
    <m/>
    <s v="FS"/>
    <s v="BURGLARY"/>
    <m/>
    <m/>
    <m/>
    <m/>
    <m/>
    <m/>
    <m/>
    <m/>
    <m/>
    <s v="Hired Attorney"/>
    <m/>
    <m/>
    <n v="2"/>
    <n v="341"/>
    <n v="342"/>
    <n v="37.524590163934427"/>
    <n v="0"/>
    <n v="-339"/>
    <s v="CONVICTION"/>
    <x v="1"/>
    <s v="Y"/>
    <m/>
    <s v="CONVICTION"/>
    <s v="Y"/>
    <x v="1"/>
    <x v="0"/>
    <s v="N"/>
    <n v="5.8479532163742687E-3"/>
    <n v="5.8651026392961877E-3"/>
    <n v="1.7149422921918997E-5"/>
    <n v="0"/>
    <n v="-2"/>
    <n v="0"/>
    <n v="2"/>
    <e v="#VALUE!"/>
    <n v="2"/>
    <n v="0"/>
    <n v="339"/>
    <m/>
    <s v="Y"/>
    <m/>
    <s v="0-10 DAYS"/>
    <n v="1"/>
    <x v="0"/>
  </r>
  <r>
    <n v="2601"/>
    <s v="N"/>
    <s v="N"/>
    <n v="1364827"/>
    <n v="1"/>
    <d v="2012-04-06T00:00:00"/>
    <d v="2013-01-29T00:00:00"/>
    <n v="1364827"/>
    <d v="2012-04-11T00:00:00"/>
    <d v="2012-04-14T00:00:00"/>
    <n v="5000"/>
    <x v="4"/>
    <d v="2012-04-14T00:00:00"/>
    <s v="Y"/>
    <s v="SURETY"/>
    <s v="DISMISSED"/>
    <n v="4"/>
    <n v="299"/>
    <n v="0"/>
    <n v="2"/>
    <m/>
    <m/>
    <m/>
    <m/>
    <m/>
    <m/>
    <m/>
    <m/>
    <m/>
    <d v="1970-12-29T00:00:00"/>
    <s v="M"/>
    <s v="B"/>
    <s v="BLACK"/>
    <s v="NON-HISPANIC"/>
    <s v="248"/>
    <s v="DISMISSED"/>
    <n v="9"/>
    <s v="DISMISSED"/>
    <m/>
    <m/>
    <m/>
    <s v="ASSAULT-BOD INJ-FAMILY MEMBER"/>
    <m/>
    <s v="F3"/>
    <s v="ASLT-MURDR"/>
    <m/>
    <m/>
    <m/>
    <m/>
    <m/>
    <m/>
    <m/>
    <m/>
    <m/>
    <s v="Hired Attorney"/>
    <m/>
    <m/>
    <n v="4"/>
    <n v="294"/>
    <n v="299"/>
    <n v="41.185792349726775"/>
    <n v="0"/>
    <n v="-290"/>
    <s v="NO CONVICTION"/>
    <x v="1"/>
    <s v="Y"/>
    <m/>
    <s v="NO CONVICTION"/>
    <s v="Y"/>
    <x v="1"/>
    <x v="0"/>
    <s v="N"/>
    <n v="1.3377926421404682E-2"/>
    <n v="1.3605442176870748E-2"/>
    <n v="2.2751575546606576E-4"/>
    <n v="0"/>
    <n v="-4"/>
    <n v="0"/>
    <n v="4"/>
    <e v="#VALUE!"/>
    <n v="4"/>
    <n v="0"/>
    <n v="290"/>
    <m/>
    <s v="Y"/>
    <m/>
    <s v="0-10 DAYS"/>
    <n v="1"/>
    <x v="0"/>
  </r>
  <r>
    <n v="1892"/>
    <s v="N"/>
    <s v="N"/>
    <n v="1365518"/>
    <n v="3"/>
    <d v="2012-03-11T00:00:00"/>
    <d v="2012-03-12T00:00:00"/>
    <n v="1365518"/>
    <d v="2012-03-11T00:00:00"/>
    <d v="2012-03-12T00:00:00"/>
    <n v="10000"/>
    <x v="3"/>
    <m/>
    <s v="N"/>
    <s v="NONE"/>
    <s v="GUILTY PLEA - NO JURY"/>
    <n v="2"/>
    <n v="2"/>
    <n v="0"/>
    <n v="1"/>
    <m/>
    <m/>
    <m/>
    <m/>
    <m/>
    <m/>
    <m/>
    <m/>
    <m/>
    <d v="1975-09-11T00:00:00"/>
    <s v="M"/>
    <s v="W"/>
    <s v="WHITE"/>
    <s v="NON-HISPANIC"/>
    <s v="179"/>
    <s v="CONVICTED"/>
    <n v="1"/>
    <s v="PROBATION"/>
    <m/>
    <m/>
    <m/>
    <s v="DWI 3RD OFFENDER BAC .08"/>
    <m/>
    <s v="F3"/>
    <s v="FEL DWI"/>
    <s v=" 8/8/12 DWI prob"/>
    <m/>
    <m/>
    <m/>
    <m/>
    <m/>
    <m/>
    <m/>
    <m/>
    <s v="Appointed Attorney"/>
    <m/>
    <m/>
    <n v="2"/>
    <n v="2"/>
    <n v="2"/>
    <n v="36.423497267759565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957"/>
    <s v="N"/>
    <s v="N"/>
    <n v="1365757"/>
    <n v="6"/>
    <d v="2012-02-04T00:00:00"/>
    <d v="2012-06-08T00:00:00"/>
    <n v="1365757"/>
    <d v="2012-02-05T00:00:00"/>
    <d v="2012-02-05T00:00:00"/>
    <n v="5000"/>
    <x v="4"/>
    <d v="2012-02-05T00:00:00"/>
    <s v="Y"/>
    <s v="SURETYPTRc"/>
    <s v="GUILTY PLEA - NO JURY"/>
    <n v="1"/>
    <n v="126"/>
    <n v="0"/>
    <n v="2"/>
    <m/>
    <m/>
    <m/>
    <m/>
    <m/>
    <m/>
    <m/>
    <s v="S"/>
    <m/>
    <d v="1960-05-25T00:00:00"/>
    <s v="M"/>
    <s v="H"/>
    <s v="HISPANIC"/>
    <s v="NULL"/>
    <s v="178"/>
    <s v="CONVICTED"/>
    <n v="5"/>
    <s v="TDC"/>
    <n v="5"/>
    <m/>
    <m/>
    <s v="DWI 3RD OFFENDER BAC .08"/>
    <m/>
    <s v="F3"/>
    <s v="FEL DWI"/>
    <m/>
    <m/>
    <m/>
    <m/>
    <m/>
    <m/>
    <m/>
    <m/>
    <m/>
    <s v="Hired Attorney"/>
    <m/>
    <m/>
    <n v="1"/>
    <n v="125"/>
    <n v="126"/>
    <n v="51.590163934426229"/>
    <n v="0"/>
    <n v="-124"/>
    <s v="CONVICTION"/>
    <x v="1"/>
    <s v="Y"/>
    <m/>
    <s v="CONVICTION"/>
    <s v="Y"/>
    <x v="1"/>
    <x v="0"/>
    <s v="N"/>
    <n v="7.9365079365079361E-3"/>
    <n v="8.0000000000000002E-3"/>
    <n v="6.3492063492064099E-5"/>
    <n v="0"/>
    <n v="-1"/>
    <n v="0"/>
    <n v="1"/>
    <e v="#VALUE!"/>
    <n v="1"/>
    <n v="0"/>
    <n v="124"/>
    <m/>
    <s v="Y"/>
    <m/>
    <s v="0-10 DAYS"/>
    <n v="1"/>
    <x v="0"/>
  </r>
  <r>
    <n v="1195"/>
    <s v="N"/>
    <s v="N"/>
    <n v="1366229"/>
    <n v="5"/>
    <d v="2012-02-13T00:00:00"/>
    <d v="2012-03-12T00:00:00"/>
    <n v="1366229"/>
    <d v="2012-02-13T00:00:00"/>
    <d v="2012-03-12T00:00:00"/>
    <n v="15000"/>
    <x v="0"/>
    <m/>
    <s v="N"/>
    <s v="NONE"/>
    <s v="GUILTY PLEA - NO JURY"/>
    <n v="29"/>
    <n v="29"/>
    <n v="7"/>
    <n v="12"/>
    <n v="4"/>
    <m/>
    <m/>
    <m/>
    <m/>
    <m/>
    <m/>
    <m/>
    <m/>
    <d v="1976-03-15T00:00:00"/>
    <s v="M"/>
    <s v="B"/>
    <s v="BLACK"/>
    <s v="NON-HISPANIC"/>
    <s v="230"/>
    <s v="CONVICTED"/>
    <n v="3"/>
    <s v="STJ"/>
    <m/>
    <n v="6"/>
    <m/>
    <s v="THEFT $1500-20K"/>
    <m/>
    <s v="FS"/>
    <s v="THEFT"/>
    <m/>
    <m/>
    <m/>
    <m/>
    <m/>
    <m/>
    <m/>
    <m/>
    <m/>
    <s v="Appointed Attorney"/>
    <m/>
    <m/>
    <n v="29"/>
    <n v="29"/>
    <n v="29"/>
    <n v="35.841530054644807"/>
    <n v="0"/>
    <n v="0"/>
    <s v="CONVICTION"/>
    <x v="0"/>
    <s v="N"/>
    <m/>
    <s v="CONVICTION"/>
    <s v="Y"/>
    <x v="0"/>
    <x v="0"/>
    <s v="Y"/>
    <n v="1"/>
    <n v="1"/>
    <n v="0"/>
    <n v="0"/>
    <n v="-29"/>
    <n v="0"/>
    <n v="29"/>
    <e v="#VALUE!"/>
    <n v="29"/>
    <n v="0"/>
    <n v="0"/>
    <m/>
    <s v="Y"/>
    <m/>
    <s v="11-30 DAYS"/>
    <n v="2"/>
    <x v="0"/>
  </r>
  <r>
    <n v="3170"/>
    <s v="N"/>
    <s v="N"/>
    <n v="1366976"/>
    <n v="6"/>
    <d v="2012-04-26T00:00:00"/>
    <d v="2013-01-31T00:00:00"/>
    <n v="1366976"/>
    <d v="2012-04-27T00:00:00"/>
    <d v="2013-01-31T00:00:00"/>
    <n v="20000"/>
    <x v="0"/>
    <m/>
    <s v="N"/>
    <s v="NONE"/>
    <s v="nolo contendre no jury"/>
    <n v="280"/>
    <n v="281"/>
    <n v="6"/>
    <n v="3"/>
    <n v="3"/>
    <m/>
    <m/>
    <m/>
    <m/>
    <m/>
    <m/>
    <m/>
    <m/>
    <d v="1975-09-20T00:00:00"/>
    <s v="M"/>
    <s v="B"/>
    <s v="BLACK"/>
    <s v="NULL"/>
    <s v="174"/>
    <s v="CONVICTED"/>
    <n v="9"/>
    <s v="TDC"/>
    <n v="5"/>
    <m/>
    <m/>
    <s v="POSS W/INT DEL CS PG1 1G &lt;4 GR"/>
    <m/>
    <s v="F2"/>
    <s v="SALE DRUG"/>
    <m/>
    <m/>
    <m/>
    <m/>
    <m/>
    <m/>
    <m/>
    <m/>
    <m/>
    <s v="Hired Attorney"/>
    <m/>
    <m/>
    <n v="280"/>
    <n v="280"/>
    <n v="281"/>
    <n v="36.524590163934427"/>
    <n v="0"/>
    <n v="0"/>
    <s v="CONVICTION"/>
    <x v="0"/>
    <s v="N"/>
    <m/>
    <s v="CONVICTION"/>
    <s v="Y"/>
    <x v="0"/>
    <x v="0"/>
    <s v="Y"/>
    <n v="0.99644128113879005"/>
    <n v="1"/>
    <n v="3.558718861209953E-3"/>
    <n v="0"/>
    <n v="-280"/>
    <n v="0"/>
    <n v="280"/>
    <e v="#VALUE!"/>
    <n v="280"/>
    <n v="0"/>
    <n v="0"/>
    <m/>
    <s v="Y"/>
    <m/>
    <s v="121-365 DAYS"/>
    <n v="6"/>
    <x v="0"/>
  </r>
  <r>
    <n v="2740"/>
    <s v="N"/>
    <s v="N"/>
    <n v="1367198"/>
    <n v="4"/>
    <d v="2012-04-11T00:00:00"/>
    <d v="2012-07-18T00:00:00"/>
    <n v="1367198"/>
    <d v="2012-04-12T00:00:00"/>
    <d v="2012-07-18T00:00:00"/>
    <n v="10000"/>
    <x v="3"/>
    <m/>
    <s v="N"/>
    <s v="NONE"/>
    <s v="GUILTY PLEA - NO JURY"/>
    <n v="98"/>
    <n v="99"/>
    <n v="10"/>
    <n v="7"/>
    <n v="5"/>
    <m/>
    <m/>
    <m/>
    <m/>
    <m/>
    <m/>
    <m/>
    <m/>
    <d v="1976-09-16T00:00:00"/>
    <s v="M"/>
    <s v="B"/>
    <s v="BLACK"/>
    <s v="NON-HISPANIC"/>
    <s v="232"/>
    <s v="CONVICTED"/>
    <n v="6"/>
    <s v="HCJ"/>
    <m/>
    <m/>
    <n v="300"/>
    <s v="FELON POSS WPN"/>
    <m/>
    <s v="F3"/>
    <s v="OTHER FEL"/>
    <m/>
    <m/>
    <m/>
    <m/>
    <m/>
    <m/>
    <m/>
    <m/>
    <m/>
    <s v="Appointed Attorney"/>
    <m/>
    <m/>
    <n v="98"/>
    <n v="98"/>
    <n v="99"/>
    <n v="35.494535519125684"/>
    <n v="0"/>
    <n v="0"/>
    <s v="CONVICTION"/>
    <x v="0"/>
    <s v="N"/>
    <m/>
    <s v="CONVICTION"/>
    <s v="Y"/>
    <x v="0"/>
    <x v="0"/>
    <s v="Y"/>
    <n v="0.98989898989898994"/>
    <n v="1"/>
    <n v="1.0101010101010055E-2"/>
    <n v="0"/>
    <n v="-98"/>
    <n v="0"/>
    <n v="98"/>
    <e v="#VALUE!"/>
    <n v="98"/>
    <n v="0"/>
    <n v="0"/>
    <m/>
    <s v="Y"/>
    <m/>
    <s v="91-120 DAYS"/>
    <n v="0"/>
    <x v="0"/>
  </r>
  <r>
    <n v="2239"/>
    <s v="N"/>
    <s v="N"/>
    <n v="1369183"/>
    <n v="1"/>
    <d v="2012-03-25T00:00:00"/>
    <d v="2013-01-08T00:00:00"/>
    <n v="1369183"/>
    <d v="2012-03-25T00:00:00"/>
    <d v="2012-03-27T00:00:00"/>
    <n v="40000"/>
    <x v="2"/>
    <d v="2012-03-27T00:00:00"/>
    <s v="Y"/>
    <s v="SURETY"/>
    <s v="DISMISSED"/>
    <n v="3"/>
    <n v="290"/>
    <n v="3"/>
    <n v="1"/>
    <n v="2"/>
    <m/>
    <m/>
    <m/>
    <m/>
    <m/>
    <m/>
    <s v="S"/>
    <m/>
    <d v="1976-12-19T00:00:00"/>
    <s v="M"/>
    <s v="H"/>
    <s v="HISPANIC"/>
    <s v="NULL"/>
    <s v="339"/>
    <s v="DISMISSED"/>
    <n v="11"/>
    <s v="DISMISSED"/>
    <m/>
    <m/>
    <m/>
    <s v="AGG ASSAULT W/DEADLY WEAPON"/>
    <m/>
    <s v="F2"/>
    <s v="ASLT-MURDR"/>
    <m/>
    <m/>
    <m/>
    <m/>
    <m/>
    <m/>
    <m/>
    <m/>
    <m/>
    <s v="Hired Attorney"/>
    <m/>
    <m/>
    <n v="3"/>
    <n v="290"/>
    <n v="290"/>
    <n v="35.191256830601091"/>
    <n v="0"/>
    <n v="-287"/>
    <s v="NO CONVICTION"/>
    <x v="1"/>
    <s v="Y"/>
    <m/>
    <s v="NO CONVICTION"/>
    <s v="Y"/>
    <x v="1"/>
    <x v="0"/>
    <s v="Y"/>
    <n v="1.0344827586206896E-2"/>
    <n v="1.0344827586206896E-2"/>
    <n v="0"/>
    <n v="0"/>
    <n v="-3"/>
    <n v="0"/>
    <n v="3"/>
    <e v="#VALUE!"/>
    <n v="3"/>
    <n v="0"/>
    <n v="287"/>
    <m/>
    <s v="Y"/>
    <m/>
    <s v="0-10 DAYS"/>
    <n v="1"/>
    <x v="0"/>
  </r>
  <r>
    <n v="2114"/>
    <s v="N"/>
    <s v="N"/>
    <n v="1369803"/>
    <n v="5"/>
    <d v="2012-03-20T00:00:00"/>
    <d v="2012-03-21T00:00:00"/>
    <n v="1369803"/>
    <d v="2012-03-20T00:00:00"/>
    <d v="2012-03-21T00:00:00"/>
    <n v="15000"/>
    <x v="0"/>
    <m/>
    <s v="N"/>
    <s v="NONE"/>
    <s v="GUILTY PLEA - NO JURY"/>
    <n v="2"/>
    <n v="2"/>
    <n v="9"/>
    <n v="3"/>
    <n v="6"/>
    <m/>
    <m/>
    <m/>
    <m/>
    <m/>
    <m/>
    <m/>
    <m/>
    <d v="1962-07-29T00:00:00"/>
    <s v="M"/>
    <s v="B"/>
    <s v="BLACK"/>
    <s v="NON-HISPANIC"/>
    <s v="337"/>
    <s v="CONVICTED"/>
    <n v="1"/>
    <s v="STJ"/>
    <m/>
    <n v="9"/>
    <m/>
    <s v="MAN/DEL CS PG I &lt;1GRAM"/>
    <m/>
    <s v="FS"/>
    <s v="SALE DRUG"/>
    <m/>
    <m/>
    <m/>
    <m/>
    <m/>
    <m/>
    <m/>
    <m/>
    <m/>
    <s v="Appointed Attorney"/>
    <m/>
    <m/>
    <n v="2"/>
    <n v="2"/>
    <n v="2"/>
    <n v="49.540983606557376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1468"/>
    <s v="N"/>
    <s v="N"/>
    <n v="1374093"/>
    <n v="5"/>
    <d v="2012-02-23T00:00:00"/>
    <d v="2012-05-21T00:00:00"/>
    <n v="1374093"/>
    <d v="2012-02-24T00:00:00"/>
    <d v="2012-05-21T00:00:00"/>
    <n v="15000"/>
    <x v="0"/>
    <m/>
    <s v="N"/>
    <s v="NONE"/>
    <s v="GUILTY PLEA - NO JURY"/>
    <n v="88"/>
    <n v="89"/>
    <n v="5"/>
    <n v="11"/>
    <n v="5"/>
    <m/>
    <m/>
    <m/>
    <m/>
    <m/>
    <m/>
    <m/>
    <m/>
    <d v="1972-05-21T00:00:00"/>
    <s v="M"/>
    <s v="W"/>
    <s v="WHITE"/>
    <s v="NULL"/>
    <s v="208"/>
    <s v="CONVICTED"/>
    <n v="4"/>
    <s v="STJ"/>
    <m/>
    <n v="6"/>
    <m/>
    <s v="MAN/DEL CS PG I &lt;1GRAM"/>
    <m/>
    <s v="FS"/>
    <s v="SALE DRUG"/>
    <m/>
    <m/>
    <m/>
    <m/>
    <m/>
    <m/>
    <m/>
    <m/>
    <m/>
    <s v="Appointed Attorney"/>
    <m/>
    <m/>
    <n v="88"/>
    <n v="88"/>
    <n v="89"/>
    <n v="39.677595628415304"/>
    <n v="0"/>
    <n v="0"/>
    <s v="CONVICTION"/>
    <x v="0"/>
    <s v="N"/>
    <m/>
    <s v="CONVICTION"/>
    <s v="Y"/>
    <x v="0"/>
    <x v="0"/>
    <s v="Y"/>
    <n v="0.9887640449438202"/>
    <n v="1"/>
    <n v="1.1235955056179803E-2"/>
    <n v="0"/>
    <n v="-88"/>
    <n v="0"/>
    <n v="88"/>
    <e v="#VALUE!"/>
    <n v="88"/>
    <n v="0"/>
    <n v="0"/>
    <m/>
    <s v="Y"/>
    <m/>
    <s v="61-90 DAYS"/>
    <n v="4"/>
    <x v="0"/>
  </r>
  <r>
    <n v="2702"/>
    <s v="N"/>
    <s v="N"/>
    <n v="1374219"/>
    <n v="1"/>
    <d v="2012-04-10T00:00:00"/>
    <d v="2012-05-31T00:00:00"/>
    <n v="1374219"/>
    <d v="2012-04-10T00:00:00"/>
    <d v="2012-05-31T00:00:00"/>
    <n v="30000"/>
    <x v="2"/>
    <m/>
    <s v="N"/>
    <s v="NONE"/>
    <s v="NO BILL"/>
    <n v="52"/>
    <n v="52"/>
    <n v="2"/>
    <n v="4"/>
    <m/>
    <n v="1"/>
    <m/>
    <m/>
    <m/>
    <m/>
    <m/>
    <m/>
    <m/>
    <d v="1976-02-05T00:00:00"/>
    <s v="M"/>
    <s v="H"/>
    <s v="HISPANIC"/>
    <s v="HISPANIC"/>
    <s v="185"/>
    <s v="NO BILL"/>
    <n v="4"/>
    <s v="NO BILL"/>
    <m/>
    <m/>
    <m/>
    <s v="AGG ASSAULT W/DEADLY WEAPON"/>
    <m/>
    <s v="F2"/>
    <s v="ASLT-MURDR"/>
    <m/>
    <m/>
    <m/>
    <m/>
    <m/>
    <m/>
    <m/>
    <m/>
    <m/>
    <s v="Appointed Attorney"/>
    <m/>
    <m/>
    <n v="52"/>
    <n v="52"/>
    <n v="52"/>
    <n v="36.103825136612024"/>
    <n v="0"/>
    <n v="0"/>
    <s v="NO CONVICTION"/>
    <x v="0"/>
    <s v="N"/>
    <m/>
    <s v="NO CONVICTION"/>
    <s v="Y"/>
    <x v="0"/>
    <x v="0"/>
    <s v="Y"/>
    <n v="1"/>
    <n v="1"/>
    <n v="0"/>
    <n v="0"/>
    <n v="-52"/>
    <n v="0"/>
    <n v="52"/>
    <e v="#VALUE!"/>
    <n v="52"/>
    <n v="0"/>
    <n v="0"/>
    <m/>
    <s v="Y"/>
    <m/>
    <s v="31-60 DAYS"/>
    <n v="3"/>
    <x v="0"/>
  </r>
  <r>
    <n v="1745"/>
    <s v="N"/>
    <s v="N"/>
    <n v="1374395"/>
    <n v="6"/>
    <d v="2012-03-05T00:00:00"/>
    <d v="2012-04-19T00:00:00"/>
    <n v="1374395"/>
    <d v="2012-03-06T00:00:00"/>
    <d v="2012-04-19T00:00:00"/>
    <n v="25000"/>
    <x v="2"/>
    <m/>
    <s v="N"/>
    <s v="NONE"/>
    <s v="GUILTY PLEA - NO JURY"/>
    <n v="45"/>
    <n v="46"/>
    <n v="1"/>
    <n v="1"/>
    <n v="1"/>
    <m/>
    <m/>
    <m/>
    <m/>
    <m/>
    <m/>
    <m/>
    <m/>
    <d v="1975-06-09T00:00:00"/>
    <s v="M"/>
    <s v="B"/>
    <s v="BLACK"/>
    <s v="NON-HISPANIC"/>
    <s v="176"/>
    <s v="CONVICTED"/>
    <n v="2"/>
    <s v="TDC"/>
    <n v="5"/>
    <m/>
    <m/>
    <s v="FORGERY GOVT FINANCIAL INST"/>
    <m/>
    <s v="F3"/>
    <s v="OTHER FEL"/>
    <m/>
    <m/>
    <m/>
    <m/>
    <m/>
    <m/>
    <m/>
    <m/>
    <m/>
    <s v="Appointed Attorney"/>
    <m/>
    <m/>
    <n v="45"/>
    <n v="45"/>
    <n v="46"/>
    <n v="36.66393442622951"/>
    <n v="0"/>
    <n v="0"/>
    <s v="CONVICTION"/>
    <x v="0"/>
    <s v="N"/>
    <m/>
    <s v="CONVICTION"/>
    <s v="Y"/>
    <x v="0"/>
    <x v="0"/>
    <s v="Y"/>
    <n v="0.97826086956521741"/>
    <n v="1"/>
    <n v="2.1739130434782594E-2"/>
    <n v="0"/>
    <n v="-45"/>
    <n v="0"/>
    <n v="45"/>
    <e v="#VALUE!"/>
    <n v="45"/>
    <n v="0"/>
    <n v="0"/>
    <m/>
    <s v="Y"/>
    <m/>
    <s v="31-60 DAYS"/>
    <n v="3"/>
    <x v="0"/>
  </r>
  <r>
    <n v="2138"/>
    <s v="N"/>
    <s v="N"/>
    <n v="1375314"/>
    <n v="6"/>
    <d v="2012-03-21T00:00:00"/>
    <d v="2012-08-15T00:00:00"/>
    <n v="1375314"/>
    <d v="2012-03-21T00:00:00"/>
    <d v="2012-08-15T00:00:00"/>
    <s v="NO BOND"/>
    <x v="1"/>
    <m/>
    <s v="N"/>
    <s v="NONE"/>
    <s v="GUILTY PLEA - NO JURY"/>
    <n v="148"/>
    <n v="148"/>
    <n v="3"/>
    <n v="2"/>
    <n v="3"/>
    <m/>
    <m/>
    <m/>
    <m/>
    <m/>
    <m/>
    <m/>
    <m/>
    <d v="1976-08-18T00:00:00"/>
    <s v="M"/>
    <s v="B"/>
    <s v="BLACK"/>
    <s v="NON-HISPANIC"/>
    <s v="209"/>
    <s v="CONVICTED"/>
    <n v="6"/>
    <s v="TDC"/>
    <n v="10"/>
    <m/>
    <m/>
    <s v="POSS W/INT DEL CS PG1 1G &lt;4 GR"/>
    <m/>
    <s v="F2"/>
    <s v="SALE DRUG"/>
    <m/>
    <m/>
    <m/>
    <m/>
    <m/>
    <m/>
    <m/>
    <m/>
    <m/>
    <s v="Hired Attorney"/>
    <m/>
    <m/>
    <n v="148"/>
    <n v="148"/>
    <n v="148"/>
    <n v="35.516393442622949"/>
    <n v="0"/>
    <n v="0"/>
    <s v="CONVICTION"/>
    <x v="0"/>
    <s v="N"/>
    <m/>
    <s v="CONVICTION"/>
    <s v="Y"/>
    <x v="0"/>
    <x v="0"/>
    <s v="Y"/>
    <n v="1"/>
    <n v="1"/>
    <n v="0"/>
    <n v="0"/>
    <n v="-148"/>
    <n v="0"/>
    <n v="148"/>
    <e v="#VALUE!"/>
    <n v="148"/>
    <n v="0"/>
    <n v="0"/>
    <m/>
    <s v="Y"/>
    <m/>
    <s v="121-365 DAYS"/>
    <n v="6"/>
    <x v="0"/>
  </r>
  <r>
    <n v="1984"/>
    <s v="N"/>
    <s v="N"/>
    <n v="1378508"/>
    <n v="4"/>
    <d v="2012-03-15T00:00:00"/>
    <d v="2012-07-12T00:00:00"/>
    <n v="1378508"/>
    <d v="2012-03-15T00:00:00"/>
    <d v="2012-07-12T00:00:00"/>
    <s v="NO BOND"/>
    <x v="1"/>
    <m/>
    <s v="N"/>
    <s v="NONE"/>
    <s v="GUILTY PLEA - NO JURY"/>
    <n v="120"/>
    <n v="120"/>
    <n v="0"/>
    <n v="3"/>
    <m/>
    <m/>
    <m/>
    <m/>
    <m/>
    <m/>
    <m/>
    <m/>
    <m/>
    <d v="1972-02-02T00:00:00"/>
    <s v="M"/>
    <s v="W"/>
    <s v="WHITE"/>
    <s v="NON-HISPANIC"/>
    <s v="209"/>
    <s v="CONVICTED"/>
    <n v="5"/>
    <s v="HCJ"/>
    <m/>
    <m/>
    <n v="365"/>
    <s v="ASSAULT-BOD INJ-FAMILY MEMBER"/>
    <m/>
    <s v="F3"/>
    <s v="ASLT-MURDR"/>
    <m/>
    <m/>
    <m/>
    <m/>
    <m/>
    <m/>
    <m/>
    <m/>
    <m/>
    <s v="Hired Attorney"/>
    <m/>
    <m/>
    <n v="120"/>
    <n v="120"/>
    <n v="120"/>
    <n v="40.032786885245905"/>
    <n v="0"/>
    <n v="0"/>
    <s v="CONVICTION"/>
    <x v="0"/>
    <s v="N"/>
    <m/>
    <s v="CONVICTION"/>
    <s v="Y"/>
    <x v="0"/>
    <x v="0"/>
    <s v="N"/>
    <n v="1"/>
    <n v="1"/>
    <n v="0"/>
    <n v="0"/>
    <n v="-120"/>
    <n v="0"/>
    <n v="120"/>
    <e v="#VALUE!"/>
    <n v="120"/>
    <n v="0"/>
    <n v="0"/>
    <m/>
    <s v="Y"/>
    <m/>
    <s v="91-120 DAYS"/>
    <n v="0"/>
    <x v="0"/>
  </r>
  <r>
    <n v="198"/>
    <s v="N"/>
    <s v="N"/>
    <n v="1379662"/>
    <n v="1"/>
    <d v="2012-01-09T00:00:00"/>
    <d v="2012-05-03T00:00:00"/>
    <n v="1379662"/>
    <d v="2012-01-09T00:00:00"/>
    <d v="2012-05-03T00:00:00"/>
    <s v="NO BOND"/>
    <x v="1"/>
    <m/>
    <s v="N"/>
    <s v="NONE"/>
    <s v="DISMISSED"/>
    <n v="116"/>
    <n v="116"/>
    <n v="3"/>
    <n v="2"/>
    <n v="3"/>
    <m/>
    <m/>
    <m/>
    <m/>
    <m/>
    <m/>
    <m/>
    <m/>
    <d v="1976-10-27T00:00:00"/>
    <s v="M"/>
    <s v="B"/>
    <s v="BLACK"/>
    <s v="NON-HISPANIC"/>
    <s v="263"/>
    <s v="DISMISSED"/>
    <n v="7"/>
    <s v="DISMISSED"/>
    <m/>
    <m/>
    <m/>
    <s v="AGG ASSAULT-FAMILY MEMBER"/>
    <m/>
    <s v="F2"/>
    <s v="ASLT-MURDR"/>
    <m/>
    <m/>
    <m/>
    <m/>
    <m/>
    <m/>
    <m/>
    <m/>
    <m/>
    <s v="Appointed Attorney"/>
    <m/>
    <m/>
    <n v="116"/>
    <n v="116"/>
    <n v="116"/>
    <n v="35.12841530054645"/>
    <n v="0"/>
    <n v="0"/>
    <s v="NO CONVICTION"/>
    <x v="0"/>
    <s v="N"/>
    <m/>
    <s v="NO CONVICTION"/>
    <s v="Y"/>
    <x v="0"/>
    <x v="0"/>
    <s v="Y"/>
    <n v="1"/>
    <n v="1"/>
    <n v="0"/>
    <n v="0"/>
    <n v="-116"/>
    <n v="0"/>
    <n v="116"/>
    <e v="#VALUE!"/>
    <n v="116"/>
    <n v="0"/>
    <n v="0"/>
    <m/>
    <s v="Y"/>
    <m/>
    <s v="91-120 DAYS"/>
    <n v="0"/>
    <x v="0"/>
  </r>
  <r>
    <n v="1606"/>
    <s v="N"/>
    <s v="N"/>
    <n v="1380731"/>
    <n v="6"/>
    <d v="2012-03-01T00:00:00"/>
    <d v="2013-03-14T00:00:00"/>
    <n v="1380731"/>
    <d v="2012-03-01T00:00:00"/>
    <d v="2013-03-14T00:00:00"/>
    <s v="NO BOND"/>
    <x v="1"/>
    <m/>
    <s v="N"/>
    <s v="NONE"/>
    <s v="GUILTY PLEA - NO JURY"/>
    <n v="379"/>
    <n v="379"/>
    <n v="2"/>
    <n v="4"/>
    <n v="1"/>
    <n v="1"/>
    <m/>
    <m/>
    <m/>
    <m/>
    <m/>
    <m/>
    <m/>
    <d v="1975-06-27T00:00:00"/>
    <s v="M"/>
    <s v="B"/>
    <s v="BLACK"/>
    <s v="NON-HISPANIC"/>
    <s v="248"/>
    <s v="CONVICTED"/>
    <n v="13"/>
    <s v="TDC"/>
    <n v="25"/>
    <m/>
    <m/>
    <s v="MURD/MANSL"/>
    <m/>
    <s v="F1"/>
    <s v="ASLT-MURDR"/>
    <m/>
    <m/>
    <m/>
    <m/>
    <m/>
    <m/>
    <m/>
    <m/>
    <m/>
    <s v="Hired Attorney"/>
    <m/>
    <m/>
    <n v="379"/>
    <n v="379"/>
    <n v="379"/>
    <n v="36.603825136612024"/>
    <n v="0"/>
    <n v="0"/>
    <s v="CONVICTION"/>
    <x v="0"/>
    <s v="N"/>
    <m/>
    <s v="CONVICTION"/>
    <s v="Y"/>
    <x v="0"/>
    <x v="0"/>
    <s v="Y"/>
    <n v="1"/>
    <n v="1"/>
    <n v="0"/>
    <n v="0"/>
    <n v="-379"/>
    <n v="0"/>
    <n v="379"/>
    <e v="#VALUE!"/>
    <n v="379"/>
    <n v="0"/>
    <n v="0"/>
    <m/>
    <s v="Y"/>
    <m/>
    <s v=" &gt;1YRS&lt;2YRS"/>
    <n v="0"/>
    <x v="0"/>
  </r>
  <r>
    <n v="1624"/>
    <s v="N"/>
    <s v="Y"/>
    <n v="1380859"/>
    <n v="2"/>
    <d v="2012-03-01T00:00:00"/>
    <d v="2012-08-27T00:00:00"/>
    <n v="1380859"/>
    <d v="2012-03-01T00:00:00"/>
    <d v="2012-04-06T00:00:00"/>
    <n v="20000"/>
    <x v="0"/>
    <d v="2012-04-06T00:00:00"/>
    <s v="Y"/>
    <s v="SURETY"/>
    <s v="DEFERRED ADJUDICATION "/>
    <n v="141"/>
    <n v="180"/>
    <n v="3"/>
    <n v="10"/>
    <n v="2"/>
    <n v="1"/>
    <m/>
    <m/>
    <m/>
    <m/>
    <m/>
    <m/>
    <m/>
    <d v="1975-08-17T00:00:00"/>
    <s v="M"/>
    <s v="H"/>
    <s v="HISPANIC"/>
    <s v="HISPANIC"/>
    <s v="338"/>
    <s v="DEFERRED"/>
    <n v="5"/>
    <s v="DEFERRED"/>
    <m/>
    <m/>
    <m/>
    <s v="ASSAULT-BOD INJ-FAMILY MEMBER"/>
    <m/>
    <s v="F3"/>
    <s v="ASLT-MURDR"/>
    <m/>
    <s v="rev 4/30/12"/>
    <m/>
    <m/>
    <s v="Y"/>
    <m/>
    <m/>
    <m/>
    <m/>
    <s v="Appointed Attorney"/>
    <m/>
    <m/>
    <n v="141"/>
    <n v="180"/>
    <n v="180"/>
    <n v="36.464480874316941"/>
    <n v="0"/>
    <n v="-143"/>
    <s v="DEFERRED"/>
    <x v="1"/>
    <s v="Y"/>
    <m/>
    <s v="DEFERRED"/>
    <s v="Y"/>
    <x v="0"/>
    <x v="0"/>
    <s v="Y"/>
    <n v="0.78333333333333333"/>
    <n v="0.20555555555555555"/>
    <n v="-0.57777777777777772"/>
    <n v="0"/>
    <n v="-37"/>
    <n v="104"/>
    <n v="180"/>
    <n v="141"/>
    <n v="180"/>
    <n v="143"/>
    <n v="143"/>
    <m/>
    <s v="Y"/>
    <m/>
    <s v="121-365 DAYS"/>
    <n v="6"/>
    <x v="0"/>
  </r>
  <r>
    <n v="122"/>
    <s v="N"/>
    <s v="N"/>
    <n v="1381131"/>
    <n v="2"/>
    <d v="2012-01-06T00:00:00"/>
    <d v="2012-03-01T00:00:00"/>
    <n v="1381131"/>
    <d v="2012-01-11T00:00:00"/>
    <d v="2012-02-11T00:00:00"/>
    <n v="20000"/>
    <x v="0"/>
    <d v="2012-02-11T00:00:00"/>
    <s v="Y"/>
    <s v="SURETY"/>
    <s v="DEFERRED ADJUDICATION "/>
    <n v="32"/>
    <n v="56"/>
    <n v="10"/>
    <n v="7"/>
    <n v="8"/>
    <m/>
    <m/>
    <m/>
    <m/>
    <m/>
    <m/>
    <m/>
    <m/>
    <d v="1976-10-12T00:00:00"/>
    <s v="M"/>
    <s v="B"/>
    <s v="BLACK"/>
    <s v="NON-HISPANIC"/>
    <s v="179"/>
    <s v="DEFERRED"/>
    <n v="4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32"/>
    <n v="51"/>
    <n v="56"/>
    <n v="35.161202185792348"/>
    <n v="0"/>
    <n v="-19"/>
    <s v="DEFERRED"/>
    <x v="1"/>
    <s v="Y"/>
    <m/>
    <s v="DEFERRED"/>
    <s v="Y"/>
    <x v="1"/>
    <x v="0"/>
    <s v="Y"/>
    <n v="0.5714285714285714"/>
    <n v="0.62745098039215685"/>
    <n v="5.6022408963585457E-2"/>
    <n v="0"/>
    <n v="-32"/>
    <n v="0"/>
    <n v="32"/>
    <e v="#VALUE!"/>
    <n v="32"/>
    <n v="0"/>
    <n v="19"/>
    <m/>
    <s v="Y"/>
    <m/>
    <s v="31-60 DAYS"/>
    <n v="3"/>
    <x v="0"/>
  </r>
  <r>
    <n v="1604"/>
    <s v="N"/>
    <s v="N"/>
    <n v="1385411"/>
    <n v="6"/>
    <d v="2012-02-28T00:00:00"/>
    <d v="2012-08-16T00:00:00"/>
    <n v="1385411"/>
    <d v="2012-02-29T00:00:00"/>
    <d v="2012-08-16T00:00:00"/>
    <n v="5000"/>
    <x v="4"/>
    <m/>
    <s v="N"/>
    <s v="NONE"/>
    <s v="GUILTY PLEA - NO JURY"/>
    <n v="170"/>
    <n v="171"/>
    <n v="0"/>
    <n v="1"/>
    <m/>
    <m/>
    <m/>
    <m/>
    <m/>
    <m/>
    <m/>
    <m/>
    <m/>
    <d v="1968-12-09T00:00:00"/>
    <s v="F"/>
    <s v="B"/>
    <s v="BLACK"/>
    <s v="NON-HISPANIC"/>
    <s v="339"/>
    <s v="CONVICTED"/>
    <n v="8"/>
    <s v="TDC"/>
    <n v="2"/>
    <m/>
    <m/>
    <s v="evading arrest/detention w/veh "/>
    <m/>
    <s v="F3"/>
    <s v="OTHER FEL"/>
    <m/>
    <m/>
    <m/>
    <m/>
    <m/>
    <m/>
    <m/>
    <m/>
    <m/>
    <s v="Appointed Attorney"/>
    <m/>
    <m/>
    <n v="170"/>
    <n v="170"/>
    <n v="171"/>
    <n v="43.131147540983605"/>
    <n v="0"/>
    <n v="0"/>
    <s v="CONVICTION"/>
    <x v="0"/>
    <s v="N"/>
    <m/>
    <s v="CONVICTION"/>
    <s v="Y"/>
    <x v="0"/>
    <x v="0"/>
    <s v="N"/>
    <n v="0.99415204678362568"/>
    <n v="1"/>
    <n v="5.8479532163743242E-3"/>
    <n v="0"/>
    <n v="-170"/>
    <n v="0"/>
    <n v="170"/>
    <e v="#VALUE!"/>
    <n v="170"/>
    <n v="0"/>
    <n v="0"/>
    <m/>
    <s v="Y"/>
    <m/>
    <s v="121-365 DAYS"/>
    <n v="6"/>
    <x v="0"/>
  </r>
  <r>
    <n v="936"/>
    <s v="N"/>
    <s v="N"/>
    <n v="1385491"/>
    <n v="1"/>
    <d v="2012-02-04T00:00:00"/>
    <d v="2013-01-23T00:00:00"/>
    <n v="1385491"/>
    <d v="2012-02-04T00:00:00"/>
    <d v="2012-02-05T00:00:00"/>
    <n v="5000"/>
    <x v="4"/>
    <d v="2012-02-05T00:00:00"/>
    <s v="Y"/>
    <s v="SURETYPTRc"/>
    <s v="DISMISSED"/>
    <n v="2"/>
    <n v="355"/>
    <n v="1"/>
    <n v="1"/>
    <m/>
    <n v="1"/>
    <m/>
    <m/>
    <m/>
    <m/>
    <m/>
    <m/>
    <m/>
    <d v="1972-10-09T00:00:00"/>
    <s v="M"/>
    <s v="B"/>
    <s v="BLACK"/>
    <s v="NON-HISPANIC"/>
    <s v="337"/>
    <s v="DISMISSED"/>
    <n v="11"/>
    <s v="DISMISSED"/>
    <m/>
    <m/>
    <m/>
    <s v="POSS CS PG 2 4G - 400G"/>
    <m/>
    <s v="F2"/>
    <s v="POSS DRUG"/>
    <m/>
    <m/>
    <m/>
    <m/>
    <m/>
    <m/>
    <m/>
    <m/>
    <m/>
    <s v="Hired Attorney"/>
    <m/>
    <m/>
    <n v="2"/>
    <n v="355"/>
    <n v="355"/>
    <n v="39.240437158469945"/>
    <n v="0"/>
    <n v="-353"/>
    <s v="NO CONVICTION"/>
    <x v="1"/>
    <s v="Y"/>
    <m/>
    <s v="NO CONVICTION"/>
    <s v="Y"/>
    <x v="1"/>
    <x v="0"/>
    <s v="Y"/>
    <n v="5.6338028169014088E-3"/>
    <n v="5.6338028169014088E-3"/>
    <n v="0"/>
    <n v="0"/>
    <n v="-2"/>
    <n v="0"/>
    <n v="2"/>
    <e v="#VALUE!"/>
    <n v="2"/>
    <n v="0"/>
    <n v="353"/>
    <m/>
    <s v="Y"/>
    <m/>
    <s v="0-10 DAYS"/>
    <n v="1"/>
    <x v="0"/>
  </r>
  <r>
    <n v="30"/>
    <s v="N"/>
    <s v="N"/>
    <n v="1385775"/>
    <n v="5"/>
    <d v="2012-01-03T00:00:00"/>
    <d v="2012-02-21T00:00:00"/>
    <n v="1385775"/>
    <d v="2012-01-03T00:00:00"/>
    <d v="2012-02-21T00:00:00"/>
    <n v="15000"/>
    <x v="0"/>
    <m/>
    <s v="N"/>
    <s v="NONE"/>
    <s v="GUILTY PLEA - NO JURY"/>
    <n v="50"/>
    <n v="50"/>
    <n v="4"/>
    <n v="0"/>
    <n v="4"/>
    <m/>
    <m/>
    <m/>
    <m/>
    <m/>
    <m/>
    <m/>
    <m/>
    <d v="1976-09-05T00:00:00"/>
    <s v="M"/>
    <s v="B"/>
    <s v="BLACK"/>
    <s v="NON-HISPANIC"/>
    <s v="232"/>
    <s v="CONVICTED"/>
    <n v="6"/>
    <s v="STJ"/>
    <m/>
    <n v="6"/>
    <m/>
    <s v="CREDIT/DEBIT CARD ABUSE"/>
    <m/>
    <s v="FS"/>
    <s v="OTHER FEL"/>
    <m/>
    <m/>
    <m/>
    <m/>
    <m/>
    <m/>
    <m/>
    <m/>
    <m/>
    <s v="Public Defender"/>
    <m/>
    <m/>
    <n v="50"/>
    <n v="50"/>
    <n v="50"/>
    <n v="35.254098360655739"/>
    <n v="0"/>
    <n v="0"/>
    <s v="CONVICTION"/>
    <x v="0"/>
    <s v="N"/>
    <m/>
    <s v="CONVICTION"/>
    <s v="Y"/>
    <x v="0"/>
    <x v="0"/>
    <s v="Y"/>
    <n v="1"/>
    <n v="1"/>
    <n v="0"/>
    <n v="0"/>
    <n v="-50"/>
    <n v="0"/>
    <n v="50"/>
    <e v="#VALUE!"/>
    <n v="50"/>
    <n v="0"/>
    <n v="0"/>
    <m/>
    <s v="Y"/>
    <m/>
    <s v="31-60 DAYS"/>
    <n v="3"/>
    <x v="0"/>
  </r>
  <r>
    <n v="2826"/>
    <s v="N"/>
    <s v="N"/>
    <n v="1386472"/>
    <n v="3"/>
    <d v="2012-04-14T00:00:00"/>
    <d v="2012-09-19T00:00:00"/>
    <n v="1386472"/>
    <d v="2012-04-14T00:00:00"/>
    <d v="2012-05-16T00:00:00"/>
    <n v="50000"/>
    <x v="2"/>
    <d v="2012-05-16T00:00:00"/>
    <s v="Y"/>
    <s v="SURETYPTRc"/>
    <s v="GUILTY PLEA - NO JURY"/>
    <n v="33"/>
    <n v="159"/>
    <n v="1"/>
    <n v="2"/>
    <m/>
    <n v="1"/>
    <m/>
    <m/>
    <m/>
    <m/>
    <m/>
    <s v="S"/>
    <m/>
    <d v="1951-07-22T00:00:00"/>
    <s v="M"/>
    <s v="H"/>
    <s v="HISPANIC"/>
    <s v="NULL"/>
    <s v="248"/>
    <s v="CONVICTED"/>
    <n v="6"/>
    <s v="PROBATION"/>
    <m/>
    <m/>
    <n v="10"/>
    <s v="DWI 3RD OFFENDER BAC .08"/>
    <m/>
    <s v="F3"/>
    <s v="FEL DWI"/>
    <m/>
    <m/>
    <m/>
    <m/>
    <m/>
    <m/>
    <m/>
    <m/>
    <m/>
    <s v="Hired Attorney"/>
    <m/>
    <m/>
    <n v="33"/>
    <n v="159"/>
    <n v="159"/>
    <n v="60.606557377049178"/>
    <n v="0"/>
    <n v="-126"/>
    <s v="CONVICTION"/>
    <x v="1"/>
    <s v="Y"/>
    <m/>
    <s v="CONVICTION"/>
    <s v="Y"/>
    <x v="1"/>
    <x v="0"/>
    <s v="Y"/>
    <n v="0.20754716981132076"/>
    <n v="0.20754716981132076"/>
    <n v="0"/>
    <n v="0"/>
    <n v="-33"/>
    <n v="0"/>
    <n v="33"/>
    <e v="#VALUE!"/>
    <n v="33"/>
    <n v="0"/>
    <n v="126"/>
    <m/>
    <s v="Y"/>
    <m/>
    <s v="31-60 DAYS"/>
    <n v="3"/>
    <x v="0"/>
  </r>
  <r>
    <n v="1161"/>
    <s v="N"/>
    <s v="N"/>
    <n v="1386540"/>
    <n v="6"/>
    <d v="2012-02-11T00:00:00"/>
    <d v="2012-08-02T00:00:00"/>
    <n v="1386540"/>
    <d v="2012-02-11T00:00:00"/>
    <d v="2012-02-13T00:00:00"/>
    <n v="20000"/>
    <x v="0"/>
    <d v="2012-02-13T00:00:00"/>
    <s v="Y"/>
    <s v="SURETYPTRc"/>
    <s v="GUILTY PLEA - NO JURY"/>
    <n v="3"/>
    <n v="174"/>
    <n v="2"/>
    <n v="3"/>
    <n v="2"/>
    <m/>
    <m/>
    <m/>
    <m/>
    <m/>
    <m/>
    <s v="S"/>
    <m/>
    <d v="1974-06-25T00:00:00"/>
    <s v="M"/>
    <s v="H"/>
    <s v="HISPANIC"/>
    <s v="NULL"/>
    <s v="185"/>
    <s v="CONVICTED"/>
    <n v="9"/>
    <s v="TDC"/>
    <n v="4"/>
    <m/>
    <m/>
    <s v="DWI 3RD OFFENDER BAC .08"/>
    <m/>
    <s v="F3"/>
    <s v="FEL DWI"/>
    <m/>
    <m/>
    <m/>
    <m/>
    <m/>
    <m/>
    <m/>
    <m/>
    <m/>
    <s v="Hired Attorney"/>
    <m/>
    <m/>
    <n v="3"/>
    <n v="174"/>
    <n v="174"/>
    <n v="37.55464480874317"/>
    <n v="0"/>
    <n v="-171"/>
    <s v="CONVICTION"/>
    <x v="1"/>
    <s v="Y"/>
    <m/>
    <s v="CONVICTION"/>
    <s v="Y"/>
    <x v="1"/>
    <x v="0"/>
    <s v="Y"/>
    <n v="1.7241379310344827E-2"/>
    <n v="1.7241379310344827E-2"/>
    <n v="0"/>
    <n v="0"/>
    <n v="-3"/>
    <n v="0"/>
    <n v="3"/>
    <e v="#VALUE!"/>
    <n v="3"/>
    <n v="0"/>
    <n v="171"/>
    <m/>
    <s v="Y"/>
    <m/>
    <s v="0-10 DAYS"/>
    <n v="1"/>
    <x v="0"/>
  </r>
  <r>
    <n v="2689"/>
    <s v="N"/>
    <s v="N"/>
    <n v="1389545"/>
    <n v="5"/>
    <d v="2012-04-10T00:00:00"/>
    <d v="2012-04-12T00:00:00"/>
    <n v="1389545"/>
    <d v="2012-04-10T00:00:00"/>
    <d v="2012-04-12T00:00:00"/>
    <n v="15000"/>
    <x v="0"/>
    <m/>
    <s v="N"/>
    <s v="NONE"/>
    <s v="GUILTY PLEA - NO JURY"/>
    <n v="3"/>
    <n v="3"/>
    <n v="3"/>
    <n v="1"/>
    <n v="1"/>
    <m/>
    <m/>
    <m/>
    <m/>
    <m/>
    <m/>
    <m/>
    <m/>
    <d v="1965-08-09T00:00:00"/>
    <s v="M"/>
    <s v="B"/>
    <s v="BLACK"/>
    <s v="NULL"/>
    <s v="337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46.57377049180328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670"/>
    <s v="N"/>
    <s v="N"/>
    <n v="1392632"/>
    <n v="6"/>
    <d v="2012-04-09T00:00:00"/>
    <d v="2012-05-23T00:00:00"/>
    <n v="1392632"/>
    <d v="2012-04-10T00:00:00"/>
    <d v="2012-05-23T00:00:00"/>
    <n v="10000"/>
    <x v="3"/>
    <m/>
    <s v="N"/>
    <s v="NONE"/>
    <s v="GUILTY PLEA - NO JURY"/>
    <n v="44"/>
    <n v="45"/>
    <n v="0"/>
    <n v="8"/>
    <m/>
    <m/>
    <m/>
    <m/>
    <m/>
    <m/>
    <m/>
    <m/>
    <m/>
    <d v="1973-02-09T00:00:00"/>
    <s v="M"/>
    <s v="H"/>
    <s v="HISPANIC"/>
    <s v="HISPANIC"/>
    <s v="230"/>
    <s v="CONVICTED"/>
    <n v="4"/>
    <s v="TDC"/>
    <n v="2"/>
    <m/>
    <m/>
    <s v="DWI 3RD OFFENDER BAC .08"/>
    <m/>
    <s v="F3"/>
    <s v="FEL DWI"/>
    <m/>
    <m/>
    <m/>
    <m/>
    <m/>
    <m/>
    <m/>
    <m/>
    <m/>
    <s v="Appointed Attorney"/>
    <m/>
    <m/>
    <n v="44"/>
    <n v="44"/>
    <n v="45"/>
    <n v="39.081967213114751"/>
    <n v="0"/>
    <n v="0"/>
    <s v="CONVICTION"/>
    <x v="0"/>
    <s v="N"/>
    <m/>
    <s v="CONVICTION"/>
    <s v="Y"/>
    <x v="0"/>
    <x v="0"/>
    <s v="N"/>
    <n v="0.97777777777777775"/>
    <n v="1"/>
    <n v="2.2222222222222254E-2"/>
    <n v="0"/>
    <n v="-44"/>
    <n v="0"/>
    <n v="44"/>
    <e v="#VALUE!"/>
    <n v="44"/>
    <n v="0"/>
    <n v="0"/>
    <m/>
    <s v="Y"/>
    <m/>
    <s v="31-60 DAYS"/>
    <n v="3"/>
    <x v="0"/>
  </r>
  <r>
    <n v="2096"/>
    <s v="N"/>
    <s v="N"/>
    <n v="1394553"/>
    <n v="1"/>
    <d v="2012-03-19T00:00:00"/>
    <d v="2013-03-27T00:00:00"/>
    <n v="1394553"/>
    <d v="2012-03-20T00:00:00"/>
    <d v="2012-03-22T00:00:00"/>
    <n v="5000"/>
    <x v="4"/>
    <d v="2012-03-22T00:00:00"/>
    <s v="Y"/>
    <s v="SURETY"/>
    <s v="DISMISSED"/>
    <n v="3"/>
    <n v="374"/>
    <n v="0"/>
    <n v="0"/>
    <m/>
    <m/>
    <m/>
    <m/>
    <m/>
    <m/>
    <m/>
    <m/>
    <m/>
    <d v="1975-07-21T00:00:00"/>
    <s v="F"/>
    <s v="W"/>
    <s v="WHITE"/>
    <s v="NULL"/>
    <s v="263"/>
    <s v="DISMISSED"/>
    <n v="11"/>
    <s v="DISMISSED"/>
    <m/>
    <m/>
    <m/>
    <s v="INJURY TO ELDERLY"/>
    <m/>
    <s v="F3"/>
    <s v="ASLT-MURDR"/>
    <m/>
    <m/>
    <m/>
    <m/>
    <m/>
    <m/>
    <m/>
    <m/>
    <m/>
    <s v="Hired Attorney"/>
    <m/>
    <m/>
    <n v="3"/>
    <n v="373"/>
    <n v="374"/>
    <n v="36.587431693989068"/>
    <n v="0"/>
    <n v="-370"/>
    <s v="NO CONVICTION"/>
    <x v="1"/>
    <s v="Y"/>
    <m/>
    <s v="NO CONVICTION"/>
    <s v="Y"/>
    <x v="1"/>
    <x v="0"/>
    <s v="N"/>
    <n v="8.0213903743315516E-3"/>
    <n v="8.0428954423592495E-3"/>
    <n v="2.1505068027697846E-5"/>
    <n v="0"/>
    <n v="-3"/>
    <n v="0"/>
    <n v="3"/>
    <e v="#VALUE!"/>
    <n v="3"/>
    <n v="0"/>
    <n v="370"/>
    <m/>
    <s v="N"/>
    <m/>
    <s v="0-10 DAYS"/>
    <n v="1"/>
    <x v="0"/>
  </r>
  <r>
    <n v="2998"/>
    <s v="N"/>
    <s v="N"/>
    <n v="1396779"/>
    <n v="5"/>
    <d v="2012-04-20T00:00:00"/>
    <d v="2012-08-22T00:00:00"/>
    <n v="1396779"/>
    <d v="2012-07-17T00:00:00"/>
    <d v="2012-08-22T00:00:00"/>
    <n v="10000"/>
    <x v="3"/>
    <m/>
    <s v="N"/>
    <s v="NONE"/>
    <s v="GUILTY PLEA - NO JURY"/>
    <n v="37"/>
    <n v="125"/>
    <n v="4"/>
    <n v="1"/>
    <n v="2"/>
    <m/>
    <m/>
    <m/>
    <m/>
    <m/>
    <m/>
    <m/>
    <m/>
    <d v="1975-08-04T00:00:00"/>
    <s v="F"/>
    <s v="W"/>
    <s v="WHITE"/>
    <s v="NON-HISPANIC"/>
    <s v="174"/>
    <s v="CONVICTED"/>
    <n v="2"/>
    <s v="STJ"/>
    <m/>
    <n v="7"/>
    <m/>
    <s v="THEFT F/ELDERLY 1,500 - 20,000"/>
    <m/>
    <s v="F3"/>
    <s v="THEFT"/>
    <s v="7/16/12 fel theft same disp as study case filed 4/20/12 "/>
    <m/>
    <m/>
    <m/>
    <m/>
    <m/>
    <m/>
    <m/>
    <m/>
    <s v="Appointed Attorney"/>
    <m/>
    <m/>
    <n v="37"/>
    <n v="37"/>
    <n v="125"/>
    <n v="36.636612021857921"/>
    <n v="0"/>
    <n v="0"/>
    <s v="CONVICTION"/>
    <x v="0"/>
    <s v="N"/>
    <m/>
    <s v="CONVICTION"/>
    <s v="Y"/>
    <x v="0"/>
    <x v="0"/>
    <s v="Y"/>
    <n v="0.29599999999999999"/>
    <n v="1"/>
    <n v="0.70399999999999996"/>
    <n v="0"/>
    <n v="-37"/>
    <n v="0"/>
    <n v="37"/>
    <e v="#VALUE!"/>
    <n v="37"/>
    <n v="0"/>
    <n v="0"/>
    <m/>
    <s v="Y"/>
    <m/>
    <s v="31-60 DAYS"/>
    <n v="3"/>
    <x v="0"/>
  </r>
  <r>
    <n v="2261"/>
    <s v="N"/>
    <s v="N"/>
    <n v="1398561"/>
    <n v="5"/>
    <d v="2012-03-26T00:00:00"/>
    <d v="2012-03-28T00:00:00"/>
    <n v="1398561"/>
    <d v="2012-03-27T00:00:00"/>
    <d v="2012-03-28T00:00:00"/>
    <n v="30000"/>
    <x v="2"/>
    <m/>
    <s v="N"/>
    <s v="NONE"/>
    <s v="GUILTY PLEA - NO JURY"/>
    <n v="2"/>
    <n v="3"/>
    <n v="11"/>
    <n v="5"/>
    <n v="4"/>
    <m/>
    <m/>
    <m/>
    <m/>
    <m/>
    <m/>
    <m/>
    <m/>
    <d v="1968-06-29T00:00:00"/>
    <s v="F"/>
    <s v="B"/>
    <s v="BLACK"/>
    <s v="NON-HISPANIC"/>
    <s v="248"/>
    <s v="CONVICTED"/>
    <n v="1"/>
    <s v="STJ"/>
    <m/>
    <n v="8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43.650273224043715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492"/>
    <s v="N"/>
    <s v="N"/>
    <n v="1400032"/>
    <n v="6"/>
    <d v="2012-04-03T00:00:00"/>
    <d v="2013-08-16T00:00:00"/>
    <n v="1400032"/>
    <d v="2012-04-04T00:00:00"/>
    <d v="2013-08-16T00:00:00"/>
    <n v="10000"/>
    <x v="3"/>
    <m/>
    <s v="N"/>
    <s v="NONE"/>
    <s v="GUILTY PLEA - NO JURY"/>
    <n v="500"/>
    <n v="501"/>
    <n v="0"/>
    <n v="3"/>
    <m/>
    <m/>
    <m/>
    <m/>
    <m/>
    <m/>
    <m/>
    <m/>
    <m/>
    <d v="1941-03-27T00:00:00"/>
    <s v="F"/>
    <s v="B"/>
    <s v="BLACK"/>
    <s v="NON-HISPANIC"/>
    <s v="184"/>
    <s v="CONVICTED"/>
    <n v="15"/>
    <s v="TDC"/>
    <n v="6"/>
    <m/>
    <m/>
    <s v="AGG ASSAULT W/DEADLY WEAPON"/>
    <m/>
    <s v="F2"/>
    <s v="ASLT-MURDR"/>
    <m/>
    <m/>
    <m/>
    <m/>
    <m/>
    <m/>
    <m/>
    <m/>
    <m/>
    <s v="Public Defender"/>
    <m/>
    <m/>
    <n v="500"/>
    <n v="500"/>
    <n v="501"/>
    <n v="70.874316939890704"/>
    <n v="0"/>
    <n v="0"/>
    <s v="CONVICTION"/>
    <x v="0"/>
    <s v="N"/>
    <m/>
    <s v="CONVICTION"/>
    <s v="Y"/>
    <x v="0"/>
    <x v="0"/>
    <s v="N"/>
    <n v="0.99800399201596801"/>
    <n v="1"/>
    <n v="1.9960079840319889E-3"/>
    <n v="0"/>
    <n v="-500"/>
    <n v="0"/>
    <n v="500"/>
    <e v="#VALUE!"/>
    <n v="500"/>
    <n v="0"/>
    <n v="0"/>
    <m/>
    <s v="Y"/>
    <m/>
    <s v=" &gt;1YRS&lt;2YRS"/>
    <n v="0"/>
    <x v="0"/>
  </r>
  <r>
    <n v="1522"/>
    <s v="N"/>
    <s v="N"/>
    <n v="1400981"/>
    <n v="4"/>
    <d v="2012-02-26T00:00:00"/>
    <d v="2012-12-04T00:00:00"/>
    <n v="1400981"/>
    <d v="2012-02-26T00:00:00"/>
    <d v="2012-02-27T00:00:00"/>
    <n v="5000"/>
    <x v="4"/>
    <d v="2012-02-27T00:00:00"/>
    <s v="Y"/>
    <s v="SURETY"/>
    <s v="GUILTY PLEA - NO JURY"/>
    <n v="2"/>
    <n v="283"/>
    <n v="1"/>
    <n v="5"/>
    <n v="1"/>
    <m/>
    <m/>
    <m/>
    <m/>
    <m/>
    <m/>
    <m/>
    <m/>
    <d v="1975-04-19T00:00:00"/>
    <s v="M"/>
    <s v="B"/>
    <s v="BLACK"/>
    <s v="NON-HISPANIC"/>
    <s v="228"/>
    <s v="CONVICTED"/>
    <n v="10"/>
    <s v="HCJ"/>
    <m/>
    <m/>
    <n v="120"/>
    <s v="FELON POSS WPN"/>
    <m/>
    <s v="F3"/>
    <s v="OTHER FEL"/>
    <m/>
    <m/>
    <m/>
    <m/>
    <m/>
    <m/>
    <m/>
    <m/>
    <m/>
    <s v="Hired Attorney"/>
    <m/>
    <m/>
    <n v="2"/>
    <n v="283"/>
    <n v="283"/>
    <n v="36.78142076502732"/>
    <n v="0"/>
    <n v="-281"/>
    <s v="CONVICTION"/>
    <x v="1"/>
    <s v="Y"/>
    <m/>
    <s v="CONVICTION"/>
    <s v="Y"/>
    <x v="1"/>
    <x v="0"/>
    <s v="Y"/>
    <n v="7.0671378091872791E-3"/>
    <n v="7.0671378091872791E-3"/>
    <n v="0"/>
    <n v="0"/>
    <n v="-2"/>
    <n v="0"/>
    <n v="2"/>
    <e v="#VALUE!"/>
    <n v="2"/>
    <n v="0"/>
    <n v="281"/>
    <m/>
    <s v="Y"/>
    <m/>
    <s v="0-10 DAYS"/>
    <n v="1"/>
    <x v="0"/>
  </r>
  <r>
    <n v="2254"/>
    <s v="N"/>
    <s v="N"/>
    <n v="1401048"/>
    <n v="4"/>
    <d v="2012-03-26T00:00:00"/>
    <d v="2012-04-23T00:00:00"/>
    <n v="1401048"/>
    <d v="2012-03-27T00:00:00"/>
    <d v="2012-04-23T00:00:00"/>
    <n v="55000"/>
    <x v="2"/>
    <m/>
    <s v="N"/>
    <s v="NONE"/>
    <s v="GUILTY PLEA - NO JURY"/>
    <n v="28"/>
    <n v="29"/>
    <n v="1"/>
    <n v="3"/>
    <m/>
    <m/>
    <m/>
    <m/>
    <m/>
    <m/>
    <m/>
    <m/>
    <m/>
    <d v="1973-05-05T00:00:00"/>
    <s v="M"/>
    <s v="H"/>
    <s v="HISPANIC"/>
    <s v="HISPANIC"/>
    <s v="182"/>
    <s v="CONVICTED"/>
    <n v="2"/>
    <s v="HCJ"/>
    <m/>
    <m/>
    <n v="45"/>
    <s v="POSS CS PG 1 &lt;1G"/>
    <m/>
    <s v="FS"/>
    <s v="POSS DRUG"/>
    <m/>
    <m/>
    <m/>
    <m/>
    <m/>
    <m/>
    <m/>
    <m/>
    <m/>
    <s v="Appointed Attorney"/>
    <m/>
    <m/>
    <n v="28"/>
    <n v="28"/>
    <n v="29"/>
    <n v="38.811475409836063"/>
    <n v="0"/>
    <n v="0"/>
    <s v="CONVICTION"/>
    <x v="0"/>
    <s v="N"/>
    <m/>
    <s v="CONVICTION"/>
    <s v="Y"/>
    <x v="0"/>
    <x v="0"/>
    <s v="Y"/>
    <n v="0.96551724137931039"/>
    <n v="1"/>
    <n v="3.4482758620689613E-2"/>
    <n v="0"/>
    <n v="-28"/>
    <n v="0"/>
    <n v="28"/>
    <e v="#VALUE!"/>
    <n v="28"/>
    <n v="0"/>
    <n v="0"/>
    <m/>
    <s v="Y"/>
    <m/>
    <s v="11-30 DAYS"/>
    <n v="2"/>
    <x v="0"/>
  </r>
  <r>
    <n v="1011"/>
    <s v="N"/>
    <s v="N"/>
    <n v="1402965"/>
    <n v="5"/>
    <d v="2012-02-07T00:00:00"/>
    <d v="2012-03-06T00:00:00"/>
    <n v="1402965"/>
    <d v="2012-02-08T00:00:00"/>
    <d v="2012-03-06T00:00:00"/>
    <n v="15000"/>
    <x v="0"/>
    <m/>
    <s v="N"/>
    <s v="NONE"/>
    <s v="GUILTY PLEA - NO JURY"/>
    <n v="28"/>
    <n v="29"/>
    <n v="6"/>
    <n v="3"/>
    <n v="5"/>
    <m/>
    <m/>
    <m/>
    <m/>
    <m/>
    <m/>
    <m/>
    <m/>
    <d v="1951-06-09T00:00:00"/>
    <s v="M"/>
    <s v="W"/>
    <s v="WHITE"/>
    <s v="NON-HISPANIC"/>
    <s v="179"/>
    <s v="CONVICTED"/>
    <n v="2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28"/>
    <n v="28"/>
    <n v="29"/>
    <n v="60.540983606557376"/>
    <n v="0"/>
    <n v="0"/>
    <s v="CONVICTION"/>
    <x v="0"/>
    <s v="N"/>
    <m/>
    <s v="CONVICTION"/>
    <s v="Y"/>
    <x v="0"/>
    <x v="0"/>
    <s v="Y"/>
    <n v="0.96551724137931039"/>
    <n v="1"/>
    <n v="3.4482758620689613E-2"/>
    <n v="0"/>
    <n v="-28"/>
    <n v="0"/>
    <n v="28"/>
    <e v="#VALUE!"/>
    <n v="28"/>
    <n v="0"/>
    <n v="0"/>
    <m/>
    <s v="Y"/>
    <m/>
    <s v="11-30 DAYS"/>
    <n v="2"/>
    <x v="0"/>
  </r>
  <r>
    <n v="1997"/>
    <s v="N"/>
    <s v="N"/>
    <n v="1403258"/>
    <n v="4"/>
    <d v="2012-03-15T00:00:00"/>
    <d v="2012-04-05T00:00:00"/>
    <n v="1403258"/>
    <d v="2012-03-16T00:00:00"/>
    <d v="2012-04-05T00:00:00"/>
    <n v="15000"/>
    <x v="0"/>
    <m/>
    <s v="N"/>
    <s v="NONE"/>
    <s v="GUILTY PLEA - NO JURY"/>
    <n v="21"/>
    <n v="22"/>
    <n v="3"/>
    <n v="2"/>
    <n v="2"/>
    <m/>
    <m/>
    <m/>
    <m/>
    <m/>
    <m/>
    <m/>
    <m/>
    <d v="1975-04-26T00:00:00"/>
    <s v="F"/>
    <s v="B"/>
    <s v="BLACK"/>
    <s v="NON-HISPANIC"/>
    <s v="230"/>
    <s v="CONVICTED"/>
    <n v="2"/>
    <s v="HCJ"/>
    <m/>
    <m/>
    <n v="180"/>
    <s v="THEFT UNDER $1500 - 3RD OFF."/>
    <m/>
    <s v="FS"/>
    <s v="THEFT"/>
    <m/>
    <m/>
    <m/>
    <m/>
    <m/>
    <m/>
    <m/>
    <m/>
    <m/>
    <s v="Appointed Attorney"/>
    <m/>
    <m/>
    <n v="21"/>
    <n v="21"/>
    <n v="22"/>
    <n v="36.811475409836063"/>
    <n v="0"/>
    <n v="0"/>
    <s v="CONVICTION"/>
    <x v="0"/>
    <s v="N"/>
    <m/>
    <s v="CONVICTION"/>
    <s v="Y"/>
    <x v="0"/>
    <x v="0"/>
    <s v="Y"/>
    <n v="0.95454545454545459"/>
    <n v="1"/>
    <n v="4.5454545454545414E-2"/>
    <n v="0"/>
    <n v="-21"/>
    <n v="0"/>
    <n v="21"/>
    <e v="#VALUE!"/>
    <n v="21"/>
    <n v="0"/>
    <n v="0"/>
    <m/>
    <s v="Y"/>
    <m/>
    <s v="11-30 DAYS"/>
    <n v="2"/>
    <x v="0"/>
  </r>
  <r>
    <n v="1772"/>
    <s v="N"/>
    <s v="N"/>
    <n v="1404530"/>
    <n v="3"/>
    <d v="2012-03-07T00:00:00"/>
    <d v="2012-07-10T00:00:00"/>
    <n v="1404530"/>
    <d v="2012-03-07T00:00:00"/>
    <d v="2012-07-10T00:00:00"/>
    <n v="20000"/>
    <x v="0"/>
    <m/>
    <s v="N"/>
    <s v="NONE"/>
    <s v="GUILTY PLEA - NO JURY"/>
    <n v="126"/>
    <n v="126"/>
    <n v="2"/>
    <n v="9"/>
    <n v="1"/>
    <n v="1"/>
    <m/>
    <m/>
    <m/>
    <m/>
    <m/>
    <m/>
    <m/>
    <d v="1975-04-21T00:00:00"/>
    <s v="M"/>
    <s v="W"/>
    <s v="WHITE"/>
    <s v="NON-HISPANIC"/>
    <s v="338"/>
    <s v="CONVICTED"/>
    <n v="4"/>
    <s v="PROBATION"/>
    <m/>
    <m/>
    <m/>
    <s v="DWI 3RD OFFENDER BAC .08"/>
    <m/>
    <s v="F3"/>
    <s v="FEL DWI"/>
    <m/>
    <m/>
    <m/>
    <m/>
    <m/>
    <m/>
    <m/>
    <m/>
    <m/>
    <s v="Appointed Attorney"/>
    <m/>
    <m/>
    <n v="126"/>
    <n v="126"/>
    <n v="126"/>
    <n v="36.803278688524593"/>
    <n v="0"/>
    <n v="0"/>
    <s v="CONVICTION"/>
    <x v="0"/>
    <s v="N"/>
    <m/>
    <s v="CONVICTION"/>
    <s v="Y"/>
    <x v="0"/>
    <x v="0"/>
    <s v="Y"/>
    <n v="1"/>
    <n v="1"/>
    <n v="0"/>
    <n v="0"/>
    <n v="-126"/>
    <n v="0"/>
    <n v="126"/>
    <e v="#VALUE!"/>
    <n v="126"/>
    <n v="0"/>
    <n v="0"/>
    <m/>
    <s v="Y"/>
    <m/>
    <s v="121-365 DAYS"/>
    <n v="6"/>
    <x v="0"/>
  </r>
  <r>
    <n v="2993"/>
    <s v="N"/>
    <s v="N"/>
    <n v="1404928"/>
    <n v="1"/>
    <d v="2012-04-20T00:00:00"/>
    <d v="2012-06-19T00:00:00"/>
    <n v="1404928"/>
    <d v="2012-04-20T00:00:00"/>
    <d v="2012-06-19T00:00:00"/>
    <s v="NO BOND"/>
    <x v="1"/>
    <m/>
    <s v="N"/>
    <s v="NONE"/>
    <s v="DISMISSED"/>
    <n v="61"/>
    <n v="61"/>
    <n v="11"/>
    <n v="18"/>
    <n v="5"/>
    <m/>
    <m/>
    <m/>
    <m/>
    <m/>
    <m/>
    <m/>
    <m/>
    <d v="1977-08-07T00:00:00"/>
    <s v="M"/>
    <s v="B"/>
    <s v="BLACK"/>
    <s v="NULL"/>
    <s v="176"/>
    <s v="DISMISSED"/>
    <n v="3"/>
    <s v="DISMISSED"/>
    <m/>
    <m/>
    <m/>
    <s v="ASSAULT-BOD INJ-FAMILY MEMBER"/>
    <m/>
    <s v="F3"/>
    <s v="ASLT-MURDR"/>
    <m/>
    <m/>
    <m/>
    <m/>
    <m/>
    <m/>
    <m/>
    <m/>
    <m/>
    <s v="Appointed Attorney"/>
    <m/>
    <m/>
    <n v="61"/>
    <n v="61"/>
    <n v="61"/>
    <n v="34.631147540983605"/>
    <n v="0"/>
    <n v="0"/>
    <s v="NO CONVICTION"/>
    <x v="0"/>
    <s v="N"/>
    <m/>
    <s v="NO CONVICTION"/>
    <s v="Y"/>
    <x v="0"/>
    <x v="0"/>
    <s v="Y"/>
    <n v="1"/>
    <n v="1"/>
    <n v="0"/>
    <n v="0"/>
    <n v="-61"/>
    <n v="0"/>
    <n v="61"/>
    <e v="#VALUE!"/>
    <n v="61"/>
    <n v="0"/>
    <n v="0"/>
    <m/>
    <s v="Y"/>
    <m/>
    <s v="61-90 DAYS"/>
    <n v="4"/>
    <x v="0"/>
  </r>
  <r>
    <n v="321"/>
    <s v="N"/>
    <s v="N"/>
    <n v="1410125"/>
    <n v="5"/>
    <d v="2012-01-13T00:00:00"/>
    <d v="2012-01-20T00:00:00"/>
    <n v="1410125"/>
    <d v="2012-01-19T00:00:00"/>
    <d v="2012-01-20T00:00:00"/>
    <n v="30000"/>
    <x v="2"/>
    <m/>
    <s v="N"/>
    <s v="NONE"/>
    <s v="GUILTY PLEA - NO JURY"/>
    <n v="2"/>
    <n v="8"/>
    <n v="11"/>
    <n v="6"/>
    <n v="1"/>
    <m/>
    <m/>
    <m/>
    <m/>
    <m/>
    <m/>
    <m/>
    <m/>
    <d v="1975-12-12T00:00:00"/>
    <s v="M"/>
    <s v="B"/>
    <s v="BLACK"/>
    <s v="NULL"/>
    <s v="339"/>
    <s v="CONVICTED"/>
    <n v="2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2"/>
    <n v="2"/>
    <n v="8"/>
    <n v="36.013661202185794"/>
    <n v="0"/>
    <n v="0"/>
    <s v="CONVICTION"/>
    <x v="0"/>
    <s v="N"/>
    <m/>
    <s v="CONVICTION"/>
    <s v="Y"/>
    <x v="0"/>
    <x v="0"/>
    <s v="Y"/>
    <n v="0.25"/>
    <n v="1"/>
    <n v="0.75"/>
    <n v="0"/>
    <n v="-2"/>
    <n v="0"/>
    <n v="2"/>
    <e v="#VALUE!"/>
    <n v="2"/>
    <n v="0"/>
    <n v="0"/>
    <m/>
    <s v="Y"/>
    <m/>
    <s v="0-10 DAYS"/>
    <n v="1"/>
    <x v="0"/>
  </r>
  <r>
    <n v="817"/>
    <s v="N"/>
    <s v="N"/>
    <n v="1410133"/>
    <n v="1"/>
    <d v="2012-02-01T00:00:00"/>
    <d v="2012-10-10T00:00:00"/>
    <n v="1410133"/>
    <d v="2012-02-02T00:00:00"/>
    <d v="2012-02-09T00:00:00"/>
    <n v="15000"/>
    <x v="0"/>
    <d v="2012-02-09T00:00:00"/>
    <s v="Y"/>
    <s v="SURETY"/>
    <s v="DISMISSED"/>
    <n v="8"/>
    <n v="253"/>
    <n v="4"/>
    <n v="8"/>
    <n v="3"/>
    <m/>
    <m/>
    <m/>
    <m/>
    <m/>
    <m/>
    <m/>
    <m/>
    <d v="1975-10-20T00:00:00"/>
    <s v="M"/>
    <s v="H"/>
    <s v="HISPANIC"/>
    <s v="HISPANIC"/>
    <s v="177"/>
    <s v="DISMISSED"/>
    <n v="13"/>
    <s v="DISMISSED"/>
    <m/>
    <m/>
    <m/>
    <s v="THEFT UNDER $1500 - 3RD OFF."/>
    <m/>
    <s v="FS"/>
    <s v="THEFT"/>
    <m/>
    <m/>
    <m/>
    <m/>
    <m/>
    <m/>
    <m/>
    <m/>
    <m/>
    <s v="Appointed Attorney"/>
    <m/>
    <m/>
    <n v="8"/>
    <n v="252"/>
    <n v="253"/>
    <n v="36.210382513661202"/>
    <n v="0"/>
    <n v="-244"/>
    <s v="NO CONVICTION"/>
    <x v="1"/>
    <s v="Y"/>
    <m/>
    <s v="NO CONVICTION"/>
    <s v="Y"/>
    <x v="1"/>
    <x v="0"/>
    <s v="Y"/>
    <n v="3.1620553359683792E-2"/>
    <n v="3.1746031746031744E-2"/>
    <n v="1.2547838634795194E-4"/>
    <n v="0"/>
    <n v="-8"/>
    <n v="0"/>
    <n v="8"/>
    <e v="#VALUE!"/>
    <n v="8"/>
    <n v="0"/>
    <n v="244"/>
    <m/>
    <s v="Y"/>
    <m/>
    <s v="0-10 DAYS"/>
    <n v="1"/>
    <x v="0"/>
  </r>
  <r>
    <n v="1413"/>
    <s v="N"/>
    <s v="N"/>
    <n v="1412651"/>
    <n v="1"/>
    <d v="2012-02-22T00:00:00"/>
    <d v="2013-01-25T00:00:00"/>
    <n v="1412651"/>
    <d v="2012-02-22T00:00:00"/>
    <d v="2013-01-25T00:00:00"/>
    <n v="15000"/>
    <x v="0"/>
    <m/>
    <s v="N"/>
    <s v="NONE"/>
    <s v="DISMISSED"/>
    <n v="339"/>
    <n v="339"/>
    <n v="13"/>
    <n v="7"/>
    <n v="8"/>
    <n v="1"/>
    <m/>
    <m/>
    <m/>
    <m/>
    <m/>
    <m/>
    <m/>
    <d v="1974-09-01T00:00:00"/>
    <s v="M"/>
    <s v="B"/>
    <s v="BLACK"/>
    <s v="NON-HISPANIC"/>
    <s v="208"/>
    <s v="DISMISSED"/>
    <n v="11"/>
    <s v="DISMISSED"/>
    <m/>
    <m/>
    <m/>
    <s v="POSS CS PG 1 &lt;1G"/>
    <m/>
    <s v="FS"/>
    <s v="POSS DRUG"/>
    <s v="fel drug filed 12/13/12 pend"/>
    <m/>
    <m/>
    <m/>
    <m/>
    <m/>
    <m/>
    <m/>
    <m/>
    <s v="Appointed Attorney"/>
    <m/>
    <m/>
    <n v="339"/>
    <n v="339"/>
    <n v="339"/>
    <n v="37.398907103825138"/>
    <n v="0"/>
    <n v="0"/>
    <s v="NO CONVICTION"/>
    <x v="0"/>
    <s v="N"/>
    <m/>
    <s v="NO CONVICTION"/>
    <s v="Y"/>
    <x v="0"/>
    <x v="0"/>
    <s v="Y"/>
    <n v="1"/>
    <n v="1"/>
    <n v="0"/>
    <n v="0"/>
    <n v="-339"/>
    <n v="0"/>
    <n v="339"/>
    <e v="#VALUE!"/>
    <n v="339"/>
    <n v="0"/>
    <n v="0"/>
    <m/>
    <s v="Y"/>
    <m/>
    <s v="121-365 DAYS"/>
    <n v="6"/>
    <x v="0"/>
  </r>
  <r>
    <n v="1212"/>
    <s v="N"/>
    <s v="N"/>
    <n v="1412838"/>
    <n v="6"/>
    <d v="2012-02-14T00:00:00"/>
    <d v="2012-03-07T00:00:00"/>
    <n v="1412838"/>
    <d v="2012-02-15T00:00:00"/>
    <d v="2012-03-07T00:00:00"/>
    <s v="NO BOND"/>
    <x v="1"/>
    <m/>
    <s v="N"/>
    <s v="NONE"/>
    <s v="GUILTY PLEA - NO JURY"/>
    <n v="22"/>
    <n v="23"/>
    <n v="4"/>
    <n v="4"/>
    <n v="3"/>
    <m/>
    <m/>
    <m/>
    <m/>
    <m/>
    <m/>
    <m/>
    <m/>
    <d v="1976-10-20T00:00:00"/>
    <s v="M"/>
    <s v="H"/>
    <s v="HISPANIC"/>
    <s v="HISPANIC"/>
    <s v="179"/>
    <s v="CONVICTED"/>
    <n v="3"/>
    <s v="TDC"/>
    <n v="10"/>
    <m/>
    <m/>
    <s v="BURGLARY OF HABITATION"/>
    <m/>
    <s v="F2"/>
    <s v="BURGLARY"/>
    <m/>
    <m/>
    <m/>
    <m/>
    <m/>
    <m/>
    <m/>
    <m/>
    <m/>
    <s v="Appointed Attorney"/>
    <m/>
    <m/>
    <n v="22"/>
    <n v="22"/>
    <n v="23"/>
    <n v="35.245901639344261"/>
    <n v="0"/>
    <n v="0"/>
    <s v="CONVICTION"/>
    <x v="0"/>
    <s v="N"/>
    <m/>
    <s v="CONVICTION"/>
    <s v="Y"/>
    <x v="0"/>
    <x v="0"/>
    <s v="Y"/>
    <n v="0.95652173913043481"/>
    <n v="1"/>
    <n v="4.3478260869565188E-2"/>
    <n v="0"/>
    <n v="-22"/>
    <n v="0"/>
    <n v="22"/>
    <e v="#VALUE!"/>
    <n v="22"/>
    <n v="0"/>
    <n v="0"/>
    <m/>
    <s v="Y"/>
    <m/>
    <s v="11-30 DAYS"/>
    <n v="2"/>
    <x v="0"/>
  </r>
  <r>
    <n v="2773"/>
    <s v="N"/>
    <s v="N"/>
    <n v="1413780"/>
    <n v="6"/>
    <d v="2012-04-12T00:00:00"/>
    <d v="2013-05-20T00:00:00"/>
    <n v="1413780"/>
    <d v="2012-04-12T00:00:00"/>
    <d v="2012-07-11T00:00:00"/>
    <n v="20000"/>
    <x v="0"/>
    <d v="2012-07-11T00:00:00"/>
    <s v="Y"/>
    <s v="PTR"/>
    <s v="GUILTY PLEA - NO JURY"/>
    <n v="91"/>
    <n v="404"/>
    <n v="2"/>
    <n v="5"/>
    <n v="1"/>
    <m/>
    <m/>
    <m/>
    <m/>
    <m/>
    <m/>
    <m/>
    <m/>
    <d v="1976-06-28T00:00:00"/>
    <s v="M"/>
    <s v="W"/>
    <s v="WHITE"/>
    <s v="NON-HISPANIC"/>
    <s v="178"/>
    <s v="CONVICTED"/>
    <n v="9"/>
    <s v="TDC"/>
    <n v="12"/>
    <m/>
    <m/>
    <s v="POSS CHILD PORNOGRAPHY"/>
    <m/>
    <s v="F3"/>
    <s v="OTHER FEL"/>
    <m/>
    <m/>
    <m/>
    <m/>
    <m/>
    <m/>
    <m/>
    <m/>
    <m/>
    <s v="Public Defender"/>
    <m/>
    <m/>
    <n v="91"/>
    <n v="404"/>
    <n v="404"/>
    <n v="35.715846994535518"/>
    <n v="0"/>
    <n v="-313"/>
    <s v="CONVICTION"/>
    <x v="2"/>
    <s v="Y"/>
    <m/>
    <s v="CONVICTION"/>
    <s v="Y"/>
    <x v="1"/>
    <x v="0"/>
    <s v="Y"/>
    <n v="0.22524752475247525"/>
    <n v="0.22524752475247525"/>
    <n v="0"/>
    <n v="0"/>
    <n v="-91"/>
    <n v="0"/>
    <n v="91"/>
    <e v="#VALUE!"/>
    <n v="91"/>
    <n v="0"/>
    <n v="313"/>
    <m/>
    <s v="Y"/>
    <m/>
    <s v="91-120 DAYS"/>
    <n v="0"/>
    <x v="0"/>
  </r>
  <r>
    <n v="1727"/>
    <s v="N"/>
    <s v="Y"/>
    <n v="1414440"/>
    <n v="3"/>
    <d v="2012-03-05T00:00:00"/>
    <d v="2012-07-27T00:00:00"/>
    <n v="1414440"/>
    <d v="2012-03-05T00:00:00"/>
    <d v="2012-03-09T00:00:00"/>
    <n v="5000"/>
    <x v="4"/>
    <d v="2012-03-09T00:00:00"/>
    <s v="Y"/>
    <s v="SURETYPTRc"/>
    <s v="GUILTY PLEA - NO JURY"/>
    <n v="37"/>
    <n v="145"/>
    <n v="0"/>
    <n v="3"/>
    <m/>
    <m/>
    <m/>
    <m/>
    <m/>
    <m/>
    <m/>
    <m/>
    <m/>
    <d v="1974-11-21T00:00:00"/>
    <s v="M"/>
    <s v="W"/>
    <s v="WHITE"/>
    <s v="NON-HISPANIC"/>
    <s v="183"/>
    <s v="CONVICTED"/>
    <n v="8"/>
    <s v="PROBATION"/>
    <m/>
    <m/>
    <m/>
    <s v="DWI 3RD OFFENDER BAC .08"/>
    <m/>
    <s v="F3"/>
    <s v="FEL DWI"/>
    <s v="misd assault 7/18/12  hcj 75 days"/>
    <s v="bd rev 6/26/12"/>
    <m/>
    <m/>
    <s v="Y"/>
    <m/>
    <m/>
    <m/>
    <m/>
    <s v="Appointed Attorney"/>
    <m/>
    <m/>
    <n v="37"/>
    <n v="145"/>
    <n v="145"/>
    <n v="37.210382513661202"/>
    <n v="0"/>
    <n v="-140"/>
    <s v="CONVICTION"/>
    <x v="1"/>
    <s v="Y"/>
    <m/>
    <s v="CONVICTION"/>
    <s v="Y"/>
    <x v="0"/>
    <x v="0"/>
    <s v="N"/>
    <n v="0.25517241379310346"/>
    <n v="3.4482758620689655E-2"/>
    <n v="-0.22068965517241379"/>
    <n v="0"/>
    <n v="-5"/>
    <n v="32"/>
    <n v="145"/>
    <n v="37"/>
    <n v="145"/>
    <n v="140"/>
    <n v="140"/>
    <m/>
    <s v="Y"/>
    <m/>
    <s v="31-60 DAYS"/>
    <n v="3"/>
    <x v="0"/>
  </r>
  <r>
    <n v="3136"/>
    <s v="N"/>
    <s v="N"/>
    <n v="1415026"/>
    <n v="2"/>
    <d v="2012-04-25T00:00:00"/>
    <d v="2012-08-22T00:00:00"/>
    <n v="1415026"/>
    <d v="2012-04-26T00:00:00"/>
    <d v="2012-04-28T00:00:00"/>
    <n v="10000"/>
    <x v="3"/>
    <d v="2012-04-28T00:00:00"/>
    <s v="Y"/>
    <s v="SURETY"/>
    <s v="DEFERRED ADJUDICATION "/>
    <n v="3"/>
    <n v="120"/>
    <n v="3"/>
    <n v="1"/>
    <n v="2"/>
    <n v="1"/>
    <m/>
    <m/>
    <m/>
    <m/>
    <m/>
    <m/>
    <m/>
    <d v="1966-04-25T00:00:00"/>
    <s v="M"/>
    <s v="H"/>
    <s v="HISPANIC"/>
    <s v="HISPANIC"/>
    <s v="228"/>
    <s v="DEFERRED"/>
    <n v="5"/>
    <s v="DEFERRED"/>
    <m/>
    <m/>
    <n v="14"/>
    <s v="POSS MARIJ  5 - 50 LBS."/>
    <m/>
    <s v="F3"/>
    <s v="POSS DRUG"/>
    <m/>
    <m/>
    <m/>
    <m/>
    <m/>
    <m/>
    <m/>
    <m/>
    <m/>
    <s v="Hired Attorney"/>
    <m/>
    <m/>
    <n v="3"/>
    <n v="119"/>
    <n v="120"/>
    <n v="45.907103825136609"/>
    <n v="0"/>
    <n v="-116"/>
    <s v="DEFERRED"/>
    <x v="1"/>
    <s v="Y"/>
    <m/>
    <s v="DEFERRED"/>
    <s v="Y"/>
    <x v="1"/>
    <x v="0"/>
    <s v="Y"/>
    <n v="2.5000000000000001E-2"/>
    <n v="2.5210084033613446E-2"/>
    <n v="2.1008403361344463E-4"/>
    <n v="0"/>
    <n v="-3"/>
    <n v="0"/>
    <n v="3"/>
    <e v="#VALUE!"/>
    <n v="3"/>
    <n v="0"/>
    <n v="116"/>
    <m/>
    <s v="Y"/>
    <m/>
    <s v="0-10 DAYS"/>
    <n v="1"/>
    <x v="0"/>
  </r>
  <r>
    <n v="180"/>
    <s v="N"/>
    <s v="N"/>
    <n v="1416634"/>
    <n v="6"/>
    <d v="2012-01-08T00:00:00"/>
    <d v="2012-11-26T00:00:00"/>
    <n v="1416634"/>
    <d v="2012-01-09T00:00:00"/>
    <d v="2012-03-22T00:00:00"/>
    <n v="50000"/>
    <x v="2"/>
    <d v="2012-03-22T00:00:00"/>
    <s v="Y"/>
    <s v="SURETY"/>
    <s v="GUILTY PLEA - NO JURY"/>
    <n v="74"/>
    <n v="324"/>
    <n v="2"/>
    <n v="3"/>
    <n v="2"/>
    <m/>
    <m/>
    <m/>
    <m/>
    <m/>
    <m/>
    <m/>
    <m/>
    <d v="1975-05-18T00:00:00"/>
    <s v="M"/>
    <s v="B"/>
    <s v="BLACK"/>
    <s v="NULL"/>
    <s v="351"/>
    <s v="CONVICTED"/>
    <n v="14"/>
    <s v="TDC"/>
    <n v="2"/>
    <m/>
    <m/>
    <s v="MAN/DEL CS PG II 4-400 GRAMS"/>
    <m/>
    <s v="F1"/>
    <s v="SALE DRUG"/>
    <m/>
    <m/>
    <m/>
    <m/>
    <m/>
    <m/>
    <m/>
    <m/>
    <m/>
    <s v="Appointed Attorney"/>
    <m/>
    <m/>
    <n v="74"/>
    <n v="323"/>
    <n v="324"/>
    <n v="36.568306010928964"/>
    <n v="0"/>
    <n v="-249"/>
    <s v="CONVICTION"/>
    <x v="1"/>
    <s v="Y"/>
    <m/>
    <s v="CONVICTION"/>
    <s v="Y"/>
    <x v="1"/>
    <x v="0"/>
    <s v="Y"/>
    <n v="0.22839506172839505"/>
    <n v="0.22910216718266255"/>
    <n v="7.0710545426749816E-4"/>
    <n v="0"/>
    <n v="-74"/>
    <n v="0"/>
    <n v="74"/>
    <e v="#VALUE!"/>
    <n v="74"/>
    <n v="0"/>
    <n v="249"/>
    <m/>
    <s v="Y"/>
    <m/>
    <s v="61-90 DAYS"/>
    <n v="4"/>
    <x v="0"/>
  </r>
  <r>
    <n v="2599"/>
    <s v="N"/>
    <s v="N"/>
    <n v="1417418"/>
    <n v="1"/>
    <d v="2012-01-01T00:00:00"/>
    <d v="2012-04-09T00:00:00"/>
    <n v="1417418"/>
    <d v="2012-04-07T00:00:00"/>
    <d v="2012-04-09T00:00:00"/>
    <n v="15000"/>
    <x v="0"/>
    <m/>
    <s v="N"/>
    <s v="NONE"/>
    <s v="DISMISSED"/>
    <n v="3"/>
    <n v="100"/>
    <n v="3"/>
    <n v="3"/>
    <n v="1"/>
    <m/>
    <m/>
    <m/>
    <m/>
    <m/>
    <m/>
    <m/>
    <m/>
    <d v="1976-07-15T00:00:00"/>
    <s v="M"/>
    <s v="A"/>
    <s v="OTHER"/>
    <s v="NULL"/>
    <s v="262"/>
    <s v="DISMISSED"/>
    <n v="1"/>
    <s v="DISMISSED"/>
    <m/>
    <m/>
    <m/>
    <s v="POSS CS PG 1 &lt;1G"/>
    <m/>
    <s v="FS"/>
    <s v="POSS DRUG"/>
    <m/>
    <m/>
    <m/>
    <m/>
    <m/>
    <m/>
    <m/>
    <m/>
    <m/>
    <s v="Appointed Attorney"/>
    <m/>
    <m/>
    <n v="3"/>
    <n v="3"/>
    <n v="100"/>
    <n v="35.39071038251366"/>
    <n v="0"/>
    <n v="0"/>
    <s v="NO CONVICTION"/>
    <x v="0"/>
    <s v="N"/>
    <m/>
    <s v="NO CONVICTION"/>
    <s v="Y"/>
    <x v="0"/>
    <x v="0"/>
    <s v="Y"/>
    <n v="0.03"/>
    <n v="1"/>
    <n v="0.97"/>
    <n v="0"/>
    <n v="-3"/>
    <n v="0"/>
    <n v="3"/>
    <e v="#VALUE!"/>
    <n v="3"/>
    <n v="0"/>
    <n v="0"/>
    <m/>
    <s v="Y"/>
    <m/>
    <s v="0-10 DAYS"/>
    <n v="1"/>
    <x v="0"/>
  </r>
  <r>
    <n v="1171"/>
    <s v="N"/>
    <s v="N"/>
    <n v="1418637"/>
    <n v="1"/>
    <d v="2012-02-12T00:00:00"/>
    <d v="2012-09-18T00:00:00"/>
    <n v="1418637"/>
    <d v="2012-02-12T00:00:00"/>
    <d v="2012-02-29T00:00:00"/>
    <n v="10000"/>
    <x v="3"/>
    <d v="2012-02-29T00:00:00"/>
    <s v="Y"/>
    <s v="SURETY"/>
    <s v="DISMISSED"/>
    <n v="18"/>
    <n v="220"/>
    <n v="3"/>
    <n v="1"/>
    <n v="3"/>
    <m/>
    <m/>
    <m/>
    <m/>
    <m/>
    <m/>
    <m/>
    <m/>
    <d v="1971-10-03T00:00:00"/>
    <s v="M"/>
    <s v="A"/>
    <s v="OTHER"/>
    <s v="NULL"/>
    <s v="228"/>
    <s v="DISMISSED"/>
    <n v="8"/>
    <s v="DISMISSED"/>
    <m/>
    <m/>
    <m/>
    <s v="POSS CS PG 1 &lt;1G"/>
    <m/>
    <s v="FS"/>
    <s v="POSS DRUG"/>
    <m/>
    <m/>
    <m/>
    <m/>
    <m/>
    <m/>
    <m/>
    <m/>
    <m/>
    <s v="Hired Attorney"/>
    <m/>
    <m/>
    <n v="18"/>
    <n v="220"/>
    <n v="220"/>
    <n v="40.278688524590166"/>
    <n v="0"/>
    <n v="-202"/>
    <s v="NO CONVICTION"/>
    <x v="1"/>
    <s v="Y"/>
    <m/>
    <s v="NO CONVICTION"/>
    <s v="Y"/>
    <x v="1"/>
    <x v="0"/>
    <s v="Y"/>
    <n v="8.1818181818181818E-2"/>
    <n v="8.1818181818181818E-2"/>
    <n v="0"/>
    <n v="0"/>
    <n v="-18"/>
    <n v="0"/>
    <n v="18"/>
    <e v="#VALUE!"/>
    <n v="18"/>
    <n v="0"/>
    <n v="202"/>
    <m/>
    <s v="Y"/>
    <m/>
    <s v="11-30 DAYS"/>
    <n v="2"/>
    <x v="0"/>
  </r>
  <r>
    <n v="1875"/>
    <s v="N"/>
    <s v="N"/>
    <n v="1420675"/>
    <n v="6"/>
    <d v="2012-03-10T00:00:00"/>
    <d v="2012-09-14T00:00:00"/>
    <n v="1420675"/>
    <d v="2012-03-10T00:00:00"/>
    <d v="2012-03-15T00:00:00"/>
    <n v="10000"/>
    <x v="3"/>
    <d v="2012-03-15T00:00:00"/>
    <s v="Y"/>
    <s v="SURETY"/>
    <s v="GUILTY PLEA - NO JURY"/>
    <n v="6"/>
    <n v="189"/>
    <n v="0"/>
    <n v="0"/>
    <m/>
    <m/>
    <m/>
    <m/>
    <m/>
    <m/>
    <m/>
    <m/>
    <m/>
    <d v="1976-02-01T00:00:00"/>
    <s v="M"/>
    <s v="W"/>
    <s v="WHITE"/>
    <s v="NULL"/>
    <s v="209"/>
    <s v="CONVICTED"/>
    <n v="6"/>
    <s v="TDC"/>
    <n v="2"/>
    <m/>
    <m/>
    <s v="DWI 3RD OFFENDER BAC .08"/>
    <m/>
    <s v="F3"/>
    <s v="FEL DWI"/>
    <m/>
    <m/>
    <m/>
    <m/>
    <m/>
    <m/>
    <m/>
    <m/>
    <m/>
    <s v="Hired Attorney"/>
    <m/>
    <m/>
    <n v="6"/>
    <n v="189"/>
    <n v="189"/>
    <n v="36.030054644808743"/>
    <n v="0"/>
    <n v="-183"/>
    <s v="CONVICTION"/>
    <x v="1"/>
    <s v="Y"/>
    <m/>
    <s v="CONVICTION"/>
    <s v="Y"/>
    <x v="1"/>
    <x v="0"/>
    <s v="N"/>
    <n v="3.1746031746031744E-2"/>
    <n v="3.1746031746031744E-2"/>
    <n v="0"/>
    <n v="0"/>
    <n v="-6"/>
    <n v="0"/>
    <n v="6"/>
    <e v="#VALUE!"/>
    <n v="6"/>
    <n v="0"/>
    <n v="183"/>
    <m/>
    <s v="N"/>
    <m/>
    <s v="0-10 DAYS"/>
    <n v="1"/>
    <x v="0"/>
  </r>
  <r>
    <n v="1305"/>
    <s v="N"/>
    <s v="N"/>
    <n v="1420714"/>
    <n v="1"/>
    <d v="2012-02-17T00:00:00"/>
    <d v="2012-03-07T00:00:00"/>
    <n v="1420714"/>
    <d v="2012-02-17T00:00:00"/>
    <d v="2012-03-07T00:00:00"/>
    <n v="10000"/>
    <x v="3"/>
    <m/>
    <s v="N"/>
    <s v="NONE"/>
    <s v="DISMISSED"/>
    <n v="20"/>
    <n v="20"/>
    <n v="5"/>
    <n v="5"/>
    <n v="4"/>
    <m/>
    <m/>
    <m/>
    <m/>
    <m/>
    <m/>
    <m/>
    <m/>
    <d v="1975-08-01T00:00:00"/>
    <s v="M"/>
    <s v="B"/>
    <s v="BLACK"/>
    <s v="NON-HISPANIC"/>
    <s v="174"/>
    <s v="DISMISSED"/>
    <n v="2"/>
    <s v="DISMISSED"/>
    <m/>
    <m/>
    <m/>
    <s v="FELON POSS WPN"/>
    <m/>
    <s v="F3"/>
    <s v="OTHER FEL"/>
    <m/>
    <m/>
    <m/>
    <m/>
    <m/>
    <m/>
    <m/>
    <m/>
    <m/>
    <s v="Appointed Attorney"/>
    <m/>
    <m/>
    <n v="20"/>
    <n v="20"/>
    <n v="20"/>
    <n v="36.472677595628419"/>
    <n v="0"/>
    <n v="0"/>
    <s v="NO CONVICTION"/>
    <x v="0"/>
    <s v="N"/>
    <m/>
    <s v="NO CONVICTION"/>
    <s v="Y"/>
    <x v="0"/>
    <x v="0"/>
    <s v="Y"/>
    <n v="1"/>
    <n v="1"/>
    <n v="0"/>
    <n v="0"/>
    <n v="-20"/>
    <n v="0"/>
    <n v="20"/>
    <e v="#VALUE!"/>
    <n v="20"/>
    <n v="0"/>
    <n v="0"/>
    <m/>
    <s v="Y"/>
    <m/>
    <s v="11-30 DAYS"/>
    <n v="2"/>
    <x v="0"/>
  </r>
  <r>
    <n v="2976"/>
    <s v="N"/>
    <s v="N"/>
    <n v="1421463"/>
    <n v="4"/>
    <d v="2012-04-18T00:00:00"/>
    <d v="2012-11-15T00:00:00"/>
    <n v="1421463"/>
    <d v="2012-04-20T00:00:00"/>
    <d v="2012-04-21T00:00:00"/>
    <n v="21500"/>
    <x v="2"/>
    <d v="2012-04-21T00:00:00"/>
    <s v="Y"/>
    <s v="SURETY"/>
    <s v="GUILTY PLEA - NO JURY"/>
    <n v="2"/>
    <n v="212"/>
    <n v="2"/>
    <n v="4"/>
    <m/>
    <m/>
    <m/>
    <m/>
    <m/>
    <m/>
    <m/>
    <m/>
    <m/>
    <d v="1975-04-16T00:00:00"/>
    <s v="M"/>
    <s v="B"/>
    <s v="BLACK"/>
    <s v="NON-HISPANIC"/>
    <s v="232"/>
    <s v="CONVICTED"/>
    <n v="11"/>
    <s v="HCJ"/>
    <m/>
    <m/>
    <n v="60"/>
    <s v="POSS MARIJ  4 OZ. - 5 LBS."/>
    <m/>
    <s v="FS"/>
    <s v="POSS DRUG"/>
    <m/>
    <m/>
    <m/>
    <m/>
    <m/>
    <m/>
    <m/>
    <m/>
    <m/>
    <s v="Hired Attorney"/>
    <m/>
    <m/>
    <n v="2"/>
    <n v="210"/>
    <n v="212"/>
    <n v="36.931693989071036"/>
    <n v="0"/>
    <n v="-208"/>
    <s v="CONVICTION"/>
    <x v="1"/>
    <s v="Y"/>
    <m/>
    <s v="CONVICTION"/>
    <s v="Y"/>
    <x v="1"/>
    <x v="0"/>
    <s v="Y"/>
    <n v="9.433962264150943E-3"/>
    <n v="9.5238095238095247E-3"/>
    <n v="8.9847259658581632E-5"/>
    <n v="0"/>
    <n v="-2"/>
    <n v="0"/>
    <n v="2"/>
    <e v="#VALUE!"/>
    <n v="2"/>
    <n v="0"/>
    <n v="208"/>
    <m/>
    <s v="Y"/>
    <m/>
    <s v="0-10 DAYS"/>
    <n v="1"/>
    <x v="0"/>
  </r>
  <r>
    <n v="2818"/>
    <s v="N"/>
    <s v="N"/>
    <n v="1421557"/>
    <n v="4"/>
    <d v="2012-04-13T00:00:00"/>
    <d v="2012-04-16T00:00:00"/>
    <n v="1421557"/>
    <d v="2012-04-14T00:00:00"/>
    <d v="2012-04-16T00:00:00"/>
    <s v="NO BOND"/>
    <x v="1"/>
    <m/>
    <s v="N"/>
    <s v="NONE"/>
    <s v="GUILTY PLEA - NO JURY"/>
    <n v="3"/>
    <n v="4"/>
    <n v="0"/>
    <n v="1"/>
    <m/>
    <m/>
    <m/>
    <m/>
    <m/>
    <m/>
    <m/>
    <m/>
    <m/>
    <d v="1973-10-11T00:00:00"/>
    <s v="M"/>
    <s v="B"/>
    <s v="BLACK"/>
    <s v="NON-HISPANIC"/>
    <s v="228"/>
    <s v="CONVICTED"/>
    <n v="1"/>
    <s v="HCJ"/>
    <m/>
    <m/>
    <n v="90"/>
    <s v="THEFT UNDER $1500 - 3RD OFF."/>
    <m/>
    <s v="FS"/>
    <s v="THEFT"/>
    <m/>
    <m/>
    <m/>
    <m/>
    <m/>
    <m/>
    <m/>
    <m/>
    <m/>
    <s v="Appointed Attorney"/>
    <m/>
    <m/>
    <n v="3"/>
    <n v="3"/>
    <n v="4"/>
    <n v="38.42622950819672"/>
    <n v="0"/>
    <n v="0"/>
    <s v="CONVICTION"/>
    <x v="0"/>
    <s v="N"/>
    <m/>
    <s v="CONVICTION"/>
    <s v="Y"/>
    <x v="0"/>
    <x v="0"/>
    <s v="N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1933"/>
    <s v="N"/>
    <s v="N"/>
    <n v="1421863"/>
    <n v="2"/>
    <d v="2012-03-13T00:00:00"/>
    <d v="2013-01-14T00:00:00"/>
    <n v="1421863"/>
    <d v="2012-03-14T00:00:00"/>
    <d v="2012-03-16T00:00:00"/>
    <n v="2000"/>
    <x v="5"/>
    <d v="2012-03-16T00:00:00"/>
    <s v="Y"/>
    <s v="SURETY"/>
    <s v="DEFERRED ADJUDICATION "/>
    <n v="3"/>
    <n v="308"/>
    <n v="0"/>
    <n v="0"/>
    <m/>
    <m/>
    <m/>
    <m/>
    <m/>
    <m/>
    <m/>
    <m/>
    <m/>
    <d v="1967-07-27T00:00:00"/>
    <s v="M"/>
    <s v="W"/>
    <s v="WHITE"/>
    <s v="NON-HISPANIC"/>
    <s v="228"/>
    <s v="DEFERRED"/>
    <n v="12"/>
    <s v="DEFERRED"/>
    <m/>
    <m/>
    <m/>
    <s v="THEFT $1500-20K"/>
    <m/>
    <s v="FS"/>
    <s v="THEFT"/>
    <m/>
    <m/>
    <m/>
    <m/>
    <m/>
    <m/>
    <m/>
    <m/>
    <m/>
    <s v="Public Defender"/>
    <m/>
    <m/>
    <n v="3"/>
    <n v="307"/>
    <n v="308"/>
    <n v="44.538251366120221"/>
    <n v="0"/>
    <n v="-304"/>
    <s v="DEFERRED"/>
    <x v="1"/>
    <s v="Y"/>
    <m/>
    <s v="DEFERRED"/>
    <s v="Y"/>
    <x v="1"/>
    <x v="0"/>
    <s v="N"/>
    <n v="9.74025974025974E-3"/>
    <n v="9.7719869706840382E-3"/>
    <n v="3.1727230424298189E-5"/>
    <n v="0"/>
    <n v="-3"/>
    <n v="0"/>
    <n v="3"/>
    <e v="#VALUE!"/>
    <n v="3"/>
    <n v="0"/>
    <n v="304"/>
    <m/>
    <s v="N"/>
    <m/>
    <s v="0-10 DAYS"/>
    <n v="1"/>
    <x v="0"/>
  </r>
  <r>
    <n v="2546"/>
    <s v="N"/>
    <s v="N"/>
    <n v="1422293"/>
    <n v="6"/>
    <d v="2012-04-05T00:00:00"/>
    <d v="2012-05-09T00:00:00"/>
    <n v="1422293"/>
    <d v="2012-04-05T00:00:00"/>
    <d v="2012-05-09T00:00:00"/>
    <s v="NO BOND"/>
    <x v="1"/>
    <m/>
    <s v="N"/>
    <s v="NONE"/>
    <s v="GUILTY PLEA - NO JURY"/>
    <n v="35"/>
    <n v="35"/>
    <n v="10"/>
    <n v="10"/>
    <n v="3"/>
    <n v="1"/>
    <m/>
    <m/>
    <m/>
    <m/>
    <m/>
    <m/>
    <m/>
    <d v="1977-06-24T00:00:00"/>
    <s v="M"/>
    <s v="B"/>
    <s v="BLACK"/>
    <s v="NON-HISPANIC"/>
    <s v="176"/>
    <s v="CONVICTED"/>
    <n v="2"/>
    <s v="TDC"/>
    <n v="12"/>
    <m/>
    <m/>
    <s v="POSS CS PG 1 4G - 200G"/>
    <m/>
    <s v="F2"/>
    <s v="POSS DRUG"/>
    <m/>
    <m/>
    <m/>
    <m/>
    <m/>
    <m/>
    <m/>
    <m/>
    <m/>
    <s v="Appointed Attorney"/>
    <m/>
    <m/>
    <n v="35"/>
    <n v="35"/>
    <n v="35"/>
    <n v="34.710382513661202"/>
    <n v="0"/>
    <n v="0"/>
    <s v="CONVICTION"/>
    <x v="0"/>
    <s v="N"/>
    <m/>
    <s v="CONVICTION"/>
    <s v="Y"/>
    <x v="0"/>
    <x v="0"/>
    <s v="Y"/>
    <n v="1"/>
    <n v="1"/>
    <n v="0"/>
    <n v="0"/>
    <n v="-35"/>
    <n v="0"/>
    <n v="35"/>
    <e v="#VALUE!"/>
    <n v="35"/>
    <n v="0"/>
    <n v="0"/>
    <m/>
    <s v="Y"/>
    <m/>
    <s v="31-60 DAYS"/>
    <n v="3"/>
    <x v="0"/>
  </r>
  <r>
    <n v="2852"/>
    <s v="N"/>
    <s v="N"/>
    <n v="1423888"/>
    <n v="2"/>
    <d v="2012-04-15T00:00:00"/>
    <d v="2012-07-10T00:00:00"/>
    <n v="1423888"/>
    <d v="2012-04-15T00:00:00"/>
    <d v="2012-07-10T00:00:00"/>
    <n v="30000"/>
    <x v="2"/>
    <m/>
    <s v="N"/>
    <s v="NONE"/>
    <s v="DEFERRED ADJUDICATION "/>
    <n v="87"/>
    <n v="87"/>
    <n v="2"/>
    <n v="5"/>
    <n v="1"/>
    <m/>
    <m/>
    <m/>
    <m/>
    <m/>
    <m/>
    <m/>
    <m/>
    <d v="1977-06-22T00:00:00"/>
    <s v="M"/>
    <s v="W"/>
    <s v="WHITE"/>
    <s v="NON-HISPANIC"/>
    <s v="180"/>
    <s v="DEFERRED"/>
    <n v="5"/>
    <s v="DEFERRED"/>
    <m/>
    <m/>
    <m/>
    <s v="ROBBERY-THREATS"/>
    <m/>
    <s v="F2"/>
    <s v="ROBBERY"/>
    <m/>
    <m/>
    <m/>
    <m/>
    <m/>
    <m/>
    <m/>
    <m/>
    <m/>
    <s v="Appointed Attorney"/>
    <m/>
    <m/>
    <n v="87"/>
    <n v="87"/>
    <n v="87"/>
    <n v="34.743169398907106"/>
    <n v="0"/>
    <n v="0"/>
    <s v="DEFERRED"/>
    <x v="0"/>
    <s v="N"/>
    <m/>
    <s v="DEFERRED"/>
    <s v="Y"/>
    <x v="0"/>
    <x v="0"/>
    <s v="Y"/>
    <n v="1"/>
    <n v="1"/>
    <n v="0"/>
    <n v="0"/>
    <n v="-87"/>
    <n v="0"/>
    <n v="87"/>
    <e v="#VALUE!"/>
    <n v="87"/>
    <n v="0"/>
    <n v="0"/>
    <m/>
    <s v="Y"/>
    <m/>
    <s v="61-90 DAYS"/>
    <n v="4"/>
    <x v="0"/>
  </r>
  <r>
    <n v="2007"/>
    <s v="N"/>
    <s v="N"/>
    <n v="1426628"/>
    <n v="3"/>
    <d v="2012-03-16T00:00:00"/>
    <d v="2012-07-20T00:00:00"/>
    <n v="1426628"/>
    <d v="2012-03-16T00:00:00"/>
    <d v="2012-03-22T00:00:00"/>
    <n v="25000"/>
    <x v="2"/>
    <d v="2012-03-22T00:00:00"/>
    <s v="Y"/>
    <s v="SURETYPTRc"/>
    <s v="GUILTY PLEA - NO JURY"/>
    <n v="7"/>
    <n v="127"/>
    <n v="1"/>
    <n v="5"/>
    <n v="1"/>
    <m/>
    <m/>
    <m/>
    <m/>
    <m/>
    <m/>
    <m/>
    <m/>
    <d v="1976-01-27T00:00:00"/>
    <s v="M"/>
    <s v="W"/>
    <s v="WHITE"/>
    <s v="NULL"/>
    <s v="338"/>
    <s v="CONVICTED"/>
    <n v="6"/>
    <s v="PROBATION"/>
    <m/>
    <m/>
    <m/>
    <s v="DWI 3RD OFFENDER BAC .08"/>
    <m/>
    <s v="F3"/>
    <s v="FEL DWI"/>
    <m/>
    <m/>
    <m/>
    <m/>
    <m/>
    <m/>
    <m/>
    <m/>
    <m/>
    <s v="Hired Attorney"/>
    <m/>
    <m/>
    <n v="7"/>
    <n v="127"/>
    <n v="127"/>
    <n v="36.060109289617486"/>
    <n v="0"/>
    <n v="-120"/>
    <s v="CONVICTION"/>
    <x v="1"/>
    <s v="Y"/>
    <m/>
    <s v="CONVICTION"/>
    <s v="Y"/>
    <x v="1"/>
    <x v="0"/>
    <s v="Y"/>
    <n v="5.5118110236220472E-2"/>
    <n v="5.5118110236220472E-2"/>
    <n v="0"/>
    <n v="0"/>
    <n v="-7"/>
    <n v="0"/>
    <n v="7"/>
    <e v="#VALUE!"/>
    <n v="7"/>
    <n v="0"/>
    <n v="120"/>
    <m/>
    <s v="Y"/>
    <m/>
    <s v="0-10 DAYS"/>
    <n v="1"/>
    <x v="0"/>
  </r>
  <r>
    <n v="960"/>
    <s v="N"/>
    <s v="N"/>
    <n v="1428432"/>
    <n v="6"/>
    <d v="2012-02-05T00:00:00"/>
    <d v="2012-03-26T00:00:00"/>
    <n v="1428432"/>
    <d v="2012-02-05T00:00:00"/>
    <d v="2012-03-26T00:00:00"/>
    <n v="15000"/>
    <x v="0"/>
    <m/>
    <s v="N"/>
    <s v="NONE"/>
    <s v="GUILTY PLEA - NO JURY"/>
    <n v="51"/>
    <n v="51"/>
    <n v="4"/>
    <n v="3"/>
    <n v="3"/>
    <m/>
    <m/>
    <m/>
    <m/>
    <m/>
    <m/>
    <m/>
    <m/>
    <d v="1976-07-20T00:00:00"/>
    <s v="M"/>
    <s v="B"/>
    <s v="BLACK"/>
    <s v="NON-HISPANIC"/>
    <s v="179"/>
    <s v="CONVICTED"/>
    <n v="4"/>
    <s v="TDC"/>
    <n v="8"/>
    <m/>
    <m/>
    <s v="evading arrest/detention w/veh "/>
    <m/>
    <s v="F3"/>
    <s v="OTHER FEL"/>
    <m/>
    <m/>
    <m/>
    <m/>
    <m/>
    <m/>
    <m/>
    <m/>
    <m/>
    <s v="Appointed Attorney"/>
    <m/>
    <m/>
    <n v="51"/>
    <n v="51"/>
    <n v="51"/>
    <n v="35.472677595628419"/>
    <n v="0"/>
    <n v="0"/>
    <s v="CONVICTION"/>
    <x v="0"/>
    <s v="N"/>
    <m/>
    <s v="CONVICTION"/>
    <s v="Y"/>
    <x v="0"/>
    <x v="0"/>
    <s v="Y"/>
    <n v="1"/>
    <n v="1"/>
    <n v="0"/>
    <n v="0"/>
    <n v="-51"/>
    <n v="0"/>
    <n v="51"/>
    <e v="#VALUE!"/>
    <n v="51"/>
    <n v="0"/>
    <n v="0"/>
    <m/>
    <s v="Y"/>
    <m/>
    <s v="31-60 DAYS"/>
    <n v="3"/>
    <x v="0"/>
  </r>
  <r>
    <n v="1965"/>
    <s v="N"/>
    <s v="N"/>
    <n v="1428531"/>
    <n v="4"/>
    <d v="2012-03-14T00:00:00"/>
    <d v="2012-03-16T00:00:00"/>
    <n v="1428531"/>
    <d v="2012-03-14T00:00:00"/>
    <d v="2012-03-16T00:00:00"/>
    <n v="5000"/>
    <x v="4"/>
    <m/>
    <s v="N"/>
    <s v="NONE"/>
    <s v="GUILTY PLEA - NO JURY"/>
    <n v="3"/>
    <n v="3"/>
    <n v="1"/>
    <n v="1"/>
    <n v="1"/>
    <m/>
    <m/>
    <m/>
    <m/>
    <m/>
    <m/>
    <m/>
    <m/>
    <d v="1974-12-31T00:00:00"/>
    <s v="M"/>
    <s v="B"/>
    <s v="BLACK"/>
    <s v="NON-HISPANIC"/>
    <s v="177"/>
    <s v="CONVICTED"/>
    <n v="1"/>
    <s v="HCJ"/>
    <m/>
    <m/>
    <n v="180"/>
    <s v="UNAUTH USE OF VEHICLE"/>
    <m/>
    <s v="FS"/>
    <s v="AUTO THEFT"/>
    <m/>
    <m/>
    <m/>
    <m/>
    <m/>
    <m/>
    <m/>
    <m/>
    <m/>
    <s v="Appointed Attorney"/>
    <m/>
    <m/>
    <n v="3"/>
    <n v="3"/>
    <n v="3"/>
    <n v="37.125683060109289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034"/>
    <s v="N"/>
    <s v="N"/>
    <n v="1428723"/>
    <n v="5"/>
    <d v="2012-02-08T00:00:00"/>
    <d v="2012-03-27T00:00:00"/>
    <n v="1428723"/>
    <d v="2012-02-08T00:00:00"/>
    <d v="2012-03-27T00:00:00"/>
    <n v="15000"/>
    <x v="0"/>
    <m/>
    <s v="N"/>
    <s v="NONE"/>
    <s v="GUILTY PLEA - NO JURY"/>
    <n v="49"/>
    <n v="49"/>
    <n v="4"/>
    <n v="0"/>
    <n v="1"/>
    <m/>
    <m/>
    <m/>
    <m/>
    <m/>
    <m/>
    <m/>
    <m/>
    <d v="1972-09-21T00:00:00"/>
    <s v="M"/>
    <s v="B"/>
    <s v="BLACK"/>
    <s v="NON-HISPANIC"/>
    <s v="209"/>
    <s v="CONVICTED"/>
    <n v="2"/>
    <s v="STJ"/>
    <m/>
    <n v="6"/>
    <m/>
    <s v="BURGLARY OF A BUILDING"/>
    <m/>
    <s v="FS"/>
    <s v="BURGLARY"/>
    <m/>
    <m/>
    <m/>
    <m/>
    <m/>
    <m/>
    <m/>
    <m/>
    <m/>
    <s v="Appointed Attorney"/>
    <m/>
    <m/>
    <n v="49"/>
    <n v="49"/>
    <n v="49"/>
    <n v="39.300546448087431"/>
    <n v="0"/>
    <n v="0"/>
    <s v="CONVICTION"/>
    <x v="0"/>
    <s v="N"/>
    <m/>
    <s v="CONVICTION"/>
    <s v="Y"/>
    <x v="0"/>
    <x v="0"/>
    <s v="Y"/>
    <n v="1"/>
    <n v="1"/>
    <n v="0"/>
    <n v="0"/>
    <n v="-49"/>
    <n v="0"/>
    <n v="49"/>
    <e v="#VALUE!"/>
    <n v="49"/>
    <n v="0"/>
    <n v="0"/>
    <m/>
    <s v="Y"/>
    <m/>
    <s v="31-60 DAYS"/>
    <n v="3"/>
    <x v="0"/>
  </r>
  <r>
    <n v="28"/>
    <s v="N"/>
    <s v="N"/>
    <n v="1429401"/>
    <n v="2"/>
    <d v="2012-01-03T00:00:00"/>
    <d v="2012-02-08T00:00:00"/>
    <n v="1429401"/>
    <d v="2012-01-03T00:00:00"/>
    <d v="2012-02-08T00:00:00"/>
    <n v="5000"/>
    <x v="4"/>
    <m/>
    <s v="N"/>
    <s v="NONE"/>
    <s v="DEFERRED ADJUDICATION "/>
    <n v="37"/>
    <n v="37"/>
    <n v="0"/>
    <n v="2"/>
    <m/>
    <m/>
    <m/>
    <m/>
    <m/>
    <m/>
    <m/>
    <m/>
    <m/>
    <d v="1975-08-07T00:00:00"/>
    <s v="F"/>
    <s v="B"/>
    <s v="BLACK"/>
    <s v="NULL"/>
    <s v="176"/>
    <s v="DEFERRED"/>
    <n v="3"/>
    <s v="DEFERRED"/>
    <m/>
    <m/>
    <m/>
    <s v="POSS/ATT POSS CS BY FRAUD SCH"/>
    <m/>
    <s v="F3"/>
    <s v="SALE DRUG"/>
    <m/>
    <m/>
    <m/>
    <m/>
    <m/>
    <m/>
    <m/>
    <m/>
    <m/>
    <s v="Appointed Attorney"/>
    <m/>
    <m/>
    <n v="37"/>
    <n v="37"/>
    <n v="37"/>
    <n v="36.333333333333336"/>
    <n v="0"/>
    <n v="0"/>
    <s v="DEFERRED"/>
    <x v="0"/>
    <s v="N"/>
    <m/>
    <s v="DEFERRED"/>
    <s v="Y"/>
    <x v="0"/>
    <x v="0"/>
    <s v="N"/>
    <n v="1"/>
    <n v="1"/>
    <n v="0"/>
    <n v="0"/>
    <n v="-37"/>
    <n v="0"/>
    <n v="37"/>
    <e v="#VALUE!"/>
    <n v="37"/>
    <n v="0"/>
    <n v="0"/>
    <m/>
    <s v="Y"/>
    <m/>
    <s v="31-60 DAYS"/>
    <n v="3"/>
    <x v="0"/>
  </r>
  <r>
    <n v="558"/>
    <s v="N"/>
    <s v="N"/>
    <n v="1429890"/>
    <n v="6"/>
    <d v="2012-01-23T00:00:00"/>
    <d v="2012-11-16T00:00:00"/>
    <n v="1429890"/>
    <d v="2012-01-23T00:00:00"/>
    <d v="2012-02-11T00:00:00"/>
    <n v="120000"/>
    <x v="2"/>
    <d v="2012-02-11T00:00:00"/>
    <s v="Y"/>
    <s v="SURETY"/>
    <s v="GUILTY PLEA - NO JURY"/>
    <n v="20"/>
    <n v="299"/>
    <n v="2"/>
    <n v="3"/>
    <n v="1"/>
    <m/>
    <m/>
    <m/>
    <m/>
    <m/>
    <m/>
    <m/>
    <m/>
    <d v="1977-08-10T00:00:00"/>
    <s v="M"/>
    <s v="B"/>
    <s v="BLACK"/>
    <s v="NULL"/>
    <s v="182"/>
    <s v="CONVICTED"/>
    <n v="14"/>
    <s v="TDC"/>
    <n v="7"/>
    <m/>
    <m/>
    <s v="POSS CS PG 4 OVER 400 GRAMS"/>
    <m/>
    <s v="F1"/>
    <s v="POSS DRUG"/>
    <m/>
    <m/>
    <m/>
    <m/>
    <m/>
    <m/>
    <m/>
    <m/>
    <m/>
    <s v="Hired Attorney"/>
    <m/>
    <m/>
    <n v="20"/>
    <n v="299"/>
    <n v="299"/>
    <n v="34.382513661202189"/>
    <n v="0"/>
    <n v="-279"/>
    <s v="CONVICTION"/>
    <x v="1"/>
    <s v="Y"/>
    <m/>
    <s v="CONVICTION"/>
    <s v="Y"/>
    <x v="1"/>
    <x v="0"/>
    <s v="Y"/>
    <n v="6.6889632107023408E-2"/>
    <n v="6.6889632107023408E-2"/>
    <n v="0"/>
    <n v="0"/>
    <n v="-20"/>
    <n v="0"/>
    <n v="20"/>
    <e v="#VALUE!"/>
    <n v="20"/>
    <n v="0"/>
    <n v="279"/>
    <m/>
    <s v="Y"/>
    <m/>
    <s v="11-30 DAYS"/>
    <n v="2"/>
    <x v="0"/>
  </r>
  <r>
    <n v="1959"/>
    <s v="N"/>
    <s v="N"/>
    <n v="1430728"/>
    <n v="6"/>
    <d v="2012-03-14T00:00:00"/>
    <d v="2012-03-15T00:00:00"/>
    <n v="1430728"/>
    <d v="2012-03-14T00:00:00"/>
    <d v="2012-03-15T00:00:00"/>
    <n v="15000"/>
    <x v="0"/>
    <m/>
    <s v="N"/>
    <s v="NONE"/>
    <s v="GUILTY PLEA - NO JURY"/>
    <n v="2"/>
    <n v="2"/>
    <n v="6"/>
    <n v="2"/>
    <n v="4"/>
    <m/>
    <m/>
    <m/>
    <m/>
    <m/>
    <m/>
    <m/>
    <m/>
    <d v="1972-09-21T00:00:00"/>
    <s v="M"/>
    <s v="B"/>
    <s v="BLACK"/>
    <s v="NON-HISPANIC"/>
    <s v="208"/>
    <s v="CONVICTED"/>
    <n v="1"/>
    <s v="TDC"/>
    <n v="2"/>
    <m/>
    <m/>
    <s v="BURGLARY OF A BUILDING"/>
    <m/>
    <s v="FS"/>
    <s v="BURGLARY"/>
    <m/>
    <m/>
    <m/>
    <m/>
    <m/>
    <m/>
    <m/>
    <m/>
    <m/>
    <s v="Appointed Attorney"/>
    <m/>
    <m/>
    <n v="2"/>
    <n v="2"/>
    <n v="2"/>
    <n v="39.396174863387976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2145"/>
    <s v="N"/>
    <s v="N"/>
    <n v="1431465"/>
    <n v="1"/>
    <d v="2012-03-21T00:00:00"/>
    <d v="2012-05-17T00:00:00"/>
    <n v="1431465"/>
    <d v="2012-03-24T00:00:00"/>
    <d v="2012-05-17T00:00:00"/>
    <s v="NO BOND"/>
    <x v="1"/>
    <m/>
    <s v="N"/>
    <s v="NONE"/>
    <s v="DISMISSED"/>
    <n v="55"/>
    <n v="58"/>
    <n v="1"/>
    <n v="5"/>
    <m/>
    <m/>
    <m/>
    <m/>
    <m/>
    <m/>
    <m/>
    <m/>
    <m/>
    <d v="1967-09-04T00:00:00"/>
    <s v="M"/>
    <s v="B"/>
    <s v="BLACK"/>
    <s v="NON-HISPANIC"/>
    <s v="179"/>
    <s v="DISMISSED"/>
    <n v="5"/>
    <s v="DISMISSED"/>
    <m/>
    <m/>
    <m/>
    <s v="ASSAULT-BOD INJ-FAMILY MEMBER"/>
    <m/>
    <s v="F3"/>
    <s v="ASLT-MURDR"/>
    <m/>
    <m/>
    <m/>
    <m/>
    <m/>
    <m/>
    <m/>
    <m/>
    <m/>
    <s v="Appointed Attorney"/>
    <m/>
    <m/>
    <n v="55"/>
    <n v="55"/>
    <n v="58"/>
    <n v="44.453551912568308"/>
    <n v="0"/>
    <n v="0"/>
    <s v="NO CONVICTION"/>
    <x v="0"/>
    <s v="N"/>
    <m/>
    <s v="NO CONVICTION"/>
    <s v="Y"/>
    <x v="0"/>
    <x v="0"/>
    <s v="Y"/>
    <n v="0.94827586206896552"/>
    <n v="1"/>
    <n v="5.1724137931034475E-2"/>
    <n v="0"/>
    <n v="-55"/>
    <n v="0"/>
    <n v="55"/>
    <e v="#VALUE!"/>
    <n v="55"/>
    <n v="0"/>
    <n v="0"/>
    <m/>
    <s v="Y"/>
    <m/>
    <s v="31-60 DAYS"/>
    <n v="3"/>
    <x v="0"/>
  </r>
  <r>
    <n v="1768"/>
    <s v="N"/>
    <s v="N"/>
    <n v="1432801"/>
    <n v="4"/>
    <d v="2012-03-06T00:00:00"/>
    <d v="2012-03-09T00:00:00"/>
    <n v="1432801"/>
    <d v="2012-03-07T00:00:00"/>
    <d v="2012-03-09T00:00:00"/>
    <n v="5000"/>
    <x v="4"/>
    <m/>
    <s v="N"/>
    <s v="NONE"/>
    <s v="GUILTY PLEA - NO JURY"/>
    <n v="3"/>
    <n v="4"/>
    <n v="2"/>
    <n v="4"/>
    <m/>
    <m/>
    <m/>
    <m/>
    <m/>
    <m/>
    <m/>
    <m/>
    <m/>
    <d v="1977-07-28T00:00:00"/>
    <s v="M"/>
    <s v="B"/>
    <s v="BLACK"/>
    <s v="NON-HISPANIC"/>
    <s v="176"/>
    <s v="CONVICTED"/>
    <n v="2"/>
    <s v="HCJ"/>
    <m/>
    <m/>
    <n v="90"/>
    <s v="POSS CS PG 1 &lt;1G"/>
    <m/>
    <s v="FS"/>
    <s v="POSS DRUG"/>
    <m/>
    <m/>
    <m/>
    <m/>
    <m/>
    <m/>
    <m/>
    <m/>
    <m/>
    <s v="Appointed Attorney"/>
    <m/>
    <m/>
    <n v="3"/>
    <n v="3"/>
    <n v="4"/>
    <n v="34.535519125683059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80"/>
    <s v="N"/>
    <s v="N"/>
    <n v="1433968"/>
    <n v="1"/>
    <d v="2012-01-04T00:00:00"/>
    <d v="2012-01-26T00:00:00"/>
    <n v="1433968"/>
    <d v="2012-01-05T00:00:00"/>
    <d v="2012-01-06T00:00:00"/>
    <n v="10000"/>
    <x v="3"/>
    <d v="2012-01-06T00:00:00"/>
    <s v="Y"/>
    <s v="SURETY"/>
    <s v="DISMISSED"/>
    <n v="2"/>
    <n v="23"/>
    <n v="5"/>
    <n v="2"/>
    <n v="2"/>
    <m/>
    <m/>
    <m/>
    <m/>
    <m/>
    <m/>
    <m/>
    <m/>
    <d v="1974-05-15T00:00:00"/>
    <s v="M"/>
    <s v="B"/>
    <s v="BLACK"/>
    <s v="NON-HISPANIC"/>
    <s v="228"/>
    <s v="DISM felOpen"/>
    <n v="3"/>
    <s v="DISMISSED"/>
    <m/>
    <m/>
    <m/>
    <s v="TAMPER/FABRICATE EVIDENCE"/>
    <m/>
    <s v="F3"/>
    <s v="OTHER FEL"/>
    <s v="7/16/12 poss marj hcj 2 days"/>
    <m/>
    <m/>
    <m/>
    <m/>
    <m/>
    <m/>
    <m/>
    <m/>
    <s v="Appointed Attorney"/>
    <m/>
    <m/>
    <n v="2"/>
    <n v="22"/>
    <n v="23"/>
    <n v="37.562841530054648"/>
    <n v="0"/>
    <n v="-20"/>
    <s v="NO CONVICTION"/>
    <x v="1"/>
    <s v="Y"/>
    <m/>
    <s v=""/>
    <s v="Y"/>
    <x v="1"/>
    <x v="0"/>
    <s v="Y"/>
    <n v="8.6956521739130432E-2"/>
    <n v="9.0909090909090912E-2"/>
    <n v="3.9525691699604792E-3"/>
    <n v="0"/>
    <n v="-2"/>
    <n v="0"/>
    <n v="2"/>
    <e v="#VALUE!"/>
    <n v="2"/>
    <n v="0"/>
    <n v="20"/>
    <m/>
    <s v="Y"/>
    <m/>
    <s v="0-10 DAYS"/>
    <n v="1"/>
    <x v="0"/>
  </r>
  <r>
    <n v="2437"/>
    <s v="N"/>
    <s v="N"/>
    <n v="1434847"/>
    <n v="1"/>
    <d v="2012-04-01T00:00:00"/>
    <d v="2012-04-03T00:00:00"/>
    <n v="1434847"/>
    <d v="2012-04-02T00:00:00"/>
    <d v="2012-04-03T00:00:00"/>
    <n v="5000"/>
    <x v="4"/>
    <m/>
    <s v="N"/>
    <s v="NONE"/>
    <s v="DISMISSED"/>
    <n v="2"/>
    <n v="3"/>
    <n v="0"/>
    <n v="5"/>
    <m/>
    <m/>
    <m/>
    <m/>
    <m/>
    <m/>
    <m/>
    <s v="S"/>
    <m/>
    <d v="1971-12-15T00:00:00"/>
    <s v="M"/>
    <s v="H"/>
    <s v="HISPANIC"/>
    <s v="NULL"/>
    <s v="228"/>
    <s v="DISMISSED"/>
    <n v="1"/>
    <s v="DISMISSED"/>
    <m/>
    <m/>
    <m/>
    <s v="ASSAULT-BOD INJ-PUB SERV/RETAL"/>
    <m/>
    <s v="F3"/>
    <s v="ASLT-MURDR"/>
    <s v="4/4/12 misd resist arr search hcj 60 days"/>
    <m/>
    <m/>
    <m/>
    <m/>
    <m/>
    <m/>
    <m/>
    <m/>
    <s v="Other/Unknown"/>
    <m/>
    <m/>
    <n v="2"/>
    <n v="2"/>
    <n v="3"/>
    <n v="40.213114754098363"/>
    <n v="0"/>
    <n v="0"/>
    <s v="NO CONVICTION"/>
    <x v="0"/>
    <s v="N"/>
    <m/>
    <s v="NO CONVICTION"/>
    <s v="Y"/>
    <x v="0"/>
    <x v="0"/>
    <s v="N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642"/>
    <s v="N"/>
    <s v="N"/>
    <n v="1436563"/>
    <n v="5"/>
    <d v="2012-01-26T00:00:00"/>
    <d v="2012-03-08T00:00:00"/>
    <n v="1436563"/>
    <d v="2012-01-26T00:00:00"/>
    <d v="2012-03-08T00:00:00"/>
    <n v="15000"/>
    <x v="0"/>
    <m/>
    <s v="N"/>
    <s v="NONE"/>
    <s v="GUILTY PLEA - NO JURY"/>
    <n v="43"/>
    <n v="43"/>
    <n v="12"/>
    <n v="2"/>
    <n v="8"/>
    <m/>
    <m/>
    <m/>
    <m/>
    <m/>
    <m/>
    <m/>
    <m/>
    <d v="1977-10-18T00:00:00"/>
    <s v="F"/>
    <s v="B"/>
    <s v="BLACK"/>
    <s v="NON-HISPANIC"/>
    <s v="232"/>
    <s v="CONVICTED"/>
    <n v="3"/>
    <s v="STJ"/>
    <m/>
    <n v="7"/>
    <m/>
    <s v="POSS CS PG 1 &lt;1G"/>
    <m/>
    <s v="FS"/>
    <s v="POSS DRUG"/>
    <m/>
    <m/>
    <m/>
    <m/>
    <m/>
    <m/>
    <m/>
    <m/>
    <m/>
    <s v="Public Defender"/>
    <m/>
    <m/>
    <n v="43"/>
    <n v="43"/>
    <n v="43"/>
    <n v="34.202185792349724"/>
    <n v="0"/>
    <n v="0"/>
    <s v="CONVICTION"/>
    <x v="0"/>
    <s v="N"/>
    <m/>
    <s v="CONVICTION"/>
    <s v="Y"/>
    <x v="0"/>
    <x v="0"/>
    <s v="Y"/>
    <n v="1"/>
    <n v="1"/>
    <n v="0"/>
    <n v="0"/>
    <n v="-43"/>
    <n v="0"/>
    <n v="43"/>
    <e v="#VALUE!"/>
    <n v="43"/>
    <n v="0"/>
    <n v="0"/>
    <m/>
    <s v="Y"/>
    <m/>
    <s v="31-60 DAYS"/>
    <n v="3"/>
    <x v="0"/>
  </r>
  <r>
    <n v="590"/>
    <s v="N"/>
    <s v="N"/>
    <n v="1440023"/>
    <n v="1"/>
    <d v="2012-01-24T00:00:00"/>
    <d v="2012-03-27T00:00:00"/>
    <n v="1440023"/>
    <d v="2012-01-25T00:00:00"/>
    <d v="2012-01-25T00:00:00"/>
    <n v="10000"/>
    <x v="3"/>
    <d v="2012-01-25T00:00:00"/>
    <s v="Y"/>
    <s v="SURETYPTRc"/>
    <s v="DISMISSED"/>
    <n v="1"/>
    <n v="64"/>
    <n v="0"/>
    <n v="6"/>
    <m/>
    <m/>
    <m/>
    <m/>
    <m/>
    <m/>
    <m/>
    <m/>
    <m/>
    <d v="1962-08-19T00:00:00"/>
    <s v="M"/>
    <s v="H"/>
    <s v="HISPANIC"/>
    <s v="HISPANIC"/>
    <s v="338"/>
    <s v="DISMISSED"/>
    <n v="3"/>
    <s v="DISMISSED"/>
    <m/>
    <m/>
    <m/>
    <s v="DWI 3RD OFFENDER BAC .08"/>
    <m/>
    <s v="F3"/>
    <s v="FEL DWI"/>
    <m/>
    <m/>
    <m/>
    <m/>
    <m/>
    <m/>
    <m/>
    <m/>
    <m/>
    <s v="Hired Attorney"/>
    <m/>
    <m/>
    <n v="1"/>
    <n v="63"/>
    <n v="64"/>
    <n v="49.330601092896174"/>
    <n v="0"/>
    <n v="-62"/>
    <s v="NO CONVICTION"/>
    <x v="1"/>
    <s v="Y"/>
    <m/>
    <s v="NO CONVICTION"/>
    <s v="Y"/>
    <x v="1"/>
    <x v="0"/>
    <s v="N"/>
    <n v="1.5625E-2"/>
    <n v="1.5873015873015872E-2"/>
    <n v="2.4801587301587213E-4"/>
    <n v="0"/>
    <n v="-1"/>
    <n v="0"/>
    <n v="1"/>
    <e v="#VALUE!"/>
    <n v="1"/>
    <n v="0"/>
    <n v="62"/>
    <m/>
    <s v="Y"/>
    <m/>
    <s v="0-10 DAYS"/>
    <n v="1"/>
    <x v="0"/>
  </r>
  <r>
    <n v="2828"/>
    <s v="N"/>
    <s v="N"/>
    <n v="1441241"/>
    <n v="1"/>
    <d v="2012-04-14T00:00:00"/>
    <d v="2013-02-08T00:00:00"/>
    <n v="1441241"/>
    <d v="2012-04-14T00:00:00"/>
    <d v="2012-04-15T00:00:00"/>
    <n v="5000"/>
    <x v="4"/>
    <d v="2012-04-15T00:00:00"/>
    <s v="Y"/>
    <s v="SURETYPTRc"/>
    <s v="DISMISSED"/>
    <n v="2"/>
    <n v="301"/>
    <n v="0"/>
    <n v="0"/>
    <m/>
    <m/>
    <m/>
    <m/>
    <m/>
    <m/>
    <m/>
    <m/>
    <m/>
    <d v="1970-05-14T00:00:00"/>
    <s v="M"/>
    <s v="B"/>
    <s v="BLACK"/>
    <s v="NULL"/>
    <s v="337"/>
    <s v="DISMISSED"/>
    <n v="10"/>
    <s v="DISMISSED"/>
    <m/>
    <m/>
    <m/>
    <s v="POSS CS PG 4 28-200 GRAMS"/>
    <m/>
    <s v="F3"/>
    <s v="POSS DRUG"/>
    <m/>
    <m/>
    <m/>
    <m/>
    <m/>
    <m/>
    <m/>
    <m/>
    <m/>
    <s v="Hired Attorney"/>
    <m/>
    <m/>
    <n v="2"/>
    <n v="301"/>
    <n v="301"/>
    <n v="41.833333333333336"/>
    <n v="0"/>
    <n v="-299"/>
    <s v="NO CONVICTION"/>
    <x v="1"/>
    <s v="Y"/>
    <m/>
    <s v="NO CONVICTION"/>
    <s v="Y"/>
    <x v="1"/>
    <x v="0"/>
    <s v="N"/>
    <n v="6.6445182724252493E-3"/>
    <n v="6.6445182724252493E-3"/>
    <n v="0"/>
    <n v="0"/>
    <n v="-2"/>
    <n v="0"/>
    <n v="2"/>
    <e v="#VALUE!"/>
    <n v="2"/>
    <n v="0"/>
    <n v="299"/>
    <m/>
    <s v="N"/>
    <m/>
    <s v="0-10 DAYS"/>
    <n v="1"/>
    <x v="0"/>
  </r>
  <r>
    <n v="627"/>
    <s v="N"/>
    <s v="N"/>
    <n v="1442231"/>
    <n v="5"/>
    <d v="2012-01-25T00:00:00"/>
    <d v="2012-01-27T00:00:00"/>
    <n v="1442231"/>
    <d v="2012-01-26T00:00:00"/>
    <d v="2012-01-27T00:00:00"/>
    <n v="15000"/>
    <x v="0"/>
    <m/>
    <s v="N"/>
    <s v="NONE"/>
    <s v="GUILTY PLEA - NO JURY"/>
    <n v="2"/>
    <n v="3"/>
    <n v="10"/>
    <n v="3"/>
    <n v="4"/>
    <n v="1"/>
    <m/>
    <m/>
    <m/>
    <m/>
    <m/>
    <m/>
    <m/>
    <d v="1963-06-09T00:00:00"/>
    <s v="F"/>
    <s v="B"/>
    <s v="BLACK"/>
    <s v="NON-HISPANIC"/>
    <s v="185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48.530054644808743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50"/>
    <s v="N"/>
    <s v="N"/>
    <n v="1442479"/>
    <n v="4"/>
    <d v="2012-01-03T00:00:00"/>
    <d v="2012-01-05T00:00:00"/>
    <n v="1442479"/>
    <d v="2012-01-04T00:00:00"/>
    <d v="2012-01-05T00:00:00"/>
    <n v="15000"/>
    <x v="0"/>
    <m/>
    <s v="N"/>
    <s v="NONE"/>
    <s v="GUILTY PLEA - NO JURY"/>
    <n v="2"/>
    <n v="3"/>
    <n v="2"/>
    <n v="3"/>
    <m/>
    <m/>
    <m/>
    <m/>
    <m/>
    <m/>
    <m/>
    <m/>
    <m/>
    <d v="1977-09-03T00:00:00"/>
    <s v="M"/>
    <s v="B"/>
    <s v="BLACK"/>
    <s v="NON-HISPANIC"/>
    <s v="262"/>
    <s v="CONVICTED"/>
    <n v="1"/>
    <s v="HCJ"/>
    <m/>
    <m/>
    <n v="180"/>
    <s v="POSS CS PG 1 &lt;1G"/>
    <m/>
    <s v="FS"/>
    <s v="POSS DRUG"/>
    <m/>
    <m/>
    <m/>
    <m/>
    <m/>
    <m/>
    <m/>
    <m/>
    <m/>
    <s v="Appointed Attorney"/>
    <m/>
    <m/>
    <n v="2"/>
    <n v="2"/>
    <n v="3"/>
    <n v="34.26229508196721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1056"/>
    <s v="N"/>
    <s v="N"/>
    <n v="1444566"/>
    <n v="2"/>
    <d v="2012-02-09T00:00:00"/>
    <d v="2012-02-10T00:00:00"/>
    <n v="1444566"/>
    <d v="2012-02-09T00:00:00"/>
    <d v="2012-02-10T00:00:00"/>
    <n v="5000"/>
    <x v="4"/>
    <m/>
    <s v="N"/>
    <s v="NONE"/>
    <s v="DEFERRED ADJUDICATION "/>
    <n v="2"/>
    <n v="2"/>
    <n v="1"/>
    <n v="2"/>
    <m/>
    <m/>
    <m/>
    <m/>
    <m/>
    <m/>
    <m/>
    <m/>
    <m/>
    <d v="1962-10-25T00:00:00"/>
    <s v="F"/>
    <s v="B"/>
    <s v="BLACK"/>
    <s v="NON-HISPANIC"/>
    <s v="337"/>
    <s v="DEFERRED"/>
    <n v="1"/>
    <s v="DEFERRED"/>
    <m/>
    <m/>
    <m/>
    <s v="POSS MARIJ  4 OZ. - 5 LBS."/>
    <m/>
    <s v="FS"/>
    <s v="POSS DRUG"/>
    <m/>
    <m/>
    <m/>
    <m/>
    <m/>
    <m/>
    <m/>
    <m/>
    <m/>
    <s v="Appointed Attorney"/>
    <m/>
    <m/>
    <n v="2"/>
    <n v="2"/>
    <n v="2"/>
    <n v="49.191256830601091"/>
    <n v="0"/>
    <n v="0"/>
    <s v="DEFERRED"/>
    <x v="0"/>
    <s v="N"/>
    <m/>
    <s v="DEFERRED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1146"/>
    <s v="N"/>
    <s v="Y"/>
    <n v="1445900"/>
    <n v="6"/>
    <d v="2012-02-11T00:00:00"/>
    <d v="2012-09-20T00:00:00"/>
    <n v="1445900"/>
    <d v="2012-02-11T00:00:00"/>
    <d v="2012-02-14T00:00:00"/>
    <n v="20000"/>
    <x v="0"/>
    <d v="2012-02-14T00:00:00"/>
    <s v="Y"/>
    <s v="SURETYPTRc"/>
    <s v="GUILTY PLEA - NO JURY"/>
    <n v="76"/>
    <n v="223"/>
    <n v="1"/>
    <n v="1"/>
    <n v="1"/>
    <m/>
    <m/>
    <m/>
    <m/>
    <m/>
    <m/>
    <m/>
    <m/>
    <d v="1977-03-28T00:00:00"/>
    <s v="M"/>
    <s v="W"/>
    <s v="WHITE"/>
    <s v="NON-HISPANIC"/>
    <s v="232"/>
    <s v="CONVICTED"/>
    <n v="9"/>
    <s v="TDC"/>
    <n v="3"/>
    <m/>
    <m/>
    <s v="DWI 3RD OFFENDER BAC .08"/>
    <m/>
    <s v="F3"/>
    <s v="FEL DWI"/>
    <m/>
    <s v="revoked 7/5/12"/>
    <m/>
    <m/>
    <s v="Y"/>
    <m/>
    <m/>
    <m/>
    <m/>
    <s v="Hired Attorney"/>
    <m/>
    <m/>
    <n v="76"/>
    <n v="223"/>
    <n v="223"/>
    <n v="34.803278688524593"/>
    <n v="0"/>
    <n v="-219"/>
    <s v="CONVICTION"/>
    <x v="1"/>
    <s v="Y"/>
    <m/>
    <s v="CONVICTION"/>
    <s v="Y"/>
    <x v="0"/>
    <x v="0"/>
    <s v="Y"/>
    <n v="0.34080717488789236"/>
    <n v="1.7937219730941704E-2"/>
    <n v="-0.32286995515695066"/>
    <n v="0"/>
    <n v="-4"/>
    <n v="72"/>
    <n v="223"/>
    <n v="76"/>
    <n v="223"/>
    <n v="219"/>
    <n v="219"/>
    <m/>
    <s v="Y"/>
    <m/>
    <s v="61-90 DAYS"/>
    <n v="4"/>
    <x v="0"/>
  </r>
  <r>
    <n v="2542"/>
    <s v="N"/>
    <s v="N"/>
    <n v="1446010"/>
    <n v="6"/>
    <d v="2012-04-05T00:00:00"/>
    <d v="2012-12-10T00:00:00"/>
    <n v="1446010"/>
    <d v="2012-04-05T00:00:00"/>
    <d v="2012-04-13T00:00:00"/>
    <n v="35000"/>
    <x v="2"/>
    <d v="2012-04-13T00:00:00"/>
    <s v="Y"/>
    <s v="SURETY"/>
    <s v="GUILTY PLEA - NO JURY"/>
    <n v="9"/>
    <n v="250"/>
    <n v="3"/>
    <n v="4"/>
    <n v="1"/>
    <m/>
    <m/>
    <m/>
    <m/>
    <m/>
    <m/>
    <m/>
    <m/>
    <d v="1969-02-16T00:00:00"/>
    <s v="M"/>
    <s v="W"/>
    <s v="WHITE"/>
    <s v="NON-HISPANIC"/>
    <s v="248"/>
    <s v="CONVICTED"/>
    <n v="9"/>
    <s v="TDC"/>
    <n v="2"/>
    <m/>
    <m/>
    <s v="AGG ASSAULT W/DEADLY WEAPON"/>
    <m/>
    <s v="F2"/>
    <s v="ASLT-MURDR"/>
    <m/>
    <m/>
    <m/>
    <m/>
    <m/>
    <m/>
    <m/>
    <m/>
    <m/>
    <s v="Hired Attorney"/>
    <m/>
    <m/>
    <n v="9"/>
    <n v="250"/>
    <n v="250"/>
    <n v="43.043715846994537"/>
    <n v="0"/>
    <n v="-241"/>
    <s v="CONVICTION"/>
    <x v="1"/>
    <s v="Y"/>
    <m/>
    <s v="CONVICTION"/>
    <s v="Y"/>
    <x v="1"/>
    <x v="0"/>
    <s v="Y"/>
    <n v="3.5999999999999997E-2"/>
    <n v="3.5999999999999997E-2"/>
    <n v="0"/>
    <n v="0"/>
    <n v="-9"/>
    <n v="0"/>
    <n v="9"/>
    <e v="#VALUE!"/>
    <n v="9"/>
    <n v="0"/>
    <n v="241"/>
    <m/>
    <s v="Y"/>
    <m/>
    <s v="0-10 DAYS"/>
    <n v="1"/>
    <x v="0"/>
  </r>
  <r>
    <n v="34"/>
    <s v="N"/>
    <s v="N"/>
    <n v="1446565"/>
    <n v="6"/>
    <d v="2012-01-03T00:00:00"/>
    <d v="2012-02-09T00:00:00"/>
    <n v="1446565"/>
    <d v="2012-01-03T00:00:00"/>
    <d v="2012-02-09T00:00:00"/>
    <s v="NO BOND"/>
    <x v="1"/>
    <m/>
    <s v="N"/>
    <s v="NONE"/>
    <s v="GUILTY PLEA - NO JURY"/>
    <n v="38"/>
    <n v="38"/>
    <n v="7"/>
    <n v="0"/>
    <n v="5"/>
    <m/>
    <m/>
    <m/>
    <m/>
    <m/>
    <m/>
    <m/>
    <m/>
    <d v="1977-12-11T00:00:00"/>
    <s v="M"/>
    <s v="B"/>
    <s v="BLACK"/>
    <s v="NON-HISPANIC"/>
    <s v="339"/>
    <s v="CONVICTED"/>
    <n v="4"/>
    <s v="TDC"/>
    <n v="2"/>
    <m/>
    <m/>
    <s v="FELON POSS WPN"/>
    <m/>
    <s v="F3"/>
    <s v="OTHER FEL"/>
    <m/>
    <m/>
    <m/>
    <m/>
    <m/>
    <m/>
    <m/>
    <m/>
    <m/>
    <s v="Hired Attorney"/>
    <m/>
    <m/>
    <n v="38"/>
    <n v="38"/>
    <n v="38"/>
    <n v="33.991803278688522"/>
    <n v="0"/>
    <n v="0"/>
    <s v="CONVICTION"/>
    <x v="0"/>
    <s v="N"/>
    <m/>
    <s v="CONVICTION"/>
    <s v="Y"/>
    <x v="0"/>
    <x v="0"/>
    <s v="Y"/>
    <n v="1"/>
    <n v="1"/>
    <n v="0"/>
    <n v="0"/>
    <n v="-38"/>
    <n v="0"/>
    <n v="38"/>
    <e v="#VALUE!"/>
    <n v="38"/>
    <n v="0"/>
    <n v="0"/>
    <m/>
    <s v="Y"/>
    <m/>
    <s v="31-60 DAYS"/>
    <n v="3"/>
    <x v="0"/>
  </r>
  <r>
    <n v="1072"/>
    <s v="N"/>
    <s v="N"/>
    <n v="1447069"/>
    <n v="1"/>
    <d v="2012-02-09T00:00:00"/>
    <d v="2012-10-03T00:00:00"/>
    <n v="1447069"/>
    <s v="NOT BOOKED"/>
    <s v="NOT BOOKED"/>
    <n v="2000"/>
    <x v="5"/>
    <d v="2012-02-11T00:00:00"/>
    <s v="Y"/>
    <s v="SURETY"/>
    <s v="DISMISSED"/>
    <n v="0"/>
    <n v="238"/>
    <n v="0"/>
    <n v="2"/>
    <m/>
    <m/>
    <m/>
    <m/>
    <m/>
    <m/>
    <m/>
    <m/>
    <m/>
    <d v="1977-12-27T00:00:00"/>
    <s v="M"/>
    <s v="H"/>
    <s v="HISPANIC"/>
    <s v="HISPANIC"/>
    <s v="263"/>
    <s v="DISMISSED"/>
    <n v="11"/>
    <s v="DISMISSED"/>
    <m/>
    <m/>
    <m/>
    <s v="THEFT $1500-20K"/>
    <m/>
    <s v="FS"/>
    <s v="THEFT"/>
    <m/>
    <m/>
    <m/>
    <m/>
    <m/>
    <m/>
    <m/>
    <m/>
    <m/>
    <s v="Hired Attorney"/>
    <m/>
    <m/>
    <n v="0"/>
    <n v="0"/>
    <n v="238"/>
    <n v="34.049180327868854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849"/>
    <s v="N"/>
    <s v="N"/>
    <n v="1448035"/>
    <n v="4"/>
    <d v="2012-02-01T00:00:00"/>
    <d v="2012-08-03T00:00:00"/>
    <n v="1448035"/>
    <d v="2012-02-02T00:00:00"/>
    <d v="2012-02-09T00:00:00"/>
    <n v="10000"/>
    <x v="3"/>
    <d v="2012-02-09T00:00:00"/>
    <s v="Y"/>
    <s v="SURETYPTRc"/>
    <s v="GUILTY PLEA - NO JURY"/>
    <n v="8"/>
    <n v="185"/>
    <n v="8"/>
    <n v="5"/>
    <n v="4"/>
    <m/>
    <m/>
    <m/>
    <m/>
    <m/>
    <m/>
    <m/>
    <m/>
    <d v="1978-01-14T00:00:00"/>
    <s v="M"/>
    <s v="B"/>
    <s v="BLACK"/>
    <s v="NON-HISPANIC"/>
    <s v="183"/>
    <s v="CONVICTED"/>
    <n v="9"/>
    <s v="HCJ"/>
    <m/>
    <m/>
    <n v="90"/>
    <s v="TAMPER/FABRICATE EVIDENCE"/>
    <m/>
    <s v="F3"/>
    <s v="OTHER FEL"/>
    <m/>
    <m/>
    <m/>
    <m/>
    <m/>
    <m/>
    <m/>
    <m/>
    <m/>
    <s v="Hired Attorney"/>
    <m/>
    <m/>
    <n v="8"/>
    <n v="184"/>
    <n v="185"/>
    <n v="33.978142076502735"/>
    <n v="0"/>
    <n v="-176"/>
    <s v="CONVICTION"/>
    <x v="1"/>
    <s v="Y"/>
    <m/>
    <s v="CONVICTION"/>
    <s v="Y"/>
    <x v="1"/>
    <x v="0"/>
    <s v="Y"/>
    <n v="4.3243243243243246E-2"/>
    <n v="4.3478260869565216E-2"/>
    <n v="2.3501762632197054E-4"/>
    <n v="0"/>
    <n v="-8"/>
    <n v="0"/>
    <n v="8"/>
    <e v="#VALUE!"/>
    <n v="8"/>
    <n v="0"/>
    <n v="176"/>
    <m/>
    <s v="Y"/>
    <m/>
    <s v="0-10 DAYS"/>
    <n v="1"/>
    <x v="0"/>
  </r>
  <r>
    <n v="613"/>
    <s v="N"/>
    <s v="N"/>
    <n v="1448038"/>
    <n v="5"/>
    <d v="2012-01-24T00:00:00"/>
    <d v="2012-02-24T00:00:00"/>
    <n v="1448038"/>
    <d v="2012-01-25T00:00:00"/>
    <d v="2012-02-24T00:00:00"/>
    <n v="20000"/>
    <x v="0"/>
    <m/>
    <s v="N"/>
    <s v="NONE"/>
    <s v="GUILTY PLEA - NO JURY"/>
    <n v="31"/>
    <n v="32"/>
    <n v="5"/>
    <n v="1"/>
    <n v="3"/>
    <n v="1"/>
    <m/>
    <m/>
    <m/>
    <m/>
    <m/>
    <m/>
    <m/>
    <d v="1975-09-16T00:00:00"/>
    <s v="M"/>
    <s v="B"/>
    <s v="BLACK"/>
    <s v="NON-HISPANIC"/>
    <s v="263"/>
    <s v="CONVICTED"/>
    <n v="3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31"/>
    <n v="31"/>
    <n v="32"/>
    <n v="36.28142076502732"/>
    <n v="0"/>
    <n v="0"/>
    <s v="CONVICTION"/>
    <x v="0"/>
    <s v="N"/>
    <m/>
    <s v="CONVICTION"/>
    <s v="Y"/>
    <x v="0"/>
    <x v="0"/>
    <s v="Y"/>
    <n v="0.96875"/>
    <n v="1"/>
    <n v="3.125E-2"/>
    <n v="0"/>
    <n v="-31"/>
    <n v="0"/>
    <n v="31"/>
    <e v="#VALUE!"/>
    <n v="31"/>
    <n v="0"/>
    <n v="0"/>
    <m/>
    <s v="Y"/>
    <m/>
    <s v="31-60 DAYS"/>
    <n v="3"/>
    <x v="0"/>
  </r>
  <r>
    <n v="2683"/>
    <s v="N"/>
    <s v="N"/>
    <n v="1449325"/>
    <n v="4"/>
    <d v="2012-04-09T00:00:00"/>
    <d v="2012-04-11T00:00:00"/>
    <n v="1449325"/>
    <d v="2012-04-10T00:00:00"/>
    <d v="2012-04-11T00:00:00"/>
    <n v="15000"/>
    <x v="0"/>
    <m/>
    <s v="N"/>
    <s v="NONE"/>
    <s v="GUILTY PLEA - NO JURY"/>
    <n v="2"/>
    <n v="3"/>
    <n v="8"/>
    <n v="2"/>
    <n v="6"/>
    <m/>
    <m/>
    <m/>
    <m/>
    <m/>
    <m/>
    <m/>
    <m/>
    <d v="1964-02-07T00:00:00"/>
    <s v="M"/>
    <s v="B"/>
    <s v="BLACK"/>
    <s v="NON-HISPANIC"/>
    <s v="230"/>
    <s v="CONVICTED"/>
    <n v="1"/>
    <s v="HCJ"/>
    <m/>
    <m/>
    <n v="180"/>
    <s v="THEFT UNDER $1500 - 3RD OFF."/>
    <m/>
    <s v="FS"/>
    <s v="THEFT"/>
    <m/>
    <m/>
    <m/>
    <m/>
    <m/>
    <m/>
    <m/>
    <m/>
    <m/>
    <s v="Appointed Attorney"/>
    <m/>
    <m/>
    <n v="2"/>
    <n v="2"/>
    <n v="3"/>
    <n v="48.071038251366119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79"/>
    <s v="N"/>
    <s v="N"/>
    <n v="1449483"/>
    <n v="6"/>
    <d v="2012-01-12T00:00:00"/>
    <d v="2012-01-13T00:00:00"/>
    <n v="1449483"/>
    <d v="2012-01-12T00:00:00"/>
    <d v="2012-01-13T00:00:00"/>
    <n v="20000"/>
    <x v="0"/>
    <m/>
    <s v="N"/>
    <s v="NONE"/>
    <s v="GUILTY PLEA - NO JURY"/>
    <n v="2"/>
    <n v="2"/>
    <n v="5"/>
    <n v="4"/>
    <n v="3"/>
    <m/>
    <m/>
    <m/>
    <m/>
    <m/>
    <m/>
    <m/>
    <m/>
    <d v="1976-11-01T00:00:00"/>
    <s v="M"/>
    <s v="B"/>
    <s v="BLACK"/>
    <s v="NULL"/>
    <s v="179"/>
    <s v="CONVICTED"/>
    <n v="1"/>
    <s v="TDC"/>
    <n v="2"/>
    <m/>
    <m/>
    <s v="POSS CS PG 4 28-200 GRAMS"/>
    <m/>
    <s v="F3"/>
    <s v="POSS DRUG"/>
    <m/>
    <m/>
    <m/>
    <m/>
    <m/>
    <m/>
    <m/>
    <m/>
    <m/>
    <s v="Appointed Attorney"/>
    <m/>
    <m/>
    <n v="2"/>
    <n v="2"/>
    <n v="2"/>
    <n v="35.122950819672134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1923"/>
    <s v="N"/>
    <s v="N"/>
    <n v="1451667"/>
    <n v="6"/>
    <d v="2012-03-13T00:00:00"/>
    <d v="2012-08-10T00:00:00"/>
    <n v="1451667"/>
    <d v="2012-03-13T00:00:00"/>
    <d v="2012-08-10T00:00:00"/>
    <n v="15000"/>
    <x v="0"/>
    <m/>
    <s v="N"/>
    <s v="NONE"/>
    <s v="GUILTY PLEA - NO JURY"/>
    <n v="151"/>
    <n v="151"/>
    <n v="3"/>
    <n v="10"/>
    <n v="2"/>
    <m/>
    <m/>
    <m/>
    <m/>
    <m/>
    <m/>
    <m/>
    <m/>
    <d v="1977-11-07T00:00:00"/>
    <s v="M"/>
    <s v="B"/>
    <s v="BLACK"/>
    <s v="NULL"/>
    <s v="351"/>
    <s v="CONVICTED"/>
    <n v="6"/>
    <s v="TDC"/>
    <n v="2"/>
    <m/>
    <m/>
    <s v="UNAUTH USE OF VEHICLE"/>
    <m/>
    <s v="FS"/>
    <s v="AUTO THEFT"/>
    <m/>
    <m/>
    <m/>
    <m/>
    <m/>
    <m/>
    <m/>
    <m/>
    <m/>
    <s v="Appointed Attorney"/>
    <m/>
    <m/>
    <n v="151"/>
    <n v="151"/>
    <n v="151"/>
    <n v="34.275956284153004"/>
    <n v="0"/>
    <n v="0"/>
    <s v="CONVICTION"/>
    <x v="0"/>
    <s v="N"/>
    <m/>
    <s v="CONVICTION"/>
    <s v="Y"/>
    <x v="0"/>
    <x v="0"/>
    <s v="Y"/>
    <n v="1"/>
    <n v="1"/>
    <n v="0"/>
    <n v="0"/>
    <n v="-151"/>
    <n v="0"/>
    <n v="151"/>
    <e v="#VALUE!"/>
    <n v="151"/>
    <n v="0"/>
    <n v="0"/>
    <m/>
    <s v="Y"/>
    <m/>
    <s v="121-365 DAYS"/>
    <n v="6"/>
    <x v="0"/>
  </r>
  <r>
    <n v="2426"/>
    <s v="N"/>
    <s v="N"/>
    <n v="1452125"/>
    <n v="6"/>
    <d v="2012-04-01T00:00:00"/>
    <d v="2012-04-03T00:00:00"/>
    <n v="1452125"/>
    <d v="2012-04-01T00:00:00"/>
    <d v="2012-04-03T00:00:00"/>
    <n v="10000"/>
    <x v="3"/>
    <m/>
    <s v="N"/>
    <s v="NONE"/>
    <s v="GUILTY PLEA - NO JURY"/>
    <n v="3"/>
    <n v="3"/>
    <n v="4"/>
    <n v="3"/>
    <n v="3"/>
    <m/>
    <m/>
    <m/>
    <m/>
    <m/>
    <m/>
    <m/>
    <m/>
    <d v="1978-02-27T00:00:00"/>
    <s v="M"/>
    <s v="W"/>
    <s v="WHITE"/>
    <s v="NON-HISPANIC"/>
    <s v="182"/>
    <s v="CONVICTED"/>
    <n v="1"/>
    <s v="TDC"/>
    <n v="2"/>
    <m/>
    <m/>
    <s v="DWI 3RD OFFENDER BAC .08"/>
    <m/>
    <s v="F3"/>
    <s v="FEL DWI"/>
    <m/>
    <m/>
    <m/>
    <m/>
    <m/>
    <m/>
    <m/>
    <m/>
    <m/>
    <s v="Appointed Attorney"/>
    <m/>
    <m/>
    <n v="3"/>
    <n v="3"/>
    <n v="3"/>
    <n v="34.021857923497265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687"/>
    <s v="N"/>
    <s v="N"/>
    <n v="1452200"/>
    <n v="2"/>
    <d v="2012-03-03T00:00:00"/>
    <d v="2012-04-18T00:00:00"/>
    <n v="1452200"/>
    <d v="2012-03-03T00:00:00"/>
    <d v="2012-04-18T00:00:00"/>
    <n v="15000"/>
    <x v="0"/>
    <m/>
    <s v="N"/>
    <s v="NONE"/>
    <s v="DEFERRED ADJUDICATION "/>
    <n v="47"/>
    <n v="47"/>
    <n v="6"/>
    <n v="6"/>
    <n v="2"/>
    <m/>
    <m/>
    <m/>
    <m/>
    <m/>
    <m/>
    <m/>
    <m/>
    <d v="1969-09-10T00:00:00"/>
    <s v="F"/>
    <s v="W"/>
    <s v="WHITE"/>
    <s v="NULL"/>
    <s v="183"/>
    <s v="DEFERRED"/>
    <n v="5"/>
    <s v="DEFERRED"/>
    <m/>
    <m/>
    <m/>
    <s v="POSS CS PG 1  1 - 4 GRAMS"/>
    <m/>
    <s v="F3"/>
    <s v="POSS DRUG"/>
    <m/>
    <m/>
    <m/>
    <m/>
    <m/>
    <m/>
    <m/>
    <m/>
    <m/>
    <s v="Appointed Attorney"/>
    <m/>
    <m/>
    <n v="47"/>
    <n v="47"/>
    <n v="47"/>
    <n v="42.39071038251366"/>
    <n v="0"/>
    <n v="0"/>
    <s v="DEFERRED"/>
    <x v="0"/>
    <s v="N"/>
    <m/>
    <s v="DEFERRED"/>
    <s v="Y"/>
    <x v="0"/>
    <x v="0"/>
    <s v="Y"/>
    <n v="1"/>
    <n v="1"/>
    <n v="0"/>
    <n v="0"/>
    <n v="-47"/>
    <n v="0"/>
    <n v="47"/>
    <e v="#VALUE!"/>
    <n v="47"/>
    <n v="0"/>
    <n v="0"/>
    <m/>
    <s v="Y"/>
    <m/>
    <s v="31-60 DAYS"/>
    <n v="3"/>
    <x v="0"/>
  </r>
  <r>
    <n v="32"/>
    <s v="N"/>
    <s v="N"/>
    <n v="1452426"/>
    <n v="6"/>
    <d v="2012-01-03T00:00:00"/>
    <d v="2012-02-14T00:00:00"/>
    <n v="1452426"/>
    <d v="2012-01-03T00:00:00"/>
    <d v="2012-02-14T00:00:00"/>
    <n v="10000"/>
    <x v="3"/>
    <m/>
    <s v="N"/>
    <s v="NONE"/>
    <s v="GUILTY PLEA - NO JURY"/>
    <n v="43"/>
    <n v="43"/>
    <n v="3"/>
    <n v="0"/>
    <n v="1"/>
    <n v="1"/>
    <m/>
    <m/>
    <m/>
    <m/>
    <m/>
    <m/>
    <m/>
    <d v="1977-05-12T00:00:00"/>
    <s v="M"/>
    <s v="B"/>
    <s v="BLACK"/>
    <s v="NON-HISPANIC"/>
    <s v="174"/>
    <s v="CONVICTED"/>
    <n v="2"/>
    <s v="TDC"/>
    <n v="2"/>
    <m/>
    <m/>
    <s v="FELON POSS WPN"/>
    <m/>
    <s v="F3"/>
    <s v="OTHER FEL"/>
    <m/>
    <m/>
    <m/>
    <m/>
    <m/>
    <m/>
    <m/>
    <m/>
    <m/>
    <s v="Appointed Attorney"/>
    <m/>
    <m/>
    <n v="43"/>
    <n v="43"/>
    <n v="43"/>
    <n v="34.57377049180328"/>
    <n v="0"/>
    <n v="0"/>
    <s v="CONVICTION"/>
    <x v="0"/>
    <s v="N"/>
    <m/>
    <s v="CONVICTION"/>
    <s v="Y"/>
    <x v="0"/>
    <x v="0"/>
    <s v="Y"/>
    <n v="1"/>
    <n v="1"/>
    <n v="0"/>
    <n v="0"/>
    <n v="-43"/>
    <n v="0"/>
    <n v="43"/>
    <e v="#VALUE!"/>
    <n v="43"/>
    <n v="0"/>
    <n v="0"/>
    <m/>
    <s v="Y"/>
    <m/>
    <s v="31-60 DAYS"/>
    <n v="3"/>
    <x v="0"/>
  </r>
  <r>
    <n v="1672"/>
    <s v="N"/>
    <s v="N"/>
    <n v="1453282"/>
    <n v="4"/>
    <d v="2012-03-02T00:00:00"/>
    <d v="2012-03-05T00:00:00"/>
    <n v="1453282"/>
    <d v="2012-03-03T00:00:00"/>
    <d v="2012-03-05T00:00:00"/>
    <n v="15000"/>
    <x v="0"/>
    <m/>
    <s v="N"/>
    <s v="NONE"/>
    <s v="GUILTY PLEA - NO JURY"/>
    <n v="3"/>
    <n v="4"/>
    <n v="3"/>
    <n v="2"/>
    <n v="2"/>
    <m/>
    <m/>
    <m/>
    <m/>
    <m/>
    <m/>
    <m/>
    <m/>
    <d v="1954-03-21T00:00:00"/>
    <s v="M"/>
    <s v="B"/>
    <s v="BLACK"/>
    <s v="NON-HISPANIC"/>
    <s v="232"/>
    <s v="CONVICTED"/>
    <n v="1"/>
    <s v="HCJ"/>
    <m/>
    <m/>
    <n v="60"/>
    <s v="POSS CS PG 1 &lt;1G"/>
    <m/>
    <s v="FS"/>
    <s v="POSS DRUG"/>
    <m/>
    <m/>
    <m/>
    <m/>
    <m/>
    <m/>
    <m/>
    <m/>
    <m/>
    <s v="Appointed Attorney"/>
    <m/>
    <m/>
    <n v="3"/>
    <n v="3"/>
    <n v="4"/>
    <n v="57.830601092896174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48"/>
    <s v="N"/>
    <s v="N"/>
    <n v="1453818"/>
    <n v="5"/>
    <d v="2012-01-03T00:00:00"/>
    <d v="2012-01-05T00:00:00"/>
    <n v="1453818"/>
    <d v="2012-01-04T00:00:00"/>
    <d v="2012-01-05T00:00:00"/>
    <n v="15000"/>
    <x v="0"/>
    <m/>
    <s v="N"/>
    <s v="NONE"/>
    <s v="GUILTY PLEA - NO JURY"/>
    <n v="2"/>
    <n v="3"/>
    <n v="3"/>
    <n v="1"/>
    <n v="8"/>
    <m/>
    <m/>
    <m/>
    <m/>
    <m/>
    <m/>
    <m/>
    <m/>
    <d v="1975-12-14T00:00:00"/>
    <s v="M"/>
    <s v="B"/>
    <s v="BLACK"/>
    <s v="NON-HISPANIC"/>
    <s v="179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35.980874316939889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855"/>
    <s v="N"/>
    <s v="N"/>
    <n v="1454350"/>
    <n v="5"/>
    <d v="2012-04-15T00:00:00"/>
    <d v="2012-07-03T00:00:00"/>
    <n v="1454350"/>
    <d v="2012-04-15T00:00:00"/>
    <d v="2012-07-03T00:00:00"/>
    <n v="10000"/>
    <x v="3"/>
    <m/>
    <s v="N"/>
    <s v="NONE"/>
    <s v="GUILTY PLEA - NO JURY"/>
    <n v="80"/>
    <n v="80"/>
    <n v="5"/>
    <n v="0"/>
    <n v="5"/>
    <m/>
    <m/>
    <m/>
    <m/>
    <m/>
    <m/>
    <m/>
    <m/>
    <d v="1975-12-23T00:00:00"/>
    <s v="M"/>
    <s v="W"/>
    <s v="WHITE"/>
    <s v="NULL"/>
    <s v="185"/>
    <s v="CONVICTED"/>
    <n v="3"/>
    <s v="STJ"/>
    <m/>
    <n v="6"/>
    <m/>
    <s v="THEFT &gt;=$20,000 &lt;$100,000"/>
    <m/>
    <s v="F3"/>
    <s v="THEFT"/>
    <m/>
    <m/>
    <m/>
    <m/>
    <m/>
    <m/>
    <m/>
    <m/>
    <m/>
    <s v="Appointed Attorney"/>
    <m/>
    <m/>
    <n v="80"/>
    <n v="80"/>
    <n v="80"/>
    <n v="36.23770491803279"/>
    <n v="0"/>
    <n v="0"/>
    <s v="CONVICTION"/>
    <x v="0"/>
    <s v="N"/>
    <m/>
    <s v="CONVICTION"/>
    <s v="Y"/>
    <x v="0"/>
    <x v="0"/>
    <s v="Y"/>
    <n v="1"/>
    <n v="1"/>
    <n v="0"/>
    <n v="0"/>
    <n v="-80"/>
    <n v="0"/>
    <n v="80"/>
    <e v="#VALUE!"/>
    <n v="80"/>
    <n v="0"/>
    <n v="0"/>
    <m/>
    <s v="Y"/>
    <m/>
    <s v="61-90 DAYS"/>
    <n v="4"/>
    <x v="0"/>
  </r>
  <r>
    <n v="2157"/>
    <s v="N"/>
    <s v="N"/>
    <n v="1454459"/>
    <n v="5"/>
    <d v="2012-03-22T00:00:00"/>
    <d v="2012-05-01T00:00:00"/>
    <n v="1454459"/>
    <d v="2012-03-22T00:00:00"/>
    <d v="2012-05-01T00:00:00"/>
    <s v="NO BOND"/>
    <x v="1"/>
    <m/>
    <s v="N"/>
    <s v="NONE"/>
    <s v="GUILTY PLEA - NO JURY"/>
    <n v="41"/>
    <n v="41"/>
    <n v="2"/>
    <n v="5"/>
    <n v="1"/>
    <m/>
    <m/>
    <m/>
    <m/>
    <m/>
    <m/>
    <m/>
    <m/>
    <d v="1976-09-11T00:00:00"/>
    <s v="M"/>
    <s v="B"/>
    <s v="BLACK"/>
    <s v="NON-HISPANIC"/>
    <s v="176"/>
    <s v="CONVICTED"/>
    <n v="3"/>
    <s v="STJ"/>
    <m/>
    <n v="13"/>
    <m/>
    <s v="POSS CS PG 1 &lt;1G"/>
    <m/>
    <s v="FS"/>
    <s v="POSS DRUG"/>
    <m/>
    <m/>
    <m/>
    <m/>
    <m/>
    <m/>
    <m/>
    <m/>
    <m/>
    <s v="Appointed Attorney"/>
    <m/>
    <m/>
    <n v="41"/>
    <n v="41"/>
    <n v="41"/>
    <n v="35.453551912568308"/>
    <n v="0"/>
    <n v="0"/>
    <s v="CONVICTION"/>
    <x v="0"/>
    <s v="N"/>
    <m/>
    <s v="CONVICTION"/>
    <s v="Y"/>
    <x v="0"/>
    <x v="0"/>
    <s v="Y"/>
    <n v="1"/>
    <n v="1"/>
    <n v="0"/>
    <n v="0"/>
    <n v="-41"/>
    <n v="0"/>
    <n v="41"/>
    <e v="#VALUE!"/>
    <n v="41"/>
    <n v="0"/>
    <n v="0"/>
    <m/>
    <s v="Y"/>
    <m/>
    <s v="31-60 DAYS"/>
    <n v="3"/>
    <x v="0"/>
  </r>
  <r>
    <n v="1401"/>
    <s v="N"/>
    <s v="N"/>
    <n v="1454524"/>
    <n v="4"/>
    <d v="2012-02-21T00:00:00"/>
    <d v="2012-03-28T00:00:00"/>
    <n v="1454524"/>
    <d v="2012-02-21T00:00:00"/>
    <d v="2012-03-28T00:00:00"/>
    <n v="15000"/>
    <x v="0"/>
    <m/>
    <s v="N"/>
    <s v="NONE"/>
    <s v="GUILTY PLEA - NO JURY"/>
    <n v="37"/>
    <n v="37"/>
    <n v="8"/>
    <n v="1"/>
    <n v="3"/>
    <m/>
    <m/>
    <m/>
    <m/>
    <m/>
    <m/>
    <m/>
    <m/>
    <d v="1960-02-12T00:00:00"/>
    <s v="M"/>
    <s v="B"/>
    <s v="BLACK"/>
    <s v="NON-HISPANIC"/>
    <s v="208"/>
    <s v="CONVICTED"/>
    <n v="2"/>
    <s v="HCJ"/>
    <m/>
    <m/>
    <n v="180"/>
    <s v="POSS CS PG 1 &lt;1G"/>
    <m/>
    <s v="FS"/>
    <s v="POSS DRUG"/>
    <s v="drug fel conv  6/4/12  6mos stj "/>
    <m/>
    <m/>
    <m/>
    <m/>
    <m/>
    <m/>
    <m/>
    <m/>
    <s v="Appointed Attorney"/>
    <m/>
    <m/>
    <n v="37"/>
    <n v="37"/>
    <n v="37"/>
    <n v="51.918032786885249"/>
    <n v="0"/>
    <n v="0"/>
    <s v="CONVICTION"/>
    <x v="0"/>
    <s v="N"/>
    <m/>
    <s v="CONVICTION"/>
    <s v="Y"/>
    <x v="0"/>
    <x v="0"/>
    <s v="Y"/>
    <n v="1"/>
    <n v="1"/>
    <n v="0"/>
    <n v="0"/>
    <n v="-37"/>
    <n v="0"/>
    <n v="37"/>
    <e v="#VALUE!"/>
    <n v="37"/>
    <n v="0"/>
    <n v="0"/>
    <m/>
    <s v="Y"/>
    <m/>
    <s v="31-60 DAYS"/>
    <n v="3"/>
    <x v="0"/>
  </r>
  <r>
    <n v="3178"/>
    <s v="N"/>
    <s v="Y"/>
    <n v="1456717"/>
    <n v="5"/>
    <d v="2012-04-26T00:00:00"/>
    <d v="2012-06-21T00:00:00"/>
    <n v="1456717"/>
    <d v="2012-04-30T00:00:00"/>
    <d v="2012-06-21T00:00:00"/>
    <n v="2000"/>
    <x v="5"/>
    <d v="2012-04-27T00:00:00"/>
    <s v="Y"/>
    <s v="SURETY"/>
    <s v="GUILTY PLEA - NO JURY"/>
    <n v="53"/>
    <n v="57"/>
    <n v="3"/>
    <n v="0"/>
    <n v="1"/>
    <m/>
    <m/>
    <m/>
    <m/>
    <m/>
    <m/>
    <m/>
    <m/>
    <d v="1973-05-23T00:00:00"/>
    <s v="F"/>
    <s v="W"/>
    <s v="WHITE"/>
    <s v="NON-HISPANIC"/>
    <s v="183"/>
    <s v="CONVICTED"/>
    <n v="3"/>
    <s v="STJ"/>
    <m/>
    <n v="8"/>
    <m/>
    <s v="THEFT UNDER $1500 - 3RD OFF."/>
    <m/>
    <s v="FS"/>
    <s v="THEFT"/>
    <m/>
    <s v="C87AI BD REVOKED BK 4/30/12"/>
    <m/>
    <m/>
    <s v="Y"/>
    <m/>
    <m/>
    <m/>
    <m/>
    <s v="Appointed Attorney"/>
    <m/>
    <m/>
    <n v="53"/>
    <n v="53"/>
    <n v="57"/>
    <n v="38.846994535519123"/>
    <n v="0"/>
    <n v="0"/>
    <s v="CONVICTION"/>
    <x v="1"/>
    <s v="Y"/>
    <m/>
    <s v="CONVICTION"/>
    <s v="Y"/>
    <x v="0"/>
    <x v="0"/>
    <s v="Y"/>
    <n v="0.92982456140350878"/>
    <n v="1"/>
    <n v="7.0175438596491224E-2"/>
    <n v="0"/>
    <n v="-53"/>
    <n v="0"/>
    <n v="53"/>
    <e v="#VALUE!"/>
    <n v="53"/>
    <n v="0"/>
    <n v="0"/>
    <m/>
    <s v="Y"/>
    <m/>
    <s v="31-60 DAYS"/>
    <n v="3"/>
    <x v="0"/>
  </r>
  <r>
    <n v="3038"/>
    <s v="N"/>
    <s v="N"/>
    <n v="1457014"/>
    <n v="6"/>
    <d v="2012-04-22T00:00:00"/>
    <d v="2013-02-28T00:00:00"/>
    <n v="1457014"/>
    <d v="2012-04-22T00:00:00"/>
    <d v="2012-05-28T00:00:00"/>
    <n v="40000"/>
    <x v="2"/>
    <d v="2012-05-28T00:00:00"/>
    <s v="Y"/>
    <s v="SURETYPTRc"/>
    <s v="GUILTY PLEA - NO JURY"/>
    <n v="37"/>
    <n v="313"/>
    <n v="2"/>
    <n v="8"/>
    <n v="2"/>
    <m/>
    <m/>
    <m/>
    <m/>
    <m/>
    <m/>
    <m/>
    <m/>
    <d v="1967-05-10T00:00:00"/>
    <s v="M"/>
    <s v="B"/>
    <s v="BLACK"/>
    <s v="NON-HISPANIC"/>
    <s v="351"/>
    <s v="CONVICTED"/>
    <n v="11"/>
    <s v="TDC"/>
    <n v="6"/>
    <m/>
    <m/>
    <s v="DWI 3RD OFFENDER BAC .08"/>
    <m/>
    <s v="F3"/>
    <s v="FEL DWI"/>
    <m/>
    <m/>
    <m/>
    <m/>
    <m/>
    <m/>
    <m/>
    <m/>
    <m/>
    <s v="Hired Attorney"/>
    <m/>
    <m/>
    <n v="37"/>
    <n v="313"/>
    <n v="313"/>
    <n v="44.860655737704917"/>
    <n v="0"/>
    <n v="-276"/>
    <s v="CONVICTION"/>
    <x v="1"/>
    <s v="Y"/>
    <m/>
    <s v="CONVICTION"/>
    <s v="Y"/>
    <x v="1"/>
    <x v="0"/>
    <s v="Y"/>
    <n v="0.1182108626198083"/>
    <n v="0.1182108626198083"/>
    <n v="0"/>
    <n v="0"/>
    <n v="-37"/>
    <n v="0"/>
    <n v="37"/>
    <e v="#VALUE!"/>
    <n v="37"/>
    <n v="0"/>
    <n v="276"/>
    <m/>
    <s v="Y"/>
    <m/>
    <s v="31-60 DAYS"/>
    <n v="3"/>
    <x v="0"/>
  </r>
  <r>
    <n v="1269"/>
    <s v="N"/>
    <s v="N"/>
    <n v="1457566"/>
    <n v="2"/>
    <d v="2012-02-16T00:00:00"/>
    <d v="2012-11-15T00:00:00"/>
    <n v="1457566"/>
    <d v="2012-02-17T00:00:00"/>
    <d v="2012-02-18T00:00:00"/>
    <n v="30000"/>
    <x v="2"/>
    <d v="2012-02-18T00:00:00"/>
    <s v="Y"/>
    <s v="SURETYPTRc"/>
    <s v="DEFERRED ADJUDICATION "/>
    <n v="2"/>
    <n v="274"/>
    <n v="1"/>
    <n v="1"/>
    <n v="1"/>
    <m/>
    <m/>
    <m/>
    <m/>
    <m/>
    <m/>
    <s v="S"/>
    <m/>
    <d v="1978-03-19T00:00:00"/>
    <s v="M"/>
    <s v="H"/>
    <s v="HISPANIC"/>
    <s v="NULL"/>
    <s v="337"/>
    <s v="DEFERRED"/>
    <n v="8"/>
    <s v="DEFERRED"/>
    <m/>
    <m/>
    <m/>
    <s v="SEX ASSLT CHILD 14-17"/>
    <m/>
    <s v="F2"/>
    <s v="SEX ABUSE"/>
    <m/>
    <m/>
    <m/>
    <m/>
    <m/>
    <m/>
    <m/>
    <m/>
    <m/>
    <s v="Hired Attorney"/>
    <m/>
    <m/>
    <n v="2"/>
    <n v="273"/>
    <n v="274"/>
    <n v="33.844262295081968"/>
    <n v="0"/>
    <n v="-271"/>
    <s v="DEFERRED"/>
    <x v="1"/>
    <s v="Y"/>
    <m/>
    <s v="DEFERRED"/>
    <s v="Y"/>
    <x v="1"/>
    <x v="0"/>
    <s v="Y"/>
    <n v="7.2992700729927005E-3"/>
    <n v="7.326007326007326E-3"/>
    <n v="2.6737253014625512E-5"/>
    <n v="0"/>
    <n v="-2"/>
    <n v="0"/>
    <n v="2"/>
    <e v="#VALUE!"/>
    <n v="2"/>
    <n v="0"/>
    <n v="271"/>
    <m/>
    <s v="Y"/>
    <m/>
    <s v="0-10 DAYS"/>
    <n v="1"/>
    <x v="0"/>
  </r>
  <r>
    <n v="2737"/>
    <s v="N"/>
    <s v="N"/>
    <n v="1457666"/>
    <n v="6"/>
    <d v="2012-04-11T00:00:00"/>
    <d v="2012-04-16T00:00:00"/>
    <n v="1457666"/>
    <d v="2012-04-12T00:00:00"/>
    <d v="2012-04-16T00:00:00"/>
    <n v="20000"/>
    <x v="0"/>
    <m/>
    <s v="N"/>
    <s v="NONE"/>
    <s v="GUILTY PLEA - NO JURY"/>
    <n v="5"/>
    <n v="6"/>
    <n v="2"/>
    <n v="1"/>
    <n v="1"/>
    <m/>
    <m/>
    <m/>
    <m/>
    <m/>
    <m/>
    <m/>
    <m/>
    <d v="1963-12-16T00:00:00"/>
    <s v="M"/>
    <s v="W"/>
    <s v="WHITE"/>
    <s v="NULL"/>
    <s v="351"/>
    <s v="CONVICTED"/>
    <n v="2"/>
    <s v="TDC"/>
    <n v="5"/>
    <m/>
    <m/>
    <s v="DWI 3RD OFFENDER BAC .08"/>
    <m/>
    <s v="F3"/>
    <s v="FEL DWI"/>
    <m/>
    <m/>
    <m/>
    <m/>
    <m/>
    <m/>
    <m/>
    <m/>
    <m/>
    <s v="Appointed Attorney"/>
    <m/>
    <m/>
    <n v="5"/>
    <n v="5"/>
    <n v="6"/>
    <n v="48.221311475409834"/>
    <n v="0"/>
    <n v="0"/>
    <s v="CONVICTION"/>
    <x v="0"/>
    <s v="N"/>
    <m/>
    <s v="CONVICTION"/>
    <s v="Y"/>
    <x v="0"/>
    <x v="0"/>
    <s v="Y"/>
    <n v="0.83333333333333337"/>
    <n v="1"/>
    <n v="0.16666666666666663"/>
    <n v="0"/>
    <n v="-5"/>
    <n v="0"/>
    <n v="5"/>
    <e v="#VALUE!"/>
    <n v="5"/>
    <n v="0"/>
    <n v="0"/>
    <m/>
    <s v="Y"/>
    <m/>
    <s v="0-10 DAYS"/>
    <n v="1"/>
    <x v="0"/>
  </r>
  <r>
    <n v="1415"/>
    <s v="N"/>
    <s v="N"/>
    <n v="1460756"/>
    <n v="5"/>
    <d v="2012-02-22T00:00:00"/>
    <d v="2012-07-11T00:00:00"/>
    <n v="1460756"/>
    <d v="2012-02-22T00:00:00"/>
    <d v="2012-02-28T00:00:00"/>
    <n v="15000"/>
    <x v="0"/>
    <d v="2012-02-28T00:00:00"/>
    <s v="Y"/>
    <s v="SURETYPTRc"/>
    <s v="GUILTY PLEA - NO JURY"/>
    <n v="7"/>
    <n v="141"/>
    <n v="4"/>
    <n v="2"/>
    <n v="4"/>
    <m/>
    <m/>
    <m/>
    <m/>
    <m/>
    <m/>
    <m/>
    <m/>
    <d v="1978-03-22T00:00:00"/>
    <s v="M"/>
    <s v="B"/>
    <s v="BLACK"/>
    <s v="NON-HISPANIC"/>
    <s v="230"/>
    <s v="CONVICTED"/>
    <n v="8"/>
    <s v="STJ"/>
    <m/>
    <n v="8"/>
    <m/>
    <s v="POSS CS PG 1 &lt;1G"/>
    <m/>
    <s v="FS"/>
    <s v="POSS DRUG"/>
    <m/>
    <m/>
    <m/>
    <m/>
    <m/>
    <m/>
    <m/>
    <m/>
    <m/>
    <s v="Hired Attorney"/>
    <m/>
    <m/>
    <n v="7"/>
    <n v="141"/>
    <n v="141"/>
    <n v="33.852459016393439"/>
    <n v="0"/>
    <n v="-134"/>
    <s v="CONVICTION"/>
    <x v="1"/>
    <s v="Y"/>
    <m/>
    <s v="CONVICTION"/>
    <s v="Y"/>
    <x v="1"/>
    <x v="0"/>
    <s v="Y"/>
    <n v="4.9645390070921988E-2"/>
    <n v="4.9645390070921988E-2"/>
    <n v="0"/>
    <n v="0"/>
    <n v="-7"/>
    <n v="0"/>
    <n v="7"/>
    <e v="#VALUE!"/>
    <n v="7"/>
    <n v="0"/>
    <n v="134"/>
    <m/>
    <s v="Y"/>
    <m/>
    <s v="0-10 DAYS"/>
    <n v="1"/>
    <x v="0"/>
  </r>
  <r>
    <n v="711"/>
    <s v="N"/>
    <s v="N"/>
    <n v="1461342"/>
    <n v="2"/>
    <d v="2012-01-28T00:00:00"/>
    <d v="2012-08-30T00:00:00"/>
    <n v="1461342"/>
    <d v="2012-01-29T00:00:00"/>
    <d v="2012-01-30T00:00:00"/>
    <n v="2000"/>
    <x v="5"/>
    <d v="2012-01-30T00:00:00"/>
    <s v="Y"/>
    <s v="SURETY"/>
    <s v="DEFERRED ADJUDICATION "/>
    <n v="2"/>
    <n v="216"/>
    <n v="1"/>
    <n v="2"/>
    <m/>
    <m/>
    <m/>
    <m/>
    <m/>
    <m/>
    <m/>
    <m/>
    <m/>
    <d v="1978-02-13T00:00:00"/>
    <s v="F"/>
    <s v="B"/>
    <s v="BLACK"/>
    <s v="NULL"/>
    <s v="177"/>
    <s v="DEFERRED"/>
    <n v="9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215"/>
    <n v="216"/>
    <n v="33.885245901639344"/>
    <n v="0"/>
    <n v="-213"/>
    <s v="DEFERRED"/>
    <x v="1"/>
    <s v="Y"/>
    <m/>
    <s v="DEFERRED"/>
    <s v="Y"/>
    <x v="1"/>
    <x v="0"/>
    <s v="Y"/>
    <n v="9.2592592592592587E-3"/>
    <n v="9.3023255813953487E-3"/>
    <n v="4.3066322136089963E-5"/>
    <n v="0"/>
    <n v="-2"/>
    <n v="0"/>
    <n v="2"/>
    <e v="#VALUE!"/>
    <n v="2"/>
    <n v="0"/>
    <n v="213"/>
    <m/>
    <s v="Y"/>
    <m/>
    <s v="0-10 DAYS"/>
    <n v="1"/>
    <x v="0"/>
  </r>
  <r>
    <n v="805"/>
    <s v="N"/>
    <s v="N"/>
    <n v="1461769"/>
    <n v="4"/>
    <d v="2012-01-31T00:00:00"/>
    <d v="2012-10-26T00:00:00"/>
    <n v="1461769"/>
    <s v="NOT BOOKED"/>
    <s v="NOT BOOKED"/>
    <n v="5000"/>
    <x v="4"/>
    <d v="2012-02-02T00:00:00"/>
    <s v="Y"/>
    <s v="SURETY"/>
    <s v="GUILTY PLEA - NO JURY"/>
    <n v="0"/>
    <n v="270"/>
    <n v="1"/>
    <n v="3"/>
    <m/>
    <n v="1"/>
    <m/>
    <m/>
    <m/>
    <m/>
    <m/>
    <m/>
    <m/>
    <d v="1975-12-01T00:00:00"/>
    <s v="F"/>
    <s v="B"/>
    <s v="BLACK"/>
    <s v="NON-HISPANIC"/>
    <s v="351"/>
    <s v="CONVICTED"/>
    <n v="9"/>
    <s v="HCJ"/>
    <m/>
    <m/>
    <n v="180"/>
    <s v="CREDIT/DEBIT CARD ABUSE"/>
    <m/>
    <s v="FS"/>
    <s v="OTHER FEL"/>
    <m/>
    <m/>
    <m/>
    <m/>
    <m/>
    <m/>
    <m/>
    <m/>
    <m/>
    <s v="Hired Attorney"/>
    <m/>
    <m/>
    <n v="0"/>
    <n v="0"/>
    <n v="270"/>
    <n v="36.092896174863391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189"/>
    <s v="N"/>
    <s v="N"/>
    <n v="1463654"/>
    <n v="6"/>
    <d v="2012-03-22T00:00:00"/>
    <d v="2012-10-23T00:00:00"/>
    <n v="1463654"/>
    <d v="2012-03-23T00:00:00"/>
    <d v="2012-10-23T00:00:00"/>
    <s v="NO BOND"/>
    <x v="1"/>
    <m/>
    <s v="N"/>
    <s v="NONE"/>
    <s v="GUILTY PLEA - NO JURY"/>
    <n v="215"/>
    <n v="216"/>
    <n v="1"/>
    <n v="2"/>
    <n v="1"/>
    <m/>
    <m/>
    <m/>
    <m/>
    <m/>
    <m/>
    <m/>
    <m/>
    <d v="1975-01-15T00:00:00"/>
    <s v="M"/>
    <s v="B"/>
    <s v="BLACK"/>
    <s v="NON-HISPANIC"/>
    <s v="339"/>
    <s v="CONVICTED"/>
    <n v="14"/>
    <s v="TDC"/>
    <n v="8"/>
    <m/>
    <m/>
    <s v="POSS W/INT DEL CS PG1&gt;=4 &lt;200"/>
    <m/>
    <s v="F1"/>
    <s v="SALE DRUG"/>
    <m/>
    <m/>
    <m/>
    <m/>
    <m/>
    <m/>
    <m/>
    <m/>
    <m/>
    <s v="Hired Attorney"/>
    <m/>
    <m/>
    <n v="215"/>
    <n v="215"/>
    <n v="216"/>
    <n v="37.106557377049178"/>
    <n v="0"/>
    <n v="0"/>
    <s v="CONVICTION"/>
    <x v="0"/>
    <s v="N"/>
    <m/>
    <s v="CONVICTION"/>
    <s v="Y"/>
    <x v="0"/>
    <x v="0"/>
    <s v="Y"/>
    <n v="0.99537037037037035"/>
    <n v="1"/>
    <n v="4.6296296296296502E-3"/>
    <n v="0"/>
    <n v="-215"/>
    <n v="0"/>
    <n v="215"/>
    <e v="#VALUE!"/>
    <n v="215"/>
    <n v="0"/>
    <n v="0"/>
    <m/>
    <s v="Y"/>
    <m/>
    <s v="121-365 DAYS"/>
    <n v="6"/>
    <x v="0"/>
  </r>
  <r>
    <n v="1616"/>
    <s v="Y"/>
    <s v="Y"/>
    <n v="1464143"/>
    <n v="1"/>
    <d v="2012-02-29T00:00:00"/>
    <d v="2013-11-08T00:00:00"/>
    <n v="1464143"/>
    <d v="2012-03-01T00:00:00"/>
    <d v="2012-07-10T00:00:00"/>
    <n v="150000"/>
    <x v="2"/>
    <d v="2012-07-10T00:00:00"/>
    <s v="Y"/>
    <s v="SURETY"/>
    <s v="DISMISSED"/>
    <n v="330"/>
    <n v="619"/>
    <n v="1"/>
    <n v="7"/>
    <n v="1"/>
    <m/>
    <m/>
    <m/>
    <m/>
    <m/>
    <m/>
    <m/>
    <m/>
    <d v="1977-12-31T00:00:00"/>
    <s v="M"/>
    <s v="B"/>
    <s v="BLACK"/>
    <s v="NON-HISPANIC"/>
    <s v="339"/>
    <s v="CONVICTED"/>
    <n v="23"/>
    <s v="DISMISSED"/>
    <m/>
    <m/>
    <m/>
    <s v="TAMPER/FABRICATE EVIDENCE"/>
    <m/>
    <s v="F3"/>
    <s v="SALE DRUG"/>
    <s v="BK 4/17/13  RECAL"/>
    <d v="2013-04-23T00:00:00"/>
    <m/>
    <m/>
    <s v="Y"/>
    <m/>
    <m/>
    <m/>
    <m/>
    <s v="Public Defender"/>
    <s v="11/8/13 TAMPER TO FRAB EVID TDC 10 YR"/>
    <m/>
    <n v="330"/>
    <n v="618"/>
    <n v="619"/>
    <n v="34.092896174863391"/>
    <n v="0"/>
    <n v="-486"/>
    <s v="NO CONVICTION"/>
    <x v="1"/>
    <s v="N"/>
    <m/>
    <s v="CONVICTION"/>
    <s v="Y"/>
    <x v="1"/>
    <x v="0"/>
    <s v="Y"/>
    <n v="0.53311793214862679"/>
    <n v="0.21359223300970873"/>
    <n v="-0.31952569913891804"/>
    <n v="0"/>
    <n v="-132"/>
    <n v="198"/>
    <n v="132"/>
    <n v="330"/>
    <m/>
    <n v="486"/>
    <n v="486"/>
    <m/>
    <s v="Y"/>
    <m/>
    <s v="121-365 DAYS"/>
    <n v="6"/>
    <x v="0"/>
  </r>
  <r>
    <n v="1394"/>
    <s v="N"/>
    <s v="N"/>
    <n v="1464234"/>
    <n v="2"/>
    <d v="2012-02-21T00:00:00"/>
    <d v="2012-11-15T00:00:00"/>
    <n v="1464234"/>
    <s v="NOT BOOKED"/>
    <s v="NOT BOOKED"/>
    <n v="4000"/>
    <x v="4"/>
    <d v="2012-02-29T00:00:00"/>
    <s v="Y"/>
    <s v="SURETY"/>
    <s v="DEFERRED ADJUDICATION "/>
    <n v="0"/>
    <n v="269"/>
    <n v="0"/>
    <n v="0"/>
    <m/>
    <m/>
    <m/>
    <m/>
    <m/>
    <m/>
    <m/>
    <m/>
    <m/>
    <d v="1973-08-15T00:00:00"/>
    <s v="M"/>
    <s v="W"/>
    <s v="WHITE"/>
    <s v="NULL"/>
    <s v="177"/>
    <s v="DEFERRED"/>
    <n v="10"/>
    <s v="DEFERRED"/>
    <m/>
    <m/>
    <m/>
    <s v="CRIM MISCH &gt;=$1500 &lt;$20K"/>
    <m/>
    <s v="FS"/>
    <s v="OTHER FEL"/>
    <m/>
    <m/>
    <m/>
    <m/>
    <m/>
    <m/>
    <m/>
    <m/>
    <m/>
    <s v="Hired Attorney"/>
    <m/>
    <m/>
    <n v="0"/>
    <n v="0"/>
    <n v="269"/>
    <n v="38.439890710382514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e v="#VALUE!"/>
    <m/>
    <s v="N"/>
    <m/>
    <s v="0-10 DAYS"/>
    <n v="1"/>
    <x v="1"/>
  </r>
  <r>
    <n v="1570"/>
    <s v="N"/>
    <s v="N"/>
    <n v="1465117"/>
    <n v="1"/>
    <d v="2012-02-28T00:00:00"/>
    <d v="2012-04-11T00:00:00"/>
    <n v="1465117"/>
    <d v="2012-02-28T00:00:00"/>
    <d v="2012-03-03T00:00:00"/>
    <n v="15000"/>
    <x v="0"/>
    <d v="2012-03-03T00:00:00"/>
    <s v="Y"/>
    <s v="SURETY"/>
    <s v="DISMISSED"/>
    <n v="5"/>
    <n v="44"/>
    <n v="12"/>
    <n v="5"/>
    <m/>
    <m/>
    <m/>
    <m/>
    <m/>
    <m/>
    <m/>
    <m/>
    <m/>
    <d v="1978-02-09T00:00:00"/>
    <s v="M"/>
    <s v="W"/>
    <s v="WHITE"/>
    <s v="NON-HISPANIC"/>
    <s v="337"/>
    <s v="DISMISSED"/>
    <n v="4"/>
    <s v="DISMISSED"/>
    <m/>
    <m/>
    <m/>
    <s v="POSS CS PG 1 &lt;1G"/>
    <m/>
    <s v="FS"/>
    <s v="POSS DRUG"/>
    <s v="fel burg cov 7/26/12  tdc 3y "/>
    <m/>
    <m/>
    <m/>
    <m/>
    <m/>
    <m/>
    <m/>
    <m/>
    <s v="Appointed Attorney"/>
    <m/>
    <m/>
    <n v="5"/>
    <n v="44"/>
    <n v="44"/>
    <n v="33.980874316939889"/>
    <n v="0"/>
    <n v="-39"/>
    <s v="NO CONVICTION"/>
    <x v="1"/>
    <s v="Y"/>
    <m/>
    <s v="NO CONVICTION"/>
    <s v="Y"/>
    <x v="1"/>
    <x v="0"/>
    <s v="Y"/>
    <n v="0.11363636363636363"/>
    <n v="0.11363636363636363"/>
    <n v="0"/>
    <n v="0"/>
    <n v="-5"/>
    <n v="0"/>
    <n v="5"/>
    <e v="#VALUE!"/>
    <n v="5"/>
    <n v="0"/>
    <n v="39"/>
    <m/>
    <s v="Y"/>
    <m/>
    <s v="0-10 DAYS"/>
    <n v="1"/>
    <x v="0"/>
  </r>
  <r>
    <n v="877"/>
    <s v="N"/>
    <s v="Y"/>
    <n v="1465792"/>
    <n v="4"/>
    <d v="2012-02-02T00:00:00"/>
    <d v="2012-09-27T00:00:00"/>
    <n v="1465792"/>
    <d v="2012-03-29T00:00:00"/>
    <d v="2012-03-31T00:00:00"/>
    <n v="5000"/>
    <x v="4"/>
    <d v="2012-03-31T00:00:00"/>
    <s v="Y"/>
    <s v="SURETY"/>
    <s v="GUILTY PLEA - NO JURY"/>
    <n v="51"/>
    <n v="239"/>
    <n v="1"/>
    <n v="5"/>
    <m/>
    <m/>
    <m/>
    <m/>
    <m/>
    <m/>
    <m/>
    <m/>
    <m/>
    <d v="1975-04-21T00:00:00"/>
    <s v="M"/>
    <s v="W"/>
    <s v="WHITE"/>
    <s v="NON-HISPANIC"/>
    <s v="263"/>
    <s v="CONVICTED"/>
    <n v="8"/>
    <s v="HCJ"/>
    <m/>
    <m/>
    <n v="365"/>
    <s v="THEFT UNDER $1500 - 3RD OFF."/>
    <m/>
    <s v="FS"/>
    <s v="THEFT"/>
    <m/>
    <s v="rev 7/3/12 "/>
    <m/>
    <m/>
    <s v="Y"/>
    <m/>
    <m/>
    <m/>
    <m/>
    <s v="Appointed Attorney"/>
    <m/>
    <m/>
    <n v="51"/>
    <n v="183"/>
    <n v="239"/>
    <n v="36.710382513661202"/>
    <n v="0"/>
    <n v="-180"/>
    <s v="CONVICTION"/>
    <x v="1"/>
    <s v="Y"/>
    <m/>
    <s v="CONVICTION"/>
    <s v="Y"/>
    <x v="0"/>
    <x v="0"/>
    <s v="Y"/>
    <n v="0.21338912133891214"/>
    <n v="1.6393442622950821E-2"/>
    <n v="-0.19699567871596133"/>
    <n v="0"/>
    <n v="-3"/>
    <n v="48"/>
    <n v="183"/>
    <n v="51"/>
    <n v="183"/>
    <n v="180"/>
    <n v="180"/>
    <m/>
    <s v="Y"/>
    <m/>
    <s v="31-60 DAYS"/>
    <n v="3"/>
    <x v="0"/>
  </r>
  <r>
    <n v="552"/>
    <s v="N"/>
    <s v="N"/>
    <n v="1466871"/>
    <n v="1"/>
    <d v="2012-01-23T00:00:00"/>
    <d v="2012-09-25T00:00:00"/>
    <n v="1466871"/>
    <d v="2012-01-23T00:00:00"/>
    <d v="2012-09-25T00:00:00"/>
    <n v="20000"/>
    <x v="0"/>
    <m/>
    <s v="N"/>
    <s v="NONE"/>
    <s v="DISMISSED"/>
    <n v="247"/>
    <n v="247"/>
    <n v="3"/>
    <n v="5"/>
    <n v="3"/>
    <m/>
    <m/>
    <m/>
    <m/>
    <m/>
    <m/>
    <m/>
    <m/>
    <d v="1976-03-23T00:00:00"/>
    <s v="M"/>
    <s v="H"/>
    <s v="HISPANIC"/>
    <s v="HISPANIC"/>
    <s v="182"/>
    <s v="DISMISSED"/>
    <n v="6"/>
    <s v="DISMISSED"/>
    <m/>
    <m/>
    <m/>
    <s v="POSS CS PG 2 4G - 400G"/>
    <m/>
    <s v="F2"/>
    <s v="POSS DRUG"/>
    <m/>
    <m/>
    <m/>
    <m/>
    <m/>
    <m/>
    <m/>
    <m/>
    <m/>
    <s v="Appointed Attorney"/>
    <m/>
    <m/>
    <n v="247"/>
    <n v="247"/>
    <n v="247"/>
    <n v="35.76229508196721"/>
    <n v="0"/>
    <n v="0"/>
    <s v="NO CONVICTION"/>
    <x v="0"/>
    <s v="N"/>
    <m/>
    <s v="NO CONVICTION"/>
    <s v="Y"/>
    <x v="0"/>
    <x v="0"/>
    <s v="Y"/>
    <n v="1"/>
    <n v="1"/>
    <n v="0"/>
    <n v="0"/>
    <n v="-247"/>
    <n v="0"/>
    <n v="247"/>
    <e v="#VALUE!"/>
    <n v="247"/>
    <n v="0"/>
    <n v="0"/>
    <m/>
    <s v="Y"/>
    <m/>
    <s v="121-365 DAYS"/>
    <n v="6"/>
    <x v="0"/>
  </r>
  <r>
    <n v="676"/>
    <s v="N"/>
    <s v="N"/>
    <n v="1467473"/>
    <n v="6"/>
    <d v="2012-01-27T00:00:00"/>
    <d v="2012-07-11T00:00:00"/>
    <n v="1467473"/>
    <d v="2012-01-27T00:00:00"/>
    <d v="2012-07-11T00:00:00"/>
    <n v="35000"/>
    <x v="2"/>
    <m/>
    <s v="N"/>
    <s v="NONE"/>
    <s v="GUILTY PLEA - NO JURY"/>
    <n v="167"/>
    <n v="167"/>
    <n v="5"/>
    <n v="1"/>
    <n v="3"/>
    <m/>
    <m/>
    <m/>
    <m/>
    <m/>
    <m/>
    <m/>
    <m/>
    <d v="1971-09-23T00:00:00"/>
    <s v="M"/>
    <s v="B"/>
    <s v="BLACK"/>
    <s v="NULL"/>
    <s v="176"/>
    <s v="CONVICTED"/>
    <n v="5"/>
    <s v="TDC"/>
    <n v="10"/>
    <m/>
    <m/>
    <s v="evading arrest/detention w/veh "/>
    <m/>
    <s v="F3"/>
    <s v="OTHER FEL"/>
    <m/>
    <m/>
    <m/>
    <m/>
    <m/>
    <m/>
    <m/>
    <m/>
    <m/>
    <s v="Appointed Attorney"/>
    <m/>
    <m/>
    <n v="167"/>
    <n v="167"/>
    <n v="167"/>
    <n v="40.26229508196721"/>
    <n v="0"/>
    <n v="0"/>
    <s v="CONVICTION"/>
    <x v="0"/>
    <s v="N"/>
    <m/>
    <s v="CONVICTION"/>
    <s v="Y"/>
    <x v="0"/>
    <x v="0"/>
    <s v="Y"/>
    <n v="1"/>
    <n v="1"/>
    <n v="0"/>
    <n v="0"/>
    <n v="-167"/>
    <n v="0"/>
    <n v="167"/>
    <e v="#VALUE!"/>
    <n v="167"/>
    <n v="0"/>
    <n v="0"/>
    <m/>
    <s v="Y"/>
    <m/>
    <s v="121-365 DAYS"/>
    <n v="6"/>
    <x v="0"/>
  </r>
  <r>
    <n v="2739"/>
    <s v="N"/>
    <s v="N"/>
    <n v="1467535"/>
    <n v="1"/>
    <d v="2012-04-11T00:00:00"/>
    <d v="2013-03-07T00:00:00"/>
    <n v="1467535"/>
    <d v="2012-04-12T00:00:00"/>
    <d v="2012-04-13T00:00:00"/>
    <n v="35000"/>
    <x v="2"/>
    <d v="2012-04-13T00:00:00"/>
    <s v="Y"/>
    <s v="SURETY"/>
    <s v="DISMISSED"/>
    <n v="2"/>
    <n v="331"/>
    <n v="1"/>
    <n v="0"/>
    <n v="1"/>
    <m/>
    <m/>
    <m/>
    <m/>
    <m/>
    <m/>
    <m/>
    <m/>
    <d v="1975-12-20T00:00:00"/>
    <s v="M"/>
    <s v="B"/>
    <s v="BLACK"/>
    <s v="NULL"/>
    <s v="177"/>
    <s v="DISMISSED"/>
    <n v="15"/>
    <s v="DISMISSED"/>
    <m/>
    <m/>
    <m/>
    <s v="POSS CS PG 3 28-200 GRAMS"/>
    <m/>
    <s v="F3"/>
    <s v="POSS DRUG"/>
    <m/>
    <m/>
    <m/>
    <m/>
    <m/>
    <m/>
    <m/>
    <m/>
    <m/>
    <s v="Hired Attorney"/>
    <m/>
    <m/>
    <n v="2"/>
    <n v="330"/>
    <n v="331"/>
    <n v="36.234972677595628"/>
    <n v="0"/>
    <n v="-328"/>
    <s v="NO CONVICTION"/>
    <x v="1"/>
    <s v="Y"/>
    <m/>
    <s v="NO CONVICTION"/>
    <s v="Y"/>
    <x v="1"/>
    <x v="0"/>
    <s v="Y"/>
    <n v="6.0422960725075529E-3"/>
    <n v="6.0606060606060606E-3"/>
    <n v="1.8309988098507736E-5"/>
    <n v="0"/>
    <n v="-2"/>
    <n v="0"/>
    <n v="2"/>
    <e v="#VALUE!"/>
    <n v="2"/>
    <n v="0"/>
    <n v="328"/>
    <m/>
    <s v="Y"/>
    <m/>
    <s v="0-10 DAYS"/>
    <n v="1"/>
    <x v="0"/>
  </r>
  <r>
    <n v="992"/>
    <s v="N"/>
    <s v="N"/>
    <n v="1469484"/>
    <n v="1"/>
    <d v="2012-02-07T00:00:00"/>
    <d v="2012-02-08T00:00:00"/>
    <n v="1469484"/>
    <d v="2012-02-07T00:00:00"/>
    <d v="2012-02-08T00:00:00"/>
    <n v="2000"/>
    <x v="5"/>
    <m/>
    <s v="N"/>
    <s v="NONE"/>
    <s v="DISMISSED"/>
    <n v="2"/>
    <n v="2"/>
    <n v="0"/>
    <n v="2"/>
    <m/>
    <m/>
    <m/>
    <m/>
    <m/>
    <m/>
    <m/>
    <s v="S"/>
    <m/>
    <d v="1973-08-24T00:00:00"/>
    <s v="F"/>
    <s v="H"/>
    <s v="HISPANIC"/>
    <s v="NULL"/>
    <s v="228"/>
    <s v="DISMISSED"/>
    <n v="1"/>
    <s v="DISMISSED"/>
    <m/>
    <m/>
    <m/>
    <s v="POSS CS PG 1 &lt;1G"/>
    <m/>
    <s v="FS"/>
    <s v="POSS DRUG"/>
    <m/>
    <m/>
    <m/>
    <m/>
    <m/>
    <m/>
    <m/>
    <m/>
    <m/>
    <s v="Appointed Attorney"/>
    <m/>
    <m/>
    <n v="2"/>
    <n v="2"/>
    <n v="2"/>
    <n v="38.377049180327866"/>
    <n v="0"/>
    <n v="0"/>
    <s v="NO CONVICTION"/>
    <x v="0"/>
    <s v="N"/>
    <m/>
    <s v="NO CONVICTION"/>
    <s v="Y"/>
    <x v="0"/>
    <x v="0"/>
    <s v="N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1218"/>
    <s v="N"/>
    <s v="N"/>
    <n v="1471734"/>
    <n v="5"/>
    <d v="2012-02-14T00:00:00"/>
    <d v="2012-11-16T00:00:00"/>
    <n v="1471734"/>
    <d v="2012-02-14T00:00:00"/>
    <d v="2012-11-16T00:00:00"/>
    <s v="NO BOND"/>
    <x v="1"/>
    <m/>
    <s v="N"/>
    <s v="NONE"/>
    <s v="GUILTY PLEA - NO JURY"/>
    <n v="277"/>
    <n v="277"/>
    <n v="8"/>
    <n v="8"/>
    <n v="6"/>
    <m/>
    <m/>
    <m/>
    <m/>
    <m/>
    <m/>
    <m/>
    <m/>
    <d v="1975-03-18T00:00:00"/>
    <s v="M"/>
    <s v="B"/>
    <s v="BLACK"/>
    <s v="NULL"/>
    <s v="177"/>
    <s v="CONVICTED"/>
    <n v="8"/>
    <s v="STJ"/>
    <m/>
    <n v="14"/>
    <m/>
    <s v="BURGLARY OF HABITATION"/>
    <m/>
    <s v="F2"/>
    <s v="BURGLARY"/>
    <m/>
    <m/>
    <m/>
    <m/>
    <m/>
    <m/>
    <m/>
    <m/>
    <m/>
    <s v="Appointed Attorney"/>
    <m/>
    <m/>
    <n v="277"/>
    <n v="277"/>
    <n v="277"/>
    <n v="36.83606557377049"/>
    <n v="0"/>
    <n v="0"/>
    <s v="CONVICTION"/>
    <x v="0"/>
    <s v="N"/>
    <m/>
    <s v="CONVICTION"/>
    <s v="Y"/>
    <x v="0"/>
    <x v="0"/>
    <s v="Y"/>
    <n v="1"/>
    <n v="1"/>
    <n v="0"/>
    <n v="0"/>
    <n v="-277"/>
    <n v="0"/>
    <n v="277"/>
    <e v="#VALUE!"/>
    <n v="277"/>
    <n v="0"/>
    <n v="0"/>
    <m/>
    <s v="Y"/>
    <m/>
    <s v="121-365 DAYS"/>
    <n v="6"/>
    <x v="0"/>
  </r>
  <r>
    <n v="474"/>
    <s v="N"/>
    <s v="N"/>
    <n v="1472202"/>
    <n v="4"/>
    <d v="2012-01-20T00:00:00"/>
    <d v="2012-08-09T00:00:00"/>
    <n v="1472202"/>
    <d v="2012-01-20T00:00:00"/>
    <d v="2012-08-09T00:00:00"/>
    <s v="NO BOND"/>
    <x v="1"/>
    <m/>
    <s v="N"/>
    <s v="NONE"/>
    <s v="GUILTY PLEA - NO JURY"/>
    <n v="203"/>
    <n v="203"/>
    <n v="4"/>
    <n v="8"/>
    <n v="2"/>
    <m/>
    <m/>
    <m/>
    <m/>
    <m/>
    <m/>
    <m/>
    <m/>
    <d v="1977-05-20T00:00:00"/>
    <s v="M"/>
    <s v="B"/>
    <s v="BLACK"/>
    <s v="NON-HISPANIC"/>
    <s v="337"/>
    <s v="CONVICTED"/>
    <n v="11"/>
    <s v="HCJ"/>
    <m/>
    <m/>
    <n v="365"/>
    <s v="ROBBERY-BODILY INJURY"/>
    <m/>
    <s v="F2"/>
    <s v="ROBBERY"/>
    <m/>
    <m/>
    <m/>
    <m/>
    <m/>
    <m/>
    <m/>
    <m/>
    <m/>
    <s v="Appointed Attorney"/>
    <m/>
    <m/>
    <n v="203"/>
    <n v="203"/>
    <n v="203"/>
    <n v="34.598360655737707"/>
    <n v="0"/>
    <n v="0"/>
    <s v="CONVICTION"/>
    <x v="0"/>
    <s v="N"/>
    <m/>
    <s v="CONVICTION"/>
    <s v="Y"/>
    <x v="0"/>
    <x v="0"/>
    <s v="Y"/>
    <n v="1"/>
    <n v="1"/>
    <n v="0"/>
    <n v="0"/>
    <n v="-203"/>
    <n v="0"/>
    <n v="203"/>
    <e v="#VALUE!"/>
    <n v="203"/>
    <n v="0"/>
    <n v="0"/>
    <m/>
    <s v="Y"/>
    <m/>
    <s v="121-365 DAYS"/>
    <n v="6"/>
    <x v="0"/>
  </r>
  <r>
    <n v="58"/>
    <s v="N"/>
    <s v="N"/>
    <n v="1472654"/>
    <n v="5"/>
    <d v="2012-01-04T00:00:00"/>
    <d v="2012-05-29T00:00:00"/>
    <n v="1472654"/>
    <d v="2012-01-04T00:00:00"/>
    <d v="2012-05-29T00:00:00"/>
    <n v="15000"/>
    <x v="0"/>
    <m/>
    <s v="N"/>
    <s v="NONE"/>
    <s v="GUILTY PLEA - NO JURY"/>
    <n v="147"/>
    <n v="147"/>
    <n v="7"/>
    <n v="6"/>
    <n v="5"/>
    <m/>
    <m/>
    <m/>
    <m/>
    <m/>
    <m/>
    <m/>
    <m/>
    <d v="1949-04-10T00:00:00"/>
    <s v="M"/>
    <s v="B"/>
    <s v="BLACK"/>
    <s v="NULL"/>
    <s v="337"/>
    <s v="CONVICTED"/>
    <n v="5"/>
    <s v="STJ"/>
    <m/>
    <n v="6"/>
    <m/>
    <s v="POSS CS PG 1 &lt;1G"/>
    <m/>
    <s v="FS"/>
    <s v="POSS DRUG"/>
    <m/>
    <m/>
    <m/>
    <m/>
    <m/>
    <m/>
    <m/>
    <m/>
    <m/>
    <s v="Appointed Attorney"/>
    <m/>
    <m/>
    <n v="147"/>
    <n v="147"/>
    <n v="147"/>
    <n v="62.606557377049178"/>
    <n v="0"/>
    <n v="0"/>
    <s v="CONVICTION"/>
    <x v="0"/>
    <s v="N"/>
    <m/>
    <s v="CONVICTION"/>
    <s v="Y"/>
    <x v="0"/>
    <x v="0"/>
    <s v="Y"/>
    <n v="1"/>
    <n v="1"/>
    <n v="0"/>
    <n v="0"/>
    <n v="-147"/>
    <n v="0"/>
    <n v="147"/>
    <e v="#VALUE!"/>
    <n v="147"/>
    <n v="0"/>
    <n v="0"/>
    <m/>
    <s v="Y"/>
    <m/>
    <s v="121-365 DAYS"/>
    <n v="6"/>
    <x v="0"/>
  </r>
  <r>
    <n v="136"/>
    <s v="N"/>
    <s v="N"/>
    <n v="1475451"/>
    <n v="5"/>
    <d v="2012-01-06T00:00:00"/>
    <d v="2012-04-27T00:00:00"/>
    <n v="1475451"/>
    <d v="2012-02-17T00:00:00"/>
    <d v="2012-04-27T00:00:00"/>
    <n v="20000"/>
    <x v="0"/>
    <m/>
    <s v="N"/>
    <s v="NONE"/>
    <s v="GUILTY PLEA - NO JURY"/>
    <n v="71"/>
    <n v="113"/>
    <n v="2"/>
    <n v="4"/>
    <m/>
    <m/>
    <m/>
    <m/>
    <m/>
    <m/>
    <m/>
    <m/>
    <m/>
    <d v="1977-05-15T00:00:00"/>
    <s v="F"/>
    <s v="W"/>
    <s v="WHITE"/>
    <s v="NON-HISPANIC"/>
    <s v="176"/>
    <s v="CONVICTED"/>
    <n v="5"/>
    <s v="STJ"/>
    <m/>
    <n v="9"/>
    <m/>
    <s v="THEFT UNDER $1500 - 3RD OFF."/>
    <m/>
    <s v="FS"/>
    <s v="THEFT"/>
    <s v="2/17/12 misd PROST hcj 30 days"/>
    <m/>
    <m/>
    <m/>
    <m/>
    <m/>
    <m/>
    <m/>
    <m/>
    <s v="Appointed Attorney"/>
    <m/>
    <m/>
    <n v="71"/>
    <n v="71"/>
    <n v="113"/>
    <n v="34.57377049180328"/>
    <n v="0"/>
    <n v="0"/>
    <s v="CONVICTION"/>
    <x v="0"/>
    <s v="N"/>
    <m/>
    <s v="CONVICTION"/>
    <s v="Y"/>
    <x v="0"/>
    <x v="0"/>
    <s v="Y"/>
    <n v="0.62831858407079644"/>
    <n v="1"/>
    <n v="0.37168141592920356"/>
    <n v="0"/>
    <n v="-71"/>
    <n v="0"/>
    <n v="71"/>
    <e v="#VALUE!"/>
    <n v="71"/>
    <n v="0"/>
    <n v="0"/>
    <m/>
    <s v="Y"/>
    <m/>
    <s v="61-90 DAYS"/>
    <n v="4"/>
    <x v="0"/>
  </r>
  <r>
    <n v="2600"/>
    <s v="N"/>
    <s v="N"/>
    <n v="1479624"/>
    <n v="1"/>
    <d v="2012-04-06T00:00:00"/>
    <d v="2013-04-12T00:00:00"/>
    <n v="1479624"/>
    <s v="NOT BOOKED"/>
    <s v="NOT BOOKED"/>
    <n v="10000"/>
    <x v="3"/>
    <d v="2012-04-07T00:00:00"/>
    <s v="Y"/>
    <s v="SURETYPTRc"/>
    <s v="DISMISSED"/>
    <n v="0"/>
    <n v="372"/>
    <n v="0"/>
    <n v="2"/>
    <m/>
    <m/>
    <m/>
    <m/>
    <m/>
    <m/>
    <m/>
    <m/>
    <m/>
    <d v="1975-10-16T00:00:00"/>
    <s v="M"/>
    <s v="B"/>
    <s v="BLACK"/>
    <s v="NON-HISPANIC"/>
    <s v="338"/>
    <s v="NULL"/>
    <n v="12"/>
    <s v="DISMISSED"/>
    <m/>
    <m/>
    <m/>
    <s v="DWI 3RD OFFENDER BAC .08"/>
    <m/>
    <s v="F3"/>
    <s v="FEL DWI"/>
    <m/>
    <m/>
    <m/>
    <m/>
    <m/>
    <m/>
    <m/>
    <m/>
    <m/>
    <s v="Hired Attorney"/>
    <m/>
    <m/>
    <n v="0"/>
    <e v="#VALUE!"/>
    <n v="372"/>
    <n v="36.398907103825138"/>
    <e v="#VALUE!"/>
    <e v="#VALUE!"/>
    <s v="NO CONVICTION"/>
    <x v="1"/>
    <s v="Y"/>
    <m/>
    <s v=""/>
    <n v="0"/>
    <x v="1"/>
    <x v="0"/>
    <s v="N"/>
    <n v="0"/>
    <n v="0"/>
    <n v="0"/>
    <n v="0"/>
    <e v="#VALUE!"/>
    <e v="#VALUE!"/>
    <e v="#VALUE!"/>
    <s v="NOT BOOKED"/>
    <n v="0"/>
    <n v="0"/>
    <e v="#VALUE!"/>
    <m/>
    <s v="Y"/>
    <m/>
    <s v="0-10 DAYS"/>
    <n v="1"/>
    <x v="1"/>
  </r>
  <r>
    <n v="601"/>
    <s v="N"/>
    <s v="Y"/>
    <n v="1479767"/>
    <n v="6"/>
    <d v="2012-01-24T00:00:00"/>
    <d v="2012-04-20T00:00:00"/>
    <n v="1479767"/>
    <d v="2012-01-25T00:00:00"/>
    <d v="2012-02-01T00:00:00"/>
    <n v="30000"/>
    <x v="2"/>
    <d v="2012-02-01T00:00:00"/>
    <s v="Y"/>
    <s v="SURETY"/>
    <s v="GUILTY PLEA - NO JURY"/>
    <n v="11"/>
    <n v="88"/>
    <n v="9"/>
    <n v="13"/>
    <n v="6"/>
    <m/>
    <m/>
    <m/>
    <m/>
    <m/>
    <m/>
    <m/>
    <m/>
    <d v="1974-07-14T00:00:00"/>
    <s v="M"/>
    <s v="B"/>
    <s v="BLACK"/>
    <s v="NON-HISPANIC"/>
    <s v="184"/>
    <s v="CONVICTED"/>
    <n v="6"/>
    <s v="TDC"/>
    <n v="2"/>
    <m/>
    <m/>
    <s v="POSS CS PG 1 &lt;1G"/>
    <m/>
    <s v="FS"/>
    <s v="POSS DRUG"/>
    <m/>
    <s v="rev 4/18/12"/>
    <m/>
    <m/>
    <s v="Y"/>
    <m/>
    <m/>
    <m/>
    <m/>
    <s v="Hired Attorney"/>
    <m/>
    <m/>
    <n v="11"/>
    <n v="87"/>
    <n v="88"/>
    <n v="37.453551912568308"/>
    <n v="0"/>
    <n v="-79"/>
    <s v="CONVICTION"/>
    <x v="1"/>
    <s v="Y"/>
    <m/>
    <s v="CONVICTION"/>
    <s v="Y"/>
    <x v="0"/>
    <x v="0"/>
    <s v="Y"/>
    <n v="0.125"/>
    <n v="9.1954022988505746E-2"/>
    <n v="-3.3045977011494254E-2"/>
    <n v="0"/>
    <n v="-8"/>
    <n v="3"/>
    <n v="87"/>
    <n v="11"/>
    <n v="87"/>
    <n v="79"/>
    <n v="79"/>
    <m/>
    <s v="Y"/>
    <m/>
    <s v="11-30 DAYS"/>
    <n v="2"/>
    <x v="0"/>
  </r>
  <r>
    <n v="1848"/>
    <s v="N"/>
    <s v="Y"/>
    <n v="1480400"/>
    <n v="4"/>
    <d v="2012-03-09T00:00:00"/>
    <d v="2012-09-17T00:00:00"/>
    <n v="1480400"/>
    <d v="2012-09-14T00:00:00"/>
    <d v="2012-09-17T00:00:00"/>
    <n v="55000"/>
    <x v="2"/>
    <d v="2012-03-10T00:00:00"/>
    <s v="Y"/>
    <s v="SURETY"/>
    <s v="GUILTY PLEA - NO JURY"/>
    <n v="4"/>
    <n v="193"/>
    <n v="0"/>
    <n v="1"/>
    <m/>
    <m/>
    <m/>
    <m/>
    <m/>
    <m/>
    <m/>
    <m/>
    <m/>
    <d v="1946-05-23T00:00:00"/>
    <s v="F"/>
    <s v="H"/>
    <s v="HISPANIC"/>
    <s v="HISPANIC"/>
    <s v="184"/>
    <s v="CONVICTED"/>
    <n v="11"/>
    <s v="HCJ"/>
    <m/>
    <m/>
    <n v="90"/>
    <s v="TAMPER/FABRICATE EVIDENCE"/>
    <m/>
    <s v="F3"/>
    <s v="OTHER FEL"/>
    <m/>
    <m/>
    <s v="Y"/>
    <s v="bf 9/13/12"/>
    <m/>
    <m/>
    <m/>
    <d v="2012-10-25T00:00:00"/>
    <n v="235"/>
    <s v="Hired Attorney"/>
    <m/>
    <m/>
    <n v="4"/>
    <n v="4"/>
    <n v="193"/>
    <n v="65.661202185792348"/>
    <n v="0"/>
    <n v="0"/>
    <s v="CONVICTION"/>
    <x v="1"/>
    <s v="Y"/>
    <m/>
    <s v="CONVICTION"/>
    <s v="Y"/>
    <x v="0"/>
    <x v="0"/>
    <s v="N"/>
    <n v="2.072538860103627E-2"/>
    <n v="1"/>
    <n v="0.97927461139896377"/>
    <n v="0"/>
    <n v="-4"/>
    <n v="0"/>
    <n v="4"/>
    <e v="#VALUE!"/>
    <n v="4"/>
    <n v="0"/>
    <n v="0"/>
    <m/>
    <s v="Y"/>
    <m/>
    <s v="0-10 DAYS"/>
    <n v="1"/>
    <x v="0"/>
  </r>
  <r>
    <n v="1872"/>
    <s v="N"/>
    <s v="N"/>
    <n v="1481800"/>
    <n v="4"/>
    <d v="2012-03-10T00:00:00"/>
    <d v="2012-06-20T00:00:00"/>
    <n v="1481800"/>
    <d v="2012-03-10T00:00:00"/>
    <d v="2012-03-13T00:00:00"/>
    <n v="15000"/>
    <x v="0"/>
    <d v="2012-03-13T00:00:00"/>
    <s v="Y"/>
    <s v="SURETY"/>
    <s v="GUILTY PLEA - NO JURY"/>
    <n v="4"/>
    <n v="103"/>
    <n v="5"/>
    <n v="4"/>
    <n v="3"/>
    <m/>
    <m/>
    <m/>
    <m/>
    <m/>
    <m/>
    <m/>
    <m/>
    <d v="1972-08-07T00:00:00"/>
    <s v="F"/>
    <s v="B"/>
    <s v="BLACK"/>
    <s v="NON-HISPANIC"/>
    <s v="184"/>
    <s v="CONVICTED"/>
    <n v="7"/>
    <s v="HCJ"/>
    <m/>
    <m/>
    <n v="90"/>
    <s v="POSS CS PG 1 &lt;1G"/>
    <m/>
    <s v="FS"/>
    <s v="POSS DRUG"/>
    <m/>
    <m/>
    <m/>
    <m/>
    <m/>
    <m/>
    <m/>
    <m/>
    <m/>
    <s v="Appointed Attorney"/>
    <m/>
    <m/>
    <n v="4"/>
    <n v="103"/>
    <n v="103"/>
    <n v="39.508196721311478"/>
    <n v="0"/>
    <n v="-99"/>
    <s v="CONVICTION"/>
    <x v="1"/>
    <s v="Y"/>
    <m/>
    <s v="CONVICTION"/>
    <s v="Y"/>
    <x v="1"/>
    <x v="0"/>
    <s v="Y"/>
    <n v="3.8834951456310676E-2"/>
    <n v="3.8834951456310676E-2"/>
    <n v="0"/>
    <n v="0"/>
    <n v="-4"/>
    <n v="0"/>
    <n v="4"/>
    <e v="#VALUE!"/>
    <n v="4"/>
    <n v="0"/>
    <n v="99"/>
    <m/>
    <s v="Y"/>
    <m/>
    <s v="0-10 DAYS"/>
    <n v="1"/>
    <x v="0"/>
  </r>
  <r>
    <n v="1179"/>
    <s v="N"/>
    <s v="N"/>
    <n v="1482075"/>
    <n v="4"/>
    <d v="2012-02-13T00:00:00"/>
    <d v="2012-05-09T00:00:00"/>
    <n v="1482075"/>
    <d v="2012-02-13T00:00:00"/>
    <d v="2012-05-09T00:00:00"/>
    <n v="5000"/>
    <x v="4"/>
    <m/>
    <s v="N"/>
    <s v="NONE"/>
    <s v="GUILTY PLEA - NO JURY"/>
    <n v="87"/>
    <n v="87"/>
    <n v="1"/>
    <n v="3"/>
    <m/>
    <m/>
    <m/>
    <m/>
    <m/>
    <m/>
    <m/>
    <m/>
    <m/>
    <d v="1959-10-25T00:00:00"/>
    <s v="M"/>
    <s v="B"/>
    <s v="BLACK"/>
    <s v="NULL"/>
    <s v="176"/>
    <s v="CONVICTED"/>
    <n v="4"/>
    <s v="HCJ"/>
    <m/>
    <m/>
    <n v="180"/>
    <s v="POSS CS PG 1 &lt;1G"/>
    <m/>
    <s v="FS"/>
    <s v="POSS DRUG"/>
    <m/>
    <m/>
    <m/>
    <m/>
    <m/>
    <m/>
    <m/>
    <m/>
    <m/>
    <s v="Appointed Attorney"/>
    <m/>
    <m/>
    <n v="87"/>
    <n v="87"/>
    <n v="87"/>
    <n v="52.196721311475407"/>
    <n v="0"/>
    <n v="0"/>
    <s v="CONVICTION"/>
    <x v="0"/>
    <s v="N"/>
    <m/>
    <s v="CONVICTION"/>
    <s v="Y"/>
    <x v="0"/>
    <x v="0"/>
    <s v="Y"/>
    <n v="1"/>
    <n v="1"/>
    <n v="0"/>
    <n v="0"/>
    <n v="-87"/>
    <n v="0"/>
    <n v="87"/>
    <e v="#VALUE!"/>
    <n v="87"/>
    <n v="0"/>
    <n v="0"/>
    <m/>
    <s v="Y"/>
    <m/>
    <s v="61-90 DAYS"/>
    <n v="4"/>
    <x v="0"/>
  </r>
  <r>
    <n v="632"/>
    <s v="N"/>
    <s v="N"/>
    <n v="1482479"/>
    <n v="6"/>
    <d v="2012-01-25T00:00:00"/>
    <d v="2012-05-14T00:00:00"/>
    <n v="1482479"/>
    <d v="2012-01-26T00:00:00"/>
    <d v="2012-05-14T00:00:00"/>
    <s v="NO BOND"/>
    <x v="1"/>
    <m/>
    <s v="N"/>
    <s v="NONE"/>
    <s v="GUILTY PLEA - NO JURY"/>
    <n v="110"/>
    <n v="111"/>
    <n v="6"/>
    <n v="6"/>
    <n v="5"/>
    <m/>
    <m/>
    <m/>
    <m/>
    <m/>
    <m/>
    <m/>
    <m/>
    <d v="1978-02-27T00:00:00"/>
    <s v="M"/>
    <s v="B"/>
    <s v="BLACK"/>
    <s v="NULL"/>
    <s v="338"/>
    <s v="CONVICTED"/>
    <n v="8"/>
    <s v="TDC"/>
    <n v="10"/>
    <m/>
    <m/>
    <s v="OTHER DRUG (POSS W/INT DEL CS PG1&gt;=4 &lt;200 )"/>
    <m/>
    <s v="F3"/>
    <s v="POSS DRUG"/>
    <m/>
    <m/>
    <m/>
    <m/>
    <m/>
    <m/>
    <m/>
    <m/>
    <m/>
    <s v="Hired Attorney"/>
    <m/>
    <m/>
    <n v="110"/>
    <n v="110"/>
    <n v="111"/>
    <n v="33.838797814207652"/>
    <n v="0"/>
    <n v="0"/>
    <s v="CONVICTION"/>
    <x v="0"/>
    <s v="N"/>
    <m/>
    <s v="CONVICTION"/>
    <s v="Y"/>
    <x v="0"/>
    <x v="0"/>
    <s v="Y"/>
    <n v="0.99099099099099097"/>
    <n v="1"/>
    <n v="9.009009009009028E-3"/>
    <n v="0"/>
    <n v="-110"/>
    <n v="0"/>
    <n v="110"/>
    <e v="#VALUE!"/>
    <n v="110"/>
    <n v="0"/>
    <n v="0"/>
    <m/>
    <s v="Y"/>
    <m/>
    <s v="91-120 DAYS"/>
    <n v="0"/>
    <x v="0"/>
  </r>
  <r>
    <n v="1048"/>
    <s v="N"/>
    <s v="N"/>
    <n v="1483597"/>
    <n v="6"/>
    <d v="2012-02-08T00:00:00"/>
    <d v="2012-07-27T00:00:00"/>
    <n v="1483597"/>
    <d v="2012-02-09T00:00:00"/>
    <d v="2012-07-27T00:00:00"/>
    <n v="10000"/>
    <x v="3"/>
    <m/>
    <s v="N"/>
    <s v="NONE"/>
    <s v="GUILTY PLEA - NO JURY"/>
    <n v="170"/>
    <n v="171"/>
    <n v="3"/>
    <n v="3"/>
    <n v="1"/>
    <m/>
    <m/>
    <m/>
    <m/>
    <m/>
    <m/>
    <m/>
    <m/>
    <d v="1974-01-10T00:00:00"/>
    <s v="M"/>
    <s v="W"/>
    <s v="WHITE"/>
    <s v="NON-HISPANIC"/>
    <s v="338"/>
    <s v="CONVICTED"/>
    <n v="8"/>
    <s v="TDC"/>
    <n v="2"/>
    <m/>
    <m/>
    <s v="FAIL TO COMPLY AS SEX OFFENDER"/>
    <m/>
    <s v="F3"/>
    <s v="OTHER FEL"/>
    <m/>
    <m/>
    <m/>
    <m/>
    <m/>
    <m/>
    <m/>
    <m/>
    <m/>
    <s v="Appointed Attorney"/>
    <m/>
    <m/>
    <n v="170"/>
    <n v="170"/>
    <n v="171"/>
    <n v="38"/>
    <n v="0"/>
    <n v="0"/>
    <s v="CONVICTION"/>
    <x v="0"/>
    <s v="N"/>
    <m/>
    <s v="CONVICTION"/>
    <s v="Y"/>
    <x v="0"/>
    <x v="0"/>
    <s v="Y"/>
    <n v="0.99415204678362568"/>
    <n v="1"/>
    <n v="5.8479532163743242E-3"/>
    <n v="0"/>
    <n v="-170"/>
    <n v="0"/>
    <n v="170"/>
    <e v="#VALUE!"/>
    <n v="170"/>
    <n v="0"/>
    <n v="0"/>
    <m/>
    <s v="Y"/>
    <m/>
    <s v="121-365 DAYS"/>
    <n v="6"/>
    <x v="0"/>
  </r>
  <r>
    <n v="2498"/>
    <s v="N"/>
    <s v="N"/>
    <n v="1483677"/>
    <n v="2"/>
    <d v="2012-04-04T00:00:00"/>
    <d v="2012-04-05T00:00:00"/>
    <n v="1483677"/>
    <d v="2012-04-04T00:00:00"/>
    <d v="2012-04-05T00:00:00"/>
    <n v="2000"/>
    <x v="5"/>
    <m/>
    <s v="N"/>
    <s v="NONE"/>
    <s v="DEFERRED ADJUDICATION "/>
    <n v="2"/>
    <n v="2"/>
    <n v="1"/>
    <n v="2"/>
    <m/>
    <m/>
    <m/>
    <m/>
    <m/>
    <m/>
    <m/>
    <m/>
    <m/>
    <d v="1978-07-24T00:00:00"/>
    <s v="F"/>
    <s v="B"/>
    <s v="BLACK"/>
    <s v="NON-HISPANIC"/>
    <s v="184"/>
    <s v="DEFERRED"/>
    <n v="1"/>
    <s v="DEFERRED"/>
    <m/>
    <m/>
    <m/>
    <s v="POSS CS PG 1 &lt;1G"/>
    <m/>
    <s v="FS"/>
    <s v="POSS DRUG"/>
    <s v="ACI/OC bk 5/7/12 amend cop"/>
    <m/>
    <m/>
    <m/>
    <m/>
    <m/>
    <m/>
    <m/>
    <m/>
    <s v="Appointed Attorney"/>
    <m/>
    <m/>
    <n v="2"/>
    <n v="2"/>
    <n v="2"/>
    <n v="33.62841530054645"/>
    <n v="0"/>
    <n v="0"/>
    <s v="DEFERRED"/>
    <x v="0"/>
    <s v="N"/>
    <m/>
    <s v="DEFERRED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2392"/>
    <s v="N"/>
    <s v="N"/>
    <n v="1484348"/>
    <n v="1"/>
    <d v="2012-03-31T00:00:00"/>
    <d v="2012-06-22T00:00:00"/>
    <n v="1484348"/>
    <d v="2012-03-31T00:00:00"/>
    <d v="2012-06-22T00:00:00"/>
    <s v="NO BOND"/>
    <x v="1"/>
    <m/>
    <s v="N"/>
    <s v="NONE"/>
    <s v="NO BILL"/>
    <n v="84"/>
    <n v="84"/>
    <n v="6"/>
    <n v="2"/>
    <n v="4"/>
    <m/>
    <m/>
    <m/>
    <m/>
    <m/>
    <m/>
    <m/>
    <m/>
    <d v="1978-08-11T00:00:00"/>
    <s v="M"/>
    <s v="H"/>
    <s v="HISPANIC"/>
    <s v="HISPANIC"/>
    <s v="351"/>
    <s v="NO BILL"/>
    <n v="4"/>
    <s v="NO BILL"/>
    <m/>
    <m/>
    <m/>
    <s v="ASSAULT-BOD INJ-FAMILY MEMBER"/>
    <m/>
    <s v="F3"/>
    <s v="ASLT-MURDR"/>
    <m/>
    <m/>
    <m/>
    <m/>
    <m/>
    <m/>
    <m/>
    <m/>
    <m/>
    <s v="Appointed Attorney"/>
    <m/>
    <m/>
    <n v="84"/>
    <n v="84"/>
    <n v="84"/>
    <n v="33.568306010928964"/>
    <n v="0"/>
    <n v="0"/>
    <s v="NO CONVICTION"/>
    <x v="0"/>
    <s v="N"/>
    <m/>
    <s v="NO CONVICTION"/>
    <s v="Y"/>
    <x v="0"/>
    <x v="0"/>
    <s v="Y"/>
    <n v="1"/>
    <n v="1"/>
    <n v="0"/>
    <n v="0"/>
    <n v="-84"/>
    <n v="0"/>
    <n v="84"/>
    <e v="#VALUE!"/>
    <n v="84"/>
    <n v="0"/>
    <n v="0"/>
    <m/>
    <s v="Y"/>
    <m/>
    <s v="61-90 DAYS"/>
    <n v="4"/>
    <x v="0"/>
  </r>
  <r>
    <n v="473"/>
    <s v="N"/>
    <s v="N"/>
    <n v="1484521"/>
    <n v="5"/>
    <d v="2012-01-20T00:00:00"/>
    <d v="2012-03-01T00:00:00"/>
    <n v="1484521"/>
    <d v="2012-01-20T00:00:00"/>
    <d v="2012-03-01T00:00:00"/>
    <n v="10000"/>
    <x v="3"/>
    <m/>
    <s v="N"/>
    <s v="NONE"/>
    <s v="GUILTY PLEA - NO JURY"/>
    <n v="42"/>
    <n v="42"/>
    <n v="0"/>
    <n v="10"/>
    <n v="1"/>
    <m/>
    <m/>
    <m/>
    <m/>
    <m/>
    <m/>
    <m/>
    <m/>
    <d v="1976-05-22T00:00:00"/>
    <s v="F"/>
    <s v="B"/>
    <s v="BLACK"/>
    <s v="NON-HISPANIC"/>
    <s v="263"/>
    <s v="CONVICTED"/>
    <n v="3"/>
    <s v="STJ"/>
    <m/>
    <n v="6"/>
    <m/>
    <s v="POSS CS PG 1 &lt;1G"/>
    <m/>
    <s v="FS"/>
    <s v="POSS DRUG"/>
    <m/>
    <m/>
    <m/>
    <m/>
    <m/>
    <m/>
    <m/>
    <m/>
    <m/>
    <s v="Appointed Attorney"/>
    <m/>
    <m/>
    <n v="42"/>
    <n v="42"/>
    <n v="42"/>
    <n v="35.590163934426229"/>
    <n v="0"/>
    <n v="0"/>
    <s v="CONVICTION"/>
    <x v="0"/>
    <s v="N"/>
    <m/>
    <s v="CONVICTION"/>
    <s v="Y"/>
    <x v="0"/>
    <x v="0"/>
    <s v="N"/>
    <n v="1"/>
    <n v="1"/>
    <n v="0"/>
    <n v="0"/>
    <n v="-42"/>
    <n v="0"/>
    <n v="42"/>
    <e v="#VALUE!"/>
    <n v="42"/>
    <n v="0"/>
    <n v="0"/>
    <m/>
    <s v="Y"/>
    <m/>
    <s v="31-60 DAYS"/>
    <n v="3"/>
    <x v="0"/>
  </r>
  <r>
    <n v="177"/>
    <s v="N"/>
    <s v="N"/>
    <n v="1484883"/>
    <n v="6"/>
    <d v="2012-01-08T00:00:00"/>
    <d v="2012-06-25T00:00:00"/>
    <n v="1484883"/>
    <d v="2012-01-08T00:00:00"/>
    <d v="2012-06-25T00:00:00"/>
    <n v="5000"/>
    <x v="4"/>
    <m/>
    <s v="N"/>
    <s v="NONE"/>
    <s v="GUILTY PLEA - NO JURY"/>
    <n v="170"/>
    <n v="170"/>
    <n v="7"/>
    <n v="2"/>
    <n v="5"/>
    <m/>
    <m/>
    <m/>
    <m/>
    <m/>
    <m/>
    <m/>
    <m/>
    <d v="1972-01-06T00:00:00"/>
    <s v="M"/>
    <s v="B"/>
    <s v="BLACK"/>
    <s v="NULL"/>
    <s v="351"/>
    <s v="CONVICTED"/>
    <n v="9"/>
    <s v="TDC"/>
    <n v="2"/>
    <m/>
    <m/>
    <s v="POSS CS PG 1  1 - 4 GRAMS"/>
    <m/>
    <s v="F3"/>
    <s v="POSS DRUG"/>
    <m/>
    <m/>
    <m/>
    <m/>
    <m/>
    <m/>
    <m/>
    <m/>
    <m/>
    <s v="Appointed Attorney"/>
    <m/>
    <m/>
    <n v="170"/>
    <n v="170"/>
    <n v="170"/>
    <n v="39.923497267759565"/>
    <n v="0"/>
    <n v="0"/>
    <s v="CONVICTION"/>
    <x v="0"/>
    <s v="N"/>
    <m/>
    <s v="CONVICTION"/>
    <s v="Y"/>
    <x v="0"/>
    <x v="0"/>
    <s v="Y"/>
    <n v="1"/>
    <n v="1"/>
    <n v="0"/>
    <n v="0"/>
    <n v="-170"/>
    <n v="0"/>
    <n v="170"/>
    <e v="#VALUE!"/>
    <n v="170"/>
    <n v="0"/>
    <n v="0"/>
    <m/>
    <s v="Y"/>
    <m/>
    <s v="121-365 DAYS"/>
    <n v="6"/>
    <x v="0"/>
  </r>
  <r>
    <n v="1806"/>
    <s v="N"/>
    <s v="N"/>
    <n v="1486024"/>
    <n v="6"/>
    <d v="2012-03-08T00:00:00"/>
    <d v="2012-09-28T00:00:00"/>
    <n v="1486024"/>
    <d v="2012-03-10T00:00:00"/>
    <d v="2012-09-28T00:00:00"/>
    <n v="40000"/>
    <x v="2"/>
    <m/>
    <s v="N"/>
    <s v="NONE"/>
    <s v="GUILTY PLEA - NO JURY"/>
    <n v="203"/>
    <n v="205"/>
    <n v="6"/>
    <n v="1"/>
    <n v="3"/>
    <m/>
    <m/>
    <m/>
    <m/>
    <m/>
    <m/>
    <m/>
    <m/>
    <d v="1977-05-15T00:00:00"/>
    <s v="M"/>
    <s v="B"/>
    <s v="BLACK"/>
    <s v="NON-HISPANIC"/>
    <s v="351"/>
    <s v="CONVICTED"/>
    <n v="8"/>
    <s v="TDC"/>
    <n v="6"/>
    <m/>
    <m/>
    <s v="SEX ASSLT CHILD 14-17"/>
    <m/>
    <s v="F2"/>
    <s v="SEX ABUSE"/>
    <m/>
    <m/>
    <m/>
    <m/>
    <m/>
    <m/>
    <m/>
    <m/>
    <m/>
    <s v="Appointed Attorney"/>
    <m/>
    <m/>
    <n v="203"/>
    <n v="203"/>
    <n v="205"/>
    <n v="34.743169398907106"/>
    <n v="0"/>
    <n v="0"/>
    <s v="CONVICTION"/>
    <x v="0"/>
    <s v="N"/>
    <m/>
    <s v="CONVICTION"/>
    <s v="Y"/>
    <x v="0"/>
    <x v="0"/>
    <s v="Y"/>
    <n v="0.99024390243902438"/>
    <n v="1"/>
    <n v="9.7560975609756184E-3"/>
    <n v="0"/>
    <n v="-203"/>
    <n v="0"/>
    <n v="203"/>
    <e v="#VALUE!"/>
    <n v="203"/>
    <n v="0"/>
    <n v="0"/>
    <m/>
    <s v="Y"/>
    <m/>
    <s v="121-365 DAYS"/>
    <n v="6"/>
    <x v="0"/>
  </r>
  <r>
    <n v="2296"/>
    <s v="N"/>
    <s v="N"/>
    <n v="1486793"/>
    <n v="5"/>
    <d v="2012-03-28T00:00:00"/>
    <d v="2012-05-02T00:00:00"/>
    <n v="1486793"/>
    <d v="2012-03-28T00:00:00"/>
    <d v="2012-05-02T00:00:00"/>
    <n v="15000"/>
    <x v="0"/>
    <m/>
    <s v="N"/>
    <s v="NONE"/>
    <s v="GUILTY PLEA - NO JURY"/>
    <n v="36"/>
    <n v="36"/>
    <n v="3"/>
    <n v="2"/>
    <n v="3"/>
    <m/>
    <m/>
    <m/>
    <m/>
    <m/>
    <m/>
    <m/>
    <m/>
    <d v="1977-02-08T00:00:00"/>
    <s v="F"/>
    <s v="H"/>
    <s v="HISPANIC"/>
    <s v="HISPANIC"/>
    <s v="337"/>
    <s v="CONVICTED"/>
    <n v="2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36"/>
    <n v="36"/>
    <n v="36"/>
    <n v="35.060109289617486"/>
    <n v="0"/>
    <n v="0"/>
    <s v="CONVICTION"/>
    <x v="0"/>
    <s v="N"/>
    <m/>
    <s v="CONVICTION"/>
    <s v="Y"/>
    <x v="0"/>
    <x v="0"/>
    <s v="Y"/>
    <n v="1"/>
    <n v="1"/>
    <n v="0"/>
    <n v="0"/>
    <n v="-36"/>
    <n v="0"/>
    <n v="36"/>
    <e v="#VALUE!"/>
    <n v="36"/>
    <n v="0"/>
    <n v="0"/>
    <m/>
    <s v="Y"/>
    <m/>
    <s v="31-60 DAYS"/>
    <n v="3"/>
    <x v="0"/>
  </r>
  <r>
    <n v="1734"/>
    <s v="N"/>
    <s v="N"/>
    <n v="1486875"/>
    <n v="4"/>
    <d v="2012-03-05T00:00:00"/>
    <d v="2012-03-07T00:00:00"/>
    <n v="1486875"/>
    <d v="2012-03-05T00:00:00"/>
    <d v="2012-03-07T00:00:00"/>
    <n v="15000"/>
    <x v="0"/>
    <m/>
    <s v="N"/>
    <s v="NONE"/>
    <s v="GUILTY PLEA - NO JURY"/>
    <n v="3"/>
    <n v="3"/>
    <n v="8"/>
    <n v="5"/>
    <n v="5"/>
    <m/>
    <m/>
    <m/>
    <m/>
    <m/>
    <m/>
    <m/>
    <m/>
    <d v="1972-03-14T00:00:00"/>
    <s v="F"/>
    <s v="B"/>
    <s v="BLACK"/>
    <s v="NON-HISPANIC"/>
    <s v="178"/>
    <s v="CONVICTED"/>
    <n v="1"/>
    <s v="HCJ"/>
    <m/>
    <m/>
    <n v="90"/>
    <s v="POSS CS PG 1 &lt;1G"/>
    <m/>
    <s v="FS"/>
    <s v="POSS DRUG"/>
    <m/>
    <m/>
    <m/>
    <m/>
    <m/>
    <m/>
    <m/>
    <m/>
    <m/>
    <s v="Appointed Attorney"/>
    <m/>
    <m/>
    <n v="3"/>
    <n v="3"/>
    <n v="3"/>
    <n v="39.893442622950822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547"/>
    <s v="N"/>
    <s v="N"/>
    <n v="1487066"/>
    <n v="1"/>
    <d v="2012-02-27T00:00:00"/>
    <d v="2012-08-07T00:00:00"/>
    <n v="1487066"/>
    <d v="2012-02-27T00:00:00"/>
    <d v="2012-08-07T00:00:00"/>
    <n v="50000"/>
    <x v="2"/>
    <m/>
    <s v="N"/>
    <s v="NONE"/>
    <s v="DISMISSED"/>
    <n v="163"/>
    <n v="163"/>
    <n v="10"/>
    <n v="4"/>
    <n v="7"/>
    <m/>
    <m/>
    <m/>
    <m/>
    <m/>
    <m/>
    <m/>
    <m/>
    <d v="1978-04-01T00:00:00"/>
    <s v="M"/>
    <s v="B"/>
    <s v="BLACK"/>
    <s v="NON-HISPANIC"/>
    <s v="262"/>
    <s v="DISMISSED"/>
    <n v="10"/>
    <s v="DISMISSED"/>
    <m/>
    <m/>
    <m/>
    <s v="MAN/DEL CS PG I 200-400 GRAMS"/>
    <m/>
    <s v="F"/>
    <s v="SALE DRUG"/>
    <m/>
    <m/>
    <m/>
    <m/>
    <m/>
    <m/>
    <m/>
    <m/>
    <m/>
    <s v="Appointed Attorney"/>
    <m/>
    <m/>
    <n v="163"/>
    <n v="163"/>
    <n v="163"/>
    <n v="33.838797814207652"/>
    <n v="0"/>
    <n v="0"/>
    <s v="NO CONVICTION"/>
    <x v="0"/>
    <s v="N"/>
    <m/>
    <s v="NO CONVICTION"/>
    <s v="Y"/>
    <x v="0"/>
    <x v="0"/>
    <s v="Y"/>
    <n v="1"/>
    <n v="1"/>
    <n v="0"/>
    <n v="0"/>
    <n v="-163"/>
    <n v="0"/>
    <n v="163"/>
    <e v="#VALUE!"/>
    <n v="163"/>
    <n v="0"/>
    <n v="0"/>
    <m/>
    <s v="Y"/>
    <m/>
    <s v="121-365 DAYS"/>
    <n v="6"/>
    <x v="0"/>
  </r>
  <r>
    <n v="1702"/>
    <s v="N"/>
    <s v="N"/>
    <n v="1489147"/>
    <n v="2"/>
    <d v="2012-03-04T00:00:00"/>
    <d v="2012-06-19T00:00:00"/>
    <n v="1489147"/>
    <d v="2012-03-04T00:00:00"/>
    <d v="2012-06-19T00:00:00"/>
    <n v="20000"/>
    <x v="0"/>
    <m/>
    <s v="N"/>
    <s v="NONE"/>
    <s v="DEFERRED ADJUDICATION "/>
    <n v="108"/>
    <n v="108"/>
    <n v="4"/>
    <n v="6"/>
    <n v="1"/>
    <m/>
    <m/>
    <m/>
    <m/>
    <m/>
    <m/>
    <m/>
    <m/>
    <d v="1978-06-13T00:00:00"/>
    <s v="F"/>
    <s v="B"/>
    <s v="BLACK"/>
    <s v="NON-HISPANIC"/>
    <s v="339"/>
    <s v="DEFERRED"/>
    <n v="6"/>
    <s v="DEFERRED"/>
    <m/>
    <m/>
    <m/>
    <s v="BURGLARY OF HABITATION"/>
    <m/>
    <s v="F2"/>
    <s v="BURGLARY"/>
    <m/>
    <m/>
    <m/>
    <m/>
    <m/>
    <m/>
    <m/>
    <m/>
    <m/>
    <s v="Appointed Attorney"/>
    <m/>
    <m/>
    <n v="108"/>
    <n v="108"/>
    <n v="108"/>
    <n v="33.655737704918032"/>
    <n v="0"/>
    <n v="0"/>
    <s v="DEFERRED"/>
    <x v="0"/>
    <s v="N"/>
    <m/>
    <s v="DEFERRED"/>
    <s v="Y"/>
    <x v="0"/>
    <x v="0"/>
    <s v="Y"/>
    <n v="1"/>
    <n v="1"/>
    <n v="0"/>
    <n v="0"/>
    <n v="-108"/>
    <n v="0"/>
    <n v="108"/>
    <e v="#VALUE!"/>
    <n v="108"/>
    <n v="0"/>
    <n v="0"/>
    <m/>
    <s v="Y"/>
    <m/>
    <s v="91-120 DAYS"/>
    <n v="0"/>
    <x v="0"/>
  </r>
  <r>
    <n v="1790"/>
    <s v="N"/>
    <s v="N"/>
    <n v="1490971"/>
    <n v="6"/>
    <d v="2012-03-07T00:00:00"/>
    <d v="2012-08-09T00:00:00"/>
    <n v="1490971"/>
    <s v="NOT BOOKED"/>
    <s v="NOT BOOKED"/>
    <n v="15000"/>
    <x v="0"/>
    <d v="2012-03-16T00:00:00"/>
    <s v="Y"/>
    <s v="SURETY"/>
    <s v="GUILTY PLEA - NO JURY"/>
    <n v="0"/>
    <n v="156"/>
    <n v="5"/>
    <n v="0"/>
    <n v="4"/>
    <m/>
    <m/>
    <m/>
    <m/>
    <m/>
    <m/>
    <m/>
    <m/>
    <d v="1971-09-15T00:00:00"/>
    <s v="M"/>
    <s v="W"/>
    <s v="WHITE"/>
    <s v="NON-HISPANIC"/>
    <s v="338"/>
    <s v="CONVICTED"/>
    <n v="11"/>
    <s v="TDC"/>
    <n v="10"/>
    <m/>
    <m/>
    <s v="ENGAGING IN ORG CRIM ACTIVITY"/>
    <m/>
    <s v="F3"/>
    <s v="OTHER FEL"/>
    <m/>
    <m/>
    <m/>
    <m/>
    <m/>
    <m/>
    <m/>
    <m/>
    <m/>
    <s v="Hired Attorney"/>
    <m/>
    <m/>
    <n v="0"/>
    <n v="0"/>
    <n v="156"/>
    <n v="40.393442622950822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3251"/>
    <s v="N"/>
    <s v="N"/>
    <n v="1491150"/>
    <n v="5"/>
    <d v="2012-04-30T00:00:00"/>
    <d v="2012-05-03T00:00:00"/>
    <n v="1491150"/>
    <d v="2012-05-02T00:00:00"/>
    <d v="2012-05-03T00:00:00"/>
    <n v="15000"/>
    <x v="0"/>
    <m/>
    <s v="N"/>
    <s v="NONE"/>
    <s v="GUILTY PLEA - NO JURY"/>
    <n v="2"/>
    <n v="4"/>
    <n v="6"/>
    <n v="6"/>
    <n v="4"/>
    <m/>
    <m/>
    <m/>
    <m/>
    <m/>
    <m/>
    <m/>
    <m/>
    <d v="1978-09-21T00:00:00"/>
    <s v="M"/>
    <s v="W"/>
    <s v="WHITE"/>
    <s v="NON-HISPANIC"/>
    <s v="177"/>
    <s v="CONVICTED"/>
    <n v="2"/>
    <s v="STJ"/>
    <m/>
    <n v="6"/>
    <m/>
    <s v="FAIL TO REGISTER AS SEX OFFEND"/>
    <m/>
    <s v="FS"/>
    <s v="OTHER FEL"/>
    <m/>
    <m/>
    <m/>
    <m/>
    <m/>
    <m/>
    <m/>
    <m/>
    <m/>
    <s v="Appointed Attorney"/>
    <m/>
    <m/>
    <n v="2"/>
    <n v="2"/>
    <n v="4"/>
    <n v="33.538251366120221"/>
    <n v="0"/>
    <n v="0"/>
    <s v="CONVICTION"/>
    <x v="0"/>
    <s v="N"/>
    <m/>
    <s v="CONVICTION"/>
    <s v="Y"/>
    <x v="0"/>
    <x v="0"/>
    <s v="Y"/>
    <n v="0.5"/>
    <n v="1"/>
    <n v="0.5"/>
    <n v="0"/>
    <n v="-2"/>
    <n v="0"/>
    <n v="2"/>
    <e v="#VALUE!"/>
    <n v="2"/>
    <n v="0"/>
    <n v="0"/>
    <m/>
    <s v="Y"/>
    <m/>
    <s v="0-10 DAYS"/>
    <n v="1"/>
    <x v="0"/>
  </r>
  <r>
    <n v="2086"/>
    <s v="N"/>
    <s v="N"/>
    <n v="1491213"/>
    <n v="1"/>
    <d v="2012-03-19T00:00:00"/>
    <d v="2012-07-26T00:00:00"/>
    <n v="1491213"/>
    <s v="NOT BOOKED"/>
    <s v="NOT BOOKED"/>
    <n v="2000"/>
    <x v="5"/>
    <d v="2012-03-21T00:00:00"/>
    <s v="Y"/>
    <s v="SURETY"/>
    <s v="DISMISSED"/>
    <n v="0"/>
    <n v="130"/>
    <n v="0"/>
    <n v="0"/>
    <m/>
    <m/>
    <m/>
    <m/>
    <m/>
    <m/>
    <m/>
    <m/>
    <m/>
    <d v="1973-06-14T00:00:00"/>
    <s v="F"/>
    <s v="B"/>
    <s v="BLACK"/>
    <s v="NULL"/>
    <s v="185"/>
    <s v="DISMISSED"/>
    <n v="7"/>
    <s v="DISMISSED"/>
    <m/>
    <m/>
    <m/>
    <s v="INSURANCE FRAUD $1500-20,000"/>
    <m/>
    <s v="FS"/>
    <s v="OTHER FEL"/>
    <m/>
    <m/>
    <m/>
    <m/>
    <m/>
    <m/>
    <m/>
    <m/>
    <m/>
    <s v="Hired Attorney"/>
    <m/>
    <m/>
    <n v="0"/>
    <n v="0"/>
    <n v="130"/>
    <n v="38.68306010928962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e v="#VALUE!"/>
    <m/>
    <s v="N"/>
    <m/>
    <s v="0-10 DAYS"/>
    <n v="1"/>
    <x v="1"/>
  </r>
  <r>
    <n v="171"/>
    <s v="N"/>
    <s v="N"/>
    <n v="1492866"/>
    <n v="1"/>
    <d v="2012-01-08T00:00:00"/>
    <d v="2012-04-03T00:00:00"/>
    <n v="1492866"/>
    <s v="NOT BOOKED"/>
    <s v="NOT BOOKED"/>
    <n v="5000"/>
    <x v="4"/>
    <d v="2012-01-09T00:00:00"/>
    <s v="Y"/>
    <s v="SURETYPTRc"/>
    <s v="DISMISSED"/>
    <n v="0"/>
    <n v="87"/>
    <n v="1"/>
    <n v="2"/>
    <m/>
    <m/>
    <m/>
    <m/>
    <m/>
    <m/>
    <m/>
    <s v="S"/>
    <m/>
    <d v="1977-08-16T00:00:00"/>
    <s v="M"/>
    <s v="H"/>
    <s v="HISPANIC"/>
    <s v="NULL"/>
    <s v="337"/>
    <s v="DISMISSED"/>
    <n v="4"/>
    <s v="DISMISS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87"/>
    <n v="34.325136612021858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98"/>
    <s v="N"/>
    <s v="N"/>
    <n v="1493137"/>
    <n v="5"/>
    <d v="2012-01-05T00:00:00"/>
    <d v="2013-01-11T00:00:00"/>
    <n v="1493137"/>
    <d v="2012-01-05T00:00:00"/>
    <d v="2012-01-11T00:00:00"/>
    <n v="10000"/>
    <x v="3"/>
    <d v="2012-01-11T00:00:00"/>
    <s v="Y"/>
    <s v="SURETY"/>
    <s v="GUILTY PLEA - NO JURY"/>
    <n v="7"/>
    <n v="373"/>
    <n v="1"/>
    <n v="1"/>
    <m/>
    <n v="1"/>
    <m/>
    <m/>
    <m/>
    <m/>
    <m/>
    <m/>
    <m/>
    <d v="1974-03-03T00:00:00"/>
    <s v="F"/>
    <s v="B"/>
    <s v="BLACK"/>
    <s v="NON-HISPANIC"/>
    <s v="178"/>
    <s v="CONVICTED"/>
    <n v="16"/>
    <s v="STJ"/>
    <m/>
    <n v="7"/>
    <m/>
    <s v="THEFT $1500-20K"/>
    <m/>
    <s v="FS"/>
    <s v="THEFT"/>
    <m/>
    <m/>
    <m/>
    <m/>
    <m/>
    <m/>
    <m/>
    <m/>
    <m/>
    <s v="Hired Attorney"/>
    <m/>
    <m/>
    <n v="7"/>
    <n v="373"/>
    <n v="373"/>
    <n v="37.765027322404372"/>
    <n v="0"/>
    <n v="-366"/>
    <s v="CONVICTION"/>
    <x v="1"/>
    <s v="Y"/>
    <m/>
    <s v="CONVICTION"/>
    <s v="Y"/>
    <x v="1"/>
    <x v="0"/>
    <s v="Y"/>
    <n v="1.876675603217158E-2"/>
    <n v="1.876675603217158E-2"/>
    <n v="0"/>
    <n v="0"/>
    <n v="-7"/>
    <n v="0"/>
    <n v="7"/>
    <e v="#VALUE!"/>
    <n v="7"/>
    <n v="0"/>
    <n v="366"/>
    <m/>
    <s v="Y"/>
    <m/>
    <s v="0-10 DAYS"/>
    <n v="1"/>
    <x v="0"/>
  </r>
  <r>
    <n v="2575"/>
    <s v="N"/>
    <s v="N"/>
    <n v="1494237"/>
    <n v="6"/>
    <d v="2012-04-05T00:00:00"/>
    <d v="2012-11-16T00:00:00"/>
    <n v="1494237"/>
    <s v="NOT BOOKED"/>
    <s v="NOT BOOKED"/>
    <n v="20000"/>
    <x v="0"/>
    <d v="2012-04-06T00:00:00"/>
    <s v="Y"/>
    <s v="SURETYPTRc"/>
    <s v="GUILTY PLEA - NO JURY"/>
    <n v="0"/>
    <n v="226"/>
    <n v="2"/>
    <n v="3"/>
    <n v="1"/>
    <m/>
    <m/>
    <m/>
    <m/>
    <m/>
    <m/>
    <s v="S"/>
    <m/>
    <d v="1977-02-28T00:00:00"/>
    <s v="M"/>
    <s v="H"/>
    <s v="HISPANIC"/>
    <s v="NULL"/>
    <s v="230"/>
    <s v="CONVICTED"/>
    <n v="12"/>
    <s v="TDC"/>
    <n v="2"/>
    <m/>
    <m/>
    <s v="POSS CS PG 1  1 - 4 GRAMS"/>
    <m/>
    <s v="F3"/>
    <s v="POSS DRUG"/>
    <m/>
    <m/>
    <m/>
    <m/>
    <m/>
    <m/>
    <m/>
    <m/>
    <m/>
    <s v="Hired Attorney"/>
    <m/>
    <m/>
    <n v="0"/>
    <n v="0"/>
    <n v="226"/>
    <n v="35.027322404371581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1267"/>
    <s v="N"/>
    <s v="N"/>
    <n v="1494564"/>
    <n v="6"/>
    <d v="2012-02-16T00:00:00"/>
    <d v="2013-02-12T00:00:00"/>
    <n v="1494564"/>
    <d v="2012-08-23T00:00:00"/>
    <d v="2013-02-12T00:00:00"/>
    <s v="NO BOND"/>
    <x v="1"/>
    <m/>
    <s v="N"/>
    <s v="NONE"/>
    <s v="GUILTY PLEA - NO JURY"/>
    <n v="174"/>
    <n v="363"/>
    <n v="2"/>
    <n v="1"/>
    <n v="2"/>
    <m/>
    <m/>
    <m/>
    <m/>
    <m/>
    <m/>
    <m/>
    <m/>
    <d v="1976-10-09T00:00:00"/>
    <s v="F"/>
    <s v="W"/>
    <s v="WHITE"/>
    <s v="NON-HISPANIC"/>
    <s v="337"/>
    <s v="CONVICTED"/>
    <n v="7"/>
    <s v="TDC"/>
    <n v="3"/>
    <m/>
    <m/>
    <s v="BURGLARY OF HABITATION"/>
    <m/>
    <s v="F2"/>
    <s v="BURGLARY"/>
    <m/>
    <m/>
    <m/>
    <m/>
    <m/>
    <m/>
    <m/>
    <m/>
    <m/>
    <s v="Hired Attorney"/>
    <m/>
    <m/>
    <n v="174"/>
    <n v="174"/>
    <n v="363"/>
    <n v="35.28142076502732"/>
    <n v="0"/>
    <n v="0"/>
    <s v="CONVICTION"/>
    <x v="0"/>
    <s v="N"/>
    <m/>
    <s v="CONVICTION"/>
    <s v="Y"/>
    <x v="0"/>
    <x v="0"/>
    <s v="Y"/>
    <n v="0.47933884297520662"/>
    <n v="1"/>
    <n v="0.52066115702479343"/>
    <n v="0"/>
    <n v="-174"/>
    <n v="0"/>
    <n v="174"/>
    <e v="#VALUE!"/>
    <n v="174"/>
    <n v="0"/>
    <n v="0"/>
    <m/>
    <s v="Y"/>
    <m/>
    <s v="121-365 DAYS"/>
    <n v="6"/>
    <x v="0"/>
  </r>
  <r>
    <n v="2489"/>
    <s v="N"/>
    <s v="N"/>
    <n v="1494571"/>
    <n v="5"/>
    <d v="2012-04-03T00:00:00"/>
    <d v="2012-05-02T00:00:00"/>
    <n v="1494571"/>
    <d v="2012-04-04T00:00:00"/>
    <d v="2012-05-02T00:00:00"/>
    <n v="15000"/>
    <x v="0"/>
    <m/>
    <s v="N"/>
    <s v="NONE"/>
    <s v="GUILTY PLEA - NO JURY"/>
    <n v="29"/>
    <n v="30"/>
    <n v="1"/>
    <n v="2"/>
    <n v="1"/>
    <m/>
    <m/>
    <m/>
    <m/>
    <m/>
    <m/>
    <m/>
    <m/>
    <d v="1973-09-17T00:00:00"/>
    <s v="F"/>
    <s v="W"/>
    <s v="WHITE"/>
    <s v="NON-HISPANIC"/>
    <s v="338"/>
    <s v="CONVICTED"/>
    <n v="2"/>
    <s v="STJ"/>
    <m/>
    <n v="7"/>
    <m/>
    <s v="THEFT UNDER $1500 - 3RD OFF."/>
    <m/>
    <s v="FS"/>
    <s v="THEFT"/>
    <m/>
    <m/>
    <m/>
    <m/>
    <m/>
    <m/>
    <m/>
    <m/>
    <m/>
    <s v="Appointed Attorney"/>
    <m/>
    <m/>
    <n v="29"/>
    <n v="29"/>
    <n v="30"/>
    <n v="38.464480874316941"/>
    <n v="0"/>
    <n v="0"/>
    <s v="CONVICTION"/>
    <x v="0"/>
    <s v="N"/>
    <m/>
    <s v="CONVICTION"/>
    <s v="Y"/>
    <x v="0"/>
    <x v="0"/>
    <s v="Y"/>
    <n v="0.96666666666666667"/>
    <n v="1"/>
    <n v="3.3333333333333326E-2"/>
    <n v="0"/>
    <n v="-29"/>
    <n v="0"/>
    <n v="29"/>
    <e v="#VALUE!"/>
    <n v="29"/>
    <n v="0"/>
    <n v="0"/>
    <m/>
    <s v="Y"/>
    <m/>
    <s v="11-30 DAYS"/>
    <n v="2"/>
    <x v="0"/>
  </r>
  <r>
    <n v="1854"/>
    <s v="N"/>
    <s v="N"/>
    <n v="1494654"/>
    <n v="6"/>
    <d v="2012-03-09T00:00:00"/>
    <d v="2012-03-12T00:00:00"/>
    <n v="1494654"/>
    <d v="2012-03-09T00:00:00"/>
    <d v="2012-03-12T00:00:00"/>
    <n v="15000"/>
    <x v="0"/>
    <m/>
    <s v="N"/>
    <s v="NONE"/>
    <s v="GUILTY PLEA - NO JURY"/>
    <n v="4"/>
    <n v="4"/>
    <n v="4"/>
    <n v="6"/>
    <n v="4"/>
    <m/>
    <m/>
    <m/>
    <m/>
    <m/>
    <m/>
    <m/>
    <m/>
    <d v="1978-01-07T00:00:00"/>
    <s v="M"/>
    <s v="H"/>
    <s v="HISPANIC"/>
    <s v="HISPANIC"/>
    <s v="262"/>
    <s v="CONVICTED"/>
    <n v="1"/>
    <s v="TDC"/>
    <n v="5"/>
    <m/>
    <m/>
    <s v="UNAUTH USE OF VEHICLE"/>
    <m/>
    <s v="FS"/>
    <s v="AUTO THEFT"/>
    <m/>
    <m/>
    <m/>
    <m/>
    <m/>
    <m/>
    <m/>
    <m/>
    <m/>
    <s v="Appointed Attorney"/>
    <m/>
    <m/>
    <n v="4"/>
    <n v="4"/>
    <n v="4"/>
    <n v="34.098360655737707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533"/>
    <s v="N"/>
    <s v="N"/>
    <n v="1495859"/>
    <n v="6"/>
    <d v="2012-01-22T00:00:00"/>
    <d v="2012-07-24T00:00:00"/>
    <n v="1495859"/>
    <d v="2012-01-31T00:00:00"/>
    <d v="2012-07-24T00:00:00"/>
    <s v="NO BOND"/>
    <x v="1"/>
    <m/>
    <s v="N"/>
    <s v="NONE"/>
    <s v="GUILTY PLEA - NO JURY"/>
    <n v="176"/>
    <n v="185"/>
    <n v="6"/>
    <n v="0"/>
    <n v="3"/>
    <m/>
    <m/>
    <m/>
    <m/>
    <m/>
    <m/>
    <m/>
    <m/>
    <d v="1978-09-30T00:00:00"/>
    <s v="M"/>
    <s v="B"/>
    <s v="BLACK"/>
    <s v="NULL"/>
    <s v="337"/>
    <s v="CONVICTED"/>
    <n v="8"/>
    <s v="TDC"/>
    <n v="15"/>
    <m/>
    <m/>
    <s v="ASSAULT-BOD INJ-PUB SERV/RETAL"/>
    <m/>
    <s v="F3"/>
    <s v="ASLT-MURDR"/>
    <m/>
    <m/>
    <m/>
    <m/>
    <m/>
    <m/>
    <m/>
    <m/>
    <m/>
    <s v="Public Defender"/>
    <m/>
    <m/>
    <n v="176"/>
    <n v="176"/>
    <n v="185"/>
    <n v="33.243169398907106"/>
    <n v="0"/>
    <n v="0"/>
    <s v="CONVICTION"/>
    <x v="0"/>
    <s v="N"/>
    <m/>
    <s v="CONVICTION"/>
    <s v="Y"/>
    <x v="0"/>
    <x v="0"/>
    <s v="Y"/>
    <n v="0.9513513513513514"/>
    <n v="1"/>
    <n v="4.8648648648648596E-2"/>
    <n v="0"/>
    <n v="-176"/>
    <n v="0"/>
    <n v="176"/>
    <e v="#VALUE!"/>
    <n v="176"/>
    <n v="0"/>
    <n v="0"/>
    <m/>
    <s v="Y"/>
    <m/>
    <s v="121-365 DAYS"/>
    <n v="6"/>
    <x v="0"/>
  </r>
  <r>
    <n v="2233"/>
    <s v="N"/>
    <s v="N"/>
    <n v="1496351"/>
    <n v="6"/>
    <d v="2012-03-25T00:00:00"/>
    <d v="2012-09-26T00:00:00"/>
    <n v="1496351"/>
    <d v="2012-03-25T00:00:00"/>
    <d v="2012-03-27T00:00:00"/>
    <n v="20000"/>
    <x v="0"/>
    <d v="2012-03-27T00:00:00"/>
    <s v="Y"/>
    <s v="SURETYPTRc"/>
    <s v="GUILTY PLEA - NO JURY"/>
    <n v="3"/>
    <n v="186"/>
    <n v="1"/>
    <n v="2"/>
    <m/>
    <n v="1"/>
    <m/>
    <m/>
    <m/>
    <m/>
    <m/>
    <s v="S"/>
    <m/>
    <d v="1956-08-31T00:00:00"/>
    <s v="M"/>
    <s v="H"/>
    <s v="HISPANIC"/>
    <s v="NULL"/>
    <s v="263"/>
    <s v="CONVICTED"/>
    <n v="9"/>
    <s v="TDC"/>
    <n v="2"/>
    <m/>
    <m/>
    <s v="DWI 3RD OFFENDER BAC .08"/>
    <m/>
    <s v="F3"/>
    <s v="FEL DWI"/>
    <m/>
    <m/>
    <m/>
    <m/>
    <m/>
    <m/>
    <m/>
    <m/>
    <m/>
    <s v="Hired Attorney"/>
    <m/>
    <m/>
    <n v="3"/>
    <n v="186"/>
    <n v="186"/>
    <n v="55.450819672131146"/>
    <n v="0"/>
    <n v="-183"/>
    <s v="CONVICTION"/>
    <x v="1"/>
    <s v="Y"/>
    <m/>
    <s v="CONVICTION"/>
    <s v="Y"/>
    <x v="1"/>
    <x v="0"/>
    <s v="Y"/>
    <n v="1.6129032258064516E-2"/>
    <n v="1.6129032258064516E-2"/>
    <n v="0"/>
    <n v="0"/>
    <n v="-3"/>
    <n v="0"/>
    <n v="3"/>
    <e v="#VALUE!"/>
    <n v="3"/>
    <n v="0"/>
    <n v="183"/>
    <m/>
    <s v="Y"/>
    <m/>
    <s v="0-10 DAYS"/>
    <n v="1"/>
    <x v="0"/>
  </r>
  <r>
    <n v="1170"/>
    <s v="N"/>
    <s v="N"/>
    <n v="1496415"/>
    <n v="6"/>
    <d v="2012-02-12T00:00:00"/>
    <d v="2012-02-13T00:00:00"/>
    <n v="1496415"/>
    <d v="2012-02-12T00:00:00"/>
    <d v="2012-02-13T00:00:00"/>
    <n v="20000"/>
    <x v="0"/>
    <m/>
    <s v="N"/>
    <s v="NONE"/>
    <s v="GUILTY PLEA - NO JURY"/>
    <n v="2"/>
    <n v="2"/>
    <n v="5"/>
    <n v="5"/>
    <n v="4"/>
    <m/>
    <m/>
    <m/>
    <m/>
    <m/>
    <m/>
    <m/>
    <m/>
    <d v="1978-09-28T00:00:00"/>
    <s v="M"/>
    <s v="B"/>
    <s v="BLACK"/>
    <s v="NULL"/>
    <s v="262"/>
    <s v="CONVICTED"/>
    <n v="1"/>
    <s v="TDC"/>
    <n v="3"/>
    <m/>
    <m/>
    <s v="POSS CS PG 1  1 - 4 GRAMS"/>
    <m/>
    <s v="F3"/>
    <s v="POSS DRUG"/>
    <m/>
    <m/>
    <m/>
    <m/>
    <m/>
    <m/>
    <m/>
    <m/>
    <m/>
    <s v="Appointed Attorney"/>
    <m/>
    <m/>
    <n v="2"/>
    <n v="2"/>
    <n v="2"/>
    <n v="33.306010928961747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1774"/>
    <s v="N"/>
    <s v="N"/>
    <n v="1496803"/>
    <n v="5"/>
    <d v="2012-03-07T00:00:00"/>
    <d v="2012-06-01T00:00:00"/>
    <n v="1496803"/>
    <d v="2012-03-08T00:00:00"/>
    <d v="2012-06-01T00:00:00"/>
    <n v="2000"/>
    <x v="5"/>
    <m/>
    <s v="N"/>
    <s v="NONE"/>
    <s v="GUILTY PLEA - NO JURY"/>
    <n v="86"/>
    <n v="87"/>
    <n v="1"/>
    <n v="5"/>
    <n v="1"/>
    <m/>
    <m/>
    <m/>
    <m/>
    <m/>
    <m/>
    <m/>
    <m/>
    <d v="1960-08-20T00:00:00"/>
    <s v="M"/>
    <s v="B"/>
    <s v="BLACK"/>
    <s v="NON-HISPANIC"/>
    <s v="174"/>
    <s v="CONVICTED"/>
    <n v="5"/>
    <s v="STJ"/>
    <m/>
    <n v="6"/>
    <m/>
    <s v="POSS CS PG 1 &lt;1G"/>
    <m/>
    <s v="FS"/>
    <s v="POSS DRUG"/>
    <m/>
    <m/>
    <m/>
    <m/>
    <m/>
    <m/>
    <m/>
    <m/>
    <m/>
    <s v="Appointed Attorney"/>
    <m/>
    <m/>
    <n v="86"/>
    <n v="86"/>
    <n v="87"/>
    <n v="51.439890710382514"/>
    <n v="0"/>
    <n v="0"/>
    <s v="CONVICTION"/>
    <x v="0"/>
    <s v="N"/>
    <m/>
    <s v="CONVICTION"/>
    <s v="Y"/>
    <x v="0"/>
    <x v="0"/>
    <s v="Y"/>
    <n v="0.9885057471264368"/>
    <n v="1"/>
    <n v="1.1494252873563204E-2"/>
    <n v="0"/>
    <n v="-86"/>
    <n v="0"/>
    <n v="86"/>
    <e v="#VALUE!"/>
    <n v="86"/>
    <n v="0"/>
    <n v="0"/>
    <m/>
    <s v="Y"/>
    <m/>
    <s v="61-90 DAYS"/>
    <n v="4"/>
    <x v="0"/>
  </r>
  <r>
    <n v="1834"/>
    <s v="N"/>
    <s v="N"/>
    <n v="1497108"/>
    <n v="5"/>
    <d v="2012-03-08T00:00:00"/>
    <d v="2012-03-12T00:00:00"/>
    <n v="1497108"/>
    <d v="2012-03-09T00:00:00"/>
    <d v="2012-03-12T00:00:00"/>
    <n v="15000"/>
    <x v="0"/>
    <m/>
    <s v="N"/>
    <s v="NONE"/>
    <s v="GUILTY PLEA - NO JURY"/>
    <n v="4"/>
    <n v="5"/>
    <n v="10"/>
    <n v="4"/>
    <n v="7"/>
    <m/>
    <m/>
    <m/>
    <m/>
    <m/>
    <m/>
    <m/>
    <m/>
    <d v="1975-10-02T00:00:00"/>
    <s v="M"/>
    <s v="B"/>
    <s v="BLACK"/>
    <s v="NON-HISPANIC"/>
    <s v="230"/>
    <s v="CONVICTED"/>
    <n v="1"/>
    <s v="STJ"/>
    <m/>
    <n v="9"/>
    <m/>
    <s v="MAN/DEL CS PG I &lt;1GRAM"/>
    <m/>
    <s v="FS"/>
    <s v="SALE DRUG"/>
    <m/>
    <m/>
    <m/>
    <m/>
    <m/>
    <m/>
    <m/>
    <m/>
    <m/>
    <s v="Appointed Attorney"/>
    <m/>
    <m/>
    <n v="4"/>
    <n v="4"/>
    <n v="5"/>
    <n v="36.357923497267763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1306"/>
    <s v="N"/>
    <s v="N"/>
    <n v="1497556"/>
    <n v="3"/>
    <d v="2012-02-17T00:00:00"/>
    <d v="2012-09-13T00:00:00"/>
    <n v="1497556"/>
    <d v="2012-02-17T00:00:00"/>
    <d v="2012-02-21T00:00:00"/>
    <n v="5000"/>
    <x v="4"/>
    <d v="2012-02-21T00:00:00"/>
    <s v="Y"/>
    <s v="SURETYPTRc"/>
    <s v="GUILTY PLEA - NO JURY"/>
    <n v="5"/>
    <n v="210"/>
    <n v="0"/>
    <n v="3"/>
    <m/>
    <m/>
    <m/>
    <m/>
    <m/>
    <m/>
    <m/>
    <m/>
    <m/>
    <d v="1953-02-16T00:00:00"/>
    <s v="M"/>
    <s v="H"/>
    <s v="HISPANIC"/>
    <s v="HISPANIC"/>
    <s v="182"/>
    <s v="CONVICTED"/>
    <n v="7"/>
    <s v="PROBATION"/>
    <m/>
    <m/>
    <m/>
    <s v="DWI 3RD OFFENDER BAC .08"/>
    <m/>
    <s v="F3"/>
    <s v="FEL DWI"/>
    <m/>
    <m/>
    <m/>
    <m/>
    <m/>
    <m/>
    <m/>
    <m/>
    <m/>
    <s v="Hired Attorney"/>
    <m/>
    <m/>
    <n v="5"/>
    <n v="210"/>
    <n v="210"/>
    <n v="58.879781420765028"/>
    <n v="0"/>
    <n v="-205"/>
    <s v="CONVICTION"/>
    <x v="1"/>
    <s v="Y"/>
    <m/>
    <s v="CONVICTION"/>
    <s v="Y"/>
    <x v="1"/>
    <x v="0"/>
    <s v="N"/>
    <n v="2.3809523809523808E-2"/>
    <n v="2.3809523809523808E-2"/>
    <n v="0"/>
    <n v="0"/>
    <n v="-5"/>
    <n v="0"/>
    <n v="5"/>
    <e v="#VALUE!"/>
    <n v="5"/>
    <n v="0"/>
    <n v="205"/>
    <m/>
    <s v="Y"/>
    <m/>
    <s v="0-10 DAYS"/>
    <n v="1"/>
    <x v="0"/>
  </r>
  <r>
    <n v="1008"/>
    <s v="N"/>
    <s v="N"/>
    <n v="1499237"/>
    <n v="5"/>
    <d v="2012-02-07T00:00:00"/>
    <d v="2012-03-22T00:00:00"/>
    <n v="1499237"/>
    <d v="2012-02-07T00:00:00"/>
    <d v="2012-03-22T00:00:00"/>
    <s v="NO BOND"/>
    <x v="1"/>
    <m/>
    <s v="N"/>
    <s v="NONE"/>
    <s v="GUILTY PLEA - NO JURY"/>
    <n v="45"/>
    <n v="45"/>
    <n v="3"/>
    <n v="2"/>
    <n v="2"/>
    <n v="1"/>
    <m/>
    <m/>
    <m/>
    <m/>
    <m/>
    <m/>
    <m/>
    <d v="1971-07-31T00:00:00"/>
    <s v="M"/>
    <s v="H"/>
    <s v="HISPANIC"/>
    <s v="HISPANIC"/>
    <s v="339"/>
    <s v="CONVICTED"/>
    <n v="3"/>
    <s v="STJ"/>
    <m/>
    <n v="7"/>
    <m/>
    <s v="THEFT $1500-20K"/>
    <m/>
    <s v="FS"/>
    <s v="THEFT"/>
    <m/>
    <m/>
    <m/>
    <m/>
    <m/>
    <m/>
    <m/>
    <m/>
    <m/>
    <s v="Appointed Attorney"/>
    <m/>
    <m/>
    <n v="45"/>
    <n v="45"/>
    <n v="45"/>
    <n v="40.439890710382514"/>
    <n v="0"/>
    <n v="0"/>
    <s v="CONVICTION"/>
    <x v="0"/>
    <s v="N"/>
    <m/>
    <s v="CONVICTION"/>
    <s v="Y"/>
    <x v="0"/>
    <x v="0"/>
    <s v="Y"/>
    <n v="1"/>
    <n v="1"/>
    <n v="0"/>
    <n v="0"/>
    <n v="-45"/>
    <n v="0"/>
    <n v="45"/>
    <e v="#VALUE!"/>
    <n v="45"/>
    <n v="0"/>
    <n v="0"/>
    <m/>
    <s v="Y"/>
    <m/>
    <s v="31-60 DAYS"/>
    <n v="3"/>
    <x v="0"/>
  </r>
  <r>
    <n v="2088"/>
    <s v="N"/>
    <s v="N"/>
    <n v="1500271"/>
    <n v="1"/>
    <d v="2012-03-19T00:00:00"/>
    <d v="2012-08-01T00:00:00"/>
    <n v="1500271"/>
    <d v="2012-03-20T00:00:00"/>
    <d v="2012-03-22T00:00:00"/>
    <n v="10000"/>
    <x v="3"/>
    <d v="2012-03-22T00:00:00"/>
    <s v="Y"/>
    <s v="SURETY"/>
    <s v="DISMISSED"/>
    <n v="3"/>
    <n v="136"/>
    <n v="1"/>
    <n v="10"/>
    <m/>
    <m/>
    <m/>
    <m/>
    <m/>
    <m/>
    <m/>
    <m/>
    <m/>
    <d v="1972-06-22T00:00:00"/>
    <s v="M"/>
    <s v="B"/>
    <s v="BLACK"/>
    <s v="NON-HISPANIC"/>
    <s v="262"/>
    <s v="DISMISSED"/>
    <n v="7"/>
    <s v="DISMISSED"/>
    <m/>
    <m/>
    <m/>
    <s v="ASSAULT-BOD INJ-FAMILY MEMBER"/>
    <m/>
    <s v="F3"/>
    <s v="ASLT-MURDR"/>
    <m/>
    <m/>
    <m/>
    <m/>
    <m/>
    <m/>
    <m/>
    <m/>
    <m/>
    <s v="Appointed Attorney"/>
    <m/>
    <m/>
    <n v="3"/>
    <n v="135"/>
    <n v="136"/>
    <n v="39.658469945355193"/>
    <n v="0"/>
    <n v="-132"/>
    <s v="NO CONVICTION"/>
    <x v="1"/>
    <s v="Y"/>
    <m/>
    <s v="NO CONVICTION"/>
    <s v="Y"/>
    <x v="1"/>
    <x v="0"/>
    <s v="Y"/>
    <n v="2.2058823529411766E-2"/>
    <n v="2.2222222222222223E-2"/>
    <n v="1.6339869281045694E-4"/>
    <n v="0"/>
    <n v="-3"/>
    <n v="0"/>
    <n v="3"/>
    <e v="#VALUE!"/>
    <n v="3"/>
    <n v="0"/>
    <n v="132"/>
    <m/>
    <s v="Y"/>
    <m/>
    <s v="0-10 DAYS"/>
    <n v="1"/>
    <x v="0"/>
  </r>
  <r>
    <n v="1949"/>
    <s v="N"/>
    <s v="N"/>
    <n v="1500781"/>
    <n v="6"/>
    <d v="2012-03-14T00:00:00"/>
    <d v="2012-05-01T00:00:00"/>
    <n v="1500781"/>
    <d v="2012-03-14T00:00:00"/>
    <d v="2012-05-01T00:00:00"/>
    <n v="20000"/>
    <x v="0"/>
    <m/>
    <s v="N"/>
    <s v="NONE"/>
    <s v="GUILTY PLEA - NO JURY"/>
    <n v="49"/>
    <n v="49"/>
    <n v="6"/>
    <n v="9"/>
    <n v="2"/>
    <m/>
    <m/>
    <m/>
    <m/>
    <m/>
    <m/>
    <m/>
    <m/>
    <d v="1978-10-13T00:00:00"/>
    <s v="M"/>
    <s v="W"/>
    <s v="WHITE"/>
    <s v="NON-HISPANIC"/>
    <s v="176"/>
    <s v="CONVICTED"/>
    <n v="3"/>
    <s v="TDC"/>
    <n v="2"/>
    <m/>
    <m/>
    <s v="POSS CS PG 1  1 - 4 GRAMS"/>
    <m/>
    <s v="F3"/>
    <s v="POSS DRUG"/>
    <m/>
    <m/>
    <m/>
    <m/>
    <m/>
    <m/>
    <m/>
    <m/>
    <m/>
    <s v="Appointed Attorney"/>
    <m/>
    <m/>
    <n v="49"/>
    <n v="49"/>
    <n v="49"/>
    <n v="33.349726775956285"/>
    <n v="0"/>
    <n v="0"/>
    <s v="CONVICTION"/>
    <x v="0"/>
    <s v="N"/>
    <m/>
    <s v="CONVICTION"/>
    <s v="Y"/>
    <x v="0"/>
    <x v="0"/>
    <s v="Y"/>
    <n v="1"/>
    <n v="1"/>
    <n v="0"/>
    <n v="0"/>
    <n v="-49"/>
    <n v="0"/>
    <n v="49"/>
    <e v="#VALUE!"/>
    <n v="49"/>
    <n v="0"/>
    <n v="0"/>
    <m/>
    <s v="Y"/>
    <m/>
    <s v="31-60 DAYS"/>
    <n v="3"/>
    <x v="0"/>
  </r>
  <r>
    <n v="261"/>
    <s v="N"/>
    <s v="N"/>
    <n v="1500847"/>
    <n v="6"/>
    <d v="2012-01-11T00:00:00"/>
    <d v="2012-01-13T00:00:00"/>
    <n v="1500847"/>
    <d v="2012-01-12T00:00:00"/>
    <d v="2012-01-13T00:00:00"/>
    <n v="15000"/>
    <x v="0"/>
    <m/>
    <s v="N"/>
    <s v="NONE"/>
    <s v="GUILTY PLEA - NO JURY"/>
    <n v="2"/>
    <n v="3"/>
    <n v="3"/>
    <n v="0"/>
    <n v="3"/>
    <m/>
    <m/>
    <m/>
    <m/>
    <m/>
    <m/>
    <m/>
    <m/>
    <d v="1977-04-06T00:00:00"/>
    <s v="M"/>
    <s v="B"/>
    <s v="BLACK"/>
    <s v="NON-HISPANIC"/>
    <s v="232"/>
    <s v="CONVICTED"/>
    <n v="1"/>
    <s v="TDC"/>
    <n v="5"/>
    <m/>
    <m/>
    <s v="POSS W/INT DEL CS PG1&gt;=4 &lt;200"/>
    <m/>
    <s v="F1"/>
    <s v="SALE DRUG"/>
    <m/>
    <m/>
    <m/>
    <m/>
    <m/>
    <m/>
    <m/>
    <m/>
    <m/>
    <s v="Public Defender"/>
    <m/>
    <m/>
    <n v="2"/>
    <n v="2"/>
    <n v="3"/>
    <n v="34.693989071038253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1642"/>
    <s v="N"/>
    <s v="N"/>
    <n v="1501824"/>
    <n v="1"/>
    <d v="2012-03-01T00:00:00"/>
    <d v="2012-04-20T00:00:00"/>
    <n v="1501824"/>
    <d v="2012-03-02T00:00:00"/>
    <d v="2012-03-03T00:00:00"/>
    <n v="10000"/>
    <x v="3"/>
    <d v="2012-03-03T00:00:00"/>
    <s v="Y"/>
    <s v="SURETYPTRc"/>
    <s v="DISMISSED"/>
    <n v="2"/>
    <n v="51"/>
    <n v="1"/>
    <n v="2"/>
    <m/>
    <m/>
    <m/>
    <m/>
    <m/>
    <m/>
    <m/>
    <m/>
    <m/>
    <d v="1973-12-04T00:00:00"/>
    <s v="M"/>
    <s v="H"/>
    <s v="HISPANIC"/>
    <s v="HISPANIC"/>
    <s v="185"/>
    <s v="DISMISSED"/>
    <n v="5"/>
    <s v="DISMISSED"/>
    <m/>
    <m/>
    <m/>
    <s v="DWI 3RD OFFENDER BAC .08"/>
    <m/>
    <s v="F3"/>
    <s v="FEL DWI"/>
    <s v="9/13/12 misd DWI prob"/>
    <m/>
    <m/>
    <m/>
    <m/>
    <m/>
    <m/>
    <m/>
    <m/>
    <s v="Hired Attorney"/>
    <m/>
    <m/>
    <n v="2"/>
    <n v="50"/>
    <n v="51"/>
    <n v="38.161202185792348"/>
    <n v="0"/>
    <n v="-48"/>
    <s v="NO CONVICTION"/>
    <x v="1"/>
    <s v="Y"/>
    <m/>
    <s v="NO CONVICTION"/>
    <s v="Y"/>
    <x v="1"/>
    <x v="0"/>
    <s v="Y"/>
    <n v="3.9215686274509803E-2"/>
    <n v="0.04"/>
    <n v="7.8431372549019746E-4"/>
    <n v="0"/>
    <n v="-2"/>
    <n v="0"/>
    <n v="2"/>
    <e v="#VALUE!"/>
    <n v="2"/>
    <n v="0"/>
    <n v="48"/>
    <m/>
    <s v="Y"/>
    <m/>
    <s v="0-10 DAYS"/>
    <n v="1"/>
    <x v="0"/>
  </r>
  <r>
    <n v="989"/>
    <s v="N"/>
    <s v="N"/>
    <n v="1502804"/>
    <n v="6"/>
    <d v="2012-02-06T00:00:00"/>
    <d v="2012-02-15T00:00:00"/>
    <n v="1502804"/>
    <d v="2012-02-07T00:00:00"/>
    <d v="2012-02-15T00:00:00"/>
    <s v="NO BOND"/>
    <x v="1"/>
    <m/>
    <s v="N"/>
    <s v="NONE"/>
    <s v="GUILTY PLEA - NO JURY"/>
    <n v="9"/>
    <n v="10"/>
    <n v="2"/>
    <n v="5"/>
    <n v="2"/>
    <m/>
    <m/>
    <m/>
    <m/>
    <m/>
    <m/>
    <m/>
    <m/>
    <d v="1977-12-26T00:00:00"/>
    <s v="M"/>
    <s v="W"/>
    <s v="WHITE"/>
    <s v="NON-HISPANIC"/>
    <s v="339"/>
    <s v="CONVICTED"/>
    <n v="2"/>
    <s v="TDC"/>
    <n v="8"/>
    <m/>
    <m/>
    <s v="POSS CS PG 3 200-400 GRAMS"/>
    <m/>
    <s v="F2"/>
    <s v="POSS DRUG"/>
    <m/>
    <m/>
    <m/>
    <m/>
    <m/>
    <m/>
    <m/>
    <m/>
    <m/>
    <s v="Appointed Attorney"/>
    <m/>
    <m/>
    <n v="9"/>
    <n v="9"/>
    <n v="10"/>
    <n v="34.043715846994537"/>
    <n v="0"/>
    <n v="0"/>
    <s v="CONVICTION"/>
    <x v="0"/>
    <s v="N"/>
    <m/>
    <s v="CONVICTION"/>
    <s v="Y"/>
    <x v="0"/>
    <x v="0"/>
    <s v="Y"/>
    <n v="0.9"/>
    <n v="1"/>
    <n v="9.9999999999999978E-2"/>
    <n v="0"/>
    <n v="-9"/>
    <n v="0"/>
    <n v="9"/>
    <e v="#VALUE!"/>
    <n v="9"/>
    <n v="0"/>
    <n v="0"/>
    <m/>
    <s v="Y"/>
    <m/>
    <s v="0-10 DAYS"/>
    <n v="1"/>
    <x v="0"/>
  </r>
  <r>
    <n v="606"/>
    <s v="N"/>
    <s v="N"/>
    <n v="1503925"/>
    <n v="5"/>
    <d v="2012-01-24T00:00:00"/>
    <d v="2012-01-31T00:00:00"/>
    <n v="1503925"/>
    <d v="2012-01-25T00:00:00"/>
    <d v="2012-01-31T00:00:00"/>
    <n v="10000"/>
    <x v="3"/>
    <m/>
    <s v="N"/>
    <s v="NONE"/>
    <s v="GUILTY PLEA - NO JURY"/>
    <n v="7"/>
    <n v="8"/>
    <n v="4"/>
    <n v="0"/>
    <n v="2"/>
    <m/>
    <m/>
    <m/>
    <m/>
    <m/>
    <m/>
    <m/>
    <m/>
    <d v="1978-09-23T00:00:00"/>
    <s v="M"/>
    <s v="B"/>
    <s v="BLACK"/>
    <s v="NULL"/>
    <s v="174"/>
    <s v="CONVICTED"/>
    <n v="3"/>
    <s v="STJ"/>
    <m/>
    <n v="7"/>
    <m/>
    <s v="POSS CS PG 1 &lt;1G"/>
    <m/>
    <s v="FS"/>
    <s v="POSS DRUG"/>
    <m/>
    <m/>
    <m/>
    <m/>
    <m/>
    <m/>
    <m/>
    <m/>
    <m/>
    <s v="Appointed Attorney"/>
    <m/>
    <m/>
    <n v="7"/>
    <n v="7"/>
    <n v="8"/>
    <n v="33.267759562841533"/>
    <n v="0"/>
    <n v="0"/>
    <s v="CONVICTION"/>
    <x v="0"/>
    <s v="N"/>
    <m/>
    <s v="CONVICTION"/>
    <s v="Y"/>
    <x v="0"/>
    <x v="0"/>
    <s v="Y"/>
    <n v="0.875"/>
    <n v="1"/>
    <n v="0.125"/>
    <n v="0"/>
    <n v="-7"/>
    <n v="0"/>
    <n v="7"/>
    <e v="#VALUE!"/>
    <n v="7"/>
    <n v="0"/>
    <n v="0"/>
    <m/>
    <s v="Y"/>
    <m/>
    <s v="0-10 DAYS"/>
    <n v="1"/>
    <x v="0"/>
  </r>
  <r>
    <n v="1286"/>
    <s v="N"/>
    <s v="N"/>
    <n v="1503995"/>
    <n v="6"/>
    <d v="2012-02-17T00:00:00"/>
    <d v="2012-02-20T00:00:00"/>
    <n v="1503995"/>
    <d v="2012-02-17T00:00:00"/>
    <d v="2012-02-20T00:00:00"/>
    <n v="10000"/>
    <x v="3"/>
    <m/>
    <s v="N"/>
    <s v="NONE"/>
    <s v="GUILTY PLEA - NO JURY"/>
    <n v="4"/>
    <n v="4"/>
    <n v="3"/>
    <n v="2"/>
    <n v="1"/>
    <m/>
    <m/>
    <m/>
    <m/>
    <m/>
    <m/>
    <m/>
    <m/>
    <d v="1978-09-01T00:00:00"/>
    <s v="M"/>
    <s v="W"/>
    <s v="WHITE"/>
    <s v="NULL"/>
    <s v="184"/>
    <s v="CONVICTED"/>
    <n v="1"/>
    <s v="TDC"/>
    <n v="2"/>
    <m/>
    <m/>
    <s v="POSS CS PG 1  1 - 4 GRAMS"/>
    <m/>
    <s v="F3"/>
    <s v="POSS DRUG"/>
    <m/>
    <m/>
    <m/>
    <m/>
    <m/>
    <m/>
    <m/>
    <m/>
    <m/>
    <s v="Appointed Attorney"/>
    <m/>
    <m/>
    <n v="4"/>
    <n v="4"/>
    <n v="4"/>
    <n v="33.393442622950822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3249"/>
    <s v="N"/>
    <s v="N"/>
    <n v="1505924"/>
    <n v="6"/>
    <d v="2012-04-30T00:00:00"/>
    <d v="2012-05-01T00:00:00"/>
    <n v="1505924"/>
    <d v="2012-04-30T00:00:00"/>
    <d v="2012-05-01T00:00:00"/>
    <n v="15000"/>
    <x v="0"/>
    <m/>
    <s v="N"/>
    <s v="NONE"/>
    <s v="GUILTY PLEA - NO JURY"/>
    <n v="2"/>
    <n v="2"/>
    <n v="8"/>
    <n v="2"/>
    <n v="6"/>
    <m/>
    <m/>
    <m/>
    <m/>
    <m/>
    <m/>
    <m/>
    <m/>
    <d v="1978-05-15T00:00:00"/>
    <s v="M"/>
    <s v="B"/>
    <s v="BLACK"/>
    <s v="NULL"/>
    <s v="176"/>
    <s v="CONVICTED"/>
    <n v="1"/>
    <s v="TDC"/>
    <n v="5"/>
    <m/>
    <m/>
    <s v="POSS CS PG 1 &lt;1G"/>
    <m/>
    <s v="FS"/>
    <s v="POSS DRUG"/>
    <m/>
    <m/>
    <m/>
    <m/>
    <m/>
    <m/>
    <m/>
    <m/>
    <m/>
    <s v="Appointed Attorney"/>
    <m/>
    <m/>
    <n v="2"/>
    <n v="2"/>
    <n v="2"/>
    <n v="33.89071038251366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280"/>
    <s v="N"/>
    <s v="N"/>
    <n v="1506458"/>
    <n v="4"/>
    <d v="2012-01-12T00:00:00"/>
    <d v="2012-01-13T00:00:00"/>
    <n v="1506458"/>
    <d v="2012-01-12T00:00:00"/>
    <d v="2012-01-13T00:00:00"/>
    <n v="15000"/>
    <x v="0"/>
    <m/>
    <s v="N"/>
    <s v="NONE"/>
    <s v="GUILTY PLEA - NO JURY"/>
    <n v="2"/>
    <n v="2"/>
    <n v="1"/>
    <n v="0"/>
    <m/>
    <m/>
    <m/>
    <m/>
    <m/>
    <m/>
    <m/>
    <m/>
    <m/>
    <d v="1966-02-17T00:00:00"/>
    <s v="M"/>
    <s v="B"/>
    <s v="BLACK"/>
    <s v="NULL"/>
    <s v="228"/>
    <s v="CONVICTED"/>
    <n v="1"/>
    <s v="HCJ"/>
    <m/>
    <m/>
    <n v="120"/>
    <s v="POSS CS PG 1 &lt;1G"/>
    <m/>
    <s v="FS"/>
    <s v="POSS DRUG"/>
    <m/>
    <m/>
    <m/>
    <m/>
    <m/>
    <m/>
    <m/>
    <m/>
    <m/>
    <s v="Appointed Attorney"/>
    <m/>
    <m/>
    <n v="2"/>
    <n v="2"/>
    <n v="2"/>
    <n v="45.806010928961747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826"/>
    <s v="N"/>
    <s v="N"/>
    <n v="1507161"/>
    <n v="6"/>
    <d v="2012-02-01T00:00:00"/>
    <d v="2012-04-12T00:00:00"/>
    <n v="1507161"/>
    <d v="2012-02-01T00:00:00"/>
    <d v="2012-04-12T00:00:00"/>
    <s v="NO BOND"/>
    <x v="1"/>
    <m/>
    <s v="N"/>
    <s v="NONE"/>
    <s v="GUILTY PLEA - NO JURY"/>
    <n v="72"/>
    <n v="72"/>
    <n v="1"/>
    <n v="1"/>
    <m/>
    <n v="1"/>
    <m/>
    <m/>
    <m/>
    <m/>
    <m/>
    <m/>
    <m/>
    <d v="1977-11-27T00:00:00"/>
    <s v="M"/>
    <s v="H"/>
    <s v="HISPANIC"/>
    <s v="HISPANIC"/>
    <s v="228"/>
    <s v="CONVICTED"/>
    <n v="4"/>
    <s v="TDC"/>
    <n v="2"/>
    <m/>
    <m/>
    <s v="MAN/DEL CS PG III/IV 28-200 GR"/>
    <m/>
    <s v="F2"/>
    <s v="SALE DRUG"/>
    <m/>
    <m/>
    <m/>
    <m/>
    <m/>
    <m/>
    <m/>
    <m/>
    <m/>
    <s v="Hired Attorney"/>
    <m/>
    <m/>
    <n v="72"/>
    <n v="72"/>
    <n v="72"/>
    <n v="34.10928961748634"/>
    <n v="0"/>
    <n v="0"/>
    <s v="CONVICTION"/>
    <x v="0"/>
    <s v="N"/>
    <m/>
    <s v="CONVICTION"/>
    <s v="Y"/>
    <x v="0"/>
    <x v="0"/>
    <s v="Y"/>
    <n v="1"/>
    <n v="1"/>
    <n v="0"/>
    <n v="0"/>
    <n v="-72"/>
    <n v="0"/>
    <n v="72"/>
    <e v="#VALUE!"/>
    <n v="72"/>
    <n v="0"/>
    <n v="0"/>
    <m/>
    <s v="Y"/>
    <m/>
    <s v="61-90 DAYS"/>
    <n v="4"/>
    <x v="0"/>
  </r>
  <r>
    <n v="1758"/>
    <s v="N"/>
    <s v="N"/>
    <n v="1507191"/>
    <n v="6"/>
    <d v="2012-03-06T00:00:00"/>
    <d v="2013-05-01T00:00:00"/>
    <n v="1507191"/>
    <d v="2012-03-07T00:00:00"/>
    <d v="2012-03-18T00:00:00"/>
    <n v="80000"/>
    <x v="2"/>
    <d v="2012-03-18T00:00:00"/>
    <s v="Y"/>
    <s v="SURETY"/>
    <s v="GUILTY PLEA - NO JURY"/>
    <n v="12"/>
    <n v="422"/>
    <n v="8"/>
    <n v="3"/>
    <n v="5"/>
    <m/>
    <m/>
    <m/>
    <m/>
    <m/>
    <m/>
    <m/>
    <m/>
    <d v="1978-12-03T00:00:00"/>
    <s v="M"/>
    <s v="B"/>
    <s v="BLACK"/>
    <s v="NON-HISPANIC"/>
    <s v="176"/>
    <s v="CONVICTED"/>
    <n v="16"/>
    <s v="TDC"/>
    <n v="6"/>
    <m/>
    <m/>
    <s v="POSS W/INT DEL CS PG1&gt;=4 &lt;200"/>
    <m/>
    <s v="F1"/>
    <s v="SALE DRUG"/>
    <m/>
    <m/>
    <m/>
    <m/>
    <m/>
    <m/>
    <m/>
    <m/>
    <m/>
    <s v="Hired Attorney"/>
    <m/>
    <m/>
    <n v="12"/>
    <n v="421"/>
    <n v="422"/>
    <n v="33.188524590163937"/>
    <n v="0"/>
    <n v="-409"/>
    <s v="CONVICTION"/>
    <x v="1"/>
    <s v="Y"/>
    <m/>
    <s v="CONVICTION"/>
    <s v="Y"/>
    <x v="1"/>
    <x v="0"/>
    <s v="Y"/>
    <n v="2.843601895734597E-2"/>
    <n v="2.8503562945368172E-2"/>
    <n v="6.7543988022202017E-5"/>
    <n v="0"/>
    <n v="-12"/>
    <n v="0"/>
    <n v="12"/>
    <e v="#VALUE!"/>
    <n v="12"/>
    <n v="0"/>
    <n v="409"/>
    <m/>
    <s v="Y"/>
    <m/>
    <s v="11-30 DAYS"/>
    <n v="2"/>
    <x v="0"/>
  </r>
  <r>
    <n v="2708"/>
    <s v="N"/>
    <s v="N"/>
    <n v="1507204"/>
    <n v="5"/>
    <d v="2012-04-10T00:00:00"/>
    <d v="2012-04-12T00:00:00"/>
    <n v="1507204"/>
    <d v="2012-04-11T00:00:00"/>
    <d v="2012-04-12T00:00:00"/>
    <n v="15000"/>
    <x v="0"/>
    <m/>
    <s v="N"/>
    <s v="NONE"/>
    <s v="GUILTY PLEA - NO JURY"/>
    <n v="2"/>
    <n v="3"/>
    <n v="4"/>
    <n v="10"/>
    <n v="4"/>
    <m/>
    <m/>
    <m/>
    <m/>
    <m/>
    <m/>
    <m/>
    <m/>
    <d v="1979-03-25T00:00:00"/>
    <s v="M"/>
    <s v="B"/>
    <s v="BLACK"/>
    <s v="NON-HISPANIC"/>
    <s v="185"/>
    <s v="CONVICTED"/>
    <n v="1"/>
    <s v="STJ"/>
    <m/>
    <n v="7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32.978142076502735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193"/>
    <s v="N"/>
    <s v="N"/>
    <n v="1507257"/>
    <n v="2"/>
    <d v="2012-03-23T00:00:00"/>
    <d v="2012-04-09T00:00:00"/>
    <n v="1507257"/>
    <d v="2012-03-23T00:00:00"/>
    <d v="2012-04-09T00:00:00"/>
    <n v="2000"/>
    <x v="5"/>
    <m/>
    <s v="N"/>
    <s v="NONE"/>
    <s v="DEFERRED ADJUDICATION "/>
    <n v="18"/>
    <n v="18"/>
    <n v="2"/>
    <n v="5"/>
    <m/>
    <n v="1"/>
    <m/>
    <m/>
    <m/>
    <m/>
    <m/>
    <m/>
    <m/>
    <d v="1978-07-17T00:00:00"/>
    <s v="M"/>
    <s v="B"/>
    <s v="BLACK"/>
    <s v="NON-HISPANIC"/>
    <s v="230"/>
    <s v="DEFERRED"/>
    <n v="3"/>
    <s v="DEFERRED"/>
    <m/>
    <m/>
    <m/>
    <s v="POSS CS PG 1 &lt;1G"/>
    <m/>
    <s v="FS"/>
    <s v="POSS DRUG"/>
    <s v="mot to rev 6/11/12 dism bk 6/28  hcj 30 d cop"/>
    <m/>
    <m/>
    <m/>
    <m/>
    <m/>
    <m/>
    <m/>
    <m/>
    <s v="Appointed Attorney"/>
    <m/>
    <m/>
    <n v="18"/>
    <n v="18"/>
    <n v="18"/>
    <n v="33.614754098360656"/>
    <n v="0"/>
    <n v="0"/>
    <s v="DEFERRED"/>
    <x v="0"/>
    <s v="N"/>
    <m/>
    <s v="DEFERRED"/>
    <s v="Y"/>
    <x v="0"/>
    <x v="0"/>
    <s v="Y"/>
    <n v="1"/>
    <n v="1"/>
    <n v="0"/>
    <n v="0"/>
    <n v="-18"/>
    <n v="0"/>
    <n v="18"/>
    <e v="#VALUE!"/>
    <n v="18"/>
    <n v="0"/>
    <n v="0"/>
    <m/>
    <s v="Y"/>
    <m/>
    <s v="11-30 DAYS"/>
    <n v="2"/>
    <x v="0"/>
  </r>
  <r>
    <n v="597"/>
    <s v="N"/>
    <s v="N"/>
    <n v="1507506"/>
    <n v="6"/>
    <d v="2012-01-24T00:00:00"/>
    <d v="2012-02-27T00:00:00"/>
    <n v="1507506"/>
    <d v="2012-01-25T00:00:00"/>
    <d v="2012-02-27T00:00:00"/>
    <s v="NO BOND"/>
    <x v="1"/>
    <m/>
    <s v="N"/>
    <s v="NONE"/>
    <s v="GUILTY PLEA - NO JURY"/>
    <n v="34"/>
    <n v="35"/>
    <n v="2"/>
    <n v="12"/>
    <n v="2"/>
    <m/>
    <m/>
    <m/>
    <m/>
    <m/>
    <m/>
    <m/>
    <m/>
    <d v="1959-06-26T00:00:00"/>
    <s v="M"/>
    <s v="H"/>
    <s v="HISPANIC"/>
    <s v="HISPANIC"/>
    <s v="248"/>
    <s v="CONVICTED"/>
    <n v="2"/>
    <s v="TDC"/>
    <n v="12"/>
    <m/>
    <m/>
    <s v="RETALIATION"/>
    <m/>
    <s v="F3"/>
    <s v="OTHER FEL"/>
    <m/>
    <m/>
    <m/>
    <m/>
    <m/>
    <m/>
    <m/>
    <m/>
    <m/>
    <s v="Appointed Attorney"/>
    <m/>
    <m/>
    <n v="34"/>
    <n v="34"/>
    <n v="35"/>
    <n v="52.472677595628419"/>
    <n v="0"/>
    <n v="0"/>
    <s v="CONVICTION"/>
    <x v="0"/>
    <s v="N"/>
    <m/>
    <s v="CONVICTION"/>
    <s v="Y"/>
    <x v="0"/>
    <x v="0"/>
    <s v="Y"/>
    <n v="0.97142857142857142"/>
    <n v="1"/>
    <n v="2.8571428571428581E-2"/>
    <n v="0"/>
    <n v="-34"/>
    <n v="0"/>
    <n v="34"/>
    <e v="#VALUE!"/>
    <n v="34"/>
    <n v="0"/>
    <n v="0"/>
    <m/>
    <s v="Y"/>
    <m/>
    <s v="31-60 DAYS"/>
    <n v="3"/>
    <x v="0"/>
  </r>
  <r>
    <n v="1706"/>
    <s v="N"/>
    <s v="N"/>
    <n v="1507602"/>
    <n v="5"/>
    <d v="2012-03-04T00:00:00"/>
    <d v="2012-03-05T00:00:00"/>
    <n v="1507602"/>
    <d v="2012-03-04T00:00:00"/>
    <d v="2012-03-05T00:00:00"/>
    <n v="35000"/>
    <x v="2"/>
    <m/>
    <s v="N"/>
    <s v="NONE"/>
    <s v="GUILTY PLEA - NO JURY"/>
    <n v="2"/>
    <n v="2"/>
    <n v="1"/>
    <n v="6"/>
    <n v="1"/>
    <m/>
    <m/>
    <m/>
    <m/>
    <m/>
    <m/>
    <m/>
    <m/>
    <d v="1966-07-11T00:00:00"/>
    <s v="M"/>
    <s v="H"/>
    <s v="HISPANIC"/>
    <s v="HISPANIC"/>
    <s v="351"/>
    <s v="CONVICTED"/>
    <n v="1"/>
    <s v="STJ"/>
    <m/>
    <n v="8"/>
    <m/>
    <s v="POSS CS PG 1 &lt;1G"/>
    <m/>
    <s v="FS"/>
    <s v="POSS DRUG"/>
    <m/>
    <m/>
    <m/>
    <m/>
    <m/>
    <m/>
    <m/>
    <m/>
    <m/>
    <s v="Appointed Attorney"/>
    <m/>
    <m/>
    <n v="2"/>
    <n v="2"/>
    <n v="2"/>
    <n v="45.55464480874317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904"/>
    <s v="N"/>
    <s v="N"/>
    <n v="1507898"/>
    <n v="1"/>
    <d v="2012-02-03T00:00:00"/>
    <d v="2013-02-21T00:00:00"/>
    <n v="1507898"/>
    <d v="2012-02-04T00:00:00"/>
    <d v="2012-02-05T00:00:00"/>
    <n v="20000"/>
    <x v="0"/>
    <d v="2012-02-05T00:00:00"/>
    <s v="Y"/>
    <s v="SURETYPTRc"/>
    <s v="DISMISSED"/>
    <n v="2"/>
    <n v="385"/>
    <n v="4"/>
    <n v="3"/>
    <m/>
    <n v="1"/>
    <m/>
    <m/>
    <m/>
    <m/>
    <m/>
    <m/>
    <m/>
    <d v="1978-07-21T00:00:00"/>
    <s v="M"/>
    <s v="H"/>
    <s v="HISPANIC"/>
    <s v="HISPANIC"/>
    <s v="337"/>
    <s v="DISMISSED"/>
    <n v="14"/>
    <s v="DISMISSED"/>
    <m/>
    <m/>
    <m/>
    <s v="POSS W/INT DEL CS PG1&gt;=4 &lt;200"/>
    <m/>
    <s v="F1"/>
    <s v="SALE DRUG"/>
    <m/>
    <m/>
    <m/>
    <m/>
    <m/>
    <m/>
    <m/>
    <m/>
    <m/>
    <s v="Hired Attorney"/>
    <m/>
    <m/>
    <n v="2"/>
    <n v="384"/>
    <n v="385"/>
    <n v="33.469945355191257"/>
    <n v="0"/>
    <n v="-382"/>
    <s v="NO CONVICTION"/>
    <x v="1"/>
    <s v="Y"/>
    <m/>
    <s v="NO CONVICTION"/>
    <s v="Y"/>
    <x v="1"/>
    <x v="0"/>
    <s v="Y"/>
    <n v="5.1948051948051948E-3"/>
    <n v="5.208333333333333E-3"/>
    <n v="1.3528138528138244E-5"/>
    <n v="0"/>
    <n v="-2"/>
    <n v="0"/>
    <n v="2"/>
    <e v="#VALUE!"/>
    <n v="2"/>
    <n v="0"/>
    <n v="382"/>
    <m/>
    <s v="Y"/>
    <m/>
    <s v="0-10 DAYS"/>
    <n v="1"/>
    <x v="0"/>
  </r>
  <r>
    <n v="2834"/>
    <s v="N"/>
    <s v="N"/>
    <n v="1507985"/>
    <n v="1"/>
    <d v="2012-04-14T00:00:00"/>
    <d v="2012-04-16T00:00:00"/>
    <n v="1507985"/>
    <d v="2012-04-14T00:00:00"/>
    <d v="2012-04-16T00:00:00"/>
    <n v="10000"/>
    <x v="3"/>
    <m/>
    <s v="N"/>
    <s v="NONE"/>
    <s v="DISMISSED"/>
    <n v="3"/>
    <n v="3"/>
    <n v="3"/>
    <n v="3"/>
    <n v="1"/>
    <m/>
    <m/>
    <m/>
    <m/>
    <m/>
    <m/>
    <m/>
    <m/>
    <d v="1977-08-15T00:00:00"/>
    <s v="M"/>
    <s v="B"/>
    <s v="BLACK"/>
    <s v="NON-HISPANIC"/>
    <s v="263"/>
    <s v="DISMISSED"/>
    <n v="1"/>
    <s v="DISMISSED"/>
    <m/>
    <m/>
    <m/>
    <s v="TAMPER/FABRICATE EVIDENCE"/>
    <m/>
    <s v="F3"/>
    <s v="OTHER FEL"/>
    <m/>
    <m/>
    <m/>
    <m/>
    <m/>
    <m/>
    <m/>
    <m/>
    <m/>
    <s v="Appointed Attorney"/>
    <m/>
    <m/>
    <n v="3"/>
    <n v="3"/>
    <n v="3"/>
    <n v="34.592896174863391"/>
    <n v="0"/>
    <n v="0"/>
    <s v="NO CONVICTION"/>
    <x v="0"/>
    <s v="N"/>
    <m/>
    <s v="NO 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3129"/>
    <s v="N"/>
    <s v="N"/>
    <n v="1508718"/>
    <n v="2"/>
    <d v="2012-04-25T00:00:00"/>
    <d v="2012-06-25T00:00:00"/>
    <n v="1508718"/>
    <d v="2012-04-25T00:00:00"/>
    <d v="2012-04-28T00:00:00"/>
    <n v="5000"/>
    <x v="4"/>
    <d v="2012-04-28T00:00:00"/>
    <s v="Y"/>
    <s v="SURETY"/>
    <s v="DEFERRED ADJUDICATION "/>
    <n v="4"/>
    <n v="62"/>
    <n v="2"/>
    <n v="5"/>
    <m/>
    <m/>
    <m/>
    <m/>
    <m/>
    <m/>
    <m/>
    <m/>
    <m/>
    <d v="1976-09-08T00:00:00"/>
    <s v="M"/>
    <s v="B"/>
    <s v="BLACK"/>
    <s v="NULL"/>
    <s v="177"/>
    <s v="DEFERRED"/>
    <n v="3"/>
    <s v="DEFERRED"/>
    <m/>
    <m/>
    <m/>
    <s v="FELON POSS WPN"/>
    <m/>
    <s v="F3"/>
    <s v="OTHER FEL"/>
    <s v="LAWV 9/13/12  theft bk  open"/>
    <m/>
    <m/>
    <m/>
    <m/>
    <m/>
    <m/>
    <m/>
    <m/>
    <s v="Appointed Attorney"/>
    <m/>
    <m/>
    <n v="4"/>
    <n v="62"/>
    <n v="62"/>
    <n v="35.55464480874317"/>
    <n v="0"/>
    <n v="-58"/>
    <s v="DEFERRED"/>
    <x v="1"/>
    <s v="Y"/>
    <m/>
    <s v="DEFERRED"/>
    <s v="Y"/>
    <x v="1"/>
    <x v="0"/>
    <s v="Y"/>
    <n v="6.4516129032258063E-2"/>
    <n v="6.4516129032258063E-2"/>
    <n v="0"/>
    <n v="0"/>
    <n v="-4"/>
    <n v="0"/>
    <n v="4"/>
    <e v="#VALUE!"/>
    <n v="4"/>
    <n v="0"/>
    <n v="58"/>
    <m/>
    <s v="Y"/>
    <m/>
    <s v="0-10 DAYS"/>
    <n v="1"/>
    <x v="0"/>
  </r>
  <r>
    <n v="2403"/>
    <s v="N"/>
    <s v="N"/>
    <n v="1508775"/>
    <n v="2"/>
    <d v="2012-03-31T00:00:00"/>
    <d v="2012-06-18T00:00:00"/>
    <n v="1508775"/>
    <d v="2012-03-31T00:00:00"/>
    <d v="2012-04-01T00:00:00"/>
    <n v="2000"/>
    <x v="5"/>
    <d v="2012-04-01T00:00:00"/>
    <s v="Y"/>
    <s v="SURETYPTRc"/>
    <s v="DEFERRED ADJUDICATION "/>
    <n v="2"/>
    <n v="80"/>
    <n v="0"/>
    <n v="1"/>
    <m/>
    <m/>
    <m/>
    <m/>
    <m/>
    <m/>
    <m/>
    <m/>
    <m/>
    <d v="1971-10-06T00:00:00"/>
    <s v="M"/>
    <s v="H"/>
    <s v="HISPANIC"/>
    <s v="HISPANIC"/>
    <s v="184"/>
    <s v="DEFERRED"/>
    <n v="4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80"/>
    <n v="80"/>
    <n v="40.401639344262293"/>
    <n v="0"/>
    <n v="-78"/>
    <s v="DEFERRED"/>
    <x v="1"/>
    <s v="Y"/>
    <m/>
    <s v="DEFERRED"/>
    <s v="Y"/>
    <x v="1"/>
    <x v="0"/>
    <s v="N"/>
    <n v="2.5000000000000001E-2"/>
    <n v="2.5000000000000001E-2"/>
    <n v="0"/>
    <n v="0"/>
    <n v="-2"/>
    <n v="0"/>
    <n v="2"/>
    <e v="#VALUE!"/>
    <n v="2"/>
    <n v="0"/>
    <n v="78"/>
    <m/>
    <s v="Y"/>
    <m/>
    <s v="0-10 DAYS"/>
    <n v="1"/>
    <x v="0"/>
  </r>
  <r>
    <n v="1368"/>
    <s v="N"/>
    <s v="N"/>
    <n v="1509144"/>
    <n v="6"/>
    <d v="2012-02-20T00:00:00"/>
    <d v="2012-02-21T00:00:00"/>
    <n v="1509144"/>
    <d v="2012-02-20T00:00:00"/>
    <d v="2012-02-21T00:00:00"/>
    <n v="20000"/>
    <x v="0"/>
    <m/>
    <s v="N"/>
    <s v="NONE"/>
    <s v="GUILTY PLEA - NO JURY"/>
    <n v="2"/>
    <n v="2"/>
    <n v="4"/>
    <n v="4"/>
    <n v="1"/>
    <m/>
    <m/>
    <m/>
    <m/>
    <m/>
    <m/>
    <s v="S"/>
    <m/>
    <d v="1978-07-27T00:00:00"/>
    <s v="M"/>
    <s v="H"/>
    <s v="HISPANIC"/>
    <s v="NULL"/>
    <s v="351"/>
    <s v="CONVICTED"/>
    <n v="1"/>
    <s v="TDC"/>
    <n v="3"/>
    <m/>
    <m/>
    <s v="DWI 3RD OFFENDER BAC .08"/>
    <m/>
    <s v="F3"/>
    <s v="FEL DWI"/>
    <m/>
    <m/>
    <m/>
    <m/>
    <m/>
    <m/>
    <m/>
    <m/>
    <m/>
    <s v="Appointed Attorney"/>
    <m/>
    <m/>
    <n v="2"/>
    <n v="2"/>
    <n v="2"/>
    <n v="33.5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194"/>
    <s v="N"/>
    <s v="N"/>
    <n v="1509838"/>
    <n v="6"/>
    <d v="2012-01-09T00:00:00"/>
    <d v="2012-01-12T00:00:00"/>
    <n v="1509838"/>
    <d v="2012-01-10T00:00:00"/>
    <d v="2012-01-12T00:00:00"/>
    <s v="NO BOND"/>
    <x v="1"/>
    <m/>
    <s v="N"/>
    <s v="NONE"/>
    <s v="GUILTY PLEA - NO JURY"/>
    <n v="3"/>
    <n v="4"/>
    <n v="2"/>
    <n v="0"/>
    <n v="2"/>
    <m/>
    <m/>
    <m/>
    <m/>
    <m/>
    <m/>
    <m/>
    <m/>
    <d v="1970-04-07T00:00:00"/>
    <s v="M"/>
    <s v="W"/>
    <s v="WHITE"/>
    <s v="NON-HISPANIC"/>
    <s v="177"/>
    <s v="CONVICTED"/>
    <n v="2"/>
    <s v="TDC"/>
    <n v="4"/>
    <m/>
    <m/>
    <s v="FAIL TO COMPLY AS SEX OFFENDER"/>
    <m/>
    <s v="F3"/>
    <s v="OTHER FEL"/>
    <m/>
    <m/>
    <m/>
    <m/>
    <m/>
    <m/>
    <m/>
    <m/>
    <m/>
    <s v="Appointed Attorney"/>
    <m/>
    <m/>
    <n v="3"/>
    <n v="3"/>
    <n v="4"/>
    <n v="41.672131147540981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2364"/>
    <s v="N"/>
    <s v="N"/>
    <n v="1510635"/>
    <n v="5"/>
    <d v="2012-03-30T00:00:00"/>
    <d v="2012-06-28T00:00:00"/>
    <n v="1510635"/>
    <d v="2012-03-30T00:00:00"/>
    <d v="2012-06-28T00:00:00"/>
    <n v="5000"/>
    <x v="4"/>
    <m/>
    <s v="N"/>
    <s v="NONE"/>
    <s v="GUILTY PLEA - NO JURY"/>
    <n v="91"/>
    <n v="91"/>
    <n v="2"/>
    <n v="3"/>
    <m/>
    <n v="1"/>
    <m/>
    <m/>
    <m/>
    <m/>
    <m/>
    <m/>
    <m/>
    <d v="1973-02-26T00:00:00"/>
    <s v="M"/>
    <s v="B"/>
    <s v="BLACK"/>
    <s v="NULL"/>
    <s v="337"/>
    <s v="CONVICTED"/>
    <n v="5"/>
    <s v="STJ"/>
    <m/>
    <n v="6"/>
    <m/>
    <s v="TAMPER/FABRICATE EVIDENCE"/>
    <m/>
    <s v="F3"/>
    <s v="OTHER FEL"/>
    <m/>
    <m/>
    <m/>
    <m/>
    <m/>
    <m/>
    <m/>
    <m/>
    <m/>
    <s v="Appointed Attorney"/>
    <m/>
    <m/>
    <n v="91"/>
    <n v="91"/>
    <n v="91"/>
    <n v="39.008196721311478"/>
    <n v="0"/>
    <n v="0"/>
    <s v="CONVICTION"/>
    <x v="0"/>
    <s v="N"/>
    <m/>
    <s v="CONVICTION"/>
    <s v="Y"/>
    <x v="0"/>
    <x v="0"/>
    <s v="Y"/>
    <n v="1"/>
    <n v="1"/>
    <n v="0"/>
    <n v="0"/>
    <n v="-91"/>
    <n v="0"/>
    <n v="91"/>
    <e v="#VALUE!"/>
    <n v="91"/>
    <n v="0"/>
    <n v="0"/>
    <m/>
    <s v="Y"/>
    <m/>
    <s v="91-120 DAYS"/>
    <n v="0"/>
    <x v="0"/>
  </r>
  <r>
    <n v="384"/>
    <s v="N"/>
    <s v="N"/>
    <n v="1510654"/>
    <n v="6"/>
    <d v="2012-01-16T00:00:00"/>
    <d v="2012-06-06T00:00:00"/>
    <n v="1510654"/>
    <d v="2012-01-21T00:00:00"/>
    <d v="2012-06-06T00:00:00"/>
    <s v="NO BOND"/>
    <x v="1"/>
    <m/>
    <s v="N"/>
    <s v="NONE"/>
    <s v="GUILTY PLEA - NO JURY"/>
    <n v="138"/>
    <n v="143"/>
    <n v="2"/>
    <n v="3"/>
    <n v="2"/>
    <m/>
    <m/>
    <m/>
    <m/>
    <m/>
    <m/>
    <m/>
    <m/>
    <d v="1976-11-01T00:00:00"/>
    <s v="M"/>
    <s v="W"/>
    <s v="WHITE"/>
    <s v="NULL"/>
    <s v="262"/>
    <s v="CONVICTED"/>
    <n v="10"/>
    <s v="TDC"/>
    <n v="2"/>
    <m/>
    <m/>
    <s v="AGG ASSAULT-FAMILY MEMBER"/>
    <m/>
    <s v="F2"/>
    <s v="ASLT-MURDR"/>
    <m/>
    <m/>
    <m/>
    <m/>
    <m/>
    <m/>
    <m/>
    <m/>
    <m/>
    <s v="Hired Attorney"/>
    <m/>
    <m/>
    <n v="138"/>
    <n v="138"/>
    <n v="143"/>
    <n v="35.133879781420767"/>
    <n v="0"/>
    <n v="0"/>
    <s v="CONVICTION"/>
    <x v="0"/>
    <s v="N"/>
    <m/>
    <s v="CONVICTION"/>
    <s v="Y"/>
    <x v="0"/>
    <x v="0"/>
    <s v="Y"/>
    <n v="0.965034965034965"/>
    <n v="1"/>
    <n v="3.4965034965035002E-2"/>
    <n v="0"/>
    <n v="-138"/>
    <n v="0"/>
    <n v="138"/>
    <e v="#VALUE!"/>
    <n v="138"/>
    <n v="0"/>
    <n v="0"/>
    <m/>
    <s v="Y"/>
    <m/>
    <s v="121-365 DAYS"/>
    <n v="6"/>
    <x v="0"/>
  </r>
  <r>
    <n v="1739"/>
    <s v="N"/>
    <s v="N"/>
    <n v="1510837"/>
    <n v="5"/>
    <d v="2012-03-05T00:00:00"/>
    <d v="2012-03-07T00:00:00"/>
    <n v="1510837"/>
    <d v="2012-03-06T00:00:00"/>
    <d v="2012-03-07T00:00:00"/>
    <n v="15000"/>
    <x v="0"/>
    <m/>
    <s v="N"/>
    <s v="NONE"/>
    <s v="GUILTY PLEA - NO JURY"/>
    <n v="2"/>
    <n v="3"/>
    <n v="3"/>
    <n v="0"/>
    <n v="2"/>
    <m/>
    <m/>
    <m/>
    <m/>
    <m/>
    <m/>
    <m/>
    <m/>
    <d v="1980-09-23T00:00:00"/>
    <s v="M"/>
    <s v="B"/>
    <s v="BLACK"/>
    <s v="NON-HISPANIC"/>
    <s v="176"/>
    <s v="CONVICTED"/>
    <n v="1"/>
    <s v="STJ"/>
    <m/>
    <n v="6"/>
    <m/>
    <s v="POSS CS PG 2 &lt;1GRAM"/>
    <m/>
    <s v="FS"/>
    <s v="POSS DRUG"/>
    <m/>
    <m/>
    <m/>
    <m/>
    <m/>
    <m/>
    <m/>
    <m/>
    <m/>
    <s v="Appointed Attorney"/>
    <m/>
    <m/>
    <n v="2"/>
    <n v="2"/>
    <n v="3"/>
    <n v="31.382513661202186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648"/>
    <s v="N"/>
    <s v="N"/>
    <n v="1510965"/>
    <n v="1"/>
    <d v="2012-04-08T00:00:00"/>
    <d v="2012-04-26T00:00:00"/>
    <n v="1510965"/>
    <s v="NOT BOOKED"/>
    <s v="NOT BOOKED"/>
    <n v="20000"/>
    <x v="0"/>
    <d v="2012-04-12T00:00:00"/>
    <s v="Y"/>
    <s v="SURETY"/>
    <s v="NO BILL"/>
    <n v="0"/>
    <n v="19"/>
    <n v="0"/>
    <n v="0"/>
    <m/>
    <m/>
    <m/>
    <m/>
    <m/>
    <m/>
    <m/>
    <m/>
    <m/>
    <d v="1974-11-04T00:00:00"/>
    <s v="M"/>
    <s v="W"/>
    <s v="WHITE"/>
    <s v="NON-HISPANIC"/>
    <s v="248"/>
    <s v="NO BILL"/>
    <n v="3"/>
    <s v="NO BILL"/>
    <m/>
    <m/>
    <m/>
    <s v="BURGLARY OF HABITATION"/>
    <m/>
    <s v="F2"/>
    <s v="BURGLARY"/>
    <m/>
    <m/>
    <m/>
    <m/>
    <m/>
    <m/>
    <m/>
    <m/>
    <m/>
    <s v="Hired Attorney"/>
    <m/>
    <m/>
    <n v="0"/>
    <n v="0"/>
    <n v="19"/>
    <n v="37.349726775956285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e v="#VALUE!"/>
    <m/>
    <s v="N"/>
    <m/>
    <s v="0-10 DAYS"/>
    <n v="1"/>
    <x v="1"/>
  </r>
  <r>
    <n v="241"/>
    <s v="N"/>
    <s v="Y"/>
    <n v="1512103"/>
    <n v="2"/>
    <d v="2012-01-11T00:00:00"/>
    <d v="2012-05-31T00:00:00"/>
    <n v="1512103"/>
    <d v="2012-01-11T00:00:00"/>
    <d v="2012-01-12T00:00:00"/>
    <n v="15000"/>
    <x v="0"/>
    <d v="2012-01-12T00:00:00"/>
    <s v="Y"/>
    <s v="SURETYPTRc"/>
    <s v="DEFERRED ADJUDICATION "/>
    <n v="2"/>
    <n v="142"/>
    <n v="0"/>
    <n v="2"/>
    <m/>
    <m/>
    <m/>
    <m/>
    <m/>
    <m/>
    <m/>
    <m/>
    <m/>
    <d v="1972-01-24T00:00:00"/>
    <s v="M"/>
    <s v="W"/>
    <s v="WHITE"/>
    <s v="NULL"/>
    <s v="248"/>
    <s v="DEFERRED"/>
    <n v="6"/>
    <s v="DEFERRED"/>
    <m/>
    <m/>
    <m/>
    <s v="POSS CS PG 1 &lt;1G"/>
    <m/>
    <s v="FS"/>
    <s v="POSS DRUG"/>
    <m/>
    <s v="REV 5/4/2012"/>
    <m/>
    <m/>
    <s v="Y"/>
    <m/>
    <m/>
    <m/>
    <m/>
    <s v="Hired Attorney"/>
    <m/>
    <m/>
    <n v="2"/>
    <n v="142"/>
    <n v="142"/>
    <n v="39.882513661202189"/>
    <n v="0"/>
    <n v="-140"/>
    <s v="DEFERRED"/>
    <x v="1"/>
    <s v="Y"/>
    <m/>
    <s v="DEFERRED"/>
    <s v="Y"/>
    <x v="1"/>
    <x v="0"/>
    <s v="N"/>
    <n v="1.4084507042253521E-2"/>
    <n v="1.4084507042253521E-2"/>
    <n v="0"/>
    <n v="0"/>
    <n v="-2"/>
    <n v="0"/>
    <n v="2"/>
    <e v="#VALUE!"/>
    <m/>
    <n v="140"/>
    <n v="140"/>
    <m/>
    <s v="Y"/>
    <m/>
    <s v="0-10 DAYS"/>
    <n v="1"/>
    <x v="0"/>
  </r>
  <r>
    <n v="1720"/>
    <s v="N"/>
    <s v="N"/>
    <n v="1514525"/>
    <n v="6"/>
    <d v="2012-03-04T00:00:00"/>
    <d v="2012-05-17T00:00:00"/>
    <n v="1514525"/>
    <d v="2012-03-06T00:00:00"/>
    <d v="2012-05-17T00:00:00"/>
    <s v="NO BOND"/>
    <x v="1"/>
    <m/>
    <s v="N"/>
    <s v="NONE"/>
    <s v="GUILTY PLEA - NO JURY"/>
    <n v="73"/>
    <n v="75"/>
    <n v="2"/>
    <n v="3"/>
    <n v="1"/>
    <m/>
    <m/>
    <m/>
    <m/>
    <m/>
    <m/>
    <m/>
    <m/>
    <d v="1971-07-20T00:00:00"/>
    <s v="M"/>
    <s v="H"/>
    <s v="HISPANIC"/>
    <s v="HISPANIC"/>
    <s v="337"/>
    <s v="CONVICTED"/>
    <n v="4"/>
    <s v="TDC"/>
    <n v="3"/>
    <m/>
    <m/>
    <s v="DWI 3RD OFFENDER BAC .08"/>
    <m/>
    <s v="F3"/>
    <s v="FEL DWI"/>
    <m/>
    <m/>
    <m/>
    <m/>
    <m/>
    <m/>
    <m/>
    <m/>
    <m/>
    <s v="Public Defender"/>
    <m/>
    <m/>
    <n v="73"/>
    <n v="73"/>
    <n v="75"/>
    <n v="40.540983606557376"/>
    <n v="0"/>
    <n v="0"/>
    <s v="CONVICTION"/>
    <x v="0"/>
    <s v="N"/>
    <m/>
    <s v="CONVICTION"/>
    <s v="Y"/>
    <x v="0"/>
    <x v="0"/>
    <s v="Y"/>
    <n v="0.97333333333333338"/>
    <n v="1"/>
    <n v="2.6666666666666616E-2"/>
    <n v="0"/>
    <n v="-73"/>
    <n v="0"/>
    <n v="73"/>
    <e v="#VALUE!"/>
    <n v="73"/>
    <n v="0"/>
    <n v="0"/>
    <m/>
    <s v="Y"/>
    <m/>
    <s v="61-90 DAYS"/>
    <n v="4"/>
    <x v="0"/>
  </r>
  <r>
    <n v="775"/>
    <s v="N"/>
    <s v="N"/>
    <n v="1517734"/>
    <n v="4"/>
    <d v="2012-01-31T00:00:00"/>
    <d v="2012-06-19T00:00:00"/>
    <n v="1517734"/>
    <d v="2012-01-31T00:00:00"/>
    <d v="2012-02-01T00:00:00"/>
    <n v="2000"/>
    <x v="5"/>
    <d v="2012-02-01T00:00:00"/>
    <s v="Y"/>
    <s v="SURETYPTRc"/>
    <s v="GUILTY PLEA - NO JURY"/>
    <n v="2"/>
    <n v="141"/>
    <n v="1"/>
    <n v="0"/>
    <m/>
    <n v="1"/>
    <m/>
    <m/>
    <m/>
    <m/>
    <m/>
    <m/>
    <m/>
    <d v="1977-10-08T00:00:00"/>
    <s v="M"/>
    <s v="W"/>
    <s v="WHITE"/>
    <s v="NON-HISPANIC"/>
    <s v="230"/>
    <s v="CONVICTED"/>
    <n v="9"/>
    <s v="HCJ"/>
    <m/>
    <m/>
    <n v="90"/>
    <s v="POSS CS PG 1 &lt;1G"/>
    <m/>
    <s v="FS"/>
    <s v="POSS DRUG"/>
    <m/>
    <m/>
    <m/>
    <m/>
    <m/>
    <m/>
    <m/>
    <m/>
    <m/>
    <s v="Hired Attorney"/>
    <m/>
    <m/>
    <n v="2"/>
    <n v="141"/>
    <n v="141"/>
    <n v="34.243169398907106"/>
    <n v="0"/>
    <n v="-139"/>
    <s v="CONVICTION"/>
    <x v="1"/>
    <s v="Y"/>
    <m/>
    <s v="CONVICTION"/>
    <s v="Y"/>
    <x v="1"/>
    <x v="0"/>
    <s v="Y"/>
    <n v="1.4184397163120567E-2"/>
    <n v="1.4184397163120567E-2"/>
    <n v="0"/>
    <n v="0"/>
    <n v="-2"/>
    <n v="0"/>
    <n v="2"/>
    <e v="#VALUE!"/>
    <n v="2"/>
    <n v="0"/>
    <n v="139"/>
    <m/>
    <s v="Y"/>
    <m/>
    <s v="0-10 DAYS"/>
    <n v="1"/>
    <x v="0"/>
  </r>
  <r>
    <n v="667"/>
    <s v="N"/>
    <s v="N"/>
    <n v="1517988"/>
    <n v="6"/>
    <d v="2012-01-27T00:00:00"/>
    <d v="2014-01-07T00:00:00"/>
    <n v="1517988"/>
    <d v="2012-01-27T00:00:00"/>
    <d v="2014-01-07T00:00:00"/>
    <s v="NO BOND"/>
    <x v="1"/>
    <m/>
    <s v="N"/>
    <s v="NONE"/>
    <s v="jury verdict"/>
    <n v="712"/>
    <n v="712"/>
    <n v="2"/>
    <n v="0"/>
    <n v="2"/>
    <m/>
    <m/>
    <m/>
    <m/>
    <m/>
    <m/>
    <m/>
    <m/>
    <d v="1978-10-12T00:00:00"/>
    <s v="M"/>
    <s v="H"/>
    <s v="HISPANIC"/>
    <s v="HISPANIC"/>
    <s v="174"/>
    <s v="CONVICTED"/>
    <n v="15"/>
    <s v="TDC"/>
    <n v="30"/>
    <m/>
    <m/>
    <s v="POSS W/INT DEL CS PG1&gt;=4 &lt;200"/>
    <m/>
    <s v="F1"/>
    <s v="SALE DRUG"/>
    <m/>
    <m/>
    <m/>
    <m/>
    <m/>
    <m/>
    <m/>
    <m/>
    <m/>
    <s v="Hired Attorney"/>
    <m/>
    <m/>
    <n v="712"/>
    <n v="712"/>
    <n v="712"/>
    <n v="33.224043715846996"/>
    <n v="0"/>
    <n v="0"/>
    <s v="CONVICTION"/>
    <x v="0"/>
    <s v="N"/>
    <m/>
    <s v="CONVICTION"/>
    <s v="Y"/>
    <x v="0"/>
    <x v="0"/>
    <s v="Y"/>
    <n v="1"/>
    <n v="1"/>
    <n v="0"/>
    <n v="0"/>
    <n v="-712"/>
    <n v="0"/>
    <n v="712"/>
    <e v="#VALUE!"/>
    <n v="712"/>
    <n v="0"/>
    <n v="0"/>
    <m/>
    <s v="Y"/>
    <e v="#N/A"/>
    <s v=" &gt;1YRS&lt;2YRS"/>
    <n v="0"/>
    <x v="0"/>
  </r>
  <r>
    <n v="1211"/>
    <s v="N"/>
    <s v="N"/>
    <n v="1519478"/>
    <n v="4"/>
    <d v="2012-02-14T00:00:00"/>
    <d v="2012-03-23T00:00:00"/>
    <n v="1519478"/>
    <d v="2012-03-12T00:00:00"/>
    <d v="2012-03-23T00:00:00"/>
    <n v="15000"/>
    <x v="0"/>
    <m/>
    <s v="N"/>
    <s v="NONE"/>
    <s v="GUILTY PLEA - NO JURY"/>
    <n v="12"/>
    <n v="39"/>
    <n v="6"/>
    <n v="0"/>
    <n v="2"/>
    <n v="1"/>
    <m/>
    <m/>
    <m/>
    <m/>
    <m/>
    <m/>
    <m/>
    <d v="1976-11-25T00:00:00"/>
    <s v="M"/>
    <s v="B"/>
    <s v="BLACK"/>
    <s v="NON-HISPANIC"/>
    <s v="209"/>
    <s v="CONVICTED"/>
    <n v="4"/>
    <s v="HCJ"/>
    <m/>
    <m/>
    <n v="60"/>
    <s v="THEFT $1500-20K"/>
    <m/>
    <s v="FS"/>
    <s v="THEFT"/>
    <m/>
    <m/>
    <m/>
    <m/>
    <m/>
    <m/>
    <m/>
    <m/>
    <m/>
    <s v="Hired Attorney"/>
    <m/>
    <m/>
    <n v="12"/>
    <n v="12"/>
    <n v="39"/>
    <n v="35.147540983606561"/>
    <n v="0"/>
    <n v="0"/>
    <s v="CONVICTION"/>
    <x v="0"/>
    <s v="N"/>
    <m/>
    <s v="CONVICTION"/>
    <s v="Y"/>
    <x v="0"/>
    <x v="0"/>
    <s v="Y"/>
    <n v="0.30769230769230771"/>
    <n v="1"/>
    <n v="0.69230769230769229"/>
    <n v="0"/>
    <n v="-12"/>
    <n v="0"/>
    <n v="12"/>
    <e v="#VALUE!"/>
    <n v="12"/>
    <n v="0"/>
    <n v="0"/>
    <m/>
    <s v="Y"/>
    <m/>
    <s v="11-30 DAYS"/>
    <n v="2"/>
    <x v="0"/>
  </r>
  <r>
    <n v="2782"/>
    <s v="N"/>
    <s v="N"/>
    <n v="1519594"/>
    <n v="6"/>
    <d v="2012-04-12T00:00:00"/>
    <d v="2012-06-12T00:00:00"/>
    <n v="1519594"/>
    <d v="2012-04-13T00:00:00"/>
    <d v="2012-06-12T00:00:00"/>
    <s v="NO BOND"/>
    <x v="1"/>
    <m/>
    <s v="N"/>
    <s v="NONE"/>
    <s v="GUILTY PLEA - NO JURY"/>
    <n v="61"/>
    <n v="62"/>
    <n v="4"/>
    <n v="3"/>
    <n v="3"/>
    <m/>
    <m/>
    <m/>
    <m/>
    <m/>
    <m/>
    <s v="S"/>
    <m/>
    <d v="1978-01-03T00:00:00"/>
    <s v="M"/>
    <s v="H"/>
    <s v="HISPANIC"/>
    <s v="NULL"/>
    <s v="179"/>
    <s v="CONVICTED"/>
    <n v="3"/>
    <s v="TDC"/>
    <n v="9"/>
    <m/>
    <m/>
    <s v="POSS CS PG 1 4G - 200G"/>
    <m/>
    <s v="F2"/>
    <s v="POSS DRUG"/>
    <m/>
    <m/>
    <m/>
    <m/>
    <m/>
    <m/>
    <m/>
    <m/>
    <m/>
    <s v="Hired Attorney"/>
    <m/>
    <m/>
    <n v="61"/>
    <n v="61"/>
    <n v="62"/>
    <n v="34.202185792349724"/>
    <n v="0"/>
    <n v="0"/>
    <s v="CONVICTION"/>
    <x v="0"/>
    <s v="N"/>
    <m/>
    <s v="CONVICTION"/>
    <s v="Y"/>
    <x v="0"/>
    <x v="0"/>
    <s v="Y"/>
    <n v="0.9838709677419355"/>
    <n v="1"/>
    <n v="1.6129032258064502E-2"/>
    <n v="0"/>
    <n v="-61"/>
    <n v="0"/>
    <n v="61"/>
    <e v="#VALUE!"/>
    <n v="61"/>
    <n v="0"/>
    <n v="0"/>
    <m/>
    <s v="Y"/>
    <m/>
    <s v="61-90 DAYS"/>
    <n v="4"/>
    <x v="0"/>
  </r>
  <r>
    <n v="1132"/>
    <s v="N"/>
    <s v="N"/>
    <n v="1521731"/>
    <n v="4"/>
    <d v="2012-02-10T00:00:00"/>
    <d v="2012-04-18T00:00:00"/>
    <n v="1521731"/>
    <d v="2012-02-11T00:00:00"/>
    <d v="2012-04-18T00:00:00"/>
    <s v="NO BOND"/>
    <x v="1"/>
    <m/>
    <s v="N"/>
    <s v="NONE"/>
    <s v="GUILTY PLEA - NO JURY"/>
    <n v="68"/>
    <n v="69"/>
    <n v="0"/>
    <n v="3"/>
    <m/>
    <m/>
    <m/>
    <m/>
    <m/>
    <m/>
    <m/>
    <m/>
    <m/>
    <d v="1976-11-18T00:00:00"/>
    <s v="M"/>
    <s v="B"/>
    <s v="BLACK"/>
    <s v="NULL"/>
    <s v="263"/>
    <s v="CONVICTED"/>
    <n v="4"/>
    <s v="HCJ"/>
    <m/>
    <m/>
    <n v="270"/>
    <s v="AGG ASSAULT-FAMILY MEMBER"/>
    <m/>
    <s v="F2"/>
    <s v="ASLT-MURDR"/>
    <s v="7/11/12 misd case disposed as fugitive"/>
    <m/>
    <m/>
    <m/>
    <m/>
    <m/>
    <m/>
    <m/>
    <m/>
    <s v="Hired Attorney"/>
    <m/>
    <m/>
    <n v="68"/>
    <n v="68"/>
    <n v="69"/>
    <n v="35.155737704918032"/>
    <n v="0"/>
    <n v="0"/>
    <s v="CONVICTION"/>
    <x v="0"/>
    <s v="N"/>
    <m/>
    <s v="CONVICTION"/>
    <s v="Y"/>
    <x v="0"/>
    <x v="0"/>
    <s v="N"/>
    <n v="0.98550724637681164"/>
    <n v="1"/>
    <n v="1.4492753623188359E-2"/>
    <n v="0"/>
    <n v="-68"/>
    <n v="0"/>
    <n v="68"/>
    <e v="#VALUE!"/>
    <n v="68"/>
    <n v="0"/>
    <n v="0"/>
    <m/>
    <s v="Y"/>
    <m/>
    <s v="61-90 DAYS"/>
    <n v="4"/>
    <x v="0"/>
  </r>
  <r>
    <n v="2245"/>
    <s v="N"/>
    <s v="N"/>
    <n v="1521781"/>
    <n v="1"/>
    <d v="2012-03-26T00:00:00"/>
    <d v="2012-08-08T00:00:00"/>
    <n v="1521781"/>
    <d v="2012-03-25T00:00:00"/>
    <d v="2012-03-28T00:00:00"/>
    <n v="35000"/>
    <x v="2"/>
    <d v="2012-03-28T00:00:00"/>
    <s v="Y"/>
    <s v="SURETY"/>
    <s v="DISMISSED"/>
    <n v="4"/>
    <n v="136"/>
    <n v="0"/>
    <n v="6"/>
    <m/>
    <m/>
    <m/>
    <m/>
    <m/>
    <m/>
    <m/>
    <m/>
    <m/>
    <d v="1978-10-12T00:00:00"/>
    <s v="M"/>
    <s v="H"/>
    <s v="HISPANIC"/>
    <s v="HISPANIC"/>
    <s v="262"/>
    <s v="DISMISSED"/>
    <n v="7"/>
    <s v="DISMISSED"/>
    <m/>
    <m/>
    <m/>
    <s v="ENDANGERING A CHILD"/>
    <m/>
    <s v="FS"/>
    <s v="OTHER FEL"/>
    <s v="misd assault 8/8/12 pend"/>
    <m/>
    <m/>
    <m/>
    <m/>
    <m/>
    <m/>
    <m/>
    <m/>
    <s v="Hired Attorney"/>
    <m/>
    <m/>
    <n v="4"/>
    <n v="137"/>
    <n v="136"/>
    <n v="33.385245901639344"/>
    <n v="0"/>
    <n v="-133"/>
    <s v="NO CONVICTION"/>
    <x v="1"/>
    <s v="Y"/>
    <m/>
    <s v="NO CONVICTION"/>
    <s v="Y"/>
    <x v="1"/>
    <x v="0"/>
    <s v="N"/>
    <n v="2.9411764705882353E-2"/>
    <n v="2.9411764705882353E-2"/>
    <n v="0"/>
    <n v="0"/>
    <n v="-4"/>
    <n v="0"/>
    <n v="4"/>
    <e v="#VALUE!"/>
    <n v="4"/>
    <n v="0"/>
    <n v="133"/>
    <m/>
    <s v="Y"/>
    <m/>
    <s v="0-10 DAYS"/>
    <n v="1"/>
    <x v="0"/>
  </r>
  <r>
    <n v="1953"/>
    <s v="N"/>
    <s v="N"/>
    <n v="1523246"/>
    <n v="5"/>
    <d v="2012-03-14T00:00:00"/>
    <d v="2012-03-15T00:00:00"/>
    <n v="1523246"/>
    <d v="2012-03-14T00:00:00"/>
    <d v="2012-03-15T00:00:00"/>
    <n v="15000"/>
    <x v="0"/>
    <m/>
    <s v="N"/>
    <s v="NONE"/>
    <s v="GUILTY PLEA - NO JURY"/>
    <n v="2"/>
    <n v="2"/>
    <n v="6"/>
    <n v="15"/>
    <n v="3"/>
    <m/>
    <m/>
    <m/>
    <m/>
    <m/>
    <m/>
    <m/>
    <m/>
    <d v="1979-01-06T00:00:00"/>
    <s v="M"/>
    <s v="B"/>
    <s v="BLACK"/>
    <s v="NON-HISPANIC"/>
    <s v="337"/>
    <s v="CONVICTED"/>
    <n v="1"/>
    <s v="STJ"/>
    <m/>
    <n v="8"/>
    <m/>
    <s v="MAN/DEL CS PG I &lt;1GRAM"/>
    <m/>
    <s v="FS"/>
    <s v="SALE DRUG"/>
    <m/>
    <m/>
    <m/>
    <m/>
    <m/>
    <m/>
    <m/>
    <m/>
    <m/>
    <s v="Appointed Attorney"/>
    <m/>
    <m/>
    <n v="2"/>
    <n v="2"/>
    <n v="2"/>
    <n v="33.117486338797811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1203"/>
    <s v="N"/>
    <s v="N"/>
    <n v="1523835"/>
    <n v="2"/>
    <d v="2012-02-14T00:00:00"/>
    <d v="2013-02-11T00:00:00"/>
    <n v="1523835"/>
    <d v="2012-02-14T00:00:00"/>
    <d v="2012-02-17T00:00:00"/>
    <n v="60000"/>
    <x v="2"/>
    <d v="2012-02-17T00:00:00"/>
    <s v="Y"/>
    <s v="SURETY"/>
    <s v="DEFERRED ADJUDICATION "/>
    <n v="4"/>
    <n v="364"/>
    <n v="0"/>
    <n v="1"/>
    <m/>
    <m/>
    <m/>
    <m/>
    <m/>
    <m/>
    <m/>
    <m/>
    <m/>
    <d v="1976-01-12T00:00:00"/>
    <s v="M"/>
    <s v="H"/>
    <s v="HISPANIC"/>
    <s v="HISPANIC"/>
    <s v="177"/>
    <s v="DEFERRED"/>
    <n v="14"/>
    <s v="DEFERRED"/>
    <m/>
    <m/>
    <m/>
    <s v="AGG SEX ASSLT CHILD-UNDER 14"/>
    <m/>
    <s v="F1"/>
    <s v="SEX ABUSE"/>
    <m/>
    <m/>
    <m/>
    <m/>
    <m/>
    <m/>
    <m/>
    <m/>
    <m/>
    <s v="Hired Attorney"/>
    <m/>
    <m/>
    <n v="4"/>
    <n v="364"/>
    <n v="364"/>
    <n v="36.016393442622949"/>
    <n v="0"/>
    <n v="-360"/>
    <s v="DEFERRED"/>
    <x v="1"/>
    <s v="Y"/>
    <m/>
    <s v="DEFERRED"/>
    <s v="Y"/>
    <x v="1"/>
    <x v="0"/>
    <s v="N"/>
    <n v="1.098901098901099E-2"/>
    <n v="1.098901098901099E-2"/>
    <n v="0"/>
    <n v="0"/>
    <n v="-4"/>
    <n v="0"/>
    <n v="4"/>
    <e v="#VALUE!"/>
    <n v="4"/>
    <n v="0"/>
    <n v="360"/>
    <m/>
    <s v="Y"/>
    <m/>
    <s v="0-10 DAYS"/>
    <n v="1"/>
    <x v="0"/>
  </r>
  <r>
    <n v="2164"/>
    <s v="N"/>
    <s v="N"/>
    <n v="1524901"/>
    <n v="2"/>
    <d v="2012-03-22T00:00:00"/>
    <d v="2012-11-08T00:00:00"/>
    <n v="1524901"/>
    <d v="2012-03-22T00:00:00"/>
    <d v="2012-04-10T00:00:00"/>
    <n v="30000"/>
    <x v="2"/>
    <d v="2012-04-10T00:00:00"/>
    <s v="Y"/>
    <s v="SURETY"/>
    <s v="DEFERRED ADJUDICATION "/>
    <n v="20"/>
    <n v="232"/>
    <n v="1"/>
    <n v="3"/>
    <m/>
    <n v="1"/>
    <m/>
    <m/>
    <m/>
    <m/>
    <m/>
    <m/>
    <m/>
    <d v="1972-11-18T00:00:00"/>
    <s v="M"/>
    <s v="W"/>
    <s v="WHITE"/>
    <s v="NULL"/>
    <s v="176"/>
    <s v="DEFERRED"/>
    <n v="7"/>
    <s v="DEFERRED"/>
    <m/>
    <m/>
    <m/>
    <s v="INJURY TO ELDERLY"/>
    <m/>
    <s v="F3"/>
    <s v="ASLT-MURDR"/>
    <m/>
    <m/>
    <m/>
    <m/>
    <m/>
    <m/>
    <m/>
    <m/>
    <m/>
    <s v="Hired Attorney"/>
    <m/>
    <m/>
    <n v="20"/>
    <n v="232"/>
    <n v="232"/>
    <n v="39.259562841530055"/>
    <n v="0"/>
    <n v="-212"/>
    <s v="DEFERRED"/>
    <x v="1"/>
    <s v="Y"/>
    <m/>
    <s v="DEFERRED"/>
    <s v="Y"/>
    <x v="1"/>
    <x v="0"/>
    <s v="Y"/>
    <n v="8.6206896551724144E-2"/>
    <n v="8.6206896551724144E-2"/>
    <n v="0"/>
    <n v="0"/>
    <n v="-20"/>
    <n v="0"/>
    <n v="20"/>
    <e v="#VALUE!"/>
    <n v="20"/>
    <n v="0"/>
    <n v="212"/>
    <m/>
    <s v="Y"/>
    <m/>
    <s v="11-30 DAYS"/>
    <n v="2"/>
    <x v="0"/>
  </r>
  <r>
    <n v="2130"/>
    <s v="N"/>
    <s v="N"/>
    <n v="1526922"/>
    <n v="6"/>
    <d v="2012-03-20T00:00:00"/>
    <d v="2012-03-22T00:00:00"/>
    <n v="1526922"/>
    <d v="2012-03-21T00:00:00"/>
    <d v="2012-03-22T00:00:00"/>
    <n v="20000"/>
    <x v="0"/>
    <m/>
    <s v="N"/>
    <s v="NONE"/>
    <s v="GUILTY PLEA - NO JURY"/>
    <n v="2"/>
    <n v="3"/>
    <n v="2"/>
    <n v="0"/>
    <n v="2"/>
    <m/>
    <m/>
    <m/>
    <m/>
    <m/>
    <m/>
    <m/>
    <m/>
    <d v="1975-11-07T00:00:00"/>
    <s v="M"/>
    <s v="B"/>
    <s v="BLACK"/>
    <s v="NON-HISPANIC"/>
    <s v="228"/>
    <s v="CONVICTED"/>
    <n v="1"/>
    <s v="TDC"/>
    <n v="2"/>
    <m/>
    <m/>
    <s v="FAIL TO COMPLY AS SEX OFFENDER"/>
    <m/>
    <s v="F3"/>
    <s v="OTHER FEL"/>
    <m/>
    <m/>
    <m/>
    <m/>
    <m/>
    <m/>
    <m/>
    <m/>
    <m/>
    <s v="Appointed Attorney"/>
    <m/>
    <m/>
    <n v="2"/>
    <n v="2"/>
    <n v="3"/>
    <n v="36.292349726775953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888"/>
    <s v="N"/>
    <s v="N"/>
    <n v="1528140"/>
    <n v="4"/>
    <d v="2012-02-02T00:00:00"/>
    <d v="2012-04-20T00:00:00"/>
    <n v="1528140"/>
    <d v="2012-02-04T00:00:00"/>
    <d v="2012-04-20T00:00:00"/>
    <s v="NO BOND"/>
    <x v="1"/>
    <m/>
    <s v="N"/>
    <s v="NONE"/>
    <s v="GUILTY PLEA - NO JURY"/>
    <n v="77"/>
    <n v="79"/>
    <n v="1"/>
    <n v="1"/>
    <n v="1"/>
    <m/>
    <m/>
    <m/>
    <m/>
    <m/>
    <m/>
    <m/>
    <m/>
    <d v="1979-02-22T00:00:00"/>
    <s v="M"/>
    <s v="B"/>
    <s v="BLACK"/>
    <s v="NON-HISPANIC"/>
    <s v="185"/>
    <s v="CONVICTED"/>
    <n v="6"/>
    <s v="HCJ"/>
    <m/>
    <m/>
    <n v="120"/>
    <s v="AGG ASSAULT-FAMILY MEMBER"/>
    <m/>
    <s v="F2"/>
    <s v="ASLT-MURDR"/>
    <m/>
    <m/>
    <m/>
    <m/>
    <m/>
    <m/>
    <m/>
    <m/>
    <m/>
    <s v="Hired Attorney"/>
    <m/>
    <m/>
    <n v="77"/>
    <n v="77"/>
    <n v="79"/>
    <n v="32.877049180327866"/>
    <n v="0"/>
    <n v="0"/>
    <s v="CONVICTION"/>
    <x v="0"/>
    <s v="N"/>
    <m/>
    <s v="CONVICTION"/>
    <s v="Y"/>
    <x v="0"/>
    <x v="0"/>
    <s v="Y"/>
    <n v="0.97468354430379744"/>
    <n v="1"/>
    <n v="2.5316455696202556E-2"/>
    <n v="0"/>
    <n v="-77"/>
    <n v="0"/>
    <n v="77"/>
    <e v="#VALUE!"/>
    <n v="77"/>
    <n v="0"/>
    <n v="0"/>
    <m/>
    <s v="Y"/>
    <m/>
    <s v="61-90 DAYS"/>
    <n v="4"/>
    <x v="0"/>
  </r>
  <r>
    <n v="3054"/>
    <s v="N"/>
    <s v="N"/>
    <n v="1528845"/>
    <n v="2"/>
    <d v="2012-04-23T00:00:00"/>
    <d v="2012-11-08T00:00:00"/>
    <n v="1528845"/>
    <s v="NOT BOOKED"/>
    <s v="NOT BOOKED"/>
    <n v="5000"/>
    <x v="4"/>
    <d v="2012-05-02T00:00:00"/>
    <s v="Y"/>
    <s v="SURETY"/>
    <s v="DEFERRED ADJUDICATION "/>
    <n v="0"/>
    <n v="200"/>
    <n v="0"/>
    <n v="3"/>
    <m/>
    <m/>
    <m/>
    <m/>
    <m/>
    <m/>
    <m/>
    <m/>
    <m/>
    <d v="1971-10-11T00:00:00"/>
    <s v="M"/>
    <s v="H"/>
    <s v="HISPANIC"/>
    <s v="HISPANIC"/>
    <s v="263"/>
    <s v="DEFERRED"/>
    <n v="10"/>
    <s v="DEFERRED"/>
    <m/>
    <m/>
    <m/>
    <s v="THEFT &gt;=$20,000 &lt;$100,000"/>
    <m/>
    <s v="F3"/>
    <s v="THEFT"/>
    <m/>
    <m/>
    <m/>
    <m/>
    <m/>
    <m/>
    <m/>
    <m/>
    <m/>
    <s v="Appointed Attorney"/>
    <m/>
    <m/>
    <n v="0"/>
    <n v="0"/>
    <n v="200"/>
    <n v="40.450819672131146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1980"/>
    <s v="N"/>
    <s v="N"/>
    <n v="1529601"/>
    <n v="5"/>
    <d v="2012-03-14T00:00:00"/>
    <d v="2012-04-18T00:00:00"/>
    <n v="1529601"/>
    <d v="2012-03-15T00:00:00"/>
    <d v="2012-04-18T00:00:00"/>
    <n v="15000"/>
    <x v="0"/>
    <m/>
    <s v="N"/>
    <s v="NONE"/>
    <s v="GUILTY PLEA - NO JURY"/>
    <n v="35"/>
    <n v="36"/>
    <n v="14"/>
    <n v="3"/>
    <n v="6"/>
    <m/>
    <m/>
    <m/>
    <m/>
    <m/>
    <m/>
    <m/>
    <m/>
    <d v="1982-03-19T00:00:00"/>
    <s v="F"/>
    <s v="B"/>
    <s v="BLACK"/>
    <s v="NON-HISPANIC"/>
    <s v="248"/>
    <s v="CONVICTED"/>
    <n v="3"/>
    <s v="STJ"/>
    <m/>
    <n v="7"/>
    <m/>
    <s v="POSS CS PG 1 &lt;1G"/>
    <m/>
    <s v="FS"/>
    <s v="POSS DRUG"/>
    <m/>
    <m/>
    <m/>
    <m/>
    <m/>
    <m/>
    <m/>
    <m/>
    <m/>
    <s v="Appointed Attorney"/>
    <m/>
    <m/>
    <n v="35"/>
    <n v="35"/>
    <n v="36"/>
    <n v="29.92622950819672"/>
    <n v="0"/>
    <n v="0"/>
    <s v="CONVICTION"/>
    <x v="0"/>
    <s v="N"/>
    <m/>
    <s v="CONVICTION"/>
    <s v="Y"/>
    <x v="0"/>
    <x v="0"/>
    <s v="Y"/>
    <n v="0.97222222222222221"/>
    <n v="1"/>
    <n v="2.777777777777779E-2"/>
    <n v="0"/>
    <n v="-35"/>
    <n v="0"/>
    <n v="35"/>
    <e v="#VALUE!"/>
    <n v="35"/>
    <n v="0"/>
    <n v="0"/>
    <m/>
    <s v="Y"/>
    <m/>
    <s v="31-60 DAYS"/>
    <n v="3"/>
    <x v="0"/>
  </r>
  <r>
    <n v="3219"/>
    <s v="N"/>
    <s v="N"/>
    <n v="1530238"/>
    <n v="3"/>
    <d v="2012-04-28T00:00:00"/>
    <d v="2012-06-12T00:00:00"/>
    <n v="1530238"/>
    <d v="2012-04-28T00:00:00"/>
    <d v="2012-04-29T00:00:00"/>
    <n v="5000"/>
    <x v="4"/>
    <d v="2012-04-29T00:00:00"/>
    <s v="Y"/>
    <s v="SURETY"/>
    <s v="GUILTY PLEA - NO JURY"/>
    <n v="2"/>
    <n v="46"/>
    <n v="1"/>
    <n v="2"/>
    <m/>
    <m/>
    <m/>
    <m/>
    <m/>
    <m/>
    <m/>
    <m/>
    <m/>
    <d v="1979-02-19T00:00:00"/>
    <s v="F"/>
    <s v="B"/>
    <s v="BLACK"/>
    <s v="NULL"/>
    <s v="185"/>
    <s v="CONVICTED"/>
    <n v="3"/>
    <s v="PROBATION"/>
    <m/>
    <m/>
    <m/>
    <s v="ABAN/ENDANG CHILD W/INT TO RET"/>
    <m/>
    <s v="FS"/>
    <s v="OTHER FEL"/>
    <m/>
    <m/>
    <m/>
    <m/>
    <m/>
    <m/>
    <m/>
    <m/>
    <m/>
    <s v="Hired Attorney"/>
    <m/>
    <m/>
    <n v="2"/>
    <n v="46"/>
    <n v="46"/>
    <n v="33.120218579234972"/>
    <n v="0"/>
    <n v="-44"/>
    <s v="CONVICTION"/>
    <x v="1"/>
    <s v="Y"/>
    <m/>
    <s v="CONVICTION"/>
    <s v="Y"/>
    <x v="1"/>
    <x v="0"/>
    <s v="Y"/>
    <n v="4.3478260869565216E-2"/>
    <n v="4.3478260869565216E-2"/>
    <n v="0"/>
    <n v="0"/>
    <n v="-2"/>
    <n v="0"/>
    <n v="2"/>
    <e v="#VALUE!"/>
    <n v="2"/>
    <n v="0"/>
    <n v="44"/>
    <m/>
    <s v="Y"/>
    <m/>
    <s v="0-10 DAYS"/>
    <n v="1"/>
    <x v="0"/>
  </r>
  <r>
    <n v="2115"/>
    <s v="N"/>
    <s v="N"/>
    <n v="1533849"/>
    <n v="5"/>
    <d v="2012-03-20T00:00:00"/>
    <d v="2012-05-24T00:00:00"/>
    <n v="1533849"/>
    <d v="2012-03-20T00:00:00"/>
    <d v="2012-05-24T00:00:00"/>
    <n v="45000"/>
    <x v="2"/>
    <m/>
    <s v="N"/>
    <s v="NONE"/>
    <s v="GUILTY PLEA - NO JURY"/>
    <n v="66"/>
    <n v="66"/>
    <n v="4"/>
    <n v="3"/>
    <n v="3"/>
    <m/>
    <m/>
    <m/>
    <m/>
    <m/>
    <m/>
    <m/>
    <m/>
    <d v="1976-09-29T00:00:00"/>
    <s v="M"/>
    <s v="B"/>
    <s v="BLACK"/>
    <s v="NON-HISPANIC"/>
    <s v="337"/>
    <s v="CONVICTED"/>
    <n v="4"/>
    <s v="STJ"/>
    <m/>
    <n v="6"/>
    <m/>
    <s v="MAN/DEL CS PG I &lt;1GRAM"/>
    <m/>
    <s v="FS"/>
    <s v="SALE DRUG"/>
    <m/>
    <m/>
    <m/>
    <m/>
    <m/>
    <m/>
    <m/>
    <m/>
    <m/>
    <s v="Public Defender"/>
    <m/>
    <m/>
    <n v="66"/>
    <n v="66"/>
    <n v="66"/>
    <n v="35.398907103825138"/>
    <n v="0"/>
    <n v="0"/>
    <s v="CONVICTION"/>
    <x v="0"/>
    <s v="N"/>
    <m/>
    <s v="CONVICTION"/>
    <s v="Y"/>
    <x v="0"/>
    <x v="0"/>
    <s v="Y"/>
    <n v="1"/>
    <n v="1"/>
    <n v="0"/>
    <n v="0"/>
    <n v="-66"/>
    <n v="0"/>
    <n v="66"/>
    <e v="#VALUE!"/>
    <n v="66"/>
    <n v="0"/>
    <n v="0"/>
    <m/>
    <s v="Y"/>
    <m/>
    <s v="61-90 DAYS"/>
    <n v="4"/>
    <x v="0"/>
  </r>
  <r>
    <n v="938"/>
    <s v="N"/>
    <s v="N"/>
    <n v="1535863"/>
    <n v="3"/>
    <d v="2012-02-04T00:00:00"/>
    <d v="2013-04-08T00:00:00"/>
    <n v="1535863"/>
    <d v="2012-02-04T00:00:00"/>
    <d v="2012-02-05T00:00:00"/>
    <n v="10000"/>
    <x v="3"/>
    <d v="2012-02-05T00:00:00"/>
    <s v="Y"/>
    <s v="SURETYPTRc"/>
    <s v="GUILTY PLEA - NO JURY"/>
    <n v="2"/>
    <n v="430"/>
    <n v="1"/>
    <n v="5"/>
    <m/>
    <n v="1"/>
    <m/>
    <m/>
    <m/>
    <m/>
    <m/>
    <m/>
    <m/>
    <d v="1974-05-06T00:00:00"/>
    <s v="M"/>
    <s v="B"/>
    <s v="BLACK"/>
    <s v="NON-HISPANIC"/>
    <s v="174"/>
    <s v="NULL"/>
    <n v="13"/>
    <s v="PROBATION"/>
    <m/>
    <m/>
    <m/>
    <s v="DWI 3RD OFFENDER BAC .08"/>
    <m/>
    <s v="F3"/>
    <s v="FEL DWI"/>
    <m/>
    <m/>
    <m/>
    <m/>
    <m/>
    <m/>
    <m/>
    <m/>
    <m/>
    <s v="Hired Attorney"/>
    <m/>
    <m/>
    <n v="2"/>
    <n v="430"/>
    <n v="430"/>
    <n v="37.672131147540981"/>
    <n v="0"/>
    <n v="-428"/>
    <s v="CONVICTION"/>
    <x v="1"/>
    <s v="Y"/>
    <m/>
    <s v=""/>
    <s v="Y"/>
    <x v="1"/>
    <x v="0"/>
    <s v="Y"/>
    <n v="4.6511627906976744E-3"/>
    <n v="4.6511627906976744E-3"/>
    <n v="0"/>
    <n v="0"/>
    <n v="-2"/>
    <n v="0"/>
    <n v="2"/>
    <e v="#VALUE!"/>
    <n v="2"/>
    <n v="0"/>
    <n v="428"/>
    <m/>
    <s v="Y"/>
    <m/>
    <s v="0-10 DAYS"/>
    <n v="1"/>
    <x v="0"/>
  </r>
  <r>
    <n v="155"/>
    <s v="N"/>
    <s v="N"/>
    <n v="1542070"/>
    <n v="2"/>
    <d v="2012-01-07T00:00:00"/>
    <d v="2012-06-18T00:00:00"/>
    <n v="1542070"/>
    <d v="2012-01-07T00:00:00"/>
    <d v="2012-06-18T00:00:00"/>
    <n v="30000"/>
    <x v="2"/>
    <m/>
    <s v="N"/>
    <s v="NONE"/>
    <s v="DEFERRED ADJUDICATION "/>
    <n v="164"/>
    <n v="164"/>
    <n v="1"/>
    <n v="1"/>
    <m/>
    <m/>
    <m/>
    <m/>
    <m/>
    <m/>
    <m/>
    <m/>
    <m/>
    <d v="1957-05-14T00:00:00"/>
    <s v="M"/>
    <s v="B"/>
    <s v="BLACK"/>
    <s v="NULL"/>
    <s v="178"/>
    <s v="DEFERRED"/>
    <n v="7"/>
    <s v="DEFERRED"/>
    <m/>
    <m/>
    <m/>
    <s v="POSS W/INT DEL CS PG1&gt;=4 &lt;200"/>
    <m/>
    <s v="F1"/>
    <s v="SALE DRUG"/>
    <m/>
    <m/>
    <m/>
    <m/>
    <m/>
    <m/>
    <m/>
    <m/>
    <m/>
    <s v="Hired Attorney"/>
    <m/>
    <m/>
    <n v="164"/>
    <n v="164"/>
    <n v="164"/>
    <n v="54.538251366120221"/>
    <n v="0"/>
    <n v="0"/>
    <s v="DEFERRED"/>
    <x v="0"/>
    <s v="N"/>
    <m/>
    <s v="DEFERRED"/>
    <s v="Y"/>
    <x v="0"/>
    <x v="0"/>
    <s v="Y"/>
    <n v="1"/>
    <n v="1"/>
    <n v="0"/>
    <n v="0"/>
    <n v="-164"/>
    <n v="0"/>
    <n v="164"/>
    <e v="#VALUE!"/>
    <n v="164"/>
    <n v="0"/>
    <n v="0"/>
    <m/>
    <s v="Y"/>
    <m/>
    <s v="121-365 DAYS"/>
    <n v="6"/>
    <x v="0"/>
  </r>
  <r>
    <n v="669"/>
    <s v="N"/>
    <s v="N"/>
    <n v="1544122"/>
    <n v="1"/>
    <d v="2012-01-27T00:00:00"/>
    <d v="2012-02-02T00:00:00"/>
    <n v="1544122"/>
    <d v="2012-01-27T00:00:00"/>
    <d v="2012-02-02T00:00:00"/>
    <n v="15000"/>
    <x v="0"/>
    <m/>
    <s v="N"/>
    <s v="NONE"/>
    <s v="DISMISSED"/>
    <n v="7"/>
    <n v="7"/>
    <n v="3"/>
    <n v="2"/>
    <n v="3"/>
    <m/>
    <m/>
    <m/>
    <m/>
    <m/>
    <m/>
    <m/>
    <m/>
    <d v="1962-12-02T00:00:00"/>
    <s v="M"/>
    <s v="W"/>
    <s v="WHITE"/>
    <s v="NON-HISPANIC"/>
    <s v="177"/>
    <s v="DISMISSED"/>
    <n v="3"/>
    <s v="DISMISSED"/>
    <m/>
    <m/>
    <m/>
    <s v="POSS W/INT DEL CS PG1&gt;=4 &lt;200"/>
    <m/>
    <s v="F1"/>
    <s v="SALE DRUG"/>
    <m/>
    <m/>
    <m/>
    <m/>
    <m/>
    <m/>
    <m/>
    <m/>
    <m/>
    <s v="Appointed Attorney"/>
    <m/>
    <m/>
    <n v="7"/>
    <n v="7"/>
    <n v="7"/>
    <n v="49.051912568306008"/>
    <n v="0"/>
    <n v="0"/>
    <s v="NO CONVICTION"/>
    <x v="0"/>
    <s v="N"/>
    <m/>
    <s v="NO CONVICTION"/>
    <s v="Y"/>
    <x v="0"/>
    <x v="0"/>
    <s v="Y"/>
    <n v="1"/>
    <n v="1"/>
    <n v="0"/>
    <n v="0"/>
    <n v="-7"/>
    <n v="0"/>
    <n v="7"/>
    <e v="#VALUE!"/>
    <n v="7"/>
    <n v="0"/>
    <n v="0"/>
    <m/>
    <s v="Y"/>
    <m/>
    <s v="0-10 DAYS"/>
    <n v="1"/>
    <x v="0"/>
  </r>
  <r>
    <n v="2263"/>
    <s v="N"/>
    <s v="N"/>
    <n v="1550541"/>
    <n v="1"/>
    <d v="2012-03-27T00:00:00"/>
    <d v="2013-03-14T00:00:00"/>
    <n v="1550541"/>
    <d v="2012-03-27T00:00:00"/>
    <d v="2013-03-14T00:00:00"/>
    <n v="20000"/>
    <x v="0"/>
    <m/>
    <s v="N"/>
    <s v="NONE"/>
    <s v="DISMISSED"/>
    <n v="353"/>
    <n v="353"/>
    <n v="6"/>
    <n v="12"/>
    <n v="3"/>
    <n v="1"/>
    <m/>
    <m/>
    <m/>
    <m/>
    <m/>
    <m/>
    <m/>
    <d v="1979-07-03T00:00:00"/>
    <s v="M"/>
    <s v="B"/>
    <s v="BLACK"/>
    <s v="NULL"/>
    <s v="182"/>
    <s v="DISMISSED"/>
    <n v="10"/>
    <s v="DISMISSED"/>
    <m/>
    <m/>
    <m/>
    <s v="TAMPER/FABRICATE EVIDENCE"/>
    <m/>
    <s v="F3"/>
    <s v="OTHER FEL"/>
    <m/>
    <m/>
    <m/>
    <m/>
    <m/>
    <m/>
    <m/>
    <m/>
    <m/>
    <s v="Appointed Attorney"/>
    <m/>
    <m/>
    <n v="353"/>
    <n v="353"/>
    <n v="353"/>
    <n v="32.666666666666664"/>
    <n v="0"/>
    <n v="0"/>
    <s v="NO CONVICTION"/>
    <x v="0"/>
    <s v="N"/>
    <m/>
    <s v="NO CONVICTION"/>
    <s v="Y"/>
    <x v="0"/>
    <x v="0"/>
    <s v="Y"/>
    <n v="1"/>
    <n v="1"/>
    <n v="0"/>
    <n v="0"/>
    <n v="-353"/>
    <n v="0"/>
    <n v="353"/>
    <e v="#VALUE!"/>
    <n v="353"/>
    <n v="0"/>
    <n v="0"/>
    <m/>
    <s v="Y"/>
    <m/>
    <s v="121-365 DAYS"/>
    <n v="6"/>
    <x v="0"/>
  </r>
  <r>
    <n v="452"/>
    <s v="N"/>
    <s v="N"/>
    <n v="1551315"/>
    <n v="5"/>
    <d v="2012-01-19T00:00:00"/>
    <d v="2012-05-23T00:00:00"/>
    <n v="1551315"/>
    <d v="2012-01-20T00:00:00"/>
    <d v="2012-05-23T00:00:00"/>
    <n v="2000"/>
    <x v="5"/>
    <m/>
    <s v="N"/>
    <s v="NONE"/>
    <s v="GUILTY PLEA - NO JURY"/>
    <n v="125"/>
    <n v="126"/>
    <n v="0"/>
    <n v="5"/>
    <m/>
    <m/>
    <m/>
    <m/>
    <m/>
    <m/>
    <m/>
    <m/>
    <m/>
    <d v="1978-07-30T00:00:00"/>
    <s v="F"/>
    <s v="W"/>
    <s v="WHITE"/>
    <s v="NULL"/>
    <s v="180"/>
    <s v="CONVICTED"/>
    <n v="5"/>
    <s v="STJ"/>
    <m/>
    <n v="9"/>
    <m/>
    <s v="THEFT $1500-20K"/>
    <m/>
    <s v="FS"/>
    <s v="THEFT"/>
    <m/>
    <m/>
    <m/>
    <m/>
    <m/>
    <m/>
    <m/>
    <m/>
    <m/>
    <s v="Hired Attorney"/>
    <m/>
    <m/>
    <n v="125"/>
    <n v="125"/>
    <n v="126"/>
    <n v="33.404371584699454"/>
    <n v="0"/>
    <n v="0"/>
    <s v="CONVICTION"/>
    <x v="0"/>
    <s v="N"/>
    <m/>
    <s v="CONVICTION"/>
    <s v="Y"/>
    <x v="0"/>
    <x v="0"/>
    <s v="N"/>
    <n v="0.99206349206349209"/>
    <n v="1"/>
    <n v="7.9365079365079083E-3"/>
    <n v="0"/>
    <n v="-125"/>
    <n v="0"/>
    <n v="125"/>
    <e v="#VALUE!"/>
    <n v="125"/>
    <n v="0"/>
    <n v="0"/>
    <m/>
    <s v="Y"/>
    <m/>
    <s v="121-365 DAYS"/>
    <n v="6"/>
    <x v="0"/>
  </r>
  <r>
    <n v="272"/>
    <s v="N"/>
    <s v="N"/>
    <n v="1552433"/>
    <n v="6"/>
    <d v="2012-01-12T00:00:00"/>
    <d v="2012-07-24T00:00:00"/>
    <n v="1552433"/>
    <d v="2012-01-12T00:00:00"/>
    <d v="2012-07-24T00:00:00"/>
    <s v="NO BOND"/>
    <x v="1"/>
    <m/>
    <s v="N"/>
    <s v="NONE"/>
    <s v="GUILTY PLEA - NO JURY"/>
    <n v="195"/>
    <n v="195"/>
    <n v="3"/>
    <n v="3"/>
    <n v="9"/>
    <m/>
    <m/>
    <m/>
    <m/>
    <m/>
    <m/>
    <s v="S"/>
    <m/>
    <d v="1979-05-01T00:00:00"/>
    <s v="M"/>
    <s v="H"/>
    <s v="HISPANIC"/>
    <s v="NULL"/>
    <s v="209"/>
    <s v="CONVICTED"/>
    <n v="17"/>
    <s v="TDC"/>
    <n v="8"/>
    <m/>
    <m/>
    <s v="POSS W/INT DEL CS PG1&gt;=4 &lt;200"/>
    <m/>
    <s v="F1"/>
    <s v="SALE DRUG"/>
    <m/>
    <m/>
    <m/>
    <m/>
    <m/>
    <m/>
    <m/>
    <m/>
    <m/>
    <s v="Hired Attorney"/>
    <m/>
    <m/>
    <n v="195"/>
    <n v="195"/>
    <n v="195"/>
    <n v="32.633879781420767"/>
    <n v="0"/>
    <n v="0"/>
    <s v="CONVICTION"/>
    <x v="0"/>
    <s v="N"/>
    <m/>
    <s v="CONVICTION"/>
    <s v="Y"/>
    <x v="0"/>
    <x v="0"/>
    <s v="Y"/>
    <n v="1"/>
    <n v="1"/>
    <n v="0"/>
    <n v="0"/>
    <n v="-195"/>
    <n v="0"/>
    <n v="195"/>
    <e v="#VALUE!"/>
    <n v="195"/>
    <n v="0"/>
    <n v="0"/>
    <m/>
    <s v="Y"/>
    <m/>
    <s v="121-365 DAYS"/>
    <n v="6"/>
    <x v="0"/>
  </r>
  <r>
    <n v="1258"/>
    <s v="N"/>
    <s v="N"/>
    <n v="1556473"/>
    <n v="1"/>
    <d v="2012-02-15T00:00:00"/>
    <d v="2013-06-05T00:00:00"/>
    <n v="1556473"/>
    <s v="NOT BOOKED"/>
    <s v="NOT BOOKED"/>
    <n v="4000"/>
    <x v="4"/>
    <s v="NOT BOOKED"/>
    <s v="Y"/>
    <s v="SURETY"/>
    <s v="DISMISSED"/>
    <n v="0"/>
    <n v="477"/>
    <n v="0"/>
    <n v="1"/>
    <m/>
    <m/>
    <m/>
    <m/>
    <m/>
    <m/>
    <m/>
    <m/>
    <m/>
    <d v="1978-07-27T00:00:00"/>
    <s v="M"/>
    <s v="B"/>
    <s v="BLACK"/>
    <s v="NULL"/>
    <s v="351"/>
    <s v="DISMISSED"/>
    <m/>
    <s v="DISMISSED"/>
    <m/>
    <m/>
    <m/>
    <s v="POSS CS PG 1 &lt;1G"/>
    <m/>
    <s v="FS"/>
    <s v="POSS DRUG"/>
    <m/>
    <m/>
    <m/>
    <m/>
    <m/>
    <m/>
    <m/>
    <m/>
    <m/>
    <s v="Hired Attorney"/>
    <m/>
    <m/>
    <n v="0"/>
    <e v="#VALUE!"/>
    <n v="477"/>
    <n v="33.486338797814206"/>
    <e v="#VALUE!"/>
    <e v="#VALUE!"/>
    <s v="NO CONVICTION"/>
    <x v="1"/>
    <s v="N"/>
    <m/>
    <s v="NO CONVICTION"/>
    <n v="0"/>
    <x v="1"/>
    <x v="0"/>
    <s v="N"/>
    <n v="0"/>
    <n v="0"/>
    <n v="0"/>
    <n v="0"/>
    <e v="#VALUE!"/>
    <e v="#VALUE!"/>
    <e v="#VALUE!"/>
    <s v="NOT BOOKED"/>
    <n v="0"/>
    <n v="0"/>
    <e v="#VALUE!"/>
    <m/>
    <s v="Y"/>
    <m/>
    <s v="0-10 DAYS"/>
    <n v="1"/>
    <x v="1"/>
  </r>
  <r>
    <n v="953"/>
    <s v="N"/>
    <s v="N"/>
    <n v="1556923"/>
    <n v="5"/>
    <d v="2012-02-04T00:00:00"/>
    <d v="2012-02-06T00:00:00"/>
    <n v="1556923"/>
    <d v="2012-02-05T00:00:00"/>
    <d v="2012-02-06T00:00:00"/>
    <n v="15000"/>
    <x v="0"/>
    <m/>
    <s v="N"/>
    <s v="NONE"/>
    <s v="GUILTY PLEA - NO JURY"/>
    <n v="2"/>
    <n v="3"/>
    <n v="7"/>
    <n v="0"/>
    <n v="5"/>
    <m/>
    <m/>
    <m/>
    <m/>
    <m/>
    <m/>
    <m/>
    <m/>
    <d v="1978-12-23T00:00:00"/>
    <s v="M"/>
    <s v="W"/>
    <s v="WHITE"/>
    <s v="NON-HISPANIC"/>
    <s v="262"/>
    <s v="CONVICTED"/>
    <n v="1"/>
    <s v="STJ"/>
    <m/>
    <n v="9"/>
    <m/>
    <s v="UNAUTH USE OF VEHICLE"/>
    <m/>
    <s v="FS"/>
    <s v="AUTO THEFT"/>
    <m/>
    <m/>
    <m/>
    <m/>
    <m/>
    <m/>
    <m/>
    <m/>
    <m/>
    <s v="Appointed Attorney"/>
    <m/>
    <m/>
    <n v="2"/>
    <n v="2"/>
    <n v="3"/>
    <n v="33.049180327868854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553"/>
    <s v="N"/>
    <s v="N"/>
    <n v="1557189"/>
    <n v="4"/>
    <d v="2012-01-23T00:00:00"/>
    <d v="2012-01-24T00:00:00"/>
    <n v="1557189"/>
    <d v="2012-01-23T00:00:00"/>
    <d v="2012-01-24T00:00:00"/>
    <n v="2000"/>
    <x v="5"/>
    <m/>
    <s v="N"/>
    <s v="NONE"/>
    <s v="GUILTY PLEA - NO JURY"/>
    <n v="2"/>
    <n v="2"/>
    <n v="0"/>
    <n v="1"/>
    <m/>
    <m/>
    <m/>
    <m/>
    <m/>
    <m/>
    <m/>
    <m/>
    <m/>
    <d v="1973-02-08T00:00:00"/>
    <s v="M"/>
    <s v="H"/>
    <s v="HISPANIC"/>
    <s v="HISPANIC"/>
    <s v="184"/>
    <s v="CONVICTED"/>
    <n v="1"/>
    <s v="HCJ"/>
    <m/>
    <m/>
    <n v="120"/>
    <s v="POSS CS PG 1 &lt;1G"/>
    <m/>
    <s v="FS"/>
    <s v="POSS DRUG"/>
    <m/>
    <m/>
    <m/>
    <m/>
    <m/>
    <m/>
    <m/>
    <m/>
    <m/>
    <s v="Appointed Attorney"/>
    <m/>
    <m/>
    <n v="2"/>
    <n v="2"/>
    <n v="2"/>
    <n v="38.874316939890711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2134"/>
    <s v="N"/>
    <s v="N"/>
    <n v="1557440"/>
    <n v="2"/>
    <d v="2012-03-21T00:00:00"/>
    <d v="2012-04-04T00:00:00"/>
    <n v="1557440"/>
    <d v="2012-03-27T00:00:00"/>
    <d v="2012-04-04T00:00:00"/>
    <s v="NO BOND"/>
    <x v="1"/>
    <m/>
    <s v="N"/>
    <s v="NONE"/>
    <s v="DEFERRED ADJUDICATION "/>
    <n v="9"/>
    <n v="15"/>
    <n v="0"/>
    <n v="2"/>
    <m/>
    <m/>
    <m/>
    <m/>
    <m/>
    <m/>
    <m/>
    <m/>
    <m/>
    <d v="1969-08-31T00:00:00"/>
    <s v="M"/>
    <s v="B"/>
    <s v="BLACK"/>
    <s v="NON-HISPANIC"/>
    <s v="184"/>
    <s v="DEFERRED"/>
    <n v="3"/>
    <s v="DEFERRED"/>
    <m/>
    <m/>
    <m/>
    <s v="ASSAULT-BOD INJ-FAMILY MEMBER"/>
    <m/>
    <s v="F3"/>
    <s v="ASLT-MURDR"/>
    <m/>
    <m/>
    <m/>
    <m/>
    <m/>
    <m/>
    <m/>
    <m/>
    <m/>
    <s v="Hired Attorney"/>
    <m/>
    <m/>
    <n v="9"/>
    <n v="9"/>
    <n v="15"/>
    <n v="42.467213114754095"/>
    <n v="0"/>
    <n v="0"/>
    <s v="DEFERRED"/>
    <x v="0"/>
    <s v="N"/>
    <m/>
    <s v="DEFERRED"/>
    <s v="Y"/>
    <x v="0"/>
    <x v="0"/>
    <s v="N"/>
    <n v="0.6"/>
    <n v="1"/>
    <n v="0.4"/>
    <n v="0"/>
    <n v="-9"/>
    <n v="0"/>
    <n v="9"/>
    <e v="#VALUE!"/>
    <n v="9"/>
    <n v="0"/>
    <n v="0"/>
    <m/>
    <s v="Y"/>
    <m/>
    <s v="0-10 DAYS"/>
    <n v="1"/>
    <x v="0"/>
  </r>
  <r>
    <n v="2560"/>
    <s v="N"/>
    <s v="N"/>
    <n v="1557778"/>
    <n v="2"/>
    <d v="2012-04-05T00:00:00"/>
    <d v="2012-06-13T00:00:00"/>
    <n v="1557778"/>
    <d v="2012-04-06T00:00:00"/>
    <d v="2012-06-13T00:00:00"/>
    <n v="15000"/>
    <x v="0"/>
    <m/>
    <s v="N"/>
    <s v="NONE"/>
    <s v="DEFERRED ADJUDICATION "/>
    <n v="69"/>
    <n v="70"/>
    <n v="7"/>
    <n v="8"/>
    <n v="5"/>
    <m/>
    <m/>
    <m/>
    <m/>
    <m/>
    <m/>
    <m/>
    <m/>
    <d v="1979-01-09T00:00:00"/>
    <s v="M"/>
    <s v="W"/>
    <s v="WHITE"/>
    <s v="NON-HISPANIC"/>
    <s v="263"/>
    <s v="DEFERRED"/>
    <n v="13"/>
    <s v="DEFERRED"/>
    <m/>
    <m/>
    <m/>
    <s v="THEFT UNDER $1500 - 3RD OFF."/>
    <m/>
    <s v="FS"/>
    <s v="THEFT"/>
    <m/>
    <m/>
    <m/>
    <m/>
    <m/>
    <m/>
    <m/>
    <m/>
    <m/>
    <s v="Appointed Attorney"/>
    <m/>
    <m/>
    <n v="69"/>
    <n v="69"/>
    <n v="70"/>
    <n v="33.169398907103826"/>
    <n v="0"/>
    <n v="0"/>
    <s v="DEFERRED"/>
    <x v="0"/>
    <s v="N"/>
    <m/>
    <s v="DEFERRED"/>
    <s v="Y"/>
    <x v="0"/>
    <x v="0"/>
    <s v="Y"/>
    <n v="0.98571428571428577"/>
    <n v="1"/>
    <n v="1.4285714285714235E-2"/>
    <n v="0"/>
    <n v="-69"/>
    <n v="0"/>
    <n v="69"/>
    <e v="#VALUE!"/>
    <n v="69"/>
    <n v="0"/>
    <n v="0"/>
    <m/>
    <s v="Y"/>
    <m/>
    <s v="61-90 DAYS"/>
    <n v="4"/>
    <x v="0"/>
  </r>
  <r>
    <n v="1915"/>
    <s v="N"/>
    <s v="N"/>
    <n v="1558353"/>
    <n v="2"/>
    <d v="2012-03-12T00:00:00"/>
    <d v="2012-04-16T00:00:00"/>
    <n v="1558353"/>
    <d v="2012-03-12T00:00:00"/>
    <d v="2012-03-14T00:00:00"/>
    <n v="2000"/>
    <x v="5"/>
    <d v="2012-03-14T00:00:00"/>
    <s v="Y"/>
    <s v="SURETYPTRc"/>
    <s v="DEFERRED ADJUDICATION "/>
    <n v="3"/>
    <n v="36"/>
    <n v="0"/>
    <n v="1"/>
    <m/>
    <m/>
    <m/>
    <m/>
    <m/>
    <m/>
    <m/>
    <m/>
    <m/>
    <d v="1972-11-22T00:00:00"/>
    <s v="F"/>
    <s v="W"/>
    <s v="WHITE"/>
    <s v="NULL"/>
    <s v="337"/>
    <s v="DEFERRED"/>
    <n v="2"/>
    <s v="DEFERRED"/>
    <m/>
    <m/>
    <m/>
    <s v="POSS CS PG 1 &lt;1G"/>
    <m/>
    <s v="FS"/>
    <s v="POSS DRUG"/>
    <s v=" misd dwi misd theft revoked prob stj 7 mos 9/25/12"/>
    <m/>
    <m/>
    <m/>
    <m/>
    <m/>
    <m/>
    <m/>
    <m/>
    <s v="Appointed Attorney"/>
    <m/>
    <m/>
    <n v="3"/>
    <n v="36"/>
    <n v="36"/>
    <n v="39.221311475409834"/>
    <n v="0"/>
    <n v="-33"/>
    <s v="DEFERRED"/>
    <x v="1"/>
    <s v="Y"/>
    <m/>
    <s v="DEFERRED"/>
    <s v="Y"/>
    <x v="1"/>
    <x v="0"/>
    <s v="N"/>
    <n v="8.3333333333333329E-2"/>
    <n v="8.3333333333333329E-2"/>
    <n v="0"/>
    <n v="0"/>
    <n v="-3"/>
    <n v="0"/>
    <n v="3"/>
    <e v="#VALUE!"/>
    <n v="3"/>
    <n v="0"/>
    <n v="33"/>
    <m/>
    <s v="Y"/>
    <m/>
    <s v="0-10 DAYS"/>
    <n v="1"/>
    <x v="0"/>
  </r>
  <r>
    <n v="3149"/>
    <s v="N"/>
    <s v="N"/>
    <n v="1558530"/>
    <n v="6"/>
    <d v="2012-04-26T00:00:00"/>
    <d v="2013-05-06T00:00:00"/>
    <n v="1558530"/>
    <d v="2012-04-27T00:00:00"/>
    <d v="2013-05-06T00:00:00"/>
    <s v="NO BOND"/>
    <x v="1"/>
    <m/>
    <s v="N"/>
    <s v="NONE"/>
    <s v="jury verdict"/>
    <n v="375"/>
    <n v="376"/>
    <n v="3"/>
    <n v="0"/>
    <n v="2"/>
    <m/>
    <m/>
    <m/>
    <m/>
    <m/>
    <m/>
    <m/>
    <m/>
    <d v="1980-08-17T00:00:00"/>
    <s v="M"/>
    <s v="B"/>
    <s v="BLACK"/>
    <s v="NULL"/>
    <s v="232"/>
    <s v="CONVICTED"/>
    <n v="28"/>
    <s v="TDC"/>
    <n v="27"/>
    <m/>
    <m/>
    <s v="FELON POSS WPN"/>
    <m/>
    <s v="F3"/>
    <s v="OTHER FEL"/>
    <s v="  jail appeal status"/>
    <m/>
    <m/>
    <m/>
    <m/>
    <m/>
    <m/>
    <m/>
    <m/>
    <s v="Hired Attorney"/>
    <m/>
    <m/>
    <n v="375"/>
    <n v="375"/>
    <n v="376"/>
    <n v="31.625683060109289"/>
    <n v="0"/>
    <n v="0"/>
    <s v="CONVICTION"/>
    <x v="0"/>
    <m/>
    <m/>
    <s v="CONVICTION"/>
    <s v="Y"/>
    <x v="0"/>
    <x v="0"/>
    <s v="Y"/>
    <n v="0.99734042553191493"/>
    <n v="1"/>
    <n v="2.6595744680850686E-3"/>
    <n v="0"/>
    <n v="-375"/>
    <n v="0"/>
    <n v="375"/>
    <e v="#VALUE!"/>
    <n v="375"/>
    <n v="0"/>
    <n v="0"/>
    <m/>
    <s v="Y"/>
    <m/>
    <s v=" &gt;1YRS&lt;2YRS"/>
    <n v="0"/>
    <x v="0"/>
  </r>
  <r>
    <n v="3250"/>
    <s v="N"/>
    <s v="Y"/>
    <n v="1559103"/>
    <n v="2"/>
    <d v="2012-04-30T00:00:00"/>
    <d v="2012-08-10T00:00:00"/>
    <n v="1559103"/>
    <d v="2012-05-08T00:00:00"/>
    <d v="2012-05-10T00:00:00"/>
    <n v="30000"/>
    <x v="2"/>
    <d v="2012-05-10T00:00:00"/>
    <s v="Y"/>
    <s v="SURETY"/>
    <s v="DEFERRED ADJUDICATION "/>
    <n v="20"/>
    <n v="103"/>
    <n v="0"/>
    <n v="2"/>
    <m/>
    <m/>
    <m/>
    <m/>
    <m/>
    <m/>
    <m/>
    <m/>
    <m/>
    <d v="1974-09-26T00:00:00"/>
    <s v="M"/>
    <s v="B"/>
    <s v="BLACK"/>
    <s v="NON-HISPANIC"/>
    <s v="248"/>
    <s v="DEFERRED"/>
    <n v="6"/>
    <s v="DEFERRED"/>
    <m/>
    <m/>
    <m/>
    <s v="AGG ASSAULT-FAMILY MEMBER"/>
    <m/>
    <s v="F2"/>
    <s v="ASLT-MURDR"/>
    <m/>
    <s v="rev 7/24/12"/>
    <m/>
    <m/>
    <s v="Y"/>
    <m/>
    <m/>
    <m/>
    <m/>
    <s v="Hired Attorney"/>
    <m/>
    <m/>
    <n v="20"/>
    <n v="95"/>
    <n v="103"/>
    <n v="37.516393442622949"/>
    <n v="0"/>
    <n v="-92"/>
    <s v="DEFERRED"/>
    <x v="1"/>
    <s v="Y"/>
    <m/>
    <s v="DEFERRED"/>
    <s v="Y"/>
    <x v="0"/>
    <x v="0"/>
    <s v="N"/>
    <n v="0.1941747572815534"/>
    <n v="3.1578947368421054E-2"/>
    <n v="-0.16259580991313233"/>
    <n v="0"/>
    <n v="-3"/>
    <n v="17"/>
    <n v="95"/>
    <n v="20"/>
    <n v="95"/>
    <n v="92"/>
    <n v="92"/>
    <m/>
    <s v="Y"/>
    <m/>
    <s v="11-30 DAYS"/>
    <n v="2"/>
    <x v="0"/>
  </r>
  <r>
    <n v="2078"/>
    <s v="N"/>
    <s v="N"/>
    <n v="1559624"/>
    <n v="1"/>
    <d v="2012-03-19T00:00:00"/>
    <d v="2013-01-03T00:00:00"/>
    <n v="1559624"/>
    <d v="2012-03-30T00:00:00"/>
    <d v="2012-04-04T00:00:00"/>
    <n v="60000"/>
    <x v="2"/>
    <d v="2012-04-04T00:00:00"/>
    <s v="Y"/>
    <s v="SURETY"/>
    <s v="DISMISSED"/>
    <n v="6"/>
    <n v="291"/>
    <n v="0"/>
    <n v="0"/>
    <m/>
    <m/>
    <m/>
    <m/>
    <m/>
    <m/>
    <m/>
    <m/>
    <m/>
    <d v="1977-08-01T00:00:00"/>
    <s v="M"/>
    <s v="W"/>
    <s v="WHITE"/>
    <s v="NULL"/>
    <s v="351"/>
    <s v="DISMISSED"/>
    <n v="9"/>
    <s v="DISMISSED"/>
    <m/>
    <m/>
    <m/>
    <s v="FAIL TO COMPLY AS SEX OFFENDER"/>
    <m/>
    <s v="F3"/>
    <s v="OTHER FEL"/>
    <m/>
    <m/>
    <m/>
    <m/>
    <m/>
    <m/>
    <m/>
    <m/>
    <m/>
    <s v="Hired Attorney"/>
    <m/>
    <m/>
    <n v="6"/>
    <n v="280"/>
    <n v="291"/>
    <n v="34.560109289617486"/>
    <n v="0"/>
    <n v="-274"/>
    <s v="NO CONVICTION"/>
    <x v="1"/>
    <s v="Y"/>
    <m/>
    <s v="NO CONVICTION"/>
    <s v="Y"/>
    <x v="1"/>
    <x v="0"/>
    <s v="N"/>
    <n v="2.0618556701030927E-2"/>
    <n v="2.1428571428571429E-2"/>
    <n v="8.1001472754050133E-4"/>
    <n v="0"/>
    <n v="-6"/>
    <n v="0"/>
    <n v="6"/>
    <e v="#VALUE!"/>
    <n v="6"/>
    <n v="0"/>
    <n v="274"/>
    <m/>
    <s v="N"/>
    <m/>
    <s v="0-10 DAYS"/>
    <n v="1"/>
    <x v="0"/>
  </r>
  <r>
    <n v="3027"/>
    <s v="N"/>
    <s v="N"/>
    <n v="1560319"/>
    <n v="4"/>
    <d v="2012-04-22T00:00:00"/>
    <d v="2012-09-13T00:00:00"/>
    <n v="1560319"/>
    <d v="2012-04-22T00:00:00"/>
    <d v="2012-09-13T00:00:00"/>
    <s v="NO BOND"/>
    <x v="1"/>
    <m/>
    <s v="N"/>
    <s v="NONE"/>
    <s v="GUILTY PLEA - NO JURY"/>
    <n v="145"/>
    <n v="145"/>
    <n v="5"/>
    <n v="2"/>
    <n v="1"/>
    <m/>
    <m/>
    <m/>
    <m/>
    <m/>
    <m/>
    <m/>
    <m/>
    <d v="1975-08-21T00:00:00"/>
    <s v="M"/>
    <s v="H"/>
    <s v="HISPANIC"/>
    <s v="HISPANIC"/>
    <s v="174"/>
    <s v="CONVICTED"/>
    <n v="5"/>
    <s v="HCJ"/>
    <m/>
    <m/>
    <n v="180"/>
    <s v="ASSAULT-BOD INJ-FAMILY MEMBER"/>
    <m/>
    <s v="F3"/>
    <s v="ASLT-MURDR"/>
    <m/>
    <m/>
    <m/>
    <m/>
    <m/>
    <m/>
    <m/>
    <m/>
    <m/>
    <s v="Appointed Attorney"/>
    <m/>
    <m/>
    <n v="145"/>
    <n v="145"/>
    <n v="145"/>
    <n v="36.595628415300546"/>
    <n v="0"/>
    <n v="0"/>
    <s v="CONVICTION"/>
    <x v="0"/>
    <s v="N"/>
    <m/>
    <s v="CONVICTION"/>
    <s v="Y"/>
    <x v="0"/>
    <x v="0"/>
    <s v="Y"/>
    <n v="1"/>
    <n v="1"/>
    <n v="0"/>
    <n v="0"/>
    <n v="-145"/>
    <n v="0"/>
    <n v="145"/>
    <e v="#VALUE!"/>
    <n v="145"/>
    <n v="0"/>
    <n v="0"/>
    <m/>
    <s v="Y"/>
    <m/>
    <s v="121-365 DAYS"/>
    <n v="6"/>
    <x v="0"/>
  </r>
  <r>
    <n v="1910"/>
    <s v="N"/>
    <s v="N"/>
    <n v="1561049"/>
    <n v="6"/>
    <d v="2012-03-11T00:00:00"/>
    <d v="2012-05-22T00:00:00"/>
    <n v="1561049"/>
    <d v="2012-03-12T00:00:00"/>
    <d v="2012-05-22T00:00:00"/>
    <s v="NO BOND"/>
    <x v="1"/>
    <m/>
    <s v="N"/>
    <s v="NONE"/>
    <s v="GUILTY PLEA - NO JURY"/>
    <n v="72"/>
    <n v="73"/>
    <n v="4"/>
    <n v="1"/>
    <n v="2"/>
    <m/>
    <m/>
    <m/>
    <m/>
    <m/>
    <m/>
    <m/>
    <m/>
    <d v="1980-07-28T00:00:00"/>
    <s v="M"/>
    <s v="B"/>
    <s v="BLACK"/>
    <s v="NON-HISPANIC"/>
    <s v="339"/>
    <s v="CONVICTED"/>
    <n v="4"/>
    <s v="TDC"/>
    <n v="4"/>
    <m/>
    <m/>
    <s v="POSS CS PG 1  1 - 4 GRAMS"/>
    <m/>
    <s v="F3"/>
    <s v="POSS DRUG"/>
    <m/>
    <m/>
    <m/>
    <m/>
    <m/>
    <m/>
    <m/>
    <m/>
    <m/>
    <s v="Appointed Attorney"/>
    <m/>
    <m/>
    <n v="72"/>
    <n v="72"/>
    <n v="73"/>
    <n v="31.55464480874317"/>
    <n v="0"/>
    <n v="0"/>
    <s v="CONVICTION"/>
    <x v="0"/>
    <s v="N"/>
    <m/>
    <s v="CONVICTION"/>
    <s v="Y"/>
    <x v="0"/>
    <x v="0"/>
    <s v="Y"/>
    <n v="0.98630136986301364"/>
    <n v="1"/>
    <n v="1.3698630136986356E-2"/>
    <n v="0"/>
    <n v="-72"/>
    <n v="0"/>
    <n v="72"/>
    <e v="#VALUE!"/>
    <n v="72"/>
    <n v="0"/>
    <n v="0"/>
    <m/>
    <s v="Y"/>
    <m/>
    <s v="61-90 DAYS"/>
    <n v="4"/>
    <x v="0"/>
  </r>
  <r>
    <n v="1817"/>
    <s v="N"/>
    <s v="N"/>
    <n v="1562872"/>
    <n v="2"/>
    <d v="2012-03-08T00:00:00"/>
    <d v="2012-07-24T00:00:00"/>
    <n v="1562872"/>
    <s v="NOT BOOKED"/>
    <s v="NOT BOOKED"/>
    <n v="2000"/>
    <x v="5"/>
    <d v="2012-04-04T00:00:00"/>
    <s v="Y"/>
    <s v="SURETY"/>
    <s v="DEFERRED ADJUDICATION "/>
    <n v="0"/>
    <n v="139"/>
    <n v="0"/>
    <n v="1"/>
    <m/>
    <m/>
    <m/>
    <m/>
    <m/>
    <m/>
    <m/>
    <m/>
    <m/>
    <d v="1976-04-15T00:00:00"/>
    <s v="M"/>
    <s v="B"/>
    <s v="BLACK"/>
    <s v="NULL"/>
    <s v="182"/>
    <s v="DEFERRED"/>
    <n v="6"/>
    <s v="DEFERRED"/>
    <m/>
    <m/>
    <m/>
    <s v="THEFT $1500-20K"/>
    <m/>
    <s v="FS"/>
    <s v="THEFT"/>
    <m/>
    <m/>
    <m/>
    <m/>
    <m/>
    <m/>
    <m/>
    <m/>
    <m/>
    <s v="Appointed Attorney"/>
    <m/>
    <m/>
    <n v="0"/>
    <n v="0"/>
    <n v="139"/>
    <n v="35.822404371584696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194"/>
    <s v="N"/>
    <s v="N"/>
    <n v="1562952"/>
    <n v="3"/>
    <d v="2012-03-23T00:00:00"/>
    <d v="2012-10-26T00:00:00"/>
    <n v="1562952"/>
    <d v="2012-03-23T00:00:00"/>
    <d v="2012-03-26T00:00:00"/>
    <n v="10000"/>
    <x v="3"/>
    <d v="2012-03-26T00:00:00"/>
    <s v="Y"/>
    <s v="SURETYPTRc"/>
    <s v="GUILTY PLEA - NO JURY"/>
    <n v="4"/>
    <n v="218"/>
    <n v="0"/>
    <n v="2"/>
    <m/>
    <m/>
    <m/>
    <m/>
    <m/>
    <m/>
    <m/>
    <m/>
    <m/>
    <d v="1974-01-03T00:00:00"/>
    <s v="F"/>
    <s v="W"/>
    <s v="WHITE"/>
    <s v="NULL"/>
    <s v="174"/>
    <s v="CONVICTED"/>
    <n v="9"/>
    <s v="PROBATION"/>
    <m/>
    <m/>
    <n v="10"/>
    <s v="DWI 3RD OFFENDER BAC .08"/>
    <m/>
    <s v="F3"/>
    <s v="FEL DWI"/>
    <m/>
    <m/>
    <m/>
    <m/>
    <m/>
    <m/>
    <m/>
    <m/>
    <m/>
    <s v="Hired Attorney"/>
    <m/>
    <m/>
    <n v="4"/>
    <n v="218"/>
    <n v="218"/>
    <n v="38.139344262295083"/>
    <n v="0"/>
    <n v="-214"/>
    <s v="CONVICTION"/>
    <x v="1"/>
    <s v="Y"/>
    <m/>
    <s v="CONVICTION"/>
    <s v="Y"/>
    <x v="1"/>
    <x v="0"/>
    <s v="N"/>
    <n v="1.834862385321101E-2"/>
    <n v="1.834862385321101E-2"/>
    <n v="0"/>
    <n v="0"/>
    <n v="-4"/>
    <n v="0"/>
    <n v="4"/>
    <e v="#VALUE!"/>
    <n v="4"/>
    <n v="0"/>
    <n v="214"/>
    <m/>
    <s v="Y"/>
    <m/>
    <s v="0-10 DAYS"/>
    <n v="1"/>
    <x v="0"/>
  </r>
  <r>
    <n v="3120"/>
    <s v="N"/>
    <s v="N"/>
    <n v="1566541"/>
    <n v="5"/>
    <d v="2012-04-25T00:00:00"/>
    <d v="2012-07-23T00:00:00"/>
    <n v="1566541"/>
    <d v="2012-04-25T00:00:00"/>
    <d v="2012-07-23T00:00:00"/>
    <n v="15000"/>
    <x v="0"/>
    <m/>
    <s v="N"/>
    <s v="NONE"/>
    <s v="GUILTY PLEA - NO JURY"/>
    <n v="90"/>
    <n v="90"/>
    <n v="6"/>
    <n v="5"/>
    <n v="4"/>
    <m/>
    <m/>
    <m/>
    <m/>
    <m/>
    <m/>
    <m/>
    <m/>
    <d v="1979-08-24T00:00:00"/>
    <s v="M"/>
    <s v="B"/>
    <s v="BLACK"/>
    <s v="NON-HISPANIC"/>
    <s v="230"/>
    <s v="CONVICTED"/>
    <n v="4"/>
    <s v="STJ"/>
    <m/>
    <n v="6"/>
    <m/>
    <s v="POSS CS PG 1 &lt;1G"/>
    <m/>
    <s v="FS"/>
    <s v="POSS DRUG"/>
    <m/>
    <m/>
    <m/>
    <m/>
    <m/>
    <m/>
    <m/>
    <m/>
    <m/>
    <s v="Appointed Attorney"/>
    <m/>
    <m/>
    <n v="90"/>
    <n v="90"/>
    <n v="90"/>
    <n v="32.603825136612024"/>
    <n v="0"/>
    <n v="0"/>
    <s v="CONVICTION"/>
    <x v="0"/>
    <s v="N"/>
    <m/>
    <s v="CONVICTION"/>
    <s v="Y"/>
    <x v="0"/>
    <x v="0"/>
    <s v="Y"/>
    <n v="1"/>
    <n v="1"/>
    <n v="0"/>
    <n v="0"/>
    <n v="-90"/>
    <n v="0"/>
    <n v="90"/>
    <e v="#VALUE!"/>
    <n v="90"/>
    <n v="0"/>
    <n v="0"/>
    <m/>
    <s v="Y"/>
    <m/>
    <s v="61-90 DAYS"/>
    <n v="4"/>
    <x v="0"/>
  </r>
  <r>
    <n v="2410"/>
    <s v="N"/>
    <s v="N"/>
    <n v="1566673"/>
    <n v="2"/>
    <d v="2012-03-31T00:00:00"/>
    <d v="2012-04-02T00:00:00"/>
    <n v="1566673"/>
    <d v="2012-03-31T00:00:00"/>
    <d v="2012-04-02T00:00:00"/>
    <n v="2000"/>
    <x v="5"/>
    <m/>
    <s v="N"/>
    <s v="NONE"/>
    <s v="DEFERRED ADJUDICATION "/>
    <n v="3"/>
    <n v="3"/>
    <n v="0"/>
    <n v="10"/>
    <m/>
    <m/>
    <m/>
    <m/>
    <m/>
    <m/>
    <m/>
    <m/>
    <m/>
    <d v="1972-01-20T00:00:00"/>
    <s v="M"/>
    <s v="H"/>
    <s v="HISPANIC"/>
    <s v="HISPANIC"/>
    <s v="248"/>
    <s v="DEFERRED"/>
    <n v="1"/>
    <s v="DEFERRED"/>
    <m/>
    <m/>
    <m/>
    <s v="THEFT UNDER $1500 - 3RD OFF."/>
    <m/>
    <s v="FS"/>
    <s v="THEFT"/>
    <m/>
    <m/>
    <m/>
    <m/>
    <m/>
    <m/>
    <m/>
    <m/>
    <m/>
    <s v="Appointed Attorney"/>
    <m/>
    <m/>
    <n v="3"/>
    <n v="3"/>
    <n v="3"/>
    <n v="40.112021857923494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650"/>
    <s v="N"/>
    <s v="N"/>
    <n v="1569451"/>
    <n v="6"/>
    <d v="2012-01-26T00:00:00"/>
    <d v="2013-07-18T00:00:00"/>
    <n v="1569451"/>
    <d v="2012-01-26T00:00:00"/>
    <d v="2013-07-18T00:00:00"/>
    <s v="NO BOND"/>
    <x v="1"/>
    <m/>
    <s v="N"/>
    <s v="NONE"/>
    <s v="GUILTY PLEA - NO JURY"/>
    <n v="540"/>
    <n v="540"/>
    <n v="3"/>
    <n v="3"/>
    <n v="3"/>
    <m/>
    <m/>
    <m/>
    <m/>
    <m/>
    <m/>
    <m/>
    <m/>
    <d v="1977-10-25T00:00:00"/>
    <s v="M"/>
    <s v="B"/>
    <s v="BLACK"/>
    <s v="NON-HISPANIC"/>
    <s v="263"/>
    <s v="CONVICTED"/>
    <n v="17"/>
    <s v="TDC"/>
    <n v="2"/>
    <m/>
    <m/>
    <s v="ASSAULT-BOD INJ-FAMILY MEMBER"/>
    <m/>
    <s v="F3"/>
    <s v="ASLT-MURDR"/>
    <m/>
    <m/>
    <m/>
    <m/>
    <m/>
    <m/>
    <m/>
    <m/>
    <m/>
    <s v="Appointed Attorney"/>
    <m/>
    <m/>
    <n v="540"/>
    <n v="540"/>
    <n v="540"/>
    <n v="34.18306010928962"/>
    <n v="0"/>
    <n v="0"/>
    <s v="CONVICTION"/>
    <x v="0"/>
    <s v="N"/>
    <m/>
    <s v="CONVICTION"/>
    <s v="Y"/>
    <x v="0"/>
    <x v="0"/>
    <s v="Y"/>
    <n v="1"/>
    <n v="1"/>
    <n v="0"/>
    <n v="0"/>
    <n v="-540"/>
    <n v="0"/>
    <n v="540"/>
    <e v="#VALUE!"/>
    <n v="540"/>
    <n v="0"/>
    <n v="0"/>
    <m/>
    <s v="Y"/>
    <m/>
    <s v=" &gt;1YRS&lt;2YRS"/>
    <n v="0"/>
    <x v="0"/>
  </r>
  <r>
    <n v="589"/>
    <s v="N"/>
    <s v="N"/>
    <n v="1569730"/>
    <n v="6"/>
    <d v="2012-01-24T00:00:00"/>
    <d v="2012-03-27T00:00:00"/>
    <n v="1569730"/>
    <d v="2012-01-24T00:00:00"/>
    <d v="2012-03-27T00:00:00"/>
    <n v="20000"/>
    <x v="0"/>
    <m/>
    <s v="N"/>
    <s v="NONE"/>
    <s v="GUILTY PLEA - NO JURY"/>
    <n v="64"/>
    <n v="64"/>
    <n v="9"/>
    <n v="3"/>
    <n v="3"/>
    <m/>
    <m/>
    <m/>
    <m/>
    <m/>
    <m/>
    <m/>
    <m/>
    <d v="1978-06-12T00:00:00"/>
    <s v="M"/>
    <s v="W"/>
    <s v="WHITE"/>
    <s v="NON-HISPANIC"/>
    <s v="351"/>
    <s v="CONVICTED"/>
    <n v="3"/>
    <s v="TDC"/>
    <n v="1"/>
    <m/>
    <m/>
    <s v="BURGLARY OF A BUILDING"/>
    <m/>
    <s v="FS"/>
    <s v="BURGLARY"/>
    <m/>
    <m/>
    <m/>
    <m/>
    <m/>
    <m/>
    <m/>
    <m/>
    <m/>
    <s v="Appointed Attorney"/>
    <m/>
    <m/>
    <n v="64"/>
    <n v="64"/>
    <n v="64"/>
    <n v="33.549180327868854"/>
    <n v="0"/>
    <n v="0"/>
    <s v="CONVICTION"/>
    <x v="0"/>
    <s v="N"/>
    <m/>
    <s v="CONVICTION"/>
    <s v="Y"/>
    <x v="0"/>
    <x v="0"/>
    <s v="Y"/>
    <n v="1"/>
    <n v="1"/>
    <n v="0"/>
    <n v="0"/>
    <n v="-64"/>
    <n v="0"/>
    <n v="64"/>
    <e v="#VALUE!"/>
    <n v="64"/>
    <n v="0"/>
    <n v="0"/>
    <m/>
    <s v="Y"/>
    <m/>
    <s v="61-90 DAYS"/>
    <n v="4"/>
    <x v="0"/>
  </r>
  <r>
    <n v="722"/>
    <s v="N"/>
    <s v="N"/>
    <n v="1569932"/>
    <n v="4"/>
    <d v="2012-01-29T00:00:00"/>
    <d v="2012-01-30T00:00:00"/>
    <n v="1569932"/>
    <d v="2012-01-29T00:00:00"/>
    <d v="2012-01-30T00:00:00"/>
    <n v="2000"/>
    <x v="5"/>
    <m/>
    <s v="N"/>
    <s v="NONE"/>
    <s v="GUILTY PLEA - NO JURY"/>
    <n v="2"/>
    <n v="2"/>
    <n v="0"/>
    <n v="2"/>
    <m/>
    <m/>
    <m/>
    <m/>
    <m/>
    <m/>
    <m/>
    <m/>
    <m/>
    <d v="1978-10-08T00:00:00"/>
    <s v="M"/>
    <s v="H"/>
    <s v="HISPANIC"/>
    <s v="HISPANIC"/>
    <s v="185"/>
    <s v="CONVICTED"/>
    <n v="1"/>
    <s v="HCJ"/>
    <m/>
    <m/>
    <n v="60"/>
    <s v="POSS CS PG 1 &lt;1G"/>
    <m/>
    <s v="FS"/>
    <s v="POSS DRUG"/>
    <m/>
    <m/>
    <m/>
    <m/>
    <m/>
    <m/>
    <m/>
    <m/>
    <m/>
    <s v="Appointed Attorney"/>
    <m/>
    <m/>
    <n v="2"/>
    <n v="2"/>
    <n v="2"/>
    <n v="33.240437158469945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2694"/>
    <s v="N"/>
    <s v="Y"/>
    <n v="1570551"/>
    <n v="1"/>
    <d v="2012-04-10T00:00:00"/>
    <d v="2012-06-27T00:00:00"/>
    <n v="1570551"/>
    <d v="2012-04-11T00:00:00"/>
    <d v="2012-04-14T00:00:00"/>
    <n v="30000"/>
    <x v="2"/>
    <d v="2012-04-14T00:00:00"/>
    <s v="Y"/>
    <s v="SURETY"/>
    <s v="DISMISSED"/>
    <n v="4"/>
    <n v="79"/>
    <n v="3"/>
    <n v="1"/>
    <n v="3"/>
    <m/>
    <m/>
    <m/>
    <m/>
    <m/>
    <m/>
    <m/>
    <m/>
    <d v="1976-07-21T00:00:00"/>
    <s v="M"/>
    <s v="H"/>
    <s v="HISPANIC"/>
    <s v="HISPANIC"/>
    <s v="351"/>
    <s v="DISMISSED"/>
    <n v="6"/>
    <s v="DISMISSED"/>
    <m/>
    <m/>
    <m/>
    <s v="POSS W/INT DEL CS PG1&gt;=4 &lt;200"/>
    <m/>
    <s v="F1"/>
    <s v="SALE DRUG"/>
    <m/>
    <m/>
    <s v="Y"/>
    <s v="bf 6/19/12"/>
    <m/>
    <m/>
    <m/>
    <d v="2013-02-22T00:00:00"/>
    <n v="1215"/>
    <s v="Hired Attorney"/>
    <m/>
    <m/>
    <n v="4"/>
    <n v="78"/>
    <n v="79"/>
    <n v="35.647540983606561"/>
    <n v="0"/>
    <n v="-74"/>
    <s v="NO CONVICTION"/>
    <x v="1"/>
    <s v="Y"/>
    <m/>
    <s v="NO CONVICTION"/>
    <s v="Y"/>
    <x v="1"/>
    <x v="0"/>
    <s v="Y"/>
    <n v="5.0632911392405063E-2"/>
    <n v="5.128205128205128E-2"/>
    <n v="6.4913988964621777E-4"/>
    <n v="0"/>
    <n v="-4"/>
    <n v="0"/>
    <n v="4"/>
    <e v="#VALUE!"/>
    <m/>
    <n v="74"/>
    <n v="74"/>
    <m/>
    <s v="Y"/>
    <m/>
    <s v="0-10 DAYS"/>
    <n v="1"/>
    <x v="0"/>
  </r>
  <r>
    <n v="1944"/>
    <s v="N"/>
    <s v="N"/>
    <n v="1571213"/>
    <n v="5"/>
    <d v="2012-03-13T00:00:00"/>
    <d v="2012-03-15T00:00:00"/>
    <n v="1571213"/>
    <d v="2012-03-14T00:00:00"/>
    <d v="2012-03-15T00:00:00"/>
    <n v="15000"/>
    <x v="0"/>
    <m/>
    <s v="N"/>
    <s v="NONE"/>
    <s v="GUILTY PLEA - NO JURY"/>
    <n v="2"/>
    <n v="3"/>
    <n v="7"/>
    <n v="4"/>
    <m/>
    <m/>
    <m/>
    <m/>
    <m/>
    <m/>
    <m/>
    <m/>
    <m/>
    <d v="1979-06-02T00:00:00"/>
    <s v="F"/>
    <s v="B"/>
    <s v="BLACK"/>
    <s v="NON-HISPANIC"/>
    <s v="174"/>
    <s v="CONVICTED"/>
    <n v="1"/>
    <s v="STJ"/>
    <m/>
    <n v="7"/>
    <m/>
    <s v="MAN/DEL CS PG I &lt;1GRAM"/>
    <m/>
    <s v="FS"/>
    <s v="SALE DRUG"/>
    <m/>
    <m/>
    <m/>
    <m/>
    <m/>
    <m/>
    <m/>
    <m/>
    <m/>
    <s v="Appointed Attorney"/>
    <m/>
    <m/>
    <n v="2"/>
    <n v="2"/>
    <n v="3"/>
    <n v="32.713114754098363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1279"/>
    <s v="N"/>
    <s v="N"/>
    <n v="1571524"/>
    <n v="6"/>
    <d v="2012-02-16T00:00:00"/>
    <d v="2013-01-02T00:00:00"/>
    <n v="1571524"/>
    <d v="2012-03-03T00:00:00"/>
    <d v="2013-01-02T00:00:00"/>
    <n v="100000"/>
    <x v="2"/>
    <m/>
    <s v="N"/>
    <s v="NONE"/>
    <s v="GUILTY PLEA - NO JURY"/>
    <n v="306"/>
    <n v="322"/>
    <n v="10"/>
    <n v="1"/>
    <n v="6"/>
    <m/>
    <m/>
    <m/>
    <m/>
    <m/>
    <m/>
    <m/>
    <m/>
    <d v="1976-09-16T00:00:00"/>
    <s v="M"/>
    <s v="W"/>
    <s v="WHITE"/>
    <s v="NULL"/>
    <s v="228"/>
    <s v="CONVICTED"/>
    <n v="12"/>
    <s v="TDC"/>
    <n v="15"/>
    <m/>
    <m/>
    <s v="FORGERY"/>
    <m/>
    <s v="FS"/>
    <s v="OTHER FEL"/>
    <m/>
    <m/>
    <m/>
    <m/>
    <m/>
    <m/>
    <m/>
    <m/>
    <m/>
    <s v="Public Defender"/>
    <m/>
    <m/>
    <n v="306"/>
    <n v="306"/>
    <n v="322"/>
    <n v="35.344262295081968"/>
    <n v="0"/>
    <n v="0"/>
    <s v="CONVICTION"/>
    <x v="0"/>
    <s v="N"/>
    <m/>
    <s v="CONVICTION"/>
    <s v="Y"/>
    <x v="0"/>
    <x v="0"/>
    <s v="Y"/>
    <n v="0.9503105590062112"/>
    <n v="1"/>
    <n v="4.9689440993788803E-2"/>
    <n v="0"/>
    <n v="-306"/>
    <n v="0"/>
    <n v="306"/>
    <e v="#VALUE!"/>
    <n v="306"/>
    <n v="0"/>
    <n v="0"/>
    <m/>
    <s v="Y"/>
    <m/>
    <s v="121-365 DAYS"/>
    <n v="6"/>
    <x v="0"/>
  </r>
  <r>
    <n v="2797"/>
    <s v="N"/>
    <s v="N"/>
    <n v="1572811"/>
    <n v="2"/>
    <d v="2012-04-13T00:00:00"/>
    <d v="2013-11-21T00:00:00"/>
    <n v="1572811"/>
    <d v="2012-04-16T00:00:00"/>
    <d v="2012-04-17T00:00:00"/>
    <n v="140000"/>
    <x v="2"/>
    <d v="2012-04-17T00:00:00"/>
    <s v="Y"/>
    <s v="SURETY"/>
    <s v="DEFERRED ADJUDICATION "/>
    <n v="2"/>
    <n v="588"/>
    <n v="0"/>
    <n v="0"/>
    <m/>
    <m/>
    <m/>
    <m/>
    <m/>
    <m/>
    <m/>
    <m/>
    <m/>
    <d v="1975-04-21T00:00:00"/>
    <s v="M"/>
    <s v="W"/>
    <s v="WHITE"/>
    <s v="NON-HISPANIC"/>
    <s v="177"/>
    <s v="DEFERRED"/>
    <n v="22"/>
    <s v="DEFERRED"/>
    <m/>
    <m/>
    <m/>
    <s v="INDECENCY-CHILD EXPOSURE"/>
    <m/>
    <s v="F3"/>
    <s v="SEX ABUSE"/>
    <m/>
    <m/>
    <m/>
    <m/>
    <m/>
    <m/>
    <m/>
    <m/>
    <m/>
    <s v="Hired Attorney"/>
    <m/>
    <m/>
    <n v="4"/>
    <n v="585"/>
    <n v="588"/>
    <n v="36.904371584699454"/>
    <n v="0"/>
    <n v="-583"/>
    <s v="DEFERRED"/>
    <x v="1"/>
    <s v="N"/>
    <m/>
    <s v="DEFERRED"/>
    <s v="Y"/>
    <x v="1"/>
    <x v="0"/>
    <s v="N"/>
    <n v="3.4013605442176869E-3"/>
    <n v="3.4188034188034188E-3"/>
    <n v="1.7442874585731852E-5"/>
    <n v="-2"/>
    <n v="-2"/>
    <n v="2"/>
    <n v="2"/>
    <n v="4"/>
    <n v="2"/>
    <n v="-2"/>
    <n v="583"/>
    <m/>
    <s v="N"/>
    <m/>
    <s v="0-10 DAYS"/>
    <n v="1"/>
    <x v="0"/>
  </r>
  <r>
    <n v="1925"/>
    <s v="N"/>
    <s v="Y"/>
    <n v="1573811"/>
    <n v="4"/>
    <d v="2012-03-13T00:00:00"/>
    <d v="2013-01-22T00:00:00"/>
    <n v="1573811"/>
    <d v="2012-03-13T00:00:00"/>
    <d v="2012-03-16T00:00:00"/>
    <n v="10000"/>
    <x v="3"/>
    <d v="2012-03-16T00:00:00"/>
    <s v="Y"/>
    <s v="SURETYPTRc"/>
    <s v="GUILTY PLEA - NO JURY"/>
    <n v="16"/>
    <n v="316"/>
    <n v="0"/>
    <n v="8"/>
    <m/>
    <m/>
    <m/>
    <m/>
    <m/>
    <m/>
    <m/>
    <m/>
    <m/>
    <d v="1978-11-08T00:00:00"/>
    <s v="M"/>
    <s v="W"/>
    <s v="WHITE"/>
    <s v="NON-HISPANIC"/>
    <s v="339"/>
    <s v="CONVICTED"/>
    <n v="11"/>
    <s v="HCJ"/>
    <m/>
    <m/>
    <n v="365"/>
    <s v="DWI 3RD OFFENDER BAC .08"/>
    <m/>
    <s v="F3"/>
    <s v="FEL DWI"/>
    <m/>
    <s v="rev 8/7/12"/>
    <m/>
    <m/>
    <s v="Y"/>
    <m/>
    <m/>
    <m/>
    <m/>
    <s v="Hired Attorney"/>
    <m/>
    <m/>
    <n v="16"/>
    <n v="316"/>
    <n v="316"/>
    <n v="33.275956284153004"/>
    <n v="0"/>
    <n v="-312"/>
    <s v="CONVICTION"/>
    <x v="1"/>
    <s v="Y"/>
    <m/>
    <s v="CONVICTION"/>
    <s v="Y"/>
    <x v="0"/>
    <x v="0"/>
    <s v="N"/>
    <n v="5.0632911392405063E-2"/>
    <n v="1.2658227848101266E-2"/>
    <n v="-3.7974683544303799E-2"/>
    <n v="0"/>
    <n v="-4"/>
    <n v="12"/>
    <n v="316"/>
    <n v="16"/>
    <n v="316"/>
    <n v="312"/>
    <n v="312"/>
    <m/>
    <s v="Y"/>
    <m/>
    <s v="11-30 DAYS"/>
    <n v="2"/>
    <x v="0"/>
  </r>
  <r>
    <n v="923"/>
    <s v="N"/>
    <s v="N"/>
    <n v="1573987"/>
    <n v="5"/>
    <d v="2012-02-03T00:00:00"/>
    <d v="2012-04-23T00:00:00"/>
    <n v="1573987"/>
    <d v="2012-02-04T00:00:00"/>
    <d v="2012-04-23T00:00:00"/>
    <n v="15000"/>
    <x v="0"/>
    <m/>
    <s v="N"/>
    <s v="NONE"/>
    <s v="GUILTY PLEA - NO JURY"/>
    <n v="80"/>
    <n v="81"/>
    <n v="4"/>
    <n v="1"/>
    <n v="3"/>
    <m/>
    <m/>
    <m/>
    <m/>
    <m/>
    <m/>
    <m/>
    <m/>
    <d v="1974-09-28T00:00:00"/>
    <s v="M"/>
    <s v="B"/>
    <s v="BLACK"/>
    <s v="NON-HISPANIC"/>
    <s v="176"/>
    <s v="CONVICTED"/>
    <n v="3"/>
    <s v="STJ"/>
    <m/>
    <n v="7"/>
    <m/>
    <s v="POSS CS PG 1 &lt;1G"/>
    <m/>
    <s v="FS"/>
    <s v="POSS DRUG"/>
    <m/>
    <m/>
    <m/>
    <m/>
    <m/>
    <m/>
    <m/>
    <m/>
    <m/>
    <s v="Appointed Attorney"/>
    <m/>
    <m/>
    <n v="80"/>
    <n v="80"/>
    <n v="81"/>
    <n v="37.27322404371585"/>
    <n v="0"/>
    <n v="0"/>
    <s v="CONVICTION"/>
    <x v="0"/>
    <s v="N"/>
    <m/>
    <s v="CONVICTION"/>
    <s v="Y"/>
    <x v="0"/>
    <x v="0"/>
    <s v="Y"/>
    <n v="0.98765432098765427"/>
    <n v="1"/>
    <n v="1.2345679012345734E-2"/>
    <n v="0"/>
    <n v="-80"/>
    <n v="0"/>
    <n v="80"/>
    <e v="#VALUE!"/>
    <n v="80"/>
    <n v="0"/>
    <n v="0"/>
    <m/>
    <s v="Y"/>
    <m/>
    <s v="61-90 DAYS"/>
    <n v="4"/>
    <x v="0"/>
  </r>
  <r>
    <n v="291"/>
    <s v="N"/>
    <s v="N"/>
    <n v="1576755"/>
    <n v="1"/>
    <d v="2012-01-12T00:00:00"/>
    <d v="2012-01-19T00:00:00"/>
    <n v="1576755"/>
    <d v="2012-01-13T00:00:00"/>
    <d v="2012-01-19T00:00:00"/>
    <n v="100000"/>
    <x v="2"/>
    <m/>
    <s v="N"/>
    <s v="NONE"/>
    <s v="DISMISSED"/>
    <n v="7"/>
    <n v="8"/>
    <n v="3"/>
    <n v="0"/>
    <n v="3"/>
    <m/>
    <m/>
    <m/>
    <m/>
    <m/>
    <m/>
    <m/>
    <m/>
    <d v="1969-03-22T00:00:00"/>
    <s v="M"/>
    <s v="B"/>
    <s v="BLACK"/>
    <s v="NON-HISPANIC"/>
    <s v="174"/>
    <s v="DISMISSED"/>
    <n v="2"/>
    <s v="DISMISSED"/>
    <m/>
    <m/>
    <m/>
    <s v="THEFT &gt;= $200,000"/>
    <m/>
    <s v="F1"/>
    <s v="THEFT"/>
    <m/>
    <m/>
    <m/>
    <m/>
    <m/>
    <m/>
    <m/>
    <m/>
    <m/>
    <s v="Appointed Attorney"/>
    <m/>
    <m/>
    <n v="7"/>
    <n v="7"/>
    <n v="8"/>
    <n v="42.721311475409834"/>
    <n v="0"/>
    <n v="0"/>
    <s v="NO CONVICTION"/>
    <x v="0"/>
    <s v="N"/>
    <m/>
    <s v="NO CONVICTION"/>
    <s v="Y"/>
    <x v="0"/>
    <x v="0"/>
    <s v="Y"/>
    <n v="0.875"/>
    <n v="1"/>
    <n v="0.125"/>
    <n v="0"/>
    <n v="-7"/>
    <n v="0"/>
    <n v="7"/>
    <e v="#VALUE!"/>
    <n v="7"/>
    <n v="0"/>
    <n v="0"/>
    <m/>
    <s v="Y"/>
    <m/>
    <s v="0-10 DAYS"/>
    <n v="1"/>
    <x v="0"/>
  </r>
  <r>
    <n v="865"/>
    <s v="N"/>
    <s v="N"/>
    <n v="1576861"/>
    <n v="1"/>
    <d v="2012-02-02T00:00:00"/>
    <d v="2013-09-16T00:00:00"/>
    <n v="1576861"/>
    <d v="2012-02-02T00:00:00"/>
    <d v="2013-09-16T00:00:00"/>
    <n v="180000"/>
    <x v="2"/>
    <m/>
    <s v="N"/>
    <s v="NONE"/>
    <s v="DISMISSED"/>
    <n v="593"/>
    <n v="593"/>
    <n v="5"/>
    <n v="5"/>
    <n v="4"/>
    <m/>
    <m/>
    <m/>
    <m/>
    <m/>
    <m/>
    <m/>
    <m/>
    <d v="1978-05-10T00:00:00"/>
    <s v="M"/>
    <s v="B"/>
    <s v="BLACK"/>
    <s v="NULL"/>
    <s v="174"/>
    <s v="DISMISSED"/>
    <n v="22"/>
    <s v="DISMISSED"/>
    <m/>
    <m/>
    <m/>
    <s v="POSS W/INT DEL CS PG1&gt;=4 &lt;200"/>
    <m/>
    <s v="F1"/>
    <s v="SALE DRUG"/>
    <m/>
    <m/>
    <m/>
    <m/>
    <m/>
    <m/>
    <m/>
    <m/>
    <m/>
    <s v="Appointed Attorney"/>
    <m/>
    <m/>
    <n v="593"/>
    <n v="593"/>
    <n v="593"/>
    <n v="33.66393442622951"/>
    <n v="0"/>
    <n v="0"/>
    <s v="NO CONVICTION"/>
    <x v="0"/>
    <s v="N"/>
    <m/>
    <s v="NO CONVICTION"/>
    <s v="Y"/>
    <x v="0"/>
    <x v="0"/>
    <s v="Y"/>
    <n v="1"/>
    <n v="1"/>
    <n v="0"/>
    <n v="0"/>
    <n v="-593"/>
    <n v="0"/>
    <n v="593"/>
    <e v="#VALUE!"/>
    <n v="593"/>
    <n v="0"/>
    <n v="0"/>
    <m/>
    <s v="Y"/>
    <m/>
    <s v=" &gt;1YRS&lt;2YRS"/>
    <n v="0"/>
    <x v="0"/>
  </r>
  <r>
    <n v="2919"/>
    <s v="N"/>
    <s v="N"/>
    <n v="1576884"/>
    <n v="2"/>
    <d v="2012-04-17T00:00:00"/>
    <d v="2012-04-19T00:00:00"/>
    <n v="1576884"/>
    <d v="2012-04-18T00:00:00"/>
    <d v="2012-04-19T00:00:00"/>
    <n v="2000"/>
    <x v="5"/>
    <d v="2012-04-19T00:00:00"/>
    <s v="Y"/>
    <s v="SURETY"/>
    <s v="DEFERRED ADJUDICATION "/>
    <n v="2"/>
    <n v="3"/>
    <n v="0"/>
    <n v="5"/>
    <m/>
    <m/>
    <m/>
    <m/>
    <m/>
    <m/>
    <m/>
    <m/>
    <m/>
    <d v="1976-04-21T00:00:00"/>
    <s v="M"/>
    <s v="B"/>
    <s v="BLACK"/>
    <s v="NON-HISPANIC"/>
    <s v="179"/>
    <s v="DEFERRED"/>
    <n v="1"/>
    <s v="DEFERRED"/>
    <m/>
    <m/>
    <m/>
    <s v="MAN/DEL CS PG I &lt;1GRAM"/>
    <m/>
    <s v="FS"/>
    <s v="SALE DRUG"/>
    <m/>
    <m/>
    <m/>
    <m/>
    <m/>
    <m/>
    <m/>
    <m/>
    <m/>
    <s v="Appointed Attorney"/>
    <m/>
    <m/>
    <n v="2"/>
    <n v="2"/>
    <n v="3"/>
    <n v="35.915300546448087"/>
    <n v="0"/>
    <n v="0"/>
    <s v="DEFERRED"/>
    <x v="1"/>
    <s v="Y"/>
    <m/>
    <s v="DEFERRED"/>
    <s v="Y"/>
    <x v="1"/>
    <x v="0"/>
    <s v="N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553"/>
    <s v="N"/>
    <s v="N"/>
    <n v="1576918"/>
    <n v="6"/>
    <d v="2012-04-05T00:00:00"/>
    <d v="2012-06-07T00:00:00"/>
    <n v="1576918"/>
    <d v="2012-04-05T00:00:00"/>
    <d v="2012-06-07T00:00:00"/>
    <n v="20000"/>
    <x v="0"/>
    <m/>
    <s v="N"/>
    <s v="NONE"/>
    <s v="GUILTY PLEA - NO JURY"/>
    <n v="64"/>
    <n v="64"/>
    <n v="6"/>
    <n v="10"/>
    <n v="4"/>
    <m/>
    <m/>
    <m/>
    <m/>
    <m/>
    <m/>
    <m/>
    <m/>
    <d v="1979-12-24T00:00:00"/>
    <s v="M"/>
    <s v="B"/>
    <s v="BLACK"/>
    <s v="NULL"/>
    <s v="232"/>
    <s v="CONVICTED"/>
    <n v="3"/>
    <s v="TDC"/>
    <n v="2"/>
    <m/>
    <m/>
    <s v="POSS CS PG 1 4G - 200G"/>
    <m/>
    <s v="F2"/>
    <s v="POSS DRUG"/>
    <m/>
    <m/>
    <m/>
    <m/>
    <m/>
    <m/>
    <m/>
    <m/>
    <m/>
    <s v="Appointed Attorney"/>
    <m/>
    <m/>
    <n v="64"/>
    <n v="64"/>
    <n v="64"/>
    <n v="32.215846994535518"/>
    <n v="0"/>
    <n v="0"/>
    <s v="CONVICTION"/>
    <x v="0"/>
    <s v="N"/>
    <m/>
    <s v="CONVICTION"/>
    <s v="Y"/>
    <x v="0"/>
    <x v="0"/>
    <s v="Y"/>
    <n v="1"/>
    <n v="1"/>
    <n v="0"/>
    <n v="0"/>
    <n v="-64"/>
    <n v="0"/>
    <n v="64"/>
    <e v="#VALUE!"/>
    <n v="64"/>
    <n v="0"/>
    <n v="0"/>
    <m/>
    <s v="Y"/>
    <m/>
    <s v="61-90 DAYS"/>
    <n v="4"/>
    <x v="0"/>
  </r>
  <r>
    <n v="3044"/>
    <s v="N"/>
    <s v="N"/>
    <n v="1577992"/>
    <n v="6"/>
    <d v="2012-04-23T00:00:00"/>
    <d v="2012-05-30T00:00:00"/>
    <n v="1577992"/>
    <d v="2012-04-23T00:00:00"/>
    <d v="2012-05-30T00:00:00"/>
    <n v="60000"/>
    <x v="2"/>
    <m/>
    <s v="N"/>
    <s v="NONE"/>
    <s v="GUILTY PLEA - NO JURY"/>
    <n v="38"/>
    <n v="38"/>
    <n v="1"/>
    <n v="4"/>
    <m/>
    <m/>
    <m/>
    <m/>
    <m/>
    <m/>
    <m/>
    <s v="S"/>
    <m/>
    <d v="1974-03-11T00:00:00"/>
    <s v="F"/>
    <s v="H"/>
    <s v="HISPANIC"/>
    <s v="NULL"/>
    <s v="176"/>
    <s v="CONVICTED"/>
    <n v="2"/>
    <s v="TDC"/>
    <n v="2"/>
    <m/>
    <m/>
    <s v="AGG ASSAULT-FAMILY MEMBER"/>
    <m/>
    <s v="F2"/>
    <s v="ASLT-MURDR"/>
    <m/>
    <m/>
    <m/>
    <m/>
    <m/>
    <m/>
    <m/>
    <m/>
    <m/>
    <s v="Appointed Attorney"/>
    <m/>
    <m/>
    <n v="38"/>
    <n v="38"/>
    <n v="38"/>
    <n v="38.040983606557376"/>
    <n v="0"/>
    <n v="0"/>
    <s v="CONVICTION"/>
    <x v="0"/>
    <s v="N"/>
    <m/>
    <s v="CONVICTION"/>
    <s v="Y"/>
    <x v="0"/>
    <x v="0"/>
    <s v="Y"/>
    <n v="1"/>
    <n v="1"/>
    <n v="0"/>
    <n v="0"/>
    <n v="-38"/>
    <n v="0"/>
    <n v="38"/>
    <e v="#VALUE!"/>
    <n v="38"/>
    <n v="0"/>
    <n v="0"/>
    <m/>
    <s v="Y"/>
    <m/>
    <s v="31-60 DAYS"/>
    <n v="3"/>
    <x v="0"/>
  </r>
  <r>
    <n v="2723"/>
    <s v="N"/>
    <s v="N"/>
    <n v="1578150"/>
    <n v="6"/>
    <d v="2012-04-11T00:00:00"/>
    <d v="2013-01-10T00:00:00"/>
    <n v="1578150"/>
    <d v="2012-04-11T00:00:00"/>
    <d v="2013-01-10T00:00:00"/>
    <n v="30000"/>
    <x v="2"/>
    <m/>
    <s v="N"/>
    <s v="NONE"/>
    <s v="GUILTY PLEA - NO JURY"/>
    <n v="275"/>
    <n v="275"/>
    <n v="1"/>
    <n v="3"/>
    <m/>
    <m/>
    <m/>
    <m/>
    <m/>
    <m/>
    <m/>
    <m/>
    <m/>
    <d v="1973-05-04T00:00:00"/>
    <s v="M"/>
    <s v="B"/>
    <s v="BLACK"/>
    <s v="NULL"/>
    <s v="184"/>
    <s v="CONVICTED"/>
    <n v="6"/>
    <s v="TDC"/>
    <n v="2"/>
    <m/>
    <m/>
    <s v="AGG ASSAULT W/DEADLY WEAPON"/>
    <m/>
    <s v="F2"/>
    <s v="ASLT-MURDR"/>
    <m/>
    <m/>
    <m/>
    <m/>
    <m/>
    <m/>
    <m/>
    <m/>
    <m/>
    <s v="Appointed Attorney"/>
    <m/>
    <m/>
    <n v="275"/>
    <n v="275"/>
    <n v="275"/>
    <n v="38.857923497267763"/>
    <n v="0"/>
    <n v="0"/>
    <s v="CONVICTION"/>
    <x v="0"/>
    <s v="N"/>
    <m/>
    <s v="CONVICTION"/>
    <s v="Y"/>
    <x v="0"/>
    <x v="0"/>
    <s v="Y"/>
    <n v="1"/>
    <n v="1"/>
    <n v="0"/>
    <n v="0"/>
    <n v="-275"/>
    <n v="0"/>
    <n v="275"/>
    <e v="#VALUE!"/>
    <n v="275"/>
    <n v="0"/>
    <n v="0"/>
    <m/>
    <s v="Y"/>
    <m/>
    <s v="121-365 DAYS"/>
    <n v="6"/>
    <x v="0"/>
  </r>
  <r>
    <n v="254"/>
    <s v="N"/>
    <s v="N"/>
    <n v="1580293"/>
    <n v="6"/>
    <d v="2012-01-11T00:00:00"/>
    <d v="2012-03-08T00:00:00"/>
    <n v="1580293"/>
    <d v="2012-01-12T00:00:00"/>
    <d v="2012-03-08T00:00:00"/>
    <n v="35000"/>
    <x v="2"/>
    <m/>
    <s v="N"/>
    <s v="NONE"/>
    <s v="GUILTY PLEA - NO JURY"/>
    <n v="57"/>
    <n v="58"/>
    <n v="3"/>
    <n v="2"/>
    <m/>
    <n v="1"/>
    <m/>
    <m/>
    <m/>
    <m/>
    <m/>
    <m/>
    <m/>
    <d v="1976-06-15T00:00:00"/>
    <s v="M"/>
    <s v="B"/>
    <s v="BLACK"/>
    <s v="NULL"/>
    <s v="232"/>
    <s v="CONVICTED"/>
    <n v="3"/>
    <s v="TDC"/>
    <n v="4"/>
    <m/>
    <m/>
    <s v="AGG ASSAULT W/DEADLY WEAPON"/>
    <m/>
    <s v="F2"/>
    <s v="ASLT-MURDR"/>
    <m/>
    <m/>
    <m/>
    <m/>
    <m/>
    <m/>
    <m/>
    <m/>
    <m/>
    <s v="Public Defender"/>
    <m/>
    <m/>
    <n v="57"/>
    <n v="57"/>
    <n v="58"/>
    <n v="35.5"/>
    <n v="0"/>
    <n v="0"/>
    <s v="CONVICTION"/>
    <x v="0"/>
    <s v="N"/>
    <m/>
    <s v="CONVICTION"/>
    <s v="Y"/>
    <x v="0"/>
    <x v="0"/>
    <s v="Y"/>
    <n v="0.98275862068965514"/>
    <n v="1"/>
    <n v="1.7241379310344862E-2"/>
    <n v="0"/>
    <n v="-57"/>
    <n v="0"/>
    <n v="57"/>
    <e v="#VALUE!"/>
    <n v="57"/>
    <n v="0"/>
    <n v="0"/>
    <m/>
    <s v="Y"/>
    <m/>
    <s v="31-60 DAYS"/>
    <n v="3"/>
    <x v="0"/>
  </r>
  <r>
    <n v="1999"/>
    <s v="N"/>
    <s v="N"/>
    <n v="1581069"/>
    <n v="5"/>
    <d v="2012-03-15T00:00:00"/>
    <d v="2012-03-19T00:00:00"/>
    <n v="1581069"/>
    <d v="2012-03-16T00:00:00"/>
    <d v="2012-03-19T00:00:00"/>
    <n v="15000"/>
    <x v="0"/>
    <m/>
    <s v="N"/>
    <s v="NONE"/>
    <s v="GUILTY PLEA - NO JURY"/>
    <n v="4"/>
    <n v="5"/>
    <n v="2"/>
    <n v="3"/>
    <n v="1"/>
    <m/>
    <m/>
    <m/>
    <m/>
    <m/>
    <m/>
    <m/>
    <m/>
    <d v="1977-01-11T00:00:00"/>
    <s v="M"/>
    <s v="B"/>
    <s v="BLACK"/>
    <s v="NON-HISPANIC"/>
    <s v="184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4"/>
    <n v="4"/>
    <n v="5"/>
    <n v="35.101092896174862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1398"/>
    <s v="N"/>
    <s v="N"/>
    <n v="1583721"/>
    <n v="5"/>
    <d v="2012-02-21T00:00:00"/>
    <d v="2013-01-07T00:00:00"/>
    <n v="1583721"/>
    <d v="2012-02-22T00:00:00"/>
    <d v="2013-01-07T00:00:00"/>
    <s v="NO BOND"/>
    <x v="1"/>
    <m/>
    <s v="N"/>
    <s v="NONE"/>
    <s v="GUILTY PLEA - NO JURY"/>
    <n v="321"/>
    <n v="322"/>
    <n v="2"/>
    <n v="2"/>
    <m/>
    <m/>
    <m/>
    <m/>
    <m/>
    <m/>
    <m/>
    <m/>
    <m/>
    <d v="1974-04-30T00:00:00"/>
    <s v="M"/>
    <s v="W"/>
    <s v="WHITE"/>
    <s v="NON-HISPANIC"/>
    <s v="339"/>
    <s v="CONVICTED"/>
    <n v="10"/>
    <s v="STJ"/>
    <m/>
    <n v="24"/>
    <m/>
    <s v="THEFT F/ELDERLY 500 - 1,500"/>
    <m/>
    <s v="FS"/>
    <s v="THEFT"/>
    <m/>
    <m/>
    <m/>
    <m/>
    <m/>
    <m/>
    <m/>
    <m/>
    <m/>
    <s v="Appointed Attorney"/>
    <m/>
    <m/>
    <n v="321"/>
    <n v="321"/>
    <n v="322"/>
    <n v="37.734972677595628"/>
    <n v="0"/>
    <n v="0"/>
    <s v="CONVICTION"/>
    <x v="0"/>
    <s v="N"/>
    <m/>
    <s v="CONVICTION"/>
    <s v="Y"/>
    <x v="0"/>
    <x v="0"/>
    <s v="Y"/>
    <n v="0.99689440993788825"/>
    <n v="1"/>
    <n v="3.1055900621117516E-3"/>
    <n v="0"/>
    <n v="-321"/>
    <n v="0"/>
    <n v="321"/>
    <e v="#VALUE!"/>
    <n v="321"/>
    <n v="0"/>
    <n v="0"/>
    <m/>
    <s v="Y"/>
    <m/>
    <s v="121-365 DAYS"/>
    <n v="6"/>
    <x v="0"/>
  </r>
  <r>
    <n v="2531"/>
    <s v="N"/>
    <s v="N"/>
    <n v="1584133"/>
    <n v="5"/>
    <d v="2012-04-04T00:00:00"/>
    <d v="2013-02-19T00:00:00"/>
    <n v="1584133"/>
    <d v="2012-08-30T00:00:00"/>
    <d v="2013-02-19T00:00:00"/>
    <n v="45000"/>
    <x v="2"/>
    <m/>
    <s v="N"/>
    <s v="NONE"/>
    <s v="GUILTY PLEA - NO JURY"/>
    <n v="174"/>
    <n v="322"/>
    <n v="2"/>
    <n v="6"/>
    <n v="1"/>
    <m/>
    <m/>
    <m/>
    <m/>
    <m/>
    <m/>
    <m/>
    <m/>
    <d v="1979-05-05T00:00:00"/>
    <s v="M"/>
    <s v="B"/>
    <s v="BLACK"/>
    <s v="NON-HISPANIC"/>
    <s v="351"/>
    <s v="CONVICTED"/>
    <n v="13"/>
    <s v="STJ"/>
    <m/>
    <n v="24"/>
    <m/>
    <s v="RETALIATION"/>
    <m/>
    <s v="F3"/>
    <s v="OTHER FEL"/>
    <m/>
    <m/>
    <m/>
    <m/>
    <m/>
    <m/>
    <m/>
    <m/>
    <m/>
    <s v="Appointed Attorney"/>
    <m/>
    <m/>
    <n v="174"/>
    <n v="174"/>
    <n v="322"/>
    <n v="32.849726775956285"/>
    <n v="0"/>
    <n v="0"/>
    <s v="CONVICTION"/>
    <x v="0"/>
    <s v="N"/>
    <m/>
    <s v="CONVICTION"/>
    <s v="Y"/>
    <x v="0"/>
    <x v="0"/>
    <s v="Y"/>
    <n v="0.54037267080745344"/>
    <n v="1"/>
    <n v="0.45962732919254656"/>
    <n v="0"/>
    <n v="-174"/>
    <n v="0"/>
    <n v="174"/>
    <e v="#VALUE!"/>
    <n v="174"/>
    <n v="0"/>
    <n v="0"/>
    <m/>
    <s v="Y"/>
    <m/>
    <s v="121-365 DAYS"/>
    <n v="6"/>
    <x v="0"/>
  </r>
  <r>
    <n v="1842"/>
    <s v="N"/>
    <s v="N"/>
    <n v="1585145"/>
    <n v="1"/>
    <d v="2012-03-09T00:00:00"/>
    <d v="2012-05-18T00:00:00"/>
    <n v="1585145"/>
    <d v="2012-03-09T00:00:00"/>
    <d v="2012-05-18T00:00:00"/>
    <n v="40000"/>
    <x v="2"/>
    <m/>
    <s v="N"/>
    <s v="NONE"/>
    <s v="DISMISSED"/>
    <n v="71"/>
    <n v="71"/>
    <n v="4"/>
    <n v="2"/>
    <n v="4"/>
    <m/>
    <m/>
    <m/>
    <m/>
    <m/>
    <m/>
    <m/>
    <m/>
    <d v="1978-02-28T00:00:00"/>
    <s v="M"/>
    <s v="B"/>
    <s v="BLACK"/>
    <s v="NON-HISPANIC"/>
    <s v="179"/>
    <s v="DISMISSED"/>
    <n v="4"/>
    <s v="DISMISSED"/>
    <m/>
    <m/>
    <m/>
    <s v="FELON POSS WPN"/>
    <m/>
    <s v="F3"/>
    <s v="OTHER FEL"/>
    <m/>
    <m/>
    <m/>
    <m/>
    <m/>
    <m/>
    <m/>
    <m/>
    <m/>
    <s v="Hired Attorney"/>
    <m/>
    <m/>
    <n v="71"/>
    <n v="71"/>
    <n v="71"/>
    <n v="33.956284153005463"/>
    <n v="0"/>
    <n v="0"/>
    <s v="NO CONVICTION"/>
    <x v="0"/>
    <s v="N"/>
    <m/>
    <s v="NO CONVICTION"/>
    <s v="Y"/>
    <x v="0"/>
    <x v="0"/>
    <s v="Y"/>
    <n v="1"/>
    <n v="1"/>
    <n v="0"/>
    <n v="0"/>
    <n v="-71"/>
    <n v="0"/>
    <n v="71"/>
    <e v="#VALUE!"/>
    <n v="71"/>
    <n v="0"/>
    <n v="0"/>
    <m/>
    <s v="Y"/>
    <m/>
    <s v="61-90 DAYS"/>
    <n v="4"/>
    <x v="0"/>
  </r>
  <r>
    <n v="982"/>
    <s v="N"/>
    <s v="N"/>
    <n v="1585177"/>
    <n v="6"/>
    <d v="2011-11-22T00:00:00"/>
    <d v="2012-03-05T00:00:00"/>
    <n v="1585177"/>
    <d v="2012-03-01T00:00:00"/>
    <d v="2012-03-05T00:00:00"/>
    <s v="NO BOND"/>
    <x v="1"/>
    <m/>
    <s v="N"/>
    <s v="NONE"/>
    <s v="DEFENDANT CONVICTED ON ANOTHER CHARGE"/>
    <n v="5"/>
    <n v="105"/>
    <n v="0"/>
    <n v="7"/>
    <m/>
    <m/>
    <m/>
    <m/>
    <m/>
    <m/>
    <m/>
    <m/>
    <m/>
    <d v="1977-07-24T00:00:00"/>
    <s v="M"/>
    <s v="B"/>
    <s v="BLACK"/>
    <s v="NON-HISPANIC"/>
    <s v="180"/>
    <s v="CONVICTED"/>
    <n v="4"/>
    <s v="TDC"/>
    <n v="2"/>
    <m/>
    <m/>
    <s v="ASSAULT-BOD INJ-FAMILY MEMBER"/>
    <m/>
    <s v="F3"/>
    <s v="ASLT-MURDR"/>
    <m/>
    <m/>
    <m/>
    <m/>
    <m/>
    <m/>
    <m/>
    <m/>
    <m/>
    <s v="Appointed Attorney"/>
    <m/>
    <m/>
    <n v="5"/>
    <n v="5"/>
    <n v="105"/>
    <n v="34.259562841530055"/>
    <n v="0"/>
    <n v="0"/>
    <s v="CONVICTION"/>
    <x v="0"/>
    <s v="N"/>
    <m/>
    <s v="CONVICTION"/>
    <s v="Y"/>
    <x v="0"/>
    <x v="0"/>
    <s v="N"/>
    <n v="4.7619047619047616E-2"/>
    <n v="1"/>
    <n v="0.95238095238095233"/>
    <n v="0"/>
    <n v="-5"/>
    <n v="0"/>
    <n v="5"/>
    <e v="#VALUE!"/>
    <n v="5"/>
    <n v="0"/>
    <n v="0"/>
    <m/>
    <s v="Y"/>
    <m/>
    <s v="0-10 DAYS"/>
    <n v="1"/>
    <x v="0"/>
  </r>
  <r>
    <n v="772"/>
    <s v="N"/>
    <s v="N"/>
    <n v="1585315"/>
    <n v="1"/>
    <d v="2012-01-31T00:00:00"/>
    <d v="2012-02-02T00:00:00"/>
    <n v="1585315"/>
    <d v="2012-01-31T00:00:00"/>
    <d v="2012-02-02T00:00:00"/>
    <n v="15000"/>
    <x v="0"/>
    <m/>
    <s v="N"/>
    <s v="NONE"/>
    <s v="DISMISSED"/>
    <n v="3"/>
    <n v="3"/>
    <n v="4"/>
    <n v="2"/>
    <m/>
    <m/>
    <m/>
    <m/>
    <m/>
    <m/>
    <m/>
    <m/>
    <m/>
    <d v="1968-10-29T00:00:00"/>
    <s v="M"/>
    <s v="B"/>
    <s v="BLACK"/>
    <s v="NON-HISPANIC"/>
    <s v="228"/>
    <s v="DISMISSED"/>
    <n v="2"/>
    <s v="DISMISSED"/>
    <m/>
    <m/>
    <m/>
    <s v="POSS CS PG 1 &lt;1G"/>
    <m/>
    <s v="FS"/>
    <s v="POSS DRUG"/>
    <m/>
    <m/>
    <m/>
    <m/>
    <m/>
    <m/>
    <m/>
    <m/>
    <m/>
    <s v="Appointed Attorney"/>
    <m/>
    <m/>
    <n v="3"/>
    <n v="3"/>
    <n v="3"/>
    <n v="43.166666666666664"/>
    <n v="0"/>
    <n v="0"/>
    <s v="NO CONVICTION"/>
    <x v="0"/>
    <s v="N"/>
    <m/>
    <s v="NO 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207"/>
    <s v="N"/>
    <s v="N"/>
    <n v="1585763"/>
    <n v="5"/>
    <d v="2012-03-23T00:00:00"/>
    <d v="2012-06-12T00:00:00"/>
    <n v="1585763"/>
    <d v="2012-03-24T00:00:00"/>
    <d v="2012-06-12T00:00:00"/>
    <n v="15000"/>
    <x v="0"/>
    <m/>
    <s v="N"/>
    <s v="NONE"/>
    <s v="GUILTY PLEA - NO JURY"/>
    <n v="81"/>
    <n v="82"/>
    <n v="3"/>
    <n v="6"/>
    <n v="1"/>
    <m/>
    <m/>
    <m/>
    <m/>
    <m/>
    <m/>
    <m/>
    <m/>
    <d v="1976-03-24T00:00:00"/>
    <s v="F"/>
    <s v="B"/>
    <s v="BLACK"/>
    <s v="NON-HISPANIC"/>
    <s v="263"/>
    <s v="CONVICTED"/>
    <n v="6"/>
    <s v="STJ"/>
    <m/>
    <n v="8"/>
    <m/>
    <s v="THEFT UNDER $1500 - 3RD OFF."/>
    <m/>
    <s v="FS"/>
    <s v="THEFT"/>
    <m/>
    <m/>
    <m/>
    <m/>
    <m/>
    <m/>
    <m/>
    <m/>
    <m/>
    <s v="Appointed Attorney"/>
    <m/>
    <m/>
    <n v="81"/>
    <n v="81"/>
    <n v="82"/>
    <n v="35.923497267759565"/>
    <n v="0"/>
    <n v="0"/>
    <s v="CONVICTION"/>
    <x v="0"/>
    <s v="N"/>
    <m/>
    <s v="CONVICTION"/>
    <s v="Y"/>
    <x v="0"/>
    <x v="0"/>
    <s v="Y"/>
    <n v="0.98780487804878048"/>
    <n v="1"/>
    <n v="1.2195121951219523E-2"/>
    <n v="0"/>
    <n v="-81"/>
    <n v="0"/>
    <n v="81"/>
    <e v="#VALUE!"/>
    <n v="81"/>
    <n v="0"/>
    <n v="0"/>
    <m/>
    <s v="Y"/>
    <m/>
    <s v="61-90 DAYS"/>
    <n v="4"/>
    <x v="0"/>
  </r>
  <r>
    <n v="2651"/>
    <s v="N"/>
    <s v="N"/>
    <n v="1585941"/>
    <n v="6"/>
    <d v="2012-04-08T00:00:00"/>
    <d v="2014-10-07T00:00:00"/>
    <n v="1585941"/>
    <d v="2012-04-08T00:00:00"/>
    <d v="2014-10-07T00:00:00"/>
    <n v="100000"/>
    <x v="2"/>
    <m/>
    <s v="N"/>
    <s v="NONE"/>
    <s v="GUILTY PLEA - NO JURY"/>
    <n v="913"/>
    <n v="913"/>
    <n v="0"/>
    <n v="1"/>
    <m/>
    <m/>
    <m/>
    <m/>
    <m/>
    <m/>
    <m/>
    <m/>
    <m/>
    <d v="1967-01-04T00:00:00"/>
    <s v="M"/>
    <s v="H"/>
    <s v="HISPANIC"/>
    <s v="HISPANIC"/>
    <s v="263"/>
    <s v="CONVICTED"/>
    <n v="26"/>
    <s v="TDC"/>
    <n v="40"/>
    <m/>
    <m/>
    <s v="MURDER"/>
    <m/>
    <s v="F1"/>
    <s v="MURD/MANSL"/>
    <m/>
    <m/>
    <m/>
    <m/>
    <m/>
    <m/>
    <m/>
    <m/>
    <m/>
    <s v="Appointed Attorney"/>
    <m/>
    <m/>
    <n v="913"/>
    <n v="913"/>
    <n v="913"/>
    <n v="45.166666666666664"/>
    <n v="0"/>
    <n v="0"/>
    <s v="CONVICTION"/>
    <x v="0"/>
    <s v="Y"/>
    <m/>
    <s v="CONVICTION"/>
    <s v="Y"/>
    <x v="0"/>
    <x v="0"/>
    <s v="N"/>
    <n v="1"/>
    <n v="1"/>
    <n v="0"/>
    <n v="0"/>
    <n v="-913"/>
    <n v="0"/>
    <n v="913"/>
    <e v="#VALUE!"/>
    <n v="913"/>
    <m/>
    <n v="0"/>
    <m/>
    <s v="Y"/>
    <e v="#N/A"/>
    <s v="&gt;2YRS&lt;3YRS"/>
    <n v="8"/>
    <x v="0"/>
  </r>
  <r>
    <n v="571"/>
    <s v="N"/>
    <s v="N"/>
    <n v="1586935"/>
    <n v="6"/>
    <d v="2012-01-23T00:00:00"/>
    <d v="2012-07-25T00:00:00"/>
    <n v="1586935"/>
    <d v="2012-01-31T00:00:00"/>
    <d v="2012-07-25T00:00:00"/>
    <n v="60000"/>
    <x v="2"/>
    <m/>
    <s v="N"/>
    <s v="NONE"/>
    <s v="GUILTY PLEA - NO JURY"/>
    <n v="177"/>
    <n v="185"/>
    <n v="8"/>
    <n v="3"/>
    <n v="8"/>
    <m/>
    <m/>
    <m/>
    <m/>
    <m/>
    <m/>
    <m/>
    <m/>
    <d v="1979-12-18T00:00:00"/>
    <s v="M"/>
    <s v="B"/>
    <s v="BLACK"/>
    <s v="NON-HISPANIC"/>
    <s v="230"/>
    <s v="CONVICTED"/>
    <n v="15"/>
    <s v="TDC"/>
    <n v="3"/>
    <m/>
    <m/>
    <s v="POSS/ATT POSS CS BY FRAUD SCH"/>
    <m/>
    <s v="F3"/>
    <s v="SALE DRUG"/>
    <m/>
    <m/>
    <m/>
    <m/>
    <m/>
    <m/>
    <m/>
    <m/>
    <m/>
    <s v="Hired Attorney"/>
    <m/>
    <m/>
    <n v="177"/>
    <n v="177"/>
    <n v="185"/>
    <n v="32.032786885245905"/>
    <n v="0"/>
    <n v="0"/>
    <s v="CONVICTION"/>
    <x v="0"/>
    <s v="N"/>
    <m/>
    <s v="CONVICTION"/>
    <s v="Y"/>
    <x v="0"/>
    <x v="0"/>
    <s v="Y"/>
    <n v="0.95675675675675675"/>
    <n v="1"/>
    <n v="4.3243243243243246E-2"/>
    <n v="0"/>
    <n v="-177"/>
    <n v="0"/>
    <n v="177"/>
    <e v="#VALUE!"/>
    <n v="177"/>
    <n v="0"/>
    <n v="0"/>
    <m/>
    <s v="Y"/>
    <m/>
    <s v="121-365 DAYS"/>
    <n v="6"/>
    <x v="0"/>
  </r>
  <r>
    <n v="556"/>
    <s v="N"/>
    <s v="N"/>
    <n v="1587227"/>
    <n v="3"/>
    <d v="2012-01-23T00:00:00"/>
    <d v="2012-06-28T00:00:00"/>
    <n v="1587227"/>
    <s v="NOT BOOKED"/>
    <s v="NOT BOOKED"/>
    <n v="10000"/>
    <x v="3"/>
    <d v="2012-01-23T00:00:00"/>
    <s v="Y"/>
    <s v="SURETYPTRc"/>
    <s v="GUILTY PLEA - NO JURY"/>
    <n v="0"/>
    <n v="158"/>
    <n v="1"/>
    <n v="2"/>
    <m/>
    <n v="1"/>
    <m/>
    <m/>
    <m/>
    <m/>
    <m/>
    <m/>
    <m/>
    <d v="1975-04-07T00:00:00"/>
    <s v="M"/>
    <s v="W"/>
    <s v="WHITE"/>
    <s v="NULL"/>
    <s v="337"/>
    <s v="CONVICTED"/>
    <n v="7"/>
    <s v="PROBATION"/>
    <m/>
    <m/>
    <m/>
    <s v="DWI 3RD OFFENDER BAC .08"/>
    <m/>
    <s v="F3"/>
    <s v="FEL DWI"/>
    <m/>
    <m/>
    <m/>
    <m/>
    <m/>
    <m/>
    <m/>
    <m/>
    <m/>
    <s v="Hired Attorney"/>
    <m/>
    <m/>
    <n v="0"/>
    <n v="0"/>
    <n v="158"/>
    <n v="36.721311475409834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580"/>
    <s v="N"/>
    <s v="N"/>
    <n v="1587641"/>
    <n v="6"/>
    <d v="2012-04-06T00:00:00"/>
    <d v="2012-04-12T00:00:00"/>
    <n v="1587641"/>
    <d v="2012-04-06T00:00:00"/>
    <d v="2012-04-12T00:00:00"/>
    <n v="15000"/>
    <x v="0"/>
    <m/>
    <s v="N"/>
    <s v="NONE"/>
    <s v="GUILTY PLEA - NO JURY"/>
    <n v="7"/>
    <n v="7"/>
    <n v="9"/>
    <n v="1"/>
    <n v="5"/>
    <m/>
    <m/>
    <m/>
    <m/>
    <m/>
    <m/>
    <m/>
    <m/>
    <d v="1979-09-03T00:00:00"/>
    <s v="M"/>
    <s v="B"/>
    <s v="BLACK"/>
    <s v="NULL"/>
    <s v="183"/>
    <s v="CONVICTED"/>
    <n v="2"/>
    <s v="TDC"/>
    <n v="10"/>
    <m/>
    <m/>
    <s v="POSS W/INT DEL CS PG1 1G &lt;4 GR"/>
    <m/>
    <s v="F2"/>
    <s v="SALE DRUG"/>
    <m/>
    <m/>
    <m/>
    <m/>
    <m/>
    <m/>
    <m/>
    <m/>
    <m/>
    <s v="Appointed Attorney"/>
    <m/>
    <m/>
    <n v="7"/>
    <n v="7"/>
    <n v="7"/>
    <n v="32.524590163934427"/>
    <n v="0"/>
    <n v="0"/>
    <s v="CONVICTION"/>
    <x v="0"/>
    <s v="N"/>
    <m/>
    <s v="CONVICTION"/>
    <s v="Y"/>
    <x v="0"/>
    <x v="0"/>
    <s v="Y"/>
    <n v="1"/>
    <n v="1"/>
    <n v="0"/>
    <n v="0"/>
    <n v="-7"/>
    <n v="0"/>
    <n v="7"/>
    <e v="#VALUE!"/>
    <n v="7"/>
    <n v="0"/>
    <n v="0"/>
    <m/>
    <s v="Y"/>
    <m/>
    <s v="0-10 DAYS"/>
    <n v="1"/>
    <x v="0"/>
  </r>
  <r>
    <n v="208"/>
    <s v="N"/>
    <s v="N"/>
    <n v="1587872"/>
    <n v="6"/>
    <d v="2012-01-10T00:00:00"/>
    <d v="2012-01-11T00:00:00"/>
    <n v="1587872"/>
    <d v="2012-01-10T00:00:00"/>
    <d v="2012-01-11T00:00:00"/>
    <n v="10000"/>
    <x v="3"/>
    <m/>
    <s v="N"/>
    <s v="NONE"/>
    <s v="GUILTY PLEA - NO JURY"/>
    <n v="2"/>
    <n v="2"/>
    <n v="4"/>
    <n v="4"/>
    <n v="4"/>
    <m/>
    <m/>
    <m/>
    <m/>
    <m/>
    <m/>
    <m/>
    <m/>
    <d v="1979-09-10T00:00:00"/>
    <s v="M"/>
    <s v="W"/>
    <s v="WHITE"/>
    <s v="NON-HISPANIC"/>
    <s v="182"/>
    <s v="CONVICTED"/>
    <n v="1"/>
    <s v="TDC"/>
    <n v="2"/>
    <m/>
    <m/>
    <s v="POSS CS PG 1 &lt;1G"/>
    <m/>
    <s v="FS"/>
    <s v="POSS DRUG"/>
    <m/>
    <m/>
    <m/>
    <m/>
    <m/>
    <m/>
    <m/>
    <m/>
    <m/>
    <s v="Appointed Attorney"/>
    <m/>
    <m/>
    <n v="2"/>
    <n v="2"/>
    <n v="2"/>
    <n v="32.267759562841533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3150"/>
    <s v="N"/>
    <s v="N"/>
    <n v="1588461"/>
    <n v="4"/>
    <d v="2012-04-26T00:00:00"/>
    <d v="2012-07-02T00:00:00"/>
    <n v="1588461"/>
    <d v="2012-04-27T00:00:00"/>
    <d v="2012-07-02T00:00:00"/>
    <s v="NO BOND"/>
    <x v="1"/>
    <m/>
    <s v="N"/>
    <s v="NONE"/>
    <s v="GUILTY PLEA - NO JURY"/>
    <n v="67"/>
    <n v="68"/>
    <n v="0"/>
    <n v="3"/>
    <m/>
    <m/>
    <m/>
    <m/>
    <m/>
    <m/>
    <m/>
    <s v="S"/>
    <m/>
    <d v="1974-01-13T00:00:00"/>
    <s v="M"/>
    <s v="H"/>
    <s v="HISPANIC"/>
    <s v="NULL"/>
    <s v="263"/>
    <s v="CONVICTED"/>
    <n v="6"/>
    <s v="HCJ"/>
    <m/>
    <m/>
    <n v="180"/>
    <s v="AGG ASSAULT-FAMILY MEMBER"/>
    <m/>
    <s v="F2"/>
    <s v="ASLT-MURDR"/>
    <m/>
    <m/>
    <m/>
    <m/>
    <m/>
    <m/>
    <m/>
    <m/>
    <m/>
    <s v="Hired Attorney"/>
    <m/>
    <m/>
    <n v="67"/>
    <n v="67"/>
    <n v="68"/>
    <n v="38.204918032786885"/>
    <n v="0"/>
    <n v="0"/>
    <s v="CONVICTION"/>
    <x v="0"/>
    <s v="N"/>
    <m/>
    <s v="CONVICTION"/>
    <s v="Y"/>
    <x v="0"/>
    <x v="0"/>
    <s v="N"/>
    <n v="0.98529411764705888"/>
    <n v="1"/>
    <n v="1.4705882352941124E-2"/>
    <n v="0"/>
    <n v="-67"/>
    <n v="0"/>
    <n v="67"/>
    <e v="#VALUE!"/>
    <n v="67"/>
    <n v="0"/>
    <n v="0"/>
    <m/>
    <s v="Y"/>
    <m/>
    <s v="61-90 DAYS"/>
    <n v="4"/>
    <x v="0"/>
  </r>
  <r>
    <n v="1569"/>
    <s v="N"/>
    <s v="N"/>
    <n v="1589281"/>
    <n v="6"/>
    <d v="2012-02-28T00:00:00"/>
    <d v="2012-09-26T00:00:00"/>
    <n v="1589281"/>
    <d v="2012-02-28T00:00:00"/>
    <d v="2012-09-26T00:00:00"/>
    <s v="NO BOND"/>
    <x v="1"/>
    <m/>
    <s v="N"/>
    <s v="NONE"/>
    <s v="GUILTY PLEA - NO JURY"/>
    <n v="212"/>
    <n v="212"/>
    <n v="5"/>
    <n v="4"/>
    <n v="4"/>
    <m/>
    <m/>
    <m/>
    <m/>
    <m/>
    <m/>
    <m/>
    <m/>
    <d v="1977-10-31T00:00:00"/>
    <s v="M"/>
    <s v="B"/>
    <s v="BLACK"/>
    <s v="NULL"/>
    <s v="208"/>
    <s v="CONVICTED"/>
    <n v="8"/>
    <s v="TDC"/>
    <n v="10"/>
    <m/>
    <m/>
    <s v="POSS CS PG 1  1 - 4 GRAMS"/>
    <m/>
    <s v="F3"/>
    <s v="POSS DRUG"/>
    <m/>
    <m/>
    <m/>
    <m/>
    <m/>
    <m/>
    <m/>
    <m/>
    <m/>
    <s v="Appointed Attorney"/>
    <m/>
    <m/>
    <n v="212"/>
    <n v="212"/>
    <n v="212"/>
    <n v="34.256830601092894"/>
    <n v="0"/>
    <n v="0"/>
    <s v="CONVICTION"/>
    <x v="0"/>
    <s v="N"/>
    <m/>
    <s v="CONVICTION"/>
    <s v="Y"/>
    <x v="0"/>
    <x v="0"/>
    <s v="Y"/>
    <n v="1"/>
    <n v="1"/>
    <n v="0"/>
    <n v="0"/>
    <n v="-212"/>
    <n v="0"/>
    <n v="212"/>
    <e v="#VALUE!"/>
    <n v="212"/>
    <n v="0"/>
    <n v="0"/>
    <m/>
    <s v="Y"/>
    <m/>
    <s v="121-365 DAYS"/>
    <n v="6"/>
    <x v="0"/>
  </r>
  <r>
    <n v="368"/>
    <s v="N"/>
    <s v="N"/>
    <n v="1590542"/>
    <n v="6"/>
    <d v="2012-01-16T00:00:00"/>
    <d v="2012-03-05T00:00:00"/>
    <n v="1590542"/>
    <d v="2012-01-16T00:00:00"/>
    <d v="2012-03-05T00:00:00"/>
    <s v="NO BOND"/>
    <x v="1"/>
    <m/>
    <s v="N"/>
    <s v="NONE"/>
    <s v="GUILTY PLEA - NO JURY"/>
    <n v="50"/>
    <n v="50"/>
    <n v="1"/>
    <n v="4"/>
    <n v="1"/>
    <n v="1"/>
    <m/>
    <m/>
    <m/>
    <m/>
    <m/>
    <m/>
    <m/>
    <d v="1945-08-05T00:00:00"/>
    <s v="M"/>
    <s v="B"/>
    <s v="BLACK"/>
    <s v="NON-HISPANIC"/>
    <s v="351"/>
    <s v="CONVICTED"/>
    <n v="3"/>
    <s v="TDC"/>
    <n v="4"/>
    <m/>
    <m/>
    <s v="DWI 3RD OFFENDER BAC .08"/>
    <m/>
    <s v="F3"/>
    <s v="FEL DWI"/>
    <m/>
    <m/>
    <m/>
    <m/>
    <m/>
    <m/>
    <m/>
    <m/>
    <m/>
    <s v="Appointed Attorney"/>
    <m/>
    <m/>
    <n v="50"/>
    <n v="50"/>
    <n v="50"/>
    <n v="66.311475409836063"/>
    <n v="0"/>
    <n v="0"/>
    <s v="CONVICTION"/>
    <x v="0"/>
    <s v="N"/>
    <m/>
    <s v="CONVICTION"/>
    <s v="Y"/>
    <x v="0"/>
    <x v="0"/>
    <s v="Y"/>
    <n v="1"/>
    <n v="1"/>
    <n v="0"/>
    <n v="0"/>
    <n v="-50"/>
    <n v="0"/>
    <n v="50"/>
    <e v="#VALUE!"/>
    <n v="50"/>
    <n v="0"/>
    <n v="0"/>
    <m/>
    <s v="Y"/>
    <m/>
    <s v="31-60 DAYS"/>
    <n v="3"/>
    <x v="0"/>
  </r>
  <r>
    <n v="262"/>
    <s v="N"/>
    <s v="N"/>
    <n v="1590658"/>
    <n v="4"/>
    <d v="2012-01-11T00:00:00"/>
    <d v="2012-05-31T00:00:00"/>
    <n v="1590658"/>
    <s v="NOT BOOKED"/>
    <s v="NOT BOOKED"/>
    <n v="10000"/>
    <x v="3"/>
    <d v="2012-01-13T00:00:00"/>
    <s v="Y"/>
    <s v="SURETY"/>
    <s v="GUILTY PLEA - NO JURY"/>
    <n v="0"/>
    <n v="142"/>
    <n v="1"/>
    <n v="3"/>
    <m/>
    <n v="1"/>
    <m/>
    <m/>
    <m/>
    <m/>
    <m/>
    <m/>
    <m/>
    <d v="1979-08-11T00:00:00"/>
    <s v="M"/>
    <s v="B"/>
    <s v="BLACK"/>
    <s v="NULL"/>
    <s v="183"/>
    <s v="CONVICTED"/>
    <n v="7"/>
    <s v="HCJ"/>
    <m/>
    <m/>
    <n v="365"/>
    <s v="POSS CS PG 1 &lt;1G"/>
    <m/>
    <s v="FS"/>
    <s v="POSS DRUG"/>
    <m/>
    <m/>
    <m/>
    <m/>
    <m/>
    <m/>
    <m/>
    <m/>
    <m/>
    <s v="Hired Attorney"/>
    <m/>
    <m/>
    <n v="0"/>
    <n v="0"/>
    <n v="142"/>
    <n v="32.352459016393439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1163"/>
    <s v="N"/>
    <s v="N"/>
    <n v="1592055"/>
    <n v="1"/>
    <d v="2012-02-11T00:00:00"/>
    <d v="2012-06-20T00:00:00"/>
    <n v="1592055"/>
    <d v="2012-02-12T00:00:00"/>
    <d v="2012-04-08T00:00:00"/>
    <n v="20000"/>
    <x v="0"/>
    <d v="2012-04-08T00:00:00"/>
    <s v="Y"/>
    <s v="SURETY"/>
    <s v="DISMISSED"/>
    <n v="57"/>
    <n v="131"/>
    <n v="2"/>
    <n v="5"/>
    <n v="2"/>
    <m/>
    <m/>
    <m/>
    <m/>
    <m/>
    <m/>
    <m/>
    <m/>
    <d v="1977-09-20T00:00:00"/>
    <s v="M"/>
    <s v="B"/>
    <s v="BLACK"/>
    <s v="NULL"/>
    <s v="262"/>
    <s v="DISMISSED"/>
    <n v="8"/>
    <s v="DISMISSED"/>
    <m/>
    <m/>
    <m/>
    <s v="FELON POSS WPN"/>
    <m/>
    <s v="F3"/>
    <s v="OTHER FEL"/>
    <m/>
    <m/>
    <m/>
    <m/>
    <m/>
    <m/>
    <m/>
    <m/>
    <m/>
    <s v="Hired Attorney"/>
    <m/>
    <m/>
    <n v="57"/>
    <n v="130"/>
    <n v="131"/>
    <n v="34.322404371584696"/>
    <n v="0"/>
    <n v="-73"/>
    <s v="NO CONVICTION"/>
    <x v="1"/>
    <s v="Y"/>
    <m/>
    <s v="NO CONVICTION"/>
    <s v="Y"/>
    <x v="1"/>
    <x v="0"/>
    <s v="Y"/>
    <n v="0.4351145038167939"/>
    <n v="0.43846153846153846"/>
    <n v="3.347034644744562E-3"/>
    <n v="0"/>
    <n v="-57"/>
    <n v="0"/>
    <n v="57"/>
    <e v="#VALUE!"/>
    <n v="57"/>
    <n v="0"/>
    <n v="73"/>
    <m/>
    <s v="Y"/>
    <m/>
    <s v="31-60 DAYS"/>
    <n v="3"/>
    <x v="0"/>
  </r>
  <r>
    <n v="1229"/>
    <s v="N"/>
    <s v="N"/>
    <n v="1592980"/>
    <n v="4"/>
    <d v="2012-02-14T00:00:00"/>
    <d v="2012-08-23T00:00:00"/>
    <n v="1592980"/>
    <d v="2012-02-15T00:00:00"/>
    <d v="2012-02-16T00:00:00"/>
    <n v="5000"/>
    <x v="4"/>
    <d v="2012-02-16T00:00:00"/>
    <s v="Y"/>
    <s v="SURETYPTRc"/>
    <s v="GUILTY PLEA - NO JURY"/>
    <n v="2"/>
    <n v="192"/>
    <n v="2"/>
    <n v="6"/>
    <n v="1"/>
    <m/>
    <m/>
    <m/>
    <m/>
    <m/>
    <m/>
    <m/>
    <m/>
    <d v="1979-07-05T00:00:00"/>
    <s v="M"/>
    <s v="B"/>
    <s v="BLACK"/>
    <s v="NON-HISPANIC"/>
    <s v="185"/>
    <s v="CONVICTED"/>
    <n v="10"/>
    <s v="HCJ"/>
    <m/>
    <m/>
    <n v="1"/>
    <s v="POSS MARIJ  4 OZ. - 5 LBS."/>
    <m/>
    <s v="FS"/>
    <s v="POSS DRUG"/>
    <s v="viol rep 3/8/12 cont sup"/>
    <m/>
    <m/>
    <m/>
    <m/>
    <m/>
    <m/>
    <m/>
    <m/>
    <s v="Hired Attorney"/>
    <m/>
    <m/>
    <n v="2"/>
    <n v="191"/>
    <n v="192"/>
    <n v="32.546448087431692"/>
    <n v="0"/>
    <n v="-189"/>
    <s v="CONVICTION"/>
    <x v="1"/>
    <s v="Y"/>
    <m/>
    <s v="CONVICTION"/>
    <s v="Y"/>
    <x v="1"/>
    <x v="0"/>
    <s v="Y"/>
    <n v="1.0416666666666666E-2"/>
    <n v="1.0471204188481676E-2"/>
    <n v="5.453752181500994E-5"/>
    <n v="0"/>
    <n v="-2"/>
    <n v="0"/>
    <n v="2"/>
    <e v="#VALUE!"/>
    <m/>
    <n v="189"/>
    <n v="189"/>
    <m/>
    <s v="Y"/>
    <m/>
    <s v="0-10 DAYS"/>
    <n v="1"/>
    <x v="0"/>
  </r>
  <r>
    <n v="2326"/>
    <s v="N"/>
    <s v="Y"/>
    <n v="1594952"/>
    <n v="5"/>
    <d v="2012-03-29T00:00:00"/>
    <d v="2012-07-13T00:00:00"/>
    <n v="1594952"/>
    <d v="2012-03-29T00:00:00"/>
    <d v="2012-04-06T00:00:00"/>
    <n v="15000"/>
    <x v="0"/>
    <d v="2012-04-06T00:00:00"/>
    <s v="Y"/>
    <s v="SURETY"/>
    <s v="GUILTY PLEA - NO JURY"/>
    <n v="43"/>
    <n v="107"/>
    <n v="4"/>
    <n v="1"/>
    <n v="2"/>
    <m/>
    <m/>
    <m/>
    <m/>
    <m/>
    <m/>
    <m/>
    <m/>
    <d v="1955-10-17T00:00:00"/>
    <s v="M"/>
    <s v="B"/>
    <s v="BLACK"/>
    <s v="NON-HISPANIC"/>
    <s v="176"/>
    <s v="CONVICTED"/>
    <n v="5"/>
    <s v="STJ"/>
    <m/>
    <n v="6"/>
    <m/>
    <s v="POSS CS PG 1 &lt;1G"/>
    <m/>
    <s v="FS"/>
    <s v="POSS DRUG"/>
    <s v="book 6-9-12 recal detained"/>
    <s v="BK 6/9/12"/>
    <s v="Y"/>
    <s v="BF 6/8/2012"/>
    <m/>
    <m/>
    <m/>
    <d v="2012-12-17T00:00:00"/>
    <n v="235"/>
    <s v="Appointed Attorney"/>
    <m/>
    <m/>
    <n v="43"/>
    <n v="107"/>
    <n v="107"/>
    <n v="56.333333333333336"/>
    <n v="0"/>
    <n v="-98"/>
    <s v="CONVICTION"/>
    <x v="1"/>
    <s v="N"/>
    <m/>
    <s v="CONVICTION"/>
    <s v="Y"/>
    <x v="0"/>
    <x v="0"/>
    <s v="Y"/>
    <n v="0.40186915887850466"/>
    <n v="8.4112149532710276E-2"/>
    <n v="-0.31775700934579437"/>
    <n v="0"/>
    <n v="-9"/>
    <n v="34"/>
    <n v="107"/>
    <n v="43"/>
    <n v="107"/>
    <n v="98"/>
    <n v="98"/>
    <m/>
    <s v="Y"/>
    <m/>
    <s v="31-60 DAYS"/>
    <n v="3"/>
    <x v="0"/>
  </r>
  <r>
    <n v="1290"/>
    <s v="N"/>
    <s v="N"/>
    <n v="1595953"/>
    <n v="6"/>
    <d v="2012-02-17T00:00:00"/>
    <d v="2012-06-28T00:00:00"/>
    <n v="1595953"/>
    <d v="2012-02-17T00:00:00"/>
    <d v="2012-02-21T00:00:00"/>
    <n v="20000"/>
    <x v="0"/>
    <d v="2012-02-21T00:00:00"/>
    <s v="Y"/>
    <s v="SURETYPTRc"/>
    <s v="GUILTY PLEA - NO JURY"/>
    <n v="42"/>
    <n v="133"/>
    <n v="3"/>
    <n v="7"/>
    <n v="3"/>
    <m/>
    <m/>
    <m/>
    <m/>
    <m/>
    <m/>
    <m/>
    <m/>
    <d v="1980-01-15T00:00:00"/>
    <s v="M"/>
    <s v="H"/>
    <s v="HISPANIC"/>
    <s v="HISPANIC"/>
    <s v="262"/>
    <s v="CONVICTED"/>
    <n v="10"/>
    <s v="TDC"/>
    <n v="2"/>
    <m/>
    <m/>
    <s v="FELON POSS WPN"/>
    <m/>
    <s v="F3"/>
    <s v="OTHER FEL"/>
    <s v="bd violation 5/17/12 bk 5/23/12  6/19/12"/>
    <m/>
    <m/>
    <m/>
    <m/>
    <m/>
    <m/>
    <m/>
    <m/>
    <s v="Hired Attorney"/>
    <m/>
    <m/>
    <n v="42"/>
    <n v="133"/>
    <n v="133"/>
    <n v="32.024590163934427"/>
    <n v="0"/>
    <n v="-128"/>
    <s v="CONVICTION"/>
    <x v="1"/>
    <s v="Y"/>
    <m/>
    <s v="CONVICTION"/>
    <s v="Y"/>
    <x v="1"/>
    <x v="0"/>
    <s v="Y"/>
    <n v="0.31578947368421051"/>
    <n v="3.7593984962406013E-2"/>
    <n v="-0.2781954887218045"/>
    <n v="0"/>
    <n v="-5"/>
    <n v="37"/>
    <n v="5"/>
    <e v="#VALUE!"/>
    <m/>
    <n v="128"/>
    <n v="128"/>
    <m/>
    <s v="Y"/>
    <m/>
    <s v="31-60 DAYS"/>
    <n v="3"/>
    <x v="0"/>
  </r>
  <r>
    <n v="745"/>
    <s v="N"/>
    <s v="N"/>
    <n v="1596373"/>
    <n v="1"/>
    <d v="2012-01-30T00:00:00"/>
    <d v="2012-08-21T00:00:00"/>
    <n v="1596373"/>
    <d v="2012-01-30T00:00:00"/>
    <d v="2012-08-21T00:00:00"/>
    <s v="NO BOND"/>
    <x v="1"/>
    <m/>
    <s v="N"/>
    <s v="NONE"/>
    <s v="DISMISSED"/>
    <n v="205"/>
    <n v="205"/>
    <n v="2"/>
    <n v="3"/>
    <n v="2"/>
    <m/>
    <m/>
    <m/>
    <m/>
    <m/>
    <m/>
    <m/>
    <m/>
    <d v="1980-05-04T00:00:00"/>
    <s v="M"/>
    <s v="B"/>
    <s v="BLACK"/>
    <s v="NON-HISPANIC"/>
    <s v="184"/>
    <s v="DISMISSED"/>
    <n v="9"/>
    <s v="DISMISSED"/>
    <m/>
    <m/>
    <m/>
    <s v="POSS CS PG 4 28-200 GRAMS"/>
    <m/>
    <s v="F3"/>
    <s v="POSS DRUG"/>
    <m/>
    <m/>
    <m/>
    <m/>
    <m/>
    <m/>
    <m/>
    <m/>
    <m/>
    <s v="Hired Attorney"/>
    <m/>
    <m/>
    <n v="205"/>
    <n v="205"/>
    <n v="205"/>
    <n v="31.674863387978142"/>
    <n v="0"/>
    <n v="0"/>
    <s v="NO CONVICTION"/>
    <x v="0"/>
    <s v="N"/>
    <m/>
    <s v="NO CONVICTION"/>
    <s v="Y"/>
    <x v="0"/>
    <x v="0"/>
    <s v="Y"/>
    <n v="1"/>
    <n v="1"/>
    <n v="0"/>
    <n v="0"/>
    <n v="-205"/>
    <n v="0"/>
    <n v="205"/>
    <e v="#VALUE!"/>
    <n v="205"/>
    <n v="0"/>
    <n v="0"/>
    <m/>
    <s v="Y"/>
    <m/>
    <s v="121-365 DAYS"/>
    <n v="6"/>
    <x v="0"/>
  </r>
  <r>
    <n v="1557"/>
    <s v="N"/>
    <s v="N"/>
    <n v="1596398"/>
    <n v="5"/>
    <d v="2012-02-27T00:00:00"/>
    <d v="2012-02-29T00:00:00"/>
    <n v="1596398"/>
    <d v="2012-02-28T00:00:00"/>
    <d v="2012-02-29T00:00:00"/>
    <n v="15000"/>
    <x v="0"/>
    <m/>
    <s v="N"/>
    <s v="NONE"/>
    <s v="GUILTY PLEA - NO JURY"/>
    <n v="2"/>
    <n v="3"/>
    <n v="7"/>
    <n v="2"/>
    <n v="5"/>
    <n v="1"/>
    <m/>
    <m/>
    <m/>
    <m/>
    <m/>
    <m/>
    <m/>
    <d v="1977-09-01T00:00:00"/>
    <s v="M"/>
    <s v="H"/>
    <s v="HISPANIC"/>
    <s v="HISPANIC"/>
    <s v="182"/>
    <s v="CONVICTED"/>
    <n v="1"/>
    <s v="STJ"/>
    <m/>
    <n v="24"/>
    <m/>
    <s v="UNAUTH USE OF VEHICLE"/>
    <m/>
    <s v="FS"/>
    <s v="AUTO THEFT"/>
    <m/>
    <m/>
    <m/>
    <m/>
    <m/>
    <m/>
    <m/>
    <m/>
    <m/>
    <s v="Appointed Attorney"/>
    <m/>
    <m/>
    <n v="2"/>
    <n v="2"/>
    <n v="3"/>
    <n v="34.418032786885249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598"/>
    <s v="N"/>
    <s v="N"/>
    <n v="1597130"/>
    <n v="4"/>
    <d v="2012-04-06T00:00:00"/>
    <d v="2012-04-09T00:00:00"/>
    <n v="1597130"/>
    <d v="2012-04-07T00:00:00"/>
    <d v="2012-04-09T00:00:00"/>
    <n v="2000"/>
    <x v="5"/>
    <m/>
    <s v="N"/>
    <s v="NONE"/>
    <s v="GUILTY PLEA - NO JURY"/>
    <n v="3"/>
    <n v="4"/>
    <n v="0"/>
    <n v="2"/>
    <m/>
    <m/>
    <m/>
    <m/>
    <m/>
    <m/>
    <m/>
    <m/>
    <m/>
    <d v="1979-08-06T00:00:00"/>
    <s v="M"/>
    <s v="W"/>
    <s v="WHITE"/>
    <s v="NON-HISPANIC"/>
    <s v="262"/>
    <s v="CONVICTED"/>
    <n v="1"/>
    <s v="HCJ"/>
    <m/>
    <m/>
    <n v="120"/>
    <s v="POSS CS PG 2 &lt;1GRAM"/>
    <m/>
    <s v="FS"/>
    <s v="POSS DRUG"/>
    <m/>
    <m/>
    <m/>
    <m/>
    <m/>
    <m/>
    <m/>
    <m/>
    <m/>
    <s v="Appointed Attorney"/>
    <m/>
    <m/>
    <n v="3"/>
    <n v="3"/>
    <n v="4"/>
    <n v="32.601092896174862"/>
    <n v="0"/>
    <n v="0"/>
    <s v="CONVICTION"/>
    <x v="0"/>
    <s v="N"/>
    <m/>
    <s v="CONVICTION"/>
    <s v="Y"/>
    <x v="0"/>
    <x v="0"/>
    <s v="N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3072"/>
    <s v="N"/>
    <s v="N"/>
    <n v="1597692"/>
    <n v="4"/>
    <d v="2012-04-24T00:00:00"/>
    <d v="2012-04-25T00:00:00"/>
    <n v="1597692"/>
    <d v="2012-04-24T00:00:00"/>
    <d v="2012-04-25T00:00:00"/>
    <n v="5000"/>
    <x v="4"/>
    <m/>
    <s v="N"/>
    <s v="NONE"/>
    <s v="GUILTY PLEA - NO JURY"/>
    <n v="2"/>
    <n v="2"/>
    <n v="0"/>
    <n v="2"/>
    <m/>
    <m/>
    <m/>
    <m/>
    <m/>
    <m/>
    <m/>
    <m/>
    <m/>
    <d v="1964-03-01T00:00:00"/>
    <s v="M"/>
    <s v="H"/>
    <s v="HISPANIC"/>
    <s v="HISPANIC"/>
    <s v="180"/>
    <s v="CONVICTED"/>
    <n v="1"/>
    <s v="HCJ"/>
    <m/>
    <m/>
    <n v="180"/>
    <s v="POSS CS PG 1 &lt;1G"/>
    <m/>
    <s v="FS"/>
    <s v="POSS DRUG"/>
    <m/>
    <m/>
    <m/>
    <m/>
    <m/>
    <m/>
    <m/>
    <m/>
    <m/>
    <s v="Appointed Attorney"/>
    <m/>
    <m/>
    <n v="2"/>
    <n v="2"/>
    <n v="2"/>
    <n v="48.049180327868854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2000"/>
    <s v="N"/>
    <s v="N"/>
    <n v="1597973"/>
    <n v="2"/>
    <d v="2012-03-16T00:00:00"/>
    <d v="2013-01-28T00:00:00"/>
    <n v="1597973"/>
    <s v="NOT BOOKED"/>
    <s v="NOT BOOKED"/>
    <n v="2000"/>
    <x v="5"/>
    <d v="2012-03-17T00:00:00"/>
    <s v="Y"/>
    <s v="SURETY"/>
    <s v="DEFERRED ADJUDICATION "/>
    <n v="0"/>
    <n v="319"/>
    <n v="1"/>
    <n v="2"/>
    <m/>
    <m/>
    <m/>
    <m/>
    <m/>
    <m/>
    <m/>
    <m/>
    <m/>
    <d v="1970-06-14T00:00:00"/>
    <s v="M"/>
    <s v="B"/>
    <s v="BLACK"/>
    <s v="NON-HISPANIC"/>
    <s v="338"/>
    <s v="DEFERRED"/>
    <n v="11"/>
    <s v="DEFERRED"/>
    <m/>
    <m/>
    <m/>
    <s v="FORGERY"/>
    <m/>
    <s v="FS"/>
    <s v="OTHER FEL"/>
    <m/>
    <m/>
    <m/>
    <m/>
    <m/>
    <m/>
    <m/>
    <m/>
    <m/>
    <s v="Hired Attorney"/>
    <m/>
    <m/>
    <n v="0"/>
    <n v="0"/>
    <n v="319"/>
    <n v="41.669398907103826"/>
    <e v="#VALUE!"/>
    <e v="#VALUE!"/>
    <s v="DEFERRED"/>
    <x v="1"/>
    <s v="Y"/>
    <m/>
    <s v="DEFERRED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3126"/>
    <s v="N"/>
    <s v="N"/>
    <n v="1598139"/>
    <n v="1"/>
    <d v="2012-04-25T00:00:00"/>
    <d v="2012-07-12T00:00:00"/>
    <n v="1598139"/>
    <d v="2012-04-25T00:00:00"/>
    <d v="2012-04-28T00:00:00"/>
    <n v="15000"/>
    <x v="0"/>
    <d v="2012-04-28T00:00:00"/>
    <s v="Y"/>
    <s v="SURETY"/>
    <s v="DISMISSED"/>
    <n v="4"/>
    <n v="79"/>
    <n v="3"/>
    <n v="1"/>
    <n v="1"/>
    <m/>
    <m/>
    <m/>
    <m/>
    <m/>
    <m/>
    <m/>
    <m/>
    <d v="1965-02-19T00:00:00"/>
    <s v="M"/>
    <s v="B"/>
    <s v="BLACK"/>
    <s v="NON-HISPANIC"/>
    <s v="178"/>
    <s v="DISMISSED"/>
    <n v="5"/>
    <s v="DISMISSED"/>
    <m/>
    <m/>
    <m/>
    <s v="BURGLARY OF A BUILDING"/>
    <m/>
    <s v="FS"/>
    <s v="BURGLARY"/>
    <m/>
    <m/>
    <m/>
    <m/>
    <m/>
    <m/>
    <m/>
    <m/>
    <m/>
    <s v="Public Defender"/>
    <m/>
    <m/>
    <n v="4"/>
    <n v="79"/>
    <n v="79"/>
    <n v="47.081967213114751"/>
    <n v="0"/>
    <n v="-75"/>
    <s v="NO CONVICTION"/>
    <x v="1"/>
    <s v="Y"/>
    <m/>
    <s v="NO CONVICTION"/>
    <s v="Y"/>
    <x v="1"/>
    <x v="0"/>
    <s v="Y"/>
    <n v="5.0632911392405063E-2"/>
    <n v="5.0632911392405063E-2"/>
    <n v="0"/>
    <n v="0"/>
    <n v="-4"/>
    <n v="0"/>
    <n v="4"/>
    <e v="#VALUE!"/>
    <n v="4"/>
    <n v="0"/>
    <n v="75"/>
    <m/>
    <s v="Y"/>
    <m/>
    <s v="0-10 DAYS"/>
    <n v="1"/>
    <x v="0"/>
  </r>
  <r>
    <n v="1903"/>
    <s v="N"/>
    <s v="N"/>
    <n v="1598708"/>
    <n v="4"/>
    <d v="2012-03-11T00:00:00"/>
    <d v="2012-09-17T00:00:00"/>
    <n v="1598708"/>
    <d v="2012-03-11T00:00:00"/>
    <d v="2012-03-15T00:00:00"/>
    <n v="5000"/>
    <x v="4"/>
    <d v="2012-03-15T00:00:00"/>
    <s v="Y"/>
    <s v="SURETY"/>
    <s v="GUILTY PLEA - NO JURY"/>
    <n v="5"/>
    <n v="191"/>
    <n v="2"/>
    <n v="2"/>
    <n v="1"/>
    <m/>
    <m/>
    <m/>
    <m/>
    <m/>
    <m/>
    <m/>
    <m/>
    <d v="1979-01-23T00:00:00"/>
    <s v="M"/>
    <s v="B"/>
    <s v="BLACK"/>
    <s v="NULL"/>
    <s v="208"/>
    <s v="CONVICTED"/>
    <n v="8"/>
    <s v="HCJ"/>
    <m/>
    <m/>
    <n v="45"/>
    <s v="POSS CS PG 1 &lt;1G"/>
    <m/>
    <s v="FS"/>
    <s v="POSS DRUG"/>
    <m/>
    <m/>
    <m/>
    <m/>
    <m/>
    <m/>
    <m/>
    <m/>
    <m/>
    <s v="Hired Attorney"/>
    <m/>
    <m/>
    <n v="5"/>
    <n v="191"/>
    <n v="191"/>
    <n v="33.062841530054648"/>
    <n v="0"/>
    <n v="-186"/>
    <s v="CONVICTION"/>
    <x v="1"/>
    <s v="Y"/>
    <m/>
    <s v="CONVICTION"/>
    <s v="Y"/>
    <x v="1"/>
    <x v="0"/>
    <s v="Y"/>
    <n v="2.6178010471204188E-2"/>
    <n v="2.6178010471204188E-2"/>
    <n v="0"/>
    <n v="0"/>
    <n v="-5"/>
    <n v="0"/>
    <n v="5"/>
    <e v="#VALUE!"/>
    <n v="5"/>
    <n v="0"/>
    <n v="186"/>
    <m/>
    <s v="Y"/>
    <m/>
    <s v="0-10 DAYS"/>
    <n v="1"/>
    <x v="0"/>
  </r>
  <r>
    <n v="910"/>
    <s v="N"/>
    <s v="N"/>
    <n v="1598878"/>
    <n v="4"/>
    <d v="2012-02-07T00:00:00"/>
    <d v="2013-02-13T00:00:00"/>
    <n v="1598878"/>
    <d v="2012-02-07T00:00:00"/>
    <d v="2012-05-02T00:00:00"/>
    <n v="20000"/>
    <x v="0"/>
    <d v="2012-05-02T00:00:00"/>
    <s v="Y"/>
    <s v="SURETYPTRc"/>
    <s v="GUILTY PLEA - NO JURY"/>
    <n v="86"/>
    <n v="373"/>
    <n v="4"/>
    <n v="1"/>
    <n v="3"/>
    <m/>
    <m/>
    <m/>
    <m/>
    <m/>
    <m/>
    <m/>
    <m/>
    <d v="1977-12-06T00:00:00"/>
    <s v="M"/>
    <s v="B"/>
    <s v="BLACK"/>
    <s v="NON-HISPANIC"/>
    <s v="337"/>
    <s v="CONVICTED"/>
    <n v="15"/>
    <s v="HCJ"/>
    <m/>
    <m/>
    <n v="100"/>
    <s v="ASSAULT-BOD INJ-PUB SERV/RETAL"/>
    <m/>
    <s v="F3"/>
    <s v="ASLT-MURDR"/>
    <m/>
    <m/>
    <m/>
    <m/>
    <m/>
    <m/>
    <m/>
    <m/>
    <m/>
    <s v="Hired Attorney"/>
    <m/>
    <m/>
    <n v="86"/>
    <n v="373"/>
    <n v="373"/>
    <n v="34.101092896174862"/>
    <n v="0"/>
    <n v="-287"/>
    <s v="CONVICTION"/>
    <x v="1"/>
    <s v="Y"/>
    <m/>
    <s v="CONVICTION"/>
    <s v="Y"/>
    <x v="1"/>
    <x v="0"/>
    <s v="Y"/>
    <n v="0.23056300268096513"/>
    <n v="0.23056300268096513"/>
    <n v="0"/>
    <n v="0"/>
    <n v="-86"/>
    <n v="0"/>
    <n v="86"/>
    <e v="#VALUE!"/>
    <n v="86"/>
    <n v="0"/>
    <n v="287"/>
    <m/>
    <s v="Y"/>
    <m/>
    <s v="61-90 DAYS"/>
    <n v="4"/>
    <x v="0"/>
  </r>
  <r>
    <n v="2055"/>
    <s v="N"/>
    <s v="N"/>
    <n v="1599618"/>
    <n v="3"/>
    <d v="2012-03-18T00:00:00"/>
    <d v="2012-10-10T00:00:00"/>
    <n v="1599618"/>
    <d v="2012-03-18T00:00:00"/>
    <d v="2012-03-19T00:00:00"/>
    <n v="10000"/>
    <x v="3"/>
    <d v="2012-03-19T00:00:00"/>
    <s v="Y"/>
    <s v="SURETYPTRc"/>
    <s v="GUILTY PLEA - NO JURY"/>
    <n v="2"/>
    <n v="207"/>
    <n v="2"/>
    <n v="1"/>
    <m/>
    <n v="1"/>
    <m/>
    <m/>
    <m/>
    <m/>
    <m/>
    <m/>
    <m/>
    <d v="1978-01-10T00:00:00"/>
    <s v="M"/>
    <s v="B"/>
    <s v="BLACK"/>
    <s v="NULL"/>
    <s v="338"/>
    <s v="CONVICTED"/>
    <n v="8"/>
    <s v="PROBATION"/>
    <m/>
    <m/>
    <m/>
    <s v="DWI 3RD OFFENDER BAC .08"/>
    <m/>
    <s v="F3"/>
    <s v="FEL DWI"/>
    <m/>
    <m/>
    <m/>
    <m/>
    <m/>
    <m/>
    <m/>
    <m/>
    <m/>
    <s v="Hired Attorney"/>
    <m/>
    <m/>
    <n v="2"/>
    <n v="207"/>
    <n v="207"/>
    <n v="34.114754098360656"/>
    <n v="0"/>
    <n v="-205"/>
    <s v="CONVICTION"/>
    <x v="1"/>
    <s v="Y"/>
    <m/>
    <s v="CONVICTION"/>
    <s v="Y"/>
    <x v="1"/>
    <x v="0"/>
    <s v="Y"/>
    <n v="9.6618357487922701E-3"/>
    <n v="9.6618357487922701E-3"/>
    <n v="0"/>
    <n v="0"/>
    <n v="-2"/>
    <n v="0"/>
    <n v="2"/>
    <e v="#VALUE!"/>
    <n v="2"/>
    <n v="0"/>
    <n v="205"/>
    <m/>
    <s v="Y"/>
    <m/>
    <s v="0-10 DAYS"/>
    <n v="1"/>
    <x v="0"/>
  </r>
  <r>
    <n v="463"/>
    <s v="N"/>
    <s v="N"/>
    <n v="1600433"/>
    <n v="1"/>
    <d v="2012-01-19T00:00:00"/>
    <d v="2012-08-09T00:00:00"/>
    <n v="1600433"/>
    <s v="NOT BOOKED"/>
    <s v="NOT BOOKED"/>
    <n v="5000"/>
    <x v="4"/>
    <d v="2012-01-20T00:00:00"/>
    <s v="Y"/>
    <s v="SURETY"/>
    <s v="DISMISSED"/>
    <n v="0"/>
    <n v="204"/>
    <n v="0"/>
    <n v="4"/>
    <m/>
    <m/>
    <m/>
    <m/>
    <m/>
    <m/>
    <m/>
    <m/>
    <m/>
    <d v="1975-02-19T00:00:00"/>
    <s v="M"/>
    <s v="B"/>
    <s v="BLACK"/>
    <s v="NON-HISPANIC"/>
    <s v="228"/>
    <s v="DISMISSED"/>
    <n v="7"/>
    <s v="DISMISSED"/>
    <m/>
    <m/>
    <m/>
    <s v="ATT BURGLARY HABITATION"/>
    <m/>
    <s v="F3"/>
    <s v="BURGLARY"/>
    <m/>
    <m/>
    <m/>
    <m/>
    <m/>
    <m/>
    <m/>
    <m/>
    <m/>
    <s v="Hired Attorney"/>
    <m/>
    <m/>
    <n v="0"/>
    <n v="0"/>
    <n v="204"/>
    <n v="36.838797814207652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930"/>
    <s v="N"/>
    <s v="N"/>
    <n v="1600655"/>
    <n v="4"/>
    <d v="2012-04-18T00:00:00"/>
    <d v="2012-08-08T00:00:00"/>
    <n v="1600655"/>
    <d v="2012-04-18T00:00:00"/>
    <d v="2012-04-24T00:00:00"/>
    <n v="5000"/>
    <x v="4"/>
    <d v="2012-04-24T00:00:00"/>
    <s v="Y"/>
    <s v="SURETY"/>
    <s v="GUILTY PLEA - NO JURY"/>
    <n v="7"/>
    <n v="113"/>
    <n v="0"/>
    <n v="1"/>
    <m/>
    <m/>
    <m/>
    <m/>
    <m/>
    <m/>
    <m/>
    <m/>
    <m/>
    <d v="1970-04-19T00:00:00"/>
    <s v="M"/>
    <s v="H"/>
    <s v="HISPANIC"/>
    <s v="HISPANIC"/>
    <s v="263"/>
    <s v="CONVICTED"/>
    <n v="7"/>
    <s v="HCJ"/>
    <m/>
    <m/>
    <n v="10"/>
    <s v="ASSAULT-BOD INJ-FAMILY MEMBER"/>
    <m/>
    <s v="F3"/>
    <s v="ASLT-MURDR"/>
    <m/>
    <m/>
    <m/>
    <m/>
    <m/>
    <m/>
    <m/>
    <m/>
    <m/>
    <s v="Hired Attorney"/>
    <m/>
    <m/>
    <n v="7"/>
    <n v="113"/>
    <n v="113"/>
    <n v="41.912568306010932"/>
    <n v="0"/>
    <n v="-106"/>
    <s v="CONVICTION"/>
    <x v="1"/>
    <s v="Y"/>
    <m/>
    <s v="CONVICTION"/>
    <s v="Y"/>
    <x v="1"/>
    <x v="0"/>
    <s v="N"/>
    <n v="6.1946902654867256E-2"/>
    <n v="6.1946902654867256E-2"/>
    <n v="0"/>
    <n v="0"/>
    <n v="-7"/>
    <n v="0"/>
    <n v="7"/>
    <e v="#VALUE!"/>
    <n v="7"/>
    <n v="0"/>
    <n v="106"/>
    <m/>
    <s v="Y"/>
    <m/>
    <s v="0-10 DAYS"/>
    <n v="1"/>
    <x v="0"/>
  </r>
  <r>
    <n v="2716"/>
    <s v="N"/>
    <s v="N"/>
    <n v="1601305"/>
    <n v="4"/>
    <d v="2012-04-10T00:00:00"/>
    <d v="2012-04-12T00:00:00"/>
    <n v="1601305"/>
    <d v="2012-04-11T00:00:00"/>
    <d v="2012-04-12T00:00:00"/>
    <n v="2000"/>
    <x v="5"/>
    <m/>
    <s v="N"/>
    <s v="NONE"/>
    <s v="GUILTY PLEA - NO JURY"/>
    <n v="2"/>
    <n v="3"/>
    <n v="2"/>
    <n v="2"/>
    <m/>
    <n v="1"/>
    <m/>
    <m/>
    <m/>
    <m/>
    <m/>
    <s v="S"/>
    <m/>
    <d v="1964-11-08T00:00:00"/>
    <s v="M"/>
    <s v="H"/>
    <s v="HISPANIC"/>
    <s v="NON-HISPANIC"/>
    <s v="177"/>
    <s v="CONVICTED"/>
    <n v="1"/>
    <s v="HCJ"/>
    <m/>
    <m/>
    <n v="180"/>
    <s v="THEFT UNDER $1500 - 3RD OFF."/>
    <m/>
    <s v="FS"/>
    <s v="THEFT"/>
    <s v="7/25/12 def adj  Agg Rob"/>
    <m/>
    <m/>
    <m/>
    <m/>
    <m/>
    <m/>
    <m/>
    <m/>
    <s v="Appointed Attorney"/>
    <m/>
    <m/>
    <n v="2"/>
    <n v="2"/>
    <n v="3"/>
    <n v="47.322404371584696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602"/>
    <s v="N"/>
    <s v="N"/>
    <n v="1604535"/>
    <n v="6"/>
    <d v="2012-04-06T00:00:00"/>
    <d v="2012-07-17T00:00:00"/>
    <n v="1604535"/>
    <d v="2012-04-12T00:00:00"/>
    <d v="2012-07-17T00:00:00"/>
    <s v="NO BOND"/>
    <x v="1"/>
    <m/>
    <s v="N"/>
    <s v="NONE"/>
    <s v="GUILTY PLEA - NO JURY"/>
    <n v="97"/>
    <n v="103"/>
    <n v="1"/>
    <n v="6"/>
    <n v="1"/>
    <m/>
    <m/>
    <m/>
    <m/>
    <m/>
    <m/>
    <m/>
    <m/>
    <d v="1978-10-31T00:00:00"/>
    <s v="M"/>
    <s v="W"/>
    <s v="WHITE"/>
    <s v="NON-HISPANIC"/>
    <s v="177"/>
    <s v="CONVICTED"/>
    <n v="4"/>
    <s v="TDC"/>
    <n v="7"/>
    <m/>
    <m/>
    <s v="VIOL. OF PROTECTIVE ORDER ENH."/>
    <m/>
    <s v="F3"/>
    <s v="OTHER FEL"/>
    <m/>
    <m/>
    <m/>
    <m/>
    <m/>
    <m/>
    <m/>
    <m/>
    <m/>
    <s v="Appointed Attorney"/>
    <m/>
    <m/>
    <n v="97"/>
    <n v="97"/>
    <n v="103"/>
    <n v="33.363387978142079"/>
    <n v="0"/>
    <n v="0"/>
    <s v="CONVICTION"/>
    <x v="0"/>
    <s v="N"/>
    <m/>
    <s v="CONVICTION"/>
    <s v="Y"/>
    <x v="0"/>
    <x v="0"/>
    <s v="Y"/>
    <n v="0.94174757281553401"/>
    <n v="1"/>
    <n v="5.8252427184465994E-2"/>
    <n v="0"/>
    <n v="-97"/>
    <n v="0"/>
    <n v="97"/>
    <e v="#VALUE!"/>
    <n v="97"/>
    <n v="0"/>
    <n v="0"/>
    <m/>
    <s v="Y"/>
    <m/>
    <s v="91-120 DAYS"/>
    <n v="0"/>
    <x v="0"/>
  </r>
  <r>
    <n v="2613"/>
    <s v="N"/>
    <s v="N"/>
    <n v="1604700"/>
    <n v="5"/>
    <d v="2012-04-06T00:00:00"/>
    <d v="2012-04-09T00:00:00"/>
    <n v="1604700"/>
    <d v="2012-04-07T00:00:00"/>
    <d v="2012-04-09T00:00:00"/>
    <n v="15000"/>
    <x v="0"/>
    <m/>
    <s v="N"/>
    <s v="NONE"/>
    <s v="GUILTY PLEA - NO JURY"/>
    <n v="3"/>
    <n v="4"/>
    <n v="8"/>
    <n v="4"/>
    <n v="5"/>
    <m/>
    <m/>
    <m/>
    <m/>
    <m/>
    <m/>
    <m/>
    <m/>
    <d v="1976-03-12T00:00:00"/>
    <s v="M"/>
    <s v="H"/>
    <s v="HISPANIC"/>
    <s v="HISPANIC"/>
    <s v="179"/>
    <s v="CONVICTED"/>
    <n v="1"/>
    <s v="STJ"/>
    <m/>
    <n v="7"/>
    <m/>
    <s v="POSS CS PG 1 &lt;1G"/>
    <m/>
    <s v="FS"/>
    <s v="POSS DRUG"/>
    <m/>
    <m/>
    <m/>
    <m/>
    <m/>
    <m/>
    <m/>
    <m/>
    <m/>
    <s v="Appointed Attorney"/>
    <m/>
    <m/>
    <n v="3"/>
    <n v="3"/>
    <n v="4"/>
    <n v="35.994535519125684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147"/>
    <s v="N"/>
    <s v="N"/>
    <n v="1605280"/>
    <n v="6"/>
    <d v="2012-01-07T00:00:00"/>
    <d v="2012-06-22T00:00:00"/>
    <n v="1605280"/>
    <d v="2012-01-07T00:00:00"/>
    <d v="2012-04-08T00:00:00"/>
    <n v="30000"/>
    <x v="2"/>
    <d v="2012-04-08T00:00:00"/>
    <s v="Y"/>
    <s v="SURETY"/>
    <s v="GUILTY PLEA - NO JURY"/>
    <n v="93"/>
    <n v="168"/>
    <n v="6"/>
    <n v="8"/>
    <n v="2"/>
    <m/>
    <m/>
    <m/>
    <m/>
    <m/>
    <m/>
    <m/>
    <m/>
    <d v="1979-07-26T00:00:00"/>
    <s v="M"/>
    <s v="B"/>
    <s v="BLACK"/>
    <s v="NON-HISPANIC"/>
    <s v="262"/>
    <s v="CONVICTED"/>
    <n v="9"/>
    <s v="TDC"/>
    <n v="6"/>
    <m/>
    <m/>
    <s v="POSS W/INT DEL CS PG1&gt;=4 &lt;200"/>
    <m/>
    <s v="F1"/>
    <s v="SALE DRUG"/>
    <m/>
    <m/>
    <m/>
    <m/>
    <m/>
    <m/>
    <m/>
    <m/>
    <m/>
    <s v="Hired Attorney"/>
    <m/>
    <m/>
    <n v="93"/>
    <n v="168"/>
    <n v="168"/>
    <n v="32.385245901639344"/>
    <n v="0"/>
    <n v="-75"/>
    <s v="CONVICTION"/>
    <x v="1"/>
    <s v="Y"/>
    <m/>
    <s v="CONVICTION"/>
    <s v="Y"/>
    <x v="1"/>
    <x v="0"/>
    <s v="Y"/>
    <n v="0.5535714285714286"/>
    <n v="0.5535714285714286"/>
    <n v="0"/>
    <n v="0"/>
    <n v="-93"/>
    <n v="0"/>
    <n v="93"/>
    <e v="#VALUE!"/>
    <n v="93"/>
    <n v="0"/>
    <n v="75"/>
    <m/>
    <s v="Y"/>
    <m/>
    <s v="91-120 DAYS"/>
    <n v="0"/>
    <x v="0"/>
  </r>
  <r>
    <n v="1467"/>
    <s v="Y"/>
    <s v="N"/>
    <n v="1605548"/>
    <n v="2"/>
    <d v="2012-02-23T00:00:00"/>
    <d v="2012-04-25T00:00:00"/>
    <n v="1605548"/>
    <d v="2012-02-24T00:00:00"/>
    <d v="2012-02-25T00:00:00"/>
    <n v="20000"/>
    <x v="0"/>
    <d v="2012-02-25T00:00:00"/>
    <s v="Y"/>
    <s v="SURETY"/>
    <s v="DEFERRED ADJUDICATION "/>
    <n v="2"/>
    <n v="63"/>
    <n v="2"/>
    <n v="3"/>
    <n v="2"/>
    <m/>
    <m/>
    <m/>
    <m/>
    <m/>
    <m/>
    <m/>
    <m/>
    <d v="1979-10-03T00:00:00"/>
    <s v="M"/>
    <s v="H"/>
    <s v="HISPANIC"/>
    <s v="HISPANIC"/>
    <s v="232"/>
    <s v="DEFERRED"/>
    <n v="3"/>
    <s v="DEFERRED"/>
    <m/>
    <m/>
    <m/>
    <s v="POSS CS PG 1 4G - 200G"/>
    <m/>
    <s v="F2"/>
    <s v="POSS DRUG"/>
    <m/>
    <m/>
    <m/>
    <m/>
    <m/>
    <m/>
    <m/>
    <m/>
    <m/>
    <s v="Hired Attorney"/>
    <s v="law v 10/27/13 mot to adj guilt"/>
    <m/>
    <n v="2"/>
    <n v="62"/>
    <n v="63"/>
    <n v="32.325136612021858"/>
    <n v="0"/>
    <n v="-60"/>
    <s v="DEFERRED"/>
    <x v="1"/>
    <s v="Y"/>
    <m/>
    <s v="DEFERRED"/>
    <s v="Y"/>
    <x v="1"/>
    <x v="0"/>
    <s v="Y"/>
    <n v="3.1746031746031744E-2"/>
    <n v="3.2258064516129031E-2"/>
    <n v="5.1203277009728709E-4"/>
    <n v="0"/>
    <n v="-2"/>
    <n v="0"/>
    <n v="2"/>
    <e v="#VALUE!"/>
    <n v="2"/>
    <n v="0"/>
    <n v="60"/>
    <m/>
    <s v="Y"/>
    <m/>
    <s v="0-10 DAYS"/>
    <n v="1"/>
    <x v="0"/>
  </r>
  <r>
    <n v="1873"/>
    <s v="N"/>
    <s v="N"/>
    <n v="1606347"/>
    <n v="5"/>
    <d v="2012-03-10T00:00:00"/>
    <d v="2012-07-17T00:00:00"/>
    <n v="1606347"/>
    <d v="2012-03-10T00:00:00"/>
    <d v="2012-07-17T00:00:00"/>
    <n v="15000"/>
    <x v="0"/>
    <m/>
    <s v="N"/>
    <s v="NONE"/>
    <s v="GUILTY PLEA - NO JURY"/>
    <n v="130"/>
    <n v="130"/>
    <n v="8"/>
    <n v="3"/>
    <n v="7"/>
    <m/>
    <m/>
    <m/>
    <m/>
    <m/>
    <m/>
    <m/>
    <m/>
    <d v="1979-04-08T00:00:00"/>
    <s v="M"/>
    <s v="B"/>
    <s v="BLACK"/>
    <s v="NON-HISPANIC"/>
    <s v="232"/>
    <s v="CONVICTED"/>
    <n v="6"/>
    <s v="STJ"/>
    <m/>
    <n v="6"/>
    <m/>
    <s v="POSS CS PG 1 &lt;1G"/>
    <m/>
    <s v="FS"/>
    <s v="POSS DRUG"/>
    <m/>
    <m/>
    <m/>
    <m/>
    <m/>
    <m/>
    <m/>
    <m/>
    <m/>
    <s v="Public Defender"/>
    <m/>
    <m/>
    <n v="130"/>
    <n v="130"/>
    <n v="130"/>
    <n v="32.855191256830601"/>
    <n v="0"/>
    <n v="0"/>
    <s v="CONVICTION"/>
    <x v="0"/>
    <s v="N"/>
    <m/>
    <s v="CONVICTION"/>
    <s v="Y"/>
    <x v="0"/>
    <x v="0"/>
    <s v="Y"/>
    <n v="1"/>
    <n v="1"/>
    <n v="0"/>
    <n v="0"/>
    <n v="-130"/>
    <n v="0"/>
    <n v="130"/>
    <e v="#VALUE!"/>
    <n v="130"/>
    <n v="0"/>
    <n v="0"/>
    <m/>
    <s v="Y"/>
    <m/>
    <s v="121-365 DAYS"/>
    <n v="6"/>
    <x v="0"/>
  </r>
  <r>
    <n v="2860"/>
    <s v="N"/>
    <s v="N"/>
    <n v="1606369"/>
    <n v="2"/>
    <d v="2012-04-15T00:00:00"/>
    <d v="2012-05-16T00:00:00"/>
    <n v="1606369"/>
    <d v="2012-04-16T00:00:00"/>
    <d v="2012-05-16T00:00:00"/>
    <s v="NO BOND"/>
    <x v="1"/>
    <m/>
    <s v="N"/>
    <s v="NONE"/>
    <s v="DEFERRED ADJUDICATION "/>
    <n v="31"/>
    <n v="32"/>
    <n v="5"/>
    <n v="0"/>
    <n v="6"/>
    <m/>
    <m/>
    <m/>
    <m/>
    <m/>
    <m/>
    <m/>
    <m/>
    <d v="1980-04-18T00:00:00"/>
    <s v="M"/>
    <s v="B"/>
    <s v="BLACK"/>
    <s v="NON-HISPANIC"/>
    <s v="183"/>
    <s v="DEFERRED"/>
    <n v="7"/>
    <s v="DEFERRED"/>
    <m/>
    <m/>
    <m/>
    <s v="POSS CS PG 1  1 - 4 GRAMS"/>
    <m/>
    <s v="F3"/>
    <s v="POSS DRUG"/>
    <m/>
    <m/>
    <m/>
    <m/>
    <m/>
    <m/>
    <m/>
    <m/>
    <m/>
    <s v="Appointed Attorney"/>
    <m/>
    <m/>
    <n v="31"/>
    <n v="31"/>
    <n v="32"/>
    <n v="31.92622950819672"/>
    <n v="0"/>
    <n v="0"/>
    <s v="DEFERRED"/>
    <x v="0"/>
    <s v="N"/>
    <m/>
    <s v="DEFERRED"/>
    <s v="Y"/>
    <x v="0"/>
    <x v="0"/>
    <s v="Y"/>
    <n v="0.96875"/>
    <n v="1"/>
    <n v="3.125E-2"/>
    <n v="0"/>
    <n v="-31"/>
    <n v="0"/>
    <n v="31"/>
    <e v="#VALUE!"/>
    <n v="31"/>
    <n v="0"/>
    <n v="0"/>
    <m/>
    <s v="Y"/>
    <m/>
    <s v="31-60 DAYS"/>
    <n v="3"/>
    <x v="0"/>
  </r>
  <r>
    <n v="2356"/>
    <s v="N"/>
    <s v="N"/>
    <n v="1607377"/>
    <n v="6"/>
    <d v="2012-03-29T00:00:00"/>
    <d v="2012-10-19T00:00:00"/>
    <n v="1607377"/>
    <d v="2012-03-30T00:00:00"/>
    <d v="2012-10-19T00:00:00"/>
    <n v="10000"/>
    <x v="3"/>
    <m/>
    <s v="N"/>
    <s v="NONE"/>
    <s v="GUILTY PLEA - NO JURY"/>
    <n v="204"/>
    <n v="205"/>
    <n v="4"/>
    <n v="0"/>
    <n v="3"/>
    <m/>
    <m/>
    <m/>
    <m/>
    <m/>
    <m/>
    <m/>
    <m/>
    <d v="1962-12-04T00:00:00"/>
    <s v="M"/>
    <s v="W"/>
    <s v="WHITE"/>
    <s v="NULL"/>
    <s v="174"/>
    <s v="CONVICTED"/>
    <n v="7"/>
    <s v="TDC"/>
    <n v="3"/>
    <m/>
    <m/>
    <s v="FAIL TO COMPLY AS SEX OFFENDER"/>
    <m/>
    <s v="F3"/>
    <s v="OTHER FEL"/>
    <m/>
    <m/>
    <m/>
    <m/>
    <m/>
    <m/>
    <m/>
    <m/>
    <m/>
    <s v="Appointed Attorney"/>
    <m/>
    <m/>
    <n v="204"/>
    <n v="204"/>
    <n v="205"/>
    <n v="49.215846994535518"/>
    <n v="0"/>
    <n v="0"/>
    <s v="CONVICTION"/>
    <x v="0"/>
    <s v="N"/>
    <m/>
    <s v="CONVICTION"/>
    <s v="Y"/>
    <x v="0"/>
    <x v="0"/>
    <s v="Y"/>
    <n v="0.99512195121951219"/>
    <n v="1"/>
    <n v="4.8780487804878092E-3"/>
    <n v="0"/>
    <n v="-204"/>
    <n v="0"/>
    <n v="204"/>
    <e v="#VALUE!"/>
    <n v="204"/>
    <n v="0"/>
    <n v="0"/>
    <m/>
    <s v="Y"/>
    <m/>
    <s v="121-365 DAYS"/>
    <n v="6"/>
    <x v="0"/>
  </r>
  <r>
    <n v="841"/>
    <s v="N"/>
    <s v="N"/>
    <n v="1607483"/>
    <n v="2"/>
    <d v="2012-02-01T00:00:00"/>
    <d v="2013-06-11T00:00:00"/>
    <n v="1607483"/>
    <d v="2012-02-02T00:00:00"/>
    <d v="2012-02-10T00:00:00"/>
    <n v="2000"/>
    <x v="5"/>
    <d v="2012-02-10T00:00:00"/>
    <s v="Y"/>
    <s v="SURETY"/>
    <s v="DEFERRED ADJUDICATION "/>
    <n v="9"/>
    <n v="497"/>
    <n v="2"/>
    <n v="2"/>
    <m/>
    <n v="1"/>
    <m/>
    <m/>
    <m/>
    <m/>
    <m/>
    <m/>
    <m/>
    <d v="1980-02-12T00:00:00"/>
    <s v="M"/>
    <s v="B"/>
    <s v="BLACK"/>
    <s v="NON-HISPANIC"/>
    <s v="209"/>
    <s v="DEFERRED"/>
    <n v="14"/>
    <s v="DEFERRED"/>
    <m/>
    <m/>
    <m/>
    <s v="POSS CS PG 4 200-400 GRAMS"/>
    <m/>
    <s v="F2"/>
    <s v="POSS DRUG"/>
    <m/>
    <m/>
    <m/>
    <m/>
    <m/>
    <m/>
    <m/>
    <m/>
    <m/>
    <s v="Hired Attorney"/>
    <m/>
    <m/>
    <n v="9"/>
    <n v="496"/>
    <n v="497"/>
    <n v="31.904371584699454"/>
    <n v="0"/>
    <n v="-487"/>
    <s v="DEFERRED"/>
    <x v="1"/>
    <s v="Y"/>
    <m/>
    <s v="DEFERRED"/>
    <s v="Y"/>
    <x v="1"/>
    <x v="0"/>
    <s v="Y"/>
    <n v="1.8108651911468814E-2"/>
    <n v="1.8145161290322582E-2"/>
    <n v="3.6509378853768343E-5"/>
    <n v="0"/>
    <n v="-9"/>
    <n v="0"/>
    <n v="9"/>
    <e v="#VALUE!"/>
    <n v="9"/>
    <n v="0"/>
    <n v="487"/>
    <m/>
    <s v="Y"/>
    <m/>
    <s v="0-10 DAYS"/>
    <n v="1"/>
    <x v="0"/>
  </r>
  <r>
    <n v="2188"/>
    <s v="N"/>
    <s v="N"/>
    <n v="1609502"/>
    <n v="5"/>
    <d v="2012-03-22T00:00:00"/>
    <d v="2012-03-26T00:00:00"/>
    <n v="1609502"/>
    <d v="2012-03-23T00:00:00"/>
    <d v="2012-03-26T00:00:00"/>
    <n v="15000"/>
    <x v="0"/>
    <m/>
    <s v="N"/>
    <s v="NONE"/>
    <s v="GUILTY PLEA - NO JURY"/>
    <n v="4"/>
    <n v="5"/>
    <n v="12"/>
    <n v="6"/>
    <n v="9"/>
    <m/>
    <m/>
    <m/>
    <m/>
    <m/>
    <m/>
    <m/>
    <m/>
    <d v="1979-10-30T00:00:00"/>
    <s v="M"/>
    <s v="B"/>
    <s v="BLACK"/>
    <s v="NON-HISPANIC"/>
    <s v="351"/>
    <s v="CONVICTED"/>
    <n v="1"/>
    <s v="STJ"/>
    <m/>
    <n v="10"/>
    <m/>
    <s v="MAN/DEL CS PG I &lt;1GRAM"/>
    <m/>
    <s v="FS"/>
    <s v="SALE DRUG"/>
    <m/>
    <m/>
    <m/>
    <m/>
    <m/>
    <m/>
    <m/>
    <m/>
    <m/>
    <s v="Appointed Attorney"/>
    <m/>
    <m/>
    <n v="4"/>
    <n v="4"/>
    <n v="5"/>
    <n v="32.327868852459019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2572"/>
    <s v="N"/>
    <s v="N"/>
    <n v="1610459"/>
    <n v="6"/>
    <d v="2012-04-05T00:00:00"/>
    <d v="2012-07-18T00:00:00"/>
    <n v="1610459"/>
    <d v="2012-04-07T00:00:00"/>
    <d v="2012-04-20T00:00:00"/>
    <n v="20000"/>
    <x v="0"/>
    <d v="2012-04-20T00:00:00"/>
    <s v="Y"/>
    <s v="SURETY"/>
    <s v="GUILTY PLEA - NO JURY"/>
    <n v="14"/>
    <n v="105"/>
    <n v="5"/>
    <n v="8"/>
    <n v="4"/>
    <m/>
    <m/>
    <m/>
    <m/>
    <m/>
    <m/>
    <m/>
    <m/>
    <d v="1979-12-30T00:00:00"/>
    <s v="M"/>
    <s v="B"/>
    <s v="BLACK"/>
    <s v="NON-HISPANIC"/>
    <s v="338"/>
    <s v="CONVICTED"/>
    <n v="5"/>
    <s v="TDC"/>
    <n v="3"/>
    <m/>
    <m/>
    <s v="BURGLARY OF HABITATION"/>
    <m/>
    <s v="F2"/>
    <s v="BURGLARY"/>
    <m/>
    <m/>
    <m/>
    <m/>
    <m/>
    <m/>
    <m/>
    <m/>
    <m/>
    <s v="Appointed Attorney"/>
    <m/>
    <m/>
    <n v="14"/>
    <n v="103"/>
    <n v="105"/>
    <n v="32.199453551912569"/>
    <n v="0"/>
    <n v="-89"/>
    <s v="CONVICTION"/>
    <x v="1"/>
    <s v="Y"/>
    <m/>
    <s v="CONVICTION"/>
    <s v="Y"/>
    <x v="1"/>
    <x v="0"/>
    <s v="Y"/>
    <n v="0.13333333333333333"/>
    <n v="0.13592233009708737"/>
    <n v="2.5889967637540423E-3"/>
    <n v="0"/>
    <n v="-14"/>
    <n v="0"/>
    <n v="14"/>
    <e v="#VALUE!"/>
    <n v="14"/>
    <n v="0"/>
    <n v="89"/>
    <m/>
    <s v="Y"/>
    <m/>
    <s v="11-30 DAYS"/>
    <n v="2"/>
    <x v="0"/>
  </r>
  <r>
    <n v="1767"/>
    <s v="N"/>
    <s v="N"/>
    <n v="1612105"/>
    <n v="3"/>
    <d v="2012-03-06T00:00:00"/>
    <d v="2012-07-24T00:00:00"/>
    <n v="1612105"/>
    <d v="2012-03-07T00:00:00"/>
    <d v="2012-03-09T00:00:00"/>
    <n v="5000"/>
    <x v="4"/>
    <d v="2012-03-09T00:00:00"/>
    <s v="Y"/>
    <s v="SURETYPTRc"/>
    <s v="GUILTY PLEA - NO JURY"/>
    <n v="3"/>
    <n v="141"/>
    <n v="0"/>
    <n v="2"/>
    <m/>
    <m/>
    <m/>
    <m/>
    <m/>
    <m/>
    <m/>
    <m/>
    <m/>
    <d v="1979-04-23T00:00:00"/>
    <s v="M"/>
    <s v="H"/>
    <s v="HISPANIC"/>
    <s v="HISPANIC"/>
    <s v="232"/>
    <s v="CONVICTED"/>
    <n v="6"/>
    <s v="PROBATION"/>
    <m/>
    <m/>
    <m/>
    <s v="DWI 3RD OFFENDER BAC .08"/>
    <m/>
    <s v="F3"/>
    <s v="FEL DWI"/>
    <m/>
    <m/>
    <m/>
    <m/>
    <m/>
    <m/>
    <m/>
    <m/>
    <m/>
    <s v="Hired Attorney"/>
    <m/>
    <m/>
    <n v="3"/>
    <n v="140"/>
    <n v="141"/>
    <n v="32.803278688524593"/>
    <n v="0"/>
    <n v="-137"/>
    <s v="CONVICTION"/>
    <x v="1"/>
    <s v="Y"/>
    <m/>
    <s v="CONVICTION"/>
    <s v="Y"/>
    <x v="1"/>
    <x v="0"/>
    <s v="N"/>
    <n v="2.1276595744680851E-2"/>
    <n v="2.1428571428571429E-2"/>
    <n v="1.5197568389057822E-4"/>
    <n v="0"/>
    <n v="-3"/>
    <n v="0"/>
    <n v="3"/>
    <e v="#VALUE!"/>
    <n v="3"/>
    <n v="0"/>
    <n v="137"/>
    <m/>
    <s v="Y"/>
    <m/>
    <s v="0-10 DAYS"/>
    <n v="1"/>
    <x v="0"/>
  </r>
  <r>
    <n v="2772"/>
    <s v="N"/>
    <s v="N"/>
    <n v="1612485"/>
    <n v="5"/>
    <d v="2012-04-12T00:00:00"/>
    <d v="2012-04-16T00:00:00"/>
    <n v="1612485"/>
    <d v="2012-04-12T00:00:00"/>
    <d v="2012-04-16T00:00:00"/>
    <n v="15000"/>
    <x v="0"/>
    <m/>
    <s v="N"/>
    <s v="NONE"/>
    <s v="GUILTY PLEA - NO JURY"/>
    <n v="5"/>
    <n v="5"/>
    <n v="2"/>
    <n v="1"/>
    <n v="1"/>
    <m/>
    <m/>
    <m/>
    <m/>
    <m/>
    <m/>
    <m/>
    <m/>
    <d v="1975-03-30T00:00:00"/>
    <s v="M"/>
    <s v="B"/>
    <s v="BLACK"/>
    <s v="NON-HISPANIC"/>
    <s v="179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5"/>
    <n v="5"/>
    <n v="5"/>
    <n v="36.961748633879779"/>
    <n v="0"/>
    <n v="0"/>
    <s v="CONVICTION"/>
    <x v="0"/>
    <s v="N"/>
    <m/>
    <s v="CONVICTION"/>
    <s v="Y"/>
    <x v="0"/>
    <x v="0"/>
    <s v="Y"/>
    <n v="1"/>
    <n v="1"/>
    <n v="0"/>
    <n v="0"/>
    <n v="-5"/>
    <n v="0"/>
    <n v="5"/>
    <e v="#VALUE!"/>
    <n v="5"/>
    <n v="0"/>
    <n v="0"/>
    <m/>
    <s v="Y"/>
    <m/>
    <s v="0-10 DAYS"/>
    <n v="1"/>
    <x v="0"/>
  </r>
  <r>
    <n v="2620"/>
    <s v="N"/>
    <s v="N"/>
    <n v="1613265"/>
    <n v="6"/>
    <d v="2012-04-07T00:00:00"/>
    <d v="2012-08-30T00:00:00"/>
    <n v="1613265"/>
    <d v="2012-04-07T00:00:00"/>
    <d v="2012-04-08T00:00:00"/>
    <n v="20000"/>
    <x v="0"/>
    <d v="2012-04-08T00:00:00"/>
    <s v="Y"/>
    <s v="SURETYPTRc"/>
    <s v="GUILTY PLEA - NO JURY"/>
    <n v="2"/>
    <n v="146"/>
    <n v="3"/>
    <n v="7"/>
    <n v="2"/>
    <m/>
    <m/>
    <m/>
    <m/>
    <m/>
    <m/>
    <m/>
    <m/>
    <d v="1979-10-07T00:00:00"/>
    <s v="M"/>
    <s v="H"/>
    <s v="HISPANIC"/>
    <s v="HISPANIC"/>
    <s v="185"/>
    <s v="CONVICTED"/>
    <n v="9"/>
    <s v="TDC"/>
    <n v="8"/>
    <m/>
    <m/>
    <s v="POSS W/INT DEL CS PG1&gt;=4 &lt;200"/>
    <m/>
    <s v="F1"/>
    <s v="SALE DRUG"/>
    <m/>
    <m/>
    <m/>
    <m/>
    <m/>
    <m/>
    <m/>
    <m/>
    <m/>
    <s v="Hired Attorney"/>
    <m/>
    <m/>
    <n v="2"/>
    <n v="146"/>
    <n v="146"/>
    <n v="32.434426229508198"/>
    <n v="0"/>
    <n v="-144"/>
    <s v="CONVICTION"/>
    <x v="1"/>
    <s v="Y"/>
    <m/>
    <s v="CONVICTION"/>
    <s v="Y"/>
    <x v="1"/>
    <x v="0"/>
    <s v="Y"/>
    <n v="1.3698630136986301E-2"/>
    <n v="1.3698630136986301E-2"/>
    <n v="0"/>
    <n v="0"/>
    <n v="-2"/>
    <n v="0"/>
    <n v="2"/>
    <e v="#VALUE!"/>
    <n v="2"/>
    <n v="0"/>
    <n v="144"/>
    <m/>
    <s v="Y"/>
    <m/>
    <s v="0-10 DAYS"/>
    <n v="1"/>
    <x v="0"/>
  </r>
  <r>
    <n v="2755"/>
    <s v="N"/>
    <s v="N"/>
    <n v="1613642"/>
    <n v="5"/>
    <d v="2012-04-12T00:00:00"/>
    <d v="2012-04-19T00:00:00"/>
    <n v="1613642"/>
    <d v="2012-04-12T00:00:00"/>
    <d v="2012-04-19T00:00:00"/>
    <n v="15000"/>
    <x v="0"/>
    <m/>
    <s v="N"/>
    <s v="NONE"/>
    <s v="GUILTY PLEA - NO JURY"/>
    <n v="8"/>
    <n v="8"/>
    <n v="3"/>
    <n v="3"/>
    <n v="1"/>
    <m/>
    <m/>
    <m/>
    <m/>
    <m/>
    <m/>
    <m/>
    <m/>
    <d v="1978-12-30T00:00:00"/>
    <s v="M"/>
    <s v="W"/>
    <s v="WHITE"/>
    <s v="NON-HISPANIC"/>
    <s v="339"/>
    <s v="CONVICTED"/>
    <n v="2"/>
    <s v="STJ"/>
    <m/>
    <n v="6"/>
    <m/>
    <s v="POSS CS PG 2 &lt;1GRAM"/>
    <m/>
    <s v="FS"/>
    <s v="POSS DRUG"/>
    <m/>
    <m/>
    <m/>
    <m/>
    <m/>
    <m/>
    <m/>
    <m/>
    <m/>
    <s v="Appointed Attorney"/>
    <m/>
    <m/>
    <n v="8"/>
    <n v="8"/>
    <n v="8"/>
    <n v="33.215846994535518"/>
    <n v="0"/>
    <n v="0"/>
    <s v="CONVICTION"/>
    <x v="0"/>
    <s v="N"/>
    <m/>
    <s v="CONVICTION"/>
    <s v="Y"/>
    <x v="0"/>
    <x v="0"/>
    <s v="Y"/>
    <n v="1"/>
    <n v="1"/>
    <n v="0"/>
    <n v="0"/>
    <n v="-8"/>
    <n v="0"/>
    <n v="8"/>
    <e v="#VALUE!"/>
    <n v="8"/>
    <n v="0"/>
    <n v="0"/>
    <m/>
    <s v="Y"/>
    <m/>
    <s v="0-10 DAYS"/>
    <n v="1"/>
    <x v="0"/>
  </r>
  <r>
    <n v="2228"/>
    <s v="N"/>
    <s v="N"/>
    <n v="1614375"/>
    <n v="6"/>
    <d v="2012-03-24T00:00:00"/>
    <d v="2012-07-17T00:00:00"/>
    <n v="1614375"/>
    <d v="2012-03-25T00:00:00"/>
    <d v="2012-07-17T00:00:00"/>
    <n v="10000"/>
    <x v="3"/>
    <m/>
    <s v="N"/>
    <s v="NONE"/>
    <s v="GUILTY PLEA - NO JURY"/>
    <n v="115"/>
    <n v="116"/>
    <n v="1"/>
    <n v="2"/>
    <m/>
    <m/>
    <m/>
    <m/>
    <m/>
    <m/>
    <m/>
    <m/>
    <m/>
    <d v="1961-04-20T00:00:00"/>
    <s v="M"/>
    <s v="H"/>
    <s v="HISPANIC"/>
    <s v="HISPANIC"/>
    <s v="351"/>
    <s v="CONVICTED"/>
    <n v="4"/>
    <s v="TDC"/>
    <n v="2"/>
    <m/>
    <m/>
    <s v="DWI 3RD OFFENDER BAC .08"/>
    <m/>
    <s v="F3"/>
    <s v="FEL DWI"/>
    <m/>
    <m/>
    <m/>
    <m/>
    <m/>
    <m/>
    <m/>
    <m/>
    <m/>
    <s v="Appointed Attorney"/>
    <m/>
    <m/>
    <n v="115"/>
    <n v="115"/>
    <n v="116"/>
    <n v="50.822404371584696"/>
    <n v="0"/>
    <n v="0"/>
    <s v="CONVICTION"/>
    <x v="0"/>
    <s v="N"/>
    <m/>
    <s v="CONVICTION"/>
    <s v="Y"/>
    <x v="0"/>
    <x v="0"/>
    <s v="Y"/>
    <n v="0.99137931034482762"/>
    <n v="1"/>
    <n v="8.6206896551723755E-3"/>
    <n v="0"/>
    <n v="-115"/>
    <n v="0"/>
    <n v="115"/>
    <e v="#VALUE!"/>
    <n v="115"/>
    <n v="0"/>
    <n v="0"/>
    <m/>
    <s v="Y"/>
    <m/>
    <s v="91-120 DAYS"/>
    <n v="0"/>
    <x v="0"/>
  </r>
  <r>
    <n v="425"/>
    <s v="N"/>
    <s v="N"/>
    <n v="1615647"/>
    <n v="2"/>
    <d v="2012-01-18T00:00:00"/>
    <d v="2012-04-24T00:00:00"/>
    <n v="1615647"/>
    <d v="2012-01-20T00:00:00"/>
    <d v="2012-01-22T00:00:00"/>
    <n v="5000"/>
    <x v="4"/>
    <d v="2012-01-22T00:00:00"/>
    <s v="Y"/>
    <s v="SURETY"/>
    <s v="DEFERRED ADJUDICATION "/>
    <n v="3"/>
    <n v="98"/>
    <n v="0"/>
    <n v="1"/>
    <m/>
    <m/>
    <m/>
    <m/>
    <m/>
    <m/>
    <m/>
    <m/>
    <m/>
    <d v="1980-01-24T00:00:00"/>
    <s v="F"/>
    <s v="W"/>
    <s v="WHITE"/>
    <s v="NULL"/>
    <s v="263"/>
    <s v="DEFERRED"/>
    <n v="8"/>
    <s v="DEFERRED"/>
    <m/>
    <m/>
    <m/>
    <s v="FORGERY GOVT FINANCIAL INST"/>
    <m/>
    <s v="F3"/>
    <s v="OTHER FEL"/>
    <m/>
    <m/>
    <m/>
    <m/>
    <m/>
    <m/>
    <m/>
    <m/>
    <m/>
    <s v="Hired Attorney"/>
    <m/>
    <m/>
    <n v="3"/>
    <n v="96"/>
    <n v="98"/>
    <n v="31.918032786885245"/>
    <n v="0"/>
    <n v="-93"/>
    <s v="DEFERRED"/>
    <x v="1"/>
    <s v="Y"/>
    <m/>
    <s v="DEFERRED"/>
    <s v="Y"/>
    <x v="1"/>
    <x v="0"/>
    <s v="N"/>
    <n v="3.0612244897959183E-2"/>
    <n v="3.125E-2"/>
    <n v="6.3775510204081703E-4"/>
    <n v="0"/>
    <n v="-3"/>
    <n v="0"/>
    <n v="3"/>
    <e v="#VALUE!"/>
    <n v="3"/>
    <n v="0"/>
    <n v="93"/>
    <m/>
    <s v="Y"/>
    <m/>
    <s v="0-10 DAYS"/>
    <n v="1"/>
    <x v="0"/>
  </r>
  <r>
    <n v="3235"/>
    <s v="N"/>
    <s v="N"/>
    <n v="1616310"/>
    <n v="2"/>
    <d v="2012-04-29T00:00:00"/>
    <d v="2012-05-01T00:00:00"/>
    <n v="1616310"/>
    <d v="2012-04-29T00:00:00"/>
    <d v="2012-05-01T00:00:00"/>
    <n v="4000"/>
    <x v="4"/>
    <m/>
    <s v="N"/>
    <s v="NONE"/>
    <s v="DEFERRED ADJUDICATION "/>
    <n v="3"/>
    <n v="3"/>
    <n v="0"/>
    <n v="1"/>
    <m/>
    <m/>
    <m/>
    <m/>
    <m/>
    <m/>
    <m/>
    <m/>
    <m/>
    <d v="1974-05-14T00:00:00"/>
    <s v="M"/>
    <s v="W"/>
    <s v="WHITE"/>
    <s v="NON-HISPANIC"/>
    <s v="262"/>
    <s v="DEFERRED"/>
    <n v="1"/>
    <s v="DEFERRED"/>
    <m/>
    <m/>
    <m/>
    <s v="CREDIT/DEBIT CARD ABUSE"/>
    <m/>
    <s v="FS"/>
    <s v="OTHER FEL"/>
    <m/>
    <m/>
    <m/>
    <m/>
    <m/>
    <m/>
    <m/>
    <m/>
    <m/>
    <s v="Appointed Attorney"/>
    <m/>
    <m/>
    <n v="3"/>
    <n v="3"/>
    <n v="3"/>
    <n v="37.882513661202189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315"/>
    <s v="N"/>
    <s v="N"/>
    <n v="1616734"/>
    <n v="5"/>
    <d v="2012-03-28T00:00:00"/>
    <d v="2012-06-20T00:00:00"/>
    <n v="1616734"/>
    <d v="2012-03-28T00:00:00"/>
    <d v="2012-06-20T00:00:00"/>
    <n v="15000"/>
    <x v="0"/>
    <m/>
    <s v="N"/>
    <s v="NONE"/>
    <s v="GUILTY PLEA - NO JURY"/>
    <n v="85"/>
    <n v="85"/>
    <n v="4"/>
    <n v="4"/>
    <n v="2"/>
    <m/>
    <m/>
    <m/>
    <m/>
    <m/>
    <m/>
    <m/>
    <m/>
    <d v="1979-08-18T00:00:00"/>
    <s v="M"/>
    <s v="W"/>
    <s v="WHITE"/>
    <s v="NON-HISPANIC"/>
    <s v="180"/>
    <s v="CONVICTED"/>
    <n v="4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85"/>
    <n v="85"/>
    <n v="85"/>
    <n v="32.543715846994537"/>
    <n v="0"/>
    <n v="0"/>
    <s v="CONVICTION"/>
    <x v="0"/>
    <s v="N"/>
    <m/>
    <s v="CONVICTION"/>
    <s v="Y"/>
    <x v="0"/>
    <x v="0"/>
    <s v="Y"/>
    <n v="1"/>
    <n v="1"/>
    <n v="0"/>
    <n v="0"/>
    <n v="-85"/>
    <n v="0"/>
    <n v="85"/>
    <e v="#VALUE!"/>
    <n v="85"/>
    <n v="0"/>
    <n v="0"/>
    <m/>
    <s v="Y"/>
    <m/>
    <s v="61-90 DAYS"/>
    <n v="4"/>
    <x v="0"/>
  </r>
  <r>
    <n v="1194"/>
    <s v="N"/>
    <s v="N"/>
    <n v="1617010"/>
    <n v="6"/>
    <d v="2012-02-13T00:00:00"/>
    <d v="2012-03-27T00:00:00"/>
    <n v="1617010"/>
    <d v="2012-02-13T00:00:00"/>
    <d v="2012-03-27T00:00:00"/>
    <s v="NO BOND"/>
    <x v="1"/>
    <m/>
    <s v="N"/>
    <s v="NONE"/>
    <s v="GUILTY PLEA - NO JURY"/>
    <n v="44"/>
    <n v="44"/>
    <n v="5"/>
    <n v="4"/>
    <n v="4"/>
    <m/>
    <m/>
    <m/>
    <m/>
    <m/>
    <m/>
    <m/>
    <m/>
    <d v="1977-04-07T00:00:00"/>
    <s v="M"/>
    <s v="W"/>
    <s v="WHITE"/>
    <s v="NON-HISPANIC"/>
    <s v="180"/>
    <s v="CONVICTED"/>
    <n v="3"/>
    <s v="TDC"/>
    <n v="4"/>
    <m/>
    <m/>
    <s v="CRIM MISCH (PLACE/F WORSHIP/BU"/>
    <m/>
    <s v="FS"/>
    <s v="OTHER FEL"/>
    <m/>
    <m/>
    <m/>
    <m/>
    <m/>
    <m/>
    <m/>
    <m/>
    <m/>
    <s v="Appointed Attorney"/>
    <m/>
    <m/>
    <n v="44"/>
    <n v="44"/>
    <n v="44"/>
    <n v="34.78142076502732"/>
    <n v="0"/>
    <n v="0"/>
    <s v="CONVICTION"/>
    <x v="0"/>
    <s v="N"/>
    <m/>
    <s v="CONVICTION"/>
    <s v="Y"/>
    <x v="0"/>
    <x v="0"/>
    <s v="Y"/>
    <n v="1"/>
    <n v="1"/>
    <n v="0"/>
    <n v="0"/>
    <n v="-44"/>
    <n v="0"/>
    <n v="44"/>
    <e v="#VALUE!"/>
    <n v="44"/>
    <n v="0"/>
    <n v="0"/>
    <m/>
    <s v="Y"/>
    <m/>
    <s v="31-60 DAYS"/>
    <n v="3"/>
    <x v="0"/>
  </r>
  <r>
    <n v="584"/>
    <s v="N"/>
    <s v="N"/>
    <n v="1617321"/>
    <n v="3"/>
    <d v="2012-01-24T00:00:00"/>
    <d v="2012-09-06T00:00:00"/>
    <n v="1617321"/>
    <d v="2012-01-24T00:00:00"/>
    <d v="2012-09-06T00:00:00"/>
    <n v="40000"/>
    <x v="2"/>
    <m/>
    <s v="N"/>
    <s v="NONE"/>
    <s v="GUILTY PLEA - NO JURY"/>
    <n v="227"/>
    <n v="227"/>
    <n v="0"/>
    <n v="5"/>
    <m/>
    <m/>
    <m/>
    <m/>
    <m/>
    <m/>
    <m/>
    <m/>
    <m/>
    <d v="1975-08-18T00:00:00"/>
    <s v="M"/>
    <s v="W"/>
    <s v="WHITE"/>
    <s v="NON-HISPANIC"/>
    <s v="177"/>
    <s v="CONVICTED"/>
    <n v="11"/>
    <s v="PROBATION"/>
    <m/>
    <m/>
    <m/>
    <s v="DWI 3RD OFFENDER BAC .08"/>
    <m/>
    <s v="F3"/>
    <s v="FEL DWI"/>
    <m/>
    <m/>
    <m/>
    <m/>
    <m/>
    <m/>
    <m/>
    <m/>
    <m/>
    <s v="Appointed Attorney"/>
    <m/>
    <m/>
    <n v="227"/>
    <n v="227"/>
    <n v="227"/>
    <n v="36.360655737704917"/>
    <n v="0"/>
    <n v="0"/>
    <s v="CONVICTION"/>
    <x v="0"/>
    <s v="N"/>
    <m/>
    <s v="CONVICTION"/>
    <s v="Y"/>
    <x v="0"/>
    <x v="0"/>
    <s v="N"/>
    <n v="1"/>
    <n v="1"/>
    <n v="0"/>
    <n v="0"/>
    <n v="-227"/>
    <n v="0"/>
    <n v="227"/>
    <e v="#VALUE!"/>
    <n v="227"/>
    <n v="0"/>
    <n v="0"/>
    <m/>
    <s v="Y"/>
    <m/>
    <s v="121-365 DAYS"/>
    <n v="6"/>
    <x v="0"/>
  </r>
  <r>
    <n v="897"/>
    <s v="N"/>
    <s v="N"/>
    <n v="1618398"/>
    <n v="5"/>
    <d v="2012-02-03T00:00:00"/>
    <d v="2012-02-06T00:00:00"/>
    <n v="1618398"/>
    <d v="2012-02-03T00:00:00"/>
    <d v="2012-02-06T00:00:00"/>
    <n v="15000"/>
    <x v="0"/>
    <m/>
    <s v="N"/>
    <s v="NONE"/>
    <s v="GUILTY PLEA - NO JURY"/>
    <n v="4"/>
    <n v="4"/>
    <n v="3"/>
    <n v="19"/>
    <m/>
    <m/>
    <m/>
    <m/>
    <m/>
    <m/>
    <m/>
    <m/>
    <m/>
    <d v="1973-09-20T00:00:00"/>
    <s v="F"/>
    <s v="W"/>
    <s v="WHITE"/>
    <s v="NULL"/>
    <s v="184"/>
    <s v="CONVICTED"/>
    <n v="1"/>
    <s v="STJ"/>
    <m/>
    <n v="6"/>
    <m/>
    <s v="MAN/DEL CS PG I &lt;1GRAM"/>
    <m/>
    <s v="FS"/>
    <s v="SALE DRUG"/>
    <m/>
    <m/>
    <m/>
    <m/>
    <m/>
    <m/>
    <m/>
    <m/>
    <m/>
    <s v="Appointed Attorney"/>
    <m/>
    <m/>
    <n v="4"/>
    <n v="4"/>
    <n v="4"/>
    <n v="38.292349726775953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1151"/>
    <s v="N"/>
    <s v="N"/>
    <n v="1620067"/>
    <n v="1"/>
    <d v="2012-02-11T00:00:00"/>
    <d v="2012-05-03T00:00:00"/>
    <n v="1620067"/>
    <d v="2012-02-11T00:00:00"/>
    <d v="2012-05-03T00:00:00"/>
    <s v="NO BOND"/>
    <x v="1"/>
    <m/>
    <s v="N"/>
    <s v="NONE"/>
    <s v="DISMISSED"/>
    <n v="83"/>
    <n v="83"/>
    <n v="3"/>
    <n v="4"/>
    <n v="1"/>
    <n v="1"/>
    <m/>
    <m/>
    <m/>
    <m/>
    <m/>
    <m/>
    <m/>
    <d v="1979-06-30T00:00:00"/>
    <s v="M"/>
    <s v="B"/>
    <s v="BLACK"/>
    <s v="NON-HISPANIC"/>
    <s v="338"/>
    <s v="DISMISSED"/>
    <n v="4"/>
    <s v="DISMISSED"/>
    <m/>
    <m/>
    <m/>
    <s v="ASSAULT-BOD INJ-FAMILY MEMBER"/>
    <m/>
    <s v="F3"/>
    <s v="ASLT-MURDR"/>
    <m/>
    <m/>
    <m/>
    <m/>
    <m/>
    <m/>
    <m/>
    <m/>
    <m/>
    <s v="Public Defender"/>
    <m/>
    <m/>
    <n v="83"/>
    <n v="83"/>
    <n v="83"/>
    <n v="32.551912568306008"/>
    <n v="0"/>
    <n v="0"/>
    <s v="NO CONVICTION"/>
    <x v="0"/>
    <s v="N"/>
    <m/>
    <s v="NO CONVICTION"/>
    <s v="Y"/>
    <x v="0"/>
    <x v="0"/>
    <s v="Y"/>
    <n v="1"/>
    <n v="1"/>
    <n v="0"/>
    <n v="0"/>
    <n v="-83"/>
    <n v="0"/>
    <n v="83"/>
    <e v="#VALUE!"/>
    <n v="83"/>
    <n v="0"/>
    <n v="0"/>
    <m/>
    <s v="Y"/>
    <m/>
    <s v="61-90 DAYS"/>
    <n v="4"/>
    <x v="0"/>
  </r>
  <r>
    <n v="1141"/>
    <s v="N"/>
    <s v="N"/>
    <n v="1620075"/>
    <n v="4"/>
    <d v="2012-02-10T00:00:00"/>
    <d v="2012-02-17T00:00:00"/>
    <n v="1620075"/>
    <d v="2012-02-11T00:00:00"/>
    <d v="2012-02-17T00:00:00"/>
    <n v="15000"/>
    <x v="0"/>
    <m/>
    <s v="N"/>
    <s v="NONE"/>
    <s v="GUILTY PLEA - NO JURY"/>
    <n v="7"/>
    <n v="8"/>
    <n v="3"/>
    <n v="2"/>
    <n v="1"/>
    <m/>
    <m/>
    <m/>
    <m/>
    <m/>
    <m/>
    <m/>
    <m/>
    <d v="1977-01-15T00:00:00"/>
    <s v="M"/>
    <s v="B"/>
    <s v="BLACK"/>
    <s v="NON-HISPANIC"/>
    <s v="232"/>
    <s v="CONVICTED"/>
    <n v="2"/>
    <s v="HCJ"/>
    <m/>
    <m/>
    <n v="90"/>
    <s v="POSS CS PG 1 &lt;1G"/>
    <m/>
    <s v="FS"/>
    <s v="POSS DRUG"/>
    <s v="8/28/12 conv fel drug hcj 6 mos"/>
    <m/>
    <m/>
    <m/>
    <m/>
    <m/>
    <m/>
    <m/>
    <m/>
    <s v="Public Defender"/>
    <m/>
    <m/>
    <n v="7"/>
    <n v="7"/>
    <n v="8"/>
    <n v="34.997267759562838"/>
    <n v="0"/>
    <n v="0"/>
    <s v="CONVICTION"/>
    <x v="0"/>
    <s v="N"/>
    <m/>
    <s v="CONVICTION"/>
    <s v="Y"/>
    <x v="0"/>
    <x v="0"/>
    <s v="Y"/>
    <n v="0.875"/>
    <n v="1"/>
    <n v="0.125"/>
    <n v="0"/>
    <n v="-7"/>
    <n v="0"/>
    <n v="7"/>
    <e v="#VALUE!"/>
    <n v="7"/>
    <n v="0"/>
    <n v="0"/>
    <m/>
    <s v="Y"/>
    <m/>
    <s v="0-10 DAYS"/>
    <n v="1"/>
    <x v="0"/>
  </r>
  <r>
    <n v="156"/>
    <s v="N"/>
    <s v="N"/>
    <n v="1620393"/>
    <n v="1"/>
    <d v="2012-01-07T00:00:00"/>
    <d v="2012-04-05T00:00:00"/>
    <n v="1620393"/>
    <d v="2012-01-07T00:00:00"/>
    <d v="2012-01-11T00:00:00"/>
    <n v="30000"/>
    <x v="2"/>
    <d v="2012-01-11T00:00:00"/>
    <s v="Y"/>
    <s v="SURETY"/>
    <s v="NO BILL"/>
    <n v="5"/>
    <n v="90"/>
    <n v="2"/>
    <n v="0"/>
    <m/>
    <n v="1"/>
    <m/>
    <m/>
    <m/>
    <m/>
    <m/>
    <m/>
    <m/>
    <d v="1979-01-08T00:00:00"/>
    <s v="M"/>
    <s v="B"/>
    <s v="BLACK"/>
    <s v="NON-HISPANIC"/>
    <s v="178"/>
    <s v="NO BILL"/>
    <n v="4"/>
    <s v="NO BILL"/>
    <m/>
    <m/>
    <m/>
    <s v="POSS W/INT DEL CS PG1&gt;=4 &lt;200"/>
    <m/>
    <s v="F1"/>
    <s v="SALE DRUG"/>
    <m/>
    <m/>
    <m/>
    <m/>
    <m/>
    <m/>
    <m/>
    <m/>
    <m/>
    <s v="Hired Attorney"/>
    <m/>
    <m/>
    <n v="5"/>
    <n v="90"/>
    <n v="90"/>
    <n v="32.928961748633881"/>
    <n v="0"/>
    <n v="-85"/>
    <s v="NO CONVICTION"/>
    <x v="1"/>
    <s v="Y"/>
    <m/>
    <s v="NO CONVICTION"/>
    <s v="Y"/>
    <x v="1"/>
    <x v="0"/>
    <s v="Y"/>
    <n v="5.5555555555555552E-2"/>
    <n v="5.5555555555555552E-2"/>
    <n v="0"/>
    <n v="0"/>
    <n v="-5"/>
    <n v="0"/>
    <n v="5"/>
    <e v="#VALUE!"/>
    <n v="5"/>
    <n v="0"/>
    <n v="85"/>
    <m/>
    <s v="Y"/>
    <m/>
    <s v="0-10 DAYS"/>
    <n v="1"/>
    <x v="0"/>
  </r>
  <r>
    <n v="1086"/>
    <s v="N"/>
    <s v="Y"/>
    <n v="1620433"/>
    <n v="6"/>
    <d v="2012-02-09T00:00:00"/>
    <d v="2013-05-14T00:00:00"/>
    <n v="1620433"/>
    <d v="2012-03-28T00:00:00"/>
    <d v="2012-04-18T00:00:00"/>
    <n v="40000"/>
    <x v="2"/>
    <d v="2012-04-18T00:00:00"/>
    <s v="Y"/>
    <s v="SURETY"/>
    <s v="GUILTY PLEA - NO JURY"/>
    <n v="262"/>
    <n v="461"/>
    <n v="5"/>
    <n v="8"/>
    <n v="3"/>
    <n v="1"/>
    <m/>
    <m/>
    <m/>
    <m/>
    <m/>
    <m/>
    <m/>
    <d v="1977-01-27T00:00:00"/>
    <s v="M"/>
    <s v="B"/>
    <s v="BLACK"/>
    <s v="NON-HISPANIC"/>
    <s v="263"/>
    <s v="NULL"/>
    <n v="14"/>
    <s v="TDC"/>
    <n v="2"/>
    <m/>
    <m/>
    <s v="FELON POSS WPN"/>
    <m/>
    <s v="F3"/>
    <s v="OTHER FEL"/>
    <s v="two misd conv 3/30/12 pend fwl aslt murder filed 6/22/12"/>
    <s v="booked 6/29/12  newbond 2/26/13 (bd RVKD 6/29/12)"/>
    <m/>
    <m/>
    <s v="Y"/>
    <m/>
    <m/>
    <m/>
    <m/>
    <s v="Hired Attorney"/>
    <m/>
    <m/>
    <n v="262"/>
    <n v="413"/>
    <n v="461"/>
    <n v="34.961748633879779"/>
    <n v="0"/>
    <n v="-391"/>
    <s v="CONVICTION"/>
    <x v="1"/>
    <s v="Y"/>
    <m/>
    <s v=""/>
    <s v="Y"/>
    <x v="1"/>
    <x v="0"/>
    <s v="Y"/>
    <n v="0.5683297180043384"/>
    <n v="5.3268765133171914E-2"/>
    <n v="-0.51506095287116649"/>
    <n v="0"/>
    <n v="-22"/>
    <n v="240"/>
    <n v="22"/>
    <n v="262"/>
    <m/>
    <n v="391"/>
    <n v="391"/>
    <m/>
    <s v="Y"/>
    <m/>
    <s v="121-365 DAYS"/>
    <n v="6"/>
    <x v="0"/>
  </r>
  <r>
    <n v="2072"/>
    <s v="N"/>
    <s v="N"/>
    <n v="1620479"/>
    <n v="1"/>
    <d v="2012-03-19T00:00:00"/>
    <d v="2012-06-18T00:00:00"/>
    <n v="1620479"/>
    <d v="2012-03-19T00:00:00"/>
    <d v="2012-03-22T00:00:00"/>
    <n v="5000"/>
    <x v="4"/>
    <d v="2012-03-22T00:00:00"/>
    <s v="Y"/>
    <s v="SURETY"/>
    <s v="NO BILL"/>
    <n v="4"/>
    <n v="92"/>
    <n v="1"/>
    <n v="1"/>
    <m/>
    <n v="1"/>
    <m/>
    <m/>
    <m/>
    <m/>
    <m/>
    <m/>
    <m/>
    <d v="1967-08-12T00:00:00"/>
    <s v="M"/>
    <s v="W"/>
    <s v="WHITE"/>
    <s v="NULL"/>
    <s v="180"/>
    <s v="NO BILL"/>
    <n v="5"/>
    <s v="NO BILL"/>
    <m/>
    <m/>
    <m/>
    <s v="POSS CS PG 1 &lt;1G"/>
    <m/>
    <s v="FS"/>
    <s v="POSS DRUG"/>
    <m/>
    <m/>
    <m/>
    <m/>
    <m/>
    <m/>
    <m/>
    <m/>
    <m/>
    <s v="Hired Attorney"/>
    <m/>
    <m/>
    <n v="4"/>
    <n v="92"/>
    <n v="92"/>
    <n v="44.510928961748633"/>
    <n v="0"/>
    <n v="-88"/>
    <s v="NO CONVICTION"/>
    <x v="1"/>
    <s v="Y"/>
    <m/>
    <s v="NO CONVICTION"/>
    <s v="Y"/>
    <x v="1"/>
    <x v="0"/>
    <s v="Y"/>
    <n v="4.3478260869565216E-2"/>
    <n v="4.3478260869565216E-2"/>
    <n v="0"/>
    <n v="0"/>
    <n v="-4"/>
    <n v="0"/>
    <n v="4"/>
    <e v="#VALUE!"/>
    <n v="4"/>
    <n v="0"/>
    <n v="88"/>
    <m/>
    <s v="Y"/>
    <m/>
    <s v="0-10 DAYS"/>
    <n v="1"/>
    <x v="0"/>
  </r>
  <r>
    <n v="2368"/>
    <s v="N"/>
    <s v="N"/>
    <n v="1621943"/>
    <n v="4"/>
    <d v="2012-03-30T00:00:00"/>
    <d v="2012-04-02T00:00:00"/>
    <n v="1621943"/>
    <d v="2012-03-30T00:00:00"/>
    <d v="2012-04-02T00:00:00"/>
    <n v="5000"/>
    <x v="4"/>
    <m/>
    <s v="N"/>
    <s v="NONE"/>
    <s v="GUILTY PLEA - NO JURY"/>
    <n v="4"/>
    <n v="4"/>
    <n v="2"/>
    <n v="2"/>
    <m/>
    <m/>
    <m/>
    <m/>
    <m/>
    <m/>
    <m/>
    <m/>
    <m/>
    <d v="1980-08-26T00:00:00"/>
    <s v="F"/>
    <s v="B"/>
    <s v="BLACK"/>
    <s v="NON-HISPANIC"/>
    <s v="177"/>
    <s v="CONVICTED"/>
    <n v="1"/>
    <s v="HCJ"/>
    <m/>
    <m/>
    <n v="120"/>
    <s v="THEFT UNDER $1500 - 3RD OFF."/>
    <m/>
    <s v="FS"/>
    <s v="THEFT"/>
    <s v="6/19/12 fel theft 120 hcj"/>
    <m/>
    <m/>
    <m/>
    <m/>
    <m/>
    <m/>
    <m/>
    <m/>
    <s v="Appointed Attorney"/>
    <m/>
    <m/>
    <n v="4"/>
    <n v="4"/>
    <n v="4"/>
    <n v="31.527322404371585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2824"/>
    <s v="N"/>
    <s v="N"/>
    <n v="1622862"/>
    <n v="5"/>
    <d v="2012-04-13T00:00:00"/>
    <d v="2012-04-16T00:00:00"/>
    <n v="1622862"/>
    <d v="2012-04-14T00:00:00"/>
    <d v="2012-04-16T00:00:00"/>
    <n v="15000"/>
    <x v="0"/>
    <m/>
    <s v="N"/>
    <s v="NONE"/>
    <s v="GUILTY PLEA - NO JURY"/>
    <n v="3"/>
    <n v="4"/>
    <n v="6"/>
    <n v="4"/>
    <n v="2"/>
    <m/>
    <m/>
    <m/>
    <m/>
    <m/>
    <m/>
    <m/>
    <m/>
    <d v="1979-04-04T00:00:00"/>
    <s v="M"/>
    <s v="B"/>
    <s v="BLACK"/>
    <s v="NON-HISPANIC"/>
    <s v="209"/>
    <s v="CONVICTED"/>
    <n v="1"/>
    <s v="STJ"/>
    <m/>
    <n v="9"/>
    <m/>
    <s v="MAN/DEL CS PG I &lt;1GRAM"/>
    <m/>
    <s v="FS"/>
    <s v="SALE DRUG"/>
    <m/>
    <m/>
    <m/>
    <m/>
    <m/>
    <m/>
    <m/>
    <m/>
    <m/>
    <s v="Appointed Attorney"/>
    <m/>
    <m/>
    <n v="3"/>
    <n v="3"/>
    <n v="4"/>
    <n v="32.959016393442624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2812"/>
    <s v="N"/>
    <s v="N"/>
    <n v="1623085"/>
    <n v="4"/>
    <d v="2012-04-13T00:00:00"/>
    <d v="2012-04-16T00:00:00"/>
    <n v="1623085"/>
    <d v="2012-04-14T00:00:00"/>
    <d v="2012-04-16T00:00:00"/>
    <n v="15000"/>
    <x v="0"/>
    <m/>
    <s v="N"/>
    <s v="NONE"/>
    <s v="GUILTY PLEA - NO JURY"/>
    <n v="3"/>
    <n v="4"/>
    <n v="28"/>
    <n v="14"/>
    <n v="10"/>
    <m/>
    <m/>
    <m/>
    <m/>
    <m/>
    <m/>
    <m/>
    <m/>
    <d v="1980-08-06T00:00:00"/>
    <s v="M"/>
    <s v="B"/>
    <s v="BLACK"/>
    <s v="NON-HISPANIC"/>
    <s v="337"/>
    <s v="CONVICTED"/>
    <n v="1"/>
    <s v="HCJ"/>
    <m/>
    <m/>
    <n v="120"/>
    <s v="THEFT UNDER $1500 - 3RD OFF."/>
    <m/>
    <s v="FS"/>
    <s v="THEFT"/>
    <m/>
    <m/>
    <m/>
    <m/>
    <m/>
    <m/>
    <m/>
    <m/>
    <m/>
    <s v="Appointed Attorney"/>
    <m/>
    <m/>
    <n v="3"/>
    <n v="3"/>
    <n v="4"/>
    <n v="31.620218579234972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3139"/>
    <s v="N"/>
    <s v="N"/>
    <n v="1623563"/>
    <n v="2"/>
    <d v="2012-04-25T00:00:00"/>
    <d v="2013-06-20T00:00:00"/>
    <n v="1623563"/>
    <d v="2012-04-27T00:00:00"/>
    <d v="2012-05-06T00:00:00"/>
    <n v="120000"/>
    <x v="2"/>
    <d v="2012-05-06T00:00:00"/>
    <s v="Y"/>
    <s v="SURETYPTRc"/>
    <s v="DEFERRED ADJUDICATION "/>
    <n v="10"/>
    <n v="422"/>
    <n v="0"/>
    <n v="0"/>
    <m/>
    <m/>
    <m/>
    <m/>
    <m/>
    <m/>
    <m/>
    <m/>
    <m/>
    <d v="1969-10-16T00:00:00"/>
    <s v="M"/>
    <s v="B"/>
    <s v="BLACK"/>
    <s v="NON-HISPANIC"/>
    <s v="183"/>
    <s v="DEFERRED"/>
    <n v="16"/>
    <s v="DEFERRED"/>
    <m/>
    <m/>
    <m/>
    <s v="AGG ROBBERY-DEADLY WPN"/>
    <m/>
    <s v="F1"/>
    <s v="ROBBERY"/>
    <m/>
    <m/>
    <m/>
    <m/>
    <m/>
    <m/>
    <m/>
    <m/>
    <m/>
    <s v="Hired Attorney"/>
    <m/>
    <m/>
    <n v="10"/>
    <n v="420"/>
    <n v="422"/>
    <n v="42.437158469945352"/>
    <n v="0"/>
    <n v="-410"/>
    <s v="DEFERRED"/>
    <x v="1"/>
    <s v="Y"/>
    <m/>
    <s v="DEFERRED"/>
    <s v="Y"/>
    <x v="1"/>
    <x v="0"/>
    <s v="N"/>
    <n v="2.3696682464454975E-2"/>
    <n v="2.3809523809523808E-2"/>
    <n v="1.1284134506883356E-4"/>
    <n v="0"/>
    <n v="-10"/>
    <n v="0"/>
    <n v="10"/>
    <e v="#VALUE!"/>
    <n v="10"/>
    <n v="0"/>
    <n v="410"/>
    <m/>
    <s v="N"/>
    <m/>
    <s v="0-10 DAYS"/>
    <n v="1"/>
    <x v="0"/>
  </r>
  <r>
    <n v="2641"/>
    <s v="N"/>
    <s v="N"/>
    <n v="1626105"/>
    <n v="4"/>
    <d v="2012-04-08T00:00:00"/>
    <d v="2012-07-10T00:00:00"/>
    <n v="1626105"/>
    <d v="2012-04-08T00:00:00"/>
    <d v="2012-07-10T00:00:00"/>
    <n v="30000"/>
    <x v="2"/>
    <m/>
    <s v="N"/>
    <s v="NONE"/>
    <s v="GUILTY PLEA - NO JURY"/>
    <n v="94"/>
    <n v="94"/>
    <n v="4"/>
    <n v="3"/>
    <m/>
    <m/>
    <m/>
    <m/>
    <m/>
    <m/>
    <m/>
    <m/>
    <m/>
    <d v="1972-04-15T00:00:00"/>
    <s v="M"/>
    <s v="B"/>
    <s v="BLACK"/>
    <s v="NULL"/>
    <s v="351"/>
    <s v="CONVICTED"/>
    <n v="4"/>
    <s v="HCJ"/>
    <m/>
    <m/>
    <n v="240"/>
    <s v="AGG ASSAULT W/DEADLY WEAPON"/>
    <m/>
    <s v="F2"/>
    <s v="ASLT-MURDR"/>
    <m/>
    <m/>
    <m/>
    <m/>
    <m/>
    <m/>
    <m/>
    <m/>
    <m/>
    <s v="Appointed Attorney"/>
    <m/>
    <m/>
    <n v="94"/>
    <n v="94"/>
    <n v="94"/>
    <n v="39.898907103825138"/>
    <n v="0"/>
    <n v="0"/>
    <s v="CONVICTION"/>
    <x v="0"/>
    <s v="N"/>
    <m/>
    <s v="CONVICTION"/>
    <s v="Y"/>
    <x v="0"/>
    <x v="0"/>
    <s v="Y"/>
    <n v="1"/>
    <n v="1"/>
    <n v="0"/>
    <n v="0"/>
    <n v="-94"/>
    <n v="0"/>
    <n v="94"/>
    <e v="#VALUE!"/>
    <n v="94"/>
    <n v="0"/>
    <n v="0"/>
    <m/>
    <s v="Y"/>
    <m/>
    <s v="91-120 DAYS"/>
    <n v="0"/>
    <x v="0"/>
  </r>
  <r>
    <n v="3095"/>
    <s v="N"/>
    <s v="N"/>
    <n v="1628731"/>
    <n v="4"/>
    <d v="2012-04-24T00:00:00"/>
    <d v="2012-06-29T00:00:00"/>
    <n v="1628731"/>
    <d v="2012-04-25T00:00:00"/>
    <d v="2012-06-29T00:00:00"/>
    <n v="75000"/>
    <x v="2"/>
    <m/>
    <s v="N"/>
    <s v="NONE"/>
    <s v="GUILTY PLEA - NO JURY"/>
    <n v="66"/>
    <n v="67"/>
    <n v="1"/>
    <n v="4"/>
    <n v="1"/>
    <m/>
    <m/>
    <m/>
    <m/>
    <m/>
    <m/>
    <m/>
    <m/>
    <d v="1980-04-22T00:00:00"/>
    <s v="M"/>
    <s v="W"/>
    <s v="WHITE"/>
    <s v="NON-HISPANIC"/>
    <s v="184"/>
    <s v="CONVICTED"/>
    <n v="4"/>
    <s v="HCJ"/>
    <m/>
    <m/>
    <n v="180"/>
    <s v="ASSAULT-BOD INJ-FAMILY MEMBER"/>
    <m/>
    <s v="F3"/>
    <s v="ASLT-MURDR"/>
    <s v="7/6/12 misd viol prot order hcj 100 d"/>
    <m/>
    <m/>
    <m/>
    <m/>
    <m/>
    <m/>
    <m/>
    <m/>
    <s v="Hired Attorney"/>
    <m/>
    <m/>
    <n v="66"/>
    <n v="66"/>
    <n v="67"/>
    <n v="31.939890710382514"/>
    <n v="0"/>
    <n v="0"/>
    <s v="CONVICTION"/>
    <x v="0"/>
    <s v="N"/>
    <m/>
    <s v="CONVICTION"/>
    <s v="Y"/>
    <x v="0"/>
    <x v="0"/>
    <s v="Y"/>
    <n v="0.9850746268656716"/>
    <n v="1"/>
    <n v="1.4925373134328401E-2"/>
    <n v="0"/>
    <n v="-66"/>
    <n v="0"/>
    <n v="66"/>
    <e v="#VALUE!"/>
    <n v="66"/>
    <n v="0"/>
    <n v="0"/>
    <m/>
    <s v="Y"/>
    <m/>
    <s v="61-90 DAYS"/>
    <n v="4"/>
    <x v="0"/>
  </r>
  <r>
    <n v="1962"/>
    <s v="N"/>
    <s v="N"/>
    <n v="1628972"/>
    <n v="6"/>
    <d v="2012-03-14T00:00:00"/>
    <d v="2013-09-11T00:00:00"/>
    <n v="1628972"/>
    <s v="NOT BOOKED"/>
    <s v="NOT BOOKED"/>
    <n v="40000"/>
    <x v="0"/>
    <d v="2012-03-16T00:00:00"/>
    <s v="Y"/>
    <s v="SURETY"/>
    <s v="GUILTY PLEA - NO JURY"/>
    <n v="0"/>
    <n v="547"/>
    <n v="2"/>
    <n v="1"/>
    <n v="1"/>
    <m/>
    <m/>
    <m/>
    <m/>
    <m/>
    <m/>
    <m/>
    <m/>
    <d v="1974-01-18T00:00:00"/>
    <s v="F"/>
    <s v="W"/>
    <s v="WHITE"/>
    <s v="NULL"/>
    <s v="339"/>
    <s v="CONVICTED"/>
    <n v="18"/>
    <s v="TDC"/>
    <n v="2"/>
    <m/>
    <m/>
    <s v="POSS W/INT DEL CS PG1&gt;=4 &lt;200"/>
    <m/>
    <s v="F1"/>
    <s v="SALE DRUG"/>
    <s v="2 CASES"/>
    <m/>
    <m/>
    <m/>
    <m/>
    <m/>
    <m/>
    <m/>
    <m/>
    <s v="Hired Attorney"/>
    <m/>
    <m/>
    <n v="0"/>
    <e v="#VALUE!"/>
    <n v="547"/>
    <n v="38.07377049180328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s v="NOT BOOKED"/>
    <n v="0"/>
    <n v="0"/>
    <e v="#VALUE!"/>
    <m/>
    <s v="Y"/>
    <m/>
    <s v="0-10 DAYS"/>
    <n v="1"/>
    <x v="1"/>
  </r>
  <r>
    <n v="3115"/>
    <s v="N"/>
    <s v="N"/>
    <n v="1629501"/>
    <n v="4"/>
    <d v="2012-04-25T00:00:00"/>
    <d v="2012-04-26T00:00:00"/>
    <n v="1629501"/>
    <d v="2012-04-25T00:00:00"/>
    <d v="2012-04-26T00:00:00"/>
    <n v="5000"/>
    <x v="4"/>
    <m/>
    <s v="N"/>
    <s v="NONE"/>
    <s v="GUILTY PLEA - NO JURY"/>
    <n v="2"/>
    <n v="2"/>
    <n v="6"/>
    <n v="6"/>
    <n v="4"/>
    <m/>
    <m/>
    <m/>
    <m/>
    <m/>
    <m/>
    <m/>
    <m/>
    <d v="1978-12-08T00:00:00"/>
    <s v="M"/>
    <s v="B"/>
    <s v="BLACK"/>
    <s v="NON-HISPANIC"/>
    <s v="230"/>
    <s v="CONVICTED"/>
    <n v="1"/>
    <s v="HCJ"/>
    <m/>
    <m/>
    <n v="180"/>
    <s v="ATT TAMPER WITH PHYSICAL EVIDE"/>
    <m/>
    <s v="FS"/>
    <s v="OTHER FEL"/>
    <m/>
    <m/>
    <m/>
    <m/>
    <m/>
    <m/>
    <m/>
    <m/>
    <m/>
    <s v="Appointed Attorney"/>
    <m/>
    <m/>
    <n v="2"/>
    <n v="2"/>
    <n v="2"/>
    <n v="33.311475409836063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2715"/>
    <s v="Y"/>
    <s v="N"/>
    <n v="1630820"/>
    <n v="1"/>
    <d v="2012-04-10T00:00:00"/>
    <d v="2012-06-01T00:00:00"/>
    <n v="1630820"/>
    <d v="2012-04-11T00:00:00"/>
    <d v="2012-04-11T00:00:00"/>
    <n v="2000"/>
    <x v="5"/>
    <d v="2012-04-11T00:00:00"/>
    <s v="Y"/>
    <s v="SURETY"/>
    <s v="NO BILL"/>
    <n v="1"/>
    <n v="53"/>
    <n v="0"/>
    <n v="2"/>
    <m/>
    <m/>
    <m/>
    <m/>
    <m/>
    <m/>
    <m/>
    <m/>
    <m/>
    <d v="1979-07-14T00:00:00"/>
    <s v="M"/>
    <s v="W"/>
    <s v="WHITE"/>
    <s v="NON-HISPANIC"/>
    <s v="176"/>
    <s v="NO BILL"/>
    <n v="4"/>
    <s v="NO BILL"/>
    <m/>
    <m/>
    <m/>
    <s v="UNAUTH USE OF VEHICLE"/>
    <m/>
    <s v="FS"/>
    <s v="AUTO THEFT"/>
    <m/>
    <m/>
    <m/>
    <m/>
    <m/>
    <m/>
    <m/>
    <m/>
    <m/>
    <s v="Other/Unknown"/>
    <s v="m 9/25/13 dri sus l filed "/>
    <m/>
    <n v="1"/>
    <n v="52"/>
    <n v="53"/>
    <n v="32.674863387978142"/>
    <n v="0"/>
    <n v="-51"/>
    <s v="NO CONVICTION"/>
    <x v="1"/>
    <s v="Y"/>
    <m/>
    <s v="NO CONVICTION"/>
    <s v="Y"/>
    <x v="1"/>
    <x v="0"/>
    <s v="N"/>
    <n v="1.8867924528301886E-2"/>
    <n v="1.9230769230769232E-2"/>
    <n v="3.6284470246734576E-4"/>
    <n v="0"/>
    <n v="-1"/>
    <n v="0"/>
    <n v="1"/>
    <e v="#VALUE!"/>
    <n v="1"/>
    <n v="0"/>
    <n v="51"/>
    <m/>
    <s v="Y"/>
    <m/>
    <s v="0-10 DAYS"/>
    <n v="1"/>
    <x v="0"/>
  </r>
  <r>
    <n v="410"/>
    <s v="N"/>
    <s v="N"/>
    <n v="1632633"/>
    <n v="1"/>
    <d v="2012-01-18T00:00:00"/>
    <d v="2012-01-19T00:00:00"/>
    <n v="1632633"/>
    <d v="2012-01-18T00:00:00"/>
    <d v="2012-01-19T00:00:00"/>
    <n v="10000"/>
    <x v="3"/>
    <m/>
    <s v="N"/>
    <s v="NONE"/>
    <s v="DISMISSED"/>
    <n v="2"/>
    <n v="2"/>
    <n v="8"/>
    <n v="1"/>
    <n v="6"/>
    <m/>
    <m/>
    <m/>
    <m/>
    <m/>
    <m/>
    <m/>
    <m/>
    <d v="1980-11-27T00:00:00"/>
    <s v="M"/>
    <s v="B"/>
    <s v="BLACK"/>
    <s v="NULL"/>
    <s v="180"/>
    <s v="DISMISSED"/>
    <n v="1"/>
    <s v="DISMISSED"/>
    <m/>
    <m/>
    <m/>
    <s v="POSS CS PG 1  1 - 4 GRAMS"/>
    <m/>
    <s v="F3"/>
    <s v="POSS DRUG"/>
    <s v="BK 4/18/12 pcs &lt;1G tdc 8mos"/>
    <m/>
    <m/>
    <m/>
    <m/>
    <m/>
    <m/>
    <m/>
    <m/>
    <s v="Appointed Attorney"/>
    <m/>
    <m/>
    <n v="2"/>
    <n v="2"/>
    <n v="2"/>
    <n v="31.076502732240439"/>
    <n v="0"/>
    <n v="0"/>
    <s v="NO CONVICTION"/>
    <x v="0"/>
    <s v="N"/>
    <m/>
    <s v="NO 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2324"/>
    <s v="N"/>
    <s v="N"/>
    <n v="1632960"/>
    <n v="2"/>
    <d v="2012-03-28T00:00:00"/>
    <d v="2012-08-06T00:00:00"/>
    <n v="1632960"/>
    <d v="2012-03-28T00:00:00"/>
    <d v="2012-03-30T00:00:00"/>
    <n v="5000"/>
    <x v="4"/>
    <d v="2012-03-30T00:00:00"/>
    <s v="Y"/>
    <s v="SURETY"/>
    <s v="DEFERRED ADJUDICATION "/>
    <n v="3"/>
    <n v="132"/>
    <n v="0"/>
    <n v="0"/>
    <m/>
    <m/>
    <m/>
    <m/>
    <m/>
    <m/>
    <m/>
    <m/>
    <m/>
    <d v="1945-09-25T00:00:00"/>
    <s v="M"/>
    <s v="W"/>
    <s v="WHITE"/>
    <s v="NON-HISPANIC"/>
    <s v="263"/>
    <s v="DEFERRED"/>
    <n v="6"/>
    <s v="DEFERRED"/>
    <m/>
    <m/>
    <m/>
    <s v="FALSELY HOLDING ONESELF AS ATY"/>
    <m/>
    <s v="F3"/>
    <s v="OTHER FEL"/>
    <m/>
    <m/>
    <m/>
    <m/>
    <m/>
    <m/>
    <m/>
    <m/>
    <m/>
    <s v="Hired Attorney"/>
    <m/>
    <m/>
    <n v="3"/>
    <n v="132"/>
    <n v="132"/>
    <n v="66.368852459016395"/>
    <n v="0"/>
    <n v="-129"/>
    <s v="DEFERRED"/>
    <x v="1"/>
    <s v="Y"/>
    <m/>
    <s v="DEFERRED"/>
    <s v="Y"/>
    <x v="1"/>
    <x v="0"/>
    <s v="N"/>
    <n v="2.2727272727272728E-2"/>
    <n v="2.2727272727272728E-2"/>
    <n v="0"/>
    <n v="0"/>
    <n v="-3"/>
    <n v="0"/>
    <n v="3"/>
    <e v="#VALUE!"/>
    <n v="3"/>
    <n v="0"/>
    <n v="129"/>
    <m/>
    <s v="N"/>
    <m/>
    <s v="0-10 DAYS"/>
    <n v="1"/>
    <x v="0"/>
  </r>
  <r>
    <n v="1716"/>
    <s v="N"/>
    <s v="N"/>
    <n v="1633171"/>
    <n v="4"/>
    <d v="2012-03-04T00:00:00"/>
    <d v="2012-07-16T00:00:00"/>
    <n v="1633171"/>
    <d v="2012-03-07T00:00:00"/>
    <d v="2012-07-16T00:00:00"/>
    <s v="NO BOND"/>
    <x v="1"/>
    <m/>
    <s v="N"/>
    <s v="NONE"/>
    <s v="GUILTY PLEA - NO JURY"/>
    <n v="132"/>
    <n v="135"/>
    <n v="2"/>
    <n v="1"/>
    <n v="2"/>
    <m/>
    <m/>
    <m/>
    <m/>
    <m/>
    <m/>
    <m/>
    <m/>
    <d v="1980-08-09T00:00:00"/>
    <s v="M"/>
    <s v="B"/>
    <s v="BLACK"/>
    <s v="NULL"/>
    <s v="174"/>
    <s v="CONVICTED"/>
    <n v="7"/>
    <s v="HCJ"/>
    <m/>
    <m/>
    <n v="260"/>
    <s v="AGG ASSAULT-FAMILY MEMBER"/>
    <m/>
    <s v="F2"/>
    <s v="ASLT-MURDR"/>
    <m/>
    <m/>
    <m/>
    <m/>
    <m/>
    <m/>
    <m/>
    <m/>
    <m/>
    <s v="Hired Attorney"/>
    <m/>
    <m/>
    <n v="132"/>
    <n v="132"/>
    <n v="135"/>
    <n v="31.502732240437158"/>
    <n v="0"/>
    <n v="0"/>
    <s v="CONVICTION"/>
    <x v="0"/>
    <s v="N"/>
    <m/>
    <s v="CONVICTION"/>
    <s v="Y"/>
    <x v="0"/>
    <x v="0"/>
    <s v="Y"/>
    <n v="0.97777777777777775"/>
    <n v="1"/>
    <n v="2.2222222222222254E-2"/>
    <n v="0"/>
    <n v="-132"/>
    <n v="0"/>
    <n v="132"/>
    <e v="#VALUE!"/>
    <n v="132"/>
    <n v="0"/>
    <n v="0"/>
    <m/>
    <s v="Y"/>
    <m/>
    <s v="121-365 DAYS"/>
    <n v="6"/>
    <x v="0"/>
  </r>
  <r>
    <n v="2760"/>
    <s v="N"/>
    <s v="N"/>
    <n v="1633975"/>
    <n v="1"/>
    <d v="2012-04-12T00:00:00"/>
    <d v="2012-04-13T00:00:00"/>
    <n v="1633975"/>
    <d v="2012-04-12T00:00:00"/>
    <d v="2012-04-13T00:00:00"/>
    <n v="15000"/>
    <x v="0"/>
    <m/>
    <s v="N"/>
    <s v="NONE"/>
    <s v="DISMISSED"/>
    <n v="2"/>
    <n v="2"/>
    <n v="9"/>
    <n v="5"/>
    <n v="6"/>
    <m/>
    <m/>
    <m/>
    <m/>
    <m/>
    <m/>
    <m/>
    <m/>
    <d v="1977-05-02T00:00:00"/>
    <s v="M"/>
    <s v="B"/>
    <s v="BLACK"/>
    <s v="NULL"/>
    <s v="183"/>
    <s v="DISMISSED"/>
    <n v="1"/>
    <s v="DISMISSED"/>
    <m/>
    <m/>
    <m/>
    <s v="POSS CS PG 1 &lt;1G"/>
    <m/>
    <s v="FS"/>
    <s v="POSS DRUG"/>
    <s v="4/9/13 fel dwi hcj 9 mos"/>
    <m/>
    <m/>
    <m/>
    <m/>
    <m/>
    <m/>
    <m/>
    <m/>
    <s v="Other/Unknown"/>
    <m/>
    <m/>
    <n v="2"/>
    <n v="2"/>
    <n v="2"/>
    <n v="34.874316939890711"/>
    <n v="0"/>
    <n v="0"/>
    <s v="NO CONVICTION"/>
    <x v="0"/>
    <s v="N"/>
    <m/>
    <s v="NO 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2647"/>
    <s v="N"/>
    <s v="N"/>
    <n v="1634042"/>
    <n v="2"/>
    <d v="2012-04-08T00:00:00"/>
    <d v="2012-04-13T00:00:00"/>
    <n v="1634042"/>
    <d v="2012-04-08T00:00:00"/>
    <d v="2012-04-13T00:00:00"/>
    <n v="30000"/>
    <x v="2"/>
    <m/>
    <s v="N"/>
    <s v="NONE"/>
    <s v="DEFERRED ADJUDICATION "/>
    <n v="6"/>
    <n v="6"/>
    <n v="1"/>
    <n v="1"/>
    <m/>
    <m/>
    <m/>
    <m/>
    <m/>
    <m/>
    <m/>
    <m/>
    <m/>
    <d v="1977-09-05T00:00:00"/>
    <s v="F"/>
    <s v="W"/>
    <s v="WHITE"/>
    <s v="NON-HISPANIC"/>
    <s v="209"/>
    <s v="DEFERRED"/>
    <n v="3"/>
    <s v="DEFERRED"/>
    <m/>
    <m/>
    <m/>
    <s v="POSS W/INT DEL CS PG1 1G &lt;4 GR"/>
    <m/>
    <s v="F2"/>
    <s v="SALE DRUG"/>
    <s v="C87AI bk 7/9/12  amend cop"/>
    <m/>
    <m/>
    <m/>
    <m/>
    <m/>
    <m/>
    <m/>
    <m/>
    <s v="Appointed Attorney"/>
    <m/>
    <m/>
    <n v="6"/>
    <n v="6"/>
    <n v="6"/>
    <n v="34.519125683060111"/>
    <n v="0"/>
    <n v="0"/>
    <s v="DEFERRED"/>
    <x v="0"/>
    <s v="N"/>
    <m/>
    <s v="DEFERRED"/>
    <s v="Y"/>
    <x v="0"/>
    <x v="0"/>
    <s v="Y"/>
    <n v="1"/>
    <n v="1"/>
    <n v="0"/>
    <n v="0"/>
    <n v="-6"/>
    <n v="0"/>
    <n v="6"/>
    <e v="#VALUE!"/>
    <n v="6"/>
    <n v="0"/>
    <n v="0"/>
    <m/>
    <s v="Y"/>
    <m/>
    <s v="0-10 DAYS"/>
    <n v="1"/>
    <x v="0"/>
  </r>
  <r>
    <n v="477"/>
    <s v="N"/>
    <s v="N"/>
    <n v="1634879"/>
    <n v="6"/>
    <d v="2012-01-06T00:00:00"/>
    <d v="2012-02-28T00:00:00"/>
    <n v="1634879"/>
    <d v="2012-01-20T00:00:00"/>
    <d v="2012-02-28T00:00:00"/>
    <n v="10000"/>
    <x v="3"/>
    <d v="2012-01-07T00:00:00"/>
    <s v="Y"/>
    <s v="SURETY"/>
    <s v="DEFENDANT CONVICTED ON ANOTHER CHARGE"/>
    <n v="40"/>
    <n v="54"/>
    <n v="2"/>
    <n v="4"/>
    <n v="1"/>
    <m/>
    <m/>
    <m/>
    <m/>
    <m/>
    <m/>
    <m/>
    <m/>
    <d v="1979-11-02T00:00:00"/>
    <s v="M"/>
    <s v="W"/>
    <s v="WHITE"/>
    <s v="NON-HISPANIC"/>
    <s v="178"/>
    <s v="CONVICTED"/>
    <n v="3"/>
    <s v="TDC"/>
    <n v="2"/>
    <m/>
    <m/>
    <s v="OBTAIN DRUGS BY FRAUD-SCH III/"/>
    <m/>
    <s v="F3"/>
    <s v="SALE DRUG"/>
    <m/>
    <m/>
    <m/>
    <m/>
    <m/>
    <m/>
    <m/>
    <m/>
    <m/>
    <s v="Appointed Attorney"/>
    <m/>
    <m/>
    <n v="40"/>
    <n v="40"/>
    <n v="54"/>
    <n v="32.112021857923494"/>
    <n v="0"/>
    <n v="0"/>
    <s v="CONVICTION"/>
    <x v="1"/>
    <s v="Y"/>
    <m/>
    <s v="CONVICTION"/>
    <s v="Y"/>
    <x v="1"/>
    <x v="0"/>
    <s v="Y"/>
    <n v="0.7407407407407407"/>
    <n v="1"/>
    <n v="0.2592592592592593"/>
    <n v="0"/>
    <n v="-40"/>
    <n v="0"/>
    <n v="-12"/>
    <e v="#VALUE!"/>
    <n v="-12"/>
    <n v="-52"/>
    <n v="0"/>
    <m/>
    <s v="Y"/>
    <m/>
    <s v="31-60 DAYS"/>
    <n v="3"/>
    <x v="0"/>
  </r>
  <r>
    <n v="1571"/>
    <s v="N"/>
    <s v="N"/>
    <n v="1635268"/>
    <n v="5"/>
    <d v="2012-02-28T00:00:00"/>
    <d v="2012-03-01T00:00:00"/>
    <n v="1635268"/>
    <d v="2012-02-28T00:00:00"/>
    <d v="2012-03-01T00:00:00"/>
    <n v="15000"/>
    <x v="0"/>
    <m/>
    <s v="N"/>
    <s v="NONE"/>
    <s v="GUILTY PLEA - NO JURY"/>
    <n v="3"/>
    <n v="3"/>
    <n v="5"/>
    <n v="2"/>
    <n v="1"/>
    <m/>
    <m/>
    <m/>
    <m/>
    <m/>
    <m/>
    <m/>
    <m/>
    <d v="1967-11-15T00:00:00"/>
    <s v="M"/>
    <s v="B"/>
    <s v="BLACK"/>
    <s v="NON-HISPANIC"/>
    <s v="174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44.196721311475407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532"/>
    <s v="N"/>
    <s v="N"/>
    <n v="1635403"/>
    <n v="1"/>
    <d v="2012-04-04T00:00:00"/>
    <d v="2012-07-10T00:00:00"/>
    <n v="1635403"/>
    <d v="2012-04-05T00:00:00"/>
    <d v="2012-04-06T00:00:00"/>
    <n v="5000"/>
    <x v="4"/>
    <d v="2012-04-06T00:00:00"/>
    <s v="Y"/>
    <s v="SURETY"/>
    <s v="DISMISSED"/>
    <n v="2"/>
    <n v="98"/>
    <n v="2"/>
    <n v="2"/>
    <n v="2"/>
    <m/>
    <m/>
    <m/>
    <m/>
    <m/>
    <m/>
    <m/>
    <m/>
    <d v="1978-07-18T00:00:00"/>
    <s v="M"/>
    <s v="B"/>
    <s v="BLACK"/>
    <s v="NULL"/>
    <s v="339"/>
    <s v="DISMISSED"/>
    <n v="4"/>
    <s v="DISMISSED"/>
    <m/>
    <m/>
    <m/>
    <s v="POSS CS PG 1 &lt;1G"/>
    <m/>
    <s v="FS"/>
    <s v="POSS DRUG"/>
    <m/>
    <m/>
    <m/>
    <m/>
    <m/>
    <m/>
    <m/>
    <m/>
    <m/>
    <s v="Hired Attorney"/>
    <m/>
    <m/>
    <n v="2"/>
    <n v="97"/>
    <n v="98"/>
    <n v="33.644808743169399"/>
    <n v="0"/>
    <n v="-95"/>
    <s v="NO CONVICTION"/>
    <x v="1"/>
    <s v="Y"/>
    <m/>
    <s v="NO CONVICTION"/>
    <s v="Y"/>
    <x v="1"/>
    <x v="0"/>
    <s v="Y"/>
    <n v="2.0408163265306121E-2"/>
    <n v="2.0618556701030927E-2"/>
    <n v="2.1039343572480662E-4"/>
    <n v="0"/>
    <n v="-2"/>
    <n v="0"/>
    <n v="2"/>
    <e v="#VALUE!"/>
    <n v="2"/>
    <n v="0"/>
    <n v="95"/>
    <m/>
    <s v="Y"/>
    <m/>
    <s v="0-10 DAYS"/>
    <n v="1"/>
    <x v="0"/>
  </r>
  <r>
    <n v="659"/>
    <s v="N"/>
    <s v="N"/>
    <n v="1635437"/>
    <n v="6"/>
    <d v="2012-01-27T00:00:00"/>
    <d v="2012-02-02T00:00:00"/>
    <n v="1635437"/>
    <d v="2012-01-27T00:00:00"/>
    <d v="2012-02-02T00:00:00"/>
    <s v="NO BOND"/>
    <x v="1"/>
    <m/>
    <s v="N"/>
    <s v="NONE"/>
    <s v="GUILTY PLEA - NO JURY"/>
    <n v="7"/>
    <n v="7"/>
    <n v="3"/>
    <n v="3"/>
    <n v="3"/>
    <m/>
    <m/>
    <m/>
    <m/>
    <m/>
    <m/>
    <m/>
    <m/>
    <d v="1980-03-01T00:00:00"/>
    <s v="M"/>
    <s v="B"/>
    <s v="BLACK"/>
    <s v="NON-HISPANIC"/>
    <s v="209"/>
    <s v="CONVICTED"/>
    <n v="3"/>
    <s v="TDC"/>
    <n v="3"/>
    <m/>
    <m/>
    <s v="POSS CS PG 1 4G - 200G"/>
    <m/>
    <s v="F2"/>
    <s v="POSS DRUG"/>
    <m/>
    <m/>
    <m/>
    <m/>
    <m/>
    <m/>
    <m/>
    <m/>
    <m/>
    <s v="Hired Attorney"/>
    <m/>
    <m/>
    <n v="7"/>
    <n v="7"/>
    <n v="7"/>
    <n v="31.84153005464481"/>
    <n v="0"/>
    <n v="0"/>
    <s v="CONVICTION"/>
    <x v="0"/>
    <s v="N"/>
    <m/>
    <s v="CONVICTION"/>
    <s v="Y"/>
    <x v="0"/>
    <x v="0"/>
    <s v="Y"/>
    <n v="1"/>
    <n v="1"/>
    <n v="0"/>
    <n v="0"/>
    <n v="-7"/>
    <n v="0"/>
    <n v="7"/>
    <e v="#VALUE!"/>
    <n v="7"/>
    <n v="0"/>
    <n v="0"/>
    <m/>
    <s v="Y"/>
    <m/>
    <s v="0-10 DAYS"/>
    <n v="1"/>
    <x v="0"/>
  </r>
  <r>
    <n v="755"/>
    <s v="N"/>
    <s v="N"/>
    <n v="1636193"/>
    <n v="6"/>
    <d v="2012-01-30T00:00:00"/>
    <d v="2012-03-21T00:00:00"/>
    <n v="1636193"/>
    <d v="2012-01-31T00:00:00"/>
    <d v="2012-03-21T00:00:00"/>
    <n v="20000"/>
    <x v="0"/>
    <m/>
    <s v="N"/>
    <s v="NONE"/>
    <s v="GUILTY PLEA - NO JURY"/>
    <n v="51"/>
    <n v="52"/>
    <n v="5"/>
    <n v="4"/>
    <n v="3"/>
    <m/>
    <m/>
    <m/>
    <m/>
    <m/>
    <m/>
    <m/>
    <m/>
    <d v="1974-10-13T00:00:00"/>
    <s v="M"/>
    <s v="B"/>
    <s v="BLACK"/>
    <s v="NON-HISPANIC"/>
    <s v="184"/>
    <s v="CONVICTED"/>
    <n v="3"/>
    <s v="TDC"/>
    <n v="2"/>
    <m/>
    <m/>
    <s v="THEFT FROM PERSON"/>
    <m/>
    <s v="FS"/>
    <s v="THEFT"/>
    <m/>
    <m/>
    <m/>
    <m/>
    <m/>
    <m/>
    <m/>
    <m/>
    <m/>
    <s v="Appointed Attorney"/>
    <m/>
    <m/>
    <n v="51"/>
    <n v="51"/>
    <n v="52"/>
    <n v="37.221311475409834"/>
    <n v="0"/>
    <n v="0"/>
    <s v="CONVICTION"/>
    <x v="0"/>
    <s v="N"/>
    <m/>
    <s v="CONVICTION"/>
    <s v="Y"/>
    <x v="0"/>
    <x v="0"/>
    <s v="Y"/>
    <n v="0.98076923076923073"/>
    <n v="1"/>
    <n v="1.9230769230769273E-2"/>
    <n v="0"/>
    <n v="-51"/>
    <n v="0"/>
    <n v="51"/>
    <e v="#VALUE!"/>
    <n v="51"/>
    <n v="0"/>
    <n v="0"/>
    <m/>
    <s v="Y"/>
    <m/>
    <s v="31-60 DAYS"/>
    <n v="3"/>
    <x v="0"/>
  </r>
  <r>
    <n v="2325"/>
    <s v="N"/>
    <s v="N"/>
    <n v="1636820"/>
    <n v="5"/>
    <d v="2012-03-28T00:00:00"/>
    <d v="2012-04-19T00:00:00"/>
    <n v="1636820"/>
    <d v="2012-03-29T00:00:00"/>
    <d v="2012-04-19T00:00:00"/>
    <n v="15000"/>
    <x v="0"/>
    <m/>
    <s v="N"/>
    <s v="NONE"/>
    <s v="GUILTY PLEA - NO JURY"/>
    <n v="22"/>
    <n v="23"/>
    <n v="11"/>
    <n v="3"/>
    <n v="6"/>
    <m/>
    <m/>
    <m/>
    <m/>
    <m/>
    <m/>
    <m/>
    <m/>
    <d v="1980-01-26T00:00:00"/>
    <s v="F"/>
    <s v="B"/>
    <s v="BLACK"/>
    <s v="NON-HISPANIC"/>
    <s v="339"/>
    <s v="CONVICTED"/>
    <n v="2"/>
    <s v="STJ"/>
    <m/>
    <n v="6"/>
    <m/>
    <s v="THEFT UNDER $1500 - 3RD OFF."/>
    <m/>
    <s v="FS"/>
    <s v="THEFT"/>
    <s v="fel aslt murd 10/9/12 stj 18 mos"/>
    <m/>
    <m/>
    <m/>
    <m/>
    <m/>
    <m/>
    <m/>
    <m/>
    <s v="Appointed Attorney"/>
    <m/>
    <m/>
    <n v="22"/>
    <n v="22"/>
    <n v="23"/>
    <n v="32.103825136612024"/>
    <n v="0"/>
    <n v="0"/>
    <s v="CONVICTION"/>
    <x v="0"/>
    <s v="N"/>
    <m/>
    <s v="CONVICTION"/>
    <s v="Y"/>
    <x v="0"/>
    <x v="0"/>
    <s v="Y"/>
    <n v="0.95652173913043481"/>
    <n v="1"/>
    <n v="4.3478260869565188E-2"/>
    <n v="0"/>
    <n v="-22"/>
    <n v="0"/>
    <n v="22"/>
    <e v="#VALUE!"/>
    <n v="22"/>
    <n v="0"/>
    <n v="0"/>
    <m/>
    <s v="Y"/>
    <m/>
    <s v="11-30 DAYS"/>
    <n v="2"/>
    <x v="0"/>
  </r>
  <r>
    <n v="1621"/>
    <s v="N"/>
    <s v="Y"/>
    <n v="1637128"/>
    <n v="6"/>
    <d v="2012-03-01T00:00:00"/>
    <d v="2013-01-24T00:00:00"/>
    <n v="1637128"/>
    <d v="2012-03-01T00:00:00"/>
    <d v="2012-03-03T00:00:00"/>
    <n v="100000"/>
    <x v="2"/>
    <d v="2012-03-03T00:00:00"/>
    <s v="Y"/>
    <s v="SURETY"/>
    <s v="GUILTY PLEA - NO JURY"/>
    <n v="86"/>
    <n v="330"/>
    <n v="2"/>
    <n v="3"/>
    <n v="2"/>
    <m/>
    <m/>
    <m/>
    <m/>
    <m/>
    <m/>
    <m/>
    <m/>
    <d v="1980-08-18T00:00:00"/>
    <s v="M"/>
    <s v="H"/>
    <s v="HISPANIC"/>
    <s v="HISPANIC"/>
    <s v="263"/>
    <s v="CONVICTED"/>
    <n v="16"/>
    <s v="TDC"/>
    <n v="25"/>
    <m/>
    <m/>
    <s v="POSS W/INT DEL CS PG1&gt;=4 &lt;200"/>
    <m/>
    <s v="F1"/>
    <s v="SALE DRUG"/>
    <m/>
    <s v="rev 10/31/12"/>
    <m/>
    <m/>
    <s v="Y"/>
    <m/>
    <m/>
    <m/>
    <m/>
    <s v="Hired Attorney"/>
    <m/>
    <m/>
    <n v="86"/>
    <n v="330"/>
    <n v="330"/>
    <n v="31.469945355191257"/>
    <n v="0"/>
    <n v="-327"/>
    <s v="CONVICTION"/>
    <x v="1"/>
    <s v="Y"/>
    <m/>
    <s v="CONVICTION"/>
    <s v="Y"/>
    <x v="0"/>
    <x v="0"/>
    <s v="Y"/>
    <n v="0.26060606060606062"/>
    <n v="9.0909090909090905E-3"/>
    <n v="-0.25151515151515152"/>
    <n v="0"/>
    <n v="-3"/>
    <n v="83"/>
    <n v="330"/>
    <n v="86"/>
    <n v="330"/>
    <n v="327"/>
    <n v="327"/>
    <m/>
    <s v="Y"/>
    <m/>
    <s v="61-90 DAYS"/>
    <n v="4"/>
    <x v="0"/>
  </r>
  <r>
    <n v="522"/>
    <s v="N"/>
    <s v="N"/>
    <n v="1638877"/>
    <n v="1"/>
    <d v="2012-01-21T00:00:00"/>
    <d v="2012-07-24T00:00:00"/>
    <n v="1638877"/>
    <d v="2012-01-21T00:00:00"/>
    <d v="2012-01-24T00:00:00"/>
    <n v="5000"/>
    <x v="4"/>
    <d v="2012-01-24T00:00:00"/>
    <s v="Y"/>
    <s v="SURETY"/>
    <s v="DISMISSED"/>
    <n v="4"/>
    <n v="186"/>
    <n v="2"/>
    <n v="0"/>
    <m/>
    <n v="1"/>
    <m/>
    <m/>
    <m/>
    <m/>
    <m/>
    <m/>
    <m/>
    <d v="1980-03-13T00:00:00"/>
    <s v="M"/>
    <s v="B"/>
    <s v="BLACK"/>
    <s v="NON-HISPANIC"/>
    <s v="351"/>
    <s v="DISMISSED"/>
    <n v="6"/>
    <s v="DISMISSED"/>
    <m/>
    <m/>
    <m/>
    <s v="ASSAULT-BOD INJ-FAMILY MEMBER"/>
    <m/>
    <s v="F3"/>
    <s v="ASLT-MURDR"/>
    <m/>
    <m/>
    <m/>
    <m/>
    <m/>
    <m/>
    <m/>
    <m/>
    <m/>
    <s v="Hired Attorney"/>
    <m/>
    <m/>
    <n v="4"/>
    <n v="186"/>
    <n v="186"/>
    <n v="31.792349726775956"/>
    <n v="0"/>
    <n v="-182"/>
    <s v="NO CONVICTION"/>
    <x v="1"/>
    <s v="Y"/>
    <m/>
    <s v="NO CONVICTION"/>
    <s v="Y"/>
    <x v="1"/>
    <x v="0"/>
    <s v="Y"/>
    <n v="2.1505376344086023E-2"/>
    <n v="2.1505376344086023E-2"/>
    <n v="0"/>
    <n v="0"/>
    <n v="-4"/>
    <n v="0"/>
    <n v="4"/>
    <e v="#VALUE!"/>
    <n v="4"/>
    <n v="0"/>
    <n v="182"/>
    <m/>
    <s v="Y"/>
    <m/>
    <s v="0-10 DAYS"/>
    <n v="1"/>
    <x v="0"/>
  </r>
  <r>
    <n v="1813"/>
    <s v="Y"/>
    <s v="N"/>
    <n v="1639176"/>
    <n v="6"/>
    <d v="2012-06-04T00:00:00"/>
    <d v="2013-06-12T00:00:00"/>
    <n v="1639176"/>
    <d v="2012-06-07T00:00:00"/>
    <d v="2013-06-12T00:00:00"/>
    <s v="NO BOND"/>
    <x v="1"/>
    <m/>
    <s v="N"/>
    <s v="NONE"/>
    <s v="GUILTY PLEA - NO JURY"/>
    <n v="371"/>
    <n v="374"/>
    <n v="0"/>
    <n v="0"/>
    <m/>
    <m/>
    <m/>
    <m/>
    <m/>
    <m/>
    <m/>
    <m/>
    <m/>
    <d v="1973-11-26T00:00:00"/>
    <s v="M"/>
    <s v="H"/>
    <s v="HISPANIC"/>
    <s v="HISPANIC"/>
    <s v="183"/>
    <s v="CONVICTED"/>
    <n v="15"/>
    <s v="TDC"/>
    <n v="3"/>
    <m/>
    <m/>
    <s v="ATT SEXUAL ASSAULT"/>
    <m/>
    <s v="F3"/>
    <s v="OTHER FEL"/>
    <s v="booked 6/7/12 charge sex asslt pend  recal detained days"/>
    <m/>
    <m/>
    <m/>
    <m/>
    <m/>
    <m/>
    <m/>
    <m/>
    <s v="Hired Attorney"/>
    <s v="sex asslt 6/4/12 pend"/>
    <m/>
    <n v="371"/>
    <n v="371"/>
    <n v="374"/>
    <n v="38.442622950819676"/>
    <n v="0"/>
    <n v="0"/>
    <s v="CONVICTION"/>
    <x v="0"/>
    <s v="N"/>
    <m/>
    <s v="CONVICTION"/>
    <s v="Y"/>
    <x v="0"/>
    <x v="0"/>
    <s v="N"/>
    <n v="0.99197860962566842"/>
    <n v="1"/>
    <n v="8.0213903743315829E-3"/>
    <n v="0"/>
    <n v="-371"/>
    <n v="0"/>
    <n v="371"/>
    <e v="#VALUE!"/>
    <n v="371"/>
    <n v="0"/>
    <n v="0"/>
    <m/>
    <s v="N"/>
    <m/>
    <s v=" &gt;1YRS&lt;2YRS"/>
    <n v="0"/>
    <x v="0"/>
  </r>
  <r>
    <n v="1228"/>
    <s v="N"/>
    <s v="N"/>
    <n v="1639354"/>
    <n v="5"/>
    <d v="2011-04-07T00:00:00"/>
    <d v="2012-03-29T00:00:00"/>
    <n v="1639354"/>
    <d v="2012-02-15T00:00:00"/>
    <d v="2012-03-29T00:00:00"/>
    <n v="5000"/>
    <x v="4"/>
    <m/>
    <s v="N"/>
    <s v="NONE"/>
    <s v="DEFENDANT CONVICTED ON ANOTHER CHARGE"/>
    <n v="44"/>
    <n v="358"/>
    <n v="3"/>
    <n v="1"/>
    <n v="2"/>
    <m/>
    <m/>
    <m/>
    <m/>
    <m/>
    <m/>
    <m/>
    <m/>
    <d v="1966-07-23T00:00:00"/>
    <s v="M"/>
    <s v="W"/>
    <s v="WHITE"/>
    <s v="NULL"/>
    <s v="184"/>
    <s v="CONVICTED"/>
    <n v="3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44"/>
    <n v="44"/>
    <n v="358"/>
    <n v="44.614754098360656"/>
    <n v="0"/>
    <n v="0"/>
    <s v="CONVICTION"/>
    <x v="0"/>
    <s v="N"/>
    <m/>
    <s v="CONVICTION"/>
    <s v="Y"/>
    <x v="0"/>
    <x v="0"/>
    <s v="Y"/>
    <n v="0.12290502793296089"/>
    <n v="1"/>
    <n v="0.87709497206703912"/>
    <n v="0"/>
    <n v="-44"/>
    <n v="0"/>
    <n v="44"/>
    <e v="#VALUE!"/>
    <n v="44"/>
    <n v="0"/>
    <n v="0"/>
    <m/>
    <s v="Y"/>
    <m/>
    <s v="31-60 DAYS"/>
    <n v="3"/>
    <x v="0"/>
  </r>
  <r>
    <n v="1428"/>
    <s v="N"/>
    <s v="N"/>
    <n v="1639984"/>
    <n v="6"/>
    <d v="2012-02-22T00:00:00"/>
    <d v="2013-11-22T00:00:00"/>
    <n v="1639984"/>
    <d v="2013-05-10T00:00:00"/>
    <d v="2013-11-22T00:00:00"/>
    <s v="NO BOND"/>
    <x v="1"/>
    <m/>
    <s v="N"/>
    <s v="NONE"/>
    <s v="GUILTY JURY VERDICT"/>
    <n v="197"/>
    <n v="640"/>
    <n v="0"/>
    <n v="1"/>
    <m/>
    <m/>
    <m/>
    <m/>
    <m/>
    <m/>
    <m/>
    <s v="S"/>
    <m/>
    <d v="1979-10-28T00:00:00"/>
    <s v="M"/>
    <s v="H"/>
    <s v="HISPANIC"/>
    <s v="NULL"/>
    <s v="338"/>
    <s v="CONVICTED"/>
    <n v="17"/>
    <s v="TDC"/>
    <n v="99"/>
    <m/>
    <m/>
    <s v="MURDER"/>
    <m/>
    <s v="F1"/>
    <s v="MURD/MANSL"/>
    <m/>
    <m/>
    <m/>
    <m/>
    <m/>
    <m/>
    <m/>
    <m/>
    <m/>
    <s v="Hired Attorney"/>
    <m/>
    <m/>
    <n v="195"/>
    <n v="197"/>
    <n v="640"/>
    <n v="32.254098360655739"/>
    <n v="0"/>
    <n v="0"/>
    <s v="CONVICTION"/>
    <x v="0"/>
    <s v="N"/>
    <m/>
    <s v="CONVICTION"/>
    <s v="Y"/>
    <x v="0"/>
    <x v="0"/>
    <s v="N"/>
    <n v="0.30781249999999999"/>
    <n v="1"/>
    <n v="0.69218749999999996"/>
    <n v="2"/>
    <n v="-197"/>
    <n v="-2"/>
    <n v="197"/>
    <n v="195"/>
    <n v="197"/>
    <n v="0"/>
    <n v="0"/>
    <m/>
    <s v="Y"/>
    <m/>
    <s v="121-365 DAYS"/>
    <n v="6"/>
    <x v="0"/>
  </r>
  <r>
    <n v="77"/>
    <s v="Y"/>
    <s v="Y"/>
    <n v="1639992"/>
    <n v="6"/>
    <d v="2012-01-04T00:00:00"/>
    <d v="2012-07-10T00:00:00"/>
    <n v="1639992"/>
    <d v="2012-06-21T00:00:00"/>
    <d v="2012-07-10T00:00:00"/>
    <n v="30000"/>
    <x v="2"/>
    <d v="2012-01-06T00:00:00"/>
    <s v="Y"/>
    <s v="SURETYPTRc"/>
    <s v="GUILTY PLEA - NO JURY"/>
    <n v="20"/>
    <n v="189"/>
    <n v="2"/>
    <n v="2"/>
    <n v="5"/>
    <m/>
    <m/>
    <m/>
    <m/>
    <m/>
    <m/>
    <m/>
    <m/>
    <d v="1979-08-23T00:00:00"/>
    <s v="M"/>
    <s v="B"/>
    <s v="BLACK"/>
    <s v="NULL"/>
    <s v="337"/>
    <s v="CONVICTED"/>
    <n v="8"/>
    <s v="TDC"/>
    <n v="7"/>
    <m/>
    <m/>
    <s v="POSS W/INT DEL CS PG1&gt;=4 &lt;200"/>
    <m/>
    <s v="F1"/>
    <s v="SALE DRUG"/>
    <s v="6/22/12 misd assaultHCJ"/>
    <m/>
    <s v="Y"/>
    <s v="BF5/24/2012"/>
    <m/>
    <m/>
    <m/>
    <d v="2012-07-06T00:00:00"/>
    <n v="329"/>
    <s v="Hired Attorney"/>
    <s v="y 6/25/12 asslt fam 60days"/>
    <m/>
    <n v="20"/>
    <n v="20"/>
    <n v="189"/>
    <n v="32.300546448087431"/>
    <n v="0"/>
    <n v="0"/>
    <s v="CONVICTION"/>
    <x v="1"/>
    <s v="Y"/>
    <m/>
    <s v="CONVICTION"/>
    <s v="Y"/>
    <x v="0"/>
    <x v="0"/>
    <s v="Y"/>
    <n v="0.10582010582010581"/>
    <n v="1"/>
    <n v="0.89417989417989419"/>
    <n v="0"/>
    <n v="-20"/>
    <n v="0"/>
    <n v="20"/>
    <e v="#VALUE!"/>
    <n v="20"/>
    <n v="0"/>
    <n v="0"/>
    <m/>
    <s v="Y"/>
    <m/>
    <s v="11-30 DAYS"/>
    <n v="2"/>
    <x v="0"/>
  </r>
  <r>
    <n v="2058"/>
    <s v="N"/>
    <s v="N"/>
    <n v="1640266"/>
    <n v="3"/>
    <d v="2012-03-18T00:00:00"/>
    <d v="2012-06-11T00:00:00"/>
    <n v="1640266"/>
    <d v="2012-03-18T00:00:00"/>
    <d v="2012-03-22T00:00:00"/>
    <n v="10000"/>
    <x v="3"/>
    <d v="2012-03-22T00:00:00"/>
    <s v="Y"/>
    <s v="SURETYPTRc"/>
    <s v="GUILTY PLEA - NO JURY"/>
    <n v="5"/>
    <n v="86"/>
    <n v="0"/>
    <n v="2"/>
    <m/>
    <m/>
    <m/>
    <m/>
    <m/>
    <m/>
    <m/>
    <m/>
    <m/>
    <d v="1961-07-19T00:00:00"/>
    <s v="M"/>
    <s v="H"/>
    <s v="HISPANIC"/>
    <s v="HISPANIC"/>
    <s v="337"/>
    <s v="CONVICTED"/>
    <n v="5"/>
    <s v="PROBATION"/>
    <m/>
    <m/>
    <m/>
    <s v="DWI 3RD OFFENDER BAC .08"/>
    <m/>
    <s v="F3"/>
    <s v="FEL DWI"/>
    <m/>
    <m/>
    <m/>
    <m/>
    <m/>
    <m/>
    <m/>
    <m/>
    <m/>
    <s v="Hired Attorney"/>
    <m/>
    <m/>
    <n v="5"/>
    <n v="86"/>
    <n v="86"/>
    <n v="50.560109289617486"/>
    <n v="0"/>
    <n v="-81"/>
    <s v="CONVICTION"/>
    <x v="1"/>
    <s v="Y"/>
    <m/>
    <s v="CONVICTION"/>
    <s v="Y"/>
    <x v="1"/>
    <x v="0"/>
    <s v="N"/>
    <n v="5.8139534883720929E-2"/>
    <n v="5.8139534883720929E-2"/>
    <n v="0"/>
    <n v="0"/>
    <n v="-5"/>
    <n v="0"/>
    <n v="5"/>
    <e v="#VALUE!"/>
    <n v="5"/>
    <n v="0"/>
    <n v="81"/>
    <m/>
    <s v="Y"/>
    <m/>
    <s v="0-10 DAYS"/>
    <n v="1"/>
    <x v="0"/>
  </r>
  <r>
    <n v="925"/>
    <s v="N"/>
    <s v="N"/>
    <n v="1640555"/>
    <n v="2"/>
    <d v="2012-02-04T00:00:00"/>
    <d v="2012-07-25T00:00:00"/>
    <n v="1640555"/>
    <s v="NOT BOOKED"/>
    <s v="NOT BOOKED"/>
    <n v="10000"/>
    <x v="3"/>
    <d v="2012-02-05T00:00:00"/>
    <s v="Y"/>
    <s v="SURETY"/>
    <s v="DEFERRED ADJUDICATION "/>
    <n v="0"/>
    <n v="173"/>
    <n v="1"/>
    <n v="1"/>
    <m/>
    <n v="1"/>
    <m/>
    <m/>
    <m/>
    <m/>
    <m/>
    <m/>
    <m/>
    <d v="1980-05-12T00:00:00"/>
    <s v="M"/>
    <s v="B"/>
    <s v="BLACK"/>
    <s v="NULL"/>
    <s v="174"/>
    <s v="DEFERRED"/>
    <n v="8"/>
    <s v="DEFERRED"/>
    <m/>
    <m/>
    <m/>
    <s v="POSS CS PG 1  1 - 4 GRAMS"/>
    <m/>
    <s v="F3"/>
    <s v="POSS DRUG"/>
    <m/>
    <m/>
    <m/>
    <m/>
    <m/>
    <m/>
    <m/>
    <m/>
    <m/>
    <s v="Hired Attorney"/>
    <m/>
    <m/>
    <n v="0"/>
    <n v="0"/>
    <n v="173"/>
    <n v="31.666666666666668"/>
    <e v="#VALUE!"/>
    <e v="#VALUE!"/>
    <s v="DEFERRED"/>
    <x v="1"/>
    <s v="Y"/>
    <m/>
    <s v="DEFERRED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315"/>
    <s v="N"/>
    <s v="N"/>
    <n v="1643315"/>
    <n v="4"/>
    <d v="2012-01-13T00:00:00"/>
    <d v="2012-11-12T00:00:00"/>
    <n v="1643315"/>
    <d v="2012-01-20T00:00:00"/>
    <d v="2012-11-12T00:00:00"/>
    <n v="20000"/>
    <x v="0"/>
    <m/>
    <s v="N"/>
    <s v="NONE"/>
    <s v="GUILTY PLEA - NO JURY"/>
    <n v="298"/>
    <n v="305"/>
    <n v="1"/>
    <n v="14"/>
    <n v="1"/>
    <m/>
    <m/>
    <m/>
    <m/>
    <m/>
    <m/>
    <m/>
    <m/>
    <d v="1980-11-26T00:00:00"/>
    <s v="M"/>
    <s v="B"/>
    <s v="BLACK"/>
    <s v="NON-HISPANIC"/>
    <s v="182"/>
    <s v="CONVICTED"/>
    <n v="9"/>
    <s v="HCJ"/>
    <m/>
    <m/>
    <n v="365"/>
    <s v="BURGLARY OF HABITATION"/>
    <m/>
    <s v="F2"/>
    <s v="BURGLARY"/>
    <m/>
    <m/>
    <m/>
    <m/>
    <m/>
    <m/>
    <m/>
    <m/>
    <m/>
    <s v="Appointed Attorney"/>
    <m/>
    <m/>
    <n v="298"/>
    <n v="298"/>
    <n v="305"/>
    <n v="31.065573770491802"/>
    <n v="0"/>
    <n v="0"/>
    <s v="CONVICTION"/>
    <x v="0"/>
    <s v="N"/>
    <m/>
    <s v="CONVICTION"/>
    <s v="Y"/>
    <x v="0"/>
    <x v="0"/>
    <s v="Y"/>
    <n v="0.9770491803278688"/>
    <n v="1"/>
    <n v="2.2950819672131195E-2"/>
    <n v="0"/>
    <n v="-298"/>
    <n v="0"/>
    <n v="298"/>
    <e v="#VALUE!"/>
    <n v="298"/>
    <n v="0"/>
    <n v="0"/>
    <m/>
    <s v="Y"/>
    <m/>
    <s v="121-365 DAYS"/>
    <n v="6"/>
    <x v="0"/>
  </r>
  <r>
    <n v="1257"/>
    <s v="N"/>
    <s v="N"/>
    <n v="1643370"/>
    <n v="2"/>
    <d v="2012-02-15T00:00:00"/>
    <d v="2012-02-20T00:00:00"/>
    <n v="1643370"/>
    <d v="2012-02-16T00:00:00"/>
    <d v="2012-02-20T00:00:00"/>
    <n v="15000"/>
    <x v="0"/>
    <m/>
    <s v="N"/>
    <s v="NONE"/>
    <s v="DEFERRED ADJUDICATION "/>
    <n v="5"/>
    <n v="6"/>
    <n v="9"/>
    <n v="11"/>
    <n v="6"/>
    <m/>
    <m/>
    <m/>
    <m/>
    <m/>
    <m/>
    <m/>
    <m/>
    <d v="1980-09-18T00:00:00"/>
    <s v="M"/>
    <s v="B"/>
    <s v="BLACK"/>
    <s v="NULL"/>
    <s v="337"/>
    <s v="DEFERRED"/>
    <n v="2"/>
    <s v="DEFERRED"/>
    <m/>
    <m/>
    <m/>
    <s v="POSS CS PG 1 &lt;1G"/>
    <m/>
    <s v="FS"/>
    <s v="POSS DRUG"/>
    <m/>
    <m/>
    <m/>
    <m/>
    <m/>
    <m/>
    <m/>
    <m/>
    <m/>
    <s v="Appointed Attorney"/>
    <m/>
    <m/>
    <n v="5"/>
    <n v="5"/>
    <n v="6"/>
    <n v="31.344262295081968"/>
    <n v="0"/>
    <n v="0"/>
    <s v="DEFERRED"/>
    <x v="0"/>
    <s v="N"/>
    <m/>
    <s v="DEFERRED"/>
    <s v="Y"/>
    <x v="0"/>
    <x v="0"/>
    <s v="Y"/>
    <n v="0.83333333333333337"/>
    <n v="1"/>
    <n v="0.16666666666666663"/>
    <n v="0"/>
    <n v="-5"/>
    <n v="0"/>
    <n v="5"/>
    <e v="#VALUE!"/>
    <n v="5"/>
    <n v="0"/>
    <n v="0"/>
    <m/>
    <s v="Y"/>
    <m/>
    <s v="0-10 DAYS"/>
    <n v="1"/>
    <x v="0"/>
  </r>
  <r>
    <n v="3098"/>
    <s v="N"/>
    <s v="N"/>
    <n v="1644824"/>
    <n v="6"/>
    <d v="2012-04-24T00:00:00"/>
    <d v="2014-01-06T00:00:00"/>
    <n v="1644824"/>
    <d v="2012-09-28T00:00:00"/>
    <d v="2014-01-06T00:00:00"/>
    <n v="70000"/>
    <x v="2"/>
    <m/>
    <s v="N"/>
    <s v="NONE"/>
    <s v="GUILTY PLEA - NO JURY"/>
    <n v="466"/>
    <n v="623"/>
    <n v="6"/>
    <n v="4"/>
    <n v="3"/>
    <m/>
    <m/>
    <m/>
    <m/>
    <m/>
    <m/>
    <m/>
    <m/>
    <d v="1978-02-23T00:00:00"/>
    <s v="M"/>
    <s v="H"/>
    <s v="HISPANIC"/>
    <s v="HISPANIC"/>
    <s v="339"/>
    <s v="CONVICTED"/>
    <n v="11"/>
    <s v="TDC"/>
    <n v="6"/>
    <m/>
    <m/>
    <s v="AGG ROBBERY-DEADLY WPN"/>
    <m/>
    <s v="F1"/>
    <s v="ROBBERY"/>
    <m/>
    <m/>
    <m/>
    <m/>
    <m/>
    <m/>
    <m/>
    <m/>
    <m/>
    <s v="Hired Attorney"/>
    <m/>
    <m/>
    <n v="466"/>
    <n v="466"/>
    <n v="623"/>
    <n v="34.095628415300546"/>
    <n v="0"/>
    <n v="0"/>
    <s v="CONVICTION"/>
    <x v="0"/>
    <s v="N"/>
    <m/>
    <s v="CONVICTION"/>
    <s v="Y"/>
    <x v="0"/>
    <x v="0"/>
    <s v="Y"/>
    <n v="0.7479935794542536"/>
    <n v="1"/>
    <n v="0.2520064205457464"/>
    <n v="0"/>
    <n v="-466"/>
    <n v="0"/>
    <n v="466"/>
    <n v="6"/>
    <n v="466"/>
    <n v="0"/>
    <n v="0"/>
    <m/>
    <s v="Y"/>
    <m/>
    <s v=" &gt;1YRS&lt;2YRS"/>
    <n v="0"/>
    <x v="0"/>
  </r>
  <r>
    <n v="2664"/>
    <s v="N"/>
    <s v="N"/>
    <n v="1648744"/>
    <n v="2"/>
    <d v="2012-04-09T00:00:00"/>
    <d v="2012-05-30T00:00:00"/>
    <n v="1648744"/>
    <d v="2012-04-11T00:00:00"/>
    <d v="2012-05-30T00:00:00"/>
    <n v="35000"/>
    <x v="2"/>
    <m/>
    <s v="N"/>
    <s v="NONE"/>
    <s v="DEFERRED ADJUDICATION "/>
    <n v="50"/>
    <n v="52"/>
    <n v="1"/>
    <n v="3"/>
    <m/>
    <m/>
    <m/>
    <m/>
    <m/>
    <m/>
    <m/>
    <m/>
    <m/>
    <d v="1981-02-18T00:00:00"/>
    <s v="M"/>
    <s v="W"/>
    <s v="WHITE"/>
    <s v="NON-HISPANIC"/>
    <s v="230"/>
    <s v="DEFERRED"/>
    <n v="5"/>
    <s v="DEFERRED"/>
    <m/>
    <m/>
    <m/>
    <s v="ASSAULT-BOD INJ-FAMILY MEMBER"/>
    <m/>
    <s v="F3"/>
    <s v="ASLT-MURDR"/>
    <m/>
    <m/>
    <m/>
    <m/>
    <m/>
    <m/>
    <m/>
    <m/>
    <m/>
    <s v="Hired Attorney"/>
    <m/>
    <m/>
    <n v="50"/>
    <n v="50"/>
    <n v="52"/>
    <n v="31.07377049180328"/>
    <n v="0"/>
    <n v="0"/>
    <s v="DEFERRED"/>
    <x v="0"/>
    <s v="N"/>
    <m/>
    <s v="DEFERRED"/>
    <s v="Y"/>
    <x v="0"/>
    <x v="0"/>
    <s v="Y"/>
    <n v="0.96153846153846156"/>
    <n v="1"/>
    <n v="3.8461538461538436E-2"/>
    <n v="0"/>
    <n v="-50"/>
    <n v="0"/>
    <n v="50"/>
    <e v="#VALUE!"/>
    <n v="50"/>
    <n v="0"/>
    <n v="0"/>
    <m/>
    <s v="Y"/>
    <m/>
    <s v="31-60 DAYS"/>
    <n v="3"/>
    <x v="0"/>
  </r>
  <r>
    <n v="1001"/>
    <s v="N"/>
    <s v="N"/>
    <n v="1649757"/>
    <n v="5"/>
    <d v="2012-02-07T00:00:00"/>
    <d v="2012-07-25T00:00:00"/>
    <n v="1649757"/>
    <d v="2012-02-07T00:00:00"/>
    <d v="2012-07-25T00:00:00"/>
    <n v="15000"/>
    <x v="0"/>
    <m/>
    <s v="N"/>
    <s v="NONE"/>
    <s v="GUILTY PLEA - NO JURY"/>
    <n v="170"/>
    <n v="170"/>
    <n v="6"/>
    <n v="3"/>
    <n v="5"/>
    <m/>
    <m/>
    <m/>
    <m/>
    <m/>
    <m/>
    <m/>
    <m/>
    <d v="1975-12-07T00:00:00"/>
    <s v="M"/>
    <s v="B"/>
    <s v="BLACK"/>
    <s v="NON-HISPANIC"/>
    <s v="208"/>
    <s v="CONVICTED"/>
    <n v="5"/>
    <s v="STJ"/>
    <m/>
    <n v="10"/>
    <m/>
    <s v="TAMPER/FABRICATE EVIDENCE"/>
    <m/>
    <s v="F3"/>
    <s v="OTHER FEL"/>
    <m/>
    <m/>
    <m/>
    <m/>
    <m/>
    <m/>
    <m/>
    <m/>
    <m/>
    <s v="Appointed Attorney"/>
    <m/>
    <m/>
    <n v="170"/>
    <n v="170"/>
    <n v="170"/>
    <n v="36.095628415300546"/>
    <n v="0"/>
    <n v="0"/>
    <s v="CONVICTION"/>
    <x v="0"/>
    <s v="N"/>
    <m/>
    <s v="CONVICTION"/>
    <s v="Y"/>
    <x v="0"/>
    <x v="0"/>
    <s v="Y"/>
    <n v="1"/>
    <n v="1"/>
    <n v="0"/>
    <n v="0"/>
    <n v="-170"/>
    <n v="0"/>
    <n v="170"/>
    <e v="#VALUE!"/>
    <n v="170"/>
    <n v="0"/>
    <n v="0"/>
    <m/>
    <s v="Y"/>
    <m/>
    <s v="121-365 DAYS"/>
    <n v="6"/>
    <x v="0"/>
  </r>
  <r>
    <n v="187"/>
    <s v="N"/>
    <s v="N"/>
    <n v="1653126"/>
    <n v="6"/>
    <d v="2012-01-09T00:00:00"/>
    <d v="2012-07-27T00:00:00"/>
    <n v="1653126"/>
    <d v="2012-01-09T00:00:00"/>
    <d v="2012-07-27T00:00:00"/>
    <n v="35000"/>
    <x v="2"/>
    <m/>
    <s v="N"/>
    <s v="NONE"/>
    <s v="GUILTY PLEA - NO JURY"/>
    <n v="201"/>
    <n v="201"/>
    <n v="1"/>
    <n v="2"/>
    <m/>
    <m/>
    <m/>
    <m/>
    <m/>
    <m/>
    <m/>
    <m/>
    <m/>
    <d v="1970-04-04T00:00:00"/>
    <s v="M"/>
    <s v="H"/>
    <s v="HISPANIC"/>
    <s v="HISPANIC"/>
    <s v="337"/>
    <s v="CONVICTED"/>
    <n v="8"/>
    <s v="TDC"/>
    <n v="2"/>
    <m/>
    <m/>
    <s v="DWI 3RD OFFENDER BAC .08"/>
    <m/>
    <s v="F3"/>
    <s v="FEL DWI"/>
    <m/>
    <m/>
    <m/>
    <m/>
    <m/>
    <m/>
    <m/>
    <m/>
    <m/>
    <s v="Hired Attorney"/>
    <m/>
    <m/>
    <n v="201"/>
    <n v="201"/>
    <n v="201"/>
    <n v="41.680327868852459"/>
    <n v="0"/>
    <n v="0"/>
    <s v="CONVICTION"/>
    <x v="0"/>
    <s v="N"/>
    <m/>
    <s v="CONVICTION"/>
    <s v="Y"/>
    <x v="0"/>
    <x v="0"/>
    <s v="Y"/>
    <n v="1"/>
    <n v="1"/>
    <n v="0"/>
    <n v="0"/>
    <n v="-201"/>
    <n v="0"/>
    <n v="201"/>
    <e v="#VALUE!"/>
    <n v="201"/>
    <n v="0"/>
    <n v="0"/>
    <m/>
    <s v="Y"/>
    <m/>
    <s v="121-365 DAYS"/>
    <n v="6"/>
    <x v="0"/>
  </r>
  <r>
    <n v="832"/>
    <s v="N"/>
    <s v="N"/>
    <n v="1655010"/>
    <n v="4"/>
    <d v="2012-02-01T00:00:00"/>
    <d v="2012-03-23T00:00:00"/>
    <n v="1655010"/>
    <d v="2012-02-01T00:00:00"/>
    <d v="2012-03-23T00:00:00"/>
    <s v="NO BOND"/>
    <x v="1"/>
    <m/>
    <s v="N"/>
    <s v="NONE"/>
    <s v="GUILTY PLEA - NO JURY"/>
    <n v="52"/>
    <n v="52"/>
    <n v="0"/>
    <n v="1"/>
    <m/>
    <m/>
    <m/>
    <m/>
    <m/>
    <m/>
    <m/>
    <m/>
    <m/>
    <d v="1971-09-06T00:00:00"/>
    <s v="F"/>
    <s v="W"/>
    <s v="WHITE"/>
    <s v="NULL"/>
    <s v="178"/>
    <s v="CONVICTED"/>
    <n v="4"/>
    <s v="HCJ"/>
    <m/>
    <m/>
    <n v="90"/>
    <s v="FORGERY"/>
    <m/>
    <s v="FS"/>
    <s v="OTHER FEL"/>
    <m/>
    <m/>
    <m/>
    <m/>
    <m/>
    <m/>
    <m/>
    <m/>
    <m/>
    <s v="Appointed Attorney"/>
    <m/>
    <m/>
    <n v="52"/>
    <n v="52"/>
    <n v="52"/>
    <n v="40.322404371584696"/>
    <n v="0"/>
    <n v="0"/>
    <s v="CONVICTION"/>
    <x v="0"/>
    <s v="N"/>
    <m/>
    <s v="CONVICTION"/>
    <s v="Y"/>
    <x v="0"/>
    <x v="0"/>
    <s v="N"/>
    <n v="1"/>
    <n v="1"/>
    <n v="0"/>
    <n v="0"/>
    <n v="-52"/>
    <n v="0"/>
    <n v="52"/>
    <e v="#VALUE!"/>
    <n v="52"/>
    <n v="0"/>
    <n v="0"/>
    <m/>
    <s v="Y"/>
    <m/>
    <s v="31-60 DAYS"/>
    <n v="3"/>
    <x v="0"/>
  </r>
  <r>
    <n v="1887"/>
    <s v="N"/>
    <s v="N"/>
    <n v="1655045"/>
    <n v="5"/>
    <d v="2012-03-10T00:00:00"/>
    <d v="2012-05-01T00:00:00"/>
    <n v="1655045"/>
    <d v="2012-03-11T00:00:00"/>
    <d v="2012-05-01T00:00:00"/>
    <n v="15000"/>
    <x v="0"/>
    <m/>
    <s v="N"/>
    <s v="NONE"/>
    <s v="GUILTY PLEA - NO JURY"/>
    <n v="52"/>
    <n v="53"/>
    <n v="2"/>
    <n v="3"/>
    <n v="1"/>
    <m/>
    <m/>
    <m/>
    <m/>
    <m/>
    <m/>
    <m/>
    <m/>
    <d v="1977-11-25T00:00:00"/>
    <s v="F"/>
    <s v="W"/>
    <s v="WHITE"/>
    <s v="NULL"/>
    <s v="263"/>
    <s v="CONVICTED"/>
    <n v="3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52"/>
    <n v="52"/>
    <n v="53"/>
    <n v="34.21857923497268"/>
    <n v="0"/>
    <n v="0"/>
    <s v="CONVICTION"/>
    <x v="0"/>
    <s v="N"/>
    <m/>
    <s v="CONVICTION"/>
    <s v="Y"/>
    <x v="0"/>
    <x v="0"/>
    <s v="Y"/>
    <n v="0.98113207547169812"/>
    <n v="1"/>
    <n v="1.8867924528301883E-2"/>
    <n v="0"/>
    <n v="-52"/>
    <n v="0"/>
    <n v="52"/>
    <e v="#VALUE!"/>
    <n v="52"/>
    <n v="0"/>
    <n v="0"/>
    <m/>
    <s v="Y"/>
    <m/>
    <s v="31-60 DAYS"/>
    <n v="3"/>
    <x v="0"/>
  </r>
  <r>
    <n v="392"/>
    <s v="N"/>
    <s v="N"/>
    <n v="1657744"/>
    <n v="5"/>
    <d v="2012-01-17T00:00:00"/>
    <d v="2012-02-24T00:00:00"/>
    <n v="1657744"/>
    <d v="2012-01-17T00:00:00"/>
    <d v="2012-02-24T00:00:00"/>
    <n v="5000"/>
    <x v="4"/>
    <m/>
    <s v="N"/>
    <s v="NONE"/>
    <s v="GUILTY PLEA - NO JURY"/>
    <n v="39"/>
    <n v="39"/>
    <n v="1"/>
    <n v="4"/>
    <m/>
    <m/>
    <m/>
    <m/>
    <m/>
    <m/>
    <m/>
    <m/>
    <m/>
    <d v="1972-11-20T00:00:00"/>
    <s v="M"/>
    <s v="H"/>
    <s v="HISPANIC"/>
    <s v="HISPANIC"/>
    <s v="230"/>
    <s v="CONVICTED"/>
    <n v="3"/>
    <s v="STJ"/>
    <m/>
    <n v="6"/>
    <m/>
    <s v="CRIM MISCH &gt;=$1500 &lt;$20K"/>
    <m/>
    <s v="FS"/>
    <s v="OTHER FEL"/>
    <m/>
    <m/>
    <m/>
    <m/>
    <m/>
    <m/>
    <m/>
    <m/>
    <m/>
    <s v="Appointed Attorney"/>
    <m/>
    <m/>
    <n v="39"/>
    <n v="39"/>
    <n v="39"/>
    <n v="39.076502732240435"/>
    <n v="0"/>
    <n v="0"/>
    <s v="CONVICTION"/>
    <x v="0"/>
    <s v="N"/>
    <m/>
    <s v="CONVICTION"/>
    <s v="Y"/>
    <x v="0"/>
    <x v="0"/>
    <s v="Y"/>
    <n v="1"/>
    <n v="1"/>
    <n v="0"/>
    <n v="0"/>
    <n v="-39"/>
    <n v="0"/>
    <n v="39"/>
    <e v="#VALUE!"/>
    <n v="39"/>
    <n v="0"/>
    <n v="0"/>
    <m/>
    <s v="Y"/>
    <m/>
    <s v="31-60 DAYS"/>
    <n v="3"/>
    <x v="0"/>
  </r>
  <r>
    <n v="1055"/>
    <s v="N"/>
    <s v="N"/>
    <n v="1657907"/>
    <n v="4"/>
    <d v="2012-02-09T00:00:00"/>
    <d v="2012-03-29T00:00:00"/>
    <n v="1657907"/>
    <d v="2012-02-09T00:00:00"/>
    <d v="2012-02-14T00:00:00"/>
    <n v="2000"/>
    <x v="5"/>
    <d v="2012-02-14T00:00:00"/>
    <s v="Y"/>
    <s v="SURETY"/>
    <s v="GUILTY PLEA - NO JURY"/>
    <n v="6"/>
    <n v="50"/>
    <n v="0"/>
    <n v="11"/>
    <m/>
    <m/>
    <m/>
    <m/>
    <m/>
    <m/>
    <m/>
    <m/>
    <m/>
    <d v="1980-09-15T00:00:00"/>
    <s v="M"/>
    <s v="W"/>
    <s v="WHITE"/>
    <s v="NON-HISPANIC"/>
    <s v="232"/>
    <s v="CONVICTED"/>
    <n v="4"/>
    <s v="HCJ"/>
    <m/>
    <m/>
    <n v="180"/>
    <s v="THEFT UNDER $1500 - 3RD OFF."/>
    <m/>
    <s v="FS"/>
    <s v="THEFT"/>
    <m/>
    <m/>
    <m/>
    <m/>
    <m/>
    <m/>
    <m/>
    <m/>
    <m/>
    <s v="Public Defender"/>
    <m/>
    <m/>
    <n v="6"/>
    <n v="50"/>
    <n v="50"/>
    <n v="31.33606557377049"/>
    <n v="0"/>
    <n v="-44"/>
    <s v="CONVICTION"/>
    <x v="1"/>
    <s v="Y"/>
    <m/>
    <s v="CONVICTION"/>
    <s v="Y"/>
    <x v="1"/>
    <x v="0"/>
    <s v="N"/>
    <n v="0.12"/>
    <n v="0.12"/>
    <n v="0"/>
    <n v="0"/>
    <n v="-6"/>
    <n v="0"/>
    <n v="6"/>
    <e v="#VALUE!"/>
    <n v="6"/>
    <n v="0"/>
    <n v="44"/>
    <m/>
    <s v="Y"/>
    <m/>
    <s v="0-10 DAYS"/>
    <n v="1"/>
    <x v="0"/>
  </r>
  <r>
    <n v="3052"/>
    <s v="N"/>
    <s v="N"/>
    <n v="1659258"/>
    <n v="1"/>
    <d v="2012-04-23T00:00:00"/>
    <d v="2012-04-24T00:00:00"/>
    <n v="1659258"/>
    <d v="2012-04-23T00:00:00"/>
    <d v="2012-04-24T00:00:00"/>
    <n v="2000"/>
    <x v="5"/>
    <m/>
    <s v="N"/>
    <s v="NONE"/>
    <s v="DISMISSED"/>
    <n v="2"/>
    <n v="2"/>
    <n v="0"/>
    <n v="0"/>
    <m/>
    <m/>
    <m/>
    <m/>
    <m/>
    <m/>
    <m/>
    <m/>
    <m/>
    <d v="1978-10-26T00:00:00"/>
    <s v="F"/>
    <s v="B"/>
    <s v="BLACK"/>
    <s v="NON-HISPANIC"/>
    <s v="179"/>
    <s v="DISMISSED"/>
    <n v="1"/>
    <s v="DISMISSED"/>
    <m/>
    <m/>
    <m/>
    <s v="POSS CS PG 1 &lt;1G"/>
    <m/>
    <s v="FS"/>
    <s v="POSS DRUG"/>
    <m/>
    <m/>
    <m/>
    <m/>
    <m/>
    <m/>
    <m/>
    <m/>
    <m/>
    <s v="Public Defender"/>
    <m/>
    <m/>
    <n v="2"/>
    <n v="2"/>
    <n v="2"/>
    <n v="33.423497267759565"/>
    <n v="0"/>
    <n v="0"/>
    <s v="NO CONVICTION"/>
    <x v="0"/>
    <s v="N"/>
    <m/>
    <s v="NO CONVICTION"/>
    <s v="Y"/>
    <x v="0"/>
    <x v="0"/>
    <s v="N"/>
    <n v="1"/>
    <n v="1"/>
    <n v="0"/>
    <n v="0"/>
    <n v="-2"/>
    <n v="0"/>
    <n v="2"/>
    <e v="#VALUE!"/>
    <n v="2"/>
    <n v="0"/>
    <n v="0"/>
    <m/>
    <s v="N"/>
    <m/>
    <s v="0-10 DAYS"/>
    <n v="1"/>
    <x v="0"/>
  </r>
  <r>
    <n v="521"/>
    <s v="N"/>
    <s v="N"/>
    <n v="1659825"/>
    <n v="1"/>
    <d v="2012-01-21T00:00:00"/>
    <d v="2012-05-30T00:00:00"/>
    <n v="1659825"/>
    <d v="2012-01-21T00:00:00"/>
    <d v="2012-01-22T00:00:00"/>
    <n v="10000"/>
    <x v="3"/>
    <d v="2012-01-22T00:00:00"/>
    <s v="Y"/>
    <s v="SURETYPTRc"/>
    <s v="DISMISSED"/>
    <n v="2"/>
    <n v="131"/>
    <n v="1"/>
    <n v="3"/>
    <n v="1"/>
    <m/>
    <m/>
    <m/>
    <m/>
    <m/>
    <m/>
    <m/>
    <m/>
    <d v="1977-06-23T00:00:00"/>
    <s v="M"/>
    <s v="B"/>
    <s v="BLACK"/>
    <s v="NULL"/>
    <s v="262"/>
    <s v="DISMISSED"/>
    <n v="8"/>
    <s v="DISMISSED"/>
    <m/>
    <m/>
    <m/>
    <s v="POSS W/INT DEL CS PG1 1G &lt;4 GR"/>
    <m/>
    <s v="F2"/>
    <s v="SALE DRUG"/>
    <m/>
    <m/>
    <m/>
    <m/>
    <m/>
    <m/>
    <m/>
    <m/>
    <m/>
    <s v="Hired Attorney"/>
    <m/>
    <m/>
    <n v="2"/>
    <n v="131"/>
    <n v="131"/>
    <n v="34.508196721311478"/>
    <n v="0"/>
    <n v="-129"/>
    <s v="NO CONVICTION"/>
    <x v="1"/>
    <s v="Y"/>
    <m/>
    <s v="NO CONVICTION"/>
    <s v="Y"/>
    <x v="1"/>
    <x v="0"/>
    <s v="Y"/>
    <n v="1.5267175572519083E-2"/>
    <n v="1.5267175572519083E-2"/>
    <n v="0"/>
    <n v="0"/>
    <n v="-2"/>
    <n v="0"/>
    <n v="2"/>
    <e v="#VALUE!"/>
    <n v="2"/>
    <n v="0"/>
    <n v="129"/>
    <m/>
    <s v="Y"/>
    <m/>
    <s v="0-10 DAYS"/>
    <n v="1"/>
    <x v="0"/>
  </r>
  <r>
    <n v="1986"/>
    <s v="N"/>
    <s v="N"/>
    <n v="1660126"/>
    <n v="1"/>
    <d v="2012-03-15T00:00:00"/>
    <d v="2012-05-07T00:00:00"/>
    <n v="1660126"/>
    <d v="2012-03-15T00:00:00"/>
    <d v="2012-03-16T00:00:00"/>
    <n v="5000"/>
    <x v="4"/>
    <d v="2012-03-16T00:00:00"/>
    <s v="Y"/>
    <s v="SURETY"/>
    <s v="DISMISSED"/>
    <n v="2"/>
    <n v="54"/>
    <n v="1"/>
    <n v="1"/>
    <n v="1"/>
    <m/>
    <m/>
    <m/>
    <m/>
    <m/>
    <m/>
    <m/>
    <m/>
    <d v="1979-09-08T00:00:00"/>
    <s v="F"/>
    <s v="B"/>
    <s v="BLACK"/>
    <s v="NON-HISPANIC"/>
    <s v="177"/>
    <s v="DISMISSED"/>
    <n v="3"/>
    <s v="DISMISSED"/>
    <m/>
    <m/>
    <m/>
    <s v="POSS CS PG 1 &lt;1G"/>
    <m/>
    <s v="FS"/>
    <s v="POSS DRUG"/>
    <m/>
    <m/>
    <m/>
    <m/>
    <m/>
    <m/>
    <m/>
    <m/>
    <m/>
    <s v="Hired Attorney"/>
    <m/>
    <m/>
    <n v="2"/>
    <n v="54"/>
    <n v="54"/>
    <n v="32.450819672131146"/>
    <n v="0"/>
    <n v="-52"/>
    <s v="NO CONVICTION"/>
    <x v="1"/>
    <s v="Y"/>
    <m/>
    <s v="NO CONVICTION"/>
    <s v="Y"/>
    <x v="1"/>
    <x v="0"/>
    <s v="Y"/>
    <n v="3.7037037037037035E-2"/>
    <n v="3.7037037037037035E-2"/>
    <n v="0"/>
    <n v="0"/>
    <n v="-2"/>
    <n v="0"/>
    <n v="2"/>
    <e v="#VALUE!"/>
    <n v="2"/>
    <n v="0"/>
    <n v="52"/>
    <m/>
    <s v="Y"/>
    <m/>
    <s v="0-10 DAYS"/>
    <n v="1"/>
    <x v="0"/>
  </r>
  <r>
    <n v="236"/>
    <s v="N"/>
    <s v="N"/>
    <n v="1660921"/>
    <n v="6"/>
    <d v="2012-01-11T00:00:00"/>
    <d v="2012-08-22T00:00:00"/>
    <n v="1660921"/>
    <d v="2012-01-11T00:00:00"/>
    <d v="2012-01-14T00:00:00"/>
    <n v="25000"/>
    <x v="2"/>
    <d v="2012-01-14T00:00:00"/>
    <s v="Y"/>
    <s v="SURETY"/>
    <s v="GUILTY PLEA - NO JURY"/>
    <n v="4"/>
    <n v="225"/>
    <n v="5"/>
    <n v="2"/>
    <n v="3"/>
    <m/>
    <m/>
    <m/>
    <m/>
    <m/>
    <m/>
    <m/>
    <m/>
    <d v="1976-07-15T00:00:00"/>
    <s v="M"/>
    <s v="B"/>
    <s v="BLACK"/>
    <s v="NON-HISPANIC"/>
    <s v="351"/>
    <s v="CONVICTED"/>
    <n v="9"/>
    <s v="TDC"/>
    <n v="2"/>
    <m/>
    <m/>
    <s v="POSS CS PG 2 4G - 400G"/>
    <m/>
    <s v="F2"/>
    <s v="POSS DRUG"/>
    <m/>
    <m/>
    <m/>
    <m/>
    <m/>
    <m/>
    <m/>
    <m/>
    <m/>
    <s v="Hired Attorney"/>
    <m/>
    <m/>
    <n v="4"/>
    <n v="225"/>
    <n v="225"/>
    <n v="35.418032786885249"/>
    <n v="0"/>
    <n v="-221"/>
    <s v="CONVICTION"/>
    <x v="1"/>
    <s v="Y"/>
    <m/>
    <s v="CONVICTION"/>
    <s v="Y"/>
    <x v="1"/>
    <x v="0"/>
    <s v="Y"/>
    <n v="1.7777777777777778E-2"/>
    <n v="1.7777777777777778E-2"/>
    <n v="0"/>
    <n v="0"/>
    <n v="-4"/>
    <n v="0"/>
    <n v="4"/>
    <e v="#VALUE!"/>
    <n v="4"/>
    <n v="0"/>
    <n v="221"/>
    <m/>
    <s v="Y"/>
    <m/>
    <s v="0-10 DAYS"/>
    <n v="1"/>
    <x v="0"/>
  </r>
  <r>
    <n v="23"/>
    <s v="N"/>
    <s v="N"/>
    <n v="1661548"/>
    <n v="5"/>
    <d v="2012-01-02T00:00:00"/>
    <d v="2012-05-17T00:00:00"/>
    <n v="1661548"/>
    <d v="2012-01-02T00:00:00"/>
    <d v="2012-05-17T00:00:00"/>
    <n v="15000"/>
    <x v="0"/>
    <m/>
    <s v="N"/>
    <s v="NONE"/>
    <s v="GUILTY PLEA - NO JURY"/>
    <n v="137"/>
    <n v="137"/>
    <n v="8"/>
    <n v="6"/>
    <m/>
    <n v="1"/>
    <m/>
    <m/>
    <m/>
    <m/>
    <m/>
    <m/>
    <m/>
    <d v="1977-08-12T00:00:00"/>
    <s v="F"/>
    <s v="B"/>
    <s v="BLACK"/>
    <s v="NON-HISPANIC"/>
    <s v="178"/>
    <s v="CONVICTED"/>
    <n v="10"/>
    <s v="STJ"/>
    <m/>
    <n v="6"/>
    <m/>
    <s v="POSS CS PG 1 &lt;1G"/>
    <m/>
    <s v="FS"/>
    <s v="POSS DRUG"/>
    <m/>
    <m/>
    <m/>
    <m/>
    <m/>
    <m/>
    <m/>
    <m/>
    <m/>
    <s v="Appointed Attorney"/>
    <m/>
    <m/>
    <n v="137"/>
    <n v="137"/>
    <n v="137"/>
    <n v="34.319672131147541"/>
    <n v="0"/>
    <n v="0"/>
    <s v="CONVICTION"/>
    <x v="0"/>
    <s v="N"/>
    <m/>
    <s v="CONVICTION"/>
    <s v="Y"/>
    <x v="0"/>
    <x v="0"/>
    <s v="Y"/>
    <n v="1"/>
    <n v="1"/>
    <n v="0"/>
    <n v="0"/>
    <n v="-137"/>
    <n v="0"/>
    <n v="137"/>
    <e v="#VALUE!"/>
    <n v="137"/>
    <n v="0"/>
    <n v="0"/>
    <m/>
    <s v="Y"/>
    <m/>
    <s v="121-365 DAYS"/>
    <n v="6"/>
    <x v="0"/>
  </r>
  <r>
    <n v="1336"/>
    <s v="N"/>
    <s v="N"/>
    <n v="1662133"/>
    <n v="2"/>
    <d v="2012-02-18T00:00:00"/>
    <d v="2012-04-13T00:00:00"/>
    <n v="1662133"/>
    <d v="2012-02-18T00:00:00"/>
    <d v="2012-04-13T00:00:00"/>
    <n v="10000"/>
    <x v="3"/>
    <m/>
    <s v="N"/>
    <s v="NONE"/>
    <s v="DEFERRED ADJUDICATION "/>
    <n v="56"/>
    <n v="56"/>
    <n v="1"/>
    <n v="11"/>
    <m/>
    <m/>
    <m/>
    <m/>
    <m/>
    <m/>
    <m/>
    <m/>
    <m/>
    <d v="1980-12-20T00:00:00"/>
    <s v="M"/>
    <s v="W"/>
    <s v="WHITE"/>
    <s v="NON-HISPANIC"/>
    <s v="179"/>
    <s v="DEFERRED"/>
    <n v="4"/>
    <s v="DEFERRED"/>
    <m/>
    <m/>
    <m/>
    <s v="ATT RETALIATION"/>
    <m/>
    <s v="FS"/>
    <s v="OTHER FEL"/>
    <m/>
    <m/>
    <m/>
    <m/>
    <m/>
    <m/>
    <m/>
    <m/>
    <m/>
    <s v="Appointed Attorney"/>
    <m/>
    <m/>
    <n v="56"/>
    <n v="56"/>
    <n v="56"/>
    <n v="31.098360655737704"/>
    <n v="0"/>
    <n v="0"/>
    <s v="DEFERRED"/>
    <x v="0"/>
    <s v="N"/>
    <m/>
    <s v="DEFERRED"/>
    <s v="Y"/>
    <x v="0"/>
    <x v="0"/>
    <s v="Y"/>
    <n v="1"/>
    <n v="1"/>
    <n v="0"/>
    <n v="0"/>
    <n v="-56"/>
    <n v="0"/>
    <n v="56"/>
    <e v="#VALUE!"/>
    <n v="56"/>
    <n v="0"/>
    <n v="0"/>
    <m/>
    <s v="Y"/>
    <m/>
    <s v="31-60 DAYS"/>
    <n v="3"/>
    <x v="0"/>
  </r>
  <r>
    <n v="773"/>
    <s v="N"/>
    <s v="N"/>
    <n v="1662154"/>
    <n v="4"/>
    <d v="2012-01-31T00:00:00"/>
    <d v="2012-04-13T00:00:00"/>
    <n v="1662154"/>
    <d v="2012-01-31T00:00:00"/>
    <d v="2012-04-13T00:00:00"/>
    <n v="10000"/>
    <x v="3"/>
    <m/>
    <s v="N"/>
    <s v="NONE"/>
    <s v="GUILTY PLEA - NO JURY"/>
    <n v="74"/>
    <n v="74"/>
    <n v="2"/>
    <n v="1"/>
    <n v="1"/>
    <m/>
    <m/>
    <m/>
    <m/>
    <m/>
    <m/>
    <m/>
    <m/>
    <d v="1965-07-15T00:00:00"/>
    <s v="M"/>
    <s v="B"/>
    <s v="BLACK"/>
    <s v="NON-HISPANIC"/>
    <s v="177"/>
    <s v="CONVICTED"/>
    <n v="8"/>
    <s v="HCJ"/>
    <m/>
    <m/>
    <n v="180"/>
    <s v="POSS CS PG 1 &lt;1G"/>
    <m/>
    <s v="FS"/>
    <s v="POSS DRUG"/>
    <m/>
    <m/>
    <m/>
    <m/>
    <m/>
    <m/>
    <m/>
    <m/>
    <m/>
    <s v="Appointed Attorney"/>
    <m/>
    <m/>
    <n v="74"/>
    <n v="74"/>
    <n v="74"/>
    <n v="46.450819672131146"/>
    <n v="0"/>
    <n v="0"/>
    <s v="CONVICTION"/>
    <x v="0"/>
    <s v="N"/>
    <m/>
    <s v="CONVICTION"/>
    <s v="Y"/>
    <x v="0"/>
    <x v="0"/>
    <s v="Y"/>
    <n v="1"/>
    <n v="1"/>
    <n v="0"/>
    <n v="0"/>
    <n v="-74"/>
    <n v="0"/>
    <n v="74"/>
    <e v="#VALUE!"/>
    <n v="74"/>
    <n v="0"/>
    <n v="0"/>
    <m/>
    <s v="Y"/>
    <m/>
    <s v="61-90 DAYS"/>
    <n v="4"/>
    <x v="0"/>
  </r>
  <r>
    <n v="2835"/>
    <s v="N"/>
    <s v="N"/>
    <n v="1664963"/>
    <n v="1"/>
    <d v="2012-04-14T00:00:00"/>
    <d v="2012-04-16T00:00:00"/>
    <n v="1664963"/>
    <d v="2012-04-14T00:00:00"/>
    <d v="2012-04-16T00:00:00"/>
    <n v="10000"/>
    <x v="3"/>
    <m/>
    <s v="N"/>
    <s v="NONE"/>
    <s v="DISMISSED"/>
    <n v="3"/>
    <n v="3"/>
    <n v="1"/>
    <n v="2"/>
    <n v="1"/>
    <m/>
    <m/>
    <m/>
    <m/>
    <m/>
    <m/>
    <m/>
    <m/>
    <d v="1979-06-16T00:00:00"/>
    <s v="M"/>
    <s v="B"/>
    <s v="BLACK"/>
    <s v="NULL"/>
    <s v="183"/>
    <s v="DISMISSED"/>
    <n v="1"/>
    <s v="DISMISSED"/>
    <m/>
    <m/>
    <m/>
    <s v="RETALIATION"/>
    <m/>
    <s v="F3"/>
    <s v="OTHER FEL"/>
    <m/>
    <m/>
    <m/>
    <m/>
    <m/>
    <m/>
    <m/>
    <m/>
    <m/>
    <s v="Appointed Attorney"/>
    <m/>
    <m/>
    <n v="3"/>
    <n v="3"/>
    <n v="3"/>
    <n v="32.76229508196721"/>
    <n v="0"/>
    <n v="0"/>
    <s v="NO CONVICTION"/>
    <x v="0"/>
    <s v="N"/>
    <m/>
    <s v="NO 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517"/>
    <s v="N"/>
    <s v="N"/>
    <n v="1666471"/>
    <n v="4"/>
    <d v="2012-01-21T00:00:00"/>
    <d v="2012-06-08T00:00:00"/>
    <n v="1666471"/>
    <d v="2012-01-21T00:00:00"/>
    <d v="2012-01-22T00:00:00"/>
    <n v="15000"/>
    <x v="0"/>
    <d v="2012-01-22T00:00:00"/>
    <s v="Y"/>
    <s v="SURETY"/>
    <s v="GUILTY PLEA - NO JURY"/>
    <n v="2"/>
    <n v="140"/>
    <n v="2"/>
    <n v="1"/>
    <n v="2"/>
    <m/>
    <m/>
    <m/>
    <m/>
    <m/>
    <m/>
    <m/>
    <m/>
    <d v="1977-12-05T00:00:00"/>
    <s v="M"/>
    <s v="H"/>
    <s v="HISPANIC"/>
    <s v="HISPANIC"/>
    <s v="338"/>
    <s v="CONVICTED"/>
    <n v="6"/>
    <s v="HCJ"/>
    <m/>
    <m/>
    <n v="30"/>
    <s v="POSS CS PG 1 &lt;1G"/>
    <m/>
    <s v="FS"/>
    <s v="POSS DRUG"/>
    <m/>
    <m/>
    <m/>
    <m/>
    <m/>
    <m/>
    <m/>
    <m/>
    <m/>
    <s v="Hired Attorney"/>
    <m/>
    <m/>
    <n v="2"/>
    <n v="140"/>
    <n v="140"/>
    <n v="34.057377049180324"/>
    <n v="0"/>
    <n v="-138"/>
    <s v="CONVICTION"/>
    <x v="1"/>
    <s v="Y"/>
    <m/>
    <s v="CONVICTION"/>
    <s v="Y"/>
    <x v="1"/>
    <x v="0"/>
    <s v="Y"/>
    <n v="1.4285714285714285E-2"/>
    <n v="1.4285714285714285E-2"/>
    <n v="0"/>
    <n v="0"/>
    <n v="-2"/>
    <n v="0"/>
    <n v="2"/>
    <e v="#VALUE!"/>
    <n v="2"/>
    <n v="0"/>
    <n v="138"/>
    <m/>
    <s v="Y"/>
    <m/>
    <s v="0-10 DAYS"/>
    <n v="1"/>
    <x v="0"/>
  </r>
  <r>
    <n v="1111"/>
    <s v="N"/>
    <s v="N"/>
    <n v="1667383"/>
    <n v="1"/>
    <d v="2012-02-10T00:00:00"/>
    <d v="2012-06-04T00:00:00"/>
    <n v="1667383"/>
    <d v="2012-02-10T00:00:00"/>
    <d v="2012-02-11T00:00:00"/>
    <n v="100000"/>
    <x v="2"/>
    <d v="2012-02-11T00:00:00"/>
    <s v="Y"/>
    <s v="SURETY"/>
    <s v="DISMISSED"/>
    <n v="2"/>
    <n v="116"/>
    <n v="0"/>
    <n v="1"/>
    <m/>
    <m/>
    <m/>
    <m/>
    <m/>
    <m/>
    <m/>
    <m/>
    <m/>
    <d v="1980-03-17T00:00:00"/>
    <s v="M"/>
    <s v="H"/>
    <s v="HISPANIC"/>
    <s v="HISPANIC"/>
    <s v="180"/>
    <s v="DISMISSED"/>
    <n v="5"/>
    <s v="DISMISSED"/>
    <m/>
    <m/>
    <m/>
    <s v="MONEY LAUNDERING&gt;=100K&lt;200K"/>
    <m/>
    <s v="F2"/>
    <s v="OTHER FEL"/>
    <m/>
    <m/>
    <m/>
    <m/>
    <m/>
    <m/>
    <m/>
    <m/>
    <m/>
    <s v="Hired Attorney"/>
    <m/>
    <m/>
    <n v="2"/>
    <n v="116"/>
    <n v="116"/>
    <n v="31.83606557377049"/>
    <n v="0"/>
    <n v="-114"/>
    <s v="NO CONVICTION"/>
    <x v="1"/>
    <s v="Y"/>
    <m/>
    <s v="NO CONVICTION"/>
    <s v="Y"/>
    <x v="1"/>
    <x v="0"/>
    <s v="N"/>
    <n v="1.7241379310344827E-2"/>
    <n v="1.7241379310344827E-2"/>
    <n v="0"/>
    <n v="0"/>
    <n v="-2"/>
    <n v="0"/>
    <n v="2"/>
    <e v="#VALUE!"/>
    <n v="2"/>
    <n v="0"/>
    <n v="114"/>
    <m/>
    <s v="Y"/>
    <m/>
    <s v="0-10 DAYS"/>
    <n v="1"/>
    <x v="0"/>
  </r>
  <r>
    <n v="2661"/>
    <s v="N"/>
    <s v="N"/>
    <n v="1667520"/>
    <n v="5"/>
    <d v="2012-04-08T00:00:00"/>
    <d v="2012-04-10T00:00:00"/>
    <n v="1667520"/>
    <d v="2012-04-09T00:00:00"/>
    <d v="2012-04-10T00:00:00"/>
    <n v="15000"/>
    <x v="0"/>
    <m/>
    <s v="N"/>
    <s v="NONE"/>
    <s v="GUILTY PLEA - NO JURY"/>
    <n v="2"/>
    <n v="3"/>
    <n v="5"/>
    <n v="6"/>
    <n v="3"/>
    <m/>
    <m/>
    <m/>
    <m/>
    <m/>
    <m/>
    <m/>
    <m/>
    <d v="1967-01-30T00:00:00"/>
    <s v="M"/>
    <s v="B"/>
    <s v="BLACK"/>
    <s v="NON-HISPANIC"/>
    <s v="232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2"/>
    <n v="2"/>
    <n v="3"/>
    <n v="45.095628415300546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98"/>
    <s v="N"/>
    <s v="N"/>
    <n v="1667900"/>
    <n v="5"/>
    <d v="2012-01-13T00:00:00"/>
    <d v="2012-04-20T00:00:00"/>
    <n v="1667900"/>
    <d v="2012-01-13T00:00:00"/>
    <d v="2012-04-20T00:00:00"/>
    <n v="15000"/>
    <x v="0"/>
    <m/>
    <s v="N"/>
    <s v="NONE"/>
    <s v="GUILTY PLEA - NO JURY"/>
    <n v="99"/>
    <n v="99"/>
    <n v="7"/>
    <n v="8"/>
    <n v="4"/>
    <m/>
    <m/>
    <m/>
    <m/>
    <m/>
    <m/>
    <m/>
    <m/>
    <d v="1979-05-06T00:00:00"/>
    <s v="M"/>
    <s v="W"/>
    <s v="WHITE"/>
    <s v="NON-HISPANIC"/>
    <s v="174"/>
    <s v="CONVICTED"/>
    <n v="5"/>
    <s v="STJ"/>
    <m/>
    <n v="8"/>
    <m/>
    <s v="POSS CS PG 1 &lt;1G"/>
    <m/>
    <s v="FS"/>
    <s v="POSS DRUG"/>
    <m/>
    <m/>
    <m/>
    <m/>
    <m/>
    <m/>
    <m/>
    <m/>
    <m/>
    <s v="Appointed Attorney"/>
    <m/>
    <m/>
    <n v="99"/>
    <n v="99"/>
    <n v="99"/>
    <n v="32.622950819672134"/>
    <n v="0"/>
    <n v="0"/>
    <s v="CONVICTION"/>
    <x v="0"/>
    <s v="N"/>
    <m/>
    <s v="CONVICTION"/>
    <s v="Y"/>
    <x v="0"/>
    <x v="0"/>
    <s v="Y"/>
    <n v="1"/>
    <n v="1"/>
    <n v="0"/>
    <n v="0"/>
    <n v="-99"/>
    <n v="0"/>
    <n v="99"/>
    <e v="#VALUE!"/>
    <n v="99"/>
    <n v="0"/>
    <n v="0"/>
    <m/>
    <s v="Y"/>
    <m/>
    <s v="91-120 DAYS"/>
    <n v="0"/>
    <x v="0"/>
  </r>
  <r>
    <n v="2107"/>
    <s v="N"/>
    <s v="N"/>
    <n v="1668252"/>
    <n v="4"/>
    <d v="2012-03-20T00:00:00"/>
    <d v="2012-03-22T00:00:00"/>
    <n v="1668252"/>
    <d v="2012-03-20T00:00:00"/>
    <d v="2012-03-22T00:00:00"/>
    <n v="15000"/>
    <x v="0"/>
    <m/>
    <s v="N"/>
    <s v="NONE"/>
    <s v="GUILTY PLEA - NO JURY"/>
    <n v="3"/>
    <n v="3"/>
    <n v="2"/>
    <n v="1"/>
    <n v="1"/>
    <m/>
    <m/>
    <m/>
    <m/>
    <m/>
    <m/>
    <m/>
    <m/>
    <d v="1967-08-31T00:00:00"/>
    <s v="F"/>
    <s v="B"/>
    <s v="BLACK"/>
    <s v="NON-HISPANIC"/>
    <s v="180"/>
    <s v="CONVICTED"/>
    <n v="2"/>
    <s v="HCJ"/>
    <m/>
    <m/>
    <n v="180"/>
    <s v="POSS CS PG 1 &lt;1G"/>
    <m/>
    <s v="FS"/>
    <s v="POSS DRUG"/>
    <m/>
    <m/>
    <m/>
    <m/>
    <m/>
    <m/>
    <m/>
    <m/>
    <m/>
    <s v="Appointed Attorney"/>
    <m/>
    <m/>
    <n v="3"/>
    <n v="3"/>
    <n v="3"/>
    <n v="44.461748633879779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991"/>
    <s v="N"/>
    <s v="N"/>
    <n v="1668767"/>
    <n v="6"/>
    <d v="2012-03-15T00:00:00"/>
    <d v="2014-02-07T00:00:00"/>
    <n v="1668767"/>
    <d v="2012-03-20T00:00:00"/>
    <d v="2014-02-07T00:00:00"/>
    <n v="60000"/>
    <x v="2"/>
    <m/>
    <s v="N"/>
    <s v="NONE"/>
    <s v="GUILTY JURY VERDICT"/>
    <n v="695"/>
    <n v="695"/>
    <n v="1"/>
    <n v="1"/>
    <n v="1"/>
    <m/>
    <m/>
    <m/>
    <m/>
    <m/>
    <m/>
    <m/>
    <m/>
    <d v="1967-06-14T00:00:00"/>
    <s v="M"/>
    <s v="W"/>
    <s v="WHITE"/>
    <s v="NON-HISPANIC"/>
    <s v="180"/>
    <s v="CONVICTED"/>
    <n v="30"/>
    <s v="TDC"/>
    <n v="50"/>
    <m/>
    <m/>
    <s v="AGG SEX ASSLT CHILD-UNDER 14"/>
    <m/>
    <s v="F1"/>
    <s v="SEX ABUSE"/>
    <s v="appeal pend"/>
    <m/>
    <m/>
    <m/>
    <m/>
    <m/>
    <m/>
    <m/>
    <m/>
    <s v="Appointed Attorney"/>
    <m/>
    <s v="pend appeal"/>
    <n v="695"/>
    <n v="690"/>
    <n v="695"/>
    <n v="44.661202185792348"/>
    <n v="0"/>
    <n v="0"/>
    <s v="CONVICTION"/>
    <x v="0"/>
    <s v="Y"/>
    <m/>
    <s v="CONVICTION"/>
    <s v="Y"/>
    <x v="0"/>
    <x v="0"/>
    <s v="Y"/>
    <n v="1"/>
    <n v="1"/>
    <n v="0"/>
    <n v="0"/>
    <n v="-690"/>
    <n v="5"/>
    <m/>
    <e v="#VALUE!"/>
    <n v="690"/>
    <m/>
    <n v="0"/>
    <m/>
    <s v="Y"/>
    <e v="#N/A"/>
    <s v=" &gt;1YRS&lt;2YRS"/>
    <n v="0"/>
    <x v="0"/>
  </r>
  <r>
    <n v="191"/>
    <s v="N"/>
    <s v="N"/>
    <n v="1670605"/>
    <n v="4"/>
    <d v="2012-01-09T00:00:00"/>
    <d v="2012-01-12T00:00:00"/>
    <n v="1670605"/>
    <d v="2012-01-10T00:00:00"/>
    <d v="2012-01-12T00:00:00"/>
    <n v="10000"/>
    <x v="3"/>
    <m/>
    <s v="N"/>
    <s v="NONE"/>
    <s v="GUILTY PLEA - NO JURY"/>
    <n v="3"/>
    <n v="4"/>
    <n v="3"/>
    <n v="4"/>
    <n v="2"/>
    <m/>
    <m/>
    <m/>
    <m/>
    <m/>
    <m/>
    <m/>
    <m/>
    <d v="1980-12-29T00:00:00"/>
    <s v="M"/>
    <s v="B"/>
    <s v="BLACK"/>
    <s v="NON-HISPANIC"/>
    <s v="185"/>
    <s v="CONVICTED"/>
    <n v="4"/>
    <s v="HCJ"/>
    <m/>
    <m/>
    <n v="120"/>
    <s v="POSS CS PG 1 &lt;1G"/>
    <m/>
    <s v="FS"/>
    <s v="POSS DRUG"/>
    <m/>
    <m/>
    <m/>
    <m/>
    <m/>
    <m/>
    <m/>
    <m/>
    <m/>
    <s v="Appointed Attorney"/>
    <m/>
    <m/>
    <n v="3"/>
    <n v="3"/>
    <n v="4"/>
    <n v="30.964480874316941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146"/>
    <s v="N"/>
    <s v="N"/>
    <n v="1671812"/>
    <n v="4"/>
    <d v="2012-01-07T00:00:00"/>
    <d v="2012-03-06T00:00:00"/>
    <n v="1671812"/>
    <d v="2012-01-07T00:00:00"/>
    <d v="2012-03-06T00:00:00"/>
    <n v="10000"/>
    <x v="3"/>
    <m/>
    <s v="N"/>
    <s v="NONE"/>
    <s v="DEFENDANT CONVICTED ON ANOTHER CHARGE"/>
    <n v="60"/>
    <n v="60"/>
    <n v="1"/>
    <n v="1"/>
    <m/>
    <m/>
    <m/>
    <m/>
    <m/>
    <m/>
    <m/>
    <m/>
    <m/>
    <d v="1972-02-02T00:00:00"/>
    <s v="M"/>
    <s v="W"/>
    <s v="WHITE"/>
    <s v="NON-HISPANIC"/>
    <s v="209"/>
    <s v="CONVICTED"/>
    <n v="6"/>
    <s v="HCJ"/>
    <m/>
    <m/>
    <n v="365"/>
    <s v="BURGLARY OF A BUILDING"/>
    <m/>
    <s v="FS"/>
    <s v="BURGLARY"/>
    <m/>
    <m/>
    <m/>
    <m/>
    <m/>
    <m/>
    <m/>
    <m/>
    <m/>
    <s v="Hired Attorney"/>
    <m/>
    <m/>
    <n v="60"/>
    <n v="60"/>
    <n v="60"/>
    <n v="39.846994535519123"/>
    <n v="0"/>
    <n v="0"/>
    <s v="CONVICTION"/>
    <x v="0"/>
    <s v="N"/>
    <m/>
    <s v="CONVICTION"/>
    <s v="Y"/>
    <x v="0"/>
    <x v="0"/>
    <s v="Y"/>
    <n v="1"/>
    <n v="1"/>
    <n v="0"/>
    <n v="0"/>
    <n v="-60"/>
    <n v="0"/>
    <n v="60"/>
    <e v="#VALUE!"/>
    <n v="60"/>
    <n v="0"/>
    <n v="0"/>
    <m/>
    <s v="Y"/>
    <m/>
    <s v="31-60 DAYS"/>
    <n v="3"/>
    <x v="0"/>
  </r>
  <r>
    <n v="2594"/>
    <s v="N"/>
    <s v="N"/>
    <n v="1673229"/>
    <n v="1"/>
    <d v="2012-04-06T00:00:00"/>
    <d v="2012-04-09T00:00:00"/>
    <n v="1673229"/>
    <d v="2012-04-06T00:00:00"/>
    <d v="2012-04-08T00:00:00"/>
    <n v="5000"/>
    <x v="4"/>
    <d v="2012-04-08T00:00:00"/>
    <s v="Y"/>
    <s v="SURETY"/>
    <s v="DISMISSED"/>
    <n v="3"/>
    <n v="4"/>
    <n v="5"/>
    <n v="12"/>
    <n v="4"/>
    <m/>
    <m/>
    <m/>
    <m/>
    <m/>
    <m/>
    <m/>
    <m/>
    <d v="1980-10-09T00:00:00"/>
    <s v="M"/>
    <s v="B"/>
    <s v="BLACK"/>
    <s v="NULL"/>
    <s v="177"/>
    <s v="DISMISSED"/>
    <n v="1"/>
    <s v="DISMISSED"/>
    <m/>
    <m/>
    <m/>
    <s v="FELON POSS WPN"/>
    <m/>
    <s v="F3"/>
    <s v="OTHER FEL"/>
    <m/>
    <m/>
    <m/>
    <m/>
    <m/>
    <m/>
    <m/>
    <m/>
    <m/>
    <s v="Public Defender"/>
    <m/>
    <m/>
    <n v="3"/>
    <n v="4"/>
    <n v="4"/>
    <n v="31.42622950819672"/>
    <n v="0"/>
    <n v="-1"/>
    <s v="NO CONVICTION"/>
    <x v="1"/>
    <s v="Y"/>
    <m/>
    <s v="NO CONVICTION"/>
    <s v="Y"/>
    <x v="1"/>
    <x v="0"/>
    <s v="Y"/>
    <n v="0.75"/>
    <n v="0.75"/>
    <n v="0"/>
    <n v="0"/>
    <n v="-3"/>
    <n v="0"/>
    <n v="3"/>
    <e v="#VALUE!"/>
    <n v="3"/>
    <n v="0"/>
    <n v="1"/>
    <m/>
    <s v="Y"/>
    <m/>
    <s v="0-10 DAYS"/>
    <n v="1"/>
    <x v="0"/>
  </r>
  <r>
    <n v="1078"/>
    <s v="N"/>
    <s v="Y"/>
    <n v="1673797"/>
    <n v="2"/>
    <d v="2012-02-09T00:00:00"/>
    <d v="2013-08-28T00:00:00"/>
    <n v="1673797"/>
    <d v="2012-02-11T00:00:00"/>
    <d v="2012-03-11T00:00:00"/>
    <n v="30000"/>
    <x v="2"/>
    <d v="2012-03-11T00:00:00"/>
    <s v="Y"/>
    <s v="SURETYPTRc"/>
    <s v="DEFERRED ADJUDICATION "/>
    <n v="41"/>
    <n v="567"/>
    <n v="1"/>
    <n v="2"/>
    <m/>
    <n v="1"/>
    <m/>
    <m/>
    <m/>
    <m/>
    <m/>
    <m/>
    <m/>
    <d v="1960-10-31T00:00:00"/>
    <s v="M"/>
    <s v="B"/>
    <s v="BLACK"/>
    <s v="NULL"/>
    <s v="183"/>
    <s v="DEFERRED"/>
    <n v="25"/>
    <s v="DEFERRED"/>
    <m/>
    <m/>
    <m/>
    <s v="INDECENCY CHILD-TG"/>
    <m/>
    <s v="F2"/>
    <s v="SEX ABUSE"/>
    <s v="8/27/12 fel fire arm filed booked 8/29/12 recal detained days"/>
    <s v="bd rev 8/29/12"/>
    <m/>
    <m/>
    <s v="Y"/>
    <m/>
    <m/>
    <m/>
    <m/>
    <s v="Hired Attorney"/>
    <m/>
    <m/>
    <n v="41"/>
    <n v="565"/>
    <n v="567"/>
    <n v="51.169398907103826"/>
    <n v="0"/>
    <n v="-535"/>
    <s v="DEFERRED"/>
    <x v="1"/>
    <s v="N"/>
    <m/>
    <s v="DEFERRED"/>
    <s v="Y"/>
    <x v="0"/>
    <x v="0"/>
    <s v="Y"/>
    <n v="7.2310405643738973E-2"/>
    <n v="5.3097345132743362E-2"/>
    <n v="-1.9213060510995611E-2"/>
    <n v="0"/>
    <n v="-30"/>
    <n v="11"/>
    <n v="565"/>
    <n v="41"/>
    <n v="565"/>
    <n v="535"/>
    <n v="535"/>
    <m/>
    <s v="Y"/>
    <m/>
    <s v="31-60 DAYS"/>
    <n v="3"/>
    <x v="0"/>
  </r>
  <r>
    <n v="2251"/>
    <s v="N"/>
    <s v="N"/>
    <n v="1674692"/>
    <n v="2"/>
    <d v="2012-03-26T00:00:00"/>
    <d v="2012-08-17T00:00:00"/>
    <n v="1674692"/>
    <d v="2012-04-10T00:00:00"/>
    <d v="2012-04-11T00:00:00"/>
    <n v="40000"/>
    <x v="2"/>
    <d v="2012-04-11T00:00:00"/>
    <s v="Y"/>
    <s v="SURETY"/>
    <s v="DEFERRED ADJUDICATION "/>
    <n v="2"/>
    <n v="145"/>
    <n v="0"/>
    <n v="1"/>
    <m/>
    <m/>
    <m/>
    <m/>
    <m/>
    <m/>
    <m/>
    <m/>
    <m/>
    <d v="1977-07-13T00:00:00"/>
    <s v="M"/>
    <s v="B"/>
    <s v="BLACK"/>
    <s v="NULL"/>
    <s v="180"/>
    <s v="DEFERRED"/>
    <n v="7"/>
    <s v="DEFERRED"/>
    <m/>
    <m/>
    <m/>
    <s v="TAMPERING WITH RECORD"/>
    <m/>
    <s v="FS"/>
    <s v="OTHER FEL"/>
    <m/>
    <m/>
    <m/>
    <m/>
    <m/>
    <m/>
    <m/>
    <m/>
    <m/>
    <s v="Hired Attorney"/>
    <m/>
    <m/>
    <n v="2"/>
    <n v="130"/>
    <n v="145"/>
    <n v="34.631147540983605"/>
    <n v="0"/>
    <n v="-128"/>
    <s v="DEFERRED"/>
    <x v="1"/>
    <s v="Y"/>
    <m/>
    <s v="DEFERRED"/>
    <s v="Y"/>
    <x v="1"/>
    <x v="0"/>
    <s v="N"/>
    <n v="1.3793103448275862E-2"/>
    <n v="1.5384615384615385E-2"/>
    <n v="1.5915119363395236E-3"/>
    <n v="0"/>
    <n v="-2"/>
    <n v="0"/>
    <n v="2"/>
    <e v="#VALUE!"/>
    <n v="2"/>
    <n v="0"/>
    <n v="128"/>
    <m/>
    <s v="Y"/>
    <m/>
    <s v="0-10 DAYS"/>
    <n v="1"/>
    <x v="0"/>
  </r>
  <r>
    <n v="440"/>
    <s v="N"/>
    <s v="N"/>
    <n v="1675735"/>
    <n v="6"/>
    <d v="2012-01-19T00:00:00"/>
    <d v="2012-05-03T00:00:00"/>
    <n v="1675735"/>
    <d v="2012-01-19T00:00:00"/>
    <d v="2012-05-03T00:00:00"/>
    <n v="20000"/>
    <x v="0"/>
    <m/>
    <s v="N"/>
    <s v="NONE"/>
    <s v="GUILTY PLEA - NO JURY"/>
    <n v="106"/>
    <n v="106"/>
    <n v="2"/>
    <n v="0"/>
    <n v="1"/>
    <m/>
    <m/>
    <m/>
    <m/>
    <m/>
    <m/>
    <m/>
    <m/>
    <d v="1979-05-10T00:00:00"/>
    <s v="M"/>
    <s v="H"/>
    <s v="HISPANIC"/>
    <s v="HISPANIC"/>
    <s v="230"/>
    <s v="CONVICTED"/>
    <n v="6"/>
    <s v="TDC"/>
    <n v="25"/>
    <m/>
    <m/>
    <s v="BURGLARY OF HABITATION"/>
    <m/>
    <s v="F2"/>
    <s v="BURGLARY"/>
    <m/>
    <m/>
    <m/>
    <m/>
    <m/>
    <m/>
    <m/>
    <m/>
    <m/>
    <s v="Hired Attorney"/>
    <m/>
    <m/>
    <n v="106"/>
    <n v="106"/>
    <n v="106"/>
    <n v="32.62841530054645"/>
    <n v="0"/>
    <n v="0"/>
    <s v="CONVICTION"/>
    <x v="0"/>
    <s v="N"/>
    <m/>
    <s v="CONVICTION"/>
    <s v="Y"/>
    <x v="0"/>
    <x v="0"/>
    <s v="Y"/>
    <n v="1"/>
    <n v="1"/>
    <n v="0"/>
    <n v="0"/>
    <n v="-106"/>
    <n v="0"/>
    <n v="106"/>
    <e v="#VALUE!"/>
    <n v="106"/>
    <n v="0"/>
    <n v="0"/>
    <m/>
    <s v="Y"/>
    <m/>
    <s v="91-120 DAYS"/>
    <n v="0"/>
    <x v="0"/>
  </r>
  <r>
    <n v="1822"/>
    <s v="N"/>
    <s v="N"/>
    <n v="1676654"/>
    <n v="6"/>
    <d v="2012-03-08T00:00:00"/>
    <d v="2013-05-02T00:00:00"/>
    <n v="1676654"/>
    <d v="2012-03-08T00:00:00"/>
    <d v="2013-05-02T00:00:00"/>
    <n v="30000"/>
    <x v="2"/>
    <m/>
    <s v="N"/>
    <s v="NONE"/>
    <s v="GUILTY PLEA - NO JURY"/>
    <n v="421"/>
    <n v="421"/>
    <n v="2"/>
    <n v="5"/>
    <m/>
    <m/>
    <m/>
    <m/>
    <m/>
    <m/>
    <m/>
    <m/>
    <m/>
    <d v="1977-03-12T00:00:00"/>
    <s v="M"/>
    <s v="B"/>
    <s v="BLACK"/>
    <s v="NON-HISPANIC"/>
    <s v="263"/>
    <s v="CONVICTED"/>
    <n v="10"/>
    <s v="TDC"/>
    <n v="3"/>
    <m/>
    <m/>
    <s v="POSS W/INT DEL CS PG1&gt;=4 &lt;200"/>
    <m/>
    <s v="F1"/>
    <s v="SALE DRUG"/>
    <m/>
    <m/>
    <m/>
    <m/>
    <m/>
    <m/>
    <m/>
    <m/>
    <m/>
    <s v="Appointed Attorney"/>
    <m/>
    <m/>
    <n v="421"/>
    <n v="421"/>
    <n v="421"/>
    <n v="34.918032786885249"/>
    <n v="0"/>
    <n v="0"/>
    <s v="CONVICTION"/>
    <x v="0"/>
    <s v="N"/>
    <m/>
    <s v="CONVICTION"/>
    <s v="Y"/>
    <x v="0"/>
    <x v="0"/>
    <s v="Y"/>
    <n v="1"/>
    <n v="1"/>
    <n v="0"/>
    <n v="0"/>
    <n v="-421"/>
    <n v="0"/>
    <n v="421"/>
    <e v="#VALUE!"/>
    <n v="421"/>
    <n v="0"/>
    <n v="0"/>
    <m/>
    <s v="Y"/>
    <m/>
    <s v=" &gt;1YRS&lt;2YRS"/>
    <n v="0"/>
    <x v="0"/>
  </r>
  <r>
    <n v="1134"/>
    <s v="N"/>
    <s v="N"/>
    <n v="1677025"/>
    <n v="5"/>
    <d v="2012-02-10T00:00:00"/>
    <d v="2012-06-05T00:00:00"/>
    <n v="1677025"/>
    <d v="2012-02-11T00:00:00"/>
    <d v="2012-06-05T00:00:00"/>
    <n v="15000"/>
    <x v="0"/>
    <m/>
    <s v="N"/>
    <s v="NONE"/>
    <s v="GUILTY PLEA - NO JURY"/>
    <n v="116"/>
    <n v="117"/>
    <n v="5"/>
    <n v="2"/>
    <n v="1"/>
    <m/>
    <m/>
    <m/>
    <m/>
    <m/>
    <m/>
    <m/>
    <m/>
    <d v="1980-02-22T00:00:00"/>
    <s v="M"/>
    <s v="H"/>
    <s v="HISPANIC"/>
    <s v="HISPANIC"/>
    <s v="185"/>
    <s v="CONVICTED"/>
    <n v="7"/>
    <s v="STJ"/>
    <m/>
    <n v="6"/>
    <m/>
    <s v="POSS CS PG 1 &lt;1G"/>
    <m/>
    <s v="FS"/>
    <s v="POSS DRUG"/>
    <m/>
    <m/>
    <m/>
    <m/>
    <m/>
    <m/>
    <m/>
    <m/>
    <m/>
    <s v="Hired Attorney"/>
    <m/>
    <m/>
    <n v="116"/>
    <n v="116"/>
    <n v="117"/>
    <n v="31.901639344262296"/>
    <n v="0"/>
    <n v="0"/>
    <s v="CONVICTION"/>
    <x v="0"/>
    <s v="N"/>
    <m/>
    <s v="CONVICTION"/>
    <s v="Y"/>
    <x v="0"/>
    <x v="0"/>
    <s v="Y"/>
    <n v="0.99145299145299148"/>
    <n v="1"/>
    <n v="8.5470085470085166E-3"/>
    <n v="0"/>
    <n v="-116"/>
    <n v="0"/>
    <n v="116"/>
    <e v="#VALUE!"/>
    <n v="116"/>
    <n v="0"/>
    <n v="0"/>
    <m/>
    <s v="Y"/>
    <m/>
    <s v="91-120 DAYS"/>
    <n v="0"/>
    <x v="0"/>
  </r>
  <r>
    <n v="2040"/>
    <s v="N"/>
    <s v="N"/>
    <n v="1677572"/>
    <n v="6"/>
    <d v="2012-03-17T00:00:00"/>
    <d v="2012-05-15T00:00:00"/>
    <n v="1677572"/>
    <d v="2012-03-17T00:00:00"/>
    <d v="2012-05-15T00:00:00"/>
    <s v="NO BOND"/>
    <x v="1"/>
    <m/>
    <s v="N"/>
    <s v="NONE"/>
    <s v="GUILTY PLEA - NO JURY"/>
    <n v="60"/>
    <n v="60"/>
    <n v="3"/>
    <n v="0"/>
    <n v="2"/>
    <n v="1"/>
    <m/>
    <m/>
    <m/>
    <m/>
    <m/>
    <m/>
    <m/>
    <d v="1981-10-20T00:00:00"/>
    <s v="M"/>
    <s v="B"/>
    <s v="BLACK"/>
    <s v="NON-HISPANIC"/>
    <s v="228"/>
    <s v="CONVICTED"/>
    <n v="3"/>
    <s v="TDC"/>
    <n v="2"/>
    <m/>
    <m/>
    <s v="FELON POSS WPN"/>
    <m/>
    <s v="F3"/>
    <s v="OTHER FEL"/>
    <m/>
    <m/>
    <m/>
    <m/>
    <m/>
    <m/>
    <m/>
    <m/>
    <m/>
    <s v="Hired Attorney"/>
    <m/>
    <m/>
    <n v="60"/>
    <n v="60"/>
    <n v="60"/>
    <n v="30.344262295081968"/>
    <n v="0"/>
    <n v="0"/>
    <s v="CONVICTION"/>
    <x v="0"/>
    <s v="N"/>
    <m/>
    <s v="CONVICTION"/>
    <s v="Y"/>
    <x v="0"/>
    <x v="0"/>
    <s v="Y"/>
    <n v="1"/>
    <n v="1"/>
    <n v="0"/>
    <n v="0"/>
    <n v="-60"/>
    <n v="0"/>
    <n v="60"/>
    <e v="#VALUE!"/>
    <n v="60"/>
    <n v="0"/>
    <n v="0"/>
    <m/>
    <s v="Y"/>
    <m/>
    <s v="31-60 DAYS"/>
    <n v="3"/>
    <x v="0"/>
  </r>
  <r>
    <n v="2221"/>
    <s v="Y"/>
    <s v="N"/>
    <n v="1678231"/>
    <n v="1"/>
    <d v="2012-03-24T00:00:00"/>
    <d v="2012-03-26T00:00:00"/>
    <n v="1678231"/>
    <s v="NOT BOOKED"/>
    <s v="NOT BOOKED"/>
    <n v="10000"/>
    <x v="3"/>
    <d v="2012-03-26T00:00:00"/>
    <s v="Y"/>
    <s v="SURETY"/>
    <s v="DISMISSED"/>
    <n v="0"/>
    <n v="3"/>
    <n v="2"/>
    <n v="11"/>
    <n v="1"/>
    <m/>
    <m/>
    <m/>
    <m/>
    <m/>
    <m/>
    <m/>
    <m/>
    <d v="1981-07-25T00:00:00"/>
    <s v="M"/>
    <s v="B"/>
    <s v="BLACK"/>
    <s v="NULL"/>
    <s v="230"/>
    <s v="DISMISSED"/>
    <n v="1"/>
    <s v="DISMISSED"/>
    <m/>
    <m/>
    <m/>
    <s v="TAMPER/FABRICATE EVIDENCE"/>
    <m/>
    <s v="F3"/>
    <s v="OTHER FEL"/>
    <s v="fel drug filed 5/2/12  disp 2/22/12 hcj 180 d  two new fel drug pend"/>
    <m/>
    <m/>
    <m/>
    <m/>
    <m/>
    <m/>
    <m/>
    <m/>
    <s v="Other/Unknown"/>
    <s v="11/15/12 f pcs hcj 180 f evade pcs 8/9/13 stj "/>
    <m/>
    <n v="0"/>
    <n v="0"/>
    <n v="3"/>
    <n v="30.601092896174862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1389"/>
    <s v="N"/>
    <s v="N"/>
    <n v="1682017"/>
    <n v="6"/>
    <d v="2012-02-21T00:00:00"/>
    <d v="2012-10-24T00:00:00"/>
    <n v="1682017"/>
    <d v="2012-03-16T00:00:00"/>
    <d v="2012-10-24T00:00:00"/>
    <n v="50000"/>
    <x v="2"/>
    <m/>
    <s v="N"/>
    <s v="NONE"/>
    <s v="GUILTY PLEA - NO JURY"/>
    <n v="223"/>
    <n v="247"/>
    <n v="4"/>
    <n v="7"/>
    <n v="1"/>
    <m/>
    <m/>
    <m/>
    <m/>
    <m/>
    <m/>
    <m/>
    <m/>
    <d v="1981-06-16T00:00:00"/>
    <s v="M"/>
    <s v="W"/>
    <s v="WHITE"/>
    <s v="NON-HISPANIC"/>
    <s v="351"/>
    <s v="CONVICTED"/>
    <n v="13"/>
    <s v="TDC"/>
    <n v="4"/>
    <m/>
    <m/>
    <s v="AGG ASSAULT W/DEADLY WEAPON"/>
    <m/>
    <s v="F2"/>
    <s v="ASLT-MURDR"/>
    <m/>
    <m/>
    <m/>
    <m/>
    <m/>
    <m/>
    <m/>
    <m/>
    <m/>
    <s v="Appointed Attorney"/>
    <m/>
    <m/>
    <n v="223"/>
    <n v="223"/>
    <n v="247"/>
    <n v="30.620218579234972"/>
    <n v="0"/>
    <n v="0"/>
    <s v="CONVICTION"/>
    <x v="0"/>
    <s v="N"/>
    <m/>
    <s v="CONVICTION"/>
    <s v="Y"/>
    <x v="0"/>
    <x v="0"/>
    <s v="Y"/>
    <n v="0.90283400809716596"/>
    <n v="1"/>
    <n v="9.7165991902834037E-2"/>
    <n v="0"/>
    <n v="-223"/>
    <n v="0"/>
    <n v="223"/>
    <e v="#VALUE!"/>
    <n v="223"/>
    <n v="0"/>
    <n v="0"/>
    <m/>
    <s v="Y"/>
    <m/>
    <s v="121-365 DAYS"/>
    <n v="6"/>
    <x v="0"/>
  </r>
  <r>
    <n v="2692"/>
    <s v="N"/>
    <s v="N"/>
    <n v="1683950"/>
    <n v="4"/>
    <d v="2012-04-10T00:00:00"/>
    <d v="2012-07-06T00:00:00"/>
    <n v="1683950"/>
    <d v="2012-04-10T00:00:00"/>
    <d v="2012-04-14T00:00:00"/>
    <n v="2000"/>
    <x v="5"/>
    <d v="2012-04-14T00:00:00"/>
    <s v="Y"/>
    <s v="SURETY"/>
    <s v="GUILTY PLEA - NO JURY"/>
    <n v="5"/>
    <n v="88"/>
    <n v="1"/>
    <n v="0"/>
    <m/>
    <m/>
    <m/>
    <m/>
    <m/>
    <m/>
    <m/>
    <m/>
    <m/>
    <d v="1956-07-02T00:00:00"/>
    <s v="F"/>
    <s v="B"/>
    <s v="BLACK"/>
    <s v="NON-HISPANIC"/>
    <s v="263"/>
    <s v="CONVICTED"/>
    <n v="7"/>
    <s v="HCJ"/>
    <m/>
    <m/>
    <n v="30"/>
    <s v="POSS CS PG 1 &lt;1G"/>
    <m/>
    <s v="FS"/>
    <s v="POSS DRUG"/>
    <m/>
    <m/>
    <m/>
    <m/>
    <m/>
    <m/>
    <m/>
    <m/>
    <m/>
    <s v="Appointed Attorney"/>
    <m/>
    <m/>
    <n v="5"/>
    <n v="88"/>
    <n v="88"/>
    <n v="55.658469945355193"/>
    <n v="0"/>
    <n v="-83"/>
    <s v="CONVICTION"/>
    <x v="1"/>
    <s v="Y"/>
    <m/>
    <s v="CONVICTION"/>
    <s v="Y"/>
    <x v="1"/>
    <x v="0"/>
    <s v="Y"/>
    <n v="5.6818181818181816E-2"/>
    <n v="5.6818181818181816E-2"/>
    <n v="0"/>
    <n v="0"/>
    <n v="-5"/>
    <n v="0"/>
    <n v="5"/>
    <e v="#VALUE!"/>
    <n v="5"/>
    <n v="0"/>
    <n v="83"/>
    <m/>
    <s v="Y"/>
    <m/>
    <s v="0-10 DAYS"/>
    <n v="1"/>
    <x v="0"/>
  </r>
  <r>
    <n v="154"/>
    <s v="N"/>
    <s v="N"/>
    <n v="1684010"/>
    <n v="6"/>
    <d v="2012-01-07T00:00:00"/>
    <d v="2012-05-08T00:00:00"/>
    <n v="1684010"/>
    <d v="2012-01-07T00:00:00"/>
    <d v="2012-05-08T00:00:00"/>
    <n v="20000"/>
    <x v="0"/>
    <m/>
    <s v="N"/>
    <s v="NONE"/>
    <s v="GUILTY PLEA - NO JURY"/>
    <n v="123"/>
    <n v="123"/>
    <n v="2"/>
    <n v="6"/>
    <n v="2"/>
    <m/>
    <m/>
    <m/>
    <m/>
    <m/>
    <m/>
    <m/>
    <m/>
    <d v="1981-09-16T00:00:00"/>
    <s v="M"/>
    <s v="H"/>
    <s v="HISPANIC"/>
    <s v="HISPANIC"/>
    <s v="179"/>
    <s v="CONVICTED"/>
    <n v="7"/>
    <s v="TDC"/>
    <n v="3"/>
    <m/>
    <m/>
    <s v="POSS CS PG 1  1 - 4 GRAMS"/>
    <m/>
    <s v="F3"/>
    <s v="POSS DRUG"/>
    <m/>
    <m/>
    <m/>
    <m/>
    <m/>
    <m/>
    <m/>
    <m/>
    <m/>
    <s v="Hired Attorney"/>
    <m/>
    <m/>
    <n v="123"/>
    <n v="123"/>
    <n v="123"/>
    <n v="30.245901639344261"/>
    <n v="0"/>
    <n v="0"/>
    <s v="CONVICTION"/>
    <x v="0"/>
    <s v="N"/>
    <m/>
    <s v="CONVICTION"/>
    <s v="Y"/>
    <x v="0"/>
    <x v="0"/>
    <s v="Y"/>
    <n v="1"/>
    <n v="1"/>
    <n v="0"/>
    <n v="0"/>
    <n v="-123"/>
    <n v="0"/>
    <n v="123"/>
    <e v="#VALUE!"/>
    <n v="123"/>
    <n v="0"/>
    <n v="0"/>
    <m/>
    <s v="Y"/>
    <m/>
    <s v="121-365 DAYS"/>
    <n v="6"/>
    <x v="0"/>
  </r>
  <r>
    <n v="2682"/>
    <s v="N"/>
    <s v="N"/>
    <n v="1684078"/>
    <n v="6"/>
    <d v="2012-04-09T00:00:00"/>
    <d v="2012-07-10T00:00:00"/>
    <n v="1684078"/>
    <d v="2012-04-10T00:00:00"/>
    <d v="2012-07-10T00:00:00"/>
    <s v="NO BOND"/>
    <x v="1"/>
    <m/>
    <s v="N"/>
    <s v="NONE"/>
    <s v="GUILTY PLEA - NO JURY"/>
    <n v="92"/>
    <n v="93"/>
    <n v="3"/>
    <n v="6"/>
    <n v="1"/>
    <m/>
    <m/>
    <m/>
    <m/>
    <m/>
    <m/>
    <m/>
    <m/>
    <d v="1981-07-25T00:00:00"/>
    <s v="M"/>
    <s v="H"/>
    <s v="HISPANIC"/>
    <s v="HISPANIC"/>
    <s v="262"/>
    <s v="CONVICTED"/>
    <n v="6"/>
    <s v="TDC"/>
    <n v="2"/>
    <m/>
    <m/>
    <s v="AGG ASSAULT-FAMILY MEMBER"/>
    <m/>
    <s v="F2"/>
    <s v="ASLT-MURDR"/>
    <m/>
    <m/>
    <m/>
    <m/>
    <m/>
    <m/>
    <m/>
    <m/>
    <m/>
    <s v="Appointed Attorney"/>
    <m/>
    <m/>
    <n v="92"/>
    <n v="92"/>
    <n v="93"/>
    <n v="30.644808743169399"/>
    <n v="0"/>
    <n v="0"/>
    <s v="CONVICTION"/>
    <x v="0"/>
    <s v="N"/>
    <m/>
    <s v="CONVICTION"/>
    <s v="Y"/>
    <x v="0"/>
    <x v="0"/>
    <s v="Y"/>
    <n v="0.989247311827957"/>
    <n v="1"/>
    <n v="1.0752688172043001E-2"/>
    <n v="0"/>
    <n v="-92"/>
    <n v="0"/>
    <n v="92"/>
    <e v="#VALUE!"/>
    <n v="92"/>
    <n v="0"/>
    <n v="0"/>
    <m/>
    <s v="Y"/>
    <m/>
    <s v="91-120 DAYS"/>
    <n v="0"/>
    <x v="0"/>
  </r>
  <r>
    <n v="1819"/>
    <s v="N"/>
    <s v="N"/>
    <n v="1684297"/>
    <n v="5"/>
    <d v="2012-03-08T00:00:00"/>
    <d v="2012-03-12T00:00:00"/>
    <n v="1684297"/>
    <d v="2012-03-09T00:00:00"/>
    <d v="2012-03-12T00:00:00"/>
    <n v="15000"/>
    <x v="0"/>
    <m/>
    <s v="N"/>
    <s v="NONE"/>
    <s v="GUILTY PLEA - NO JURY"/>
    <n v="4"/>
    <n v="5"/>
    <n v="6"/>
    <n v="5"/>
    <n v="3"/>
    <m/>
    <m/>
    <m/>
    <m/>
    <m/>
    <m/>
    <m/>
    <m/>
    <d v="1978-07-28T00:00:00"/>
    <s v="M"/>
    <s v="B"/>
    <s v="BLACK"/>
    <s v="NON-HISPANIC"/>
    <s v="182"/>
    <s v="CONVICTED"/>
    <n v="1"/>
    <s v="STJ"/>
    <m/>
    <n v="6"/>
    <m/>
    <s v="POSS MARIJ  4 OZ. - 5 LBS."/>
    <m/>
    <s v="FS"/>
    <s v="POSS DRUG"/>
    <m/>
    <m/>
    <m/>
    <m/>
    <m/>
    <m/>
    <m/>
    <m/>
    <m/>
    <s v="Appointed Attorney"/>
    <m/>
    <m/>
    <n v="4"/>
    <n v="4"/>
    <n v="5"/>
    <n v="33.543715846994537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1928"/>
    <s v="N"/>
    <s v="N"/>
    <n v="1684893"/>
    <n v="1"/>
    <d v="2012-03-13T00:00:00"/>
    <d v="2012-08-29T00:00:00"/>
    <n v="1684893"/>
    <d v="2012-03-13T00:00:00"/>
    <d v="2012-08-29T00:00:00"/>
    <n v="5000"/>
    <x v="4"/>
    <m/>
    <s v="N"/>
    <s v="NONE"/>
    <s v="DISMISSED"/>
    <n v="170"/>
    <n v="170"/>
    <n v="2"/>
    <n v="1"/>
    <n v="1"/>
    <m/>
    <m/>
    <m/>
    <m/>
    <m/>
    <m/>
    <m/>
    <m/>
    <d v="1967-06-20T00:00:00"/>
    <s v="M"/>
    <s v="H"/>
    <s v="HISPANIC"/>
    <s v="HISPANIC"/>
    <s v="228"/>
    <s v="DISMISSED"/>
    <n v="2"/>
    <s v="DISMISSED"/>
    <m/>
    <m/>
    <m/>
    <s v="POSS CS PG 1 &lt;1G"/>
    <m/>
    <s v="FS"/>
    <s v="POSS DRUG"/>
    <m/>
    <m/>
    <m/>
    <m/>
    <m/>
    <m/>
    <m/>
    <m/>
    <m/>
    <s v="Appointed Attorney"/>
    <m/>
    <m/>
    <n v="170"/>
    <n v="170"/>
    <n v="170"/>
    <n v="44.639344262295083"/>
    <n v="0"/>
    <n v="0"/>
    <s v="NO CONVICTION"/>
    <x v="0"/>
    <s v="N"/>
    <m/>
    <s v="NO CONVICTION"/>
    <s v="Y"/>
    <x v="0"/>
    <x v="0"/>
    <s v="Y"/>
    <n v="1"/>
    <n v="1"/>
    <n v="0"/>
    <n v="0"/>
    <n v="-170"/>
    <n v="0"/>
    <n v="170"/>
    <e v="#VALUE!"/>
    <n v="170"/>
    <n v="0"/>
    <n v="0"/>
    <m/>
    <s v="Y"/>
    <m/>
    <s v="121-365 DAYS"/>
    <n v="6"/>
    <x v="0"/>
  </r>
  <r>
    <n v="2640"/>
    <s v="N"/>
    <s v="N"/>
    <n v="1685434"/>
    <n v="6"/>
    <d v="2012-04-08T00:00:00"/>
    <d v="2012-05-21T00:00:00"/>
    <n v="1685434"/>
    <d v="2012-04-08T00:00:00"/>
    <d v="2012-05-21T00:00:00"/>
    <s v="NO BOND"/>
    <x v="1"/>
    <m/>
    <s v="N"/>
    <s v="NONE"/>
    <s v="GUILTY PLEA - NO JURY"/>
    <n v="44"/>
    <n v="44"/>
    <n v="6"/>
    <n v="2"/>
    <n v="3"/>
    <m/>
    <m/>
    <m/>
    <m/>
    <m/>
    <m/>
    <m/>
    <m/>
    <d v="1980-07-25T00:00:00"/>
    <s v="M"/>
    <s v="B"/>
    <s v="BLACK"/>
    <s v="NON-HISPANIC"/>
    <s v="230"/>
    <s v="CONVICTED"/>
    <n v="3"/>
    <s v="TDC"/>
    <n v="6"/>
    <m/>
    <m/>
    <s v="FELON POSS WPN"/>
    <m/>
    <s v="F3"/>
    <s v="OTHER FEL"/>
    <m/>
    <m/>
    <m/>
    <m/>
    <m/>
    <m/>
    <m/>
    <m/>
    <m/>
    <s v="Appointed Attorney"/>
    <m/>
    <m/>
    <n v="44"/>
    <n v="44"/>
    <n v="44"/>
    <n v="31.639344262295083"/>
    <n v="0"/>
    <n v="0"/>
    <s v="CONVICTION"/>
    <x v="0"/>
    <s v="N"/>
    <m/>
    <s v="CONVICTION"/>
    <s v="Y"/>
    <x v="0"/>
    <x v="0"/>
    <s v="Y"/>
    <n v="1"/>
    <n v="1"/>
    <n v="0"/>
    <n v="0"/>
    <n v="-44"/>
    <n v="0"/>
    <n v="44"/>
    <e v="#VALUE!"/>
    <n v="44"/>
    <n v="0"/>
    <n v="0"/>
    <m/>
    <s v="Y"/>
    <m/>
    <s v="31-60 DAYS"/>
    <n v="3"/>
    <x v="0"/>
  </r>
  <r>
    <n v="2623"/>
    <s v="N"/>
    <s v="N"/>
    <n v="1685550"/>
    <n v="1"/>
    <d v="2012-04-07T00:00:00"/>
    <d v="2012-12-07T00:00:00"/>
    <n v="1685550"/>
    <d v="2012-04-07T00:00:00"/>
    <d v="2012-04-08T00:00:00"/>
    <n v="5000"/>
    <x v="4"/>
    <d v="2012-04-08T00:00:00"/>
    <s v="Y"/>
    <s v="SURETY"/>
    <s v="DISMISSED"/>
    <n v="2"/>
    <n v="245"/>
    <n v="0"/>
    <n v="2"/>
    <m/>
    <m/>
    <m/>
    <m/>
    <m/>
    <m/>
    <m/>
    <m/>
    <m/>
    <d v="1973-10-02T00:00:00"/>
    <s v="M"/>
    <s v="B"/>
    <s v="BLACK"/>
    <s v="NULL"/>
    <s v="339"/>
    <s v="DISMISSED"/>
    <n v="10"/>
    <s v="DISMISSED"/>
    <m/>
    <m/>
    <m/>
    <s v="POSS PROH WPN"/>
    <m/>
    <s v="F3"/>
    <s v="OTHER FEL"/>
    <m/>
    <m/>
    <m/>
    <m/>
    <m/>
    <m/>
    <m/>
    <m/>
    <m/>
    <s v="Hired Attorney"/>
    <m/>
    <m/>
    <n v="2"/>
    <n v="245"/>
    <n v="245"/>
    <n v="38.434426229508198"/>
    <n v="0"/>
    <n v="-243"/>
    <s v="NO CONVICTION"/>
    <x v="1"/>
    <s v="Y"/>
    <m/>
    <s v="NO CONVICTION"/>
    <s v="Y"/>
    <x v="1"/>
    <x v="0"/>
    <s v="N"/>
    <n v="8.1632653061224497E-3"/>
    <n v="8.1632653061224497E-3"/>
    <n v="0"/>
    <n v="0"/>
    <n v="-2"/>
    <n v="0"/>
    <n v="2"/>
    <e v="#VALUE!"/>
    <n v="2"/>
    <n v="0"/>
    <n v="243"/>
    <m/>
    <s v="Y"/>
    <m/>
    <s v="0-10 DAYS"/>
    <n v="1"/>
    <x v="0"/>
  </r>
  <r>
    <n v="2790"/>
    <s v="N"/>
    <s v="N"/>
    <n v="1686003"/>
    <n v="5"/>
    <d v="2012-04-13T00:00:00"/>
    <d v="2012-08-21T00:00:00"/>
    <n v="1686003"/>
    <d v="2012-04-13T00:00:00"/>
    <d v="2012-08-21T00:00:00"/>
    <n v="15000"/>
    <x v="0"/>
    <m/>
    <s v="N"/>
    <s v="NONE"/>
    <s v="GUILTY PLEA - NO JURY"/>
    <n v="131"/>
    <n v="131"/>
    <n v="4"/>
    <n v="5"/>
    <n v="3"/>
    <m/>
    <m/>
    <m/>
    <m/>
    <m/>
    <m/>
    <s v="S"/>
    <m/>
    <d v="1980-08-18T00:00:00"/>
    <s v="M"/>
    <s v="H"/>
    <s v="HISPANIC"/>
    <s v="NULL"/>
    <s v="263"/>
    <s v="CONVICTED"/>
    <n v="7"/>
    <s v="STJ"/>
    <m/>
    <n v="6"/>
    <m/>
    <s v="POSS CS PG 1 &lt;1G"/>
    <m/>
    <s v="FS"/>
    <s v="POSS DRUG"/>
    <m/>
    <m/>
    <m/>
    <m/>
    <m/>
    <m/>
    <m/>
    <m/>
    <m/>
    <s v="Appointed Attorney"/>
    <m/>
    <m/>
    <n v="131"/>
    <n v="131"/>
    <n v="131"/>
    <n v="31.587431693989071"/>
    <n v="0"/>
    <n v="0"/>
    <s v="CONVICTION"/>
    <x v="0"/>
    <s v="N"/>
    <m/>
    <s v="CONVICTION"/>
    <s v="Y"/>
    <x v="0"/>
    <x v="0"/>
    <s v="Y"/>
    <n v="1"/>
    <n v="1"/>
    <n v="0"/>
    <n v="0"/>
    <n v="-131"/>
    <n v="0"/>
    <n v="131"/>
    <e v="#VALUE!"/>
    <n v="131"/>
    <n v="0"/>
    <n v="0"/>
    <m/>
    <s v="Y"/>
    <m/>
    <s v="121-365 DAYS"/>
    <n v="6"/>
    <x v="0"/>
  </r>
  <r>
    <n v="1076"/>
    <s v="N"/>
    <s v="N"/>
    <n v="1687360"/>
    <n v="2"/>
    <d v="2012-02-09T00:00:00"/>
    <d v="2012-08-27T00:00:00"/>
    <n v="1687360"/>
    <d v="2012-02-17T00:00:00"/>
    <d v="2012-02-23T00:00:00"/>
    <n v="70000"/>
    <x v="2"/>
    <d v="2012-02-23T00:00:00"/>
    <s v="Y"/>
    <s v="SURETY"/>
    <s v="DEFERRED ADJUDICATION "/>
    <n v="7"/>
    <n v="201"/>
    <n v="1"/>
    <n v="1"/>
    <m/>
    <n v="1"/>
    <m/>
    <m/>
    <m/>
    <m/>
    <m/>
    <m/>
    <m/>
    <d v="1968-11-19T00:00:00"/>
    <s v="M"/>
    <s v="H"/>
    <s v="HISPANIC"/>
    <s v="HISPANIC"/>
    <s v="248"/>
    <s v="DEFERRED"/>
    <n v="8"/>
    <s v="DEFERRED"/>
    <m/>
    <m/>
    <m/>
    <s v="BURG W-INTENT-COMMIT OTHER FEL"/>
    <m/>
    <s v="F1"/>
    <s v="BURGLARY"/>
    <m/>
    <m/>
    <m/>
    <m/>
    <m/>
    <m/>
    <m/>
    <m/>
    <m/>
    <s v="Hired Attorney"/>
    <m/>
    <m/>
    <n v="7"/>
    <n v="193"/>
    <n v="201"/>
    <n v="43.133879781420767"/>
    <n v="0"/>
    <n v="-186"/>
    <s v="DEFERRED"/>
    <x v="1"/>
    <s v="Y"/>
    <m/>
    <s v="DEFERRED"/>
    <s v="Y"/>
    <x v="1"/>
    <x v="0"/>
    <s v="Y"/>
    <n v="3.482587064676617E-2"/>
    <n v="3.6269430051813469E-2"/>
    <n v="1.4435594050472983E-3"/>
    <n v="0"/>
    <n v="-7"/>
    <n v="0"/>
    <n v="7"/>
    <e v="#VALUE!"/>
    <n v="7"/>
    <n v="0"/>
    <n v="186"/>
    <m/>
    <s v="Y"/>
    <m/>
    <s v="0-10 DAYS"/>
    <n v="1"/>
    <x v="0"/>
  </r>
  <r>
    <n v="1976"/>
    <s v="N"/>
    <s v="N"/>
    <n v="1688292"/>
    <n v="4"/>
    <d v="2012-03-14T00:00:00"/>
    <d v="2012-08-21T00:00:00"/>
    <n v="1688292"/>
    <d v="2012-03-15T00:00:00"/>
    <d v="2012-08-21T00:00:00"/>
    <n v="15000"/>
    <x v="0"/>
    <m/>
    <s v="N"/>
    <s v="NONE"/>
    <s v="GUILTY PLEA - NO JURY"/>
    <n v="160"/>
    <n v="161"/>
    <n v="4"/>
    <n v="3"/>
    <n v="3"/>
    <m/>
    <m/>
    <m/>
    <m/>
    <m/>
    <m/>
    <m/>
    <m/>
    <d v="1979-04-14T00:00:00"/>
    <s v="M"/>
    <s v="B"/>
    <s v="BLACK"/>
    <s v="NULL"/>
    <s v="228"/>
    <s v="CONVICTED"/>
    <n v="6"/>
    <s v="HCJ"/>
    <m/>
    <m/>
    <n v="365"/>
    <s v="theft&gt;=$500&lt;$1,500"/>
    <m/>
    <m/>
    <s v="THEFT"/>
    <m/>
    <m/>
    <m/>
    <m/>
    <m/>
    <m/>
    <m/>
    <m/>
    <m/>
    <s v="Appointed Attorney"/>
    <m/>
    <m/>
    <n v="160"/>
    <n v="160"/>
    <n v="161"/>
    <n v="32.849726775956285"/>
    <n v="0"/>
    <n v="0"/>
    <s v="CONVICTION"/>
    <x v="0"/>
    <s v="N"/>
    <m/>
    <s v="CONVICTION"/>
    <s v="Y"/>
    <x v="0"/>
    <x v="0"/>
    <s v="Y"/>
    <n v="0.99378881987577639"/>
    <n v="1"/>
    <n v="6.2111801242236142E-3"/>
    <n v="0"/>
    <n v="-160"/>
    <n v="0"/>
    <n v="160"/>
    <e v="#VALUE!"/>
    <n v="160"/>
    <n v="0"/>
    <n v="0"/>
    <m/>
    <s v="Y"/>
    <m/>
    <s v="121-365 DAYS"/>
    <n v="6"/>
    <x v="0"/>
  </r>
  <r>
    <n v="1270"/>
    <s v="N"/>
    <s v="N"/>
    <n v="1689876"/>
    <n v="1"/>
    <d v="2012-02-16T00:00:00"/>
    <d v="2012-03-13T00:00:00"/>
    <n v="1689876"/>
    <d v="2012-02-16T00:00:00"/>
    <d v="2012-03-13T00:00:00"/>
    <n v="15000"/>
    <x v="0"/>
    <m/>
    <s v="N"/>
    <s v="NONE"/>
    <s v="DISMISSED"/>
    <n v="27"/>
    <n v="27"/>
    <n v="0"/>
    <n v="1"/>
    <m/>
    <m/>
    <m/>
    <m/>
    <m/>
    <m/>
    <m/>
    <m/>
    <m/>
    <d v="1975-05-13T00:00:00"/>
    <s v="M"/>
    <s v="B"/>
    <s v="BLACK"/>
    <s v="NON-HISPANIC"/>
    <s v="263"/>
    <s v="DISMISSED"/>
    <n v="2"/>
    <s v="DISMISSED"/>
    <m/>
    <m/>
    <m/>
    <s v="UNAUTH USE OF VEHICLE"/>
    <m/>
    <s v="FS"/>
    <s v="AUTO THEFT"/>
    <m/>
    <m/>
    <m/>
    <m/>
    <m/>
    <m/>
    <m/>
    <m/>
    <m/>
    <s v="Appointed Attorney"/>
    <m/>
    <m/>
    <n v="27"/>
    <n v="27"/>
    <n v="27"/>
    <n v="36.688524590163937"/>
    <n v="0"/>
    <n v="0"/>
    <s v="NO CONVICTION"/>
    <x v="0"/>
    <s v="N"/>
    <m/>
    <s v="NO CONVICTION"/>
    <s v="Y"/>
    <x v="0"/>
    <x v="0"/>
    <s v="N"/>
    <n v="1"/>
    <n v="1"/>
    <n v="0"/>
    <n v="0"/>
    <n v="-27"/>
    <n v="0"/>
    <n v="27"/>
    <e v="#VALUE!"/>
    <n v="27"/>
    <n v="0"/>
    <n v="0"/>
    <m/>
    <s v="Y"/>
    <m/>
    <s v="11-30 DAYS"/>
    <n v="2"/>
    <x v="0"/>
  </r>
  <r>
    <n v="1044"/>
    <s v="N"/>
    <s v="N"/>
    <n v="1691181"/>
    <n v="4"/>
    <d v="2012-02-08T00:00:00"/>
    <d v="2012-04-09T00:00:00"/>
    <n v="1691181"/>
    <d v="2012-02-08T00:00:00"/>
    <d v="2012-04-09T00:00:00"/>
    <s v="NO BOND"/>
    <x v="1"/>
    <m/>
    <s v="N"/>
    <s v="NONE"/>
    <s v="GUILTY PLEA - NO JURY"/>
    <n v="62"/>
    <n v="62"/>
    <n v="0"/>
    <n v="0"/>
    <m/>
    <m/>
    <m/>
    <m/>
    <m/>
    <m/>
    <m/>
    <m/>
    <m/>
    <d v="1970-11-27T00:00:00"/>
    <s v="M"/>
    <s v="H"/>
    <s v="HISPANIC"/>
    <s v="HISPANIC"/>
    <s v="183"/>
    <s v="CONVICTED"/>
    <n v="3"/>
    <s v="HCJ"/>
    <m/>
    <m/>
    <n v="120"/>
    <s v="POSS CS PG 1 &lt;1G"/>
    <m/>
    <s v="FS"/>
    <s v="POSS DRUG"/>
    <m/>
    <m/>
    <m/>
    <m/>
    <m/>
    <m/>
    <m/>
    <m/>
    <m/>
    <s v="Hired Attorney"/>
    <m/>
    <m/>
    <n v="62"/>
    <n v="62"/>
    <n v="62"/>
    <n v="41.114754098360656"/>
    <n v="0"/>
    <n v="0"/>
    <s v="CONVICTION"/>
    <x v="0"/>
    <s v="N"/>
    <m/>
    <s v="CONVICTION"/>
    <s v="Y"/>
    <x v="0"/>
    <x v="0"/>
    <s v="N"/>
    <n v="1"/>
    <n v="1"/>
    <n v="0"/>
    <n v="0"/>
    <n v="-62"/>
    <n v="0"/>
    <n v="62"/>
    <e v="#VALUE!"/>
    <n v="62"/>
    <n v="0"/>
    <n v="0"/>
    <m/>
    <s v="N"/>
    <m/>
    <s v="61-90 DAYS"/>
    <n v="4"/>
    <x v="0"/>
  </r>
  <r>
    <n v="1019"/>
    <s v="N"/>
    <s v="N"/>
    <n v="1691293"/>
    <n v="1"/>
    <d v="2012-02-08T00:00:00"/>
    <d v="2012-05-16T00:00:00"/>
    <n v="1691293"/>
    <d v="2012-02-08T00:00:00"/>
    <d v="2012-02-09T00:00:00"/>
    <n v="15000"/>
    <x v="0"/>
    <d v="2012-02-09T00:00:00"/>
    <s v="Y"/>
    <s v="SURETYPTRc"/>
    <s v="DISMISSED"/>
    <n v="2"/>
    <n v="99"/>
    <n v="4"/>
    <n v="6"/>
    <n v="3"/>
    <m/>
    <m/>
    <m/>
    <m/>
    <m/>
    <m/>
    <m/>
    <m/>
    <d v="1972-09-25T00:00:00"/>
    <s v="M"/>
    <s v="B"/>
    <s v="BLACK"/>
    <s v="NULL"/>
    <s v="185"/>
    <s v="DISMISSED"/>
    <n v="6"/>
    <s v="DISMISSED"/>
    <m/>
    <m/>
    <m/>
    <s v="POSS MARIJ  4 OZ. - 5 LBS."/>
    <m/>
    <s v="FS"/>
    <s v="POSS DRUG"/>
    <m/>
    <m/>
    <m/>
    <m/>
    <m/>
    <m/>
    <m/>
    <m/>
    <m/>
    <s v="Hired Attorney"/>
    <m/>
    <m/>
    <n v="2"/>
    <n v="99"/>
    <n v="99"/>
    <n v="39.289617486338798"/>
    <n v="0"/>
    <n v="-97"/>
    <s v="NO CONVICTION"/>
    <x v="1"/>
    <s v="Y"/>
    <m/>
    <s v="NO CONVICTION"/>
    <s v="Y"/>
    <x v="1"/>
    <x v="0"/>
    <s v="Y"/>
    <n v="2.0202020202020204E-2"/>
    <n v="2.0202020202020204E-2"/>
    <n v="0"/>
    <n v="0"/>
    <n v="-2"/>
    <n v="0"/>
    <n v="2"/>
    <e v="#VALUE!"/>
    <n v="2"/>
    <n v="0"/>
    <n v="97"/>
    <m/>
    <s v="Y"/>
    <m/>
    <s v="0-10 DAYS"/>
    <n v="1"/>
    <x v="0"/>
  </r>
  <r>
    <n v="3009"/>
    <s v="N"/>
    <s v="N"/>
    <n v="1691833"/>
    <n v="6"/>
    <d v="2012-04-20T00:00:00"/>
    <d v="2012-06-13T00:00:00"/>
    <n v="1691833"/>
    <d v="2012-04-21T00:00:00"/>
    <d v="2012-06-13T00:00:00"/>
    <n v="3000"/>
    <x v="4"/>
    <m/>
    <s v="N"/>
    <s v="NONE"/>
    <s v="GUILTY PLEA - NO JURY"/>
    <n v="54"/>
    <n v="55"/>
    <n v="7"/>
    <n v="3"/>
    <n v="3"/>
    <m/>
    <m/>
    <m/>
    <m/>
    <m/>
    <m/>
    <m/>
    <m/>
    <d v="1969-12-13T00:00:00"/>
    <s v="F"/>
    <s v="B"/>
    <s v="BLACK"/>
    <s v="NULL"/>
    <s v="179"/>
    <s v="CONVICTED"/>
    <n v="3"/>
    <s v="TDC"/>
    <n v="2"/>
    <m/>
    <m/>
    <s v="ROBBERY-BODILY INJURY"/>
    <m/>
    <s v="F2"/>
    <s v="ROBBERY"/>
    <m/>
    <m/>
    <m/>
    <m/>
    <m/>
    <m/>
    <m/>
    <m/>
    <m/>
    <s v="Appointed Attorney"/>
    <m/>
    <m/>
    <n v="54"/>
    <n v="54"/>
    <n v="55"/>
    <n v="42.265027322404372"/>
    <n v="0"/>
    <n v="0"/>
    <s v="CONVICTION"/>
    <x v="0"/>
    <s v="N"/>
    <m/>
    <s v="CONVICTION"/>
    <s v="Y"/>
    <x v="0"/>
    <x v="0"/>
    <s v="Y"/>
    <n v="0.98181818181818181"/>
    <n v="1"/>
    <n v="1.8181818181818188E-2"/>
    <n v="0"/>
    <n v="-54"/>
    <n v="0"/>
    <n v="54"/>
    <e v="#VALUE!"/>
    <n v="54"/>
    <n v="0"/>
    <n v="0"/>
    <m/>
    <s v="Y"/>
    <m/>
    <s v="31-60 DAYS"/>
    <n v="3"/>
    <x v="0"/>
  </r>
  <r>
    <n v="9"/>
    <s v="N"/>
    <s v="N"/>
    <n v="1692124"/>
    <n v="6"/>
    <d v="2012-01-01T00:00:00"/>
    <d v="2012-10-24T00:00:00"/>
    <n v="1692124"/>
    <d v="2012-01-02T00:00:00"/>
    <d v="2012-10-24T00:00:00"/>
    <n v="35000"/>
    <x v="2"/>
    <m/>
    <s v="N"/>
    <s v="NONE"/>
    <s v="GUILTY PLEA - NO JURY"/>
    <n v="297"/>
    <n v="298"/>
    <n v="1"/>
    <n v="5"/>
    <m/>
    <m/>
    <m/>
    <m/>
    <m/>
    <m/>
    <m/>
    <m/>
    <m/>
    <d v="1975-12-29T00:00:00"/>
    <s v="M"/>
    <s v="H"/>
    <s v="HISPANIC"/>
    <s v="HISPANIC"/>
    <s v="263"/>
    <s v="CONVICTED"/>
    <n v="9"/>
    <s v="TDC"/>
    <n v="2"/>
    <m/>
    <m/>
    <s v="DWI 3RD OFFENDER BAC .08"/>
    <m/>
    <s v="F3"/>
    <s v="FEL DWI"/>
    <m/>
    <m/>
    <m/>
    <m/>
    <m/>
    <m/>
    <m/>
    <m/>
    <m/>
    <s v="Appointed Attorney"/>
    <m/>
    <m/>
    <n v="297"/>
    <n v="297"/>
    <n v="298"/>
    <n v="35.934426229508198"/>
    <n v="0"/>
    <n v="0"/>
    <s v="CONVICTION"/>
    <x v="0"/>
    <s v="N"/>
    <m/>
    <s v="CONVICTION"/>
    <s v="Y"/>
    <x v="0"/>
    <x v="0"/>
    <s v="Y"/>
    <n v="0.99664429530201337"/>
    <n v="1"/>
    <n v="3.3557046979866278E-3"/>
    <n v="0"/>
    <n v="-297"/>
    <n v="0"/>
    <n v="297"/>
    <e v="#VALUE!"/>
    <n v="297"/>
    <n v="0"/>
    <n v="0"/>
    <m/>
    <s v="Y"/>
    <m/>
    <s v="121-365 DAYS"/>
    <n v="6"/>
    <x v="0"/>
  </r>
  <r>
    <n v="809"/>
    <s v="N"/>
    <s v="N"/>
    <n v="1692511"/>
    <n v="1"/>
    <d v="2012-01-31T00:00:00"/>
    <d v="2012-02-02T00:00:00"/>
    <n v="1692511"/>
    <d v="2012-01-31T00:00:00"/>
    <d v="2012-02-02T00:00:00"/>
    <n v="15000"/>
    <x v="0"/>
    <m/>
    <s v="N"/>
    <s v="NONE"/>
    <s v="DISMISSED"/>
    <n v="3"/>
    <n v="3"/>
    <n v="3"/>
    <n v="1"/>
    <n v="2"/>
    <m/>
    <m/>
    <m/>
    <m/>
    <m/>
    <m/>
    <s v="S"/>
    <m/>
    <d v="1980-10-20T00:00:00"/>
    <s v="M"/>
    <s v="H"/>
    <s v="HISPANIC"/>
    <s v="NON-HISPANIC"/>
    <s v="182"/>
    <s v="DISMISSED"/>
    <n v="1"/>
    <s v="DISMISSED"/>
    <m/>
    <m/>
    <m/>
    <s v="POSS CS PG 1  1 - 4 GRAMS"/>
    <m/>
    <s v="F3"/>
    <s v="POSS DRUG"/>
    <m/>
    <m/>
    <m/>
    <m/>
    <m/>
    <m/>
    <m/>
    <m/>
    <m/>
    <s v="Hired Attorney"/>
    <m/>
    <m/>
    <n v="3"/>
    <n v="3"/>
    <n v="3"/>
    <n v="31.215846994535518"/>
    <n v="0"/>
    <n v="0"/>
    <s v="NO CONVICTION"/>
    <x v="0"/>
    <s v="N"/>
    <m/>
    <s v="NO 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75"/>
    <s v="N"/>
    <s v="N"/>
    <n v="1692863"/>
    <n v="3"/>
    <d v="2012-01-08T00:00:00"/>
    <d v="2012-02-17T00:00:00"/>
    <n v="1692863"/>
    <d v="2012-01-08T00:00:00"/>
    <d v="2012-01-10T00:00:00"/>
    <n v="20000"/>
    <x v="0"/>
    <d v="2012-01-10T00:00:00"/>
    <s v="Y"/>
    <s v="SURETY"/>
    <s v="GUILTY PLEA - NO JURY"/>
    <n v="3"/>
    <n v="41"/>
    <n v="4"/>
    <n v="5"/>
    <n v="4"/>
    <m/>
    <m/>
    <m/>
    <m/>
    <m/>
    <m/>
    <m/>
    <m/>
    <d v="1981-07-30T00:00:00"/>
    <s v="M"/>
    <s v="W"/>
    <s v="WHITE"/>
    <s v="NON-HISPANIC"/>
    <s v="208"/>
    <s v="CONVICTED"/>
    <n v="9"/>
    <s v="PROBATION"/>
    <m/>
    <m/>
    <m/>
    <s v="DWI 3RD OFFENDER BAC .08"/>
    <m/>
    <s v="F3"/>
    <s v="FEL DWI"/>
    <m/>
    <m/>
    <m/>
    <m/>
    <m/>
    <m/>
    <m/>
    <m/>
    <m/>
    <s v="Hired Attorney"/>
    <m/>
    <m/>
    <n v="3"/>
    <n v="41"/>
    <n v="41"/>
    <n v="30.379781420765028"/>
    <n v="0"/>
    <n v="-38"/>
    <s v="CONVICTION"/>
    <x v="1"/>
    <s v="Y"/>
    <m/>
    <s v="CONVICTION"/>
    <s v="Y"/>
    <x v="1"/>
    <x v="0"/>
    <s v="Y"/>
    <n v="7.3170731707317069E-2"/>
    <n v="7.3170731707317069E-2"/>
    <n v="0"/>
    <n v="0"/>
    <n v="-3"/>
    <n v="0"/>
    <n v="3"/>
    <e v="#VALUE!"/>
    <n v="3"/>
    <n v="0"/>
    <n v="38"/>
    <m/>
    <s v="Y"/>
    <m/>
    <s v="0-10 DAYS"/>
    <n v="1"/>
    <x v="0"/>
  </r>
  <r>
    <n v="2806"/>
    <s v="N"/>
    <s v="N"/>
    <n v="1694237"/>
    <n v="4"/>
    <d v="2012-04-13T00:00:00"/>
    <d v="2012-09-28T00:00:00"/>
    <n v="1694237"/>
    <d v="2012-06-02T00:00:00"/>
    <d v="2012-06-03T00:00:00"/>
    <n v="15000"/>
    <x v="0"/>
    <d v="2012-06-03T00:00:00"/>
    <s v="Y"/>
    <s v="SURETY"/>
    <s v="GUILTY PLEA - NO JURY"/>
    <n v="2"/>
    <n v="169"/>
    <n v="4"/>
    <n v="5"/>
    <n v="2"/>
    <m/>
    <m/>
    <m/>
    <m/>
    <m/>
    <m/>
    <m/>
    <m/>
    <d v="1980-04-03T00:00:00"/>
    <s v="M"/>
    <s v="B"/>
    <s v="BLACK"/>
    <s v="NON-HISPANIC"/>
    <s v="179"/>
    <s v="CONVICTED"/>
    <n v="7"/>
    <s v="HCJ"/>
    <m/>
    <m/>
    <n v="60"/>
    <s v="CREDIT/DEBIT CARD ABUSE"/>
    <m/>
    <s v="FS"/>
    <s v="OTHER FEL"/>
    <s v="misd disp 9/19/12 hcj 20 d"/>
    <m/>
    <m/>
    <m/>
    <m/>
    <m/>
    <m/>
    <m/>
    <m/>
    <s v="Hired Attorney"/>
    <m/>
    <m/>
    <n v="2"/>
    <n v="119"/>
    <n v="169"/>
    <n v="31.961748633879782"/>
    <n v="0"/>
    <n v="-117"/>
    <s v="CONVICTION"/>
    <x v="1"/>
    <s v="Y"/>
    <m/>
    <s v="CONVICTION"/>
    <s v="Y"/>
    <x v="1"/>
    <x v="0"/>
    <s v="Y"/>
    <n v="1.1834319526627219E-2"/>
    <n v="1.680672268907563E-2"/>
    <n v="4.9724031624484109E-3"/>
    <n v="0"/>
    <n v="-2"/>
    <n v="0"/>
    <n v="2"/>
    <e v="#VALUE!"/>
    <n v="2"/>
    <n v="0"/>
    <n v="117"/>
    <m/>
    <s v="Y"/>
    <m/>
    <s v="0-10 DAYS"/>
    <n v="1"/>
    <x v="0"/>
  </r>
  <r>
    <n v="210"/>
    <s v="N"/>
    <s v="Y"/>
    <n v="1694275"/>
    <n v="6"/>
    <d v="2012-01-10T00:00:00"/>
    <d v="2013-10-16T00:00:00"/>
    <n v="1694275"/>
    <d v="2012-01-10T00:00:00"/>
    <d v="2013-03-27T00:00:00"/>
    <n v="40000"/>
    <x v="2"/>
    <d v="2012-01-27T00:00:00"/>
    <s v="Y"/>
    <s v="SURETY"/>
    <s v="GUILTY PLEA - NO JURY"/>
    <n v="202"/>
    <n v="646"/>
    <n v="5"/>
    <n v="2"/>
    <n v="5"/>
    <m/>
    <m/>
    <m/>
    <m/>
    <m/>
    <m/>
    <m/>
    <m/>
    <d v="1980-07-05T00:00:00"/>
    <s v="M"/>
    <s v="B"/>
    <s v="BLACK"/>
    <s v="NON-HISPANIC"/>
    <s v="178"/>
    <s v="CONVICTED"/>
    <n v="5"/>
    <s v="TDC"/>
    <n v="20"/>
    <m/>
    <m/>
    <s v="FELONY WEAPON POSS"/>
    <m/>
    <s v="F1"/>
    <s v="OTHER FEL"/>
    <s v=" '02/12/2013"/>
    <d v="2013-02-12T00:00:00"/>
    <s v="Y"/>
    <s v="02/12/2013"/>
    <m/>
    <m/>
    <m/>
    <d v="2013-07-15T00:00:00"/>
    <n v="459"/>
    <s v="Hired Attorney"/>
    <m/>
    <m/>
    <n v="202"/>
    <n v="646"/>
    <n v="646"/>
    <n v="31.450819672131146"/>
    <n v="-425"/>
    <n v="-203"/>
    <s v="CONVICTION"/>
    <x v="1"/>
    <s v="Y"/>
    <m/>
    <s v="CONVICTION"/>
    <s v="Y"/>
    <x v="0"/>
    <x v="0"/>
    <s v="Y"/>
    <n v="0.31269349845201239"/>
    <n v="0.68575851393188858"/>
    <n v="0.37306501547987619"/>
    <n v="0"/>
    <n v="-443"/>
    <n v="-241"/>
    <n v="646"/>
    <n v="202"/>
    <n v="646"/>
    <n v="203"/>
    <n v="203"/>
    <m/>
    <s v="Y"/>
    <m/>
    <s v="121-365 DAYS"/>
    <n v="6"/>
    <x v="0"/>
  </r>
  <r>
    <n v="365"/>
    <s v="N"/>
    <s v="N"/>
    <n v="1694337"/>
    <n v="5"/>
    <d v="2012-01-15T00:00:00"/>
    <d v="2012-02-10T00:00:00"/>
    <n v="1694337"/>
    <d v="2012-01-15T00:00:00"/>
    <d v="2012-02-10T00:00:00"/>
    <n v="15000"/>
    <x v="0"/>
    <m/>
    <s v="N"/>
    <s v="NONE"/>
    <s v="GUILTY PLEA - NO JURY"/>
    <n v="27"/>
    <n v="27"/>
    <n v="6"/>
    <n v="2"/>
    <n v="5"/>
    <n v="1"/>
    <m/>
    <m/>
    <m/>
    <m/>
    <m/>
    <m/>
    <m/>
    <d v="1981-10-08T00:00:00"/>
    <s v="M"/>
    <s v="H"/>
    <s v="HISPANIC"/>
    <s v="HISPANIC"/>
    <s v="339"/>
    <s v="CONVICTED"/>
    <n v="2"/>
    <s v="STJ"/>
    <m/>
    <n v="9"/>
    <m/>
    <s v="UNAUTH USE OF VEHICLE"/>
    <m/>
    <s v="FS"/>
    <s v="AUTO THEFT"/>
    <m/>
    <m/>
    <m/>
    <m/>
    <m/>
    <m/>
    <m/>
    <m/>
    <m/>
    <s v="Appointed Attorney"/>
    <m/>
    <m/>
    <n v="27"/>
    <n v="27"/>
    <n v="27"/>
    <n v="30.207650273224044"/>
    <n v="0"/>
    <n v="0"/>
    <s v="CONVICTION"/>
    <x v="0"/>
    <s v="N"/>
    <m/>
    <s v="CONVICTION"/>
    <s v="Y"/>
    <x v="0"/>
    <x v="0"/>
    <s v="Y"/>
    <n v="1"/>
    <n v="1"/>
    <n v="0"/>
    <n v="0"/>
    <n v="-27"/>
    <n v="0"/>
    <n v="27"/>
    <e v="#VALUE!"/>
    <n v="27"/>
    <n v="0"/>
    <n v="0"/>
    <m/>
    <s v="Y"/>
    <m/>
    <s v="11-30 DAYS"/>
    <n v="2"/>
    <x v="0"/>
  </r>
  <r>
    <n v="1260"/>
    <s v="N"/>
    <s v="N"/>
    <n v="1694467"/>
    <n v="5"/>
    <d v="2012-02-16T00:00:00"/>
    <d v="2012-03-13T00:00:00"/>
    <n v="1694467"/>
    <d v="2012-02-16T00:00:00"/>
    <d v="2012-03-13T00:00:00"/>
    <n v="15000"/>
    <x v="0"/>
    <m/>
    <s v="N"/>
    <s v="NONE"/>
    <s v="GUILTY PLEA - NO JURY"/>
    <n v="27"/>
    <n v="27"/>
    <n v="3"/>
    <n v="6"/>
    <n v="1"/>
    <m/>
    <m/>
    <m/>
    <m/>
    <m/>
    <m/>
    <m/>
    <m/>
    <d v="1980-08-15T00:00:00"/>
    <s v="M"/>
    <s v="B"/>
    <s v="BLACK"/>
    <s v="NON-HISPANIC"/>
    <s v="178"/>
    <s v="CONVICTED"/>
    <n v="2"/>
    <s v="STJ"/>
    <m/>
    <n v="6"/>
    <m/>
    <s v="UNAUTH USE OF VEHICLE"/>
    <m/>
    <s v="FS"/>
    <s v="AUTO THEFT"/>
    <m/>
    <m/>
    <m/>
    <m/>
    <m/>
    <m/>
    <m/>
    <m/>
    <m/>
    <s v="Appointed Attorney"/>
    <m/>
    <m/>
    <n v="27"/>
    <n v="27"/>
    <n v="27"/>
    <n v="31.439890710382514"/>
    <n v="0"/>
    <n v="0"/>
    <s v="CONVICTION"/>
    <x v="0"/>
    <s v="N"/>
    <m/>
    <s v="CONVICTION"/>
    <s v="Y"/>
    <x v="0"/>
    <x v="0"/>
    <s v="Y"/>
    <n v="1"/>
    <n v="1"/>
    <n v="0"/>
    <n v="0"/>
    <n v="-27"/>
    <n v="0"/>
    <n v="27"/>
    <e v="#VALUE!"/>
    <n v="27"/>
    <n v="0"/>
    <n v="0"/>
    <m/>
    <s v="Y"/>
    <m/>
    <s v="11-30 DAYS"/>
    <n v="2"/>
    <x v="0"/>
  </r>
  <r>
    <n v="3092"/>
    <s v="N"/>
    <s v="N"/>
    <n v="1694889"/>
    <n v="6"/>
    <d v="2012-04-24T00:00:00"/>
    <d v="2012-05-08T00:00:00"/>
    <n v="1694889"/>
    <d v="2012-04-27T00:00:00"/>
    <d v="2012-05-08T00:00:00"/>
    <n v="15000"/>
    <x v="0"/>
    <m/>
    <s v="N"/>
    <s v="NONE"/>
    <s v="GUILTY PLEA - NO JURY"/>
    <n v="12"/>
    <n v="15"/>
    <n v="10"/>
    <n v="1"/>
    <n v="5"/>
    <m/>
    <m/>
    <m/>
    <m/>
    <m/>
    <m/>
    <m/>
    <m/>
    <d v="1980-07-16T00:00:00"/>
    <s v="M"/>
    <s v="B"/>
    <s v="BLACK"/>
    <s v="NON-HISPANIC"/>
    <s v="262"/>
    <s v="CONVICTED"/>
    <n v="4"/>
    <s v="TDC"/>
    <n v="2"/>
    <m/>
    <m/>
    <s v="BURGLARY OF A BUILDING"/>
    <m/>
    <s v="FS"/>
    <s v="BURGLARY"/>
    <m/>
    <m/>
    <m/>
    <m/>
    <m/>
    <m/>
    <m/>
    <m/>
    <m/>
    <s v="Appointed Attorney"/>
    <m/>
    <m/>
    <n v="12"/>
    <n v="12"/>
    <n v="15"/>
    <n v="31.707650273224044"/>
    <n v="0"/>
    <n v="0"/>
    <s v="CONVICTION"/>
    <x v="0"/>
    <s v="N"/>
    <m/>
    <s v="CONVICTION"/>
    <s v="Y"/>
    <x v="0"/>
    <x v="0"/>
    <s v="Y"/>
    <n v="0.8"/>
    <n v="1"/>
    <n v="0.19999999999999996"/>
    <n v="0"/>
    <n v="-12"/>
    <n v="0"/>
    <n v="12"/>
    <e v="#VALUE!"/>
    <n v="12"/>
    <n v="0"/>
    <n v="0"/>
    <m/>
    <s v="Y"/>
    <m/>
    <s v="11-30 DAYS"/>
    <n v="2"/>
    <x v="0"/>
  </r>
  <r>
    <n v="2881"/>
    <s v="N"/>
    <s v="N"/>
    <n v="1695264"/>
    <n v="6"/>
    <d v="2012-04-17T00:00:00"/>
    <d v="2012-06-04T00:00:00"/>
    <n v="1695264"/>
    <d v="2012-04-17T00:00:00"/>
    <d v="2012-06-04T00:00:00"/>
    <s v="NO BOND"/>
    <x v="1"/>
    <m/>
    <s v="N"/>
    <s v="NONE"/>
    <s v="GUILTY PLEA - NO JURY"/>
    <n v="49"/>
    <n v="49"/>
    <n v="2"/>
    <n v="0"/>
    <n v="1"/>
    <n v="1"/>
    <m/>
    <m/>
    <m/>
    <m/>
    <m/>
    <m/>
    <m/>
    <d v="1979-01-10T00:00:00"/>
    <s v="M"/>
    <s v="B"/>
    <s v="BLACK"/>
    <s v="NULL"/>
    <s v="184"/>
    <s v="CONVICTED"/>
    <n v="5"/>
    <s v="TDC"/>
    <n v="2"/>
    <m/>
    <m/>
    <s v="POSS CS PG 1 4G - 200G"/>
    <m/>
    <s v="F2"/>
    <s v="POSS DRUG"/>
    <m/>
    <m/>
    <m/>
    <m/>
    <m/>
    <m/>
    <m/>
    <m/>
    <m/>
    <s v="Appointed Attorney"/>
    <m/>
    <m/>
    <n v="49"/>
    <n v="49"/>
    <n v="49"/>
    <n v="33.199453551912569"/>
    <n v="0"/>
    <n v="0"/>
    <s v="CONVICTION"/>
    <x v="0"/>
    <s v="N"/>
    <m/>
    <s v="CONVICTION"/>
    <s v="Y"/>
    <x v="0"/>
    <x v="0"/>
    <s v="Y"/>
    <n v="1"/>
    <n v="1"/>
    <n v="0"/>
    <n v="0"/>
    <n v="-49"/>
    <n v="0"/>
    <n v="49"/>
    <e v="#VALUE!"/>
    <n v="49"/>
    <n v="0"/>
    <n v="0"/>
    <m/>
    <s v="Y"/>
    <m/>
    <s v="31-60 DAYS"/>
    <n v="3"/>
    <x v="0"/>
  </r>
  <r>
    <n v="2149"/>
    <s v="N"/>
    <s v="N"/>
    <n v="1697501"/>
    <n v="1"/>
    <d v="2012-03-21T00:00:00"/>
    <d v="2012-11-08T00:00:00"/>
    <n v="1697501"/>
    <d v="2012-03-21T00:00:00"/>
    <d v="2012-03-25T00:00:00"/>
    <n v="15000"/>
    <x v="0"/>
    <d v="2012-03-25T00:00:00"/>
    <s v="Y"/>
    <s v="SURETY"/>
    <s v="DISMISSED"/>
    <n v="5"/>
    <n v="233"/>
    <n v="3"/>
    <n v="2"/>
    <n v="2"/>
    <m/>
    <m/>
    <m/>
    <m/>
    <m/>
    <m/>
    <m/>
    <m/>
    <d v="1980-06-14T00:00:00"/>
    <s v="M"/>
    <s v="H"/>
    <s v="HISPANIC"/>
    <s v="HISPANIC"/>
    <s v="208"/>
    <s v="DISMISSED"/>
    <n v="10"/>
    <s v="DISMISSED"/>
    <m/>
    <m/>
    <m/>
    <s v="UNAUTH USE OF VEHICLE"/>
    <m/>
    <s v="FS"/>
    <s v="AUTO THEFT"/>
    <m/>
    <m/>
    <m/>
    <m/>
    <m/>
    <m/>
    <m/>
    <m/>
    <m/>
    <s v="Hired Attorney"/>
    <m/>
    <m/>
    <n v="5"/>
    <n v="233"/>
    <n v="233"/>
    <n v="31.702185792349727"/>
    <n v="0"/>
    <n v="-228"/>
    <s v="NO CONVICTION"/>
    <x v="1"/>
    <s v="Y"/>
    <m/>
    <s v="NO CONVICTION"/>
    <s v="Y"/>
    <x v="1"/>
    <x v="0"/>
    <s v="Y"/>
    <n v="2.1459227467811159E-2"/>
    <n v="2.1459227467811159E-2"/>
    <n v="0"/>
    <n v="0"/>
    <n v="-5"/>
    <n v="0"/>
    <n v="5"/>
    <e v="#VALUE!"/>
    <n v="5"/>
    <n v="0"/>
    <n v="228"/>
    <m/>
    <s v="Y"/>
    <m/>
    <s v="0-10 DAYS"/>
    <n v="1"/>
    <x v="0"/>
  </r>
  <r>
    <n v="1167"/>
    <s v="N"/>
    <s v="N"/>
    <n v="1698309"/>
    <n v="1"/>
    <d v="2012-02-12T00:00:00"/>
    <d v="2013-02-14T00:00:00"/>
    <n v="1698309"/>
    <d v="2012-02-12T00:00:00"/>
    <d v="2012-03-08T00:00:00"/>
    <n v="50000"/>
    <x v="2"/>
    <d v="2012-03-08T00:00:00"/>
    <s v="Y"/>
    <s v="SURETY"/>
    <s v="DISMISSED"/>
    <n v="26"/>
    <n v="369"/>
    <n v="3"/>
    <n v="6"/>
    <n v="1"/>
    <m/>
    <m/>
    <m/>
    <m/>
    <m/>
    <m/>
    <m/>
    <m/>
    <d v="1981-05-13T00:00:00"/>
    <s v="M"/>
    <s v="B"/>
    <s v="BLACK"/>
    <s v="NULL"/>
    <s v="208"/>
    <s v="DISMISSED"/>
    <n v="19"/>
    <s v="DISMISSED"/>
    <m/>
    <m/>
    <m/>
    <s v="POSS CS PG 4 200-400 GRAMS"/>
    <m/>
    <s v="F2"/>
    <s v="POSS DRUG"/>
    <s v="MISD DRUG 2/14/13 HCJ 2 DAY $400 FINE"/>
    <m/>
    <m/>
    <m/>
    <m/>
    <m/>
    <m/>
    <m/>
    <m/>
    <s v="Hired Attorney"/>
    <m/>
    <m/>
    <n v="26"/>
    <n v="369"/>
    <n v="369"/>
    <n v="30.688524590163933"/>
    <n v="0"/>
    <n v="-343"/>
    <s v="NO CONVICTION"/>
    <x v="1"/>
    <s v="Y"/>
    <m/>
    <s v="NO CONVICTION"/>
    <s v="Y"/>
    <x v="1"/>
    <x v="0"/>
    <s v="Y"/>
    <n v="7.0460704607046065E-2"/>
    <n v="7.0460704607046065E-2"/>
    <n v="0"/>
    <n v="0"/>
    <n v="-26"/>
    <n v="0"/>
    <n v="26"/>
    <e v="#VALUE!"/>
    <n v="26"/>
    <n v="0"/>
    <n v="343"/>
    <m/>
    <s v="Y"/>
    <m/>
    <s v="11-30 DAYS"/>
    <n v="2"/>
    <x v="0"/>
  </r>
  <r>
    <n v="2631"/>
    <s v="N"/>
    <s v="N"/>
    <n v="1698340"/>
    <n v="1"/>
    <d v="2012-04-07T00:00:00"/>
    <d v="2012-04-10T00:00:00"/>
    <n v="1698340"/>
    <d v="2012-04-07T00:00:00"/>
    <d v="2012-04-10T00:00:00"/>
    <n v="20000"/>
    <x v="0"/>
    <m/>
    <s v="N"/>
    <s v="NONE"/>
    <s v="DISMISSED"/>
    <n v="4"/>
    <n v="4"/>
    <n v="3"/>
    <n v="2"/>
    <m/>
    <m/>
    <m/>
    <m/>
    <m/>
    <m/>
    <m/>
    <m/>
    <m/>
    <d v="1981-07-11T00:00:00"/>
    <s v="M"/>
    <s v="B"/>
    <s v="BLACK"/>
    <s v="NULL"/>
    <s v="262"/>
    <s v="DISMISSED"/>
    <n v="1"/>
    <s v="DISMISSED"/>
    <m/>
    <m/>
    <m/>
    <s v="POSS CS PG 1 4G - 200G"/>
    <m/>
    <s v="F2"/>
    <s v="POSS DRUG"/>
    <m/>
    <m/>
    <m/>
    <m/>
    <m/>
    <m/>
    <m/>
    <m/>
    <m/>
    <s v="Appointed Attorney"/>
    <m/>
    <m/>
    <n v="4"/>
    <n v="4"/>
    <n v="4"/>
    <n v="30.6775956284153"/>
    <n v="0"/>
    <n v="0"/>
    <s v="NO CONVICTION"/>
    <x v="0"/>
    <s v="N"/>
    <m/>
    <s v="NO 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1573"/>
    <s v="N"/>
    <s v="N"/>
    <n v="1700177"/>
    <n v="5"/>
    <d v="2012-02-28T00:00:00"/>
    <d v="2012-08-06T00:00:00"/>
    <n v="1700177"/>
    <d v="2012-03-04T00:00:00"/>
    <d v="2012-08-06T00:00:00"/>
    <n v="10000"/>
    <x v="3"/>
    <m/>
    <s v="N"/>
    <s v="NONE"/>
    <s v="GUILTY PLEA - NO JURY"/>
    <n v="156"/>
    <n v="161"/>
    <n v="8"/>
    <n v="8"/>
    <n v="6"/>
    <m/>
    <m/>
    <m/>
    <m/>
    <m/>
    <m/>
    <m/>
    <m/>
    <d v="1980-06-20T00:00:00"/>
    <s v="M"/>
    <s v="B"/>
    <s v="BLACK"/>
    <s v="NON-HISPANIC"/>
    <s v="232"/>
    <s v="CONVICTED"/>
    <n v="10"/>
    <s v="STJ"/>
    <m/>
    <n v="10"/>
    <m/>
    <s v="BURGLARY OF A BUILDING"/>
    <m/>
    <s v="FS"/>
    <s v="BURGLARY"/>
    <m/>
    <m/>
    <m/>
    <m/>
    <m/>
    <m/>
    <m/>
    <m/>
    <m/>
    <s v="Appointed Attorney"/>
    <m/>
    <m/>
    <n v="156"/>
    <n v="156"/>
    <n v="161"/>
    <n v="31.625683060109289"/>
    <n v="0"/>
    <n v="0"/>
    <s v="CONVICTION"/>
    <x v="0"/>
    <s v="N"/>
    <m/>
    <s v="CONVICTION"/>
    <s v="Y"/>
    <x v="0"/>
    <x v="0"/>
    <s v="Y"/>
    <n v="0.96894409937888204"/>
    <n v="1"/>
    <n v="3.105590062111796E-2"/>
    <n v="0"/>
    <n v="-156"/>
    <n v="0"/>
    <n v="156"/>
    <e v="#VALUE!"/>
    <n v="156"/>
    <n v="0"/>
    <n v="0"/>
    <m/>
    <s v="Y"/>
    <m/>
    <s v="121-365 DAYS"/>
    <n v="6"/>
    <x v="0"/>
  </r>
  <r>
    <n v="1682"/>
    <s v="N"/>
    <s v="N"/>
    <n v="1700619"/>
    <n v="6"/>
    <d v="2012-03-02T00:00:00"/>
    <d v="2012-07-30T00:00:00"/>
    <n v="1700619"/>
    <d v="2012-03-03T00:00:00"/>
    <d v="2012-07-30T00:00:00"/>
    <s v="NO BOND"/>
    <x v="1"/>
    <m/>
    <s v="N"/>
    <s v="NONE"/>
    <s v="GUILTY PLEA - NO JURY"/>
    <n v="150"/>
    <n v="151"/>
    <n v="8"/>
    <n v="1"/>
    <n v="7"/>
    <m/>
    <m/>
    <m/>
    <m/>
    <m/>
    <m/>
    <m/>
    <m/>
    <d v="1979-11-16T00:00:00"/>
    <s v="M"/>
    <s v="B"/>
    <s v="BLACK"/>
    <s v="NULL"/>
    <s v="179"/>
    <s v="CONVICTED"/>
    <n v="11"/>
    <s v="TDC"/>
    <n v="10"/>
    <m/>
    <m/>
    <s v="TAMPER/FABRICATE EVIDENCE"/>
    <m/>
    <s v="F3"/>
    <s v="OTHER FEL"/>
    <m/>
    <m/>
    <m/>
    <m/>
    <m/>
    <m/>
    <m/>
    <m/>
    <m/>
    <s v="Public Defender"/>
    <m/>
    <m/>
    <n v="150"/>
    <n v="150"/>
    <n v="151"/>
    <n v="32.22677595628415"/>
    <n v="0"/>
    <n v="0"/>
    <s v="CONVICTION"/>
    <x v="0"/>
    <s v="N"/>
    <m/>
    <s v="CONVICTION"/>
    <s v="Y"/>
    <x v="0"/>
    <x v="0"/>
    <s v="Y"/>
    <n v="0.99337748344370858"/>
    <n v="1"/>
    <n v="6.6225165562914245E-3"/>
    <n v="0"/>
    <n v="-150"/>
    <n v="0"/>
    <n v="150"/>
    <e v="#VALUE!"/>
    <n v="150"/>
    <n v="0"/>
    <n v="0"/>
    <m/>
    <s v="Y"/>
    <m/>
    <s v="121-365 DAYS"/>
    <n v="6"/>
    <x v="0"/>
  </r>
  <r>
    <n v="1461"/>
    <s v="N"/>
    <s v="N"/>
    <n v="1703559"/>
    <n v="1"/>
    <d v="2012-02-23T00:00:00"/>
    <d v="2012-08-23T00:00:00"/>
    <n v="1703559"/>
    <d v="2012-02-24T00:00:00"/>
    <d v="2012-03-03T00:00:00"/>
    <n v="50000"/>
    <x v="2"/>
    <d v="2012-03-03T00:00:00"/>
    <s v="Y"/>
    <s v="SURETY"/>
    <s v="DISMISSED"/>
    <n v="9"/>
    <n v="183"/>
    <n v="4"/>
    <n v="2"/>
    <n v="1"/>
    <n v="1"/>
    <m/>
    <m/>
    <m/>
    <m/>
    <m/>
    <m/>
    <m/>
    <d v="1976-09-27T00:00:00"/>
    <s v="M"/>
    <s v="H"/>
    <s v="HISPANIC"/>
    <s v="HISPANIC"/>
    <s v="228"/>
    <s v="DISMISSED"/>
    <n v="9"/>
    <s v="DISMISSED"/>
    <m/>
    <m/>
    <m/>
    <s v="POSS CS PG 4 28-200 GRAMS"/>
    <m/>
    <s v="F3"/>
    <s v="POSS DRUG"/>
    <m/>
    <m/>
    <m/>
    <m/>
    <m/>
    <m/>
    <m/>
    <m/>
    <m/>
    <s v="Hired Attorney"/>
    <m/>
    <m/>
    <n v="9"/>
    <n v="182"/>
    <n v="183"/>
    <n v="35.333333333333336"/>
    <n v="0"/>
    <n v="-173"/>
    <s v="NO CONVICTION"/>
    <x v="1"/>
    <s v="Y"/>
    <m/>
    <s v="NO CONVICTION"/>
    <s v="Y"/>
    <x v="1"/>
    <x v="0"/>
    <s v="Y"/>
    <n v="4.9180327868852458E-2"/>
    <n v="4.9450549450549448E-2"/>
    <n v="2.7022158169699023E-4"/>
    <n v="0"/>
    <n v="-9"/>
    <n v="0"/>
    <n v="9"/>
    <e v="#VALUE!"/>
    <n v="9"/>
    <n v="0"/>
    <n v="173"/>
    <m/>
    <s v="Y"/>
    <m/>
    <s v="0-10 DAYS"/>
    <n v="1"/>
    <x v="0"/>
  </r>
  <r>
    <n v="160"/>
    <s v="N"/>
    <s v="N"/>
    <n v="1704021"/>
    <n v="4"/>
    <d v="2012-01-07T00:00:00"/>
    <d v="2012-02-06T00:00:00"/>
    <n v="1704021"/>
    <d v="2012-02-03T00:00:00"/>
    <d v="2012-02-06T00:00:00"/>
    <n v="15000"/>
    <x v="0"/>
    <m/>
    <s v="N"/>
    <s v="NONE"/>
    <s v="GUILTY PLEA - NO JURY"/>
    <n v="4"/>
    <n v="31"/>
    <n v="2"/>
    <n v="6"/>
    <n v="1"/>
    <m/>
    <m/>
    <m/>
    <m/>
    <m/>
    <m/>
    <m/>
    <m/>
    <d v="1981-09-24T00:00:00"/>
    <s v="M"/>
    <s v="W"/>
    <s v="WHITE"/>
    <s v="NON-HISPANIC"/>
    <s v="185"/>
    <s v="CONVICTED"/>
    <n v="2"/>
    <s v="HCJ"/>
    <m/>
    <m/>
    <n v="180"/>
    <s v="THEFT UNDER $1500 - 3RD OFF."/>
    <m/>
    <s v="FS"/>
    <s v="THEFT"/>
    <s v="7/31/12 fel  assault hcj 1yr"/>
    <m/>
    <m/>
    <m/>
    <m/>
    <m/>
    <m/>
    <m/>
    <m/>
    <s v="Public Defender"/>
    <m/>
    <m/>
    <n v="4"/>
    <n v="4"/>
    <n v="31"/>
    <n v="30.224043715846996"/>
    <n v="0"/>
    <n v="0"/>
    <s v="CONVICTION"/>
    <x v="0"/>
    <s v="N"/>
    <m/>
    <s v="CONVICTION"/>
    <s v="Y"/>
    <x v="0"/>
    <x v="0"/>
    <s v="Y"/>
    <n v="0.12903225806451613"/>
    <n v="1"/>
    <n v="0.87096774193548387"/>
    <n v="0"/>
    <n v="-4"/>
    <n v="0"/>
    <n v="4"/>
    <e v="#VALUE!"/>
    <n v="4"/>
    <n v="0"/>
    <n v="0"/>
    <m/>
    <s v="Y"/>
    <m/>
    <s v="0-10 DAYS"/>
    <n v="1"/>
    <x v="0"/>
  </r>
  <r>
    <n v="2721"/>
    <s v="N"/>
    <s v="Y"/>
    <n v="1704137"/>
    <n v="6"/>
    <d v="2012-04-11T00:00:00"/>
    <d v="2012-11-29T00:00:00"/>
    <n v="1704137"/>
    <d v="2012-04-11T00:00:00"/>
    <d v="2012-04-21T00:00:00"/>
    <n v="40000"/>
    <x v="2"/>
    <d v="2012-04-21T00:00:00"/>
    <s v="Y"/>
    <s v="SURETYPTRc"/>
    <s v="GUILTY PLEA - NO JURY"/>
    <n v="19"/>
    <n v="233"/>
    <n v="3"/>
    <n v="2"/>
    <n v="2"/>
    <m/>
    <m/>
    <m/>
    <m/>
    <m/>
    <m/>
    <m/>
    <m/>
    <d v="1977-10-20T00:00:00"/>
    <s v="M"/>
    <s v="B"/>
    <s v="BLACK"/>
    <s v="NON-HISPANIC"/>
    <s v="178"/>
    <s v="CONVICTED"/>
    <n v="6"/>
    <s v="TDC"/>
    <n v="6"/>
    <m/>
    <m/>
    <s v="POSS W/INT DEL CS PG1&gt;=4 &lt;200"/>
    <m/>
    <s v="F1"/>
    <s v="SALE DRUG"/>
    <s v="bf bk recal"/>
    <m/>
    <s v="Y"/>
    <s v="bf7/5/12"/>
    <m/>
    <m/>
    <m/>
    <d v="2013-01-30T00:00:00"/>
    <n v="278"/>
    <s v="Appointed Attorney"/>
    <m/>
    <m/>
    <n v="19"/>
    <n v="233"/>
    <n v="233"/>
    <n v="34.404371584699454"/>
    <n v="0"/>
    <n v="-222"/>
    <s v="CONVICTION"/>
    <x v="1"/>
    <s v="N"/>
    <m/>
    <s v="CONVICTION"/>
    <s v="Y"/>
    <x v="0"/>
    <x v="0"/>
    <s v="Y"/>
    <n v="8.15450643776824E-2"/>
    <n v="4.7210300429184553E-2"/>
    <n v="-3.4334763948497847E-2"/>
    <n v="0"/>
    <n v="-11"/>
    <n v="8"/>
    <n v="233"/>
    <n v="19"/>
    <n v="233"/>
    <n v="222"/>
    <n v="222"/>
    <m/>
    <s v="Y"/>
    <m/>
    <s v="11-30 DAYS"/>
    <n v="2"/>
    <x v="0"/>
  </r>
  <r>
    <n v="1840"/>
    <s v="N"/>
    <s v="N"/>
    <n v="1706871"/>
    <n v="5"/>
    <d v="2012-03-09T00:00:00"/>
    <d v="2012-06-27T00:00:00"/>
    <n v="1706871"/>
    <d v="2012-03-09T00:00:00"/>
    <d v="2012-06-27T00:00:00"/>
    <n v="15000"/>
    <x v="0"/>
    <m/>
    <s v="N"/>
    <s v="NONE"/>
    <s v="GUILTY PLEA - NO JURY"/>
    <n v="111"/>
    <n v="111"/>
    <n v="7"/>
    <n v="2"/>
    <n v="5"/>
    <m/>
    <m/>
    <m/>
    <m/>
    <m/>
    <m/>
    <m/>
    <m/>
    <d v="1981-10-04T00:00:00"/>
    <s v="M"/>
    <s v="B"/>
    <s v="BLACK"/>
    <s v="NULL"/>
    <s v="228"/>
    <s v="CONVICTED"/>
    <n v="6"/>
    <s v="STJ"/>
    <m/>
    <n v="9"/>
    <m/>
    <s v="MAN/DEL CS PG I &lt;1GRAM"/>
    <m/>
    <s v="FS"/>
    <s v="SALE DRUG"/>
    <m/>
    <m/>
    <m/>
    <m/>
    <m/>
    <m/>
    <m/>
    <m/>
    <m/>
    <s v="Hired Attorney"/>
    <m/>
    <m/>
    <n v="111"/>
    <n v="111"/>
    <n v="111"/>
    <n v="30.366120218579233"/>
    <n v="0"/>
    <n v="0"/>
    <s v="CONVICTION"/>
    <x v="0"/>
    <s v="N"/>
    <m/>
    <s v="CONVICTION"/>
    <s v="Y"/>
    <x v="0"/>
    <x v="0"/>
    <s v="Y"/>
    <n v="1"/>
    <n v="1"/>
    <n v="0"/>
    <n v="0"/>
    <n v="-111"/>
    <n v="0"/>
    <n v="111"/>
    <e v="#VALUE!"/>
    <n v="111"/>
    <n v="0"/>
    <n v="0"/>
    <m/>
    <s v="Y"/>
    <m/>
    <s v="91-120 DAYS"/>
    <n v="0"/>
    <x v="0"/>
  </r>
  <r>
    <n v="1455"/>
    <s v="N"/>
    <s v="N"/>
    <n v="1707738"/>
    <n v="2"/>
    <d v="2012-02-23T00:00:00"/>
    <d v="2012-03-29T00:00:00"/>
    <n v="1707738"/>
    <d v="2012-02-23T00:00:00"/>
    <d v="2012-03-29T00:00:00"/>
    <n v="5000"/>
    <x v="4"/>
    <m/>
    <s v="N"/>
    <s v="NONE"/>
    <s v="DEFERRED ADJUDICATION "/>
    <n v="36"/>
    <n v="36"/>
    <n v="1"/>
    <n v="1"/>
    <m/>
    <m/>
    <m/>
    <m/>
    <m/>
    <m/>
    <m/>
    <m/>
    <m/>
    <d v="1976-01-22T00:00:00"/>
    <s v="F"/>
    <s v="B"/>
    <s v="BLACK"/>
    <s v="NON-HISPANIC"/>
    <s v="174"/>
    <s v="DEFERRED"/>
    <n v="2"/>
    <s v="DEFERRED"/>
    <m/>
    <m/>
    <m/>
    <s v="THEFT FROM PERSON"/>
    <m/>
    <s v="FS"/>
    <s v="THEFT"/>
    <m/>
    <m/>
    <m/>
    <m/>
    <m/>
    <m/>
    <m/>
    <m/>
    <m/>
    <s v="Appointed Attorney"/>
    <m/>
    <m/>
    <n v="36"/>
    <n v="36"/>
    <n v="36"/>
    <n v="36.013661202185794"/>
    <n v="0"/>
    <n v="0"/>
    <s v="DEFERRED"/>
    <x v="0"/>
    <s v="N"/>
    <m/>
    <s v="DEFERRED"/>
    <s v="Y"/>
    <x v="0"/>
    <x v="0"/>
    <s v="Y"/>
    <n v="1"/>
    <n v="1"/>
    <n v="0"/>
    <n v="0"/>
    <n v="-36"/>
    <n v="0"/>
    <n v="36"/>
    <e v="#VALUE!"/>
    <n v="36"/>
    <n v="0"/>
    <n v="0"/>
    <m/>
    <s v="Y"/>
    <m/>
    <s v="31-60 DAYS"/>
    <n v="3"/>
    <x v="0"/>
  </r>
  <r>
    <n v="2020"/>
    <s v="N"/>
    <s v="N"/>
    <n v="1708675"/>
    <n v="6"/>
    <d v="2012-03-16T00:00:00"/>
    <d v="2012-03-19T00:00:00"/>
    <n v="1708675"/>
    <d v="2012-03-17T00:00:00"/>
    <d v="2012-03-19T00:00:00"/>
    <n v="15000"/>
    <x v="0"/>
    <m/>
    <s v="N"/>
    <s v="NONE"/>
    <s v="GUILTY PLEA - NO JURY"/>
    <n v="3"/>
    <n v="4"/>
    <n v="4"/>
    <n v="2"/>
    <n v="3"/>
    <m/>
    <m/>
    <m/>
    <m/>
    <m/>
    <m/>
    <m/>
    <m/>
    <d v="1979-06-23T00:00:00"/>
    <s v="M"/>
    <s v="B"/>
    <s v="BLACK"/>
    <s v="NON-HISPANIC"/>
    <s v="262"/>
    <s v="CONVICTED"/>
    <n v="1"/>
    <s v="TDC"/>
    <n v="2"/>
    <m/>
    <m/>
    <s v="POSS CS PG 1 &lt;1G"/>
    <m/>
    <s v="FS"/>
    <s v="POSS DRUG"/>
    <m/>
    <m/>
    <m/>
    <m/>
    <m/>
    <m/>
    <m/>
    <m/>
    <m/>
    <s v="Appointed Attorney"/>
    <m/>
    <m/>
    <n v="3"/>
    <n v="3"/>
    <n v="4"/>
    <n v="32.66393442622951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2582"/>
    <s v="N"/>
    <s v="N"/>
    <n v="1708967"/>
    <n v="6"/>
    <d v="2012-04-06T00:00:00"/>
    <d v="2012-05-17T00:00:00"/>
    <n v="1708967"/>
    <d v="2012-04-06T00:00:00"/>
    <d v="2012-04-07T00:00:00"/>
    <n v="10000"/>
    <x v="3"/>
    <d v="2012-04-07T00:00:00"/>
    <s v="Y"/>
    <s v="SURETY"/>
    <s v="GUILTY PLEA - NO JURY"/>
    <n v="2"/>
    <n v="42"/>
    <n v="8"/>
    <n v="4"/>
    <n v="5"/>
    <m/>
    <m/>
    <m/>
    <m/>
    <m/>
    <m/>
    <m/>
    <m/>
    <d v="1982-12-01T00:00:00"/>
    <s v="M"/>
    <s v="B"/>
    <s v="BLACK"/>
    <s v="NON-HISPANIC"/>
    <s v="185"/>
    <s v="CONVICTED"/>
    <n v="4"/>
    <s v="TDC"/>
    <n v="2"/>
    <m/>
    <m/>
    <s v="FELON POSS WPN"/>
    <m/>
    <s v="F3"/>
    <s v="OTHER FEL"/>
    <m/>
    <m/>
    <m/>
    <m/>
    <m/>
    <m/>
    <m/>
    <m/>
    <m/>
    <s v="Appointed Attorney"/>
    <m/>
    <m/>
    <n v="2"/>
    <n v="42"/>
    <n v="42"/>
    <n v="29.28688524590164"/>
    <n v="0"/>
    <n v="-40"/>
    <s v="CONVICTION"/>
    <x v="1"/>
    <s v="Y"/>
    <m/>
    <s v="CONVICTION"/>
    <s v="Y"/>
    <x v="1"/>
    <x v="0"/>
    <s v="Y"/>
    <n v="4.7619047619047616E-2"/>
    <n v="4.7619047619047616E-2"/>
    <n v="0"/>
    <n v="0"/>
    <n v="-2"/>
    <n v="0"/>
    <n v="2"/>
    <e v="#VALUE!"/>
    <n v="2"/>
    <n v="0"/>
    <n v="40"/>
    <m/>
    <s v="Y"/>
    <m/>
    <s v="0-10 DAYS"/>
    <n v="1"/>
    <x v="0"/>
  </r>
  <r>
    <n v="1567"/>
    <s v="N"/>
    <s v="N"/>
    <n v="1709167"/>
    <n v="4"/>
    <d v="2012-02-28T00:00:00"/>
    <d v="2012-02-29T00:00:00"/>
    <n v="1709167"/>
    <d v="2012-02-28T00:00:00"/>
    <d v="2012-02-29T00:00:00"/>
    <n v="15000"/>
    <x v="0"/>
    <m/>
    <s v="N"/>
    <s v="NONE"/>
    <s v="GUILTY PLEA - NO JURY"/>
    <n v="2"/>
    <n v="2"/>
    <n v="2"/>
    <n v="1"/>
    <n v="1"/>
    <m/>
    <m/>
    <m/>
    <m/>
    <m/>
    <m/>
    <m/>
    <m/>
    <d v="1966-01-22T00:00:00"/>
    <s v="M"/>
    <s v="B"/>
    <s v="BLACK"/>
    <s v="NULL"/>
    <s v="263"/>
    <s v="CONVICTED"/>
    <n v="1"/>
    <s v="HCJ"/>
    <m/>
    <m/>
    <n v="300"/>
    <s v="POSS CS PG 1 &lt;1G"/>
    <m/>
    <s v="FS"/>
    <s v="POSS DRUG"/>
    <m/>
    <m/>
    <m/>
    <m/>
    <m/>
    <m/>
    <m/>
    <m/>
    <m/>
    <s v="Appointed Attorney"/>
    <m/>
    <m/>
    <n v="2"/>
    <n v="2"/>
    <n v="2"/>
    <n v="46.005464480874316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2703"/>
    <s v="N"/>
    <s v="N"/>
    <n v="1710075"/>
    <n v="6"/>
    <d v="2012-04-10T00:00:00"/>
    <d v="2012-12-05T00:00:00"/>
    <n v="1710075"/>
    <d v="2012-04-11T00:00:00"/>
    <d v="2012-12-05T00:00:00"/>
    <s v="NO BOND"/>
    <x v="1"/>
    <m/>
    <s v="N"/>
    <s v="NONE"/>
    <s v="GUILTY PLEA - NO JURY"/>
    <n v="239"/>
    <n v="240"/>
    <n v="5"/>
    <n v="0"/>
    <n v="14"/>
    <m/>
    <m/>
    <m/>
    <m/>
    <m/>
    <m/>
    <m/>
    <m/>
    <d v="1980-11-15T00:00:00"/>
    <s v="M"/>
    <s v="H"/>
    <s v="HISPANIC"/>
    <s v="HISPANIC"/>
    <s v="178"/>
    <s v="CONVICTED"/>
    <n v="11"/>
    <s v="TDC"/>
    <n v="2"/>
    <m/>
    <m/>
    <s v="THEFT $1500-20K"/>
    <m/>
    <s v="FS"/>
    <s v="THEFT"/>
    <m/>
    <m/>
    <m/>
    <m/>
    <m/>
    <m/>
    <m/>
    <m/>
    <m/>
    <s v="Appointed Attorney"/>
    <m/>
    <m/>
    <n v="239"/>
    <n v="239"/>
    <n v="240"/>
    <n v="31.33606557377049"/>
    <n v="0"/>
    <n v="0"/>
    <s v="CONVICTION"/>
    <x v="0"/>
    <s v="N"/>
    <m/>
    <s v="CONVICTION"/>
    <s v="Y"/>
    <x v="0"/>
    <x v="0"/>
    <s v="Y"/>
    <n v="0.99583333333333335"/>
    <n v="1"/>
    <n v="4.1666666666666519E-3"/>
    <n v="0"/>
    <n v="-239"/>
    <n v="0"/>
    <n v="239"/>
    <e v="#VALUE!"/>
    <n v="239"/>
    <n v="0"/>
    <n v="0"/>
    <m/>
    <s v="Y"/>
    <m/>
    <s v="121-365 DAYS"/>
    <n v="6"/>
    <x v="0"/>
  </r>
  <r>
    <n v="2499"/>
    <s v="N"/>
    <s v="N"/>
    <n v="1710391"/>
    <n v="5"/>
    <d v="2012-04-04T00:00:00"/>
    <d v="2012-04-05T00:00:00"/>
    <n v="1710391"/>
    <d v="2012-04-04T00:00:00"/>
    <d v="2012-04-05T00:00:00"/>
    <n v="15000"/>
    <x v="0"/>
    <m/>
    <s v="N"/>
    <s v="NONE"/>
    <s v="GUILTY PLEA - NO JURY"/>
    <n v="2"/>
    <n v="2"/>
    <n v="3"/>
    <n v="5"/>
    <n v="2"/>
    <m/>
    <m/>
    <m/>
    <m/>
    <m/>
    <m/>
    <m/>
    <m/>
    <d v="1981-10-27T00:00:00"/>
    <s v="M"/>
    <s v="B"/>
    <s v="BLACK"/>
    <s v="NULL"/>
    <s v="174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2"/>
    <n v="2"/>
    <n v="2"/>
    <n v="30.374316939890711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1870"/>
    <s v="N"/>
    <s v="N"/>
    <n v="1710619"/>
    <n v="5"/>
    <d v="2012-03-10T00:00:00"/>
    <d v="2012-07-13T00:00:00"/>
    <n v="1710619"/>
    <d v="2012-03-10T00:00:00"/>
    <d v="2012-04-11T00:00:00"/>
    <n v="20000"/>
    <x v="0"/>
    <d v="2012-04-11T00:00:00"/>
    <s v="Y"/>
    <s v="SURETY"/>
    <s v="GUILTY PLEA - NO JURY"/>
    <n v="33"/>
    <n v="126"/>
    <n v="3"/>
    <n v="2"/>
    <m/>
    <m/>
    <m/>
    <m/>
    <m/>
    <m/>
    <m/>
    <m/>
    <m/>
    <d v="1980-11-18T00:00:00"/>
    <s v="M"/>
    <s v="H"/>
    <s v="HISPANIC"/>
    <s v="HISPANIC"/>
    <s v="174"/>
    <s v="CONVICTED"/>
    <n v="5"/>
    <s v="STJ"/>
    <m/>
    <n v="9"/>
    <m/>
    <s v="POSS CS PG 1 &lt;1G"/>
    <m/>
    <s v="FS"/>
    <s v="POSS DRUG"/>
    <m/>
    <m/>
    <m/>
    <m/>
    <m/>
    <m/>
    <m/>
    <m/>
    <m/>
    <s v="Hired Attorney"/>
    <m/>
    <m/>
    <n v="33"/>
    <n v="126"/>
    <n v="126"/>
    <n v="31.243169398907103"/>
    <n v="0"/>
    <n v="-93"/>
    <s v="CONVICTION"/>
    <x v="1"/>
    <s v="Y"/>
    <m/>
    <s v="CONVICTION"/>
    <s v="Y"/>
    <x v="1"/>
    <x v="0"/>
    <s v="Y"/>
    <n v="0.26190476190476192"/>
    <n v="0.26190476190476192"/>
    <n v="0"/>
    <n v="0"/>
    <n v="-33"/>
    <n v="0"/>
    <n v="33"/>
    <e v="#VALUE!"/>
    <n v="33"/>
    <n v="0"/>
    <n v="93"/>
    <m/>
    <s v="Y"/>
    <m/>
    <s v="31-60 DAYS"/>
    <n v="3"/>
    <x v="0"/>
  </r>
  <r>
    <n v="328"/>
    <s v="N"/>
    <s v="N"/>
    <n v="1711476"/>
    <n v="2"/>
    <d v="2012-01-13T00:00:00"/>
    <d v="2012-05-24T00:00:00"/>
    <n v="1711476"/>
    <d v="2012-02-02T00:00:00"/>
    <d v="2012-02-20T00:00:00"/>
    <n v="5000"/>
    <x v="4"/>
    <d v="2012-02-20T00:00:00"/>
    <s v="Y"/>
    <s v="PTRc"/>
    <s v="DEFERRED ADJUDICATION "/>
    <n v="19"/>
    <n v="133"/>
    <n v="0"/>
    <n v="1"/>
    <m/>
    <m/>
    <m/>
    <m/>
    <m/>
    <m/>
    <m/>
    <m/>
    <m/>
    <d v="1978-12-30T00:00:00"/>
    <s v="M"/>
    <s v="W"/>
    <s v="WHITE"/>
    <s v="NULL"/>
    <s v="228"/>
    <s v="DEFERRED"/>
    <n v="16"/>
    <s v="DEFERRED"/>
    <m/>
    <m/>
    <m/>
    <s v="ROBBERY-BODILY INJURY"/>
    <m/>
    <s v="F2"/>
    <s v="ROBBERY"/>
    <m/>
    <m/>
    <m/>
    <m/>
    <m/>
    <m/>
    <m/>
    <m/>
    <m/>
    <s v="Public Defender"/>
    <m/>
    <m/>
    <n v="19"/>
    <n v="113"/>
    <n v="133"/>
    <n v="32.969945355191257"/>
    <n v="0"/>
    <n v="-94"/>
    <s v="DEFERRED"/>
    <x v="2"/>
    <s v="Y"/>
    <m/>
    <s v="DEFERRED"/>
    <s v="Y"/>
    <x v="1"/>
    <x v="0"/>
    <s v="N"/>
    <n v="0.14285714285714285"/>
    <n v="0.16814159292035399"/>
    <n v="2.5284450063211145E-2"/>
    <n v="0"/>
    <n v="-19"/>
    <n v="0"/>
    <n v="19"/>
    <e v="#VALUE!"/>
    <n v="19"/>
    <n v="0"/>
    <n v="94"/>
    <m/>
    <s v="Y"/>
    <m/>
    <s v="11-30 DAYS"/>
    <n v="2"/>
    <x v="0"/>
  </r>
  <r>
    <n v="828"/>
    <s v="N"/>
    <s v="N"/>
    <n v="1711655"/>
    <n v="4"/>
    <d v="2012-02-01T00:00:00"/>
    <d v="2012-02-02T00:00:00"/>
    <n v="1711655"/>
    <d v="2012-02-01T00:00:00"/>
    <d v="2012-02-02T00:00:00"/>
    <n v="5000"/>
    <x v="4"/>
    <m/>
    <s v="N"/>
    <s v="NONE"/>
    <s v="GUILTY PLEA - NO JURY"/>
    <n v="2"/>
    <n v="2"/>
    <n v="1"/>
    <n v="3"/>
    <m/>
    <m/>
    <m/>
    <m/>
    <m/>
    <m/>
    <m/>
    <s v="S"/>
    <m/>
    <d v="1978-06-14T00:00:00"/>
    <s v="M"/>
    <s v="H"/>
    <s v="HISPANIC"/>
    <s v="NULL"/>
    <s v="180"/>
    <s v="CONVICTED"/>
    <n v="1"/>
    <s v="HCJ"/>
    <m/>
    <m/>
    <n v="270"/>
    <s v="POSS CS PG 1 &lt;1G"/>
    <m/>
    <s v="FS"/>
    <s v="POSS DRUG"/>
    <m/>
    <m/>
    <m/>
    <m/>
    <m/>
    <m/>
    <m/>
    <m/>
    <m/>
    <s v="Appointed Attorney"/>
    <m/>
    <m/>
    <n v="2"/>
    <n v="2"/>
    <n v="2"/>
    <n v="33.565573770491802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2433"/>
    <s v="N"/>
    <s v="N"/>
    <n v="1712072"/>
    <n v="4"/>
    <d v="2012-04-01T00:00:00"/>
    <d v="2012-04-03T00:00:00"/>
    <n v="1712072"/>
    <d v="2012-04-01T00:00:00"/>
    <d v="2012-04-03T00:00:00"/>
    <n v="15000"/>
    <x v="0"/>
    <m/>
    <s v="N"/>
    <s v="NONE"/>
    <s v="GUILTY PLEA - NO JURY"/>
    <n v="3"/>
    <n v="3"/>
    <n v="3"/>
    <n v="3"/>
    <n v="1"/>
    <m/>
    <m/>
    <m/>
    <m/>
    <m/>
    <m/>
    <m/>
    <m/>
    <d v="1980-03-16T00:00:00"/>
    <s v="M"/>
    <s v="W"/>
    <s v="WHITE"/>
    <s v="NULL"/>
    <s v="182"/>
    <s v="CONVICTED"/>
    <n v="1"/>
    <s v="HCJ"/>
    <m/>
    <m/>
    <n v="180"/>
    <s v="POSS MARIJ  4 OZ. - 5 LBS."/>
    <m/>
    <s v="FS"/>
    <s v="POSS DRUG"/>
    <m/>
    <m/>
    <m/>
    <m/>
    <m/>
    <m/>
    <m/>
    <m/>
    <m/>
    <s v="Appointed Attorney"/>
    <m/>
    <m/>
    <n v="3"/>
    <n v="3"/>
    <n v="3"/>
    <n v="31.978142076502731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265"/>
    <s v="N"/>
    <s v="N"/>
    <n v="1713091"/>
    <n v="1"/>
    <d v="2012-03-27T00:00:00"/>
    <d v="2012-08-21T00:00:00"/>
    <n v="1713091"/>
    <d v="2012-03-27T00:00:00"/>
    <d v="2012-08-21T00:00:00"/>
    <n v="400000"/>
    <x v="2"/>
    <m/>
    <s v="N"/>
    <s v="NONE"/>
    <s v="DISMISSED"/>
    <n v="148"/>
    <n v="148"/>
    <n v="6"/>
    <n v="3"/>
    <n v="2"/>
    <m/>
    <m/>
    <m/>
    <m/>
    <m/>
    <m/>
    <m/>
    <m/>
    <d v="1981-07-13T00:00:00"/>
    <s v="M"/>
    <s v="B"/>
    <s v="BLACK"/>
    <s v="NULL"/>
    <s v="184"/>
    <s v="DISMISSED"/>
    <m/>
    <s v="DISMISSED"/>
    <m/>
    <m/>
    <m/>
    <s v="FELON POSS WPN"/>
    <m/>
    <s v="F3"/>
    <s v="OTHER FEL"/>
    <m/>
    <m/>
    <m/>
    <m/>
    <m/>
    <m/>
    <m/>
    <m/>
    <m/>
    <s v="Hired Attorney"/>
    <m/>
    <m/>
    <n v="148"/>
    <n v="148"/>
    <n v="148"/>
    <n v="30.642076502732241"/>
    <n v="0"/>
    <n v="0"/>
    <s v="NO CONVICTION"/>
    <x v="0"/>
    <s v="N"/>
    <m/>
    <s v="NO CONVICTION"/>
    <s v="Y"/>
    <x v="0"/>
    <x v="0"/>
    <s v="Y"/>
    <n v="1"/>
    <n v="1"/>
    <n v="0"/>
    <n v="0"/>
    <n v="-148"/>
    <n v="0"/>
    <n v="148"/>
    <e v="#VALUE!"/>
    <n v="148"/>
    <n v="0"/>
    <n v="0"/>
    <m/>
    <s v="Y"/>
    <m/>
    <s v="121-365 DAYS"/>
    <n v="6"/>
    <x v="0"/>
  </r>
  <r>
    <n v="2663"/>
    <s v="Y"/>
    <s v="N"/>
    <n v="1713724"/>
    <n v="1"/>
    <d v="2012-04-09T00:00:00"/>
    <d v="2012-04-26T00:00:00"/>
    <n v="1713724"/>
    <s v="NOT BOOKED"/>
    <s v="NOT BOOKED"/>
    <s v="NO BOND"/>
    <x v="1"/>
    <m/>
    <s v="NO BOND SET - NON ARREST"/>
    <s v="NONE"/>
    <s v="DISMISSED"/>
    <n v="0"/>
    <n v="18"/>
    <n v="3"/>
    <n v="0"/>
    <n v="2"/>
    <m/>
    <m/>
    <m/>
    <m/>
    <m/>
    <m/>
    <m/>
    <m/>
    <d v="1979-08-28T00:00:00"/>
    <s v="M"/>
    <s v="W"/>
    <s v="WHITE"/>
    <s v="NON-HISPANIC"/>
    <s v="209"/>
    <s v="DISMISSED"/>
    <n v="2"/>
    <s v="DISMISSED"/>
    <m/>
    <m/>
    <m/>
    <s v="BURGLARY OF HABITATION"/>
    <m/>
    <s v="F2"/>
    <s v="BURGLARY"/>
    <m/>
    <m/>
    <m/>
    <m/>
    <m/>
    <m/>
    <m/>
    <m/>
    <m/>
    <s v="Other/Unknown"/>
    <s v="4/30/13 f theft  stj 9 mos"/>
    <m/>
    <n v="0"/>
    <n v="0"/>
    <n v="18"/>
    <n v="32.549180327868854"/>
    <e v="#VALUE!"/>
    <e v="#VALUE!"/>
    <s v="NO CONVICTION"/>
    <x v="0"/>
    <s v="N"/>
    <m/>
    <s v="NO CONVICTION"/>
    <n v="0"/>
    <x v="2"/>
    <x v="0"/>
    <s v="Y"/>
    <n v="0"/>
    <n v="0"/>
    <n v="0"/>
    <n v="0"/>
    <e v="#VALUE!"/>
    <e v="#VALUE!"/>
    <e v="#VALUE!"/>
    <n v="0"/>
    <n v="0"/>
    <m/>
    <e v="#VALUE!"/>
    <m/>
    <s v="Y"/>
    <m/>
    <s v="0-10 DAYS"/>
    <n v="1"/>
    <x v="1"/>
  </r>
  <r>
    <n v="1530"/>
    <s v="N"/>
    <s v="N"/>
    <n v="1713753"/>
    <n v="1"/>
    <d v="2012-02-26T00:00:00"/>
    <d v="2012-06-27T00:00:00"/>
    <n v="1713753"/>
    <d v="2012-02-26T00:00:00"/>
    <d v="2012-02-28T00:00:00"/>
    <n v="10000"/>
    <x v="3"/>
    <d v="2012-02-28T00:00:00"/>
    <s v="Y"/>
    <s v="SURETY"/>
    <s v="DISMISSED"/>
    <n v="3"/>
    <n v="123"/>
    <n v="0"/>
    <n v="0"/>
    <m/>
    <m/>
    <m/>
    <m/>
    <m/>
    <m/>
    <m/>
    <m/>
    <m/>
    <d v="1971-11-19T00:00:00"/>
    <s v="M"/>
    <s v="B"/>
    <s v="BLACK"/>
    <s v="NON-HISPANIC"/>
    <s v="180"/>
    <s v="DISMISSED"/>
    <n v="5"/>
    <s v="DISMISSED"/>
    <m/>
    <m/>
    <m/>
    <s v="SEXUAL ASSAULT"/>
    <m/>
    <s v="F2"/>
    <s v="RAPE"/>
    <m/>
    <m/>
    <m/>
    <m/>
    <m/>
    <m/>
    <m/>
    <m/>
    <m/>
    <s v="Hired Attorney"/>
    <m/>
    <m/>
    <n v="3"/>
    <n v="123"/>
    <n v="123"/>
    <n v="40.188524590163937"/>
    <n v="0"/>
    <n v="-120"/>
    <s v="NO CONVICTION"/>
    <x v="1"/>
    <s v="Y"/>
    <m/>
    <s v="NO CONVICTION"/>
    <s v="Y"/>
    <x v="1"/>
    <x v="0"/>
    <s v="N"/>
    <n v="2.4390243902439025E-2"/>
    <n v="2.4390243902439025E-2"/>
    <n v="0"/>
    <n v="0"/>
    <n v="-3"/>
    <n v="0"/>
    <n v="3"/>
    <e v="#VALUE!"/>
    <n v="3"/>
    <n v="0"/>
    <n v="120"/>
    <m/>
    <s v="N"/>
    <m/>
    <s v="0-10 DAYS"/>
    <n v="1"/>
    <x v="0"/>
  </r>
  <r>
    <n v="2409"/>
    <s v="N"/>
    <s v="N"/>
    <n v="1714934"/>
    <n v="1"/>
    <d v="2012-03-31T00:00:00"/>
    <d v="2012-06-28T00:00:00"/>
    <n v="1714934"/>
    <d v="2012-03-31T00:00:00"/>
    <d v="2012-04-20T00:00:00"/>
    <n v="5000"/>
    <x v="4"/>
    <d v="2012-04-20T00:00:00"/>
    <s v="Y"/>
    <s v="SURETY"/>
    <s v="DISMISSED"/>
    <n v="21"/>
    <n v="90"/>
    <n v="0"/>
    <n v="2"/>
    <m/>
    <m/>
    <m/>
    <m/>
    <m/>
    <m/>
    <m/>
    <m/>
    <m/>
    <d v="1954-07-20T00:00:00"/>
    <s v="M"/>
    <s v="A"/>
    <s v="OTHER"/>
    <s v="NON-HISPANIC"/>
    <s v="178"/>
    <s v="DISMISSED"/>
    <n v="5"/>
    <s v="DISMISSED"/>
    <m/>
    <m/>
    <m/>
    <s v="CREDIT/DEBIT CARD ABUSE"/>
    <m/>
    <s v="FS"/>
    <s v="OTHER FEL"/>
    <m/>
    <m/>
    <m/>
    <m/>
    <m/>
    <m/>
    <m/>
    <m/>
    <m/>
    <s v="Hired Attorney"/>
    <m/>
    <m/>
    <n v="21"/>
    <n v="90"/>
    <n v="90"/>
    <n v="57.579234972677597"/>
    <n v="0"/>
    <n v="-69"/>
    <s v="NO CONVICTION"/>
    <x v="1"/>
    <s v="Y"/>
    <m/>
    <s v="NO CONVICTION"/>
    <s v="Y"/>
    <x v="1"/>
    <x v="0"/>
    <s v="N"/>
    <n v="0.23333333333333334"/>
    <n v="0.23333333333333334"/>
    <n v="0"/>
    <n v="0"/>
    <n v="-21"/>
    <n v="0"/>
    <n v="21"/>
    <e v="#VALUE!"/>
    <n v="21"/>
    <n v="0"/>
    <n v="69"/>
    <m/>
    <s v="Y"/>
    <m/>
    <s v="11-30 DAYS"/>
    <n v="2"/>
    <x v="0"/>
  </r>
  <r>
    <n v="1902"/>
    <s v="N"/>
    <s v="N"/>
    <n v="1715727"/>
    <n v="4"/>
    <d v="2012-03-11T00:00:00"/>
    <d v="2012-03-13T00:00:00"/>
    <n v="1715727"/>
    <d v="2012-03-11T00:00:00"/>
    <d v="2012-03-13T00:00:00"/>
    <s v="NO BOND"/>
    <x v="1"/>
    <m/>
    <s v="N"/>
    <s v="NONE"/>
    <s v="GUILTY PLEA - NO JURY"/>
    <n v="3"/>
    <n v="3"/>
    <n v="2"/>
    <n v="0"/>
    <n v="1"/>
    <m/>
    <m/>
    <m/>
    <m/>
    <m/>
    <m/>
    <m/>
    <m/>
    <d v="1982-10-05T00:00:00"/>
    <s v="M"/>
    <s v="A"/>
    <s v="OTHER"/>
    <s v="NON-HISPANIC"/>
    <s v="176"/>
    <s v="CONVICTED"/>
    <n v="2"/>
    <s v="HCJ"/>
    <m/>
    <m/>
    <n v="365"/>
    <s v="ASSAULT-BOD INJ-"/>
    <m/>
    <s v="F3"/>
    <s v="ASLT-MURDR"/>
    <m/>
    <m/>
    <m/>
    <m/>
    <m/>
    <m/>
    <m/>
    <m/>
    <m/>
    <s v="Hired Attorney"/>
    <m/>
    <m/>
    <n v="3"/>
    <n v="3"/>
    <n v="3"/>
    <n v="29.371584699453553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943"/>
    <s v="N"/>
    <s v="N"/>
    <n v="1716445"/>
    <n v="2"/>
    <d v="2012-04-18T00:00:00"/>
    <d v="2012-04-20T00:00:00"/>
    <n v="1716445"/>
    <d v="2012-04-19T00:00:00"/>
    <d v="2012-04-20T00:00:00"/>
    <n v="10000"/>
    <x v="3"/>
    <m/>
    <s v="N"/>
    <s v="NONE"/>
    <s v="DEFERRED ADJUDICATION "/>
    <n v="2"/>
    <n v="3"/>
    <n v="0"/>
    <n v="9"/>
    <m/>
    <m/>
    <m/>
    <m/>
    <m/>
    <m/>
    <m/>
    <m/>
    <m/>
    <d v="1980-03-16T00:00:00"/>
    <s v="M"/>
    <s v="B"/>
    <s v="BLACK"/>
    <s v="NON-HISPANIC"/>
    <s v="182"/>
    <s v="DEFERRED"/>
    <m/>
    <s v="DEFERRED"/>
    <m/>
    <m/>
    <m/>
    <s v="ASSAULT-BOD INJ-FAMILY MEMBER"/>
    <m/>
    <s v="F3"/>
    <s v="ASLT-MURDR"/>
    <s v="8/8/12 VOIH  on bond  motionadj g pend"/>
    <m/>
    <m/>
    <m/>
    <m/>
    <m/>
    <m/>
    <m/>
    <m/>
    <s v="Appointed Attorney"/>
    <m/>
    <m/>
    <n v="2"/>
    <n v="2"/>
    <n v="3"/>
    <n v="32.024590163934427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112"/>
    <s v="N"/>
    <s v="N"/>
    <n v="1718195"/>
    <n v="6"/>
    <d v="2012-01-05T00:00:00"/>
    <d v="2012-04-17T00:00:00"/>
    <n v="1718195"/>
    <d v="2012-01-06T00:00:00"/>
    <d v="2012-01-07T00:00:00"/>
    <n v="20000"/>
    <x v="0"/>
    <d v="2012-01-07T00:00:00"/>
    <s v="Y"/>
    <s v="SURETYPTRc"/>
    <s v="GUILTY PLEA - NO JURY"/>
    <n v="2"/>
    <n v="104"/>
    <n v="2"/>
    <n v="6"/>
    <n v="2"/>
    <m/>
    <m/>
    <m/>
    <m/>
    <m/>
    <m/>
    <m/>
    <m/>
    <d v="1977-11-15T00:00:00"/>
    <s v="M"/>
    <s v="B"/>
    <s v="BLACK"/>
    <s v="NON-HISPANIC"/>
    <s v="230"/>
    <s v="CONVICTED"/>
    <n v="5"/>
    <s v="TDC"/>
    <n v="5"/>
    <m/>
    <m/>
    <s v="POSS CS PG 4 28-200 GRAMS"/>
    <m/>
    <s v="F3"/>
    <s v="POSS DRUG"/>
    <m/>
    <m/>
    <m/>
    <m/>
    <m/>
    <m/>
    <m/>
    <m/>
    <m/>
    <s v="Appointed Attorney"/>
    <m/>
    <m/>
    <n v="2"/>
    <n v="103"/>
    <n v="104"/>
    <n v="34.068306010928964"/>
    <n v="0"/>
    <n v="-101"/>
    <s v="CONVICTION"/>
    <x v="1"/>
    <s v="Y"/>
    <m/>
    <s v="CONVICTION"/>
    <s v="Y"/>
    <x v="1"/>
    <x v="0"/>
    <s v="Y"/>
    <n v="1.9230769230769232E-2"/>
    <n v="1.9417475728155338E-2"/>
    <n v="1.8670649738610628E-4"/>
    <n v="0"/>
    <n v="-2"/>
    <n v="0"/>
    <n v="2"/>
    <e v="#VALUE!"/>
    <n v="2"/>
    <n v="0"/>
    <n v="101"/>
    <m/>
    <s v="Y"/>
    <m/>
    <s v="0-10 DAYS"/>
    <n v="1"/>
    <x v="0"/>
  </r>
  <r>
    <n v="1200"/>
    <s v="N"/>
    <s v="N"/>
    <n v="1718252"/>
    <n v="1"/>
    <d v="2012-02-13T00:00:00"/>
    <d v="2012-04-11T00:00:00"/>
    <n v="1718252"/>
    <s v="NOT BOOKED"/>
    <s v="NOT BOOKED"/>
    <n v="10000"/>
    <x v="3"/>
    <d v="2012-02-14T00:00:00"/>
    <s v="Y"/>
    <s v="SURETY"/>
    <s v="DISMISSED"/>
    <n v="0"/>
    <n v="59"/>
    <n v="1"/>
    <n v="3"/>
    <n v="1"/>
    <m/>
    <m/>
    <m/>
    <m/>
    <m/>
    <m/>
    <m/>
    <m/>
    <d v="1981-05-02T00:00:00"/>
    <s v="M"/>
    <s v="H"/>
    <s v="HISPANIC"/>
    <s v="HISPANIC"/>
    <s v="351"/>
    <s v="DISMISSED"/>
    <n v="3"/>
    <s v="DISMISSED"/>
    <m/>
    <m/>
    <m/>
    <s v="POSS CS PG 4 28-200 GRAMS"/>
    <m/>
    <s v="F3"/>
    <s v="POSS DRUG"/>
    <s v="two misd filed 4/4 and 6/29/12 pend"/>
    <m/>
    <m/>
    <m/>
    <m/>
    <m/>
    <m/>
    <m/>
    <m/>
    <s v="Hired Attorney"/>
    <m/>
    <m/>
    <n v="0"/>
    <n v="0"/>
    <n v="59"/>
    <n v="30.721311475409838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389"/>
    <s v="N"/>
    <s v="N"/>
    <n v="1718506"/>
    <n v="6"/>
    <d v="2012-03-30T00:00:00"/>
    <d v="2012-08-21T00:00:00"/>
    <n v="1718506"/>
    <d v="2012-03-31T00:00:00"/>
    <d v="2012-08-21T00:00:00"/>
    <s v="NO BOND"/>
    <x v="1"/>
    <m/>
    <s v="N"/>
    <s v="NONE"/>
    <s v="GUILTY PLEA - NO JURY"/>
    <n v="144"/>
    <n v="145"/>
    <n v="2"/>
    <n v="3"/>
    <n v="2"/>
    <m/>
    <m/>
    <m/>
    <m/>
    <m/>
    <m/>
    <m/>
    <m/>
    <d v="1980-05-02T00:00:00"/>
    <s v="M"/>
    <s v="B"/>
    <s v="BLACK"/>
    <s v="NON-HISPANIC"/>
    <s v="183"/>
    <s v="CONVICTED"/>
    <n v="7"/>
    <s v="TDC"/>
    <n v="7"/>
    <m/>
    <m/>
    <s v="POSS GP 4 CS- 400 G OR MORE"/>
    <m/>
    <s v="F1"/>
    <s v="POSS DRUG"/>
    <m/>
    <m/>
    <m/>
    <m/>
    <m/>
    <m/>
    <m/>
    <m/>
    <m/>
    <s v="Hired Attorney"/>
    <m/>
    <m/>
    <n v="144"/>
    <n v="144"/>
    <n v="145"/>
    <n v="31.844262295081968"/>
    <n v="0"/>
    <n v="0"/>
    <s v="CONVICTION"/>
    <x v="0"/>
    <s v="N"/>
    <m/>
    <s v="CONVICTION"/>
    <s v="Y"/>
    <x v="0"/>
    <x v="0"/>
    <s v="Y"/>
    <n v="0.99310344827586206"/>
    <n v="1"/>
    <n v="6.8965517241379448E-3"/>
    <n v="0"/>
    <n v="-144"/>
    <n v="0"/>
    <n v="144"/>
    <e v="#VALUE!"/>
    <n v="144"/>
    <n v="0"/>
    <n v="0"/>
    <m/>
    <s v="Y"/>
    <m/>
    <s v="121-365 DAYS"/>
    <n v="6"/>
    <x v="0"/>
  </r>
  <r>
    <n v="2301"/>
    <s v="N"/>
    <s v="N"/>
    <n v="1718649"/>
    <n v="1"/>
    <d v="2012-03-28T00:00:00"/>
    <d v="2012-05-02T00:00:00"/>
    <n v="1718649"/>
    <d v="2012-03-28T00:00:00"/>
    <d v="2012-03-29T00:00:00"/>
    <n v="5000"/>
    <x v="4"/>
    <d v="2012-03-29T00:00:00"/>
    <s v="Y"/>
    <s v="SURETY"/>
    <s v="DISMISSED"/>
    <n v="2"/>
    <n v="36"/>
    <n v="1"/>
    <n v="2"/>
    <m/>
    <m/>
    <m/>
    <m/>
    <m/>
    <m/>
    <m/>
    <m/>
    <m/>
    <d v="1981-10-13T00:00:00"/>
    <s v="M"/>
    <s v="B"/>
    <s v="BLACK"/>
    <s v="NON-HISPANIC"/>
    <s v="232"/>
    <s v="DISMISSED"/>
    <n v="3"/>
    <s v="DISMISSED"/>
    <m/>
    <m/>
    <m/>
    <s v="POSS CS PG 4 28-200 GRAMS"/>
    <m/>
    <s v="F3"/>
    <s v="POSS DRUG"/>
    <m/>
    <m/>
    <m/>
    <m/>
    <m/>
    <m/>
    <m/>
    <m/>
    <m/>
    <s v="Other/Unknown"/>
    <m/>
    <m/>
    <n v="2"/>
    <n v="36"/>
    <n v="36"/>
    <n v="30.393442622950818"/>
    <n v="0"/>
    <n v="-34"/>
    <s v="NO CONVICTION"/>
    <x v="1"/>
    <s v="Y"/>
    <m/>
    <s v="NO CONVICTION"/>
    <s v="Y"/>
    <x v="1"/>
    <x v="0"/>
    <s v="Y"/>
    <n v="5.5555555555555552E-2"/>
    <n v="5.5555555555555552E-2"/>
    <n v="0"/>
    <n v="0"/>
    <n v="-2"/>
    <n v="0"/>
    <n v="2"/>
    <e v="#VALUE!"/>
    <n v="2"/>
    <n v="0"/>
    <n v="34"/>
    <m/>
    <s v="Y"/>
    <m/>
    <s v="0-10 DAYS"/>
    <n v="1"/>
    <x v="0"/>
  </r>
  <r>
    <n v="1685"/>
    <s v="N"/>
    <s v="N"/>
    <n v="1719252"/>
    <n v="1"/>
    <d v="2012-03-03T00:00:00"/>
    <d v="2012-03-30T00:00:00"/>
    <n v="1719252"/>
    <d v="2012-03-03T00:00:00"/>
    <d v="2012-03-30T00:00:00"/>
    <n v="5000"/>
    <x v="4"/>
    <m/>
    <s v="N"/>
    <s v="NONE"/>
    <s v="DISMISSED"/>
    <n v="28"/>
    <n v="28"/>
    <n v="0"/>
    <n v="0"/>
    <m/>
    <m/>
    <m/>
    <m/>
    <m/>
    <m/>
    <m/>
    <m/>
    <m/>
    <d v="1979-03-15T00:00:00"/>
    <s v="F"/>
    <s v="W"/>
    <s v="WHITE"/>
    <s v="NULL"/>
    <s v="262"/>
    <s v="DISMISSED"/>
    <n v="3"/>
    <s v="DISMISSED"/>
    <m/>
    <m/>
    <m/>
    <s v="POSS CS PG 4 28-200 GRAMS"/>
    <m/>
    <s v="F3"/>
    <s v="POSS DRUG"/>
    <m/>
    <m/>
    <m/>
    <m/>
    <m/>
    <m/>
    <m/>
    <m/>
    <m/>
    <s v="Appointed Attorney"/>
    <m/>
    <m/>
    <n v="28"/>
    <n v="28"/>
    <n v="28"/>
    <n v="32.901639344262293"/>
    <n v="0"/>
    <n v="0"/>
    <s v="NO CONVICTION"/>
    <x v="0"/>
    <s v="N"/>
    <m/>
    <s v="NO CONVICTION"/>
    <s v="Y"/>
    <x v="0"/>
    <x v="0"/>
    <s v="N"/>
    <n v="1"/>
    <n v="1"/>
    <n v="0"/>
    <n v="0"/>
    <n v="-28"/>
    <n v="0"/>
    <n v="28"/>
    <e v="#VALUE!"/>
    <n v="28"/>
    <n v="0"/>
    <n v="0"/>
    <m/>
    <s v="N"/>
    <m/>
    <s v="11-30 DAYS"/>
    <n v="2"/>
    <x v="0"/>
  </r>
  <r>
    <n v="1282"/>
    <s v="N"/>
    <s v="N"/>
    <n v="1720133"/>
    <n v="6"/>
    <d v="2012-02-16T00:00:00"/>
    <d v="2013-03-07T00:00:00"/>
    <n v="1720133"/>
    <d v="2012-02-17T00:00:00"/>
    <d v="2013-03-07T00:00:00"/>
    <n v="70000"/>
    <x v="2"/>
    <m/>
    <s v="N"/>
    <s v="NONE"/>
    <s v="GUILTY PLEA - NO JURY"/>
    <n v="385"/>
    <n v="386"/>
    <n v="1"/>
    <n v="1"/>
    <m/>
    <n v="1"/>
    <m/>
    <m/>
    <m/>
    <m/>
    <m/>
    <s v="S"/>
    <m/>
    <d v="1961-12-21T00:00:00"/>
    <s v="M"/>
    <s v="H"/>
    <s v="HISPANIC"/>
    <s v="NULL"/>
    <s v="180"/>
    <s v="CONVICTED"/>
    <n v="16"/>
    <s v="TDC"/>
    <n v="4"/>
    <m/>
    <m/>
    <s v="AGG SEX ASSLT CHILD-UNDER 14"/>
    <m/>
    <s v="F1"/>
    <s v="SEX ABUSE"/>
    <m/>
    <m/>
    <m/>
    <m/>
    <m/>
    <m/>
    <m/>
    <m/>
    <m/>
    <s v="Appointed Attorney"/>
    <m/>
    <m/>
    <n v="385"/>
    <n v="385"/>
    <n v="386"/>
    <n v="50.051912568306008"/>
    <n v="0"/>
    <n v="0"/>
    <s v="CONVICTION"/>
    <x v="0"/>
    <s v="N"/>
    <m/>
    <s v="CONVICTION"/>
    <s v="Y"/>
    <x v="0"/>
    <x v="0"/>
    <s v="Y"/>
    <n v="0.99740932642487046"/>
    <n v="1"/>
    <n v="2.5906735751295429E-3"/>
    <n v="0"/>
    <n v="-385"/>
    <n v="0"/>
    <n v="385"/>
    <e v="#VALUE!"/>
    <n v="385"/>
    <n v="0"/>
    <n v="0"/>
    <m/>
    <s v="Y"/>
    <m/>
    <s v=" &gt;1YRS&lt;2YRS"/>
    <n v="0"/>
    <x v="0"/>
  </r>
  <r>
    <n v="1387"/>
    <s v="N"/>
    <s v="N"/>
    <n v="1723273"/>
    <n v="6"/>
    <d v="2012-02-21T00:00:00"/>
    <d v="2013-05-23T00:00:00"/>
    <n v="1723273"/>
    <d v="2012-02-21T00:00:00"/>
    <d v="2012-03-11T00:00:00"/>
    <n v="40000"/>
    <x v="2"/>
    <d v="2012-03-11T00:00:00"/>
    <s v="Y"/>
    <s v="SURETY"/>
    <s v="GUILTY PLEA - NO JURY"/>
    <n v="20"/>
    <n v="458"/>
    <n v="4"/>
    <n v="12"/>
    <n v="2"/>
    <m/>
    <m/>
    <m/>
    <m/>
    <m/>
    <m/>
    <m/>
    <m/>
    <d v="1981-02-18T00:00:00"/>
    <s v="M"/>
    <s v="W"/>
    <s v="WHITE"/>
    <s v="NON-HISPANIC"/>
    <s v="263"/>
    <s v="CONVICTED"/>
    <n v="22"/>
    <s v="TDC"/>
    <n v="4"/>
    <m/>
    <m/>
    <s v="POSS W/INT DEL CS PG1&gt;=4 &lt;200"/>
    <m/>
    <s v="F1"/>
    <s v="SALE DRUG"/>
    <s v="misd conv 4/2/12  hcj 6 d"/>
    <m/>
    <m/>
    <m/>
    <m/>
    <m/>
    <m/>
    <m/>
    <m/>
    <s v="Appointed Attorney"/>
    <m/>
    <m/>
    <n v="20"/>
    <n v="458"/>
    <n v="458"/>
    <n v="30.942622950819672"/>
    <n v="0"/>
    <n v="-438"/>
    <s v="CONVICTION"/>
    <x v="1"/>
    <s v="Y"/>
    <m/>
    <s v="CONVICTION"/>
    <s v="Y"/>
    <x v="1"/>
    <x v="0"/>
    <s v="Y"/>
    <n v="4.3668122270742356E-2"/>
    <n v="4.3668122270742356E-2"/>
    <n v="0"/>
    <n v="0"/>
    <n v="-20"/>
    <n v="0"/>
    <n v="20"/>
    <e v="#VALUE!"/>
    <n v="20"/>
    <n v="0"/>
    <n v="438"/>
    <m/>
    <s v="Y"/>
    <m/>
    <s v="11-30 DAYS"/>
    <n v="2"/>
    <x v="0"/>
  </r>
  <r>
    <n v="1178"/>
    <s v="N"/>
    <s v="N"/>
    <n v="1724395"/>
    <n v="1"/>
    <d v="2012-02-12T00:00:00"/>
    <d v="2012-04-05T00:00:00"/>
    <n v="1724395"/>
    <d v="2012-02-13T00:00:00"/>
    <d v="2012-02-13T00:00:00"/>
    <n v="5000"/>
    <x v="4"/>
    <d v="2012-02-13T00:00:00"/>
    <s v="Y"/>
    <s v="SURETY"/>
    <s v="DISMISSED"/>
    <n v="1"/>
    <n v="54"/>
    <n v="1"/>
    <n v="1"/>
    <m/>
    <n v="1"/>
    <m/>
    <m/>
    <m/>
    <m/>
    <m/>
    <m/>
    <m/>
    <d v="1976-10-03T00:00:00"/>
    <s v="F"/>
    <s v="B"/>
    <s v="BLACK"/>
    <s v="NON-HISPANIC"/>
    <s v="177"/>
    <s v="DISMISSED"/>
    <n v="3"/>
    <s v="DISMISSED"/>
    <m/>
    <m/>
    <m/>
    <s v="TAMPER/FABRICATE EVIDENCE"/>
    <m/>
    <s v="F3"/>
    <s v="OTHER FEL"/>
    <s v="fel injury child pend"/>
    <m/>
    <m/>
    <m/>
    <m/>
    <m/>
    <m/>
    <m/>
    <m/>
    <s v="Appointed Attorney"/>
    <m/>
    <m/>
    <n v="1"/>
    <n v="53"/>
    <n v="54"/>
    <n v="35.286885245901637"/>
    <n v="0"/>
    <n v="-52"/>
    <s v="NO CONVICTION"/>
    <x v="1"/>
    <s v="Y"/>
    <m/>
    <s v="NO CONVICTION"/>
    <s v="Y"/>
    <x v="1"/>
    <x v="0"/>
    <s v="Y"/>
    <n v="1.8518518518518517E-2"/>
    <n v="1.8867924528301886E-2"/>
    <n v="3.4940600978336858E-4"/>
    <n v="0"/>
    <n v="-1"/>
    <n v="0"/>
    <n v="1"/>
    <e v="#VALUE!"/>
    <n v="1"/>
    <n v="0"/>
    <n v="52"/>
    <m/>
    <s v="Y"/>
    <m/>
    <s v="0-10 DAYS"/>
    <n v="1"/>
    <x v="0"/>
  </r>
  <r>
    <n v="1729"/>
    <s v="N"/>
    <s v="N"/>
    <n v="1724603"/>
    <n v="3"/>
    <d v="2012-03-05T00:00:00"/>
    <d v="2012-09-12T00:00:00"/>
    <n v="1724603"/>
    <s v="NOT BOOKED"/>
    <s v="NOT BOOKED"/>
    <n v="5000"/>
    <x v="4"/>
    <d v="2012-03-06T00:00:00"/>
    <s v="Y"/>
    <s v="SURETYPTRc"/>
    <s v="GUILTY PLEA - NO JURY"/>
    <n v="0"/>
    <n v="192"/>
    <n v="1"/>
    <n v="9"/>
    <n v="1"/>
    <m/>
    <m/>
    <m/>
    <m/>
    <m/>
    <m/>
    <m/>
    <m/>
    <d v="1980-02-28T00:00:00"/>
    <s v="M"/>
    <s v="W"/>
    <s v="WHITE"/>
    <s v="NON-HISPANIC"/>
    <s v="230"/>
    <s v="CONVICTED"/>
    <n v="13"/>
    <s v="PROBATION"/>
    <m/>
    <m/>
    <m/>
    <s v="DWI 3RD OFFENDER BAC .08"/>
    <m/>
    <s v="F3"/>
    <s v="FEL DWI"/>
    <m/>
    <m/>
    <m/>
    <m/>
    <m/>
    <m/>
    <m/>
    <m/>
    <m/>
    <s v="Hired Attorney"/>
    <m/>
    <m/>
    <n v="0"/>
    <n v="0"/>
    <n v="192"/>
    <n v="31.950819672131146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1444"/>
    <s v="Y"/>
    <s v="N"/>
    <n v="1724958"/>
    <n v="4"/>
    <d v="2012-02-23T00:00:00"/>
    <d v="2013-04-23T00:00:00"/>
    <n v="1724958"/>
    <d v="2012-02-23T00:00:00"/>
    <d v="2012-02-25T00:00:00"/>
    <n v="20000"/>
    <x v="0"/>
    <d v="2012-02-25T00:00:00"/>
    <s v="Y"/>
    <s v="SURETY"/>
    <s v="GUILTY PLEA - NO JURY"/>
    <n v="3"/>
    <n v="426"/>
    <n v="5"/>
    <n v="5"/>
    <n v="4"/>
    <m/>
    <m/>
    <m/>
    <m/>
    <m/>
    <m/>
    <m/>
    <m/>
    <d v="1979-10-15T00:00:00"/>
    <s v="M"/>
    <s v="B"/>
    <s v="BLACK"/>
    <s v="NULL"/>
    <s v="339"/>
    <s v="CONVICTED"/>
    <n v="19"/>
    <s v="HCJ"/>
    <m/>
    <m/>
    <n v="90"/>
    <s v="POSS CS PG 1 &lt;1G"/>
    <m/>
    <s v="FS"/>
    <s v="POSS DRUG"/>
    <s v="misd pm/ fel evade pend"/>
    <m/>
    <m/>
    <m/>
    <m/>
    <m/>
    <m/>
    <m/>
    <m/>
    <s v="Hired Attorney"/>
    <s v="p m / fel filed 9/24    11/27 13"/>
    <m/>
    <n v="3"/>
    <n v="426"/>
    <n v="426"/>
    <n v="32.292349726775953"/>
    <n v="0"/>
    <n v="-423"/>
    <s v="CONVICTION"/>
    <x v="1"/>
    <s v="N"/>
    <m/>
    <s v="CONVICTION"/>
    <s v="Y"/>
    <x v="1"/>
    <x v="0"/>
    <s v="Y"/>
    <n v="7.0422535211267607E-3"/>
    <n v="7.0422535211267607E-3"/>
    <n v="0"/>
    <n v="0"/>
    <n v="-3"/>
    <n v="0"/>
    <n v="3"/>
    <e v="#VALUE!"/>
    <n v="3"/>
    <n v="0"/>
    <n v="423"/>
    <m/>
    <s v="Y"/>
    <m/>
    <s v="0-10 DAYS"/>
    <n v="1"/>
    <x v="0"/>
  </r>
  <r>
    <n v="1691"/>
    <s v="N"/>
    <s v="N"/>
    <n v="1725474"/>
    <n v="2"/>
    <d v="2012-03-03T00:00:00"/>
    <d v="2012-07-11T00:00:00"/>
    <n v="1725474"/>
    <s v="NOT BOOKED"/>
    <s v="NOT BOOKED"/>
    <n v="2000"/>
    <x v="5"/>
    <d v="2012-03-04T00:00:00"/>
    <s v="Y"/>
    <s v="SURETYPTRc"/>
    <s v="DEFERRED ADJUDICATION "/>
    <n v="0"/>
    <n v="131"/>
    <n v="1"/>
    <n v="1"/>
    <m/>
    <m/>
    <m/>
    <m/>
    <m/>
    <m/>
    <m/>
    <m/>
    <m/>
    <d v="1976-01-25T00:00:00"/>
    <s v="M"/>
    <s v="B"/>
    <s v="BLACK"/>
    <s v="NON-HISPANIC"/>
    <s v="182"/>
    <s v="DEFERRED"/>
    <n v="6"/>
    <s v="DEFERR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131"/>
    <n v="36.030054644808743"/>
    <e v="#VALUE!"/>
    <e v="#VALUE!"/>
    <s v="DEFERRED"/>
    <x v="1"/>
    <s v="Y"/>
    <m/>
    <s v="DEFERRED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148"/>
    <s v="N"/>
    <s v="N"/>
    <n v="1726277"/>
    <n v="6"/>
    <d v="2012-01-07T00:00:00"/>
    <d v="2012-11-26T00:00:00"/>
    <n v="1726277"/>
    <d v="2012-01-07T00:00:00"/>
    <d v="2012-11-26T00:00:00"/>
    <n v="30000"/>
    <x v="2"/>
    <m/>
    <s v="N"/>
    <s v="NONE"/>
    <s v="GUILTY PLEA - NO JURY"/>
    <n v="325"/>
    <n v="325"/>
    <n v="3"/>
    <n v="1"/>
    <n v="1"/>
    <m/>
    <m/>
    <m/>
    <m/>
    <m/>
    <m/>
    <m/>
    <m/>
    <d v="1980-07-07T00:00:00"/>
    <s v="M"/>
    <s v="W"/>
    <s v="WHITE"/>
    <s v="NULL"/>
    <s v="208"/>
    <s v="CONVICTED"/>
    <n v="11"/>
    <s v="TDC"/>
    <n v="2"/>
    <m/>
    <m/>
    <s v="AGG ROBBERY-DEADLY WPN"/>
    <m/>
    <s v="F1"/>
    <s v="ROBBERY"/>
    <m/>
    <m/>
    <m/>
    <m/>
    <m/>
    <m/>
    <m/>
    <m/>
    <m/>
    <s v="Hired Attorney"/>
    <m/>
    <m/>
    <n v="325"/>
    <n v="325"/>
    <n v="325"/>
    <n v="31.437158469945356"/>
    <n v="0"/>
    <n v="0"/>
    <s v="CONVICTION"/>
    <x v="0"/>
    <s v="N"/>
    <m/>
    <s v="CONVICTION"/>
    <s v="Y"/>
    <x v="0"/>
    <x v="0"/>
    <s v="Y"/>
    <n v="1"/>
    <n v="1"/>
    <n v="0"/>
    <n v="0"/>
    <n v="-325"/>
    <n v="0"/>
    <n v="325"/>
    <e v="#VALUE!"/>
    <n v="325"/>
    <n v="0"/>
    <n v="0"/>
    <m/>
    <s v="Y"/>
    <m/>
    <s v="121-365 DAYS"/>
    <n v="6"/>
    <x v="0"/>
  </r>
  <r>
    <n v="165"/>
    <s v="N"/>
    <s v="N"/>
    <n v="1726743"/>
    <n v="1"/>
    <d v="2012-01-08T00:00:00"/>
    <d v="2012-05-29T00:00:00"/>
    <n v="1726743"/>
    <d v="2012-01-08T00:00:00"/>
    <d v="2012-01-09T00:00:00"/>
    <n v="10000"/>
    <x v="3"/>
    <d v="2012-01-09T00:00:00"/>
    <s v="Y"/>
    <s v="SURETY"/>
    <s v="DISMISSED"/>
    <n v="2"/>
    <n v="143"/>
    <n v="2"/>
    <n v="2"/>
    <n v="1"/>
    <m/>
    <m/>
    <m/>
    <m/>
    <m/>
    <m/>
    <m/>
    <m/>
    <d v="1982-01-15T00:00:00"/>
    <s v="M"/>
    <s v="B"/>
    <s v="BLACK"/>
    <s v="NON-HISPANIC"/>
    <s v="208"/>
    <s v="DISMISSED"/>
    <n v="6"/>
    <s v="DISMISSED"/>
    <m/>
    <m/>
    <m/>
    <s v="POSS CS PG 1  1 - 4 GRAMS"/>
    <m/>
    <s v="F3"/>
    <s v="POSS DRUG"/>
    <m/>
    <m/>
    <m/>
    <m/>
    <m/>
    <m/>
    <m/>
    <m/>
    <m/>
    <s v="Hired Attorney"/>
    <m/>
    <m/>
    <n v="2"/>
    <n v="143"/>
    <n v="143"/>
    <n v="29.918032786885245"/>
    <n v="0"/>
    <n v="-141"/>
    <s v="NO CONVICTION"/>
    <x v="1"/>
    <s v="Y"/>
    <m/>
    <s v="NO CONVICTION"/>
    <s v="Y"/>
    <x v="1"/>
    <x v="0"/>
    <s v="Y"/>
    <n v="1.3986013986013986E-2"/>
    <n v="1.3986013986013986E-2"/>
    <n v="0"/>
    <n v="0"/>
    <n v="-2"/>
    <n v="0"/>
    <n v="2"/>
    <e v="#VALUE!"/>
    <n v="2"/>
    <n v="0"/>
    <n v="141"/>
    <m/>
    <s v="Y"/>
    <m/>
    <s v="0-10 DAYS"/>
    <n v="1"/>
    <x v="0"/>
  </r>
  <r>
    <n v="709"/>
    <s v="N"/>
    <s v="N"/>
    <n v="1727068"/>
    <n v="6"/>
    <d v="2012-01-28T00:00:00"/>
    <d v="2012-02-24T00:00:00"/>
    <n v="1727068"/>
    <d v="2012-01-29T00:00:00"/>
    <d v="2012-02-24T00:00:00"/>
    <n v="5000"/>
    <x v="4"/>
    <m/>
    <s v="N"/>
    <s v="NONE"/>
    <s v="GUILTY PLEA - NO JURY"/>
    <n v="27"/>
    <n v="28"/>
    <n v="1"/>
    <n v="0"/>
    <m/>
    <m/>
    <m/>
    <m/>
    <m/>
    <m/>
    <m/>
    <m/>
    <m/>
    <d v="1981-07-28T00:00:00"/>
    <s v="M"/>
    <s v="W"/>
    <s v="WHITE"/>
    <s v="NON-HISPANIC"/>
    <s v="338"/>
    <s v="CONVICTED"/>
    <n v="2"/>
    <s v="TDC"/>
    <n v="2"/>
    <m/>
    <m/>
    <s v="FELON POSS WPN"/>
    <m/>
    <s v="F3"/>
    <s v="OTHER FEL"/>
    <m/>
    <m/>
    <m/>
    <m/>
    <m/>
    <m/>
    <m/>
    <m/>
    <m/>
    <s v="Appointed Attorney"/>
    <m/>
    <m/>
    <n v="27"/>
    <n v="27"/>
    <n v="28"/>
    <n v="30.439890710382514"/>
    <n v="0"/>
    <n v="0"/>
    <s v="CONVICTION"/>
    <x v="0"/>
    <s v="N"/>
    <m/>
    <s v="CONVICTION"/>
    <s v="Y"/>
    <x v="0"/>
    <x v="0"/>
    <s v="Y"/>
    <n v="0.9642857142857143"/>
    <n v="1"/>
    <n v="3.5714285714285698E-2"/>
    <n v="0"/>
    <n v="-27"/>
    <n v="0"/>
    <n v="27"/>
    <e v="#VALUE!"/>
    <n v="27"/>
    <n v="0"/>
    <n v="0"/>
    <m/>
    <s v="Y"/>
    <m/>
    <s v="11-30 DAYS"/>
    <n v="2"/>
    <x v="0"/>
  </r>
  <r>
    <n v="2986"/>
    <s v="N"/>
    <s v="N"/>
    <n v="1728220"/>
    <n v="5"/>
    <d v="2012-04-20T00:00:00"/>
    <d v="2012-04-23T00:00:00"/>
    <n v="1728220"/>
    <d v="2012-04-20T00:00:00"/>
    <d v="2012-04-23T00:00:00"/>
    <n v="15000"/>
    <x v="0"/>
    <m/>
    <s v="N"/>
    <s v="NONE"/>
    <s v="GUILTY PLEA - NO JURY"/>
    <n v="4"/>
    <n v="4"/>
    <n v="12"/>
    <n v="3"/>
    <n v="8"/>
    <m/>
    <m/>
    <m/>
    <m/>
    <m/>
    <m/>
    <m/>
    <m/>
    <d v="1968-02-15T00:00:00"/>
    <s v="M"/>
    <s v="B"/>
    <s v="BLACK"/>
    <s v="NON-HISPANIC"/>
    <s v="263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4"/>
    <n v="4"/>
    <n v="4"/>
    <n v="44.087431693989068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1577"/>
    <s v="N"/>
    <s v="N"/>
    <n v="1728328"/>
    <n v="2"/>
    <d v="2012-02-28T00:00:00"/>
    <d v="2012-06-19T00:00:00"/>
    <n v="1728328"/>
    <d v="2012-02-29T00:00:00"/>
    <d v="2012-02-29T00:00:00"/>
    <n v="2000"/>
    <x v="5"/>
    <d v="2012-02-29T00:00:00"/>
    <s v="Y"/>
    <s v="SURETY"/>
    <s v="DEFERRED ADJUDICATION "/>
    <n v="1"/>
    <n v="113"/>
    <n v="1"/>
    <n v="3"/>
    <m/>
    <n v="1"/>
    <m/>
    <m/>
    <m/>
    <m/>
    <m/>
    <m/>
    <m/>
    <d v="1970-11-26T00:00:00"/>
    <s v="F"/>
    <s v="W"/>
    <s v="WHITE"/>
    <s v="NON-HISPANIC"/>
    <s v="209"/>
    <s v="DEFERRED"/>
    <n v="6"/>
    <s v="DEFERRED"/>
    <m/>
    <m/>
    <m/>
    <s v="CREDIT/DEBIT CARD ABUSE"/>
    <m/>
    <s v="FS"/>
    <s v="OTHER FEL"/>
    <m/>
    <m/>
    <m/>
    <m/>
    <m/>
    <m/>
    <m/>
    <m/>
    <m/>
    <s v="Hired Attorney"/>
    <m/>
    <m/>
    <n v="1"/>
    <n v="112"/>
    <n v="113"/>
    <n v="41.172131147540981"/>
    <n v="0"/>
    <n v="-111"/>
    <s v="DEFERRED"/>
    <x v="1"/>
    <s v="Y"/>
    <m/>
    <s v="DEFERRED"/>
    <s v="Y"/>
    <x v="1"/>
    <x v="0"/>
    <s v="Y"/>
    <n v="8.8495575221238937E-3"/>
    <n v="8.9285714285714281E-3"/>
    <n v="7.9013906447534393E-5"/>
    <n v="0"/>
    <n v="-1"/>
    <n v="0"/>
    <n v="1"/>
    <e v="#VALUE!"/>
    <n v="1"/>
    <n v="0"/>
    <n v="111"/>
    <m/>
    <s v="Y"/>
    <m/>
    <s v="0-10 DAYS"/>
    <n v="1"/>
    <x v="0"/>
  </r>
  <r>
    <n v="3091"/>
    <s v="N"/>
    <s v="N"/>
    <n v="1728497"/>
    <n v="5"/>
    <d v="2012-04-24T00:00:00"/>
    <d v="2012-07-05T00:00:00"/>
    <n v="1728497"/>
    <d v="2012-04-25T00:00:00"/>
    <d v="2012-07-05T00:00:00"/>
    <n v="10000"/>
    <x v="3"/>
    <m/>
    <s v="N"/>
    <s v="NONE"/>
    <s v="GUILTY PLEA - NO JURY"/>
    <n v="72"/>
    <n v="73"/>
    <n v="1"/>
    <n v="1"/>
    <n v="1"/>
    <m/>
    <m/>
    <m/>
    <m/>
    <m/>
    <m/>
    <s v="S"/>
    <m/>
    <d v="1980-07-20T00:00:00"/>
    <s v="M"/>
    <s v="H"/>
    <s v="HISPANIC"/>
    <s v="NULL"/>
    <s v="184"/>
    <s v="CONVICTED"/>
    <n v="4"/>
    <s v="STJ"/>
    <m/>
    <n v="6"/>
    <m/>
    <s v="ASSAULT-BOD INJ-FAMILY MEMBER"/>
    <m/>
    <s v="F3"/>
    <s v="ASLT-MURDR"/>
    <m/>
    <m/>
    <m/>
    <m/>
    <m/>
    <m/>
    <m/>
    <m/>
    <m/>
    <s v="Appointed Attorney"/>
    <m/>
    <m/>
    <n v="72"/>
    <n v="72"/>
    <n v="73"/>
    <n v="31.696721311475411"/>
    <n v="0"/>
    <n v="0"/>
    <s v="CONVICTION"/>
    <x v="0"/>
    <s v="N"/>
    <m/>
    <s v="CONVICTION"/>
    <s v="Y"/>
    <x v="0"/>
    <x v="0"/>
    <s v="Y"/>
    <n v="0.98630136986301364"/>
    <n v="1"/>
    <n v="1.3698630136986356E-2"/>
    <n v="0"/>
    <n v="-72"/>
    <n v="0"/>
    <n v="72"/>
    <e v="#VALUE!"/>
    <n v="72"/>
    <n v="0"/>
    <n v="0"/>
    <m/>
    <s v="Y"/>
    <m/>
    <s v="61-90 DAYS"/>
    <n v="4"/>
    <x v="0"/>
  </r>
  <r>
    <n v="514"/>
    <s v="N"/>
    <s v="N"/>
    <n v="1729537"/>
    <n v="3"/>
    <d v="2012-01-21T00:00:00"/>
    <d v="2012-04-13T00:00:00"/>
    <n v="1729537"/>
    <s v="NOT BOOKED"/>
    <s v="NOT BOOKED"/>
    <n v="10000"/>
    <x v="3"/>
    <d v="2012-01-22T00:00:00"/>
    <s v="Y"/>
    <s v="SURETY"/>
    <s v="GUILTY PLEA - NO JURY"/>
    <n v="0"/>
    <n v="84"/>
    <n v="0"/>
    <n v="3"/>
    <m/>
    <m/>
    <m/>
    <m/>
    <m/>
    <m/>
    <m/>
    <m/>
    <m/>
    <d v="1954-03-25T00:00:00"/>
    <s v="M"/>
    <s v="H"/>
    <s v="HISPANIC"/>
    <s v="HISPANIC"/>
    <s v="230"/>
    <s v="CONVICTED"/>
    <n v="5"/>
    <s v="PROBATION"/>
    <m/>
    <m/>
    <n v="10"/>
    <s v="DWI 3RD OFFENDER BAC .08"/>
    <m/>
    <s v="F3"/>
    <s v="FEL DWI"/>
    <s v="10 days jail cop, misd disp driv li suspend, prob and 3 days hcj"/>
    <m/>
    <m/>
    <m/>
    <m/>
    <m/>
    <m/>
    <m/>
    <m/>
    <s v="Hired Attorney"/>
    <m/>
    <m/>
    <n v="0"/>
    <n v="0"/>
    <n v="84"/>
    <n v="57.707650273224047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1059"/>
    <s v="N"/>
    <s v="N"/>
    <n v="1730691"/>
    <n v="1"/>
    <d v="2012-02-09T00:00:00"/>
    <d v="2012-09-06T00:00:00"/>
    <n v="1730691"/>
    <d v="2012-02-09T00:00:00"/>
    <d v="2012-02-11T00:00:00"/>
    <n v="2000"/>
    <x v="5"/>
    <d v="2012-02-11T00:00:00"/>
    <s v="Y"/>
    <s v="SURETY"/>
    <s v="DISMISSED"/>
    <n v="3"/>
    <n v="211"/>
    <n v="0"/>
    <n v="2"/>
    <m/>
    <m/>
    <m/>
    <m/>
    <m/>
    <m/>
    <m/>
    <m/>
    <m/>
    <d v="1968-08-04T00:00:00"/>
    <s v="F"/>
    <s v="W"/>
    <s v="WHITE"/>
    <s v="NULL"/>
    <s v="339"/>
    <s v="DISMISSED"/>
    <n v="10"/>
    <s v="DISMISSED"/>
    <m/>
    <m/>
    <m/>
    <s v="POSS CS PG 2 &lt;1GRAM"/>
    <m/>
    <s v="FS"/>
    <s v="POSS DRUG"/>
    <m/>
    <m/>
    <m/>
    <m/>
    <m/>
    <m/>
    <m/>
    <m/>
    <m/>
    <s v="Public Defender"/>
    <m/>
    <m/>
    <n v="3"/>
    <n v="211"/>
    <n v="211"/>
    <n v="43.42622950819672"/>
    <n v="0"/>
    <n v="-208"/>
    <s v="NO CONVICTION"/>
    <x v="1"/>
    <s v="Y"/>
    <m/>
    <s v="NO CONVICTION"/>
    <s v="Y"/>
    <x v="1"/>
    <x v="0"/>
    <s v="N"/>
    <n v="1.4218009478672985E-2"/>
    <n v="1.4218009478672985E-2"/>
    <n v="0"/>
    <n v="0"/>
    <n v="-3"/>
    <n v="0"/>
    <n v="3"/>
    <e v="#VALUE!"/>
    <n v="3"/>
    <n v="0"/>
    <n v="208"/>
    <m/>
    <s v="Y"/>
    <m/>
    <s v="0-10 DAYS"/>
    <n v="1"/>
    <x v="0"/>
  </r>
  <r>
    <n v="334"/>
    <s v="N"/>
    <s v="N"/>
    <n v="1731842"/>
    <n v="1"/>
    <d v="2012-01-13T00:00:00"/>
    <d v="2012-08-30T00:00:00"/>
    <n v="1731842"/>
    <d v="2012-01-14T00:00:00"/>
    <d v="2012-08-30T00:00:00"/>
    <s v="NO BOND"/>
    <x v="1"/>
    <m/>
    <s v="N"/>
    <s v="NONE"/>
    <s v="DISMISSED"/>
    <n v="230"/>
    <n v="231"/>
    <n v="2"/>
    <n v="2"/>
    <n v="1"/>
    <m/>
    <m/>
    <m/>
    <m/>
    <m/>
    <m/>
    <m/>
    <m/>
    <d v="1980-05-12T00:00:00"/>
    <s v="M"/>
    <s v="B"/>
    <s v="BLACK"/>
    <s v="NON-HISPANIC"/>
    <s v="232"/>
    <s v="DISMISSED"/>
    <n v="9"/>
    <s v="DISMISSED"/>
    <m/>
    <m/>
    <m/>
    <s v="POSS W/INT DEL CS PG1 1G &lt;4 GR"/>
    <m/>
    <s v="F2"/>
    <s v="SALE DRUG"/>
    <m/>
    <m/>
    <m/>
    <m/>
    <m/>
    <m/>
    <m/>
    <m/>
    <m/>
    <s v="Hired Attorney"/>
    <m/>
    <m/>
    <n v="230"/>
    <n v="230"/>
    <n v="231"/>
    <n v="31.606557377049182"/>
    <n v="0"/>
    <n v="0"/>
    <s v="NO CONVICTION"/>
    <x v="0"/>
    <s v="N"/>
    <m/>
    <s v="NO CONVICTION"/>
    <s v="Y"/>
    <x v="0"/>
    <x v="0"/>
    <s v="Y"/>
    <n v="0.99567099567099571"/>
    <n v="1"/>
    <n v="4.3290043290042934E-3"/>
    <n v="0"/>
    <n v="-230"/>
    <n v="0"/>
    <n v="230"/>
    <e v="#VALUE!"/>
    <n v="230"/>
    <n v="0"/>
    <n v="0"/>
    <m/>
    <s v="Y"/>
    <m/>
    <s v="121-365 DAYS"/>
    <n v="6"/>
    <x v="0"/>
  </r>
  <r>
    <n v="1563"/>
    <s v="N"/>
    <s v="N"/>
    <n v="1732543"/>
    <n v="1"/>
    <d v="2012-02-28T00:00:00"/>
    <d v="2012-04-04T00:00:00"/>
    <n v="1732543"/>
    <d v="2012-02-28T00:00:00"/>
    <d v="2012-04-04T00:00:00"/>
    <s v="NO BOND"/>
    <x v="1"/>
    <m/>
    <s v="N"/>
    <s v="NONE"/>
    <s v="DISMISSED"/>
    <n v="37"/>
    <n v="37"/>
    <n v="4"/>
    <n v="1"/>
    <n v="2"/>
    <n v="1"/>
    <m/>
    <m/>
    <m/>
    <m/>
    <m/>
    <m/>
    <m/>
    <d v="1981-07-15T00:00:00"/>
    <s v="M"/>
    <s v="B"/>
    <s v="BLACK"/>
    <s v="NON-HISPANIC"/>
    <s v="230"/>
    <s v="DISMISSED"/>
    <n v="5"/>
    <s v="DISMISSED"/>
    <m/>
    <m/>
    <m/>
    <s v="POSS GP 3 CS- 400 G OR MORE"/>
    <m/>
    <s v="F1"/>
    <s v="POSS DRUG"/>
    <m/>
    <m/>
    <m/>
    <m/>
    <m/>
    <m/>
    <m/>
    <m/>
    <m/>
    <s v="Appointed Attorney"/>
    <m/>
    <m/>
    <n v="37"/>
    <n v="37"/>
    <n v="37"/>
    <n v="30.560109289617486"/>
    <n v="0"/>
    <n v="0"/>
    <s v="NO CONVICTION"/>
    <x v="0"/>
    <s v="N"/>
    <m/>
    <s v="NO CONVICTION"/>
    <s v="Y"/>
    <x v="0"/>
    <x v="0"/>
    <s v="Y"/>
    <n v="1"/>
    <n v="1"/>
    <n v="0"/>
    <n v="0"/>
    <n v="-37"/>
    <n v="0"/>
    <n v="37"/>
    <e v="#VALUE!"/>
    <n v="37"/>
    <n v="0"/>
    <n v="0"/>
    <m/>
    <s v="Y"/>
    <m/>
    <s v="31-60 DAYS"/>
    <n v="3"/>
    <x v="0"/>
  </r>
  <r>
    <n v="3226"/>
    <s v="N"/>
    <s v="N"/>
    <n v="1734451"/>
    <n v="6"/>
    <d v="2012-04-29T00:00:00"/>
    <d v="2012-08-30T00:00:00"/>
    <n v="1734451"/>
    <d v="2012-04-29T00:00:00"/>
    <d v="2012-08-30T00:00:00"/>
    <n v="15000"/>
    <x v="0"/>
    <m/>
    <s v="N"/>
    <s v="NONE"/>
    <s v="GUILTY PLEA - NO JURY"/>
    <n v="124"/>
    <n v="124"/>
    <n v="5"/>
    <n v="1"/>
    <n v="3"/>
    <m/>
    <m/>
    <m/>
    <m/>
    <m/>
    <m/>
    <m/>
    <m/>
    <d v="1982-07-02T00:00:00"/>
    <s v="M"/>
    <s v="H"/>
    <s v="HISPANIC"/>
    <s v="HISPANIC"/>
    <s v="339"/>
    <s v="CONVICTED"/>
    <n v="5"/>
    <s v="TDC"/>
    <n v="10"/>
    <m/>
    <m/>
    <s v="DWI WITH/CHILD UNDER 15 YOA"/>
    <m/>
    <m/>
    <s v="OTHERMISD"/>
    <m/>
    <m/>
    <m/>
    <m/>
    <m/>
    <m/>
    <m/>
    <m/>
    <m/>
    <s v="Appointed Attorney"/>
    <m/>
    <m/>
    <n v="124"/>
    <n v="124"/>
    <n v="124"/>
    <n v="29.765027322404372"/>
    <n v="0"/>
    <n v="0"/>
    <s v="CONVICTION"/>
    <x v="0"/>
    <s v="N"/>
    <m/>
    <s v="CONVICTION"/>
    <s v="Y"/>
    <x v="0"/>
    <x v="0"/>
    <s v="Y"/>
    <n v="1"/>
    <n v="1"/>
    <n v="0"/>
    <n v="0"/>
    <n v="-124"/>
    <n v="0"/>
    <n v="124"/>
    <e v="#VALUE!"/>
    <n v="124"/>
    <n v="0"/>
    <n v="0"/>
    <m/>
    <s v="Y"/>
    <m/>
    <s v="121-365 DAYS"/>
    <n v="6"/>
    <x v="0"/>
  </r>
  <r>
    <n v="1345"/>
    <s v="N"/>
    <s v="N"/>
    <n v="1734458"/>
    <n v="6"/>
    <d v="2012-02-18T00:00:00"/>
    <d v="2012-03-13T00:00:00"/>
    <n v="1734458"/>
    <d v="2012-03-02T00:00:00"/>
    <d v="2012-03-13T00:00:00"/>
    <s v="NO BOND"/>
    <x v="1"/>
    <m/>
    <s v="N"/>
    <s v="NONE"/>
    <s v="GUILTY PLEA - NO JURY"/>
    <n v="12"/>
    <n v="25"/>
    <n v="1"/>
    <n v="4"/>
    <n v="1"/>
    <m/>
    <m/>
    <m/>
    <m/>
    <m/>
    <m/>
    <m/>
    <m/>
    <d v="1982-06-28T00:00:00"/>
    <s v="M"/>
    <s v="H"/>
    <s v="HISPANIC"/>
    <s v="HISPANIC"/>
    <s v="178"/>
    <s v="CONVICTED"/>
    <n v="2"/>
    <s v="TDC"/>
    <n v="3"/>
    <m/>
    <m/>
    <s v="BURGLARY OF HABITATION"/>
    <m/>
    <s v="F2"/>
    <s v="BURGLARY"/>
    <m/>
    <m/>
    <m/>
    <m/>
    <m/>
    <m/>
    <m/>
    <m/>
    <m/>
    <s v="Appointed Attorney"/>
    <m/>
    <m/>
    <n v="12"/>
    <n v="12"/>
    <n v="25"/>
    <n v="29.581967213114755"/>
    <n v="0"/>
    <n v="0"/>
    <s v="CONVICTION"/>
    <x v="0"/>
    <s v="N"/>
    <m/>
    <s v="CONVICTION"/>
    <s v="Y"/>
    <x v="0"/>
    <x v="0"/>
    <s v="Y"/>
    <n v="0.48"/>
    <n v="1"/>
    <n v="0.52"/>
    <n v="0"/>
    <n v="-12"/>
    <n v="0"/>
    <n v="12"/>
    <e v="#VALUE!"/>
    <n v="12"/>
    <n v="0"/>
    <n v="0"/>
    <m/>
    <s v="Y"/>
    <m/>
    <s v="11-30 DAYS"/>
    <n v="2"/>
    <x v="0"/>
  </r>
  <r>
    <n v="3159"/>
    <s v="N"/>
    <s v="N"/>
    <n v="1734692"/>
    <n v="6"/>
    <d v="2012-04-26T00:00:00"/>
    <d v="2012-05-07T00:00:00"/>
    <n v="1734692"/>
    <d v="2012-04-27T00:00:00"/>
    <d v="2012-05-07T00:00:00"/>
    <s v="NO BOND"/>
    <x v="1"/>
    <m/>
    <s v="N"/>
    <s v="NONE"/>
    <s v="GUILTY PLEA - NO JURY"/>
    <n v="11"/>
    <n v="12"/>
    <n v="2"/>
    <n v="3"/>
    <n v="1"/>
    <m/>
    <m/>
    <m/>
    <m/>
    <m/>
    <m/>
    <m/>
    <m/>
    <d v="1982-03-27T00:00:00"/>
    <s v="M"/>
    <s v="W"/>
    <s v="WHITE"/>
    <s v="NON-HISPANIC"/>
    <s v="184"/>
    <s v="CONVICTED"/>
    <n v="2"/>
    <s v="TDC"/>
    <n v="3"/>
    <m/>
    <m/>
    <s v="CREDIT/DEBIT CARD ABUSE"/>
    <m/>
    <s v="FS"/>
    <s v="OTHER FEL"/>
    <m/>
    <m/>
    <m/>
    <m/>
    <m/>
    <m/>
    <m/>
    <m/>
    <m/>
    <s v="Appointed Attorney"/>
    <m/>
    <m/>
    <n v="11"/>
    <n v="11"/>
    <n v="12"/>
    <n v="30.021857923497269"/>
    <n v="0"/>
    <n v="0"/>
    <s v="CONVICTION"/>
    <x v="0"/>
    <s v="N"/>
    <m/>
    <s v="CONVICTION"/>
    <s v="Y"/>
    <x v="0"/>
    <x v="0"/>
    <s v="Y"/>
    <n v="0.91666666666666663"/>
    <n v="1"/>
    <n v="8.333333333333337E-2"/>
    <n v="0"/>
    <n v="-11"/>
    <n v="0"/>
    <n v="11"/>
    <e v="#VALUE!"/>
    <n v="11"/>
    <n v="0"/>
    <n v="0"/>
    <m/>
    <s v="Y"/>
    <m/>
    <s v="11-30 DAYS"/>
    <n v="2"/>
    <x v="0"/>
  </r>
  <r>
    <n v="2341"/>
    <s v="N"/>
    <s v="N"/>
    <n v="1736327"/>
    <n v="6"/>
    <d v="2012-03-29T00:00:00"/>
    <d v="2012-12-07T00:00:00"/>
    <n v="1736327"/>
    <d v="2012-03-29T00:00:00"/>
    <d v="2012-12-07T00:00:00"/>
    <n v="60000"/>
    <x v="2"/>
    <m/>
    <s v="N"/>
    <s v="NONE"/>
    <s v="GUILTY PLEA - NO JURY"/>
    <n v="254"/>
    <n v="254"/>
    <n v="0"/>
    <n v="3"/>
    <m/>
    <m/>
    <m/>
    <m/>
    <m/>
    <m/>
    <m/>
    <m/>
    <m/>
    <d v="1979-10-31T00:00:00"/>
    <s v="M"/>
    <s v="W"/>
    <s v="WHITE"/>
    <s v="NON-HISPANIC"/>
    <s v="180"/>
    <s v="CONVICTED"/>
    <n v="10"/>
    <s v="TDC"/>
    <n v="12"/>
    <m/>
    <m/>
    <s v="AGG SEX ASSLT CHILD-UNDER 14"/>
    <m/>
    <s v="F1"/>
    <s v="SEX ABUSE"/>
    <m/>
    <m/>
    <m/>
    <m/>
    <m/>
    <m/>
    <m/>
    <m/>
    <m/>
    <s v="Appointed Attorney"/>
    <m/>
    <m/>
    <n v="254"/>
    <n v="254"/>
    <n v="254"/>
    <n v="32.344262295081968"/>
    <n v="0"/>
    <n v="0"/>
    <s v="CONVICTION"/>
    <x v="0"/>
    <s v="N"/>
    <m/>
    <s v="CONVICTION"/>
    <s v="Y"/>
    <x v="0"/>
    <x v="0"/>
    <s v="N"/>
    <n v="1"/>
    <n v="1"/>
    <n v="0"/>
    <n v="0"/>
    <n v="-254"/>
    <n v="0"/>
    <n v="254"/>
    <e v="#VALUE!"/>
    <n v="254"/>
    <n v="0"/>
    <n v="0"/>
    <m/>
    <s v="Y"/>
    <m/>
    <s v="121-365 DAYS"/>
    <n v="6"/>
    <x v="0"/>
  </r>
  <r>
    <n v="2470"/>
    <s v="Y"/>
    <s v="Y"/>
    <n v="1736534"/>
    <n v="2"/>
    <d v="2012-04-03T00:00:00"/>
    <d v="2012-07-10T00:00:00"/>
    <n v="1736534"/>
    <d v="2012-04-03T00:00:00"/>
    <d v="2012-05-06T00:00:00"/>
    <n v="2000"/>
    <x v="5"/>
    <d v="2012-05-06T00:00:00"/>
    <s v="Y"/>
    <s v="SURETYPTRc"/>
    <s v="DEFERRED ADJUDICATION "/>
    <n v="58"/>
    <n v="99"/>
    <n v="0"/>
    <n v="2"/>
    <m/>
    <m/>
    <m/>
    <m/>
    <m/>
    <m/>
    <m/>
    <m/>
    <m/>
    <d v="1976-01-07T00:00:00"/>
    <s v="M"/>
    <s v="W"/>
    <s v="WHITE"/>
    <s v="NULL"/>
    <s v="230"/>
    <s v="DEFERRED"/>
    <n v="9"/>
    <s v="DEFERRED"/>
    <m/>
    <m/>
    <m/>
    <s v="POSS CS PG 1 &lt;1G"/>
    <m/>
    <s v="FS"/>
    <s v="POSS DRUG"/>
    <s v="bf bk recal"/>
    <m/>
    <s v="Y"/>
    <s v="bf 6/15/12"/>
    <m/>
    <m/>
    <m/>
    <d v="2012-07-16T00:00:00"/>
    <n v="235"/>
    <s v="Appointed Attorney"/>
    <s v="pcs 6/25/13 stj 1Y"/>
    <m/>
    <n v="58"/>
    <n v="99"/>
    <n v="99"/>
    <n v="36.16393442622951"/>
    <n v="0"/>
    <n v="-65"/>
    <s v="DEFERRED"/>
    <x v="1"/>
    <s v="N"/>
    <m/>
    <s v="DEFERRED"/>
    <s v="Y"/>
    <x v="0"/>
    <x v="0"/>
    <s v="N"/>
    <n v="0.58585858585858586"/>
    <n v="0.34343434343434343"/>
    <n v="-0.24242424242424243"/>
    <n v="0"/>
    <n v="-34"/>
    <n v="24"/>
    <n v="99"/>
    <n v="58"/>
    <n v="99"/>
    <n v="65"/>
    <n v="65"/>
    <m/>
    <s v="Y"/>
    <m/>
    <s v="31-60 DAYS"/>
    <n v="3"/>
    <x v="0"/>
  </r>
  <r>
    <n v="692"/>
    <s v="N"/>
    <s v="N"/>
    <n v="1736825"/>
    <n v="2"/>
    <d v="2012-01-28T00:00:00"/>
    <d v="2012-01-30T00:00:00"/>
    <n v="1736825"/>
    <d v="2012-01-28T00:00:00"/>
    <d v="2012-01-30T00:00:00"/>
    <n v="2000"/>
    <x v="5"/>
    <m/>
    <s v="N"/>
    <s v="NONE"/>
    <s v="DEFERRED ADJUDICATION "/>
    <n v="3"/>
    <n v="3"/>
    <n v="0"/>
    <n v="0"/>
    <m/>
    <m/>
    <m/>
    <m/>
    <m/>
    <m/>
    <m/>
    <m/>
    <m/>
    <d v="1980-08-07T00:00:00"/>
    <s v="M"/>
    <s v="W"/>
    <s v="WHITE"/>
    <s v="NON-HISPANIC"/>
    <s v="182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3"/>
    <n v="3"/>
    <n v="3"/>
    <n v="31.409836065573771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n v="0"/>
    <m/>
    <s v="N"/>
    <m/>
    <s v="0-10 DAYS"/>
    <n v="1"/>
    <x v="0"/>
  </r>
  <r>
    <n v="2343"/>
    <s v="N"/>
    <s v="N"/>
    <n v="1736983"/>
    <n v="6"/>
    <d v="2012-03-23T00:00:00"/>
    <d v="2012-06-08T00:00:00"/>
    <n v="1736983"/>
    <d v="2012-03-29T00:00:00"/>
    <d v="2012-06-08T00:00:00"/>
    <s v="NO BOND"/>
    <x v="1"/>
    <m/>
    <s v="N"/>
    <s v="NONE"/>
    <s v="GUILTY PLEA - NO JURY"/>
    <n v="72"/>
    <n v="78"/>
    <n v="7"/>
    <n v="5"/>
    <n v="4"/>
    <m/>
    <m/>
    <m/>
    <m/>
    <m/>
    <m/>
    <m/>
    <m/>
    <d v="1979-10-18T00:00:00"/>
    <s v="M"/>
    <s v="B"/>
    <s v="BLACK"/>
    <s v="NON-HISPANIC"/>
    <s v="180"/>
    <s v="CONVICTED"/>
    <n v="5"/>
    <s v="TDC"/>
    <n v="10"/>
    <m/>
    <m/>
    <s v="POSS CS PG 1  1 - 4 GRAMS"/>
    <m/>
    <s v="F3"/>
    <s v="POSS DRUG"/>
    <m/>
    <m/>
    <m/>
    <m/>
    <m/>
    <m/>
    <m/>
    <m/>
    <m/>
    <s v="Appointed Attorney"/>
    <m/>
    <m/>
    <n v="72"/>
    <n v="72"/>
    <n v="78"/>
    <n v="32.363387978142079"/>
    <n v="0"/>
    <n v="0"/>
    <s v="CONVICTION"/>
    <x v="0"/>
    <s v="N"/>
    <m/>
    <s v="CONVICTION"/>
    <s v="Y"/>
    <x v="0"/>
    <x v="0"/>
    <s v="Y"/>
    <n v="0.92307692307692313"/>
    <n v="1"/>
    <n v="7.6923076923076872E-2"/>
    <n v="0"/>
    <n v="-72"/>
    <n v="0"/>
    <n v="72"/>
    <e v="#VALUE!"/>
    <n v="72"/>
    <n v="0"/>
    <n v="0"/>
    <m/>
    <s v="Y"/>
    <m/>
    <s v="61-90 DAYS"/>
    <n v="4"/>
    <x v="0"/>
  </r>
  <r>
    <n v="1957"/>
    <s v="N"/>
    <s v="N"/>
    <n v="1739708"/>
    <n v="2"/>
    <d v="2012-03-14T00:00:00"/>
    <d v="2012-05-08T00:00:00"/>
    <n v="1739708"/>
    <d v="2012-03-16T00:00:00"/>
    <d v="2012-03-17T00:00:00"/>
    <n v="5000"/>
    <x v="4"/>
    <d v="2012-03-17T00:00:00"/>
    <s v="Y"/>
    <s v="SURETY"/>
    <s v="DEFERRED ADJUDICATION "/>
    <n v="2"/>
    <n v="56"/>
    <n v="0"/>
    <n v="0"/>
    <m/>
    <m/>
    <m/>
    <m/>
    <m/>
    <m/>
    <m/>
    <m/>
    <m/>
    <d v="1976-06-04T00:00:00"/>
    <s v="F"/>
    <s v="B"/>
    <s v="BLACK"/>
    <s v="NULL"/>
    <s v="182"/>
    <s v="DEFERRED"/>
    <n v="4"/>
    <s v="DEFERRED"/>
    <m/>
    <m/>
    <m/>
    <s v="POSS/ATT POSS CS BY FRAUD SCH"/>
    <m/>
    <s v="F3"/>
    <s v="SALE DRUG"/>
    <s v="7/17/12 rev DFAG motion pend dism"/>
    <m/>
    <m/>
    <m/>
    <m/>
    <m/>
    <m/>
    <m/>
    <m/>
    <s v="Hired Attorney"/>
    <m/>
    <m/>
    <n v="2"/>
    <n v="54"/>
    <n v="56"/>
    <n v="35.702185792349724"/>
    <n v="0"/>
    <n v="-52"/>
    <s v="DEFERRED"/>
    <x v="1"/>
    <s v="Y"/>
    <m/>
    <s v="DEFERRED"/>
    <s v="Y"/>
    <x v="1"/>
    <x v="0"/>
    <s v="N"/>
    <n v="3.5714285714285712E-2"/>
    <n v="3.7037037037037035E-2"/>
    <n v="1.3227513227513227E-3"/>
    <n v="0"/>
    <n v="-2"/>
    <n v="0"/>
    <n v="2"/>
    <e v="#VALUE!"/>
    <n v="2"/>
    <n v="0"/>
    <n v="52"/>
    <m/>
    <s v="N"/>
    <m/>
    <s v="0-10 DAYS"/>
    <n v="1"/>
    <x v="0"/>
  </r>
  <r>
    <n v="1862"/>
    <s v="N"/>
    <s v="N"/>
    <n v="1739926"/>
    <n v="2"/>
    <d v="2012-03-09T00:00:00"/>
    <d v="2012-10-18T00:00:00"/>
    <n v="1739926"/>
    <d v="2012-03-09T00:00:00"/>
    <d v="2012-03-22T00:00:00"/>
    <n v="2000"/>
    <x v="5"/>
    <d v="2012-03-22T00:00:00"/>
    <s v="Y"/>
    <s v="SURETY"/>
    <s v="DEFERRED ADJUDICATION "/>
    <n v="14"/>
    <n v="224"/>
    <n v="0"/>
    <n v="1"/>
    <m/>
    <m/>
    <m/>
    <m/>
    <m/>
    <m/>
    <m/>
    <m/>
    <m/>
    <d v="1981-08-26T00:00:00"/>
    <s v="M"/>
    <s v="B"/>
    <s v="BLACK"/>
    <s v="NULL"/>
    <s v="209"/>
    <s v="DEFERRED"/>
    <n v="8"/>
    <s v="DEFERRED"/>
    <m/>
    <m/>
    <m/>
    <s v="CREDIT/DEBIT CARD ABUSE"/>
    <m/>
    <s v="FS"/>
    <s v="OTHER FEL"/>
    <m/>
    <m/>
    <m/>
    <m/>
    <m/>
    <m/>
    <m/>
    <m/>
    <m/>
    <s v="Appointed Attorney"/>
    <m/>
    <m/>
    <n v="14"/>
    <n v="224"/>
    <n v="224"/>
    <n v="30.472677595628415"/>
    <n v="0"/>
    <n v="-210"/>
    <s v="DEFERRED"/>
    <x v="1"/>
    <s v="Y"/>
    <m/>
    <s v="DEFERRED"/>
    <s v="Y"/>
    <x v="1"/>
    <x v="0"/>
    <s v="N"/>
    <n v="6.25E-2"/>
    <n v="6.25E-2"/>
    <n v="0"/>
    <n v="0"/>
    <n v="-14"/>
    <n v="0"/>
    <n v="14"/>
    <e v="#VALUE!"/>
    <n v="14"/>
    <n v="0"/>
    <n v="210"/>
    <m/>
    <s v="Y"/>
    <m/>
    <s v="11-30 DAYS"/>
    <n v="2"/>
    <x v="0"/>
  </r>
  <r>
    <n v="1272"/>
    <s v="N"/>
    <s v="N"/>
    <n v="1740567"/>
    <n v="6"/>
    <d v="2012-02-16T00:00:00"/>
    <d v="2012-02-20T00:00:00"/>
    <n v="1740567"/>
    <d v="2012-02-16T00:00:00"/>
    <d v="2012-02-20T00:00:00"/>
    <n v="40000"/>
    <x v="2"/>
    <m/>
    <s v="N"/>
    <s v="NONE"/>
    <s v="GUILTY PLEA - NO JURY"/>
    <n v="5"/>
    <n v="5"/>
    <n v="5"/>
    <n v="1"/>
    <n v="4"/>
    <m/>
    <m/>
    <m/>
    <m/>
    <m/>
    <m/>
    <m/>
    <m/>
    <d v="1981-03-11T00:00:00"/>
    <s v="M"/>
    <s v="H"/>
    <s v="HISPANIC"/>
    <s v="HISPANIC"/>
    <s v="339"/>
    <s v="CONVICTED"/>
    <n v="1"/>
    <s v="TDC"/>
    <n v="3"/>
    <m/>
    <m/>
    <s v="POSS CS PG 1  1 - 4 GRAMS"/>
    <m/>
    <s v="F3"/>
    <s v="POSS DRUG"/>
    <m/>
    <m/>
    <m/>
    <m/>
    <m/>
    <m/>
    <m/>
    <m/>
    <m/>
    <s v="Appointed Attorney"/>
    <m/>
    <m/>
    <n v="5"/>
    <n v="5"/>
    <n v="5"/>
    <n v="30.871584699453553"/>
    <n v="0"/>
    <n v="0"/>
    <s v="CONVICTION"/>
    <x v="0"/>
    <s v="N"/>
    <m/>
    <s v="CONVICTION"/>
    <s v="Y"/>
    <x v="0"/>
    <x v="0"/>
    <s v="Y"/>
    <n v="1"/>
    <n v="1"/>
    <n v="0"/>
    <n v="0"/>
    <n v="-5"/>
    <n v="0"/>
    <n v="5"/>
    <e v="#VALUE!"/>
    <n v="5"/>
    <n v="0"/>
    <n v="0"/>
    <m/>
    <s v="Y"/>
    <m/>
    <s v="0-10 DAYS"/>
    <n v="1"/>
    <x v="0"/>
  </r>
  <r>
    <n v="1625"/>
    <s v="N"/>
    <s v="N"/>
    <n v="1741865"/>
    <n v="2"/>
    <d v="2012-03-01T00:00:00"/>
    <d v="2012-03-21T00:00:00"/>
    <n v="1741865"/>
    <d v="2012-03-01T00:00:00"/>
    <d v="2012-03-21T00:00:00"/>
    <n v="25000"/>
    <x v="2"/>
    <m/>
    <s v="N"/>
    <s v="NONE"/>
    <s v="DEFERRED ADJUDICATION "/>
    <n v="21"/>
    <n v="21"/>
    <n v="6"/>
    <n v="3"/>
    <n v="5"/>
    <m/>
    <m/>
    <m/>
    <m/>
    <m/>
    <m/>
    <m/>
    <m/>
    <d v="1980-05-31T00:00:00"/>
    <s v="M"/>
    <s v="H"/>
    <s v="HISPANIC"/>
    <s v="HISPANIC"/>
    <s v="183"/>
    <s v="DEFERRED"/>
    <n v="4"/>
    <s v="DEFERRED"/>
    <m/>
    <m/>
    <m/>
    <s v="POSS CS PG 1 &lt;1G"/>
    <m/>
    <s v="FS"/>
    <s v="POSS DRUG"/>
    <m/>
    <m/>
    <m/>
    <m/>
    <m/>
    <m/>
    <m/>
    <m/>
    <m/>
    <s v="Appointed Attorney"/>
    <m/>
    <m/>
    <n v="21"/>
    <n v="21"/>
    <n v="21"/>
    <n v="31.685792349726775"/>
    <n v="0"/>
    <n v="0"/>
    <s v="DEFERRED"/>
    <x v="0"/>
    <s v="N"/>
    <m/>
    <s v="DEFERRED"/>
    <s v="Y"/>
    <x v="0"/>
    <x v="0"/>
    <s v="Y"/>
    <n v="1"/>
    <n v="1"/>
    <n v="0"/>
    <n v="0"/>
    <n v="-21"/>
    <n v="0"/>
    <n v="21"/>
    <e v="#VALUE!"/>
    <n v="21"/>
    <n v="0"/>
    <n v="0"/>
    <m/>
    <s v="Y"/>
    <m/>
    <s v="11-30 DAYS"/>
    <n v="2"/>
    <x v="0"/>
  </r>
  <r>
    <n v="730"/>
    <s v="N"/>
    <s v="N"/>
    <n v="1742171"/>
    <n v="5"/>
    <d v="2012-01-29T00:00:00"/>
    <d v="2012-04-23T00:00:00"/>
    <n v="1742171"/>
    <d v="2012-01-30T00:00:00"/>
    <d v="2012-04-23T00:00:00"/>
    <n v="15000"/>
    <x v="0"/>
    <m/>
    <s v="N"/>
    <s v="NONE"/>
    <s v="GUILTY PLEA - NO JURY"/>
    <n v="85"/>
    <n v="86"/>
    <n v="4"/>
    <n v="5"/>
    <n v="2"/>
    <m/>
    <m/>
    <m/>
    <m/>
    <m/>
    <m/>
    <m/>
    <m/>
    <d v="1981-02-06T00:00:00"/>
    <s v="M"/>
    <s v="B"/>
    <s v="BLACK"/>
    <s v="NULL"/>
    <s v="262"/>
    <s v="CONVICTED"/>
    <n v="6"/>
    <s v="STJ"/>
    <m/>
    <n v="14"/>
    <m/>
    <s v="BURGLARY OF A BUILDING"/>
    <m/>
    <s v="FS"/>
    <s v="BURGLARY"/>
    <m/>
    <m/>
    <m/>
    <m/>
    <m/>
    <m/>
    <m/>
    <m/>
    <m/>
    <s v="Appointed Attorney"/>
    <m/>
    <m/>
    <n v="85"/>
    <n v="85"/>
    <n v="86"/>
    <n v="30.912568306010929"/>
    <n v="0"/>
    <n v="0"/>
    <s v="CONVICTION"/>
    <x v="0"/>
    <s v="N"/>
    <m/>
    <s v="CONVICTION"/>
    <s v="Y"/>
    <x v="0"/>
    <x v="0"/>
    <s v="Y"/>
    <n v="0.98837209302325579"/>
    <n v="1"/>
    <n v="1.1627906976744207E-2"/>
    <n v="0"/>
    <n v="-85"/>
    <n v="0"/>
    <n v="85"/>
    <e v="#VALUE!"/>
    <n v="85"/>
    <n v="0"/>
    <n v="0"/>
    <m/>
    <s v="Y"/>
    <m/>
    <s v="61-90 DAYS"/>
    <n v="4"/>
    <x v="0"/>
  </r>
  <r>
    <n v="622"/>
    <s v="N"/>
    <s v="N"/>
    <n v="1742410"/>
    <n v="1"/>
    <d v="2012-01-25T00:00:00"/>
    <d v="2012-03-01T00:00:00"/>
    <n v="1742410"/>
    <d v="2012-01-25T00:00:00"/>
    <d v="2012-01-27T00:00:00"/>
    <n v="10000"/>
    <x v="3"/>
    <d v="2012-01-27T00:00:00"/>
    <s v="Y"/>
    <s v="SURETY"/>
    <s v="NO BILL"/>
    <n v="3"/>
    <n v="37"/>
    <n v="2"/>
    <n v="4"/>
    <n v="2"/>
    <m/>
    <m/>
    <m/>
    <m/>
    <m/>
    <m/>
    <m/>
    <m/>
    <d v="1982-05-16T00:00:00"/>
    <s v="M"/>
    <s v="B"/>
    <s v="BLACK"/>
    <s v="NULL"/>
    <s v="228"/>
    <s v="NO BILL"/>
    <n v="3"/>
    <s v="NO BILL"/>
    <m/>
    <m/>
    <m/>
    <s v="SELL/POSS UNLAB/RCRD&gt;65 RCRD"/>
    <m/>
    <s v="F"/>
    <s v="POSS DRUG"/>
    <m/>
    <m/>
    <m/>
    <m/>
    <m/>
    <m/>
    <m/>
    <m/>
    <m/>
    <s v="Appointed Attorney"/>
    <m/>
    <m/>
    <n v="3"/>
    <n v="37"/>
    <n v="37"/>
    <n v="29.633879781420767"/>
    <n v="0"/>
    <n v="-34"/>
    <s v="NO CONVICTION"/>
    <x v="1"/>
    <s v="Y"/>
    <m/>
    <s v="NO CONVICTION"/>
    <s v="Y"/>
    <x v="1"/>
    <x v="0"/>
    <s v="Y"/>
    <n v="8.1081081081081086E-2"/>
    <n v="8.1081081081081086E-2"/>
    <n v="0"/>
    <n v="0"/>
    <n v="-3"/>
    <n v="0"/>
    <n v="3"/>
    <e v="#VALUE!"/>
    <n v="3"/>
    <n v="0"/>
    <n v="34"/>
    <m/>
    <s v="Y"/>
    <m/>
    <s v="0-10 DAYS"/>
    <n v="1"/>
    <x v="0"/>
  </r>
  <r>
    <n v="1441"/>
    <s v="Y"/>
    <s v="Y"/>
    <n v="1742677"/>
    <n v="1"/>
    <d v="2012-02-23T00:00:00"/>
    <d v="2012-05-17T00:00:00"/>
    <n v="1742677"/>
    <d v="2012-03-10T00:00:00"/>
    <d v="2012-04-12T00:00:00"/>
    <n v="40000"/>
    <x v="2"/>
    <d v="2012-02-25T00:00:00"/>
    <s v="Y"/>
    <s v="SURETYPTRc"/>
    <s v="DISMISSED"/>
    <n v="33"/>
    <n v="85"/>
    <n v="6"/>
    <n v="9"/>
    <n v="2"/>
    <m/>
    <m/>
    <m/>
    <m/>
    <m/>
    <m/>
    <m/>
    <m/>
    <d v="1981-01-24T00:00:00"/>
    <s v="M"/>
    <s v="B"/>
    <s v="BLACK"/>
    <s v="NON-HISPANIC"/>
    <s v="185"/>
    <s v="DISMISSED"/>
    <n v="6"/>
    <s v="DISMISSED"/>
    <m/>
    <m/>
    <m/>
    <s v="POSS CS PG 4 28-200 GRAMS"/>
    <m/>
    <s v="F3"/>
    <s v="POSS DRUG"/>
    <s v="   REV 3/5/12 "/>
    <s v="   REV 3/5/12 "/>
    <m/>
    <m/>
    <s v="Y"/>
    <m/>
    <m/>
    <m/>
    <m/>
    <s v="Hired Attorney"/>
    <s v="8/8/13 f sell /pss unlab recor"/>
    <m/>
    <n v="33"/>
    <n v="0"/>
    <n v="85"/>
    <n v="31.016393442622952"/>
    <n v="-47"/>
    <n v="-35"/>
    <s v="NO CONVICTION"/>
    <x v="1"/>
    <s v="Y"/>
    <m/>
    <s v="NO CONVICTION"/>
    <s v="Y"/>
    <x v="1"/>
    <x v="0"/>
    <s v="Y"/>
    <n v="0.38823529411764707"/>
    <n v="0.49275362318840582"/>
    <n v="0.10451832907075875"/>
    <n v="0"/>
    <n v="-34"/>
    <n v="-1"/>
    <n v="-13"/>
    <n v="33"/>
    <m/>
    <n v="35"/>
    <n v="35"/>
    <m/>
    <s v="Y"/>
    <m/>
    <s v="31-60 DAYS"/>
    <n v="3"/>
    <x v="0"/>
  </r>
  <r>
    <n v="1803"/>
    <s v="N"/>
    <s v="N"/>
    <n v="1742990"/>
    <n v="5"/>
    <d v="2012-03-08T00:00:00"/>
    <d v="2012-05-01T00:00:00"/>
    <n v="1742990"/>
    <d v="2012-03-11T00:00:00"/>
    <d v="2012-05-01T00:00:00"/>
    <s v="NO BOND"/>
    <x v="1"/>
    <m/>
    <s v="N"/>
    <s v="NONE"/>
    <s v="GUILTY PLEA - NO JURY"/>
    <n v="52"/>
    <n v="55"/>
    <n v="2"/>
    <n v="3"/>
    <n v="3"/>
    <m/>
    <m/>
    <m/>
    <m/>
    <m/>
    <m/>
    <m/>
    <m/>
    <d v="1976-10-26T00:00:00"/>
    <s v="M"/>
    <s v="W"/>
    <s v="WHITE"/>
    <s v="NON-HISPANIC"/>
    <s v="262"/>
    <s v="CONVICTED"/>
    <n v="5"/>
    <s v="STJ"/>
    <m/>
    <n v="13"/>
    <m/>
    <s v="ATT ASLT FAM/MEMBER 2ND OFFEND"/>
    <m/>
    <s v="FS"/>
    <s v="ASLT-MURDR"/>
    <m/>
    <m/>
    <m/>
    <m/>
    <m/>
    <m/>
    <m/>
    <m/>
    <m/>
    <s v="Appointed Attorney"/>
    <m/>
    <m/>
    <n v="52"/>
    <n v="52"/>
    <n v="55"/>
    <n v="35.292349726775953"/>
    <n v="0"/>
    <n v="0"/>
    <s v="CONVICTION"/>
    <x v="0"/>
    <s v="N"/>
    <m/>
    <s v="CONVICTION"/>
    <s v="Y"/>
    <x v="0"/>
    <x v="0"/>
    <s v="Y"/>
    <n v="0.94545454545454544"/>
    <n v="1"/>
    <n v="5.4545454545454564E-2"/>
    <n v="0"/>
    <n v="-52"/>
    <n v="0"/>
    <n v="52"/>
    <e v="#VALUE!"/>
    <n v="52"/>
    <n v="0"/>
    <n v="0"/>
    <m/>
    <s v="Y"/>
    <m/>
    <s v="31-60 DAYS"/>
    <n v="3"/>
    <x v="0"/>
  </r>
  <r>
    <n v="940"/>
    <s v="N"/>
    <s v="N"/>
    <n v="1743109"/>
    <n v="4"/>
    <d v="2012-02-04T00:00:00"/>
    <d v="2012-02-07T00:00:00"/>
    <n v="1743109"/>
    <d v="2012-02-04T00:00:00"/>
    <d v="2012-02-07T00:00:00"/>
    <n v="15000"/>
    <x v="0"/>
    <m/>
    <s v="N"/>
    <s v="NONE"/>
    <s v="GUILTY PLEA - NO JURY"/>
    <n v="4"/>
    <n v="4"/>
    <n v="4"/>
    <n v="7"/>
    <n v="2"/>
    <m/>
    <m/>
    <m/>
    <m/>
    <m/>
    <m/>
    <m/>
    <m/>
    <d v="1981-09-17T00:00:00"/>
    <s v="M"/>
    <s v="W"/>
    <s v="WHITE"/>
    <s v="NULL"/>
    <s v="177"/>
    <s v="CONVICTED"/>
    <n v="2"/>
    <s v="HCJ"/>
    <m/>
    <m/>
    <n v="180"/>
    <s v="POSS CS PG 1 &lt;1G"/>
    <m/>
    <s v="FS"/>
    <s v="POSS DRUG"/>
    <m/>
    <m/>
    <m/>
    <m/>
    <m/>
    <m/>
    <m/>
    <m/>
    <m/>
    <s v="Appointed Attorney"/>
    <m/>
    <m/>
    <n v="4"/>
    <n v="4"/>
    <n v="4"/>
    <n v="30.319672131147541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2626"/>
    <s v="N"/>
    <s v="N"/>
    <n v="1744443"/>
    <n v="2"/>
    <d v="2012-04-07T00:00:00"/>
    <d v="2012-07-18T00:00:00"/>
    <n v="1744443"/>
    <d v="2012-04-07T00:00:00"/>
    <d v="2012-04-08T00:00:00"/>
    <n v="2000"/>
    <x v="5"/>
    <d v="2012-04-08T00:00:00"/>
    <s v="Y"/>
    <s v="SURETY"/>
    <s v="DEFERRED ADJUDICATION "/>
    <n v="2"/>
    <n v="103"/>
    <n v="0"/>
    <n v="1"/>
    <m/>
    <m/>
    <m/>
    <m/>
    <m/>
    <m/>
    <m/>
    <m/>
    <m/>
    <d v="1982-06-01T00:00:00"/>
    <s v="M"/>
    <s v="W"/>
    <s v="WHITE"/>
    <s v="NULL"/>
    <s v="178"/>
    <s v="DEFERRED"/>
    <n v="5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103"/>
    <n v="103"/>
    <n v="29.789617486338798"/>
    <n v="0"/>
    <n v="-101"/>
    <s v="DEFERRED"/>
    <x v="1"/>
    <s v="Y"/>
    <m/>
    <s v="DEFERRED"/>
    <s v="Y"/>
    <x v="1"/>
    <x v="0"/>
    <s v="N"/>
    <n v="1.9417475728155338E-2"/>
    <n v="1.9417475728155338E-2"/>
    <n v="0"/>
    <n v="0"/>
    <n v="-2"/>
    <n v="0"/>
    <n v="2"/>
    <e v="#VALUE!"/>
    <n v="2"/>
    <n v="0"/>
    <n v="101"/>
    <m/>
    <s v="Y"/>
    <m/>
    <s v="0-10 DAYS"/>
    <n v="1"/>
    <x v="0"/>
  </r>
  <r>
    <n v="895"/>
    <s v="N"/>
    <s v="N"/>
    <n v="1745378"/>
    <n v="6"/>
    <d v="2012-02-03T00:00:00"/>
    <d v="2012-08-23T00:00:00"/>
    <n v="1745378"/>
    <d v="2012-02-03T00:00:00"/>
    <d v="2012-08-23T00:00:00"/>
    <s v="NO BOND"/>
    <x v="1"/>
    <m/>
    <s v="N"/>
    <s v="NONE"/>
    <s v="GUILTY PLEA - NO JURY"/>
    <n v="203"/>
    <n v="203"/>
    <n v="5"/>
    <n v="6"/>
    <n v="3"/>
    <m/>
    <m/>
    <m/>
    <m/>
    <m/>
    <m/>
    <s v="S"/>
    <m/>
    <d v="1981-08-27T00:00:00"/>
    <s v="M"/>
    <s v="H"/>
    <s v="HISPANIC"/>
    <s v="NULL"/>
    <s v="183"/>
    <s v="CONVICTED"/>
    <n v="10"/>
    <s v="TDC"/>
    <n v="10"/>
    <m/>
    <m/>
    <s v="MAN/DEL CS PG I OVER 400 GRAMS"/>
    <m/>
    <s v="F1"/>
    <s v="SALE DRUG"/>
    <m/>
    <m/>
    <m/>
    <m/>
    <m/>
    <m/>
    <m/>
    <m/>
    <m/>
    <s v="Appointed Attorney"/>
    <m/>
    <m/>
    <n v="203"/>
    <n v="203"/>
    <n v="203"/>
    <n v="30.374316939890711"/>
    <n v="0"/>
    <n v="0"/>
    <s v="CONVICTION"/>
    <x v="0"/>
    <s v="N"/>
    <m/>
    <s v="CONVICTION"/>
    <s v="Y"/>
    <x v="0"/>
    <x v="0"/>
    <s v="Y"/>
    <n v="1"/>
    <n v="1"/>
    <n v="0"/>
    <n v="0"/>
    <n v="-203"/>
    <n v="0"/>
    <n v="203"/>
    <e v="#VALUE!"/>
    <n v="203"/>
    <n v="0"/>
    <n v="0"/>
    <m/>
    <s v="Y"/>
    <m/>
    <s v="121-365 DAYS"/>
    <n v="6"/>
    <x v="0"/>
  </r>
  <r>
    <n v="2043"/>
    <s v="N"/>
    <s v="N"/>
    <n v="1746643"/>
    <n v="5"/>
    <d v="2012-03-17T00:00:00"/>
    <d v="2012-03-19T00:00:00"/>
    <n v="1746643"/>
    <d v="2012-03-18T00:00:00"/>
    <d v="2012-03-19T00:00:00"/>
    <n v="15000"/>
    <x v="0"/>
    <m/>
    <s v="N"/>
    <s v="NONE"/>
    <s v="GUILTY PLEA - NO JURY"/>
    <n v="2"/>
    <n v="3"/>
    <n v="4"/>
    <n v="1"/>
    <n v="1"/>
    <m/>
    <m/>
    <m/>
    <m/>
    <m/>
    <m/>
    <m/>
    <m/>
    <d v="1979-09-12T00:00:00"/>
    <s v="M"/>
    <s v="B"/>
    <s v="BLACK"/>
    <s v="NON-HISPANIC"/>
    <s v="184"/>
    <s v="CONVICTED"/>
    <n v="1"/>
    <s v="STJ"/>
    <m/>
    <n v="9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32.44535519125683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961"/>
    <s v="Y"/>
    <s v="Y"/>
    <n v="1748371"/>
    <n v="6"/>
    <d v="2012-04-19T00:00:00"/>
    <d v="2014-01-23T00:00:00"/>
    <n v="1748371"/>
    <d v="2013-04-13T00:00:00"/>
    <d v="2013-04-13T00:00:00"/>
    <n v="20000"/>
    <x v="0"/>
    <d v="2012-04-20T00:00:00"/>
    <s v="Y"/>
    <s v="SURETY"/>
    <s v="GUILTY PLEA - NO JURY"/>
    <n v="106"/>
    <n v="645"/>
    <n v="1"/>
    <n v="4"/>
    <n v="1"/>
    <m/>
    <m/>
    <m/>
    <m/>
    <m/>
    <m/>
    <s v="S"/>
    <m/>
    <d v="1979-08-29T00:00:00"/>
    <s v="M"/>
    <s v="H"/>
    <s v="HISPANIC"/>
    <s v="NULL"/>
    <s v="339"/>
    <s v="CONVICTED"/>
    <n v="5"/>
    <s v="TDC"/>
    <n v="4"/>
    <m/>
    <m/>
    <s v="POSS W/INT DEL CS PG1&gt;=4 &lt;200"/>
    <m/>
    <s v="F1"/>
    <s v="SALE DRUG"/>
    <s v="bk 4/13/13 bd reins5/7/13, bk 10/13/13 pcs new charge recal det"/>
    <m/>
    <m/>
    <m/>
    <s v="Y"/>
    <m/>
    <m/>
    <m/>
    <m/>
    <s v="Hired Attorney"/>
    <s v="F CS FILED 10/11/13"/>
    <s v="DETAINED"/>
    <n v="106"/>
    <n v="286"/>
    <n v="645"/>
    <n v="32.57377049180328"/>
    <n v="-358"/>
    <n v="-285"/>
    <s v="CONVICTION"/>
    <x v="1"/>
    <s v="Y"/>
    <m/>
    <s v="CONVICTION"/>
    <s v="Y"/>
    <x v="0"/>
    <x v="0"/>
    <s v="Y"/>
    <n v="0.16434108527131783"/>
    <n v="0.1643"/>
    <n v="0"/>
    <n v="0"/>
    <n v="-1"/>
    <n v="105"/>
    <n v="286"/>
    <e v="#VALUE!"/>
    <n v="106"/>
    <m/>
    <n v="285"/>
    <m/>
    <s v="Y"/>
    <e v="#N/A"/>
    <s v="91-120 DAYS"/>
    <n v="0"/>
    <x v="0"/>
  </r>
  <r>
    <n v="1360"/>
    <s v="N"/>
    <s v="N"/>
    <n v="1748705"/>
    <n v="2"/>
    <d v="2012-02-19T00:00:00"/>
    <d v="2012-03-12T00:00:00"/>
    <n v="1748705"/>
    <s v="NOT BOOKED"/>
    <s v="NOT BOOKED"/>
    <n v="5000"/>
    <x v="4"/>
    <d v="2012-02-20T00:00:00"/>
    <s v="Y"/>
    <s v="SURETY"/>
    <s v="DEFERRED ADJUDICATION "/>
    <n v="0"/>
    <n v="23"/>
    <n v="0"/>
    <n v="0"/>
    <m/>
    <m/>
    <m/>
    <m/>
    <m/>
    <m/>
    <m/>
    <m/>
    <m/>
    <d v="1981-06-15T00:00:00"/>
    <s v="M"/>
    <s v="H"/>
    <s v="HISPANIC"/>
    <s v="HISPANIC"/>
    <s v="184"/>
    <s v="DEFERRED"/>
    <n v="2"/>
    <s v="DEFERR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23"/>
    <n v="30.617486338797814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e v="#VALUE!"/>
    <m/>
    <s v="N"/>
    <m/>
    <s v="0-10 DAYS"/>
    <n v="1"/>
    <x v="1"/>
  </r>
  <r>
    <n v="2016"/>
    <s v="N"/>
    <s v="N"/>
    <n v="1749754"/>
    <n v="5"/>
    <d v="2012-03-16T00:00:00"/>
    <d v="2012-03-19T00:00:00"/>
    <n v="1749754"/>
    <d v="2012-03-17T00:00:00"/>
    <d v="2012-03-19T00:00:00"/>
    <n v="15000"/>
    <x v="0"/>
    <m/>
    <s v="N"/>
    <s v="NONE"/>
    <s v="GUILTY PLEA - NO JURY"/>
    <n v="3"/>
    <n v="4"/>
    <n v="1"/>
    <n v="2"/>
    <n v="1"/>
    <m/>
    <m/>
    <m/>
    <m/>
    <m/>
    <m/>
    <m/>
    <m/>
    <d v="1982-09-07T00:00:00"/>
    <s v="F"/>
    <s v="H"/>
    <s v="HISPANIC"/>
    <s v="HISPANIC"/>
    <s v="182"/>
    <s v="CONVICTED"/>
    <n v="1"/>
    <s v="STJ"/>
    <m/>
    <n v="8"/>
    <m/>
    <s v="THEFT UNDER $1500 - 3RD OFF."/>
    <m/>
    <s v="FS"/>
    <s v="THEFT"/>
    <m/>
    <m/>
    <m/>
    <m/>
    <m/>
    <m/>
    <m/>
    <m/>
    <m/>
    <s v="Appointed Attorney"/>
    <m/>
    <m/>
    <n v="3"/>
    <n v="3"/>
    <n v="4"/>
    <n v="29.461748633879782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2190"/>
    <s v="N"/>
    <s v="N"/>
    <n v="1750145"/>
    <n v="4"/>
    <d v="2012-03-22T00:00:00"/>
    <d v="2012-05-01T00:00:00"/>
    <n v="1750145"/>
    <d v="2012-03-23T00:00:00"/>
    <d v="2012-03-24T00:00:00"/>
    <n v="10000"/>
    <x v="3"/>
    <d v="2012-03-24T00:00:00"/>
    <s v="Y"/>
    <s v="SURETY"/>
    <s v="GUILTY PLEA - NO JURY"/>
    <n v="2"/>
    <n v="41"/>
    <n v="2"/>
    <n v="2"/>
    <n v="1"/>
    <m/>
    <m/>
    <m/>
    <m/>
    <m/>
    <m/>
    <m/>
    <m/>
    <d v="1981-12-25T00:00:00"/>
    <s v="M"/>
    <s v="B"/>
    <s v="BLACK"/>
    <s v="NULL"/>
    <s v="228"/>
    <s v="CONVICTED"/>
    <n v="3"/>
    <s v="HCJ"/>
    <m/>
    <m/>
    <n v="300"/>
    <s v="POSS CS PG 1 &lt;1G"/>
    <m/>
    <s v="FS"/>
    <s v="POSS DRUG"/>
    <s v="2 misd burg veh evade  5/9/12  hcj 150 days"/>
    <m/>
    <m/>
    <m/>
    <m/>
    <m/>
    <m/>
    <m/>
    <m/>
    <s v="Public Defender"/>
    <m/>
    <m/>
    <n v="2"/>
    <n v="40"/>
    <n v="41"/>
    <n v="30.1775956284153"/>
    <n v="0"/>
    <n v="-38"/>
    <s v="CONVICTION"/>
    <x v="1"/>
    <s v="Y"/>
    <m/>
    <s v="CONVICTION"/>
    <s v="Y"/>
    <x v="1"/>
    <x v="0"/>
    <s v="Y"/>
    <n v="4.878048780487805E-2"/>
    <n v="0.05"/>
    <n v="1.2195121951219523E-3"/>
    <n v="0"/>
    <n v="-2"/>
    <n v="0"/>
    <n v="2"/>
    <e v="#VALUE!"/>
    <n v="2"/>
    <n v="0"/>
    <n v="38"/>
    <m/>
    <s v="Y"/>
    <m/>
    <s v="0-10 DAYS"/>
    <n v="1"/>
    <x v="0"/>
  </r>
  <r>
    <n v="59"/>
    <s v="N"/>
    <s v="N"/>
    <n v="1750647"/>
    <n v="1"/>
    <d v="2012-01-04T00:00:00"/>
    <d v="2012-02-14T00:00:00"/>
    <n v="1750647"/>
    <d v="2012-01-04T00:00:00"/>
    <d v="2012-02-14T00:00:00"/>
    <n v="5000"/>
    <x v="4"/>
    <m/>
    <s v="N"/>
    <s v="NONE"/>
    <s v="DISMISSED"/>
    <n v="42"/>
    <n v="42"/>
    <n v="3"/>
    <n v="3"/>
    <n v="2"/>
    <m/>
    <m/>
    <m/>
    <m/>
    <m/>
    <m/>
    <m/>
    <m/>
    <d v="1967-02-12T00:00:00"/>
    <s v="F"/>
    <s v="W"/>
    <s v="WHITE"/>
    <s v="NON-HISPANIC"/>
    <s v="174"/>
    <s v="DISMISSED"/>
    <n v="2"/>
    <s v="DISMISSED"/>
    <m/>
    <m/>
    <m/>
    <s v="UNAUTH USE OF VEHICLE"/>
    <m/>
    <s v="FS"/>
    <s v="AUTO THEFT"/>
    <m/>
    <m/>
    <m/>
    <m/>
    <m/>
    <m/>
    <m/>
    <m/>
    <m/>
    <s v="Appointed Attorney"/>
    <m/>
    <m/>
    <n v="42"/>
    <n v="42"/>
    <n v="42"/>
    <n v="44.800546448087431"/>
    <n v="0"/>
    <n v="0"/>
    <s v="NO CONVICTION"/>
    <x v="0"/>
    <s v="N"/>
    <m/>
    <s v="NO CONVICTION"/>
    <s v="Y"/>
    <x v="0"/>
    <x v="0"/>
    <s v="Y"/>
    <n v="1"/>
    <n v="1"/>
    <n v="0"/>
    <n v="0"/>
    <n v="-42"/>
    <n v="0"/>
    <n v="42"/>
    <e v="#VALUE!"/>
    <n v="42"/>
    <n v="0"/>
    <n v="0"/>
    <m/>
    <s v="Y"/>
    <m/>
    <s v="31-60 DAYS"/>
    <n v="3"/>
    <x v="0"/>
  </r>
  <r>
    <n v="2933"/>
    <s v="N"/>
    <s v="N"/>
    <n v="1754434"/>
    <n v="4"/>
    <d v="2012-04-18T00:00:00"/>
    <d v="2012-10-15T00:00:00"/>
    <n v="1754434"/>
    <d v="2012-04-18T00:00:00"/>
    <d v="2012-10-15T00:00:00"/>
    <s v="NO BOND"/>
    <x v="1"/>
    <m/>
    <s v="N"/>
    <s v="NONE"/>
    <s v="GUILTY PLEA - NO JURY"/>
    <n v="181"/>
    <n v="181"/>
    <n v="2"/>
    <n v="3"/>
    <n v="2"/>
    <m/>
    <m/>
    <m/>
    <m/>
    <m/>
    <m/>
    <m/>
    <m/>
    <d v="1979-10-02T00:00:00"/>
    <s v="M"/>
    <s v="B"/>
    <s v="BLACK"/>
    <s v="NON-HISPANIC"/>
    <s v="248"/>
    <s v="CONVICTED"/>
    <n v="8"/>
    <s v="HCJ"/>
    <m/>
    <m/>
    <n v="210"/>
    <s v="ENGAGING IN ORG CRIM ACTIVITY"/>
    <m/>
    <s v="F2"/>
    <s v="OTHER FEL"/>
    <m/>
    <m/>
    <m/>
    <m/>
    <m/>
    <m/>
    <m/>
    <m/>
    <m/>
    <s v="Hired Attorney"/>
    <m/>
    <m/>
    <n v="181"/>
    <n v="181"/>
    <n v="181"/>
    <n v="32.478142076502735"/>
    <n v="0"/>
    <n v="0"/>
    <s v="CONVICTION"/>
    <x v="0"/>
    <s v="N"/>
    <m/>
    <s v="CONVICTION"/>
    <s v="Y"/>
    <x v="0"/>
    <x v="0"/>
    <s v="Y"/>
    <n v="1"/>
    <n v="1"/>
    <n v="0"/>
    <n v="0"/>
    <n v="-181"/>
    <n v="0"/>
    <n v="181"/>
    <e v="#VALUE!"/>
    <n v="181"/>
    <n v="0"/>
    <n v="0"/>
    <m/>
    <s v="Y"/>
    <m/>
    <s v="121-365 DAYS"/>
    <n v="6"/>
    <x v="0"/>
  </r>
  <r>
    <n v="1449"/>
    <s v="N"/>
    <s v="N"/>
    <n v="1754998"/>
    <n v="2"/>
    <d v="2012-02-23T00:00:00"/>
    <d v="2012-04-25T00:00:00"/>
    <n v="1754998"/>
    <d v="2012-02-23T00:00:00"/>
    <d v="2012-02-24T00:00:00"/>
    <n v="2000"/>
    <x v="5"/>
    <d v="2012-02-24T00:00:00"/>
    <s v="Y"/>
    <s v="SURETY"/>
    <s v="DEFERRED ADJUDICATION "/>
    <n v="2"/>
    <n v="63"/>
    <n v="1"/>
    <n v="0"/>
    <m/>
    <m/>
    <m/>
    <m/>
    <m/>
    <m/>
    <m/>
    <m/>
    <m/>
    <d v="1980-11-10T00:00:00"/>
    <s v="M"/>
    <s v="W"/>
    <s v="WHITE"/>
    <s v="NULL"/>
    <s v="174"/>
    <s v="DEFERRED"/>
    <n v="3"/>
    <s v="DEFERRED"/>
    <m/>
    <m/>
    <m/>
    <s v="POSS CS PG 1 &lt;1G"/>
    <m/>
    <s v="FS"/>
    <s v="POSS DRUG"/>
    <s v="Misd resist arr conv 6/22/12 hcj 2 days"/>
    <m/>
    <m/>
    <m/>
    <m/>
    <m/>
    <m/>
    <m/>
    <m/>
    <s v="Hired Attorney"/>
    <m/>
    <m/>
    <n v="2"/>
    <n v="63"/>
    <n v="63"/>
    <n v="31.221311475409838"/>
    <n v="0"/>
    <n v="-61"/>
    <s v="DEFERRED"/>
    <x v="1"/>
    <s v="Y"/>
    <m/>
    <s v="DEFERRED"/>
    <s v="Y"/>
    <x v="1"/>
    <x v="0"/>
    <s v="Y"/>
    <n v="3.1746031746031744E-2"/>
    <n v="3.1746031746031744E-2"/>
    <n v="0"/>
    <n v="0"/>
    <n v="-2"/>
    <n v="0"/>
    <n v="2"/>
    <e v="#VALUE!"/>
    <n v="2"/>
    <n v="0"/>
    <n v="61"/>
    <m/>
    <s v="Y"/>
    <m/>
    <s v="0-10 DAYS"/>
    <n v="1"/>
    <x v="0"/>
  </r>
  <r>
    <n v="1016"/>
    <s v="N"/>
    <s v="N"/>
    <n v="1755199"/>
    <n v="1"/>
    <d v="2012-02-07T00:00:00"/>
    <d v="2012-04-26T00:00:00"/>
    <n v="1755199"/>
    <s v="NOT BOOKED"/>
    <s v="NOT BOOKED"/>
    <n v="2000"/>
    <x v="5"/>
    <m/>
    <s v="NO BOND MADE - NON ARREST"/>
    <s v="NONE"/>
    <s v="DISMISSED"/>
    <n v="0"/>
    <n v="80"/>
    <n v="0"/>
    <n v="0"/>
    <m/>
    <m/>
    <m/>
    <m/>
    <m/>
    <m/>
    <m/>
    <m/>
    <m/>
    <d v="1979-12-03T00:00:00"/>
    <s v="F"/>
    <s v="H"/>
    <s v="HISPANIC"/>
    <s v="HISPANIC"/>
    <s v="339"/>
    <s v="DISMISSED"/>
    <n v="4"/>
    <s v="DISMISSED"/>
    <m/>
    <m/>
    <m/>
    <s v="FORGERY"/>
    <m/>
    <s v="FS"/>
    <s v="OTHER FEL"/>
    <m/>
    <m/>
    <m/>
    <m/>
    <m/>
    <m/>
    <m/>
    <m/>
    <m/>
    <s v="Hired Attorney"/>
    <m/>
    <m/>
    <n v="0"/>
    <n v="0"/>
    <n v="80"/>
    <n v="32.114754098360656"/>
    <e v="#VALUE!"/>
    <e v="#VALUE!"/>
    <s v="NO CONVICTION"/>
    <x v="0"/>
    <s v="N"/>
    <m/>
    <s v="NO CONVICTION"/>
    <n v="0"/>
    <x v="2"/>
    <x v="0"/>
    <s v="N"/>
    <n v="0"/>
    <n v="0"/>
    <n v="0"/>
    <n v="0"/>
    <e v="#VALUE!"/>
    <e v="#VALUE!"/>
    <e v="#VALUE!"/>
    <n v="0"/>
    <n v="0"/>
    <m/>
    <e v="#VALUE!"/>
    <m/>
    <s v="N"/>
    <m/>
    <s v="0-10 DAYS"/>
    <n v="1"/>
    <x v="1"/>
  </r>
  <r>
    <n v="3050"/>
    <s v="N"/>
    <s v="N"/>
    <n v="1755511"/>
    <n v="1"/>
    <d v="2012-04-23T00:00:00"/>
    <d v="2012-05-23T00:00:00"/>
    <n v="1755511"/>
    <d v="2012-04-23T00:00:00"/>
    <d v="2012-05-23T00:00:00"/>
    <n v="50000"/>
    <x v="2"/>
    <m/>
    <s v="N"/>
    <s v="NONE"/>
    <s v="DISMISSED"/>
    <n v="31"/>
    <n v="31"/>
    <n v="4"/>
    <n v="7"/>
    <n v="2"/>
    <m/>
    <m/>
    <m/>
    <m/>
    <m/>
    <m/>
    <m/>
    <m/>
    <d v="1981-08-21T00:00:00"/>
    <s v="M"/>
    <s v="B"/>
    <s v="BLACK"/>
    <s v="NULL"/>
    <s v="262"/>
    <s v="DISMISSED"/>
    <n v="4"/>
    <s v="DISMISSED"/>
    <m/>
    <m/>
    <m/>
    <s v="AGG ASSAULT-FAMILY MEMBER"/>
    <m/>
    <s v="F2"/>
    <s v="ASLT-MURDR"/>
    <s v="5/23/12 fel asslt TDC  5 yrs"/>
    <m/>
    <m/>
    <m/>
    <m/>
    <m/>
    <m/>
    <m/>
    <m/>
    <s v="Appointed Attorney"/>
    <m/>
    <m/>
    <n v="31"/>
    <n v="31"/>
    <n v="31"/>
    <n v="30.60928961748634"/>
    <n v="0"/>
    <n v="0"/>
    <s v="NO CONVICTION"/>
    <x v="0"/>
    <s v="N"/>
    <m/>
    <s v="NO CONVICTION"/>
    <s v="Y"/>
    <x v="0"/>
    <x v="0"/>
    <s v="Y"/>
    <n v="1"/>
    <n v="1"/>
    <n v="0"/>
    <n v="0"/>
    <n v="-31"/>
    <n v="0"/>
    <n v="31"/>
    <e v="#VALUE!"/>
    <n v="31"/>
    <n v="0"/>
    <n v="0"/>
    <m/>
    <s v="Y"/>
    <m/>
    <s v="31-60 DAYS"/>
    <n v="3"/>
    <x v="0"/>
  </r>
  <r>
    <n v="684"/>
    <s v="N"/>
    <s v="N"/>
    <n v="1756356"/>
    <n v="1"/>
    <d v="2012-01-27T00:00:00"/>
    <d v="2012-03-13T00:00:00"/>
    <n v="1756356"/>
    <s v="NOT BOOKED"/>
    <s v="NOT BOOKED"/>
    <n v="15000"/>
    <x v="0"/>
    <m/>
    <s v="NO BOND MADE - NON ARREST"/>
    <s v="NONE"/>
    <s v="DISMISSED"/>
    <n v="0"/>
    <n v="47"/>
    <n v="4"/>
    <n v="3"/>
    <n v="3"/>
    <m/>
    <m/>
    <m/>
    <m/>
    <m/>
    <m/>
    <m/>
    <m/>
    <d v="1970-03-26T00:00:00"/>
    <s v="M"/>
    <s v="B"/>
    <s v="BLACK"/>
    <s v="NON-HISPANIC"/>
    <s v="182"/>
    <s v="DISMISSED"/>
    <n v="2"/>
    <s v="DISMISSED"/>
    <m/>
    <m/>
    <m/>
    <s v="POSS CS PG 1 &lt;1G"/>
    <m/>
    <s v="FS"/>
    <s v="POSS DRUG"/>
    <m/>
    <m/>
    <m/>
    <m/>
    <m/>
    <m/>
    <m/>
    <m/>
    <m/>
    <s v="Appointed Attorney"/>
    <m/>
    <m/>
    <n v="0"/>
    <n v="0"/>
    <n v="47"/>
    <n v="41.754098360655739"/>
    <e v="#VALUE!"/>
    <e v="#VALUE!"/>
    <s v="NO CONVICTION"/>
    <x v="0"/>
    <s v="N"/>
    <m/>
    <s v="NO CONVICTION"/>
    <n v="0"/>
    <x v="2"/>
    <x v="0"/>
    <s v="Y"/>
    <n v="0"/>
    <n v="0"/>
    <n v="0"/>
    <n v="0"/>
    <e v="#VALUE!"/>
    <e v="#VALUE!"/>
    <e v="#VALUE!"/>
    <n v="0"/>
    <n v="0"/>
    <m/>
    <e v="#VALUE!"/>
    <m/>
    <s v="Y"/>
    <m/>
    <s v="0-10 DAYS"/>
    <n v="1"/>
    <x v="1"/>
  </r>
  <r>
    <n v="2411"/>
    <s v="N"/>
    <s v="N"/>
    <n v="1756581"/>
    <n v="5"/>
    <d v="2012-04-01T00:00:00"/>
    <d v="2012-05-16T00:00:00"/>
    <n v="1756581"/>
    <d v="2012-04-01T00:00:00"/>
    <d v="2012-05-16T00:00:00"/>
    <n v="15000"/>
    <x v="0"/>
    <m/>
    <s v="N"/>
    <s v="NONE"/>
    <s v="GUILTY PLEA - NO JURY"/>
    <n v="46"/>
    <n v="46"/>
    <n v="8"/>
    <n v="2"/>
    <n v="1"/>
    <m/>
    <m/>
    <m/>
    <m/>
    <m/>
    <m/>
    <m/>
    <m/>
    <d v="1972-05-08T00:00:00"/>
    <s v="M"/>
    <s v="W"/>
    <s v="WHITE"/>
    <s v="NULL"/>
    <s v="337"/>
    <s v="CONVICTED"/>
    <n v="3"/>
    <s v="STJ"/>
    <m/>
    <n v="6"/>
    <m/>
    <s v="THEFT UNDER $1500 - 3RD OFF."/>
    <m/>
    <s v="FS"/>
    <s v="THEFT"/>
    <s v="9/20/12 misd weapon hcj 10 days"/>
    <m/>
    <m/>
    <m/>
    <m/>
    <m/>
    <m/>
    <m/>
    <m/>
    <s v="Appointed Attorney"/>
    <m/>
    <m/>
    <n v="46"/>
    <n v="46"/>
    <n v="46"/>
    <n v="39.81693989071038"/>
    <n v="0"/>
    <n v="0"/>
    <s v="CONVICTION"/>
    <x v="0"/>
    <s v="N"/>
    <m/>
    <s v="CONVICTION"/>
    <s v="Y"/>
    <x v="0"/>
    <x v="0"/>
    <s v="Y"/>
    <n v="1"/>
    <n v="1"/>
    <n v="0"/>
    <n v="0"/>
    <n v="-46"/>
    <n v="0"/>
    <n v="46"/>
    <e v="#VALUE!"/>
    <n v="46"/>
    <n v="0"/>
    <n v="0"/>
    <m/>
    <s v="Y"/>
    <m/>
    <s v="31-60 DAYS"/>
    <n v="3"/>
    <x v="0"/>
  </r>
  <r>
    <n v="2414"/>
    <s v="N"/>
    <s v="N"/>
    <n v="1757073"/>
    <n v="3"/>
    <d v="2012-04-01T00:00:00"/>
    <d v="2012-04-02T00:00:00"/>
    <n v="1757073"/>
    <d v="2012-04-01T00:00:00"/>
    <d v="2012-04-02T00:00:00"/>
    <n v="10000"/>
    <x v="3"/>
    <d v="2012-04-02T00:00:00"/>
    <s v="Y"/>
    <s v="SURETY"/>
    <s v="GUILTY PLEA - NO JURY"/>
    <n v="2"/>
    <n v="2"/>
    <n v="0"/>
    <n v="0"/>
    <m/>
    <m/>
    <m/>
    <m/>
    <m/>
    <m/>
    <m/>
    <m/>
    <m/>
    <d v="1961-02-02T00:00:00"/>
    <s v="M"/>
    <s v="H"/>
    <s v="HISPANIC"/>
    <s v="HISPANIC"/>
    <s v="228"/>
    <s v="CONVICTED"/>
    <n v="1"/>
    <s v="PROBATION"/>
    <m/>
    <m/>
    <m/>
    <s v="DWI 3RD OFFENDER BAC .08"/>
    <m/>
    <s v="F3"/>
    <s v="FEL DWI"/>
    <m/>
    <m/>
    <m/>
    <m/>
    <m/>
    <m/>
    <m/>
    <m/>
    <m/>
    <s v="Appointed Attorney"/>
    <m/>
    <m/>
    <n v="2"/>
    <n v="2"/>
    <n v="2"/>
    <n v="51.05464480874317"/>
    <n v="0"/>
    <n v="0"/>
    <s v="CONVICTION"/>
    <x v="1"/>
    <s v="Y"/>
    <m/>
    <s v="CONVICTION"/>
    <s v="Y"/>
    <x v="1"/>
    <x v="0"/>
    <s v="N"/>
    <n v="1"/>
    <n v="1"/>
    <n v="0"/>
    <n v="0"/>
    <n v="-2"/>
    <n v="0"/>
    <n v="2"/>
    <e v="#VALUE!"/>
    <n v="2"/>
    <n v="0"/>
    <n v="0"/>
    <m/>
    <s v="N"/>
    <m/>
    <s v="0-10 DAYS"/>
    <n v="1"/>
    <x v="0"/>
  </r>
  <r>
    <n v="690"/>
    <s v="N"/>
    <s v="N"/>
    <n v="1757960"/>
    <n v="6"/>
    <d v="2012-01-28T00:00:00"/>
    <d v="2012-05-17T00:00:00"/>
    <n v="1757960"/>
    <d v="2012-02-02T00:00:00"/>
    <d v="2012-05-17T00:00:00"/>
    <s v="NO BOND"/>
    <x v="1"/>
    <m/>
    <s v="N"/>
    <s v="NONE"/>
    <s v="GUILTY PLEA - NO JURY"/>
    <n v="106"/>
    <n v="111"/>
    <n v="3"/>
    <n v="9"/>
    <n v="2"/>
    <m/>
    <m/>
    <m/>
    <m/>
    <m/>
    <m/>
    <s v="S"/>
    <m/>
    <d v="1982-02-18T00:00:00"/>
    <s v="M"/>
    <s v="H"/>
    <s v="HISPANIC"/>
    <s v="NULL"/>
    <s v="263"/>
    <s v="CONVICTED"/>
    <n v="6"/>
    <s v="TDC"/>
    <n v="3"/>
    <m/>
    <m/>
    <s v="BURGLARY OF A BUILDING"/>
    <m/>
    <s v="FS"/>
    <s v="BURGLARY"/>
    <m/>
    <m/>
    <m/>
    <m/>
    <m/>
    <m/>
    <m/>
    <m/>
    <m/>
    <s v="Appointed Attorney"/>
    <m/>
    <m/>
    <n v="106"/>
    <n v="106"/>
    <n v="111"/>
    <n v="29.879781420765028"/>
    <n v="0"/>
    <n v="0"/>
    <s v="CONVICTION"/>
    <x v="0"/>
    <s v="N"/>
    <m/>
    <s v="CONVICTION"/>
    <s v="Y"/>
    <x v="0"/>
    <x v="0"/>
    <s v="Y"/>
    <n v="0.95495495495495497"/>
    <n v="1"/>
    <n v="4.5045045045045029E-2"/>
    <n v="0"/>
    <n v="-106"/>
    <n v="0"/>
    <n v="106"/>
    <e v="#VALUE!"/>
    <n v="106"/>
    <n v="0"/>
    <n v="0"/>
    <m/>
    <s v="Y"/>
    <m/>
    <s v="91-120 DAYS"/>
    <n v="0"/>
    <x v="0"/>
  </r>
  <r>
    <n v="230"/>
    <s v="N"/>
    <s v="N"/>
    <n v="1761473"/>
    <n v="6"/>
    <d v="2012-01-08T00:00:00"/>
    <d v="2014-02-05T00:00:00"/>
    <n v="1761473"/>
    <d v="2012-01-11T00:00:00"/>
    <d v="2014-02-05T00:00:00"/>
    <n v="60000"/>
    <x v="2"/>
    <m/>
    <s v="N"/>
    <s v="NONE"/>
    <s v="GUILTY PLEA - NO JURY"/>
    <n v="760"/>
    <n v="760"/>
    <n v="4"/>
    <n v="2"/>
    <n v="2"/>
    <m/>
    <m/>
    <m/>
    <m/>
    <m/>
    <m/>
    <m/>
    <m/>
    <d v="1983-01-17T00:00:00"/>
    <s v="M"/>
    <s v="H"/>
    <s v="HISPANIC"/>
    <s v="HISPANIC"/>
    <s v="209"/>
    <s v="CONVICTED"/>
    <n v="39"/>
    <s v="TDC"/>
    <n v="20"/>
    <m/>
    <m/>
    <s v="AGG ROBBERY-DEADLY WPN"/>
    <m/>
    <s v="F1"/>
    <s v="ROBBERY"/>
    <s v="MULTICASES"/>
    <m/>
    <m/>
    <m/>
    <m/>
    <m/>
    <m/>
    <m/>
    <m/>
    <s v="Appointed Attorney"/>
    <m/>
    <m/>
    <n v="760"/>
    <n v="760"/>
    <n v="760"/>
    <n v="28.915300546448087"/>
    <n v="0"/>
    <n v="0"/>
    <s v="CONVICTION"/>
    <x v="0"/>
    <s v="N"/>
    <m/>
    <s v="CONVICTION"/>
    <s v="Y"/>
    <x v="0"/>
    <x v="0"/>
    <s v="Y"/>
    <n v="1"/>
    <n v="1"/>
    <n v="0"/>
    <n v="0"/>
    <n v="-757"/>
    <n v="3"/>
    <n v="757"/>
    <e v="#VALUE!"/>
    <n v="760"/>
    <m/>
    <n v="0"/>
    <m/>
    <s v="Y"/>
    <e v="#N/A"/>
    <s v="&gt;2YRS&lt;3YRS"/>
    <n v="8"/>
    <x v="0"/>
  </r>
  <r>
    <n v="1764"/>
    <s v="N"/>
    <s v="N"/>
    <n v="1761823"/>
    <n v="4"/>
    <d v="2012-03-06T00:00:00"/>
    <d v="2013-06-10T00:00:00"/>
    <n v="1761823"/>
    <d v="2012-03-07T00:00:00"/>
    <d v="2012-03-09T00:00:00"/>
    <n v="10000"/>
    <x v="3"/>
    <d v="2012-03-09T00:00:00"/>
    <s v="Y"/>
    <s v="SURETY"/>
    <s v="GUILTY PLEA - NO JURY"/>
    <n v="3"/>
    <n v="462"/>
    <n v="2"/>
    <n v="2"/>
    <n v="2"/>
    <m/>
    <m/>
    <m/>
    <m/>
    <m/>
    <m/>
    <m/>
    <m/>
    <d v="1982-06-08T00:00:00"/>
    <s v="M"/>
    <s v="W"/>
    <s v="WHITE"/>
    <s v="NON-HISPANIC"/>
    <s v="228"/>
    <s v="CONVICTED"/>
    <n v="14"/>
    <s v="HCJ"/>
    <m/>
    <m/>
    <n v="45"/>
    <s v="POSS MARIJ  4 OZ. - 5 LBS."/>
    <m/>
    <s v="FS"/>
    <s v="POSS DRUG"/>
    <m/>
    <m/>
    <m/>
    <m/>
    <m/>
    <m/>
    <m/>
    <m/>
    <m/>
    <s v="Hired Attorney"/>
    <m/>
    <m/>
    <n v="3"/>
    <n v="461"/>
    <n v="462"/>
    <n v="29.683060109289617"/>
    <n v="0"/>
    <n v="-458"/>
    <s v="CONVICTION"/>
    <x v="1"/>
    <s v="Y"/>
    <m/>
    <s v="CONVICTION"/>
    <s v="Y"/>
    <x v="1"/>
    <x v="0"/>
    <s v="Y"/>
    <n v="6.4935064935064939E-3"/>
    <n v="6.5075921908893707E-3"/>
    <n v="1.4085697382876759E-5"/>
    <n v="0"/>
    <n v="-3"/>
    <n v="0"/>
    <n v="3"/>
    <e v="#VALUE!"/>
    <n v="3"/>
    <n v="0"/>
    <n v="458"/>
    <m/>
    <s v="Y"/>
    <m/>
    <s v="0-10 DAYS"/>
    <n v="1"/>
    <x v="0"/>
  </r>
  <r>
    <n v="1337"/>
    <s v="N"/>
    <s v="N"/>
    <n v="1762061"/>
    <n v="6"/>
    <d v="2012-02-18T00:00:00"/>
    <d v="2012-08-07T00:00:00"/>
    <n v="1762061"/>
    <d v="2012-02-19T00:00:00"/>
    <d v="2012-08-07T00:00:00"/>
    <n v="35000"/>
    <x v="2"/>
    <m/>
    <s v="N"/>
    <s v="NONE"/>
    <s v="GUILTY PLEA - NO JURY"/>
    <n v="171"/>
    <n v="172"/>
    <n v="0"/>
    <n v="2"/>
    <m/>
    <m/>
    <m/>
    <m/>
    <m/>
    <m/>
    <m/>
    <s v="S"/>
    <m/>
    <d v="1969-10-19T00:00:00"/>
    <s v="M"/>
    <s v="H"/>
    <s v="HISPANIC"/>
    <s v="NULL"/>
    <s v="232"/>
    <s v="CONVICTED"/>
    <n v="10"/>
    <s v="TDC"/>
    <n v="2"/>
    <m/>
    <m/>
    <s v="DWI 3RD OFFENDER BAC .08"/>
    <m/>
    <s v="F3"/>
    <s v="FEL DWI"/>
    <m/>
    <m/>
    <m/>
    <m/>
    <m/>
    <m/>
    <m/>
    <m/>
    <m/>
    <s v="Hired Attorney"/>
    <m/>
    <m/>
    <n v="171"/>
    <n v="171"/>
    <n v="172"/>
    <n v="42.245901639344261"/>
    <n v="0"/>
    <n v="0"/>
    <s v="CONVICTION"/>
    <x v="0"/>
    <s v="N"/>
    <m/>
    <s v="CONVICTION"/>
    <s v="Y"/>
    <x v="0"/>
    <x v="0"/>
    <s v="N"/>
    <n v="0.9941860465116279"/>
    <n v="1"/>
    <n v="5.8139534883721034E-3"/>
    <n v="0"/>
    <n v="-171"/>
    <n v="0"/>
    <n v="171"/>
    <e v="#VALUE!"/>
    <n v="171"/>
    <n v="0"/>
    <n v="0"/>
    <m/>
    <s v="Y"/>
    <m/>
    <s v="121-365 DAYS"/>
    <n v="6"/>
    <x v="0"/>
  </r>
  <r>
    <n v="2788"/>
    <s v="N"/>
    <s v="N"/>
    <n v="1762204"/>
    <n v="4"/>
    <d v="2012-04-13T00:00:00"/>
    <d v="2012-11-28T00:00:00"/>
    <n v="1762204"/>
    <d v="2012-04-13T00:00:00"/>
    <d v="2012-04-14T00:00:00"/>
    <n v="10000"/>
    <x v="3"/>
    <d v="2012-04-14T00:00:00"/>
    <s v="Y"/>
    <s v="SURETY"/>
    <s v="GUILTY PLEA - NO JURY"/>
    <n v="2"/>
    <n v="230"/>
    <n v="2"/>
    <n v="10"/>
    <n v="1"/>
    <m/>
    <m/>
    <m/>
    <m/>
    <m/>
    <m/>
    <m/>
    <m/>
    <d v="1982-08-21T00:00:00"/>
    <s v="M"/>
    <s v="B"/>
    <s v="BLACK"/>
    <s v="NULL"/>
    <s v="351"/>
    <s v="CONVICTED"/>
    <n v="10"/>
    <s v="HCJ"/>
    <m/>
    <m/>
    <n v="362"/>
    <s v="TAMPER/FABRICATE EVIDENCE"/>
    <m/>
    <s v="F3"/>
    <s v="OTHER FEL"/>
    <m/>
    <m/>
    <m/>
    <m/>
    <m/>
    <m/>
    <m/>
    <m/>
    <m/>
    <s v="Hired Attorney"/>
    <m/>
    <m/>
    <n v="2"/>
    <n v="230"/>
    <n v="230"/>
    <n v="29.584699453551913"/>
    <n v="0"/>
    <n v="-228"/>
    <s v="CONVICTION"/>
    <x v="1"/>
    <s v="Y"/>
    <m/>
    <s v="CONVICTION"/>
    <s v="Y"/>
    <x v="1"/>
    <x v="0"/>
    <s v="Y"/>
    <n v="8.6956521739130436E-3"/>
    <n v="8.6956521739130436E-3"/>
    <n v="0"/>
    <n v="0"/>
    <n v="-2"/>
    <n v="0"/>
    <n v="2"/>
    <e v="#VALUE!"/>
    <n v="2"/>
    <n v="0"/>
    <n v="228"/>
    <m/>
    <s v="Y"/>
    <m/>
    <s v="0-10 DAYS"/>
    <n v="1"/>
    <x v="0"/>
  </r>
  <r>
    <n v="986"/>
    <s v="N"/>
    <s v="Y"/>
    <n v="1763437"/>
    <n v="6"/>
    <d v="2012-02-06T00:00:00"/>
    <d v="2012-11-14T00:00:00"/>
    <n v="1763437"/>
    <d v="2012-03-12T00:00:00"/>
    <d v="2012-11-14T00:00:00"/>
    <n v="30000"/>
    <x v="2"/>
    <d v="2012-03-12T00:00:00"/>
    <s v="Y"/>
    <s v="SURETY"/>
    <s v="GUILTY PLEA - NO JURY"/>
    <n v="248"/>
    <n v="283"/>
    <n v="0"/>
    <n v="1"/>
    <m/>
    <m/>
    <m/>
    <m/>
    <m/>
    <m/>
    <m/>
    <s v="S"/>
    <m/>
    <d v="1968-06-23T00:00:00"/>
    <s v="M"/>
    <s v="H"/>
    <s v="HISPANIC"/>
    <s v="NULL"/>
    <s v="248"/>
    <s v="CONVICTED"/>
    <n v="3"/>
    <s v="TDC"/>
    <n v="5"/>
    <m/>
    <m/>
    <s v="SEX ASSLT CHILD 14-17"/>
    <m/>
    <s v="F2"/>
    <s v="SEX ABUSE"/>
    <s v="INITIAL CASE DISM "/>
    <s v="bk 4/18/12"/>
    <s v="Y"/>
    <s v="bf 4/12/2012"/>
    <m/>
    <m/>
    <m/>
    <d v="2012-06-12T00:00:00"/>
    <n v="244"/>
    <s v="Hired Attorney"/>
    <m/>
    <m/>
    <n v="248"/>
    <n v="248"/>
    <n v="283"/>
    <n v="43.532786885245905"/>
    <n v="0"/>
    <n v="0"/>
    <s v="CONVICTION"/>
    <x v="1"/>
    <s v="Y"/>
    <m/>
    <s v="CONVICTION"/>
    <s v="Y"/>
    <x v="0"/>
    <x v="0"/>
    <s v="N"/>
    <n v="0.87632508833922262"/>
    <n v="1"/>
    <n v="0.12367491166077738"/>
    <n v="0"/>
    <n v="-248"/>
    <n v="0"/>
    <n v="248"/>
    <e v="#VALUE!"/>
    <n v="248"/>
    <n v="0"/>
    <n v="0"/>
    <m/>
    <s v="Y"/>
    <m/>
    <s v="121-365 DAYS"/>
    <n v="6"/>
    <x v="0"/>
  </r>
  <r>
    <n v="1787"/>
    <s v="N"/>
    <s v="N"/>
    <n v="1763607"/>
    <n v="5"/>
    <d v="2012-03-07T00:00:00"/>
    <d v="2012-07-19T00:00:00"/>
    <n v="1763607"/>
    <d v="2012-03-08T00:00:00"/>
    <d v="2012-07-19T00:00:00"/>
    <s v="NO BOND"/>
    <x v="1"/>
    <m/>
    <s v="N"/>
    <s v="NONE"/>
    <s v="GUILTY PLEA - NO JURY"/>
    <n v="134"/>
    <n v="135"/>
    <n v="4"/>
    <n v="5"/>
    <n v="2"/>
    <m/>
    <m/>
    <m/>
    <m/>
    <m/>
    <m/>
    <m/>
    <m/>
    <d v="1982-02-04T00:00:00"/>
    <s v="M"/>
    <s v="W"/>
    <s v="WHITE"/>
    <s v="NON-HISPANIC"/>
    <s v="248"/>
    <s v="CONVICTED"/>
    <n v="5"/>
    <s v="STJ"/>
    <m/>
    <n v="7"/>
    <m/>
    <s v="THEFT &gt;=$20,000 &lt;$100,000"/>
    <m/>
    <s v="F3"/>
    <s v="THEFT"/>
    <m/>
    <m/>
    <m/>
    <m/>
    <m/>
    <m/>
    <m/>
    <m/>
    <m/>
    <s v="Hired Attorney"/>
    <m/>
    <m/>
    <n v="134"/>
    <n v="134"/>
    <n v="135"/>
    <n v="30.024590163934427"/>
    <n v="0"/>
    <n v="0"/>
    <s v="CONVICTION"/>
    <x v="0"/>
    <s v="N"/>
    <m/>
    <s v="CONVICTION"/>
    <s v="Y"/>
    <x v="0"/>
    <x v="0"/>
    <s v="Y"/>
    <n v="0.99259259259259258"/>
    <n v="1"/>
    <n v="7.4074074074074181E-3"/>
    <n v="0"/>
    <n v="-134"/>
    <n v="0"/>
    <n v="134"/>
    <e v="#VALUE!"/>
    <n v="134"/>
    <n v="0"/>
    <n v="0"/>
    <m/>
    <s v="Y"/>
    <m/>
    <s v="121-365 DAYS"/>
    <n v="6"/>
    <x v="0"/>
  </r>
  <r>
    <n v="548"/>
    <s v="N"/>
    <s v="N"/>
    <n v="1763818"/>
    <n v="6"/>
    <d v="2012-01-22T00:00:00"/>
    <d v="2012-01-24T00:00:00"/>
    <n v="1763818"/>
    <d v="2012-01-23T00:00:00"/>
    <d v="2012-01-24T00:00:00"/>
    <n v="15000"/>
    <x v="0"/>
    <m/>
    <s v="N"/>
    <s v="NONE"/>
    <s v="DEFERRED ADJUDICATION "/>
    <n v="2"/>
    <n v="3"/>
    <n v="2"/>
    <n v="1"/>
    <n v="2"/>
    <m/>
    <m/>
    <m/>
    <m/>
    <m/>
    <m/>
    <m/>
    <m/>
    <d v="1978-07-13T00:00:00"/>
    <s v="M"/>
    <s v="H"/>
    <s v="HISPANIC"/>
    <s v="HISPANIC"/>
    <s v="179"/>
    <s v="CONVICTED"/>
    <n v="1"/>
    <s v="TDC"/>
    <n v="2"/>
    <m/>
    <m/>
    <s v="evading arrest/detention w/veh "/>
    <m/>
    <s v="F3"/>
    <s v="OTHER FEL"/>
    <m/>
    <m/>
    <m/>
    <m/>
    <m/>
    <m/>
    <m/>
    <m/>
    <m/>
    <s v="Appointed Attorney"/>
    <m/>
    <m/>
    <n v="2"/>
    <n v="2"/>
    <n v="3"/>
    <n v="33.459016393442624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679"/>
    <s v="N"/>
    <s v="N"/>
    <n v="1765542"/>
    <n v="6"/>
    <d v="2012-04-09T00:00:00"/>
    <d v="2012-06-28T00:00:00"/>
    <n v="1765542"/>
    <d v="2012-04-10T00:00:00"/>
    <d v="2012-04-16T00:00:00"/>
    <n v="20000"/>
    <x v="0"/>
    <d v="2012-04-16T00:00:00"/>
    <s v="Y"/>
    <s v="SURETY"/>
    <s v="GUILTY PLEA - NO JURY"/>
    <n v="7"/>
    <n v="81"/>
    <n v="4"/>
    <n v="7"/>
    <n v="2"/>
    <m/>
    <m/>
    <m/>
    <m/>
    <m/>
    <m/>
    <m/>
    <m/>
    <d v="1983-01-11T00:00:00"/>
    <s v="M"/>
    <s v="B"/>
    <s v="BLACK"/>
    <s v="NON-HISPANIC"/>
    <s v="180"/>
    <s v="CONVICTED"/>
    <n v="5"/>
    <s v="TDC"/>
    <n v="3"/>
    <m/>
    <m/>
    <s v="POSS CS PG 1  1 - 4 GRAMS"/>
    <m/>
    <s v="F3"/>
    <s v="POSS DRUG"/>
    <m/>
    <m/>
    <m/>
    <m/>
    <m/>
    <m/>
    <m/>
    <m/>
    <m/>
    <s v="Appointed Attorney"/>
    <m/>
    <m/>
    <n v="7"/>
    <n v="80"/>
    <n v="81"/>
    <n v="29.183060109289617"/>
    <n v="0"/>
    <n v="-73"/>
    <s v="CONVICTION"/>
    <x v="1"/>
    <s v="Y"/>
    <m/>
    <s v="CONVICTION"/>
    <s v="Y"/>
    <x v="1"/>
    <x v="0"/>
    <s v="Y"/>
    <n v="8.6419753086419748E-2"/>
    <n v="8.7499999999999994E-2"/>
    <n v="1.0802469135802462E-3"/>
    <n v="0"/>
    <n v="-7"/>
    <n v="0"/>
    <n v="7"/>
    <e v="#VALUE!"/>
    <n v="7"/>
    <n v="0"/>
    <n v="73"/>
    <m/>
    <s v="Y"/>
    <m/>
    <s v="0-10 DAYS"/>
    <n v="1"/>
    <x v="0"/>
  </r>
  <r>
    <n v="585"/>
    <s v="N"/>
    <s v="N"/>
    <n v="1765586"/>
    <n v="2"/>
    <d v="2012-01-24T00:00:00"/>
    <d v="2012-04-23T00:00:00"/>
    <n v="1765586"/>
    <d v="2012-02-16T00:00:00"/>
    <d v="2012-04-23T00:00:00"/>
    <n v="10000"/>
    <x v="3"/>
    <d v="2012-01-25T00:00:00"/>
    <s v="Y"/>
    <s v="SURETYPTRc"/>
    <s v="DEFERRED ADJUDICATION "/>
    <n v="68"/>
    <n v="91"/>
    <n v="3"/>
    <n v="2"/>
    <n v="1"/>
    <m/>
    <m/>
    <m/>
    <m/>
    <m/>
    <m/>
    <m/>
    <m/>
    <d v="1982-09-01T00:00:00"/>
    <s v="M"/>
    <s v="B"/>
    <s v="BLACK"/>
    <s v="NON-HISPANIC"/>
    <s v="183"/>
    <s v="DEFERRED"/>
    <n v="6"/>
    <s v="DEFERRED"/>
    <m/>
    <m/>
    <m/>
    <s v="POSS CS PG 1  1 - 4 GRAMS"/>
    <m/>
    <s v="F3"/>
    <s v="POSS DRUG"/>
    <m/>
    <m/>
    <m/>
    <m/>
    <m/>
    <m/>
    <m/>
    <m/>
    <m/>
    <s v="Appointed Attorney"/>
    <m/>
    <m/>
    <n v="68"/>
    <n v="68"/>
    <n v="91"/>
    <n v="29.33606557377049"/>
    <n v="0"/>
    <n v="0"/>
    <s v="DEFERRED"/>
    <x v="1"/>
    <s v="Y"/>
    <m/>
    <s v="DEFERRED"/>
    <s v="Y"/>
    <x v="1"/>
    <x v="0"/>
    <s v="Y"/>
    <n v="0.74725274725274726"/>
    <n v="1"/>
    <n v="0.25274725274725274"/>
    <n v="0"/>
    <n v="-68"/>
    <n v="0"/>
    <n v="-21"/>
    <e v="#VALUE!"/>
    <n v="-21"/>
    <n v="-89"/>
    <n v="0"/>
    <m/>
    <s v="Y"/>
    <m/>
    <s v="61-90 DAYS"/>
    <n v="4"/>
    <x v="0"/>
  </r>
  <r>
    <n v="2113"/>
    <s v="N"/>
    <s v="N"/>
    <n v="1765768"/>
    <n v="5"/>
    <d v="2012-03-20T00:00:00"/>
    <d v="2012-03-21T00:00:00"/>
    <n v="1765768"/>
    <d v="2012-03-20T00:00:00"/>
    <d v="2012-03-21T00:00:00"/>
    <n v="15000"/>
    <x v="0"/>
    <m/>
    <s v="N"/>
    <s v="NONE"/>
    <s v="GUILTY PLEA - NO JURY"/>
    <n v="2"/>
    <n v="2"/>
    <n v="4"/>
    <n v="8"/>
    <n v="4"/>
    <m/>
    <m/>
    <m/>
    <m/>
    <m/>
    <m/>
    <m/>
    <m/>
    <d v="1982-06-03T00:00:00"/>
    <s v="M"/>
    <s v="B"/>
    <s v="BLACK"/>
    <s v="NULL"/>
    <s v="208"/>
    <s v="CONVICTED"/>
    <n v="1"/>
    <s v="STJ"/>
    <m/>
    <n v="8"/>
    <m/>
    <s v="MAN/DEL CS PG I &lt;1GRAM"/>
    <m/>
    <s v="FS"/>
    <s v="SALE DRUG"/>
    <m/>
    <m/>
    <m/>
    <m/>
    <m/>
    <m/>
    <m/>
    <m/>
    <m/>
    <s v="Appointed Attorney"/>
    <m/>
    <m/>
    <n v="2"/>
    <n v="2"/>
    <n v="2"/>
    <n v="29.734972677595628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3117"/>
    <s v="N"/>
    <s v="N"/>
    <n v="1766907"/>
    <n v="6"/>
    <d v="2012-04-25T00:00:00"/>
    <d v="2012-08-01T00:00:00"/>
    <n v="1766907"/>
    <d v="2012-04-25T00:00:00"/>
    <d v="2012-08-01T00:00:00"/>
    <s v="NO BOND"/>
    <x v="1"/>
    <m/>
    <s v="N"/>
    <s v="NONE"/>
    <s v="GUILTY PLEA - NO JURY"/>
    <n v="99"/>
    <n v="99"/>
    <n v="7"/>
    <n v="4"/>
    <n v="5"/>
    <m/>
    <m/>
    <m/>
    <m/>
    <m/>
    <m/>
    <m/>
    <m/>
    <d v="1981-08-25T00:00:00"/>
    <s v="M"/>
    <s v="B"/>
    <s v="BLACK"/>
    <s v="NON-HISPANIC"/>
    <s v="177"/>
    <s v="CONVICTED"/>
    <n v="6"/>
    <s v="TDC"/>
    <n v="5"/>
    <m/>
    <m/>
    <s v="FELON POSS WPN"/>
    <m/>
    <s v="F3"/>
    <s v="OTHER FEL"/>
    <m/>
    <m/>
    <m/>
    <m/>
    <m/>
    <m/>
    <m/>
    <m/>
    <m/>
    <s v="Appointed Attorney"/>
    <m/>
    <m/>
    <n v="99"/>
    <n v="99"/>
    <n v="99"/>
    <n v="30.603825136612024"/>
    <n v="0"/>
    <n v="0"/>
    <s v="CONVICTION"/>
    <x v="0"/>
    <s v="N"/>
    <m/>
    <s v="CONVICTION"/>
    <s v="Y"/>
    <x v="0"/>
    <x v="0"/>
    <s v="Y"/>
    <n v="1"/>
    <n v="1"/>
    <n v="0"/>
    <n v="0"/>
    <n v="-99"/>
    <n v="0"/>
    <n v="99"/>
    <e v="#VALUE!"/>
    <n v="99"/>
    <n v="0"/>
    <n v="0"/>
    <m/>
    <s v="Y"/>
    <m/>
    <s v="91-120 DAYS"/>
    <n v="0"/>
    <x v="0"/>
  </r>
  <r>
    <n v="913"/>
    <s v="N"/>
    <s v="N"/>
    <n v="1767021"/>
    <n v="1"/>
    <d v="2012-02-03T00:00:00"/>
    <d v="2012-05-31T00:00:00"/>
    <n v="1767021"/>
    <d v="2012-02-07T00:00:00"/>
    <d v="2012-02-09T00:00:00"/>
    <n v="30000"/>
    <x v="2"/>
    <d v="2012-02-09T00:00:00"/>
    <s v="Y"/>
    <s v="SURETYPTRc"/>
    <s v="NO BILL"/>
    <n v="3"/>
    <n v="119"/>
    <n v="0"/>
    <n v="6"/>
    <m/>
    <m/>
    <m/>
    <m/>
    <m/>
    <m/>
    <m/>
    <m/>
    <m/>
    <d v="1980-03-18T00:00:00"/>
    <s v="M"/>
    <s v="W"/>
    <s v="WHITE"/>
    <s v="NON-HISPANIC"/>
    <s v="228"/>
    <s v="NO BILL"/>
    <m/>
    <s v="NO BILL"/>
    <m/>
    <m/>
    <m/>
    <s v="SEXUAL ASSAULT"/>
    <m/>
    <s v="F2"/>
    <s v="RAPE"/>
    <m/>
    <m/>
    <m/>
    <m/>
    <m/>
    <m/>
    <m/>
    <m/>
    <m/>
    <s v="Hired Attorney"/>
    <m/>
    <m/>
    <n v="3"/>
    <n v="115"/>
    <n v="119"/>
    <n v="31.814207650273225"/>
    <n v="0"/>
    <n v="-112"/>
    <s v="NO CONVICTION"/>
    <x v="1"/>
    <s v="Y"/>
    <m/>
    <s v="NO CONVICTION"/>
    <s v="Y"/>
    <x v="1"/>
    <x v="0"/>
    <s v="N"/>
    <n v="2.5210084033613446E-2"/>
    <n v="2.6086956521739129E-2"/>
    <n v="8.76872488125683E-4"/>
    <n v="0"/>
    <n v="-3"/>
    <n v="0"/>
    <n v="3"/>
    <e v="#VALUE!"/>
    <n v="3"/>
    <n v="0"/>
    <n v="112"/>
    <m/>
    <s v="Y"/>
    <m/>
    <s v="0-10 DAYS"/>
    <n v="1"/>
    <x v="0"/>
  </r>
  <r>
    <n v="91"/>
    <s v="N"/>
    <s v="N"/>
    <n v="1767189"/>
    <n v="4"/>
    <d v="2012-01-05T00:00:00"/>
    <d v="2012-01-09T00:00:00"/>
    <n v="1767189"/>
    <d v="2012-01-05T00:00:00"/>
    <d v="2012-01-09T00:00:00"/>
    <n v="15000"/>
    <x v="0"/>
    <m/>
    <s v="N"/>
    <s v="NONE"/>
    <s v="GUILTY PLEA - NO JURY"/>
    <n v="5"/>
    <n v="5"/>
    <n v="5"/>
    <n v="6"/>
    <n v="5"/>
    <m/>
    <m/>
    <m/>
    <m/>
    <m/>
    <m/>
    <m/>
    <m/>
    <d v="1970-04-01T00:00:00"/>
    <s v="F"/>
    <s v="B"/>
    <s v="BLACK"/>
    <s v="NON-HISPANIC"/>
    <s v="208"/>
    <s v="CONVICTED"/>
    <n v="2"/>
    <s v="HCJ"/>
    <m/>
    <m/>
    <n v="180"/>
    <s v="PROSTITUTION"/>
    <m/>
    <s v="FS"/>
    <s v="OTHER FEL"/>
    <m/>
    <m/>
    <m/>
    <m/>
    <m/>
    <m/>
    <m/>
    <m/>
    <m/>
    <s v="Appointed Attorney"/>
    <m/>
    <m/>
    <n v="5"/>
    <n v="5"/>
    <n v="5"/>
    <n v="41.677595628415304"/>
    <n v="0"/>
    <n v="0"/>
    <s v="CONVICTION"/>
    <x v="0"/>
    <s v="N"/>
    <m/>
    <s v="CONVICTION"/>
    <s v="Y"/>
    <x v="0"/>
    <x v="0"/>
    <s v="Y"/>
    <n v="1"/>
    <n v="1"/>
    <n v="0"/>
    <n v="0"/>
    <n v="-5"/>
    <n v="0"/>
    <n v="5"/>
    <e v="#VALUE!"/>
    <n v="5"/>
    <n v="0"/>
    <n v="0"/>
    <m/>
    <s v="Y"/>
    <m/>
    <s v="0-10 DAYS"/>
    <n v="1"/>
    <x v="0"/>
  </r>
  <r>
    <n v="3201"/>
    <s v="N"/>
    <s v="N"/>
    <n v="1767561"/>
    <n v="2"/>
    <d v="2012-04-27T00:00:00"/>
    <d v="2012-06-25T00:00:00"/>
    <n v="1767561"/>
    <d v="2012-04-28T00:00:00"/>
    <d v="2012-06-25T00:00:00"/>
    <n v="20000"/>
    <x v="0"/>
    <m/>
    <s v="N"/>
    <s v="NONE"/>
    <s v="DEFERRED ADJUDICATION "/>
    <n v="59"/>
    <n v="60"/>
    <n v="1"/>
    <n v="3"/>
    <n v="1"/>
    <m/>
    <m/>
    <m/>
    <m/>
    <m/>
    <m/>
    <s v="S"/>
    <m/>
    <d v="1982-04-02T00:00:00"/>
    <s v="M"/>
    <s v="H"/>
    <s v="HISPANIC"/>
    <s v="NULL"/>
    <s v="177"/>
    <s v="DEFERRED"/>
    <n v="3"/>
    <s v="DEFERRED"/>
    <m/>
    <m/>
    <m/>
    <s v="BURGLARY OF HABITATION"/>
    <m/>
    <s v="F2"/>
    <s v="BURGLARY"/>
    <m/>
    <m/>
    <m/>
    <m/>
    <m/>
    <m/>
    <m/>
    <m/>
    <m/>
    <s v="Appointed Attorney"/>
    <m/>
    <m/>
    <n v="59"/>
    <n v="59"/>
    <n v="60"/>
    <n v="30.008196721311474"/>
    <n v="0"/>
    <n v="0"/>
    <s v="DEFERRED"/>
    <x v="0"/>
    <s v="N"/>
    <m/>
    <s v="DEFERRED"/>
    <s v="Y"/>
    <x v="0"/>
    <x v="0"/>
    <s v="Y"/>
    <n v="0.98333333333333328"/>
    <n v="1"/>
    <n v="1.6666666666666718E-2"/>
    <n v="0"/>
    <n v="-59"/>
    <n v="0"/>
    <n v="59"/>
    <e v="#VALUE!"/>
    <n v="59"/>
    <n v="0"/>
    <n v="0"/>
    <m/>
    <s v="Y"/>
    <m/>
    <s v="31-60 DAYS"/>
    <n v="3"/>
    <x v="0"/>
  </r>
  <r>
    <n v="2954"/>
    <s v="N"/>
    <s v="N"/>
    <n v="1768547"/>
    <n v="5"/>
    <d v="2012-04-18T00:00:00"/>
    <d v="2012-07-30T00:00:00"/>
    <n v="1768547"/>
    <d v="2012-04-19T00:00:00"/>
    <d v="2012-07-30T00:00:00"/>
    <n v="30000"/>
    <x v="2"/>
    <m/>
    <s v="N"/>
    <s v="NONE"/>
    <s v="GUILTY PLEA - NO JURY"/>
    <n v="103"/>
    <n v="104"/>
    <n v="2"/>
    <n v="3"/>
    <m/>
    <m/>
    <m/>
    <m/>
    <m/>
    <m/>
    <m/>
    <m/>
    <m/>
    <d v="1981-07-18T00:00:00"/>
    <s v="M"/>
    <s v="W"/>
    <s v="WHITE"/>
    <s v="NON-HISPANIC"/>
    <s v="263"/>
    <s v="CONVICTED"/>
    <n v="5"/>
    <s v="STJ"/>
    <m/>
    <n v="6"/>
    <m/>
    <s v="UNAUTH USE OF VEHICLE"/>
    <m/>
    <s v="FS"/>
    <s v="AUTO THEFT"/>
    <m/>
    <m/>
    <m/>
    <m/>
    <m/>
    <m/>
    <m/>
    <m/>
    <m/>
    <s v="Hired Attorney"/>
    <m/>
    <m/>
    <n v="103"/>
    <n v="103"/>
    <n v="104"/>
    <n v="30.688524590163933"/>
    <n v="0"/>
    <n v="0"/>
    <s v="CONVICTION"/>
    <x v="0"/>
    <s v="N"/>
    <m/>
    <s v="CONVICTION"/>
    <s v="Y"/>
    <x v="0"/>
    <x v="0"/>
    <s v="Y"/>
    <n v="0.99038461538461542"/>
    <n v="1"/>
    <n v="9.6153846153845812E-3"/>
    <n v="0"/>
    <n v="-103"/>
    <n v="0"/>
    <n v="103"/>
    <e v="#VALUE!"/>
    <n v="103"/>
    <n v="0"/>
    <n v="0"/>
    <m/>
    <s v="Y"/>
    <m/>
    <s v="91-120 DAYS"/>
    <n v="0"/>
    <x v="0"/>
  </r>
  <r>
    <n v="2540"/>
    <s v="N"/>
    <s v="N"/>
    <n v="1769574"/>
    <n v="2"/>
    <d v="2012-04-04T00:00:00"/>
    <d v="2012-04-09T00:00:00"/>
    <n v="1769574"/>
    <d v="2012-04-05T00:00:00"/>
    <d v="2012-04-09T00:00:00"/>
    <n v="7000"/>
    <x v="3"/>
    <m/>
    <s v="N"/>
    <s v="NONE"/>
    <s v="DEFERRED ADJUDICATION "/>
    <n v="5"/>
    <n v="6"/>
    <n v="0"/>
    <n v="1"/>
    <m/>
    <m/>
    <m/>
    <m/>
    <m/>
    <m/>
    <m/>
    <m/>
    <m/>
    <d v="1982-10-29T00:00:00"/>
    <s v="F"/>
    <s v="H"/>
    <s v="HISPANIC"/>
    <s v="HISPANIC"/>
    <s v="228"/>
    <s v="DEFERRED"/>
    <n v="1"/>
    <s v="DEFERRED"/>
    <m/>
    <m/>
    <m/>
    <s v="THEFT $1500-20K"/>
    <m/>
    <s v="FS"/>
    <s v="THEFT"/>
    <m/>
    <m/>
    <m/>
    <m/>
    <m/>
    <m/>
    <m/>
    <m/>
    <m/>
    <s v="Appointed Attorney"/>
    <m/>
    <m/>
    <n v="5"/>
    <n v="5"/>
    <n v="6"/>
    <n v="29.371584699453553"/>
    <n v="0"/>
    <n v="0"/>
    <s v="DEFERRED"/>
    <x v="0"/>
    <s v="N"/>
    <m/>
    <s v="DEFERRED"/>
    <s v="Y"/>
    <x v="0"/>
    <x v="0"/>
    <s v="N"/>
    <n v="0.83333333333333337"/>
    <n v="1"/>
    <n v="0.16666666666666663"/>
    <n v="0"/>
    <n v="-5"/>
    <n v="0"/>
    <n v="5"/>
    <e v="#VALUE!"/>
    <n v="5"/>
    <n v="0"/>
    <n v="0"/>
    <m/>
    <s v="Y"/>
    <m/>
    <s v="0-10 DAYS"/>
    <n v="1"/>
    <x v="0"/>
  </r>
  <r>
    <n v="2147"/>
    <s v="N"/>
    <s v="N"/>
    <n v="1769645"/>
    <n v="5"/>
    <d v="2012-03-21T00:00:00"/>
    <d v="2012-04-19T00:00:00"/>
    <n v="1769645"/>
    <d v="2012-04-19T00:00:00"/>
    <d v="2012-04-19T00:00:00"/>
    <n v="15000"/>
    <x v="0"/>
    <m/>
    <s v="N"/>
    <s v="NONE"/>
    <s v="GUILTY PLEA - NO JURY"/>
    <n v="1"/>
    <n v="30"/>
    <n v="5"/>
    <n v="25"/>
    <m/>
    <m/>
    <m/>
    <m/>
    <m/>
    <m/>
    <m/>
    <m/>
    <m/>
    <d v="1982-08-30T00:00:00"/>
    <s v="M"/>
    <s v="B"/>
    <s v="BLACK"/>
    <s v="NON-HISPANIC"/>
    <s v="338"/>
    <s v="CONVICTED"/>
    <n v="2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1"/>
    <n v="1"/>
    <n v="30"/>
    <n v="29.497267759562842"/>
    <n v="0"/>
    <n v="0"/>
    <s v="CONVICTION"/>
    <x v="0"/>
    <s v="N"/>
    <m/>
    <s v="CONVICTION"/>
    <s v="Y"/>
    <x v="0"/>
    <x v="0"/>
    <s v="Y"/>
    <n v="3.3333333333333333E-2"/>
    <n v="1"/>
    <n v="0.96666666666666667"/>
    <n v="0"/>
    <n v="-1"/>
    <n v="0"/>
    <n v="1"/>
    <e v="#VALUE!"/>
    <n v="1"/>
    <n v="0"/>
    <n v="0"/>
    <m/>
    <s v="Y"/>
    <m/>
    <s v="0-10 DAYS"/>
    <n v="1"/>
    <x v="0"/>
  </r>
  <r>
    <n v="780"/>
    <s v="N"/>
    <s v="N"/>
    <n v="1769819"/>
    <n v="1"/>
    <d v="2012-01-31T00:00:00"/>
    <d v="2012-07-09T00:00:00"/>
    <n v="1769819"/>
    <d v="2012-02-04T00:00:00"/>
    <d v="2012-02-09T00:00:00"/>
    <n v="10000"/>
    <x v="3"/>
    <d v="2012-02-09T00:00:00"/>
    <s v="Y"/>
    <s v="SURETY"/>
    <s v="DISMISSED"/>
    <n v="6"/>
    <n v="161"/>
    <n v="0"/>
    <n v="3"/>
    <m/>
    <m/>
    <m/>
    <m/>
    <m/>
    <m/>
    <m/>
    <m/>
    <m/>
    <d v="1976-12-16T00:00:00"/>
    <s v="F"/>
    <s v="B"/>
    <s v="BLACK"/>
    <s v="NON-HISPANIC"/>
    <s v="263"/>
    <s v="DISMISSED"/>
    <n v="9"/>
    <s v="DISMISSED"/>
    <m/>
    <m/>
    <m/>
    <s v="INJURY TO ELDERLY"/>
    <m/>
    <s v="F3"/>
    <s v="ASLT-MURDR"/>
    <m/>
    <m/>
    <m/>
    <m/>
    <m/>
    <m/>
    <m/>
    <m/>
    <m/>
    <s v="Hired Attorney"/>
    <m/>
    <m/>
    <n v="6"/>
    <n v="157"/>
    <n v="161"/>
    <n v="35.051912568306008"/>
    <n v="0"/>
    <n v="-151"/>
    <s v="NO CONVICTION"/>
    <x v="1"/>
    <s v="Y"/>
    <m/>
    <s v="NO CONVICTION"/>
    <s v="Y"/>
    <x v="1"/>
    <x v="0"/>
    <s v="N"/>
    <n v="3.7267080745341616E-2"/>
    <n v="3.8216560509554139E-2"/>
    <n v="9.4947976421252273E-4"/>
    <n v="0"/>
    <n v="-6"/>
    <n v="0"/>
    <n v="6"/>
    <e v="#VALUE!"/>
    <n v="6"/>
    <n v="0"/>
    <n v="151"/>
    <m/>
    <s v="Y"/>
    <m/>
    <s v="0-10 DAYS"/>
    <n v="1"/>
    <x v="0"/>
  </r>
  <r>
    <n v="2699"/>
    <s v="N"/>
    <s v="N"/>
    <n v="1770151"/>
    <n v="6"/>
    <d v="2012-04-10T00:00:00"/>
    <d v="2013-04-03T00:00:00"/>
    <n v="1770151"/>
    <d v="2012-04-11T00:00:00"/>
    <d v="2012-07-19T00:00:00"/>
    <n v="75000"/>
    <x v="2"/>
    <d v="2012-07-19T00:00:00"/>
    <s v="Y"/>
    <s v="SURETY"/>
    <s v="GUILTY PLEA - NO JURY"/>
    <n v="100"/>
    <n v="359"/>
    <n v="6"/>
    <n v="1"/>
    <n v="4"/>
    <m/>
    <m/>
    <m/>
    <m/>
    <m/>
    <m/>
    <s v="S"/>
    <m/>
    <d v="1982-06-06T00:00:00"/>
    <s v="M"/>
    <s v="H"/>
    <s v="HISPANIC"/>
    <s v="NULL"/>
    <s v="182"/>
    <s v="CONVICTED"/>
    <n v="13"/>
    <s v="TDC"/>
    <n v="5"/>
    <m/>
    <m/>
    <s v="POSS GP I CS- 400 G OR MORE"/>
    <m/>
    <s v="F1"/>
    <s v="POSS DRUG"/>
    <m/>
    <m/>
    <m/>
    <m/>
    <m/>
    <m/>
    <m/>
    <m/>
    <m/>
    <s v="Hired Attorney"/>
    <m/>
    <m/>
    <n v="100"/>
    <n v="358"/>
    <n v="359"/>
    <n v="29.784153005464482"/>
    <n v="0"/>
    <n v="-258"/>
    <s v="CONVICTION"/>
    <x v="1"/>
    <s v="Y"/>
    <m/>
    <s v="CONVICTION"/>
    <s v="Y"/>
    <x v="1"/>
    <x v="0"/>
    <s v="Y"/>
    <n v="0.2785515320334262"/>
    <n v="0.27932960893854747"/>
    <n v="7.7807690512127214E-4"/>
    <n v="0"/>
    <n v="-100"/>
    <n v="0"/>
    <n v="100"/>
    <e v="#VALUE!"/>
    <n v="100"/>
    <n v="0"/>
    <n v="258"/>
    <m/>
    <s v="Y"/>
    <m/>
    <s v="91-120 DAYS"/>
    <n v="0"/>
    <x v="0"/>
  </r>
  <r>
    <n v="866"/>
    <s v="N"/>
    <s v="N"/>
    <n v="1772511"/>
    <n v="4"/>
    <d v="2012-02-02T00:00:00"/>
    <d v="2012-03-29T00:00:00"/>
    <n v="1772511"/>
    <d v="2012-02-29T00:00:00"/>
    <d v="2012-03-29T00:00:00"/>
    <n v="15000"/>
    <x v="0"/>
    <m/>
    <s v="N"/>
    <s v="NONE"/>
    <s v="GUILTY PLEA - NO JURY"/>
    <n v="30"/>
    <n v="57"/>
    <n v="9"/>
    <n v="4"/>
    <n v="7"/>
    <m/>
    <m/>
    <m/>
    <m/>
    <m/>
    <m/>
    <m/>
    <m/>
    <d v="1981-10-26T00:00:00"/>
    <s v="F"/>
    <s v="B"/>
    <s v="BLACK"/>
    <s v="NULL"/>
    <s v="180"/>
    <s v="CONVICTED"/>
    <n v="3"/>
    <s v="HCJ"/>
    <m/>
    <m/>
    <n v="180"/>
    <s v="FORGERY"/>
    <m/>
    <s v="FS"/>
    <s v="OTHER FEL"/>
    <s v="misd conv 3/2/12"/>
    <m/>
    <m/>
    <m/>
    <m/>
    <m/>
    <m/>
    <m/>
    <m/>
    <s v="Appointed Attorney"/>
    <m/>
    <m/>
    <n v="30"/>
    <n v="30"/>
    <n v="57"/>
    <n v="30.207650273224044"/>
    <n v="0"/>
    <n v="0"/>
    <s v="CONVICTION"/>
    <x v="0"/>
    <s v="N"/>
    <m/>
    <s v="CONVICTION"/>
    <s v="Y"/>
    <x v="0"/>
    <x v="0"/>
    <s v="Y"/>
    <n v="0.52631578947368418"/>
    <n v="1"/>
    <n v="0.47368421052631582"/>
    <n v="0"/>
    <n v="-30"/>
    <n v="0"/>
    <n v="30"/>
    <e v="#VALUE!"/>
    <n v="30"/>
    <n v="0"/>
    <n v="0"/>
    <m/>
    <s v="Y"/>
    <m/>
    <s v="11-30 DAYS"/>
    <n v="2"/>
    <x v="0"/>
  </r>
  <r>
    <n v="995"/>
    <s v="N"/>
    <s v="Y"/>
    <n v="1772638"/>
    <n v="6"/>
    <d v="2012-02-07T00:00:00"/>
    <d v="2012-07-16T00:00:00"/>
    <n v="1772638"/>
    <d v="2012-02-07T00:00:00"/>
    <d v="2012-04-29T00:00:00"/>
    <n v="50000"/>
    <x v="2"/>
    <d v="2012-04-29T00:00:00"/>
    <s v="Y"/>
    <s v="SURETY"/>
    <s v="GUILTY PLEA - NO JURY"/>
    <n v="108"/>
    <n v="161"/>
    <n v="2"/>
    <n v="18"/>
    <n v="1"/>
    <m/>
    <m/>
    <m/>
    <m/>
    <m/>
    <m/>
    <m/>
    <m/>
    <d v="1982-11-20T00:00:00"/>
    <s v="M"/>
    <s v="B"/>
    <s v="BLACK"/>
    <s v="NON-HISPANIC"/>
    <s v="182"/>
    <s v="CONVICTED"/>
    <n v="9"/>
    <s v="TDC"/>
    <n v="3"/>
    <m/>
    <m/>
    <s v="POSS W/INT DEL CS PG1&gt;=4 &lt;200"/>
    <m/>
    <s v="F1"/>
    <s v="SALE DRUG"/>
    <s v="recal detained days add 25 "/>
    <s v="bf 6/20/12bk 6/21/12 bail denied"/>
    <s v="Y"/>
    <s v="BF6/20/2012"/>
    <m/>
    <m/>
    <m/>
    <s v="(2)10/17/2012"/>
    <n v="470"/>
    <s v="Appointed Attorney"/>
    <m/>
    <m/>
    <n v="108"/>
    <n v="161"/>
    <n v="161"/>
    <n v="29.155737704918032"/>
    <n v="0"/>
    <n v="-78"/>
    <s v="CONVICTION"/>
    <x v="1"/>
    <s v="N"/>
    <m/>
    <s v="CONVICTION"/>
    <s v="Y"/>
    <x v="0"/>
    <x v="0"/>
    <s v="Y"/>
    <n v="0.67080745341614911"/>
    <n v="0.51552795031055898"/>
    <n v="-0.15527950310559013"/>
    <n v="0"/>
    <n v="-83"/>
    <n v="25"/>
    <n v="161"/>
    <n v="108"/>
    <n v="161"/>
    <n v="78"/>
    <n v="78"/>
    <m/>
    <s v="Y"/>
    <m/>
    <s v="91-120 DAYS"/>
    <n v="0"/>
    <x v="0"/>
  </r>
  <r>
    <n v="2573"/>
    <s v="N"/>
    <s v="N"/>
    <n v="1773868"/>
    <n v="4"/>
    <d v="2012-04-05T00:00:00"/>
    <d v="2013-01-11T00:00:00"/>
    <n v="1773868"/>
    <d v="2012-05-01T00:00:00"/>
    <d v="2012-05-05T00:00:00"/>
    <n v="30000"/>
    <x v="2"/>
    <d v="2012-05-05T00:00:00"/>
    <s v="Y"/>
    <s v="SURETY"/>
    <s v="GUILTY PLEA - NO JURY"/>
    <n v="5"/>
    <n v="282"/>
    <n v="1"/>
    <n v="1"/>
    <m/>
    <n v="1"/>
    <m/>
    <m/>
    <m/>
    <m/>
    <m/>
    <m/>
    <m/>
    <d v="1974-10-26T00:00:00"/>
    <s v="M"/>
    <s v="H"/>
    <s v="HISPANIC"/>
    <s v="HISPANIC"/>
    <s v="182"/>
    <s v="CONVICTED"/>
    <n v="10"/>
    <s v="HCJ"/>
    <m/>
    <m/>
    <n v="10"/>
    <s v="AGG ASSAULT-FAMILY MEMBER"/>
    <m/>
    <s v="F2"/>
    <s v="ASLT-MURDR"/>
    <m/>
    <m/>
    <m/>
    <m/>
    <m/>
    <m/>
    <m/>
    <m/>
    <m/>
    <s v="Hired Attorney"/>
    <m/>
    <m/>
    <n v="5"/>
    <n v="256"/>
    <n v="282"/>
    <n v="37.366120218579233"/>
    <n v="0"/>
    <n v="-251"/>
    <s v="CONVICTION"/>
    <x v="1"/>
    <s v="Y"/>
    <m/>
    <s v="CONVICTION"/>
    <s v="Y"/>
    <x v="1"/>
    <x v="0"/>
    <s v="Y"/>
    <n v="1.7730496453900711E-2"/>
    <n v="1.953125E-2"/>
    <n v="1.8007535460992895E-3"/>
    <n v="0"/>
    <n v="-5"/>
    <n v="0"/>
    <n v="5"/>
    <e v="#VALUE!"/>
    <n v="5"/>
    <n v="0"/>
    <n v="251"/>
    <m/>
    <s v="Y"/>
    <m/>
    <s v="0-10 DAYS"/>
    <n v="1"/>
    <x v="0"/>
  </r>
  <r>
    <n v="753"/>
    <s v="Y"/>
    <s v="Y"/>
    <n v="1774459"/>
    <n v="1"/>
    <d v="2012-01-30T00:00:00"/>
    <d v="2012-06-06T00:00:00"/>
    <n v="1774459"/>
    <d v="2012-01-30T00:00:00"/>
    <d v="2012-02-01T00:00:00"/>
    <n v="10000"/>
    <x v="3"/>
    <d v="2012-02-01T00:00:00"/>
    <s v="Y"/>
    <s v="SURETYPTRc"/>
    <s v="DISMISSED"/>
    <n v="31"/>
    <n v="129"/>
    <n v="2"/>
    <n v="6"/>
    <n v="2"/>
    <m/>
    <m/>
    <m/>
    <m/>
    <m/>
    <m/>
    <m/>
    <m/>
    <d v="1983-12-14T00:00:00"/>
    <s v="M"/>
    <s v="B"/>
    <s v="BLACK"/>
    <s v="NON-HISPANIC"/>
    <s v="262"/>
    <s v="DISMISSED"/>
    <n v="5"/>
    <s v="DISMISSED"/>
    <m/>
    <m/>
    <m/>
    <s v="BURGLARY OF A BUILDING"/>
    <m/>
    <s v="FS"/>
    <s v="BURGLARY"/>
    <m/>
    <s v="revoked4/18/12 "/>
    <m/>
    <m/>
    <s v="Y"/>
    <m/>
    <m/>
    <m/>
    <m/>
    <s v="Hired Attorney"/>
    <s v="10/17/12 f pcs tdc 2y  misd fugi8/13"/>
    <m/>
    <n v="31"/>
    <n v="129"/>
    <n v="129"/>
    <n v="28.071038251366119"/>
    <n v="0"/>
    <n v="-126"/>
    <s v="NO CONVICTION"/>
    <x v="1"/>
    <s v="Y"/>
    <m/>
    <s v="NO CONVICTION"/>
    <s v="Y"/>
    <x v="0"/>
    <x v="0"/>
    <s v="Y"/>
    <n v="0.24031007751937986"/>
    <n v="2.3255813953488372E-2"/>
    <n v="-0.21705426356589147"/>
    <n v="0"/>
    <n v="-3"/>
    <n v="28"/>
    <n v="129"/>
    <n v="31"/>
    <n v="129"/>
    <n v="126"/>
    <n v="126"/>
    <m/>
    <s v="Y"/>
    <m/>
    <s v="31-60 DAYS"/>
    <n v="3"/>
    <x v="0"/>
  </r>
  <r>
    <n v="2319"/>
    <s v="N"/>
    <s v="N"/>
    <n v="1775102"/>
    <n v="5"/>
    <d v="2012-03-28T00:00:00"/>
    <d v="2012-07-06T00:00:00"/>
    <n v="1775102"/>
    <d v="2012-03-28T00:00:00"/>
    <d v="2012-03-30T00:00:00"/>
    <n v="15000"/>
    <x v="0"/>
    <d v="2012-03-30T00:00:00"/>
    <s v="Y"/>
    <s v="SURETY"/>
    <s v="GUILTY PLEA - NO JURY"/>
    <n v="3"/>
    <n v="101"/>
    <n v="9"/>
    <n v="8"/>
    <n v="6"/>
    <m/>
    <m/>
    <m/>
    <m/>
    <m/>
    <m/>
    <m/>
    <m/>
    <d v="1982-06-30T00:00:00"/>
    <s v="M"/>
    <s v="B"/>
    <s v="BLACK"/>
    <s v="NON-HISPANIC"/>
    <s v="262"/>
    <s v="CONVICTED"/>
    <n v="6"/>
    <s v="STJ"/>
    <m/>
    <n v="6"/>
    <m/>
    <s v="POSS CS PG 1 &lt;1G"/>
    <m/>
    <s v="FS"/>
    <s v="POSS DRUG"/>
    <m/>
    <m/>
    <m/>
    <m/>
    <m/>
    <m/>
    <m/>
    <m/>
    <m/>
    <s v="Hired Attorney"/>
    <m/>
    <m/>
    <n v="3"/>
    <n v="101"/>
    <n v="101"/>
    <n v="29.683060109289617"/>
    <n v="0"/>
    <n v="-98"/>
    <s v="CONVICTION"/>
    <x v="1"/>
    <s v="Y"/>
    <m/>
    <s v="CONVICTION"/>
    <s v="Y"/>
    <x v="1"/>
    <x v="0"/>
    <s v="Y"/>
    <n v="2.9702970297029702E-2"/>
    <n v="2.9702970297029702E-2"/>
    <n v="0"/>
    <n v="0"/>
    <n v="-3"/>
    <n v="0"/>
    <n v="3"/>
    <e v="#VALUE!"/>
    <n v="3"/>
    <n v="0"/>
    <n v="98"/>
    <m/>
    <s v="Y"/>
    <m/>
    <s v="0-10 DAYS"/>
    <n v="1"/>
    <x v="0"/>
  </r>
  <r>
    <n v="2851"/>
    <s v="N"/>
    <s v="N"/>
    <n v="1776109"/>
    <n v="5"/>
    <d v="2012-04-15T00:00:00"/>
    <d v="2012-04-17T00:00:00"/>
    <n v="1776109"/>
    <d v="2012-04-16T00:00:00"/>
    <d v="2012-04-17T00:00:00"/>
    <n v="10000"/>
    <x v="3"/>
    <m/>
    <s v="N"/>
    <s v="NONE"/>
    <s v="GUILTY PLEA - NO JURY"/>
    <n v="2"/>
    <n v="3"/>
    <n v="1"/>
    <n v="3"/>
    <m/>
    <n v="1"/>
    <m/>
    <m/>
    <m/>
    <m/>
    <m/>
    <s v="S"/>
    <m/>
    <d v="1981-07-12T00:00:00"/>
    <s v="F"/>
    <s v="H"/>
    <s v="HISPANIC"/>
    <s v="NULL"/>
    <s v="230"/>
    <s v="CONVICTED"/>
    <n v="2"/>
    <s v="STJ"/>
    <m/>
    <n v="6"/>
    <m/>
    <s v="BURGLARY OF A BUILDING"/>
    <m/>
    <s v="FS"/>
    <s v="BURGLARY"/>
    <s v="pend fel filed 3/26/12"/>
    <m/>
    <m/>
    <m/>
    <m/>
    <m/>
    <m/>
    <m/>
    <m/>
    <s v="Appointed Attorney"/>
    <m/>
    <m/>
    <n v="2"/>
    <n v="2"/>
    <n v="3"/>
    <n v="30.696721311475411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1883"/>
    <s v="N"/>
    <s v="N"/>
    <n v="1776236"/>
    <n v="5"/>
    <d v="2012-03-10T00:00:00"/>
    <d v="2012-03-12T00:00:00"/>
    <n v="1776236"/>
    <d v="2012-03-10T00:00:00"/>
    <d v="2012-03-12T00:00:00"/>
    <n v="5000"/>
    <x v="4"/>
    <m/>
    <s v="N"/>
    <s v="NONE"/>
    <s v="GUILTY PLEA - NO JURY"/>
    <n v="3"/>
    <n v="3"/>
    <n v="0"/>
    <n v="0"/>
    <m/>
    <m/>
    <m/>
    <m/>
    <m/>
    <m/>
    <m/>
    <m/>
    <m/>
    <d v="1969-01-26T00:00:00"/>
    <s v="M"/>
    <s v="B"/>
    <s v="BLACK"/>
    <s v="NON-HISPANIC"/>
    <s v="263"/>
    <s v="CONVICTED"/>
    <n v="1"/>
    <s v="STJ"/>
    <m/>
    <n v="10"/>
    <m/>
    <s v="FAIL TO REGISTER AS SEX OFFEND"/>
    <m/>
    <s v="FS"/>
    <s v="OTHER FEL"/>
    <s v="4/13/12  fel reg as sex offender 30 days hcj"/>
    <m/>
    <m/>
    <m/>
    <m/>
    <m/>
    <m/>
    <m/>
    <m/>
    <s v="Appointed Attorney"/>
    <m/>
    <m/>
    <n v="3"/>
    <n v="3"/>
    <n v="3"/>
    <n v="43.030054644808743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n v="0"/>
    <m/>
    <s v="N"/>
    <m/>
    <s v="0-10 DAYS"/>
    <n v="1"/>
    <x v="0"/>
  </r>
  <r>
    <n v="3216"/>
    <s v="N"/>
    <s v="Y"/>
    <n v="1776301"/>
    <n v="5"/>
    <d v="2012-04-28T00:00:00"/>
    <d v="2012-11-30T00:00:00"/>
    <n v="1776301"/>
    <d v="2012-04-28T00:00:00"/>
    <d v="2012-05-04T00:00:00"/>
    <n v="15000"/>
    <x v="0"/>
    <d v="2012-05-04T00:00:00"/>
    <s v="Y"/>
    <s v="SURETY"/>
    <s v="GUILTY PLEA - NO JURY"/>
    <n v="35"/>
    <n v="217"/>
    <n v="3"/>
    <n v="0"/>
    <n v="3"/>
    <m/>
    <m/>
    <m/>
    <m/>
    <m/>
    <m/>
    <m/>
    <m/>
    <d v="1981-03-26T00:00:00"/>
    <s v="M"/>
    <s v="B"/>
    <s v="BLACK"/>
    <s v="NULL"/>
    <s v="338"/>
    <s v="CONVICTED"/>
    <n v="8"/>
    <s v="STJ"/>
    <m/>
    <n v="7"/>
    <m/>
    <s v="UNAUTH USE OF VEHICLE"/>
    <m/>
    <s v="FS"/>
    <s v="AUTO THEFT"/>
    <s v="BK 11/3/12  RECAL"/>
    <m/>
    <s v="Y"/>
    <s v="bf 8/7/12"/>
    <m/>
    <m/>
    <m/>
    <d v="2012-11-13T00:00:00"/>
    <n v="411"/>
    <s v="Appointed Attorney"/>
    <m/>
    <m/>
    <n v="35"/>
    <n v="217"/>
    <n v="217"/>
    <n v="31.027322404371585"/>
    <n v="0"/>
    <n v="-210"/>
    <s v="CONVICTION"/>
    <x v="1"/>
    <s v="N"/>
    <m/>
    <s v="CONVICTION"/>
    <s v="Y"/>
    <x v="0"/>
    <x v="0"/>
    <s v="Y"/>
    <n v="0.16129032258064516"/>
    <n v="3.2258064516129031E-2"/>
    <n v="-0.12903225806451613"/>
    <n v="0"/>
    <n v="-7"/>
    <n v="28"/>
    <n v="217"/>
    <n v="35"/>
    <n v="217"/>
    <n v="210"/>
    <n v="210"/>
    <m/>
    <s v="Y"/>
    <m/>
    <s v="31-60 DAYS"/>
    <n v="3"/>
    <x v="0"/>
  </r>
  <r>
    <n v="1561"/>
    <s v="N"/>
    <s v="N"/>
    <n v="1779831"/>
    <n v="6"/>
    <d v="2012-02-28T00:00:00"/>
    <d v="2012-08-16T00:00:00"/>
    <n v="1779831"/>
    <d v="2012-02-28T00:00:00"/>
    <d v="2012-08-16T00:00:00"/>
    <s v="NO BOND"/>
    <x v="1"/>
    <m/>
    <s v="N"/>
    <s v="NONE"/>
    <s v="GUILTY PLEA - NO JURY"/>
    <n v="171"/>
    <n v="171"/>
    <n v="1"/>
    <n v="1"/>
    <n v="1"/>
    <m/>
    <m/>
    <m/>
    <m/>
    <m/>
    <m/>
    <m/>
    <m/>
    <d v="1979-11-30T00:00:00"/>
    <s v="M"/>
    <s v="B"/>
    <s v="BLACK"/>
    <s v="NULL"/>
    <s v="179"/>
    <s v="CONVICTED"/>
    <n v="7"/>
    <s v="TDC"/>
    <n v="5"/>
    <m/>
    <m/>
    <s v="POSS W/INT DEL CS PG1&gt;=4 &lt;200"/>
    <m/>
    <s v="F1"/>
    <s v="SALE DRUG"/>
    <m/>
    <m/>
    <m/>
    <m/>
    <m/>
    <m/>
    <m/>
    <m/>
    <m/>
    <s v="Hired Attorney"/>
    <m/>
    <m/>
    <n v="171"/>
    <n v="171"/>
    <n v="171"/>
    <n v="32.180327868852459"/>
    <n v="0"/>
    <n v="0"/>
    <s v="CONVICTION"/>
    <x v="0"/>
    <s v="N"/>
    <m/>
    <s v="CONVICTION"/>
    <s v="Y"/>
    <x v="0"/>
    <x v="0"/>
    <s v="Y"/>
    <n v="1"/>
    <n v="1"/>
    <n v="0"/>
    <n v="0"/>
    <n v="-171"/>
    <n v="0"/>
    <n v="171"/>
    <e v="#VALUE!"/>
    <n v="171"/>
    <n v="0"/>
    <n v="0"/>
    <m/>
    <s v="Y"/>
    <m/>
    <s v="121-365 DAYS"/>
    <n v="6"/>
    <x v="0"/>
  </r>
  <r>
    <n v="2093"/>
    <s v="N"/>
    <s v="N"/>
    <n v="1781709"/>
    <n v="5"/>
    <d v="2012-03-19T00:00:00"/>
    <d v="2012-03-21T00:00:00"/>
    <n v="1781709"/>
    <d v="2012-03-19T00:00:00"/>
    <d v="2012-03-21T00:00:00"/>
    <n v="15000"/>
    <x v="0"/>
    <m/>
    <s v="N"/>
    <s v="NONE"/>
    <s v="GUILTY PLEA - NO JURY"/>
    <n v="3"/>
    <n v="3"/>
    <n v="6"/>
    <n v="6"/>
    <n v="3"/>
    <m/>
    <m/>
    <m/>
    <m/>
    <m/>
    <m/>
    <m/>
    <m/>
    <d v="1973-07-21T00:00:00"/>
    <s v="F"/>
    <s v="B"/>
    <s v="BLACK"/>
    <s v="NON-HISPANIC"/>
    <s v="337"/>
    <s v="CONVICTED"/>
    <n v="1"/>
    <s v="STJ"/>
    <m/>
    <n v="9"/>
    <m/>
    <s v="THEFT UNDER $1500 - 3RD OFF."/>
    <m/>
    <s v="FS"/>
    <s v="THEFT"/>
    <m/>
    <m/>
    <m/>
    <m/>
    <m/>
    <m/>
    <m/>
    <m/>
    <m/>
    <s v="Appointed Attorney"/>
    <m/>
    <m/>
    <n v="3"/>
    <n v="3"/>
    <n v="3"/>
    <n v="38.581967213114751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708"/>
    <s v="N"/>
    <s v="N"/>
    <n v="1781722"/>
    <n v="6"/>
    <d v="2012-03-04T00:00:00"/>
    <d v="2012-10-19T00:00:00"/>
    <n v="1781722"/>
    <d v="2012-03-04T00:00:00"/>
    <d v="2012-10-19T00:00:00"/>
    <s v="NO BOND"/>
    <x v="1"/>
    <m/>
    <s v="N"/>
    <s v="NONE"/>
    <s v="GUILTY PLEA - NO JURY"/>
    <n v="230"/>
    <n v="230"/>
    <n v="4"/>
    <n v="0"/>
    <n v="2"/>
    <m/>
    <m/>
    <m/>
    <m/>
    <m/>
    <m/>
    <m/>
    <m/>
    <d v="1983-09-13T00:00:00"/>
    <s v="M"/>
    <s v="H"/>
    <s v="HISPANIC"/>
    <s v="HISPANIC"/>
    <s v="232"/>
    <s v="CONVICTED"/>
    <n v="8"/>
    <s v="TDC"/>
    <n v="12"/>
    <m/>
    <m/>
    <s v="POSS W/INT DEL CS PG1&gt;=4 &lt;200"/>
    <m/>
    <s v="F1"/>
    <s v="SALE DRUG"/>
    <m/>
    <m/>
    <m/>
    <m/>
    <m/>
    <m/>
    <m/>
    <m/>
    <m/>
    <s v="Hired Attorney"/>
    <m/>
    <m/>
    <n v="230"/>
    <n v="230"/>
    <n v="230"/>
    <n v="28.415300546448087"/>
    <n v="0"/>
    <n v="0"/>
    <s v="CONVICTION"/>
    <x v="0"/>
    <s v="N"/>
    <m/>
    <s v="CONVICTION"/>
    <s v="Y"/>
    <x v="0"/>
    <x v="0"/>
    <s v="Y"/>
    <n v="1"/>
    <n v="1"/>
    <n v="0"/>
    <n v="0"/>
    <n v="-230"/>
    <n v="0"/>
    <n v="230"/>
    <e v="#VALUE!"/>
    <n v="230"/>
    <n v="0"/>
    <n v="0"/>
    <m/>
    <s v="Y"/>
    <m/>
    <s v="121-365 DAYS"/>
    <n v="6"/>
    <x v="0"/>
  </r>
  <r>
    <n v="1057"/>
    <s v="N"/>
    <s v="N"/>
    <n v="1782291"/>
    <n v="2"/>
    <d v="2012-02-09T00:00:00"/>
    <d v="2012-06-18T00:00:00"/>
    <n v="1782291"/>
    <d v="2012-02-09T00:00:00"/>
    <d v="2012-06-18T00:00:00"/>
    <n v="15000"/>
    <x v="0"/>
    <m/>
    <s v="N"/>
    <s v="NONE"/>
    <s v="DEFERRED ADJUDICATION "/>
    <n v="131"/>
    <n v="131"/>
    <n v="1"/>
    <n v="3"/>
    <m/>
    <m/>
    <m/>
    <m/>
    <m/>
    <m/>
    <m/>
    <m/>
    <m/>
    <d v="1982-06-10T00:00:00"/>
    <s v="F"/>
    <s v="B"/>
    <s v="BLACK"/>
    <s v="NON-HISPANIC"/>
    <s v="184"/>
    <s v="DEFERRED"/>
    <n v="12"/>
    <s v="DEFERRED"/>
    <m/>
    <m/>
    <m/>
    <s v="THEFT UNDER $1500 - 3RD OFF."/>
    <m/>
    <s v="FS"/>
    <s v="THEFT"/>
    <m/>
    <m/>
    <m/>
    <m/>
    <m/>
    <m/>
    <m/>
    <m/>
    <m/>
    <s v="Public Defender"/>
    <m/>
    <m/>
    <n v="131"/>
    <n v="131"/>
    <n v="131"/>
    <n v="29.606557377049182"/>
    <n v="0"/>
    <n v="0"/>
    <s v="DEFERRED"/>
    <x v="0"/>
    <s v="N"/>
    <m/>
    <s v="DEFERRED"/>
    <s v="Y"/>
    <x v="0"/>
    <x v="0"/>
    <s v="Y"/>
    <n v="1"/>
    <n v="1"/>
    <n v="0"/>
    <n v="0"/>
    <n v="-131"/>
    <n v="0"/>
    <n v="131"/>
    <e v="#VALUE!"/>
    <n v="131"/>
    <n v="0"/>
    <n v="0"/>
    <m/>
    <s v="Y"/>
    <m/>
    <s v="121-365 DAYS"/>
    <n v="6"/>
    <x v="0"/>
  </r>
  <r>
    <n v="2780"/>
    <s v="N"/>
    <s v="N"/>
    <n v="1783723"/>
    <n v="1"/>
    <d v="2012-04-12T00:00:00"/>
    <d v="2012-04-16T00:00:00"/>
    <n v="1783723"/>
    <d v="2012-04-13T00:00:00"/>
    <d v="2012-04-16T00:00:00"/>
    <n v="10000"/>
    <x v="3"/>
    <m/>
    <s v="N"/>
    <s v="NONE"/>
    <s v="DISMISSED"/>
    <n v="4"/>
    <n v="5"/>
    <n v="1"/>
    <n v="5"/>
    <n v="1"/>
    <m/>
    <m/>
    <m/>
    <m/>
    <m/>
    <m/>
    <s v="S"/>
    <m/>
    <d v="1982-07-19T00:00:00"/>
    <s v="M"/>
    <s v="H"/>
    <s v="HISPANIC"/>
    <s v="NULL"/>
    <s v="208"/>
    <s v="DISMISSED"/>
    <n v="1"/>
    <s v="DISMISSED"/>
    <m/>
    <m/>
    <m/>
    <s v="FELON POSS WPN"/>
    <m/>
    <s v="F3"/>
    <s v="OTHER FEL"/>
    <m/>
    <m/>
    <m/>
    <m/>
    <m/>
    <m/>
    <m/>
    <m/>
    <m/>
    <s v="Appointed Attorney"/>
    <m/>
    <m/>
    <n v="4"/>
    <n v="4"/>
    <n v="5"/>
    <n v="29.672131147540984"/>
    <n v="0"/>
    <n v="0"/>
    <s v="NO CONVICTION"/>
    <x v="0"/>
    <s v="N"/>
    <m/>
    <s v="NO 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1615"/>
    <s v="N"/>
    <s v="N"/>
    <n v="1787708"/>
    <n v="2"/>
    <d v="2012-02-29T00:00:00"/>
    <d v="2012-03-02T00:00:00"/>
    <n v="1787708"/>
    <d v="2012-03-01T00:00:00"/>
    <d v="2012-03-02T00:00:00"/>
    <n v="35000"/>
    <x v="2"/>
    <m/>
    <s v="N"/>
    <s v="NONE"/>
    <s v="DEFERRED ADJUDICATION "/>
    <n v="2"/>
    <n v="3"/>
    <n v="0"/>
    <n v="1"/>
    <m/>
    <m/>
    <m/>
    <m/>
    <m/>
    <m/>
    <m/>
    <s v="S"/>
    <m/>
    <d v="1972-06-29T00:00:00"/>
    <s v="M"/>
    <s v="H"/>
    <s v="HISPANIC"/>
    <s v="NULL"/>
    <s v="182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2"/>
    <n v="2"/>
    <n v="3"/>
    <n v="39.587431693989068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893"/>
    <s v="N"/>
    <s v="N"/>
    <n v="1788635"/>
    <n v="5"/>
    <d v="2012-02-02T00:00:00"/>
    <d v="2012-02-14T00:00:00"/>
    <n v="1788635"/>
    <d v="2012-02-03T00:00:00"/>
    <d v="2012-02-14T00:00:00"/>
    <s v="NO BOND"/>
    <x v="1"/>
    <m/>
    <s v="N"/>
    <s v="NONE"/>
    <s v="GUILTY PLEA - NO JURY"/>
    <n v="12"/>
    <n v="13"/>
    <n v="3"/>
    <n v="3"/>
    <n v="1"/>
    <n v="1"/>
    <m/>
    <m/>
    <m/>
    <m/>
    <m/>
    <m/>
    <m/>
    <d v="1978-11-30T00:00:00"/>
    <s v="M"/>
    <s v="H"/>
    <s v="HISPANIC"/>
    <s v="HISPANIC"/>
    <s v="180"/>
    <s v="CONVICTED"/>
    <n v="2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12"/>
    <n v="12"/>
    <n v="13"/>
    <n v="33.106557377049178"/>
    <n v="0"/>
    <n v="0"/>
    <s v="CONVICTION"/>
    <x v="0"/>
    <s v="N"/>
    <m/>
    <s v="CONVICTION"/>
    <s v="Y"/>
    <x v="0"/>
    <x v="0"/>
    <s v="Y"/>
    <n v="0.92307692307692313"/>
    <n v="1"/>
    <n v="7.6923076923076872E-2"/>
    <n v="0"/>
    <n v="-12"/>
    <n v="0"/>
    <n v="12"/>
    <e v="#VALUE!"/>
    <n v="12"/>
    <n v="0"/>
    <n v="0"/>
    <m/>
    <s v="Y"/>
    <m/>
    <s v="11-30 DAYS"/>
    <n v="2"/>
    <x v="0"/>
  </r>
  <r>
    <n v="2110"/>
    <s v="N"/>
    <s v="N"/>
    <n v="1789425"/>
    <n v="5"/>
    <d v="2012-03-20T00:00:00"/>
    <d v="2012-05-25T00:00:00"/>
    <n v="1789425"/>
    <d v="2012-03-20T00:00:00"/>
    <d v="2012-05-25T00:00:00"/>
    <n v="15000"/>
    <x v="0"/>
    <m/>
    <s v="N"/>
    <s v="NONE"/>
    <s v="GUILTY PLEA - NO JURY"/>
    <n v="67"/>
    <n v="67"/>
    <n v="9"/>
    <n v="1"/>
    <n v="2"/>
    <m/>
    <m/>
    <m/>
    <m/>
    <m/>
    <m/>
    <m/>
    <m/>
    <d v="1981-12-03T00:00:00"/>
    <s v="M"/>
    <s v="B"/>
    <s v="BLACK"/>
    <s v="NON-HISPANIC"/>
    <s v="182"/>
    <s v="CONVICTED"/>
    <n v="4"/>
    <s v="STJ"/>
    <m/>
    <n v="6"/>
    <m/>
    <s v="POSS CS PG 1 &lt;1G"/>
    <m/>
    <s v="FS"/>
    <s v="POSS DRUG"/>
    <m/>
    <m/>
    <m/>
    <m/>
    <m/>
    <m/>
    <m/>
    <m/>
    <m/>
    <s v="Appointed Attorney"/>
    <m/>
    <m/>
    <n v="67"/>
    <n v="67"/>
    <n v="67"/>
    <n v="30.23224043715847"/>
    <n v="0"/>
    <n v="0"/>
    <s v="CONVICTION"/>
    <x v="0"/>
    <s v="N"/>
    <m/>
    <s v="CONVICTION"/>
    <s v="Y"/>
    <x v="0"/>
    <x v="0"/>
    <s v="Y"/>
    <n v="1"/>
    <n v="1"/>
    <n v="0"/>
    <n v="0"/>
    <n v="-67"/>
    <n v="0"/>
    <n v="67"/>
    <e v="#VALUE!"/>
    <n v="67"/>
    <n v="0"/>
    <n v="0"/>
    <m/>
    <s v="Y"/>
    <m/>
    <s v="61-90 DAYS"/>
    <n v="4"/>
    <x v="0"/>
  </r>
  <r>
    <n v="2231"/>
    <s v="N"/>
    <s v="N"/>
    <n v="1789995"/>
    <n v="5"/>
    <d v="2012-03-25T00:00:00"/>
    <d v="2012-10-18T00:00:00"/>
    <n v="1789995"/>
    <d v="2012-03-25T00:00:00"/>
    <d v="2012-03-26T00:00:00"/>
    <n v="10000"/>
    <x v="3"/>
    <d v="2012-03-26T00:00:00"/>
    <s v="Y"/>
    <s v="SURETY"/>
    <s v="GUILTY PLEA - NO JURY"/>
    <n v="2"/>
    <n v="208"/>
    <n v="3"/>
    <n v="3"/>
    <n v="1"/>
    <m/>
    <m/>
    <m/>
    <m/>
    <m/>
    <m/>
    <m/>
    <m/>
    <d v="1983-01-14T00:00:00"/>
    <s v="M"/>
    <s v="B"/>
    <s v="BLACK"/>
    <s v="NON-HISPANIC"/>
    <s v="182"/>
    <s v="CONVICTED"/>
    <n v="8"/>
    <s v="STJ"/>
    <m/>
    <n v="7"/>
    <m/>
    <s v="POSS CS PG 1 4G - 200G"/>
    <m/>
    <s v="F2"/>
    <s v="POSS DRUG"/>
    <m/>
    <m/>
    <m/>
    <m/>
    <m/>
    <m/>
    <m/>
    <m/>
    <m/>
    <s v="Hired Attorney"/>
    <m/>
    <m/>
    <n v="2"/>
    <n v="208"/>
    <n v="208"/>
    <n v="29.133879781420767"/>
    <n v="0"/>
    <n v="-206"/>
    <s v="CONVICTION"/>
    <x v="1"/>
    <s v="Y"/>
    <m/>
    <s v="CONVICTION"/>
    <s v="Y"/>
    <x v="1"/>
    <x v="0"/>
    <s v="Y"/>
    <n v="9.6153846153846159E-3"/>
    <n v="9.6153846153846159E-3"/>
    <n v="0"/>
    <n v="0"/>
    <n v="-2"/>
    <n v="0"/>
    <n v="2"/>
    <e v="#VALUE!"/>
    <n v="2"/>
    <n v="0"/>
    <n v="206"/>
    <m/>
    <s v="Y"/>
    <m/>
    <s v="0-10 DAYS"/>
    <n v="1"/>
    <x v="0"/>
  </r>
  <r>
    <n v="297"/>
    <s v="N"/>
    <s v="N"/>
    <n v="1790251"/>
    <n v="1"/>
    <d v="2012-01-12T00:00:00"/>
    <d v="2013-04-05T00:00:00"/>
    <n v="1790251"/>
    <d v="2012-01-13T00:00:00"/>
    <d v="2013-04-05T00:00:00"/>
    <s v="NO BOND"/>
    <x v="1"/>
    <m/>
    <s v="N"/>
    <s v="NONE"/>
    <s v="DISMISSED"/>
    <n v="449"/>
    <n v="450"/>
    <n v="8"/>
    <n v="4"/>
    <n v="7"/>
    <m/>
    <m/>
    <m/>
    <m/>
    <m/>
    <m/>
    <m/>
    <m/>
    <d v="1982-07-10T00:00:00"/>
    <s v="M"/>
    <s v="B"/>
    <s v="BLACK"/>
    <s v="NON-HISPANIC"/>
    <s v="185"/>
    <s v="DISMISSED"/>
    <n v="9"/>
    <s v="DISMISSED"/>
    <m/>
    <m/>
    <m/>
    <s v="POSS CS PG 1 &lt;1G"/>
    <m/>
    <s v="FS"/>
    <s v="POSS DRUG"/>
    <s v="trans to ct 185 "/>
    <m/>
    <m/>
    <m/>
    <m/>
    <m/>
    <m/>
    <m/>
    <m/>
    <s v="Appointed Attorney"/>
    <m/>
    <m/>
    <n v="449"/>
    <n v="449"/>
    <n v="450"/>
    <n v="29.448087431693988"/>
    <n v="0"/>
    <n v="0"/>
    <s v="NO CONVICTION"/>
    <x v="0"/>
    <s v="N"/>
    <m/>
    <s v="NO CONVICTION"/>
    <s v="Y"/>
    <x v="0"/>
    <x v="0"/>
    <s v="Y"/>
    <n v="0.99777777777777776"/>
    <n v="1"/>
    <n v="2.2222222222222365E-3"/>
    <n v="0"/>
    <n v="-449"/>
    <n v="0"/>
    <n v="449"/>
    <e v="#VALUE!"/>
    <n v="449"/>
    <n v="0"/>
    <n v="0"/>
    <m/>
    <s v="Y"/>
    <m/>
    <s v=" &gt;1YRS&lt;2YRS"/>
    <n v="0"/>
    <x v="0"/>
  </r>
  <r>
    <n v="2272"/>
    <s v="N"/>
    <s v="N"/>
    <n v="1790272"/>
    <n v="2"/>
    <d v="2012-03-27T00:00:00"/>
    <d v="2012-05-09T00:00:00"/>
    <n v="1790272"/>
    <d v="2012-03-27T00:00:00"/>
    <d v="2012-05-09T00:00:00"/>
    <n v="30000"/>
    <x v="2"/>
    <m/>
    <s v="N"/>
    <s v="NONE"/>
    <s v="DEFERRED ADJUDICATION "/>
    <n v="44"/>
    <n v="44"/>
    <n v="1"/>
    <n v="4"/>
    <n v="1"/>
    <m/>
    <m/>
    <m/>
    <m/>
    <m/>
    <m/>
    <m/>
    <m/>
    <d v="1983-01-03T00:00:00"/>
    <s v="M"/>
    <s v="H"/>
    <s v="HISPANIC"/>
    <s v="HISPANIC"/>
    <s v="179"/>
    <s v="DEFERRED"/>
    <n v="4"/>
    <s v="DEFERRED"/>
    <m/>
    <m/>
    <m/>
    <s v="AGG ASSAULT W/DEADLY WEAPON"/>
    <m/>
    <s v="F2"/>
    <s v="ASLT-MURDR"/>
    <m/>
    <m/>
    <m/>
    <m/>
    <m/>
    <m/>
    <m/>
    <m/>
    <m/>
    <s v="Appointed Attorney"/>
    <m/>
    <m/>
    <n v="44"/>
    <n v="44"/>
    <n v="44"/>
    <n v="29.169398907103826"/>
    <n v="0"/>
    <n v="0"/>
    <s v="DEFERRED"/>
    <x v="0"/>
    <s v="N"/>
    <m/>
    <s v="DEFERRED"/>
    <s v="Y"/>
    <x v="0"/>
    <x v="0"/>
    <s v="Y"/>
    <n v="1"/>
    <n v="1"/>
    <n v="0"/>
    <n v="0"/>
    <n v="-44"/>
    <n v="0"/>
    <n v="44"/>
    <e v="#VALUE!"/>
    <n v="44"/>
    <n v="0"/>
    <n v="0"/>
    <m/>
    <s v="Y"/>
    <m/>
    <s v="31-60 DAYS"/>
    <n v="3"/>
    <x v="0"/>
  </r>
  <r>
    <n v="787"/>
    <s v="Y"/>
    <s v="Y"/>
    <n v="1791218"/>
    <n v="2"/>
    <d v="2012-01-31T00:00:00"/>
    <d v="2012-10-11T00:00:00"/>
    <n v="1791218"/>
    <d v="2012-02-15T00:00:00"/>
    <d v="2012-05-04T00:00:00"/>
    <n v="30000"/>
    <x v="2"/>
    <d v="2012-05-04T00:00:00"/>
    <s v="Y"/>
    <s v="SURETY"/>
    <s v="DEFERRED ADJUDICATION "/>
    <n v="176"/>
    <n v="255"/>
    <n v="2"/>
    <n v="5"/>
    <m/>
    <n v="1"/>
    <m/>
    <m/>
    <m/>
    <m/>
    <m/>
    <m/>
    <m/>
    <d v="1982-01-05T00:00:00"/>
    <s v="M"/>
    <s v="H"/>
    <s v="HISPANIC"/>
    <s v="HISPANIC"/>
    <s v="184"/>
    <s v="DEFERRED"/>
    <n v="13"/>
    <s v="DEFERRED"/>
    <m/>
    <m/>
    <m/>
    <s v="AGG SEX ASSLT CHILD-UNDER 14"/>
    <m/>
    <s v="F1"/>
    <s v="SEX ABUSE"/>
    <m/>
    <s v="fel rev 7/6/12 C87AI  jail"/>
    <m/>
    <m/>
    <s v="Y"/>
    <m/>
    <m/>
    <m/>
    <m/>
    <s v="Public Defender"/>
    <s v="8/13/12 agg sex child tdc 8 y"/>
    <m/>
    <n v="176"/>
    <n v="240"/>
    <n v="255"/>
    <n v="30.008196721311474"/>
    <n v="0"/>
    <n v="-160"/>
    <s v="DEFERRED"/>
    <x v="1"/>
    <s v="Y"/>
    <m/>
    <s v="DEFERRED"/>
    <s v="Y"/>
    <x v="0"/>
    <x v="0"/>
    <s v="Y"/>
    <n v="0.69019607843137254"/>
    <n v="0.33333333333333331"/>
    <n v="-0.35686274509803922"/>
    <n v="0"/>
    <n v="-80"/>
    <n v="96"/>
    <n v="240"/>
    <n v="176"/>
    <n v="240"/>
    <n v="160"/>
    <n v="160"/>
    <m/>
    <s v="Y"/>
    <m/>
    <s v="121-365 DAYS"/>
    <n v="6"/>
    <x v="0"/>
  </r>
  <r>
    <n v="3133"/>
    <s v="N"/>
    <s v="N"/>
    <n v="1791485"/>
    <n v="4"/>
    <d v="2012-04-25T00:00:00"/>
    <d v="2012-07-30T00:00:00"/>
    <n v="1791485"/>
    <d v="2012-04-25T00:00:00"/>
    <d v="2012-07-30T00:00:00"/>
    <n v="5000"/>
    <x v="4"/>
    <m/>
    <s v="N"/>
    <s v="NONE"/>
    <s v="GUILTY PLEA - NO JURY"/>
    <n v="97"/>
    <n v="97"/>
    <n v="1"/>
    <n v="4"/>
    <n v="1"/>
    <m/>
    <m/>
    <m/>
    <m/>
    <m/>
    <m/>
    <m/>
    <m/>
    <d v="1982-08-12T00:00:00"/>
    <s v="M"/>
    <s v="B"/>
    <s v="BLACK"/>
    <s v="NON-HISPANIC"/>
    <s v="174"/>
    <s v="CONVICTED"/>
    <n v="4"/>
    <s v="HCJ"/>
    <m/>
    <m/>
    <n v="240"/>
    <s v="ASSAULT-BOD INJ-FAMILY MEMBER"/>
    <m/>
    <s v="F3"/>
    <s v="ASLT-MURDR"/>
    <m/>
    <m/>
    <m/>
    <m/>
    <m/>
    <m/>
    <m/>
    <m/>
    <m/>
    <s v="Appointed Attorney"/>
    <m/>
    <m/>
    <n v="97"/>
    <n v="97"/>
    <n v="97"/>
    <n v="29.642076502732241"/>
    <n v="0"/>
    <n v="0"/>
    <s v="CONVICTION"/>
    <x v="0"/>
    <s v="N"/>
    <m/>
    <s v="CONVICTION"/>
    <s v="Y"/>
    <x v="0"/>
    <x v="0"/>
    <s v="Y"/>
    <n v="1"/>
    <n v="1"/>
    <n v="0"/>
    <n v="0"/>
    <n v="-97"/>
    <n v="0"/>
    <n v="97"/>
    <e v="#VALUE!"/>
    <n v="97"/>
    <n v="0"/>
    <n v="0"/>
    <m/>
    <s v="Y"/>
    <m/>
    <s v="91-120 DAYS"/>
    <n v="0"/>
    <x v="0"/>
  </r>
  <r>
    <n v="506"/>
    <s v="N"/>
    <s v="N"/>
    <n v="1791761"/>
    <n v="4"/>
    <d v="2012-01-21T00:00:00"/>
    <d v="2012-01-23T00:00:00"/>
    <n v="1791761"/>
    <d v="2012-01-21T00:00:00"/>
    <d v="2012-01-23T00:00:00"/>
    <n v="5000"/>
    <x v="4"/>
    <m/>
    <s v="N"/>
    <s v="NONE"/>
    <s v="GUILTY PLEA - NO JURY"/>
    <n v="3"/>
    <n v="3"/>
    <n v="0"/>
    <n v="4"/>
    <n v="1"/>
    <m/>
    <m/>
    <m/>
    <m/>
    <m/>
    <m/>
    <m/>
    <m/>
    <d v="1982-08-04T00:00:00"/>
    <s v="M"/>
    <s v="B"/>
    <s v="BLACK"/>
    <s v="NON-HISPANIC"/>
    <s v="209"/>
    <s v="CONVICTED"/>
    <n v="1"/>
    <s v="HCJ"/>
    <m/>
    <m/>
    <n v="90"/>
    <s v="ATT FORGE GOVE INSTR"/>
    <m/>
    <s v="FS"/>
    <s v="OTHER FEL"/>
    <s v="8/8/12 conv f drugs tdc 1 yr"/>
    <m/>
    <m/>
    <m/>
    <m/>
    <m/>
    <m/>
    <m/>
    <m/>
    <s v="Appointed Attorney"/>
    <m/>
    <m/>
    <n v="3"/>
    <n v="3"/>
    <n v="3"/>
    <n v="29.404371584699454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433"/>
    <s v="N"/>
    <s v="N"/>
    <n v="1791785"/>
    <n v="4"/>
    <d v="2012-02-22T00:00:00"/>
    <d v="2012-02-24T00:00:00"/>
    <n v="1791785"/>
    <d v="2012-02-23T00:00:00"/>
    <d v="2012-02-24T00:00:00"/>
    <n v="5000"/>
    <x v="4"/>
    <m/>
    <s v="N"/>
    <s v="NONE"/>
    <s v="GUILTY PLEA - NO JURY"/>
    <n v="2"/>
    <n v="3"/>
    <n v="1"/>
    <n v="6"/>
    <m/>
    <m/>
    <m/>
    <m/>
    <m/>
    <m/>
    <m/>
    <m/>
    <m/>
    <d v="1981-11-03T00:00:00"/>
    <s v="M"/>
    <s v="B"/>
    <s v="BLACK"/>
    <s v="NON-HISPANIC"/>
    <s v="177"/>
    <s v="CONVICTED"/>
    <n v="1"/>
    <s v="HCJ"/>
    <m/>
    <m/>
    <n v="150"/>
    <s v="POSS MARIJ  4 OZ. - 5 LBS."/>
    <m/>
    <s v="FS"/>
    <s v="POSS DRUG"/>
    <m/>
    <m/>
    <m/>
    <m/>
    <m/>
    <m/>
    <m/>
    <m/>
    <m/>
    <s v="Appointed Attorney"/>
    <m/>
    <m/>
    <n v="2"/>
    <n v="2"/>
    <n v="3"/>
    <n v="30.240437158469945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55"/>
    <s v="N"/>
    <s v="N"/>
    <n v="1794327"/>
    <n v="5"/>
    <d v="2012-01-11T00:00:00"/>
    <d v="2012-02-28T00:00:00"/>
    <n v="1794327"/>
    <d v="2012-01-12T00:00:00"/>
    <d v="2012-02-28T00:00:00"/>
    <n v="5000"/>
    <x v="4"/>
    <m/>
    <s v="N"/>
    <s v="NONE"/>
    <s v="GUILTY PLEA - NO JURY"/>
    <n v="48"/>
    <n v="49"/>
    <n v="4"/>
    <n v="7"/>
    <m/>
    <m/>
    <m/>
    <m/>
    <m/>
    <m/>
    <m/>
    <m/>
    <m/>
    <d v="1980-05-10T00:00:00"/>
    <s v="M"/>
    <s v="B"/>
    <s v="BLACK"/>
    <s v="NON-HISPANIC"/>
    <s v="208"/>
    <s v="CONVICTED"/>
    <n v="2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48"/>
    <n v="48"/>
    <n v="49"/>
    <n v="31.606557377049182"/>
    <n v="0"/>
    <n v="0"/>
    <s v="CONVICTION"/>
    <x v="0"/>
    <s v="N"/>
    <m/>
    <s v="CONVICTION"/>
    <s v="Y"/>
    <x v="0"/>
    <x v="0"/>
    <s v="Y"/>
    <n v="0.97959183673469385"/>
    <n v="1"/>
    <n v="2.0408163265306145E-2"/>
    <n v="0"/>
    <n v="-48"/>
    <n v="0"/>
    <n v="48"/>
    <e v="#VALUE!"/>
    <n v="48"/>
    <n v="0"/>
    <n v="0"/>
    <m/>
    <s v="Y"/>
    <m/>
    <s v="31-60 DAYS"/>
    <n v="3"/>
    <x v="0"/>
  </r>
  <r>
    <n v="916"/>
    <s v="N"/>
    <s v="N"/>
    <n v="1794771"/>
    <n v="5"/>
    <d v="2012-02-03T00:00:00"/>
    <d v="2012-05-24T00:00:00"/>
    <n v="1794771"/>
    <d v="2012-02-04T00:00:00"/>
    <d v="2012-05-24T00:00:00"/>
    <n v="15000"/>
    <x v="0"/>
    <m/>
    <s v="N"/>
    <s v="NONE"/>
    <s v="GUILTY PLEA - NO JURY"/>
    <n v="111"/>
    <n v="112"/>
    <n v="6"/>
    <n v="1"/>
    <n v="5"/>
    <m/>
    <m/>
    <m/>
    <m/>
    <m/>
    <m/>
    <m/>
    <m/>
    <d v="1976-12-30T00:00:00"/>
    <s v="M"/>
    <s v="B"/>
    <s v="BLACK"/>
    <s v="NULL"/>
    <s v="248"/>
    <s v="CONVICTED"/>
    <n v="5"/>
    <s v="STJ"/>
    <m/>
    <n v="6"/>
    <m/>
    <s v="POSS CS PG 1 &lt;1G"/>
    <m/>
    <s v="FS"/>
    <s v="POSS DRUG"/>
    <m/>
    <m/>
    <m/>
    <m/>
    <m/>
    <m/>
    <m/>
    <m/>
    <m/>
    <s v="Appointed Attorney"/>
    <m/>
    <m/>
    <n v="111"/>
    <n v="111"/>
    <n v="112"/>
    <n v="35.021857923497265"/>
    <n v="0"/>
    <n v="0"/>
    <s v="CONVICTION"/>
    <x v="0"/>
    <s v="N"/>
    <m/>
    <s v="CONVICTION"/>
    <s v="Y"/>
    <x v="0"/>
    <x v="0"/>
    <s v="Y"/>
    <n v="0.9910714285714286"/>
    <n v="1"/>
    <n v="8.9285714285713969E-3"/>
    <n v="0"/>
    <n v="-111"/>
    <n v="0"/>
    <n v="111"/>
    <e v="#VALUE!"/>
    <n v="111"/>
    <n v="0"/>
    <n v="0"/>
    <m/>
    <s v="Y"/>
    <m/>
    <s v="91-120 DAYS"/>
    <n v="0"/>
    <x v="0"/>
  </r>
  <r>
    <n v="2522"/>
    <s v="N"/>
    <s v="N"/>
    <n v="1794840"/>
    <n v="2"/>
    <d v="2012-04-04T00:00:00"/>
    <d v="2012-05-18T00:00:00"/>
    <n v="1794840"/>
    <d v="2012-04-04T00:00:00"/>
    <d v="2012-04-06T00:00:00"/>
    <n v="10000"/>
    <x v="3"/>
    <d v="2012-04-06T00:00:00"/>
    <s v="Y"/>
    <s v="SURETY"/>
    <s v="DEFERRED ADJUDICATION "/>
    <n v="3"/>
    <n v="45"/>
    <n v="1"/>
    <n v="2"/>
    <m/>
    <n v="1"/>
    <m/>
    <m/>
    <m/>
    <m/>
    <m/>
    <m/>
    <m/>
    <d v="1978-02-08T00:00:00"/>
    <s v="M"/>
    <s v="H"/>
    <s v="HISPANIC"/>
    <s v="HISPANIC"/>
    <s v="179"/>
    <s v="DEFERRED"/>
    <n v="3"/>
    <s v="DEFERRED"/>
    <m/>
    <m/>
    <m/>
    <s v="ASSAULT-BOD INJ-FAMILY MEMBER"/>
    <m/>
    <s v="F3"/>
    <s v="ASLT-MURDR"/>
    <m/>
    <m/>
    <m/>
    <m/>
    <m/>
    <m/>
    <m/>
    <m/>
    <m/>
    <s v="Hired Attorney"/>
    <m/>
    <m/>
    <n v="3"/>
    <n v="45"/>
    <n v="45"/>
    <n v="34.081967213114751"/>
    <n v="0"/>
    <n v="-42"/>
    <s v="DEFERRED"/>
    <x v="1"/>
    <s v="Y"/>
    <m/>
    <s v="DEFERRED"/>
    <s v="Y"/>
    <x v="1"/>
    <x v="0"/>
    <s v="Y"/>
    <n v="6.6666666666666666E-2"/>
    <n v="6.6666666666666666E-2"/>
    <n v="0"/>
    <n v="0"/>
    <n v="-3"/>
    <n v="0"/>
    <n v="3"/>
    <e v="#VALUE!"/>
    <n v="3"/>
    <n v="0"/>
    <n v="42"/>
    <m/>
    <s v="Y"/>
    <m/>
    <s v="0-10 DAYS"/>
    <n v="1"/>
    <x v="0"/>
  </r>
  <r>
    <n v="2079"/>
    <s v="N"/>
    <s v="N"/>
    <n v="1797749"/>
    <n v="2"/>
    <d v="2012-03-19T00:00:00"/>
    <d v="2012-10-11T00:00:00"/>
    <n v="1797749"/>
    <s v="NOT BOOKED"/>
    <s v="NOT BOOKED"/>
    <n v="30000"/>
    <x v="2"/>
    <d v="2012-04-13T00:00:00"/>
    <s v="Y"/>
    <s v="SURETY"/>
    <s v="DEFERRED ADJUDICATION "/>
    <n v="0"/>
    <n v="207"/>
    <n v="0"/>
    <n v="1"/>
    <m/>
    <m/>
    <m/>
    <m/>
    <m/>
    <m/>
    <m/>
    <s v="S"/>
    <m/>
    <d v="1983-05-19T00:00:00"/>
    <s v="M"/>
    <s v="H"/>
    <s v="HISPANIC"/>
    <s v="NULL"/>
    <s v="176"/>
    <s v="DEFERRED"/>
    <n v="7"/>
    <s v="DEFERRED"/>
    <m/>
    <m/>
    <m/>
    <s v="AGG ASSAULT W/DEADLY WEAPON"/>
    <m/>
    <s v="F2"/>
    <s v="ASLT-MURDR"/>
    <m/>
    <m/>
    <m/>
    <m/>
    <m/>
    <m/>
    <m/>
    <m/>
    <m/>
    <s v="Hired Attorney"/>
    <m/>
    <m/>
    <n v="0"/>
    <n v="0"/>
    <n v="207"/>
    <n v="28.775956284153004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387"/>
    <s v="N"/>
    <s v="N"/>
    <n v="1797810"/>
    <n v="5"/>
    <d v="2012-01-17T00:00:00"/>
    <d v="2012-10-12T00:00:00"/>
    <n v="1797810"/>
    <d v="2012-01-17T00:00:00"/>
    <d v="2012-02-08T00:00:00"/>
    <n v="20000"/>
    <x v="0"/>
    <d v="2012-02-08T00:00:00"/>
    <s v="Y"/>
    <s v="SURETY"/>
    <s v="GUILTY PLEA - NO JURY"/>
    <n v="23"/>
    <n v="270"/>
    <n v="2"/>
    <n v="4"/>
    <n v="2"/>
    <m/>
    <m/>
    <m/>
    <m/>
    <m/>
    <m/>
    <m/>
    <m/>
    <d v="1979-03-05T00:00:00"/>
    <s v="M"/>
    <s v="B"/>
    <s v="BLACK"/>
    <s v="NON-HISPANIC"/>
    <s v="339"/>
    <s v="CONVICTED"/>
    <n v="10"/>
    <s v="STJ"/>
    <m/>
    <n v="12"/>
    <m/>
    <s v="TAMPER/FABRICATE EVIDENCE"/>
    <m/>
    <s v="F3"/>
    <s v="OTHER FEL"/>
    <m/>
    <m/>
    <m/>
    <m/>
    <m/>
    <m/>
    <m/>
    <m/>
    <m/>
    <s v="Hired Attorney"/>
    <m/>
    <m/>
    <n v="23"/>
    <n v="270"/>
    <n v="270"/>
    <n v="32.803278688524593"/>
    <n v="0"/>
    <n v="-247"/>
    <s v="CONVICTION"/>
    <x v="1"/>
    <s v="Y"/>
    <m/>
    <s v="CONVICTION"/>
    <s v="Y"/>
    <x v="1"/>
    <x v="0"/>
    <s v="Y"/>
    <n v="8.5185185185185183E-2"/>
    <n v="8.5185185185185183E-2"/>
    <n v="0"/>
    <n v="0"/>
    <n v="-23"/>
    <n v="0"/>
    <n v="23"/>
    <e v="#VALUE!"/>
    <n v="23"/>
    <n v="0"/>
    <n v="247"/>
    <m/>
    <s v="Y"/>
    <m/>
    <s v="11-30 DAYS"/>
    <n v="2"/>
    <x v="0"/>
  </r>
  <r>
    <n v="635"/>
    <s v="N"/>
    <s v="N"/>
    <n v="1799062"/>
    <n v="1"/>
    <d v="2012-01-25T00:00:00"/>
    <d v="2012-03-08T00:00:00"/>
    <n v="1799062"/>
    <d v="2012-01-26T00:00:00"/>
    <d v="2012-01-27T00:00:00"/>
    <n v="5000"/>
    <x v="4"/>
    <d v="2012-01-27T00:00:00"/>
    <s v="Y"/>
    <s v="SURETY"/>
    <s v="DISMISSED"/>
    <n v="2"/>
    <n v="44"/>
    <n v="1"/>
    <n v="2"/>
    <n v="1"/>
    <m/>
    <m/>
    <m/>
    <m/>
    <m/>
    <m/>
    <m/>
    <m/>
    <d v="1975-06-18T00:00:00"/>
    <s v="M"/>
    <s v="B"/>
    <s v="BLACK"/>
    <s v="NON-HISPANIC"/>
    <s v="183"/>
    <s v="DISMISSED"/>
    <n v="3"/>
    <s v="DISMISSED"/>
    <m/>
    <m/>
    <m/>
    <s v="POSS CS PG 1 &lt;1G"/>
    <m/>
    <s v="FS"/>
    <s v="POSS DRUG"/>
    <m/>
    <m/>
    <m/>
    <m/>
    <m/>
    <m/>
    <m/>
    <m/>
    <m/>
    <s v="Other/Unknown"/>
    <m/>
    <m/>
    <n v="2"/>
    <n v="43"/>
    <n v="44"/>
    <n v="36.530054644808743"/>
    <n v="0"/>
    <n v="-41"/>
    <s v="NO CONVICTION"/>
    <x v="1"/>
    <s v="Y"/>
    <m/>
    <s v="NO CONVICTION"/>
    <s v="Y"/>
    <x v="1"/>
    <x v="0"/>
    <s v="Y"/>
    <n v="4.5454545454545456E-2"/>
    <n v="4.6511627906976744E-2"/>
    <n v="1.0570824524312877E-3"/>
    <n v="0"/>
    <n v="-2"/>
    <n v="0"/>
    <n v="2"/>
    <e v="#VALUE!"/>
    <n v="2"/>
    <n v="0"/>
    <n v="41"/>
    <m/>
    <s v="Y"/>
    <m/>
    <s v="0-10 DAYS"/>
    <n v="1"/>
    <x v="0"/>
  </r>
  <r>
    <n v="64"/>
    <s v="N"/>
    <s v="N"/>
    <n v="1799241"/>
    <n v="6"/>
    <d v="2012-01-04T00:00:00"/>
    <d v="2012-03-08T00:00:00"/>
    <n v="1799241"/>
    <d v="2012-01-04T00:00:00"/>
    <d v="2012-03-08T00:00:00"/>
    <n v="30000"/>
    <x v="2"/>
    <m/>
    <s v="N"/>
    <s v="NONE"/>
    <s v="GUILTY PLEA - NO JURY"/>
    <n v="65"/>
    <n v="65"/>
    <n v="5"/>
    <n v="11"/>
    <n v="5"/>
    <m/>
    <m/>
    <m/>
    <m/>
    <m/>
    <m/>
    <m/>
    <m/>
    <d v="1983-07-07T00:00:00"/>
    <s v="M"/>
    <s v="H"/>
    <s v="HISPANIC"/>
    <s v="HISPANIC"/>
    <s v="262"/>
    <s v="CONVICTED"/>
    <n v="4"/>
    <s v="TDC"/>
    <n v="7"/>
    <m/>
    <m/>
    <s v="SEX ASSLT CHILD 14-17"/>
    <m/>
    <s v="F2"/>
    <s v="SEX ABUSE"/>
    <m/>
    <m/>
    <m/>
    <m/>
    <m/>
    <m/>
    <m/>
    <m/>
    <m/>
    <s v="Appointed Attorney"/>
    <m/>
    <m/>
    <n v="65"/>
    <n v="65"/>
    <n v="65"/>
    <n v="28.437158469945356"/>
    <n v="0"/>
    <n v="0"/>
    <s v="CONVICTION"/>
    <x v="0"/>
    <s v="N"/>
    <m/>
    <s v="CONVICTION"/>
    <s v="Y"/>
    <x v="0"/>
    <x v="0"/>
    <s v="Y"/>
    <n v="1"/>
    <n v="1"/>
    <n v="0"/>
    <n v="0"/>
    <n v="-65"/>
    <n v="0"/>
    <n v="65"/>
    <e v="#VALUE!"/>
    <n v="65"/>
    <n v="0"/>
    <n v="0"/>
    <m/>
    <s v="Y"/>
    <m/>
    <s v="61-90 DAYS"/>
    <n v="4"/>
    <x v="0"/>
  </r>
  <r>
    <n v="742"/>
    <s v="N"/>
    <s v="N"/>
    <n v="1799556"/>
    <n v="4"/>
    <d v="2012-01-30T00:00:00"/>
    <d v="2012-02-21T00:00:00"/>
    <n v="1799556"/>
    <d v="2012-01-30T00:00:00"/>
    <d v="2012-02-21T00:00:00"/>
    <n v="2000"/>
    <x v="5"/>
    <m/>
    <s v="N"/>
    <s v="NONE"/>
    <s v="GUILTY PLEA - NO JURY"/>
    <n v="23"/>
    <n v="23"/>
    <n v="0"/>
    <n v="4"/>
    <m/>
    <m/>
    <m/>
    <m/>
    <m/>
    <m/>
    <m/>
    <s v="S"/>
    <m/>
    <d v="1969-05-08T00:00:00"/>
    <s v="F"/>
    <s v="H"/>
    <s v="HISPANIC"/>
    <s v="NULL"/>
    <s v="174"/>
    <s v="CONVICTED"/>
    <n v="3"/>
    <s v="HCJ"/>
    <m/>
    <m/>
    <n v="365"/>
    <s v="THEFT UNDER $1500 - 3RD OFF."/>
    <m/>
    <s v="FS"/>
    <s v="THEFT"/>
    <m/>
    <m/>
    <m/>
    <m/>
    <m/>
    <m/>
    <m/>
    <m/>
    <m/>
    <s v="Appointed Attorney"/>
    <m/>
    <m/>
    <n v="23"/>
    <n v="23"/>
    <n v="23"/>
    <n v="42.642076502732237"/>
    <n v="0"/>
    <n v="0"/>
    <s v="CONVICTION"/>
    <x v="0"/>
    <s v="N"/>
    <m/>
    <s v="CONVICTION"/>
    <s v="Y"/>
    <x v="0"/>
    <x v="0"/>
    <s v="N"/>
    <n v="1"/>
    <n v="1"/>
    <n v="0"/>
    <n v="0"/>
    <n v="-23"/>
    <n v="0"/>
    <n v="23"/>
    <e v="#VALUE!"/>
    <n v="23"/>
    <n v="0"/>
    <n v="0"/>
    <m/>
    <s v="Y"/>
    <m/>
    <s v="11-30 DAYS"/>
    <n v="2"/>
    <x v="0"/>
  </r>
  <r>
    <n v="17"/>
    <s v="Y"/>
    <s v="Y"/>
    <n v="1800669"/>
    <n v="4"/>
    <d v="2012-01-02T00:00:00"/>
    <d v="2012-07-13T00:00:00"/>
    <n v="1800669"/>
    <d v="2012-04-04T00:00:00"/>
    <d v="2012-07-13T00:00:00"/>
    <n v="20000"/>
    <x v="0"/>
    <d v="2012-01-02T00:00:00"/>
    <s v="Y"/>
    <s v="SURETY"/>
    <s v="GUILTY PLEA - NO JURY"/>
    <n v="101"/>
    <n v="194"/>
    <n v="2"/>
    <n v="5"/>
    <n v="2"/>
    <m/>
    <m/>
    <m/>
    <m/>
    <m/>
    <m/>
    <m/>
    <m/>
    <d v="1982-10-05T00:00:00"/>
    <s v="M"/>
    <s v="W"/>
    <s v="WHITE"/>
    <s v="NON-HISPANIC"/>
    <s v="338"/>
    <s v="CONVICTED"/>
    <n v="8"/>
    <s v="HCJ"/>
    <m/>
    <m/>
    <n v="365"/>
    <s v="BURGLARY OF HABITATION"/>
    <m/>
    <s v="F2"/>
    <s v="BURGLARY"/>
    <m/>
    <d v="2012-04-03T00:00:00"/>
    <m/>
    <m/>
    <s v="Y"/>
    <m/>
    <m/>
    <m/>
    <m/>
    <s v="Appointed Attorney"/>
    <s v="y st jail theft9/25/13"/>
    <m/>
    <n v="101"/>
    <n v="101"/>
    <n v="194"/>
    <n v="29.183060109289617"/>
    <n v="0"/>
    <n v="0"/>
    <s v="CONVICTION"/>
    <x v="1"/>
    <s v="Y"/>
    <m/>
    <s v="CONVICTION"/>
    <s v="Y"/>
    <x v="0"/>
    <x v="0"/>
    <s v="Y"/>
    <n v="0.52061855670103097"/>
    <n v="1"/>
    <n v="0.47938144329896903"/>
    <n v="0"/>
    <n v="-101"/>
    <n v="0"/>
    <n v="101"/>
    <e v="#VALUE!"/>
    <n v="101"/>
    <n v="0"/>
    <n v="0"/>
    <m/>
    <s v="Y"/>
    <m/>
    <s v="91-120 DAYS"/>
    <n v="0"/>
    <x v="0"/>
  </r>
  <r>
    <n v="369"/>
    <s v="N"/>
    <s v="N"/>
    <n v="1800922"/>
    <n v="3"/>
    <d v="2012-01-16T00:00:00"/>
    <d v="2012-02-15T00:00:00"/>
    <n v="1800922"/>
    <d v="2012-01-16T00:00:00"/>
    <d v="2012-01-18T00:00:00"/>
    <n v="20000"/>
    <x v="0"/>
    <d v="2012-01-18T00:00:00"/>
    <s v="Y"/>
    <s v="SURETY"/>
    <s v="GUILTY PLEA - NO JURY"/>
    <n v="3"/>
    <n v="31"/>
    <n v="3"/>
    <n v="3"/>
    <m/>
    <m/>
    <m/>
    <m/>
    <m/>
    <m/>
    <m/>
    <m/>
    <m/>
    <d v="1980-08-02T00:00:00"/>
    <s v="M"/>
    <s v="B"/>
    <s v="BLACK"/>
    <s v="NON-HISPANIC"/>
    <s v="178"/>
    <s v="CONVICTED"/>
    <n v="2"/>
    <s v="PROBATION"/>
    <m/>
    <m/>
    <m/>
    <s v="DWI 3RD OFFENDER BAC .08"/>
    <m/>
    <s v="F3"/>
    <s v="FEL DWI"/>
    <m/>
    <m/>
    <m/>
    <m/>
    <m/>
    <m/>
    <m/>
    <m/>
    <m/>
    <s v="Public Defender"/>
    <m/>
    <m/>
    <n v="3"/>
    <n v="31"/>
    <n v="31"/>
    <n v="31.39071038251366"/>
    <n v="0"/>
    <n v="-28"/>
    <s v="CONVICTION"/>
    <x v="1"/>
    <s v="Y"/>
    <m/>
    <s v="CONVICTION"/>
    <s v="Y"/>
    <x v="1"/>
    <x v="0"/>
    <s v="Y"/>
    <n v="9.6774193548387094E-2"/>
    <n v="9.6774193548387094E-2"/>
    <n v="0"/>
    <n v="0"/>
    <n v="-3"/>
    <n v="0"/>
    <n v="3"/>
    <e v="#VALUE!"/>
    <n v="3"/>
    <n v="0"/>
    <n v="28"/>
    <m/>
    <s v="Y"/>
    <m/>
    <s v="0-10 DAYS"/>
    <n v="1"/>
    <x v="0"/>
  </r>
  <r>
    <n v="549"/>
    <s v="N"/>
    <s v="N"/>
    <n v="1801210"/>
    <n v="4"/>
    <d v="2012-01-22T00:00:00"/>
    <d v="2012-07-12T00:00:00"/>
    <n v="1801210"/>
    <d v="2012-01-23T00:00:00"/>
    <d v="2012-07-12T00:00:00"/>
    <n v="10000"/>
    <x v="3"/>
    <m/>
    <s v="N"/>
    <s v="NONE"/>
    <s v="CONV BY JURY VERDICT"/>
    <n v="172"/>
    <n v="173"/>
    <n v="0"/>
    <n v="1"/>
    <m/>
    <m/>
    <m/>
    <m/>
    <m/>
    <m/>
    <m/>
    <m/>
    <m/>
    <d v="1982-08-04T00:00:00"/>
    <s v="M"/>
    <s v="B"/>
    <s v="BLACK"/>
    <s v="NON-HISPANIC"/>
    <s v="339"/>
    <s v="CONVICTED"/>
    <n v="7"/>
    <s v="HCJ"/>
    <m/>
    <m/>
    <n v="365"/>
    <s v="RETALIATION"/>
    <m/>
    <s v="F3"/>
    <s v="OTHER FEL"/>
    <m/>
    <m/>
    <m/>
    <m/>
    <m/>
    <m/>
    <m/>
    <m/>
    <m/>
    <s v="Appointed Attorney"/>
    <m/>
    <m/>
    <n v="172"/>
    <n v="172"/>
    <n v="173"/>
    <n v="29.407103825136613"/>
    <n v="0"/>
    <n v="0"/>
    <s v="CONVICTION"/>
    <x v="0"/>
    <s v="N"/>
    <m/>
    <s v="CONVICTION"/>
    <s v="Y"/>
    <x v="0"/>
    <x v="0"/>
    <s v="N"/>
    <n v="0.9942196531791907"/>
    <n v="1"/>
    <n v="5.7803468208093012E-3"/>
    <n v="0"/>
    <n v="-172"/>
    <n v="0"/>
    <n v="172"/>
    <e v="#VALUE!"/>
    <n v="172"/>
    <n v="0"/>
    <n v="0"/>
    <m/>
    <s v="Y"/>
    <m/>
    <s v="121-365 DAYS"/>
    <n v="6"/>
    <x v="0"/>
  </r>
  <r>
    <n v="869"/>
    <s v="N"/>
    <s v="N"/>
    <n v="1802254"/>
    <n v="5"/>
    <d v="2012-02-02T00:00:00"/>
    <d v="2012-06-18T00:00:00"/>
    <n v="1802254"/>
    <d v="2012-02-02T00:00:00"/>
    <d v="2012-06-18T00:00:00"/>
    <s v="NO BOND"/>
    <x v="1"/>
    <m/>
    <s v="N"/>
    <s v="NONE"/>
    <s v="GUILTY PLEA - NO JURY"/>
    <n v="138"/>
    <n v="138"/>
    <n v="2"/>
    <n v="1"/>
    <n v="2"/>
    <m/>
    <m/>
    <m/>
    <m/>
    <m/>
    <m/>
    <m/>
    <m/>
    <d v="1976-07-14T00:00:00"/>
    <s v="M"/>
    <s v="B"/>
    <s v="BLACK"/>
    <s v="NON-HISPANIC"/>
    <s v="178"/>
    <s v="CONVICTED"/>
    <n v="6"/>
    <s v="STJ"/>
    <m/>
    <n v="12"/>
    <m/>
    <s v="POSS W/INT DEL CS PG1&gt;=4 &lt;200"/>
    <m/>
    <s v="F1"/>
    <s v="SALE DRUG"/>
    <m/>
    <m/>
    <m/>
    <m/>
    <m/>
    <m/>
    <m/>
    <m/>
    <m/>
    <s v="Hired Attorney"/>
    <m/>
    <m/>
    <n v="138"/>
    <n v="138"/>
    <n v="138"/>
    <n v="35.480874316939889"/>
    <n v="0"/>
    <n v="0"/>
    <s v="CONVICTION"/>
    <x v="0"/>
    <s v="N"/>
    <m/>
    <s v="CONVICTION"/>
    <s v="Y"/>
    <x v="0"/>
    <x v="0"/>
    <s v="Y"/>
    <n v="1"/>
    <n v="1"/>
    <n v="0"/>
    <n v="0"/>
    <n v="-138"/>
    <n v="0"/>
    <n v="138"/>
    <e v="#VALUE!"/>
    <n v="138"/>
    <n v="0"/>
    <n v="0"/>
    <m/>
    <s v="Y"/>
    <m/>
    <s v="121-365 DAYS"/>
    <n v="6"/>
    <x v="0"/>
  </r>
  <r>
    <n v="2461"/>
    <s v="N"/>
    <s v="N"/>
    <n v="1802727"/>
    <n v="1"/>
    <d v="2012-04-03T00:00:00"/>
    <d v="2013-06-14T00:00:00"/>
    <n v="1802727"/>
    <d v="2012-04-03T00:00:00"/>
    <d v="2012-04-07T00:00:00"/>
    <n v="20000"/>
    <x v="0"/>
    <d v="2012-04-07T00:00:00"/>
    <s v="Y"/>
    <s v="SURETY"/>
    <s v="DISMISSED"/>
    <n v="5"/>
    <n v="438"/>
    <n v="2"/>
    <n v="1"/>
    <n v="1"/>
    <m/>
    <m/>
    <m/>
    <m/>
    <m/>
    <m/>
    <m/>
    <m/>
    <d v="1978-03-20T00:00:00"/>
    <s v="F"/>
    <s v="B"/>
    <s v="BLACK"/>
    <s v="NULL"/>
    <s v="209"/>
    <s v="DISMISSED"/>
    <n v="13"/>
    <s v="DISMISSED"/>
    <m/>
    <m/>
    <m/>
    <s v="POSS CS PG 4 200-400 GRAMS"/>
    <m/>
    <s v="F2"/>
    <s v="POSS DRUG"/>
    <m/>
    <m/>
    <m/>
    <m/>
    <m/>
    <m/>
    <m/>
    <m/>
    <m/>
    <s v="Hired Attorney"/>
    <m/>
    <m/>
    <n v="5"/>
    <n v="438"/>
    <n v="438"/>
    <n v="33.969945355191257"/>
    <n v="0"/>
    <n v="-433"/>
    <s v="NO CONVICTION"/>
    <x v="1"/>
    <s v="Y"/>
    <m/>
    <s v="NO CONVICTION"/>
    <s v="Y"/>
    <x v="1"/>
    <x v="0"/>
    <s v="Y"/>
    <n v="1.1415525114155251E-2"/>
    <n v="1.1415525114155251E-2"/>
    <n v="0"/>
    <n v="0"/>
    <n v="-5"/>
    <n v="0"/>
    <n v="5"/>
    <e v="#VALUE!"/>
    <n v="5"/>
    <n v="0"/>
    <n v="433"/>
    <m/>
    <s v="Y"/>
    <m/>
    <s v="0-10 DAYS"/>
    <n v="1"/>
    <x v="0"/>
  </r>
  <r>
    <n v="2490"/>
    <s v="N"/>
    <s v="N"/>
    <n v="1803040"/>
    <n v="4"/>
    <d v="2012-04-03T00:00:00"/>
    <d v="2012-07-19T00:00:00"/>
    <n v="1803040"/>
    <d v="2012-04-04T00:00:00"/>
    <d v="2012-07-19T00:00:00"/>
    <n v="10000"/>
    <x v="3"/>
    <m/>
    <s v="N"/>
    <s v="NONE"/>
    <s v="GUILTY PLEA - NO JURY"/>
    <n v="107"/>
    <n v="108"/>
    <n v="2"/>
    <n v="5"/>
    <n v="1"/>
    <n v="1"/>
    <m/>
    <m/>
    <m/>
    <m/>
    <m/>
    <s v="S"/>
    <m/>
    <d v="1983-03-16T00:00:00"/>
    <s v="F"/>
    <s v="H"/>
    <s v="HISPANIC"/>
    <s v="NULL"/>
    <s v="208"/>
    <s v="CONVICTED"/>
    <n v="6"/>
    <s v="HCJ"/>
    <m/>
    <m/>
    <n v="180"/>
    <s v="ROBBERY-BODILY INJURY"/>
    <m/>
    <s v="F2"/>
    <s v="ROBBERY"/>
    <m/>
    <m/>
    <m/>
    <m/>
    <m/>
    <m/>
    <m/>
    <m/>
    <m/>
    <s v="Hired Attorney"/>
    <m/>
    <m/>
    <n v="107"/>
    <n v="107"/>
    <n v="108"/>
    <n v="28.991803278688526"/>
    <n v="0"/>
    <n v="0"/>
    <s v="CONVICTION"/>
    <x v="0"/>
    <s v="N"/>
    <m/>
    <s v="CONVICTION"/>
    <s v="Y"/>
    <x v="0"/>
    <x v="0"/>
    <s v="Y"/>
    <n v="0.9907407407407407"/>
    <n v="1"/>
    <n v="9.2592592592593004E-3"/>
    <n v="0"/>
    <n v="-107"/>
    <n v="0"/>
    <n v="107"/>
    <e v="#VALUE!"/>
    <n v="107"/>
    <n v="0"/>
    <n v="0"/>
    <m/>
    <s v="Y"/>
    <m/>
    <s v="91-120 DAYS"/>
    <n v="0"/>
    <x v="0"/>
  </r>
  <r>
    <n v="1319"/>
    <s v="N"/>
    <s v="N"/>
    <n v="1803162"/>
    <n v="6"/>
    <d v="2012-02-17T00:00:00"/>
    <d v="2012-03-28T00:00:00"/>
    <n v="1803162"/>
    <d v="2012-02-18T00:00:00"/>
    <d v="2012-03-28T00:00:00"/>
    <n v="40000"/>
    <x v="2"/>
    <m/>
    <s v="N"/>
    <s v="NONE"/>
    <s v="GUILTY PLEA - NO JURY"/>
    <n v="40"/>
    <n v="41"/>
    <n v="2"/>
    <n v="2"/>
    <m/>
    <m/>
    <m/>
    <m/>
    <m/>
    <m/>
    <m/>
    <m/>
    <m/>
    <d v="1979-07-17T00:00:00"/>
    <s v="M"/>
    <s v="W"/>
    <s v="WHITE"/>
    <s v="NON-HISPANIC"/>
    <s v="178"/>
    <s v="CONVICTED"/>
    <n v="2"/>
    <s v="TDC"/>
    <n v="6"/>
    <m/>
    <m/>
    <s v="BURGLARY OF HABITATION"/>
    <m/>
    <s v="F2"/>
    <s v="BURGLARY"/>
    <m/>
    <m/>
    <m/>
    <m/>
    <m/>
    <m/>
    <m/>
    <m/>
    <m/>
    <s v="Appointed Attorney"/>
    <m/>
    <m/>
    <n v="40"/>
    <n v="40"/>
    <n v="41"/>
    <n v="32.521857923497265"/>
    <n v="0"/>
    <n v="0"/>
    <s v="CONVICTION"/>
    <x v="0"/>
    <s v="N"/>
    <m/>
    <s v="CONVICTION"/>
    <s v="Y"/>
    <x v="0"/>
    <x v="0"/>
    <s v="Y"/>
    <n v="0.97560975609756095"/>
    <n v="1"/>
    <n v="2.4390243902439046E-2"/>
    <n v="0"/>
    <n v="-40"/>
    <n v="0"/>
    <n v="40"/>
    <e v="#VALUE!"/>
    <n v="40"/>
    <n v="0"/>
    <n v="0"/>
    <m/>
    <s v="Y"/>
    <m/>
    <s v="31-60 DAYS"/>
    <n v="3"/>
    <x v="0"/>
  </r>
  <r>
    <n v="1412"/>
    <s v="N"/>
    <s v="N"/>
    <n v="1803259"/>
    <n v="6"/>
    <d v="2012-02-22T00:00:00"/>
    <d v="2012-11-06T00:00:00"/>
    <n v="1803259"/>
    <d v="2012-02-22T00:00:00"/>
    <d v="2012-11-06T00:00:00"/>
    <s v="NO BOND"/>
    <x v="1"/>
    <m/>
    <s v="N"/>
    <s v="NONE"/>
    <s v="GUILTY PLEA - NO JURY"/>
    <n v="259"/>
    <n v="259"/>
    <n v="2"/>
    <n v="1"/>
    <n v="1"/>
    <m/>
    <m/>
    <m/>
    <m/>
    <m/>
    <m/>
    <m/>
    <m/>
    <d v="1977-08-30T00:00:00"/>
    <s v="M"/>
    <s v="B"/>
    <s v="BLACK"/>
    <s v="NON-HISPANIC"/>
    <s v="182"/>
    <s v="CONVICTED"/>
    <n v="11"/>
    <s v="TDC"/>
    <n v="15"/>
    <m/>
    <m/>
    <s v="MAN/DEL CS PG I 200-400 GRAMS"/>
    <m/>
    <s v="F"/>
    <s v="SALE DRUG"/>
    <m/>
    <m/>
    <m/>
    <m/>
    <m/>
    <m/>
    <m/>
    <m/>
    <m/>
    <s v="Hired Attorney"/>
    <m/>
    <m/>
    <n v="259"/>
    <n v="259"/>
    <n v="259"/>
    <n v="34.409836065573771"/>
    <n v="0"/>
    <n v="0"/>
    <s v="CONVICTION"/>
    <x v="0"/>
    <s v="N"/>
    <m/>
    <s v="CONVICTION"/>
    <s v="Y"/>
    <x v="0"/>
    <x v="0"/>
    <s v="Y"/>
    <n v="1"/>
    <n v="1"/>
    <n v="0"/>
    <n v="0"/>
    <n v="-259"/>
    <n v="0"/>
    <n v="259"/>
    <e v="#VALUE!"/>
    <n v="259"/>
    <n v="0"/>
    <n v="0"/>
    <m/>
    <s v="Y"/>
    <m/>
    <s v="121-365 DAYS"/>
    <n v="6"/>
    <x v="0"/>
  </r>
  <r>
    <n v="1073"/>
    <s v="N"/>
    <s v="N"/>
    <n v="1804022"/>
    <n v="6"/>
    <d v="2012-02-09T00:00:00"/>
    <d v="2012-02-13T00:00:00"/>
    <n v="1804022"/>
    <d v="2012-02-10T00:00:00"/>
    <d v="2012-02-13T00:00:00"/>
    <n v="20000"/>
    <x v="0"/>
    <m/>
    <s v="N"/>
    <s v="NONE"/>
    <s v="GUILTY PLEA - NO JURY"/>
    <n v="4"/>
    <n v="5"/>
    <n v="9"/>
    <n v="4"/>
    <n v="7"/>
    <m/>
    <m/>
    <m/>
    <m/>
    <m/>
    <m/>
    <m/>
    <m/>
    <d v="1982-12-22T00:00:00"/>
    <s v="M"/>
    <s v="B"/>
    <s v="BLACK"/>
    <s v="NON-HISPANIC"/>
    <s v="185"/>
    <s v="CONVICTED"/>
    <n v="2"/>
    <s v="TDC"/>
    <n v="6"/>
    <m/>
    <m/>
    <s v="BURGLARY OF HABITATION"/>
    <m/>
    <s v="F2"/>
    <s v="BURGLARY"/>
    <s v="conv fel burg 4/20/12 tdc 5 y"/>
    <m/>
    <m/>
    <m/>
    <m/>
    <m/>
    <m/>
    <m/>
    <m/>
    <s v="Appointed Attorney"/>
    <m/>
    <m/>
    <n v="4"/>
    <n v="4"/>
    <n v="5"/>
    <n v="29.07377049180328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1507"/>
    <s v="N"/>
    <s v="N"/>
    <n v="1804515"/>
    <n v="6"/>
    <d v="2012-02-25T00:00:00"/>
    <d v="2012-05-15T00:00:00"/>
    <n v="1804515"/>
    <d v="2012-02-25T00:00:00"/>
    <d v="2012-02-26T00:00:00"/>
    <n v="10000"/>
    <x v="3"/>
    <d v="2012-02-26T00:00:00"/>
    <s v="Y"/>
    <s v="SURETY"/>
    <s v="GUILTY PLEA - NO JURY"/>
    <n v="2"/>
    <n v="81"/>
    <n v="2"/>
    <n v="5"/>
    <n v="2"/>
    <m/>
    <m/>
    <m/>
    <m/>
    <m/>
    <m/>
    <m/>
    <m/>
    <d v="1980-08-03T00:00:00"/>
    <s v="M"/>
    <s v="B"/>
    <s v="BLACK"/>
    <s v="NON-HISPANIC"/>
    <s v="248"/>
    <s v="CONVICTED"/>
    <n v="2"/>
    <s v="TDC"/>
    <n v="3"/>
    <m/>
    <m/>
    <s v="FELON POSS WPN"/>
    <m/>
    <s v="F3"/>
    <s v="OTHER FEL"/>
    <m/>
    <m/>
    <m/>
    <m/>
    <m/>
    <m/>
    <m/>
    <m/>
    <m/>
    <s v="Hired Attorney"/>
    <m/>
    <m/>
    <n v="2"/>
    <n v="81"/>
    <n v="81"/>
    <n v="31.497267759562842"/>
    <n v="0"/>
    <n v="-79"/>
    <s v="CONVICTION"/>
    <x v="1"/>
    <s v="Y"/>
    <m/>
    <s v="CONVICTION"/>
    <s v="Y"/>
    <x v="1"/>
    <x v="0"/>
    <s v="Y"/>
    <n v="2.4691358024691357E-2"/>
    <n v="2.4691358024691357E-2"/>
    <n v="0"/>
    <n v="0"/>
    <n v="-2"/>
    <n v="0"/>
    <n v="2"/>
    <e v="#VALUE!"/>
    <n v="2"/>
    <n v="0"/>
    <n v="79"/>
    <m/>
    <s v="Y"/>
    <m/>
    <s v="0-10 DAYS"/>
    <n v="1"/>
    <x v="0"/>
  </r>
  <r>
    <n v="1262"/>
    <s v="N"/>
    <s v="N"/>
    <n v="1804700"/>
    <n v="6"/>
    <d v="2012-02-16T00:00:00"/>
    <d v="2012-05-11T00:00:00"/>
    <n v="1804700"/>
    <s v="NOT BOOKED"/>
    <s v="NOT BOOKED"/>
    <n v="10000"/>
    <x v="3"/>
    <d v="2012-02-17T00:00:00"/>
    <s v="Y"/>
    <s v="SURETY"/>
    <s v="GUILTY PLEA - NO JURY"/>
    <n v="0"/>
    <n v="86"/>
    <n v="2"/>
    <n v="1"/>
    <n v="2"/>
    <m/>
    <m/>
    <m/>
    <m/>
    <m/>
    <m/>
    <s v="S"/>
    <m/>
    <d v="1983-07-06T00:00:00"/>
    <s v="M"/>
    <s v="H"/>
    <s v="HISPANIC"/>
    <s v="NULL"/>
    <s v="262"/>
    <s v="CONVICTED"/>
    <n v="4"/>
    <s v="TDC"/>
    <n v="2"/>
    <m/>
    <m/>
    <s v="FELON POSS WPN"/>
    <m/>
    <s v="F3"/>
    <s v="OTHER FEL"/>
    <m/>
    <m/>
    <m/>
    <m/>
    <m/>
    <m/>
    <m/>
    <m/>
    <m/>
    <s v="Hired Attorney"/>
    <m/>
    <m/>
    <n v="0"/>
    <n v="0"/>
    <n v="86"/>
    <n v="28.557377049180328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39"/>
    <s v="N"/>
    <s v="N"/>
    <n v="1805419"/>
    <n v="6"/>
    <d v="2012-01-11T00:00:00"/>
    <d v="2012-10-30T00:00:00"/>
    <n v="1805419"/>
    <d v="2012-01-11T00:00:00"/>
    <d v="2012-10-30T00:00:00"/>
    <s v="NO BOND"/>
    <x v="1"/>
    <m/>
    <s v="N"/>
    <s v="NONE"/>
    <s v="GUILTY PLEA - NO JURY"/>
    <n v="294"/>
    <n v="294"/>
    <n v="8"/>
    <n v="3"/>
    <n v="10"/>
    <m/>
    <m/>
    <m/>
    <m/>
    <m/>
    <m/>
    <m/>
    <m/>
    <d v="1982-07-17T00:00:00"/>
    <s v="M"/>
    <s v="B"/>
    <s v="BLACK"/>
    <s v="NULL"/>
    <s v="228"/>
    <s v="CONVICTED"/>
    <n v="7"/>
    <s v="TDC"/>
    <n v="2"/>
    <m/>
    <m/>
    <s v="POSS CS PG 1  1 - 4 GRAMS"/>
    <m/>
    <s v="F3"/>
    <s v="POSS DRUG"/>
    <s v="11/15/12 f theft hcj"/>
    <m/>
    <m/>
    <m/>
    <m/>
    <m/>
    <m/>
    <m/>
    <m/>
    <s v="Public Defender"/>
    <m/>
    <m/>
    <n v="294"/>
    <n v="294"/>
    <n v="294"/>
    <n v="29.42622950819672"/>
    <n v="0"/>
    <n v="0"/>
    <s v="CONVICTION"/>
    <x v="0"/>
    <s v="N"/>
    <m/>
    <s v="CONVICTION"/>
    <s v="Y"/>
    <x v="0"/>
    <x v="0"/>
    <s v="Y"/>
    <n v="1"/>
    <n v="1"/>
    <n v="0"/>
    <n v="0"/>
    <n v="-294"/>
    <n v="0"/>
    <n v="294"/>
    <e v="#VALUE!"/>
    <n v="294"/>
    <n v="0"/>
    <n v="0"/>
    <m/>
    <s v="Y"/>
    <m/>
    <s v="121-365 DAYS"/>
    <n v="6"/>
    <x v="0"/>
  </r>
  <r>
    <n v="434"/>
    <s v="N"/>
    <s v="N"/>
    <n v="1805685"/>
    <n v="6"/>
    <d v="2012-01-18T00:00:00"/>
    <d v="2012-11-19T00:00:00"/>
    <n v="1805685"/>
    <d v="2012-05-23T00:00:00"/>
    <d v="2012-11-19T00:00:00"/>
    <s v="NO BOND"/>
    <x v="1"/>
    <m/>
    <s v="N"/>
    <s v="NONE"/>
    <s v="GUILTY PLEA - NO JURY"/>
    <n v="181"/>
    <n v="307"/>
    <n v="2"/>
    <n v="2"/>
    <n v="2"/>
    <m/>
    <m/>
    <m/>
    <m/>
    <m/>
    <m/>
    <m/>
    <m/>
    <d v="1982-08-18T00:00:00"/>
    <s v="M"/>
    <s v="W"/>
    <s v="WHITE"/>
    <s v="NULL"/>
    <s v="183"/>
    <s v="CONVICTED"/>
    <n v="8"/>
    <s v="TDC"/>
    <n v="4"/>
    <m/>
    <m/>
    <s v="AGG ROBBERY-OVER 65 OR DISABLE"/>
    <m/>
    <s v="F1"/>
    <s v="ROBBERY"/>
    <m/>
    <m/>
    <m/>
    <m/>
    <m/>
    <m/>
    <m/>
    <m/>
    <m/>
    <s v="Appointed Attorney"/>
    <m/>
    <m/>
    <n v="181"/>
    <n v="181"/>
    <n v="307"/>
    <n v="29.357923497267759"/>
    <n v="0"/>
    <n v="0"/>
    <s v="CONVICTION"/>
    <x v="0"/>
    <s v="N"/>
    <m/>
    <s v="CONVICTION"/>
    <s v="Y"/>
    <x v="0"/>
    <x v="0"/>
    <s v="Y"/>
    <n v="0.5895765472312704"/>
    <n v="1"/>
    <n v="0.4104234527687296"/>
    <n v="0"/>
    <n v="-181"/>
    <n v="0"/>
    <n v="181"/>
    <e v="#VALUE!"/>
    <n v="181"/>
    <n v="0"/>
    <n v="0"/>
    <m/>
    <s v="Y"/>
    <m/>
    <s v="121-365 DAYS"/>
    <n v="6"/>
    <x v="0"/>
  </r>
  <r>
    <n v="1274"/>
    <s v="N"/>
    <s v="N"/>
    <n v="1807035"/>
    <n v="5"/>
    <d v="2012-02-16T00:00:00"/>
    <d v="2012-02-20T00:00:00"/>
    <n v="1807035"/>
    <d v="2012-02-16T00:00:00"/>
    <d v="2012-02-20T00:00:00"/>
    <n v="15000"/>
    <x v="0"/>
    <m/>
    <s v="N"/>
    <s v="NONE"/>
    <s v="GUILTY PLEA - NO JURY"/>
    <n v="5"/>
    <n v="5"/>
    <n v="3"/>
    <n v="1"/>
    <m/>
    <m/>
    <m/>
    <m/>
    <m/>
    <m/>
    <m/>
    <m/>
    <m/>
    <d v="1980-10-21T00:00:00"/>
    <s v="M"/>
    <s v="B"/>
    <s v="BLACK"/>
    <s v="NON-HISPANIC"/>
    <s v="232"/>
    <s v="CONVICTED"/>
    <n v="1"/>
    <s v="STJ"/>
    <m/>
    <n v="9"/>
    <m/>
    <s v="POSS CS PG 1 &lt;1G"/>
    <m/>
    <s v="FS"/>
    <s v="POSS DRUG"/>
    <m/>
    <m/>
    <m/>
    <m/>
    <m/>
    <m/>
    <m/>
    <m/>
    <m/>
    <s v="Appointed Attorney"/>
    <m/>
    <m/>
    <n v="5"/>
    <n v="5"/>
    <n v="5"/>
    <n v="31.256830601092897"/>
    <n v="0"/>
    <n v="0"/>
    <s v="CONVICTION"/>
    <x v="0"/>
    <s v="N"/>
    <m/>
    <s v="CONVICTION"/>
    <s v="Y"/>
    <x v="0"/>
    <x v="0"/>
    <s v="Y"/>
    <n v="1"/>
    <n v="1"/>
    <n v="0"/>
    <n v="0"/>
    <n v="-5"/>
    <n v="0"/>
    <n v="5"/>
    <e v="#VALUE!"/>
    <n v="5"/>
    <n v="0"/>
    <n v="0"/>
    <m/>
    <s v="Y"/>
    <m/>
    <s v="0-10 DAYS"/>
    <n v="1"/>
    <x v="0"/>
  </r>
  <r>
    <n v="1655"/>
    <s v="N"/>
    <s v="N"/>
    <n v="1807387"/>
    <n v="6"/>
    <d v="2012-03-01T00:00:00"/>
    <d v="2012-04-25T00:00:00"/>
    <n v="1807387"/>
    <d v="2012-02-05T00:00:00"/>
    <d v="2012-03-10T00:00:00"/>
    <n v="20000"/>
    <x v="0"/>
    <d v="2012-03-10T00:00:00"/>
    <s v="Y"/>
    <s v="SURETY"/>
    <s v="GUILTY PLEA - NO JURY"/>
    <n v="35"/>
    <n v="56"/>
    <n v="3"/>
    <n v="3"/>
    <n v="1"/>
    <m/>
    <m/>
    <m/>
    <m/>
    <m/>
    <m/>
    <m/>
    <m/>
    <d v="1983-03-17T00:00:00"/>
    <s v="F"/>
    <s v="B"/>
    <s v="BLACK"/>
    <s v="NON-HISPANIC"/>
    <s v="174"/>
    <s v="CONVICTED"/>
    <n v="4"/>
    <s v="TDC"/>
    <n v="3"/>
    <m/>
    <m/>
    <s v="BURGLARY OF HABITATION"/>
    <m/>
    <s v="F2"/>
    <s v="BURGLARY"/>
    <m/>
    <m/>
    <m/>
    <m/>
    <m/>
    <m/>
    <m/>
    <m/>
    <m/>
    <s v="Appointed Attorney"/>
    <m/>
    <m/>
    <n v="35"/>
    <n v="81"/>
    <n v="56"/>
    <n v="28.898907103825138"/>
    <n v="0"/>
    <n v="-46"/>
    <s v="CONVICTION"/>
    <x v="1"/>
    <s v="Y"/>
    <m/>
    <s v="CONVICTION"/>
    <s v="Y"/>
    <x v="1"/>
    <x v="0"/>
    <s v="Y"/>
    <n v="0.625"/>
    <n v="0.625"/>
    <n v="0"/>
    <n v="0"/>
    <n v="-35"/>
    <n v="0"/>
    <n v="35"/>
    <e v="#VALUE!"/>
    <n v="35"/>
    <n v="0"/>
    <n v="46"/>
    <m/>
    <s v="Y"/>
    <m/>
    <s v="31-60 DAYS"/>
    <n v="3"/>
    <x v="0"/>
  </r>
  <r>
    <n v="1416"/>
    <s v="N"/>
    <s v="N"/>
    <n v="1809803"/>
    <n v="6"/>
    <d v="2012-02-22T00:00:00"/>
    <d v="2013-10-22T00:00:00"/>
    <n v="1809803"/>
    <d v="2012-02-22T00:00:00"/>
    <d v="2012-02-25T00:00:00"/>
    <n v="200000"/>
    <x v="2"/>
    <d v="2012-02-25T00:00:00"/>
    <s v="Y"/>
    <s v="SURETY"/>
    <s v="GUILTY PLEA - NO JURY"/>
    <n v="4"/>
    <n v="609"/>
    <n v="0"/>
    <n v="4"/>
    <m/>
    <m/>
    <m/>
    <m/>
    <m/>
    <m/>
    <m/>
    <m/>
    <m/>
    <d v="1981-12-08T00:00:00"/>
    <s v="M"/>
    <s v="H"/>
    <s v="HISPANIC"/>
    <s v="HISPANIC"/>
    <s v="184"/>
    <s v="CONVICTED"/>
    <n v="20"/>
    <s v="TDC"/>
    <n v="4"/>
    <m/>
    <m/>
    <s v="POSS MARIJ  5 - 50 LBS."/>
    <m/>
    <s v="F3"/>
    <s v="POSS DRUG"/>
    <m/>
    <m/>
    <m/>
    <m/>
    <m/>
    <m/>
    <m/>
    <m/>
    <m/>
    <s v="Hired Attorney"/>
    <m/>
    <m/>
    <n v="4"/>
    <n v="609"/>
    <n v="609"/>
    <n v="30.144808743169399"/>
    <n v="0"/>
    <n v="-605"/>
    <s v="CONVICTION"/>
    <x v="1"/>
    <s v="N"/>
    <m/>
    <s v="CONVICTION"/>
    <s v="Y"/>
    <x v="1"/>
    <x v="0"/>
    <s v="N"/>
    <n v="6.5681444991789817E-3"/>
    <n v="6.5681444991789817E-3"/>
    <n v="0"/>
    <n v="0"/>
    <n v="-4"/>
    <n v="0"/>
    <n v="4"/>
    <n v="4"/>
    <n v="4"/>
    <n v="0"/>
    <n v="605"/>
    <m/>
    <s v="Y"/>
    <m/>
    <s v="0-10 DAYS"/>
    <n v="1"/>
    <x v="0"/>
  </r>
  <r>
    <n v="2714"/>
    <s v="N"/>
    <s v="N"/>
    <n v="1810194"/>
    <n v="5"/>
    <d v="2012-04-10T00:00:00"/>
    <d v="2012-04-13T00:00:00"/>
    <n v="1810194"/>
    <d v="2012-04-11T00:00:00"/>
    <d v="2012-04-13T00:00:00"/>
    <n v="15000"/>
    <x v="0"/>
    <m/>
    <s v="N"/>
    <s v="NONE"/>
    <s v="GUILTY PLEA - NO JURY"/>
    <n v="3"/>
    <n v="4"/>
    <n v="2"/>
    <n v="2"/>
    <n v="2"/>
    <m/>
    <m/>
    <m/>
    <m/>
    <m/>
    <m/>
    <m/>
    <m/>
    <d v="1979-10-23T00:00:00"/>
    <s v="M"/>
    <s v="B"/>
    <s v="BLACK"/>
    <s v="NULL"/>
    <s v="180"/>
    <s v="CONVICTED"/>
    <n v="2"/>
    <s v="STJ"/>
    <m/>
    <n v="12"/>
    <m/>
    <s v="UNAUTH USE OF VEHICLE"/>
    <m/>
    <s v="FS"/>
    <s v="AUTO THEFT"/>
    <m/>
    <m/>
    <m/>
    <m/>
    <m/>
    <m/>
    <m/>
    <m/>
    <m/>
    <s v="Appointed Attorney"/>
    <m/>
    <m/>
    <n v="3"/>
    <n v="3"/>
    <n v="4"/>
    <n v="32.398907103825138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1478"/>
    <s v="N"/>
    <s v="N"/>
    <n v="1810517"/>
    <n v="5"/>
    <d v="2012-02-24T00:00:00"/>
    <d v="2012-02-27T00:00:00"/>
    <n v="1810517"/>
    <d v="2012-02-24T00:00:00"/>
    <d v="2012-02-27T00:00:00"/>
    <n v="45000"/>
    <x v="2"/>
    <m/>
    <s v="N"/>
    <s v="NONE"/>
    <s v="GUILTY PLEA - NO JURY"/>
    <n v="4"/>
    <n v="4"/>
    <n v="3"/>
    <n v="2"/>
    <n v="1"/>
    <m/>
    <m/>
    <m/>
    <m/>
    <m/>
    <m/>
    <m/>
    <m/>
    <d v="1983-02-14T00:00:00"/>
    <s v="F"/>
    <s v="B"/>
    <s v="BLACK"/>
    <s v="NULL"/>
    <s v="263"/>
    <s v="CONVICTED"/>
    <n v="1"/>
    <s v="STJ"/>
    <m/>
    <n v="9"/>
    <m/>
    <s v="THEFT UNDER $1500 - 3RD OFF."/>
    <m/>
    <s v="FS"/>
    <s v="THEFT"/>
    <m/>
    <m/>
    <m/>
    <m/>
    <m/>
    <m/>
    <m/>
    <m/>
    <m/>
    <s v="Appointed Attorney"/>
    <m/>
    <m/>
    <n v="4"/>
    <n v="4"/>
    <n v="4"/>
    <n v="28.967213114754099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1202"/>
    <s v="N"/>
    <s v="Y"/>
    <n v="1812244"/>
    <n v="3"/>
    <d v="2012-02-14T00:00:00"/>
    <d v="2012-04-03T00:00:00"/>
    <n v="1812244"/>
    <d v="2012-02-14T00:00:00"/>
    <d v="2012-02-15T00:00:00"/>
    <n v="12000"/>
    <x v="0"/>
    <d v="2012-02-15T00:00:00"/>
    <s v="Y"/>
    <s v="SURETYPTRc"/>
    <s v="GUILTY PLEA - NO JURY"/>
    <n v="29"/>
    <n v="50"/>
    <n v="0"/>
    <n v="3"/>
    <m/>
    <m/>
    <m/>
    <m/>
    <m/>
    <m/>
    <m/>
    <m/>
    <m/>
    <d v="1980-09-19T00:00:00"/>
    <s v="F"/>
    <s v="W"/>
    <s v="WHITE"/>
    <s v="NON-HISPANIC"/>
    <s v="248"/>
    <s v="CONVICTED"/>
    <n v="3"/>
    <s v="PROBATION"/>
    <m/>
    <m/>
    <m/>
    <s v="POSS CS PG 2 &lt;1GRAM"/>
    <m/>
    <s v="FS"/>
    <s v="POSS DRUG"/>
    <m/>
    <s v="revoked 2/29/12"/>
    <m/>
    <m/>
    <s v="Y"/>
    <m/>
    <m/>
    <m/>
    <m/>
    <s v="Hired Attorney"/>
    <m/>
    <m/>
    <n v="29"/>
    <n v="50"/>
    <n v="50"/>
    <n v="31.338797814207652"/>
    <n v="0"/>
    <n v="-48"/>
    <s v="CONVICTION"/>
    <x v="1"/>
    <s v="Y"/>
    <m/>
    <s v="CONVICTION"/>
    <s v="Y"/>
    <x v="0"/>
    <x v="0"/>
    <s v="N"/>
    <n v="0.57999999999999996"/>
    <n v="0.04"/>
    <n v="-0.53999999999999992"/>
    <n v="0"/>
    <n v="-2"/>
    <n v="27"/>
    <n v="50"/>
    <n v="29"/>
    <n v="50"/>
    <n v="48"/>
    <n v="48"/>
    <m/>
    <s v="Y"/>
    <m/>
    <s v="11-30 DAYS"/>
    <n v="2"/>
    <x v="0"/>
  </r>
  <r>
    <n v="1601"/>
    <s v="N"/>
    <s v="N"/>
    <n v="1812245"/>
    <n v="6"/>
    <d v="2012-02-29T00:00:00"/>
    <d v="2012-04-25T00:00:00"/>
    <n v="1812245"/>
    <d v="2012-02-29T00:00:00"/>
    <d v="2012-04-25T00:00:00"/>
    <n v="20000"/>
    <x v="0"/>
    <m/>
    <s v="N"/>
    <s v="NONE"/>
    <s v="GUILTY PLEA - NO JURY"/>
    <n v="57"/>
    <n v="57"/>
    <n v="3"/>
    <n v="0"/>
    <n v="1"/>
    <m/>
    <m/>
    <m/>
    <m/>
    <m/>
    <m/>
    <m/>
    <m/>
    <d v="1982-08-05T00:00:00"/>
    <s v="M"/>
    <s v="H"/>
    <s v="HISPANIC"/>
    <s v="HISPANIC"/>
    <s v="183"/>
    <s v="CONVICTED"/>
    <n v="4"/>
    <s v="TDC"/>
    <n v="3"/>
    <m/>
    <m/>
    <s v="POSS CS PG 1  1 - 4 GRAMS"/>
    <m/>
    <s v="F3"/>
    <s v="POSS DRUG"/>
    <m/>
    <m/>
    <m/>
    <m/>
    <m/>
    <m/>
    <m/>
    <m/>
    <m/>
    <s v="Appointed Attorney"/>
    <m/>
    <m/>
    <n v="57"/>
    <n v="57"/>
    <n v="57"/>
    <n v="29.508196721311474"/>
    <n v="0"/>
    <n v="0"/>
    <s v="CONVICTION"/>
    <x v="0"/>
    <s v="N"/>
    <m/>
    <s v="CONVICTION"/>
    <s v="Y"/>
    <x v="0"/>
    <x v="0"/>
    <s v="Y"/>
    <n v="1"/>
    <n v="1"/>
    <n v="0"/>
    <n v="0"/>
    <n v="-57"/>
    <n v="0"/>
    <n v="57"/>
    <e v="#VALUE!"/>
    <n v="57"/>
    <n v="0"/>
    <n v="0"/>
    <m/>
    <s v="Y"/>
    <m/>
    <s v="31-60 DAYS"/>
    <n v="3"/>
    <x v="0"/>
  </r>
  <r>
    <n v="3209"/>
    <s v="N"/>
    <s v="N"/>
    <n v="1813392"/>
    <n v="6"/>
    <d v="2012-04-28T00:00:00"/>
    <d v="2012-06-27T00:00:00"/>
    <n v="1813392"/>
    <d v="2012-04-28T00:00:00"/>
    <d v="2012-06-27T00:00:00"/>
    <n v="20000"/>
    <x v="0"/>
    <m/>
    <s v="N"/>
    <s v="NONE"/>
    <s v="GUILTY PLEA - NO JURY"/>
    <n v="61"/>
    <n v="61"/>
    <n v="0"/>
    <n v="1"/>
    <m/>
    <m/>
    <m/>
    <m/>
    <m/>
    <m/>
    <m/>
    <m/>
    <m/>
    <d v="1982-02-15T00:00:00"/>
    <s v="M"/>
    <s v="W"/>
    <s v="WHITE"/>
    <s v="NON-HISPANIC"/>
    <s v="208"/>
    <s v="CONVICTED"/>
    <n v="3"/>
    <s v="TDC"/>
    <n v="3"/>
    <m/>
    <m/>
    <s v="POSS W/INT DEL CS PG1&gt;=4 &lt;200"/>
    <m/>
    <s v="F1"/>
    <s v="SALE DRUG"/>
    <m/>
    <m/>
    <m/>
    <m/>
    <m/>
    <m/>
    <m/>
    <m/>
    <m/>
    <s v="Appointed Attorney"/>
    <m/>
    <m/>
    <n v="61"/>
    <n v="61"/>
    <n v="61"/>
    <n v="30.136612021857925"/>
    <n v="0"/>
    <n v="0"/>
    <s v="CONVICTION"/>
    <x v="0"/>
    <s v="N"/>
    <m/>
    <s v="CONVICTION"/>
    <s v="Y"/>
    <x v="0"/>
    <x v="0"/>
    <s v="N"/>
    <n v="1"/>
    <n v="1"/>
    <n v="0"/>
    <n v="0"/>
    <n v="-61"/>
    <n v="0"/>
    <n v="61"/>
    <e v="#VALUE!"/>
    <n v="61"/>
    <n v="0"/>
    <n v="0"/>
    <m/>
    <s v="Y"/>
    <m/>
    <s v="61-90 DAYS"/>
    <n v="4"/>
    <x v="0"/>
  </r>
  <r>
    <n v="2487"/>
    <s v="N"/>
    <s v="N"/>
    <n v="1813451"/>
    <n v="4"/>
    <d v="2012-04-03T00:00:00"/>
    <d v="2012-04-09T00:00:00"/>
    <n v="1813451"/>
    <d v="2012-04-04T00:00:00"/>
    <d v="2012-04-09T00:00:00"/>
    <n v="30000"/>
    <x v="2"/>
    <m/>
    <s v="N"/>
    <s v="NONE"/>
    <s v="GUILTY PLEA - NO JURY"/>
    <n v="6"/>
    <n v="7"/>
    <n v="3"/>
    <n v="2"/>
    <n v="2"/>
    <m/>
    <m/>
    <m/>
    <m/>
    <m/>
    <m/>
    <m/>
    <m/>
    <d v="1982-08-17T00:00:00"/>
    <s v="F"/>
    <s v="W"/>
    <s v="WHITE"/>
    <s v="NON-HISPANIC"/>
    <s v="177"/>
    <s v="CONVICTED"/>
    <n v="2"/>
    <s v="HCJ"/>
    <m/>
    <m/>
    <n v="180"/>
    <s v="POSS CS PG 1 &lt;1G"/>
    <m/>
    <s v="FS"/>
    <s v="POSS DRUG"/>
    <s v="8/24/12 fel prost 7mos stj"/>
    <m/>
    <m/>
    <m/>
    <m/>
    <m/>
    <m/>
    <m/>
    <m/>
    <s v="Appointed Attorney"/>
    <m/>
    <m/>
    <n v="6"/>
    <n v="6"/>
    <n v="7"/>
    <n v="29.568306010928961"/>
    <n v="0"/>
    <n v="0"/>
    <s v="CONVICTION"/>
    <x v="0"/>
    <s v="N"/>
    <m/>
    <s v="CONVICTION"/>
    <s v="Y"/>
    <x v="0"/>
    <x v="0"/>
    <s v="Y"/>
    <n v="0.8571428571428571"/>
    <n v="1"/>
    <n v="0.1428571428571429"/>
    <n v="0"/>
    <n v="-6"/>
    <n v="0"/>
    <n v="6"/>
    <e v="#VALUE!"/>
    <n v="6"/>
    <n v="0"/>
    <n v="0"/>
    <m/>
    <s v="Y"/>
    <m/>
    <s v="0-10 DAYS"/>
    <n v="1"/>
    <x v="0"/>
  </r>
  <r>
    <n v="906"/>
    <s v="N"/>
    <s v="N"/>
    <n v="1814533"/>
    <n v="1"/>
    <d v="2012-02-03T00:00:00"/>
    <d v="2012-08-10T00:00:00"/>
    <n v="1814533"/>
    <d v="2012-02-22T00:00:00"/>
    <d v="2012-02-24T00:00:00"/>
    <n v="20000"/>
    <x v="0"/>
    <d v="2012-02-24T00:00:00"/>
    <s v="Y"/>
    <s v="SURETY"/>
    <s v="DISMISSED"/>
    <n v="3"/>
    <n v="190"/>
    <n v="1"/>
    <n v="0"/>
    <n v="1"/>
    <m/>
    <m/>
    <m/>
    <m/>
    <m/>
    <m/>
    <m/>
    <m/>
    <d v="1948-12-22T00:00:00"/>
    <s v="M"/>
    <s v="W"/>
    <s v="WHITE"/>
    <s v="NON-HISPANIC"/>
    <s v="178"/>
    <s v="DISMISSED"/>
    <n v="8"/>
    <s v="DISMISSED"/>
    <m/>
    <m/>
    <m/>
    <s v="FAIL COMPLY SEX OFFENDER REGIS"/>
    <m/>
    <s v="F2"/>
    <s v="OTHER FEL"/>
    <m/>
    <m/>
    <m/>
    <m/>
    <m/>
    <m/>
    <m/>
    <m/>
    <m/>
    <s v="Hired Attorney"/>
    <m/>
    <m/>
    <n v="3"/>
    <n v="171"/>
    <n v="190"/>
    <n v="62.986338797814206"/>
    <n v="0"/>
    <n v="-168"/>
    <s v="NO CONVICTION"/>
    <x v="1"/>
    <s v="Y"/>
    <m/>
    <s v="NO CONVICTION"/>
    <s v="Y"/>
    <x v="1"/>
    <x v="0"/>
    <s v="Y"/>
    <n v="1.5789473684210527E-2"/>
    <n v="1.7543859649122806E-2"/>
    <n v="1.7543859649122792E-3"/>
    <n v="0"/>
    <n v="-3"/>
    <n v="0"/>
    <n v="3"/>
    <e v="#VALUE!"/>
    <n v="3"/>
    <n v="0"/>
    <n v="168"/>
    <m/>
    <s v="Y"/>
    <m/>
    <s v="0-10 DAYS"/>
    <n v="1"/>
    <x v="0"/>
  </r>
  <r>
    <n v="2434"/>
    <s v="N"/>
    <s v="N"/>
    <n v="1816820"/>
    <n v="4"/>
    <d v="2012-04-01T00:00:00"/>
    <d v="2012-09-14T00:00:00"/>
    <n v="1816820"/>
    <d v="2012-04-02T00:00:00"/>
    <d v="2012-09-14T00:00:00"/>
    <n v="30000"/>
    <x v="2"/>
    <m/>
    <s v="N"/>
    <s v="NONE"/>
    <s v="GUILTY PLEA - NO JURY"/>
    <n v="166"/>
    <n v="167"/>
    <n v="5"/>
    <n v="3"/>
    <n v="1"/>
    <m/>
    <m/>
    <m/>
    <m/>
    <m/>
    <m/>
    <m/>
    <m/>
    <d v="1978-09-24T00:00:00"/>
    <s v="M"/>
    <s v="B"/>
    <s v="BLACK"/>
    <s v="NULL"/>
    <s v="263"/>
    <s v="CONVICTED"/>
    <n v="8"/>
    <s v="HCJ"/>
    <m/>
    <m/>
    <n v="365"/>
    <s v="AGG ASSAULT-FAMILY MEMBER"/>
    <m/>
    <s v="F2"/>
    <s v="ASLT-MURDR"/>
    <m/>
    <m/>
    <m/>
    <m/>
    <m/>
    <m/>
    <m/>
    <m/>
    <m/>
    <s v="Appointed Attorney"/>
    <m/>
    <m/>
    <n v="166"/>
    <n v="166"/>
    <n v="167"/>
    <n v="33.450819672131146"/>
    <n v="0"/>
    <n v="0"/>
    <s v="CONVICTION"/>
    <x v="0"/>
    <s v="N"/>
    <m/>
    <s v="CONVICTION"/>
    <s v="Y"/>
    <x v="0"/>
    <x v="0"/>
    <s v="Y"/>
    <n v="0.99401197604790414"/>
    <n v="1"/>
    <n v="5.9880239520958556E-3"/>
    <n v="0"/>
    <n v="-166"/>
    <n v="0"/>
    <n v="166"/>
    <e v="#VALUE!"/>
    <n v="166"/>
    <n v="0"/>
    <n v="0"/>
    <m/>
    <s v="Y"/>
    <m/>
    <s v="121-365 DAYS"/>
    <n v="6"/>
    <x v="0"/>
  </r>
  <r>
    <n v="2583"/>
    <s v="N"/>
    <s v="N"/>
    <n v="1816922"/>
    <n v="6"/>
    <d v="2012-04-06T00:00:00"/>
    <d v="2012-09-21T00:00:00"/>
    <n v="1816922"/>
    <d v="2012-04-06T00:00:00"/>
    <d v="2012-09-21T00:00:00"/>
    <n v="20000"/>
    <x v="0"/>
    <m/>
    <s v="N"/>
    <s v="NONE"/>
    <s v="GUILTY PLEA - NO JURY"/>
    <n v="169"/>
    <n v="169"/>
    <n v="4"/>
    <n v="2"/>
    <n v="1"/>
    <m/>
    <m/>
    <m/>
    <m/>
    <m/>
    <m/>
    <m/>
    <m/>
    <d v="1983-07-19T00:00:00"/>
    <s v="M"/>
    <s v="B"/>
    <s v="BLACK"/>
    <s v="NON-HISPANIC"/>
    <s v="262"/>
    <s v="CONVICTED"/>
    <n v="7"/>
    <s v="TDC"/>
    <n v="10"/>
    <m/>
    <m/>
    <s v="BURGLARY OF HABITATION"/>
    <m/>
    <s v="F2"/>
    <s v="BURGLARY"/>
    <m/>
    <m/>
    <m/>
    <m/>
    <m/>
    <m/>
    <m/>
    <m/>
    <m/>
    <s v="Appointed Attorney"/>
    <m/>
    <m/>
    <n v="169"/>
    <n v="169"/>
    <n v="169"/>
    <n v="28.65846994535519"/>
    <n v="0"/>
    <n v="0"/>
    <s v="CONVICTION"/>
    <x v="0"/>
    <s v="N"/>
    <m/>
    <s v="CONVICTION"/>
    <s v="Y"/>
    <x v="0"/>
    <x v="0"/>
    <s v="Y"/>
    <n v="1"/>
    <n v="1"/>
    <n v="0"/>
    <n v="0"/>
    <n v="-169"/>
    <n v="0"/>
    <n v="169"/>
    <e v="#VALUE!"/>
    <n v="169"/>
    <n v="0"/>
    <n v="0"/>
    <m/>
    <s v="Y"/>
    <m/>
    <s v="121-365 DAYS"/>
    <n v="6"/>
    <x v="0"/>
  </r>
  <r>
    <n v="421"/>
    <s v="N"/>
    <s v="N"/>
    <n v="1817080"/>
    <n v="1"/>
    <d v="2012-01-18T00:00:00"/>
    <d v="2012-11-07T00:00:00"/>
    <n v="1817080"/>
    <d v="2012-07-11T00:00:00"/>
    <d v="2012-11-07T00:00:00"/>
    <n v="30000"/>
    <x v="2"/>
    <m/>
    <s v="N"/>
    <s v="NONE"/>
    <s v="DISMISSED"/>
    <n v="120"/>
    <n v="295"/>
    <n v="1"/>
    <n v="1"/>
    <n v="1"/>
    <m/>
    <m/>
    <m/>
    <m/>
    <m/>
    <m/>
    <m/>
    <m/>
    <d v="1981-08-06T00:00:00"/>
    <s v="M"/>
    <s v="B"/>
    <s v="BLACK"/>
    <s v="NON-HISPANIC"/>
    <s v="178"/>
    <s v="DISMISSED"/>
    <n v="6"/>
    <s v="DISMISSED"/>
    <m/>
    <m/>
    <m/>
    <s v="AGG ROBBERY-DEADLY WPN"/>
    <m/>
    <s v="F1"/>
    <s v="ROBBERY"/>
    <m/>
    <m/>
    <m/>
    <m/>
    <m/>
    <m/>
    <m/>
    <m/>
    <m/>
    <s v="Appointed Attorney"/>
    <m/>
    <m/>
    <n v="120"/>
    <n v="120"/>
    <n v="295"/>
    <n v="30.387978142076502"/>
    <n v="0"/>
    <n v="0"/>
    <s v="NO CONVICTION"/>
    <x v="0"/>
    <s v="N"/>
    <m/>
    <s v="NO CONVICTION"/>
    <s v="Y"/>
    <x v="0"/>
    <x v="0"/>
    <s v="Y"/>
    <n v="0.40677966101694918"/>
    <n v="1"/>
    <n v="0.59322033898305082"/>
    <n v="0"/>
    <n v="-120"/>
    <n v="0"/>
    <n v="120"/>
    <e v="#VALUE!"/>
    <n v="120"/>
    <n v="0"/>
    <n v="0"/>
    <m/>
    <s v="Y"/>
    <m/>
    <s v="91-120 DAYS"/>
    <n v="0"/>
    <x v="0"/>
  </r>
  <r>
    <n v="2305"/>
    <s v="N"/>
    <s v="N"/>
    <n v="1817184"/>
    <n v="6"/>
    <d v="2012-03-28T00:00:00"/>
    <d v="2012-06-28T00:00:00"/>
    <n v="1817184"/>
    <d v="2012-03-28T00:00:00"/>
    <d v="2012-06-28T00:00:00"/>
    <s v="NO BOND"/>
    <x v="1"/>
    <m/>
    <s v="N"/>
    <s v="NONE"/>
    <s v="GUILTY PLEA - NO JURY"/>
    <n v="93"/>
    <n v="93"/>
    <n v="5"/>
    <n v="5"/>
    <n v="3"/>
    <m/>
    <m/>
    <m/>
    <m/>
    <m/>
    <m/>
    <m/>
    <m/>
    <d v="1979-06-23T00:00:00"/>
    <s v="M"/>
    <s v="B"/>
    <s v="BLACK"/>
    <s v="NULL"/>
    <s v="174"/>
    <s v="CONVICTED"/>
    <n v="4"/>
    <s v="TDC"/>
    <n v="3"/>
    <m/>
    <m/>
    <s v="POSS CS PG 1 &lt;1G"/>
    <m/>
    <s v="FS"/>
    <s v="POSS DRUG"/>
    <m/>
    <m/>
    <m/>
    <m/>
    <m/>
    <m/>
    <m/>
    <m/>
    <m/>
    <s v="Hired Attorney"/>
    <m/>
    <m/>
    <n v="93"/>
    <n v="93"/>
    <n v="93"/>
    <n v="32.696721311475407"/>
    <n v="0"/>
    <n v="0"/>
    <s v="CONVICTION"/>
    <x v="0"/>
    <s v="N"/>
    <m/>
    <s v="CONVICTION"/>
    <s v="Y"/>
    <x v="0"/>
    <x v="0"/>
    <s v="Y"/>
    <n v="1"/>
    <n v="1"/>
    <n v="0"/>
    <n v="0"/>
    <n v="-93"/>
    <n v="0"/>
    <n v="93"/>
    <e v="#VALUE!"/>
    <n v="93"/>
    <n v="0"/>
    <n v="0"/>
    <m/>
    <s v="Y"/>
    <m/>
    <s v="91-120 DAYS"/>
    <n v="0"/>
    <x v="0"/>
  </r>
  <r>
    <n v="1402"/>
    <s v="N"/>
    <s v="N"/>
    <n v="1817759"/>
    <n v="5"/>
    <d v="2012-02-21T00:00:00"/>
    <d v="2012-05-30T00:00:00"/>
    <n v="1817759"/>
    <d v="2012-02-22T00:00:00"/>
    <d v="2012-02-24T00:00:00"/>
    <n v="15000"/>
    <x v="0"/>
    <d v="2012-02-24T00:00:00"/>
    <s v="Y"/>
    <s v="SURETY"/>
    <s v="GUILTY PLEA - NO JURY"/>
    <n v="3"/>
    <n v="100"/>
    <n v="8"/>
    <n v="0"/>
    <n v="6"/>
    <m/>
    <m/>
    <m/>
    <m/>
    <m/>
    <m/>
    <m/>
    <m/>
    <d v="1981-12-29T00:00:00"/>
    <s v="M"/>
    <s v="B"/>
    <s v="BLACK"/>
    <s v="NULL"/>
    <s v="179"/>
    <s v="CONVICTED"/>
    <n v="4"/>
    <s v="STJ"/>
    <m/>
    <n v="6"/>
    <m/>
    <s v="POSS CS PG 1 &lt;1G"/>
    <m/>
    <s v="FS"/>
    <s v="POSS DRUG"/>
    <m/>
    <m/>
    <m/>
    <m/>
    <m/>
    <m/>
    <m/>
    <m/>
    <m/>
    <s v="Hired Attorney"/>
    <m/>
    <m/>
    <n v="3"/>
    <n v="99"/>
    <n v="100"/>
    <n v="30.084699453551913"/>
    <n v="0"/>
    <n v="-96"/>
    <s v="CONVICTION"/>
    <x v="1"/>
    <s v="Y"/>
    <m/>
    <s v="CONVICTION"/>
    <s v="Y"/>
    <x v="1"/>
    <x v="0"/>
    <s v="Y"/>
    <n v="0.03"/>
    <n v="3.0303030303030304E-2"/>
    <n v="3.0303030303030498E-4"/>
    <n v="0"/>
    <n v="-3"/>
    <n v="0"/>
    <n v="3"/>
    <e v="#VALUE!"/>
    <n v="3"/>
    <n v="0"/>
    <n v="96"/>
    <m/>
    <s v="Y"/>
    <m/>
    <s v="0-10 DAYS"/>
    <n v="1"/>
    <x v="0"/>
  </r>
  <r>
    <n v="238"/>
    <s v="N"/>
    <s v="N"/>
    <n v="1821315"/>
    <n v="6"/>
    <d v="2012-01-11T00:00:00"/>
    <d v="2012-01-12T00:00:00"/>
    <n v="1821315"/>
    <d v="2012-01-11T00:00:00"/>
    <d v="2012-01-12T00:00:00"/>
    <n v="25000"/>
    <x v="2"/>
    <m/>
    <s v="N"/>
    <s v="NONE"/>
    <s v="GUILTY PLEA - NO JURY"/>
    <n v="2"/>
    <n v="2"/>
    <n v="4"/>
    <n v="3"/>
    <n v="3"/>
    <m/>
    <m/>
    <m/>
    <m/>
    <m/>
    <m/>
    <m/>
    <m/>
    <d v="1982-01-10T00:00:00"/>
    <s v="M"/>
    <s v="B"/>
    <s v="BLACK"/>
    <s v="NULL"/>
    <s v="263"/>
    <s v="CONVICTED"/>
    <n v="1"/>
    <s v="TDC"/>
    <n v="4"/>
    <m/>
    <m/>
    <s v="FELON POSS WPN"/>
    <m/>
    <s v="F3"/>
    <s v="OTHER FEL"/>
    <m/>
    <m/>
    <m/>
    <m/>
    <m/>
    <m/>
    <m/>
    <m/>
    <m/>
    <s v="Appointed Attorney"/>
    <m/>
    <m/>
    <n v="2"/>
    <n v="2"/>
    <n v="2"/>
    <n v="29.939890710382514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2877"/>
    <s v="N"/>
    <s v="N"/>
    <n v="1821487"/>
    <n v="5"/>
    <d v="2012-04-17T00:00:00"/>
    <d v="2012-04-24T00:00:00"/>
    <n v="1821487"/>
    <d v="2012-04-17T00:00:00"/>
    <d v="2012-04-24T00:00:00"/>
    <n v="15000"/>
    <x v="0"/>
    <m/>
    <s v="N"/>
    <s v="NONE"/>
    <s v="GUILTY PLEA - NO JURY"/>
    <n v="8"/>
    <n v="8"/>
    <n v="6"/>
    <n v="6"/>
    <n v="4"/>
    <m/>
    <m/>
    <m/>
    <m/>
    <m/>
    <m/>
    <m/>
    <m/>
    <d v="1962-01-27T00:00:00"/>
    <s v="F"/>
    <s v="W"/>
    <s v="WHITE"/>
    <s v="NON-HISPANIC"/>
    <s v="208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8"/>
    <n v="8"/>
    <n v="8"/>
    <n v="50.117486338797811"/>
    <n v="0"/>
    <n v="0"/>
    <s v="CONVICTION"/>
    <x v="0"/>
    <s v="N"/>
    <m/>
    <s v="CONVICTION"/>
    <s v="Y"/>
    <x v="0"/>
    <x v="0"/>
    <s v="Y"/>
    <n v="1"/>
    <n v="1"/>
    <n v="0"/>
    <n v="0"/>
    <n v="-8"/>
    <n v="0"/>
    <n v="8"/>
    <e v="#VALUE!"/>
    <n v="8"/>
    <n v="0"/>
    <n v="0"/>
    <m/>
    <s v="Y"/>
    <m/>
    <s v="0-10 DAYS"/>
    <n v="1"/>
    <x v="0"/>
  </r>
  <r>
    <n v="3160"/>
    <s v="N"/>
    <s v="N"/>
    <n v="1821582"/>
    <n v="5"/>
    <d v="2012-04-26T00:00:00"/>
    <d v="2012-11-16T00:00:00"/>
    <n v="1821582"/>
    <d v="2012-04-26T00:00:00"/>
    <d v="2012-11-16T00:00:00"/>
    <n v="20000"/>
    <x v="0"/>
    <m/>
    <s v="N"/>
    <s v="NONE"/>
    <s v="GUILTY PLEA - NO JURY"/>
    <n v="205"/>
    <n v="205"/>
    <n v="2"/>
    <n v="4"/>
    <n v="1"/>
    <m/>
    <m/>
    <m/>
    <m/>
    <m/>
    <m/>
    <m/>
    <m/>
    <d v="1977-05-24T00:00:00"/>
    <s v="M"/>
    <s v="H"/>
    <s v="HISPANIC"/>
    <s v="HISPANIC"/>
    <s v="338"/>
    <s v="CONVICTED"/>
    <n v="10"/>
    <s v="STJ"/>
    <m/>
    <n v="10"/>
    <m/>
    <s v="MAN/DEL CS PG I &lt;1GRAM"/>
    <m/>
    <s v="FS"/>
    <s v="SALE DRUG"/>
    <m/>
    <m/>
    <m/>
    <m/>
    <m/>
    <m/>
    <m/>
    <m/>
    <m/>
    <s v="Appointed Attorney"/>
    <m/>
    <m/>
    <n v="205"/>
    <n v="205"/>
    <n v="205"/>
    <n v="34.852459016393439"/>
    <n v="0"/>
    <n v="0"/>
    <s v="CONVICTION"/>
    <x v="0"/>
    <s v="N"/>
    <m/>
    <s v="CONVICTION"/>
    <s v="Y"/>
    <x v="0"/>
    <x v="0"/>
    <s v="Y"/>
    <n v="1"/>
    <n v="1"/>
    <n v="0"/>
    <n v="0"/>
    <n v="-205"/>
    <n v="0"/>
    <n v="205"/>
    <e v="#VALUE!"/>
    <n v="205"/>
    <n v="0"/>
    <n v="0"/>
    <m/>
    <s v="Y"/>
    <m/>
    <s v="121-365 DAYS"/>
    <n v="6"/>
    <x v="0"/>
  </r>
  <r>
    <n v="1648"/>
    <s v="N"/>
    <s v="N"/>
    <n v="1822050"/>
    <n v="2"/>
    <d v="2012-03-01T00:00:00"/>
    <d v="2012-03-05T00:00:00"/>
    <n v="1822050"/>
    <d v="2012-03-02T00:00:00"/>
    <d v="2012-03-05T00:00:00"/>
    <n v="2000"/>
    <x v="5"/>
    <m/>
    <s v="N"/>
    <s v="NONE"/>
    <s v="DEFERRED ADJUDICATION "/>
    <n v="4"/>
    <n v="5"/>
    <n v="0"/>
    <n v="1"/>
    <m/>
    <m/>
    <m/>
    <m/>
    <m/>
    <m/>
    <m/>
    <s v="S"/>
    <m/>
    <d v="1978-09-15T00:00:00"/>
    <s v="F"/>
    <s v="H"/>
    <s v="HISPANIC"/>
    <s v="NULL"/>
    <s v="185"/>
    <s v="DEFERRED"/>
    <n v="1"/>
    <s v="DEFERRED"/>
    <m/>
    <m/>
    <m/>
    <s v="THEFT $1500-20K"/>
    <m/>
    <s v="FS"/>
    <s v="THEFT"/>
    <m/>
    <m/>
    <m/>
    <m/>
    <m/>
    <m/>
    <m/>
    <m/>
    <m/>
    <s v="Appointed Attorney"/>
    <m/>
    <m/>
    <n v="4"/>
    <n v="4"/>
    <n v="5"/>
    <n v="33.39071038251366"/>
    <n v="0"/>
    <n v="0"/>
    <s v="DEFERRED"/>
    <x v="0"/>
    <s v="N"/>
    <m/>
    <s v="DEFERRED"/>
    <s v="Y"/>
    <x v="0"/>
    <x v="0"/>
    <s v="N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3172"/>
    <s v="N"/>
    <s v="N"/>
    <n v="1823576"/>
    <n v="1"/>
    <d v="2012-04-26T00:00:00"/>
    <d v="2012-05-03T00:00:00"/>
    <n v="1823576"/>
    <s v="NOT BOOKED"/>
    <s v="NOT BOOKED"/>
    <n v="5000"/>
    <x v="4"/>
    <d v="2012-05-04T00:00:00"/>
    <s v="Y"/>
    <s v="SURETY"/>
    <s v="NO BILL"/>
    <n v="0"/>
    <n v="8"/>
    <n v="0"/>
    <n v="1"/>
    <m/>
    <m/>
    <m/>
    <m/>
    <m/>
    <m/>
    <m/>
    <s v="S"/>
    <m/>
    <d v="1975-09-01T00:00:00"/>
    <s v="M"/>
    <s v="H"/>
    <s v="HISPANIC"/>
    <s v="NULL"/>
    <s v="339"/>
    <s v="NO BILL"/>
    <n v="2"/>
    <s v="NO BILL"/>
    <m/>
    <m/>
    <m/>
    <s v="ASSAULT-BOD INJ-PUB SERV/RETAL"/>
    <m/>
    <s v="F3"/>
    <s v="ASLT-MURDR"/>
    <m/>
    <m/>
    <m/>
    <m/>
    <m/>
    <m/>
    <m/>
    <m/>
    <m/>
    <s v="Other/Unknown"/>
    <m/>
    <m/>
    <n v="0"/>
    <n v="0"/>
    <n v="8"/>
    <n v="36.576502732240435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591"/>
    <s v="N"/>
    <s v="Y"/>
    <n v="1823817"/>
    <n v="6"/>
    <d v="2012-04-06T00:00:00"/>
    <d v="2013-06-27T00:00:00"/>
    <n v="1823817"/>
    <d v="2012-04-06T00:00:00"/>
    <d v="2012-04-21T00:00:00"/>
    <n v="75000"/>
    <x v="2"/>
    <d v="2012-04-21T00:00:00"/>
    <s v="Y"/>
    <s v="SURETY"/>
    <s v="GUILTY PLEA - NO JURY"/>
    <n v="148"/>
    <n v="448"/>
    <n v="4"/>
    <n v="1"/>
    <n v="1"/>
    <m/>
    <m/>
    <m/>
    <m/>
    <m/>
    <m/>
    <m/>
    <m/>
    <d v="1982-03-30T00:00:00"/>
    <s v="M"/>
    <s v="H"/>
    <s v="HISPANIC"/>
    <s v="HISPANIC"/>
    <s v="209"/>
    <s v="CONVICTED"/>
    <n v="14"/>
    <s v="TDC"/>
    <n v="5"/>
    <m/>
    <m/>
    <s v="POSS W/INT DEL CS PG1&gt;=4 &lt;200"/>
    <m/>
    <s v="F1"/>
    <s v="SALE DRUG"/>
    <s v="bk 9/18/12 recal"/>
    <s v="bd rev 9/10/12"/>
    <m/>
    <m/>
    <s v="Y"/>
    <m/>
    <m/>
    <m/>
    <m/>
    <s v="Hired Attorney"/>
    <m/>
    <m/>
    <n v="148"/>
    <n v="448"/>
    <n v="448"/>
    <n v="29.959016393442624"/>
    <n v="0"/>
    <n v="-432"/>
    <s v="CONVICTION"/>
    <x v="1"/>
    <s v="N"/>
    <m/>
    <s v="CONVICTION"/>
    <s v="Y"/>
    <x v="0"/>
    <x v="0"/>
    <s v="Y"/>
    <n v="0.33035714285714285"/>
    <n v="3.5714285714285712E-2"/>
    <n v="-0.29464285714285715"/>
    <n v="0"/>
    <n v="-16"/>
    <n v="132"/>
    <n v="448"/>
    <n v="148"/>
    <n v="448"/>
    <n v="432"/>
    <n v="432"/>
    <m/>
    <s v="Y"/>
    <m/>
    <s v="121-365 DAYS"/>
    <n v="6"/>
    <x v="0"/>
  </r>
  <r>
    <n v="1251"/>
    <s v="N"/>
    <s v="N"/>
    <n v="1824093"/>
    <n v="1"/>
    <d v="2012-02-15T00:00:00"/>
    <d v="2012-05-02T00:00:00"/>
    <n v="1824093"/>
    <d v="2012-02-15T00:00:00"/>
    <d v="2012-05-02T00:00:00"/>
    <s v="NO BOND"/>
    <x v="1"/>
    <m/>
    <s v="N"/>
    <s v="NONE"/>
    <s v="DISMISSED"/>
    <n v="78"/>
    <n v="78"/>
    <n v="12"/>
    <n v="5"/>
    <n v="7"/>
    <m/>
    <m/>
    <m/>
    <m/>
    <m/>
    <m/>
    <m/>
    <m/>
    <d v="1982-10-12T00:00:00"/>
    <s v="M"/>
    <s v="A"/>
    <s v="OTHER"/>
    <s v="NULL"/>
    <s v="182"/>
    <s v="DISMISSED"/>
    <n v="2"/>
    <s v="DISMISSED"/>
    <m/>
    <m/>
    <m/>
    <s v="BURGLARY OF HABITATION"/>
    <m/>
    <s v="F2"/>
    <s v="BURGLARY"/>
    <m/>
    <m/>
    <m/>
    <m/>
    <m/>
    <m/>
    <m/>
    <m/>
    <m/>
    <s v="Appointed Attorney"/>
    <m/>
    <m/>
    <n v="78"/>
    <n v="78"/>
    <n v="78"/>
    <n v="29.284153005464482"/>
    <n v="0"/>
    <n v="0"/>
    <s v="NO CONVICTION"/>
    <x v="0"/>
    <s v="N"/>
    <m/>
    <s v="NO CONVICTION"/>
    <s v="Y"/>
    <x v="0"/>
    <x v="0"/>
    <s v="Y"/>
    <n v="1"/>
    <n v="1"/>
    <n v="0"/>
    <n v="0"/>
    <n v="-78"/>
    <n v="0"/>
    <n v="78"/>
    <e v="#VALUE!"/>
    <n v="78"/>
    <n v="0"/>
    <n v="0"/>
    <m/>
    <s v="Y"/>
    <m/>
    <s v="61-90 DAYS"/>
    <n v="4"/>
    <x v="0"/>
  </r>
  <r>
    <n v="1221"/>
    <s v="N"/>
    <s v="N"/>
    <n v="1824239"/>
    <n v="6"/>
    <d v="2012-02-14T00:00:00"/>
    <d v="2013-02-25T00:00:00"/>
    <n v="1824239"/>
    <d v="2012-04-05T00:00:00"/>
    <d v="2012-04-23T00:00:00"/>
    <n v="45000"/>
    <x v="2"/>
    <d v="2012-04-23T00:00:00"/>
    <s v="Y"/>
    <s v="SURETY"/>
    <s v="GUILTY PLEA - NO JURY"/>
    <n v="19"/>
    <n v="378"/>
    <n v="7"/>
    <n v="2"/>
    <n v="5"/>
    <m/>
    <m/>
    <m/>
    <m/>
    <m/>
    <m/>
    <m/>
    <m/>
    <d v="1983-05-17T00:00:00"/>
    <s v="M"/>
    <s v="B"/>
    <s v="BLACK"/>
    <s v="NON-HISPANIC"/>
    <s v="339"/>
    <s v="CONVICTED"/>
    <n v="14"/>
    <s v="TDC"/>
    <n v="5"/>
    <m/>
    <m/>
    <s v="BURGLARY OF A BUILDING"/>
    <m/>
    <s v="FS"/>
    <s v="BURGLARY"/>
    <s v="sent same date for 2 fel filed 1/18/13"/>
    <m/>
    <m/>
    <m/>
    <m/>
    <m/>
    <m/>
    <m/>
    <m/>
    <s v="Hired Attorney"/>
    <m/>
    <m/>
    <n v="19"/>
    <n v="327"/>
    <n v="378"/>
    <n v="28.688524590163933"/>
    <n v="0"/>
    <n v="-308"/>
    <s v="CONVICTION"/>
    <x v="1"/>
    <s v="Y"/>
    <m/>
    <s v="CONVICTION"/>
    <s v="Y"/>
    <x v="1"/>
    <x v="0"/>
    <s v="Y"/>
    <n v="5.0264550264550262E-2"/>
    <n v="5.8103975535168197E-2"/>
    <n v="7.8394252706179349E-3"/>
    <n v="0"/>
    <n v="-19"/>
    <n v="0"/>
    <n v="19"/>
    <e v="#VALUE!"/>
    <n v="19"/>
    <n v="0"/>
    <n v="308"/>
    <m/>
    <s v="Y"/>
    <m/>
    <s v="11-30 DAYS"/>
    <n v="2"/>
    <x v="0"/>
  </r>
  <r>
    <n v="1692"/>
    <s v="N"/>
    <s v="N"/>
    <n v="1824604"/>
    <n v="4"/>
    <d v="2012-03-03T00:00:00"/>
    <d v="2012-07-30T00:00:00"/>
    <n v="1824604"/>
    <d v="2012-03-03T00:00:00"/>
    <d v="2012-07-30T00:00:00"/>
    <s v="NO BOND"/>
    <x v="1"/>
    <m/>
    <s v="N"/>
    <s v="NONE"/>
    <s v="GUILTY PLEA - NO JURY"/>
    <n v="150"/>
    <n v="150"/>
    <n v="7"/>
    <n v="11"/>
    <n v="4"/>
    <m/>
    <m/>
    <m/>
    <m/>
    <m/>
    <m/>
    <m/>
    <m/>
    <d v="1982-03-16T00:00:00"/>
    <s v="M"/>
    <s v="B"/>
    <s v="BLACK"/>
    <s v="NON-HISPANIC"/>
    <s v="262"/>
    <s v="CONVICTED"/>
    <n v="7"/>
    <s v="HCJ"/>
    <m/>
    <m/>
    <n v="300"/>
    <s v="RETALIATION"/>
    <m/>
    <s v="F3"/>
    <s v="OTHER FEL"/>
    <m/>
    <m/>
    <m/>
    <m/>
    <m/>
    <m/>
    <m/>
    <m/>
    <m/>
    <s v="Appointed Attorney"/>
    <m/>
    <m/>
    <n v="150"/>
    <n v="150"/>
    <n v="150"/>
    <n v="29.904371584699454"/>
    <n v="0"/>
    <n v="0"/>
    <s v="CONVICTION"/>
    <x v="0"/>
    <s v="N"/>
    <m/>
    <s v="CONVICTION"/>
    <s v="Y"/>
    <x v="0"/>
    <x v="0"/>
    <s v="Y"/>
    <n v="1"/>
    <n v="1"/>
    <n v="0"/>
    <n v="0"/>
    <n v="-150"/>
    <n v="0"/>
    <n v="150"/>
    <e v="#VALUE!"/>
    <n v="150"/>
    <n v="0"/>
    <n v="0"/>
    <m/>
    <s v="Y"/>
    <m/>
    <s v="121-365 DAYS"/>
    <n v="6"/>
    <x v="0"/>
  </r>
  <r>
    <n v="874"/>
    <s v="N"/>
    <s v="N"/>
    <n v="1825069"/>
    <n v="2"/>
    <d v="2012-02-02T00:00:00"/>
    <d v="2012-04-26T00:00:00"/>
    <n v="1825069"/>
    <s v="NOT BOOKED"/>
    <s v="NOT BOOKED"/>
    <n v="2000"/>
    <x v="5"/>
    <d v="2012-02-09T00:00:00"/>
    <s v="Y"/>
    <s v="SURETY"/>
    <s v="DEFERRED ADJUDICATION "/>
    <n v="0"/>
    <n v="85"/>
    <n v="0"/>
    <n v="1"/>
    <m/>
    <m/>
    <m/>
    <m/>
    <m/>
    <m/>
    <m/>
    <m/>
    <m/>
    <d v="1979-11-10T00:00:00"/>
    <s v="M"/>
    <s v="W"/>
    <s v="WHITE"/>
    <s v="NON-HISPANIC"/>
    <s v="263"/>
    <s v="DEFERRED"/>
    <n v="6"/>
    <s v="DEFERRED"/>
    <m/>
    <m/>
    <m/>
    <s v="THEFT $1500-20K"/>
    <m/>
    <s v="FS"/>
    <s v="THEFT"/>
    <m/>
    <m/>
    <m/>
    <m/>
    <m/>
    <m/>
    <m/>
    <m/>
    <m/>
    <s v="Appointed Attorney"/>
    <m/>
    <m/>
    <n v="0"/>
    <n v="0"/>
    <n v="85"/>
    <n v="32.16393442622951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125"/>
    <s v="N"/>
    <s v="N"/>
    <n v="1826085"/>
    <n v="2"/>
    <d v="2012-01-06T00:00:00"/>
    <d v="2012-04-04T00:00:00"/>
    <n v="1826085"/>
    <d v="2012-01-06T00:00:00"/>
    <d v="2012-01-07T00:00:00"/>
    <n v="10000"/>
    <x v="3"/>
    <d v="2012-01-07T00:00:00"/>
    <s v="Y"/>
    <s v="SURETY"/>
    <s v="DEFERRED ADJUDICATION "/>
    <n v="2"/>
    <n v="90"/>
    <n v="0"/>
    <n v="0"/>
    <m/>
    <m/>
    <m/>
    <m/>
    <m/>
    <m/>
    <m/>
    <m/>
    <m/>
    <d v="1976-01-08T00:00:00"/>
    <s v="M"/>
    <s v="H"/>
    <s v="HISPANIC"/>
    <s v="HISPANIC"/>
    <s v="339"/>
    <s v="DEFERRED"/>
    <n v="4"/>
    <s v="DEFERRED"/>
    <m/>
    <m/>
    <m/>
    <s v="POSS CS PG 1  1 - 4 GRAMS"/>
    <m/>
    <s v="F3"/>
    <s v="POSS DRUG"/>
    <m/>
    <m/>
    <m/>
    <m/>
    <m/>
    <m/>
    <m/>
    <m/>
    <m/>
    <s v="Hired Attorney"/>
    <m/>
    <m/>
    <n v="2"/>
    <n v="90"/>
    <n v="90"/>
    <n v="35.920765027322403"/>
    <n v="0"/>
    <n v="-88"/>
    <s v="DEFERRED"/>
    <x v="1"/>
    <s v="Y"/>
    <m/>
    <s v="DEFERRED"/>
    <s v="Y"/>
    <x v="1"/>
    <x v="0"/>
    <s v="N"/>
    <n v="2.2222222222222223E-2"/>
    <n v="2.2222222222222223E-2"/>
    <n v="0"/>
    <n v="0"/>
    <n v="-2"/>
    <n v="0"/>
    <n v="2"/>
    <e v="#VALUE!"/>
    <n v="2"/>
    <n v="0"/>
    <n v="88"/>
    <m/>
    <s v="N"/>
    <m/>
    <s v="0-10 DAYS"/>
    <n v="1"/>
    <x v="0"/>
  </r>
  <r>
    <n v="1313"/>
    <s v="N"/>
    <s v="N"/>
    <n v="1826678"/>
    <n v="1"/>
    <d v="2012-02-17T00:00:00"/>
    <d v="2013-03-05T00:00:00"/>
    <n v="1826678"/>
    <s v="NOT BOOKED"/>
    <s v="NOT BOOKED"/>
    <n v="2000"/>
    <x v="5"/>
    <d v="2012-06-16T00:00:00"/>
    <s v="Y"/>
    <s v="SURETY"/>
    <s v="DISMISSED"/>
    <n v="0"/>
    <n v="383"/>
    <n v="1"/>
    <n v="0"/>
    <n v="1"/>
    <m/>
    <m/>
    <m/>
    <m/>
    <m/>
    <m/>
    <m/>
    <m/>
    <d v="1983-12-06T00:00:00"/>
    <s v="M"/>
    <s v="W"/>
    <s v="WHITE"/>
    <s v="NON-HISPANIC"/>
    <s v="263"/>
    <s v="DISMISSED"/>
    <n v="9"/>
    <s v="DISMISSED"/>
    <m/>
    <m/>
    <m/>
    <s v="UNAUTH USE OF VEHICLE"/>
    <m/>
    <s v="FS"/>
    <s v="AUTO THEFT"/>
    <m/>
    <s v=" 6/29/12  C87AI  "/>
    <m/>
    <m/>
    <m/>
    <m/>
    <m/>
    <m/>
    <m/>
    <s v="Appointed Attorney"/>
    <m/>
    <m/>
    <n v="0"/>
    <n v="0"/>
    <n v="383"/>
    <n v="28.142076502732241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m/>
    <e v="#VALUE!"/>
    <e v="#VALUE!"/>
    <m/>
    <s v="Y"/>
    <m/>
    <s v="0-10 DAYS"/>
    <n v="1"/>
    <x v="1"/>
  </r>
  <r>
    <n v="572"/>
    <s v="N"/>
    <s v="N"/>
    <n v="1829413"/>
    <n v="6"/>
    <d v="2012-01-23T00:00:00"/>
    <d v="2013-07-15T00:00:00"/>
    <n v="1829413"/>
    <d v="2012-01-26T00:00:00"/>
    <d v="2013-07-15T00:00:00"/>
    <s v="NO BOND"/>
    <x v="1"/>
    <m/>
    <s v="N"/>
    <s v="NONE"/>
    <s v="CONV BY JURY VERDICT"/>
    <n v="537"/>
    <n v="540"/>
    <n v="6"/>
    <n v="5"/>
    <n v="2"/>
    <m/>
    <m/>
    <m/>
    <m/>
    <m/>
    <m/>
    <m/>
    <m/>
    <d v="1982-08-26T00:00:00"/>
    <s v="M"/>
    <s v="B"/>
    <s v="BLACK"/>
    <s v="NON-HISPANIC"/>
    <s v="263"/>
    <s v="CONVICTED"/>
    <n v="14"/>
    <s v="TDC"/>
    <n v="40"/>
    <m/>
    <m/>
    <s v="AGG ASLT-SER BOD INJURY"/>
    <m/>
    <s v="F2"/>
    <s v="ASLT-MURDR"/>
    <s v="JURY VERD 40 Y TDC APPEAL PEND DEF JAILED"/>
    <m/>
    <m/>
    <m/>
    <m/>
    <m/>
    <m/>
    <m/>
    <m/>
    <s v="Appointed Attorney"/>
    <m/>
    <m/>
    <n v="537"/>
    <n v="537"/>
    <n v="540"/>
    <n v="29.349726775956285"/>
    <n v="0"/>
    <n v="0"/>
    <s v="CONVICTION"/>
    <x v="0"/>
    <s v="N"/>
    <m/>
    <s v="CONVICTION"/>
    <s v="Y"/>
    <x v="0"/>
    <x v="0"/>
    <s v="Y"/>
    <n v="0.99444444444444446"/>
    <n v="1"/>
    <n v="5.5555555555555358E-3"/>
    <n v="0"/>
    <n v="-537"/>
    <n v="0"/>
    <n v="537"/>
    <e v="#VALUE!"/>
    <n v="537"/>
    <n v="0"/>
    <n v="0"/>
    <m/>
    <s v="Y"/>
    <m/>
    <s v=" &gt;1YRS&lt;2YRS"/>
    <n v="0"/>
    <x v="0"/>
  </r>
  <r>
    <n v="3123"/>
    <s v="N"/>
    <s v="N"/>
    <n v="1829583"/>
    <n v="2"/>
    <d v="2012-04-25T00:00:00"/>
    <d v="2012-06-19T00:00:00"/>
    <n v="1829583"/>
    <d v="2012-06-15T00:00:00"/>
    <d v="2012-06-19T00:00:00"/>
    <n v="2000"/>
    <x v="5"/>
    <m/>
    <s v="N"/>
    <s v="NONE"/>
    <s v="DEFERRED ADJUDICATION "/>
    <n v="5"/>
    <n v="56"/>
    <n v="0"/>
    <n v="1"/>
    <m/>
    <m/>
    <m/>
    <m/>
    <m/>
    <m/>
    <m/>
    <m/>
    <m/>
    <d v="1973-08-09T00:00:00"/>
    <s v="M"/>
    <s v="W"/>
    <s v="WHITE"/>
    <s v="NON-HISPANIC"/>
    <s v="262"/>
    <s v="DEFERRED"/>
    <n v="2"/>
    <s v="DEFERRED"/>
    <m/>
    <m/>
    <m/>
    <s v="FORGERY"/>
    <m/>
    <s v="FS"/>
    <s v="OTHER FEL"/>
    <m/>
    <m/>
    <m/>
    <m/>
    <m/>
    <m/>
    <m/>
    <m/>
    <m/>
    <s v="Appointed Attorney"/>
    <m/>
    <m/>
    <n v="5"/>
    <n v="5"/>
    <n v="56"/>
    <n v="38.631147540983605"/>
    <n v="0"/>
    <n v="0"/>
    <s v="DEFERRED"/>
    <x v="0"/>
    <s v="N"/>
    <m/>
    <s v="DEFERRED"/>
    <s v="Y"/>
    <x v="0"/>
    <x v="0"/>
    <s v="N"/>
    <n v="8.9285714285714288E-2"/>
    <n v="1"/>
    <n v="0.9107142857142857"/>
    <n v="0"/>
    <n v="-5"/>
    <n v="0"/>
    <n v="5"/>
    <e v="#VALUE!"/>
    <n v="5"/>
    <n v="0"/>
    <n v="0"/>
    <m/>
    <s v="Y"/>
    <m/>
    <s v="0-10 DAYS"/>
    <n v="1"/>
    <x v="0"/>
  </r>
  <r>
    <n v="2384"/>
    <s v="N"/>
    <s v="N"/>
    <n v="1830932"/>
    <n v="2"/>
    <d v="2012-03-30T00:00:00"/>
    <d v="2012-04-26T00:00:00"/>
    <n v="1830932"/>
    <d v="2012-03-31T00:00:00"/>
    <d v="2012-04-26T00:00:00"/>
    <n v="50000"/>
    <x v="2"/>
    <m/>
    <s v="N"/>
    <s v="NONE"/>
    <s v="DEFERRED ADJUDICATION "/>
    <n v="27"/>
    <n v="28"/>
    <n v="0"/>
    <n v="0"/>
    <m/>
    <m/>
    <m/>
    <m/>
    <m/>
    <m/>
    <m/>
    <m/>
    <m/>
    <d v="1982-05-11T00:00:00"/>
    <s v="F"/>
    <s v="W"/>
    <s v="WHITE"/>
    <s v="NON-HISPANIC"/>
    <s v="176"/>
    <s v="DEFERRED"/>
    <n v="4"/>
    <s v="DEFERRED"/>
    <m/>
    <m/>
    <m/>
    <s v="POSS/ATT POSS CS BY FRAUD SCH"/>
    <m/>
    <s v="F3"/>
    <s v="SALE DRUG"/>
    <s v="LAWV bk 6/20/12 rev 7/18/12 tdc 2yrs "/>
    <m/>
    <m/>
    <m/>
    <m/>
    <m/>
    <m/>
    <m/>
    <m/>
    <s v="Appointed Attorney"/>
    <m/>
    <m/>
    <n v="27"/>
    <n v="27"/>
    <n v="28"/>
    <n v="29.825136612021858"/>
    <n v="0"/>
    <n v="0"/>
    <s v="DEFERRED"/>
    <x v="0"/>
    <s v="N"/>
    <m/>
    <s v="DEFERRED"/>
    <s v="Y"/>
    <x v="0"/>
    <x v="0"/>
    <s v="N"/>
    <n v="0.9642857142857143"/>
    <n v="1"/>
    <n v="3.5714285714285698E-2"/>
    <n v="0"/>
    <n v="-27"/>
    <n v="0"/>
    <n v="27"/>
    <e v="#VALUE!"/>
    <n v="27"/>
    <n v="0"/>
    <n v="0"/>
    <m/>
    <s v="N"/>
    <m/>
    <s v="11-30 DAYS"/>
    <n v="2"/>
    <x v="0"/>
  </r>
  <r>
    <n v="900"/>
    <s v="N"/>
    <s v="N"/>
    <n v="1831780"/>
    <n v="4"/>
    <d v="2012-02-03T00:00:00"/>
    <d v="2012-10-19T00:00:00"/>
    <n v="1831780"/>
    <d v="2012-02-03T00:00:00"/>
    <d v="2012-02-05T00:00:00"/>
    <n v="10000"/>
    <x v="3"/>
    <d v="2012-02-05T00:00:00"/>
    <s v="Y"/>
    <s v="SURETY"/>
    <s v="GUILTY PLEA - NO JURY"/>
    <n v="3"/>
    <n v="260"/>
    <n v="1"/>
    <n v="1"/>
    <m/>
    <m/>
    <m/>
    <m/>
    <m/>
    <m/>
    <m/>
    <s v="S"/>
    <m/>
    <d v="1981-10-22T00:00:00"/>
    <s v="M"/>
    <s v="H"/>
    <s v="HISPANIC"/>
    <s v="NULL"/>
    <s v="351"/>
    <s v="CONVICTED"/>
    <n v="10"/>
    <s v="HCJ"/>
    <m/>
    <m/>
    <n v="120"/>
    <s v="SELL/POSS UNLAB/RCRD&gt;65 RCRD"/>
    <m/>
    <s v="F"/>
    <s v="POSS DRUG"/>
    <m/>
    <m/>
    <m/>
    <m/>
    <m/>
    <m/>
    <m/>
    <m/>
    <m/>
    <s v="Hired Attorney"/>
    <m/>
    <m/>
    <n v="3"/>
    <n v="260"/>
    <n v="260"/>
    <n v="30.221311475409838"/>
    <n v="0"/>
    <n v="-257"/>
    <s v="CONVICTION"/>
    <x v="1"/>
    <s v="Y"/>
    <m/>
    <s v="CONVICTION"/>
    <s v="Y"/>
    <x v="1"/>
    <x v="0"/>
    <s v="Y"/>
    <n v="1.1538461538461539E-2"/>
    <n v="1.1538461538461539E-2"/>
    <n v="0"/>
    <n v="0"/>
    <n v="-3"/>
    <n v="0"/>
    <n v="3"/>
    <e v="#VALUE!"/>
    <n v="3"/>
    <n v="0"/>
    <n v="257"/>
    <m/>
    <s v="Y"/>
    <m/>
    <s v="0-10 DAYS"/>
    <n v="1"/>
    <x v="0"/>
  </r>
  <r>
    <n v="52"/>
    <s v="N"/>
    <s v="Y"/>
    <n v="1832444"/>
    <n v="6"/>
    <d v="2012-01-03T00:00:00"/>
    <d v="2012-05-30T00:00:00"/>
    <n v="1832444"/>
    <d v="2012-01-04T00:00:00"/>
    <d v="2012-01-06T00:00:00"/>
    <n v="15000"/>
    <x v="0"/>
    <d v="2012-01-06T00:00:00"/>
    <s v="Y"/>
    <s v="SURETY"/>
    <s v="GUILTY PLEA - NO JURY"/>
    <n v="130"/>
    <n v="149"/>
    <n v="4"/>
    <n v="1"/>
    <n v="2"/>
    <m/>
    <m/>
    <m/>
    <m/>
    <m/>
    <m/>
    <m/>
    <m/>
    <d v="1983-11-06T00:00:00"/>
    <s v="M"/>
    <s v="B"/>
    <s v="BLACK"/>
    <s v="NON-HISPANIC"/>
    <s v="228"/>
    <s v="CONVICTED"/>
    <n v="6"/>
    <s v="TDC"/>
    <n v="1"/>
    <m/>
    <m/>
    <s v="POSS CS PG 1 &lt;1G"/>
    <m/>
    <s v="FS"/>
    <s v="POSS DRUG"/>
    <m/>
    <s v=" REV 1/5/12"/>
    <m/>
    <m/>
    <s v="Y"/>
    <m/>
    <m/>
    <m/>
    <m/>
    <s v="Hired Attorney"/>
    <m/>
    <m/>
    <n v="130"/>
    <n v="148"/>
    <n v="149"/>
    <n v="28.101092896174862"/>
    <n v="0"/>
    <n v="-145"/>
    <s v="CONVICTION"/>
    <x v="1"/>
    <s v="Y"/>
    <m/>
    <s v="CONVICTION"/>
    <s v="Y"/>
    <x v="0"/>
    <x v="0"/>
    <s v="Y"/>
    <n v="0.87248322147651003"/>
    <n v="2.0270270270270271E-2"/>
    <n v="-0.85221295120623974"/>
    <n v="0"/>
    <n v="-3"/>
    <n v="127"/>
    <n v="148"/>
    <n v="130"/>
    <n v="148"/>
    <n v="145"/>
    <n v="145"/>
    <m/>
    <s v="Y"/>
    <m/>
    <s v="121-365 DAYS"/>
    <n v="6"/>
    <x v="0"/>
  </r>
  <r>
    <n v="1017"/>
    <s v="N"/>
    <s v="N"/>
    <n v="1833073"/>
    <n v="1"/>
    <d v="2012-02-08T00:00:00"/>
    <d v="2012-02-09T00:00:00"/>
    <n v="1833073"/>
    <d v="2012-02-08T00:00:00"/>
    <d v="2012-02-09T00:00:00"/>
    <n v="20000"/>
    <x v="0"/>
    <m/>
    <s v="N"/>
    <s v="NONE"/>
    <s v="DISMISSED"/>
    <n v="2"/>
    <n v="2"/>
    <n v="2"/>
    <n v="1"/>
    <n v="1"/>
    <n v="1"/>
    <m/>
    <m/>
    <m/>
    <m/>
    <m/>
    <m/>
    <m/>
    <d v="1981-06-20T00:00:00"/>
    <s v="F"/>
    <s v="W"/>
    <s v="WHITE"/>
    <s v="NON-HISPANIC"/>
    <s v="183"/>
    <s v="DISMISSED"/>
    <n v="1"/>
    <s v="DISMISSED"/>
    <m/>
    <m/>
    <m/>
    <s v="POSS CS PG 2 4G - 400G"/>
    <m/>
    <s v="F2"/>
    <s v="POSS DRUG"/>
    <m/>
    <m/>
    <m/>
    <m/>
    <m/>
    <m/>
    <m/>
    <m/>
    <m/>
    <s v="Other/Unknown"/>
    <m/>
    <m/>
    <n v="2"/>
    <n v="2"/>
    <n v="2"/>
    <n v="30.57377049180328"/>
    <n v="0"/>
    <n v="0"/>
    <s v="NO CONVICTION"/>
    <x v="0"/>
    <s v="N"/>
    <m/>
    <s v="NO 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3234"/>
    <s v="N"/>
    <s v="N"/>
    <n v="1833151"/>
    <n v="1"/>
    <d v="2012-04-29T00:00:00"/>
    <d v="2012-08-01T00:00:00"/>
    <n v="1833151"/>
    <d v="2012-04-30T00:00:00"/>
    <d v="2012-08-01T00:00:00"/>
    <n v="35000"/>
    <x v="2"/>
    <m/>
    <s v="N"/>
    <s v="NONE"/>
    <s v="DISMISSED"/>
    <n v="94"/>
    <n v="95"/>
    <n v="1"/>
    <n v="4"/>
    <m/>
    <m/>
    <m/>
    <m/>
    <m/>
    <m/>
    <m/>
    <m/>
    <m/>
    <d v="1978-05-10T00:00:00"/>
    <s v="M"/>
    <s v="H"/>
    <s v="HISPANIC"/>
    <s v="HISPANIC"/>
    <s v="337"/>
    <s v="DISMISSED"/>
    <n v="5"/>
    <s v="DISMISSED"/>
    <m/>
    <m/>
    <m/>
    <s v="DWI 3RD OFFENDER BAC .08"/>
    <m/>
    <s v="F3"/>
    <s v="FEL DWI"/>
    <m/>
    <m/>
    <m/>
    <m/>
    <m/>
    <m/>
    <m/>
    <m/>
    <m/>
    <s v="Appointed Attorney"/>
    <m/>
    <m/>
    <n v="94"/>
    <n v="94"/>
    <n v="95"/>
    <n v="33.901639344262293"/>
    <n v="0"/>
    <n v="0"/>
    <s v="NO CONVICTION"/>
    <x v="0"/>
    <s v="N"/>
    <m/>
    <s v="NO CONVICTION"/>
    <s v="Y"/>
    <x v="0"/>
    <x v="0"/>
    <s v="Y"/>
    <n v="0.98947368421052628"/>
    <n v="1"/>
    <n v="1.0526315789473717E-2"/>
    <n v="0"/>
    <n v="-94"/>
    <n v="0"/>
    <n v="94"/>
    <e v="#VALUE!"/>
    <n v="94"/>
    <n v="0"/>
    <n v="0"/>
    <m/>
    <s v="Y"/>
    <m/>
    <s v="91-120 DAYS"/>
    <n v="0"/>
    <x v="0"/>
  </r>
  <r>
    <n v="292"/>
    <s v="N"/>
    <s v="N"/>
    <n v="1833780"/>
    <n v="6"/>
    <d v="2012-01-12T00:00:00"/>
    <d v="2012-08-23T00:00:00"/>
    <n v="1833780"/>
    <d v="2012-01-13T00:00:00"/>
    <d v="2012-01-21T00:00:00"/>
    <n v="30000"/>
    <x v="2"/>
    <d v="2012-01-21T00:00:00"/>
    <s v="Y"/>
    <s v="SURETY"/>
    <s v="GUILTY PLEA - NO JURY"/>
    <n v="9"/>
    <n v="225"/>
    <n v="0"/>
    <n v="0"/>
    <m/>
    <m/>
    <m/>
    <m/>
    <m/>
    <m/>
    <m/>
    <m/>
    <m/>
    <d v="1981-06-12T00:00:00"/>
    <s v="M"/>
    <s v="W"/>
    <s v="WHITE"/>
    <s v="NON-HISPANIC"/>
    <s v="228"/>
    <s v="CONVICTED"/>
    <n v="7"/>
    <s v="TDC"/>
    <n v="4"/>
    <m/>
    <m/>
    <s v="POSS CHILD PORNOGRAPHY"/>
    <m/>
    <s v="F3"/>
    <s v="OTHER FEL"/>
    <m/>
    <m/>
    <m/>
    <m/>
    <m/>
    <m/>
    <m/>
    <m/>
    <m/>
    <s v="Hired Attorney"/>
    <m/>
    <m/>
    <n v="9"/>
    <n v="224"/>
    <n v="225"/>
    <n v="30.521857923497269"/>
    <n v="0"/>
    <n v="-215"/>
    <s v="CONVICTION"/>
    <x v="1"/>
    <s v="Y"/>
    <m/>
    <s v="CONVICTION"/>
    <s v="Y"/>
    <x v="1"/>
    <x v="0"/>
    <s v="N"/>
    <n v="0.04"/>
    <n v="4.0178571428571432E-2"/>
    <n v="1.7857142857143071E-4"/>
    <n v="0"/>
    <n v="-9"/>
    <n v="0"/>
    <n v="9"/>
    <e v="#VALUE!"/>
    <n v="9"/>
    <n v="0"/>
    <n v="215"/>
    <m/>
    <s v="N"/>
    <m/>
    <s v="0-10 DAYS"/>
    <n v="1"/>
    <x v="0"/>
  </r>
  <r>
    <n v="465"/>
    <s v="N"/>
    <s v="N"/>
    <n v="1833868"/>
    <n v="2"/>
    <d v="2012-01-19T00:00:00"/>
    <d v="2012-02-15T00:00:00"/>
    <n v="1833868"/>
    <d v="2012-01-20T00:00:00"/>
    <d v="2012-01-21T00:00:00"/>
    <n v="2000"/>
    <x v="5"/>
    <d v="2012-01-21T00:00:00"/>
    <s v="Y"/>
    <s v="SURETY"/>
    <s v="DEFERRED ADJUDICATION "/>
    <n v="2"/>
    <n v="28"/>
    <n v="0"/>
    <n v="5"/>
    <m/>
    <m/>
    <m/>
    <m/>
    <m/>
    <m/>
    <m/>
    <m/>
    <m/>
    <d v="1982-02-01T00:00:00"/>
    <s v="M"/>
    <s v="W"/>
    <s v="WHITE"/>
    <s v="NON-HISPANIC"/>
    <s v="263"/>
    <s v="DEFERRED"/>
    <n v="2"/>
    <s v="DEFERRED"/>
    <m/>
    <m/>
    <m/>
    <s v="POSS CS PG 1 &lt;1G"/>
    <m/>
    <s v="FS"/>
    <s v="POSS DRUG"/>
    <m/>
    <m/>
    <m/>
    <m/>
    <m/>
    <m/>
    <m/>
    <m/>
    <m/>
    <s v="Appointed Attorney"/>
    <m/>
    <m/>
    <n v="2"/>
    <n v="27"/>
    <n v="28"/>
    <n v="29.901639344262296"/>
    <n v="0"/>
    <n v="-25"/>
    <s v="DEFERRED"/>
    <x v="1"/>
    <s v="Y"/>
    <m/>
    <s v="DEFERRED"/>
    <s v="Y"/>
    <x v="1"/>
    <x v="0"/>
    <s v="N"/>
    <n v="7.1428571428571425E-2"/>
    <n v="7.407407407407407E-2"/>
    <n v="2.6455026455026454E-3"/>
    <n v="0"/>
    <n v="-2"/>
    <n v="0"/>
    <n v="2"/>
    <e v="#VALUE!"/>
    <n v="2"/>
    <n v="0"/>
    <n v="25"/>
    <m/>
    <s v="Y"/>
    <m/>
    <s v="0-10 DAYS"/>
    <n v="1"/>
    <x v="0"/>
  </r>
  <r>
    <n v="976"/>
    <s v="N"/>
    <s v="N"/>
    <n v="1834067"/>
    <n v="1"/>
    <d v="2012-02-06T00:00:00"/>
    <d v="2012-06-29T00:00:00"/>
    <n v="1834067"/>
    <d v="2012-02-06T00:00:00"/>
    <d v="2012-06-29T00:00:00"/>
    <n v="15000"/>
    <x v="0"/>
    <m/>
    <s v="N"/>
    <s v="NONE"/>
    <s v="DISMISSED"/>
    <n v="145"/>
    <n v="145"/>
    <n v="5"/>
    <n v="6"/>
    <n v="5"/>
    <m/>
    <m/>
    <m/>
    <m/>
    <m/>
    <m/>
    <m/>
    <m/>
    <d v="1982-01-23T00:00:00"/>
    <s v="M"/>
    <s v="B"/>
    <s v="BLACK"/>
    <s v="NON-HISPANIC"/>
    <s v="185"/>
    <s v="DISMISSED"/>
    <n v="7"/>
    <s v="DISMISSED"/>
    <m/>
    <m/>
    <m/>
    <s v="ENDANGERING A CHILD"/>
    <m/>
    <s v="FS"/>
    <s v="OTHER FEL"/>
    <s v="6/29/12 conv fel tamper w evidence 6mos state jail "/>
    <m/>
    <m/>
    <m/>
    <m/>
    <m/>
    <m/>
    <m/>
    <m/>
    <s v="Public Defender"/>
    <m/>
    <m/>
    <n v="145"/>
    <n v="145"/>
    <n v="145"/>
    <n v="29.975409836065573"/>
    <n v="0"/>
    <n v="0"/>
    <s v="NO CONVICTION"/>
    <x v="0"/>
    <s v="N"/>
    <m/>
    <s v="NO CONVICTION"/>
    <s v="Y"/>
    <x v="0"/>
    <x v="0"/>
    <s v="Y"/>
    <n v="1"/>
    <n v="1"/>
    <n v="0"/>
    <n v="0"/>
    <n v="-145"/>
    <n v="0"/>
    <n v="145"/>
    <e v="#VALUE!"/>
    <n v="145"/>
    <n v="0"/>
    <n v="0"/>
    <m/>
    <s v="Y"/>
    <m/>
    <s v="121-365 DAYS"/>
    <n v="6"/>
    <x v="0"/>
  </r>
  <r>
    <n v="500"/>
    <s v="N"/>
    <s v="N"/>
    <n v="1834284"/>
    <n v="5"/>
    <d v="2012-01-20T00:00:00"/>
    <d v="2012-04-24T00:00:00"/>
    <n v="1834284"/>
    <d v="2012-04-16T00:00:00"/>
    <d v="2012-04-24T00:00:00"/>
    <n v="15000"/>
    <x v="0"/>
    <m/>
    <s v="N"/>
    <s v="NONE"/>
    <s v="GUILTY PLEA - NO JURY"/>
    <n v="9"/>
    <n v="96"/>
    <n v="2"/>
    <n v="0"/>
    <n v="1"/>
    <m/>
    <m/>
    <m/>
    <m/>
    <m/>
    <m/>
    <m/>
    <m/>
    <d v="1983-07-16T00:00:00"/>
    <s v="M"/>
    <s v="B"/>
    <s v="BLACK"/>
    <s v="NULL"/>
    <s v="337"/>
    <s v="CONVICTED"/>
    <n v="2"/>
    <s v="STJ"/>
    <m/>
    <n v="6"/>
    <m/>
    <s v="FORGERY"/>
    <m/>
    <s v="FS"/>
    <s v="OTHER FEL"/>
    <m/>
    <m/>
    <m/>
    <m/>
    <m/>
    <m/>
    <m/>
    <m/>
    <m/>
    <s v="Public Defender"/>
    <m/>
    <m/>
    <n v="9"/>
    <n v="9"/>
    <n v="96"/>
    <n v="28.456284153005466"/>
    <n v="0"/>
    <n v="0"/>
    <s v="CONVICTION"/>
    <x v="0"/>
    <s v="N"/>
    <m/>
    <s v="CONVICTION"/>
    <s v="Y"/>
    <x v="0"/>
    <x v="0"/>
    <s v="Y"/>
    <n v="9.375E-2"/>
    <n v="1"/>
    <n v="0.90625"/>
    <n v="0"/>
    <n v="-9"/>
    <n v="0"/>
    <n v="9"/>
    <e v="#VALUE!"/>
    <n v="9"/>
    <n v="0"/>
    <n v="0"/>
    <m/>
    <s v="Y"/>
    <m/>
    <s v="0-10 DAYS"/>
    <n v="1"/>
    <x v="0"/>
  </r>
  <r>
    <n v="96"/>
    <s v="N"/>
    <s v="N"/>
    <n v="1834553"/>
    <n v="2"/>
    <d v="2012-01-05T00:00:00"/>
    <d v="2012-09-17T00:00:00"/>
    <n v="1834553"/>
    <s v="NOT BOOKED"/>
    <s v="NOT BOOKED"/>
    <n v="5000"/>
    <x v="4"/>
    <d v="2012-01-08T00:00:00"/>
    <s v="Y"/>
    <s v="SURETY"/>
    <s v="DEFERRED ADJUDICATION "/>
    <n v="0"/>
    <n v="257"/>
    <n v="0"/>
    <n v="0"/>
    <m/>
    <m/>
    <m/>
    <m/>
    <m/>
    <m/>
    <m/>
    <m/>
    <m/>
    <d v="1970-03-13T00:00:00"/>
    <s v="M"/>
    <s v="W"/>
    <s v="WHITE"/>
    <s v="NULL"/>
    <s v="228"/>
    <s v="DEFERRED"/>
    <n v="11"/>
    <s v="DEFERRED"/>
    <m/>
    <m/>
    <m/>
    <s v="THEFT &gt;=$20,000 &lt;$100,000"/>
    <m/>
    <s v="F3"/>
    <s v="THEFT"/>
    <m/>
    <m/>
    <m/>
    <m/>
    <m/>
    <m/>
    <m/>
    <m/>
    <m/>
    <s v="Hired Attorney"/>
    <m/>
    <m/>
    <n v="0"/>
    <n v="0"/>
    <n v="257"/>
    <n v="41.729508196721312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e v="#VALUE!"/>
    <m/>
    <s v="N"/>
    <m/>
    <s v="0-10 DAYS"/>
    <n v="1"/>
    <x v="1"/>
  </r>
  <r>
    <n v="675"/>
    <s v="N"/>
    <s v="N"/>
    <n v="1834777"/>
    <n v="5"/>
    <d v="2012-01-27T00:00:00"/>
    <d v="2012-02-13T00:00:00"/>
    <n v="1834777"/>
    <d v="2012-02-12T00:00:00"/>
    <d v="2012-02-13T00:00:00"/>
    <n v="10000"/>
    <x v="3"/>
    <m/>
    <s v="N"/>
    <s v="NONE"/>
    <s v="GUILTY PLEA - NO JURY"/>
    <n v="2"/>
    <n v="18"/>
    <n v="2"/>
    <n v="0"/>
    <n v="2"/>
    <m/>
    <m/>
    <m/>
    <m/>
    <m/>
    <m/>
    <m/>
    <m/>
    <d v="1980-09-07T00:00:00"/>
    <s v="M"/>
    <s v="B"/>
    <s v="BLACK"/>
    <s v="NULL"/>
    <s v="185"/>
    <s v="CONVICTED"/>
    <n v="2"/>
    <s v="STJ"/>
    <m/>
    <n v="6"/>
    <m/>
    <s v="FAIL TO REGISTER AS SEX OFFEND"/>
    <m/>
    <s v="FS"/>
    <s v="OTHER FEL"/>
    <m/>
    <m/>
    <m/>
    <m/>
    <m/>
    <m/>
    <m/>
    <m/>
    <m/>
    <s v="Appointed Attorney"/>
    <m/>
    <m/>
    <n v="2"/>
    <n v="2"/>
    <n v="18"/>
    <n v="31.3224043715847"/>
    <n v="0"/>
    <n v="0"/>
    <s v="CONVICTION"/>
    <x v="0"/>
    <s v="N"/>
    <m/>
    <s v="CONVICTION"/>
    <s v="Y"/>
    <x v="0"/>
    <x v="0"/>
    <s v="Y"/>
    <n v="0.1111111111111111"/>
    <n v="1"/>
    <n v="0.88888888888888884"/>
    <n v="0"/>
    <n v="-2"/>
    <n v="0"/>
    <n v="2"/>
    <e v="#VALUE!"/>
    <n v="2"/>
    <n v="0"/>
    <n v="0"/>
    <m/>
    <s v="Y"/>
    <m/>
    <s v="0-10 DAYS"/>
    <n v="1"/>
    <x v="0"/>
  </r>
  <r>
    <n v="2369"/>
    <s v="N"/>
    <s v="N"/>
    <n v="1836082"/>
    <n v="6"/>
    <d v="2012-03-30T00:00:00"/>
    <d v="2013-08-02T00:00:00"/>
    <n v="1836082"/>
    <d v="2012-03-30T00:00:00"/>
    <d v="2013-08-02T00:00:00"/>
    <s v="NO BOND"/>
    <x v="1"/>
    <m/>
    <s v="N"/>
    <s v="NONE"/>
    <s v="GUILTY PLEA - NO JURY"/>
    <n v="491"/>
    <n v="491"/>
    <n v="3"/>
    <n v="3"/>
    <n v="2"/>
    <m/>
    <m/>
    <m/>
    <m/>
    <m/>
    <m/>
    <m/>
    <m/>
    <d v="1983-10-04T00:00:00"/>
    <s v="M"/>
    <s v="B"/>
    <s v="BLACK"/>
    <s v="NULL"/>
    <s v="209"/>
    <s v="CONVICTED"/>
    <n v="15"/>
    <s v="TDC"/>
    <n v="5"/>
    <m/>
    <m/>
    <s v="POSS W/INT DEL CS PG1&gt;=4 &lt;200"/>
    <m/>
    <s v="F1"/>
    <s v="SALE DRUG"/>
    <s v="OTHER CASE DISM"/>
    <m/>
    <m/>
    <m/>
    <m/>
    <m/>
    <m/>
    <m/>
    <m/>
    <s v="Hired Attorney"/>
    <m/>
    <m/>
    <n v="491"/>
    <n v="491"/>
    <n v="491"/>
    <n v="28.428961748633881"/>
    <n v="0"/>
    <n v="0"/>
    <s v="CONVICTION"/>
    <x v="0"/>
    <s v="N"/>
    <m/>
    <s v="CONVICTION"/>
    <s v="Y"/>
    <x v="0"/>
    <x v="0"/>
    <s v="Y"/>
    <n v="1"/>
    <n v="1"/>
    <n v="0"/>
    <n v="0"/>
    <n v="-491"/>
    <n v="0"/>
    <n v="491"/>
    <e v="#VALUE!"/>
    <n v="491"/>
    <n v="0"/>
    <n v="0"/>
    <m/>
    <s v="Y"/>
    <m/>
    <s v=" &gt;1YRS&lt;2YRS"/>
    <n v="0"/>
    <x v="0"/>
  </r>
  <r>
    <n v="394"/>
    <s v="N"/>
    <s v="N"/>
    <n v="1836122"/>
    <n v="4"/>
    <d v="2012-01-17T00:00:00"/>
    <d v="2012-11-01T00:00:00"/>
    <n v="1836122"/>
    <d v="2012-07-04T00:00:00"/>
    <d v="2012-07-18T00:00:00"/>
    <n v="20000"/>
    <x v="0"/>
    <d v="2012-07-18T00:00:00"/>
    <s v="Y"/>
    <s v="SURETY"/>
    <s v="GUILTY PLEA - NO JURY"/>
    <n v="15"/>
    <n v="290"/>
    <n v="0"/>
    <n v="0"/>
    <m/>
    <m/>
    <m/>
    <m/>
    <m/>
    <m/>
    <m/>
    <m/>
    <m/>
    <d v="1972-01-02T00:00:00"/>
    <s v="M"/>
    <s v="W"/>
    <s v="WHITE"/>
    <s v="NON-HISPANIC"/>
    <s v="208"/>
    <s v="CONVICTED"/>
    <n v="7"/>
    <s v="HCJ"/>
    <m/>
    <m/>
    <n v="150"/>
    <s v="ASSAULT-BOD INJ-FAMILY MEMBER"/>
    <m/>
    <s v="F3"/>
    <s v="ASLT-MURDR"/>
    <m/>
    <m/>
    <m/>
    <m/>
    <m/>
    <m/>
    <m/>
    <m/>
    <m/>
    <s v="Appointed Attorney"/>
    <m/>
    <m/>
    <n v="15"/>
    <n v="121"/>
    <n v="290"/>
    <n v="39.959016393442624"/>
    <n v="0"/>
    <n v="-106"/>
    <s v="CONVICTION"/>
    <x v="1"/>
    <s v="Y"/>
    <m/>
    <s v="CONVICTION"/>
    <s v="Y"/>
    <x v="1"/>
    <x v="0"/>
    <s v="N"/>
    <n v="5.1724137931034482E-2"/>
    <n v="0.12396694214876033"/>
    <n v="7.2242804217725859E-2"/>
    <n v="0"/>
    <n v="-15"/>
    <n v="0"/>
    <n v="15"/>
    <e v="#VALUE!"/>
    <n v="15"/>
    <n v="0"/>
    <n v="106"/>
    <m/>
    <s v="N"/>
    <m/>
    <s v="11-30 DAYS"/>
    <n v="2"/>
    <x v="0"/>
  </r>
  <r>
    <n v="2484"/>
    <s v="N"/>
    <s v="N"/>
    <n v="1836586"/>
    <n v="2"/>
    <d v="2012-04-03T00:00:00"/>
    <d v="2012-04-05T00:00:00"/>
    <n v="1836586"/>
    <d v="2012-04-03T00:00:00"/>
    <d v="2012-04-05T00:00:00"/>
    <n v="5000"/>
    <x v="4"/>
    <m/>
    <s v="N"/>
    <s v="NONE"/>
    <s v="DEFERRED ADJUDICATION "/>
    <n v="3"/>
    <n v="3"/>
    <n v="1"/>
    <n v="0"/>
    <m/>
    <m/>
    <m/>
    <m/>
    <m/>
    <m/>
    <m/>
    <m/>
    <m/>
    <d v="1980-08-09T00:00:00"/>
    <s v="M"/>
    <s v="B"/>
    <s v="BLACK"/>
    <s v="NULL"/>
    <s v="174"/>
    <s v="DEFERRED"/>
    <n v="1"/>
    <s v="DEFERRED"/>
    <m/>
    <m/>
    <m/>
    <s v="FORGERY"/>
    <m/>
    <s v="FS"/>
    <s v="OTHER FEL"/>
    <m/>
    <m/>
    <m/>
    <m/>
    <m/>
    <m/>
    <m/>
    <m/>
    <m/>
    <s v="Appointed Attorney"/>
    <m/>
    <m/>
    <n v="3"/>
    <n v="3"/>
    <n v="3"/>
    <n v="31.584699453551913"/>
    <n v="0"/>
    <n v="0"/>
    <s v="DEFERRED"/>
    <x v="0"/>
    <s v="N"/>
    <m/>
    <s v="DEFERRED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1035"/>
    <s v="N"/>
    <s v="N"/>
    <n v="1836597"/>
    <n v="5"/>
    <d v="2012-02-08T00:00:00"/>
    <d v="2012-02-10T00:00:00"/>
    <n v="1836597"/>
    <d v="2012-02-09T00:00:00"/>
    <d v="2012-02-10T00:00:00"/>
    <n v="15000"/>
    <x v="0"/>
    <m/>
    <s v="N"/>
    <s v="NONE"/>
    <s v="GUILTY PLEA - NO JURY"/>
    <n v="2"/>
    <n v="3"/>
    <n v="4"/>
    <n v="1"/>
    <n v="4"/>
    <m/>
    <m/>
    <m/>
    <m/>
    <m/>
    <m/>
    <s v="S"/>
    <m/>
    <d v="1974-08-02T00:00:00"/>
    <s v="M"/>
    <s v="H"/>
    <s v="HISPANIC"/>
    <s v="NULL"/>
    <s v="351"/>
    <s v="CONVICTED"/>
    <n v="1"/>
    <s v="STJ"/>
    <m/>
    <n v="12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37.442622950819676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614"/>
    <s v="N"/>
    <s v="N"/>
    <n v="1837218"/>
    <n v="5"/>
    <d v="2012-04-06T00:00:00"/>
    <d v="2012-04-09T00:00:00"/>
    <n v="1837218"/>
    <d v="2012-04-07T00:00:00"/>
    <d v="2012-04-09T00:00:00"/>
    <n v="15000"/>
    <x v="0"/>
    <m/>
    <s v="N"/>
    <s v="NONE"/>
    <s v="GUILTY PLEA - NO JURY"/>
    <n v="3"/>
    <n v="4"/>
    <n v="7"/>
    <n v="5"/>
    <n v="5"/>
    <m/>
    <m/>
    <m/>
    <m/>
    <m/>
    <m/>
    <m/>
    <m/>
    <d v="1982-01-12T00:00:00"/>
    <s v="M"/>
    <s v="W"/>
    <s v="WHITE"/>
    <s v="NON-HISPANIC"/>
    <s v="182"/>
    <s v="CONVICTED"/>
    <n v="1"/>
    <s v="STJ"/>
    <m/>
    <n v="7"/>
    <m/>
    <s v="THEFT UNDER $1500 - 3RD OFF."/>
    <m/>
    <s v="FS"/>
    <s v="THEFT"/>
    <m/>
    <m/>
    <m/>
    <m/>
    <m/>
    <m/>
    <m/>
    <m/>
    <m/>
    <s v="Appointed Attorney"/>
    <m/>
    <m/>
    <n v="3"/>
    <n v="3"/>
    <n v="4"/>
    <n v="30.169398907103826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n v="0"/>
    <m/>
    <s v="Y"/>
    <m/>
    <s v="0-10 DAYS"/>
    <n v="1"/>
    <x v="0"/>
  </r>
  <r>
    <n v="1763"/>
    <s v="N"/>
    <s v="Y"/>
    <n v="1837850"/>
    <n v="6"/>
    <d v="2012-03-06T00:00:00"/>
    <d v="2012-10-18T00:00:00"/>
    <n v="1837850"/>
    <d v="2012-03-07T00:00:00"/>
    <d v="2012-03-08T00:00:00"/>
    <n v="30000"/>
    <x v="2"/>
    <d v="2012-03-08T00:00:00"/>
    <s v="Y"/>
    <s v="SURETYPTRc"/>
    <s v="GUILTY PLEA - NO JURY"/>
    <n v="9"/>
    <n v="227"/>
    <n v="4"/>
    <n v="5"/>
    <n v="2"/>
    <m/>
    <m/>
    <m/>
    <m/>
    <m/>
    <m/>
    <m/>
    <m/>
    <d v="1978-04-19T00:00:00"/>
    <s v="M"/>
    <s v="H"/>
    <s v="HISPANIC"/>
    <s v="HISPANIC"/>
    <s v="262"/>
    <s v="CONVICTED"/>
    <n v="4"/>
    <s v="TDC"/>
    <n v="5"/>
    <m/>
    <m/>
    <s v="POSS W/INT DEL CS PG1&gt;=4 &lt;200"/>
    <m/>
    <s v="F1"/>
    <s v="SALE DRUG"/>
    <m/>
    <s v=" rev 4/30/12 "/>
    <m/>
    <m/>
    <s v="Y"/>
    <m/>
    <m/>
    <m/>
    <m/>
    <s v="Hired Attorney"/>
    <m/>
    <m/>
    <n v="9"/>
    <n v="226"/>
    <n v="227"/>
    <n v="33.811475409836063"/>
    <n v="0"/>
    <n v="-224"/>
    <s v="CONVICTION"/>
    <x v="1"/>
    <s v="Y"/>
    <m/>
    <s v="CONVICTION"/>
    <s v="Y"/>
    <x v="0"/>
    <x v="0"/>
    <s v="Y"/>
    <n v="3.9647577092511016E-2"/>
    <n v="8.8495575221238937E-3"/>
    <n v="-3.0798019570387122E-2"/>
    <n v="0"/>
    <n v="-2"/>
    <n v="7"/>
    <n v="226"/>
    <n v="9"/>
    <n v="226"/>
    <n v="224"/>
    <n v="224"/>
    <m/>
    <s v="Y"/>
    <m/>
    <s v="0-10 DAYS"/>
    <n v="1"/>
    <x v="0"/>
  </r>
  <r>
    <n v="1603"/>
    <s v="N"/>
    <s v="N"/>
    <n v="1840126"/>
    <n v="6"/>
    <d v="2012-02-29T00:00:00"/>
    <d v="2012-06-26T00:00:00"/>
    <n v="1840126"/>
    <d v="2012-03-20T00:00:00"/>
    <d v="2012-06-26T00:00:00"/>
    <n v="20000"/>
    <x v="0"/>
    <m/>
    <s v="N"/>
    <s v="NONE"/>
    <s v="GUILTY PLEA - NO JURY"/>
    <n v="99"/>
    <n v="119"/>
    <n v="1"/>
    <n v="7"/>
    <n v="1"/>
    <m/>
    <m/>
    <m/>
    <m/>
    <m/>
    <m/>
    <m/>
    <m/>
    <d v="1980-03-23T00:00:00"/>
    <s v="M"/>
    <s v="B"/>
    <s v="BLACK"/>
    <s v="NULL"/>
    <s v="185"/>
    <s v="CONVICTED"/>
    <n v="7"/>
    <s v="TDC"/>
    <n v="4"/>
    <m/>
    <m/>
    <s v="MAN/DEL CS PG I 1-4 GRAMS"/>
    <m/>
    <s v="F2"/>
    <s v="SALE DRUG"/>
    <m/>
    <m/>
    <m/>
    <m/>
    <m/>
    <m/>
    <m/>
    <m/>
    <m/>
    <s v="Appointed Attorney"/>
    <m/>
    <m/>
    <n v="99"/>
    <n v="99"/>
    <n v="119"/>
    <n v="31.871584699453553"/>
    <n v="0"/>
    <n v="0"/>
    <s v="CONVICTION"/>
    <x v="0"/>
    <s v="N"/>
    <m/>
    <s v="CONVICTION"/>
    <s v="Y"/>
    <x v="0"/>
    <x v="0"/>
    <s v="Y"/>
    <n v="0.83193277310924374"/>
    <n v="1"/>
    <n v="0.16806722689075626"/>
    <n v="0"/>
    <n v="-99"/>
    <n v="0"/>
    <n v="99"/>
    <e v="#VALUE!"/>
    <n v="99"/>
    <n v="0"/>
    <n v="0"/>
    <m/>
    <s v="Y"/>
    <m/>
    <s v="91-120 DAYS"/>
    <n v="0"/>
    <x v="0"/>
  </r>
  <r>
    <n v="33"/>
    <s v="N"/>
    <s v="N"/>
    <n v="1840393"/>
    <n v="6"/>
    <d v="2012-01-03T00:00:00"/>
    <d v="2012-04-03T00:00:00"/>
    <n v="1840393"/>
    <d v="2012-01-03T00:00:00"/>
    <d v="2012-04-03T00:00:00"/>
    <s v="NO BOND"/>
    <x v="1"/>
    <m/>
    <s v="N"/>
    <s v="NONE"/>
    <s v="DEFENDANT CONVICTED ON ANOTHER CHARGE"/>
    <n v="92"/>
    <n v="92"/>
    <n v="4"/>
    <n v="3"/>
    <n v="1"/>
    <m/>
    <m/>
    <m/>
    <m/>
    <m/>
    <m/>
    <m/>
    <m/>
    <d v="1983-03-21T00:00:00"/>
    <s v="M"/>
    <s v="B"/>
    <s v="BLACK"/>
    <s v="NULL"/>
    <s v="177"/>
    <s v="CONVICTED"/>
    <n v="5"/>
    <s v="TDC"/>
    <n v="5"/>
    <m/>
    <m/>
    <s v="ASSAULT-BOD INJ-PUB SERV/RETAL"/>
    <m/>
    <s v="F3"/>
    <s v="ASLT-MURDR"/>
    <m/>
    <m/>
    <m/>
    <m/>
    <m/>
    <m/>
    <m/>
    <m/>
    <m/>
    <s v="Hired Attorney"/>
    <m/>
    <m/>
    <n v="92"/>
    <n v="92"/>
    <n v="92"/>
    <n v="28.729508196721312"/>
    <n v="0"/>
    <n v="0"/>
    <s v="CONVICTION"/>
    <x v="0"/>
    <s v="N"/>
    <m/>
    <s v="CONVICTION"/>
    <s v="Y"/>
    <x v="0"/>
    <x v="0"/>
    <s v="Y"/>
    <n v="1"/>
    <n v="1"/>
    <n v="0"/>
    <n v="0"/>
    <n v="-92"/>
    <n v="0"/>
    <n v="92"/>
    <e v="#VALUE!"/>
    <n v="92"/>
    <n v="0"/>
    <n v="0"/>
    <m/>
    <s v="Y"/>
    <m/>
    <s v="91-120 DAYS"/>
    <n v="0"/>
    <x v="0"/>
  </r>
  <r>
    <n v="2101"/>
    <s v="N"/>
    <s v="N"/>
    <n v="1841049"/>
    <n v="2"/>
    <d v="2012-03-20T00:00:00"/>
    <d v="2012-07-25T00:00:00"/>
    <n v="1841049"/>
    <d v="2012-03-26T00:00:00"/>
    <d v="2012-04-01T00:00:00"/>
    <n v="30000"/>
    <x v="2"/>
    <d v="2012-04-01T00:00:00"/>
    <s v="Y"/>
    <s v="SURETY"/>
    <s v="DEFERRED ADJUDICATION "/>
    <n v="7"/>
    <n v="128"/>
    <n v="0"/>
    <n v="0"/>
    <m/>
    <m/>
    <m/>
    <m/>
    <m/>
    <m/>
    <m/>
    <m/>
    <m/>
    <d v="1981-02-15T00:00:00"/>
    <s v="M"/>
    <s v="B"/>
    <s v="BLACK"/>
    <s v="NULL"/>
    <s v="178"/>
    <s v="DEFERRED"/>
    <n v="6"/>
    <s v="DEFERRED"/>
    <m/>
    <m/>
    <m/>
    <s v="AGG ASSAULT W/DEADLY WEAPON"/>
    <m/>
    <s v="F2"/>
    <s v="ASLT-MURDR"/>
    <m/>
    <m/>
    <m/>
    <m/>
    <m/>
    <m/>
    <m/>
    <m/>
    <m/>
    <s v="Hired Attorney"/>
    <m/>
    <m/>
    <n v="7"/>
    <n v="122"/>
    <n v="128"/>
    <n v="31.027322404371585"/>
    <n v="0"/>
    <n v="-115"/>
    <s v="DEFERRED"/>
    <x v="1"/>
    <s v="Y"/>
    <m/>
    <s v="DEFERRED"/>
    <s v="Y"/>
    <x v="1"/>
    <x v="0"/>
    <s v="N"/>
    <n v="5.46875E-2"/>
    <n v="5.737704918032787E-2"/>
    <n v="2.6895491803278701E-3"/>
    <n v="0"/>
    <n v="-7"/>
    <n v="0"/>
    <n v="7"/>
    <e v="#VALUE!"/>
    <n v="7"/>
    <n v="0"/>
    <n v="115"/>
    <m/>
    <s v="N"/>
    <m/>
    <s v="0-10 DAYS"/>
    <n v="1"/>
    <x v="0"/>
  </r>
  <r>
    <n v="201"/>
    <s v="N"/>
    <s v="N"/>
    <n v="1841694"/>
    <n v="6"/>
    <d v="2011-07-21T00:00:00"/>
    <d v="2012-04-11T00:00:00"/>
    <n v="1841694"/>
    <d v="2012-01-10T00:00:00"/>
    <d v="2012-04-11T00:00:00"/>
    <s v="NO BOND"/>
    <x v="1"/>
    <m/>
    <s v="N"/>
    <s v="NONE"/>
    <s v="DEFENDANT CONVICTED ON ANOTHER CHARGE"/>
    <n v="93"/>
    <n v="266"/>
    <n v="8"/>
    <n v="5"/>
    <n v="4"/>
    <m/>
    <m/>
    <m/>
    <m/>
    <m/>
    <m/>
    <m/>
    <m/>
    <d v="1981-10-06T00:00:00"/>
    <s v="M"/>
    <s v="B"/>
    <s v="BLACK"/>
    <s v="NON-HISPANIC"/>
    <s v="248"/>
    <s v="CONVICTED"/>
    <n v="11"/>
    <s v="TDC"/>
    <n v="4"/>
    <m/>
    <m/>
    <s v="THEFT $1500-20K"/>
    <m/>
    <s v="FS"/>
    <s v="THEFT"/>
    <m/>
    <m/>
    <m/>
    <m/>
    <m/>
    <m/>
    <m/>
    <m/>
    <m/>
    <s v="Hired Attorney"/>
    <m/>
    <m/>
    <n v="93"/>
    <n v="93"/>
    <n v="266"/>
    <n v="29.726775956284154"/>
    <n v="0"/>
    <n v="0"/>
    <s v="CONVICTION"/>
    <x v="0"/>
    <s v="N"/>
    <m/>
    <s v="CONVICTION"/>
    <s v="Y"/>
    <x v="0"/>
    <x v="0"/>
    <s v="Y"/>
    <n v="0.34962406015037595"/>
    <n v="1"/>
    <n v="0.65037593984962405"/>
    <n v="0"/>
    <n v="-93"/>
    <n v="0"/>
    <n v="93"/>
    <e v="#VALUE!"/>
    <n v="93"/>
    <n v="0"/>
    <n v="0"/>
    <m/>
    <s v="Y"/>
    <m/>
    <s v="91-120 DAYS"/>
    <n v="0"/>
    <x v="0"/>
  </r>
  <r>
    <n v="1314"/>
    <s v="N"/>
    <s v="N"/>
    <n v="1842688"/>
    <n v="5"/>
    <d v="2012-02-17T00:00:00"/>
    <d v="2012-08-14T00:00:00"/>
    <n v="1842688"/>
    <d v="2012-02-17T00:00:00"/>
    <d v="2012-08-14T00:00:00"/>
    <s v="NO BOND"/>
    <x v="1"/>
    <m/>
    <s v="N"/>
    <s v="NONE"/>
    <s v="GUILTY PLEA - NO JURY"/>
    <n v="180"/>
    <n v="180"/>
    <n v="1"/>
    <n v="0"/>
    <m/>
    <m/>
    <m/>
    <m/>
    <m/>
    <m/>
    <m/>
    <m/>
    <m/>
    <d v="1974-03-13T00:00:00"/>
    <s v="M"/>
    <s v="W"/>
    <s v="WHITE"/>
    <s v="NON-HISPANIC"/>
    <s v="208"/>
    <s v="CONVICTED"/>
    <n v="7"/>
    <s v="STJ"/>
    <m/>
    <n v="6"/>
    <m/>
    <s v="FORGERY GOVT FINANCIAL INST"/>
    <m/>
    <s v="F3"/>
    <s v="OTHER FEL"/>
    <m/>
    <m/>
    <m/>
    <m/>
    <m/>
    <m/>
    <m/>
    <m/>
    <m/>
    <s v="Appointed Attorney"/>
    <m/>
    <m/>
    <n v="180"/>
    <n v="180"/>
    <n v="180"/>
    <n v="37.855191256830601"/>
    <n v="0"/>
    <n v="0"/>
    <s v="CONVICTION"/>
    <x v="0"/>
    <s v="N"/>
    <m/>
    <s v="CONVICTION"/>
    <s v="Y"/>
    <x v="0"/>
    <x v="0"/>
    <s v="Y"/>
    <n v="1"/>
    <n v="1"/>
    <n v="0"/>
    <n v="0"/>
    <n v="-180"/>
    <n v="0"/>
    <n v="180"/>
    <e v="#VALUE!"/>
    <n v="180"/>
    <n v="0"/>
    <n v="0"/>
    <m/>
    <s v="Y"/>
    <m/>
    <s v="121-365 DAYS"/>
    <n v="6"/>
    <x v="0"/>
  </r>
  <r>
    <n v="825"/>
    <s v="N"/>
    <s v="N"/>
    <n v="1842765"/>
    <n v="5"/>
    <d v="2012-02-01T00:00:00"/>
    <d v="2012-03-29T00:00:00"/>
    <n v="1842765"/>
    <d v="2012-02-01T00:00:00"/>
    <d v="2012-03-29T00:00:00"/>
    <s v="NO BOND"/>
    <x v="1"/>
    <m/>
    <s v="N"/>
    <s v="NONE"/>
    <s v="GUILTY PLEA - NO JURY"/>
    <n v="58"/>
    <n v="58"/>
    <n v="0"/>
    <n v="7"/>
    <m/>
    <m/>
    <m/>
    <m/>
    <m/>
    <m/>
    <m/>
    <m/>
    <m/>
    <d v="1982-09-29T00:00:00"/>
    <s v="M"/>
    <s v="B"/>
    <s v="BLACK"/>
    <s v="NON-HISPANIC"/>
    <s v="337"/>
    <s v="CONVICTED"/>
    <n v="4"/>
    <s v="STJ"/>
    <m/>
    <n v="8"/>
    <m/>
    <s v="POSS CS PG 1 &lt;1G"/>
    <m/>
    <s v="FS"/>
    <s v="POSS DRUG"/>
    <m/>
    <m/>
    <m/>
    <m/>
    <m/>
    <m/>
    <m/>
    <m/>
    <m/>
    <s v="Hired Attorney"/>
    <m/>
    <m/>
    <n v="58"/>
    <n v="58"/>
    <n v="58"/>
    <n v="29.281420765027324"/>
    <n v="0"/>
    <n v="0"/>
    <s v="CONVICTION"/>
    <x v="0"/>
    <s v="N"/>
    <m/>
    <s v="CONVICTION"/>
    <s v="Y"/>
    <x v="0"/>
    <x v="0"/>
    <s v="N"/>
    <n v="1"/>
    <n v="1"/>
    <n v="0"/>
    <n v="0"/>
    <n v="-58"/>
    <n v="0"/>
    <n v="58"/>
    <e v="#VALUE!"/>
    <n v="58"/>
    <n v="0"/>
    <n v="0"/>
    <m/>
    <s v="Y"/>
    <m/>
    <s v="31-60 DAYS"/>
    <n v="3"/>
    <x v="0"/>
  </r>
  <r>
    <n v="3108"/>
    <s v="N"/>
    <s v="N"/>
    <n v="1843984"/>
    <n v="2"/>
    <d v="2012-04-25T00:00:00"/>
    <d v="2012-04-27T00:00:00"/>
    <n v="1843984"/>
    <d v="2012-04-25T00:00:00"/>
    <d v="2012-04-27T00:00:00"/>
    <n v="2000"/>
    <x v="5"/>
    <m/>
    <s v="N"/>
    <s v="NONE"/>
    <s v="DEFERRED ADJUDICATION "/>
    <n v="3"/>
    <n v="3"/>
    <n v="0"/>
    <n v="1"/>
    <m/>
    <m/>
    <m/>
    <m/>
    <m/>
    <m/>
    <m/>
    <m/>
    <m/>
    <d v="1983-06-11T00:00:00"/>
    <s v="F"/>
    <s v="W"/>
    <s v="WHITE"/>
    <s v="NULL"/>
    <s v="176"/>
    <s v="DEFERRED"/>
    <n v="2"/>
    <s v="DEFERRED"/>
    <m/>
    <m/>
    <m/>
    <s v="THEFT $1500-20K"/>
    <m/>
    <s v="FS"/>
    <s v="THEFT"/>
    <m/>
    <m/>
    <m/>
    <m/>
    <m/>
    <m/>
    <m/>
    <m/>
    <m/>
    <s v="Hired Attorney"/>
    <m/>
    <m/>
    <n v="3"/>
    <n v="3"/>
    <n v="3"/>
    <n v="28.814207650273225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523"/>
    <s v="N"/>
    <s v="N"/>
    <n v="1844598"/>
    <n v="5"/>
    <d v="2012-04-04T00:00:00"/>
    <d v="2012-05-03T00:00:00"/>
    <n v="1844598"/>
    <d v="2012-04-05T00:00:00"/>
    <d v="2012-05-03T00:00:00"/>
    <n v="15000"/>
    <x v="0"/>
    <m/>
    <s v="N"/>
    <s v="NONE"/>
    <s v="GUILTY PLEA - NO JURY"/>
    <n v="29"/>
    <n v="30"/>
    <n v="4"/>
    <n v="2"/>
    <n v="1"/>
    <m/>
    <m/>
    <m/>
    <m/>
    <m/>
    <m/>
    <m/>
    <m/>
    <d v="1981-01-23T00:00:00"/>
    <s v="M"/>
    <s v="B"/>
    <s v="BLACK"/>
    <s v="NULL"/>
    <s v="338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29"/>
    <n v="29"/>
    <n v="30"/>
    <n v="31.131147540983605"/>
    <n v="0"/>
    <n v="0"/>
    <s v="CONVICTION"/>
    <x v="0"/>
    <s v="N"/>
    <m/>
    <s v="CONVICTION"/>
    <s v="Y"/>
    <x v="0"/>
    <x v="0"/>
    <s v="Y"/>
    <n v="0.96666666666666667"/>
    <n v="1"/>
    <n v="3.3333333333333326E-2"/>
    <n v="0"/>
    <n v="-29"/>
    <n v="0"/>
    <n v="29"/>
    <e v="#VALUE!"/>
    <n v="29"/>
    <n v="0"/>
    <n v="0"/>
    <m/>
    <s v="Y"/>
    <m/>
    <s v="11-30 DAYS"/>
    <n v="2"/>
    <x v="0"/>
  </r>
  <r>
    <n v="1295"/>
    <s v="N"/>
    <s v="N"/>
    <n v="1844965"/>
    <n v="5"/>
    <d v="2012-02-17T00:00:00"/>
    <d v="2012-09-10T00:00:00"/>
    <n v="1844965"/>
    <d v="2012-02-17T00:00:00"/>
    <d v="2012-02-17T00:00:00"/>
    <n v="5000"/>
    <x v="4"/>
    <d v="2012-02-17T00:00:00"/>
    <s v="Y"/>
    <s v="SURETYPTRc"/>
    <s v="GUILTY PLEA - NO JURY"/>
    <n v="1"/>
    <n v="207"/>
    <n v="3"/>
    <n v="2"/>
    <n v="1"/>
    <m/>
    <m/>
    <m/>
    <m/>
    <m/>
    <m/>
    <m/>
    <m/>
    <d v="1983-06-16T00:00:00"/>
    <s v="M"/>
    <s v="B"/>
    <s v="BLACK"/>
    <s v="NON-HISPANIC"/>
    <s v="183"/>
    <s v="CONVICTED"/>
    <n v="10"/>
    <s v="STJ"/>
    <m/>
    <n v="6"/>
    <m/>
    <s v="POSS MARIJ  4 OZ. - 5 LBS."/>
    <m/>
    <s v="FS"/>
    <s v="POSS DRUG"/>
    <s v="bd vio 3/16/12 no action"/>
    <m/>
    <m/>
    <m/>
    <m/>
    <m/>
    <m/>
    <m/>
    <m/>
    <s v="Hired Attorney"/>
    <m/>
    <m/>
    <n v="1"/>
    <n v="207"/>
    <n v="207"/>
    <n v="28.614754098360656"/>
    <n v="0"/>
    <n v="-206"/>
    <s v="CONVICTION"/>
    <x v="1"/>
    <s v="Y"/>
    <m/>
    <s v="CONVICTION"/>
    <s v="Y"/>
    <x v="1"/>
    <x v="0"/>
    <s v="Y"/>
    <n v="4.830917874396135E-3"/>
    <n v="4.830917874396135E-3"/>
    <n v="0"/>
    <n v="0"/>
    <n v="-1"/>
    <n v="0"/>
    <n v="1"/>
    <e v="#VALUE!"/>
    <m/>
    <n v="206"/>
    <n v="206"/>
    <m/>
    <s v="Y"/>
    <m/>
    <s v="0-10 DAYS"/>
    <n v="1"/>
    <x v="0"/>
  </r>
  <r>
    <n v="2564"/>
    <s v="N"/>
    <s v="N"/>
    <n v="1846154"/>
    <n v="2"/>
    <d v="2012-04-05T00:00:00"/>
    <d v="2012-06-29T00:00:00"/>
    <n v="1846154"/>
    <d v="2012-06-07T00:00:00"/>
    <d v="2012-06-15T00:00:00"/>
    <n v="10000"/>
    <x v="3"/>
    <d v="2012-06-15T00:00:00"/>
    <s v="Y"/>
    <s v="SURETY"/>
    <s v="DEFERRED ADJUDICATION "/>
    <n v="9"/>
    <n v="86"/>
    <n v="0"/>
    <n v="2"/>
    <m/>
    <m/>
    <m/>
    <m/>
    <m/>
    <m/>
    <m/>
    <m/>
    <m/>
    <d v="1980-10-20T00:00:00"/>
    <s v="M"/>
    <s v="H"/>
    <s v="HISPANIC"/>
    <s v="HISPANIC"/>
    <s v="179"/>
    <s v="DEFERRED"/>
    <n v="3"/>
    <s v="DEFERRED"/>
    <m/>
    <m/>
    <m/>
    <s v="THEFT &gt;=$20,000 &lt;$100,000"/>
    <m/>
    <s v="F3"/>
    <s v="THEFT"/>
    <m/>
    <m/>
    <m/>
    <m/>
    <m/>
    <m/>
    <m/>
    <m/>
    <m/>
    <s v="Appointed Attorney"/>
    <m/>
    <m/>
    <n v="9"/>
    <n v="23"/>
    <n v="86"/>
    <n v="31.393442622950818"/>
    <n v="0"/>
    <n v="-14"/>
    <s v="DEFERRED"/>
    <x v="1"/>
    <s v="Y"/>
    <m/>
    <s v="DEFERRED"/>
    <s v="Y"/>
    <x v="1"/>
    <x v="0"/>
    <s v="N"/>
    <n v="0.10465116279069768"/>
    <n v="0.39130434782608697"/>
    <n v="0.28665318503538928"/>
    <n v="0"/>
    <n v="-9"/>
    <n v="0"/>
    <n v="9"/>
    <e v="#VALUE!"/>
    <n v="9"/>
    <n v="0"/>
    <n v="14"/>
    <m/>
    <s v="Y"/>
    <m/>
    <s v="0-10 DAYS"/>
    <n v="1"/>
    <x v="0"/>
  </r>
  <r>
    <n v="610"/>
    <s v="N"/>
    <s v="N"/>
    <n v="1846596"/>
    <n v="6"/>
    <d v="2012-01-24T00:00:00"/>
    <d v="2012-03-14T00:00:00"/>
    <n v="1846596"/>
    <d v="2012-01-25T00:00:00"/>
    <d v="2012-03-14T00:00:00"/>
    <s v="NO BOND"/>
    <x v="1"/>
    <m/>
    <s v="N"/>
    <s v="NONE"/>
    <s v="GUILTY PLEA - NO JURY"/>
    <n v="50"/>
    <n v="51"/>
    <n v="4"/>
    <n v="12"/>
    <n v="2"/>
    <m/>
    <m/>
    <m/>
    <m/>
    <m/>
    <m/>
    <m/>
    <m/>
    <d v="1981-10-28T00:00:00"/>
    <s v="M"/>
    <s v="B"/>
    <s v="BLACK"/>
    <s v="NULL"/>
    <s v="337"/>
    <s v="CONVICTED"/>
    <n v="3"/>
    <s v="TDC"/>
    <n v="3"/>
    <m/>
    <m/>
    <s v="MAN/DEL CS PG I &lt;1GRAM"/>
    <m/>
    <s v="FS"/>
    <s v="SALE DRUG"/>
    <m/>
    <m/>
    <m/>
    <m/>
    <m/>
    <m/>
    <m/>
    <m/>
    <m/>
    <s v="Appointed Attorney"/>
    <m/>
    <m/>
    <n v="50"/>
    <n v="50"/>
    <n v="51"/>
    <n v="30.1775956284153"/>
    <n v="0"/>
    <n v="0"/>
    <s v="CONVICTION"/>
    <x v="0"/>
    <s v="N"/>
    <m/>
    <s v="CONVICTION"/>
    <s v="Y"/>
    <x v="0"/>
    <x v="0"/>
    <s v="Y"/>
    <n v="0.98039215686274506"/>
    <n v="1"/>
    <n v="1.9607843137254943E-2"/>
    <n v="0"/>
    <n v="-50"/>
    <n v="0"/>
    <n v="50"/>
    <e v="#VALUE!"/>
    <n v="50"/>
    <n v="0"/>
    <n v="0"/>
    <m/>
    <s v="Y"/>
    <m/>
    <s v="31-60 DAYS"/>
    <n v="3"/>
    <x v="0"/>
  </r>
  <r>
    <n v="2445"/>
    <s v="N"/>
    <s v="N"/>
    <n v="1846803"/>
    <n v="2"/>
    <d v="2012-04-02T00:00:00"/>
    <d v="2012-07-09T00:00:00"/>
    <n v="1846803"/>
    <s v="NOT BOOKED"/>
    <s v="NOT BOOKED"/>
    <n v="2000"/>
    <x v="5"/>
    <d v="2012-04-03T00:00:00"/>
    <s v="Y"/>
    <s v="SURETY"/>
    <s v="DEFERRED ADJUDICATION "/>
    <n v="0"/>
    <n v="99"/>
    <n v="0"/>
    <n v="0"/>
    <m/>
    <m/>
    <m/>
    <m/>
    <m/>
    <m/>
    <m/>
    <m/>
    <m/>
    <d v="1953-03-28T00:00:00"/>
    <s v="F"/>
    <s v="B"/>
    <s v="BLACK"/>
    <s v="NULL"/>
    <s v="339"/>
    <s v="DEFERRED"/>
    <n v="5"/>
    <s v="DEFERRED"/>
    <m/>
    <m/>
    <m/>
    <s v="THEFT $1500-20K"/>
    <m/>
    <s v="FS"/>
    <s v="THEFT"/>
    <m/>
    <m/>
    <m/>
    <m/>
    <m/>
    <m/>
    <m/>
    <m/>
    <m/>
    <s v="Appointed Attorney"/>
    <m/>
    <m/>
    <n v="0"/>
    <n v="0"/>
    <n v="99"/>
    <n v="58.893442622950822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e v="#VALUE!"/>
    <m/>
    <s v="N"/>
    <m/>
    <s v="0-10 DAYS"/>
    <n v="1"/>
    <x v="1"/>
  </r>
  <r>
    <n v="1639"/>
    <s v="N"/>
    <s v="N"/>
    <n v="1847226"/>
    <n v="2"/>
    <d v="2012-03-01T00:00:00"/>
    <d v="2012-05-03T00:00:00"/>
    <n v="1847226"/>
    <d v="2012-03-01T00:00:00"/>
    <d v="2012-05-03T00:00:00"/>
    <s v="NO BOND"/>
    <x v="1"/>
    <m/>
    <s v="N"/>
    <s v="NONE"/>
    <s v="DEFERRED ADJUDICATION "/>
    <n v="64"/>
    <n v="64"/>
    <n v="2"/>
    <n v="12"/>
    <m/>
    <m/>
    <m/>
    <m/>
    <m/>
    <m/>
    <m/>
    <m/>
    <m/>
    <d v="1982-12-26T00:00:00"/>
    <s v="M"/>
    <s v="B"/>
    <s v="BLACK"/>
    <s v="NON-HISPANIC"/>
    <s v="183"/>
    <s v="DEFERRED"/>
    <n v="3"/>
    <s v="DEFERRED"/>
    <m/>
    <m/>
    <m/>
    <s v="POSS CS PG 1 &lt;1G"/>
    <m/>
    <s v="FS"/>
    <s v="POSS DRUG"/>
    <m/>
    <m/>
    <m/>
    <m/>
    <m/>
    <m/>
    <m/>
    <m/>
    <m/>
    <s v="Appointed Attorney"/>
    <m/>
    <m/>
    <n v="64"/>
    <n v="64"/>
    <n v="64"/>
    <n v="29.120218579234972"/>
    <n v="0"/>
    <n v="0"/>
    <s v="DEFERRED"/>
    <x v="0"/>
    <s v="N"/>
    <m/>
    <s v="DEFERRED"/>
    <s v="Y"/>
    <x v="0"/>
    <x v="0"/>
    <s v="Y"/>
    <n v="1"/>
    <n v="1"/>
    <n v="0"/>
    <n v="0"/>
    <n v="-64"/>
    <n v="0"/>
    <n v="64"/>
    <e v="#VALUE!"/>
    <n v="64"/>
    <n v="0"/>
    <n v="0"/>
    <m/>
    <s v="Y"/>
    <m/>
    <s v="61-90 DAYS"/>
    <n v="4"/>
    <x v="0"/>
  </r>
  <r>
    <n v="1386"/>
    <s v="N"/>
    <s v="N"/>
    <n v="1847620"/>
    <n v="5"/>
    <d v="2012-02-21T00:00:00"/>
    <d v="2012-04-04T00:00:00"/>
    <n v="1847620"/>
    <d v="2012-02-22T00:00:00"/>
    <d v="2012-04-04T00:00:00"/>
    <n v="10000"/>
    <x v="3"/>
    <m/>
    <s v="N"/>
    <s v="NONE"/>
    <s v="GUILTY PLEA - NO JURY"/>
    <n v="43"/>
    <n v="44"/>
    <n v="1"/>
    <n v="0"/>
    <n v="1"/>
    <m/>
    <m/>
    <m/>
    <m/>
    <m/>
    <m/>
    <m/>
    <m/>
    <d v="1942-09-23T00:00:00"/>
    <s v="M"/>
    <s v="H"/>
    <s v="HISPANIC"/>
    <s v="HISPANIC"/>
    <s v="232"/>
    <s v="CONVICTED"/>
    <n v="6"/>
    <s v="STJ"/>
    <m/>
    <n v="6"/>
    <m/>
    <s v="FAIL TO REGISTER AS SEX OFFEND"/>
    <m/>
    <s v="FS"/>
    <s v="OTHER FEL"/>
    <m/>
    <m/>
    <m/>
    <m/>
    <m/>
    <m/>
    <m/>
    <m/>
    <m/>
    <s v="Appointed Attorney"/>
    <m/>
    <m/>
    <n v="43"/>
    <n v="43"/>
    <n v="44"/>
    <n v="69.270491803278688"/>
    <n v="0"/>
    <n v="0"/>
    <s v="CONVICTION"/>
    <x v="0"/>
    <s v="N"/>
    <m/>
    <s v="CONVICTION"/>
    <s v="Y"/>
    <x v="0"/>
    <x v="0"/>
    <s v="Y"/>
    <n v="0.97727272727272729"/>
    <n v="1"/>
    <n v="2.2727272727272707E-2"/>
    <n v="0"/>
    <n v="-43"/>
    <n v="0"/>
    <n v="43"/>
    <e v="#VALUE!"/>
    <n v="43"/>
    <n v="0"/>
    <n v="0"/>
    <m/>
    <s v="Y"/>
    <m/>
    <s v="31-60 DAYS"/>
    <n v="3"/>
    <x v="0"/>
  </r>
  <r>
    <n v="2769"/>
    <s v="N"/>
    <s v="N"/>
    <n v="1848375"/>
    <n v="1"/>
    <d v="2012-04-12T00:00:00"/>
    <d v="2013-01-15T00:00:00"/>
    <n v="1848375"/>
    <d v="2012-06-14T00:00:00"/>
    <d v="2013-01-15T00:00:00"/>
    <n v="5000"/>
    <x v="4"/>
    <m/>
    <s v="N"/>
    <s v="NONE"/>
    <s v="DISMISSED"/>
    <n v="216"/>
    <n v="279"/>
    <n v="0"/>
    <n v="1"/>
    <m/>
    <m/>
    <m/>
    <m/>
    <m/>
    <m/>
    <m/>
    <m/>
    <m/>
    <d v="1983-05-06T00:00:00"/>
    <s v="M"/>
    <s v="B"/>
    <s v="BLACK"/>
    <s v="NON-HISPANIC"/>
    <s v="208"/>
    <s v="DISMISSED"/>
    <n v="10"/>
    <s v="DISMISSED"/>
    <m/>
    <m/>
    <m/>
    <s v="FELON POSS WPN"/>
    <m/>
    <s v="F3"/>
    <s v="OTHER FEL"/>
    <s v="misd pend res arrest filed 11/29/12"/>
    <m/>
    <m/>
    <m/>
    <m/>
    <m/>
    <m/>
    <m/>
    <m/>
    <s v="Appointed Attorney"/>
    <m/>
    <m/>
    <n v="216"/>
    <n v="216"/>
    <n v="279"/>
    <n v="28.877049180327869"/>
    <n v="0"/>
    <n v="0"/>
    <s v="NO CONVICTION"/>
    <x v="0"/>
    <s v="N"/>
    <m/>
    <s v="NO CONVICTION"/>
    <s v="Y"/>
    <x v="0"/>
    <x v="0"/>
    <s v="N"/>
    <n v="0.77419354838709675"/>
    <n v="1"/>
    <n v="0.22580645161290325"/>
    <n v="0"/>
    <n v="-216"/>
    <n v="0"/>
    <n v="216"/>
    <e v="#VALUE!"/>
    <n v="216"/>
    <n v="0"/>
    <n v="0"/>
    <m/>
    <s v="Y"/>
    <m/>
    <s v="121-365 DAYS"/>
    <n v="6"/>
    <x v="0"/>
  </r>
  <r>
    <n v="2025"/>
    <s v="N"/>
    <s v="N"/>
    <n v="1848381"/>
    <n v="6"/>
    <d v="2012-03-17T00:00:00"/>
    <d v="2012-05-31T00:00:00"/>
    <n v="1848381"/>
    <d v="2012-03-17T00:00:00"/>
    <d v="2012-05-31T00:00:00"/>
    <n v="30000"/>
    <x v="2"/>
    <m/>
    <s v="N"/>
    <s v="NONE"/>
    <s v="GUILTY PLEA - NO JURY"/>
    <n v="76"/>
    <n v="76"/>
    <n v="3"/>
    <n v="6"/>
    <n v="2"/>
    <m/>
    <m/>
    <m/>
    <m/>
    <m/>
    <m/>
    <m/>
    <m/>
    <d v="1983-08-23T00:00:00"/>
    <s v="M"/>
    <s v="H"/>
    <s v="HISPANIC"/>
    <s v="HISPANIC"/>
    <s v="228"/>
    <s v="CONVICTED"/>
    <n v="4"/>
    <s v="TDC"/>
    <n v="5"/>
    <m/>
    <m/>
    <s v="MAN/DEL CS PG III/IV 28-200 GR"/>
    <m/>
    <s v="F2"/>
    <s v="SALE DRUG"/>
    <m/>
    <m/>
    <m/>
    <m/>
    <m/>
    <m/>
    <m/>
    <m/>
    <m/>
    <s v="Public Defender"/>
    <m/>
    <m/>
    <n v="76"/>
    <n v="76"/>
    <n v="76"/>
    <n v="28.508196721311474"/>
    <n v="0"/>
    <n v="0"/>
    <s v="CONVICTION"/>
    <x v="0"/>
    <s v="N"/>
    <m/>
    <s v="CONVICTION"/>
    <s v="Y"/>
    <x v="0"/>
    <x v="0"/>
    <s v="Y"/>
    <n v="1"/>
    <n v="1"/>
    <n v="0"/>
    <n v="0"/>
    <n v="-76"/>
    <n v="0"/>
    <n v="76"/>
    <e v="#VALUE!"/>
    <n v="76"/>
    <n v="0"/>
    <n v="0"/>
    <m/>
    <s v="Y"/>
    <m/>
    <s v="61-90 DAYS"/>
    <n v="4"/>
    <x v="0"/>
  </r>
  <r>
    <n v="1961"/>
    <s v="N"/>
    <s v="N"/>
    <n v="1850395"/>
    <n v="2"/>
    <d v="2012-03-16T00:00:00"/>
    <d v="2012-09-25T00:00:00"/>
    <n v="1850395"/>
    <d v="2012-03-22T00:00:00"/>
    <d v="2012-09-25T00:00:00"/>
    <n v="30000"/>
    <x v="2"/>
    <m/>
    <s v="N"/>
    <s v="NONE"/>
    <s v="DEFERRED ADJUDICATION "/>
    <n v="188"/>
    <n v="194"/>
    <n v="8"/>
    <n v="7"/>
    <n v="6"/>
    <m/>
    <m/>
    <m/>
    <m/>
    <m/>
    <m/>
    <m/>
    <m/>
    <d v="1984-03-16T00:00:00"/>
    <s v="M"/>
    <s v="B"/>
    <s v="BLACK"/>
    <s v="NON-HISPANIC"/>
    <s v="209"/>
    <s v="DEFERRED"/>
    <n v="9"/>
    <s v="DEFERRED"/>
    <m/>
    <m/>
    <m/>
    <s v="SEX ASSLT CHILD 14-17"/>
    <m/>
    <s v="F2"/>
    <s v="SEX ABUSE"/>
    <m/>
    <m/>
    <m/>
    <m/>
    <m/>
    <m/>
    <m/>
    <m/>
    <m/>
    <s v="Appointed Attorney"/>
    <m/>
    <m/>
    <n v="188"/>
    <n v="188"/>
    <n v="194"/>
    <n v="27.942622950819672"/>
    <n v="0"/>
    <n v="0"/>
    <s v="DEFERRED"/>
    <x v="0"/>
    <s v="N"/>
    <m/>
    <s v="DEFERRED"/>
    <s v="Y"/>
    <x v="0"/>
    <x v="0"/>
    <s v="Y"/>
    <n v="0.96907216494845361"/>
    <n v="1"/>
    <n v="3.0927835051546393E-2"/>
    <n v="0"/>
    <n v="-188"/>
    <n v="0"/>
    <n v="188"/>
    <e v="#VALUE!"/>
    <n v="188"/>
    <n v="0"/>
    <n v="0"/>
    <m/>
    <s v="Y"/>
    <m/>
    <s v="121-365 DAYS"/>
    <n v="6"/>
    <x v="0"/>
  </r>
  <r>
    <n v="1812"/>
    <s v="N"/>
    <s v="N"/>
    <n v="1850494"/>
    <n v="2"/>
    <d v="2012-03-08T00:00:00"/>
    <d v="2014-01-29T00:00:00"/>
    <n v="1850494"/>
    <d v="2012-03-23T00:00:00"/>
    <d v="2012-06-05T00:00:00"/>
    <n v="30000"/>
    <x v="2"/>
    <d v="2012-06-05T00:00:00"/>
    <s v="Y"/>
    <s v="PTRc"/>
    <s v="DEFERRED ADJUDICATION "/>
    <n v="74"/>
    <n v="693"/>
    <n v="1"/>
    <n v="5"/>
    <n v="1"/>
    <m/>
    <m/>
    <m/>
    <m/>
    <m/>
    <m/>
    <m/>
    <m/>
    <d v="1954-08-29T00:00:00"/>
    <s v="M"/>
    <s v="B"/>
    <s v="BLACK"/>
    <s v="NULL"/>
    <s v="177"/>
    <s v="DEFERRED"/>
    <n v="18"/>
    <s v="DEFERRED"/>
    <m/>
    <m/>
    <m/>
    <s v="AGG ASSAULT-FAMILY MEMBER"/>
    <m/>
    <s v="F2"/>
    <s v="ASLT-MURDR"/>
    <m/>
    <m/>
    <m/>
    <m/>
    <m/>
    <m/>
    <m/>
    <m/>
    <m/>
    <s v="Appointed Attorney"/>
    <m/>
    <m/>
    <n v="74"/>
    <n v="678"/>
    <n v="693"/>
    <n v="57.407103825136609"/>
    <n v="0"/>
    <n v="-603"/>
    <s v="DEFERRED"/>
    <x v="2"/>
    <s v="Y"/>
    <m/>
    <s v="DEFERRED"/>
    <s v="Y"/>
    <x v="1"/>
    <x v="0"/>
    <s v="Y"/>
    <n v="0.10678210678210678"/>
    <n v="0.1081"/>
    <n v="0"/>
    <n v="0"/>
    <n v="-75"/>
    <n v="-1"/>
    <n v="75"/>
    <e v="#VALUE!"/>
    <n v="74"/>
    <m/>
    <n v="603"/>
    <m/>
    <s v="Y"/>
    <e v="#N/A"/>
    <s v="61-90 DAYS"/>
    <n v="4"/>
    <x v="0"/>
  </r>
  <r>
    <n v="2649"/>
    <s v="N"/>
    <s v="N"/>
    <n v="1850630"/>
    <n v="6"/>
    <d v="2012-04-08T00:00:00"/>
    <d v="2012-08-17T00:00:00"/>
    <n v="1850630"/>
    <d v="2012-04-09T00:00:00"/>
    <d v="2012-08-17T00:00:00"/>
    <n v="35000"/>
    <x v="2"/>
    <m/>
    <s v="N"/>
    <s v="NONE"/>
    <s v="GUILTY PLEA - NO JURY"/>
    <n v="131"/>
    <n v="132"/>
    <n v="0"/>
    <n v="3"/>
    <m/>
    <m/>
    <m/>
    <m/>
    <m/>
    <m/>
    <m/>
    <m/>
    <m/>
    <d v="1977-01-14T00:00:00"/>
    <s v="M"/>
    <s v="H"/>
    <s v="HISPANIC"/>
    <s v="HISPANIC"/>
    <s v="182"/>
    <s v="CONVICTED"/>
    <n v="4"/>
    <s v="TDC"/>
    <n v="2"/>
    <m/>
    <m/>
    <s v="DWI 3RD OFFENDER BAC .08"/>
    <m/>
    <s v="F3"/>
    <s v="FEL DWI"/>
    <m/>
    <m/>
    <m/>
    <m/>
    <m/>
    <m/>
    <m/>
    <m/>
    <m/>
    <s v="Appointed Attorney"/>
    <m/>
    <m/>
    <n v="131"/>
    <n v="131"/>
    <n v="132"/>
    <n v="35.158469945355193"/>
    <n v="0"/>
    <n v="0"/>
    <s v="CONVICTION"/>
    <x v="0"/>
    <s v="N"/>
    <m/>
    <s v="CONVICTION"/>
    <s v="Y"/>
    <x v="0"/>
    <x v="0"/>
    <s v="N"/>
    <n v="0.99242424242424243"/>
    <n v="1"/>
    <n v="7.575757575757569E-3"/>
    <n v="0"/>
    <n v="-131"/>
    <n v="0"/>
    <n v="131"/>
    <e v="#VALUE!"/>
    <n v="131"/>
    <n v="0"/>
    <n v="0"/>
    <m/>
    <s v="Y"/>
    <m/>
    <s v="121-365 DAYS"/>
    <n v="6"/>
    <x v="0"/>
  </r>
  <r>
    <n v="671"/>
    <s v="N"/>
    <s v="N"/>
    <n v="1850914"/>
    <n v="6"/>
    <d v="2012-01-28T00:00:00"/>
    <d v="2012-04-23T00:00:00"/>
    <n v="1850914"/>
    <d v="2012-01-28T00:00:00"/>
    <d v="2012-04-23T00:00:00"/>
    <s v="NO BOND"/>
    <x v="1"/>
    <m/>
    <s v="N"/>
    <s v="NONE"/>
    <s v="GUILTY PLEA - NO JURY"/>
    <n v="87"/>
    <n v="87"/>
    <n v="5"/>
    <n v="5"/>
    <n v="4"/>
    <m/>
    <m/>
    <m/>
    <m/>
    <m/>
    <m/>
    <m/>
    <m/>
    <d v="1982-11-15T00:00:00"/>
    <s v="M"/>
    <s v="B"/>
    <s v="BLACK"/>
    <s v="NON-HISPANIC"/>
    <s v="351"/>
    <s v="CONVICTED"/>
    <n v="5"/>
    <s v="TDC"/>
    <n v="15"/>
    <m/>
    <m/>
    <s v="AGG ROBBERY-DEADLY WPN"/>
    <m/>
    <s v="F1"/>
    <s v="ROBBERY"/>
    <m/>
    <m/>
    <m/>
    <m/>
    <m/>
    <m/>
    <m/>
    <m/>
    <m/>
    <s v="Appointed Attorney"/>
    <m/>
    <m/>
    <n v="87"/>
    <n v="87"/>
    <n v="87"/>
    <n v="29.142076502732241"/>
    <n v="0"/>
    <n v="0"/>
    <s v="CONVICTION"/>
    <x v="0"/>
    <s v="N"/>
    <m/>
    <s v="CONVICTION"/>
    <s v="Y"/>
    <x v="0"/>
    <x v="0"/>
    <s v="Y"/>
    <n v="1"/>
    <n v="1"/>
    <n v="0"/>
    <n v="0"/>
    <n v="-87"/>
    <n v="0"/>
    <n v="87"/>
    <e v="#VALUE!"/>
    <n v="87"/>
    <n v="0"/>
    <n v="0"/>
    <m/>
    <s v="Y"/>
    <m/>
    <s v="61-90 DAYS"/>
    <n v="4"/>
    <x v="0"/>
  </r>
  <r>
    <n v="1899"/>
    <s v="N"/>
    <s v="N"/>
    <n v="1850967"/>
    <n v="4"/>
    <d v="2012-03-11T00:00:00"/>
    <d v="2012-08-15T00:00:00"/>
    <n v="1850967"/>
    <s v="NOT BOOKED"/>
    <s v="NOT BOOKED"/>
    <n v="2000"/>
    <x v="5"/>
    <d v="2012-03-12T00:00:00"/>
    <s v="Y"/>
    <s v="SURETY"/>
    <s v="GUILTY PLEA - NO JURY"/>
    <n v="0"/>
    <n v="158"/>
    <n v="0"/>
    <n v="10"/>
    <m/>
    <m/>
    <m/>
    <m/>
    <m/>
    <m/>
    <m/>
    <m/>
    <m/>
    <d v="1984-02-04T00:00:00"/>
    <s v="M"/>
    <s v="W"/>
    <s v="WHITE"/>
    <s v="NON-HISPANIC"/>
    <s v="263"/>
    <s v="CONVICTED"/>
    <n v="7"/>
    <s v="HCJ"/>
    <m/>
    <m/>
    <n v="180"/>
    <s v="POSS CS PG 2 &lt;1GRAM"/>
    <m/>
    <s v="FS"/>
    <s v="POSS DRUG"/>
    <m/>
    <m/>
    <m/>
    <m/>
    <m/>
    <m/>
    <m/>
    <m/>
    <m/>
    <s v="Hired Attorney"/>
    <m/>
    <m/>
    <n v="0"/>
    <n v="0"/>
    <n v="158"/>
    <n v="28.040983606557376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979"/>
    <s v="N"/>
    <s v="N"/>
    <n v="1852000"/>
    <n v="1"/>
    <d v="2012-02-06T00:00:00"/>
    <d v="2012-02-21T00:00:00"/>
    <n v="1852000"/>
    <s v="NOT BOOKED"/>
    <s v="NOT BOOKED"/>
    <n v="5000"/>
    <x v="4"/>
    <d v="2012-02-07T00:00:00"/>
    <s v="Y"/>
    <s v="SURETY"/>
    <s v="NO BILL"/>
    <n v="0"/>
    <n v="16"/>
    <n v="1"/>
    <n v="4"/>
    <n v="1"/>
    <m/>
    <m/>
    <m/>
    <m/>
    <m/>
    <m/>
    <s v="S"/>
    <m/>
    <d v="1982-06-21T00:00:00"/>
    <s v="M"/>
    <s v="H"/>
    <s v="HISPANIC"/>
    <s v="NULL"/>
    <s v="228"/>
    <s v="NO BILL"/>
    <n v="2"/>
    <s v="NO BILL"/>
    <m/>
    <m/>
    <m/>
    <s v="FELON POSS WPN"/>
    <m/>
    <s v="F3"/>
    <s v="OTHER FEL"/>
    <m/>
    <m/>
    <m/>
    <m/>
    <m/>
    <m/>
    <m/>
    <m/>
    <m/>
    <s v="Hired Attorney"/>
    <m/>
    <m/>
    <n v="0"/>
    <n v="0"/>
    <n v="16"/>
    <n v="29.568306010928961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53"/>
    <s v="N"/>
    <s v="N"/>
    <n v="1852302"/>
    <n v="1"/>
    <d v="2012-01-11T00:00:00"/>
    <d v="2012-05-29T00:00:00"/>
    <n v="1852302"/>
    <d v="2012-01-11T00:00:00"/>
    <d v="2012-01-15T00:00:00"/>
    <n v="15000"/>
    <x v="0"/>
    <d v="2012-01-15T00:00:00"/>
    <s v="Y"/>
    <s v="SURETY"/>
    <s v="DISMISSED"/>
    <n v="5"/>
    <n v="140"/>
    <n v="0"/>
    <n v="2"/>
    <m/>
    <m/>
    <m/>
    <m/>
    <m/>
    <m/>
    <m/>
    <m/>
    <m/>
    <d v="1980-10-09T00:00:00"/>
    <s v="M"/>
    <s v="B"/>
    <s v="BLACK"/>
    <s v="NON-HISPANIC"/>
    <s v="351"/>
    <s v="DISMISSED"/>
    <n v="7"/>
    <s v="DISMISSED"/>
    <m/>
    <m/>
    <m/>
    <s v="THEFT $1500-20K"/>
    <m/>
    <s v="FS"/>
    <s v="THEFT"/>
    <m/>
    <m/>
    <m/>
    <m/>
    <m/>
    <m/>
    <m/>
    <m/>
    <m/>
    <s v="Hired Attorney"/>
    <m/>
    <m/>
    <n v="5"/>
    <n v="140"/>
    <n v="140"/>
    <n v="31.191256830601095"/>
    <n v="0"/>
    <n v="-135"/>
    <s v="NO CONVICTION"/>
    <x v="1"/>
    <s v="Y"/>
    <m/>
    <s v="NO CONVICTION"/>
    <s v="Y"/>
    <x v="1"/>
    <x v="0"/>
    <s v="N"/>
    <n v="3.5714285714285712E-2"/>
    <n v="3.5714285714285712E-2"/>
    <n v="0"/>
    <n v="0"/>
    <n v="-5"/>
    <n v="0"/>
    <n v="5"/>
    <e v="#VALUE!"/>
    <n v="5"/>
    <n v="0"/>
    <n v="135"/>
    <m/>
    <s v="Y"/>
    <m/>
    <s v="0-10 DAYS"/>
    <n v="1"/>
    <x v="0"/>
  </r>
  <r>
    <n v="1778"/>
    <s v="N"/>
    <s v="Y"/>
    <n v="1852680"/>
    <n v="6"/>
    <d v="2012-03-07T00:00:00"/>
    <d v="2012-09-20T00:00:00"/>
    <n v="1852680"/>
    <d v="2012-03-24T00:00:00"/>
    <d v="2012-05-15T00:00:00"/>
    <n v="50000"/>
    <x v="2"/>
    <d v="2012-05-15T00:00:00"/>
    <s v="Y"/>
    <s v="SURETY"/>
    <s v="GUILTY PLEA - NO JURY"/>
    <n v="60"/>
    <n v="198"/>
    <n v="1"/>
    <n v="4"/>
    <n v="1"/>
    <m/>
    <m/>
    <m/>
    <m/>
    <m/>
    <m/>
    <s v="S"/>
    <m/>
    <d v="1983-08-25T00:00:00"/>
    <s v="M"/>
    <s v="H"/>
    <s v="HISPANIC"/>
    <s v="NULL"/>
    <s v="184"/>
    <s v="CONVICTED"/>
    <n v="10"/>
    <s v="TDC"/>
    <n v="4"/>
    <m/>
    <m/>
    <s v="AGG ASSAULT W/DEADLY WEAPON"/>
    <m/>
    <s v="F2"/>
    <s v="ASLT-MURDR"/>
    <m/>
    <s v=" REV 9/13/12"/>
    <m/>
    <m/>
    <s v="Y"/>
    <m/>
    <m/>
    <m/>
    <m/>
    <s v="Hired Attorney"/>
    <m/>
    <m/>
    <n v="60"/>
    <n v="181"/>
    <n v="198"/>
    <n v="28.475409836065573"/>
    <n v="0"/>
    <n v="-128"/>
    <s v="CONVICTION"/>
    <x v="1"/>
    <s v="Y"/>
    <m/>
    <s v="CONVICTION"/>
    <s v="Y"/>
    <x v="0"/>
    <x v="0"/>
    <s v="Y"/>
    <n v="0.30303030303030304"/>
    <n v="0.29281767955801102"/>
    <n v="-1.0212623472292015E-2"/>
    <n v="0"/>
    <n v="-53"/>
    <n v="7"/>
    <n v="181"/>
    <n v="60"/>
    <n v="181"/>
    <n v="128"/>
    <n v="128"/>
    <m/>
    <s v="Y"/>
    <m/>
    <s v="31-60 DAYS"/>
    <n v="3"/>
    <x v="0"/>
  </r>
  <r>
    <n v="2220"/>
    <s v="N"/>
    <s v="N"/>
    <n v="1852861"/>
    <n v="2"/>
    <d v="2012-03-24T00:00:00"/>
    <d v="2012-04-11T00:00:00"/>
    <n v="1852861"/>
    <d v="2012-03-24T00:00:00"/>
    <d v="2012-04-11T00:00:00"/>
    <n v="15000"/>
    <x v="0"/>
    <m/>
    <s v="N"/>
    <s v="NONE"/>
    <s v="DEFERRED ADJUDICATION "/>
    <n v="19"/>
    <n v="19"/>
    <n v="1"/>
    <n v="0"/>
    <n v="1"/>
    <m/>
    <m/>
    <m/>
    <m/>
    <m/>
    <m/>
    <m/>
    <m/>
    <d v="1983-02-03T00:00:00"/>
    <s v="F"/>
    <s v="W"/>
    <s v="WHITE"/>
    <s v="NON-HISPANIC"/>
    <s v="183"/>
    <s v="DEFERRED"/>
    <n v="4"/>
    <s v="DEFERRED"/>
    <m/>
    <m/>
    <m/>
    <s v="CREDIT/DEBIT CARD ABUSE"/>
    <m/>
    <s v="FS"/>
    <s v="OTHER FEL"/>
    <m/>
    <m/>
    <m/>
    <m/>
    <m/>
    <m/>
    <m/>
    <m/>
    <m/>
    <s v="Appointed Attorney"/>
    <m/>
    <m/>
    <n v="19"/>
    <n v="19"/>
    <n v="19"/>
    <n v="29.076502732240439"/>
    <n v="0"/>
    <n v="0"/>
    <s v="DEFERRED"/>
    <x v="0"/>
    <s v="N"/>
    <m/>
    <s v="DEFERRED"/>
    <s v="Y"/>
    <x v="0"/>
    <x v="0"/>
    <s v="Y"/>
    <n v="1"/>
    <n v="1"/>
    <n v="0"/>
    <n v="0"/>
    <n v="-19"/>
    <n v="0"/>
    <n v="19"/>
    <e v="#VALUE!"/>
    <n v="19"/>
    <n v="0"/>
    <n v="0"/>
    <m/>
    <s v="Y"/>
    <m/>
    <s v="11-30 DAYS"/>
    <n v="2"/>
    <x v="0"/>
  </r>
  <r>
    <n v="2057"/>
    <s v="N"/>
    <s v="N"/>
    <n v="1852943"/>
    <n v="5"/>
    <d v="2012-03-18T00:00:00"/>
    <d v="2012-03-19T00:00:00"/>
    <n v="1852943"/>
    <d v="2012-03-18T00:00:00"/>
    <d v="2012-03-19T00:00:00"/>
    <n v="10000"/>
    <x v="3"/>
    <m/>
    <s v="N"/>
    <s v="NONE"/>
    <s v="GUILTY PLEA - NO JURY"/>
    <n v="2"/>
    <n v="2"/>
    <n v="3"/>
    <n v="4"/>
    <n v="2"/>
    <m/>
    <m/>
    <m/>
    <m/>
    <m/>
    <m/>
    <m/>
    <m/>
    <d v="1983-11-19T00:00:00"/>
    <s v="M"/>
    <s v="W"/>
    <s v="WHITE"/>
    <s v="NON-HISPANIC"/>
    <s v="182"/>
    <s v="CONVICTED"/>
    <n v="1"/>
    <s v="STJ"/>
    <m/>
    <n v="8"/>
    <m/>
    <s v="POSS CS PG 1 &lt;1G"/>
    <m/>
    <s v="FS"/>
    <s v="POSS DRUG"/>
    <m/>
    <m/>
    <m/>
    <m/>
    <m/>
    <m/>
    <m/>
    <m/>
    <m/>
    <s v="Appointed Attorney"/>
    <m/>
    <m/>
    <n v="2"/>
    <n v="2"/>
    <n v="2"/>
    <n v="28.270491803278688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1982"/>
    <s v="N"/>
    <s v="N"/>
    <n v="1854662"/>
    <n v="5"/>
    <d v="2012-03-15T00:00:00"/>
    <d v="2012-08-13T00:00:00"/>
    <n v="1854662"/>
    <d v="2012-03-15T00:00:00"/>
    <d v="2012-08-13T00:00:00"/>
    <n v="5000"/>
    <x v="4"/>
    <m/>
    <s v="N"/>
    <s v="NONE"/>
    <s v="GUILTY PLEA - NO JURY"/>
    <n v="152"/>
    <n v="152"/>
    <n v="3"/>
    <n v="2"/>
    <n v="1"/>
    <m/>
    <m/>
    <m/>
    <m/>
    <m/>
    <m/>
    <m/>
    <m/>
    <d v="1981-04-08T00:00:00"/>
    <s v="M"/>
    <s v="B"/>
    <s v="BLACK"/>
    <s v="NULL"/>
    <s v="174"/>
    <s v="CONVICTED"/>
    <n v="7"/>
    <s v="STJ"/>
    <m/>
    <n v="6"/>
    <m/>
    <s v="POSS CS PG 1  1 - 4 GRAMS"/>
    <m/>
    <s v="F3"/>
    <s v="POSS DRUG"/>
    <m/>
    <m/>
    <m/>
    <m/>
    <m/>
    <m/>
    <m/>
    <m/>
    <m/>
    <s v="Public Defender"/>
    <m/>
    <m/>
    <n v="152"/>
    <n v="152"/>
    <n v="152"/>
    <n v="30.871584699453553"/>
    <n v="0"/>
    <n v="0"/>
    <s v="CONVICTION"/>
    <x v="0"/>
    <s v="N"/>
    <m/>
    <s v="CONVICTION"/>
    <s v="Y"/>
    <x v="0"/>
    <x v="0"/>
    <s v="Y"/>
    <n v="1"/>
    <n v="1"/>
    <n v="0"/>
    <n v="0"/>
    <n v="-152"/>
    <n v="0"/>
    <n v="152"/>
    <e v="#VALUE!"/>
    <n v="152"/>
    <n v="0"/>
    <n v="0"/>
    <m/>
    <s v="Y"/>
    <m/>
    <s v="121-365 DAYS"/>
    <n v="6"/>
    <x v="0"/>
  </r>
  <r>
    <n v="2846"/>
    <s v="N"/>
    <s v="N"/>
    <n v="1855215"/>
    <n v="5"/>
    <d v="2012-04-15T00:00:00"/>
    <d v="2012-05-24T00:00:00"/>
    <n v="1855215"/>
    <d v="2012-04-15T00:00:00"/>
    <d v="2012-05-24T00:00:00"/>
    <n v="5000"/>
    <x v="4"/>
    <m/>
    <s v="N"/>
    <s v="NONE"/>
    <s v="GUILTY PLEA - NO JURY"/>
    <n v="40"/>
    <n v="40"/>
    <n v="2"/>
    <n v="11"/>
    <m/>
    <m/>
    <m/>
    <m/>
    <m/>
    <m/>
    <m/>
    <m/>
    <m/>
    <d v="1982-12-23T00:00:00"/>
    <s v="M"/>
    <s v="B"/>
    <s v="BLACK"/>
    <s v="NON-HISPANIC"/>
    <s v="351"/>
    <s v="CONVICTED"/>
    <n v="4"/>
    <s v="STJ"/>
    <m/>
    <n v="8"/>
    <m/>
    <s v="POSS CS PG 1 &lt;1G"/>
    <m/>
    <s v="FS"/>
    <s v="POSS DRUG"/>
    <m/>
    <m/>
    <m/>
    <m/>
    <m/>
    <m/>
    <m/>
    <m/>
    <m/>
    <s v="Appointed Attorney"/>
    <m/>
    <m/>
    <n v="40"/>
    <n v="40"/>
    <n v="40"/>
    <n v="29.251366120218581"/>
    <n v="0"/>
    <n v="0"/>
    <s v="CONVICTION"/>
    <x v="0"/>
    <s v="N"/>
    <m/>
    <s v="CONVICTION"/>
    <s v="Y"/>
    <x v="0"/>
    <x v="0"/>
    <s v="Y"/>
    <n v="1"/>
    <n v="1"/>
    <n v="0"/>
    <n v="0"/>
    <n v="-40"/>
    <n v="0"/>
    <n v="40"/>
    <e v="#VALUE!"/>
    <n v="40"/>
    <n v="0"/>
    <n v="0"/>
    <m/>
    <s v="Y"/>
    <m/>
    <s v="31-60 DAYS"/>
    <n v="3"/>
    <x v="0"/>
  </r>
  <r>
    <n v="2659"/>
    <s v="N"/>
    <s v="N"/>
    <n v="1855972"/>
    <n v="5"/>
    <d v="2012-04-08T00:00:00"/>
    <d v="2012-04-10T00:00:00"/>
    <n v="1855972"/>
    <d v="2012-04-08T00:00:00"/>
    <d v="2012-04-10T00:00:00"/>
    <n v="15000"/>
    <x v="0"/>
    <m/>
    <s v="N"/>
    <s v="NONE"/>
    <s v="GUILTY PLEA - NO JURY"/>
    <n v="3"/>
    <n v="3"/>
    <n v="3"/>
    <n v="3"/>
    <m/>
    <m/>
    <m/>
    <m/>
    <m/>
    <m/>
    <m/>
    <m/>
    <m/>
    <d v="1982-12-09T00:00:00"/>
    <s v="F"/>
    <s v="W"/>
    <s v="WHITE"/>
    <s v="NON-HISPANIC"/>
    <s v="178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29.270491803278688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738"/>
    <s v="N"/>
    <s v="N"/>
    <n v="1856269"/>
    <n v="1"/>
    <d v="2012-04-11T00:00:00"/>
    <d v="2012-05-22T00:00:00"/>
    <n v="1856269"/>
    <d v="2012-04-13T00:00:00"/>
    <d v="2012-04-19T00:00:00"/>
    <n v="10000"/>
    <x v="3"/>
    <d v="2012-04-19T00:00:00"/>
    <s v="Y"/>
    <s v="SURETY"/>
    <s v="DISMISSED"/>
    <n v="7"/>
    <n v="42"/>
    <n v="1"/>
    <n v="2"/>
    <m/>
    <m/>
    <m/>
    <m/>
    <m/>
    <m/>
    <m/>
    <m/>
    <m/>
    <d v="1982-07-07T00:00:00"/>
    <s v="M"/>
    <s v="B"/>
    <s v="BLACK"/>
    <s v="NON-HISPANIC"/>
    <s v="178"/>
    <s v="DISMISSED"/>
    <n v="3"/>
    <s v="DISMISSED"/>
    <m/>
    <m/>
    <m/>
    <s v="FELON POSS WPN"/>
    <m/>
    <s v="F3"/>
    <s v="OTHER FEL"/>
    <m/>
    <m/>
    <m/>
    <m/>
    <m/>
    <m/>
    <m/>
    <m/>
    <m/>
    <s v="Appointed Attorney"/>
    <m/>
    <m/>
    <n v="7"/>
    <n v="40"/>
    <n v="42"/>
    <n v="29.702185792349727"/>
    <n v="0"/>
    <n v="-33"/>
    <s v="NO CONVICTION"/>
    <x v="1"/>
    <s v="Y"/>
    <m/>
    <s v="NO CONVICTION"/>
    <s v="Y"/>
    <x v="1"/>
    <x v="0"/>
    <s v="Y"/>
    <n v="0.16666666666666666"/>
    <n v="0.17499999999999999"/>
    <n v="8.3333333333333315E-3"/>
    <n v="0"/>
    <n v="-7"/>
    <n v="0"/>
    <n v="7"/>
    <e v="#VALUE!"/>
    <n v="7"/>
    <n v="0"/>
    <n v="33"/>
    <m/>
    <s v="Y"/>
    <m/>
    <s v="0-10 DAYS"/>
    <n v="1"/>
    <x v="0"/>
  </r>
  <r>
    <n v="2939"/>
    <s v="N"/>
    <s v="N"/>
    <n v="1856829"/>
    <n v="5"/>
    <d v="2012-04-18T00:00:00"/>
    <d v="2013-01-14T00:00:00"/>
    <n v="1856829"/>
    <d v="2012-08-09T00:00:00"/>
    <d v="2013-01-14T00:00:00"/>
    <s v="NO BOND"/>
    <x v="1"/>
    <m/>
    <s v="N"/>
    <s v="NONE"/>
    <s v="GUILTY PLEA - NO JURY"/>
    <n v="159"/>
    <n v="272"/>
    <n v="1"/>
    <n v="2"/>
    <n v="1"/>
    <m/>
    <m/>
    <m/>
    <m/>
    <m/>
    <m/>
    <m/>
    <m/>
    <d v="1976-08-12T00:00:00"/>
    <s v="M"/>
    <s v="B"/>
    <s v="BLACK"/>
    <s v="NON-HISPANIC"/>
    <s v="339"/>
    <s v="CONVICTED"/>
    <n v="7"/>
    <s v="STJ"/>
    <m/>
    <n v="6"/>
    <m/>
    <s v="FORGERY"/>
    <m/>
    <s v="FS"/>
    <s v="OTHER FEL"/>
    <m/>
    <m/>
    <m/>
    <m/>
    <m/>
    <m/>
    <m/>
    <m/>
    <m/>
    <s v="Appointed Attorney"/>
    <m/>
    <m/>
    <n v="159"/>
    <n v="159"/>
    <n v="272"/>
    <n v="35.60928961748634"/>
    <n v="0"/>
    <n v="0"/>
    <s v="CONVICTION"/>
    <x v="0"/>
    <s v="N"/>
    <m/>
    <s v="CONVICTION"/>
    <s v="Y"/>
    <x v="0"/>
    <x v="0"/>
    <s v="Y"/>
    <n v="0.5845588235294118"/>
    <n v="1"/>
    <n v="0.4154411764705882"/>
    <n v="0"/>
    <n v="-159"/>
    <n v="0"/>
    <n v="159"/>
    <e v="#VALUE!"/>
    <n v="159"/>
    <n v="0"/>
    <n v="0"/>
    <m/>
    <s v="Y"/>
    <m/>
    <s v="121-365 DAYS"/>
    <n v="6"/>
    <x v="0"/>
  </r>
  <r>
    <n v="2763"/>
    <s v="N"/>
    <s v="N"/>
    <n v="1857022"/>
    <n v="6"/>
    <d v="2012-04-12T00:00:00"/>
    <d v="2012-07-23T00:00:00"/>
    <n v="1857022"/>
    <d v="2012-04-12T00:00:00"/>
    <d v="2012-07-23T00:00:00"/>
    <s v="NO BOND"/>
    <x v="1"/>
    <m/>
    <s v="N"/>
    <s v="NONE"/>
    <s v="GUILTY PLEA - NO JURY"/>
    <n v="103"/>
    <n v="103"/>
    <n v="2"/>
    <n v="2"/>
    <n v="1"/>
    <m/>
    <m/>
    <m/>
    <m/>
    <m/>
    <m/>
    <m/>
    <m/>
    <d v="1983-09-01T00:00:00"/>
    <s v="M"/>
    <s v="W"/>
    <s v="WHITE"/>
    <s v="NULL"/>
    <s v="208"/>
    <s v="CONVICTED"/>
    <n v="4"/>
    <s v="TDC"/>
    <n v="4"/>
    <m/>
    <m/>
    <s v="POSS CS PG 2 1-4 GRAMS"/>
    <m/>
    <s v="F3"/>
    <s v="POSS DRUG"/>
    <m/>
    <m/>
    <m/>
    <m/>
    <m/>
    <m/>
    <m/>
    <m/>
    <m/>
    <s v="Appointed Attorney"/>
    <m/>
    <m/>
    <n v="103"/>
    <n v="103"/>
    <n v="103"/>
    <n v="28.55464480874317"/>
    <n v="0"/>
    <n v="0"/>
    <s v="CONVICTION"/>
    <x v="0"/>
    <s v="N"/>
    <m/>
    <s v="CONVICTION"/>
    <s v="Y"/>
    <x v="0"/>
    <x v="0"/>
    <s v="Y"/>
    <n v="1"/>
    <n v="1"/>
    <n v="0"/>
    <n v="0"/>
    <n v="-103"/>
    <n v="0"/>
    <n v="103"/>
    <e v="#VALUE!"/>
    <n v="103"/>
    <n v="0"/>
    <n v="0"/>
    <m/>
    <s v="Y"/>
    <m/>
    <s v="91-120 DAYS"/>
    <n v="0"/>
    <x v="0"/>
  </r>
  <r>
    <n v="1832"/>
    <s v="N"/>
    <s v="N"/>
    <n v="1857787"/>
    <n v="5"/>
    <d v="2012-03-08T00:00:00"/>
    <d v="2012-03-12T00:00:00"/>
    <n v="1857787"/>
    <d v="2012-03-09T00:00:00"/>
    <d v="2012-03-12T00:00:00"/>
    <n v="15000"/>
    <x v="0"/>
    <m/>
    <s v="N"/>
    <s v="NONE"/>
    <s v="GUILTY PLEA - NO JURY"/>
    <n v="4"/>
    <n v="5"/>
    <n v="3"/>
    <n v="2"/>
    <n v="3"/>
    <m/>
    <m/>
    <m/>
    <m/>
    <m/>
    <m/>
    <m/>
    <m/>
    <d v="1970-12-23T00:00:00"/>
    <s v="M"/>
    <s v="B"/>
    <s v="BLACK"/>
    <s v="NULL"/>
    <s v="209"/>
    <s v="CONVICTED"/>
    <n v="1"/>
    <s v="STJ"/>
    <m/>
    <n v="7"/>
    <m/>
    <s v="MAN/DEL CS PG I &lt;1GRAM"/>
    <m/>
    <s v="FS"/>
    <s v="SALE DRUG"/>
    <m/>
    <m/>
    <m/>
    <m/>
    <m/>
    <m/>
    <m/>
    <m/>
    <m/>
    <s v="Appointed Attorney"/>
    <m/>
    <m/>
    <n v="4"/>
    <n v="4"/>
    <n v="5"/>
    <n v="41.122950819672134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2320"/>
    <s v="N"/>
    <s v="N"/>
    <n v="1858137"/>
    <n v="2"/>
    <d v="2012-03-28T00:00:00"/>
    <d v="2012-04-11T00:00:00"/>
    <n v="1858137"/>
    <d v="2012-04-10T00:00:00"/>
    <d v="2012-04-11T00:00:00"/>
    <s v="NO BOND"/>
    <x v="1"/>
    <m/>
    <s v="N"/>
    <s v="NONE"/>
    <s v="DEFERRED ADJUDICATION "/>
    <n v="2"/>
    <n v="15"/>
    <n v="0"/>
    <n v="4"/>
    <m/>
    <m/>
    <m/>
    <m/>
    <m/>
    <m/>
    <m/>
    <m/>
    <m/>
    <d v="1983-04-08T00:00:00"/>
    <s v="M"/>
    <s v="B"/>
    <s v="BLACK"/>
    <s v="NON-HISPANIC"/>
    <s v="228"/>
    <s v="DEFERRED"/>
    <n v="2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2"/>
    <n v="2"/>
    <n v="15"/>
    <n v="28.912568306010929"/>
    <n v="0"/>
    <n v="0"/>
    <s v="DEFERRED"/>
    <x v="0"/>
    <s v="N"/>
    <m/>
    <s v="DEFERRED"/>
    <s v="Y"/>
    <x v="0"/>
    <x v="0"/>
    <s v="N"/>
    <n v="0.13333333333333333"/>
    <n v="1"/>
    <n v="0.8666666666666667"/>
    <n v="0"/>
    <n v="-2"/>
    <n v="0"/>
    <n v="2"/>
    <e v="#VALUE!"/>
    <n v="2"/>
    <n v="0"/>
    <n v="0"/>
    <m/>
    <s v="Y"/>
    <m/>
    <s v="0-10 DAYS"/>
    <n v="1"/>
    <x v="0"/>
  </r>
  <r>
    <n v="2481"/>
    <s v="N"/>
    <s v="N"/>
    <n v="1858701"/>
    <n v="1"/>
    <d v="2012-04-03T00:00:00"/>
    <d v="2012-06-27T00:00:00"/>
    <n v="1858701"/>
    <d v="2012-04-04T00:00:00"/>
    <d v="2012-04-06T00:00:00"/>
    <n v="10000"/>
    <x v="3"/>
    <d v="2012-04-06T00:00:00"/>
    <s v="Y"/>
    <s v="SURETY"/>
    <s v="DISMISSED"/>
    <n v="3"/>
    <n v="86"/>
    <n v="2"/>
    <n v="6"/>
    <n v="2"/>
    <m/>
    <m/>
    <m/>
    <m/>
    <m/>
    <m/>
    <m/>
    <m/>
    <d v="1984-05-28T00:00:00"/>
    <s v="M"/>
    <s v="B"/>
    <s v="BLACK"/>
    <s v="NON-HISPANIC"/>
    <s v="232"/>
    <s v="DISMISSED"/>
    <n v="4"/>
    <s v="DISMISSED"/>
    <m/>
    <m/>
    <m/>
    <s v="ROBBERY-BODILY INJURY"/>
    <m/>
    <s v="F2"/>
    <s v="ROBBERY"/>
    <s v="9/19/12 fel P drug 10 mos stj"/>
    <m/>
    <m/>
    <m/>
    <m/>
    <m/>
    <m/>
    <m/>
    <m/>
    <s v="Appointed Attorney"/>
    <m/>
    <m/>
    <n v="3"/>
    <n v="85"/>
    <n v="86"/>
    <n v="27.792349726775956"/>
    <n v="0"/>
    <n v="-82"/>
    <s v="NO CONVICTION"/>
    <x v="1"/>
    <s v="Y"/>
    <m/>
    <s v="NO CONVICTION"/>
    <s v="Y"/>
    <x v="1"/>
    <x v="0"/>
    <s v="Y"/>
    <n v="3.4883720930232558E-2"/>
    <n v="3.5294117647058823E-2"/>
    <n v="4.1039671682626538E-4"/>
    <n v="0"/>
    <n v="-3"/>
    <n v="0"/>
    <n v="3"/>
    <e v="#VALUE!"/>
    <n v="3"/>
    <n v="0"/>
    <n v="82"/>
    <m/>
    <s v="Y"/>
    <m/>
    <s v="0-10 DAYS"/>
    <n v="1"/>
    <x v="0"/>
  </r>
  <r>
    <n v="2377"/>
    <s v="N"/>
    <s v="N"/>
    <n v="1859546"/>
    <n v="5"/>
    <d v="2012-03-30T00:00:00"/>
    <d v="2012-04-11T00:00:00"/>
    <n v="1859546"/>
    <d v="2012-04-10T00:00:00"/>
    <d v="2012-04-11T00:00:00"/>
    <n v="20000"/>
    <x v="0"/>
    <m/>
    <s v="N"/>
    <s v="NONE"/>
    <s v="GUILTY PLEA - NO JURY"/>
    <n v="2"/>
    <n v="13"/>
    <n v="3"/>
    <n v="1"/>
    <n v="3"/>
    <m/>
    <m/>
    <m/>
    <m/>
    <m/>
    <m/>
    <s v="S"/>
    <m/>
    <d v="1984-01-12T00:00:00"/>
    <s v="M"/>
    <s v="H"/>
    <s v="HISPANIC"/>
    <s v="NULL"/>
    <s v="183"/>
    <s v="CONVICTED"/>
    <n v="2"/>
    <s v="STJ"/>
    <m/>
    <n v="6"/>
    <m/>
    <s v="ATT FAIL TO COMPLY AS SEX OFFE"/>
    <m/>
    <s v="FS"/>
    <s v="OTHER FEL"/>
    <m/>
    <m/>
    <m/>
    <m/>
    <m/>
    <m/>
    <m/>
    <m/>
    <m/>
    <s v="Appointed Attorney"/>
    <m/>
    <m/>
    <n v="2"/>
    <n v="2"/>
    <n v="13"/>
    <n v="28.155737704918032"/>
    <n v="0"/>
    <n v="0"/>
    <s v="CONVICTION"/>
    <x v="0"/>
    <s v="N"/>
    <m/>
    <s v="CONVICTION"/>
    <s v="Y"/>
    <x v="0"/>
    <x v="0"/>
    <s v="Y"/>
    <n v="0.15384615384615385"/>
    <n v="1"/>
    <n v="0.84615384615384615"/>
    <n v="0"/>
    <n v="-2"/>
    <n v="0"/>
    <n v="2"/>
    <e v="#VALUE!"/>
    <n v="2"/>
    <n v="0"/>
    <n v="0"/>
    <m/>
    <s v="Y"/>
    <m/>
    <s v="0-10 DAYS"/>
    <n v="1"/>
    <x v="0"/>
  </r>
  <r>
    <n v="1031"/>
    <s v="N"/>
    <s v="N"/>
    <n v="1860101"/>
    <n v="4"/>
    <d v="2012-02-08T00:00:00"/>
    <d v="2012-06-25T00:00:00"/>
    <n v="1860101"/>
    <d v="2012-02-13T00:00:00"/>
    <d v="2012-06-25T00:00:00"/>
    <n v="2000"/>
    <x v="5"/>
    <m/>
    <s v="N"/>
    <s v="NONE"/>
    <s v="GUILTY PLEA - NO JURY"/>
    <n v="134"/>
    <n v="139"/>
    <n v="1"/>
    <n v="4"/>
    <m/>
    <m/>
    <m/>
    <m/>
    <m/>
    <m/>
    <m/>
    <m/>
    <m/>
    <d v="1982-09-07T00:00:00"/>
    <s v="F"/>
    <s v="B"/>
    <s v="BLACK"/>
    <s v="NON-HISPANIC"/>
    <s v="338"/>
    <s v="CONVICTED"/>
    <n v="7"/>
    <s v="HCJ"/>
    <m/>
    <m/>
    <n v="240"/>
    <s v="THEFT $1500-20K"/>
    <m/>
    <s v="FS"/>
    <s v="THEFT"/>
    <m/>
    <m/>
    <m/>
    <m/>
    <m/>
    <m/>
    <m/>
    <m/>
    <m/>
    <s v="Appointed Attorney"/>
    <m/>
    <m/>
    <n v="134"/>
    <n v="134"/>
    <n v="139"/>
    <n v="29.360655737704917"/>
    <n v="0"/>
    <n v="0"/>
    <s v="CONVICTION"/>
    <x v="0"/>
    <s v="N"/>
    <m/>
    <s v="CONVICTION"/>
    <s v="Y"/>
    <x v="0"/>
    <x v="0"/>
    <s v="Y"/>
    <n v="0.96402877697841727"/>
    <n v="1"/>
    <n v="3.5971223021582732E-2"/>
    <n v="0"/>
    <n v="-134"/>
    <n v="0"/>
    <n v="134"/>
    <e v="#VALUE!"/>
    <n v="134"/>
    <n v="0"/>
    <n v="0"/>
    <m/>
    <s v="Y"/>
    <m/>
    <s v="121-365 DAYS"/>
    <n v="6"/>
    <x v="0"/>
  </r>
  <r>
    <n v="1823"/>
    <s v="N"/>
    <s v="Y"/>
    <n v="1860365"/>
    <s v=""/>
    <d v="2012-03-08T00:00:00"/>
    <m/>
    <n v="1860365"/>
    <d v="2012-03-08T00:00:00"/>
    <d v="2012-03-10T00:00:00"/>
    <n v="2500"/>
    <x v="4"/>
    <d v="2012-03-10T00:00:00"/>
    <s v="Y"/>
    <s v="SURETYPTRc"/>
    <s v="SURETYPTRc  fugitive"/>
    <s v="STILL OPEN - FUGITIVE"/>
    <s v="STILL OPEN - FUGITIVE"/>
    <n v="1"/>
    <n v="1"/>
    <m/>
    <n v="1"/>
    <m/>
    <m/>
    <m/>
    <m/>
    <m/>
    <m/>
    <m/>
    <d v="1983-04-21T00:00:00"/>
    <s v="M"/>
    <s v="B"/>
    <s v="BLACK"/>
    <s v="NULL"/>
    <s v="337"/>
    <s v="NULL"/>
    <m/>
    <m/>
    <m/>
    <m/>
    <m/>
    <s v="SELL/POSS UNLAB/RCRD&lt;65 RCRD"/>
    <m/>
    <s v="F"/>
    <s v="POSS DRUG"/>
    <m/>
    <s v="bf 4/17/2012"/>
    <s v="Y"/>
    <s v=" 4/17/2012"/>
    <m/>
    <s v="Y"/>
    <m/>
    <d v="2013-05-15T00:00:00"/>
    <n v="2823"/>
    <s v="Other/Unknown"/>
    <m/>
    <m/>
    <s v="STILL OPEN - FUGITIVE"/>
    <s v="STILL OPEN - FUGITIVE"/>
    <s v="STILL OPEN - FUGITIVE"/>
    <n v="28.8224043715847"/>
    <n v="0"/>
    <n v="40978"/>
    <n v="0"/>
    <x v="1"/>
    <s v="N"/>
    <m/>
    <s v=""/>
    <s v="Y"/>
    <x v="4"/>
    <x v="1"/>
    <s v="Y"/>
    <s v="STILL OPEN - FUGITIVE"/>
    <s v="STILL OPEN"/>
    <n v="0"/>
    <e v="#VALUE!"/>
    <n v="-3"/>
    <e v="#VALUE!"/>
    <e v="#VALUE!"/>
    <s v="STILL OPEN - FUGITIVE"/>
    <s v="STILL OPEN"/>
    <m/>
    <n v="-40978"/>
    <m/>
    <s v="Y"/>
    <e v="#N/A"/>
    <s v="&gt;3YRS"/>
    <n v="9"/>
    <x v="0"/>
  </r>
  <r>
    <n v="2687"/>
    <s v="N"/>
    <s v="N"/>
    <n v="1860697"/>
    <n v="5"/>
    <d v="2012-04-10T00:00:00"/>
    <d v="2012-06-04T00:00:00"/>
    <n v="1860697"/>
    <d v="2012-04-10T00:00:00"/>
    <d v="2012-06-04T00:00:00"/>
    <n v="15000"/>
    <x v="0"/>
    <m/>
    <s v="N"/>
    <s v="NONE"/>
    <s v="GUILTY PLEA - NO JURY"/>
    <n v="56"/>
    <n v="56"/>
    <n v="3"/>
    <n v="8"/>
    <n v="3"/>
    <m/>
    <m/>
    <m/>
    <m/>
    <m/>
    <m/>
    <m/>
    <m/>
    <d v="1983-03-28T00:00:00"/>
    <s v="M"/>
    <s v="B"/>
    <s v="BLACK"/>
    <s v="NON-HISPANIC"/>
    <s v="232"/>
    <s v="CONVICTED"/>
    <n v="4"/>
    <s v="STJ"/>
    <m/>
    <n v="6"/>
    <m/>
    <s v="evading arrest/detention w/veh "/>
    <m/>
    <s v="F3"/>
    <s v="OTHER FEL"/>
    <m/>
    <m/>
    <m/>
    <m/>
    <m/>
    <m/>
    <m/>
    <m/>
    <m/>
    <s v="Appointed Attorney"/>
    <m/>
    <m/>
    <n v="56"/>
    <n v="56"/>
    <n v="56"/>
    <n v="28.978142076502731"/>
    <n v="0"/>
    <n v="0"/>
    <s v="CONVICTION"/>
    <x v="0"/>
    <s v="N"/>
    <m/>
    <s v="CONVICTION"/>
    <s v="Y"/>
    <x v="0"/>
    <x v="0"/>
    <s v="Y"/>
    <n v="1"/>
    <n v="1"/>
    <n v="0"/>
    <n v="0"/>
    <n v="-56"/>
    <n v="0"/>
    <n v="56"/>
    <e v="#VALUE!"/>
    <n v="56"/>
    <n v="0"/>
    <n v="0"/>
    <m/>
    <s v="Y"/>
    <m/>
    <s v="31-60 DAYS"/>
    <n v="3"/>
    <x v="0"/>
  </r>
  <r>
    <n v="1430"/>
    <s v="N"/>
    <s v="N"/>
    <n v="1860758"/>
    <n v="6"/>
    <d v="2012-02-22T00:00:00"/>
    <d v="2014-12-04T00:00:00"/>
    <n v="1860758"/>
    <d v="2013-08-06T00:00:00"/>
    <d v="2014-12-04T00:00:00"/>
    <s v="NO BOND"/>
    <x v="1"/>
    <m/>
    <s v="N"/>
    <s v="NONE"/>
    <s v="GUILTY JURY VERDICT"/>
    <n v="485"/>
    <n v="1006"/>
    <n v="4"/>
    <n v="4"/>
    <n v="2"/>
    <m/>
    <m/>
    <m/>
    <m/>
    <m/>
    <m/>
    <m/>
    <m/>
    <d v="1982-11-16T00:00:00"/>
    <s v="M"/>
    <s v="H"/>
    <s v="HISPANIC"/>
    <s v="HISPANIC"/>
    <s v="338"/>
    <s v="CONVICTED"/>
    <n v="21"/>
    <s v="TDC"/>
    <n v="99"/>
    <m/>
    <m/>
    <s v="MURDER"/>
    <m/>
    <s v="F1"/>
    <s v="MURD/MANSL"/>
    <s v="PEND LIFE SENT"/>
    <m/>
    <m/>
    <m/>
    <m/>
    <m/>
    <m/>
    <m/>
    <m/>
    <s v="Appointed Attorney"/>
    <m/>
    <m/>
    <n v="485"/>
    <n v="525"/>
    <n v="1006"/>
    <n v="29.207650273224044"/>
    <n v="0"/>
    <n v="0"/>
    <s v="CONVICTION"/>
    <x v="0"/>
    <s v="N"/>
    <m/>
    <s v="CONVICTION"/>
    <s v="Y"/>
    <x v="0"/>
    <x v="0"/>
    <s v="Y"/>
    <n v="0.48210735586481113"/>
    <n v="0.48209999999999997"/>
    <n v="0"/>
    <n v="0"/>
    <n v="-486"/>
    <n v="-1"/>
    <n v="486"/>
    <e v="#VALUE!"/>
    <n v="485"/>
    <m/>
    <n v="0"/>
    <m/>
    <s v="Y"/>
    <e v="#N/A"/>
    <s v=" &gt;1YRS&lt;2YRS"/>
    <n v="0"/>
    <x v="0"/>
  </r>
  <r>
    <n v="862"/>
    <s v="N"/>
    <s v="N"/>
    <n v="1860874"/>
    <s v=""/>
    <d v="2012-02-02T00:00:00"/>
    <m/>
    <n v="1860874"/>
    <d v="2012-02-07T00:00:00"/>
    <m/>
    <s v="NO BOND"/>
    <x v="1"/>
    <m/>
    <s v="N"/>
    <s v="NONE"/>
    <s v="NULL"/>
    <s v="STILL OPEN"/>
    <s v="STILL OPEN"/>
    <n v="1"/>
    <n v="1"/>
    <n v="1"/>
    <m/>
    <m/>
    <m/>
    <m/>
    <m/>
    <m/>
    <m/>
    <m/>
    <d v="1983-01-30T00:00:00"/>
    <s v="M"/>
    <s v="B"/>
    <s v="BLACK"/>
    <s v="NULL"/>
    <s v="209"/>
    <s v="NULL"/>
    <m/>
    <m/>
    <m/>
    <m/>
    <m/>
    <s v="FELON POSS WPN"/>
    <m/>
    <s v="F3"/>
    <s v="OTHER FEL"/>
    <s v="MULTI FEL CASES"/>
    <m/>
    <m/>
    <m/>
    <m/>
    <m/>
    <m/>
    <m/>
    <m/>
    <s v="Appointed Attorney"/>
    <m/>
    <m/>
    <s v="STILL OPEN"/>
    <s v="STILL OPEN"/>
    <s v="STILL OPEN"/>
    <n v="28.948087431693988"/>
    <n v="0"/>
    <n v="0"/>
    <n v="0"/>
    <x v="0"/>
    <s v="N"/>
    <m/>
    <s v=""/>
    <s v="Y"/>
    <x v="3"/>
    <x v="1"/>
    <s v="Y"/>
    <s v="STILL OPEN"/>
    <s v="STILL OPEN"/>
    <n v="0"/>
    <e v="#VALUE!"/>
    <n v="40945"/>
    <e v="#VALUE!"/>
    <e v="#VALUE!"/>
    <s v="STILL OPEN"/>
    <s v="STILL OPEN"/>
    <m/>
    <n v="0"/>
    <m/>
    <s v="Y"/>
    <e v="#N/A"/>
    <s v="&gt;3YRS"/>
    <n v="9"/>
    <x v="0"/>
  </r>
  <r>
    <n v="2975"/>
    <s v="N"/>
    <s v="N"/>
    <n v="1861298"/>
    <n v="1"/>
    <d v="2012-04-19T00:00:00"/>
    <d v="2013-05-09T00:00:00"/>
    <n v="1861298"/>
    <s v="NOT BOOKED"/>
    <s v="NOT BOOKED"/>
    <n v="50000"/>
    <x v="2"/>
    <d v="2012-04-24T00:00:00"/>
    <s v="Y"/>
    <s v="SURETYPTRc"/>
    <s v="NULL"/>
    <n v="0"/>
    <n v="386"/>
    <n v="0"/>
    <n v="1"/>
    <m/>
    <m/>
    <m/>
    <m/>
    <m/>
    <m/>
    <m/>
    <m/>
    <m/>
    <d v="1981-07-11T00:00:00"/>
    <s v="M"/>
    <s v="H"/>
    <s v="HISPANIC"/>
    <s v="HISPANIC"/>
    <s v="337"/>
    <s v="DISMISSED"/>
    <n v="11"/>
    <s v="DISMISSED"/>
    <m/>
    <m/>
    <m/>
    <s v="AGG ASSAULT W/DEADLY WEAPON"/>
    <m/>
    <s v="F2"/>
    <s v="ASLT-MURDR"/>
    <m/>
    <m/>
    <m/>
    <m/>
    <m/>
    <m/>
    <m/>
    <m/>
    <m/>
    <s v="Hired Attorney"/>
    <m/>
    <m/>
    <n v="0"/>
    <e v="#VALUE!"/>
    <n v="386"/>
    <n v="30.710382513661202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s v="NOT BOOKED"/>
    <n v="0"/>
    <n v="0"/>
    <e v="#VALUE!"/>
    <m/>
    <s v="Y"/>
    <m/>
    <s v="0-10 DAYS"/>
    <n v="1"/>
    <x v="1"/>
  </r>
  <r>
    <n v="1936"/>
    <s v="N"/>
    <s v="Y"/>
    <n v="1861331"/>
    <n v="6"/>
    <d v="2012-03-13T00:00:00"/>
    <d v="2013-02-14T00:00:00"/>
    <n v="1861331"/>
    <d v="2012-03-13T00:00:00"/>
    <d v="2012-03-14T00:00:00"/>
    <n v="15000"/>
    <x v="0"/>
    <d v="2012-03-14T00:00:00"/>
    <s v="Y"/>
    <s v="SURETY"/>
    <s v="GUILTY PLEA - NO JURY"/>
    <n v="190"/>
    <n v="339"/>
    <n v="3"/>
    <n v="3"/>
    <n v="3"/>
    <m/>
    <m/>
    <m/>
    <m/>
    <m/>
    <m/>
    <m/>
    <m/>
    <d v="1984-03-03T00:00:00"/>
    <s v="M"/>
    <s v="B"/>
    <s v="BLACK"/>
    <s v="NULL"/>
    <s v="339"/>
    <s v="CONVICTED"/>
    <n v="9"/>
    <s v="TDC"/>
    <n v="3"/>
    <m/>
    <m/>
    <s v="BURGLARY OF A BUILDING"/>
    <m/>
    <s v="FS"/>
    <s v="BURGLARY"/>
    <m/>
    <s v="rev 4/11/12"/>
    <m/>
    <m/>
    <s v="Y"/>
    <m/>
    <m/>
    <m/>
    <m/>
    <s v="Appointed Attorney"/>
    <m/>
    <m/>
    <n v="190"/>
    <n v="339"/>
    <n v="339"/>
    <n v="27.969945355191257"/>
    <n v="0"/>
    <n v="-337"/>
    <s v="CONVICTION"/>
    <x v="1"/>
    <s v="Y"/>
    <m/>
    <s v="CONVICTION"/>
    <s v="Y"/>
    <x v="0"/>
    <x v="0"/>
    <s v="Y"/>
    <n v="0.56047197640117996"/>
    <n v="5.8997050147492625E-3"/>
    <n v="-0.55457227138643073"/>
    <n v="0"/>
    <n v="-2"/>
    <n v="188"/>
    <n v="339"/>
    <n v="190"/>
    <n v="339"/>
    <n v="337"/>
    <n v="337"/>
    <m/>
    <s v="Y"/>
    <m/>
    <s v="121-365 DAYS"/>
    <n v="6"/>
    <x v="0"/>
  </r>
  <r>
    <n v="2862"/>
    <s v="N"/>
    <s v="N"/>
    <n v="1862622"/>
    <n v="5"/>
    <d v="2012-04-15T00:00:00"/>
    <d v="2012-12-21T00:00:00"/>
    <n v="1862622"/>
    <d v="2012-04-16T00:00:00"/>
    <d v="2012-04-20T00:00:00"/>
    <n v="40000"/>
    <x v="2"/>
    <d v="2012-04-20T00:00:00"/>
    <s v="Y"/>
    <s v="SURETY"/>
    <s v="GUILTY PLEA - NO JURY"/>
    <n v="5"/>
    <n v="251"/>
    <n v="3"/>
    <n v="5"/>
    <n v="1"/>
    <m/>
    <m/>
    <m/>
    <m/>
    <m/>
    <m/>
    <m/>
    <m/>
    <d v="1983-12-05T00:00:00"/>
    <s v="M"/>
    <s v="B"/>
    <s v="BLACK"/>
    <s v="NULL"/>
    <s v="208"/>
    <s v="CONVICTED"/>
    <n v="11"/>
    <s v="STJ"/>
    <m/>
    <n v="9"/>
    <m/>
    <s v="POSS CS PG 4 OVER 400 GRAMS"/>
    <m/>
    <s v="F1"/>
    <s v="POSS DRUG"/>
    <m/>
    <m/>
    <m/>
    <m/>
    <m/>
    <m/>
    <m/>
    <m/>
    <m/>
    <s v="Appointed Attorney"/>
    <m/>
    <m/>
    <n v="5"/>
    <n v="250"/>
    <n v="251"/>
    <n v="28.303278688524589"/>
    <n v="0"/>
    <n v="-245"/>
    <s v="CONVICTION"/>
    <x v="1"/>
    <s v="Y"/>
    <m/>
    <s v="CONVICTION"/>
    <s v="Y"/>
    <x v="1"/>
    <x v="0"/>
    <s v="Y"/>
    <n v="1.9920318725099601E-2"/>
    <n v="0.02"/>
    <n v="7.9681274900399168E-5"/>
    <n v="0"/>
    <n v="-5"/>
    <n v="0"/>
    <n v="5"/>
    <e v="#VALUE!"/>
    <n v="5"/>
    <n v="0"/>
    <n v="245"/>
    <m/>
    <s v="Y"/>
    <m/>
    <s v="0-10 DAYS"/>
    <n v="1"/>
    <x v="0"/>
  </r>
  <r>
    <n v="1105"/>
    <s v="N"/>
    <s v="N"/>
    <n v="1863626"/>
    <n v="4"/>
    <d v="2012-02-10T00:00:00"/>
    <d v="2012-03-06T00:00:00"/>
    <n v="1863626"/>
    <d v="2012-02-10T00:00:00"/>
    <d v="2012-03-06T00:00:00"/>
    <n v="20000"/>
    <x v="0"/>
    <m/>
    <s v="N"/>
    <s v="NONE"/>
    <s v="GUILTY PLEA - NO JURY"/>
    <n v="26"/>
    <n v="26"/>
    <n v="1"/>
    <n v="3"/>
    <n v="1"/>
    <m/>
    <m/>
    <m/>
    <m/>
    <m/>
    <m/>
    <m/>
    <m/>
    <d v="1978-08-02T00:00:00"/>
    <s v="M"/>
    <s v="B"/>
    <s v="BLACK"/>
    <s v="NULL"/>
    <s v="179"/>
    <s v="CONVICTED"/>
    <n v="2"/>
    <s v="HCJ"/>
    <m/>
    <m/>
    <n v="30"/>
    <s v="POSS CS PG 1 &lt;1G"/>
    <m/>
    <s v="FS"/>
    <s v="POSS DRUG"/>
    <m/>
    <m/>
    <m/>
    <m/>
    <m/>
    <m/>
    <m/>
    <m/>
    <m/>
    <s v="Appointed Attorney"/>
    <m/>
    <m/>
    <n v="26"/>
    <n v="26"/>
    <n v="26"/>
    <n v="33.456284153005463"/>
    <n v="0"/>
    <n v="0"/>
    <s v="CONVICTION"/>
    <x v="0"/>
    <s v="N"/>
    <m/>
    <s v="CONVICTION"/>
    <s v="Y"/>
    <x v="0"/>
    <x v="0"/>
    <s v="Y"/>
    <n v="1"/>
    <n v="1"/>
    <n v="0"/>
    <n v="0"/>
    <n v="-26"/>
    <n v="0"/>
    <n v="26"/>
    <e v="#VALUE!"/>
    <n v="26"/>
    <n v="0"/>
    <n v="0"/>
    <m/>
    <s v="Y"/>
    <m/>
    <s v="11-30 DAYS"/>
    <n v="2"/>
    <x v="0"/>
  </r>
  <r>
    <n v="576"/>
    <s v="N"/>
    <s v="N"/>
    <n v="1864374"/>
    <n v="4"/>
    <d v="2012-01-24T00:00:00"/>
    <d v="2012-01-26T00:00:00"/>
    <n v="1864374"/>
    <d v="2012-01-25T00:00:00"/>
    <d v="2012-01-26T00:00:00"/>
    <n v="37000"/>
    <x v="2"/>
    <m/>
    <s v="N"/>
    <s v="NONE"/>
    <s v="GUILTY PLEA - NO JURY"/>
    <n v="2"/>
    <n v="3"/>
    <n v="0"/>
    <n v="2"/>
    <m/>
    <m/>
    <m/>
    <m/>
    <m/>
    <m/>
    <m/>
    <s v="S"/>
    <m/>
    <d v="1984-04-20T00:00:00"/>
    <s v="M"/>
    <s v="H"/>
    <s v="HISPANIC"/>
    <s v="NULL"/>
    <s v="248"/>
    <s v="CONVICTED"/>
    <n v="2"/>
    <s v="HCJ"/>
    <m/>
    <m/>
    <n v="150"/>
    <s v="POSS CS PG 1 &lt;1G"/>
    <m/>
    <s v="FS"/>
    <s v="POSS DRUG"/>
    <m/>
    <m/>
    <m/>
    <m/>
    <m/>
    <m/>
    <m/>
    <m/>
    <m/>
    <s v="Appointed Attorney"/>
    <m/>
    <m/>
    <n v="2"/>
    <n v="2"/>
    <n v="3"/>
    <n v="27.704918032786885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1157"/>
    <s v="N"/>
    <s v="N"/>
    <n v="1864572"/>
    <n v="1"/>
    <d v="2012-02-11T00:00:00"/>
    <d v="2012-09-28T00:00:00"/>
    <n v="1864572"/>
    <s v="NOT BOOKED"/>
    <s v="NOT BOOKED"/>
    <n v="5000"/>
    <x v="4"/>
    <d v="2012-02-20T00:00:00"/>
    <s v="Y"/>
    <s v="SURETY"/>
    <s v="DISMISSED"/>
    <n v="0"/>
    <n v="231"/>
    <n v="1"/>
    <n v="2"/>
    <m/>
    <m/>
    <m/>
    <m/>
    <m/>
    <m/>
    <m/>
    <m/>
    <m/>
    <d v="1980-03-10T00:00:00"/>
    <s v="M"/>
    <s v="B"/>
    <s v="BLACK"/>
    <s v="NON-HISPANIC"/>
    <s v="177"/>
    <s v="DISMISSED"/>
    <n v="9"/>
    <s v="DISMISSED"/>
    <m/>
    <m/>
    <m/>
    <s v="POSS CS PG 1  1 - 4 GRAMS"/>
    <m/>
    <s v="F3"/>
    <s v="POSS DRUG"/>
    <m/>
    <m/>
    <m/>
    <m/>
    <m/>
    <m/>
    <m/>
    <m/>
    <m/>
    <s v="Hired Attorney"/>
    <m/>
    <m/>
    <n v="0"/>
    <n v="0"/>
    <n v="231"/>
    <n v="31.857923497267759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2363"/>
    <s v="N"/>
    <s v="N"/>
    <n v="1864665"/>
    <n v="4"/>
    <d v="2012-03-30T00:00:00"/>
    <d v="2012-04-02T00:00:00"/>
    <n v="1864665"/>
    <d v="2012-03-30T00:00:00"/>
    <d v="2012-04-02T00:00:00"/>
    <n v="5000"/>
    <x v="4"/>
    <m/>
    <s v="N"/>
    <s v="NONE"/>
    <s v="GUILTY PLEA - NO JURY"/>
    <n v="4"/>
    <n v="4"/>
    <n v="1"/>
    <n v="4"/>
    <m/>
    <m/>
    <m/>
    <m/>
    <m/>
    <m/>
    <m/>
    <m/>
    <m/>
    <d v="1978-11-03T00:00:00"/>
    <s v="F"/>
    <s v="B"/>
    <s v="BLACK"/>
    <s v="NULL"/>
    <s v="183"/>
    <s v="CONVICTED"/>
    <n v="1"/>
    <s v="HCJ"/>
    <m/>
    <m/>
    <n v="90"/>
    <s v="POSS CS PG 1 &lt;1G"/>
    <m/>
    <s v="FS"/>
    <s v="POSS DRUG"/>
    <m/>
    <m/>
    <m/>
    <m/>
    <m/>
    <m/>
    <m/>
    <m/>
    <m/>
    <s v="Appointed Attorney"/>
    <m/>
    <m/>
    <n v="4"/>
    <n v="4"/>
    <n v="4"/>
    <n v="33.33606557377049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3034"/>
    <s v="N"/>
    <s v="N"/>
    <n v="1865184"/>
    <n v="2"/>
    <d v="2012-04-22T00:00:00"/>
    <d v="2013-01-24T00:00:00"/>
    <n v="1865184"/>
    <d v="2012-04-22T00:00:00"/>
    <d v="2012-06-20T00:00:00"/>
    <n v="20000"/>
    <x v="0"/>
    <d v="2012-06-20T00:00:00"/>
    <s v="Y"/>
    <s v="SURETY"/>
    <s v="DEFERRED ADJUDICATION "/>
    <n v="60"/>
    <n v="278"/>
    <n v="3"/>
    <n v="6"/>
    <m/>
    <n v="2"/>
    <m/>
    <m/>
    <m/>
    <m/>
    <m/>
    <m/>
    <m/>
    <d v="1983-07-30T00:00:00"/>
    <s v="M"/>
    <s v="H"/>
    <s v="HISPANIC"/>
    <s v="HISPANIC"/>
    <s v="180"/>
    <s v="DEFERRED"/>
    <n v="14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60"/>
    <n v="278"/>
    <n v="278"/>
    <n v="28.672131147540984"/>
    <n v="0"/>
    <n v="-218"/>
    <s v="DEFERRED"/>
    <x v="1"/>
    <s v="Y"/>
    <m/>
    <s v="DEFERRED"/>
    <s v="Y"/>
    <x v="1"/>
    <x v="0"/>
    <s v="Y"/>
    <n v="0.21582733812949639"/>
    <n v="0.21582733812949639"/>
    <n v="0"/>
    <n v="0"/>
    <n v="-60"/>
    <n v="0"/>
    <n v="60"/>
    <e v="#VALUE!"/>
    <n v="60"/>
    <n v="0"/>
    <n v="218"/>
    <m/>
    <s v="Y"/>
    <m/>
    <s v="31-60 DAYS"/>
    <n v="3"/>
    <x v="0"/>
  </r>
  <r>
    <n v="2376"/>
    <s v="N"/>
    <s v="N"/>
    <n v="1867116"/>
    <n v="1"/>
    <d v="2012-03-30T00:00:00"/>
    <d v="2012-11-01T00:00:00"/>
    <n v="1867116"/>
    <s v="NOT BOOKED"/>
    <s v="NOT BOOKED"/>
    <n v="30000"/>
    <x v="2"/>
    <d v="2012-04-04T00:00:00"/>
    <s v="Y"/>
    <s v="SURETY"/>
    <s v="NO BILL"/>
    <n v="0"/>
    <n v="217"/>
    <n v="1"/>
    <n v="0"/>
    <m/>
    <n v="1"/>
    <m/>
    <m/>
    <m/>
    <m/>
    <m/>
    <m/>
    <m/>
    <d v="1976-06-10T00:00:00"/>
    <s v="M"/>
    <s v="W"/>
    <s v="WHITE"/>
    <s v="NULL"/>
    <s v="339"/>
    <s v="NO BILL"/>
    <n v="9"/>
    <s v="NO BILL"/>
    <m/>
    <m/>
    <m/>
    <s v="INDECENCY CHILD-TG"/>
    <m/>
    <s v="F2"/>
    <s v="SEX ABUSE"/>
    <m/>
    <m/>
    <m/>
    <m/>
    <m/>
    <m/>
    <m/>
    <m/>
    <m/>
    <s v="Hired Attorney"/>
    <m/>
    <m/>
    <n v="0"/>
    <n v="0"/>
    <n v="217"/>
    <n v="35.729508196721312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1339"/>
    <s v="N"/>
    <s v="N"/>
    <n v="1867394"/>
    <n v="1"/>
    <d v="2012-02-18T00:00:00"/>
    <d v="2012-04-13T00:00:00"/>
    <n v="1867394"/>
    <d v="2012-02-18T00:00:00"/>
    <d v="2012-04-13T00:00:00"/>
    <n v="15000"/>
    <x v="0"/>
    <m/>
    <s v="N"/>
    <s v="NONE"/>
    <s v="DISMISSED"/>
    <n v="56"/>
    <n v="56"/>
    <n v="13"/>
    <n v="10"/>
    <n v="5"/>
    <m/>
    <m/>
    <m/>
    <m/>
    <m/>
    <m/>
    <m/>
    <m/>
    <d v="1960-06-08T00:00:00"/>
    <s v="M"/>
    <s v="B"/>
    <s v="BLACK"/>
    <s v="NON-HISPANIC"/>
    <s v="337"/>
    <s v="DISMISSED"/>
    <n v="3"/>
    <s v="DISMISSED"/>
    <m/>
    <m/>
    <m/>
    <s v="POSS CS PG 1 &lt;1G"/>
    <m/>
    <s v="FS"/>
    <s v="POSS DRUG"/>
    <s v="fel fraud 11/28/12 stj 8 mos"/>
    <m/>
    <m/>
    <m/>
    <m/>
    <m/>
    <m/>
    <m/>
    <m/>
    <s v="Appointed Attorney"/>
    <m/>
    <m/>
    <n v="56"/>
    <n v="56"/>
    <n v="56"/>
    <n v="51.590163934426229"/>
    <n v="0"/>
    <n v="0"/>
    <s v="NO CONVICTION"/>
    <x v="0"/>
    <s v="N"/>
    <m/>
    <s v="NO CONVICTION"/>
    <s v="Y"/>
    <x v="0"/>
    <x v="0"/>
    <s v="Y"/>
    <n v="1"/>
    <n v="1"/>
    <n v="0"/>
    <n v="0"/>
    <n v="-56"/>
    <n v="0"/>
    <n v="56"/>
    <e v="#VALUE!"/>
    <n v="56"/>
    <n v="0"/>
    <n v="0"/>
    <m/>
    <s v="Y"/>
    <m/>
    <s v="31-60 DAYS"/>
    <n v="3"/>
    <x v="0"/>
  </r>
  <r>
    <n v="661"/>
    <s v="N"/>
    <s v="N"/>
    <n v="1867977"/>
    <n v="5"/>
    <d v="2012-01-27T00:00:00"/>
    <d v="2012-02-15T00:00:00"/>
    <n v="1867977"/>
    <d v="2012-01-27T00:00:00"/>
    <d v="2012-02-15T00:00:00"/>
    <n v="5000"/>
    <x v="4"/>
    <m/>
    <s v="N"/>
    <s v="NONE"/>
    <s v="GUILTY PLEA - NO JURY"/>
    <n v="20"/>
    <n v="20"/>
    <n v="4"/>
    <n v="3"/>
    <n v="2"/>
    <m/>
    <m/>
    <m/>
    <m/>
    <m/>
    <m/>
    <m/>
    <m/>
    <d v="1983-08-17T00:00:00"/>
    <s v="M"/>
    <s v="B"/>
    <s v="BLACK"/>
    <s v="NULL"/>
    <s v="262"/>
    <s v="CONVICTED"/>
    <n v="3"/>
    <s v="STJ"/>
    <m/>
    <n v="6"/>
    <m/>
    <s v="UNAUTH USE OF VEHICLE"/>
    <m/>
    <s v="FS"/>
    <s v="AUTO THEFT"/>
    <m/>
    <m/>
    <m/>
    <m/>
    <m/>
    <m/>
    <m/>
    <m/>
    <m/>
    <s v="Appointed Attorney"/>
    <m/>
    <m/>
    <n v="20"/>
    <n v="20"/>
    <n v="20"/>
    <n v="28.387978142076502"/>
    <n v="0"/>
    <n v="0"/>
    <s v="CONVICTION"/>
    <x v="0"/>
    <s v="N"/>
    <m/>
    <s v="CONVICTION"/>
    <s v="Y"/>
    <x v="0"/>
    <x v="0"/>
    <s v="Y"/>
    <n v="1"/>
    <n v="1"/>
    <n v="0"/>
    <n v="0"/>
    <n v="-20"/>
    <n v="0"/>
    <n v="20"/>
    <e v="#VALUE!"/>
    <n v="20"/>
    <n v="0"/>
    <n v="0"/>
    <m/>
    <s v="Y"/>
    <m/>
    <s v="11-30 DAYS"/>
    <n v="2"/>
    <x v="0"/>
  </r>
  <r>
    <n v="1303"/>
    <s v="N"/>
    <s v="N"/>
    <n v="1868268"/>
    <n v="4"/>
    <d v="2012-02-17T00:00:00"/>
    <d v="2012-07-26T00:00:00"/>
    <n v="1868268"/>
    <d v="2012-02-17T00:00:00"/>
    <d v="2012-03-04T00:00:00"/>
    <n v="5000"/>
    <x v="4"/>
    <d v="2012-03-04T00:00:00"/>
    <s v="Y"/>
    <s v="SURETYPTRc"/>
    <s v="GUILTY PLEA - NO JURY"/>
    <n v="17"/>
    <n v="161"/>
    <n v="0"/>
    <n v="1"/>
    <m/>
    <m/>
    <m/>
    <m/>
    <m/>
    <m/>
    <m/>
    <m/>
    <m/>
    <d v="1980-07-07T00:00:00"/>
    <s v="M"/>
    <s v="H"/>
    <s v="HISPANIC"/>
    <s v="HISPANIC"/>
    <s v="337"/>
    <s v="CONVICTED"/>
    <n v="6"/>
    <s v="HCJ"/>
    <m/>
    <m/>
    <n v="30"/>
    <s v="POSS CS PG 1 &lt;1G"/>
    <m/>
    <s v="FS"/>
    <s v="POSS DRUG"/>
    <m/>
    <m/>
    <m/>
    <m/>
    <m/>
    <m/>
    <m/>
    <m/>
    <m/>
    <s v="Hired Attorney"/>
    <m/>
    <m/>
    <n v="17"/>
    <n v="161"/>
    <n v="161"/>
    <n v="31.549180327868854"/>
    <n v="0"/>
    <n v="-144"/>
    <s v="CONVICTION"/>
    <x v="1"/>
    <s v="Y"/>
    <m/>
    <s v="CONVICTION"/>
    <s v="Y"/>
    <x v="1"/>
    <x v="0"/>
    <s v="N"/>
    <n v="0.10559006211180125"/>
    <n v="0.10559006211180125"/>
    <n v="0"/>
    <n v="0"/>
    <n v="-17"/>
    <n v="0"/>
    <n v="17"/>
    <e v="#VALUE!"/>
    <n v="17"/>
    <n v="0"/>
    <n v="144"/>
    <m/>
    <s v="Y"/>
    <m/>
    <s v="11-30 DAYS"/>
    <n v="2"/>
    <x v="0"/>
  </r>
  <r>
    <n v="1422"/>
    <s v="N"/>
    <s v="N"/>
    <n v="1868613"/>
    <n v="6"/>
    <d v="2012-02-22T00:00:00"/>
    <d v="2012-05-01T00:00:00"/>
    <n v="1868613"/>
    <d v="2012-04-29T00:00:00"/>
    <d v="2012-05-01T00:00:00"/>
    <s v="NO BOND"/>
    <x v="1"/>
    <m/>
    <s v="N"/>
    <s v="NONE"/>
    <s v="GUILTY PLEA - NO JURY"/>
    <n v="3"/>
    <n v="70"/>
    <n v="3"/>
    <n v="3"/>
    <n v="1"/>
    <m/>
    <m/>
    <m/>
    <m/>
    <m/>
    <m/>
    <m/>
    <m/>
    <d v="1984-02-28T00:00:00"/>
    <s v="M"/>
    <s v="H"/>
    <s v="HISPANIC"/>
    <s v="HISPANIC"/>
    <s v="183"/>
    <s v="CONVICTED"/>
    <n v="3"/>
    <s v="TDC"/>
    <n v="4"/>
    <m/>
    <m/>
    <s v="ATT BURGLARY HABITATION"/>
    <m/>
    <s v="F3"/>
    <s v="BURGLARY"/>
    <m/>
    <m/>
    <m/>
    <m/>
    <m/>
    <m/>
    <m/>
    <m/>
    <m/>
    <s v="Appointed Attorney"/>
    <m/>
    <m/>
    <n v="3"/>
    <n v="3"/>
    <n v="70"/>
    <n v="27.92622950819672"/>
    <n v="0"/>
    <n v="0"/>
    <s v="CONVICTION"/>
    <x v="0"/>
    <s v="N"/>
    <m/>
    <s v="CONVICTION"/>
    <s v="Y"/>
    <x v="0"/>
    <x v="0"/>
    <s v="Y"/>
    <n v="4.2857142857142858E-2"/>
    <n v="1"/>
    <n v="0.95714285714285718"/>
    <n v="0"/>
    <n v="-3"/>
    <n v="0"/>
    <n v="3"/>
    <e v="#VALUE!"/>
    <n v="3"/>
    <n v="0"/>
    <n v="0"/>
    <m/>
    <s v="Y"/>
    <m/>
    <s v="0-10 DAYS"/>
    <n v="1"/>
    <x v="0"/>
  </r>
  <r>
    <n v="1523"/>
    <s v="Y"/>
    <s v="Y"/>
    <n v="1868724"/>
    <n v="6"/>
    <d v="2012-02-26T00:00:00"/>
    <d v="2013-10-04T00:00:00"/>
    <n v="1868724"/>
    <d v="2012-04-10T00:00:00"/>
    <d v="2012-02-27T00:00:00"/>
    <n v="15000"/>
    <x v="0"/>
    <d v="2012-02-27T00:00:00"/>
    <s v="Y"/>
    <s v="SURETY"/>
    <s v="GUILTY JURY VERDICT"/>
    <n v="545"/>
    <n v="587"/>
    <n v="3"/>
    <n v="7"/>
    <n v="2"/>
    <m/>
    <m/>
    <m/>
    <m/>
    <m/>
    <m/>
    <m/>
    <m/>
    <d v="1979-08-11T00:00:00"/>
    <s v="M"/>
    <s v="B"/>
    <s v="BLACK"/>
    <s v="NON-HISPANIC"/>
    <s v="176"/>
    <s v="CONVICTED"/>
    <n v="23"/>
    <s v="TDC"/>
    <n v="45"/>
    <m/>
    <m/>
    <s v="MURDER"/>
    <m/>
    <s v="F2"/>
    <s v="ASLT-MURDR"/>
    <s v="P CS  TRESS PRIORS"/>
    <s v="rev 4/10/12"/>
    <m/>
    <m/>
    <s v="Y"/>
    <m/>
    <m/>
    <m/>
    <m/>
    <s v="Appointed Attorney"/>
    <s v="MURDER 10/4/13 JURY GTY 45 Y TDC APPEAL"/>
    <m/>
    <n v="-42"/>
    <n v="543"/>
    <n v="587"/>
    <n v="32.478142076502735"/>
    <n v="-40381"/>
    <n v="-585"/>
    <s v="CONVICTION"/>
    <x v="1"/>
    <s v="Y"/>
    <m/>
    <s v="CONVICTION"/>
    <n v="-42"/>
    <x v="0"/>
    <x v="0"/>
    <s v="Y"/>
    <n v="0.92844974446337314"/>
    <n v="-7.7348066298342538E-2"/>
    <n v="-1.0057978107617156"/>
    <n v="587"/>
    <n v="42"/>
    <n v="0"/>
    <n v="543"/>
    <e v="#VALUE!"/>
    <n v="543"/>
    <n v="585"/>
    <n v="585"/>
    <m/>
    <s v="Y"/>
    <m/>
    <s v="0-10 DAYS"/>
    <n v="1"/>
    <x v="0"/>
  </r>
  <r>
    <n v="2774"/>
    <s v="N"/>
    <s v="N"/>
    <n v="1869331"/>
    <n v="6"/>
    <d v="2012-04-12T00:00:00"/>
    <d v="2013-01-11T00:00:00"/>
    <n v="1869331"/>
    <d v="2012-04-21T00:00:00"/>
    <d v="2013-01-11T00:00:00"/>
    <n v="40000"/>
    <x v="2"/>
    <m/>
    <s v="N"/>
    <s v="NONE"/>
    <s v="GUILTY PLEA - NO JURY"/>
    <n v="266"/>
    <n v="275"/>
    <n v="3"/>
    <n v="6"/>
    <n v="1"/>
    <m/>
    <m/>
    <m/>
    <m/>
    <m/>
    <m/>
    <m/>
    <m/>
    <d v="1982-10-06T00:00:00"/>
    <s v="M"/>
    <s v="B"/>
    <s v="BLACK"/>
    <s v="NON-HISPANIC"/>
    <s v="182"/>
    <s v="CONVICTED"/>
    <n v="8"/>
    <s v="TDC"/>
    <n v="4"/>
    <m/>
    <m/>
    <s v="AGG ASSAULT W/DEADLY WEAPON"/>
    <m/>
    <s v="F2"/>
    <s v="ASLT-MURDR"/>
    <m/>
    <m/>
    <m/>
    <m/>
    <m/>
    <m/>
    <m/>
    <m/>
    <m/>
    <s v="Appointed Attorney"/>
    <m/>
    <m/>
    <n v="266"/>
    <n v="266"/>
    <n v="275"/>
    <n v="29.456284153005466"/>
    <n v="0"/>
    <n v="0"/>
    <s v="CONVICTION"/>
    <x v="0"/>
    <s v="N"/>
    <m/>
    <s v="CONVICTION"/>
    <s v="Y"/>
    <x v="0"/>
    <x v="0"/>
    <s v="Y"/>
    <n v="0.96727272727272728"/>
    <n v="1"/>
    <n v="3.2727272727272716E-2"/>
    <n v="0"/>
    <n v="-266"/>
    <n v="0"/>
    <n v="266"/>
    <e v="#VALUE!"/>
    <n v="266"/>
    <n v="0"/>
    <n v="0"/>
    <m/>
    <s v="Y"/>
    <m/>
    <s v="121-365 DAYS"/>
    <n v="6"/>
    <x v="0"/>
  </r>
  <r>
    <n v="737"/>
    <s v="N"/>
    <s v="N"/>
    <n v="1869373"/>
    <n v="1"/>
    <d v="2012-01-29T00:00:00"/>
    <d v="2012-01-31T00:00:00"/>
    <n v="1869373"/>
    <s v="NOT BOOKED"/>
    <s v="NOT BOOKED"/>
    <n v="2000"/>
    <x v="5"/>
    <d v="2012-01-30T00:00:00"/>
    <s v="Y"/>
    <s v="SURETY"/>
    <s v="DISMISSED"/>
    <n v="0"/>
    <n v="3"/>
    <n v="2"/>
    <n v="7"/>
    <m/>
    <n v="1"/>
    <m/>
    <m/>
    <m/>
    <m/>
    <m/>
    <m/>
    <m/>
    <d v="1983-03-21T00:00:00"/>
    <s v="M"/>
    <s v="W"/>
    <s v="WHITE"/>
    <s v="NON-HISPANIC"/>
    <s v="177"/>
    <s v="DISMISSED"/>
    <m/>
    <s v="DISMISSED"/>
    <m/>
    <m/>
    <m/>
    <s v="POSS CS PG 2 &lt;1GRAM"/>
    <m/>
    <s v="FS"/>
    <s v="POSS DRUG"/>
    <s v="2 day hcj misd assault conv 7/10/12"/>
    <m/>
    <m/>
    <m/>
    <m/>
    <m/>
    <m/>
    <m/>
    <m/>
    <s v="Hired Attorney"/>
    <m/>
    <m/>
    <n v="0"/>
    <n v="0"/>
    <n v="3"/>
    <n v="28.800546448087431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e v="#VALUE!"/>
    <m/>
    <s v="Y"/>
    <m/>
    <s v="0-10 DAYS"/>
    <n v="1"/>
    <x v="1"/>
  </r>
  <r>
    <n v="846"/>
    <s v="N"/>
    <s v="N"/>
    <n v="1869555"/>
    <n v="6"/>
    <d v="2012-02-01T00:00:00"/>
    <d v="2012-07-09T00:00:00"/>
    <n v="1869555"/>
    <d v="2012-02-02T00:00:00"/>
    <d v="2012-02-03T00:00:00"/>
    <n v="2000"/>
    <x v="5"/>
    <d v="2012-02-03T00:00:00"/>
    <s v="Y"/>
    <s v="SURETY"/>
    <s v="GUILTY PLEA - NO JURY"/>
    <n v="2"/>
    <n v="160"/>
    <n v="0"/>
    <n v="3"/>
    <m/>
    <m/>
    <m/>
    <m/>
    <m/>
    <m/>
    <m/>
    <m/>
    <m/>
    <d v="1963-08-09T00:00:00"/>
    <s v="M"/>
    <s v="H"/>
    <s v="HISPANIC"/>
    <s v="HISPANIC"/>
    <s v="351"/>
    <s v="CONVICTED"/>
    <n v="10"/>
    <s v="TDC"/>
    <n v="1"/>
    <m/>
    <m/>
    <s v="THEFT $1500-20K"/>
    <m/>
    <s v="FS"/>
    <s v="THEFT"/>
    <m/>
    <m/>
    <m/>
    <m/>
    <m/>
    <m/>
    <m/>
    <m/>
    <m/>
    <s v="Hired Attorney"/>
    <m/>
    <m/>
    <n v="2"/>
    <n v="159"/>
    <n v="160"/>
    <n v="48.382513661202189"/>
    <n v="0"/>
    <n v="-157"/>
    <s v="CONVICTION"/>
    <x v="1"/>
    <s v="Y"/>
    <m/>
    <s v="CONVICTION"/>
    <s v="Y"/>
    <x v="1"/>
    <x v="0"/>
    <s v="N"/>
    <n v="1.2500000000000001E-2"/>
    <n v="1.2578616352201259E-2"/>
    <n v="7.8616352201257844E-5"/>
    <n v="0"/>
    <n v="-2"/>
    <n v="0"/>
    <n v="2"/>
    <e v="#VALUE!"/>
    <n v="2"/>
    <n v="0"/>
    <n v="157"/>
    <m/>
    <s v="Y"/>
    <m/>
    <s v="0-10 DAYS"/>
    <n v="1"/>
    <x v="0"/>
  </r>
  <r>
    <n v="744"/>
    <s v="N"/>
    <s v="N"/>
    <n v="1870302"/>
    <n v="3"/>
    <d v="2012-01-30T00:00:00"/>
    <d v="2012-08-07T00:00:00"/>
    <n v="1870302"/>
    <d v="2012-01-30T00:00:00"/>
    <d v="2012-08-07T00:00:00"/>
    <n v="10000"/>
    <x v="3"/>
    <m/>
    <s v="N"/>
    <s v="NONE"/>
    <s v="GUILTY PLEA - NO JURY"/>
    <n v="191"/>
    <n v="191"/>
    <n v="0"/>
    <n v="0"/>
    <m/>
    <m/>
    <m/>
    <m/>
    <m/>
    <m/>
    <m/>
    <m/>
    <m/>
    <d v="1981-09-19T00:00:00"/>
    <s v="M"/>
    <s v="W"/>
    <s v="WHITE"/>
    <s v="NULL"/>
    <s v="248"/>
    <s v="CONVICTED"/>
    <n v="7"/>
    <s v="PROBATION"/>
    <m/>
    <m/>
    <m/>
    <s v="INTOXICATED ASSLT W/VEH SBI"/>
    <m/>
    <s v="F3"/>
    <s v="ASLT-MURDR"/>
    <m/>
    <m/>
    <m/>
    <m/>
    <m/>
    <m/>
    <m/>
    <m/>
    <m/>
    <s v="Appointed Attorney"/>
    <m/>
    <m/>
    <n v="191"/>
    <n v="191"/>
    <n v="191"/>
    <n v="30.300546448087431"/>
    <n v="0"/>
    <n v="0"/>
    <s v="CONVICTION"/>
    <x v="0"/>
    <s v="N"/>
    <m/>
    <s v="CONVICTION"/>
    <s v="Y"/>
    <x v="0"/>
    <x v="0"/>
    <s v="N"/>
    <n v="1"/>
    <n v="1"/>
    <n v="0"/>
    <n v="0"/>
    <n v="-191"/>
    <n v="0"/>
    <n v="191"/>
    <e v="#VALUE!"/>
    <n v="191"/>
    <n v="0"/>
    <n v="0"/>
    <m/>
    <s v="N"/>
    <m/>
    <s v="121-365 DAYS"/>
    <n v="6"/>
    <x v="0"/>
  </r>
  <r>
    <n v="1112"/>
    <s v="N"/>
    <s v="N"/>
    <n v="1870507"/>
    <n v="6"/>
    <d v="2012-02-10T00:00:00"/>
    <d v="2012-04-17T00:00:00"/>
    <n v="1870507"/>
    <d v="2012-02-10T00:00:00"/>
    <d v="2012-04-17T00:00:00"/>
    <n v="30000"/>
    <x v="2"/>
    <m/>
    <s v="N"/>
    <s v="NONE"/>
    <s v="GUILTY PLEA - NO JURY"/>
    <n v="68"/>
    <n v="68"/>
    <n v="5"/>
    <n v="1"/>
    <n v="3"/>
    <m/>
    <m/>
    <m/>
    <m/>
    <m/>
    <m/>
    <s v="S"/>
    <m/>
    <d v="1981-08-23T00:00:00"/>
    <s v="M"/>
    <s v="H"/>
    <s v="HISPANIC"/>
    <s v="NULL"/>
    <s v="176"/>
    <s v="CONVICTED"/>
    <n v="3"/>
    <s v="TDC"/>
    <n v="5"/>
    <m/>
    <m/>
    <s v="POSS CS PG 1 4G - 200G"/>
    <m/>
    <s v="F2"/>
    <s v="POSS DRUG"/>
    <m/>
    <m/>
    <m/>
    <m/>
    <m/>
    <m/>
    <m/>
    <m/>
    <m/>
    <s v="Appointed Attorney"/>
    <m/>
    <m/>
    <n v="68"/>
    <n v="68"/>
    <n v="68"/>
    <n v="30.404371584699454"/>
    <n v="0"/>
    <n v="0"/>
    <s v="CONVICTION"/>
    <x v="0"/>
    <s v="N"/>
    <m/>
    <s v="CONVICTION"/>
    <s v="Y"/>
    <x v="0"/>
    <x v="0"/>
    <s v="Y"/>
    <n v="1"/>
    <n v="1"/>
    <n v="0"/>
    <n v="0"/>
    <n v="-68"/>
    <n v="0"/>
    <n v="68"/>
    <e v="#VALUE!"/>
    <n v="68"/>
    <n v="0"/>
    <n v="0"/>
    <m/>
    <s v="Y"/>
    <m/>
    <s v="61-90 DAYS"/>
    <n v="4"/>
    <x v="0"/>
  </r>
  <r>
    <n v="867"/>
    <s v="Y"/>
    <s v="N"/>
    <n v="1872513"/>
    <n v="1"/>
    <d v="2012-02-02T00:00:00"/>
    <d v="2012-03-29T00:00:00"/>
    <n v="1872513"/>
    <d v="2012-03-26T00:00:00"/>
    <d v="2012-03-29T00:00:00"/>
    <n v="5000"/>
    <x v="4"/>
    <m/>
    <s v="N"/>
    <s v="NONE"/>
    <s v="DISMISSED"/>
    <n v="4"/>
    <n v="57"/>
    <n v="2"/>
    <n v="1"/>
    <n v="1"/>
    <n v="1"/>
    <m/>
    <m/>
    <m/>
    <m/>
    <m/>
    <m/>
    <m/>
    <d v="1984-06-05T00:00:00"/>
    <s v="M"/>
    <s v="B"/>
    <s v="BLACK"/>
    <s v="NON-HISPANIC"/>
    <s v="180"/>
    <s v="DISMISSED"/>
    <n v="2"/>
    <s v="DISMISSED"/>
    <m/>
    <m/>
    <m/>
    <s v="FORGERY"/>
    <m/>
    <s v="FS"/>
    <s v="OTHER FEL"/>
    <s v="fel drug conv 6/25/12 6mos tdc"/>
    <m/>
    <m/>
    <m/>
    <m/>
    <m/>
    <m/>
    <m/>
    <m/>
    <s v="Appointed Attorney"/>
    <s v="fel drug conv 6/25/12 6mos tdc"/>
    <m/>
    <n v="4"/>
    <n v="4"/>
    <n v="57"/>
    <n v="27.603825136612024"/>
    <n v="0"/>
    <n v="0"/>
    <s v="NO CONVICTION"/>
    <x v="0"/>
    <s v="N"/>
    <m/>
    <s v="NO CONVICTION"/>
    <s v="Y"/>
    <x v="0"/>
    <x v="0"/>
    <s v="Y"/>
    <n v="7.0175438596491224E-2"/>
    <n v="1"/>
    <n v="0.92982456140350878"/>
    <n v="0"/>
    <n v="-4"/>
    <n v="0"/>
    <n v="4"/>
    <e v="#VALUE!"/>
    <n v="4"/>
    <n v="0"/>
    <n v="0"/>
    <m/>
    <s v="Y"/>
    <m/>
    <s v="0-10 DAYS"/>
    <n v="1"/>
    <x v="0"/>
  </r>
  <r>
    <n v="1592"/>
    <s v="N"/>
    <s v="N"/>
    <n v="1874175"/>
    <n v="5"/>
    <d v="2012-02-29T00:00:00"/>
    <d v="2012-08-08T00:00:00"/>
    <n v="1874175"/>
    <d v="2012-02-29T00:00:00"/>
    <d v="2012-08-08T00:00:00"/>
    <n v="15000"/>
    <x v="0"/>
    <m/>
    <s v="N"/>
    <s v="NONE"/>
    <s v="GUILTY PLEA - NO JURY"/>
    <n v="162"/>
    <n v="162"/>
    <n v="11"/>
    <n v="4"/>
    <n v="8"/>
    <m/>
    <m/>
    <m/>
    <m/>
    <m/>
    <m/>
    <m/>
    <m/>
    <d v="1984-03-18T00:00:00"/>
    <s v="M"/>
    <s v="B"/>
    <s v="BLACK"/>
    <s v="NON-HISPANIC"/>
    <s v="176"/>
    <s v="CONVICTED"/>
    <n v="6"/>
    <s v="STJ"/>
    <m/>
    <n v="7"/>
    <m/>
    <s v="POSS CS PG 1 &lt;1G"/>
    <m/>
    <s v="FS"/>
    <s v="POSS DRUG"/>
    <m/>
    <m/>
    <m/>
    <m/>
    <m/>
    <m/>
    <m/>
    <m/>
    <m/>
    <s v="Appointed Attorney"/>
    <m/>
    <m/>
    <n v="162"/>
    <n v="162"/>
    <n v="162"/>
    <n v="27.893442622950818"/>
    <n v="0"/>
    <n v="0"/>
    <s v="CONVICTION"/>
    <x v="0"/>
    <s v="N"/>
    <m/>
    <s v="CONVICTION"/>
    <s v="Y"/>
    <x v="0"/>
    <x v="0"/>
    <s v="Y"/>
    <n v="1"/>
    <n v="1"/>
    <n v="0"/>
    <n v="0"/>
    <n v="-162"/>
    <n v="0"/>
    <n v="162"/>
    <e v="#VALUE!"/>
    <n v="162"/>
    <n v="0"/>
    <n v="0"/>
    <m/>
    <s v="Y"/>
    <m/>
    <s v="121-365 DAYS"/>
    <n v="6"/>
    <x v="0"/>
  </r>
  <r>
    <n v="2242"/>
    <s v="N"/>
    <s v="N"/>
    <n v="1876091"/>
    <n v="4"/>
    <d v="2012-03-25T00:00:00"/>
    <d v="2012-04-02T00:00:00"/>
    <n v="1876091"/>
    <d v="2012-03-27T00:00:00"/>
    <d v="2012-04-02T00:00:00"/>
    <n v="5000"/>
    <x v="4"/>
    <m/>
    <s v="N"/>
    <s v="NONE"/>
    <s v="GUILTY PLEA - NO JURY"/>
    <n v="7"/>
    <n v="9"/>
    <n v="1"/>
    <n v="2"/>
    <n v="1"/>
    <m/>
    <m/>
    <m/>
    <m/>
    <m/>
    <m/>
    <m/>
    <m/>
    <d v="1976-05-15T00:00:00"/>
    <s v="F"/>
    <s v="W"/>
    <s v="WHITE"/>
    <s v="NON-HISPANIC"/>
    <s v="209"/>
    <s v="CONVICTED"/>
    <n v="4"/>
    <s v="HCJ"/>
    <m/>
    <m/>
    <n v="20"/>
    <s v="THEFT UNDER $1500 - 3RD OFF."/>
    <m/>
    <s v="FS"/>
    <s v="THEFT"/>
    <m/>
    <m/>
    <m/>
    <m/>
    <m/>
    <m/>
    <m/>
    <m/>
    <m/>
    <s v="Appointed Attorney"/>
    <m/>
    <m/>
    <n v="7"/>
    <n v="7"/>
    <n v="9"/>
    <n v="35.786885245901637"/>
    <n v="0"/>
    <n v="0"/>
    <s v="CONVICTION"/>
    <x v="0"/>
    <s v="N"/>
    <m/>
    <s v="CONVICTION"/>
    <s v="Y"/>
    <x v="0"/>
    <x v="0"/>
    <s v="Y"/>
    <n v="0.77777777777777779"/>
    <n v="1"/>
    <n v="0.22222222222222221"/>
    <n v="0"/>
    <n v="-7"/>
    <n v="0"/>
    <n v="7"/>
    <e v="#VALUE!"/>
    <n v="7"/>
    <n v="0"/>
    <n v="0"/>
    <m/>
    <s v="Y"/>
    <m/>
    <s v="0-10 DAYS"/>
    <n v="1"/>
    <x v="0"/>
  </r>
  <r>
    <n v="150"/>
    <s v="N"/>
    <s v="Y"/>
    <n v="1876423"/>
    <n v="1"/>
    <d v="2012-01-07T00:00:00"/>
    <d v="2012-04-20T00:00:00"/>
    <n v="1876423"/>
    <d v="2012-03-05T00:00:00"/>
    <d v="2012-04-20T00:00:00"/>
    <n v="10000"/>
    <x v="3"/>
    <d v="2012-01-11T00:00:00"/>
    <s v="Y"/>
    <s v="SURETY"/>
    <s v="DISMISSED"/>
    <n v="47"/>
    <n v="105"/>
    <n v="2"/>
    <n v="3"/>
    <n v="2"/>
    <m/>
    <m/>
    <m/>
    <m/>
    <m/>
    <m/>
    <m/>
    <m/>
    <d v="1981-06-30T00:00:00"/>
    <s v="M"/>
    <s v="W"/>
    <s v="WHITE"/>
    <s v="NON-HISPANIC"/>
    <s v="337"/>
    <s v="DISMISSED"/>
    <n v="6"/>
    <s v="DISMISSED"/>
    <m/>
    <m/>
    <m/>
    <s v="POSS CS PG 3 28-200 GRAMS"/>
    <m/>
    <s v="F3"/>
    <s v="POSS DRUG"/>
    <s v="3/15/12 misd dwi"/>
    <d v="2012-03-06T00:00:00"/>
    <m/>
    <m/>
    <s v="Y"/>
    <m/>
    <m/>
    <m/>
    <m/>
    <s v="Hired Attorney"/>
    <m/>
    <m/>
    <n v="47"/>
    <n v="47"/>
    <n v="105"/>
    <n v="30.459016393442624"/>
    <n v="0"/>
    <n v="0"/>
    <s v="NO CONVICTION"/>
    <x v="1"/>
    <s v="Y"/>
    <m/>
    <s v="NO CONVICTION"/>
    <s v="Y"/>
    <x v="0"/>
    <x v="0"/>
    <s v="Y"/>
    <n v="0.44761904761904764"/>
    <n v="1"/>
    <n v="0.55238095238095242"/>
    <n v="0"/>
    <n v="-47"/>
    <n v="0"/>
    <n v="47"/>
    <e v="#VALUE!"/>
    <n v="47"/>
    <n v="0"/>
    <n v="0"/>
    <m/>
    <s v="Y"/>
    <m/>
    <s v="31-60 DAYS"/>
    <n v="3"/>
    <x v="0"/>
  </r>
  <r>
    <n v="2628"/>
    <s v="Y"/>
    <s v="N"/>
    <n v="1876496"/>
    <n v="1"/>
    <d v="2012-04-07T00:00:00"/>
    <d v="2012-04-10T00:00:00"/>
    <n v="1876496"/>
    <d v="2012-04-09T00:00:00"/>
    <d v="2012-04-10T00:00:00"/>
    <n v="15000"/>
    <x v="0"/>
    <m/>
    <s v="N"/>
    <s v="NONE"/>
    <s v="DISMISSED"/>
    <n v="2"/>
    <n v="4"/>
    <n v="3"/>
    <n v="0"/>
    <n v="2"/>
    <m/>
    <m/>
    <m/>
    <m/>
    <m/>
    <m/>
    <m/>
    <m/>
    <d v="1980-03-30T00:00:00"/>
    <s v="M"/>
    <s v="W"/>
    <s v="WHITE"/>
    <s v="NON-HISPANIC"/>
    <s v="183"/>
    <s v="DISMISSED"/>
    <n v="2"/>
    <s v="DISMISSED"/>
    <m/>
    <m/>
    <m/>
    <s v="THEFT $1500-20K"/>
    <m/>
    <s v="FS"/>
    <s v="THEFT"/>
    <s v="7/12/12  fel  tresspass habit 90 days hcj"/>
    <m/>
    <m/>
    <m/>
    <m/>
    <m/>
    <m/>
    <m/>
    <m/>
    <s v="Other/Unknown"/>
    <s v="7/12/12  fel  tress 90 days hcj 12/13/13 bur tdc 2y"/>
    <m/>
    <n v="2"/>
    <n v="2"/>
    <n v="4"/>
    <n v="31.956284153005466"/>
    <n v="0"/>
    <n v="0"/>
    <s v="NO CONVICTION"/>
    <x v="0"/>
    <s v="N"/>
    <m/>
    <s v="NO CONVICTION"/>
    <s v="Y"/>
    <x v="0"/>
    <x v="0"/>
    <s v="Y"/>
    <n v="0.5"/>
    <n v="1"/>
    <n v="0.5"/>
    <n v="0"/>
    <n v="-2"/>
    <n v="0"/>
    <n v="2"/>
    <e v="#VALUE!"/>
    <n v="2"/>
    <n v="0"/>
    <n v="0"/>
    <m/>
    <s v="Y"/>
    <m/>
    <s v="0-10 DAYS"/>
    <n v="1"/>
    <x v="0"/>
  </r>
  <r>
    <n v="2827"/>
    <s v="N"/>
    <s v="N"/>
    <n v="1877543"/>
    <n v="2"/>
    <d v="2012-04-14T00:00:00"/>
    <d v="2012-04-16T00:00:00"/>
    <n v="1877543"/>
    <d v="2012-04-14T00:00:00"/>
    <d v="2012-04-16T00:00:00"/>
    <n v="2000"/>
    <x v="5"/>
    <m/>
    <s v="N"/>
    <s v="NONE"/>
    <s v="DEFERRED ADJUDICATION "/>
    <n v="3"/>
    <n v="3"/>
    <n v="1"/>
    <n v="2"/>
    <n v="1"/>
    <m/>
    <m/>
    <m/>
    <m/>
    <m/>
    <m/>
    <m/>
    <m/>
    <d v="1984-05-08T00:00:00"/>
    <s v="M"/>
    <s v="B"/>
    <s v="BLACK"/>
    <s v="NON-HISPANIC"/>
    <s v="232"/>
    <s v="DEFERRED"/>
    <n v="1"/>
    <s v="DEFERRED"/>
    <m/>
    <m/>
    <m/>
    <s v="POSS CS PG 1 &lt;1G"/>
    <m/>
    <s v="FS"/>
    <s v="POSS DRUG"/>
    <s v="revoked LAWV 5/8/12 st j 5mos  2 fel 8/17/12 pend"/>
    <m/>
    <m/>
    <m/>
    <m/>
    <m/>
    <m/>
    <m/>
    <m/>
    <s v="Public Defender"/>
    <m/>
    <m/>
    <n v="3"/>
    <n v="3"/>
    <n v="3"/>
    <n v="27.877049180327869"/>
    <n v="0"/>
    <n v="0"/>
    <s v="DEFERRED"/>
    <x v="0"/>
    <s v="N"/>
    <m/>
    <s v="DEFERRED"/>
    <s v="Y"/>
    <x v="0"/>
    <x v="0"/>
    <s v="Y"/>
    <n v="1"/>
    <n v="1"/>
    <n v="0"/>
    <n v="0"/>
    <n v="-3"/>
    <n v="0"/>
    <n v="3"/>
    <e v="#VALUE!"/>
    <n v="3"/>
    <n v="0"/>
    <n v="0"/>
    <m/>
    <s v="Y"/>
    <m/>
    <s v="0-10 DAYS"/>
    <n v="1"/>
    <x v="0"/>
  </r>
  <r>
    <n v="260"/>
    <s v="N"/>
    <s v="N"/>
    <n v="1877864"/>
    <n v="5"/>
    <d v="2012-01-11T00:00:00"/>
    <d v="2012-01-17T00:00:00"/>
    <n v="1877864"/>
    <d v="2012-01-12T00:00:00"/>
    <d v="2012-01-17T00:00:00"/>
    <n v="2000"/>
    <x v="5"/>
    <m/>
    <s v="N"/>
    <s v="NONE"/>
    <s v="GUILTY PLEA - NO JURY"/>
    <n v="6"/>
    <n v="7"/>
    <n v="2"/>
    <n v="5"/>
    <m/>
    <m/>
    <m/>
    <m/>
    <m/>
    <m/>
    <m/>
    <m/>
    <m/>
    <d v="1984-05-02T00:00:00"/>
    <s v="M"/>
    <s v="B"/>
    <s v="BLACK"/>
    <s v="NULL"/>
    <s v="178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6"/>
    <n v="6"/>
    <n v="7"/>
    <n v="27.636612021857925"/>
    <n v="0"/>
    <n v="0"/>
    <s v="CONVICTION"/>
    <x v="0"/>
    <s v="N"/>
    <m/>
    <s v="CONVICTION"/>
    <s v="Y"/>
    <x v="0"/>
    <x v="0"/>
    <s v="Y"/>
    <n v="0.8571428571428571"/>
    <n v="1"/>
    <n v="0.1428571428571429"/>
    <n v="0"/>
    <n v="-6"/>
    <n v="0"/>
    <n v="6"/>
    <e v="#VALUE!"/>
    <n v="6"/>
    <n v="0"/>
    <n v="0"/>
    <m/>
    <s v="Y"/>
    <m/>
    <s v="0-10 DAYS"/>
    <n v="1"/>
    <x v="0"/>
  </r>
  <r>
    <n v="783"/>
    <s v="N"/>
    <s v="N"/>
    <n v="1877940"/>
    <n v="6"/>
    <d v="2012-01-31T00:00:00"/>
    <d v="2012-01-31T00:00:00"/>
    <n v="1877940"/>
    <d v="2012-01-31T00:00:00"/>
    <d v="2012-01-31T00:00:00"/>
    <n v="5000"/>
    <x v="4"/>
    <m/>
    <s v="N"/>
    <s v="NONE"/>
    <s v="GUILTY PLEA - NO JURY"/>
    <n v="1"/>
    <n v="1"/>
    <n v="2"/>
    <n v="2"/>
    <n v="1"/>
    <m/>
    <m/>
    <m/>
    <m/>
    <m/>
    <m/>
    <m/>
    <m/>
    <d v="1982-02-06T00:00:00"/>
    <s v="M"/>
    <s v="B"/>
    <s v="BLACK"/>
    <s v="NULL"/>
    <s v="209"/>
    <s v="CONVICTED"/>
    <n v="1"/>
    <s v="TDC"/>
    <n v="2"/>
    <m/>
    <m/>
    <s v="ENTICING CHIL W/INT FELONY"/>
    <m/>
    <s v="F3"/>
    <s v="OTHER FEL"/>
    <s v="no leg defense?"/>
    <m/>
    <m/>
    <m/>
    <m/>
    <m/>
    <m/>
    <m/>
    <m/>
    <s v="Other/Unknown"/>
    <m/>
    <m/>
    <n v="1"/>
    <n v="1"/>
    <n v="1"/>
    <n v="29.920765027322403"/>
    <n v="0"/>
    <n v="0"/>
    <s v="CONVICTION"/>
    <x v="0"/>
    <s v="N"/>
    <m/>
    <s v="CONVICTION"/>
    <s v="Y"/>
    <x v="0"/>
    <x v="0"/>
    <s v="Y"/>
    <n v="1"/>
    <n v="1"/>
    <n v="0"/>
    <n v="0"/>
    <n v="-1"/>
    <n v="0"/>
    <n v="1"/>
    <e v="#VALUE!"/>
    <n v="1"/>
    <n v="0"/>
    <n v="0"/>
    <m/>
    <s v="Y"/>
    <m/>
    <s v="0-10 DAYS"/>
    <n v="1"/>
    <x v="0"/>
  </r>
  <r>
    <n v="420"/>
    <s v="N"/>
    <s v="N"/>
    <n v="1877954"/>
    <n v="6"/>
    <d v="2012-01-18T00:00:00"/>
    <d v="2012-10-01T00:00:00"/>
    <n v="1877954"/>
    <d v="2012-09-26T00:00:00"/>
    <d v="2012-10-01T00:00:00"/>
    <n v="30000"/>
    <x v="2"/>
    <m/>
    <s v="N"/>
    <s v="NONE"/>
    <s v="GUILTY PLEA - NO JURY"/>
    <n v="6"/>
    <n v="258"/>
    <n v="0"/>
    <n v="0"/>
    <m/>
    <m/>
    <m/>
    <m/>
    <m/>
    <m/>
    <m/>
    <m/>
    <m/>
    <d v="1982-07-02T00:00:00"/>
    <s v="M"/>
    <s v="W"/>
    <s v="WHITE"/>
    <s v="NULL"/>
    <s v="180"/>
    <s v="CONVICTED"/>
    <n v="2"/>
    <s v="TDC"/>
    <n v="2"/>
    <m/>
    <m/>
    <s v="INDECENCY CHILD-TG"/>
    <m/>
    <s v="F2"/>
    <s v="SEX ABUSE"/>
    <m/>
    <m/>
    <m/>
    <m/>
    <m/>
    <m/>
    <m/>
    <m/>
    <m/>
    <s v="Appointed Attorney"/>
    <m/>
    <m/>
    <n v="6"/>
    <n v="6"/>
    <n v="258"/>
    <n v="29.486338797814209"/>
    <n v="0"/>
    <n v="0"/>
    <s v="CONVICTION"/>
    <x v="0"/>
    <s v="N"/>
    <m/>
    <s v="CONVICTION"/>
    <s v="Y"/>
    <x v="0"/>
    <x v="0"/>
    <s v="N"/>
    <n v="2.3255813953488372E-2"/>
    <n v="1"/>
    <n v="0.97674418604651159"/>
    <n v="0"/>
    <n v="-6"/>
    <n v="0"/>
    <n v="6"/>
    <e v="#VALUE!"/>
    <n v="6"/>
    <n v="0"/>
    <n v="0"/>
    <m/>
    <s v="N"/>
    <m/>
    <s v="0-10 DAYS"/>
    <n v="1"/>
    <x v="0"/>
  </r>
  <r>
    <n v="639"/>
    <s v="N"/>
    <s v="N"/>
    <n v="1879208"/>
    <n v="6"/>
    <d v="2012-01-26T00:00:00"/>
    <d v="2012-03-20T00:00:00"/>
    <n v="1879208"/>
    <d v="2012-01-31T00:00:00"/>
    <d v="2012-03-20T00:00:00"/>
    <n v="10000"/>
    <x v="3"/>
    <m/>
    <s v="N"/>
    <s v="NONE"/>
    <s v="GUILTY PLEA - NO JURY"/>
    <n v="50"/>
    <n v="55"/>
    <n v="4"/>
    <n v="6"/>
    <n v="2"/>
    <m/>
    <m/>
    <m/>
    <m/>
    <m/>
    <m/>
    <m/>
    <m/>
    <d v="1984-05-01T00:00:00"/>
    <s v="M"/>
    <s v="B"/>
    <s v="BLACK"/>
    <s v="NULL"/>
    <s v="230"/>
    <s v="CONVICTED"/>
    <n v="5"/>
    <s v="TDC"/>
    <n v="1"/>
    <m/>
    <m/>
    <s v="ATT. DEADLY CONDUCT"/>
    <m/>
    <s v="FS"/>
    <s v="OTHER FEL"/>
    <m/>
    <m/>
    <m/>
    <m/>
    <m/>
    <m/>
    <m/>
    <m/>
    <m/>
    <s v="Appointed Attorney"/>
    <m/>
    <m/>
    <n v="50"/>
    <n v="50"/>
    <n v="55"/>
    <n v="27.680327868852459"/>
    <n v="0"/>
    <n v="0"/>
    <s v="CONVICTION"/>
    <x v="0"/>
    <s v="N"/>
    <m/>
    <s v="CONVICTION"/>
    <s v="Y"/>
    <x v="0"/>
    <x v="0"/>
    <s v="Y"/>
    <n v="0.90909090909090906"/>
    <n v="1"/>
    <n v="9.0909090909090939E-2"/>
    <n v="0"/>
    <n v="-50"/>
    <n v="0"/>
    <n v="50"/>
    <e v="#VALUE!"/>
    <n v="50"/>
    <n v="0"/>
    <n v="0"/>
    <m/>
    <s v="Y"/>
    <m/>
    <s v="31-60 DAYS"/>
    <n v="3"/>
    <x v="0"/>
  </r>
  <r>
    <n v="395"/>
    <s v="N"/>
    <s v="N"/>
    <n v="1879297"/>
    <n v="1"/>
    <d v="2012-01-17T00:00:00"/>
    <d v="2012-04-17T00:00:00"/>
    <n v="1879297"/>
    <d v="2012-01-17T00:00:00"/>
    <d v="2012-01-21T00:00:00"/>
    <n v="10000"/>
    <x v="3"/>
    <d v="2012-01-21T00:00:00"/>
    <s v="Y"/>
    <s v="SURETY"/>
    <s v="NO BILL"/>
    <n v="5"/>
    <n v="92"/>
    <n v="1"/>
    <n v="3"/>
    <m/>
    <m/>
    <m/>
    <m/>
    <m/>
    <m/>
    <m/>
    <m/>
    <m/>
    <d v="1983-02-02T00:00:00"/>
    <s v="F"/>
    <s v="B"/>
    <s v="BLACK"/>
    <s v="NON-HISPANIC"/>
    <s v="230"/>
    <s v="NO BILL"/>
    <n v="5"/>
    <s v="NO BILL"/>
    <m/>
    <m/>
    <m/>
    <s v="AGG ASSAULT - FAMILY MEMBER SB"/>
    <m/>
    <s v="F1"/>
    <s v="ASLT-MURDR"/>
    <m/>
    <m/>
    <m/>
    <m/>
    <m/>
    <m/>
    <m/>
    <m/>
    <m/>
    <s v="Hired Attorney"/>
    <m/>
    <m/>
    <n v="5"/>
    <n v="92"/>
    <n v="92"/>
    <n v="28.896174863387976"/>
    <n v="0"/>
    <n v="-87"/>
    <s v="NO CONVICTION"/>
    <x v="1"/>
    <s v="Y"/>
    <m/>
    <s v="NO CONVICTION"/>
    <s v="Y"/>
    <x v="1"/>
    <x v="0"/>
    <s v="Y"/>
    <n v="5.434782608695652E-2"/>
    <n v="5.434782608695652E-2"/>
    <n v="0"/>
    <n v="0"/>
    <n v="-5"/>
    <n v="0"/>
    <n v="5"/>
    <e v="#VALUE!"/>
    <n v="5"/>
    <n v="0"/>
    <n v="87"/>
    <m/>
    <s v="Y"/>
    <m/>
    <s v="0-10 DAYS"/>
    <n v="1"/>
    <x v="0"/>
  </r>
  <r>
    <n v="2730"/>
    <s v="N"/>
    <s v="N"/>
    <n v="1879579"/>
    <n v="2"/>
    <d v="2012-04-11T00:00:00"/>
    <d v="2013-12-06T00:00:00"/>
    <n v="1879579"/>
    <d v="2012-04-17T00:00:00"/>
    <d v="2013-12-06T00:00:00"/>
    <s v="NO BOND"/>
    <x v="1"/>
    <m/>
    <s v="N"/>
    <s v="NONE"/>
    <s v="DEFERRED ADJUDICATION "/>
    <n v="599"/>
    <n v="605"/>
    <n v="3"/>
    <n v="0"/>
    <n v="1"/>
    <m/>
    <m/>
    <m/>
    <m/>
    <m/>
    <m/>
    <m/>
    <m/>
    <d v="1983-07-01T00:00:00"/>
    <s v="M"/>
    <s v="B"/>
    <s v="BLACK"/>
    <s v="NULL"/>
    <s v="176"/>
    <s v="DEFERRED"/>
    <n v="11"/>
    <s v="DEFERRED"/>
    <m/>
    <m/>
    <m/>
    <s v="AGG ROBBERY-DEADLY WPN"/>
    <m/>
    <s v="F1"/>
    <s v="ROBBERY"/>
    <m/>
    <m/>
    <m/>
    <m/>
    <m/>
    <m/>
    <m/>
    <m/>
    <m/>
    <s v="Hired Attorney"/>
    <m/>
    <m/>
    <n v="599"/>
    <n v="599"/>
    <n v="605"/>
    <n v="28.721311475409838"/>
    <n v="0"/>
    <n v="0"/>
    <s v="DEFERRED"/>
    <x v="0"/>
    <s v="N"/>
    <m/>
    <s v="DEFERRED"/>
    <s v="Y"/>
    <x v="0"/>
    <x v="0"/>
    <s v="Y"/>
    <n v="0.99008264462809914"/>
    <n v="1"/>
    <n v="9.91735537190086E-3"/>
    <n v="0"/>
    <n v="-599"/>
    <n v="0"/>
    <n v="599"/>
    <e v="#VALUE!"/>
    <n v="599"/>
    <n v="0"/>
    <n v="0"/>
    <m/>
    <s v="Y"/>
    <m/>
    <s v=" &gt;1YRS&lt;2YRS"/>
    <n v="0"/>
    <x v="0"/>
  </r>
  <r>
    <n v="806"/>
    <s v="N"/>
    <s v="N"/>
    <n v="1880759"/>
    <n v="4"/>
    <d v="2011-11-21T00:00:00"/>
    <d v="2012-03-09T00:00:00"/>
    <n v="1880759"/>
    <d v="2011-11-21T00:00:00"/>
    <d v="2011-11-22T00:00:00"/>
    <n v="5000"/>
    <x v="4"/>
    <d v="2011-11-22T00:00:00"/>
    <s v="Y"/>
    <s v="SURETY"/>
    <s v="DEFENDANT CONVICTED ON ANOTHER CHARGE"/>
    <n v="2"/>
    <n v="110"/>
    <n v="2"/>
    <n v="2"/>
    <m/>
    <n v="1"/>
    <m/>
    <m/>
    <m/>
    <m/>
    <m/>
    <m/>
    <m/>
    <d v="1980-06-18T00:00:00"/>
    <s v="F"/>
    <s v="W"/>
    <s v="WHITE"/>
    <s v="NULL"/>
    <s v="263"/>
    <s v="CONVICTED"/>
    <n v="6"/>
    <s v="HCJ"/>
    <m/>
    <m/>
    <n v="270"/>
    <s v="POSS CS PG 1 &lt;1G"/>
    <m/>
    <s v="FS"/>
    <s v="POSS DRUG"/>
    <m/>
    <m/>
    <m/>
    <m/>
    <m/>
    <m/>
    <m/>
    <m/>
    <m/>
    <s v="Appointed Attorney"/>
    <m/>
    <m/>
    <n v="2"/>
    <n v="110"/>
    <n v="110"/>
    <n v="31.360655737704917"/>
    <n v="0"/>
    <n v="-108"/>
    <s v="CONVICTION"/>
    <x v="1"/>
    <s v="Y"/>
    <m/>
    <s v="CONVICTION"/>
    <s v="Y"/>
    <x v="1"/>
    <x v="0"/>
    <s v="Y"/>
    <n v="1.8181818181818181E-2"/>
    <n v="1.8181818181818181E-2"/>
    <n v="0"/>
    <n v="0"/>
    <n v="-2"/>
    <n v="0"/>
    <n v="2"/>
    <e v="#VALUE!"/>
    <n v="2"/>
    <n v="0"/>
    <n v="108"/>
    <m/>
    <s v="Y"/>
    <m/>
    <s v="0-10 DAYS"/>
    <n v="1"/>
    <x v="0"/>
  </r>
  <r>
    <n v="2483"/>
    <s v="N"/>
    <s v="N"/>
    <n v="1880773"/>
    <n v="1"/>
    <d v="2012-04-03T00:00:00"/>
    <d v="2012-06-27T00:00:00"/>
    <n v="1880773"/>
    <d v="2012-04-04T00:00:00"/>
    <d v="2012-06-27T00:00:00"/>
    <s v="NO BOND"/>
    <x v="1"/>
    <m/>
    <s v="N"/>
    <s v="NONE"/>
    <s v="NO BILL"/>
    <n v="85"/>
    <n v="86"/>
    <n v="7"/>
    <n v="4"/>
    <n v="6"/>
    <m/>
    <m/>
    <m/>
    <m/>
    <m/>
    <m/>
    <m/>
    <m/>
    <d v="1983-02-19T00:00:00"/>
    <s v="M"/>
    <s v="B"/>
    <s v="BLACK"/>
    <s v="NULL"/>
    <s v="338"/>
    <s v="NO BILL"/>
    <n v="5"/>
    <s v="NO BILL"/>
    <m/>
    <m/>
    <m/>
    <s v="ASSAULT-BOD INJ-FAMILY MEMBER"/>
    <m/>
    <s v="F3"/>
    <s v="ASLT-MURDR"/>
    <m/>
    <m/>
    <m/>
    <m/>
    <m/>
    <m/>
    <m/>
    <m/>
    <m/>
    <s v="Appointed Attorney"/>
    <m/>
    <m/>
    <n v="85"/>
    <n v="85"/>
    <n v="86"/>
    <n v="29.060109289617486"/>
    <n v="0"/>
    <n v="0"/>
    <s v="NO CONVICTION"/>
    <x v="0"/>
    <s v="N"/>
    <m/>
    <s v="NO CONVICTION"/>
    <s v="Y"/>
    <x v="0"/>
    <x v="0"/>
    <s v="Y"/>
    <n v="0.98837209302325579"/>
    <n v="1"/>
    <n v="1.1627906976744207E-2"/>
    <n v="0"/>
    <n v="-85"/>
    <n v="0"/>
    <n v="85"/>
    <e v="#VALUE!"/>
    <n v="85"/>
    <n v="0"/>
    <n v="0"/>
    <m/>
    <s v="Y"/>
    <m/>
    <s v="61-90 DAYS"/>
    <n v="4"/>
    <x v="0"/>
  </r>
  <r>
    <n v="2211"/>
    <s v="N"/>
    <s v="Y"/>
    <n v="1882503"/>
    <n v="5"/>
    <d v="2012-03-24T00:00:00"/>
    <d v="2012-09-13T00:00:00"/>
    <n v="1882503"/>
    <d v="2012-03-24T00:00:00"/>
    <d v="2012-04-04T00:00:00"/>
    <n v="50000"/>
    <x v="2"/>
    <d v="2012-04-04T00:00:00"/>
    <s v="Y"/>
    <s v="SURETY"/>
    <s v="GUILTY PLEA - NO JURY"/>
    <n v="18"/>
    <n v="174"/>
    <n v="1"/>
    <n v="0"/>
    <n v="1"/>
    <m/>
    <m/>
    <m/>
    <m/>
    <m/>
    <m/>
    <m/>
    <m/>
    <d v="1982-03-25T00:00:00"/>
    <s v="M"/>
    <s v="B"/>
    <s v="BLACK"/>
    <s v="NULL"/>
    <s v="351"/>
    <s v="CONVICTED"/>
    <n v="10"/>
    <s v="STJ"/>
    <m/>
    <n v="12"/>
    <m/>
    <s v="BURGLARY OF HABITATION"/>
    <m/>
    <s v="F2"/>
    <s v="BURGLARY"/>
    <s v="9/5/12 filed bail jump tdc 2 yrs disp 9/13/12"/>
    <m/>
    <s v="Y"/>
    <s v="bf 8/31/12"/>
    <m/>
    <m/>
    <m/>
    <d v="2013-02-25T00:00:00"/>
    <n v="235"/>
    <s v="Appointed Attorney"/>
    <m/>
    <m/>
    <n v="18"/>
    <n v="174"/>
    <n v="174"/>
    <n v="29.937158469945356"/>
    <n v="0"/>
    <n v="-162"/>
    <s v="CONVICTION"/>
    <x v="1"/>
    <s v="N"/>
    <m/>
    <s v="CONVICTION"/>
    <s v="Y"/>
    <x v="0"/>
    <x v="0"/>
    <s v="Y"/>
    <n v="0.10344827586206896"/>
    <n v="6.8965517241379309E-2"/>
    <n v="-3.4482758620689655E-2"/>
    <n v="0"/>
    <n v="-12"/>
    <n v="6"/>
    <n v="174"/>
    <n v="18"/>
    <n v="174"/>
    <n v="162"/>
    <n v="162"/>
    <m/>
    <s v="Y"/>
    <m/>
    <s v="11-30 DAYS"/>
    <n v="2"/>
    <x v="0"/>
  </r>
  <r>
    <n v="2660"/>
    <s v="N"/>
    <s v="N"/>
    <n v="1882775"/>
    <n v="6"/>
    <d v="2012-04-08T00:00:00"/>
    <d v="2012-07-10T00:00:00"/>
    <n v="1882775"/>
    <d v="2012-04-09T00:00:00"/>
    <d v="2012-07-10T00:00:00"/>
    <s v="NO BOND"/>
    <x v="1"/>
    <m/>
    <s v="N"/>
    <s v="NONE"/>
    <s v="GUILTY PLEA - NO JURY"/>
    <n v="93"/>
    <n v="94"/>
    <n v="6"/>
    <n v="2"/>
    <n v="5"/>
    <m/>
    <m/>
    <m/>
    <m/>
    <m/>
    <m/>
    <m/>
    <m/>
    <d v="1983-11-14T00:00:00"/>
    <s v="M"/>
    <s v="W"/>
    <s v="WHITE"/>
    <s v="NULL"/>
    <s v="339"/>
    <s v="CONVICTED"/>
    <n v="4"/>
    <s v="TDC"/>
    <n v="3"/>
    <m/>
    <m/>
    <s v="AGG ASSAULT W/DEADLY WEAPON"/>
    <m/>
    <s v="F2"/>
    <s v="ASLT-MURDR"/>
    <m/>
    <m/>
    <m/>
    <m/>
    <m/>
    <m/>
    <m/>
    <m/>
    <m/>
    <s v="Appointed Attorney"/>
    <m/>
    <m/>
    <n v="93"/>
    <n v="93"/>
    <n v="94"/>
    <n v="28.34153005464481"/>
    <n v="0"/>
    <n v="0"/>
    <s v="CONVICTION"/>
    <x v="0"/>
    <s v="N"/>
    <m/>
    <s v="CONVICTION"/>
    <s v="Y"/>
    <x v="0"/>
    <x v="0"/>
    <s v="Y"/>
    <n v="0.98936170212765961"/>
    <n v="1"/>
    <n v="1.0638297872340385E-2"/>
    <n v="0"/>
    <n v="-93"/>
    <n v="0"/>
    <n v="93"/>
    <e v="#VALUE!"/>
    <n v="93"/>
    <n v="0"/>
    <n v="0"/>
    <m/>
    <s v="Y"/>
    <m/>
    <s v="91-120 DAYS"/>
    <n v="0"/>
    <x v="0"/>
  </r>
  <r>
    <n v="352"/>
    <s v="N"/>
    <s v="N"/>
    <n v="1882787"/>
    <n v="6"/>
    <d v="2012-01-14T00:00:00"/>
    <d v="2014-02-06T00:00:00"/>
    <n v="1882787"/>
    <d v="2013-06-13T00:00:00"/>
    <d v="2014-02-06T00:00:00"/>
    <n v="40000"/>
    <x v="2"/>
    <m/>
    <s v="N"/>
    <s v="NONE"/>
    <s v="jury verdict"/>
    <n v="239"/>
    <n v="755"/>
    <n v="1"/>
    <n v="2"/>
    <n v="1"/>
    <m/>
    <m/>
    <m/>
    <m/>
    <m/>
    <m/>
    <m/>
    <m/>
    <d v="1982-10-18T00:00:00"/>
    <s v="M"/>
    <s v="B"/>
    <s v="BLACK"/>
    <s v="NON-HISPANIC"/>
    <s v="351"/>
    <s v="CONVICTED"/>
    <n v="28"/>
    <s v="TDC"/>
    <n v="33"/>
    <m/>
    <m/>
    <s v="AGG ROBBERY-DEADLY WPN"/>
    <m/>
    <s v="F1"/>
    <s v="ROBBERY"/>
    <s v="INDICTED GRAD J ON BOND THEN  DETAINED "/>
    <s v="IDICTO"/>
    <m/>
    <m/>
    <m/>
    <m/>
    <m/>
    <m/>
    <m/>
    <s v="Appointed Attorney"/>
    <m/>
    <m/>
    <n v="239"/>
    <n v="239"/>
    <n v="755"/>
    <n v="29.180327868852459"/>
    <n v="-41676"/>
    <n v="0"/>
    <s v="CONVICTION"/>
    <x v="0"/>
    <s v="N"/>
    <m/>
    <s v="CONVICTION"/>
    <s v="Y"/>
    <x v="0"/>
    <x v="0"/>
    <s v="Y"/>
    <n v="0.31655629139072849"/>
    <n v="0.31659999999999999"/>
    <n v="0"/>
    <n v="0"/>
    <n v="-239"/>
    <n v="0"/>
    <n v="239"/>
    <e v="#VALUE!"/>
    <n v="239"/>
    <n v="0"/>
    <n v="0"/>
    <m/>
    <s v="Y"/>
    <e v="#N/A"/>
    <s v="121-365 DAYS"/>
    <n v="6"/>
    <x v="0"/>
  </r>
  <r>
    <n v="873"/>
    <s v="N"/>
    <s v="N"/>
    <n v="1883526"/>
    <n v="5"/>
    <d v="2012-02-02T00:00:00"/>
    <d v="2012-04-27T00:00:00"/>
    <n v="1883526"/>
    <d v="2012-02-08T00:00:00"/>
    <d v="2012-04-27T00:00:00"/>
    <n v="5000"/>
    <x v="4"/>
    <m/>
    <s v="N"/>
    <s v="NONE"/>
    <s v="GUILTY PLEA - NO JURY"/>
    <n v="80"/>
    <n v="86"/>
    <n v="5"/>
    <n v="3"/>
    <n v="4"/>
    <m/>
    <m/>
    <m/>
    <m/>
    <m/>
    <m/>
    <s v="S"/>
    <m/>
    <d v="1980-08-10T00:00:00"/>
    <s v="M"/>
    <s v="H"/>
    <s v="HISPANIC"/>
    <s v="NULL"/>
    <s v="177"/>
    <s v="CONVICTED"/>
    <n v="7"/>
    <s v="STJ"/>
    <m/>
    <n v="7"/>
    <m/>
    <s v="THEFT UNDER $1500 - 3RD OFF."/>
    <m/>
    <s v="FS"/>
    <s v="THEFT"/>
    <m/>
    <m/>
    <m/>
    <m/>
    <m/>
    <m/>
    <m/>
    <m/>
    <m/>
    <s v="Appointed Attorney"/>
    <m/>
    <m/>
    <n v="80"/>
    <n v="80"/>
    <n v="86"/>
    <n v="31.415300546448087"/>
    <n v="0"/>
    <n v="0"/>
    <s v="CONVICTION"/>
    <x v="0"/>
    <s v="N"/>
    <m/>
    <s v="CONVICTION"/>
    <s v="Y"/>
    <x v="0"/>
    <x v="0"/>
    <s v="Y"/>
    <n v="0.93023255813953487"/>
    <n v="1"/>
    <n v="6.9767441860465129E-2"/>
    <n v="0"/>
    <n v="-80"/>
    <n v="0"/>
    <n v="80"/>
    <e v="#VALUE!"/>
    <n v="80"/>
    <n v="0"/>
    <n v="0"/>
    <m/>
    <s v="Y"/>
    <m/>
    <s v="61-90 DAYS"/>
    <n v="4"/>
    <x v="0"/>
  </r>
  <r>
    <n v="2924"/>
    <s v="N"/>
    <s v="N"/>
    <n v="1885305"/>
    <n v="1"/>
    <d v="2012-04-18T00:00:00"/>
    <d v="2012-04-19T00:00:00"/>
    <n v="1885305"/>
    <d v="2012-04-18T00:00:00"/>
    <d v="2012-04-19T00:00:00"/>
    <s v="NO BOND"/>
    <x v="1"/>
    <m/>
    <s v="N"/>
    <s v="NONE"/>
    <s v="DISMISSED"/>
    <n v="2"/>
    <n v="2"/>
    <n v="2"/>
    <n v="5"/>
    <m/>
    <m/>
    <m/>
    <m/>
    <m/>
    <m/>
    <m/>
    <m/>
    <m/>
    <d v="1983-04-15T00:00:00"/>
    <s v="M"/>
    <s v="W"/>
    <s v="WHITE"/>
    <s v="NON-HISPANIC"/>
    <s v="338"/>
    <s v="DISMISSED"/>
    <n v="1"/>
    <s v="DISMISSED"/>
    <m/>
    <m/>
    <m/>
    <s v="ASSAULT-BOD INJ-FAMILY MEMBER"/>
    <m/>
    <s v="F3"/>
    <s v="ASLT-MURDR"/>
    <s v="4/20/12 misd assault disp hcj 8 d"/>
    <m/>
    <m/>
    <m/>
    <m/>
    <m/>
    <m/>
    <m/>
    <m/>
    <s v="Appointed Attorney"/>
    <m/>
    <m/>
    <n v="2"/>
    <n v="2"/>
    <n v="2"/>
    <n v="28.950819672131146"/>
    <n v="0"/>
    <n v="0"/>
    <s v="NO CONVICTION"/>
    <x v="0"/>
    <s v="N"/>
    <m/>
    <s v="NO CONVICTION"/>
    <s v="Y"/>
    <x v="0"/>
    <x v="0"/>
    <s v="Y"/>
    <n v="1"/>
    <n v="1"/>
    <n v="0"/>
    <n v="0"/>
    <n v="-2"/>
    <n v="0"/>
    <n v="2"/>
    <e v="#VALUE!"/>
    <n v="2"/>
    <n v="0"/>
    <n v="0"/>
    <m/>
    <s v="Y"/>
    <m/>
    <s v="0-10 DAYS"/>
    <n v="1"/>
    <x v="0"/>
  </r>
  <r>
    <n v="1291"/>
    <s v="N"/>
    <s v="N"/>
    <n v="1887021"/>
    <n v="5"/>
    <d v="2012-02-17T00:00:00"/>
    <d v="2012-03-06T00:00:00"/>
    <n v="1887021"/>
    <d v="2012-02-17T00:00:00"/>
    <d v="2012-03-06T00:00:00"/>
    <n v="15000"/>
    <x v="0"/>
    <m/>
    <s v="N"/>
    <s v="NONE"/>
    <s v="GUILTY PLEA - NO JURY"/>
    <n v="19"/>
    <n v="19"/>
    <n v="2"/>
    <n v="3"/>
    <n v="2"/>
    <m/>
    <m/>
    <m/>
    <m/>
    <m/>
    <m/>
    <s v="S"/>
    <m/>
    <d v="1973-01-08T00:00:00"/>
    <s v="M"/>
    <s v="H"/>
    <s v="HISPANIC"/>
    <s v="NULL"/>
    <s v="230"/>
    <s v="CONVICTED"/>
    <n v="2"/>
    <s v="STJ"/>
    <m/>
    <n v="6"/>
    <m/>
    <s v="POSS CS PG 1 &lt;1G"/>
    <m/>
    <s v="FS"/>
    <s v="POSS DRUG"/>
    <m/>
    <m/>
    <m/>
    <m/>
    <m/>
    <m/>
    <m/>
    <m/>
    <m/>
    <s v="Hired Attorney"/>
    <m/>
    <m/>
    <n v="19"/>
    <n v="19"/>
    <n v="19"/>
    <n v="39.027322404371581"/>
    <n v="0"/>
    <n v="0"/>
    <s v="CONVICTION"/>
    <x v="0"/>
    <s v="N"/>
    <m/>
    <s v="CONVICTION"/>
    <s v="Y"/>
    <x v="0"/>
    <x v="0"/>
    <s v="Y"/>
    <n v="1"/>
    <n v="1"/>
    <n v="0"/>
    <n v="0"/>
    <n v="-19"/>
    <n v="0"/>
    <n v="19"/>
    <e v="#VALUE!"/>
    <n v="19"/>
    <n v="0"/>
    <n v="0"/>
    <m/>
    <s v="Y"/>
    <m/>
    <s v="11-30 DAYS"/>
    <n v="2"/>
    <x v="0"/>
  </r>
  <r>
    <n v="1372"/>
    <s v="N"/>
    <s v="N"/>
    <n v="1887772"/>
    <n v="1"/>
    <d v="2012-02-20T00:00:00"/>
    <d v="2012-03-07T00:00:00"/>
    <n v="1887772"/>
    <d v="2012-02-23T00:00:00"/>
    <d v="2012-03-07T00:00:00"/>
    <n v="20000"/>
    <x v="0"/>
    <m/>
    <s v="N"/>
    <s v="NONE"/>
    <s v="NO BILL"/>
    <n v="14"/>
    <n v="17"/>
    <n v="0"/>
    <n v="2"/>
    <m/>
    <m/>
    <m/>
    <m/>
    <m/>
    <m/>
    <m/>
    <s v="S"/>
    <m/>
    <d v="1978-09-10T00:00:00"/>
    <s v="F"/>
    <s v="H"/>
    <s v="HISPANIC"/>
    <s v="NULL"/>
    <s v="232"/>
    <s v="NO BILL"/>
    <n v="3"/>
    <s v="NO BILL"/>
    <m/>
    <m/>
    <m/>
    <s v="FALSE STATEMENT TO OBTAIN CRED"/>
    <m/>
    <s v="FS"/>
    <s v="OTHER FEL"/>
    <m/>
    <m/>
    <m/>
    <m/>
    <m/>
    <m/>
    <m/>
    <m/>
    <m/>
    <s v="Appointed Attorney"/>
    <m/>
    <m/>
    <n v="14"/>
    <n v="14"/>
    <n v="17"/>
    <n v="33.377049180327866"/>
    <n v="0"/>
    <n v="0"/>
    <s v="NO CONVICTION"/>
    <x v="0"/>
    <s v="N"/>
    <m/>
    <s v="NO CONVICTION"/>
    <s v="Y"/>
    <x v="0"/>
    <x v="0"/>
    <s v="N"/>
    <n v="0.82352941176470584"/>
    <n v="1"/>
    <n v="0.17647058823529416"/>
    <n v="0"/>
    <n v="-14"/>
    <n v="0"/>
    <n v="14"/>
    <e v="#VALUE!"/>
    <n v="14"/>
    <n v="0"/>
    <n v="0"/>
    <m/>
    <s v="Y"/>
    <m/>
    <s v="11-30 DAYS"/>
    <n v="2"/>
    <x v="0"/>
  </r>
  <r>
    <n v="821"/>
    <s v="N"/>
    <s v="N"/>
    <n v="1889272"/>
    <n v="5"/>
    <d v="2012-02-01T00:00:00"/>
    <d v="2012-04-27T00:00:00"/>
    <n v="1889272"/>
    <d v="2012-02-01T00:00:00"/>
    <d v="2012-04-27T00:00:00"/>
    <n v="40000"/>
    <x v="2"/>
    <m/>
    <s v="N"/>
    <s v="NONE"/>
    <s v="GUILTY PLEA - NO JURY"/>
    <n v="87"/>
    <n v="87"/>
    <n v="2"/>
    <n v="9"/>
    <m/>
    <m/>
    <m/>
    <m/>
    <m/>
    <m/>
    <m/>
    <m/>
    <m/>
    <d v="1983-06-23T00:00:00"/>
    <s v="M"/>
    <s v="B"/>
    <s v="BLACK"/>
    <s v="NON-HISPANIC"/>
    <s v="177"/>
    <s v="CONVICTED"/>
    <n v="4"/>
    <s v="STJ"/>
    <m/>
    <n v="6"/>
    <m/>
    <s v="POSS CS PG 1 &lt;1G"/>
    <m/>
    <s v="FS"/>
    <s v="POSS DRUG"/>
    <m/>
    <m/>
    <m/>
    <m/>
    <m/>
    <m/>
    <m/>
    <m/>
    <m/>
    <s v="Appointed Attorney"/>
    <m/>
    <m/>
    <n v="87"/>
    <n v="87"/>
    <n v="87"/>
    <n v="28.551912568306012"/>
    <n v="0"/>
    <n v="0"/>
    <s v="CONVICTION"/>
    <x v="0"/>
    <s v="N"/>
    <m/>
    <s v="CONVICTION"/>
    <s v="Y"/>
    <x v="0"/>
    <x v="0"/>
    <s v="Y"/>
    <n v="1"/>
    <n v="1"/>
    <n v="0"/>
    <n v="0"/>
    <n v="-87"/>
    <n v="0"/>
    <n v="87"/>
    <e v="#VALUE!"/>
    <n v="87"/>
    <n v="0"/>
    <n v="0"/>
    <m/>
    <s v="Y"/>
    <m/>
    <s v="61-90 DAYS"/>
    <n v="4"/>
    <x v="0"/>
  </r>
  <r>
    <n v="1491"/>
    <s v="N"/>
    <s v="N"/>
    <n v="1890532"/>
    <n v="2"/>
    <d v="2012-02-24T00:00:00"/>
    <d v="2012-02-27T00:00:00"/>
    <n v="1890532"/>
    <d v="2012-02-24T00:00:00"/>
    <d v="2012-02-27T00:00:00"/>
    <s v="NO BOND"/>
    <x v="1"/>
    <m/>
    <s v="N"/>
    <s v="NONE"/>
    <s v="DEFERRED ADJUDICATION "/>
    <n v="4"/>
    <n v="4"/>
    <n v="0"/>
    <n v="3"/>
    <m/>
    <m/>
    <m/>
    <m/>
    <m/>
    <m/>
    <m/>
    <m/>
    <m/>
    <d v="1982-10-15T00:00:00"/>
    <s v="M"/>
    <s v="B"/>
    <s v="BLACK"/>
    <s v="NON-HISPANIC"/>
    <s v="182"/>
    <s v="DEFERRED"/>
    <n v="1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4"/>
    <n v="4"/>
    <n v="4"/>
    <n v="29.300546448087431"/>
    <n v="0"/>
    <n v="0"/>
    <s v="DEFERRED"/>
    <x v="0"/>
    <s v="N"/>
    <m/>
    <s v="DEFERRED"/>
    <s v="Y"/>
    <x v="0"/>
    <x v="0"/>
    <s v="N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993"/>
    <s v="Y"/>
    <s v="Y"/>
    <n v="1891866"/>
    <n v="6"/>
    <d v="2012-02-07T00:00:00"/>
    <d v="2013-04-11T00:00:00"/>
    <n v="1891866"/>
    <d v="2012-03-05T00:00:00"/>
    <d v="2012-08-04T00:00:00"/>
    <n v="35000"/>
    <x v="2"/>
    <d v="2012-08-04T00:00:00"/>
    <s v="Y"/>
    <s v="SURETY"/>
    <s v="GUILTY PLEA - NO JURY"/>
    <n v="292"/>
    <n v="430"/>
    <n v="6"/>
    <n v="8"/>
    <n v="2"/>
    <m/>
    <m/>
    <m/>
    <m/>
    <m/>
    <m/>
    <m/>
    <m/>
    <d v="1984-10-04T00:00:00"/>
    <s v="M"/>
    <s v="B"/>
    <s v="BLACK"/>
    <s v="NON-HISPANIC"/>
    <s v="184"/>
    <s v="NULL"/>
    <n v="9"/>
    <s v="TDC"/>
    <n v="2"/>
    <m/>
    <m/>
    <s v="BURGLARY OF HABITATION"/>
    <m/>
    <s v="F2"/>
    <s v="BURGLARY"/>
    <s v="booked set 75k 11/12/12 on misd case recal detent days  pend fel study case"/>
    <s v=" bd rev 11/12/12"/>
    <m/>
    <m/>
    <s v="Y"/>
    <m/>
    <m/>
    <m/>
    <m/>
    <s v="Appointed Attorney"/>
    <s v="poss mj 10/2/12 hcj 15 days"/>
    <m/>
    <n v="292"/>
    <n v="403"/>
    <n v="430"/>
    <n v="27.28688524590164"/>
    <n v="0"/>
    <n v="-250"/>
    <s v="CONVICTION"/>
    <x v="1"/>
    <s v="N"/>
    <m/>
    <s v="CONVICTION"/>
    <s v="Y"/>
    <x v="0"/>
    <x v="0"/>
    <s v="Y"/>
    <n v="0.67906976744186043"/>
    <n v="0.37965260545905705"/>
    <n v="-0.29941716198280338"/>
    <n v="0"/>
    <n v="-153"/>
    <n v="139"/>
    <n v="403"/>
    <n v="292"/>
    <n v="403"/>
    <n v="250"/>
    <n v="250"/>
    <m/>
    <s v="Y"/>
    <m/>
    <s v="121-365 DAYS"/>
    <n v="6"/>
    <x v="0"/>
  </r>
  <r>
    <n v="2452"/>
    <s v="N"/>
    <s v="N"/>
    <n v="1893414"/>
    <n v="2"/>
    <d v="2012-04-02T00:00:00"/>
    <d v="2012-06-19T00:00:00"/>
    <n v="1893414"/>
    <d v="2012-04-10T00:00:00"/>
    <d v="2012-04-10T00:00:00"/>
    <n v="2000"/>
    <x v="5"/>
    <d v="2012-04-10T00:00:00"/>
    <s v="Y"/>
    <s v="SURETYPTRc"/>
    <s v="DEFERRED ADJUDICATION "/>
    <n v="1"/>
    <n v="79"/>
    <n v="0"/>
    <n v="0"/>
    <m/>
    <m/>
    <m/>
    <m/>
    <m/>
    <m/>
    <m/>
    <m/>
    <m/>
    <d v="1981-03-16T00:00:00"/>
    <s v="M"/>
    <s v="A"/>
    <s v="OTHER"/>
    <s v="NON-HISPANIC"/>
    <s v="230"/>
    <s v="DEFERRED"/>
    <n v="6"/>
    <s v="DEFERRED"/>
    <m/>
    <m/>
    <m/>
    <s v="MAN/DEL CS PG I &lt;1GRAM"/>
    <m/>
    <s v="FS"/>
    <s v="SALE DRUG"/>
    <m/>
    <m/>
    <m/>
    <m/>
    <m/>
    <m/>
    <m/>
    <m/>
    <m/>
    <s v="Hired Attorney"/>
    <m/>
    <m/>
    <n v="1"/>
    <n v="71"/>
    <n v="79"/>
    <n v="30.983606557377048"/>
    <n v="0"/>
    <n v="-70"/>
    <s v="DEFERRED"/>
    <x v="1"/>
    <s v="Y"/>
    <m/>
    <s v="DEFERRED"/>
    <s v="Y"/>
    <x v="1"/>
    <x v="0"/>
    <s v="N"/>
    <n v="1.2658227848101266E-2"/>
    <n v="1.4084507042253521E-2"/>
    <n v="1.4262791941522558E-3"/>
    <n v="0"/>
    <n v="-1"/>
    <n v="0"/>
    <n v="1"/>
    <e v="#VALUE!"/>
    <n v="1"/>
    <n v="0"/>
    <n v="70"/>
    <m/>
    <s v="N"/>
    <m/>
    <s v="0-10 DAYS"/>
    <n v="1"/>
    <x v="0"/>
  </r>
  <r>
    <n v="1668"/>
    <s v="N"/>
    <s v="Y"/>
    <n v="1893933"/>
    <n v="5"/>
    <d v="2012-03-02T00:00:00"/>
    <d v="2012-07-19T00:00:00"/>
    <n v="1893933"/>
    <d v="2012-03-22T00:00:00"/>
    <d v="2012-07-19T00:00:00"/>
    <n v="15000"/>
    <x v="0"/>
    <d v="2012-03-07T00:00:00"/>
    <s v="Y"/>
    <s v="SURETY"/>
    <s v="GUILTY PLEA - NO JURY"/>
    <n v="120"/>
    <n v="140"/>
    <n v="3"/>
    <n v="0"/>
    <n v="1"/>
    <m/>
    <m/>
    <m/>
    <m/>
    <m/>
    <m/>
    <m/>
    <m/>
    <d v="1972-09-01T00:00:00"/>
    <s v="M"/>
    <s v="W"/>
    <s v="WHITE"/>
    <s v="NON-HISPANIC"/>
    <s v="176"/>
    <s v="CONVICTED"/>
    <n v="7"/>
    <s v="STJ"/>
    <m/>
    <n v="12"/>
    <m/>
    <s v="FAIL TO REGISTER AS SEX OFFEND"/>
    <m/>
    <s v="FS"/>
    <s v="OTHER FEL"/>
    <m/>
    <m/>
    <s v="Y"/>
    <s v=" bf 3/20/12"/>
    <m/>
    <m/>
    <m/>
    <d v="2012-05-02T00:00:00"/>
    <n v="235"/>
    <s v="Appointed Attorney"/>
    <m/>
    <m/>
    <n v="120"/>
    <n v="120"/>
    <n v="140"/>
    <n v="39.418032786885249"/>
    <n v="0"/>
    <n v="0"/>
    <s v="CONVICTION"/>
    <x v="1"/>
    <s v="Y"/>
    <m/>
    <s v="CONVICTION"/>
    <s v="Y"/>
    <x v="0"/>
    <x v="0"/>
    <s v="Y"/>
    <n v="0.8571428571428571"/>
    <n v="1"/>
    <n v="0.1428571428571429"/>
    <n v="0"/>
    <n v="-120"/>
    <n v="0"/>
    <n v="120"/>
    <e v="#VALUE!"/>
    <n v="120"/>
    <n v="0"/>
    <n v="0"/>
    <m/>
    <s v="Y"/>
    <m/>
    <s v="91-120 DAYS"/>
    <n v="0"/>
    <x v="0"/>
  </r>
  <r>
    <n v="464"/>
    <s v="N"/>
    <s v="N"/>
    <n v="1896243"/>
    <n v="1"/>
    <d v="2012-01-19T00:00:00"/>
    <d v="2012-04-23T00:00:00"/>
    <n v="1896243"/>
    <d v="2012-01-20T00:00:00"/>
    <d v="2012-01-28T00:00:00"/>
    <n v="30000"/>
    <x v="2"/>
    <d v="2012-01-28T00:00:00"/>
    <s v="Y"/>
    <s v="SURETY"/>
    <s v="NO BILL"/>
    <n v="9"/>
    <n v="96"/>
    <n v="3"/>
    <n v="1"/>
    <n v="2"/>
    <m/>
    <m/>
    <m/>
    <m/>
    <m/>
    <m/>
    <m/>
    <m/>
    <d v="1984-01-03T00:00:00"/>
    <s v="M"/>
    <s v="B"/>
    <s v="BLACK"/>
    <s v="NON-HISPANIC"/>
    <s v="339"/>
    <s v="NO BILL"/>
    <n v="5"/>
    <s v="NO BILL"/>
    <m/>
    <m/>
    <m/>
    <s v="AGG ROBBERY-S-B-I"/>
    <m/>
    <s v="F1"/>
    <s v="ROBBERY"/>
    <m/>
    <m/>
    <m/>
    <m/>
    <m/>
    <m/>
    <m/>
    <m/>
    <m/>
    <s v="Hired Attorney"/>
    <m/>
    <m/>
    <n v="9"/>
    <n v="95"/>
    <n v="96"/>
    <n v="27.986338797814209"/>
    <n v="0"/>
    <n v="-86"/>
    <s v="NO CONVICTION"/>
    <x v="1"/>
    <s v="Y"/>
    <m/>
    <s v="NO CONVICTION"/>
    <s v="Y"/>
    <x v="1"/>
    <x v="0"/>
    <s v="Y"/>
    <n v="9.375E-2"/>
    <n v="9.4736842105263161E-2"/>
    <n v="9.8684210526316096E-4"/>
    <n v="0"/>
    <n v="-9"/>
    <n v="0"/>
    <n v="9"/>
    <e v="#VALUE!"/>
    <n v="9"/>
    <n v="0"/>
    <n v="86"/>
    <m/>
    <s v="Y"/>
    <m/>
    <s v="0-10 DAYS"/>
    <n v="1"/>
    <x v="0"/>
  </r>
  <r>
    <n v="2226"/>
    <s v="N"/>
    <s v="N"/>
    <n v="1896630"/>
    <n v="2"/>
    <d v="2012-03-24T00:00:00"/>
    <d v="2012-04-24T00:00:00"/>
    <n v="1896630"/>
    <d v="2012-03-25T00:00:00"/>
    <d v="2012-03-25T00:00:00"/>
    <n v="20000"/>
    <x v="0"/>
    <d v="2012-03-25T00:00:00"/>
    <s v="Y"/>
    <s v="SURETY"/>
    <s v="DEFERRED ADJUDICATION "/>
    <n v="1"/>
    <n v="32"/>
    <n v="0"/>
    <n v="2"/>
    <m/>
    <m/>
    <m/>
    <m/>
    <m/>
    <m/>
    <m/>
    <s v="S"/>
    <m/>
    <d v="1984-07-26T00:00:00"/>
    <s v="M"/>
    <s v="H"/>
    <s v="HISPANIC"/>
    <s v="NULL"/>
    <s v="248"/>
    <s v="DEFERRED"/>
    <n v="2"/>
    <s v="DEFERRED"/>
    <m/>
    <m/>
    <m/>
    <s v="POSS CS PG 1  1 - 4 GRAMS"/>
    <m/>
    <s v="F3"/>
    <s v="POSS DRUG"/>
    <m/>
    <m/>
    <m/>
    <m/>
    <m/>
    <m/>
    <m/>
    <m/>
    <m/>
    <s v="Hired Attorney"/>
    <m/>
    <m/>
    <n v="1"/>
    <n v="31"/>
    <n v="32"/>
    <n v="27.603825136612024"/>
    <n v="0"/>
    <n v="-30"/>
    <s v="DEFERRED"/>
    <x v="1"/>
    <s v="Y"/>
    <m/>
    <s v="DEFERRED"/>
    <s v="Y"/>
    <x v="1"/>
    <x v="0"/>
    <s v="N"/>
    <n v="3.125E-2"/>
    <n v="3.2258064516129031E-2"/>
    <n v="1.0080645161290314E-3"/>
    <n v="0"/>
    <n v="-1"/>
    <n v="0"/>
    <n v="1"/>
    <e v="#VALUE!"/>
    <n v="1"/>
    <n v="0"/>
    <n v="30"/>
    <m/>
    <s v="Y"/>
    <m/>
    <s v="0-10 DAYS"/>
    <n v="1"/>
    <x v="0"/>
  </r>
  <r>
    <n v="1940"/>
    <s v="N"/>
    <s v="Y"/>
    <n v="1897986"/>
    <n v="6"/>
    <d v="2012-03-13T00:00:00"/>
    <d v="2012-08-22T00:00:00"/>
    <n v="1897986"/>
    <d v="2012-03-14T00:00:00"/>
    <d v="2012-03-26T00:00:00"/>
    <n v="10000"/>
    <x v="3"/>
    <d v="2012-03-26T00:00:00"/>
    <s v="Y"/>
    <s v="SURETYPTRc"/>
    <s v="GUILTY PLEA - NO JURY"/>
    <n v="110"/>
    <n v="163"/>
    <n v="3"/>
    <n v="4"/>
    <m/>
    <m/>
    <m/>
    <m/>
    <m/>
    <m/>
    <m/>
    <m/>
    <m/>
    <d v="1980-07-28T00:00:00"/>
    <s v="F"/>
    <s v="B"/>
    <s v="BLACK"/>
    <s v="NON-HISPANIC"/>
    <s v="248"/>
    <s v="CONVICTED"/>
    <n v="7"/>
    <s v="TDC"/>
    <n v="2"/>
    <m/>
    <m/>
    <s v="POSS CS PG 1  1 - 4 GRAMS"/>
    <m/>
    <s v="F3"/>
    <s v="POSS DRUG"/>
    <m/>
    <s v="rev 5/18/12"/>
    <m/>
    <m/>
    <s v="Y"/>
    <m/>
    <m/>
    <m/>
    <m/>
    <s v="Hired Attorney"/>
    <m/>
    <m/>
    <n v="110"/>
    <n v="162"/>
    <n v="163"/>
    <n v="31.560109289617486"/>
    <n v="0"/>
    <n v="-149"/>
    <s v="CONVICTION"/>
    <x v="1"/>
    <s v="Y"/>
    <m/>
    <s v="CONVICTION"/>
    <s v="Y"/>
    <x v="0"/>
    <x v="0"/>
    <s v="Y"/>
    <n v="0.67484662576687116"/>
    <n v="8.0246913580246909E-2"/>
    <n v="-0.59459971218662422"/>
    <n v="0"/>
    <n v="-13"/>
    <n v="97"/>
    <n v="162"/>
    <n v="110"/>
    <n v="162"/>
    <n v="149"/>
    <n v="149"/>
    <m/>
    <s v="Y"/>
    <m/>
    <s v="91-120 DAYS"/>
    <n v="0"/>
    <x v="0"/>
  </r>
  <r>
    <n v="2352"/>
    <s v="N"/>
    <s v="N"/>
    <n v="1898102"/>
    <n v="5"/>
    <d v="2012-03-29T00:00:00"/>
    <d v="2012-07-19T00:00:00"/>
    <n v="1898102"/>
    <s v="NOT BOOKED"/>
    <s v="NOT BOOKED"/>
    <n v="2000"/>
    <x v="5"/>
    <d v="2012-05-09T00:00:00"/>
    <s v="Y"/>
    <s v="SURETY"/>
    <s v="GUILTY PLEA - NO JURY"/>
    <n v="0"/>
    <n v="113"/>
    <n v="1"/>
    <n v="3"/>
    <m/>
    <m/>
    <m/>
    <m/>
    <m/>
    <m/>
    <m/>
    <m/>
    <m/>
    <d v="1980-01-14T00:00:00"/>
    <s v="F"/>
    <s v="B"/>
    <s v="BLACK"/>
    <s v="NULL"/>
    <s v="230"/>
    <s v="CONVICTED"/>
    <n v="7"/>
    <s v="STJ"/>
    <m/>
    <n v="9"/>
    <m/>
    <s v="THEFT UNDER $1500 - 3RD OFF."/>
    <m/>
    <s v="FS"/>
    <s v="THEFT"/>
    <s v="bond raised made"/>
    <m/>
    <m/>
    <m/>
    <m/>
    <m/>
    <m/>
    <m/>
    <m/>
    <s v="Hired Attorney"/>
    <m/>
    <m/>
    <n v="0"/>
    <n v="0"/>
    <n v="113"/>
    <n v="32.139344262295083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m/>
    <e v="#VALUE!"/>
    <e v="#VALUE!"/>
    <m/>
    <s v="Y"/>
    <m/>
    <s v="0-10 DAYS"/>
    <n v="1"/>
    <x v="1"/>
  </r>
  <r>
    <n v="505"/>
    <s v="N"/>
    <s v="N"/>
    <n v="1899332"/>
    <n v="2"/>
    <d v="2012-01-21T00:00:00"/>
    <d v="2012-05-08T00:00:00"/>
    <n v="1899332"/>
    <d v="2012-01-21T00:00:00"/>
    <d v="2012-01-22T00:00:00"/>
    <n v="5000"/>
    <x v="4"/>
    <d v="2012-01-22T00:00:00"/>
    <s v="Y"/>
    <s v="SURETY"/>
    <s v="DEFERRED ADJUDICATION "/>
    <n v="2"/>
    <n v="109"/>
    <n v="0"/>
    <n v="2"/>
    <m/>
    <m/>
    <m/>
    <m/>
    <m/>
    <m/>
    <m/>
    <s v="S"/>
    <m/>
    <d v="1982-10-13T00:00:00"/>
    <s v="M"/>
    <s v="H"/>
    <s v="HISPANIC"/>
    <s v="NULL"/>
    <s v="232"/>
    <s v="DEFERRED"/>
    <n v="5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109"/>
    <n v="109"/>
    <n v="29.21311475409836"/>
    <n v="0"/>
    <n v="-107"/>
    <s v="DEFERRED"/>
    <x v="1"/>
    <s v="Y"/>
    <m/>
    <s v="DEFERRED"/>
    <s v="Y"/>
    <x v="1"/>
    <x v="0"/>
    <s v="N"/>
    <n v="1.834862385321101E-2"/>
    <n v="1.834862385321101E-2"/>
    <n v="0"/>
    <n v="0"/>
    <n v="-2"/>
    <n v="0"/>
    <n v="2"/>
    <e v="#VALUE!"/>
    <n v="2"/>
    <n v="0"/>
    <n v="107"/>
    <m/>
    <s v="Y"/>
    <m/>
    <s v="0-10 DAYS"/>
    <n v="1"/>
    <x v="0"/>
  </r>
  <r>
    <n v="2771"/>
    <s v="N"/>
    <s v="N"/>
    <n v="1900491"/>
    <n v="2"/>
    <d v="2012-04-12T00:00:00"/>
    <d v="2012-04-16T00:00:00"/>
    <n v="1900491"/>
    <d v="2012-04-13T00:00:00"/>
    <d v="2012-04-16T00:00:00"/>
    <n v="15000"/>
    <x v="0"/>
    <m/>
    <s v="N"/>
    <s v="NONE"/>
    <s v="DEFERRED ADJUDICATION "/>
    <n v="4"/>
    <n v="5"/>
    <n v="2"/>
    <n v="0"/>
    <m/>
    <m/>
    <m/>
    <m/>
    <m/>
    <m/>
    <m/>
    <m/>
    <m/>
    <d v="1972-06-21T00:00:00"/>
    <s v="M"/>
    <s v="W"/>
    <s v="WHITE"/>
    <s v="NON-HISPANIC"/>
    <s v="262"/>
    <s v="DEFERRED"/>
    <n v="1"/>
    <s v="DEFERRED"/>
    <m/>
    <m/>
    <m/>
    <s v="POSS CS PG 1 &lt;1G"/>
    <m/>
    <s v="FS"/>
    <s v="POSS DRUG"/>
    <s v="5/9/12 cop 30 day hcj"/>
    <m/>
    <m/>
    <m/>
    <m/>
    <m/>
    <m/>
    <m/>
    <m/>
    <s v="Appointed Attorney"/>
    <m/>
    <m/>
    <n v="4"/>
    <n v="4"/>
    <n v="5"/>
    <n v="39.72677595628415"/>
    <n v="0"/>
    <n v="0"/>
    <s v="DEFERRED"/>
    <x v="0"/>
    <s v="N"/>
    <m/>
    <s v="DEFERRED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988"/>
    <s v="N"/>
    <s v="N"/>
    <n v="1904348"/>
    <n v="6"/>
    <d v="2012-02-06T00:00:00"/>
    <d v="2012-02-08T00:00:00"/>
    <n v="1904348"/>
    <d v="2012-02-07T00:00:00"/>
    <d v="2012-02-08T00:00:00"/>
    <n v="10000"/>
    <x v="3"/>
    <m/>
    <s v="N"/>
    <s v="NONE"/>
    <s v="GUILTY PLEA - NO JURY"/>
    <n v="2"/>
    <n v="3"/>
    <n v="1"/>
    <n v="4"/>
    <n v="1"/>
    <m/>
    <m/>
    <m/>
    <m/>
    <m/>
    <m/>
    <m/>
    <m/>
    <d v="1981-11-26T00:00:00"/>
    <s v="M"/>
    <s v="W"/>
    <s v="WHITE"/>
    <s v="NON-HISPANIC"/>
    <s v="228"/>
    <s v="CONVICTED"/>
    <n v="1"/>
    <s v="TDC"/>
    <n v="5"/>
    <m/>
    <m/>
    <s v="DWI 3RD OFFENDER BAC .08"/>
    <m/>
    <s v="F3"/>
    <s v="FEL DWI"/>
    <m/>
    <m/>
    <m/>
    <m/>
    <m/>
    <m/>
    <m/>
    <m/>
    <m/>
    <s v="Appointed Attorney"/>
    <m/>
    <m/>
    <n v="2"/>
    <n v="2"/>
    <n v="3"/>
    <n v="30.133879781420767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185"/>
    <s v="N"/>
    <s v="N"/>
    <n v="1904595"/>
    <n v="2"/>
    <d v="2012-01-09T00:00:00"/>
    <d v="2012-03-02T00:00:00"/>
    <n v="1904595"/>
    <d v="2012-01-09T00:00:00"/>
    <d v="2012-03-02T00:00:00"/>
    <n v="5000"/>
    <x v="4"/>
    <m/>
    <s v="N"/>
    <s v="NONE"/>
    <s v="DEFERRED ADJUDICATION "/>
    <n v="54"/>
    <n v="54"/>
    <n v="1"/>
    <n v="1"/>
    <m/>
    <n v="1"/>
    <m/>
    <m/>
    <m/>
    <m/>
    <m/>
    <m/>
    <m/>
    <d v="1980-05-13T00:00:00"/>
    <s v="F"/>
    <s v="W"/>
    <s v="WHITE"/>
    <s v="NULL"/>
    <s v="339"/>
    <s v="DEFERRED"/>
    <n v="4"/>
    <s v="DEFERRED"/>
    <m/>
    <m/>
    <m/>
    <s v="POSS CS PG 1  1 - 4 GRAMS"/>
    <m/>
    <s v="F3"/>
    <s v="POSS DRUG"/>
    <m/>
    <m/>
    <m/>
    <m/>
    <m/>
    <m/>
    <m/>
    <m/>
    <m/>
    <s v="Appointed Attorney"/>
    <m/>
    <m/>
    <n v="54"/>
    <n v="54"/>
    <n v="54"/>
    <n v="31.592896174863387"/>
    <n v="0"/>
    <n v="0"/>
    <s v="DEFERRED"/>
    <x v="0"/>
    <s v="N"/>
    <m/>
    <s v="DEFERRED"/>
    <s v="Y"/>
    <x v="0"/>
    <x v="0"/>
    <s v="Y"/>
    <n v="1"/>
    <n v="1"/>
    <n v="0"/>
    <n v="0"/>
    <n v="-54"/>
    <n v="0"/>
    <n v="54"/>
    <e v="#VALUE!"/>
    <n v="54"/>
    <n v="0"/>
    <n v="0"/>
    <m/>
    <s v="Y"/>
    <m/>
    <s v="31-60 DAYS"/>
    <n v="3"/>
    <x v="0"/>
  </r>
  <r>
    <n v="1236"/>
    <s v="N"/>
    <s v="N"/>
    <n v="1904676"/>
    <n v="2"/>
    <d v="2012-02-15T00:00:00"/>
    <d v="2012-07-26T00:00:00"/>
    <n v="1904676"/>
    <d v="2012-02-15T00:00:00"/>
    <d v="2012-02-16T00:00:00"/>
    <n v="20000"/>
    <x v="0"/>
    <d v="2012-02-16T00:00:00"/>
    <s v="Y"/>
    <s v="SURETYPTRc"/>
    <s v="DEFERRED ADJUDICATION "/>
    <n v="2"/>
    <n v="163"/>
    <n v="1"/>
    <n v="4"/>
    <n v="1"/>
    <m/>
    <m/>
    <m/>
    <m/>
    <m/>
    <m/>
    <m/>
    <m/>
    <d v="1984-11-26T00:00:00"/>
    <s v="F"/>
    <s v="W"/>
    <s v="WHITE"/>
    <s v="NULL"/>
    <s v="183"/>
    <s v="DEFERRED"/>
    <n v="8"/>
    <s v="DEFERRED"/>
    <m/>
    <m/>
    <m/>
    <s v="POSS CS PG 1  1 - 4 GRAMS"/>
    <m/>
    <s v="F3"/>
    <s v="POSS DRUG"/>
    <m/>
    <m/>
    <m/>
    <m/>
    <m/>
    <m/>
    <m/>
    <m/>
    <m/>
    <s v="Hired Attorney"/>
    <m/>
    <m/>
    <n v="2"/>
    <n v="163"/>
    <n v="163"/>
    <n v="27.16393442622951"/>
    <n v="0"/>
    <n v="-161"/>
    <s v="DEFERRED"/>
    <x v="1"/>
    <s v="Y"/>
    <m/>
    <s v="DEFERRED"/>
    <s v="Y"/>
    <x v="1"/>
    <x v="0"/>
    <s v="Y"/>
    <n v="1.2269938650306749E-2"/>
    <n v="1.2269938650306749E-2"/>
    <n v="0"/>
    <n v="0"/>
    <n v="-2"/>
    <n v="0"/>
    <n v="2"/>
    <e v="#VALUE!"/>
    <n v="2"/>
    <n v="0"/>
    <n v="161"/>
    <m/>
    <s v="Y"/>
    <m/>
    <s v="0-10 DAYS"/>
    <n v="1"/>
    <x v="0"/>
  </r>
  <r>
    <n v="307"/>
    <s v="N"/>
    <s v="N"/>
    <n v="1907541"/>
    <n v="5"/>
    <d v="2012-01-13T00:00:00"/>
    <d v="2012-08-06T00:00:00"/>
    <n v="1907541"/>
    <d v="2012-05-16T00:00:00"/>
    <d v="2012-08-06T00:00:00"/>
    <s v="NO BOND"/>
    <x v="1"/>
    <m/>
    <s v="N"/>
    <s v="NONE"/>
    <s v="GUILTY PLEA - NO JURY"/>
    <n v="83"/>
    <n v="207"/>
    <n v="4"/>
    <n v="2"/>
    <n v="4"/>
    <m/>
    <m/>
    <m/>
    <m/>
    <m/>
    <m/>
    <m/>
    <m/>
    <d v="1983-08-22T00:00:00"/>
    <s v="M"/>
    <s v="H"/>
    <s v="HISPANIC"/>
    <s v="HISPANIC"/>
    <s v="183"/>
    <s v="CONVICTED"/>
    <n v="4"/>
    <s v="STJ"/>
    <m/>
    <n v="13"/>
    <m/>
    <s v="THEFT &gt;=$20,000 &lt;$100,000"/>
    <m/>
    <s v="F3"/>
    <s v="THEFT"/>
    <m/>
    <m/>
    <m/>
    <m/>
    <m/>
    <m/>
    <m/>
    <m/>
    <m/>
    <s v="Appointed Attorney"/>
    <m/>
    <m/>
    <n v="83"/>
    <n v="83"/>
    <n v="207"/>
    <n v="28.33606557377049"/>
    <n v="0"/>
    <n v="0"/>
    <s v="CONVICTION"/>
    <x v="0"/>
    <s v="N"/>
    <m/>
    <s v="CONVICTION"/>
    <s v="Y"/>
    <x v="0"/>
    <x v="0"/>
    <s v="Y"/>
    <n v="0.40096618357487923"/>
    <n v="1"/>
    <n v="0.59903381642512077"/>
    <n v="0"/>
    <n v="-83"/>
    <n v="0"/>
    <n v="83"/>
    <e v="#VALUE!"/>
    <n v="83"/>
    <n v="0"/>
    <n v="0"/>
    <m/>
    <s v="Y"/>
    <m/>
    <s v="61-90 DAYS"/>
    <n v="4"/>
    <x v="0"/>
  </r>
  <r>
    <n v="2028"/>
    <s v="N"/>
    <s v="N"/>
    <n v="1908313"/>
    <n v="2"/>
    <d v="2012-03-17T00:00:00"/>
    <d v="2012-08-22T00:00:00"/>
    <n v="1908313"/>
    <d v="2012-03-17T00:00:00"/>
    <d v="2012-03-18T00:00:00"/>
    <n v="2000"/>
    <x v="5"/>
    <d v="2012-03-18T00:00:00"/>
    <s v="Y"/>
    <s v="SURETY"/>
    <s v="DEFERRED ADJUDICATION "/>
    <n v="2"/>
    <n v="159"/>
    <n v="0"/>
    <n v="4"/>
    <m/>
    <m/>
    <m/>
    <m/>
    <m/>
    <m/>
    <m/>
    <m/>
    <m/>
    <d v="1978-02-27T00:00:00"/>
    <s v="M"/>
    <s v="B"/>
    <s v="BLACK"/>
    <s v="NON-HISPANIC"/>
    <s v="178"/>
    <s v="DEFERRED"/>
    <n v="7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159"/>
    <n v="159"/>
    <n v="33.980874316939889"/>
    <n v="0"/>
    <n v="-157"/>
    <s v="DEFERRED"/>
    <x v="1"/>
    <s v="Y"/>
    <m/>
    <s v="DEFERRED"/>
    <s v="Y"/>
    <x v="1"/>
    <x v="0"/>
    <s v="N"/>
    <n v="1.2578616352201259E-2"/>
    <n v="1.2578616352201259E-2"/>
    <n v="0"/>
    <n v="0"/>
    <n v="-2"/>
    <n v="0"/>
    <n v="2"/>
    <e v="#VALUE!"/>
    <n v="2"/>
    <n v="0"/>
    <n v="157"/>
    <m/>
    <s v="Y"/>
    <m/>
    <s v="0-10 DAYS"/>
    <n v="1"/>
    <x v="0"/>
  </r>
  <r>
    <n v="2630"/>
    <s v="N"/>
    <s v="N"/>
    <n v="1908981"/>
    <n v="6"/>
    <d v="2012-04-07T00:00:00"/>
    <d v="2012-06-26T00:00:00"/>
    <n v="1908981"/>
    <d v="2012-04-07T00:00:00"/>
    <d v="2012-06-26T00:00:00"/>
    <n v="10000"/>
    <x v="3"/>
    <m/>
    <s v="N"/>
    <s v="NONE"/>
    <s v="GUILTY PLEA - NO JURY"/>
    <n v="81"/>
    <n v="81"/>
    <n v="0"/>
    <n v="4"/>
    <m/>
    <m/>
    <m/>
    <m/>
    <m/>
    <m/>
    <m/>
    <m/>
    <m/>
    <d v="1982-04-05T00:00:00"/>
    <s v="M"/>
    <s v="B"/>
    <s v="BLACK"/>
    <s v="NULL"/>
    <s v="337"/>
    <s v="CONVICTED"/>
    <n v="4"/>
    <s v="TDC"/>
    <n v="3"/>
    <m/>
    <m/>
    <s v="FELON POSS WPN"/>
    <m/>
    <s v="F3"/>
    <s v="OTHER FEL"/>
    <m/>
    <m/>
    <m/>
    <m/>
    <m/>
    <m/>
    <m/>
    <m/>
    <m/>
    <s v="Appointed Attorney"/>
    <m/>
    <m/>
    <n v="81"/>
    <n v="81"/>
    <n v="81"/>
    <n v="29.94535519125683"/>
    <n v="0"/>
    <n v="0"/>
    <s v="CONVICTION"/>
    <x v="0"/>
    <s v="N"/>
    <m/>
    <s v="CONVICTION"/>
    <s v="Y"/>
    <x v="0"/>
    <x v="0"/>
    <s v="N"/>
    <n v="1"/>
    <n v="1"/>
    <n v="0"/>
    <n v="0"/>
    <n v="-81"/>
    <n v="0"/>
    <n v="81"/>
    <e v="#VALUE!"/>
    <n v="81"/>
    <n v="0"/>
    <n v="0"/>
    <m/>
    <s v="Y"/>
    <m/>
    <s v="61-90 DAYS"/>
    <n v="4"/>
    <x v="0"/>
  </r>
  <r>
    <n v="2213"/>
    <s v="N"/>
    <s v="N"/>
    <n v="1910014"/>
    <n v="6"/>
    <d v="2012-03-24T00:00:00"/>
    <d v="2012-08-30T00:00:00"/>
    <n v="1910014"/>
    <d v="2012-03-24T00:00:00"/>
    <d v="2012-08-30T00:00:00"/>
    <s v="NO BOND"/>
    <x v="1"/>
    <m/>
    <s v="N"/>
    <s v="NONE"/>
    <s v="GUILTY PLEA - NO JURY"/>
    <n v="160"/>
    <n v="160"/>
    <n v="2"/>
    <n v="2"/>
    <n v="2"/>
    <m/>
    <m/>
    <m/>
    <m/>
    <m/>
    <m/>
    <m/>
    <m/>
    <d v="1985-06-15T00:00:00"/>
    <s v="M"/>
    <s v="B"/>
    <s v="BLACK"/>
    <s v="NON-HISPANIC"/>
    <s v="339"/>
    <s v="CONVICTED"/>
    <n v="7"/>
    <s v="TDC"/>
    <n v="5"/>
    <m/>
    <m/>
    <s v="FORGERY GOVT FINANCIAL INST"/>
    <m/>
    <s v="F3"/>
    <s v="OTHER FEL"/>
    <s v="6/13/12 filed assault disp 8/30/12 samd disp"/>
    <s v="REV 3/26/12    bk 3/27/12"/>
    <m/>
    <m/>
    <m/>
    <m/>
    <m/>
    <m/>
    <m/>
    <s v="Public Defender"/>
    <m/>
    <m/>
    <n v="160"/>
    <n v="160"/>
    <n v="160"/>
    <n v="26.718579234972676"/>
    <n v="0"/>
    <n v="0"/>
    <s v="CONVICTION"/>
    <x v="0"/>
    <s v="N"/>
    <m/>
    <s v="CONVICTION"/>
    <s v="Y"/>
    <x v="0"/>
    <x v="0"/>
    <s v="Y"/>
    <n v="1"/>
    <n v="1"/>
    <n v="0"/>
    <n v="0"/>
    <n v="-160"/>
    <n v="0"/>
    <n v="160"/>
    <e v="#VALUE!"/>
    <n v="160"/>
    <n v="0"/>
    <n v="0"/>
    <m/>
    <s v="Y"/>
    <m/>
    <s v="121-365 DAYS"/>
    <n v="6"/>
    <x v="0"/>
  </r>
  <r>
    <n v="2537"/>
    <s v="N"/>
    <s v="N"/>
    <n v="1910352"/>
    <n v="2"/>
    <d v="2012-04-04T00:00:00"/>
    <d v="2012-08-08T00:00:00"/>
    <n v="1910352"/>
    <d v="2012-04-05T00:00:00"/>
    <d v="2012-04-06T00:00:00"/>
    <n v="2000"/>
    <x v="5"/>
    <d v="2012-04-06T00:00:00"/>
    <s v="Y"/>
    <s v="SURETY"/>
    <s v="DEFERRED ADJUDICATION "/>
    <n v="2"/>
    <n v="127"/>
    <n v="0"/>
    <n v="0"/>
    <m/>
    <m/>
    <m/>
    <m/>
    <m/>
    <m/>
    <m/>
    <m/>
    <m/>
    <d v="1982-06-10T00:00:00"/>
    <s v="F"/>
    <s v="B"/>
    <s v="BLACK"/>
    <s v="NON-HISPANIC"/>
    <s v="339"/>
    <s v="DEFERRED"/>
    <n v="6"/>
    <s v="DEFERRED"/>
    <m/>
    <m/>
    <m/>
    <s v="THEFT $1500-20K"/>
    <m/>
    <s v="FS"/>
    <s v="THEFT"/>
    <m/>
    <m/>
    <m/>
    <m/>
    <m/>
    <m/>
    <m/>
    <m/>
    <m/>
    <s v="Hired Attorney"/>
    <m/>
    <m/>
    <n v="2"/>
    <n v="126"/>
    <n v="127"/>
    <n v="29.756830601092897"/>
    <n v="0"/>
    <n v="-124"/>
    <s v="DEFERRED"/>
    <x v="1"/>
    <s v="Y"/>
    <m/>
    <s v="DEFERRED"/>
    <s v="Y"/>
    <x v="1"/>
    <x v="0"/>
    <s v="N"/>
    <n v="1.5748031496062992E-2"/>
    <n v="1.5873015873015872E-2"/>
    <n v="1.2498437695288023E-4"/>
    <n v="0"/>
    <n v="-2"/>
    <n v="0"/>
    <n v="2"/>
    <e v="#VALUE!"/>
    <n v="2"/>
    <n v="0"/>
    <n v="124"/>
    <m/>
    <s v="N"/>
    <m/>
    <s v="0-10 DAYS"/>
    <n v="1"/>
    <x v="0"/>
  </r>
  <r>
    <n v="2759"/>
    <s v="N"/>
    <s v="N"/>
    <n v="1910621"/>
    <n v="5"/>
    <d v="2012-04-12T00:00:00"/>
    <d v="2012-05-21T00:00:00"/>
    <n v="1910621"/>
    <d v="2012-04-12T00:00:00"/>
    <d v="2012-04-22T00:00:00"/>
    <n v="15000"/>
    <x v="0"/>
    <d v="2012-04-22T00:00:00"/>
    <s v="Y"/>
    <s v="SURETY"/>
    <s v="GUILTY PLEA - NO JURY"/>
    <n v="11"/>
    <n v="40"/>
    <n v="11"/>
    <n v="5"/>
    <n v="5"/>
    <m/>
    <m/>
    <m/>
    <m/>
    <m/>
    <m/>
    <m/>
    <m/>
    <d v="1983-10-06T00:00:00"/>
    <s v="F"/>
    <s v="H"/>
    <s v="HISPANIC"/>
    <s v="HISPANIC"/>
    <s v="183"/>
    <s v="CONVICTED"/>
    <n v="4"/>
    <s v="STJ"/>
    <m/>
    <n v="8"/>
    <m/>
    <s v="POSS CS PG 1 &lt;1G"/>
    <m/>
    <s v="FS"/>
    <s v="POSS DRUG"/>
    <m/>
    <m/>
    <m/>
    <m/>
    <m/>
    <m/>
    <m/>
    <m/>
    <m/>
    <s v="Appointed Attorney"/>
    <m/>
    <m/>
    <n v="11"/>
    <n v="40"/>
    <n v="40"/>
    <n v="28.459016393442624"/>
    <n v="0"/>
    <n v="-29"/>
    <s v="CONVICTION"/>
    <x v="1"/>
    <s v="Y"/>
    <m/>
    <s v="CONVICTION"/>
    <s v="Y"/>
    <x v="1"/>
    <x v="0"/>
    <s v="Y"/>
    <n v="0.27500000000000002"/>
    <n v="0.27500000000000002"/>
    <n v="0"/>
    <n v="0"/>
    <n v="-11"/>
    <n v="0"/>
    <n v="11"/>
    <e v="#VALUE!"/>
    <n v="11"/>
    <n v="0"/>
    <n v="29"/>
    <m/>
    <s v="Y"/>
    <m/>
    <s v="11-30 DAYS"/>
    <n v="2"/>
    <x v="0"/>
  </r>
  <r>
    <n v="1885"/>
    <s v="N"/>
    <s v="N"/>
    <n v="1910694"/>
    <n v="6"/>
    <d v="2012-03-10T00:00:00"/>
    <d v="2012-07-27T00:00:00"/>
    <n v="1910694"/>
    <d v="2012-03-10T00:00:00"/>
    <d v="2012-07-27T00:00:00"/>
    <n v="40000"/>
    <x v="2"/>
    <m/>
    <s v="N"/>
    <s v="NONE"/>
    <s v="GUILTY PLEA - NO JURY"/>
    <n v="140"/>
    <n v="140"/>
    <n v="2"/>
    <n v="3"/>
    <n v="1"/>
    <n v="1"/>
    <m/>
    <m/>
    <m/>
    <m/>
    <m/>
    <m/>
    <m/>
    <d v="1968-01-01T00:00:00"/>
    <s v="M"/>
    <s v="B"/>
    <s v="BLACK"/>
    <s v="NULL"/>
    <s v="208"/>
    <s v="CONVICTED"/>
    <n v="8"/>
    <s v="TDC"/>
    <n v="4"/>
    <m/>
    <m/>
    <s v="DWI 3RD OFFENDER BAC .08"/>
    <m/>
    <s v="F3"/>
    <s v="FEL DWI"/>
    <m/>
    <m/>
    <m/>
    <m/>
    <m/>
    <m/>
    <m/>
    <m/>
    <m/>
    <s v="Hired Attorney"/>
    <m/>
    <m/>
    <n v="140"/>
    <n v="140"/>
    <n v="140"/>
    <n v="44.098360655737707"/>
    <n v="0"/>
    <n v="0"/>
    <s v="CONVICTION"/>
    <x v="0"/>
    <s v="N"/>
    <m/>
    <s v="CONVICTION"/>
    <s v="Y"/>
    <x v="0"/>
    <x v="0"/>
    <s v="Y"/>
    <n v="1"/>
    <n v="1"/>
    <n v="0"/>
    <n v="0"/>
    <n v="-140"/>
    <n v="0"/>
    <n v="140"/>
    <e v="#VALUE!"/>
    <n v="140"/>
    <n v="0"/>
    <n v="0"/>
    <m/>
    <s v="Y"/>
    <m/>
    <s v="121-365 DAYS"/>
    <n v="6"/>
    <x v="0"/>
  </r>
  <r>
    <n v="2695"/>
    <s v="N"/>
    <s v="N"/>
    <n v="1912829"/>
    <n v="6"/>
    <d v="2012-04-10T00:00:00"/>
    <d v="2012-10-04T00:00:00"/>
    <n v="1912829"/>
    <d v="2012-04-16T00:00:00"/>
    <d v="2012-10-04T00:00:00"/>
    <s v="NO BOND"/>
    <x v="1"/>
    <m/>
    <s v="N"/>
    <s v="NONE"/>
    <s v="GUILTY PLEA - NO JURY"/>
    <n v="172"/>
    <n v="178"/>
    <n v="0"/>
    <n v="1"/>
    <m/>
    <m/>
    <m/>
    <m/>
    <m/>
    <m/>
    <m/>
    <m/>
    <m/>
    <d v="1975-06-21T00:00:00"/>
    <s v="M"/>
    <s v="H"/>
    <s v="HISPANIC"/>
    <s v="HISPANIC"/>
    <s v="208"/>
    <s v="CONVICTED"/>
    <n v="6"/>
    <s v="TDC"/>
    <n v="2"/>
    <m/>
    <m/>
    <s v="BURGLARY OF HABITATION"/>
    <m/>
    <s v="F2"/>
    <s v="BURGLARY"/>
    <m/>
    <m/>
    <m/>
    <m/>
    <m/>
    <m/>
    <m/>
    <m/>
    <m/>
    <s v="Appointed Attorney"/>
    <m/>
    <m/>
    <n v="172"/>
    <n v="172"/>
    <n v="178"/>
    <n v="36.729508196721312"/>
    <n v="0"/>
    <n v="0"/>
    <s v="CONVICTION"/>
    <x v="0"/>
    <s v="N"/>
    <m/>
    <s v="CONVICTION"/>
    <s v="Y"/>
    <x v="0"/>
    <x v="0"/>
    <s v="N"/>
    <n v="0.9662921348314607"/>
    <n v="1"/>
    <n v="3.3707865168539297E-2"/>
    <n v="0"/>
    <n v="-172"/>
    <n v="0"/>
    <n v="172"/>
    <e v="#VALUE!"/>
    <n v="172"/>
    <n v="0"/>
    <n v="0"/>
    <m/>
    <s v="Y"/>
    <m/>
    <s v="121-365 DAYS"/>
    <n v="6"/>
    <x v="0"/>
  </r>
  <r>
    <n v="264"/>
    <s v="N"/>
    <s v="N"/>
    <n v="1913651"/>
    <n v="4"/>
    <d v="2012-01-12T00:00:00"/>
    <d v="2012-02-06T00:00:00"/>
    <n v="1913651"/>
    <d v="2012-01-12T00:00:00"/>
    <d v="2012-02-06T00:00:00"/>
    <n v="5000"/>
    <x v="4"/>
    <m/>
    <s v="N"/>
    <s v="NONE"/>
    <s v="GUILTY PLEA - NO JURY"/>
    <n v="26"/>
    <n v="26"/>
    <n v="1"/>
    <n v="20"/>
    <n v="1"/>
    <m/>
    <m/>
    <m/>
    <m/>
    <m/>
    <m/>
    <m/>
    <m/>
    <d v="1982-12-05T00:00:00"/>
    <s v="M"/>
    <s v="H"/>
    <s v="HISPANIC"/>
    <s v="HISPANIC"/>
    <s v="178"/>
    <s v="CONVICTED"/>
    <n v="2"/>
    <s v="HCJ"/>
    <m/>
    <m/>
    <n v="335"/>
    <s v="ATT TAMPER WITH PHYSICAL EVIDE"/>
    <m/>
    <s v="FS"/>
    <s v="OTHER FEL"/>
    <m/>
    <m/>
    <m/>
    <m/>
    <m/>
    <m/>
    <m/>
    <m/>
    <m/>
    <s v="Appointed Attorney"/>
    <m/>
    <m/>
    <n v="26"/>
    <n v="26"/>
    <n v="26"/>
    <n v="29.043715846994534"/>
    <n v="0"/>
    <n v="0"/>
    <s v="CONVICTION"/>
    <x v="0"/>
    <s v="N"/>
    <m/>
    <s v="CONVICTION"/>
    <s v="Y"/>
    <x v="0"/>
    <x v="0"/>
    <s v="Y"/>
    <n v="1"/>
    <n v="1"/>
    <n v="0"/>
    <n v="0"/>
    <n v="-26"/>
    <n v="0"/>
    <n v="26"/>
    <e v="#VALUE!"/>
    <n v="26"/>
    <n v="0"/>
    <n v="0"/>
    <m/>
    <s v="Y"/>
    <m/>
    <s v="11-30 DAYS"/>
    <n v="2"/>
    <x v="0"/>
  </r>
  <r>
    <n v="3070"/>
    <s v="N"/>
    <s v="N"/>
    <n v="1913693"/>
    <n v="5"/>
    <d v="2012-04-24T00:00:00"/>
    <d v="2012-07-03T00:00:00"/>
    <n v="1913693"/>
    <d v="2012-04-24T00:00:00"/>
    <d v="2012-07-03T00:00:00"/>
    <n v="5000"/>
    <x v="4"/>
    <m/>
    <s v="N"/>
    <s v="NONE"/>
    <s v="GUILTY PLEA - NO JURY"/>
    <n v="71"/>
    <n v="71"/>
    <n v="5"/>
    <n v="5"/>
    <n v="1"/>
    <m/>
    <m/>
    <m/>
    <m/>
    <m/>
    <m/>
    <m/>
    <m/>
    <d v="1979-04-03T00:00:00"/>
    <s v="M"/>
    <s v="W"/>
    <s v="WHITE"/>
    <s v="NON-HISPANIC"/>
    <s v="230"/>
    <s v="CONVICTED"/>
    <n v="4"/>
    <s v="STJ"/>
    <m/>
    <n v="7"/>
    <m/>
    <s v="HARASSMENT OF PUBLIC SERVANT"/>
    <m/>
    <s v="F3"/>
    <s v="OTHER FEL"/>
    <m/>
    <m/>
    <m/>
    <m/>
    <m/>
    <m/>
    <m/>
    <m/>
    <m/>
    <s v="Appointed Attorney"/>
    <m/>
    <m/>
    <n v="71"/>
    <n v="71"/>
    <n v="71"/>
    <n v="32.991803278688522"/>
    <n v="0"/>
    <n v="0"/>
    <s v="CONVICTION"/>
    <x v="0"/>
    <s v="N"/>
    <m/>
    <s v="CONVICTION"/>
    <s v="Y"/>
    <x v="0"/>
    <x v="0"/>
    <s v="Y"/>
    <n v="1"/>
    <n v="1"/>
    <n v="0"/>
    <n v="0"/>
    <n v="-71"/>
    <n v="0"/>
    <n v="71"/>
    <e v="#VALUE!"/>
    <n v="71"/>
    <n v="0"/>
    <n v="0"/>
    <m/>
    <s v="Y"/>
    <m/>
    <s v="61-90 DAYS"/>
    <n v="4"/>
    <x v="0"/>
  </r>
  <r>
    <n v="3222"/>
    <s v="N"/>
    <s v="N"/>
    <n v="1915330"/>
    <n v="5"/>
    <d v="2012-04-28T00:00:00"/>
    <d v="2012-04-30T00:00:00"/>
    <n v="1915330"/>
    <d v="2012-04-29T00:00:00"/>
    <d v="2012-04-30T00:00:00"/>
    <n v="15000"/>
    <x v="0"/>
    <m/>
    <s v="N"/>
    <s v="NONE"/>
    <s v="GUILTY PLEA - NO JURY"/>
    <n v="2"/>
    <n v="3"/>
    <n v="4"/>
    <n v="7"/>
    <n v="2"/>
    <m/>
    <m/>
    <m/>
    <m/>
    <m/>
    <m/>
    <m/>
    <m/>
    <d v="1983-12-30T00:00:00"/>
    <s v="M"/>
    <s v="B"/>
    <s v="BLACK"/>
    <s v="NULL"/>
    <s v="351"/>
    <s v="CONVICTED"/>
    <n v="2"/>
    <s v="STJ"/>
    <m/>
    <n v="10"/>
    <m/>
    <s v="MAN/DEL CS PG I &lt;1GRAM"/>
    <m/>
    <s v="FS"/>
    <s v="SALE DRUG"/>
    <m/>
    <m/>
    <m/>
    <m/>
    <m/>
    <m/>
    <m/>
    <m/>
    <m/>
    <s v="Appointed Attorney"/>
    <m/>
    <m/>
    <n v="2"/>
    <n v="2"/>
    <n v="3"/>
    <n v="28.270491803278688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n v="0"/>
    <m/>
    <s v="Y"/>
    <m/>
    <s v="0-10 DAYS"/>
    <n v="1"/>
    <x v="0"/>
  </r>
  <r>
    <n v="248"/>
    <s v="N"/>
    <s v="N"/>
    <n v="1918160"/>
    <n v="4"/>
    <d v="2012-01-11T00:00:00"/>
    <d v="2012-05-24T00:00:00"/>
    <n v="1918160"/>
    <d v="2012-01-30T00:00:00"/>
    <d v="2012-01-31T00:00:00"/>
    <n v="15000"/>
    <x v="0"/>
    <d v="2012-01-31T00:00:00"/>
    <s v="Y"/>
    <s v="SURETY"/>
    <s v="GUILTY PLEA - NO JURY"/>
    <n v="2"/>
    <n v="135"/>
    <n v="6"/>
    <n v="3"/>
    <n v="2"/>
    <m/>
    <m/>
    <m/>
    <m/>
    <m/>
    <m/>
    <m/>
    <m/>
    <d v="1983-02-18T00:00:00"/>
    <s v="M"/>
    <s v="W"/>
    <s v="WHITE"/>
    <s v="NULL"/>
    <s v="209"/>
    <s v="CONVICTED"/>
    <n v="5"/>
    <s v="HCJ"/>
    <m/>
    <m/>
    <n v="120"/>
    <s v="THEFT UNDER $1500 - 3RD OFF."/>
    <m/>
    <s v="FS"/>
    <s v="THEFT"/>
    <m/>
    <m/>
    <m/>
    <m/>
    <m/>
    <m/>
    <m/>
    <m/>
    <m/>
    <s v="Hired Attorney"/>
    <m/>
    <m/>
    <n v="2"/>
    <n v="116"/>
    <n v="135"/>
    <n v="28.83606557377049"/>
    <n v="0"/>
    <n v="-114"/>
    <s v="CONVICTION"/>
    <x v="1"/>
    <s v="Y"/>
    <m/>
    <s v="CONVICTION"/>
    <s v="Y"/>
    <x v="1"/>
    <x v="0"/>
    <s v="Y"/>
    <n v="1.4814814814814815E-2"/>
    <n v="1.7241379310344827E-2"/>
    <n v="2.426564495530012E-3"/>
    <n v="0"/>
    <n v="-2"/>
    <n v="0"/>
    <n v="2"/>
    <e v="#VALUE!"/>
    <n v="2"/>
    <n v="0"/>
    <n v="114"/>
    <m/>
    <s v="Y"/>
    <m/>
    <s v="0-10 DAYS"/>
    <n v="1"/>
    <x v="0"/>
  </r>
  <r>
    <n v="2973"/>
    <s v="N"/>
    <s v="N"/>
    <n v="1918360"/>
    <n v="1"/>
    <d v="2012-04-19T00:00:00"/>
    <d v="2012-06-20T00:00:00"/>
    <n v="1918360"/>
    <d v="2012-04-19T00:00:00"/>
    <d v="2012-06-20T00:00:00"/>
    <n v="50000"/>
    <x v="2"/>
    <m/>
    <s v="N"/>
    <s v="NONE"/>
    <s v="NO BILL"/>
    <n v="63"/>
    <n v="63"/>
    <n v="9"/>
    <n v="9"/>
    <n v="5"/>
    <m/>
    <m/>
    <m/>
    <m/>
    <m/>
    <m/>
    <m/>
    <m/>
    <d v="1985-02-06T00:00:00"/>
    <s v="M"/>
    <s v="H"/>
    <s v="HISPANIC"/>
    <s v="HISPANIC"/>
    <s v="338"/>
    <s v="NO BILL"/>
    <n v="3"/>
    <s v="NO BILL"/>
    <m/>
    <m/>
    <m/>
    <s v="SEX ASSLT CHILD 14-17"/>
    <m/>
    <s v="F2"/>
    <s v="SEX ABUSE"/>
    <m/>
    <m/>
    <m/>
    <m/>
    <m/>
    <m/>
    <m/>
    <m/>
    <m/>
    <s v="Appointed Attorney"/>
    <m/>
    <m/>
    <n v="63"/>
    <n v="63"/>
    <n v="63"/>
    <n v="27.142076502732241"/>
    <n v="0"/>
    <n v="0"/>
    <s v="NO CONVICTION"/>
    <x v="0"/>
    <s v="N"/>
    <m/>
    <s v="NO CONVICTION"/>
    <s v="Y"/>
    <x v="0"/>
    <x v="0"/>
    <s v="Y"/>
    <n v="1"/>
    <n v="1"/>
    <n v="0"/>
    <n v="0"/>
    <n v="-63"/>
    <n v="0"/>
    <n v="63"/>
    <e v="#VALUE!"/>
    <n v="63"/>
    <n v="0"/>
    <n v="0"/>
    <m/>
    <s v="Y"/>
    <m/>
    <s v="61-90 DAYS"/>
    <n v="4"/>
    <x v="0"/>
  </r>
  <r>
    <n v="1230"/>
    <s v="N"/>
    <s v="Y"/>
    <n v="1918392"/>
    <n v="1"/>
    <d v="2012-02-14T00:00:00"/>
    <d v="2015-01-27T00:00:00"/>
    <n v="1918392"/>
    <d v="2012-02-15T00:00:00"/>
    <d v="2012-02-22T00:00:00"/>
    <n v="50000"/>
    <x v="2"/>
    <d v="2012-02-22T00:00:00"/>
    <s v="Y"/>
    <s v="SURETYPTRc"/>
    <s v="SURETYPTRc "/>
    <n v="8"/>
    <n v="1076"/>
    <n v="2"/>
    <n v="0"/>
    <n v="2"/>
    <m/>
    <m/>
    <m/>
    <m/>
    <m/>
    <m/>
    <m/>
    <m/>
    <d v="1983-06-03T00:00:00"/>
    <s v="M"/>
    <s v="B"/>
    <s v="BLACK"/>
    <s v="NULL"/>
    <s v="185"/>
    <s v="DISMISSED"/>
    <n v="15"/>
    <s v="DISMISSED"/>
    <m/>
    <m/>
    <m/>
    <s v="POSS CS PG 4 28-200 GRAMS"/>
    <m/>
    <s v="F3"/>
    <s v="POSS DRUG"/>
    <s v="other case no arrest "/>
    <s v="REV4/27/12  BD 5/8/12 "/>
    <m/>
    <m/>
    <s v="Y"/>
    <m/>
    <m/>
    <m/>
    <m/>
    <s v="Hired Attorney"/>
    <m/>
    <m/>
    <n v="74"/>
    <m/>
    <n v="1076"/>
    <n v="28.642076502732241"/>
    <n v="0"/>
    <n v="-1070"/>
    <s v="NO CONVICTION"/>
    <x v="1"/>
    <s v="Y"/>
    <m/>
    <s v="NO CONVICTION"/>
    <s v="Y"/>
    <x v="1"/>
    <x v="0"/>
    <s v="Y"/>
    <n v="6.8699999999999997E-2"/>
    <m/>
    <n v="0"/>
    <n v="-66"/>
    <n v="-8"/>
    <n v="66"/>
    <n v="8"/>
    <e v="#VALUE!"/>
    <n v="74"/>
    <m/>
    <n v="1070"/>
    <m/>
    <s v="Y"/>
    <e v="#N/A"/>
    <s v="61-90 DAYS"/>
    <n v="4"/>
    <x v="0"/>
  </r>
  <r>
    <n v="1346"/>
    <s v="N"/>
    <s v="N"/>
    <n v="1918923"/>
    <n v="1"/>
    <d v="2012-02-18T00:00:00"/>
    <d v="2012-05-02T00:00:00"/>
    <n v="1918923"/>
    <d v="2012-02-18T00:00:00"/>
    <d v="2012-02-28T00:00:00"/>
    <n v="30000"/>
    <x v="2"/>
    <d v="2012-02-28T00:00:00"/>
    <s v="Y"/>
    <s v="SURETYPTRc"/>
    <s v="DISMISSED"/>
    <n v="11"/>
    <n v="75"/>
    <n v="5"/>
    <n v="2"/>
    <n v="1"/>
    <m/>
    <m/>
    <m/>
    <m/>
    <m/>
    <m/>
    <m/>
    <m/>
    <d v="1983-08-01T00:00:00"/>
    <s v="M"/>
    <s v="B"/>
    <s v="BLACK"/>
    <s v="NULL"/>
    <s v="185"/>
    <s v="DISMISSED"/>
    <n v="5"/>
    <s v="DISMISSED"/>
    <m/>
    <m/>
    <m/>
    <s v="POSS CS PG 1 &lt;1G"/>
    <m/>
    <s v="FS"/>
    <s v="POSS DRUG"/>
    <s v="fel drug conv 6/11/12  st j 8 mos"/>
    <m/>
    <m/>
    <m/>
    <m/>
    <m/>
    <m/>
    <m/>
    <m/>
    <s v="Hired Attorney"/>
    <m/>
    <m/>
    <n v="11"/>
    <n v="75"/>
    <n v="75"/>
    <n v="28.491803278688526"/>
    <n v="0"/>
    <n v="-64"/>
    <s v="NO CONVICTION"/>
    <x v="1"/>
    <s v="Y"/>
    <m/>
    <s v="NO CONVICTION"/>
    <s v="Y"/>
    <x v="1"/>
    <x v="0"/>
    <s v="Y"/>
    <n v="0.14666666666666667"/>
    <n v="0.14666666666666667"/>
    <n v="0"/>
    <n v="0"/>
    <n v="-11"/>
    <n v="0"/>
    <n v="11"/>
    <e v="#VALUE!"/>
    <n v="11"/>
    <n v="0"/>
    <n v="64"/>
    <m/>
    <s v="Y"/>
    <m/>
    <s v="11-30 DAYS"/>
    <n v="2"/>
    <x v="0"/>
  </r>
  <r>
    <n v="924"/>
    <s v="N"/>
    <s v="N"/>
    <n v="1920027"/>
    <n v="2"/>
    <d v="2012-02-04T00:00:00"/>
    <d v="2012-07-18T00:00:00"/>
    <n v="1920027"/>
    <d v="2012-02-04T00:00:00"/>
    <d v="2012-02-09T00:00:00"/>
    <n v="20000"/>
    <x v="0"/>
    <d v="2012-02-09T00:00:00"/>
    <s v="Y"/>
    <s v="SURETYPTRc"/>
    <s v="DEFERRED ADJUDICATION "/>
    <n v="6"/>
    <n v="166"/>
    <n v="0"/>
    <n v="2"/>
    <m/>
    <m/>
    <m/>
    <m/>
    <m/>
    <m/>
    <m/>
    <m/>
    <m/>
    <d v="1979-04-02T00:00:00"/>
    <s v="M"/>
    <s v="H"/>
    <s v="HISPANIC"/>
    <s v="HISPANIC"/>
    <s v="183"/>
    <s v="DEFERRED"/>
    <n v="8"/>
    <s v="DEFERRED"/>
    <m/>
    <m/>
    <m/>
    <s v="POSS W/INT DEL CS PG1&gt;=4 &lt;200"/>
    <m/>
    <s v="F1"/>
    <s v="SALE DRUG"/>
    <m/>
    <m/>
    <m/>
    <m/>
    <m/>
    <m/>
    <m/>
    <m/>
    <m/>
    <s v="Hired Attorney"/>
    <m/>
    <m/>
    <n v="6"/>
    <n v="166"/>
    <n v="166"/>
    <n v="32.775956284153004"/>
    <n v="0"/>
    <n v="-160"/>
    <s v="DEFERRED"/>
    <x v="1"/>
    <s v="Y"/>
    <m/>
    <s v="DEFERRED"/>
    <s v="Y"/>
    <x v="1"/>
    <x v="0"/>
    <s v="N"/>
    <n v="3.614457831325301E-2"/>
    <n v="3.614457831325301E-2"/>
    <n v="0"/>
    <n v="0"/>
    <n v="-6"/>
    <n v="0"/>
    <n v="6"/>
    <e v="#VALUE!"/>
    <n v="6"/>
    <n v="0"/>
    <n v="160"/>
    <m/>
    <s v="Y"/>
    <m/>
    <s v="0-10 DAYS"/>
    <n v="1"/>
    <x v="0"/>
  </r>
  <r>
    <n v="2581"/>
    <s v="N"/>
    <s v="N"/>
    <n v="1920111"/>
    <n v="4"/>
    <d v="2012-04-06T00:00:00"/>
    <d v="2012-04-09T00:00:00"/>
    <n v="1920111"/>
    <d v="2012-04-06T00:00:00"/>
    <d v="2012-04-09T00:00:00"/>
    <n v="5000"/>
    <x v="4"/>
    <m/>
    <s v="N"/>
    <s v="NONE"/>
    <s v="GUILTY PLEA - NO JURY"/>
    <n v="4"/>
    <n v="4"/>
    <n v="3"/>
    <n v="4"/>
    <n v="1"/>
    <m/>
    <m/>
    <m/>
    <m/>
    <m/>
    <m/>
    <m/>
    <m/>
    <d v="1982-04-27T00:00:00"/>
    <s v="F"/>
    <s v="B"/>
    <s v="BLACK"/>
    <s v="NULL"/>
    <s v="208"/>
    <s v="CONVICTED"/>
    <n v="1"/>
    <s v="HCJ"/>
    <m/>
    <m/>
    <n v="180"/>
    <s v="THEFT UNDER $1500 - 3RD OFF."/>
    <m/>
    <s v="FS"/>
    <s v="THEFT"/>
    <m/>
    <m/>
    <m/>
    <m/>
    <m/>
    <m/>
    <m/>
    <m/>
    <m/>
    <s v="Appointed Attorney"/>
    <m/>
    <m/>
    <n v="4"/>
    <n v="4"/>
    <n v="4"/>
    <n v="29.882513661202186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n v="0"/>
    <m/>
    <s v="Y"/>
    <m/>
    <s v="0-10 DAYS"/>
    <n v="1"/>
    <x v="0"/>
  </r>
  <r>
    <n v="2931"/>
    <s v="N"/>
    <s v="N"/>
    <n v="1920178"/>
    <n v="5"/>
    <d v="2012-04-18T00:00:00"/>
    <d v="2012-05-22T00:00:00"/>
    <n v="1920178"/>
    <d v="2012-04-18T00:00:00"/>
    <d v="2012-05-22T00:00:00"/>
    <n v="5000"/>
    <x v="4"/>
    <m/>
    <s v="N"/>
    <s v="NONE"/>
    <s v="GUILTY PLEA - NO JURY"/>
    <n v="35"/>
    <n v="35"/>
    <n v="2"/>
    <n v="2"/>
    <m/>
    <m/>
    <m/>
    <m/>
    <m/>
    <m/>
    <m/>
    <m/>
    <m/>
    <d v="1981-08-22T00:00:00"/>
    <s v="M"/>
    <s v="B"/>
    <s v="BLACK"/>
    <s v="NON-HISPANIC"/>
    <s v="232"/>
    <s v="CONVICTED"/>
    <n v="4"/>
    <s v="STJ"/>
    <m/>
    <n v="6"/>
    <m/>
    <s v="POSS CS PG 1 &lt;1G"/>
    <m/>
    <s v="FS"/>
    <s v="POSS DRUG"/>
    <m/>
    <m/>
    <m/>
    <m/>
    <m/>
    <m/>
    <m/>
    <m/>
    <m/>
    <s v="Appointed Attorney"/>
    <m/>
    <m/>
    <n v="35"/>
    <n v="35"/>
    <n v="35"/>
    <n v="30.592896174863387"/>
    <n v="0"/>
    <n v="0"/>
    <s v="CONVICTION"/>
    <x v="0"/>
    <s v="N"/>
    <m/>
    <s v="CONVICTION"/>
    <s v="Y"/>
    <x v="0"/>
    <x v="0"/>
    <s v="Y"/>
    <n v="1"/>
    <n v="1"/>
    <n v="0"/>
    <n v="0"/>
    <n v="-35"/>
    <n v="0"/>
    <n v="35"/>
    <e v="#VALUE!"/>
    <n v="35"/>
    <n v="0"/>
    <n v="0"/>
    <m/>
    <s v="Y"/>
    <m/>
    <s v="31-60 DAYS"/>
    <n v="3"/>
    <x v="0"/>
  </r>
  <r>
    <n v="2982"/>
    <s v="N"/>
    <s v="N"/>
    <n v="1920777"/>
    <n v="5"/>
    <d v="2012-04-19T00:00:00"/>
    <d v="2012-04-23T00:00:00"/>
    <n v="1920777"/>
    <d v="2012-04-20T00:00:00"/>
    <d v="2012-04-23T00:00:00"/>
    <n v="15000"/>
    <x v="0"/>
    <m/>
    <s v="N"/>
    <s v="NONE"/>
    <s v="GUILTY PLEA - NO JURY"/>
    <n v="4"/>
    <n v="5"/>
    <n v="4"/>
    <n v="1"/>
    <n v="2"/>
    <m/>
    <m/>
    <m/>
    <m/>
    <m/>
    <m/>
    <m/>
    <m/>
    <d v="1982-06-03T00:00:00"/>
    <s v="M"/>
    <s v="B"/>
    <s v="BLACK"/>
    <s v="NON-HISPANIC"/>
    <s v="351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4"/>
    <n v="4"/>
    <n v="5"/>
    <n v="29.816939890710383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n v="0"/>
    <m/>
    <s v="Y"/>
    <m/>
    <s v="0-10 DAYS"/>
    <n v="1"/>
    <x v="0"/>
  </r>
  <r>
    <n v="1753"/>
    <s v="N"/>
    <s v="N"/>
    <n v="1923102"/>
    <n v="2"/>
    <d v="2012-03-06T00:00:00"/>
    <d v="2012-04-12T00:00:00"/>
    <n v="1923102"/>
    <d v="2012-03-06T00:00:00"/>
    <d v="2012-03-09T00:00:00"/>
    <n v="10000"/>
    <x v="3"/>
    <d v="2012-03-09T00:00:00"/>
    <s v="Y"/>
    <s v="SURETY"/>
    <s v="DEFERRED ADJUDICATION "/>
    <n v="4"/>
    <n v="38"/>
    <n v="0"/>
    <n v="0"/>
    <m/>
    <m/>
    <m/>
    <m/>
    <m/>
    <m/>
    <m/>
    <m/>
    <m/>
    <d v="1983-01-06T00:00:00"/>
    <s v="M"/>
    <s v="W"/>
    <s v="WHITE"/>
    <s v="NON-HISPANIC"/>
    <s v="228"/>
    <s v="DEFERRED"/>
    <n v="5"/>
    <s v="DEFERRED"/>
    <m/>
    <m/>
    <m/>
    <s v="THEFT $1500-20K"/>
    <m/>
    <s v="FS"/>
    <s v="THEFT"/>
    <m/>
    <m/>
    <m/>
    <m/>
    <m/>
    <m/>
    <m/>
    <m/>
    <m/>
    <s v="Appointed Attorney"/>
    <m/>
    <m/>
    <n v="4"/>
    <n v="38"/>
    <n v="38"/>
    <n v="29.103825136612024"/>
    <n v="0"/>
    <n v="-34"/>
    <s v="DEFERRED"/>
    <x v="1"/>
    <s v="Y"/>
    <m/>
    <s v="DEFERRED"/>
    <s v="Y"/>
    <x v="1"/>
    <x v="0"/>
    <s v="N"/>
    <n v="0.10526315789473684"/>
    <n v="0.10526315789473684"/>
    <n v="0"/>
    <n v="0"/>
    <n v="-4"/>
    <n v="0"/>
    <n v="4"/>
    <e v="#VALUE!"/>
    <n v="4"/>
    <n v="0"/>
    <n v="34"/>
    <m/>
    <s v="N"/>
    <m/>
    <s v="0-10 DAYS"/>
    <n v="1"/>
    <x v="0"/>
  </r>
  <r>
    <n v="2978"/>
    <s v="Y"/>
    <s v="N"/>
    <n v="1924291"/>
    <n v="4"/>
    <d v="2012-04-19T00:00:00"/>
    <d v="2013-03-21T00:00:00"/>
    <n v="1924291"/>
    <d v="2012-05-29T00:00:00"/>
    <d v="2012-07-22T00:00:00"/>
    <n v="15000"/>
    <x v="0"/>
    <d v="2012-07-22T00:00:00"/>
    <s v="Y"/>
    <s v="SURETY"/>
    <s v="GUILTY PLEA - NO JURY"/>
    <n v="111"/>
    <n v="337"/>
    <n v="7"/>
    <n v="3"/>
    <n v="5"/>
    <m/>
    <m/>
    <m/>
    <m/>
    <m/>
    <m/>
    <m/>
    <m/>
    <d v="1984-09-16T00:00:00"/>
    <s v="M"/>
    <s v="B"/>
    <s v="BLACK"/>
    <s v="NULL"/>
    <s v="177"/>
    <s v="CONVICTED"/>
    <n v="17"/>
    <s v="HCJ"/>
    <m/>
    <m/>
    <n v="365"/>
    <s v="CREDIT/DEBIT CARD ABUSE"/>
    <m/>
    <s v="FS"/>
    <s v="OTHER FEL"/>
    <s v="MH ISSUE"/>
    <m/>
    <m/>
    <m/>
    <m/>
    <m/>
    <m/>
    <m/>
    <m/>
    <s v="Appointed Attorney"/>
    <s v="M ASLT TRESS FILED 10/14/13"/>
    <m/>
    <n v="111"/>
    <n v="297"/>
    <n v="337"/>
    <n v="27.532786885245901"/>
    <n v="0"/>
    <n v="-242"/>
    <s v="CONVICTION"/>
    <x v="1"/>
    <s v="Y"/>
    <m/>
    <s v="CONVICTION"/>
    <s v="Y"/>
    <x v="0"/>
    <x v="0"/>
    <s v="Y"/>
    <n v="0.32937685459940652"/>
    <n v="0.18518518518518517"/>
    <n v="-0.14419166941422135"/>
    <n v="0"/>
    <n v="-55"/>
    <n v="56"/>
    <n v="297"/>
    <n v="111"/>
    <n v="297"/>
    <n v="242"/>
    <s v="MANUAL OVER-RIDE IS CORRECT BUT SHOW NO PT MISC"/>
    <m/>
    <s v="Y"/>
    <m/>
    <s v="91-120 DAYS"/>
    <n v="0"/>
    <x v="0"/>
  </r>
  <r>
    <n v="968"/>
    <s v="N"/>
    <s v="N"/>
    <n v="1924559"/>
    <n v="4"/>
    <d v="2012-02-05T00:00:00"/>
    <d v="2012-02-07T00:00:00"/>
    <n v="1924559"/>
    <d v="2012-02-05T00:00:00"/>
    <d v="2012-02-07T00:00:00"/>
    <n v="20000"/>
    <x v="0"/>
    <m/>
    <s v="N"/>
    <s v="NONE"/>
    <s v="GUILTY PLEA - NO JURY"/>
    <n v="3"/>
    <n v="3"/>
    <n v="3"/>
    <n v="1"/>
    <n v="2"/>
    <m/>
    <m/>
    <m/>
    <m/>
    <m/>
    <m/>
    <m/>
    <m/>
    <d v="1984-01-07T00:00:00"/>
    <s v="F"/>
    <s v="B"/>
    <s v="BLACK"/>
    <s v="NON-HISPANIC"/>
    <s v="177"/>
    <s v="CONVICTED"/>
    <n v="2"/>
    <s v="HCJ"/>
    <m/>
    <m/>
    <n v="120"/>
    <s v="POSS CS PG 1 &lt;1G"/>
    <m/>
    <s v="FS"/>
    <s v="POSS DRUG"/>
    <m/>
    <m/>
    <m/>
    <m/>
    <m/>
    <m/>
    <m/>
    <m/>
    <m/>
    <s v="Appointed Attorney"/>
    <m/>
    <m/>
    <n v="3"/>
    <n v="3"/>
    <n v="3"/>
    <n v="28.021857923497269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1183"/>
    <s v="N"/>
    <s v="N"/>
    <n v="1925193"/>
    <n v="4"/>
    <d v="2012-02-13T00:00:00"/>
    <d v="2013-03-11T00:00:00"/>
    <n v="1925193"/>
    <d v="2012-02-13T00:00:00"/>
    <d v="2012-02-17T00:00:00"/>
    <n v="10000"/>
    <x v="3"/>
    <d v="2012-02-17T00:00:00"/>
    <s v="Y"/>
    <s v="SURETY"/>
    <s v="GUILTY PLEA - NO JURY"/>
    <n v="5"/>
    <n v="393"/>
    <n v="1"/>
    <n v="0"/>
    <n v="1"/>
    <m/>
    <m/>
    <m/>
    <m/>
    <m/>
    <m/>
    <m/>
    <m/>
    <d v="1982-03-08T00:00:00"/>
    <s v="M"/>
    <s v="B"/>
    <s v="BLACK"/>
    <s v="NON-HISPANIC"/>
    <s v="209"/>
    <s v="CONVICTED"/>
    <n v="10"/>
    <s v="HCJ"/>
    <m/>
    <m/>
    <n v="120"/>
    <s v="TAMPER/FABRICATE EVIDENCE"/>
    <m/>
    <s v="F3"/>
    <s v="OTHER FEL"/>
    <m/>
    <m/>
    <m/>
    <m/>
    <m/>
    <m/>
    <m/>
    <m/>
    <m/>
    <s v="Hired Attorney"/>
    <m/>
    <m/>
    <n v="5"/>
    <n v="393"/>
    <n v="393"/>
    <n v="29.874316939890711"/>
    <n v="0"/>
    <n v="-388"/>
    <s v="CONVICTION"/>
    <x v="1"/>
    <s v="Y"/>
    <m/>
    <s v="CONVICTION"/>
    <s v="Y"/>
    <x v="1"/>
    <x v="0"/>
    <s v="Y"/>
    <n v="1.2722646310432569E-2"/>
    <n v="1.2722646310432569E-2"/>
    <n v="0"/>
    <n v="0"/>
    <n v="-5"/>
    <n v="0"/>
    <n v="5"/>
    <e v="#VALUE!"/>
    <n v="5"/>
    <n v="0"/>
    <m/>
    <m/>
    <s v="Y"/>
    <m/>
    <s v="0-10 DAYS"/>
    <n v="1"/>
    <x v="0"/>
  </r>
  <r>
    <n v="212"/>
    <s v="N"/>
    <s v="N"/>
    <n v="1925210"/>
    <n v="1"/>
    <d v="2012-01-10T00:00:00"/>
    <d v="2012-05-03T00:00:00"/>
    <n v="1925210"/>
    <d v="2012-01-12T00:00:00"/>
    <d v="2012-01-13T00:00:00"/>
    <n v="10000"/>
    <x v="3"/>
    <d v="2012-01-13T00:00:00"/>
    <s v="Y"/>
    <s v="SURETYPTRc"/>
    <s v="DISMISSED"/>
    <n v="2"/>
    <n v="115"/>
    <n v="0"/>
    <n v="0"/>
    <m/>
    <m/>
    <m/>
    <m/>
    <m/>
    <m/>
    <m/>
    <m/>
    <m/>
    <d v="1981-11-15T00:00:00"/>
    <s v="F"/>
    <s v="W"/>
    <s v="WHITE"/>
    <s v="NULL"/>
    <s v="230"/>
    <s v="DISMISSED"/>
    <n v="8"/>
    <s v="DISMISSED"/>
    <m/>
    <m/>
    <m/>
    <s v="BURGLARY OF HABITATION"/>
    <m/>
    <s v="F2"/>
    <s v="BURGLARY"/>
    <s v="dwi 4/14/12, dwi   bk 4/26      5/8/12 pend"/>
    <m/>
    <m/>
    <m/>
    <m/>
    <m/>
    <m/>
    <m/>
    <m/>
    <s v="Hired Attorney"/>
    <m/>
    <m/>
    <n v="2"/>
    <n v="113"/>
    <n v="115"/>
    <n v="30.090163934426229"/>
    <n v="0"/>
    <n v="-111"/>
    <s v="NO CONVICTION"/>
    <x v="1"/>
    <s v="Y"/>
    <m/>
    <s v="NO CONVICTION"/>
    <s v="Y"/>
    <x v="1"/>
    <x v="0"/>
    <s v="N"/>
    <n v="1.7391304347826087E-2"/>
    <n v="1.7699115044247787E-2"/>
    <n v="3.078106964217002E-4"/>
    <n v="0"/>
    <n v="-2"/>
    <n v="0"/>
    <n v="2"/>
    <e v="#VALUE!"/>
    <n v="2"/>
    <n v="0"/>
    <m/>
    <m/>
    <s v="N"/>
    <m/>
    <s v="0-10 DAYS"/>
    <n v="1"/>
    <x v="0"/>
  </r>
  <r>
    <n v="2861"/>
    <s v="N"/>
    <s v="N"/>
    <n v="1925765"/>
    <n v="6"/>
    <d v="2012-04-15T00:00:00"/>
    <d v="2012-04-20T00:00:00"/>
    <n v="1925765"/>
    <d v="2012-04-16T00:00:00"/>
    <d v="2012-04-20T00:00:00"/>
    <n v="20000"/>
    <x v="0"/>
    <m/>
    <s v="N"/>
    <s v="NONE"/>
    <s v="GUILTY PLEA - NO JURY"/>
    <n v="5"/>
    <n v="6"/>
    <n v="5"/>
    <n v="3"/>
    <n v="1"/>
    <n v="1"/>
    <m/>
    <m/>
    <m/>
    <m/>
    <m/>
    <m/>
    <m/>
    <d v="1983-09-20T00:00:00"/>
    <s v="M"/>
    <s v="B"/>
    <s v="BLACK"/>
    <s v="NON-HISPANIC"/>
    <s v="339"/>
    <s v="CONVICTED"/>
    <n v="2"/>
    <s v="TDC"/>
    <n v="2"/>
    <m/>
    <m/>
    <s v="POSS CS PG 1 4G - 200G"/>
    <m/>
    <s v="F2"/>
    <s v="POSS DRUG"/>
    <s v="no leg defense?"/>
    <m/>
    <m/>
    <m/>
    <m/>
    <m/>
    <m/>
    <m/>
    <m/>
    <s v="Other/Unknown"/>
    <m/>
    <m/>
    <n v="5"/>
    <n v="5"/>
    <n v="6"/>
    <n v="28.510928961748633"/>
    <n v="0"/>
    <n v="0"/>
    <s v="CONVICTION"/>
    <x v="0"/>
    <s v="N"/>
    <m/>
    <s v="CONVICTION"/>
    <s v="Y"/>
    <x v="0"/>
    <x v="0"/>
    <s v="Y"/>
    <n v="0.83333333333333337"/>
    <n v="1"/>
    <n v="0.16666666666666663"/>
    <n v="0"/>
    <n v="-5"/>
    <n v="0"/>
    <n v="5"/>
    <e v="#VALUE!"/>
    <n v="5"/>
    <n v="0"/>
    <m/>
    <m/>
    <s v="Y"/>
    <m/>
    <s v="0-10 DAYS"/>
    <n v="1"/>
    <x v="0"/>
  </r>
  <r>
    <n v="1366"/>
    <s v="N"/>
    <s v="N"/>
    <n v="1926110"/>
    <n v="6"/>
    <d v="2012-02-19T00:00:00"/>
    <d v="2012-04-04T00:00:00"/>
    <n v="1926110"/>
    <d v="2012-02-20T00:00:00"/>
    <d v="2012-04-04T00:00:00"/>
    <s v="NO BOND"/>
    <x v="1"/>
    <m/>
    <s v="N"/>
    <s v="NONE"/>
    <s v="GUILTY PLEA - NO JURY"/>
    <n v="45"/>
    <n v="46"/>
    <n v="3"/>
    <n v="8"/>
    <n v="3"/>
    <m/>
    <m/>
    <m/>
    <m/>
    <m/>
    <m/>
    <m/>
    <m/>
    <d v="1984-01-19T00:00:00"/>
    <s v="M"/>
    <s v="B"/>
    <s v="BLACK"/>
    <s v="NON-HISPANIC"/>
    <s v="337"/>
    <s v="CONVICTED"/>
    <n v="4"/>
    <s v="TDC"/>
    <n v="3"/>
    <m/>
    <m/>
    <s v="POSS CS PG 1 4G - 200G"/>
    <m/>
    <s v="F2"/>
    <s v="POSS DRUG"/>
    <m/>
    <m/>
    <m/>
    <m/>
    <m/>
    <m/>
    <m/>
    <m/>
    <m/>
    <s v="Appointed Attorney"/>
    <m/>
    <m/>
    <n v="45"/>
    <n v="45"/>
    <n v="46"/>
    <n v="28.027322404371585"/>
    <n v="0"/>
    <n v="0"/>
    <s v="CONVICTION"/>
    <x v="0"/>
    <s v="N"/>
    <m/>
    <s v="CONVICTION"/>
    <s v="Y"/>
    <x v="0"/>
    <x v="0"/>
    <s v="Y"/>
    <n v="0.97826086956521741"/>
    <n v="1"/>
    <n v="2.1739130434782594E-2"/>
    <n v="0"/>
    <n v="-45"/>
    <n v="0"/>
    <n v="45"/>
    <e v="#VALUE!"/>
    <n v="45"/>
    <n v="0"/>
    <m/>
    <m/>
    <s v="Y"/>
    <m/>
    <s v="31-60 DAYS"/>
    <n v="3"/>
    <x v="0"/>
  </r>
  <r>
    <n v="2612"/>
    <s v="N"/>
    <s v="N"/>
    <n v="1926701"/>
    <n v="6"/>
    <d v="2012-04-06T00:00:00"/>
    <d v="2012-07-31T00:00:00"/>
    <n v="1926701"/>
    <d v="2012-04-07T00:00:00"/>
    <d v="2012-07-31T00:00:00"/>
    <s v="NO BOND"/>
    <x v="1"/>
    <m/>
    <s v="N"/>
    <s v="NONE"/>
    <s v="GUILTY PLEA - NO JURY"/>
    <n v="116"/>
    <n v="117"/>
    <n v="5"/>
    <n v="4"/>
    <n v="4"/>
    <m/>
    <m/>
    <m/>
    <m/>
    <m/>
    <m/>
    <m/>
    <m/>
    <d v="1983-11-21T00:00:00"/>
    <s v="M"/>
    <s v="B"/>
    <s v="BLACK"/>
    <s v="NON-HISPANIC"/>
    <s v="180"/>
    <s v="CONVICTED"/>
    <n v="4"/>
    <s v="TDC"/>
    <n v="4"/>
    <m/>
    <m/>
    <s v="POSS CS PG 1  1 - 4 GRAMS"/>
    <m/>
    <s v="F3"/>
    <s v="POSS DRUG"/>
    <m/>
    <m/>
    <m/>
    <m/>
    <m/>
    <m/>
    <m/>
    <m/>
    <m/>
    <s v="Hired Attorney"/>
    <m/>
    <m/>
    <n v="116"/>
    <n v="116"/>
    <n v="117"/>
    <n v="28.316939890710383"/>
    <n v="0"/>
    <n v="0"/>
    <s v="CONVICTION"/>
    <x v="0"/>
    <s v="N"/>
    <m/>
    <s v="CONVICTION"/>
    <s v="Y"/>
    <x v="0"/>
    <x v="0"/>
    <s v="Y"/>
    <n v="0.99145299145299148"/>
    <n v="1"/>
    <n v="8.5470085470085166E-3"/>
    <n v="0"/>
    <n v="-116"/>
    <n v="0"/>
    <n v="116"/>
    <e v="#VALUE!"/>
    <n v="116"/>
    <n v="0"/>
    <m/>
    <m/>
    <s v="Y"/>
    <m/>
    <s v="91-120 DAYS"/>
    <n v="0"/>
    <x v="0"/>
  </r>
  <r>
    <n v="209"/>
    <s v="N"/>
    <s v="Y"/>
    <n v="1927441"/>
    <n v="6"/>
    <d v="2012-01-10T00:00:00"/>
    <d v="2013-10-23T00:00:00"/>
    <n v="1927441"/>
    <d v="2012-01-20T00:00:00"/>
    <d v="2012-02-02T00:00:00"/>
    <n v="150000"/>
    <x v="2"/>
    <d v="2012-02-02T00:00:00"/>
    <s v="Y"/>
    <s v="SURETY"/>
    <s v="GUILTY PLEA - NO JURY"/>
    <n v="634"/>
    <n v="653"/>
    <n v="3"/>
    <n v="6"/>
    <n v="3"/>
    <m/>
    <m/>
    <m/>
    <m/>
    <m/>
    <m/>
    <m/>
    <m/>
    <d v="1984-02-07T00:00:00"/>
    <s v="M"/>
    <s v="W"/>
    <s v="WHITE"/>
    <s v="NULL"/>
    <s v="184"/>
    <s v="CONVICTED"/>
    <n v="19"/>
    <s v="TDC"/>
    <n v="10"/>
    <m/>
    <m/>
    <s v="ASSAULT-BOD INJ-FAMILY MEMBER"/>
    <m/>
    <s v="F3"/>
    <s v="ASLT-MURDR"/>
    <m/>
    <s v="bd sur 2/27/12"/>
    <m/>
    <m/>
    <s v="Y"/>
    <m/>
    <m/>
    <m/>
    <m/>
    <s v="Hired Attorney"/>
    <m/>
    <m/>
    <n v="634"/>
    <n v="643"/>
    <n v="653"/>
    <n v="27.866120218579233"/>
    <n v="0"/>
    <n v="-629"/>
    <s v="CONVICTION"/>
    <x v="1"/>
    <s v="N"/>
    <m/>
    <s v="CONVICTION"/>
    <s v="Y"/>
    <x v="0"/>
    <x v="0"/>
    <s v="Y"/>
    <n v="0.9709035222052067"/>
    <n v="2.177293934681182E-2"/>
    <n v="-0.94913058285839491"/>
    <n v="0"/>
    <n v="-14"/>
    <n v="620"/>
    <n v="643"/>
    <n v="634"/>
    <n v="643"/>
    <n v="629"/>
    <m/>
    <m/>
    <s v="Y"/>
    <m/>
    <s v=" &gt;1YRS&lt;2YRS"/>
    <n v="0"/>
    <x v="0"/>
  </r>
  <r>
    <n v="489"/>
    <s v="N"/>
    <s v="N"/>
    <n v="1927743"/>
    <n v="6"/>
    <d v="2012-01-20T00:00:00"/>
    <d v="2013-06-28T00:00:00"/>
    <n v="1927743"/>
    <d v="2012-01-21T00:00:00"/>
    <d v="2013-06-28T00:00:00"/>
    <n v="70000"/>
    <x v="2"/>
    <m/>
    <s v="N"/>
    <s v="NONE"/>
    <s v="GUILTY PLEA - NO JURY"/>
    <n v="525"/>
    <n v="526"/>
    <n v="3"/>
    <n v="2"/>
    <n v="3"/>
    <m/>
    <m/>
    <m/>
    <m/>
    <m/>
    <m/>
    <s v="S"/>
    <m/>
    <d v="1983-01-06T00:00:00"/>
    <s v="M"/>
    <s v="H"/>
    <s v="HISPANIC"/>
    <s v="NULL"/>
    <s v="209"/>
    <s v="CONVICTED"/>
    <n v="16"/>
    <s v="TDC"/>
    <n v="10"/>
    <m/>
    <m/>
    <s v="THEFT $1500-20K"/>
    <m/>
    <s v="FS"/>
    <s v="THEFT"/>
    <m/>
    <m/>
    <m/>
    <m/>
    <m/>
    <m/>
    <m/>
    <m/>
    <m/>
    <s v="Appointed Attorney"/>
    <m/>
    <m/>
    <n v="525"/>
    <n v="525"/>
    <n v="526"/>
    <n v="28.978142076502731"/>
    <n v="0"/>
    <n v="0"/>
    <s v="CONVICTION"/>
    <x v="0"/>
    <s v="N"/>
    <m/>
    <s v="CONVICTION"/>
    <s v="Y"/>
    <x v="0"/>
    <x v="0"/>
    <s v="Y"/>
    <n v="0.99809885931558939"/>
    <n v="1"/>
    <n v="1.9011406844106071E-3"/>
    <n v="0"/>
    <n v="-525"/>
    <n v="0"/>
    <n v="525"/>
    <e v="#VALUE!"/>
    <n v="525"/>
    <n v="0"/>
    <m/>
    <m/>
    <s v="Y"/>
    <m/>
    <s v=" &gt;1YRS&lt;2YRS"/>
    <n v="0"/>
    <x v="0"/>
  </r>
  <r>
    <n v="3033"/>
    <s v="N"/>
    <s v="N"/>
    <n v="1927918"/>
    <n v="2"/>
    <d v="2012-04-22T00:00:00"/>
    <d v="2012-12-20T00:00:00"/>
    <n v="1927918"/>
    <d v="2012-04-22T00:00:00"/>
    <d v="2012-04-23T00:00:00"/>
    <n v="2000"/>
    <x v="5"/>
    <d v="2012-04-23T00:00:00"/>
    <s v="Y"/>
    <s v="SURETY"/>
    <s v="DEFERRED ADJUDICATION "/>
    <n v="2"/>
    <n v="243"/>
    <n v="1"/>
    <n v="0"/>
    <m/>
    <n v="1"/>
    <m/>
    <m/>
    <m/>
    <m/>
    <m/>
    <m/>
    <m/>
    <d v="1975-01-20T00:00:00"/>
    <s v="F"/>
    <s v="H"/>
    <s v="HISPANIC"/>
    <s v="HISPANIC"/>
    <s v="208"/>
    <s v="DEFERRED"/>
    <n v="10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243"/>
    <n v="243"/>
    <n v="37.177595628415304"/>
    <n v="0"/>
    <n v="-241"/>
    <s v="DEFERRED"/>
    <x v="1"/>
    <s v="Y"/>
    <m/>
    <s v="DEFERRED"/>
    <s v="Y"/>
    <x v="1"/>
    <x v="0"/>
    <s v="Y"/>
    <n v="8.23045267489712E-3"/>
    <n v="8.23045267489712E-3"/>
    <n v="0"/>
    <n v="0"/>
    <n v="-2"/>
    <n v="0"/>
    <n v="2"/>
    <e v="#VALUE!"/>
    <n v="2"/>
    <n v="0"/>
    <m/>
    <m/>
    <s v="Y"/>
    <m/>
    <s v="0-10 DAYS"/>
    <n v="1"/>
    <x v="0"/>
  </r>
  <r>
    <n v="2556"/>
    <s v="N"/>
    <s v="N"/>
    <n v="1928137"/>
    <n v="2"/>
    <d v="2012-04-05T00:00:00"/>
    <d v="2012-07-27T00:00:00"/>
    <n v="1928137"/>
    <d v="2012-04-06T00:00:00"/>
    <d v="2012-04-06T00:00:00"/>
    <n v="5000"/>
    <x v="4"/>
    <d v="2012-04-06T00:00:00"/>
    <s v="Y"/>
    <s v="SURETY"/>
    <s v="DEFERRED ADJUDICATION "/>
    <n v="1"/>
    <n v="114"/>
    <n v="0"/>
    <n v="0"/>
    <m/>
    <m/>
    <m/>
    <m/>
    <m/>
    <m/>
    <m/>
    <m/>
    <m/>
    <d v="1981-01-04T00:00:00"/>
    <s v="M"/>
    <s v="B"/>
    <s v="BLACK"/>
    <s v="NON-HISPANIC"/>
    <s v="179"/>
    <s v="DEFERRED"/>
    <n v="5"/>
    <s v="DEFERRED"/>
    <m/>
    <m/>
    <m/>
    <s v="POSS CS PG 2 1-4 GRAMS"/>
    <m/>
    <s v="F3"/>
    <s v="POSS DRUG"/>
    <m/>
    <m/>
    <m/>
    <m/>
    <m/>
    <m/>
    <m/>
    <m/>
    <m/>
    <s v="Appointed Attorney"/>
    <m/>
    <m/>
    <n v="1"/>
    <n v="113"/>
    <n v="114"/>
    <n v="31.185792349726775"/>
    <n v="0"/>
    <n v="-112"/>
    <s v="DEFERRED"/>
    <x v="1"/>
    <s v="Y"/>
    <m/>
    <s v="DEFERRED"/>
    <s v="Y"/>
    <x v="1"/>
    <x v="0"/>
    <s v="N"/>
    <n v="8.771929824561403E-3"/>
    <n v="8.8495575221238937E-3"/>
    <n v="7.7627697562490661E-5"/>
    <n v="0"/>
    <n v="-1"/>
    <n v="0"/>
    <n v="1"/>
    <e v="#VALUE!"/>
    <n v="1"/>
    <n v="0"/>
    <m/>
    <m/>
    <s v="N"/>
    <m/>
    <s v="0-10 DAYS"/>
    <n v="1"/>
    <x v="0"/>
  </r>
  <r>
    <n v="890"/>
    <s v="N"/>
    <s v="N"/>
    <n v="1928731"/>
    <n v="6"/>
    <d v="2012-02-02T00:00:00"/>
    <d v="2012-02-13T00:00:00"/>
    <n v="1928731"/>
    <d v="2012-02-03T00:00:00"/>
    <d v="2012-02-13T00:00:00"/>
    <s v="NO BOND"/>
    <x v="1"/>
    <m/>
    <s v="N"/>
    <s v="NONE"/>
    <s v="GUILTY PLEA - NO JURY"/>
    <n v="11"/>
    <n v="12"/>
    <n v="4"/>
    <n v="2"/>
    <n v="3"/>
    <m/>
    <m/>
    <m/>
    <m/>
    <m/>
    <m/>
    <m/>
    <m/>
    <d v="1984-02-23T00:00:00"/>
    <s v="M"/>
    <s v="B"/>
    <s v="BLACK"/>
    <s v="NULL"/>
    <s v="184"/>
    <s v="CONVICTED"/>
    <n v="2"/>
    <s v="TDC"/>
    <n v="7"/>
    <m/>
    <m/>
    <s v="POSS CS PG 1 4G - 200G"/>
    <m/>
    <s v="F2"/>
    <s v="POSS DRUG"/>
    <m/>
    <m/>
    <m/>
    <m/>
    <m/>
    <m/>
    <m/>
    <m/>
    <m/>
    <s v="Appointed Attorney"/>
    <m/>
    <m/>
    <n v="11"/>
    <n v="11"/>
    <n v="12"/>
    <n v="27.885245901639344"/>
    <n v="0"/>
    <n v="0"/>
    <s v="CONVICTION"/>
    <x v="0"/>
    <s v="N"/>
    <m/>
    <s v="CONVICTION"/>
    <s v="Y"/>
    <x v="0"/>
    <x v="0"/>
    <s v="Y"/>
    <n v="0.91666666666666663"/>
    <n v="1"/>
    <n v="8.333333333333337E-2"/>
    <n v="0"/>
    <n v="-11"/>
    <n v="0"/>
    <n v="11"/>
    <e v="#VALUE!"/>
    <n v="11"/>
    <n v="0"/>
    <m/>
    <m/>
    <s v="Y"/>
    <m/>
    <s v="11-30 DAYS"/>
    <n v="2"/>
    <x v="0"/>
  </r>
  <r>
    <n v="2001"/>
    <s v="N"/>
    <s v="N"/>
    <n v="1931056"/>
    <n v="4"/>
    <d v="2012-03-16T00:00:00"/>
    <d v="2012-10-15T00:00:00"/>
    <n v="1931056"/>
    <d v="2012-03-16T00:00:00"/>
    <d v="2012-03-22T00:00:00"/>
    <n v="20000"/>
    <x v="0"/>
    <d v="2012-03-22T00:00:00"/>
    <s v="Y"/>
    <s v="SURETY"/>
    <s v="GUILTY PLEA - NO JURY"/>
    <n v="7"/>
    <n v="214"/>
    <n v="8"/>
    <n v="1"/>
    <n v="4"/>
    <n v="1"/>
    <m/>
    <m/>
    <m/>
    <m/>
    <m/>
    <m/>
    <m/>
    <d v="1985-02-04T00:00:00"/>
    <s v="F"/>
    <s v="B"/>
    <s v="BLACK"/>
    <s v="NON-HISPANIC"/>
    <s v="184"/>
    <s v="CONVICTED"/>
    <n v="10"/>
    <s v="HCJ"/>
    <m/>
    <m/>
    <n v="10"/>
    <s v="MAN/DEL CS PG I 1-4 GRAMS"/>
    <m/>
    <s v="F2"/>
    <s v="SALE DRUG"/>
    <m/>
    <m/>
    <m/>
    <m/>
    <m/>
    <m/>
    <m/>
    <m/>
    <m/>
    <s v="Hired Attorney"/>
    <m/>
    <m/>
    <n v="7"/>
    <n v="214"/>
    <n v="214"/>
    <n v="27.05464480874317"/>
    <n v="0"/>
    <n v="-207"/>
    <s v="CONVICTION"/>
    <x v="1"/>
    <s v="Y"/>
    <m/>
    <s v="CONVICTION"/>
    <s v="Y"/>
    <x v="1"/>
    <x v="0"/>
    <s v="Y"/>
    <n v="3.2710280373831772E-2"/>
    <n v="3.2710280373831772E-2"/>
    <n v="0"/>
    <n v="0"/>
    <n v="-7"/>
    <n v="0"/>
    <n v="7"/>
    <e v="#VALUE!"/>
    <n v="7"/>
    <n v="0"/>
    <m/>
    <m/>
    <s v="Y"/>
    <m/>
    <s v="0-10 DAYS"/>
    <n v="1"/>
    <x v="0"/>
  </r>
  <r>
    <n v="526"/>
    <s v="N"/>
    <s v="N"/>
    <n v="1931347"/>
    <n v="5"/>
    <d v="2012-01-21T00:00:00"/>
    <d v="2012-02-02T00:00:00"/>
    <n v="1931347"/>
    <d v="2012-01-22T00:00:00"/>
    <d v="2012-02-02T00:00:00"/>
    <s v="NO BOND"/>
    <x v="1"/>
    <m/>
    <s v="N"/>
    <s v="NONE"/>
    <s v="GUILTY PLEA - NO JURY"/>
    <n v="12"/>
    <n v="13"/>
    <n v="5"/>
    <n v="3"/>
    <n v="5"/>
    <m/>
    <m/>
    <m/>
    <m/>
    <m/>
    <m/>
    <m/>
    <m/>
    <d v="1981-05-03T00:00:00"/>
    <s v="M"/>
    <s v="B"/>
    <s v="BLACK"/>
    <s v="NON-HISPANIC"/>
    <s v="232"/>
    <s v="CONVICTED"/>
    <n v="2"/>
    <s v="STJ"/>
    <m/>
    <n v="8"/>
    <m/>
    <s v="BURGLARY OF A BUILDING"/>
    <m/>
    <s v="FS"/>
    <s v="BURGLARY"/>
    <m/>
    <m/>
    <m/>
    <m/>
    <m/>
    <m/>
    <m/>
    <m/>
    <m/>
    <s v="Appointed Attorney"/>
    <m/>
    <m/>
    <n v="12"/>
    <n v="12"/>
    <n v="13"/>
    <n v="30.655737704918032"/>
    <n v="0"/>
    <n v="0"/>
    <s v="CONVICTION"/>
    <x v="0"/>
    <s v="N"/>
    <m/>
    <s v="CONVICTION"/>
    <s v="Y"/>
    <x v="0"/>
    <x v="0"/>
    <s v="Y"/>
    <n v="0.92307692307692313"/>
    <n v="1"/>
    <n v="7.6923076923076872E-2"/>
    <n v="0"/>
    <n v="-12"/>
    <n v="0"/>
    <n v="12"/>
    <e v="#VALUE!"/>
    <n v="12"/>
    <n v="0"/>
    <m/>
    <m/>
    <s v="Y"/>
    <m/>
    <s v="11-30 DAYS"/>
    <n v="2"/>
    <x v="0"/>
  </r>
  <r>
    <n v="443"/>
    <s v="N"/>
    <s v="N"/>
    <n v="1931744"/>
    <n v="1"/>
    <d v="2012-01-19T00:00:00"/>
    <d v="2012-06-29T00:00:00"/>
    <n v="1931744"/>
    <d v="2012-01-19T00:00:00"/>
    <d v="2012-01-20T00:00:00"/>
    <n v="20000"/>
    <x v="0"/>
    <d v="2012-01-20T00:00:00"/>
    <s v="Y"/>
    <s v="SURETY"/>
    <s v="DISMISSED"/>
    <n v="2"/>
    <n v="163"/>
    <n v="3"/>
    <n v="4"/>
    <n v="2"/>
    <m/>
    <m/>
    <m/>
    <m/>
    <m/>
    <m/>
    <m/>
    <m/>
    <d v="1983-11-03T00:00:00"/>
    <s v="M"/>
    <s v="B"/>
    <s v="BLACK"/>
    <s v="NON-HISPANIC"/>
    <s v="262"/>
    <s v="DISMISSED"/>
    <n v="9"/>
    <s v="DISMISSED"/>
    <m/>
    <m/>
    <m/>
    <s v="POSS WIM/D GP 3/4 CS-400G &amp; UP"/>
    <m/>
    <s v="F1"/>
    <s v="SALE DRUG"/>
    <m/>
    <m/>
    <m/>
    <m/>
    <m/>
    <m/>
    <m/>
    <m/>
    <m/>
    <s v="Hired Attorney"/>
    <m/>
    <m/>
    <n v="2"/>
    <n v="163"/>
    <n v="163"/>
    <n v="28.153005464480874"/>
    <n v="0"/>
    <n v="-161"/>
    <s v="NO CONVICTION"/>
    <x v="1"/>
    <s v="Y"/>
    <m/>
    <s v="NO CONVICTION"/>
    <s v="Y"/>
    <x v="1"/>
    <x v="0"/>
    <s v="Y"/>
    <n v="1.2269938650306749E-2"/>
    <n v="1.2269938650306749E-2"/>
    <n v="0"/>
    <n v="0"/>
    <n v="-2"/>
    <n v="0"/>
    <n v="2"/>
    <e v="#VALUE!"/>
    <n v="2"/>
    <n v="0"/>
    <m/>
    <m/>
    <s v="Y"/>
    <m/>
    <s v="0-10 DAYS"/>
    <n v="1"/>
    <x v="0"/>
  </r>
  <r>
    <n v="1379"/>
    <s v="N"/>
    <s v="N"/>
    <n v="1931800"/>
    <n v="5"/>
    <d v="2012-02-20T00:00:00"/>
    <d v="2012-06-15T00:00:00"/>
    <n v="1931800"/>
    <d v="2012-02-21T00:00:00"/>
    <d v="2012-03-03T00:00:00"/>
    <n v="15000"/>
    <x v="0"/>
    <d v="2012-03-03T00:00:00"/>
    <s v="Y"/>
    <s v="SURETY"/>
    <s v="GUILTY PLEA - NO JURY"/>
    <n v="12"/>
    <n v="117"/>
    <n v="4"/>
    <n v="7"/>
    <n v="2"/>
    <n v="1"/>
    <m/>
    <m/>
    <m/>
    <m/>
    <m/>
    <m/>
    <m/>
    <d v="1985-01-19T00:00:00"/>
    <s v="M"/>
    <s v="B"/>
    <s v="BLACK"/>
    <s v="NON-HISPANIC"/>
    <s v="178"/>
    <s v="CONVICTED"/>
    <n v="7"/>
    <s v="STJ"/>
    <m/>
    <n v="10"/>
    <m/>
    <s v="THEFT UNDER $1500 - 3RD OFF."/>
    <m/>
    <s v="FS"/>
    <s v="THEFT"/>
    <s v="fel theft conv 6/15/12  st j 10mos"/>
    <m/>
    <m/>
    <m/>
    <m/>
    <m/>
    <m/>
    <m/>
    <m/>
    <s v="Appointed Attorney"/>
    <m/>
    <m/>
    <n v="12"/>
    <n v="116"/>
    <n v="117"/>
    <n v="27.030054644808743"/>
    <n v="0"/>
    <n v="-104"/>
    <s v="CONVICTION"/>
    <x v="1"/>
    <s v="Y"/>
    <m/>
    <s v="CONVICTION"/>
    <s v="Y"/>
    <x v="1"/>
    <x v="0"/>
    <s v="Y"/>
    <n v="0.10256410256410256"/>
    <n v="0.10344827586206896"/>
    <n v="8.8417329796640354E-4"/>
    <n v="0"/>
    <n v="-12"/>
    <n v="0"/>
    <n v="12"/>
    <e v="#VALUE!"/>
    <n v="12"/>
    <n v="0"/>
    <m/>
    <m/>
    <s v="Y"/>
    <m/>
    <s v="11-30 DAYS"/>
    <n v="2"/>
    <x v="0"/>
  </r>
  <r>
    <n v="3087"/>
    <s v="N"/>
    <s v="N"/>
    <n v="1931816"/>
    <n v="4"/>
    <d v="2012-04-24T00:00:00"/>
    <d v="2012-07-06T00:00:00"/>
    <n v="1931816"/>
    <d v="2012-05-24T00:00:00"/>
    <d v="2012-07-06T00:00:00"/>
    <n v="20000"/>
    <x v="0"/>
    <m/>
    <s v="N"/>
    <s v="NONE"/>
    <s v="GUILTY PLEA - NO JURY"/>
    <n v="44"/>
    <n v="74"/>
    <n v="3"/>
    <n v="3"/>
    <n v="1"/>
    <m/>
    <m/>
    <m/>
    <m/>
    <m/>
    <m/>
    <m/>
    <m/>
    <d v="1963-04-01T00:00:00"/>
    <s v="M"/>
    <s v="B"/>
    <s v="BLACK"/>
    <s v="NULL"/>
    <s v="177"/>
    <s v="CONVICTED"/>
    <n v="3"/>
    <s v="HCJ"/>
    <m/>
    <m/>
    <n v="240"/>
    <s v="ROBBERY-THREATS"/>
    <m/>
    <s v="F2"/>
    <s v="ROBBERY"/>
    <m/>
    <m/>
    <m/>
    <m/>
    <m/>
    <m/>
    <m/>
    <m/>
    <m/>
    <s v="Appointed Attorney"/>
    <m/>
    <m/>
    <n v="44"/>
    <n v="44"/>
    <n v="74"/>
    <n v="48.964480874316941"/>
    <n v="0"/>
    <n v="0"/>
    <s v="CONVICTION"/>
    <x v="0"/>
    <s v="N"/>
    <m/>
    <s v="CONVICTION"/>
    <s v="Y"/>
    <x v="0"/>
    <x v="0"/>
    <s v="Y"/>
    <n v="0.59459459459459463"/>
    <n v="1"/>
    <n v="0.40540540540540537"/>
    <n v="0"/>
    <n v="-44"/>
    <n v="0"/>
    <n v="44"/>
    <e v="#VALUE!"/>
    <n v="44"/>
    <n v="0"/>
    <m/>
    <m/>
    <s v="Y"/>
    <m/>
    <s v="31-60 DAYS"/>
    <n v="3"/>
    <x v="0"/>
  </r>
  <r>
    <n v="3015"/>
    <s v="N"/>
    <s v="N"/>
    <n v="1932515"/>
    <n v="6"/>
    <d v="2012-04-21T00:00:00"/>
    <d v="2013-02-01T00:00:00"/>
    <n v="1932515"/>
    <d v="2012-04-21T00:00:00"/>
    <d v="2012-04-24T00:00:00"/>
    <n v="10000"/>
    <x v="3"/>
    <d v="2012-04-24T00:00:00"/>
    <s v="Y"/>
    <s v="SURETYPTRc"/>
    <s v="GUILTY PLEA - NO JURY"/>
    <n v="4"/>
    <n v="287"/>
    <n v="1"/>
    <n v="1"/>
    <n v="1"/>
    <m/>
    <m/>
    <m/>
    <m/>
    <m/>
    <m/>
    <m/>
    <m/>
    <d v="1983-10-12T00:00:00"/>
    <s v="M"/>
    <s v="B"/>
    <s v="BLACK"/>
    <s v="NULL"/>
    <s v="338"/>
    <s v="CONVICTED"/>
    <n v="13"/>
    <s v="TDC"/>
    <n v="2"/>
    <m/>
    <m/>
    <s v="FELON POSS WPN"/>
    <m/>
    <s v="F3"/>
    <s v="OTHER FEL"/>
    <m/>
    <m/>
    <m/>
    <m/>
    <m/>
    <m/>
    <m/>
    <m/>
    <m/>
    <s v="Appointed Attorney"/>
    <m/>
    <m/>
    <n v="4"/>
    <n v="287"/>
    <n v="287"/>
    <n v="28.467213114754099"/>
    <n v="0"/>
    <n v="-283"/>
    <s v="CONVICTION"/>
    <x v="1"/>
    <s v="Y"/>
    <m/>
    <s v="CONVICTION"/>
    <s v="Y"/>
    <x v="1"/>
    <x v="0"/>
    <s v="Y"/>
    <n v="1.3937282229965157E-2"/>
    <n v="1.3937282229965157E-2"/>
    <n v="0"/>
    <n v="0"/>
    <n v="-4"/>
    <n v="0"/>
    <n v="4"/>
    <e v="#VALUE!"/>
    <n v="4"/>
    <n v="0"/>
    <m/>
    <m/>
    <s v="Y"/>
    <m/>
    <s v="0-10 DAYS"/>
    <n v="1"/>
    <x v="0"/>
  </r>
  <r>
    <n v="1383"/>
    <s v="N"/>
    <s v="N"/>
    <n v="1934177"/>
    <n v="2"/>
    <d v="2012-02-21T00:00:00"/>
    <d v="2012-02-23T00:00:00"/>
    <n v="1934177"/>
    <d v="2012-02-21T00:00:00"/>
    <d v="2012-02-23T00:00:00"/>
    <n v="2000"/>
    <x v="5"/>
    <m/>
    <s v="N"/>
    <s v="NONE"/>
    <s v="DEFERRED ADJUDICATION "/>
    <n v="3"/>
    <n v="3"/>
    <n v="0"/>
    <n v="0"/>
    <m/>
    <m/>
    <m/>
    <m/>
    <m/>
    <m/>
    <m/>
    <m/>
    <m/>
    <d v="1980-09-14T00:00:00"/>
    <s v="M"/>
    <s v="W"/>
    <s v="WHITE"/>
    <s v="NULL"/>
    <s v="185"/>
    <s v="DEFERRED"/>
    <n v="2"/>
    <s v="DEFERRED"/>
    <m/>
    <m/>
    <m/>
    <s v="MAN/DEL CS PG III/IV  &lt;28 GRAM"/>
    <m/>
    <s v="FS"/>
    <s v="SALE DRUG"/>
    <m/>
    <m/>
    <m/>
    <m/>
    <m/>
    <m/>
    <m/>
    <m/>
    <m/>
    <s v="Appointed Attorney"/>
    <m/>
    <m/>
    <n v="3"/>
    <n v="3"/>
    <n v="3"/>
    <n v="31.371584699453553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296"/>
    <s v="N"/>
    <s v="N"/>
    <n v="1934818"/>
    <n v="5"/>
    <d v="2012-01-12T00:00:00"/>
    <d v="2012-08-01T00:00:00"/>
    <n v="1934818"/>
    <d v="2012-01-13T00:00:00"/>
    <d v="2012-02-17T00:00:00"/>
    <n v="10000"/>
    <x v="3"/>
    <d v="2012-02-17T00:00:00"/>
    <s v="Y"/>
    <s v="SURETYPTRc"/>
    <s v="GUILTY PLEA - NO JURY"/>
    <n v="36"/>
    <n v="203"/>
    <n v="3"/>
    <n v="3"/>
    <n v="1"/>
    <m/>
    <m/>
    <m/>
    <m/>
    <m/>
    <m/>
    <m/>
    <m/>
    <d v="1984-10-29T00:00:00"/>
    <s v="M"/>
    <s v="B"/>
    <s v="BLACK"/>
    <s v="NON-HISPANIC"/>
    <s v="337"/>
    <s v="CONVICTED"/>
    <n v="10"/>
    <s v="STJ"/>
    <m/>
    <n v="6"/>
    <m/>
    <s v="POSS CS PG 1 &lt;1G"/>
    <m/>
    <s v="FS"/>
    <s v="POSS DRUG"/>
    <m/>
    <m/>
    <m/>
    <m/>
    <m/>
    <m/>
    <m/>
    <m/>
    <m/>
    <s v="Hired Attorney"/>
    <m/>
    <m/>
    <n v="36"/>
    <n v="202"/>
    <n v="203"/>
    <n v="27.147540983606557"/>
    <n v="0"/>
    <n v="-166"/>
    <s v="CONVICTION"/>
    <x v="1"/>
    <s v="Y"/>
    <m/>
    <s v="CONVICTION"/>
    <s v="Y"/>
    <x v="1"/>
    <x v="0"/>
    <s v="Y"/>
    <n v="0.17733990147783252"/>
    <n v="0.17821782178217821"/>
    <n v="8.7792030434569179E-4"/>
    <n v="0"/>
    <n v="-36"/>
    <n v="0"/>
    <n v="36"/>
    <e v="#VALUE!"/>
    <n v="36"/>
    <n v="0"/>
    <m/>
    <m/>
    <s v="Y"/>
    <m/>
    <s v="31-60 DAYS"/>
    <n v="3"/>
    <x v="0"/>
  </r>
  <r>
    <n v="119"/>
    <s v="N"/>
    <s v="N"/>
    <n v="1935656"/>
    <n v="1"/>
    <d v="2012-01-05T00:00:00"/>
    <d v="2012-02-27T00:00:00"/>
    <n v="1935656"/>
    <d v="2012-01-06T00:00:00"/>
    <d v="2012-02-27T00:00:00"/>
    <s v="NO BOND"/>
    <x v="1"/>
    <m/>
    <s v="N"/>
    <s v="NONE"/>
    <s v="DISMISSED"/>
    <n v="53"/>
    <n v="54"/>
    <n v="1"/>
    <n v="2"/>
    <m/>
    <n v="2"/>
    <m/>
    <m/>
    <m/>
    <m/>
    <m/>
    <m/>
    <m/>
    <d v="1985-01-31T00:00:00"/>
    <s v="M"/>
    <s v="B"/>
    <s v="BLACK"/>
    <s v="NON-HISPANIC"/>
    <s v="262"/>
    <s v="DISMISSED"/>
    <n v="4"/>
    <s v="DISMISSED"/>
    <m/>
    <m/>
    <m/>
    <s v="TAMPER/FABRICATE EVIDENCE"/>
    <m/>
    <s v="F3"/>
    <s v="OTHER FEL"/>
    <m/>
    <m/>
    <m/>
    <m/>
    <m/>
    <m/>
    <m/>
    <m/>
    <m/>
    <s v="Appointed Attorney"/>
    <m/>
    <m/>
    <n v="53"/>
    <n v="53"/>
    <n v="54"/>
    <n v="26.871584699453553"/>
    <n v="0"/>
    <n v="0"/>
    <s v="NO CONVICTION"/>
    <x v="0"/>
    <s v="N"/>
    <m/>
    <s v="NO CONVICTION"/>
    <s v="Y"/>
    <x v="0"/>
    <x v="0"/>
    <s v="Y"/>
    <n v="0.98148148148148151"/>
    <n v="1"/>
    <n v="1.851851851851849E-2"/>
    <n v="0"/>
    <n v="-53"/>
    <n v="0"/>
    <n v="53"/>
    <e v="#VALUE!"/>
    <n v="53"/>
    <n v="0"/>
    <m/>
    <m/>
    <s v="Y"/>
    <m/>
    <s v="31-60 DAYS"/>
    <n v="3"/>
    <x v="0"/>
  </r>
  <r>
    <n v="2063"/>
    <s v="N"/>
    <s v="N"/>
    <n v="1936138"/>
    <n v="2"/>
    <d v="2012-03-18T00:00:00"/>
    <d v="2012-08-01T00:00:00"/>
    <n v="1936138"/>
    <s v="NOT BOOKED"/>
    <s v="NOT BOOKED"/>
    <n v="5000"/>
    <x v="4"/>
    <d v="2012-03-20T00:00:00"/>
    <s v="Y"/>
    <s v="SURETY"/>
    <s v="DEFERRED ADJUDICATION "/>
    <n v="0"/>
    <n v="137"/>
    <n v="0"/>
    <n v="1"/>
    <m/>
    <m/>
    <m/>
    <m/>
    <m/>
    <m/>
    <m/>
    <m/>
    <m/>
    <d v="1980-04-15T00:00:00"/>
    <s v="F"/>
    <s v="B"/>
    <s v="BLACK"/>
    <s v="NON-HISPANIC"/>
    <s v="182"/>
    <s v="DEFERRED"/>
    <n v="5"/>
    <s v="DEFERRED"/>
    <m/>
    <m/>
    <m/>
    <s v="POSS CS PG 1  1 - 4 GRAMS"/>
    <m/>
    <s v="F3"/>
    <s v="POSS DRUG"/>
    <m/>
    <m/>
    <m/>
    <m/>
    <m/>
    <m/>
    <m/>
    <m/>
    <m/>
    <s v="Hired Attorney"/>
    <m/>
    <m/>
    <n v="0"/>
    <n v="0"/>
    <n v="137"/>
    <n v="31.857923497267759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1245"/>
    <s v="N"/>
    <s v="N"/>
    <n v="1936361"/>
    <n v="6"/>
    <d v="2012-02-15T00:00:00"/>
    <d v="2012-10-09T00:00:00"/>
    <n v="1936361"/>
    <d v="2012-02-15T00:00:00"/>
    <d v="2012-10-09T00:00:00"/>
    <n v="30000"/>
    <x v="2"/>
    <m/>
    <s v="N"/>
    <s v="NONE"/>
    <s v="GUILTY PLEA - NO JURY"/>
    <n v="238"/>
    <n v="238"/>
    <n v="0"/>
    <n v="3"/>
    <m/>
    <m/>
    <m/>
    <m/>
    <m/>
    <m/>
    <m/>
    <m/>
    <m/>
    <d v="1978-04-21T00:00:00"/>
    <s v="F"/>
    <s v="B"/>
    <s v="BLACK"/>
    <s v="NON-HISPANIC"/>
    <s v="174"/>
    <s v="CONVICTED"/>
    <n v="8"/>
    <s v="TDC"/>
    <n v="8"/>
    <m/>
    <m/>
    <s v="AGG ASSLT AGAINST PB SERVANT"/>
    <m/>
    <s v="F1"/>
    <s v="ASLT-MURDR"/>
    <m/>
    <m/>
    <m/>
    <m/>
    <m/>
    <m/>
    <m/>
    <m/>
    <m/>
    <s v="Appointed Attorney"/>
    <m/>
    <m/>
    <n v="238"/>
    <n v="238"/>
    <n v="238"/>
    <n v="33.751366120218577"/>
    <n v="0"/>
    <n v="0"/>
    <s v="CONVICTION"/>
    <x v="0"/>
    <s v="N"/>
    <m/>
    <s v="CONVICTION"/>
    <s v="Y"/>
    <x v="0"/>
    <x v="0"/>
    <s v="N"/>
    <n v="1"/>
    <n v="1"/>
    <n v="0"/>
    <n v="0"/>
    <n v="-238"/>
    <n v="0"/>
    <n v="238"/>
    <e v="#VALUE!"/>
    <n v="238"/>
    <n v="0"/>
    <m/>
    <m/>
    <s v="Y"/>
    <m/>
    <s v="121-365 DAYS"/>
    <n v="6"/>
    <x v="0"/>
  </r>
  <r>
    <n v="275"/>
    <s v="N"/>
    <s v="N"/>
    <n v="1936546"/>
    <n v="3"/>
    <d v="2012-01-12T00:00:00"/>
    <d v="2012-08-23T00:00:00"/>
    <n v="1936546"/>
    <d v="2012-01-12T00:00:00"/>
    <d v="2012-01-14T00:00:00"/>
    <n v="10000"/>
    <x v="3"/>
    <d v="2012-01-14T00:00:00"/>
    <s v="Y"/>
    <s v="SURETY"/>
    <s v="GUILTY PLEA - NO JURY"/>
    <n v="3"/>
    <n v="225"/>
    <n v="0"/>
    <n v="7"/>
    <m/>
    <m/>
    <m/>
    <m/>
    <m/>
    <m/>
    <m/>
    <m/>
    <m/>
    <d v="1985-01-23T00:00:00"/>
    <s v="M"/>
    <s v="W"/>
    <s v="WHITE"/>
    <s v="NON-HISPANIC"/>
    <s v="182"/>
    <s v="CONVICTED"/>
    <n v="8"/>
    <s v="PROBATION"/>
    <m/>
    <m/>
    <m/>
    <s v="DWI 3RD OFFENDER BAC .08"/>
    <m/>
    <s v="F3"/>
    <s v="FEL DWI"/>
    <m/>
    <m/>
    <m/>
    <m/>
    <m/>
    <m/>
    <m/>
    <m/>
    <m/>
    <s v="Hired Attorney"/>
    <m/>
    <m/>
    <n v="3"/>
    <n v="225"/>
    <n v="225"/>
    <n v="26.912568306010929"/>
    <n v="0"/>
    <n v="-222"/>
    <s v="CONVICTION"/>
    <x v="1"/>
    <s v="Y"/>
    <m/>
    <s v="CONVICTION"/>
    <s v="Y"/>
    <x v="1"/>
    <x v="0"/>
    <s v="N"/>
    <n v="1.3333333333333334E-2"/>
    <n v="1.3333333333333334E-2"/>
    <n v="0"/>
    <n v="0"/>
    <n v="-3"/>
    <n v="0"/>
    <n v="3"/>
    <e v="#VALUE!"/>
    <n v="3"/>
    <n v="0"/>
    <m/>
    <m/>
    <s v="Y"/>
    <m/>
    <s v="0-10 DAYS"/>
    <n v="1"/>
    <x v="0"/>
  </r>
  <r>
    <n v="1052"/>
    <s v="N"/>
    <s v="N"/>
    <n v="1936667"/>
    <n v="2"/>
    <d v="2012-02-08T00:00:00"/>
    <d v="2012-02-10T00:00:00"/>
    <n v="1936667"/>
    <d v="2012-02-09T00:00:00"/>
    <d v="2012-02-10T00:00:00"/>
    <n v="20000"/>
    <x v="0"/>
    <m/>
    <s v="N"/>
    <s v="NONE"/>
    <s v="DEFERRED ADJUDICATION "/>
    <n v="2"/>
    <n v="3"/>
    <n v="2"/>
    <n v="3"/>
    <n v="1"/>
    <m/>
    <m/>
    <m/>
    <m/>
    <m/>
    <m/>
    <m/>
    <m/>
    <d v="1983-11-25T00:00:00"/>
    <s v="F"/>
    <s v="B"/>
    <s v="BLACK"/>
    <s v="NULL"/>
    <s v="180"/>
    <s v="DEFERRED"/>
    <n v="1"/>
    <s v="DEFERRED"/>
    <m/>
    <m/>
    <m/>
    <s v="POSS CS PG 1 4G - 200G"/>
    <m/>
    <s v="F2"/>
    <s v="POSS DRUG"/>
    <m/>
    <m/>
    <m/>
    <m/>
    <m/>
    <m/>
    <m/>
    <m/>
    <m/>
    <s v="Appointed Attorney"/>
    <m/>
    <m/>
    <n v="2"/>
    <n v="2"/>
    <n v="3"/>
    <n v="28.147540983606557"/>
    <n v="0"/>
    <n v="0"/>
    <s v="DEFERRED"/>
    <x v="0"/>
    <s v="N"/>
    <m/>
    <s v="DEFERRED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2447"/>
    <s v="N"/>
    <s v="N"/>
    <n v="1937128"/>
    <n v="5"/>
    <d v="2012-04-02T00:00:00"/>
    <d v="2012-04-04T00:00:00"/>
    <n v="1937128"/>
    <d v="2012-04-02T00:00:00"/>
    <d v="2012-04-04T00:00:00"/>
    <n v="10000"/>
    <x v="3"/>
    <m/>
    <s v="N"/>
    <s v="NONE"/>
    <s v="GUILTY PLEA - NO JURY"/>
    <n v="3"/>
    <n v="3"/>
    <n v="0"/>
    <n v="4"/>
    <m/>
    <m/>
    <m/>
    <m/>
    <m/>
    <m/>
    <m/>
    <s v="S"/>
    <m/>
    <d v="1984-07-09T00:00:00"/>
    <s v="M"/>
    <s v="H"/>
    <s v="HISPANIC"/>
    <s v="NULL"/>
    <s v="174"/>
    <s v="CONVICTED"/>
    <n v="1"/>
    <s v="STJ"/>
    <m/>
    <n v="8"/>
    <m/>
    <s v="THEFT FROM PERSON"/>
    <m/>
    <s v="FS"/>
    <s v="THEFT"/>
    <m/>
    <m/>
    <m/>
    <m/>
    <m/>
    <m/>
    <m/>
    <m/>
    <m/>
    <s v="Appointed Attorney"/>
    <m/>
    <m/>
    <n v="3"/>
    <n v="3"/>
    <n v="3"/>
    <n v="27.674863387978142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596"/>
    <s v="N"/>
    <s v="N"/>
    <n v="1937203"/>
    <n v="4"/>
    <d v="2012-01-24T00:00:00"/>
    <d v="2012-10-11T00:00:00"/>
    <n v="1937203"/>
    <d v="2012-01-24T00:00:00"/>
    <d v="2012-10-11T00:00:00"/>
    <n v="2000"/>
    <x v="5"/>
    <m/>
    <s v="N"/>
    <s v="NONE"/>
    <s v="GUILTY PLEA - NO JURY"/>
    <n v="262"/>
    <n v="262"/>
    <n v="0"/>
    <n v="2"/>
    <m/>
    <m/>
    <m/>
    <m/>
    <m/>
    <m/>
    <m/>
    <m/>
    <m/>
    <d v="1976-09-03T00:00:00"/>
    <s v="M"/>
    <s v="B"/>
    <s v="BLACK"/>
    <s v="NON-HISPANIC"/>
    <s v="351"/>
    <s v="CONVICTED"/>
    <n v="8"/>
    <s v="HCJ"/>
    <m/>
    <m/>
    <n v="200"/>
    <s v="CRIM MISCH &gt;=$1500 &lt;$20K"/>
    <m/>
    <s v="FS"/>
    <s v="OTHER FEL"/>
    <s v="MHH ISSUES"/>
    <m/>
    <m/>
    <m/>
    <m/>
    <m/>
    <m/>
    <m/>
    <m/>
    <s v="Appointed Attorney"/>
    <m/>
    <m/>
    <n v="262"/>
    <n v="262"/>
    <n v="262"/>
    <n v="35.31693989071038"/>
    <n v="0"/>
    <n v="0"/>
    <s v="CONVICTION"/>
    <x v="0"/>
    <s v="N"/>
    <m/>
    <s v="CONVICTION"/>
    <s v="Y"/>
    <x v="0"/>
    <x v="0"/>
    <s v="N"/>
    <n v="1"/>
    <n v="1"/>
    <n v="0"/>
    <n v="0"/>
    <n v="-262"/>
    <n v="0"/>
    <n v="262"/>
    <e v="#VALUE!"/>
    <n v="262"/>
    <n v="0"/>
    <m/>
    <m/>
    <s v="Y"/>
    <m/>
    <s v="121-365 DAYS"/>
    <n v="6"/>
    <x v="0"/>
  </r>
  <r>
    <n v="2550"/>
    <s v="N"/>
    <s v="N"/>
    <n v="1938906"/>
    <n v="6"/>
    <d v="2012-04-05T00:00:00"/>
    <d v="2012-09-17T00:00:00"/>
    <n v="1938906"/>
    <d v="2012-04-24T00:00:00"/>
    <d v="2012-04-26T00:00:00"/>
    <n v="10000"/>
    <x v="3"/>
    <d v="2012-04-26T00:00:00"/>
    <s v="Y"/>
    <s v="SURETY"/>
    <s v="GUILTY PLEA - NO JURY"/>
    <n v="3"/>
    <n v="166"/>
    <n v="1"/>
    <n v="4"/>
    <m/>
    <n v="1"/>
    <m/>
    <m/>
    <m/>
    <m/>
    <m/>
    <m/>
    <m/>
    <d v="1983-09-12T00:00:00"/>
    <s v="M"/>
    <s v="H"/>
    <s v="HISPANIC"/>
    <s v="HISPANIC"/>
    <s v="182"/>
    <s v="CONVICTED"/>
    <n v="5"/>
    <s v="TDC"/>
    <n v="10"/>
    <m/>
    <m/>
    <s v="POSS W/INT DEL CS PG1&gt;=4 &lt;200"/>
    <m/>
    <s v="F1"/>
    <s v="SALE DRUG"/>
    <m/>
    <m/>
    <m/>
    <m/>
    <m/>
    <m/>
    <m/>
    <m/>
    <m/>
    <s v="Hired Attorney"/>
    <m/>
    <m/>
    <n v="3"/>
    <n v="147"/>
    <n v="166"/>
    <n v="28.505464480874316"/>
    <n v="0"/>
    <n v="-144"/>
    <s v="CONVICTION"/>
    <x v="1"/>
    <s v="Y"/>
    <m/>
    <s v="CONVICTION"/>
    <s v="Y"/>
    <x v="1"/>
    <x v="0"/>
    <s v="Y"/>
    <n v="1.8072289156626505E-2"/>
    <n v="2.0408163265306121E-2"/>
    <n v="2.3358741086796156E-3"/>
    <n v="0"/>
    <n v="-3"/>
    <n v="0"/>
    <n v="3"/>
    <e v="#VALUE!"/>
    <n v="3"/>
    <n v="0"/>
    <m/>
    <m/>
    <s v="Y"/>
    <m/>
    <s v="0-10 DAYS"/>
    <n v="1"/>
    <x v="0"/>
  </r>
  <r>
    <n v="1744"/>
    <s v="N"/>
    <s v="N"/>
    <n v="1939518"/>
    <n v="6"/>
    <d v="2012-03-05T00:00:00"/>
    <d v="2012-09-25T00:00:00"/>
    <n v="1939518"/>
    <s v="NOT BOOKED"/>
    <s v="NOT BOOKED"/>
    <n v="20000"/>
    <x v="0"/>
    <d v="2012-03-08T00:00:00"/>
    <s v="Y"/>
    <s v="SURETYPTRc"/>
    <s v="GUILTY PLEA - NO JURY"/>
    <n v="0"/>
    <n v="205"/>
    <n v="1"/>
    <n v="1"/>
    <n v="1"/>
    <m/>
    <m/>
    <m/>
    <m/>
    <m/>
    <m/>
    <m/>
    <m/>
    <d v="1984-06-06T00:00:00"/>
    <s v="M"/>
    <s v="B"/>
    <s v="BLACK"/>
    <s v="NON-HISPANIC"/>
    <s v="230"/>
    <s v="CONVICTED"/>
    <n v="8"/>
    <s v="TDC"/>
    <n v="6"/>
    <m/>
    <m/>
    <s v="POSS CS PG 3 28-200 GRAMS"/>
    <m/>
    <s v="F3"/>
    <s v="POSS DRUG"/>
    <m/>
    <m/>
    <m/>
    <m/>
    <m/>
    <m/>
    <m/>
    <m/>
    <m/>
    <s v="Hired Attorney"/>
    <m/>
    <m/>
    <n v="0"/>
    <n v="0"/>
    <n v="205"/>
    <n v="27.688524590163933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159"/>
    <s v="N"/>
    <s v="N"/>
    <n v="1940060"/>
    <n v="2"/>
    <d v="2012-01-07T00:00:00"/>
    <d v="2012-01-10T00:00:00"/>
    <n v="1940060"/>
    <d v="2012-01-07T00:00:00"/>
    <d v="2012-01-10T00:00:00"/>
    <s v="NO BOND"/>
    <x v="1"/>
    <m/>
    <s v="N"/>
    <s v="NONE"/>
    <s v="DEFERRED ADJUDICATION "/>
    <n v="4"/>
    <n v="4"/>
    <n v="0"/>
    <n v="3"/>
    <m/>
    <m/>
    <m/>
    <m/>
    <m/>
    <m/>
    <m/>
    <m/>
    <m/>
    <d v="1983-05-26T00:00:00"/>
    <s v="F"/>
    <s v="B"/>
    <s v="BLACK"/>
    <s v="NON-HISPANIC"/>
    <s v="351"/>
    <s v="DEFERRED"/>
    <n v="2"/>
    <s v="DEFERRED"/>
    <m/>
    <m/>
    <m/>
    <s v="FORGERY"/>
    <m/>
    <s v="FS"/>
    <s v="OTHER FEL"/>
    <m/>
    <m/>
    <m/>
    <m/>
    <m/>
    <m/>
    <m/>
    <m/>
    <m/>
    <s v="Appointed Attorney"/>
    <m/>
    <m/>
    <n v="4"/>
    <n v="4"/>
    <n v="4"/>
    <n v="28.560109289617486"/>
    <n v="0"/>
    <n v="0"/>
    <s v="DEFERRED"/>
    <x v="0"/>
    <s v="N"/>
    <m/>
    <s v="DEFERRED"/>
    <s v="Y"/>
    <x v="0"/>
    <x v="0"/>
    <s v="N"/>
    <n v="1"/>
    <n v="1"/>
    <n v="0"/>
    <n v="0"/>
    <n v="-4"/>
    <n v="0"/>
    <n v="4"/>
    <e v="#VALUE!"/>
    <n v="4"/>
    <n v="0"/>
    <m/>
    <m/>
    <s v="Y"/>
    <m/>
    <s v="0-10 DAYS"/>
    <n v="1"/>
    <x v="0"/>
  </r>
  <r>
    <n v="1684"/>
    <s v="N"/>
    <s v="N"/>
    <n v="1940220"/>
    <n v="2"/>
    <d v="2012-03-03T00:00:00"/>
    <d v="2012-09-20T00:00:00"/>
    <n v="1940220"/>
    <d v="2012-05-14T00:00:00"/>
    <d v="2012-05-16T00:00:00"/>
    <n v="5000"/>
    <x v="4"/>
    <d v="2012-05-16T00:00:00"/>
    <s v="Y"/>
    <s v="SURETYPTRc"/>
    <s v="DEFERRED ADJUDICATION "/>
    <n v="3"/>
    <n v="202"/>
    <n v="1"/>
    <n v="3"/>
    <m/>
    <n v="1"/>
    <m/>
    <m/>
    <m/>
    <m/>
    <m/>
    <m/>
    <m/>
    <d v="1984-02-28T00:00:00"/>
    <s v="M"/>
    <s v="B"/>
    <s v="BLACK"/>
    <s v="NON-HISPANIC"/>
    <s v="337"/>
    <s v="DEFERRED"/>
    <n v="11"/>
    <s v="DEFERRED"/>
    <m/>
    <m/>
    <m/>
    <s v="POSS CS PG 1  1 - 4 GRAMS"/>
    <m/>
    <s v="F3"/>
    <s v="POSS DRUG"/>
    <m/>
    <m/>
    <m/>
    <m/>
    <m/>
    <m/>
    <m/>
    <m/>
    <m/>
    <s v="Hired Attorney"/>
    <m/>
    <m/>
    <n v="3"/>
    <n v="130"/>
    <n v="202"/>
    <n v="27.953551912568305"/>
    <n v="0"/>
    <n v="-127"/>
    <s v="DEFERRED"/>
    <x v="1"/>
    <s v="Y"/>
    <m/>
    <s v="DEFERRED"/>
    <s v="Y"/>
    <x v="1"/>
    <x v="0"/>
    <s v="Y"/>
    <n v="1.4851485148514851E-2"/>
    <n v="2.3076923076923078E-2"/>
    <n v="8.2254379284082274E-3"/>
    <n v="0"/>
    <n v="-3"/>
    <n v="0"/>
    <n v="3"/>
    <e v="#VALUE!"/>
    <n v="3"/>
    <n v="0"/>
    <m/>
    <m/>
    <s v="Y"/>
    <m/>
    <s v="0-10 DAYS"/>
    <n v="1"/>
    <x v="0"/>
  </r>
  <r>
    <n v="152"/>
    <s v="N"/>
    <s v="Y"/>
    <n v="1940225"/>
    <n v="6"/>
    <d v="2012-01-07T00:00:00"/>
    <d v="2012-10-12T00:00:00"/>
    <n v="1940225"/>
    <d v="2012-01-07T00:00:00"/>
    <d v="2012-03-24T00:00:00"/>
    <n v="20000"/>
    <x v="0"/>
    <d v="2012-03-24T00:00:00"/>
    <s v="Y"/>
    <s v="SURETY"/>
    <s v="GUILTY PLEA - NO JURY"/>
    <n v="196"/>
    <n v="280"/>
    <n v="1"/>
    <n v="2"/>
    <n v="1"/>
    <m/>
    <m/>
    <m/>
    <m/>
    <m/>
    <m/>
    <m/>
    <m/>
    <d v="1982-07-15T00:00:00"/>
    <s v="M"/>
    <s v="B"/>
    <s v="BLACK"/>
    <s v="NULL"/>
    <s v="174"/>
    <s v="CONVICTED"/>
    <n v="12"/>
    <s v="TDC"/>
    <n v="3"/>
    <m/>
    <m/>
    <s v="BURGLARY OF HABITATION"/>
    <m/>
    <s v="F2"/>
    <s v="BURGLARY"/>
    <m/>
    <s v="REV5/22/12  "/>
    <m/>
    <m/>
    <s v="Y"/>
    <m/>
    <m/>
    <m/>
    <m/>
    <s v="Appointed Attorney"/>
    <m/>
    <m/>
    <n v="196"/>
    <n v="280"/>
    <n v="280"/>
    <n v="29.420765027322403"/>
    <n v="0"/>
    <n v="-202"/>
    <s v="CONVICTION"/>
    <x v="1"/>
    <s v="Y"/>
    <m/>
    <s v="CONVICTION"/>
    <s v="Y"/>
    <x v="0"/>
    <x v="0"/>
    <s v="Y"/>
    <n v="0.7"/>
    <n v="0.27857142857142858"/>
    <n v="-0.42142857142857137"/>
    <n v="0"/>
    <n v="-78"/>
    <n v="118"/>
    <n v="280"/>
    <n v="196"/>
    <n v="280"/>
    <n v="202"/>
    <m/>
    <m/>
    <s v="Y"/>
    <m/>
    <s v="121-365 DAYS"/>
    <n v="6"/>
    <x v="0"/>
  </r>
  <r>
    <n v="133"/>
    <s v="N"/>
    <s v="Y"/>
    <n v="1940385"/>
    <n v="6"/>
    <d v="2012-01-06T00:00:00"/>
    <d v="2012-10-25T00:00:00"/>
    <n v="1940385"/>
    <d v="2012-01-06T00:00:00"/>
    <d v="2012-02-23T00:00:00"/>
    <n v="30000"/>
    <x v="2"/>
    <d v="2012-02-23T00:00:00"/>
    <s v="Y"/>
    <s v="SURETY"/>
    <s v="GUILTY PLEA - NO JURY"/>
    <n v="49"/>
    <n v="294"/>
    <n v="8"/>
    <n v="4"/>
    <n v="5"/>
    <m/>
    <m/>
    <m/>
    <m/>
    <m/>
    <m/>
    <m/>
    <m/>
    <d v="1984-04-25T00:00:00"/>
    <s v="M"/>
    <s v="B"/>
    <s v="BLACK"/>
    <s v="NON-HISPANIC"/>
    <s v="184"/>
    <s v="CONVICTED"/>
    <n v="6"/>
    <s v="TDC"/>
    <n v="5"/>
    <m/>
    <m/>
    <s v="POSS W/INT DEL CS PG1&gt;=4 &lt;200"/>
    <m/>
    <s v="F1"/>
    <s v="SALE DRUG"/>
    <m/>
    <s v="rev 10/9/12"/>
    <m/>
    <m/>
    <s v="Y"/>
    <m/>
    <m/>
    <m/>
    <m/>
    <s v="Public Defender"/>
    <m/>
    <m/>
    <n v="49"/>
    <n v="294"/>
    <n v="294"/>
    <n v="27.642076502732241"/>
    <n v="0"/>
    <n v="-245"/>
    <s v="CONVICTION"/>
    <x v="1"/>
    <s v="Y"/>
    <m/>
    <s v="CONVICTION"/>
    <s v="Y"/>
    <x v="1"/>
    <x v="0"/>
    <s v="Y"/>
    <n v="0.16666666666666666"/>
    <n v="0.16666666666666666"/>
    <n v="0"/>
    <n v="0"/>
    <n v="-49"/>
    <n v="0"/>
    <n v="49"/>
    <e v="#VALUE!"/>
    <m/>
    <n v="245"/>
    <m/>
    <m/>
    <s v="Y"/>
    <m/>
    <s v="31-60 DAYS"/>
    <n v="3"/>
    <x v="0"/>
  </r>
  <r>
    <n v="799"/>
    <s v="N"/>
    <s v="N"/>
    <n v="1940405"/>
    <n v="1"/>
    <d v="2012-01-31T00:00:00"/>
    <d v="2012-02-02T00:00:00"/>
    <n v="1940405"/>
    <d v="2012-02-01T00:00:00"/>
    <d v="2012-02-02T00:00:00"/>
    <n v="5000"/>
    <x v="4"/>
    <m/>
    <s v="N"/>
    <s v="NONE"/>
    <s v="DISMISSED"/>
    <n v="2"/>
    <n v="3"/>
    <n v="2"/>
    <n v="3"/>
    <n v="1"/>
    <m/>
    <m/>
    <m/>
    <m/>
    <m/>
    <m/>
    <m/>
    <m/>
    <d v="1985-01-15T00:00:00"/>
    <s v="M"/>
    <s v="B"/>
    <s v="BLACK"/>
    <s v="NULL"/>
    <n v="232"/>
    <s v="DISMISSED"/>
    <n v="1"/>
    <s v="DISMISSED"/>
    <m/>
    <m/>
    <m/>
    <s v="POSS CS PG 1 &lt;1G"/>
    <m/>
    <s v="FS"/>
    <s v="POSS DRUG"/>
    <m/>
    <m/>
    <m/>
    <m/>
    <m/>
    <m/>
    <m/>
    <m/>
    <m/>
    <s v="Public Defender"/>
    <m/>
    <m/>
    <n v="2"/>
    <n v="2"/>
    <n v="3"/>
    <n v="26.986338797814209"/>
    <n v="0"/>
    <n v="0"/>
    <s v="NO CONVICTION"/>
    <x v="0"/>
    <s v="N"/>
    <m/>
    <s v="NO CONVICTION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2202"/>
    <s v="N"/>
    <s v="N"/>
    <n v="1941014"/>
    <n v="1"/>
    <d v="2012-03-23T00:00:00"/>
    <d v="2012-04-24T00:00:00"/>
    <n v="1941014"/>
    <d v="2012-03-23T00:00:00"/>
    <d v="2012-04-24T00:00:00"/>
    <n v="20000"/>
    <x v="0"/>
    <m/>
    <s v="N"/>
    <s v="NONE"/>
    <s v="DISMISSED"/>
    <n v="33"/>
    <n v="33"/>
    <n v="3"/>
    <n v="6"/>
    <n v="1"/>
    <m/>
    <m/>
    <m/>
    <m/>
    <m/>
    <m/>
    <m/>
    <m/>
    <d v="1983-02-26T00:00:00"/>
    <s v="M"/>
    <s v="B"/>
    <s v="BLACK"/>
    <s v="NON-HISPANIC"/>
    <s v="208"/>
    <s v="DISMISSED"/>
    <n v="2"/>
    <s v="DISMISSED"/>
    <m/>
    <m/>
    <m/>
    <s v="BURGLARY OF HABITATION"/>
    <m/>
    <s v="F2"/>
    <s v="BURGLARY"/>
    <s v="burg 10/24/12 hcj 1 yr"/>
    <m/>
    <m/>
    <m/>
    <m/>
    <m/>
    <m/>
    <m/>
    <m/>
    <s v="Appointed Attorney"/>
    <m/>
    <m/>
    <n v="33"/>
    <n v="33"/>
    <n v="33"/>
    <n v="29.010928961748633"/>
    <n v="0"/>
    <n v="0"/>
    <s v="NO CONVICTION"/>
    <x v="0"/>
    <s v="N"/>
    <m/>
    <s v="NO CONVICTION"/>
    <s v="Y"/>
    <x v="0"/>
    <x v="0"/>
    <s v="Y"/>
    <n v="1"/>
    <n v="1"/>
    <n v="0"/>
    <n v="0"/>
    <n v="-33"/>
    <n v="0"/>
    <n v="33"/>
    <e v="#VALUE!"/>
    <n v="33"/>
    <n v="0"/>
    <m/>
    <m/>
    <s v="Y"/>
    <m/>
    <s v="31-60 DAYS"/>
    <n v="3"/>
    <x v="0"/>
  </r>
  <r>
    <n v="1877"/>
    <s v="N"/>
    <s v="N"/>
    <n v="1941706"/>
    <n v="2"/>
    <d v="2012-03-10T00:00:00"/>
    <d v="2012-03-13T00:00:00"/>
    <n v="1941706"/>
    <d v="2012-03-10T00:00:00"/>
    <d v="2012-03-13T00:00:00"/>
    <n v="15000"/>
    <x v="0"/>
    <m/>
    <s v="N"/>
    <s v="NONE"/>
    <s v="DEFERRED ADJUDICATION "/>
    <n v="4"/>
    <n v="4"/>
    <n v="1"/>
    <n v="2"/>
    <n v="1"/>
    <m/>
    <m/>
    <m/>
    <m/>
    <m/>
    <m/>
    <m/>
    <m/>
    <d v="1984-03-15T00:00:00"/>
    <s v="M"/>
    <s v="W"/>
    <s v="WHITE"/>
    <s v="NULL"/>
    <s v="179"/>
    <s v="DEFERRED"/>
    <n v="2"/>
    <s v="DEFERRED"/>
    <m/>
    <m/>
    <m/>
    <s v="POSS CS PG 1 &lt;1G"/>
    <m/>
    <s v="FS"/>
    <s v="POSS DRUG"/>
    <m/>
    <m/>
    <m/>
    <m/>
    <m/>
    <m/>
    <m/>
    <m/>
    <m/>
    <s v="Appointed Attorney"/>
    <m/>
    <m/>
    <n v="4"/>
    <n v="4"/>
    <n v="4"/>
    <n v="27.928961748633881"/>
    <n v="0"/>
    <n v="0"/>
    <s v="DEFERRED"/>
    <x v="0"/>
    <s v="N"/>
    <m/>
    <s v="DEFERRED"/>
    <s v="Y"/>
    <x v="0"/>
    <x v="0"/>
    <s v="Y"/>
    <n v="1"/>
    <n v="1"/>
    <n v="0"/>
    <n v="0"/>
    <n v="-4"/>
    <n v="0"/>
    <n v="4"/>
    <e v="#VALUE!"/>
    <n v="4"/>
    <n v="0"/>
    <m/>
    <m/>
    <s v="Y"/>
    <m/>
    <s v="0-10 DAYS"/>
    <n v="1"/>
    <x v="0"/>
  </r>
  <r>
    <n v="1153"/>
    <s v="N"/>
    <s v="N"/>
    <n v="1941827"/>
    <n v="4"/>
    <d v="2012-02-11T00:00:00"/>
    <d v="2012-09-27T00:00:00"/>
    <n v="1941827"/>
    <d v="2012-02-11T00:00:00"/>
    <d v="2012-02-14T00:00:00"/>
    <n v="15000"/>
    <x v="0"/>
    <d v="2012-02-14T00:00:00"/>
    <s v="Y"/>
    <s v="SURETY"/>
    <s v="GUILTY PLEA - NO JURY"/>
    <n v="4"/>
    <n v="230"/>
    <n v="0"/>
    <n v="0"/>
    <m/>
    <m/>
    <m/>
    <m/>
    <m/>
    <m/>
    <m/>
    <m/>
    <m/>
    <d v="1983-09-22T00:00:00"/>
    <s v="M"/>
    <s v="W"/>
    <s v="WHITE"/>
    <s v="NULL"/>
    <s v="177"/>
    <s v="CONVICTED"/>
    <n v="8"/>
    <s v="HCJ"/>
    <m/>
    <m/>
    <n v="90"/>
    <s v="POSS CS PG 1  1 - 4 GRAMS"/>
    <m/>
    <s v="F3"/>
    <s v="POSS DRUG"/>
    <m/>
    <m/>
    <m/>
    <m/>
    <m/>
    <m/>
    <m/>
    <m/>
    <m/>
    <s v="Hired Attorney"/>
    <m/>
    <m/>
    <n v="4"/>
    <n v="230"/>
    <n v="230"/>
    <n v="28.330601092896174"/>
    <n v="0"/>
    <n v="-226"/>
    <s v="CONVICTION"/>
    <x v="1"/>
    <s v="Y"/>
    <m/>
    <s v="CONVICTION"/>
    <s v="Y"/>
    <x v="1"/>
    <x v="0"/>
    <s v="N"/>
    <n v="1.7391304347826087E-2"/>
    <n v="1.7391304347826087E-2"/>
    <n v="0"/>
    <n v="0"/>
    <n v="-4"/>
    <n v="0"/>
    <n v="4"/>
    <e v="#VALUE!"/>
    <n v="4"/>
    <n v="0"/>
    <m/>
    <m/>
    <s v="N"/>
    <m/>
    <s v="0-10 DAYS"/>
    <n v="1"/>
    <x v="0"/>
  </r>
  <r>
    <n v="1113"/>
    <s v="N"/>
    <s v="N"/>
    <n v="1943401"/>
    <n v="6"/>
    <d v="2012-02-10T00:00:00"/>
    <d v="2012-02-13T00:00:00"/>
    <n v="1943401"/>
    <d v="2012-02-10T00:00:00"/>
    <d v="2012-02-13T00:00:00"/>
    <n v="15000"/>
    <x v="0"/>
    <m/>
    <s v="N"/>
    <s v="NONE"/>
    <s v="GUILTY PLEA - NO JURY"/>
    <n v="4"/>
    <n v="4"/>
    <n v="6"/>
    <n v="8"/>
    <n v="4"/>
    <m/>
    <m/>
    <m/>
    <m/>
    <m/>
    <m/>
    <m/>
    <m/>
    <d v="1982-04-16T00:00:00"/>
    <s v="M"/>
    <s v="B"/>
    <s v="BLACK"/>
    <s v="NULL"/>
    <s v="182"/>
    <s v="CONVICTED"/>
    <n v="1"/>
    <s v="TDC"/>
    <n v="1"/>
    <m/>
    <m/>
    <s v="(EVAD ARREST/DETENTION W/PREV C)"/>
    <m/>
    <s v="F2"/>
    <s v="OTHER FEL"/>
    <m/>
    <m/>
    <m/>
    <m/>
    <m/>
    <m/>
    <m/>
    <m/>
    <m/>
    <s v="Appointed Attorney"/>
    <m/>
    <m/>
    <n v="4"/>
    <n v="4"/>
    <n v="4"/>
    <n v="29.759562841530055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m/>
    <m/>
    <s v="Y"/>
    <m/>
    <s v="0-10 DAYS"/>
    <n v="1"/>
    <x v="0"/>
  </r>
  <r>
    <n v="2627"/>
    <s v="N"/>
    <s v="N"/>
    <n v="1944335"/>
    <n v="4"/>
    <d v="2012-04-07T00:00:00"/>
    <d v="2012-08-01T00:00:00"/>
    <n v="1944335"/>
    <d v="2012-04-08T00:00:00"/>
    <d v="2012-08-01T00:00:00"/>
    <n v="20000"/>
    <x v="0"/>
    <m/>
    <s v="N"/>
    <s v="NONE"/>
    <s v="GUILTY PLEA - NO JURY"/>
    <n v="116"/>
    <n v="117"/>
    <n v="3"/>
    <n v="2"/>
    <n v="1"/>
    <m/>
    <m/>
    <m/>
    <m/>
    <m/>
    <m/>
    <m/>
    <m/>
    <d v="1981-08-31T00:00:00"/>
    <s v="M"/>
    <s v="B"/>
    <s v="BLACK"/>
    <s v="NON-HISPANIC"/>
    <s v="232"/>
    <s v="CONVICTED"/>
    <n v="5"/>
    <s v="HCJ"/>
    <m/>
    <m/>
    <n v="365"/>
    <s v="ASSAULT-BOD INJ-FAMILY MEMBER"/>
    <m/>
    <s v="F3"/>
    <s v="ASLT-MURDR"/>
    <s v="10/2/12 fugitive hold pend "/>
    <m/>
    <m/>
    <m/>
    <m/>
    <m/>
    <m/>
    <m/>
    <m/>
    <s v="Appointed Attorney"/>
    <m/>
    <m/>
    <n v="116"/>
    <n v="116"/>
    <n v="117"/>
    <n v="30.538251366120218"/>
    <n v="0"/>
    <n v="0"/>
    <s v="CONVICTION"/>
    <x v="0"/>
    <s v="N"/>
    <m/>
    <s v="CONVICTION"/>
    <s v="Y"/>
    <x v="0"/>
    <x v="0"/>
    <s v="Y"/>
    <n v="0.99145299145299148"/>
    <n v="1"/>
    <n v="8.5470085470085166E-3"/>
    <n v="0"/>
    <n v="-116"/>
    <n v="0"/>
    <n v="116"/>
    <e v="#VALUE!"/>
    <n v="116"/>
    <n v="0"/>
    <m/>
    <m/>
    <s v="Y"/>
    <m/>
    <s v="91-120 DAYS"/>
    <n v="0"/>
    <x v="0"/>
  </r>
  <r>
    <n v="1660"/>
    <s v="N"/>
    <s v="N"/>
    <n v="1946238"/>
    <n v="4"/>
    <d v="2012-03-06T00:00:00"/>
    <d v="2012-03-12T00:00:00"/>
    <n v="1946238"/>
    <d v="2012-03-07T00:00:00"/>
    <d v="2012-03-12T00:00:00"/>
    <s v="NO BOND"/>
    <x v="1"/>
    <m/>
    <s v="N"/>
    <s v="NONE"/>
    <s v="GUILTY PLEA - NO JURY"/>
    <n v="6"/>
    <n v="7"/>
    <n v="1"/>
    <n v="3"/>
    <m/>
    <m/>
    <m/>
    <m/>
    <m/>
    <m/>
    <m/>
    <m/>
    <m/>
    <d v="1984-02-18T00:00:00"/>
    <s v="F"/>
    <s v="B"/>
    <s v="BLACK"/>
    <s v="NON-HISPANIC"/>
    <s v="263"/>
    <s v="CONVICTED"/>
    <n v="2"/>
    <s v="HCJ"/>
    <m/>
    <m/>
    <n v="365"/>
    <s v="INJURY CHILD UNDER 15 YOA"/>
    <m/>
    <s v="F3"/>
    <s v="OTHER FEL"/>
    <m/>
    <m/>
    <m/>
    <m/>
    <m/>
    <m/>
    <m/>
    <m/>
    <m/>
    <s v="Appointed Attorney"/>
    <m/>
    <m/>
    <n v="6"/>
    <n v="6"/>
    <n v="7"/>
    <n v="27.989071038251367"/>
    <n v="0"/>
    <n v="0"/>
    <s v="CONVICTION"/>
    <x v="0"/>
    <s v="N"/>
    <m/>
    <s v="CONVICTION"/>
    <s v="Y"/>
    <x v="0"/>
    <x v="0"/>
    <s v="Y"/>
    <n v="0.8571428571428571"/>
    <n v="1"/>
    <n v="0.1428571428571429"/>
    <n v="0"/>
    <n v="-6"/>
    <n v="0"/>
    <n v="6"/>
    <e v="#VALUE!"/>
    <n v="6"/>
    <n v="0"/>
    <m/>
    <m/>
    <s v="Y"/>
    <m/>
    <s v="0-10 DAYS"/>
    <n v="1"/>
    <x v="0"/>
  </r>
  <r>
    <n v="2684"/>
    <s v="N"/>
    <s v="N"/>
    <n v="1947118"/>
    <n v="3"/>
    <d v="2012-04-09T00:00:00"/>
    <d v="2013-01-29T00:00:00"/>
    <n v="1947118"/>
    <d v="2012-04-10T00:00:00"/>
    <d v="2012-04-11T00:00:00"/>
    <n v="5000"/>
    <x v="4"/>
    <d v="2012-04-11T00:00:00"/>
    <s v="Y"/>
    <s v="SURETY"/>
    <s v="GUILTY  JURY verdict"/>
    <n v="2"/>
    <n v="296"/>
    <n v="1"/>
    <n v="2"/>
    <m/>
    <m/>
    <m/>
    <m/>
    <m/>
    <m/>
    <m/>
    <m/>
    <m/>
    <d v="1984-10-06T00:00:00"/>
    <s v="M"/>
    <s v="B"/>
    <s v="BLACK"/>
    <s v="NULL"/>
    <s v="228"/>
    <s v="CONVICTED"/>
    <n v="13"/>
    <s v="PROBATION"/>
    <m/>
    <m/>
    <n v="90"/>
    <s v="POSS CS PG 1 &lt;1G"/>
    <m/>
    <s v="FS"/>
    <s v="POSS DRUG"/>
    <m/>
    <m/>
    <m/>
    <m/>
    <m/>
    <m/>
    <m/>
    <m/>
    <m/>
    <s v="Hired Attorney"/>
    <m/>
    <m/>
    <n v="2"/>
    <n v="295"/>
    <n v="296"/>
    <n v="27.450819672131146"/>
    <n v="0"/>
    <n v="-293"/>
    <s v="CONVICTION"/>
    <x v="1"/>
    <s v="Y"/>
    <m/>
    <s v="CONVICTION"/>
    <s v="Y"/>
    <x v="1"/>
    <x v="0"/>
    <s v="Y"/>
    <n v="6.7567567567567571E-3"/>
    <n v="6.7796610169491523E-3"/>
    <n v="2.2904260192395214E-5"/>
    <n v="0"/>
    <n v="-2"/>
    <n v="0"/>
    <n v="2"/>
    <e v="#VALUE!"/>
    <n v="2"/>
    <n v="0"/>
    <m/>
    <m/>
    <s v="Y"/>
    <m/>
    <s v="0-10 DAYS"/>
    <n v="1"/>
    <x v="0"/>
  </r>
  <r>
    <n v="931"/>
    <s v="N"/>
    <s v="N"/>
    <n v="1947508"/>
    <n v="6"/>
    <d v="2012-02-04T00:00:00"/>
    <d v="2012-04-24T00:00:00"/>
    <n v="1947508"/>
    <s v="NOT BOOKED"/>
    <m/>
    <n v="20000"/>
    <x v="0"/>
    <d v="2012-02-05T00:00:00"/>
    <s v="Y"/>
    <s v="SURETY"/>
    <s v="GUILTY PLEA - NO JURY"/>
    <n v="0"/>
    <n v="81"/>
    <n v="1"/>
    <n v="0"/>
    <n v="1"/>
    <m/>
    <m/>
    <m/>
    <m/>
    <m/>
    <m/>
    <m/>
    <m/>
    <d v="1981-02-12T00:00:00"/>
    <s v="M"/>
    <s v="H"/>
    <s v="HISPANIC"/>
    <s v="HISPANIC"/>
    <s v="262"/>
    <s v="CONVICTED"/>
    <n v="5"/>
    <s v="TDC"/>
    <n v="5"/>
    <m/>
    <m/>
    <s v="POSS CS PG 1 4G - 200G"/>
    <m/>
    <s v="F2"/>
    <s v="POSS DRUG"/>
    <m/>
    <m/>
    <m/>
    <m/>
    <m/>
    <m/>
    <m/>
    <m/>
    <m/>
    <s v="Hired Attorney"/>
    <m/>
    <m/>
    <n v="0"/>
    <n v="0"/>
    <n v="81"/>
    <n v="30.912568306010929"/>
    <n v="40944"/>
    <n v="-41023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3202"/>
    <s v="N"/>
    <s v="N"/>
    <n v="1948297"/>
    <n v="2"/>
    <d v="2012-04-27T00:00:00"/>
    <d v="2012-11-28T00:00:00"/>
    <n v="1948297"/>
    <s v="NOT BOOKED"/>
    <s v="NOT BOOKED"/>
    <n v="5000"/>
    <x v="4"/>
    <d v="2012-05-01T00:00:00"/>
    <s v="Y"/>
    <s v="SURETY"/>
    <s v="DEFERRED ADJUDICATION "/>
    <n v="0"/>
    <n v="216"/>
    <n v="0"/>
    <n v="0"/>
    <m/>
    <m/>
    <m/>
    <m/>
    <m/>
    <m/>
    <m/>
    <m/>
    <m/>
    <d v="1974-05-15T00:00:00"/>
    <s v="F"/>
    <s v="W"/>
    <s v="WHITE"/>
    <s v="NULL"/>
    <s v="182"/>
    <s v="DEFERRED"/>
    <n v="8"/>
    <s v="DEFERR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216"/>
    <n v="37.874316939890711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584"/>
    <s v="N"/>
    <s v="Y"/>
    <n v="1948460"/>
    <n v="6"/>
    <d v="2012-02-28T00:00:00"/>
    <d v="2012-10-03T00:00:00"/>
    <n v="1948460"/>
    <d v="2012-02-29T00:00:00"/>
    <d v="2012-03-30T00:00:00"/>
    <n v="60000"/>
    <x v="2"/>
    <d v="2012-03-30T00:00:00"/>
    <s v="Y"/>
    <s v="SURETYPTRc"/>
    <s v="GUILTY PLEA - NO JURY"/>
    <n v="31"/>
    <n v="219"/>
    <n v="4"/>
    <n v="0"/>
    <n v="3"/>
    <m/>
    <m/>
    <m/>
    <m/>
    <m/>
    <m/>
    <m/>
    <m/>
    <d v="1985-11-15T00:00:00"/>
    <s v="M"/>
    <s v="B"/>
    <s v="BLACK"/>
    <s v="NON-HISPANIC"/>
    <s v="230"/>
    <s v="CONVICTED"/>
    <n v="10"/>
    <s v="TDC"/>
    <n v="9"/>
    <m/>
    <m/>
    <s v="POSS W/INT DEL CS PG1&gt;=4 &lt;200"/>
    <m/>
    <s v="F1"/>
    <s v="SALE DRUG"/>
    <m/>
    <s v="9/4/12 revOKE  REINSTATED 9/13/12"/>
    <m/>
    <m/>
    <s v="Y"/>
    <m/>
    <m/>
    <m/>
    <m/>
    <s v="Hired Attorney"/>
    <m/>
    <m/>
    <n v="31"/>
    <n v="218"/>
    <n v="219"/>
    <n v="26.23224043715847"/>
    <n v="0"/>
    <n v="-187"/>
    <s v="CONVICTION"/>
    <x v="1"/>
    <s v="Y"/>
    <m/>
    <s v="CONVICTION"/>
    <s v="Y"/>
    <x v="1"/>
    <x v="0"/>
    <s v="Y"/>
    <n v="0.14155251141552511"/>
    <n v="0.14220183486238533"/>
    <n v="6.493234468602227E-4"/>
    <n v="0"/>
    <n v="-31"/>
    <n v="0"/>
    <n v="31"/>
    <e v="#VALUE!"/>
    <m/>
    <n v="187"/>
    <m/>
    <m/>
    <s v="Y"/>
    <m/>
    <s v="31-60 DAYS"/>
    <n v="3"/>
    <x v="0"/>
  </r>
  <r>
    <n v="3041"/>
    <s v="N"/>
    <s v="N"/>
    <n v="1948614"/>
    <n v="1"/>
    <d v="2012-04-22T00:00:00"/>
    <d v="2012-09-11T00:00:00"/>
    <n v="1948614"/>
    <s v="NOT BOOKED"/>
    <s v="NOT BOOKED"/>
    <n v="2000"/>
    <x v="5"/>
    <d v="2012-04-23T00:00:00"/>
    <s v="Y"/>
    <s v="SURETY"/>
    <s v="DISMISSED"/>
    <n v="0"/>
    <n v="143"/>
    <n v="0"/>
    <n v="1"/>
    <m/>
    <m/>
    <m/>
    <m/>
    <m/>
    <m/>
    <m/>
    <s v="S"/>
    <m/>
    <d v="1984-03-08T00:00:00"/>
    <s v="M"/>
    <s v="H"/>
    <s v="HISPANIC"/>
    <s v="NULL"/>
    <s v="182"/>
    <s v="DISMISSED"/>
    <n v="5"/>
    <s v="DISMISSED"/>
    <m/>
    <m/>
    <m/>
    <s v="CREDIT/DEBIT CARD ABUSE"/>
    <m/>
    <s v="FS"/>
    <s v="OTHER FEL"/>
    <m/>
    <m/>
    <m/>
    <m/>
    <m/>
    <m/>
    <m/>
    <m/>
    <m/>
    <s v="Hired Attorney"/>
    <m/>
    <m/>
    <n v="0"/>
    <n v="0"/>
    <n v="143"/>
    <n v="28.065573770491802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3171"/>
    <s v="N"/>
    <s v="N"/>
    <n v="1948625"/>
    <n v="6"/>
    <d v="2012-04-26T00:00:00"/>
    <d v="2013-06-17T00:00:00"/>
    <n v="1948625"/>
    <d v="2012-05-04T00:00:00"/>
    <d v="2013-06-17T00:00:00"/>
    <n v="75000"/>
    <x v="2"/>
    <m/>
    <s v="N"/>
    <s v="NONE"/>
    <s v="GUILTY PLEA - NO JURY"/>
    <n v="410"/>
    <n v="418"/>
    <n v="5"/>
    <n v="8"/>
    <n v="4"/>
    <m/>
    <m/>
    <m/>
    <m/>
    <m/>
    <m/>
    <s v="S"/>
    <m/>
    <d v="1984-09-09T00:00:00"/>
    <s v="M"/>
    <s v="H"/>
    <s v="HISPANIC"/>
    <s v="NULL"/>
    <s v="338"/>
    <s v="CONVICTED"/>
    <n v="10"/>
    <s v="TDC"/>
    <n v="15"/>
    <m/>
    <m/>
    <s v="BURG W-INTENT-COMMIT OTHER FEL"/>
    <m/>
    <s v="F1"/>
    <s v="BURGLARY"/>
    <m/>
    <m/>
    <m/>
    <m/>
    <m/>
    <m/>
    <m/>
    <m/>
    <m/>
    <s v="Appointed Attorney"/>
    <m/>
    <m/>
    <n v="410"/>
    <n v="410"/>
    <n v="418"/>
    <n v="27.571038251366119"/>
    <n v="0"/>
    <n v="0"/>
    <s v="CONVICTION"/>
    <x v="0"/>
    <m/>
    <m/>
    <s v="CONVICTION"/>
    <s v="Y"/>
    <x v="0"/>
    <x v="0"/>
    <s v="Y"/>
    <n v="0.98086124401913877"/>
    <n v="1"/>
    <n v="1.9138755980861233E-2"/>
    <n v="0"/>
    <n v="-410"/>
    <n v="0"/>
    <n v="410"/>
    <e v="#VALUE!"/>
    <n v="410"/>
    <n v="0"/>
    <m/>
    <m/>
    <s v="Y"/>
    <m/>
    <s v=" &gt;1YRS&lt;2YRS"/>
    <n v="0"/>
    <x v="0"/>
  </r>
  <r>
    <n v="484"/>
    <s v="N"/>
    <s v="N"/>
    <n v="1949284"/>
    <n v="2"/>
    <d v="2012-01-20T00:00:00"/>
    <d v="2012-03-19T00:00:00"/>
    <n v="1949284"/>
    <d v="2012-03-05T00:00:00"/>
    <d v="2012-03-19T00:00:00"/>
    <s v="NO BOND"/>
    <x v="1"/>
    <m/>
    <s v="N"/>
    <s v="NONE"/>
    <s v="DEFERRED ADJUDICATION "/>
    <n v="15"/>
    <n v="60"/>
    <n v="0"/>
    <n v="1"/>
    <m/>
    <m/>
    <m/>
    <m/>
    <m/>
    <m/>
    <m/>
    <s v="S"/>
    <m/>
    <d v="1980-09-03T00:00:00"/>
    <s v="M"/>
    <s v="H"/>
    <s v="HISPANIC"/>
    <s v="NULL"/>
    <s v="248"/>
    <s v="DEFERRED"/>
    <n v="4"/>
    <s v="DEFERRED"/>
    <m/>
    <m/>
    <m/>
    <s v="INTERFERE CHILD CUSTODY"/>
    <m/>
    <s v="FS"/>
    <s v="OTHER FEL"/>
    <m/>
    <m/>
    <m/>
    <m/>
    <m/>
    <m/>
    <m/>
    <m/>
    <m/>
    <s v="Hired Attorney"/>
    <m/>
    <m/>
    <n v="15"/>
    <n v="15"/>
    <n v="60"/>
    <n v="31.314207650273225"/>
    <n v="0"/>
    <n v="0"/>
    <s v="DEFERRED"/>
    <x v="0"/>
    <s v="N"/>
    <m/>
    <s v="DEFERRED"/>
    <s v="Y"/>
    <x v="0"/>
    <x v="0"/>
    <s v="N"/>
    <n v="0.25"/>
    <n v="1"/>
    <n v="0.75"/>
    <n v="0"/>
    <n v="-15"/>
    <n v="0"/>
    <n v="15"/>
    <e v="#VALUE!"/>
    <n v="15"/>
    <n v="0"/>
    <m/>
    <m/>
    <s v="Y"/>
    <m/>
    <s v="11-30 DAYS"/>
    <n v="2"/>
    <x v="0"/>
  </r>
  <r>
    <n v="1805"/>
    <s v="N"/>
    <s v="N"/>
    <n v="1950112"/>
    <n v="4"/>
    <d v="2012-03-08T00:00:00"/>
    <d v="2012-03-12T00:00:00"/>
    <n v="1950112"/>
    <d v="2012-03-08T00:00:00"/>
    <d v="2012-03-12T00:00:00"/>
    <n v="15000"/>
    <x v="0"/>
    <m/>
    <s v="N"/>
    <s v="NONE"/>
    <s v="GUILTY PLEA - NO JURY"/>
    <n v="5"/>
    <n v="5"/>
    <n v="3"/>
    <n v="1"/>
    <n v="3"/>
    <m/>
    <m/>
    <m/>
    <m/>
    <m/>
    <m/>
    <m/>
    <m/>
    <d v="1985-07-25T00:00:00"/>
    <s v="M"/>
    <s v="B"/>
    <s v="BLACK"/>
    <s v="NON-HISPANIC"/>
    <s v="174"/>
    <s v="CONVICTED"/>
    <n v="2"/>
    <s v="HCJ"/>
    <m/>
    <m/>
    <n v="365"/>
    <s v="POSS CS PG 1 &lt;1G"/>
    <m/>
    <s v="FS"/>
    <s v="POSS DRUG"/>
    <m/>
    <m/>
    <m/>
    <m/>
    <m/>
    <m/>
    <m/>
    <m/>
    <m/>
    <s v="Appointed Attorney"/>
    <m/>
    <m/>
    <n v="5"/>
    <n v="5"/>
    <n v="5"/>
    <n v="26.565573770491802"/>
    <n v="0"/>
    <n v="0"/>
    <s v="CONVICTION"/>
    <x v="0"/>
    <s v="N"/>
    <m/>
    <s v="CONVICTION"/>
    <s v="Y"/>
    <x v="0"/>
    <x v="0"/>
    <s v="Y"/>
    <n v="1"/>
    <n v="1"/>
    <n v="0"/>
    <n v="0"/>
    <n v="-5"/>
    <n v="0"/>
    <n v="5"/>
    <e v="#VALUE!"/>
    <n v="5"/>
    <n v="0"/>
    <m/>
    <m/>
    <s v="Y"/>
    <m/>
    <s v="0-10 DAYS"/>
    <n v="1"/>
    <x v="0"/>
  </r>
  <r>
    <n v="875"/>
    <s v="N"/>
    <s v="N"/>
    <n v="1953389"/>
    <n v="2"/>
    <d v="2012-02-02T00:00:00"/>
    <d v="2014-03-14T00:00:00"/>
    <n v="1953389"/>
    <s v="NOT BOOKED"/>
    <s v="NOT BOOKED"/>
    <n v="2000"/>
    <x v="5"/>
    <d v="2013-09-21T00:00:00"/>
    <s v="Y"/>
    <s v="SURETY"/>
    <s v="DEFERRED ADJUDICATION "/>
    <n v="0"/>
    <n v="772"/>
    <n v="0"/>
    <n v="0"/>
    <m/>
    <m/>
    <m/>
    <m/>
    <m/>
    <m/>
    <m/>
    <m/>
    <m/>
    <d v="1983-02-22T00:00:00"/>
    <s v="M"/>
    <s v="W"/>
    <s v="WHITE"/>
    <s v="NULL"/>
    <s v="183"/>
    <s v="DEFERRED"/>
    <n v="8"/>
    <s v="DEFERRED"/>
    <m/>
    <m/>
    <m/>
    <s v="THEFT $1500-20K"/>
    <m/>
    <s v="FS"/>
    <s v="THEFT"/>
    <m/>
    <m/>
    <m/>
    <m/>
    <m/>
    <m/>
    <m/>
    <m/>
    <m/>
    <s v="Appointed Attorney"/>
    <m/>
    <m/>
    <n v="0"/>
    <n v="0"/>
    <n v="772"/>
    <n v="28.885245901639344"/>
    <e v="#VALUE!"/>
    <n v="0"/>
    <s v="DEFERRED"/>
    <x v="1"/>
    <s v="Y"/>
    <m/>
    <s v="DEFERRED"/>
    <n v="0"/>
    <x v="1"/>
    <x v="0"/>
    <s v="N"/>
    <n v="0"/>
    <n v="0"/>
    <n v="0"/>
    <n v="0"/>
    <e v="#VALUE!"/>
    <e v="#VALUE!"/>
    <e v="#VALUE!"/>
    <e v="#VALUE!"/>
    <n v="0"/>
    <m/>
    <m/>
    <m/>
    <s v="N"/>
    <e v="#N/A"/>
    <s v="0-10 DAYS"/>
    <n v="1"/>
    <x v="1"/>
  </r>
  <r>
    <n v="3105"/>
    <s v="N"/>
    <s v="N"/>
    <n v="1953469"/>
    <n v="6"/>
    <d v="2012-04-24T00:00:00"/>
    <d v="2012-07-20T00:00:00"/>
    <n v="1953469"/>
    <d v="2012-04-25T00:00:00"/>
    <d v="2012-07-20T00:00:00"/>
    <n v="5000"/>
    <x v="4"/>
    <m/>
    <s v="N"/>
    <s v="NONE"/>
    <s v="GUILTY PLEA - NO JURY"/>
    <n v="87"/>
    <n v="88"/>
    <n v="4"/>
    <n v="2"/>
    <n v="2"/>
    <m/>
    <m/>
    <m/>
    <m/>
    <m/>
    <m/>
    <m/>
    <m/>
    <d v="1984-06-20T00:00:00"/>
    <s v="M"/>
    <s v="W"/>
    <s v="WHITE"/>
    <s v="NULL"/>
    <s v="338"/>
    <s v="CONVICTED"/>
    <n v="5"/>
    <s v="TDC"/>
    <n v="2"/>
    <m/>
    <m/>
    <s v="UNAUTH USE OF VEHICLE"/>
    <m/>
    <s v="FS"/>
    <s v="AUTO THEFT"/>
    <m/>
    <m/>
    <m/>
    <m/>
    <m/>
    <m/>
    <m/>
    <m/>
    <m/>
    <s v="Hired Attorney"/>
    <m/>
    <m/>
    <n v="87"/>
    <n v="87"/>
    <n v="88"/>
    <n v="27.78688524590164"/>
    <n v="0"/>
    <n v="0"/>
    <s v="CONVICTION"/>
    <x v="0"/>
    <s v="N"/>
    <m/>
    <s v="CONVICTION"/>
    <s v="Y"/>
    <x v="0"/>
    <x v="0"/>
    <s v="Y"/>
    <n v="0.98863636363636365"/>
    <n v="1"/>
    <n v="1.1363636363636354E-2"/>
    <n v="0"/>
    <n v="-87"/>
    <n v="0"/>
    <n v="87"/>
    <e v="#VALUE!"/>
    <n v="87"/>
    <n v="0"/>
    <m/>
    <m/>
    <s v="Y"/>
    <m/>
    <s v="61-90 DAYS"/>
    <n v="4"/>
    <x v="0"/>
  </r>
  <r>
    <n v="2965"/>
    <s v="N"/>
    <s v="N"/>
    <n v="1954511"/>
    <n v="5"/>
    <d v="2012-04-19T00:00:00"/>
    <d v="2012-04-20T00:00:00"/>
    <n v="1954511"/>
    <d v="2012-04-19T00:00:00"/>
    <d v="2012-04-20T00:00:00"/>
    <n v="15000"/>
    <x v="0"/>
    <m/>
    <s v="N"/>
    <s v="NONE"/>
    <s v="GUILTY PLEA - NO JURY"/>
    <n v="2"/>
    <n v="2"/>
    <n v="2"/>
    <n v="2"/>
    <n v="4"/>
    <m/>
    <m/>
    <m/>
    <m/>
    <m/>
    <m/>
    <m/>
    <m/>
    <d v="1972-11-07T00:00:00"/>
    <s v="M"/>
    <s v="W"/>
    <s v="WHITE"/>
    <s v="NULL"/>
    <s v="248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2"/>
    <n v="2"/>
    <n v="2"/>
    <n v="39.366120218579233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449"/>
    <s v="N"/>
    <s v="N"/>
    <n v="1955962"/>
    <n v="6"/>
    <d v="2012-01-19T00:00:00"/>
    <d v="2013-03-20T00:00:00"/>
    <n v="1955962"/>
    <d v="2012-01-27T00:00:00"/>
    <d v="2013-03-20T00:00:00"/>
    <n v="500000"/>
    <x v="2"/>
    <m/>
    <s v="N"/>
    <s v="NONE"/>
    <s v="GUILTY PLEA - NO JURY"/>
    <n v="419"/>
    <n v="427"/>
    <n v="1"/>
    <n v="7"/>
    <m/>
    <m/>
    <m/>
    <m/>
    <m/>
    <m/>
    <m/>
    <m/>
    <m/>
    <d v="1985-08-30T00:00:00"/>
    <s v="M"/>
    <s v="B"/>
    <s v="BLACK"/>
    <s v="NULL"/>
    <s v="337"/>
    <s v="CONVICTED"/>
    <n v="16"/>
    <s v="TDC"/>
    <n v="20"/>
    <m/>
    <m/>
    <s v="AGG ROBBERY-DEADLY WPN"/>
    <m/>
    <s v="F1"/>
    <s v="ROBBERY"/>
    <m/>
    <m/>
    <m/>
    <m/>
    <m/>
    <m/>
    <m/>
    <m/>
    <m/>
    <s v="Public Defender"/>
    <m/>
    <m/>
    <n v="419"/>
    <n v="419"/>
    <n v="427"/>
    <n v="26.333333333333332"/>
    <n v="0"/>
    <n v="0"/>
    <s v="CONVICTION"/>
    <x v="0"/>
    <s v="N"/>
    <m/>
    <s v="CONVICTION"/>
    <s v="Y"/>
    <x v="0"/>
    <x v="0"/>
    <s v="Y"/>
    <n v="0.9812646370023419"/>
    <n v="1"/>
    <n v="1.87353629976581E-2"/>
    <n v="0"/>
    <n v="-419"/>
    <n v="0"/>
    <n v="419"/>
    <e v="#VALUE!"/>
    <n v="419"/>
    <n v="0"/>
    <m/>
    <m/>
    <s v="Y"/>
    <m/>
    <s v=" &gt;1YRS&lt;2YRS"/>
    <n v="0"/>
    <x v="0"/>
  </r>
  <r>
    <n v="2275"/>
    <s v="N"/>
    <s v="N"/>
    <n v="1957734"/>
    <n v="5"/>
    <d v="2012-03-27T00:00:00"/>
    <d v="2012-06-12T00:00:00"/>
    <n v="1957734"/>
    <d v="2012-03-27T00:00:00"/>
    <d v="2012-06-12T00:00:00"/>
    <n v="15000"/>
    <x v="0"/>
    <m/>
    <s v="N"/>
    <s v="NONE"/>
    <s v="GUILTY PLEA - NO JURY"/>
    <n v="78"/>
    <n v="78"/>
    <n v="3"/>
    <n v="6"/>
    <n v="2"/>
    <m/>
    <m/>
    <m/>
    <m/>
    <m/>
    <m/>
    <m/>
    <m/>
    <d v="1985-06-29T00:00:00"/>
    <s v="M"/>
    <s v="W"/>
    <s v="WHITE"/>
    <s v="NULL"/>
    <s v="176"/>
    <s v="CONVICTED"/>
    <n v="3"/>
    <s v="STJ"/>
    <m/>
    <n v="6"/>
    <m/>
    <s v="POSS CS PG 1 &lt;1G"/>
    <m/>
    <s v="FS"/>
    <s v="POSS DRUG"/>
    <m/>
    <m/>
    <m/>
    <m/>
    <m/>
    <m/>
    <m/>
    <m/>
    <m/>
    <s v="Appointed Attorney"/>
    <m/>
    <m/>
    <n v="78"/>
    <n v="78"/>
    <n v="78"/>
    <n v="26.688524590163933"/>
    <n v="0"/>
    <n v="0"/>
    <s v="CONVICTION"/>
    <x v="0"/>
    <s v="N"/>
    <m/>
    <s v="CONVICTION"/>
    <s v="Y"/>
    <x v="0"/>
    <x v="0"/>
    <s v="Y"/>
    <n v="1"/>
    <n v="1"/>
    <n v="0"/>
    <n v="0"/>
    <n v="-78"/>
    <n v="0"/>
    <n v="78"/>
    <e v="#VALUE!"/>
    <n v="78"/>
    <n v="0"/>
    <m/>
    <m/>
    <s v="Y"/>
    <m/>
    <s v="61-90 DAYS"/>
    <n v="4"/>
    <x v="0"/>
  </r>
  <r>
    <n v="3008"/>
    <s v="N"/>
    <s v="N"/>
    <n v="1958599"/>
    <n v="2"/>
    <d v="2012-04-20T00:00:00"/>
    <d v="2012-08-23T00:00:00"/>
    <n v="1958599"/>
    <d v="2012-04-21T00:00:00"/>
    <d v="2012-04-22T00:00:00"/>
    <n v="2000"/>
    <x v="5"/>
    <d v="2012-04-22T00:00:00"/>
    <s v="Y"/>
    <s v="SURETY"/>
    <s v="DEFERRED ADJUDICATION "/>
    <n v="2"/>
    <n v="126"/>
    <n v="0"/>
    <n v="2"/>
    <m/>
    <m/>
    <m/>
    <m/>
    <m/>
    <m/>
    <m/>
    <m/>
    <m/>
    <d v="1983-01-18T00:00:00"/>
    <s v="F"/>
    <s v="B"/>
    <s v="BLACK"/>
    <s v="NULL"/>
    <s v="339"/>
    <s v="DEFERRED"/>
    <n v="5"/>
    <s v="DEFERRED"/>
    <m/>
    <m/>
    <m/>
    <s v="ABAN/ENDANG CHILD W/INT TO RET"/>
    <m/>
    <s v="FS"/>
    <s v="OTHER FEL"/>
    <m/>
    <m/>
    <m/>
    <m/>
    <m/>
    <m/>
    <m/>
    <m/>
    <m/>
    <s v="Hired Attorney"/>
    <m/>
    <m/>
    <n v="2"/>
    <n v="125"/>
    <n v="126"/>
    <n v="29.193989071038253"/>
    <n v="0"/>
    <n v="-123"/>
    <s v="DEFERRED"/>
    <x v="1"/>
    <s v="Y"/>
    <m/>
    <s v="DEFERRED"/>
    <s v="Y"/>
    <x v="1"/>
    <x v="0"/>
    <s v="N"/>
    <n v="1.5873015873015872E-2"/>
    <n v="1.6E-2"/>
    <n v="1.269841269841282E-4"/>
    <n v="0"/>
    <n v="-2"/>
    <n v="0"/>
    <n v="2"/>
    <e v="#VALUE!"/>
    <n v="2"/>
    <n v="0"/>
    <m/>
    <m/>
    <s v="Y"/>
    <m/>
    <s v="0-10 DAYS"/>
    <n v="1"/>
    <x v="0"/>
  </r>
  <r>
    <n v="1062"/>
    <s v="N"/>
    <s v="N"/>
    <n v="1958608"/>
    <n v="4"/>
    <d v="2012-02-09T00:00:00"/>
    <d v="2012-07-06T00:00:00"/>
    <n v="1958608"/>
    <d v="2012-02-09T00:00:00"/>
    <d v="2012-02-17T00:00:00"/>
    <n v="5000"/>
    <x v="4"/>
    <d v="2012-02-17T00:00:00"/>
    <s v="Y"/>
    <s v="SURETYPTRc"/>
    <s v="GUILTY PLEA - NO JURY"/>
    <n v="9"/>
    <n v="149"/>
    <n v="0"/>
    <n v="1"/>
    <m/>
    <m/>
    <m/>
    <m/>
    <m/>
    <m/>
    <m/>
    <m/>
    <m/>
    <d v="1962-01-14T00:00:00"/>
    <s v="M"/>
    <s v="W"/>
    <s v="WHITE"/>
    <s v="NULL"/>
    <s v="177"/>
    <s v="CONVICTED"/>
    <n v="6"/>
    <s v="HCJ"/>
    <m/>
    <m/>
    <n v="90"/>
    <s v="DWI 3RD OFFENDER BAC .08"/>
    <m/>
    <s v="F3"/>
    <s v="FEL DWI"/>
    <m/>
    <m/>
    <m/>
    <m/>
    <m/>
    <m/>
    <m/>
    <m/>
    <m/>
    <s v="Appointed Attorney"/>
    <m/>
    <m/>
    <n v="9"/>
    <n v="149"/>
    <n v="149"/>
    <n v="49.967213114754095"/>
    <n v="0"/>
    <n v="-140"/>
    <s v="CONVICTION"/>
    <x v="1"/>
    <s v="Y"/>
    <m/>
    <s v="CONVICTION"/>
    <s v="Y"/>
    <x v="1"/>
    <x v="0"/>
    <s v="N"/>
    <n v="6.0402684563758392E-2"/>
    <n v="6.0402684563758392E-2"/>
    <n v="0"/>
    <n v="0"/>
    <n v="-9"/>
    <n v="0"/>
    <n v="9"/>
    <e v="#VALUE!"/>
    <n v="9"/>
    <n v="0"/>
    <m/>
    <m/>
    <s v="Y"/>
    <m/>
    <s v="0-10 DAYS"/>
    <n v="1"/>
    <x v="0"/>
  </r>
  <r>
    <n v="3036"/>
    <s v="Y"/>
    <s v="Y"/>
    <n v="1959517"/>
    <n v="2"/>
    <d v="2012-04-22T00:00:00"/>
    <d v="2014-01-21T00:00:00"/>
    <n v="1959517"/>
    <d v="2012-04-22T00:00:00"/>
    <d v="2012-04-26T00:00:00"/>
    <n v="15000"/>
    <x v="0"/>
    <d v="2012-04-26T00:00:00"/>
    <s v="Y"/>
    <s v="SURETY"/>
    <s v="DEFERRED ADJUDICATION "/>
    <n v="137"/>
    <n v="640"/>
    <n v="2"/>
    <n v="0"/>
    <m/>
    <m/>
    <m/>
    <m/>
    <m/>
    <m/>
    <m/>
    <m/>
    <m/>
    <d v="1957-12-27T00:00:00"/>
    <s v="M"/>
    <s v="B"/>
    <s v="BLACK"/>
    <s v="NON-HISPANIC"/>
    <s v="339"/>
    <s v="DEFERRED"/>
    <n v="16"/>
    <s v="DEFERRED"/>
    <m/>
    <m/>
    <m/>
    <s v="POSS CS PG 1 &lt;1G"/>
    <m/>
    <s v="FS"/>
    <s v="POSS DRUG"/>
    <s v="drug viola 3/27/15  mag dism"/>
    <s v="ext cop"/>
    <m/>
    <m/>
    <s v="Y"/>
    <m/>
    <m/>
    <m/>
    <m/>
    <s v="Appointed Attorney"/>
    <s v="drug vio maj dism ext cop"/>
    <m/>
    <n v="137"/>
    <n v="640"/>
    <n v="640"/>
    <n v="54.207650273224047"/>
    <n v="0"/>
    <n v="-635"/>
    <s v="DEFERRED"/>
    <x v="1"/>
    <s v="Y"/>
    <m/>
    <s v="DEFERRED"/>
    <s v="Y"/>
    <x v="1"/>
    <x v="0"/>
    <s v="Y"/>
    <n v="0.21406249999999999"/>
    <n v="0.21410000000000001"/>
    <n v="0"/>
    <n v="0"/>
    <n v="-5"/>
    <n v="132"/>
    <n v="137"/>
    <e v="#VALUE!"/>
    <n v="137"/>
    <m/>
    <m/>
    <m/>
    <s v="Y"/>
    <e v="#N/A"/>
    <s v="121-365 DAYS"/>
    <n v="6"/>
    <x v="0"/>
  </r>
  <r>
    <n v="1246"/>
    <s v="N"/>
    <s v="N"/>
    <n v="1960356"/>
    <n v="6"/>
    <d v="2012-02-15T00:00:00"/>
    <d v="2012-02-17T00:00:00"/>
    <n v="1960356"/>
    <d v="2012-02-16T00:00:00"/>
    <d v="2012-02-17T00:00:00"/>
    <n v="15000"/>
    <x v="0"/>
    <m/>
    <s v="N"/>
    <s v="NONE"/>
    <s v="GUILTY PLEA - NO JURY"/>
    <n v="2"/>
    <n v="3"/>
    <n v="6"/>
    <n v="11"/>
    <n v="4"/>
    <m/>
    <m/>
    <m/>
    <m/>
    <m/>
    <m/>
    <m/>
    <m/>
    <d v="1983-06-18T00:00:00"/>
    <s v="M"/>
    <s v="H"/>
    <s v="HISPANIC"/>
    <s v="HISPANIC"/>
    <s v="179"/>
    <s v="CONVICTED"/>
    <n v="1"/>
    <s v="TDC"/>
    <n v="2"/>
    <m/>
    <m/>
    <s v="BURGLARY OF A BUILDING"/>
    <m/>
    <s v="FS"/>
    <s v="BURGLARY"/>
    <m/>
    <m/>
    <m/>
    <m/>
    <m/>
    <m/>
    <m/>
    <m/>
    <m/>
    <s v="Appointed Attorney"/>
    <m/>
    <m/>
    <n v="2"/>
    <n v="2"/>
    <n v="3"/>
    <n v="28.603825136612024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559"/>
    <s v="N"/>
    <s v="N"/>
    <n v="1961234"/>
    <n v="6"/>
    <d v="2012-01-23T00:00:00"/>
    <d v="2012-07-18T00:00:00"/>
    <n v="1961234"/>
    <d v="2012-01-23T00:00:00"/>
    <d v="2012-07-18T00:00:00"/>
    <s v="NO BOND"/>
    <x v="1"/>
    <m/>
    <s v="N"/>
    <s v="NONE"/>
    <s v="GUILTY PLEA - NO JURY"/>
    <n v="178"/>
    <n v="178"/>
    <n v="3"/>
    <n v="5"/>
    <n v="3"/>
    <m/>
    <m/>
    <m/>
    <m/>
    <m/>
    <m/>
    <m/>
    <m/>
    <d v="1984-04-03T00:00:00"/>
    <s v="M"/>
    <s v="B"/>
    <s v="BLACK"/>
    <s v="NON-HISPANIC"/>
    <s v="179"/>
    <s v="CONVICTED"/>
    <n v="9"/>
    <s v="TDC"/>
    <n v="5"/>
    <m/>
    <m/>
    <s v="AGG ROBBERY-DEADLY WPN"/>
    <m/>
    <s v="F1"/>
    <s v="ROBBERY"/>
    <m/>
    <m/>
    <m/>
    <m/>
    <m/>
    <m/>
    <m/>
    <m/>
    <m/>
    <s v="Hired Attorney"/>
    <m/>
    <m/>
    <n v="178"/>
    <n v="178"/>
    <n v="178"/>
    <n v="27.748633879781419"/>
    <n v="0"/>
    <n v="0"/>
    <s v="CONVICTION"/>
    <x v="0"/>
    <s v="N"/>
    <m/>
    <s v="CONVICTION"/>
    <s v="Y"/>
    <x v="0"/>
    <x v="0"/>
    <s v="Y"/>
    <n v="1"/>
    <n v="1"/>
    <n v="0"/>
    <n v="0"/>
    <n v="-178"/>
    <n v="0"/>
    <n v="178"/>
    <e v="#VALUE!"/>
    <n v="178"/>
    <n v="0"/>
    <m/>
    <m/>
    <s v="Y"/>
    <m/>
    <s v="121-365 DAYS"/>
    <n v="6"/>
    <x v="0"/>
  </r>
  <r>
    <n v="1794"/>
    <s v="N"/>
    <s v="N"/>
    <n v="1962217"/>
    <n v="2"/>
    <d v="2012-03-07T00:00:00"/>
    <d v="2012-06-13T00:00:00"/>
    <n v="1962217"/>
    <d v="2012-03-08T00:00:00"/>
    <d v="2012-03-09T00:00:00"/>
    <n v="2000"/>
    <x v="5"/>
    <d v="2012-03-09T00:00:00"/>
    <s v="Y"/>
    <s v="SURETYPTRc"/>
    <s v="DEFERRED ADJUDICATION "/>
    <n v="2"/>
    <n v="99"/>
    <n v="1"/>
    <n v="3"/>
    <m/>
    <n v="1"/>
    <m/>
    <m/>
    <m/>
    <m/>
    <m/>
    <m/>
    <m/>
    <d v="1983-05-14T00:00:00"/>
    <s v="F"/>
    <s v="B"/>
    <s v="BLACK"/>
    <s v="NULL"/>
    <s v="337"/>
    <s v="DEFERRED"/>
    <n v="4"/>
    <s v="DEFERRED"/>
    <m/>
    <m/>
    <m/>
    <s v="THEFT UNDER $1500 - 3RD OFF."/>
    <m/>
    <s v="FS"/>
    <s v="THEFT"/>
    <m/>
    <m/>
    <m/>
    <m/>
    <m/>
    <m/>
    <m/>
    <m/>
    <m/>
    <s v="Appointed Attorney"/>
    <m/>
    <m/>
    <n v="2"/>
    <n v="98"/>
    <n v="99"/>
    <n v="28.756830601092897"/>
    <n v="0"/>
    <n v="-96"/>
    <s v="DEFERRED"/>
    <x v="1"/>
    <s v="Y"/>
    <m/>
    <s v="DEFERRED"/>
    <s v="Y"/>
    <x v="1"/>
    <x v="0"/>
    <s v="Y"/>
    <n v="2.0202020202020204E-2"/>
    <n v="2.0408163265306121E-2"/>
    <n v="2.0614306328591708E-4"/>
    <n v="0"/>
    <n v="-2"/>
    <n v="0"/>
    <n v="2"/>
    <e v="#VALUE!"/>
    <n v="2"/>
    <n v="0"/>
    <m/>
    <m/>
    <s v="Y"/>
    <m/>
    <s v="0-10 DAYS"/>
    <n v="1"/>
    <x v="0"/>
  </r>
  <r>
    <n v="2002"/>
    <s v="N"/>
    <s v="N"/>
    <n v="1962643"/>
    <n v="5"/>
    <d v="2012-03-16T00:00:00"/>
    <d v="2012-04-05T00:00:00"/>
    <n v="1962643"/>
    <d v="2012-03-16T00:00:00"/>
    <d v="2012-04-05T00:00:00"/>
    <n v="10000"/>
    <x v="3"/>
    <m/>
    <s v="N"/>
    <s v="NONE"/>
    <s v="GUILTY PLEA - NO JURY"/>
    <n v="21"/>
    <n v="21"/>
    <n v="2"/>
    <n v="4"/>
    <n v="1"/>
    <m/>
    <m/>
    <m/>
    <m/>
    <m/>
    <m/>
    <m/>
    <m/>
    <d v="1984-09-11T00:00:00"/>
    <s v="M"/>
    <s v="B"/>
    <s v="BLACK"/>
    <s v="NULL"/>
    <s v="263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21"/>
    <n v="21"/>
    <n v="21"/>
    <n v="27.453551912568305"/>
    <n v="0"/>
    <n v="0"/>
    <s v="CONVICTION"/>
    <x v="0"/>
    <s v="N"/>
    <m/>
    <s v="CONVICTION"/>
    <s v="Y"/>
    <x v="0"/>
    <x v="0"/>
    <s v="Y"/>
    <n v="1"/>
    <n v="1"/>
    <n v="0"/>
    <n v="0"/>
    <n v="-21"/>
    <n v="0"/>
    <n v="21"/>
    <e v="#VALUE!"/>
    <n v="21"/>
    <n v="0"/>
    <m/>
    <m/>
    <s v="Y"/>
    <m/>
    <s v="11-30 DAYS"/>
    <n v="2"/>
    <x v="0"/>
  </r>
  <r>
    <n v="733"/>
    <s v="N"/>
    <s v="N"/>
    <n v="1963694"/>
    <n v="6"/>
    <d v="2012-01-29T00:00:00"/>
    <d v="2012-05-03T00:00:00"/>
    <n v="1963694"/>
    <d v="2012-01-29T00:00:00"/>
    <d v="2012-05-03T00:00:00"/>
    <s v="NO BOND"/>
    <x v="1"/>
    <m/>
    <s v="N"/>
    <s v="NONE"/>
    <s v="GUILTY PLEA - NO JURY"/>
    <n v="96"/>
    <n v="96"/>
    <n v="1"/>
    <n v="4"/>
    <n v="1"/>
    <m/>
    <m/>
    <m/>
    <m/>
    <m/>
    <m/>
    <s v="S"/>
    <m/>
    <d v="1984-08-30T00:00:00"/>
    <s v="M"/>
    <s v="H"/>
    <s v="HISPANIC"/>
    <s v="NON-HISPANIC"/>
    <s v="178"/>
    <s v="CONVICTED"/>
    <n v="5"/>
    <s v="TDC"/>
    <n v="4"/>
    <m/>
    <m/>
    <s v="DWI 3RD OFFENDER BAC .08"/>
    <m/>
    <s v="F3"/>
    <s v="FEL DWI"/>
    <m/>
    <m/>
    <m/>
    <m/>
    <m/>
    <m/>
    <m/>
    <m/>
    <m/>
    <s v="Hired Attorney"/>
    <m/>
    <m/>
    <n v="96"/>
    <n v="96"/>
    <n v="96"/>
    <n v="27.357923497267759"/>
    <n v="0"/>
    <n v="0"/>
    <s v="CONVICTION"/>
    <x v="0"/>
    <s v="N"/>
    <m/>
    <s v="CONVICTION"/>
    <s v="Y"/>
    <x v="0"/>
    <x v="0"/>
    <s v="Y"/>
    <n v="1"/>
    <n v="1"/>
    <n v="0"/>
    <n v="0"/>
    <n v="-96"/>
    <n v="0"/>
    <n v="96"/>
    <e v="#VALUE!"/>
    <n v="96"/>
    <n v="0"/>
    <m/>
    <m/>
    <s v="Y"/>
    <m/>
    <s v="91-120 DAYS"/>
    <n v="0"/>
    <x v="0"/>
  </r>
  <r>
    <n v="2789"/>
    <s v="N"/>
    <s v="N"/>
    <n v="1964522"/>
    <n v="6"/>
    <d v="2012-04-13T00:00:00"/>
    <d v="2012-05-11T00:00:00"/>
    <n v="1964522"/>
    <d v="2012-04-13T00:00:00"/>
    <d v="2012-05-11T00:00:00"/>
    <n v="20000"/>
    <x v="0"/>
    <m/>
    <s v="N"/>
    <s v="NONE"/>
    <s v="GUILTY PLEA - NO JURY"/>
    <n v="29"/>
    <n v="29"/>
    <n v="1"/>
    <n v="2"/>
    <n v="1"/>
    <m/>
    <m/>
    <m/>
    <m/>
    <m/>
    <m/>
    <s v="S"/>
    <m/>
    <d v="1983-12-14T00:00:00"/>
    <s v="M"/>
    <s v="H"/>
    <s v="HISPANIC"/>
    <s v="NULL"/>
    <s v="263"/>
    <s v="CONVICTED"/>
    <n v="2"/>
    <s v="TDC"/>
    <n v="3"/>
    <m/>
    <m/>
    <s v="POSS CS PG 1 4G - 200G"/>
    <m/>
    <s v="F2"/>
    <s v="POSS DRUG"/>
    <m/>
    <m/>
    <m/>
    <m/>
    <m/>
    <m/>
    <m/>
    <m/>
    <m/>
    <s v="Appointed Attorney"/>
    <m/>
    <m/>
    <n v="29"/>
    <n v="29"/>
    <n v="29"/>
    <n v="28.273224043715846"/>
    <n v="0"/>
    <n v="0"/>
    <s v="CONVICTION"/>
    <x v="0"/>
    <s v="N"/>
    <m/>
    <s v="CONVICTION"/>
    <s v="Y"/>
    <x v="0"/>
    <x v="0"/>
    <s v="Y"/>
    <n v="1"/>
    <n v="1"/>
    <n v="0"/>
    <n v="0"/>
    <n v="-29"/>
    <n v="0"/>
    <n v="29"/>
    <e v="#VALUE!"/>
    <n v="29"/>
    <n v="0"/>
    <m/>
    <m/>
    <s v="Y"/>
    <m/>
    <s v="11-30 DAYS"/>
    <n v="2"/>
    <x v="0"/>
  </r>
  <r>
    <n v="1637"/>
    <s v="N"/>
    <s v="N"/>
    <n v="1964789"/>
    <n v="5"/>
    <d v="2012-03-01T00:00:00"/>
    <d v="2012-04-26T00:00:00"/>
    <n v="1964789"/>
    <d v="2012-03-01T00:00:00"/>
    <d v="2012-04-26T00:00:00"/>
    <s v="NO BOND"/>
    <x v="1"/>
    <m/>
    <s v="N"/>
    <s v="NONE"/>
    <s v="GUILTY PLEA - NO JURY"/>
    <n v="57"/>
    <n v="57"/>
    <n v="1"/>
    <n v="1"/>
    <n v="1"/>
    <m/>
    <m/>
    <m/>
    <m/>
    <m/>
    <m/>
    <m/>
    <m/>
    <d v="1982-05-17T00:00:00"/>
    <s v="M"/>
    <s v="W"/>
    <s v="WHITE"/>
    <s v="NULL"/>
    <s v="182"/>
    <s v="CONVICTED"/>
    <n v="3"/>
    <s v="STJ"/>
    <m/>
    <n v="7"/>
    <m/>
    <s v="FORGERY"/>
    <m/>
    <s v="FS"/>
    <s v="OTHER FEL"/>
    <m/>
    <m/>
    <m/>
    <m/>
    <m/>
    <m/>
    <m/>
    <m/>
    <m/>
    <s v="Appointed Attorney"/>
    <m/>
    <m/>
    <n v="57"/>
    <n v="57"/>
    <n v="57"/>
    <n v="29.729508196721312"/>
    <n v="0"/>
    <n v="0"/>
    <s v="CONVICTION"/>
    <x v="0"/>
    <s v="N"/>
    <m/>
    <s v="CONVICTION"/>
    <s v="Y"/>
    <x v="0"/>
    <x v="0"/>
    <s v="Y"/>
    <n v="1"/>
    <n v="1"/>
    <n v="0"/>
    <n v="0"/>
    <n v="-57"/>
    <n v="0"/>
    <n v="57"/>
    <e v="#VALUE!"/>
    <n v="57"/>
    <n v="0"/>
    <m/>
    <m/>
    <s v="Y"/>
    <m/>
    <s v="31-60 DAYS"/>
    <n v="3"/>
    <x v="0"/>
  </r>
  <r>
    <n v="3111"/>
    <s v="N"/>
    <s v="N"/>
    <n v="1964879"/>
    <n v="5"/>
    <d v="2012-04-25T00:00:00"/>
    <d v="2012-10-03T00:00:00"/>
    <n v="1964879"/>
    <s v="NOT BOOKED"/>
    <s v="NOT BOOKED"/>
    <n v="5000"/>
    <x v="4"/>
    <d v="2012-04-26T00:00:00"/>
    <s v="Y"/>
    <s v="SURETY"/>
    <s v="GUILTY PLEA - NO JURY"/>
    <n v="0"/>
    <n v="162"/>
    <n v="1"/>
    <n v="3"/>
    <n v="1"/>
    <m/>
    <m/>
    <m/>
    <m/>
    <m/>
    <m/>
    <s v="S"/>
    <m/>
    <d v="1980-03-13T00:00:00"/>
    <s v="M"/>
    <s v="H"/>
    <s v="HISPANIC"/>
    <s v="NULL"/>
    <s v="176"/>
    <s v="CONVICTED"/>
    <n v="6"/>
    <s v="STJ"/>
    <m/>
    <n v="7"/>
    <m/>
    <s v="FELON POSS WPN"/>
    <m/>
    <s v="F3"/>
    <s v="OTHER FEL"/>
    <m/>
    <m/>
    <m/>
    <m/>
    <m/>
    <m/>
    <m/>
    <m/>
    <m/>
    <s v="Hired Attorney"/>
    <m/>
    <m/>
    <n v="0"/>
    <n v="0"/>
    <n v="162"/>
    <n v="32.051912568306008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2853"/>
    <s v="N"/>
    <s v="N"/>
    <n v="1965302"/>
    <n v="3"/>
    <d v="2012-04-15T00:00:00"/>
    <d v="2012-12-10T00:00:00"/>
    <n v="1965302"/>
    <d v="2012-04-15T00:00:00"/>
    <d v="2012-04-16T00:00:00"/>
    <n v="10000"/>
    <x v="3"/>
    <d v="2012-04-16T00:00:00"/>
    <s v="Y"/>
    <s v="SURETYPTRc"/>
    <s v="GUILTY PLEA - NO JURY"/>
    <n v="2"/>
    <n v="240"/>
    <n v="0"/>
    <n v="0"/>
    <m/>
    <m/>
    <m/>
    <m/>
    <m/>
    <m/>
    <m/>
    <m/>
    <m/>
    <d v="1976-04-16T00:00:00"/>
    <s v="M"/>
    <s v="W"/>
    <s v="WHITE"/>
    <s v="NULL"/>
    <s v="178"/>
    <s v="CONVICTED"/>
    <n v="8"/>
    <s v="PROBATION"/>
    <m/>
    <m/>
    <n v="365"/>
    <s v="INTOXICATED ASSLT W/VEH SBI"/>
    <m/>
    <s v="F3"/>
    <s v="ASLT-MURDR"/>
    <m/>
    <m/>
    <m/>
    <m/>
    <m/>
    <m/>
    <m/>
    <m/>
    <m/>
    <s v="Hired Attorney"/>
    <m/>
    <m/>
    <n v="2"/>
    <n v="240"/>
    <n v="240"/>
    <n v="35.923497267759565"/>
    <n v="0"/>
    <n v="-238"/>
    <s v="CONVICTION"/>
    <x v="1"/>
    <s v="Y"/>
    <m/>
    <s v="CONVICTION"/>
    <s v="Y"/>
    <x v="1"/>
    <x v="0"/>
    <s v="N"/>
    <n v="8.3333333333333332E-3"/>
    <n v="8.3333333333333332E-3"/>
    <n v="0"/>
    <n v="0"/>
    <n v="-2"/>
    <n v="0"/>
    <n v="2"/>
    <e v="#VALUE!"/>
    <n v="2"/>
    <n v="0"/>
    <m/>
    <m/>
    <s v="N"/>
    <m/>
    <s v="0-10 DAYS"/>
    <n v="1"/>
    <x v="0"/>
  </r>
  <r>
    <n v="1492"/>
    <s v="N"/>
    <s v="N"/>
    <n v="1965582"/>
    <n v="5"/>
    <d v="2012-02-24T00:00:00"/>
    <d v="2012-02-27T00:00:00"/>
    <n v="1965582"/>
    <d v="2012-02-25T00:00:00"/>
    <d v="2012-02-27T00:00:00"/>
    <n v="30000"/>
    <x v="2"/>
    <m/>
    <s v="N"/>
    <s v="NONE"/>
    <s v="GUILTY PLEA - NO JURY"/>
    <n v="3"/>
    <n v="4"/>
    <n v="2"/>
    <n v="4"/>
    <n v="2"/>
    <m/>
    <m/>
    <m/>
    <m/>
    <m/>
    <m/>
    <m/>
    <m/>
    <d v="1980-08-23T00:00:00"/>
    <s v="M"/>
    <s v="B"/>
    <s v="BLACK"/>
    <s v="NULL"/>
    <s v="208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4"/>
    <n v="31.439890710382514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m/>
    <m/>
    <s v="Y"/>
    <m/>
    <s v="0-10 DAYS"/>
    <n v="1"/>
    <x v="0"/>
  </r>
  <r>
    <n v="1835"/>
    <s v="N"/>
    <s v="N"/>
    <n v="1966845"/>
    <n v="5"/>
    <d v="2012-03-08T00:00:00"/>
    <d v="2012-03-27T00:00:00"/>
    <n v="1966845"/>
    <d v="2012-03-09T00:00:00"/>
    <d v="2012-03-27T00:00:00"/>
    <n v="15000"/>
    <x v="0"/>
    <m/>
    <s v="N"/>
    <s v="NONE"/>
    <s v="GUILTY PLEA - NO JURY"/>
    <n v="19"/>
    <n v="20"/>
    <n v="3"/>
    <n v="10"/>
    <n v="1"/>
    <m/>
    <m/>
    <m/>
    <m/>
    <m/>
    <m/>
    <m/>
    <m/>
    <d v="1984-10-26T00:00:00"/>
    <s v="M"/>
    <s v="W"/>
    <s v="WHITE"/>
    <s v="NON-HISPANIC"/>
    <s v="351"/>
    <s v="CONVICTED"/>
    <n v="2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19"/>
    <n v="19"/>
    <n v="20"/>
    <n v="27.308743169398905"/>
    <n v="0"/>
    <n v="0"/>
    <s v="CONVICTION"/>
    <x v="0"/>
    <s v="N"/>
    <m/>
    <s v="CONVICTION"/>
    <s v="Y"/>
    <x v="0"/>
    <x v="0"/>
    <s v="Y"/>
    <n v="0.95"/>
    <n v="1"/>
    <n v="5.0000000000000044E-2"/>
    <n v="0"/>
    <n v="-19"/>
    <n v="0"/>
    <n v="19"/>
    <e v="#VALUE!"/>
    <n v="19"/>
    <n v="0"/>
    <m/>
    <m/>
    <s v="Y"/>
    <m/>
    <s v="11-30 DAYS"/>
    <n v="2"/>
    <x v="0"/>
  </r>
  <r>
    <n v="435"/>
    <s v="N"/>
    <s v="N"/>
    <n v="1967024"/>
    <n v="5"/>
    <d v="2012-01-18T00:00:00"/>
    <d v="2012-05-16T00:00:00"/>
    <n v="1967024"/>
    <d v="2012-01-19T00:00:00"/>
    <d v="2012-05-16T00:00:00"/>
    <n v="15000"/>
    <x v="0"/>
    <m/>
    <s v="N"/>
    <s v="NONE"/>
    <s v="GUILTY PLEA - NO JURY"/>
    <n v="119"/>
    <n v="120"/>
    <n v="8"/>
    <n v="4"/>
    <n v="3"/>
    <n v="3"/>
    <m/>
    <m/>
    <m/>
    <m/>
    <m/>
    <m/>
    <m/>
    <d v="1983-10-30T00:00:00"/>
    <s v="M"/>
    <s v="B"/>
    <s v="BLACK"/>
    <s v="NON-HISPANIC"/>
    <s v="208"/>
    <s v="CONVICTED"/>
    <n v="7"/>
    <s v="STJ"/>
    <m/>
    <n v="6"/>
    <m/>
    <s v="POSS MARIJ  4 OZ. - 5 LBS."/>
    <m/>
    <s v="FS"/>
    <s v="POSS DRUG"/>
    <m/>
    <m/>
    <m/>
    <m/>
    <m/>
    <m/>
    <m/>
    <m/>
    <m/>
    <s v="Hired Attorney"/>
    <m/>
    <m/>
    <n v="119"/>
    <n v="119"/>
    <n v="120"/>
    <n v="28.161202185792348"/>
    <n v="0"/>
    <n v="0"/>
    <s v="CONVICTION"/>
    <x v="0"/>
    <s v="N"/>
    <m/>
    <s v="CONVICTION"/>
    <s v="Y"/>
    <x v="0"/>
    <x v="0"/>
    <s v="Y"/>
    <n v="0.9916666666666667"/>
    <n v="1"/>
    <n v="8.3333333333333037E-3"/>
    <n v="0"/>
    <n v="-119"/>
    <n v="0"/>
    <n v="119"/>
    <e v="#VALUE!"/>
    <n v="119"/>
    <n v="0"/>
    <m/>
    <m/>
    <s v="Y"/>
    <m/>
    <s v="91-120 DAYS"/>
    <n v="0"/>
    <x v="0"/>
  </r>
  <r>
    <n v="1750"/>
    <s v="N"/>
    <s v="N"/>
    <n v="1967041"/>
    <n v="1"/>
    <d v="2012-03-06T00:00:00"/>
    <d v="2012-08-15T00:00:00"/>
    <n v="1967041"/>
    <d v="2012-03-09T00:00:00"/>
    <d v="2012-03-10T00:00:00"/>
    <n v="20000"/>
    <x v="0"/>
    <d v="2012-03-10T00:00:00"/>
    <s v="Y"/>
    <s v="CASH"/>
    <s v="DISMISSED"/>
    <n v="2"/>
    <n v="163"/>
    <n v="0"/>
    <n v="2"/>
    <m/>
    <m/>
    <m/>
    <m/>
    <m/>
    <m/>
    <m/>
    <m/>
    <m/>
    <d v="1975-09-12T00:00:00"/>
    <s v="M"/>
    <s v="W"/>
    <s v="WHITE"/>
    <s v="NULL"/>
    <s v="177"/>
    <s v="DISMISSED"/>
    <n v="8"/>
    <s v="DISMISSED"/>
    <m/>
    <m/>
    <m/>
    <s v="BURGLARY OF HABITATION"/>
    <m/>
    <s v="F2"/>
    <s v="BURGLARY"/>
    <m/>
    <m/>
    <m/>
    <m/>
    <m/>
    <m/>
    <m/>
    <m/>
    <m/>
    <s v="Hired Attorney"/>
    <m/>
    <m/>
    <n v="2"/>
    <n v="160"/>
    <n v="163"/>
    <n v="36.407103825136609"/>
    <n v="0"/>
    <n v="-158"/>
    <s v="NO CONVICTION"/>
    <x v="3"/>
    <s v="Y"/>
    <m/>
    <s v="NO CONVICTION"/>
    <s v="Y"/>
    <x v="1"/>
    <x v="0"/>
    <s v="N"/>
    <n v="1.2269938650306749E-2"/>
    <n v="1.2500000000000001E-2"/>
    <n v="2.3006134969325194E-4"/>
    <n v="0"/>
    <n v="-2"/>
    <n v="0"/>
    <n v="2"/>
    <e v="#VALUE!"/>
    <n v="2"/>
    <n v="0"/>
    <m/>
    <m/>
    <s v="Y"/>
    <m/>
    <s v="0-10 DAYS"/>
    <n v="1"/>
    <x v="0"/>
  </r>
  <r>
    <n v="1804"/>
    <s v="N"/>
    <s v="Y"/>
    <n v="1968091"/>
    <n v="6"/>
    <d v="2012-03-08T00:00:00"/>
    <d v="2012-09-21T00:00:00"/>
    <n v="1968091"/>
    <d v="2012-03-08T00:00:00"/>
    <d v="2012-03-31T00:00:00"/>
    <n v="50000"/>
    <x v="2"/>
    <d v="2012-03-31T00:00:00"/>
    <s v="Y"/>
    <s v="SURETYPTRc"/>
    <s v="GUILTY PLEA - NO JURY"/>
    <n v="24"/>
    <n v="198"/>
    <n v="5"/>
    <n v="6"/>
    <n v="3"/>
    <m/>
    <m/>
    <m/>
    <m/>
    <m/>
    <m/>
    <m/>
    <m/>
    <d v="1985-10-17T00:00:00"/>
    <s v="M"/>
    <s v="B"/>
    <s v="BLACK"/>
    <s v="NON-HISPANIC"/>
    <s v="230"/>
    <s v="CONVICTED"/>
    <n v="10"/>
    <s v="TDC"/>
    <n v="2"/>
    <m/>
    <m/>
    <s v="FELON POSS WPN"/>
    <m/>
    <s v="F3"/>
    <s v="OTHER FEL"/>
    <m/>
    <s v="rev 7/20 "/>
    <m/>
    <m/>
    <s v="Y"/>
    <m/>
    <m/>
    <m/>
    <m/>
    <s v="Hired Attorney"/>
    <m/>
    <m/>
    <n v="24"/>
    <n v="198"/>
    <n v="198"/>
    <n v="26.33606557377049"/>
    <n v="0"/>
    <n v="-174"/>
    <s v="CONVICTION"/>
    <x v="1"/>
    <s v="Y"/>
    <m/>
    <s v="CONVICTION"/>
    <s v="Y"/>
    <x v="1"/>
    <x v="0"/>
    <s v="Y"/>
    <n v="0.12121212121212122"/>
    <n v="0.12121212121212122"/>
    <n v="0"/>
    <n v="0"/>
    <n v="-24"/>
    <n v="0"/>
    <n v="24"/>
    <e v="#VALUE!"/>
    <m/>
    <n v="174"/>
    <m/>
    <m/>
    <s v="Y"/>
    <m/>
    <s v="11-30 DAYS"/>
    <n v="2"/>
    <x v="0"/>
  </r>
  <r>
    <n v="997"/>
    <s v="N"/>
    <s v="N"/>
    <n v="1968581"/>
    <n v="2"/>
    <d v="2012-02-07T00:00:00"/>
    <d v="2012-06-21T00:00:00"/>
    <n v="1968581"/>
    <d v="2012-02-07T00:00:00"/>
    <d v="2012-02-09T00:00:00"/>
    <n v="2000"/>
    <x v="5"/>
    <d v="2012-02-09T00:00:00"/>
    <s v="Y"/>
    <s v="SURETYPTRc"/>
    <s v="DEFERRED ADJUDICATION "/>
    <n v="3"/>
    <n v="136"/>
    <n v="1"/>
    <n v="0"/>
    <m/>
    <m/>
    <m/>
    <m/>
    <m/>
    <m/>
    <m/>
    <m/>
    <m/>
    <d v="1983-12-27T00:00:00"/>
    <s v="M"/>
    <s v="B"/>
    <s v="BLACK"/>
    <s v="NULL"/>
    <s v="230"/>
    <s v="DEFERRED"/>
    <n v="8"/>
    <s v="DEFERRED"/>
    <m/>
    <m/>
    <m/>
    <s v="POSS MARIJ  4 OZ. - 5 LBS."/>
    <m/>
    <s v="FS"/>
    <s v="POSS DRUG"/>
    <m/>
    <m/>
    <m/>
    <m/>
    <m/>
    <m/>
    <m/>
    <m/>
    <m/>
    <s v="Hired Attorney"/>
    <m/>
    <m/>
    <n v="3"/>
    <n v="136"/>
    <n v="136"/>
    <n v="28.057377049180328"/>
    <n v="0"/>
    <n v="-133"/>
    <s v="DEFERRED"/>
    <x v="1"/>
    <s v="Y"/>
    <m/>
    <s v="DEFERRED"/>
    <s v="Y"/>
    <x v="1"/>
    <x v="0"/>
    <s v="Y"/>
    <n v="2.2058823529411766E-2"/>
    <n v="2.2058823529411766E-2"/>
    <n v="0"/>
    <n v="0"/>
    <n v="-3"/>
    <n v="0"/>
    <n v="3"/>
    <e v="#VALUE!"/>
    <n v="3"/>
    <n v="0"/>
    <m/>
    <m/>
    <s v="Y"/>
    <m/>
    <s v="0-10 DAYS"/>
    <n v="1"/>
    <x v="0"/>
  </r>
  <r>
    <n v="3130"/>
    <s v="N"/>
    <s v="N"/>
    <n v="1969203"/>
    <n v="1"/>
    <d v="2012-04-25T00:00:00"/>
    <d v="2012-04-27T00:00:00"/>
    <n v="1969203"/>
    <d v="2012-04-25T00:00:00"/>
    <d v="2012-04-27T00:00:00"/>
    <n v="10000"/>
    <x v="3"/>
    <m/>
    <s v="N"/>
    <s v="NONE"/>
    <s v="DISMISSED"/>
    <n v="3"/>
    <n v="3"/>
    <n v="3"/>
    <n v="1"/>
    <n v="2"/>
    <m/>
    <m/>
    <m/>
    <m/>
    <m/>
    <m/>
    <m/>
    <m/>
    <d v="1976-01-14T00:00:00"/>
    <s v="M"/>
    <s v="B"/>
    <s v="BLACK"/>
    <s v="NON-HISPANIC"/>
    <s v="339"/>
    <s v="DISMISSED"/>
    <n v="1"/>
    <s v="DISMISSED"/>
    <m/>
    <m/>
    <m/>
    <s v="TAMPER/FABRICATE EVIDENCE"/>
    <m/>
    <s v="F3"/>
    <s v="OTHER FEL"/>
    <m/>
    <m/>
    <m/>
    <m/>
    <m/>
    <m/>
    <m/>
    <m/>
    <m/>
    <s v="Other/Unknown"/>
    <m/>
    <m/>
    <n v="3"/>
    <n v="3"/>
    <n v="3"/>
    <n v="36.204918032786885"/>
    <n v="0"/>
    <n v="0"/>
    <s v="NO CONVICTION"/>
    <x v="0"/>
    <s v="N"/>
    <m/>
    <s v="NO 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1784"/>
    <s v="N"/>
    <s v="N"/>
    <n v="1970810"/>
    <n v="6"/>
    <d v="2012-03-07T00:00:00"/>
    <d v="2013-12-10T00:00:00"/>
    <n v="1970810"/>
    <d v="2012-03-08T00:00:00"/>
    <d v="2013-12-10T00:00:00"/>
    <n v="200000"/>
    <x v="2"/>
    <m/>
    <s v="N"/>
    <s v="NONE"/>
    <s v="GUILTY PLEA - NO JURY"/>
    <n v="643"/>
    <n v="644"/>
    <n v="1"/>
    <n v="1"/>
    <n v="1"/>
    <m/>
    <m/>
    <m/>
    <m/>
    <m/>
    <m/>
    <s v="S"/>
    <m/>
    <d v="1968-02-07T00:00:00"/>
    <s v="M"/>
    <s v="H"/>
    <s v="HISPANIC"/>
    <s v="NULL"/>
    <s v="209"/>
    <s v="CONVICTED"/>
    <n v="19"/>
    <s v="TDC"/>
    <n v="2"/>
    <m/>
    <m/>
    <s v="AGG ASSAULT W/DEADLY WEAPON"/>
    <m/>
    <s v="F2"/>
    <s v="ASLT-MURDR"/>
    <m/>
    <m/>
    <m/>
    <m/>
    <m/>
    <m/>
    <m/>
    <m/>
    <m/>
    <s v="Appointed Attorney"/>
    <m/>
    <m/>
    <n v="643"/>
    <n v="643"/>
    <n v="644"/>
    <n v="43.989071038251367"/>
    <n v="0"/>
    <n v="0"/>
    <s v="CONVICTION"/>
    <x v="0"/>
    <s v="Y"/>
    <m/>
    <s v="CONVICTION"/>
    <s v="Y"/>
    <x v="0"/>
    <x v="0"/>
    <s v="Y"/>
    <n v="0.99844720496894412"/>
    <n v="1"/>
    <n v="1.5527950310558758E-3"/>
    <n v="0"/>
    <n v="-643"/>
    <n v="0"/>
    <n v="643"/>
    <e v="#VALUE!"/>
    <n v="643"/>
    <n v="0"/>
    <m/>
    <m/>
    <s v="Y"/>
    <m/>
    <s v=" &gt;1YRS&lt;2YRS"/>
    <n v="0"/>
    <x v="0"/>
  </r>
  <r>
    <n v="2156"/>
    <s v="N"/>
    <s v="N"/>
    <n v="1971109"/>
    <n v="5"/>
    <d v="2012-03-22T00:00:00"/>
    <d v="2012-05-23T00:00:00"/>
    <n v="1971109"/>
    <d v="2012-03-22T00:00:00"/>
    <d v="2012-05-23T00:00:00"/>
    <n v="15000"/>
    <x v="0"/>
    <m/>
    <s v="N"/>
    <s v="NONE"/>
    <s v="GUILTY PLEA - NO JURY"/>
    <n v="63"/>
    <n v="63"/>
    <n v="11"/>
    <n v="8"/>
    <n v="5"/>
    <m/>
    <m/>
    <m/>
    <m/>
    <m/>
    <m/>
    <m/>
    <m/>
    <d v="1985-06-16T00:00:00"/>
    <s v="F"/>
    <s v="B"/>
    <s v="BLACK"/>
    <s v="NON-HISPANIC"/>
    <s v="337"/>
    <s v="CONVICTED"/>
    <n v="5"/>
    <s v="STJ"/>
    <m/>
    <n v="6"/>
    <m/>
    <s v="PROSTITUTION"/>
    <m/>
    <s v="FS"/>
    <s v="OTHER FEL"/>
    <m/>
    <m/>
    <m/>
    <m/>
    <m/>
    <m/>
    <m/>
    <m/>
    <m/>
    <s v="Appointed Attorney"/>
    <m/>
    <m/>
    <n v="63"/>
    <n v="63"/>
    <n v="63"/>
    <n v="26.710382513661202"/>
    <n v="0"/>
    <n v="0"/>
    <s v="CONVICTION"/>
    <x v="0"/>
    <s v="N"/>
    <m/>
    <s v="CONVICTION"/>
    <s v="Y"/>
    <x v="0"/>
    <x v="0"/>
    <s v="Y"/>
    <n v="1"/>
    <n v="1"/>
    <n v="0"/>
    <n v="0"/>
    <n v="-63"/>
    <n v="0"/>
    <n v="63"/>
    <e v="#VALUE!"/>
    <n v="63"/>
    <n v="0"/>
    <m/>
    <m/>
    <s v="Y"/>
    <m/>
    <s v="61-90 DAYS"/>
    <n v="4"/>
    <x v="0"/>
  </r>
  <r>
    <n v="1808"/>
    <s v="N"/>
    <s v="Y"/>
    <n v="1971682"/>
    <n v="2"/>
    <d v="2012-03-08T00:00:00"/>
    <d v="2012-04-20T00:00:00"/>
    <n v="1971682"/>
    <d v="2012-03-30T00:00:00"/>
    <d v="2012-04-20T00:00:00"/>
    <n v="2000"/>
    <x v="5"/>
    <d v="2012-03-09T00:00:00"/>
    <s v="Y"/>
    <s v="SURETYPTRc"/>
    <s v="DEFERRED ADJUDICATION "/>
    <n v="22"/>
    <n v="44"/>
    <n v="0"/>
    <n v="0"/>
    <m/>
    <m/>
    <m/>
    <m/>
    <m/>
    <m/>
    <m/>
    <s v="S"/>
    <m/>
    <d v="1979-08-30T00:00:00"/>
    <s v="M"/>
    <s v="H"/>
    <s v="HISPANIC"/>
    <s v="NULL"/>
    <s v="248"/>
    <s v="DEFERRED"/>
    <n v="3"/>
    <s v="DEFERRED"/>
    <m/>
    <m/>
    <m/>
    <s v="POSS CS PG 1 &lt;1G"/>
    <m/>
    <s v="FS"/>
    <s v="POSS DRUG"/>
    <m/>
    <s v="rev 3/27/12"/>
    <m/>
    <m/>
    <s v="Y"/>
    <m/>
    <m/>
    <m/>
    <m/>
    <s v="Appointed Attorney"/>
    <m/>
    <m/>
    <n v="22"/>
    <n v="22"/>
    <n v="44"/>
    <n v="32.456284153005463"/>
    <n v="0"/>
    <n v="0"/>
    <s v="DEFERRED"/>
    <x v="1"/>
    <s v="Y"/>
    <m/>
    <s v="DEFERRED"/>
    <s v="Y"/>
    <x v="0"/>
    <x v="0"/>
    <s v="N"/>
    <n v="0.5"/>
    <n v="1"/>
    <n v="0.5"/>
    <n v="0"/>
    <n v="-22"/>
    <n v="0"/>
    <n v="22"/>
    <e v="#VALUE!"/>
    <n v="22"/>
    <n v="0"/>
    <m/>
    <m/>
    <s v="N"/>
    <m/>
    <s v="11-30 DAYS"/>
    <n v="2"/>
    <x v="0"/>
  </r>
  <r>
    <n v="1176"/>
    <s v="N"/>
    <s v="N"/>
    <n v="1971833"/>
    <n v="6"/>
    <d v="2012-02-12T00:00:00"/>
    <d v="2012-02-14T00:00:00"/>
    <n v="1971833"/>
    <d v="2012-02-12T00:00:00"/>
    <d v="2012-02-14T00:00:00"/>
    <n v="25000"/>
    <x v="2"/>
    <m/>
    <s v="N"/>
    <s v="NONE"/>
    <s v="GUILTY PLEA - NO JURY"/>
    <n v="3"/>
    <n v="3"/>
    <n v="5"/>
    <n v="1"/>
    <n v="4"/>
    <m/>
    <m/>
    <m/>
    <m/>
    <m/>
    <m/>
    <m/>
    <m/>
    <d v="1983-04-27T00:00:00"/>
    <s v="M"/>
    <s v="B"/>
    <s v="BLACK"/>
    <s v="NON-HISPANIC"/>
    <s v="174"/>
    <s v="CONVICTED"/>
    <n v="1"/>
    <s v="TDC"/>
    <n v="2"/>
    <m/>
    <m/>
    <s v="POSS CS PG 4 28-200 GRAMS"/>
    <m/>
    <s v="F3"/>
    <s v="POSS DRUG"/>
    <m/>
    <m/>
    <m/>
    <m/>
    <m/>
    <m/>
    <m/>
    <m/>
    <m/>
    <s v="Appointed Attorney"/>
    <m/>
    <m/>
    <n v="3"/>
    <n v="3"/>
    <n v="3"/>
    <n v="28.737704918032787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848"/>
    <s v="N"/>
    <s v="N"/>
    <n v="1972382"/>
    <n v="5"/>
    <d v="2012-02-01T00:00:00"/>
    <d v="2012-02-03T00:00:00"/>
    <n v="1972382"/>
    <d v="2012-02-02T00:00:00"/>
    <d v="2012-02-03T00:00:00"/>
    <n v="10000"/>
    <x v="3"/>
    <m/>
    <s v="N"/>
    <s v="NONE"/>
    <s v="GUILTY PLEA - NO JURY"/>
    <n v="2"/>
    <n v="3"/>
    <n v="4"/>
    <n v="4"/>
    <n v="3"/>
    <m/>
    <m/>
    <m/>
    <m/>
    <m/>
    <m/>
    <m/>
    <m/>
    <d v="1985-09-28T00:00:00"/>
    <s v="M"/>
    <s v="B"/>
    <s v="BLACK"/>
    <s v="NON-HISPANIC"/>
    <s v="263"/>
    <s v="CONVICTED"/>
    <n v="1"/>
    <s v="STJ"/>
    <m/>
    <n v="8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26.289617486338798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223"/>
    <s v="N"/>
    <s v="N"/>
    <n v="1973125"/>
    <n v="2"/>
    <d v="2012-01-10T00:00:00"/>
    <d v="2012-01-12T00:00:00"/>
    <n v="1973125"/>
    <d v="2012-01-11T00:00:00"/>
    <d v="2012-01-12T00:00:00"/>
    <n v="10000"/>
    <x v="3"/>
    <m/>
    <s v="N"/>
    <s v="NONE"/>
    <s v="DEFERRED ADJUDICATION "/>
    <n v="2"/>
    <n v="3"/>
    <n v="2"/>
    <n v="7"/>
    <m/>
    <m/>
    <m/>
    <m/>
    <m/>
    <m/>
    <m/>
    <s v="S"/>
    <m/>
    <d v="1985-01-10T00:00:00"/>
    <s v="M"/>
    <s v="H"/>
    <s v="HISPANIC"/>
    <s v="NULL"/>
    <s v="179"/>
    <s v="DEFERRED"/>
    <n v="1"/>
    <s v="DEFERRED"/>
    <m/>
    <m/>
    <m/>
    <s v="POSS MARIJ  4 OZ. - 5 LBS."/>
    <m/>
    <s v="FS"/>
    <s v="POSS DRUG"/>
    <m/>
    <m/>
    <m/>
    <m/>
    <m/>
    <m/>
    <m/>
    <m/>
    <m/>
    <s v="Hired Attorney"/>
    <m/>
    <m/>
    <n v="2"/>
    <n v="2"/>
    <n v="3"/>
    <n v="26.942622950819672"/>
    <n v="0"/>
    <n v="0"/>
    <s v="DEFERRED"/>
    <x v="0"/>
    <s v="N"/>
    <m/>
    <s v="DEFERRED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767"/>
    <s v="N"/>
    <s v="N"/>
    <n v="1973529"/>
    <n v="5"/>
    <d v="2012-01-30T00:00:00"/>
    <d v="2012-02-01T00:00:00"/>
    <n v="1973529"/>
    <d v="2012-01-31T00:00:00"/>
    <d v="2012-02-01T00:00:00"/>
    <n v="10000"/>
    <x v="3"/>
    <m/>
    <s v="N"/>
    <s v="NONE"/>
    <s v="GUILTY PLEA - NO JURY"/>
    <n v="2"/>
    <n v="3"/>
    <n v="4"/>
    <n v="1"/>
    <n v="1"/>
    <m/>
    <m/>
    <m/>
    <m/>
    <m/>
    <m/>
    <m/>
    <m/>
    <d v="1984-06-25T00:00:00"/>
    <s v="M"/>
    <s v="B"/>
    <s v="BLACK"/>
    <s v="NON-HISPANIC"/>
    <s v="232"/>
    <s v="CONVICTED"/>
    <n v="1"/>
    <s v="STJ"/>
    <m/>
    <n v="9"/>
    <m/>
    <s v="POSS CS PG 1 &lt;1G"/>
    <m/>
    <s v="FS"/>
    <s v="POSS DRUG"/>
    <m/>
    <m/>
    <m/>
    <m/>
    <m/>
    <m/>
    <m/>
    <m/>
    <m/>
    <s v="Public Defender"/>
    <m/>
    <m/>
    <n v="2"/>
    <n v="2"/>
    <n v="3"/>
    <n v="27.540983606557376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1721"/>
    <s v="N"/>
    <s v="N"/>
    <n v="1979453"/>
    <n v="5"/>
    <d v="2012-03-04T00:00:00"/>
    <d v="2012-03-08T00:00:00"/>
    <n v="1979453"/>
    <d v="2012-03-05T00:00:00"/>
    <d v="2012-03-08T00:00:00"/>
    <n v="20000"/>
    <x v="0"/>
    <m/>
    <s v="N"/>
    <s v="NONE"/>
    <s v="GUILTY PLEA - NO JURY"/>
    <n v="4"/>
    <n v="5"/>
    <n v="3"/>
    <n v="4"/>
    <n v="1"/>
    <m/>
    <m/>
    <m/>
    <m/>
    <m/>
    <m/>
    <m/>
    <m/>
    <d v="1985-03-09T00:00:00"/>
    <s v="M"/>
    <s v="H"/>
    <s v="HISPANIC"/>
    <s v="HISPANIC"/>
    <s v="178"/>
    <s v="CONVICTED"/>
    <n v="3"/>
    <s v="STJ"/>
    <m/>
    <n v="7"/>
    <m/>
    <s v="THEFT FROM PERSON"/>
    <m/>
    <s v="FS"/>
    <s v="THEFT"/>
    <m/>
    <m/>
    <m/>
    <m/>
    <m/>
    <m/>
    <m/>
    <m/>
    <m/>
    <s v="Appointed Attorney"/>
    <m/>
    <m/>
    <n v="4"/>
    <n v="4"/>
    <n v="5"/>
    <n v="26.931693989071039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m/>
    <m/>
    <s v="Y"/>
    <m/>
    <s v="0-10 DAYS"/>
    <n v="1"/>
    <x v="0"/>
  </r>
  <r>
    <n v="2031"/>
    <s v="N"/>
    <s v="Y"/>
    <n v="1979863"/>
    <n v="4"/>
    <d v="2012-03-17T00:00:00"/>
    <d v="2013-09-20T00:00:00"/>
    <n v="1979863"/>
    <d v="2012-03-17T00:00:00"/>
    <d v="2012-03-18T00:00:00"/>
    <n v="35000"/>
    <x v="2"/>
    <d v="2012-03-18T00:00:00"/>
    <s v="Y"/>
    <s v="SURETYPTRc"/>
    <s v="GUILTY PLEA - NO JURY"/>
    <n v="5"/>
    <n v="553"/>
    <n v="0"/>
    <n v="1"/>
    <m/>
    <m/>
    <m/>
    <m/>
    <m/>
    <m/>
    <m/>
    <m/>
    <m/>
    <d v="1975-03-12T00:00:00"/>
    <s v="M"/>
    <s v="W"/>
    <s v="WHITE"/>
    <s v="NON-HISPANIC"/>
    <s v="351"/>
    <s v="CONVICTED"/>
    <n v="13"/>
    <s v="HCJ"/>
    <m/>
    <m/>
    <n v="180"/>
    <s v="DWI 3RD OFFENDER BAC .08"/>
    <m/>
    <s v="F3"/>
    <s v="FEL DWI"/>
    <m/>
    <d v="2013-07-18T00:00:00"/>
    <m/>
    <m/>
    <s v="Y"/>
    <m/>
    <m/>
    <m/>
    <m/>
    <s v="Hired Attorney"/>
    <m/>
    <m/>
    <n v="5"/>
    <n v="553"/>
    <n v="553"/>
    <n v="36.939890710382514"/>
    <n v="0"/>
    <n v="-551"/>
    <s v="CONVICTION"/>
    <x v="1"/>
    <s v="N"/>
    <m/>
    <s v="CONVICTION"/>
    <s v="Y"/>
    <x v="1"/>
    <x v="0"/>
    <s v="N"/>
    <n v="9.0415913200723331E-3"/>
    <n v="3.616636528028933E-3"/>
    <n v="-5.4249547920434005E-3"/>
    <n v="0"/>
    <n v="-2"/>
    <n v="3"/>
    <n v="2"/>
    <n v="5"/>
    <m/>
    <n v="551"/>
    <m/>
    <m/>
    <s v="Y"/>
    <m/>
    <s v="0-10 DAYS"/>
    <n v="1"/>
    <x v="0"/>
  </r>
  <r>
    <n v="771"/>
    <s v="N"/>
    <s v="N"/>
    <n v="1979971"/>
    <n v="2"/>
    <d v="2012-01-31T00:00:00"/>
    <d v="2013-05-09T00:00:00"/>
    <n v="1979971"/>
    <d v="2012-01-31T00:00:00"/>
    <d v="2012-02-07T00:00:00"/>
    <n v="30000"/>
    <x v="2"/>
    <d v="2012-02-07T00:00:00"/>
    <s v="Y"/>
    <s v="SURETYPTRc"/>
    <s v="DEFERRED ADJUDICATION "/>
    <n v="8"/>
    <n v="465"/>
    <n v="1"/>
    <n v="8"/>
    <m/>
    <n v="1"/>
    <m/>
    <m/>
    <m/>
    <m/>
    <m/>
    <s v="S"/>
    <m/>
    <d v="1982-12-07T00:00:00"/>
    <s v="M"/>
    <s v="H"/>
    <s v="HISPANIC"/>
    <s v="NULL"/>
    <s v="339"/>
    <s v="DEFERRED"/>
    <n v="17"/>
    <s v="DEFERRED"/>
    <m/>
    <m/>
    <m/>
    <s v="POSS W/INT DEL CS PG1&gt;=4 &lt;200"/>
    <m/>
    <s v="F1"/>
    <s v="SALE DRUG"/>
    <m/>
    <m/>
    <m/>
    <m/>
    <m/>
    <m/>
    <m/>
    <m/>
    <m/>
    <s v="Hired Attorney"/>
    <m/>
    <m/>
    <n v="8"/>
    <n v="465"/>
    <n v="465"/>
    <n v="29.090163934426229"/>
    <n v="0"/>
    <n v="-457"/>
    <s v="DEFERRED"/>
    <x v="1"/>
    <s v="Y"/>
    <m/>
    <s v="DEFERRED"/>
    <s v="Y"/>
    <x v="1"/>
    <x v="0"/>
    <s v="Y"/>
    <n v="1.7204301075268817E-2"/>
    <n v="1.7204301075268817E-2"/>
    <n v="0"/>
    <n v="0"/>
    <n v="-8"/>
    <n v="0"/>
    <n v="8"/>
    <e v="#VALUE!"/>
    <n v="8"/>
    <n v="0"/>
    <m/>
    <m/>
    <s v="Y"/>
    <m/>
    <s v="0-10 DAYS"/>
    <n v="1"/>
    <x v="0"/>
  </r>
  <r>
    <n v="2073"/>
    <s v="N"/>
    <s v="N"/>
    <n v="1980366"/>
    <n v="1"/>
    <d v="2012-03-19T00:00:00"/>
    <d v="2012-05-23T00:00:00"/>
    <n v="1980366"/>
    <d v="2012-03-19T00:00:00"/>
    <d v="2012-03-22T00:00:00"/>
    <n v="5000"/>
    <x v="4"/>
    <d v="2012-03-22T00:00:00"/>
    <s v="Y"/>
    <s v="SURETY"/>
    <s v="NO BILL"/>
    <n v="4"/>
    <n v="66"/>
    <n v="0"/>
    <n v="0"/>
    <m/>
    <m/>
    <m/>
    <m/>
    <m/>
    <m/>
    <m/>
    <m/>
    <m/>
    <d v="1974-11-12T00:00:00"/>
    <s v="F"/>
    <s v="H"/>
    <s v="HISPANIC"/>
    <s v="HISPANIC"/>
    <s v="180"/>
    <s v="NO BILL"/>
    <n v="3"/>
    <s v="NO BILL"/>
    <m/>
    <m/>
    <m/>
    <s v="POSS CS PG 1  1 - 4 GRAMS"/>
    <m/>
    <s v="F3"/>
    <s v="POSS DRUG"/>
    <m/>
    <m/>
    <m/>
    <m/>
    <m/>
    <m/>
    <m/>
    <m/>
    <m/>
    <s v="Hired Attorney"/>
    <m/>
    <m/>
    <n v="4"/>
    <n v="66"/>
    <n v="66"/>
    <n v="37.27322404371585"/>
    <n v="0"/>
    <n v="-62"/>
    <s v="NO CONVICTION"/>
    <x v="1"/>
    <s v="Y"/>
    <m/>
    <s v="NO CONVICTION"/>
    <s v="Y"/>
    <x v="1"/>
    <x v="0"/>
    <s v="N"/>
    <n v="6.0606060606060608E-2"/>
    <n v="6.0606060606060608E-2"/>
    <n v="0"/>
    <n v="0"/>
    <n v="-4"/>
    <n v="0"/>
    <n v="4"/>
    <e v="#VALUE!"/>
    <n v="4"/>
    <n v="0"/>
    <m/>
    <m/>
    <s v="N"/>
    <m/>
    <s v="0-10 DAYS"/>
    <n v="1"/>
    <x v="0"/>
  </r>
  <r>
    <n v="2984"/>
    <s v="N"/>
    <s v="Y"/>
    <n v="1980559"/>
    <n v="5"/>
    <d v="2012-04-20T00:00:00"/>
    <d v="2013-01-11T00:00:00"/>
    <n v="1980559"/>
    <d v="2012-04-20T00:00:00"/>
    <d v="2012-04-24T00:00:00"/>
    <n v="25000"/>
    <x v="2"/>
    <d v="2012-04-24T00:00:00"/>
    <s v="Y"/>
    <s v="SURETY"/>
    <s v="GUILTY PLEA - NO JURY"/>
    <n v="131"/>
    <n v="267"/>
    <n v="3"/>
    <n v="6"/>
    <m/>
    <n v="1"/>
    <m/>
    <m/>
    <m/>
    <m/>
    <m/>
    <m/>
    <m/>
    <d v="1983-11-08T00:00:00"/>
    <s v="M"/>
    <s v="H"/>
    <s v="HISPANIC"/>
    <s v="HISPANIC"/>
    <s v="339"/>
    <s v="CONVICTED"/>
    <n v="10"/>
    <s v="STJ"/>
    <m/>
    <n v="10"/>
    <m/>
    <s v="ROBBERY-BODILY INJURY"/>
    <m/>
    <s v="F2"/>
    <s v="ROBBERY"/>
    <s v="2 mosd pend"/>
    <s v=" revoke 7/31/12"/>
    <m/>
    <m/>
    <s v="Y"/>
    <m/>
    <m/>
    <m/>
    <m/>
    <s v="Hired Attorney"/>
    <m/>
    <m/>
    <n v="131"/>
    <n v="267"/>
    <n v="267"/>
    <n v="28.39071038251366"/>
    <n v="0"/>
    <n v="-262"/>
    <s v="CONVICTION"/>
    <x v="1"/>
    <s v="Y"/>
    <m/>
    <s v="CONVICTION"/>
    <s v="Y"/>
    <x v="0"/>
    <x v="0"/>
    <s v="Y"/>
    <n v="0.49063670411985016"/>
    <n v="1.8726591760299626E-2"/>
    <n v="-0.47191011235955055"/>
    <n v="0"/>
    <n v="-5"/>
    <n v="126"/>
    <n v="267"/>
    <n v="131"/>
    <n v="267"/>
    <n v="262"/>
    <m/>
    <m/>
    <s v="Y"/>
    <m/>
    <s v="121-365 DAYS"/>
    <n v="6"/>
    <x v="0"/>
  </r>
  <r>
    <n v="310"/>
    <s v="N"/>
    <s v="N"/>
    <n v="1981681"/>
    <n v="2"/>
    <d v="2012-01-13T00:00:00"/>
    <d v="2012-01-17T00:00:00"/>
    <n v="1981681"/>
    <d v="2012-01-13T00:00:00"/>
    <d v="2012-01-17T00:00:00"/>
    <n v="2000"/>
    <x v="5"/>
    <m/>
    <s v="N"/>
    <s v="NONE"/>
    <s v="DEFERRED ADJUDICATION "/>
    <n v="5"/>
    <n v="5"/>
    <n v="1"/>
    <n v="1"/>
    <m/>
    <n v="1"/>
    <m/>
    <m/>
    <m/>
    <m/>
    <m/>
    <m/>
    <m/>
    <d v="1961-11-03T00:00:00"/>
    <s v="M"/>
    <s v="B"/>
    <s v="BLACK"/>
    <s v="NULL"/>
    <s v="178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5"/>
    <n v="5"/>
    <n v="5"/>
    <n v="50.090163934426229"/>
    <n v="0"/>
    <n v="0"/>
    <s v="DEFERRED"/>
    <x v="0"/>
    <s v="N"/>
    <m/>
    <s v="DEFERRED"/>
    <s v="Y"/>
    <x v="0"/>
    <x v="0"/>
    <s v="Y"/>
    <n v="1"/>
    <n v="1"/>
    <n v="0"/>
    <n v="0"/>
    <n v="-5"/>
    <n v="0"/>
    <n v="5"/>
    <e v="#VALUE!"/>
    <n v="5"/>
    <n v="0"/>
    <m/>
    <m/>
    <s v="Y"/>
    <m/>
    <s v="0-10 DAYS"/>
    <n v="1"/>
    <x v="0"/>
  </r>
  <r>
    <n v="116"/>
    <s v="N"/>
    <s v="N"/>
    <n v="1982037"/>
    <n v="5"/>
    <d v="2012-01-06T00:00:00"/>
    <d v="2012-05-08T00:00:00"/>
    <n v="1982037"/>
    <d v="2012-01-06T00:00:00"/>
    <d v="2012-01-18T00:00:00"/>
    <n v="15000"/>
    <x v="0"/>
    <d v="2012-01-18T00:00:00"/>
    <s v="Y"/>
    <s v="SURETY"/>
    <s v="GUILTY PLEA - NO JURY"/>
    <n v="13"/>
    <n v="124"/>
    <n v="6"/>
    <n v="3"/>
    <n v="4"/>
    <m/>
    <m/>
    <m/>
    <m/>
    <m/>
    <m/>
    <m/>
    <m/>
    <d v="1979-04-25T00:00:00"/>
    <s v="F"/>
    <s v="W"/>
    <s v="WHITE"/>
    <s v="NON-HISPANIC"/>
    <s v="178"/>
    <s v="CONVICTED"/>
    <n v="5"/>
    <s v="STJ"/>
    <m/>
    <n v="6"/>
    <m/>
    <s v="POSS CS PG 1 &lt;1G"/>
    <m/>
    <s v="FS"/>
    <s v="POSS DRUG"/>
    <s v="fel evade 1/9/13 stj  9 mos"/>
    <m/>
    <m/>
    <m/>
    <m/>
    <m/>
    <m/>
    <m/>
    <m/>
    <s v="Appointed Attorney"/>
    <m/>
    <m/>
    <n v="13"/>
    <n v="124"/>
    <n v="124"/>
    <n v="32.633879781420767"/>
    <n v="0"/>
    <n v="-111"/>
    <s v="CONVICTION"/>
    <x v="1"/>
    <s v="Y"/>
    <m/>
    <s v="CONVICTION"/>
    <s v="Y"/>
    <x v="1"/>
    <x v="0"/>
    <s v="Y"/>
    <n v="0.10483870967741936"/>
    <n v="0.10483870967741936"/>
    <n v="0"/>
    <n v="0"/>
    <n v="-13"/>
    <n v="0"/>
    <n v="13"/>
    <e v="#VALUE!"/>
    <n v="13"/>
    <n v="0"/>
    <m/>
    <m/>
    <s v="Y"/>
    <m/>
    <s v="11-30 DAYS"/>
    <n v="2"/>
    <x v="0"/>
  </r>
  <r>
    <n v="593"/>
    <s v="N"/>
    <s v="Y"/>
    <n v="1982441"/>
    <n v="1"/>
    <d v="2012-01-24T00:00:00"/>
    <d v="2013-05-13T00:00:00"/>
    <n v="1982441"/>
    <d v="2012-03-23T00:00:00"/>
    <d v="2012-03-27T00:00:00"/>
    <n v="10000"/>
    <x v="3"/>
    <d v="2012-03-27T00:00:00"/>
    <s v="Y"/>
    <s v="SURETYPTRc"/>
    <s v="DISMISSED"/>
    <n v="18"/>
    <n v="476"/>
    <n v="0"/>
    <n v="6"/>
    <m/>
    <m/>
    <m/>
    <m/>
    <m/>
    <m/>
    <m/>
    <m/>
    <m/>
    <d v="1985-08-24T00:00:00"/>
    <s v="M"/>
    <s v="B"/>
    <s v="BLACK"/>
    <s v="NON-HISPANIC"/>
    <s v="174"/>
    <s v="NULL"/>
    <n v="14"/>
    <s v="DISMISSED"/>
    <m/>
    <m/>
    <m/>
    <s v="BURGLARY OF HABITATION"/>
    <m/>
    <s v="F2"/>
    <s v="BURGLARY"/>
    <s v="revoke bd remadr  recal detained days"/>
    <d v="2012-04-26T00:00:00"/>
    <m/>
    <m/>
    <s v="Y"/>
    <m/>
    <m/>
    <m/>
    <m/>
    <s v="Hired Attorney"/>
    <m/>
    <m/>
    <n v="18"/>
    <n v="417"/>
    <n v="476"/>
    <n v="26.363387978142075"/>
    <n v="0"/>
    <n v="-412"/>
    <s v="DISMISSED"/>
    <x v="1"/>
    <s v="Y"/>
    <m/>
    <s v=""/>
    <s v="Y"/>
    <x v="1"/>
    <x v="0"/>
    <s v="N"/>
    <n v="3.7815126050420166E-2"/>
    <n v="1.1990407673860911E-2"/>
    <n v="-2.5824718376559253E-2"/>
    <n v="0"/>
    <n v="-5"/>
    <n v="13"/>
    <n v="5"/>
    <n v="18"/>
    <m/>
    <n v="412"/>
    <m/>
    <m/>
    <s v="Y"/>
    <m/>
    <s v="11-30 DAYS"/>
    <n v="2"/>
    <x v="0"/>
  </r>
  <r>
    <n v="3260"/>
    <s v="N"/>
    <s v="N"/>
    <n v="1983685"/>
    <n v="5"/>
    <d v="2012-04-30T00:00:00"/>
    <d v="2012-08-09T00:00:00"/>
    <n v="1983685"/>
    <d v="2012-05-01T00:00:00"/>
    <d v="2012-08-09T00:00:00"/>
    <n v="10000"/>
    <x v="3"/>
    <m/>
    <s v="N"/>
    <s v="NONE"/>
    <s v="GUILTY PLEA - NO JURY"/>
    <n v="101"/>
    <n v="102"/>
    <n v="6"/>
    <n v="10"/>
    <n v="3"/>
    <m/>
    <m/>
    <m/>
    <m/>
    <m/>
    <m/>
    <m/>
    <m/>
    <d v="1985-01-18T00:00:00"/>
    <s v="M"/>
    <s v="B"/>
    <s v="BLACK"/>
    <s v="NON-HISPANIC"/>
    <s v="339"/>
    <s v="CONVICTED"/>
    <n v="6"/>
    <s v="STJ"/>
    <m/>
    <n v="12"/>
    <m/>
    <s v="POSS CS PG 1  1 - 4 GRAMS"/>
    <m/>
    <s v="F3"/>
    <s v="POSS DRUG"/>
    <m/>
    <m/>
    <m/>
    <m/>
    <m/>
    <m/>
    <m/>
    <m/>
    <m/>
    <s v="Appointed Attorney"/>
    <m/>
    <m/>
    <n v="101"/>
    <n v="101"/>
    <n v="102"/>
    <n v="27.224043715846996"/>
    <n v="0"/>
    <n v="0"/>
    <s v="CONVICTION"/>
    <x v="0"/>
    <s v="N"/>
    <m/>
    <s v="CONVICTION"/>
    <s v="Y"/>
    <x v="0"/>
    <x v="0"/>
    <s v="Y"/>
    <n v="0.99019607843137258"/>
    <n v="1"/>
    <n v="9.8039215686274161E-3"/>
    <n v="0"/>
    <n v="-101"/>
    <n v="0"/>
    <n v="101"/>
    <e v="#VALUE!"/>
    <n v="101"/>
    <n v="0"/>
    <m/>
    <m/>
    <s v="Y"/>
    <m/>
    <s v="91-120 DAYS"/>
    <n v="0"/>
    <x v="0"/>
  </r>
  <r>
    <n v="2859"/>
    <s v="Y"/>
    <s v="N"/>
    <n v="1984477"/>
    <n v="4"/>
    <d v="2012-04-15T00:00:00"/>
    <d v="2013-08-29T00:00:00"/>
    <n v="1984477"/>
    <d v="2012-04-16T00:00:00"/>
    <d v="2012-04-17T00:00:00"/>
    <n v="5000"/>
    <x v="4"/>
    <d v="2012-04-17T00:00:00"/>
    <s v="Y"/>
    <s v="SURETY"/>
    <s v="GUILTY PLEA - NO JURY"/>
    <n v="2"/>
    <n v="502"/>
    <n v="1"/>
    <n v="2"/>
    <m/>
    <m/>
    <m/>
    <m/>
    <m/>
    <m/>
    <m/>
    <m/>
    <m/>
    <d v="1984-12-07T00:00:00"/>
    <s v="M"/>
    <s v="H"/>
    <s v="HISPANIC"/>
    <s v="HISPANIC"/>
    <s v="338"/>
    <s v="CONVICTED"/>
    <n v="13"/>
    <s v="HCJ"/>
    <m/>
    <m/>
    <n v="6"/>
    <s v="POSS CS PG 1 &lt;1G"/>
    <m/>
    <s v="FS"/>
    <s v="POSS DRUG"/>
    <s v="  msd drug 3/28/13  hcj 10 d note dup spn f case deleted 11/21/13 by grw"/>
    <m/>
    <m/>
    <m/>
    <m/>
    <m/>
    <m/>
    <m/>
    <m/>
    <s v="Hired Attorney"/>
    <s v="msd drug 3/28/13  hcj 10 d"/>
    <m/>
    <n v="2"/>
    <n v="501"/>
    <n v="502"/>
    <n v="27.297814207650273"/>
    <n v="0"/>
    <n v="-499"/>
    <s v="CONVICTION"/>
    <x v="1"/>
    <s v="Y"/>
    <m/>
    <s v="CONVICTION"/>
    <s v="Y"/>
    <x v="1"/>
    <x v="0"/>
    <s v="Y"/>
    <n v="3.9840637450199202E-3"/>
    <n v="3.9920159680638719E-3"/>
    <n v="7.95222304395167E-6"/>
    <n v="0"/>
    <n v="-2"/>
    <n v="0"/>
    <n v="2"/>
    <e v="#VALUE!"/>
    <n v="2"/>
    <n v="0"/>
    <m/>
    <m/>
    <s v="Y"/>
    <m/>
    <s v="0-10 DAYS"/>
    <n v="1"/>
    <x v="0"/>
  </r>
  <r>
    <n v="1707"/>
    <s v="N"/>
    <s v="N"/>
    <n v="1985113"/>
    <n v="1"/>
    <d v="2012-03-04T00:00:00"/>
    <d v="2012-05-23T00:00:00"/>
    <n v="1985113"/>
    <d v="2012-03-04T00:00:00"/>
    <d v="2012-03-09T00:00:00"/>
    <n v="30000"/>
    <x v="2"/>
    <d v="2012-03-09T00:00:00"/>
    <s v="Y"/>
    <s v="SURETY"/>
    <s v="DISMISSED"/>
    <n v="6"/>
    <n v="81"/>
    <n v="5"/>
    <n v="3"/>
    <n v="3"/>
    <m/>
    <m/>
    <m/>
    <m/>
    <m/>
    <m/>
    <m/>
    <m/>
    <d v="1984-03-17T00:00:00"/>
    <s v="M"/>
    <s v="B"/>
    <s v="BLACK"/>
    <s v="NULL"/>
    <s v="176"/>
    <s v="DISMISSED"/>
    <n v="3"/>
    <s v="DISMISSED"/>
    <m/>
    <m/>
    <m/>
    <s v="POSS W/INT DEL CS PG1&gt;=4 &lt;200"/>
    <m/>
    <s v="F1"/>
    <s v="SALE DRUG"/>
    <s v="misd marj conv 4/19/12  hcj 100 days"/>
    <m/>
    <m/>
    <m/>
    <m/>
    <m/>
    <m/>
    <m/>
    <m/>
    <s v="Appointed Attorney"/>
    <m/>
    <m/>
    <n v="6"/>
    <n v="81"/>
    <n v="81"/>
    <n v="27.907103825136613"/>
    <n v="0"/>
    <n v="-75"/>
    <s v="NO CONVICTION"/>
    <x v="1"/>
    <s v="Y"/>
    <m/>
    <s v="NO CONVICTION"/>
    <s v="Y"/>
    <x v="1"/>
    <x v="0"/>
    <s v="Y"/>
    <n v="7.407407407407407E-2"/>
    <n v="7.407407407407407E-2"/>
    <n v="0"/>
    <n v="0"/>
    <n v="-6"/>
    <n v="0"/>
    <n v="6"/>
    <e v="#VALUE!"/>
    <n v="6"/>
    <n v="0"/>
    <m/>
    <m/>
    <s v="Y"/>
    <m/>
    <s v="0-10 DAYS"/>
    <n v="1"/>
    <x v="0"/>
  </r>
  <r>
    <n v="952"/>
    <s v="N"/>
    <s v="N"/>
    <n v="1985260"/>
    <n v="4"/>
    <d v="2012-02-04T00:00:00"/>
    <d v="2012-08-27T00:00:00"/>
    <n v="1985260"/>
    <d v="2012-02-09T00:00:00"/>
    <d v="2012-08-27T00:00:00"/>
    <n v="40000"/>
    <x v="2"/>
    <m/>
    <s v="N"/>
    <s v="NONE"/>
    <s v="GUILTY PLEA - NO JURY"/>
    <n v="201"/>
    <n v="206"/>
    <n v="2"/>
    <n v="7"/>
    <n v="2"/>
    <m/>
    <m/>
    <m/>
    <m/>
    <m/>
    <m/>
    <m/>
    <m/>
    <d v="1985-04-24T00:00:00"/>
    <s v="M"/>
    <s v="H"/>
    <s v="HISPANIC"/>
    <s v="HISPANIC"/>
    <s v="337"/>
    <s v="CONVICTED"/>
    <n v="12"/>
    <s v="HCJ"/>
    <m/>
    <m/>
    <n v="365"/>
    <s v="AGG ASLT-SER BOD INJURY"/>
    <m/>
    <s v="F2"/>
    <s v="ASLT-MURDR"/>
    <m/>
    <m/>
    <m/>
    <m/>
    <m/>
    <m/>
    <m/>
    <m/>
    <m/>
    <s v="Appointed Attorney"/>
    <m/>
    <m/>
    <n v="201"/>
    <n v="201"/>
    <n v="206"/>
    <n v="26.726775956284154"/>
    <n v="0"/>
    <n v="0"/>
    <s v="CONVICTION"/>
    <x v="0"/>
    <s v="N"/>
    <m/>
    <s v="CONVICTION"/>
    <s v="Y"/>
    <x v="0"/>
    <x v="0"/>
    <s v="Y"/>
    <n v="0.97572815533980584"/>
    <n v="1"/>
    <n v="2.4271844660194164E-2"/>
    <n v="0"/>
    <n v="-201"/>
    <n v="0"/>
    <n v="201"/>
    <e v="#VALUE!"/>
    <n v="201"/>
    <n v="0"/>
    <m/>
    <m/>
    <s v="Y"/>
    <m/>
    <s v="121-365 DAYS"/>
    <n v="6"/>
    <x v="0"/>
  </r>
  <r>
    <n v="636"/>
    <s v="N"/>
    <s v="N"/>
    <n v="1986176"/>
    <n v="1"/>
    <d v="2012-01-25T00:00:00"/>
    <d v="2012-05-01T00:00:00"/>
    <n v="1986176"/>
    <d v="2012-01-26T00:00:00"/>
    <d v="2012-01-27T00:00:00"/>
    <n v="10000"/>
    <x v="3"/>
    <d v="2012-01-27T00:00:00"/>
    <s v="Y"/>
    <s v="SURETY"/>
    <s v="DISMISSED"/>
    <n v="2"/>
    <n v="98"/>
    <n v="0"/>
    <n v="3"/>
    <m/>
    <m/>
    <m/>
    <m/>
    <m/>
    <m/>
    <m/>
    <m/>
    <m/>
    <d v="1983-01-07T00:00:00"/>
    <s v="M"/>
    <s v="W"/>
    <s v="WHITE"/>
    <s v="NULL"/>
    <s v="208"/>
    <s v="DISMISSED"/>
    <n v="5"/>
    <s v="DISMISSED"/>
    <m/>
    <m/>
    <m/>
    <s v="ASSAULT-BOD INJ-FAMILY MEMBER"/>
    <m/>
    <s v="F3"/>
    <s v="ASLT-MURDR"/>
    <m/>
    <m/>
    <m/>
    <m/>
    <m/>
    <m/>
    <m/>
    <m/>
    <m/>
    <s v="Hired Attorney"/>
    <m/>
    <m/>
    <n v="2"/>
    <n v="97"/>
    <n v="98"/>
    <n v="28.989071038251367"/>
    <n v="0"/>
    <n v="-95"/>
    <s v="NO CONVICTION"/>
    <x v="1"/>
    <s v="Y"/>
    <m/>
    <s v="NO CONVICTION"/>
    <s v="Y"/>
    <x v="1"/>
    <x v="0"/>
    <s v="N"/>
    <n v="2.0408163265306121E-2"/>
    <n v="2.0618556701030927E-2"/>
    <n v="2.1039343572480662E-4"/>
    <n v="0"/>
    <n v="-2"/>
    <n v="0"/>
    <n v="2"/>
    <e v="#VALUE!"/>
    <n v="2"/>
    <n v="0"/>
    <m/>
    <m/>
    <s v="Y"/>
    <m/>
    <s v="0-10 DAYS"/>
    <n v="1"/>
    <x v="0"/>
  </r>
  <r>
    <n v="2713"/>
    <s v="N"/>
    <s v="N"/>
    <n v="1986802"/>
    <n v="6"/>
    <d v="2012-04-10T00:00:00"/>
    <d v="2012-09-12T00:00:00"/>
    <n v="1986802"/>
    <d v="2012-04-11T00:00:00"/>
    <d v="2012-09-12T00:00:00"/>
    <s v="NO BOND"/>
    <x v="1"/>
    <m/>
    <s v="N"/>
    <s v="NONE"/>
    <s v="GUILTY PLEA - NO JURY"/>
    <n v="155"/>
    <n v="156"/>
    <n v="2"/>
    <n v="5"/>
    <n v="1"/>
    <m/>
    <m/>
    <m/>
    <m/>
    <m/>
    <m/>
    <m/>
    <m/>
    <d v="1984-04-03T00:00:00"/>
    <s v="F"/>
    <s v="W"/>
    <s v="WHITE"/>
    <s v="NON-HISPANIC"/>
    <s v="262"/>
    <s v="CONVICTED"/>
    <n v="8"/>
    <s v="TDC"/>
    <n v="5"/>
    <m/>
    <m/>
    <s v="POSS CS PG 1 4G - 200G"/>
    <m/>
    <s v="FS"/>
    <s v="POSS DRUG"/>
    <s v="FOOTNOTEbond on companion case previously filed"/>
    <s v="BF ON COMPANION CASES"/>
    <m/>
    <m/>
    <m/>
    <m/>
    <m/>
    <m/>
    <m/>
    <s v="Appointed Attorney"/>
    <m/>
    <m/>
    <n v="155"/>
    <n v="155"/>
    <n v="156"/>
    <n v="27.961748633879782"/>
    <n v="0"/>
    <n v="0"/>
    <s v="CONVICTION"/>
    <x v="0"/>
    <s v="N"/>
    <m/>
    <s v="CONVICTION"/>
    <s v="Y"/>
    <x v="0"/>
    <x v="0"/>
    <s v="Y"/>
    <n v="0.99358974358974361"/>
    <n v="1"/>
    <n v="6.4102564102563875E-3"/>
    <n v="0"/>
    <n v="-155"/>
    <n v="0"/>
    <n v="155"/>
    <e v="#VALUE!"/>
    <n v="155"/>
    <n v="0"/>
    <m/>
    <m/>
    <s v="Y"/>
    <m/>
    <s v="121-365 DAYS"/>
    <n v="6"/>
    <x v="0"/>
  </r>
  <r>
    <n v="1381"/>
    <s v="N"/>
    <s v="N"/>
    <n v="1987440"/>
    <n v="5"/>
    <d v="2012-02-20T00:00:00"/>
    <d v="2012-05-01T00:00:00"/>
    <n v="1987440"/>
    <d v="2012-02-21T00:00:00"/>
    <d v="2012-05-01T00:00:00"/>
    <n v="2000"/>
    <x v="5"/>
    <m/>
    <s v="N"/>
    <s v="NONE"/>
    <s v="GUILTY PLEA - NO JURY"/>
    <n v="71"/>
    <n v="72"/>
    <n v="0"/>
    <n v="0"/>
    <m/>
    <m/>
    <m/>
    <m/>
    <m/>
    <m/>
    <m/>
    <m/>
    <m/>
    <d v="1981-09-29T00:00:00"/>
    <s v="M"/>
    <s v="W"/>
    <s v="WHITE"/>
    <s v="NON-HISPANIC"/>
    <s v="182"/>
    <s v="CONVICTED"/>
    <n v="4"/>
    <s v="STJ"/>
    <m/>
    <n v="8"/>
    <m/>
    <s v="ATT POSS PG 1 1-4 GRAMS"/>
    <m/>
    <s v="FS"/>
    <s v="POSS DRUG"/>
    <m/>
    <m/>
    <m/>
    <m/>
    <m/>
    <m/>
    <m/>
    <m/>
    <m/>
    <s v="Appointed Attorney"/>
    <m/>
    <m/>
    <n v="71"/>
    <n v="71"/>
    <n v="72"/>
    <n v="30.330601092896174"/>
    <n v="0"/>
    <n v="0"/>
    <s v="CONVICTION"/>
    <x v="0"/>
    <s v="N"/>
    <m/>
    <s v="CONVICTION"/>
    <s v="Y"/>
    <x v="0"/>
    <x v="0"/>
    <s v="N"/>
    <n v="0.98611111111111116"/>
    <n v="1"/>
    <n v="1.388888888888884E-2"/>
    <n v="0"/>
    <n v="-71"/>
    <n v="0"/>
    <n v="71"/>
    <e v="#VALUE!"/>
    <n v="71"/>
    <n v="0"/>
    <m/>
    <m/>
    <s v="N"/>
    <m/>
    <s v="61-90 DAYS"/>
    <n v="4"/>
    <x v="0"/>
  </r>
  <r>
    <n v="1735"/>
    <s v="N"/>
    <s v="N"/>
    <n v="1987449"/>
    <n v="1"/>
    <d v="2012-03-05T00:00:00"/>
    <d v="2012-04-20T00:00:00"/>
    <n v="1987449"/>
    <d v="2012-03-19T00:00:00"/>
    <d v="2012-04-20T00:00:00"/>
    <n v="15000"/>
    <x v="0"/>
    <m/>
    <s v="N"/>
    <s v="NONE"/>
    <s v="DISMISSED"/>
    <n v="33"/>
    <n v="47"/>
    <n v="6"/>
    <n v="4"/>
    <n v="3"/>
    <m/>
    <m/>
    <m/>
    <m/>
    <m/>
    <m/>
    <m/>
    <m/>
    <d v="1985-02-12T00:00:00"/>
    <s v="M"/>
    <s v="B"/>
    <s v="BLACK"/>
    <s v="NULL"/>
    <s v="182"/>
    <s v="DISMISSED"/>
    <n v="3"/>
    <s v="DISMISSED"/>
    <m/>
    <m/>
    <m/>
    <s v="POSS CS PG 1 &lt;1G"/>
    <m/>
    <s v="FS"/>
    <s v="POSS DRUG"/>
    <s v="4/20/12 fel drug  stj 6mos"/>
    <m/>
    <m/>
    <m/>
    <m/>
    <m/>
    <m/>
    <m/>
    <m/>
    <s v="Appointed Attorney"/>
    <m/>
    <m/>
    <n v="33"/>
    <n v="33"/>
    <n v="47"/>
    <n v="27.002732240437158"/>
    <n v="0"/>
    <n v="0"/>
    <s v="NO CONVICTION"/>
    <x v="0"/>
    <s v="N"/>
    <m/>
    <s v="NO CONVICTION"/>
    <s v="Y"/>
    <x v="0"/>
    <x v="0"/>
    <s v="Y"/>
    <n v="0.7021276595744681"/>
    <n v="1"/>
    <n v="0.2978723404255319"/>
    <n v="0"/>
    <n v="-33"/>
    <n v="0"/>
    <n v="33"/>
    <e v="#VALUE!"/>
    <n v="33"/>
    <n v="0"/>
    <m/>
    <m/>
    <s v="Y"/>
    <m/>
    <s v="31-60 DAYS"/>
    <n v="3"/>
    <x v="0"/>
  </r>
  <r>
    <n v="57"/>
    <s v="N"/>
    <s v="N"/>
    <n v="1987544"/>
    <n v="2"/>
    <d v="2012-01-03T00:00:00"/>
    <d v="2012-02-09T00:00:00"/>
    <n v="1987544"/>
    <d v="2012-01-19T00:00:00"/>
    <d v="2012-02-09T00:00:00"/>
    <n v="2000"/>
    <x v="5"/>
    <m/>
    <s v="N"/>
    <s v="NONE"/>
    <s v="DEFERRED ADJUDICATION "/>
    <n v="22"/>
    <n v="38"/>
    <n v="0"/>
    <n v="6"/>
    <m/>
    <m/>
    <m/>
    <m/>
    <m/>
    <m/>
    <m/>
    <m/>
    <m/>
    <d v="1985-08-13T00:00:00"/>
    <s v="M"/>
    <s v="H"/>
    <s v="HISPANIC"/>
    <s v="HISPANIC"/>
    <s v="263"/>
    <s v="DEFERRED"/>
    <n v="6"/>
    <s v="DEFERRED"/>
    <m/>
    <m/>
    <m/>
    <s v="THEFT UNDER $1500 - 3RD OFF."/>
    <m/>
    <s v="FS"/>
    <s v="THEFT"/>
    <s v="revoked 7/3/12TDC"/>
    <m/>
    <m/>
    <m/>
    <m/>
    <m/>
    <m/>
    <m/>
    <m/>
    <s v="Appointed Attorney"/>
    <m/>
    <m/>
    <n v="22"/>
    <n v="22"/>
    <n v="38"/>
    <n v="26.33606557377049"/>
    <n v="0"/>
    <n v="0"/>
    <s v="DEFERRED"/>
    <x v="0"/>
    <s v="N"/>
    <m/>
    <s v="DEFERRED"/>
    <s v="Y"/>
    <x v="0"/>
    <x v="0"/>
    <s v="N"/>
    <n v="0.57894736842105265"/>
    <n v="1"/>
    <n v="0.42105263157894735"/>
    <n v="0"/>
    <n v="-22"/>
    <n v="0"/>
    <n v="22"/>
    <e v="#VALUE!"/>
    <n v="22"/>
    <n v="0"/>
    <m/>
    <m/>
    <s v="Y"/>
    <m/>
    <s v="11-30 DAYS"/>
    <n v="2"/>
    <x v="0"/>
  </r>
  <r>
    <n v="1380"/>
    <s v="N"/>
    <s v="N"/>
    <n v="1987757"/>
    <n v="5"/>
    <d v="2012-02-20T00:00:00"/>
    <d v="2012-02-22T00:00:00"/>
    <n v="1987757"/>
    <d v="2012-02-21T00:00:00"/>
    <d v="2012-02-22T00:00:00"/>
    <n v="30000"/>
    <x v="2"/>
    <m/>
    <s v="N"/>
    <s v="NONE"/>
    <s v="GUILTY PLEA - NO JURY"/>
    <n v="2"/>
    <n v="3"/>
    <n v="7"/>
    <n v="1"/>
    <n v="5"/>
    <m/>
    <m/>
    <m/>
    <m/>
    <m/>
    <m/>
    <m/>
    <m/>
    <d v="1985-10-12T00:00:00"/>
    <s v="M"/>
    <s v="B"/>
    <s v="BLACK"/>
    <s v="NON-HISPANIC"/>
    <s v="248"/>
    <s v="CONVICTED"/>
    <n v="1"/>
    <s v="STJ"/>
    <m/>
    <n v="10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26.303278688524589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117"/>
    <s v="N"/>
    <s v="N"/>
    <n v="1989929"/>
    <n v="6"/>
    <d v="2012-01-06T00:00:00"/>
    <d v="2012-05-31T00:00:00"/>
    <n v="1989929"/>
    <d v="2012-01-06T00:00:00"/>
    <d v="2012-05-31T00:00:00"/>
    <s v="NO BOND"/>
    <x v="1"/>
    <m/>
    <s v="N"/>
    <s v="NONE"/>
    <s v="GUILTY PLEA - NO JURY"/>
    <n v="147"/>
    <n v="147"/>
    <n v="1"/>
    <n v="2"/>
    <n v="1"/>
    <m/>
    <m/>
    <m/>
    <m/>
    <m/>
    <m/>
    <m/>
    <m/>
    <d v="1985-10-06T00:00:00"/>
    <s v="M"/>
    <s v="H"/>
    <s v="HISPANIC"/>
    <s v="HISPANIC"/>
    <s v="174"/>
    <s v="CONVICTED"/>
    <n v="5"/>
    <s v="TDC"/>
    <n v="15"/>
    <m/>
    <m/>
    <s v="MAN/DEL CS PG I OVER 400 GRAMS"/>
    <m/>
    <s v="F1"/>
    <s v="SALE DRUG"/>
    <m/>
    <m/>
    <m/>
    <m/>
    <m/>
    <m/>
    <m/>
    <m/>
    <m/>
    <s v="Appointed Attorney"/>
    <m/>
    <m/>
    <n v="147"/>
    <n v="147"/>
    <n v="147"/>
    <n v="26.196721311475411"/>
    <n v="0"/>
    <n v="0"/>
    <s v="CONVICTION"/>
    <x v="0"/>
    <s v="N"/>
    <m/>
    <s v="CONVICTION"/>
    <s v="Y"/>
    <x v="0"/>
    <x v="0"/>
    <s v="Y"/>
    <n v="1"/>
    <n v="1"/>
    <n v="0"/>
    <n v="0"/>
    <n v="-147"/>
    <n v="0"/>
    <n v="147"/>
    <e v="#VALUE!"/>
    <n v="147"/>
    <n v="0"/>
    <m/>
    <m/>
    <s v="Y"/>
    <m/>
    <s v="121-365 DAYS"/>
    <n v="6"/>
    <x v="0"/>
  </r>
  <r>
    <n v="1177"/>
    <s v="N"/>
    <s v="N"/>
    <n v="1989959"/>
    <n v="3"/>
    <d v="2012-02-12T00:00:00"/>
    <d v="2012-08-08T00:00:00"/>
    <n v="1989959"/>
    <d v="2012-02-12T00:00:00"/>
    <d v="2012-02-13T00:00:00"/>
    <n v="10000"/>
    <x v="3"/>
    <d v="2012-02-13T00:00:00"/>
    <s v="Y"/>
    <s v="SURETYPTRc"/>
    <s v="GUILTY PLEA - NO JURY"/>
    <n v="2"/>
    <n v="179"/>
    <n v="1"/>
    <n v="2"/>
    <n v="1"/>
    <m/>
    <m/>
    <m/>
    <m/>
    <m/>
    <m/>
    <s v="S"/>
    <m/>
    <d v="1978-10-01T00:00:00"/>
    <s v="M"/>
    <s v="H"/>
    <s v="HISPANIC"/>
    <s v="NULL"/>
    <s v="179"/>
    <s v="CONVICTED"/>
    <n v="6"/>
    <s v="PROBATION"/>
    <m/>
    <m/>
    <m/>
    <s v="DWI 3RD OFFENDER BAC .08"/>
    <m/>
    <s v="F3"/>
    <s v="FEL DWI"/>
    <m/>
    <m/>
    <m/>
    <m/>
    <m/>
    <m/>
    <m/>
    <m/>
    <m/>
    <s v="Hired Attorney"/>
    <m/>
    <m/>
    <n v="2"/>
    <n v="179"/>
    <n v="179"/>
    <n v="33.297814207650276"/>
    <n v="0"/>
    <n v="-177"/>
    <s v="CONVICTION"/>
    <x v="1"/>
    <s v="Y"/>
    <m/>
    <s v="CONVICTION"/>
    <s v="Y"/>
    <x v="1"/>
    <x v="0"/>
    <s v="Y"/>
    <n v="1.11731843575419E-2"/>
    <n v="1.11731843575419E-2"/>
    <n v="0"/>
    <n v="0"/>
    <n v="-2"/>
    <n v="0"/>
    <n v="2"/>
    <e v="#VALUE!"/>
    <n v="2"/>
    <n v="0"/>
    <m/>
    <m/>
    <s v="Y"/>
    <m/>
    <s v="0-10 DAYS"/>
    <n v="1"/>
    <x v="0"/>
  </r>
  <r>
    <n v="1322"/>
    <s v="N"/>
    <s v="N"/>
    <n v="1991770"/>
    <n v="6"/>
    <d v="2012-02-17T00:00:00"/>
    <d v="2012-04-17T00:00:00"/>
    <n v="1991770"/>
    <d v="2012-02-17T00:00:00"/>
    <d v="2012-04-17T00:00:00"/>
    <s v="NO BOND"/>
    <x v="1"/>
    <m/>
    <s v="N"/>
    <s v="NONE"/>
    <s v="GUILTY PLEA - NO JURY"/>
    <n v="61"/>
    <n v="61"/>
    <n v="3"/>
    <n v="1"/>
    <n v="1"/>
    <m/>
    <m/>
    <m/>
    <m/>
    <m/>
    <m/>
    <m/>
    <m/>
    <d v="1982-12-19T00:00:00"/>
    <s v="M"/>
    <s v="B"/>
    <s v="BLACK"/>
    <s v="NULL"/>
    <s v="182"/>
    <s v="CONVICTED"/>
    <n v="3"/>
    <s v="TDC"/>
    <n v="15"/>
    <m/>
    <m/>
    <s v="FELON POSS WPN"/>
    <m/>
    <s v="F3"/>
    <s v="OTHER FEL"/>
    <m/>
    <m/>
    <m/>
    <m/>
    <m/>
    <m/>
    <m/>
    <m/>
    <m/>
    <s v="Appointed Attorney"/>
    <m/>
    <m/>
    <n v="61"/>
    <n v="61"/>
    <n v="61"/>
    <n v="29.103825136612024"/>
    <n v="0"/>
    <n v="0"/>
    <s v="CONVICTION"/>
    <x v="0"/>
    <s v="N"/>
    <m/>
    <s v="CONVICTION"/>
    <s v="Y"/>
    <x v="0"/>
    <x v="0"/>
    <s v="Y"/>
    <n v="1"/>
    <n v="1"/>
    <n v="0"/>
    <n v="0"/>
    <n v="-61"/>
    <n v="0"/>
    <n v="61"/>
    <e v="#VALUE!"/>
    <n v="61"/>
    <n v="0"/>
    <m/>
    <m/>
    <s v="Y"/>
    <m/>
    <s v="61-90 DAYS"/>
    <n v="4"/>
    <x v="0"/>
  </r>
  <r>
    <n v="2185"/>
    <s v="N"/>
    <s v="N"/>
    <n v="1992086"/>
    <n v="6"/>
    <d v="2012-03-22T00:00:00"/>
    <d v="2012-03-26T00:00:00"/>
    <n v="1992086"/>
    <d v="2012-03-23T00:00:00"/>
    <d v="2012-03-26T00:00:00"/>
    <n v="10000"/>
    <x v="3"/>
    <m/>
    <s v="N"/>
    <s v="NONE"/>
    <s v="GUILTY PLEA - NO JURY"/>
    <n v="4"/>
    <n v="5"/>
    <n v="12"/>
    <n v="1"/>
    <n v="3"/>
    <m/>
    <m/>
    <m/>
    <m/>
    <m/>
    <m/>
    <m/>
    <m/>
    <d v="1984-11-16T00:00:00"/>
    <s v="M"/>
    <s v="W"/>
    <s v="WHITE"/>
    <s v="NON-HISPANIC"/>
    <s v="184"/>
    <s v="CONVICTED"/>
    <n v="1"/>
    <s v="TDC"/>
    <n v="2"/>
    <m/>
    <m/>
    <s v="POSS CS PG 1  1 - 4 GRAMS"/>
    <m/>
    <s v="F3"/>
    <s v="POSS DRUG"/>
    <m/>
    <m/>
    <m/>
    <m/>
    <m/>
    <m/>
    <m/>
    <m/>
    <m/>
    <s v="Appointed Attorney"/>
    <m/>
    <m/>
    <n v="4"/>
    <n v="4"/>
    <n v="5"/>
    <n v="27.289617486338798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m/>
    <m/>
    <s v="Y"/>
    <m/>
    <s v="0-10 DAYS"/>
    <n v="1"/>
    <x v="0"/>
  </r>
  <r>
    <n v="1292"/>
    <s v="N"/>
    <s v="N"/>
    <n v="1992194"/>
    <n v="5"/>
    <d v="2012-02-17T00:00:00"/>
    <d v="2012-03-08T00:00:00"/>
    <n v="1992194"/>
    <d v="2012-02-17T00:00:00"/>
    <d v="2012-03-08T00:00:00"/>
    <n v="10000"/>
    <x v="3"/>
    <m/>
    <s v="N"/>
    <s v="NONE"/>
    <s v="GUILTY PLEA - NO JURY"/>
    <n v="21"/>
    <n v="21"/>
    <n v="6"/>
    <n v="8"/>
    <n v="3"/>
    <m/>
    <m/>
    <m/>
    <m/>
    <m/>
    <m/>
    <m/>
    <m/>
    <d v="1984-08-29T00:00:00"/>
    <s v="M"/>
    <s v="H"/>
    <s v="HISPANIC"/>
    <s v="HISPANIC"/>
    <s v="228"/>
    <s v="CONVICTED"/>
    <n v="2"/>
    <s v="STJ"/>
    <m/>
    <n v="8"/>
    <m/>
    <s v="THEFT $1500-20K"/>
    <m/>
    <s v="FS"/>
    <s v="THEFT"/>
    <m/>
    <m/>
    <m/>
    <m/>
    <m/>
    <m/>
    <m/>
    <m/>
    <m/>
    <s v="Appointed Attorney"/>
    <m/>
    <m/>
    <n v="21"/>
    <n v="21"/>
    <n v="21"/>
    <n v="27.412568306010929"/>
    <n v="0"/>
    <n v="0"/>
    <s v="CONVICTION"/>
    <x v="0"/>
    <s v="N"/>
    <m/>
    <s v="CONVICTION"/>
    <s v="Y"/>
    <x v="0"/>
    <x v="0"/>
    <s v="Y"/>
    <n v="1"/>
    <n v="1"/>
    <n v="0"/>
    <n v="0"/>
    <n v="-21"/>
    <n v="0"/>
    <n v="21"/>
    <e v="#VALUE!"/>
    <n v="21"/>
    <n v="0"/>
    <m/>
    <m/>
    <s v="Y"/>
    <m/>
    <s v="11-30 DAYS"/>
    <n v="2"/>
    <x v="0"/>
  </r>
  <r>
    <n v="1725"/>
    <s v="N"/>
    <s v="N"/>
    <n v="1992228"/>
    <n v="5"/>
    <d v="2012-03-05T00:00:00"/>
    <d v="2012-08-29T00:00:00"/>
    <n v="1992228"/>
    <d v="2012-03-06T00:00:00"/>
    <d v="2012-08-29T00:00:00"/>
    <n v="15000"/>
    <x v="0"/>
    <m/>
    <s v="N"/>
    <s v="NONE"/>
    <s v="GUILTY PLEA - NO JURY"/>
    <n v="177"/>
    <n v="178"/>
    <n v="12"/>
    <n v="13"/>
    <n v="5"/>
    <m/>
    <m/>
    <m/>
    <m/>
    <m/>
    <m/>
    <m/>
    <m/>
    <d v="1981-06-24T00:00:00"/>
    <s v="M"/>
    <s v="B"/>
    <s v="BLACK"/>
    <s v="NON-HISPANIC"/>
    <s v="184"/>
    <s v="CONVICTED"/>
    <n v="9"/>
    <s v="STJ"/>
    <m/>
    <n v="6"/>
    <m/>
    <s v="POSS CS PG 1 &lt;1G"/>
    <m/>
    <s v="FS"/>
    <s v="POSS DRUG"/>
    <m/>
    <m/>
    <m/>
    <m/>
    <m/>
    <m/>
    <m/>
    <m/>
    <m/>
    <s v="Appointed Attorney"/>
    <m/>
    <m/>
    <n v="177"/>
    <n v="177"/>
    <n v="178"/>
    <n v="30.633879781420767"/>
    <n v="0"/>
    <n v="0"/>
    <s v="CONVICTION"/>
    <x v="0"/>
    <s v="N"/>
    <m/>
    <s v="CONVICTION"/>
    <s v="Y"/>
    <x v="0"/>
    <x v="0"/>
    <s v="Y"/>
    <n v="0.9943820224719101"/>
    <n v="1"/>
    <n v="5.6179775280899014E-3"/>
    <n v="0"/>
    <n v="-177"/>
    <n v="0"/>
    <n v="177"/>
    <e v="#VALUE!"/>
    <n v="177"/>
    <n v="0"/>
    <m/>
    <m/>
    <s v="Y"/>
    <m/>
    <s v="121-365 DAYS"/>
    <n v="6"/>
    <x v="0"/>
  </r>
  <r>
    <n v="838"/>
    <s v="N"/>
    <s v="N"/>
    <n v="1993453"/>
    <n v="2"/>
    <d v="2012-02-01T00:00:00"/>
    <d v="2012-06-26T00:00:00"/>
    <n v="1993453"/>
    <d v="2012-02-01T00:00:00"/>
    <d v="2012-03-21T00:00:00"/>
    <n v="10000"/>
    <x v="3"/>
    <d v="2012-03-21T00:00:00"/>
    <s v="Y"/>
    <s v="PTR"/>
    <s v="DEFERRED ADJUDICATION "/>
    <n v="50"/>
    <n v="147"/>
    <n v="6"/>
    <n v="0"/>
    <m/>
    <m/>
    <m/>
    <m/>
    <m/>
    <m/>
    <m/>
    <m/>
    <m/>
    <d v="1947-08-05T00:00:00"/>
    <s v="M"/>
    <s v="B"/>
    <s v="BLACK"/>
    <s v="NON-HISPANIC"/>
    <s v="228"/>
    <s v="DEFERRED"/>
    <n v="17"/>
    <s v="DEFERRED"/>
    <m/>
    <m/>
    <m/>
    <s v="ASSAULT-BOD INJ-PUB SERV/RETAL"/>
    <m/>
    <s v="F3"/>
    <s v="ASLT-MURDR"/>
    <m/>
    <m/>
    <m/>
    <m/>
    <m/>
    <m/>
    <m/>
    <m/>
    <m/>
    <s v="Appointed Attorney"/>
    <m/>
    <m/>
    <n v="50"/>
    <n v="147"/>
    <n v="147"/>
    <n v="64.360655737704917"/>
    <n v="0"/>
    <n v="-97"/>
    <s v="DEFERRED"/>
    <x v="2"/>
    <s v="Y"/>
    <m/>
    <s v="DEFERRED"/>
    <s v="Y"/>
    <x v="1"/>
    <x v="0"/>
    <s v="Y"/>
    <n v="0.3401360544217687"/>
    <n v="0.3401360544217687"/>
    <n v="0"/>
    <n v="0"/>
    <n v="-50"/>
    <n v="0"/>
    <n v="50"/>
    <e v="#VALUE!"/>
    <n v="50"/>
    <n v="0"/>
    <m/>
    <m/>
    <s v="Y"/>
    <m/>
    <s v="31-60 DAYS"/>
    <n v="3"/>
    <x v="0"/>
  </r>
  <r>
    <n v="717"/>
    <s v="N"/>
    <s v="N"/>
    <n v="1995219"/>
    <n v="2"/>
    <d v="2012-01-28T00:00:00"/>
    <d v="2012-06-20T00:00:00"/>
    <n v="1995219"/>
    <d v="2012-01-29T00:00:00"/>
    <d v="2012-02-02T00:00:00"/>
    <n v="10000"/>
    <x v="3"/>
    <d v="2012-02-02T00:00:00"/>
    <s v="Y"/>
    <s v="SURETY"/>
    <s v="DEFERRED ADJUDICATION "/>
    <n v="5"/>
    <n v="145"/>
    <n v="1"/>
    <n v="2"/>
    <n v="1"/>
    <m/>
    <m/>
    <m/>
    <m/>
    <m/>
    <m/>
    <s v="S"/>
    <m/>
    <d v="1983-08-23T00:00:00"/>
    <s v="M"/>
    <s v="H"/>
    <s v="HISPANIC"/>
    <s v="NULL"/>
    <s v="178"/>
    <s v="DEFERRED"/>
    <n v="7"/>
    <s v="DEFERRED"/>
    <m/>
    <m/>
    <m/>
    <s v="POSS CS PG 1 &lt;1G"/>
    <m/>
    <s v="FS"/>
    <s v="POSS DRUG"/>
    <m/>
    <m/>
    <m/>
    <m/>
    <m/>
    <m/>
    <m/>
    <m/>
    <m/>
    <s v="Hired Attorney"/>
    <m/>
    <m/>
    <n v="5"/>
    <n v="144"/>
    <n v="145"/>
    <n v="28.374316939890711"/>
    <n v="0"/>
    <n v="-139"/>
    <s v="DEFERRED"/>
    <x v="1"/>
    <s v="Y"/>
    <m/>
    <s v="DEFERRED"/>
    <s v="Y"/>
    <x v="1"/>
    <x v="0"/>
    <s v="Y"/>
    <n v="3.4482758620689655E-2"/>
    <n v="3.4722222222222224E-2"/>
    <n v="2.3946360153256907E-4"/>
    <n v="0"/>
    <n v="-5"/>
    <n v="0"/>
    <n v="5"/>
    <e v="#VALUE!"/>
    <n v="5"/>
    <n v="0"/>
    <m/>
    <m/>
    <s v="Y"/>
    <m/>
    <s v="0-10 DAYS"/>
    <n v="1"/>
    <x v="0"/>
  </r>
  <r>
    <n v="666"/>
    <s v="N"/>
    <s v="N"/>
    <n v="1996350"/>
    <n v="6"/>
    <d v="2012-01-27T00:00:00"/>
    <d v="2012-07-31T00:00:00"/>
    <n v="1996350"/>
    <d v="2012-01-27T00:00:00"/>
    <d v="2012-01-28T00:00:00"/>
    <n v="50000"/>
    <x v="2"/>
    <d v="2012-01-28T00:00:00"/>
    <s v="Y"/>
    <s v="SURETY"/>
    <s v="GUILTY PLEA - NO JURY"/>
    <n v="2"/>
    <n v="187"/>
    <n v="7"/>
    <n v="1"/>
    <n v="6"/>
    <m/>
    <m/>
    <m/>
    <m/>
    <m/>
    <m/>
    <m/>
    <m/>
    <d v="1985-11-20T00:00:00"/>
    <s v="M"/>
    <s v="B"/>
    <s v="BLACK"/>
    <s v="NON-HISPANIC"/>
    <s v="179"/>
    <s v="CONVICTED"/>
    <n v="8"/>
    <s v="TDC"/>
    <n v="6"/>
    <m/>
    <m/>
    <s v="FELON POSS WPN"/>
    <m/>
    <s v="F3"/>
    <s v="OTHER FEL"/>
    <m/>
    <m/>
    <m/>
    <m/>
    <m/>
    <m/>
    <m/>
    <m/>
    <m/>
    <s v="Hired Attorney"/>
    <m/>
    <m/>
    <n v="2"/>
    <n v="187"/>
    <n v="187"/>
    <n v="26.131147540983605"/>
    <n v="0"/>
    <n v="-185"/>
    <s v="CONVICTION"/>
    <x v="1"/>
    <s v="Y"/>
    <m/>
    <s v="CONVICTION"/>
    <s v="Y"/>
    <x v="1"/>
    <x v="0"/>
    <s v="Y"/>
    <n v="1.06951871657754E-2"/>
    <n v="1.06951871657754E-2"/>
    <n v="0"/>
    <n v="0"/>
    <n v="-2"/>
    <n v="0"/>
    <n v="2"/>
    <e v="#VALUE!"/>
    <n v="2"/>
    <n v="0"/>
    <m/>
    <m/>
    <s v="Y"/>
    <m/>
    <s v="0-10 DAYS"/>
    <n v="1"/>
    <x v="0"/>
  </r>
  <r>
    <n v="1469"/>
    <s v="N"/>
    <s v="N"/>
    <n v="1997518"/>
    <n v="5"/>
    <d v="2012-02-23T00:00:00"/>
    <d v="2012-06-14T00:00:00"/>
    <n v="1997518"/>
    <d v="2012-02-24T00:00:00"/>
    <d v="2012-06-14T00:00:00"/>
    <n v="15000"/>
    <x v="0"/>
    <m/>
    <s v="N"/>
    <s v="NONE"/>
    <s v="GUILTY PLEA - NO JURY"/>
    <n v="112"/>
    <n v="113"/>
    <n v="8"/>
    <n v="1"/>
    <n v="4"/>
    <n v="1"/>
    <m/>
    <m/>
    <m/>
    <m/>
    <m/>
    <m/>
    <m/>
    <d v="1985-12-07T00:00:00"/>
    <s v="M"/>
    <s v="B"/>
    <s v="BLACK"/>
    <s v="NON-HISPANIC"/>
    <s v="337"/>
    <s v="CONVICTED"/>
    <n v="5"/>
    <s v="STJ"/>
    <m/>
    <n v="6"/>
    <m/>
    <s v="POSS CS PG 1 &lt;1G"/>
    <m/>
    <s v="FS"/>
    <s v="POSS DRUG"/>
    <m/>
    <m/>
    <m/>
    <m/>
    <m/>
    <m/>
    <m/>
    <m/>
    <m/>
    <s v="Appointed Attorney"/>
    <m/>
    <m/>
    <n v="112"/>
    <n v="112"/>
    <n v="113"/>
    <n v="26.15846994535519"/>
    <n v="0"/>
    <n v="0"/>
    <s v="CONVICTION"/>
    <x v="0"/>
    <s v="N"/>
    <m/>
    <s v="CONVICTION"/>
    <s v="Y"/>
    <x v="0"/>
    <x v="0"/>
    <s v="Y"/>
    <n v="0.99115044247787609"/>
    <n v="1"/>
    <n v="8.8495575221239076E-3"/>
    <n v="0"/>
    <n v="-112"/>
    <n v="0"/>
    <n v="112"/>
    <e v="#VALUE!"/>
    <n v="112"/>
    <n v="0"/>
    <m/>
    <m/>
    <s v="Y"/>
    <m/>
    <s v="91-120 DAYS"/>
    <n v="0"/>
    <x v="0"/>
  </r>
  <r>
    <n v="493"/>
    <s v="N"/>
    <s v="N"/>
    <n v="1998011"/>
    <n v="1"/>
    <d v="2012-01-20T00:00:00"/>
    <d v="2012-02-10T00:00:00"/>
    <n v="1998011"/>
    <d v="2012-01-21T00:00:00"/>
    <d v="2012-02-10T00:00:00"/>
    <n v="15000"/>
    <x v="0"/>
    <m/>
    <s v="N"/>
    <s v="NONE"/>
    <s v="DISMISSED"/>
    <n v="21"/>
    <n v="22"/>
    <n v="2"/>
    <n v="7"/>
    <n v="2"/>
    <m/>
    <m/>
    <m/>
    <m/>
    <m/>
    <m/>
    <m/>
    <m/>
    <d v="1984-11-22T00:00:00"/>
    <s v="M"/>
    <s v="B"/>
    <s v="BLACK"/>
    <s v="NULL"/>
    <s v="248"/>
    <s v="DISMISSED"/>
    <n v="3"/>
    <s v="DISMISSED"/>
    <m/>
    <m/>
    <m/>
    <s v="UNAUTH USE OF VEHICLE"/>
    <m/>
    <s v="FS"/>
    <s v="AUTO THEFT"/>
    <m/>
    <m/>
    <m/>
    <m/>
    <m/>
    <m/>
    <m/>
    <m/>
    <m/>
    <s v="Appointed Attorney"/>
    <m/>
    <m/>
    <n v="21"/>
    <n v="21"/>
    <n v="22"/>
    <n v="27.103825136612024"/>
    <n v="0"/>
    <n v="0"/>
    <s v="NO CONVICTION"/>
    <x v="0"/>
    <s v="N"/>
    <m/>
    <s v="NO CONVICTION"/>
    <s v="Y"/>
    <x v="0"/>
    <x v="0"/>
    <s v="Y"/>
    <n v="0.95454545454545459"/>
    <n v="1"/>
    <n v="4.5454545454545414E-2"/>
    <n v="0"/>
    <n v="-21"/>
    <n v="0"/>
    <n v="21"/>
    <e v="#VALUE!"/>
    <n v="21"/>
    <n v="0"/>
    <m/>
    <m/>
    <s v="Y"/>
    <m/>
    <s v="11-30 DAYS"/>
    <n v="2"/>
    <x v="0"/>
  </r>
  <r>
    <n v="2391"/>
    <s v="N"/>
    <s v="N"/>
    <n v="1998709"/>
    <n v="5"/>
    <d v="2012-03-31T00:00:00"/>
    <d v="2012-09-25T00:00:00"/>
    <n v="1998709"/>
    <d v="2012-03-31T00:00:00"/>
    <d v="2012-09-25T00:00:00"/>
    <n v="20000"/>
    <x v="0"/>
    <m/>
    <s v="N"/>
    <s v="NONE"/>
    <s v="GUILTY PLEA - NO JURY"/>
    <n v="179"/>
    <n v="179"/>
    <n v="7"/>
    <n v="9"/>
    <n v="4"/>
    <m/>
    <m/>
    <m/>
    <m/>
    <m/>
    <m/>
    <m/>
    <m/>
    <d v="1984-12-26T00:00:00"/>
    <s v="M"/>
    <s v="H"/>
    <s v="HISPANIC"/>
    <s v="HISPANIC"/>
    <s v="182"/>
    <s v="CONVICTED"/>
    <n v="9"/>
    <s v="STJ"/>
    <m/>
    <n v="6"/>
    <m/>
    <s v="POSS MARIJ  4 OZ. - 5 LBS."/>
    <m/>
    <s v="FS"/>
    <s v="POSS DRUG"/>
    <m/>
    <m/>
    <m/>
    <m/>
    <m/>
    <m/>
    <m/>
    <m/>
    <m/>
    <s v="Hired Attorney"/>
    <m/>
    <m/>
    <n v="179"/>
    <n v="179"/>
    <n v="179"/>
    <n v="27.204918032786885"/>
    <n v="0"/>
    <n v="0"/>
    <s v="CONVICTION"/>
    <x v="0"/>
    <s v="N"/>
    <m/>
    <s v="CONVICTION"/>
    <s v="Y"/>
    <x v="0"/>
    <x v="0"/>
    <s v="Y"/>
    <n v="1"/>
    <n v="1"/>
    <n v="0"/>
    <n v="0"/>
    <n v="-179"/>
    <n v="0"/>
    <n v="179"/>
    <e v="#VALUE!"/>
    <n v="179"/>
    <n v="0"/>
    <m/>
    <m/>
    <s v="Y"/>
    <m/>
    <s v="121-365 DAYS"/>
    <n v="6"/>
    <x v="0"/>
  </r>
  <r>
    <n v="726"/>
    <s v="N"/>
    <s v="N"/>
    <n v="1998965"/>
    <n v="5"/>
    <d v="2012-01-29T00:00:00"/>
    <d v="2012-03-15T00:00:00"/>
    <n v="1998965"/>
    <d v="2012-01-29T00:00:00"/>
    <d v="2012-03-15T00:00:00"/>
    <n v="15000"/>
    <x v="0"/>
    <m/>
    <s v="N"/>
    <s v="NONE"/>
    <s v="GUILTY PLEA - NO JURY"/>
    <n v="47"/>
    <n v="47"/>
    <n v="3"/>
    <n v="0"/>
    <n v="3"/>
    <m/>
    <m/>
    <m/>
    <m/>
    <m/>
    <m/>
    <s v="S"/>
    <m/>
    <d v="1986-03-28T00:00:00"/>
    <s v="M"/>
    <s v="H"/>
    <s v="HISPANIC"/>
    <s v="NON-HISPANIC"/>
    <s v="337"/>
    <s v="CONVICTED"/>
    <n v="3"/>
    <s v="STJ"/>
    <m/>
    <n v="6"/>
    <m/>
    <s v="POSS CS PG 1 &lt;1G"/>
    <m/>
    <s v="FS"/>
    <s v="POSS DRUG"/>
    <m/>
    <m/>
    <m/>
    <m/>
    <m/>
    <m/>
    <m/>
    <m/>
    <m/>
    <s v="Appointed Attorney"/>
    <m/>
    <m/>
    <n v="47"/>
    <n v="47"/>
    <n v="47"/>
    <n v="25.78688524590164"/>
    <n v="0"/>
    <n v="0"/>
    <s v="CONVICTION"/>
    <x v="0"/>
    <s v="N"/>
    <m/>
    <s v="CONVICTION"/>
    <s v="Y"/>
    <x v="0"/>
    <x v="0"/>
    <s v="Y"/>
    <n v="1"/>
    <n v="1"/>
    <n v="0"/>
    <n v="0"/>
    <n v="-47"/>
    <n v="0"/>
    <n v="47"/>
    <e v="#VALUE!"/>
    <n v="47"/>
    <n v="0"/>
    <m/>
    <m/>
    <s v="Y"/>
    <m/>
    <s v="31-60 DAYS"/>
    <n v="3"/>
    <x v="0"/>
  </r>
  <r>
    <n v="1497"/>
    <s v="N"/>
    <s v="N"/>
    <n v="1998967"/>
    <n v="6"/>
    <d v="2012-02-25T00:00:00"/>
    <d v="2013-06-18T00:00:00"/>
    <n v="1998967"/>
    <d v="2012-02-25T00:00:00"/>
    <d v="2013-06-18T00:00:00"/>
    <s v="NO BOND"/>
    <x v="1"/>
    <m/>
    <s v="N"/>
    <s v="NONE"/>
    <s v="GUILTY PLEA - NO JURY"/>
    <n v="480"/>
    <n v="480"/>
    <n v="2"/>
    <n v="3"/>
    <n v="2"/>
    <m/>
    <m/>
    <m/>
    <m/>
    <m/>
    <m/>
    <m/>
    <m/>
    <d v="1985-08-06T00:00:00"/>
    <s v="M"/>
    <s v="W"/>
    <s v="WHITE"/>
    <s v="NON-HISPANIC"/>
    <s v="338"/>
    <s v="CONVICTED"/>
    <n v="17"/>
    <s v="TDC"/>
    <n v="10"/>
    <m/>
    <m/>
    <s v="AGG ASSAULT W/DEADLY WEAPON"/>
    <m/>
    <s v="F2"/>
    <s v="ASLT-MURDR"/>
    <s v="REINDICT MURDER 9/10/12"/>
    <m/>
    <m/>
    <m/>
    <m/>
    <m/>
    <m/>
    <m/>
    <m/>
    <s v="Appointed Attorney"/>
    <m/>
    <m/>
    <n v="480"/>
    <n v="480"/>
    <n v="480"/>
    <n v="26.5"/>
    <n v="0"/>
    <n v="0"/>
    <s v="CONVICTION"/>
    <x v="0"/>
    <s v="N"/>
    <m/>
    <s v="CONVICTION"/>
    <s v="Y"/>
    <x v="0"/>
    <x v="0"/>
    <s v="Y"/>
    <n v="1"/>
    <n v="1"/>
    <n v="0"/>
    <n v="0"/>
    <n v="-480"/>
    <n v="0"/>
    <n v="480"/>
    <e v="#VALUE!"/>
    <n v="480"/>
    <n v="0"/>
    <m/>
    <m/>
    <s v="Y"/>
    <m/>
    <s v=" &gt;1YRS&lt;2YRS"/>
    <n v="0"/>
    <x v="0"/>
  </r>
  <r>
    <n v="438"/>
    <s v="N"/>
    <s v="N"/>
    <n v="1999283"/>
    <n v="6"/>
    <d v="2012-01-19T00:00:00"/>
    <d v="2012-02-23T00:00:00"/>
    <n v="1999283"/>
    <d v="2012-01-19T00:00:00"/>
    <d v="2012-02-23T00:00:00"/>
    <n v="15000"/>
    <x v="0"/>
    <m/>
    <s v="N"/>
    <s v="NONE"/>
    <s v="GUILTY PLEA - NO JURY"/>
    <n v="36"/>
    <n v="36"/>
    <n v="5"/>
    <n v="3"/>
    <n v="4"/>
    <m/>
    <m/>
    <m/>
    <m/>
    <m/>
    <m/>
    <m/>
    <m/>
    <d v="1980-05-24T00:00:00"/>
    <s v="M"/>
    <s v="H"/>
    <s v="HISPANIC"/>
    <s v="HISPANIC"/>
    <s v="182"/>
    <s v="CONVICTED"/>
    <n v="2"/>
    <s v="TDC"/>
    <n v="1"/>
    <m/>
    <m/>
    <s v="THEFT UNDER $1500 - 3RD OFF."/>
    <m/>
    <s v="FS"/>
    <s v="THEFT"/>
    <m/>
    <m/>
    <m/>
    <m/>
    <m/>
    <m/>
    <m/>
    <m/>
    <m/>
    <s v="Appointed Attorney"/>
    <m/>
    <m/>
    <n v="36"/>
    <n v="36"/>
    <n v="36"/>
    <n v="31.590163934426229"/>
    <n v="0"/>
    <n v="0"/>
    <s v="CONVICTION"/>
    <x v="0"/>
    <s v="N"/>
    <m/>
    <s v="CONVICTION"/>
    <s v="Y"/>
    <x v="0"/>
    <x v="0"/>
    <s v="Y"/>
    <n v="1"/>
    <n v="1"/>
    <n v="0"/>
    <n v="0"/>
    <n v="-36"/>
    <n v="0"/>
    <n v="36"/>
    <e v="#VALUE!"/>
    <n v="36"/>
    <n v="0"/>
    <m/>
    <m/>
    <s v="Y"/>
    <m/>
    <s v="31-60 DAYS"/>
    <n v="3"/>
    <x v="0"/>
  </r>
  <r>
    <n v="633"/>
    <s v="N"/>
    <s v="N"/>
    <n v="2000125"/>
    <n v="6"/>
    <d v="2012-01-25T00:00:00"/>
    <d v="2012-06-14T00:00:00"/>
    <n v="2000125"/>
    <d v="2012-01-26T00:00:00"/>
    <d v="2012-06-14T00:00:00"/>
    <n v="30000"/>
    <x v="2"/>
    <m/>
    <s v="N"/>
    <s v="NONE"/>
    <s v="GUILTY PLEA - NO JURY"/>
    <n v="141"/>
    <n v="142"/>
    <n v="2"/>
    <n v="4"/>
    <n v="2"/>
    <m/>
    <m/>
    <m/>
    <m/>
    <m/>
    <m/>
    <m/>
    <m/>
    <d v="1984-11-04T00:00:00"/>
    <s v="M"/>
    <s v="B"/>
    <s v="BLACK"/>
    <s v="NULL"/>
    <s v="182"/>
    <s v="CONVICTED"/>
    <n v="4"/>
    <s v="TDC"/>
    <n v="6"/>
    <m/>
    <m/>
    <s v="POSS CS PG 4 200-400 GRAMS"/>
    <m/>
    <s v="F2"/>
    <s v="POSS DRUG"/>
    <m/>
    <m/>
    <m/>
    <m/>
    <m/>
    <m/>
    <m/>
    <m/>
    <m/>
    <s v="Appointed Attorney"/>
    <m/>
    <m/>
    <n v="141"/>
    <n v="141"/>
    <n v="142"/>
    <n v="27.166666666666668"/>
    <n v="0"/>
    <n v="0"/>
    <s v="CONVICTION"/>
    <x v="0"/>
    <s v="N"/>
    <m/>
    <s v="CONVICTION"/>
    <s v="Y"/>
    <x v="0"/>
    <x v="0"/>
    <s v="Y"/>
    <n v="0.99295774647887325"/>
    <n v="1"/>
    <n v="7.0422535211267512E-3"/>
    <n v="0"/>
    <n v="-141"/>
    <n v="0"/>
    <n v="141"/>
    <e v="#VALUE!"/>
    <n v="141"/>
    <n v="0"/>
    <m/>
    <m/>
    <s v="Y"/>
    <m/>
    <s v="121-365 DAYS"/>
    <n v="6"/>
    <x v="0"/>
  </r>
  <r>
    <n v="3116"/>
    <s v="N"/>
    <s v="N"/>
    <n v="2001238"/>
    <n v="2"/>
    <d v="2012-04-25T00:00:00"/>
    <d v="2012-04-26T00:00:00"/>
    <n v="2001238"/>
    <d v="2012-04-25T00:00:00"/>
    <d v="2012-04-26T00:00:00"/>
    <n v="5000"/>
    <x v="4"/>
    <m/>
    <s v="N"/>
    <s v="NONE"/>
    <s v="DEFERRED ADJUDICATION "/>
    <n v="2"/>
    <n v="2"/>
    <n v="1"/>
    <n v="1"/>
    <n v="1"/>
    <m/>
    <m/>
    <m/>
    <m/>
    <m/>
    <m/>
    <m/>
    <m/>
    <d v="1983-05-29T00:00:00"/>
    <s v="M"/>
    <s v="H"/>
    <s v="HISPANIC"/>
    <s v="HISPANIC"/>
    <s v="179"/>
    <s v="DEFERRED"/>
    <n v="1"/>
    <s v="DEFERRED"/>
    <m/>
    <m/>
    <m/>
    <s v="POSS CS PG 1 &lt;1G"/>
    <m/>
    <s v="FS"/>
    <s v="POSS DRUG"/>
    <s v="fel  drugLAWV 7/11/12 revoke 7/30/12 stj 6mos"/>
    <m/>
    <m/>
    <m/>
    <m/>
    <m/>
    <m/>
    <m/>
    <m/>
    <s v="Appointed Attorney"/>
    <m/>
    <m/>
    <n v="2"/>
    <n v="2"/>
    <n v="2"/>
    <n v="28.849726775956285"/>
    <n v="0"/>
    <n v="0"/>
    <s v="DEFERRED"/>
    <x v="0"/>
    <s v="N"/>
    <m/>
    <s v="DEFERRED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357"/>
    <s v="N"/>
    <s v="N"/>
    <n v="2001543"/>
    <n v="6"/>
    <d v="2012-01-15T00:00:00"/>
    <d v="2012-03-22T00:00:00"/>
    <n v="2001543"/>
    <d v="2012-01-15T00:00:00"/>
    <d v="2012-03-22T00:00:00"/>
    <s v="NO BOND"/>
    <x v="1"/>
    <m/>
    <s v="N"/>
    <s v="NONE"/>
    <s v="GUILTY PLEA - NO JURY"/>
    <n v="68"/>
    <n v="68"/>
    <n v="0"/>
    <n v="5"/>
    <m/>
    <m/>
    <m/>
    <m/>
    <m/>
    <m/>
    <m/>
    <m/>
    <m/>
    <d v="1975-08-12T00:00:00"/>
    <s v="M"/>
    <s v="H"/>
    <s v="HISPANIC"/>
    <s v="HISPANIC"/>
    <s v="176"/>
    <s v="CONVICTED"/>
    <n v="4"/>
    <s v="TDC"/>
    <n v="2"/>
    <m/>
    <m/>
    <s v="DWI 3RD OFFENDER BAC .08"/>
    <m/>
    <s v="F3"/>
    <s v="FEL DWI"/>
    <m/>
    <m/>
    <m/>
    <m/>
    <m/>
    <m/>
    <m/>
    <m/>
    <m/>
    <s v="Appointed Attorney"/>
    <m/>
    <m/>
    <n v="68"/>
    <n v="68"/>
    <n v="68"/>
    <n v="36.352459016393439"/>
    <n v="0"/>
    <n v="0"/>
    <s v="CONVICTION"/>
    <x v="0"/>
    <s v="N"/>
    <m/>
    <s v="CONVICTION"/>
    <s v="Y"/>
    <x v="0"/>
    <x v="0"/>
    <s v="N"/>
    <n v="1"/>
    <n v="1"/>
    <n v="0"/>
    <n v="0"/>
    <n v="-68"/>
    <n v="0"/>
    <n v="68"/>
    <e v="#VALUE!"/>
    <n v="68"/>
    <n v="0"/>
    <m/>
    <m/>
    <s v="Y"/>
    <m/>
    <s v="61-90 DAYS"/>
    <n v="4"/>
    <x v="0"/>
  </r>
  <r>
    <n v="144"/>
    <s v="N"/>
    <s v="N"/>
    <n v="2001643"/>
    <n v="4"/>
    <d v="2012-01-07T00:00:00"/>
    <d v="2012-01-09T00:00:00"/>
    <n v="2001643"/>
    <d v="2012-01-07T00:00:00"/>
    <d v="2012-01-09T00:00:00"/>
    <n v="15000"/>
    <x v="0"/>
    <m/>
    <s v="N"/>
    <s v="NONE"/>
    <s v="GUILTY PLEA - NO JURY"/>
    <n v="3"/>
    <n v="3"/>
    <n v="1"/>
    <n v="0"/>
    <n v="1"/>
    <m/>
    <m/>
    <m/>
    <m/>
    <m/>
    <m/>
    <m/>
    <m/>
    <d v="1976-02-25T00:00:00"/>
    <s v="M"/>
    <s v="B"/>
    <s v="BLACK"/>
    <s v="NON-HISPANIC"/>
    <s v="183"/>
    <s v="CONVICTED"/>
    <n v="1"/>
    <s v="HCJ"/>
    <m/>
    <m/>
    <n v="365"/>
    <s v="ENDANGERING A CHILD"/>
    <m/>
    <s v="FS"/>
    <s v="OTHER FEL"/>
    <m/>
    <m/>
    <m/>
    <m/>
    <m/>
    <m/>
    <m/>
    <m/>
    <m/>
    <s v="Appointed Attorney"/>
    <m/>
    <m/>
    <n v="3"/>
    <n v="3"/>
    <n v="3"/>
    <n v="35.792349726775953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1614"/>
    <s v="N"/>
    <s v="N"/>
    <n v="2001944"/>
    <n v="5"/>
    <d v="2012-02-29T00:00:00"/>
    <d v="2012-07-24T00:00:00"/>
    <n v="2001944"/>
    <d v="2012-03-01T00:00:00"/>
    <d v="2012-07-24T00:00:00"/>
    <n v="30000"/>
    <x v="2"/>
    <m/>
    <s v="N"/>
    <s v="NONE"/>
    <s v="GUILTY PLEA - NO JURY"/>
    <n v="146"/>
    <n v="147"/>
    <n v="1"/>
    <n v="7"/>
    <m/>
    <m/>
    <m/>
    <m/>
    <m/>
    <m/>
    <m/>
    <m/>
    <m/>
    <d v="1986-04-04T00:00:00"/>
    <s v="M"/>
    <s v="B"/>
    <s v="BLACK"/>
    <s v="NON-HISPANIC"/>
    <s v="248"/>
    <s v="CONVICTED"/>
    <n v="6"/>
    <s v="STJ"/>
    <m/>
    <n v="6"/>
    <m/>
    <s v="AGG ROBBERY-OVER 65 OR DISABLE"/>
    <m/>
    <s v="F1"/>
    <s v="ROBBERY"/>
    <m/>
    <m/>
    <m/>
    <m/>
    <m/>
    <m/>
    <m/>
    <m/>
    <m/>
    <s v="Public Defender"/>
    <m/>
    <m/>
    <n v="146"/>
    <n v="146"/>
    <n v="147"/>
    <n v="25.852459016393443"/>
    <n v="0"/>
    <n v="0"/>
    <s v="CONVICTION"/>
    <x v="0"/>
    <s v="N"/>
    <m/>
    <s v="CONVICTION"/>
    <s v="Y"/>
    <x v="0"/>
    <x v="0"/>
    <s v="Y"/>
    <n v="0.99319727891156462"/>
    <n v="1"/>
    <n v="6.8027210884353817E-3"/>
    <n v="0"/>
    <n v="-146"/>
    <n v="0"/>
    <n v="146"/>
    <e v="#VALUE!"/>
    <n v="146"/>
    <n v="0"/>
    <m/>
    <m/>
    <s v="Y"/>
    <m/>
    <s v="121-365 DAYS"/>
    <n v="6"/>
    <x v="0"/>
  </r>
  <r>
    <n v="889"/>
    <s v="N"/>
    <s v="N"/>
    <n v="2002380"/>
    <n v="6"/>
    <d v="2012-02-02T00:00:00"/>
    <d v="2012-10-23T00:00:00"/>
    <n v="2002380"/>
    <d v="2012-02-03T00:00:00"/>
    <d v="2012-03-10T00:00:00"/>
    <n v="50000"/>
    <x v="2"/>
    <d v="2012-03-10T00:00:00"/>
    <s v="Y"/>
    <s v="SURETYPTRc"/>
    <s v="GUILTY PLEA - NO JURY"/>
    <n v="37"/>
    <n v="265"/>
    <n v="0"/>
    <n v="1"/>
    <m/>
    <m/>
    <m/>
    <m/>
    <m/>
    <m/>
    <m/>
    <m/>
    <m/>
    <d v="1974-12-13T00:00:00"/>
    <s v="M"/>
    <s v="B"/>
    <s v="BLACK"/>
    <s v="NULL"/>
    <s v="351"/>
    <s v="CONVICTED"/>
    <n v="9"/>
    <s v="TDC"/>
    <n v="10"/>
    <m/>
    <m/>
    <s v="POSS WIM/D GP 3/4 CS- 200-399G"/>
    <m/>
    <s v="F1"/>
    <s v="SALE DRUG"/>
    <m/>
    <m/>
    <m/>
    <m/>
    <m/>
    <m/>
    <m/>
    <m/>
    <m/>
    <s v="Hired Attorney"/>
    <m/>
    <m/>
    <n v="37"/>
    <n v="264"/>
    <n v="265"/>
    <n v="37.062841530054648"/>
    <n v="0"/>
    <n v="-227"/>
    <s v="CONVICTION"/>
    <x v="1"/>
    <s v="Y"/>
    <m/>
    <s v="CONVICTION"/>
    <s v="Y"/>
    <x v="1"/>
    <x v="0"/>
    <s v="N"/>
    <n v="0.13962264150943396"/>
    <n v="0.14015151515151514"/>
    <n v="5.2887364208117904E-4"/>
    <n v="0"/>
    <n v="-37"/>
    <n v="0"/>
    <n v="37"/>
    <e v="#VALUE!"/>
    <n v="37"/>
    <n v="0"/>
    <m/>
    <m/>
    <s v="Y"/>
    <m/>
    <s v="31-60 DAYS"/>
    <n v="3"/>
    <x v="0"/>
  </r>
  <r>
    <n v="2844"/>
    <s v="N"/>
    <s v="N"/>
    <n v="2002800"/>
    <n v="6"/>
    <d v="2012-04-15T00:00:00"/>
    <d v="2012-08-07T00:00:00"/>
    <n v="2002800"/>
    <d v="2012-04-15T00:00:00"/>
    <d v="2012-08-07T00:00:00"/>
    <n v="45000"/>
    <x v="2"/>
    <m/>
    <s v="N"/>
    <s v="NONE"/>
    <s v="GUILTY PLEA - NO JURY"/>
    <n v="115"/>
    <n v="115"/>
    <n v="0"/>
    <n v="3"/>
    <m/>
    <m/>
    <m/>
    <m/>
    <m/>
    <m/>
    <m/>
    <m/>
    <m/>
    <d v="1981-08-15T00:00:00"/>
    <s v="M"/>
    <s v="H"/>
    <s v="HISPANIC"/>
    <s v="HISPANIC"/>
    <s v="183"/>
    <s v="CONVICTED"/>
    <n v="6"/>
    <s v="TDC"/>
    <n v="2"/>
    <m/>
    <m/>
    <s v="DWI 3RD OFFENDER BAC .08"/>
    <m/>
    <s v="F3"/>
    <s v="FEL DWI"/>
    <m/>
    <m/>
    <m/>
    <m/>
    <m/>
    <m/>
    <m/>
    <m/>
    <m/>
    <s v="Public Defender"/>
    <m/>
    <m/>
    <n v="115"/>
    <n v="115"/>
    <n v="115"/>
    <n v="30.603825136612024"/>
    <n v="0"/>
    <n v="0"/>
    <s v="CONVICTION"/>
    <x v="0"/>
    <s v="N"/>
    <m/>
    <s v="CONVICTION"/>
    <s v="Y"/>
    <x v="0"/>
    <x v="0"/>
    <s v="N"/>
    <n v="1"/>
    <n v="1"/>
    <n v="0"/>
    <n v="0"/>
    <n v="-115"/>
    <n v="0"/>
    <n v="115"/>
    <e v="#VALUE!"/>
    <n v="115"/>
    <n v="0"/>
    <m/>
    <m/>
    <s v="Y"/>
    <m/>
    <s v="91-120 DAYS"/>
    <n v="0"/>
    <x v="0"/>
  </r>
  <r>
    <n v="342"/>
    <s v="N"/>
    <s v="N"/>
    <n v="2002962"/>
    <n v="6"/>
    <d v="2012-01-14T00:00:00"/>
    <d v="2012-03-23T00:00:00"/>
    <n v="2002962"/>
    <d v="2012-01-14T00:00:00"/>
    <d v="2012-03-23T00:00:00"/>
    <s v="NO BOND"/>
    <x v="1"/>
    <m/>
    <s v="N"/>
    <s v="NONE"/>
    <s v="GUILTY PLEA - NO JURY"/>
    <n v="70"/>
    <n v="70"/>
    <n v="9"/>
    <n v="0"/>
    <n v="8"/>
    <m/>
    <m/>
    <m/>
    <m/>
    <m/>
    <m/>
    <m/>
    <m/>
    <d v="1985-11-07T00:00:00"/>
    <s v="M"/>
    <s v="B"/>
    <s v="BLACK"/>
    <s v="NON-HISPANIC"/>
    <s v="184"/>
    <s v="CONVICTED"/>
    <n v="4"/>
    <s v="TDC"/>
    <n v="15"/>
    <m/>
    <m/>
    <s v="POSS W/INT DEL CS PG1&gt;=4 &lt;200"/>
    <m/>
    <s v="F1"/>
    <s v="SALE DRUG"/>
    <m/>
    <m/>
    <m/>
    <m/>
    <m/>
    <m/>
    <m/>
    <m/>
    <m/>
    <s v="Hired Attorney"/>
    <m/>
    <m/>
    <n v="70"/>
    <n v="70"/>
    <n v="70"/>
    <n v="26.131147540983605"/>
    <n v="0"/>
    <n v="0"/>
    <s v="CONVICTION"/>
    <x v="0"/>
    <s v="N"/>
    <m/>
    <s v="CONVICTION"/>
    <s v="Y"/>
    <x v="0"/>
    <x v="0"/>
    <s v="Y"/>
    <n v="1"/>
    <n v="1"/>
    <n v="0"/>
    <n v="0"/>
    <n v="-70"/>
    <n v="0"/>
    <n v="70"/>
    <e v="#VALUE!"/>
    <n v="70"/>
    <n v="0"/>
    <m/>
    <m/>
    <s v="Y"/>
    <m/>
    <s v="61-90 DAYS"/>
    <n v="4"/>
    <x v="0"/>
  </r>
  <r>
    <n v="390"/>
    <s v="N"/>
    <s v="N"/>
    <n v="2003458"/>
    <n v="5"/>
    <d v="2012-01-17T00:00:00"/>
    <d v="2012-04-10T00:00:00"/>
    <n v="2003458"/>
    <d v="2012-01-17T00:00:00"/>
    <d v="2012-04-10T00:00:00"/>
    <n v="5000"/>
    <x v="4"/>
    <m/>
    <s v="N"/>
    <s v="NONE"/>
    <s v="DEFENDANT CONVICTED ON ANOTHER CHARGE"/>
    <n v="85"/>
    <n v="85"/>
    <n v="2"/>
    <n v="3"/>
    <n v="2"/>
    <m/>
    <m/>
    <m/>
    <m/>
    <m/>
    <m/>
    <m/>
    <m/>
    <d v="1985-07-15T00:00:00"/>
    <s v="M"/>
    <s v="W"/>
    <s v="WHITE"/>
    <s v="NON-HISPANIC"/>
    <s v="183"/>
    <s v="CONVICTED"/>
    <n v="5"/>
    <s v="STJ"/>
    <m/>
    <n v="9"/>
    <m/>
    <s v="THEFT $1500-20K"/>
    <m/>
    <s v="FS"/>
    <s v="THEFT"/>
    <m/>
    <m/>
    <m/>
    <m/>
    <m/>
    <m/>
    <m/>
    <m/>
    <m/>
    <s v="Appointed Attorney"/>
    <m/>
    <m/>
    <n v="85"/>
    <n v="85"/>
    <n v="85"/>
    <n v="26.453551912568305"/>
    <n v="0"/>
    <n v="0"/>
    <s v="CONVICTION"/>
    <x v="0"/>
    <s v="N"/>
    <m/>
    <s v="CONVICTION"/>
    <s v="Y"/>
    <x v="0"/>
    <x v="0"/>
    <s v="Y"/>
    <n v="1"/>
    <n v="1"/>
    <n v="0"/>
    <n v="0"/>
    <n v="-85"/>
    <n v="0"/>
    <n v="85"/>
    <e v="#VALUE!"/>
    <n v="85"/>
    <n v="0"/>
    <m/>
    <m/>
    <s v="Y"/>
    <m/>
    <s v="61-90 DAYS"/>
    <n v="4"/>
    <x v="0"/>
  </r>
  <r>
    <n v="1686"/>
    <s v="N"/>
    <s v="N"/>
    <n v="2004552"/>
    <n v="1"/>
    <d v="2012-03-03T00:00:00"/>
    <d v="2012-07-31T00:00:00"/>
    <n v="2004552"/>
    <d v="2012-03-03T00:00:00"/>
    <d v="2012-07-31T00:00:00"/>
    <n v="35000"/>
    <x v="2"/>
    <m/>
    <s v="N"/>
    <s v="NONE"/>
    <s v="DISMISSED"/>
    <n v="151"/>
    <n v="151"/>
    <n v="0"/>
    <n v="2"/>
    <m/>
    <m/>
    <m/>
    <m/>
    <m/>
    <m/>
    <m/>
    <s v="S"/>
    <m/>
    <d v="1974-09-20T00:00:00"/>
    <s v="M"/>
    <s v="H"/>
    <s v="HISPANIC"/>
    <s v="NULL"/>
    <s v="178"/>
    <s v="DISMISSED"/>
    <n v="8"/>
    <s v="DISMISSED"/>
    <m/>
    <m/>
    <m/>
    <s v="AGG ASSAULT W/DEADLY WEAPON"/>
    <m/>
    <s v="F2"/>
    <s v="ASLT-MURDR"/>
    <m/>
    <m/>
    <m/>
    <m/>
    <m/>
    <m/>
    <m/>
    <m/>
    <m/>
    <s v="Public Defender"/>
    <m/>
    <m/>
    <n v="151"/>
    <n v="151"/>
    <n v="151"/>
    <n v="37.374316939890711"/>
    <n v="0"/>
    <n v="0"/>
    <s v="NO CONVICTION"/>
    <x v="0"/>
    <s v="N"/>
    <m/>
    <s v="NO CONVICTION"/>
    <s v="Y"/>
    <x v="0"/>
    <x v="0"/>
    <s v="N"/>
    <n v="1"/>
    <n v="1"/>
    <n v="0"/>
    <n v="0"/>
    <n v="-151"/>
    <n v="0"/>
    <n v="151"/>
    <e v="#VALUE!"/>
    <n v="151"/>
    <n v="0"/>
    <m/>
    <m/>
    <s v="Y"/>
    <m/>
    <s v="121-365 DAYS"/>
    <n v="6"/>
    <x v="0"/>
  </r>
  <r>
    <n v="1891"/>
    <s v="N"/>
    <s v="N"/>
    <n v="2005140"/>
    <n v="5"/>
    <d v="2012-03-11T00:00:00"/>
    <d v="2012-03-12T00:00:00"/>
    <n v="2005140"/>
    <d v="2012-03-11T00:00:00"/>
    <d v="2012-03-12T00:00:00"/>
    <n v="15000"/>
    <x v="0"/>
    <m/>
    <s v="N"/>
    <s v="NONE"/>
    <s v="GUILTY PLEA - NO JURY"/>
    <n v="2"/>
    <n v="2"/>
    <n v="6"/>
    <n v="4"/>
    <n v="3"/>
    <m/>
    <m/>
    <m/>
    <m/>
    <m/>
    <m/>
    <m/>
    <m/>
    <d v="1980-09-17T00:00:00"/>
    <s v="F"/>
    <s v="B"/>
    <s v="BLACK"/>
    <s v="NON-HISPANIC"/>
    <s v="180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2"/>
    <n v="2"/>
    <n v="2"/>
    <n v="31.415300546448087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200"/>
    <s v="N"/>
    <s v="N"/>
    <n v="2005741"/>
    <n v="5"/>
    <d v="2012-01-09T00:00:00"/>
    <d v="2012-04-09T00:00:00"/>
    <n v="2005741"/>
    <d v="2012-01-10T00:00:00"/>
    <d v="2012-04-09T00:00:00"/>
    <n v="10000"/>
    <x v="3"/>
    <m/>
    <s v="N"/>
    <s v="NONE"/>
    <s v="GUILTY PLEA - NO JURY"/>
    <n v="91"/>
    <n v="92"/>
    <n v="5"/>
    <n v="5"/>
    <n v="3"/>
    <m/>
    <m/>
    <m/>
    <m/>
    <m/>
    <m/>
    <m/>
    <m/>
    <d v="1984-12-06T00:00:00"/>
    <s v="M"/>
    <s v="B"/>
    <s v="BLACK"/>
    <s v="NON-HISPANIC"/>
    <s v="180"/>
    <s v="CONVICTED"/>
    <n v="4"/>
    <s v="STJ"/>
    <m/>
    <n v="9"/>
    <m/>
    <s v="POSS CS PG 1 &lt;1G"/>
    <m/>
    <s v="FS"/>
    <s v="POSS DRUG"/>
    <m/>
    <m/>
    <m/>
    <m/>
    <m/>
    <m/>
    <m/>
    <m/>
    <m/>
    <s v="Appointed Attorney"/>
    <m/>
    <m/>
    <n v="91"/>
    <n v="91"/>
    <n v="92"/>
    <n v="27.035519125683059"/>
    <n v="0"/>
    <n v="0"/>
    <s v="CONVICTION"/>
    <x v="0"/>
    <s v="N"/>
    <m/>
    <s v="CONVICTION"/>
    <s v="Y"/>
    <x v="0"/>
    <x v="0"/>
    <s v="Y"/>
    <n v="0.98913043478260865"/>
    <n v="1"/>
    <n v="1.0869565217391353E-2"/>
    <n v="0"/>
    <n v="-91"/>
    <n v="0"/>
    <n v="91"/>
    <e v="#VALUE!"/>
    <n v="91"/>
    <n v="0"/>
    <m/>
    <m/>
    <s v="Y"/>
    <m/>
    <s v="91-120 DAYS"/>
    <n v="0"/>
    <x v="0"/>
  </r>
  <r>
    <n v="2991"/>
    <s v="N"/>
    <s v="N"/>
    <n v="2006680"/>
    <n v="2"/>
    <d v="2012-04-20T00:00:00"/>
    <d v="2012-08-08T00:00:00"/>
    <n v="2006680"/>
    <d v="2012-04-20T00:00:00"/>
    <d v="2012-04-21T00:00:00"/>
    <n v="20000"/>
    <x v="0"/>
    <d v="2012-04-21T00:00:00"/>
    <s v="Y"/>
    <s v="SURETY"/>
    <s v="DEFERRED ADJUDICATION "/>
    <n v="2"/>
    <n v="111"/>
    <n v="0"/>
    <n v="2"/>
    <m/>
    <m/>
    <m/>
    <m/>
    <m/>
    <m/>
    <m/>
    <s v="S"/>
    <m/>
    <d v="1979-12-02T00:00:00"/>
    <s v="M"/>
    <s v="H"/>
    <s v="HISPANIC"/>
    <s v="NULL"/>
    <s v="176"/>
    <s v="DEFERRED"/>
    <n v="4"/>
    <s v="DEFERRED"/>
    <m/>
    <m/>
    <m/>
    <s v="ASSAULT-BOD INJ-FAMILY MEMBER"/>
    <m/>
    <s v="F3"/>
    <s v="ASLT-MURDR"/>
    <m/>
    <m/>
    <m/>
    <m/>
    <m/>
    <m/>
    <m/>
    <m/>
    <m/>
    <s v="Hired Attorney"/>
    <m/>
    <m/>
    <n v="2"/>
    <n v="111"/>
    <n v="111"/>
    <n v="32.31693989071038"/>
    <n v="0"/>
    <n v="-109"/>
    <s v="DEFERRED"/>
    <x v="1"/>
    <s v="Y"/>
    <m/>
    <s v="DEFERRED"/>
    <s v="Y"/>
    <x v="1"/>
    <x v="0"/>
    <s v="N"/>
    <n v="1.8018018018018018E-2"/>
    <n v="1.8018018018018018E-2"/>
    <n v="0"/>
    <n v="0"/>
    <n v="-2"/>
    <n v="0"/>
    <n v="2"/>
    <e v="#VALUE!"/>
    <n v="2"/>
    <n v="0"/>
    <m/>
    <m/>
    <s v="Y"/>
    <m/>
    <s v="0-10 DAYS"/>
    <n v="1"/>
    <x v="0"/>
  </r>
  <r>
    <n v="3214"/>
    <s v="N"/>
    <s v="Y"/>
    <n v="2006902"/>
    <n v="5"/>
    <d v="2012-04-28T00:00:00"/>
    <d v="2012-08-29T00:00:00"/>
    <n v="2006902"/>
    <d v="2012-04-28T00:00:00"/>
    <d v="2012-05-01T00:00:00"/>
    <n v="45000"/>
    <x v="2"/>
    <d v="2012-05-01T00:00:00"/>
    <s v="Y"/>
    <s v="SURETY"/>
    <s v="GUILTY PLEA - NO JURY"/>
    <n v="19"/>
    <n v="124"/>
    <n v="6"/>
    <n v="7"/>
    <n v="4"/>
    <m/>
    <m/>
    <m/>
    <m/>
    <m/>
    <m/>
    <m/>
    <m/>
    <d v="1985-01-24T00:00:00"/>
    <s v="M"/>
    <s v="B"/>
    <s v="BLACK"/>
    <s v="NON-HISPANIC"/>
    <s v="174"/>
    <s v="CONVICTED"/>
    <n v="7"/>
    <s v="STJ"/>
    <m/>
    <n v="6"/>
    <m/>
    <s v="DEL MARIJ 1/4 OZ - 5 LBS"/>
    <m/>
    <s v="FS"/>
    <s v="SALE DRUG"/>
    <m/>
    <m/>
    <s v="Y"/>
    <s v="bf 6/5/12 "/>
    <m/>
    <m/>
    <m/>
    <m/>
    <m/>
    <s v="Appointed Attorney"/>
    <m/>
    <m/>
    <n v="19"/>
    <n v="124"/>
    <n v="124"/>
    <n v="27.202185792349727"/>
    <n v="0"/>
    <n v="-120"/>
    <s v="CONVICTION"/>
    <x v="1"/>
    <s v="Y"/>
    <m/>
    <s v="CONVICTION"/>
    <s v="Y"/>
    <x v="1"/>
    <x v="0"/>
    <s v="Y"/>
    <n v="0.15322580645161291"/>
    <n v="3.2258064516129031E-2"/>
    <n v="-0.12096774193548387"/>
    <n v="0"/>
    <n v="-4"/>
    <n v="15"/>
    <n v="4"/>
    <n v="19"/>
    <m/>
    <n v="120"/>
    <m/>
    <m/>
    <s v="Y"/>
    <m/>
    <s v="11-30 DAYS"/>
    <n v="2"/>
    <x v="0"/>
  </r>
  <r>
    <n v="24"/>
    <s v="N"/>
    <s v="N"/>
    <n v="2007436"/>
    <n v="5"/>
    <d v="2012-01-02T00:00:00"/>
    <d v="2012-03-12T00:00:00"/>
    <n v="2007436"/>
    <d v="2012-01-02T00:00:00"/>
    <d v="2012-03-12T00:00:00"/>
    <n v="15000"/>
    <x v="0"/>
    <m/>
    <s v="N"/>
    <s v="NONE"/>
    <s v="GUILTY PLEA - NO JURY"/>
    <n v="71"/>
    <n v="71"/>
    <n v="6"/>
    <n v="13"/>
    <n v="2"/>
    <m/>
    <m/>
    <m/>
    <m/>
    <m/>
    <m/>
    <m/>
    <m/>
    <d v="1985-12-22T00:00:00"/>
    <s v="M"/>
    <s v="W"/>
    <s v="WHITE"/>
    <s v="NON-HISPANIC"/>
    <s v="184"/>
    <s v="CONVICTED"/>
    <n v="3"/>
    <s v="STJ"/>
    <m/>
    <n v="9"/>
    <m/>
    <s v="POSS CS PG 1 &lt;1G"/>
    <m/>
    <s v="FS"/>
    <s v="POSS DRUG"/>
    <m/>
    <m/>
    <m/>
    <m/>
    <m/>
    <m/>
    <m/>
    <m/>
    <m/>
    <s v="Appointed Attorney"/>
    <m/>
    <m/>
    <n v="71"/>
    <n v="71"/>
    <n v="71"/>
    <n v="25.975409836065573"/>
    <n v="0"/>
    <n v="0"/>
    <s v="CONVICTION"/>
    <x v="0"/>
    <s v="N"/>
    <m/>
    <s v="CONVICTION"/>
    <s v="Y"/>
    <x v="0"/>
    <x v="0"/>
    <s v="Y"/>
    <n v="1"/>
    <n v="1"/>
    <n v="0"/>
    <n v="0"/>
    <n v="-71"/>
    <n v="0"/>
    <n v="71"/>
    <e v="#VALUE!"/>
    <n v="71"/>
    <n v="0"/>
    <m/>
    <m/>
    <s v="Y"/>
    <m/>
    <s v="61-90 DAYS"/>
    <n v="4"/>
    <x v="0"/>
  </r>
  <r>
    <n v="269"/>
    <s v="N"/>
    <s v="N"/>
    <n v="2007939"/>
    <n v="1"/>
    <d v="2012-01-12T00:00:00"/>
    <d v="2012-07-31T00:00:00"/>
    <n v="2007939"/>
    <d v="2012-01-12T00:00:00"/>
    <d v="2012-01-13T00:00:00"/>
    <n v="30000"/>
    <x v="2"/>
    <d v="2012-01-13T00:00:00"/>
    <s v="Y"/>
    <s v="SURETY"/>
    <s v="DISMISSED"/>
    <n v="2"/>
    <n v="202"/>
    <n v="2"/>
    <n v="3"/>
    <n v="1"/>
    <m/>
    <m/>
    <m/>
    <m/>
    <m/>
    <m/>
    <m/>
    <m/>
    <d v="1983-09-04T00:00:00"/>
    <s v="M"/>
    <s v="W"/>
    <s v="WHITE"/>
    <s v="NULL"/>
    <s v="208"/>
    <s v="DISMISSED"/>
    <n v="10"/>
    <s v="DISMISSED"/>
    <m/>
    <m/>
    <m/>
    <s v="POSS CS PG 1 4G - 200G"/>
    <m/>
    <s v="F2"/>
    <s v="POSS DRUG"/>
    <m/>
    <m/>
    <m/>
    <m/>
    <m/>
    <m/>
    <m/>
    <m/>
    <m/>
    <s v="Hired Attorney"/>
    <m/>
    <m/>
    <n v="2"/>
    <n v="202"/>
    <n v="202"/>
    <n v="28.297814207650273"/>
    <n v="0"/>
    <n v="-200"/>
    <s v="NO CONVICTION"/>
    <x v="1"/>
    <s v="Y"/>
    <m/>
    <s v="NO CONVICTION"/>
    <s v="Y"/>
    <x v="1"/>
    <x v="0"/>
    <s v="Y"/>
    <n v="9.9009900990099011E-3"/>
    <n v="9.9009900990099011E-3"/>
    <n v="0"/>
    <n v="0"/>
    <n v="-2"/>
    <n v="0"/>
    <n v="2"/>
    <e v="#VALUE!"/>
    <n v="2"/>
    <n v="0"/>
    <m/>
    <m/>
    <s v="Y"/>
    <m/>
    <s v="0-10 DAYS"/>
    <n v="1"/>
    <x v="0"/>
  </r>
  <r>
    <n v="2052"/>
    <s v="N"/>
    <s v="N"/>
    <n v="2008446"/>
    <n v="6"/>
    <d v="2012-03-18T00:00:00"/>
    <d v="2012-05-16T00:00:00"/>
    <n v="2008446"/>
    <d v="2012-03-18T00:00:00"/>
    <d v="2012-05-16T00:00:00"/>
    <s v="NO BOND"/>
    <x v="1"/>
    <m/>
    <s v="N"/>
    <s v="NONE"/>
    <s v="GUILTY PLEA - NO JURY"/>
    <n v="60"/>
    <n v="60"/>
    <n v="1"/>
    <n v="16"/>
    <n v="1"/>
    <m/>
    <m/>
    <m/>
    <m/>
    <m/>
    <m/>
    <m/>
    <m/>
    <d v="1986-01-18T00:00:00"/>
    <s v="M"/>
    <s v="W"/>
    <s v="WHITE"/>
    <s v="NON-HISPANIC"/>
    <s v="180"/>
    <s v="CONVICTED"/>
    <n v="4"/>
    <s v="TDC"/>
    <n v="3"/>
    <m/>
    <m/>
    <s v="ASSAULT-BOD INJ-FAMILY MEMBER"/>
    <m/>
    <s v="F3"/>
    <s v="ASLT-MURDR"/>
    <m/>
    <m/>
    <m/>
    <m/>
    <m/>
    <m/>
    <m/>
    <m/>
    <m/>
    <s v="Appointed Attorney"/>
    <m/>
    <m/>
    <n v="60"/>
    <n v="60"/>
    <n v="60"/>
    <n v="26.10928961748634"/>
    <n v="0"/>
    <n v="0"/>
    <s v="CONVICTION"/>
    <x v="0"/>
    <s v="N"/>
    <m/>
    <s v="CONVICTION"/>
    <s v="Y"/>
    <x v="0"/>
    <x v="0"/>
    <s v="Y"/>
    <n v="1"/>
    <n v="1"/>
    <n v="0"/>
    <n v="0"/>
    <n v="-60"/>
    <n v="0"/>
    <n v="60"/>
    <e v="#VALUE!"/>
    <n v="60"/>
    <n v="0"/>
    <m/>
    <m/>
    <s v="Y"/>
    <m/>
    <s v="31-60 DAYS"/>
    <n v="3"/>
    <x v="0"/>
  </r>
  <r>
    <n v="110"/>
    <s v="N"/>
    <s v="N"/>
    <n v="2009566"/>
    <n v="6"/>
    <d v="2012-01-05T00:00:00"/>
    <d v="2012-02-08T00:00:00"/>
    <n v="2009566"/>
    <d v="2012-01-06T00:00:00"/>
    <d v="2012-02-08T00:00:00"/>
    <n v="20000"/>
    <x v="0"/>
    <m/>
    <s v="N"/>
    <s v="NONE"/>
    <s v="GUILTY PLEA - NO JURY"/>
    <n v="34"/>
    <n v="35"/>
    <n v="2"/>
    <n v="3"/>
    <n v="2"/>
    <m/>
    <m/>
    <m/>
    <m/>
    <m/>
    <m/>
    <m/>
    <m/>
    <d v="1983-10-10T00:00:00"/>
    <s v="M"/>
    <s v="B"/>
    <s v="BLACK"/>
    <s v="NON-HISPANIC"/>
    <s v="208"/>
    <s v="CONVICTED"/>
    <n v="2"/>
    <s v="TDC"/>
    <n v="2"/>
    <m/>
    <m/>
    <s v="POSS CS PG 3 28-200 GRAMS"/>
    <m/>
    <s v="F3"/>
    <s v="POSS DRUG"/>
    <m/>
    <m/>
    <m/>
    <m/>
    <m/>
    <m/>
    <m/>
    <m/>
    <m/>
    <s v="Appointed Attorney"/>
    <m/>
    <m/>
    <n v="34"/>
    <n v="34"/>
    <n v="35"/>
    <n v="28.180327868852459"/>
    <n v="0"/>
    <n v="0"/>
    <s v="CONVICTION"/>
    <x v="0"/>
    <s v="N"/>
    <m/>
    <s v="CONVICTION"/>
    <s v="Y"/>
    <x v="0"/>
    <x v="0"/>
    <s v="Y"/>
    <n v="0.97142857142857142"/>
    <n v="1"/>
    <n v="2.8571428571428581E-2"/>
    <n v="0"/>
    <n v="-34"/>
    <n v="0"/>
    <n v="34"/>
    <e v="#VALUE!"/>
    <n v="34"/>
    <n v="0"/>
    <m/>
    <m/>
    <s v="Y"/>
    <m/>
    <s v="31-60 DAYS"/>
    <n v="3"/>
    <x v="0"/>
  </r>
  <r>
    <n v="2367"/>
    <s v="N"/>
    <s v="N"/>
    <n v="2012351"/>
    <n v="2"/>
    <d v="2012-03-30T00:00:00"/>
    <d v="2012-10-15T00:00:00"/>
    <n v="2012351"/>
    <d v="2012-03-30T00:00:00"/>
    <d v="2012-04-08T00:00:00"/>
    <n v="15000"/>
    <x v="0"/>
    <d v="2012-04-08T00:00:00"/>
    <s v="Y"/>
    <s v="SURETY"/>
    <s v="DEFERRED ADJUDICATION "/>
    <n v="10"/>
    <n v="200"/>
    <n v="2"/>
    <n v="0"/>
    <n v="1"/>
    <m/>
    <m/>
    <m/>
    <m/>
    <m/>
    <m/>
    <m/>
    <m/>
    <d v="1983-09-12T00:00:00"/>
    <s v="M"/>
    <s v="B"/>
    <s v="BLACK"/>
    <s v="NULL"/>
    <s v="180"/>
    <s v="DEFERRED"/>
    <n v="12"/>
    <s v="DEFERRED"/>
    <m/>
    <m/>
    <m/>
    <s v="FELON POSS WPN"/>
    <m/>
    <s v="F3"/>
    <s v="OTHER FEL"/>
    <m/>
    <m/>
    <m/>
    <m/>
    <m/>
    <m/>
    <m/>
    <m/>
    <m/>
    <s v="Hired Attorney"/>
    <m/>
    <m/>
    <n v="10"/>
    <n v="200"/>
    <n v="200"/>
    <n v="28.489071038251367"/>
    <n v="0"/>
    <n v="-190"/>
    <s v="DEFERRED"/>
    <x v="1"/>
    <s v="Y"/>
    <m/>
    <s v="DEFERRED"/>
    <s v="Y"/>
    <x v="1"/>
    <x v="0"/>
    <s v="Y"/>
    <n v="0.05"/>
    <n v="0.05"/>
    <n v="0"/>
    <n v="0"/>
    <n v="-10"/>
    <n v="0"/>
    <n v="10"/>
    <e v="#VALUE!"/>
    <n v="10"/>
    <n v="0"/>
    <m/>
    <m/>
    <s v="Y"/>
    <m/>
    <s v="0-10 DAYS"/>
    <n v="1"/>
    <x v="0"/>
  </r>
  <r>
    <n v="2979"/>
    <s v="N"/>
    <s v="N"/>
    <n v="2012398"/>
    <n v="5"/>
    <d v="2012-04-19T00:00:00"/>
    <d v="2012-05-03T00:00:00"/>
    <n v="2012398"/>
    <d v="2012-04-20T00:00:00"/>
    <d v="2012-05-03T00:00:00"/>
    <n v="5000"/>
    <x v="4"/>
    <m/>
    <s v="N"/>
    <s v="NONE"/>
    <s v="GUILTY PLEA - NO JURY"/>
    <n v="14"/>
    <n v="15"/>
    <n v="1"/>
    <n v="2"/>
    <n v="1"/>
    <m/>
    <m/>
    <m/>
    <m/>
    <m/>
    <m/>
    <m/>
    <m/>
    <d v="1984-07-01T00:00:00"/>
    <s v="M"/>
    <s v="B"/>
    <s v="BLACK"/>
    <s v="NULL"/>
    <s v="208"/>
    <s v="CONVICTED"/>
    <n v="3"/>
    <s v="STJ"/>
    <m/>
    <n v="9"/>
    <m/>
    <s v="POSS CS PG 1 &lt;1G"/>
    <m/>
    <s v="FS"/>
    <s v="POSS DRUG"/>
    <m/>
    <m/>
    <m/>
    <m/>
    <m/>
    <m/>
    <m/>
    <m/>
    <m/>
    <s v="Appointed Attorney"/>
    <m/>
    <m/>
    <n v="14"/>
    <n v="14"/>
    <n v="15"/>
    <n v="27.743169398907103"/>
    <n v="0"/>
    <n v="0"/>
    <s v="CONVICTION"/>
    <x v="0"/>
    <s v="N"/>
    <m/>
    <s v="CONVICTION"/>
    <s v="Y"/>
    <x v="0"/>
    <x v="0"/>
    <s v="Y"/>
    <n v="0.93333333333333335"/>
    <n v="1"/>
    <n v="6.6666666666666652E-2"/>
    <n v="0"/>
    <n v="-14"/>
    <n v="0"/>
    <n v="14"/>
    <e v="#VALUE!"/>
    <n v="14"/>
    <n v="0"/>
    <m/>
    <m/>
    <s v="Y"/>
    <m/>
    <s v="11-30 DAYS"/>
    <n v="2"/>
    <x v="0"/>
  </r>
  <r>
    <n v="393"/>
    <s v="N"/>
    <s v="N"/>
    <n v="2012545"/>
    <n v="1"/>
    <d v="2012-01-17T00:00:00"/>
    <d v="2012-06-20T00:00:00"/>
    <n v="2012545"/>
    <s v="NOT BOOKED"/>
    <s v="NOT BOOKED"/>
    <n v="10000"/>
    <x v="3"/>
    <d v="2012-01-19T00:00:00"/>
    <s v="Y"/>
    <s v="SURETY"/>
    <s v="DISMISSED"/>
    <n v="0"/>
    <n v="156"/>
    <n v="0"/>
    <n v="0"/>
    <m/>
    <m/>
    <m/>
    <m/>
    <m/>
    <m/>
    <m/>
    <m/>
    <m/>
    <d v="1984-12-09T00:00:00"/>
    <s v="M"/>
    <s v="B"/>
    <s v="BLACK"/>
    <s v="NON-HISPANIC"/>
    <s v="228"/>
    <s v="DISMISSED"/>
    <n v="8"/>
    <s v="DISMISSED"/>
    <m/>
    <m/>
    <m/>
    <s v="ROBBERY-BODILY INJURY"/>
    <m/>
    <s v="F2"/>
    <s v="ROBBERY"/>
    <m/>
    <m/>
    <m/>
    <m/>
    <m/>
    <m/>
    <m/>
    <m/>
    <m/>
    <s v="Public Defender"/>
    <m/>
    <m/>
    <n v="0"/>
    <n v="0"/>
    <n v="156"/>
    <n v="27.049180327868854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448"/>
    <s v="N"/>
    <s v="N"/>
    <n v="2013438"/>
    <n v="4"/>
    <d v="2012-02-23T00:00:00"/>
    <d v="2012-07-02T00:00:00"/>
    <n v="2013438"/>
    <d v="2012-02-23T00:00:00"/>
    <d v="2012-02-25T00:00:00"/>
    <n v="5000"/>
    <x v="4"/>
    <d v="2012-02-25T00:00:00"/>
    <s v="Y"/>
    <s v="SURETY"/>
    <s v="GUILTY PLEA - NO JURY"/>
    <n v="3"/>
    <n v="131"/>
    <n v="1"/>
    <n v="1"/>
    <m/>
    <m/>
    <m/>
    <m/>
    <m/>
    <m/>
    <m/>
    <m/>
    <m/>
    <d v="1984-04-07T00:00:00"/>
    <s v="F"/>
    <s v="W"/>
    <s v="WHITE"/>
    <s v="NON-HISPANIC"/>
    <s v="230"/>
    <s v="CONVICTED"/>
    <n v="7"/>
    <s v="HCJ"/>
    <m/>
    <m/>
    <n v="90"/>
    <s v="POSS CS PG 1 &lt;1G"/>
    <m/>
    <s v="FS"/>
    <s v="POSS DRUG"/>
    <m/>
    <m/>
    <m/>
    <m/>
    <m/>
    <m/>
    <m/>
    <m/>
    <m/>
    <s v="Hired Attorney"/>
    <m/>
    <m/>
    <n v="3"/>
    <n v="131"/>
    <n v="131"/>
    <n v="27.8224043715847"/>
    <n v="0"/>
    <n v="-128"/>
    <s v="CONVICTION"/>
    <x v="1"/>
    <s v="Y"/>
    <m/>
    <s v="CONVICTION"/>
    <s v="Y"/>
    <x v="1"/>
    <x v="0"/>
    <s v="Y"/>
    <n v="2.2900763358778626E-2"/>
    <n v="2.2900763358778626E-2"/>
    <n v="0"/>
    <n v="0"/>
    <n v="-3"/>
    <n v="0"/>
    <n v="3"/>
    <e v="#VALUE!"/>
    <n v="3"/>
    <n v="0"/>
    <m/>
    <m/>
    <s v="Y"/>
    <m/>
    <s v="0-10 DAYS"/>
    <n v="1"/>
    <x v="0"/>
  </r>
  <r>
    <n v="2140"/>
    <s v="N"/>
    <s v="N"/>
    <n v="2013548"/>
    <n v="2"/>
    <d v="2012-03-21T00:00:00"/>
    <d v="2012-07-19T00:00:00"/>
    <n v="2013548"/>
    <d v="2012-03-21T00:00:00"/>
    <d v="2012-03-26T00:00:00"/>
    <n v="5000"/>
    <x v="4"/>
    <d v="2012-03-26T00:00:00"/>
    <s v="Y"/>
    <s v="SURETYPTRc"/>
    <s v="DEFERRED ADJUDICATION "/>
    <n v="6"/>
    <n v="121"/>
    <n v="1"/>
    <n v="1"/>
    <n v="1"/>
    <m/>
    <m/>
    <m/>
    <m/>
    <m/>
    <m/>
    <m/>
    <m/>
    <d v="1981-05-06T00:00:00"/>
    <s v="F"/>
    <s v="H"/>
    <s v="HISPANIC"/>
    <s v="HISPANIC"/>
    <s v="183"/>
    <s v="DEFERRED"/>
    <n v="6"/>
    <s v="DEFERRED"/>
    <m/>
    <m/>
    <m/>
    <s v="POSS CS PG 1 &lt;1G"/>
    <m/>
    <s v="FS"/>
    <s v="POSS DRUG"/>
    <m/>
    <m/>
    <m/>
    <m/>
    <m/>
    <m/>
    <m/>
    <m/>
    <m/>
    <s v="Hired Attorney"/>
    <m/>
    <m/>
    <n v="6"/>
    <n v="121"/>
    <n v="121"/>
    <n v="30.811475409836067"/>
    <n v="0"/>
    <n v="-115"/>
    <s v="DEFERRED"/>
    <x v="1"/>
    <s v="Y"/>
    <m/>
    <s v="DEFERRED"/>
    <s v="Y"/>
    <x v="1"/>
    <x v="0"/>
    <s v="Y"/>
    <n v="4.9586776859504134E-2"/>
    <n v="4.9586776859504134E-2"/>
    <n v="0"/>
    <n v="0"/>
    <n v="-6"/>
    <n v="0"/>
    <n v="6"/>
    <e v="#VALUE!"/>
    <n v="6"/>
    <n v="0"/>
    <m/>
    <m/>
    <s v="Y"/>
    <m/>
    <s v="0-10 DAYS"/>
    <n v="1"/>
    <x v="0"/>
  </r>
  <r>
    <n v="1751"/>
    <s v="N"/>
    <s v="N"/>
    <n v="2014307"/>
    <n v="2"/>
    <d v="2012-03-06T00:00:00"/>
    <d v="2012-07-13T00:00:00"/>
    <n v="2014307"/>
    <d v="2012-03-11T00:00:00"/>
    <d v="2012-07-13T00:00:00"/>
    <n v="60000"/>
    <x v="2"/>
    <m/>
    <s v="N"/>
    <s v="NONE"/>
    <s v="DEFERRED ADJUDICATION "/>
    <n v="125"/>
    <n v="130"/>
    <n v="0"/>
    <n v="4"/>
    <m/>
    <m/>
    <m/>
    <m/>
    <m/>
    <m/>
    <m/>
    <s v="S"/>
    <m/>
    <d v="1986-03-03T00:00:00"/>
    <s v="M"/>
    <s v="H"/>
    <s v="HISPANIC"/>
    <s v="NULL"/>
    <s v="209"/>
    <s v="DEFERRED"/>
    <n v="5"/>
    <s v="DEFERRED"/>
    <m/>
    <m/>
    <m/>
    <s v="AGG ROBBERY-OVER 65 OR DISABLE"/>
    <m/>
    <s v="F1"/>
    <s v="ROBBERY"/>
    <s v="two misd theft 7/17/12 hcj 130 days"/>
    <m/>
    <m/>
    <m/>
    <m/>
    <m/>
    <m/>
    <m/>
    <m/>
    <s v="Hired Attorney"/>
    <m/>
    <m/>
    <n v="125"/>
    <n v="125"/>
    <n v="130"/>
    <n v="25.956284153005466"/>
    <n v="0"/>
    <n v="0"/>
    <s v="DEFERRED"/>
    <x v="0"/>
    <s v="N"/>
    <m/>
    <s v="DEFERRED"/>
    <s v="Y"/>
    <x v="0"/>
    <x v="0"/>
    <s v="N"/>
    <n v="0.96153846153846156"/>
    <n v="1"/>
    <n v="3.8461538461538436E-2"/>
    <n v="0"/>
    <n v="-125"/>
    <n v="0"/>
    <n v="125"/>
    <e v="#VALUE!"/>
    <n v="125"/>
    <n v="0"/>
    <m/>
    <m/>
    <s v="Y"/>
    <m/>
    <s v="121-365 DAYS"/>
    <n v="6"/>
    <x v="0"/>
  </r>
  <r>
    <n v="1050"/>
    <s v="N"/>
    <s v="N"/>
    <n v="2014374"/>
    <n v="6"/>
    <d v="2012-02-08T00:00:00"/>
    <d v="2012-08-29T00:00:00"/>
    <n v="2014374"/>
    <d v="2012-02-09T00:00:00"/>
    <d v="2012-08-29T00:00:00"/>
    <s v="NO BOND"/>
    <x v="1"/>
    <m/>
    <s v="N"/>
    <s v="NONE"/>
    <s v="GUILTY PLEA - NO JURY"/>
    <n v="203"/>
    <n v="204"/>
    <n v="1"/>
    <n v="4"/>
    <n v="1"/>
    <m/>
    <m/>
    <m/>
    <m/>
    <m/>
    <m/>
    <s v="S"/>
    <m/>
    <d v="1985-06-16T00:00:00"/>
    <s v="M"/>
    <s v="H"/>
    <s v="HISPANIC"/>
    <s v="NULL"/>
    <s v="208"/>
    <s v="CONVICTED"/>
    <n v="15"/>
    <s v="TDC"/>
    <n v="4"/>
    <m/>
    <m/>
    <s v="BURGLARY OF HABITATION"/>
    <m/>
    <s v="F2"/>
    <s v="BURGLARY"/>
    <m/>
    <m/>
    <m/>
    <m/>
    <m/>
    <m/>
    <m/>
    <m/>
    <m/>
    <s v="Hired Attorney"/>
    <m/>
    <m/>
    <n v="203"/>
    <n v="203"/>
    <n v="204"/>
    <n v="26.592896174863387"/>
    <n v="0"/>
    <n v="0"/>
    <s v="CONVICTION"/>
    <x v="0"/>
    <s v="N"/>
    <m/>
    <s v="CONVICTION"/>
    <s v="Y"/>
    <x v="0"/>
    <x v="0"/>
    <s v="Y"/>
    <n v="0.99509803921568629"/>
    <n v="1"/>
    <n v="4.9019607843137081E-3"/>
    <n v="0"/>
    <n v="-203"/>
    <n v="0"/>
    <n v="203"/>
    <e v="#VALUE!"/>
    <n v="203"/>
    <n v="0"/>
    <m/>
    <m/>
    <s v="Y"/>
    <m/>
    <s v="121-365 DAYS"/>
    <n v="6"/>
    <x v="0"/>
  </r>
  <r>
    <n v="476"/>
    <s v="N"/>
    <s v="N"/>
    <n v="2015983"/>
    <n v="2"/>
    <d v="2012-01-20T00:00:00"/>
    <d v="2012-01-23T00:00:00"/>
    <n v="2015983"/>
    <d v="2012-01-20T00:00:00"/>
    <d v="2012-01-23T00:00:00"/>
    <n v="2000"/>
    <x v="5"/>
    <m/>
    <s v="N"/>
    <s v="NONE"/>
    <s v="DEFERRED ADJUDICATION "/>
    <n v="4"/>
    <n v="4"/>
    <n v="0"/>
    <n v="7"/>
    <m/>
    <m/>
    <m/>
    <m/>
    <m/>
    <m/>
    <m/>
    <m/>
    <m/>
    <d v="1966-07-15T00:00:00"/>
    <s v="M"/>
    <s v="B"/>
    <s v="BLACK"/>
    <s v="NON-HISPANIC"/>
    <s v="176"/>
    <s v="DEFERRED"/>
    <n v="1"/>
    <s v="DEFERRED"/>
    <m/>
    <m/>
    <m/>
    <s v="DEL MARIJ 1/4 OZ - 5 LBS"/>
    <m/>
    <s v="FS"/>
    <s v="SALE DRUG"/>
    <m/>
    <m/>
    <m/>
    <m/>
    <m/>
    <m/>
    <m/>
    <m/>
    <m/>
    <s v="Appointed Attorney"/>
    <m/>
    <m/>
    <n v="4"/>
    <n v="4"/>
    <n v="4"/>
    <n v="45.423497267759565"/>
    <n v="0"/>
    <n v="0"/>
    <s v="DEFERRED"/>
    <x v="0"/>
    <s v="N"/>
    <m/>
    <s v="DEFERRED"/>
    <s v="Y"/>
    <x v="0"/>
    <x v="0"/>
    <s v="N"/>
    <n v="1"/>
    <n v="1"/>
    <n v="0"/>
    <n v="0"/>
    <n v="-4"/>
    <n v="0"/>
    <n v="4"/>
    <e v="#VALUE!"/>
    <n v="4"/>
    <n v="0"/>
    <m/>
    <m/>
    <s v="Y"/>
    <m/>
    <s v="0-10 DAYS"/>
    <n v="1"/>
    <x v="0"/>
  </r>
  <r>
    <n v="2545"/>
    <s v="N"/>
    <s v="N"/>
    <n v="2016018"/>
    <n v="5"/>
    <d v="2012-04-05T00:00:00"/>
    <d v="2012-05-03T00:00:00"/>
    <n v="2016018"/>
    <d v="2012-04-05T00:00:00"/>
    <d v="2012-05-03T00:00:00"/>
    <n v="15000"/>
    <x v="0"/>
    <m/>
    <s v="N"/>
    <s v="NONE"/>
    <s v="GUILTY PLEA - NO JURY"/>
    <n v="29"/>
    <n v="29"/>
    <n v="4"/>
    <n v="1"/>
    <n v="2"/>
    <m/>
    <m/>
    <m/>
    <m/>
    <m/>
    <m/>
    <m/>
    <m/>
    <d v="1986-01-20T00:00:00"/>
    <s v="M"/>
    <s v="B"/>
    <s v="BLACK"/>
    <s v="NULL"/>
    <s v="263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29"/>
    <n v="29"/>
    <n v="29"/>
    <n v="26.153005464480874"/>
    <n v="0"/>
    <n v="0"/>
    <s v="CONVICTION"/>
    <x v="0"/>
    <s v="N"/>
    <m/>
    <s v="CONVICTION"/>
    <s v="Y"/>
    <x v="0"/>
    <x v="0"/>
    <s v="Y"/>
    <n v="1"/>
    <n v="1"/>
    <n v="0"/>
    <n v="0"/>
    <n v="-29"/>
    <n v="0"/>
    <n v="29"/>
    <e v="#VALUE!"/>
    <n v="29"/>
    <n v="0"/>
    <m/>
    <m/>
    <s v="Y"/>
    <m/>
    <s v="11-30 DAYS"/>
    <n v="2"/>
    <x v="0"/>
  </r>
  <r>
    <n v="1524"/>
    <s v="N"/>
    <s v="N"/>
    <n v="2016186"/>
    <n v="2"/>
    <d v="2012-02-26T00:00:00"/>
    <d v="2012-05-29T00:00:00"/>
    <n v="2016186"/>
    <d v="2012-02-26T00:00:00"/>
    <d v="2012-02-27T00:00:00"/>
    <n v="2000"/>
    <x v="5"/>
    <d v="2012-02-27T00:00:00"/>
    <s v="Y"/>
    <s v="SURETY"/>
    <s v="DEFERRED ADJUDICATION "/>
    <n v="2"/>
    <n v="94"/>
    <n v="0"/>
    <n v="1"/>
    <m/>
    <m/>
    <m/>
    <m/>
    <m/>
    <m/>
    <m/>
    <m/>
    <m/>
    <d v="1988-10-05T00:00:00"/>
    <s v="F"/>
    <s v="W"/>
    <s v="WHITE"/>
    <s v="NON-HISPANIC"/>
    <s v="339"/>
    <s v="DEFERRED"/>
    <n v="5"/>
    <s v="DEFERRED"/>
    <m/>
    <m/>
    <m/>
    <s v="ABAN/ENDANG CHILD W/INT TO RET"/>
    <m/>
    <s v="FS"/>
    <s v="OTHER FEL"/>
    <m/>
    <m/>
    <m/>
    <m/>
    <m/>
    <m/>
    <m/>
    <m/>
    <m/>
    <s v="Appointed Attorney"/>
    <m/>
    <m/>
    <n v="2"/>
    <n v="94"/>
    <n v="94"/>
    <n v="23.344262295081968"/>
    <n v="0"/>
    <n v="-92"/>
    <s v="DEFERRED"/>
    <x v="1"/>
    <s v="Y"/>
    <m/>
    <s v="DEFERRED"/>
    <s v="Y"/>
    <x v="1"/>
    <x v="0"/>
    <s v="N"/>
    <n v="2.1276595744680851E-2"/>
    <n v="2.1276595744680851E-2"/>
    <n v="0"/>
    <n v="0"/>
    <n v="-2"/>
    <n v="0"/>
    <n v="2"/>
    <e v="#VALUE!"/>
    <n v="2"/>
    <n v="0"/>
    <m/>
    <m/>
    <s v="Y"/>
    <m/>
    <s v="0-10 DAYS"/>
    <n v="1"/>
    <x v="0"/>
  </r>
  <r>
    <n v="2637"/>
    <s v="N"/>
    <s v="N"/>
    <n v="2017343"/>
    <n v="4"/>
    <d v="2012-04-07T00:00:00"/>
    <d v="2012-04-11T00:00:00"/>
    <n v="2017343"/>
    <d v="2012-04-09T00:00:00"/>
    <d v="2012-04-11T00:00:00"/>
    <n v="50000"/>
    <x v="2"/>
    <m/>
    <s v="N"/>
    <s v="NONE"/>
    <s v="GUILTY PLEA - NO JURY"/>
    <n v="3"/>
    <n v="5"/>
    <n v="1"/>
    <n v="0"/>
    <n v="1"/>
    <m/>
    <m/>
    <m/>
    <m/>
    <m/>
    <m/>
    <m/>
    <m/>
    <d v="1980-11-24T00:00:00"/>
    <s v="M"/>
    <s v="W"/>
    <s v="WHITE"/>
    <s v="NULL"/>
    <s v="176"/>
    <s v="CONVICTED"/>
    <n v="2"/>
    <s v="HCJ"/>
    <m/>
    <m/>
    <n v="90"/>
    <s v="CRIM MISCH &gt;=$1500 &lt;$20K"/>
    <m/>
    <s v="FS"/>
    <s v="OTHER FEL"/>
    <s v="4/12/12 misd resist arr search hcj 45 day"/>
    <m/>
    <m/>
    <m/>
    <m/>
    <m/>
    <m/>
    <m/>
    <m/>
    <s v="Appointed Attorney"/>
    <m/>
    <m/>
    <n v="3"/>
    <n v="3"/>
    <n v="5"/>
    <n v="31.303278688524589"/>
    <n v="0"/>
    <n v="0"/>
    <s v="CONVICTION"/>
    <x v="0"/>
    <s v="N"/>
    <m/>
    <s v="CONVICTION"/>
    <s v="Y"/>
    <x v="0"/>
    <x v="0"/>
    <s v="Y"/>
    <n v="0.6"/>
    <n v="1"/>
    <n v="0.4"/>
    <n v="0"/>
    <n v="-3"/>
    <n v="0"/>
    <n v="3"/>
    <e v="#VALUE!"/>
    <n v="3"/>
    <n v="0"/>
    <m/>
    <m/>
    <s v="Y"/>
    <m/>
    <s v="0-10 DAYS"/>
    <n v="1"/>
    <x v="0"/>
  </r>
  <r>
    <n v="2992"/>
    <s v="N"/>
    <s v="N"/>
    <n v="2018394"/>
    <n v="2"/>
    <d v="2012-04-20T00:00:00"/>
    <d v="2012-04-23T00:00:00"/>
    <n v="2018394"/>
    <d v="2012-04-20T00:00:00"/>
    <d v="2012-04-23T00:00:00"/>
    <n v="2000"/>
    <x v="5"/>
    <m/>
    <s v="N"/>
    <s v="NONE"/>
    <s v="DEFERRED ADJUDICATION "/>
    <n v="4"/>
    <n v="4"/>
    <n v="0"/>
    <n v="3"/>
    <m/>
    <m/>
    <m/>
    <m/>
    <m/>
    <m/>
    <m/>
    <s v="S"/>
    <m/>
    <d v="1965-10-21T00:00:00"/>
    <s v="M"/>
    <s v="H"/>
    <s v="HISPANIC"/>
    <s v="NULL"/>
    <s v="338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4"/>
    <n v="4"/>
    <n v="4"/>
    <n v="46.401639344262293"/>
    <n v="0"/>
    <n v="0"/>
    <s v="DEFERRED"/>
    <x v="0"/>
    <s v="N"/>
    <m/>
    <s v="DEFERRED"/>
    <s v="Y"/>
    <x v="0"/>
    <x v="0"/>
    <s v="N"/>
    <n v="1"/>
    <n v="1"/>
    <n v="0"/>
    <n v="0"/>
    <n v="-4"/>
    <n v="0"/>
    <n v="4"/>
    <e v="#VALUE!"/>
    <n v="4"/>
    <n v="0"/>
    <m/>
    <m/>
    <s v="Y"/>
    <m/>
    <s v="0-10 DAYS"/>
    <n v="1"/>
    <x v="0"/>
  </r>
  <r>
    <n v="2234"/>
    <s v="N"/>
    <s v="N"/>
    <n v="2019227"/>
    <n v="4"/>
    <d v="2012-03-25T00:00:00"/>
    <d v="2012-09-13T00:00:00"/>
    <n v="2019227"/>
    <d v="2012-03-25T00:00:00"/>
    <d v="2012-09-13T00:00:00"/>
    <n v="35000"/>
    <x v="2"/>
    <m/>
    <s v="N"/>
    <s v="NONE"/>
    <s v="GUILTY PLEA - NO JURY"/>
    <n v="173"/>
    <n v="173"/>
    <n v="0"/>
    <n v="0"/>
    <m/>
    <m/>
    <m/>
    <m/>
    <m/>
    <m/>
    <m/>
    <s v="S"/>
    <m/>
    <d v="1979-03-11T00:00:00"/>
    <s v="M"/>
    <s v="H"/>
    <s v="HISPANIC"/>
    <s v="NULL"/>
    <s v="208"/>
    <s v="CONVICTED"/>
    <n v="7"/>
    <s v="HCJ"/>
    <m/>
    <m/>
    <n v="180"/>
    <s v="AGG ASSAULT W/DEADLY WEAPON"/>
    <m/>
    <s v="F2"/>
    <s v="ASLT-MURDR"/>
    <m/>
    <m/>
    <m/>
    <m/>
    <m/>
    <m/>
    <m/>
    <m/>
    <m/>
    <s v="Hired Attorney"/>
    <m/>
    <m/>
    <n v="173"/>
    <n v="173"/>
    <n v="173"/>
    <n v="32.972677595628419"/>
    <n v="0"/>
    <n v="0"/>
    <s v="CONVICTION"/>
    <x v="0"/>
    <s v="N"/>
    <m/>
    <s v="CONVICTION"/>
    <s v="Y"/>
    <x v="0"/>
    <x v="0"/>
    <s v="N"/>
    <n v="1"/>
    <n v="1"/>
    <n v="0"/>
    <n v="0"/>
    <n v="-173"/>
    <n v="0"/>
    <n v="173"/>
    <e v="#VALUE!"/>
    <n v="173"/>
    <n v="0"/>
    <m/>
    <m/>
    <s v="N"/>
    <m/>
    <s v="121-365 DAYS"/>
    <n v="6"/>
    <x v="0"/>
  </r>
  <r>
    <n v="1410"/>
    <s v="N"/>
    <s v="N"/>
    <n v="2019238"/>
    <n v="5"/>
    <d v="2012-02-22T00:00:00"/>
    <d v="2012-10-19T00:00:00"/>
    <n v="2019238"/>
    <s v="NOT BOOKED"/>
    <s v="NOT BOOKED"/>
    <n v="5000"/>
    <x v="4"/>
    <d v="2012-02-24T00:00:00"/>
    <s v="Y"/>
    <s v="SURETY"/>
    <s v="GUILTY PLEA - NO JURY"/>
    <n v="0"/>
    <n v="241"/>
    <n v="4"/>
    <n v="4"/>
    <n v="3"/>
    <m/>
    <m/>
    <m/>
    <m/>
    <m/>
    <m/>
    <m/>
    <m/>
    <d v="1980-12-01T00:00:00"/>
    <s v="F"/>
    <s v="B"/>
    <s v="BLACK"/>
    <s v="NON-HISPANIC"/>
    <s v="178"/>
    <s v="CONVICTED"/>
    <n v="11"/>
    <s v="STJ"/>
    <m/>
    <n v="12"/>
    <m/>
    <s v="THEFT UNDER $1500 - 3RD OFF."/>
    <m/>
    <s v="FS"/>
    <s v="THEFT"/>
    <m/>
    <m/>
    <m/>
    <m/>
    <m/>
    <m/>
    <m/>
    <m/>
    <m/>
    <s v="Hired Attorney"/>
    <m/>
    <m/>
    <n v="0"/>
    <n v="0"/>
    <n v="241"/>
    <n v="31.161202185792348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1657"/>
    <s v="N"/>
    <s v="N"/>
    <n v="2019966"/>
    <n v="2"/>
    <d v="2012-03-02T00:00:00"/>
    <d v="2012-03-05T00:00:00"/>
    <n v="2019966"/>
    <d v="2012-03-02T00:00:00"/>
    <d v="2012-03-05T00:00:00"/>
    <n v="10000"/>
    <x v="3"/>
    <m/>
    <s v="N"/>
    <s v="NONE"/>
    <s v="DEFERRED ADJUDICATION "/>
    <n v="4"/>
    <n v="4"/>
    <n v="0"/>
    <n v="2"/>
    <m/>
    <m/>
    <m/>
    <m/>
    <m/>
    <m/>
    <m/>
    <m/>
    <m/>
    <d v="1984-03-18T00:00:00"/>
    <s v="M"/>
    <s v="W"/>
    <s v="WHITE"/>
    <s v="NON-HISPANIC"/>
    <s v="179"/>
    <s v="DEFERRED"/>
    <n v="1"/>
    <s v="DEFERRED"/>
    <m/>
    <m/>
    <m/>
    <s v="POSS CS PG 1 4G - 200G"/>
    <m/>
    <s v="F2"/>
    <s v="POSS DRUG"/>
    <s v="law vio rev def adj 9/7/12 tdc 3yrs"/>
    <m/>
    <m/>
    <m/>
    <m/>
    <m/>
    <m/>
    <m/>
    <m/>
    <s v="Appointed Attorney"/>
    <m/>
    <m/>
    <n v="4"/>
    <n v="4"/>
    <n v="4"/>
    <n v="27.898907103825138"/>
    <n v="0"/>
    <n v="0"/>
    <s v="DEFERRED"/>
    <x v="0"/>
    <s v="N"/>
    <m/>
    <s v="DEFERRED"/>
    <s v="Y"/>
    <x v="0"/>
    <x v="0"/>
    <s v="N"/>
    <n v="1"/>
    <n v="1"/>
    <n v="0"/>
    <n v="0"/>
    <n v="-4"/>
    <n v="0"/>
    <n v="4"/>
    <e v="#VALUE!"/>
    <n v="4"/>
    <n v="0"/>
    <m/>
    <m/>
    <s v="Y"/>
    <m/>
    <s v="0-10 DAYS"/>
    <n v="1"/>
    <x v="0"/>
  </r>
  <r>
    <n v="2139"/>
    <s v="N"/>
    <s v="N"/>
    <n v="2020114"/>
    <n v="2"/>
    <d v="2012-03-21T00:00:00"/>
    <d v="2012-07-13T00:00:00"/>
    <n v="2020114"/>
    <d v="2012-03-21T00:00:00"/>
    <d v="2012-03-22T00:00:00"/>
    <n v="2000"/>
    <x v="5"/>
    <d v="2012-03-22T00:00:00"/>
    <s v="Y"/>
    <s v="SURETY"/>
    <s v="DEFERRED ADJUDICATION "/>
    <n v="2"/>
    <n v="115"/>
    <n v="0"/>
    <n v="0"/>
    <m/>
    <m/>
    <m/>
    <m/>
    <m/>
    <m/>
    <m/>
    <m/>
    <m/>
    <d v="1984-11-23T00:00:00"/>
    <s v="M"/>
    <s v="H"/>
    <s v="HISPANIC"/>
    <s v="HISPANIC"/>
    <s v="232"/>
    <s v="DEFERRED"/>
    <n v="5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115"/>
    <n v="115"/>
    <n v="27.26775956284153"/>
    <n v="0"/>
    <n v="-113"/>
    <s v="DEFERRED"/>
    <x v="1"/>
    <s v="Y"/>
    <m/>
    <s v="DEFERRED"/>
    <s v="Y"/>
    <x v="1"/>
    <x v="0"/>
    <s v="N"/>
    <n v="1.7391304347826087E-2"/>
    <n v="1.7391304347826087E-2"/>
    <n v="0"/>
    <n v="0"/>
    <n v="-2"/>
    <n v="0"/>
    <n v="2"/>
    <e v="#VALUE!"/>
    <n v="2"/>
    <n v="0"/>
    <m/>
    <m/>
    <s v="N"/>
    <m/>
    <s v="0-10 DAYS"/>
    <n v="1"/>
    <x v="0"/>
  </r>
  <r>
    <n v="1754"/>
    <s v="N"/>
    <s v="N"/>
    <n v="2020941"/>
    <n v="5"/>
    <d v="2012-03-06T00:00:00"/>
    <d v="2012-03-08T00:00:00"/>
    <n v="2020941"/>
    <d v="2012-03-06T00:00:00"/>
    <d v="2012-03-08T00:00:00"/>
    <n v="15000"/>
    <x v="0"/>
    <m/>
    <s v="N"/>
    <s v="NONE"/>
    <s v="GUILTY PLEA - NO JURY"/>
    <n v="3"/>
    <n v="3"/>
    <n v="6"/>
    <n v="6"/>
    <n v="5"/>
    <m/>
    <m/>
    <m/>
    <m/>
    <m/>
    <m/>
    <m/>
    <m/>
    <d v="1982-07-29T00:00:00"/>
    <s v="F"/>
    <s v="B"/>
    <s v="BLACK"/>
    <s v="NON-HISPANIC"/>
    <s v="178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3"/>
    <n v="3"/>
    <n v="3"/>
    <n v="29.543715846994534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901"/>
    <s v="N"/>
    <s v="N"/>
    <n v="2021855"/>
    <n v="4"/>
    <d v="2012-02-03T00:00:00"/>
    <d v="2012-02-06T00:00:00"/>
    <n v="2021855"/>
    <d v="2012-02-03T00:00:00"/>
    <d v="2012-02-06T00:00:00"/>
    <n v="5000"/>
    <x v="4"/>
    <m/>
    <s v="N"/>
    <s v="NONE"/>
    <s v="GUILTY PLEA - NO JURY"/>
    <n v="4"/>
    <n v="4"/>
    <n v="1"/>
    <n v="5"/>
    <n v="1"/>
    <m/>
    <m/>
    <m/>
    <m/>
    <m/>
    <m/>
    <m/>
    <m/>
    <d v="1977-10-11T00:00:00"/>
    <s v="M"/>
    <s v="B"/>
    <s v="BLACK"/>
    <s v="NULL"/>
    <s v="179"/>
    <s v="CONVICTED"/>
    <n v="1"/>
    <s v="HCJ"/>
    <m/>
    <m/>
    <n v="365"/>
    <s v="POSS CS PG 1 &lt;1G"/>
    <m/>
    <s v="FS"/>
    <s v="POSS DRUG"/>
    <m/>
    <m/>
    <m/>
    <m/>
    <m/>
    <m/>
    <m/>
    <m/>
    <m/>
    <s v="Appointed Attorney"/>
    <m/>
    <m/>
    <n v="4"/>
    <n v="4"/>
    <n v="4"/>
    <n v="34.243169398907106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m/>
    <m/>
    <s v="Y"/>
    <m/>
    <s v="0-10 DAYS"/>
    <n v="1"/>
    <x v="0"/>
  </r>
  <r>
    <n v="3194"/>
    <s v="N"/>
    <s v="N"/>
    <n v="2022720"/>
    <n v="2"/>
    <d v="2012-04-27T00:00:00"/>
    <d v="2012-10-09T00:00:00"/>
    <n v="2022720"/>
    <d v="2012-05-10T00:00:00"/>
    <d v="2012-05-12T00:00:00"/>
    <n v="30000"/>
    <x v="2"/>
    <d v="2012-05-12T00:00:00"/>
    <s v="Y"/>
    <s v="SURETYPTRc"/>
    <s v="DEFERRED ADJUDICATION "/>
    <n v="3"/>
    <n v="166"/>
    <n v="0"/>
    <n v="1"/>
    <m/>
    <m/>
    <m/>
    <m/>
    <m/>
    <m/>
    <m/>
    <m/>
    <m/>
    <d v="1984-03-07T00:00:00"/>
    <s v="F"/>
    <s v="B"/>
    <s v="BLACK"/>
    <s v="NULL"/>
    <s v="230"/>
    <s v="DEFERRED"/>
    <n v="11"/>
    <s v="DEFERRED"/>
    <m/>
    <m/>
    <m/>
    <s v="AGG ASSAULT W/DEADLY WEAPON"/>
    <m/>
    <s v="F2"/>
    <s v="ASLT-MURDR"/>
    <m/>
    <m/>
    <m/>
    <m/>
    <m/>
    <m/>
    <m/>
    <m/>
    <m/>
    <s v="Hired Attorney"/>
    <m/>
    <m/>
    <n v="3"/>
    <n v="153"/>
    <n v="166"/>
    <n v="28.081967213114755"/>
    <n v="0"/>
    <n v="-150"/>
    <s v="DEFERRED"/>
    <x v="1"/>
    <s v="Y"/>
    <m/>
    <s v="DEFERRED"/>
    <s v="Y"/>
    <x v="1"/>
    <x v="0"/>
    <s v="N"/>
    <n v="1.8072289156626505E-2"/>
    <n v="1.9607843137254902E-2"/>
    <n v="1.5355539806283965E-3"/>
    <n v="0"/>
    <n v="-3"/>
    <n v="0"/>
    <n v="3"/>
    <e v="#VALUE!"/>
    <n v="3"/>
    <n v="0"/>
    <m/>
    <m/>
    <s v="Y"/>
    <m/>
    <s v="0-10 DAYS"/>
    <n v="1"/>
    <x v="0"/>
  </r>
  <r>
    <n v="1209"/>
    <s v="N"/>
    <s v="N"/>
    <n v="2023877"/>
    <n v="1"/>
    <d v="2012-02-14T00:00:00"/>
    <d v="2012-07-16T00:00:00"/>
    <n v="2023877"/>
    <d v="2012-02-14T00:00:00"/>
    <d v="2012-02-15T00:00:00"/>
    <n v="2000"/>
    <x v="5"/>
    <d v="2012-02-15T00:00:00"/>
    <s v="Y"/>
    <s v="SURETYPTRc"/>
    <s v="DISMISSED"/>
    <n v="2"/>
    <n v="154"/>
    <n v="0"/>
    <n v="1"/>
    <m/>
    <m/>
    <m/>
    <m/>
    <m/>
    <m/>
    <m/>
    <m/>
    <m/>
    <d v="1983-10-23T00:00:00"/>
    <s v="F"/>
    <s v="W"/>
    <s v="WHITE"/>
    <s v="NULL"/>
    <s v="185"/>
    <s v="DISMISSED"/>
    <n v="8"/>
    <s v="DISMISSED"/>
    <m/>
    <m/>
    <m/>
    <s v="POSS CS PG 1 &lt;1G"/>
    <m/>
    <s v="FS"/>
    <s v="POSS DRUG"/>
    <m/>
    <m/>
    <m/>
    <m/>
    <m/>
    <m/>
    <m/>
    <m/>
    <m/>
    <s v="Hired Attorney"/>
    <m/>
    <m/>
    <n v="2"/>
    <n v="154"/>
    <n v="154"/>
    <n v="28.254098360655739"/>
    <n v="0"/>
    <n v="-152"/>
    <s v="NO CONVICTION"/>
    <x v="1"/>
    <s v="Y"/>
    <m/>
    <s v="NO CONVICTION"/>
    <s v="Y"/>
    <x v="1"/>
    <x v="0"/>
    <s v="N"/>
    <n v="1.2987012987012988E-2"/>
    <n v="1.2987012987012988E-2"/>
    <n v="0"/>
    <n v="0"/>
    <n v="-2"/>
    <n v="0"/>
    <n v="2"/>
    <e v="#VALUE!"/>
    <n v="2"/>
    <n v="0"/>
    <m/>
    <m/>
    <s v="Y"/>
    <m/>
    <s v="0-10 DAYS"/>
    <n v="1"/>
    <x v="0"/>
  </r>
  <r>
    <n v="2958"/>
    <s v="N"/>
    <s v="N"/>
    <n v="2025016"/>
    <n v="2"/>
    <d v="2012-04-19T00:00:00"/>
    <d v="2012-10-23T00:00:00"/>
    <n v="2025016"/>
    <s v="NOT BOOKED"/>
    <s v="NOT BOOKED"/>
    <n v="20000"/>
    <x v="0"/>
    <d v="2012-04-20T00:00:00"/>
    <s v="Y"/>
    <s v="SURETY"/>
    <s v="DEFERRED ADJUDICATION "/>
    <n v="0"/>
    <n v="188"/>
    <n v="0"/>
    <n v="0"/>
    <m/>
    <m/>
    <m/>
    <m/>
    <m/>
    <m/>
    <m/>
    <m/>
    <m/>
    <d v="1976-02-07T00:00:00"/>
    <s v="M"/>
    <s v="W"/>
    <s v="WHITE"/>
    <s v="NULL"/>
    <s v="339"/>
    <s v="DEFERRED"/>
    <n v="8"/>
    <s v="DEFERRED"/>
    <m/>
    <m/>
    <m/>
    <s v="MAN/DEL CS PG II 4-400 GRAMS"/>
    <m/>
    <s v="F1"/>
    <s v="SALE DRUG"/>
    <m/>
    <m/>
    <m/>
    <m/>
    <m/>
    <m/>
    <m/>
    <m/>
    <m/>
    <s v="Appointed Attorney"/>
    <m/>
    <m/>
    <n v="0"/>
    <n v="0"/>
    <n v="188"/>
    <n v="36.122950819672134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519"/>
    <s v="N"/>
    <s v="N"/>
    <n v="2026342"/>
    <n v="4"/>
    <d v="2012-02-25T00:00:00"/>
    <d v="2012-02-27T00:00:00"/>
    <n v="2026342"/>
    <d v="2012-02-26T00:00:00"/>
    <d v="2012-02-27T00:00:00"/>
    <n v="15000"/>
    <x v="0"/>
    <m/>
    <s v="N"/>
    <s v="NONE"/>
    <s v="GUILTY PLEA - NO JURY"/>
    <n v="2"/>
    <n v="3"/>
    <n v="7"/>
    <n v="0"/>
    <n v="5"/>
    <m/>
    <m/>
    <m/>
    <m/>
    <m/>
    <m/>
    <m/>
    <m/>
    <d v="1986-06-04T00:00:00"/>
    <s v="F"/>
    <s v="W"/>
    <s v="WHITE"/>
    <s v="NON-HISPANIC"/>
    <s v="228"/>
    <s v="CONVICTED"/>
    <n v="1"/>
    <s v="HCJ"/>
    <m/>
    <m/>
    <n v="30"/>
    <s v="POSS CS PG 1 &lt;1G"/>
    <m/>
    <s v="FS"/>
    <s v="POSS DRUG"/>
    <m/>
    <m/>
    <m/>
    <m/>
    <m/>
    <m/>
    <m/>
    <m/>
    <m/>
    <s v="Appointed Attorney"/>
    <m/>
    <m/>
    <n v="2"/>
    <n v="2"/>
    <n v="3"/>
    <n v="25.674863387978142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327"/>
    <s v="N"/>
    <s v="N"/>
    <n v="2026667"/>
    <n v="5"/>
    <d v="2012-01-13T00:00:00"/>
    <d v="2012-10-19T00:00:00"/>
    <n v="2026667"/>
    <d v="2012-04-26T00:00:00"/>
    <d v="2012-04-28T00:00:00"/>
    <n v="30000"/>
    <x v="2"/>
    <d v="2012-04-28T00:00:00"/>
    <s v="Y"/>
    <s v="SURETY"/>
    <s v="GUILTY PLEA - NO JURY"/>
    <n v="3"/>
    <n v="281"/>
    <n v="7"/>
    <n v="5"/>
    <n v="3"/>
    <n v="1"/>
    <m/>
    <m/>
    <m/>
    <m/>
    <m/>
    <m/>
    <m/>
    <d v="1986-05-18T00:00:00"/>
    <s v="M"/>
    <s v="B"/>
    <s v="BLACK"/>
    <s v="NULL"/>
    <s v="262"/>
    <s v="CONVICTED"/>
    <n v="8"/>
    <s v="STJ"/>
    <m/>
    <n v="6"/>
    <m/>
    <s v="THEFT $1500-20K"/>
    <m/>
    <s v="FS"/>
    <s v="THEFT"/>
    <m/>
    <m/>
    <m/>
    <m/>
    <m/>
    <m/>
    <m/>
    <m/>
    <m/>
    <s v="Hired Attorney"/>
    <m/>
    <m/>
    <n v="3"/>
    <n v="177"/>
    <n v="281"/>
    <n v="25.603825136612024"/>
    <n v="0"/>
    <n v="-174"/>
    <s v="CONVICTION"/>
    <x v="1"/>
    <s v="Y"/>
    <m/>
    <s v="CONVICTION"/>
    <s v="Y"/>
    <x v="1"/>
    <x v="0"/>
    <s v="Y"/>
    <n v="1.0676156583629894E-2"/>
    <n v="1.6949152542372881E-2"/>
    <n v="6.2729959587429877E-3"/>
    <n v="0"/>
    <n v="-3"/>
    <n v="0"/>
    <n v="3"/>
    <e v="#VALUE!"/>
    <n v="3"/>
    <n v="0"/>
    <m/>
    <m/>
    <s v="Y"/>
    <m/>
    <s v="0-10 DAYS"/>
    <n v="1"/>
    <x v="0"/>
  </r>
  <r>
    <n v="2987"/>
    <s v="N"/>
    <s v="Y"/>
    <n v="2027900"/>
    <n v="6"/>
    <d v="2012-04-20T00:00:00"/>
    <d v="2013-01-16T00:00:00"/>
    <n v="2027900"/>
    <d v="2012-04-20T00:00:00"/>
    <d v="2012-04-22T00:00:00"/>
    <n v="15000"/>
    <x v="0"/>
    <d v="2012-04-22T00:00:00"/>
    <s v="Y"/>
    <s v="SURETYPTRc"/>
    <s v="GUILTY PLEA - NO JURY"/>
    <n v="248"/>
    <n v="272"/>
    <n v="6"/>
    <n v="9"/>
    <n v="4"/>
    <m/>
    <m/>
    <m/>
    <m/>
    <m/>
    <m/>
    <m/>
    <m/>
    <d v="1985-05-28T00:00:00"/>
    <s v="M"/>
    <s v="B"/>
    <s v="BLACK"/>
    <s v="NON-HISPANIC"/>
    <s v="337"/>
    <s v="CONVICTED"/>
    <n v="13"/>
    <s v="TDC"/>
    <n v="4"/>
    <m/>
    <m/>
    <s v="POSS CS PG 1 &lt;1G"/>
    <m/>
    <s v="FS"/>
    <s v="POSS DRUG"/>
    <m/>
    <s v="bk 5/16/12 revoke"/>
    <m/>
    <m/>
    <s v="Y"/>
    <m/>
    <m/>
    <m/>
    <m/>
    <s v="Appointed Attorney"/>
    <m/>
    <m/>
    <n v="248"/>
    <n v="272"/>
    <n v="272"/>
    <n v="26.84153005464481"/>
    <n v="0"/>
    <n v="-269"/>
    <s v="CONVICTION"/>
    <x v="1"/>
    <s v="Y"/>
    <m/>
    <s v="CONVICTION"/>
    <s v="Y"/>
    <x v="0"/>
    <x v="0"/>
    <s v="Y"/>
    <n v="0.91176470588235292"/>
    <n v="1.1029411764705883E-2"/>
    <n v="-0.90073529411764708"/>
    <n v="0"/>
    <n v="-3"/>
    <n v="245"/>
    <n v="272"/>
    <n v="248"/>
    <n v="272"/>
    <n v="269"/>
    <m/>
    <m/>
    <s v="Y"/>
    <m/>
    <s v="121-365 DAYS"/>
    <n v="6"/>
    <x v="0"/>
  </r>
  <r>
    <n v="1407"/>
    <s v="Y"/>
    <s v="N"/>
    <n v="2028729"/>
    <n v="2"/>
    <d v="2012-02-21T00:00:00"/>
    <d v="2012-02-24T00:00:00"/>
    <n v="2028729"/>
    <d v="2012-02-23T00:00:00"/>
    <d v="2012-02-24T00:00:00"/>
    <n v="15000"/>
    <x v="0"/>
    <m/>
    <s v="N"/>
    <s v="NONE"/>
    <s v="DEFERRED ADJUDICATION "/>
    <n v="2"/>
    <n v="4"/>
    <n v="7"/>
    <n v="1"/>
    <n v="2"/>
    <n v="1"/>
    <m/>
    <m/>
    <m/>
    <m/>
    <m/>
    <m/>
    <m/>
    <d v="1970-03-26T00:00:00"/>
    <s v="M"/>
    <s v="B"/>
    <s v="BLACK"/>
    <s v="NON-HISPANIC"/>
    <s v="337"/>
    <s v="DEFERRED"/>
    <n v="2"/>
    <s v="DEFERRED"/>
    <m/>
    <m/>
    <m/>
    <s v="POSS CS PG 1 &lt;1G"/>
    <m/>
    <s v="FS"/>
    <s v="POSS DRUG"/>
    <s v="FREP 4/19/12 motion to rev def adj  dism"/>
    <m/>
    <m/>
    <m/>
    <m/>
    <m/>
    <m/>
    <m/>
    <m/>
    <s v="Appointed Attorney"/>
    <s v="FREP 9/30/13 stj 7mos rev def adj  "/>
    <m/>
    <n v="2"/>
    <n v="2"/>
    <n v="4"/>
    <n v="41.822404371584696"/>
    <n v="0"/>
    <n v="0"/>
    <s v="DEFERRED"/>
    <x v="0"/>
    <s v="N"/>
    <m/>
    <s v="DEFERRED"/>
    <s v="Y"/>
    <x v="0"/>
    <x v="0"/>
    <s v="Y"/>
    <n v="0.5"/>
    <n v="1"/>
    <n v="0.5"/>
    <n v="0"/>
    <n v="-2"/>
    <n v="0"/>
    <n v="2"/>
    <e v="#VALUE!"/>
    <n v="2"/>
    <n v="0"/>
    <m/>
    <m/>
    <s v="Y"/>
    <m/>
    <s v="0-10 DAYS"/>
    <n v="1"/>
    <x v="0"/>
  </r>
  <r>
    <n v="3066"/>
    <s v="N"/>
    <s v="N"/>
    <n v="2029141"/>
    <n v="1"/>
    <d v="2012-04-23T00:00:00"/>
    <d v="2013-03-04T00:00:00"/>
    <n v="2029141"/>
    <d v="2012-04-24T00:00:00"/>
    <d v="2012-07-28T00:00:00"/>
    <n v="10000"/>
    <x v="3"/>
    <d v="2012-07-28T00:00:00"/>
    <s v="Y"/>
    <s v="SURETY"/>
    <s v="DISMISSED"/>
    <n v="96"/>
    <n v="316"/>
    <n v="2"/>
    <n v="0"/>
    <n v="1"/>
    <m/>
    <m/>
    <m/>
    <m/>
    <m/>
    <m/>
    <m/>
    <m/>
    <d v="1983-08-25T00:00:00"/>
    <s v="M"/>
    <s v="B"/>
    <s v="BLACK"/>
    <s v="NULL"/>
    <s v="351"/>
    <s v="DISMISSED"/>
    <n v="15"/>
    <s v="DISMISSED"/>
    <m/>
    <m/>
    <m/>
    <s v="POSS CS PG 3 28-200 GRAMS"/>
    <m/>
    <s v="F3"/>
    <s v="POSS DRUG"/>
    <m/>
    <m/>
    <m/>
    <m/>
    <m/>
    <m/>
    <m/>
    <m/>
    <m/>
    <s v="Appointed Attorney"/>
    <m/>
    <m/>
    <n v="96"/>
    <n v="315"/>
    <n v="316"/>
    <n v="28.603825136612024"/>
    <n v="0"/>
    <n v="-219"/>
    <s v="NO CONVICTION"/>
    <x v="1"/>
    <s v="Y"/>
    <m/>
    <s v="NO CONVICTION"/>
    <s v="Y"/>
    <x v="1"/>
    <x v="0"/>
    <s v="Y"/>
    <n v="0.30379746835443039"/>
    <n v="0.30476190476190479"/>
    <n v="9.6443640747440051E-4"/>
    <n v="0"/>
    <n v="-96"/>
    <n v="0"/>
    <n v="96"/>
    <e v="#VALUE!"/>
    <n v="96"/>
    <n v="0"/>
    <m/>
    <m/>
    <s v="Y"/>
    <m/>
    <s v="91-120 DAYS"/>
    <n v="0"/>
    <x v="0"/>
  </r>
  <r>
    <n v="2741"/>
    <s v="N"/>
    <s v="N"/>
    <n v="2029305"/>
    <n v="5"/>
    <d v="2012-04-11T00:00:00"/>
    <d v="2012-04-13T00:00:00"/>
    <n v="2029305"/>
    <d v="2012-04-12T00:00:00"/>
    <d v="2012-04-13T00:00:00"/>
    <s v="NO BOND"/>
    <x v="1"/>
    <m/>
    <s v="N"/>
    <s v="NONE"/>
    <s v="GUILTY PLEA - NO JURY"/>
    <n v="2"/>
    <n v="3"/>
    <n v="1"/>
    <n v="3"/>
    <n v="1"/>
    <m/>
    <m/>
    <m/>
    <m/>
    <m/>
    <m/>
    <m/>
    <m/>
    <d v="1985-07-09T00:00:00"/>
    <s v="M"/>
    <s v="B"/>
    <s v="BLACK"/>
    <s v="NULL"/>
    <s v="182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26.702185792349727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1247"/>
    <s v="N"/>
    <s v="N"/>
    <n v="2029569"/>
    <n v="6"/>
    <d v="2012-02-15T00:00:00"/>
    <d v="2012-04-24T00:00:00"/>
    <n v="2029569"/>
    <d v="2012-02-15T00:00:00"/>
    <d v="2012-04-24T00:00:00"/>
    <s v="NO BOND"/>
    <x v="1"/>
    <m/>
    <s v="N"/>
    <s v="NONE"/>
    <s v="GUILTY PLEA - NO JURY"/>
    <n v="70"/>
    <n v="70"/>
    <n v="2"/>
    <n v="3"/>
    <n v="1"/>
    <m/>
    <m/>
    <m/>
    <m/>
    <m/>
    <m/>
    <m/>
    <m/>
    <d v="1985-04-05T00:00:00"/>
    <s v="M"/>
    <s v="A"/>
    <s v="OTHER"/>
    <s v="NULL"/>
    <s v="351"/>
    <s v="CONVICTED"/>
    <n v="3"/>
    <s v="TDC"/>
    <n v="4"/>
    <m/>
    <m/>
    <s v="DWI 3RD OFFENDER BAC .08"/>
    <m/>
    <s v="F3"/>
    <s v="FEL DWI"/>
    <m/>
    <m/>
    <m/>
    <m/>
    <m/>
    <m/>
    <m/>
    <m/>
    <m/>
    <s v="Appointed Attorney"/>
    <m/>
    <m/>
    <n v="70"/>
    <n v="70"/>
    <n v="70"/>
    <n v="26.808743169398905"/>
    <n v="0"/>
    <n v="0"/>
    <s v="CONVICTION"/>
    <x v="0"/>
    <s v="N"/>
    <m/>
    <s v="CONVICTION"/>
    <s v="Y"/>
    <x v="0"/>
    <x v="0"/>
    <s v="Y"/>
    <n v="1"/>
    <n v="1"/>
    <n v="0"/>
    <n v="0"/>
    <n v="-70"/>
    <n v="0"/>
    <n v="70"/>
    <e v="#VALUE!"/>
    <n v="70"/>
    <n v="0"/>
    <m/>
    <m/>
    <s v="Y"/>
    <m/>
    <s v="61-90 DAYS"/>
    <n v="4"/>
    <x v="0"/>
  </r>
  <r>
    <n v="977"/>
    <s v="N"/>
    <s v="N"/>
    <n v="2030948"/>
    <n v="1"/>
    <d v="2012-02-06T00:00:00"/>
    <d v="2012-05-18T00:00:00"/>
    <n v="2030948"/>
    <d v="2012-02-06T00:00:00"/>
    <d v="2012-02-07T00:00:00"/>
    <n v="2000"/>
    <x v="5"/>
    <d v="2012-02-07T00:00:00"/>
    <s v="Y"/>
    <s v="SURETY"/>
    <s v="DISMISSED"/>
    <n v="2"/>
    <n v="103"/>
    <n v="0"/>
    <n v="2"/>
    <m/>
    <m/>
    <m/>
    <m/>
    <m/>
    <m/>
    <m/>
    <m/>
    <m/>
    <d v="1981-11-15T00:00:00"/>
    <s v="M"/>
    <s v="B"/>
    <s v="BLACK"/>
    <s v="NULL"/>
    <s v="209"/>
    <s v="DISMISSED"/>
    <n v="5"/>
    <s v="DISMISSED"/>
    <m/>
    <m/>
    <m/>
    <s v="ENDANGERING A CHILD"/>
    <m/>
    <s v="FS"/>
    <s v="OTHER FEL"/>
    <m/>
    <m/>
    <m/>
    <m/>
    <m/>
    <m/>
    <m/>
    <m/>
    <m/>
    <s v="Hired Attorney"/>
    <m/>
    <m/>
    <n v="2"/>
    <n v="103"/>
    <n v="103"/>
    <n v="30.16393442622951"/>
    <n v="0"/>
    <n v="-101"/>
    <s v="NO CONVICTION"/>
    <x v="1"/>
    <s v="Y"/>
    <m/>
    <s v="NO CONVICTION"/>
    <s v="Y"/>
    <x v="1"/>
    <x v="0"/>
    <s v="N"/>
    <n v="1.9417475728155338E-2"/>
    <n v="1.9417475728155338E-2"/>
    <n v="0"/>
    <n v="0"/>
    <n v="-2"/>
    <n v="0"/>
    <n v="2"/>
    <e v="#VALUE!"/>
    <n v="2"/>
    <n v="0"/>
    <m/>
    <m/>
    <s v="Y"/>
    <m/>
    <s v="0-10 DAYS"/>
    <n v="1"/>
    <x v="0"/>
  </r>
  <r>
    <n v="2075"/>
    <s v="N"/>
    <s v="N"/>
    <n v="2031049"/>
    <n v="1"/>
    <d v="2012-03-19T00:00:00"/>
    <d v="2013-03-26T00:00:00"/>
    <n v="2031049"/>
    <d v="2012-04-27T00:00:00"/>
    <d v="2012-04-28T00:00:00"/>
    <n v="10000"/>
    <x v="3"/>
    <d v="2012-04-28T00:00:00"/>
    <s v="Y"/>
    <s v="SURETY"/>
    <s v="DISMISSED"/>
    <n v="2"/>
    <n v="373"/>
    <n v="0"/>
    <n v="0"/>
    <m/>
    <m/>
    <m/>
    <m/>
    <m/>
    <m/>
    <m/>
    <m/>
    <m/>
    <d v="1978-10-07T00:00:00"/>
    <s v="M"/>
    <s v="B"/>
    <s v="BLACK"/>
    <s v="NON-HISPANIC"/>
    <s v="177"/>
    <s v="DISMISSED"/>
    <n v="15"/>
    <s v="DISMISSED"/>
    <m/>
    <m/>
    <m/>
    <s v="AGG ASSAULT-FAMILY MEMBER"/>
    <m/>
    <s v="F2"/>
    <s v="ASLT-MURDR"/>
    <m/>
    <m/>
    <m/>
    <m/>
    <m/>
    <m/>
    <m/>
    <m/>
    <m/>
    <s v="Hired Attorney"/>
    <m/>
    <m/>
    <n v="2"/>
    <n v="334"/>
    <n v="373"/>
    <n v="33.379781420765028"/>
    <n v="0"/>
    <n v="-332"/>
    <s v="NO CONVICTION"/>
    <x v="1"/>
    <s v="Y"/>
    <m/>
    <s v="NO CONVICTION"/>
    <s v="Y"/>
    <x v="1"/>
    <x v="0"/>
    <s v="N"/>
    <n v="5.3619302949061663E-3"/>
    <n v="5.9880239520958087E-3"/>
    <n v="6.2609365718964242E-4"/>
    <n v="0"/>
    <n v="-2"/>
    <n v="0"/>
    <n v="2"/>
    <e v="#VALUE!"/>
    <n v="2"/>
    <n v="0"/>
    <m/>
    <m/>
    <s v="N"/>
    <m/>
    <s v="0-10 DAYS"/>
    <n v="1"/>
    <x v="0"/>
  </r>
  <r>
    <n v="2298"/>
    <s v="N"/>
    <s v="N"/>
    <n v="2031109"/>
    <n v="5"/>
    <d v="2012-03-28T00:00:00"/>
    <d v="2012-05-29T00:00:00"/>
    <n v="2031109"/>
    <d v="2012-03-28T00:00:00"/>
    <d v="2012-05-29T00:00:00"/>
    <n v="15000"/>
    <x v="0"/>
    <m/>
    <s v="N"/>
    <s v="NONE"/>
    <s v="GUILTY PLEA - NO JURY"/>
    <n v="63"/>
    <n v="63"/>
    <n v="14"/>
    <n v="17"/>
    <n v="6"/>
    <m/>
    <m/>
    <m/>
    <m/>
    <m/>
    <m/>
    <m/>
    <m/>
    <d v="1967-11-15T00:00:00"/>
    <s v="M"/>
    <s v="B"/>
    <s v="BLACK"/>
    <s v="NULL"/>
    <s v="176"/>
    <s v="CONVICTED"/>
    <n v="3"/>
    <s v="STJ"/>
    <m/>
    <n v="9"/>
    <m/>
    <s v="MAN/DEL CS PG I &lt;1GRAM"/>
    <m/>
    <s v="FS"/>
    <s v="SALE DRUG"/>
    <m/>
    <m/>
    <m/>
    <m/>
    <m/>
    <m/>
    <m/>
    <m/>
    <m/>
    <s v="Appointed Attorney"/>
    <m/>
    <m/>
    <n v="63"/>
    <n v="63"/>
    <n v="63"/>
    <n v="44.275956284153004"/>
    <n v="0"/>
    <n v="0"/>
    <s v="CONVICTION"/>
    <x v="0"/>
    <s v="N"/>
    <m/>
    <s v="CONVICTION"/>
    <s v="Y"/>
    <x v="0"/>
    <x v="0"/>
    <s v="Y"/>
    <n v="1"/>
    <n v="1"/>
    <n v="0"/>
    <n v="0"/>
    <n v="-63"/>
    <n v="0"/>
    <n v="63"/>
    <e v="#VALUE!"/>
    <n v="63"/>
    <n v="0"/>
    <m/>
    <m/>
    <s v="Y"/>
    <m/>
    <s v="61-90 DAYS"/>
    <n v="4"/>
    <x v="0"/>
  </r>
  <r>
    <n v="3258"/>
    <s v="N"/>
    <s v="N"/>
    <n v="2032047"/>
    <n v="4"/>
    <d v="2012-04-30T00:00:00"/>
    <d v="2013-01-29T00:00:00"/>
    <n v="2032047"/>
    <d v="2012-05-01T00:00:00"/>
    <d v="2012-05-02T00:00:00"/>
    <n v="5000"/>
    <x v="4"/>
    <d v="2012-05-02T00:00:00"/>
    <s v="Y"/>
    <s v="SURETY"/>
    <s v="GUILTY PLEA - NO JURY"/>
    <n v="2"/>
    <n v="275"/>
    <n v="0"/>
    <n v="0"/>
    <m/>
    <m/>
    <m/>
    <m/>
    <m/>
    <m/>
    <m/>
    <m/>
    <m/>
    <d v="1965-12-22T00:00:00"/>
    <s v="F"/>
    <s v="H"/>
    <s v="HISPANIC"/>
    <s v="HISPANIC"/>
    <s v="208"/>
    <s v="CONVICTED"/>
    <n v="9"/>
    <s v="HCJ"/>
    <m/>
    <m/>
    <n v="2"/>
    <s v="INT/KNOW UNAUTH DISCHARGE OF W"/>
    <m/>
    <s v="F"/>
    <s v="OTHER FEL"/>
    <m/>
    <m/>
    <m/>
    <m/>
    <m/>
    <m/>
    <m/>
    <m/>
    <m/>
    <s v="Hired Attorney"/>
    <m/>
    <m/>
    <n v="2"/>
    <n v="274"/>
    <n v="275"/>
    <n v="46.259562841530055"/>
    <n v="0"/>
    <n v="-272"/>
    <s v="CONVICTION"/>
    <x v="1"/>
    <s v="Y"/>
    <m/>
    <s v="CONVICTION"/>
    <s v="Y"/>
    <x v="1"/>
    <x v="0"/>
    <s v="N"/>
    <n v="7.2727272727272727E-3"/>
    <n v="7.2992700729927005E-3"/>
    <n v="2.6542800265427768E-5"/>
    <n v="0"/>
    <n v="-2"/>
    <n v="0"/>
    <n v="2"/>
    <e v="#VALUE!"/>
    <n v="2"/>
    <n v="0"/>
    <m/>
    <m/>
    <s v="N"/>
    <m/>
    <s v="0-10 DAYS"/>
    <n v="1"/>
    <x v="0"/>
  </r>
  <r>
    <n v="2562"/>
    <s v="N"/>
    <s v="N"/>
    <n v="2032321"/>
    <n v="6"/>
    <d v="2012-04-05T00:00:00"/>
    <d v="2012-08-23T00:00:00"/>
    <n v="2032321"/>
    <d v="2012-04-06T00:00:00"/>
    <d v="2012-08-23T00:00:00"/>
    <n v="15000"/>
    <x v="0"/>
    <m/>
    <s v="N"/>
    <s v="NONE"/>
    <s v="GUILTY PLEA - NO JURY"/>
    <n v="140"/>
    <n v="141"/>
    <n v="3"/>
    <n v="3"/>
    <n v="1"/>
    <n v="1"/>
    <m/>
    <m/>
    <m/>
    <m/>
    <m/>
    <m/>
    <m/>
    <d v="1986-08-05T00:00:00"/>
    <s v="M"/>
    <s v="B"/>
    <s v="BLACK"/>
    <s v="NON-HISPANIC"/>
    <s v="263"/>
    <s v="CONVICTED"/>
    <n v="9"/>
    <s v="TDC"/>
    <n v="2"/>
    <m/>
    <m/>
    <s v="evading arrest/detention w/veh "/>
    <m/>
    <s v="F3"/>
    <s v="OTHER FEL"/>
    <s v="9/21/12 bk fel injury to child  pend"/>
    <m/>
    <m/>
    <m/>
    <m/>
    <m/>
    <m/>
    <m/>
    <m/>
    <s v="Appointed Attorney"/>
    <m/>
    <m/>
    <n v="140"/>
    <n v="140"/>
    <n v="141"/>
    <n v="25.614754098360656"/>
    <n v="0"/>
    <n v="0"/>
    <s v="CONVICTION"/>
    <x v="0"/>
    <s v="N"/>
    <m/>
    <s v="CONVICTION"/>
    <s v="Y"/>
    <x v="0"/>
    <x v="0"/>
    <s v="Y"/>
    <n v="0.99290780141843971"/>
    <n v="1"/>
    <n v="7.0921985815602939E-3"/>
    <n v="0"/>
    <n v="-140"/>
    <n v="0"/>
    <n v="140"/>
    <e v="#VALUE!"/>
    <n v="140"/>
    <n v="0"/>
    <m/>
    <m/>
    <s v="Y"/>
    <m/>
    <s v="121-365 DAYS"/>
    <n v="6"/>
    <x v="0"/>
  </r>
  <r>
    <n v="2064"/>
    <s v="N"/>
    <s v="N"/>
    <n v="2032420"/>
    <n v="2"/>
    <d v="2012-03-18T00:00:00"/>
    <d v="2013-01-24T00:00:00"/>
    <n v="2032420"/>
    <d v="2012-03-18T00:00:00"/>
    <d v="2012-03-20T00:00:00"/>
    <n v="20000"/>
    <x v="0"/>
    <d v="2012-03-20T00:00:00"/>
    <s v="Y"/>
    <s v="SURETY"/>
    <s v="DEFERRED ADJUDICATION "/>
    <n v="3"/>
    <n v="313"/>
    <n v="1"/>
    <n v="2"/>
    <m/>
    <m/>
    <m/>
    <m/>
    <m/>
    <m/>
    <m/>
    <m/>
    <m/>
    <d v="1986-09-04T00:00:00"/>
    <s v="M"/>
    <s v="W"/>
    <s v="WHITE"/>
    <s v="NULL"/>
    <s v="263"/>
    <s v="DEFERRED"/>
    <n v="9"/>
    <s v="DEFERRED"/>
    <m/>
    <m/>
    <m/>
    <s v="AGG ASSAULT W/DEADLY WEAPON"/>
    <m/>
    <s v="F2"/>
    <s v="ASLT-MURDR"/>
    <m/>
    <m/>
    <m/>
    <m/>
    <m/>
    <m/>
    <m/>
    <m/>
    <m/>
    <s v="Appointed Attorney"/>
    <m/>
    <m/>
    <n v="3"/>
    <n v="313"/>
    <n v="313"/>
    <n v="25.483606557377048"/>
    <n v="0"/>
    <n v="-310"/>
    <s v="DEFERRED"/>
    <x v="1"/>
    <s v="Y"/>
    <m/>
    <s v="DEFERRED"/>
    <s v="Y"/>
    <x v="1"/>
    <x v="0"/>
    <s v="Y"/>
    <n v="9.5846645367412137E-3"/>
    <n v="9.5846645367412137E-3"/>
    <n v="0"/>
    <n v="0"/>
    <n v="-3"/>
    <n v="0"/>
    <n v="3"/>
    <e v="#VALUE!"/>
    <n v="3"/>
    <n v="0"/>
    <m/>
    <m/>
    <s v="Y"/>
    <m/>
    <s v="0-10 DAYS"/>
    <n v="1"/>
    <x v="0"/>
  </r>
  <r>
    <n v="2382"/>
    <s v="N"/>
    <s v="N"/>
    <n v="2033009"/>
    <n v="1"/>
    <d v="2012-03-30T00:00:00"/>
    <d v="2012-04-03T00:00:00"/>
    <n v="2033009"/>
    <d v="2012-03-31T00:00:00"/>
    <d v="2012-04-03T00:00:00"/>
    <n v="15000"/>
    <x v="0"/>
    <m/>
    <s v="N"/>
    <s v="NONE"/>
    <s v="DISMISSED"/>
    <n v="4"/>
    <n v="5"/>
    <n v="6"/>
    <n v="2"/>
    <n v="1"/>
    <m/>
    <m/>
    <m/>
    <m/>
    <m/>
    <m/>
    <m/>
    <m/>
    <d v="1985-04-03T00:00:00"/>
    <s v="F"/>
    <s v="B"/>
    <s v="BLACK"/>
    <s v="NON-HISPANIC"/>
    <s v="178"/>
    <s v="DISMISSED"/>
    <n v="2"/>
    <s v="DISMISSED"/>
    <m/>
    <m/>
    <m/>
    <s v="UNAUTH USE OF VEHICLE"/>
    <m/>
    <s v="FS"/>
    <s v="AUTO THEFT"/>
    <m/>
    <m/>
    <m/>
    <m/>
    <m/>
    <m/>
    <m/>
    <m/>
    <m/>
    <s v="Appointed Attorney"/>
    <m/>
    <m/>
    <n v="4"/>
    <n v="4"/>
    <n v="5"/>
    <n v="26.934426229508198"/>
    <n v="0"/>
    <n v="0"/>
    <s v="NO CONVICTION"/>
    <x v="0"/>
    <s v="N"/>
    <m/>
    <s v="NO CONVICTION"/>
    <s v="Y"/>
    <x v="0"/>
    <x v="0"/>
    <s v="Y"/>
    <n v="0.8"/>
    <n v="1"/>
    <n v="0.19999999999999996"/>
    <n v="0"/>
    <n v="-4"/>
    <n v="0"/>
    <n v="4"/>
    <e v="#VALUE!"/>
    <n v="4"/>
    <n v="0"/>
    <m/>
    <m/>
    <s v="Y"/>
    <m/>
    <s v="0-10 DAYS"/>
    <n v="1"/>
    <x v="0"/>
  </r>
  <r>
    <n v="1627"/>
    <s v="N"/>
    <s v="N"/>
    <n v="2033408"/>
    <n v="4"/>
    <d v="2012-03-01T00:00:00"/>
    <d v="2012-04-04T00:00:00"/>
    <n v="2033408"/>
    <d v="2012-03-01T00:00:00"/>
    <d v="2012-04-04T00:00:00"/>
    <n v="15000"/>
    <x v="0"/>
    <m/>
    <s v="N"/>
    <s v="NONE"/>
    <s v="GUILTY PLEA - NO JURY"/>
    <n v="35"/>
    <n v="35"/>
    <n v="1"/>
    <n v="0"/>
    <m/>
    <m/>
    <m/>
    <m/>
    <m/>
    <m/>
    <m/>
    <m/>
    <m/>
    <d v="1982-03-17T00:00:00"/>
    <s v="M"/>
    <s v="W"/>
    <s v="WHITE"/>
    <s v="NON-HISPANIC"/>
    <s v="208"/>
    <s v="CONVICTED"/>
    <n v="4"/>
    <s v="HCJ"/>
    <m/>
    <m/>
    <n v="150"/>
    <s v="POSS CS PG 1 &lt;1G"/>
    <m/>
    <s v="FS"/>
    <s v="POSS DRUG"/>
    <m/>
    <m/>
    <m/>
    <m/>
    <m/>
    <m/>
    <m/>
    <m/>
    <m/>
    <s v="Hired Attorney"/>
    <m/>
    <m/>
    <n v="35"/>
    <n v="35"/>
    <n v="35"/>
    <n v="29.896174863387976"/>
    <n v="0"/>
    <n v="0"/>
    <s v="CONVICTION"/>
    <x v="0"/>
    <s v="N"/>
    <m/>
    <s v="CONVICTION"/>
    <s v="Y"/>
    <x v="0"/>
    <x v="0"/>
    <s v="Y"/>
    <n v="1"/>
    <n v="1"/>
    <n v="0"/>
    <n v="0"/>
    <n v="-35"/>
    <n v="0"/>
    <n v="35"/>
    <e v="#VALUE!"/>
    <n v="35"/>
    <n v="0"/>
    <m/>
    <m/>
    <s v="Y"/>
    <m/>
    <s v="31-60 DAYS"/>
    <n v="3"/>
    <x v="0"/>
  </r>
  <r>
    <n v="2500"/>
    <s v="N"/>
    <s v="N"/>
    <n v="2033834"/>
    <n v="2"/>
    <d v="2012-04-04T00:00:00"/>
    <d v="2012-11-08T00:00:00"/>
    <n v="2033834"/>
    <d v="2012-04-04T00:00:00"/>
    <d v="2012-04-05T00:00:00"/>
    <n v="15000"/>
    <x v="0"/>
    <d v="2012-04-05T00:00:00"/>
    <s v="Y"/>
    <s v="SURETY"/>
    <s v="DEFERRED ADJUDICATION "/>
    <n v="2"/>
    <n v="219"/>
    <n v="0"/>
    <n v="1"/>
    <m/>
    <m/>
    <m/>
    <m/>
    <m/>
    <m/>
    <m/>
    <m/>
    <m/>
    <d v="1980-08-18T00:00:00"/>
    <s v="M"/>
    <s v="B"/>
    <s v="BLACK"/>
    <s v="NULL"/>
    <s v="179"/>
    <s v="DEFERRED"/>
    <n v="10"/>
    <s v="DEFERRED"/>
    <m/>
    <m/>
    <m/>
    <s v="ROBBERY-THREATS"/>
    <m/>
    <s v="F2"/>
    <s v="ROBBERY"/>
    <s v="Misd DWI 12/21/12 prob"/>
    <m/>
    <m/>
    <m/>
    <m/>
    <m/>
    <m/>
    <m/>
    <m/>
    <s v="Hired Attorney"/>
    <m/>
    <m/>
    <n v="2"/>
    <n v="219"/>
    <n v="219"/>
    <n v="31.562841530054644"/>
    <n v="0"/>
    <n v="-217"/>
    <s v="DEFERRED"/>
    <x v="1"/>
    <s v="Y"/>
    <m/>
    <s v="DEFERRED"/>
    <s v="Y"/>
    <x v="1"/>
    <x v="0"/>
    <s v="N"/>
    <n v="9.1324200913242004E-3"/>
    <n v="9.1324200913242004E-3"/>
    <n v="0"/>
    <n v="0"/>
    <n v="-2"/>
    <n v="0"/>
    <n v="2"/>
    <e v="#VALUE!"/>
    <n v="2"/>
    <n v="0"/>
    <m/>
    <m/>
    <s v="Y"/>
    <m/>
    <s v="0-10 DAYS"/>
    <n v="1"/>
    <x v="0"/>
  </r>
  <r>
    <n v="2456"/>
    <s v="N"/>
    <s v="N"/>
    <n v="2034494"/>
    <n v="5"/>
    <d v="2012-04-02T00:00:00"/>
    <d v="2012-07-03T00:00:00"/>
    <n v="2034494"/>
    <d v="2012-04-03T00:00:00"/>
    <d v="2012-04-06T00:00:00"/>
    <n v="10000"/>
    <x v="3"/>
    <d v="2012-04-06T00:00:00"/>
    <s v="Y"/>
    <s v="SURETY"/>
    <s v="GUILTY PLEA - NO JURY"/>
    <n v="4"/>
    <n v="93"/>
    <n v="4"/>
    <n v="8"/>
    <n v="2"/>
    <m/>
    <m/>
    <m/>
    <m/>
    <m/>
    <m/>
    <m/>
    <m/>
    <d v="1985-11-25T00:00:00"/>
    <s v="M"/>
    <s v="B"/>
    <s v="BLACK"/>
    <s v="NON-HISPANIC"/>
    <s v="337"/>
    <s v="CONVICTED"/>
    <n v="5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4"/>
    <n v="92"/>
    <n v="93"/>
    <n v="26.297814207650273"/>
    <n v="0"/>
    <n v="-88"/>
    <s v="CONVICTION"/>
    <x v="1"/>
    <s v="Y"/>
    <m/>
    <s v="CONVICTION"/>
    <s v="Y"/>
    <x v="1"/>
    <x v="0"/>
    <s v="Y"/>
    <n v="4.3010752688172046E-2"/>
    <n v="4.3478260869565216E-2"/>
    <n v="4.6750818139316974E-4"/>
    <n v="0"/>
    <n v="-4"/>
    <n v="0"/>
    <n v="4"/>
    <e v="#VALUE!"/>
    <n v="4"/>
    <n v="0"/>
    <m/>
    <m/>
    <s v="Y"/>
    <m/>
    <s v="0-10 DAYS"/>
    <n v="1"/>
    <x v="0"/>
  </r>
  <r>
    <n v="2338"/>
    <s v="N"/>
    <s v="N"/>
    <n v="2034600"/>
    <n v="4"/>
    <d v="2012-03-29T00:00:00"/>
    <d v="2012-03-30T00:00:00"/>
    <n v="2034600"/>
    <d v="2012-03-29T00:00:00"/>
    <d v="2012-03-30T00:00:00"/>
    <n v="2000"/>
    <x v="5"/>
    <m/>
    <s v="N"/>
    <s v="NONE"/>
    <s v="GUILTY PLEA - NO JURY"/>
    <n v="2"/>
    <n v="2"/>
    <n v="0"/>
    <n v="3"/>
    <m/>
    <m/>
    <m/>
    <m/>
    <m/>
    <m/>
    <m/>
    <m/>
    <m/>
    <d v="1978-04-20T00:00:00"/>
    <s v="F"/>
    <s v="B"/>
    <s v="BLACK"/>
    <s v="NON-HISPANIC"/>
    <s v="177"/>
    <s v="CONVICTED"/>
    <n v="1"/>
    <s v="HCJ"/>
    <m/>
    <m/>
    <n v="60"/>
    <s v="THEFT UNDER $1500 - 3RD OFF."/>
    <m/>
    <s v="FS"/>
    <s v="THEFT"/>
    <m/>
    <m/>
    <m/>
    <m/>
    <m/>
    <m/>
    <m/>
    <m/>
    <m/>
    <s v="Appointed Attorney"/>
    <m/>
    <m/>
    <n v="2"/>
    <n v="2"/>
    <n v="2"/>
    <n v="33.87158469945355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1041"/>
    <s v="N"/>
    <s v="N"/>
    <n v="2034714"/>
    <n v="5"/>
    <d v="2012-02-08T00:00:00"/>
    <d v="2012-03-07T00:00:00"/>
    <n v="2034714"/>
    <d v="2012-02-08T00:00:00"/>
    <d v="2012-03-07T00:00:00"/>
    <s v="NO BOND"/>
    <x v="1"/>
    <m/>
    <s v="N"/>
    <s v="NONE"/>
    <s v="GUILTY PLEA - NO JURY"/>
    <n v="29"/>
    <n v="29"/>
    <n v="10"/>
    <n v="3"/>
    <n v="3"/>
    <m/>
    <m/>
    <m/>
    <m/>
    <m/>
    <m/>
    <m/>
    <m/>
    <d v="1984-08-13T00:00:00"/>
    <s v="M"/>
    <s v="W"/>
    <s v="WHITE"/>
    <s v="NON-HISPANIC"/>
    <s v="262"/>
    <s v="CONVICTED"/>
    <n v="2"/>
    <s v="STJ"/>
    <m/>
    <n v="12"/>
    <m/>
    <s v="ATT ASSAULT ON PUBLIC SERVANT"/>
    <m/>
    <s v="FS"/>
    <s v="ASLT-MURDR"/>
    <m/>
    <m/>
    <m/>
    <m/>
    <m/>
    <m/>
    <m/>
    <m/>
    <m/>
    <s v="Appointed Attorney"/>
    <m/>
    <m/>
    <n v="29"/>
    <n v="29"/>
    <n v="29"/>
    <n v="27.431693989071039"/>
    <n v="0"/>
    <n v="0"/>
    <s v="CONVICTION"/>
    <x v="0"/>
    <s v="N"/>
    <m/>
    <s v="CONVICTION"/>
    <s v="Y"/>
    <x v="0"/>
    <x v="0"/>
    <s v="Y"/>
    <n v="1"/>
    <n v="1"/>
    <n v="0"/>
    <n v="0"/>
    <n v="-29"/>
    <n v="0"/>
    <n v="29"/>
    <e v="#VALUE!"/>
    <n v="29"/>
    <n v="0"/>
    <m/>
    <m/>
    <s v="Y"/>
    <m/>
    <s v="11-30 DAYS"/>
    <n v="2"/>
    <x v="0"/>
  </r>
  <r>
    <n v="397"/>
    <s v="N"/>
    <s v="N"/>
    <n v="2035588"/>
    <n v="6"/>
    <d v="2012-01-17T00:00:00"/>
    <d v="2012-03-15T00:00:00"/>
    <n v="2035588"/>
    <d v="2012-01-17T00:00:00"/>
    <d v="2012-03-15T00:00:00"/>
    <n v="10000"/>
    <x v="3"/>
    <m/>
    <s v="N"/>
    <s v="NONE"/>
    <s v="GUILTY PLEA - NO JURY"/>
    <n v="59"/>
    <n v="59"/>
    <n v="3"/>
    <n v="3"/>
    <n v="2"/>
    <m/>
    <m/>
    <m/>
    <m/>
    <m/>
    <m/>
    <m/>
    <m/>
    <d v="1984-12-06T00:00:00"/>
    <s v="M"/>
    <s v="W"/>
    <s v="WHITE"/>
    <s v="NON-HISPANIC"/>
    <s v="263"/>
    <s v="CONVICTED"/>
    <n v="3"/>
    <s v="TDC"/>
    <n v="2"/>
    <m/>
    <m/>
    <s v="ASSAULT-BOD INJ-FAMILY MEMBER"/>
    <m/>
    <s v="F3"/>
    <s v="ASLT-MURDR"/>
    <m/>
    <m/>
    <m/>
    <m/>
    <m/>
    <m/>
    <m/>
    <m/>
    <m/>
    <s v="Hired Attorney"/>
    <m/>
    <m/>
    <n v="59"/>
    <n v="59"/>
    <n v="59"/>
    <n v="27.057377049180328"/>
    <n v="0"/>
    <n v="0"/>
    <s v="CONVICTION"/>
    <x v="0"/>
    <s v="N"/>
    <m/>
    <s v="CONVICTION"/>
    <s v="Y"/>
    <x v="0"/>
    <x v="0"/>
    <s v="Y"/>
    <n v="1"/>
    <n v="1"/>
    <n v="0"/>
    <n v="0"/>
    <n v="-59"/>
    <n v="0"/>
    <n v="59"/>
    <e v="#VALUE!"/>
    <n v="59"/>
    <n v="0"/>
    <m/>
    <m/>
    <s v="Y"/>
    <m/>
    <s v="31-60 DAYS"/>
    <n v="3"/>
    <x v="0"/>
  </r>
  <r>
    <n v="537"/>
    <s v="N"/>
    <s v="N"/>
    <n v="2037023"/>
    <n v="2"/>
    <d v="2012-01-22T00:00:00"/>
    <d v="2012-03-01T00:00:00"/>
    <n v="2037023"/>
    <d v="2012-01-22T00:00:00"/>
    <d v="2012-03-01T00:00:00"/>
    <n v="10000"/>
    <x v="3"/>
    <m/>
    <s v="N"/>
    <s v="NONE"/>
    <s v="DEFERRED ADJUDICATION "/>
    <n v="40"/>
    <n v="40"/>
    <n v="0"/>
    <n v="2"/>
    <m/>
    <m/>
    <m/>
    <m/>
    <m/>
    <m/>
    <m/>
    <s v="S"/>
    <m/>
    <d v="1971-04-18T00:00:00"/>
    <s v="M"/>
    <s v="H"/>
    <s v="HISPANIC"/>
    <s v="NULL"/>
    <s v="184"/>
    <s v="DEFERRED"/>
    <n v="3"/>
    <s v="DEFERRED"/>
    <m/>
    <m/>
    <m/>
    <s v="BURGLARY OF HABITATION"/>
    <m/>
    <s v="F2"/>
    <s v="BURGLARY"/>
    <m/>
    <m/>
    <m/>
    <m/>
    <m/>
    <m/>
    <m/>
    <m/>
    <m/>
    <s v="Appointed Attorney"/>
    <m/>
    <m/>
    <n v="40"/>
    <n v="40"/>
    <n v="40"/>
    <n v="40.680327868852459"/>
    <n v="0"/>
    <n v="0"/>
    <s v="DEFERRED"/>
    <x v="0"/>
    <s v="N"/>
    <m/>
    <s v="DEFERRED"/>
    <s v="Y"/>
    <x v="0"/>
    <x v="0"/>
    <s v="N"/>
    <n v="1"/>
    <n v="1"/>
    <n v="0"/>
    <n v="0"/>
    <n v="-40"/>
    <n v="0"/>
    <n v="40"/>
    <e v="#VALUE!"/>
    <n v="40"/>
    <n v="0"/>
    <m/>
    <m/>
    <s v="Y"/>
    <m/>
    <s v="31-60 DAYS"/>
    <n v="3"/>
    <x v="0"/>
  </r>
  <r>
    <n v="2133"/>
    <s v="N"/>
    <s v="Y"/>
    <n v="2037816"/>
    <n v="3"/>
    <d v="2012-03-21T00:00:00"/>
    <d v="2012-10-23T00:00:00"/>
    <n v="2037816"/>
    <d v="2012-03-21T00:00:00"/>
    <d v="2012-05-07T00:00:00"/>
    <n v="7000"/>
    <x v="3"/>
    <d v="2012-05-07T00:00:00"/>
    <s v="Y"/>
    <s v="SURETY"/>
    <s v="GUILTY PLEA - NO JURY"/>
    <n v="164"/>
    <n v="217"/>
    <n v="0"/>
    <n v="1"/>
    <m/>
    <m/>
    <m/>
    <m/>
    <m/>
    <m/>
    <m/>
    <m/>
    <m/>
    <d v="1979-05-11T00:00:00"/>
    <s v="F"/>
    <s v="W"/>
    <s v="WHITE"/>
    <s v="NON-HISPANIC"/>
    <s v="248"/>
    <s v="CONVICTED"/>
    <n v="10"/>
    <s v="PROBATION"/>
    <m/>
    <m/>
    <n v="10"/>
    <s v="DWI 3RD OFFENDER BAC .08"/>
    <m/>
    <s v="F3"/>
    <s v="FEL DWI"/>
    <m/>
    <s v="bd revoke 6/29/12"/>
    <m/>
    <m/>
    <s v="Y"/>
    <m/>
    <m/>
    <m/>
    <m/>
    <s v="Hired Attorney"/>
    <m/>
    <m/>
    <n v="164"/>
    <n v="217"/>
    <n v="217"/>
    <n v="32.795081967213115"/>
    <n v="0"/>
    <n v="-169"/>
    <s v="CONVICTION"/>
    <x v="1"/>
    <s v="Y"/>
    <m/>
    <s v="CONVICTION"/>
    <s v="Y"/>
    <x v="0"/>
    <x v="0"/>
    <s v="N"/>
    <n v="0.75576036866359442"/>
    <n v="0.22119815668202766"/>
    <n v="-0.53456221198156673"/>
    <n v="0"/>
    <n v="-48"/>
    <n v="116"/>
    <n v="217"/>
    <n v="164"/>
    <n v="217"/>
    <n v="169"/>
    <m/>
    <m/>
    <s v="Y"/>
    <m/>
    <s v="121-365 DAYS"/>
    <n v="6"/>
    <x v="0"/>
  </r>
  <r>
    <n v="2752"/>
    <s v="Y"/>
    <s v="Y"/>
    <n v="2038308"/>
    <s v=""/>
    <d v="2012-04-12T00:00:00"/>
    <m/>
    <n v="2038308"/>
    <d v="2012-04-16T00:00:00"/>
    <d v="2012-05-08T00:00:00"/>
    <n v="150000"/>
    <x v="2"/>
    <d v="2012-05-08T00:00:00"/>
    <s v="Y"/>
    <s v="SURETY"/>
    <s v="NULL"/>
    <s v="STILL OPEN"/>
    <s v="STILL OPEN"/>
    <n v="2"/>
    <n v="0"/>
    <n v="2"/>
    <m/>
    <m/>
    <m/>
    <m/>
    <m/>
    <m/>
    <m/>
    <m/>
    <d v="1985-04-20T00:00:00"/>
    <s v="M"/>
    <s v="B"/>
    <s v="BLACK"/>
    <s v="NON-HISPANIC"/>
    <s v="209"/>
    <s v="NULL"/>
    <m/>
    <m/>
    <m/>
    <m/>
    <m/>
    <s v="MAN/DEL CS PG I 200-400 GRAMS"/>
    <m/>
    <s v="F"/>
    <s v="SALE DRUG"/>
    <s v="bk 10/19/13 new ch 0 bd recaltreat as rev"/>
    <m/>
    <m/>
    <m/>
    <s v="Y"/>
    <m/>
    <m/>
    <m/>
    <m/>
    <s v="Hired Attorney"/>
    <s v="2 FEL PEND 10/18/13"/>
    <m/>
    <s v="STILL OPEN"/>
    <s v="STILL OPEN"/>
    <s v="STILL OPEN"/>
    <n v="26.923497267759561"/>
    <n v="0"/>
    <n v="41037"/>
    <n v="0"/>
    <x v="1"/>
    <s v="Y"/>
    <m/>
    <s v=""/>
    <s v="Y"/>
    <x v="3"/>
    <x v="1"/>
    <s v="Y"/>
    <s v="STILL OPEN"/>
    <s v="STILL OPEN"/>
    <n v="0"/>
    <e v="#VALUE!"/>
    <n v="-23"/>
    <e v="#VALUE!"/>
    <e v="#VALUE!"/>
    <s v="STILL OPEN"/>
    <s v="STILL OPEN"/>
    <m/>
    <m/>
    <m/>
    <s v="Y"/>
    <e v="#N/A"/>
    <s v="&gt;3YRS"/>
    <n v="9"/>
    <x v="0"/>
  </r>
  <r>
    <n v="1255"/>
    <s v="N"/>
    <s v="N"/>
    <n v="2038330"/>
    <n v="1"/>
    <d v="2012-02-15T00:00:00"/>
    <d v="2013-10-04T00:00:00"/>
    <n v="2038330"/>
    <d v="2012-02-16T00:00:00"/>
    <d v="2012-02-18T00:00:00"/>
    <n v="30000"/>
    <x v="2"/>
    <d v="2012-02-18T00:00:00"/>
    <s v="Y"/>
    <s v="SURETY"/>
    <s v="DISMISSED"/>
    <n v="3"/>
    <n v="598"/>
    <n v="1"/>
    <n v="0"/>
    <m/>
    <m/>
    <m/>
    <m/>
    <m/>
    <m/>
    <m/>
    <m/>
    <m/>
    <d v="1977-03-22T00:00:00"/>
    <s v="M"/>
    <s v="B"/>
    <s v="BLACK"/>
    <s v="NULL"/>
    <s v="177"/>
    <s v="DISMISSED"/>
    <n v="19"/>
    <s v="DISMISSED"/>
    <m/>
    <m/>
    <m/>
    <s v="POSS CS PG 4 OVER 400 GRAMS"/>
    <m/>
    <s v="F1"/>
    <s v="POSS DRUG"/>
    <m/>
    <m/>
    <m/>
    <m/>
    <m/>
    <m/>
    <m/>
    <m/>
    <m/>
    <s v="Hired Attorney"/>
    <m/>
    <m/>
    <n v="3"/>
    <n v="597"/>
    <n v="598"/>
    <n v="34.830601092896174"/>
    <n v="0"/>
    <n v="-594"/>
    <s v="NO CONVICTION"/>
    <x v="1"/>
    <s v="Y"/>
    <m/>
    <s v="NO CONVICTION"/>
    <s v="Y"/>
    <x v="1"/>
    <x v="0"/>
    <s v="Y"/>
    <n v="5.016722408026756E-3"/>
    <n v="5.0251256281407036E-3"/>
    <n v="8.4032201139476112E-6"/>
    <n v="0"/>
    <n v="-3"/>
    <n v="0"/>
    <n v="3"/>
    <e v="#VALUE!"/>
    <n v="3"/>
    <n v="0"/>
    <m/>
    <m/>
    <s v="Y"/>
    <m/>
    <s v="0-10 DAYS"/>
    <n v="1"/>
    <x v="0"/>
  </r>
  <r>
    <n v="370"/>
    <s v="N"/>
    <s v="N"/>
    <n v="2039143"/>
    <n v="2"/>
    <d v="2012-01-16T00:00:00"/>
    <d v="2012-06-12T00:00:00"/>
    <n v="2039143"/>
    <d v="2012-01-16T00:00:00"/>
    <d v="2012-01-17T00:00:00"/>
    <n v="15000"/>
    <x v="0"/>
    <d v="2012-01-17T00:00:00"/>
    <s v="Y"/>
    <s v="SURETY"/>
    <s v="DEFERRED ADJUDICATION "/>
    <n v="2"/>
    <n v="149"/>
    <n v="0"/>
    <n v="2"/>
    <m/>
    <m/>
    <m/>
    <m/>
    <m/>
    <m/>
    <m/>
    <s v="S"/>
    <m/>
    <d v="1981-12-30T00:00:00"/>
    <s v="M"/>
    <s v="H"/>
    <s v="HISPANIC"/>
    <s v="NULL"/>
    <s v="182"/>
    <s v="DEFERRED"/>
    <n v="6"/>
    <s v="DEFERRED"/>
    <m/>
    <m/>
    <m/>
    <s v="ATT BRIBERY"/>
    <m/>
    <s v="F3"/>
    <s v="OTHER FEL"/>
    <m/>
    <m/>
    <m/>
    <m/>
    <m/>
    <m/>
    <m/>
    <m/>
    <m/>
    <s v="Hired Attorney"/>
    <m/>
    <m/>
    <n v="2"/>
    <n v="149"/>
    <n v="149"/>
    <n v="29.983606557377048"/>
    <n v="0"/>
    <n v="-147"/>
    <s v="DEFERRED"/>
    <x v="1"/>
    <s v="Y"/>
    <m/>
    <s v="DEFERRED"/>
    <s v="Y"/>
    <x v="1"/>
    <x v="0"/>
    <s v="N"/>
    <n v="1.3422818791946308E-2"/>
    <n v="1.3422818791946308E-2"/>
    <n v="0"/>
    <n v="0"/>
    <n v="-2"/>
    <n v="0"/>
    <n v="2"/>
    <e v="#VALUE!"/>
    <n v="2"/>
    <n v="0"/>
    <m/>
    <m/>
    <s v="Y"/>
    <m/>
    <s v="0-10 DAYS"/>
    <n v="1"/>
    <x v="0"/>
  </r>
  <r>
    <n v="1544"/>
    <s v="N"/>
    <s v="N"/>
    <n v="2039745"/>
    <n v="5"/>
    <d v="2012-02-27T00:00:00"/>
    <d v="2012-03-21T00:00:00"/>
    <n v="2039745"/>
    <d v="2012-03-19T00:00:00"/>
    <d v="2012-03-21T00:00:00"/>
    <n v="15000"/>
    <x v="0"/>
    <m/>
    <s v="N"/>
    <s v="NONE"/>
    <s v="GUILTY PLEA - NO JURY"/>
    <n v="3"/>
    <n v="24"/>
    <n v="1"/>
    <n v="2"/>
    <m/>
    <m/>
    <m/>
    <m/>
    <m/>
    <m/>
    <m/>
    <m/>
    <m/>
    <d v="1985-02-26T00:00:00"/>
    <s v="M"/>
    <s v="W"/>
    <s v="WHITE"/>
    <s v="NON-HISPANIC"/>
    <s v="248"/>
    <s v="CONVICTED"/>
    <n v="2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3"/>
    <n v="3"/>
    <n v="24"/>
    <n v="26.94535519125683"/>
    <n v="0"/>
    <n v="0"/>
    <s v="CONVICTION"/>
    <x v="0"/>
    <s v="N"/>
    <m/>
    <s v="CONVICTION"/>
    <s v="Y"/>
    <x v="0"/>
    <x v="0"/>
    <s v="Y"/>
    <n v="0.125"/>
    <n v="1"/>
    <n v="0.875"/>
    <n v="0"/>
    <n v="-3"/>
    <n v="0"/>
    <n v="3"/>
    <e v="#VALUE!"/>
    <n v="3"/>
    <n v="0"/>
    <m/>
    <m/>
    <s v="Y"/>
    <m/>
    <s v="0-10 DAYS"/>
    <n v="1"/>
    <x v="0"/>
  </r>
  <r>
    <n v="731"/>
    <s v="N"/>
    <s v="N"/>
    <n v="2040647"/>
    <n v="6"/>
    <d v="2012-01-29T00:00:00"/>
    <d v="2012-06-18T00:00:00"/>
    <n v="2040647"/>
    <d v="2012-01-29T00:00:00"/>
    <d v="2012-02-07T00:00:00"/>
    <n v="15000"/>
    <x v="0"/>
    <d v="2012-02-07T00:00:00"/>
    <s v="Y"/>
    <s v="SURETYPTRc"/>
    <s v="GUILTY PLEA - NO JURY"/>
    <n v="10"/>
    <n v="142"/>
    <n v="6"/>
    <n v="4"/>
    <n v="4"/>
    <m/>
    <m/>
    <m/>
    <m/>
    <m/>
    <m/>
    <m/>
    <m/>
    <d v="1985-07-13T00:00:00"/>
    <s v="M"/>
    <s v="B"/>
    <s v="BLACK"/>
    <s v="NON-HISPANIC"/>
    <s v="262"/>
    <s v="CONVICTED"/>
    <n v="9"/>
    <s v="TDC"/>
    <n v="2"/>
    <m/>
    <m/>
    <s v="BURGLARY OF A BUILDING"/>
    <m/>
    <s v="FS"/>
    <s v="BURGLARY"/>
    <m/>
    <m/>
    <m/>
    <m/>
    <m/>
    <m/>
    <m/>
    <m/>
    <m/>
    <s v="Appointed Attorney"/>
    <m/>
    <m/>
    <n v="10"/>
    <n v="142"/>
    <n v="142"/>
    <n v="26.491803278688526"/>
    <n v="0"/>
    <n v="-132"/>
    <s v="CONVICTION"/>
    <x v="1"/>
    <s v="Y"/>
    <m/>
    <s v="CONVICTION"/>
    <s v="Y"/>
    <x v="1"/>
    <x v="0"/>
    <s v="Y"/>
    <n v="7.0422535211267609E-2"/>
    <n v="7.0422535211267609E-2"/>
    <n v="0"/>
    <n v="0"/>
    <n v="-10"/>
    <n v="0"/>
    <n v="10"/>
    <e v="#VALUE!"/>
    <n v="10"/>
    <n v="0"/>
    <m/>
    <m/>
    <s v="Y"/>
    <m/>
    <s v="0-10 DAYS"/>
    <n v="1"/>
    <x v="0"/>
  </r>
  <r>
    <n v="3218"/>
    <s v="Y"/>
    <s v="Y"/>
    <n v="2042185"/>
    <n v="4"/>
    <d v="2012-04-28T00:00:00"/>
    <d v="2012-11-01T00:00:00"/>
    <n v="2042185"/>
    <d v="2012-04-28T00:00:00"/>
    <d v="2012-05-04T00:00:00"/>
    <n v="10000"/>
    <x v="3"/>
    <d v="2012-05-04T00:00:00"/>
    <s v="Y"/>
    <s v="SURETY"/>
    <s v="GUILTY PLEA - NO JURY"/>
    <n v="11"/>
    <n v="188"/>
    <n v="1"/>
    <n v="1"/>
    <m/>
    <m/>
    <m/>
    <m/>
    <m/>
    <m/>
    <m/>
    <m/>
    <m/>
    <d v="1985-12-18T00:00:00"/>
    <s v="M"/>
    <s v="H"/>
    <s v="HISPANIC"/>
    <s v="HISPANIC"/>
    <s v="208"/>
    <s v="CONVICTED"/>
    <n v="8"/>
    <s v="HCJ"/>
    <m/>
    <m/>
    <n v="167"/>
    <s v="ASSAULT-BOD INJ-FAMILY MEMBER"/>
    <m/>
    <s v="F3"/>
    <s v="ASLT-MURDR"/>
    <m/>
    <m/>
    <s v="Y"/>
    <s v="bf 10/18/12"/>
    <m/>
    <m/>
    <m/>
    <d v="2012-12-21T00:00:00"/>
    <n v="240"/>
    <s v="Appointed Attorney"/>
    <s v="M TRES 5/1/13  Nafugitive"/>
    <m/>
    <n v="11"/>
    <n v="188"/>
    <n v="188"/>
    <n v="26.306010928961747"/>
    <n v="0"/>
    <n v="-181"/>
    <s v="CONVICTION"/>
    <x v="1"/>
    <s v="N"/>
    <m/>
    <s v="CONVICTION"/>
    <s v="Y"/>
    <x v="0"/>
    <x v="0"/>
    <s v="Y"/>
    <n v="5.8510638297872342E-2"/>
    <n v="3.7234042553191488E-2"/>
    <n v="-2.1276595744680854E-2"/>
    <n v="0"/>
    <n v="-7"/>
    <n v="4"/>
    <n v="188"/>
    <n v="11"/>
    <n v="188"/>
    <n v="181"/>
    <m/>
    <m/>
    <s v="Y"/>
    <m/>
    <s v="11-30 DAYS"/>
    <n v="2"/>
    <x v="0"/>
  </r>
  <r>
    <n v="2953"/>
    <s v="N"/>
    <s v="Y"/>
    <n v="2043015"/>
    <n v="6"/>
    <d v="2012-04-18T00:00:00"/>
    <d v="2013-03-25T00:00:00"/>
    <n v="2043015"/>
    <d v="2012-04-19T00:00:00"/>
    <d v="2012-04-21T00:00:00"/>
    <n v="15000"/>
    <x v="0"/>
    <d v="2012-04-21T00:00:00"/>
    <s v="Y"/>
    <s v="SURETY"/>
    <s v="GUILTY PLEA - NO JURY"/>
    <n v="14"/>
    <n v="342"/>
    <n v="2"/>
    <n v="3"/>
    <m/>
    <n v="1"/>
    <m/>
    <m/>
    <m/>
    <m/>
    <m/>
    <m/>
    <m/>
    <d v="1982-02-14T00:00:00"/>
    <s v="M"/>
    <s v="B"/>
    <s v="BLACK"/>
    <s v="NON-HISPANIC"/>
    <s v="183"/>
    <s v="CONVICTED"/>
    <n v="15"/>
    <s v="TDC"/>
    <n v="2"/>
    <m/>
    <m/>
    <s v="ASSAULT-BOD INJ-PUB SERV/RETAL"/>
    <m/>
    <s v="F3"/>
    <s v="ASLT-MURDR"/>
    <s v="bk 2/6/13 made bond 2/13/13 another case filed same date add 6 jail days"/>
    <s v="bk on another case "/>
    <m/>
    <m/>
    <s v="Y"/>
    <m/>
    <m/>
    <m/>
    <m/>
    <s v="Hired Attorney"/>
    <m/>
    <m/>
    <n v="14"/>
    <n v="341"/>
    <n v="342"/>
    <n v="30.112021857923498"/>
    <n v="0"/>
    <n v="-338"/>
    <s v="CONVICTION"/>
    <x v="1"/>
    <s v="Y"/>
    <m/>
    <s v="CONVICTION"/>
    <s v="Y"/>
    <x v="0"/>
    <x v="0"/>
    <s v="Y"/>
    <n v="4.0935672514619881E-2"/>
    <n v="8.7976539589442824E-3"/>
    <n v="-3.21380185556756E-2"/>
    <n v="0"/>
    <n v="-3"/>
    <n v="11"/>
    <n v="341"/>
    <n v="14"/>
    <n v="341"/>
    <n v="338"/>
    <m/>
    <m/>
    <s v="Y"/>
    <m/>
    <s v="11-30 DAYS"/>
    <n v="2"/>
    <x v="0"/>
  </r>
  <r>
    <n v="1939"/>
    <s v="N"/>
    <s v="N"/>
    <n v="2043022"/>
    <n v="6"/>
    <d v="2012-03-13T00:00:00"/>
    <d v="2012-09-11T00:00:00"/>
    <n v="2043022"/>
    <d v="2012-03-14T00:00:00"/>
    <d v="2012-09-11T00:00:00"/>
    <n v="20000"/>
    <x v="0"/>
    <m/>
    <s v="N"/>
    <s v="NONE"/>
    <s v="GUILTY PLEA - NO JURY"/>
    <n v="182"/>
    <n v="183"/>
    <n v="4"/>
    <n v="6"/>
    <n v="2"/>
    <m/>
    <m/>
    <m/>
    <m/>
    <m/>
    <m/>
    <m/>
    <m/>
    <d v="1984-03-29T00:00:00"/>
    <s v="F"/>
    <s v="W"/>
    <s v="WHITE"/>
    <s v="NON-HISPANIC"/>
    <s v="248"/>
    <s v="CONVICTED"/>
    <n v="9"/>
    <s v="TDC"/>
    <n v="2"/>
    <m/>
    <m/>
    <s v="POSS W/INT DEL CS PG1&gt;=4 &lt;200"/>
    <m/>
    <s v="F1"/>
    <s v="SALE DRUG"/>
    <m/>
    <m/>
    <m/>
    <m/>
    <m/>
    <m/>
    <m/>
    <m/>
    <m/>
    <s v="Appointed Attorney"/>
    <m/>
    <m/>
    <n v="182"/>
    <n v="182"/>
    <n v="183"/>
    <n v="27.898907103825138"/>
    <n v="0"/>
    <n v="0"/>
    <s v="CONVICTION"/>
    <x v="0"/>
    <s v="N"/>
    <m/>
    <s v="CONVICTION"/>
    <s v="Y"/>
    <x v="0"/>
    <x v="0"/>
    <s v="Y"/>
    <n v="0.99453551912568305"/>
    <n v="1"/>
    <n v="5.464480874316946E-3"/>
    <n v="0"/>
    <n v="-182"/>
    <n v="0"/>
    <n v="182"/>
    <e v="#VALUE!"/>
    <n v="182"/>
    <n v="0"/>
    <m/>
    <m/>
    <s v="Y"/>
    <m/>
    <s v="121-365 DAYS"/>
    <n v="6"/>
    <x v="0"/>
  </r>
  <r>
    <n v="2375"/>
    <s v="N"/>
    <s v="Y"/>
    <n v="2043628"/>
    <n v="2"/>
    <d v="2012-03-30T00:00:00"/>
    <d v="2014-03-05T00:00:00"/>
    <n v="2043628"/>
    <d v="2013-02-13T00:00:00"/>
    <d v="2013-02-20T00:00:00"/>
    <n v="5000"/>
    <x v="4"/>
    <d v="2012-04-04T00:00:00"/>
    <s v="Y"/>
    <s v="SURETY"/>
    <s v="DEFERRED ADJUDICATION "/>
    <n v="7"/>
    <n v="706"/>
    <n v="1"/>
    <n v="3"/>
    <m/>
    <n v="1"/>
    <m/>
    <m/>
    <m/>
    <m/>
    <m/>
    <m/>
    <m/>
    <d v="1986-03-27T00:00:00"/>
    <s v="M"/>
    <s v="H"/>
    <s v="HISPANIC"/>
    <s v="HISPANIC"/>
    <s v="177"/>
    <s v="DEFERRED"/>
    <n v="22"/>
    <s v="DEFERRED"/>
    <m/>
    <m/>
    <m/>
    <s v="INJ TO DISABLED - BOD INJ"/>
    <m/>
    <s v="F3"/>
    <s v="ASLT-MURDR"/>
    <s v="misd susp lic filed 3/3/13 bd   1 day jail"/>
    <s v="BD REVK 2/13/13 misd  case filed new bond"/>
    <m/>
    <m/>
    <s v="Y"/>
    <m/>
    <m/>
    <m/>
    <m/>
    <s v="Hired Attorney"/>
    <m/>
    <m/>
    <n v="7"/>
    <n v="386"/>
    <n v="706"/>
    <n v="25.956284153005466"/>
    <n v="-322"/>
    <n v="-378"/>
    <s v="DEFERRED"/>
    <x v="1"/>
    <s v="Y"/>
    <m/>
    <s v="DEFERRED"/>
    <s v="Y"/>
    <x v="1"/>
    <x v="0"/>
    <s v="Y"/>
    <n v="9.9150141643059488E-3"/>
    <n v="9.9000000000000008E-3"/>
    <n v="0"/>
    <n v="0"/>
    <n v="-8"/>
    <n v="-1"/>
    <n v="-314"/>
    <e v="#VALUE!"/>
    <n v="7"/>
    <m/>
    <m/>
    <m/>
    <s v="Y"/>
    <e v="#N/A"/>
    <s v="0-10 DAYS"/>
    <n v="1"/>
    <x v="0"/>
  </r>
  <r>
    <n v="3013"/>
    <s v="N"/>
    <s v="Y"/>
    <n v="2044068"/>
    <n v="5"/>
    <d v="2012-04-21T00:00:00"/>
    <d v="2012-09-07T00:00:00"/>
    <n v="2044068"/>
    <d v="2012-04-21T00:00:00"/>
    <d v="2012-04-28T00:00:00"/>
    <n v="20000"/>
    <x v="0"/>
    <d v="2012-04-28T00:00:00"/>
    <s v="Y"/>
    <s v="SURETYPTRc"/>
    <s v="GUILTY PLEA - NO JURY"/>
    <n v="44"/>
    <n v="140"/>
    <n v="0"/>
    <n v="1"/>
    <m/>
    <m/>
    <m/>
    <m/>
    <m/>
    <m/>
    <m/>
    <m/>
    <m/>
    <d v="1979-03-15T00:00:00"/>
    <s v="M"/>
    <s v="B"/>
    <s v="BLACK"/>
    <s v="NULL"/>
    <s v="183"/>
    <s v="CONVICTED"/>
    <n v="8"/>
    <s v="STJ"/>
    <m/>
    <n v="6"/>
    <m/>
    <s v="POSS CS PG 1 &lt;1G"/>
    <m/>
    <s v="FS"/>
    <s v="POSS DRUG"/>
    <m/>
    <s v="revoked 7/30/12"/>
    <m/>
    <m/>
    <s v="Y"/>
    <m/>
    <m/>
    <m/>
    <m/>
    <s v="Hired Attorney"/>
    <m/>
    <m/>
    <n v="44"/>
    <n v="140"/>
    <n v="140"/>
    <n v="33.035519125683059"/>
    <n v="0"/>
    <n v="-132"/>
    <s v="CONVICTION"/>
    <x v="1"/>
    <s v="Y"/>
    <m/>
    <s v="CONVICTION"/>
    <s v="Y"/>
    <x v="0"/>
    <x v="0"/>
    <s v="N"/>
    <n v="0.31428571428571428"/>
    <n v="5.7142857142857141E-2"/>
    <n v="-0.25714285714285712"/>
    <n v="0"/>
    <n v="-8"/>
    <n v="36"/>
    <n v="140"/>
    <n v="44"/>
    <n v="140"/>
    <n v="132"/>
    <m/>
    <m/>
    <s v="Y"/>
    <m/>
    <s v="31-60 DAYS"/>
    <n v="3"/>
    <x v="0"/>
  </r>
  <r>
    <n v="668"/>
    <s v="N"/>
    <s v="N"/>
    <n v="2044088"/>
    <n v="5"/>
    <d v="2012-01-27T00:00:00"/>
    <d v="2012-03-23T00:00:00"/>
    <n v="2044088"/>
    <d v="2012-01-27T00:00:00"/>
    <d v="2012-03-23T00:00:00"/>
    <n v="15000"/>
    <x v="0"/>
    <m/>
    <s v="N"/>
    <s v="NONE"/>
    <s v="GUILTY PLEA - NO JURY"/>
    <n v="57"/>
    <n v="57"/>
    <n v="4"/>
    <n v="0"/>
    <n v="1"/>
    <m/>
    <m/>
    <m/>
    <m/>
    <m/>
    <m/>
    <m/>
    <m/>
    <d v="1970-10-10T00:00:00"/>
    <s v="F"/>
    <s v="H"/>
    <s v="HISPANIC"/>
    <s v="HISPANIC"/>
    <s v="178"/>
    <s v="CONVICTED"/>
    <n v="3"/>
    <s v="STJ"/>
    <m/>
    <n v="6"/>
    <m/>
    <s v="POSS CS PG 1 &lt;1G"/>
    <m/>
    <s v="FS"/>
    <s v="POSS DRUG"/>
    <m/>
    <m/>
    <m/>
    <m/>
    <m/>
    <m/>
    <m/>
    <m/>
    <m/>
    <s v="Appointed Attorney"/>
    <m/>
    <m/>
    <n v="57"/>
    <n v="57"/>
    <n v="57"/>
    <n v="41.213114754098363"/>
    <n v="0"/>
    <n v="0"/>
    <s v="CONVICTION"/>
    <x v="0"/>
    <s v="N"/>
    <m/>
    <s v="CONVICTION"/>
    <s v="Y"/>
    <x v="0"/>
    <x v="0"/>
    <s v="Y"/>
    <n v="1"/>
    <n v="1"/>
    <n v="0"/>
    <n v="0"/>
    <n v="-57"/>
    <n v="0"/>
    <n v="57"/>
    <e v="#VALUE!"/>
    <n v="57"/>
    <n v="0"/>
    <m/>
    <m/>
    <s v="Y"/>
    <m/>
    <s v="31-60 DAYS"/>
    <n v="3"/>
    <x v="0"/>
  </r>
  <r>
    <n v="575"/>
    <s v="Y"/>
    <s v="N"/>
    <n v="2044206"/>
    <n v="2"/>
    <d v="2012-01-24T00:00:00"/>
    <d v="2012-01-26T00:00:00"/>
    <n v="2044206"/>
    <d v="2012-01-24T00:00:00"/>
    <d v="2012-01-26T00:00:00"/>
    <n v="2000"/>
    <x v="5"/>
    <m/>
    <s v="N"/>
    <s v="NONE"/>
    <s v="DEFERRED ADJUDICATION "/>
    <n v="3"/>
    <n v="3"/>
    <n v="0"/>
    <n v="3"/>
    <m/>
    <m/>
    <m/>
    <m/>
    <m/>
    <m/>
    <m/>
    <m/>
    <m/>
    <d v="1983-07-31T00:00:00"/>
    <s v="F"/>
    <s v="H"/>
    <s v="HISPANIC"/>
    <s v="HISPANIC"/>
    <s v="178"/>
    <s v="DEFERRED"/>
    <n v="2"/>
    <s v="DEFERRED"/>
    <m/>
    <m/>
    <m/>
    <s v="THEFT UNDER $1500 - 3RD OFF."/>
    <m/>
    <s v="FS"/>
    <s v="THEFT"/>
    <s v="rev theft 4/25/12 tdc 6 mos"/>
    <m/>
    <m/>
    <m/>
    <m/>
    <m/>
    <m/>
    <m/>
    <m/>
    <s v="Appointed Attorney"/>
    <s v="rev theft 4/25/12 tdc 6 mos"/>
    <m/>
    <n v="3"/>
    <n v="3"/>
    <n v="3"/>
    <n v="28.42622950819672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3254"/>
    <s v="N"/>
    <s v="N"/>
    <n v="2044894"/>
    <n v="2"/>
    <d v="2012-04-30T00:00:00"/>
    <d v="2012-09-18T00:00:00"/>
    <n v="2044894"/>
    <d v="2012-04-30T00:00:00"/>
    <d v="2012-05-01T00:00:00"/>
    <n v="5000"/>
    <x v="4"/>
    <d v="2012-05-01T00:00:00"/>
    <s v="Y"/>
    <s v="SURETY"/>
    <s v="DEFERRED ADJUDICATION "/>
    <n v="2"/>
    <n v="142"/>
    <n v="1"/>
    <n v="1"/>
    <n v="1"/>
    <m/>
    <m/>
    <m/>
    <m/>
    <m/>
    <m/>
    <s v="S"/>
    <m/>
    <d v="1972-12-12T00:00:00"/>
    <s v="F"/>
    <s v="H"/>
    <s v="HISPANIC"/>
    <s v="NULL"/>
    <s v="228"/>
    <s v="DEFERRED"/>
    <n v="6"/>
    <s v="DEFERRED"/>
    <m/>
    <m/>
    <m/>
    <s v="CRIM MISCH &gt;=$1500 &lt;$20K"/>
    <m/>
    <s v="FS"/>
    <s v="OTHER FEL"/>
    <m/>
    <m/>
    <m/>
    <m/>
    <m/>
    <m/>
    <m/>
    <m/>
    <m/>
    <s v="Hired Attorney"/>
    <m/>
    <m/>
    <n v="2"/>
    <n v="142"/>
    <n v="142"/>
    <n v="39.300546448087431"/>
    <n v="0"/>
    <n v="-140"/>
    <s v="DEFERRED"/>
    <x v="1"/>
    <s v="Y"/>
    <m/>
    <s v="DEFERRED"/>
    <s v="Y"/>
    <x v="1"/>
    <x v="0"/>
    <s v="Y"/>
    <n v="1.4084507042253521E-2"/>
    <n v="1.4084507042253521E-2"/>
    <n v="0"/>
    <n v="0"/>
    <n v="-2"/>
    <n v="0"/>
    <n v="2"/>
    <e v="#VALUE!"/>
    <n v="2"/>
    <n v="0"/>
    <m/>
    <m/>
    <s v="Y"/>
    <m/>
    <s v="0-10 DAYS"/>
    <n v="1"/>
    <x v="0"/>
  </r>
  <r>
    <n v="376"/>
    <s v="N"/>
    <s v="N"/>
    <n v="2045238"/>
    <n v="1"/>
    <d v="2012-01-16T00:00:00"/>
    <d v="2012-03-23T00:00:00"/>
    <n v="2045238"/>
    <d v="2012-01-17T00:00:00"/>
    <d v="2012-03-23T00:00:00"/>
    <s v="NO BOND"/>
    <x v="1"/>
    <m/>
    <s v="N"/>
    <s v="NONE"/>
    <s v="DISMISSED"/>
    <n v="67"/>
    <n v="68"/>
    <n v="0"/>
    <n v="0"/>
    <m/>
    <m/>
    <m/>
    <m/>
    <m/>
    <m/>
    <m/>
    <s v="S"/>
    <m/>
    <d v="1969-09-09T00:00:00"/>
    <s v="M"/>
    <s v="H"/>
    <s v="HISPANIC"/>
    <s v="NULL"/>
    <s v="230"/>
    <s v="DISMISSED"/>
    <n v="6"/>
    <s v="DISMISSED"/>
    <m/>
    <m/>
    <m/>
    <s v="MAN/DEL CS PG I OVER 400 GRAMS"/>
    <m/>
    <s v="F1"/>
    <s v="SALE DRUG"/>
    <m/>
    <m/>
    <m/>
    <m/>
    <m/>
    <m/>
    <m/>
    <m/>
    <m/>
    <s v="Public Defender"/>
    <m/>
    <m/>
    <n v="67"/>
    <n v="67"/>
    <n v="68"/>
    <n v="42.265027322404372"/>
    <n v="0"/>
    <n v="0"/>
    <s v="NO CONVICTION"/>
    <x v="0"/>
    <s v="N"/>
    <m/>
    <s v="NO CONVICTION"/>
    <s v="Y"/>
    <x v="0"/>
    <x v="0"/>
    <s v="N"/>
    <n v="0.98529411764705888"/>
    <n v="1"/>
    <n v="1.4705882352941124E-2"/>
    <n v="0"/>
    <n v="-67"/>
    <n v="0"/>
    <n v="67"/>
    <e v="#VALUE!"/>
    <n v="67"/>
    <n v="0"/>
    <m/>
    <m/>
    <s v="N"/>
    <m/>
    <s v="61-90 DAYS"/>
    <n v="4"/>
    <x v="0"/>
  </r>
  <r>
    <n v="2200"/>
    <s v="N"/>
    <s v="N"/>
    <n v="2045307"/>
    <n v="1"/>
    <d v="2012-03-23T00:00:00"/>
    <d v="2012-05-04T00:00:00"/>
    <n v="2045307"/>
    <d v="2012-03-24T00:00:00"/>
    <d v="2012-04-06T00:00:00"/>
    <n v="100000"/>
    <x v="2"/>
    <d v="2012-04-06T00:00:00"/>
    <s v="Y"/>
    <s v="SURETY"/>
    <s v="DISMISSED"/>
    <n v="14"/>
    <n v="43"/>
    <n v="4"/>
    <n v="0"/>
    <n v="2"/>
    <m/>
    <m/>
    <m/>
    <m/>
    <m/>
    <m/>
    <m/>
    <m/>
    <d v="1980-02-28T00:00:00"/>
    <s v="M"/>
    <s v="H"/>
    <s v="HISPANIC"/>
    <s v="HISPANIC"/>
    <s v="263"/>
    <s v="DISMISSED"/>
    <n v="4"/>
    <s v="DISMISSED"/>
    <m/>
    <m/>
    <m/>
    <s v="POSS W/INT DEL CS PG1&gt;=4 &lt;200"/>
    <m/>
    <s v="F1"/>
    <s v="SALE DRUG"/>
    <m/>
    <m/>
    <m/>
    <m/>
    <m/>
    <m/>
    <m/>
    <m/>
    <m/>
    <s v="Hired Attorney"/>
    <m/>
    <m/>
    <n v="14"/>
    <n v="42"/>
    <n v="43"/>
    <n v="32"/>
    <n v="0"/>
    <n v="-28"/>
    <s v="NO CONVICTION"/>
    <x v="1"/>
    <s v="Y"/>
    <m/>
    <s v="NO CONVICTION"/>
    <s v="Y"/>
    <x v="1"/>
    <x v="0"/>
    <s v="Y"/>
    <n v="0.32558139534883723"/>
    <n v="0.33333333333333331"/>
    <n v="7.7519379844960823E-3"/>
    <n v="0"/>
    <n v="-14"/>
    <n v="0"/>
    <n v="14"/>
    <e v="#VALUE!"/>
    <n v="14"/>
    <n v="0"/>
    <m/>
    <m/>
    <s v="Y"/>
    <m/>
    <s v="11-30 DAYS"/>
    <n v="2"/>
    <x v="0"/>
  </r>
  <r>
    <n v="375"/>
    <s v="N"/>
    <s v="N"/>
    <n v="2045480"/>
    <n v="1"/>
    <d v="2012-01-16T00:00:00"/>
    <d v="2013-01-18T00:00:00"/>
    <n v="2045480"/>
    <d v="2012-06-09T00:00:00"/>
    <d v="2012-06-16T00:00:00"/>
    <n v="15000"/>
    <x v="0"/>
    <d v="2012-06-16T00:00:00"/>
    <s v="Y"/>
    <s v="SURETYPTRc"/>
    <s v="DISMISSED"/>
    <n v="8"/>
    <n v="369"/>
    <n v="2"/>
    <n v="6"/>
    <n v="1"/>
    <m/>
    <m/>
    <m/>
    <m/>
    <m/>
    <m/>
    <m/>
    <m/>
    <d v="1986-06-28T00:00:00"/>
    <s v="M"/>
    <s v="W"/>
    <s v="WHITE"/>
    <s v="NULL"/>
    <s v="232"/>
    <s v="DISMISSED"/>
    <n v="8"/>
    <s v="DISMISSED"/>
    <m/>
    <m/>
    <m/>
    <s v="BURGLARY OF A BUILDING"/>
    <m/>
    <s v="FS"/>
    <s v="BURGLARY"/>
    <m/>
    <m/>
    <m/>
    <m/>
    <m/>
    <m/>
    <m/>
    <m/>
    <m/>
    <s v="Public Defender"/>
    <m/>
    <m/>
    <n v="8"/>
    <n v="224"/>
    <n v="369"/>
    <n v="25.5"/>
    <n v="0"/>
    <n v="-216"/>
    <s v="NO CONVICTION"/>
    <x v="1"/>
    <s v="Y"/>
    <m/>
    <s v="NO CONVICTION"/>
    <s v="Y"/>
    <x v="1"/>
    <x v="0"/>
    <s v="Y"/>
    <n v="2.1680216802168022E-2"/>
    <n v="3.5714285714285712E-2"/>
    <n v="1.4034068912117691E-2"/>
    <n v="0"/>
    <n v="-8"/>
    <n v="0"/>
    <n v="8"/>
    <e v="#VALUE!"/>
    <n v="8"/>
    <n v="0"/>
    <m/>
    <m/>
    <s v="Y"/>
    <m/>
    <s v="0-10 DAYS"/>
    <n v="1"/>
    <x v="0"/>
  </r>
  <r>
    <n v="677"/>
    <s v="N"/>
    <s v="N"/>
    <n v="2045489"/>
    <n v="3"/>
    <d v="2012-01-27T00:00:00"/>
    <d v="2013-02-21T00:00:00"/>
    <n v="2045489"/>
    <d v="2012-01-31T00:00:00"/>
    <d v="2012-02-01T00:00:00"/>
    <n v="10000"/>
    <x v="3"/>
    <d v="2012-02-01T00:00:00"/>
    <s v="Y"/>
    <s v="SURETYPTRc"/>
    <s v="GUILTY PLEA - NO JURY"/>
    <n v="2"/>
    <n v="392"/>
    <n v="0"/>
    <n v="2"/>
    <m/>
    <m/>
    <m/>
    <m/>
    <m/>
    <m/>
    <m/>
    <m/>
    <m/>
    <d v="1986-10-01T00:00:00"/>
    <s v="M"/>
    <s v="W"/>
    <s v="WHITE"/>
    <s v="NON-HISPANIC"/>
    <s v="263"/>
    <s v="CONVICTED"/>
    <n v="21"/>
    <s v="PROBATION"/>
    <m/>
    <m/>
    <n v="10"/>
    <s v="DWI 3RD OFFENDER BAC .08"/>
    <m/>
    <s v="F3"/>
    <s v="FEL DWI"/>
    <m/>
    <m/>
    <m/>
    <m/>
    <m/>
    <m/>
    <m/>
    <m/>
    <m/>
    <s v="Hired Attorney"/>
    <m/>
    <m/>
    <n v="2"/>
    <n v="388"/>
    <n v="392"/>
    <n v="25.270491803278688"/>
    <n v="0"/>
    <n v="-386"/>
    <s v="CONVICTION"/>
    <x v="1"/>
    <s v="Y"/>
    <m/>
    <s v="CONVICTION"/>
    <s v="Y"/>
    <x v="1"/>
    <x v="0"/>
    <s v="N"/>
    <n v="5.1020408163265302E-3"/>
    <n v="5.1546391752577319E-3"/>
    <n v="5.2598358931201655E-5"/>
    <n v="0"/>
    <n v="-2"/>
    <n v="0"/>
    <n v="2"/>
    <e v="#VALUE!"/>
    <n v="2"/>
    <n v="0"/>
    <m/>
    <m/>
    <s v="Y"/>
    <m/>
    <s v="0-10 DAYS"/>
    <n v="1"/>
    <x v="0"/>
  </r>
  <r>
    <n v="790"/>
    <s v="N"/>
    <s v="N"/>
    <n v="2046301"/>
    <n v="1"/>
    <d v="2012-01-31T00:00:00"/>
    <d v="2012-02-17T00:00:00"/>
    <n v="2046301"/>
    <d v="2012-02-02T00:00:00"/>
    <d v="2012-02-17T00:00:00"/>
    <n v="10000"/>
    <x v="3"/>
    <m/>
    <s v="N"/>
    <s v="NONE"/>
    <s v="DISMISSED"/>
    <n v="16"/>
    <n v="18"/>
    <n v="2"/>
    <n v="1"/>
    <n v="2"/>
    <m/>
    <m/>
    <m/>
    <m/>
    <m/>
    <m/>
    <m/>
    <m/>
    <d v="1985-08-13T00:00:00"/>
    <s v="M"/>
    <s v="B"/>
    <s v="BLACK"/>
    <s v="NON-HISPANIC"/>
    <s v="262"/>
    <s v="DISMISSED"/>
    <n v="4"/>
    <s v="DISMISSED"/>
    <m/>
    <m/>
    <m/>
    <s v="FAIL TO COMPLY AS SEX OFFENDER"/>
    <m/>
    <s v="F3"/>
    <s v="OTHER FEL"/>
    <m/>
    <m/>
    <m/>
    <m/>
    <m/>
    <m/>
    <m/>
    <m/>
    <m/>
    <s v="Appointed Attorney"/>
    <m/>
    <m/>
    <n v="16"/>
    <n v="16"/>
    <n v="18"/>
    <n v="26.412568306010929"/>
    <n v="0"/>
    <n v="0"/>
    <s v="NO CONVICTION"/>
    <x v="0"/>
    <s v="N"/>
    <m/>
    <s v="NO CONVICTION"/>
    <s v="Y"/>
    <x v="0"/>
    <x v="0"/>
    <s v="Y"/>
    <n v="0.88888888888888884"/>
    <n v="1"/>
    <n v="0.11111111111111116"/>
    <n v="0"/>
    <n v="-16"/>
    <n v="0"/>
    <n v="16"/>
    <e v="#VALUE!"/>
    <n v="16"/>
    <n v="0"/>
    <m/>
    <m/>
    <s v="Y"/>
    <m/>
    <s v="11-30 DAYS"/>
    <n v="2"/>
    <x v="0"/>
  </r>
  <r>
    <n v="2394"/>
    <s v="N"/>
    <s v="N"/>
    <n v="2046593"/>
    <n v="5"/>
    <d v="2012-03-31T00:00:00"/>
    <d v="2012-04-02T00:00:00"/>
    <n v="2046593"/>
    <d v="2012-03-31T00:00:00"/>
    <d v="2012-04-02T00:00:00"/>
    <n v="5000"/>
    <x v="4"/>
    <m/>
    <s v="N"/>
    <s v="NONE"/>
    <s v="GUILTY PLEA - NO JURY"/>
    <n v="3"/>
    <n v="3"/>
    <n v="2"/>
    <n v="2"/>
    <n v="11"/>
    <m/>
    <m/>
    <m/>
    <m/>
    <m/>
    <m/>
    <m/>
    <m/>
    <d v="1975-08-27T00:00:00"/>
    <s v="M"/>
    <s v="W"/>
    <s v="WHITE"/>
    <s v="NULL"/>
    <s v="338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36.519125683060111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409"/>
    <s v="N"/>
    <s v="N"/>
    <n v="2047454"/>
    <n v="1"/>
    <d v="2012-01-18T00:00:00"/>
    <d v="2012-01-19T00:00:00"/>
    <n v="2047454"/>
    <d v="2012-01-18T00:00:00"/>
    <d v="2012-01-19T00:00:00"/>
    <n v="10000"/>
    <x v="3"/>
    <m/>
    <s v="N"/>
    <s v="NONE"/>
    <s v="DISMISSED"/>
    <n v="2"/>
    <n v="2"/>
    <n v="3"/>
    <n v="2"/>
    <n v="3"/>
    <m/>
    <m/>
    <m/>
    <m/>
    <m/>
    <m/>
    <s v="S"/>
    <m/>
    <d v="1986-09-15T00:00:00"/>
    <s v="M"/>
    <s v="H"/>
    <s v="HISPANIC"/>
    <s v="NULL"/>
    <s v="209"/>
    <s v="DISMISSED"/>
    <n v="1"/>
    <s v="DISMISSED"/>
    <m/>
    <m/>
    <m/>
    <s v="TAMPER/FABRICATE EVIDENCE"/>
    <m/>
    <s v="F3"/>
    <s v="OTHER FEL"/>
    <m/>
    <m/>
    <m/>
    <m/>
    <m/>
    <m/>
    <m/>
    <m/>
    <m/>
    <s v="Other/Unknown"/>
    <m/>
    <m/>
    <n v="2"/>
    <n v="2"/>
    <n v="2"/>
    <n v="25.289617486338798"/>
    <n v="0"/>
    <n v="0"/>
    <s v="NO CONVICTION"/>
    <x v="0"/>
    <s v="N"/>
    <m/>
    <s v="NO 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2701"/>
    <s v="N"/>
    <s v="N"/>
    <n v="2048254"/>
    <n v="2"/>
    <d v="2012-04-10T00:00:00"/>
    <d v="2012-05-15T00:00:00"/>
    <n v="2048254"/>
    <d v="2012-04-10T00:00:00"/>
    <d v="2012-04-12T00:00:00"/>
    <n v="5000"/>
    <x v="4"/>
    <d v="2012-04-12T00:00:00"/>
    <s v="Y"/>
    <s v="SURETY"/>
    <s v="DEFERRED ADJUDICATION "/>
    <n v="3"/>
    <n v="36"/>
    <n v="0"/>
    <n v="2"/>
    <m/>
    <m/>
    <m/>
    <m/>
    <m/>
    <m/>
    <m/>
    <m/>
    <m/>
    <d v="1985-11-07T00:00:00"/>
    <s v="M"/>
    <s v="H"/>
    <s v="HISPANIC"/>
    <s v="HISPANIC"/>
    <s v="178"/>
    <s v="DEFERRED"/>
    <n v="2"/>
    <s v="DEFERRED"/>
    <m/>
    <m/>
    <m/>
    <s v="POSS W/INT DEL CS PG1 1G &lt;4 GR"/>
    <m/>
    <s v="F2"/>
    <s v="SALE DRUG"/>
    <m/>
    <m/>
    <m/>
    <m/>
    <m/>
    <m/>
    <m/>
    <m/>
    <m/>
    <s v="Appointed Attorney"/>
    <m/>
    <m/>
    <n v="3"/>
    <n v="36"/>
    <n v="36"/>
    <n v="26.368852459016395"/>
    <n v="0"/>
    <n v="-33"/>
    <s v="DEFERRED"/>
    <x v="1"/>
    <s v="Y"/>
    <m/>
    <s v="DEFERRED"/>
    <s v="Y"/>
    <x v="1"/>
    <x v="0"/>
    <s v="N"/>
    <n v="8.3333333333333329E-2"/>
    <n v="8.3333333333333329E-2"/>
    <n v="0"/>
    <n v="0"/>
    <n v="-3"/>
    <n v="0"/>
    <n v="3"/>
    <e v="#VALUE!"/>
    <n v="3"/>
    <n v="0"/>
    <m/>
    <m/>
    <s v="Y"/>
    <m/>
    <s v="0-10 DAYS"/>
    <n v="1"/>
    <x v="0"/>
  </r>
  <r>
    <n v="1788"/>
    <s v="N"/>
    <s v="N"/>
    <n v="2048755"/>
    <n v="2"/>
    <d v="2012-03-07T00:00:00"/>
    <d v="2012-12-04T00:00:00"/>
    <n v="2048755"/>
    <d v="2012-03-08T00:00:00"/>
    <d v="2012-03-10T00:00:00"/>
    <n v="5000"/>
    <x v="4"/>
    <d v="2012-03-10T00:00:00"/>
    <s v="Y"/>
    <s v="SURETY"/>
    <s v="DEFERRED ADJUDICATION "/>
    <n v="3"/>
    <n v="273"/>
    <n v="3"/>
    <n v="1"/>
    <n v="1"/>
    <n v="1"/>
    <m/>
    <m/>
    <m/>
    <m/>
    <m/>
    <m/>
    <m/>
    <d v="1977-04-14T00:00:00"/>
    <s v="F"/>
    <s v="W"/>
    <s v="WHITE"/>
    <s v="NON-HISPANIC"/>
    <s v="232"/>
    <s v="DEFERRED"/>
    <n v="9"/>
    <s v="DEFERRED"/>
    <m/>
    <m/>
    <m/>
    <s v="POSS/ATT POSS CS BY FRAUD SCH"/>
    <m/>
    <s v="F3"/>
    <s v="SALE DRUG"/>
    <m/>
    <m/>
    <m/>
    <m/>
    <m/>
    <m/>
    <m/>
    <m/>
    <m/>
    <s v="Hired Attorney"/>
    <m/>
    <m/>
    <n v="3"/>
    <n v="272"/>
    <n v="273"/>
    <n v="34.825136612021858"/>
    <n v="0"/>
    <n v="-269"/>
    <s v="DEFERRED"/>
    <x v="1"/>
    <s v="Y"/>
    <m/>
    <s v="DEFERRED"/>
    <s v="Y"/>
    <x v="1"/>
    <x v="0"/>
    <s v="Y"/>
    <n v="1.098901098901099E-2"/>
    <n v="1.1029411764705883E-2"/>
    <n v="4.0400775694893198E-5"/>
    <n v="0"/>
    <n v="-3"/>
    <n v="0"/>
    <n v="3"/>
    <e v="#VALUE!"/>
    <n v="3"/>
    <n v="0"/>
    <m/>
    <m/>
    <s v="Y"/>
    <m/>
    <s v="0-10 DAYS"/>
    <n v="1"/>
    <x v="0"/>
  </r>
  <r>
    <n v="637"/>
    <s v="Y"/>
    <s v="Y"/>
    <n v="2049672"/>
    <n v="1"/>
    <d v="2012-01-26T00:00:00"/>
    <d v="2012-03-07T00:00:00"/>
    <n v="2049672"/>
    <d v="2012-01-26T00:00:00"/>
    <d v="2012-01-27T00:00:00"/>
    <n v="2000"/>
    <x v="5"/>
    <d v="2012-01-27T00:00:00"/>
    <s v="Y"/>
    <s v="SURETY"/>
    <s v="NO BILL"/>
    <n v="5"/>
    <n v="42"/>
    <n v="0"/>
    <n v="0"/>
    <m/>
    <m/>
    <m/>
    <m/>
    <m/>
    <m/>
    <m/>
    <m/>
    <m/>
    <d v="1983-11-22T00:00:00"/>
    <s v="M"/>
    <s v="W"/>
    <s v="WHITE"/>
    <s v="NULL"/>
    <s v="209"/>
    <s v="NO BILL"/>
    <n v="4"/>
    <s v="NO BILL"/>
    <m/>
    <m/>
    <m/>
    <s v="UNAUTH USE OF VEHICLE"/>
    <m/>
    <s v="FS"/>
    <s v="AUTO THEFT"/>
    <m/>
    <m/>
    <s v="Y"/>
    <d v="2012-03-02T00:00:00"/>
    <m/>
    <m/>
    <m/>
    <d v="2012-06-14T00:00:00"/>
    <n v="235"/>
    <s v="Other/Unknown"/>
    <s v="5/7/13 m p marj"/>
    <m/>
    <n v="5"/>
    <n v="42"/>
    <n v="42"/>
    <n v="28.120218579234972"/>
    <n v="0"/>
    <n v="-40"/>
    <s v="NO CONVICTION"/>
    <x v="1"/>
    <s v="Y"/>
    <m/>
    <s v="NO CONVICTION"/>
    <s v="Y"/>
    <x v="0"/>
    <x v="0"/>
    <s v="N"/>
    <n v="0.11904761904761904"/>
    <n v="4.7619047619047616E-2"/>
    <n v="-7.1428571428571425E-2"/>
    <n v="0"/>
    <n v="-2"/>
    <n v="3"/>
    <n v="42"/>
    <e v="#VALUE!"/>
    <n v="42"/>
    <n v="40"/>
    <m/>
    <m/>
    <s v="N"/>
    <m/>
    <s v="0-10 DAYS"/>
    <n v="1"/>
    <x v="0"/>
  </r>
  <r>
    <n v="1663"/>
    <s v="N"/>
    <s v="N"/>
    <n v="2050384"/>
    <n v="6"/>
    <d v="2012-03-02T00:00:00"/>
    <d v="2014-01-09T00:00:00"/>
    <n v="2050384"/>
    <d v="2012-03-02T00:00:00"/>
    <d v="2014-01-09T00:00:00"/>
    <s v="NO BOND"/>
    <x v="1"/>
    <m/>
    <s v="N"/>
    <s v="NONE"/>
    <s v="GUILTY PLEA - NO JURY"/>
    <n v="679"/>
    <n v="679"/>
    <n v="3"/>
    <n v="3"/>
    <n v="1"/>
    <m/>
    <m/>
    <m/>
    <m/>
    <m/>
    <m/>
    <m/>
    <m/>
    <d v="1985-04-15T00:00:00"/>
    <s v="M"/>
    <s v="H"/>
    <s v="HISPANIC"/>
    <s v="HISPANIC"/>
    <s v="248"/>
    <s v="CONVICTED"/>
    <n v="15"/>
    <s v="TDC"/>
    <n v="14"/>
    <m/>
    <m/>
    <s v="AGG ASSAULT W/DEADLY WEAPON"/>
    <m/>
    <s v="F2"/>
    <s v="ASLT-MURDR"/>
    <m/>
    <m/>
    <m/>
    <m/>
    <m/>
    <m/>
    <m/>
    <m/>
    <m/>
    <s v="Appointed Attorney"/>
    <m/>
    <m/>
    <n v="679"/>
    <n v="679"/>
    <n v="679"/>
    <n v="26.825136612021858"/>
    <n v="0"/>
    <n v="0"/>
    <s v="CONVICTION"/>
    <x v="0"/>
    <s v="N"/>
    <m/>
    <s v="CONVICTION"/>
    <s v="Y"/>
    <x v="0"/>
    <x v="0"/>
    <s v="Y"/>
    <n v="1"/>
    <n v="1"/>
    <n v="0"/>
    <n v="0"/>
    <n v="-679"/>
    <n v="0"/>
    <n v="679"/>
    <e v="#VALUE!"/>
    <n v="679"/>
    <n v="0"/>
    <m/>
    <m/>
    <s v="Y"/>
    <e v="#N/A"/>
    <s v=" &gt;1YRS&lt;2YRS"/>
    <n v="0"/>
    <x v="0"/>
  </r>
  <r>
    <n v="510"/>
    <s v="N"/>
    <s v="N"/>
    <n v="2050417"/>
    <n v="2"/>
    <d v="2012-01-21T00:00:00"/>
    <d v="2012-06-06T00:00:00"/>
    <n v="2050417"/>
    <d v="2012-01-21T00:00:00"/>
    <d v="2012-01-22T00:00:00"/>
    <n v="2000"/>
    <x v="5"/>
    <d v="2012-01-22T00:00:00"/>
    <s v="Y"/>
    <s v="SURETY"/>
    <s v="DEFERRED ADJUDICATION "/>
    <n v="2"/>
    <n v="138"/>
    <n v="0"/>
    <n v="1"/>
    <m/>
    <m/>
    <m/>
    <m/>
    <m/>
    <m/>
    <m/>
    <m/>
    <m/>
    <d v="1968-01-12T00:00:00"/>
    <s v="M"/>
    <s v="H"/>
    <s v="HISPANIC"/>
    <s v="HISPANIC"/>
    <s v="232"/>
    <s v="DEFERRED"/>
    <n v="7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138"/>
    <n v="138"/>
    <n v="43.934426229508198"/>
    <n v="0"/>
    <n v="-136"/>
    <s v="DEFERRED"/>
    <x v="1"/>
    <s v="Y"/>
    <m/>
    <s v="DEFERRED"/>
    <s v="Y"/>
    <x v="1"/>
    <x v="0"/>
    <s v="N"/>
    <n v="1.4492753623188406E-2"/>
    <n v="1.4492753623188406E-2"/>
    <n v="0"/>
    <n v="0"/>
    <n v="-2"/>
    <n v="0"/>
    <n v="2"/>
    <e v="#VALUE!"/>
    <n v="2"/>
    <n v="0"/>
    <m/>
    <m/>
    <s v="Y"/>
    <m/>
    <s v="0-10 DAYS"/>
    <n v="1"/>
    <x v="0"/>
  </r>
  <r>
    <n v="1220"/>
    <s v="N"/>
    <s v="N"/>
    <n v="2050642"/>
    <n v="6"/>
    <d v="2012-02-14T00:00:00"/>
    <d v="2013-01-30T00:00:00"/>
    <n v="2050642"/>
    <d v="2012-02-14T00:00:00"/>
    <d v="2013-01-30T00:00:00"/>
    <s v="NO BOND"/>
    <x v="1"/>
    <m/>
    <s v="N"/>
    <s v="NONE"/>
    <s v="GUILTY PLEA - NO JURY"/>
    <n v="352"/>
    <n v="352"/>
    <n v="3"/>
    <n v="0"/>
    <m/>
    <n v="3"/>
    <m/>
    <m/>
    <m/>
    <m/>
    <m/>
    <m/>
    <m/>
    <d v="1985-09-16T00:00:00"/>
    <s v="M"/>
    <s v="W"/>
    <s v="WHITE"/>
    <s v="NULL"/>
    <s v="337"/>
    <s v="CONVICTED"/>
    <n v="13"/>
    <s v="TDC"/>
    <n v="5"/>
    <m/>
    <m/>
    <s v="POSS MARIJ  4 OZ. - 5 LBS."/>
    <m/>
    <s v="FS"/>
    <s v="POSS DRUG"/>
    <m/>
    <m/>
    <m/>
    <m/>
    <m/>
    <m/>
    <m/>
    <m/>
    <m/>
    <s v="Hired Attorney"/>
    <m/>
    <m/>
    <n v="352"/>
    <n v="352"/>
    <n v="352"/>
    <n v="26.357923497267759"/>
    <n v="0"/>
    <n v="0"/>
    <s v="CONVICTION"/>
    <x v="0"/>
    <s v="N"/>
    <m/>
    <s v="CONVICTION"/>
    <s v="Y"/>
    <x v="0"/>
    <x v="0"/>
    <s v="Y"/>
    <n v="1"/>
    <n v="1"/>
    <n v="0"/>
    <n v="0"/>
    <n v="-352"/>
    <n v="0"/>
    <n v="352"/>
    <e v="#VALUE!"/>
    <n v="352"/>
    <n v="0"/>
    <m/>
    <m/>
    <s v="Y"/>
    <m/>
    <s v="121-365 DAYS"/>
    <n v="6"/>
    <x v="0"/>
  </r>
  <r>
    <n v="2060"/>
    <s v="N"/>
    <s v="N"/>
    <n v="2053382"/>
    <n v="3"/>
    <d v="2012-03-18T00:00:00"/>
    <d v="2012-05-15T00:00:00"/>
    <n v="2053382"/>
    <s v="NOT BOOKED"/>
    <s v="NOT BOOKED"/>
    <n v="10000"/>
    <x v="3"/>
    <d v="2012-03-19T00:00:00"/>
    <s v="Y"/>
    <s v="SURETYPTRc"/>
    <s v="GUILTY PLEA - NO JURY"/>
    <n v="0"/>
    <n v="59"/>
    <n v="0"/>
    <n v="4"/>
    <m/>
    <m/>
    <m/>
    <m/>
    <m/>
    <m/>
    <m/>
    <m/>
    <m/>
    <d v="1985-09-07T00:00:00"/>
    <s v="M"/>
    <s v="W"/>
    <s v="WHITE"/>
    <s v="NULL"/>
    <s v="179"/>
    <s v="CONVICTED"/>
    <n v="3"/>
    <s v="PROBATION"/>
    <m/>
    <m/>
    <n v="10"/>
    <s v="DWI 3RD OFFENDER BAC .08"/>
    <m/>
    <s v="F3"/>
    <s v="FEL DWI"/>
    <m/>
    <m/>
    <m/>
    <m/>
    <m/>
    <m/>
    <m/>
    <m/>
    <m/>
    <s v="Hired Attorney"/>
    <m/>
    <m/>
    <n v="0"/>
    <n v="0"/>
    <n v="59"/>
    <n v="26.472677595628415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382"/>
    <s v="Y"/>
    <s v="Y"/>
    <n v="2054090"/>
    <n v="2"/>
    <d v="2012-01-16T00:00:00"/>
    <d v="2012-04-24T00:00:00"/>
    <n v="2054090"/>
    <d v="2012-03-15T00:00:00"/>
    <d v="2012-01-17T00:00:00"/>
    <n v="2000"/>
    <x v="5"/>
    <d v="2012-01-17T00:00:00"/>
    <s v="Y"/>
    <s v="SURETY"/>
    <s v="DEFERRED ADJUDICATION "/>
    <n v="38"/>
    <n v="100"/>
    <n v="0"/>
    <n v="1"/>
    <m/>
    <m/>
    <m/>
    <m/>
    <m/>
    <m/>
    <m/>
    <m/>
    <m/>
    <d v="1971-02-23T00:00:00"/>
    <s v="F"/>
    <s v="W"/>
    <s v="WHITE"/>
    <s v="NON-HISPANIC"/>
    <s v="263"/>
    <s v="DEFERRED"/>
    <n v="6"/>
    <s v="DEFERRED"/>
    <m/>
    <m/>
    <m/>
    <s v="POSS CS PG 1  1 - 4 GRAMS"/>
    <m/>
    <s v="F3"/>
    <s v="POSS DRUG"/>
    <m/>
    <s v="srr 3/13/12"/>
    <m/>
    <m/>
    <s v="Y"/>
    <m/>
    <m/>
    <m/>
    <m/>
    <s v="Hired Attorney"/>
    <s v="lv pcs 4/22/13  tdc 2y"/>
    <m/>
    <n v="38"/>
    <n v="41"/>
    <n v="100"/>
    <n v="40.811475409836063"/>
    <n v="0"/>
    <n v="-98"/>
    <s v="DEFERRED"/>
    <x v="1"/>
    <s v="Y"/>
    <m/>
    <s v="DEFERRED"/>
    <s v="Y"/>
    <x v="0"/>
    <x v="0"/>
    <s v="N"/>
    <n v="0.38"/>
    <n v="-1.3902439024390243"/>
    <n v="-1.7702439024390242"/>
    <n v="0"/>
    <n v="57"/>
    <n v="95"/>
    <n v="41"/>
    <n v="38"/>
    <n v="41"/>
    <n v="98"/>
    <m/>
    <m/>
    <s v="Y"/>
    <m/>
    <s v="31-60 DAYS"/>
    <n v="3"/>
    <x v="0"/>
  </r>
  <r>
    <n v="1498"/>
    <s v="N"/>
    <s v="N"/>
    <n v="2054092"/>
    <n v="5"/>
    <d v="2012-02-25T00:00:00"/>
    <d v="2012-03-27T00:00:00"/>
    <n v="2054092"/>
    <d v="2012-02-25T00:00:00"/>
    <d v="2012-03-27T00:00:00"/>
    <n v="15000"/>
    <x v="0"/>
    <m/>
    <s v="N"/>
    <s v="NONE"/>
    <s v="GUILTY PLEA - NO JURY"/>
    <n v="32"/>
    <n v="32"/>
    <n v="7"/>
    <n v="3"/>
    <n v="5"/>
    <m/>
    <m/>
    <m/>
    <m/>
    <m/>
    <m/>
    <m/>
    <m/>
    <d v="1962-10-20T00:00:00"/>
    <s v="M"/>
    <s v="B"/>
    <s v="BLACK"/>
    <s v="NON-HISPANIC"/>
    <s v="178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32"/>
    <n v="32"/>
    <n v="32"/>
    <n v="49.248633879781423"/>
    <n v="0"/>
    <n v="0"/>
    <s v="CONVICTION"/>
    <x v="0"/>
    <s v="N"/>
    <m/>
    <s v="CONVICTION"/>
    <s v="Y"/>
    <x v="0"/>
    <x v="0"/>
    <s v="Y"/>
    <n v="1"/>
    <n v="1"/>
    <n v="0"/>
    <n v="0"/>
    <n v="-32"/>
    <n v="0"/>
    <n v="32"/>
    <e v="#VALUE!"/>
    <n v="32"/>
    <n v="0"/>
    <m/>
    <m/>
    <s v="Y"/>
    <m/>
    <s v="31-60 DAYS"/>
    <n v="3"/>
    <x v="0"/>
  </r>
  <r>
    <n v="1199"/>
    <s v="Y"/>
    <s v="Y"/>
    <n v="2054133"/>
    <n v="6"/>
    <d v="2012-02-13T00:00:00"/>
    <d v="2012-09-19T00:00:00"/>
    <n v="2054133"/>
    <d v="2012-02-14T00:00:00"/>
    <d v="2012-02-19T00:00:00"/>
    <n v="20000"/>
    <x v="0"/>
    <d v="2012-02-19T00:00:00"/>
    <s v="Y"/>
    <s v="SURETY"/>
    <s v="GUILTY PLEA - NO JURY"/>
    <n v="86"/>
    <n v="220"/>
    <n v="1"/>
    <n v="2"/>
    <n v="1"/>
    <m/>
    <m/>
    <m/>
    <m/>
    <m/>
    <m/>
    <m/>
    <m/>
    <d v="1982-02-18T00:00:00"/>
    <s v="M"/>
    <s v="B"/>
    <s v="BLACK"/>
    <s v="NULL"/>
    <s v="178"/>
    <s v="CONVICTED"/>
    <n v="8"/>
    <s v="TDC"/>
    <n v="2"/>
    <m/>
    <m/>
    <s v="POSS CS PG 1 4G - 200G"/>
    <m/>
    <s v="F2"/>
    <s v="POSS DRUG"/>
    <m/>
    <s v=" booked 6/24/12"/>
    <s v="Y"/>
    <s v="BF 4/18/2012"/>
    <m/>
    <m/>
    <m/>
    <d v="2013-01-14T00:00:00"/>
    <n v="412"/>
    <s v="Public Defender"/>
    <s v="m aslt fam mem hcj 30 d"/>
    <m/>
    <n v="86"/>
    <n v="219"/>
    <n v="220"/>
    <n v="29.923497267759561"/>
    <n v="0"/>
    <n v="-213"/>
    <s v="CONVICTION"/>
    <x v="1"/>
    <s v="Y"/>
    <m/>
    <s v="CONVICTION"/>
    <s v="Y"/>
    <x v="0"/>
    <x v="0"/>
    <s v="Y"/>
    <n v="0.39090909090909093"/>
    <n v="2.7397260273972601E-2"/>
    <n v="-0.36351183063511833"/>
    <n v="0"/>
    <n v="-6"/>
    <n v="80"/>
    <n v="219"/>
    <n v="86"/>
    <n v="219"/>
    <n v="213"/>
    <m/>
    <m/>
    <s v="Y"/>
    <m/>
    <s v="61-90 DAYS"/>
    <n v="4"/>
    <x v="0"/>
  </r>
  <r>
    <n v="1776"/>
    <s v="N"/>
    <s v="N"/>
    <n v="2054721"/>
    <n v="5"/>
    <d v="2012-03-07T00:00:00"/>
    <d v="2012-06-28T00:00:00"/>
    <n v="2054721"/>
    <d v="2012-03-07T00:00:00"/>
    <d v="2012-06-28T00:00:00"/>
    <n v="15000"/>
    <x v="0"/>
    <m/>
    <s v="N"/>
    <s v="NONE"/>
    <s v="GUILTY PLEA - NO JURY"/>
    <n v="114"/>
    <n v="114"/>
    <n v="3"/>
    <n v="1"/>
    <m/>
    <n v="1"/>
    <m/>
    <m/>
    <m/>
    <m/>
    <m/>
    <m/>
    <m/>
    <d v="1957-11-20T00:00:00"/>
    <s v="F"/>
    <s v="W"/>
    <s v="WHITE"/>
    <s v="NON-HISPANIC"/>
    <s v="338"/>
    <s v="CONVICTED"/>
    <n v="7"/>
    <s v="STJ"/>
    <m/>
    <n v="6"/>
    <m/>
    <s v="POSS CS PG 1 &lt;1G"/>
    <m/>
    <s v="FS"/>
    <s v="POSS DRUG"/>
    <m/>
    <m/>
    <m/>
    <m/>
    <m/>
    <m/>
    <m/>
    <m/>
    <m/>
    <s v="Appointed Attorney"/>
    <m/>
    <m/>
    <n v="114"/>
    <n v="114"/>
    <n v="114"/>
    <n v="54.18306010928962"/>
    <n v="0"/>
    <n v="0"/>
    <s v="CONVICTION"/>
    <x v="0"/>
    <s v="N"/>
    <m/>
    <s v="CONVICTION"/>
    <s v="Y"/>
    <x v="0"/>
    <x v="0"/>
    <s v="Y"/>
    <n v="1"/>
    <n v="1"/>
    <n v="0"/>
    <n v="0"/>
    <n v="-114"/>
    <n v="0"/>
    <n v="114"/>
    <e v="#VALUE!"/>
    <n v="114"/>
    <n v="0"/>
    <m/>
    <m/>
    <s v="Y"/>
    <m/>
    <s v="91-120 DAYS"/>
    <n v="0"/>
    <x v="0"/>
  </r>
  <r>
    <n v="2335"/>
    <s v="N"/>
    <s v="N"/>
    <n v="2055134"/>
    <n v="4"/>
    <d v="2012-03-29T00:00:00"/>
    <d v="2012-09-18T00:00:00"/>
    <n v="2055134"/>
    <d v="2012-03-29T00:00:00"/>
    <d v="2012-04-16T00:00:00"/>
    <n v="10000"/>
    <x v="3"/>
    <d v="2012-04-16T00:00:00"/>
    <s v="Y"/>
    <s v="SURETY"/>
    <s v="GUILTY PLEA - NO JURY"/>
    <n v="19"/>
    <n v="174"/>
    <n v="1"/>
    <n v="6"/>
    <m/>
    <m/>
    <m/>
    <m/>
    <m/>
    <m/>
    <m/>
    <m/>
    <m/>
    <d v="1983-06-15T00:00:00"/>
    <s v="M"/>
    <s v="W"/>
    <s v="WHITE"/>
    <s v="NULL"/>
    <s v="174"/>
    <s v="CONVICTED"/>
    <n v="9"/>
    <s v="HCJ"/>
    <m/>
    <m/>
    <n v="365"/>
    <s v="RETALIATION"/>
    <m/>
    <s v="F3"/>
    <s v="OTHER FEL"/>
    <m/>
    <m/>
    <m/>
    <m/>
    <m/>
    <m/>
    <m/>
    <m/>
    <m/>
    <s v="Hired Attorney"/>
    <m/>
    <m/>
    <n v="19"/>
    <n v="174"/>
    <n v="174"/>
    <n v="28.729508196721312"/>
    <n v="0"/>
    <n v="-155"/>
    <s v="CONVICTION"/>
    <x v="1"/>
    <s v="Y"/>
    <m/>
    <s v="CONVICTION"/>
    <s v="Y"/>
    <x v="1"/>
    <x v="0"/>
    <s v="Y"/>
    <n v="0.10919540229885058"/>
    <n v="0.10919540229885058"/>
    <n v="0"/>
    <n v="0"/>
    <n v="-19"/>
    <n v="0"/>
    <n v="19"/>
    <e v="#VALUE!"/>
    <n v="19"/>
    <n v="0"/>
    <m/>
    <m/>
    <s v="Y"/>
    <m/>
    <s v="11-30 DAYS"/>
    <n v="2"/>
    <x v="0"/>
  </r>
  <r>
    <n v="1075"/>
    <s v="N"/>
    <s v="Y"/>
    <n v="2056339"/>
    <n v="6"/>
    <d v="2012-02-09T00:00:00"/>
    <d v="2012-05-07T00:00:00"/>
    <n v="2056339"/>
    <d v="2012-05-02T00:00:00"/>
    <d v="2012-05-07T00:00:00"/>
    <n v="5000"/>
    <x v="4"/>
    <d v="2012-02-17T00:00:00"/>
    <s v="Y"/>
    <s v="SURETY"/>
    <s v="GUILTY PLEA - NO JURY"/>
    <n v="6"/>
    <n v="89"/>
    <n v="1"/>
    <n v="1"/>
    <n v="1"/>
    <m/>
    <m/>
    <m/>
    <m/>
    <m/>
    <m/>
    <s v="S"/>
    <m/>
    <d v="1986-05-24T00:00:00"/>
    <s v="M"/>
    <s v="H"/>
    <s v="HISPANIC"/>
    <s v="NULL"/>
    <s v="180"/>
    <s v="CONVICTED"/>
    <n v="6"/>
    <s v="TDC"/>
    <n v="2"/>
    <m/>
    <m/>
    <s v="FAIL TO COMPLY AS SEX OFFENDER"/>
    <m/>
    <s v="F3"/>
    <s v="OTHER FEL"/>
    <s v="BOND BEFORE BK"/>
    <s v="bk 5/2/12"/>
    <s v="Y"/>
    <s v=" 4/24/2012 "/>
    <m/>
    <m/>
    <m/>
    <d v="2012-05-21T00:00:00"/>
    <n v="255"/>
    <s v="Appointed Attorney"/>
    <m/>
    <m/>
    <n v="6"/>
    <n v="6"/>
    <n v="89"/>
    <n v="25.661202185792348"/>
    <n v="0"/>
    <n v="0"/>
    <s v="CONVICTION"/>
    <x v="1"/>
    <s v="Y"/>
    <m/>
    <s v="CONVICTION"/>
    <s v="Y"/>
    <x v="0"/>
    <x v="0"/>
    <s v="Y"/>
    <n v="6.741573033707865E-2"/>
    <n v="1"/>
    <n v="0.93258426966292141"/>
    <n v="0"/>
    <n v="-6"/>
    <n v="0"/>
    <n v="6"/>
    <e v="#VALUE!"/>
    <n v="6"/>
    <n v="0"/>
    <m/>
    <m/>
    <s v="Y"/>
    <m/>
    <s v="0-10 DAYS"/>
    <n v="1"/>
    <x v="0"/>
  </r>
  <r>
    <n v="1061"/>
    <s v="N"/>
    <s v="N"/>
    <n v="2056528"/>
    <n v="5"/>
    <d v="2012-02-09T00:00:00"/>
    <d v="2012-06-28T00:00:00"/>
    <n v="2056528"/>
    <d v="2012-02-09T00:00:00"/>
    <d v="2012-02-11T00:00:00"/>
    <n v="5000"/>
    <x v="4"/>
    <d v="2012-02-11T00:00:00"/>
    <s v="Y"/>
    <s v="SURETY"/>
    <s v="GUILTY PLEA - NO JURY"/>
    <n v="3"/>
    <n v="141"/>
    <n v="1"/>
    <n v="7"/>
    <n v="1"/>
    <m/>
    <m/>
    <m/>
    <m/>
    <m/>
    <m/>
    <m/>
    <m/>
    <d v="1985-07-08T00:00:00"/>
    <s v="M"/>
    <s v="B"/>
    <s v="BLACK"/>
    <s v="NULL"/>
    <s v="208"/>
    <s v="CONVICTED"/>
    <n v="7"/>
    <s v="STJ"/>
    <m/>
    <n v="8"/>
    <m/>
    <s v="POSS CS PG 1 &lt;1G"/>
    <m/>
    <s v="FS"/>
    <s v="POSS DRUG"/>
    <s v="conv misd drug 4/18/12  fel theft conv 6/28/12 8mos tdc"/>
    <m/>
    <m/>
    <m/>
    <m/>
    <m/>
    <m/>
    <m/>
    <m/>
    <s v="Appointed Attorney"/>
    <m/>
    <m/>
    <n v="3"/>
    <n v="141"/>
    <n v="141"/>
    <n v="26.535519125683059"/>
    <n v="0"/>
    <n v="-138"/>
    <s v="CONVICTION"/>
    <x v="1"/>
    <s v="Y"/>
    <m/>
    <s v="CONVICTION"/>
    <s v="Y"/>
    <x v="1"/>
    <x v="0"/>
    <s v="Y"/>
    <n v="2.1276595744680851E-2"/>
    <n v="2.1276595744680851E-2"/>
    <n v="0"/>
    <n v="0"/>
    <n v="-3"/>
    <n v="0"/>
    <n v="3"/>
    <e v="#VALUE!"/>
    <n v="3"/>
    <n v="0"/>
    <m/>
    <m/>
    <s v="Y"/>
    <m/>
    <s v="0-10 DAYS"/>
    <n v="1"/>
    <x v="0"/>
  </r>
  <r>
    <n v="2402"/>
    <s v="N"/>
    <s v="N"/>
    <n v="2057906"/>
    <n v="6"/>
    <d v="2012-03-31T00:00:00"/>
    <d v="2012-09-17T00:00:00"/>
    <n v="2057906"/>
    <d v="2012-03-31T00:00:00"/>
    <d v="2012-04-02T00:00:00"/>
    <n v="20000"/>
    <x v="0"/>
    <d v="2012-04-02T00:00:00"/>
    <s v="Y"/>
    <s v="SURETY"/>
    <s v="GUILTY PLEA - NO JURY"/>
    <n v="3"/>
    <n v="171"/>
    <n v="2"/>
    <n v="25"/>
    <n v="2"/>
    <m/>
    <m/>
    <m/>
    <m/>
    <m/>
    <m/>
    <m/>
    <m/>
    <d v="1984-10-14T00:00:00"/>
    <s v="M"/>
    <s v="H"/>
    <s v="HISPANIC"/>
    <s v="HISPANIC"/>
    <s v="177"/>
    <s v="CONVICTED"/>
    <n v="7"/>
    <s v="TDC"/>
    <n v="3"/>
    <m/>
    <m/>
    <s v="BURGLARY OF HABITATION"/>
    <m/>
    <s v="F2"/>
    <s v="BURGLARY"/>
    <m/>
    <m/>
    <m/>
    <m/>
    <m/>
    <m/>
    <m/>
    <m/>
    <m/>
    <s v="Appointed Attorney"/>
    <m/>
    <m/>
    <n v="3"/>
    <n v="171"/>
    <n v="171"/>
    <n v="27.404371584699454"/>
    <n v="0"/>
    <n v="-168"/>
    <s v="CONVICTION"/>
    <x v="1"/>
    <s v="Y"/>
    <m/>
    <s v="CONVICTION"/>
    <s v="Y"/>
    <x v="1"/>
    <x v="0"/>
    <s v="Y"/>
    <n v="1.7543859649122806E-2"/>
    <n v="1.7543859649122806E-2"/>
    <n v="0"/>
    <n v="0"/>
    <n v="-3"/>
    <n v="0"/>
    <n v="3"/>
    <e v="#VALUE!"/>
    <n v="3"/>
    <n v="0"/>
    <m/>
    <m/>
    <s v="Y"/>
    <m/>
    <s v="0-10 DAYS"/>
    <n v="1"/>
    <x v="0"/>
  </r>
  <r>
    <n v="2428"/>
    <s v="N"/>
    <s v="N"/>
    <n v="2058812"/>
    <n v="1"/>
    <d v="2012-04-01T00:00:00"/>
    <d v="2012-04-03T00:00:00"/>
    <n v="2058812"/>
    <d v="2012-04-01T00:00:00"/>
    <d v="2012-04-03T00:00:00"/>
    <n v="2000"/>
    <x v="5"/>
    <m/>
    <s v="N"/>
    <s v="NONE"/>
    <s v="DISMISSED"/>
    <n v="3"/>
    <n v="3"/>
    <n v="0"/>
    <n v="2"/>
    <m/>
    <m/>
    <m/>
    <m/>
    <m/>
    <m/>
    <m/>
    <m/>
    <m/>
    <d v="1986-11-07T00:00:00"/>
    <s v="F"/>
    <s v="H"/>
    <s v="HISPANIC"/>
    <s v="HISPANIC"/>
    <s v="232"/>
    <s v="DISMISSED"/>
    <n v="1"/>
    <s v="DISMISSED"/>
    <m/>
    <m/>
    <m/>
    <s v="POSS CS PG 1 &lt;1G"/>
    <m/>
    <s v="FS"/>
    <s v="POSS DRUG"/>
    <m/>
    <m/>
    <m/>
    <m/>
    <m/>
    <m/>
    <m/>
    <m/>
    <m/>
    <s v="Appointed Attorney"/>
    <m/>
    <m/>
    <n v="3"/>
    <n v="3"/>
    <n v="3"/>
    <n v="25.346994535519126"/>
    <n v="0"/>
    <n v="0"/>
    <s v="NO CONVICTION"/>
    <x v="0"/>
    <s v="N"/>
    <m/>
    <s v="NO CONVICTION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962"/>
    <s v="N"/>
    <s v="N"/>
    <n v="2059914"/>
    <n v="3"/>
    <d v="2012-04-19T00:00:00"/>
    <d v="2012-05-25T00:00:00"/>
    <n v="2059914"/>
    <d v="2012-04-19T00:00:00"/>
    <d v="2012-04-21T00:00:00"/>
    <n v="10000"/>
    <x v="3"/>
    <d v="2012-04-21T00:00:00"/>
    <s v="Y"/>
    <s v="SURETYPTRc"/>
    <s v="GUILTY PLEA - NO JURY"/>
    <n v="3"/>
    <n v="37"/>
    <n v="0"/>
    <n v="2"/>
    <m/>
    <m/>
    <m/>
    <m/>
    <m/>
    <m/>
    <m/>
    <m/>
    <m/>
    <d v="1966-06-11T00:00:00"/>
    <s v="M"/>
    <s v="B"/>
    <s v="BLACK"/>
    <s v="NON-HISPANIC"/>
    <s v="185"/>
    <s v="CONVICTED"/>
    <n v="3"/>
    <s v="PROBATION"/>
    <m/>
    <m/>
    <n v="10"/>
    <s v="DWI 3RD OFFENDER BAC .08"/>
    <m/>
    <s v="F3"/>
    <s v="FEL DWI"/>
    <m/>
    <m/>
    <m/>
    <m/>
    <m/>
    <m/>
    <m/>
    <m/>
    <m/>
    <s v="Hired Attorney"/>
    <m/>
    <m/>
    <n v="3"/>
    <n v="37"/>
    <n v="37"/>
    <n v="45.76229508196721"/>
    <n v="0"/>
    <n v="-34"/>
    <s v="CONVICTION"/>
    <x v="1"/>
    <s v="Y"/>
    <m/>
    <s v="CONVICTION"/>
    <s v="Y"/>
    <x v="1"/>
    <x v="0"/>
    <s v="N"/>
    <n v="8.1081081081081086E-2"/>
    <n v="8.1081081081081086E-2"/>
    <n v="0"/>
    <n v="0"/>
    <n v="-3"/>
    <n v="0"/>
    <n v="3"/>
    <e v="#VALUE!"/>
    <n v="3"/>
    <n v="0"/>
    <m/>
    <m/>
    <s v="Y"/>
    <m/>
    <s v="0-10 DAYS"/>
    <n v="1"/>
    <x v="0"/>
  </r>
  <r>
    <n v="618"/>
    <s v="N"/>
    <s v="N"/>
    <n v="2062684"/>
    <n v="6"/>
    <d v="2012-01-25T00:00:00"/>
    <d v="2012-08-24T00:00:00"/>
    <n v="2062684"/>
    <d v="2012-01-25T00:00:00"/>
    <d v="2012-08-24T00:00:00"/>
    <n v="10000"/>
    <x v="3"/>
    <m/>
    <s v="N"/>
    <s v="NONE"/>
    <s v="GUILTY PLEA - NO JURY"/>
    <n v="213"/>
    <n v="213"/>
    <n v="3"/>
    <n v="4"/>
    <n v="2"/>
    <m/>
    <m/>
    <m/>
    <m/>
    <m/>
    <m/>
    <m/>
    <m/>
    <d v="1987-01-05T00:00:00"/>
    <s v="M"/>
    <s v="B"/>
    <s v="BLACK"/>
    <s v="NON-HISPANIC"/>
    <s v="184"/>
    <s v="CONVICTED"/>
    <n v="11"/>
    <s v="TDC"/>
    <n v="5"/>
    <m/>
    <m/>
    <s v="FELON POSS WPN"/>
    <m/>
    <s v="F3"/>
    <s v="OTHER FEL"/>
    <m/>
    <m/>
    <m/>
    <m/>
    <m/>
    <m/>
    <m/>
    <m/>
    <m/>
    <s v="Public Defender"/>
    <m/>
    <m/>
    <n v="213"/>
    <n v="213"/>
    <n v="213"/>
    <n v="25.002732240437158"/>
    <n v="0"/>
    <n v="0"/>
    <s v="CONVICTION"/>
    <x v="0"/>
    <s v="N"/>
    <m/>
    <s v="CONVICTION"/>
    <s v="Y"/>
    <x v="0"/>
    <x v="0"/>
    <s v="Y"/>
    <n v="1"/>
    <n v="1"/>
    <n v="0"/>
    <n v="0"/>
    <n v="-213"/>
    <n v="0"/>
    <n v="213"/>
    <e v="#VALUE!"/>
    <n v="213"/>
    <n v="0"/>
    <m/>
    <m/>
    <s v="Y"/>
    <m/>
    <s v="121-365 DAYS"/>
    <n v="6"/>
    <x v="0"/>
  </r>
  <r>
    <n v="581"/>
    <s v="N"/>
    <s v="N"/>
    <n v="2064247"/>
    <n v="6"/>
    <d v="2012-01-24T00:00:00"/>
    <d v="2012-03-29T00:00:00"/>
    <n v="2064247"/>
    <d v="2012-01-24T00:00:00"/>
    <d v="2012-03-29T00:00:00"/>
    <n v="50000"/>
    <x v="2"/>
    <m/>
    <s v="N"/>
    <s v="NONE"/>
    <s v="DEFENDANT CONVICTED ON ANOTHER CHARGE"/>
    <n v="66"/>
    <n v="66"/>
    <n v="3"/>
    <n v="3"/>
    <n v="2"/>
    <m/>
    <m/>
    <m/>
    <m/>
    <m/>
    <m/>
    <m/>
    <m/>
    <d v="1985-11-10T00:00:00"/>
    <s v="M"/>
    <s v="B"/>
    <s v="BLACK"/>
    <s v="NULL"/>
    <s v="338"/>
    <s v="CONVICTED"/>
    <n v="4"/>
    <s v="TDC"/>
    <n v="2"/>
    <m/>
    <m/>
    <s v="OTHER FELONY (ASSAULT-BOD INJ-FAMILY MEMBER)"/>
    <m/>
    <m/>
    <s v="OTHER FEL"/>
    <m/>
    <m/>
    <m/>
    <m/>
    <m/>
    <m/>
    <m/>
    <m/>
    <m/>
    <s v="Appointed Attorney"/>
    <m/>
    <m/>
    <n v="66"/>
    <n v="66"/>
    <n v="66"/>
    <n v="26.150273224043715"/>
    <n v="0"/>
    <n v="0"/>
    <s v="CONVICTION"/>
    <x v="0"/>
    <s v="N"/>
    <m/>
    <s v="CONVICTION"/>
    <s v="Y"/>
    <x v="0"/>
    <x v="0"/>
    <s v="Y"/>
    <n v="1"/>
    <n v="1"/>
    <n v="0"/>
    <n v="0"/>
    <n v="-66"/>
    <n v="0"/>
    <n v="66"/>
    <e v="#VALUE!"/>
    <n v="66"/>
    <n v="0"/>
    <m/>
    <m/>
    <s v="Y"/>
    <m/>
    <s v="61-90 DAYS"/>
    <n v="4"/>
    <x v="0"/>
  </r>
  <r>
    <n v="1843"/>
    <s v="N"/>
    <s v="N"/>
    <n v="2067272"/>
    <n v="6"/>
    <d v="2012-03-09T00:00:00"/>
    <d v="2012-06-15T00:00:00"/>
    <n v="2067272"/>
    <d v="2012-03-09T00:00:00"/>
    <d v="2012-06-15T00:00:00"/>
    <n v="35000"/>
    <x v="2"/>
    <m/>
    <s v="N"/>
    <s v="NONE"/>
    <s v="GUILTY PLEA - NO JURY"/>
    <n v="99"/>
    <n v="99"/>
    <n v="0"/>
    <n v="2"/>
    <m/>
    <m/>
    <m/>
    <m/>
    <m/>
    <m/>
    <m/>
    <s v="S"/>
    <m/>
    <d v="1973-04-12T00:00:00"/>
    <s v="M"/>
    <s v="H"/>
    <s v="HISPANIC"/>
    <s v="NULL"/>
    <s v="339"/>
    <s v="CONVICTED"/>
    <n v="5"/>
    <s v="TDC"/>
    <n v="2"/>
    <m/>
    <m/>
    <s v="DWI 3RD OFFENDER BAC .08"/>
    <m/>
    <s v="F3"/>
    <s v="FEL DWI"/>
    <m/>
    <m/>
    <m/>
    <m/>
    <m/>
    <m/>
    <m/>
    <m/>
    <m/>
    <s v="Hired Attorney"/>
    <m/>
    <m/>
    <n v="99"/>
    <n v="99"/>
    <n v="99"/>
    <n v="38.827868852459019"/>
    <n v="0"/>
    <n v="0"/>
    <s v="CONVICTION"/>
    <x v="0"/>
    <s v="N"/>
    <m/>
    <s v="CONVICTION"/>
    <s v="Y"/>
    <x v="0"/>
    <x v="0"/>
    <s v="N"/>
    <n v="1"/>
    <n v="1"/>
    <n v="0"/>
    <n v="0"/>
    <n v="-99"/>
    <n v="0"/>
    <n v="99"/>
    <e v="#VALUE!"/>
    <n v="99"/>
    <n v="0"/>
    <m/>
    <m/>
    <s v="Y"/>
    <m/>
    <s v="91-120 DAYS"/>
    <n v="0"/>
    <x v="0"/>
  </r>
  <r>
    <n v="2847"/>
    <s v="N"/>
    <s v="N"/>
    <n v="2067280"/>
    <n v="6"/>
    <d v="2012-04-15T00:00:00"/>
    <d v="2012-11-13T00:00:00"/>
    <n v="2067280"/>
    <s v="NOT BOOKED"/>
    <s v="NOT BOOKED"/>
    <n v="5000"/>
    <x v="4"/>
    <d v="2012-04-16T00:00:00"/>
    <s v="Y"/>
    <s v="SURETY"/>
    <s v="GUILTY  JURY verdict"/>
    <n v="0"/>
    <n v="213"/>
    <n v="0"/>
    <n v="3"/>
    <m/>
    <m/>
    <m/>
    <m/>
    <m/>
    <m/>
    <m/>
    <s v="S"/>
    <m/>
    <d v="1979-10-08T00:00:00"/>
    <s v="M"/>
    <s v="W"/>
    <s v="WHITE"/>
    <s v="NULL"/>
    <s v="180"/>
    <s v="CONVICTED"/>
    <n v="13"/>
    <s v="TDC"/>
    <n v="2"/>
    <m/>
    <m/>
    <s v="POSS CS PG 1  1 - 4 GRAMS"/>
    <m/>
    <s v="F3"/>
    <s v="POSS DRUG"/>
    <m/>
    <m/>
    <m/>
    <m/>
    <m/>
    <m/>
    <m/>
    <m/>
    <m/>
    <s v="Hired Attorney"/>
    <m/>
    <m/>
    <n v="0"/>
    <n v="0"/>
    <n v="213"/>
    <n v="32.453551912568308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m/>
    <e v="#VALUE!"/>
    <m/>
    <m/>
    <s v="Y"/>
    <m/>
    <s v="0-10 DAYS"/>
    <n v="1"/>
    <x v="1"/>
  </r>
  <r>
    <n v="501"/>
    <s v="N"/>
    <s v="N"/>
    <n v="2067375"/>
    <n v="5"/>
    <d v="2012-01-21T00:00:00"/>
    <d v="2012-08-17T00:00:00"/>
    <n v="2067375"/>
    <d v="2012-06-11T00:00:00"/>
    <d v="2012-08-17T00:00:00"/>
    <n v="5000"/>
    <x v="4"/>
    <m/>
    <s v="N"/>
    <s v="NONE"/>
    <s v="GUILTY PLEA - NO JURY"/>
    <n v="68"/>
    <n v="210"/>
    <n v="0"/>
    <n v="2"/>
    <m/>
    <m/>
    <m/>
    <m/>
    <m/>
    <m/>
    <m/>
    <m/>
    <m/>
    <d v="1985-12-28T00:00:00"/>
    <s v="M"/>
    <s v="H"/>
    <s v="HISPANIC"/>
    <s v="HISPANIC"/>
    <s v="185"/>
    <s v="CONVICTED"/>
    <n v="5"/>
    <s v="STJ"/>
    <m/>
    <n v="9"/>
    <m/>
    <s v="CRIM MISCH &gt;=$1500 &lt;$20K"/>
    <m/>
    <s v="FS"/>
    <s v="OTHER FEL"/>
    <m/>
    <m/>
    <m/>
    <m/>
    <m/>
    <m/>
    <m/>
    <m/>
    <m/>
    <s v="Appointed Attorney"/>
    <m/>
    <m/>
    <n v="68"/>
    <n v="68"/>
    <n v="210"/>
    <n v="26.010928961748633"/>
    <n v="0"/>
    <n v="0"/>
    <s v="CONVICTION"/>
    <x v="0"/>
    <s v="N"/>
    <m/>
    <s v="CONVICTION"/>
    <s v="Y"/>
    <x v="0"/>
    <x v="0"/>
    <s v="N"/>
    <n v="0.32380952380952382"/>
    <n v="1"/>
    <n v="0.67619047619047623"/>
    <n v="0"/>
    <n v="-68"/>
    <n v="0"/>
    <n v="68"/>
    <e v="#VALUE!"/>
    <n v="68"/>
    <n v="0"/>
    <m/>
    <m/>
    <s v="Y"/>
    <m/>
    <s v="61-90 DAYS"/>
    <n v="4"/>
    <x v="0"/>
  </r>
  <r>
    <n v="1943"/>
    <s v="N"/>
    <s v="N"/>
    <n v="2067729"/>
    <n v="4"/>
    <d v="2012-03-13T00:00:00"/>
    <d v="2012-06-01T00:00:00"/>
    <n v="2067729"/>
    <d v="2012-03-14T00:00:00"/>
    <d v="2012-06-01T00:00:00"/>
    <n v="15000"/>
    <x v="0"/>
    <m/>
    <s v="N"/>
    <s v="NONE"/>
    <s v="GUILTY PLEA - NO JURY"/>
    <n v="80"/>
    <n v="81"/>
    <n v="2"/>
    <n v="2"/>
    <n v="2"/>
    <m/>
    <m/>
    <m/>
    <m/>
    <m/>
    <m/>
    <m/>
    <m/>
    <d v="1985-03-22T00:00:00"/>
    <s v="M"/>
    <s v="B"/>
    <s v="BLACK"/>
    <s v="NULL"/>
    <s v="209"/>
    <s v="CONVICTED"/>
    <n v="5"/>
    <s v="HCJ"/>
    <m/>
    <m/>
    <n v="120"/>
    <s v="MAN/DEL CS PG I &lt;1GRAM"/>
    <m/>
    <s v="FS"/>
    <s v="SALE DRUG"/>
    <m/>
    <m/>
    <m/>
    <m/>
    <m/>
    <m/>
    <m/>
    <m/>
    <m/>
    <s v="Appointed Attorney"/>
    <m/>
    <m/>
    <n v="80"/>
    <n v="80"/>
    <n v="81"/>
    <n v="26.920765027322403"/>
    <n v="0"/>
    <n v="0"/>
    <s v="CONVICTION"/>
    <x v="0"/>
    <s v="N"/>
    <m/>
    <s v="CONVICTION"/>
    <s v="Y"/>
    <x v="0"/>
    <x v="0"/>
    <s v="Y"/>
    <n v="0.98765432098765427"/>
    <n v="1"/>
    <n v="1.2345679012345734E-2"/>
    <n v="0"/>
    <n v="-80"/>
    <n v="0"/>
    <n v="80"/>
    <e v="#VALUE!"/>
    <n v="80"/>
    <n v="0"/>
    <m/>
    <m/>
    <s v="Y"/>
    <m/>
    <s v="61-90 DAYS"/>
    <n v="4"/>
    <x v="0"/>
  </r>
  <r>
    <n v="1555"/>
    <s v="N"/>
    <s v="N"/>
    <n v="2067800"/>
    <n v="5"/>
    <d v="2012-02-27T00:00:00"/>
    <d v="2012-02-29T00:00:00"/>
    <n v="2067800"/>
    <d v="2012-02-28T00:00:00"/>
    <d v="2012-02-29T00:00:00"/>
    <n v="10000"/>
    <x v="3"/>
    <m/>
    <s v="N"/>
    <s v="NONE"/>
    <s v="GUILTY PLEA - NO JURY"/>
    <n v="2"/>
    <n v="3"/>
    <n v="2"/>
    <n v="4"/>
    <n v="2"/>
    <m/>
    <m/>
    <m/>
    <m/>
    <m/>
    <m/>
    <m/>
    <m/>
    <d v="1983-03-20T00:00:00"/>
    <s v="M"/>
    <s v="W"/>
    <s v="WHITE"/>
    <s v="NON-HISPANIC"/>
    <s v="176"/>
    <s v="CONVICTED"/>
    <n v="1"/>
    <s v="STJ"/>
    <m/>
    <n v="8"/>
    <m/>
    <s v="ATT TAMPER WITH PHYSICAL EVIDE"/>
    <m/>
    <s v="FS"/>
    <s v="OTHER FEL"/>
    <m/>
    <m/>
    <m/>
    <m/>
    <m/>
    <m/>
    <m/>
    <m/>
    <m/>
    <s v="Appointed Attorney"/>
    <m/>
    <m/>
    <n v="2"/>
    <n v="2"/>
    <n v="3"/>
    <n v="28.882513661202186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179"/>
    <s v="N"/>
    <s v="N"/>
    <n v="2069257"/>
    <n v="1"/>
    <d v="2012-01-08T00:00:00"/>
    <d v="2012-03-08T00:00:00"/>
    <n v="2069257"/>
    <d v="2012-01-09T00:00:00"/>
    <d v="2012-03-08T00:00:00"/>
    <n v="30000"/>
    <x v="2"/>
    <m/>
    <s v="N"/>
    <s v="NONE"/>
    <s v="DISMISSED"/>
    <n v="60"/>
    <n v="61"/>
    <n v="5"/>
    <n v="4"/>
    <n v="2"/>
    <m/>
    <m/>
    <m/>
    <m/>
    <m/>
    <m/>
    <m/>
    <m/>
    <d v="1984-04-05T00:00:00"/>
    <s v="M"/>
    <s v="B"/>
    <s v="BLACK"/>
    <s v="NON-HISPANIC"/>
    <s v="339"/>
    <s v="DISMISSED"/>
    <n v="3"/>
    <s v="DISMISSED"/>
    <m/>
    <m/>
    <m/>
    <s v="AGG ASSAULT W/DEADLY WEAPON"/>
    <m/>
    <s v="F2"/>
    <s v="ASLT-MURDR"/>
    <m/>
    <m/>
    <m/>
    <m/>
    <m/>
    <m/>
    <m/>
    <m/>
    <m/>
    <s v="Appointed Attorney"/>
    <m/>
    <m/>
    <n v="60"/>
    <n v="60"/>
    <n v="61"/>
    <n v="27.702185792349727"/>
    <n v="0"/>
    <n v="0"/>
    <s v="NO CONVICTION"/>
    <x v="0"/>
    <s v="N"/>
    <m/>
    <s v="NO CONVICTION"/>
    <s v="Y"/>
    <x v="0"/>
    <x v="0"/>
    <s v="Y"/>
    <n v="0.98360655737704916"/>
    <n v="1"/>
    <n v="1.6393442622950838E-2"/>
    <n v="0"/>
    <n v="-60"/>
    <n v="0"/>
    <n v="60"/>
    <e v="#VALUE!"/>
    <n v="60"/>
    <n v="0"/>
    <m/>
    <m/>
    <s v="Y"/>
    <m/>
    <s v="31-60 DAYS"/>
    <n v="3"/>
    <x v="0"/>
  </r>
  <r>
    <n v="2505"/>
    <s v="N"/>
    <s v="Y"/>
    <n v="2070706"/>
    <n v="6"/>
    <d v="2012-04-04T00:00:00"/>
    <d v="2014-05-06T00:00:00"/>
    <n v="2070706"/>
    <d v="2012-10-23T00:00:00"/>
    <d v="2012-10-31T00:00:00"/>
    <n v="10000"/>
    <x v="3"/>
    <d v="2012-04-05T00:00:00"/>
    <s v="Y"/>
    <s v="SURETYPTRc"/>
    <s v="jury verdict"/>
    <n v="289"/>
    <n v="763"/>
    <n v="1"/>
    <n v="0"/>
    <n v="1"/>
    <m/>
    <m/>
    <m/>
    <m/>
    <m/>
    <m/>
    <m/>
    <m/>
    <d v="1979-12-23T00:00:00"/>
    <s v="M"/>
    <s v="B"/>
    <s v="BLACK"/>
    <s v="NON-HISPANIC"/>
    <s v="183"/>
    <s v="CONVICTED"/>
    <n v="32"/>
    <s v="TDC"/>
    <n v="25"/>
    <m/>
    <m/>
    <s v="POSS CS PG 1  1 - 4 GRAMS"/>
    <m/>
    <s v="F3"/>
    <s v="POSS DRUG"/>
    <s v="booked 7/25/13  2 bonds revoked3/31/13"/>
    <s v="rev 10/18/12"/>
    <m/>
    <m/>
    <s v="Y"/>
    <m/>
    <m/>
    <m/>
    <m/>
    <s v="Hired Attorney"/>
    <m/>
    <m/>
    <n v="289"/>
    <n v="561"/>
    <n v="763"/>
    <n v="32.215846994535518"/>
    <n v="-209"/>
    <n v="-552"/>
    <s v="CONVICTION"/>
    <x v="1"/>
    <s v="N"/>
    <m/>
    <s v="CONVICTION"/>
    <s v="Y"/>
    <x v="0"/>
    <x v="0"/>
    <s v="Y"/>
    <n v="0.37876802096985585"/>
    <n v="0.37880000000000003"/>
    <n v="0"/>
    <n v="0"/>
    <n v="-9"/>
    <n v="280"/>
    <n v="561"/>
    <e v="#VALUE!"/>
    <n v="289"/>
    <m/>
    <m/>
    <m/>
    <s v="Y"/>
    <e v="#N/A"/>
    <s v="121-365 DAYS"/>
    <n v="6"/>
    <x v="0"/>
  </r>
  <r>
    <n v="2289"/>
    <s v="N"/>
    <s v="N"/>
    <n v="2070945"/>
    <n v="6"/>
    <d v="2012-03-27T00:00:00"/>
    <d v="2012-04-16T00:00:00"/>
    <n v="2070945"/>
    <d v="2012-03-28T00:00:00"/>
    <d v="2012-04-16T00:00:00"/>
    <n v="55000"/>
    <x v="2"/>
    <m/>
    <s v="N"/>
    <s v="NONE"/>
    <s v="GUILTY PLEA - NO JURY"/>
    <n v="20"/>
    <n v="21"/>
    <n v="0"/>
    <n v="1"/>
    <m/>
    <m/>
    <m/>
    <m/>
    <m/>
    <m/>
    <m/>
    <m/>
    <m/>
    <d v="1986-11-28T00:00:00"/>
    <s v="M"/>
    <s v="H"/>
    <s v="HISPANIC"/>
    <s v="HISPANIC"/>
    <s v="179"/>
    <s v="CONVICTED"/>
    <n v="2"/>
    <s v="TDC"/>
    <n v="2"/>
    <m/>
    <m/>
    <s v="ESCAPE-WHILE ARR/CONF-FELONY"/>
    <m/>
    <s v="F3"/>
    <s v="OTHER FEL"/>
    <m/>
    <m/>
    <m/>
    <m/>
    <m/>
    <m/>
    <m/>
    <m/>
    <m/>
    <s v="Appointed Attorney"/>
    <m/>
    <m/>
    <n v="20"/>
    <n v="20"/>
    <n v="21"/>
    <n v="25.275956284153004"/>
    <n v="0"/>
    <n v="0"/>
    <s v="CONVICTION"/>
    <x v="0"/>
    <s v="N"/>
    <m/>
    <s v="CONVICTION"/>
    <s v="Y"/>
    <x v="0"/>
    <x v="0"/>
    <s v="N"/>
    <n v="0.95238095238095233"/>
    <n v="1"/>
    <n v="4.7619047619047672E-2"/>
    <n v="0"/>
    <n v="-20"/>
    <n v="0"/>
    <n v="20"/>
    <e v="#VALUE!"/>
    <n v="20"/>
    <n v="0"/>
    <m/>
    <m/>
    <s v="Y"/>
    <m/>
    <s v="11-30 DAYS"/>
    <n v="2"/>
    <x v="0"/>
  </r>
  <r>
    <n v="2146"/>
    <s v="N"/>
    <s v="N"/>
    <n v="2070968"/>
    <n v="5"/>
    <d v="2012-03-21T00:00:00"/>
    <d v="2012-05-15T00:00:00"/>
    <n v="2070968"/>
    <d v="2012-03-21T00:00:00"/>
    <d v="2012-05-15T00:00:00"/>
    <s v="NO BOND"/>
    <x v="1"/>
    <m/>
    <s v="N"/>
    <s v="NONE"/>
    <s v="GUILTY PLEA - NO JURY"/>
    <n v="56"/>
    <n v="56"/>
    <n v="4"/>
    <n v="3"/>
    <m/>
    <m/>
    <m/>
    <m/>
    <m/>
    <m/>
    <m/>
    <m/>
    <m/>
    <d v="1986-03-15T00:00:00"/>
    <s v="F"/>
    <s v="B"/>
    <s v="BLACK"/>
    <s v="NON-HISPANIC"/>
    <s v="230"/>
    <s v="CONVICTED"/>
    <n v="4"/>
    <s v="STJ"/>
    <m/>
    <n v="7"/>
    <m/>
    <s v="THEFT UNDER $1500 - 3RD OFF."/>
    <m/>
    <s v="FS"/>
    <s v="THEFT"/>
    <m/>
    <m/>
    <m/>
    <m/>
    <m/>
    <m/>
    <m/>
    <m/>
    <m/>
    <s v="Hired Attorney"/>
    <m/>
    <m/>
    <n v="56"/>
    <n v="56"/>
    <n v="56"/>
    <n v="25.964480874316941"/>
    <n v="0"/>
    <n v="0"/>
    <s v="CONVICTION"/>
    <x v="0"/>
    <s v="N"/>
    <m/>
    <s v="CONVICTION"/>
    <s v="Y"/>
    <x v="0"/>
    <x v="0"/>
    <s v="Y"/>
    <n v="1"/>
    <n v="1"/>
    <n v="0"/>
    <n v="0"/>
    <n v="-56"/>
    <n v="0"/>
    <n v="56"/>
    <e v="#VALUE!"/>
    <n v="56"/>
    <n v="0"/>
    <m/>
    <m/>
    <s v="Y"/>
    <m/>
    <s v="31-60 DAYS"/>
    <n v="3"/>
    <x v="0"/>
  </r>
  <r>
    <n v="2868"/>
    <s v="N"/>
    <s v="N"/>
    <n v="2071418"/>
    <n v="6"/>
    <d v="2012-04-16T00:00:00"/>
    <d v="2012-08-24T00:00:00"/>
    <n v="2071418"/>
    <d v="2012-04-16T00:00:00"/>
    <d v="2012-08-24T00:00:00"/>
    <n v="10000"/>
    <x v="3"/>
    <m/>
    <s v="N"/>
    <s v="NONE"/>
    <s v="GUILTY PLEA - NO JURY"/>
    <n v="131"/>
    <n v="131"/>
    <n v="1"/>
    <n v="4"/>
    <m/>
    <m/>
    <m/>
    <m/>
    <m/>
    <m/>
    <m/>
    <m/>
    <m/>
    <d v="1986-09-23T00:00:00"/>
    <s v="M"/>
    <s v="H"/>
    <s v="HISPANIC"/>
    <s v="HISPANIC"/>
    <s v="185"/>
    <s v="CONVICTED"/>
    <n v="8"/>
    <s v="TDC"/>
    <n v="5"/>
    <m/>
    <m/>
    <s v="DWI 3RD OFFENDER BAC .08"/>
    <m/>
    <s v="F3"/>
    <s v="FEL DWI"/>
    <m/>
    <m/>
    <m/>
    <m/>
    <m/>
    <m/>
    <m/>
    <m/>
    <m/>
    <s v="Hired Attorney"/>
    <m/>
    <m/>
    <n v="131"/>
    <n v="131"/>
    <n v="131"/>
    <n v="25.510928961748633"/>
    <n v="0"/>
    <n v="0"/>
    <s v="CONVICTION"/>
    <x v="0"/>
    <s v="N"/>
    <m/>
    <s v="CONVICTION"/>
    <s v="Y"/>
    <x v="0"/>
    <x v="0"/>
    <s v="Y"/>
    <n v="1"/>
    <n v="1"/>
    <n v="0"/>
    <n v="0"/>
    <n v="-131"/>
    <n v="0"/>
    <n v="131"/>
    <e v="#VALUE!"/>
    <n v="131"/>
    <n v="0"/>
    <m/>
    <m/>
    <s v="Y"/>
    <m/>
    <s v="121-365 DAYS"/>
    <n v="6"/>
    <x v="0"/>
  </r>
  <r>
    <n v="426"/>
    <s v="N"/>
    <s v="N"/>
    <n v="2071588"/>
    <n v="6"/>
    <d v="2012-01-18T00:00:00"/>
    <d v="2012-05-29T00:00:00"/>
    <n v="2071588"/>
    <d v="2012-02-08T00:00:00"/>
    <d v="2012-05-29T00:00:00"/>
    <n v="100000"/>
    <x v="2"/>
    <m/>
    <s v="N"/>
    <s v="NONE"/>
    <s v="GUILTY PLEA - NO JURY"/>
    <n v="112"/>
    <n v="133"/>
    <n v="2"/>
    <n v="3"/>
    <n v="1"/>
    <m/>
    <m/>
    <m/>
    <m/>
    <m/>
    <m/>
    <m/>
    <m/>
    <d v="1986-11-26T00:00:00"/>
    <s v="M"/>
    <s v="B"/>
    <s v="BLACK"/>
    <s v="NON-HISPANIC"/>
    <s v="208"/>
    <s v="CONVICTED"/>
    <n v="7"/>
    <s v="TDC"/>
    <n v="2"/>
    <m/>
    <m/>
    <s v="AGG ASSAULT-FAMILY MEMBER"/>
    <m/>
    <s v="F2"/>
    <s v="ASLT-MURDR"/>
    <m/>
    <m/>
    <m/>
    <m/>
    <m/>
    <m/>
    <m/>
    <m/>
    <m/>
    <s v="Hired Attorney"/>
    <m/>
    <m/>
    <n v="112"/>
    <n v="112"/>
    <n v="133"/>
    <n v="25.092896174863387"/>
    <n v="0"/>
    <n v="0"/>
    <s v="CONVICTION"/>
    <x v="0"/>
    <s v="N"/>
    <m/>
    <s v="CONVICTION"/>
    <s v="Y"/>
    <x v="0"/>
    <x v="0"/>
    <s v="Y"/>
    <n v="0.84210526315789469"/>
    <n v="1"/>
    <n v="0.15789473684210531"/>
    <n v="0"/>
    <n v="-112"/>
    <n v="0"/>
    <n v="112"/>
    <e v="#VALUE!"/>
    <n v="112"/>
    <n v="0"/>
    <m/>
    <m/>
    <s v="Y"/>
    <m/>
    <s v="91-120 DAYS"/>
    <n v="0"/>
    <x v="0"/>
  </r>
  <r>
    <n v="2932"/>
    <s v="N"/>
    <s v="N"/>
    <n v="2071843"/>
    <n v="4"/>
    <d v="2012-04-18T00:00:00"/>
    <d v="2012-10-12T00:00:00"/>
    <n v="2071843"/>
    <d v="2012-04-19T00:00:00"/>
    <d v="2012-06-07T00:00:00"/>
    <n v="250000"/>
    <x v="2"/>
    <d v="2012-06-07T00:00:00"/>
    <s v="Y"/>
    <s v="SURETY"/>
    <s v="GUILTY PLEA - NO JURY"/>
    <n v="50"/>
    <n v="178"/>
    <n v="5"/>
    <n v="5"/>
    <n v="3"/>
    <m/>
    <m/>
    <m/>
    <m/>
    <m/>
    <m/>
    <m/>
    <m/>
    <d v="1982-06-13T00:00:00"/>
    <s v="M"/>
    <s v="B"/>
    <s v="BLACK"/>
    <s v="NON-HISPANIC"/>
    <s v="248"/>
    <s v="CONVICTED"/>
    <n v="14"/>
    <s v="HCJ"/>
    <m/>
    <m/>
    <n v="100"/>
    <s v="ENGAGING IN ORG CRIM ACTIVITY"/>
    <m/>
    <s v="F2"/>
    <s v="OTHER FEL"/>
    <m/>
    <m/>
    <m/>
    <m/>
    <m/>
    <m/>
    <m/>
    <m/>
    <m/>
    <s v="Hired Attorney"/>
    <m/>
    <m/>
    <n v="50"/>
    <n v="177"/>
    <n v="178"/>
    <n v="29.78688524590164"/>
    <n v="0"/>
    <n v="-127"/>
    <s v="CONVICTION"/>
    <x v="1"/>
    <s v="Y"/>
    <m/>
    <s v="CONVICTION"/>
    <s v="Y"/>
    <x v="1"/>
    <x v="0"/>
    <s v="Y"/>
    <n v="0.2808988764044944"/>
    <n v="0.2824858757062147"/>
    <n v="1.5869993017202932E-3"/>
    <n v="0"/>
    <n v="-50"/>
    <n v="0"/>
    <n v="50"/>
    <e v="#VALUE!"/>
    <n v="50"/>
    <n v="0"/>
    <m/>
    <m/>
    <s v="Y"/>
    <m/>
    <s v="31-60 DAYS"/>
    <n v="3"/>
    <x v="0"/>
  </r>
  <r>
    <n v="1190"/>
    <s v="N"/>
    <s v="N"/>
    <n v="2072100"/>
    <n v="6"/>
    <d v="2012-02-13T00:00:00"/>
    <d v="2014-01-08T00:00:00"/>
    <n v="2072100"/>
    <d v="2012-02-13T00:00:00"/>
    <d v="2014-01-08T00:00:00"/>
    <n v="200000"/>
    <x v="2"/>
    <m/>
    <s v="N"/>
    <s v="NONE"/>
    <s v="GUILTY PLEA - NO JURY"/>
    <n v="696"/>
    <n v="696"/>
    <n v="2"/>
    <n v="5"/>
    <n v="2"/>
    <m/>
    <m/>
    <m/>
    <m/>
    <m/>
    <m/>
    <m/>
    <m/>
    <d v="1986-06-14T00:00:00"/>
    <s v="M"/>
    <s v="B"/>
    <s v="BLACK"/>
    <s v="NON-HISPANIC"/>
    <s v="184"/>
    <s v="CONVICTED"/>
    <n v="16"/>
    <s v="TDC"/>
    <n v="24"/>
    <m/>
    <m/>
    <s v="AGG ROBBERY-DEADLY WPN"/>
    <m/>
    <s v="F1"/>
    <s v="ROBBERY"/>
    <m/>
    <m/>
    <m/>
    <m/>
    <m/>
    <m/>
    <m/>
    <m/>
    <m/>
    <s v="Hired Attorney"/>
    <m/>
    <m/>
    <n v="696"/>
    <n v="696"/>
    <n v="696"/>
    <n v="25.614754098360656"/>
    <n v="0"/>
    <n v="0"/>
    <s v="CONVICTION"/>
    <x v="0"/>
    <s v="N"/>
    <m/>
    <s v="CONVICTION"/>
    <s v="Y"/>
    <x v="0"/>
    <x v="0"/>
    <s v="Y"/>
    <n v="1"/>
    <n v="1"/>
    <n v="0"/>
    <n v="0"/>
    <n v="-696"/>
    <n v="0"/>
    <n v="696"/>
    <e v="#VALUE!"/>
    <n v="696"/>
    <n v="0"/>
    <m/>
    <m/>
    <s v="Y"/>
    <e v="#N/A"/>
    <s v=" &gt;1YRS&lt;2YRS"/>
    <n v="0"/>
    <x v="0"/>
  </r>
  <r>
    <n v="437"/>
    <s v="N"/>
    <s v="N"/>
    <n v="2072851"/>
    <n v="2"/>
    <d v="2012-01-19T00:00:00"/>
    <d v="2012-09-17T00:00:00"/>
    <n v="2072851"/>
    <d v="2012-01-19T00:00:00"/>
    <d v="2012-01-20T00:00:00"/>
    <n v="10000"/>
    <x v="3"/>
    <d v="2012-01-20T00:00:00"/>
    <s v="Y"/>
    <s v="PTR"/>
    <s v="DEFERRED ADJUDICATION "/>
    <n v="2"/>
    <n v="243"/>
    <n v="0"/>
    <n v="0"/>
    <m/>
    <m/>
    <m/>
    <m/>
    <m/>
    <m/>
    <m/>
    <m/>
    <m/>
    <d v="1977-01-31T00:00:00"/>
    <s v="M"/>
    <s v="B"/>
    <s v="BLACK"/>
    <s v="NULL"/>
    <s v="177"/>
    <s v="DEFERRED"/>
    <n v="8"/>
    <s v="DEFERRED"/>
    <m/>
    <m/>
    <m/>
    <s v="POSS CS PG 1 4G - 200G"/>
    <m/>
    <s v="F2"/>
    <s v="POSS DRUG"/>
    <m/>
    <m/>
    <m/>
    <m/>
    <m/>
    <m/>
    <m/>
    <m/>
    <m/>
    <s v="Hired Attorney"/>
    <m/>
    <m/>
    <n v="2"/>
    <n v="243"/>
    <n v="243"/>
    <n v="34.893442622950822"/>
    <n v="0"/>
    <n v="-241"/>
    <s v="DEFERRED"/>
    <x v="2"/>
    <s v="Y"/>
    <m/>
    <s v="DEFERRED"/>
    <s v="Y"/>
    <x v="1"/>
    <x v="0"/>
    <s v="N"/>
    <n v="8.23045267489712E-3"/>
    <n v="8.23045267489712E-3"/>
    <n v="0"/>
    <n v="0"/>
    <n v="-2"/>
    <n v="0"/>
    <n v="2"/>
    <e v="#VALUE!"/>
    <n v="2"/>
    <n v="0"/>
    <m/>
    <m/>
    <s v="N"/>
    <m/>
    <s v="0-10 DAYS"/>
    <n v="1"/>
    <x v="0"/>
  </r>
  <r>
    <n v="3243"/>
    <s v="N"/>
    <s v="Y"/>
    <n v="2074841"/>
    <n v="6"/>
    <d v="2012-04-30T00:00:00"/>
    <d v="2012-10-03T00:00:00"/>
    <n v="2074841"/>
    <d v="2012-05-01T00:00:00"/>
    <d v="2012-05-02T00:00:00"/>
    <n v="10000"/>
    <x v="3"/>
    <d v="2012-05-02T00:00:00"/>
    <s v="Y"/>
    <s v="SURETY"/>
    <s v="GUILTY PLEA - NO JURY"/>
    <n v="149"/>
    <n v="157"/>
    <n v="2"/>
    <n v="0"/>
    <n v="1"/>
    <m/>
    <m/>
    <m/>
    <m/>
    <m/>
    <m/>
    <m/>
    <m/>
    <d v="1987-05-07T00:00:00"/>
    <s v="M"/>
    <s v="B"/>
    <s v="BLACK"/>
    <s v="NULL"/>
    <s v="178"/>
    <s v="CONVICTED"/>
    <n v="8"/>
    <s v="TDC"/>
    <n v="4"/>
    <m/>
    <m/>
    <s v="TAMPER/FABRICATE EVIDENCE"/>
    <m/>
    <s v="F3"/>
    <s v="OTHER FEL"/>
    <m/>
    <s v="bd surren 5/15/12"/>
    <m/>
    <m/>
    <s v="Y"/>
    <m/>
    <m/>
    <m/>
    <m/>
    <s v="Public Defender"/>
    <m/>
    <m/>
    <n v="149"/>
    <n v="156"/>
    <n v="157"/>
    <n v="24.931693989071039"/>
    <n v="0"/>
    <n v="-154"/>
    <s v="CONVICTION"/>
    <x v="1"/>
    <s v="Y"/>
    <m/>
    <s v="CONVICTION"/>
    <s v="Y"/>
    <x v="0"/>
    <x v="0"/>
    <s v="Y"/>
    <n v="0.94904458598726116"/>
    <n v="1.282051282051282E-2"/>
    <n v="-0.93622407316674838"/>
    <n v="0"/>
    <n v="-2"/>
    <n v="147"/>
    <n v="156"/>
    <n v="149"/>
    <n v="156"/>
    <n v="154"/>
    <m/>
    <m/>
    <s v="Y"/>
    <m/>
    <s v="121-365 DAYS"/>
    <n v="6"/>
    <x v="0"/>
  </r>
  <r>
    <n v="2709"/>
    <s v="N"/>
    <s v="N"/>
    <n v="2075029"/>
    <n v="6"/>
    <d v="2012-04-10T00:00:00"/>
    <d v="2012-06-22T00:00:00"/>
    <n v="2075029"/>
    <d v="2012-04-11T00:00:00"/>
    <d v="2012-06-22T00:00:00"/>
    <s v="NO BOND"/>
    <x v="1"/>
    <m/>
    <s v="N"/>
    <s v="NONE"/>
    <s v="GUILTY PLEA - NO JURY"/>
    <n v="73"/>
    <n v="74"/>
    <n v="5"/>
    <n v="7"/>
    <n v="4"/>
    <m/>
    <m/>
    <m/>
    <m/>
    <m/>
    <m/>
    <m/>
    <m/>
    <d v="1984-06-30T00:00:00"/>
    <s v="M"/>
    <s v="B"/>
    <s v="BLACK"/>
    <s v="NON-HISPANIC"/>
    <s v="262"/>
    <s v="CONVICTED"/>
    <n v="6"/>
    <s v="TDC"/>
    <n v="6"/>
    <m/>
    <m/>
    <s v="POSS CS PG 1  1 - 4 GRAMS"/>
    <m/>
    <s v="F3"/>
    <s v="POSS DRUG"/>
    <m/>
    <m/>
    <m/>
    <m/>
    <m/>
    <m/>
    <m/>
    <m/>
    <m/>
    <s v="Appointed Attorney"/>
    <m/>
    <m/>
    <n v="73"/>
    <n v="73"/>
    <n v="74"/>
    <n v="27.721311475409838"/>
    <n v="0"/>
    <n v="0"/>
    <s v="CONVICTION"/>
    <x v="0"/>
    <s v="N"/>
    <m/>
    <s v="CONVICTION"/>
    <s v="Y"/>
    <x v="0"/>
    <x v="0"/>
    <s v="Y"/>
    <n v="0.98648648648648651"/>
    <n v="1"/>
    <n v="1.3513513513513487E-2"/>
    <n v="0"/>
    <n v="-73"/>
    <n v="0"/>
    <n v="73"/>
    <e v="#VALUE!"/>
    <n v="73"/>
    <n v="0"/>
    <m/>
    <m/>
    <s v="Y"/>
    <m/>
    <s v="61-90 DAYS"/>
    <n v="4"/>
    <x v="0"/>
  </r>
  <r>
    <n v="301"/>
    <s v="N"/>
    <s v="N"/>
    <n v="2075450"/>
    <n v="6"/>
    <d v="2012-01-13T00:00:00"/>
    <d v="2012-07-10T00:00:00"/>
    <n v="2075450"/>
    <d v="2012-01-13T00:00:00"/>
    <d v="2012-07-10T00:00:00"/>
    <s v="NO BOND"/>
    <x v="1"/>
    <m/>
    <s v="N"/>
    <s v="NONE"/>
    <s v="GUILTY PLEA - NO JURY"/>
    <n v="180"/>
    <n v="180"/>
    <n v="5"/>
    <n v="4"/>
    <n v="4"/>
    <m/>
    <m/>
    <m/>
    <m/>
    <m/>
    <m/>
    <m/>
    <m/>
    <d v="1986-09-09T00:00:00"/>
    <s v="M"/>
    <s v="B"/>
    <s v="BLACK"/>
    <s v="NULL"/>
    <s v="339"/>
    <s v="CONVICTED"/>
    <n v="9"/>
    <s v="TDC"/>
    <n v="9"/>
    <m/>
    <m/>
    <s v="POSS W/INT DEL CS PG1&gt;=4 &lt;200"/>
    <m/>
    <s v="F1"/>
    <s v="SALE DRUG"/>
    <m/>
    <m/>
    <m/>
    <m/>
    <m/>
    <m/>
    <m/>
    <m/>
    <m/>
    <s v="Hired Attorney"/>
    <m/>
    <m/>
    <n v="180"/>
    <n v="180"/>
    <n v="180"/>
    <n v="25.292349726775956"/>
    <n v="0"/>
    <n v="0"/>
    <s v="CONVICTION"/>
    <x v="0"/>
    <s v="N"/>
    <m/>
    <s v="CONVICTION"/>
    <s v="Y"/>
    <x v="0"/>
    <x v="0"/>
    <s v="Y"/>
    <n v="1"/>
    <n v="1"/>
    <n v="0"/>
    <n v="0"/>
    <n v="-180"/>
    <n v="0"/>
    <n v="180"/>
    <e v="#VALUE!"/>
    <n v="180"/>
    <n v="0"/>
    <m/>
    <m/>
    <s v="Y"/>
    <m/>
    <s v="121-365 DAYS"/>
    <n v="6"/>
    <x v="0"/>
  </r>
  <r>
    <n v="2379"/>
    <s v="N"/>
    <s v="N"/>
    <n v="2075540"/>
    <n v="6"/>
    <d v="2012-03-30T00:00:00"/>
    <d v="2012-07-19T00:00:00"/>
    <n v="2075540"/>
    <d v="2012-04-12T00:00:00"/>
    <d v="2012-07-19T00:00:00"/>
    <n v="30000"/>
    <x v="2"/>
    <m/>
    <s v="N"/>
    <s v="NONE"/>
    <s v="GUILTY PLEA - NO JURY"/>
    <n v="99"/>
    <n v="112"/>
    <n v="0"/>
    <n v="7"/>
    <m/>
    <m/>
    <m/>
    <m/>
    <m/>
    <m/>
    <m/>
    <m/>
    <m/>
    <d v="1986-09-05T00:00:00"/>
    <s v="M"/>
    <s v="H"/>
    <s v="HISPANIC"/>
    <s v="HISPANIC"/>
    <s v="180"/>
    <s v="CONVICTED"/>
    <n v="5"/>
    <s v="TDC"/>
    <n v="12"/>
    <m/>
    <m/>
    <s v="AGG ROBBERY-DEADLY WPN"/>
    <m/>
    <s v="F1"/>
    <s v="ROBBERY"/>
    <m/>
    <m/>
    <m/>
    <m/>
    <m/>
    <m/>
    <m/>
    <m/>
    <m/>
    <s v="Appointed Attorney"/>
    <m/>
    <m/>
    <n v="99"/>
    <n v="99"/>
    <n v="112"/>
    <n v="25.513661202185791"/>
    <n v="0"/>
    <n v="0"/>
    <s v="CONVICTION"/>
    <x v="0"/>
    <s v="N"/>
    <m/>
    <s v="CONVICTION"/>
    <s v="Y"/>
    <x v="0"/>
    <x v="0"/>
    <s v="N"/>
    <n v="0.8839285714285714"/>
    <n v="1"/>
    <n v="0.1160714285714286"/>
    <n v="0"/>
    <n v="-99"/>
    <n v="0"/>
    <n v="99"/>
    <e v="#VALUE!"/>
    <n v="99"/>
    <n v="0"/>
    <m/>
    <m/>
    <s v="Y"/>
    <m/>
    <s v="91-120 DAYS"/>
    <n v="0"/>
    <x v="0"/>
  </r>
  <r>
    <n v="1589"/>
    <s v="N"/>
    <s v="N"/>
    <n v="2076000"/>
    <n v="4"/>
    <d v="2012-02-29T00:00:00"/>
    <d v="2012-03-02T00:00:00"/>
    <n v="2076000"/>
    <d v="2012-02-29T00:00:00"/>
    <d v="2012-03-02T00:00:00"/>
    <n v="5000"/>
    <x v="4"/>
    <m/>
    <s v="N"/>
    <s v="NONE"/>
    <s v="GUILTY PLEA - NO JURY"/>
    <n v="3"/>
    <n v="3"/>
    <n v="2"/>
    <n v="3"/>
    <n v="1"/>
    <m/>
    <m/>
    <m/>
    <m/>
    <m/>
    <m/>
    <m/>
    <m/>
    <d v="1987-03-22T00:00:00"/>
    <s v="M"/>
    <s v="H"/>
    <s v="HISPANIC"/>
    <s v="HISPANIC"/>
    <s v="184"/>
    <s v="CONVICTED"/>
    <n v="2"/>
    <s v="HCJ"/>
    <m/>
    <m/>
    <n v="365"/>
    <s v="POSS MARIJ  4 OZ. - 5 LBS."/>
    <m/>
    <s v="FS"/>
    <s v="POSS DRUG"/>
    <m/>
    <m/>
    <m/>
    <m/>
    <m/>
    <m/>
    <m/>
    <m/>
    <m/>
    <s v="Public Defender"/>
    <m/>
    <m/>
    <n v="3"/>
    <n v="3"/>
    <n v="3"/>
    <n v="24.89071038251366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497"/>
    <s v="N"/>
    <s v="N"/>
    <n v="2076793"/>
    <n v="4"/>
    <d v="2012-04-04T00:00:00"/>
    <d v="2012-04-05T00:00:00"/>
    <n v="2076793"/>
    <d v="2012-04-04T00:00:00"/>
    <d v="2012-04-05T00:00:00"/>
    <n v="15000"/>
    <x v="0"/>
    <m/>
    <s v="N"/>
    <s v="NONE"/>
    <s v="GUILTY PLEA - NO JURY"/>
    <n v="2"/>
    <n v="2"/>
    <n v="3"/>
    <n v="13"/>
    <n v="1"/>
    <m/>
    <m/>
    <m/>
    <m/>
    <m/>
    <m/>
    <m/>
    <m/>
    <d v="1986-02-11T00:00:00"/>
    <s v="F"/>
    <s v="W"/>
    <s v="WHITE"/>
    <s v="NON-HISPANIC"/>
    <s v="177"/>
    <s v="CONVICTED"/>
    <n v="1"/>
    <s v="HCJ"/>
    <m/>
    <m/>
    <n v="180"/>
    <s v="THEFT UNDER $1500 - 3RD OFF."/>
    <m/>
    <s v="FS"/>
    <s v="THEFT"/>
    <m/>
    <m/>
    <m/>
    <m/>
    <m/>
    <m/>
    <m/>
    <m/>
    <m/>
    <s v="Appointed Attorney"/>
    <m/>
    <m/>
    <n v="2"/>
    <n v="2"/>
    <n v="2"/>
    <n v="26.090163934426229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1064"/>
    <s v="N"/>
    <s v="N"/>
    <n v="2077060"/>
    <n v="3"/>
    <d v="2012-02-09T00:00:00"/>
    <d v="2012-06-06T00:00:00"/>
    <n v="2077060"/>
    <d v="2012-02-09T00:00:00"/>
    <d v="2012-02-11T00:00:00"/>
    <n v="10000"/>
    <x v="3"/>
    <d v="2012-02-11T00:00:00"/>
    <s v="Y"/>
    <s v="SURETYPTRc"/>
    <s v="GUILTY PLEA - NO JURY"/>
    <n v="3"/>
    <n v="119"/>
    <n v="1"/>
    <n v="5"/>
    <n v="1"/>
    <m/>
    <m/>
    <m/>
    <m/>
    <m/>
    <m/>
    <m/>
    <m/>
    <d v="1984-11-20T00:00:00"/>
    <s v="M"/>
    <s v="W"/>
    <s v="WHITE"/>
    <s v="NULL"/>
    <s v="185"/>
    <s v="CONVICTED"/>
    <n v="7"/>
    <s v="PROBATION"/>
    <m/>
    <m/>
    <m/>
    <s v="DWI 3RD OFFENDER BAC .08"/>
    <m/>
    <s v="F3"/>
    <s v="FEL DWI"/>
    <m/>
    <m/>
    <m/>
    <m/>
    <m/>
    <m/>
    <m/>
    <m/>
    <m/>
    <s v="Hired Attorney"/>
    <m/>
    <m/>
    <n v="3"/>
    <n v="119"/>
    <n v="119"/>
    <n v="27.16393442622951"/>
    <n v="0"/>
    <n v="-116"/>
    <s v="CONVICTION"/>
    <x v="1"/>
    <s v="Y"/>
    <m/>
    <s v="CONVICTION"/>
    <s v="Y"/>
    <x v="1"/>
    <x v="0"/>
    <s v="Y"/>
    <n v="2.5210084033613446E-2"/>
    <n v="2.5210084033613446E-2"/>
    <n v="0"/>
    <n v="0"/>
    <n v="-3"/>
    <n v="0"/>
    <n v="3"/>
    <e v="#VALUE!"/>
    <n v="3"/>
    <n v="0"/>
    <m/>
    <m/>
    <s v="Y"/>
    <m/>
    <s v="0-10 DAYS"/>
    <n v="1"/>
    <x v="0"/>
  </r>
  <r>
    <n v="1675"/>
    <s v="N"/>
    <s v="N"/>
    <n v="2077672"/>
    <n v="6"/>
    <d v="2012-03-02T00:00:00"/>
    <d v="2012-03-28T00:00:00"/>
    <n v="2077672"/>
    <d v="2012-03-03T00:00:00"/>
    <d v="2012-03-28T00:00:00"/>
    <n v="20000"/>
    <x v="0"/>
    <m/>
    <s v="N"/>
    <s v="NONE"/>
    <s v="GUILTY PLEA - NO JURY"/>
    <n v="26"/>
    <n v="27"/>
    <n v="1"/>
    <n v="6"/>
    <n v="1"/>
    <m/>
    <m/>
    <m/>
    <m/>
    <m/>
    <m/>
    <m/>
    <m/>
    <d v="1984-08-13T00:00:00"/>
    <s v="M"/>
    <s v="W"/>
    <s v="WHITE"/>
    <s v="NON-HISPANIC"/>
    <s v="179"/>
    <s v="CONVICTED"/>
    <n v="2"/>
    <s v="TDC"/>
    <n v="5"/>
    <m/>
    <m/>
    <s v="BURGLARY OF HABITATION"/>
    <m/>
    <s v="F2"/>
    <s v="BURGLARY"/>
    <m/>
    <m/>
    <m/>
    <m/>
    <m/>
    <m/>
    <m/>
    <m/>
    <m/>
    <s v="Public Defender"/>
    <m/>
    <m/>
    <n v="26"/>
    <n v="26"/>
    <n v="27"/>
    <n v="27.494535519125684"/>
    <n v="0"/>
    <n v="0"/>
    <s v="CONVICTION"/>
    <x v="0"/>
    <s v="N"/>
    <m/>
    <s v="CONVICTION"/>
    <s v="Y"/>
    <x v="0"/>
    <x v="0"/>
    <s v="Y"/>
    <n v="0.96296296296296291"/>
    <n v="1"/>
    <n v="3.703703703703709E-2"/>
    <n v="0"/>
    <n v="-26"/>
    <n v="0"/>
    <n v="26"/>
    <e v="#VALUE!"/>
    <n v="26"/>
    <n v="0"/>
    <m/>
    <m/>
    <s v="Y"/>
    <m/>
    <s v="11-30 DAYS"/>
    <n v="2"/>
    <x v="0"/>
  </r>
  <r>
    <n v="1324"/>
    <s v="N"/>
    <s v="N"/>
    <n v="2078025"/>
    <n v="5"/>
    <d v="2012-02-17T00:00:00"/>
    <d v="2012-11-28T00:00:00"/>
    <n v="2078025"/>
    <d v="2012-02-17T00:00:00"/>
    <d v="2012-11-28T00:00:00"/>
    <n v="40000"/>
    <x v="2"/>
    <m/>
    <s v="N"/>
    <s v="NONE"/>
    <s v="GUILTY PLEA - NO JURY"/>
    <n v="286"/>
    <n v="286"/>
    <n v="1"/>
    <n v="7"/>
    <m/>
    <m/>
    <m/>
    <m/>
    <m/>
    <m/>
    <m/>
    <m/>
    <m/>
    <d v="1987-04-25T00:00:00"/>
    <s v="M"/>
    <s v="H"/>
    <s v="HISPANIC"/>
    <s v="HISPANIC"/>
    <s v="208"/>
    <s v="CONVICTED"/>
    <n v="5"/>
    <s v="STJ"/>
    <m/>
    <n v="6"/>
    <m/>
    <s v="AGG ROBBERY-DEADLY WPN"/>
    <m/>
    <s v="F1"/>
    <s v="ROBBERY"/>
    <m/>
    <m/>
    <m/>
    <m/>
    <m/>
    <m/>
    <m/>
    <m/>
    <m/>
    <s v="Public Defender"/>
    <m/>
    <m/>
    <n v="286"/>
    <n v="286"/>
    <n v="286"/>
    <n v="24.765027322404372"/>
    <n v="0"/>
    <n v="0"/>
    <s v="CONVICTION"/>
    <x v="0"/>
    <s v="N"/>
    <m/>
    <s v="CONVICTION"/>
    <s v="Y"/>
    <x v="0"/>
    <x v="0"/>
    <s v="Y"/>
    <n v="1"/>
    <n v="1"/>
    <n v="0"/>
    <n v="0"/>
    <n v="-286"/>
    <n v="0"/>
    <n v="286"/>
    <e v="#VALUE!"/>
    <n v="286"/>
    <n v="0"/>
    <m/>
    <m/>
    <s v="Y"/>
    <m/>
    <s v="121-365 DAYS"/>
    <n v="6"/>
    <x v="0"/>
  </r>
  <r>
    <n v="2070"/>
    <s v="N"/>
    <s v="N"/>
    <n v="2078030"/>
    <n v="5"/>
    <d v="2012-03-19T00:00:00"/>
    <d v="2012-03-20T00:00:00"/>
    <n v="2078030"/>
    <d v="2012-03-19T00:00:00"/>
    <d v="2012-03-20T00:00:00"/>
    <n v="5000"/>
    <x v="4"/>
    <m/>
    <s v="N"/>
    <s v="NONE"/>
    <s v="GUILTY PLEA - NO JURY"/>
    <n v="2"/>
    <n v="2"/>
    <n v="2"/>
    <n v="3"/>
    <n v="1"/>
    <m/>
    <m/>
    <m/>
    <m/>
    <m/>
    <m/>
    <m/>
    <m/>
    <d v="1985-09-23T00:00:00"/>
    <s v="M"/>
    <s v="B"/>
    <s v="BLACK"/>
    <s v="NON-HISPANIC"/>
    <s v="209"/>
    <s v="CONVICTED"/>
    <n v="1"/>
    <s v="STJ"/>
    <m/>
    <n v="8"/>
    <m/>
    <s v="THEFT UNDER $1500 - 3RD OFF."/>
    <m/>
    <s v="FS"/>
    <s v="THEFT"/>
    <m/>
    <m/>
    <m/>
    <m/>
    <m/>
    <m/>
    <m/>
    <m/>
    <m/>
    <s v="Appointed Attorney"/>
    <m/>
    <m/>
    <n v="2"/>
    <n v="2"/>
    <n v="2"/>
    <n v="26.431693989071039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2311"/>
    <s v="N"/>
    <s v="N"/>
    <n v="2078489"/>
    <n v="1"/>
    <d v="2012-03-28T00:00:00"/>
    <d v="2012-05-07T00:00:00"/>
    <n v="2078489"/>
    <d v="2012-03-30T00:00:00"/>
    <d v="2012-03-31T00:00:00"/>
    <n v="2000"/>
    <x v="5"/>
    <d v="2012-03-31T00:00:00"/>
    <s v="Y"/>
    <s v="SURETY"/>
    <s v="NO BILL"/>
    <n v="2"/>
    <n v="41"/>
    <n v="0"/>
    <n v="5"/>
    <m/>
    <m/>
    <m/>
    <m/>
    <m/>
    <m/>
    <m/>
    <m/>
    <m/>
    <d v="1983-12-13T00:00:00"/>
    <s v="M"/>
    <s v="H"/>
    <s v="HISPANIC"/>
    <s v="HISPANIC"/>
    <s v="185"/>
    <s v="NO BILL"/>
    <n v="4"/>
    <s v="NO BILL"/>
    <m/>
    <m/>
    <m/>
    <s v="UNAUTH USE OF VEHICLE"/>
    <m/>
    <s v="FS"/>
    <s v="AUTO THEFT"/>
    <s v="misd assault 5/16/12 def adj"/>
    <m/>
    <m/>
    <m/>
    <m/>
    <m/>
    <m/>
    <m/>
    <m/>
    <s v="Hired Attorney"/>
    <m/>
    <m/>
    <n v="2"/>
    <n v="39"/>
    <n v="41"/>
    <n v="28.23224043715847"/>
    <n v="0"/>
    <n v="-37"/>
    <s v="NO CONVICTION"/>
    <x v="1"/>
    <s v="Y"/>
    <m/>
    <s v="NO CONVICTION"/>
    <s v="Y"/>
    <x v="1"/>
    <x v="0"/>
    <s v="N"/>
    <n v="4.878048780487805E-2"/>
    <n v="5.128205128205128E-2"/>
    <n v="2.5015634771732298E-3"/>
    <n v="0"/>
    <n v="-2"/>
    <n v="0"/>
    <n v="2"/>
    <e v="#VALUE!"/>
    <n v="2"/>
    <n v="0"/>
    <m/>
    <m/>
    <s v="Y"/>
    <m/>
    <s v="0-10 DAYS"/>
    <n v="1"/>
    <x v="0"/>
  </r>
  <r>
    <n v="138"/>
    <s v="N"/>
    <s v="N"/>
    <n v="2078663"/>
    <n v="1"/>
    <d v="2012-01-07T00:00:00"/>
    <d v="2012-01-10T00:00:00"/>
    <n v="2078663"/>
    <s v="NOT BOOKED"/>
    <s v="NOT BOOKED"/>
    <n v="5000"/>
    <x v="4"/>
    <d v="2012-01-08T00:00:00"/>
    <s v="Y"/>
    <s v="SURETYPTRc"/>
    <s v="DISMISSED"/>
    <n v="0"/>
    <n v="4"/>
    <n v="2"/>
    <n v="4"/>
    <m/>
    <m/>
    <m/>
    <m/>
    <m/>
    <m/>
    <m/>
    <m/>
    <m/>
    <d v="1984-05-11T00:00:00"/>
    <s v="M"/>
    <s v="B"/>
    <s v="BLACK"/>
    <s v="NON-HISPANIC"/>
    <s v="185"/>
    <s v="DISMISSED"/>
    <n v="2"/>
    <s v="DISMISSED"/>
    <m/>
    <m/>
    <m/>
    <s v="POSS CS PG 1  1 - 4 GRAMS"/>
    <m/>
    <s v="F3"/>
    <s v="POSS DRUG"/>
    <m/>
    <m/>
    <m/>
    <m/>
    <m/>
    <m/>
    <m/>
    <m/>
    <m/>
    <s v="Hired Attorney"/>
    <m/>
    <m/>
    <n v="0"/>
    <n v="0"/>
    <n v="4"/>
    <n v="27.601092896174862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2525"/>
    <s v="N"/>
    <s v="N"/>
    <n v="2079410"/>
    <n v="6"/>
    <d v="2012-04-04T00:00:00"/>
    <d v="2012-10-18T00:00:00"/>
    <n v="2079410"/>
    <d v="2012-05-11T00:00:00"/>
    <d v="2012-10-18T00:00:00"/>
    <n v="30000"/>
    <x v="2"/>
    <m/>
    <s v="N"/>
    <s v="NONE"/>
    <s v="GUILTY PLEA - NO JURY"/>
    <n v="161"/>
    <n v="198"/>
    <n v="1"/>
    <n v="0"/>
    <m/>
    <m/>
    <m/>
    <m/>
    <m/>
    <m/>
    <m/>
    <m/>
    <m/>
    <d v="1978-09-21T00:00:00"/>
    <s v="M"/>
    <s v="H"/>
    <s v="HISPANIC"/>
    <s v="HISPANIC"/>
    <s v="248"/>
    <s v="CONVICTED"/>
    <n v="7"/>
    <s v="TDC"/>
    <n v="7"/>
    <m/>
    <m/>
    <s v="BURGLARY OF HABITATION"/>
    <m/>
    <s v="F2"/>
    <s v="BURGLARY"/>
    <m/>
    <m/>
    <m/>
    <m/>
    <m/>
    <m/>
    <m/>
    <m/>
    <m/>
    <s v="Hired Attorney"/>
    <m/>
    <m/>
    <n v="161"/>
    <n v="161"/>
    <n v="198"/>
    <n v="33.467213114754095"/>
    <n v="0"/>
    <n v="0"/>
    <s v="CONVICTION"/>
    <x v="0"/>
    <s v="N"/>
    <m/>
    <s v="CONVICTION"/>
    <s v="Y"/>
    <x v="0"/>
    <x v="0"/>
    <s v="Y"/>
    <n v="0.81313131313131315"/>
    <n v="1"/>
    <n v="0.18686868686868685"/>
    <n v="0"/>
    <n v="-161"/>
    <n v="0"/>
    <n v="161"/>
    <e v="#VALUE!"/>
    <n v="161"/>
    <n v="0"/>
    <m/>
    <m/>
    <s v="Y"/>
    <m/>
    <s v="121-365 DAYS"/>
    <n v="6"/>
    <x v="0"/>
  </r>
  <r>
    <n v="2624"/>
    <s v="N"/>
    <s v="N"/>
    <n v="2079944"/>
    <n v="2"/>
    <d v="2012-04-07T00:00:00"/>
    <d v="2012-05-09T00:00:00"/>
    <n v="2079944"/>
    <d v="2012-04-07T00:00:00"/>
    <d v="2012-05-09T00:00:00"/>
    <n v="5000"/>
    <x v="4"/>
    <m/>
    <s v="N"/>
    <s v="NONE"/>
    <s v="DEFERRED ADJUDICATION "/>
    <n v="33"/>
    <n v="33"/>
    <n v="1"/>
    <n v="2"/>
    <m/>
    <m/>
    <m/>
    <m/>
    <m/>
    <m/>
    <m/>
    <m/>
    <m/>
    <d v="1984-11-11T00:00:00"/>
    <s v="M"/>
    <s v="B"/>
    <s v="BLACK"/>
    <s v="NULL"/>
    <s v="228"/>
    <s v="DEFERRED"/>
    <n v="2"/>
    <s v="DEFERRED"/>
    <m/>
    <m/>
    <m/>
    <s v="POSS MARIJ  4 OZ. - 5 LBS."/>
    <m/>
    <s v="FS"/>
    <s v="POSS DRUG"/>
    <m/>
    <m/>
    <m/>
    <m/>
    <m/>
    <m/>
    <m/>
    <m/>
    <m/>
    <s v="Hired Attorney"/>
    <m/>
    <m/>
    <n v="33"/>
    <n v="33"/>
    <n v="33"/>
    <n v="27.346994535519126"/>
    <n v="0"/>
    <n v="0"/>
    <s v="DEFERRED"/>
    <x v="0"/>
    <s v="N"/>
    <m/>
    <s v="DEFERRED"/>
    <s v="Y"/>
    <x v="0"/>
    <x v="0"/>
    <s v="Y"/>
    <n v="1"/>
    <n v="1"/>
    <n v="0"/>
    <n v="0"/>
    <n v="-33"/>
    <n v="0"/>
    <n v="33"/>
    <e v="#VALUE!"/>
    <n v="33"/>
    <n v="0"/>
    <m/>
    <m/>
    <s v="Y"/>
    <m/>
    <s v="31-60 DAYS"/>
    <n v="3"/>
    <x v="0"/>
  </r>
  <r>
    <n v="563"/>
    <s v="N"/>
    <s v="N"/>
    <n v="2081081"/>
    <n v="6"/>
    <d v="2012-01-23T00:00:00"/>
    <d v="2013-07-29T00:00:00"/>
    <n v="2081081"/>
    <d v="2012-01-23T00:00:00"/>
    <d v="2013-07-29T00:00:00"/>
    <n v="165000"/>
    <x v="2"/>
    <m/>
    <s v="N"/>
    <s v="NONE"/>
    <s v="GUILTY PLEA - NO JURY"/>
    <n v="554"/>
    <n v="554"/>
    <n v="2"/>
    <n v="3"/>
    <n v="1"/>
    <m/>
    <n v="3"/>
    <m/>
    <m/>
    <m/>
    <m/>
    <m/>
    <m/>
    <d v="1983-10-26T00:00:00"/>
    <s v="M"/>
    <s v="B"/>
    <s v="BLACK"/>
    <s v="NON-HISPANIC"/>
    <s v="351"/>
    <s v="CONVICTED"/>
    <n v="17"/>
    <s v="TDC"/>
    <n v="20"/>
    <m/>
    <m/>
    <s v="AGG ROBBERY-DEADLY WPN"/>
    <m/>
    <s v="F1"/>
    <s v="ROBBERY"/>
    <s v="MHH ISSUES"/>
    <m/>
    <m/>
    <m/>
    <m/>
    <m/>
    <m/>
    <m/>
    <m/>
    <s v="Public Defender"/>
    <m/>
    <m/>
    <n v="554"/>
    <n v="554"/>
    <n v="554"/>
    <n v="28.185792349726775"/>
    <n v="0"/>
    <n v="0"/>
    <s v="CONVICTION"/>
    <x v="0"/>
    <s v="N"/>
    <m/>
    <s v="CONVICTION"/>
    <s v="Y"/>
    <x v="0"/>
    <x v="0"/>
    <s v="Y"/>
    <n v="1"/>
    <n v="1"/>
    <n v="0"/>
    <n v="0"/>
    <n v="-554"/>
    <n v="0"/>
    <n v="554"/>
    <e v="#VALUE!"/>
    <n v="554"/>
    <n v="0"/>
    <m/>
    <m/>
    <s v="Y"/>
    <m/>
    <s v=" &gt;1YRS&lt;2YRS"/>
    <n v="0"/>
    <x v="0"/>
  </r>
  <r>
    <n v="1756"/>
    <s v="N"/>
    <s v="N"/>
    <n v="2082050"/>
    <n v="6"/>
    <d v="2012-03-06T00:00:00"/>
    <d v="2012-03-30T00:00:00"/>
    <n v="2082050"/>
    <d v="2012-03-07T00:00:00"/>
    <d v="2012-03-30T00:00:00"/>
    <s v="NO BOND"/>
    <x v="1"/>
    <m/>
    <s v="N"/>
    <s v="NONE"/>
    <s v="GUILTY PLEA - NO JURY"/>
    <n v="24"/>
    <n v="25"/>
    <n v="1"/>
    <n v="4"/>
    <m/>
    <n v="1"/>
    <m/>
    <m/>
    <m/>
    <m/>
    <m/>
    <m/>
    <m/>
    <d v="1987-01-29T00:00:00"/>
    <s v="M"/>
    <s v="B"/>
    <s v="BLACK"/>
    <s v="NON-HISPANIC"/>
    <s v="209"/>
    <s v="CONVICTED"/>
    <n v="4"/>
    <s v="TDC"/>
    <n v="3"/>
    <m/>
    <m/>
    <s v="TAMPER/FABRICATE EVIDENCE"/>
    <m/>
    <s v="F3"/>
    <s v="OTHER FEL"/>
    <m/>
    <m/>
    <m/>
    <m/>
    <m/>
    <m/>
    <m/>
    <m/>
    <m/>
    <s v="Appointed Attorney"/>
    <m/>
    <m/>
    <n v="24"/>
    <n v="24"/>
    <n v="25"/>
    <n v="25.049180327868854"/>
    <n v="0"/>
    <n v="0"/>
    <s v="CONVICTION"/>
    <x v="0"/>
    <s v="N"/>
    <m/>
    <s v="CONVICTION"/>
    <s v="Y"/>
    <x v="0"/>
    <x v="0"/>
    <s v="Y"/>
    <n v="0.96"/>
    <n v="1"/>
    <n v="4.0000000000000036E-2"/>
    <n v="0"/>
    <n v="-24"/>
    <n v="0"/>
    <n v="24"/>
    <e v="#VALUE!"/>
    <n v="24"/>
    <n v="0"/>
    <m/>
    <m/>
    <s v="Y"/>
    <m/>
    <s v="11-30 DAYS"/>
    <n v="2"/>
    <x v="0"/>
  </r>
  <r>
    <n v="3043"/>
    <s v="N"/>
    <s v="N"/>
    <n v="2082368"/>
    <n v="1"/>
    <d v="2012-04-22T00:00:00"/>
    <d v="2012-06-19T00:00:00"/>
    <n v="2082368"/>
    <d v="2012-04-23T00:00:00"/>
    <d v="2012-04-25T00:00:00"/>
    <n v="2000"/>
    <x v="5"/>
    <d v="2012-04-25T00:00:00"/>
    <s v="Y"/>
    <s v="SURETY"/>
    <s v="DISMISSED"/>
    <n v="3"/>
    <n v="59"/>
    <n v="0"/>
    <n v="2"/>
    <m/>
    <m/>
    <m/>
    <m/>
    <m/>
    <m/>
    <m/>
    <m/>
    <m/>
    <d v="1983-10-23T00:00:00"/>
    <s v="M"/>
    <s v="H"/>
    <s v="HISPANIC"/>
    <s v="HISPANIC"/>
    <s v="339"/>
    <s v="DISMISSED"/>
    <n v="3"/>
    <s v="DISMISSED"/>
    <m/>
    <m/>
    <m/>
    <s v="CRIM MISCH &gt;=$1500 &lt;$20K"/>
    <m/>
    <s v="FS"/>
    <s v="OTHER FEL"/>
    <s v=" 3 misd one  6/27/12   two 10/16/12 HCJ days disp"/>
    <m/>
    <m/>
    <m/>
    <m/>
    <m/>
    <m/>
    <m/>
    <m/>
    <s v="Appointed Attorney"/>
    <m/>
    <m/>
    <n v="3"/>
    <n v="58"/>
    <n v="59"/>
    <n v="28.439890710382514"/>
    <n v="0"/>
    <n v="-55"/>
    <s v="NO CONVICTION"/>
    <x v="1"/>
    <s v="Y"/>
    <m/>
    <s v="NO CONVICTION"/>
    <s v="Y"/>
    <x v="1"/>
    <x v="0"/>
    <s v="N"/>
    <n v="5.0847457627118647E-2"/>
    <n v="5.1724137931034482E-2"/>
    <n v="8.7668030391583468E-4"/>
    <n v="0"/>
    <n v="-3"/>
    <n v="0"/>
    <n v="3"/>
    <e v="#VALUE!"/>
    <n v="3"/>
    <n v="0"/>
    <m/>
    <m/>
    <s v="Y"/>
    <m/>
    <s v="0-10 DAYS"/>
    <n v="1"/>
    <x v="0"/>
  </r>
  <r>
    <n v="2728"/>
    <s v="N"/>
    <s v="N"/>
    <n v="2083598"/>
    <n v="6"/>
    <d v="2012-04-12T00:00:00"/>
    <d v="2012-08-07T00:00:00"/>
    <n v="2083598"/>
    <d v="2012-04-13T00:00:00"/>
    <d v="2012-04-14T00:00:00"/>
    <n v="5000"/>
    <x v="4"/>
    <d v="2012-04-14T00:00:00"/>
    <s v="Y"/>
    <s v="SURETY"/>
    <s v="GUILTY PLEA - NO JURY"/>
    <n v="2"/>
    <n v="118"/>
    <n v="1"/>
    <n v="3"/>
    <n v="1"/>
    <m/>
    <m/>
    <m/>
    <m/>
    <m/>
    <m/>
    <m/>
    <m/>
    <d v="1986-10-07T00:00:00"/>
    <s v="F"/>
    <s v="B"/>
    <s v="BLACK"/>
    <s v="NULL"/>
    <s v="180"/>
    <s v="CONVICTED"/>
    <n v="6"/>
    <s v="TDC"/>
    <n v="2"/>
    <m/>
    <m/>
    <s v="POSS CS PG 1  1 - 4 GRAMS"/>
    <m/>
    <s v="F3"/>
    <s v="POSS DRUG"/>
    <m/>
    <m/>
    <m/>
    <m/>
    <m/>
    <m/>
    <m/>
    <m/>
    <m/>
    <s v="Hired Attorney"/>
    <m/>
    <m/>
    <n v="2"/>
    <n v="117"/>
    <n v="118"/>
    <n v="25.461748633879782"/>
    <n v="0"/>
    <n v="-115"/>
    <s v="CONVICTION"/>
    <x v="1"/>
    <s v="Y"/>
    <m/>
    <s v="CONVICTION"/>
    <s v="Y"/>
    <x v="1"/>
    <x v="0"/>
    <s v="Y"/>
    <n v="1.6949152542372881E-2"/>
    <n v="1.7094017094017096E-2"/>
    <n v="1.4486455164421444E-4"/>
    <n v="0"/>
    <n v="-2"/>
    <n v="0"/>
    <n v="2"/>
    <e v="#VALUE!"/>
    <n v="2"/>
    <n v="0"/>
    <m/>
    <m/>
    <s v="Y"/>
    <m/>
    <s v="0-10 DAYS"/>
    <n v="1"/>
    <x v="0"/>
  </r>
  <r>
    <n v="363"/>
    <s v="N"/>
    <s v="N"/>
    <n v="2083788"/>
    <n v="3"/>
    <d v="2012-01-15T00:00:00"/>
    <d v="2013-02-18T00:00:00"/>
    <n v="2083788"/>
    <d v="2012-01-15T00:00:00"/>
    <d v="2012-01-16T00:00:00"/>
    <n v="5000"/>
    <x v="4"/>
    <d v="2012-01-16T00:00:00"/>
    <s v="Y"/>
    <s v="SURETY"/>
    <s v="GUILTY PLEA - NO JURY"/>
    <n v="2"/>
    <n v="401"/>
    <n v="1"/>
    <n v="3"/>
    <n v="1"/>
    <m/>
    <m/>
    <m/>
    <m/>
    <m/>
    <m/>
    <m/>
    <m/>
    <d v="1986-09-29T00:00:00"/>
    <s v="M"/>
    <s v="H"/>
    <s v="HISPANIC"/>
    <s v="HISPANIC"/>
    <s v="178"/>
    <s v="CONVICTED"/>
    <n v="11"/>
    <s v="PROBATION"/>
    <m/>
    <m/>
    <m/>
    <s v="FELON POSS WPN"/>
    <m/>
    <s v="F3"/>
    <s v="OTHER FEL"/>
    <m/>
    <m/>
    <m/>
    <m/>
    <m/>
    <m/>
    <m/>
    <m/>
    <m/>
    <s v="Hired Attorney"/>
    <m/>
    <m/>
    <n v="2"/>
    <n v="401"/>
    <n v="401"/>
    <n v="25.243169398907103"/>
    <n v="0"/>
    <n v="-399"/>
    <s v="CONVICTION"/>
    <x v="1"/>
    <s v="Y"/>
    <m/>
    <s v="CONVICTION"/>
    <s v="Y"/>
    <x v="1"/>
    <x v="0"/>
    <s v="Y"/>
    <n v="4.9875311720698253E-3"/>
    <n v="4.9875311720698253E-3"/>
    <n v="0"/>
    <n v="0"/>
    <n v="-2"/>
    <n v="0"/>
    <n v="2"/>
    <e v="#VALUE!"/>
    <n v="2"/>
    <n v="0"/>
    <m/>
    <m/>
    <s v="Y"/>
    <m/>
    <s v="0-10 DAYS"/>
    <n v="1"/>
    <x v="0"/>
  </r>
  <r>
    <n v="762"/>
    <s v="N"/>
    <s v="N"/>
    <n v="2084335"/>
    <n v="2"/>
    <d v="2012-01-30T00:00:00"/>
    <d v="2012-02-01T00:00:00"/>
    <n v="2084335"/>
    <d v="2012-01-31T00:00:00"/>
    <d v="2012-02-01T00:00:00"/>
    <s v="NO BOND"/>
    <x v="1"/>
    <m/>
    <s v="N"/>
    <s v="NONE"/>
    <s v="DEFERRED ADJUDICATION "/>
    <n v="2"/>
    <n v="3"/>
    <n v="2"/>
    <n v="4"/>
    <m/>
    <n v="1"/>
    <m/>
    <m/>
    <m/>
    <m/>
    <m/>
    <m/>
    <m/>
    <d v="1984-02-25T00:00:00"/>
    <s v="M"/>
    <s v="H"/>
    <s v="HISPANIC"/>
    <s v="HISPANIC"/>
    <s v="180"/>
    <s v="DEFERRED"/>
    <n v="1"/>
    <s v="DEFERRED"/>
    <m/>
    <m/>
    <m/>
    <s v="BURGLARY OF A BUILDING"/>
    <m/>
    <s v="FS"/>
    <s v="BURGLARY"/>
    <m/>
    <m/>
    <m/>
    <m/>
    <m/>
    <m/>
    <m/>
    <m/>
    <m/>
    <s v="Appointed Attorney"/>
    <m/>
    <m/>
    <n v="2"/>
    <n v="2"/>
    <n v="3"/>
    <n v="27.871584699453553"/>
    <n v="0"/>
    <n v="0"/>
    <s v="DEFERRED"/>
    <x v="0"/>
    <s v="N"/>
    <m/>
    <s v="DEFERRED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557"/>
    <s v="N"/>
    <s v="N"/>
    <n v="2085053"/>
    <n v="1"/>
    <d v="2012-01-23T00:00:00"/>
    <d v="2012-03-20T00:00:00"/>
    <n v="2085053"/>
    <d v="2012-01-24T00:00:00"/>
    <d v="2012-03-20T00:00:00"/>
    <n v="10000"/>
    <x v="3"/>
    <m/>
    <s v="N"/>
    <s v="NONE"/>
    <s v="DISMISSED"/>
    <n v="57"/>
    <n v="58"/>
    <n v="0"/>
    <n v="0"/>
    <m/>
    <m/>
    <m/>
    <m/>
    <m/>
    <m/>
    <m/>
    <m/>
    <m/>
    <d v="1962-08-10T00:00:00"/>
    <s v="M"/>
    <s v="H"/>
    <s v="HISPANIC"/>
    <s v="HISPANIC"/>
    <s v="177"/>
    <s v="DISMISSED"/>
    <n v="4"/>
    <s v="DISMISSED"/>
    <m/>
    <m/>
    <m/>
    <s v="IMPERSON P-O"/>
    <m/>
    <s v="F3"/>
    <s v="OTHER FEL"/>
    <m/>
    <m/>
    <m/>
    <m/>
    <m/>
    <m/>
    <m/>
    <m/>
    <m/>
    <s v="Hired Attorney"/>
    <m/>
    <m/>
    <n v="57"/>
    <n v="57"/>
    <n v="58"/>
    <n v="49.352459016393439"/>
    <n v="0"/>
    <n v="0"/>
    <s v="NO CONVICTION"/>
    <x v="0"/>
    <s v="N"/>
    <m/>
    <s v="NO CONVICTION"/>
    <s v="Y"/>
    <x v="0"/>
    <x v="0"/>
    <s v="N"/>
    <n v="0.98275862068965514"/>
    <n v="1"/>
    <n v="1.7241379310344862E-2"/>
    <n v="0"/>
    <n v="-57"/>
    <n v="0"/>
    <n v="57"/>
    <e v="#VALUE!"/>
    <n v="57"/>
    <n v="0"/>
    <m/>
    <m/>
    <s v="N"/>
    <m/>
    <s v="31-60 DAYS"/>
    <n v="3"/>
    <x v="0"/>
  </r>
  <r>
    <n v="2671"/>
    <s v="N"/>
    <s v="N"/>
    <n v="2086934"/>
    <n v="2"/>
    <d v="2012-04-09T00:00:00"/>
    <d v="2012-08-22T00:00:00"/>
    <n v="2086934"/>
    <d v="2012-04-23T00:00:00"/>
    <d v="2012-04-24T00:00:00"/>
    <n v="5000"/>
    <x v="4"/>
    <d v="2012-04-24T00:00:00"/>
    <s v="Y"/>
    <s v="SURETY"/>
    <s v="DEFERRED ADJUDICATION "/>
    <n v="2"/>
    <n v="136"/>
    <n v="0"/>
    <n v="0"/>
    <m/>
    <m/>
    <m/>
    <m/>
    <m/>
    <m/>
    <m/>
    <m/>
    <m/>
    <d v="1983-07-31T00:00:00"/>
    <s v="F"/>
    <s v="H"/>
    <s v="HISPANIC"/>
    <s v="HISPANIC"/>
    <s v="174"/>
    <s v="DEFERRED"/>
    <n v="9"/>
    <s v="DEFERRED"/>
    <m/>
    <m/>
    <m/>
    <s v="THEFT &gt;=$20,000 &lt;$100,000"/>
    <m/>
    <s v="F3"/>
    <s v="THEFT"/>
    <m/>
    <m/>
    <m/>
    <m/>
    <m/>
    <m/>
    <m/>
    <m/>
    <m/>
    <s v="Hired Attorney"/>
    <m/>
    <m/>
    <n v="2"/>
    <n v="122"/>
    <n v="136"/>
    <n v="28.633879781420767"/>
    <n v="0"/>
    <n v="-120"/>
    <s v="DEFERRED"/>
    <x v="1"/>
    <s v="Y"/>
    <m/>
    <s v="DEFERRED"/>
    <s v="Y"/>
    <x v="1"/>
    <x v="0"/>
    <s v="N"/>
    <n v="1.4705882352941176E-2"/>
    <n v="1.6393442622950821E-2"/>
    <n v="1.6875602700096443E-3"/>
    <n v="0"/>
    <n v="-2"/>
    <n v="0"/>
    <n v="2"/>
    <e v="#VALUE!"/>
    <n v="2"/>
    <n v="0"/>
    <m/>
    <m/>
    <s v="N"/>
    <m/>
    <s v="0-10 DAYS"/>
    <n v="1"/>
    <x v="0"/>
  </r>
  <r>
    <n v="579"/>
    <s v="N"/>
    <s v="N"/>
    <n v="2087302"/>
    <n v="2"/>
    <d v="2012-01-24T00:00:00"/>
    <d v="2012-05-01T00:00:00"/>
    <n v="2087302"/>
    <d v="2012-01-24T00:00:00"/>
    <d v="2012-02-25T00:00:00"/>
    <n v="15000"/>
    <x v="0"/>
    <d v="2012-02-25T00:00:00"/>
    <s v="Y"/>
    <s v="SURETY"/>
    <s v="DEFERRED ADJUDICATION "/>
    <n v="33"/>
    <n v="99"/>
    <n v="1"/>
    <n v="3"/>
    <n v="1"/>
    <m/>
    <m/>
    <m/>
    <m/>
    <m/>
    <m/>
    <m/>
    <m/>
    <d v="1959-05-06T00:00:00"/>
    <s v="F"/>
    <s v="B"/>
    <s v="BLACK"/>
    <s v="NON-HISPANIC"/>
    <s v="179"/>
    <s v="DEFERRED"/>
    <n v="6"/>
    <s v="DEFERRED"/>
    <m/>
    <m/>
    <m/>
    <s v="ENDANGERING A CHILD"/>
    <m/>
    <s v="FS"/>
    <s v="OTHER FEL"/>
    <m/>
    <m/>
    <m/>
    <m/>
    <m/>
    <m/>
    <m/>
    <m/>
    <m/>
    <s v="Appointed Attorney"/>
    <m/>
    <m/>
    <n v="33"/>
    <n v="99"/>
    <n v="99"/>
    <n v="52.612021857923494"/>
    <n v="0"/>
    <n v="-66"/>
    <s v="DEFERRED"/>
    <x v="1"/>
    <s v="Y"/>
    <m/>
    <s v="DEFERRED"/>
    <s v="Y"/>
    <x v="1"/>
    <x v="0"/>
    <s v="Y"/>
    <n v="0.33333333333333331"/>
    <n v="0.33333333333333331"/>
    <n v="0"/>
    <n v="0"/>
    <n v="-33"/>
    <n v="0"/>
    <n v="33"/>
    <e v="#VALUE!"/>
    <n v="33"/>
    <n v="0"/>
    <m/>
    <m/>
    <s v="Y"/>
    <m/>
    <s v="31-60 DAYS"/>
    <n v="3"/>
    <x v="0"/>
  </r>
  <r>
    <n v="2155"/>
    <s v="N"/>
    <s v="N"/>
    <n v="2088653"/>
    <n v="1"/>
    <d v="2012-03-22T00:00:00"/>
    <d v="2012-12-17T00:00:00"/>
    <n v="2088653"/>
    <d v="2012-03-22T00:00:00"/>
    <d v="2012-03-24T00:00:00"/>
    <n v="5000"/>
    <x v="4"/>
    <d v="2012-03-24T00:00:00"/>
    <s v="Y"/>
    <s v="SURETY"/>
    <s v="DISMISSED"/>
    <n v="3"/>
    <n v="271"/>
    <n v="0"/>
    <n v="0"/>
    <m/>
    <m/>
    <m/>
    <m/>
    <m/>
    <m/>
    <m/>
    <m/>
    <m/>
    <d v="1975-08-20T00:00:00"/>
    <s v="M"/>
    <s v="A"/>
    <s v="OTHER"/>
    <s v="NULL"/>
    <s v="248"/>
    <s v="DISMISSED"/>
    <n v="10"/>
    <s v="DISMISSED"/>
    <m/>
    <m/>
    <m/>
    <s v="ENGAGING IN ORG CRIM ACTIVITY"/>
    <m/>
    <s v="F2"/>
    <s v="OTHER FEL"/>
    <m/>
    <m/>
    <m/>
    <m/>
    <m/>
    <m/>
    <m/>
    <m/>
    <m/>
    <s v="Hired Attorney"/>
    <m/>
    <m/>
    <n v="3"/>
    <n v="271"/>
    <n v="271"/>
    <n v="36.513661202185794"/>
    <n v="0"/>
    <n v="-268"/>
    <s v="NO CONVICTION"/>
    <x v="1"/>
    <s v="Y"/>
    <m/>
    <s v="NO CONVICTION"/>
    <s v="Y"/>
    <x v="1"/>
    <x v="0"/>
    <s v="N"/>
    <n v="1.107011070110701E-2"/>
    <n v="1.107011070110701E-2"/>
    <n v="0"/>
    <n v="0"/>
    <n v="-3"/>
    <n v="0"/>
    <n v="3"/>
    <e v="#VALUE!"/>
    <n v="3"/>
    <n v="0"/>
    <m/>
    <m/>
    <s v="N"/>
    <m/>
    <s v="0-10 DAYS"/>
    <n v="1"/>
    <x v="0"/>
  </r>
  <r>
    <n v="2798"/>
    <s v="N"/>
    <s v="N"/>
    <n v="2089586"/>
    <n v="1"/>
    <d v="2012-04-13T00:00:00"/>
    <d v="2012-06-22T00:00:00"/>
    <n v="2089586"/>
    <d v="2012-06-14T00:00:00"/>
    <d v="2012-06-22T00:00:00"/>
    <s v="NO BOND"/>
    <x v="1"/>
    <m/>
    <s v="N"/>
    <s v="NONE"/>
    <s v="DISMISSED"/>
    <n v="9"/>
    <n v="71"/>
    <n v="0"/>
    <n v="1"/>
    <m/>
    <m/>
    <m/>
    <m/>
    <m/>
    <m/>
    <m/>
    <m/>
    <m/>
    <d v="1982-10-22T00:00:00"/>
    <s v="F"/>
    <s v="B"/>
    <s v="BLACK"/>
    <s v="NON-HISPANIC"/>
    <s v="182"/>
    <s v="DISMISSED"/>
    <n v="3"/>
    <s v="DISMISSED"/>
    <m/>
    <m/>
    <m/>
    <s v="AGG ASSAULT-FAMILY MEMBER"/>
    <m/>
    <s v="F2"/>
    <s v="ASLT-MURDR"/>
    <m/>
    <m/>
    <m/>
    <m/>
    <m/>
    <m/>
    <m/>
    <m/>
    <m/>
    <s v="Appointed Attorney"/>
    <m/>
    <m/>
    <n v="9"/>
    <n v="9"/>
    <n v="71"/>
    <n v="29.415300546448087"/>
    <n v="0"/>
    <n v="0"/>
    <s v="NO CONVICTION"/>
    <x v="0"/>
    <s v="N"/>
    <m/>
    <s v="NO CONVICTION"/>
    <s v="Y"/>
    <x v="0"/>
    <x v="0"/>
    <s v="N"/>
    <n v="0.12676056338028169"/>
    <n v="1"/>
    <n v="0.87323943661971826"/>
    <n v="0"/>
    <n v="-9"/>
    <n v="0"/>
    <n v="9"/>
    <e v="#VALUE!"/>
    <n v="9"/>
    <n v="0"/>
    <m/>
    <m/>
    <s v="Y"/>
    <m/>
    <s v="0-10 DAYS"/>
    <n v="1"/>
    <x v="0"/>
  </r>
  <r>
    <n v="1108"/>
    <s v="N"/>
    <s v="Y"/>
    <n v="2090415"/>
    <n v="6"/>
    <d v="2012-02-10T00:00:00"/>
    <d v="2012-10-04T00:00:00"/>
    <n v="2090415"/>
    <d v="2012-02-10T00:00:00"/>
    <d v="2012-02-11T00:00:00"/>
    <n v="15000"/>
    <x v="0"/>
    <d v="2012-02-11T00:00:00"/>
    <s v="Y"/>
    <s v="SURETY"/>
    <s v="GUILTY PLEA - NO JURY"/>
    <n v="44"/>
    <n v="238"/>
    <n v="1"/>
    <n v="0"/>
    <n v="1"/>
    <m/>
    <m/>
    <m/>
    <m/>
    <m/>
    <m/>
    <m/>
    <m/>
    <d v="1986-11-28T00:00:00"/>
    <s v="M"/>
    <s v="B"/>
    <s v="BLACK"/>
    <s v="NULL"/>
    <s v="184"/>
    <s v="CONVICTED"/>
    <n v="14"/>
    <s v="TDC"/>
    <n v="2"/>
    <m/>
    <m/>
    <s v="POSS MARIJ  4 OZ. - 5 LBS."/>
    <m/>
    <s v="FS"/>
    <s v="POSS DRUG"/>
    <m/>
    <s v="REV 7/16/12 "/>
    <m/>
    <m/>
    <s v="Y"/>
    <m/>
    <m/>
    <m/>
    <m/>
    <s v="Appointed Attorney"/>
    <m/>
    <m/>
    <n v="44"/>
    <n v="238"/>
    <n v="238"/>
    <n v="25.150273224043715"/>
    <n v="0"/>
    <n v="-236"/>
    <s v="CONVICTION"/>
    <x v="1"/>
    <s v="Y"/>
    <m/>
    <s v="CONVICTION"/>
    <s v="Y"/>
    <x v="1"/>
    <x v="0"/>
    <s v="Y"/>
    <n v="0.18487394957983194"/>
    <n v="8.4033613445378148E-3"/>
    <n v="-0.17647058823529413"/>
    <n v="0"/>
    <n v="-2"/>
    <n v="42"/>
    <n v="2"/>
    <n v="44"/>
    <m/>
    <n v="236"/>
    <m/>
    <m/>
    <s v="Y"/>
    <m/>
    <s v="31-60 DAYS"/>
    <n v="3"/>
    <x v="0"/>
  </r>
  <r>
    <n v="1853"/>
    <s v="N"/>
    <s v="N"/>
    <n v="2091081"/>
    <n v="6"/>
    <d v="2012-03-09T00:00:00"/>
    <d v="2012-08-17T00:00:00"/>
    <n v="2091081"/>
    <d v="2012-03-12T00:00:00"/>
    <d v="2012-08-17T00:00:00"/>
    <n v="20000"/>
    <x v="0"/>
    <m/>
    <s v="N"/>
    <s v="NONE"/>
    <s v="GUILTY PLEA - NO JURY"/>
    <n v="159"/>
    <n v="162"/>
    <n v="0"/>
    <n v="2"/>
    <m/>
    <m/>
    <m/>
    <m/>
    <m/>
    <m/>
    <m/>
    <m/>
    <m/>
    <d v="1985-09-18T00:00:00"/>
    <s v="M"/>
    <s v="B"/>
    <s v="BLACK"/>
    <s v="NON-HISPANIC"/>
    <s v="180"/>
    <s v="CONVICTED"/>
    <n v="8"/>
    <s v="TDC"/>
    <n v="20"/>
    <m/>
    <m/>
    <s v="SEX ASSLT CHILD 14-17"/>
    <m/>
    <s v="F2"/>
    <s v="SEX ABUSE"/>
    <m/>
    <m/>
    <m/>
    <m/>
    <m/>
    <m/>
    <m/>
    <m/>
    <m/>
    <s v="Appointed Attorney"/>
    <m/>
    <m/>
    <n v="159"/>
    <n v="159"/>
    <n v="162"/>
    <n v="26.418032786885245"/>
    <n v="0"/>
    <n v="0"/>
    <s v="CONVICTION"/>
    <x v="0"/>
    <s v="N"/>
    <m/>
    <s v="CONVICTION"/>
    <s v="Y"/>
    <x v="0"/>
    <x v="0"/>
    <s v="N"/>
    <n v="0.98148148148148151"/>
    <n v="1"/>
    <n v="1.851851851851849E-2"/>
    <n v="0"/>
    <n v="-159"/>
    <n v="0"/>
    <n v="159"/>
    <e v="#VALUE!"/>
    <n v="159"/>
    <n v="0"/>
    <m/>
    <m/>
    <s v="Y"/>
    <m/>
    <s v="121-365 DAYS"/>
    <n v="6"/>
    <x v="0"/>
  </r>
  <r>
    <n v="808"/>
    <s v="N"/>
    <s v="N"/>
    <n v="2091668"/>
    <n v="1"/>
    <d v="2012-01-31T00:00:00"/>
    <d v="2012-07-23T00:00:00"/>
    <n v="2091668"/>
    <s v="NOT BOOKED"/>
    <s v="NOT BOOKED"/>
    <n v="5000"/>
    <x v="4"/>
    <d v="2012-03-06T00:00:00"/>
    <s v="Y"/>
    <s v="SURETY"/>
    <s v="DISMISSED"/>
    <n v="0"/>
    <n v="175"/>
    <n v="3"/>
    <n v="5"/>
    <n v="1"/>
    <m/>
    <m/>
    <m/>
    <m/>
    <m/>
    <m/>
    <m/>
    <m/>
    <d v="1984-11-02T00:00:00"/>
    <s v="M"/>
    <s v="B"/>
    <s v="BLACK"/>
    <s v="NULL"/>
    <s v="177"/>
    <s v="DISMISSED"/>
    <n v="7"/>
    <s v="DISMISSED"/>
    <m/>
    <m/>
    <m/>
    <s v="THEFT UNDER $1500 - 3RD OFF."/>
    <m/>
    <s v="FS"/>
    <s v="THEFT"/>
    <m/>
    <m/>
    <m/>
    <m/>
    <m/>
    <m/>
    <m/>
    <m/>
    <m/>
    <s v="Appointed Attorney"/>
    <m/>
    <m/>
    <n v="0"/>
    <n v="0"/>
    <n v="175"/>
    <n v="27.188524590163933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2615"/>
    <s v="N"/>
    <s v="N"/>
    <n v="2092491"/>
    <n v="4"/>
    <d v="2012-04-06T00:00:00"/>
    <d v="2012-08-01T00:00:00"/>
    <n v="2092491"/>
    <d v="2012-04-07T00:00:00"/>
    <d v="2012-08-01T00:00:00"/>
    <n v="5000"/>
    <x v="4"/>
    <m/>
    <s v="N"/>
    <s v="NONE"/>
    <s v="GUILTY PLEA - NO JURY"/>
    <n v="117"/>
    <n v="118"/>
    <n v="2"/>
    <n v="3"/>
    <n v="1"/>
    <m/>
    <m/>
    <m/>
    <m/>
    <m/>
    <m/>
    <m/>
    <m/>
    <d v="1987-07-15T00:00:00"/>
    <s v="M"/>
    <s v="B"/>
    <s v="BLACK"/>
    <s v="NULL"/>
    <s v="208"/>
    <s v="CONVICTED"/>
    <n v="5"/>
    <s v="HCJ"/>
    <m/>
    <m/>
    <n v="200"/>
    <s v="HARASSMENT OF PUBLIC SERVANT"/>
    <m/>
    <s v="F3"/>
    <s v="OTHER FEL"/>
    <s v="9/3/12 misd tresspas filed pend"/>
    <m/>
    <m/>
    <m/>
    <m/>
    <m/>
    <m/>
    <m/>
    <m/>
    <s v="Appointed Attorney"/>
    <m/>
    <m/>
    <n v="117"/>
    <n v="117"/>
    <n v="118"/>
    <n v="24.6775956284153"/>
    <n v="0"/>
    <n v="0"/>
    <s v="CONVICTION"/>
    <x v="0"/>
    <s v="N"/>
    <m/>
    <s v="CONVICTION"/>
    <s v="Y"/>
    <x v="0"/>
    <x v="0"/>
    <s v="Y"/>
    <n v="0.99152542372881358"/>
    <n v="1"/>
    <n v="8.4745762711864181E-3"/>
    <n v="0"/>
    <n v="-117"/>
    <n v="0"/>
    <n v="117"/>
    <e v="#VALUE!"/>
    <n v="117"/>
    <n v="0"/>
    <m/>
    <m/>
    <s v="Y"/>
    <m/>
    <s v="91-120 DAYS"/>
    <n v="0"/>
    <x v="0"/>
  </r>
  <r>
    <n v="1990"/>
    <s v="N"/>
    <s v="Y"/>
    <n v="2094984"/>
    <n v="4"/>
    <d v="2012-03-15T00:00:00"/>
    <d v="2012-08-21T00:00:00"/>
    <n v="2094984"/>
    <d v="2012-03-20T00:00:00"/>
    <d v="2012-03-22T00:00:00"/>
    <n v="90000"/>
    <x v="2"/>
    <d v="2012-03-22T00:00:00"/>
    <s v="Y"/>
    <s v="SURETYPTRc"/>
    <s v="GUILTY PLEA - NO JURY"/>
    <n v="12"/>
    <n v="160"/>
    <n v="1"/>
    <n v="0"/>
    <m/>
    <n v="1"/>
    <m/>
    <m/>
    <m/>
    <m/>
    <m/>
    <s v="S"/>
    <m/>
    <d v="1973-07-29T00:00:00"/>
    <s v="M"/>
    <s v="H"/>
    <s v="HISPANIC"/>
    <s v="NULL"/>
    <s v="183"/>
    <s v="CONVICTED"/>
    <n v="9"/>
    <s v="HCJ"/>
    <m/>
    <m/>
    <n v="22"/>
    <s v="BURGLARY OF HABITATION"/>
    <m/>
    <s v="F2"/>
    <s v="BURGLARY"/>
    <m/>
    <s v="REV 5/30/12 "/>
    <m/>
    <m/>
    <s v="Y"/>
    <m/>
    <m/>
    <m/>
    <m/>
    <s v="Hired Attorney"/>
    <m/>
    <m/>
    <n v="12"/>
    <n v="155"/>
    <n v="160"/>
    <n v="38.549180327868854"/>
    <n v="0"/>
    <n v="-152"/>
    <s v="CONVICTION"/>
    <x v="1"/>
    <s v="Y"/>
    <m/>
    <s v="CONVICTION"/>
    <s v="Y"/>
    <x v="1"/>
    <x v="0"/>
    <s v="Y"/>
    <n v="7.4999999999999997E-2"/>
    <n v="1.935483870967742E-2"/>
    <n v="-5.5645161290322577E-2"/>
    <n v="0"/>
    <n v="-3"/>
    <n v="9"/>
    <n v="3"/>
    <n v="12"/>
    <m/>
    <n v="152"/>
    <m/>
    <m/>
    <s v="Y"/>
    <m/>
    <s v="11-30 DAYS"/>
    <n v="2"/>
    <x v="0"/>
  </r>
  <r>
    <n v="2485"/>
    <s v="N"/>
    <s v="N"/>
    <n v="2095369"/>
    <n v="2"/>
    <d v="2012-04-03T00:00:00"/>
    <d v="2012-04-05T00:00:00"/>
    <n v="2095369"/>
    <d v="2012-04-04T00:00:00"/>
    <d v="2012-04-05T00:00:00"/>
    <n v="2000"/>
    <x v="5"/>
    <d v="2012-04-05T00:00:00"/>
    <s v="Y"/>
    <s v="SURETY"/>
    <s v="DEFERRED ADJUDICATION "/>
    <n v="2"/>
    <n v="3"/>
    <n v="1"/>
    <n v="4"/>
    <m/>
    <m/>
    <m/>
    <m/>
    <m/>
    <m/>
    <m/>
    <m/>
    <m/>
    <d v="1987-01-17T00:00:00"/>
    <s v="F"/>
    <s v="H"/>
    <s v="HISPANIC"/>
    <s v="HISPANIC"/>
    <s v="228"/>
    <s v="DEFERRED"/>
    <n v="1"/>
    <s v="DEFERRED"/>
    <m/>
    <m/>
    <m/>
    <s v="THEFT UNDER $1500 - 3RD OFF."/>
    <m/>
    <s v="FS"/>
    <s v="THEFT"/>
    <m/>
    <m/>
    <m/>
    <m/>
    <m/>
    <m/>
    <m/>
    <m/>
    <m/>
    <s v="Appointed Attorney"/>
    <m/>
    <m/>
    <n v="2"/>
    <n v="2"/>
    <n v="3"/>
    <n v="25.15846994535519"/>
    <n v="0"/>
    <n v="0"/>
    <s v="DEFERRED"/>
    <x v="1"/>
    <s v="Y"/>
    <m/>
    <s v="DEFERRED"/>
    <s v="Y"/>
    <x v="1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2417"/>
    <s v="N"/>
    <s v="N"/>
    <n v="2096144"/>
    <n v="5"/>
    <d v="2012-04-01T00:00:00"/>
    <d v="2012-04-02T00:00:00"/>
    <n v="2096144"/>
    <d v="2012-04-01T00:00:00"/>
    <d v="2012-04-02T00:00:00"/>
    <n v="10000"/>
    <x v="3"/>
    <m/>
    <s v="N"/>
    <s v="NONE"/>
    <s v="GUILTY PLEA - NO JURY"/>
    <n v="2"/>
    <n v="2"/>
    <n v="1"/>
    <n v="2"/>
    <m/>
    <m/>
    <m/>
    <m/>
    <m/>
    <m/>
    <m/>
    <m/>
    <m/>
    <d v="1982-07-05T00:00:00"/>
    <s v="M"/>
    <s v="H"/>
    <s v="HISPANIC"/>
    <s v="HISPANIC"/>
    <s v="184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2"/>
    <n v="2"/>
    <n v="2"/>
    <n v="29.680327868852459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2243"/>
    <s v="N"/>
    <s v="N"/>
    <n v="2096953"/>
    <n v="5"/>
    <d v="2012-03-25T00:00:00"/>
    <d v="2012-04-09T00:00:00"/>
    <n v="2096953"/>
    <d v="2012-03-25T00:00:00"/>
    <d v="2012-04-09T00:00:00"/>
    <s v="NO BOND"/>
    <x v="1"/>
    <m/>
    <s v="N"/>
    <s v="NONE"/>
    <s v="GUILTY PLEA - NO JURY"/>
    <n v="16"/>
    <n v="16"/>
    <n v="0"/>
    <n v="2"/>
    <m/>
    <m/>
    <m/>
    <m/>
    <m/>
    <m/>
    <m/>
    <m/>
    <m/>
    <d v="1968-12-05T00:00:00"/>
    <s v="F"/>
    <s v="W"/>
    <s v="WHITE"/>
    <s v="NON-HISPANIC"/>
    <s v="339"/>
    <s v="CONVICTED"/>
    <n v="3"/>
    <s v="STJ"/>
    <m/>
    <n v="8"/>
    <m/>
    <s v="THEFT UNDER $1500 - 3RD OFF."/>
    <m/>
    <s v="FS"/>
    <s v="THEFT"/>
    <m/>
    <m/>
    <m/>
    <m/>
    <m/>
    <m/>
    <m/>
    <m/>
    <m/>
    <s v="Hired Attorney"/>
    <m/>
    <m/>
    <n v="16"/>
    <n v="16"/>
    <n v="16"/>
    <n v="43.213114754098363"/>
    <n v="0"/>
    <n v="0"/>
    <s v="CONVICTION"/>
    <x v="0"/>
    <s v="N"/>
    <m/>
    <s v="CONVICTION"/>
    <s v="Y"/>
    <x v="0"/>
    <x v="0"/>
    <s v="N"/>
    <n v="1"/>
    <n v="1"/>
    <n v="0"/>
    <n v="0"/>
    <n v="-16"/>
    <n v="0"/>
    <n v="16"/>
    <e v="#VALUE!"/>
    <n v="16"/>
    <n v="0"/>
    <m/>
    <m/>
    <s v="Y"/>
    <m/>
    <s v="11-30 DAYS"/>
    <n v="2"/>
    <x v="0"/>
  </r>
  <r>
    <n v="1434"/>
    <s v="N"/>
    <s v="N"/>
    <n v="2098179"/>
    <n v="5"/>
    <d v="2012-02-22T00:00:00"/>
    <d v="2012-03-13T00:00:00"/>
    <n v="2098179"/>
    <d v="2012-02-22T00:00:00"/>
    <d v="2012-03-13T00:00:00"/>
    <n v="30000"/>
    <x v="2"/>
    <m/>
    <s v="N"/>
    <s v="NONE"/>
    <s v="GUILTY PLEA - NO JURY"/>
    <n v="21"/>
    <n v="21"/>
    <n v="2"/>
    <n v="8"/>
    <n v="2"/>
    <m/>
    <m/>
    <m/>
    <m/>
    <m/>
    <m/>
    <m/>
    <m/>
    <d v="1987-06-26T00:00:00"/>
    <s v="M"/>
    <s v="W"/>
    <s v="WHITE"/>
    <s v="NON-HISPANIC"/>
    <s v="184"/>
    <s v="CONVICTED"/>
    <n v="2"/>
    <s v="STJ"/>
    <m/>
    <n v="6"/>
    <m/>
    <s v="FORGERY"/>
    <m/>
    <s v="FS"/>
    <s v="OTHER FEL"/>
    <m/>
    <m/>
    <m/>
    <m/>
    <m/>
    <m/>
    <m/>
    <m/>
    <m/>
    <s v="Appointed Attorney"/>
    <m/>
    <m/>
    <n v="21"/>
    <n v="21"/>
    <n v="21"/>
    <n v="24.60928961748634"/>
    <n v="0"/>
    <n v="0"/>
    <s v="CONVICTION"/>
    <x v="0"/>
    <s v="N"/>
    <m/>
    <s v="CONVICTION"/>
    <s v="Y"/>
    <x v="0"/>
    <x v="0"/>
    <s v="Y"/>
    <n v="1"/>
    <n v="1"/>
    <n v="0"/>
    <n v="0"/>
    <n v="-21"/>
    <n v="0"/>
    <n v="21"/>
    <e v="#VALUE!"/>
    <n v="21"/>
    <n v="0"/>
    <m/>
    <m/>
    <s v="Y"/>
    <m/>
    <s v="11-30 DAYS"/>
    <n v="2"/>
    <x v="0"/>
  </r>
  <r>
    <n v="268"/>
    <s v="N"/>
    <s v="N"/>
    <n v="2098614"/>
    <n v="2"/>
    <d v="2012-01-12T00:00:00"/>
    <d v="2012-01-13T00:00:00"/>
    <n v="2098614"/>
    <d v="2012-01-12T00:00:00"/>
    <d v="2012-01-13T00:00:00"/>
    <n v="2000"/>
    <x v="5"/>
    <m/>
    <s v="N"/>
    <s v="NONE"/>
    <s v="DEFERRED ADJUDICATION "/>
    <n v="2"/>
    <n v="2"/>
    <n v="0"/>
    <n v="2"/>
    <m/>
    <m/>
    <m/>
    <m/>
    <m/>
    <m/>
    <m/>
    <m/>
    <m/>
    <d v="1986-04-06T00:00:00"/>
    <s v="M"/>
    <s v="B"/>
    <s v="BLACK"/>
    <s v="NON-HISPANIC"/>
    <s v="182"/>
    <s v="DEFERRED"/>
    <n v="1"/>
    <s v="DEFERRED"/>
    <m/>
    <m/>
    <m/>
    <s v="FORGERY"/>
    <m/>
    <s v="FS"/>
    <s v="OTHER FEL"/>
    <m/>
    <m/>
    <m/>
    <m/>
    <m/>
    <m/>
    <m/>
    <m/>
    <m/>
    <s v="Appointed Attorney"/>
    <m/>
    <m/>
    <n v="2"/>
    <n v="2"/>
    <n v="2"/>
    <n v="25.715846994535518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845"/>
    <s v="N"/>
    <s v="N"/>
    <n v="2099528"/>
    <n v="6"/>
    <d v="2012-02-01T00:00:00"/>
    <d v="2012-07-18T00:00:00"/>
    <n v="2099528"/>
    <d v="2012-02-02T00:00:00"/>
    <d v="2012-07-18T00:00:00"/>
    <n v="20000"/>
    <x v="0"/>
    <m/>
    <s v="N"/>
    <s v="NONE"/>
    <s v="GUILTY PLEA - NO JURY"/>
    <n v="168"/>
    <n v="169"/>
    <n v="1"/>
    <n v="1"/>
    <m/>
    <m/>
    <m/>
    <m/>
    <m/>
    <m/>
    <m/>
    <s v="S"/>
    <m/>
    <d v="1982-09-23T00:00:00"/>
    <s v="M"/>
    <s v="H"/>
    <s v="HISPANIC"/>
    <s v="NULL"/>
    <s v="174"/>
    <s v="CONVICTED"/>
    <n v="6"/>
    <s v="TDC"/>
    <n v="6"/>
    <m/>
    <m/>
    <s v="POSS WIM/D GP 3/4 CS- 200-399G"/>
    <m/>
    <s v="F1"/>
    <s v="SALE DRUG"/>
    <m/>
    <m/>
    <m/>
    <m/>
    <m/>
    <m/>
    <m/>
    <m/>
    <m/>
    <s v="Hired Attorney"/>
    <m/>
    <m/>
    <n v="168"/>
    <n v="168"/>
    <n v="169"/>
    <n v="29.297814207650273"/>
    <n v="0"/>
    <n v="0"/>
    <s v="CONVICTION"/>
    <x v="0"/>
    <s v="N"/>
    <m/>
    <s v="CONVICTION"/>
    <s v="Y"/>
    <x v="0"/>
    <x v="0"/>
    <s v="Y"/>
    <n v="0.99408284023668636"/>
    <n v="1"/>
    <n v="5.9171597633136397E-3"/>
    <n v="0"/>
    <n v="-168"/>
    <n v="0"/>
    <n v="168"/>
    <e v="#VALUE!"/>
    <n v="168"/>
    <n v="0"/>
    <m/>
    <m/>
    <s v="Y"/>
    <m/>
    <s v="121-365 DAYS"/>
    <n v="6"/>
    <x v="0"/>
  </r>
  <r>
    <n v="61"/>
    <s v="N"/>
    <s v="N"/>
    <n v="2099552"/>
    <n v="6"/>
    <d v="2012-01-04T00:00:00"/>
    <d v="2012-04-19T00:00:00"/>
    <n v="2099552"/>
    <d v="2012-01-04T00:00:00"/>
    <d v="2012-04-19T00:00:00"/>
    <n v="20000"/>
    <x v="0"/>
    <m/>
    <s v="N"/>
    <s v="NONE"/>
    <s v="GUILTY PLEA - NO JURY"/>
    <n v="107"/>
    <n v="107"/>
    <n v="1"/>
    <n v="4"/>
    <n v="2"/>
    <m/>
    <m/>
    <m/>
    <m/>
    <m/>
    <m/>
    <m/>
    <m/>
    <d v="1986-03-10T00:00:00"/>
    <s v="M"/>
    <s v="B"/>
    <s v="BLACK"/>
    <s v="NON-HISPANIC"/>
    <s v="339"/>
    <s v="CONVICTED"/>
    <n v="5"/>
    <s v="TDC"/>
    <n v="3"/>
    <m/>
    <m/>
    <s v="POSS CS PG 1 4G - 200G"/>
    <m/>
    <s v="F2"/>
    <s v="POSS DRUG"/>
    <m/>
    <m/>
    <m/>
    <m/>
    <m/>
    <m/>
    <m/>
    <m/>
    <m/>
    <s v="Public Defender"/>
    <m/>
    <m/>
    <n v="107"/>
    <n v="107"/>
    <n v="107"/>
    <n v="25.76775956284153"/>
    <n v="0"/>
    <n v="0"/>
    <s v="CONVICTION"/>
    <x v="0"/>
    <s v="N"/>
    <m/>
    <s v="CONVICTION"/>
    <s v="Y"/>
    <x v="0"/>
    <x v="0"/>
    <s v="Y"/>
    <n v="1"/>
    <n v="1"/>
    <n v="0"/>
    <n v="0"/>
    <n v="-107"/>
    <n v="0"/>
    <n v="107"/>
    <e v="#VALUE!"/>
    <n v="107"/>
    <n v="0"/>
    <m/>
    <m/>
    <s v="Y"/>
    <m/>
    <s v="91-120 DAYS"/>
    <n v="0"/>
    <x v="0"/>
  </r>
  <r>
    <n v="1560"/>
    <s v="N"/>
    <s v="N"/>
    <n v="2100411"/>
    <n v="5"/>
    <d v="2012-02-28T00:00:00"/>
    <d v="2012-02-29T00:00:00"/>
    <n v="2100411"/>
    <d v="2012-02-28T00:00:00"/>
    <d v="2012-02-29T00:00:00"/>
    <n v="15000"/>
    <x v="0"/>
    <m/>
    <s v="N"/>
    <s v="NONE"/>
    <s v="GUILTY PLEA - NO JURY"/>
    <n v="2"/>
    <n v="2"/>
    <n v="4"/>
    <n v="6"/>
    <n v="3"/>
    <m/>
    <m/>
    <m/>
    <m/>
    <m/>
    <m/>
    <m/>
    <m/>
    <d v="1987-06-01T00:00:00"/>
    <s v="M"/>
    <s v="B"/>
    <s v="BLACK"/>
    <s v="NON-HISPANIC"/>
    <s v="351"/>
    <s v="CONVICTED"/>
    <n v="1"/>
    <s v="STJ"/>
    <m/>
    <n v="7"/>
    <m/>
    <s v="POSS CS PG 1 &lt;1G"/>
    <m/>
    <s v="FS"/>
    <s v="POSS DRUG"/>
    <m/>
    <m/>
    <m/>
    <m/>
    <m/>
    <m/>
    <m/>
    <m/>
    <m/>
    <s v="Appointed Attorney"/>
    <m/>
    <m/>
    <n v="2"/>
    <n v="2"/>
    <n v="2"/>
    <n v="24.693989071038253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1623"/>
    <s v="N"/>
    <s v="N"/>
    <n v="2100489"/>
    <n v="6"/>
    <d v="2012-03-01T00:00:00"/>
    <d v="2012-06-29T00:00:00"/>
    <n v="2100489"/>
    <d v="2012-03-01T00:00:00"/>
    <d v="2012-06-29T00:00:00"/>
    <n v="10000"/>
    <x v="3"/>
    <m/>
    <s v="N"/>
    <s v="NONE"/>
    <s v="GUILTY PLEA - NO JURY"/>
    <n v="121"/>
    <n v="121"/>
    <n v="2"/>
    <n v="0"/>
    <m/>
    <m/>
    <m/>
    <m/>
    <m/>
    <m/>
    <m/>
    <m/>
    <m/>
    <d v="1954-04-06T00:00:00"/>
    <s v="M"/>
    <s v="W"/>
    <s v="WHITE"/>
    <s v="NON-HISPANIC"/>
    <s v="182"/>
    <s v="CONVICTED"/>
    <n v="4"/>
    <s v="TDC"/>
    <n v="2"/>
    <m/>
    <m/>
    <s v="DWI 3RD OFFENDER BAC .08"/>
    <m/>
    <s v="F3"/>
    <s v="FEL DWI"/>
    <m/>
    <m/>
    <m/>
    <m/>
    <m/>
    <m/>
    <m/>
    <m/>
    <m/>
    <s v="Appointed Attorney"/>
    <m/>
    <m/>
    <n v="121"/>
    <n v="121"/>
    <n v="121"/>
    <n v="57.784153005464482"/>
    <n v="0"/>
    <n v="0"/>
    <s v="CONVICTION"/>
    <x v="0"/>
    <s v="N"/>
    <m/>
    <s v="CONVICTION"/>
    <s v="Y"/>
    <x v="0"/>
    <x v="0"/>
    <s v="Y"/>
    <n v="1"/>
    <n v="1"/>
    <n v="0"/>
    <n v="0"/>
    <n v="-121"/>
    <n v="0"/>
    <n v="121"/>
    <e v="#VALUE!"/>
    <n v="121"/>
    <n v="0"/>
    <m/>
    <m/>
    <s v="Y"/>
    <m/>
    <s v="121-365 DAYS"/>
    <n v="6"/>
    <x v="0"/>
  </r>
  <r>
    <n v="1300"/>
    <s v="N"/>
    <s v="N"/>
    <n v="2101000"/>
    <n v="6"/>
    <d v="2012-02-17T00:00:00"/>
    <d v="2012-10-02T00:00:00"/>
    <n v="2101000"/>
    <d v="2012-02-17T00:00:00"/>
    <d v="2012-02-19T00:00:00"/>
    <n v="70000"/>
    <x v="2"/>
    <d v="2012-02-19T00:00:00"/>
    <s v="Y"/>
    <s v="SURETY"/>
    <s v="GUILTY PLEA - NO JURY"/>
    <n v="3"/>
    <n v="229"/>
    <n v="3"/>
    <n v="3"/>
    <n v="1"/>
    <m/>
    <m/>
    <m/>
    <m/>
    <m/>
    <m/>
    <m/>
    <m/>
    <d v="1987-04-04T00:00:00"/>
    <s v="M"/>
    <s v="B"/>
    <s v="BLACK"/>
    <s v="NON-HISPANIC"/>
    <s v="176"/>
    <s v="CONVICTED"/>
    <n v="8"/>
    <s v="TDC"/>
    <n v="3"/>
    <m/>
    <m/>
    <s v="MAN/DEL CS PG III/IV 200-400 G"/>
    <m/>
    <s v="F1"/>
    <s v="SALE DRUG"/>
    <m/>
    <m/>
    <m/>
    <m/>
    <m/>
    <m/>
    <m/>
    <m/>
    <m/>
    <s v="Hired Attorney"/>
    <m/>
    <m/>
    <n v="3"/>
    <n v="229"/>
    <n v="229"/>
    <n v="24.8224043715847"/>
    <n v="0"/>
    <n v="-226"/>
    <s v="CONVICTION"/>
    <x v="1"/>
    <s v="Y"/>
    <m/>
    <s v="CONVICTION"/>
    <s v="Y"/>
    <x v="1"/>
    <x v="0"/>
    <s v="Y"/>
    <n v="1.3100436681222707E-2"/>
    <n v="1.3100436681222707E-2"/>
    <n v="0"/>
    <n v="0"/>
    <n v="-3"/>
    <n v="0"/>
    <n v="3"/>
    <e v="#VALUE!"/>
    <n v="3"/>
    <n v="0"/>
    <m/>
    <m/>
    <s v="Y"/>
    <m/>
    <s v="0-10 DAYS"/>
    <n v="1"/>
    <x v="0"/>
  </r>
  <r>
    <n v="1143"/>
    <s v="N"/>
    <s v="N"/>
    <n v="2101815"/>
    <n v="2"/>
    <d v="2012-02-11T00:00:00"/>
    <d v="2012-02-13T00:00:00"/>
    <n v="2101815"/>
    <d v="2012-02-11T00:00:00"/>
    <d v="2012-02-13T00:00:00"/>
    <n v="2000"/>
    <x v="5"/>
    <m/>
    <s v="N"/>
    <s v="NONE"/>
    <s v="DEFERRED ADJUDICATION "/>
    <n v="3"/>
    <n v="3"/>
    <n v="0"/>
    <n v="1"/>
    <m/>
    <m/>
    <m/>
    <m/>
    <m/>
    <m/>
    <m/>
    <m/>
    <m/>
    <d v="1979-10-31T00:00:00"/>
    <s v="M"/>
    <s v="B"/>
    <s v="BLACK"/>
    <s v="NULL"/>
    <s v="179"/>
    <s v="DEFERRED"/>
    <n v="1"/>
    <s v="DEFERRED"/>
    <m/>
    <m/>
    <m/>
    <s v="POSS CS PG 1 &lt;1G"/>
    <m/>
    <s v="FS"/>
    <s v="POSS DRUG"/>
    <s v="def adj revoked 4/16/12 8 mos state jail"/>
    <m/>
    <m/>
    <m/>
    <m/>
    <m/>
    <m/>
    <m/>
    <m/>
    <s v="Appointed Attorney"/>
    <m/>
    <m/>
    <n v="3"/>
    <n v="3"/>
    <n v="3"/>
    <n v="32.215846994535518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951"/>
    <s v="N"/>
    <s v="N"/>
    <n v="2101944"/>
    <n v="2"/>
    <d v="2012-02-04T00:00:00"/>
    <d v="2012-08-27T00:00:00"/>
    <n v="2101944"/>
    <d v="2012-02-16T00:00:00"/>
    <d v="2012-08-27T00:00:00"/>
    <n v="20000"/>
    <x v="0"/>
    <m/>
    <s v="N"/>
    <s v="NONE"/>
    <s v="DEFERRED ADJUDICATION "/>
    <n v="194"/>
    <n v="206"/>
    <n v="1"/>
    <n v="4"/>
    <n v="1"/>
    <m/>
    <m/>
    <m/>
    <m/>
    <m/>
    <m/>
    <m/>
    <m/>
    <d v="1986-08-28T00:00:00"/>
    <s v="M"/>
    <s v="H"/>
    <s v="HISPANIC"/>
    <s v="HISPANIC"/>
    <s v="337"/>
    <s v="DEFERRED"/>
    <n v="11"/>
    <s v="DEFERRED"/>
    <m/>
    <m/>
    <m/>
    <s v="AGG ASLT-SER BOD INJURY"/>
    <m/>
    <s v="F2"/>
    <s v="ASLT-MURDR"/>
    <m/>
    <m/>
    <m/>
    <m/>
    <m/>
    <m/>
    <m/>
    <m/>
    <m/>
    <s v="Hired Attorney"/>
    <m/>
    <m/>
    <n v="194"/>
    <n v="194"/>
    <n v="206"/>
    <n v="25.385245901639344"/>
    <n v="0"/>
    <n v="0"/>
    <s v="DEFERRED"/>
    <x v="0"/>
    <s v="N"/>
    <m/>
    <s v="DEFERRED"/>
    <s v="Y"/>
    <x v="0"/>
    <x v="0"/>
    <s v="Y"/>
    <n v="0.94174757281553401"/>
    <n v="1"/>
    <n v="5.8252427184465994E-2"/>
    <n v="0"/>
    <n v="-194"/>
    <n v="0"/>
    <n v="194"/>
    <e v="#VALUE!"/>
    <n v="194"/>
    <n v="0"/>
    <m/>
    <m/>
    <s v="Y"/>
    <m/>
    <s v="121-365 DAYS"/>
    <n v="6"/>
    <x v="0"/>
  </r>
  <r>
    <n v="389"/>
    <s v="N"/>
    <s v="N"/>
    <n v="2103440"/>
    <n v="6"/>
    <d v="2012-01-17T00:00:00"/>
    <d v="2012-03-13T00:00:00"/>
    <n v="2103440"/>
    <d v="2012-01-17T00:00:00"/>
    <d v="2012-03-13T00:00:00"/>
    <s v="NO BOND"/>
    <x v="1"/>
    <m/>
    <s v="N"/>
    <s v="NONE"/>
    <s v="DEFENDANT CONVICTED ON ANOTHER CHARGE"/>
    <n v="57"/>
    <n v="57"/>
    <n v="1"/>
    <n v="3"/>
    <m/>
    <m/>
    <m/>
    <m/>
    <m/>
    <m/>
    <m/>
    <m/>
    <m/>
    <d v="1986-11-20T00:00:00"/>
    <s v="M"/>
    <s v="W"/>
    <s v="WHITE"/>
    <s v="NON-HISPANIC"/>
    <s v="183"/>
    <s v="CONVICTED"/>
    <n v="5"/>
    <s v="TDC"/>
    <n v="3"/>
    <m/>
    <m/>
    <s v="THEFT $1500-20K conv of robbery"/>
    <m/>
    <s v="FS"/>
    <s v="THEFT"/>
    <m/>
    <m/>
    <m/>
    <m/>
    <m/>
    <m/>
    <m/>
    <m/>
    <m/>
    <s v="Appointed Attorney"/>
    <m/>
    <m/>
    <n v="57"/>
    <n v="57"/>
    <n v="57"/>
    <n v="25.106557377049182"/>
    <n v="0"/>
    <n v="0"/>
    <s v="CONVICTION"/>
    <x v="0"/>
    <s v="N"/>
    <m/>
    <s v="CONVICTION"/>
    <s v="Y"/>
    <x v="0"/>
    <x v="0"/>
    <s v="Y"/>
    <n v="1"/>
    <n v="1"/>
    <n v="0"/>
    <n v="0"/>
    <n v="-57"/>
    <n v="0"/>
    <n v="57"/>
    <e v="#VALUE!"/>
    <n v="57"/>
    <n v="0"/>
    <m/>
    <m/>
    <s v="Y"/>
    <m/>
    <s v="31-60 DAYS"/>
    <n v="3"/>
    <x v="0"/>
  </r>
  <r>
    <n v="2822"/>
    <s v="N"/>
    <s v="N"/>
    <n v="2103534"/>
    <n v="6"/>
    <d v="2012-04-13T00:00:00"/>
    <d v="2012-10-08T00:00:00"/>
    <n v="2103534"/>
    <d v="2012-04-13T00:00:00"/>
    <d v="2012-10-08T00:00:00"/>
    <n v="20000"/>
    <x v="0"/>
    <m/>
    <s v="N"/>
    <s v="NONE"/>
    <s v="GUILTY PLEA - NO JURY"/>
    <n v="179"/>
    <n v="179"/>
    <n v="4"/>
    <n v="3"/>
    <n v="1"/>
    <m/>
    <m/>
    <m/>
    <m/>
    <m/>
    <m/>
    <s v="S"/>
    <m/>
    <d v="1987-08-03T00:00:00"/>
    <s v="M"/>
    <s v="H"/>
    <s v="HISPANIC"/>
    <s v="NULL"/>
    <s v="208"/>
    <s v="CONVICTED"/>
    <n v="7"/>
    <s v="TDC"/>
    <n v="6"/>
    <m/>
    <m/>
    <s v="BURGLARY OF HABITATION"/>
    <m/>
    <s v="F2"/>
    <s v="BURGLARY"/>
    <m/>
    <m/>
    <m/>
    <m/>
    <m/>
    <m/>
    <m/>
    <m/>
    <m/>
    <s v="Hired Attorney"/>
    <m/>
    <m/>
    <n v="179"/>
    <n v="179"/>
    <n v="179"/>
    <n v="24.644808743169399"/>
    <n v="0"/>
    <n v="0"/>
    <s v="CONVICTION"/>
    <x v="0"/>
    <s v="N"/>
    <m/>
    <s v="CONVICTION"/>
    <s v="Y"/>
    <x v="0"/>
    <x v="0"/>
    <s v="Y"/>
    <n v="1"/>
    <n v="1"/>
    <n v="0"/>
    <n v="0"/>
    <n v="-179"/>
    <n v="0"/>
    <n v="179"/>
    <e v="#VALUE!"/>
    <n v="179"/>
    <n v="0"/>
    <m/>
    <m/>
    <s v="Y"/>
    <m/>
    <s v="121-365 DAYS"/>
    <n v="6"/>
    <x v="0"/>
  </r>
  <r>
    <n v="1265"/>
    <s v="N"/>
    <s v="N"/>
    <n v="2105939"/>
    <n v="3"/>
    <d v="2012-02-16T00:00:00"/>
    <d v="2012-03-23T00:00:00"/>
    <n v="2105939"/>
    <d v="2012-02-16T00:00:00"/>
    <d v="2012-03-23T00:00:00"/>
    <n v="15000"/>
    <x v="0"/>
    <m/>
    <s v="N"/>
    <s v="NONE"/>
    <s v="GUILTY PLEA - NO JURY"/>
    <n v="37"/>
    <n v="37"/>
    <n v="4"/>
    <n v="2"/>
    <n v="2"/>
    <m/>
    <m/>
    <m/>
    <m/>
    <m/>
    <m/>
    <m/>
    <m/>
    <d v="1987-08-28T00:00:00"/>
    <s v="M"/>
    <s v="B"/>
    <s v="BLACK"/>
    <s v="NON-HISPANIC"/>
    <s v="337"/>
    <s v="CONVICTED"/>
    <n v="3"/>
    <s v="PROBATION"/>
    <m/>
    <m/>
    <m/>
    <s v="SELL/POSS UNLAB/RCRD&gt;65 RCRD"/>
    <m/>
    <s v="F"/>
    <s v="POSS DRUG"/>
    <m/>
    <m/>
    <m/>
    <m/>
    <m/>
    <m/>
    <m/>
    <m/>
    <m/>
    <s v="Appointed Attorney"/>
    <m/>
    <m/>
    <n v="37"/>
    <n v="37"/>
    <n v="37"/>
    <n v="24.420765027322403"/>
    <n v="0"/>
    <n v="0"/>
    <s v="CONVICTION"/>
    <x v="0"/>
    <s v="N"/>
    <m/>
    <s v="CONVICTION"/>
    <s v="Y"/>
    <x v="0"/>
    <x v="0"/>
    <s v="Y"/>
    <n v="1"/>
    <n v="1"/>
    <n v="0"/>
    <n v="0"/>
    <n v="-37"/>
    <n v="0"/>
    <n v="37"/>
    <e v="#VALUE!"/>
    <n v="37"/>
    <n v="0"/>
    <m/>
    <m/>
    <s v="Y"/>
    <m/>
    <s v="31-60 DAYS"/>
    <n v="3"/>
    <x v="0"/>
  </r>
  <r>
    <n v="3062"/>
    <s v="N"/>
    <s v="N"/>
    <n v="2107008"/>
    <n v="5"/>
    <d v="2012-04-23T00:00:00"/>
    <d v="2012-09-25T00:00:00"/>
    <n v="2107008"/>
    <d v="2012-04-24T00:00:00"/>
    <d v="2012-09-25T00:00:00"/>
    <n v="15000"/>
    <x v="0"/>
    <m/>
    <s v="N"/>
    <s v="NONE"/>
    <s v="GUILTY PLEA - NO JURY"/>
    <n v="155"/>
    <n v="156"/>
    <n v="3"/>
    <n v="6"/>
    <n v="1"/>
    <m/>
    <m/>
    <m/>
    <m/>
    <m/>
    <m/>
    <m/>
    <m/>
    <d v="1987-09-18T00:00:00"/>
    <s v="M"/>
    <s v="B"/>
    <s v="BLACK"/>
    <s v="NULL"/>
    <s v="174"/>
    <s v="CONVICTED"/>
    <n v="8"/>
    <s v="STJ"/>
    <m/>
    <n v="6"/>
    <m/>
    <s v="CREDIT/DEBIT CARD ABUSE"/>
    <m/>
    <s v="FS"/>
    <s v="OTHER FEL"/>
    <m/>
    <m/>
    <m/>
    <m/>
    <m/>
    <m/>
    <m/>
    <m/>
    <m/>
    <s v="Public Defender"/>
    <m/>
    <m/>
    <n v="155"/>
    <n v="155"/>
    <n v="156"/>
    <n v="24.546448087431695"/>
    <n v="0"/>
    <n v="0"/>
    <s v="CONVICTION"/>
    <x v="0"/>
    <s v="N"/>
    <m/>
    <s v="CONVICTION"/>
    <s v="Y"/>
    <x v="0"/>
    <x v="0"/>
    <s v="Y"/>
    <n v="0.99358974358974361"/>
    <n v="1"/>
    <n v="6.4102564102563875E-3"/>
    <n v="0"/>
    <n v="-155"/>
    <n v="0"/>
    <n v="155"/>
    <e v="#VALUE!"/>
    <n v="155"/>
    <n v="0"/>
    <m/>
    <m/>
    <s v="Y"/>
    <m/>
    <s v="121-365 DAYS"/>
    <n v="6"/>
    <x v="0"/>
  </r>
  <r>
    <n v="2252"/>
    <s v="Y"/>
    <s v="Y"/>
    <n v="2107192"/>
    <n v="2"/>
    <d v="2012-03-26T00:00:00"/>
    <d v="2012-07-17T00:00:00"/>
    <n v="2107192"/>
    <d v="2012-03-27T00:00:00"/>
    <d v="2012-03-29T00:00:00"/>
    <n v="5000"/>
    <x v="4"/>
    <d v="2012-03-29T00:00:00"/>
    <s v="Y"/>
    <s v="SURETYPTRc"/>
    <s v="DEFERRED ADJUDICATION "/>
    <n v="31"/>
    <n v="114"/>
    <n v="0"/>
    <n v="4"/>
    <m/>
    <m/>
    <m/>
    <m/>
    <m/>
    <m/>
    <m/>
    <m/>
    <m/>
    <d v="1985-08-30T00:00:00"/>
    <s v="M"/>
    <s v="B"/>
    <s v="BLACK"/>
    <s v="NULL"/>
    <s v="248"/>
    <s v="DEFERRED"/>
    <n v="5"/>
    <s v="DEFERRED"/>
    <m/>
    <m/>
    <m/>
    <s v="ASSAULT-BOD INJ-FAMILY MEMBER"/>
    <m/>
    <s v="F3"/>
    <s v="ASLT-MURDR"/>
    <m/>
    <s v="bd rev 5/25/12"/>
    <m/>
    <m/>
    <s v="Y"/>
    <m/>
    <m/>
    <m/>
    <m/>
    <s v="Appointed Attorney"/>
    <s v="m 12/6/12 tress hcj 12d"/>
    <m/>
    <n v="31"/>
    <n v="113"/>
    <n v="114"/>
    <n v="26.516393442622952"/>
    <n v="0"/>
    <n v="-110"/>
    <s v="DEFERRED"/>
    <x v="1"/>
    <s v="Y"/>
    <m/>
    <s v="DEFERRED"/>
    <s v="Y"/>
    <x v="0"/>
    <x v="0"/>
    <s v="N"/>
    <n v="0.27192982456140352"/>
    <n v="2.6548672566371681E-2"/>
    <n v="-0.24538115199503185"/>
    <n v="0"/>
    <n v="-3"/>
    <n v="28"/>
    <n v="113"/>
    <n v="31"/>
    <n v="113"/>
    <n v="110"/>
    <m/>
    <m/>
    <s v="Y"/>
    <m/>
    <s v="31-60 DAYS"/>
    <n v="3"/>
    <x v="0"/>
  </r>
  <r>
    <n v="1700"/>
    <s v="N"/>
    <s v="N"/>
    <n v="2107832"/>
    <n v="4"/>
    <d v="2012-03-04T00:00:00"/>
    <d v="2013-03-13T00:00:00"/>
    <n v="2107832"/>
    <d v="2012-03-04T00:00:00"/>
    <d v="2012-03-05T00:00:00"/>
    <n v="2000"/>
    <x v="5"/>
    <d v="2012-03-05T00:00:00"/>
    <s v="Y"/>
    <s v="SURETY"/>
    <s v="GUILTY PLEA - NO JURY"/>
    <n v="2"/>
    <n v="375"/>
    <n v="1"/>
    <n v="2"/>
    <m/>
    <m/>
    <m/>
    <m/>
    <m/>
    <m/>
    <m/>
    <m/>
    <m/>
    <d v="1977-02-01T00:00:00"/>
    <s v="F"/>
    <s v="H"/>
    <s v="HISPANIC"/>
    <s v="HISPANIC"/>
    <s v="177"/>
    <s v="CONVICTED"/>
    <n v="9"/>
    <s v="HCJ"/>
    <m/>
    <m/>
    <n v="60"/>
    <s v="ENDANGERING A CHILD"/>
    <m/>
    <s v="FS"/>
    <s v="OTHER FEL"/>
    <s v="fel theft 1/11/13  sent 3/13/13 60 d hcj"/>
    <m/>
    <m/>
    <m/>
    <m/>
    <m/>
    <m/>
    <m/>
    <m/>
    <s v="Appointed Attorney"/>
    <m/>
    <m/>
    <n v="2"/>
    <n v="375"/>
    <n v="375"/>
    <n v="35.013661202185794"/>
    <n v="0"/>
    <n v="-373"/>
    <s v="CONVICTION"/>
    <x v="1"/>
    <s v="Y"/>
    <m/>
    <s v="CONVICTION"/>
    <s v="Y"/>
    <x v="1"/>
    <x v="0"/>
    <s v="Y"/>
    <n v="5.3333333333333332E-3"/>
    <n v="5.3333333333333332E-3"/>
    <n v="0"/>
    <n v="0"/>
    <n v="-2"/>
    <n v="0"/>
    <n v="2"/>
    <e v="#VALUE!"/>
    <n v="2"/>
    <n v="0"/>
    <m/>
    <m/>
    <s v="Y"/>
    <m/>
    <s v="0-10 DAYS"/>
    <n v="1"/>
    <x v="0"/>
  </r>
  <r>
    <n v="2398"/>
    <s v="N"/>
    <s v="N"/>
    <n v="2108064"/>
    <n v="3"/>
    <d v="2012-03-31T00:00:00"/>
    <d v="2012-10-26T00:00:00"/>
    <n v="2108064"/>
    <s v="NOT BOOKED"/>
    <s v="NOT BOOKED"/>
    <n v="5000"/>
    <x v="4"/>
    <d v="2012-04-01T00:00:00"/>
    <s v="Y"/>
    <s v="SURETYPTRc"/>
    <s v="GUILTY PLEA - NO JURY"/>
    <n v="0"/>
    <n v="210"/>
    <n v="0"/>
    <n v="10"/>
    <m/>
    <m/>
    <m/>
    <m/>
    <m/>
    <m/>
    <m/>
    <m/>
    <m/>
    <d v="1986-11-08T00:00:00"/>
    <s v="M"/>
    <s v="W"/>
    <s v="WHITE"/>
    <s v="NULL"/>
    <s v="182"/>
    <s v="CONVICTED"/>
    <n v="8"/>
    <s v="PROBATION"/>
    <m/>
    <m/>
    <n v="10"/>
    <s v="DWI 3RD OFFENDER BAC .08"/>
    <m/>
    <s v="F3"/>
    <s v="FEL DWI"/>
    <m/>
    <m/>
    <m/>
    <m/>
    <m/>
    <m/>
    <m/>
    <m/>
    <m/>
    <s v="Hired Attorney"/>
    <m/>
    <m/>
    <n v="0"/>
    <n v="0"/>
    <n v="210"/>
    <n v="25.34153005464481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499"/>
    <s v="N"/>
    <s v="N"/>
    <n v="2108290"/>
    <n v="2"/>
    <d v="2012-01-20T00:00:00"/>
    <d v="2012-01-25T00:00:00"/>
    <n v="2108290"/>
    <s v="NOT BOOKED"/>
    <s v="NOT BOOKED"/>
    <s v="NO BOND"/>
    <x v="1"/>
    <m/>
    <s v="NO BOND SET - NON ARREST"/>
    <s v="NONE"/>
    <s v="DEFERRED ADJUDICATION "/>
    <n v="0"/>
    <n v="6"/>
    <n v="2"/>
    <n v="2"/>
    <m/>
    <n v="1"/>
    <m/>
    <m/>
    <m/>
    <m/>
    <m/>
    <m/>
    <m/>
    <d v="1986-09-15T00:00:00"/>
    <s v="M"/>
    <s v="B"/>
    <s v="BLACK"/>
    <s v="NON-HISPANIC"/>
    <s v="174"/>
    <s v="DEFERRED"/>
    <n v="2"/>
    <s v="DEFERRED"/>
    <m/>
    <m/>
    <m/>
    <s v="FORGERY"/>
    <m/>
    <s v="FS"/>
    <s v="OTHER FEL"/>
    <m/>
    <m/>
    <m/>
    <m/>
    <m/>
    <m/>
    <m/>
    <m/>
    <m/>
    <s v="Hired Attorney"/>
    <m/>
    <m/>
    <n v="0"/>
    <n v="0"/>
    <n v="6"/>
    <n v="25.295081967213115"/>
    <e v="#VALUE!"/>
    <e v="#VALUE!"/>
    <s v="DEFERRED"/>
    <x v="0"/>
    <s v="N"/>
    <m/>
    <s v="DEFERRED"/>
    <n v="0"/>
    <x v="5"/>
    <x v="0"/>
    <s v="Y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892"/>
    <s v="N"/>
    <s v="N"/>
    <n v="2109395"/>
    <n v="6"/>
    <d v="2012-02-03T00:00:00"/>
    <d v="2012-05-25T00:00:00"/>
    <n v="2109395"/>
    <d v="2012-02-03T00:00:00"/>
    <d v="2012-05-25T00:00:00"/>
    <n v="15000"/>
    <x v="0"/>
    <m/>
    <s v="N"/>
    <s v="NONE"/>
    <s v="GUILTY PLEA - NO JURY"/>
    <n v="113"/>
    <n v="113"/>
    <n v="7"/>
    <n v="7"/>
    <n v="7"/>
    <m/>
    <m/>
    <m/>
    <m/>
    <m/>
    <m/>
    <m/>
    <m/>
    <d v="1986-09-15T00:00:00"/>
    <s v="M"/>
    <s v="H"/>
    <s v="HISPANIC"/>
    <s v="HISPANIC"/>
    <s v="178"/>
    <s v="CONVICTED"/>
    <n v="5"/>
    <s v="TDC"/>
    <n v="1"/>
    <m/>
    <m/>
    <s v="THEFT $1500-20K"/>
    <m/>
    <s v="FS"/>
    <s v="THEFT"/>
    <m/>
    <m/>
    <m/>
    <m/>
    <m/>
    <m/>
    <m/>
    <m/>
    <m/>
    <s v="Appointed Attorney"/>
    <m/>
    <m/>
    <n v="113"/>
    <n v="113"/>
    <n v="113"/>
    <n v="25.333333333333332"/>
    <n v="0"/>
    <n v="0"/>
    <s v="CONVICTION"/>
    <x v="0"/>
    <s v="N"/>
    <m/>
    <s v="CONVICTION"/>
    <s v="Y"/>
    <x v="0"/>
    <x v="0"/>
    <s v="Y"/>
    <n v="1"/>
    <n v="1"/>
    <n v="0"/>
    <n v="0"/>
    <n v="-113"/>
    <n v="0"/>
    <n v="113"/>
    <e v="#VALUE!"/>
    <n v="113"/>
    <n v="0"/>
    <m/>
    <m/>
    <s v="Y"/>
    <m/>
    <s v="91-120 DAYS"/>
    <n v="0"/>
    <x v="0"/>
  </r>
  <r>
    <n v="134"/>
    <s v="N"/>
    <s v="N"/>
    <n v="2110525"/>
    <n v="6"/>
    <d v="2012-01-06T00:00:00"/>
    <d v="2012-05-16T00:00:00"/>
    <n v="2110525"/>
    <d v="2012-01-07T00:00:00"/>
    <d v="2012-01-08T00:00:00"/>
    <n v="10000"/>
    <x v="3"/>
    <d v="2012-01-08T00:00:00"/>
    <s v="Y"/>
    <s v="SURETY"/>
    <s v="GUILTY PLEA - NO JURY"/>
    <n v="2"/>
    <n v="132"/>
    <n v="3"/>
    <n v="3"/>
    <n v="1"/>
    <m/>
    <m/>
    <m/>
    <m/>
    <m/>
    <m/>
    <m/>
    <m/>
    <d v="1987-03-02T00:00:00"/>
    <s v="M"/>
    <s v="B"/>
    <s v="BLACK"/>
    <s v="NON-HISPANIC"/>
    <s v="177"/>
    <s v="CONVICTED"/>
    <n v="5"/>
    <s v="TDC"/>
    <n v="3"/>
    <m/>
    <m/>
    <s v="POSS CS PG 4 28-200 GRAMS"/>
    <m/>
    <s v="F3"/>
    <s v="POSS DRUG"/>
    <m/>
    <m/>
    <m/>
    <m/>
    <m/>
    <m/>
    <m/>
    <m/>
    <m/>
    <s v="Appointed Attorney"/>
    <m/>
    <m/>
    <n v="2"/>
    <n v="131"/>
    <n v="132"/>
    <n v="24.797814207650273"/>
    <n v="0"/>
    <n v="-129"/>
    <s v="CONVICTION"/>
    <x v="1"/>
    <s v="Y"/>
    <m/>
    <s v="CONVICTION"/>
    <s v="Y"/>
    <x v="1"/>
    <x v="0"/>
    <s v="Y"/>
    <n v="1.5151515151515152E-2"/>
    <n v="1.5267175572519083E-2"/>
    <n v="1.1566042100393144E-4"/>
    <n v="0"/>
    <n v="-2"/>
    <n v="0"/>
    <n v="2"/>
    <e v="#VALUE!"/>
    <n v="2"/>
    <n v="0"/>
    <m/>
    <m/>
    <s v="Y"/>
    <m/>
    <s v="0-10 DAYS"/>
    <n v="1"/>
    <x v="0"/>
  </r>
  <r>
    <n v="2162"/>
    <s v="N"/>
    <s v="N"/>
    <n v="2111311"/>
    <n v="6"/>
    <d v="2012-03-22T00:00:00"/>
    <d v="2012-10-12T00:00:00"/>
    <n v="2111311"/>
    <d v="2012-03-22T00:00:00"/>
    <d v="2012-03-24T00:00:00"/>
    <n v="20000"/>
    <x v="0"/>
    <d v="2012-03-24T00:00:00"/>
    <s v="Y"/>
    <s v="SURETYPTRc"/>
    <s v="GUILTY PLEA - NO JURY"/>
    <n v="3"/>
    <n v="205"/>
    <n v="1"/>
    <n v="4"/>
    <m/>
    <m/>
    <m/>
    <m/>
    <m/>
    <m/>
    <m/>
    <m/>
    <m/>
    <d v="1986-08-26T00:00:00"/>
    <s v="M"/>
    <s v="W"/>
    <s v="WHITE"/>
    <s v="NON-HISPANIC"/>
    <s v="183"/>
    <s v="CONVICTED"/>
    <n v="8"/>
    <s v="TDC"/>
    <n v="2"/>
    <m/>
    <m/>
    <s v="POSS CS PG 1  1 - 4 GRAMS"/>
    <m/>
    <s v="F3"/>
    <s v="POSS DRUG"/>
    <s v="bd viol   5/23/12 no act"/>
    <m/>
    <m/>
    <m/>
    <m/>
    <m/>
    <m/>
    <m/>
    <m/>
    <s v="Hired Attorney"/>
    <m/>
    <m/>
    <n v="3"/>
    <n v="205"/>
    <n v="205"/>
    <n v="25.519125683060111"/>
    <n v="0"/>
    <n v="-202"/>
    <s v="CONVICTION"/>
    <x v="1"/>
    <s v="Y"/>
    <m/>
    <s v="CONVICTION"/>
    <s v="Y"/>
    <x v="1"/>
    <x v="0"/>
    <s v="Y"/>
    <n v="1.4634146341463415E-2"/>
    <n v="1.4634146341463415E-2"/>
    <n v="0"/>
    <n v="0"/>
    <n v="-3"/>
    <n v="0"/>
    <n v="3"/>
    <e v="#VALUE!"/>
    <m/>
    <n v="202"/>
    <m/>
    <m/>
    <s v="Y"/>
    <m/>
    <s v="0-10 DAYS"/>
    <n v="1"/>
    <x v="0"/>
  </r>
  <r>
    <n v="132"/>
    <s v="N"/>
    <s v="N"/>
    <n v="2111352"/>
    <n v="5"/>
    <d v="2012-01-06T00:00:00"/>
    <d v="2012-05-22T00:00:00"/>
    <n v="2111352"/>
    <d v="2012-05-04T00:00:00"/>
    <d v="2012-05-22T00:00:00"/>
    <n v="15000"/>
    <x v="0"/>
    <m/>
    <s v="N"/>
    <s v="NONE"/>
    <s v="GUILTY PLEA - NO JURY"/>
    <n v="19"/>
    <n v="138"/>
    <n v="2"/>
    <n v="3"/>
    <n v="1"/>
    <m/>
    <m/>
    <m/>
    <m/>
    <m/>
    <m/>
    <m/>
    <m/>
    <d v="1981-11-22T00:00:00"/>
    <s v="M"/>
    <s v="B"/>
    <s v="BLACK"/>
    <s v="NON-HISPANIC"/>
    <s v="339"/>
    <s v="CONVICTED"/>
    <n v="3"/>
    <s v="STJ"/>
    <m/>
    <n v="7"/>
    <m/>
    <s v="CREDIT/DEBIT CARD ABUSE"/>
    <m/>
    <s v="FS"/>
    <s v="OTHER FEL"/>
    <s v="FRAUD  filed 5/3/12 disp 5/22/12 same as study case"/>
    <m/>
    <m/>
    <m/>
    <m/>
    <m/>
    <m/>
    <m/>
    <m/>
    <s v="Appointed Attorney"/>
    <m/>
    <m/>
    <n v="19"/>
    <n v="19"/>
    <n v="138"/>
    <n v="30.060109289617486"/>
    <n v="0"/>
    <n v="0"/>
    <s v="CONVICTION"/>
    <x v="0"/>
    <s v="N"/>
    <m/>
    <s v="CONVICTION"/>
    <s v="Y"/>
    <x v="0"/>
    <x v="0"/>
    <s v="Y"/>
    <n v="0.13768115942028986"/>
    <n v="1"/>
    <n v="0.8623188405797102"/>
    <n v="0"/>
    <n v="-19"/>
    <n v="0"/>
    <n v="19"/>
    <e v="#VALUE!"/>
    <n v="19"/>
    <n v="0"/>
    <m/>
    <m/>
    <s v="Y"/>
    <m/>
    <s v="11-30 DAYS"/>
    <n v="2"/>
    <x v="0"/>
  </r>
  <r>
    <n v="1828"/>
    <s v="N"/>
    <s v="N"/>
    <n v="2111497"/>
    <n v="6"/>
    <d v="2012-03-08T00:00:00"/>
    <d v="2013-05-30T00:00:00"/>
    <n v="2111497"/>
    <d v="2012-03-09T00:00:00"/>
    <d v="2013-05-30T00:00:00"/>
    <n v="225000"/>
    <x v="2"/>
    <m/>
    <s v="N"/>
    <s v="NONE"/>
    <s v="GUILTY JURY VERDICT"/>
    <n v="448"/>
    <n v="449"/>
    <n v="0"/>
    <n v="2"/>
    <m/>
    <m/>
    <m/>
    <m/>
    <m/>
    <m/>
    <m/>
    <m/>
    <m/>
    <d v="1985-10-03T00:00:00"/>
    <s v="M"/>
    <s v="B"/>
    <s v="BLACK"/>
    <s v="NON-HISPANIC"/>
    <s v="248"/>
    <s v="CONVICTED"/>
    <n v="15"/>
    <s v="TDC"/>
    <n v="99"/>
    <m/>
    <m/>
    <s v="INDECENCY CHILD-TG"/>
    <m/>
    <s v="F2"/>
    <s v="SEX ABUSE"/>
    <s v="APPEAL PEND"/>
    <m/>
    <m/>
    <m/>
    <m/>
    <m/>
    <m/>
    <m/>
    <m/>
    <s v="Appointed Attorney"/>
    <m/>
    <m/>
    <n v="448"/>
    <n v="448"/>
    <n v="449"/>
    <n v="26.374316939890711"/>
    <n v="0"/>
    <n v="0"/>
    <s v="CONVICTION"/>
    <x v="0"/>
    <s v="N"/>
    <m/>
    <s v="CONVICTION"/>
    <s v="Y"/>
    <x v="0"/>
    <x v="0"/>
    <s v="N"/>
    <n v="0.99777282850779514"/>
    <n v="1"/>
    <n v="2.2271714922048602E-3"/>
    <n v="0"/>
    <n v="-448"/>
    <n v="0"/>
    <n v="448"/>
    <e v="#VALUE!"/>
    <n v="448"/>
    <n v="0"/>
    <m/>
    <m/>
    <s v="Y"/>
    <m/>
    <s v=" &gt;1YRS&lt;2YRS"/>
    <n v="0"/>
    <x v="0"/>
  </r>
  <r>
    <n v="547"/>
    <s v="N"/>
    <s v="N"/>
    <n v="2111712"/>
    <n v="6"/>
    <d v="2012-01-22T00:00:00"/>
    <d v="2013-06-10T00:00:00"/>
    <n v="2111712"/>
    <d v="2012-03-14T00:00:00"/>
    <d v="2012-11-20T00:00:00"/>
    <n v="75000"/>
    <x v="2"/>
    <d v="2012-11-20T00:00:00"/>
    <s v="Y"/>
    <s v="SURETY"/>
    <s v="GUILTY PLEA - NO JURY"/>
    <n v="252"/>
    <n v="506"/>
    <n v="4"/>
    <n v="8"/>
    <n v="2"/>
    <m/>
    <m/>
    <m/>
    <m/>
    <m/>
    <m/>
    <m/>
    <m/>
    <d v="1987-06-12T00:00:00"/>
    <s v="M"/>
    <s v="B"/>
    <s v="BLACK"/>
    <s v="NON-HISPANIC"/>
    <s v="337"/>
    <s v="CONVICTED"/>
    <n v="17"/>
    <s v="TDC"/>
    <n v="3"/>
    <m/>
    <m/>
    <s v="AGG ASSAULT W/DEADLY WEAPON"/>
    <m/>
    <s v="F2"/>
    <s v="ASLT-MURDR"/>
    <s v="CONV ON ANOTHER F   BK 2/6/13  ON ROB FILED 1/23/13  SAME TDC DISP &amp; DATE recal det days BUGLARY FILED 03142012"/>
    <m/>
    <m/>
    <m/>
    <m/>
    <m/>
    <m/>
    <m/>
    <m/>
    <s v="Hired Attorney"/>
    <m/>
    <m/>
    <n v="251"/>
    <n v="454"/>
    <n v="506"/>
    <n v="24.562841530054644"/>
    <n v="0"/>
    <n v="-202"/>
    <s v="CONVICTION"/>
    <x v="1"/>
    <s v="N"/>
    <m/>
    <s v="CONVICTION"/>
    <s v="Y"/>
    <x v="1"/>
    <x v="0"/>
    <s v="Y"/>
    <n v="0.49802371541501977"/>
    <n v="0.55506607929515417"/>
    <n v="5.7042363880134395E-2"/>
    <n v="1"/>
    <n v="-252"/>
    <n v="-1"/>
    <n v="252"/>
    <n v="251"/>
    <n v="252"/>
    <n v="1"/>
    <m/>
    <m/>
    <s v="Y"/>
    <m/>
    <s v="121-365 DAYS"/>
    <n v="6"/>
    <x v="0"/>
  </r>
  <r>
    <n v="3131"/>
    <s v="N"/>
    <s v="N"/>
    <n v="2111905"/>
    <n v="1"/>
    <d v="2012-04-25T00:00:00"/>
    <d v="2012-08-09T00:00:00"/>
    <n v="2111905"/>
    <d v="2012-04-26T00:00:00"/>
    <d v="2012-04-29T00:00:00"/>
    <n v="5000"/>
    <x v="4"/>
    <d v="2012-04-29T00:00:00"/>
    <s v="Y"/>
    <s v="SURETY"/>
    <s v="DISMISSED"/>
    <n v="4"/>
    <n v="107"/>
    <n v="2"/>
    <n v="1"/>
    <m/>
    <n v="2"/>
    <m/>
    <m/>
    <m/>
    <m/>
    <m/>
    <m/>
    <m/>
    <d v="1960-01-20T00:00:00"/>
    <s v="M"/>
    <s v="W"/>
    <s v="WHITE"/>
    <s v="NULL"/>
    <s v="232"/>
    <s v="DISMISSED"/>
    <n v="5"/>
    <s v="DISMISSED"/>
    <m/>
    <m/>
    <m/>
    <s v="POSS CS PG 1 &lt;1G"/>
    <m/>
    <s v="FS"/>
    <s v="POSS DRUG"/>
    <m/>
    <m/>
    <m/>
    <m/>
    <m/>
    <m/>
    <m/>
    <m/>
    <m/>
    <s v="Hired Attorney"/>
    <m/>
    <m/>
    <n v="4"/>
    <n v="106"/>
    <n v="107"/>
    <n v="52.155737704918032"/>
    <n v="0"/>
    <n v="-102"/>
    <s v="NO CONVICTION"/>
    <x v="1"/>
    <s v="Y"/>
    <m/>
    <s v="NO CONVICTION"/>
    <s v="Y"/>
    <x v="1"/>
    <x v="0"/>
    <s v="Y"/>
    <n v="3.7383177570093455E-2"/>
    <n v="3.7735849056603772E-2"/>
    <n v="3.5267148651031699E-4"/>
    <n v="0"/>
    <n v="-4"/>
    <n v="0"/>
    <n v="4"/>
    <e v="#VALUE!"/>
    <n v="4"/>
    <n v="0"/>
    <m/>
    <m/>
    <s v="Y"/>
    <m/>
    <s v="0-10 DAYS"/>
    <n v="1"/>
    <x v="0"/>
  </r>
  <r>
    <n v="1859"/>
    <s v="N"/>
    <s v="N"/>
    <n v="2112054"/>
    <n v="6"/>
    <d v="2012-03-09T00:00:00"/>
    <d v="2012-06-15T00:00:00"/>
    <n v="2112054"/>
    <d v="2012-03-10T00:00:00"/>
    <d v="2012-06-15T00:00:00"/>
    <s v="NO BOND"/>
    <x v="1"/>
    <m/>
    <s v="N"/>
    <s v="NONE"/>
    <s v="GUILTY PLEA - NO JURY"/>
    <n v="98"/>
    <n v="99"/>
    <n v="3"/>
    <n v="6"/>
    <n v="2"/>
    <m/>
    <m/>
    <m/>
    <m/>
    <m/>
    <m/>
    <m/>
    <m/>
    <d v="1986-08-18T00:00:00"/>
    <s v="M"/>
    <s v="W"/>
    <s v="WHITE"/>
    <s v="NON-HISPANIC"/>
    <s v="230"/>
    <s v="CONVICTED"/>
    <n v="4"/>
    <s v="TDC"/>
    <n v="20"/>
    <m/>
    <m/>
    <s v="AGG ROBBERY-DEADLY WPN"/>
    <m/>
    <s v="F1"/>
    <s v="ROBBERY"/>
    <m/>
    <m/>
    <m/>
    <m/>
    <m/>
    <m/>
    <m/>
    <m/>
    <m/>
    <s v="Appointed Attorney"/>
    <m/>
    <m/>
    <n v="98"/>
    <n v="98"/>
    <n v="99"/>
    <n v="25.505464480874316"/>
    <n v="0"/>
    <n v="0"/>
    <s v="CONVICTION"/>
    <x v="0"/>
    <s v="N"/>
    <m/>
    <s v="CONVICTION"/>
    <s v="Y"/>
    <x v="0"/>
    <x v="0"/>
    <s v="Y"/>
    <n v="0.98989898989898994"/>
    <n v="1"/>
    <n v="1.0101010101010055E-2"/>
    <n v="0"/>
    <n v="-98"/>
    <n v="0"/>
    <n v="98"/>
    <e v="#VALUE!"/>
    <n v="98"/>
    <n v="0"/>
    <m/>
    <m/>
    <s v="Y"/>
    <m/>
    <s v="91-120 DAYS"/>
    <n v="0"/>
    <x v="0"/>
  </r>
  <r>
    <n v="81"/>
    <s v="Y"/>
    <s v="Y"/>
    <n v="2112169"/>
    <n v="5"/>
    <d v="2012-01-04T00:00:00"/>
    <d v="2013-01-28T00:00:00"/>
    <n v="2112169"/>
    <d v="2012-01-05T00:00:00"/>
    <d v="2012-02-11T00:00:00"/>
    <n v="5000"/>
    <x v="4"/>
    <d v="2012-02-11T00:00:00"/>
    <s v="Y"/>
    <s v="SURETY"/>
    <s v="GUILTY PLEA - NO JURY"/>
    <n v="42"/>
    <n v="391"/>
    <n v="1"/>
    <n v="1"/>
    <n v="1"/>
    <m/>
    <m/>
    <m/>
    <m/>
    <m/>
    <m/>
    <m/>
    <m/>
    <d v="1977-05-01T00:00:00"/>
    <s v="M"/>
    <s v="W"/>
    <s v="WHITE"/>
    <s v="NULL"/>
    <s v="182"/>
    <s v="CONVICTED"/>
    <n v="13"/>
    <s v="STJ"/>
    <m/>
    <n v="7"/>
    <m/>
    <s v="FORGERY GOVT FINANCIAL INST"/>
    <m/>
    <s v="F3"/>
    <s v="OTHER FEL"/>
    <s v="misd theft 7/10/12 20 days hcj JAIL FOR MISD AT FEL DISPOSITION"/>
    <s v=" revoked 7/17/12"/>
    <s v="Y"/>
    <s v="BF4/10/2012"/>
    <s v="Y"/>
    <m/>
    <m/>
    <d v="2012-04-16T00:00:00"/>
    <n v="235"/>
    <s v="Appointed Attorney"/>
    <s v="y  m thft 10/3/12fdrg 90 da"/>
    <m/>
    <n v="42"/>
    <n v="390"/>
    <n v="391"/>
    <n v="34.606557377049178"/>
    <n v="0"/>
    <n v="-352"/>
    <s v="CONVICTION"/>
    <x v="1"/>
    <s v="Y"/>
    <m/>
    <s v="CONVICTION"/>
    <s v="Y"/>
    <x v="0"/>
    <x v="0"/>
    <s v="Y"/>
    <n v="0.10741687979539642"/>
    <n v="9.7435897435897437E-2"/>
    <n v="-9.9809823594989855E-3"/>
    <n v="0"/>
    <n v="-38"/>
    <n v="4"/>
    <n v="390"/>
    <n v="42"/>
    <n v="390"/>
    <n v="352"/>
    <m/>
    <m/>
    <s v="Y"/>
    <m/>
    <s v="31-60 DAYS"/>
    <n v="3"/>
    <x v="0"/>
  </r>
  <r>
    <n v="2951"/>
    <s v="N"/>
    <s v="N"/>
    <n v="2114076"/>
    <n v="6"/>
    <d v="2012-04-18T00:00:00"/>
    <d v="2013-02-11T00:00:00"/>
    <n v="2114076"/>
    <d v="2012-04-19T00:00:00"/>
    <d v="2013-02-11T00:00:00"/>
    <n v="20000"/>
    <x v="0"/>
    <m/>
    <s v="N"/>
    <s v="NONE"/>
    <s v="GUILTY PLEA - NO JURY"/>
    <n v="299"/>
    <n v="300"/>
    <n v="2"/>
    <n v="6"/>
    <n v="1"/>
    <m/>
    <m/>
    <m/>
    <m/>
    <m/>
    <m/>
    <m/>
    <m/>
    <d v="1986-08-19T00:00:00"/>
    <s v="M"/>
    <s v="H"/>
    <s v="HISPANIC"/>
    <s v="HISPANIC"/>
    <s v="182"/>
    <s v="CONVICTED"/>
    <n v="3"/>
    <s v="TDC"/>
    <n v="12"/>
    <m/>
    <m/>
    <s v="ROBBERY-THREATS"/>
    <m/>
    <s v="F2"/>
    <s v="ROBBERY"/>
    <m/>
    <m/>
    <m/>
    <m/>
    <m/>
    <m/>
    <m/>
    <m/>
    <m/>
    <s v="Appointed Attorney"/>
    <m/>
    <m/>
    <n v="299"/>
    <n v="299"/>
    <n v="300"/>
    <n v="25.612021857923498"/>
    <n v="0"/>
    <n v="0"/>
    <s v="CONVICTION"/>
    <x v="0"/>
    <s v="N"/>
    <m/>
    <s v="CONVICTION"/>
    <s v="Y"/>
    <x v="0"/>
    <x v="0"/>
    <s v="Y"/>
    <n v="0.9966666666666667"/>
    <n v="1"/>
    <n v="3.3333333333332993E-3"/>
    <n v="0"/>
    <n v="-299"/>
    <n v="0"/>
    <n v="299"/>
    <e v="#VALUE!"/>
    <n v="299"/>
    <n v="0"/>
    <m/>
    <m/>
    <s v="Y"/>
    <m/>
    <s v="121-365 DAYS"/>
    <n v="6"/>
    <x v="0"/>
  </r>
  <r>
    <n v="1612"/>
    <s v="N"/>
    <s v="N"/>
    <n v="2114088"/>
    <n v="6"/>
    <d v="2012-02-29T00:00:00"/>
    <d v="2012-06-20T00:00:00"/>
    <n v="2114088"/>
    <d v="2012-03-01T00:00:00"/>
    <d v="2012-03-13T00:00:00"/>
    <n v="20000"/>
    <x v="0"/>
    <d v="2012-03-13T00:00:00"/>
    <s v="Y"/>
    <s v="SURETYPTRc"/>
    <s v="GUILTY PLEA - NO JURY"/>
    <n v="13"/>
    <n v="113"/>
    <n v="1"/>
    <n v="4"/>
    <m/>
    <m/>
    <m/>
    <m/>
    <m/>
    <m/>
    <m/>
    <m/>
    <m/>
    <d v="1987-02-14T00:00:00"/>
    <s v="M"/>
    <s v="B"/>
    <s v="BLACK"/>
    <s v="NULL"/>
    <s v="230"/>
    <s v="CONVICTED"/>
    <n v="7"/>
    <s v="TDC"/>
    <n v="4"/>
    <m/>
    <m/>
    <s v="BURGLARY OF HABITATION"/>
    <m/>
    <s v="F2"/>
    <s v="BURGLARY"/>
    <m/>
    <m/>
    <m/>
    <m/>
    <m/>
    <m/>
    <m/>
    <m/>
    <m/>
    <s v="Hired Attorney"/>
    <m/>
    <m/>
    <n v="13"/>
    <n v="112"/>
    <n v="113"/>
    <n v="24.989071038251367"/>
    <n v="0"/>
    <n v="-99"/>
    <s v="CONVICTION"/>
    <x v="1"/>
    <s v="Y"/>
    <m/>
    <s v="CONVICTION"/>
    <s v="Y"/>
    <x v="1"/>
    <x v="0"/>
    <s v="Y"/>
    <n v="0.11504424778761062"/>
    <n v="0.11607142857142858"/>
    <n v="1.0271807838179575E-3"/>
    <n v="0"/>
    <n v="-13"/>
    <n v="0"/>
    <n v="13"/>
    <e v="#VALUE!"/>
    <n v="13"/>
    <n v="0"/>
    <m/>
    <m/>
    <s v="Y"/>
    <m/>
    <s v="11-30 DAYS"/>
    <n v="2"/>
    <x v="0"/>
  </r>
  <r>
    <n v="554"/>
    <s v="N"/>
    <s v="N"/>
    <n v="2114968"/>
    <n v="2"/>
    <d v="2012-01-23T00:00:00"/>
    <d v="2012-06-06T00:00:00"/>
    <n v="2114968"/>
    <d v="2012-01-23T00:00:00"/>
    <d v="2012-01-24T00:00:00"/>
    <n v="2000"/>
    <x v="5"/>
    <d v="2012-01-24T00:00:00"/>
    <s v="Y"/>
    <s v="SURETY"/>
    <s v="DEFERRED ADJUDICATION "/>
    <n v="2"/>
    <n v="136"/>
    <n v="0"/>
    <n v="0"/>
    <m/>
    <m/>
    <m/>
    <m/>
    <m/>
    <m/>
    <m/>
    <m/>
    <m/>
    <d v="1970-02-12T00:00:00"/>
    <s v="M"/>
    <s v="A"/>
    <s v="OTHER"/>
    <s v="NULL"/>
    <s v="232"/>
    <s v="DEFERRED"/>
    <n v="7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136"/>
    <n v="136"/>
    <n v="41.857923497267763"/>
    <n v="0"/>
    <n v="-134"/>
    <s v="DEFERRED"/>
    <x v="1"/>
    <s v="Y"/>
    <m/>
    <s v="DEFERRED"/>
    <s v="Y"/>
    <x v="1"/>
    <x v="0"/>
    <s v="N"/>
    <n v="1.4705882352941176E-2"/>
    <n v="1.4705882352941176E-2"/>
    <n v="0"/>
    <n v="0"/>
    <n v="-2"/>
    <n v="0"/>
    <n v="2"/>
    <e v="#VALUE!"/>
    <n v="2"/>
    <n v="0"/>
    <m/>
    <m/>
    <s v="N"/>
    <m/>
    <s v="0-10 DAYS"/>
    <n v="1"/>
    <x v="0"/>
  </r>
  <r>
    <n v="582"/>
    <s v="N"/>
    <s v="N"/>
    <n v="2115739"/>
    <n v="4"/>
    <d v="2012-01-24T00:00:00"/>
    <d v="2012-03-22T00:00:00"/>
    <n v="2115739"/>
    <d v="2012-01-24T00:00:00"/>
    <d v="2012-01-30T00:00:00"/>
    <n v="5000"/>
    <x v="4"/>
    <d v="2012-01-30T00:00:00"/>
    <s v="Y"/>
    <s v="SURETY"/>
    <s v="GUILTY PLEA - NO JURY"/>
    <n v="7"/>
    <n v="59"/>
    <n v="1"/>
    <n v="6"/>
    <n v="1"/>
    <m/>
    <m/>
    <m/>
    <m/>
    <m/>
    <m/>
    <m/>
    <m/>
    <d v="1987-03-15T00:00:00"/>
    <s v="M"/>
    <s v="B"/>
    <s v="BLACK"/>
    <s v="NON-HISPANIC"/>
    <s v="263"/>
    <s v="CONVICTED"/>
    <n v="4"/>
    <s v="HCJ"/>
    <m/>
    <m/>
    <n v="120"/>
    <s v="POSS CS PG 1 &lt;1G"/>
    <m/>
    <s v="FS"/>
    <s v="POSS DRUG"/>
    <m/>
    <m/>
    <m/>
    <m/>
    <m/>
    <m/>
    <m/>
    <m/>
    <m/>
    <s v="Appointed Attorney"/>
    <m/>
    <m/>
    <n v="7"/>
    <n v="59"/>
    <n v="59"/>
    <n v="24.811475409836067"/>
    <n v="0"/>
    <n v="-52"/>
    <s v="CONVICTION"/>
    <x v="1"/>
    <s v="Y"/>
    <m/>
    <s v="CONVICTION"/>
    <s v="Y"/>
    <x v="1"/>
    <x v="0"/>
    <s v="Y"/>
    <n v="0.11864406779661017"/>
    <n v="0.11864406779661017"/>
    <n v="0"/>
    <n v="0"/>
    <n v="-7"/>
    <n v="0"/>
    <n v="7"/>
    <e v="#VALUE!"/>
    <n v="7"/>
    <n v="0"/>
    <m/>
    <m/>
    <s v="Y"/>
    <m/>
    <s v="0-10 DAYS"/>
    <n v="1"/>
    <x v="0"/>
  </r>
  <r>
    <n v="2804"/>
    <s v="N"/>
    <s v="N"/>
    <n v="2116431"/>
    <n v="6"/>
    <d v="2012-04-13T00:00:00"/>
    <d v="2012-07-18T00:00:00"/>
    <n v="2116431"/>
    <d v="2012-04-13T00:00:00"/>
    <d v="2012-07-18T00:00:00"/>
    <n v="30000"/>
    <x v="2"/>
    <m/>
    <s v="N"/>
    <s v="NONE"/>
    <s v="GUILTY PLEA - NO JURY"/>
    <n v="97"/>
    <n v="97"/>
    <n v="1"/>
    <n v="4"/>
    <m/>
    <m/>
    <m/>
    <m/>
    <m/>
    <m/>
    <m/>
    <m/>
    <m/>
    <d v="1987-11-16T00:00:00"/>
    <s v="M"/>
    <s v="B"/>
    <s v="BLACK"/>
    <s v="NULL"/>
    <s v="185"/>
    <s v="CONVICTED"/>
    <n v="5"/>
    <s v="TDC"/>
    <n v="3"/>
    <m/>
    <m/>
    <s v="AGG ASSAULT-FAMILY MEMBER"/>
    <m/>
    <s v="F2"/>
    <s v="ASLT-MURDR"/>
    <m/>
    <m/>
    <m/>
    <m/>
    <m/>
    <m/>
    <m/>
    <m/>
    <m/>
    <s v="Appointed Attorney"/>
    <m/>
    <m/>
    <n v="97"/>
    <n v="97"/>
    <n v="97"/>
    <n v="24.357923497267759"/>
    <n v="0"/>
    <n v="0"/>
    <s v="CONVICTION"/>
    <x v="0"/>
    <s v="N"/>
    <m/>
    <s v="CONVICTION"/>
    <s v="Y"/>
    <x v="0"/>
    <x v="0"/>
    <s v="Y"/>
    <n v="1"/>
    <n v="1"/>
    <n v="0"/>
    <n v="0"/>
    <n v="-97"/>
    <n v="0"/>
    <n v="97"/>
    <e v="#VALUE!"/>
    <n v="97"/>
    <n v="0"/>
    <m/>
    <m/>
    <s v="Y"/>
    <m/>
    <s v="91-120 DAYS"/>
    <n v="0"/>
    <x v="0"/>
  </r>
  <r>
    <n v="2011"/>
    <s v="N"/>
    <s v="N"/>
    <n v="2116626"/>
    <n v="2"/>
    <d v="2012-03-16T00:00:00"/>
    <d v="2012-08-30T00:00:00"/>
    <n v="2116626"/>
    <s v="NOT BOOKED"/>
    <s v="NOT BOOKED"/>
    <n v="10000"/>
    <x v="3"/>
    <d v="2012-03-22T00:00:00"/>
    <s v="Y"/>
    <s v="SURETY"/>
    <s v="DEFERRED ADJUDICATION "/>
    <n v="0"/>
    <n v="168"/>
    <n v="0"/>
    <n v="1"/>
    <m/>
    <m/>
    <m/>
    <m/>
    <m/>
    <m/>
    <m/>
    <m/>
    <m/>
    <d v="1975-07-18T00:00:00"/>
    <s v="M"/>
    <s v="W"/>
    <s v="WHITE"/>
    <s v="NULL"/>
    <s v="232"/>
    <s v="DEFERRED"/>
    <n v="7"/>
    <s v="DEFERRED"/>
    <m/>
    <m/>
    <m/>
    <s v="BURGLARY OF HABITATION"/>
    <m/>
    <s v="F2"/>
    <s v="BURGLARY"/>
    <m/>
    <m/>
    <m/>
    <m/>
    <m/>
    <m/>
    <m/>
    <m/>
    <m/>
    <s v="Hired Attorney"/>
    <m/>
    <m/>
    <n v="0"/>
    <n v="0"/>
    <n v="168"/>
    <n v="36.587431693989068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2936"/>
    <s v="N"/>
    <s v="N"/>
    <n v="2117761"/>
    <n v="6"/>
    <d v="2012-04-18T00:00:00"/>
    <d v="2012-10-17T00:00:00"/>
    <n v="2117761"/>
    <d v="2012-04-19T00:00:00"/>
    <d v="2012-10-17T00:00:00"/>
    <n v="50000"/>
    <x v="2"/>
    <m/>
    <s v="N"/>
    <s v="NONE"/>
    <s v="GUILTY PLEA - NO JURY"/>
    <n v="182"/>
    <n v="183"/>
    <n v="0"/>
    <n v="1"/>
    <m/>
    <m/>
    <m/>
    <m/>
    <m/>
    <m/>
    <m/>
    <m/>
    <m/>
    <d v="1985-09-17T00:00:00"/>
    <s v="M"/>
    <s v="H"/>
    <s v="HISPANIC"/>
    <s v="HISPANIC"/>
    <s v="228"/>
    <s v="CONVICTED"/>
    <n v="3"/>
    <s v="TDC"/>
    <n v="3"/>
    <m/>
    <m/>
    <s v="INDECENCY CHILD-TB"/>
    <m/>
    <s v="F2"/>
    <s v="SEX ABUSE"/>
    <m/>
    <m/>
    <m/>
    <m/>
    <m/>
    <m/>
    <m/>
    <m/>
    <m/>
    <s v="Public Defender"/>
    <m/>
    <m/>
    <n v="182"/>
    <n v="182"/>
    <n v="183"/>
    <n v="26.530054644808743"/>
    <n v="0"/>
    <n v="0"/>
    <s v="CONVICTION"/>
    <x v="0"/>
    <s v="N"/>
    <m/>
    <s v="CONVICTION"/>
    <s v="Y"/>
    <x v="0"/>
    <x v="0"/>
    <s v="N"/>
    <n v="0.99453551912568305"/>
    <n v="1"/>
    <n v="5.464480874316946E-3"/>
    <n v="0"/>
    <n v="-182"/>
    <n v="0"/>
    <n v="182"/>
    <e v="#VALUE!"/>
    <n v="182"/>
    <n v="0"/>
    <m/>
    <m/>
    <s v="Y"/>
    <m/>
    <s v="121-365 DAYS"/>
    <n v="6"/>
    <x v="0"/>
  </r>
  <r>
    <n v="1329"/>
    <s v="N"/>
    <s v="N"/>
    <n v="2119273"/>
    <n v="5"/>
    <d v="2012-02-17T00:00:00"/>
    <d v="2012-03-13T00:00:00"/>
    <n v="2119273"/>
    <d v="2012-02-18T00:00:00"/>
    <d v="2012-03-13T00:00:00"/>
    <n v="15000"/>
    <x v="0"/>
    <m/>
    <s v="N"/>
    <s v="NONE"/>
    <s v="GUILTY PLEA - NO JURY"/>
    <n v="25"/>
    <n v="26"/>
    <n v="4"/>
    <n v="3"/>
    <n v="3"/>
    <m/>
    <m/>
    <m/>
    <m/>
    <m/>
    <m/>
    <m/>
    <m/>
    <d v="1986-12-26T00:00:00"/>
    <s v="M"/>
    <s v="W"/>
    <s v="WHITE"/>
    <s v="NULL"/>
    <s v="263"/>
    <s v="CONVICTED"/>
    <n v="2"/>
    <s v="STJ"/>
    <m/>
    <n v="14"/>
    <m/>
    <s v="THEFT UNDER $1500 - 3RD OFF."/>
    <m/>
    <s v="FS"/>
    <s v="THEFT"/>
    <m/>
    <m/>
    <m/>
    <m/>
    <m/>
    <m/>
    <m/>
    <m/>
    <m/>
    <s v="Appointed Attorney"/>
    <m/>
    <m/>
    <n v="25"/>
    <n v="25"/>
    <n v="26"/>
    <n v="25.092896174863387"/>
    <n v="0"/>
    <n v="0"/>
    <s v="CONVICTION"/>
    <x v="0"/>
    <s v="N"/>
    <m/>
    <s v="CONVICTION"/>
    <s v="Y"/>
    <x v="0"/>
    <x v="0"/>
    <s v="Y"/>
    <n v="0.96153846153846156"/>
    <n v="1"/>
    <n v="3.8461538461538436E-2"/>
    <n v="0"/>
    <n v="-25"/>
    <n v="0"/>
    <n v="25"/>
    <e v="#VALUE!"/>
    <n v="25"/>
    <n v="0"/>
    <m/>
    <m/>
    <s v="Y"/>
    <m/>
    <s v="11-30 DAYS"/>
    <n v="2"/>
    <x v="0"/>
  </r>
  <r>
    <n v="2304"/>
    <s v="N"/>
    <s v="N"/>
    <n v="2119539"/>
    <n v="2"/>
    <d v="2012-03-28T00:00:00"/>
    <d v="2012-10-17T00:00:00"/>
    <n v="2119539"/>
    <d v="2012-03-28T00:00:00"/>
    <d v="2012-03-29T00:00:00"/>
    <n v="10000"/>
    <x v="3"/>
    <d v="2012-03-29T00:00:00"/>
    <s v="Y"/>
    <s v="SURETY"/>
    <s v="DEFERRED ADJUDICATION "/>
    <n v="2"/>
    <n v="204"/>
    <n v="1"/>
    <n v="0"/>
    <m/>
    <n v="1"/>
    <m/>
    <m/>
    <m/>
    <m/>
    <m/>
    <m/>
    <m/>
    <d v="1985-06-06T00:00:00"/>
    <s v="M"/>
    <s v="B"/>
    <s v="BLACK"/>
    <s v="NON-HISPANIC"/>
    <s v="338"/>
    <s v="DEFERRED"/>
    <n v="9"/>
    <s v="DEFERRED"/>
    <m/>
    <m/>
    <m/>
    <s v="POSS CS PG 1  1 - 4 GRAMS"/>
    <m/>
    <s v="F3"/>
    <s v="POSS DRUG"/>
    <m/>
    <m/>
    <m/>
    <m/>
    <m/>
    <m/>
    <m/>
    <m/>
    <m/>
    <s v="Hired Attorney"/>
    <m/>
    <m/>
    <n v="2"/>
    <n v="204"/>
    <n v="204"/>
    <n v="26.754098360655739"/>
    <n v="0"/>
    <n v="-202"/>
    <s v="DEFERRED"/>
    <x v="1"/>
    <s v="Y"/>
    <m/>
    <s v="DEFERRED"/>
    <s v="Y"/>
    <x v="1"/>
    <x v="0"/>
    <s v="Y"/>
    <n v="9.8039215686274508E-3"/>
    <n v="9.8039215686274508E-3"/>
    <n v="0"/>
    <n v="0"/>
    <n v="-2"/>
    <n v="0"/>
    <n v="2"/>
    <e v="#VALUE!"/>
    <n v="2"/>
    <n v="0"/>
    <m/>
    <m/>
    <s v="Y"/>
    <m/>
    <s v="0-10 DAYS"/>
    <n v="1"/>
    <x v="0"/>
  </r>
  <r>
    <n v="1252"/>
    <s v="N"/>
    <s v="N"/>
    <n v="2121213"/>
    <n v="3"/>
    <d v="2012-02-15T00:00:00"/>
    <d v="2012-06-14T00:00:00"/>
    <n v="2121213"/>
    <d v="2012-02-15T00:00:00"/>
    <d v="2012-02-18T00:00:00"/>
    <n v="5000"/>
    <x v="4"/>
    <d v="2012-02-18T00:00:00"/>
    <s v="Y"/>
    <s v="SURETY"/>
    <s v="GUILTY PLEA - NO JURY"/>
    <n v="6"/>
    <n v="121"/>
    <n v="1"/>
    <n v="2"/>
    <n v="1"/>
    <m/>
    <m/>
    <m/>
    <m/>
    <m/>
    <m/>
    <m/>
    <m/>
    <d v="1986-12-19T00:00:00"/>
    <s v="M"/>
    <s v="H"/>
    <s v="HISPANIC"/>
    <s v="HISPANIC"/>
    <s v="185"/>
    <s v="CONVICTED"/>
    <n v="9"/>
    <s v="PROBATION"/>
    <m/>
    <m/>
    <m/>
    <s v="FELON POSS WPN"/>
    <m/>
    <s v="F3"/>
    <s v="OTHER FEL"/>
    <s v="bd viol 4/16/12 "/>
    <m/>
    <m/>
    <m/>
    <m/>
    <m/>
    <m/>
    <m/>
    <m/>
    <s v="Hired Attorney"/>
    <m/>
    <m/>
    <n v="6"/>
    <n v="121"/>
    <n v="121"/>
    <n v="25.106557377049182"/>
    <n v="0"/>
    <n v="-117"/>
    <s v="CONVICTION"/>
    <x v="1"/>
    <s v="Y"/>
    <m/>
    <s v="CONVICTION"/>
    <s v="Y"/>
    <x v="1"/>
    <x v="0"/>
    <s v="Y"/>
    <n v="4.9586776859504134E-2"/>
    <n v="3.3057851239669422E-2"/>
    <n v="-1.6528925619834711E-2"/>
    <n v="0"/>
    <n v="-4"/>
    <n v="2"/>
    <n v="4"/>
    <e v="#VALUE!"/>
    <m/>
    <n v="117"/>
    <m/>
    <m/>
    <s v="Y"/>
    <m/>
    <s v="0-10 DAYS"/>
    <n v="1"/>
    <x v="0"/>
  </r>
  <r>
    <n v="2127"/>
    <s v="N"/>
    <s v="N"/>
    <n v="2121224"/>
    <n v="5"/>
    <d v="2012-03-20T00:00:00"/>
    <d v="2012-03-23T00:00:00"/>
    <n v="2121224"/>
    <d v="2012-03-21T00:00:00"/>
    <d v="2012-03-23T00:00:00"/>
    <n v="15000"/>
    <x v="0"/>
    <m/>
    <s v="N"/>
    <s v="NONE"/>
    <s v="GUILTY PLEA - NO JURY"/>
    <n v="3"/>
    <n v="4"/>
    <n v="3"/>
    <n v="3"/>
    <n v="2"/>
    <m/>
    <m/>
    <m/>
    <m/>
    <m/>
    <m/>
    <m/>
    <m/>
    <d v="1966-07-12T00:00:00"/>
    <s v="F"/>
    <s v="W"/>
    <s v="WHITE"/>
    <s v="NON-HISPANIC"/>
    <s v="182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4"/>
    <n v="45.595628415300546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m/>
    <m/>
    <s v="Y"/>
    <m/>
    <s v="0-10 DAYS"/>
    <n v="1"/>
    <x v="0"/>
  </r>
  <r>
    <n v="823"/>
    <s v="Y"/>
    <s v="Y"/>
    <n v="2123271"/>
    <n v="5"/>
    <d v="2012-02-01T00:00:00"/>
    <d v="2013-02-05T00:00:00"/>
    <n v="2123271"/>
    <d v="2012-03-09T00:00:00"/>
    <d v="2012-03-17T00:00:00"/>
    <n v="5000"/>
    <x v="4"/>
    <d v="2012-03-17T00:00:00"/>
    <s v="Y"/>
    <s v="SURETY"/>
    <s v="GUILTY PLEA - NO JURY"/>
    <n v="156"/>
    <n v="371"/>
    <n v="2"/>
    <n v="4"/>
    <n v="2"/>
    <m/>
    <m/>
    <m/>
    <m/>
    <m/>
    <m/>
    <m/>
    <m/>
    <d v="1987-06-14T00:00:00"/>
    <s v="M"/>
    <s v="H"/>
    <s v="HISPANIC"/>
    <s v="HISPANIC"/>
    <s v="174"/>
    <s v="CONVICTED"/>
    <n v="11"/>
    <s v="STJ"/>
    <m/>
    <n v="6"/>
    <m/>
    <s v="ATT THEFT-OVER $10000-VEH"/>
    <m/>
    <s v="F3"/>
    <s v="OTHER FEL"/>
    <m/>
    <m/>
    <s v="Y"/>
    <s v=" 5/7/12"/>
    <m/>
    <m/>
    <m/>
    <d v="2013-01-14T00:00:00"/>
    <n v="408"/>
    <s v="Appointed Attorney"/>
    <s v="m interf pub ser 3/11/13"/>
    <m/>
    <n v="156"/>
    <n v="334"/>
    <n v="371"/>
    <n v="24.584699453551913"/>
    <n v="0"/>
    <n v="-325"/>
    <s v="CONVICTION"/>
    <x v="1"/>
    <s v="Y"/>
    <m/>
    <s v="CONVICTION"/>
    <s v="Y"/>
    <x v="0"/>
    <x v="0"/>
    <s v="Y"/>
    <n v="0.42048517520215634"/>
    <n v="2.6946107784431138E-2"/>
    <n v="-0.39353906741772521"/>
    <n v="0"/>
    <n v="-9"/>
    <n v="147"/>
    <n v="334"/>
    <n v="156"/>
    <n v="334"/>
    <n v="325"/>
    <m/>
    <m/>
    <s v="Y"/>
    <m/>
    <s v="121-365 DAYS"/>
    <n v="6"/>
    <x v="0"/>
  </r>
  <r>
    <n v="2705"/>
    <s v="N"/>
    <s v="N"/>
    <n v="2123831"/>
    <n v="6"/>
    <d v="2012-04-10T00:00:00"/>
    <d v="2012-06-19T00:00:00"/>
    <n v="2123831"/>
    <d v="2012-04-11T00:00:00"/>
    <d v="2012-06-19T00:00:00"/>
    <s v="NO BOND"/>
    <x v="1"/>
    <m/>
    <s v="N"/>
    <s v="NONE"/>
    <s v="GUILTY PLEA - NO JURY"/>
    <n v="70"/>
    <n v="71"/>
    <n v="2"/>
    <n v="0"/>
    <n v="1"/>
    <m/>
    <m/>
    <m/>
    <m/>
    <m/>
    <m/>
    <m/>
    <m/>
    <d v="1986-05-18T00:00:00"/>
    <s v="M"/>
    <s v="H"/>
    <s v="HISPANIC"/>
    <s v="HISPANIC"/>
    <s v="182"/>
    <s v="CONVICTED"/>
    <n v="3"/>
    <s v="TDC"/>
    <n v="3"/>
    <m/>
    <m/>
    <s v="BURGLARY OF HABITATION"/>
    <m/>
    <s v="F2"/>
    <s v="BURGLARY"/>
    <s v="misd assault 6/21/12 hcj 144d "/>
    <m/>
    <m/>
    <m/>
    <m/>
    <m/>
    <m/>
    <m/>
    <m/>
    <s v="Appointed Attorney"/>
    <m/>
    <m/>
    <n v="70"/>
    <n v="70"/>
    <n v="71"/>
    <n v="25.844262295081968"/>
    <n v="0"/>
    <n v="0"/>
    <s v="CONVICTION"/>
    <x v="0"/>
    <s v="N"/>
    <m/>
    <s v="CONVICTION"/>
    <s v="Y"/>
    <x v="0"/>
    <x v="0"/>
    <s v="Y"/>
    <n v="0.9859154929577465"/>
    <n v="1"/>
    <n v="1.4084507042253502E-2"/>
    <n v="0"/>
    <n v="-70"/>
    <n v="0"/>
    <n v="70"/>
    <e v="#VALUE!"/>
    <n v="70"/>
    <n v="0"/>
    <m/>
    <m/>
    <s v="Y"/>
    <m/>
    <s v="61-90 DAYS"/>
    <n v="4"/>
    <x v="0"/>
  </r>
  <r>
    <n v="242"/>
    <s v="N"/>
    <s v="N"/>
    <n v="2124206"/>
    <n v="5"/>
    <d v="2012-01-11T00:00:00"/>
    <d v="2012-01-13T00:00:00"/>
    <n v="2124206"/>
    <d v="2012-01-11T00:00:00"/>
    <d v="2012-01-13T00:00:00"/>
    <n v="15000"/>
    <x v="0"/>
    <m/>
    <s v="N"/>
    <s v="NONE"/>
    <s v="GUILTY PLEA - NO JURY"/>
    <n v="3"/>
    <n v="3"/>
    <n v="5"/>
    <n v="5"/>
    <n v="4"/>
    <m/>
    <m/>
    <m/>
    <m/>
    <m/>
    <m/>
    <m/>
    <m/>
    <d v="1987-07-25T00:00:00"/>
    <s v="M"/>
    <s v="B"/>
    <s v="BLACK"/>
    <s v="NULL"/>
    <s v="339"/>
    <s v="CONVICTED"/>
    <n v="2"/>
    <s v="STJ"/>
    <m/>
    <n v="9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24.415300546448087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1671"/>
    <s v="N"/>
    <s v="N"/>
    <n v="2124310"/>
    <n v="6"/>
    <d v="2012-03-02T00:00:00"/>
    <d v="2013-03-01T00:00:00"/>
    <n v="2124310"/>
    <d v="2012-03-02T00:00:00"/>
    <d v="2012-08-05T00:00:00"/>
    <n v="50000"/>
    <x v="2"/>
    <d v="2012-08-05T00:00:00"/>
    <s v="Y"/>
    <s v="SURETY"/>
    <s v="GUILTY  JURY verdict"/>
    <n v="157"/>
    <n v="365"/>
    <n v="0"/>
    <n v="2"/>
    <m/>
    <m/>
    <m/>
    <m/>
    <m/>
    <m/>
    <m/>
    <m/>
    <m/>
    <d v="1967-02-18T00:00:00"/>
    <s v="M"/>
    <s v="H"/>
    <s v="HISPANIC"/>
    <s v="HISPANIC"/>
    <s v="338"/>
    <s v="CONVICTED"/>
    <n v="15"/>
    <s v="TDC"/>
    <n v="50"/>
    <m/>
    <m/>
    <s v="MURDER"/>
    <m/>
    <s v="F1"/>
    <s v="MURD/MANSL"/>
    <m/>
    <m/>
    <m/>
    <m/>
    <m/>
    <m/>
    <m/>
    <m/>
    <m/>
    <s v="Appointed Attorney"/>
    <m/>
    <m/>
    <n v="157"/>
    <n v="365"/>
    <n v="365"/>
    <n v="44.942622950819676"/>
    <n v="0"/>
    <n v="-208"/>
    <s v="CONVICTION"/>
    <x v="1"/>
    <s v="Y"/>
    <m/>
    <s v="CONVICTION"/>
    <s v="Y"/>
    <x v="1"/>
    <x v="0"/>
    <s v="N"/>
    <n v="0.43013698630136987"/>
    <n v="0.43013698630136987"/>
    <n v="0"/>
    <n v="0"/>
    <n v="-157"/>
    <n v="0"/>
    <n v="157"/>
    <e v="#VALUE!"/>
    <n v="157"/>
    <n v="0"/>
    <m/>
    <m/>
    <s v="Y"/>
    <m/>
    <s v="121-365 DAYS"/>
    <n v="6"/>
    <x v="0"/>
  </r>
  <r>
    <n v="350"/>
    <s v="N"/>
    <s v="N"/>
    <n v="2124824"/>
    <n v="2"/>
    <d v="2012-01-14T00:00:00"/>
    <d v="2012-06-13T00:00:00"/>
    <n v="2124824"/>
    <s v="NOT BOOKED"/>
    <s v="NOT BOOKED"/>
    <n v="5000"/>
    <x v="4"/>
    <d v="2012-01-15T00:00:00"/>
    <s v="Y"/>
    <s v="SURETY"/>
    <s v="DEFERRED ADJUDICATION "/>
    <n v="0"/>
    <n v="152"/>
    <n v="1"/>
    <n v="1"/>
    <m/>
    <n v="1"/>
    <m/>
    <m/>
    <m/>
    <m/>
    <m/>
    <m/>
    <m/>
    <d v="1981-01-20T00:00:00"/>
    <s v="F"/>
    <s v="W"/>
    <s v="WHITE"/>
    <s v="NULL"/>
    <s v="180"/>
    <s v="DEFERRED"/>
    <n v="7"/>
    <s v="DEFERR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152"/>
    <n v="30.918032786885245"/>
    <e v="#VALUE!"/>
    <e v="#VALUE!"/>
    <s v="DEFERRED"/>
    <x v="1"/>
    <s v="Y"/>
    <m/>
    <s v="DEFERRED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2503"/>
    <s v="N"/>
    <s v="N"/>
    <n v="2131971"/>
    <n v="1"/>
    <d v="2012-04-04T00:00:00"/>
    <d v="2012-05-07T00:00:00"/>
    <n v="2131971"/>
    <d v="2012-04-04T00:00:00"/>
    <d v="2012-05-07T00:00:00"/>
    <n v="30000"/>
    <x v="2"/>
    <m/>
    <s v="N"/>
    <s v="NONE"/>
    <s v="DISMISSED"/>
    <n v="34"/>
    <n v="34"/>
    <n v="0"/>
    <n v="0"/>
    <m/>
    <m/>
    <m/>
    <m/>
    <m/>
    <m/>
    <m/>
    <m/>
    <m/>
    <d v="1984-08-31T00:00:00"/>
    <s v="M"/>
    <s v="B"/>
    <s v="BLACK"/>
    <s v="NON-HISPANIC"/>
    <s v="232"/>
    <s v="DISMISSED"/>
    <n v="3"/>
    <s v="DISMISSED"/>
    <m/>
    <m/>
    <m/>
    <s v="MAN/DEL CS PG I 1-4 GRAMS"/>
    <m/>
    <s v="F2"/>
    <s v="SALE DRUG"/>
    <m/>
    <m/>
    <m/>
    <m/>
    <m/>
    <m/>
    <m/>
    <m/>
    <m/>
    <s v="Appointed Attorney"/>
    <m/>
    <m/>
    <n v="34"/>
    <n v="34"/>
    <n v="34"/>
    <n v="27.535519125683059"/>
    <n v="0"/>
    <n v="0"/>
    <s v="NO CONVICTION"/>
    <x v="0"/>
    <s v="N"/>
    <m/>
    <s v="NO CONVICTION"/>
    <s v="Y"/>
    <x v="0"/>
    <x v="0"/>
    <s v="N"/>
    <n v="1"/>
    <n v="1"/>
    <n v="0"/>
    <n v="0"/>
    <n v="-34"/>
    <n v="0"/>
    <n v="34"/>
    <e v="#VALUE!"/>
    <n v="34"/>
    <n v="0"/>
    <m/>
    <m/>
    <s v="N"/>
    <m/>
    <s v="31-60 DAYS"/>
    <n v="3"/>
    <x v="0"/>
  </r>
  <r>
    <n v="294"/>
    <s v="N"/>
    <s v="N"/>
    <n v="2134471"/>
    <n v="6"/>
    <d v="2012-01-12T00:00:00"/>
    <d v="2012-07-26T00:00:00"/>
    <n v="2134471"/>
    <d v="2012-01-12T00:00:00"/>
    <d v="2012-07-26T00:00:00"/>
    <s v="NO BOND"/>
    <x v="1"/>
    <m/>
    <s v="N"/>
    <s v="NONE"/>
    <s v="GUILTY PLEA - NO JURY"/>
    <n v="197"/>
    <n v="197"/>
    <n v="5"/>
    <n v="2"/>
    <n v="4"/>
    <m/>
    <m/>
    <m/>
    <m/>
    <m/>
    <m/>
    <m/>
    <m/>
    <d v="1988-02-12T00:00:00"/>
    <s v="M"/>
    <s v="H"/>
    <s v="HISPANIC"/>
    <s v="HISPANIC"/>
    <s v="176"/>
    <s v="CONVICTED"/>
    <n v="6"/>
    <s v="TDC"/>
    <n v="60"/>
    <m/>
    <m/>
    <s v="AGG ROBBERY-DEADLY WPN"/>
    <m/>
    <s v="F1"/>
    <s v="ROBBERY"/>
    <m/>
    <m/>
    <m/>
    <m/>
    <m/>
    <m/>
    <m/>
    <m/>
    <m/>
    <s v="Appointed Attorney"/>
    <m/>
    <m/>
    <n v="197"/>
    <n v="197"/>
    <n v="197"/>
    <n v="23.866120218579233"/>
    <n v="0"/>
    <n v="0"/>
    <s v="CONVICTION"/>
    <x v="0"/>
    <s v="N"/>
    <m/>
    <s v="CONVICTION"/>
    <s v="Y"/>
    <x v="0"/>
    <x v="0"/>
    <s v="Y"/>
    <n v="1"/>
    <n v="1"/>
    <n v="0"/>
    <n v="0"/>
    <n v="-197"/>
    <n v="0"/>
    <n v="197"/>
    <e v="#VALUE!"/>
    <n v="197"/>
    <n v="0"/>
    <m/>
    <m/>
    <s v="Y"/>
    <m/>
    <s v="121-365 DAYS"/>
    <n v="6"/>
    <x v="0"/>
  </r>
  <r>
    <n v="1496"/>
    <s v="N"/>
    <s v="N"/>
    <n v="2134590"/>
    <n v="4"/>
    <d v="2012-02-25T00:00:00"/>
    <d v="2012-05-10T00:00:00"/>
    <n v="2134590"/>
    <d v="2012-02-25T00:00:00"/>
    <d v="2012-05-10T00:00:00"/>
    <n v="10000"/>
    <x v="3"/>
    <m/>
    <s v="N"/>
    <s v="NONE"/>
    <s v="GUILTY PLEA - NO JURY"/>
    <n v="76"/>
    <n v="76"/>
    <n v="3"/>
    <n v="3"/>
    <n v="1"/>
    <m/>
    <m/>
    <m/>
    <m/>
    <m/>
    <m/>
    <m/>
    <m/>
    <d v="1987-07-24T00:00:00"/>
    <s v="M"/>
    <s v="H"/>
    <s v="HISPANIC"/>
    <s v="HISPANIC"/>
    <s v="228"/>
    <s v="CONVICTED"/>
    <n v="6"/>
    <s v="HCJ"/>
    <m/>
    <m/>
    <n v="180"/>
    <s v="ATT POSS CS PG 3 28-200 GRAMS"/>
    <m/>
    <s v="FS"/>
    <s v="POSS DRUG"/>
    <m/>
    <m/>
    <m/>
    <m/>
    <m/>
    <m/>
    <m/>
    <m/>
    <m/>
    <s v="Hired Attorney"/>
    <m/>
    <m/>
    <n v="76"/>
    <n v="76"/>
    <n v="76"/>
    <n v="24.540983606557376"/>
    <n v="0"/>
    <n v="0"/>
    <s v="CONVICTION"/>
    <x v="0"/>
    <s v="N"/>
    <m/>
    <s v="CONVICTION"/>
    <s v="Y"/>
    <x v="0"/>
    <x v="0"/>
    <s v="Y"/>
    <n v="1"/>
    <n v="1"/>
    <n v="0"/>
    <n v="0"/>
    <n v="-76"/>
    <n v="0"/>
    <n v="76"/>
    <e v="#VALUE!"/>
    <n v="76"/>
    <n v="0"/>
    <m/>
    <m/>
    <s v="Y"/>
    <m/>
    <s v="61-90 DAYS"/>
    <n v="4"/>
    <x v="0"/>
  </r>
  <r>
    <n v="1912"/>
    <s v="N"/>
    <s v="N"/>
    <n v="2135422"/>
    <n v="6"/>
    <d v="2012-03-12T00:00:00"/>
    <d v="2012-08-14T00:00:00"/>
    <n v="2135422"/>
    <d v="2012-03-13T00:00:00"/>
    <d v="2012-08-14T00:00:00"/>
    <n v="10000"/>
    <x v="3"/>
    <m/>
    <s v="N"/>
    <s v="NONE"/>
    <s v="GUILTY PLEA - NO JURY"/>
    <n v="155"/>
    <n v="156"/>
    <n v="0"/>
    <n v="2"/>
    <m/>
    <m/>
    <m/>
    <m/>
    <m/>
    <m/>
    <m/>
    <m/>
    <m/>
    <d v="1982-10-26T00:00:00"/>
    <s v="M"/>
    <s v="W"/>
    <s v="WHITE"/>
    <s v="NULL"/>
    <s v="208"/>
    <s v="CONVICTED"/>
    <n v="6"/>
    <s v="TDC"/>
    <n v="8"/>
    <m/>
    <m/>
    <s v="INDECENCY CHILD-TG"/>
    <m/>
    <s v="F2"/>
    <s v="SEX ABUSE"/>
    <m/>
    <m/>
    <m/>
    <m/>
    <m/>
    <m/>
    <m/>
    <m/>
    <m/>
    <s v="Appointed Attorney"/>
    <m/>
    <m/>
    <n v="155"/>
    <n v="155"/>
    <n v="156"/>
    <n v="29.316939890710383"/>
    <n v="0"/>
    <n v="0"/>
    <s v="CONVICTION"/>
    <x v="0"/>
    <s v="N"/>
    <m/>
    <s v="CONVICTION"/>
    <s v="Y"/>
    <x v="0"/>
    <x v="0"/>
    <s v="N"/>
    <n v="0.99358974358974361"/>
    <n v="1"/>
    <n v="6.4102564102563875E-3"/>
    <n v="0"/>
    <n v="-155"/>
    <n v="0"/>
    <n v="155"/>
    <e v="#VALUE!"/>
    <n v="155"/>
    <n v="0"/>
    <m/>
    <m/>
    <s v="Y"/>
    <m/>
    <s v="121-365 DAYS"/>
    <n v="6"/>
    <x v="0"/>
  </r>
  <r>
    <n v="1115"/>
    <s v="N"/>
    <s v="N"/>
    <n v="2137430"/>
    <n v="6"/>
    <d v="2012-02-10T00:00:00"/>
    <d v="2012-08-16T00:00:00"/>
    <n v="2137430"/>
    <d v="2012-02-10T00:00:00"/>
    <d v="2012-02-11T00:00:00"/>
    <n v="10000"/>
    <x v="3"/>
    <d v="2012-02-11T00:00:00"/>
    <s v="Y"/>
    <s v="SURETY"/>
    <s v="GUILTY PLEA - NO JURY"/>
    <n v="2"/>
    <n v="189"/>
    <n v="2"/>
    <n v="0"/>
    <n v="1"/>
    <m/>
    <m/>
    <m/>
    <m/>
    <m/>
    <m/>
    <m/>
    <m/>
    <d v="1985-10-23T00:00:00"/>
    <s v="M"/>
    <s v="B"/>
    <s v="BLACK"/>
    <s v="NULL"/>
    <s v="185"/>
    <s v="CONVICTED"/>
    <n v="12"/>
    <s v="TDC"/>
    <n v="2"/>
    <m/>
    <m/>
    <s v="FELON POSS WPN"/>
    <m/>
    <s v="F3"/>
    <s v="OTHER FEL"/>
    <m/>
    <m/>
    <m/>
    <m/>
    <m/>
    <m/>
    <m/>
    <m/>
    <m/>
    <s v="Hired Attorney"/>
    <m/>
    <m/>
    <n v="2"/>
    <n v="189"/>
    <n v="189"/>
    <n v="26.245901639344261"/>
    <n v="0"/>
    <n v="-187"/>
    <s v="CONVICTION"/>
    <x v="1"/>
    <s v="Y"/>
    <m/>
    <s v="CONVICTION"/>
    <s v="Y"/>
    <x v="1"/>
    <x v="0"/>
    <s v="Y"/>
    <n v="1.0582010582010581E-2"/>
    <n v="1.0582010582010581E-2"/>
    <n v="0"/>
    <n v="0"/>
    <n v="-2"/>
    <n v="0"/>
    <n v="2"/>
    <e v="#VALUE!"/>
    <n v="2"/>
    <n v="0"/>
    <m/>
    <m/>
    <s v="Y"/>
    <m/>
    <s v="0-10 DAYS"/>
    <n v="1"/>
    <x v="0"/>
  </r>
  <r>
    <n v="2534"/>
    <s v="N"/>
    <s v="N"/>
    <n v="2137629"/>
    <n v="6"/>
    <d v="2012-04-04T00:00:00"/>
    <d v="2012-07-26T00:00:00"/>
    <n v="2137629"/>
    <d v="2012-04-06T00:00:00"/>
    <d v="2012-04-14T00:00:00"/>
    <n v="20000"/>
    <x v="0"/>
    <d v="2012-04-14T00:00:00"/>
    <s v="Y"/>
    <s v="SURETY"/>
    <s v="GUILTY PLEA - NO JURY"/>
    <n v="9"/>
    <n v="114"/>
    <n v="2"/>
    <n v="1"/>
    <n v="2"/>
    <m/>
    <m/>
    <m/>
    <m/>
    <m/>
    <m/>
    <m/>
    <m/>
    <d v="1987-10-15T00:00:00"/>
    <s v="M"/>
    <s v="B"/>
    <s v="BLACK"/>
    <s v="NON-HISPANIC"/>
    <s v="183"/>
    <s v="CONVICTED"/>
    <n v="6"/>
    <s v="TDC"/>
    <n v="8"/>
    <m/>
    <m/>
    <s v="ROBBERY-BODILY INJURY"/>
    <m/>
    <s v="F2"/>
    <s v="ROBBERY"/>
    <m/>
    <m/>
    <m/>
    <m/>
    <m/>
    <m/>
    <m/>
    <m/>
    <m/>
    <s v="Appointed Attorney"/>
    <m/>
    <m/>
    <n v="9"/>
    <n v="112"/>
    <n v="114"/>
    <n v="24.420765027322403"/>
    <n v="0"/>
    <n v="-103"/>
    <s v="CONVICTION"/>
    <x v="1"/>
    <s v="Y"/>
    <m/>
    <s v="CONVICTION"/>
    <s v="Y"/>
    <x v="1"/>
    <x v="0"/>
    <s v="Y"/>
    <n v="7.8947368421052627E-2"/>
    <n v="8.0357142857142863E-2"/>
    <n v="1.4097744360902359E-3"/>
    <n v="0"/>
    <n v="-9"/>
    <n v="0"/>
    <n v="9"/>
    <e v="#VALUE!"/>
    <n v="9"/>
    <n v="0"/>
    <m/>
    <m/>
    <s v="Y"/>
    <m/>
    <s v="0-10 DAYS"/>
    <n v="1"/>
    <x v="0"/>
  </r>
  <r>
    <n v="2176"/>
    <s v="N"/>
    <s v="Y"/>
    <n v="2139210"/>
    <n v="1"/>
    <d v="2012-03-22T00:00:00"/>
    <d v="2014-03-24T00:00:00"/>
    <n v="2139210"/>
    <d v="2012-03-27T00:00:00"/>
    <d v="2012-04-08T00:00:00"/>
    <n v="30000"/>
    <x v="2"/>
    <d v="2012-04-08T00:00:00"/>
    <s v="Y"/>
    <s v="SURETY"/>
    <s v="DISMISSED"/>
    <n v="348"/>
    <n v="733"/>
    <n v="3"/>
    <n v="3"/>
    <n v="2"/>
    <m/>
    <m/>
    <m/>
    <m/>
    <m/>
    <m/>
    <m/>
    <m/>
    <d v="1986-03-20T00:00:00"/>
    <s v="M"/>
    <s v="B"/>
    <s v="BLACK"/>
    <s v="NON-HISPANIC"/>
    <s v="174"/>
    <s v="DISMISSED"/>
    <n v="21"/>
    <s v="DISMISSED"/>
    <m/>
    <m/>
    <m/>
    <s v="ASSAULT-BOD INJ-FAMILY MEMBER"/>
    <m/>
    <s v="F3"/>
    <s v="ASLT-MURDR"/>
    <s v="bk 5/18/12 bd9/1/2  bk 7/4/13  pcs filed 7/2/13 detained recal"/>
    <m/>
    <s v="Y"/>
    <d v="2012-05-18T00:00:00"/>
    <m/>
    <m/>
    <d v="2013-07-14T00:00:00"/>
    <d v="2012-06-20T00:00:00"/>
    <n v="235"/>
    <s v="Appointed Attorney"/>
    <s v="F PCS FILED 7/2/13 "/>
    <m/>
    <n v="348"/>
    <n v="728"/>
    <n v="733"/>
    <n v="25.953551912568305"/>
    <n v="0"/>
    <n v="-715"/>
    <s v="NO CONVICTION"/>
    <x v="1"/>
    <s v="N"/>
    <m/>
    <s v="NO CONVICTION"/>
    <s v="Y"/>
    <x v="0"/>
    <x v="0"/>
    <s v="Y"/>
    <n v="0.47476125511596179"/>
    <n v="0.4748"/>
    <n v="0"/>
    <n v="0"/>
    <n v="-13"/>
    <n v="335"/>
    <n v="728"/>
    <e v="#VALUE!"/>
    <n v="348"/>
    <m/>
    <m/>
    <m/>
    <s v="Y"/>
    <e v="#N/A"/>
    <s v="121-365 DAYS"/>
    <n v="6"/>
    <x v="0"/>
  </r>
  <r>
    <n v="2209"/>
    <s v="N"/>
    <s v="N"/>
    <n v="2140161"/>
    <n v="5"/>
    <d v="2012-03-24T00:00:00"/>
    <d v="2012-04-12T00:00:00"/>
    <n v="2140161"/>
    <d v="2012-03-24T00:00:00"/>
    <d v="2012-04-12T00:00:00"/>
    <n v="2000"/>
    <x v="5"/>
    <m/>
    <s v="N"/>
    <s v="NONE"/>
    <s v="GUILTY PLEA - NO JURY"/>
    <n v="20"/>
    <n v="20"/>
    <n v="2"/>
    <n v="2"/>
    <n v="2"/>
    <m/>
    <m/>
    <m/>
    <m/>
    <m/>
    <m/>
    <m/>
    <m/>
    <d v="1970-11-18T00:00:00"/>
    <s v="M"/>
    <s v="W"/>
    <s v="WHITE"/>
    <s v="NON-HISPANIC"/>
    <s v="339"/>
    <s v="CONVICTED"/>
    <n v="2"/>
    <s v="STJ"/>
    <m/>
    <n v="6"/>
    <m/>
    <s v="THEFT UNDER $1500 - 3RD OFF."/>
    <m/>
    <s v="FS"/>
    <s v="THEFT"/>
    <m/>
    <m/>
    <m/>
    <m/>
    <m/>
    <m/>
    <m/>
    <m/>
    <m/>
    <s v="Public Defender"/>
    <m/>
    <m/>
    <n v="20"/>
    <n v="20"/>
    <n v="20"/>
    <n v="41.26229508196721"/>
    <n v="0"/>
    <n v="0"/>
    <s v="CONVICTION"/>
    <x v="0"/>
    <s v="N"/>
    <m/>
    <s v="CONVICTION"/>
    <s v="Y"/>
    <x v="0"/>
    <x v="0"/>
    <s v="Y"/>
    <n v="1"/>
    <n v="1"/>
    <n v="0"/>
    <n v="0"/>
    <n v="-20"/>
    <n v="0"/>
    <n v="20"/>
    <e v="#VALUE!"/>
    <n v="20"/>
    <n v="0"/>
    <m/>
    <m/>
    <s v="Y"/>
    <m/>
    <s v="11-30 DAYS"/>
    <n v="2"/>
    <x v="0"/>
  </r>
  <r>
    <n v="2106"/>
    <s v="N"/>
    <s v="N"/>
    <n v="2140242"/>
    <n v="2"/>
    <d v="2012-03-20T00:00:00"/>
    <d v="2012-08-15T00:00:00"/>
    <n v="2140242"/>
    <d v="2012-03-22T00:00:00"/>
    <d v="2012-03-22T00:00:00"/>
    <n v="2000"/>
    <x v="5"/>
    <d v="2012-03-22T00:00:00"/>
    <s v="Y"/>
    <s v="SURETYPTRc"/>
    <s v="DEFERRED ADJUDICATION "/>
    <n v="1"/>
    <n v="149"/>
    <n v="0"/>
    <n v="0"/>
    <m/>
    <m/>
    <m/>
    <m/>
    <m/>
    <m/>
    <m/>
    <m/>
    <m/>
    <d v="1984-02-04T00:00:00"/>
    <s v="F"/>
    <s v="W"/>
    <s v="WHITE"/>
    <s v="NULL"/>
    <s v="230"/>
    <s v="DEFERRED"/>
    <n v="8"/>
    <s v="DEFERRED"/>
    <m/>
    <m/>
    <m/>
    <s v="CRIM MISCH &gt;=$1500 &lt;$20K"/>
    <m/>
    <s v="FS"/>
    <s v="OTHER FEL"/>
    <m/>
    <m/>
    <m/>
    <m/>
    <m/>
    <m/>
    <m/>
    <m/>
    <m/>
    <s v="Hired Attorney"/>
    <m/>
    <m/>
    <n v="1"/>
    <n v="147"/>
    <n v="149"/>
    <n v="28.065573770491802"/>
    <n v="0"/>
    <n v="-146"/>
    <s v="DEFERRED"/>
    <x v="1"/>
    <s v="Y"/>
    <m/>
    <s v="DEFERRED"/>
    <s v="Y"/>
    <x v="1"/>
    <x v="0"/>
    <s v="N"/>
    <n v="6.7114093959731542E-3"/>
    <n v="6.8027210884353739E-3"/>
    <n v="9.1311692462219679E-5"/>
    <n v="0"/>
    <n v="-1"/>
    <n v="0"/>
    <n v="1"/>
    <e v="#VALUE!"/>
    <n v="1"/>
    <n v="0"/>
    <m/>
    <m/>
    <s v="N"/>
    <m/>
    <s v="0-10 DAYS"/>
    <n v="1"/>
    <x v="0"/>
  </r>
  <r>
    <n v="791"/>
    <s v="N"/>
    <s v="N"/>
    <n v="2141037"/>
    <n v="1"/>
    <d v="2012-01-31T00:00:00"/>
    <d v="2012-05-21T00:00:00"/>
    <n v="2141037"/>
    <d v="2012-02-10T00:00:00"/>
    <d v="2012-03-10T00:00:00"/>
    <n v="50000"/>
    <x v="2"/>
    <d v="2012-03-10T00:00:00"/>
    <s v="Y"/>
    <s v="SURETY"/>
    <s v="NO BILL"/>
    <n v="30"/>
    <n v="112"/>
    <n v="0"/>
    <n v="3"/>
    <m/>
    <m/>
    <m/>
    <m/>
    <m/>
    <m/>
    <m/>
    <s v="S"/>
    <m/>
    <d v="1987-11-25T00:00:00"/>
    <s v="M"/>
    <s v="H"/>
    <s v="HISPANIC"/>
    <s v="NULL"/>
    <s v="230"/>
    <s v="NO BILL"/>
    <n v="6"/>
    <s v="NO BILL"/>
    <m/>
    <m/>
    <m/>
    <s v="AGG ASSAULT W/DEADLY WEAPON"/>
    <m/>
    <s v="F2"/>
    <s v="ASLT-MURDR"/>
    <s v="misd drug  9/14/12 hcj 8 d"/>
    <m/>
    <m/>
    <m/>
    <m/>
    <m/>
    <m/>
    <m/>
    <m/>
    <s v="Hired Attorney"/>
    <m/>
    <m/>
    <n v="30"/>
    <n v="102"/>
    <n v="112"/>
    <n v="24.133879781420767"/>
    <n v="0"/>
    <n v="-72"/>
    <s v="NO CONVICTION"/>
    <x v="1"/>
    <s v="Y"/>
    <m/>
    <s v="NO CONVICTION"/>
    <s v="Y"/>
    <x v="1"/>
    <x v="0"/>
    <s v="N"/>
    <n v="0.26785714285714285"/>
    <n v="0.29411764705882354"/>
    <n v="2.626050420168069E-2"/>
    <n v="0"/>
    <n v="-30"/>
    <n v="0"/>
    <n v="30"/>
    <e v="#VALUE!"/>
    <n v="30"/>
    <n v="0"/>
    <m/>
    <m/>
    <s v="Y"/>
    <m/>
    <s v="11-30 DAYS"/>
    <n v="2"/>
    <x v="0"/>
  </r>
  <r>
    <n v="536"/>
    <s v="N"/>
    <s v="N"/>
    <n v="2141359"/>
    <n v="1"/>
    <d v="2012-01-22T00:00:00"/>
    <d v="2012-08-23T00:00:00"/>
    <n v="2141359"/>
    <s v="NOT BOOKED"/>
    <s v="NOT BOOKED"/>
    <n v="20000"/>
    <x v="0"/>
    <d v="2012-01-22T00:00:00"/>
    <s v="Y"/>
    <s v="SURETY"/>
    <s v="DISMISSED"/>
    <n v="0"/>
    <n v="215"/>
    <n v="2"/>
    <n v="1"/>
    <n v="2"/>
    <m/>
    <m/>
    <m/>
    <m/>
    <m/>
    <m/>
    <m/>
    <m/>
    <d v="1983-06-28T00:00:00"/>
    <s v="M"/>
    <s v="W"/>
    <s v="WHITE"/>
    <s v="NULL"/>
    <s v="177"/>
    <s v="DISMISSED"/>
    <n v="7"/>
    <s v="DISMISSED"/>
    <m/>
    <m/>
    <m/>
    <s v="POSS W/INT DEL CS PG1&gt;=4 &lt;200"/>
    <m/>
    <s v="F1"/>
    <s v="SALE DRUG"/>
    <m/>
    <m/>
    <m/>
    <m/>
    <m/>
    <m/>
    <m/>
    <m/>
    <m/>
    <s v="Hired Attorney"/>
    <m/>
    <m/>
    <n v="0"/>
    <n v="0"/>
    <n v="215"/>
    <n v="28.510928961748633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2309"/>
    <s v="N"/>
    <s v="N"/>
    <n v="2141901"/>
    <n v="1"/>
    <d v="2012-03-28T00:00:00"/>
    <d v="2012-08-27T00:00:00"/>
    <n v="2141901"/>
    <d v="2012-03-28T00:00:00"/>
    <d v="2012-04-05T00:00:00"/>
    <n v="20000"/>
    <x v="0"/>
    <d v="2012-04-05T00:00:00"/>
    <s v="Y"/>
    <s v="PTRc"/>
    <s v="DISMISSED"/>
    <n v="9"/>
    <n v="153"/>
    <n v="1"/>
    <n v="5"/>
    <n v="1"/>
    <m/>
    <m/>
    <m/>
    <m/>
    <m/>
    <m/>
    <m/>
    <m/>
    <d v="1983-10-03T00:00:00"/>
    <s v="M"/>
    <s v="W"/>
    <s v="WHITE"/>
    <s v="NULL"/>
    <s v="263"/>
    <s v="DISMISSED"/>
    <n v="9"/>
    <s v="DISMISSED"/>
    <m/>
    <m/>
    <m/>
    <s v="ROBBERY-THREATS"/>
    <m/>
    <s v="F2"/>
    <s v="ROBBERY"/>
    <s v="misd cs 8/22/12 hcj 3 days"/>
    <m/>
    <m/>
    <m/>
    <m/>
    <m/>
    <m/>
    <m/>
    <m/>
    <s v="Appointed Attorney"/>
    <m/>
    <m/>
    <n v="9"/>
    <n v="153"/>
    <n v="153"/>
    <n v="28.42622950819672"/>
    <n v="0"/>
    <n v="-144"/>
    <s v="NO CONVICTION"/>
    <x v="2"/>
    <s v="Y"/>
    <m/>
    <s v="NO CONVICTION"/>
    <s v="Y"/>
    <x v="1"/>
    <x v="0"/>
    <s v="Y"/>
    <n v="5.8823529411764705E-2"/>
    <n v="5.8823529411764705E-2"/>
    <n v="0"/>
    <n v="0"/>
    <n v="-9"/>
    <n v="0"/>
    <n v="9"/>
    <e v="#VALUE!"/>
    <n v="9"/>
    <n v="0"/>
    <m/>
    <m/>
    <s v="Y"/>
    <m/>
    <s v="0-10 DAYS"/>
    <n v="1"/>
    <x v="0"/>
  </r>
  <r>
    <n v="640"/>
    <s v="N"/>
    <s v="N"/>
    <n v="2144487"/>
    <n v="2"/>
    <d v="2012-01-26T00:00:00"/>
    <d v="2012-07-09T00:00:00"/>
    <n v="2144487"/>
    <d v="2012-01-26T00:00:00"/>
    <d v="2012-07-09T00:00:00"/>
    <n v="10000"/>
    <x v="3"/>
    <m/>
    <s v="N"/>
    <s v="NONE"/>
    <s v="DEFERRED ADJUDICATION "/>
    <n v="166"/>
    <n v="166"/>
    <n v="1"/>
    <n v="1"/>
    <m/>
    <m/>
    <m/>
    <m/>
    <m/>
    <m/>
    <m/>
    <m/>
    <m/>
    <d v="1987-02-05T00:00:00"/>
    <s v="M"/>
    <s v="H"/>
    <s v="HISPANIC"/>
    <s v="HISPANIC"/>
    <s v="180"/>
    <s v="DEFERRED"/>
    <n v="6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166"/>
    <n v="166"/>
    <n v="166"/>
    <n v="24.920765027322403"/>
    <n v="0"/>
    <n v="0"/>
    <s v="DEFERRED"/>
    <x v="0"/>
    <s v="N"/>
    <m/>
    <s v="DEFERRED"/>
    <s v="Y"/>
    <x v="0"/>
    <x v="0"/>
    <s v="Y"/>
    <n v="1"/>
    <n v="1"/>
    <n v="0"/>
    <n v="0"/>
    <n v="-166"/>
    <n v="0"/>
    <n v="166"/>
    <e v="#VALUE!"/>
    <n v="166"/>
    <n v="0"/>
    <m/>
    <m/>
    <s v="Y"/>
    <m/>
    <s v="121-365 DAYS"/>
    <n v="6"/>
    <x v="0"/>
  </r>
  <r>
    <n v="1947"/>
    <s v="N"/>
    <s v="N"/>
    <n v="2144688"/>
    <n v="2"/>
    <d v="2012-03-14T00:00:00"/>
    <d v="2012-08-29T00:00:00"/>
    <n v="2144688"/>
    <s v="NOT BOOKED"/>
    <s v="NOT BOOKED"/>
    <n v="20000"/>
    <x v="0"/>
    <d v="2012-05-24T00:00:00"/>
    <s v="Y"/>
    <s v="SURETY"/>
    <s v="DEFERRED ADJUDICATION "/>
    <n v="0"/>
    <n v="169"/>
    <n v="0"/>
    <n v="1"/>
    <m/>
    <m/>
    <m/>
    <m/>
    <m/>
    <m/>
    <m/>
    <m/>
    <m/>
    <d v="1987-09-01T00:00:00"/>
    <s v="F"/>
    <s v="H"/>
    <s v="HISPANIC"/>
    <s v="HISPANIC"/>
    <s v="174"/>
    <s v="DEFERRED"/>
    <n v="5"/>
    <s v="DEFERRED"/>
    <m/>
    <m/>
    <m/>
    <s v="POSS W/INT DEL CS PG1&gt;=4 &lt;200"/>
    <m/>
    <s v="F1"/>
    <s v="SALE DRUG"/>
    <m/>
    <m/>
    <m/>
    <m/>
    <m/>
    <m/>
    <m/>
    <m/>
    <m/>
    <s v="Hired Attorney"/>
    <m/>
    <m/>
    <n v="0"/>
    <n v="0"/>
    <n v="169"/>
    <n v="24.483606557377048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3193"/>
    <s v="N"/>
    <s v="N"/>
    <n v="2144945"/>
    <n v="6"/>
    <d v="2012-04-27T00:00:00"/>
    <d v="2013-01-31T00:00:00"/>
    <n v="2144945"/>
    <d v="2012-05-02T00:00:00"/>
    <d v="2013-01-31T00:00:00"/>
    <n v="150000"/>
    <x v="2"/>
    <m/>
    <s v="N"/>
    <s v="NONE"/>
    <s v="GUILTY PLEA - NO JURY"/>
    <n v="275"/>
    <n v="280"/>
    <n v="4"/>
    <n v="8"/>
    <n v="2"/>
    <m/>
    <m/>
    <m/>
    <m/>
    <m/>
    <m/>
    <m/>
    <m/>
    <d v="1986-07-06T00:00:00"/>
    <s v="M"/>
    <s v="B"/>
    <s v="BLACK"/>
    <s v="NULL"/>
    <s v="185"/>
    <s v="CONVICTED"/>
    <n v="13"/>
    <s v="TDC"/>
    <n v="18"/>
    <m/>
    <m/>
    <s v="BURGLARY OF HABITATION"/>
    <m/>
    <s v="F2"/>
    <s v="BURGLARY"/>
    <m/>
    <m/>
    <m/>
    <m/>
    <m/>
    <m/>
    <m/>
    <m/>
    <m/>
    <s v="Appointed Attorney"/>
    <m/>
    <m/>
    <n v="275"/>
    <n v="275"/>
    <n v="280"/>
    <n v="25.756830601092897"/>
    <n v="0"/>
    <n v="0"/>
    <s v="CONVICTION"/>
    <x v="0"/>
    <s v="N"/>
    <m/>
    <s v="CONVICTION"/>
    <s v="Y"/>
    <x v="0"/>
    <x v="0"/>
    <s v="Y"/>
    <n v="0.9821428571428571"/>
    <n v="1"/>
    <n v="1.7857142857142905E-2"/>
    <n v="0"/>
    <n v="-275"/>
    <n v="0"/>
    <n v="275"/>
    <e v="#VALUE!"/>
    <n v="275"/>
    <n v="0"/>
    <m/>
    <m/>
    <s v="Y"/>
    <m/>
    <s v="121-365 DAYS"/>
    <n v="6"/>
    <x v="0"/>
  </r>
  <r>
    <n v="20"/>
    <s v="N"/>
    <s v="N"/>
    <n v="2145795"/>
    <n v="2"/>
    <d v="2012-01-02T00:00:00"/>
    <d v="2012-02-16T00:00:00"/>
    <n v="2145795"/>
    <d v="2012-01-02T00:00:00"/>
    <d v="2012-02-16T00:00:00"/>
    <n v="15000"/>
    <x v="0"/>
    <m/>
    <s v="N"/>
    <s v="NONE"/>
    <s v="DEFERRED ADJUDICATION "/>
    <n v="46"/>
    <n v="46"/>
    <n v="3"/>
    <n v="1"/>
    <n v="1"/>
    <m/>
    <m/>
    <m/>
    <m/>
    <m/>
    <m/>
    <m/>
    <m/>
    <d v="1982-06-28T00:00:00"/>
    <s v="F"/>
    <s v="B"/>
    <s v="BLACK"/>
    <s v="NULL"/>
    <s v="230"/>
    <s v="DEFERRED"/>
    <n v="4"/>
    <s v="DEFERRED"/>
    <m/>
    <m/>
    <m/>
    <s v="POSS CS PG 1 &lt;1G"/>
    <m/>
    <s v="FS"/>
    <s v="POSS DRUG"/>
    <s v="revoked 10/4/12 fasp stj 6 mos"/>
    <m/>
    <m/>
    <m/>
    <m/>
    <m/>
    <m/>
    <m/>
    <m/>
    <s v="Appointed Attorney"/>
    <m/>
    <m/>
    <n v="46"/>
    <n v="46"/>
    <n v="46"/>
    <n v="29.453551912568305"/>
    <n v="0"/>
    <n v="0"/>
    <s v="DEFERRED"/>
    <x v="0"/>
    <s v="N"/>
    <m/>
    <s v="DEFERRED"/>
    <s v="Y"/>
    <x v="0"/>
    <x v="0"/>
    <s v="Y"/>
    <n v="1"/>
    <n v="1"/>
    <n v="0"/>
    <n v="0"/>
    <n v="-46"/>
    <n v="0"/>
    <n v="46"/>
    <e v="#VALUE!"/>
    <n v="46"/>
    <n v="0"/>
    <m/>
    <m/>
    <s v="Y"/>
    <m/>
    <s v="31-60 DAYS"/>
    <n v="3"/>
    <x v="0"/>
  </r>
  <r>
    <n v="3011"/>
    <s v="N"/>
    <s v="N"/>
    <n v="2146819"/>
    <n v="5"/>
    <d v="2012-04-21T00:00:00"/>
    <d v="2012-04-27T00:00:00"/>
    <n v="2146819"/>
    <d v="2012-04-21T00:00:00"/>
    <d v="2012-04-27T00:00:00"/>
    <n v="15000"/>
    <x v="0"/>
    <m/>
    <s v="N"/>
    <s v="NONE"/>
    <s v="GUILTY PLEA - NO JURY"/>
    <n v="7"/>
    <n v="7"/>
    <n v="3"/>
    <n v="4"/>
    <n v="2"/>
    <m/>
    <m/>
    <m/>
    <m/>
    <m/>
    <m/>
    <m/>
    <m/>
    <d v="1987-10-09T00:00:00"/>
    <s v="F"/>
    <s v="W"/>
    <s v="WHITE"/>
    <s v="NON-HISPANIC"/>
    <s v="351"/>
    <s v="CONVICTED"/>
    <n v="2"/>
    <s v="STJ"/>
    <m/>
    <n v="7"/>
    <m/>
    <s v="THEFT UNDER $1500 - 3RD OFF."/>
    <m/>
    <s v="FS"/>
    <s v="THEFT"/>
    <m/>
    <m/>
    <m/>
    <m/>
    <m/>
    <m/>
    <m/>
    <m/>
    <m/>
    <s v="Hired Attorney"/>
    <m/>
    <m/>
    <n v="7"/>
    <n v="7"/>
    <n v="7"/>
    <n v="24.483606557377048"/>
    <n v="0"/>
    <n v="0"/>
    <s v="CONVICTION"/>
    <x v="0"/>
    <s v="N"/>
    <m/>
    <s v="CONVICTION"/>
    <s v="Y"/>
    <x v="0"/>
    <x v="0"/>
    <s v="Y"/>
    <n v="1"/>
    <n v="1"/>
    <n v="0"/>
    <n v="0"/>
    <n v="-7"/>
    <n v="0"/>
    <n v="7"/>
    <e v="#VALUE!"/>
    <n v="7"/>
    <n v="0"/>
    <m/>
    <m/>
    <s v="Y"/>
    <m/>
    <s v="0-10 DAYS"/>
    <n v="1"/>
    <x v="0"/>
  </r>
  <r>
    <n v="824"/>
    <s v="N"/>
    <s v="N"/>
    <n v="2146935"/>
    <n v="6"/>
    <d v="2012-02-01T00:00:00"/>
    <d v="2013-03-04T00:00:00"/>
    <n v="2146935"/>
    <d v="2012-02-01T00:00:00"/>
    <d v="2013-03-04T00:00:00"/>
    <n v="760000"/>
    <x v="2"/>
    <m/>
    <s v="N"/>
    <s v="NONE"/>
    <s v="GUILTY PLEA - NO JURY"/>
    <n v="398"/>
    <n v="398"/>
    <n v="0"/>
    <n v="3"/>
    <m/>
    <m/>
    <m/>
    <m/>
    <m/>
    <m/>
    <m/>
    <m/>
    <m/>
    <d v="1964-06-15T00:00:00"/>
    <s v="M"/>
    <s v="H"/>
    <s v="HISPANIC"/>
    <s v="HISPANIC"/>
    <s v="339"/>
    <s v="CONVICTED"/>
    <n v="14"/>
    <s v="TDC"/>
    <n v="10"/>
    <m/>
    <m/>
    <s v="MAN/DEL CS PG I OVER 400 GRAMS"/>
    <m/>
    <s v="F1"/>
    <s v="SALE DRUG"/>
    <m/>
    <m/>
    <m/>
    <m/>
    <m/>
    <m/>
    <m/>
    <m/>
    <m/>
    <s v="Hired Attorney"/>
    <m/>
    <m/>
    <n v="398"/>
    <n v="398"/>
    <n v="398"/>
    <n v="47.532786885245905"/>
    <n v="0"/>
    <n v="0"/>
    <s v="CONVICTION"/>
    <x v="0"/>
    <s v="N"/>
    <m/>
    <s v="CONVICTION"/>
    <s v="Y"/>
    <x v="0"/>
    <x v="0"/>
    <s v="N"/>
    <n v="1"/>
    <n v="1"/>
    <n v="0"/>
    <n v="0"/>
    <n v="-398"/>
    <n v="0"/>
    <n v="398"/>
    <e v="#VALUE!"/>
    <n v="398"/>
    <n v="0"/>
    <m/>
    <m/>
    <s v="Y"/>
    <m/>
    <s v=" &gt;1YRS&lt;2YRS"/>
    <n v="0"/>
    <x v="0"/>
  </r>
  <r>
    <n v="1722"/>
    <s v="N"/>
    <s v="N"/>
    <n v="2147371"/>
    <n v="1"/>
    <d v="2012-03-05T00:00:00"/>
    <d v="2012-08-23T00:00:00"/>
    <n v="2147371"/>
    <s v="NOT BOOKED"/>
    <s v="NOT BOOKED"/>
    <n v="30000"/>
    <x v="2"/>
    <d v="2012-04-19T00:00:00"/>
    <s v="Y"/>
    <s v="SURETY"/>
    <s v="DISMISSED"/>
    <n v="0"/>
    <n v="172"/>
    <n v="2"/>
    <n v="1"/>
    <n v="1"/>
    <m/>
    <m/>
    <m/>
    <m/>
    <m/>
    <m/>
    <m/>
    <m/>
    <d v="1978-01-11T00:00:00"/>
    <s v="M"/>
    <s v="W"/>
    <s v="WHITE"/>
    <s v="NULL"/>
    <s v="228"/>
    <s v="DISMISSED"/>
    <n v="7"/>
    <s v="DISMISSED"/>
    <m/>
    <m/>
    <m/>
    <s v="AGG ASSAULT W/DEADLY WEAPON"/>
    <m/>
    <s v="F2"/>
    <s v="ASLT-MURDR"/>
    <s v="misc assault 10/4/12 hcj 1 d fine"/>
    <m/>
    <m/>
    <m/>
    <m/>
    <m/>
    <m/>
    <m/>
    <m/>
    <s v="Public Defender"/>
    <m/>
    <m/>
    <n v="0"/>
    <n v="0"/>
    <n v="172"/>
    <n v="34.076502732240435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3207"/>
    <s v="N"/>
    <s v="N"/>
    <n v="2149006"/>
    <n v="4"/>
    <d v="2012-04-28T00:00:00"/>
    <d v="2012-04-30T00:00:00"/>
    <n v="2149006"/>
    <d v="2012-04-28T00:00:00"/>
    <d v="2012-04-30T00:00:00"/>
    <n v="5000"/>
    <x v="4"/>
    <m/>
    <s v="N"/>
    <s v="NONE"/>
    <s v="GUILTY PLEA - NO JURY"/>
    <n v="3"/>
    <n v="3"/>
    <n v="1"/>
    <n v="4"/>
    <n v="1"/>
    <m/>
    <m/>
    <m/>
    <m/>
    <m/>
    <m/>
    <m/>
    <m/>
    <d v="1987-05-01T00:00:00"/>
    <s v="M"/>
    <s v="H"/>
    <s v="HISPANIC"/>
    <s v="HISPANIC"/>
    <s v="179"/>
    <s v="CONVICTED"/>
    <n v="1"/>
    <s v="HCJ"/>
    <m/>
    <m/>
    <n v="180"/>
    <s v="THEFT UNDER $1500 - 3RD OFF."/>
    <m/>
    <s v="FS"/>
    <s v="THEFT"/>
    <m/>
    <m/>
    <m/>
    <m/>
    <m/>
    <m/>
    <m/>
    <m/>
    <m/>
    <s v="Appointed Attorney"/>
    <m/>
    <m/>
    <n v="3"/>
    <n v="3"/>
    <n v="3"/>
    <n v="24.942622950819672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691"/>
    <s v="N"/>
    <s v="N"/>
    <n v="2150068"/>
    <n v="6"/>
    <d v="2012-01-28T00:00:00"/>
    <d v="2012-04-03T00:00:00"/>
    <n v="2150068"/>
    <d v="2012-01-28T00:00:00"/>
    <d v="2012-04-03T00:00:00"/>
    <s v="NO BOND"/>
    <x v="1"/>
    <m/>
    <s v="N"/>
    <s v="NONE"/>
    <s v="GUILTY PLEA - NO JURY"/>
    <n v="67"/>
    <n v="67"/>
    <n v="3"/>
    <n v="3"/>
    <n v="1"/>
    <m/>
    <m/>
    <m/>
    <m/>
    <m/>
    <m/>
    <m/>
    <m/>
    <d v="1988-02-04T00:00:00"/>
    <s v="M"/>
    <s v="B"/>
    <s v="BLACK"/>
    <s v="NON-HISPANIC"/>
    <s v="176"/>
    <s v="CONVICTED"/>
    <n v="3"/>
    <s v="TDC"/>
    <n v="4"/>
    <m/>
    <m/>
    <s v="POSS CS PG 2 4G - 400G"/>
    <m/>
    <s v="F2"/>
    <s v="POSS DRUG"/>
    <s v="same disp vehic charge"/>
    <m/>
    <m/>
    <m/>
    <m/>
    <m/>
    <m/>
    <m/>
    <m/>
    <s v="Appointed Attorney"/>
    <m/>
    <m/>
    <n v="67"/>
    <n v="67"/>
    <n v="67"/>
    <n v="23.931693989071039"/>
    <n v="0"/>
    <n v="0"/>
    <s v="CONVICTION"/>
    <x v="0"/>
    <s v="N"/>
    <m/>
    <s v="CONVICTION"/>
    <s v="Y"/>
    <x v="0"/>
    <x v="0"/>
    <s v="Y"/>
    <n v="1"/>
    <n v="1"/>
    <n v="0"/>
    <n v="0"/>
    <n v="-67"/>
    <n v="0"/>
    <n v="67"/>
    <e v="#VALUE!"/>
    <n v="67"/>
    <n v="0"/>
    <m/>
    <m/>
    <s v="Y"/>
    <m/>
    <s v="61-90 DAYS"/>
    <n v="4"/>
    <x v="0"/>
  </r>
  <r>
    <n v="2604"/>
    <s v="N"/>
    <s v="N"/>
    <n v="2150853"/>
    <n v="2"/>
    <d v="2012-04-06T00:00:00"/>
    <d v="2012-10-16T00:00:00"/>
    <n v="2150853"/>
    <d v="2012-07-26T00:00:00"/>
    <d v="2012-10-16T00:00:00"/>
    <n v="2000"/>
    <x v="5"/>
    <m/>
    <s v="N"/>
    <s v="NONE"/>
    <s v="DEFERRED ADJUDICATION "/>
    <n v="83"/>
    <n v="194"/>
    <n v="0"/>
    <n v="6"/>
    <m/>
    <m/>
    <m/>
    <m/>
    <m/>
    <m/>
    <m/>
    <m/>
    <m/>
    <d v="1984-09-02T00:00:00"/>
    <s v="M"/>
    <s v="W"/>
    <s v="WHITE"/>
    <s v="NON-HISPANIC"/>
    <s v="230"/>
    <s v="DEFERRED"/>
    <n v="7"/>
    <s v="DEFERRED"/>
    <m/>
    <m/>
    <m/>
    <s v="CREDIT/DEBIT CARD ABUSE"/>
    <m/>
    <s v="FS"/>
    <s v="OTHER FEL"/>
    <m/>
    <m/>
    <m/>
    <m/>
    <m/>
    <m/>
    <m/>
    <m/>
    <m/>
    <s v="Appointed Attorney"/>
    <m/>
    <m/>
    <n v="83"/>
    <n v="83"/>
    <n v="194"/>
    <n v="27.535519125683059"/>
    <n v="0"/>
    <n v="0"/>
    <s v="DEFERRED"/>
    <x v="0"/>
    <s v="N"/>
    <m/>
    <s v="DEFERRED"/>
    <s v="Y"/>
    <x v="0"/>
    <x v="0"/>
    <s v="N"/>
    <n v="0.42783505154639173"/>
    <n v="1"/>
    <n v="0.57216494845360821"/>
    <n v="0"/>
    <n v="-83"/>
    <n v="0"/>
    <n v="83"/>
    <e v="#VALUE!"/>
    <n v="83"/>
    <n v="0"/>
    <m/>
    <m/>
    <s v="Y"/>
    <m/>
    <s v="61-90 DAYS"/>
    <n v="4"/>
    <x v="0"/>
  </r>
  <r>
    <n v="621"/>
    <s v="N"/>
    <s v="N"/>
    <n v="2151751"/>
    <n v="3"/>
    <d v="2012-01-25T00:00:00"/>
    <d v="2012-02-28T00:00:00"/>
    <n v="2151751"/>
    <d v="2012-01-25T00:00:00"/>
    <d v="2012-02-28T00:00:00"/>
    <n v="15000"/>
    <x v="0"/>
    <m/>
    <s v="N"/>
    <s v="NONE"/>
    <s v="GUILTY PLEA - NO JURY"/>
    <n v="35"/>
    <n v="35"/>
    <n v="5"/>
    <n v="3"/>
    <n v="1"/>
    <m/>
    <m/>
    <m/>
    <m/>
    <m/>
    <m/>
    <m/>
    <m/>
    <d v="1960-02-04T00:00:00"/>
    <s v="M"/>
    <s v="B"/>
    <s v="BLACK"/>
    <s v="NON-HISPANIC"/>
    <s v="185"/>
    <s v="CONVICTED"/>
    <n v="3"/>
    <s v="PROBATION"/>
    <m/>
    <m/>
    <m/>
    <s v="THEFT UNDER $1500 - 3RD OFF."/>
    <m/>
    <s v="FS"/>
    <s v="THEFT"/>
    <m/>
    <m/>
    <m/>
    <m/>
    <m/>
    <m/>
    <m/>
    <m/>
    <m/>
    <s v="Appointed Attorney"/>
    <m/>
    <m/>
    <n v="35"/>
    <n v="35"/>
    <n v="35"/>
    <n v="51.866120218579233"/>
    <n v="0"/>
    <n v="0"/>
    <s v="CONVICTION"/>
    <x v="0"/>
    <s v="N"/>
    <m/>
    <s v="CONVICTION"/>
    <s v="Y"/>
    <x v="0"/>
    <x v="0"/>
    <s v="Y"/>
    <n v="1"/>
    <n v="1"/>
    <n v="0"/>
    <n v="0"/>
    <n v="-35"/>
    <n v="0"/>
    <n v="35"/>
    <e v="#VALUE!"/>
    <n v="35"/>
    <n v="0"/>
    <m/>
    <m/>
    <s v="Y"/>
    <m/>
    <s v="31-60 DAYS"/>
    <n v="3"/>
    <x v="0"/>
  </r>
  <r>
    <n v="2297"/>
    <s v="N"/>
    <s v="N"/>
    <n v="2152597"/>
    <n v="6"/>
    <d v="2012-03-28T00:00:00"/>
    <d v="2012-03-29T00:00:00"/>
    <n v="2152597"/>
    <d v="2012-03-28T00:00:00"/>
    <d v="2012-03-29T00:00:00"/>
    <n v="40000"/>
    <x v="2"/>
    <m/>
    <s v="N"/>
    <s v="NONE"/>
    <s v="GUILTY PLEA - NO JURY"/>
    <n v="2"/>
    <n v="2"/>
    <n v="2"/>
    <n v="8"/>
    <n v="1"/>
    <m/>
    <m/>
    <m/>
    <m/>
    <m/>
    <m/>
    <m/>
    <m/>
    <d v="1987-03-23T00:00:00"/>
    <s v="M"/>
    <s v="B"/>
    <s v="BLACK"/>
    <s v="NULL"/>
    <s v="185"/>
    <s v="CONVICTED"/>
    <n v="1"/>
    <s v="TDC"/>
    <n v="4"/>
    <m/>
    <m/>
    <s v="POSS CS PG 1 4G - 200G"/>
    <m/>
    <s v="F2"/>
    <s v="POSS DRUG"/>
    <m/>
    <m/>
    <m/>
    <m/>
    <m/>
    <m/>
    <m/>
    <m/>
    <m/>
    <s v="Appointed Attorney"/>
    <m/>
    <m/>
    <n v="2"/>
    <n v="2"/>
    <n v="2"/>
    <n v="24.964480874316941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1261"/>
    <s v="Y"/>
    <s v="Y"/>
    <n v="2153802"/>
    <n v="6"/>
    <d v="2012-02-16T00:00:00"/>
    <d v="2012-07-24T00:00:00"/>
    <n v="2153802"/>
    <d v="2012-02-16T00:00:00"/>
    <d v="2012-03-07T00:00:00"/>
    <n v="20000"/>
    <x v="0"/>
    <d v="2012-03-07T00:00:00"/>
    <s v="Y"/>
    <s v="SURETY"/>
    <s v="GUILTY PLEA - NO JURY"/>
    <n v="103"/>
    <n v="160"/>
    <n v="3"/>
    <n v="4"/>
    <n v="1"/>
    <m/>
    <m/>
    <m/>
    <m/>
    <m/>
    <m/>
    <m/>
    <m/>
    <d v="1987-02-23T00:00:00"/>
    <s v="M"/>
    <s v="B"/>
    <s v="BLACK"/>
    <s v="NULL"/>
    <s v="339"/>
    <s v="CONVICTED"/>
    <n v="8"/>
    <s v="TDC"/>
    <n v="2"/>
    <m/>
    <m/>
    <s v="ASSAULT-BOD INJ-FAMILY MEMBER"/>
    <m/>
    <s v="F3"/>
    <s v="ASLT-MURDR"/>
    <s v="5/8/12 misd fail id hch 30 d  fel alst murder detained pend "/>
    <s v="rev 4/12/12 "/>
    <m/>
    <m/>
    <s v="Y"/>
    <m/>
    <m/>
    <m/>
    <m/>
    <s v="Appointed Attorney"/>
    <s v="5/9/13 agg aslt  tdc 2y"/>
    <m/>
    <n v="103"/>
    <n v="160"/>
    <n v="160"/>
    <n v="24.928961748633881"/>
    <n v="0"/>
    <n v="-139"/>
    <s v="CONVICTION"/>
    <x v="1"/>
    <s v="Y"/>
    <m/>
    <s v="CONVICTION"/>
    <s v="Y"/>
    <x v="0"/>
    <x v="0"/>
    <s v="Y"/>
    <n v="0.64375000000000004"/>
    <n v="0.13125000000000001"/>
    <n v="-0.51250000000000007"/>
    <n v="0"/>
    <n v="-21"/>
    <n v="82"/>
    <n v="160"/>
    <n v="103"/>
    <n v="160"/>
    <n v="139"/>
    <m/>
    <m/>
    <s v="Y"/>
    <m/>
    <s v="91-120 DAYS"/>
    <n v="0"/>
    <x v="0"/>
  </r>
  <r>
    <n v="1913"/>
    <s v="Y"/>
    <s v="N"/>
    <n v="2154510"/>
    <n v="1"/>
    <d v="2012-03-12T00:00:00"/>
    <d v="2014-01-29T00:00:00"/>
    <n v="2154510"/>
    <d v="2012-03-12T00:00:00"/>
    <d v="2012-06-03T00:00:00"/>
    <n v="20000"/>
    <x v="0"/>
    <d v="2012-06-03T00:00:00"/>
    <s v="Y"/>
    <s v="SURETY"/>
    <s v="DISMISSED"/>
    <n v="82"/>
    <n v="689"/>
    <n v="3"/>
    <n v="4"/>
    <n v="2"/>
    <m/>
    <m/>
    <m/>
    <m/>
    <m/>
    <m/>
    <s v="S"/>
    <m/>
    <d v="1987-03-28T00:00:00"/>
    <s v="M"/>
    <s v="H"/>
    <s v="HISPANIC"/>
    <s v="NULL"/>
    <s v="209"/>
    <s v="DISMISSED"/>
    <n v="17"/>
    <s v="DISMISSED"/>
    <m/>
    <m/>
    <m/>
    <s v="DWI 3RD OFFENDER BAC .08"/>
    <m/>
    <s v="F3"/>
    <s v="FEL DWI"/>
    <m/>
    <m/>
    <m/>
    <m/>
    <m/>
    <m/>
    <m/>
    <m/>
    <m/>
    <s v="Hired Attorney"/>
    <s v="4/29/15 2 d jail misd f to id police"/>
    <m/>
    <n v="82"/>
    <n v="689"/>
    <n v="689"/>
    <n v="24.907103825136613"/>
    <n v="0"/>
    <n v="-605"/>
    <s v="NO CONVICTION"/>
    <x v="1"/>
    <s v="Y"/>
    <m/>
    <s v="NO CONVICTION"/>
    <s v="Y"/>
    <x v="1"/>
    <x v="0"/>
    <s v="Y"/>
    <n v="0.11901306240928883"/>
    <n v="0.11899999999999999"/>
    <n v="0"/>
    <n v="0"/>
    <n v="-84"/>
    <n v="-2"/>
    <n v="84"/>
    <e v="#VALUE!"/>
    <n v="82"/>
    <m/>
    <m/>
    <m/>
    <s v="Y"/>
    <e v="#N/A"/>
    <s v="61-90 DAYS"/>
    <n v="4"/>
    <x v="0"/>
  </r>
  <r>
    <n v="469"/>
    <s v="N"/>
    <s v="N"/>
    <n v="2154770"/>
    <n v="1"/>
    <d v="2012-01-19T00:00:00"/>
    <d v="2012-02-23T00:00:00"/>
    <n v="2154770"/>
    <d v="2012-01-20T00:00:00"/>
    <d v="2012-02-23T00:00:00"/>
    <s v="NO BOND"/>
    <x v="1"/>
    <m/>
    <s v="N"/>
    <s v="NONE"/>
    <s v="DISMISSED"/>
    <n v="35"/>
    <n v="36"/>
    <n v="2"/>
    <n v="3"/>
    <n v="1"/>
    <m/>
    <m/>
    <m/>
    <m/>
    <m/>
    <m/>
    <m/>
    <m/>
    <d v="1986-08-03T00:00:00"/>
    <s v="M"/>
    <s v="B"/>
    <s v="BLACK"/>
    <s v="NON-HISPANIC"/>
    <s v="228"/>
    <s v="DISMISSED"/>
    <n v="2"/>
    <s v="DISMISSED"/>
    <m/>
    <m/>
    <m/>
    <s v="POSS W/INT DEL CS PG1&gt;=4 &lt;200"/>
    <m/>
    <s v="F1"/>
    <s v="SALE DRUG"/>
    <m/>
    <m/>
    <m/>
    <m/>
    <m/>
    <m/>
    <m/>
    <m/>
    <m/>
    <s v="Appointed Attorney"/>
    <m/>
    <m/>
    <n v="35"/>
    <n v="35"/>
    <n v="36"/>
    <n v="25.409836065573771"/>
    <n v="0"/>
    <n v="0"/>
    <s v="NO CONVICTION"/>
    <x v="0"/>
    <s v="N"/>
    <m/>
    <s v="NO CONVICTION"/>
    <s v="Y"/>
    <x v="0"/>
    <x v="0"/>
    <s v="Y"/>
    <n v="0.97222222222222221"/>
    <n v="1"/>
    <n v="2.777777777777779E-2"/>
    <n v="0"/>
    <n v="-35"/>
    <n v="0"/>
    <n v="35"/>
    <e v="#VALUE!"/>
    <n v="35"/>
    <n v="0"/>
    <m/>
    <m/>
    <s v="Y"/>
    <m/>
    <s v="31-60 DAYS"/>
    <n v="3"/>
    <x v="0"/>
  </r>
  <r>
    <n v="454"/>
    <s v="N"/>
    <s v="N"/>
    <n v="2155422"/>
    <n v="2"/>
    <d v="2012-01-19T00:00:00"/>
    <d v="2012-06-18T00:00:00"/>
    <n v="2155422"/>
    <d v="2012-01-20T00:00:00"/>
    <d v="2012-01-20T00:00:00"/>
    <n v="10000"/>
    <x v="3"/>
    <d v="2012-01-20T00:00:00"/>
    <s v="Y"/>
    <s v="SURETY"/>
    <s v="DEFERRED ADJUDICATION "/>
    <n v="1"/>
    <n v="152"/>
    <n v="1"/>
    <n v="0"/>
    <m/>
    <n v="1"/>
    <m/>
    <m/>
    <m/>
    <m/>
    <m/>
    <m/>
    <m/>
    <d v="1987-02-18T00:00:00"/>
    <s v="M"/>
    <s v="B"/>
    <s v="BLACK"/>
    <s v="NULL"/>
    <s v="176"/>
    <s v="DEFERRED"/>
    <n v="6"/>
    <s v="DEFERRED"/>
    <m/>
    <m/>
    <m/>
    <s v="BURGLARY OF HABITATION"/>
    <m/>
    <s v="F2"/>
    <s v="BURGLARY"/>
    <m/>
    <m/>
    <m/>
    <m/>
    <m/>
    <m/>
    <m/>
    <m/>
    <m/>
    <s v="Hired Attorney"/>
    <m/>
    <m/>
    <n v="1"/>
    <n v="151"/>
    <n v="152"/>
    <n v="24.866120218579233"/>
    <n v="0"/>
    <n v="-150"/>
    <s v="DEFERRED"/>
    <x v="1"/>
    <s v="Y"/>
    <m/>
    <s v="DEFERRED"/>
    <s v="Y"/>
    <x v="1"/>
    <x v="0"/>
    <s v="Y"/>
    <n v="6.5789473684210523E-3"/>
    <n v="6.6225165562913907E-3"/>
    <n v="4.3569187870338456E-5"/>
    <n v="0"/>
    <n v="-1"/>
    <n v="0"/>
    <n v="1"/>
    <e v="#VALUE!"/>
    <n v="1"/>
    <n v="0"/>
    <m/>
    <m/>
    <s v="Y"/>
    <m/>
    <s v="0-10 DAYS"/>
    <n v="1"/>
    <x v="0"/>
  </r>
  <r>
    <n v="777"/>
    <s v="N"/>
    <s v="N"/>
    <n v="2155712"/>
    <n v="6"/>
    <d v="2012-01-31T00:00:00"/>
    <d v="2012-02-01T00:00:00"/>
    <n v="2155712"/>
    <d v="2012-01-31T00:00:00"/>
    <d v="2012-02-01T00:00:00"/>
    <n v="20000"/>
    <x v="0"/>
    <m/>
    <s v="N"/>
    <s v="NONE"/>
    <s v="GUILTY PLEA - NO JURY"/>
    <n v="2"/>
    <n v="2"/>
    <n v="5"/>
    <n v="3"/>
    <n v="2"/>
    <m/>
    <m/>
    <m/>
    <m/>
    <m/>
    <m/>
    <m/>
    <m/>
    <d v="1984-11-20T00:00:00"/>
    <s v="M"/>
    <s v="B"/>
    <s v="BLACK"/>
    <s v="NULL"/>
    <s v="228"/>
    <s v="CONVICTED"/>
    <n v="1"/>
    <s v="TDC"/>
    <n v="2"/>
    <m/>
    <m/>
    <s v="POSS CS PG 1 4G - 200G"/>
    <m/>
    <s v="F2"/>
    <s v="POSS DRUG"/>
    <m/>
    <m/>
    <m/>
    <m/>
    <m/>
    <m/>
    <m/>
    <m/>
    <m/>
    <s v="Appointed Attorney"/>
    <m/>
    <m/>
    <n v="2"/>
    <n v="2"/>
    <n v="2"/>
    <n v="27.139344262295083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3056"/>
    <s v="N"/>
    <s v="N"/>
    <n v="2156670"/>
    <n v="2"/>
    <d v="2012-05-08T00:00:00"/>
    <d v="2012-09-20T00:00:00"/>
    <n v="2156670"/>
    <d v="2012-05-09T00:00:00"/>
    <d v="2012-05-11T00:00:00"/>
    <n v="16000"/>
    <x v="0"/>
    <d v="2012-05-11T00:00:00"/>
    <s v="Y"/>
    <s v="SURETY"/>
    <s v="DEFERRED ADJUDICATION "/>
    <n v="3"/>
    <n v="136"/>
    <n v="0"/>
    <n v="0"/>
    <m/>
    <m/>
    <m/>
    <m/>
    <m/>
    <m/>
    <m/>
    <s v="S"/>
    <m/>
    <d v="1975-06-20T00:00:00"/>
    <s v="F"/>
    <s v="H"/>
    <s v="HISPANIC"/>
    <s v="NULL"/>
    <s v="230"/>
    <s v="DEFERRED"/>
    <n v="8"/>
    <s v="DEFERRED"/>
    <m/>
    <m/>
    <m/>
    <s v="THEFT $1500-20K"/>
    <m/>
    <s v="FS"/>
    <s v="THEFT"/>
    <m/>
    <m/>
    <m/>
    <m/>
    <m/>
    <m/>
    <m/>
    <m/>
    <m/>
    <s v="Hired Attorney"/>
    <m/>
    <m/>
    <n v="3"/>
    <n v="135"/>
    <n v="136"/>
    <n v="36.808743169398909"/>
    <n v="0"/>
    <n v="-132"/>
    <s v="DEFERRED"/>
    <x v="1"/>
    <s v="Y"/>
    <m/>
    <s v="DEFERRED"/>
    <s v="Y"/>
    <x v="1"/>
    <x v="0"/>
    <s v="N"/>
    <n v="2.2058823529411766E-2"/>
    <n v="2.2222222222222223E-2"/>
    <n v="1.6339869281045694E-4"/>
    <n v="0"/>
    <n v="-3"/>
    <n v="0"/>
    <n v="3"/>
    <n v="3"/>
    <n v="3"/>
    <n v="0"/>
    <m/>
    <m/>
    <s v="N"/>
    <m/>
    <s v="0-10 DAYS"/>
    <n v="1"/>
    <x v="0"/>
  </r>
  <r>
    <n v="1726"/>
    <s v="N"/>
    <s v="N"/>
    <n v="2157182"/>
    <n v="5"/>
    <d v="2012-03-05T00:00:00"/>
    <d v="2012-03-20T00:00:00"/>
    <n v="2157182"/>
    <d v="2012-03-05T00:00:00"/>
    <d v="2012-03-20T00:00:00"/>
    <n v="15000"/>
    <x v="0"/>
    <m/>
    <s v="N"/>
    <s v="NONE"/>
    <s v="GUILTY PLEA - NO JURY"/>
    <n v="16"/>
    <n v="16"/>
    <n v="4"/>
    <n v="0"/>
    <n v="1"/>
    <m/>
    <m/>
    <m/>
    <m/>
    <m/>
    <m/>
    <m/>
    <m/>
    <d v="1984-10-20T00:00:00"/>
    <s v="M"/>
    <s v="B"/>
    <s v="BLACK"/>
    <s v="NON-HISPANIC"/>
    <s v="232"/>
    <s v="CONVICTED"/>
    <n v="2"/>
    <s v="STJ"/>
    <m/>
    <n v="9"/>
    <m/>
    <s v="POSS CS PG 1 &lt;1G"/>
    <m/>
    <s v="FS"/>
    <s v="POSS DRUG"/>
    <m/>
    <m/>
    <m/>
    <m/>
    <m/>
    <m/>
    <m/>
    <m/>
    <m/>
    <s v="Appointed Attorney"/>
    <m/>
    <m/>
    <n v="16"/>
    <n v="16"/>
    <n v="16"/>
    <n v="27.316939890710383"/>
    <n v="0"/>
    <n v="0"/>
    <s v="CONVICTION"/>
    <x v="0"/>
    <s v="N"/>
    <m/>
    <s v="CONVICTION"/>
    <s v="Y"/>
    <x v="0"/>
    <x v="0"/>
    <s v="Y"/>
    <n v="1"/>
    <n v="1"/>
    <n v="0"/>
    <n v="0"/>
    <n v="-16"/>
    <n v="0"/>
    <n v="16"/>
    <e v="#VALUE!"/>
    <n v="16"/>
    <n v="0"/>
    <m/>
    <m/>
    <s v="Y"/>
    <m/>
    <s v="11-30 DAYS"/>
    <n v="2"/>
    <x v="0"/>
  </r>
  <r>
    <n v="2603"/>
    <s v="N"/>
    <s v="N"/>
    <n v="2157477"/>
    <n v="6"/>
    <d v="2012-04-06T00:00:00"/>
    <d v="2013-10-25T00:00:00"/>
    <n v="2157477"/>
    <d v="2012-04-12T00:00:00"/>
    <d v="2013-10-25T00:00:00"/>
    <n v="50000"/>
    <x v="2"/>
    <m/>
    <s v="N"/>
    <s v="NONE"/>
    <s v="jury verdict"/>
    <n v="562"/>
    <n v="568"/>
    <n v="1"/>
    <n v="0"/>
    <n v="1"/>
    <m/>
    <m/>
    <m/>
    <m/>
    <m/>
    <m/>
    <m/>
    <m/>
    <d v="1986-07-29T00:00:00"/>
    <s v="M"/>
    <s v="W"/>
    <s v="WHITE"/>
    <s v="NON-HISPANIC"/>
    <s v="208"/>
    <s v="CONVICTED"/>
    <n v="20"/>
    <s v="TDC"/>
    <n v="60"/>
    <m/>
    <m/>
    <s v="AGG ASSAULT W/DEADLY WEAPON"/>
    <m/>
    <s v="F2"/>
    <s v="ASLT-MURDR"/>
    <s v="MULTI CHARGES DIM , REFILED"/>
    <m/>
    <m/>
    <m/>
    <m/>
    <m/>
    <m/>
    <m/>
    <m/>
    <s v="Appointed Attorney"/>
    <m/>
    <m/>
    <n v="562"/>
    <n v="562"/>
    <n v="568"/>
    <n v="25.636612021857925"/>
    <n v="0"/>
    <n v="0"/>
    <s v="CONVICTION"/>
    <x v="0"/>
    <s v="N"/>
    <m/>
    <s v="CONVICTION"/>
    <s v="Y"/>
    <x v="0"/>
    <x v="0"/>
    <s v="Y"/>
    <n v="0.98943661971830987"/>
    <n v="1"/>
    <n v="1.0563380281690127E-2"/>
    <n v="0"/>
    <n v="-562"/>
    <n v="0"/>
    <n v="562"/>
    <e v="#VALUE!"/>
    <n v="562"/>
    <n v="0"/>
    <m/>
    <m/>
    <s v="Y"/>
    <m/>
    <s v=" &gt;1YRS&lt;2YRS"/>
    <n v="0"/>
    <x v="0"/>
  </r>
  <r>
    <n v="3040"/>
    <s v="N"/>
    <s v="N"/>
    <n v="2157713"/>
    <n v="4"/>
    <d v="2012-04-22T00:00:00"/>
    <d v="2012-04-24T00:00:00"/>
    <n v="2157713"/>
    <d v="2012-04-23T00:00:00"/>
    <d v="2012-04-24T00:00:00"/>
    <n v="35000"/>
    <x v="2"/>
    <m/>
    <s v="N"/>
    <s v="NONE"/>
    <s v="DISMISSED"/>
    <n v="2"/>
    <n v="3"/>
    <n v="0"/>
    <n v="2"/>
    <m/>
    <m/>
    <m/>
    <m/>
    <m/>
    <m/>
    <m/>
    <m/>
    <m/>
    <d v="1966-10-10T00:00:00"/>
    <s v="M"/>
    <s v="H"/>
    <s v="HISPANIC"/>
    <s v="HISPANIC"/>
    <s v="179"/>
    <s v="CONVICTED"/>
    <n v="1"/>
    <s v="HCJ"/>
    <m/>
    <m/>
    <n v="30"/>
    <s v="POSS CS PG 1 &lt;1G"/>
    <m/>
    <s v="FS"/>
    <s v="POSS DRUG"/>
    <m/>
    <m/>
    <m/>
    <m/>
    <m/>
    <m/>
    <m/>
    <m/>
    <m/>
    <s v="Appointed Attorney"/>
    <m/>
    <m/>
    <n v="2"/>
    <n v="2"/>
    <n v="3"/>
    <n v="45.439890710382514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2066"/>
    <s v="N"/>
    <s v="N"/>
    <n v="2157715"/>
    <n v="2"/>
    <d v="2012-03-18T00:00:00"/>
    <d v="2012-07-23T00:00:00"/>
    <n v="2157715"/>
    <d v="2012-03-18T00:00:00"/>
    <d v="2012-03-19T00:00:00"/>
    <n v="2000"/>
    <x v="5"/>
    <d v="2012-03-19T00:00:00"/>
    <s v="Y"/>
    <s v="SURETY"/>
    <s v="DEFERRED ADJUDICATION "/>
    <n v="2"/>
    <n v="128"/>
    <n v="0"/>
    <n v="4"/>
    <m/>
    <m/>
    <m/>
    <m/>
    <m/>
    <m/>
    <m/>
    <m/>
    <m/>
    <d v="1987-08-25T00:00:00"/>
    <s v="M"/>
    <s v="H"/>
    <s v="HISPANIC"/>
    <s v="HISPANIC"/>
    <s v="351"/>
    <s v="DEFERRED"/>
    <n v="6"/>
    <s v="DEFERRED"/>
    <m/>
    <m/>
    <m/>
    <s v="CRIM MISCH &gt;=$1500 &lt;$20K"/>
    <m/>
    <s v="FS"/>
    <s v="OTHER FEL"/>
    <m/>
    <m/>
    <m/>
    <m/>
    <m/>
    <m/>
    <m/>
    <m/>
    <m/>
    <s v="Hired Attorney"/>
    <m/>
    <m/>
    <n v="2"/>
    <n v="128"/>
    <n v="128"/>
    <n v="24.513661202185791"/>
    <n v="0"/>
    <n v="-126"/>
    <s v="DEFERRED"/>
    <x v="1"/>
    <s v="Y"/>
    <m/>
    <s v="DEFERRED"/>
    <s v="Y"/>
    <x v="1"/>
    <x v="0"/>
    <s v="N"/>
    <n v="1.5625E-2"/>
    <n v="1.5625E-2"/>
    <n v="0"/>
    <n v="0"/>
    <n v="-2"/>
    <n v="0"/>
    <n v="2"/>
    <e v="#VALUE!"/>
    <n v="2"/>
    <n v="0"/>
    <m/>
    <m/>
    <s v="Y"/>
    <m/>
    <s v="0-10 DAYS"/>
    <n v="1"/>
    <x v="0"/>
  </r>
  <r>
    <n v="2018"/>
    <s v="N"/>
    <s v="N"/>
    <n v="2161447"/>
    <n v="2"/>
    <d v="2012-03-16T00:00:00"/>
    <d v="2012-10-18T00:00:00"/>
    <n v="2161447"/>
    <d v="2012-03-17T00:00:00"/>
    <d v="2012-03-24T00:00:00"/>
    <n v="7000"/>
    <x v="3"/>
    <d v="2012-03-24T00:00:00"/>
    <s v="Y"/>
    <s v="SURETY"/>
    <s v="DEFERRED ADJUDICATION "/>
    <n v="8"/>
    <n v="217"/>
    <n v="0"/>
    <n v="2"/>
    <m/>
    <m/>
    <m/>
    <m/>
    <m/>
    <m/>
    <m/>
    <m/>
    <m/>
    <d v="1988-05-24T00:00:00"/>
    <s v="M"/>
    <s v="W"/>
    <s v="WHITE"/>
    <s v="NULL"/>
    <s v="232"/>
    <s v="DEFERRED"/>
    <n v="12"/>
    <s v="DEFERRED"/>
    <m/>
    <m/>
    <m/>
    <s v="POSS CS PG 1  1 - 4 GRAMS"/>
    <m/>
    <s v="F3"/>
    <s v="POSS DRUG"/>
    <m/>
    <m/>
    <m/>
    <m/>
    <m/>
    <m/>
    <m/>
    <m/>
    <m/>
    <s v="Hired Attorney"/>
    <m/>
    <m/>
    <n v="8"/>
    <n v="216"/>
    <n v="217"/>
    <n v="23.762295081967213"/>
    <n v="0"/>
    <n v="-208"/>
    <s v="DEFERRED"/>
    <x v="1"/>
    <s v="Y"/>
    <m/>
    <s v="DEFERRED"/>
    <s v="Y"/>
    <x v="1"/>
    <x v="0"/>
    <s v="N"/>
    <n v="3.6866359447004608E-2"/>
    <n v="3.7037037037037035E-2"/>
    <n v="1.7067759003242672E-4"/>
    <n v="0"/>
    <n v="-8"/>
    <n v="0"/>
    <n v="8"/>
    <e v="#VALUE!"/>
    <n v="8"/>
    <n v="0"/>
    <m/>
    <m/>
    <s v="Y"/>
    <m/>
    <s v="0-10 DAYS"/>
    <n v="1"/>
    <x v="0"/>
  </r>
  <r>
    <n v="88"/>
    <s v="N"/>
    <s v="N"/>
    <n v="2163066"/>
    <n v="1"/>
    <d v="2012-01-05T00:00:00"/>
    <d v="2012-02-09T00:00:00"/>
    <n v="2163066"/>
    <d v="2012-01-20T00:00:00"/>
    <d v="2012-02-09T00:00:00"/>
    <s v="NO BOND"/>
    <x v="1"/>
    <m/>
    <s v="N"/>
    <s v="NONE"/>
    <s v="DISMISSED"/>
    <n v="21"/>
    <n v="36"/>
    <n v="1"/>
    <n v="0"/>
    <n v="1"/>
    <m/>
    <m/>
    <m/>
    <m/>
    <m/>
    <m/>
    <m/>
    <m/>
    <d v="1979-01-11T00:00:00"/>
    <s v="F"/>
    <s v="B"/>
    <s v="BLACK"/>
    <s v="NON-HISPANIC"/>
    <s v="230"/>
    <s v="DISMISS covPfel"/>
    <n v="3"/>
    <s v="DISMISSED"/>
    <m/>
    <m/>
    <m/>
    <s v="THEFT UNDER $1500 - 3RD OFF."/>
    <m/>
    <s v="FS"/>
    <s v="THEFT"/>
    <m/>
    <m/>
    <m/>
    <m/>
    <m/>
    <m/>
    <m/>
    <m/>
    <m/>
    <s v="Hired Attorney"/>
    <m/>
    <m/>
    <n v="21"/>
    <n v="21"/>
    <n v="36"/>
    <n v="32.915300546448087"/>
    <n v="0"/>
    <n v="0"/>
    <s v="NO CONVICTION"/>
    <x v="0"/>
    <s v="N"/>
    <m/>
    <s v=""/>
    <s v="Y"/>
    <x v="0"/>
    <x v="0"/>
    <s v="Y"/>
    <n v="0.58333333333333337"/>
    <n v="1"/>
    <n v="0.41666666666666663"/>
    <n v="0"/>
    <n v="-21"/>
    <n v="0"/>
    <n v="21"/>
    <e v="#VALUE!"/>
    <n v="21"/>
    <n v="0"/>
    <m/>
    <m/>
    <s v="Y"/>
    <m/>
    <s v="11-30 DAYS"/>
    <n v="2"/>
    <x v="0"/>
  </r>
  <r>
    <n v="1769"/>
    <s v="N"/>
    <s v="N"/>
    <n v="2163223"/>
    <n v="2"/>
    <d v="2012-03-06T00:00:00"/>
    <d v="2012-12-06T00:00:00"/>
    <n v="2163223"/>
    <d v="2012-03-07T00:00:00"/>
    <d v="2012-12-06T00:00:00"/>
    <s v="NO BOND"/>
    <x v="1"/>
    <m/>
    <s v="N"/>
    <s v="NONE"/>
    <s v="DEFERRED ADJUDICATION "/>
    <n v="275"/>
    <n v="276"/>
    <n v="1"/>
    <n v="0"/>
    <n v="1"/>
    <m/>
    <m/>
    <m/>
    <m/>
    <m/>
    <m/>
    <m/>
    <m/>
    <d v="1981-09-22T00:00:00"/>
    <s v="M"/>
    <s v="W"/>
    <s v="WHITE"/>
    <s v="NON-HISPANIC"/>
    <s v="209"/>
    <s v="DEFERRED"/>
    <n v="11"/>
    <s v="DEFERRED"/>
    <m/>
    <m/>
    <m/>
    <s v="POSS W/INT DEL CS PG1&gt;=4 &lt;200"/>
    <m/>
    <s v="F1"/>
    <s v="SALE DRUG"/>
    <m/>
    <m/>
    <m/>
    <m/>
    <m/>
    <m/>
    <m/>
    <m/>
    <m/>
    <s v="Hired Attorney"/>
    <m/>
    <m/>
    <n v="275"/>
    <n v="275"/>
    <n v="276"/>
    <n v="30.39071038251366"/>
    <n v="0"/>
    <n v="0"/>
    <s v="DEFERRED"/>
    <x v="0"/>
    <s v="N"/>
    <m/>
    <s v="DEFERRED"/>
    <s v="Y"/>
    <x v="0"/>
    <x v="0"/>
    <s v="Y"/>
    <n v="0.99637681159420288"/>
    <n v="1"/>
    <n v="3.6231884057971175E-3"/>
    <n v="0"/>
    <n v="-275"/>
    <n v="0"/>
    <n v="275"/>
    <e v="#VALUE!"/>
    <n v="275"/>
    <n v="0"/>
    <m/>
    <m/>
    <s v="Y"/>
    <m/>
    <s v="121-365 DAYS"/>
    <n v="6"/>
    <x v="0"/>
  </r>
  <r>
    <n v="915"/>
    <s v="N"/>
    <s v="N"/>
    <n v="2163879"/>
    <n v="4"/>
    <d v="2012-02-03T00:00:00"/>
    <d v="2012-03-21T00:00:00"/>
    <n v="2163879"/>
    <d v="2012-02-04T00:00:00"/>
    <d v="2012-02-06T00:00:00"/>
    <n v="2000"/>
    <x v="5"/>
    <d v="2012-02-06T00:00:00"/>
    <s v="Y"/>
    <s v="SURETY"/>
    <s v="GUILTY PLEA - NO JURY"/>
    <n v="3"/>
    <n v="48"/>
    <n v="0"/>
    <n v="2"/>
    <m/>
    <m/>
    <m/>
    <m/>
    <m/>
    <m/>
    <m/>
    <m/>
    <m/>
    <d v="1976-09-08T00:00:00"/>
    <s v="M"/>
    <s v="W"/>
    <s v="WHITE"/>
    <s v="NULL"/>
    <s v="176"/>
    <s v="CONVICTED"/>
    <n v="4"/>
    <s v="HCJ"/>
    <m/>
    <m/>
    <n v="120"/>
    <s v="POSS CS PG 1 &lt;1G"/>
    <m/>
    <s v="FS"/>
    <s v="POSS DRUG"/>
    <m/>
    <m/>
    <m/>
    <m/>
    <m/>
    <m/>
    <m/>
    <m/>
    <m/>
    <s v="Hired Attorney"/>
    <m/>
    <m/>
    <n v="3"/>
    <n v="47"/>
    <n v="48"/>
    <n v="35.330601092896174"/>
    <n v="0"/>
    <n v="-44"/>
    <s v="CONVICTION"/>
    <x v="1"/>
    <s v="Y"/>
    <m/>
    <s v="CONVICTION"/>
    <s v="Y"/>
    <x v="1"/>
    <x v="0"/>
    <s v="N"/>
    <n v="6.25E-2"/>
    <n v="6.3829787234042548E-2"/>
    <n v="1.3297872340425482E-3"/>
    <n v="0"/>
    <n v="-3"/>
    <n v="0"/>
    <n v="3"/>
    <e v="#VALUE!"/>
    <n v="3"/>
    <n v="0"/>
    <m/>
    <m/>
    <s v="Y"/>
    <m/>
    <s v="0-10 DAYS"/>
    <n v="1"/>
    <x v="0"/>
  </r>
  <r>
    <n v="3267"/>
    <s v="N"/>
    <s v="N"/>
    <n v="2164238"/>
    <n v="5"/>
    <d v="2012-04-30T00:00:00"/>
    <d v="2012-05-02T00:00:00"/>
    <n v="2164238"/>
    <d v="2012-04-30T00:00:00"/>
    <d v="2012-05-02T00:00:00"/>
    <s v="NO BOND"/>
    <x v="1"/>
    <m/>
    <s v="N"/>
    <s v="NONE"/>
    <s v="GUILTY PLEA - NO JURY"/>
    <n v="3"/>
    <n v="3"/>
    <n v="1"/>
    <n v="2"/>
    <n v="1"/>
    <m/>
    <m/>
    <m/>
    <m/>
    <m/>
    <m/>
    <m/>
    <m/>
    <d v="1978-04-06T00:00:00"/>
    <s v="M"/>
    <s v="W"/>
    <s v="WHITE"/>
    <s v="NULL"/>
    <s v="178"/>
    <s v="CONVICTED"/>
    <n v="1"/>
    <s v="STJ"/>
    <m/>
    <n v="7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33.997267759562838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3004"/>
    <s v="Y"/>
    <s v="N"/>
    <n v="2164884"/>
    <n v="1"/>
    <d v="2012-04-20T00:00:00"/>
    <d v="2012-07-31T00:00:00"/>
    <n v="2164884"/>
    <s v="NOT BOOKED"/>
    <s v="NOT BOOKED"/>
    <n v="30000"/>
    <x v="2"/>
    <m/>
    <s v="NO BOND MADE - NON ARREST"/>
    <s v="NONE"/>
    <s v="DISMISSED"/>
    <n v="0"/>
    <n v="103"/>
    <n v="8"/>
    <n v="3"/>
    <n v="4"/>
    <m/>
    <m/>
    <m/>
    <m/>
    <m/>
    <m/>
    <m/>
    <m/>
    <d v="1986-08-21T00:00:00"/>
    <s v="M"/>
    <s v="B"/>
    <s v="BLACK"/>
    <s v="NON-HISPANIC"/>
    <s v="180"/>
    <s v="DISMISS"/>
    <n v="2"/>
    <s v="DISMISSED"/>
    <m/>
    <m/>
    <m/>
    <s v="AGG SEXUAL ASSAULT"/>
    <m/>
    <s v="F2"/>
    <s v="RAPE"/>
    <m/>
    <m/>
    <m/>
    <m/>
    <m/>
    <m/>
    <m/>
    <m/>
    <m/>
    <s v="Other/Unknown"/>
    <s v="f burg bld 3/17/13 tdc 2y"/>
    <m/>
    <n v="0"/>
    <e v="#VALUE!"/>
    <n v="103"/>
    <n v="25.612021857923498"/>
    <e v="#VALUE!"/>
    <e v="#VALUE!"/>
    <s v="NO CONVICTION"/>
    <x v="0"/>
    <s v="N"/>
    <m/>
    <s v=""/>
    <n v="0"/>
    <x v="2"/>
    <x v="0"/>
    <s v="Y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1189"/>
    <s v="N"/>
    <s v="N"/>
    <n v="2165937"/>
    <n v="5"/>
    <d v="2012-02-13T00:00:00"/>
    <d v="2012-03-30T00:00:00"/>
    <n v="2165937"/>
    <d v="2012-03-07T00:00:00"/>
    <d v="2012-03-30T00:00:00"/>
    <s v="NO BOND"/>
    <x v="1"/>
    <m/>
    <s v="N"/>
    <s v="NONE"/>
    <s v="GUILTY PLEA - NO JURY"/>
    <n v="24"/>
    <n v="47"/>
    <n v="1"/>
    <n v="2"/>
    <n v="1"/>
    <m/>
    <m/>
    <m/>
    <m/>
    <m/>
    <m/>
    <m/>
    <m/>
    <d v="1987-02-05T00:00:00"/>
    <s v="M"/>
    <s v="B"/>
    <s v="BLACK"/>
    <s v="NULL"/>
    <s v="337"/>
    <s v="CONVICTED"/>
    <n v="4"/>
    <s v="STJ"/>
    <m/>
    <n v="6"/>
    <m/>
    <s v="FAIL TO REGISTER AS SEX OFFEND"/>
    <m/>
    <s v="FS"/>
    <s v="OTHER FEL"/>
    <m/>
    <m/>
    <m/>
    <m/>
    <m/>
    <m/>
    <m/>
    <m/>
    <m/>
    <s v="Appointed Attorney"/>
    <m/>
    <m/>
    <n v="24"/>
    <n v="24"/>
    <n v="47"/>
    <n v="24.969945355191257"/>
    <n v="0"/>
    <n v="0"/>
    <s v="CONVICTION"/>
    <x v="0"/>
    <s v="N"/>
    <m/>
    <s v="CONVICTION"/>
    <s v="Y"/>
    <x v="0"/>
    <x v="0"/>
    <s v="Y"/>
    <n v="0.51063829787234039"/>
    <n v="1"/>
    <n v="0.48936170212765961"/>
    <n v="0"/>
    <n v="-24"/>
    <n v="0"/>
    <n v="24"/>
    <e v="#VALUE!"/>
    <n v="24"/>
    <n v="0"/>
    <m/>
    <m/>
    <s v="Y"/>
    <m/>
    <s v="11-30 DAYS"/>
    <n v="2"/>
    <x v="0"/>
  </r>
  <r>
    <n v="1518"/>
    <s v="N"/>
    <s v="N"/>
    <n v="2166632"/>
    <n v="2"/>
    <d v="2012-02-25T00:00:00"/>
    <d v="2013-01-07T00:00:00"/>
    <n v="2166632"/>
    <d v="2012-02-26T00:00:00"/>
    <d v="2012-02-29T00:00:00"/>
    <n v="30000"/>
    <x v="2"/>
    <d v="2012-02-29T00:00:00"/>
    <s v="Y"/>
    <s v="SURETY"/>
    <s v="DEFERRED ADJUDICATION "/>
    <n v="4"/>
    <n v="318"/>
    <n v="0"/>
    <n v="1"/>
    <m/>
    <m/>
    <m/>
    <m/>
    <m/>
    <m/>
    <m/>
    <m/>
    <m/>
    <d v="1983-01-25T00:00:00"/>
    <s v="M"/>
    <s v="W"/>
    <s v="WHITE"/>
    <s v="NON-HISPANIC"/>
    <s v="174"/>
    <s v="DEFERRED"/>
    <n v="8"/>
    <s v="DEFERRED"/>
    <m/>
    <m/>
    <m/>
    <s v="AGG ASSAULT-FAMILY MEMBER"/>
    <m/>
    <s v="F2"/>
    <s v="ASLT-MURDR"/>
    <m/>
    <m/>
    <m/>
    <m/>
    <m/>
    <m/>
    <m/>
    <m/>
    <m/>
    <s v="Hired Attorney"/>
    <m/>
    <m/>
    <n v="4"/>
    <n v="317"/>
    <n v="318"/>
    <n v="29.024590163934427"/>
    <n v="0"/>
    <n v="-313"/>
    <s v="DEFERRED"/>
    <x v="1"/>
    <s v="Y"/>
    <m/>
    <s v="DEFERRED"/>
    <s v="Y"/>
    <x v="1"/>
    <x v="0"/>
    <s v="N"/>
    <n v="1.2578616352201259E-2"/>
    <n v="1.2618296529968454E-2"/>
    <n v="3.9680177767195332E-5"/>
    <n v="0"/>
    <n v="-4"/>
    <n v="0"/>
    <n v="4"/>
    <e v="#VALUE!"/>
    <n v="4"/>
    <n v="0"/>
    <m/>
    <m/>
    <s v="Y"/>
    <m/>
    <s v="0-10 DAYS"/>
    <n v="1"/>
    <x v="0"/>
  </r>
  <r>
    <n v="1677"/>
    <s v="N"/>
    <s v="N"/>
    <n v="2167276"/>
    <n v="6"/>
    <d v="2012-03-02T00:00:00"/>
    <d v="2012-08-09T00:00:00"/>
    <n v="2167276"/>
    <d v="2012-03-03T00:00:00"/>
    <d v="2012-08-09T00:00:00"/>
    <n v="20000"/>
    <x v="0"/>
    <m/>
    <s v="N"/>
    <s v="NONE"/>
    <s v="GUILTY PLEA - NO JURY"/>
    <n v="160"/>
    <n v="161"/>
    <n v="3"/>
    <n v="2"/>
    <n v="2"/>
    <m/>
    <m/>
    <m/>
    <m/>
    <m/>
    <m/>
    <m/>
    <m/>
    <d v="1983-06-21T00:00:00"/>
    <s v="M"/>
    <s v="B"/>
    <s v="BLACK"/>
    <s v="NULL"/>
    <s v="180"/>
    <s v="CONVICTED"/>
    <n v="9"/>
    <s v="TDC"/>
    <n v="5"/>
    <m/>
    <m/>
    <s v="BURGLARY OF HABITATION"/>
    <m/>
    <s v="F2"/>
    <s v="BURGLARY"/>
    <m/>
    <m/>
    <m/>
    <m/>
    <m/>
    <m/>
    <m/>
    <m/>
    <m/>
    <s v="Appointed Attorney"/>
    <m/>
    <m/>
    <n v="160"/>
    <n v="160"/>
    <n v="161"/>
    <n v="28.639344262295083"/>
    <n v="0"/>
    <n v="0"/>
    <s v="CONVICTION"/>
    <x v="0"/>
    <s v="N"/>
    <m/>
    <s v="CONVICTION"/>
    <s v="Y"/>
    <x v="0"/>
    <x v="0"/>
    <s v="Y"/>
    <n v="0.99378881987577639"/>
    <n v="1"/>
    <n v="6.2111801242236142E-3"/>
    <n v="0"/>
    <n v="-160"/>
    <n v="0"/>
    <n v="160"/>
    <e v="#VALUE!"/>
    <n v="160"/>
    <n v="0"/>
    <m/>
    <m/>
    <s v="Y"/>
    <m/>
    <s v="121-365 DAYS"/>
    <n v="6"/>
    <x v="0"/>
  </r>
  <r>
    <n v="725"/>
    <s v="N"/>
    <s v="N"/>
    <n v="2170927"/>
    <n v="3"/>
    <d v="2012-01-29T00:00:00"/>
    <d v="2012-04-17T00:00:00"/>
    <n v="2170927"/>
    <s v="NOT BOOKED"/>
    <s v="NOT BOOKED"/>
    <n v="10000"/>
    <x v="3"/>
    <d v="2012-01-30T00:00:00"/>
    <s v="Y"/>
    <s v="SURETYPTRc"/>
    <s v="GUILTY PLEA - NO JURY"/>
    <n v="0"/>
    <n v="80"/>
    <n v="0"/>
    <n v="2"/>
    <m/>
    <m/>
    <m/>
    <m/>
    <m/>
    <m/>
    <m/>
    <m/>
    <m/>
    <d v="1980-12-02T00:00:00"/>
    <s v="M"/>
    <s v="W"/>
    <s v="WHITE"/>
    <s v="NON-HISPANIC"/>
    <s v="183"/>
    <s v="CONVICTED"/>
    <n v="4"/>
    <s v="PROBATION"/>
    <m/>
    <m/>
    <m/>
    <s v="DWI 3RD OFFENDER BAC .08"/>
    <m/>
    <s v="F3"/>
    <s v="FEL DWI"/>
    <m/>
    <m/>
    <m/>
    <m/>
    <m/>
    <m/>
    <m/>
    <m/>
    <m/>
    <s v="Hired Attorney"/>
    <m/>
    <m/>
    <n v="0"/>
    <n v="0"/>
    <n v="80"/>
    <n v="31.092896174863387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1881"/>
    <s v="N"/>
    <s v="N"/>
    <n v="2172089"/>
    <n v="3"/>
    <d v="2012-03-10T00:00:00"/>
    <d v="2012-07-12T00:00:00"/>
    <n v="2172089"/>
    <s v="NOT BOOKED"/>
    <s v="NOT BOOKED"/>
    <n v="10000"/>
    <x v="3"/>
    <d v="2012-03-11T00:00:00"/>
    <s v="Y"/>
    <s v="SURETY"/>
    <s v="GUILTY PLEA - NO JURY"/>
    <n v="0"/>
    <n v="125"/>
    <n v="0"/>
    <n v="2"/>
    <m/>
    <m/>
    <m/>
    <m/>
    <m/>
    <m/>
    <m/>
    <m/>
    <m/>
    <d v="1985-06-11T00:00:00"/>
    <s v="F"/>
    <s v="W"/>
    <s v="WHITE"/>
    <s v="NULL"/>
    <s v="180"/>
    <s v="CONVICTED"/>
    <n v="5"/>
    <s v="PROBATION"/>
    <m/>
    <m/>
    <m/>
    <s v="DWI 3RD OFFENDER BAC .08"/>
    <m/>
    <s v="F3"/>
    <s v="FEL DWI"/>
    <m/>
    <m/>
    <m/>
    <m/>
    <m/>
    <m/>
    <m/>
    <m/>
    <m/>
    <s v="Hired Attorney"/>
    <m/>
    <m/>
    <n v="0"/>
    <n v="0"/>
    <n v="125"/>
    <n v="26.691256830601095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1160"/>
    <s v="N"/>
    <s v="N"/>
    <n v="2173805"/>
    <n v="6"/>
    <d v="2012-02-11T00:00:00"/>
    <d v="2012-07-20T00:00:00"/>
    <n v="2173805"/>
    <d v="2012-02-11T00:00:00"/>
    <d v="2012-07-20T00:00:00"/>
    <n v="20000"/>
    <x v="0"/>
    <m/>
    <s v="N"/>
    <s v="NONE"/>
    <s v="GUILTY PLEA - NO JURY"/>
    <n v="161"/>
    <n v="161"/>
    <n v="2"/>
    <n v="3"/>
    <n v="1"/>
    <m/>
    <m/>
    <m/>
    <m/>
    <m/>
    <m/>
    <m/>
    <m/>
    <d v="1986-04-09T00:00:00"/>
    <s v="F"/>
    <s v="B"/>
    <s v="BLACK"/>
    <s v="NON-HISPANIC"/>
    <s v="232"/>
    <s v="CONVICTED"/>
    <n v="8"/>
    <s v="TDC"/>
    <n v="5"/>
    <m/>
    <m/>
    <s v="BURGLARY OF HABITATION"/>
    <m/>
    <s v="F2"/>
    <s v="BURGLARY"/>
    <m/>
    <m/>
    <m/>
    <m/>
    <m/>
    <m/>
    <m/>
    <m/>
    <m/>
    <s v="Public Defender"/>
    <m/>
    <m/>
    <n v="161"/>
    <n v="161"/>
    <n v="161"/>
    <n v="25.789617486338798"/>
    <n v="0"/>
    <n v="0"/>
    <s v="CONVICTION"/>
    <x v="0"/>
    <s v="N"/>
    <m/>
    <s v="CONVICTION"/>
    <s v="Y"/>
    <x v="0"/>
    <x v="0"/>
    <s v="Y"/>
    <n v="1"/>
    <n v="1"/>
    <n v="0"/>
    <n v="0"/>
    <n v="-161"/>
    <n v="0"/>
    <n v="161"/>
    <e v="#VALUE!"/>
    <n v="161"/>
    <n v="0"/>
    <m/>
    <m/>
    <s v="Y"/>
    <m/>
    <s v="121-365 DAYS"/>
    <n v="6"/>
    <x v="0"/>
  </r>
  <r>
    <n v="2203"/>
    <s v="N"/>
    <s v="N"/>
    <n v="2173870"/>
    <n v="3"/>
    <d v="2012-03-23T00:00:00"/>
    <d v="2012-06-26T00:00:00"/>
    <n v="2173870"/>
    <d v="2012-03-23T00:00:00"/>
    <d v="2012-06-26T00:00:00"/>
    <n v="20000"/>
    <x v="0"/>
    <m/>
    <s v="N"/>
    <s v="NONE"/>
    <s v="GUILTY PLEA - NO JURY"/>
    <n v="96"/>
    <n v="96"/>
    <n v="0"/>
    <n v="1"/>
    <m/>
    <m/>
    <m/>
    <m/>
    <m/>
    <m/>
    <m/>
    <m/>
    <m/>
    <d v="1984-05-03T00:00:00"/>
    <s v="M"/>
    <s v="W"/>
    <s v="WHITE"/>
    <s v="NON-HISPANIC"/>
    <s v="262"/>
    <s v="CONVICTED"/>
    <n v="5"/>
    <s v="PROBATION"/>
    <m/>
    <m/>
    <n v="10"/>
    <s v="DWI 3RD OFFENDER BAC .08"/>
    <m/>
    <s v="F3"/>
    <s v="FEL DWI"/>
    <m/>
    <m/>
    <m/>
    <m/>
    <m/>
    <m/>
    <m/>
    <m/>
    <m/>
    <s v="Appointed Attorney"/>
    <m/>
    <m/>
    <n v="96"/>
    <n v="96"/>
    <n v="96"/>
    <n v="27.830601092896174"/>
    <n v="0"/>
    <n v="0"/>
    <s v="CONVICTION"/>
    <x v="0"/>
    <s v="N"/>
    <m/>
    <s v="CONVICTION"/>
    <s v="Y"/>
    <x v="0"/>
    <x v="0"/>
    <s v="N"/>
    <n v="1"/>
    <n v="1"/>
    <n v="0"/>
    <n v="0"/>
    <n v="-96"/>
    <n v="0"/>
    <n v="96"/>
    <e v="#VALUE!"/>
    <n v="96"/>
    <n v="0"/>
    <m/>
    <m/>
    <s v="Y"/>
    <m/>
    <s v="91-120 DAYS"/>
    <n v="0"/>
    <x v="0"/>
  </r>
  <r>
    <n v="1934"/>
    <s v="N"/>
    <s v="N"/>
    <n v="2173876"/>
    <n v="1"/>
    <d v="2012-03-13T00:00:00"/>
    <d v="2012-05-09T00:00:00"/>
    <n v="2173876"/>
    <d v="2012-03-14T00:00:00"/>
    <d v="2012-05-09T00:00:00"/>
    <n v="15000"/>
    <x v="0"/>
    <m/>
    <s v="N"/>
    <s v="NONE"/>
    <s v="DISMISSED"/>
    <n v="57"/>
    <n v="58"/>
    <n v="2"/>
    <n v="1"/>
    <n v="2"/>
    <m/>
    <m/>
    <m/>
    <m/>
    <m/>
    <m/>
    <m/>
    <m/>
    <d v="1986-03-25T00:00:00"/>
    <s v="M"/>
    <s v="H"/>
    <s v="HISPANIC"/>
    <s v="HISPANIC"/>
    <s v="338"/>
    <s v="DISMISSED"/>
    <m/>
    <s v="DISMISSED"/>
    <m/>
    <m/>
    <m/>
    <s v="FAIL TO REGISTER AS SEX OFFEND"/>
    <m/>
    <s v="FS"/>
    <s v="OTHER FEL"/>
    <m/>
    <m/>
    <m/>
    <m/>
    <m/>
    <m/>
    <m/>
    <m/>
    <m/>
    <s v="Appointed Attorney"/>
    <m/>
    <m/>
    <n v="57"/>
    <n v="57"/>
    <n v="58"/>
    <n v="25.915300546448087"/>
    <n v="0"/>
    <n v="0"/>
    <s v="NO CONVICTION"/>
    <x v="0"/>
    <s v="N"/>
    <m/>
    <s v="NO CONVICTION"/>
    <s v="Y"/>
    <x v="0"/>
    <x v="0"/>
    <s v="Y"/>
    <n v="0.98275862068965514"/>
    <n v="1"/>
    <n v="1.7241379310344862E-2"/>
    <n v="0"/>
    <n v="-57"/>
    <n v="0"/>
    <n v="57"/>
    <e v="#VALUE!"/>
    <n v="57"/>
    <n v="0"/>
    <m/>
    <m/>
    <s v="Y"/>
    <m/>
    <s v="31-60 DAYS"/>
    <n v="3"/>
    <x v="0"/>
  </r>
  <r>
    <n v="203"/>
    <s v="N"/>
    <s v="N"/>
    <n v="2174246"/>
    <n v="6"/>
    <d v="2012-01-10T00:00:00"/>
    <d v="2012-11-12T00:00:00"/>
    <n v="2174246"/>
    <d v="2012-01-10T00:00:00"/>
    <d v="2012-11-12T00:00:00"/>
    <n v="60000"/>
    <x v="2"/>
    <m/>
    <s v="N"/>
    <s v="NONE"/>
    <s v="GUILTY PLEA - NO JURY"/>
    <n v="308"/>
    <n v="308"/>
    <n v="3"/>
    <n v="0"/>
    <n v="3"/>
    <m/>
    <m/>
    <m/>
    <m/>
    <m/>
    <m/>
    <m/>
    <m/>
    <d v="1986-04-23T00:00:00"/>
    <s v="M"/>
    <s v="W"/>
    <s v="WHITE"/>
    <s v="NULL"/>
    <s v="177"/>
    <s v="CONVICTED"/>
    <n v="10"/>
    <s v="TDC"/>
    <n v="5"/>
    <m/>
    <m/>
    <s v="ASSAULT-BOD INJ-PUB SERV/RETAL"/>
    <m/>
    <s v="F3"/>
    <s v="ASLT-MURDR"/>
    <m/>
    <m/>
    <m/>
    <m/>
    <m/>
    <m/>
    <m/>
    <m/>
    <m/>
    <s v="Appointed Attorney"/>
    <m/>
    <m/>
    <n v="308"/>
    <n v="308"/>
    <n v="308"/>
    <n v="25.66393442622951"/>
    <n v="0"/>
    <n v="0"/>
    <s v="CONVICTION"/>
    <x v="0"/>
    <s v="N"/>
    <m/>
    <s v="CONVICTION"/>
    <s v="Y"/>
    <x v="0"/>
    <x v="0"/>
    <s v="Y"/>
    <n v="1"/>
    <n v="1"/>
    <n v="0"/>
    <n v="0"/>
    <n v="-308"/>
    <n v="0"/>
    <n v="308"/>
    <e v="#VALUE!"/>
    <n v="308"/>
    <n v="0"/>
    <m/>
    <m/>
    <s v="Y"/>
    <m/>
    <s v="121-365 DAYS"/>
    <n v="6"/>
    <x v="0"/>
  </r>
  <r>
    <n v="1901"/>
    <s v="N"/>
    <s v="N"/>
    <n v="2175173"/>
    <n v="6"/>
    <d v="2012-03-11T00:00:00"/>
    <d v="2012-06-14T00:00:00"/>
    <n v="2175173"/>
    <d v="2012-03-11T00:00:00"/>
    <d v="2012-06-14T00:00:00"/>
    <s v="NO BOND"/>
    <x v="1"/>
    <m/>
    <s v="N"/>
    <s v="NONE"/>
    <s v="GUILTY PLEA - NO JURY"/>
    <n v="96"/>
    <n v="96"/>
    <n v="1"/>
    <n v="3"/>
    <m/>
    <m/>
    <m/>
    <m/>
    <m/>
    <m/>
    <m/>
    <m/>
    <m/>
    <d v="1974-04-01T00:00:00"/>
    <s v="M"/>
    <s v="W"/>
    <s v="WHITE"/>
    <s v="NULL"/>
    <s v="230"/>
    <s v="CONVICTED"/>
    <n v="4"/>
    <s v="TDC"/>
    <n v="2"/>
    <m/>
    <m/>
    <s v="AGG ASSAULT-FAMILY MEMBER"/>
    <m/>
    <s v="F2"/>
    <s v="ASLT-MURDR"/>
    <m/>
    <m/>
    <m/>
    <m/>
    <m/>
    <m/>
    <m/>
    <m/>
    <m/>
    <s v="Appointed Attorney"/>
    <m/>
    <m/>
    <n v="96"/>
    <n v="96"/>
    <n v="96"/>
    <n v="37.866120218579233"/>
    <n v="0"/>
    <n v="0"/>
    <s v="CONVICTION"/>
    <x v="0"/>
    <s v="N"/>
    <m/>
    <s v="CONVICTION"/>
    <s v="Y"/>
    <x v="0"/>
    <x v="0"/>
    <s v="Y"/>
    <n v="1"/>
    <n v="1"/>
    <n v="0"/>
    <n v="0"/>
    <n v="-96"/>
    <n v="0"/>
    <n v="96"/>
    <e v="#VALUE!"/>
    <n v="96"/>
    <n v="0"/>
    <m/>
    <m/>
    <s v="Y"/>
    <m/>
    <s v="91-120 DAYS"/>
    <n v="0"/>
    <x v="0"/>
  </r>
  <r>
    <n v="519"/>
    <s v="N"/>
    <s v="N"/>
    <n v="2177744"/>
    <n v="6"/>
    <d v="2012-01-21T00:00:00"/>
    <d v="2012-04-17T00:00:00"/>
    <n v="2177744"/>
    <d v="2012-01-21T00:00:00"/>
    <d v="2012-04-17T00:00:00"/>
    <n v="20000"/>
    <x v="0"/>
    <m/>
    <s v="N"/>
    <s v="NONE"/>
    <s v="GUILTY PLEA - NO JURY"/>
    <n v="88"/>
    <n v="88"/>
    <n v="5"/>
    <n v="4"/>
    <n v="5"/>
    <m/>
    <m/>
    <m/>
    <m/>
    <m/>
    <m/>
    <s v="S"/>
    <m/>
    <d v="1988-09-10T00:00:00"/>
    <s v="M"/>
    <s v="H"/>
    <s v="HISPANIC"/>
    <s v="NULL"/>
    <s v="339"/>
    <s v="CONVICTED"/>
    <n v="5"/>
    <s v="TDC"/>
    <n v="5"/>
    <m/>
    <m/>
    <s v="POSS W/INT DEL CS PG1&gt;=4 &lt;200"/>
    <m/>
    <s v="F1"/>
    <s v="SALE DRUG"/>
    <m/>
    <m/>
    <m/>
    <m/>
    <m/>
    <m/>
    <m/>
    <m/>
    <m/>
    <s v="Hired Attorney"/>
    <m/>
    <m/>
    <n v="88"/>
    <n v="88"/>
    <n v="88"/>
    <n v="23.314207650273225"/>
    <n v="0"/>
    <n v="0"/>
    <s v="CONVICTION"/>
    <x v="0"/>
    <s v="N"/>
    <m/>
    <s v="CONVICTION"/>
    <s v="Y"/>
    <x v="0"/>
    <x v="0"/>
    <s v="Y"/>
    <n v="1"/>
    <n v="1"/>
    <n v="0"/>
    <n v="0"/>
    <n v="-88"/>
    <n v="0"/>
    <n v="88"/>
    <e v="#VALUE!"/>
    <n v="88"/>
    <n v="0"/>
    <m/>
    <m/>
    <s v="Y"/>
    <m/>
    <s v="61-90 DAYS"/>
    <n v="4"/>
    <x v="0"/>
  </r>
  <r>
    <n v="2820"/>
    <s v="N"/>
    <s v="N"/>
    <n v="2178101"/>
    <n v="1"/>
    <d v="2012-04-13T00:00:00"/>
    <d v="2012-06-04T00:00:00"/>
    <n v="2178101"/>
    <d v="2012-04-14T00:00:00"/>
    <d v="2012-06-04T00:00:00"/>
    <n v="15000"/>
    <x v="0"/>
    <m/>
    <s v="N"/>
    <s v="NONE"/>
    <s v="DISMISSED"/>
    <n v="52"/>
    <n v="53"/>
    <n v="3"/>
    <n v="6"/>
    <m/>
    <m/>
    <m/>
    <m/>
    <m/>
    <m/>
    <m/>
    <m/>
    <m/>
    <d v="1988-08-01T00:00:00"/>
    <s v="M"/>
    <s v="B"/>
    <s v="BLACK"/>
    <s v="NON-HISPANIC"/>
    <s v="339"/>
    <s v="DISMISSED"/>
    <n v="4"/>
    <s v="DISMISSED"/>
    <m/>
    <m/>
    <m/>
    <s v="POSS CS PG 1 &lt;1G"/>
    <m/>
    <s v="FS"/>
    <s v="POSS DRUG"/>
    <m/>
    <m/>
    <m/>
    <m/>
    <m/>
    <m/>
    <m/>
    <m/>
    <m/>
    <s v="Appointed Attorney"/>
    <m/>
    <m/>
    <n v="52"/>
    <n v="52"/>
    <n v="53"/>
    <n v="23.650273224043715"/>
    <n v="0"/>
    <n v="0"/>
    <s v="NO CONVICTION"/>
    <x v="0"/>
    <s v="N"/>
    <m/>
    <s v="NO CONVICTION"/>
    <s v="Y"/>
    <x v="0"/>
    <x v="0"/>
    <s v="Y"/>
    <n v="0.98113207547169812"/>
    <n v="1"/>
    <n v="1.8867924528301883E-2"/>
    <n v="0"/>
    <n v="-52"/>
    <n v="0"/>
    <n v="52"/>
    <e v="#VALUE!"/>
    <n v="52"/>
    <n v="0"/>
    <m/>
    <m/>
    <s v="Y"/>
    <m/>
    <s v="31-60 DAYS"/>
    <n v="3"/>
    <x v="0"/>
  </r>
  <r>
    <n v="1847"/>
    <s v="N"/>
    <s v="N"/>
    <n v="2178184"/>
    <n v="5"/>
    <d v="2012-03-09T00:00:00"/>
    <d v="2012-09-13T00:00:00"/>
    <n v="2178184"/>
    <d v="2012-03-10T00:00:00"/>
    <d v="2012-09-13T00:00:00"/>
    <n v="70000"/>
    <x v="2"/>
    <m/>
    <s v="N"/>
    <s v="NONE"/>
    <s v="GUILTY PLEA - NO JURY"/>
    <n v="188"/>
    <n v="189"/>
    <n v="0"/>
    <n v="1"/>
    <m/>
    <m/>
    <m/>
    <m/>
    <m/>
    <m/>
    <m/>
    <s v="S"/>
    <m/>
    <d v="1982-05-12T00:00:00"/>
    <s v="M"/>
    <s v="H"/>
    <s v="HISPANIC"/>
    <s v="NULL"/>
    <s v="184"/>
    <s v="CONVICTED"/>
    <n v="7"/>
    <s v="STJ"/>
    <m/>
    <n v="8"/>
    <m/>
    <s v="POSS W/INT DEL CS PG1&gt;=4 &lt;200"/>
    <m/>
    <s v="F1"/>
    <s v="SALE DRUG"/>
    <m/>
    <m/>
    <m/>
    <m/>
    <m/>
    <m/>
    <m/>
    <m/>
    <m/>
    <s v="Appointed Attorney"/>
    <m/>
    <m/>
    <n v="188"/>
    <n v="188"/>
    <n v="189"/>
    <n v="29.765027322404372"/>
    <n v="0"/>
    <n v="0"/>
    <s v="CONVICTION"/>
    <x v="0"/>
    <s v="N"/>
    <m/>
    <s v="CONVICTION"/>
    <s v="Y"/>
    <x v="0"/>
    <x v="0"/>
    <s v="N"/>
    <n v="0.99470899470899465"/>
    <n v="1"/>
    <n v="5.2910052910053462E-3"/>
    <n v="0"/>
    <n v="-188"/>
    <n v="0"/>
    <n v="188"/>
    <e v="#VALUE!"/>
    <n v="188"/>
    <n v="0"/>
    <m/>
    <m/>
    <s v="Y"/>
    <m/>
    <s v="121-365 DAYS"/>
    <n v="6"/>
    <x v="0"/>
  </r>
  <r>
    <n v="3179"/>
    <s v="N"/>
    <s v="N"/>
    <n v="2178424"/>
    <n v="4"/>
    <d v="2012-04-27T00:00:00"/>
    <d v="2012-05-22T00:00:00"/>
    <n v="2178424"/>
    <d v="2012-04-27T00:00:00"/>
    <d v="2012-05-22T00:00:00"/>
    <n v="2000"/>
    <x v="5"/>
    <m/>
    <s v="N"/>
    <s v="NONE"/>
    <s v="GUILTY PLEA - NO JURY"/>
    <n v="26"/>
    <n v="26"/>
    <n v="1"/>
    <n v="0"/>
    <m/>
    <m/>
    <m/>
    <m/>
    <m/>
    <m/>
    <m/>
    <m/>
    <m/>
    <d v="1986-01-02T00:00:00"/>
    <s v="M"/>
    <s v="W"/>
    <s v="WHITE"/>
    <s v="NULL"/>
    <s v="230"/>
    <s v="CONVICTED"/>
    <n v="3"/>
    <s v="HCJ"/>
    <m/>
    <m/>
    <n v="180"/>
    <s v="POSS CS PG 1 &lt;1G"/>
    <m/>
    <s v="FS"/>
    <s v="POSS DRUG"/>
    <m/>
    <m/>
    <m/>
    <m/>
    <m/>
    <m/>
    <m/>
    <m/>
    <m/>
    <s v="Appointed Attorney"/>
    <m/>
    <m/>
    <n v="26"/>
    <n v="26"/>
    <n v="26"/>
    <n v="26.262295081967213"/>
    <n v="0"/>
    <n v="0"/>
    <s v="CONVICTION"/>
    <x v="0"/>
    <s v="N"/>
    <m/>
    <s v="CONVICTION"/>
    <s v="Y"/>
    <x v="0"/>
    <x v="0"/>
    <s v="Y"/>
    <n v="1"/>
    <n v="1"/>
    <n v="0"/>
    <n v="0"/>
    <n v="-26"/>
    <n v="0"/>
    <n v="26"/>
    <e v="#VALUE!"/>
    <n v="26"/>
    <n v="0"/>
    <m/>
    <m/>
    <s v="Y"/>
    <m/>
    <s v="11-30 DAYS"/>
    <n v="2"/>
    <x v="0"/>
  </r>
  <r>
    <n v="2966"/>
    <s v="N"/>
    <s v="N"/>
    <n v="2178747"/>
    <n v="1"/>
    <d v="2012-04-19T00:00:00"/>
    <d v="2012-04-26T00:00:00"/>
    <n v="2178747"/>
    <d v="2012-04-21T00:00:00"/>
    <d v="2012-04-22T00:00:00"/>
    <n v="10000"/>
    <x v="3"/>
    <d v="2012-04-22T00:00:00"/>
    <s v="Y"/>
    <s v="SURETY"/>
    <s v="NO BILL"/>
    <n v="2"/>
    <n v="8"/>
    <n v="0"/>
    <n v="1"/>
    <m/>
    <m/>
    <m/>
    <m/>
    <m/>
    <m/>
    <m/>
    <s v="S"/>
    <m/>
    <d v="1987-09-08T00:00:00"/>
    <s v="M"/>
    <s v="H"/>
    <s v="HISPANIC"/>
    <s v="NULL"/>
    <s v="208"/>
    <s v="NO BILL"/>
    <n v="2"/>
    <s v="NO BILL"/>
    <m/>
    <m/>
    <m/>
    <s v="ROBBERY-BODILY INJURY"/>
    <m/>
    <s v="F2"/>
    <s v="ROBBERY"/>
    <m/>
    <m/>
    <m/>
    <m/>
    <m/>
    <m/>
    <m/>
    <m/>
    <m/>
    <s v="Other/Unknown"/>
    <m/>
    <m/>
    <n v="2"/>
    <n v="6"/>
    <n v="8"/>
    <n v="24.562841530054644"/>
    <n v="0"/>
    <n v="-4"/>
    <s v="NO CONVICTION"/>
    <x v="1"/>
    <s v="Y"/>
    <m/>
    <s v="NO CONVICTION"/>
    <s v="Y"/>
    <x v="1"/>
    <x v="0"/>
    <s v="N"/>
    <n v="0.25"/>
    <n v="0.33333333333333331"/>
    <n v="8.3333333333333315E-2"/>
    <n v="0"/>
    <n v="-2"/>
    <n v="0"/>
    <n v="2"/>
    <e v="#VALUE!"/>
    <n v="2"/>
    <n v="0"/>
    <m/>
    <m/>
    <s v="Y"/>
    <m/>
    <s v="0-10 DAYS"/>
    <n v="1"/>
    <x v="0"/>
  </r>
  <r>
    <n v="461"/>
    <s v="N"/>
    <s v="N"/>
    <n v="2179049"/>
    <n v="1"/>
    <d v="2012-01-19T00:00:00"/>
    <d v="2012-01-23T00:00:00"/>
    <n v="2179049"/>
    <d v="2012-01-20T00:00:00"/>
    <d v="2012-01-23T00:00:00"/>
    <s v="NO BOND"/>
    <x v="1"/>
    <m/>
    <s v="N"/>
    <s v="NONE"/>
    <s v="DISMISSED"/>
    <n v="4"/>
    <n v="5"/>
    <n v="0"/>
    <n v="0"/>
    <m/>
    <m/>
    <m/>
    <m/>
    <m/>
    <m/>
    <m/>
    <m/>
    <m/>
    <d v="1987-03-21T00:00:00"/>
    <s v="M"/>
    <s v="B"/>
    <s v="BLACK"/>
    <s v="NULL"/>
    <s v="174"/>
    <s v="DISMISSED"/>
    <n v="1"/>
    <s v="DISMISSED"/>
    <m/>
    <m/>
    <m/>
    <s v="FORGERY GOVT FINANCIAL INST"/>
    <m/>
    <s v="F3"/>
    <s v="OTHER FEL"/>
    <m/>
    <m/>
    <m/>
    <m/>
    <m/>
    <m/>
    <m/>
    <m/>
    <m/>
    <s v="Appointed Attorney"/>
    <m/>
    <m/>
    <n v="4"/>
    <n v="4"/>
    <n v="5"/>
    <n v="24.781420765027324"/>
    <n v="0"/>
    <n v="0"/>
    <s v="NO CONVICTION"/>
    <x v="0"/>
    <s v="N"/>
    <m/>
    <s v="NO CONVICTION"/>
    <s v="Y"/>
    <x v="0"/>
    <x v="0"/>
    <s v="N"/>
    <n v="0.8"/>
    <n v="1"/>
    <n v="0.19999999999999996"/>
    <n v="0"/>
    <n v="-4"/>
    <n v="0"/>
    <n v="4"/>
    <e v="#VALUE!"/>
    <n v="4"/>
    <n v="0"/>
    <m/>
    <m/>
    <s v="N"/>
    <m/>
    <s v="0-10 DAYS"/>
    <n v="1"/>
    <x v="0"/>
  </r>
  <r>
    <n v="470"/>
    <s v="N"/>
    <s v="N"/>
    <n v="2179083"/>
    <n v="2"/>
    <d v="2012-01-19T00:00:00"/>
    <d v="2012-01-23T00:00:00"/>
    <n v="2179083"/>
    <d v="2012-01-20T00:00:00"/>
    <d v="2012-01-23T00:00:00"/>
    <n v="2000"/>
    <x v="5"/>
    <m/>
    <s v="N"/>
    <s v="NONE"/>
    <s v="DEFERRED ADJUDICATION "/>
    <n v="4"/>
    <n v="5"/>
    <n v="0"/>
    <n v="0"/>
    <m/>
    <m/>
    <m/>
    <m/>
    <m/>
    <m/>
    <m/>
    <m/>
    <m/>
    <d v="1947-01-17T00:00:00"/>
    <s v="M"/>
    <s v="B"/>
    <s v="BLACK"/>
    <s v="NULL"/>
    <s v="208"/>
    <s v="DEFERRED"/>
    <n v="1"/>
    <s v="DEFERRED"/>
    <m/>
    <m/>
    <m/>
    <s v="POSS CS PG 1 &lt;1G"/>
    <m/>
    <s v="FS"/>
    <s v="POSS DRUG"/>
    <s v="LV drugs bk 2/17/12 bk 3/1/12  HCJ 90 D PROB REV"/>
    <m/>
    <m/>
    <m/>
    <m/>
    <m/>
    <m/>
    <m/>
    <m/>
    <s v="Hired Attorney"/>
    <m/>
    <m/>
    <n v="4"/>
    <n v="4"/>
    <n v="5"/>
    <n v="64.87158469945355"/>
    <n v="0"/>
    <n v="0"/>
    <s v="DEFERRED"/>
    <x v="0"/>
    <s v="N"/>
    <m/>
    <s v="DEFERRED"/>
    <s v="Y"/>
    <x v="0"/>
    <x v="0"/>
    <s v="N"/>
    <n v="0.8"/>
    <n v="1"/>
    <n v="0.19999999999999996"/>
    <n v="0"/>
    <n v="-4"/>
    <n v="0"/>
    <n v="4"/>
    <e v="#VALUE!"/>
    <n v="4"/>
    <n v="0"/>
    <m/>
    <m/>
    <s v="N"/>
    <m/>
    <s v="0-10 DAYS"/>
    <n v="1"/>
    <x v="0"/>
  </r>
  <r>
    <n v="1703"/>
    <s v="N"/>
    <s v="Y"/>
    <n v="2179826"/>
    <n v="1"/>
    <d v="2012-03-04T00:00:00"/>
    <d v="2012-08-02T00:00:00"/>
    <n v="2179826"/>
    <d v="2012-03-04T00:00:00"/>
    <d v="2012-03-04T00:00:00"/>
    <n v="80000"/>
    <x v="2"/>
    <d v="2012-03-04T00:00:00"/>
    <s v="Y"/>
    <s v="SURETYPTRc"/>
    <s v="DISMISSED"/>
    <n v="14"/>
    <n v="152"/>
    <n v="1"/>
    <n v="4"/>
    <m/>
    <m/>
    <m/>
    <m/>
    <m/>
    <m/>
    <m/>
    <m/>
    <m/>
    <d v="1985-12-06T00:00:00"/>
    <s v="F"/>
    <s v="W"/>
    <s v="WHITE"/>
    <s v="NULL"/>
    <s v="184"/>
    <s v="DISMISSED"/>
    <n v="8"/>
    <s v="DISMISSED"/>
    <m/>
    <m/>
    <m/>
    <s v="POSS CS PG 1 &lt;1G"/>
    <m/>
    <s v="FS"/>
    <s v="POSS DRUG"/>
    <m/>
    <s v="bd rev 3/26/12"/>
    <m/>
    <m/>
    <s v="Y"/>
    <m/>
    <m/>
    <m/>
    <m/>
    <s v="Hired Attorney"/>
    <m/>
    <m/>
    <n v="14"/>
    <n v="152"/>
    <n v="152"/>
    <n v="26.188524590163933"/>
    <n v="0"/>
    <n v="-151"/>
    <s v="NO CONVICTION"/>
    <x v="1"/>
    <s v="Y"/>
    <m/>
    <s v="NO CONVICTION"/>
    <s v="Y"/>
    <x v="1"/>
    <x v="0"/>
    <s v="Y"/>
    <n v="9.2105263157894732E-2"/>
    <n v="6.5789473684210523E-3"/>
    <n v="-8.5526315789473673E-2"/>
    <n v="0"/>
    <n v="-1"/>
    <n v="13"/>
    <n v="1"/>
    <n v="14"/>
    <m/>
    <n v="151"/>
    <m/>
    <m/>
    <s v="Y"/>
    <m/>
    <s v="11-30 DAYS"/>
    <n v="2"/>
    <x v="0"/>
  </r>
  <r>
    <n v="3169"/>
    <s v="N"/>
    <s v="N"/>
    <n v="2181272"/>
    <n v="2"/>
    <d v="2012-04-26T00:00:00"/>
    <d v="2013-02-14T00:00:00"/>
    <n v="2181272"/>
    <d v="2012-04-27T00:00:00"/>
    <d v="2012-05-11T00:00:00"/>
    <n v="10000"/>
    <x v="3"/>
    <d v="2012-05-11T00:00:00"/>
    <s v="Y"/>
    <s v="SURETY"/>
    <s v="DEFERRED ADJUDICATION "/>
    <n v="15"/>
    <n v="295"/>
    <n v="2"/>
    <n v="5"/>
    <n v="1"/>
    <m/>
    <m/>
    <m/>
    <m/>
    <m/>
    <m/>
    <m/>
    <m/>
    <d v="1987-05-06T00:00:00"/>
    <s v="M"/>
    <s v="B"/>
    <s v="BLACK"/>
    <s v="NULL"/>
    <s v="263"/>
    <s v="DEFERRED"/>
    <n v="7"/>
    <s v="DEFERRED"/>
    <m/>
    <m/>
    <m/>
    <s v="FORGERY GOVT FINANCIAL INST"/>
    <m/>
    <s v="F3"/>
    <s v="OTHER FEL"/>
    <m/>
    <m/>
    <m/>
    <m/>
    <m/>
    <m/>
    <m/>
    <m/>
    <m/>
    <s v="Appointed Attorney"/>
    <m/>
    <m/>
    <n v="15"/>
    <n v="294"/>
    <n v="295"/>
    <n v="24.923497267759561"/>
    <n v="0"/>
    <n v="-279"/>
    <s v="DEFERRED"/>
    <x v="1"/>
    <s v="Y"/>
    <m/>
    <s v="DEFERRED"/>
    <s v="Y"/>
    <x v="1"/>
    <x v="0"/>
    <s v="Y"/>
    <n v="5.0847457627118647E-2"/>
    <n v="5.1020408163265307E-2"/>
    <n v="1.7295053614665989E-4"/>
    <n v="0"/>
    <n v="-15"/>
    <n v="0"/>
    <n v="15"/>
    <e v="#VALUE!"/>
    <n v="15"/>
    <n v="0"/>
    <m/>
    <m/>
    <s v="Y"/>
    <m/>
    <s v="11-30 DAYS"/>
    <n v="2"/>
    <x v="0"/>
  </r>
  <r>
    <n v="494"/>
    <s v="N"/>
    <s v="N"/>
    <n v="2181572"/>
    <n v="2"/>
    <d v="2012-01-20T00:00:00"/>
    <d v="2012-06-12T00:00:00"/>
    <n v="2181572"/>
    <d v="2012-01-21T00:00:00"/>
    <d v="2012-01-23T00:00:00"/>
    <n v="10000"/>
    <x v="3"/>
    <d v="2012-01-23T00:00:00"/>
    <s v="Y"/>
    <s v="SURETY"/>
    <s v="DEFERRED ADJUDICATION "/>
    <n v="3"/>
    <n v="145"/>
    <n v="1"/>
    <n v="2"/>
    <m/>
    <m/>
    <m/>
    <m/>
    <m/>
    <m/>
    <m/>
    <m/>
    <m/>
    <d v="1987-06-16T00:00:00"/>
    <s v="M"/>
    <s v="B"/>
    <s v="BLACK"/>
    <s v="NULL"/>
    <s v="174"/>
    <s v="DEFERRED"/>
    <n v="6"/>
    <s v="DEFERRED"/>
    <m/>
    <m/>
    <m/>
    <s v="POSS CS PG 1 &lt;1G"/>
    <m/>
    <s v="FS"/>
    <s v="POSS DRUG"/>
    <m/>
    <m/>
    <m/>
    <m/>
    <m/>
    <m/>
    <m/>
    <m/>
    <m/>
    <s v="Hired Attorney"/>
    <m/>
    <m/>
    <n v="3"/>
    <n v="144"/>
    <n v="145"/>
    <n v="24.546448087431695"/>
    <n v="0"/>
    <n v="-141"/>
    <s v="DEFERRED"/>
    <x v="1"/>
    <s v="Y"/>
    <m/>
    <s v="DEFERRED"/>
    <s v="Y"/>
    <x v="1"/>
    <x v="0"/>
    <s v="Y"/>
    <n v="2.0689655172413793E-2"/>
    <n v="2.0833333333333332E-2"/>
    <n v="1.4367816091953936E-4"/>
    <n v="0"/>
    <n v="-3"/>
    <n v="0"/>
    <n v="3"/>
    <e v="#VALUE!"/>
    <n v="3"/>
    <n v="0"/>
    <m/>
    <m/>
    <s v="Y"/>
    <m/>
    <s v="0-10 DAYS"/>
    <n v="1"/>
    <x v="0"/>
  </r>
  <r>
    <n v="2430"/>
    <s v="N"/>
    <s v="N"/>
    <n v="2182523"/>
    <n v="2"/>
    <d v="2012-04-01T00:00:00"/>
    <d v="2012-05-08T00:00:00"/>
    <n v="2182523"/>
    <d v="2012-04-02T00:00:00"/>
    <d v="2012-05-08T00:00:00"/>
    <n v="5000"/>
    <x v="4"/>
    <m/>
    <s v="N"/>
    <s v="NONE"/>
    <s v="DEFENDANT CONVICTED ON ANOTHER CHARGE"/>
    <n v="37"/>
    <n v="38"/>
    <n v="0"/>
    <n v="6"/>
    <m/>
    <m/>
    <m/>
    <m/>
    <m/>
    <m/>
    <m/>
    <m/>
    <m/>
    <d v="1983-08-30T00:00:00"/>
    <s v="M"/>
    <s v="B"/>
    <s v="BLACK"/>
    <s v="NON-HISPANIC"/>
    <s v="209"/>
    <s v="DEFERRED"/>
    <n v="2"/>
    <s v="DEFERRED"/>
    <m/>
    <m/>
    <m/>
    <s v="evading arrest/detention w/veh "/>
    <m/>
    <s v="F3"/>
    <s v="OTHER FEL"/>
    <m/>
    <m/>
    <m/>
    <m/>
    <m/>
    <m/>
    <m/>
    <m/>
    <m/>
    <s v="Appointed Attorney"/>
    <m/>
    <m/>
    <n v="37"/>
    <n v="37"/>
    <n v="38"/>
    <n v="28.530054644808743"/>
    <n v="0"/>
    <n v="0"/>
    <s v="DEFERRED"/>
    <x v="0"/>
    <s v="N"/>
    <m/>
    <s v="DEFERRED"/>
    <s v="Y"/>
    <x v="0"/>
    <x v="0"/>
    <s v="N"/>
    <n v="0.97368421052631582"/>
    <n v="1"/>
    <n v="2.6315789473684181E-2"/>
    <n v="0"/>
    <n v="-37"/>
    <n v="0"/>
    <n v="37"/>
    <e v="#VALUE!"/>
    <n v="37"/>
    <n v="0"/>
    <m/>
    <m/>
    <s v="Y"/>
    <m/>
    <s v="31-60 DAYS"/>
    <n v="3"/>
    <x v="0"/>
  </r>
  <r>
    <n v="2032"/>
    <s v="N"/>
    <s v="N"/>
    <n v="2183460"/>
    <n v="4"/>
    <d v="2012-03-17T00:00:00"/>
    <d v="2012-03-29T00:00:00"/>
    <n v="2183460"/>
    <d v="2012-03-22T00:00:00"/>
    <d v="2012-03-29T00:00:00"/>
    <n v="60000"/>
    <x v="2"/>
    <m/>
    <s v="N"/>
    <s v="NONE"/>
    <s v="GUILTY PLEA - NO JURY"/>
    <n v="8"/>
    <n v="13"/>
    <n v="1"/>
    <n v="2"/>
    <m/>
    <n v="1"/>
    <m/>
    <m/>
    <m/>
    <m/>
    <m/>
    <m/>
    <m/>
    <d v="1986-11-30T00:00:00"/>
    <s v="M"/>
    <s v="H"/>
    <s v="HISPANIC"/>
    <s v="HISPANIC"/>
    <s v="179"/>
    <s v="CONVICTED"/>
    <n v="4"/>
    <s v="HCJ"/>
    <m/>
    <m/>
    <n v="180"/>
    <s v="THEFT (THEFT - $50-$500)"/>
    <m/>
    <m/>
    <s v="THEFT"/>
    <m/>
    <m/>
    <m/>
    <m/>
    <m/>
    <m/>
    <m/>
    <m/>
    <m/>
    <s v="Appointed Attorney"/>
    <m/>
    <m/>
    <n v="8"/>
    <n v="8"/>
    <n v="13"/>
    <n v="25.243169398907103"/>
    <n v="0"/>
    <n v="0"/>
    <s v="CONVICTION"/>
    <x v="0"/>
    <s v="N"/>
    <m/>
    <s v="CONVICTION"/>
    <s v="Y"/>
    <x v="0"/>
    <x v="0"/>
    <s v="Y"/>
    <n v="0.61538461538461542"/>
    <n v="1"/>
    <n v="0.38461538461538458"/>
    <n v="0"/>
    <n v="-8"/>
    <n v="0"/>
    <n v="8"/>
    <e v="#VALUE!"/>
    <n v="8"/>
    <n v="0"/>
    <m/>
    <m/>
    <s v="Y"/>
    <m/>
    <s v="0-10 DAYS"/>
    <n v="1"/>
    <x v="0"/>
  </r>
  <r>
    <n v="206"/>
    <s v="N"/>
    <s v="N"/>
    <n v="2183596"/>
    <n v="4"/>
    <d v="2012-01-10T00:00:00"/>
    <d v="2012-01-23T00:00:00"/>
    <n v="2183596"/>
    <d v="2012-01-10T00:00:00"/>
    <d v="2012-01-23T00:00:00"/>
    <s v="NO BOND"/>
    <x v="1"/>
    <m/>
    <s v="N"/>
    <s v="NONE"/>
    <s v="GUILTY PLEA - NO JURY"/>
    <n v="14"/>
    <n v="14"/>
    <n v="1"/>
    <n v="2"/>
    <m/>
    <m/>
    <m/>
    <m/>
    <m/>
    <m/>
    <m/>
    <m/>
    <m/>
    <d v="1979-02-19T00:00:00"/>
    <s v="M"/>
    <s v="B"/>
    <s v="BLACK"/>
    <s v="NULL"/>
    <s v="263"/>
    <s v="CONVICTED"/>
    <n v="3"/>
    <s v="HCJ"/>
    <m/>
    <m/>
    <n v="365"/>
    <s v="POSS CS PG 1 &lt;1G"/>
    <m/>
    <s v="FS"/>
    <s v="POSS DRUG"/>
    <m/>
    <m/>
    <m/>
    <m/>
    <m/>
    <m/>
    <m/>
    <m/>
    <m/>
    <s v="Appointed Attorney"/>
    <m/>
    <m/>
    <n v="14"/>
    <n v="14"/>
    <n v="14"/>
    <n v="32.822404371584696"/>
    <n v="0"/>
    <n v="0"/>
    <s v="CONVICTION"/>
    <x v="0"/>
    <s v="N"/>
    <m/>
    <s v="CONVICTION"/>
    <s v="Y"/>
    <x v="0"/>
    <x v="0"/>
    <s v="Y"/>
    <n v="1"/>
    <n v="1"/>
    <n v="0"/>
    <n v="0"/>
    <n v="-14"/>
    <n v="0"/>
    <n v="14"/>
    <e v="#VALUE!"/>
    <n v="14"/>
    <n v="0"/>
    <m/>
    <m/>
    <s v="Y"/>
    <m/>
    <s v="11-30 DAYS"/>
    <n v="2"/>
    <x v="0"/>
  </r>
  <r>
    <n v="1551"/>
    <s v="N"/>
    <s v="N"/>
    <n v="2183910"/>
    <n v="4"/>
    <d v="2012-02-27T00:00:00"/>
    <d v="2012-05-09T00:00:00"/>
    <n v="2183910"/>
    <d v="2012-02-28T00:00:00"/>
    <d v="2012-05-09T00:00:00"/>
    <n v="5000"/>
    <x v="4"/>
    <m/>
    <s v="N"/>
    <s v="NONE"/>
    <s v="GUILTY PLEA - NO JURY"/>
    <n v="72"/>
    <n v="73"/>
    <n v="0"/>
    <n v="5"/>
    <m/>
    <m/>
    <m/>
    <m/>
    <m/>
    <m/>
    <m/>
    <m/>
    <m/>
    <d v="1988-05-12T00:00:00"/>
    <s v="M"/>
    <s v="B"/>
    <s v="BLACK"/>
    <s v="NULL"/>
    <s v="208"/>
    <s v="CONVICTED"/>
    <n v="3"/>
    <s v="HCJ"/>
    <m/>
    <m/>
    <n v="180"/>
    <s v="POSS CS PG 1 &lt;1G"/>
    <m/>
    <s v="FS"/>
    <s v="POSS DRUG"/>
    <m/>
    <m/>
    <m/>
    <m/>
    <m/>
    <m/>
    <m/>
    <m/>
    <m/>
    <s v="Appointed Attorney"/>
    <m/>
    <m/>
    <n v="72"/>
    <n v="72"/>
    <n v="73"/>
    <n v="23.745901639344261"/>
    <n v="0"/>
    <n v="0"/>
    <s v="CONVICTION"/>
    <x v="0"/>
    <s v="N"/>
    <m/>
    <s v="CONVICTION"/>
    <s v="Y"/>
    <x v="0"/>
    <x v="0"/>
    <s v="N"/>
    <n v="0.98630136986301364"/>
    <n v="1"/>
    <n v="1.3698630136986356E-2"/>
    <n v="0"/>
    <n v="-72"/>
    <n v="0"/>
    <n v="72"/>
    <e v="#VALUE!"/>
    <n v="72"/>
    <n v="0"/>
    <m/>
    <m/>
    <s v="Y"/>
    <m/>
    <s v="61-90 DAYS"/>
    <n v="4"/>
    <x v="0"/>
  </r>
  <r>
    <n v="2258"/>
    <s v="N"/>
    <s v="N"/>
    <n v="2184183"/>
    <n v="6"/>
    <d v="2012-01-22T00:00:00"/>
    <d v="2014-11-07T00:00:00"/>
    <n v="2184183"/>
    <d v="2012-01-23T00:00:00"/>
    <d v="2014-11-07T00:00:00"/>
    <s v="NO BOND"/>
    <x v="1"/>
    <m/>
    <s v="N"/>
    <s v="NONE"/>
    <s v="GUILTY PLEA - NO JURY"/>
    <n v="1021"/>
    <n v="1021"/>
    <n v="2"/>
    <n v="1"/>
    <n v="2"/>
    <m/>
    <m/>
    <m/>
    <m/>
    <m/>
    <m/>
    <m/>
    <m/>
    <d v="1989-08-01T00:00:00"/>
    <s v="M"/>
    <s v="B"/>
    <s v="BLACK"/>
    <s v="NON-HISPANIC"/>
    <s v="228"/>
    <s v="CONVICTED"/>
    <n v="12"/>
    <s v="TDC"/>
    <n v="30"/>
    <m/>
    <m/>
    <s v="CAPITAL MURDER"/>
    <m/>
    <s v="FC"/>
    <s v="CAPITAL MURDER"/>
    <m/>
    <m/>
    <m/>
    <m/>
    <m/>
    <m/>
    <m/>
    <m/>
    <m/>
    <s v="Public Defender"/>
    <m/>
    <m/>
    <n v="1021"/>
    <n v="1020"/>
    <n v="1021"/>
    <n v="22.428961748633881"/>
    <n v="-41950"/>
    <n v="0"/>
    <s v="CONVICTION"/>
    <x v="0"/>
    <s v="N"/>
    <m/>
    <s v="CONVICTION"/>
    <s v="Y"/>
    <x v="0"/>
    <x v="0"/>
    <s v="Y"/>
    <n v="1"/>
    <n v="1"/>
    <n v="0"/>
    <n v="0"/>
    <n v="-1020"/>
    <n v="1"/>
    <n v="1020"/>
    <s v="STILL OPEN"/>
    <s v="STILL OPEN"/>
    <m/>
    <m/>
    <m/>
    <s v="Y"/>
    <e v="#N/A"/>
    <s v="&gt;2YRS&lt;3YRS"/>
    <n v="8"/>
    <x v="0"/>
  </r>
  <r>
    <n v="2949"/>
    <s v="N"/>
    <s v="N"/>
    <n v="2184286"/>
    <n v="5"/>
    <d v="2012-04-18T00:00:00"/>
    <d v="2012-07-18T00:00:00"/>
    <n v="2184286"/>
    <d v="2012-04-19T00:00:00"/>
    <d v="2012-07-18T00:00:00"/>
    <n v="15000"/>
    <x v="0"/>
    <m/>
    <s v="N"/>
    <s v="NONE"/>
    <s v="GUILTY PLEA - NO JURY"/>
    <n v="91"/>
    <n v="92"/>
    <n v="5"/>
    <n v="5"/>
    <n v="3"/>
    <m/>
    <m/>
    <m/>
    <m/>
    <m/>
    <m/>
    <m/>
    <m/>
    <d v="1988-08-15T00:00:00"/>
    <s v="M"/>
    <s v="B"/>
    <s v="BLACK"/>
    <s v="NON-HISPANIC"/>
    <s v="178"/>
    <s v="CONVICTED"/>
    <n v="4"/>
    <s v="STJ"/>
    <m/>
    <n v="6"/>
    <m/>
    <s v="POSS CS PG 1 &lt;1G"/>
    <m/>
    <s v="FS"/>
    <s v="POSS DRUG"/>
    <s v="10/8/12 two misd  disp 20 d hcj"/>
    <m/>
    <m/>
    <m/>
    <m/>
    <m/>
    <m/>
    <m/>
    <m/>
    <s v="Appointed Attorney"/>
    <m/>
    <m/>
    <n v="91"/>
    <n v="91"/>
    <n v="92"/>
    <n v="23.625683060109289"/>
    <n v="0"/>
    <n v="0"/>
    <s v="CONVICTION"/>
    <x v="0"/>
    <s v="N"/>
    <m/>
    <s v="CONVICTION"/>
    <s v="Y"/>
    <x v="0"/>
    <x v="0"/>
    <s v="Y"/>
    <n v="0.98913043478260865"/>
    <n v="1"/>
    <n v="1.0869565217391353E-2"/>
    <n v="0"/>
    <n v="-91"/>
    <n v="0"/>
    <n v="91"/>
    <e v="#VALUE!"/>
    <n v="91"/>
    <n v="0"/>
    <m/>
    <m/>
    <s v="Y"/>
    <m/>
    <s v="91-120 DAYS"/>
    <n v="0"/>
    <x v="0"/>
  </r>
  <r>
    <n v="2597"/>
    <s v="Y"/>
    <s v="Y"/>
    <n v="2185367"/>
    <n v="5"/>
    <d v="2012-04-06T00:00:00"/>
    <d v="2013-03-26T00:00:00"/>
    <n v="2185367"/>
    <d v="2012-04-06T00:00:00"/>
    <d v="2012-04-12T00:00:00"/>
    <n v="10000"/>
    <x v="3"/>
    <d v="2012-04-12T00:00:00"/>
    <s v="Y"/>
    <s v="SURETY"/>
    <s v="plead guilty"/>
    <n v="23"/>
    <n v="355"/>
    <n v="1"/>
    <n v="1"/>
    <n v="1"/>
    <m/>
    <m/>
    <m/>
    <m/>
    <m/>
    <m/>
    <m/>
    <m/>
    <d v="1976-06-30T00:00:00"/>
    <s v="M"/>
    <s v="W"/>
    <s v="WHITE"/>
    <s v="NON-HISPANIC"/>
    <s v="339"/>
    <s v="CONVICTED"/>
    <n v="13"/>
    <s v="STJ"/>
    <m/>
    <n v="24"/>
    <m/>
    <s v="ASSAULT-BOD INJ-PUB SERV/RETAL"/>
    <m/>
    <s v="F3"/>
    <s v="ASLT-MURDR"/>
    <s v="BK 3/14/13  ON FEL THEFT FILED 3/5/13 all fel  disp tdc"/>
    <s v="BF 2/25/13"/>
    <s v="Y"/>
    <d v="2013-02-25T00:00:00"/>
    <m/>
    <m/>
    <m/>
    <d v="2013-06-14T00:00:00"/>
    <n v="255"/>
    <s v="Appointed Attorney"/>
    <s v="fel tht 3/13/13 stj 2 y"/>
    <m/>
    <n v="23"/>
    <n v="355"/>
    <n v="355"/>
    <n v="35.693989071038253"/>
    <n v="0"/>
    <n v="-348"/>
    <s v="CONVICTION"/>
    <x v="1"/>
    <s v="N"/>
    <m/>
    <s v="CONVICTION"/>
    <s v="Y"/>
    <x v="0"/>
    <x v="0"/>
    <s v="Y"/>
    <n v="6.4788732394366194E-2"/>
    <n v="1.9718309859154931E-2"/>
    <n v="-4.5070422535211263E-2"/>
    <n v="0"/>
    <n v="-7"/>
    <n v="16"/>
    <n v="355"/>
    <n v="23"/>
    <n v="355"/>
    <n v="348"/>
    <m/>
    <m/>
    <s v="Y"/>
    <m/>
    <s v="11-30 DAYS"/>
    <n v="2"/>
    <x v="0"/>
  </r>
  <r>
    <n v="999"/>
    <s v="N"/>
    <s v="N"/>
    <n v="2185615"/>
    <n v="5"/>
    <d v="2012-02-07T00:00:00"/>
    <d v="2012-09-14T00:00:00"/>
    <n v="2185615"/>
    <d v="2012-02-07T00:00:00"/>
    <d v="2012-02-09T00:00:00"/>
    <n v="30000"/>
    <x v="2"/>
    <d v="2012-02-09T00:00:00"/>
    <s v="Y"/>
    <s v="SURETY"/>
    <s v="GUILTY PLEA - NO JURY"/>
    <n v="3"/>
    <n v="221"/>
    <n v="2"/>
    <n v="0"/>
    <n v="5"/>
    <m/>
    <m/>
    <m/>
    <m/>
    <m/>
    <m/>
    <m/>
    <m/>
    <d v="1986-03-10T00:00:00"/>
    <s v="F"/>
    <s v="B"/>
    <s v="BLACK"/>
    <s v="NON-HISPANIC"/>
    <s v="182"/>
    <s v="CONVICTED"/>
    <n v="9"/>
    <s v="STJ"/>
    <m/>
    <n v="6"/>
    <m/>
    <s v="POSS W/INT DEL CS PG1&gt;=4 &lt;200"/>
    <m/>
    <s v="F1"/>
    <s v="SALE DRUG"/>
    <m/>
    <m/>
    <m/>
    <m/>
    <m/>
    <m/>
    <m/>
    <m/>
    <m/>
    <s v="Hired Attorney"/>
    <m/>
    <m/>
    <n v="3"/>
    <n v="221"/>
    <n v="221"/>
    <n v="25.860655737704917"/>
    <n v="0"/>
    <n v="-218"/>
    <s v="CONVICTION"/>
    <x v="1"/>
    <s v="Y"/>
    <m/>
    <s v="CONVICTION"/>
    <s v="Y"/>
    <x v="1"/>
    <x v="0"/>
    <s v="Y"/>
    <n v="1.3574660633484163E-2"/>
    <n v="1.3574660633484163E-2"/>
    <n v="0"/>
    <n v="0"/>
    <n v="-3"/>
    <n v="0"/>
    <n v="3"/>
    <e v="#VALUE!"/>
    <n v="3"/>
    <n v="0"/>
    <m/>
    <m/>
    <s v="Y"/>
    <m/>
    <s v="0-10 DAYS"/>
    <n v="1"/>
    <x v="0"/>
  </r>
  <r>
    <n v="2441"/>
    <s v="N"/>
    <s v="N"/>
    <n v="2186519"/>
    <n v="2"/>
    <d v="2012-04-02T00:00:00"/>
    <d v="2013-09-19T00:00:00"/>
    <n v="2186519"/>
    <d v="2012-04-02T00:00:00"/>
    <d v="2012-04-17T00:00:00"/>
    <n v="20000"/>
    <x v="0"/>
    <d v="2012-04-17T00:00:00"/>
    <s v="Y"/>
    <s v="SURETY"/>
    <s v="DEFERRED ADJUDICATION "/>
    <n v="16"/>
    <n v="536"/>
    <n v="2"/>
    <n v="0"/>
    <n v="2"/>
    <m/>
    <m/>
    <m/>
    <m/>
    <m/>
    <m/>
    <s v="S"/>
    <m/>
    <d v="1988-02-28T00:00:00"/>
    <s v="M"/>
    <s v="H"/>
    <s v="HISPANIC"/>
    <s v="NULL"/>
    <s v="263"/>
    <s v="DEFERRED"/>
    <n v="10"/>
    <s v="DEFERRED"/>
    <m/>
    <m/>
    <m/>
    <s v="POSS CS PG 1 &lt;1G"/>
    <m/>
    <s v="FS"/>
    <s v="POSS DRUG"/>
    <s v="OTHER CASES DISM"/>
    <m/>
    <m/>
    <m/>
    <m/>
    <m/>
    <m/>
    <m/>
    <m/>
    <s v="Hired Attorney"/>
    <m/>
    <m/>
    <n v="16"/>
    <n v="536"/>
    <n v="536"/>
    <n v="24.043715846994534"/>
    <n v="0"/>
    <n v="-520"/>
    <s v="DEFERRED"/>
    <x v="1"/>
    <s v="Y"/>
    <m/>
    <s v="DEFERRED"/>
    <s v="Y"/>
    <x v="1"/>
    <x v="0"/>
    <s v="Y"/>
    <n v="2.9850746268656716E-2"/>
    <n v="2.9850746268656716E-2"/>
    <n v="0"/>
    <n v="0"/>
    <n v="-16"/>
    <n v="0"/>
    <n v="16"/>
    <e v="#VALUE!"/>
    <n v="16"/>
    <n v="0"/>
    <m/>
    <m/>
    <s v="Y"/>
    <m/>
    <s v="11-30 DAYS"/>
    <n v="2"/>
    <x v="0"/>
  </r>
  <r>
    <n v="3083"/>
    <s v="N"/>
    <s v="N"/>
    <n v="2186849"/>
    <n v="2"/>
    <d v="2012-04-24T00:00:00"/>
    <d v="2012-07-16T00:00:00"/>
    <n v="2186849"/>
    <s v="NOT BOOKED"/>
    <s v="NOT BOOKED"/>
    <n v="5000"/>
    <x v="4"/>
    <d v="2012-04-25T00:00:00"/>
    <s v="Y"/>
    <s v="SURETY"/>
    <s v="DEFERRED ADJUDICATION "/>
    <n v="0"/>
    <n v="84"/>
    <n v="1"/>
    <n v="0"/>
    <m/>
    <m/>
    <m/>
    <m/>
    <m/>
    <m/>
    <m/>
    <s v="S"/>
    <m/>
    <d v="1986-08-25T00:00:00"/>
    <s v="M"/>
    <s v="H"/>
    <s v="HISPANIC"/>
    <s v="NON-HISPANIC"/>
    <s v="339"/>
    <s v="DEFERRED"/>
    <n v="4"/>
    <s v="DEFERRED"/>
    <m/>
    <m/>
    <m/>
    <s v="POSS CS PG 1 &lt;1G"/>
    <m/>
    <s v="FS"/>
    <s v="POSS DRUG"/>
    <m/>
    <m/>
    <m/>
    <m/>
    <m/>
    <m/>
    <m/>
    <m/>
    <m/>
    <s v="Appointed Attorney"/>
    <m/>
    <m/>
    <n v="0"/>
    <n v="0"/>
    <n v="84"/>
    <n v="25.612021857923498"/>
    <e v="#VALUE!"/>
    <e v="#VALUE!"/>
    <s v="DEFERRED"/>
    <x v="1"/>
    <s v="Y"/>
    <m/>
    <s v="DEFERRED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863"/>
    <s v="N"/>
    <s v="N"/>
    <n v="2186991"/>
    <n v="5"/>
    <d v="2012-02-02T00:00:00"/>
    <d v="2012-02-21T00:00:00"/>
    <n v="2186991"/>
    <d v="2012-02-02T00:00:00"/>
    <d v="2012-02-21T00:00:00"/>
    <n v="15000"/>
    <x v="0"/>
    <m/>
    <s v="N"/>
    <s v="NONE"/>
    <s v="GUILTY PLEA - NO JURY"/>
    <n v="20"/>
    <n v="20"/>
    <n v="1"/>
    <n v="1"/>
    <n v="1"/>
    <m/>
    <m/>
    <m/>
    <m/>
    <m/>
    <m/>
    <m/>
    <m/>
    <d v="1986-12-30T00:00:00"/>
    <s v="F"/>
    <s v="W"/>
    <s v="WHITE"/>
    <s v="NULL"/>
    <s v="183"/>
    <s v="CONVICTED"/>
    <n v="2"/>
    <s v="STJ"/>
    <m/>
    <n v="12"/>
    <m/>
    <s v="CREDIT/DEBIT CARD ABUSE"/>
    <m/>
    <s v="FS"/>
    <s v="OTHER FEL"/>
    <m/>
    <m/>
    <m/>
    <m/>
    <m/>
    <m/>
    <m/>
    <m/>
    <m/>
    <s v="Appointed Attorney"/>
    <m/>
    <m/>
    <n v="20"/>
    <n v="20"/>
    <n v="20"/>
    <n v="25.040983606557376"/>
    <n v="0"/>
    <n v="0"/>
    <s v="CONVICTION"/>
    <x v="0"/>
    <s v="N"/>
    <m/>
    <s v="CONVICTION"/>
    <s v="Y"/>
    <x v="0"/>
    <x v="0"/>
    <s v="Y"/>
    <n v="1"/>
    <n v="1"/>
    <n v="0"/>
    <n v="0"/>
    <n v="-20"/>
    <n v="0"/>
    <n v="20"/>
    <e v="#VALUE!"/>
    <n v="20"/>
    <n v="0"/>
    <m/>
    <m/>
    <s v="Y"/>
    <m/>
    <s v="11-30 DAYS"/>
    <n v="2"/>
    <x v="0"/>
  </r>
  <r>
    <n v="2372"/>
    <s v="N"/>
    <s v="N"/>
    <n v="2187219"/>
    <n v="2"/>
    <d v="2012-03-30T00:00:00"/>
    <d v="2012-12-13T00:00:00"/>
    <n v="2187219"/>
    <d v="2012-03-30T00:00:00"/>
    <d v="2012-04-01T00:00:00"/>
    <n v="2000"/>
    <x v="5"/>
    <d v="2012-04-01T00:00:00"/>
    <s v="Y"/>
    <s v="SURETY"/>
    <s v="DEFERRED ADJUDICATION "/>
    <n v="3"/>
    <n v="259"/>
    <n v="0"/>
    <n v="2"/>
    <m/>
    <m/>
    <m/>
    <m/>
    <m/>
    <m/>
    <m/>
    <s v="S"/>
    <m/>
    <d v="1988-07-25T00:00:00"/>
    <s v="M"/>
    <s v="H"/>
    <s v="HISPANIC"/>
    <s v="NULL"/>
    <s v="351"/>
    <s v="DEFERRED"/>
    <n v="10"/>
    <s v="DEFERRED"/>
    <m/>
    <m/>
    <m/>
    <s v="UNAUTH USE OF VEHICLE"/>
    <m/>
    <s v="FS"/>
    <s v="AUTO THEFT"/>
    <m/>
    <m/>
    <m/>
    <m/>
    <m/>
    <m/>
    <m/>
    <m/>
    <m/>
    <s v="Appointed Attorney"/>
    <m/>
    <m/>
    <n v="3"/>
    <n v="259"/>
    <n v="259"/>
    <n v="23.631147540983605"/>
    <n v="0"/>
    <n v="-256"/>
    <s v="DEFERRED"/>
    <x v="1"/>
    <s v="Y"/>
    <m/>
    <s v="DEFERRED"/>
    <s v="Y"/>
    <x v="1"/>
    <x v="0"/>
    <s v="N"/>
    <n v="1.1583011583011582E-2"/>
    <n v="1.1583011583011582E-2"/>
    <n v="0"/>
    <n v="0"/>
    <n v="-3"/>
    <n v="0"/>
    <n v="3"/>
    <e v="#VALUE!"/>
    <n v="3"/>
    <n v="0"/>
    <m/>
    <m/>
    <s v="Y"/>
    <m/>
    <s v="0-10 DAYS"/>
    <n v="1"/>
    <x v="0"/>
  </r>
  <r>
    <n v="784"/>
    <s v="N"/>
    <s v="N"/>
    <n v="2188231"/>
    <n v="1"/>
    <d v="2012-01-31T00:00:00"/>
    <d v="2012-05-21T00:00:00"/>
    <n v="2188231"/>
    <d v="2012-01-31T00:00:00"/>
    <d v="2012-02-01T00:00:00"/>
    <n v="2000"/>
    <x v="5"/>
    <d v="2012-02-01T00:00:00"/>
    <s v="Y"/>
    <s v="SURETY"/>
    <s v="NO BILL"/>
    <n v="2"/>
    <n v="112"/>
    <n v="0"/>
    <n v="1"/>
    <m/>
    <m/>
    <m/>
    <m/>
    <m/>
    <m/>
    <m/>
    <m/>
    <m/>
    <d v="1984-09-04T00:00:00"/>
    <s v="M"/>
    <s v="B"/>
    <s v="BLACK"/>
    <s v="NON-HISPANIC"/>
    <s v="176"/>
    <s v="NO BILL"/>
    <n v="6"/>
    <s v="NO BILL"/>
    <m/>
    <m/>
    <m/>
    <s v="ENDANGERING A CHILD"/>
    <m/>
    <s v="FS"/>
    <s v="OTHER FEL"/>
    <m/>
    <m/>
    <m/>
    <m/>
    <m/>
    <m/>
    <m/>
    <m/>
    <m/>
    <s v="Appointed Attorney"/>
    <m/>
    <m/>
    <n v="2"/>
    <n v="112"/>
    <n v="112"/>
    <n v="27.349726775956285"/>
    <n v="0"/>
    <n v="-110"/>
    <s v="NO CONVICTION"/>
    <x v="1"/>
    <s v="Y"/>
    <m/>
    <s v="NO CONVICTION"/>
    <s v="Y"/>
    <x v="1"/>
    <x v="0"/>
    <s v="N"/>
    <n v="1.7857142857142856E-2"/>
    <n v="1.7857142857142856E-2"/>
    <n v="0"/>
    <n v="0"/>
    <n v="-2"/>
    <n v="0"/>
    <n v="2"/>
    <e v="#VALUE!"/>
    <n v="2"/>
    <n v="0"/>
    <m/>
    <m/>
    <s v="Y"/>
    <m/>
    <s v="0-10 DAYS"/>
    <n v="1"/>
    <x v="0"/>
  </r>
  <r>
    <n v="2464"/>
    <s v="N"/>
    <s v="N"/>
    <n v="2188251"/>
    <n v="6"/>
    <d v="2012-04-03T00:00:00"/>
    <d v="2012-04-24T00:00:00"/>
    <n v="2188251"/>
    <d v="2012-04-03T00:00:00"/>
    <d v="2012-04-04T00:00:00"/>
    <n v="5000"/>
    <x v="4"/>
    <d v="2012-04-04T00:00:00"/>
    <s v="Y"/>
    <s v="SURETY"/>
    <s v="GUILTY PLEA - NO JURY"/>
    <n v="2"/>
    <n v="22"/>
    <n v="1"/>
    <n v="2"/>
    <n v="1"/>
    <m/>
    <m/>
    <m/>
    <m/>
    <m/>
    <m/>
    <s v="S"/>
    <m/>
    <d v="1988-04-02T00:00:00"/>
    <s v="M"/>
    <s v="H"/>
    <s v="HISPANIC"/>
    <s v="NULL"/>
    <s v="176"/>
    <s v="CONVICTED"/>
    <n v="3"/>
    <s v="TDC"/>
    <n v="3"/>
    <m/>
    <m/>
    <s v="FELON POSS WPN"/>
    <m/>
    <s v="F3"/>
    <s v="OTHER FEL"/>
    <s v="fel evade filed 4/23/12 disp 4/24/12 stj 6mos"/>
    <m/>
    <m/>
    <m/>
    <m/>
    <m/>
    <m/>
    <m/>
    <m/>
    <s v="Appointed Attorney"/>
    <m/>
    <m/>
    <n v="2"/>
    <n v="22"/>
    <n v="22"/>
    <n v="23.953551912568305"/>
    <n v="0"/>
    <n v="-20"/>
    <s v="CONVICTION"/>
    <x v="1"/>
    <s v="Y"/>
    <m/>
    <s v="CONVICTION"/>
    <s v="Y"/>
    <x v="1"/>
    <x v="0"/>
    <s v="Y"/>
    <n v="9.0909090909090912E-2"/>
    <n v="9.0909090909090912E-2"/>
    <n v="0"/>
    <n v="0"/>
    <n v="-2"/>
    <n v="0"/>
    <n v="2"/>
    <e v="#VALUE!"/>
    <n v="2"/>
    <n v="0"/>
    <m/>
    <m/>
    <s v="Y"/>
    <m/>
    <s v="0-10 DAYS"/>
    <n v="1"/>
    <x v="0"/>
  </r>
  <r>
    <n v="2238"/>
    <s v="N"/>
    <s v="N"/>
    <n v="2188495"/>
    <n v="2"/>
    <d v="2012-03-25T00:00:00"/>
    <d v="2012-09-21T00:00:00"/>
    <n v="2188495"/>
    <d v="2012-03-25T00:00:00"/>
    <d v="2012-09-21T00:00:00"/>
    <s v="NO BOND"/>
    <x v="1"/>
    <m/>
    <s v="N"/>
    <s v="NONE"/>
    <s v="DEFERRED ADJUDICATION "/>
    <n v="181"/>
    <n v="181"/>
    <n v="1"/>
    <n v="0"/>
    <n v="1"/>
    <m/>
    <m/>
    <m/>
    <m/>
    <m/>
    <m/>
    <s v="S"/>
    <m/>
    <d v="1988-07-10T00:00:00"/>
    <s v="M"/>
    <s v="H"/>
    <s v="HISPANIC"/>
    <s v="NULL"/>
    <s v="230"/>
    <s v="DEFERRED"/>
    <n v="10"/>
    <s v="DEFERRED"/>
    <m/>
    <m/>
    <m/>
    <s v="AGG ASSAULT-FAMILY MEMBER"/>
    <m/>
    <s v="F2"/>
    <s v="ASLT-MURDR"/>
    <m/>
    <m/>
    <m/>
    <m/>
    <m/>
    <m/>
    <m/>
    <m/>
    <m/>
    <s v="Appointed Attorney"/>
    <m/>
    <m/>
    <n v="181"/>
    <n v="181"/>
    <n v="181"/>
    <n v="23.65846994535519"/>
    <n v="0"/>
    <n v="0"/>
    <s v="DEFERRED"/>
    <x v="0"/>
    <s v="N"/>
    <m/>
    <s v="DEFERRED"/>
    <s v="Y"/>
    <x v="0"/>
    <x v="0"/>
    <s v="Y"/>
    <n v="1"/>
    <n v="1"/>
    <n v="0"/>
    <n v="0"/>
    <n v="-181"/>
    <n v="0"/>
    <n v="181"/>
    <e v="#VALUE!"/>
    <n v="181"/>
    <n v="0"/>
    <m/>
    <m/>
    <s v="Y"/>
    <m/>
    <s v="121-365 DAYS"/>
    <n v="6"/>
    <x v="0"/>
  </r>
  <r>
    <n v="2378"/>
    <s v="N"/>
    <s v="N"/>
    <n v="2189277"/>
    <n v="6"/>
    <d v="2012-03-30T00:00:00"/>
    <d v="2012-08-20T00:00:00"/>
    <n v="2189277"/>
    <d v="2012-04-04T00:00:00"/>
    <d v="2012-08-20T00:00:00"/>
    <s v="NO BOND"/>
    <x v="1"/>
    <m/>
    <s v="N"/>
    <s v="NONE"/>
    <s v="GUILTY PLEA - NO JURY"/>
    <n v="139"/>
    <n v="144"/>
    <n v="2"/>
    <n v="0"/>
    <n v="1"/>
    <m/>
    <m/>
    <m/>
    <m/>
    <m/>
    <m/>
    <m/>
    <m/>
    <d v="1987-01-21T00:00:00"/>
    <s v="M"/>
    <s v="B"/>
    <s v="BLACK"/>
    <s v="NULL"/>
    <s v="351"/>
    <s v="CONVICTED"/>
    <n v="6"/>
    <s v="TDC"/>
    <n v="20"/>
    <m/>
    <m/>
    <s v="AGG ROBBERY-DEADLY WPN"/>
    <m/>
    <s v="F1"/>
    <s v="ROBBERY"/>
    <m/>
    <m/>
    <m/>
    <m/>
    <m/>
    <m/>
    <m/>
    <m/>
    <m/>
    <s v="Appointed Attorney"/>
    <m/>
    <m/>
    <n v="139"/>
    <n v="139"/>
    <n v="144"/>
    <n v="25.136612021857925"/>
    <n v="0"/>
    <n v="0"/>
    <s v="CONVICTION"/>
    <x v="0"/>
    <s v="N"/>
    <m/>
    <s v="CONVICTION"/>
    <s v="Y"/>
    <x v="0"/>
    <x v="0"/>
    <s v="Y"/>
    <n v="0.96527777777777779"/>
    <n v="1"/>
    <n v="3.472222222222221E-2"/>
    <n v="0"/>
    <n v="-139"/>
    <n v="0"/>
    <n v="139"/>
    <e v="#VALUE!"/>
    <n v="139"/>
    <n v="0"/>
    <m/>
    <m/>
    <s v="Y"/>
    <m/>
    <s v="121-365 DAYS"/>
    <n v="6"/>
    <x v="0"/>
  </r>
  <r>
    <n v="2281"/>
    <s v="N"/>
    <s v="N"/>
    <n v="2189315"/>
    <n v="5"/>
    <d v="2012-03-27T00:00:00"/>
    <d v="2012-04-05T00:00:00"/>
    <n v="2189315"/>
    <d v="2012-03-30T00:00:00"/>
    <d v="2012-04-05T00:00:00"/>
    <n v="200000"/>
    <x v="2"/>
    <m/>
    <s v="N"/>
    <s v="NONE"/>
    <s v="GUILTY PLEA - NO JURY"/>
    <n v="7"/>
    <n v="10"/>
    <n v="5"/>
    <n v="3"/>
    <n v="2"/>
    <m/>
    <m/>
    <m/>
    <m/>
    <m/>
    <m/>
    <m/>
    <m/>
    <d v="1985-02-13T00:00:00"/>
    <s v="M"/>
    <s v="B"/>
    <s v="BLACK"/>
    <s v="NULL"/>
    <s v="184"/>
    <s v="CONVICTED"/>
    <n v="4"/>
    <s v="STJ"/>
    <m/>
    <n v="7"/>
    <m/>
    <s v="ATT POSS FIREARM"/>
    <m/>
    <s v="FS"/>
    <s v="OTHER FEL"/>
    <m/>
    <m/>
    <m/>
    <m/>
    <m/>
    <m/>
    <m/>
    <m/>
    <m/>
    <s v="Appointed Attorney"/>
    <m/>
    <m/>
    <n v="7"/>
    <n v="7"/>
    <n v="10"/>
    <n v="27.060109289617486"/>
    <n v="0"/>
    <n v="0"/>
    <s v="CONVICTION"/>
    <x v="0"/>
    <s v="N"/>
    <m/>
    <s v="CONVICTION"/>
    <s v="Y"/>
    <x v="0"/>
    <x v="0"/>
    <s v="Y"/>
    <n v="0.7"/>
    <n v="1"/>
    <n v="0.30000000000000004"/>
    <n v="0"/>
    <n v="-7"/>
    <n v="0"/>
    <n v="7"/>
    <e v="#VALUE!"/>
    <n v="7"/>
    <n v="0"/>
    <m/>
    <m/>
    <s v="Y"/>
    <m/>
    <s v="0-10 DAYS"/>
    <n v="1"/>
    <x v="0"/>
  </r>
  <r>
    <n v="227"/>
    <s v="N"/>
    <s v="N"/>
    <n v="2190829"/>
    <n v="2"/>
    <d v="2012-01-10T00:00:00"/>
    <d v="2012-05-11T00:00:00"/>
    <n v="2190829"/>
    <s v="NOT BOOKED"/>
    <s v="NOT BOOKED"/>
    <n v="5000"/>
    <x v="4"/>
    <d v="2012-02-01T00:00:00"/>
    <s v="Y"/>
    <s v="SURETYPTRc"/>
    <s v="DEFERRED ADJUDICATION "/>
    <n v="0"/>
    <n v="123"/>
    <n v="0"/>
    <n v="0"/>
    <m/>
    <m/>
    <m/>
    <m/>
    <m/>
    <m/>
    <m/>
    <s v="S"/>
    <m/>
    <d v="1980-08-01T00:00:00"/>
    <s v="F"/>
    <s v="H"/>
    <s v="HISPANIC"/>
    <s v="NULL"/>
    <s v="232"/>
    <s v="DEFERRED"/>
    <n v="5"/>
    <s v="DEFERRED"/>
    <m/>
    <m/>
    <m/>
    <s v="POSS/ATT POSS CS BY FRAUD SCH"/>
    <m/>
    <s v="F3"/>
    <s v="SALE DRUG"/>
    <m/>
    <m/>
    <m/>
    <m/>
    <m/>
    <m/>
    <m/>
    <m/>
    <m/>
    <s v="Public Defender"/>
    <m/>
    <m/>
    <n v="0"/>
    <n v="0"/>
    <n v="123"/>
    <n v="31.377049180327869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328"/>
    <s v="N"/>
    <s v="N"/>
    <n v="2190885"/>
    <n v="6"/>
    <d v="2012-03-29T00:00:00"/>
    <d v="2012-07-26T00:00:00"/>
    <n v="2190885"/>
    <d v="2012-03-29T00:00:00"/>
    <d v="2012-07-26T00:00:00"/>
    <s v="NO BOND"/>
    <x v="1"/>
    <m/>
    <s v="N"/>
    <s v="NONE"/>
    <s v="DEFENDANT CONVICTED ON ANOTHER CHARGE"/>
    <n v="120"/>
    <n v="120"/>
    <n v="1"/>
    <n v="9"/>
    <m/>
    <n v="1"/>
    <m/>
    <m/>
    <m/>
    <m/>
    <m/>
    <m/>
    <m/>
    <d v="1986-10-03T00:00:00"/>
    <s v="M"/>
    <s v="B"/>
    <s v="BLACK"/>
    <s v="NON-HISPANIC"/>
    <s v="178"/>
    <s v="CONVICTED"/>
    <n v="7"/>
    <s v="TDC"/>
    <n v="14"/>
    <m/>
    <m/>
    <s v="POSS CS PG 1 4G - 200G"/>
    <m/>
    <s v="F2"/>
    <s v="POSS DRUG"/>
    <m/>
    <m/>
    <m/>
    <m/>
    <m/>
    <m/>
    <m/>
    <m/>
    <m/>
    <s v="Appointed Attorney"/>
    <m/>
    <m/>
    <n v="120"/>
    <n v="120"/>
    <n v="120"/>
    <n v="25.434426229508198"/>
    <n v="0"/>
    <n v="0"/>
    <s v="CONVICTION"/>
    <x v="0"/>
    <s v="N"/>
    <m/>
    <s v="CONVICTION"/>
    <s v="Y"/>
    <x v="0"/>
    <x v="0"/>
    <s v="Y"/>
    <n v="1"/>
    <n v="1"/>
    <n v="0"/>
    <n v="0"/>
    <n v="-120"/>
    <n v="0"/>
    <n v="120"/>
    <e v="#VALUE!"/>
    <n v="120"/>
    <n v="0"/>
    <m/>
    <m/>
    <s v="Y"/>
    <m/>
    <s v="91-120 DAYS"/>
    <n v="0"/>
    <x v="0"/>
  </r>
  <r>
    <n v="2646"/>
    <s v="Y"/>
    <s v="Y"/>
    <n v="2191210"/>
    <n v="4"/>
    <d v="2012-04-08T00:00:00"/>
    <d v="2012-10-16T00:00:00"/>
    <n v="2191210"/>
    <d v="2012-04-20T00:00:00"/>
    <d v="2012-04-21T00:00:00"/>
    <n v="20000"/>
    <x v="0"/>
    <d v="2012-04-21T00:00:00"/>
    <s v="Y"/>
    <s v="SURETY"/>
    <s v="GUILTY PLEA - NO JURY"/>
    <n v="74"/>
    <n v="192"/>
    <n v="4"/>
    <n v="6"/>
    <n v="2"/>
    <m/>
    <m/>
    <m/>
    <m/>
    <m/>
    <m/>
    <m/>
    <m/>
    <d v="1987-10-23T00:00:00"/>
    <s v="M"/>
    <s v="B"/>
    <s v="BLACK"/>
    <s v="NON-HISPANIC"/>
    <s v="185"/>
    <s v="CONVICTED"/>
    <n v="8"/>
    <s v="HCJ"/>
    <m/>
    <m/>
    <n v="180"/>
    <s v="ASSAULT-BOD INJ-FAMILY MEMBER"/>
    <m/>
    <s v="F3"/>
    <s v="ASLT-MURDR"/>
    <s v="8/27/12  pCS 2 yrs tdc  misd 5/30/12  open case conv on ano case"/>
    <s v="BK 6/15/12"/>
    <s v="Y"/>
    <s v="bf 6/4/12 "/>
    <m/>
    <m/>
    <m/>
    <d v="2012-08-10T00:00:00"/>
    <n v="259"/>
    <s v="Appointed Attorney"/>
    <s v="8/27/12 pcs 2Y tdc"/>
    <m/>
    <n v="74"/>
    <n v="180"/>
    <n v="192"/>
    <n v="24.409836065573771"/>
    <n v="0"/>
    <n v="-178"/>
    <s v="CONVICTION"/>
    <x v="1"/>
    <s v="N"/>
    <m/>
    <s v="CONVICTION"/>
    <s v="Y"/>
    <x v="0"/>
    <x v="0"/>
    <s v="Y"/>
    <n v="0.38541666666666669"/>
    <n v="1.1111111111111112E-2"/>
    <n v="-0.37430555555555556"/>
    <n v="0"/>
    <n v="-2"/>
    <n v="72"/>
    <n v="180"/>
    <n v="74"/>
    <n v="180"/>
    <n v="178"/>
    <m/>
    <m/>
    <s v="Y"/>
    <m/>
    <s v="61-90 DAYS"/>
    <n v="4"/>
    <x v="0"/>
  </r>
  <r>
    <n v="1979"/>
    <s v="N"/>
    <s v="N"/>
    <n v="2191309"/>
    <n v="6"/>
    <d v="2012-03-14T00:00:00"/>
    <d v="2012-07-25T00:00:00"/>
    <n v="2191309"/>
    <d v="2012-03-15T00:00:00"/>
    <d v="2012-07-25T00:00:00"/>
    <s v="NO BOND"/>
    <x v="1"/>
    <m/>
    <s v="N"/>
    <s v="NONE"/>
    <s v="GUILTY PLEA - NO JURY"/>
    <n v="133"/>
    <n v="134"/>
    <n v="3"/>
    <n v="4"/>
    <n v="2"/>
    <m/>
    <m/>
    <m/>
    <m/>
    <m/>
    <m/>
    <m/>
    <m/>
    <d v="1983-03-17T00:00:00"/>
    <s v="M"/>
    <s v="W"/>
    <s v="WHITE"/>
    <s v="NON-HISPANIC"/>
    <s v="351"/>
    <s v="CONVICTED"/>
    <n v="6"/>
    <s v="TDC"/>
    <n v="4"/>
    <m/>
    <m/>
    <s v="ASSAULT-BOD INJ-FAMILY MEMBER"/>
    <m/>
    <s v="F3"/>
    <s v="ASLT-MURDR"/>
    <m/>
    <m/>
    <m/>
    <m/>
    <m/>
    <m/>
    <m/>
    <m/>
    <m/>
    <s v="Appointed Attorney"/>
    <m/>
    <m/>
    <n v="133"/>
    <n v="133"/>
    <n v="134"/>
    <n v="28.934426229508198"/>
    <n v="0"/>
    <n v="0"/>
    <s v="CONVICTION"/>
    <x v="0"/>
    <s v="N"/>
    <m/>
    <s v="CONVICTION"/>
    <s v="Y"/>
    <x v="0"/>
    <x v="0"/>
    <s v="Y"/>
    <n v="0.9925373134328358"/>
    <n v="1"/>
    <n v="7.4626865671642006E-3"/>
    <n v="0"/>
    <n v="-133"/>
    <n v="0"/>
    <n v="133"/>
    <e v="#VALUE!"/>
    <n v="133"/>
    <n v="0"/>
    <m/>
    <m/>
    <s v="Y"/>
    <m/>
    <s v="121-365 DAYS"/>
    <n v="6"/>
    <x v="0"/>
  </r>
  <r>
    <n v="2880"/>
    <s v="N"/>
    <s v="Y"/>
    <n v="2195053"/>
    <n v="1"/>
    <d v="2012-04-17T00:00:00"/>
    <d v="2012-11-07T00:00:00"/>
    <n v="2195053"/>
    <d v="2012-04-17T00:00:00"/>
    <d v="2012-04-21T00:00:00"/>
    <n v="5000"/>
    <x v="4"/>
    <d v="2012-04-21T00:00:00"/>
    <s v="Y"/>
    <s v="SURETY"/>
    <s v="DISMISSED"/>
    <n v="17"/>
    <n v="205"/>
    <n v="5"/>
    <n v="3"/>
    <n v="2"/>
    <m/>
    <m/>
    <m/>
    <m/>
    <m/>
    <m/>
    <m/>
    <m/>
    <d v="1988-04-21T00:00:00"/>
    <s v="M"/>
    <s v="B"/>
    <s v="BLACK"/>
    <s v="NON-HISPANIC"/>
    <s v="208"/>
    <s v="DISMISSED"/>
    <n v="10"/>
    <s v="DISMISSED"/>
    <m/>
    <m/>
    <m/>
    <s v="CRIM MISCH &gt;=$1500 &lt;$20K"/>
    <m/>
    <s v="FS"/>
    <s v="OTHER FEL"/>
    <m/>
    <m/>
    <s v="Y"/>
    <s v="bf 9/21/12"/>
    <m/>
    <m/>
    <m/>
    <d v="2013-03-04T00:00:00"/>
    <n v="256"/>
    <s v="Hired Attorney"/>
    <m/>
    <m/>
    <n v="17"/>
    <n v="205"/>
    <n v="205"/>
    <n v="23.939890710382514"/>
    <n v="0"/>
    <n v="-200"/>
    <s v="NO CONVICTION"/>
    <x v="1"/>
    <s v="N"/>
    <m/>
    <s v="NO CONVICTION"/>
    <s v="Y"/>
    <x v="0"/>
    <x v="0"/>
    <s v="Y"/>
    <n v="8.2926829268292687E-2"/>
    <n v="2.4390243902439025E-2"/>
    <n v="-5.8536585365853662E-2"/>
    <n v="0"/>
    <n v="-5"/>
    <n v="12"/>
    <n v="205"/>
    <n v="17"/>
    <n v="205"/>
    <n v="200"/>
    <m/>
    <m/>
    <s v="Y"/>
    <m/>
    <s v="11-30 DAYS"/>
    <n v="2"/>
    <x v="0"/>
  </r>
  <r>
    <n v="2606"/>
    <s v="N"/>
    <s v="Y"/>
    <n v="2195898"/>
    <n v="5"/>
    <d v="2012-04-06T00:00:00"/>
    <d v="2014-05-09T00:00:00"/>
    <n v="2195898"/>
    <d v="2014-05-07T00:00:00"/>
    <d v="2012-04-07T00:00:00"/>
    <n v="15000"/>
    <x v="0"/>
    <d v="2012-04-07T00:00:00"/>
    <s v="Y"/>
    <s v="SURETYPTRc"/>
    <s v="GUILTY PLEA - NO JURY"/>
    <n v="3"/>
    <n v="763"/>
    <n v="2"/>
    <n v="0"/>
    <m/>
    <m/>
    <m/>
    <m/>
    <m/>
    <m/>
    <m/>
    <m/>
    <m/>
    <d v="1985-03-09T00:00:00"/>
    <s v="M"/>
    <s v="B"/>
    <s v="BLACK"/>
    <s v="NON-HISPANIC"/>
    <s v="338"/>
    <s v="CONVICTED"/>
    <n v="6"/>
    <s v="STJ"/>
    <m/>
    <n v="16"/>
    <m/>
    <s v="THEFT $1500-20K"/>
    <m/>
    <s v="FS"/>
    <s v="THEFT"/>
    <s v="no surety bf penalty"/>
    <s v="bf 7/19/12"/>
    <s v="Y"/>
    <s v=" 7/19/12"/>
    <m/>
    <m/>
    <d v="2014-05-07T00:00:00"/>
    <s v="why"/>
    <s v="why"/>
    <s v="Hired Attorney"/>
    <m/>
    <m/>
    <n v="3"/>
    <m/>
    <n v="763"/>
    <n v="27.021857923497269"/>
    <n v="0"/>
    <n v="-762"/>
    <s v="CONVICTION"/>
    <x v="1"/>
    <s v="Y"/>
    <m/>
    <s v="CONVICTION"/>
    <s v="Y"/>
    <x v="0"/>
    <x v="0"/>
    <s v="Y"/>
    <n v="3.9318479685452159E-3"/>
    <n v="3.8999999999999998E-3"/>
    <n v="0"/>
    <n v="0"/>
    <n v="759"/>
    <n v="762"/>
    <n v="3"/>
    <e v="#VALUE!"/>
    <n v="3"/>
    <m/>
    <m/>
    <m/>
    <s v="Y"/>
    <e v="#N/A"/>
    <s v="0-10 DAYS"/>
    <n v="1"/>
    <x v="0"/>
  </r>
  <r>
    <n v="1833"/>
    <s v="N"/>
    <s v="N"/>
    <n v="2196936"/>
    <n v="5"/>
    <d v="2012-03-08T00:00:00"/>
    <d v="2012-06-20T00:00:00"/>
    <n v="2196936"/>
    <d v="2012-03-09T00:00:00"/>
    <d v="2012-06-20T00:00:00"/>
    <n v="15000"/>
    <x v="0"/>
    <m/>
    <s v="N"/>
    <s v="NONE"/>
    <s v="GUILTY PLEA - NO JURY"/>
    <n v="104"/>
    <n v="105"/>
    <n v="0"/>
    <n v="2"/>
    <m/>
    <m/>
    <m/>
    <m/>
    <m/>
    <m/>
    <m/>
    <m/>
    <m/>
    <d v="1962-07-30T00:00:00"/>
    <s v="M"/>
    <s v="H"/>
    <s v="HISPANIC"/>
    <s v="HISPANIC"/>
    <s v="230"/>
    <s v="CONVICTED"/>
    <n v="4"/>
    <s v="STJ"/>
    <m/>
    <n v="8"/>
    <m/>
    <s v="POSS CS PG 1 &lt;1G"/>
    <m/>
    <s v="FS"/>
    <s v="POSS DRUG"/>
    <m/>
    <m/>
    <m/>
    <m/>
    <m/>
    <m/>
    <m/>
    <m/>
    <m/>
    <s v="Hired Attorney"/>
    <m/>
    <m/>
    <n v="104"/>
    <n v="104"/>
    <n v="105"/>
    <n v="49.505464480874316"/>
    <n v="0"/>
    <n v="0"/>
    <s v="CONVICTION"/>
    <x v="0"/>
    <s v="N"/>
    <m/>
    <s v="CONVICTION"/>
    <s v="Y"/>
    <x v="0"/>
    <x v="0"/>
    <s v="N"/>
    <n v="0.99047619047619051"/>
    <n v="1"/>
    <n v="9.52380952380949E-3"/>
    <n v="0"/>
    <n v="-104"/>
    <n v="0"/>
    <n v="104"/>
    <e v="#VALUE!"/>
    <n v="104"/>
    <n v="0"/>
    <m/>
    <m/>
    <s v="Y"/>
    <m/>
    <s v="91-120 DAYS"/>
    <n v="0"/>
    <x v="0"/>
  </r>
  <r>
    <n v="2845"/>
    <s v="N"/>
    <s v="N"/>
    <n v="2197268"/>
    <n v="1"/>
    <d v="2012-04-15T00:00:00"/>
    <d v="2012-04-16T00:00:00"/>
    <n v="2197268"/>
    <d v="2012-04-15T00:00:00"/>
    <d v="2012-04-16T00:00:00"/>
    <n v="10000"/>
    <x v="3"/>
    <m/>
    <s v="N"/>
    <s v="NONE"/>
    <s v="DISMISSED"/>
    <n v="2"/>
    <n v="2"/>
    <n v="2"/>
    <n v="3"/>
    <n v="1"/>
    <m/>
    <m/>
    <m/>
    <m/>
    <m/>
    <m/>
    <m/>
    <m/>
    <d v="1988-11-05T00:00:00"/>
    <s v="M"/>
    <s v="B"/>
    <s v="BLACK"/>
    <s v="NON-HISPANIC"/>
    <s v="209"/>
    <s v="DISMISSED"/>
    <n v="1"/>
    <s v="DISMISSED"/>
    <m/>
    <m/>
    <m/>
    <s v="TAMPER/FABRICATE EVIDENCE"/>
    <m/>
    <s v="F3"/>
    <s v="OTHER FEL"/>
    <m/>
    <m/>
    <m/>
    <m/>
    <m/>
    <m/>
    <m/>
    <m/>
    <m/>
    <s v="Appointed Attorney"/>
    <m/>
    <m/>
    <n v="2"/>
    <n v="2"/>
    <n v="2"/>
    <n v="23.393442622950818"/>
    <n v="0"/>
    <n v="0"/>
    <s v="NO CONVICTION"/>
    <x v="0"/>
    <s v="N"/>
    <m/>
    <s v="NO 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2216"/>
    <s v="Y"/>
    <s v="Y"/>
    <n v="2199254"/>
    <n v="4"/>
    <d v="2012-03-24T00:00:00"/>
    <d v="2012-09-19T00:00:00"/>
    <n v="2199254"/>
    <d v="2012-03-24T00:00:00"/>
    <d v="2012-03-26T00:00:00"/>
    <n v="10000"/>
    <x v="3"/>
    <d v="2012-03-26T00:00:00"/>
    <s v="Y"/>
    <s v="SURETY"/>
    <s v="GUILTY PLEA - NO JURY"/>
    <n v="5"/>
    <n v="180"/>
    <n v="2"/>
    <n v="7"/>
    <n v="1"/>
    <m/>
    <m/>
    <m/>
    <m/>
    <m/>
    <m/>
    <m/>
    <m/>
    <d v="1988-10-29T00:00:00"/>
    <s v="M"/>
    <s v="B"/>
    <s v="BLACK"/>
    <s v="NON-HISPANIC"/>
    <s v="228"/>
    <s v="CONVICTED"/>
    <n v="9"/>
    <s v="HCJ"/>
    <m/>
    <m/>
    <n v="250"/>
    <s v="POSS MARIJ  4 OZ. - 5 LBS."/>
    <m/>
    <s v="FS"/>
    <s v="POSS DRUG"/>
    <s v="2 misd drug  conv 9/25/12 hcj 90 days"/>
    <s v="rev 9/5/12"/>
    <m/>
    <m/>
    <s v="Y"/>
    <m/>
    <m/>
    <m/>
    <m/>
    <s v="Hired Attorney"/>
    <s v="m p marj 9/25/12 90d 3 f alst pend"/>
    <m/>
    <n v="5"/>
    <n v="180"/>
    <n v="180"/>
    <n v="23.352459016393443"/>
    <n v="0"/>
    <n v="-177"/>
    <s v="CONVICTION"/>
    <x v="1"/>
    <s v="Y"/>
    <m/>
    <s v="CONVICTION"/>
    <s v="Y"/>
    <x v="1"/>
    <x v="0"/>
    <s v="Y"/>
    <n v="2.7777777777777776E-2"/>
    <n v="1.6666666666666666E-2"/>
    <n v="-1.111111111111111E-2"/>
    <n v="0"/>
    <n v="-3"/>
    <n v="2"/>
    <n v="3"/>
    <n v="5"/>
    <m/>
    <n v="177"/>
    <m/>
    <m/>
    <s v="Y"/>
    <m/>
    <s v="0-10 DAYS"/>
    <n v="1"/>
    <x v="0"/>
  </r>
  <r>
    <n v="302"/>
    <s v="N"/>
    <s v="N"/>
    <n v="2201253"/>
    <n v="6"/>
    <d v="2012-01-13T00:00:00"/>
    <d v="2012-09-05T00:00:00"/>
    <n v="2201253"/>
    <d v="2012-01-13T00:00:00"/>
    <d v="2012-09-05T00:00:00"/>
    <n v="15000"/>
    <x v="0"/>
    <m/>
    <s v="N"/>
    <s v="NONE"/>
    <s v="GUILTY PLEA - NO JURY"/>
    <n v="237"/>
    <n v="237"/>
    <n v="6"/>
    <n v="3"/>
    <n v="5"/>
    <m/>
    <m/>
    <m/>
    <m/>
    <m/>
    <m/>
    <m/>
    <m/>
    <d v="1986-10-08T00:00:00"/>
    <s v="M"/>
    <s v="B"/>
    <s v="BLACK"/>
    <s v="NON-HISPANIC"/>
    <s v="339"/>
    <s v="CONVICTED"/>
    <n v="10"/>
    <s v="TDC"/>
    <n v="2"/>
    <m/>
    <m/>
    <s v="POSS W/INT DEL CS PG1 1G &lt;4 GR"/>
    <m/>
    <s v="F2"/>
    <s v="SALE DRUG"/>
    <m/>
    <m/>
    <m/>
    <m/>
    <m/>
    <m/>
    <m/>
    <m/>
    <m/>
    <s v="Appointed Attorney"/>
    <m/>
    <m/>
    <n v="237"/>
    <n v="237"/>
    <n v="237"/>
    <n v="25.21311475409836"/>
    <n v="0"/>
    <n v="0"/>
    <s v="CONVICTION"/>
    <x v="0"/>
    <s v="N"/>
    <m/>
    <s v="CONVICTION"/>
    <s v="Y"/>
    <x v="0"/>
    <x v="0"/>
    <s v="Y"/>
    <n v="1"/>
    <n v="1"/>
    <n v="0"/>
    <n v="0"/>
    <n v="-237"/>
    <n v="0"/>
    <n v="237"/>
    <e v="#VALUE!"/>
    <n v="237"/>
    <n v="0"/>
    <m/>
    <m/>
    <s v="Y"/>
    <m/>
    <s v="121-365 DAYS"/>
    <n v="6"/>
    <x v="0"/>
  </r>
  <r>
    <n v="2362"/>
    <s v="N"/>
    <s v="N"/>
    <n v="2202012"/>
    <n v="6"/>
    <d v="2012-03-30T00:00:00"/>
    <d v="2012-07-27T00:00:00"/>
    <n v="2202012"/>
    <d v="2012-03-30T00:00:00"/>
    <d v="2012-03-31T00:00:00"/>
    <n v="35000"/>
    <x v="2"/>
    <d v="2012-03-31T00:00:00"/>
    <s v="Y"/>
    <s v="SURETY"/>
    <s v="GUILTY PLEA - NO JURY"/>
    <n v="2"/>
    <n v="120"/>
    <n v="3"/>
    <n v="2"/>
    <n v="1"/>
    <m/>
    <m/>
    <m/>
    <m/>
    <m/>
    <m/>
    <m/>
    <m/>
    <d v="1987-04-22T00:00:00"/>
    <s v="M"/>
    <s v="B"/>
    <s v="BLACK"/>
    <s v="NULL"/>
    <s v="263"/>
    <s v="CONVICTED"/>
    <n v="6"/>
    <s v="TDC"/>
    <n v="14"/>
    <m/>
    <m/>
    <s v="FELON POSS WPN"/>
    <m/>
    <s v="F3"/>
    <s v="OTHER FEL"/>
    <m/>
    <m/>
    <m/>
    <m/>
    <m/>
    <m/>
    <m/>
    <m/>
    <m/>
    <s v="Hired Attorney"/>
    <m/>
    <m/>
    <n v="2"/>
    <n v="120"/>
    <n v="120"/>
    <n v="24.887978142076502"/>
    <n v="0"/>
    <n v="-118"/>
    <s v="CONVICTION"/>
    <x v="1"/>
    <s v="Y"/>
    <m/>
    <s v="CONVICTION"/>
    <s v="Y"/>
    <x v="1"/>
    <x v="0"/>
    <s v="Y"/>
    <n v="1.6666666666666666E-2"/>
    <n v="1.6666666666666666E-2"/>
    <n v="0"/>
    <n v="0"/>
    <n v="-2"/>
    <n v="0"/>
    <n v="2"/>
    <e v="#VALUE!"/>
    <n v="2"/>
    <n v="0"/>
    <m/>
    <m/>
    <s v="Y"/>
    <m/>
    <s v="0-10 DAYS"/>
    <n v="1"/>
    <x v="0"/>
  </r>
  <r>
    <n v="3181"/>
    <s v="N"/>
    <s v="N"/>
    <n v="2202113"/>
    <n v="2"/>
    <d v="2012-04-27T00:00:00"/>
    <d v="2012-06-01T00:00:00"/>
    <n v="2202113"/>
    <d v="2012-04-27T00:00:00"/>
    <d v="2012-06-01T00:00:00"/>
    <n v="5000"/>
    <x v="4"/>
    <m/>
    <s v="N"/>
    <s v="NONE"/>
    <s v="DEFENDANT CONVICTED ON ANOTHER CHARGE"/>
    <n v="36"/>
    <n v="36"/>
    <n v="0"/>
    <n v="4"/>
    <m/>
    <m/>
    <m/>
    <m/>
    <m/>
    <m/>
    <m/>
    <m/>
    <m/>
    <d v="1979-09-11T00:00:00"/>
    <s v="M"/>
    <s v="W"/>
    <s v="WHITE"/>
    <s v="NULL"/>
    <s v="339"/>
    <s v="DEFERRED"/>
    <n v="3"/>
    <s v="DEFERRED"/>
    <m/>
    <m/>
    <m/>
    <s v="INJURY CHILD UNDER 15 B/INJURY"/>
    <m/>
    <s v="F3"/>
    <s v="OTHER FEL"/>
    <m/>
    <m/>
    <m/>
    <m/>
    <m/>
    <m/>
    <m/>
    <m/>
    <m/>
    <s v="Appointed Attorney"/>
    <m/>
    <m/>
    <n v="36"/>
    <n v="36"/>
    <n v="36"/>
    <n v="32.560109289617486"/>
    <n v="0"/>
    <n v="0"/>
    <s v="DEFERRED"/>
    <x v="0"/>
    <s v="N"/>
    <m/>
    <s v="DEFERRED"/>
    <s v="Y"/>
    <x v="0"/>
    <x v="0"/>
    <s v="N"/>
    <n v="1"/>
    <n v="1"/>
    <n v="0"/>
    <n v="0"/>
    <n v="-36"/>
    <n v="0"/>
    <n v="36"/>
    <e v="#VALUE!"/>
    <n v="36"/>
    <n v="0"/>
    <m/>
    <m/>
    <s v="Y"/>
    <m/>
    <s v="31-60 DAYS"/>
    <n v="3"/>
    <x v="0"/>
  </r>
  <r>
    <n v="3141"/>
    <s v="N"/>
    <s v="N"/>
    <n v="2202135"/>
    <n v="6"/>
    <d v="2012-04-25T00:00:00"/>
    <d v="2012-06-25T00:00:00"/>
    <n v="2202135"/>
    <d v="2012-04-26T00:00:00"/>
    <d v="2012-06-25T00:00:00"/>
    <s v="NO BOND"/>
    <x v="1"/>
    <m/>
    <s v="N"/>
    <s v="NONE"/>
    <s v="GUILTY PLEA - NO JURY"/>
    <n v="61"/>
    <n v="62"/>
    <n v="3"/>
    <n v="5"/>
    <n v="2"/>
    <m/>
    <m/>
    <m/>
    <m/>
    <m/>
    <m/>
    <m/>
    <m/>
    <d v="1979-05-16T00:00:00"/>
    <s v="M"/>
    <s v="B"/>
    <s v="BLACK"/>
    <s v="NON-HISPANIC"/>
    <s v="177"/>
    <s v="CONVICTED"/>
    <n v="4"/>
    <s v="TDC"/>
    <n v="5"/>
    <m/>
    <m/>
    <s v="POSS CS PG 1 4G - 200G"/>
    <m/>
    <s v="F2"/>
    <s v="POSS DRUG"/>
    <m/>
    <m/>
    <m/>
    <m/>
    <m/>
    <m/>
    <m/>
    <m/>
    <m/>
    <s v="Public Defender"/>
    <m/>
    <m/>
    <n v="61"/>
    <n v="61"/>
    <n v="62"/>
    <n v="32.877049180327866"/>
    <n v="0"/>
    <n v="0"/>
    <s v="CONVICTION"/>
    <x v="0"/>
    <s v="N"/>
    <m/>
    <s v="CONVICTION"/>
    <s v="Y"/>
    <x v="0"/>
    <x v="0"/>
    <s v="Y"/>
    <n v="0.9838709677419355"/>
    <n v="1"/>
    <n v="1.6129032258064502E-2"/>
    <n v="0"/>
    <n v="-61"/>
    <n v="0"/>
    <n v="61"/>
    <e v="#VALUE!"/>
    <n v="61"/>
    <n v="0"/>
    <m/>
    <m/>
    <s v="Y"/>
    <m/>
    <s v="61-90 DAYS"/>
    <n v="4"/>
    <x v="0"/>
  </r>
  <r>
    <n v="2235"/>
    <s v="N"/>
    <s v="N"/>
    <n v="2202580"/>
    <n v="5"/>
    <d v="2012-03-25T00:00:00"/>
    <d v="2013-01-02T00:00:00"/>
    <n v="2202580"/>
    <d v="2012-03-25T00:00:00"/>
    <d v="2012-03-26T00:00:00"/>
    <n v="5000"/>
    <x v="4"/>
    <d v="2012-03-26T00:00:00"/>
    <s v="Y"/>
    <s v="SURETY"/>
    <s v="GUILTY PLEA - NO JURY"/>
    <n v="2"/>
    <n v="284"/>
    <n v="1"/>
    <n v="1"/>
    <m/>
    <n v="1"/>
    <m/>
    <m/>
    <m/>
    <m/>
    <m/>
    <m/>
    <m/>
    <d v="1988-03-06T00:00:00"/>
    <s v="M"/>
    <s v="H"/>
    <s v="HISPANIC"/>
    <s v="HISPANIC"/>
    <s v="351"/>
    <s v="CONVICTED"/>
    <n v="12"/>
    <s v="STJ"/>
    <m/>
    <n v="6"/>
    <m/>
    <s v="POSS CS PG 1  1 - 4 GRAMS"/>
    <m/>
    <s v="F3"/>
    <s v="POSS DRUG"/>
    <m/>
    <m/>
    <m/>
    <m/>
    <m/>
    <m/>
    <m/>
    <m/>
    <m/>
    <s v="Appointed Attorney"/>
    <m/>
    <m/>
    <n v="2"/>
    <n v="284"/>
    <n v="284"/>
    <n v="24.002732240437158"/>
    <n v="0"/>
    <n v="-282"/>
    <s v="CONVICTION"/>
    <x v="1"/>
    <s v="Y"/>
    <m/>
    <s v="CONVICTION"/>
    <s v="Y"/>
    <x v="1"/>
    <x v="0"/>
    <s v="Y"/>
    <n v="7.0422535211267607E-3"/>
    <n v="7.0422535211267607E-3"/>
    <n v="0"/>
    <n v="0"/>
    <n v="-2"/>
    <n v="0"/>
    <n v="2"/>
    <e v="#VALUE!"/>
    <n v="2"/>
    <n v="0"/>
    <m/>
    <m/>
    <s v="Y"/>
    <m/>
    <s v="0-10 DAYS"/>
    <n v="1"/>
    <x v="0"/>
  </r>
  <r>
    <n v="2665"/>
    <s v="N"/>
    <s v="N"/>
    <n v="2202589"/>
    <n v="1"/>
    <d v="2012-04-09T00:00:00"/>
    <d v="2013-01-03T00:00:00"/>
    <n v="2202589"/>
    <d v="2012-04-09T00:00:00"/>
    <d v="2012-04-10T00:00:00"/>
    <n v="10000"/>
    <x v="3"/>
    <d v="2012-04-10T00:00:00"/>
    <s v="Y"/>
    <s v="SURETY"/>
    <s v="DISMISSED"/>
    <n v="2"/>
    <n v="270"/>
    <n v="3"/>
    <n v="0"/>
    <n v="2"/>
    <m/>
    <m/>
    <m/>
    <m/>
    <m/>
    <m/>
    <m/>
    <m/>
    <d v="1986-04-10T00:00:00"/>
    <s v="M"/>
    <s v="B"/>
    <s v="BLACK"/>
    <s v="NON-HISPANIC"/>
    <s v="178"/>
    <s v="DISMISSED"/>
    <n v="11"/>
    <s v="DISMISSED"/>
    <m/>
    <m/>
    <m/>
    <s v="FELON POSS WPN"/>
    <m/>
    <s v="F3"/>
    <s v="OTHER FEL"/>
    <s v="misd drug  hcj 2 d 1/23/13         fel pend"/>
    <m/>
    <m/>
    <m/>
    <m/>
    <m/>
    <m/>
    <m/>
    <m/>
    <s v="Hired Attorney"/>
    <m/>
    <m/>
    <n v="2"/>
    <n v="270"/>
    <n v="270"/>
    <n v="25.94535519125683"/>
    <n v="0"/>
    <n v="-268"/>
    <s v="NO CONVICTION"/>
    <x v="1"/>
    <s v="Y"/>
    <m/>
    <s v="NO CONVICTION"/>
    <s v="Y"/>
    <x v="1"/>
    <x v="0"/>
    <s v="Y"/>
    <n v="7.4074074074074077E-3"/>
    <n v="7.4074074074074077E-3"/>
    <n v="0"/>
    <n v="0"/>
    <n v="-2"/>
    <n v="0"/>
    <n v="2"/>
    <e v="#VALUE!"/>
    <n v="2"/>
    <n v="0"/>
    <m/>
    <m/>
    <s v="Y"/>
    <m/>
    <s v="0-10 DAYS"/>
    <n v="1"/>
    <x v="0"/>
  </r>
  <r>
    <n v="550"/>
    <s v="N"/>
    <s v="N"/>
    <n v="2203322"/>
    <n v="5"/>
    <d v="2012-01-23T00:00:00"/>
    <d v="2012-01-24T00:00:00"/>
    <n v="2203322"/>
    <d v="2012-01-23T00:00:00"/>
    <d v="2012-01-24T00:00:00"/>
    <n v="5000"/>
    <x v="4"/>
    <m/>
    <s v="N"/>
    <s v="NONE"/>
    <s v="GUILTY PLEA - NO JURY"/>
    <n v="2"/>
    <n v="2"/>
    <n v="3"/>
    <n v="0"/>
    <n v="3"/>
    <m/>
    <m/>
    <m/>
    <m/>
    <m/>
    <m/>
    <s v="S"/>
    <m/>
    <d v="1988-06-22T00:00:00"/>
    <s v="M"/>
    <s v="H"/>
    <s v="HISPANIC"/>
    <s v="NULL"/>
    <s v="185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2"/>
    <n v="2"/>
    <n v="2"/>
    <n v="23.538251366120218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720"/>
    <s v="N"/>
    <s v="N"/>
    <n v="2204772"/>
    <n v="5"/>
    <d v="2012-01-29T00:00:00"/>
    <d v="2012-08-21T00:00:00"/>
    <n v="2204772"/>
    <d v="2012-01-29T00:00:00"/>
    <d v="2012-08-21T00:00:00"/>
    <n v="20000"/>
    <x v="0"/>
    <m/>
    <s v="N"/>
    <s v="NONE"/>
    <s v="GUILTY PLEA - NO JURY"/>
    <n v="206"/>
    <n v="206"/>
    <n v="5"/>
    <n v="5"/>
    <n v="2"/>
    <m/>
    <m/>
    <m/>
    <m/>
    <m/>
    <m/>
    <m/>
    <m/>
    <d v="1979-05-31T00:00:00"/>
    <s v="M"/>
    <s v="B"/>
    <s v="BLACK"/>
    <s v="NON-HISPANIC"/>
    <s v="182"/>
    <s v="CONVICTED"/>
    <n v="7"/>
    <s v="STJ"/>
    <m/>
    <n v="7"/>
    <m/>
    <s v="ROBBERY-BODILY INJURY"/>
    <m/>
    <s v="F2"/>
    <s v="ROBBERY"/>
    <m/>
    <m/>
    <m/>
    <m/>
    <m/>
    <m/>
    <m/>
    <m/>
    <m/>
    <s v="Hired Attorney"/>
    <m/>
    <m/>
    <n v="206"/>
    <n v="206"/>
    <n v="206"/>
    <n v="32.598360655737707"/>
    <n v="0"/>
    <n v="0"/>
    <s v="CONVICTION"/>
    <x v="0"/>
    <s v="N"/>
    <m/>
    <s v="CONVICTION"/>
    <s v="Y"/>
    <x v="0"/>
    <x v="0"/>
    <s v="Y"/>
    <n v="1"/>
    <n v="1"/>
    <n v="0"/>
    <n v="0"/>
    <n v="-206"/>
    <n v="0"/>
    <n v="206"/>
    <e v="#VALUE!"/>
    <n v="206"/>
    <n v="0"/>
    <m/>
    <m/>
    <s v="Y"/>
    <m/>
    <s v="121-365 DAYS"/>
    <n v="6"/>
    <x v="0"/>
  </r>
  <r>
    <n v="314"/>
    <s v="N"/>
    <s v="Y"/>
    <n v="2206032"/>
    <n v="6"/>
    <d v="2012-01-13T00:00:00"/>
    <d v="2012-10-02T00:00:00"/>
    <n v="2206032"/>
    <d v="2012-01-13T00:00:00"/>
    <d v="2012-01-14T00:00:00"/>
    <n v="30000"/>
    <x v="2"/>
    <d v="2012-01-14T00:00:00"/>
    <s v="Y"/>
    <s v="SURETY"/>
    <s v="GUILTY PLEA - NO JURY"/>
    <n v="165"/>
    <n v="264"/>
    <n v="3"/>
    <n v="1"/>
    <n v="2"/>
    <m/>
    <m/>
    <m/>
    <m/>
    <m/>
    <m/>
    <m/>
    <m/>
    <d v="1987-11-26T00:00:00"/>
    <s v="M"/>
    <s v="B"/>
    <s v="BLACK"/>
    <s v="NON-HISPANIC"/>
    <s v="339"/>
    <s v="CONVICTED"/>
    <n v="12"/>
    <s v="TDC"/>
    <n v="2"/>
    <m/>
    <m/>
    <s v="BURGLARY OF HABITATION"/>
    <m/>
    <s v="F2"/>
    <s v="BURGLARY"/>
    <m/>
    <s v="rev 4/19/12  "/>
    <m/>
    <m/>
    <s v="Y"/>
    <m/>
    <m/>
    <m/>
    <m/>
    <s v="Hired Attorney"/>
    <m/>
    <m/>
    <n v="165"/>
    <n v="264"/>
    <n v="264"/>
    <n v="24.081967213114755"/>
    <n v="0"/>
    <n v="-262"/>
    <s v="CONVICTION"/>
    <x v="1"/>
    <s v="Y"/>
    <m/>
    <s v="CONVICTION"/>
    <s v="Y"/>
    <x v="0"/>
    <x v="0"/>
    <s v="Y"/>
    <n v="0.625"/>
    <n v="7.575757575757576E-3"/>
    <n v="-0.61742424242424243"/>
    <n v="0"/>
    <n v="-2"/>
    <n v="163"/>
    <n v="264"/>
    <n v="165"/>
    <n v="264"/>
    <n v="262"/>
    <m/>
    <m/>
    <s v="Y"/>
    <m/>
    <s v="121-365 DAYS"/>
    <n v="6"/>
    <x v="0"/>
  </r>
  <r>
    <n v="3000"/>
    <s v="N"/>
    <s v="N"/>
    <n v="2206162"/>
    <n v="1"/>
    <d v="2012-04-20T00:00:00"/>
    <d v="2012-08-31T00:00:00"/>
    <n v="2206162"/>
    <d v="2012-04-20T00:00:00"/>
    <d v="2012-08-31T00:00:00"/>
    <n v="50000"/>
    <x v="2"/>
    <m/>
    <s v="N"/>
    <s v="NONE"/>
    <s v="DISMISSED"/>
    <n v="134"/>
    <n v="134"/>
    <n v="0"/>
    <n v="0"/>
    <m/>
    <m/>
    <m/>
    <m/>
    <m/>
    <m/>
    <m/>
    <m/>
    <m/>
    <d v="1988-01-31T00:00:00"/>
    <s v="M"/>
    <s v="B"/>
    <s v="BLACK"/>
    <s v="NON-HISPANIC"/>
    <s v="248"/>
    <s v="DISMISSED"/>
    <n v="5"/>
    <s v="DISMISSED"/>
    <m/>
    <m/>
    <m/>
    <s v="SEXUAL ASSAULT"/>
    <m/>
    <s v="F2"/>
    <s v="RAPE"/>
    <m/>
    <m/>
    <m/>
    <m/>
    <m/>
    <m/>
    <m/>
    <m/>
    <m/>
    <s v="Appointed Attorney"/>
    <m/>
    <m/>
    <n v="134"/>
    <n v="134"/>
    <n v="134"/>
    <n v="24.169398907103826"/>
    <n v="0"/>
    <n v="0"/>
    <s v="NO CONVICTION"/>
    <x v="0"/>
    <s v="N"/>
    <m/>
    <s v="NO CONVICTION"/>
    <s v="Y"/>
    <x v="0"/>
    <x v="0"/>
    <s v="N"/>
    <n v="1"/>
    <n v="1"/>
    <n v="0"/>
    <n v="0"/>
    <n v="-134"/>
    <n v="0"/>
    <n v="134"/>
    <e v="#VALUE!"/>
    <n v="134"/>
    <n v="0"/>
    <m/>
    <m/>
    <s v="N"/>
    <m/>
    <s v="121-365 DAYS"/>
    <n v="6"/>
    <x v="0"/>
  </r>
  <r>
    <n v="221"/>
    <s v="N"/>
    <s v="N"/>
    <n v="2207844"/>
    <n v="2"/>
    <d v="2012-01-10T00:00:00"/>
    <d v="2012-03-15T00:00:00"/>
    <n v="2207844"/>
    <d v="2012-01-11T00:00:00"/>
    <d v="2012-01-18T00:00:00"/>
    <n v="5000"/>
    <x v="4"/>
    <d v="2012-01-18T00:00:00"/>
    <s v="Y"/>
    <s v="SURETY"/>
    <s v="DEFERRED ADJUDICATION "/>
    <n v="8"/>
    <n v="66"/>
    <n v="0"/>
    <n v="3"/>
    <m/>
    <m/>
    <m/>
    <m/>
    <m/>
    <m/>
    <m/>
    <m/>
    <m/>
    <d v="1985-05-11T00:00:00"/>
    <s v="M"/>
    <s v="B"/>
    <s v="BLACK"/>
    <s v="NULL"/>
    <s v="180"/>
    <s v="DEFERRED"/>
    <n v="4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8"/>
    <n v="65"/>
    <n v="66"/>
    <n v="26.612021857923498"/>
    <n v="0"/>
    <n v="-57"/>
    <s v="DEFERRED"/>
    <x v="1"/>
    <s v="Y"/>
    <m/>
    <s v="DEFERRED"/>
    <s v="Y"/>
    <x v="1"/>
    <x v="0"/>
    <s v="N"/>
    <n v="0.12121212121212122"/>
    <n v="0.12307692307692308"/>
    <n v="1.8648018648018683E-3"/>
    <n v="0"/>
    <n v="-8"/>
    <n v="0"/>
    <n v="8"/>
    <e v="#VALUE!"/>
    <n v="8"/>
    <n v="0"/>
    <m/>
    <m/>
    <s v="Y"/>
    <m/>
    <s v="0-10 DAYS"/>
    <n v="1"/>
    <x v="0"/>
  </r>
  <r>
    <n v="678"/>
    <s v="N"/>
    <s v="Y"/>
    <n v="2208350"/>
    <n v="6"/>
    <d v="2012-01-11T00:00:00"/>
    <d v="2013-02-25T00:00:00"/>
    <n v="2208350"/>
    <d v="2012-01-11T00:00:00"/>
    <d v="2012-01-13T00:00:00"/>
    <n v="20000"/>
    <x v="0"/>
    <d v="2012-01-13T00:00:00"/>
    <s v="Y"/>
    <s v="SURETY"/>
    <s v="GUILTY PLEA - NO JURY"/>
    <n v="356"/>
    <n v="412"/>
    <n v="3"/>
    <n v="3"/>
    <n v="1"/>
    <n v="1"/>
    <m/>
    <m/>
    <m/>
    <m/>
    <m/>
    <m/>
    <m/>
    <d v="1988-11-07T00:00:00"/>
    <s v="M"/>
    <s v="B"/>
    <s v="BLACK"/>
    <s v="NON-HISPANIC"/>
    <s v="184"/>
    <s v="CONVICTED"/>
    <n v="14"/>
    <s v="TDC"/>
    <n v="7"/>
    <m/>
    <m/>
    <s v="POSS-UNL USE CRIM INSTR"/>
    <m/>
    <s v="F3"/>
    <s v="OTHER FEL"/>
    <m/>
    <d v="2012-03-09T00:00:00"/>
    <m/>
    <m/>
    <s v="Y"/>
    <m/>
    <m/>
    <m/>
    <m/>
    <s v="Appointed Attorney"/>
    <m/>
    <m/>
    <n v="356"/>
    <n v="412"/>
    <n v="412"/>
    <n v="23.128415300546447"/>
    <n v="0"/>
    <n v="-409"/>
    <s v="CONVICTION"/>
    <x v="1"/>
    <s v="Y"/>
    <m/>
    <s v="CONVICTION"/>
    <s v="Y"/>
    <x v="0"/>
    <x v="0"/>
    <s v="Y"/>
    <n v="0.86407766990291257"/>
    <n v="7.2815533980582527E-3"/>
    <n v="-0.85679611650485432"/>
    <n v="0"/>
    <n v="-3"/>
    <n v="353"/>
    <n v="412"/>
    <n v="356"/>
    <n v="412"/>
    <n v="409"/>
    <m/>
    <m/>
    <s v="Y"/>
    <m/>
    <s v="121-365 DAYS"/>
    <n v="6"/>
    <x v="0"/>
  </r>
  <r>
    <n v="234"/>
    <s v="N"/>
    <s v="N"/>
    <n v="2209435"/>
    <n v="6"/>
    <d v="2012-01-11T00:00:00"/>
    <d v="2012-01-12T00:00:00"/>
    <n v="2209435"/>
    <d v="2012-01-11T00:00:00"/>
    <d v="2012-01-12T00:00:00"/>
    <n v="10000"/>
    <x v="3"/>
    <m/>
    <s v="N"/>
    <s v="NONE"/>
    <s v="GUILTY PLEA - NO JURY"/>
    <n v="2"/>
    <n v="2"/>
    <n v="0"/>
    <n v="1"/>
    <m/>
    <m/>
    <m/>
    <m/>
    <m/>
    <m/>
    <m/>
    <m/>
    <m/>
    <d v="1987-09-21T00:00:00"/>
    <s v="M"/>
    <s v="H"/>
    <s v="HISPANIC"/>
    <s v="HISPANIC"/>
    <s v="185"/>
    <s v="CONVICTED"/>
    <n v="1"/>
    <s v="TDC"/>
    <n v="2"/>
    <m/>
    <m/>
    <s v="BURGLARY OF HABITATION"/>
    <m/>
    <s v="F2"/>
    <s v="BURGLARY"/>
    <s v="tdc no legal defense?"/>
    <m/>
    <m/>
    <m/>
    <m/>
    <m/>
    <m/>
    <m/>
    <m/>
    <s v="Other/Unknown"/>
    <m/>
    <m/>
    <n v="2"/>
    <n v="2"/>
    <n v="2"/>
    <n v="24.256830601092897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1635"/>
    <s v="N"/>
    <s v="N"/>
    <n v="2209562"/>
    <n v="5"/>
    <d v="2012-03-01T00:00:00"/>
    <d v="2012-04-19T00:00:00"/>
    <n v="2209562"/>
    <d v="2012-03-01T00:00:00"/>
    <d v="2012-04-19T00:00:00"/>
    <n v="15000"/>
    <x v="0"/>
    <m/>
    <s v="N"/>
    <s v="NONE"/>
    <s v="GUILTY PLEA - NO JURY"/>
    <n v="50"/>
    <n v="50"/>
    <n v="1"/>
    <n v="0"/>
    <n v="1"/>
    <m/>
    <m/>
    <m/>
    <m/>
    <m/>
    <m/>
    <m/>
    <m/>
    <d v="1973-04-17T00:00:00"/>
    <s v="M"/>
    <s v="W"/>
    <s v="WHITE"/>
    <s v="NULL"/>
    <s v="339"/>
    <s v="CONVICTED"/>
    <n v="3"/>
    <s v="STJ"/>
    <m/>
    <n v="8"/>
    <m/>
    <s v="THEFT UNDER $1500 - 3RD OFF."/>
    <m/>
    <s v="FS"/>
    <s v="THEFT"/>
    <m/>
    <m/>
    <m/>
    <m/>
    <m/>
    <m/>
    <m/>
    <m/>
    <m/>
    <s v="Appointed Attorney"/>
    <m/>
    <m/>
    <n v="50"/>
    <n v="50"/>
    <n v="50"/>
    <n v="38.792349726775953"/>
    <n v="0"/>
    <n v="0"/>
    <s v="CONVICTION"/>
    <x v="0"/>
    <s v="N"/>
    <m/>
    <s v="CONVICTION"/>
    <s v="Y"/>
    <x v="0"/>
    <x v="0"/>
    <s v="Y"/>
    <n v="1"/>
    <n v="1"/>
    <n v="0"/>
    <n v="0"/>
    <n v="-50"/>
    <n v="0"/>
    <n v="50"/>
    <e v="#VALUE!"/>
    <n v="50"/>
    <n v="0"/>
    <m/>
    <m/>
    <s v="Y"/>
    <m/>
    <s v="31-60 DAYS"/>
    <n v="3"/>
    <x v="0"/>
  </r>
  <r>
    <n v="1904"/>
    <s v="N"/>
    <s v="Y"/>
    <n v="2209573"/>
    <n v="4"/>
    <d v="2012-03-11T00:00:00"/>
    <d v="2013-04-18T00:00:00"/>
    <n v="2209573"/>
    <d v="2012-03-11T00:00:00"/>
    <d v="2012-03-14T00:00:00"/>
    <n v="5000"/>
    <x v="4"/>
    <d v="2012-03-14T00:00:00"/>
    <s v="Y"/>
    <s v="SURETYPTRc"/>
    <s v="GUILTY PLEA - NO JURY"/>
    <n v="24"/>
    <n v="404"/>
    <n v="0"/>
    <n v="3"/>
    <m/>
    <m/>
    <m/>
    <m/>
    <m/>
    <m/>
    <m/>
    <m/>
    <m/>
    <d v="1985-11-23T00:00:00"/>
    <s v="M"/>
    <s v="W"/>
    <s v="WHITE"/>
    <s v="NULL"/>
    <s v="337"/>
    <s v="CONVICTED"/>
    <n v="17"/>
    <s v="HCJ"/>
    <m/>
    <m/>
    <n v="60"/>
    <s v="ASSAULT-BOD INJ-FAMILY MEMBER"/>
    <m/>
    <s v="F3"/>
    <s v="ASLT-MURDR"/>
    <s v="bk 3/28/13  recal detained days"/>
    <s v="bk 3/28/13 "/>
    <s v="Y"/>
    <s v="bf 3/28/13"/>
    <m/>
    <m/>
    <m/>
    <d v="2013-06-17T00:00:00"/>
    <n v="235"/>
    <s v="Hired Attorney"/>
    <m/>
    <m/>
    <n v="24"/>
    <n v="404"/>
    <n v="404"/>
    <n v="26.243169398907103"/>
    <n v="0"/>
    <n v="-400"/>
    <s v="CONVICTION"/>
    <x v="1"/>
    <s v="N"/>
    <m/>
    <s v="CONVICTION"/>
    <s v="Y"/>
    <x v="0"/>
    <x v="0"/>
    <s v="N"/>
    <n v="5.9405940594059403E-2"/>
    <n v="9.9009900990099011E-3"/>
    <n v="-4.95049504950495E-2"/>
    <n v="0"/>
    <n v="-4"/>
    <n v="20"/>
    <n v="404"/>
    <n v="24"/>
    <n v="404"/>
    <n v="400"/>
    <m/>
    <m/>
    <s v="Y"/>
    <m/>
    <s v="11-30 DAYS"/>
    <n v="2"/>
    <x v="0"/>
  </r>
  <r>
    <n v="751"/>
    <s v="N"/>
    <s v="N"/>
    <n v="2209767"/>
    <n v="2"/>
    <d v="2012-01-30T00:00:00"/>
    <d v="2012-07-30T00:00:00"/>
    <n v="2209767"/>
    <d v="2012-01-31T00:00:00"/>
    <d v="2012-02-01T00:00:00"/>
    <n v="5000"/>
    <x v="4"/>
    <d v="2012-02-01T00:00:00"/>
    <s v="Y"/>
    <s v="SURETY"/>
    <s v="DEFERRED ADJUDICATION "/>
    <n v="2"/>
    <n v="183"/>
    <n v="0"/>
    <n v="0"/>
    <m/>
    <m/>
    <m/>
    <m/>
    <m/>
    <m/>
    <m/>
    <m/>
    <m/>
    <d v="1985-11-17T00:00:00"/>
    <s v="M"/>
    <s v="W"/>
    <s v="WHITE"/>
    <s v="NULL"/>
    <s v="178"/>
    <s v="DEFERRED"/>
    <n v="11"/>
    <s v="DEFERRED"/>
    <m/>
    <m/>
    <m/>
    <s v="FORGERY GOVERNMENT INSTRUMENT"/>
    <m/>
    <s v="F3"/>
    <s v="OTHER FEL"/>
    <m/>
    <m/>
    <m/>
    <m/>
    <m/>
    <m/>
    <m/>
    <m/>
    <m/>
    <s v="Hired Attorney"/>
    <m/>
    <m/>
    <n v="2"/>
    <n v="182"/>
    <n v="183"/>
    <n v="26.147540983606557"/>
    <n v="0"/>
    <n v="-180"/>
    <s v="DEFERRED"/>
    <x v="1"/>
    <s v="Y"/>
    <m/>
    <s v="DEFERRED"/>
    <s v="Y"/>
    <x v="1"/>
    <x v="0"/>
    <s v="N"/>
    <n v="1.092896174863388E-2"/>
    <n v="1.098901098901099E-2"/>
    <n v="6.0049240377110097E-5"/>
    <n v="0"/>
    <n v="-2"/>
    <n v="0"/>
    <n v="2"/>
    <e v="#VALUE!"/>
    <n v="2"/>
    <n v="0"/>
    <m/>
    <m/>
    <s v="N"/>
    <m/>
    <s v="0-10 DAYS"/>
    <n v="1"/>
    <x v="0"/>
  </r>
  <r>
    <n v="594"/>
    <s v="N"/>
    <s v="N"/>
    <n v="2210374"/>
    <n v="6"/>
    <d v="2012-01-24T00:00:00"/>
    <d v="2012-06-26T00:00:00"/>
    <n v="2210374"/>
    <d v="2012-04-11T00:00:00"/>
    <d v="2012-06-26T00:00:00"/>
    <n v="120000"/>
    <x v="2"/>
    <m/>
    <s v="N"/>
    <s v="NONE"/>
    <s v="GUILTY PLEA - NO JURY"/>
    <n v="77"/>
    <n v="155"/>
    <n v="4"/>
    <n v="0"/>
    <n v="2"/>
    <m/>
    <m/>
    <m/>
    <m/>
    <m/>
    <m/>
    <m/>
    <m/>
    <d v="1987-06-10T00:00:00"/>
    <s v="M"/>
    <s v="H"/>
    <s v="HISPANIC"/>
    <s v="HISPANIC"/>
    <s v="228"/>
    <s v="CONVICTED"/>
    <n v="4"/>
    <s v="TDC"/>
    <n v="15"/>
    <m/>
    <m/>
    <s v="AGG KIDNAPPING"/>
    <m/>
    <s v="F1"/>
    <s v="KIDNAPPING"/>
    <m/>
    <m/>
    <m/>
    <m/>
    <m/>
    <m/>
    <m/>
    <m/>
    <m/>
    <s v="Appointed Attorney"/>
    <m/>
    <m/>
    <n v="77"/>
    <n v="77"/>
    <n v="155"/>
    <n v="24.57377049180328"/>
    <n v="0"/>
    <n v="0"/>
    <s v="CONVICTION"/>
    <x v="0"/>
    <s v="N"/>
    <m/>
    <s v="CONVICTION"/>
    <s v="Y"/>
    <x v="0"/>
    <x v="0"/>
    <s v="Y"/>
    <n v="0.49677419354838709"/>
    <n v="1"/>
    <n v="0.50322580645161286"/>
    <n v="0"/>
    <n v="-77"/>
    <n v="0"/>
    <n v="77"/>
    <e v="#VALUE!"/>
    <n v="77"/>
    <n v="0"/>
    <m/>
    <m/>
    <s v="Y"/>
    <m/>
    <s v="61-90 DAYS"/>
    <n v="4"/>
    <x v="0"/>
  </r>
  <r>
    <n v="1654"/>
    <s v="N"/>
    <s v="Y"/>
    <n v="2210389"/>
    <n v="6"/>
    <d v="2012-03-01T00:00:00"/>
    <d v="2013-02-04T00:00:00"/>
    <n v="2210389"/>
    <d v="2012-03-02T00:00:00"/>
    <d v="2012-03-08T00:00:00"/>
    <n v="50000"/>
    <x v="2"/>
    <d v="2012-03-08T00:00:00"/>
    <s v="Y"/>
    <s v="SURETYPTRc"/>
    <s v="GUILTY PLEA - NO JURY"/>
    <n v="147"/>
    <n v="341"/>
    <n v="1"/>
    <n v="0"/>
    <m/>
    <n v="1"/>
    <m/>
    <m/>
    <m/>
    <m/>
    <m/>
    <s v="S"/>
    <m/>
    <d v="1984-03-12T00:00:00"/>
    <s v="M"/>
    <s v="H"/>
    <s v="HISPANIC"/>
    <s v="NULL"/>
    <s v="183"/>
    <s v="CONVICTED"/>
    <n v="11"/>
    <s v="TDC"/>
    <n v="3"/>
    <m/>
    <m/>
    <s v="PROMOTE CHILD PORNOGRAPHY"/>
    <m/>
    <s v="F2"/>
    <s v="OTHER FEL"/>
    <m/>
    <d v="2012-06-25T00:00:00"/>
    <m/>
    <m/>
    <s v="Y"/>
    <m/>
    <m/>
    <m/>
    <m/>
    <s v="Hired Attorney"/>
    <m/>
    <m/>
    <n v="147"/>
    <n v="340"/>
    <n v="341"/>
    <n v="27.912568306010929"/>
    <n v="0"/>
    <n v="-333"/>
    <s v="CONVICTION"/>
    <x v="1"/>
    <s v="Y"/>
    <m/>
    <s v="CONVICTION"/>
    <s v="Y"/>
    <x v="1"/>
    <x v="0"/>
    <s v="Y"/>
    <n v="0.4310850439882698"/>
    <n v="2.0588235294117647E-2"/>
    <n v="-0.41049680869415217"/>
    <n v="0"/>
    <n v="-7"/>
    <n v="140"/>
    <n v="7"/>
    <n v="147"/>
    <m/>
    <n v="333"/>
    <m/>
    <m/>
    <s v="Y"/>
    <m/>
    <s v="121-365 DAYS"/>
    <n v="6"/>
    <x v="0"/>
  </r>
  <r>
    <n v="216"/>
    <s v="N"/>
    <s v="N"/>
    <n v="2211223"/>
    <n v="6"/>
    <d v="2012-01-10T00:00:00"/>
    <d v="2013-11-08T00:00:00"/>
    <n v="2211223"/>
    <d v="2012-01-18T00:00:00"/>
    <d v="2012-07-07T00:00:00"/>
    <n v="35000"/>
    <x v="2"/>
    <d v="2012-07-07T00:00:00"/>
    <s v="Y"/>
    <s v="SURETY"/>
    <s v="GUILTY PLEA - NO JURY"/>
    <n v="172"/>
    <n v="669"/>
    <n v="3"/>
    <n v="7"/>
    <n v="1"/>
    <m/>
    <m/>
    <m/>
    <m/>
    <m/>
    <m/>
    <m/>
    <m/>
    <d v="1988-07-27T00:00:00"/>
    <s v="M"/>
    <s v="B"/>
    <s v="BLACK"/>
    <s v="NON-HISPANIC"/>
    <s v="338"/>
    <s v="CONVICTED"/>
    <n v="17"/>
    <s v="TDC"/>
    <n v="7"/>
    <m/>
    <m/>
    <s v="AGG ROBBERY-DEADLY WPN"/>
    <m/>
    <s v="F1"/>
    <s v="ROBBERY"/>
    <s v="booked 2/12/13 put on elect mont"/>
    <m/>
    <m/>
    <m/>
    <m/>
    <m/>
    <m/>
    <m/>
    <m/>
    <s v="Appointed Attorney"/>
    <m/>
    <m/>
    <n v="172"/>
    <n v="661"/>
    <n v="669"/>
    <n v="23.407103825136613"/>
    <n v="0"/>
    <n v="-489"/>
    <s v="CONVICTION"/>
    <x v="1"/>
    <s v="Y"/>
    <m/>
    <s v="CONVICTION"/>
    <s v="Y"/>
    <x v="1"/>
    <x v="0"/>
    <s v="Y"/>
    <n v="0.25710014947683107"/>
    <n v="0.26021180030257185"/>
    <n v="3.1116508257407749E-3"/>
    <n v="0"/>
    <n v="-172"/>
    <n v="0"/>
    <n v="172"/>
    <n v="172"/>
    <n v="172"/>
    <n v="0"/>
    <m/>
    <m/>
    <s v="Y"/>
    <m/>
    <s v="121-365 DAYS"/>
    <n v="6"/>
    <x v="0"/>
  </r>
  <r>
    <n v="729"/>
    <s v="N"/>
    <s v="N"/>
    <n v="2211454"/>
    <n v="5"/>
    <d v="2012-01-29T00:00:00"/>
    <d v="2012-03-30T00:00:00"/>
    <n v="2211454"/>
    <d v="2012-01-29T00:00:00"/>
    <d v="2012-03-30T00:00:00"/>
    <n v="15000"/>
    <x v="0"/>
    <m/>
    <s v="N"/>
    <s v="NONE"/>
    <s v="GUILTY PLEA - NO JURY"/>
    <n v="62"/>
    <n v="62"/>
    <n v="2"/>
    <n v="3"/>
    <n v="1"/>
    <m/>
    <m/>
    <m/>
    <m/>
    <m/>
    <m/>
    <m/>
    <m/>
    <d v="1981-12-10T00:00:00"/>
    <s v="F"/>
    <s v="W"/>
    <s v="WHITE"/>
    <s v="NULL"/>
    <s v="208"/>
    <s v="CONVICTED"/>
    <n v="3"/>
    <s v="STJ"/>
    <m/>
    <n v="6"/>
    <m/>
    <s v="FORGERY"/>
    <m/>
    <s v="FS"/>
    <s v="OTHER FEL"/>
    <m/>
    <m/>
    <m/>
    <m/>
    <m/>
    <m/>
    <m/>
    <m/>
    <m/>
    <s v="Appointed Attorney"/>
    <m/>
    <m/>
    <n v="62"/>
    <n v="62"/>
    <n v="62"/>
    <n v="30.07377049180328"/>
    <n v="0"/>
    <n v="0"/>
    <s v="CONVICTION"/>
    <x v="0"/>
    <s v="N"/>
    <m/>
    <s v="CONVICTION"/>
    <s v="Y"/>
    <x v="0"/>
    <x v="0"/>
    <s v="Y"/>
    <n v="1"/>
    <n v="1"/>
    <n v="0"/>
    <n v="0"/>
    <n v="-62"/>
    <n v="0"/>
    <n v="62"/>
    <e v="#VALUE!"/>
    <n v="62"/>
    <n v="0"/>
    <m/>
    <m/>
    <s v="Y"/>
    <m/>
    <s v="61-90 DAYS"/>
    <n v="4"/>
    <x v="0"/>
  </r>
  <r>
    <n v="1856"/>
    <s v="N"/>
    <s v="N"/>
    <n v="2211694"/>
    <n v="3"/>
    <d v="2012-03-09T00:00:00"/>
    <d v="2012-11-30T00:00:00"/>
    <n v="2211694"/>
    <d v="2012-03-10T00:00:00"/>
    <d v="2012-03-13T00:00:00"/>
    <n v="80000"/>
    <x v="2"/>
    <d v="2012-03-13T00:00:00"/>
    <s v="Y"/>
    <s v="SURETY"/>
    <s v="GUILTY PLEA - NO JURY"/>
    <n v="4"/>
    <n v="267"/>
    <n v="2"/>
    <n v="2"/>
    <n v="2"/>
    <m/>
    <m/>
    <m/>
    <m/>
    <m/>
    <m/>
    <m/>
    <m/>
    <d v="1987-12-27T00:00:00"/>
    <s v="M"/>
    <s v="H"/>
    <s v="HISPANIC"/>
    <s v="HISPANIC"/>
    <s v="178"/>
    <s v="CONVICTED"/>
    <n v="12"/>
    <s v="PROBATION"/>
    <m/>
    <m/>
    <m/>
    <s v="AGG ROBBERY-DEADLY WPN"/>
    <m/>
    <s v="F1"/>
    <s v="ROBBERY"/>
    <m/>
    <m/>
    <m/>
    <m/>
    <m/>
    <m/>
    <m/>
    <m/>
    <m/>
    <s v="Hired Attorney"/>
    <m/>
    <m/>
    <n v="4"/>
    <n v="266"/>
    <n v="267"/>
    <n v="24.150273224043715"/>
    <n v="0"/>
    <n v="-262"/>
    <s v="CONVICTION"/>
    <x v="1"/>
    <s v="Y"/>
    <m/>
    <s v="CONVICTION"/>
    <s v="Y"/>
    <x v="1"/>
    <x v="0"/>
    <s v="Y"/>
    <n v="1.4981273408239701E-2"/>
    <n v="1.5037593984962405E-2"/>
    <n v="5.6320576722704643E-5"/>
    <n v="0"/>
    <n v="-4"/>
    <n v="0"/>
    <n v="4"/>
    <e v="#VALUE!"/>
    <n v="4"/>
    <n v="0"/>
    <m/>
    <m/>
    <s v="Y"/>
    <m/>
    <s v="0-10 DAYS"/>
    <n v="1"/>
    <x v="0"/>
  </r>
  <r>
    <n v="3263"/>
    <s v="N"/>
    <s v="N"/>
    <n v="2213212"/>
    <n v="6"/>
    <d v="2012-04-30T00:00:00"/>
    <d v="2012-05-30T00:00:00"/>
    <n v="2213212"/>
    <d v="2012-04-30T00:00:00"/>
    <d v="2012-05-30T00:00:00"/>
    <s v="NO BOND"/>
    <x v="1"/>
    <m/>
    <s v="N"/>
    <s v="NONE"/>
    <s v="GUILTY PLEA - NO JURY"/>
    <n v="31"/>
    <n v="31"/>
    <n v="1"/>
    <n v="0"/>
    <n v="1"/>
    <m/>
    <m/>
    <m/>
    <m/>
    <m/>
    <m/>
    <m/>
    <m/>
    <d v="1973-12-13T00:00:00"/>
    <s v="M"/>
    <s v="B"/>
    <s v="BLACK"/>
    <s v="NULL"/>
    <s v="184"/>
    <s v="CONVICTED"/>
    <n v="2"/>
    <s v="TDC"/>
    <n v="10"/>
    <m/>
    <m/>
    <s v="BURGLARY OF HABITATION"/>
    <m/>
    <s v="F2"/>
    <s v="BURGLARY"/>
    <m/>
    <m/>
    <m/>
    <m/>
    <m/>
    <m/>
    <m/>
    <m/>
    <m/>
    <s v="Appointed Attorney"/>
    <m/>
    <m/>
    <n v="31"/>
    <n v="31"/>
    <n v="31"/>
    <n v="38.300546448087431"/>
    <n v="0"/>
    <n v="0"/>
    <s v="CONVICTION"/>
    <x v="0"/>
    <s v="N"/>
    <m/>
    <s v="CONVICTION"/>
    <s v="Y"/>
    <x v="0"/>
    <x v="0"/>
    <s v="Y"/>
    <n v="1"/>
    <n v="1"/>
    <n v="0"/>
    <n v="0"/>
    <n v="-31"/>
    <n v="0"/>
    <n v="31"/>
    <e v="#VALUE!"/>
    <n v="31"/>
    <n v="0"/>
    <m/>
    <m/>
    <s v="Y"/>
    <m/>
    <s v="31-60 DAYS"/>
    <n v="3"/>
    <x v="0"/>
  </r>
  <r>
    <n v="1528"/>
    <s v="N"/>
    <s v="N"/>
    <n v="2213301"/>
    <n v="6"/>
    <d v="2012-02-26T00:00:00"/>
    <d v="2012-09-18T00:00:00"/>
    <n v="2213301"/>
    <d v="2012-02-26T00:00:00"/>
    <d v="2012-02-28T00:00:00"/>
    <n v="10000"/>
    <x v="3"/>
    <d v="2012-02-28T00:00:00"/>
    <s v="Y"/>
    <s v="SURETYPTRc"/>
    <s v="GUILTY PLEA - NO JURY"/>
    <n v="3"/>
    <n v="206"/>
    <n v="1"/>
    <n v="3"/>
    <n v="1"/>
    <m/>
    <m/>
    <m/>
    <m/>
    <m/>
    <m/>
    <m/>
    <m/>
    <d v="1973-05-27T00:00:00"/>
    <s v="M"/>
    <s v="H"/>
    <s v="HISPANIC"/>
    <s v="HISPANIC"/>
    <s v="337"/>
    <s v="CONVICTED"/>
    <n v="8"/>
    <s v="TDC"/>
    <n v="10"/>
    <m/>
    <m/>
    <s v="DWI 3RD OFFENDER BAC .08"/>
    <m/>
    <s v="F3"/>
    <s v="FEL DWI"/>
    <m/>
    <m/>
    <m/>
    <m/>
    <m/>
    <m/>
    <m/>
    <m/>
    <m/>
    <s v="Hired Attorney"/>
    <m/>
    <m/>
    <n v="3"/>
    <n v="206"/>
    <n v="206"/>
    <n v="38.672131147540981"/>
    <n v="0"/>
    <n v="-203"/>
    <s v="CONVICTION"/>
    <x v="1"/>
    <s v="Y"/>
    <m/>
    <s v="CONVICTION"/>
    <s v="Y"/>
    <x v="1"/>
    <x v="0"/>
    <s v="Y"/>
    <n v="1.4563106796116505E-2"/>
    <n v="1.4563106796116505E-2"/>
    <n v="0"/>
    <n v="0"/>
    <n v="-3"/>
    <n v="0"/>
    <n v="3"/>
    <e v="#VALUE!"/>
    <n v="3"/>
    <n v="0"/>
    <m/>
    <m/>
    <s v="Y"/>
    <m/>
    <s v="0-10 DAYS"/>
    <n v="1"/>
    <x v="0"/>
  </r>
  <r>
    <n v="718"/>
    <s v="N"/>
    <s v="N"/>
    <n v="2214029"/>
    <n v="5"/>
    <d v="2012-01-28T00:00:00"/>
    <d v="2012-09-14T00:00:00"/>
    <n v="2214029"/>
    <d v="2012-01-29T00:00:00"/>
    <d v="2012-09-14T00:00:00"/>
    <n v="42000"/>
    <x v="2"/>
    <m/>
    <s v="N"/>
    <s v="NONE"/>
    <s v="GUILTY PLEA - NO JURY"/>
    <n v="230"/>
    <n v="231"/>
    <n v="2"/>
    <n v="3"/>
    <n v="2"/>
    <m/>
    <m/>
    <m/>
    <m/>
    <m/>
    <m/>
    <m/>
    <m/>
    <d v="1987-12-13T00:00:00"/>
    <s v="M"/>
    <s v="B"/>
    <s v="BLACK"/>
    <s v="NULL"/>
    <s v="248"/>
    <s v="CONVICTED"/>
    <n v="10"/>
    <s v="STJ"/>
    <m/>
    <n v="12"/>
    <m/>
    <s v="THEFT $1500-20K"/>
    <m/>
    <s v="FS"/>
    <s v="THEFT"/>
    <m/>
    <m/>
    <m/>
    <m/>
    <m/>
    <m/>
    <m/>
    <m/>
    <m/>
    <s v="Appointed Attorney"/>
    <m/>
    <m/>
    <n v="230"/>
    <n v="230"/>
    <n v="231"/>
    <n v="24.076502732240439"/>
    <n v="0"/>
    <n v="0"/>
    <s v="CONVICTION"/>
    <x v="0"/>
    <s v="N"/>
    <m/>
    <s v="CONVICTION"/>
    <s v="Y"/>
    <x v="0"/>
    <x v="0"/>
    <s v="Y"/>
    <n v="0.99567099567099571"/>
    <n v="1"/>
    <n v="4.3290043290042934E-3"/>
    <n v="0"/>
    <n v="-230"/>
    <n v="0"/>
    <n v="230"/>
    <e v="#VALUE!"/>
    <n v="230"/>
    <n v="0"/>
    <m/>
    <m/>
    <s v="Y"/>
    <m/>
    <s v="121-365 DAYS"/>
    <n v="6"/>
    <x v="0"/>
  </r>
  <r>
    <n v="71"/>
    <s v="N"/>
    <s v="Y"/>
    <n v="2214255"/>
    <n v="1"/>
    <d v="2012-01-04T00:00:00"/>
    <d v="2012-03-23T00:00:00"/>
    <n v="2214255"/>
    <d v="2012-01-05T00:00:00"/>
    <d v="2012-01-13T00:00:00"/>
    <n v="20000"/>
    <x v="0"/>
    <d v="2012-01-13T00:00:00"/>
    <s v="Y"/>
    <s v="SURETY"/>
    <s v="DISMISSED"/>
    <n v="9"/>
    <n v="80"/>
    <n v="0"/>
    <n v="2"/>
    <m/>
    <m/>
    <m/>
    <m/>
    <m/>
    <m/>
    <m/>
    <m/>
    <m/>
    <d v="1981-11-12T00:00:00"/>
    <s v="M"/>
    <s v="B"/>
    <s v="BLACK"/>
    <s v="NULL"/>
    <s v="176"/>
    <s v="DISMISSED"/>
    <n v="2"/>
    <s v="DISMISSED"/>
    <m/>
    <m/>
    <m/>
    <s v="POSS CS PG 1 4G - 200G"/>
    <m/>
    <s v="F2"/>
    <s v="POSS DRUG"/>
    <m/>
    <m/>
    <s v="Y"/>
    <s v="BF2/14/2012"/>
    <m/>
    <m/>
    <m/>
    <d v="2012-06-11T00:00:00"/>
    <n v="235"/>
    <s v="Appointed Attorney"/>
    <m/>
    <m/>
    <n v="9"/>
    <n v="79"/>
    <n v="80"/>
    <n v="30.081967213114755"/>
    <n v="0"/>
    <n v="-70"/>
    <s v="NO CONVICTION"/>
    <x v="1"/>
    <s v="Y"/>
    <m/>
    <s v="NO CONVICTION"/>
    <s v="Y"/>
    <x v="1"/>
    <x v="0"/>
    <s v="N"/>
    <n v="0.1125"/>
    <n v="0.11392405063291139"/>
    <n v="1.4240506329113861E-3"/>
    <n v="0"/>
    <n v="-9"/>
    <n v="0"/>
    <n v="9"/>
    <e v="#VALUE!"/>
    <m/>
    <n v="70"/>
    <m/>
    <m/>
    <s v="Y"/>
    <m/>
    <s v="0-10 DAYS"/>
    <n v="1"/>
    <x v="0"/>
  </r>
  <r>
    <n v="2270"/>
    <s v="N"/>
    <s v="N"/>
    <n v="2214354"/>
    <n v="6"/>
    <d v="2012-03-27T00:00:00"/>
    <d v="2012-06-13T00:00:00"/>
    <n v="2214354"/>
    <d v="2012-04-05T00:00:00"/>
    <d v="2012-06-13T00:00:00"/>
    <s v="NO BOND"/>
    <x v="1"/>
    <m/>
    <s v="N"/>
    <s v="NONE"/>
    <s v="GUILTY PLEA - NO JURY"/>
    <n v="70"/>
    <n v="79"/>
    <n v="1"/>
    <n v="2"/>
    <n v="1"/>
    <m/>
    <m/>
    <m/>
    <m/>
    <m/>
    <m/>
    <m/>
    <m/>
    <d v="1988-05-09T00:00:00"/>
    <s v="M"/>
    <s v="W"/>
    <s v="WHITE"/>
    <s v="NON-HISPANIC"/>
    <s v="179"/>
    <s v="CONVICTED"/>
    <n v="7"/>
    <s v="TDC"/>
    <n v="5"/>
    <m/>
    <m/>
    <s v="AGG ASSAULT W/DEADLY WEAPON"/>
    <m/>
    <s v="F2"/>
    <s v="ASLT-MURDR"/>
    <m/>
    <m/>
    <m/>
    <m/>
    <m/>
    <m/>
    <m/>
    <m/>
    <m/>
    <s v="Hired Attorney"/>
    <m/>
    <m/>
    <n v="70"/>
    <n v="70"/>
    <n v="79"/>
    <n v="23.833333333333332"/>
    <n v="0"/>
    <n v="0"/>
    <s v="CONVICTION"/>
    <x v="0"/>
    <s v="N"/>
    <m/>
    <s v="CONVICTION"/>
    <s v="Y"/>
    <x v="0"/>
    <x v="0"/>
    <s v="Y"/>
    <n v="0.88607594936708856"/>
    <n v="1"/>
    <n v="0.11392405063291144"/>
    <n v="0"/>
    <n v="-70"/>
    <n v="0"/>
    <n v="70"/>
    <e v="#VALUE!"/>
    <n v="70"/>
    <n v="0"/>
    <m/>
    <m/>
    <s v="Y"/>
    <m/>
    <s v="61-90 DAYS"/>
    <n v="4"/>
    <x v="0"/>
  </r>
  <r>
    <n v="1391"/>
    <s v="N"/>
    <s v="N"/>
    <n v="2214666"/>
    <n v="1"/>
    <d v="2012-02-21T00:00:00"/>
    <d v="2012-02-24T00:00:00"/>
    <n v="2214666"/>
    <d v="2012-02-22T00:00:00"/>
    <d v="2012-02-24T00:00:00"/>
    <n v="30000"/>
    <x v="2"/>
    <m/>
    <s v="N"/>
    <s v="NONE"/>
    <s v="DISMISSED"/>
    <n v="3"/>
    <n v="4"/>
    <n v="1"/>
    <n v="3"/>
    <n v="1"/>
    <m/>
    <m/>
    <m/>
    <m/>
    <m/>
    <m/>
    <m/>
    <m/>
    <d v="1989-01-29T00:00:00"/>
    <s v="F"/>
    <s v="B"/>
    <s v="BLACK"/>
    <s v="NON-HISPANIC"/>
    <s v="228"/>
    <s v="DISMISSED"/>
    <n v="3"/>
    <s v="DISMISSED"/>
    <m/>
    <m/>
    <m/>
    <s v="AGG ASSAULT W/DEADLY WEAPON"/>
    <m/>
    <s v="F2"/>
    <s v="ASLT-MURDR"/>
    <m/>
    <m/>
    <m/>
    <m/>
    <m/>
    <m/>
    <m/>
    <m/>
    <m/>
    <s v="Appointed Attorney"/>
    <m/>
    <m/>
    <n v="3"/>
    <n v="3"/>
    <n v="4"/>
    <n v="23.013661202185791"/>
    <n v="0"/>
    <n v="0"/>
    <s v="NO CONVICTION"/>
    <x v="0"/>
    <s v="N"/>
    <m/>
    <s v="NO CONVICTION"/>
    <s v="Y"/>
    <x v="0"/>
    <x v="0"/>
    <s v="Y"/>
    <n v="0.75"/>
    <n v="1"/>
    <n v="0.25"/>
    <n v="0"/>
    <n v="-3"/>
    <n v="0"/>
    <n v="3"/>
    <e v="#VALUE!"/>
    <n v="3"/>
    <n v="0"/>
    <m/>
    <m/>
    <s v="Y"/>
    <m/>
    <s v="0-10 DAYS"/>
    <n v="1"/>
    <x v="0"/>
  </r>
  <r>
    <n v="629"/>
    <s v="N"/>
    <s v="N"/>
    <n v="2215167"/>
    <n v="6"/>
    <d v="2012-01-25T00:00:00"/>
    <d v="2012-01-27T00:00:00"/>
    <n v="2215167"/>
    <d v="2012-01-26T00:00:00"/>
    <d v="2012-01-27T00:00:00"/>
    <n v="20000"/>
    <x v="0"/>
    <m/>
    <s v="N"/>
    <s v="NONE"/>
    <s v="GUILTY PLEA - NO JURY"/>
    <n v="2"/>
    <n v="3"/>
    <n v="2"/>
    <n v="2"/>
    <n v="1"/>
    <m/>
    <m/>
    <m/>
    <m/>
    <m/>
    <m/>
    <m/>
    <m/>
    <d v="1977-11-15T00:00:00"/>
    <s v="F"/>
    <s v="B"/>
    <s v="BLACK"/>
    <s v="NULL"/>
    <s v="184"/>
    <s v="CONVICTED"/>
    <n v="1"/>
    <s v="TDC"/>
    <n v="1"/>
    <m/>
    <m/>
    <s v="POSS CS PG 1 &lt;1G"/>
    <m/>
    <s v="FS"/>
    <s v="POSS DRUG"/>
    <m/>
    <m/>
    <m/>
    <m/>
    <m/>
    <m/>
    <m/>
    <m/>
    <m/>
    <s v="Appointed Attorney"/>
    <m/>
    <m/>
    <n v="2"/>
    <n v="2"/>
    <n v="3"/>
    <n v="34.122950819672134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3109"/>
    <s v="N"/>
    <s v="N"/>
    <n v="2215975"/>
    <n v="2"/>
    <d v="2012-04-25T00:00:00"/>
    <d v="2012-07-12T00:00:00"/>
    <n v="2215975"/>
    <d v="2012-04-25T00:00:00"/>
    <d v="2012-04-26T00:00:00"/>
    <n v="2000"/>
    <x v="5"/>
    <d v="2012-04-26T00:00:00"/>
    <s v="Y"/>
    <s v="PTR"/>
    <s v="DEFERRED ADJUDICATION "/>
    <n v="2"/>
    <n v="79"/>
    <n v="0"/>
    <n v="4"/>
    <m/>
    <m/>
    <m/>
    <m/>
    <m/>
    <m/>
    <m/>
    <m/>
    <m/>
    <d v="1980-11-11T00:00:00"/>
    <s v="F"/>
    <s v="B"/>
    <s v="BLACK"/>
    <s v="NULL"/>
    <s v="174"/>
    <s v="DEFERRED"/>
    <n v="5"/>
    <s v="DEFERRED"/>
    <m/>
    <m/>
    <m/>
    <s v="THEFT UNDER $1500 - 3RD OFF."/>
    <m/>
    <s v="FS"/>
    <s v="THEFT"/>
    <m/>
    <m/>
    <m/>
    <m/>
    <m/>
    <m/>
    <m/>
    <m/>
    <m/>
    <s v="Appointed Attorney"/>
    <m/>
    <m/>
    <n v="2"/>
    <n v="79"/>
    <n v="79"/>
    <n v="31.387978142076502"/>
    <n v="0"/>
    <n v="-77"/>
    <s v="DEFERRED"/>
    <x v="2"/>
    <s v="Y"/>
    <m/>
    <s v="DEFERRED"/>
    <s v="Y"/>
    <x v="1"/>
    <x v="0"/>
    <s v="N"/>
    <n v="2.5316455696202531E-2"/>
    <n v="2.5316455696202531E-2"/>
    <n v="0"/>
    <n v="0"/>
    <n v="-2"/>
    <n v="0"/>
    <n v="2"/>
    <e v="#VALUE!"/>
    <n v="2"/>
    <n v="0"/>
    <m/>
    <m/>
    <s v="Y"/>
    <m/>
    <s v="0-10 DAYS"/>
    <n v="1"/>
    <x v="0"/>
  </r>
  <r>
    <n v="319"/>
    <s v="N"/>
    <s v="N"/>
    <n v="2217030"/>
    <n v="6"/>
    <d v="2012-01-13T00:00:00"/>
    <d v="2012-04-18T00:00:00"/>
    <n v="2217030"/>
    <d v="2012-01-24T00:00:00"/>
    <d v="2012-04-18T00:00:00"/>
    <s v="NO BOND"/>
    <x v="1"/>
    <m/>
    <s v="N"/>
    <s v="NONE"/>
    <s v="GUILTY PLEA - NO JURY"/>
    <n v="86"/>
    <n v="97"/>
    <n v="3"/>
    <n v="4"/>
    <n v="3"/>
    <m/>
    <m/>
    <m/>
    <m/>
    <m/>
    <m/>
    <m/>
    <m/>
    <d v="1986-01-11T00:00:00"/>
    <s v="M"/>
    <s v="B"/>
    <s v="BLACK"/>
    <s v="NULL"/>
    <s v="230"/>
    <s v="CONVICTED"/>
    <n v="6"/>
    <s v="TDC"/>
    <n v="8"/>
    <m/>
    <m/>
    <s v="BURGLARY OF HABITATION"/>
    <m/>
    <s v="F2"/>
    <s v="BURGLARY"/>
    <m/>
    <m/>
    <m/>
    <m/>
    <m/>
    <m/>
    <m/>
    <m/>
    <m/>
    <s v="Appointed Attorney"/>
    <m/>
    <m/>
    <n v="86"/>
    <n v="86"/>
    <n v="97"/>
    <n v="25.950819672131146"/>
    <n v="0"/>
    <n v="0"/>
    <s v="CONVICTION"/>
    <x v="0"/>
    <s v="N"/>
    <m/>
    <s v="CONVICTION"/>
    <s v="Y"/>
    <x v="0"/>
    <x v="0"/>
    <s v="Y"/>
    <n v="0.88659793814432986"/>
    <n v="1"/>
    <n v="0.11340206185567014"/>
    <n v="0"/>
    <n v="-86"/>
    <n v="0"/>
    <n v="86"/>
    <e v="#VALUE!"/>
    <n v="86"/>
    <n v="0"/>
    <m/>
    <m/>
    <s v="Y"/>
    <m/>
    <s v="61-90 DAYS"/>
    <n v="4"/>
    <x v="0"/>
  </r>
  <r>
    <n v="928"/>
    <s v="N"/>
    <s v="N"/>
    <n v="2218115"/>
    <n v="2"/>
    <d v="2012-02-04T00:00:00"/>
    <d v="2012-05-17T00:00:00"/>
    <n v="2218115"/>
    <s v="NOT BOOKED"/>
    <s v="NOT BOOKED"/>
    <n v="5000"/>
    <x v="4"/>
    <d v="2012-02-05T00:00:00"/>
    <s v="Y"/>
    <s v="SURETY"/>
    <s v="DEFERRED ADJUDICATION "/>
    <n v="0"/>
    <n v="104"/>
    <n v="1"/>
    <n v="0"/>
    <m/>
    <n v="1"/>
    <m/>
    <m/>
    <m/>
    <m/>
    <m/>
    <m/>
    <m/>
    <d v="1984-11-19T00:00:00"/>
    <s v="M"/>
    <s v="B"/>
    <s v="BLACK"/>
    <s v="NULL"/>
    <s v="184"/>
    <s v="DEFERRED"/>
    <n v="6"/>
    <s v="DEFERR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104"/>
    <n v="27.153005464480874"/>
    <e v="#VALUE!"/>
    <e v="#VALUE!"/>
    <s v="DEFERRED"/>
    <x v="1"/>
    <s v="Y"/>
    <m/>
    <s v="DEFERRED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2725"/>
    <s v="N"/>
    <s v="N"/>
    <n v="2218554"/>
    <n v="1"/>
    <d v="2012-04-11T00:00:00"/>
    <d v="2012-08-27T00:00:00"/>
    <n v="2218554"/>
    <d v="2012-04-11T00:00:00"/>
    <d v="2012-05-12T00:00:00"/>
    <n v="75000"/>
    <x v="2"/>
    <d v="2012-05-12T00:00:00"/>
    <s v="Y"/>
    <s v="SURETYPTRc"/>
    <s v="DISMISSED"/>
    <n v="32"/>
    <n v="139"/>
    <n v="4"/>
    <n v="2"/>
    <n v="4"/>
    <m/>
    <m/>
    <m/>
    <m/>
    <m/>
    <m/>
    <m/>
    <m/>
    <d v="1984-04-05T00:00:00"/>
    <s v="M"/>
    <s v="B"/>
    <s v="BLACK"/>
    <s v="NON-HISPANIC"/>
    <s v="185"/>
    <s v="DISMISSED"/>
    <n v="9"/>
    <s v="DISMISSED"/>
    <m/>
    <m/>
    <m/>
    <s v="MAN/DEL CS PG I 200-400 GRAMS"/>
    <m/>
    <s v="F"/>
    <s v="SALE DRUG"/>
    <m/>
    <m/>
    <m/>
    <m/>
    <m/>
    <m/>
    <m/>
    <m/>
    <m/>
    <s v="Hired Attorney"/>
    <m/>
    <m/>
    <n v="32"/>
    <n v="139"/>
    <n v="139"/>
    <n v="27.959016393442624"/>
    <n v="0"/>
    <n v="-107"/>
    <s v="NO CONVICTION"/>
    <x v="1"/>
    <s v="Y"/>
    <m/>
    <s v="NO CONVICTION"/>
    <s v="Y"/>
    <x v="1"/>
    <x v="0"/>
    <s v="Y"/>
    <n v="0.23021582733812951"/>
    <n v="0.23021582733812951"/>
    <n v="0"/>
    <n v="0"/>
    <n v="-32"/>
    <n v="0"/>
    <n v="32"/>
    <e v="#VALUE!"/>
    <n v="32"/>
    <n v="0"/>
    <m/>
    <m/>
    <s v="Y"/>
    <m/>
    <s v="31-60 DAYS"/>
    <n v="3"/>
    <x v="0"/>
  </r>
  <r>
    <n v="1510"/>
    <s v="N"/>
    <s v="Y"/>
    <n v="2219105"/>
    <n v="6"/>
    <d v="2012-02-25T00:00:00"/>
    <d v="2013-09-12T00:00:00"/>
    <n v="2219105"/>
    <d v="2012-02-26T00:00:00"/>
    <d v="2012-11-01T00:00:00"/>
    <n v="75000"/>
    <x v="2"/>
    <d v="2012-11-01T00:00:00"/>
    <s v="Y"/>
    <s v="SURETY"/>
    <s v="GUILTY JURY VERDICT"/>
    <n v="502"/>
    <n v="566"/>
    <n v="2"/>
    <n v="2"/>
    <n v="1"/>
    <m/>
    <m/>
    <m/>
    <m/>
    <m/>
    <m/>
    <m/>
    <m/>
    <d v="1988-12-20T00:00:00"/>
    <s v="M"/>
    <s v="B"/>
    <s v="BLACK"/>
    <s v="NULL"/>
    <s v="230"/>
    <s v="CONVICTED"/>
    <n v="5"/>
    <s v="TDC"/>
    <n v="48"/>
    <m/>
    <m/>
    <s v="AGG ROBBERY-DEADLY WPN"/>
    <m/>
    <s v="F1"/>
    <s v="ROBBERY"/>
    <s v="MULTIPLE FEL  DISMISSSED  BK 1/21/13          APPEALING 48 YR JURY VERDICT  ADDITIONAL BOOKING 8 /14/13 AND SENTENCED  09/12/13 48 YEARS"/>
    <m/>
    <s v="Y"/>
    <m/>
    <m/>
    <m/>
    <m/>
    <d v="2013-02-19T00:00:00"/>
    <n v="251"/>
    <s v="Appointed Attorney"/>
    <m/>
    <m/>
    <n v="502"/>
    <n v="565"/>
    <n v="566"/>
    <n v="23.133879781420767"/>
    <n v="0"/>
    <n v="-315"/>
    <s v="CONVICTION"/>
    <x v="1"/>
    <s v="N"/>
    <m/>
    <s v="CONVICTION"/>
    <s v="Y"/>
    <x v="1"/>
    <x v="0"/>
    <s v="Y"/>
    <n v="0.88692579505300351"/>
    <n v="0.44247787610619471"/>
    <n v="-0.4444479189468088"/>
    <n v="0"/>
    <n v="-250"/>
    <n v="252"/>
    <n v="250"/>
    <n v="502"/>
    <m/>
    <n v="315"/>
    <m/>
    <m/>
    <s v="Y"/>
    <m/>
    <s v=" &gt;1YRS&lt;2YRS"/>
    <n v="0"/>
    <x v="0"/>
  </r>
  <r>
    <n v="1159"/>
    <s v="N"/>
    <s v="N"/>
    <n v="2222006"/>
    <n v="5"/>
    <d v="2012-02-11T00:00:00"/>
    <d v="2012-04-02T00:00:00"/>
    <n v="2222006"/>
    <d v="2012-02-22T00:00:00"/>
    <d v="2012-04-02T00:00:00"/>
    <s v="NO BOND"/>
    <x v="1"/>
    <m/>
    <s v="N"/>
    <s v="NONE"/>
    <s v="GUILTY PLEA - NO JURY"/>
    <n v="41"/>
    <n v="52"/>
    <n v="1"/>
    <n v="0"/>
    <n v="1"/>
    <m/>
    <m/>
    <m/>
    <m/>
    <m/>
    <m/>
    <m/>
    <m/>
    <d v="1986-11-13T00:00:00"/>
    <s v="M"/>
    <s v="W"/>
    <s v="WHITE"/>
    <s v="NULL"/>
    <s v="208"/>
    <s v="CONVICTED"/>
    <n v="4"/>
    <s v="STJ"/>
    <m/>
    <n v="7"/>
    <m/>
    <s v="UNAUTH USE OF VEHICLE"/>
    <m/>
    <s v="FS"/>
    <s v="AUTO THEFT"/>
    <m/>
    <m/>
    <m/>
    <m/>
    <m/>
    <m/>
    <m/>
    <m/>
    <m/>
    <s v="Hired Attorney"/>
    <m/>
    <m/>
    <n v="41"/>
    <n v="41"/>
    <n v="52"/>
    <n v="25.193989071038253"/>
    <n v="0"/>
    <n v="0"/>
    <s v="CONVICTION"/>
    <x v="0"/>
    <s v="N"/>
    <m/>
    <s v="CONVICTION"/>
    <s v="Y"/>
    <x v="0"/>
    <x v="0"/>
    <s v="Y"/>
    <n v="0.78846153846153844"/>
    <n v="1"/>
    <n v="0.21153846153846156"/>
    <n v="0"/>
    <n v="-41"/>
    <n v="0"/>
    <n v="41"/>
    <e v="#VALUE!"/>
    <n v="41"/>
    <n v="0"/>
    <m/>
    <m/>
    <s v="Y"/>
    <m/>
    <s v="31-60 DAYS"/>
    <n v="3"/>
    <x v="0"/>
  </r>
  <r>
    <n v="1711"/>
    <s v="N"/>
    <s v="N"/>
    <n v="2222245"/>
    <n v="4"/>
    <d v="2012-03-04T00:00:00"/>
    <d v="2012-07-17T00:00:00"/>
    <n v="2222245"/>
    <d v="2012-03-04T00:00:00"/>
    <d v="2012-03-05T00:00:00"/>
    <n v="10000"/>
    <x v="3"/>
    <d v="2012-03-05T00:00:00"/>
    <s v="Y"/>
    <s v="SURETY"/>
    <s v="GUILTY PLEA - NO JURY"/>
    <n v="2"/>
    <n v="136"/>
    <n v="1"/>
    <n v="0"/>
    <m/>
    <m/>
    <m/>
    <m/>
    <m/>
    <m/>
    <m/>
    <m/>
    <m/>
    <d v="1989-04-12T00:00:00"/>
    <s v="M"/>
    <s v="B"/>
    <s v="BLACK"/>
    <s v="NULL"/>
    <s v="209"/>
    <s v="CONVICTED"/>
    <n v="9"/>
    <s v="HCJ"/>
    <m/>
    <m/>
    <n v="2"/>
    <s v="POSS MARIJ  5 - 50 LBS."/>
    <m/>
    <s v="F3"/>
    <s v="POSS DRUG"/>
    <m/>
    <m/>
    <m/>
    <m/>
    <m/>
    <m/>
    <m/>
    <m/>
    <m/>
    <s v="Hired Attorney"/>
    <m/>
    <m/>
    <n v="2"/>
    <n v="136"/>
    <n v="136"/>
    <n v="22.846994535519126"/>
    <n v="0"/>
    <n v="-134"/>
    <s v="CONVICTION"/>
    <x v="1"/>
    <s v="Y"/>
    <m/>
    <s v="CONVICTION"/>
    <s v="Y"/>
    <x v="1"/>
    <x v="0"/>
    <s v="Y"/>
    <n v="1.4705882352941176E-2"/>
    <n v="1.4705882352941176E-2"/>
    <n v="0"/>
    <n v="0"/>
    <n v="-2"/>
    <n v="0"/>
    <n v="2"/>
    <e v="#VALUE!"/>
    <n v="2"/>
    <n v="0"/>
    <m/>
    <m/>
    <s v="Y"/>
    <m/>
    <s v="0-10 DAYS"/>
    <n v="1"/>
    <x v="0"/>
  </r>
  <r>
    <n v="1600"/>
    <s v="N"/>
    <s v="N"/>
    <n v="2222461"/>
    <n v="1"/>
    <d v="2012-02-29T00:00:00"/>
    <d v="2012-05-16T00:00:00"/>
    <n v="2222461"/>
    <d v="2012-02-29T00:00:00"/>
    <d v="2012-03-02T00:00:00"/>
    <n v="20000"/>
    <x v="0"/>
    <d v="2012-03-02T00:00:00"/>
    <s v="Y"/>
    <s v="SURETY"/>
    <s v="DISMISSED"/>
    <n v="3"/>
    <n v="78"/>
    <n v="2"/>
    <n v="1"/>
    <m/>
    <m/>
    <m/>
    <m/>
    <m/>
    <m/>
    <m/>
    <m/>
    <m/>
    <d v="1985-07-18T00:00:00"/>
    <s v="M"/>
    <s v="W"/>
    <s v="WHITE"/>
    <s v="NON-HISPANIC"/>
    <s v="232"/>
    <s v="DISMISSED"/>
    <n v="4"/>
    <s v="DISMISSED"/>
    <m/>
    <m/>
    <m/>
    <s v="POSS W/INT DEL CS PG1 1G &lt;4 GR"/>
    <m/>
    <s v="F2"/>
    <s v="SALE DRUG"/>
    <m/>
    <m/>
    <m/>
    <m/>
    <m/>
    <m/>
    <m/>
    <m/>
    <m/>
    <s v="Hired Attorney"/>
    <m/>
    <m/>
    <n v="3"/>
    <n v="78"/>
    <n v="78"/>
    <n v="26.562841530054644"/>
    <n v="0"/>
    <n v="-75"/>
    <s v="NO CONVICTION"/>
    <x v="1"/>
    <s v="Y"/>
    <m/>
    <s v="NO CONVICTION"/>
    <s v="Y"/>
    <x v="1"/>
    <x v="0"/>
    <s v="Y"/>
    <n v="3.8461538461538464E-2"/>
    <n v="3.8461538461538464E-2"/>
    <n v="0"/>
    <n v="0"/>
    <n v="-3"/>
    <n v="0"/>
    <n v="3"/>
    <e v="#VALUE!"/>
    <n v="3"/>
    <n v="0"/>
    <m/>
    <m/>
    <s v="Y"/>
    <m/>
    <s v="0-10 DAYS"/>
    <n v="1"/>
    <x v="0"/>
  </r>
  <r>
    <n v="51"/>
    <s v="N"/>
    <s v="N"/>
    <n v="2222626"/>
    <n v="4"/>
    <d v="2012-01-03T00:00:00"/>
    <d v="2012-03-15T00:00:00"/>
    <n v="2222626"/>
    <d v="2012-01-03T00:00:00"/>
    <d v="2012-02-17T00:00:00"/>
    <n v="5000"/>
    <x v="4"/>
    <d v="2012-02-17T00:00:00"/>
    <s v="Y"/>
    <s v="PTRc"/>
    <s v="GUILTY PLEA - NO JURY"/>
    <n v="46"/>
    <n v="73"/>
    <n v="7"/>
    <n v="3"/>
    <n v="5"/>
    <m/>
    <m/>
    <m/>
    <m/>
    <m/>
    <m/>
    <m/>
    <m/>
    <d v="1988-03-08T00:00:00"/>
    <s v="F"/>
    <s v="B"/>
    <s v="BLACK"/>
    <s v="NULL"/>
    <s v="230"/>
    <s v="CONVICTED"/>
    <n v="4"/>
    <s v="HCJ"/>
    <m/>
    <m/>
    <n v="86"/>
    <s v="PROSTITUTION"/>
    <m/>
    <s v="FS"/>
    <s v="OTHER FEL"/>
    <s v="f prost  7/31/12 hcj 180 days"/>
    <m/>
    <m/>
    <m/>
    <m/>
    <m/>
    <m/>
    <m/>
    <m/>
    <s v="Appointed Attorney"/>
    <m/>
    <m/>
    <n v="46"/>
    <n v="73"/>
    <n v="73"/>
    <n v="23.773224043715846"/>
    <n v="0"/>
    <n v="-27"/>
    <s v="CONVICTION"/>
    <x v="2"/>
    <s v="Y"/>
    <m/>
    <s v="CONVICTION"/>
    <s v="Y"/>
    <x v="1"/>
    <x v="0"/>
    <s v="Y"/>
    <n v="0.63013698630136983"/>
    <n v="0.63013698630136983"/>
    <n v="0"/>
    <n v="0"/>
    <n v="-46"/>
    <n v="0"/>
    <n v="46"/>
    <e v="#VALUE!"/>
    <n v="46"/>
    <n v="0"/>
    <m/>
    <m/>
    <s v="Y"/>
    <m/>
    <s v="31-60 DAYS"/>
    <n v="3"/>
    <x v="0"/>
  </r>
  <r>
    <n v="2524"/>
    <s v="N"/>
    <s v="N"/>
    <n v="2223105"/>
    <n v="2"/>
    <d v="2012-04-04T00:00:00"/>
    <d v="2012-11-29T00:00:00"/>
    <n v="2223105"/>
    <d v="2012-04-04T00:00:00"/>
    <d v="2012-05-28T00:00:00"/>
    <n v="40000"/>
    <x v="2"/>
    <d v="2012-05-28T00:00:00"/>
    <s v="Y"/>
    <s v="SURETYPTRc"/>
    <s v="DEFERRED ADJUDICATION "/>
    <n v="55"/>
    <n v="240"/>
    <n v="0"/>
    <n v="3"/>
    <m/>
    <m/>
    <m/>
    <m/>
    <m/>
    <m/>
    <m/>
    <m/>
    <m/>
    <d v="1985-06-22T00:00:00"/>
    <s v="M"/>
    <s v="B"/>
    <s v="BLACK"/>
    <s v="NULL"/>
    <s v="337"/>
    <s v="DEFERRED"/>
    <n v="8"/>
    <s v="DEFERRED"/>
    <m/>
    <m/>
    <m/>
    <s v="POSS CS PG 1 4G - 200G"/>
    <m/>
    <s v="F2"/>
    <s v="POSS DRUG"/>
    <m/>
    <m/>
    <m/>
    <m/>
    <m/>
    <m/>
    <m/>
    <m/>
    <m/>
    <s v="Hired Attorney"/>
    <m/>
    <m/>
    <n v="55"/>
    <n v="240"/>
    <n v="240"/>
    <n v="26.729508196721312"/>
    <n v="0"/>
    <n v="-185"/>
    <s v="DEFERRED"/>
    <x v="1"/>
    <s v="Y"/>
    <m/>
    <s v="DEFERRED"/>
    <s v="Y"/>
    <x v="1"/>
    <x v="0"/>
    <s v="N"/>
    <n v="0.22916666666666666"/>
    <n v="0.22916666666666666"/>
    <n v="0"/>
    <n v="0"/>
    <n v="-55"/>
    <n v="0"/>
    <n v="55"/>
    <e v="#VALUE!"/>
    <n v="55"/>
    <n v="0"/>
    <m/>
    <m/>
    <s v="Y"/>
    <m/>
    <s v="31-60 DAYS"/>
    <n v="3"/>
    <x v="0"/>
  </r>
  <r>
    <n v="833"/>
    <s v="N"/>
    <s v="N"/>
    <n v="2224591"/>
    <n v="6"/>
    <d v="2012-02-01T00:00:00"/>
    <d v="2012-03-14T00:00:00"/>
    <n v="2224591"/>
    <d v="2012-02-01T00:00:00"/>
    <d v="2012-03-14T00:00:00"/>
    <s v="NO BOND"/>
    <x v="1"/>
    <m/>
    <s v="N"/>
    <s v="NONE"/>
    <s v="GUILTY PLEA - NO JURY"/>
    <n v="43"/>
    <n v="43"/>
    <n v="1"/>
    <n v="1"/>
    <n v="1"/>
    <m/>
    <m/>
    <m/>
    <m/>
    <m/>
    <m/>
    <m/>
    <m/>
    <d v="1988-02-03T00:00:00"/>
    <s v="M"/>
    <s v="W"/>
    <s v="WHITE"/>
    <s v="NULL"/>
    <s v="183"/>
    <s v="CONVICTED"/>
    <n v="3"/>
    <s v="TDC"/>
    <n v="2"/>
    <m/>
    <m/>
    <s v="ROBBERY-THREATS"/>
    <m/>
    <s v="F2"/>
    <s v="ROBBERY"/>
    <m/>
    <m/>
    <m/>
    <m/>
    <m/>
    <m/>
    <m/>
    <m/>
    <m/>
    <s v="Appointed Attorney"/>
    <m/>
    <m/>
    <n v="43"/>
    <n v="43"/>
    <n v="43"/>
    <n v="23.94535519125683"/>
    <n v="0"/>
    <n v="0"/>
    <s v="CONVICTION"/>
    <x v="0"/>
    <s v="N"/>
    <m/>
    <s v="CONVICTION"/>
    <s v="Y"/>
    <x v="0"/>
    <x v="0"/>
    <s v="Y"/>
    <n v="1"/>
    <n v="1"/>
    <n v="0"/>
    <n v="0"/>
    <n v="-43"/>
    <n v="0"/>
    <n v="43"/>
    <e v="#VALUE!"/>
    <n v="43"/>
    <n v="0"/>
    <m/>
    <m/>
    <s v="Y"/>
    <m/>
    <s v="31-60 DAYS"/>
    <n v="3"/>
    <x v="0"/>
  </r>
  <r>
    <n v="2926"/>
    <s v="N"/>
    <s v="N"/>
    <n v="2224604"/>
    <n v="2"/>
    <d v="2012-04-18T00:00:00"/>
    <d v="2012-05-11T00:00:00"/>
    <n v="2224604"/>
    <s v="NOT BOOKED"/>
    <s v="NOT BOOKED"/>
    <n v="40000"/>
    <x v="2"/>
    <m/>
    <s v="NO BOND MADE - NON ARREST"/>
    <s v="NONE"/>
    <s v="DEFERRED ADJUDICATION "/>
    <n v="0"/>
    <n v="24"/>
    <n v="0"/>
    <n v="0"/>
    <m/>
    <m/>
    <m/>
    <m/>
    <m/>
    <m/>
    <m/>
    <m/>
    <m/>
    <d v="1980-11-29T00:00:00"/>
    <s v="M"/>
    <s v="W"/>
    <s v="WHITE"/>
    <s v="NULL"/>
    <s v="209"/>
    <s v="DEFERRED"/>
    <n v="2"/>
    <s v="DEFERRED"/>
    <m/>
    <m/>
    <m/>
    <s v="ENTICING CHIL W/INT FELONY"/>
    <m/>
    <s v="F3"/>
    <s v="OTHER FEL"/>
    <m/>
    <m/>
    <m/>
    <m/>
    <m/>
    <m/>
    <m/>
    <m/>
    <m/>
    <s v="Hired Attorney"/>
    <m/>
    <m/>
    <n v="0"/>
    <n v="0"/>
    <n v="24"/>
    <n v="31.319672131147541"/>
    <e v="#VALUE!"/>
    <e v="#VALUE!"/>
    <s v="DEFERRED"/>
    <x v="0"/>
    <s v="N"/>
    <m/>
    <s v="DEFERRED"/>
    <n v="0"/>
    <x v="5"/>
    <x v="0"/>
    <s v="N"/>
    <n v="0"/>
    <n v="0"/>
    <n v="0"/>
    <n v="0"/>
    <e v="#VALUE!"/>
    <e v="#VALUE!"/>
    <e v="#VALUE!"/>
    <n v="0"/>
    <n v="0"/>
    <m/>
    <m/>
    <m/>
    <s v="N"/>
    <m/>
    <s v="0-10 DAYS"/>
    <n v="1"/>
    <x v="1"/>
  </r>
  <r>
    <n v="1619"/>
    <s v="N"/>
    <s v="N"/>
    <n v="2225274"/>
    <n v="1"/>
    <d v="2012-03-01T00:00:00"/>
    <d v="2012-03-02T00:00:00"/>
    <n v="2225274"/>
    <d v="2012-03-01T00:00:00"/>
    <d v="2012-03-02T00:00:00"/>
    <n v="20000"/>
    <x v="0"/>
    <m/>
    <s v="N"/>
    <s v="NONE"/>
    <s v="DISMISSED"/>
    <n v="2"/>
    <n v="2"/>
    <n v="4"/>
    <n v="3"/>
    <n v="2"/>
    <m/>
    <m/>
    <m/>
    <m/>
    <m/>
    <m/>
    <m/>
    <m/>
    <d v="1989-02-21T00:00:00"/>
    <s v="M"/>
    <s v="W"/>
    <s v="WHITE"/>
    <s v="NULL"/>
    <s v="177"/>
    <s v="DISMISSED"/>
    <n v="1"/>
    <s v="DISMISSED"/>
    <m/>
    <m/>
    <m/>
    <s v="POSS CS PG 1 4G - 200G"/>
    <m/>
    <s v="F2"/>
    <s v="POSS DRUG"/>
    <m/>
    <m/>
    <m/>
    <m/>
    <m/>
    <m/>
    <m/>
    <m/>
    <m/>
    <s v="Other/Unknown"/>
    <m/>
    <m/>
    <n v="2"/>
    <n v="2"/>
    <n v="2"/>
    <n v="22.975409836065573"/>
    <n v="0"/>
    <n v="0"/>
    <s v="NO CONVICTION"/>
    <x v="0"/>
    <s v="N"/>
    <m/>
    <s v="NO 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1323"/>
    <s v="N"/>
    <s v="N"/>
    <n v="2228539"/>
    <n v="4"/>
    <d v="2012-02-17T00:00:00"/>
    <d v="2013-01-16T00:00:00"/>
    <n v="2228539"/>
    <d v="2012-04-13T00:00:00"/>
    <d v="2012-04-14T00:00:00"/>
    <n v="20000"/>
    <x v="0"/>
    <d v="2012-04-14T00:00:00"/>
    <s v="Y"/>
    <s v="SURETY"/>
    <s v="GUILTY PLEA - NO JURY"/>
    <n v="2"/>
    <n v="335"/>
    <n v="1"/>
    <n v="7"/>
    <m/>
    <m/>
    <m/>
    <m/>
    <m/>
    <m/>
    <m/>
    <m/>
    <m/>
    <d v="1983-12-28T00:00:00"/>
    <s v="M"/>
    <s v="W"/>
    <s v="WHITE"/>
    <s v="NON-HISPANIC"/>
    <s v="232"/>
    <s v="CONVICTED"/>
    <n v="11"/>
    <s v="HCJ"/>
    <m/>
    <m/>
    <n v="60"/>
    <s v="ASSAULT-BOD INJ-FAMILY MEMBER"/>
    <m/>
    <s v="F3"/>
    <s v="ASLT-MURDR"/>
    <s v="misd conv 5/2/12 crim trespass 4 d hcj"/>
    <m/>
    <m/>
    <m/>
    <m/>
    <m/>
    <m/>
    <m/>
    <m/>
    <s v="Hired Attorney"/>
    <m/>
    <m/>
    <n v="2"/>
    <n v="279"/>
    <n v="335"/>
    <n v="28.081967213114755"/>
    <n v="0"/>
    <n v="-277"/>
    <s v="CONVICTION"/>
    <x v="1"/>
    <s v="Y"/>
    <m/>
    <s v="CONVICTION"/>
    <s v="Y"/>
    <x v="1"/>
    <x v="0"/>
    <s v="Y"/>
    <n v="5.9701492537313433E-3"/>
    <n v="7.1684587813620072E-3"/>
    <n v="1.1983095276306638E-3"/>
    <n v="0"/>
    <n v="-2"/>
    <n v="0"/>
    <n v="2"/>
    <e v="#VALUE!"/>
    <n v="2"/>
    <n v="0"/>
    <m/>
    <m/>
    <s v="Y"/>
    <m/>
    <s v="0-10 DAYS"/>
    <n v="1"/>
    <x v="0"/>
  </r>
  <r>
    <n v="2841"/>
    <s v="N"/>
    <s v="N"/>
    <n v="2228801"/>
    <n v="4"/>
    <d v="2012-04-14T00:00:00"/>
    <d v="2012-05-15T00:00:00"/>
    <n v="2228801"/>
    <d v="2012-05-12T00:00:00"/>
    <d v="2012-05-15T00:00:00"/>
    <n v="5000"/>
    <x v="4"/>
    <m/>
    <s v="N"/>
    <s v="NONE"/>
    <s v="GUILTY PLEA - NO JURY"/>
    <n v="4"/>
    <n v="32"/>
    <n v="2"/>
    <n v="2"/>
    <m/>
    <m/>
    <m/>
    <m/>
    <m/>
    <m/>
    <m/>
    <m/>
    <m/>
    <d v="1987-12-06T00:00:00"/>
    <s v="M"/>
    <s v="W"/>
    <s v="WHITE"/>
    <s v="NULL"/>
    <s v="232"/>
    <s v="CONVICTED"/>
    <n v="2"/>
    <s v="HCJ"/>
    <m/>
    <m/>
    <n v="210"/>
    <s v="THEFT $1500-20K"/>
    <m/>
    <s v="FS"/>
    <s v="THEFT"/>
    <m/>
    <m/>
    <m/>
    <m/>
    <m/>
    <m/>
    <m/>
    <m/>
    <m/>
    <s v="Appointed Attorney"/>
    <m/>
    <m/>
    <n v="4"/>
    <n v="4"/>
    <n v="32"/>
    <n v="24.306010928961747"/>
    <n v="0"/>
    <n v="0"/>
    <s v="CONVICTION"/>
    <x v="0"/>
    <s v="N"/>
    <m/>
    <s v="CONVICTION"/>
    <s v="Y"/>
    <x v="0"/>
    <x v="0"/>
    <s v="Y"/>
    <n v="0.125"/>
    <n v="1"/>
    <n v="0.875"/>
    <n v="0"/>
    <n v="-4"/>
    <n v="0"/>
    <n v="4"/>
    <e v="#VALUE!"/>
    <n v="4"/>
    <n v="0"/>
    <m/>
    <m/>
    <s v="Y"/>
    <m/>
    <s v="0-10 DAYS"/>
    <n v="1"/>
    <x v="0"/>
  </r>
  <r>
    <n v="2197"/>
    <s v="N"/>
    <s v="Y"/>
    <n v="2228966"/>
    <n v="2"/>
    <d v="2012-03-23T00:00:00"/>
    <d v="2012-12-05T00:00:00"/>
    <n v="2228966"/>
    <d v="2012-03-23T00:00:00"/>
    <d v="2012-03-24T00:00:00"/>
    <n v="30000"/>
    <x v="2"/>
    <d v="2012-03-24T00:00:00"/>
    <s v="Y"/>
    <s v="SURETY"/>
    <s v="DEFERRED ADJUDICATION "/>
    <n v="15"/>
    <n v="258"/>
    <n v="4"/>
    <n v="1"/>
    <n v="1"/>
    <m/>
    <m/>
    <m/>
    <m/>
    <m/>
    <m/>
    <m/>
    <m/>
    <d v="1968-06-29T00:00:00"/>
    <s v="F"/>
    <s v="W"/>
    <s v="WHITE"/>
    <s v="NON-HISPANIC"/>
    <s v="351"/>
    <s v="DEFERRED"/>
    <n v="15"/>
    <s v="DEFERRED"/>
    <m/>
    <m/>
    <m/>
    <s v="POSS CS PG 1 &lt;1G"/>
    <m/>
    <s v="FS"/>
    <s v="POSS DRUG"/>
    <s v="misd theft 6/28/12 hcj 30 days"/>
    <s v="bd SSR 6/28/12"/>
    <m/>
    <m/>
    <s v="Y"/>
    <m/>
    <m/>
    <m/>
    <m/>
    <s v="Hired Attorney"/>
    <m/>
    <m/>
    <n v="15"/>
    <n v="258"/>
    <n v="258"/>
    <n v="43.642076502732237"/>
    <n v="0"/>
    <n v="-256"/>
    <s v="DEFERRED"/>
    <x v="1"/>
    <s v="Y"/>
    <m/>
    <s v="DEFERRED"/>
    <s v="Y"/>
    <x v="1"/>
    <x v="0"/>
    <s v="Y"/>
    <n v="5.8139534883720929E-2"/>
    <n v="7.7519379844961239E-3"/>
    <n v="-5.0387596899224806E-2"/>
    <n v="0"/>
    <n v="-2"/>
    <n v="13"/>
    <n v="2"/>
    <n v="15"/>
    <m/>
    <n v="256"/>
    <m/>
    <m/>
    <s v="Y"/>
    <m/>
    <s v="11-30 DAYS"/>
    <n v="2"/>
    <x v="0"/>
  </r>
  <r>
    <n v="2008"/>
    <s v="N"/>
    <s v="N"/>
    <n v="2229653"/>
    <n v="4"/>
    <d v="2012-03-16T00:00:00"/>
    <d v="2012-03-30T00:00:00"/>
    <n v="2229653"/>
    <d v="2012-03-16T00:00:00"/>
    <d v="2012-03-30T00:00:00"/>
    <n v="10000"/>
    <x v="3"/>
    <m/>
    <s v="N"/>
    <s v="NONE"/>
    <s v="GUILTY PLEA - NO JURY"/>
    <n v="15"/>
    <n v="15"/>
    <n v="1"/>
    <n v="0"/>
    <n v="1"/>
    <m/>
    <m/>
    <m/>
    <m/>
    <m/>
    <m/>
    <m/>
    <m/>
    <d v="1990-09-21T00:00:00"/>
    <s v="M"/>
    <s v="B"/>
    <s v="BLACK"/>
    <s v="NULL"/>
    <s v="208"/>
    <s v="CONVICTED"/>
    <n v="2"/>
    <s v="HCJ"/>
    <m/>
    <m/>
    <n v="300"/>
    <s v="THEFT $1500-20K"/>
    <m/>
    <s v="FS"/>
    <s v="THEFT"/>
    <m/>
    <m/>
    <m/>
    <m/>
    <m/>
    <m/>
    <m/>
    <m/>
    <m/>
    <s v="Appointed Attorney"/>
    <m/>
    <m/>
    <n v="15"/>
    <n v="15"/>
    <n v="15"/>
    <n v="21.439890710382514"/>
    <n v="0"/>
    <n v="0"/>
    <s v="CONVICTION"/>
    <x v="0"/>
    <s v="N"/>
    <m/>
    <s v="CONVICTION"/>
    <s v="Y"/>
    <x v="0"/>
    <x v="0"/>
    <s v="Y"/>
    <n v="1"/>
    <n v="1"/>
    <n v="0"/>
    <n v="0"/>
    <n v="-15"/>
    <n v="0"/>
    <n v="15"/>
    <e v="#VALUE!"/>
    <n v="15"/>
    <n v="0"/>
    <m/>
    <m/>
    <s v="Y"/>
    <m/>
    <s v="11-30 DAYS"/>
    <n v="2"/>
    <x v="0"/>
  </r>
  <r>
    <n v="1459"/>
    <s v="N"/>
    <s v="N"/>
    <n v="2231712"/>
    <n v="5"/>
    <d v="2012-02-23T00:00:00"/>
    <d v="2012-06-14T00:00:00"/>
    <n v="2231712"/>
    <d v="2012-02-24T00:00:00"/>
    <d v="2012-06-14T00:00:00"/>
    <n v="40000"/>
    <x v="2"/>
    <m/>
    <s v="N"/>
    <s v="NONE"/>
    <s v="GUILTY PLEA - NO JURY"/>
    <n v="112"/>
    <n v="113"/>
    <n v="3"/>
    <n v="7"/>
    <n v="1"/>
    <m/>
    <m/>
    <m/>
    <m/>
    <m/>
    <m/>
    <m/>
    <m/>
    <d v="1989-05-23T00:00:00"/>
    <s v="M"/>
    <s v="B"/>
    <s v="BLACK"/>
    <s v="NON-HISPANIC"/>
    <s v="339"/>
    <s v="CONVICTED"/>
    <n v="6"/>
    <s v="STJ"/>
    <m/>
    <n v="6"/>
    <m/>
    <s v="POSS W/INT MAN/DEL CS PG1 1&lt;1"/>
    <m/>
    <s v="FS"/>
    <s v="SALE DRUG"/>
    <m/>
    <m/>
    <m/>
    <m/>
    <m/>
    <m/>
    <m/>
    <m/>
    <m/>
    <s v="Hired Attorney"/>
    <m/>
    <m/>
    <n v="112"/>
    <n v="112"/>
    <n v="113"/>
    <n v="22.707650273224044"/>
    <n v="0"/>
    <n v="0"/>
    <s v="CONVICTION"/>
    <x v="0"/>
    <s v="N"/>
    <m/>
    <s v="CONVICTION"/>
    <s v="Y"/>
    <x v="0"/>
    <x v="0"/>
    <s v="Y"/>
    <n v="0.99115044247787609"/>
    <n v="1"/>
    <n v="8.8495575221239076E-3"/>
    <n v="0"/>
    <n v="-112"/>
    <n v="0"/>
    <n v="112"/>
    <e v="#VALUE!"/>
    <n v="112"/>
    <n v="0"/>
    <m/>
    <m/>
    <s v="Y"/>
    <m/>
    <s v="91-120 DAYS"/>
    <n v="0"/>
    <x v="0"/>
  </r>
  <r>
    <n v="1511"/>
    <s v="N"/>
    <s v="N"/>
    <n v="2232065"/>
    <n v="6"/>
    <d v="2012-02-25T00:00:00"/>
    <d v="2013-05-30T00:00:00"/>
    <n v="2232065"/>
    <d v="2012-02-26T00:00:00"/>
    <d v="2013-05-30T00:00:00"/>
    <n v="95000"/>
    <x v="2"/>
    <m/>
    <s v="N"/>
    <s v="NONE"/>
    <s v="GUILTY JURY VERDICT"/>
    <n v="460"/>
    <n v="461"/>
    <n v="2"/>
    <n v="0"/>
    <n v="1"/>
    <m/>
    <m/>
    <m/>
    <m/>
    <m/>
    <m/>
    <m/>
    <m/>
    <d v="1988-02-26T00:00:00"/>
    <s v="M"/>
    <s v="B"/>
    <s v="BLACK"/>
    <s v="NULL"/>
    <s v="230"/>
    <s v="CONVICTED"/>
    <n v="30"/>
    <s v="TDC"/>
    <n v="30"/>
    <m/>
    <m/>
    <s v="AGG ROBBERY-DEADLY WPN"/>
    <m/>
    <s v="F1"/>
    <s v="ROBBERY"/>
    <s v="MULTIPLE FEL  DISMISSSED           APPEALING 30- YR GUILTY PLEA"/>
    <m/>
    <m/>
    <m/>
    <m/>
    <m/>
    <m/>
    <m/>
    <m/>
    <s v="Appointed Attorney"/>
    <m/>
    <m/>
    <n v="460"/>
    <n v="460"/>
    <n v="461"/>
    <n v="23.948087431693988"/>
    <n v="0"/>
    <n v="0"/>
    <s v="CONVICTION"/>
    <x v="0"/>
    <s v="N"/>
    <m/>
    <s v="CONVICTION"/>
    <s v="Y"/>
    <x v="0"/>
    <x v="0"/>
    <s v="Y"/>
    <n v="0.99783080260303691"/>
    <n v="1"/>
    <n v="2.1691973969630851E-3"/>
    <n v="0"/>
    <n v="-460"/>
    <n v="0"/>
    <n v="460"/>
    <e v="#VALUE!"/>
    <n v="460"/>
    <n v="0"/>
    <m/>
    <m/>
    <s v="Y"/>
    <m/>
    <s v=" &gt;1YRS&lt;2YRS"/>
    <n v="0"/>
    <x v="0"/>
  </r>
  <r>
    <n v="2299"/>
    <s v="N"/>
    <s v="N"/>
    <n v="2233439"/>
    <n v="6"/>
    <d v="2012-04-13T00:00:00"/>
    <d v="2012-12-13T00:00:00"/>
    <n v="2233439"/>
    <d v="2012-04-17T00:00:00"/>
    <d v="2012-12-13T00:00:00"/>
    <n v="0"/>
    <x v="1"/>
    <m/>
    <s v="N"/>
    <s v="NONE"/>
    <s v="GUILTY PLEA - NO JURY"/>
    <n v="241"/>
    <n v="245"/>
    <n v="1"/>
    <n v="4"/>
    <n v="1"/>
    <m/>
    <m/>
    <m/>
    <m/>
    <m/>
    <m/>
    <m/>
    <m/>
    <d v="1989-02-24T00:00:00"/>
    <s v="M"/>
    <s v="B"/>
    <s v="BLACK"/>
    <s v="NON-HISPANIC"/>
    <s v="338"/>
    <s v="CONVICTED"/>
    <n v="9"/>
    <s v="TDC"/>
    <n v="6"/>
    <m/>
    <m/>
    <s v="INJURY CHILD UNDER 15 B/INJURY"/>
    <m/>
    <s v="F3"/>
    <s v="OTHER FEL"/>
    <s v="fel filed 4/13/12 bk 4/17  PTRc  disp 12/13/12 tdc 6 yrs ---new case filed"/>
    <m/>
    <m/>
    <m/>
    <m/>
    <m/>
    <m/>
    <m/>
    <m/>
    <s v="Public Defender"/>
    <m/>
    <m/>
    <n v="241"/>
    <n v="241"/>
    <n v="245"/>
    <n v="23.084699453551913"/>
    <n v="-41256"/>
    <n v="0"/>
    <s v="CONVICTION"/>
    <x v="0"/>
    <s v="N"/>
    <m/>
    <s v="CONVICTION"/>
    <s v="Y"/>
    <x v="0"/>
    <x v="0"/>
    <s v="Y"/>
    <n v="0.98367346938775513"/>
    <n v="1"/>
    <n v="1.6326530612244872E-2"/>
    <n v="0"/>
    <n v="-241"/>
    <n v="0"/>
    <n v="241"/>
    <e v="#VALUE!"/>
    <n v="241"/>
    <n v="0"/>
    <m/>
    <m/>
    <s v="Y"/>
    <m/>
    <s v="121-365 DAYS"/>
    <n v="6"/>
    <x v="0"/>
  </r>
  <r>
    <n v="2337"/>
    <s v="N"/>
    <s v="N"/>
    <n v="2236025"/>
    <n v="1"/>
    <d v="2012-03-29T00:00:00"/>
    <d v="2012-06-05T00:00:00"/>
    <n v="2236025"/>
    <s v="NOT BOOKED"/>
    <s v="NOT BOOKED"/>
    <n v="10000"/>
    <x v="3"/>
    <d v="2012-04-19T00:00:00"/>
    <s v="Y"/>
    <s v="SURETY"/>
    <s v="DISMISSED"/>
    <n v="0"/>
    <n v="69"/>
    <n v="0"/>
    <n v="0"/>
    <m/>
    <m/>
    <m/>
    <m/>
    <m/>
    <m/>
    <m/>
    <m/>
    <m/>
    <d v="1985-10-29T00:00:00"/>
    <s v="M"/>
    <s v="B"/>
    <s v="BLACK"/>
    <s v="NULL"/>
    <s v="180"/>
    <s v="DISMISSED"/>
    <n v="4"/>
    <s v="DISMISSED"/>
    <m/>
    <m/>
    <m/>
    <s v="CRIM MISCH &gt;=$1500 &lt;$20K"/>
    <m/>
    <s v="FS"/>
    <s v="OTHER FEL"/>
    <m/>
    <m/>
    <m/>
    <m/>
    <m/>
    <m/>
    <m/>
    <m/>
    <m/>
    <s v="Hired Attorney"/>
    <m/>
    <m/>
    <n v="0"/>
    <n v="0"/>
    <n v="69"/>
    <n v="26.360655737704917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93"/>
    <s v="N"/>
    <s v="N"/>
    <n v="2236044"/>
    <n v="2"/>
    <d v="2012-01-09T00:00:00"/>
    <d v="2012-01-11T00:00:00"/>
    <n v="2236044"/>
    <d v="2012-01-09T00:00:00"/>
    <d v="2012-01-11T00:00:00"/>
    <n v="5000"/>
    <x v="4"/>
    <m/>
    <s v="N"/>
    <s v="NONE"/>
    <s v="DEFERRED ADJUDICATION "/>
    <n v="3"/>
    <n v="3"/>
    <n v="0"/>
    <n v="0"/>
    <m/>
    <m/>
    <m/>
    <m/>
    <m/>
    <m/>
    <m/>
    <s v="S"/>
    <m/>
    <d v="1987-08-22T00:00:00"/>
    <s v="F"/>
    <s v="H"/>
    <s v="HISPANIC"/>
    <s v="NULL"/>
    <s v="178"/>
    <s v="DEFERRED"/>
    <n v="1"/>
    <s v="DEFERRED"/>
    <m/>
    <m/>
    <m/>
    <s v="HINDER APPREHENSION"/>
    <m/>
    <s v="F3"/>
    <s v="OTHER FEL"/>
    <m/>
    <m/>
    <m/>
    <m/>
    <m/>
    <m/>
    <m/>
    <m/>
    <m/>
    <s v="Appointed Attorney"/>
    <m/>
    <m/>
    <n v="3"/>
    <n v="3"/>
    <n v="3"/>
    <n v="24.333333333333332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2080"/>
    <s v="N"/>
    <s v="N"/>
    <n v="2236591"/>
    <n v="6"/>
    <d v="2012-03-19T00:00:00"/>
    <d v="2013-04-04T00:00:00"/>
    <n v="2236591"/>
    <d v="2012-03-19T00:00:00"/>
    <d v="2013-04-04T00:00:00"/>
    <s v="NO BOND"/>
    <x v="1"/>
    <m/>
    <s v="N"/>
    <s v="NONE"/>
    <s v="GUILTY PLEA - NO JURY"/>
    <n v="382"/>
    <n v="382"/>
    <n v="2"/>
    <n v="2"/>
    <n v="1"/>
    <m/>
    <m/>
    <m/>
    <m/>
    <m/>
    <m/>
    <m/>
    <m/>
    <d v="1989-05-05T00:00:00"/>
    <s v="M"/>
    <s v="B"/>
    <s v="BLACK"/>
    <s v="NULL"/>
    <s v="177"/>
    <s v="CONVICTED"/>
    <n v="13"/>
    <s v="TDC"/>
    <n v="8"/>
    <m/>
    <m/>
    <s v="AGG ROBBERY-DEADLY WPN"/>
    <m/>
    <s v="F1"/>
    <s v="ROBBERY"/>
    <m/>
    <m/>
    <m/>
    <m/>
    <m/>
    <m/>
    <m/>
    <m/>
    <m/>
    <s v="Hired Attorney"/>
    <m/>
    <m/>
    <n v="382"/>
    <n v="382"/>
    <n v="382"/>
    <n v="22.825136612021858"/>
    <n v="0"/>
    <n v="0"/>
    <s v="CONVICTION"/>
    <x v="0"/>
    <s v="N"/>
    <m/>
    <s v="CONVICTION"/>
    <s v="Y"/>
    <x v="0"/>
    <x v="0"/>
    <s v="Y"/>
    <n v="1"/>
    <n v="1"/>
    <n v="0"/>
    <n v="0"/>
    <n v="-382"/>
    <n v="0"/>
    <n v="382"/>
    <e v="#VALUE!"/>
    <n v="382"/>
    <n v="0"/>
    <m/>
    <m/>
    <s v="Y"/>
    <m/>
    <s v=" &gt;1YRS&lt;2YRS"/>
    <n v="0"/>
    <x v="0"/>
  </r>
  <r>
    <n v="2917"/>
    <s v="N"/>
    <s v="N"/>
    <n v="2236641"/>
    <n v="4"/>
    <d v="2012-04-17T00:00:00"/>
    <d v="2012-04-25T00:00:00"/>
    <n v="2236641"/>
    <d v="2012-04-18T00:00:00"/>
    <d v="2012-04-25T00:00:00"/>
    <n v="5000"/>
    <x v="4"/>
    <m/>
    <s v="N"/>
    <s v="NONE"/>
    <s v="GUILTY PLEA - NO JURY"/>
    <n v="8"/>
    <n v="9"/>
    <n v="0"/>
    <n v="1"/>
    <m/>
    <m/>
    <m/>
    <m/>
    <m/>
    <m/>
    <m/>
    <m/>
    <m/>
    <d v="1964-10-31T00:00:00"/>
    <s v="F"/>
    <s v="W"/>
    <s v="WHITE"/>
    <s v="NULL"/>
    <s v="176"/>
    <s v="CONVICTED"/>
    <n v="2"/>
    <s v="HCJ"/>
    <m/>
    <m/>
    <n v="90"/>
    <s v="THEFT UNDER $1500 - 3RD OFF."/>
    <m/>
    <s v="FS"/>
    <s v="THEFT"/>
    <m/>
    <m/>
    <m/>
    <m/>
    <m/>
    <m/>
    <m/>
    <m/>
    <m/>
    <s v="Appointed Attorney"/>
    <m/>
    <m/>
    <n v="8"/>
    <n v="8"/>
    <n v="9"/>
    <n v="47.363387978142079"/>
    <n v="0"/>
    <n v="0"/>
    <s v="CONVICTION"/>
    <x v="0"/>
    <s v="N"/>
    <m/>
    <s v="CONVICTION"/>
    <s v="Y"/>
    <x v="0"/>
    <x v="0"/>
    <s v="N"/>
    <n v="0.88888888888888884"/>
    <n v="1"/>
    <n v="0.11111111111111116"/>
    <n v="0"/>
    <n v="-8"/>
    <n v="0"/>
    <n v="8"/>
    <e v="#VALUE!"/>
    <n v="8"/>
    <n v="0"/>
    <m/>
    <m/>
    <s v="Y"/>
    <m/>
    <s v="0-10 DAYS"/>
    <n v="1"/>
    <x v="0"/>
  </r>
  <r>
    <n v="2466"/>
    <s v="N"/>
    <s v="N"/>
    <n v="2236885"/>
    <n v="1"/>
    <d v="2012-04-03T00:00:00"/>
    <d v="2012-04-04T00:00:00"/>
    <n v="2236885"/>
    <d v="2012-04-03T00:00:00"/>
    <d v="2012-04-04T00:00:00"/>
    <n v="5000"/>
    <x v="4"/>
    <m/>
    <s v="N"/>
    <s v="NONE"/>
    <s v="DISMISSED"/>
    <n v="2"/>
    <n v="2"/>
    <n v="0"/>
    <n v="4"/>
    <m/>
    <m/>
    <m/>
    <m/>
    <m/>
    <m/>
    <m/>
    <m/>
    <m/>
    <d v="1989-07-05T00:00:00"/>
    <s v="M"/>
    <s v="B"/>
    <s v="BLACK"/>
    <s v="NON-HISPANIC"/>
    <s v="263"/>
    <s v="DISMISSED"/>
    <n v="1"/>
    <s v="DISMISSED"/>
    <m/>
    <m/>
    <m/>
    <s v="FELON POSS WPN"/>
    <m/>
    <s v="F3"/>
    <s v="OTHER FEL"/>
    <s v="6/6/12 burg and drug cases tdc 2yrs"/>
    <m/>
    <m/>
    <m/>
    <m/>
    <m/>
    <m/>
    <m/>
    <m/>
    <s v="Other/Unknown"/>
    <m/>
    <m/>
    <n v="2"/>
    <n v="2"/>
    <n v="2"/>
    <n v="22.699453551912569"/>
    <n v="0"/>
    <n v="0"/>
    <s v="NO CONVICTION"/>
    <x v="0"/>
    <s v="N"/>
    <m/>
    <s v="NO CONVICTION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2310"/>
    <s v="N"/>
    <s v="N"/>
    <n v="2237436"/>
    <n v="6"/>
    <d v="2012-03-28T00:00:00"/>
    <d v="2013-08-20T00:00:00"/>
    <n v="2237436"/>
    <d v="2012-04-10T00:00:00"/>
    <d v="2012-10-12T00:00:00"/>
    <n v="20000"/>
    <x v="0"/>
    <d v="2012-10-12T00:00:00"/>
    <s v="Y"/>
    <s v="SURETY"/>
    <s v="GUILTY PLEA - NO JURY"/>
    <n v="186"/>
    <n v="511"/>
    <n v="0"/>
    <n v="0"/>
    <m/>
    <m/>
    <m/>
    <m/>
    <m/>
    <m/>
    <m/>
    <m/>
    <m/>
    <d v="1974-09-13T00:00:00"/>
    <s v="M"/>
    <s v="B"/>
    <s v="BLACK"/>
    <s v="NON-HISPANIC"/>
    <s v="208"/>
    <s v="CONVICTED"/>
    <n v="21"/>
    <s v="TDC"/>
    <n v="2"/>
    <m/>
    <m/>
    <s v="ROBBERY-BODILY INJURY"/>
    <m/>
    <s v="F2"/>
    <s v="ROBBERY"/>
    <m/>
    <m/>
    <m/>
    <m/>
    <m/>
    <m/>
    <m/>
    <m/>
    <m/>
    <s v="Appointed Attorney"/>
    <m/>
    <m/>
    <n v="186"/>
    <n v="498"/>
    <n v="511"/>
    <n v="37.461748633879779"/>
    <n v="0"/>
    <n v="-312"/>
    <s v="CONVICTION"/>
    <x v="1"/>
    <s v="Y"/>
    <m/>
    <s v="CONVICTION"/>
    <s v="Y"/>
    <x v="1"/>
    <x v="0"/>
    <s v="N"/>
    <n v="0.36399217221135027"/>
    <n v="0.37349397590361444"/>
    <n v="9.5018036922641658E-3"/>
    <n v="0"/>
    <n v="-186"/>
    <n v="0"/>
    <n v="186"/>
    <e v="#VALUE!"/>
    <n v="186"/>
    <n v="0"/>
    <m/>
    <m/>
    <s v="N"/>
    <m/>
    <s v="121-365 DAYS"/>
    <n v="6"/>
    <x v="0"/>
  </r>
  <r>
    <n v="237"/>
    <s v="N"/>
    <s v="N"/>
    <n v="2237869"/>
    <n v="4"/>
    <d v="2012-01-11T00:00:00"/>
    <d v="2012-01-12T00:00:00"/>
    <n v="2237869"/>
    <d v="2012-01-11T00:00:00"/>
    <d v="2012-01-12T00:00:00"/>
    <n v="5000"/>
    <x v="4"/>
    <m/>
    <s v="N"/>
    <s v="NONE"/>
    <s v="GUILTY PLEA - NO JURY"/>
    <n v="2"/>
    <n v="2"/>
    <n v="1"/>
    <n v="2"/>
    <n v="1"/>
    <m/>
    <m/>
    <m/>
    <m/>
    <m/>
    <m/>
    <s v="S"/>
    <m/>
    <d v="1988-02-12T00:00:00"/>
    <s v="F"/>
    <s v="H"/>
    <s v="HISPANIC"/>
    <s v="NULL"/>
    <s v="232"/>
    <s v="CONVICTED"/>
    <n v="1"/>
    <s v="HCJ"/>
    <m/>
    <m/>
    <n v="90"/>
    <s v="THEFT UNDER $1500 - 3RD OFF."/>
    <m/>
    <s v="FS"/>
    <s v="THEFT"/>
    <m/>
    <m/>
    <m/>
    <m/>
    <m/>
    <m/>
    <m/>
    <m/>
    <m/>
    <s v="Public Defender"/>
    <m/>
    <m/>
    <n v="2"/>
    <n v="2"/>
    <n v="2"/>
    <n v="23.863387978142075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3233"/>
    <s v="Y"/>
    <s v="Y"/>
    <n v="2238488"/>
    <n v="6"/>
    <d v="2012-04-29T00:00:00"/>
    <d v="2013-03-18T00:00:00"/>
    <n v="2238488"/>
    <d v="2012-04-29T00:00:00"/>
    <d v="2012-05-04T00:00:00"/>
    <n v="10000"/>
    <x v="3"/>
    <d v="2012-05-04T00:00:00"/>
    <s v="Y"/>
    <s v="SURETY"/>
    <s v="GUILTY PLEA - NO JURY"/>
    <n v="26"/>
    <n v="324"/>
    <n v="0"/>
    <n v="6"/>
    <m/>
    <m/>
    <m/>
    <m/>
    <m/>
    <m/>
    <m/>
    <m/>
    <m/>
    <d v="1987-10-28T00:00:00"/>
    <s v="M"/>
    <s v="B"/>
    <s v="BLACK"/>
    <s v="NULL"/>
    <s v="263"/>
    <s v="CONVICTED"/>
    <n v="8"/>
    <s v="TDC"/>
    <n v="2"/>
    <m/>
    <m/>
    <s v="POSS CS PG 2 4G - 400G"/>
    <m/>
    <s v="F2"/>
    <s v="POSS DRUG"/>
    <s v="bk 7/26/12 recal"/>
    <m/>
    <s v="Y"/>
    <s v="bf 8/28/12"/>
    <m/>
    <m/>
    <m/>
    <d v="2013-08-01T00:00:00"/>
    <n v="472"/>
    <s v="Hired Attorney"/>
    <s v="3/15/13  m maryj 15 d hcj"/>
    <m/>
    <n v="26"/>
    <n v="324"/>
    <n v="324"/>
    <n v="24.453551912568305"/>
    <n v="0"/>
    <n v="-318"/>
    <s v="CONVICTION"/>
    <x v="1"/>
    <s v="N"/>
    <m/>
    <s v="CONVICTION"/>
    <s v="Y"/>
    <x v="0"/>
    <x v="0"/>
    <s v="N"/>
    <n v="8.0246913580246909E-2"/>
    <n v="1.8518518518518517E-2"/>
    <n v="-6.1728395061728392E-2"/>
    <n v="0"/>
    <n v="-6"/>
    <n v="20"/>
    <n v="324"/>
    <n v="26"/>
    <n v="324"/>
    <n v="318"/>
    <m/>
    <m/>
    <s v="Y"/>
    <m/>
    <s v="11-30 DAYS"/>
    <n v="2"/>
    <x v="0"/>
  </r>
  <r>
    <n v="1482"/>
    <s v="N"/>
    <s v="N"/>
    <n v="2238616"/>
    <n v="5"/>
    <d v="2012-02-24T00:00:00"/>
    <d v="2012-02-28T00:00:00"/>
    <n v="2238616"/>
    <d v="2012-02-27T00:00:00"/>
    <d v="2012-02-28T00:00:00"/>
    <n v="20000"/>
    <x v="0"/>
    <m/>
    <s v="N"/>
    <s v="NONE"/>
    <s v="GUILTY PLEA - NO JURY"/>
    <n v="2"/>
    <n v="5"/>
    <n v="5"/>
    <n v="0"/>
    <n v="2"/>
    <m/>
    <m/>
    <m/>
    <m/>
    <m/>
    <m/>
    <m/>
    <m/>
    <d v="1989-02-16T00:00:00"/>
    <s v="M"/>
    <s v="H"/>
    <s v="HISPANIC"/>
    <s v="HISPANIC"/>
    <s v="262"/>
    <s v="CONVICTED"/>
    <n v="1"/>
    <s v="STJ"/>
    <m/>
    <n v="7"/>
    <m/>
    <s v="ATT ASLT FAM/MEMBER 2ND OFFEND"/>
    <m/>
    <s v="FS"/>
    <s v="ASLT-MURDR"/>
    <m/>
    <m/>
    <m/>
    <m/>
    <m/>
    <m/>
    <m/>
    <m/>
    <m/>
    <s v="Appointed Attorney"/>
    <m/>
    <m/>
    <n v="2"/>
    <n v="2"/>
    <n v="5"/>
    <n v="22.972677595628415"/>
    <n v="0"/>
    <n v="0"/>
    <s v="CONVICTION"/>
    <x v="0"/>
    <s v="N"/>
    <m/>
    <s v="CONVICTION"/>
    <s v="Y"/>
    <x v="0"/>
    <x v="0"/>
    <s v="Y"/>
    <n v="0.4"/>
    <n v="1"/>
    <n v="0.6"/>
    <n v="0"/>
    <n v="-2"/>
    <n v="0"/>
    <n v="2"/>
    <e v="#VALUE!"/>
    <n v="2"/>
    <n v="0"/>
    <m/>
    <m/>
    <s v="Y"/>
    <m/>
    <s v="0-10 DAYS"/>
    <n v="1"/>
    <x v="0"/>
  </r>
  <r>
    <n v="1145"/>
    <s v="N"/>
    <s v="N"/>
    <n v="2239119"/>
    <n v="6"/>
    <d v="2012-02-11T00:00:00"/>
    <d v="2012-04-20T00:00:00"/>
    <n v="2239119"/>
    <d v="2012-02-11T00:00:00"/>
    <d v="2012-04-20T00:00:00"/>
    <n v="10000"/>
    <x v="3"/>
    <m/>
    <s v="N"/>
    <s v="NONE"/>
    <s v="GUILTY PLEA - NO JURY"/>
    <n v="70"/>
    <n v="70"/>
    <n v="3"/>
    <n v="8"/>
    <n v="1"/>
    <m/>
    <m/>
    <m/>
    <m/>
    <m/>
    <m/>
    <m/>
    <m/>
    <d v="1989-06-01T00:00:00"/>
    <s v="M"/>
    <s v="B"/>
    <s v="BLACK"/>
    <s v="NULL"/>
    <s v="339"/>
    <s v="CONVICTED"/>
    <n v="3"/>
    <s v="TDC"/>
    <n v="3"/>
    <m/>
    <m/>
    <s v="ASSAULT-BOD INJ-PUB SERV/RETAL"/>
    <m/>
    <s v="F3"/>
    <s v="ASLT-MURDR"/>
    <m/>
    <m/>
    <m/>
    <m/>
    <m/>
    <m/>
    <m/>
    <m/>
    <m/>
    <s v="Appointed Attorney"/>
    <m/>
    <m/>
    <n v="70"/>
    <n v="70"/>
    <n v="70"/>
    <n v="22.650273224043715"/>
    <n v="0"/>
    <n v="0"/>
    <s v="CONVICTION"/>
    <x v="0"/>
    <s v="N"/>
    <m/>
    <s v="CONVICTION"/>
    <s v="Y"/>
    <x v="0"/>
    <x v="0"/>
    <s v="Y"/>
    <n v="1"/>
    <n v="1"/>
    <n v="0"/>
    <n v="0"/>
    <n v="-70"/>
    <n v="0"/>
    <n v="70"/>
    <e v="#VALUE!"/>
    <n v="70"/>
    <n v="0"/>
    <m/>
    <m/>
    <s v="Y"/>
    <m/>
    <s v="61-90 DAYS"/>
    <n v="4"/>
    <x v="0"/>
  </r>
  <r>
    <n v="2347"/>
    <s v="N"/>
    <s v="N"/>
    <n v="2239808"/>
    <n v="6"/>
    <d v="2012-03-29T00:00:00"/>
    <d v="2012-06-13T00:00:00"/>
    <n v="2239808"/>
    <d v="2012-03-30T00:00:00"/>
    <d v="2012-05-17T00:00:00"/>
    <n v="10000"/>
    <x v="3"/>
    <d v="2012-05-17T00:00:00"/>
    <s v="Y"/>
    <s v="PTRc"/>
    <s v="GUILTY PLEA - NO JURY"/>
    <n v="49"/>
    <n v="77"/>
    <n v="3"/>
    <n v="6"/>
    <n v="1"/>
    <m/>
    <m/>
    <m/>
    <m/>
    <m/>
    <m/>
    <m/>
    <m/>
    <d v="1989-04-14T00:00:00"/>
    <s v="M"/>
    <s v="B"/>
    <s v="BLACK"/>
    <s v="NON-HISPANIC"/>
    <s v="178"/>
    <s v="CONVICTED"/>
    <n v="7"/>
    <s v="TDC"/>
    <n v="2"/>
    <m/>
    <m/>
    <s v="TAMPER/FABRICATE EVIDENCE"/>
    <m/>
    <s v="F3"/>
    <s v="OTHER FEL"/>
    <m/>
    <m/>
    <m/>
    <m/>
    <m/>
    <m/>
    <m/>
    <m/>
    <m/>
    <s v="Hired Attorney"/>
    <m/>
    <m/>
    <n v="49"/>
    <n v="76"/>
    <n v="77"/>
    <n v="22.909836065573771"/>
    <n v="0"/>
    <n v="-27"/>
    <s v="CONVICTION"/>
    <x v="2"/>
    <s v="Y"/>
    <m/>
    <s v="CONVICTION"/>
    <s v="Y"/>
    <x v="1"/>
    <x v="0"/>
    <s v="Y"/>
    <n v="0.63636363636363635"/>
    <n v="0.64473684210526316"/>
    <n v="8.3732057416268102E-3"/>
    <n v="0"/>
    <n v="-49"/>
    <n v="0"/>
    <n v="49"/>
    <e v="#VALUE!"/>
    <n v="49"/>
    <n v="0"/>
    <m/>
    <m/>
    <s v="Y"/>
    <m/>
    <s v="31-60 DAYS"/>
    <n v="3"/>
    <x v="0"/>
  </r>
  <r>
    <n v="872"/>
    <s v="N"/>
    <s v="N"/>
    <n v="2239991"/>
    <n v="5"/>
    <d v="2012-02-02T00:00:00"/>
    <d v="2012-02-06T00:00:00"/>
    <n v="2239991"/>
    <d v="2012-02-02T00:00:00"/>
    <d v="2012-02-06T00:00:00"/>
    <n v="30000"/>
    <x v="2"/>
    <m/>
    <s v="N"/>
    <s v="NONE"/>
    <s v="GUILTY PLEA - NO JURY"/>
    <n v="5"/>
    <n v="5"/>
    <n v="4"/>
    <n v="2"/>
    <n v="3"/>
    <m/>
    <m/>
    <m/>
    <m/>
    <m/>
    <m/>
    <m/>
    <m/>
    <d v="1973-03-22T00:00:00"/>
    <s v="F"/>
    <s v="B"/>
    <s v="BLACK"/>
    <s v="NULL"/>
    <s v="338"/>
    <s v="CONVICTED"/>
    <n v="1"/>
    <s v="STJ"/>
    <m/>
    <n v="9"/>
    <m/>
    <s v="POSS CS PG 1 &lt;1G"/>
    <m/>
    <s v="FS"/>
    <s v="POSS DRUG"/>
    <m/>
    <m/>
    <m/>
    <m/>
    <m/>
    <m/>
    <m/>
    <m/>
    <m/>
    <s v="Appointed Attorney"/>
    <m/>
    <m/>
    <n v="5"/>
    <n v="5"/>
    <n v="5"/>
    <n v="38.786885245901637"/>
    <n v="0"/>
    <n v="0"/>
    <s v="CONVICTION"/>
    <x v="0"/>
    <s v="N"/>
    <m/>
    <s v="CONVICTION"/>
    <s v="Y"/>
    <x v="0"/>
    <x v="0"/>
    <s v="Y"/>
    <n v="1"/>
    <n v="1"/>
    <n v="0"/>
    <n v="0"/>
    <n v="-5"/>
    <n v="0"/>
    <n v="5"/>
    <e v="#VALUE!"/>
    <n v="5"/>
    <n v="0"/>
    <m/>
    <m/>
    <s v="Y"/>
    <m/>
    <s v="0-10 DAYS"/>
    <n v="1"/>
    <x v="0"/>
  </r>
  <r>
    <n v="2762"/>
    <s v="N"/>
    <s v="N"/>
    <n v="2240642"/>
    <n v="2"/>
    <d v="2012-04-12T00:00:00"/>
    <d v="2012-10-25T00:00:00"/>
    <n v="2240642"/>
    <d v="2012-04-12T00:00:00"/>
    <d v="2012-04-14T00:00:00"/>
    <n v="5000"/>
    <x v="4"/>
    <d v="2012-04-14T00:00:00"/>
    <s v="Y"/>
    <s v="SURETYPTRc"/>
    <s v="DEFERRED ADJUDICATION "/>
    <n v="3"/>
    <n v="197"/>
    <n v="1"/>
    <n v="1"/>
    <n v="1"/>
    <m/>
    <m/>
    <m/>
    <m/>
    <m/>
    <m/>
    <m/>
    <m/>
    <d v="1980-12-12T00:00:00"/>
    <s v="F"/>
    <s v="B"/>
    <s v="BLACK"/>
    <s v="NULL"/>
    <s v="337"/>
    <s v="DEFERRED"/>
    <n v="10"/>
    <s v="DEFERRED"/>
    <m/>
    <m/>
    <m/>
    <s v="POSS CS PG 1 &lt;1G"/>
    <m/>
    <s v="FS"/>
    <s v="POSS DRUG"/>
    <m/>
    <m/>
    <m/>
    <m/>
    <m/>
    <m/>
    <m/>
    <m/>
    <m/>
    <s v="Hired Attorney"/>
    <m/>
    <m/>
    <n v="3"/>
    <n v="197"/>
    <n v="197"/>
    <n v="31.26775956284153"/>
    <n v="0"/>
    <n v="-194"/>
    <s v="DEFERRED"/>
    <x v="1"/>
    <s v="Y"/>
    <m/>
    <s v="DEFERRED"/>
    <s v="Y"/>
    <x v="1"/>
    <x v="0"/>
    <s v="Y"/>
    <n v="1.5228426395939087E-2"/>
    <n v="1.5228426395939087E-2"/>
    <n v="0"/>
    <n v="0"/>
    <n v="-3"/>
    <n v="0"/>
    <n v="3"/>
    <e v="#VALUE!"/>
    <n v="3"/>
    <n v="0"/>
    <m/>
    <m/>
    <s v="Y"/>
    <m/>
    <s v="0-10 DAYS"/>
    <n v="1"/>
    <x v="0"/>
  </r>
  <r>
    <n v="1658"/>
    <s v="N"/>
    <s v="Y"/>
    <n v="2240684"/>
    <n v="6"/>
    <d v="2012-03-02T00:00:00"/>
    <d v="2012-05-30T00:00:00"/>
    <n v="2240684"/>
    <d v="2012-03-02T00:00:00"/>
    <d v="2012-03-04T00:00:00"/>
    <n v="5000"/>
    <x v="4"/>
    <d v="2012-03-04T00:00:00"/>
    <s v="Y"/>
    <s v="SURETY"/>
    <s v="GUILTY PLEA - NO JURY"/>
    <n v="10"/>
    <n v="90"/>
    <n v="2"/>
    <n v="8"/>
    <n v="1"/>
    <m/>
    <m/>
    <m/>
    <m/>
    <m/>
    <m/>
    <m/>
    <m/>
    <d v="1988-03-28T00:00:00"/>
    <s v="M"/>
    <s v="H"/>
    <s v="HISPANIC"/>
    <s v="HISPANIC"/>
    <s v="338"/>
    <s v="CONVICTED"/>
    <n v="3"/>
    <s v="TDC"/>
    <n v="2"/>
    <m/>
    <m/>
    <s v="FELON POSS WPN"/>
    <m/>
    <s v="F3"/>
    <s v="OTHER FEL"/>
    <s v="bk on bf 5/23/12 recal detained days"/>
    <s v="rev 4/2/12  BK 5/23/12"/>
    <s v="Y"/>
    <s v="BF4/2/2012"/>
    <s v="Y"/>
    <m/>
    <m/>
    <d v="2012-07-27T00:00:00"/>
    <n v="235"/>
    <s v="Appointed Attorney"/>
    <m/>
    <m/>
    <n v="10"/>
    <n v="90"/>
    <n v="90"/>
    <n v="23.879781420765028"/>
    <n v="0"/>
    <n v="-87"/>
    <s v="CONVICTION"/>
    <x v="1"/>
    <s v="Y"/>
    <m/>
    <s v="CONVICTION"/>
    <s v="Y"/>
    <x v="0"/>
    <x v="0"/>
    <s v="Y"/>
    <n v="0.1111111111111111"/>
    <n v="3.3333333333333333E-2"/>
    <n v="-7.7777777777777779E-2"/>
    <n v="0"/>
    <n v="-3"/>
    <n v="7"/>
    <n v="90"/>
    <n v="10"/>
    <n v="90"/>
    <n v="87"/>
    <m/>
    <m/>
    <s v="Y"/>
    <m/>
    <s v="0-10 DAYS"/>
    <n v="1"/>
    <x v="0"/>
  </r>
  <r>
    <n v="2444"/>
    <s v="N"/>
    <s v="N"/>
    <n v="2241956"/>
    <n v="2"/>
    <d v="2012-04-02T00:00:00"/>
    <d v="2012-06-07T00:00:00"/>
    <n v="2241956"/>
    <d v="2012-04-02T00:00:00"/>
    <d v="2012-04-04T00:00:00"/>
    <n v="2000"/>
    <x v="5"/>
    <d v="2012-04-04T00:00:00"/>
    <s v="Y"/>
    <s v="SURETY"/>
    <s v="DEFERRED ADJUDICATION "/>
    <n v="3"/>
    <n v="67"/>
    <n v="0"/>
    <n v="0"/>
    <m/>
    <m/>
    <m/>
    <m/>
    <m/>
    <m/>
    <m/>
    <m/>
    <m/>
    <d v="1978-05-24T00:00:00"/>
    <s v="F"/>
    <s v="B"/>
    <s v="BLACK"/>
    <s v="NULL"/>
    <s v="177"/>
    <s v="DEFERRED"/>
    <n v="4"/>
    <s v="DEFERRED"/>
    <m/>
    <m/>
    <m/>
    <s v="THEFT $1500-20K"/>
    <m/>
    <s v="FS"/>
    <s v="THEFT"/>
    <m/>
    <m/>
    <m/>
    <m/>
    <m/>
    <m/>
    <m/>
    <m/>
    <m/>
    <s v="Hired Attorney"/>
    <m/>
    <m/>
    <n v="3"/>
    <n v="67"/>
    <n v="67"/>
    <n v="33.789617486338798"/>
    <n v="0"/>
    <n v="-64"/>
    <s v="DEFERRED"/>
    <x v="1"/>
    <s v="Y"/>
    <m/>
    <s v="DEFERRED"/>
    <s v="Y"/>
    <x v="1"/>
    <x v="0"/>
    <s v="N"/>
    <n v="4.4776119402985072E-2"/>
    <n v="4.4776119402985072E-2"/>
    <n v="0"/>
    <n v="0"/>
    <n v="-3"/>
    <n v="0"/>
    <n v="3"/>
    <e v="#VALUE!"/>
    <n v="3"/>
    <n v="0"/>
    <m/>
    <m/>
    <s v="N"/>
    <m/>
    <s v="0-10 DAYS"/>
    <n v="1"/>
    <x v="0"/>
  </r>
  <r>
    <n v="126"/>
    <s v="N"/>
    <s v="N"/>
    <n v="2242305"/>
    <n v="1"/>
    <d v="2012-01-06T00:00:00"/>
    <d v="2012-01-24T00:00:00"/>
    <n v="2242305"/>
    <s v="NOT BOOKED"/>
    <s v="NOT BOOKED"/>
    <n v="15000"/>
    <x v="0"/>
    <d v="2012-01-11T00:00:00"/>
    <s v="Y"/>
    <s v="SURETY"/>
    <s v="NO BILL"/>
    <n v="0"/>
    <n v="19"/>
    <n v="4"/>
    <n v="3"/>
    <n v="1"/>
    <m/>
    <m/>
    <m/>
    <m/>
    <m/>
    <m/>
    <m/>
    <m/>
    <d v="1987-01-03T00:00:00"/>
    <s v="F"/>
    <s v="W"/>
    <s v="WHITE"/>
    <s v="NON-HISPANIC"/>
    <s v="262"/>
    <s v="NO BILL"/>
    <n v="3"/>
    <s v="NO BILL"/>
    <m/>
    <m/>
    <m/>
    <s v="HARASSMENT OF PUBLIC SERVANT"/>
    <m/>
    <s v="F3"/>
    <s v="OTHER FEL"/>
    <m/>
    <m/>
    <m/>
    <m/>
    <m/>
    <m/>
    <m/>
    <m/>
    <m/>
    <s v="Other/Unknown"/>
    <m/>
    <m/>
    <n v="0"/>
    <n v="0"/>
    <n v="19"/>
    <n v="24.956284153005466"/>
    <e v="#VALUE!"/>
    <e v="#VALUE!"/>
    <s v="NO CONVICTION"/>
    <x v="1"/>
    <s v="Y"/>
    <m/>
    <s v="NO CONVICTION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40"/>
    <s v="N"/>
    <s v="N"/>
    <n v="2244072"/>
    <n v="5"/>
    <d v="2012-01-03T00:00:00"/>
    <d v="2012-01-13T00:00:00"/>
    <n v="2244072"/>
    <d v="2012-01-03T00:00:00"/>
    <d v="2012-01-13T00:00:00"/>
    <n v="2000"/>
    <x v="5"/>
    <m/>
    <s v="N"/>
    <s v="NONE"/>
    <s v="GUILTY PLEA - NO JURY"/>
    <n v="11"/>
    <n v="11"/>
    <n v="0"/>
    <n v="2"/>
    <m/>
    <m/>
    <m/>
    <m/>
    <m/>
    <m/>
    <m/>
    <m/>
    <m/>
    <d v="1967-07-13T00:00:00"/>
    <s v="F"/>
    <s v="W"/>
    <s v="WHITE"/>
    <s v="NULL"/>
    <s v="263"/>
    <s v="CONVICTED"/>
    <n v="2"/>
    <s v="STJ"/>
    <m/>
    <n v="6"/>
    <m/>
    <s v="BURGLARY OF A BUILDING"/>
    <m/>
    <s v="FS"/>
    <s v="BURGLARY"/>
    <m/>
    <m/>
    <m/>
    <m/>
    <m/>
    <m/>
    <m/>
    <m/>
    <m/>
    <s v="Appointed Attorney"/>
    <m/>
    <m/>
    <n v="11"/>
    <n v="11"/>
    <n v="11"/>
    <n v="44.385245901639344"/>
    <n v="0"/>
    <n v="0"/>
    <s v="CONVICTION"/>
    <x v="0"/>
    <s v="N"/>
    <m/>
    <s v="CONVICTION"/>
    <s v="Y"/>
    <x v="0"/>
    <x v="0"/>
    <s v="N"/>
    <n v="1"/>
    <n v="1"/>
    <n v="0"/>
    <n v="0"/>
    <n v="-11"/>
    <n v="0"/>
    <n v="11"/>
    <e v="#VALUE!"/>
    <n v="11"/>
    <n v="0"/>
    <m/>
    <m/>
    <s v="Y"/>
    <m/>
    <s v="11-30 DAYS"/>
    <n v="2"/>
    <x v="0"/>
  </r>
  <r>
    <n v="3090"/>
    <s v="N"/>
    <s v="N"/>
    <n v="2244134"/>
    <n v="2"/>
    <d v="2012-04-24T00:00:00"/>
    <d v="2012-08-06T00:00:00"/>
    <n v="2244134"/>
    <d v="2012-04-28T00:00:00"/>
    <d v="2012-08-06T00:00:00"/>
    <n v="10000"/>
    <x v="3"/>
    <m/>
    <s v="N"/>
    <s v="NONE"/>
    <s v="DEFERRED ADJUDICATION "/>
    <n v="101"/>
    <n v="105"/>
    <n v="0"/>
    <n v="1"/>
    <m/>
    <m/>
    <m/>
    <m/>
    <m/>
    <m/>
    <m/>
    <m/>
    <m/>
    <d v="1983-11-19T00:00:00"/>
    <s v="M"/>
    <s v="W"/>
    <s v="WHITE"/>
    <s v="NULL"/>
    <s v="263"/>
    <s v="DEFERRED"/>
    <n v="11"/>
    <s v="DEFERRED"/>
    <m/>
    <m/>
    <m/>
    <s v="BURGLARY OF HABITATION"/>
    <m/>
    <s v="F2"/>
    <s v="BURGLARY"/>
    <m/>
    <m/>
    <m/>
    <m/>
    <m/>
    <m/>
    <m/>
    <m/>
    <m/>
    <s v="Appointed Attorney"/>
    <m/>
    <m/>
    <n v="101"/>
    <n v="101"/>
    <n v="105"/>
    <n v="28.371584699453553"/>
    <n v="0"/>
    <n v="0"/>
    <s v="DEFERRED"/>
    <x v="0"/>
    <s v="N"/>
    <m/>
    <s v="DEFERRED"/>
    <s v="Y"/>
    <x v="0"/>
    <x v="0"/>
    <s v="N"/>
    <n v="0.96190476190476193"/>
    <n v="1"/>
    <n v="3.8095238095238071E-2"/>
    <n v="0"/>
    <n v="-101"/>
    <n v="0"/>
    <n v="101"/>
    <e v="#VALUE!"/>
    <n v="101"/>
    <n v="0"/>
    <m/>
    <m/>
    <s v="Y"/>
    <m/>
    <s v="91-120 DAYS"/>
    <n v="0"/>
    <x v="0"/>
  </r>
  <r>
    <n v="1288"/>
    <s v="N"/>
    <s v="Y"/>
    <n v="2244663"/>
    <n v="4"/>
    <d v="2012-02-17T00:00:00"/>
    <d v="2012-09-24T00:00:00"/>
    <n v="2244663"/>
    <d v="2012-02-17T00:00:00"/>
    <d v="2012-02-18T00:00:00"/>
    <n v="2000"/>
    <x v="5"/>
    <d v="2012-02-18T00:00:00"/>
    <s v="Y"/>
    <s v="SURETYPTRc"/>
    <s v="GUILTY PLEA - NO JURY"/>
    <n v="34"/>
    <n v="221"/>
    <n v="2"/>
    <n v="0"/>
    <n v="1"/>
    <m/>
    <m/>
    <m/>
    <m/>
    <m/>
    <m/>
    <m/>
    <m/>
    <d v="1979-04-14T00:00:00"/>
    <s v="M"/>
    <s v="B"/>
    <s v="BLACK"/>
    <s v="NULL"/>
    <s v="183"/>
    <s v="CONVICTED"/>
    <n v="9"/>
    <s v="HCJ"/>
    <m/>
    <m/>
    <n v="115"/>
    <s v="SELL/POSS UNLAB/RCRD&lt;65 RCRD"/>
    <m/>
    <s v="F"/>
    <s v="POSS DRUG"/>
    <m/>
    <s v="rev 5/23/12 "/>
    <m/>
    <m/>
    <s v="Y"/>
    <m/>
    <m/>
    <m/>
    <m/>
    <s v="Appointed Attorney"/>
    <m/>
    <m/>
    <n v="34"/>
    <n v="221"/>
    <n v="221"/>
    <n v="32.778688524590166"/>
    <n v="0"/>
    <n v="-219"/>
    <s v="CONVICTION"/>
    <x v="1"/>
    <s v="Y"/>
    <m/>
    <s v="CONVICTION"/>
    <s v="Y"/>
    <x v="0"/>
    <x v="0"/>
    <s v="Y"/>
    <n v="0.15384615384615385"/>
    <n v="9.0497737556561094E-3"/>
    <n v="-0.14479638009049775"/>
    <n v="0"/>
    <n v="-2"/>
    <n v="32"/>
    <n v="221"/>
    <n v="34"/>
    <n v="221"/>
    <n v="219"/>
    <m/>
    <m/>
    <s v="Y"/>
    <m/>
    <s v="31-60 DAYS"/>
    <n v="3"/>
    <x v="0"/>
  </r>
  <r>
    <n v="2579"/>
    <s v="N"/>
    <s v="N"/>
    <n v="2244833"/>
    <n v="6"/>
    <d v="2012-04-06T00:00:00"/>
    <d v="2013-07-08T00:00:00"/>
    <n v="2244833"/>
    <d v="2012-04-06T00:00:00"/>
    <d v="2013-07-08T00:00:00"/>
    <s v="NO BOND"/>
    <x v="1"/>
    <m/>
    <s v="N"/>
    <s v="NONE"/>
    <s v="GUILTY PLEA - NO JURY"/>
    <n v="459"/>
    <n v="459"/>
    <n v="1"/>
    <n v="2"/>
    <m/>
    <m/>
    <m/>
    <m/>
    <m/>
    <m/>
    <m/>
    <m/>
    <m/>
    <d v="1988-09-06T00:00:00"/>
    <s v="M"/>
    <s v="W"/>
    <s v="WHITE"/>
    <s v="NON-HISPANIC"/>
    <s v="337"/>
    <s v="CONVICTED"/>
    <n v="16"/>
    <s v="TDC"/>
    <n v="6"/>
    <m/>
    <m/>
    <s v="AGG ASSAULT-FAMILY MEMBER"/>
    <m/>
    <s v="F2"/>
    <s v="ASLT-MURDR"/>
    <s v="MHH ISSUES"/>
    <m/>
    <m/>
    <m/>
    <m/>
    <m/>
    <m/>
    <m/>
    <m/>
    <s v="Appointed Attorney"/>
    <m/>
    <m/>
    <n v="459"/>
    <n v="459"/>
    <n v="459"/>
    <n v="23.532786885245901"/>
    <n v="0"/>
    <n v="0"/>
    <s v="CONVICTION"/>
    <x v="0"/>
    <s v="N"/>
    <m/>
    <s v="CONVICTION"/>
    <s v="Y"/>
    <x v="0"/>
    <x v="0"/>
    <s v="Y"/>
    <n v="1"/>
    <n v="1"/>
    <n v="0"/>
    <n v="0"/>
    <n v="-459"/>
    <n v="0"/>
    <n v="459"/>
    <e v="#VALUE!"/>
    <n v="459"/>
    <n v="0"/>
    <m/>
    <m/>
    <s v="Y"/>
    <m/>
    <s v=" &gt;1YRS&lt;2YRS"/>
    <n v="0"/>
    <x v="0"/>
  </r>
  <r>
    <n v="2848"/>
    <s v="N"/>
    <s v="N"/>
    <n v="2245929"/>
    <n v="2"/>
    <d v="2012-04-15T00:00:00"/>
    <d v="2012-09-24T00:00:00"/>
    <n v="2245929"/>
    <d v="2012-04-15T00:00:00"/>
    <d v="2012-04-17T00:00:00"/>
    <n v="30000"/>
    <x v="2"/>
    <d v="2012-04-17T00:00:00"/>
    <s v="Y"/>
    <s v="SURETY"/>
    <s v="DEFERRED ADJUDICATION "/>
    <n v="3"/>
    <n v="163"/>
    <n v="0"/>
    <n v="2"/>
    <m/>
    <m/>
    <m/>
    <m/>
    <m/>
    <m/>
    <m/>
    <m/>
    <m/>
    <d v="1989-04-20T00:00:00"/>
    <s v="M"/>
    <s v="H"/>
    <s v="HISPANIC"/>
    <s v="HISPANIC"/>
    <s v="228"/>
    <s v="DEFERRED"/>
    <n v="7"/>
    <s v="DEFERRED"/>
    <m/>
    <m/>
    <m/>
    <s v="AGG ASSAULT W/DEADLY WEAPON"/>
    <m/>
    <s v="F2"/>
    <s v="ASLT-MURDR"/>
    <m/>
    <m/>
    <m/>
    <m/>
    <m/>
    <m/>
    <m/>
    <m/>
    <m/>
    <s v="Hired Attorney"/>
    <m/>
    <m/>
    <n v="3"/>
    <n v="163"/>
    <n v="163"/>
    <n v="22.939890710382514"/>
    <n v="0"/>
    <n v="-160"/>
    <s v="DEFERRED"/>
    <x v="1"/>
    <s v="Y"/>
    <m/>
    <s v="DEFERRED"/>
    <s v="Y"/>
    <x v="1"/>
    <x v="0"/>
    <s v="N"/>
    <n v="1.8404907975460124E-2"/>
    <n v="1.8404907975460124E-2"/>
    <n v="0"/>
    <n v="0"/>
    <n v="-3"/>
    <n v="0"/>
    <n v="3"/>
    <e v="#VALUE!"/>
    <n v="3"/>
    <n v="0"/>
    <m/>
    <m/>
    <s v="Y"/>
    <m/>
    <s v="0-10 DAYS"/>
    <n v="1"/>
    <x v="0"/>
  </r>
  <r>
    <n v="3103"/>
    <s v="N"/>
    <s v="N"/>
    <n v="2246017"/>
    <n v="5"/>
    <d v="2012-04-24T00:00:00"/>
    <d v="2012-05-23T00:00:00"/>
    <n v="2246017"/>
    <d v="2012-04-25T00:00:00"/>
    <d v="2012-05-23T00:00:00"/>
    <n v="2000"/>
    <x v="5"/>
    <m/>
    <s v="N"/>
    <s v="NONE"/>
    <s v="GUILTY PLEA - NO JURY"/>
    <n v="29"/>
    <n v="30"/>
    <n v="2"/>
    <n v="1"/>
    <n v="1"/>
    <m/>
    <m/>
    <m/>
    <m/>
    <m/>
    <m/>
    <m/>
    <m/>
    <d v="1989-07-01T00:00:00"/>
    <s v="M"/>
    <s v="B"/>
    <s v="BLACK"/>
    <s v="NULL"/>
    <s v="337"/>
    <s v="CONVICTED"/>
    <n v="2"/>
    <s v="STJ"/>
    <m/>
    <n v="7"/>
    <m/>
    <s v="THEFT UNDER $1500 - 3RD OFF."/>
    <m/>
    <s v="FS"/>
    <s v="THEFT"/>
    <m/>
    <m/>
    <m/>
    <m/>
    <m/>
    <m/>
    <m/>
    <m/>
    <m/>
    <s v="Public Defender"/>
    <m/>
    <m/>
    <n v="29"/>
    <n v="29"/>
    <n v="30"/>
    <n v="22.76775956284153"/>
    <n v="0"/>
    <n v="0"/>
    <s v="CONVICTION"/>
    <x v="0"/>
    <s v="N"/>
    <m/>
    <s v="CONVICTION"/>
    <s v="Y"/>
    <x v="0"/>
    <x v="0"/>
    <s v="Y"/>
    <n v="0.96666666666666667"/>
    <n v="1"/>
    <n v="3.3333333333333326E-2"/>
    <n v="0"/>
    <n v="-29"/>
    <n v="0"/>
    <n v="29"/>
    <e v="#VALUE!"/>
    <n v="29"/>
    <n v="0"/>
    <m/>
    <m/>
    <s v="Y"/>
    <m/>
    <s v="11-30 DAYS"/>
    <n v="2"/>
    <x v="0"/>
  </r>
  <r>
    <n v="2334"/>
    <s v="N"/>
    <s v="N"/>
    <n v="2247141"/>
    <n v="5"/>
    <d v="2012-03-29T00:00:00"/>
    <d v="2012-07-30T00:00:00"/>
    <n v="2247141"/>
    <d v="2012-03-30T00:00:00"/>
    <d v="2012-05-05T00:00:00"/>
    <n v="40000"/>
    <x v="2"/>
    <d v="2012-05-05T00:00:00"/>
    <s v="Y"/>
    <s v="SURETY"/>
    <s v="GUILTY PLEA - NO JURY"/>
    <n v="37"/>
    <n v="124"/>
    <n v="3"/>
    <n v="4"/>
    <n v="1"/>
    <m/>
    <m/>
    <m/>
    <m/>
    <m/>
    <m/>
    <m/>
    <m/>
    <d v="1988-11-10T00:00:00"/>
    <s v="M"/>
    <s v="H"/>
    <s v="HISPANIC"/>
    <s v="HISPANIC"/>
    <s v="248"/>
    <s v="CONVICTED"/>
    <n v="7"/>
    <s v="STJ"/>
    <m/>
    <n v="6"/>
    <m/>
    <s v="POSS MARIJ  4 OZ. - 5 LBS."/>
    <m/>
    <s v="FS"/>
    <s v="POSS DRUG"/>
    <m/>
    <m/>
    <m/>
    <m/>
    <m/>
    <m/>
    <m/>
    <m/>
    <m/>
    <s v="Hired Attorney"/>
    <m/>
    <m/>
    <n v="37"/>
    <n v="123"/>
    <n v="124"/>
    <n v="23.333333333333332"/>
    <n v="0"/>
    <n v="-86"/>
    <s v="CONVICTION"/>
    <x v="1"/>
    <s v="Y"/>
    <m/>
    <s v="CONVICTION"/>
    <s v="Y"/>
    <x v="1"/>
    <x v="0"/>
    <s v="Y"/>
    <n v="0.29838709677419356"/>
    <n v="0.30081300813008133"/>
    <n v="2.4259113558877665E-3"/>
    <n v="0"/>
    <n v="-37"/>
    <n v="0"/>
    <n v="37"/>
    <e v="#VALUE!"/>
    <n v="37"/>
    <n v="0"/>
    <m/>
    <m/>
    <s v="Y"/>
    <m/>
    <s v="31-60 DAYS"/>
    <n v="3"/>
    <x v="0"/>
  </r>
  <r>
    <n v="1219"/>
    <s v="N"/>
    <s v="N"/>
    <n v="2247273"/>
    <n v="1"/>
    <d v="2012-02-14T00:00:00"/>
    <d v="2012-09-21T00:00:00"/>
    <n v="2247273"/>
    <d v="2012-02-14T00:00:00"/>
    <d v="2012-02-19T00:00:00"/>
    <n v="40000"/>
    <x v="2"/>
    <d v="2012-02-19T00:00:00"/>
    <s v="Y"/>
    <s v="SURETY"/>
    <s v="DISMISSED"/>
    <n v="6"/>
    <n v="221"/>
    <n v="0"/>
    <n v="6"/>
    <m/>
    <m/>
    <m/>
    <m/>
    <m/>
    <m/>
    <m/>
    <m/>
    <m/>
    <d v="1988-04-30T00:00:00"/>
    <s v="M"/>
    <s v="H"/>
    <s v="HISPANIC"/>
    <s v="HISPANIC"/>
    <s v="182"/>
    <s v="DISMISSED"/>
    <n v="9"/>
    <s v="DISMISSED"/>
    <m/>
    <m/>
    <m/>
    <s v="AGG ROBBERY-DEADLY WPN"/>
    <m/>
    <s v="F1"/>
    <s v="ROBBERY"/>
    <s v="9/21/12 fel  evade stj 10 mos"/>
    <m/>
    <m/>
    <m/>
    <m/>
    <m/>
    <m/>
    <m/>
    <m/>
    <s v="Hired Attorney"/>
    <m/>
    <m/>
    <n v="6"/>
    <n v="221"/>
    <n v="221"/>
    <n v="23.743169398907103"/>
    <n v="0"/>
    <n v="-215"/>
    <s v="NO CONVICTION"/>
    <x v="1"/>
    <s v="Y"/>
    <m/>
    <s v="NO CONVICTION"/>
    <s v="Y"/>
    <x v="1"/>
    <x v="0"/>
    <s v="N"/>
    <n v="2.7149321266968326E-2"/>
    <n v="2.7149321266968326E-2"/>
    <n v="0"/>
    <n v="0"/>
    <n v="-6"/>
    <n v="0"/>
    <n v="6"/>
    <e v="#VALUE!"/>
    <n v="6"/>
    <n v="0"/>
    <m/>
    <m/>
    <s v="Y"/>
    <m/>
    <s v="0-10 DAYS"/>
    <n v="1"/>
    <x v="0"/>
  </r>
  <r>
    <n v="2177"/>
    <s v="N"/>
    <s v="N"/>
    <n v="2248335"/>
    <n v="1"/>
    <d v="2012-03-22T00:00:00"/>
    <d v="2012-07-26T00:00:00"/>
    <n v="2248335"/>
    <d v="2012-04-02T00:00:00"/>
    <d v="2012-07-26T00:00:00"/>
    <n v="20000"/>
    <x v="0"/>
    <m/>
    <s v="N"/>
    <s v="NONE"/>
    <s v="DISMISSED"/>
    <n v="116"/>
    <n v="127"/>
    <n v="3"/>
    <n v="0"/>
    <n v="2"/>
    <m/>
    <m/>
    <m/>
    <m/>
    <m/>
    <m/>
    <m/>
    <m/>
    <d v="1988-07-05T00:00:00"/>
    <s v="M"/>
    <s v="B"/>
    <s v="BLACK"/>
    <s v="NON-HISPANIC"/>
    <s v="179"/>
    <s v="DISMISSED"/>
    <n v="7"/>
    <s v="DISMISSED"/>
    <m/>
    <m/>
    <m/>
    <s v="AGG ASSAULT W/DEADLY WEAPON"/>
    <m/>
    <s v="F2"/>
    <s v="ASLT-MURDR"/>
    <m/>
    <m/>
    <m/>
    <m/>
    <m/>
    <m/>
    <m/>
    <m/>
    <m/>
    <s v="Appointed Attorney"/>
    <m/>
    <m/>
    <n v="116"/>
    <n v="116"/>
    <n v="127"/>
    <n v="23.66393442622951"/>
    <n v="0"/>
    <n v="0"/>
    <s v="NO CONVICTION"/>
    <x v="0"/>
    <s v="N"/>
    <m/>
    <s v="NO CONVICTION"/>
    <s v="Y"/>
    <x v="0"/>
    <x v="0"/>
    <s v="Y"/>
    <n v="0.91338582677165359"/>
    <n v="1"/>
    <n v="8.6614173228346414E-2"/>
    <n v="0"/>
    <n v="-116"/>
    <n v="0"/>
    <n v="116"/>
    <e v="#VALUE!"/>
    <n v="116"/>
    <n v="0"/>
    <m/>
    <m/>
    <s v="Y"/>
    <m/>
    <s v="91-120 DAYS"/>
    <n v="0"/>
    <x v="0"/>
  </r>
  <r>
    <n v="79"/>
    <s v="N"/>
    <s v="N"/>
    <n v="2248499"/>
    <n v="1"/>
    <d v="2012-01-04T00:00:00"/>
    <d v="2013-10-08T00:00:00"/>
    <n v="2248499"/>
    <d v="2012-01-10T00:00:00"/>
    <d v="2012-01-11T00:00:00"/>
    <n v="10000"/>
    <x v="3"/>
    <d v="2012-01-11T00:00:00"/>
    <s v="Y"/>
    <s v="SURETY"/>
    <s v="DISMISSED"/>
    <n v="2"/>
    <n v="644"/>
    <n v="0"/>
    <n v="1"/>
    <m/>
    <m/>
    <m/>
    <m/>
    <m/>
    <m/>
    <m/>
    <m/>
    <m/>
    <d v="1987-12-17T00:00:00"/>
    <s v="M"/>
    <s v="B"/>
    <s v="BLACK"/>
    <s v="NULL"/>
    <s v="174"/>
    <s v="NULL"/>
    <n v="18"/>
    <s v="DISMISSED"/>
    <m/>
    <m/>
    <m/>
    <s v="TAMPER GOVT RECORD"/>
    <m/>
    <s v="F2"/>
    <s v="OTHER FEL"/>
    <m/>
    <m/>
    <m/>
    <m/>
    <m/>
    <m/>
    <m/>
    <m/>
    <m/>
    <s v="Hired Attorney"/>
    <m/>
    <m/>
    <n v="2"/>
    <n v="638"/>
    <n v="644"/>
    <n v="24"/>
    <n v="0"/>
    <n v="-636"/>
    <s v="NO CONVICTION"/>
    <x v="1"/>
    <s v="Y"/>
    <m/>
    <s v=""/>
    <s v="Y"/>
    <x v="1"/>
    <x v="0"/>
    <s v="N"/>
    <n v="3.105590062111801E-3"/>
    <n v="3.134796238244514E-3"/>
    <n v="2.9206176132712952E-5"/>
    <n v="0"/>
    <n v="-2"/>
    <n v="0"/>
    <n v="2"/>
    <e v="#VALUE!"/>
    <n v="2"/>
    <n v="0"/>
    <m/>
    <m/>
    <s v="Y"/>
    <m/>
    <s v="0-10 DAYS"/>
    <n v="1"/>
    <x v="0"/>
  </r>
  <r>
    <n v="592"/>
    <s v="N"/>
    <s v="N"/>
    <n v="2248778"/>
    <n v="4"/>
    <d v="2012-01-24T00:00:00"/>
    <d v="2012-06-06T00:00:00"/>
    <n v="2248778"/>
    <d v="2012-02-01T00:00:00"/>
    <d v="2012-02-11T00:00:00"/>
    <n v="15000"/>
    <x v="0"/>
    <d v="2012-02-11T00:00:00"/>
    <s v="Y"/>
    <s v="SURETYPTRc"/>
    <s v="GUILTY PLEA - NO JURY"/>
    <n v="11"/>
    <n v="135"/>
    <n v="4"/>
    <n v="2"/>
    <n v="3"/>
    <m/>
    <m/>
    <m/>
    <m/>
    <m/>
    <m/>
    <m/>
    <m/>
    <d v="1989-01-25T00:00:00"/>
    <s v="M"/>
    <s v="B"/>
    <s v="BLACK"/>
    <s v="NON-HISPANIC"/>
    <s v="185"/>
    <s v="CONVICTED"/>
    <n v="8"/>
    <s v="HCJ"/>
    <m/>
    <m/>
    <n v="180"/>
    <s v="MAN/DEL CS PG I &lt;1GRAM"/>
    <m/>
    <s v="FS"/>
    <s v="SALE DRUG"/>
    <m/>
    <m/>
    <m/>
    <m/>
    <m/>
    <m/>
    <m/>
    <m/>
    <m/>
    <s v="Hired Attorney"/>
    <m/>
    <m/>
    <n v="11"/>
    <n v="127"/>
    <n v="135"/>
    <n v="22.948087431693988"/>
    <n v="0"/>
    <n v="-116"/>
    <s v="CONVICTION"/>
    <x v="1"/>
    <s v="Y"/>
    <m/>
    <s v="CONVICTION"/>
    <s v="Y"/>
    <x v="1"/>
    <x v="0"/>
    <s v="Y"/>
    <n v="8.1481481481481488E-2"/>
    <n v="8.6614173228346455E-2"/>
    <n v="5.1326917468649674E-3"/>
    <n v="0"/>
    <n v="-11"/>
    <n v="0"/>
    <n v="11"/>
    <e v="#VALUE!"/>
    <n v="11"/>
    <n v="0"/>
    <m/>
    <m/>
    <s v="Y"/>
    <m/>
    <s v="11-30 DAYS"/>
    <n v="2"/>
    <x v="0"/>
  </r>
  <r>
    <n v="2521"/>
    <s v="Y"/>
    <s v="N"/>
    <n v="2249106"/>
    <n v="1"/>
    <d v="2012-04-04T00:00:00"/>
    <d v="2012-04-09T00:00:00"/>
    <n v="2249106"/>
    <s v="NOT BOOKED"/>
    <s v="NOT BOOKED"/>
    <s v="NO BOND"/>
    <x v="1"/>
    <m/>
    <s v="NO BOND SET - NON ARREST"/>
    <s v="NONE"/>
    <s v="DISMISSED"/>
    <n v="0"/>
    <n v="6"/>
    <n v="0"/>
    <n v="3"/>
    <m/>
    <m/>
    <m/>
    <m/>
    <m/>
    <m/>
    <m/>
    <m/>
    <m/>
    <d v="1976-09-08T00:00:00"/>
    <s v="M"/>
    <s v="H"/>
    <s v="HISPANIC"/>
    <s v="HISPANIC"/>
    <s v="230"/>
    <s v="DISMISSED"/>
    <n v="1"/>
    <s v="DISMISSED"/>
    <m/>
    <m/>
    <m/>
    <s v="FELON POSS WPN"/>
    <m/>
    <s v="F3"/>
    <s v="OTHER FEL"/>
    <m/>
    <m/>
    <m/>
    <m/>
    <m/>
    <m/>
    <m/>
    <m/>
    <m/>
    <s v="Other/Unknown"/>
    <s v="m p marj 5/22/12 hcj 2 d"/>
    <m/>
    <n v="0"/>
    <n v="0"/>
    <n v="6"/>
    <n v="35.497267759562838"/>
    <e v="#VALUE!"/>
    <e v="#VALUE!"/>
    <s v="NO CONVICTION"/>
    <x v="0"/>
    <s v="N"/>
    <m/>
    <s v="NO CONVICTION"/>
    <n v="0"/>
    <x v="2"/>
    <x v="0"/>
    <s v="N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3188"/>
    <s v="N"/>
    <s v="Y"/>
    <n v="2249235"/>
    <n v="2"/>
    <d v="2012-04-27T00:00:00"/>
    <d v="2013-06-14T00:00:00"/>
    <n v="2249235"/>
    <d v="2012-07-25T00:00:00"/>
    <d v="2012-07-26T00:00:00"/>
    <n v="30000"/>
    <x v="2"/>
    <d v="2012-07-26T00:00:00"/>
    <s v="Y"/>
    <s v="SURETYPTRc"/>
    <s v="DEFERRED ADJUDICATION "/>
    <n v="2"/>
    <n v="414"/>
    <n v="0"/>
    <n v="1"/>
    <m/>
    <m/>
    <m/>
    <m/>
    <m/>
    <m/>
    <m/>
    <m/>
    <m/>
    <d v="1986-09-18T00:00:00"/>
    <s v="F"/>
    <s v="B"/>
    <s v="BLACK"/>
    <s v="NULL"/>
    <s v="337"/>
    <s v="DEFERRED"/>
    <n v="13"/>
    <s v="DEFERRED"/>
    <m/>
    <m/>
    <m/>
    <s v="BURGLARY OF HABITATION"/>
    <m/>
    <s v="F2"/>
    <s v="BURGLARY"/>
    <s v="bk 7/25/12"/>
    <s v="revoke 7/25/12 bd made 7/26/12"/>
    <m/>
    <m/>
    <s v="Y"/>
    <m/>
    <m/>
    <m/>
    <m/>
    <s v="Hired Attorney"/>
    <m/>
    <m/>
    <n v="2"/>
    <n v="325"/>
    <n v="414"/>
    <n v="25.55464480874317"/>
    <n v="0"/>
    <n v="-323"/>
    <s v="DEFERRED"/>
    <x v="1"/>
    <s v="Y"/>
    <m/>
    <s v="DEFERRED"/>
    <s v="Y"/>
    <x v="1"/>
    <x v="0"/>
    <s v="N"/>
    <n v="4.830917874396135E-3"/>
    <n v="6.1538461538461538E-3"/>
    <n v="1.3229282794500188E-3"/>
    <n v="0"/>
    <n v="-2"/>
    <n v="0"/>
    <n v="2"/>
    <n v="2"/>
    <m/>
    <n v="323"/>
    <m/>
    <m/>
    <s v="Y"/>
    <m/>
    <s v="0-10 DAYS"/>
    <n v="1"/>
    <x v="0"/>
  </r>
  <r>
    <n v="794"/>
    <s v="N"/>
    <s v="N"/>
    <n v="2250706"/>
    <n v="6"/>
    <d v="2012-01-31T00:00:00"/>
    <d v="2013-02-08T00:00:00"/>
    <n v="2250706"/>
    <d v="2012-01-31T00:00:00"/>
    <d v="2013-02-08T00:00:00"/>
    <s v="NO BOND"/>
    <x v="1"/>
    <m/>
    <s v="N"/>
    <s v="NONE"/>
    <s v="GUILTY PLEA - NO JURY"/>
    <n v="375"/>
    <n v="375"/>
    <n v="0"/>
    <n v="7"/>
    <m/>
    <m/>
    <m/>
    <m/>
    <m/>
    <m/>
    <m/>
    <m/>
    <m/>
    <d v="1982-12-26T00:00:00"/>
    <s v="M"/>
    <s v="B"/>
    <s v="BLACK"/>
    <s v="NON-HISPANIC"/>
    <s v="263"/>
    <s v="CONVICTED"/>
    <n v="14"/>
    <s v="TDC"/>
    <n v="5"/>
    <m/>
    <m/>
    <s v="AGG ROBBERY-DEADLY WPN"/>
    <m/>
    <s v="F1"/>
    <s v="ROBBERY"/>
    <m/>
    <m/>
    <m/>
    <m/>
    <m/>
    <m/>
    <m/>
    <m/>
    <m/>
    <s v="Hired Attorney"/>
    <m/>
    <m/>
    <n v="375"/>
    <n v="375"/>
    <n v="375"/>
    <n v="29.038251366120218"/>
    <n v="0"/>
    <n v="0"/>
    <s v="CONVICTION"/>
    <x v="0"/>
    <s v="N"/>
    <m/>
    <s v="CONVICTION"/>
    <s v="Y"/>
    <x v="0"/>
    <x v="0"/>
    <s v="N"/>
    <n v="1"/>
    <n v="1"/>
    <n v="0"/>
    <n v="0"/>
    <n v="-375"/>
    <n v="0"/>
    <n v="375"/>
    <e v="#VALUE!"/>
    <n v="375"/>
    <n v="0"/>
    <m/>
    <m/>
    <s v="Y"/>
    <m/>
    <s v=" &gt;1YRS&lt;2YRS"/>
    <n v="0"/>
    <x v="0"/>
  </r>
  <r>
    <n v="2566"/>
    <s v="N"/>
    <s v="N"/>
    <n v="2251883"/>
    <n v="6"/>
    <d v="2012-04-05T00:00:00"/>
    <d v="2013-04-09T00:00:00"/>
    <n v="2251883"/>
    <d v="2012-04-05T00:00:00"/>
    <d v="2013-04-09T00:00:00"/>
    <n v="90000"/>
    <x v="2"/>
    <m/>
    <s v="N"/>
    <s v="NONE"/>
    <s v="GUILTY PLEA - NO JURY"/>
    <n v="370"/>
    <n v="370"/>
    <n v="1"/>
    <n v="0"/>
    <m/>
    <m/>
    <m/>
    <m/>
    <m/>
    <m/>
    <m/>
    <m/>
    <m/>
    <d v="1989-09-01T00:00:00"/>
    <s v="F"/>
    <s v="W"/>
    <s v="WHITE"/>
    <s v="NULL"/>
    <s v="177"/>
    <s v="CONVICTED"/>
    <n v="12"/>
    <s v="TDC"/>
    <n v="11"/>
    <m/>
    <m/>
    <s v="INTOX MANSLAUGHTER W/VEH"/>
    <m/>
    <s v="F2"/>
    <s v="MURD/MANSL"/>
    <m/>
    <m/>
    <m/>
    <m/>
    <m/>
    <m/>
    <m/>
    <m/>
    <m/>
    <s v="Hired Attorney"/>
    <m/>
    <m/>
    <n v="370"/>
    <n v="370"/>
    <n v="370"/>
    <n v="22.546448087431695"/>
    <n v="0"/>
    <n v="0"/>
    <s v="CONVICTION"/>
    <x v="0"/>
    <s v="N"/>
    <m/>
    <s v="CONVICTION"/>
    <s v="Y"/>
    <x v="0"/>
    <x v="0"/>
    <s v="Y"/>
    <n v="1"/>
    <n v="1"/>
    <n v="0"/>
    <n v="0"/>
    <n v="-370"/>
    <n v="0"/>
    <n v="370"/>
    <e v="#VALUE!"/>
    <n v="370"/>
    <n v="0"/>
    <m/>
    <m/>
    <s v="Y"/>
    <m/>
    <s v=" &gt;1YRS&lt;2YRS"/>
    <n v="0"/>
    <x v="0"/>
  </r>
  <r>
    <n v="1712"/>
    <s v="N"/>
    <s v="N"/>
    <n v="2252143"/>
    <n v="5"/>
    <d v="2012-03-04T00:00:00"/>
    <d v="2012-03-27T00:00:00"/>
    <n v="2252143"/>
    <d v="2012-03-04T00:00:00"/>
    <d v="2012-03-27T00:00:00"/>
    <n v="15000"/>
    <x v="0"/>
    <m/>
    <s v="N"/>
    <s v="NONE"/>
    <s v="GUILTY PLEA - NO JURY"/>
    <n v="24"/>
    <n v="24"/>
    <n v="8"/>
    <n v="10"/>
    <n v="4"/>
    <m/>
    <m/>
    <m/>
    <m/>
    <m/>
    <m/>
    <m/>
    <m/>
    <d v="1989-07-21T00:00:00"/>
    <s v="F"/>
    <s v="B"/>
    <s v="BLACK"/>
    <s v="NON-HISPANIC"/>
    <s v="230"/>
    <s v="CONVICTED"/>
    <n v="4"/>
    <s v="STJ"/>
    <m/>
    <n v="12"/>
    <m/>
    <s v="POSS CS PG 1 &lt;1G"/>
    <m/>
    <s v="FS"/>
    <s v="POSS DRUG"/>
    <m/>
    <m/>
    <m/>
    <m/>
    <m/>
    <m/>
    <m/>
    <m/>
    <m/>
    <s v="Appointed Attorney"/>
    <m/>
    <m/>
    <n v="24"/>
    <n v="24"/>
    <n v="24"/>
    <n v="22.57377049180328"/>
    <n v="0"/>
    <n v="0"/>
    <s v="CONVICTION"/>
    <x v="0"/>
    <s v="N"/>
    <m/>
    <s v="CONVICTION"/>
    <s v="Y"/>
    <x v="0"/>
    <x v="0"/>
    <s v="Y"/>
    <n v="1"/>
    <n v="1"/>
    <n v="0"/>
    <n v="0"/>
    <n v="-24"/>
    <n v="0"/>
    <n v="24"/>
    <e v="#VALUE!"/>
    <n v="24"/>
    <n v="0"/>
    <m/>
    <m/>
    <s v="Y"/>
    <m/>
    <s v="11-30 DAYS"/>
    <n v="2"/>
    <x v="0"/>
  </r>
  <r>
    <n v="2585"/>
    <s v="N"/>
    <s v="N"/>
    <n v="2252399"/>
    <n v="2"/>
    <d v="2012-04-06T00:00:00"/>
    <d v="2012-11-12T00:00:00"/>
    <n v="2252399"/>
    <d v="2012-04-06T00:00:00"/>
    <d v="2012-04-08T00:00:00"/>
    <n v="5000"/>
    <x v="4"/>
    <d v="2012-04-08T00:00:00"/>
    <s v="Y"/>
    <s v="SURETY"/>
    <s v="DEFERRED ADJUDICATION "/>
    <n v="3"/>
    <n v="221"/>
    <n v="1"/>
    <n v="2"/>
    <n v="1"/>
    <m/>
    <m/>
    <m/>
    <m/>
    <m/>
    <m/>
    <s v="S"/>
    <m/>
    <d v="1989-09-21T00:00:00"/>
    <s v="F"/>
    <s v="H"/>
    <s v="HISPANIC"/>
    <s v="NULL"/>
    <s v="180"/>
    <s v="DEFERRED"/>
    <n v="10"/>
    <s v="DEFERRED"/>
    <m/>
    <m/>
    <m/>
    <s v="CREDIT/DEBIT CARD ABUSE"/>
    <m/>
    <s v="FS"/>
    <s v="OTHER FEL"/>
    <m/>
    <m/>
    <m/>
    <m/>
    <m/>
    <m/>
    <m/>
    <m/>
    <m/>
    <s v="Hired Attorney"/>
    <m/>
    <m/>
    <n v="3"/>
    <n v="221"/>
    <n v="221"/>
    <n v="22.494535519125684"/>
    <n v="0"/>
    <n v="-218"/>
    <s v="DEFERRED"/>
    <x v="1"/>
    <s v="Y"/>
    <m/>
    <s v="DEFERRED"/>
    <s v="Y"/>
    <x v="1"/>
    <x v="0"/>
    <s v="Y"/>
    <n v="1.3574660633484163E-2"/>
    <n v="1.3574660633484163E-2"/>
    <n v="0"/>
    <n v="0"/>
    <n v="-3"/>
    <n v="0"/>
    <n v="3"/>
    <e v="#VALUE!"/>
    <n v="3"/>
    <n v="0"/>
    <m/>
    <m/>
    <s v="Y"/>
    <m/>
    <s v="0-10 DAYS"/>
    <n v="1"/>
    <x v="0"/>
  </r>
  <r>
    <n v="2284"/>
    <s v="N"/>
    <s v="N"/>
    <n v="2252824"/>
    <n v="2"/>
    <d v="2012-03-27T00:00:00"/>
    <d v="2012-08-17T00:00:00"/>
    <n v="2252824"/>
    <d v="2012-03-28T00:00:00"/>
    <d v="2012-08-17T00:00:00"/>
    <n v="60000"/>
    <x v="2"/>
    <m/>
    <s v="N"/>
    <s v="NONE"/>
    <s v="DEFERRED ADJUDICATION "/>
    <n v="143"/>
    <n v="144"/>
    <n v="0"/>
    <n v="0"/>
    <m/>
    <m/>
    <m/>
    <m/>
    <m/>
    <m/>
    <m/>
    <m/>
    <m/>
    <d v="1988-09-07T00:00:00"/>
    <s v="M"/>
    <s v="B"/>
    <s v="BLACK"/>
    <s v="NULL"/>
    <s v="339"/>
    <s v="DEFERRED"/>
    <n v="7"/>
    <s v="DEFERRED"/>
    <m/>
    <m/>
    <n v="180"/>
    <s v="AGG ROBBERY-DEADLY WPN"/>
    <m/>
    <s v="F1"/>
    <s v="ROBBERY"/>
    <m/>
    <m/>
    <m/>
    <m/>
    <m/>
    <m/>
    <m/>
    <m/>
    <m/>
    <s v="Public Defender"/>
    <m/>
    <m/>
    <n v="143"/>
    <n v="143"/>
    <n v="144"/>
    <n v="23.502732240437158"/>
    <n v="0"/>
    <n v="0"/>
    <s v="DEFERRED"/>
    <x v="0"/>
    <s v="N"/>
    <m/>
    <s v="DEFERRED"/>
    <s v="Y"/>
    <x v="0"/>
    <x v="0"/>
    <s v="N"/>
    <n v="0.99305555555555558"/>
    <n v="1"/>
    <n v="6.9444444444444198E-3"/>
    <n v="0"/>
    <n v="-143"/>
    <n v="0"/>
    <n v="143"/>
    <e v="#VALUE!"/>
    <n v="143"/>
    <n v="0"/>
    <m/>
    <m/>
    <s v="N"/>
    <m/>
    <s v="121-365 DAYS"/>
    <n v="6"/>
    <x v="0"/>
  </r>
  <r>
    <n v="1408"/>
    <s v="N"/>
    <s v="N"/>
    <n v="2253518"/>
    <n v="5"/>
    <d v="2012-02-21T00:00:00"/>
    <d v="2012-06-21T00:00:00"/>
    <n v="2253518"/>
    <d v="2012-02-22T00:00:00"/>
    <d v="2012-02-24T00:00:00"/>
    <n v="15000"/>
    <x v="0"/>
    <d v="2012-02-24T00:00:00"/>
    <s v="Y"/>
    <s v="SURETYPTRc"/>
    <s v="GUILTY PLEA - NO JURY"/>
    <n v="3"/>
    <n v="122"/>
    <n v="4"/>
    <n v="9"/>
    <n v="3"/>
    <m/>
    <m/>
    <m/>
    <m/>
    <m/>
    <m/>
    <m/>
    <m/>
    <d v="1988-06-21T00:00:00"/>
    <s v="M"/>
    <s v="B"/>
    <s v="BLACK"/>
    <s v="NON-HISPANIC"/>
    <s v="185"/>
    <s v="CONVICTED"/>
    <n v="8"/>
    <s v="STJ"/>
    <m/>
    <n v="8"/>
    <m/>
    <s v="DEL MARIJ 1/4 OZ - 5 LBS"/>
    <m/>
    <s v="FS"/>
    <s v="SALE DRUG"/>
    <m/>
    <m/>
    <m/>
    <m/>
    <m/>
    <m/>
    <m/>
    <m/>
    <m/>
    <s v="Hired Attorney"/>
    <m/>
    <m/>
    <n v="3"/>
    <n v="121"/>
    <n v="122"/>
    <n v="23.620218579234972"/>
    <n v="0"/>
    <n v="-118"/>
    <s v="CONVICTION"/>
    <x v="1"/>
    <s v="Y"/>
    <m/>
    <s v="CONVICTION"/>
    <s v="Y"/>
    <x v="1"/>
    <x v="0"/>
    <s v="Y"/>
    <n v="2.4590163934426229E-2"/>
    <n v="2.4793388429752067E-2"/>
    <n v="2.0322449532583775E-4"/>
    <n v="0"/>
    <n v="-3"/>
    <n v="0"/>
    <n v="3"/>
    <e v="#VALUE!"/>
    <n v="3"/>
    <n v="0"/>
    <m/>
    <m/>
    <s v="Y"/>
    <m/>
    <s v="0-10 DAYS"/>
    <n v="1"/>
    <x v="0"/>
  </r>
  <r>
    <n v="3086"/>
    <s v="N"/>
    <s v="N"/>
    <n v="2253601"/>
    <n v="2"/>
    <d v="2012-04-24T00:00:00"/>
    <d v="2012-09-13T00:00:00"/>
    <n v="2253601"/>
    <d v="2012-04-24T00:00:00"/>
    <d v="2012-04-27T00:00:00"/>
    <n v="30000"/>
    <x v="2"/>
    <d v="2012-04-27T00:00:00"/>
    <s v="Y"/>
    <s v="PTRc"/>
    <s v="DEFERRED ADJUDICATION "/>
    <n v="4"/>
    <n v="143"/>
    <n v="0"/>
    <n v="1"/>
    <m/>
    <m/>
    <m/>
    <m/>
    <m/>
    <m/>
    <m/>
    <m/>
    <m/>
    <d v="1989-07-20T00:00:00"/>
    <s v="M"/>
    <s v="H"/>
    <s v="HISPANIC"/>
    <s v="HISPANIC"/>
    <s v="338"/>
    <s v="DEFERRED"/>
    <n v="7"/>
    <s v="DEFERRED"/>
    <m/>
    <m/>
    <m/>
    <s v="AGG ASSAULT-FAMILY MEMBER"/>
    <m/>
    <s v="F2"/>
    <s v="ASLT-MURDR"/>
    <s v="disp9/14/12 viol prot order filed 12/29/11 HCJ 144 d"/>
    <m/>
    <m/>
    <m/>
    <m/>
    <m/>
    <m/>
    <m/>
    <m/>
    <s v="Hired Attorney"/>
    <m/>
    <m/>
    <n v="4"/>
    <n v="143"/>
    <n v="143"/>
    <n v="22.715846994535518"/>
    <n v="0"/>
    <n v="-139"/>
    <s v="DEFERRED"/>
    <x v="2"/>
    <s v="Y"/>
    <m/>
    <s v="DEFERRED"/>
    <s v="Y"/>
    <x v="1"/>
    <x v="0"/>
    <s v="N"/>
    <n v="2.7972027972027972E-2"/>
    <n v="2.7972027972027972E-2"/>
    <n v="0"/>
    <n v="0"/>
    <n v="-4"/>
    <n v="0"/>
    <n v="4"/>
    <e v="#VALUE!"/>
    <n v="4"/>
    <n v="0"/>
    <m/>
    <m/>
    <s v="Y"/>
    <m/>
    <s v="0-10 DAYS"/>
    <n v="1"/>
    <x v="0"/>
  </r>
  <r>
    <n v="530"/>
    <s v="N"/>
    <s v="N"/>
    <n v="2253608"/>
    <n v="4"/>
    <d v="2012-01-21T00:00:00"/>
    <d v="2012-03-16T00:00:00"/>
    <n v="2253608"/>
    <d v="2012-01-22T00:00:00"/>
    <d v="2012-03-16T00:00:00"/>
    <n v="5000"/>
    <x v="4"/>
    <m/>
    <s v="N"/>
    <s v="NONE"/>
    <s v="GUILTY PLEA - NO JURY"/>
    <n v="55"/>
    <n v="56"/>
    <n v="2"/>
    <n v="7"/>
    <m/>
    <m/>
    <m/>
    <m/>
    <m/>
    <m/>
    <m/>
    <m/>
    <m/>
    <d v="1973-06-14T00:00:00"/>
    <s v="M"/>
    <s v="B"/>
    <s v="BLACK"/>
    <s v="NON-HISPANIC"/>
    <s v="208"/>
    <s v="CONVICTED"/>
    <n v="5"/>
    <s v="HCJ"/>
    <m/>
    <m/>
    <n v="180"/>
    <s v="THEFT UNDER $1500 - 3RD OFF."/>
    <m/>
    <s v="FS"/>
    <s v="THEFT"/>
    <m/>
    <m/>
    <m/>
    <m/>
    <m/>
    <m/>
    <m/>
    <m/>
    <m/>
    <s v="Appointed Attorney"/>
    <m/>
    <m/>
    <n v="55"/>
    <n v="55"/>
    <n v="56"/>
    <n v="38.524590163934427"/>
    <n v="0"/>
    <n v="0"/>
    <s v="CONVICTION"/>
    <x v="0"/>
    <s v="N"/>
    <m/>
    <s v="CONVICTION"/>
    <s v="Y"/>
    <x v="0"/>
    <x v="0"/>
    <s v="Y"/>
    <n v="0.9821428571428571"/>
    <n v="1"/>
    <n v="1.7857142857142905E-2"/>
    <n v="0"/>
    <n v="-55"/>
    <n v="0"/>
    <n v="55"/>
    <e v="#VALUE!"/>
    <n v="55"/>
    <n v="0"/>
    <m/>
    <m/>
    <s v="Y"/>
    <m/>
    <s v="31-60 DAYS"/>
    <n v="3"/>
    <x v="0"/>
  </r>
  <r>
    <n v="704"/>
    <s v="N"/>
    <s v="Y"/>
    <n v="2254378"/>
    <n v="6"/>
    <d v="2011-11-05T00:00:00"/>
    <d v="2012-09-24T00:00:00"/>
    <n v="2254378"/>
    <d v="2011-11-05T00:00:00"/>
    <d v="2011-12-19T00:00:00"/>
    <n v="5000"/>
    <x v="4"/>
    <d v="2011-12-19T00:00:00"/>
    <s v="Y"/>
    <s v="SURETY"/>
    <s v="DEFENDANT CONVICTED ON ANOTHER CHARGE"/>
    <n v="281"/>
    <n v="325"/>
    <n v="1"/>
    <n v="7"/>
    <m/>
    <m/>
    <m/>
    <m/>
    <m/>
    <m/>
    <m/>
    <m/>
    <m/>
    <d v="1988-01-20T00:00:00"/>
    <s v="M"/>
    <s v="W"/>
    <s v="WHITE"/>
    <s v="NULL"/>
    <s v="185"/>
    <s v="CONVICTED"/>
    <n v="12"/>
    <s v="TDC"/>
    <n v="2"/>
    <m/>
    <m/>
    <s v="DWI 3RD OFFENDER BAC .08"/>
    <m/>
    <s v="F3"/>
    <s v="FEL DWI"/>
    <m/>
    <s v="srr 1/30/12"/>
    <m/>
    <m/>
    <s v="Y"/>
    <m/>
    <m/>
    <m/>
    <m/>
    <s v="Hired Attorney"/>
    <m/>
    <m/>
    <n v="281"/>
    <n v="325"/>
    <n v="325"/>
    <n v="23.743169398907103"/>
    <n v="0"/>
    <n v="-280"/>
    <s v="CONVICTION"/>
    <x v="1"/>
    <s v="Y"/>
    <m/>
    <s v="CONVICTION"/>
    <s v="Y"/>
    <x v="0"/>
    <x v="0"/>
    <s v="Y"/>
    <n v="0.86461538461538456"/>
    <n v="0.13846153846153847"/>
    <n v="-0.72615384615384615"/>
    <n v="0"/>
    <n v="-45"/>
    <n v="236"/>
    <n v="325"/>
    <n v="281"/>
    <n v="325"/>
    <n v="280"/>
    <m/>
    <m/>
    <s v="Y"/>
    <m/>
    <s v="121-365 DAYS"/>
    <n v="6"/>
    <x v="0"/>
  </r>
  <r>
    <n v="1437"/>
    <s v="N"/>
    <s v="N"/>
    <n v="2255204"/>
    <n v="2"/>
    <d v="2012-02-22T00:00:00"/>
    <d v="2012-05-23T00:00:00"/>
    <n v="2255204"/>
    <s v="NOT BOOKED"/>
    <s v="NOT BOOKED"/>
    <n v="5000"/>
    <x v="4"/>
    <d v="2012-02-24T00:00:00"/>
    <s v="Y"/>
    <s v="SURETY"/>
    <s v="DEFERRED ADJUDICATION "/>
    <n v="0"/>
    <n v="92"/>
    <n v="1"/>
    <n v="1"/>
    <m/>
    <m/>
    <m/>
    <m/>
    <m/>
    <m/>
    <m/>
    <s v="S"/>
    <m/>
    <d v="1988-07-27T00:00:00"/>
    <s v="M"/>
    <s v="H"/>
    <s v="HISPANIC"/>
    <s v="NULL"/>
    <s v="176"/>
    <s v="DEFERRED"/>
    <n v="4"/>
    <s v="DEFERR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92"/>
    <n v="23.524590163934427"/>
    <e v="#VALUE!"/>
    <e v="#VALUE!"/>
    <s v="DEFERRED"/>
    <x v="1"/>
    <s v="Y"/>
    <m/>
    <s v="DEFERRED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3007"/>
    <s v="N"/>
    <s v="N"/>
    <n v="2256621"/>
    <n v="1"/>
    <d v="2012-04-20T00:00:00"/>
    <d v="2012-06-11T00:00:00"/>
    <n v="2256621"/>
    <d v="2012-04-21T00:00:00"/>
    <d v="2012-06-11T00:00:00"/>
    <n v="10000"/>
    <x v="3"/>
    <m/>
    <s v="N"/>
    <s v="NONE"/>
    <s v="DISMISSED"/>
    <n v="52"/>
    <n v="53"/>
    <n v="0"/>
    <n v="0"/>
    <n v="1"/>
    <m/>
    <m/>
    <m/>
    <m/>
    <m/>
    <m/>
    <m/>
    <m/>
    <d v="1980-09-17T00:00:00"/>
    <s v="F"/>
    <s v="W"/>
    <s v="WHITE"/>
    <s v="NULL"/>
    <s v="176"/>
    <s v="DISMISSED"/>
    <n v="4"/>
    <s v="DISMISSED"/>
    <m/>
    <m/>
    <m/>
    <s v="POSS CS PG 1 4G - 200G"/>
    <m/>
    <s v="F2"/>
    <s v="POSS DRUG"/>
    <m/>
    <m/>
    <m/>
    <m/>
    <m/>
    <m/>
    <m/>
    <m/>
    <m/>
    <s v="Appointed Attorney"/>
    <m/>
    <m/>
    <n v="52"/>
    <n v="52"/>
    <n v="53"/>
    <n v="31.524590163934427"/>
    <n v="0"/>
    <n v="0"/>
    <s v="NO CONVICTION"/>
    <x v="0"/>
    <s v="N"/>
    <m/>
    <s v="NO CONVICTION"/>
    <s v="Y"/>
    <x v="0"/>
    <x v="0"/>
    <s v="N"/>
    <n v="0.98113207547169812"/>
    <n v="1"/>
    <n v="1.8867924528301883E-2"/>
    <n v="0"/>
    <n v="-52"/>
    <n v="0"/>
    <n v="52"/>
    <e v="#VALUE!"/>
    <n v="52"/>
    <n v="0"/>
    <m/>
    <m/>
    <s v="Y"/>
    <m/>
    <s v="31-60 DAYS"/>
    <n v="3"/>
    <x v="0"/>
  </r>
  <r>
    <n v="665"/>
    <s v="N"/>
    <s v="N"/>
    <n v="2256733"/>
    <n v="5"/>
    <d v="2012-01-27T00:00:00"/>
    <d v="2012-06-20T00:00:00"/>
    <n v="2256733"/>
    <d v="2012-01-27T00:00:00"/>
    <d v="2012-06-20T00:00:00"/>
    <n v="15000"/>
    <x v="0"/>
    <m/>
    <s v="N"/>
    <s v="NONE"/>
    <s v="GUILTY PLEA - NO JURY"/>
    <n v="146"/>
    <n v="146"/>
    <n v="1"/>
    <n v="3"/>
    <m/>
    <m/>
    <m/>
    <m/>
    <m/>
    <m/>
    <m/>
    <s v="S"/>
    <m/>
    <d v="1988-11-13T00:00:00"/>
    <s v="M"/>
    <s v="H"/>
    <s v="HISPANIC"/>
    <s v="NULL"/>
    <s v="351"/>
    <s v="CONVICTED"/>
    <n v="7"/>
    <s v="STJ"/>
    <m/>
    <n v="7"/>
    <m/>
    <s v="THEFT $1500-20K"/>
    <m/>
    <s v="FS"/>
    <s v="THEFT"/>
    <m/>
    <m/>
    <m/>
    <m/>
    <m/>
    <m/>
    <m/>
    <m/>
    <m/>
    <s v="Hired Attorney"/>
    <m/>
    <m/>
    <n v="146"/>
    <n v="146"/>
    <n v="146"/>
    <n v="23.155737704918032"/>
    <n v="0"/>
    <n v="0"/>
    <s v="CONVICTION"/>
    <x v="0"/>
    <s v="N"/>
    <m/>
    <s v="CONVICTION"/>
    <s v="Y"/>
    <x v="0"/>
    <x v="0"/>
    <s v="Y"/>
    <n v="1"/>
    <n v="1"/>
    <n v="0"/>
    <n v="0"/>
    <n v="-146"/>
    <n v="0"/>
    <n v="146"/>
    <e v="#VALUE!"/>
    <n v="146"/>
    <n v="0"/>
    <m/>
    <m/>
    <s v="Y"/>
    <m/>
    <s v="121-365 DAYS"/>
    <n v="6"/>
    <x v="0"/>
  </r>
  <r>
    <n v="1582"/>
    <s v="N"/>
    <s v="Y"/>
    <n v="2257414"/>
    <n v="6"/>
    <d v="2012-02-28T00:00:00"/>
    <d v="2014-05-01T00:00:00"/>
    <n v="2257414"/>
    <d v="2012-02-29T00:00:00"/>
    <d v="2013-02-17T00:00:00"/>
    <n v="40000"/>
    <x v="2"/>
    <d v="2013-02-17T00:00:00"/>
    <s v="Y"/>
    <s v="SURETY"/>
    <s v="GUILTY PLEA - NO JURY"/>
    <n v="211"/>
    <n v="794"/>
    <n v="1"/>
    <n v="5"/>
    <n v="1"/>
    <m/>
    <m/>
    <m/>
    <m/>
    <m/>
    <m/>
    <m/>
    <m/>
    <d v="1989-08-30T00:00:00"/>
    <s v="M"/>
    <s v="B"/>
    <s v="BLACK"/>
    <s v="NULL"/>
    <s v="174"/>
    <s v="CONVICTED"/>
    <n v="25"/>
    <s v="TDC"/>
    <n v="20"/>
    <m/>
    <m/>
    <s v="AGG ROBBERY-DEADLY WPN"/>
    <m/>
    <s v="F1"/>
    <s v="ROBBERY"/>
    <s v="BK 10/2/13 RECAL"/>
    <m/>
    <s v="Y"/>
    <d v="2013-08-29T00:00:00"/>
    <m/>
    <m/>
    <m/>
    <s v="(2)10/28/2013"/>
    <n v="816"/>
    <s v="Appointed Attorney"/>
    <m/>
    <m/>
    <n v="211"/>
    <n v="793"/>
    <n v="794"/>
    <n v="22.450819672131146"/>
    <n v="0"/>
    <n v="-438"/>
    <s v="CONVICTION"/>
    <x v="1"/>
    <s v="N"/>
    <m/>
    <s v="CONVICTION"/>
    <s v="Y"/>
    <x v="0"/>
    <x v="0"/>
    <s v="Y"/>
    <n v="0.26574307304785894"/>
    <n v="0.26569999999999999"/>
    <n v="0"/>
    <n v="0"/>
    <n v="-355"/>
    <n v="-144"/>
    <n v="793"/>
    <e v="#VALUE!"/>
    <n v="211"/>
    <m/>
    <m/>
    <m/>
    <s v="Y"/>
    <e v="#N/A"/>
    <s v="121-365 DAYS"/>
    <n v="6"/>
    <x v="0"/>
  </r>
  <r>
    <n v="1676"/>
    <s v="N"/>
    <s v="N"/>
    <n v="2257577"/>
    <n v="6"/>
    <d v="2012-03-02T00:00:00"/>
    <d v="2012-06-19T00:00:00"/>
    <n v="2257577"/>
    <d v="2012-03-03T00:00:00"/>
    <d v="2012-06-19T00:00:00"/>
    <s v="NO BOND"/>
    <x v="1"/>
    <m/>
    <s v="N"/>
    <s v="NONE"/>
    <s v="GUILTY PLEA - NO JURY"/>
    <n v="109"/>
    <n v="110"/>
    <n v="7"/>
    <n v="2"/>
    <n v="1"/>
    <m/>
    <m/>
    <m/>
    <m/>
    <m/>
    <m/>
    <m/>
    <m/>
    <d v="1962-07-06T00:00:00"/>
    <s v="M"/>
    <s v="B"/>
    <s v="BLACK"/>
    <s v="NULL"/>
    <s v="174"/>
    <s v="CONVICTED"/>
    <n v="4"/>
    <s v="TDC"/>
    <n v="3"/>
    <m/>
    <m/>
    <s v="POSS CS PG 1 &lt;1G"/>
    <m/>
    <s v="FS"/>
    <s v="POSS DRUG"/>
    <m/>
    <m/>
    <m/>
    <m/>
    <m/>
    <m/>
    <m/>
    <m/>
    <m/>
    <s v="Appointed Attorney"/>
    <m/>
    <m/>
    <n v="109"/>
    <n v="109"/>
    <n v="110"/>
    <n v="49.55464480874317"/>
    <n v="0"/>
    <n v="0"/>
    <s v="CONVICTION"/>
    <x v="0"/>
    <s v="N"/>
    <m/>
    <s v="CONVICTION"/>
    <s v="Y"/>
    <x v="0"/>
    <x v="0"/>
    <s v="Y"/>
    <n v="0.99090909090909096"/>
    <n v="1"/>
    <n v="9.0909090909090384E-3"/>
    <n v="0"/>
    <n v="-109"/>
    <n v="0"/>
    <n v="109"/>
    <e v="#VALUE!"/>
    <n v="109"/>
    <n v="0"/>
    <m/>
    <m/>
    <s v="Y"/>
    <m/>
    <s v="91-120 DAYS"/>
    <n v="0"/>
    <x v="0"/>
  </r>
  <r>
    <n v="1966"/>
    <s v="N"/>
    <s v="N"/>
    <n v="2257670"/>
    <n v="6"/>
    <d v="2012-03-14T00:00:00"/>
    <d v="2012-07-26T00:00:00"/>
    <n v="2257670"/>
    <d v="2012-03-15T00:00:00"/>
    <d v="2012-07-26T00:00:00"/>
    <s v="NO BOND"/>
    <x v="1"/>
    <m/>
    <s v="N"/>
    <s v="NONE"/>
    <s v="GUILTY PLEA - NO JURY"/>
    <n v="134"/>
    <n v="135"/>
    <n v="2"/>
    <n v="0"/>
    <n v="1"/>
    <n v="1"/>
    <m/>
    <m/>
    <m/>
    <m/>
    <m/>
    <m/>
    <m/>
    <d v="1987-11-30T00:00:00"/>
    <s v="M"/>
    <s v="B"/>
    <s v="BLACK"/>
    <s v="NULL"/>
    <s v="185"/>
    <s v="CONVICTED"/>
    <n v="7"/>
    <s v="TDC"/>
    <n v="5"/>
    <m/>
    <m/>
    <s v="POSS W/INT DEL CS PG1&gt;=4 &lt;200"/>
    <m/>
    <s v="F1"/>
    <s v="SALE DRUG"/>
    <m/>
    <m/>
    <m/>
    <m/>
    <m/>
    <m/>
    <m/>
    <m/>
    <m/>
    <s v="Hired Attorney"/>
    <m/>
    <m/>
    <n v="134"/>
    <n v="134"/>
    <n v="135"/>
    <n v="24.237704918032787"/>
    <n v="0"/>
    <n v="0"/>
    <s v="CONVICTION"/>
    <x v="0"/>
    <s v="N"/>
    <m/>
    <s v="CONVICTION"/>
    <s v="Y"/>
    <x v="0"/>
    <x v="0"/>
    <s v="Y"/>
    <n v="0.99259259259259258"/>
    <n v="1"/>
    <n v="7.4074074074074181E-3"/>
    <n v="0"/>
    <n v="-134"/>
    <n v="0"/>
    <n v="134"/>
    <e v="#VALUE!"/>
    <n v="134"/>
    <n v="0"/>
    <m/>
    <m/>
    <s v="Y"/>
    <m/>
    <s v="121-365 DAYS"/>
    <n v="6"/>
    <x v="0"/>
  </r>
  <r>
    <n v="1489"/>
    <s v="Y"/>
    <s v="N"/>
    <n v="2257819"/>
    <n v="5"/>
    <d v="2012-02-24T00:00:00"/>
    <d v="2014-08-21T00:00:00"/>
    <n v="2257819"/>
    <d v="2012-02-24T00:00:00"/>
    <d v="2012-09-06T00:00:00"/>
    <n v="15000"/>
    <x v="0"/>
    <d v="2012-09-06T00:00:00"/>
    <s v="Y"/>
    <s v="PTR"/>
    <s v="GUILTY PLEA - NO JURY"/>
    <n v="903"/>
    <n v="910"/>
    <n v="3"/>
    <n v="15"/>
    <n v="1"/>
    <m/>
    <m/>
    <m/>
    <m/>
    <m/>
    <m/>
    <m/>
    <m/>
    <d v="1965-09-28T00:00:00"/>
    <s v="M"/>
    <s v="W"/>
    <s v="WHITE"/>
    <s v="NON-HISPANIC"/>
    <s v="351"/>
    <s v="CONVICTED"/>
    <n v="18"/>
    <s v="STJ"/>
    <m/>
    <n v="6"/>
    <m/>
    <s v="THEFT UNDER $1500 - 3RD OFF."/>
    <m/>
    <s v="FS"/>
    <s v="THEFT"/>
    <s v="DE.COMP TO STAND  hassled "/>
    <s v="9/13/2012 for comp hearing"/>
    <m/>
    <m/>
    <m/>
    <m/>
    <m/>
    <m/>
    <m/>
    <s v="Appointed Attorney"/>
    <s v="2 tress homeless 80/40 days fel teft 6mos"/>
    <s v="1/28/15 tress incom jail"/>
    <n v="903"/>
    <n v="910"/>
    <n v="910"/>
    <n v="46.311475409836063"/>
    <n v="0"/>
    <n v="-714"/>
    <s v="CONVICTION"/>
    <x v="2"/>
    <s v="Y"/>
    <m/>
    <s v="CONVICTION"/>
    <s v="Y"/>
    <x v="0"/>
    <x v="0"/>
    <s v="Y"/>
    <n v="0.99229999999999996"/>
    <n v="0.99229999999999996"/>
    <n v="0"/>
    <n v="0"/>
    <n v="-196"/>
    <n v="707"/>
    <n v="910"/>
    <e v="#VALUE!"/>
    <n v="903"/>
    <m/>
    <m/>
    <m/>
    <s v="Y"/>
    <e v="#N/A"/>
    <s v="&gt;2YRS&lt;3YRS"/>
    <n v="8"/>
    <x v="0"/>
  </r>
  <r>
    <n v="3024"/>
    <s v="N"/>
    <s v="Y"/>
    <n v="2258254"/>
    <n v="5"/>
    <d v="2012-04-21T00:00:00"/>
    <d v="2012-08-29T00:00:00"/>
    <n v="2258254"/>
    <d v="2012-07-09T00:00:00"/>
    <d v="2012-08-29T00:00:00"/>
    <n v="2000"/>
    <x v="5"/>
    <d v="2012-04-22T00:00:00"/>
    <s v="Y"/>
    <s v="SURETY"/>
    <s v="GUILTY PLEA - NO JURY"/>
    <n v="51"/>
    <n v="131"/>
    <n v="1"/>
    <n v="1"/>
    <m/>
    <n v="1"/>
    <m/>
    <m/>
    <m/>
    <m/>
    <m/>
    <m/>
    <m/>
    <d v="1988-04-04T00:00:00"/>
    <s v="M"/>
    <s v="W"/>
    <s v="WHITE"/>
    <s v="NULL"/>
    <s v="209"/>
    <s v="CONVICTED"/>
    <n v="6"/>
    <s v="STJ"/>
    <m/>
    <n v="6"/>
    <m/>
    <s v="THEFT $1500-20K"/>
    <m/>
    <s v="FS"/>
    <s v="THEFT"/>
    <s v="misd theft 7/11/12 hcj 45 da    revoked 7/9/12 "/>
    <s v="revoked 7/9/12 "/>
    <m/>
    <m/>
    <s v="Y"/>
    <m/>
    <m/>
    <m/>
    <m/>
    <s v="Hired Attorney"/>
    <m/>
    <m/>
    <n v="51"/>
    <n v="51"/>
    <n v="131"/>
    <n v="23.997267759562842"/>
    <n v="0"/>
    <n v="0"/>
    <s v="CONVICTION"/>
    <x v="1"/>
    <s v="Y"/>
    <m/>
    <s v="CONVICTION"/>
    <s v="Y"/>
    <x v="0"/>
    <x v="0"/>
    <s v="Y"/>
    <n v="0.38931297709923662"/>
    <n v="1"/>
    <n v="0.61068702290076338"/>
    <n v="0"/>
    <n v="-52"/>
    <n v="-1"/>
    <n v="52"/>
    <n v="51"/>
    <n v="52"/>
    <n v="0"/>
    <m/>
    <m/>
    <s v="Y"/>
    <m/>
    <s v="31-60 DAYS"/>
    <n v="3"/>
    <x v="0"/>
  </r>
  <r>
    <n v="1695"/>
    <s v="N"/>
    <s v="N"/>
    <n v="2258479"/>
    <n v="3"/>
    <d v="2012-03-03T00:00:00"/>
    <d v="2012-10-26T00:00:00"/>
    <n v="2258479"/>
    <d v="2012-03-04T00:00:00"/>
    <d v="2012-03-05T00:00:00"/>
    <n v="10000"/>
    <x v="3"/>
    <d v="2012-03-05T00:00:00"/>
    <s v="Y"/>
    <s v="SURETY"/>
    <s v="GUILTY PLEA - NO JURY"/>
    <n v="2"/>
    <n v="238"/>
    <n v="1"/>
    <n v="2"/>
    <m/>
    <n v="1"/>
    <m/>
    <m/>
    <m/>
    <m/>
    <m/>
    <m/>
    <m/>
    <d v="1988-10-31T00:00:00"/>
    <s v="M"/>
    <s v="B"/>
    <s v="BLACK"/>
    <s v="NON-HISPANIC"/>
    <s v="263"/>
    <s v="CONVICTED"/>
    <n v="12"/>
    <s v="PROBATION"/>
    <m/>
    <m/>
    <m/>
    <s v="POSS CS PG 1  1 - 4 GRAMS"/>
    <m/>
    <s v="F3"/>
    <s v="POSS DRUG"/>
    <s v="misd theft 2/5/13 hcj 4 d"/>
    <m/>
    <m/>
    <m/>
    <m/>
    <m/>
    <m/>
    <m/>
    <m/>
    <s v="Hired Attorney"/>
    <m/>
    <m/>
    <n v="2"/>
    <n v="237"/>
    <n v="238"/>
    <n v="23.289617486338798"/>
    <n v="0"/>
    <n v="-235"/>
    <s v="CONVICTION"/>
    <x v="1"/>
    <s v="Y"/>
    <m/>
    <s v="CONVICTION"/>
    <s v="Y"/>
    <x v="1"/>
    <x v="0"/>
    <s v="Y"/>
    <n v="8.4033613445378148E-3"/>
    <n v="8.4388185654008432E-3"/>
    <n v="3.545722086302841E-5"/>
    <n v="0"/>
    <n v="-2"/>
    <n v="0"/>
    <n v="2"/>
    <e v="#VALUE!"/>
    <n v="2"/>
    <n v="0"/>
    <m/>
    <m/>
    <s v="Y"/>
    <m/>
    <s v="0-10 DAYS"/>
    <n v="1"/>
    <x v="0"/>
  </r>
  <r>
    <n v="2676"/>
    <s v="N"/>
    <s v="N"/>
    <n v="2259949"/>
    <n v="6"/>
    <d v="2012-04-09T00:00:00"/>
    <d v="2012-07-23T00:00:00"/>
    <n v="2259949"/>
    <d v="2012-04-10T00:00:00"/>
    <d v="2012-07-23T00:00:00"/>
    <n v="80000"/>
    <x v="2"/>
    <m/>
    <s v="N"/>
    <s v="NONE"/>
    <s v="GUILTY PLEA - NO JURY"/>
    <n v="105"/>
    <n v="106"/>
    <n v="0"/>
    <n v="1"/>
    <m/>
    <m/>
    <m/>
    <m/>
    <m/>
    <m/>
    <m/>
    <m/>
    <m/>
    <d v="1982-08-02T00:00:00"/>
    <s v="M"/>
    <s v="H"/>
    <s v="HISPANIC"/>
    <s v="HISPANIC"/>
    <s v="230"/>
    <s v="CONVICTED"/>
    <n v="7"/>
    <s v="TDC"/>
    <n v="10"/>
    <m/>
    <m/>
    <s v="INTOX MANSLAUGHTER W/VEH"/>
    <m/>
    <s v="F2"/>
    <s v="MURD/MANSL"/>
    <m/>
    <m/>
    <m/>
    <m/>
    <m/>
    <m/>
    <m/>
    <m/>
    <m/>
    <s v="Appointed Attorney"/>
    <m/>
    <m/>
    <n v="105"/>
    <n v="105"/>
    <n v="106"/>
    <n v="29.625683060109289"/>
    <n v="0"/>
    <n v="0"/>
    <s v="CONVICTION"/>
    <x v="0"/>
    <s v="N"/>
    <m/>
    <s v="CONVICTION"/>
    <s v="Y"/>
    <x v="0"/>
    <x v="0"/>
    <s v="N"/>
    <n v="0.99056603773584906"/>
    <n v="1"/>
    <n v="9.4339622641509413E-3"/>
    <n v="0"/>
    <n v="-105"/>
    <n v="0"/>
    <n v="105"/>
    <e v="#VALUE!"/>
    <n v="105"/>
    <n v="0"/>
    <m/>
    <m/>
    <s v="Y"/>
    <m/>
    <s v="91-120 DAYS"/>
    <n v="0"/>
    <x v="0"/>
  </r>
  <r>
    <n v="2693"/>
    <s v="N"/>
    <s v="N"/>
    <n v="2260019"/>
    <n v="1"/>
    <d v="2012-04-10T00:00:00"/>
    <d v="2012-04-12T00:00:00"/>
    <n v="2260019"/>
    <d v="2012-04-10T00:00:00"/>
    <d v="2012-04-12T00:00:00"/>
    <n v="2000"/>
    <x v="5"/>
    <m/>
    <s v="N"/>
    <s v="NONE"/>
    <s v="DISMISSED"/>
    <n v="3"/>
    <n v="3"/>
    <n v="0"/>
    <n v="1"/>
    <m/>
    <m/>
    <m/>
    <m/>
    <m/>
    <m/>
    <m/>
    <m/>
    <m/>
    <d v="1959-08-07T00:00:00"/>
    <s v="M"/>
    <s v="B"/>
    <s v="BLACK"/>
    <s v="NULL"/>
    <s v="183"/>
    <s v="DISMISSED"/>
    <n v="2"/>
    <s v="DISMISSED"/>
    <m/>
    <m/>
    <m/>
    <s v="POSS CS PG 1 &lt;1G"/>
    <m/>
    <s v="FS"/>
    <s v="POSS DRUG"/>
    <m/>
    <m/>
    <m/>
    <m/>
    <m/>
    <m/>
    <m/>
    <m/>
    <m/>
    <s v="Other/Unknown"/>
    <m/>
    <m/>
    <n v="3"/>
    <n v="3"/>
    <n v="3"/>
    <n v="52.568306010928964"/>
    <n v="0"/>
    <n v="0"/>
    <s v="NO CONVICTION"/>
    <x v="0"/>
    <s v="N"/>
    <m/>
    <s v="NO CONVICTION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983"/>
    <s v="N"/>
    <s v="N"/>
    <n v="2262186"/>
    <n v="4"/>
    <d v="2012-04-19T00:00:00"/>
    <d v="2012-06-27T00:00:00"/>
    <n v="2262186"/>
    <d v="2012-04-20T00:00:00"/>
    <d v="2012-06-27T00:00:00"/>
    <n v="15000"/>
    <x v="0"/>
    <m/>
    <s v="N"/>
    <s v="NONE"/>
    <s v="GUILTY PLEA - NO JURY"/>
    <n v="69"/>
    <n v="70"/>
    <n v="1"/>
    <n v="0"/>
    <n v="1"/>
    <m/>
    <m/>
    <m/>
    <m/>
    <m/>
    <m/>
    <m/>
    <m/>
    <d v="1954-02-07T00:00:00"/>
    <s v="M"/>
    <s v="B"/>
    <s v="BLACK"/>
    <s v="NULL"/>
    <s v="176"/>
    <s v="CONVICTED"/>
    <n v="3"/>
    <s v="HCJ"/>
    <m/>
    <m/>
    <n v="120"/>
    <s v="POSS CS PG 1 &lt;1G"/>
    <m/>
    <s v="FS"/>
    <s v="POSS DRUG"/>
    <m/>
    <m/>
    <m/>
    <m/>
    <m/>
    <m/>
    <m/>
    <m/>
    <m/>
    <s v="Appointed Attorney"/>
    <m/>
    <m/>
    <n v="69"/>
    <n v="69"/>
    <n v="70"/>
    <n v="58.076502732240435"/>
    <n v="0"/>
    <n v="0"/>
    <s v="CONVICTION"/>
    <x v="0"/>
    <s v="N"/>
    <m/>
    <s v="CONVICTION"/>
    <s v="Y"/>
    <x v="0"/>
    <x v="0"/>
    <s v="Y"/>
    <n v="0.98571428571428577"/>
    <n v="1"/>
    <n v="1.4285714285714235E-2"/>
    <n v="0"/>
    <n v="-69"/>
    <n v="0"/>
    <n v="69"/>
    <e v="#VALUE!"/>
    <n v="69"/>
    <n v="0"/>
    <m/>
    <m/>
    <s v="Y"/>
    <m/>
    <s v="61-90 DAYS"/>
    <n v="4"/>
    <x v="0"/>
  </r>
  <r>
    <n v="527"/>
    <s v="N"/>
    <s v="N"/>
    <n v="2262626"/>
    <n v="3"/>
    <d v="2012-01-21T00:00:00"/>
    <d v="2012-05-31T00:00:00"/>
    <n v="2262626"/>
    <s v="NOT BOOKED"/>
    <s v="NOT BOOKED"/>
    <n v="10000"/>
    <x v="3"/>
    <d v="2012-01-22T00:00:00"/>
    <s v="Y"/>
    <s v="SURETY"/>
    <s v="GUILTY PLEA - NO JURY"/>
    <n v="0"/>
    <n v="132"/>
    <n v="0"/>
    <n v="2"/>
    <m/>
    <m/>
    <m/>
    <m/>
    <m/>
    <m/>
    <m/>
    <m/>
    <m/>
    <d v="1983-07-23T00:00:00"/>
    <s v="M"/>
    <s v="H"/>
    <s v="HISPANIC"/>
    <s v="HISPANIC"/>
    <s v="351"/>
    <s v="CONVICTED"/>
    <n v="6"/>
    <s v="PROBATION"/>
    <m/>
    <m/>
    <m/>
    <s v="DWI 3RD OFFENDER BAC .08"/>
    <m/>
    <s v="F3"/>
    <s v="FEL DWI"/>
    <m/>
    <m/>
    <m/>
    <m/>
    <m/>
    <m/>
    <m/>
    <m/>
    <m/>
    <s v="Hired Attorney"/>
    <m/>
    <m/>
    <n v="0"/>
    <n v="0"/>
    <n v="132"/>
    <n v="28.439890710382514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513"/>
    <s v="N"/>
    <s v="N"/>
    <n v="2262725"/>
    <n v="5"/>
    <d v="2012-01-21T00:00:00"/>
    <d v="2012-01-23T00:00:00"/>
    <n v="2262725"/>
    <d v="2012-01-21T00:00:00"/>
    <d v="2012-01-23T00:00:00"/>
    <n v="15000"/>
    <x v="0"/>
    <m/>
    <s v="N"/>
    <s v="NONE"/>
    <s v="GUILTY PLEA - NO JURY"/>
    <n v="3"/>
    <n v="3"/>
    <n v="8"/>
    <n v="4"/>
    <n v="2"/>
    <m/>
    <m/>
    <m/>
    <m/>
    <m/>
    <m/>
    <m/>
    <m/>
    <d v="1983-10-19T00:00:00"/>
    <s v="M"/>
    <s v="W"/>
    <s v="WHITE"/>
    <s v="NON-HISPANIC"/>
    <s v="208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3"/>
    <n v="3"/>
    <n v="3"/>
    <n v="28.199453551912569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094"/>
    <s v="N"/>
    <s v="Y"/>
    <n v="2262988"/>
    <n v="2"/>
    <d v="2012-03-19T00:00:00"/>
    <d v="2012-08-09T00:00:00"/>
    <n v="2262988"/>
    <d v="2012-03-20T00:00:00"/>
    <d v="2012-03-24T00:00:00"/>
    <n v="2000"/>
    <x v="5"/>
    <d v="2012-03-24T00:00:00"/>
    <s v="Y"/>
    <s v="SURETY"/>
    <s v="DEFERRED ADJUDICATION "/>
    <n v="27"/>
    <n v="144"/>
    <n v="0"/>
    <n v="3"/>
    <m/>
    <m/>
    <m/>
    <m/>
    <m/>
    <m/>
    <m/>
    <m/>
    <m/>
    <d v="1987-12-16T00:00:00"/>
    <s v="M"/>
    <s v="W"/>
    <s v="WHITE"/>
    <s v="NULL"/>
    <s v="176"/>
    <s v="DEFERRED"/>
    <n v="8"/>
    <s v="DEFERRED"/>
    <m/>
    <m/>
    <m/>
    <s v="BURGLARY OF A BUILDING"/>
    <m/>
    <s v="FS"/>
    <s v="BURGLARY"/>
    <m/>
    <s v="rev 7/18/12"/>
    <m/>
    <m/>
    <s v="Y"/>
    <m/>
    <m/>
    <m/>
    <m/>
    <s v="Appointed Attorney"/>
    <m/>
    <m/>
    <n v="27"/>
    <n v="143"/>
    <n v="144"/>
    <n v="24.207650273224044"/>
    <n v="0"/>
    <n v="-138"/>
    <s v="DEFERRED"/>
    <x v="1"/>
    <s v="Y"/>
    <m/>
    <s v="DEFERRED"/>
    <s v="Y"/>
    <x v="0"/>
    <x v="0"/>
    <s v="N"/>
    <n v="0.1875"/>
    <n v="3.4965034965034968E-2"/>
    <n v="-0.15253496503496503"/>
    <n v="0"/>
    <n v="-5"/>
    <n v="22"/>
    <n v="143"/>
    <n v="27"/>
    <n v="143"/>
    <n v="138"/>
    <m/>
    <m/>
    <s v="Y"/>
    <m/>
    <s v="11-30 DAYS"/>
    <n v="2"/>
    <x v="0"/>
  </r>
  <r>
    <n v="3157"/>
    <s v="N"/>
    <s v="N"/>
    <n v="2262995"/>
    <n v="2"/>
    <d v="2012-04-26T00:00:00"/>
    <d v="2012-04-30T00:00:00"/>
    <n v="2262995"/>
    <d v="2012-04-27T00:00:00"/>
    <d v="2012-04-30T00:00:00"/>
    <n v="2000"/>
    <x v="5"/>
    <m/>
    <s v="N"/>
    <s v="NONE"/>
    <s v="DEFERRED ADJUDICATION "/>
    <n v="4"/>
    <n v="5"/>
    <n v="0"/>
    <n v="1"/>
    <m/>
    <m/>
    <m/>
    <m/>
    <m/>
    <m/>
    <m/>
    <m/>
    <m/>
    <d v="1983-04-02T00:00:00"/>
    <s v="M"/>
    <s v="B"/>
    <s v="BLACK"/>
    <s v="NON-HISPANIC"/>
    <s v="351"/>
    <s v="DEFERRED"/>
    <n v="2"/>
    <s v="DEFERRED"/>
    <m/>
    <m/>
    <m/>
    <s v="FORGERY"/>
    <m/>
    <s v="FS"/>
    <s v="OTHER FEL"/>
    <m/>
    <m/>
    <m/>
    <m/>
    <m/>
    <m/>
    <m/>
    <m/>
    <m/>
    <s v="Public Defender"/>
    <m/>
    <m/>
    <n v="4"/>
    <n v="4"/>
    <n v="5"/>
    <n v="29.008196721311474"/>
    <n v="0"/>
    <n v="0"/>
    <s v="DEFERRED"/>
    <x v="0"/>
    <s v="N"/>
    <m/>
    <s v="DEFERRED"/>
    <s v="Y"/>
    <x v="0"/>
    <x v="0"/>
    <s v="N"/>
    <n v="0.8"/>
    <n v="1"/>
    <n v="0.19999999999999996"/>
    <n v="0"/>
    <n v="-4"/>
    <n v="0"/>
    <n v="4"/>
    <e v="#VALUE!"/>
    <n v="4"/>
    <n v="0"/>
    <m/>
    <m/>
    <s v="Y"/>
    <m/>
    <s v="0-10 DAYS"/>
    <n v="1"/>
    <x v="0"/>
  </r>
  <r>
    <n v="161"/>
    <s v="N"/>
    <s v="N"/>
    <n v="2264313"/>
    <n v="4"/>
    <d v="2012-01-07T00:00:00"/>
    <d v="2012-01-09T00:00:00"/>
    <n v="2264313"/>
    <d v="2012-01-08T00:00:00"/>
    <d v="2012-01-09T00:00:00"/>
    <n v="15000"/>
    <x v="0"/>
    <m/>
    <s v="N"/>
    <s v="NONE"/>
    <s v="GUILTY PLEA - NO JURY"/>
    <n v="2"/>
    <n v="3"/>
    <n v="5"/>
    <n v="3"/>
    <n v="4"/>
    <m/>
    <m/>
    <m/>
    <m/>
    <m/>
    <m/>
    <m/>
    <m/>
    <d v="1960-01-05T00:00:00"/>
    <s v="M"/>
    <s v="B"/>
    <s v="BLACK"/>
    <s v="NON-HISPANIC"/>
    <s v="262"/>
    <s v="CONVICTED"/>
    <n v="1"/>
    <s v="HCJ"/>
    <m/>
    <m/>
    <n v="365"/>
    <s v="POSS CS PG 1 &lt;1G"/>
    <m/>
    <s v="FS"/>
    <s v="POSS DRUG"/>
    <m/>
    <m/>
    <m/>
    <m/>
    <m/>
    <m/>
    <m/>
    <m/>
    <m/>
    <s v="Appointed Attorney"/>
    <m/>
    <m/>
    <n v="2"/>
    <n v="2"/>
    <n v="3"/>
    <n v="51.898907103825138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2886"/>
    <s v="N"/>
    <s v="N"/>
    <n v="2264913"/>
    <n v="4"/>
    <d v="2012-04-17T00:00:00"/>
    <d v="2012-09-06T00:00:00"/>
    <n v="2264913"/>
    <d v="2012-04-17T00:00:00"/>
    <d v="2012-04-19T00:00:00"/>
    <n v="5000"/>
    <x v="4"/>
    <d v="2012-04-19T00:00:00"/>
    <s v="Y"/>
    <s v="SURETYPTRc"/>
    <s v="GUILTY PLEA - NO JURY"/>
    <n v="3"/>
    <n v="143"/>
    <n v="1"/>
    <n v="1"/>
    <m/>
    <m/>
    <m/>
    <m/>
    <m/>
    <m/>
    <m/>
    <m/>
    <m/>
    <d v="1966-03-21T00:00:00"/>
    <s v="M"/>
    <s v="B"/>
    <s v="BLACK"/>
    <s v="NON-HISPANIC"/>
    <s v="337"/>
    <s v="CONVICTED"/>
    <n v="6"/>
    <s v="HCJ"/>
    <m/>
    <m/>
    <n v="180"/>
    <s v="POSS CS PG 1 &lt;1G"/>
    <m/>
    <s v="FS"/>
    <s v="POSS DRUG"/>
    <m/>
    <m/>
    <m/>
    <m/>
    <m/>
    <m/>
    <m/>
    <m/>
    <m/>
    <s v="Public Defender"/>
    <m/>
    <m/>
    <n v="3"/>
    <n v="143"/>
    <n v="143"/>
    <n v="45.980874316939889"/>
    <n v="0"/>
    <n v="-140"/>
    <s v="CONVICTION"/>
    <x v="1"/>
    <s v="Y"/>
    <m/>
    <s v="CONVICTION"/>
    <s v="Y"/>
    <x v="1"/>
    <x v="0"/>
    <s v="Y"/>
    <n v="2.097902097902098E-2"/>
    <n v="2.097902097902098E-2"/>
    <n v="0"/>
    <n v="0"/>
    <n v="-3"/>
    <n v="0"/>
    <n v="3"/>
    <e v="#VALUE!"/>
    <n v="3"/>
    <n v="0"/>
    <m/>
    <m/>
    <s v="Y"/>
    <m/>
    <s v="0-10 DAYS"/>
    <n v="1"/>
    <x v="0"/>
  </r>
  <r>
    <n v="2535"/>
    <s v="N"/>
    <s v="N"/>
    <n v="2266140"/>
    <n v="2"/>
    <d v="2012-04-04T00:00:00"/>
    <d v="2012-07-16T00:00:00"/>
    <n v="2266140"/>
    <d v="2012-04-05T00:00:00"/>
    <d v="2012-04-06T00:00:00"/>
    <n v="2000"/>
    <x v="5"/>
    <d v="2012-04-06T00:00:00"/>
    <s v="Y"/>
    <s v="SURETYPTRc"/>
    <s v="DEFERRED ADJUDICATION "/>
    <n v="2"/>
    <n v="104"/>
    <n v="0"/>
    <n v="0"/>
    <m/>
    <m/>
    <m/>
    <m/>
    <m/>
    <m/>
    <m/>
    <m/>
    <m/>
    <d v="1986-09-04T00:00:00"/>
    <s v="M"/>
    <s v="H"/>
    <s v="HISPANIC"/>
    <s v="HISPANIC"/>
    <s v="230"/>
    <s v="DEFERRED"/>
    <n v="6"/>
    <s v="DEFERRED"/>
    <m/>
    <m/>
    <m/>
    <s v="POSS CS PG 2 &lt;1GRAM"/>
    <m/>
    <s v="FS"/>
    <s v="POSS DRUG"/>
    <m/>
    <m/>
    <m/>
    <m/>
    <m/>
    <m/>
    <m/>
    <m/>
    <m/>
    <s v="Hired Attorney"/>
    <m/>
    <m/>
    <n v="2"/>
    <n v="103"/>
    <n v="104"/>
    <n v="25.530054644808743"/>
    <n v="0"/>
    <n v="-101"/>
    <s v="DEFERRED"/>
    <x v="1"/>
    <s v="Y"/>
    <m/>
    <s v="DEFERRED"/>
    <s v="Y"/>
    <x v="1"/>
    <x v="0"/>
    <s v="N"/>
    <n v="1.9230769230769232E-2"/>
    <n v="1.9417475728155338E-2"/>
    <n v="1.8670649738610628E-4"/>
    <n v="0"/>
    <n v="-2"/>
    <n v="0"/>
    <n v="2"/>
    <e v="#VALUE!"/>
    <n v="2"/>
    <n v="0"/>
    <m/>
    <m/>
    <s v="N"/>
    <m/>
    <s v="0-10 DAYS"/>
    <n v="1"/>
    <x v="0"/>
  </r>
  <r>
    <n v="2888"/>
    <s v="N"/>
    <s v="N"/>
    <n v="2270230"/>
    <n v="2"/>
    <d v="2012-04-17T00:00:00"/>
    <d v="2012-09-18T00:00:00"/>
    <n v="2270230"/>
    <d v="2012-04-19T00:00:00"/>
    <d v="2012-04-28T00:00:00"/>
    <n v="30000"/>
    <x v="2"/>
    <d v="2012-04-28T00:00:00"/>
    <s v="Y"/>
    <s v="SURETY"/>
    <s v="DEFERRED ADJUDICATION "/>
    <n v="10"/>
    <n v="155"/>
    <n v="0"/>
    <n v="2"/>
    <m/>
    <m/>
    <m/>
    <m/>
    <m/>
    <m/>
    <m/>
    <m/>
    <m/>
    <d v="1989-08-28T00:00:00"/>
    <s v="F"/>
    <s v="B"/>
    <s v="BLACK"/>
    <s v="NON-HISPANIC"/>
    <s v="351"/>
    <s v="DEFERRED"/>
    <n v="8"/>
    <s v="DEFERRED"/>
    <m/>
    <m/>
    <m/>
    <s v="AGG ASSAULT W/DEADLY WEAPON"/>
    <m/>
    <s v="F2"/>
    <s v="ASLT-MURDR"/>
    <m/>
    <m/>
    <m/>
    <m/>
    <m/>
    <m/>
    <m/>
    <m/>
    <m/>
    <s v="Hired Attorney"/>
    <m/>
    <m/>
    <n v="10"/>
    <n v="153"/>
    <n v="155"/>
    <n v="22.590163934426229"/>
    <n v="0"/>
    <n v="-143"/>
    <s v="DEFERRED"/>
    <x v="1"/>
    <s v="Y"/>
    <m/>
    <s v="DEFERRED"/>
    <s v="Y"/>
    <x v="1"/>
    <x v="0"/>
    <s v="N"/>
    <n v="6.4516129032258063E-2"/>
    <n v="6.535947712418301E-2"/>
    <n v="8.4334809192494753E-4"/>
    <n v="0"/>
    <n v="-10"/>
    <n v="0"/>
    <n v="10"/>
    <e v="#VALUE!"/>
    <n v="10"/>
    <n v="0"/>
    <m/>
    <m/>
    <s v="Y"/>
    <m/>
    <s v="0-10 DAYS"/>
    <n v="1"/>
    <x v="0"/>
  </r>
  <r>
    <n v="338"/>
    <s v="N"/>
    <s v="N"/>
    <n v="2271330"/>
    <n v="2"/>
    <d v="2012-01-14T00:00:00"/>
    <d v="2012-01-26T00:00:00"/>
    <n v="2271330"/>
    <d v="2012-01-14T00:00:00"/>
    <d v="2012-01-26T00:00:00"/>
    <n v="2000"/>
    <x v="5"/>
    <m/>
    <s v="N"/>
    <s v="NONE"/>
    <s v="DEFERRED ADJUDICATION "/>
    <n v="13"/>
    <n v="13"/>
    <n v="0"/>
    <n v="0"/>
    <m/>
    <m/>
    <m/>
    <m/>
    <m/>
    <m/>
    <m/>
    <m/>
    <m/>
    <d v="1987-07-03T00:00:00"/>
    <s v="M"/>
    <s v="H"/>
    <s v="HISPANIC"/>
    <s v="HISPANIC"/>
    <s v="177"/>
    <s v="DEFERRED"/>
    <n v="2"/>
    <s v="DEFERRED"/>
    <m/>
    <m/>
    <m/>
    <s v="POSS CS PG 1 &lt;1G"/>
    <m/>
    <s v="FS"/>
    <s v="POSS DRUG"/>
    <m/>
    <m/>
    <m/>
    <m/>
    <m/>
    <m/>
    <m/>
    <m/>
    <m/>
    <s v="Appointed Attorney"/>
    <m/>
    <m/>
    <n v="13"/>
    <n v="13"/>
    <n v="13"/>
    <n v="24.483606557377048"/>
    <n v="0"/>
    <n v="0"/>
    <s v="DEFERRED"/>
    <x v="0"/>
    <s v="N"/>
    <m/>
    <s v="DEFERRED"/>
    <s v="Y"/>
    <x v="0"/>
    <x v="0"/>
    <s v="N"/>
    <n v="1"/>
    <n v="1"/>
    <n v="0"/>
    <n v="0"/>
    <n v="-13"/>
    <n v="0"/>
    <n v="13"/>
    <e v="#VALUE!"/>
    <n v="13"/>
    <n v="0"/>
    <m/>
    <m/>
    <s v="N"/>
    <m/>
    <s v="11-30 DAYS"/>
    <n v="2"/>
    <x v="0"/>
  </r>
  <r>
    <n v="2436"/>
    <s v="N"/>
    <s v="Y"/>
    <n v="2272143"/>
    <n v="6"/>
    <d v="2012-04-01T00:00:00"/>
    <d v="2014-06-11T00:00:00"/>
    <n v="2272143"/>
    <d v="2012-04-02T00:00:00"/>
    <d v="2012-07-10T00:00:00"/>
    <n v="30000"/>
    <x v="2"/>
    <d v="2012-07-10T00:00:00"/>
    <s v="Y"/>
    <s v="SURETY"/>
    <s v="jury verdict"/>
    <n v="102"/>
    <n v="802"/>
    <n v="2"/>
    <n v="1"/>
    <n v="1"/>
    <m/>
    <m/>
    <m/>
    <m/>
    <m/>
    <m/>
    <m/>
    <m/>
    <d v="1988-09-08T00:00:00"/>
    <s v="M"/>
    <s v="B"/>
    <s v="BLACK"/>
    <s v="NULL"/>
    <s v="351"/>
    <s v="CONVICTED"/>
    <n v="24"/>
    <s v="TDC"/>
    <n v="75"/>
    <m/>
    <m/>
    <s v="AGG SEXUAL ASSAULT"/>
    <m/>
    <s v="F2"/>
    <s v="RAPE"/>
    <m/>
    <m/>
    <s v="Y"/>
    <d v="2013-01-09T00:00:00"/>
    <s v="Y"/>
    <m/>
    <m/>
    <s v="(2) 8/2/13"/>
    <n v="300"/>
    <s v="Appointed Attorney"/>
    <m/>
    <s v="appeal"/>
    <n v="102"/>
    <n v="801"/>
    <n v="802"/>
    <n v="23.513661202185791"/>
    <n v="0"/>
    <n v="-701"/>
    <s v="CONVICTION"/>
    <x v="1"/>
    <s v="N"/>
    <m/>
    <s v="CONVICTION"/>
    <s v="Y"/>
    <x v="0"/>
    <x v="0"/>
    <s v="Y"/>
    <n v="0.12718204488778054"/>
    <n v="0.12720000000000001"/>
    <n v="0"/>
    <n v="0"/>
    <n v="-100"/>
    <n v="2"/>
    <n v="801"/>
    <e v="#VALUE!"/>
    <n v="102"/>
    <m/>
    <m/>
    <m/>
    <s v="Y"/>
    <e v="#N/A"/>
    <s v="91-120 DAYS"/>
    <n v="0"/>
    <x v="0"/>
  </r>
  <r>
    <n v="3119"/>
    <s v="N"/>
    <s v="N"/>
    <n v="2272886"/>
    <n v="1"/>
    <d v="2012-04-25T00:00:00"/>
    <d v="2012-09-27T00:00:00"/>
    <n v="2272886"/>
    <d v="2012-05-08T00:00:00"/>
    <d v="2012-09-27T00:00:00"/>
    <n v="30000"/>
    <x v="2"/>
    <m/>
    <s v="N"/>
    <s v="NONE"/>
    <s v="DISMISSED"/>
    <n v="143"/>
    <n v="156"/>
    <n v="2"/>
    <n v="2"/>
    <n v="1"/>
    <m/>
    <m/>
    <m/>
    <m/>
    <m/>
    <m/>
    <m/>
    <m/>
    <d v="1988-05-23T00:00:00"/>
    <s v="M"/>
    <s v="B"/>
    <s v="BLACK"/>
    <s v="NULL"/>
    <s v="178"/>
    <s v="DISMISSED"/>
    <n v="6"/>
    <s v="DISMISSED"/>
    <m/>
    <m/>
    <m/>
    <s v="AGG ROBBERY-DEADLY WPN"/>
    <m/>
    <s v="F1"/>
    <s v="ROBBERY"/>
    <m/>
    <m/>
    <m/>
    <m/>
    <m/>
    <m/>
    <m/>
    <m/>
    <m/>
    <s v="Appointed Attorney"/>
    <m/>
    <m/>
    <n v="143"/>
    <n v="143"/>
    <n v="156"/>
    <n v="23.874316939890711"/>
    <n v="0"/>
    <n v="0"/>
    <s v="NO CONVICTION"/>
    <x v="0"/>
    <s v="N"/>
    <m/>
    <s v="NO CONVICTION"/>
    <s v="Y"/>
    <x v="0"/>
    <x v="0"/>
    <s v="Y"/>
    <n v="0.91666666666666663"/>
    <n v="1"/>
    <n v="8.333333333333337E-2"/>
    <n v="0"/>
    <n v="-143"/>
    <n v="0"/>
    <n v="143"/>
    <e v="#VALUE!"/>
    <n v="143"/>
    <n v="0"/>
    <m/>
    <m/>
    <s v="Y"/>
    <m/>
    <s v="121-365 DAYS"/>
    <n v="6"/>
    <x v="0"/>
  </r>
  <r>
    <n v="2184"/>
    <s v="N"/>
    <s v="N"/>
    <n v="2273334"/>
    <n v="5"/>
    <d v="2012-03-22T00:00:00"/>
    <d v="2012-03-26T00:00:00"/>
    <n v="2273334"/>
    <d v="2012-03-23T00:00:00"/>
    <d v="2012-03-26T00:00:00"/>
    <n v="15000"/>
    <x v="0"/>
    <m/>
    <s v="N"/>
    <s v="NONE"/>
    <s v="GUILTY PLEA - NO JURY"/>
    <n v="4"/>
    <n v="5"/>
    <n v="3"/>
    <n v="4"/>
    <n v="2"/>
    <m/>
    <m/>
    <m/>
    <m/>
    <m/>
    <m/>
    <m/>
    <m/>
    <d v="1966-03-17T00:00:00"/>
    <s v="M"/>
    <s v="B"/>
    <s v="BLACK"/>
    <s v="NON-HISPANIC"/>
    <s v="182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4"/>
    <n v="4"/>
    <n v="5"/>
    <n v="45.920765027322403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m/>
    <m/>
    <s v="Y"/>
    <m/>
    <s v="0-10 DAYS"/>
    <n v="1"/>
    <x v="0"/>
  </r>
  <r>
    <n v="3138"/>
    <s v="N"/>
    <s v="N"/>
    <n v="2273693"/>
    <n v="6"/>
    <d v="2012-04-25T00:00:00"/>
    <d v="2015-02-19T00:00:00"/>
    <n v="2273693"/>
    <d v="2014-09-22T00:00:00"/>
    <s v="NOT BOOKED"/>
    <n v="45000"/>
    <x v="2"/>
    <d v="2012-04-28T00:00:00"/>
    <s v="Y"/>
    <s v="SURETY"/>
    <s v="GUILTY PLEA - NO JURY"/>
    <n v="0"/>
    <n v="1031"/>
    <n v="0"/>
    <n v="6"/>
    <m/>
    <m/>
    <m/>
    <m/>
    <m/>
    <m/>
    <m/>
    <m/>
    <m/>
    <d v="1988-08-13T00:00:00"/>
    <s v="M"/>
    <s v="W"/>
    <s v="WHITE"/>
    <s v="NON-HISPANIC"/>
    <s v="179"/>
    <s v="CONVICTED"/>
    <n v="17"/>
    <s v="TDC"/>
    <n v="50"/>
    <m/>
    <m/>
    <s v="MURDER"/>
    <m/>
    <s v="F1"/>
    <s v="ASLT-MURDR"/>
    <s v="REFILED  MURDER"/>
    <s v="APPEAL"/>
    <m/>
    <m/>
    <m/>
    <m/>
    <m/>
    <m/>
    <m/>
    <s v="Hired Attorney"/>
    <m/>
    <s v="Appeal BY PD"/>
    <n v="0"/>
    <n v="0"/>
    <n v="1031"/>
    <n v="23.650273224043715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n v="-876"/>
    <e v="#VALUE!"/>
    <n v="0"/>
    <n v="0"/>
    <m/>
    <m/>
    <s v="Y"/>
    <e v="#N/A"/>
    <s v="0-10 DAYS"/>
    <n v="1"/>
    <x v="0"/>
  </r>
  <r>
    <n v="2587"/>
    <s v="N"/>
    <s v="N"/>
    <n v="2273866"/>
    <n v="5"/>
    <d v="2012-04-06T00:00:00"/>
    <d v="2012-04-09T00:00:00"/>
    <n v="2273866"/>
    <d v="2012-04-06T00:00:00"/>
    <d v="2012-04-09T00:00:00"/>
    <n v="15000"/>
    <x v="0"/>
    <m/>
    <s v="N"/>
    <s v="NONE"/>
    <s v="GUILTY PLEA - NO JURY"/>
    <n v="4"/>
    <n v="4"/>
    <n v="5"/>
    <n v="3"/>
    <n v="1"/>
    <m/>
    <m/>
    <m/>
    <m/>
    <m/>
    <m/>
    <m/>
    <m/>
    <d v="1990-01-14T00:00:00"/>
    <s v="M"/>
    <s v="B"/>
    <s v="BLACK"/>
    <s v="NON-HISPANIC"/>
    <s v="184"/>
    <s v="CONVICTED"/>
    <n v="1"/>
    <s v="STJ"/>
    <m/>
    <n v="6"/>
    <m/>
    <s v="MAN/DEL CS PG I &lt;1GRAM"/>
    <m/>
    <s v="FS"/>
    <s v="SALE DRUG"/>
    <m/>
    <m/>
    <m/>
    <m/>
    <m/>
    <m/>
    <m/>
    <m/>
    <m/>
    <s v="Appointed Attorney"/>
    <m/>
    <m/>
    <n v="4"/>
    <n v="4"/>
    <n v="4"/>
    <n v="22.180327868852459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m/>
    <m/>
    <s v="Y"/>
    <m/>
    <s v="0-10 DAYS"/>
    <n v="1"/>
    <x v="0"/>
  </r>
  <r>
    <n v="539"/>
    <s v="N"/>
    <s v="N"/>
    <n v="2275474"/>
    <n v="1"/>
    <d v="2012-01-22T00:00:00"/>
    <d v="2012-01-31T00:00:00"/>
    <n v="2275474"/>
    <d v="2012-01-22T00:00:00"/>
    <d v="2012-01-31T00:00:00"/>
    <s v="NO BOND"/>
    <x v="1"/>
    <m/>
    <s v="N"/>
    <s v="NONE"/>
    <s v="NO BILL"/>
    <n v="10"/>
    <n v="10"/>
    <n v="1"/>
    <n v="1"/>
    <m/>
    <n v="1"/>
    <m/>
    <m/>
    <m/>
    <m/>
    <m/>
    <m/>
    <m/>
    <d v="1989-12-15T00:00:00"/>
    <s v="M"/>
    <s v="B"/>
    <s v="BLACK"/>
    <s v="NON-HISPANIC"/>
    <s v="184"/>
    <s v="NO BILL"/>
    <n v="3"/>
    <s v="NO BILL"/>
    <m/>
    <m/>
    <m/>
    <s v="TAMPER/FABRICATE EVIDENCE"/>
    <m/>
    <s v="F3"/>
    <s v="OTHER FEL"/>
    <m/>
    <m/>
    <m/>
    <m/>
    <m/>
    <m/>
    <m/>
    <m/>
    <m/>
    <s v="Appointed Attorney"/>
    <m/>
    <m/>
    <n v="10"/>
    <n v="10"/>
    <n v="10"/>
    <n v="22.057377049180328"/>
    <n v="0"/>
    <n v="0"/>
    <s v="NO CONVICTION"/>
    <x v="0"/>
    <s v="N"/>
    <m/>
    <s v="NO CONVICTION"/>
    <s v="Y"/>
    <x v="0"/>
    <x v="0"/>
    <s v="Y"/>
    <n v="1"/>
    <n v="1"/>
    <n v="0"/>
    <n v="0"/>
    <n v="-10"/>
    <n v="0"/>
    <n v="10"/>
    <e v="#VALUE!"/>
    <n v="10"/>
    <n v="0"/>
    <m/>
    <m/>
    <s v="Y"/>
    <m/>
    <s v="0-10 DAYS"/>
    <n v="1"/>
    <x v="0"/>
  </r>
  <r>
    <n v="367"/>
    <s v="N"/>
    <s v="N"/>
    <n v="2278362"/>
    <n v="6"/>
    <d v="2012-01-15T00:00:00"/>
    <d v="2012-06-26T00:00:00"/>
    <n v="2278362"/>
    <d v="2012-05-10T00:00:00"/>
    <d v="2012-06-26T00:00:00"/>
    <s v="NO BOND"/>
    <x v="1"/>
    <m/>
    <s v="N"/>
    <s v="NONE"/>
    <s v="DEFENDANT CONVICTED ON ANOTHER CHARGE"/>
    <n v="48"/>
    <n v="164"/>
    <n v="2"/>
    <n v="3"/>
    <n v="2"/>
    <m/>
    <m/>
    <m/>
    <m/>
    <m/>
    <m/>
    <m/>
    <m/>
    <d v="1990-06-15T00:00:00"/>
    <s v="M"/>
    <s v="B"/>
    <s v="BLACK"/>
    <s v="NULL"/>
    <s v="183"/>
    <s v="CONVICTED"/>
    <n v="3"/>
    <s v="TDC"/>
    <n v="10"/>
    <m/>
    <m/>
    <s v="burg of veh w/2 or more co "/>
    <m/>
    <s v="F3"/>
    <s v="BURGLARY"/>
    <m/>
    <m/>
    <m/>
    <m/>
    <m/>
    <m/>
    <m/>
    <m/>
    <m/>
    <s v="Appointed Attorney"/>
    <m/>
    <m/>
    <n v="48"/>
    <n v="48"/>
    <n v="164"/>
    <n v="21.540983606557376"/>
    <n v="0"/>
    <n v="0"/>
    <s v="CONVICTION"/>
    <x v="0"/>
    <s v="N"/>
    <m/>
    <s v="CONVICTION"/>
    <s v="Y"/>
    <x v="0"/>
    <x v="0"/>
    <s v="Y"/>
    <n v="0.29268292682926828"/>
    <n v="1"/>
    <n v="0.70731707317073167"/>
    <n v="0"/>
    <n v="-48"/>
    <n v="0"/>
    <n v="48"/>
    <e v="#VALUE!"/>
    <n v="48"/>
    <n v="0"/>
    <m/>
    <m/>
    <s v="Y"/>
    <m/>
    <s v="31-60 DAYS"/>
    <n v="3"/>
    <x v="0"/>
  </r>
  <r>
    <n v="2424"/>
    <s v="N"/>
    <s v="N"/>
    <n v="2278944"/>
    <n v="2"/>
    <d v="2012-04-01T00:00:00"/>
    <d v="2012-04-02T00:00:00"/>
    <n v="2278944"/>
    <d v="2012-04-01T00:00:00"/>
    <d v="2012-04-02T00:00:00"/>
    <n v="2000"/>
    <x v="5"/>
    <m/>
    <s v="N"/>
    <s v="NONE"/>
    <s v="DEFERRED ADJUDICATION "/>
    <n v="2"/>
    <n v="2"/>
    <n v="0"/>
    <n v="3"/>
    <m/>
    <m/>
    <m/>
    <m/>
    <m/>
    <m/>
    <m/>
    <m/>
    <m/>
    <d v="1989-07-07T00:00:00"/>
    <s v="M"/>
    <s v="B"/>
    <s v="BLACK"/>
    <s v="NULL"/>
    <s v="176"/>
    <s v="DEFERRED"/>
    <n v="1"/>
    <s v="DEFERRED"/>
    <m/>
    <m/>
    <m/>
    <s v="ENDANGERING A CHILD"/>
    <m/>
    <s v="FS"/>
    <s v="OTHER FEL"/>
    <m/>
    <m/>
    <m/>
    <m/>
    <m/>
    <m/>
    <m/>
    <m/>
    <m/>
    <s v="Appointed Attorney"/>
    <m/>
    <m/>
    <n v="2"/>
    <n v="2"/>
    <n v="2"/>
    <n v="22.688524590163933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496"/>
    <s v="N"/>
    <s v="N"/>
    <n v="2279899"/>
    <n v="2"/>
    <d v="2012-01-20T00:00:00"/>
    <d v="2012-02-06T00:00:00"/>
    <n v="2279899"/>
    <d v="2012-01-21T00:00:00"/>
    <d v="2012-02-06T00:00:00"/>
    <n v="2000"/>
    <x v="5"/>
    <m/>
    <s v="N"/>
    <s v="NONE"/>
    <s v="DEFERRED ADJUDICATION "/>
    <n v="17"/>
    <n v="18"/>
    <n v="4"/>
    <n v="1"/>
    <n v="2"/>
    <m/>
    <m/>
    <m/>
    <m/>
    <m/>
    <m/>
    <m/>
    <m/>
    <d v="1989-11-23T00:00:00"/>
    <s v="M"/>
    <s v="B"/>
    <s v="BLACK"/>
    <s v="NULL"/>
    <s v="248"/>
    <s v="DEFERRED"/>
    <n v="2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17"/>
    <n v="17"/>
    <n v="18"/>
    <n v="22.112021857923498"/>
    <n v="0"/>
    <n v="0"/>
    <s v="DEFERRED"/>
    <x v="0"/>
    <s v="N"/>
    <m/>
    <s v="DEFERRED"/>
    <s v="Y"/>
    <x v="0"/>
    <x v="0"/>
    <s v="Y"/>
    <n v="0.94444444444444442"/>
    <n v="1"/>
    <n v="5.555555555555558E-2"/>
    <n v="0"/>
    <n v="-17"/>
    <n v="0"/>
    <n v="17"/>
    <e v="#VALUE!"/>
    <n v="17"/>
    <n v="0"/>
    <m/>
    <m/>
    <s v="Y"/>
    <m/>
    <s v="11-30 DAYS"/>
    <n v="2"/>
    <x v="0"/>
  </r>
  <r>
    <n v="776"/>
    <s v="N"/>
    <s v="N"/>
    <n v="2279908"/>
    <n v="5"/>
    <d v="2012-01-31T00:00:00"/>
    <d v="2012-03-06T00:00:00"/>
    <n v="2279908"/>
    <d v="2012-01-31T00:00:00"/>
    <d v="2012-03-06T00:00:00"/>
    <n v="15000"/>
    <x v="0"/>
    <m/>
    <s v="N"/>
    <s v="NONE"/>
    <s v="GUILTY PLEA - NO JURY"/>
    <n v="36"/>
    <n v="36"/>
    <n v="4"/>
    <n v="6"/>
    <n v="1"/>
    <m/>
    <m/>
    <m/>
    <m/>
    <m/>
    <m/>
    <m/>
    <m/>
    <d v="1958-09-12T00:00:00"/>
    <s v="M"/>
    <s v="B"/>
    <s v="BLACK"/>
    <s v="NON-HISPANIC"/>
    <s v="351"/>
    <s v="CONVICTED"/>
    <n v="2"/>
    <s v="STJ"/>
    <m/>
    <n v="8"/>
    <m/>
    <s v="MAN/DEL CS PG I &lt;1GRAM"/>
    <m/>
    <s v="FS"/>
    <s v="SALE DRUG"/>
    <m/>
    <m/>
    <m/>
    <m/>
    <m/>
    <m/>
    <m/>
    <m/>
    <m/>
    <s v="Appointed Attorney"/>
    <m/>
    <m/>
    <n v="36"/>
    <n v="36"/>
    <n v="36"/>
    <n v="53.275956284153004"/>
    <n v="0"/>
    <n v="0"/>
    <s v="CONVICTION"/>
    <x v="0"/>
    <s v="N"/>
    <m/>
    <s v="CONVICTION"/>
    <s v="Y"/>
    <x v="0"/>
    <x v="0"/>
    <s v="Y"/>
    <n v="1"/>
    <n v="1"/>
    <n v="0"/>
    <n v="0"/>
    <n v="-36"/>
    <n v="0"/>
    <n v="36"/>
    <e v="#VALUE!"/>
    <n v="36"/>
    <n v="0"/>
    <m/>
    <m/>
    <s v="Y"/>
    <m/>
    <s v="31-60 DAYS"/>
    <n v="3"/>
    <x v="0"/>
  </r>
  <r>
    <n v="1495"/>
    <s v="N"/>
    <s v="N"/>
    <n v="2280024"/>
    <n v="2"/>
    <d v="2012-02-25T00:00:00"/>
    <d v="2012-02-27T00:00:00"/>
    <n v="2280024"/>
    <d v="2012-02-25T00:00:00"/>
    <d v="2012-02-27T00:00:00"/>
    <n v="5000"/>
    <x v="4"/>
    <m/>
    <s v="N"/>
    <s v="NONE"/>
    <s v="DEFERRED ADJUDICATION "/>
    <n v="3"/>
    <n v="3"/>
    <n v="0"/>
    <n v="1"/>
    <m/>
    <m/>
    <m/>
    <m/>
    <m/>
    <m/>
    <m/>
    <m/>
    <m/>
    <d v="1988-03-04T00:00:00"/>
    <s v="F"/>
    <s v="B"/>
    <s v="BLACK"/>
    <s v="NON-HISPANIC"/>
    <s v="338"/>
    <s v="DEFERRED"/>
    <n v="1"/>
    <s v="DEFERRED"/>
    <m/>
    <m/>
    <m/>
    <s v="INJURY TO ELDERLY"/>
    <m/>
    <s v="F3"/>
    <s v="ASLT-MURDR"/>
    <m/>
    <m/>
    <m/>
    <m/>
    <m/>
    <m/>
    <m/>
    <m/>
    <m/>
    <s v="Appointed Attorney"/>
    <m/>
    <m/>
    <n v="3"/>
    <n v="3"/>
    <n v="3"/>
    <n v="23.928961748633881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496"/>
    <s v="N"/>
    <s v="N"/>
    <n v="2280596"/>
    <n v="2"/>
    <d v="2012-04-04T00:00:00"/>
    <d v="2012-04-05T00:00:00"/>
    <n v="2280596"/>
    <d v="2012-04-04T00:00:00"/>
    <d v="2012-04-05T00:00:00"/>
    <n v="10000"/>
    <x v="3"/>
    <m/>
    <s v="N"/>
    <s v="NONE"/>
    <s v="DEFERRED ADJUDICATION "/>
    <n v="2"/>
    <n v="2"/>
    <n v="1"/>
    <n v="3"/>
    <m/>
    <m/>
    <m/>
    <m/>
    <m/>
    <m/>
    <m/>
    <m/>
    <m/>
    <d v="1989-12-04T00:00:00"/>
    <s v="M"/>
    <s v="B"/>
    <s v="BLACK"/>
    <s v="NON-HISPANIC"/>
    <s v="179"/>
    <s v="DEFERRED"/>
    <n v="1"/>
    <s v="DEFERRED"/>
    <m/>
    <m/>
    <m/>
    <s v="POSS CS PG 1  1 - 4 GRAMS"/>
    <m/>
    <s v="F3"/>
    <s v="POSS DRUG"/>
    <m/>
    <m/>
    <m/>
    <m/>
    <m/>
    <m/>
    <m/>
    <m/>
    <m/>
    <s v="Appointed Attorney"/>
    <m/>
    <m/>
    <n v="2"/>
    <n v="2"/>
    <n v="2"/>
    <n v="22.28688524590164"/>
    <n v="0"/>
    <n v="0"/>
    <s v="DEFERRED"/>
    <x v="0"/>
    <s v="N"/>
    <m/>
    <s v="DEFERRED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1117"/>
    <s v="N"/>
    <s v="N"/>
    <n v="2280638"/>
    <n v="2"/>
    <d v="2012-02-10T00:00:00"/>
    <d v="2012-04-20T00:00:00"/>
    <n v="2280638"/>
    <d v="2012-02-10T00:00:00"/>
    <d v="2012-04-20T00:00:00"/>
    <n v="30000"/>
    <x v="2"/>
    <d v="2012-02-13T00:00:00"/>
    <s v="Y"/>
    <s v="PTRc"/>
    <s v="DEFERRED ADJUDICATION "/>
    <n v="71"/>
    <n v="71"/>
    <n v="0"/>
    <n v="0"/>
    <m/>
    <m/>
    <m/>
    <m/>
    <m/>
    <m/>
    <m/>
    <m/>
    <m/>
    <d v="1982-01-11T00:00:00"/>
    <s v="F"/>
    <s v="W"/>
    <s v="WHITE"/>
    <s v="NULL"/>
    <s v="262"/>
    <s v="DEFERRED"/>
    <n v="4"/>
    <s v="DEFERRED"/>
    <m/>
    <m/>
    <m/>
    <s v="AGG ASSAULT-FAMILY MEMBER"/>
    <m/>
    <s v="F2"/>
    <s v="ASLT-MURDR"/>
    <s v="fel assault disp 4/20/12 sent 120 days hcj"/>
    <m/>
    <m/>
    <m/>
    <m/>
    <m/>
    <m/>
    <m/>
    <m/>
    <s v="Appointed Attorney"/>
    <m/>
    <m/>
    <n v="71"/>
    <n v="71"/>
    <n v="71"/>
    <n v="30.019125683060111"/>
    <n v="0"/>
    <n v="0"/>
    <s v="DEFERRED"/>
    <x v="2"/>
    <s v="Y"/>
    <m/>
    <s v="DEFERRED"/>
    <s v="Y"/>
    <x v="1"/>
    <x v="0"/>
    <s v="N"/>
    <n v="1"/>
    <n v="1"/>
    <n v="0"/>
    <n v="0"/>
    <n v="-71"/>
    <n v="0"/>
    <n v="4"/>
    <e v="#VALUE!"/>
    <n v="4"/>
    <n v="-67"/>
    <m/>
    <m/>
    <s v="N"/>
    <m/>
    <s v="61-90 DAYS"/>
    <n v="4"/>
    <x v="0"/>
  </r>
  <r>
    <n v="868"/>
    <s v="N"/>
    <s v="N"/>
    <n v="2281821"/>
    <n v="6"/>
    <d v="2012-02-02T00:00:00"/>
    <d v="2013-07-17T00:00:00"/>
    <n v="2281821"/>
    <d v="2012-02-03T00:00:00"/>
    <d v="2013-07-17T00:00:00"/>
    <n v="40000"/>
    <x v="2"/>
    <m/>
    <s v="N"/>
    <s v="NONE"/>
    <s v="GUILTY PLEA - NO JURY"/>
    <n v="531"/>
    <n v="532"/>
    <n v="1"/>
    <n v="2"/>
    <n v="1"/>
    <m/>
    <m/>
    <m/>
    <m/>
    <m/>
    <m/>
    <m/>
    <m/>
    <d v="1988-10-03T00:00:00"/>
    <s v="M"/>
    <s v="B"/>
    <s v="BLACK"/>
    <s v="NULL"/>
    <s v="179"/>
    <s v="CONVICTED"/>
    <n v="15"/>
    <s v="TDC"/>
    <n v="25"/>
    <m/>
    <m/>
    <s v="AGG ROBBERY-DEADLY WPN"/>
    <m/>
    <s v="F1"/>
    <s v="ROBBERY"/>
    <s v="sent appeal pend"/>
    <m/>
    <m/>
    <m/>
    <m/>
    <m/>
    <m/>
    <m/>
    <m/>
    <s v="Appointed Attorney"/>
    <m/>
    <m/>
    <n v="531"/>
    <n v="531"/>
    <n v="532"/>
    <n v="23.284153005464482"/>
    <n v="0"/>
    <n v="0"/>
    <s v="CONVICTION"/>
    <x v="0"/>
    <s v="N"/>
    <m/>
    <s v="CONVICTION"/>
    <s v="Y"/>
    <x v="0"/>
    <x v="0"/>
    <s v="Y"/>
    <n v="0.99812030075187974"/>
    <n v="1"/>
    <n v="1.879699248120259E-3"/>
    <n v="0"/>
    <n v="-531"/>
    <n v="0"/>
    <n v="531"/>
    <e v="#VALUE!"/>
    <n v="531"/>
    <n v="0"/>
    <m/>
    <m/>
    <s v="Y"/>
    <m/>
    <s v=" &gt;1YRS&lt;2YRS"/>
    <n v="0"/>
    <x v="0"/>
  </r>
  <r>
    <n v="2098"/>
    <s v="N"/>
    <s v="N"/>
    <n v="2282502"/>
    <n v="1"/>
    <d v="2012-03-19T00:00:00"/>
    <d v="2012-05-09T00:00:00"/>
    <n v="2282502"/>
    <d v="2012-03-22T00:00:00"/>
    <d v="2012-05-09T00:00:00"/>
    <n v="20000"/>
    <x v="0"/>
    <m/>
    <s v="N"/>
    <s v="NONE"/>
    <s v="NO BILL"/>
    <n v="49"/>
    <n v="52"/>
    <n v="3"/>
    <n v="0"/>
    <n v="1"/>
    <m/>
    <m/>
    <m/>
    <m/>
    <m/>
    <m/>
    <m/>
    <m/>
    <d v="1981-07-05T00:00:00"/>
    <s v="M"/>
    <s v="B"/>
    <s v="BLACK"/>
    <s v="NON-HISPANIC"/>
    <s v="262"/>
    <s v="NO BILL"/>
    <n v="5"/>
    <s v="NO BILL"/>
    <m/>
    <m/>
    <m/>
    <s v="ASSAULT-BOD INJ-FAMILY MEMBER"/>
    <m/>
    <s v="F3"/>
    <s v="ASLT-MURDR"/>
    <m/>
    <m/>
    <m/>
    <m/>
    <m/>
    <m/>
    <m/>
    <m/>
    <m/>
    <s v="Appointed Attorney"/>
    <m/>
    <m/>
    <n v="49"/>
    <n v="49"/>
    <n v="52"/>
    <n v="30.642076502732241"/>
    <n v="0"/>
    <n v="0"/>
    <s v="NO CONVICTION"/>
    <x v="0"/>
    <s v="N"/>
    <m/>
    <s v="NO CONVICTION"/>
    <s v="Y"/>
    <x v="0"/>
    <x v="0"/>
    <s v="Y"/>
    <n v="0.94230769230769229"/>
    <n v="1"/>
    <n v="5.7692307692307709E-2"/>
    <n v="0"/>
    <n v="-49"/>
    <n v="0"/>
    <n v="49"/>
    <e v="#VALUE!"/>
    <n v="49"/>
    <n v="0"/>
    <m/>
    <m/>
    <s v="Y"/>
    <m/>
    <s v="31-60 DAYS"/>
    <n v="3"/>
    <x v="0"/>
  </r>
  <r>
    <n v="1922"/>
    <s v="N"/>
    <s v="N"/>
    <n v="2282557"/>
    <n v="1"/>
    <d v="2012-03-13T00:00:00"/>
    <d v="2012-06-06T00:00:00"/>
    <n v="2282557"/>
    <d v="2012-05-17T00:00:00"/>
    <d v="2012-06-06T00:00:00"/>
    <n v="25000"/>
    <x v="2"/>
    <m/>
    <s v="N"/>
    <s v="NONE"/>
    <s v="NO BILL"/>
    <n v="21"/>
    <n v="86"/>
    <n v="3"/>
    <n v="13"/>
    <n v="1"/>
    <m/>
    <m/>
    <m/>
    <m/>
    <m/>
    <m/>
    <m/>
    <m/>
    <d v="1988-11-04T00:00:00"/>
    <s v="M"/>
    <s v="B"/>
    <s v="BLACK"/>
    <s v="NON-HISPANIC"/>
    <s v="183"/>
    <s v="NO BILL"/>
    <n v="6"/>
    <s v="NO BILL"/>
    <m/>
    <m/>
    <m/>
    <s v="INTERFER W/POLICE SERVICE ANIM"/>
    <m/>
    <s v="FS"/>
    <s v="OTHER FEL"/>
    <s v="fel rob filed 3/14/12 pend"/>
    <m/>
    <m/>
    <m/>
    <m/>
    <m/>
    <m/>
    <m/>
    <m/>
    <s v="Appointed Attorney"/>
    <m/>
    <m/>
    <n v="21"/>
    <n v="21"/>
    <n v="86"/>
    <n v="23.306010928961747"/>
    <n v="0"/>
    <n v="0"/>
    <s v="NO CONVICTION"/>
    <x v="0"/>
    <s v="N"/>
    <m/>
    <s v="NO CONVICTION"/>
    <s v="Y"/>
    <x v="0"/>
    <x v="0"/>
    <s v="Y"/>
    <n v="0.2441860465116279"/>
    <n v="1"/>
    <n v="0.7558139534883721"/>
    <n v="0"/>
    <n v="-21"/>
    <n v="0"/>
    <n v="21"/>
    <e v="#VALUE!"/>
    <n v="21"/>
    <n v="0"/>
    <m/>
    <m/>
    <s v="Y"/>
    <m/>
    <s v="11-30 DAYS"/>
    <n v="2"/>
    <x v="0"/>
  </r>
  <r>
    <n v="186"/>
    <s v="N"/>
    <s v="N"/>
    <n v="2283550"/>
    <n v="4"/>
    <d v="2012-01-09T00:00:00"/>
    <d v="2012-07-12T00:00:00"/>
    <n v="2283550"/>
    <d v="2012-01-10T00:00:00"/>
    <d v="2012-07-12T00:00:00"/>
    <n v="50000"/>
    <x v="2"/>
    <m/>
    <s v="N"/>
    <s v="NONE"/>
    <s v="GUILTY PLEA - NO JURY"/>
    <n v="185"/>
    <n v="186"/>
    <n v="0"/>
    <n v="0"/>
    <m/>
    <m/>
    <m/>
    <m/>
    <m/>
    <m/>
    <m/>
    <m/>
    <m/>
    <d v="1972-06-04T00:00:00"/>
    <s v="M"/>
    <s v="W"/>
    <s v="WHITE"/>
    <s v="NULL"/>
    <s v="208"/>
    <s v="CONVICTED"/>
    <n v="8"/>
    <s v="HCJ"/>
    <m/>
    <m/>
    <n v="90"/>
    <s v="AGG ASSAULT-FAMILY MEMBER"/>
    <m/>
    <s v="F2"/>
    <s v="ASLT-MURDR"/>
    <m/>
    <m/>
    <m/>
    <m/>
    <m/>
    <m/>
    <m/>
    <m/>
    <m/>
    <s v="Hired Attorney"/>
    <m/>
    <m/>
    <n v="185"/>
    <n v="185"/>
    <n v="186"/>
    <n v="39.516393442622949"/>
    <n v="0"/>
    <n v="0"/>
    <s v="CONVICTION"/>
    <x v="0"/>
    <s v="N"/>
    <m/>
    <s v="CONVICTION"/>
    <s v="Y"/>
    <x v="0"/>
    <x v="0"/>
    <s v="N"/>
    <n v="0.9946236559139785"/>
    <n v="1"/>
    <n v="5.3763440860215006E-3"/>
    <n v="0"/>
    <n v="-185"/>
    <n v="0"/>
    <n v="185"/>
    <e v="#VALUE!"/>
    <n v="185"/>
    <n v="0"/>
    <m/>
    <m/>
    <s v="N"/>
    <m/>
    <s v="121-365 DAYS"/>
    <n v="6"/>
    <x v="0"/>
  </r>
  <r>
    <n v="1250"/>
    <s v="N"/>
    <s v="N"/>
    <n v="2284263"/>
    <n v="2"/>
    <d v="2012-02-15T00:00:00"/>
    <d v="2012-07-26T00:00:00"/>
    <n v="2284263"/>
    <d v="2012-02-17T00:00:00"/>
    <d v="2012-02-17T00:00:00"/>
    <n v="20000"/>
    <x v="0"/>
    <d v="2012-02-17T00:00:00"/>
    <s v="Y"/>
    <s v="SURETYPTRc"/>
    <s v="DEFERRED ADJUDICATION "/>
    <n v="1"/>
    <n v="163"/>
    <n v="1"/>
    <n v="0"/>
    <n v="1"/>
    <m/>
    <m/>
    <m/>
    <m/>
    <m/>
    <m/>
    <m/>
    <m/>
    <d v="1988-08-27T00:00:00"/>
    <s v="M"/>
    <s v="W"/>
    <s v="WHITE"/>
    <s v="NULL"/>
    <s v="183"/>
    <s v="DEFERRED"/>
    <n v="8"/>
    <s v="DEFERRED"/>
    <m/>
    <m/>
    <m/>
    <s v="POSS CS PG 1  1 - 4 GRAMS"/>
    <m/>
    <s v="F3"/>
    <s v="POSS DRUG"/>
    <m/>
    <m/>
    <m/>
    <m/>
    <m/>
    <m/>
    <m/>
    <m/>
    <m/>
    <s v="Hired Attorney"/>
    <m/>
    <m/>
    <n v="1"/>
    <n v="161"/>
    <n v="163"/>
    <n v="23.420765027322403"/>
    <n v="0"/>
    <n v="-160"/>
    <s v="DEFERRED"/>
    <x v="1"/>
    <s v="Y"/>
    <m/>
    <s v="DEFERRED"/>
    <s v="Y"/>
    <x v="1"/>
    <x v="0"/>
    <s v="Y"/>
    <n v="6.1349693251533744E-3"/>
    <n v="6.2111801242236021E-3"/>
    <n v="7.6210799070227687E-5"/>
    <n v="0"/>
    <n v="-1"/>
    <n v="0"/>
    <n v="1"/>
    <e v="#VALUE!"/>
    <n v="1"/>
    <n v="0"/>
    <m/>
    <m/>
    <s v="Y"/>
    <m/>
    <s v="0-10 DAYS"/>
    <n v="1"/>
    <x v="0"/>
  </r>
  <r>
    <n v="560"/>
    <s v="N"/>
    <s v="N"/>
    <n v="2284756"/>
    <n v="6"/>
    <d v="2012-01-23T00:00:00"/>
    <d v="2012-05-14T00:00:00"/>
    <n v="2284756"/>
    <d v="2012-01-24T00:00:00"/>
    <d v="2012-05-14T00:00:00"/>
    <s v="NO BOND"/>
    <x v="1"/>
    <m/>
    <s v="N"/>
    <s v="NONE"/>
    <s v="GUILTY PLEA - NO JURY"/>
    <n v="112"/>
    <n v="113"/>
    <n v="0"/>
    <n v="2"/>
    <m/>
    <m/>
    <m/>
    <m/>
    <m/>
    <m/>
    <m/>
    <s v="S"/>
    <m/>
    <d v="1973-07-30T00:00:00"/>
    <s v="M"/>
    <s v="H"/>
    <s v="HISPANIC"/>
    <s v="NULL"/>
    <s v="209"/>
    <s v="CONVICTED"/>
    <n v="5"/>
    <s v="TDC"/>
    <n v="2"/>
    <m/>
    <m/>
    <s v="AGG ASSAULT-FAMILY MEMBER"/>
    <m/>
    <s v="F2"/>
    <s v="ASLT-MURDR"/>
    <m/>
    <m/>
    <m/>
    <m/>
    <m/>
    <m/>
    <m/>
    <m/>
    <m/>
    <s v="Hired Attorney"/>
    <m/>
    <m/>
    <n v="112"/>
    <n v="112"/>
    <n v="113"/>
    <n v="38.404371584699454"/>
    <n v="0"/>
    <n v="0"/>
    <s v="CONVICTION"/>
    <x v="0"/>
    <s v="N"/>
    <m/>
    <s v="CONVICTION"/>
    <s v="Y"/>
    <x v="0"/>
    <x v="0"/>
    <s v="N"/>
    <n v="0.99115044247787609"/>
    <n v="1"/>
    <n v="8.8495575221239076E-3"/>
    <n v="0"/>
    <n v="-112"/>
    <n v="0"/>
    <n v="112"/>
    <e v="#VALUE!"/>
    <n v="112"/>
    <n v="0"/>
    <m/>
    <m/>
    <s v="Y"/>
    <m/>
    <s v="91-120 DAYS"/>
    <n v="0"/>
    <x v="0"/>
  </r>
  <r>
    <n v="1683"/>
    <s v="N"/>
    <s v="N"/>
    <n v="2284804"/>
    <n v="6"/>
    <d v="2012-03-02T00:00:00"/>
    <d v="2012-06-05T00:00:00"/>
    <n v="2284804"/>
    <d v="2012-03-03T00:00:00"/>
    <d v="2012-06-05T00:00:00"/>
    <s v="NO BOND"/>
    <x v="1"/>
    <m/>
    <s v="N"/>
    <s v="NONE"/>
    <s v="GUILTY PLEA - NO JURY"/>
    <n v="95"/>
    <n v="96"/>
    <n v="1"/>
    <n v="3"/>
    <n v="1"/>
    <m/>
    <m/>
    <m/>
    <m/>
    <m/>
    <m/>
    <m/>
    <m/>
    <d v="1987-06-30T00:00:00"/>
    <s v="M"/>
    <s v="W"/>
    <s v="WHITE"/>
    <s v="NULL"/>
    <s v="339"/>
    <s v="CONVICTED"/>
    <n v="5"/>
    <s v="TDC"/>
    <n v="2"/>
    <m/>
    <m/>
    <s v="HARASSMENT OF PUBLIC SERVANT"/>
    <m/>
    <s v="F3"/>
    <s v="OTHER FEL"/>
    <m/>
    <m/>
    <m/>
    <m/>
    <m/>
    <m/>
    <m/>
    <m/>
    <m/>
    <s v="Hired Attorney"/>
    <m/>
    <m/>
    <n v="95"/>
    <n v="95"/>
    <n v="96"/>
    <n v="24.622950819672131"/>
    <n v="0"/>
    <n v="0"/>
    <s v="CONVICTION"/>
    <x v="0"/>
    <s v="N"/>
    <m/>
    <s v="CONVICTION"/>
    <s v="Y"/>
    <x v="0"/>
    <x v="0"/>
    <s v="Y"/>
    <n v="0.98958333333333337"/>
    <n v="1"/>
    <n v="1.041666666666663E-2"/>
    <n v="0"/>
    <n v="-95"/>
    <n v="0"/>
    <n v="95"/>
    <e v="#VALUE!"/>
    <n v="95"/>
    <n v="0"/>
    <m/>
    <m/>
    <s v="Y"/>
    <m/>
    <s v="91-120 DAYS"/>
    <n v="0"/>
    <x v="0"/>
  </r>
  <r>
    <n v="535"/>
    <s v="N"/>
    <s v="N"/>
    <n v="2285632"/>
    <n v="6"/>
    <d v="2012-01-22T00:00:00"/>
    <d v="2012-03-20T00:00:00"/>
    <n v="2285632"/>
    <d v="2012-01-22T00:00:00"/>
    <d v="2012-03-20T00:00:00"/>
    <n v="5000"/>
    <x v="4"/>
    <m/>
    <s v="N"/>
    <s v="NONE"/>
    <s v="GUILTY PLEA - NO JURY"/>
    <n v="59"/>
    <n v="59"/>
    <n v="0"/>
    <n v="3"/>
    <m/>
    <m/>
    <m/>
    <m/>
    <m/>
    <m/>
    <m/>
    <m/>
    <m/>
    <d v="1980-06-23T00:00:00"/>
    <s v="M"/>
    <s v="H"/>
    <s v="HISPANIC"/>
    <s v="HISPANIC"/>
    <s v="248"/>
    <s v="CONVICTED"/>
    <n v="3"/>
    <s v="TDC"/>
    <n v="2"/>
    <m/>
    <m/>
    <s v="DWI 3RD OFFENDER BAC .08"/>
    <m/>
    <s v="F3"/>
    <s v="FEL DWI"/>
    <m/>
    <m/>
    <m/>
    <m/>
    <m/>
    <m/>
    <m/>
    <m/>
    <m/>
    <s v="Public Defender"/>
    <m/>
    <m/>
    <n v="59"/>
    <n v="59"/>
    <n v="59"/>
    <n v="31.516393442622952"/>
    <n v="0"/>
    <n v="0"/>
    <s v="CONVICTION"/>
    <x v="0"/>
    <s v="N"/>
    <m/>
    <s v="CONVICTION"/>
    <s v="Y"/>
    <x v="0"/>
    <x v="0"/>
    <s v="N"/>
    <n v="1"/>
    <n v="1"/>
    <n v="0"/>
    <n v="0"/>
    <n v="-59"/>
    <n v="0"/>
    <n v="59"/>
    <e v="#VALUE!"/>
    <n v="59"/>
    <n v="0"/>
    <m/>
    <m/>
    <s v="Y"/>
    <m/>
    <s v="31-60 DAYS"/>
    <n v="3"/>
    <x v="0"/>
  </r>
  <r>
    <n v="2608"/>
    <s v="N"/>
    <s v="N"/>
    <n v="2286269"/>
    <n v="2"/>
    <d v="2012-04-06T00:00:00"/>
    <d v="2012-05-18T00:00:00"/>
    <n v="2286269"/>
    <s v="NOT BOOKED"/>
    <s v="NOT BOOKED"/>
    <n v="5000"/>
    <x v="4"/>
    <d v="2012-04-07T00:00:00"/>
    <s v="Y"/>
    <s v="SURETY"/>
    <s v="DEFERRED ADJUDICATION "/>
    <n v="0"/>
    <n v="43"/>
    <n v="1"/>
    <n v="1"/>
    <m/>
    <m/>
    <m/>
    <m/>
    <m/>
    <m/>
    <m/>
    <m/>
    <m/>
    <d v="1973-08-03T00:00:00"/>
    <s v="M"/>
    <s v="W"/>
    <s v="WHITE"/>
    <s v="NON-HISPANIC"/>
    <s v="177"/>
    <s v="DEFERRED"/>
    <n v="3"/>
    <s v="DEFERRED"/>
    <m/>
    <m/>
    <m/>
    <s v="THEFT $1500-20K"/>
    <m/>
    <s v="FS"/>
    <s v="THEFT"/>
    <m/>
    <m/>
    <m/>
    <m/>
    <m/>
    <m/>
    <m/>
    <m/>
    <m/>
    <s v="Appointed Attorney"/>
    <m/>
    <m/>
    <n v="0"/>
    <n v="0"/>
    <n v="43"/>
    <n v="38.595628415300546"/>
    <e v="#VALUE!"/>
    <e v="#VALUE!"/>
    <s v="DEFERRED"/>
    <x v="1"/>
    <s v="Y"/>
    <m/>
    <s v="DEFERRED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3018"/>
    <s v="N"/>
    <s v="N"/>
    <n v="2286388"/>
    <n v="5"/>
    <d v="2012-04-21T00:00:00"/>
    <d v="2012-05-24T00:00:00"/>
    <n v="2286388"/>
    <d v="2012-04-21T00:00:00"/>
    <d v="2012-05-24T00:00:00"/>
    <n v="15000"/>
    <x v="0"/>
    <m/>
    <s v="N"/>
    <s v="NONE"/>
    <s v="GUILTY PLEA - NO JURY"/>
    <n v="34"/>
    <n v="34"/>
    <n v="6"/>
    <n v="3"/>
    <n v="3"/>
    <m/>
    <m/>
    <m/>
    <m/>
    <m/>
    <m/>
    <m/>
    <m/>
    <d v="1974-10-24T00:00:00"/>
    <s v="F"/>
    <s v="B"/>
    <s v="BLACK"/>
    <s v="NULL"/>
    <s v="230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34"/>
    <n v="34"/>
    <n v="34"/>
    <n v="37.415300546448087"/>
    <n v="0"/>
    <n v="0"/>
    <s v="CONVICTION"/>
    <x v="0"/>
    <s v="N"/>
    <m/>
    <s v="CONVICTION"/>
    <s v="Y"/>
    <x v="0"/>
    <x v="0"/>
    <s v="Y"/>
    <n v="1"/>
    <n v="1"/>
    <n v="0"/>
    <n v="0"/>
    <n v="-34"/>
    <n v="0"/>
    <n v="34"/>
    <e v="#VALUE!"/>
    <n v="34"/>
    <n v="0"/>
    <m/>
    <m/>
    <s v="Y"/>
    <m/>
    <s v="31-60 DAYS"/>
    <n v="3"/>
    <x v="0"/>
  </r>
  <r>
    <n v="2879"/>
    <s v="N"/>
    <s v="N"/>
    <n v="2287109"/>
    <n v="6"/>
    <d v="2012-04-17T00:00:00"/>
    <d v="2012-11-09T00:00:00"/>
    <n v="2287109"/>
    <d v="2012-04-17T00:00:00"/>
    <d v="2012-11-09T00:00:00"/>
    <s v="NO BOND"/>
    <x v="1"/>
    <m/>
    <s v="N"/>
    <s v="NONE"/>
    <s v="GUILTY PLEA - NO JURY"/>
    <n v="207"/>
    <n v="207"/>
    <n v="2"/>
    <n v="3"/>
    <n v="2"/>
    <m/>
    <m/>
    <m/>
    <m/>
    <m/>
    <m/>
    <m/>
    <m/>
    <d v="1985-10-14T00:00:00"/>
    <s v="M"/>
    <s v="H"/>
    <s v="HISPANIC"/>
    <s v="HISPANIC"/>
    <s v="180"/>
    <s v="CONVICTED"/>
    <n v="8"/>
    <s v="TDC"/>
    <n v="2"/>
    <m/>
    <m/>
    <s v="POSS CS PG 1  1 - 4 GRAMS"/>
    <m/>
    <s v="F3"/>
    <s v="POSS DRUG"/>
    <m/>
    <m/>
    <m/>
    <m/>
    <m/>
    <m/>
    <m/>
    <m/>
    <m/>
    <s v="Appointed Attorney"/>
    <m/>
    <m/>
    <n v="207"/>
    <n v="207"/>
    <n v="207"/>
    <n v="26.453551912568305"/>
    <n v="0"/>
    <n v="0"/>
    <s v="CONVICTION"/>
    <x v="0"/>
    <s v="N"/>
    <m/>
    <s v="CONVICTION"/>
    <s v="Y"/>
    <x v="0"/>
    <x v="0"/>
    <s v="Y"/>
    <n v="1"/>
    <n v="1"/>
    <n v="0"/>
    <n v="0"/>
    <n v="-207"/>
    <n v="0"/>
    <n v="207"/>
    <e v="#VALUE!"/>
    <n v="207"/>
    <n v="0"/>
    <m/>
    <m/>
    <s v="Y"/>
    <m/>
    <s v="121-365 DAYS"/>
    <n v="6"/>
    <x v="0"/>
  </r>
  <r>
    <n v="1839"/>
    <s v="N"/>
    <s v="N"/>
    <n v="2288053"/>
    <n v="6"/>
    <d v="2012-03-09T00:00:00"/>
    <d v="2013-01-31T00:00:00"/>
    <n v="2288053"/>
    <d v="2012-03-09T00:00:00"/>
    <d v="2013-01-31T00:00:00"/>
    <n v="40000"/>
    <x v="2"/>
    <m/>
    <s v="N"/>
    <s v="NONE"/>
    <s v="GUILTY PLEA - NO JURY"/>
    <n v="329"/>
    <n v="329"/>
    <n v="1"/>
    <n v="7"/>
    <m/>
    <m/>
    <m/>
    <m/>
    <m/>
    <m/>
    <m/>
    <m/>
    <m/>
    <d v="1989-04-23T00:00:00"/>
    <s v="M"/>
    <s v="B"/>
    <s v="BLACK"/>
    <s v="NON-HISPANIC"/>
    <s v="208"/>
    <s v="CONVICTED"/>
    <n v="10"/>
    <s v="TDC"/>
    <n v="5"/>
    <m/>
    <m/>
    <s v="POSS W/INT DEL CS PG1&gt;=4 &lt;200"/>
    <m/>
    <s v="F1"/>
    <s v="SALE DRUG"/>
    <m/>
    <m/>
    <m/>
    <m/>
    <m/>
    <m/>
    <m/>
    <m/>
    <m/>
    <s v="Appointed Attorney"/>
    <m/>
    <m/>
    <n v="329"/>
    <n v="329"/>
    <n v="329"/>
    <n v="22.830601092896174"/>
    <n v="0"/>
    <n v="0"/>
    <s v="CONVICTION"/>
    <x v="0"/>
    <s v="N"/>
    <m/>
    <s v="CONVICTION"/>
    <s v="Y"/>
    <x v="0"/>
    <x v="0"/>
    <s v="Y"/>
    <n v="1"/>
    <n v="1"/>
    <n v="0"/>
    <n v="0"/>
    <n v="-329"/>
    <n v="0"/>
    <n v="329"/>
    <e v="#VALUE!"/>
    <n v="329"/>
    <n v="0"/>
    <m/>
    <m/>
    <s v="Y"/>
    <m/>
    <s v="121-365 DAYS"/>
    <n v="6"/>
    <x v="0"/>
  </r>
  <r>
    <n v="2181"/>
    <s v="N"/>
    <s v="N"/>
    <n v="2289925"/>
    <n v="2"/>
    <d v="2012-03-22T00:00:00"/>
    <d v="2012-09-25T00:00:00"/>
    <n v="2289925"/>
    <d v="2012-03-22T00:00:00"/>
    <d v="2012-09-25T00:00:00"/>
    <s v="NO BOND"/>
    <x v="1"/>
    <m/>
    <s v="N"/>
    <s v="NONE"/>
    <s v="DEFERRED ADJUDICATION "/>
    <n v="188"/>
    <n v="188"/>
    <n v="0"/>
    <n v="2"/>
    <m/>
    <m/>
    <m/>
    <m/>
    <m/>
    <m/>
    <m/>
    <m/>
    <m/>
    <d v="1989-12-26T00:00:00"/>
    <s v="M"/>
    <s v="B"/>
    <s v="BLACK"/>
    <s v="NON-HISPANIC"/>
    <s v="183"/>
    <s v="DEFERRED"/>
    <n v="9"/>
    <s v="DEFERRED"/>
    <m/>
    <m/>
    <n v="180"/>
    <s v="AGG SEX ASSLT CHILD-UNDER 14"/>
    <m/>
    <s v="F1"/>
    <s v="SEX ABUSE"/>
    <m/>
    <m/>
    <m/>
    <m/>
    <m/>
    <m/>
    <m/>
    <m/>
    <m/>
    <s v="Hired Attorney"/>
    <m/>
    <m/>
    <n v="188"/>
    <n v="188"/>
    <n v="188"/>
    <n v="22.191256830601095"/>
    <n v="0"/>
    <n v="0"/>
    <s v="DEFERRED"/>
    <x v="0"/>
    <s v="N"/>
    <m/>
    <s v="DEFERRED"/>
    <s v="Y"/>
    <x v="0"/>
    <x v="0"/>
    <s v="N"/>
    <n v="1"/>
    <n v="1"/>
    <n v="0"/>
    <n v="0"/>
    <n v="-188"/>
    <n v="0"/>
    <n v="188"/>
    <e v="#VALUE!"/>
    <n v="188"/>
    <n v="0"/>
    <m/>
    <m/>
    <s v="Y"/>
    <m/>
    <s v="121-365 DAYS"/>
    <n v="6"/>
    <x v="0"/>
  </r>
  <r>
    <n v="2662"/>
    <s v="N"/>
    <s v="N"/>
    <n v="2290249"/>
    <n v="2"/>
    <d v="2012-04-08T00:00:00"/>
    <d v="2012-08-08T00:00:00"/>
    <n v="2290249"/>
    <d v="2012-04-18T00:00:00"/>
    <d v="2012-04-21T00:00:00"/>
    <n v="15000"/>
    <x v="0"/>
    <d v="2012-04-21T00:00:00"/>
    <s v="Y"/>
    <s v="SURETYPTRc"/>
    <s v="DEFERRED ADJUDICATION "/>
    <n v="4"/>
    <n v="123"/>
    <n v="0"/>
    <n v="0"/>
    <m/>
    <m/>
    <m/>
    <m/>
    <m/>
    <m/>
    <m/>
    <m/>
    <m/>
    <d v="1985-12-11T00:00:00"/>
    <s v="M"/>
    <s v="B"/>
    <s v="BLACK"/>
    <s v="NON-HISPANIC"/>
    <s v="183"/>
    <s v="DEFERRED"/>
    <n v="7"/>
    <s v="DEFERRED"/>
    <m/>
    <m/>
    <m/>
    <s v="BURGLARY OF HABITATION"/>
    <m/>
    <s v="F2"/>
    <s v="BURGLARY"/>
    <m/>
    <m/>
    <m/>
    <m/>
    <m/>
    <m/>
    <m/>
    <m/>
    <m/>
    <s v="Hired Attorney"/>
    <m/>
    <m/>
    <n v="4"/>
    <n v="113"/>
    <n v="123"/>
    <n v="26.270491803278688"/>
    <n v="0"/>
    <n v="-109"/>
    <s v="DEFERRED"/>
    <x v="1"/>
    <s v="Y"/>
    <m/>
    <s v="DEFERRED"/>
    <s v="Y"/>
    <x v="1"/>
    <x v="0"/>
    <s v="N"/>
    <n v="3.2520325203252036E-2"/>
    <n v="3.5398230088495575E-2"/>
    <n v="2.8779048852435388E-3"/>
    <n v="0"/>
    <n v="-4"/>
    <n v="0"/>
    <n v="4"/>
    <e v="#VALUE!"/>
    <n v="4"/>
    <n v="0"/>
    <m/>
    <m/>
    <s v="N"/>
    <m/>
    <s v="0-10 DAYS"/>
    <n v="1"/>
    <x v="0"/>
  </r>
  <r>
    <n v="2698"/>
    <s v="N"/>
    <s v="N"/>
    <n v="2290385"/>
    <n v="5"/>
    <d v="2012-04-10T00:00:00"/>
    <d v="2012-04-13T00:00:00"/>
    <n v="2290385"/>
    <d v="2012-04-10T00:00:00"/>
    <d v="2012-04-13T00:00:00"/>
    <n v="15000"/>
    <x v="0"/>
    <m/>
    <s v="N"/>
    <s v="NONE"/>
    <s v="GUILTY PLEA - NO JURY"/>
    <n v="4"/>
    <n v="4"/>
    <n v="6"/>
    <n v="5"/>
    <n v="1"/>
    <m/>
    <m/>
    <m/>
    <m/>
    <m/>
    <m/>
    <m/>
    <m/>
    <d v="1965-12-07T00:00:00"/>
    <s v="M"/>
    <s v="B"/>
    <s v="BLACK"/>
    <s v="NON-HISPANIC"/>
    <s v="230"/>
    <s v="CONVICTED"/>
    <n v="2"/>
    <s v="STJ"/>
    <m/>
    <n v="7"/>
    <m/>
    <s v="THEFT UNDER $1500 - 3RD OFF."/>
    <m/>
    <s v="FS"/>
    <s v="THEFT"/>
    <s v="6/20/12 two fel  auto and evad 2 yrs TDC"/>
    <m/>
    <m/>
    <m/>
    <m/>
    <m/>
    <m/>
    <m/>
    <m/>
    <s v="Appointed Attorney"/>
    <m/>
    <m/>
    <n v="4"/>
    <n v="4"/>
    <n v="4"/>
    <n v="46.245901639344261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m/>
    <m/>
    <s v="Y"/>
    <m/>
    <s v="0-10 DAYS"/>
    <n v="1"/>
    <x v="0"/>
  </r>
  <r>
    <n v="1403"/>
    <s v="N"/>
    <s v="N"/>
    <n v="2290677"/>
    <n v="2"/>
    <d v="2012-02-21T00:00:00"/>
    <d v="2012-02-24T00:00:00"/>
    <n v="2290677"/>
    <d v="2012-02-22T00:00:00"/>
    <d v="2012-02-24T00:00:00"/>
    <n v="2000"/>
    <x v="5"/>
    <m/>
    <s v="N"/>
    <s v="NONE"/>
    <s v="DEFERRED ADJUDICATION "/>
    <n v="3"/>
    <n v="4"/>
    <n v="1"/>
    <n v="3"/>
    <m/>
    <m/>
    <m/>
    <m/>
    <m/>
    <m/>
    <m/>
    <m/>
    <m/>
    <d v="1975-12-07T00:00:00"/>
    <s v="M"/>
    <s v="B"/>
    <s v="BLACK"/>
    <s v="NULL"/>
    <s v="228"/>
    <s v="DEFERRED"/>
    <n v="2"/>
    <s v="DEFERRED"/>
    <m/>
    <m/>
    <m/>
    <s v="THEFT OF FIREARM"/>
    <m/>
    <s v="FS"/>
    <s v="THEFT"/>
    <s v="def adj rev 4/19 12 auto theft 8m st jail misd evade 4/24/12 hcj 60 d"/>
    <m/>
    <m/>
    <m/>
    <m/>
    <m/>
    <m/>
    <m/>
    <m/>
    <s v="Appointed Attorney"/>
    <m/>
    <m/>
    <n v="3"/>
    <n v="3"/>
    <n v="4"/>
    <n v="36.133879781420767"/>
    <n v="0"/>
    <n v="0"/>
    <s v="DEFERRED"/>
    <x v="0"/>
    <s v="N"/>
    <m/>
    <s v="DEFERRED"/>
    <s v="Y"/>
    <x v="0"/>
    <x v="0"/>
    <s v="Y"/>
    <n v="0.75"/>
    <n v="1"/>
    <n v="0.25"/>
    <n v="0"/>
    <n v="-3"/>
    <n v="0"/>
    <n v="3"/>
    <e v="#VALUE!"/>
    <n v="3"/>
    <n v="0"/>
    <m/>
    <m/>
    <s v="Y"/>
    <m/>
    <s v="0-10 DAYS"/>
    <n v="1"/>
    <x v="0"/>
  </r>
  <r>
    <n v="1326"/>
    <s v="N"/>
    <s v="N"/>
    <n v="2291020"/>
    <n v="6"/>
    <d v="2012-02-17T00:00:00"/>
    <d v="2012-12-17T00:00:00"/>
    <n v="2291020"/>
    <d v="2012-02-18T00:00:00"/>
    <d v="2012-12-17T00:00:00"/>
    <n v="30000"/>
    <x v="2"/>
    <m/>
    <s v="N"/>
    <s v="NONE"/>
    <s v="GUILTY PLEA - NO JURY"/>
    <n v="304"/>
    <n v="305"/>
    <n v="3"/>
    <n v="6"/>
    <n v="1"/>
    <m/>
    <m/>
    <m/>
    <m/>
    <m/>
    <m/>
    <m/>
    <m/>
    <d v="1981-09-15T00:00:00"/>
    <s v="M"/>
    <s v="B"/>
    <s v="BLACK"/>
    <s v="NON-HISPANIC"/>
    <s v="209"/>
    <s v="CONVICTED"/>
    <n v="11"/>
    <s v="TDC"/>
    <n v="2"/>
    <m/>
    <m/>
    <s v="UNAUTH USE OF VEHICLE"/>
    <m/>
    <s v="FS"/>
    <s v="AUTO THEFT"/>
    <m/>
    <m/>
    <m/>
    <m/>
    <m/>
    <m/>
    <m/>
    <m/>
    <m/>
    <s v="Appointed Attorney"/>
    <m/>
    <m/>
    <n v="304"/>
    <n v="304"/>
    <n v="305"/>
    <n v="30.360655737704917"/>
    <n v="0"/>
    <n v="0"/>
    <s v="CONVICTION"/>
    <x v="0"/>
    <s v="N"/>
    <m/>
    <s v="CONVICTION"/>
    <s v="Y"/>
    <x v="0"/>
    <x v="0"/>
    <s v="Y"/>
    <n v="0.99672131147540988"/>
    <n v="1"/>
    <n v="3.2786885245901232E-3"/>
    <n v="0"/>
    <n v="-304"/>
    <n v="0"/>
    <n v="304"/>
    <e v="#VALUE!"/>
    <n v="304"/>
    <n v="0"/>
    <m/>
    <m/>
    <s v="Y"/>
    <m/>
    <s v="121-365 DAYS"/>
    <n v="6"/>
    <x v="0"/>
  </r>
  <r>
    <n v="129"/>
    <s v="N"/>
    <s v="N"/>
    <n v="2291175"/>
    <n v="6"/>
    <d v="2012-02-09T00:00:00"/>
    <d v="2014-03-28T00:00:00"/>
    <n v="2291175"/>
    <d v="2012-02-10T00:00:00"/>
    <m/>
    <s v="NO BOND"/>
    <x v="1"/>
    <m/>
    <s v="N"/>
    <s v="NONE"/>
    <s v="GUILTY PLEA - NO JURY"/>
    <n v="421"/>
    <n v="779"/>
    <n v="1"/>
    <n v="0"/>
    <n v="1"/>
    <m/>
    <m/>
    <m/>
    <m/>
    <m/>
    <m/>
    <m/>
    <m/>
    <d v="1990-03-21T00:00:00"/>
    <s v="M"/>
    <s v="W"/>
    <s v="WHITE"/>
    <s v="NULL"/>
    <s v="209"/>
    <s v="CONVICTED"/>
    <n v="6"/>
    <s v="TDC"/>
    <n v="45"/>
    <m/>
    <m/>
    <s v="MURDER"/>
    <m/>
    <s v="F2"/>
    <s v="ASLT-MURDR"/>
    <s v="MHH ISSUES"/>
    <m/>
    <m/>
    <m/>
    <m/>
    <m/>
    <m/>
    <m/>
    <m/>
    <s v="Appointed Attorney"/>
    <m/>
    <m/>
    <n v="421"/>
    <n v="778"/>
    <n v="779"/>
    <n v="21.844262295081968"/>
    <n v="41726"/>
    <n v="-41726"/>
    <s v="CONVICTION"/>
    <x v="0"/>
    <s v="N"/>
    <m/>
    <s v="CONVICTION"/>
    <s v="Y"/>
    <x v="0"/>
    <x v="0"/>
    <s v="Y"/>
    <n v="0.54043645699614895"/>
    <n v="0.54039999999999999"/>
    <n v="0"/>
    <n v="0"/>
    <n v="40948"/>
    <n v="41369"/>
    <n v="778"/>
    <e v="#VALUE!"/>
    <n v="421"/>
    <m/>
    <m/>
    <m/>
    <s v="Y"/>
    <e v="#N/A"/>
    <s v=" &gt;1YRS&lt;2YRS"/>
    <n v="0"/>
    <x v="0"/>
  </r>
  <r>
    <n v="2511"/>
    <s v="N"/>
    <s v="N"/>
    <n v="2292327"/>
    <n v="1"/>
    <d v="2012-04-04T00:00:00"/>
    <d v="2012-04-05T00:00:00"/>
    <n v="2292327"/>
    <s v="NOT BOOKED"/>
    <s v="NOT BOOKED"/>
    <n v="100000"/>
    <x v="2"/>
    <m/>
    <s v="NO BOND MADE - NON ARREST"/>
    <s v="NONE"/>
    <s v="DISMISSED"/>
    <n v="0"/>
    <n v="2"/>
    <n v="0"/>
    <n v="1"/>
    <m/>
    <m/>
    <m/>
    <m/>
    <m/>
    <m/>
    <m/>
    <m/>
    <m/>
    <d v="1974-03-25T00:00:00"/>
    <s v="M"/>
    <s v="B"/>
    <s v="BLACK"/>
    <s v="NULL"/>
    <s v="185"/>
    <s v="DISMISSED"/>
    <n v="1"/>
    <s v="DISMISSED"/>
    <m/>
    <m/>
    <m/>
    <s v="AGG ASSAULT-FAMILY MEMBER"/>
    <m/>
    <s v="F2"/>
    <s v="ASLT-MURDR"/>
    <m/>
    <m/>
    <m/>
    <m/>
    <m/>
    <m/>
    <m/>
    <m/>
    <m/>
    <s v="Other/Unknown"/>
    <m/>
    <m/>
    <n v="0"/>
    <n v="0"/>
    <n v="2"/>
    <n v="37.950819672131146"/>
    <e v="#VALUE!"/>
    <e v="#VALUE!"/>
    <s v="NO CONVICTION"/>
    <x v="0"/>
    <s v="N"/>
    <m/>
    <s v="NO CONVICTION"/>
    <n v="0"/>
    <x v="2"/>
    <x v="0"/>
    <s v="N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1938"/>
    <s v="Y"/>
    <s v="N"/>
    <n v="2292343"/>
    <n v="1"/>
    <d v="2012-03-12T00:00:00"/>
    <d v="2012-03-15T00:00:00"/>
    <n v="2292343"/>
    <d v="2012-03-14T00:00:00"/>
    <d v="2012-03-15T00:00:00"/>
    <n v="10000"/>
    <x v="3"/>
    <m/>
    <s v="N"/>
    <s v="NONE"/>
    <s v="NO BILL"/>
    <n v="2"/>
    <n v="4"/>
    <n v="2"/>
    <n v="2"/>
    <n v="1"/>
    <m/>
    <m/>
    <m/>
    <m/>
    <m/>
    <m/>
    <m/>
    <m/>
    <d v="1987-09-25T00:00:00"/>
    <s v="F"/>
    <s v="B"/>
    <s v="BLACK"/>
    <s v="NON-HISPANIC"/>
    <s v="177"/>
    <s v="NO BILL"/>
    <n v="1"/>
    <s v="NO BILL"/>
    <m/>
    <m/>
    <m/>
    <s v="HINDER APPREHENSION"/>
    <m/>
    <s v="F3"/>
    <s v="OTHER FEL"/>
    <m/>
    <m/>
    <m/>
    <m/>
    <m/>
    <m/>
    <m/>
    <m/>
    <m/>
    <s v="Other/Unknown"/>
    <s v="2 violent fel pend 7/2/13 bonds made"/>
    <m/>
    <n v="2"/>
    <n v="2"/>
    <n v="4"/>
    <n v="24.412568306010929"/>
    <n v="0"/>
    <n v="0"/>
    <s v="NO CONVICTION"/>
    <x v="0"/>
    <s v="N"/>
    <m/>
    <s v="NO CONVICTION"/>
    <s v="Y"/>
    <x v="0"/>
    <x v="0"/>
    <s v="Y"/>
    <n v="0.5"/>
    <n v="1"/>
    <n v="0.5"/>
    <n v="0"/>
    <n v="-2"/>
    <n v="0"/>
    <n v="2"/>
    <e v="#VALUE!"/>
    <n v="2"/>
    <n v="0"/>
    <m/>
    <m/>
    <s v="Y"/>
    <m/>
    <s v="0-10 DAYS"/>
    <n v="1"/>
    <x v="0"/>
  </r>
  <r>
    <n v="479"/>
    <s v="N"/>
    <s v="N"/>
    <n v="2292797"/>
    <n v="5"/>
    <d v="2012-01-20T00:00:00"/>
    <d v="2012-02-01T00:00:00"/>
    <n v="2292797"/>
    <d v="2012-01-20T00:00:00"/>
    <d v="2012-02-01T00:00:00"/>
    <n v="2000"/>
    <x v="5"/>
    <m/>
    <s v="N"/>
    <s v="NONE"/>
    <s v="GUILTY PLEA - NO JURY"/>
    <n v="13"/>
    <n v="13"/>
    <n v="1"/>
    <n v="4"/>
    <n v="1"/>
    <m/>
    <m/>
    <m/>
    <m/>
    <m/>
    <m/>
    <m/>
    <m/>
    <d v="1987-08-29T00:00:00"/>
    <s v="M"/>
    <s v="H"/>
    <s v="HISPANIC"/>
    <s v="HISPANIC"/>
    <s v="179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13"/>
    <n v="13"/>
    <n v="13"/>
    <n v="24.344262295081968"/>
    <n v="0"/>
    <n v="0"/>
    <s v="CONVICTION"/>
    <x v="0"/>
    <s v="N"/>
    <m/>
    <s v="CONVICTION"/>
    <s v="Y"/>
    <x v="0"/>
    <x v="0"/>
    <s v="Y"/>
    <n v="1"/>
    <n v="1"/>
    <n v="0"/>
    <n v="0"/>
    <n v="-13"/>
    <n v="0"/>
    <n v="13"/>
    <e v="#VALUE!"/>
    <n v="13"/>
    <n v="0"/>
    <m/>
    <m/>
    <s v="Y"/>
    <m/>
    <s v="11-30 DAYS"/>
    <n v="2"/>
    <x v="0"/>
  </r>
  <r>
    <n v="3156"/>
    <s v="Y"/>
    <s v="Y"/>
    <n v="2292963"/>
    <n v="2"/>
    <d v="2012-04-26T00:00:00"/>
    <d v="2012-06-29T00:00:00"/>
    <n v="2292963"/>
    <d v="2012-04-26T00:00:00"/>
    <d v="2012-04-27T00:00:00"/>
    <n v="10000"/>
    <x v="3"/>
    <d v="2012-04-27T00:00:00"/>
    <s v="Y"/>
    <s v="SURETYPTRc"/>
    <s v="DEFERRED ADJUDICATION "/>
    <n v="39"/>
    <n v="65"/>
    <n v="0"/>
    <n v="0"/>
    <m/>
    <m/>
    <m/>
    <m/>
    <m/>
    <m/>
    <m/>
    <m/>
    <m/>
    <d v="1988-12-03T00:00:00"/>
    <s v="F"/>
    <s v="W"/>
    <s v="WHITE"/>
    <s v="NON-HISPANIC"/>
    <s v="248"/>
    <s v="DEFERRED"/>
    <n v="4"/>
    <s v="DEFERRED"/>
    <m/>
    <m/>
    <m/>
    <s v="MAN/DEL CS PG I &lt;1GRAM"/>
    <m/>
    <s v="FS"/>
    <s v="SALE DRUG"/>
    <s v="   misd DWI 7/3/12 30 d hcj"/>
    <s v="bd rev5/22/12"/>
    <m/>
    <m/>
    <s v="Y"/>
    <m/>
    <m/>
    <m/>
    <m/>
    <s v="Appointed Attorney"/>
    <s v="m dwi 7/3/12 30 d"/>
    <m/>
    <n v="39"/>
    <n v="65"/>
    <n v="65"/>
    <n v="23.346994535519126"/>
    <n v="0"/>
    <n v="-63"/>
    <s v="DEFERRED"/>
    <x v="1"/>
    <s v="Y"/>
    <m/>
    <s v="DEFERRED"/>
    <s v="Y"/>
    <x v="1"/>
    <x v="0"/>
    <s v="N"/>
    <n v="0.6"/>
    <n v="3.0769230769230771E-2"/>
    <n v="-0.56923076923076921"/>
    <n v="0"/>
    <n v="-2"/>
    <n v="37"/>
    <n v="2"/>
    <n v="39"/>
    <m/>
    <n v="63"/>
    <m/>
    <m/>
    <s v="N"/>
    <m/>
    <s v="31-60 DAYS"/>
    <n v="3"/>
    <x v="0"/>
  </r>
  <r>
    <n v="1572"/>
    <s v="N"/>
    <s v="N"/>
    <n v="2293501"/>
    <n v="2"/>
    <d v="2012-02-28T00:00:00"/>
    <d v="2012-06-13T00:00:00"/>
    <n v="2293501"/>
    <d v="2012-02-28T00:00:00"/>
    <d v="2012-02-29T00:00:00"/>
    <n v="2000"/>
    <x v="5"/>
    <d v="2012-02-29T00:00:00"/>
    <s v="Y"/>
    <s v="SURETY"/>
    <s v="DEFERRED ADJUDICATION "/>
    <n v="2"/>
    <n v="107"/>
    <n v="0"/>
    <n v="3"/>
    <m/>
    <m/>
    <m/>
    <m/>
    <m/>
    <m/>
    <m/>
    <m/>
    <m/>
    <d v="1990-02-13T00:00:00"/>
    <s v="M"/>
    <s v="W"/>
    <s v="WHITE"/>
    <s v="NULL"/>
    <s v="180"/>
    <s v="DEFERRED"/>
    <n v="6"/>
    <s v="DEFERRED"/>
    <m/>
    <m/>
    <m/>
    <s v="POSS CS PG 1 &lt;1G"/>
    <m/>
    <s v="FS"/>
    <s v="POSS DRUG"/>
    <m/>
    <m/>
    <m/>
    <m/>
    <m/>
    <m/>
    <m/>
    <m/>
    <m/>
    <s v="Public Defender"/>
    <m/>
    <m/>
    <n v="2"/>
    <n v="107"/>
    <n v="107"/>
    <n v="21.994535519125684"/>
    <n v="0"/>
    <n v="-105"/>
    <s v="DEFERRED"/>
    <x v="1"/>
    <s v="Y"/>
    <m/>
    <s v="DEFERRED"/>
    <s v="Y"/>
    <x v="1"/>
    <x v="0"/>
    <s v="N"/>
    <n v="1.8691588785046728E-2"/>
    <n v="1.8691588785046728E-2"/>
    <n v="0"/>
    <n v="0"/>
    <n v="-2"/>
    <n v="0"/>
    <n v="2"/>
    <e v="#VALUE!"/>
    <n v="2"/>
    <n v="0"/>
    <m/>
    <m/>
    <s v="Y"/>
    <m/>
    <s v="0-10 DAYS"/>
    <n v="1"/>
    <x v="0"/>
  </r>
  <r>
    <n v="761"/>
    <s v="N"/>
    <s v="N"/>
    <n v="2294707"/>
    <n v="5"/>
    <d v="2012-01-30T00:00:00"/>
    <d v="2012-06-13T00:00:00"/>
    <n v="2294707"/>
    <s v="NOT BOOKED"/>
    <s v="NOT BOOKED"/>
    <n v="5000"/>
    <x v="4"/>
    <d v="2012-02-01T00:00:00"/>
    <s v="Y"/>
    <s v="SURETYPTRc"/>
    <s v="GUILTY PLEA - NO JURY"/>
    <n v="0"/>
    <n v="136"/>
    <n v="1"/>
    <n v="5"/>
    <m/>
    <n v="1"/>
    <m/>
    <m/>
    <m/>
    <m/>
    <m/>
    <m/>
    <m/>
    <d v="1990-04-24T00:00:00"/>
    <s v="M"/>
    <s v="H"/>
    <s v="HISPANIC"/>
    <s v="HISPANIC"/>
    <s v="337"/>
    <s v="CONVICTED"/>
    <n v="5"/>
    <s v="STJ"/>
    <m/>
    <n v="7"/>
    <m/>
    <s v="THEFT $1500-20K"/>
    <m/>
    <s v="FS"/>
    <s v="THEFT"/>
    <m/>
    <m/>
    <m/>
    <m/>
    <m/>
    <m/>
    <m/>
    <m/>
    <m/>
    <s v="Hired Attorney"/>
    <m/>
    <m/>
    <n v="0"/>
    <n v="0"/>
    <n v="136"/>
    <n v="21.724043715846996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69"/>
    <s v="N"/>
    <s v="N"/>
    <n v="2295440"/>
    <n v="4"/>
    <d v="2012-01-04T00:00:00"/>
    <d v="2012-03-06T00:00:00"/>
    <n v="2295440"/>
    <d v="2012-01-12T00:00:00"/>
    <d v="2012-03-06T00:00:00"/>
    <n v="10000"/>
    <x v="3"/>
    <m/>
    <s v="N"/>
    <s v="NONE"/>
    <s v="GUILTY PLEA - NO JURY"/>
    <n v="55"/>
    <n v="63"/>
    <n v="0"/>
    <n v="3"/>
    <m/>
    <m/>
    <m/>
    <m/>
    <m/>
    <m/>
    <m/>
    <m/>
    <m/>
    <d v="1990-03-11T00:00:00"/>
    <s v="M"/>
    <s v="W"/>
    <s v="WHITE"/>
    <s v="NON-HISPANIC"/>
    <s v="230"/>
    <s v="CONVICTED"/>
    <n v="4"/>
    <s v="HCJ"/>
    <m/>
    <m/>
    <n v="365"/>
    <s v="BURGLARY OF A BUILDING"/>
    <m/>
    <s v="FS"/>
    <s v="BURGLARY"/>
    <m/>
    <m/>
    <m/>
    <m/>
    <m/>
    <m/>
    <m/>
    <m/>
    <m/>
    <s v="Appointed Attorney"/>
    <m/>
    <m/>
    <n v="55"/>
    <n v="55"/>
    <n v="63"/>
    <n v="21.773224043715846"/>
    <n v="0"/>
    <n v="0"/>
    <s v="CONVICTION"/>
    <x v="0"/>
    <s v="N"/>
    <m/>
    <s v="CONVICTION"/>
    <s v="Y"/>
    <x v="0"/>
    <x v="0"/>
    <s v="N"/>
    <n v="0.87301587301587302"/>
    <n v="1"/>
    <n v="0.12698412698412698"/>
    <n v="0"/>
    <n v="-55"/>
    <n v="0"/>
    <n v="55"/>
    <e v="#VALUE!"/>
    <n v="55"/>
    <n v="0"/>
    <m/>
    <m/>
    <s v="Y"/>
    <m/>
    <s v="31-60 DAYS"/>
    <n v="3"/>
    <x v="0"/>
  </r>
  <r>
    <n v="430"/>
    <s v="Y"/>
    <s v="Y"/>
    <n v="2295684"/>
    <n v="2"/>
    <d v="2012-01-18T00:00:00"/>
    <d v="2013-01-29T00:00:00"/>
    <n v="2295684"/>
    <d v="2012-01-19T00:00:00"/>
    <d v="2012-01-20T00:00:00"/>
    <n v="5000"/>
    <x v="4"/>
    <d v="2012-01-20T00:00:00"/>
    <s v="Y"/>
    <s v="SURETY"/>
    <s v="DEFERRED ADJUDICATION "/>
    <n v="82"/>
    <n v="378"/>
    <n v="0"/>
    <n v="2"/>
    <m/>
    <m/>
    <m/>
    <m/>
    <m/>
    <m/>
    <m/>
    <m/>
    <m/>
    <d v="1986-08-02T00:00:00"/>
    <s v="M"/>
    <s v="B"/>
    <s v="BLACK"/>
    <s v="NULL"/>
    <s v="209"/>
    <s v="DEFERRED"/>
    <n v="10"/>
    <s v="DEFERRED"/>
    <m/>
    <m/>
    <m/>
    <s v="POSS CS PG 1  1 - 4 GRAMS"/>
    <m/>
    <s v="F3"/>
    <s v="POSS DRUG"/>
    <s v="bf 8/29/12 arrest  on rob bk 11/9/12 recal deten def adj revoked"/>
    <m/>
    <s v="Y"/>
    <d v="2012-08-29T00:00:00"/>
    <s v="Y"/>
    <m/>
    <m/>
    <d v="2013-05-01T00:00:00"/>
    <n v="282"/>
    <s v="Hired Attorney"/>
    <s v="Y rob 9/6/13 tdc 2yr"/>
    <m/>
    <n v="82"/>
    <n v="377"/>
    <n v="378"/>
    <n v="25.409836065573771"/>
    <n v="0"/>
    <n v="-375"/>
    <s v="DEFERRED"/>
    <x v="1"/>
    <s v="Y"/>
    <m/>
    <s v="DEFERRED"/>
    <s v="Y"/>
    <x v="0"/>
    <x v="0"/>
    <s v="N"/>
    <n v="0.21693121693121692"/>
    <n v="5.3050397877984082E-3"/>
    <n v="-0.2116261771434185"/>
    <n v="0"/>
    <n v="-2"/>
    <n v="80"/>
    <n v="377"/>
    <n v="82"/>
    <n v="377"/>
    <n v="375"/>
    <m/>
    <m/>
    <s v="Y"/>
    <m/>
    <s v="61-90 DAYS"/>
    <n v="4"/>
    <x v="0"/>
  </r>
  <r>
    <n v="1618"/>
    <s v="N"/>
    <s v="N"/>
    <n v="2296356"/>
    <n v="6"/>
    <d v="2012-03-01T00:00:00"/>
    <d v="2012-03-08T00:00:00"/>
    <n v="2296356"/>
    <d v="2012-03-01T00:00:00"/>
    <d v="2012-03-08T00:00:00"/>
    <s v="NO BOND"/>
    <x v="1"/>
    <m/>
    <s v="N"/>
    <s v="NONE"/>
    <s v="GUILTY PLEA - NO JURY"/>
    <n v="8"/>
    <n v="8"/>
    <n v="2"/>
    <n v="2"/>
    <n v="2"/>
    <m/>
    <m/>
    <m/>
    <m/>
    <m/>
    <m/>
    <m/>
    <m/>
    <d v="1989-12-21T00:00:00"/>
    <s v="M"/>
    <s v="W"/>
    <s v="WHITE"/>
    <s v="NULL"/>
    <s v="177"/>
    <s v="CONVICTED"/>
    <n v="2"/>
    <s v="TDC"/>
    <n v="3"/>
    <m/>
    <m/>
    <s v="FELON POSS WPN"/>
    <m/>
    <s v="F3"/>
    <s v="OTHER FEL"/>
    <m/>
    <m/>
    <m/>
    <m/>
    <m/>
    <m/>
    <m/>
    <m/>
    <m/>
    <s v="Appointed Attorney"/>
    <m/>
    <m/>
    <n v="8"/>
    <n v="8"/>
    <n v="8"/>
    <n v="22.147540983606557"/>
    <n v="0"/>
    <n v="0"/>
    <s v="CONVICTION"/>
    <x v="0"/>
    <s v="N"/>
    <m/>
    <s v="CONVICTION"/>
    <s v="Y"/>
    <x v="0"/>
    <x v="0"/>
    <s v="Y"/>
    <n v="1"/>
    <n v="1"/>
    <n v="0"/>
    <n v="0"/>
    <n v="-8"/>
    <n v="0"/>
    <n v="8"/>
    <e v="#VALUE!"/>
    <n v="8"/>
    <n v="0"/>
    <m/>
    <m/>
    <s v="Y"/>
    <m/>
    <s v="0-10 DAYS"/>
    <n v="1"/>
    <x v="0"/>
  </r>
  <r>
    <n v="2918"/>
    <s v="N"/>
    <s v="Y"/>
    <n v="2297096"/>
    <n v="4"/>
    <d v="2012-04-17T00:00:00"/>
    <d v="2012-09-19T00:00:00"/>
    <n v="2297096"/>
    <d v="2012-04-18T00:00:00"/>
    <d v="2012-04-19T00:00:00"/>
    <n v="5000"/>
    <x v="4"/>
    <d v="2012-04-19T00:00:00"/>
    <s v="Y"/>
    <s v="SURETY"/>
    <s v="GUILTY PLEA - NO JURY"/>
    <n v="16"/>
    <n v="156"/>
    <n v="2"/>
    <n v="2"/>
    <n v="1"/>
    <m/>
    <m/>
    <m/>
    <m/>
    <m/>
    <m/>
    <m/>
    <m/>
    <d v="1987-05-28T00:00:00"/>
    <s v="M"/>
    <s v="B"/>
    <s v="BLACK"/>
    <s v="NON-HISPANIC"/>
    <s v="338"/>
    <s v="CONVICTED"/>
    <n v="8"/>
    <s v="HCJ"/>
    <m/>
    <m/>
    <n v="180"/>
    <s v="THEFT UNDER $1500 - 3RD OFF."/>
    <m/>
    <s v="FS"/>
    <s v="THEFT"/>
    <m/>
    <m/>
    <s v="Y"/>
    <s v="bf 8/29/12"/>
    <m/>
    <m/>
    <m/>
    <d v="2012-10-03T00:00:00"/>
    <n v="238"/>
    <s v="Hired Attorney"/>
    <m/>
    <m/>
    <n v="16"/>
    <n v="155"/>
    <n v="156"/>
    <n v="24.838797814207652"/>
    <n v="0"/>
    <n v="-153"/>
    <s v="CONVICTION"/>
    <x v="1"/>
    <s v="N"/>
    <m/>
    <s v="CONVICTION"/>
    <s v="Y"/>
    <x v="0"/>
    <x v="0"/>
    <s v="Y"/>
    <n v="0.10256410256410256"/>
    <n v="1.2903225806451613E-2"/>
    <n v="-8.9660876757650942E-2"/>
    <n v="0"/>
    <n v="-2"/>
    <n v="14"/>
    <n v="155"/>
    <n v="16"/>
    <n v="155"/>
    <n v="153"/>
    <m/>
    <m/>
    <s v="Y"/>
    <m/>
    <s v="11-30 DAYS"/>
    <n v="2"/>
    <x v="0"/>
  </r>
  <r>
    <n v="996"/>
    <s v="N"/>
    <s v="N"/>
    <n v="2297254"/>
    <n v="1"/>
    <d v="2012-02-07T00:00:00"/>
    <d v="2012-06-04T00:00:00"/>
    <n v="2297254"/>
    <d v="2012-02-08T00:00:00"/>
    <d v="2012-02-09T00:00:00"/>
    <n v="10000"/>
    <x v="3"/>
    <d v="2012-02-09T00:00:00"/>
    <s v="Y"/>
    <s v="SURETY"/>
    <s v="DISMISSED"/>
    <n v="2"/>
    <n v="119"/>
    <n v="0"/>
    <n v="1"/>
    <m/>
    <m/>
    <m/>
    <m/>
    <m/>
    <m/>
    <m/>
    <m/>
    <m/>
    <d v="1983-04-27T00:00:00"/>
    <s v="M"/>
    <s v="B"/>
    <s v="BLACK"/>
    <s v="NULL"/>
    <s v="185"/>
    <s v="DISMISSED"/>
    <n v="8"/>
    <s v="DISMISSED"/>
    <m/>
    <m/>
    <m/>
    <s v="ASSAULT-BOD INJ-FAMILY MEMBER"/>
    <m/>
    <s v="F3"/>
    <s v="ASLT-MURDR"/>
    <m/>
    <m/>
    <m/>
    <m/>
    <m/>
    <m/>
    <m/>
    <m/>
    <m/>
    <s v="Hired Attorney"/>
    <m/>
    <m/>
    <n v="2"/>
    <n v="118"/>
    <n v="119"/>
    <n v="28.724043715846996"/>
    <n v="0"/>
    <n v="-116"/>
    <s v="NO CONVICTION"/>
    <x v="1"/>
    <s v="Y"/>
    <m/>
    <s v="NO CONVICTION"/>
    <s v="Y"/>
    <x v="1"/>
    <x v="0"/>
    <s v="N"/>
    <n v="1.680672268907563E-2"/>
    <n v="1.6949152542372881E-2"/>
    <n v="1.4242985329725177E-4"/>
    <n v="0"/>
    <n v="-2"/>
    <n v="0"/>
    <n v="2"/>
    <e v="#VALUE!"/>
    <n v="2"/>
    <n v="0"/>
    <m/>
    <m/>
    <s v="Y"/>
    <m/>
    <s v="0-10 DAYS"/>
    <n v="1"/>
    <x v="0"/>
  </r>
  <r>
    <n v="246"/>
    <s v="N"/>
    <s v="N"/>
    <n v="2298356"/>
    <n v="2"/>
    <d v="2012-01-11T00:00:00"/>
    <d v="2012-01-13T00:00:00"/>
    <n v="2298356"/>
    <d v="2012-01-11T00:00:00"/>
    <d v="2012-01-13T00:00:00"/>
    <n v="5000"/>
    <x v="4"/>
    <m/>
    <s v="N"/>
    <s v="NONE"/>
    <s v="DEFERRED ADJUDICATION "/>
    <n v="3"/>
    <n v="3"/>
    <n v="0"/>
    <n v="1"/>
    <m/>
    <m/>
    <m/>
    <m/>
    <m/>
    <m/>
    <m/>
    <m/>
    <m/>
    <d v="1989-12-29T00:00:00"/>
    <s v="M"/>
    <s v="B"/>
    <s v="BLACK"/>
    <s v="NON-HISPANIC"/>
    <s v="183"/>
    <s v="DEFERRED"/>
    <n v="1"/>
    <s v="DEFERRED"/>
    <m/>
    <m/>
    <m/>
    <s v="FORGERY GOVT FINANCIAL INST"/>
    <m/>
    <s v="F3"/>
    <s v="OTHER FEL"/>
    <m/>
    <m/>
    <m/>
    <m/>
    <m/>
    <m/>
    <m/>
    <m/>
    <m/>
    <s v="Appointed Attorney"/>
    <m/>
    <m/>
    <n v="3"/>
    <n v="3"/>
    <n v="3"/>
    <n v="21.989071038251367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1060"/>
    <s v="N"/>
    <s v="N"/>
    <n v="2298509"/>
    <n v="2"/>
    <d v="2012-02-09T00:00:00"/>
    <d v="2013-02-08T00:00:00"/>
    <n v="2298509"/>
    <d v="2012-02-09T00:00:00"/>
    <d v="2012-04-25T00:00:00"/>
    <n v="50000"/>
    <x v="2"/>
    <d v="2012-04-25T00:00:00"/>
    <s v="Y"/>
    <s v="SURETY"/>
    <s v="DEFERRED ADJUDICATION "/>
    <n v="77"/>
    <n v="366"/>
    <n v="1"/>
    <n v="1"/>
    <m/>
    <n v="1"/>
    <m/>
    <m/>
    <m/>
    <m/>
    <m/>
    <m/>
    <m/>
    <d v="1977-11-23T00:00:00"/>
    <s v="M"/>
    <s v="H"/>
    <s v="HISPANIC"/>
    <s v="HISPANIC"/>
    <s v="184"/>
    <s v="DEFERRED"/>
    <n v="19"/>
    <s v="DEFERRED"/>
    <m/>
    <m/>
    <m/>
    <s v="ENGAGING IN ORG CRIM ACTIVITY"/>
    <m/>
    <s v="F1"/>
    <s v="OTHER FEL"/>
    <m/>
    <m/>
    <m/>
    <m/>
    <m/>
    <m/>
    <m/>
    <m/>
    <m/>
    <s v="Hired Attorney"/>
    <m/>
    <m/>
    <n v="77"/>
    <n v="366"/>
    <n v="366"/>
    <n v="34.142076502732237"/>
    <n v="0"/>
    <n v="-289"/>
    <s v="DEFERRED"/>
    <x v="1"/>
    <s v="Y"/>
    <m/>
    <s v="DEFERRED"/>
    <s v="Y"/>
    <x v="1"/>
    <x v="0"/>
    <s v="Y"/>
    <n v="0.2103825136612022"/>
    <n v="0.2103825136612022"/>
    <n v="0"/>
    <n v="0"/>
    <n v="-77"/>
    <n v="0"/>
    <n v="77"/>
    <e v="#VALUE!"/>
    <n v="77"/>
    <n v="0"/>
    <m/>
    <m/>
    <s v="Y"/>
    <m/>
    <s v="61-90 DAYS"/>
    <n v="4"/>
    <x v="0"/>
  </r>
  <r>
    <n v="1757"/>
    <s v="N"/>
    <s v="N"/>
    <n v="2298803"/>
    <n v="2"/>
    <d v="2012-03-06T00:00:00"/>
    <d v="2012-06-29T00:00:00"/>
    <n v="2298803"/>
    <s v="NOT BOOKED"/>
    <s v="NOT BOOKED"/>
    <n v="10000"/>
    <x v="3"/>
    <d v="2012-03-08T00:00:00"/>
    <s v="Y"/>
    <s v="SURETY"/>
    <s v="DEFERRED ADJUDICATION "/>
    <n v="0"/>
    <n v="116"/>
    <n v="0"/>
    <n v="0"/>
    <m/>
    <m/>
    <m/>
    <m/>
    <m/>
    <m/>
    <m/>
    <m/>
    <m/>
    <d v="1967-09-06T00:00:00"/>
    <s v="M"/>
    <s v="B"/>
    <s v="BLACK"/>
    <s v="NULL"/>
    <s v="209"/>
    <s v="DEFERRED"/>
    <n v="5"/>
    <s v="DEFERRED"/>
    <m/>
    <m/>
    <m/>
    <s v="MAN/DEL CS PG III/IV 28-200 GR"/>
    <m/>
    <s v="F2"/>
    <s v="SALE DRUG"/>
    <m/>
    <m/>
    <m/>
    <m/>
    <m/>
    <m/>
    <m/>
    <m/>
    <m/>
    <s v="Appointed Attorney"/>
    <m/>
    <m/>
    <n v="0"/>
    <n v="0"/>
    <n v="116"/>
    <n v="44.407103825136609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067"/>
    <s v="N"/>
    <s v="N"/>
    <n v="2299510"/>
    <n v="1"/>
    <d v="2012-03-18T00:00:00"/>
    <d v="2012-06-27T00:00:00"/>
    <n v="2299510"/>
    <s v="NOT BOOKED"/>
    <s v="NOT BOOKED"/>
    <n v="5000"/>
    <x v="4"/>
    <d v="2012-03-22T00:00:00"/>
    <s v="Y"/>
    <s v="SURETY"/>
    <s v="NO BILL"/>
    <n v="0"/>
    <n v="102"/>
    <n v="0"/>
    <n v="1"/>
    <m/>
    <m/>
    <m/>
    <m/>
    <m/>
    <m/>
    <m/>
    <m/>
    <m/>
    <d v="1974-10-22T00:00:00"/>
    <s v="F"/>
    <s v="W"/>
    <s v="WHITE"/>
    <s v="NULL"/>
    <s v="338"/>
    <s v="NO BILL"/>
    <n v="6"/>
    <s v="NO BILL"/>
    <m/>
    <m/>
    <m/>
    <s v="POSS CS PG 1  1 - 4 GRAMS"/>
    <m/>
    <s v="F3"/>
    <s v="POSS DRUG"/>
    <m/>
    <m/>
    <m/>
    <m/>
    <m/>
    <m/>
    <m/>
    <m/>
    <m/>
    <s v="Appointed Attorney"/>
    <m/>
    <m/>
    <n v="0"/>
    <n v="0"/>
    <n v="102"/>
    <n v="37.327868852459019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1264"/>
    <s v="N"/>
    <s v="N"/>
    <n v="2300303"/>
    <n v="1"/>
    <d v="2012-02-16T00:00:00"/>
    <d v="2012-08-10T00:00:00"/>
    <n v="2300303"/>
    <d v="2012-02-23T00:00:00"/>
    <d v="2012-02-25T00:00:00"/>
    <n v="30000"/>
    <x v="2"/>
    <d v="2012-02-25T00:00:00"/>
    <s v="Y"/>
    <s v="SURETY"/>
    <s v="DISMISSED"/>
    <n v="3"/>
    <n v="177"/>
    <n v="0"/>
    <n v="1"/>
    <m/>
    <m/>
    <m/>
    <m/>
    <m/>
    <m/>
    <m/>
    <m/>
    <m/>
    <d v="1986-03-10T00:00:00"/>
    <s v="M"/>
    <s v="B"/>
    <s v="BLACK"/>
    <s v="NULL"/>
    <s v="184"/>
    <s v="DISMISSED"/>
    <n v="9"/>
    <s v="DISMISSED"/>
    <m/>
    <m/>
    <m/>
    <s v="AGG ASSAULT-FAMILY MEMBER"/>
    <m/>
    <s v="F2"/>
    <s v="ASLT-MURDR"/>
    <m/>
    <m/>
    <m/>
    <m/>
    <m/>
    <m/>
    <m/>
    <m/>
    <m/>
    <s v="Appointed Attorney"/>
    <m/>
    <m/>
    <n v="3"/>
    <n v="170"/>
    <n v="177"/>
    <n v="25.885245901639344"/>
    <n v="0"/>
    <n v="-167"/>
    <s v="NO CONVICTION"/>
    <x v="1"/>
    <s v="Y"/>
    <m/>
    <s v="NO CONVICTION"/>
    <s v="Y"/>
    <x v="1"/>
    <x v="0"/>
    <s v="N"/>
    <n v="1.6949152542372881E-2"/>
    <n v="1.7647058823529412E-2"/>
    <n v="6.9790628115653022E-4"/>
    <n v="0"/>
    <n v="-3"/>
    <n v="0"/>
    <n v="3"/>
    <e v="#VALUE!"/>
    <n v="3"/>
    <n v="0"/>
    <m/>
    <m/>
    <s v="Y"/>
    <m/>
    <s v="0-10 DAYS"/>
    <n v="1"/>
    <x v="0"/>
  </r>
  <r>
    <n v="3082"/>
    <s v="N"/>
    <s v="N"/>
    <n v="2300528"/>
    <n v="6"/>
    <d v="2012-04-24T00:00:00"/>
    <d v="2012-10-16T00:00:00"/>
    <n v="2300528"/>
    <d v="2012-04-24T00:00:00"/>
    <d v="2012-04-30T00:00:00"/>
    <n v="10000"/>
    <x v="3"/>
    <d v="2012-04-30T00:00:00"/>
    <s v="Y"/>
    <s v="SURETYPTRc"/>
    <s v="GUILTY PLEA - NO JURY"/>
    <n v="7"/>
    <n v="176"/>
    <n v="1"/>
    <n v="1"/>
    <m/>
    <n v="1"/>
    <m/>
    <m/>
    <m/>
    <m/>
    <m/>
    <m/>
    <m/>
    <d v="1988-07-23T00:00:00"/>
    <s v="M"/>
    <s v="B"/>
    <s v="BLACK"/>
    <s v="NULL"/>
    <s v="182"/>
    <s v="CONVICTED"/>
    <n v="9"/>
    <s v="TDC"/>
    <n v="2"/>
    <m/>
    <m/>
    <s v="POSS W/INT DEL CS PG1&gt;=4 &lt;200"/>
    <m/>
    <s v="F1"/>
    <s v="SALE DRUG"/>
    <m/>
    <m/>
    <m/>
    <m/>
    <m/>
    <m/>
    <m/>
    <m/>
    <m/>
    <s v="Hired Attorney"/>
    <m/>
    <m/>
    <n v="7"/>
    <n v="176"/>
    <n v="176"/>
    <n v="23.704918032786885"/>
    <n v="0"/>
    <n v="-169"/>
    <s v="CONVICTION"/>
    <x v="1"/>
    <s v="Y"/>
    <m/>
    <s v="CONVICTION"/>
    <s v="Y"/>
    <x v="1"/>
    <x v="0"/>
    <s v="Y"/>
    <n v="3.9772727272727272E-2"/>
    <n v="3.9772727272727272E-2"/>
    <n v="0"/>
    <n v="0"/>
    <n v="-7"/>
    <n v="0"/>
    <n v="7"/>
    <e v="#VALUE!"/>
    <n v="7"/>
    <n v="0"/>
    <m/>
    <m/>
    <s v="Y"/>
    <m/>
    <s v="0-10 DAYS"/>
    <n v="1"/>
    <x v="0"/>
  </r>
  <r>
    <n v="567"/>
    <s v="N"/>
    <s v="N"/>
    <n v="2300754"/>
    <n v="2"/>
    <d v="2012-01-23T00:00:00"/>
    <d v="2012-03-27T00:00:00"/>
    <n v="2300754"/>
    <d v="2012-01-27T00:00:00"/>
    <d v="2012-03-27T00:00:00"/>
    <n v="30000"/>
    <x v="2"/>
    <m/>
    <s v="N"/>
    <s v="NONE"/>
    <s v="DEFERRED ADJUDICATION "/>
    <n v="61"/>
    <n v="65"/>
    <n v="0"/>
    <n v="2"/>
    <m/>
    <m/>
    <m/>
    <m/>
    <m/>
    <m/>
    <m/>
    <m/>
    <m/>
    <d v="1990-02-04T00:00:00"/>
    <s v="F"/>
    <s v="B"/>
    <s v="BLACK"/>
    <s v="NULL"/>
    <s v="174"/>
    <s v="DEFERRED"/>
    <n v="5"/>
    <s v="DEFERRED"/>
    <m/>
    <m/>
    <m/>
    <s v="AGG ASSAULT W/DEADLY WEAPON"/>
    <m/>
    <s v="F2"/>
    <s v="ASLT-MURDR"/>
    <m/>
    <m/>
    <m/>
    <m/>
    <m/>
    <m/>
    <m/>
    <m/>
    <m/>
    <s v="Hired Attorney"/>
    <m/>
    <m/>
    <n v="61"/>
    <n v="61"/>
    <n v="65"/>
    <n v="21.920765027322403"/>
    <n v="0"/>
    <n v="0"/>
    <s v="DEFERRED"/>
    <x v="0"/>
    <s v="N"/>
    <m/>
    <s v="DEFERRED"/>
    <s v="Y"/>
    <x v="0"/>
    <x v="0"/>
    <s v="N"/>
    <n v="0.93846153846153846"/>
    <n v="1"/>
    <n v="6.1538461538461542E-2"/>
    <n v="0"/>
    <n v="-61"/>
    <n v="0"/>
    <n v="61"/>
    <e v="#VALUE!"/>
    <n v="61"/>
    <n v="0"/>
    <m/>
    <m/>
    <s v="Y"/>
    <m/>
    <s v="61-90 DAYS"/>
    <n v="4"/>
    <x v="0"/>
  </r>
  <r>
    <n v="483"/>
    <s v="N"/>
    <s v="N"/>
    <n v="2300934"/>
    <n v="5"/>
    <d v="2012-01-20T00:00:00"/>
    <d v="2012-02-23T00:00:00"/>
    <n v="2300934"/>
    <d v="2012-02-20T00:00:00"/>
    <d v="2012-02-23T00:00:00"/>
    <n v="10000"/>
    <x v="3"/>
    <m/>
    <s v="N"/>
    <s v="NONE"/>
    <s v="GUILTY PLEA - NO JURY"/>
    <n v="4"/>
    <n v="35"/>
    <n v="1"/>
    <n v="3"/>
    <n v="1"/>
    <m/>
    <m/>
    <m/>
    <m/>
    <m/>
    <m/>
    <m/>
    <m/>
    <d v="1985-12-04T00:00:00"/>
    <s v="M"/>
    <s v="B"/>
    <s v="BLACK"/>
    <s v="NULL"/>
    <s v="338"/>
    <s v="CONVICTED"/>
    <n v="3"/>
    <s v="STJ"/>
    <m/>
    <n v="6"/>
    <m/>
    <s v="FAIL TO REGISTER AS SEX OFFEND"/>
    <m/>
    <s v="FS"/>
    <s v="OTHER FEL"/>
    <m/>
    <m/>
    <m/>
    <m/>
    <m/>
    <m/>
    <m/>
    <m/>
    <m/>
    <s v="Appointed Attorney"/>
    <m/>
    <m/>
    <n v="4"/>
    <n v="4"/>
    <n v="35"/>
    <n v="26.07377049180328"/>
    <n v="0"/>
    <n v="0"/>
    <s v="CONVICTION"/>
    <x v="0"/>
    <s v="N"/>
    <m/>
    <s v="CONVICTION"/>
    <s v="Y"/>
    <x v="0"/>
    <x v="0"/>
    <s v="Y"/>
    <n v="0.11428571428571428"/>
    <n v="1"/>
    <n v="0.88571428571428568"/>
    <n v="0"/>
    <n v="-4"/>
    <n v="0"/>
    <n v="4"/>
    <e v="#VALUE!"/>
    <n v="4"/>
    <n v="0"/>
    <m/>
    <m/>
    <s v="Y"/>
    <m/>
    <s v="0-10 DAYS"/>
    <n v="1"/>
    <x v="0"/>
  </r>
  <r>
    <n v="340"/>
    <s v="N"/>
    <s v="N"/>
    <n v="2301003"/>
    <n v="6"/>
    <d v="2012-01-14T00:00:00"/>
    <d v="2012-05-10T00:00:00"/>
    <n v="2301003"/>
    <d v="2012-01-14T00:00:00"/>
    <d v="2012-05-10T00:00:00"/>
    <n v="60000"/>
    <x v="2"/>
    <m/>
    <s v="N"/>
    <s v="NONE"/>
    <s v="GUILTY PLEA - NO JURY"/>
    <n v="118"/>
    <n v="118"/>
    <n v="5"/>
    <n v="1"/>
    <n v="1"/>
    <m/>
    <m/>
    <m/>
    <m/>
    <m/>
    <m/>
    <s v="S"/>
    <m/>
    <d v="1990-01-18T00:00:00"/>
    <s v="M"/>
    <s v="H"/>
    <s v="HISPANIC"/>
    <s v="NULL"/>
    <s v="209"/>
    <s v="CONVICTED"/>
    <n v="4"/>
    <s v="TDC"/>
    <n v="5"/>
    <m/>
    <m/>
    <s v="ASSAULT-BOD INJ-PUB SERV/RETAL"/>
    <m/>
    <s v="F3"/>
    <s v="ASLT-MURDR"/>
    <m/>
    <m/>
    <m/>
    <m/>
    <m/>
    <m/>
    <m/>
    <m/>
    <m/>
    <s v="Appointed Attorney"/>
    <m/>
    <m/>
    <n v="118"/>
    <n v="118"/>
    <n v="118"/>
    <n v="21.942622950819672"/>
    <n v="0"/>
    <n v="0"/>
    <s v="CONVICTION"/>
    <x v="0"/>
    <s v="N"/>
    <m/>
    <s v="CONVICTION"/>
    <s v="Y"/>
    <x v="0"/>
    <x v="0"/>
    <s v="Y"/>
    <n v="1"/>
    <n v="1"/>
    <n v="0"/>
    <n v="0"/>
    <n v="-118"/>
    <n v="0"/>
    <n v="118"/>
    <e v="#VALUE!"/>
    <n v="118"/>
    <n v="0"/>
    <m/>
    <m/>
    <s v="Y"/>
    <m/>
    <s v="91-120 DAYS"/>
    <n v="0"/>
    <x v="0"/>
  </r>
  <r>
    <n v="308"/>
    <s v="N"/>
    <s v="N"/>
    <n v="2301044"/>
    <n v="5"/>
    <d v="2012-01-13T00:00:00"/>
    <d v="2012-05-30T00:00:00"/>
    <n v="2301044"/>
    <d v="2012-01-13T00:00:00"/>
    <d v="2012-05-30T00:00:00"/>
    <n v="15000"/>
    <x v="0"/>
    <m/>
    <s v="N"/>
    <s v="NONE"/>
    <s v="GUILTY PLEA - NO JURY"/>
    <n v="139"/>
    <n v="139"/>
    <n v="12"/>
    <n v="6"/>
    <n v="6"/>
    <m/>
    <m/>
    <m/>
    <m/>
    <m/>
    <m/>
    <m/>
    <m/>
    <d v="1949-04-26T00:00:00"/>
    <s v="M"/>
    <s v="B"/>
    <s v="BLACK"/>
    <s v="NULL"/>
    <s v="351"/>
    <s v="CONVICTED"/>
    <n v="4"/>
    <s v="STJ"/>
    <m/>
    <n v="6"/>
    <m/>
    <s v="POSS CS PG 1 &lt;1G"/>
    <m/>
    <s v="FS"/>
    <s v="POSS DRUG"/>
    <m/>
    <m/>
    <m/>
    <m/>
    <m/>
    <m/>
    <m/>
    <m/>
    <m/>
    <s v="Appointed Attorney"/>
    <m/>
    <m/>
    <n v="139"/>
    <n v="139"/>
    <n v="139"/>
    <n v="62.587431693989068"/>
    <n v="0"/>
    <n v="0"/>
    <s v="CONVICTION"/>
    <x v="0"/>
    <s v="N"/>
    <m/>
    <s v="CONVICTION"/>
    <s v="Y"/>
    <x v="0"/>
    <x v="0"/>
    <s v="Y"/>
    <n v="1"/>
    <n v="1"/>
    <n v="0"/>
    <n v="0"/>
    <n v="-139"/>
    <n v="0"/>
    <n v="139"/>
    <e v="#VALUE!"/>
    <n v="139"/>
    <n v="0"/>
    <m/>
    <m/>
    <s v="Y"/>
    <m/>
    <s v="121-365 DAYS"/>
    <n v="6"/>
    <x v="0"/>
  </r>
  <r>
    <n v="965"/>
    <s v="N"/>
    <s v="Y"/>
    <n v="2301085"/>
    <n v="6"/>
    <d v="2012-02-05T00:00:00"/>
    <d v="2013-02-01T00:00:00"/>
    <n v="2301085"/>
    <d v="2012-02-09T00:00:00"/>
    <d v="2012-02-11T00:00:00"/>
    <n v="30000"/>
    <x v="2"/>
    <d v="2012-02-11T00:00:00"/>
    <s v="Y"/>
    <s v="SURETY"/>
    <s v="GUILTY PLEA - NO JURY"/>
    <n v="319"/>
    <n v="363"/>
    <n v="0"/>
    <n v="2"/>
    <m/>
    <m/>
    <m/>
    <m/>
    <m/>
    <m/>
    <m/>
    <s v="S"/>
    <m/>
    <d v="1970-06-02T00:00:00"/>
    <s v="M"/>
    <s v="H"/>
    <s v="HISPANIC"/>
    <s v="NULL"/>
    <s v="185"/>
    <s v="CONVICTED"/>
    <n v="27"/>
    <s v="TDC"/>
    <n v="6"/>
    <m/>
    <m/>
    <s v="MURDER"/>
    <m/>
    <s v="F1"/>
    <s v="MURD/MANSL"/>
    <m/>
    <s v=" rev 3/13/12 "/>
    <m/>
    <m/>
    <s v="Y"/>
    <m/>
    <m/>
    <m/>
    <m/>
    <s v="Hired Attorney"/>
    <m/>
    <m/>
    <n v="319"/>
    <n v="359"/>
    <n v="363"/>
    <n v="41.592896174863391"/>
    <n v="0"/>
    <n v="-356"/>
    <s v="CONVICTION"/>
    <x v="1"/>
    <s v="Y"/>
    <m/>
    <s v="CONVICTION"/>
    <s v="Y"/>
    <x v="0"/>
    <x v="0"/>
    <s v="N"/>
    <n v="0.87878787878787878"/>
    <n v="8.356545961002786E-3"/>
    <n v="-0.87043133282687601"/>
    <n v="0"/>
    <n v="-3"/>
    <n v="316"/>
    <n v="359"/>
    <n v="319"/>
    <n v="359"/>
    <n v="356"/>
    <m/>
    <m/>
    <s v="Y"/>
    <m/>
    <s v="121-365 DAYS"/>
    <n v="6"/>
    <x v="0"/>
  </r>
  <r>
    <n v="2329"/>
    <s v="N"/>
    <s v="N"/>
    <n v="2301165"/>
    <n v="5"/>
    <d v="2012-03-29T00:00:00"/>
    <d v="2012-08-24T00:00:00"/>
    <n v="2301165"/>
    <d v="2012-03-29T00:00:00"/>
    <d v="2012-04-01T00:00:00"/>
    <n v="15000"/>
    <x v="0"/>
    <d v="2012-04-01T00:00:00"/>
    <s v="Y"/>
    <s v="SURETY"/>
    <s v="GUILTY PLEA - NO JURY"/>
    <n v="4"/>
    <n v="149"/>
    <n v="3"/>
    <n v="5"/>
    <n v="1"/>
    <m/>
    <m/>
    <m/>
    <m/>
    <m/>
    <m/>
    <m/>
    <m/>
    <d v="1990-02-22T00:00:00"/>
    <s v="M"/>
    <s v="W"/>
    <s v="WHITE"/>
    <s v="NON-HISPANIC"/>
    <s v="232"/>
    <s v="CONVICTED"/>
    <n v="8"/>
    <s v="STJ"/>
    <m/>
    <n v="6"/>
    <m/>
    <s v="BURGLARY OF A BUILDING"/>
    <m/>
    <s v="FS"/>
    <s v="BURGLARY"/>
    <m/>
    <m/>
    <m/>
    <m/>
    <m/>
    <m/>
    <m/>
    <m/>
    <m/>
    <s v="Appointed Attorney"/>
    <m/>
    <m/>
    <n v="4"/>
    <n v="149"/>
    <n v="149"/>
    <n v="22.051912568306012"/>
    <n v="0"/>
    <n v="-145"/>
    <s v="CONVICTION"/>
    <x v="1"/>
    <s v="Y"/>
    <m/>
    <s v="CONVICTION"/>
    <s v="Y"/>
    <x v="1"/>
    <x v="0"/>
    <s v="Y"/>
    <n v="2.6845637583892617E-2"/>
    <n v="2.6845637583892617E-2"/>
    <n v="0"/>
    <n v="0"/>
    <n v="-4"/>
    <n v="0"/>
    <n v="4"/>
    <e v="#VALUE!"/>
    <n v="4"/>
    <n v="0"/>
    <m/>
    <m/>
    <s v="Y"/>
    <m/>
    <s v="0-10 DAYS"/>
    <n v="1"/>
    <x v="0"/>
  </r>
  <r>
    <n v="14"/>
    <s v="N"/>
    <s v="N"/>
    <n v="2302940"/>
    <n v="6"/>
    <d v="2012-01-02T00:00:00"/>
    <d v="2012-02-23T00:00:00"/>
    <n v="2302940"/>
    <d v="2012-01-02T00:00:00"/>
    <d v="2012-02-23T00:00:00"/>
    <s v="NO BOND"/>
    <x v="1"/>
    <m/>
    <s v="N"/>
    <s v="NONE"/>
    <s v="GUILTY PLEA - NO JURY"/>
    <n v="53"/>
    <n v="53"/>
    <n v="1"/>
    <n v="2"/>
    <n v="1"/>
    <m/>
    <m/>
    <m/>
    <m/>
    <m/>
    <m/>
    <m/>
    <m/>
    <d v="1980-07-15T00:00:00"/>
    <s v="M"/>
    <s v="W"/>
    <s v="WHITE"/>
    <s v="NULL"/>
    <s v="209"/>
    <s v="CONVICTED"/>
    <n v="2"/>
    <s v="TDC"/>
    <n v="4"/>
    <m/>
    <m/>
    <s v="POSS W/INT DEL CS PG1 1G &lt;4 GR"/>
    <m/>
    <s v="F2"/>
    <s v="SALE DRUG"/>
    <m/>
    <m/>
    <m/>
    <m/>
    <m/>
    <m/>
    <m/>
    <m/>
    <m/>
    <s v="Appointed Attorney"/>
    <m/>
    <m/>
    <n v="53"/>
    <n v="53"/>
    <n v="53"/>
    <n v="31.401639344262296"/>
    <n v="0"/>
    <n v="0"/>
    <s v="CONVICTION"/>
    <x v="0"/>
    <s v="N"/>
    <m/>
    <s v="CONVICTION"/>
    <s v="Y"/>
    <x v="0"/>
    <x v="0"/>
    <s v="Y"/>
    <n v="1"/>
    <n v="1"/>
    <n v="0"/>
    <n v="0"/>
    <n v="-53"/>
    <n v="0"/>
    <n v="53"/>
    <e v="#VALUE!"/>
    <n v="53"/>
    <n v="0"/>
    <m/>
    <m/>
    <s v="Y"/>
    <m/>
    <s v="31-60 DAYS"/>
    <n v="3"/>
    <x v="0"/>
  </r>
  <r>
    <n v="1897"/>
    <s v="N"/>
    <s v="N"/>
    <n v="2302948"/>
    <n v="1"/>
    <d v="2012-03-11T00:00:00"/>
    <d v="2012-08-29T00:00:00"/>
    <n v="2302948"/>
    <s v="NOT BOOKED"/>
    <s v="NOT BOOKED"/>
    <n v="2000"/>
    <x v="5"/>
    <m/>
    <s v="NO BOND MADE - NON ARREST"/>
    <s v="NONE"/>
    <s v="DISMISSED"/>
    <n v="0"/>
    <n v="172"/>
    <n v="0"/>
    <n v="2"/>
    <m/>
    <m/>
    <m/>
    <m/>
    <m/>
    <m/>
    <m/>
    <s v="S"/>
    <m/>
    <d v="1989-04-16T00:00:00"/>
    <s v="F"/>
    <s v="H"/>
    <s v="HISPANIC"/>
    <s v="NULL"/>
    <s v="182"/>
    <s v="DISMISSED"/>
    <n v="8"/>
    <s v="DISMISSED"/>
    <m/>
    <m/>
    <m/>
    <s v="THEFT $1500-20K"/>
    <m/>
    <s v="FS"/>
    <s v="THEFT"/>
    <m/>
    <m/>
    <m/>
    <m/>
    <m/>
    <m/>
    <m/>
    <m/>
    <m/>
    <s v="Hired Attorney"/>
    <m/>
    <m/>
    <n v="0"/>
    <n v="0"/>
    <n v="172"/>
    <n v="22.855191256830601"/>
    <e v="#VALUE!"/>
    <e v="#VALUE!"/>
    <s v="NO CONVICTION"/>
    <x v="0"/>
    <s v="N"/>
    <m/>
    <s v="NO CONVICTION"/>
    <n v="0"/>
    <x v="2"/>
    <x v="0"/>
    <s v="N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2867"/>
    <s v="N"/>
    <s v="N"/>
    <n v="2304108"/>
    <n v="2"/>
    <d v="2012-04-16T00:00:00"/>
    <d v="2012-09-24T00:00:00"/>
    <n v="2304108"/>
    <d v="2012-04-16T00:00:00"/>
    <d v="2012-04-18T00:00:00"/>
    <n v="5000"/>
    <x v="4"/>
    <d v="2012-04-18T00:00:00"/>
    <s v="Y"/>
    <s v="SURETY"/>
    <s v="DEFERRED ADJUDICATION "/>
    <n v="3"/>
    <n v="162"/>
    <n v="0"/>
    <n v="0"/>
    <m/>
    <m/>
    <m/>
    <m/>
    <m/>
    <m/>
    <m/>
    <m/>
    <m/>
    <d v="1988-11-28T00:00:00"/>
    <s v="M"/>
    <s v="B"/>
    <s v="BLACK"/>
    <s v="NULL"/>
    <s v="184"/>
    <s v="DEFERRED"/>
    <n v="10"/>
    <s v="DEFERRED"/>
    <m/>
    <m/>
    <m/>
    <s v="POSS CS PG 4 28-200 GRAMS"/>
    <m/>
    <s v="F3"/>
    <s v="POSS DRUG"/>
    <m/>
    <m/>
    <m/>
    <m/>
    <m/>
    <m/>
    <m/>
    <m/>
    <m/>
    <s v="Hired Attorney"/>
    <m/>
    <m/>
    <n v="3"/>
    <n v="162"/>
    <n v="162"/>
    <n v="23.333333333333332"/>
    <n v="0"/>
    <n v="-159"/>
    <s v="DEFERRED"/>
    <x v="1"/>
    <s v="Y"/>
    <m/>
    <s v="DEFERRED"/>
    <s v="Y"/>
    <x v="1"/>
    <x v="0"/>
    <s v="N"/>
    <n v="1.8518518518518517E-2"/>
    <n v="1.8518518518518517E-2"/>
    <n v="0"/>
    <n v="0"/>
    <n v="-3"/>
    <n v="0"/>
    <n v="3"/>
    <e v="#VALUE!"/>
    <n v="3"/>
    <n v="0"/>
    <m/>
    <m/>
    <s v="N"/>
    <m/>
    <s v="0-10 DAYS"/>
    <n v="1"/>
    <x v="0"/>
  </r>
  <r>
    <n v="2674"/>
    <s v="N"/>
    <s v="N"/>
    <n v="2304394"/>
    <n v="2"/>
    <d v="2012-03-01T00:00:00"/>
    <d v="2012-08-22T00:00:00"/>
    <n v="2304394"/>
    <d v="2012-03-02T00:00:00"/>
    <d v="2012-03-04T00:00:00"/>
    <n v="10000"/>
    <x v="3"/>
    <d v="2012-03-04T00:00:00"/>
    <s v="Y"/>
    <s v="SURETYPTRc"/>
    <s v="DEFERRED ADJUDICATION "/>
    <n v="3"/>
    <n v="175"/>
    <n v="1"/>
    <n v="0"/>
    <m/>
    <m/>
    <m/>
    <m/>
    <m/>
    <m/>
    <m/>
    <s v="S"/>
    <m/>
    <d v="1983-02-05T00:00:00"/>
    <s v="F"/>
    <s v="H"/>
    <s v="HISPANIC"/>
    <s v="NULL"/>
    <s v="178"/>
    <s v="DEFERRED"/>
    <n v="9"/>
    <s v="DEFERRED"/>
    <m/>
    <m/>
    <m/>
    <s v="POSS CS PG 1 &lt;1G"/>
    <m/>
    <s v="FS"/>
    <s v="POSS DRUG"/>
    <s v="9/14/12 LAWV  amend cop"/>
    <m/>
    <m/>
    <m/>
    <m/>
    <m/>
    <m/>
    <m/>
    <m/>
    <s v="Hired Attorney"/>
    <m/>
    <m/>
    <n v="3"/>
    <n v="174"/>
    <n v="175"/>
    <n v="29.008196721311474"/>
    <n v="0"/>
    <n v="-171"/>
    <s v="DEFERRED"/>
    <x v="1"/>
    <s v="Y"/>
    <m/>
    <s v="DEFERRED"/>
    <s v="Y"/>
    <x v="1"/>
    <x v="0"/>
    <s v="Y"/>
    <n v="1.7142857142857144E-2"/>
    <n v="1.7241379310344827E-2"/>
    <n v="9.8522167487683637E-5"/>
    <n v="0"/>
    <n v="-3"/>
    <n v="0"/>
    <n v="3"/>
    <e v="#VALUE!"/>
    <n v="3"/>
    <n v="0"/>
    <m/>
    <m/>
    <s v="Y"/>
    <m/>
    <s v="0-10 DAYS"/>
    <n v="1"/>
    <x v="0"/>
  </r>
  <r>
    <n v="151"/>
    <s v="N"/>
    <s v="N"/>
    <n v="2304551"/>
    <n v="4"/>
    <d v="2012-01-07T00:00:00"/>
    <d v="2012-01-09T00:00:00"/>
    <n v="2304551"/>
    <d v="2012-01-07T00:00:00"/>
    <d v="2012-01-09T00:00:00"/>
    <n v="5000"/>
    <x v="4"/>
    <m/>
    <s v="N"/>
    <s v="NONE"/>
    <s v="GUILTY PLEA - NO JURY"/>
    <n v="3"/>
    <n v="3"/>
    <n v="1"/>
    <n v="2"/>
    <n v="1"/>
    <m/>
    <m/>
    <m/>
    <m/>
    <m/>
    <m/>
    <m/>
    <m/>
    <d v="1988-12-07T00:00:00"/>
    <s v="M"/>
    <s v="B"/>
    <s v="BLACK"/>
    <s v="NULL"/>
    <s v="262"/>
    <s v="CONVICTED"/>
    <n v="1"/>
    <s v="HCJ"/>
    <m/>
    <m/>
    <n v="150"/>
    <s v="POSS CS PG 1 &lt;1G"/>
    <m/>
    <s v="FS"/>
    <s v="POSS DRUG"/>
    <s v="hcj sent no legal defense"/>
    <m/>
    <m/>
    <m/>
    <m/>
    <m/>
    <m/>
    <m/>
    <m/>
    <s v="Other/Unknown"/>
    <m/>
    <m/>
    <n v="3"/>
    <n v="3"/>
    <n v="3"/>
    <n v="23.035519125683059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1006"/>
    <s v="N"/>
    <s v="N"/>
    <n v="2304719"/>
    <n v="1"/>
    <d v="2012-02-07T00:00:00"/>
    <d v="2012-08-07T00:00:00"/>
    <n v="2304719"/>
    <d v="2012-02-07T00:00:00"/>
    <d v="2012-02-11T00:00:00"/>
    <n v="10000"/>
    <x v="3"/>
    <d v="2012-02-11T00:00:00"/>
    <s v="Y"/>
    <s v="SURETY"/>
    <s v="DISMISSED"/>
    <n v="5"/>
    <n v="183"/>
    <n v="0"/>
    <n v="1"/>
    <m/>
    <m/>
    <m/>
    <m/>
    <m/>
    <m/>
    <m/>
    <m/>
    <m/>
    <d v="1986-08-28T00:00:00"/>
    <s v="M"/>
    <s v="B"/>
    <s v="BLACK"/>
    <s v="NON-HISPANIC"/>
    <s v="232"/>
    <s v="DISMISSED"/>
    <n v="7"/>
    <s v="DISMISSED"/>
    <m/>
    <m/>
    <m/>
    <s v="BURGLARY OF HABITATION"/>
    <m/>
    <s v="F2"/>
    <s v="BURGLARY"/>
    <m/>
    <m/>
    <m/>
    <m/>
    <m/>
    <m/>
    <m/>
    <m/>
    <m/>
    <s v="Public Defender"/>
    <m/>
    <m/>
    <n v="5"/>
    <n v="183"/>
    <n v="183"/>
    <n v="25.393442622950818"/>
    <n v="0"/>
    <n v="-178"/>
    <s v="NO CONVICTION"/>
    <x v="1"/>
    <s v="Y"/>
    <m/>
    <s v="NO CONVICTION"/>
    <s v="Y"/>
    <x v="1"/>
    <x v="0"/>
    <s v="N"/>
    <n v="2.7322404371584699E-2"/>
    <n v="2.7322404371584699E-2"/>
    <n v="0"/>
    <n v="0"/>
    <n v="-5"/>
    <n v="0"/>
    <n v="5"/>
    <e v="#VALUE!"/>
    <n v="5"/>
    <n v="0"/>
    <m/>
    <m/>
    <s v="Y"/>
    <m/>
    <s v="0-10 DAYS"/>
    <n v="1"/>
    <x v="0"/>
  </r>
  <r>
    <n v="1344"/>
    <s v="N"/>
    <s v="Y"/>
    <n v="2304774"/>
    <n v="6"/>
    <d v="2012-02-18T00:00:00"/>
    <d v="2012-05-03T00:00:00"/>
    <n v="2304774"/>
    <d v="2012-04-09T00:00:00"/>
    <d v="2012-05-03T00:00:00"/>
    <n v="10000"/>
    <x v="3"/>
    <d v="2012-02-19T00:00:00"/>
    <s v="Y"/>
    <s v="SURETY"/>
    <s v="GUILTY PLEA - NO JURY"/>
    <n v="25"/>
    <n v="76"/>
    <n v="2"/>
    <n v="9"/>
    <n v="2"/>
    <m/>
    <m/>
    <m/>
    <m/>
    <m/>
    <m/>
    <m/>
    <m/>
    <d v="1990-01-28T00:00:00"/>
    <s v="M"/>
    <s v="H"/>
    <s v="HISPANIC"/>
    <s v="HISPANIC"/>
    <s v="176"/>
    <s v="CONVICTED"/>
    <n v="4"/>
    <s v="TDC"/>
    <n v="4"/>
    <m/>
    <m/>
    <s v="DWI 3RD OFFENDER BAC .08"/>
    <m/>
    <s v="F3"/>
    <s v="FEL DWI"/>
    <s v="fel assault murder conv 5/3/12 tdc 2yrs "/>
    <s v="REV BD 4/10/12"/>
    <m/>
    <m/>
    <s v="Y"/>
    <m/>
    <m/>
    <m/>
    <m/>
    <s v="Appointed Attorney"/>
    <m/>
    <m/>
    <n v="25"/>
    <n v="25"/>
    <n v="76"/>
    <n v="22.010928961748633"/>
    <n v="0"/>
    <n v="0"/>
    <s v="CONVICTION"/>
    <x v="1"/>
    <s v="Y"/>
    <m/>
    <s v="CONVICTION"/>
    <s v="Y"/>
    <x v="0"/>
    <x v="0"/>
    <s v="Y"/>
    <n v="0.32894736842105265"/>
    <n v="1"/>
    <n v="0.67105263157894735"/>
    <n v="0"/>
    <n v="-25"/>
    <n v="0"/>
    <n v="25"/>
    <e v="#VALUE!"/>
    <n v="25"/>
    <n v="0"/>
    <m/>
    <m/>
    <s v="Y"/>
    <m/>
    <s v="11-30 DAYS"/>
    <n v="2"/>
    <x v="0"/>
  </r>
  <r>
    <n v="2103"/>
    <s v="N"/>
    <s v="N"/>
    <n v="2305352"/>
    <n v="2"/>
    <d v="2012-03-20T00:00:00"/>
    <d v="2012-05-16T00:00:00"/>
    <n v="2305352"/>
    <d v="2012-03-20T00:00:00"/>
    <d v="2012-05-16T00:00:00"/>
    <n v="5000"/>
    <x v="4"/>
    <m/>
    <s v="N"/>
    <s v="NONE"/>
    <s v="DEFERRED ADJUDICATION "/>
    <n v="58"/>
    <n v="58"/>
    <n v="0"/>
    <n v="4"/>
    <m/>
    <m/>
    <m/>
    <m/>
    <m/>
    <m/>
    <m/>
    <s v="S"/>
    <m/>
    <d v="1989-11-25T00:00:00"/>
    <s v="F"/>
    <s v="H"/>
    <s v="HISPANIC"/>
    <s v="NULL"/>
    <s v="209"/>
    <s v="DEFERRED"/>
    <n v="4"/>
    <s v="DEFERRED"/>
    <m/>
    <m/>
    <m/>
    <s v="ASSAULT-BOD INJ-PUB SERV/RETAL"/>
    <m/>
    <s v="F3"/>
    <s v="ASLT-MURDR"/>
    <m/>
    <m/>
    <m/>
    <m/>
    <m/>
    <m/>
    <m/>
    <m/>
    <m/>
    <s v="Appointed Attorney"/>
    <m/>
    <m/>
    <n v="58"/>
    <n v="58"/>
    <n v="58"/>
    <n v="22.270491803278688"/>
    <n v="0"/>
    <n v="0"/>
    <s v="DEFERRED"/>
    <x v="0"/>
    <s v="N"/>
    <m/>
    <s v="DEFERRED"/>
    <s v="Y"/>
    <x v="0"/>
    <x v="0"/>
    <s v="N"/>
    <n v="1"/>
    <n v="1"/>
    <n v="0"/>
    <n v="0"/>
    <n v="-58"/>
    <n v="0"/>
    <n v="58"/>
    <e v="#VALUE!"/>
    <n v="58"/>
    <n v="0"/>
    <m/>
    <m/>
    <s v="Y"/>
    <m/>
    <s v="31-60 DAYS"/>
    <n v="3"/>
    <x v="0"/>
  </r>
  <r>
    <n v="1724"/>
    <s v="Y"/>
    <s v="Y"/>
    <n v="2305413"/>
    <n v="5"/>
    <d v="2012-03-05T00:00:00"/>
    <d v="2012-10-24T00:00:00"/>
    <n v="2305413"/>
    <d v="2012-03-05T00:00:00"/>
    <d v="2012-03-08T00:00:00"/>
    <n v="5000"/>
    <x v="4"/>
    <d v="2012-03-08T00:00:00"/>
    <s v="Y"/>
    <s v="SURETY"/>
    <s v="GUILTY PLEA - NO JURY"/>
    <n v="52"/>
    <n v="234"/>
    <n v="1"/>
    <n v="1"/>
    <m/>
    <m/>
    <m/>
    <m/>
    <m/>
    <m/>
    <m/>
    <m/>
    <m/>
    <d v="1989-02-06T00:00:00"/>
    <s v="M"/>
    <s v="B"/>
    <s v="BLACK"/>
    <s v="NULL"/>
    <s v="339"/>
    <s v="CONVICTED"/>
    <n v="8"/>
    <s v="STJ"/>
    <m/>
    <n v="6"/>
    <m/>
    <s v="POSS CS PG 1  1 - 4 GRAMS"/>
    <m/>
    <s v="F3"/>
    <s v="POSS DRUG"/>
    <m/>
    <s v="BK 9/5/12"/>
    <s v="Y"/>
    <s v="bf 5/23/12 "/>
    <m/>
    <m/>
    <m/>
    <d v="2012-10-08T00:00:00"/>
    <n v="305"/>
    <s v="Hired Attorney"/>
    <s v="9/18/13 fel weapon 2 tdc"/>
    <m/>
    <n v="52"/>
    <n v="234"/>
    <n v="234"/>
    <n v="23.027322404371585"/>
    <n v="0"/>
    <n v="-230"/>
    <s v="CONVICTION"/>
    <x v="1"/>
    <s v="Y"/>
    <m/>
    <s v="CONVICTION"/>
    <s v="Y"/>
    <x v="0"/>
    <x v="0"/>
    <s v="Y"/>
    <n v="0.22222222222222221"/>
    <n v="1.7094017094017096E-2"/>
    <n v="-0.20512820512820512"/>
    <n v="0"/>
    <n v="-4"/>
    <n v="48"/>
    <n v="234"/>
    <n v="52"/>
    <n v="234"/>
    <n v="230"/>
    <m/>
    <m/>
    <s v="Y"/>
    <m/>
    <s v="31-60 DAYS"/>
    <n v="3"/>
    <x v="0"/>
  </r>
  <r>
    <n v="3101"/>
    <s v="Y"/>
    <s v="Y"/>
    <n v="2305505"/>
    <n v="6"/>
    <d v="2012-03-06T00:00:00"/>
    <d v="2013-10-03T00:00:00"/>
    <n v="2305505"/>
    <d v="2012-03-07T00:00:00"/>
    <d v="2012-03-08T00:00:00"/>
    <n v="45000"/>
    <x v="2"/>
    <d v="2012-03-07T00:00:00"/>
    <s v="Y"/>
    <s v="SURETY"/>
    <s v="GUILTY PLEA - NO JURY"/>
    <n v="51"/>
    <n v="577"/>
    <n v="2"/>
    <n v="2"/>
    <n v="2"/>
    <m/>
    <m/>
    <m/>
    <m/>
    <m/>
    <m/>
    <m/>
    <m/>
    <d v="1984-05-06T00:00:00"/>
    <s v="M"/>
    <s v="W"/>
    <s v="WHITE"/>
    <s v="NULL"/>
    <s v="178"/>
    <s v="CONVICTED"/>
    <n v="18"/>
    <s v="TDC"/>
    <n v="2"/>
    <m/>
    <m/>
    <s v="AGG ASSAULT W/DEADLY WEAPON"/>
    <m/>
    <s v="F2"/>
    <s v="ASLT-MURDR"/>
    <s v="booked 1/22/13 misd bf case disp, bond made 2/17/13 recal 27 jail days"/>
    <m/>
    <s v="Y"/>
    <d v="2012-05-11T00:00:00"/>
    <m/>
    <m/>
    <m/>
    <d v="2012-06-21T00:00:00"/>
    <n v="470"/>
    <s v="Public Defender"/>
    <s v="10/23/13 M FAIL TO STOP  60 DAYS"/>
    <m/>
    <n v="51"/>
    <n v="576"/>
    <n v="577"/>
    <n v="27.775956284153004"/>
    <n v="-1"/>
    <n v="-574"/>
    <s v="CONVICTION"/>
    <x v="1"/>
    <s v="N"/>
    <m/>
    <s v="CONVICTION"/>
    <s v="Y"/>
    <x v="0"/>
    <x v="0"/>
    <s v="Y"/>
    <n v="8.838821490467938E-2"/>
    <n v="3.472222222222222E-3"/>
    <n v="-8.4915992682457156E-2"/>
    <n v="0"/>
    <n v="-2"/>
    <n v="49"/>
    <n v="576"/>
    <n v="51"/>
    <n v="576"/>
    <n v="574"/>
    <m/>
    <m/>
    <s v="Y"/>
    <m/>
    <s v="31-60 DAYS"/>
    <n v="3"/>
    <x v="0"/>
  </r>
  <r>
    <n v="1994"/>
    <s v="N"/>
    <s v="N"/>
    <n v="2306370"/>
    <n v="5"/>
    <d v="2012-03-15T00:00:00"/>
    <d v="2012-03-19T00:00:00"/>
    <n v="2306370"/>
    <d v="2012-03-15T00:00:00"/>
    <d v="2012-03-19T00:00:00"/>
    <n v="15000"/>
    <x v="0"/>
    <m/>
    <s v="N"/>
    <s v="NONE"/>
    <s v="GUILTY PLEA - NO JURY"/>
    <n v="5"/>
    <n v="5"/>
    <n v="3"/>
    <n v="1"/>
    <n v="1"/>
    <m/>
    <m/>
    <m/>
    <m/>
    <m/>
    <m/>
    <m/>
    <m/>
    <d v="1990-07-15T00:00:00"/>
    <s v="M"/>
    <s v="W"/>
    <s v="WHITE"/>
    <s v="NULL"/>
    <s v="183"/>
    <s v="CONVICTED"/>
    <n v="1"/>
    <s v="STJ"/>
    <m/>
    <n v="9"/>
    <m/>
    <s v="THEFT $1500-20K"/>
    <m/>
    <s v="FS"/>
    <s v="THEFT"/>
    <s v="misd evade arrest 4/25/12  three days hcj"/>
    <m/>
    <m/>
    <m/>
    <m/>
    <m/>
    <m/>
    <m/>
    <m/>
    <s v="Appointed Attorney"/>
    <m/>
    <m/>
    <n v="5"/>
    <n v="5"/>
    <n v="5"/>
    <n v="21.622950819672131"/>
    <n v="0"/>
    <n v="0"/>
    <s v="CONVICTION"/>
    <x v="0"/>
    <s v="N"/>
    <m/>
    <s v="CONVICTION"/>
    <s v="Y"/>
    <x v="0"/>
    <x v="0"/>
    <s v="Y"/>
    <n v="1"/>
    <n v="1"/>
    <n v="0"/>
    <n v="0"/>
    <n v="-5"/>
    <n v="0"/>
    <n v="5"/>
    <e v="#VALUE!"/>
    <n v="5"/>
    <n v="0"/>
    <m/>
    <m/>
    <s v="Y"/>
    <m/>
    <s v="0-10 DAYS"/>
    <n v="1"/>
    <x v="0"/>
  </r>
  <r>
    <n v="2799"/>
    <s v="N"/>
    <s v="N"/>
    <n v="2306703"/>
    <n v="6"/>
    <d v="2012-04-13T00:00:00"/>
    <d v="2012-10-05T00:00:00"/>
    <n v="2306703"/>
    <d v="2012-04-18T00:00:00"/>
    <d v="2012-04-22T00:00:00"/>
    <n v="10000"/>
    <x v="3"/>
    <d v="2012-04-22T00:00:00"/>
    <s v="Y"/>
    <s v="SURETY"/>
    <s v="GUILTY PLEA - NO JURY"/>
    <n v="5"/>
    <n v="176"/>
    <n v="1"/>
    <n v="1"/>
    <m/>
    <n v="1"/>
    <m/>
    <m/>
    <m/>
    <m/>
    <m/>
    <m/>
    <m/>
    <d v="1969-08-15T00:00:00"/>
    <s v="F"/>
    <s v="W"/>
    <s v="WHITE"/>
    <s v="NON-HISPANIC"/>
    <s v="184"/>
    <s v="CONVICTED"/>
    <n v="10"/>
    <s v="TDC"/>
    <n v="2"/>
    <m/>
    <m/>
    <s v="INJURY CHILD UNDER 15 B/INJURY"/>
    <m/>
    <s v="F3"/>
    <s v="OTHER FEL"/>
    <m/>
    <m/>
    <m/>
    <m/>
    <m/>
    <m/>
    <m/>
    <m/>
    <m/>
    <s v="Hired Attorney"/>
    <m/>
    <m/>
    <n v="5"/>
    <n v="171"/>
    <n v="176"/>
    <n v="42.57377049180328"/>
    <n v="0"/>
    <n v="-166"/>
    <s v="CONVICTION"/>
    <x v="1"/>
    <s v="Y"/>
    <m/>
    <s v="CONVICTION"/>
    <s v="Y"/>
    <x v="1"/>
    <x v="0"/>
    <s v="Y"/>
    <n v="2.8409090909090908E-2"/>
    <n v="2.9239766081871343E-2"/>
    <n v="8.3067517278043526E-4"/>
    <n v="0"/>
    <n v="-5"/>
    <n v="0"/>
    <n v="5"/>
    <e v="#VALUE!"/>
    <n v="5"/>
    <n v="0"/>
    <m/>
    <m/>
    <s v="Y"/>
    <m/>
    <s v="0-10 DAYS"/>
    <n v="1"/>
    <x v="0"/>
  </r>
  <r>
    <n v="1894"/>
    <s v="N"/>
    <s v="N"/>
    <n v="2307133"/>
    <n v="1"/>
    <d v="2012-03-11T00:00:00"/>
    <d v="2012-03-27T00:00:00"/>
    <n v="2307133"/>
    <d v="2012-03-11T00:00:00"/>
    <d v="2012-03-27T00:00:00"/>
    <n v="15000"/>
    <x v="0"/>
    <m/>
    <s v="N"/>
    <s v="NONE"/>
    <s v="DISMISSED"/>
    <n v="17"/>
    <n v="17"/>
    <n v="6"/>
    <n v="3"/>
    <n v="2"/>
    <m/>
    <m/>
    <m/>
    <m/>
    <m/>
    <m/>
    <m/>
    <m/>
    <d v="1977-09-15T00:00:00"/>
    <s v="F"/>
    <s v="W"/>
    <s v="WHITE"/>
    <s v="NON-HISPANIC"/>
    <s v="338"/>
    <s v="DISMISSED"/>
    <n v="2"/>
    <s v="DISMISSED"/>
    <m/>
    <m/>
    <m/>
    <s v="POSS CS PG 1 &lt;1G"/>
    <m/>
    <s v="FS"/>
    <s v="POSS DRUG"/>
    <m/>
    <m/>
    <m/>
    <m/>
    <m/>
    <m/>
    <m/>
    <m/>
    <m/>
    <s v="Appointed Attorney"/>
    <m/>
    <m/>
    <n v="17"/>
    <n v="17"/>
    <n v="17"/>
    <n v="34.415300546448087"/>
    <n v="0"/>
    <n v="0"/>
    <s v="NO CONVICTION"/>
    <x v="0"/>
    <s v="N"/>
    <m/>
    <s v="NO CONVICTION"/>
    <s v="Y"/>
    <x v="0"/>
    <x v="0"/>
    <s v="Y"/>
    <n v="1"/>
    <n v="1"/>
    <n v="0"/>
    <n v="0"/>
    <n v="-17"/>
    <n v="0"/>
    <n v="17"/>
    <e v="#VALUE!"/>
    <n v="17"/>
    <n v="0"/>
    <m/>
    <m/>
    <s v="Y"/>
    <m/>
    <s v="11-30 DAYS"/>
    <n v="2"/>
    <x v="0"/>
  </r>
  <r>
    <n v="1109"/>
    <s v="N"/>
    <s v="N"/>
    <n v="2307450"/>
    <n v="1"/>
    <d v="2012-02-10T00:00:00"/>
    <d v="2012-09-26T00:00:00"/>
    <n v="2307450"/>
    <d v="2012-02-10T00:00:00"/>
    <d v="2012-02-11T00:00:00"/>
    <n v="5000"/>
    <x v="4"/>
    <d v="2012-02-11T00:00:00"/>
    <s v="Y"/>
    <s v="SURETY"/>
    <s v="DISMISSED"/>
    <n v="2"/>
    <n v="230"/>
    <n v="0"/>
    <n v="1"/>
    <m/>
    <m/>
    <m/>
    <m/>
    <m/>
    <m/>
    <m/>
    <s v="S"/>
    <m/>
    <d v="1981-12-18T00:00:00"/>
    <s v="F"/>
    <s v="H"/>
    <s v="HISPANIC"/>
    <s v="NULL"/>
    <s v="232"/>
    <s v="DISMISSED"/>
    <n v="9"/>
    <s v="DISMISSED"/>
    <m/>
    <m/>
    <m/>
    <s v="CREDIT/DEBIT CARD ABUSE"/>
    <m/>
    <s v="FS"/>
    <s v="OTHER FEL"/>
    <m/>
    <m/>
    <m/>
    <m/>
    <m/>
    <m/>
    <m/>
    <m/>
    <m/>
    <s v="Hired Attorney"/>
    <m/>
    <m/>
    <n v="2"/>
    <n v="230"/>
    <n v="230"/>
    <n v="30.084699453551913"/>
    <n v="0"/>
    <n v="-228"/>
    <s v="NO CONVICTION"/>
    <x v="1"/>
    <s v="Y"/>
    <m/>
    <s v="NO CONVICTION"/>
    <s v="Y"/>
    <x v="1"/>
    <x v="0"/>
    <s v="N"/>
    <n v="8.6956521739130436E-3"/>
    <n v="8.6956521739130436E-3"/>
    <n v="0"/>
    <n v="0"/>
    <n v="-2"/>
    <n v="0"/>
    <n v="2"/>
    <e v="#VALUE!"/>
    <n v="2"/>
    <n v="0"/>
    <m/>
    <m/>
    <s v="Y"/>
    <m/>
    <s v="0-10 DAYS"/>
    <n v="1"/>
    <x v="0"/>
  </r>
  <r>
    <n v="1184"/>
    <s v="N"/>
    <s v="N"/>
    <n v="2307467"/>
    <n v="4"/>
    <d v="2012-02-13T00:00:00"/>
    <d v="2012-04-24T00:00:00"/>
    <n v="2307467"/>
    <d v="2012-02-13T00:00:00"/>
    <d v="2012-04-24T00:00:00"/>
    <n v="15000"/>
    <x v="0"/>
    <m/>
    <s v="N"/>
    <s v="NONE"/>
    <s v="GUILTY PLEA - NO JURY"/>
    <n v="72"/>
    <n v="72"/>
    <n v="2"/>
    <n v="2"/>
    <m/>
    <m/>
    <m/>
    <m/>
    <m/>
    <m/>
    <m/>
    <m/>
    <m/>
    <d v="1986-11-27T00:00:00"/>
    <s v="F"/>
    <s v="W"/>
    <s v="WHITE"/>
    <s v="NON-HISPANIC"/>
    <s v="230"/>
    <s v="CONVICTED"/>
    <n v="4"/>
    <s v="HCJ"/>
    <m/>
    <m/>
    <n v="180"/>
    <s v="UNAUTH USE OF VEHICLE"/>
    <m/>
    <s v="FS"/>
    <s v="AUTO THEFT"/>
    <s v="fel drug conv 6/4/12  st j 6 mos"/>
    <m/>
    <m/>
    <m/>
    <m/>
    <m/>
    <m/>
    <m/>
    <m/>
    <s v="Appointed Attorney"/>
    <m/>
    <m/>
    <n v="72"/>
    <n v="72"/>
    <n v="72"/>
    <n v="25.161202185792348"/>
    <n v="0"/>
    <n v="0"/>
    <s v="CONVICTION"/>
    <x v="0"/>
    <s v="N"/>
    <m/>
    <s v="CONVICTION"/>
    <s v="Y"/>
    <x v="0"/>
    <x v="0"/>
    <s v="Y"/>
    <n v="1"/>
    <n v="1"/>
    <n v="0"/>
    <n v="0"/>
    <n v="-72"/>
    <n v="0"/>
    <n v="72"/>
    <e v="#VALUE!"/>
    <n v="72"/>
    <n v="0"/>
    <m/>
    <m/>
    <s v="Y"/>
    <m/>
    <s v="61-90 DAYS"/>
    <n v="4"/>
    <x v="0"/>
  </r>
  <r>
    <n v="3197"/>
    <s v="N"/>
    <s v="N"/>
    <n v="2307758"/>
    <n v="6"/>
    <d v="2012-04-27T00:00:00"/>
    <d v="2013-02-21T00:00:00"/>
    <n v="2307758"/>
    <d v="2012-04-28T00:00:00"/>
    <d v="2013-02-21T00:00:00"/>
    <s v="NO BOND"/>
    <x v="1"/>
    <m/>
    <s v="N"/>
    <s v="NONE"/>
    <s v="GUILTY PLEA - NO JURY"/>
    <n v="300"/>
    <n v="301"/>
    <n v="1"/>
    <n v="1"/>
    <n v="1"/>
    <m/>
    <m/>
    <m/>
    <m/>
    <m/>
    <m/>
    <m/>
    <m/>
    <d v="1988-12-31T00:00:00"/>
    <s v="M"/>
    <s v="B"/>
    <s v="BLACK"/>
    <s v="NULL"/>
    <s v="263"/>
    <s v="CONVICTED"/>
    <n v="8"/>
    <s v="TDC"/>
    <n v="2"/>
    <m/>
    <m/>
    <s v="BURG W-INTENT-COMMIT OTHER FEL"/>
    <m/>
    <s v="F1"/>
    <s v="BURGLARY"/>
    <m/>
    <m/>
    <m/>
    <m/>
    <m/>
    <m/>
    <m/>
    <m/>
    <m/>
    <s v="Appointed Attorney"/>
    <m/>
    <m/>
    <n v="300"/>
    <n v="300"/>
    <n v="301"/>
    <n v="23.273224043715846"/>
    <n v="0"/>
    <n v="0"/>
    <s v="CONVICTION"/>
    <x v="0"/>
    <s v="N"/>
    <m/>
    <s v="CONVICTION"/>
    <s v="Y"/>
    <x v="0"/>
    <x v="0"/>
    <s v="Y"/>
    <n v="0.99667774086378735"/>
    <n v="1"/>
    <n v="3.3222591362126463E-3"/>
    <n v="0"/>
    <n v="-300"/>
    <n v="0"/>
    <n v="300"/>
    <e v="#VALUE!"/>
    <n v="300"/>
    <n v="0"/>
    <m/>
    <m/>
    <s v="Y"/>
    <m/>
    <s v="121-365 DAYS"/>
    <n v="6"/>
    <x v="0"/>
  </r>
  <r>
    <n v="2557"/>
    <s v="N"/>
    <s v="N"/>
    <n v="2308013"/>
    <n v="6"/>
    <d v="2012-04-05T00:00:00"/>
    <d v="2012-05-15T00:00:00"/>
    <n v="2308013"/>
    <d v="2012-04-05T00:00:00"/>
    <d v="2012-05-15T00:00:00"/>
    <s v="NO BOND"/>
    <x v="1"/>
    <m/>
    <s v="N"/>
    <s v="NONE"/>
    <s v="GUILTY PLEA - NO JURY"/>
    <n v="41"/>
    <n v="41"/>
    <n v="2"/>
    <n v="1"/>
    <n v="1"/>
    <m/>
    <m/>
    <m/>
    <m/>
    <m/>
    <m/>
    <m/>
    <m/>
    <d v="1988-09-28T00:00:00"/>
    <s v="M"/>
    <s v="B"/>
    <s v="BLACK"/>
    <s v="NON-HISPANIC"/>
    <s v="337"/>
    <s v="CONVICTED"/>
    <n v="2"/>
    <s v="TDC"/>
    <n v="4"/>
    <m/>
    <m/>
    <s v="RETALIATION"/>
    <m/>
    <s v="F3"/>
    <s v="OTHER FEL"/>
    <m/>
    <m/>
    <m/>
    <m/>
    <m/>
    <m/>
    <m/>
    <m/>
    <m/>
    <s v="Appointed Attorney"/>
    <m/>
    <m/>
    <n v="41"/>
    <n v="41"/>
    <n v="41"/>
    <n v="23.469945355191257"/>
    <n v="0"/>
    <n v="0"/>
    <s v="CONVICTION"/>
    <x v="0"/>
    <s v="N"/>
    <m/>
    <s v="CONVICTION"/>
    <s v="Y"/>
    <x v="0"/>
    <x v="0"/>
    <s v="Y"/>
    <n v="1"/>
    <n v="1"/>
    <n v="0"/>
    <n v="0"/>
    <n v="-41"/>
    <n v="0"/>
    <n v="41"/>
    <e v="#VALUE!"/>
    <n v="41"/>
    <n v="0"/>
    <m/>
    <m/>
    <s v="Y"/>
    <m/>
    <s v="31-60 DAYS"/>
    <n v="3"/>
    <x v="0"/>
  </r>
  <r>
    <n v="2634"/>
    <s v="N"/>
    <s v="N"/>
    <n v="2308172"/>
    <s v=""/>
    <d v="2012-04-07T00:00:00"/>
    <m/>
    <n v="2308172"/>
    <d v="2012-04-08T00:00:00"/>
    <m/>
    <n v="100000"/>
    <x v="2"/>
    <m/>
    <s v="N"/>
    <s v="NONE"/>
    <s v="INCOMPETENT FOR TRIAL "/>
    <s v="STILL OPEN"/>
    <s v="STILL OPEN"/>
    <n v="1"/>
    <n v="0"/>
    <n v="1"/>
    <m/>
    <m/>
    <m/>
    <m/>
    <m/>
    <m/>
    <s v="S"/>
    <m/>
    <d v="1967-02-01T00:00:00"/>
    <s v="M"/>
    <s v="H"/>
    <s v="HISPANIC"/>
    <s v="NULL"/>
    <s v="179"/>
    <m/>
    <m/>
    <m/>
    <m/>
    <m/>
    <m/>
    <s v="AGG ASSAULT W/DEADLY WEAPON"/>
    <m/>
    <s v="F2"/>
    <s v="ASLT-MURDR"/>
    <s v="MHH ISSUES"/>
    <m/>
    <m/>
    <m/>
    <m/>
    <m/>
    <m/>
    <m/>
    <m/>
    <s v="Appointed Attorney"/>
    <m/>
    <m/>
    <s v="STILL OPEN"/>
    <s v="STILL OPEN"/>
    <s v="STILL OPEN"/>
    <n v="45.087431693989068"/>
    <n v="0"/>
    <n v="0"/>
    <n v="0"/>
    <x v="0"/>
    <s v="N"/>
    <m/>
    <s v=""/>
    <s v="Y"/>
    <x v="3"/>
    <x v="1"/>
    <s v="Y"/>
    <s v="STILL OPEN"/>
    <s v="STILL OPEN"/>
    <n v="0"/>
    <e v="#VALUE!"/>
    <n v="41006"/>
    <e v="#VALUE!"/>
    <e v="#VALUE!"/>
    <s v="STILL OPEN"/>
    <s v="STILL OPEN"/>
    <m/>
    <m/>
    <m/>
    <s v="Y"/>
    <e v="#N/A"/>
    <s v="&gt;3YRS"/>
    <n v="9"/>
    <x v="0"/>
  </r>
  <r>
    <n v="822"/>
    <s v="N"/>
    <s v="N"/>
    <n v="2308686"/>
    <n v="2"/>
    <d v="2012-02-01T00:00:00"/>
    <d v="2012-04-02T00:00:00"/>
    <n v="2308686"/>
    <d v="2012-02-01T00:00:00"/>
    <d v="2012-04-02T00:00:00"/>
    <n v="10000"/>
    <x v="3"/>
    <m/>
    <s v="N"/>
    <s v="NONE"/>
    <s v="DEFERRED ADJUDICATION "/>
    <n v="62"/>
    <n v="62"/>
    <n v="2"/>
    <n v="4"/>
    <n v="2"/>
    <m/>
    <m/>
    <m/>
    <m/>
    <m/>
    <m/>
    <m/>
    <m/>
    <d v="1989-03-12T00:00:00"/>
    <s v="M"/>
    <s v="B"/>
    <s v="BLACK"/>
    <s v="NON-HISPANIC"/>
    <s v="339"/>
    <s v="DEFERRED"/>
    <n v="5"/>
    <s v="DEFERRED"/>
    <m/>
    <m/>
    <m/>
    <s v="POSS CS PG 1  1 - 4 GRAMS"/>
    <m/>
    <s v="F3"/>
    <s v="POSS DRUG"/>
    <m/>
    <m/>
    <m/>
    <m/>
    <m/>
    <m/>
    <m/>
    <m/>
    <m/>
    <s v="Appointed Attorney"/>
    <m/>
    <m/>
    <n v="62"/>
    <n v="62"/>
    <n v="62"/>
    <n v="22.844262295081968"/>
    <n v="0"/>
    <n v="0"/>
    <s v="DEFERRED"/>
    <x v="0"/>
    <s v="N"/>
    <m/>
    <s v="DEFERRED"/>
    <s v="Y"/>
    <x v="0"/>
    <x v="0"/>
    <s v="Y"/>
    <n v="1"/>
    <n v="1"/>
    <n v="0"/>
    <n v="0"/>
    <n v="-62"/>
    <n v="0"/>
    <n v="62"/>
    <e v="#VALUE!"/>
    <n v="62"/>
    <n v="0"/>
    <m/>
    <m/>
    <s v="Y"/>
    <m/>
    <s v="61-90 DAYS"/>
    <n v="4"/>
    <x v="0"/>
  </r>
  <r>
    <n v="2910"/>
    <s v="N"/>
    <s v="N"/>
    <n v="2308864"/>
    <n v="2"/>
    <d v="2012-04-17T00:00:00"/>
    <d v="2012-10-25T00:00:00"/>
    <n v="2308864"/>
    <d v="2012-04-18T00:00:00"/>
    <d v="2012-04-19T00:00:00"/>
    <n v="7000"/>
    <x v="3"/>
    <d v="2012-04-19T00:00:00"/>
    <s v="Y"/>
    <s v="SURETYPTRc"/>
    <s v="DEFERRED ADJUDICATION "/>
    <n v="2"/>
    <n v="192"/>
    <n v="0"/>
    <n v="0"/>
    <m/>
    <m/>
    <m/>
    <m/>
    <m/>
    <m/>
    <m/>
    <s v="S"/>
    <m/>
    <d v="1985-08-15T00:00:00"/>
    <s v="F"/>
    <s v="H"/>
    <s v="HISPANIC"/>
    <s v="NULL"/>
    <s v="183"/>
    <s v="DEFERRED"/>
    <n v="9"/>
    <s v="DEFERRED"/>
    <m/>
    <m/>
    <m/>
    <s v="POSS CS PG 1  1 - 4 GRAMS"/>
    <m/>
    <s v="F3"/>
    <s v="POSS DRUG"/>
    <m/>
    <m/>
    <m/>
    <m/>
    <m/>
    <m/>
    <m/>
    <m/>
    <m/>
    <s v="Hired Attorney"/>
    <m/>
    <m/>
    <n v="2"/>
    <n v="191"/>
    <n v="192"/>
    <n v="26.617486338797814"/>
    <n v="0"/>
    <n v="-189"/>
    <s v="DEFERRED"/>
    <x v="1"/>
    <s v="Y"/>
    <m/>
    <s v="DEFERRED"/>
    <s v="Y"/>
    <x v="1"/>
    <x v="0"/>
    <s v="N"/>
    <n v="1.0416666666666666E-2"/>
    <n v="1.0471204188481676E-2"/>
    <n v="5.453752181500994E-5"/>
    <n v="0"/>
    <n v="-2"/>
    <n v="0"/>
    <n v="2"/>
    <e v="#VALUE!"/>
    <n v="2"/>
    <n v="0"/>
    <m/>
    <m/>
    <s v="N"/>
    <m/>
    <s v="0-10 DAYS"/>
    <n v="1"/>
    <x v="0"/>
  </r>
  <r>
    <n v="1222"/>
    <s v="N"/>
    <s v="N"/>
    <n v="2309037"/>
    <n v="6"/>
    <d v="2012-02-14T00:00:00"/>
    <d v="2012-12-13T00:00:00"/>
    <n v="2309037"/>
    <d v="2012-02-16T00:00:00"/>
    <d v="2012-12-13T00:00:00"/>
    <s v="NO BOND"/>
    <x v="1"/>
    <m/>
    <s v="N"/>
    <s v="NONE"/>
    <s v="GUILTY PLEA - NO JURY"/>
    <n v="302"/>
    <n v="304"/>
    <n v="0"/>
    <n v="1"/>
    <m/>
    <m/>
    <m/>
    <m/>
    <m/>
    <m/>
    <m/>
    <m/>
    <m/>
    <d v="1988-12-11T00:00:00"/>
    <s v="F"/>
    <s v="B"/>
    <s v="BLACK"/>
    <s v="NON-HISPANIC"/>
    <s v="351"/>
    <s v="CONVICTED"/>
    <n v="13"/>
    <s v="TDC"/>
    <n v="5"/>
    <m/>
    <m/>
    <s v="AGG ROBBERY-DEADLY WPN"/>
    <m/>
    <s v="F1"/>
    <s v="ROBBERY"/>
    <m/>
    <m/>
    <m/>
    <m/>
    <m/>
    <m/>
    <m/>
    <m/>
    <m/>
    <s v="Hired Attorney"/>
    <m/>
    <m/>
    <n v="302"/>
    <n v="302"/>
    <n v="304"/>
    <n v="23.128415300546447"/>
    <n v="0"/>
    <n v="0"/>
    <s v="CONVICTION"/>
    <x v="0"/>
    <s v="N"/>
    <m/>
    <s v="CONVICTION"/>
    <s v="Y"/>
    <x v="0"/>
    <x v="0"/>
    <s v="N"/>
    <n v="0.99342105263157898"/>
    <n v="1"/>
    <n v="6.5789473684210176E-3"/>
    <n v="0"/>
    <n v="-302"/>
    <n v="0"/>
    <n v="302"/>
    <e v="#VALUE!"/>
    <n v="302"/>
    <n v="0"/>
    <m/>
    <m/>
    <s v="Y"/>
    <m/>
    <s v="121-365 DAYS"/>
    <n v="6"/>
    <x v="0"/>
  </r>
  <r>
    <n v="1952"/>
    <s v="N"/>
    <s v="N"/>
    <n v="2309184"/>
    <n v="2"/>
    <d v="2012-03-14T00:00:00"/>
    <d v="2012-04-10T00:00:00"/>
    <n v="2309184"/>
    <d v="2012-03-14T00:00:00"/>
    <d v="2012-04-10T00:00:00"/>
    <n v="5000"/>
    <x v="4"/>
    <m/>
    <s v="N"/>
    <s v="NONE"/>
    <s v="DEFERRED ADJUDICATION "/>
    <n v="28"/>
    <n v="28"/>
    <n v="0"/>
    <n v="0"/>
    <m/>
    <m/>
    <m/>
    <m/>
    <m/>
    <m/>
    <m/>
    <m/>
    <m/>
    <d v="1989-04-03T00:00:00"/>
    <s v="F"/>
    <s v="B"/>
    <s v="BLACK"/>
    <s v="NULL"/>
    <s v="183"/>
    <s v="DEFERRED"/>
    <n v="2"/>
    <s v="DEFERRED"/>
    <m/>
    <m/>
    <m/>
    <s v="ASSAULT-BOD INJ-PUB SERV/RETAL"/>
    <m/>
    <s v="F3"/>
    <s v="ASLT-MURDR"/>
    <s v="misd trespass 4/11/12hcj 30 days "/>
    <m/>
    <m/>
    <m/>
    <m/>
    <m/>
    <m/>
    <m/>
    <m/>
    <s v="Appointed Attorney"/>
    <m/>
    <m/>
    <n v="28"/>
    <n v="28"/>
    <n v="28"/>
    <n v="22.898907103825138"/>
    <n v="0"/>
    <n v="0"/>
    <s v="DEFERRED"/>
    <x v="0"/>
    <s v="N"/>
    <m/>
    <s v="DEFERRED"/>
    <s v="Y"/>
    <x v="0"/>
    <x v="0"/>
    <s v="N"/>
    <n v="1"/>
    <n v="1"/>
    <n v="0"/>
    <n v="0"/>
    <n v="-28"/>
    <n v="0"/>
    <n v="28"/>
    <e v="#VALUE!"/>
    <n v="28"/>
    <n v="0"/>
    <m/>
    <m/>
    <s v="N"/>
    <m/>
    <s v="11-30 DAYS"/>
    <n v="2"/>
    <x v="0"/>
  </r>
  <r>
    <n v="1084"/>
    <s v="N"/>
    <s v="N"/>
    <n v="2310245"/>
    <n v="6"/>
    <d v="2012-02-09T00:00:00"/>
    <d v="2012-09-13T00:00:00"/>
    <n v="2310245"/>
    <d v="2012-04-09T00:00:00"/>
    <d v="2012-09-13T00:00:00"/>
    <s v="NO BOND"/>
    <x v="1"/>
    <m/>
    <s v="N"/>
    <s v="NONE"/>
    <s v="GUILTY PLEA - NO JURY"/>
    <n v="158"/>
    <n v="218"/>
    <n v="1"/>
    <n v="1"/>
    <m/>
    <n v="1"/>
    <m/>
    <m/>
    <m/>
    <m/>
    <m/>
    <s v="S"/>
    <m/>
    <d v="1990-04-21T00:00:00"/>
    <s v="M"/>
    <s v="H"/>
    <s v="HISPANIC"/>
    <s v="NULL"/>
    <s v="185"/>
    <s v="CONVICTED"/>
    <n v="8"/>
    <s v="TDC"/>
    <n v="5"/>
    <m/>
    <m/>
    <s v="AGG ROBBERY-DEADLY WPN"/>
    <m/>
    <s v="F1"/>
    <s v="ROBBERY"/>
    <m/>
    <m/>
    <m/>
    <m/>
    <m/>
    <m/>
    <m/>
    <m/>
    <m/>
    <s v="Appointed Attorney"/>
    <m/>
    <m/>
    <n v="158"/>
    <n v="158"/>
    <n v="218"/>
    <n v="21.759562841530055"/>
    <n v="0"/>
    <n v="0"/>
    <s v="CONVICTION"/>
    <x v="0"/>
    <s v="N"/>
    <m/>
    <s v="CONVICTION"/>
    <s v="Y"/>
    <x v="0"/>
    <x v="0"/>
    <s v="Y"/>
    <n v="0.72477064220183485"/>
    <n v="1"/>
    <n v="0.27522935779816515"/>
    <n v="0"/>
    <n v="-158"/>
    <n v="0"/>
    <n v="158"/>
    <e v="#VALUE!"/>
    <n v="158"/>
    <n v="0"/>
    <m/>
    <m/>
    <s v="Y"/>
    <m/>
    <s v="121-365 DAYS"/>
    <n v="6"/>
    <x v="0"/>
  </r>
  <r>
    <n v="158"/>
    <s v="N"/>
    <s v="N"/>
    <n v="2310635"/>
    <n v="6"/>
    <d v="2012-01-07T00:00:00"/>
    <d v="2012-01-09T00:00:00"/>
    <n v="2310635"/>
    <d v="2012-01-08T00:00:00"/>
    <d v="2012-01-09T00:00:00"/>
    <s v="NO BOND"/>
    <x v="1"/>
    <m/>
    <s v="N"/>
    <s v="NONE"/>
    <s v="GUILTY PLEA - NO JURY"/>
    <n v="2"/>
    <n v="3"/>
    <n v="4"/>
    <n v="5"/>
    <n v="2"/>
    <m/>
    <m/>
    <m/>
    <m/>
    <m/>
    <m/>
    <m/>
    <m/>
    <d v="1963-06-20T00:00:00"/>
    <s v="M"/>
    <s v="B"/>
    <s v="BLACK"/>
    <s v="NON-HISPANIC"/>
    <s v="177"/>
    <s v="CONVICTED"/>
    <n v="1"/>
    <s v="TDC"/>
    <n v="2"/>
    <m/>
    <m/>
    <s v="POSS CS PG 1  1 - 4 GRAMS"/>
    <m/>
    <s v="F3"/>
    <s v="POSS DRUG"/>
    <m/>
    <m/>
    <m/>
    <m/>
    <m/>
    <m/>
    <m/>
    <m/>
    <m/>
    <s v="Appointed Attorney"/>
    <m/>
    <m/>
    <n v="2"/>
    <n v="2"/>
    <n v="3"/>
    <n v="48.450819672131146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1358"/>
    <s v="N"/>
    <s v="N"/>
    <n v="2311185"/>
    <n v="2"/>
    <d v="2012-02-19T00:00:00"/>
    <d v="2012-03-08T00:00:00"/>
    <n v="2311185"/>
    <d v="2012-02-19T00:00:00"/>
    <d v="2012-03-08T00:00:00"/>
    <n v="15000"/>
    <x v="0"/>
    <m/>
    <s v="N"/>
    <s v="NONE"/>
    <s v="DEFERRED ADJUDICATION "/>
    <n v="19"/>
    <n v="19"/>
    <n v="1"/>
    <n v="6"/>
    <m/>
    <m/>
    <m/>
    <m/>
    <m/>
    <m/>
    <m/>
    <m/>
    <m/>
    <d v="1990-03-20T00:00:00"/>
    <s v="M"/>
    <s v="B"/>
    <s v="BLACK"/>
    <s v="NULL"/>
    <s v="248"/>
    <s v="DEFERRED"/>
    <n v="2"/>
    <s v="DEFERRED"/>
    <m/>
    <m/>
    <m/>
    <s v="BURGLARY OF A BUILDING"/>
    <m/>
    <s v="FS"/>
    <s v="BURGLARY"/>
    <m/>
    <m/>
    <m/>
    <m/>
    <m/>
    <m/>
    <m/>
    <m/>
    <m/>
    <s v="Appointed Attorney"/>
    <m/>
    <m/>
    <n v="19"/>
    <n v="19"/>
    <n v="19"/>
    <n v="21.874316939890711"/>
    <n v="0"/>
    <n v="0"/>
    <s v="DEFERRED"/>
    <x v="0"/>
    <s v="N"/>
    <m/>
    <s v="DEFERRED"/>
    <s v="Y"/>
    <x v="0"/>
    <x v="0"/>
    <s v="Y"/>
    <n v="1"/>
    <n v="1"/>
    <n v="0"/>
    <n v="0"/>
    <n v="-19"/>
    <n v="0"/>
    <n v="19"/>
    <e v="#VALUE!"/>
    <n v="19"/>
    <n v="0"/>
    <m/>
    <m/>
    <s v="Y"/>
    <m/>
    <s v="11-30 DAYS"/>
    <n v="2"/>
    <x v="0"/>
  </r>
  <r>
    <n v="638"/>
    <s v="N"/>
    <s v="N"/>
    <n v="2311689"/>
    <n v="5"/>
    <d v="2012-01-26T00:00:00"/>
    <d v="2012-05-04T00:00:00"/>
    <n v="2311689"/>
    <s v="NOT BOOKED"/>
    <s v="NOT BOOKED"/>
    <n v="2000"/>
    <x v="5"/>
    <d v="2012-03-15T00:00:00"/>
    <s v="Y"/>
    <s v="SURETY"/>
    <s v="GUILTY PLEA - NO JURY"/>
    <n v="0"/>
    <n v="100"/>
    <n v="3"/>
    <n v="3"/>
    <n v="2"/>
    <m/>
    <m/>
    <m/>
    <m/>
    <m/>
    <m/>
    <m/>
    <m/>
    <d v="1978-08-31T00:00:00"/>
    <s v="F"/>
    <s v="W"/>
    <s v="WHITE"/>
    <s v="NULL"/>
    <s v="262"/>
    <s v="CONVICTED"/>
    <n v="4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0"/>
    <n v="0"/>
    <n v="100"/>
    <n v="33.33606557377049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647"/>
    <s v="N"/>
    <s v="N"/>
    <n v="2312537"/>
    <n v="6"/>
    <d v="2012-01-26T00:00:00"/>
    <d v="2012-08-27T00:00:00"/>
    <n v="2312537"/>
    <d v="2012-01-27T00:00:00"/>
    <d v="2012-01-27T00:00:00"/>
    <n v="5000"/>
    <x v="4"/>
    <d v="2012-01-27T00:00:00"/>
    <s v="Y"/>
    <s v="SURETY"/>
    <s v="GUILTY PLEA - NO JURY"/>
    <n v="1"/>
    <n v="215"/>
    <n v="1"/>
    <n v="0"/>
    <m/>
    <n v="1"/>
    <m/>
    <m/>
    <m/>
    <m/>
    <m/>
    <m/>
    <m/>
    <d v="1973-11-19T00:00:00"/>
    <s v="F"/>
    <s v="B"/>
    <s v="BLACK"/>
    <s v="NON-HISPANIC"/>
    <s v="185"/>
    <s v="CONVICTED"/>
    <n v="13"/>
    <s v="TDC"/>
    <n v="5"/>
    <m/>
    <m/>
    <s v="INJURY CHILD UNDER 15 B/INJURY"/>
    <m/>
    <s v="F3"/>
    <s v="OTHER FEL"/>
    <m/>
    <m/>
    <m/>
    <m/>
    <m/>
    <m/>
    <m/>
    <m/>
    <m/>
    <s v="Hired Attorney"/>
    <m/>
    <m/>
    <n v="1"/>
    <n v="214"/>
    <n v="215"/>
    <n v="38.106557377049178"/>
    <n v="0"/>
    <n v="-213"/>
    <s v="CONVICTION"/>
    <x v="1"/>
    <s v="Y"/>
    <m/>
    <s v="CONVICTION"/>
    <s v="Y"/>
    <x v="1"/>
    <x v="0"/>
    <s v="Y"/>
    <n v="4.6511627906976744E-3"/>
    <n v="4.6728971962616819E-3"/>
    <n v="2.173440556400754E-5"/>
    <n v="0"/>
    <n v="-1"/>
    <n v="0"/>
    <n v="1"/>
    <e v="#VALUE!"/>
    <n v="1"/>
    <n v="0"/>
    <m/>
    <m/>
    <s v="Y"/>
    <m/>
    <s v="0-10 DAYS"/>
    <n v="1"/>
    <x v="0"/>
  </r>
  <r>
    <n v="1508"/>
    <s v="N"/>
    <s v="N"/>
    <n v="2312695"/>
    <n v="6"/>
    <d v="2012-02-25T00:00:00"/>
    <d v="2012-06-18T00:00:00"/>
    <n v="2312695"/>
    <d v="2012-02-25T00:00:00"/>
    <d v="2012-06-18T00:00:00"/>
    <n v="20000"/>
    <x v="0"/>
    <m/>
    <s v="N"/>
    <s v="NONE"/>
    <s v="GUILTY PLEA - NO JURY"/>
    <n v="115"/>
    <n v="115"/>
    <n v="3"/>
    <n v="2"/>
    <n v="2"/>
    <m/>
    <m/>
    <m/>
    <m/>
    <m/>
    <m/>
    <m/>
    <m/>
    <d v="1990-03-21T00:00:00"/>
    <s v="M"/>
    <s v="H"/>
    <s v="HISPANIC"/>
    <s v="HISPANIC"/>
    <s v="177"/>
    <s v="CONVICTED"/>
    <n v="6"/>
    <s v="TDC"/>
    <n v="5"/>
    <m/>
    <m/>
    <s v="ROBBERY-BODILY INJURY"/>
    <m/>
    <s v="F2"/>
    <s v="ROBBERY"/>
    <m/>
    <m/>
    <m/>
    <m/>
    <m/>
    <m/>
    <m/>
    <m/>
    <m/>
    <s v="Appointed Attorney"/>
    <m/>
    <m/>
    <n v="115"/>
    <n v="115"/>
    <n v="115"/>
    <n v="21.887978142076502"/>
    <n v="0"/>
    <n v="0"/>
    <s v="CONVICTION"/>
    <x v="0"/>
    <s v="N"/>
    <m/>
    <s v="CONVICTION"/>
    <s v="Y"/>
    <x v="0"/>
    <x v="0"/>
    <s v="Y"/>
    <n v="1"/>
    <n v="1"/>
    <n v="0"/>
    <n v="0"/>
    <n v="-115"/>
    <n v="0"/>
    <n v="115"/>
    <e v="#VALUE!"/>
    <n v="115"/>
    <n v="0"/>
    <m/>
    <m/>
    <s v="Y"/>
    <m/>
    <s v="91-120 DAYS"/>
    <n v="0"/>
    <x v="0"/>
  </r>
  <r>
    <n v="3230"/>
    <s v="N"/>
    <s v="N"/>
    <n v="2312864"/>
    <n v="2"/>
    <d v="2012-04-29T00:00:00"/>
    <d v="2013-02-07T00:00:00"/>
    <n v="2312864"/>
    <d v="2012-04-29T00:00:00"/>
    <d v="2013-02-07T00:00:00"/>
    <n v="45000"/>
    <x v="2"/>
    <m/>
    <s v="N"/>
    <s v="NONE"/>
    <s v="DEFERRED ADJUDICATION "/>
    <n v="285"/>
    <n v="285"/>
    <n v="0"/>
    <n v="2"/>
    <m/>
    <m/>
    <m/>
    <m/>
    <m/>
    <m/>
    <m/>
    <m/>
    <m/>
    <d v="1988-07-13T00:00:00"/>
    <s v="M"/>
    <s v="B"/>
    <s v="BLACK"/>
    <s v="NULL"/>
    <s v="176"/>
    <s v="DEFERRED"/>
    <n v="9"/>
    <s v="DEFERRED"/>
    <m/>
    <m/>
    <m/>
    <s v="BURGLARY OF A BUILDING"/>
    <m/>
    <s v="FS"/>
    <s v="BURGLARY"/>
    <m/>
    <m/>
    <m/>
    <m/>
    <m/>
    <m/>
    <m/>
    <m/>
    <m/>
    <s v="Appointed Attorney"/>
    <m/>
    <m/>
    <n v="285"/>
    <n v="285"/>
    <n v="285"/>
    <n v="23.745901639344261"/>
    <n v="0"/>
    <n v="0"/>
    <s v="DEFERRED"/>
    <x v="0"/>
    <s v="N"/>
    <m/>
    <s v="DEFERRED"/>
    <s v="Y"/>
    <x v="0"/>
    <x v="0"/>
    <s v="N"/>
    <n v="1"/>
    <n v="1"/>
    <n v="0"/>
    <n v="0"/>
    <n v="-285"/>
    <n v="0"/>
    <n v="285"/>
    <e v="#VALUE!"/>
    <n v="285"/>
    <n v="0"/>
    <m/>
    <m/>
    <s v="Y"/>
    <m/>
    <s v="121-365 DAYS"/>
    <n v="6"/>
    <x v="0"/>
  </r>
  <r>
    <n v="2819"/>
    <s v="N"/>
    <s v="N"/>
    <n v="2312903"/>
    <n v="1"/>
    <d v="2012-04-13T00:00:00"/>
    <d v="2012-06-05T00:00:00"/>
    <n v="2312903"/>
    <d v="2012-04-14T00:00:00"/>
    <d v="2012-04-21T00:00:00"/>
    <n v="10000"/>
    <x v="3"/>
    <d v="2012-04-21T00:00:00"/>
    <s v="Y"/>
    <s v="SURETY"/>
    <s v="DISMISSED"/>
    <n v="8"/>
    <n v="54"/>
    <n v="0"/>
    <n v="0"/>
    <m/>
    <m/>
    <m/>
    <m/>
    <m/>
    <m/>
    <m/>
    <m/>
    <m/>
    <d v="1986-11-04T00:00:00"/>
    <s v="M"/>
    <s v="B"/>
    <s v="BLACK"/>
    <s v="NULL"/>
    <s v="176"/>
    <s v="DISMISSED"/>
    <n v="3"/>
    <s v="DISMISSED"/>
    <m/>
    <m/>
    <m/>
    <s v="POSS CS PG 1 &lt;1G"/>
    <m/>
    <s v="FS"/>
    <s v="POSS DRUG"/>
    <m/>
    <m/>
    <m/>
    <m/>
    <m/>
    <m/>
    <m/>
    <m/>
    <m/>
    <s v="Appointed Attorney"/>
    <m/>
    <m/>
    <n v="8"/>
    <n v="53"/>
    <n v="54"/>
    <n v="25.387978142076502"/>
    <n v="0"/>
    <n v="-45"/>
    <s v="NO CONVICTION"/>
    <x v="1"/>
    <s v="Y"/>
    <m/>
    <s v="NO CONVICTION"/>
    <s v="Y"/>
    <x v="1"/>
    <x v="0"/>
    <s v="N"/>
    <n v="0.14814814814814814"/>
    <n v="0.15094339622641509"/>
    <n v="2.7952480782669487E-3"/>
    <n v="0"/>
    <n v="-8"/>
    <n v="0"/>
    <n v="8"/>
    <e v="#VALUE!"/>
    <n v="8"/>
    <n v="0"/>
    <m/>
    <m/>
    <s v="N"/>
    <m/>
    <s v="0-10 DAYS"/>
    <n v="1"/>
    <x v="0"/>
  </r>
  <r>
    <n v="4"/>
    <s v="N"/>
    <s v="Y"/>
    <n v="2312988"/>
    <n v="2"/>
    <d v="2012-01-01T00:00:00"/>
    <d v="2012-10-03T00:00:00"/>
    <n v="2312988"/>
    <d v="2012-01-01T00:00:00"/>
    <d v="2012-01-07T00:00:00"/>
    <n v="20000"/>
    <x v="2"/>
    <d v="2012-01-07T00:00:00"/>
    <s v="Y"/>
    <s v="SURETY"/>
    <s v="DEFERRED ADJUDICATION "/>
    <n v="161"/>
    <n v="277"/>
    <n v="2"/>
    <n v="2"/>
    <n v="1"/>
    <m/>
    <m/>
    <m/>
    <m/>
    <m/>
    <m/>
    <m/>
    <m/>
    <d v="1986-10-05T00:00:00"/>
    <s v="F"/>
    <s v="W"/>
    <s v="WHITE"/>
    <s v="NULL"/>
    <s v="208"/>
    <s v="DEFERRED"/>
    <n v="9"/>
    <s v="DEFERRED"/>
    <m/>
    <m/>
    <m/>
    <s v="POSS CS PG 1 4G - 200G"/>
    <m/>
    <s v="F2"/>
    <s v="POSS DRUG"/>
    <s v="bf on 2 surety then ptr disposed on ptr"/>
    <m/>
    <s v="Y"/>
    <d v="2012-02-27T00:00:00"/>
    <m/>
    <m/>
    <m/>
    <s v="(2)4/23/2012"/>
    <n v="470"/>
    <s v="Hired Attorney"/>
    <m/>
    <m/>
    <n v="161"/>
    <n v="277"/>
    <n v="277"/>
    <n v="25.188524590163933"/>
    <n v="0"/>
    <n v="-270"/>
    <s v="DEFERRED"/>
    <x v="1"/>
    <s v="Y"/>
    <m/>
    <s v="DEFERRED"/>
    <s v="Y"/>
    <x v="1"/>
    <x v="0"/>
    <s v="Y"/>
    <n v="0.58122743682310474"/>
    <n v="2.5270758122743681E-2"/>
    <n v="-0.55595667870036103"/>
    <n v="0"/>
    <n v="-7"/>
    <n v="154"/>
    <n v="7"/>
    <n v="161"/>
    <m/>
    <n v="270"/>
    <m/>
    <m/>
    <s v="Y"/>
    <m/>
    <s v="121-365 DAYS"/>
    <n v="6"/>
    <x v="0"/>
  </r>
  <r>
    <n v="178"/>
    <s v="N"/>
    <s v="N"/>
    <n v="2313677"/>
    <n v="1"/>
    <d v="2012-01-08T00:00:00"/>
    <d v="2012-11-19T00:00:00"/>
    <n v="2313677"/>
    <d v="2012-01-10T00:00:00"/>
    <d v="2012-03-28T00:00:00"/>
    <n v="10000"/>
    <x v="3"/>
    <d v="2012-03-28T00:00:00"/>
    <s v="Y"/>
    <s v="SURETY"/>
    <s v="DISMISSED"/>
    <n v="79"/>
    <n v="317"/>
    <n v="0"/>
    <n v="5"/>
    <m/>
    <m/>
    <m/>
    <m/>
    <m/>
    <m/>
    <m/>
    <m/>
    <m/>
    <d v="1986-03-21T00:00:00"/>
    <s v="M"/>
    <s v="B"/>
    <s v="BLACK"/>
    <s v="NULL"/>
    <s v="177"/>
    <s v="DISMISSED"/>
    <n v="11"/>
    <s v="DISMISSED"/>
    <m/>
    <m/>
    <m/>
    <s v="ASSAULT-BOD INJ-FAMILY MEMBER"/>
    <m/>
    <s v="F3"/>
    <s v="ASLT-MURDR"/>
    <m/>
    <m/>
    <m/>
    <m/>
    <m/>
    <m/>
    <m/>
    <m/>
    <m/>
    <s v="Appointed Attorney"/>
    <m/>
    <m/>
    <n v="79"/>
    <n v="315"/>
    <n v="317"/>
    <n v="25.748633879781419"/>
    <n v="0"/>
    <n v="-236"/>
    <s v="NO CONVICTION"/>
    <x v="1"/>
    <s v="Y"/>
    <m/>
    <s v="NO CONVICTION"/>
    <s v="Y"/>
    <x v="1"/>
    <x v="0"/>
    <s v="N"/>
    <n v="0.24921135646687698"/>
    <n v="0.25079365079365079"/>
    <n v="1.5822943267738143E-3"/>
    <n v="0"/>
    <n v="-79"/>
    <n v="0"/>
    <n v="79"/>
    <e v="#VALUE!"/>
    <n v="79"/>
    <n v="0"/>
    <m/>
    <m/>
    <s v="Y"/>
    <m/>
    <s v="61-90 DAYS"/>
    <n v="4"/>
    <x v="0"/>
  </r>
  <r>
    <n v="1294"/>
    <s v="N"/>
    <s v="N"/>
    <n v="2314656"/>
    <n v="2"/>
    <d v="2012-02-17T00:00:00"/>
    <d v="2012-08-14T00:00:00"/>
    <n v="2314656"/>
    <d v="2012-02-17T00:00:00"/>
    <d v="2012-02-18T00:00:00"/>
    <n v="10000"/>
    <x v="3"/>
    <d v="2012-02-18T00:00:00"/>
    <s v="Y"/>
    <s v="SURETYPTRc"/>
    <s v="DEFERRED ADJUDICATION "/>
    <n v="2"/>
    <n v="180"/>
    <n v="0"/>
    <n v="0"/>
    <m/>
    <m/>
    <m/>
    <m/>
    <m/>
    <m/>
    <m/>
    <m/>
    <m/>
    <d v="1962-01-10T00:00:00"/>
    <s v="F"/>
    <s v="W"/>
    <s v="WHITE"/>
    <s v="NULL"/>
    <s v="209"/>
    <s v="DEFERRED"/>
    <n v="6"/>
    <s v="DEFERRED"/>
    <m/>
    <m/>
    <m/>
    <s v="POSS CS PG 3 28-200 GRAMS"/>
    <m/>
    <s v="F3"/>
    <s v="POSS DRUG"/>
    <m/>
    <m/>
    <m/>
    <m/>
    <m/>
    <m/>
    <m/>
    <m/>
    <m/>
    <s v="Hired Attorney"/>
    <m/>
    <m/>
    <n v="2"/>
    <n v="180"/>
    <n v="180"/>
    <n v="50"/>
    <n v="0"/>
    <n v="-178"/>
    <s v="DEFERRED"/>
    <x v="1"/>
    <s v="Y"/>
    <m/>
    <s v="DEFERRED"/>
    <s v="Y"/>
    <x v="1"/>
    <x v="0"/>
    <s v="N"/>
    <n v="1.1111111111111112E-2"/>
    <n v="1.1111111111111112E-2"/>
    <n v="0"/>
    <n v="0"/>
    <n v="-2"/>
    <n v="0"/>
    <n v="2"/>
    <e v="#VALUE!"/>
    <n v="2"/>
    <n v="0"/>
    <m/>
    <m/>
    <s v="N"/>
    <m/>
    <s v="0-10 DAYS"/>
    <n v="1"/>
    <x v="0"/>
  </r>
  <r>
    <n v="943"/>
    <s v="N"/>
    <s v="N"/>
    <n v="2315203"/>
    <n v="6"/>
    <d v="2012-02-04T00:00:00"/>
    <d v="2012-04-17T00:00:00"/>
    <n v="2315203"/>
    <d v="2012-02-04T00:00:00"/>
    <d v="2012-04-17T00:00:00"/>
    <n v="15000"/>
    <x v="0"/>
    <m/>
    <s v="N"/>
    <s v="NONE"/>
    <s v="GUILTY PLEA - NO JURY"/>
    <n v="74"/>
    <n v="74"/>
    <n v="2"/>
    <n v="4"/>
    <n v="2"/>
    <m/>
    <m/>
    <m/>
    <m/>
    <m/>
    <m/>
    <m/>
    <m/>
    <d v="1990-08-26T00:00:00"/>
    <s v="M"/>
    <s v="B"/>
    <s v="BLACK"/>
    <s v="NULL"/>
    <s v="351"/>
    <s v="CONVICTED"/>
    <n v="4"/>
    <s v="TDC"/>
    <n v="1"/>
    <m/>
    <m/>
    <s v="BURGLARY OF A BUILDING"/>
    <m/>
    <s v="FS"/>
    <s v="BURGLARY"/>
    <m/>
    <m/>
    <m/>
    <m/>
    <m/>
    <m/>
    <m/>
    <m/>
    <m/>
    <s v="Appointed Attorney"/>
    <m/>
    <m/>
    <n v="74"/>
    <n v="74"/>
    <n v="74"/>
    <n v="21.398907103825138"/>
    <n v="0"/>
    <n v="0"/>
    <s v="CONVICTION"/>
    <x v="0"/>
    <s v="N"/>
    <m/>
    <s v="CONVICTION"/>
    <s v="Y"/>
    <x v="0"/>
    <x v="0"/>
    <s v="Y"/>
    <n v="1"/>
    <n v="1"/>
    <n v="0"/>
    <n v="0"/>
    <n v="-74"/>
    <n v="0"/>
    <n v="74"/>
    <e v="#VALUE!"/>
    <n v="74"/>
    <n v="0"/>
    <m/>
    <m/>
    <s v="Y"/>
    <m/>
    <s v="61-90 DAYS"/>
    <n v="4"/>
    <x v="0"/>
  </r>
  <r>
    <n v="2526"/>
    <s v="N"/>
    <s v="N"/>
    <n v="2315407"/>
    <n v="1"/>
    <d v="2012-04-04T00:00:00"/>
    <d v="2012-05-10T00:00:00"/>
    <n v="2315407"/>
    <d v="2012-04-05T00:00:00"/>
    <d v="2012-04-05T00:00:00"/>
    <n v="2000"/>
    <x v="5"/>
    <d v="2012-04-05T00:00:00"/>
    <s v="Y"/>
    <s v="PTR"/>
    <s v="DISMISSED"/>
    <n v="1"/>
    <n v="37"/>
    <n v="0"/>
    <n v="1"/>
    <m/>
    <m/>
    <m/>
    <m/>
    <m/>
    <m/>
    <m/>
    <m/>
    <m/>
    <d v="1987-02-15T00:00:00"/>
    <s v="F"/>
    <s v="B"/>
    <s v="BLACK"/>
    <s v="NON-HISPANIC"/>
    <s v="232"/>
    <s v="DISMISSED"/>
    <n v="3"/>
    <s v="DISMISSED"/>
    <m/>
    <m/>
    <m/>
    <s v="POSS CS PG 1 &lt;1G"/>
    <m/>
    <s v="FS"/>
    <s v="POSS DRUG"/>
    <m/>
    <m/>
    <m/>
    <m/>
    <m/>
    <m/>
    <m/>
    <m/>
    <m/>
    <s v="Appointed Attorney"/>
    <m/>
    <m/>
    <n v="1"/>
    <n v="36"/>
    <n v="37"/>
    <n v="25.081967213114755"/>
    <n v="0"/>
    <n v="-35"/>
    <s v="NO CONVICTION"/>
    <x v="2"/>
    <s v="Y"/>
    <m/>
    <s v="NO CONVICTION"/>
    <s v="Y"/>
    <x v="1"/>
    <x v="0"/>
    <s v="N"/>
    <n v="2.7027027027027029E-2"/>
    <n v="2.7777777777777776E-2"/>
    <n v="7.5075075075074771E-4"/>
    <n v="0"/>
    <n v="-1"/>
    <n v="0"/>
    <n v="1"/>
    <e v="#VALUE!"/>
    <n v="1"/>
    <n v="0"/>
    <m/>
    <m/>
    <s v="Y"/>
    <m/>
    <s v="0-10 DAYS"/>
    <n v="1"/>
    <x v="0"/>
  </r>
  <r>
    <n v="405"/>
    <s v="N"/>
    <s v="N"/>
    <n v="2315572"/>
    <n v="6"/>
    <d v="2010-09-24T00:00:00"/>
    <d v="2012-06-29T00:00:00"/>
    <n v="2315572"/>
    <d v="2011-06-22T00:00:00"/>
    <d v="2012-06-29T00:00:00"/>
    <s v="NO BOND"/>
    <x v="1"/>
    <m/>
    <s v="N"/>
    <s v="NONE"/>
    <s v="DEFENDANT CONVICTED ON ANOTHER CHARGE"/>
    <n v="374"/>
    <n v="645"/>
    <n v="3"/>
    <n v="0"/>
    <n v="3"/>
    <m/>
    <m/>
    <m/>
    <m/>
    <m/>
    <m/>
    <m/>
    <m/>
    <d v="1990-04-27T00:00:00"/>
    <s v="M"/>
    <s v="B"/>
    <s v="BLACK"/>
    <s v="NON-HISPANIC"/>
    <s v="232"/>
    <s v="CONVICTED"/>
    <n v="15"/>
    <s v="TDC"/>
    <n v="99"/>
    <m/>
    <m/>
    <s v="ASSAULT-BOD INJ-PUB SERV/RETAL"/>
    <m/>
    <s v="F3"/>
    <s v="ASLT-MURDR"/>
    <m/>
    <m/>
    <m/>
    <m/>
    <m/>
    <m/>
    <m/>
    <m/>
    <m/>
    <s v="Appointed Attorney"/>
    <m/>
    <m/>
    <n v="374"/>
    <n v="374"/>
    <n v="645"/>
    <n v="20.368852459016395"/>
    <n v="0"/>
    <n v="0"/>
    <s v="CONVICTION"/>
    <x v="0"/>
    <s v="N"/>
    <m/>
    <s v="CONVICTION"/>
    <s v="Y"/>
    <x v="0"/>
    <x v="0"/>
    <s v="Y"/>
    <n v="0.57984496124031004"/>
    <n v="1"/>
    <n v="0.42015503875968996"/>
    <n v="0"/>
    <n v="-374"/>
    <n v="0"/>
    <n v="374"/>
    <e v="#VALUE!"/>
    <n v="374"/>
    <n v="0"/>
    <m/>
    <m/>
    <s v="Y"/>
    <m/>
    <s v=" &gt;1YRS&lt;2YRS"/>
    <n v="0"/>
    <x v="0"/>
  </r>
  <r>
    <n v="732"/>
    <s v="N"/>
    <s v="N"/>
    <n v="2316013"/>
    <n v="2"/>
    <d v="2012-02-28T00:00:00"/>
    <d v="2012-03-12T00:00:00"/>
    <n v="2316013"/>
    <d v="2012-02-29T00:00:00"/>
    <d v="2012-03-02T00:00:00"/>
    <n v="2000"/>
    <x v="5"/>
    <d v="2012-03-02T00:00:00"/>
    <s v="Y"/>
    <s v="SURETY"/>
    <s v="DEFERRED ADJUDICATION "/>
    <n v="3"/>
    <n v="14"/>
    <n v="0"/>
    <n v="4"/>
    <m/>
    <m/>
    <m/>
    <m/>
    <m/>
    <m/>
    <m/>
    <m/>
    <m/>
    <d v="1990-03-30T00:00:00"/>
    <s v="F"/>
    <s v="B"/>
    <s v="BLACK"/>
    <s v="NULL"/>
    <s v="228"/>
    <s v="DEFERRED"/>
    <n v="2"/>
    <s v="DEFERRED"/>
    <m/>
    <m/>
    <m/>
    <s v="AGG ASSAULT-FAMILY MEMBER"/>
    <m/>
    <s v="F2"/>
    <s v="ASLT-MURDR"/>
    <m/>
    <m/>
    <m/>
    <m/>
    <m/>
    <m/>
    <m/>
    <m/>
    <m/>
    <s v="Appointed Attorney"/>
    <m/>
    <m/>
    <n v="3"/>
    <n v="13"/>
    <n v="14"/>
    <n v="21.871584699453553"/>
    <n v="0"/>
    <n v="-10"/>
    <s v="DEFERRED"/>
    <x v="1"/>
    <s v="Y"/>
    <m/>
    <s v="DEFERRED"/>
    <s v="Y"/>
    <x v="1"/>
    <x v="0"/>
    <s v="N"/>
    <n v="0.21428571428571427"/>
    <n v="0.23076923076923078"/>
    <n v="1.6483516483516508E-2"/>
    <n v="0"/>
    <n v="-3"/>
    <n v="0"/>
    <n v="3"/>
    <e v="#VALUE!"/>
    <n v="3"/>
    <n v="0"/>
    <m/>
    <m/>
    <s v="Y"/>
    <m/>
    <s v="0-10 DAYS"/>
    <n v="1"/>
    <x v="0"/>
  </r>
  <r>
    <n v="2159"/>
    <s v="N"/>
    <s v="N"/>
    <n v="2316180"/>
    <n v="1"/>
    <d v="2012-03-22T00:00:00"/>
    <d v="2012-05-09T00:00:00"/>
    <n v="2316180"/>
    <s v="NOT BOOKED"/>
    <s v="NOT BOOKED"/>
    <n v="2000"/>
    <x v="5"/>
    <d v="2012-03-24T00:00:00"/>
    <s v="Y"/>
    <s v="SURETYPTRc"/>
    <s v="NO BILL"/>
    <n v="0"/>
    <n v="49"/>
    <n v="0"/>
    <n v="0"/>
    <m/>
    <m/>
    <m/>
    <m/>
    <m/>
    <m/>
    <m/>
    <m/>
    <m/>
    <d v="1984-06-02T00:00:00"/>
    <s v="M"/>
    <s v="B"/>
    <s v="BLACK"/>
    <s v="NON-HISPANIC"/>
    <s v="185"/>
    <s v="NO BILL"/>
    <n v="4"/>
    <s v="NO BILL"/>
    <m/>
    <m/>
    <m/>
    <s v="POSS CS PG 1 &lt;1G"/>
    <m/>
    <s v="FS"/>
    <s v="POSS DRUG"/>
    <m/>
    <m/>
    <m/>
    <m/>
    <m/>
    <m/>
    <m/>
    <m/>
    <m/>
    <s v="Hired Attorney"/>
    <m/>
    <m/>
    <n v="0"/>
    <n v="0"/>
    <n v="49"/>
    <n v="27.745901639344261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3060"/>
    <s v="N"/>
    <s v="N"/>
    <n v="2316403"/>
    <n v="6"/>
    <d v="2012-04-23T00:00:00"/>
    <d v="2012-07-31T00:00:00"/>
    <n v="2316403"/>
    <d v="2012-04-24T00:00:00"/>
    <d v="2012-07-31T00:00:00"/>
    <s v="NO BOND"/>
    <x v="1"/>
    <m/>
    <s v="N"/>
    <s v="NONE"/>
    <s v="GUILTY PLEA - NO JURY"/>
    <n v="99"/>
    <n v="100"/>
    <n v="2"/>
    <n v="6"/>
    <n v="1"/>
    <m/>
    <m/>
    <m/>
    <m/>
    <m/>
    <m/>
    <m/>
    <m/>
    <d v="1989-09-11T00:00:00"/>
    <s v="M"/>
    <s v="B"/>
    <s v="BLACK"/>
    <s v="NON-HISPANIC"/>
    <s v="183"/>
    <s v="CONVICTED"/>
    <n v="5"/>
    <s v="TDC"/>
    <n v="4"/>
    <m/>
    <m/>
    <s v="ASSAULT-BOD INJ-FAMILY MEMBER"/>
    <m/>
    <s v="F3"/>
    <s v="ASLT-MURDR"/>
    <m/>
    <m/>
    <m/>
    <m/>
    <m/>
    <m/>
    <m/>
    <m/>
    <m/>
    <s v="Appointed Attorney"/>
    <m/>
    <m/>
    <n v="99"/>
    <n v="99"/>
    <n v="100"/>
    <n v="22.568306010928961"/>
    <n v="0"/>
    <n v="0"/>
    <s v="CONVICTION"/>
    <x v="0"/>
    <s v="N"/>
    <m/>
    <s v="CONVICTION"/>
    <s v="Y"/>
    <x v="0"/>
    <x v="0"/>
    <s v="Y"/>
    <n v="0.99"/>
    <n v="1"/>
    <n v="1.0000000000000009E-2"/>
    <n v="0"/>
    <n v="-99"/>
    <n v="0"/>
    <n v="99"/>
    <e v="#VALUE!"/>
    <n v="99"/>
    <n v="0"/>
    <m/>
    <m/>
    <s v="Y"/>
    <m/>
    <s v="91-120 DAYS"/>
    <n v="0"/>
    <x v="0"/>
  </r>
  <r>
    <n v="2"/>
    <s v="N"/>
    <s v="N"/>
    <n v="2316440"/>
    <s v=""/>
    <d v="2012-01-01T00:00:00"/>
    <m/>
    <n v="2316440"/>
    <d v="2012-01-01T00:00:00"/>
    <m/>
    <s v="NO BOND"/>
    <x v="1"/>
    <m/>
    <s v="N"/>
    <s v="NONE"/>
    <s v="NULL"/>
    <s v="STILL OPEN"/>
    <s v="STILL OPEN"/>
    <n v="0"/>
    <n v="1"/>
    <m/>
    <n v="2"/>
    <m/>
    <m/>
    <m/>
    <m/>
    <m/>
    <m/>
    <m/>
    <d v="1989-09-30T00:00:00"/>
    <s v="M"/>
    <s v="B"/>
    <s v="BLACK"/>
    <s v="NULL"/>
    <s v="178"/>
    <s v="NULL"/>
    <m/>
    <m/>
    <m/>
    <m/>
    <m/>
    <s v="CAPITAL MURDER"/>
    <m/>
    <s v="FC"/>
    <s v="CAP MURDER"/>
    <m/>
    <m/>
    <m/>
    <m/>
    <m/>
    <m/>
    <m/>
    <m/>
    <m/>
    <s v="Appointed Attorney"/>
    <m/>
    <m/>
    <s v="STILL OPEN"/>
    <s v="STILL OPEN"/>
    <s v="STILL OPEN"/>
    <n v="22.207650273224044"/>
    <n v="0"/>
    <n v="0"/>
    <n v="0"/>
    <x v="0"/>
    <m/>
    <m/>
    <s v=""/>
    <s v="Y"/>
    <x v="3"/>
    <x v="1"/>
    <s v="N"/>
    <s v="STILL OPEN"/>
    <s v="STILL OPEN"/>
    <n v="0"/>
    <e v="#VALUE!"/>
    <n v="40908"/>
    <e v="#VALUE!"/>
    <e v="#VALUE!"/>
    <s v="STILL OPEN"/>
    <s v="STILL OPEN"/>
    <m/>
    <m/>
    <m/>
    <s v="Y"/>
    <e v="#N/A"/>
    <s v="&gt;3YRS"/>
    <n v="9"/>
    <x v="0"/>
  </r>
  <r>
    <n v="844"/>
    <s v="N"/>
    <s v="Y"/>
    <n v="2316697"/>
    <n v="5"/>
    <d v="2012-02-01T00:00:00"/>
    <d v="2012-12-12T00:00:00"/>
    <n v="2316697"/>
    <d v="2012-02-02T00:00:00"/>
    <d v="2012-04-07T00:00:00"/>
    <n v="32000"/>
    <x v="2"/>
    <d v="2012-04-07T00:00:00"/>
    <s v="Y"/>
    <s v="SURETYPTRc"/>
    <s v="GUILTY PLEA - NO JURY"/>
    <n v="138"/>
    <n v="316"/>
    <n v="0"/>
    <n v="2"/>
    <m/>
    <m/>
    <m/>
    <m/>
    <m/>
    <m/>
    <m/>
    <m/>
    <m/>
    <d v="1989-12-04T00:00:00"/>
    <s v="M"/>
    <s v="B"/>
    <s v="BLACK"/>
    <s v="NON-HISPANIC"/>
    <s v="185"/>
    <s v="CONVICTED"/>
    <n v="11"/>
    <s v="STJ"/>
    <m/>
    <n v="7"/>
    <m/>
    <s v="POSS CS PG 1 &lt;1G"/>
    <m/>
    <s v="FS"/>
    <s v="POSS DRUG"/>
    <m/>
    <s v="bk 9/29/12"/>
    <s v="Y"/>
    <s v=" 7/12/12  "/>
    <m/>
    <m/>
    <m/>
    <d v="2012-10-18T00:00:00"/>
    <n v="558"/>
    <s v="Appointed Attorney"/>
    <m/>
    <m/>
    <n v="138"/>
    <n v="315"/>
    <n v="316"/>
    <n v="22.114754098360656"/>
    <n v="0"/>
    <n v="-249"/>
    <s v="CONVICTION"/>
    <x v="1"/>
    <s v="Y"/>
    <m/>
    <s v="CONVICTION"/>
    <s v="Y"/>
    <x v="0"/>
    <x v="0"/>
    <s v="N"/>
    <n v="0.43670886075949367"/>
    <n v="0.20952380952380953"/>
    <n v="-0.22718505123568414"/>
    <n v="0"/>
    <n v="-66"/>
    <n v="72"/>
    <n v="315"/>
    <n v="138"/>
    <n v="315"/>
    <n v="249"/>
    <m/>
    <m/>
    <s v="Y"/>
    <m/>
    <s v="121-365 DAYS"/>
    <n v="6"/>
    <x v="0"/>
  </r>
  <r>
    <n v="2074"/>
    <s v="N"/>
    <s v="Y"/>
    <n v="2317334"/>
    <n v="6"/>
    <d v="2012-03-19T00:00:00"/>
    <d v="2012-06-01T00:00:00"/>
    <n v="2317334"/>
    <d v="2012-03-19T00:00:00"/>
    <d v="2012-03-24T00:00:00"/>
    <n v="15000"/>
    <x v="0"/>
    <d v="2012-03-24T00:00:00"/>
    <s v="Y"/>
    <s v="SURETY"/>
    <s v="GUILTY PLEA - NO JURY"/>
    <n v="23"/>
    <n v="75"/>
    <n v="11"/>
    <n v="3"/>
    <n v="7"/>
    <m/>
    <m/>
    <m/>
    <m/>
    <m/>
    <m/>
    <m/>
    <m/>
    <d v="1969-01-15T00:00:00"/>
    <s v="F"/>
    <s v="B"/>
    <s v="BLACK"/>
    <s v="NULL"/>
    <s v="338"/>
    <s v="CONVICTED"/>
    <n v="6"/>
    <s v="TDC"/>
    <n v="3"/>
    <m/>
    <m/>
    <s v="THEFT UNDER $1500 - 3RD OFF."/>
    <m/>
    <s v="FS"/>
    <s v="THEFT"/>
    <m/>
    <m/>
    <s v="Y"/>
    <s v=" bf  5/14/12"/>
    <m/>
    <m/>
    <m/>
    <d v="2012-12-03T00:00:00"/>
    <n v="235"/>
    <s v="Appointed Attorney"/>
    <m/>
    <m/>
    <n v="23"/>
    <n v="75"/>
    <n v="75"/>
    <n v="43.084699453551913"/>
    <n v="0"/>
    <n v="-69"/>
    <s v="CONVICTION"/>
    <x v="1"/>
    <s v="Y"/>
    <m/>
    <s v="CONVICTION"/>
    <s v="Y"/>
    <x v="0"/>
    <x v="0"/>
    <s v="Y"/>
    <n v="0.30666666666666664"/>
    <n v="0.08"/>
    <n v="-0.22666666666666663"/>
    <n v="0"/>
    <n v="-6"/>
    <n v="17"/>
    <n v="75"/>
    <n v="23"/>
    <n v="75"/>
    <n v="69"/>
    <m/>
    <m/>
    <s v="Y"/>
    <m/>
    <s v="11-30 DAYS"/>
    <n v="2"/>
    <x v="0"/>
  </r>
  <r>
    <n v="2017"/>
    <s v="N"/>
    <s v="N"/>
    <n v="2318193"/>
    <n v="2"/>
    <d v="2012-03-16T00:00:00"/>
    <d v="2012-09-10T00:00:00"/>
    <n v="2318193"/>
    <d v="2012-03-17T00:00:00"/>
    <d v="2012-03-24T00:00:00"/>
    <n v="10000"/>
    <x v="3"/>
    <d v="2012-03-24T00:00:00"/>
    <s v="Y"/>
    <s v="SURETY"/>
    <s v="DEFERRED ADJUDICATION "/>
    <n v="8"/>
    <n v="179"/>
    <n v="0"/>
    <n v="3"/>
    <m/>
    <m/>
    <m/>
    <m/>
    <m/>
    <m/>
    <m/>
    <m/>
    <m/>
    <d v="1989-07-09T00:00:00"/>
    <s v="M"/>
    <s v="W"/>
    <s v="WHITE"/>
    <s v="NULL"/>
    <s v="339"/>
    <s v="DEFERRED"/>
    <n v="7"/>
    <s v="DEFERRED"/>
    <m/>
    <m/>
    <m/>
    <s v="BURGLARY OF HABITATION"/>
    <m/>
    <s v="F2"/>
    <s v="BURGLARY"/>
    <m/>
    <m/>
    <m/>
    <m/>
    <m/>
    <m/>
    <m/>
    <m/>
    <m/>
    <s v="Hired Attorney"/>
    <m/>
    <m/>
    <n v="8"/>
    <n v="178"/>
    <n v="179"/>
    <n v="22.639344262295083"/>
    <n v="0"/>
    <n v="-170"/>
    <s v="DEFERRED"/>
    <x v="1"/>
    <s v="Y"/>
    <m/>
    <s v="DEFERRED"/>
    <s v="Y"/>
    <x v="1"/>
    <x v="0"/>
    <s v="N"/>
    <n v="4.4692737430167599E-2"/>
    <n v="4.49438202247191E-2"/>
    <n v="2.5108279455150068E-4"/>
    <n v="0"/>
    <n v="-8"/>
    <n v="0"/>
    <n v="8"/>
    <e v="#VALUE!"/>
    <n v="8"/>
    <n v="0"/>
    <m/>
    <m/>
    <s v="Y"/>
    <m/>
    <s v="0-10 DAYS"/>
    <n v="1"/>
    <x v="0"/>
  </r>
  <r>
    <n v="1535"/>
    <s v="N"/>
    <s v="N"/>
    <n v="2318361"/>
    <n v="5"/>
    <d v="2012-02-27T00:00:00"/>
    <d v="2012-02-28T00:00:00"/>
    <n v="2318361"/>
    <d v="2012-02-27T00:00:00"/>
    <d v="2012-02-28T00:00:00"/>
    <n v="15000"/>
    <x v="0"/>
    <m/>
    <s v="N"/>
    <s v="NONE"/>
    <s v="GUILTY PLEA - NO JURY"/>
    <n v="2"/>
    <n v="2"/>
    <n v="9"/>
    <n v="3"/>
    <n v="3"/>
    <m/>
    <m/>
    <m/>
    <m/>
    <m/>
    <m/>
    <m/>
    <m/>
    <d v="1978-04-02T00:00:00"/>
    <s v="F"/>
    <s v="W"/>
    <s v="WHITE"/>
    <s v="NULL"/>
    <s v="179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2"/>
    <n v="2"/>
    <n v="2"/>
    <n v="33.83606557377049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2425"/>
    <s v="N"/>
    <s v="N"/>
    <n v="2318845"/>
    <n v="2"/>
    <d v="2012-04-01T00:00:00"/>
    <d v="2012-04-02T00:00:00"/>
    <n v="2318845"/>
    <d v="2012-04-01T00:00:00"/>
    <d v="2012-04-02T00:00:00"/>
    <n v="2000"/>
    <x v="5"/>
    <m/>
    <s v="N"/>
    <s v="NONE"/>
    <s v="DEFERRED ADJUDICATION "/>
    <n v="2"/>
    <n v="2"/>
    <n v="0"/>
    <n v="0"/>
    <m/>
    <m/>
    <m/>
    <m/>
    <m/>
    <m/>
    <m/>
    <m/>
    <m/>
    <d v="1990-05-11T00:00:00"/>
    <s v="F"/>
    <s v="B"/>
    <s v="BLACK"/>
    <s v="NULL"/>
    <s v="176"/>
    <s v="DEFERRED"/>
    <n v="1"/>
    <s v="DEFERRED"/>
    <m/>
    <m/>
    <m/>
    <s v="ENDANGERING A CHILD"/>
    <m/>
    <s v="FS"/>
    <s v="OTHER FEL"/>
    <m/>
    <m/>
    <m/>
    <m/>
    <m/>
    <m/>
    <m/>
    <m/>
    <m/>
    <s v="Appointed Attorney"/>
    <m/>
    <m/>
    <n v="2"/>
    <n v="2"/>
    <n v="2"/>
    <n v="21.846994535519126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85"/>
    <s v="N"/>
    <s v="N"/>
    <n v="2319206"/>
    <n v="1"/>
    <d v="2012-01-05T00:00:00"/>
    <d v="2012-08-27T00:00:00"/>
    <n v="2319206"/>
    <d v="2012-07-30T00:00:00"/>
    <d v="2012-08-27T00:00:00"/>
    <s v="NO BOND"/>
    <x v="1"/>
    <m/>
    <s v="N"/>
    <s v="NONE"/>
    <s v="DISMISSED"/>
    <n v="29"/>
    <n v="236"/>
    <n v="1"/>
    <n v="0"/>
    <m/>
    <n v="1"/>
    <m/>
    <m/>
    <m/>
    <m/>
    <m/>
    <m/>
    <m/>
    <d v="1986-12-25T00:00:00"/>
    <s v="F"/>
    <s v="B"/>
    <s v="BLACK"/>
    <s v="NON-HISPANIC"/>
    <n v="232"/>
    <s v="DISMISSED"/>
    <n v="3"/>
    <s v="DISMISSED"/>
    <m/>
    <m/>
    <m/>
    <s v="POSS W/INT DEL CS PG1&gt;=4 &lt;200"/>
    <m/>
    <s v="F1"/>
    <s v="SALE DRUG"/>
    <m/>
    <m/>
    <m/>
    <m/>
    <m/>
    <m/>
    <m/>
    <m/>
    <m/>
    <s v="Hired Attorney"/>
    <m/>
    <m/>
    <n v="29"/>
    <n v="29"/>
    <n v="236"/>
    <n v="24.978142076502731"/>
    <n v="0"/>
    <n v="0"/>
    <s v="NO CONVICTION"/>
    <x v="0"/>
    <s v="N"/>
    <m/>
    <s v="NO CONVICTION"/>
    <s v="Y"/>
    <x v="0"/>
    <x v="0"/>
    <s v="Y"/>
    <n v="0.1228813559322034"/>
    <n v="1"/>
    <n v="0.8771186440677966"/>
    <n v="0"/>
    <n v="-29"/>
    <n v="0"/>
    <n v="29"/>
    <e v="#VALUE!"/>
    <n v="29"/>
    <n v="0"/>
    <m/>
    <m/>
    <s v="Y"/>
    <m/>
    <s v="11-30 DAYS"/>
    <n v="2"/>
    <x v="0"/>
  </r>
  <r>
    <n v="1723"/>
    <s v="N"/>
    <s v="N"/>
    <n v="2319408"/>
    <n v="4"/>
    <d v="2012-03-05T00:00:00"/>
    <d v="2012-05-03T00:00:00"/>
    <n v="2319408"/>
    <d v="2012-03-05T00:00:00"/>
    <d v="2012-03-14T00:00:00"/>
    <n v="2000"/>
    <x v="5"/>
    <d v="2012-03-14T00:00:00"/>
    <s v="Y"/>
    <s v="SURETY"/>
    <s v="GUILTY PLEA - NO JURY"/>
    <n v="10"/>
    <n v="60"/>
    <n v="0"/>
    <n v="3"/>
    <m/>
    <m/>
    <m/>
    <m/>
    <m/>
    <m/>
    <m/>
    <m/>
    <m/>
    <d v="1990-06-02T00:00:00"/>
    <s v="M"/>
    <s v="B"/>
    <s v="BLACK"/>
    <s v="NULL"/>
    <s v="338"/>
    <s v="CONVICTED"/>
    <n v="4"/>
    <s v="HCJ"/>
    <m/>
    <m/>
    <n v="30"/>
    <s v="OTHER MISD (ATT ENDANGERING A CHILD"/>
    <m/>
    <m/>
    <s v="OTHERMISD"/>
    <m/>
    <m/>
    <m/>
    <m/>
    <m/>
    <m/>
    <m/>
    <m/>
    <m/>
    <s v="Appointed Attorney"/>
    <m/>
    <m/>
    <n v="10"/>
    <n v="60"/>
    <n v="60"/>
    <n v="21.71311475409836"/>
    <n v="0"/>
    <n v="-50"/>
    <s v="CONVICTION"/>
    <x v="1"/>
    <s v="Y"/>
    <m/>
    <s v="CONVICTION"/>
    <s v="Y"/>
    <x v="1"/>
    <x v="0"/>
    <s v="N"/>
    <n v="0.16666666666666666"/>
    <n v="0.16666666666666666"/>
    <n v="0"/>
    <n v="0"/>
    <n v="-10"/>
    <n v="0"/>
    <n v="10"/>
    <e v="#VALUE!"/>
    <n v="10"/>
    <n v="0"/>
    <m/>
    <m/>
    <s v="Y"/>
    <m/>
    <s v="0-10 DAYS"/>
    <n v="1"/>
    <x v="0"/>
  </r>
  <r>
    <n v="1284"/>
    <s v="N"/>
    <s v="N"/>
    <n v="2320673"/>
    <n v="2"/>
    <d v="2012-02-16T00:00:00"/>
    <d v="2013-09-12T00:00:00"/>
    <n v="2320673"/>
    <d v="2012-02-17T00:00:00"/>
    <d v="2012-02-18T00:00:00"/>
    <n v="30000"/>
    <x v="2"/>
    <d v="2012-02-18T00:00:00"/>
    <s v="Y"/>
    <s v="SURETY"/>
    <s v="DEFERRED ADJUDICATION "/>
    <n v="2"/>
    <n v="575"/>
    <n v="0"/>
    <n v="1"/>
    <m/>
    <m/>
    <m/>
    <m/>
    <m/>
    <m/>
    <m/>
    <m/>
    <m/>
    <d v="1952-08-08T00:00:00"/>
    <s v="M"/>
    <s v="W"/>
    <s v="WHITE"/>
    <s v="NULL"/>
    <s v="177"/>
    <s v="DEFERRED"/>
    <n v="13"/>
    <s v="DEFERRED"/>
    <m/>
    <m/>
    <m/>
    <s v="POSS CHILD PORNOGRAPHY"/>
    <m/>
    <s v="F3"/>
    <s v="OTHER FEL"/>
    <m/>
    <m/>
    <m/>
    <m/>
    <m/>
    <m/>
    <m/>
    <m/>
    <m/>
    <s v="Hired Attorney"/>
    <m/>
    <m/>
    <n v="2"/>
    <n v="574"/>
    <n v="575"/>
    <n v="59.401639344262293"/>
    <n v="0"/>
    <n v="-572"/>
    <s v="DEFERRED"/>
    <x v="1"/>
    <s v="Y"/>
    <m/>
    <s v="DEFERRED"/>
    <s v="Y"/>
    <x v="1"/>
    <x v="0"/>
    <s v="N"/>
    <n v="3.4782608695652175E-3"/>
    <n v="3.4843205574912892E-3"/>
    <n v="6.0596879260716753E-6"/>
    <n v="0"/>
    <n v="-2"/>
    <n v="0"/>
    <n v="2"/>
    <e v="#VALUE!"/>
    <n v="2"/>
    <n v="0"/>
    <m/>
    <m/>
    <s v="Y"/>
    <m/>
    <s v="0-10 DAYS"/>
    <n v="1"/>
    <x v="0"/>
  </r>
  <r>
    <n v="1164"/>
    <s v="N"/>
    <s v="N"/>
    <n v="2321152"/>
    <n v="6"/>
    <d v="2012-02-11T00:00:00"/>
    <d v="2012-03-12T00:00:00"/>
    <n v="2321152"/>
    <d v="2012-02-11T00:00:00"/>
    <d v="2012-03-12T00:00:00"/>
    <s v="NO BOND"/>
    <x v="1"/>
    <m/>
    <s v="N"/>
    <s v="NONE"/>
    <s v="GUILTY PLEA - NO JURY"/>
    <n v="31"/>
    <n v="31"/>
    <n v="0"/>
    <n v="3"/>
    <m/>
    <m/>
    <m/>
    <m/>
    <m/>
    <m/>
    <m/>
    <m/>
    <m/>
    <d v="1989-01-04T00:00:00"/>
    <s v="M"/>
    <s v="B"/>
    <s v="BLACK"/>
    <s v="NULL"/>
    <s v="351"/>
    <s v="CONVICTED"/>
    <n v="2"/>
    <s v="TDC"/>
    <n v="2"/>
    <m/>
    <m/>
    <s v="POSS CS PG 1  1 - 4 GRAMS"/>
    <m/>
    <s v="F3"/>
    <s v="POSS DRUG"/>
    <m/>
    <m/>
    <m/>
    <m/>
    <m/>
    <m/>
    <m/>
    <m/>
    <m/>
    <s v="Appointed Attorney"/>
    <m/>
    <m/>
    <n v="31"/>
    <n v="31"/>
    <n v="31"/>
    <n v="23.05464480874317"/>
    <n v="0"/>
    <n v="0"/>
    <s v="CONVICTION"/>
    <x v="0"/>
    <s v="N"/>
    <m/>
    <s v="CONVICTION"/>
    <s v="Y"/>
    <x v="0"/>
    <x v="0"/>
    <s v="N"/>
    <n v="1"/>
    <n v="1"/>
    <n v="0"/>
    <n v="0"/>
    <n v="-31"/>
    <n v="0"/>
    <n v="31"/>
    <e v="#VALUE!"/>
    <n v="31"/>
    <n v="0"/>
    <m/>
    <m/>
    <s v="Y"/>
    <m/>
    <s v="31-60 DAYS"/>
    <n v="3"/>
    <x v="0"/>
  </r>
  <r>
    <n v="2968"/>
    <s v="N"/>
    <s v="N"/>
    <n v="2321796"/>
    <n v="6"/>
    <d v="2012-04-19T00:00:00"/>
    <d v="2012-07-26T00:00:00"/>
    <n v="2321796"/>
    <d v="2012-04-20T00:00:00"/>
    <d v="2012-07-26T00:00:00"/>
    <n v="15000"/>
    <x v="0"/>
    <m/>
    <s v="N"/>
    <s v="NONE"/>
    <s v="GUILTY PLEA - NO JURY"/>
    <n v="98"/>
    <n v="99"/>
    <n v="0"/>
    <n v="0"/>
    <m/>
    <m/>
    <m/>
    <m/>
    <m/>
    <m/>
    <m/>
    <m/>
    <m/>
    <d v="1981-12-07T00:00:00"/>
    <s v="M"/>
    <s v="B"/>
    <s v="BLACK"/>
    <s v="NULL"/>
    <s v="176"/>
    <s v="CONVICTED"/>
    <n v="4"/>
    <s v="TDC"/>
    <n v="3"/>
    <m/>
    <m/>
    <s v="UNAUTH USE OF VEHICLE"/>
    <m/>
    <s v="FS"/>
    <s v="AUTO THEFT"/>
    <m/>
    <m/>
    <m/>
    <m/>
    <m/>
    <m/>
    <m/>
    <m/>
    <m/>
    <s v="Appointed Attorney"/>
    <m/>
    <m/>
    <n v="98"/>
    <n v="98"/>
    <n v="99"/>
    <n v="30.303278688524589"/>
    <n v="0"/>
    <n v="0"/>
    <s v="CONVICTION"/>
    <x v="0"/>
    <s v="N"/>
    <m/>
    <s v="CONVICTION"/>
    <s v="Y"/>
    <x v="0"/>
    <x v="0"/>
    <s v="N"/>
    <n v="0.98989898989898994"/>
    <n v="1"/>
    <n v="1.0101010101010055E-2"/>
    <n v="0"/>
    <n v="-98"/>
    <n v="0"/>
    <n v="98"/>
    <e v="#VALUE!"/>
    <n v="98"/>
    <n v="0"/>
    <m/>
    <m/>
    <s v="N"/>
    <m/>
    <s v="91-120 DAYS"/>
    <n v="0"/>
    <x v="0"/>
  </r>
  <r>
    <n v="723"/>
    <s v="N"/>
    <s v="N"/>
    <n v="2322286"/>
    <n v="4"/>
    <d v="2012-01-29T00:00:00"/>
    <d v="2012-10-17T00:00:00"/>
    <n v="2322286"/>
    <d v="2012-01-29T00:00:00"/>
    <d v="2012-01-30T00:00:00"/>
    <n v="5000"/>
    <x v="4"/>
    <d v="2012-01-30T00:00:00"/>
    <s v="Y"/>
    <s v="SURETY"/>
    <s v="GUILTY PLEA - NO JURY"/>
    <n v="2"/>
    <n v="263"/>
    <n v="1"/>
    <n v="4"/>
    <m/>
    <m/>
    <m/>
    <m/>
    <m/>
    <m/>
    <m/>
    <m/>
    <m/>
    <d v="1989-09-06T00:00:00"/>
    <s v="M"/>
    <s v="B"/>
    <s v="BLACK"/>
    <s v="NULL"/>
    <s v="228"/>
    <s v="CONVICTED"/>
    <n v="3"/>
    <s v="HCJ"/>
    <m/>
    <m/>
    <n v="14"/>
    <s v="TAMPER/FABRICATE EVIDENCE"/>
    <m/>
    <s v="F3"/>
    <s v="OTHER FEL"/>
    <m/>
    <m/>
    <m/>
    <m/>
    <m/>
    <m/>
    <m/>
    <m/>
    <m/>
    <s v="Appointed Attorney"/>
    <m/>
    <m/>
    <n v="2"/>
    <n v="263"/>
    <n v="263"/>
    <n v="22.349726775956285"/>
    <n v="0"/>
    <n v="-261"/>
    <s v="CONVICTION"/>
    <x v="1"/>
    <s v="Y"/>
    <m/>
    <s v="CONVICTION"/>
    <s v="Y"/>
    <x v="1"/>
    <x v="0"/>
    <s v="Y"/>
    <n v="7.6045627376425855E-3"/>
    <n v="7.6045627376425855E-3"/>
    <n v="0"/>
    <n v="0"/>
    <n v="-2"/>
    <n v="0"/>
    <n v="2"/>
    <e v="#VALUE!"/>
    <n v="2"/>
    <n v="0"/>
    <m/>
    <m/>
    <s v="Y"/>
    <m/>
    <s v="0-10 DAYS"/>
    <n v="1"/>
    <x v="0"/>
  </r>
  <r>
    <n v="1287"/>
    <s v="N"/>
    <s v="N"/>
    <n v="2322392"/>
    <n v="6"/>
    <d v="2012-02-17T00:00:00"/>
    <d v="2012-02-24T00:00:00"/>
    <n v="2322392"/>
    <d v="2012-02-17T00:00:00"/>
    <d v="2012-02-24T00:00:00"/>
    <n v="15000"/>
    <x v="0"/>
    <m/>
    <s v="N"/>
    <s v="NONE"/>
    <s v="GUILTY PLEA - NO JURY"/>
    <n v="8"/>
    <n v="8"/>
    <n v="3"/>
    <n v="5"/>
    <n v="2"/>
    <m/>
    <m/>
    <m/>
    <m/>
    <m/>
    <m/>
    <m/>
    <m/>
    <d v="1990-07-07T00:00:00"/>
    <s v="M"/>
    <s v="B"/>
    <s v="BLACK"/>
    <s v="NON-HISPANIC"/>
    <s v="263"/>
    <s v="CONVICTED"/>
    <n v="2"/>
    <s v="TDC"/>
    <n v="3"/>
    <m/>
    <m/>
    <s v="THEFT UNDER $1500 - 3RD OFF."/>
    <m/>
    <s v="FS"/>
    <s v="THEFT"/>
    <m/>
    <m/>
    <m/>
    <m/>
    <m/>
    <m/>
    <m/>
    <m/>
    <m/>
    <s v="Appointed Attorney"/>
    <m/>
    <m/>
    <n v="8"/>
    <n v="8"/>
    <n v="8"/>
    <n v="21.571038251366119"/>
    <n v="0"/>
    <n v="0"/>
    <s v="CONVICTION"/>
    <x v="0"/>
    <s v="N"/>
    <m/>
    <s v="CONVICTION"/>
    <s v="Y"/>
    <x v="0"/>
    <x v="0"/>
    <s v="Y"/>
    <n v="1"/>
    <n v="1"/>
    <n v="0"/>
    <n v="0"/>
    <n v="-8"/>
    <n v="0"/>
    <n v="8"/>
    <e v="#VALUE!"/>
    <n v="8"/>
    <n v="0"/>
    <m/>
    <m/>
    <s v="Y"/>
    <m/>
    <s v="0-10 DAYS"/>
    <n v="1"/>
    <x v="0"/>
  </r>
  <r>
    <n v="331"/>
    <s v="N"/>
    <s v="N"/>
    <n v="2322625"/>
    <n v="6"/>
    <d v="2012-01-13T00:00:00"/>
    <d v="2014-06-23T00:00:00"/>
    <n v="2322625"/>
    <d v="2012-01-17T00:00:00"/>
    <m/>
    <s v="NO BOND"/>
    <x v="1"/>
    <m/>
    <s v="N"/>
    <s v="NONE"/>
    <s v="GUILTY PLEA - NO JURY"/>
    <n v="889"/>
    <n v="893"/>
    <n v="1"/>
    <n v="2"/>
    <n v="1"/>
    <m/>
    <m/>
    <m/>
    <m/>
    <m/>
    <m/>
    <m/>
    <m/>
    <d v="1990-10-21T00:00:00"/>
    <s v="M"/>
    <s v="B"/>
    <s v="BLACK"/>
    <s v="NON-HISPANIC"/>
    <s v="339"/>
    <s v="CONVICTED"/>
    <n v="12"/>
    <s v="TDC"/>
    <n v="22"/>
    <m/>
    <m/>
    <s v="AGG SEX ASSAULT"/>
    <m/>
    <s v="F1"/>
    <s v="RAPE"/>
    <s v="3 FEL PEND"/>
    <m/>
    <m/>
    <m/>
    <m/>
    <m/>
    <m/>
    <m/>
    <m/>
    <s v="Appointed Attorney"/>
    <m/>
    <m/>
    <n v="888"/>
    <n v="889"/>
    <n v="893"/>
    <n v="21.185792349726775"/>
    <n v="41813"/>
    <n v="-41813"/>
    <s v="CONVICTION"/>
    <x v="0"/>
    <s v="N"/>
    <m/>
    <s v="CONVICTION"/>
    <s v="Y"/>
    <x v="0"/>
    <x v="0"/>
    <s v="Y"/>
    <n v="0.99552071668533038"/>
    <n v="0.99550000000000005"/>
    <n v="0"/>
    <n v="1"/>
    <n v="40924"/>
    <n v="41812"/>
    <n v="889"/>
    <e v="#VALUE!"/>
    <n v="889"/>
    <m/>
    <m/>
    <m/>
    <s v="Y"/>
    <e v="#N/A"/>
    <s v="&gt;2YRS&lt;3YRS"/>
    <n v="8"/>
    <x v="0"/>
  </r>
  <r>
    <n v="3081"/>
    <s v="N"/>
    <s v="N"/>
    <n v="2322832"/>
    <n v="6"/>
    <d v="2012-04-24T00:00:00"/>
    <d v="2013-06-13T00:00:00"/>
    <n v="2322832"/>
    <d v="2012-04-24T00:00:00"/>
    <d v="2013-06-13T00:00:00"/>
    <n v="50000"/>
    <x v="2"/>
    <m/>
    <s v="N"/>
    <s v="NONE"/>
    <s v="GUILTY PLEA - NO JURY"/>
    <n v="416"/>
    <n v="416"/>
    <n v="3"/>
    <n v="3"/>
    <n v="1"/>
    <m/>
    <m/>
    <m/>
    <m/>
    <m/>
    <m/>
    <m/>
    <m/>
    <d v="1989-07-24T00:00:00"/>
    <s v="M"/>
    <s v="B"/>
    <s v="BLACK"/>
    <s v="NON-HISPANIC"/>
    <s v="179"/>
    <s v="CONVICTED"/>
    <n v="14"/>
    <s v="TDC"/>
    <n v="2"/>
    <m/>
    <m/>
    <s v="AGG ROBBERY-DEADLY WPN"/>
    <m/>
    <s v="F1"/>
    <s v="ROBBERY"/>
    <m/>
    <m/>
    <m/>
    <m/>
    <m/>
    <m/>
    <m/>
    <m/>
    <m/>
    <s v="Appointed Attorney"/>
    <m/>
    <m/>
    <n v="416"/>
    <n v="416"/>
    <n v="416"/>
    <n v="22.704918032786885"/>
    <n v="0"/>
    <n v="0"/>
    <s v="CONVICTION"/>
    <x v="0"/>
    <s v="N"/>
    <m/>
    <s v="CONVICTION"/>
    <s v="Y"/>
    <x v="0"/>
    <x v="0"/>
    <s v="Y"/>
    <n v="1"/>
    <n v="1"/>
    <n v="0"/>
    <n v="0"/>
    <n v="-416"/>
    <n v="0"/>
    <n v="416"/>
    <e v="#VALUE!"/>
    <n v="416"/>
    <n v="0"/>
    <m/>
    <m/>
    <s v="Y"/>
    <m/>
    <s v=" &gt;1YRS&lt;2YRS"/>
    <n v="0"/>
    <x v="0"/>
  </r>
  <r>
    <n v="1049"/>
    <s v="N"/>
    <s v="N"/>
    <n v="2323035"/>
    <n v="1"/>
    <d v="2012-02-08T00:00:00"/>
    <d v="2012-08-23T00:00:00"/>
    <n v="2323035"/>
    <d v="2012-02-09T00:00:00"/>
    <d v="2012-08-23T00:00:00"/>
    <n v="20000"/>
    <x v="0"/>
    <m/>
    <s v="N"/>
    <s v="NONE"/>
    <s v="DISMISSED"/>
    <n v="197"/>
    <n v="198"/>
    <n v="3"/>
    <n v="4"/>
    <n v="2"/>
    <m/>
    <m/>
    <m/>
    <m/>
    <m/>
    <m/>
    <s v="S"/>
    <m/>
    <d v="1990-08-21T00:00:00"/>
    <s v="M"/>
    <s v="H"/>
    <s v="HISPANIC"/>
    <s v="NULL"/>
    <s v="351"/>
    <s v="MHH"/>
    <n v="6"/>
    <s v="DISMISSED"/>
    <m/>
    <m/>
    <m/>
    <s v="BURGLARY OF HABITATION"/>
    <m/>
    <s v="F2"/>
    <s v="BURGLARY"/>
    <m/>
    <m/>
    <m/>
    <m/>
    <m/>
    <m/>
    <m/>
    <m/>
    <m/>
    <s v="Appointed Attorney"/>
    <m/>
    <m/>
    <n v="197"/>
    <n v="197"/>
    <n v="198"/>
    <n v="21.423497267759561"/>
    <n v="0"/>
    <n v="0"/>
    <s v="NO CONVICTION"/>
    <x v="0"/>
    <s v="N"/>
    <m/>
    <s v="CONVICTION"/>
    <s v="Y"/>
    <x v="0"/>
    <x v="0"/>
    <s v="Y"/>
    <n v="0.99494949494949492"/>
    <n v="1"/>
    <n v="5.050505050505083E-3"/>
    <n v="0"/>
    <n v="-197"/>
    <n v="0"/>
    <n v="197"/>
    <e v="#VALUE!"/>
    <n v="197"/>
    <n v="0"/>
    <m/>
    <m/>
    <s v="Y"/>
    <m/>
    <s v="121-365 DAYS"/>
    <n v="6"/>
    <x v="0"/>
  </r>
  <r>
    <n v="1280"/>
    <s v="N"/>
    <s v="N"/>
    <n v="2323378"/>
    <n v="6"/>
    <d v="2012-02-16T00:00:00"/>
    <d v="2013-04-24T00:00:00"/>
    <n v="2323378"/>
    <d v="2012-02-18T00:00:00"/>
    <d v="2013-04-24T00:00:00"/>
    <n v="50000"/>
    <x v="2"/>
    <m/>
    <s v="N"/>
    <s v="NONE"/>
    <s v="GUILTY PLEA - NO JURY"/>
    <n v="432"/>
    <n v="434"/>
    <n v="0"/>
    <n v="1"/>
    <m/>
    <m/>
    <m/>
    <m/>
    <m/>
    <m/>
    <m/>
    <s v="S"/>
    <m/>
    <d v="1983-09-16T00:00:00"/>
    <s v="M"/>
    <s v="H"/>
    <s v="HISPANIC"/>
    <s v="NULL"/>
    <s v="177"/>
    <s v="CONVICTED"/>
    <n v="13"/>
    <s v="TDC"/>
    <n v="2"/>
    <m/>
    <m/>
    <s v="SEX ASSLT CHILD 14-17"/>
    <m/>
    <s v="F2"/>
    <s v="SEX ABUSE"/>
    <m/>
    <m/>
    <m/>
    <m/>
    <m/>
    <m/>
    <m/>
    <m/>
    <m/>
    <s v="Appointed Attorney"/>
    <m/>
    <m/>
    <n v="432"/>
    <n v="432"/>
    <n v="434"/>
    <n v="28.360655737704917"/>
    <n v="0"/>
    <n v="0"/>
    <s v="CONVICTION"/>
    <x v="0"/>
    <s v="N"/>
    <m/>
    <s v="CONVICTION"/>
    <s v="Y"/>
    <x v="0"/>
    <x v="0"/>
    <s v="N"/>
    <n v="0.99539170506912444"/>
    <n v="1"/>
    <n v="4.6082949308755561E-3"/>
    <n v="0"/>
    <n v="-432"/>
    <n v="0"/>
    <n v="432"/>
    <e v="#VALUE!"/>
    <n v="432"/>
    <n v="0"/>
    <m/>
    <m/>
    <s v="Y"/>
    <m/>
    <s v=" &gt;1YRS&lt;2YRS"/>
    <n v="0"/>
    <x v="0"/>
  </r>
  <r>
    <n v="1414"/>
    <s v="N"/>
    <s v="N"/>
    <n v="2323651"/>
    <n v="6"/>
    <d v="2012-02-22T00:00:00"/>
    <d v="2012-03-07T00:00:00"/>
    <n v="2323651"/>
    <d v="2012-02-22T00:00:00"/>
    <d v="2012-03-07T00:00:00"/>
    <s v="NO BOND"/>
    <x v="1"/>
    <m/>
    <s v="N"/>
    <s v="NONE"/>
    <s v="GUILTY PLEA - NO JURY"/>
    <n v="15"/>
    <n v="15"/>
    <n v="5"/>
    <n v="1"/>
    <n v="5"/>
    <m/>
    <m/>
    <m/>
    <m/>
    <m/>
    <m/>
    <s v="S"/>
    <m/>
    <d v="1989-06-04T00:00:00"/>
    <s v="M"/>
    <s v="H"/>
    <s v="HISPANIC"/>
    <s v="NULL"/>
    <s v="184"/>
    <s v="CONVICTED"/>
    <n v="3"/>
    <s v="TDC"/>
    <n v="8"/>
    <m/>
    <m/>
    <s v="BURGLARY OF HABITATION"/>
    <m/>
    <s v="F2"/>
    <s v="BURGLARY"/>
    <m/>
    <m/>
    <m/>
    <m/>
    <m/>
    <m/>
    <m/>
    <m/>
    <m/>
    <s v="Appointed Attorney"/>
    <m/>
    <m/>
    <n v="15"/>
    <n v="15"/>
    <n v="15"/>
    <n v="22.672131147540984"/>
    <n v="0"/>
    <n v="0"/>
    <s v="CONVICTION"/>
    <x v="0"/>
    <s v="N"/>
    <m/>
    <s v="CONVICTION"/>
    <s v="Y"/>
    <x v="0"/>
    <x v="0"/>
    <s v="Y"/>
    <n v="1"/>
    <n v="1"/>
    <n v="0"/>
    <n v="0"/>
    <n v="-15"/>
    <n v="0"/>
    <n v="15"/>
    <e v="#VALUE!"/>
    <n v="15"/>
    <n v="0"/>
    <m/>
    <m/>
    <s v="Y"/>
    <m/>
    <s v="11-30 DAYS"/>
    <n v="2"/>
    <x v="0"/>
  </r>
  <r>
    <n v="2217"/>
    <s v="N"/>
    <s v="N"/>
    <n v="2323792"/>
    <n v="1"/>
    <d v="2012-03-24T00:00:00"/>
    <d v="2012-07-12T00:00:00"/>
    <n v="2323792"/>
    <d v="2012-03-24T00:00:00"/>
    <d v="2012-03-25T00:00:00"/>
    <n v="2000"/>
    <x v="5"/>
    <d v="2012-03-25T00:00:00"/>
    <s v="Y"/>
    <s v="SURETY"/>
    <s v="DISMISSED"/>
    <n v="2"/>
    <n v="111"/>
    <n v="1"/>
    <n v="0"/>
    <m/>
    <m/>
    <m/>
    <m/>
    <m/>
    <m/>
    <m/>
    <m/>
    <m/>
    <d v="1988-08-21T00:00:00"/>
    <s v="M"/>
    <s v="B"/>
    <s v="BLACK"/>
    <s v="NON-HISPANIC"/>
    <s v="228"/>
    <s v="DISMISSED"/>
    <n v="6"/>
    <s v="DISMISSED"/>
    <m/>
    <m/>
    <m/>
    <s v="POSS MARIJ  4 OZ. - 5 LBS."/>
    <m/>
    <s v="FS"/>
    <s v="POSS DRUG"/>
    <m/>
    <m/>
    <m/>
    <m/>
    <m/>
    <m/>
    <m/>
    <m/>
    <m/>
    <s v="Hired Attorney"/>
    <m/>
    <m/>
    <n v="2"/>
    <n v="111"/>
    <n v="111"/>
    <n v="23.540983606557376"/>
    <n v="0"/>
    <n v="-109"/>
    <s v="NO CONVICTION"/>
    <x v="1"/>
    <s v="Y"/>
    <m/>
    <s v="NO CONVICTION"/>
    <s v="Y"/>
    <x v="1"/>
    <x v="0"/>
    <s v="Y"/>
    <n v="1.8018018018018018E-2"/>
    <n v="1.8018018018018018E-2"/>
    <n v="0"/>
    <n v="0"/>
    <n v="-2"/>
    <n v="0"/>
    <n v="2"/>
    <e v="#VALUE!"/>
    <n v="2"/>
    <n v="0"/>
    <m/>
    <m/>
    <s v="Y"/>
    <m/>
    <s v="0-10 DAYS"/>
    <n v="1"/>
    <x v="0"/>
  </r>
  <r>
    <n v="485"/>
    <s v="N"/>
    <s v="N"/>
    <n v="2323909"/>
    <n v="1"/>
    <d v="2012-01-20T00:00:00"/>
    <d v="2012-08-22T00:00:00"/>
    <n v="2323909"/>
    <d v="2012-02-04T00:00:00"/>
    <d v="2012-02-05T00:00:00"/>
    <n v="2000"/>
    <x v="5"/>
    <d v="2012-02-05T00:00:00"/>
    <s v="Y"/>
    <s v="SURETY"/>
    <s v="DISMISSED"/>
    <n v="2"/>
    <n v="216"/>
    <n v="0"/>
    <n v="0"/>
    <m/>
    <m/>
    <m/>
    <m/>
    <m/>
    <m/>
    <m/>
    <m/>
    <m/>
    <d v="1982-09-12T00:00:00"/>
    <s v="M"/>
    <s v="W"/>
    <s v="WHITE"/>
    <s v="NULL"/>
    <s v="177"/>
    <s v="DISMISSED"/>
    <n v="9"/>
    <s v="DISMISSED"/>
    <m/>
    <m/>
    <m/>
    <s v="THEFT $1500-20K"/>
    <m/>
    <s v="FS"/>
    <s v="THEFT"/>
    <m/>
    <m/>
    <m/>
    <m/>
    <m/>
    <m/>
    <m/>
    <m/>
    <m/>
    <s v="Appointed Attorney"/>
    <m/>
    <m/>
    <n v="2"/>
    <n v="201"/>
    <n v="216"/>
    <n v="29.295081967213115"/>
    <n v="0"/>
    <n v="-199"/>
    <s v="NO CONVICTION"/>
    <x v="1"/>
    <s v="Y"/>
    <m/>
    <s v="NO CONVICTION"/>
    <s v="Y"/>
    <x v="1"/>
    <x v="0"/>
    <s v="N"/>
    <n v="9.2592592592592587E-3"/>
    <n v="9.9502487562189053E-3"/>
    <n v="6.9098949695964654E-4"/>
    <n v="0"/>
    <n v="-2"/>
    <n v="0"/>
    <n v="2"/>
    <e v="#VALUE!"/>
    <n v="2"/>
    <n v="0"/>
    <m/>
    <m/>
    <s v="N"/>
    <m/>
    <s v="0-10 DAYS"/>
    <n v="1"/>
    <x v="0"/>
  </r>
  <r>
    <n v="2547"/>
    <s v="N"/>
    <s v="N"/>
    <n v="2324593"/>
    <n v="6"/>
    <d v="2012-04-05T00:00:00"/>
    <d v="2014-01-31T00:00:00"/>
    <n v="2324593"/>
    <s v="NOT BOOKED"/>
    <d v="2012-04-22T00:00:00"/>
    <n v="20000"/>
    <x v="5"/>
    <d v="2012-04-22T00:00:00"/>
    <s v="Y"/>
    <s v="SURETY"/>
    <s v="GUILTY PLEA - NO JURY"/>
    <n v="0"/>
    <n v="667"/>
    <n v="1"/>
    <n v="3"/>
    <n v="1"/>
    <m/>
    <m/>
    <m/>
    <m/>
    <m/>
    <m/>
    <m/>
    <m/>
    <d v="1987-05-24T00:00:00"/>
    <s v="M"/>
    <s v="B"/>
    <s v="BLACK"/>
    <s v="NON-HISPANIC"/>
    <s v="209"/>
    <s v="CONVICTED"/>
    <n v="14"/>
    <s v="TDC"/>
    <n v="3"/>
    <m/>
    <m/>
    <s v="POSS CS PG 1 4G - 200G"/>
    <m/>
    <s v="F2"/>
    <s v="POSS DRUG"/>
    <s v="POST VIV FEL PEND-DETAINED"/>
    <m/>
    <m/>
    <m/>
    <m/>
    <m/>
    <m/>
    <m/>
    <m/>
    <s v="Appointed Attorney"/>
    <m/>
    <m/>
    <n v="0"/>
    <n v="0"/>
    <n v="667"/>
    <n v="24.816939890710383"/>
    <n v="0"/>
    <n v="-649"/>
    <s v="CONVICTION"/>
    <x v="1"/>
    <s v="Y"/>
    <m/>
    <s v="CONVICTION"/>
    <n v="0"/>
    <x v="1"/>
    <x v="0"/>
    <s v="Y"/>
    <n v="0"/>
    <n v="0"/>
    <n v="0"/>
    <n v="0"/>
    <e v="#VALUE!"/>
    <e v="#VALUE!"/>
    <e v="#VALUE!"/>
    <e v="#VALUE!"/>
    <n v="0"/>
    <m/>
    <m/>
    <m/>
    <s v="Y"/>
    <e v="#N/A"/>
    <s v="0-10 DAYS"/>
    <n v="1"/>
    <x v="1"/>
  </r>
  <r>
    <n v="2830"/>
    <s v="N"/>
    <s v="N"/>
    <n v="2324878"/>
    <n v="1"/>
    <d v="2012-04-14T00:00:00"/>
    <d v="2012-06-25T00:00:00"/>
    <n v="2324878"/>
    <d v="2012-04-14T00:00:00"/>
    <d v="2012-06-25T00:00:00"/>
    <n v="5000"/>
    <x v="4"/>
    <m/>
    <s v="N"/>
    <s v="NONE"/>
    <s v="NO BILL"/>
    <n v="73"/>
    <n v="73"/>
    <n v="0"/>
    <n v="3"/>
    <m/>
    <m/>
    <m/>
    <m/>
    <m/>
    <m/>
    <m/>
    <m/>
    <m/>
    <d v="1990-04-10T00:00:00"/>
    <s v="M"/>
    <s v="H"/>
    <s v="HISPANIC"/>
    <s v="HISPANIC"/>
    <s v="228"/>
    <s v="NO BILL"/>
    <n v="2"/>
    <s v="NO BILL"/>
    <m/>
    <m/>
    <m/>
    <s v="UNLAW CARRY WPN-LIC PREMISE"/>
    <m/>
    <s v="F3"/>
    <s v="OTHER FEL"/>
    <m/>
    <m/>
    <m/>
    <m/>
    <m/>
    <m/>
    <m/>
    <m/>
    <m/>
    <s v="Public Defender"/>
    <m/>
    <m/>
    <n v="73"/>
    <n v="73"/>
    <n v="73"/>
    <n v="21.967213114754099"/>
    <n v="0"/>
    <n v="0"/>
    <s v="NO CONVICTION"/>
    <x v="0"/>
    <s v="N"/>
    <m/>
    <s v="NO CONVICTION"/>
    <s v="Y"/>
    <x v="0"/>
    <x v="0"/>
    <s v="N"/>
    <n v="1"/>
    <n v="1"/>
    <n v="0"/>
    <n v="0"/>
    <n v="-73"/>
    <n v="0"/>
    <n v="73"/>
    <e v="#VALUE!"/>
    <n v="73"/>
    <n v="0"/>
    <m/>
    <m/>
    <s v="Y"/>
    <m/>
    <s v="61-90 DAYS"/>
    <n v="4"/>
    <x v="0"/>
  </r>
  <r>
    <n v="1066"/>
    <s v="N"/>
    <s v="N"/>
    <n v="2324952"/>
    <n v="2"/>
    <d v="2012-02-09T00:00:00"/>
    <d v="2012-02-10T00:00:00"/>
    <n v="2324952"/>
    <d v="2012-02-09T00:00:00"/>
    <d v="2012-02-10T00:00:00"/>
    <n v="5000"/>
    <x v="4"/>
    <m/>
    <s v="N"/>
    <s v="NONE"/>
    <s v="DEFERRED ADJUDICATION "/>
    <n v="2"/>
    <n v="2"/>
    <n v="1"/>
    <n v="3"/>
    <m/>
    <m/>
    <m/>
    <m/>
    <m/>
    <m/>
    <m/>
    <s v="S"/>
    <m/>
    <d v="1990-04-29T00:00:00"/>
    <s v="M"/>
    <s v="H"/>
    <s v="HISPANIC"/>
    <s v="NULL"/>
    <s v="179"/>
    <s v="DEFERRED"/>
    <n v="1"/>
    <s v="DEFERRED"/>
    <m/>
    <m/>
    <m/>
    <s v="POSS CS PG 1  1 - 4 GRAMS"/>
    <m/>
    <s v="F3"/>
    <s v="POSS DRUG"/>
    <m/>
    <m/>
    <m/>
    <m/>
    <m/>
    <m/>
    <m/>
    <m/>
    <m/>
    <s v="Appointed Attorney"/>
    <m/>
    <m/>
    <n v="2"/>
    <n v="2"/>
    <n v="2"/>
    <n v="21.737704918032787"/>
    <n v="0"/>
    <n v="0"/>
    <s v="DEFERRED"/>
    <x v="0"/>
    <s v="N"/>
    <m/>
    <s v="DEFERRED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3255"/>
    <s v="Y"/>
    <s v="Y"/>
    <n v="2325017"/>
    <n v="6"/>
    <d v="2012-04-30T00:00:00"/>
    <d v="2014-06-20T00:00:00"/>
    <n v="2325017"/>
    <d v="2012-04-30T00:00:00"/>
    <d v="2012-05-02T00:00:00"/>
    <n v="10000"/>
    <x v="3"/>
    <d v="2012-05-02T00:00:00"/>
    <s v="Y"/>
    <s v="SURETY"/>
    <s v="jury verdict"/>
    <n v="548"/>
    <n v="782"/>
    <n v="3"/>
    <n v="2"/>
    <n v="1"/>
    <m/>
    <m/>
    <m/>
    <m/>
    <m/>
    <m/>
    <m/>
    <m/>
    <d v="1987-12-19T00:00:00"/>
    <s v="M"/>
    <s v="B"/>
    <s v="BLACK"/>
    <s v="NULL"/>
    <s v="184"/>
    <s v="CONVICTED"/>
    <n v="26"/>
    <s v="TDC"/>
    <n v="99"/>
    <m/>
    <m/>
    <s v="CAPITAL MURDER"/>
    <m/>
    <s v="FC"/>
    <s v="CAP  MURDER   "/>
    <s v="RETALIATION TRANS ON CAP MUR"/>
    <s v="bd surr7/12/12"/>
    <m/>
    <m/>
    <s v="Y"/>
    <m/>
    <m/>
    <m/>
    <m/>
    <s v="Hired Attorney"/>
    <s v="CAP MURD DISP"/>
    <m/>
    <n v="548"/>
    <n v="782"/>
    <n v="782"/>
    <n v="24.314207650273225"/>
    <n v="0"/>
    <n v="-779"/>
    <s v="CONVICTION"/>
    <x v="1"/>
    <s v="Y"/>
    <m/>
    <s v="CONVICTION"/>
    <s v="Y"/>
    <x v="0"/>
    <x v="0"/>
    <s v="Y"/>
    <n v="0.70076726342710993"/>
    <n v="0.70079999999999998"/>
    <n v="0"/>
    <n v="0"/>
    <n v="-3"/>
    <n v="545"/>
    <n v="782"/>
    <e v="#VALUE!"/>
    <n v="548"/>
    <m/>
    <m/>
    <m/>
    <s v="Y"/>
    <e v="#N/A"/>
    <s v=" &gt;1YRS&lt;2YRS"/>
    <n v="0"/>
    <x v="0"/>
  </r>
  <r>
    <n v="428"/>
    <s v="N"/>
    <s v="N"/>
    <n v="2325132"/>
    <n v="5"/>
    <d v="2012-01-18T00:00:00"/>
    <d v="2012-01-20T00:00:00"/>
    <n v="2325132"/>
    <d v="2012-01-18T00:00:00"/>
    <d v="2012-01-20T00:00:00"/>
    <n v="2000"/>
    <x v="5"/>
    <m/>
    <s v="N"/>
    <s v="NONE"/>
    <s v="GUILTY PLEA - NO JURY"/>
    <n v="3"/>
    <n v="3"/>
    <n v="1"/>
    <n v="9"/>
    <n v="1"/>
    <m/>
    <m/>
    <m/>
    <m/>
    <m/>
    <m/>
    <m/>
    <m/>
    <d v="1958-01-28T00:00:00"/>
    <s v="M"/>
    <s v="B"/>
    <s v="BLACK"/>
    <s v="NON-HISPANIC"/>
    <s v="174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3"/>
    <n v="3"/>
    <n v="3"/>
    <n v="53.860655737704917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271"/>
    <s v="N"/>
    <s v="N"/>
    <n v="2325400"/>
    <n v="1"/>
    <d v="2012-03-27T00:00:00"/>
    <d v="2012-06-13T00:00:00"/>
    <n v="2325400"/>
    <s v="NOT BOOKED"/>
    <s v="NOT BOOKED"/>
    <n v="30000"/>
    <x v="2"/>
    <d v="2012-03-28T00:00:00"/>
    <s v="Y"/>
    <s v="SURETY"/>
    <s v="DISMISSED"/>
    <n v="0"/>
    <n v="79"/>
    <n v="0"/>
    <n v="3"/>
    <m/>
    <m/>
    <m/>
    <m/>
    <m/>
    <m/>
    <m/>
    <m/>
    <m/>
    <d v="1990-09-07T00:00:00"/>
    <s v="M"/>
    <s v="H"/>
    <s v="HISPANIC"/>
    <s v="HISPANIC"/>
    <s v="179"/>
    <s v="DISMISSED"/>
    <n v="4"/>
    <s v="DISMISSED"/>
    <m/>
    <m/>
    <m/>
    <s v="AGG ASSAULT W/DEADLY WEAPON"/>
    <m/>
    <s v="F2"/>
    <s v="ASLT-MURDR"/>
    <m/>
    <m/>
    <m/>
    <m/>
    <m/>
    <m/>
    <m/>
    <m/>
    <m/>
    <s v="Hired Attorney"/>
    <m/>
    <m/>
    <n v="0"/>
    <n v="0"/>
    <n v="79"/>
    <n v="21.508196721311474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541"/>
    <s v="N"/>
    <s v="N"/>
    <n v="2325833"/>
    <n v="2"/>
    <d v="2012-01-22T00:00:00"/>
    <d v="2012-02-21T00:00:00"/>
    <n v="2325833"/>
    <s v="NOT BOOKED"/>
    <s v="NOT BOOKED"/>
    <n v="15000"/>
    <x v="0"/>
    <m/>
    <s v="NO BOND MADE - NON ARREST"/>
    <s v="NONE"/>
    <s v="DEFERRED ADJUDICATION "/>
    <n v="0"/>
    <n v="31"/>
    <n v="0"/>
    <n v="3"/>
    <m/>
    <m/>
    <m/>
    <m/>
    <m/>
    <m/>
    <m/>
    <m/>
    <m/>
    <d v="1987-07-29T00:00:00"/>
    <s v="M"/>
    <s v="H"/>
    <s v="HISPANIC"/>
    <s v="HISPANIC"/>
    <s v="179"/>
    <s v="DEFERRED"/>
    <n v="2"/>
    <s v="DEFERRED"/>
    <m/>
    <m/>
    <m/>
    <s v="THEFT $1500-20K"/>
    <m/>
    <s v="FS"/>
    <s v="THEFT"/>
    <m/>
    <m/>
    <m/>
    <m/>
    <m/>
    <m/>
    <m/>
    <m/>
    <m/>
    <s v="Appointed Attorney"/>
    <m/>
    <m/>
    <n v="0"/>
    <n v="0"/>
    <n v="31"/>
    <n v="24.434426229508198"/>
    <e v="#VALUE!"/>
    <e v="#VALUE!"/>
    <s v="DEFERRED"/>
    <x v="0"/>
    <s v="N"/>
    <m/>
    <s v="DEFERRED"/>
    <n v="0"/>
    <x v="5"/>
    <x v="0"/>
    <s v="N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2711"/>
    <s v="N"/>
    <s v="N"/>
    <n v="2328666"/>
    <n v="6"/>
    <d v="2012-04-10T00:00:00"/>
    <d v="2012-04-12T00:00:00"/>
    <n v="2328666"/>
    <d v="2012-04-11T00:00:00"/>
    <d v="2012-04-12T00:00:00"/>
    <n v="5000"/>
    <x v="4"/>
    <m/>
    <s v="N"/>
    <s v="NONE"/>
    <s v="GUILTY PLEA - NO JURY"/>
    <n v="2"/>
    <n v="3"/>
    <n v="1"/>
    <n v="2"/>
    <m/>
    <m/>
    <m/>
    <m/>
    <m/>
    <m/>
    <m/>
    <m/>
    <m/>
    <d v="1979-07-16T00:00:00"/>
    <s v="F"/>
    <s v="B"/>
    <s v="BLACK"/>
    <s v="NON-HISPANIC"/>
    <s v="338"/>
    <s v="CONVICTED"/>
    <n v="1"/>
    <s v="TDC"/>
    <n v="2"/>
    <m/>
    <m/>
    <s v="FELON POSS WPN"/>
    <m/>
    <s v="F3"/>
    <s v="OTHER FEL"/>
    <m/>
    <m/>
    <m/>
    <m/>
    <m/>
    <m/>
    <m/>
    <m/>
    <m/>
    <s v="Appointed Attorney"/>
    <m/>
    <m/>
    <n v="2"/>
    <n v="2"/>
    <n v="3"/>
    <n v="32.669398907103826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1399"/>
    <s v="N"/>
    <s v="N"/>
    <n v="2328987"/>
    <n v="5"/>
    <d v="2012-02-21T00:00:00"/>
    <d v="2012-02-23T00:00:00"/>
    <n v="2328987"/>
    <d v="2012-02-21T00:00:00"/>
    <d v="2012-02-23T00:00:00"/>
    <s v="NO BOND"/>
    <x v="1"/>
    <m/>
    <s v="N"/>
    <s v="NONE"/>
    <s v="GUILTY PLEA - NO JURY"/>
    <n v="3"/>
    <n v="3"/>
    <n v="1"/>
    <n v="4"/>
    <n v="1"/>
    <m/>
    <m/>
    <m/>
    <m/>
    <m/>
    <m/>
    <m/>
    <m/>
    <d v="1960-12-09T00:00:00"/>
    <s v="M"/>
    <s v="B"/>
    <s v="BLACK"/>
    <s v="NON-HISPANIC"/>
    <s v="262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3"/>
    <n v="3"/>
    <n v="3"/>
    <n v="51.095628415300546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57"/>
    <s v="N"/>
    <s v="N"/>
    <n v="2329079"/>
    <n v="1"/>
    <d v="2012-01-11T00:00:00"/>
    <d v="2012-09-06T00:00:00"/>
    <n v="2329079"/>
    <d v="2012-01-12T00:00:00"/>
    <d v="2012-01-12T00:00:00"/>
    <n v="20000"/>
    <x v="0"/>
    <d v="2012-01-12T00:00:00"/>
    <s v="Y"/>
    <s v="SURETYPTRc"/>
    <s v="DISMISSED"/>
    <n v="1"/>
    <n v="240"/>
    <n v="0"/>
    <n v="0"/>
    <m/>
    <m/>
    <m/>
    <m/>
    <m/>
    <m/>
    <m/>
    <m/>
    <m/>
    <d v="1980-04-22T00:00:00"/>
    <s v="F"/>
    <s v="W"/>
    <s v="WHITE"/>
    <s v="NON-HISPANIC"/>
    <s v="262"/>
    <s v="DISMISSED"/>
    <n v="12"/>
    <s v="DISMISSED"/>
    <m/>
    <m/>
    <m/>
    <s v="THEFT F/ELDERLY 100,000-200,00"/>
    <m/>
    <s v="F1"/>
    <s v="THEFT"/>
    <m/>
    <m/>
    <m/>
    <m/>
    <m/>
    <m/>
    <m/>
    <m/>
    <m/>
    <s v="Hired Attorney"/>
    <m/>
    <m/>
    <n v="1"/>
    <n v="239"/>
    <n v="240"/>
    <n v="31.655737704918032"/>
    <n v="0"/>
    <n v="-238"/>
    <s v="NO CONVICTION"/>
    <x v="1"/>
    <s v="Y"/>
    <m/>
    <s v="NO CONVICTION"/>
    <s v="Y"/>
    <x v="1"/>
    <x v="0"/>
    <s v="N"/>
    <n v="4.1666666666666666E-3"/>
    <n v="4.1841004184100415E-3"/>
    <n v="1.7433751743374873E-5"/>
    <n v="0"/>
    <n v="-1"/>
    <n v="0"/>
    <n v="1"/>
    <e v="#VALUE!"/>
    <n v="1"/>
    <n v="0"/>
    <m/>
    <m/>
    <s v="N"/>
    <m/>
    <s v="0-10 DAYS"/>
    <n v="1"/>
    <x v="0"/>
  </r>
  <r>
    <n v="2792"/>
    <s v="Y"/>
    <s v="Y"/>
    <n v="2329190"/>
    <n v="2"/>
    <d v="2012-04-13T00:00:00"/>
    <d v="2012-10-19T00:00:00"/>
    <n v="2329190"/>
    <d v="2012-04-17T00:00:00"/>
    <d v="2012-04-19T00:00:00"/>
    <n v="30000"/>
    <x v="2"/>
    <d v="2012-04-19T00:00:00"/>
    <s v="Y"/>
    <s v="SURETYPTRc"/>
    <s v="DEFERRED ADJUDICATION "/>
    <n v="97"/>
    <n v="190"/>
    <n v="4"/>
    <n v="1"/>
    <n v="2"/>
    <m/>
    <m/>
    <m/>
    <m/>
    <m/>
    <m/>
    <m/>
    <m/>
    <d v="1990-05-19T00:00:00"/>
    <s v="M"/>
    <s v="B"/>
    <s v="BLACK"/>
    <s v="NULL"/>
    <s v="337"/>
    <s v="DEFERRED"/>
    <n v="12"/>
    <s v="DEFERRED"/>
    <m/>
    <m/>
    <m/>
    <s v="ASSAULT-BOD INJ-FAMILY MEMBER"/>
    <m/>
    <s v="F3"/>
    <s v="ASLT-MURDR"/>
    <m/>
    <s v=" rev 7/19/12"/>
    <m/>
    <m/>
    <s v="Y"/>
    <m/>
    <m/>
    <m/>
    <m/>
    <s v="Hired Attorney"/>
    <s v="1/24/13 tdc f drug"/>
    <m/>
    <n v="97"/>
    <n v="186"/>
    <n v="190"/>
    <n v="21.857923497267759"/>
    <n v="0"/>
    <n v="-183"/>
    <s v="DEFERRED"/>
    <x v="1"/>
    <s v="Y"/>
    <m/>
    <s v="DEFERRED"/>
    <s v="Y"/>
    <x v="0"/>
    <x v="0"/>
    <s v="Y"/>
    <n v="0.51052631578947372"/>
    <n v="1.6129032258064516E-2"/>
    <n v="-0.49439728353140922"/>
    <n v="0"/>
    <n v="-3"/>
    <n v="94"/>
    <n v="186"/>
    <n v="97"/>
    <n v="186"/>
    <n v="183"/>
    <m/>
    <m/>
    <s v="Y"/>
    <m/>
    <s v="91-120 DAYS"/>
    <n v="0"/>
    <x v="0"/>
  </r>
  <r>
    <n v="70"/>
    <s v="N"/>
    <s v="Y"/>
    <n v="2329267"/>
    <n v="4"/>
    <d v="2012-01-04T00:00:00"/>
    <d v="2012-12-05T00:00:00"/>
    <n v="2329267"/>
    <d v="2012-06-08T00:00:00"/>
    <d v="2012-06-16T00:00:00"/>
    <n v="20000"/>
    <x v="0"/>
    <d v="2012-06-16T00:00:00"/>
    <s v="Y"/>
    <s v="SURETY"/>
    <s v="GUILTY PLEA - NO JURY"/>
    <n v="14"/>
    <n v="337"/>
    <n v="0"/>
    <n v="4"/>
    <m/>
    <m/>
    <m/>
    <m/>
    <m/>
    <m/>
    <m/>
    <m/>
    <m/>
    <d v="1990-09-21T00:00:00"/>
    <s v="M"/>
    <s v="B"/>
    <s v="BLACK"/>
    <s v="NULL"/>
    <s v="174"/>
    <s v="GUILTY PLEA - NO JURY"/>
    <n v="10"/>
    <s v="HCJ"/>
    <m/>
    <m/>
    <n v="30"/>
    <s v="BURG W-INTENT-COMMIT OTHER FEL"/>
    <m/>
    <s v="F1"/>
    <s v="BURGLARY"/>
    <m/>
    <m/>
    <s v="Y"/>
    <s v="BF 10/9/12"/>
    <m/>
    <m/>
    <m/>
    <d v="2020-10-15T00:00:00"/>
    <n v="235"/>
    <s v="Appointed Attorney"/>
    <m/>
    <m/>
    <n v="14"/>
    <n v="181"/>
    <n v="337"/>
    <n v="21.243169398907103"/>
    <n v="0"/>
    <n v="-172"/>
    <s v="CONVICTION"/>
    <x v="1"/>
    <s v="Y"/>
    <m/>
    <s v="CONVICTION"/>
    <s v="Y"/>
    <x v="1"/>
    <x v="0"/>
    <s v="N"/>
    <n v="4.1543026706231452E-2"/>
    <n v="4.9723756906077346E-2"/>
    <n v="8.1807301998458939E-3"/>
    <n v="0"/>
    <n v="-9"/>
    <n v="5"/>
    <n v="9"/>
    <n v="14"/>
    <m/>
    <n v="172"/>
    <m/>
    <m/>
    <s v="Y"/>
    <m/>
    <s v="11-30 DAYS"/>
    <n v="2"/>
    <x v="0"/>
  </r>
  <r>
    <n v="1494"/>
    <s v="N"/>
    <s v="N"/>
    <n v="2329991"/>
    <n v="2"/>
    <d v="2012-02-25T00:00:00"/>
    <d v="2012-07-12T00:00:00"/>
    <n v="2329991"/>
    <d v="2012-02-25T00:00:00"/>
    <d v="2012-07-12T00:00:00"/>
    <n v="75000"/>
    <x v="2"/>
    <m/>
    <s v="N"/>
    <s v="NONE"/>
    <s v="DEFERRED ADJUDICATION "/>
    <n v="139"/>
    <n v="139"/>
    <n v="2"/>
    <n v="1"/>
    <n v="1"/>
    <m/>
    <m/>
    <m/>
    <m/>
    <m/>
    <m/>
    <m/>
    <m/>
    <d v="1990-03-12T00:00:00"/>
    <s v="M"/>
    <s v="W"/>
    <s v="WHITE"/>
    <s v="NULL"/>
    <s v="228"/>
    <s v="DEFERRED"/>
    <n v="5"/>
    <s v="DEFERRED"/>
    <m/>
    <m/>
    <m/>
    <s v="AGG ASSLT AGAINST PB SERVANT"/>
    <m/>
    <s v="F1"/>
    <s v="ASLT-MURDR"/>
    <m/>
    <m/>
    <m/>
    <m/>
    <m/>
    <m/>
    <m/>
    <m/>
    <m/>
    <s v="Appointed Attorney"/>
    <m/>
    <m/>
    <n v="139"/>
    <n v="139"/>
    <n v="139"/>
    <n v="21.912568306010929"/>
    <n v="0"/>
    <n v="0"/>
    <s v="DEFERRED"/>
    <x v="0"/>
    <s v="N"/>
    <m/>
    <s v="DEFERRED"/>
    <s v="Y"/>
    <x v="0"/>
    <x v="0"/>
    <s v="Y"/>
    <n v="1"/>
    <n v="1"/>
    <n v="0"/>
    <n v="0"/>
    <n v="-139"/>
    <n v="0"/>
    <n v="139"/>
    <e v="#VALUE!"/>
    <n v="139"/>
    <n v="0"/>
    <m/>
    <m/>
    <s v="Y"/>
    <m/>
    <s v="121-365 DAYS"/>
    <n v="6"/>
    <x v="0"/>
  </r>
  <r>
    <n v="1175"/>
    <s v="Y"/>
    <s v="Y"/>
    <n v="2330285"/>
    <n v="5"/>
    <d v="2012-02-12T00:00:00"/>
    <d v="2012-05-23T00:00:00"/>
    <n v="2330285"/>
    <d v="2012-02-12T00:00:00"/>
    <d v="2012-02-15T00:00:00"/>
    <n v="7000"/>
    <x v="3"/>
    <d v="2012-02-15T00:00:00"/>
    <s v="Y"/>
    <s v="SURETYPTRc"/>
    <s v="GUILTY PLEA - NO JURY"/>
    <n v="64"/>
    <n v="102"/>
    <n v="0"/>
    <n v="5"/>
    <m/>
    <m/>
    <m/>
    <m/>
    <m/>
    <m/>
    <m/>
    <m/>
    <m/>
    <d v="1993-04-17T00:00:00"/>
    <s v="M"/>
    <s v="B"/>
    <s v="BLACK"/>
    <s v="NULL"/>
    <s v="262"/>
    <s v="CONVICTED"/>
    <n v="8"/>
    <s v="STJ"/>
    <m/>
    <n v="9"/>
    <m/>
    <s v="UNAUTH USE OF VEHICLE"/>
    <m/>
    <s v="FS"/>
    <s v="AUTO THEFT"/>
    <s v="2 bonds bf"/>
    <s v="  rev 3/27/12 "/>
    <s v="Y"/>
    <d v="2012-04-03T00:00:00"/>
    <s v="Y"/>
    <m/>
    <m/>
    <s v="(2)5/8/2012"/>
    <n v="470"/>
    <s v="Hired Attorney"/>
    <s v="3 misd 4/2/13 NA fugitive"/>
    <m/>
    <n v="64"/>
    <n v="102"/>
    <n v="102"/>
    <n v="18.784153005464482"/>
    <n v="0"/>
    <n v="-98"/>
    <s v="CONVICTION"/>
    <x v="1"/>
    <s v="Y"/>
    <m/>
    <s v="CONVICTION"/>
    <s v="Y"/>
    <x v="0"/>
    <x v="0"/>
    <s v="N"/>
    <n v="0.62745098039215685"/>
    <n v="3.9215686274509803E-2"/>
    <n v="-0.58823529411764708"/>
    <n v="0"/>
    <n v="-4"/>
    <n v="60"/>
    <n v="102"/>
    <n v="64"/>
    <n v="102"/>
    <n v="98"/>
    <m/>
    <m/>
    <s v="Y"/>
    <m/>
    <s v="61-90 DAYS"/>
    <n v="4"/>
    <x v="0"/>
  </r>
  <r>
    <n v="95"/>
    <s v="N"/>
    <s v="N"/>
    <n v="2330338"/>
    <n v="5"/>
    <d v="2012-01-05T00:00:00"/>
    <d v="2012-02-21T00:00:00"/>
    <n v="2330338"/>
    <d v="2012-01-17T00:00:00"/>
    <d v="2012-02-21T00:00:00"/>
    <n v="5000"/>
    <x v="4"/>
    <m/>
    <s v="N"/>
    <s v="NONE"/>
    <s v="GUILTY PLEA - NO JURY"/>
    <n v="36"/>
    <n v="48"/>
    <n v="1"/>
    <n v="0"/>
    <m/>
    <n v="1"/>
    <m/>
    <m/>
    <m/>
    <m/>
    <m/>
    <s v="S"/>
    <m/>
    <d v="1985-10-11T00:00:00"/>
    <s v="M"/>
    <s v="H"/>
    <s v="HISPANIC"/>
    <s v="NULL"/>
    <s v="351"/>
    <s v="CONVICTED"/>
    <n v="4"/>
    <s v="STJ"/>
    <m/>
    <n v="7"/>
    <m/>
    <s v="FAIL TO REGISTER AS SEX OFFEND"/>
    <m/>
    <s v="FS"/>
    <s v="OTHER FEL"/>
    <m/>
    <m/>
    <m/>
    <m/>
    <m/>
    <m/>
    <m/>
    <m/>
    <m/>
    <s v="Public Defender"/>
    <m/>
    <m/>
    <n v="36"/>
    <n v="36"/>
    <n v="48"/>
    <n v="26.180327868852459"/>
    <n v="0"/>
    <n v="0"/>
    <s v="CONVICTION"/>
    <x v="0"/>
    <s v="N"/>
    <m/>
    <s v="CONVICTION"/>
    <s v="Y"/>
    <x v="0"/>
    <x v="0"/>
    <s v="Y"/>
    <n v="0.75"/>
    <n v="1"/>
    <n v="0.25"/>
    <n v="0"/>
    <n v="-36"/>
    <n v="0"/>
    <n v="36"/>
    <e v="#VALUE!"/>
    <n v="36"/>
    <n v="0"/>
    <m/>
    <m/>
    <s v="Y"/>
    <m/>
    <s v="31-60 DAYS"/>
    <n v="3"/>
    <x v="0"/>
  </r>
  <r>
    <n v="2548"/>
    <s v="N"/>
    <s v="N"/>
    <n v="2330668"/>
    <n v="1"/>
    <d v="2012-04-05T00:00:00"/>
    <d v="2012-05-08T00:00:00"/>
    <n v="2330668"/>
    <d v="2012-04-05T00:00:00"/>
    <d v="2012-04-06T00:00:00"/>
    <n v="2000"/>
    <x v="5"/>
    <d v="2012-04-06T00:00:00"/>
    <s v="Y"/>
    <s v="SURETY"/>
    <s v="DISMISSED"/>
    <n v="2"/>
    <n v="34"/>
    <n v="0"/>
    <n v="2"/>
    <m/>
    <m/>
    <m/>
    <m/>
    <m/>
    <m/>
    <m/>
    <m/>
    <m/>
    <d v="1981-04-20T00:00:00"/>
    <s v="M"/>
    <s v="B"/>
    <s v="BLACK"/>
    <s v="NON-HISPANIC"/>
    <s v="180"/>
    <s v="DISMISSED"/>
    <n v="3"/>
    <s v="DISMISSED"/>
    <m/>
    <m/>
    <m/>
    <s v="POSS CS PG 1 &lt;1G"/>
    <m/>
    <s v="FS"/>
    <s v="POSS DRUG"/>
    <m/>
    <m/>
    <m/>
    <m/>
    <m/>
    <m/>
    <m/>
    <m/>
    <m/>
    <s v="Hired Attorney"/>
    <m/>
    <m/>
    <n v="2"/>
    <n v="34"/>
    <n v="34"/>
    <n v="30.896174863387976"/>
    <n v="0"/>
    <n v="-32"/>
    <s v="NO CONVICTION"/>
    <x v="1"/>
    <s v="Y"/>
    <m/>
    <s v="NO CONVICTION"/>
    <s v="Y"/>
    <x v="1"/>
    <x v="0"/>
    <s v="N"/>
    <n v="5.8823529411764705E-2"/>
    <n v="5.8823529411764705E-2"/>
    <n v="0"/>
    <n v="0"/>
    <n v="-2"/>
    <n v="0"/>
    <n v="2"/>
    <e v="#VALUE!"/>
    <n v="2"/>
    <n v="0"/>
    <m/>
    <m/>
    <s v="Y"/>
    <m/>
    <s v="0-10 DAYS"/>
    <n v="1"/>
    <x v="0"/>
  </r>
  <r>
    <n v="1650"/>
    <s v="N"/>
    <s v="N"/>
    <n v="2330861"/>
    <n v="2"/>
    <d v="2012-03-01T00:00:00"/>
    <d v="2012-03-20T00:00:00"/>
    <n v="2330861"/>
    <d v="2012-03-02T00:00:00"/>
    <d v="2012-03-20T00:00:00"/>
    <n v="2000"/>
    <x v="5"/>
    <m/>
    <s v="N"/>
    <s v="NONE"/>
    <s v="DEFERRED ADJUDICATION "/>
    <n v="19"/>
    <n v="20"/>
    <n v="0"/>
    <n v="2"/>
    <m/>
    <m/>
    <m/>
    <m/>
    <m/>
    <m/>
    <m/>
    <m/>
    <m/>
    <d v="1984-06-16T00:00:00"/>
    <s v="M"/>
    <s v="B"/>
    <s v="BLACK"/>
    <s v="NULL"/>
    <s v="230"/>
    <s v="DEFERRED"/>
    <n v="3"/>
    <s v="DEFERRED"/>
    <m/>
    <m/>
    <m/>
    <s v="POSS CS PG 1 &lt;1G"/>
    <m/>
    <s v="FS"/>
    <s v="POSS DRUG"/>
    <s v="5/30/12  amended cop 3 day hcjviol?? "/>
    <m/>
    <m/>
    <m/>
    <m/>
    <m/>
    <m/>
    <m/>
    <m/>
    <s v="Appointed Attorney"/>
    <m/>
    <m/>
    <n v="19"/>
    <n v="19"/>
    <n v="20"/>
    <n v="27.650273224043715"/>
    <n v="0"/>
    <n v="0"/>
    <s v="DEFERRED"/>
    <x v="0"/>
    <s v="N"/>
    <m/>
    <s v="DEFERRED"/>
    <s v="Y"/>
    <x v="0"/>
    <x v="0"/>
    <s v="N"/>
    <n v="0.95"/>
    <n v="1"/>
    <n v="5.0000000000000044E-2"/>
    <n v="0"/>
    <n v="-19"/>
    <n v="0"/>
    <n v="19"/>
    <e v="#VALUE!"/>
    <n v="19"/>
    <n v="0"/>
    <m/>
    <m/>
    <s v="Y"/>
    <m/>
    <s v="11-30 DAYS"/>
    <n v="2"/>
    <x v="0"/>
  </r>
  <r>
    <n v="2038"/>
    <s v="N"/>
    <s v="N"/>
    <n v="2331324"/>
    <n v="2"/>
    <d v="2012-03-17T00:00:00"/>
    <d v="2012-06-15T00:00:00"/>
    <n v="2331324"/>
    <d v="2012-03-18T00:00:00"/>
    <d v="2012-06-15T00:00:00"/>
    <n v="35000"/>
    <x v="2"/>
    <m/>
    <s v="N"/>
    <s v="NONE"/>
    <s v="DEFERRED ADJUDICATION "/>
    <n v="90"/>
    <n v="91"/>
    <n v="0"/>
    <n v="1"/>
    <m/>
    <m/>
    <m/>
    <m/>
    <m/>
    <m/>
    <m/>
    <m/>
    <m/>
    <d v="1990-01-04T00:00:00"/>
    <s v="M"/>
    <s v="W"/>
    <s v="WHITE"/>
    <s v="NULL"/>
    <s v="351"/>
    <s v="DEFERRED"/>
    <n v="6"/>
    <s v="DEFERRED"/>
    <m/>
    <m/>
    <m/>
    <s v="BURGLARY OF HABITATION"/>
    <m/>
    <s v="F2"/>
    <s v="BURGLARY"/>
    <m/>
    <m/>
    <m/>
    <m/>
    <m/>
    <m/>
    <m/>
    <m/>
    <m/>
    <s v="Hired Attorney"/>
    <m/>
    <m/>
    <n v="90"/>
    <n v="90"/>
    <n v="91"/>
    <n v="22.153005464480874"/>
    <n v="0"/>
    <n v="0"/>
    <s v="DEFERRED"/>
    <x v="0"/>
    <s v="N"/>
    <m/>
    <s v="DEFERRED"/>
    <s v="Y"/>
    <x v="0"/>
    <x v="0"/>
    <s v="N"/>
    <n v="0.98901098901098905"/>
    <n v="1"/>
    <n v="1.098901098901095E-2"/>
    <n v="0"/>
    <n v="-90"/>
    <n v="0"/>
    <n v="90"/>
    <e v="#VALUE!"/>
    <n v="90"/>
    <n v="0"/>
    <m/>
    <m/>
    <s v="Y"/>
    <m/>
    <s v="61-90 DAYS"/>
    <n v="4"/>
    <x v="0"/>
  </r>
  <r>
    <n v="2589"/>
    <s v="N"/>
    <s v="N"/>
    <n v="2331371"/>
    <n v="6"/>
    <d v="2012-04-06T00:00:00"/>
    <d v="2013-02-26T00:00:00"/>
    <n v="2331371"/>
    <d v="2012-04-06T00:00:00"/>
    <d v="2012-04-07T00:00:00"/>
    <n v="10000"/>
    <x v="3"/>
    <d v="2012-04-07T00:00:00"/>
    <s v="Y"/>
    <s v="SURETY"/>
    <s v="GUILTY PLEA - NO JURY"/>
    <n v="2"/>
    <n v="327"/>
    <n v="2"/>
    <n v="2"/>
    <m/>
    <m/>
    <m/>
    <m/>
    <m/>
    <m/>
    <m/>
    <m/>
    <m/>
    <d v="1990-02-24T00:00:00"/>
    <s v="M"/>
    <s v="W"/>
    <s v="WHITE"/>
    <s v="NULL"/>
    <s v="208"/>
    <s v="CONVICTED"/>
    <n v="13"/>
    <s v="TDC"/>
    <n v="5"/>
    <m/>
    <m/>
    <s v="FELON POSS WPN"/>
    <m/>
    <s v="F3"/>
    <s v="OTHER FEL"/>
    <s v="violation new charge"/>
    <m/>
    <m/>
    <m/>
    <m/>
    <m/>
    <m/>
    <m/>
    <m/>
    <s v="Hired Attorney"/>
    <m/>
    <m/>
    <n v="2"/>
    <n v="327"/>
    <n v="327"/>
    <n v="22.068306010928961"/>
    <n v="0"/>
    <n v="-325"/>
    <s v="CONVICTION"/>
    <x v="1"/>
    <s v="Y"/>
    <m/>
    <s v="CONVICTION"/>
    <s v="Y"/>
    <x v="1"/>
    <x v="0"/>
    <s v="Y"/>
    <n v="6.1162079510703364E-3"/>
    <n v="6.1162079510703364E-3"/>
    <n v="0"/>
    <n v="0"/>
    <n v="-2"/>
    <n v="0"/>
    <n v="2"/>
    <e v="#VALUE!"/>
    <n v="2"/>
    <n v="0"/>
    <m/>
    <m/>
    <s v="Y"/>
    <m/>
    <s v="0-10 DAYS"/>
    <n v="1"/>
    <x v="0"/>
  </r>
  <r>
    <n v="2065"/>
    <s v="N"/>
    <s v="N"/>
    <n v="2331703"/>
    <n v="6"/>
    <d v="2012-03-18T00:00:00"/>
    <d v="2012-09-13T00:00:00"/>
    <n v="2331703"/>
    <d v="2012-03-19T00:00:00"/>
    <d v="2012-09-13T00:00:00"/>
    <s v="NO BOND"/>
    <x v="1"/>
    <m/>
    <s v="N"/>
    <s v="NONE"/>
    <s v="GUILTY PLEA - NO JURY"/>
    <n v="179"/>
    <n v="180"/>
    <n v="0"/>
    <n v="3"/>
    <m/>
    <m/>
    <m/>
    <m/>
    <m/>
    <m/>
    <m/>
    <s v="S"/>
    <m/>
    <d v="1984-10-21T00:00:00"/>
    <s v="M"/>
    <s v="H"/>
    <s v="HISPANIC"/>
    <s v="NULL"/>
    <s v="185"/>
    <s v="CONVICTED"/>
    <n v="7"/>
    <s v="TDC"/>
    <n v="18"/>
    <m/>
    <m/>
    <s v="INTOXICATED ASSLT W/VEH SBI"/>
    <m/>
    <s v="F3"/>
    <s v="ASLT-MURDR"/>
    <m/>
    <m/>
    <m/>
    <m/>
    <m/>
    <m/>
    <m/>
    <m/>
    <m/>
    <s v="Hired Attorney"/>
    <m/>
    <m/>
    <n v="179"/>
    <n v="179"/>
    <n v="180"/>
    <n v="27.349726775956285"/>
    <n v="0"/>
    <n v="0"/>
    <s v="CONVICTION"/>
    <x v="0"/>
    <s v="N"/>
    <m/>
    <s v="CONVICTION"/>
    <s v="Y"/>
    <x v="0"/>
    <x v="0"/>
    <s v="N"/>
    <n v="0.99444444444444446"/>
    <n v="1"/>
    <n v="5.5555555555555358E-3"/>
    <n v="0"/>
    <n v="-179"/>
    <n v="0"/>
    <n v="179"/>
    <e v="#VALUE!"/>
    <n v="179"/>
    <n v="0"/>
    <m/>
    <m/>
    <s v="Y"/>
    <m/>
    <s v="121-365 DAYS"/>
    <n v="6"/>
    <x v="0"/>
  </r>
  <r>
    <n v="3057"/>
    <s v="N"/>
    <s v="N"/>
    <n v="2331774"/>
    <n v="1"/>
    <d v="2012-04-23T00:00:00"/>
    <d v="2012-09-11T00:00:00"/>
    <n v="2331774"/>
    <d v="2012-04-23T00:00:00"/>
    <d v="2012-04-27T00:00:00"/>
    <n v="30000"/>
    <x v="2"/>
    <d v="2012-04-27T00:00:00"/>
    <s v="Y"/>
    <s v="PTR"/>
    <s v="DISMISSED"/>
    <n v="5"/>
    <n v="142"/>
    <n v="0"/>
    <n v="1"/>
    <m/>
    <m/>
    <m/>
    <m/>
    <m/>
    <m/>
    <m/>
    <m/>
    <m/>
    <d v="1988-03-08T00:00:00"/>
    <s v="F"/>
    <s v="B"/>
    <s v="BLACK"/>
    <s v="NULL"/>
    <s v="178"/>
    <s v="DISMISSED"/>
    <n v="8"/>
    <s v="DISMISSED"/>
    <m/>
    <m/>
    <m/>
    <s v="AGG ASSAULT-FAMILY MEMBER"/>
    <m/>
    <s v="F2"/>
    <s v="ASLT-MURDR"/>
    <m/>
    <m/>
    <m/>
    <m/>
    <m/>
    <m/>
    <m/>
    <m/>
    <m/>
    <s v="Appointed Attorney"/>
    <m/>
    <m/>
    <n v="5"/>
    <n v="142"/>
    <n v="142"/>
    <n v="24.076502732240439"/>
    <n v="0"/>
    <n v="-137"/>
    <s v="NO CONVICTION"/>
    <x v="2"/>
    <s v="Y"/>
    <m/>
    <s v="NO CONVICTION"/>
    <s v="Y"/>
    <x v="1"/>
    <x v="0"/>
    <s v="N"/>
    <n v="3.5211267605633804E-2"/>
    <n v="3.5211267605633804E-2"/>
    <n v="0"/>
    <n v="0"/>
    <n v="-5"/>
    <n v="0"/>
    <n v="5"/>
    <e v="#VALUE!"/>
    <n v="5"/>
    <n v="0"/>
    <m/>
    <m/>
    <s v="Y"/>
    <m/>
    <s v="0-10 DAYS"/>
    <n v="1"/>
    <x v="0"/>
  </r>
  <r>
    <n v="2170"/>
    <s v="N"/>
    <s v="Y"/>
    <n v="2332159"/>
    <n v="2"/>
    <d v="2012-03-22T00:00:00"/>
    <d v="2012-08-28T00:00:00"/>
    <n v="2332159"/>
    <d v="2012-03-22T00:00:00"/>
    <d v="2012-03-30T00:00:00"/>
    <n v="10000"/>
    <x v="3"/>
    <d v="2012-03-30T00:00:00"/>
    <s v="Y"/>
    <s v="SURETY"/>
    <s v="DEFERRED ADJUDICATION "/>
    <n v="80"/>
    <n v="160"/>
    <n v="2"/>
    <n v="1"/>
    <m/>
    <m/>
    <m/>
    <m/>
    <m/>
    <m/>
    <m/>
    <m/>
    <m/>
    <d v="1988-11-17T00:00:00"/>
    <s v="M"/>
    <s v="B"/>
    <s v="BLACK"/>
    <s v="NON-HISPANIC"/>
    <s v="176"/>
    <s v="DEFERRED"/>
    <n v="8"/>
    <s v="DEFERRED"/>
    <m/>
    <m/>
    <m/>
    <s v="FELON POSS WPN"/>
    <m/>
    <s v="F3"/>
    <s v="OTHER FEL"/>
    <m/>
    <s v="rev 6/19/12"/>
    <m/>
    <m/>
    <s v="Y"/>
    <m/>
    <m/>
    <m/>
    <m/>
    <s v="Hired Attorney"/>
    <m/>
    <m/>
    <n v="80"/>
    <n v="160"/>
    <n v="160"/>
    <n v="23.295081967213115"/>
    <n v="0"/>
    <n v="-151"/>
    <s v="DEFERRED"/>
    <x v="1"/>
    <s v="Y"/>
    <m/>
    <s v="DEFERRED"/>
    <s v="Y"/>
    <x v="0"/>
    <x v="0"/>
    <s v="Y"/>
    <n v="0.5"/>
    <n v="5.6250000000000001E-2"/>
    <n v="-0.44374999999999998"/>
    <n v="0"/>
    <n v="-9"/>
    <n v="71"/>
    <n v="160"/>
    <n v="80"/>
    <n v="160"/>
    <n v="151"/>
    <m/>
    <m/>
    <s v="Y"/>
    <m/>
    <s v="61-90 DAYS"/>
    <n v="4"/>
    <x v="0"/>
  </r>
  <r>
    <n v="229"/>
    <s v="N"/>
    <s v="N"/>
    <n v="2332995"/>
    <n v="6"/>
    <d v="2012-01-10T00:00:00"/>
    <d v="2012-08-08T00:00:00"/>
    <n v="2332995"/>
    <d v="2012-01-11T00:00:00"/>
    <d v="2012-02-24T00:00:00"/>
    <n v="30000"/>
    <x v="2"/>
    <d v="2012-02-24T00:00:00"/>
    <s v="Y"/>
    <s v="SURETY"/>
    <s v="GUILTY PLEA - NO JURY"/>
    <n v="45"/>
    <n v="212"/>
    <n v="0"/>
    <n v="1"/>
    <m/>
    <m/>
    <m/>
    <m/>
    <m/>
    <m/>
    <m/>
    <m/>
    <m/>
    <d v="1968-01-08T00:00:00"/>
    <s v="M"/>
    <s v="W"/>
    <s v="WHITE"/>
    <s v="NULL"/>
    <s v="208"/>
    <s v="CONVICTED"/>
    <n v="10"/>
    <s v="TDC"/>
    <n v="5"/>
    <m/>
    <m/>
    <s v="INDECENCY CHILD-TG"/>
    <m/>
    <s v="F2"/>
    <s v="SEX ABUSE"/>
    <m/>
    <m/>
    <m/>
    <m/>
    <m/>
    <m/>
    <m/>
    <m/>
    <m/>
    <s v="Hired Attorney"/>
    <m/>
    <m/>
    <n v="45"/>
    <n v="211"/>
    <n v="212"/>
    <n v="43.915300546448087"/>
    <n v="0"/>
    <n v="-166"/>
    <s v="CONVICTION"/>
    <x v="1"/>
    <s v="Y"/>
    <m/>
    <s v="CONVICTION"/>
    <s v="Y"/>
    <x v="1"/>
    <x v="0"/>
    <s v="N"/>
    <n v="0.21226415094339623"/>
    <n v="0.2132701421800948"/>
    <n v="1.0059912366985613E-3"/>
    <n v="0"/>
    <n v="-45"/>
    <n v="0"/>
    <n v="45"/>
    <e v="#VALUE!"/>
    <n v="45"/>
    <n v="0"/>
    <m/>
    <m/>
    <s v="Y"/>
    <m/>
    <s v="31-60 DAYS"/>
    <n v="3"/>
    <x v="0"/>
  </r>
  <r>
    <n v="1701"/>
    <s v="N"/>
    <s v="N"/>
    <n v="2333175"/>
    <n v="2"/>
    <d v="2012-03-04T00:00:00"/>
    <d v="2012-03-05T00:00:00"/>
    <n v="2333175"/>
    <s v="NOT BOOKED"/>
    <s v="NOT BOOKED"/>
    <n v="20000"/>
    <x v="0"/>
    <d v="2012-03-04T00:00:00"/>
    <s v="Y"/>
    <s v="SURETY"/>
    <s v="DEFERRED ADJUDICATION "/>
    <n v="0"/>
    <n v="2"/>
    <n v="0"/>
    <n v="4"/>
    <m/>
    <m/>
    <m/>
    <m/>
    <m/>
    <m/>
    <m/>
    <m/>
    <m/>
    <d v="1989-12-26T00:00:00"/>
    <s v="M"/>
    <s v="B"/>
    <s v="BLACK"/>
    <s v="NULL"/>
    <s v="228"/>
    <s v="DEFERRED"/>
    <n v="1"/>
    <s v="DEFERRED"/>
    <m/>
    <m/>
    <m/>
    <s v="POSS CS PG 1 4G - 200G"/>
    <m/>
    <s v="F2"/>
    <s v="POSS DRUG"/>
    <m/>
    <m/>
    <m/>
    <m/>
    <m/>
    <m/>
    <m/>
    <m/>
    <m/>
    <s v="Appointed Attorney"/>
    <m/>
    <m/>
    <n v="0"/>
    <n v="0"/>
    <n v="2"/>
    <n v="22.142076502732241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2353"/>
    <s v="N"/>
    <s v="N"/>
    <n v="2333276"/>
    <n v="4"/>
    <d v="2012-03-29T00:00:00"/>
    <d v="2012-04-26T00:00:00"/>
    <n v="2333276"/>
    <d v="2012-04-19T00:00:00"/>
    <d v="2012-04-26T00:00:00"/>
    <n v="2000"/>
    <x v="5"/>
    <m/>
    <s v="N"/>
    <s v="NONE"/>
    <s v="GUILTY PLEA - NO JURY"/>
    <n v="8"/>
    <n v="29"/>
    <n v="0"/>
    <n v="4"/>
    <m/>
    <m/>
    <m/>
    <m/>
    <m/>
    <m/>
    <m/>
    <m/>
    <m/>
    <d v="1987-04-10T00:00:00"/>
    <s v="M"/>
    <s v="B"/>
    <s v="BLACK"/>
    <s v="NULL"/>
    <s v="184"/>
    <s v="CONVICTED"/>
    <n v="3"/>
    <s v="HCJ"/>
    <m/>
    <m/>
    <n v="120"/>
    <s v="FORGERY"/>
    <m/>
    <s v="FS"/>
    <s v="OTHER FEL"/>
    <m/>
    <m/>
    <m/>
    <m/>
    <m/>
    <m/>
    <m/>
    <m/>
    <m/>
    <s v="Appointed Attorney"/>
    <m/>
    <m/>
    <n v="8"/>
    <n v="8"/>
    <n v="29"/>
    <n v="24.918032786885245"/>
    <n v="0"/>
    <n v="0"/>
    <s v="CONVICTION"/>
    <x v="0"/>
    <s v="N"/>
    <m/>
    <s v="CONVICTION"/>
    <s v="Y"/>
    <x v="0"/>
    <x v="0"/>
    <s v="N"/>
    <n v="0.27586206896551724"/>
    <n v="1"/>
    <n v="0.72413793103448276"/>
    <n v="0"/>
    <n v="-8"/>
    <n v="0"/>
    <n v="8"/>
    <e v="#VALUE!"/>
    <n v="8"/>
    <n v="0"/>
    <m/>
    <m/>
    <s v="Y"/>
    <m/>
    <s v="0-10 DAYS"/>
    <n v="1"/>
    <x v="0"/>
  </r>
  <r>
    <n v="1421"/>
    <s v="N"/>
    <s v="N"/>
    <n v="2335000"/>
    <n v="6"/>
    <d v="2012-02-22T00:00:00"/>
    <d v="2012-08-15T00:00:00"/>
    <n v="2335000"/>
    <d v="2012-02-24T00:00:00"/>
    <d v="2012-02-29T00:00:00"/>
    <n v="30000"/>
    <x v="2"/>
    <d v="2012-02-29T00:00:00"/>
    <s v="Y"/>
    <s v="SURETY"/>
    <s v="GUILTY PLEA - NO JURY"/>
    <n v="6"/>
    <n v="176"/>
    <n v="0"/>
    <n v="0"/>
    <m/>
    <m/>
    <m/>
    <m/>
    <m/>
    <m/>
    <m/>
    <m/>
    <m/>
    <d v="1990-06-27T00:00:00"/>
    <s v="M"/>
    <s v="B"/>
    <s v="BLACK"/>
    <s v="NULL"/>
    <s v="185"/>
    <s v="CONVICTED"/>
    <n v="11"/>
    <s v="TDC"/>
    <n v="9"/>
    <m/>
    <m/>
    <s v="BURGLARY OF HABITATION"/>
    <m/>
    <s v="F2"/>
    <s v="BURGLARY"/>
    <s v="misd dwi   fel weapon pend"/>
    <m/>
    <m/>
    <m/>
    <m/>
    <m/>
    <m/>
    <m/>
    <m/>
    <s v="Hired Attorney"/>
    <m/>
    <m/>
    <n v="6"/>
    <n v="174"/>
    <n v="176"/>
    <n v="21.612021857923498"/>
    <n v="0"/>
    <n v="-168"/>
    <s v="CONVICTION"/>
    <x v="1"/>
    <s v="Y"/>
    <m/>
    <s v="CONVICTION"/>
    <s v="Y"/>
    <x v="1"/>
    <x v="0"/>
    <s v="N"/>
    <n v="3.4090909090909088E-2"/>
    <n v="3.4482758620689655E-2"/>
    <n v="3.9184952978056631E-4"/>
    <n v="0"/>
    <n v="-6"/>
    <n v="0"/>
    <n v="6"/>
    <e v="#VALUE!"/>
    <n v="6"/>
    <n v="0"/>
    <m/>
    <m/>
    <s v="N"/>
    <m/>
    <s v="0-10 DAYS"/>
    <n v="1"/>
    <x v="0"/>
  </r>
  <r>
    <n v="3205"/>
    <s v="N"/>
    <s v="N"/>
    <n v="2335505"/>
    <n v="4"/>
    <d v="2012-04-27T00:00:00"/>
    <d v="2012-09-14T00:00:00"/>
    <n v="2335505"/>
    <d v="2012-04-28T00:00:00"/>
    <d v="2012-05-02T00:00:00"/>
    <n v="20000"/>
    <x v="0"/>
    <d v="2012-05-02T00:00:00"/>
    <s v="Y"/>
    <s v="SURETY"/>
    <s v="GUILTY PLEA - NO JURY"/>
    <n v="5"/>
    <n v="141"/>
    <n v="1"/>
    <n v="0"/>
    <n v="1"/>
    <m/>
    <m/>
    <m/>
    <m/>
    <m/>
    <m/>
    <m/>
    <m/>
    <d v="1982-09-09T00:00:00"/>
    <s v="M"/>
    <s v="B"/>
    <s v="BLACK"/>
    <s v="NULL"/>
    <s v="185"/>
    <s v="CONVICTED"/>
    <n v="8"/>
    <s v="HCJ"/>
    <m/>
    <m/>
    <n v="365"/>
    <s v="BURGLARY OF HABITATION"/>
    <m/>
    <s v="F2"/>
    <s v="BURGLARY"/>
    <m/>
    <m/>
    <m/>
    <m/>
    <m/>
    <m/>
    <m/>
    <m/>
    <m/>
    <s v="Appointed Attorney"/>
    <m/>
    <m/>
    <n v="5"/>
    <n v="140"/>
    <n v="141"/>
    <n v="29.571038251366119"/>
    <n v="0"/>
    <n v="-135"/>
    <s v="CONVICTION"/>
    <x v="1"/>
    <s v="Y"/>
    <m/>
    <s v="CONVICTION"/>
    <s v="Y"/>
    <x v="1"/>
    <x v="0"/>
    <s v="Y"/>
    <n v="3.5460992907801421E-2"/>
    <n v="3.5714285714285712E-2"/>
    <n v="2.5329280648429126E-4"/>
    <n v="0"/>
    <n v="-5"/>
    <n v="0"/>
    <n v="5"/>
    <e v="#VALUE!"/>
    <n v="5"/>
    <n v="0"/>
    <m/>
    <m/>
    <s v="Y"/>
    <m/>
    <s v="0-10 DAYS"/>
    <n v="1"/>
    <x v="0"/>
  </r>
  <r>
    <n v="2473"/>
    <s v="N"/>
    <s v="N"/>
    <n v="2335650"/>
    <n v="1"/>
    <d v="2012-04-03T00:00:00"/>
    <d v="2012-05-31T00:00:00"/>
    <n v="2335650"/>
    <d v="2012-04-03T00:00:00"/>
    <d v="2012-04-10T00:00:00"/>
    <n v="10000"/>
    <x v="3"/>
    <d v="2012-04-10T00:00:00"/>
    <s v="Y"/>
    <s v="SURETY"/>
    <s v="DISMISSED"/>
    <n v="8"/>
    <n v="59"/>
    <n v="0"/>
    <n v="3"/>
    <m/>
    <m/>
    <m/>
    <m/>
    <m/>
    <m/>
    <m/>
    <s v="S"/>
    <m/>
    <d v="1987-09-26T00:00:00"/>
    <s v="M"/>
    <s v="H"/>
    <s v="HISPANIC"/>
    <s v="NULL"/>
    <s v="176"/>
    <s v="DISMISSED"/>
    <n v="4"/>
    <s v="DISMISSED"/>
    <m/>
    <m/>
    <m/>
    <s v="BURGLARY OF HABITATION"/>
    <m/>
    <s v="F2"/>
    <s v="BURGLARY"/>
    <m/>
    <m/>
    <m/>
    <m/>
    <m/>
    <m/>
    <m/>
    <m/>
    <m/>
    <s v="Appointed Attorney"/>
    <m/>
    <m/>
    <n v="8"/>
    <n v="59"/>
    <n v="59"/>
    <n v="24.469945355191257"/>
    <n v="0"/>
    <n v="-51"/>
    <s v="NO CONVICTION"/>
    <x v="1"/>
    <s v="Y"/>
    <m/>
    <s v="NO CONVICTION"/>
    <s v="Y"/>
    <x v="1"/>
    <x v="0"/>
    <s v="N"/>
    <n v="0.13559322033898305"/>
    <n v="0.13559322033898305"/>
    <n v="0"/>
    <n v="0"/>
    <n v="-8"/>
    <n v="0"/>
    <n v="8"/>
    <e v="#VALUE!"/>
    <n v="8"/>
    <n v="0"/>
    <m/>
    <m/>
    <s v="Y"/>
    <m/>
    <s v="0-10 DAYS"/>
    <n v="1"/>
    <x v="0"/>
  </r>
  <r>
    <n v="1487"/>
    <s v="N"/>
    <s v="N"/>
    <n v="2335769"/>
    <n v="6"/>
    <d v="2012-02-24T00:00:00"/>
    <d v="2012-03-22T00:00:00"/>
    <n v="2335769"/>
    <d v="2012-02-24T00:00:00"/>
    <d v="2012-03-22T00:00:00"/>
    <s v="NO BOND"/>
    <x v="1"/>
    <m/>
    <s v="N"/>
    <s v="NONE"/>
    <s v="GUILTY PLEA - NO JURY"/>
    <n v="28"/>
    <n v="28"/>
    <n v="2"/>
    <n v="6"/>
    <n v="1"/>
    <m/>
    <m/>
    <m/>
    <m/>
    <m/>
    <m/>
    <s v="S"/>
    <m/>
    <d v="1987-06-05T00:00:00"/>
    <s v="M"/>
    <s v="H"/>
    <s v="HISPANIC"/>
    <s v="NON-HISPANIC"/>
    <s v="179"/>
    <s v="CONVICTED"/>
    <n v="2"/>
    <s v="TDC"/>
    <n v="2"/>
    <m/>
    <m/>
    <s v="FELON POSS WPN"/>
    <m/>
    <s v="F3"/>
    <s v="OTHER FEL"/>
    <m/>
    <m/>
    <m/>
    <m/>
    <m/>
    <m/>
    <m/>
    <m/>
    <m/>
    <s v="Appointed Attorney"/>
    <m/>
    <m/>
    <n v="28"/>
    <n v="28"/>
    <n v="28"/>
    <n v="24.672131147540984"/>
    <n v="0"/>
    <n v="0"/>
    <s v="CONVICTION"/>
    <x v="0"/>
    <s v="N"/>
    <m/>
    <s v="CONVICTION"/>
    <s v="Y"/>
    <x v="0"/>
    <x v="0"/>
    <s v="Y"/>
    <n v="1"/>
    <n v="1"/>
    <n v="0"/>
    <n v="0"/>
    <n v="-28"/>
    <n v="0"/>
    <n v="28"/>
    <e v="#VALUE!"/>
    <n v="28"/>
    <n v="0"/>
    <m/>
    <m/>
    <s v="Y"/>
    <m/>
    <s v="11-30 DAYS"/>
    <n v="2"/>
    <x v="0"/>
  </r>
  <r>
    <n v="3021"/>
    <s v="N"/>
    <s v="N"/>
    <n v="2336028"/>
    <n v="6"/>
    <d v="2012-04-21T00:00:00"/>
    <d v="2012-05-24T00:00:00"/>
    <n v="2336028"/>
    <d v="2012-04-22T00:00:00"/>
    <d v="2012-05-24T00:00:00"/>
    <n v="20000"/>
    <x v="0"/>
    <m/>
    <s v="N"/>
    <s v="NONE"/>
    <s v="GUILTY PLEA - NO JURY"/>
    <n v="33"/>
    <n v="34"/>
    <n v="2"/>
    <n v="0"/>
    <n v="1"/>
    <m/>
    <m/>
    <m/>
    <m/>
    <m/>
    <m/>
    <m/>
    <m/>
    <d v="1977-07-27T00:00:00"/>
    <s v="M"/>
    <s v="B"/>
    <s v="BLACK"/>
    <s v="NULL"/>
    <s v="178"/>
    <s v="CONVICTED"/>
    <n v="2"/>
    <s v="TDC"/>
    <n v="2"/>
    <m/>
    <m/>
    <s v="BURGLARY OF HABITATION"/>
    <m/>
    <s v="F2"/>
    <s v="BURGLARY"/>
    <m/>
    <m/>
    <m/>
    <m/>
    <m/>
    <m/>
    <m/>
    <m/>
    <m/>
    <s v="Appointed Attorney"/>
    <m/>
    <m/>
    <n v="33"/>
    <n v="33"/>
    <n v="34"/>
    <n v="34.66393442622951"/>
    <n v="0"/>
    <n v="0"/>
    <s v="CONVICTION"/>
    <x v="0"/>
    <s v="N"/>
    <m/>
    <s v="CONVICTION"/>
    <s v="Y"/>
    <x v="0"/>
    <x v="0"/>
    <s v="Y"/>
    <n v="0.97058823529411764"/>
    <n v="1"/>
    <n v="2.9411764705882359E-2"/>
    <n v="0"/>
    <n v="-33"/>
    <n v="0"/>
    <n v="33"/>
    <e v="#VALUE!"/>
    <n v="33"/>
    <n v="0"/>
    <m/>
    <m/>
    <s v="Y"/>
    <m/>
    <s v="31-60 DAYS"/>
    <n v="3"/>
    <x v="0"/>
  </r>
  <r>
    <n v="2076"/>
    <s v="Y"/>
    <s v="N"/>
    <n v="2336243"/>
    <n v="1"/>
    <d v="2012-03-19T00:00:00"/>
    <d v="2012-10-12T00:00:00"/>
    <n v="2336243"/>
    <d v="2012-03-20T00:00:00"/>
    <d v="2012-10-12T00:00:00"/>
    <s v="NO BOND"/>
    <x v="1"/>
    <m/>
    <s v="N"/>
    <s v="NONE"/>
    <s v="DISMISSED"/>
    <n v="207"/>
    <n v="208"/>
    <n v="1"/>
    <n v="1"/>
    <n v="1"/>
    <m/>
    <m/>
    <m/>
    <m/>
    <m/>
    <m/>
    <m/>
    <m/>
    <d v="1972-12-03T00:00:00"/>
    <s v="M"/>
    <s v="B"/>
    <s v="BLACK"/>
    <s v="NULL"/>
    <s v="185"/>
    <s v="DISMISSED"/>
    <n v="10"/>
    <s v="DISMISSED"/>
    <m/>
    <m/>
    <m/>
    <s v="INJURY CHILD UNDER 15 B/INJURY"/>
    <m/>
    <s v="F3"/>
    <s v="OTHER FEL"/>
    <m/>
    <m/>
    <m/>
    <m/>
    <m/>
    <m/>
    <m/>
    <m/>
    <m/>
    <s v="Appointed Attorney"/>
    <s v="m theft 12/11/12  2f pend"/>
    <m/>
    <n v="207"/>
    <n v="207"/>
    <n v="208"/>
    <n v="39.210382513661202"/>
    <n v="0"/>
    <n v="0"/>
    <s v="NO CONVICTION"/>
    <x v="0"/>
    <s v="N"/>
    <m/>
    <s v="NO CONVICTION"/>
    <s v="Y"/>
    <x v="0"/>
    <x v="0"/>
    <s v="Y"/>
    <n v="0.99519230769230771"/>
    <n v="1"/>
    <n v="4.8076923076922906E-3"/>
    <n v="0"/>
    <n v="-207"/>
    <n v="0"/>
    <n v="207"/>
    <e v="#VALUE!"/>
    <n v="207"/>
    <n v="0"/>
    <m/>
    <m/>
    <s v="Y"/>
    <m/>
    <s v="121-365 DAYS"/>
    <n v="6"/>
    <x v="0"/>
  </r>
  <r>
    <n v="1026"/>
    <s v="N"/>
    <s v="N"/>
    <n v="2336593"/>
    <n v="5"/>
    <d v="2012-02-08T00:00:00"/>
    <d v="2012-02-10T00:00:00"/>
    <n v="2336593"/>
    <d v="2012-02-08T00:00:00"/>
    <d v="2012-02-10T00:00:00"/>
    <n v="15000"/>
    <x v="0"/>
    <m/>
    <s v="N"/>
    <s v="NONE"/>
    <s v="GUILTY PLEA - NO JURY"/>
    <n v="3"/>
    <n v="3"/>
    <n v="2"/>
    <n v="9"/>
    <n v="2"/>
    <m/>
    <m/>
    <m/>
    <m/>
    <m/>
    <m/>
    <m/>
    <m/>
    <d v="1988-11-02T00:00:00"/>
    <s v="M"/>
    <s v="H"/>
    <s v="HISPANIC"/>
    <s v="HISPANIC"/>
    <s v="262"/>
    <s v="CONVICTED"/>
    <n v="2"/>
    <s v="STJ"/>
    <m/>
    <n v="6"/>
    <m/>
    <s v="MAN/DEL CS PG I &lt;1GRAM"/>
    <m/>
    <s v="FS"/>
    <s v="SALE DRUG"/>
    <m/>
    <m/>
    <m/>
    <m/>
    <m/>
    <m/>
    <m/>
    <m/>
    <m/>
    <s v="Appointed Attorney"/>
    <m/>
    <m/>
    <n v="3"/>
    <n v="3"/>
    <n v="3"/>
    <n v="23.218579234972676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1908"/>
    <s v="N"/>
    <s v="N"/>
    <n v="2336757"/>
    <n v="5"/>
    <d v="2012-03-11T00:00:00"/>
    <d v="2012-06-26T00:00:00"/>
    <n v="2336757"/>
    <d v="2012-03-12T00:00:00"/>
    <d v="2012-06-26T00:00:00"/>
    <n v="15000"/>
    <x v="0"/>
    <m/>
    <s v="N"/>
    <s v="NONE"/>
    <s v="GUILTY PLEA - NO JURY"/>
    <n v="107"/>
    <n v="108"/>
    <n v="4"/>
    <n v="5"/>
    <n v="3"/>
    <m/>
    <m/>
    <m/>
    <m/>
    <m/>
    <m/>
    <m/>
    <m/>
    <d v="1973-08-23T00:00:00"/>
    <s v="M"/>
    <s v="B"/>
    <s v="BLACK"/>
    <s v="NULL"/>
    <s v="351"/>
    <s v="CONVICTED"/>
    <n v="7"/>
    <s v="STJ"/>
    <m/>
    <n v="7"/>
    <m/>
    <s v="THEFT UNDER $1500 - 3RD OFF."/>
    <m/>
    <s v="FS"/>
    <s v="THEFT"/>
    <m/>
    <m/>
    <m/>
    <m/>
    <m/>
    <m/>
    <m/>
    <m/>
    <m/>
    <s v="Appointed Attorney"/>
    <m/>
    <m/>
    <n v="107"/>
    <n v="107"/>
    <n v="108"/>
    <n v="38.469945355191257"/>
    <n v="0"/>
    <n v="0"/>
    <s v="CONVICTION"/>
    <x v="0"/>
    <s v="N"/>
    <m/>
    <s v="CONVICTION"/>
    <s v="Y"/>
    <x v="0"/>
    <x v="0"/>
    <s v="Y"/>
    <n v="0.9907407407407407"/>
    <n v="1"/>
    <n v="9.2592592592593004E-3"/>
    <n v="0"/>
    <n v="-107"/>
    <n v="0"/>
    <n v="107"/>
    <e v="#VALUE!"/>
    <n v="107"/>
    <n v="0"/>
    <m/>
    <m/>
    <s v="Y"/>
    <m/>
    <s v="91-120 DAYS"/>
    <n v="0"/>
    <x v="0"/>
  </r>
  <r>
    <n v="21"/>
    <s v="N"/>
    <s v="N"/>
    <n v="2339390"/>
    <n v="1"/>
    <d v="2012-01-02T00:00:00"/>
    <d v="2012-01-18T00:00:00"/>
    <n v="2339390"/>
    <d v="2012-01-02T00:00:00"/>
    <d v="2012-01-18T00:00:00"/>
    <s v="NO BOND"/>
    <x v="1"/>
    <m/>
    <s v="N"/>
    <s v="NONE"/>
    <s v="DISMISSED"/>
    <n v="17"/>
    <n v="17"/>
    <n v="1"/>
    <n v="1"/>
    <m/>
    <n v="1"/>
    <m/>
    <m/>
    <m/>
    <m/>
    <m/>
    <m/>
    <m/>
    <d v="1990-02-05T00:00:00"/>
    <s v="M"/>
    <s v="B"/>
    <s v="BLACK"/>
    <s v="NULL"/>
    <s v="208"/>
    <s v="DISMISSED"/>
    <n v="3"/>
    <s v="DISMISSED"/>
    <m/>
    <m/>
    <m/>
    <s v="AGG ASSLT AGAINST PB SERVANT"/>
    <m/>
    <s v="F1"/>
    <s v="ASLT-MURDR"/>
    <m/>
    <m/>
    <m/>
    <m/>
    <m/>
    <m/>
    <m/>
    <m/>
    <m/>
    <s v="Other/Unknown"/>
    <m/>
    <m/>
    <n v="17"/>
    <n v="17"/>
    <n v="17"/>
    <n v="21.860655737704917"/>
    <n v="0"/>
    <n v="0"/>
    <s v="NO CONVICTION"/>
    <x v="0"/>
    <s v="N"/>
    <m/>
    <s v="NO CONVICTION"/>
    <s v="Y"/>
    <x v="0"/>
    <x v="0"/>
    <s v="Y"/>
    <n v="1"/>
    <n v="1"/>
    <n v="0"/>
    <n v="0"/>
    <n v="-17"/>
    <n v="0"/>
    <n v="17"/>
    <e v="#VALUE!"/>
    <n v="17"/>
    <n v="0"/>
    <m/>
    <m/>
    <s v="Y"/>
    <m/>
    <s v="11-30 DAYS"/>
    <n v="2"/>
    <x v="0"/>
  </r>
  <r>
    <n v="728"/>
    <s v="N"/>
    <s v="N"/>
    <n v="2339589"/>
    <n v="4"/>
    <d v="2012-01-29T00:00:00"/>
    <d v="2012-05-09T00:00:00"/>
    <n v="2339589"/>
    <d v="2012-01-29T00:00:00"/>
    <d v="2012-05-09T00:00:00"/>
    <n v="15000"/>
    <x v="0"/>
    <m/>
    <s v="N"/>
    <s v="NONE"/>
    <s v="GUILTY PLEA - NO JURY"/>
    <n v="102"/>
    <n v="102"/>
    <n v="1"/>
    <n v="0"/>
    <n v="1"/>
    <m/>
    <m/>
    <m/>
    <m/>
    <m/>
    <m/>
    <m/>
    <m/>
    <d v="1988-07-19T00:00:00"/>
    <s v="M"/>
    <s v="H"/>
    <s v="HISPANIC"/>
    <s v="HISPANIC"/>
    <s v="263"/>
    <s v="CONVICTED"/>
    <n v="6"/>
    <s v="HCJ"/>
    <m/>
    <m/>
    <n v="180"/>
    <s v="POSS CS PG 1 &lt;1G"/>
    <m/>
    <s v="FS"/>
    <s v="POSS DRUG"/>
    <s v="fel evade 1/22/13 st j 6 mos"/>
    <m/>
    <m/>
    <m/>
    <m/>
    <m/>
    <m/>
    <m/>
    <m/>
    <s v="Appointed Attorney"/>
    <m/>
    <m/>
    <n v="102"/>
    <n v="102"/>
    <n v="102"/>
    <n v="23.480874316939889"/>
    <n v="0"/>
    <n v="0"/>
    <s v="CONVICTION"/>
    <x v="0"/>
    <s v="N"/>
    <m/>
    <s v="CONVICTION"/>
    <s v="Y"/>
    <x v="0"/>
    <x v="0"/>
    <s v="Y"/>
    <n v="1"/>
    <n v="1"/>
    <n v="0"/>
    <n v="0"/>
    <n v="-102"/>
    <n v="0"/>
    <n v="102"/>
    <e v="#VALUE!"/>
    <n v="102"/>
    <n v="0"/>
    <m/>
    <m/>
    <s v="Y"/>
    <m/>
    <s v="91-120 DAYS"/>
    <n v="0"/>
    <x v="0"/>
  </r>
  <r>
    <n v="1225"/>
    <s v="N"/>
    <s v="N"/>
    <n v="2339885"/>
    <n v="4"/>
    <d v="2012-02-14T00:00:00"/>
    <d v="2012-05-02T00:00:00"/>
    <n v="2339885"/>
    <d v="2012-02-15T00:00:00"/>
    <d v="2012-05-02T00:00:00"/>
    <n v="25000"/>
    <x v="2"/>
    <m/>
    <s v="N"/>
    <s v="NONE"/>
    <s v="GUILTY PLEA - NO JURY"/>
    <n v="78"/>
    <n v="79"/>
    <n v="3"/>
    <n v="4"/>
    <n v="1"/>
    <m/>
    <m/>
    <m/>
    <m/>
    <m/>
    <m/>
    <m/>
    <m/>
    <d v="1979-04-21T00:00:00"/>
    <s v="M"/>
    <s v="W"/>
    <s v="WHITE"/>
    <s v="NON-HISPANIC"/>
    <s v="262"/>
    <s v="CONVICTED"/>
    <n v="5"/>
    <s v="HCJ"/>
    <m/>
    <m/>
    <n v="270"/>
    <s v="ATT TAMPER WITH PHYSICAL EVIDE"/>
    <m/>
    <s v="FS"/>
    <s v="OTHER FEL"/>
    <m/>
    <m/>
    <m/>
    <m/>
    <m/>
    <m/>
    <m/>
    <m/>
    <m/>
    <s v="Appointed Attorney"/>
    <m/>
    <m/>
    <n v="78"/>
    <n v="78"/>
    <n v="79"/>
    <n v="32.751366120218577"/>
    <n v="0"/>
    <n v="0"/>
    <s v="CONVICTION"/>
    <x v="0"/>
    <s v="N"/>
    <m/>
    <s v="CONVICTION"/>
    <s v="Y"/>
    <x v="0"/>
    <x v="0"/>
    <s v="Y"/>
    <n v="0.98734177215189878"/>
    <n v="1"/>
    <n v="1.2658227848101222E-2"/>
    <n v="0"/>
    <n v="-78"/>
    <n v="0"/>
    <n v="78"/>
    <e v="#VALUE!"/>
    <n v="78"/>
    <n v="0"/>
    <m/>
    <m/>
    <s v="Y"/>
    <m/>
    <s v="61-90 DAYS"/>
    <n v="4"/>
    <x v="0"/>
  </r>
  <r>
    <n v="2034"/>
    <s v="N"/>
    <s v="N"/>
    <n v="2339953"/>
    <n v="1"/>
    <d v="2012-03-17T00:00:00"/>
    <d v="2012-07-10T00:00:00"/>
    <n v="2339953"/>
    <d v="2012-03-17T00:00:00"/>
    <d v="2012-05-05T00:00:00"/>
    <n v="15000"/>
    <x v="0"/>
    <d v="2012-05-05T00:00:00"/>
    <s v="Y"/>
    <s v="SURETY"/>
    <s v="DISMISSED"/>
    <n v="50"/>
    <n v="116"/>
    <n v="0"/>
    <n v="1"/>
    <m/>
    <m/>
    <m/>
    <m/>
    <m/>
    <m/>
    <m/>
    <m/>
    <m/>
    <d v="1979-10-17T00:00:00"/>
    <s v="F"/>
    <s v="W"/>
    <s v="WHITE"/>
    <s v="NON-HISPANIC"/>
    <s v="263"/>
    <s v="DISMISSED"/>
    <n v="6"/>
    <s v="DISMISSED"/>
    <m/>
    <m/>
    <m/>
    <s v="ENDANGERING A CHILD"/>
    <m/>
    <s v="FS"/>
    <s v="OTHER FEL"/>
    <m/>
    <m/>
    <m/>
    <m/>
    <m/>
    <m/>
    <m/>
    <m/>
    <m/>
    <s v="Appointed Attorney"/>
    <m/>
    <m/>
    <n v="50"/>
    <n v="116"/>
    <n v="116"/>
    <n v="32.349726775956285"/>
    <n v="0"/>
    <n v="-66"/>
    <s v="NO CONVICTION"/>
    <x v="1"/>
    <s v="Y"/>
    <m/>
    <s v="NO CONVICTION"/>
    <s v="Y"/>
    <x v="1"/>
    <x v="0"/>
    <s v="N"/>
    <n v="0.43103448275862066"/>
    <n v="0.43103448275862066"/>
    <n v="0"/>
    <n v="0"/>
    <n v="-50"/>
    <n v="0"/>
    <n v="50"/>
    <e v="#VALUE!"/>
    <n v="50"/>
    <n v="0"/>
    <m/>
    <m/>
    <s v="Y"/>
    <m/>
    <s v="31-60 DAYS"/>
    <n v="3"/>
    <x v="0"/>
  </r>
  <r>
    <n v="1174"/>
    <s v="N"/>
    <s v="N"/>
    <n v="2340053"/>
    <n v="2"/>
    <d v="2012-02-12T00:00:00"/>
    <d v="2012-05-25T00:00:00"/>
    <n v="2340053"/>
    <d v="2012-02-12T00:00:00"/>
    <d v="2012-02-13T00:00:00"/>
    <n v="5000"/>
    <x v="4"/>
    <d v="2012-02-13T00:00:00"/>
    <s v="Y"/>
    <s v="SURETY"/>
    <s v="DEFERRED ADJUDICATION "/>
    <n v="2"/>
    <n v="104"/>
    <n v="1"/>
    <n v="2"/>
    <m/>
    <m/>
    <m/>
    <m/>
    <m/>
    <m/>
    <m/>
    <m/>
    <m/>
    <d v="1989-07-10T00:00:00"/>
    <s v="F"/>
    <s v="B"/>
    <s v="BLACK"/>
    <s v="NULL"/>
    <s v="208"/>
    <s v="DEFERRED"/>
    <n v="6"/>
    <s v="DEFERRED"/>
    <m/>
    <m/>
    <m/>
    <s v="POSS CS PG 1 &lt;1G"/>
    <m/>
    <s v="FS"/>
    <s v="POSS DRUG"/>
    <m/>
    <m/>
    <m/>
    <m/>
    <m/>
    <m/>
    <m/>
    <m/>
    <m/>
    <s v="Appointed Attorney"/>
    <m/>
    <m/>
    <n v="2"/>
    <n v="104"/>
    <n v="104"/>
    <n v="22.546448087431695"/>
    <n v="0"/>
    <n v="-102"/>
    <s v="DEFERRED"/>
    <x v="1"/>
    <s v="Y"/>
    <m/>
    <s v="DEFERRED"/>
    <s v="Y"/>
    <x v="1"/>
    <x v="0"/>
    <s v="Y"/>
    <n v="1.9230769230769232E-2"/>
    <n v="1.9230769230769232E-2"/>
    <n v="0"/>
    <n v="0"/>
    <n v="-2"/>
    <n v="0"/>
    <n v="2"/>
    <e v="#VALUE!"/>
    <n v="2"/>
    <n v="0"/>
    <m/>
    <m/>
    <s v="Y"/>
    <m/>
    <s v="0-10 DAYS"/>
    <n v="1"/>
    <x v="0"/>
  </r>
  <r>
    <n v="812"/>
    <s v="N"/>
    <s v="N"/>
    <n v="2340203"/>
    <n v="4"/>
    <d v="2012-02-01T00:00:00"/>
    <d v="2012-02-02T00:00:00"/>
    <n v="2340203"/>
    <d v="2012-02-01T00:00:00"/>
    <d v="2012-02-02T00:00:00"/>
    <n v="2000"/>
    <x v="5"/>
    <m/>
    <s v="N"/>
    <s v="NONE"/>
    <s v="GUILTY PLEA - NO JURY"/>
    <n v="2"/>
    <n v="2"/>
    <n v="1"/>
    <n v="3"/>
    <n v="1"/>
    <m/>
    <m/>
    <m/>
    <m/>
    <m/>
    <m/>
    <m/>
    <m/>
    <d v="1982-12-23T00:00:00"/>
    <s v="F"/>
    <s v="B"/>
    <s v="BLACK"/>
    <s v="NON-HISPANIC"/>
    <s v="208"/>
    <s v="CONVICTED"/>
    <n v="1"/>
    <s v="HCJ"/>
    <m/>
    <m/>
    <n v="180"/>
    <s v="THEFT UNDER $1500 - 3RD OFF."/>
    <m/>
    <s v="FS"/>
    <s v="THEFT"/>
    <m/>
    <m/>
    <m/>
    <m/>
    <m/>
    <m/>
    <m/>
    <m/>
    <m/>
    <s v="Appointed Attorney"/>
    <m/>
    <m/>
    <n v="2"/>
    <n v="2"/>
    <n v="2"/>
    <n v="29.049180327868854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53"/>
    <s v="N"/>
    <s v="N"/>
    <n v="2340277"/>
    <n v="5"/>
    <d v="2012-01-03T00:00:00"/>
    <d v="2012-01-05T00:00:00"/>
    <n v="2340277"/>
    <d v="2012-01-04T00:00:00"/>
    <d v="2012-01-05T00:00:00"/>
    <n v="10000"/>
    <x v="3"/>
    <m/>
    <s v="N"/>
    <s v="NONE"/>
    <s v="GUILTY PLEA - NO JURY"/>
    <n v="2"/>
    <n v="3"/>
    <n v="1"/>
    <n v="2"/>
    <n v="1"/>
    <m/>
    <m/>
    <m/>
    <m/>
    <m/>
    <m/>
    <m/>
    <m/>
    <d v="1989-01-21T00:00:00"/>
    <s v="M"/>
    <s v="B"/>
    <s v="BLACK"/>
    <s v="NON-HISPANIC"/>
    <s v="179"/>
    <s v="CONVICTED"/>
    <n v="1"/>
    <s v="STJ"/>
    <m/>
    <n v="7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22.901639344262296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2786"/>
    <s v="N"/>
    <s v="N"/>
    <n v="2340369"/>
    <n v="5"/>
    <d v="2012-04-13T00:00:00"/>
    <d v="2012-06-29T00:00:00"/>
    <n v="2340369"/>
    <d v="2012-04-13T00:00:00"/>
    <d v="2012-06-29T00:00:00"/>
    <n v="5000"/>
    <x v="4"/>
    <m/>
    <s v="N"/>
    <s v="NONE"/>
    <s v="GUILTY PLEA - NO JURY"/>
    <n v="78"/>
    <n v="78"/>
    <n v="1"/>
    <n v="9"/>
    <n v="1"/>
    <m/>
    <m/>
    <m/>
    <m/>
    <m/>
    <m/>
    <m/>
    <m/>
    <d v="1990-03-30T00:00:00"/>
    <s v="M"/>
    <s v="W"/>
    <s v="WHITE"/>
    <s v="NULL"/>
    <s v="184"/>
    <s v="CONVICTED"/>
    <n v="4"/>
    <s v="STJ"/>
    <m/>
    <n v="8"/>
    <m/>
    <s v="BURGLARY OF A BUILDING"/>
    <m/>
    <s v="FS"/>
    <s v="BURGLARY"/>
    <m/>
    <m/>
    <m/>
    <m/>
    <m/>
    <m/>
    <m/>
    <m/>
    <m/>
    <s v="Appointed Attorney"/>
    <m/>
    <m/>
    <n v="78"/>
    <n v="78"/>
    <n v="78"/>
    <n v="21.994535519125684"/>
    <n v="0"/>
    <n v="0"/>
    <s v="CONVICTION"/>
    <x v="0"/>
    <s v="N"/>
    <m/>
    <s v="CONVICTION"/>
    <s v="Y"/>
    <x v="0"/>
    <x v="0"/>
    <s v="Y"/>
    <n v="1"/>
    <n v="1"/>
    <n v="0"/>
    <n v="0"/>
    <n v="-78"/>
    <n v="0"/>
    <n v="78"/>
    <e v="#VALUE!"/>
    <n v="78"/>
    <n v="0"/>
    <m/>
    <m/>
    <s v="Y"/>
    <m/>
    <s v="61-90 DAYS"/>
    <n v="4"/>
    <x v="0"/>
  </r>
  <r>
    <n v="3100"/>
    <s v="N"/>
    <s v="N"/>
    <n v="2340656"/>
    <n v="5"/>
    <d v="2012-04-24T00:00:00"/>
    <d v="2012-05-24T00:00:00"/>
    <n v="2340656"/>
    <d v="2012-04-25T00:00:00"/>
    <d v="2012-05-24T00:00:00"/>
    <n v="15000"/>
    <x v="0"/>
    <m/>
    <s v="N"/>
    <s v="NONE"/>
    <s v="GUILTY PLEA - NO JURY"/>
    <n v="30"/>
    <n v="31"/>
    <n v="2"/>
    <n v="0"/>
    <n v="1"/>
    <m/>
    <m/>
    <m/>
    <m/>
    <m/>
    <m/>
    <m/>
    <m/>
    <d v="1965-11-06T00:00:00"/>
    <s v="M"/>
    <s v="B"/>
    <s v="BLACK"/>
    <s v="NULL"/>
    <s v="230"/>
    <s v="CONVICTED"/>
    <n v="3"/>
    <s v="STJ"/>
    <m/>
    <n v="6"/>
    <m/>
    <s v="UNAUTH USE OF VEHICLE"/>
    <m/>
    <s v="FS"/>
    <s v="AUTO THEFT"/>
    <m/>
    <m/>
    <m/>
    <m/>
    <m/>
    <m/>
    <m/>
    <m/>
    <m/>
    <s v="Appointed Attorney"/>
    <m/>
    <m/>
    <n v="30"/>
    <n v="30"/>
    <n v="31"/>
    <n v="46.368852459016395"/>
    <n v="0"/>
    <n v="0"/>
    <s v="CONVICTION"/>
    <x v="0"/>
    <s v="N"/>
    <m/>
    <s v="CONVICTION"/>
    <s v="Y"/>
    <x v="0"/>
    <x v="0"/>
    <s v="Y"/>
    <n v="0.967741935483871"/>
    <n v="1"/>
    <n v="3.2258064516129004E-2"/>
    <n v="0"/>
    <n v="-30"/>
    <n v="0"/>
    <n v="30"/>
    <e v="#VALUE!"/>
    <n v="30"/>
    <n v="0"/>
    <m/>
    <m/>
    <s v="Y"/>
    <m/>
    <s v="11-30 DAYS"/>
    <n v="2"/>
    <x v="0"/>
  </r>
  <r>
    <n v="2838"/>
    <s v="N"/>
    <s v="N"/>
    <n v="2341279"/>
    <n v="1"/>
    <d v="2012-04-14T00:00:00"/>
    <d v="2012-12-07T00:00:00"/>
    <n v="2341279"/>
    <d v="2012-04-14T00:00:00"/>
    <d v="2012-12-07T00:00:00"/>
    <n v="90000"/>
    <x v="2"/>
    <m/>
    <s v="N"/>
    <s v="NONE"/>
    <s v="DISMISSED"/>
    <n v="238"/>
    <n v="238"/>
    <n v="6"/>
    <n v="2"/>
    <n v="3"/>
    <m/>
    <m/>
    <m/>
    <m/>
    <m/>
    <m/>
    <m/>
    <m/>
    <d v="1986-10-11T00:00:00"/>
    <s v="M"/>
    <s v="B"/>
    <s v="BLACK"/>
    <s v="NULL"/>
    <s v="177"/>
    <s v="DISMISSED"/>
    <n v="6"/>
    <s v="DISMISSED"/>
    <m/>
    <m/>
    <m/>
    <s v="AGG SEX ASSLT CHILD 14-17"/>
    <m/>
    <s v="F1"/>
    <s v="SEX ABUSE"/>
    <m/>
    <m/>
    <m/>
    <m/>
    <m/>
    <m/>
    <m/>
    <m/>
    <m/>
    <s v="Appointed Attorney"/>
    <m/>
    <m/>
    <n v="238"/>
    <n v="238"/>
    <n v="238"/>
    <n v="25.456284153005466"/>
    <n v="0"/>
    <n v="0"/>
    <s v="NO CONVICTION"/>
    <x v="0"/>
    <s v="N"/>
    <m/>
    <s v="NO CONVICTION"/>
    <s v="Y"/>
    <x v="0"/>
    <x v="0"/>
    <s v="Y"/>
    <n v="1"/>
    <n v="1"/>
    <n v="0"/>
    <n v="0"/>
    <n v="-238"/>
    <n v="0"/>
    <n v="238"/>
    <e v="#VALUE!"/>
    <n v="238"/>
    <n v="0"/>
    <m/>
    <m/>
    <s v="Y"/>
    <m/>
    <s v="121-365 DAYS"/>
    <n v="6"/>
    <x v="0"/>
  </r>
  <r>
    <n v="2536"/>
    <s v="N"/>
    <s v="N"/>
    <n v="2341412"/>
    <n v="1"/>
    <d v="2012-04-04T00:00:00"/>
    <d v="2012-07-05T00:00:00"/>
    <n v="2341412"/>
    <d v="2012-04-05T00:00:00"/>
    <d v="2012-04-07T00:00:00"/>
    <n v="2000"/>
    <x v="5"/>
    <d v="2012-04-07T00:00:00"/>
    <s v="Y"/>
    <s v="SURETY"/>
    <s v="DISMISSED"/>
    <n v="3"/>
    <n v="93"/>
    <n v="1"/>
    <n v="3"/>
    <n v="1"/>
    <m/>
    <m/>
    <m/>
    <m/>
    <m/>
    <m/>
    <m/>
    <m/>
    <d v="1990-03-08T00:00:00"/>
    <s v="M"/>
    <s v="B"/>
    <s v="BLACK"/>
    <s v="NULL"/>
    <s v="178"/>
    <s v="DISMISSED"/>
    <n v="4"/>
    <s v="DISMISSED"/>
    <m/>
    <m/>
    <m/>
    <s v="POSS MARIJ  4 OZ. - 5 LBS."/>
    <m/>
    <s v="FS"/>
    <s v="POSS DRUG"/>
    <s v="7/12/12  two misd drugs 15 days hcj"/>
    <m/>
    <m/>
    <m/>
    <m/>
    <m/>
    <m/>
    <m/>
    <m/>
    <s v="Appointed Attorney"/>
    <m/>
    <m/>
    <n v="3"/>
    <n v="92"/>
    <n v="93"/>
    <n v="22.030054644808743"/>
    <n v="0"/>
    <n v="-89"/>
    <s v="NO CONVICTION"/>
    <x v="1"/>
    <s v="Y"/>
    <m/>
    <s v="NO CONVICTION"/>
    <s v="Y"/>
    <x v="1"/>
    <x v="0"/>
    <s v="Y"/>
    <n v="3.2258064516129031E-2"/>
    <n v="3.2608695652173912E-2"/>
    <n v="3.5063113604488078E-4"/>
    <n v="0"/>
    <n v="-3"/>
    <n v="0"/>
    <n v="3"/>
    <e v="#VALUE!"/>
    <n v="3"/>
    <n v="0"/>
    <m/>
    <m/>
    <s v="Y"/>
    <m/>
    <s v="0-10 DAYS"/>
    <n v="1"/>
    <x v="0"/>
  </r>
  <r>
    <n v="2365"/>
    <s v="N"/>
    <s v="N"/>
    <n v="2342850"/>
    <n v="2"/>
    <d v="2012-03-30T00:00:00"/>
    <d v="2012-08-16T00:00:00"/>
    <n v="2342850"/>
    <s v="NOT BOOKED"/>
    <s v="NOT BOOKED"/>
    <n v="2000"/>
    <x v="5"/>
    <d v="2012-03-31T00:00:00"/>
    <s v="Y"/>
    <s v="SURETY"/>
    <s v="DEFERRED ADJUDICATION "/>
    <n v="0"/>
    <n v="140"/>
    <n v="0"/>
    <n v="1"/>
    <m/>
    <m/>
    <m/>
    <m/>
    <m/>
    <m/>
    <m/>
    <m/>
    <m/>
    <d v="1975-06-17T00:00:00"/>
    <s v="M"/>
    <s v="W"/>
    <s v="WHITE"/>
    <s v="NULL"/>
    <s v="338"/>
    <s v="DEFERRED"/>
    <n v="6"/>
    <s v="DEFERR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140"/>
    <n v="36.710382513661202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555"/>
    <s v="N"/>
    <s v="N"/>
    <n v="2342872"/>
    <n v="6"/>
    <d v="2012-01-23T00:00:00"/>
    <d v="2012-03-23T00:00:00"/>
    <n v="2342872"/>
    <d v="2012-01-23T00:00:00"/>
    <d v="2012-03-23T00:00:00"/>
    <n v="20000"/>
    <x v="0"/>
    <m/>
    <s v="N"/>
    <s v="NONE"/>
    <s v="GUILTY PLEA - NO JURY"/>
    <n v="61"/>
    <n v="61"/>
    <n v="1"/>
    <n v="1"/>
    <m/>
    <m/>
    <m/>
    <m/>
    <m/>
    <m/>
    <m/>
    <m/>
    <m/>
    <d v="1989-05-31T00:00:00"/>
    <s v="M"/>
    <s v="B"/>
    <s v="BLACK"/>
    <s v="NULL"/>
    <s v="208"/>
    <s v="CONVICTED"/>
    <n v="3"/>
    <s v="TDC"/>
    <n v="2"/>
    <m/>
    <m/>
    <s v="BURGLARY OF HABITATION"/>
    <m/>
    <s v="F2"/>
    <s v="BURGLARY"/>
    <m/>
    <m/>
    <m/>
    <m/>
    <m/>
    <m/>
    <m/>
    <m/>
    <m/>
    <s v="Appointed Attorney"/>
    <m/>
    <m/>
    <n v="61"/>
    <n v="61"/>
    <n v="61"/>
    <n v="22.601092896174862"/>
    <n v="0"/>
    <n v="0"/>
    <s v="CONVICTION"/>
    <x v="0"/>
    <s v="N"/>
    <m/>
    <s v="CONVICTION"/>
    <s v="Y"/>
    <x v="0"/>
    <x v="0"/>
    <s v="Y"/>
    <n v="1"/>
    <n v="1"/>
    <n v="0"/>
    <n v="0"/>
    <n v="-61"/>
    <n v="0"/>
    <n v="61"/>
    <e v="#VALUE!"/>
    <n v="61"/>
    <n v="0"/>
    <m/>
    <m/>
    <s v="Y"/>
    <m/>
    <s v="61-90 DAYS"/>
    <n v="4"/>
    <x v="0"/>
  </r>
  <r>
    <n v="2135"/>
    <s v="N"/>
    <s v="N"/>
    <n v="2343104"/>
    <n v="5"/>
    <d v="2012-03-21T00:00:00"/>
    <d v="2012-03-22T00:00:00"/>
    <n v="2343104"/>
    <d v="2012-03-21T00:00:00"/>
    <d v="2012-03-22T00:00:00"/>
    <n v="15000"/>
    <x v="0"/>
    <m/>
    <s v="N"/>
    <s v="NONE"/>
    <s v="GUILTY PLEA - NO JURY"/>
    <n v="2"/>
    <n v="2"/>
    <n v="3"/>
    <n v="5"/>
    <n v="3"/>
    <m/>
    <m/>
    <m/>
    <m/>
    <m/>
    <m/>
    <m/>
    <m/>
    <d v="1989-03-11T00:00:00"/>
    <s v="M"/>
    <s v="B"/>
    <s v="BLACK"/>
    <s v="NULL"/>
    <s v="174"/>
    <s v="CONVICTED"/>
    <n v="1"/>
    <s v="STJ"/>
    <m/>
    <n v="9"/>
    <m/>
    <s v="POSS CS PG 1 &lt;1G"/>
    <m/>
    <s v="FS"/>
    <s v="POSS DRUG"/>
    <m/>
    <m/>
    <m/>
    <m/>
    <m/>
    <m/>
    <m/>
    <m/>
    <m/>
    <s v="Appointed Attorney"/>
    <m/>
    <m/>
    <n v="2"/>
    <n v="2"/>
    <n v="2"/>
    <n v="22.980874316939889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2611"/>
    <s v="Y"/>
    <s v="N"/>
    <n v="2343360"/>
    <n v="2"/>
    <d v="2012-04-06T00:00:00"/>
    <d v="2013-06-03T00:00:00"/>
    <n v="2343360"/>
    <d v="2012-04-06T00:00:00"/>
    <d v="2012-04-10T00:00:00"/>
    <n v="10000"/>
    <x v="3"/>
    <d v="2012-04-10T00:00:00"/>
    <s v="Y"/>
    <s v="SURETY"/>
    <s v="DEFERRED ADJUDICATION "/>
    <n v="5"/>
    <n v="424"/>
    <n v="0"/>
    <n v="3"/>
    <m/>
    <m/>
    <m/>
    <m/>
    <m/>
    <m/>
    <m/>
    <m/>
    <m/>
    <d v="1989-07-31T00:00:00"/>
    <s v="M"/>
    <s v="W"/>
    <s v="WHITE"/>
    <s v="NULL"/>
    <s v="174"/>
    <s v="DEFERRED"/>
    <n v="15"/>
    <s v="DEFERRED"/>
    <m/>
    <m/>
    <m/>
    <s v="BURGLARY OF HABITATION"/>
    <m/>
    <s v="F2"/>
    <s v="BURGLARY"/>
    <m/>
    <m/>
    <m/>
    <m/>
    <m/>
    <m/>
    <m/>
    <m/>
    <m/>
    <s v="Appointed Attorney"/>
    <s v="8/22/13  M DLS"/>
    <m/>
    <n v="5"/>
    <n v="424"/>
    <n v="424"/>
    <n v="22.636612021857925"/>
    <n v="0"/>
    <n v="-419"/>
    <s v="DEFERRED"/>
    <x v="1"/>
    <s v="Y"/>
    <m/>
    <s v="DEFERRED"/>
    <s v="Y"/>
    <x v="1"/>
    <x v="0"/>
    <s v="N"/>
    <n v="1.179245283018868E-2"/>
    <n v="1.179245283018868E-2"/>
    <n v="0"/>
    <n v="0"/>
    <n v="-5"/>
    <n v="0"/>
    <n v="5"/>
    <e v="#VALUE!"/>
    <n v="5"/>
    <n v="0"/>
    <m/>
    <m/>
    <s v="Y"/>
    <m/>
    <s v="0-10 DAYS"/>
    <n v="1"/>
    <x v="0"/>
  </r>
  <r>
    <n v="698"/>
    <s v="N"/>
    <s v="N"/>
    <n v="2343691"/>
    <n v="5"/>
    <d v="2012-01-28T00:00:00"/>
    <d v="2012-02-02T00:00:00"/>
    <n v="2343691"/>
    <d v="2012-01-28T00:00:00"/>
    <d v="2012-02-02T00:00:00"/>
    <n v="2000"/>
    <x v="5"/>
    <m/>
    <s v="N"/>
    <s v="NONE"/>
    <s v="GUILTY PLEA - NO JURY"/>
    <n v="6"/>
    <n v="6"/>
    <n v="0"/>
    <n v="5"/>
    <m/>
    <m/>
    <m/>
    <m/>
    <m/>
    <m/>
    <m/>
    <m/>
    <m/>
    <d v="1966-05-20T00:00:00"/>
    <s v="M"/>
    <s v="B"/>
    <s v="BLACK"/>
    <s v="NULL"/>
    <s v="338"/>
    <s v="CONVICTED"/>
    <n v="3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6"/>
    <n v="6"/>
    <n v="6"/>
    <n v="45.598360655737707"/>
    <n v="0"/>
    <n v="0"/>
    <s v="CONVICTION"/>
    <x v="0"/>
    <s v="N"/>
    <m/>
    <s v="CONVICTION"/>
    <s v="Y"/>
    <x v="0"/>
    <x v="0"/>
    <s v="N"/>
    <n v="1"/>
    <n v="1"/>
    <n v="0"/>
    <n v="0"/>
    <n v="-6"/>
    <n v="0"/>
    <n v="6"/>
    <e v="#VALUE!"/>
    <n v="6"/>
    <n v="0"/>
    <m/>
    <m/>
    <s v="Y"/>
    <m/>
    <s v="0-10 DAYS"/>
    <n v="1"/>
    <x v="0"/>
  </r>
  <r>
    <n v="1310"/>
    <s v="N"/>
    <s v="Y"/>
    <n v="2344853"/>
    <n v="2"/>
    <d v="2012-02-17T00:00:00"/>
    <d v="2012-06-21T00:00:00"/>
    <n v="2344853"/>
    <d v="2012-03-28T00:00:00"/>
    <d v="2012-03-30T00:00:00"/>
    <n v="2000"/>
    <x v="5"/>
    <d v="2012-02-20T00:00:00"/>
    <s v="Y"/>
    <s v="SURETY"/>
    <s v="DEFERRED ADJUDICATION "/>
    <n v="3"/>
    <n v="126"/>
    <n v="0"/>
    <n v="0"/>
    <m/>
    <m/>
    <m/>
    <m/>
    <m/>
    <m/>
    <m/>
    <m/>
    <m/>
    <d v="1983-11-08T00:00:00"/>
    <s v="M"/>
    <s v="W"/>
    <s v="WHITE"/>
    <s v="NULL"/>
    <s v="248"/>
    <s v="DEFERRED"/>
    <n v="6"/>
    <s v="DEFERRED"/>
    <m/>
    <m/>
    <m/>
    <s v="BURGLARY OF A BUILDING"/>
    <m/>
    <s v="FS"/>
    <s v="BURGLARY"/>
    <m/>
    <m/>
    <s v="Y"/>
    <d v="2012-03-21T00:00:00"/>
    <m/>
    <m/>
    <m/>
    <m/>
    <m/>
    <s v="Hired Attorney"/>
    <m/>
    <m/>
    <n v="3"/>
    <n v="86"/>
    <n v="126"/>
    <n v="28.218579234972676"/>
    <n v="-39"/>
    <n v="-83"/>
    <s v="DEFERRED"/>
    <x v="1"/>
    <s v="Y"/>
    <m/>
    <s v="DEFERRED"/>
    <s v="Y"/>
    <x v="1"/>
    <x v="0"/>
    <s v="N"/>
    <n v="2.3809523809523808E-2"/>
    <n v="3.4883720930232558E-2"/>
    <n v="1.1074197120708749E-2"/>
    <n v="0"/>
    <n v="-3"/>
    <n v="0"/>
    <n v="-36"/>
    <e v="#VALUE!"/>
    <m/>
    <n v="83"/>
    <m/>
    <m/>
    <s v="N"/>
    <m/>
    <s v="0-10 DAYS"/>
    <n v="1"/>
    <x v="0"/>
  </r>
  <r>
    <n v="2704"/>
    <s v="N"/>
    <s v="N"/>
    <n v="2345079"/>
    <n v="1"/>
    <d v="2012-04-10T00:00:00"/>
    <d v="2012-06-20T00:00:00"/>
    <n v="2345079"/>
    <d v="2012-04-11T00:00:00"/>
    <d v="2012-04-12T00:00:00"/>
    <n v="10000"/>
    <x v="3"/>
    <d v="2012-04-12T00:00:00"/>
    <s v="Y"/>
    <s v="SURETY"/>
    <s v="DISMISSED"/>
    <n v="2"/>
    <n v="72"/>
    <n v="3"/>
    <n v="4"/>
    <n v="2"/>
    <m/>
    <m/>
    <m/>
    <m/>
    <m/>
    <m/>
    <m/>
    <m/>
    <d v="1960-09-09T00:00:00"/>
    <s v="M"/>
    <s v="B"/>
    <s v="BLACK"/>
    <s v="NULL"/>
    <s v="232"/>
    <s v="DISMISSED"/>
    <n v="7"/>
    <s v="DISMISSED"/>
    <m/>
    <m/>
    <m/>
    <s v="POSS CS PG 3 28-200 GRAMS"/>
    <m/>
    <s v="F3"/>
    <s v="POSS DRUG"/>
    <s v="7/16/12 misd dwi  hcj 45 d"/>
    <m/>
    <m/>
    <m/>
    <m/>
    <m/>
    <m/>
    <m/>
    <m/>
    <s v="Appointed Attorney"/>
    <m/>
    <m/>
    <n v="2"/>
    <n v="71"/>
    <n v="72"/>
    <n v="51.478142076502735"/>
    <n v="0"/>
    <n v="-69"/>
    <s v="NO CONVICTION"/>
    <x v="1"/>
    <s v="Y"/>
    <m/>
    <s v="NO CONVICTION"/>
    <s v="Y"/>
    <x v="1"/>
    <x v="0"/>
    <s v="Y"/>
    <n v="2.7777777777777776E-2"/>
    <n v="2.8169014084507043E-2"/>
    <n v="3.9123630672926665E-4"/>
    <n v="0"/>
    <n v="-2"/>
    <n v="0"/>
    <n v="2"/>
    <e v="#VALUE!"/>
    <n v="2"/>
    <n v="0"/>
    <m/>
    <m/>
    <s v="Y"/>
    <m/>
    <s v="0-10 DAYS"/>
    <n v="1"/>
    <x v="0"/>
  </r>
  <r>
    <n v="408"/>
    <s v="N"/>
    <s v="N"/>
    <n v="2345228"/>
    <n v="1"/>
    <d v="2012-01-18T00:00:00"/>
    <d v="2012-03-06T00:00:00"/>
    <n v="2345228"/>
    <d v="2012-01-18T00:00:00"/>
    <d v="2012-01-19T00:00:00"/>
    <n v="5000"/>
    <x v="4"/>
    <d v="2012-01-19T00:00:00"/>
    <s v="Y"/>
    <s v="SURETY"/>
    <s v="NO BILL"/>
    <n v="2"/>
    <n v="49"/>
    <n v="0"/>
    <n v="1"/>
    <m/>
    <m/>
    <m/>
    <m/>
    <m/>
    <m/>
    <m/>
    <m/>
    <m/>
    <d v="1970-11-05T00:00:00"/>
    <s v="F"/>
    <s v="W"/>
    <s v="WHITE"/>
    <s v="NULL"/>
    <s v="184"/>
    <s v="NO BILL"/>
    <n v="4"/>
    <s v="NO BILL"/>
    <m/>
    <m/>
    <m/>
    <s v="TAMPER/FABRICATE EVIDENCE"/>
    <m/>
    <s v="F3"/>
    <s v="OTHER FEL"/>
    <m/>
    <m/>
    <m/>
    <m/>
    <m/>
    <m/>
    <m/>
    <m/>
    <m/>
    <s v="Appointed Attorney"/>
    <m/>
    <m/>
    <n v="2"/>
    <n v="49"/>
    <n v="49"/>
    <n v="41.117486338797811"/>
    <n v="0"/>
    <n v="-47"/>
    <s v="NO CONVICTION"/>
    <x v="1"/>
    <s v="Y"/>
    <m/>
    <s v="NO CONVICTION"/>
    <s v="Y"/>
    <x v="1"/>
    <x v="0"/>
    <s v="N"/>
    <n v="4.0816326530612242E-2"/>
    <n v="4.0816326530612242E-2"/>
    <n v="0"/>
    <n v="0"/>
    <n v="-2"/>
    <n v="0"/>
    <n v="2"/>
    <e v="#VALUE!"/>
    <n v="2"/>
    <n v="0"/>
    <m/>
    <m/>
    <s v="Y"/>
    <m/>
    <s v="0-10 DAYS"/>
    <n v="1"/>
    <x v="0"/>
  </r>
  <r>
    <n v="792"/>
    <s v="N"/>
    <s v="N"/>
    <n v="2345789"/>
    <n v="6"/>
    <d v="2012-01-31T00:00:00"/>
    <d v="2013-04-03T00:00:00"/>
    <n v="2345789"/>
    <d v="2012-01-31T00:00:00"/>
    <d v="2013-04-03T00:00:00"/>
    <s v="NO BOND"/>
    <x v="1"/>
    <m/>
    <s v="N"/>
    <s v="NONE"/>
    <s v="GUILTY PLEA - NO JURY"/>
    <n v="429"/>
    <n v="429"/>
    <n v="0"/>
    <n v="4"/>
    <m/>
    <m/>
    <m/>
    <m/>
    <m/>
    <m/>
    <m/>
    <m/>
    <m/>
    <d v="1990-10-13T00:00:00"/>
    <s v="M"/>
    <s v="B"/>
    <s v="BLACK"/>
    <s v="NON-HISPANIC"/>
    <s v="338"/>
    <s v="CONVICTED"/>
    <n v="14"/>
    <s v="TDC"/>
    <n v="20"/>
    <m/>
    <m/>
    <s v="AGG ROBBERY-DEADLY WPN"/>
    <m/>
    <s v="F1"/>
    <s v="ROBBERY"/>
    <m/>
    <m/>
    <m/>
    <m/>
    <m/>
    <m/>
    <m/>
    <m/>
    <m/>
    <s v="Appointed Attorney"/>
    <m/>
    <m/>
    <n v="429"/>
    <n v="429"/>
    <n v="429"/>
    <n v="21.256830601092897"/>
    <n v="0"/>
    <n v="0"/>
    <s v="CONVICTION"/>
    <x v="0"/>
    <s v="N"/>
    <m/>
    <s v="CONVICTION"/>
    <s v="Y"/>
    <x v="0"/>
    <x v="0"/>
    <s v="N"/>
    <n v="1"/>
    <n v="1"/>
    <n v="0"/>
    <n v="0"/>
    <n v="-429"/>
    <n v="0"/>
    <n v="429"/>
    <e v="#VALUE!"/>
    <n v="429"/>
    <n v="0"/>
    <m/>
    <m/>
    <s v="Y"/>
    <m/>
    <s v=" &gt;1YRS&lt;2YRS"/>
    <n v="0"/>
    <x v="0"/>
  </r>
  <r>
    <n v="84"/>
    <s v="N"/>
    <s v="N"/>
    <n v="2346349"/>
    <n v="1"/>
    <d v="2012-01-05T00:00:00"/>
    <d v="2012-01-27T00:00:00"/>
    <n v="2346349"/>
    <s v="NOT BOOKED"/>
    <s v="NOT BOOKED"/>
    <n v="30000"/>
    <x v="2"/>
    <m/>
    <s v="NO BOND MADE - NON ARREST"/>
    <s v="NONE"/>
    <s v="DISMISSED"/>
    <n v="0"/>
    <n v="23"/>
    <n v="0"/>
    <n v="1"/>
    <m/>
    <m/>
    <m/>
    <m/>
    <m/>
    <m/>
    <m/>
    <s v="S"/>
    <m/>
    <d v="1989-12-06T00:00:00"/>
    <s v="M"/>
    <s v="H"/>
    <s v="HISPANIC"/>
    <s v="NULL"/>
    <s v="248"/>
    <s v="DISMISSED"/>
    <n v="1"/>
    <s v="DISMISSED"/>
    <m/>
    <m/>
    <m/>
    <s v="AGG ASSAULT-FAMILY MEMBER"/>
    <m/>
    <s v="F2"/>
    <s v="ASLT-MURDR"/>
    <m/>
    <m/>
    <m/>
    <m/>
    <m/>
    <m/>
    <m/>
    <m/>
    <m/>
    <s v="Other/Unknown"/>
    <m/>
    <m/>
    <n v="0"/>
    <n v="0"/>
    <n v="23"/>
    <n v="22.035519125683059"/>
    <e v="#VALUE!"/>
    <e v="#VALUE!"/>
    <s v="NO CONVICTION"/>
    <x v="0"/>
    <s v="N"/>
    <m/>
    <s v="NO CONVICTION"/>
    <n v="0"/>
    <x v="2"/>
    <x v="0"/>
    <s v="N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330"/>
    <s v="N"/>
    <s v="N"/>
    <n v="2346890"/>
    <n v="6"/>
    <d v="2012-01-13T00:00:00"/>
    <d v="2012-05-02T00:00:00"/>
    <n v="2346890"/>
    <d v="2012-01-13T00:00:00"/>
    <d v="2012-05-02T00:00:00"/>
    <s v="NO BOND"/>
    <x v="1"/>
    <m/>
    <s v="N"/>
    <s v="NONE"/>
    <s v="GUILTY PLEA - NO JURY"/>
    <n v="111"/>
    <n v="111"/>
    <n v="2"/>
    <n v="1"/>
    <n v="1"/>
    <m/>
    <m/>
    <m/>
    <m/>
    <m/>
    <m/>
    <m/>
    <m/>
    <d v="1990-08-15T00:00:00"/>
    <s v="M"/>
    <s v="null"/>
    <s v="OTHER"/>
    <s v="NON-HISPANIC"/>
    <s v="174"/>
    <s v="CONVICTED"/>
    <n v="4"/>
    <s v="TDC"/>
    <n v="5"/>
    <m/>
    <m/>
    <s v="BURGLARY OF HABITATION"/>
    <m/>
    <s v="F2"/>
    <s v="BURGLARY"/>
    <m/>
    <m/>
    <m/>
    <m/>
    <m/>
    <m/>
    <m/>
    <m/>
    <m/>
    <s v="Appointed Attorney"/>
    <m/>
    <m/>
    <n v="111"/>
    <n v="111"/>
    <n v="111"/>
    <n v="21.368852459016395"/>
    <n v="0"/>
    <n v="0"/>
    <s v="CONVICTION"/>
    <x v="0"/>
    <s v="N"/>
    <m/>
    <s v="CONVICTION"/>
    <s v="Y"/>
    <x v="0"/>
    <x v="0"/>
    <s v="Y"/>
    <n v="1"/>
    <n v="1"/>
    <n v="0"/>
    <n v="0"/>
    <n v="-111"/>
    <n v="0"/>
    <n v="111"/>
    <e v="#VALUE!"/>
    <n v="111"/>
    <n v="0"/>
    <m/>
    <m/>
    <s v="Y"/>
    <m/>
    <s v="91-120 DAYS"/>
    <n v="0"/>
    <x v="0"/>
  </r>
  <r>
    <n v="656"/>
    <s v="N"/>
    <s v="Y"/>
    <n v="2347137"/>
    <n v="6"/>
    <d v="2012-01-26T00:00:00"/>
    <d v="2012-12-17T00:00:00"/>
    <n v="2347137"/>
    <d v="2012-05-24T00:00:00"/>
    <d v="2012-05-25T00:00:00"/>
    <n v="2000"/>
    <x v="5"/>
    <d v="2012-05-25T00:00:00"/>
    <s v="Y"/>
    <s v="SURETY"/>
    <s v="GUILTY PLEA - NO JURY"/>
    <n v="8"/>
    <n v="327"/>
    <n v="1"/>
    <n v="1"/>
    <n v="1"/>
    <m/>
    <m/>
    <m/>
    <m/>
    <m/>
    <m/>
    <m/>
    <m/>
    <d v="1986-02-07T00:00:00"/>
    <s v="M"/>
    <s v="W"/>
    <s v="WHITE"/>
    <s v="NULL"/>
    <s v="262"/>
    <s v="CONVICTED"/>
    <n v="8"/>
    <s v="TDC"/>
    <n v="3"/>
    <m/>
    <m/>
    <s v="THEFT UNDER $1500 - 3RD OFF."/>
    <m/>
    <s v="FS"/>
    <s v="THEFT"/>
    <s v="sent same date  for bail jump filed 10/9/12"/>
    <d v="2012-10-05T00:00:00"/>
    <m/>
    <m/>
    <s v="Y"/>
    <m/>
    <m/>
    <m/>
    <m/>
    <s v="Hired Attorney"/>
    <m/>
    <m/>
    <n v="8"/>
    <n v="208"/>
    <n v="327"/>
    <n v="25.912568306010929"/>
    <n v="0"/>
    <n v="-206"/>
    <s v="CONVICTION"/>
    <x v="1"/>
    <s v="Y"/>
    <m/>
    <s v="CONVICTION"/>
    <s v="Y"/>
    <x v="0"/>
    <x v="0"/>
    <s v="Y"/>
    <n v="2.4464831804281346E-2"/>
    <n v="9.6153846153846159E-3"/>
    <n v="-1.484944718889673E-2"/>
    <n v="0"/>
    <n v="-2"/>
    <n v="6"/>
    <n v="208"/>
    <n v="8"/>
    <n v="208"/>
    <n v="206"/>
    <m/>
    <m/>
    <s v="Y"/>
    <m/>
    <s v="0-10 DAYS"/>
    <n v="1"/>
    <x v="0"/>
  </r>
  <r>
    <n v="566"/>
    <s v="N"/>
    <s v="N"/>
    <n v="2347703"/>
    <n v="6"/>
    <d v="2012-01-23T00:00:00"/>
    <d v="2013-03-26T00:00:00"/>
    <n v="2347703"/>
    <d v="2012-01-23T00:00:00"/>
    <d v="2013-03-26T00:00:00"/>
    <n v="135000"/>
    <x v="2"/>
    <m/>
    <s v="N"/>
    <s v="NONE"/>
    <s v="GUILTY PLEA - NO JURY"/>
    <n v="429"/>
    <n v="429"/>
    <n v="2"/>
    <n v="0"/>
    <m/>
    <m/>
    <m/>
    <m/>
    <m/>
    <m/>
    <m/>
    <m/>
    <m/>
    <d v="1962-05-30T00:00:00"/>
    <s v="M"/>
    <s v="W"/>
    <s v="WHITE"/>
    <s v="NON-HISPANIC"/>
    <s v="209"/>
    <s v="CONVICTED"/>
    <n v="18"/>
    <s v="TDC"/>
    <n v="3"/>
    <m/>
    <m/>
    <s v="BURGLARY OF HABITATION"/>
    <m/>
    <s v="F2"/>
    <s v="BURGLARY"/>
    <m/>
    <m/>
    <m/>
    <m/>
    <m/>
    <m/>
    <m/>
    <m/>
    <m/>
    <s v="Hired Attorney"/>
    <m/>
    <m/>
    <n v="429"/>
    <n v="429"/>
    <n v="429"/>
    <n v="49.549180327868854"/>
    <n v="0"/>
    <n v="0"/>
    <s v="CONVICTION"/>
    <x v="0"/>
    <s v="N"/>
    <m/>
    <s v="CONVICTION"/>
    <s v="Y"/>
    <x v="0"/>
    <x v="0"/>
    <s v="Y"/>
    <n v="1"/>
    <n v="1"/>
    <n v="0"/>
    <n v="0"/>
    <n v="-429"/>
    <n v="0"/>
    <n v="429"/>
    <e v="#VALUE!"/>
    <n v="429"/>
    <n v="0"/>
    <m/>
    <m/>
    <s v="Y"/>
    <m/>
    <s v=" &gt;1YRS&lt;2YRS"/>
    <n v="0"/>
    <x v="0"/>
  </r>
  <r>
    <n v="966"/>
    <s v="N"/>
    <s v="N"/>
    <n v="2348115"/>
    <n v="6"/>
    <d v="2012-02-05T00:00:00"/>
    <d v="2012-02-07T00:00:00"/>
    <n v="2348115"/>
    <d v="2012-02-05T00:00:00"/>
    <d v="2012-02-07T00:00:00"/>
    <n v="15000"/>
    <x v="0"/>
    <m/>
    <s v="N"/>
    <s v="NONE"/>
    <s v="GUILTY PLEA - NO JURY"/>
    <n v="3"/>
    <n v="3"/>
    <n v="2"/>
    <n v="0"/>
    <n v="2"/>
    <m/>
    <m/>
    <m/>
    <m/>
    <m/>
    <m/>
    <m/>
    <m/>
    <d v="1988-09-12T00:00:00"/>
    <s v="M"/>
    <s v="W"/>
    <s v="WHITE"/>
    <s v="NON-HISPANIC"/>
    <s v="230"/>
    <s v="CONVICTED"/>
    <n v="2"/>
    <s v="TDC"/>
    <n v="2"/>
    <m/>
    <m/>
    <s v="BURGLARY OF A BUILDING"/>
    <m/>
    <s v="FS"/>
    <s v="BURGLARY"/>
    <m/>
    <m/>
    <m/>
    <m/>
    <m/>
    <m/>
    <m/>
    <m/>
    <m/>
    <s v="Appointed Attorney"/>
    <m/>
    <m/>
    <n v="3"/>
    <n v="3"/>
    <n v="3"/>
    <n v="23.349726775956285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3085"/>
    <s v="N"/>
    <s v="N"/>
    <n v="2349001"/>
    <n v="4"/>
    <d v="2012-04-24T00:00:00"/>
    <d v="2012-08-30T00:00:00"/>
    <n v="2349001"/>
    <d v="2012-04-24T00:00:00"/>
    <d v="2012-08-30T00:00:00"/>
    <n v="55000"/>
    <x v="2"/>
    <m/>
    <s v="N"/>
    <s v="NONE"/>
    <s v="GUILTY PLEA - NO JURY"/>
    <n v="129"/>
    <n v="129"/>
    <n v="1"/>
    <n v="0"/>
    <m/>
    <m/>
    <m/>
    <m/>
    <m/>
    <m/>
    <m/>
    <s v="S"/>
    <m/>
    <d v="1978-11-30T00:00:00"/>
    <s v="M"/>
    <s v="H"/>
    <s v="HISPANIC"/>
    <s v="NULL"/>
    <s v="230"/>
    <s v="CONVICTED"/>
    <n v="7"/>
    <s v="HCJ"/>
    <m/>
    <m/>
    <n v="130"/>
    <s v="FORGERY"/>
    <m/>
    <s v="FS"/>
    <s v="OTHER FEL"/>
    <m/>
    <m/>
    <m/>
    <m/>
    <m/>
    <m/>
    <m/>
    <m/>
    <m/>
    <s v="Hired Attorney"/>
    <m/>
    <m/>
    <n v="129"/>
    <n v="129"/>
    <n v="129"/>
    <n v="33.330601092896174"/>
    <n v="0"/>
    <n v="0"/>
    <s v="CONVICTION"/>
    <x v="0"/>
    <s v="N"/>
    <m/>
    <s v="CONVICTION"/>
    <s v="Y"/>
    <x v="0"/>
    <x v="0"/>
    <s v="Y"/>
    <n v="1"/>
    <n v="1"/>
    <n v="0"/>
    <n v="0"/>
    <n v="-129"/>
    <n v="0"/>
    <n v="129"/>
    <e v="#VALUE!"/>
    <n v="129"/>
    <n v="0"/>
    <m/>
    <m/>
    <s v="Y"/>
    <m/>
    <s v="121-365 DAYS"/>
    <n v="6"/>
    <x v="0"/>
  </r>
  <r>
    <n v="2821"/>
    <s v="N"/>
    <s v="N"/>
    <n v="2350526"/>
    <n v="6"/>
    <d v="2012-04-13T00:00:00"/>
    <d v="2012-09-18T00:00:00"/>
    <n v="2350526"/>
    <d v="2012-04-13T00:00:00"/>
    <d v="2012-09-18T00:00:00"/>
    <n v="200000"/>
    <x v="2"/>
    <m/>
    <s v="N"/>
    <s v="NONE"/>
    <s v="GUILTY PLEA - NO JURY"/>
    <n v="159"/>
    <n v="159"/>
    <n v="0"/>
    <n v="1"/>
    <m/>
    <m/>
    <m/>
    <m/>
    <m/>
    <m/>
    <m/>
    <s v="S"/>
    <m/>
    <d v="1985-01-07T00:00:00"/>
    <s v="M"/>
    <s v="H"/>
    <s v="HISPANIC"/>
    <s v="NULL"/>
    <s v="184"/>
    <s v="CONVICTED"/>
    <n v="7"/>
    <s v="TDC"/>
    <n v="2"/>
    <m/>
    <m/>
    <s v="BURGLARY OF HABITATION"/>
    <m/>
    <s v="F2"/>
    <s v="BURGLARY"/>
    <m/>
    <m/>
    <m/>
    <m/>
    <m/>
    <m/>
    <m/>
    <m/>
    <m/>
    <s v="Appointed Attorney"/>
    <m/>
    <m/>
    <n v="159"/>
    <n v="159"/>
    <n v="159"/>
    <n v="27.207650273224044"/>
    <n v="0"/>
    <n v="0"/>
    <s v="CONVICTION"/>
    <x v="0"/>
    <s v="N"/>
    <m/>
    <s v="CONVICTION"/>
    <s v="Y"/>
    <x v="0"/>
    <x v="0"/>
    <s v="N"/>
    <n v="1"/>
    <n v="1"/>
    <n v="0"/>
    <n v="0"/>
    <n v="-159"/>
    <n v="0"/>
    <n v="159"/>
    <e v="#VALUE!"/>
    <n v="159"/>
    <n v="0"/>
    <m/>
    <m/>
    <s v="Y"/>
    <m/>
    <s v="121-365 DAYS"/>
    <n v="6"/>
    <x v="0"/>
  </r>
  <r>
    <n v="1924"/>
    <s v="N"/>
    <s v="N"/>
    <n v="2350621"/>
    <n v="2"/>
    <d v="2012-03-13T00:00:00"/>
    <d v="2012-03-14T00:00:00"/>
    <n v="2350621"/>
    <d v="2012-03-13T00:00:00"/>
    <d v="2012-03-14T00:00:00"/>
    <n v="2000"/>
    <x v="5"/>
    <m/>
    <s v="N"/>
    <s v="NONE"/>
    <s v="DEFERRED ADJUDICATION "/>
    <n v="2"/>
    <n v="2"/>
    <n v="0"/>
    <n v="1"/>
    <m/>
    <m/>
    <m/>
    <m/>
    <m/>
    <m/>
    <m/>
    <m/>
    <m/>
    <d v="1979-11-20T00:00:00"/>
    <s v="M"/>
    <s v="W"/>
    <s v="WHITE"/>
    <s v="NULL"/>
    <s v="182"/>
    <s v="DEFERRED"/>
    <m/>
    <s v="DEFERRED"/>
    <m/>
    <m/>
    <m/>
    <s v="POSS CS PG 1 &lt;1G"/>
    <m/>
    <s v="FS"/>
    <s v="POSS DRUG"/>
    <s v="VOIH 6/7/12 bk 6/13/12 amend cop"/>
    <m/>
    <m/>
    <m/>
    <m/>
    <m/>
    <m/>
    <m/>
    <m/>
    <s v="Appointed Attorney"/>
    <m/>
    <m/>
    <n v="2"/>
    <n v="2"/>
    <n v="2"/>
    <n v="32.245901639344261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2273"/>
    <s v="N"/>
    <s v="N"/>
    <n v="2352226"/>
    <n v="5"/>
    <d v="2012-03-27T00:00:00"/>
    <d v="2012-04-12T00:00:00"/>
    <n v="2352226"/>
    <d v="2012-03-28T00:00:00"/>
    <d v="2012-04-12T00:00:00"/>
    <s v="NO BOND"/>
    <x v="1"/>
    <m/>
    <s v="N"/>
    <s v="NONE"/>
    <s v="GUILTY PLEA - NO JURY"/>
    <n v="16"/>
    <n v="17"/>
    <n v="1"/>
    <n v="0"/>
    <n v="1"/>
    <m/>
    <m/>
    <m/>
    <m/>
    <m/>
    <m/>
    <m/>
    <m/>
    <d v="1991-01-01T00:00:00"/>
    <s v="M"/>
    <s v="W"/>
    <s v="WHITE"/>
    <s v="NON-HISPANIC"/>
    <s v="178"/>
    <s v="CONVICTED"/>
    <n v="3"/>
    <s v="STJ"/>
    <m/>
    <n v="6"/>
    <m/>
    <s v="FORGERY"/>
    <m/>
    <s v="FS"/>
    <s v="OTHER FEL"/>
    <m/>
    <m/>
    <m/>
    <m/>
    <m/>
    <m/>
    <m/>
    <m/>
    <m/>
    <s v="Appointed Attorney"/>
    <m/>
    <m/>
    <n v="16"/>
    <n v="16"/>
    <n v="17"/>
    <n v="21.191256830601095"/>
    <n v="0"/>
    <n v="0"/>
    <s v="CONVICTION"/>
    <x v="0"/>
    <s v="N"/>
    <m/>
    <s v="CONVICTION"/>
    <s v="Y"/>
    <x v="0"/>
    <x v="0"/>
    <s v="Y"/>
    <n v="0.94117647058823528"/>
    <n v="1"/>
    <n v="5.8823529411764719E-2"/>
    <n v="0"/>
    <n v="-16"/>
    <n v="0"/>
    <n v="16"/>
    <e v="#VALUE!"/>
    <n v="16"/>
    <n v="0"/>
    <m/>
    <m/>
    <s v="Y"/>
    <m/>
    <s v="11-30 DAYS"/>
    <n v="2"/>
    <x v="0"/>
  </r>
  <r>
    <n v="2004"/>
    <s v="N"/>
    <s v="N"/>
    <n v="2352450"/>
    <n v="6"/>
    <d v="2012-03-16T00:00:00"/>
    <d v="2012-06-06T00:00:00"/>
    <n v="2352450"/>
    <d v="2012-03-16T00:00:00"/>
    <d v="2012-06-06T00:00:00"/>
    <n v="30000"/>
    <x v="2"/>
    <m/>
    <s v="N"/>
    <s v="NONE"/>
    <s v="GUILTY PLEA - NO JURY"/>
    <n v="83"/>
    <n v="83"/>
    <n v="3"/>
    <n v="1"/>
    <n v="1"/>
    <m/>
    <m/>
    <m/>
    <m/>
    <m/>
    <m/>
    <m/>
    <m/>
    <d v="1990-07-25T00:00:00"/>
    <s v="M"/>
    <s v="B"/>
    <s v="BLACK"/>
    <s v="NULL"/>
    <s v="337"/>
    <s v="CONVICTED"/>
    <n v="4"/>
    <s v="TDC"/>
    <n v="2"/>
    <m/>
    <m/>
    <s v="POSS W/INT DEL CS PG1 1G &lt;4 GR"/>
    <m/>
    <s v="F2"/>
    <s v="SALE DRUG"/>
    <m/>
    <m/>
    <m/>
    <m/>
    <m/>
    <m/>
    <m/>
    <m/>
    <m/>
    <s v="Public Defender"/>
    <m/>
    <m/>
    <n v="83"/>
    <n v="83"/>
    <n v="83"/>
    <n v="21.598360655737704"/>
    <n v="0"/>
    <n v="0"/>
    <s v="CONVICTION"/>
    <x v="0"/>
    <s v="N"/>
    <m/>
    <s v="CONVICTION"/>
    <s v="Y"/>
    <x v="0"/>
    <x v="0"/>
    <s v="Y"/>
    <n v="1"/>
    <n v="1"/>
    <n v="0"/>
    <n v="0"/>
    <n v="-83"/>
    <n v="0"/>
    <n v="83"/>
    <e v="#VALUE!"/>
    <n v="83"/>
    <n v="0"/>
    <m/>
    <m/>
    <s v="Y"/>
    <m/>
    <s v="61-90 DAYS"/>
    <n v="4"/>
    <x v="0"/>
  </r>
  <r>
    <n v="2087"/>
    <s v="N"/>
    <s v="N"/>
    <n v="2353080"/>
    <n v="5"/>
    <d v="2012-03-19T00:00:00"/>
    <d v="2012-05-17T00:00:00"/>
    <n v="2353080"/>
    <d v="2012-03-20T00:00:00"/>
    <d v="2012-05-17T00:00:00"/>
    <n v="30000"/>
    <x v="2"/>
    <m/>
    <s v="N"/>
    <s v="NONE"/>
    <s v="GUILTY PLEA - NO JURY"/>
    <n v="59"/>
    <n v="60"/>
    <n v="2"/>
    <n v="5"/>
    <n v="1"/>
    <m/>
    <m/>
    <m/>
    <m/>
    <m/>
    <m/>
    <m/>
    <m/>
    <d v="1990-12-22T00:00:00"/>
    <s v="M"/>
    <s v="B"/>
    <s v="BLACK"/>
    <s v="NON-HISPANIC"/>
    <s v="339"/>
    <s v="CONVICTED"/>
    <n v="4"/>
    <s v="STJ"/>
    <m/>
    <n v="9"/>
    <m/>
    <s v="BURGLARY OF A BUILDING"/>
    <m/>
    <s v="FS"/>
    <s v="BURGLARY"/>
    <m/>
    <m/>
    <m/>
    <m/>
    <m/>
    <m/>
    <m/>
    <m/>
    <m/>
    <s v="Appointed Attorney"/>
    <m/>
    <m/>
    <n v="59"/>
    <n v="59"/>
    <n v="60"/>
    <n v="21.196721311475411"/>
    <n v="0"/>
    <n v="0"/>
    <s v="CONVICTION"/>
    <x v="0"/>
    <s v="N"/>
    <m/>
    <s v="CONVICTION"/>
    <s v="Y"/>
    <x v="0"/>
    <x v="0"/>
    <s v="Y"/>
    <n v="0.98333333333333328"/>
    <n v="1"/>
    <n v="1.6666666666666718E-2"/>
    <n v="0"/>
    <n v="-59"/>
    <n v="0"/>
    <n v="59"/>
    <e v="#VALUE!"/>
    <n v="59"/>
    <n v="0"/>
    <m/>
    <m/>
    <s v="Y"/>
    <m/>
    <s v="31-60 DAYS"/>
    <n v="3"/>
    <x v="0"/>
  </r>
  <r>
    <n v="2967"/>
    <s v="N"/>
    <s v="N"/>
    <n v="2353934"/>
    <n v="6"/>
    <d v="2012-04-19T00:00:00"/>
    <d v="2012-09-13T00:00:00"/>
    <n v="2353934"/>
    <d v="2012-07-11T00:00:00"/>
    <d v="2012-09-13T00:00:00"/>
    <s v="NO BOND"/>
    <x v="1"/>
    <m/>
    <s v="N"/>
    <s v="NONE"/>
    <s v="GUILTY PLEA - NO JURY"/>
    <n v="65"/>
    <n v="148"/>
    <n v="2"/>
    <n v="4"/>
    <n v="1"/>
    <m/>
    <m/>
    <m/>
    <m/>
    <m/>
    <m/>
    <m/>
    <m/>
    <d v="1990-09-06T00:00:00"/>
    <s v="M"/>
    <s v="B"/>
    <s v="BLACK"/>
    <s v="NULL"/>
    <s v="185"/>
    <s v="CONVICTED"/>
    <n v="3"/>
    <s v="TDC"/>
    <n v="3"/>
    <m/>
    <m/>
    <s v="BURGLARY OF HABITATION"/>
    <m/>
    <s v="F2"/>
    <s v="BURGLARY"/>
    <m/>
    <m/>
    <m/>
    <m/>
    <m/>
    <m/>
    <m/>
    <m/>
    <m/>
    <s v="Appointed Attorney"/>
    <m/>
    <m/>
    <n v="65"/>
    <n v="65"/>
    <n v="148"/>
    <n v="21.57377049180328"/>
    <n v="0"/>
    <n v="0"/>
    <s v="CONVICTION"/>
    <x v="0"/>
    <s v="N"/>
    <m/>
    <s v="CONVICTION"/>
    <s v="Y"/>
    <x v="0"/>
    <x v="0"/>
    <s v="Y"/>
    <n v="0.4391891891891892"/>
    <n v="1"/>
    <n v="0.56081081081081074"/>
    <n v="0"/>
    <n v="-65"/>
    <n v="0"/>
    <n v="65"/>
    <e v="#VALUE!"/>
    <n v="65"/>
    <n v="0"/>
    <m/>
    <m/>
    <s v="Y"/>
    <m/>
    <s v="61-90 DAYS"/>
    <n v="4"/>
    <x v="0"/>
  </r>
  <r>
    <n v="1595"/>
    <s v="N"/>
    <s v="N"/>
    <n v="2354167"/>
    <n v="2"/>
    <d v="2012-02-29T00:00:00"/>
    <d v="2012-03-02T00:00:00"/>
    <n v="2354167"/>
    <d v="2012-02-29T00:00:00"/>
    <d v="2012-03-02T00:00:00"/>
    <n v="5000"/>
    <x v="4"/>
    <m/>
    <s v="N"/>
    <s v="NONE"/>
    <s v="DEFERRED ADJUDICATION "/>
    <n v="3"/>
    <n v="3"/>
    <n v="1"/>
    <n v="20"/>
    <m/>
    <m/>
    <m/>
    <m/>
    <m/>
    <m/>
    <m/>
    <m/>
    <m/>
    <d v="1969-05-29T00:00:00"/>
    <s v="F"/>
    <s v="W"/>
    <s v="WHITE"/>
    <s v="NON-HISPANIC"/>
    <s v="183"/>
    <s v="DEFERRED"/>
    <n v="2"/>
    <s v="DEFERRED"/>
    <m/>
    <m/>
    <m/>
    <s v="POSS CS PG 1 &lt;1G"/>
    <m/>
    <s v="FS"/>
    <s v="POSS DRUG"/>
    <s v="5/14/12 law v  admen 7/26/12cop "/>
    <m/>
    <m/>
    <m/>
    <m/>
    <m/>
    <m/>
    <m/>
    <m/>
    <s v="Appointed Attorney"/>
    <m/>
    <m/>
    <n v="3"/>
    <n v="3"/>
    <n v="3"/>
    <n v="42.666666666666664"/>
    <n v="0"/>
    <n v="0"/>
    <s v="DEFERRED"/>
    <x v="0"/>
    <s v="N"/>
    <m/>
    <s v="DEFERRED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3238"/>
    <s v="N"/>
    <s v="N"/>
    <n v="2354375"/>
    <n v="5"/>
    <d v="2012-04-29T00:00:00"/>
    <d v="2012-05-21T00:00:00"/>
    <n v="2354375"/>
    <d v="2012-04-29T00:00:00"/>
    <d v="2012-05-01T00:00:00"/>
    <n v="5000"/>
    <x v="4"/>
    <d v="2012-05-01T00:00:00"/>
    <s v="Y"/>
    <s v="SURETY"/>
    <s v="GUILTY PLEA - NO JURY"/>
    <n v="3"/>
    <n v="23"/>
    <n v="2"/>
    <n v="1"/>
    <n v="1"/>
    <m/>
    <m/>
    <m/>
    <m/>
    <m/>
    <m/>
    <s v="S"/>
    <m/>
    <d v="1990-11-23T00:00:00"/>
    <s v="M"/>
    <s v="H"/>
    <s v="HISPANIC"/>
    <s v="NULL"/>
    <s v="228"/>
    <s v="CONVICTED"/>
    <n v="4"/>
    <s v="STJ"/>
    <m/>
    <n v="6"/>
    <m/>
    <s v="ATT POSS FIREARM"/>
    <m/>
    <s v="FS"/>
    <s v="OTHER FEL"/>
    <m/>
    <m/>
    <m/>
    <m/>
    <m/>
    <m/>
    <m/>
    <m/>
    <m/>
    <s v="Appointed Attorney"/>
    <m/>
    <m/>
    <n v="3"/>
    <n v="23"/>
    <n v="23"/>
    <n v="21.387978142076502"/>
    <n v="0"/>
    <n v="-20"/>
    <s v="CONVICTION"/>
    <x v="1"/>
    <s v="Y"/>
    <m/>
    <s v="CONVICTION"/>
    <s v="Y"/>
    <x v="1"/>
    <x v="0"/>
    <s v="Y"/>
    <n v="0.13043478260869565"/>
    <n v="0.13043478260869565"/>
    <n v="0"/>
    <n v="0"/>
    <n v="-3"/>
    <n v="0"/>
    <n v="3"/>
    <e v="#VALUE!"/>
    <n v="3"/>
    <n v="0"/>
    <m/>
    <m/>
    <s v="Y"/>
    <m/>
    <s v="0-10 DAYS"/>
    <n v="1"/>
    <x v="0"/>
  </r>
  <r>
    <n v="222"/>
    <s v="N"/>
    <s v="N"/>
    <n v="2354654"/>
    <n v="4"/>
    <d v="2011-04-28T00:00:00"/>
    <d v="2012-02-01T00:00:00"/>
    <n v="2354654"/>
    <d v="2011-05-04T00:00:00"/>
    <d v="2011-05-07T00:00:00"/>
    <n v="10000"/>
    <x v="3"/>
    <d v="2011-05-07T00:00:00"/>
    <s v="Y"/>
    <s v="SURETY"/>
    <s v="DEFENDANT CONVICTED ON ANOTHER CHARGE"/>
    <n v="4"/>
    <n v="280"/>
    <n v="1"/>
    <n v="0"/>
    <n v="1"/>
    <m/>
    <m/>
    <m/>
    <m/>
    <m/>
    <m/>
    <m/>
    <m/>
    <d v="1986-12-11T00:00:00"/>
    <s v="M"/>
    <s v="B"/>
    <s v="BLACK"/>
    <s v="NON-HISPANIC"/>
    <s v="262"/>
    <s v="CONVICTED"/>
    <n v="9"/>
    <s v="HCJ"/>
    <m/>
    <m/>
    <n v="40"/>
    <s v="ASSAULT-BOD INJ-FAMILY MEMBER"/>
    <m/>
    <s v="F3"/>
    <s v="ASLT-MURDR"/>
    <m/>
    <m/>
    <m/>
    <m/>
    <m/>
    <m/>
    <m/>
    <m/>
    <m/>
    <s v="Appointed Attorney"/>
    <m/>
    <m/>
    <n v="4"/>
    <n v="274"/>
    <n v="280"/>
    <n v="24.327868852459016"/>
    <n v="0"/>
    <n v="-270"/>
    <s v="CONVICTION"/>
    <x v="1"/>
    <s v="Y"/>
    <m/>
    <s v="CONVICTION"/>
    <s v="Y"/>
    <x v="1"/>
    <x v="0"/>
    <s v="Y"/>
    <n v="1.4285714285714285E-2"/>
    <n v="1.4598540145985401E-2"/>
    <n v="3.1282586027111571E-4"/>
    <n v="0"/>
    <n v="-4"/>
    <n v="0"/>
    <n v="4"/>
    <e v="#VALUE!"/>
    <n v="4"/>
    <n v="0"/>
    <m/>
    <m/>
    <s v="Y"/>
    <m/>
    <s v="0-10 DAYS"/>
    <n v="1"/>
    <x v="0"/>
  </r>
  <r>
    <n v="2339"/>
    <s v="N"/>
    <s v="N"/>
    <n v="2354812"/>
    <n v="6"/>
    <d v="2012-03-29T00:00:00"/>
    <d v="2012-07-18T00:00:00"/>
    <n v="2354812"/>
    <d v="2012-03-29T00:00:00"/>
    <d v="2012-07-18T00:00:00"/>
    <n v="50000"/>
    <x v="2"/>
    <m/>
    <s v="N"/>
    <s v="NONE"/>
    <s v="GUILTY PLEA - NO JURY"/>
    <n v="112"/>
    <n v="112"/>
    <n v="1"/>
    <n v="5"/>
    <n v="1"/>
    <m/>
    <m/>
    <m/>
    <m/>
    <m/>
    <m/>
    <m/>
    <m/>
    <d v="1988-11-25T00:00:00"/>
    <s v="M"/>
    <s v="B"/>
    <s v="BLACK"/>
    <s v="NON-HISPANIC"/>
    <s v="184"/>
    <s v="CONVICTED"/>
    <n v="10"/>
    <s v="TDC"/>
    <n v="12"/>
    <m/>
    <m/>
    <s v="AGG ROBBERY-DEADLY WPN"/>
    <m/>
    <s v="F1"/>
    <s v="ROBBERY"/>
    <m/>
    <m/>
    <m/>
    <m/>
    <m/>
    <m/>
    <m/>
    <m/>
    <m/>
    <s v="Appointed Attorney"/>
    <m/>
    <m/>
    <n v="112"/>
    <n v="112"/>
    <n v="112"/>
    <n v="23.292349726775956"/>
    <n v="0"/>
    <n v="0"/>
    <s v="CONVICTION"/>
    <x v="0"/>
    <s v="N"/>
    <m/>
    <s v="CONVICTION"/>
    <s v="Y"/>
    <x v="0"/>
    <x v="0"/>
    <s v="Y"/>
    <n v="1"/>
    <n v="1"/>
    <n v="0"/>
    <n v="0"/>
    <n v="-112"/>
    <n v="0"/>
    <n v="112"/>
    <e v="#VALUE!"/>
    <n v="112"/>
    <n v="0"/>
    <m/>
    <m/>
    <s v="Y"/>
    <m/>
    <s v="91-120 DAYS"/>
    <n v="0"/>
    <x v="0"/>
  </r>
  <r>
    <n v="466"/>
    <s v="N"/>
    <s v="N"/>
    <n v="2355138"/>
    <n v="5"/>
    <d v="2012-01-19T00:00:00"/>
    <d v="2012-04-12T00:00:00"/>
    <n v="2355138"/>
    <d v="2012-01-20T00:00:00"/>
    <d v="2012-04-12T00:00:00"/>
    <n v="15000"/>
    <x v="0"/>
    <m/>
    <s v="N"/>
    <s v="NONE"/>
    <s v="GUILTY PLEA - NO JURY"/>
    <n v="84"/>
    <n v="85"/>
    <n v="2"/>
    <n v="0"/>
    <n v="1"/>
    <m/>
    <m/>
    <m/>
    <m/>
    <m/>
    <m/>
    <m/>
    <m/>
    <d v="1956-01-19T00:00:00"/>
    <s v="M"/>
    <s v="W"/>
    <s v="WHITE"/>
    <s v="NULL"/>
    <s v="208"/>
    <s v="CONVICTED"/>
    <n v="4"/>
    <s v="STJ"/>
    <m/>
    <n v="6"/>
    <m/>
    <s v="POSS CS PG 1 &lt;1G"/>
    <m/>
    <s v="FS"/>
    <s v="POSS DRUG"/>
    <m/>
    <m/>
    <m/>
    <m/>
    <m/>
    <m/>
    <m/>
    <m/>
    <m/>
    <s v="Appointed Attorney"/>
    <m/>
    <m/>
    <n v="84"/>
    <n v="84"/>
    <n v="85"/>
    <n v="55.885245901639344"/>
    <n v="0"/>
    <n v="0"/>
    <s v="CONVICTION"/>
    <x v="0"/>
    <s v="N"/>
    <m/>
    <s v="CONVICTION"/>
    <s v="Y"/>
    <x v="0"/>
    <x v="0"/>
    <s v="Y"/>
    <n v="0.9882352941176471"/>
    <n v="1"/>
    <n v="1.1764705882352899E-2"/>
    <n v="0"/>
    <n v="-84"/>
    <n v="0"/>
    <n v="84"/>
    <e v="#VALUE!"/>
    <n v="84"/>
    <n v="0"/>
    <m/>
    <m/>
    <s v="Y"/>
    <m/>
    <s v="61-90 DAYS"/>
    <n v="4"/>
    <x v="0"/>
  </r>
  <r>
    <n v="2750"/>
    <s v="N"/>
    <s v="N"/>
    <n v="2355212"/>
    <n v="4"/>
    <d v="2012-04-12T00:00:00"/>
    <d v="2012-07-23T00:00:00"/>
    <n v="2355212"/>
    <d v="2012-04-12T00:00:00"/>
    <d v="2012-07-23T00:00:00"/>
    <s v="NO BOND"/>
    <x v="1"/>
    <m/>
    <s v="N"/>
    <s v="NONE"/>
    <s v="GUILTY PLEA - NO JURY"/>
    <n v="103"/>
    <n v="103"/>
    <n v="1"/>
    <n v="3"/>
    <n v="1"/>
    <m/>
    <m/>
    <m/>
    <m/>
    <m/>
    <m/>
    <m/>
    <m/>
    <d v="1987-01-14T00:00:00"/>
    <s v="M"/>
    <s v="W"/>
    <s v="WHITE"/>
    <s v="NON-HISPANIC"/>
    <s v="183"/>
    <s v="CONVICTED"/>
    <n v="5"/>
    <s v="HCJ"/>
    <m/>
    <m/>
    <n v="60"/>
    <s v="POSS CS PG 1 &lt;1G"/>
    <m/>
    <s v="FS"/>
    <s v="POSS DRUG"/>
    <m/>
    <m/>
    <m/>
    <m/>
    <m/>
    <m/>
    <m/>
    <m/>
    <m/>
    <s v="Hired Attorney"/>
    <m/>
    <m/>
    <n v="103"/>
    <n v="103"/>
    <n v="103"/>
    <n v="25.191256830601095"/>
    <n v="0"/>
    <n v="0"/>
    <s v="CONVICTION"/>
    <x v="0"/>
    <s v="N"/>
    <m/>
    <s v="CONVICTION"/>
    <s v="Y"/>
    <x v="0"/>
    <x v="0"/>
    <s v="Y"/>
    <n v="1"/>
    <n v="1"/>
    <n v="0"/>
    <n v="0"/>
    <n v="-103"/>
    <n v="0"/>
    <n v="103"/>
    <e v="#VALUE!"/>
    <n v="103"/>
    <n v="0"/>
    <m/>
    <m/>
    <s v="Y"/>
    <m/>
    <s v="91-120 DAYS"/>
    <n v="0"/>
    <x v="0"/>
  </r>
  <r>
    <n v="2095"/>
    <s v="N"/>
    <s v="N"/>
    <n v="2355596"/>
    <n v="4"/>
    <d v="2012-03-19T00:00:00"/>
    <d v="2012-03-21T00:00:00"/>
    <n v="2355596"/>
    <d v="2012-03-20T00:00:00"/>
    <d v="2012-03-21T00:00:00"/>
    <s v="NO BOND"/>
    <x v="1"/>
    <m/>
    <s v="N"/>
    <s v="NONE"/>
    <s v="GUILTY PLEA - NO JURY"/>
    <n v="2"/>
    <n v="3"/>
    <n v="2"/>
    <n v="0"/>
    <n v="1"/>
    <m/>
    <m/>
    <m/>
    <m/>
    <m/>
    <m/>
    <m/>
    <m/>
    <d v="1989-07-15T00:00:00"/>
    <s v="M"/>
    <s v="B"/>
    <s v="BLACK"/>
    <s v="NON-HISPANIC"/>
    <s v="182"/>
    <s v="CONVICTED"/>
    <n v="1"/>
    <s v="HCJ"/>
    <m/>
    <m/>
    <n v="270"/>
    <s v="POSS CS PG 1 &lt;1G"/>
    <m/>
    <s v="FS"/>
    <s v="POSS DRUG"/>
    <m/>
    <m/>
    <m/>
    <m/>
    <m/>
    <m/>
    <m/>
    <m/>
    <m/>
    <s v="Appointed Attorney"/>
    <m/>
    <m/>
    <n v="2"/>
    <n v="2"/>
    <n v="3"/>
    <n v="22.631147540983605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2538"/>
    <s v="N"/>
    <s v="N"/>
    <n v="2355807"/>
    <n v="4"/>
    <d v="2012-04-04T00:00:00"/>
    <d v="2012-04-25T00:00:00"/>
    <n v="2355807"/>
    <d v="2012-04-05T00:00:00"/>
    <d v="2012-04-25T00:00:00"/>
    <n v="2000"/>
    <x v="5"/>
    <m/>
    <s v="N"/>
    <s v="NONE"/>
    <s v="GUILTY PLEA - NO JURY"/>
    <n v="21"/>
    <n v="22"/>
    <n v="2"/>
    <n v="3"/>
    <n v="1"/>
    <m/>
    <m/>
    <m/>
    <m/>
    <m/>
    <m/>
    <m/>
    <m/>
    <d v="1987-08-06T00:00:00"/>
    <s v="M"/>
    <s v="W"/>
    <s v="WHITE"/>
    <s v="NON-HISPANIC"/>
    <s v="337"/>
    <s v="CONVICTED"/>
    <n v="2"/>
    <s v="HCJ"/>
    <m/>
    <m/>
    <n v="30"/>
    <s v="POSS CS PG 1 &lt;1G"/>
    <m/>
    <s v="FS"/>
    <s v="POSS DRUG"/>
    <m/>
    <m/>
    <m/>
    <m/>
    <m/>
    <m/>
    <m/>
    <m/>
    <m/>
    <s v="Appointed Attorney"/>
    <m/>
    <m/>
    <n v="21"/>
    <n v="21"/>
    <n v="22"/>
    <n v="24.612021857923498"/>
    <n v="0"/>
    <n v="0"/>
    <s v="CONVICTION"/>
    <x v="0"/>
    <s v="N"/>
    <m/>
    <s v="CONVICTION"/>
    <s v="Y"/>
    <x v="0"/>
    <x v="0"/>
    <s v="Y"/>
    <n v="0.95454545454545459"/>
    <n v="1"/>
    <n v="4.5454545454545414E-2"/>
    <n v="0"/>
    <n v="-21"/>
    <n v="0"/>
    <n v="21"/>
    <e v="#VALUE!"/>
    <n v="21"/>
    <n v="0"/>
    <m/>
    <m/>
    <s v="Y"/>
    <m/>
    <s v="11-30 DAYS"/>
    <n v="2"/>
    <x v="0"/>
  </r>
  <r>
    <n v="540"/>
    <s v="N"/>
    <s v="N"/>
    <n v="2355931"/>
    <n v="4"/>
    <d v="2012-01-22T00:00:00"/>
    <d v="2013-05-10T00:00:00"/>
    <n v="2355931"/>
    <d v="2012-01-22T00:00:00"/>
    <d v="2013-05-10T00:00:00"/>
    <n v="10000"/>
    <x v="3"/>
    <m/>
    <s v="N"/>
    <s v="NONE"/>
    <s v="GUILTY PLEA - NO JURY"/>
    <n v="475"/>
    <n v="475"/>
    <n v="4"/>
    <n v="16"/>
    <m/>
    <m/>
    <m/>
    <m/>
    <m/>
    <m/>
    <m/>
    <m/>
    <m/>
    <d v="1990-09-02T00:00:00"/>
    <s v="M"/>
    <s v="B"/>
    <s v="BLACK"/>
    <s v="NON-HISPANIC"/>
    <s v="351"/>
    <s v="NULL"/>
    <n v="11"/>
    <s v="HCJ"/>
    <m/>
    <m/>
    <n v="365"/>
    <s v="ROBBERY-BODILY INJURY"/>
    <m/>
    <s v="F2"/>
    <s v="ROBBERY"/>
    <m/>
    <m/>
    <m/>
    <m/>
    <m/>
    <m/>
    <m/>
    <m/>
    <m/>
    <s v="Appointed Attorney"/>
    <m/>
    <m/>
    <n v="475"/>
    <n v="475"/>
    <n v="475"/>
    <n v="21.344262295081968"/>
    <n v="0"/>
    <n v="0"/>
    <s v="CONVICTION"/>
    <x v="0"/>
    <s v="N"/>
    <m/>
    <s v=""/>
    <s v="Y"/>
    <x v="0"/>
    <x v="0"/>
    <s v="Y"/>
    <n v="1"/>
    <n v="1"/>
    <n v="0"/>
    <n v="0"/>
    <n v="-475"/>
    <n v="0"/>
    <n v="475"/>
    <e v="#VALUE!"/>
    <n v="475"/>
    <n v="0"/>
    <m/>
    <m/>
    <s v="Y"/>
    <m/>
    <s v=" &gt;1YRS&lt;2YRS"/>
    <n v="0"/>
    <x v="0"/>
  </r>
  <r>
    <n v="1680"/>
    <s v="N"/>
    <s v="N"/>
    <n v="2356060"/>
    <n v="2"/>
    <d v="2012-03-02T00:00:00"/>
    <d v="2012-11-28T00:00:00"/>
    <n v="2356060"/>
    <s v="NOT BOOKED"/>
    <s v="NOT BOOKED"/>
    <n v="20000"/>
    <x v="0"/>
    <d v="2012-03-04T00:00:00"/>
    <s v="Y"/>
    <s v="SURETYPTRc"/>
    <s v="DEFERRED ADJUDICATION "/>
    <n v="0"/>
    <n v="272"/>
    <n v="0"/>
    <n v="0"/>
    <m/>
    <m/>
    <m/>
    <m/>
    <m/>
    <m/>
    <m/>
    <m/>
    <m/>
    <d v="1989-03-07T00:00:00"/>
    <s v="M"/>
    <s v="B"/>
    <s v="BLACK"/>
    <s v="NON-HISPANIC"/>
    <s v="351"/>
    <s v="DEFERRED"/>
    <n v="11"/>
    <s v="DEFERRED"/>
    <m/>
    <m/>
    <m/>
    <s v="MAN/DEL CS PG II 4-400 GRAMS"/>
    <m/>
    <s v="F1"/>
    <s v="SALE DRUG"/>
    <m/>
    <m/>
    <m/>
    <m/>
    <m/>
    <m/>
    <m/>
    <m/>
    <m/>
    <s v="Hired Attorney"/>
    <m/>
    <m/>
    <n v="0"/>
    <n v="0"/>
    <n v="272"/>
    <n v="22.939890710382514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817"/>
    <s v="N"/>
    <s v="N"/>
    <n v="2356111"/>
    <n v="6"/>
    <d v="2012-04-13T00:00:00"/>
    <d v="2012-04-16T00:00:00"/>
    <n v="2356111"/>
    <d v="2012-04-14T00:00:00"/>
    <d v="2012-04-16T00:00:00"/>
    <n v="10000"/>
    <x v="3"/>
    <m/>
    <s v="N"/>
    <s v="NONE"/>
    <s v="GUILTY PLEA - NO JURY"/>
    <n v="3"/>
    <n v="4"/>
    <n v="1"/>
    <n v="2"/>
    <m/>
    <m/>
    <m/>
    <m/>
    <m/>
    <m/>
    <m/>
    <m/>
    <m/>
    <d v="1988-10-03T00:00:00"/>
    <s v="M"/>
    <s v="W"/>
    <s v="WHITE"/>
    <s v="NULL"/>
    <s v="179"/>
    <s v="CONVICTED"/>
    <n v="1"/>
    <s v="TDC"/>
    <n v="2"/>
    <m/>
    <m/>
    <s v="BURGLARY OF HABITATION"/>
    <m/>
    <s v="F2"/>
    <s v="BURGLARY"/>
    <m/>
    <m/>
    <m/>
    <m/>
    <m/>
    <m/>
    <m/>
    <m/>
    <m/>
    <s v="Appointed Attorney"/>
    <m/>
    <m/>
    <n v="3"/>
    <n v="3"/>
    <n v="4"/>
    <n v="23.478142076502731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m/>
    <m/>
    <s v="Y"/>
    <m/>
    <s v="0-10 DAYS"/>
    <n v="1"/>
    <x v="0"/>
  </r>
  <r>
    <n v="2533"/>
    <s v="N"/>
    <s v="Y"/>
    <n v="2356469"/>
    <n v="6"/>
    <d v="2012-04-04T00:00:00"/>
    <d v="2013-04-17T00:00:00"/>
    <n v="2356469"/>
    <d v="2012-04-14T00:00:00"/>
    <d v="2012-04-16T00:00:00"/>
    <n v="10000"/>
    <x v="3"/>
    <d v="2012-04-16T00:00:00"/>
    <s v="Y"/>
    <s v="SURETY"/>
    <s v="GUILTY PLEA - NO JURY"/>
    <n v="366"/>
    <n v="379"/>
    <n v="0"/>
    <n v="2"/>
    <m/>
    <m/>
    <m/>
    <m/>
    <m/>
    <m/>
    <m/>
    <m/>
    <m/>
    <d v="1990-07-11T00:00:00"/>
    <s v="M"/>
    <s v="B"/>
    <s v="BLACK"/>
    <s v="NULL"/>
    <s v="183"/>
    <s v="CONVICTED"/>
    <n v="14"/>
    <s v="TDC"/>
    <n v="3"/>
    <m/>
    <m/>
    <s v="ROBBERY-BODILY INJURY"/>
    <m/>
    <s v="F2"/>
    <s v="ROBBERY"/>
    <s v="OTHER CASE DISM"/>
    <s v="bk 4/20/12 bd rev"/>
    <m/>
    <m/>
    <s v="Y"/>
    <m/>
    <m/>
    <m/>
    <m/>
    <s v="Appointed Attorney"/>
    <m/>
    <m/>
    <n v="366"/>
    <n v="369"/>
    <n v="379"/>
    <n v="21.688524590163933"/>
    <n v="0"/>
    <n v="-366"/>
    <s v="CONVICTION"/>
    <x v="1"/>
    <s v="N"/>
    <m/>
    <s v="CONVICTION"/>
    <s v="Y"/>
    <x v="0"/>
    <x v="0"/>
    <s v="N"/>
    <n v="0.96569920844327173"/>
    <n v="8.130081300813009E-3"/>
    <n v="-0.95756912714245868"/>
    <n v="0"/>
    <n v="-3"/>
    <n v="363"/>
    <n v="369"/>
    <n v="366"/>
    <n v="369"/>
    <n v="366"/>
    <m/>
    <m/>
    <s v="Y"/>
    <m/>
    <s v=" &gt;1YRS&lt;2YRS"/>
    <n v="0"/>
    <x v="0"/>
  </r>
  <r>
    <n v="1406"/>
    <s v="N"/>
    <s v="N"/>
    <n v="2356643"/>
    <n v="5"/>
    <d v="2012-02-21T00:00:00"/>
    <d v="2012-02-23T00:00:00"/>
    <n v="2356643"/>
    <d v="2012-02-22T00:00:00"/>
    <d v="2012-02-23T00:00:00"/>
    <n v="5000"/>
    <x v="4"/>
    <m/>
    <s v="N"/>
    <s v="NONE"/>
    <s v="GUILTY PLEA - NO JURY"/>
    <n v="2"/>
    <n v="3"/>
    <n v="4"/>
    <n v="4"/>
    <n v="2"/>
    <m/>
    <m/>
    <m/>
    <m/>
    <m/>
    <m/>
    <m/>
    <m/>
    <d v="1990-08-07T00:00:00"/>
    <s v="M"/>
    <s v="H"/>
    <s v="HISPANIC"/>
    <s v="HISPANIC"/>
    <s v="232"/>
    <s v="CONVICTED"/>
    <n v="1"/>
    <s v="STJ"/>
    <m/>
    <n v="6"/>
    <m/>
    <s v="THEFT UNDER $1500 - 3RD OFF."/>
    <m/>
    <s v="FS"/>
    <s v="THEFT"/>
    <s v="misd trespass conv 9/4/12  hcj 20 days"/>
    <m/>
    <m/>
    <m/>
    <m/>
    <m/>
    <m/>
    <m/>
    <m/>
    <s v="Appointed Attorney"/>
    <m/>
    <m/>
    <n v="2"/>
    <n v="2"/>
    <n v="3"/>
    <n v="21.497267759562842"/>
    <n v="0"/>
    <n v="0"/>
    <s v="CONVICTION"/>
    <x v="0"/>
    <s v="N"/>
    <m/>
    <s v="CONVICTION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839"/>
    <s v="N"/>
    <s v="N"/>
    <n v="2357266"/>
    <n v="6"/>
    <d v="2012-02-01T00:00:00"/>
    <d v="2014-01-17T00:00:00"/>
    <n v="2357266"/>
    <d v="2012-02-01T00:00:00"/>
    <d v="2014-01-17T00:00:00"/>
    <n v="140000"/>
    <x v="2"/>
    <m/>
    <s v="N"/>
    <s v="NONE"/>
    <s v="GUILTY PLEA - NO JURY"/>
    <n v="717"/>
    <n v="717"/>
    <n v="2"/>
    <n v="4"/>
    <n v="2"/>
    <m/>
    <m/>
    <m/>
    <m/>
    <m/>
    <m/>
    <m/>
    <m/>
    <d v="1990-11-07T00:00:00"/>
    <s v="M"/>
    <s v="H"/>
    <s v="HISPANIC"/>
    <s v="HISPANIC"/>
    <s v="209"/>
    <s v="CONVICTED"/>
    <n v="20"/>
    <s v="TDC"/>
    <n v="20"/>
    <m/>
    <m/>
    <s v="INJURY TO CHILD-SBI"/>
    <m/>
    <s v="F1"/>
    <s v="ASLT-MURDR"/>
    <s v="MULTI CASES INVOLVED"/>
    <m/>
    <m/>
    <m/>
    <m/>
    <m/>
    <m/>
    <m/>
    <m/>
    <s v="Appointed Attorney"/>
    <m/>
    <m/>
    <n v="717"/>
    <n v="717"/>
    <n v="717"/>
    <n v="21.191256830601095"/>
    <n v="0"/>
    <n v="0"/>
    <s v="CONVICTION"/>
    <x v="0"/>
    <s v="N"/>
    <m/>
    <s v="CONVICTION"/>
    <s v="Y"/>
    <x v="0"/>
    <x v="0"/>
    <s v="Y"/>
    <n v="1"/>
    <n v="1"/>
    <n v="0"/>
    <n v="0"/>
    <n v="-717"/>
    <n v="0"/>
    <n v="717"/>
    <e v="#VALUE!"/>
    <n v="717"/>
    <m/>
    <m/>
    <m/>
    <s v="Y"/>
    <e v="#N/A"/>
    <s v=" &gt;1YRS&lt;2YRS"/>
    <n v="0"/>
    <x v="0"/>
  </r>
  <r>
    <n v="1168"/>
    <s v="N"/>
    <s v="N"/>
    <n v="2358451"/>
    <n v="6"/>
    <d v="2012-02-12T00:00:00"/>
    <d v="2012-05-25T00:00:00"/>
    <n v="2358451"/>
    <d v="2012-02-13T00:00:00"/>
    <d v="2012-05-25T00:00:00"/>
    <n v="70000"/>
    <x v="2"/>
    <m/>
    <s v="N"/>
    <s v="NONE"/>
    <s v="GUILTY PLEA - NO JURY"/>
    <n v="103"/>
    <n v="104"/>
    <n v="0"/>
    <n v="2"/>
    <m/>
    <m/>
    <m/>
    <m/>
    <m/>
    <m/>
    <m/>
    <s v="S"/>
    <m/>
    <d v="1966-04-24T00:00:00"/>
    <s v="M"/>
    <s v="H"/>
    <s v="HISPANIC"/>
    <s v="NULL"/>
    <s v="185"/>
    <s v="CONVICTED"/>
    <n v="6"/>
    <s v="TDC"/>
    <n v="4"/>
    <m/>
    <m/>
    <s v="POSS CS PG 1 4G - 200G"/>
    <m/>
    <s v="F2"/>
    <s v="POSS DRUG"/>
    <m/>
    <m/>
    <m/>
    <m/>
    <m/>
    <m/>
    <m/>
    <m/>
    <m/>
    <s v="Hired Attorney"/>
    <m/>
    <m/>
    <n v="103"/>
    <n v="103"/>
    <n v="104"/>
    <n v="45.710382513661202"/>
    <n v="0"/>
    <n v="0"/>
    <s v="CONVICTION"/>
    <x v="0"/>
    <s v="N"/>
    <m/>
    <s v="CONVICTION"/>
    <s v="Y"/>
    <x v="0"/>
    <x v="0"/>
    <s v="N"/>
    <n v="0.99038461538461542"/>
    <n v="1"/>
    <n v="9.6153846153845812E-3"/>
    <n v="0"/>
    <n v="-103"/>
    <n v="0"/>
    <n v="103"/>
    <e v="#VALUE!"/>
    <n v="103"/>
    <n v="0"/>
    <m/>
    <m/>
    <s v="Y"/>
    <m/>
    <s v="91-120 DAYS"/>
    <n v="0"/>
    <x v="0"/>
  </r>
  <r>
    <n v="1253"/>
    <s v="Y"/>
    <s v="N"/>
    <n v="2358461"/>
    <n v="1"/>
    <d v="2012-02-15T00:00:00"/>
    <d v="2012-02-17T00:00:00"/>
    <n v="2358461"/>
    <d v="2012-02-15T00:00:00"/>
    <d v="2012-02-17T00:00:00"/>
    <n v="20000"/>
    <x v="0"/>
    <m/>
    <s v="N"/>
    <s v="NONE"/>
    <s v="DISMISSED"/>
    <n v="3"/>
    <n v="3"/>
    <n v="1"/>
    <n v="7"/>
    <m/>
    <m/>
    <m/>
    <m/>
    <m/>
    <m/>
    <m/>
    <m/>
    <m/>
    <d v="1990-01-06T00:00:00"/>
    <s v="M"/>
    <s v="B"/>
    <s v="BLACK"/>
    <s v="NON-HISPANIC"/>
    <s v="174"/>
    <s v="DISMISSED"/>
    <n v="1"/>
    <s v="DISMISSED"/>
    <m/>
    <m/>
    <m/>
    <s v="MAN/DEL CS PG II 4-400 GRAMS"/>
    <m/>
    <s v="F1"/>
    <s v="SALE DRUG"/>
    <s v="fel assalt fam mem 9/25/12  hcj 120 d"/>
    <m/>
    <m/>
    <m/>
    <m/>
    <m/>
    <m/>
    <m/>
    <m/>
    <s v="Other/Unknown"/>
    <s v="fel aslt fam mem9/25/12  hcj 120 d,pcs5/20/13hcj"/>
    <m/>
    <n v="3"/>
    <n v="3"/>
    <n v="3"/>
    <n v="22.062841530054644"/>
    <n v="0"/>
    <n v="0"/>
    <s v="NO CONVICTION"/>
    <x v="0"/>
    <s v="N"/>
    <m/>
    <s v="NO 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210"/>
    <s v="N"/>
    <s v="N"/>
    <n v="2358709"/>
    <n v="2"/>
    <d v="2012-03-24T00:00:00"/>
    <d v="2012-09-06T00:00:00"/>
    <n v="2358709"/>
    <d v="2012-03-24T00:00:00"/>
    <d v="2012-03-26T00:00:00"/>
    <n v="10000"/>
    <x v="3"/>
    <d v="2012-03-26T00:00:00"/>
    <s v="Y"/>
    <s v="SURETY"/>
    <s v="DEFERRED ADJUDICATION "/>
    <n v="3"/>
    <n v="167"/>
    <n v="0"/>
    <n v="0"/>
    <m/>
    <m/>
    <m/>
    <m/>
    <m/>
    <m/>
    <m/>
    <m/>
    <m/>
    <d v="1989-10-13T00:00:00"/>
    <s v="M"/>
    <s v="B"/>
    <s v="BLACK"/>
    <s v="NULL"/>
    <s v="351"/>
    <s v="DEFERRED"/>
    <n v="8"/>
    <s v="DEFERRED"/>
    <m/>
    <m/>
    <m/>
    <s v="BURGLARY OF HABITATION"/>
    <m/>
    <s v="F2"/>
    <s v="BURGLARY"/>
    <m/>
    <m/>
    <m/>
    <m/>
    <m/>
    <m/>
    <m/>
    <m/>
    <m/>
    <s v="Hired Attorney"/>
    <m/>
    <m/>
    <n v="3"/>
    <n v="167"/>
    <n v="167"/>
    <n v="22.398907103825138"/>
    <n v="0"/>
    <n v="-164"/>
    <s v="DEFERRED"/>
    <x v="1"/>
    <s v="Y"/>
    <m/>
    <s v="DEFERRED"/>
    <s v="Y"/>
    <x v="1"/>
    <x v="0"/>
    <s v="N"/>
    <n v="1.7964071856287425E-2"/>
    <n v="1.7964071856287425E-2"/>
    <n v="0"/>
    <n v="0"/>
    <n v="-3"/>
    <n v="0"/>
    <n v="3"/>
    <e v="#VALUE!"/>
    <n v="3"/>
    <n v="0"/>
    <m/>
    <m/>
    <s v="N"/>
    <m/>
    <s v="0-10 DAYS"/>
    <n v="1"/>
    <x v="0"/>
  </r>
  <r>
    <n v="1214"/>
    <s v="N"/>
    <s v="N"/>
    <n v="2358831"/>
    <n v="1"/>
    <d v="2012-02-14T00:00:00"/>
    <d v="2012-05-03T00:00:00"/>
    <n v="2358831"/>
    <d v="2012-02-16T00:00:00"/>
    <d v="2012-02-17T00:00:00"/>
    <n v="30000"/>
    <x v="2"/>
    <d v="2012-02-17T00:00:00"/>
    <s v="Y"/>
    <s v="SURETYPTRc"/>
    <s v="NO BILL"/>
    <n v="2"/>
    <n v="80"/>
    <n v="0"/>
    <n v="1"/>
    <m/>
    <m/>
    <m/>
    <m/>
    <m/>
    <m/>
    <m/>
    <m/>
    <m/>
    <d v="1989-11-13T00:00:00"/>
    <s v="F"/>
    <s v="W"/>
    <s v="WHITE"/>
    <s v="NULL"/>
    <s v="337"/>
    <s v="NO BILL"/>
    <n v="5"/>
    <s v="NO BILL"/>
    <m/>
    <m/>
    <m/>
    <s v="AGG ASSAULT W/DEADLY WEAPON"/>
    <m/>
    <s v="F2"/>
    <s v="ASLT-MURDR"/>
    <m/>
    <m/>
    <m/>
    <m/>
    <m/>
    <m/>
    <m/>
    <m/>
    <m/>
    <s v="Hired Attorney"/>
    <m/>
    <m/>
    <n v="2"/>
    <n v="78"/>
    <n v="80"/>
    <n v="22.207650273224044"/>
    <n v="0"/>
    <n v="-76"/>
    <s v="NO CONVICTION"/>
    <x v="1"/>
    <s v="Y"/>
    <m/>
    <s v="NO CONVICTION"/>
    <s v="Y"/>
    <x v="1"/>
    <x v="0"/>
    <s v="N"/>
    <n v="2.5000000000000001E-2"/>
    <n v="2.564102564102564E-2"/>
    <n v="6.4102564102563875E-4"/>
    <n v="0"/>
    <n v="-2"/>
    <n v="0"/>
    <n v="2"/>
    <e v="#VALUE!"/>
    <n v="2"/>
    <n v="0"/>
    <m/>
    <m/>
    <s v="Y"/>
    <m/>
    <s v="0-10 DAYS"/>
    <n v="1"/>
    <x v="0"/>
  </r>
  <r>
    <n v="170"/>
    <s v="N"/>
    <s v="N"/>
    <n v="2360373"/>
    <n v="4"/>
    <d v="2012-01-08T00:00:00"/>
    <d v="2012-07-17T00:00:00"/>
    <n v="2360373"/>
    <d v="2012-01-08T00:00:00"/>
    <d v="2012-03-15T00:00:00"/>
    <n v="20000"/>
    <x v="0"/>
    <d v="2012-03-15T00:00:00"/>
    <s v="Y"/>
    <s v="SURETY"/>
    <s v="GUILTY PLEA - NO JURY"/>
    <n v="68"/>
    <n v="192"/>
    <n v="1"/>
    <n v="0"/>
    <m/>
    <n v="1"/>
    <m/>
    <m/>
    <m/>
    <m/>
    <m/>
    <m/>
    <m/>
    <d v="1984-12-11T00:00:00"/>
    <s v="F"/>
    <s v="B"/>
    <s v="BLACK"/>
    <s v="NULL"/>
    <s v="209"/>
    <s v="CONVICTED"/>
    <n v="8"/>
    <s v="HCJ"/>
    <m/>
    <m/>
    <n v="60"/>
    <s v="POSS CS PG 1 &lt;1G"/>
    <m/>
    <s v="FS"/>
    <s v="POSS DRUG"/>
    <m/>
    <m/>
    <m/>
    <m/>
    <m/>
    <m/>
    <m/>
    <m/>
    <m/>
    <s v="Hired Attorney"/>
    <m/>
    <m/>
    <n v="68"/>
    <n v="192"/>
    <n v="192"/>
    <n v="27.019125683060111"/>
    <n v="0"/>
    <n v="-124"/>
    <s v="CONVICTION"/>
    <x v="1"/>
    <s v="Y"/>
    <m/>
    <s v="CONVICTION"/>
    <s v="Y"/>
    <x v="1"/>
    <x v="0"/>
    <s v="Y"/>
    <n v="0.35416666666666669"/>
    <n v="0.35416666666666669"/>
    <n v="0"/>
    <n v="0"/>
    <n v="-68"/>
    <n v="0"/>
    <n v="68"/>
    <e v="#VALUE!"/>
    <n v="68"/>
    <n v="0"/>
    <m/>
    <m/>
    <s v="Y"/>
    <m/>
    <s v="61-90 DAYS"/>
    <n v="4"/>
    <x v="0"/>
  </r>
  <r>
    <n v="1889"/>
    <s v="N"/>
    <s v="N"/>
    <n v="2360392"/>
    <n v="2"/>
    <d v="2012-03-10T00:00:00"/>
    <d v="2012-03-12T00:00:00"/>
    <n v="2360392"/>
    <d v="2012-03-11T00:00:00"/>
    <d v="2012-03-12T00:00:00"/>
    <n v="10000"/>
    <x v="3"/>
    <m/>
    <s v="N"/>
    <s v="NONE"/>
    <s v="DEFERRED ADJUDICATION "/>
    <n v="2"/>
    <n v="3"/>
    <n v="1"/>
    <n v="1"/>
    <m/>
    <n v="1"/>
    <m/>
    <m/>
    <m/>
    <m/>
    <m/>
    <m/>
    <m/>
    <d v="1985-11-26T00:00:00"/>
    <s v="M"/>
    <s v="B"/>
    <s v="BLACK"/>
    <s v="NULL"/>
    <s v="184"/>
    <s v="DEFERRED"/>
    <n v="1"/>
    <s v="DEFERRED"/>
    <m/>
    <m/>
    <m/>
    <s v="EVADING ARREST/DETENTION W/VEH "/>
    <m/>
    <s v="F3"/>
    <s v="OTHER FEL"/>
    <m/>
    <m/>
    <m/>
    <m/>
    <m/>
    <m/>
    <m/>
    <m/>
    <m/>
    <s v="Appointed Attorney"/>
    <m/>
    <m/>
    <n v="2"/>
    <n v="2"/>
    <n v="3"/>
    <n v="26.23224043715847"/>
    <n v="0"/>
    <n v="0"/>
    <s v="DEFERRED"/>
    <x v="0"/>
    <s v="N"/>
    <m/>
    <s v="DEFERRED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561"/>
    <s v="N"/>
    <s v="N"/>
    <n v="2360425"/>
    <n v="6"/>
    <d v="2012-01-23T00:00:00"/>
    <d v="2012-02-09T00:00:00"/>
    <n v="2360425"/>
    <d v="2012-01-24T00:00:00"/>
    <d v="2012-02-09T00:00:00"/>
    <n v="35000"/>
    <x v="2"/>
    <m/>
    <s v="N"/>
    <s v="NONE"/>
    <s v="GUILTY PLEA - NO JURY"/>
    <n v="17"/>
    <n v="18"/>
    <n v="0"/>
    <n v="0"/>
    <m/>
    <m/>
    <m/>
    <m/>
    <m/>
    <m/>
    <m/>
    <s v="S"/>
    <m/>
    <d v="1991-01-19T00:00:00"/>
    <s v="M"/>
    <s v="H"/>
    <s v="HISPANIC"/>
    <s v="NULL"/>
    <s v="262"/>
    <s v="CONVICTED"/>
    <n v="3"/>
    <s v="TDC"/>
    <n v="2"/>
    <m/>
    <m/>
    <s v="BURGLARY OF HABITATION"/>
    <m/>
    <s v="F2"/>
    <s v="BURGLARY"/>
    <m/>
    <m/>
    <m/>
    <m/>
    <m/>
    <m/>
    <m/>
    <m/>
    <m/>
    <s v="Appointed Attorney"/>
    <m/>
    <m/>
    <n v="17"/>
    <n v="17"/>
    <n v="18"/>
    <n v="20.967213114754099"/>
    <n v="0"/>
    <n v="0"/>
    <s v="CONVICTION"/>
    <x v="0"/>
    <s v="N"/>
    <m/>
    <s v="CONVICTION"/>
    <s v="Y"/>
    <x v="0"/>
    <x v="0"/>
    <s v="N"/>
    <n v="0.94444444444444442"/>
    <n v="1"/>
    <n v="5.555555555555558E-2"/>
    <n v="0"/>
    <n v="-17"/>
    <n v="0"/>
    <n v="17"/>
    <e v="#VALUE!"/>
    <n v="17"/>
    <n v="0"/>
    <m/>
    <m/>
    <s v="N"/>
    <m/>
    <s v="11-30 DAYS"/>
    <n v="2"/>
    <x v="0"/>
  </r>
  <r>
    <n v="2912"/>
    <s v="N"/>
    <s v="N"/>
    <n v="2361602"/>
    <n v="1"/>
    <d v="2012-04-17T00:00:00"/>
    <d v="2012-05-16T00:00:00"/>
    <n v="2361602"/>
    <d v="2012-04-18T00:00:00"/>
    <d v="2012-05-16T00:00:00"/>
    <s v="NO BOND"/>
    <x v="1"/>
    <m/>
    <s v="N"/>
    <s v="NONE"/>
    <s v="DISMISSED"/>
    <n v="29"/>
    <n v="30"/>
    <n v="2"/>
    <n v="0"/>
    <n v="2"/>
    <m/>
    <m/>
    <m/>
    <m/>
    <m/>
    <m/>
    <m/>
    <m/>
    <d v="1988-08-24T00:00:00"/>
    <s v="M"/>
    <s v="B"/>
    <s v="BLACK"/>
    <s v="NON-HISPANIC"/>
    <s v="337"/>
    <s v="DISMISSED"/>
    <n v="3"/>
    <s v="DISMISSED"/>
    <m/>
    <m/>
    <m/>
    <s v="POSS CS PG 1  1 - 4 GRAMS"/>
    <m/>
    <s v="F3"/>
    <s v="POSS DRUG"/>
    <m/>
    <m/>
    <m/>
    <m/>
    <m/>
    <m/>
    <m/>
    <m/>
    <m/>
    <s v="Hired Attorney"/>
    <m/>
    <m/>
    <n v="29"/>
    <n v="29"/>
    <n v="30"/>
    <n v="23.598360655737704"/>
    <n v="0"/>
    <n v="0"/>
    <s v="NO CONVICTION"/>
    <x v="0"/>
    <s v="N"/>
    <m/>
    <s v="NO CONVICTION"/>
    <s v="Y"/>
    <x v="0"/>
    <x v="0"/>
    <s v="Y"/>
    <n v="0.96666666666666667"/>
    <n v="1"/>
    <n v="3.3333333333333326E-2"/>
    <n v="0"/>
    <n v="-29"/>
    <n v="0"/>
    <n v="29"/>
    <e v="#VALUE!"/>
    <n v="29"/>
    <n v="0"/>
    <m/>
    <m/>
    <s v="Y"/>
    <m/>
    <s v="11-30 DAYS"/>
    <n v="2"/>
    <x v="0"/>
  </r>
  <r>
    <n v="756"/>
    <s v="N"/>
    <s v="N"/>
    <n v="2361680"/>
    <n v="6"/>
    <d v="2012-01-30T00:00:00"/>
    <d v="2014-02-10T00:00:00"/>
    <n v="2361680"/>
    <d v="2012-06-16T00:00:00"/>
    <d v="2014-02-10T00:00:00"/>
    <n v="30000"/>
    <x v="2"/>
    <m/>
    <s v="N"/>
    <s v="NONE"/>
    <s v="GUILTY PLEA - NO JURY"/>
    <n v="163"/>
    <n v="743"/>
    <n v="1"/>
    <n v="4"/>
    <n v="1"/>
    <m/>
    <m/>
    <m/>
    <m/>
    <m/>
    <m/>
    <s v="S"/>
    <m/>
    <d v="1991-03-25T00:00:00"/>
    <s v="M"/>
    <s v="H"/>
    <s v="HISPANIC"/>
    <s v="NULL"/>
    <s v="174"/>
    <s v="CONVICTED"/>
    <n v="20"/>
    <s v="TDC"/>
    <n v="10"/>
    <m/>
    <m/>
    <s v="AGG ASSAULT-FAMILY MEMBER"/>
    <m/>
    <s v="F2"/>
    <s v="ASLT-MURDR"/>
    <s v="ASSOC CASES"/>
    <m/>
    <m/>
    <m/>
    <m/>
    <m/>
    <m/>
    <m/>
    <m/>
    <s v="Hired Attorney"/>
    <m/>
    <m/>
    <n v="163"/>
    <n v="605"/>
    <n v="743"/>
    <n v="20.808743169398905"/>
    <n v="0"/>
    <n v="0"/>
    <s v="CONVICTION"/>
    <x v="0"/>
    <s v="N"/>
    <m/>
    <s v="CONVICTION"/>
    <s v="Y"/>
    <x v="0"/>
    <x v="0"/>
    <s v="Y"/>
    <n v="0.21938088829071331"/>
    <n v="21.94"/>
    <n v="0"/>
    <n v="0"/>
    <n v="-605"/>
    <n v="-442"/>
    <n v="605"/>
    <e v="#VALUE!"/>
    <n v="163"/>
    <m/>
    <m/>
    <m/>
    <s v="Y"/>
    <e v="#N/A"/>
    <s v="121-365 DAYS"/>
    <n v="6"/>
    <x v="0"/>
  </r>
  <r>
    <n v="2555"/>
    <s v="N"/>
    <s v="N"/>
    <n v="2361915"/>
    <n v="4"/>
    <d v="2012-04-05T00:00:00"/>
    <d v="2012-10-18T00:00:00"/>
    <n v="2361915"/>
    <d v="2012-04-05T00:00:00"/>
    <d v="2012-04-06T00:00:00"/>
    <n v="5000"/>
    <x v="4"/>
    <d v="2012-04-06T00:00:00"/>
    <s v="Y"/>
    <s v="SURETYPTRc"/>
    <s v="GUILTY PLEA - NO JURY"/>
    <n v="2"/>
    <n v="197"/>
    <n v="0"/>
    <n v="1"/>
    <m/>
    <m/>
    <m/>
    <m/>
    <m/>
    <m/>
    <m/>
    <m/>
    <m/>
    <d v="1990-01-30T00:00:00"/>
    <s v="M"/>
    <s v="W"/>
    <s v="WHITE"/>
    <s v="NULL"/>
    <s v="337"/>
    <s v="CONVICTED"/>
    <n v="8"/>
    <s v="HCJ"/>
    <m/>
    <m/>
    <n v="3"/>
    <s v="HARASSMENT OF PUBLIC SERVANT"/>
    <m/>
    <s v="F3"/>
    <s v="OTHER FEL"/>
    <s v="bd viol report5/4/12"/>
    <m/>
    <m/>
    <m/>
    <m/>
    <m/>
    <m/>
    <m/>
    <m/>
    <s v="Hired Attorney"/>
    <m/>
    <m/>
    <n v="2"/>
    <n v="197"/>
    <n v="197"/>
    <n v="22.133879781420767"/>
    <n v="0"/>
    <n v="-195"/>
    <s v="CONVICTION"/>
    <x v="1"/>
    <s v="Y"/>
    <m/>
    <s v="CONVICTION"/>
    <s v="Y"/>
    <x v="1"/>
    <x v="0"/>
    <s v="N"/>
    <n v="1.015228426395939E-2"/>
    <n v="1.015228426395939E-2"/>
    <n v="0"/>
    <n v="0"/>
    <n v="-2"/>
    <n v="0"/>
    <n v="2"/>
    <e v="#VALUE!"/>
    <m/>
    <n v="195"/>
    <m/>
    <m/>
    <s v="Y"/>
    <m/>
    <s v="0-10 DAYS"/>
    <n v="1"/>
    <x v="0"/>
  </r>
  <r>
    <n v="881"/>
    <s v="N"/>
    <s v="N"/>
    <n v="2362352"/>
    <n v="1"/>
    <d v="2012-02-02T00:00:00"/>
    <d v="2012-08-31T00:00:00"/>
    <n v="2362352"/>
    <d v="2012-02-02T00:00:00"/>
    <d v="2012-02-05T00:00:00"/>
    <n v="10000"/>
    <x v="3"/>
    <d v="2012-02-05T00:00:00"/>
    <s v="Y"/>
    <s v="SURETY"/>
    <s v="DISMISSED"/>
    <n v="4"/>
    <n v="212"/>
    <n v="1"/>
    <n v="2"/>
    <n v="1"/>
    <m/>
    <m/>
    <m/>
    <m/>
    <m/>
    <m/>
    <m/>
    <m/>
    <d v="1990-02-02T00:00:00"/>
    <s v="M"/>
    <s v="H"/>
    <s v="HISPANIC"/>
    <s v="HISPANIC"/>
    <s v="228"/>
    <s v="DISMISSED"/>
    <n v="3"/>
    <s v="DISMISSED"/>
    <m/>
    <m/>
    <m/>
    <s v="FELON POSS WPN"/>
    <m/>
    <s v="F3"/>
    <s v="OTHER FEL"/>
    <s v="robbery filed 8/1/12 pending 30k bd bk 8/3/12"/>
    <m/>
    <m/>
    <m/>
    <m/>
    <m/>
    <m/>
    <m/>
    <m/>
    <s v="Appointed Attorney"/>
    <m/>
    <m/>
    <n v="4"/>
    <n v="212"/>
    <n v="212"/>
    <n v="21.953551912568305"/>
    <n v="0"/>
    <n v="-208"/>
    <s v="NO CONVICTION"/>
    <x v="1"/>
    <s v="Y"/>
    <m/>
    <s v="NO CONVICTION"/>
    <s v="Y"/>
    <x v="1"/>
    <x v="0"/>
    <s v="Y"/>
    <n v="1.8867924528301886E-2"/>
    <n v="1.8867924528301886E-2"/>
    <n v="0"/>
    <n v="0"/>
    <n v="-4"/>
    <n v="0"/>
    <n v="4"/>
    <e v="#VALUE!"/>
    <n v="4"/>
    <n v="0"/>
    <m/>
    <m/>
    <s v="Y"/>
    <m/>
    <s v="0-10 DAYS"/>
    <n v="1"/>
    <x v="0"/>
  </r>
  <r>
    <n v="2118"/>
    <s v="N"/>
    <s v="N"/>
    <n v="2362902"/>
    <n v="6"/>
    <d v="2012-03-20T00:00:00"/>
    <d v="2012-05-10T00:00:00"/>
    <n v="2362902"/>
    <d v="2012-04-02T00:00:00"/>
    <d v="2012-05-10T00:00:00"/>
    <s v="NO BOND"/>
    <x v="1"/>
    <m/>
    <s v="N"/>
    <s v="NONE"/>
    <s v="GUILTY PLEA - NO JURY"/>
    <n v="39"/>
    <n v="52"/>
    <n v="0"/>
    <n v="1"/>
    <m/>
    <m/>
    <m/>
    <m/>
    <m/>
    <m/>
    <m/>
    <m/>
    <m/>
    <d v="1991-04-06T00:00:00"/>
    <s v="M"/>
    <s v="B"/>
    <s v="BLACK"/>
    <s v="NULL"/>
    <s v="182"/>
    <s v="CONVICTED"/>
    <n v="3"/>
    <s v="TDC"/>
    <n v="2"/>
    <m/>
    <m/>
    <s v="ASSAULT-BOD INJ-FAMILY MEMBER"/>
    <m/>
    <s v="F3"/>
    <s v="ASLT-MURDR"/>
    <m/>
    <m/>
    <m/>
    <m/>
    <m/>
    <m/>
    <m/>
    <m/>
    <m/>
    <s v="Appointed Attorney"/>
    <m/>
    <m/>
    <n v="39"/>
    <n v="39"/>
    <n v="52"/>
    <n v="20.912568306010929"/>
    <n v="0"/>
    <n v="0"/>
    <s v="CONVICTION"/>
    <x v="0"/>
    <s v="N"/>
    <m/>
    <s v="CONVICTION"/>
    <s v="Y"/>
    <x v="0"/>
    <x v="0"/>
    <s v="N"/>
    <n v="0.75"/>
    <n v="1"/>
    <n v="0.25"/>
    <n v="0"/>
    <n v="-39"/>
    <n v="0"/>
    <n v="39"/>
    <e v="#VALUE!"/>
    <n v="39"/>
    <n v="0"/>
    <m/>
    <m/>
    <s v="Y"/>
    <m/>
    <s v="31-60 DAYS"/>
    <n v="3"/>
    <x v="0"/>
  </r>
  <r>
    <n v="1473"/>
    <s v="N"/>
    <s v="N"/>
    <n v="2362997"/>
    <n v="2"/>
    <d v="2012-02-23T00:00:00"/>
    <d v="2012-04-24T00:00:00"/>
    <n v="2362997"/>
    <s v="NOT BOOKED"/>
    <s v="NOT BOOKED"/>
    <n v="2000"/>
    <x v="5"/>
    <d v="2012-02-25T00:00:00"/>
    <s v="Y"/>
    <s v="SURETY"/>
    <s v="DEFERRED ADJUDICATION "/>
    <n v="0"/>
    <n v="62"/>
    <n v="0"/>
    <n v="1"/>
    <m/>
    <m/>
    <m/>
    <m/>
    <m/>
    <m/>
    <m/>
    <m/>
    <m/>
    <d v="1990-07-14T00:00:00"/>
    <s v="M"/>
    <s v="B"/>
    <s v="BLACK"/>
    <s v="NULL"/>
    <s v="179"/>
    <s v="DEFERRED"/>
    <n v="3"/>
    <s v="DEFERRED"/>
    <m/>
    <m/>
    <m/>
    <s v="POSS MARIJ  4 OZ. - 5 LBS."/>
    <m/>
    <s v="FS"/>
    <s v="POSS DRUG"/>
    <m/>
    <m/>
    <m/>
    <m/>
    <m/>
    <m/>
    <m/>
    <m/>
    <m/>
    <s v="Hired Attorney"/>
    <m/>
    <m/>
    <n v="0"/>
    <n v="0"/>
    <n v="62"/>
    <n v="21.568306010928961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1983"/>
    <s v="N"/>
    <s v="N"/>
    <n v="2363233"/>
    <n v="5"/>
    <d v="2012-03-15T00:00:00"/>
    <d v="2012-06-22T00:00:00"/>
    <n v="2363233"/>
    <d v="2012-03-15T00:00:00"/>
    <d v="2012-03-17T00:00:00"/>
    <n v="15000"/>
    <x v="0"/>
    <d v="2012-03-17T00:00:00"/>
    <s v="Y"/>
    <s v="SURETYPTRc"/>
    <s v="GUILTY PLEA - NO JURY"/>
    <n v="6"/>
    <n v="100"/>
    <n v="2"/>
    <n v="2"/>
    <m/>
    <m/>
    <m/>
    <m/>
    <m/>
    <m/>
    <m/>
    <m/>
    <m/>
    <d v="1985-03-17T00:00:00"/>
    <s v="M"/>
    <s v="B"/>
    <s v="BLACK"/>
    <s v="NON-HISPANIC"/>
    <s v="180"/>
    <s v="CONVICTED"/>
    <n v="5"/>
    <s v="STJ"/>
    <m/>
    <n v="6"/>
    <m/>
    <s v="POSS CS PG 1 &lt;1G"/>
    <m/>
    <s v="FS"/>
    <s v="POSS DRUG"/>
    <s v="bd viol 6/13/12 bk 6/20"/>
    <m/>
    <m/>
    <m/>
    <m/>
    <m/>
    <m/>
    <m/>
    <m/>
    <s v="Hired Attorney"/>
    <m/>
    <m/>
    <n v="6"/>
    <n v="100"/>
    <n v="100"/>
    <n v="26.939890710382514"/>
    <n v="0"/>
    <n v="-97"/>
    <s v="CONVICTION"/>
    <x v="1"/>
    <s v="Y"/>
    <m/>
    <s v="CONVICTION"/>
    <s v="Y"/>
    <x v="1"/>
    <x v="0"/>
    <s v="Y"/>
    <n v="0.06"/>
    <n v="0.03"/>
    <n v="-0.03"/>
    <n v="0"/>
    <n v="-3"/>
    <n v="3"/>
    <n v="3"/>
    <e v="#VALUE!"/>
    <m/>
    <n v="97"/>
    <m/>
    <m/>
    <s v="Y"/>
    <m/>
    <s v="0-10 DAYS"/>
    <n v="1"/>
    <x v="0"/>
  </r>
  <r>
    <n v="770"/>
    <s v="N"/>
    <s v="N"/>
    <n v="2364083"/>
    <n v="2"/>
    <d v="2012-01-31T00:00:00"/>
    <d v="2012-10-24T00:00:00"/>
    <n v="2364083"/>
    <d v="2012-01-31T00:00:00"/>
    <d v="2012-02-01T00:00:00"/>
    <n v="20000"/>
    <x v="0"/>
    <d v="2012-02-01T00:00:00"/>
    <s v="Y"/>
    <s v="SURETY"/>
    <s v="DEFERRED ADJUDICATION "/>
    <n v="2"/>
    <n v="268"/>
    <n v="0"/>
    <n v="1"/>
    <m/>
    <m/>
    <m/>
    <m/>
    <m/>
    <m/>
    <m/>
    <s v="S"/>
    <m/>
    <d v="1977-12-05T00:00:00"/>
    <s v="M"/>
    <s v="H"/>
    <s v="HISPANIC"/>
    <s v="NULL"/>
    <s v="351"/>
    <s v="DEFERRED"/>
    <n v="9"/>
    <s v="DEFERRED"/>
    <m/>
    <m/>
    <m/>
    <s v="POSS W/INT DEL CS PG1&gt;=4 &lt;200"/>
    <m/>
    <s v="F1"/>
    <s v="SALE DRUG"/>
    <m/>
    <m/>
    <m/>
    <m/>
    <m/>
    <m/>
    <m/>
    <m/>
    <m/>
    <s v="Hired Attorney"/>
    <m/>
    <m/>
    <n v="2"/>
    <n v="268"/>
    <n v="268"/>
    <n v="34.084699453551913"/>
    <n v="0"/>
    <n v="-266"/>
    <s v="DEFERRED"/>
    <x v="1"/>
    <s v="Y"/>
    <m/>
    <s v="DEFERRED"/>
    <s v="Y"/>
    <x v="1"/>
    <x v="0"/>
    <s v="N"/>
    <n v="7.462686567164179E-3"/>
    <n v="7.462686567164179E-3"/>
    <n v="0"/>
    <n v="0"/>
    <n v="-2"/>
    <n v="0"/>
    <n v="2"/>
    <e v="#VALUE!"/>
    <n v="2"/>
    <n v="0"/>
    <m/>
    <m/>
    <s v="Y"/>
    <m/>
    <s v="0-10 DAYS"/>
    <n v="1"/>
    <x v="0"/>
  </r>
  <r>
    <n v="377"/>
    <s v="N"/>
    <s v="N"/>
    <n v="2364316"/>
    <n v="4"/>
    <d v="2011-10-21T00:00:00"/>
    <d v="2012-03-13T00:00:00"/>
    <n v="2364316"/>
    <d v="2012-03-03T00:00:00"/>
    <d v="2012-03-13T00:00:00"/>
    <n v="5000"/>
    <x v="4"/>
    <d v="2012-04-03T00:00:00"/>
    <s v="Y"/>
    <s v="SURETY"/>
    <s v="DEFENDANT CONVICTED ON ANOTHER CHARGE"/>
    <n v="11"/>
    <n v="145"/>
    <n v="0"/>
    <n v="1"/>
    <m/>
    <m/>
    <m/>
    <m/>
    <m/>
    <m/>
    <m/>
    <m/>
    <m/>
    <d v="1991-05-23T00:00:00"/>
    <s v="M"/>
    <s v="B"/>
    <s v="BLACK"/>
    <s v="NULL"/>
    <s v="248"/>
    <s v="CONVICTED"/>
    <n v="6"/>
    <s v="HCJ"/>
    <m/>
    <m/>
    <n v="120"/>
    <s v="POSS CS PG 1 &lt;1G"/>
    <m/>
    <s v="FS"/>
    <s v="OTHER FEL"/>
    <m/>
    <m/>
    <m/>
    <m/>
    <m/>
    <m/>
    <m/>
    <m/>
    <m/>
    <s v="Hired Attorney"/>
    <m/>
    <m/>
    <n v="11"/>
    <n v="11"/>
    <n v="145"/>
    <n v="20.371584699453553"/>
    <n v="0"/>
    <n v="0"/>
    <s v="CONVICTION"/>
    <x v="1"/>
    <s v="Y"/>
    <m/>
    <s v="CONVICTION"/>
    <s v="Y"/>
    <x v="1"/>
    <x v="0"/>
    <s v="N"/>
    <n v="7.586206896551724E-2"/>
    <n v="1"/>
    <n v="0.92413793103448272"/>
    <n v="0"/>
    <n v="-11"/>
    <n v="0"/>
    <n v="32"/>
    <e v="#VALUE!"/>
    <n v="32"/>
    <n v="21"/>
    <m/>
    <m/>
    <s v="Y"/>
    <m/>
    <s v="11-30 DAYS"/>
    <n v="2"/>
    <x v="0"/>
  </r>
  <r>
    <n v="958"/>
    <s v="N"/>
    <s v="N"/>
    <n v="2364826"/>
    <n v="2"/>
    <d v="2012-02-05T00:00:00"/>
    <d v="2012-05-29T00:00:00"/>
    <n v="2364826"/>
    <s v="NOT BOOKED"/>
    <s v="NOT BOOKED"/>
    <n v="2000"/>
    <x v="5"/>
    <d v="2012-02-06T00:00:00"/>
    <s v="Y"/>
    <s v="SURETY"/>
    <s v="DEFERRED ADJUDICATION "/>
    <n v="0"/>
    <n v="115"/>
    <n v="0"/>
    <n v="0"/>
    <m/>
    <m/>
    <m/>
    <m/>
    <m/>
    <m/>
    <m/>
    <m/>
    <m/>
    <d v="1985-09-30T00:00:00"/>
    <s v="F"/>
    <s v="B"/>
    <s v="BLACK"/>
    <s v="NULL"/>
    <s v="182"/>
    <s v="DEFERRED"/>
    <n v="6"/>
    <s v="DEFERRED"/>
    <m/>
    <m/>
    <m/>
    <s v="ENDANGERING A CHILD"/>
    <m/>
    <s v="FS"/>
    <s v="OTHER FEL"/>
    <m/>
    <m/>
    <m/>
    <m/>
    <m/>
    <m/>
    <m/>
    <m/>
    <m/>
    <s v="Hired Attorney"/>
    <m/>
    <m/>
    <n v="0"/>
    <n v="0"/>
    <n v="115"/>
    <n v="26.295081967213115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856"/>
    <s v="N"/>
    <s v="N"/>
    <n v="2365727"/>
    <n v="2"/>
    <d v="2012-02-01T00:00:00"/>
    <d v="2012-07-23T00:00:00"/>
    <n v="2365727"/>
    <d v="2012-02-02T00:00:00"/>
    <d v="2012-02-05T00:00:00"/>
    <n v="5000"/>
    <x v="4"/>
    <d v="2012-02-05T00:00:00"/>
    <s v="Y"/>
    <s v="SURETY"/>
    <s v="DEFERRED ADJUDICATION "/>
    <n v="4"/>
    <n v="174"/>
    <n v="1"/>
    <n v="4"/>
    <n v="1"/>
    <m/>
    <m/>
    <m/>
    <m/>
    <m/>
    <m/>
    <s v="S"/>
    <m/>
    <d v="1990-07-11T00:00:00"/>
    <s v="M"/>
    <s v="H"/>
    <s v="HISPANIC"/>
    <s v="NULL"/>
    <s v="177"/>
    <s v="DEFERRED"/>
    <n v="8"/>
    <s v="DEFERRED"/>
    <m/>
    <m/>
    <m/>
    <s v="UNAUTH USE OF VEHICLE"/>
    <m/>
    <s v="FS"/>
    <s v="AUTO THEFT"/>
    <m/>
    <m/>
    <m/>
    <m/>
    <m/>
    <m/>
    <m/>
    <m/>
    <m/>
    <s v="Hired Attorney"/>
    <m/>
    <m/>
    <n v="4"/>
    <n v="173"/>
    <n v="174"/>
    <n v="21.516393442622952"/>
    <n v="0"/>
    <n v="-169"/>
    <s v="DEFERRED"/>
    <x v="1"/>
    <s v="Y"/>
    <m/>
    <s v="DEFERRED"/>
    <s v="Y"/>
    <x v="1"/>
    <x v="0"/>
    <s v="Y"/>
    <n v="2.2988505747126436E-2"/>
    <n v="2.3121387283236993E-2"/>
    <n v="1.3288153611055661E-4"/>
    <n v="0"/>
    <n v="-4"/>
    <n v="0"/>
    <n v="4"/>
    <e v="#VALUE!"/>
    <n v="4"/>
    <n v="0"/>
    <m/>
    <m/>
    <s v="Y"/>
    <m/>
    <s v="0-10 DAYS"/>
    <n v="1"/>
    <x v="0"/>
  </r>
  <r>
    <n v="1131"/>
    <s v="N"/>
    <s v="N"/>
    <n v="2365760"/>
    <n v="5"/>
    <d v="2012-02-10T00:00:00"/>
    <d v="2012-02-13T00:00:00"/>
    <n v="2365760"/>
    <d v="2012-02-11T00:00:00"/>
    <d v="2012-02-13T00:00:00"/>
    <n v="35000"/>
    <x v="2"/>
    <m/>
    <s v="N"/>
    <s v="NONE"/>
    <s v="GUILTY PLEA - NO JURY"/>
    <n v="3"/>
    <n v="4"/>
    <n v="1"/>
    <n v="1"/>
    <m/>
    <m/>
    <m/>
    <m/>
    <m/>
    <m/>
    <m/>
    <m/>
    <m/>
    <d v="1981-01-02T00:00:00"/>
    <s v="M"/>
    <s v="W"/>
    <s v="WHITE"/>
    <s v="NULL"/>
    <s v="178"/>
    <s v="CONVICTED"/>
    <n v="1"/>
    <s v="STJ"/>
    <m/>
    <n v="9"/>
    <m/>
    <s v="POSS CS PG 1 &lt;1G"/>
    <m/>
    <s v="FS"/>
    <s v="POSS DRUG"/>
    <m/>
    <m/>
    <m/>
    <m/>
    <m/>
    <m/>
    <m/>
    <m/>
    <m/>
    <s v="Appointed Attorney"/>
    <m/>
    <m/>
    <n v="3"/>
    <n v="3"/>
    <n v="4"/>
    <n v="31.040983606557376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m/>
    <m/>
    <s v="Y"/>
    <m/>
    <s v="0-10 DAYS"/>
    <n v="1"/>
    <x v="0"/>
  </r>
  <r>
    <n v="2809"/>
    <s v="N"/>
    <s v="N"/>
    <n v="2366605"/>
    <n v="2"/>
    <d v="2012-04-13T00:00:00"/>
    <d v="2012-12-11T00:00:00"/>
    <n v="2366605"/>
    <d v="2012-04-13T00:00:00"/>
    <d v="2012-04-14T00:00:00"/>
    <n v="12000"/>
    <x v="0"/>
    <d v="2012-04-14T00:00:00"/>
    <s v="Y"/>
    <s v="SURETY"/>
    <s v="DEFERRED ADJUDICATION "/>
    <n v="2"/>
    <n v="243"/>
    <n v="0"/>
    <n v="1"/>
    <m/>
    <m/>
    <m/>
    <m/>
    <m/>
    <m/>
    <m/>
    <m/>
    <m/>
    <d v="1990-09-17T00:00:00"/>
    <s v="M"/>
    <s v="W"/>
    <s v="WHITE"/>
    <s v="NULL"/>
    <s v="208"/>
    <s v="DEFERRED"/>
    <n v="8"/>
    <s v="DEFERRED"/>
    <m/>
    <m/>
    <m/>
    <s v="POSS MARIJ  4 OZ. - 5 LBS."/>
    <m/>
    <s v="FS"/>
    <s v="POSS DRUG"/>
    <m/>
    <m/>
    <m/>
    <m/>
    <m/>
    <m/>
    <m/>
    <m/>
    <m/>
    <s v="Hired Attorney"/>
    <m/>
    <m/>
    <n v="2"/>
    <n v="243"/>
    <n v="243"/>
    <n v="21.527322404371585"/>
    <n v="0"/>
    <n v="-241"/>
    <s v="DEFERRED"/>
    <x v="1"/>
    <s v="Y"/>
    <m/>
    <s v="DEFERRED"/>
    <s v="Y"/>
    <x v="1"/>
    <x v="0"/>
    <s v="N"/>
    <n v="8.23045267489712E-3"/>
    <n v="8.23045267489712E-3"/>
    <n v="0"/>
    <n v="0"/>
    <n v="-2"/>
    <n v="0"/>
    <n v="2"/>
    <e v="#VALUE!"/>
    <n v="2"/>
    <n v="0"/>
    <m/>
    <m/>
    <s v="Y"/>
    <m/>
    <s v="0-10 DAYS"/>
    <n v="1"/>
    <x v="0"/>
  </r>
  <r>
    <n v="1662"/>
    <s v="N"/>
    <s v="Y"/>
    <n v="2366804"/>
    <n v="6"/>
    <d v="2012-03-02T00:00:00"/>
    <d v="2012-05-30T00:00:00"/>
    <n v="2366804"/>
    <d v="2012-03-02T00:00:00"/>
    <d v="2012-03-04T00:00:00"/>
    <n v="10000"/>
    <x v="3"/>
    <d v="2012-03-04T00:00:00"/>
    <s v="Y"/>
    <s v="SURETYPTRc"/>
    <s v="GUILTY PLEA - NO JURY"/>
    <n v="43"/>
    <n v="90"/>
    <n v="0"/>
    <n v="2"/>
    <m/>
    <m/>
    <m/>
    <m/>
    <m/>
    <m/>
    <m/>
    <m/>
    <m/>
    <d v="1984-03-17T00:00:00"/>
    <s v="M"/>
    <s v="W"/>
    <s v="WHITE"/>
    <s v="NULL"/>
    <s v="176"/>
    <s v="CONVICTED"/>
    <n v="4"/>
    <s v="TDC"/>
    <n v="3"/>
    <m/>
    <m/>
    <s v="DWI 3RD OFFENDER BAC .08"/>
    <m/>
    <s v="F3"/>
    <s v="FEL DWI"/>
    <m/>
    <s v="BK 4/20/12"/>
    <s v="Y"/>
    <d v="2012-04-09T00:00:00"/>
    <m/>
    <m/>
    <m/>
    <d v="2012-05-14T00:00:00"/>
    <n v="247"/>
    <s v="Appointed Attorney"/>
    <m/>
    <m/>
    <n v="43"/>
    <n v="90"/>
    <n v="90"/>
    <n v="27.901639344262296"/>
    <n v="0"/>
    <n v="-87"/>
    <s v="CONVICTION"/>
    <x v="1"/>
    <s v="Y"/>
    <m/>
    <s v="CONVICTION"/>
    <s v="Y"/>
    <x v="0"/>
    <x v="0"/>
    <s v="N"/>
    <n v="0.4777777777777778"/>
    <n v="3.3333333333333333E-2"/>
    <n v="-0.44444444444444448"/>
    <n v="0"/>
    <n v="-3"/>
    <n v="40"/>
    <n v="90"/>
    <n v="43"/>
    <n v="90"/>
    <n v="87"/>
    <m/>
    <m/>
    <s v="Y"/>
    <m/>
    <s v="31-60 DAYS"/>
    <n v="3"/>
    <x v="0"/>
  </r>
  <r>
    <n v="827"/>
    <s v="N"/>
    <s v="N"/>
    <n v="2368086"/>
    <n v="2"/>
    <d v="2012-02-01T00:00:00"/>
    <d v="2012-02-02T00:00:00"/>
    <n v="2368086"/>
    <s v="NOT BOOKED"/>
    <s v="NOT BOOKED"/>
    <n v="2000"/>
    <x v="5"/>
    <m/>
    <s v="NO BOND MADE - NON ARREST"/>
    <s v="NONE"/>
    <s v="DEFERRED ADJUDICATION "/>
    <n v="0"/>
    <n v="2"/>
    <n v="1"/>
    <n v="0"/>
    <m/>
    <n v="1"/>
    <m/>
    <m/>
    <m/>
    <m/>
    <m/>
    <m/>
    <m/>
    <d v="1982-07-25T00:00:00"/>
    <s v="M"/>
    <s v="W"/>
    <s v="WHITE"/>
    <s v="NULL"/>
    <s v="179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0"/>
    <n v="0"/>
    <n v="2"/>
    <n v="29.461748633879782"/>
    <e v="#VALUE!"/>
    <e v="#VALUE!"/>
    <s v="DEFERRED"/>
    <x v="0"/>
    <s v="N"/>
    <m/>
    <s v="DEFERRED"/>
    <n v="0"/>
    <x v="5"/>
    <x v="0"/>
    <s v="Y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244"/>
    <s v="N"/>
    <s v="N"/>
    <n v="2369571"/>
    <n v="4"/>
    <d v="2012-01-11T00:00:00"/>
    <d v="2012-01-12T00:00:00"/>
    <n v="2369571"/>
    <d v="2012-01-11T00:00:00"/>
    <d v="2012-01-12T00:00:00"/>
    <s v="NO BOND"/>
    <x v="1"/>
    <m/>
    <s v="N"/>
    <s v="NONE"/>
    <s v="GUILTY PLEA - NO JURY"/>
    <n v="2"/>
    <n v="2"/>
    <n v="0"/>
    <n v="1"/>
    <m/>
    <m/>
    <m/>
    <m/>
    <m/>
    <m/>
    <m/>
    <m/>
    <m/>
    <d v="1990-09-01T00:00:00"/>
    <s v="M"/>
    <s v="W"/>
    <s v="WHITE"/>
    <s v="NULL"/>
    <s v="179"/>
    <s v="CONVICTED"/>
    <n v="1"/>
    <s v="HCJ"/>
    <m/>
    <m/>
    <n v="60"/>
    <s v="THEFT OF FIREARM"/>
    <m/>
    <s v="FS"/>
    <s v="THEFT"/>
    <s v="2/23/12 mis fugitive"/>
    <m/>
    <m/>
    <m/>
    <m/>
    <m/>
    <m/>
    <m/>
    <m/>
    <s v="Appointed Attorney"/>
    <m/>
    <m/>
    <n v="2"/>
    <n v="2"/>
    <n v="2"/>
    <n v="21.316939890710383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300"/>
    <s v="N"/>
    <s v="N"/>
    <n v="2370061"/>
    <n v="3"/>
    <d v="2012-01-13T00:00:00"/>
    <d v="2012-02-07T00:00:00"/>
    <n v="2370061"/>
    <d v="2012-01-13T00:00:00"/>
    <d v="2012-02-07T00:00:00"/>
    <n v="5000"/>
    <x v="4"/>
    <m/>
    <s v="N"/>
    <s v="NONE"/>
    <s v="GUILTY PLEA - NO JURY"/>
    <n v="26"/>
    <n v="26"/>
    <n v="1"/>
    <n v="3"/>
    <m/>
    <m/>
    <m/>
    <m/>
    <m/>
    <m/>
    <m/>
    <m/>
    <m/>
    <d v="1983-08-17T00:00:00"/>
    <s v="F"/>
    <s v="B"/>
    <s v="BLACK"/>
    <s v="NON-HISPANIC"/>
    <s v="180"/>
    <s v="CONVICTED"/>
    <n v="2"/>
    <s v="PROBATION"/>
    <m/>
    <m/>
    <m/>
    <s v="THEFT UNDER $1500 - 3RD OFF."/>
    <m/>
    <s v="FS"/>
    <s v="THEFT"/>
    <m/>
    <m/>
    <m/>
    <m/>
    <m/>
    <m/>
    <m/>
    <m/>
    <m/>
    <s v="Appointed Attorney"/>
    <m/>
    <m/>
    <n v="26"/>
    <n v="26"/>
    <n v="26"/>
    <n v="28.349726775956285"/>
    <n v="0"/>
    <n v="0"/>
    <s v="CONVICTION"/>
    <x v="0"/>
    <s v="N"/>
    <m/>
    <s v="CONVICTION"/>
    <s v="Y"/>
    <x v="0"/>
    <x v="0"/>
    <s v="Y"/>
    <n v="1"/>
    <n v="1"/>
    <n v="0"/>
    <n v="0"/>
    <n v="-26"/>
    <n v="0"/>
    <n v="26"/>
    <e v="#VALUE!"/>
    <n v="26"/>
    <n v="0"/>
    <m/>
    <m/>
    <s v="Y"/>
    <m/>
    <s v="11-30 DAYS"/>
    <n v="2"/>
    <x v="0"/>
  </r>
  <r>
    <n v="1397"/>
    <s v="N"/>
    <s v="N"/>
    <n v="2370073"/>
    <n v="4"/>
    <d v="2012-02-21T00:00:00"/>
    <d v="2013-01-07T00:00:00"/>
    <n v="2370073"/>
    <d v="2012-02-22T00:00:00"/>
    <d v="2012-03-19T00:00:00"/>
    <n v="20000"/>
    <x v="0"/>
    <d v="2012-03-19T00:00:00"/>
    <s v="Y"/>
    <s v="SURETY"/>
    <s v="GUILTY PLEA - NO JURY"/>
    <n v="27"/>
    <n v="322"/>
    <n v="1"/>
    <n v="8"/>
    <m/>
    <m/>
    <m/>
    <m/>
    <m/>
    <m/>
    <m/>
    <m/>
    <m/>
    <d v="1989-09-12T00:00:00"/>
    <s v="M"/>
    <s v="B"/>
    <s v="BLACK"/>
    <s v="NULL"/>
    <s v="208"/>
    <s v="CONVICTED"/>
    <n v="12"/>
    <s v="HCJ"/>
    <m/>
    <m/>
    <n v="60"/>
    <s v="BURGLARY OF HABITATION"/>
    <m/>
    <s v="F2"/>
    <s v="BURGLARY"/>
    <s v="misd drug 2/5/13 hcj 3 d"/>
    <m/>
    <m/>
    <m/>
    <m/>
    <m/>
    <m/>
    <m/>
    <m/>
    <s v="Hired Attorney"/>
    <m/>
    <m/>
    <n v="27"/>
    <n v="321"/>
    <n v="322"/>
    <n v="22.396174863387976"/>
    <n v="0"/>
    <n v="-294"/>
    <s v="CONVICTION"/>
    <x v="1"/>
    <s v="Y"/>
    <m/>
    <s v="CONVICTION"/>
    <s v="Y"/>
    <x v="1"/>
    <x v="0"/>
    <s v="Y"/>
    <n v="8.3850931677018639E-2"/>
    <n v="8.4112149532710276E-2"/>
    <n v="2.6121785569163669E-4"/>
    <n v="0"/>
    <n v="-27"/>
    <n v="0"/>
    <n v="27"/>
    <e v="#VALUE!"/>
    <n v="27"/>
    <n v="0"/>
    <m/>
    <m/>
    <s v="Y"/>
    <m/>
    <s v="11-30 DAYS"/>
    <n v="2"/>
    <x v="0"/>
  </r>
  <r>
    <n v="3152"/>
    <s v="N"/>
    <s v="Y"/>
    <n v="2370186"/>
    <n v="4"/>
    <d v="2012-04-26T00:00:00"/>
    <d v="2012-12-04T00:00:00"/>
    <n v="2370186"/>
    <d v="2012-09-26T00:00:00"/>
    <d v="2012-10-02T00:00:00"/>
    <n v="15000"/>
    <x v="0"/>
    <d v="2012-08-07T00:00:00"/>
    <s v="Y"/>
    <s v="SURETY"/>
    <s v="nolo contendre"/>
    <n v="6"/>
    <n v="223"/>
    <n v="1"/>
    <n v="0"/>
    <n v="1"/>
    <m/>
    <m/>
    <m/>
    <m/>
    <m/>
    <m/>
    <m/>
    <m/>
    <d v="1989-06-23T00:00:00"/>
    <s v="M"/>
    <s v="B"/>
    <s v="BLACK"/>
    <s v="NON-HISPANIC"/>
    <s v="230"/>
    <s v="CONVICTED"/>
    <n v="11"/>
    <s v="HCJ"/>
    <m/>
    <m/>
    <n v="105"/>
    <s v="MAN/DEL CS PG I &lt;1GRAM"/>
    <m/>
    <s v="FS"/>
    <s v="SALE DRUG"/>
    <s v="B K  9/26/12  RECAL   REV BK 9/16/12"/>
    <s v="REV BK 9/16/12"/>
    <s v="Y"/>
    <d v="2012-11-06T00:00:00"/>
    <s v="Y"/>
    <m/>
    <m/>
    <d v="2013-07-24T00:00:00"/>
    <n v="785"/>
    <s v="Appointed Attorney"/>
    <m/>
    <m/>
    <n v="6"/>
    <n v="70"/>
    <n v="223"/>
    <n v="22.795081967213115"/>
    <n v="-56"/>
    <n v="-63"/>
    <s v="CONVICTION"/>
    <x v="1"/>
    <s v="N"/>
    <m/>
    <s v="CONVICTION"/>
    <s v="Y"/>
    <x v="1"/>
    <x v="0"/>
    <s v="Y"/>
    <n v="2.6905829596412557E-2"/>
    <n v="0.1"/>
    <n v="7.3094170403587455E-2"/>
    <n v="0"/>
    <n v="-7"/>
    <n v="-1"/>
    <n v="-49"/>
    <n v="6"/>
    <m/>
    <n v="63"/>
    <m/>
    <m/>
    <s v="Y"/>
    <m/>
    <s v="0-10 DAYS"/>
    <n v="1"/>
    <x v="0"/>
  </r>
  <r>
    <n v="2454"/>
    <s v="N"/>
    <s v="N"/>
    <n v="2370436"/>
    <n v="4"/>
    <d v="2012-04-02T00:00:00"/>
    <d v="2012-07-26T00:00:00"/>
    <n v="2370436"/>
    <d v="2012-04-03T00:00:00"/>
    <d v="2012-07-26T00:00:00"/>
    <n v="5000"/>
    <x v="4"/>
    <m/>
    <s v="N"/>
    <s v="NONE"/>
    <s v="GUILTY PLEA - NO JURY"/>
    <n v="115"/>
    <n v="116"/>
    <n v="0"/>
    <n v="1"/>
    <m/>
    <m/>
    <m/>
    <m/>
    <m/>
    <m/>
    <m/>
    <m/>
    <m/>
    <d v="1982-04-03T00:00:00"/>
    <s v="M"/>
    <s v="B"/>
    <s v="BLACK"/>
    <s v="NULL"/>
    <s v="248"/>
    <s v="CONVICTED"/>
    <n v="4"/>
    <s v="HCJ"/>
    <m/>
    <m/>
    <n v="365"/>
    <s v="ASSAULT-BOD INJ-PUB SERV/RETAL"/>
    <m/>
    <s v="F3"/>
    <s v="ASLT-MURDR"/>
    <m/>
    <m/>
    <m/>
    <m/>
    <m/>
    <m/>
    <m/>
    <m/>
    <m/>
    <s v="Appointed Attorney"/>
    <m/>
    <m/>
    <n v="115"/>
    <n v="115"/>
    <n v="116"/>
    <n v="29.937158469945356"/>
    <n v="0"/>
    <n v="0"/>
    <s v="CONVICTION"/>
    <x v="0"/>
    <s v="N"/>
    <m/>
    <s v="CONVICTION"/>
    <s v="Y"/>
    <x v="0"/>
    <x v="0"/>
    <s v="N"/>
    <n v="0.99137931034482762"/>
    <n v="1"/>
    <n v="8.6206896551723755E-3"/>
    <n v="0"/>
    <n v="-115"/>
    <n v="0"/>
    <n v="115"/>
    <e v="#VALUE!"/>
    <n v="115"/>
    <n v="0"/>
    <m/>
    <m/>
    <s v="Y"/>
    <m/>
    <s v="91-120 DAYS"/>
    <n v="0"/>
    <x v="0"/>
  </r>
  <r>
    <n v="3173"/>
    <s v="N"/>
    <s v="N"/>
    <n v="2370537"/>
    <n v="5"/>
    <d v="2012-04-26T00:00:00"/>
    <d v="2012-04-30T00:00:00"/>
    <n v="2370537"/>
    <d v="2012-04-27T00:00:00"/>
    <d v="2012-04-30T00:00:00"/>
    <n v="2000"/>
    <x v="5"/>
    <m/>
    <s v="N"/>
    <s v="NONE"/>
    <s v="GUILTY PLEA - NO JURY"/>
    <n v="4"/>
    <n v="5"/>
    <n v="4"/>
    <n v="3"/>
    <m/>
    <m/>
    <m/>
    <m/>
    <m/>
    <m/>
    <m/>
    <m/>
    <m/>
    <d v="1991-06-24T00:00:00"/>
    <s v="M"/>
    <s v="H"/>
    <s v="HISPANIC"/>
    <s v="HISPANIC"/>
    <s v="184"/>
    <s v="CONVICTED"/>
    <n v="1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4"/>
    <n v="4"/>
    <n v="5"/>
    <n v="20.797814207650273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m/>
    <m/>
    <s v="Y"/>
    <m/>
    <s v="0-10 DAYS"/>
    <n v="1"/>
    <x v="0"/>
  </r>
  <r>
    <n v="1664"/>
    <s v="N"/>
    <s v="N"/>
    <n v="2371396"/>
    <n v="1"/>
    <d v="2012-03-02T00:00:00"/>
    <d v="2012-09-19T00:00:00"/>
    <n v="2371396"/>
    <d v="2012-03-12T00:00:00"/>
    <d v="2012-09-19T00:00:00"/>
    <s v="NO BOND"/>
    <x v="1"/>
    <m/>
    <s v="N"/>
    <s v="NONE"/>
    <s v="DISMISSED"/>
    <n v="192"/>
    <n v="202"/>
    <n v="2"/>
    <n v="2"/>
    <m/>
    <m/>
    <m/>
    <m/>
    <m/>
    <m/>
    <m/>
    <m/>
    <m/>
    <d v="1991-02-02T00:00:00"/>
    <s v="M"/>
    <s v="B"/>
    <s v="BLACK"/>
    <s v="NULL"/>
    <s v="184"/>
    <s v="DISMISSED"/>
    <n v="9"/>
    <s v="DISMISSED"/>
    <m/>
    <m/>
    <m/>
    <s v="AGG ROBBERY-DEADLY WPN"/>
    <m/>
    <s v="F1"/>
    <s v="ROBBERY"/>
    <m/>
    <m/>
    <m/>
    <m/>
    <m/>
    <m/>
    <m/>
    <m/>
    <m/>
    <s v="Appointed Attorney"/>
    <m/>
    <m/>
    <n v="192"/>
    <n v="192"/>
    <n v="202"/>
    <n v="21.035519125683059"/>
    <n v="0"/>
    <n v="0"/>
    <s v="NO CONVICTION"/>
    <x v="0"/>
    <s v="N"/>
    <m/>
    <s v="NO CONVICTION"/>
    <s v="Y"/>
    <x v="0"/>
    <x v="0"/>
    <s v="Y"/>
    <n v="0.95049504950495045"/>
    <n v="1"/>
    <n v="4.9504950495049549E-2"/>
    <n v="0"/>
    <n v="-192"/>
    <n v="0"/>
    <n v="192"/>
    <e v="#VALUE!"/>
    <n v="192"/>
    <n v="0"/>
    <m/>
    <m/>
    <s v="Y"/>
    <m/>
    <s v="121-365 DAYS"/>
    <n v="6"/>
    <x v="0"/>
  </r>
  <r>
    <n v="3200"/>
    <s v="N"/>
    <s v="Y"/>
    <n v="2371419"/>
    <n v="5"/>
    <d v="2012-04-27T00:00:00"/>
    <d v="2012-08-29T00:00:00"/>
    <n v="2371419"/>
    <d v="2012-04-27T00:00:00"/>
    <d v="2012-05-10T00:00:00"/>
    <n v="15000"/>
    <x v="0"/>
    <d v="2012-05-10T00:00:00"/>
    <s v="Y"/>
    <s v="SURETY"/>
    <s v="GUILTY PLEA - NO JURY"/>
    <n v="65"/>
    <n v="125"/>
    <n v="2"/>
    <n v="2"/>
    <n v="2"/>
    <m/>
    <m/>
    <m/>
    <m/>
    <m/>
    <m/>
    <m/>
    <m/>
    <d v="1991-07-04T00:00:00"/>
    <s v="M"/>
    <s v="W"/>
    <s v="WHITE"/>
    <s v="NON-HISPANIC"/>
    <s v="176"/>
    <s v="CONVICTED"/>
    <n v="5"/>
    <s v="STJ"/>
    <m/>
    <n v="9"/>
    <m/>
    <s v="THEFT $1500-20K"/>
    <m/>
    <s v="FS"/>
    <s v="THEFT"/>
    <m/>
    <s v="rev 7/9/12  "/>
    <m/>
    <m/>
    <s v="Y"/>
    <m/>
    <m/>
    <m/>
    <m/>
    <s v="Hired Attorney"/>
    <m/>
    <m/>
    <n v="65"/>
    <n v="125"/>
    <n v="125"/>
    <n v="20.773224043715846"/>
    <n v="0"/>
    <n v="-111"/>
    <s v="CONVICTION"/>
    <x v="1"/>
    <s v="Y"/>
    <m/>
    <s v="CONVICTION"/>
    <s v="Y"/>
    <x v="0"/>
    <x v="0"/>
    <s v="Y"/>
    <n v="0.52"/>
    <n v="0.112"/>
    <n v="-0.40800000000000003"/>
    <n v="0"/>
    <n v="-14"/>
    <n v="51"/>
    <n v="125"/>
    <n v="65"/>
    <n v="125"/>
    <n v="111"/>
    <m/>
    <m/>
    <s v="Y"/>
    <m/>
    <s v="61-90 DAYS"/>
    <n v="4"/>
    <x v="0"/>
  </r>
  <r>
    <n v="1477"/>
    <s v="N"/>
    <s v="N"/>
    <n v="2371537"/>
    <n v="1"/>
    <d v="2012-02-24T00:00:00"/>
    <d v="2012-05-17T00:00:00"/>
    <n v="2371537"/>
    <d v="2012-02-24T00:00:00"/>
    <d v="2012-02-26T00:00:00"/>
    <n v="2000"/>
    <x v="5"/>
    <d v="2012-02-26T00:00:00"/>
    <s v="Y"/>
    <s v="SURETY"/>
    <s v="DISMISSED"/>
    <n v="3"/>
    <n v="84"/>
    <n v="0"/>
    <n v="0"/>
    <m/>
    <m/>
    <m/>
    <m/>
    <m/>
    <m/>
    <m/>
    <m/>
    <m/>
    <d v="1987-08-19T00:00:00"/>
    <s v="F"/>
    <s v="B"/>
    <s v="BLACK"/>
    <s v="NULL"/>
    <s v="263"/>
    <s v="DISMISSED"/>
    <n v="7"/>
    <s v="DISMISSED"/>
    <m/>
    <m/>
    <m/>
    <s v="POSS CS PG 1 &lt;1G"/>
    <m/>
    <s v="FS"/>
    <s v="POSS DRUG"/>
    <s v="Def adj Theft 5/21/12"/>
    <m/>
    <m/>
    <m/>
    <m/>
    <m/>
    <m/>
    <m/>
    <m/>
    <s v="Appointed Attorney"/>
    <m/>
    <m/>
    <n v="3"/>
    <n v="84"/>
    <n v="84"/>
    <n v="24.467213114754099"/>
    <n v="0"/>
    <n v="-81"/>
    <s v="NO CONVICTION"/>
    <x v="1"/>
    <s v="Y"/>
    <m/>
    <s v="NO CONVICTION"/>
    <s v="Y"/>
    <x v="1"/>
    <x v="0"/>
    <s v="N"/>
    <n v="3.5714285714285712E-2"/>
    <n v="3.5714285714285712E-2"/>
    <n v="0"/>
    <n v="0"/>
    <n v="-3"/>
    <n v="0"/>
    <n v="3"/>
    <e v="#VALUE!"/>
    <n v="3"/>
    <n v="0"/>
    <m/>
    <m/>
    <s v="N"/>
    <m/>
    <s v="0-10 DAYS"/>
    <n v="1"/>
    <x v="0"/>
  </r>
  <r>
    <n v="2922"/>
    <s v="N"/>
    <s v="N"/>
    <n v="2372200"/>
    <n v="6"/>
    <d v="2012-04-18T00:00:00"/>
    <d v="2012-10-04T00:00:00"/>
    <n v="2372200"/>
    <d v="2012-04-18T00:00:00"/>
    <d v="2012-10-04T00:00:00"/>
    <s v="NO BOND"/>
    <x v="1"/>
    <m/>
    <s v="N"/>
    <s v="NONE"/>
    <s v="GUILTY PLEA - NO JURY"/>
    <n v="170"/>
    <n v="170"/>
    <n v="5"/>
    <n v="6"/>
    <m/>
    <m/>
    <m/>
    <m/>
    <m/>
    <m/>
    <m/>
    <m/>
    <m/>
    <d v="1991-07-05T00:00:00"/>
    <s v="M"/>
    <s v="B"/>
    <s v="BLACK"/>
    <s v="NON-HISPANIC"/>
    <s v="174"/>
    <s v="CONVICTED"/>
    <n v="8"/>
    <s v="TDC"/>
    <n v="7"/>
    <m/>
    <m/>
    <s v="BURGLARY OF HABITATION"/>
    <m/>
    <s v="F2"/>
    <s v="BURGLARY"/>
    <s v="10/5/12 misd disp fail to ID to PO hcj 30 d"/>
    <m/>
    <m/>
    <m/>
    <m/>
    <m/>
    <m/>
    <m/>
    <m/>
    <s v="Hired Attorney"/>
    <m/>
    <m/>
    <n v="170"/>
    <n v="170"/>
    <n v="170"/>
    <n v="20.745901639344261"/>
    <n v="0"/>
    <n v="0"/>
    <s v="CONVICTION"/>
    <x v="0"/>
    <s v="N"/>
    <m/>
    <s v="CONVICTION"/>
    <s v="Y"/>
    <x v="0"/>
    <x v="0"/>
    <s v="Y"/>
    <n v="1"/>
    <n v="1"/>
    <n v="0"/>
    <n v="0"/>
    <n v="-170"/>
    <n v="0"/>
    <n v="170"/>
    <e v="#VALUE!"/>
    <n v="170"/>
    <n v="0"/>
    <m/>
    <m/>
    <s v="Y"/>
    <m/>
    <s v="121-365 DAYS"/>
    <n v="6"/>
    <x v="0"/>
  </r>
  <r>
    <n v="2825"/>
    <s v="N"/>
    <s v="N"/>
    <n v="2372974"/>
    <n v="4"/>
    <d v="2012-04-14T00:00:00"/>
    <d v="2012-04-16T00:00:00"/>
    <n v="2372974"/>
    <d v="2012-04-14T00:00:00"/>
    <d v="2012-04-16T00:00:00"/>
    <n v="15000"/>
    <x v="0"/>
    <m/>
    <s v="N"/>
    <s v="NONE"/>
    <s v="GUILTY PLEA - NO JURY"/>
    <n v="3"/>
    <n v="3"/>
    <n v="1"/>
    <n v="1"/>
    <n v="1"/>
    <m/>
    <m/>
    <m/>
    <m/>
    <m/>
    <m/>
    <m/>
    <m/>
    <d v="1955-02-28T00:00:00"/>
    <s v="M"/>
    <s v="W"/>
    <s v="WHITE"/>
    <s v="NULL"/>
    <s v="179"/>
    <s v="CONVICTED"/>
    <n v="1"/>
    <s v="HCJ"/>
    <m/>
    <m/>
    <n v="60"/>
    <s v="POSS CS PG 1 &lt;1G"/>
    <m/>
    <s v="FS"/>
    <s v="POSS DRUG"/>
    <m/>
    <m/>
    <m/>
    <m/>
    <m/>
    <m/>
    <m/>
    <m/>
    <m/>
    <s v="Appointed Attorney"/>
    <m/>
    <m/>
    <n v="3"/>
    <n v="3"/>
    <n v="3"/>
    <n v="57.008196721311478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836"/>
    <s v="N"/>
    <s v="N"/>
    <n v="2373464"/>
    <n v="1"/>
    <d v="2012-02-01T00:00:00"/>
    <d v="2012-03-30T00:00:00"/>
    <n v="2373464"/>
    <d v="2012-02-26T00:00:00"/>
    <d v="2012-03-30T00:00:00"/>
    <n v="2000"/>
    <x v="5"/>
    <m/>
    <s v="N"/>
    <s v="NONE"/>
    <s v="DISMISSED"/>
    <n v="34"/>
    <n v="59"/>
    <n v="0"/>
    <n v="1"/>
    <m/>
    <m/>
    <m/>
    <m/>
    <m/>
    <m/>
    <m/>
    <m/>
    <m/>
    <d v="1960-01-23T00:00:00"/>
    <s v="F"/>
    <s v="W"/>
    <s v="WHITE"/>
    <s v="NON-HISPANIC"/>
    <s v="262"/>
    <s v="DISMISSED"/>
    <n v="5"/>
    <s v="DISMISSED"/>
    <m/>
    <m/>
    <m/>
    <s v="POSS CS PG 1 &lt;1G"/>
    <m/>
    <s v="FS"/>
    <s v="POSS DRUG"/>
    <m/>
    <m/>
    <m/>
    <m/>
    <m/>
    <m/>
    <m/>
    <m/>
    <m/>
    <s v="Appointed Attorney"/>
    <m/>
    <m/>
    <n v="34"/>
    <n v="34"/>
    <n v="59"/>
    <n v="51.918032786885249"/>
    <n v="0"/>
    <n v="0"/>
    <s v="NO CONVICTION"/>
    <x v="0"/>
    <s v="N"/>
    <m/>
    <s v="NO CONVICTION"/>
    <s v="Y"/>
    <x v="0"/>
    <x v="0"/>
    <s v="N"/>
    <n v="0.57627118644067798"/>
    <n v="1"/>
    <n v="0.42372881355932202"/>
    <n v="0"/>
    <n v="-34"/>
    <n v="0"/>
    <n v="34"/>
    <e v="#VALUE!"/>
    <n v="34"/>
    <n v="0"/>
    <m/>
    <m/>
    <s v="Y"/>
    <m/>
    <s v="31-60 DAYS"/>
    <n v="3"/>
    <x v="0"/>
  </r>
  <r>
    <n v="3046"/>
    <s v="N"/>
    <s v="N"/>
    <n v="2373540"/>
    <n v="1"/>
    <d v="2012-04-23T00:00:00"/>
    <d v="2012-07-13T00:00:00"/>
    <n v="2373540"/>
    <d v="2012-04-23T00:00:00"/>
    <d v="2012-04-24T00:00:00"/>
    <n v="5000"/>
    <x v="4"/>
    <d v="2012-04-24T00:00:00"/>
    <s v="Y"/>
    <s v="SURETY"/>
    <s v="DISMISSED"/>
    <n v="2"/>
    <n v="82"/>
    <n v="1"/>
    <n v="0"/>
    <m/>
    <m/>
    <m/>
    <m/>
    <m/>
    <m/>
    <m/>
    <m/>
    <m/>
    <d v="1991-05-09T00:00:00"/>
    <s v="M"/>
    <s v="H"/>
    <s v="HISPANIC"/>
    <s v="HISPANIC"/>
    <s v="177"/>
    <s v="DISMISSED"/>
    <n v="5"/>
    <s v="DISMISSED"/>
    <m/>
    <m/>
    <m/>
    <s v="POSS CS PG 1 &lt;1G"/>
    <m/>
    <s v="FS"/>
    <s v="POSS DRUG"/>
    <m/>
    <m/>
    <m/>
    <m/>
    <m/>
    <m/>
    <m/>
    <m/>
    <m/>
    <s v="Hired Attorney"/>
    <m/>
    <m/>
    <n v="2"/>
    <n v="82"/>
    <n v="82"/>
    <n v="20.915300546448087"/>
    <n v="0"/>
    <n v="-80"/>
    <s v="NO CONVICTION"/>
    <x v="1"/>
    <s v="Y"/>
    <m/>
    <s v="NO CONVICTION"/>
    <s v="Y"/>
    <x v="1"/>
    <x v="0"/>
    <s v="Y"/>
    <n v="2.4390243902439025E-2"/>
    <n v="2.4390243902439025E-2"/>
    <n v="0"/>
    <n v="0"/>
    <n v="-2"/>
    <n v="0"/>
    <n v="2"/>
    <e v="#VALUE!"/>
    <n v="2"/>
    <n v="0"/>
    <m/>
    <m/>
    <s v="Y"/>
    <m/>
    <s v="0-10 DAYS"/>
    <n v="1"/>
    <x v="0"/>
  </r>
  <r>
    <n v="1452"/>
    <s v="N"/>
    <s v="N"/>
    <n v="2373697"/>
    <n v="2"/>
    <d v="2012-02-23T00:00:00"/>
    <d v="2012-04-19T00:00:00"/>
    <n v="2373697"/>
    <d v="2012-02-23T00:00:00"/>
    <d v="2012-04-19T00:00:00"/>
    <n v="30000"/>
    <x v="2"/>
    <m/>
    <s v="N"/>
    <s v="NONE"/>
    <s v="DEFERRED ADJUDICATION "/>
    <n v="57"/>
    <n v="57"/>
    <n v="0"/>
    <n v="5"/>
    <m/>
    <m/>
    <m/>
    <m/>
    <m/>
    <m/>
    <m/>
    <m/>
    <m/>
    <d v="1989-05-18T00:00:00"/>
    <s v="M"/>
    <s v="W"/>
    <s v="WHITE"/>
    <s v="NON-HISPANIC"/>
    <s v="339"/>
    <s v="DEFERRED"/>
    <n v="3"/>
    <s v="DEFERRED"/>
    <m/>
    <m/>
    <m/>
    <s v="AGG ASSAULT-FAMILY MEMBER"/>
    <m/>
    <s v="F2"/>
    <s v="ASLT-MURDR"/>
    <m/>
    <m/>
    <m/>
    <m/>
    <m/>
    <m/>
    <m/>
    <m/>
    <m/>
    <s v="Hired Attorney"/>
    <m/>
    <m/>
    <n v="57"/>
    <n v="57"/>
    <n v="57"/>
    <n v="22.721311475409838"/>
    <n v="0"/>
    <n v="0"/>
    <s v="DEFERRED"/>
    <x v="0"/>
    <s v="N"/>
    <m/>
    <s v="DEFERRED"/>
    <s v="Y"/>
    <x v="0"/>
    <x v="0"/>
    <s v="N"/>
    <n v="1"/>
    <n v="1"/>
    <n v="0"/>
    <n v="0"/>
    <n v="-57"/>
    <n v="0"/>
    <n v="57"/>
    <e v="#VALUE!"/>
    <n v="57"/>
    <n v="0"/>
    <m/>
    <m/>
    <s v="Y"/>
    <m/>
    <s v="31-60 DAYS"/>
    <n v="3"/>
    <x v="0"/>
  </r>
  <r>
    <n v="27"/>
    <s v="N"/>
    <s v="N"/>
    <n v="2374202"/>
    <n v="1"/>
    <d v="2012-01-02T00:00:00"/>
    <d v="2012-01-05T00:00:00"/>
    <n v="2374202"/>
    <d v="2012-01-03T00:00:00"/>
    <d v="2012-01-05T00:00:00"/>
    <n v="5000"/>
    <x v="4"/>
    <m/>
    <s v="N"/>
    <s v="NONE"/>
    <s v="DISMISSED"/>
    <n v="3"/>
    <n v="4"/>
    <n v="1"/>
    <n v="0"/>
    <m/>
    <n v="1"/>
    <m/>
    <m/>
    <m/>
    <m/>
    <m/>
    <m/>
    <m/>
    <d v="1990-06-19T00:00:00"/>
    <s v="M"/>
    <s v="W"/>
    <s v="WHITE"/>
    <s v="NULL"/>
    <s v="183"/>
    <s v="DISMISSED"/>
    <n v="2"/>
    <s v="DISMISSED"/>
    <m/>
    <m/>
    <m/>
    <s v="POSS CS PG 1  1 - 4 GRAMS"/>
    <m/>
    <s v="F3"/>
    <s v="POSS DRUG"/>
    <m/>
    <m/>
    <m/>
    <m/>
    <m/>
    <m/>
    <m/>
    <m/>
    <m/>
    <s v="Appointed Attorney"/>
    <m/>
    <m/>
    <n v="3"/>
    <n v="3"/>
    <n v="4"/>
    <n v="21.494535519125684"/>
    <n v="0"/>
    <n v="0"/>
    <s v="NO CONVICTION"/>
    <x v="0"/>
    <s v="N"/>
    <m/>
    <s v="NO CONVICTION"/>
    <s v="Y"/>
    <x v="0"/>
    <x v="0"/>
    <s v="Y"/>
    <n v="0.75"/>
    <n v="1"/>
    <n v="0.25"/>
    <n v="0"/>
    <n v="-3"/>
    <n v="0"/>
    <n v="3"/>
    <e v="#VALUE!"/>
    <n v="3"/>
    <n v="0"/>
    <m/>
    <m/>
    <s v="Y"/>
    <m/>
    <s v="0-10 DAYS"/>
    <n v="1"/>
    <x v="0"/>
  </r>
  <r>
    <n v="1909"/>
    <s v="N"/>
    <s v="N"/>
    <n v="2376678"/>
    <n v="2"/>
    <d v="2012-03-11T00:00:00"/>
    <d v="2012-03-13T00:00:00"/>
    <n v="2376678"/>
    <d v="2012-03-12T00:00:00"/>
    <d v="2012-03-13T00:00:00"/>
    <s v="NO BOND"/>
    <x v="1"/>
    <m/>
    <s v="N"/>
    <s v="NONE"/>
    <s v="DEFERRED ADJUDICATION "/>
    <n v="2"/>
    <n v="3"/>
    <n v="3"/>
    <n v="5"/>
    <m/>
    <m/>
    <m/>
    <m/>
    <m/>
    <m/>
    <m/>
    <m/>
    <m/>
    <d v="1991-03-03T00:00:00"/>
    <s v="M"/>
    <s v="B"/>
    <s v="BLACK"/>
    <s v="NON-HISPANIC"/>
    <s v="178"/>
    <s v="DEFERRED"/>
    <n v="1"/>
    <s v="DEFERRED"/>
    <m/>
    <m/>
    <m/>
    <s v="ASSAULT-BOD INJ-FAMILY MEMBER"/>
    <m/>
    <s v="F3"/>
    <s v="ASLT-MURDR"/>
    <s v="LAWV 4/4/12 bk , new fel 6/25/12 90 hcj, misd 6/27/12"/>
    <m/>
    <m/>
    <m/>
    <m/>
    <m/>
    <m/>
    <m/>
    <m/>
    <s v="Appointed Attorney"/>
    <m/>
    <m/>
    <n v="2"/>
    <n v="2"/>
    <n v="3"/>
    <n v="20.980874316939889"/>
    <n v="0"/>
    <n v="0"/>
    <s v="DEFERRED"/>
    <x v="0"/>
    <s v="N"/>
    <m/>
    <s v="DEFERRED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1139"/>
    <s v="N"/>
    <s v="Y"/>
    <n v="2376915"/>
    <n v="6"/>
    <d v="2012-02-10T00:00:00"/>
    <d v="2012-07-03T00:00:00"/>
    <n v="2376915"/>
    <d v="2012-02-13T00:00:00"/>
    <d v="2012-04-24T00:00:00"/>
    <n v="70000"/>
    <x v="2"/>
    <d v="2012-04-24T00:00:00"/>
    <s v="Y"/>
    <s v="SURETYPTRc"/>
    <s v="GUILTY PLEA - NO JURY"/>
    <n v="82"/>
    <n v="145"/>
    <n v="0"/>
    <n v="0"/>
    <m/>
    <m/>
    <m/>
    <m/>
    <m/>
    <m/>
    <m/>
    <m/>
    <m/>
    <d v="1991-03-25T00:00:00"/>
    <s v="M"/>
    <s v="H"/>
    <s v="HISPANIC"/>
    <s v="HISPANIC"/>
    <s v="230"/>
    <s v="CONVICTED"/>
    <n v="8"/>
    <s v="TDC"/>
    <n v="15"/>
    <m/>
    <m/>
    <s v="SEX ASSLT CHILD 14-17"/>
    <m/>
    <s v="F2"/>
    <s v="SEX ABUSE"/>
    <m/>
    <s v=" rev 5/21/12  "/>
    <m/>
    <m/>
    <s v="Y"/>
    <m/>
    <m/>
    <m/>
    <m/>
    <s v="Hired Attorney"/>
    <m/>
    <m/>
    <n v="82"/>
    <n v="142"/>
    <n v="145"/>
    <n v="20.838797814207652"/>
    <n v="0"/>
    <n v="-70"/>
    <s v="CONVICTION"/>
    <x v="1"/>
    <s v="Y"/>
    <m/>
    <s v="CONVICTION"/>
    <s v="Y"/>
    <x v="0"/>
    <x v="0"/>
    <s v="N"/>
    <n v="0.56551724137931036"/>
    <n v="0.50704225352112675"/>
    <n v="-5.8474987858183614E-2"/>
    <n v="0"/>
    <n v="-72"/>
    <n v="10"/>
    <n v="142"/>
    <n v="82"/>
    <n v="142"/>
    <n v="70"/>
    <m/>
    <m/>
    <s v="N"/>
    <m/>
    <s v="61-90 DAYS"/>
    <n v="4"/>
    <x v="0"/>
  </r>
  <r>
    <n v="3067"/>
    <s v="N"/>
    <s v="N"/>
    <n v="2377111"/>
    <n v="2"/>
    <d v="2012-04-23T00:00:00"/>
    <d v="2012-06-27T00:00:00"/>
    <n v="2377111"/>
    <d v="2012-06-25T00:00:00"/>
    <d v="2012-06-27T00:00:00"/>
    <n v="2000"/>
    <x v="5"/>
    <m/>
    <s v="N"/>
    <s v="NONE"/>
    <s v="DEFERRED ADJUDICATION "/>
    <n v="3"/>
    <n v="66"/>
    <n v="2"/>
    <n v="4"/>
    <m/>
    <m/>
    <m/>
    <m/>
    <m/>
    <m/>
    <m/>
    <m/>
    <m/>
    <d v="1988-12-29T00:00:00"/>
    <s v="F"/>
    <s v="W"/>
    <s v="WHITE"/>
    <s v="NON-HISPANIC"/>
    <s v="184"/>
    <s v="DEFERRED"/>
    <n v="2"/>
    <s v="DEFERRED"/>
    <m/>
    <m/>
    <m/>
    <s v="THEFT UNDER $1500 - 3RD OFF."/>
    <m/>
    <s v="FS"/>
    <s v="THEFT"/>
    <m/>
    <m/>
    <m/>
    <m/>
    <m/>
    <m/>
    <m/>
    <m/>
    <m/>
    <s v="Appointed Attorney"/>
    <m/>
    <m/>
    <n v="3"/>
    <n v="3"/>
    <n v="66"/>
    <n v="23.26775956284153"/>
    <n v="0"/>
    <n v="0"/>
    <s v="DEFERRED"/>
    <x v="0"/>
    <s v="N"/>
    <m/>
    <s v="DEFERRED"/>
    <s v="Y"/>
    <x v="0"/>
    <x v="0"/>
    <s v="Y"/>
    <n v="4.5454545454545456E-2"/>
    <n v="1"/>
    <n v="0.95454545454545459"/>
    <n v="0"/>
    <n v="-3"/>
    <n v="0"/>
    <n v="3"/>
    <e v="#VALUE!"/>
    <n v="3"/>
    <n v="0"/>
    <m/>
    <m/>
    <s v="Y"/>
    <m/>
    <s v="0-10 DAYS"/>
    <n v="1"/>
    <x v="0"/>
  </r>
  <r>
    <n v="2232"/>
    <s v="Y"/>
    <s v="Y"/>
    <n v="2377552"/>
    <n v="5"/>
    <d v="2012-03-25T00:00:00"/>
    <d v="2012-10-23T00:00:00"/>
    <n v="2377552"/>
    <d v="2012-03-25T00:00:00"/>
    <d v="2012-04-13T00:00:00"/>
    <n v="20000"/>
    <x v="0"/>
    <d v="2012-04-03T00:00:00"/>
    <s v="Y"/>
    <s v="SURETY"/>
    <s v="GUILTY PLEA - NO JURY"/>
    <n v="34"/>
    <n v="213"/>
    <n v="2"/>
    <n v="1"/>
    <m/>
    <m/>
    <m/>
    <m/>
    <m/>
    <m/>
    <m/>
    <m/>
    <m/>
    <d v="1989-08-11T00:00:00"/>
    <s v="M"/>
    <s v="B"/>
    <s v="BLACK"/>
    <s v="NULL"/>
    <s v="339"/>
    <s v="CONVICTED"/>
    <n v="5"/>
    <s v="STJ"/>
    <m/>
    <n v="6"/>
    <m/>
    <s v="POSS W/INT MAN/DEL CS PG1 1&lt;1"/>
    <m/>
    <s v="FS"/>
    <s v="SALE DRUG"/>
    <s v="bk 10/9/12 recal detained days "/>
    <m/>
    <s v="Y"/>
    <s v="bf 6/26/2012"/>
    <m/>
    <m/>
    <m/>
    <s v="(2)12/13/2012"/>
    <n v="750"/>
    <s v="Public Defender"/>
    <s v="f pcs 7/15/13  sj 7 mos"/>
    <m/>
    <n v="34"/>
    <n v="213"/>
    <n v="213"/>
    <n v="22.57377049180328"/>
    <n v="-10"/>
    <n v="-193"/>
    <s v="CONVICTION"/>
    <x v="1"/>
    <s v="N"/>
    <m/>
    <s v="CONVICTION"/>
    <s v="Y"/>
    <x v="0"/>
    <x v="0"/>
    <s v="Y"/>
    <n v="0.15962441314553991"/>
    <n v="9.3896713615023469E-2"/>
    <n v="-6.5727699530516437E-2"/>
    <n v="0"/>
    <n v="-20"/>
    <n v="14"/>
    <n v="213"/>
    <n v="34"/>
    <n v="213"/>
    <n v="193"/>
    <m/>
    <m/>
    <s v="Y"/>
    <m/>
    <s v="31-60 DAYS"/>
    <n v="3"/>
    <x v="0"/>
  </r>
  <r>
    <n v="401"/>
    <s v="N"/>
    <s v="N"/>
    <n v="2377785"/>
    <n v="5"/>
    <d v="2012-01-17T00:00:00"/>
    <d v="2012-01-19T00:00:00"/>
    <n v="2377785"/>
    <d v="2012-01-17T00:00:00"/>
    <d v="2012-01-19T00:00:00"/>
    <n v="15000"/>
    <x v="0"/>
    <m/>
    <s v="N"/>
    <s v="NONE"/>
    <s v="GUILTY PLEA - NO JURY"/>
    <n v="3"/>
    <n v="3"/>
    <n v="2"/>
    <n v="5"/>
    <n v="2"/>
    <m/>
    <m/>
    <m/>
    <m/>
    <m/>
    <m/>
    <s v="S"/>
    <m/>
    <d v="1965-09-24T00:00:00"/>
    <s v="F"/>
    <s v="H"/>
    <s v="HISPANIC"/>
    <s v="NULL"/>
    <s v="248"/>
    <s v="CONVICTED"/>
    <n v="1"/>
    <s v="STJ"/>
    <m/>
    <n v="7"/>
    <m/>
    <s v="THEFT UNDER $1500 - 3RD OFF."/>
    <m/>
    <s v="FS"/>
    <s v="THEFT"/>
    <m/>
    <m/>
    <m/>
    <m/>
    <m/>
    <m/>
    <m/>
    <m/>
    <m/>
    <s v="Appointed Attorney"/>
    <m/>
    <m/>
    <n v="3"/>
    <n v="3"/>
    <n v="3"/>
    <n v="46.21857923497268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1107"/>
    <s v="N"/>
    <s v="N"/>
    <n v="2377806"/>
    <n v="1"/>
    <d v="2012-02-10T00:00:00"/>
    <d v="2012-05-01T00:00:00"/>
    <n v="2377806"/>
    <d v="2012-02-10T00:00:00"/>
    <d v="2012-02-26T00:00:00"/>
    <n v="30000"/>
    <x v="2"/>
    <d v="2012-02-26T00:00:00"/>
    <s v="Y"/>
    <s v="SURETY"/>
    <s v="NO BILL"/>
    <n v="17"/>
    <n v="82"/>
    <n v="1"/>
    <n v="2"/>
    <n v="1"/>
    <m/>
    <m/>
    <m/>
    <m/>
    <m/>
    <m/>
    <m/>
    <m/>
    <d v="1989-12-04T00:00:00"/>
    <s v="M"/>
    <s v="B"/>
    <s v="BLACK"/>
    <s v="NULL"/>
    <s v="339"/>
    <s v="NO BILL"/>
    <n v="5"/>
    <s v="NO BILL"/>
    <m/>
    <m/>
    <m/>
    <s v="AGG ROBBERY-DEADLY WPN"/>
    <m/>
    <s v="F1"/>
    <s v="ROBBERY"/>
    <s v="misd conv 5/16/12 weapon hcj 1 yr"/>
    <m/>
    <m/>
    <m/>
    <m/>
    <m/>
    <m/>
    <m/>
    <m/>
    <s v="Hired Attorney"/>
    <m/>
    <m/>
    <n v="17"/>
    <n v="82"/>
    <n v="82"/>
    <n v="22.139344262295083"/>
    <n v="0"/>
    <n v="-65"/>
    <s v="NO CONVICTION"/>
    <x v="1"/>
    <s v="Y"/>
    <m/>
    <s v="NO CONVICTION"/>
    <s v="Y"/>
    <x v="1"/>
    <x v="0"/>
    <s v="Y"/>
    <n v="0.2073170731707317"/>
    <n v="0.2073170731707317"/>
    <n v="0"/>
    <n v="0"/>
    <n v="-17"/>
    <n v="0"/>
    <n v="17"/>
    <e v="#VALUE!"/>
    <n v="17"/>
    <n v="0"/>
    <m/>
    <m/>
    <s v="Y"/>
    <m/>
    <s v="11-30 DAYS"/>
    <n v="2"/>
    <x v="0"/>
  </r>
  <r>
    <n v="2652"/>
    <s v="N"/>
    <s v="N"/>
    <n v="2377847"/>
    <n v="4"/>
    <d v="2012-04-08T00:00:00"/>
    <d v="2012-04-10T00:00:00"/>
    <n v="2377847"/>
    <d v="2012-04-08T00:00:00"/>
    <d v="2012-04-10T00:00:00"/>
    <n v="5000"/>
    <x v="4"/>
    <m/>
    <s v="N"/>
    <s v="NONE"/>
    <s v="GUILTY PLEA - NO JURY"/>
    <n v="3"/>
    <n v="3"/>
    <n v="0"/>
    <n v="5"/>
    <m/>
    <m/>
    <m/>
    <m/>
    <m/>
    <m/>
    <m/>
    <m/>
    <m/>
    <d v="1988-12-01T00:00:00"/>
    <s v="F"/>
    <s v="B"/>
    <s v="BLACK"/>
    <s v="NULL"/>
    <s v="208"/>
    <s v="CONVICTED"/>
    <n v="1"/>
    <s v="HCJ"/>
    <m/>
    <m/>
    <n v="90"/>
    <s v="POSS CS PG 1 &lt;1G"/>
    <m/>
    <s v="FS"/>
    <s v="POSS DRUG"/>
    <s v="6/25/12 misd prosti 15 d hcj"/>
    <m/>
    <m/>
    <m/>
    <m/>
    <m/>
    <m/>
    <m/>
    <m/>
    <s v="Appointed Attorney"/>
    <m/>
    <m/>
    <n v="3"/>
    <n v="3"/>
    <n v="3"/>
    <n v="23.303278688524589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544"/>
    <s v="N"/>
    <s v="N"/>
    <n v="2378206"/>
    <n v="2"/>
    <d v="2012-04-05T00:00:00"/>
    <d v="2012-07-17T00:00:00"/>
    <n v="2378206"/>
    <d v="2012-04-05T00:00:00"/>
    <d v="2012-04-06T00:00:00"/>
    <n v="4000"/>
    <x v="4"/>
    <d v="2012-04-06T00:00:00"/>
    <s v="Y"/>
    <s v="SURETY"/>
    <s v="DEFERRED ADJUDICATION "/>
    <n v="2"/>
    <n v="104"/>
    <n v="0"/>
    <n v="1"/>
    <m/>
    <m/>
    <m/>
    <m/>
    <m/>
    <m/>
    <m/>
    <m/>
    <m/>
    <d v="1990-03-19T00:00:00"/>
    <s v="M"/>
    <s v="B"/>
    <s v="BLACK"/>
    <s v="NON-HISPANIC"/>
    <s v="339"/>
    <s v="DEFERRED"/>
    <n v="5"/>
    <s v="DEFERRED"/>
    <m/>
    <m/>
    <m/>
    <s v="(EVAD ARREST/DETENTION W/PREV C)"/>
    <m/>
    <s v="F2"/>
    <s v="OTHER FEL"/>
    <m/>
    <m/>
    <m/>
    <m/>
    <m/>
    <m/>
    <m/>
    <m/>
    <m/>
    <s v="Appointed Attorney"/>
    <m/>
    <m/>
    <n v="2"/>
    <n v="104"/>
    <n v="104"/>
    <n v="22.002732240437158"/>
    <n v="0"/>
    <n v="-102"/>
    <s v="DEFERRED"/>
    <x v="1"/>
    <s v="Y"/>
    <m/>
    <s v="DEFERRED"/>
    <s v="Y"/>
    <x v="1"/>
    <x v="0"/>
    <s v="N"/>
    <n v="1.9230769230769232E-2"/>
    <n v="1.9230769230769232E-2"/>
    <n v="0"/>
    <n v="0"/>
    <n v="-2"/>
    <n v="0"/>
    <n v="2"/>
    <e v="#VALUE!"/>
    <n v="2"/>
    <n v="0"/>
    <m/>
    <m/>
    <s v="Y"/>
    <m/>
    <s v="0-10 DAYS"/>
    <n v="1"/>
    <x v="0"/>
  </r>
  <r>
    <n v="905"/>
    <s v="N"/>
    <s v="N"/>
    <n v="2378552"/>
    <n v="6"/>
    <d v="2012-02-03T00:00:00"/>
    <d v="2012-03-07T00:00:00"/>
    <n v="2378552"/>
    <d v="2012-02-20T00:00:00"/>
    <d v="2012-03-07T00:00:00"/>
    <s v="NO BOND"/>
    <x v="1"/>
    <m/>
    <s v="N"/>
    <s v="NONE"/>
    <s v="GUILTY PLEA - NO JURY"/>
    <n v="17"/>
    <n v="34"/>
    <n v="1"/>
    <n v="0"/>
    <m/>
    <m/>
    <m/>
    <m/>
    <m/>
    <m/>
    <m/>
    <m/>
    <m/>
    <d v="1983-09-18T00:00:00"/>
    <s v="F"/>
    <s v="H"/>
    <s v="HISPANIC"/>
    <s v="HISPANIC"/>
    <s v="179"/>
    <s v="CONVICTED"/>
    <n v="2"/>
    <s v="TDC"/>
    <n v="5"/>
    <m/>
    <m/>
    <s v="POSS W/INT DEL CS PG1&gt;=4 &lt;200"/>
    <m/>
    <s v="F1"/>
    <s v="SALE DRUG"/>
    <m/>
    <m/>
    <m/>
    <m/>
    <m/>
    <m/>
    <m/>
    <m/>
    <m/>
    <s v="Hired Attorney"/>
    <m/>
    <m/>
    <n v="17"/>
    <n v="17"/>
    <n v="34"/>
    <n v="28.319672131147541"/>
    <n v="0"/>
    <n v="0"/>
    <s v="CONVICTION"/>
    <x v="0"/>
    <s v="N"/>
    <m/>
    <s v="CONVICTION"/>
    <s v="Y"/>
    <x v="0"/>
    <x v="0"/>
    <s v="Y"/>
    <n v="0.5"/>
    <n v="1"/>
    <n v="0.5"/>
    <n v="0"/>
    <n v="-17"/>
    <n v="0"/>
    <n v="17"/>
    <e v="#VALUE!"/>
    <n v="17"/>
    <n v="0"/>
    <m/>
    <m/>
    <s v="Y"/>
    <m/>
    <s v="11-30 DAYS"/>
    <n v="2"/>
    <x v="0"/>
  </r>
  <r>
    <n v="1786"/>
    <s v="N"/>
    <s v="N"/>
    <n v="2378807"/>
    <n v="2"/>
    <d v="2012-03-07T00:00:00"/>
    <d v="2012-04-30T00:00:00"/>
    <n v="2378807"/>
    <d v="2012-04-24T00:00:00"/>
    <d v="2012-04-30T00:00:00"/>
    <n v="50000"/>
    <x v="2"/>
    <m/>
    <s v="N"/>
    <s v="NONE"/>
    <s v="DEFERRED ADJUDICATION "/>
    <n v="7"/>
    <n v="55"/>
    <n v="0"/>
    <n v="7"/>
    <m/>
    <m/>
    <m/>
    <m/>
    <m/>
    <m/>
    <m/>
    <m/>
    <m/>
    <d v="1990-03-10T00:00:00"/>
    <s v="M"/>
    <s v="B"/>
    <s v="BLACK"/>
    <s v="NON-HISPANIC"/>
    <s v="185"/>
    <s v="DEFERRED"/>
    <n v="3"/>
    <s v="DEFERRED"/>
    <m/>
    <m/>
    <m/>
    <s v="AGG ASSAULT-FAMILY MEMBER"/>
    <m/>
    <s v="F2"/>
    <s v="ASLT-MURDR"/>
    <s v="LAWV bk 9/13/12  9/12/12 rev 3 yrs tdc"/>
    <m/>
    <m/>
    <m/>
    <m/>
    <m/>
    <m/>
    <m/>
    <m/>
    <s v="Appointed Attorney"/>
    <m/>
    <m/>
    <n v="7"/>
    <n v="7"/>
    <n v="55"/>
    <n v="21.948087431693988"/>
    <n v="0"/>
    <n v="0"/>
    <s v="DEFERRED"/>
    <x v="0"/>
    <s v="N"/>
    <m/>
    <s v="DEFERRED"/>
    <s v="Y"/>
    <x v="0"/>
    <x v="0"/>
    <s v="N"/>
    <n v="0.12727272727272726"/>
    <n v="1"/>
    <n v="0.8727272727272728"/>
    <n v="0"/>
    <n v="-7"/>
    <n v="0"/>
    <n v="7"/>
    <e v="#VALUE!"/>
    <n v="7"/>
    <n v="0"/>
    <m/>
    <m/>
    <s v="Y"/>
    <m/>
    <s v="0-10 DAYS"/>
    <n v="1"/>
    <x v="0"/>
  </r>
  <r>
    <n v="727"/>
    <s v="N"/>
    <s v="N"/>
    <n v="2379963"/>
    <n v="4"/>
    <d v="2012-01-29T00:00:00"/>
    <d v="2012-02-28T00:00:00"/>
    <n v="2379963"/>
    <d v="2012-01-30T00:00:00"/>
    <d v="2012-02-28T00:00:00"/>
    <n v="35000"/>
    <x v="2"/>
    <m/>
    <s v="N"/>
    <s v="NONE"/>
    <s v="GUILTY PLEA - NO JURY"/>
    <n v="30"/>
    <n v="31"/>
    <n v="0"/>
    <n v="2"/>
    <m/>
    <m/>
    <m/>
    <m/>
    <m/>
    <m/>
    <m/>
    <m/>
    <m/>
    <d v="1987-04-15T00:00:00"/>
    <s v="M"/>
    <s v="W"/>
    <s v="WHITE"/>
    <s v="NULL"/>
    <s v="178"/>
    <s v="CONVICTED"/>
    <n v="3"/>
    <s v="HCJ"/>
    <m/>
    <m/>
    <n v="120"/>
    <s v="POSS CS PG 1 &lt;1G"/>
    <m/>
    <s v="FS"/>
    <s v="POSS DRUG"/>
    <m/>
    <m/>
    <m/>
    <m/>
    <m/>
    <m/>
    <m/>
    <m/>
    <m/>
    <s v="Appointed Attorney"/>
    <m/>
    <m/>
    <n v="30"/>
    <n v="30"/>
    <n v="31"/>
    <n v="24.740437158469945"/>
    <n v="0"/>
    <n v="0"/>
    <s v="CONVICTION"/>
    <x v="0"/>
    <s v="N"/>
    <m/>
    <s v="CONVICTION"/>
    <s v="Y"/>
    <x v="0"/>
    <x v="0"/>
    <s v="N"/>
    <n v="0.967741935483871"/>
    <n v="1"/>
    <n v="3.2258064516129004E-2"/>
    <n v="0"/>
    <n v="-30"/>
    <n v="0"/>
    <n v="30"/>
    <e v="#VALUE!"/>
    <n v="30"/>
    <n v="0"/>
    <m/>
    <m/>
    <s v="Y"/>
    <m/>
    <s v="11-30 DAYS"/>
    <n v="2"/>
    <x v="0"/>
  </r>
  <r>
    <n v="1989"/>
    <s v="N"/>
    <s v="N"/>
    <n v="2381161"/>
    <n v="6"/>
    <d v="2012-03-15T00:00:00"/>
    <d v="2013-07-10T00:00:00"/>
    <n v="2381161"/>
    <d v="2012-03-17T00:00:00"/>
    <d v="2012-04-01T00:00:00"/>
    <n v="30000"/>
    <x v="2"/>
    <d v="2012-04-01T00:00:00"/>
    <s v="Y"/>
    <s v="SURETY"/>
    <s v="GUILTY PLEA - NO JURY"/>
    <n v="16"/>
    <n v="483"/>
    <n v="0"/>
    <n v="3"/>
    <m/>
    <m/>
    <m/>
    <m/>
    <m/>
    <m/>
    <m/>
    <m/>
    <m/>
    <d v="1991-04-22T00:00:00"/>
    <s v="F"/>
    <s v="B"/>
    <s v="BLACK"/>
    <s v="NULL"/>
    <s v="263"/>
    <s v="CONVICTED"/>
    <n v="19"/>
    <s v="TDC"/>
    <n v="15"/>
    <m/>
    <m/>
    <s v="AGG ROBBERY-DEADLY WPN"/>
    <m/>
    <s v="F1"/>
    <s v="ROBBERY"/>
    <s v="APPEAL PEND"/>
    <m/>
    <m/>
    <m/>
    <m/>
    <m/>
    <m/>
    <m/>
    <m/>
    <s v="Hired Attorney"/>
    <m/>
    <m/>
    <n v="16"/>
    <n v="481"/>
    <n v="483"/>
    <n v="20.855191256830601"/>
    <n v="0"/>
    <n v="-465"/>
    <s v="CONVICTION"/>
    <x v="1"/>
    <s v="Y"/>
    <m/>
    <s v="CONVICTION"/>
    <s v="Y"/>
    <x v="1"/>
    <x v="0"/>
    <s v="N"/>
    <n v="3.3126293995859216E-2"/>
    <n v="3.3264033264033266E-2"/>
    <n v="1.3773926817405024E-4"/>
    <n v="0"/>
    <n v="-16"/>
    <n v="0"/>
    <n v="16"/>
    <e v="#VALUE!"/>
    <n v="16"/>
    <n v="0"/>
    <m/>
    <m/>
    <s v="Y"/>
    <m/>
    <s v="11-30 DAYS"/>
    <n v="2"/>
    <x v="0"/>
  </r>
  <r>
    <n v="1058"/>
    <s v="N"/>
    <s v="N"/>
    <n v="2381691"/>
    <n v="6"/>
    <d v="2012-02-09T00:00:00"/>
    <d v="2013-11-15T00:00:00"/>
    <n v="2381691"/>
    <d v="2012-02-09T00:00:00"/>
    <d v="2013-11-15T00:00:00"/>
    <n v="30000"/>
    <x v="2"/>
    <m/>
    <s v="N"/>
    <s v="NONE"/>
    <s v="GUILTY PLEA - NO JURY"/>
    <n v="646"/>
    <n v="646"/>
    <n v="1"/>
    <n v="1"/>
    <n v="1"/>
    <m/>
    <m/>
    <m/>
    <m/>
    <m/>
    <m/>
    <m/>
    <m/>
    <d v="1987-08-05T00:00:00"/>
    <s v="M"/>
    <s v="B"/>
    <s v="BLACK"/>
    <s v="NULL"/>
    <s v="177"/>
    <s v="CONVICTED"/>
    <n v="10"/>
    <s v="TDC"/>
    <n v="4"/>
    <m/>
    <m/>
    <s v="AGG ROBBERY-DEADLY WPN"/>
    <m/>
    <s v="F1"/>
    <s v="ROBBERY"/>
    <m/>
    <m/>
    <m/>
    <m/>
    <m/>
    <m/>
    <m/>
    <m/>
    <m/>
    <s v="Appointed Attorney"/>
    <m/>
    <m/>
    <n v="646"/>
    <n v="646"/>
    <n v="646"/>
    <n v="24.464480874316941"/>
    <n v="0"/>
    <n v="0"/>
    <s v="CONVICTION"/>
    <x v="0"/>
    <s v="N"/>
    <m/>
    <s v="CONVICTION"/>
    <s v="Y"/>
    <x v="0"/>
    <x v="0"/>
    <s v="Y"/>
    <n v="1"/>
    <n v="1"/>
    <n v="0"/>
    <n v="0"/>
    <n v="-646"/>
    <n v="0"/>
    <n v="646"/>
    <e v="#VALUE!"/>
    <n v="646"/>
    <n v="0"/>
    <m/>
    <m/>
    <s v="Y"/>
    <m/>
    <s v=" &gt;1YRS&lt;2YRS"/>
    <n v="0"/>
    <x v="0"/>
  </r>
  <r>
    <n v="2295"/>
    <s v="N"/>
    <s v="N"/>
    <n v="2381714"/>
    <n v="2"/>
    <d v="2012-03-27T00:00:00"/>
    <d v="2012-08-02T00:00:00"/>
    <n v="2381714"/>
    <d v="2012-03-28T00:00:00"/>
    <d v="2012-08-02T00:00:00"/>
    <s v="NO BOND"/>
    <x v="1"/>
    <m/>
    <s v="N"/>
    <s v="NONE"/>
    <s v="DEFERRED ADJUDICATION "/>
    <n v="128"/>
    <n v="129"/>
    <n v="0"/>
    <n v="4"/>
    <m/>
    <m/>
    <m/>
    <m/>
    <m/>
    <m/>
    <m/>
    <m/>
    <m/>
    <d v="1989-12-27T00:00:00"/>
    <s v="M"/>
    <s v="B"/>
    <s v="BLACK"/>
    <s v="NULL"/>
    <s v="232"/>
    <s v="DEFERRED"/>
    <n v="11"/>
    <s v="DEFERRED"/>
    <m/>
    <m/>
    <m/>
    <s v="ASSAULT-BOD INJ-PUB SERV/RETAL"/>
    <m/>
    <s v="F3"/>
    <s v="ASLT-MURDR"/>
    <m/>
    <m/>
    <m/>
    <m/>
    <m/>
    <m/>
    <m/>
    <m/>
    <m/>
    <s v="Hired Attorney"/>
    <m/>
    <m/>
    <n v="128"/>
    <n v="128"/>
    <n v="129"/>
    <n v="22.202185792349727"/>
    <n v="0"/>
    <n v="0"/>
    <s v="DEFERRED"/>
    <x v="0"/>
    <s v="N"/>
    <m/>
    <s v="DEFERRED"/>
    <s v="Y"/>
    <x v="0"/>
    <x v="0"/>
    <s v="N"/>
    <n v="0.99224806201550386"/>
    <n v="1"/>
    <n v="7.7519379844961378E-3"/>
    <n v="0"/>
    <n v="-128"/>
    <n v="0"/>
    <n v="128"/>
    <e v="#VALUE!"/>
    <n v="128"/>
    <n v="0"/>
    <m/>
    <m/>
    <s v="Y"/>
    <m/>
    <s v="121-365 DAYS"/>
    <n v="6"/>
    <x v="0"/>
  </r>
  <r>
    <n v="3030"/>
    <s v="N"/>
    <s v="N"/>
    <n v="2381831"/>
    <n v="5"/>
    <d v="2012-04-22T00:00:00"/>
    <d v="2012-05-31T00:00:00"/>
    <n v="2381831"/>
    <d v="2012-04-22T00:00:00"/>
    <d v="2012-05-31T00:00:00"/>
    <n v="15000"/>
    <x v="0"/>
    <m/>
    <s v="N"/>
    <s v="NONE"/>
    <s v="GUILTY PLEA - NO JURY"/>
    <n v="40"/>
    <n v="40"/>
    <n v="5"/>
    <n v="2"/>
    <n v="4"/>
    <n v="1"/>
    <m/>
    <m/>
    <m/>
    <m/>
    <m/>
    <m/>
    <m/>
    <d v="1991-02-14T00:00:00"/>
    <s v="M"/>
    <s v="B"/>
    <s v="BLACK"/>
    <s v="NULL"/>
    <s v="176"/>
    <s v="CONVICTED"/>
    <n v="2"/>
    <s v="STJ"/>
    <m/>
    <n v="6"/>
    <m/>
    <s v="POSS CS PG 1 &lt;1G"/>
    <m/>
    <s v="FS"/>
    <s v="POSS DRUG"/>
    <m/>
    <m/>
    <m/>
    <m/>
    <m/>
    <m/>
    <m/>
    <m/>
    <m/>
    <s v="Appointed Attorney"/>
    <m/>
    <m/>
    <n v="40"/>
    <n v="40"/>
    <n v="40"/>
    <n v="21.142076502732241"/>
    <n v="0"/>
    <n v="0"/>
    <s v="CONVICTION"/>
    <x v="0"/>
    <s v="N"/>
    <m/>
    <s v="CONVICTION"/>
    <s v="Y"/>
    <x v="0"/>
    <x v="0"/>
    <s v="Y"/>
    <n v="1"/>
    <n v="1"/>
    <n v="0"/>
    <n v="0"/>
    <n v="-40"/>
    <n v="0"/>
    <n v="40"/>
    <e v="#VALUE!"/>
    <n v="40"/>
    <n v="0"/>
    <m/>
    <m/>
    <s v="Y"/>
    <m/>
    <s v="31-60 DAYS"/>
    <n v="3"/>
    <x v="0"/>
  </r>
  <r>
    <n v="312"/>
    <s v="N"/>
    <s v="N"/>
    <n v="2382302"/>
    <n v="6"/>
    <d v="2012-01-13T00:00:00"/>
    <d v="2013-04-19T00:00:00"/>
    <n v="2382302"/>
    <d v="2012-01-13T00:00:00"/>
    <d v="2012-09-27T00:00:00"/>
    <n v="7500"/>
    <x v="3"/>
    <d v="2012-09-27T00:00:00"/>
    <s v="Y"/>
    <s v="SURETY"/>
    <s v="GUILTY PLEA - NO JURY"/>
    <n v="259"/>
    <n v="463"/>
    <n v="2"/>
    <n v="0"/>
    <n v="2"/>
    <m/>
    <m/>
    <m/>
    <m/>
    <m/>
    <m/>
    <s v="S"/>
    <m/>
    <d v="1981-07-03T00:00:00"/>
    <s v="M"/>
    <s v="H"/>
    <s v="HISPANIC"/>
    <s v="NULL"/>
    <s v="177"/>
    <s v="CONVICTED"/>
    <n v="17"/>
    <s v="TDC"/>
    <n v="8"/>
    <m/>
    <m/>
    <s v="MAN/DEL CS PG I 1-4 GRAMS"/>
    <m/>
    <s v="F2"/>
    <s v="SALE DRUG"/>
    <s v="booked 1/17/13 fel weap del cs "/>
    <m/>
    <m/>
    <m/>
    <m/>
    <m/>
    <m/>
    <m/>
    <m/>
    <s v="Appointed Attorney"/>
    <m/>
    <m/>
    <n v="259"/>
    <n v="463"/>
    <n v="463"/>
    <n v="30.467213114754099"/>
    <n v="0"/>
    <n v="-204"/>
    <s v="CONVICTION"/>
    <x v="1"/>
    <s v="N"/>
    <m/>
    <s v="CONVICTION"/>
    <s v="Y"/>
    <x v="1"/>
    <x v="0"/>
    <s v="Y"/>
    <n v="0.55939524838012955"/>
    <n v="0.55939524838012955"/>
    <n v="0"/>
    <n v="0"/>
    <n v="-259"/>
    <n v="0"/>
    <n v="259"/>
    <e v="#VALUE!"/>
    <n v="259"/>
    <n v="0"/>
    <m/>
    <m/>
    <s v="Y"/>
    <m/>
    <s v="121-365 DAYS"/>
    <n v="6"/>
    <x v="0"/>
  </r>
  <r>
    <n v="169"/>
    <s v="N"/>
    <s v="N"/>
    <n v="2382417"/>
    <n v="2"/>
    <d v="2012-01-08T00:00:00"/>
    <d v="2012-01-10T00:00:00"/>
    <n v="2382417"/>
    <s v="NOT BOOKED"/>
    <s v="NOT BOOKED"/>
    <n v="2000"/>
    <x v="5"/>
    <d v="2012-01-08T00:00:00"/>
    <s v="Y"/>
    <s v="PTR"/>
    <s v="DEFERRED ADJUDICATION "/>
    <n v="0"/>
    <n v="3"/>
    <n v="0"/>
    <n v="1"/>
    <m/>
    <m/>
    <m/>
    <m/>
    <m/>
    <m/>
    <m/>
    <m/>
    <m/>
    <d v="1977-01-27T00:00:00"/>
    <s v="F"/>
    <s v="W"/>
    <s v="WHITE"/>
    <s v="NULL"/>
    <s v="176"/>
    <s v="DEFERRED"/>
    <n v="2"/>
    <s v="DEFERRED"/>
    <m/>
    <m/>
    <m/>
    <s v="POSS CS PG 1 &lt;1G"/>
    <m/>
    <s v="FS"/>
    <s v="POSS DRUG"/>
    <s v="lv prob revok 4/13/12 stj 7 mos"/>
    <m/>
    <m/>
    <m/>
    <m/>
    <m/>
    <m/>
    <m/>
    <m/>
    <s v="Appointed Attorney"/>
    <m/>
    <m/>
    <n v="0"/>
    <n v="0"/>
    <n v="3"/>
    <n v="34.874316939890711"/>
    <e v="#VALUE!"/>
    <e v="#VALUE!"/>
    <s v="DEFERRED"/>
    <x v="2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92"/>
    <s v="N"/>
    <s v="N"/>
    <n v="2383795"/>
    <n v="6"/>
    <d v="2012-01-05T00:00:00"/>
    <d v="2012-05-08T00:00:00"/>
    <n v="2383795"/>
    <d v="2012-01-06T00:00:00"/>
    <d v="2012-05-08T00:00:00"/>
    <s v="NO BOND"/>
    <x v="1"/>
    <m/>
    <s v="N"/>
    <s v="NONE"/>
    <s v="GUILTY PLEA - NO JURY"/>
    <n v="124"/>
    <n v="125"/>
    <n v="0"/>
    <n v="2"/>
    <m/>
    <m/>
    <m/>
    <m/>
    <m/>
    <m/>
    <m/>
    <m/>
    <m/>
    <d v="1991-09-28T00:00:00"/>
    <s v="M"/>
    <s v="H"/>
    <s v="HISPANIC"/>
    <s v="HISPANIC"/>
    <s v="176"/>
    <s v="CONVICTED"/>
    <n v="5"/>
    <s v="TDC"/>
    <n v="5"/>
    <m/>
    <m/>
    <s v="ASSAULT-BOD INJ-PUB SERV/RETAL"/>
    <m/>
    <s v="F3"/>
    <s v="ASLT-MURDR"/>
    <m/>
    <m/>
    <m/>
    <m/>
    <m/>
    <m/>
    <m/>
    <m/>
    <m/>
    <s v="Appointed Attorney"/>
    <m/>
    <m/>
    <n v="124"/>
    <n v="124"/>
    <n v="125"/>
    <n v="20.229508196721312"/>
    <n v="0"/>
    <n v="0"/>
    <s v="CONVICTION"/>
    <x v="0"/>
    <s v="N"/>
    <m/>
    <s v="CONVICTION"/>
    <s v="Y"/>
    <x v="0"/>
    <x v="0"/>
    <s v="N"/>
    <n v="0.99199999999999999"/>
    <n v="1"/>
    <n v="8.0000000000000071E-3"/>
    <n v="0"/>
    <n v="-124"/>
    <n v="0"/>
    <n v="124"/>
    <e v="#VALUE!"/>
    <n v="124"/>
    <n v="0"/>
    <m/>
    <m/>
    <s v="Y"/>
    <m/>
    <s v="121-365 DAYS"/>
    <n v="6"/>
    <x v="0"/>
  </r>
  <r>
    <n v="2995"/>
    <s v="N"/>
    <s v="N"/>
    <n v="2384156"/>
    <n v="6"/>
    <d v="2012-04-20T00:00:00"/>
    <d v="2012-09-20T00:00:00"/>
    <n v="2384156"/>
    <d v="2012-08-03T00:00:00"/>
    <d v="2012-09-20T00:00:00"/>
    <n v="10000"/>
    <x v="3"/>
    <m/>
    <s v="N"/>
    <s v="NONE"/>
    <s v="GUILTY PLEA - NO JURY"/>
    <n v="49"/>
    <n v="154"/>
    <n v="1"/>
    <n v="1"/>
    <n v="1"/>
    <m/>
    <m/>
    <m/>
    <m/>
    <m/>
    <m/>
    <m/>
    <m/>
    <d v="1964-07-26T00:00:00"/>
    <s v="M"/>
    <s v="B"/>
    <s v="BLACK"/>
    <s v="NULL"/>
    <s v="174"/>
    <s v="CONVICTED"/>
    <n v="3"/>
    <s v="TDC"/>
    <n v="2"/>
    <m/>
    <m/>
    <s v="FAIL TO COMPLY AS SEX OFFENDER"/>
    <m/>
    <s v="F3"/>
    <s v="OTHER FEL"/>
    <m/>
    <m/>
    <m/>
    <m/>
    <m/>
    <m/>
    <m/>
    <m/>
    <m/>
    <s v="Public Defender"/>
    <m/>
    <m/>
    <n v="49"/>
    <n v="49"/>
    <n v="154"/>
    <n v="47.636612021857921"/>
    <n v="0"/>
    <n v="0"/>
    <s v="CONVICTION"/>
    <x v="0"/>
    <s v="N"/>
    <m/>
    <s v="CONVICTION"/>
    <s v="Y"/>
    <x v="0"/>
    <x v="0"/>
    <s v="Y"/>
    <n v="0.31818181818181818"/>
    <n v="1"/>
    <n v="0.68181818181818188"/>
    <n v="0"/>
    <n v="-49"/>
    <n v="0"/>
    <n v="49"/>
    <e v="#VALUE!"/>
    <n v="49"/>
    <n v="0"/>
    <m/>
    <m/>
    <s v="Y"/>
    <m/>
    <s v="31-60 DAYS"/>
    <n v="3"/>
    <x v="0"/>
  </r>
  <r>
    <n v="2097"/>
    <s v="N"/>
    <s v="N"/>
    <n v="2384393"/>
    <n v="6"/>
    <d v="2012-03-19T00:00:00"/>
    <d v="2012-03-22T00:00:00"/>
    <n v="2384393"/>
    <d v="2012-03-20T00:00:00"/>
    <d v="2012-03-22T00:00:00"/>
    <n v="30000"/>
    <x v="2"/>
    <m/>
    <s v="N"/>
    <s v="NONE"/>
    <s v="GUILTY PLEA - NO JURY"/>
    <n v="3"/>
    <n v="4"/>
    <n v="1"/>
    <n v="1"/>
    <n v="1"/>
    <m/>
    <m/>
    <m/>
    <m/>
    <m/>
    <m/>
    <m/>
    <m/>
    <d v="1989-02-27T00:00:00"/>
    <s v="M"/>
    <s v="B"/>
    <s v="BLACK"/>
    <s v="NULL"/>
    <s v="183"/>
    <s v="CONVICTED"/>
    <n v="2"/>
    <s v="TDC"/>
    <n v="2"/>
    <m/>
    <m/>
    <s v="FELON POSS WPN"/>
    <m/>
    <s v="F3"/>
    <s v="OTHER FEL"/>
    <m/>
    <m/>
    <m/>
    <m/>
    <m/>
    <m/>
    <m/>
    <m/>
    <m/>
    <s v="Appointed Attorney"/>
    <m/>
    <m/>
    <n v="3"/>
    <n v="3"/>
    <n v="4"/>
    <n v="23.008196721311474"/>
    <n v="0"/>
    <n v="0"/>
    <s v="CONVICTION"/>
    <x v="0"/>
    <s v="N"/>
    <m/>
    <s v="CONVICTION"/>
    <s v="Y"/>
    <x v="0"/>
    <x v="0"/>
    <s v="Y"/>
    <n v="0.75"/>
    <n v="1"/>
    <n v="0.25"/>
    <n v="0"/>
    <n v="-3"/>
    <n v="0"/>
    <n v="3"/>
    <e v="#VALUE!"/>
    <n v="3"/>
    <n v="0"/>
    <m/>
    <m/>
    <s v="Y"/>
    <m/>
    <s v="0-10 DAYS"/>
    <n v="1"/>
    <x v="0"/>
  </r>
  <r>
    <n v="679"/>
    <s v="N"/>
    <s v="N"/>
    <n v="2384768"/>
    <n v="6"/>
    <d v="2012-01-27T00:00:00"/>
    <d v="2012-03-01T00:00:00"/>
    <n v="2384768"/>
    <d v="2012-01-28T00:00:00"/>
    <d v="2012-03-01T00:00:00"/>
    <n v="20000"/>
    <x v="0"/>
    <m/>
    <s v="N"/>
    <s v="NONE"/>
    <s v="GUILTY PLEA - NO JURY"/>
    <n v="34"/>
    <n v="35"/>
    <n v="2"/>
    <n v="3"/>
    <m/>
    <m/>
    <m/>
    <m/>
    <m/>
    <m/>
    <m/>
    <m/>
    <m/>
    <d v="1990-03-23T00:00:00"/>
    <s v="M"/>
    <s v="B"/>
    <s v="BLACK"/>
    <s v="NULL"/>
    <s v="337"/>
    <s v="CONVICTED"/>
    <n v="2"/>
    <s v="TDC"/>
    <n v="2"/>
    <m/>
    <m/>
    <s v="ROBBERY-BODILY INJURY"/>
    <m/>
    <s v="F2"/>
    <s v="ROBBERY"/>
    <m/>
    <m/>
    <m/>
    <m/>
    <m/>
    <m/>
    <m/>
    <m/>
    <m/>
    <s v="Appointed Attorney"/>
    <m/>
    <m/>
    <n v="34"/>
    <n v="34"/>
    <n v="35"/>
    <n v="21.803278688524589"/>
    <n v="0"/>
    <n v="0"/>
    <s v="CONVICTION"/>
    <x v="0"/>
    <s v="N"/>
    <m/>
    <s v="CONVICTION"/>
    <s v="Y"/>
    <x v="0"/>
    <x v="0"/>
    <s v="Y"/>
    <n v="0.97142857142857142"/>
    <n v="1"/>
    <n v="2.8571428571428581E-2"/>
    <n v="0"/>
    <n v="-34"/>
    <n v="0"/>
    <n v="34"/>
    <e v="#VALUE!"/>
    <n v="34"/>
    <n v="0"/>
    <m/>
    <m/>
    <s v="Y"/>
    <m/>
    <s v="31-60 DAYS"/>
    <n v="3"/>
    <x v="0"/>
  </r>
  <r>
    <n v="109"/>
    <s v="N"/>
    <s v="N"/>
    <n v="2385353"/>
    <n v="6"/>
    <d v="2012-01-05T00:00:00"/>
    <d v="2012-07-12T00:00:00"/>
    <n v="2385353"/>
    <d v="2012-04-27T00:00:00"/>
    <d v="2012-07-12T00:00:00"/>
    <s v="NO BOND"/>
    <x v="1"/>
    <m/>
    <s v="N"/>
    <s v="NONE"/>
    <s v="GUILTY PLEA - NO JURY"/>
    <n v="77"/>
    <n v="190"/>
    <n v="1"/>
    <n v="0"/>
    <m/>
    <n v="1"/>
    <m/>
    <m/>
    <m/>
    <m/>
    <m/>
    <m/>
    <m/>
    <d v="1990-07-24T00:00:00"/>
    <s v="M"/>
    <s v="B"/>
    <s v="BLACK"/>
    <s v="NULL"/>
    <s v="180"/>
    <s v="CONVICTED"/>
    <n v="4"/>
    <s v="TDC"/>
    <n v="2"/>
    <m/>
    <m/>
    <s v="BURGLARY OF HABITATION"/>
    <m/>
    <s v="F2"/>
    <s v="BURGLARY"/>
    <s v="7/12/12 POSS W/INT DEL 2yrs tdc"/>
    <m/>
    <m/>
    <m/>
    <m/>
    <m/>
    <m/>
    <m/>
    <m/>
    <s v="Appointed Attorney"/>
    <m/>
    <m/>
    <n v="77"/>
    <n v="77"/>
    <n v="190"/>
    <n v="21.407103825136613"/>
    <n v="0"/>
    <n v="0"/>
    <s v="CONVICTION"/>
    <x v="0"/>
    <s v="N"/>
    <m/>
    <s v="CONVICTION"/>
    <s v="Y"/>
    <x v="0"/>
    <x v="0"/>
    <s v="Y"/>
    <n v="0.40526315789473683"/>
    <n v="1"/>
    <n v="0.59473684210526323"/>
    <n v="0"/>
    <n v="-77"/>
    <n v="0"/>
    <n v="77"/>
    <e v="#VALUE!"/>
    <n v="77"/>
    <n v="0"/>
    <m/>
    <m/>
    <s v="Y"/>
    <m/>
    <s v="61-90 DAYS"/>
    <n v="4"/>
    <x v="0"/>
  </r>
  <r>
    <n v="1861"/>
    <s v="N"/>
    <s v="N"/>
    <n v="2385598"/>
    <n v="6"/>
    <d v="2012-03-09T00:00:00"/>
    <d v="2012-07-12T00:00:00"/>
    <n v="2385598"/>
    <d v="2012-03-09T00:00:00"/>
    <d v="2012-07-12T00:00:00"/>
    <n v="10000"/>
    <x v="3"/>
    <m/>
    <s v="N"/>
    <s v="NONE"/>
    <s v="GUILTY PLEA - NO JURY"/>
    <n v="126"/>
    <n v="126"/>
    <n v="1"/>
    <n v="6"/>
    <n v="1"/>
    <m/>
    <m/>
    <m/>
    <m/>
    <m/>
    <m/>
    <m/>
    <m/>
    <d v="1990-10-01T00:00:00"/>
    <s v="M"/>
    <s v="H"/>
    <s v="HISPANIC"/>
    <s v="HISPANIC"/>
    <s v="177"/>
    <s v="CONVICTED"/>
    <n v="5"/>
    <s v="TDC"/>
    <n v="4"/>
    <m/>
    <m/>
    <s v="POSS CS PG 1 4G - 200G"/>
    <m/>
    <s v="F2"/>
    <s v="POSS DRUG"/>
    <m/>
    <m/>
    <m/>
    <m/>
    <m/>
    <m/>
    <m/>
    <m/>
    <m/>
    <s v="Appointed Attorney"/>
    <m/>
    <m/>
    <n v="126"/>
    <n v="126"/>
    <n v="126"/>
    <n v="21.393442622950818"/>
    <n v="0"/>
    <n v="0"/>
    <s v="CONVICTION"/>
    <x v="0"/>
    <s v="N"/>
    <m/>
    <s v="CONVICTION"/>
    <s v="Y"/>
    <x v="0"/>
    <x v="0"/>
    <s v="Y"/>
    <n v="1"/>
    <n v="1"/>
    <n v="0"/>
    <n v="0"/>
    <n v="-126"/>
    <n v="0"/>
    <n v="126"/>
    <e v="#VALUE!"/>
    <n v="126"/>
    <n v="0"/>
    <m/>
    <m/>
    <s v="Y"/>
    <m/>
    <s v="121-365 DAYS"/>
    <n v="6"/>
    <x v="0"/>
  </r>
  <r>
    <n v="304"/>
    <s v="N"/>
    <s v="N"/>
    <n v="2385762"/>
    <n v="5"/>
    <d v="2012-01-13T00:00:00"/>
    <d v="2012-01-17T00:00:00"/>
    <n v="2385762"/>
    <d v="2012-01-13T00:00:00"/>
    <d v="2012-01-17T00:00:00"/>
    <n v="5000"/>
    <x v="4"/>
    <m/>
    <s v="N"/>
    <s v="NONE"/>
    <s v="GUILTY PLEA - NO JURY"/>
    <n v="5"/>
    <n v="5"/>
    <n v="2"/>
    <n v="5"/>
    <n v="1"/>
    <m/>
    <m/>
    <m/>
    <m/>
    <m/>
    <m/>
    <m/>
    <m/>
    <d v="1991-02-05T00:00:00"/>
    <s v="M"/>
    <s v="B"/>
    <s v="BLACK"/>
    <s v="NON-HISPANIC"/>
    <s v="179"/>
    <s v="CONVICTED"/>
    <n v="1"/>
    <s v="STJ"/>
    <m/>
    <n v="8"/>
    <m/>
    <s v="MAN/DEL CS PG I &lt;1GRAM"/>
    <m/>
    <s v="FS"/>
    <s v="SALE DRUG"/>
    <m/>
    <m/>
    <m/>
    <m/>
    <m/>
    <m/>
    <m/>
    <m/>
    <m/>
    <s v="Appointed Attorney"/>
    <m/>
    <m/>
    <n v="5"/>
    <n v="5"/>
    <n v="5"/>
    <n v="20.893442622950818"/>
    <n v="0"/>
    <n v="0"/>
    <s v="CONVICTION"/>
    <x v="0"/>
    <s v="N"/>
    <m/>
    <s v="CONVICTION"/>
    <s v="Y"/>
    <x v="0"/>
    <x v="0"/>
    <s v="Y"/>
    <n v="1"/>
    <n v="1"/>
    <n v="0"/>
    <n v="0"/>
    <n v="-5"/>
    <n v="0"/>
    <n v="5"/>
    <e v="#VALUE!"/>
    <n v="5"/>
    <n v="0"/>
    <m/>
    <m/>
    <s v="Y"/>
    <m/>
    <s v="0-10 DAYS"/>
    <n v="1"/>
    <x v="0"/>
  </r>
  <r>
    <n v="2264"/>
    <s v="N"/>
    <s v="N"/>
    <n v="2386251"/>
    <n v="2"/>
    <d v="2012-03-27T00:00:00"/>
    <d v="2012-09-10T00:00:00"/>
    <n v="2386251"/>
    <d v="2012-03-27T00:00:00"/>
    <d v="2012-04-10T00:00:00"/>
    <n v="20000"/>
    <x v="0"/>
    <d v="2012-04-10T00:00:00"/>
    <s v="Y"/>
    <s v="SURETYPTRc"/>
    <s v="DEFERRED ADJUDICATION "/>
    <n v="15"/>
    <n v="168"/>
    <n v="0"/>
    <n v="0"/>
    <m/>
    <m/>
    <m/>
    <m/>
    <m/>
    <m/>
    <m/>
    <s v="S"/>
    <m/>
    <d v="1988-06-10T00:00:00"/>
    <s v="M"/>
    <s v="H"/>
    <s v="HISPANIC"/>
    <s v="NULL"/>
    <s v="183"/>
    <s v="DEFERRED"/>
    <n v="9"/>
    <s v="DEFERRED"/>
    <m/>
    <m/>
    <m/>
    <s v="POSS W/INT DEL CS PG1&gt;=4 &lt;200"/>
    <m/>
    <s v="F1"/>
    <s v="SALE DRUG"/>
    <m/>
    <m/>
    <m/>
    <m/>
    <m/>
    <m/>
    <m/>
    <m/>
    <m/>
    <s v="Appointed Attorney"/>
    <m/>
    <m/>
    <n v="15"/>
    <n v="168"/>
    <n v="168"/>
    <n v="23.745901639344261"/>
    <n v="0"/>
    <n v="-153"/>
    <s v="DEFERRED"/>
    <x v="1"/>
    <s v="Y"/>
    <m/>
    <s v="DEFERRED"/>
    <s v="Y"/>
    <x v="1"/>
    <x v="0"/>
    <s v="N"/>
    <n v="8.9285714285714288E-2"/>
    <n v="8.9285714285714288E-2"/>
    <n v="0"/>
    <n v="0"/>
    <n v="-15"/>
    <n v="0"/>
    <n v="15"/>
    <e v="#VALUE!"/>
    <n v="15"/>
    <n v="0"/>
    <m/>
    <m/>
    <s v="N"/>
    <m/>
    <s v="11-30 DAYS"/>
    <n v="2"/>
    <x v="0"/>
  </r>
  <r>
    <n v="1077"/>
    <s v="N"/>
    <s v="Y"/>
    <n v="2386693"/>
    <n v="1"/>
    <d v="2012-02-09T00:00:00"/>
    <d v="2014-05-05T00:00:00"/>
    <n v="2386693"/>
    <d v="2013-01-02T00:00:00"/>
    <s v="na/bd"/>
    <n v="30000"/>
    <x v="2"/>
    <d v="2012-02-11T00:00:00"/>
    <s v="Y"/>
    <s v="SURETY"/>
    <s v="DISMISSED"/>
    <n v="487"/>
    <n v="817"/>
    <n v="0"/>
    <n v="1"/>
    <m/>
    <m/>
    <m/>
    <m/>
    <m/>
    <m/>
    <m/>
    <m/>
    <m/>
    <d v="1991-05-12T00:00:00"/>
    <s v="M"/>
    <s v="B"/>
    <s v="BLACK"/>
    <s v="NON-HISPANIC"/>
    <s v="228"/>
    <s v="DISMISSED"/>
    <n v="24"/>
    <s v="DISMISSED"/>
    <m/>
    <m/>
    <m/>
    <s v="AGG ROBBERY-DEADLY WPN"/>
    <m/>
    <s v="F1"/>
    <s v="ROBBERY"/>
    <s v="BD BEFORE BK recal 1/2/13 "/>
    <m/>
    <s v="Y"/>
    <d v="2012-10-31T00:00:00"/>
    <m/>
    <m/>
    <m/>
    <s v=" 2/20/13"/>
    <n v="485"/>
    <s v="Hired Attorney"/>
    <m/>
    <m/>
    <n v="487"/>
    <n v="489"/>
    <n v="817"/>
    <n v="20.704918032786885"/>
    <e v="#VALUE!"/>
    <e v="#VALUE!"/>
    <s v="NO CONVICTION"/>
    <x v="1"/>
    <s v="Y"/>
    <m/>
    <s v="NO CONVICTION"/>
    <s v="Y"/>
    <x v="0"/>
    <x v="0"/>
    <s v="N"/>
    <n v="0.59608323133414931"/>
    <n v="0.59609999999999996"/>
    <n v="0"/>
    <n v="0"/>
    <e v="#VALUE!"/>
    <e v="#VALUE!"/>
    <n v="489"/>
    <e v="#VALUE!"/>
    <n v="487"/>
    <m/>
    <m/>
    <m/>
    <s v="Y"/>
    <e v="#N/A"/>
    <s v=" &gt;1YRS&lt;2YRS"/>
    <n v="0"/>
    <x v="0"/>
  </r>
  <r>
    <n v="439"/>
    <s v="N"/>
    <s v="N"/>
    <n v="2386730"/>
    <n v="2"/>
    <d v="2012-01-19T00:00:00"/>
    <d v="2012-04-10T00:00:00"/>
    <n v="2386730"/>
    <d v="2012-01-19T00:00:00"/>
    <d v="2012-01-21T00:00:00"/>
    <n v="10000"/>
    <x v="3"/>
    <d v="2012-01-21T00:00:00"/>
    <s v="Y"/>
    <s v="SURETY"/>
    <s v="DEFERRED ADJUDICATION "/>
    <n v="3"/>
    <n v="83"/>
    <n v="2"/>
    <n v="3"/>
    <m/>
    <m/>
    <m/>
    <m/>
    <m/>
    <m/>
    <m/>
    <m/>
    <m/>
    <d v="1988-10-04T00:00:00"/>
    <s v="M"/>
    <s v="H"/>
    <s v="HISPANIC"/>
    <s v="HISPANIC"/>
    <s v="183"/>
    <s v="DEFERRED"/>
    <n v="6"/>
    <s v="DEFERRED"/>
    <m/>
    <m/>
    <m/>
    <s v="POSS CS PG 1  1 - 4 GRAMS"/>
    <m/>
    <s v="F3"/>
    <s v="POSS DRUG"/>
    <m/>
    <m/>
    <m/>
    <m/>
    <m/>
    <m/>
    <m/>
    <m/>
    <m/>
    <s v="Hired Attorney"/>
    <m/>
    <m/>
    <n v="3"/>
    <n v="83"/>
    <n v="83"/>
    <n v="23.243169398907103"/>
    <n v="0"/>
    <n v="-80"/>
    <s v="DEFERRED"/>
    <x v="1"/>
    <s v="Y"/>
    <m/>
    <s v="DEFERRED"/>
    <s v="Y"/>
    <x v="1"/>
    <x v="0"/>
    <s v="Y"/>
    <n v="3.614457831325301E-2"/>
    <n v="3.614457831325301E-2"/>
    <n v="0"/>
    <n v="0"/>
    <n v="-3"/>
    <n v="0"/>
    <n v="3"/>
    <e v="#VALUE!"/>
    <n v="3"/>
    <n v="0"/>
    <m/>
    <m/>
    <s v="Y"/>
    <m/>
    <s v="0-10 DAYS"/>
    <n v="1"/>
    <x v="0"/>
  </r>
  <r>
    <n v="3213"/>
    <s v="N"/>
    <s v="N"/>
    <n v="2387108"/>
    <n v="6"/>
    <d v="2012-04-28T00:00:00"/>
    <d v="2012-07-24T00:00:00"/>
    <n v="2387108"/>
    <d v="2012-04-28T00:00:00"/>
    <d v="2012-07-24T00:00:00"/>
    <n v="240000"/>
    <x v="2"/>
    <m/>
    <s v="N"/>
    <s v="NONE"/>
    <s v="GUILTY PLEA - NO JURY"/>
    <n v="88"/>
    <n v="88"/>
    <n v="0"/>
    <n v="0"/>
    <m/>
    <m/>
    <m/>
    <m/>
    <m/>
    <m/>
    <m/>
    <s v="S"/>
    <m/>
    <d v="1991-03-04T00:00:00"/>
    <s v="M"/>
    <s v="H"/>
    <s v="HISPANIC"/>
    <s v="NULL"/>
    <s v="179"/>
    <s v="CONVICTED"/>
    <n v="5"/>
    <s v="TDC"/>
    <n v="8"/>
    <m/>
    <m/>
    <s v="POSS W/INT DEL CS PG1&gt;=4 &lt;200"/>
    <m/>
    <s v="F1"/>
    <s v="SALE DRUG"/>
    <m/>
    <m/>
    <m/>
    <m/>
    <m/>
    <m/>
    <m/>
    <m/>
    <m/>
    <s v="Hired Attorney"/>
    <m/>
    <m/>
    <n v="88"/>
    <n v="88"/>
    <n v="88"/>
    <n v="21.10928961748634"/>
    <n v="0"/>
    <n v="0"/>
    <s v="CONVICTION"/>
    <x v="0"/>
    <s v="N"/>
    <m/>
    <s v="CONVICTION"/>
    <s v="Y"/>
    <x v="0"/>
    <x v="0"/>
    <s v="N"/>
    <n v="1"/>
    <n v="1"/>
    <n v="0"/>
    <n v="0"/>
    <n v="-88"/>
    <n v="0"/>
    <n v="88"/>
    <e v="#VALUE!"/>
    <n v="88"/>
    <n v="0"/>
    <m/>
    <m/>
    <s v="N"/>
    <m/>
    <s v="61-90 DAYS"/>
    <n v="4"/>
    <x v="0"/>
  </r>
  <r>
    <n v="2388"/>
    <s v="N"/>
    <s v="N"/>
    <n v="2387293"/>
    <n v="5"/>
    <d v="2012-03-30T00:00:00"/>
    <d v="2012-04-02T00:00:00"/>
    <n v="2387293"/>
    <d v="2012-03-30T00:00:00"/>
    <d v="2012-04-02T00:00:00"/>
    <n v="10000"/>
    <x v="3"/>
    <m/>
    <s v="N"/>
    <s v="NONE"/>
    <s v="GUILTY PLEA - NO JURY"/>
    <n v="4"/>
    <n v="4"/>
    <n v="1"/>
    <n v="2"/>
    <n v="1"/>
    <m/>
    <m/>
    <m/>
    <m/>
    <m/>
    <m/>
    <m/>
    <m/>
    <d v="1991-07-26T00:00:00"/>
    <s v="M"/>
    <s v="B"/>
    <s v="BLACK"/>
    <s v="NULL"/>
    <s v="232"/>
    <s v="CONVICTED"/>
    <n v="1"/>
    <s v="STJ"/>
    <m/>
    <n v="8"/>
    <m/>
    <s v="POSS CS PG 1 &lt;1G"/>
    <m/>
    <s v="FS"/>
    <s v="POSS DRUG"/>
    <m/>
    <m/>
    <m/>
    <m/>
    <m/>
    <m/>
    <m/>
    <m/>
    <m/>
    <s v="Appointed Attorney"/>
    <m/>
    <m/>
    <n v="4"/>
    <n v="4"/>
    <n v="4"/>
    <n v="20.636612021857925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m/>
    <m/>
    <s v="Y"/>
    <m/>
    <s v="0-10 DAYS"/>
    <n v="1"/>
    <x v="0"/>
  </r>
  <r>
    <n v="3071"/>
    <s v="N"/>
    <s v="N"/>
    <n v="2388400"/>
    <n v="2"/>
    <d v="2012-04-24T00:00:00"/>
    <d v="2012-08-27T00:00:00"/>
    <n v="2388400"/>
    <d v="2012-04-24T00:00:00"/>
    <d v="2012-04-26T00:00:00"/>
    <n v="30000"/>
    <x v="2"/>
    <d v="2012-04-26T00:00:00"/>
    <s v="Y"/>
    <s v="SURETY"/>
    <s v="DEFERRED ADJUDICATION "/>
    <n v="3"/>
    <n v="126"/>
    <n v="1"/>
    <n v="0"/>
    <n v="1"/>
    <m/>
    <m/>
    <m/>
    <m/>
    <m/>
    <m/>
    <m/>
    <m/>
    <d v="1991-08-23T00:00:00"/>
    <s v="M"/>
    <s v="W"/>
    <s v="WHITE"/>
    <s v="NULL"/>
    <s v="174"/>
    <s v="DEFERRED"/>
    <n v="6"/>
    <s v="DEFERRED"/>
    <m/>
    <m/>
    <m/>
    <s v="MAN/DEL CS PG I 4-200 GRAMS"/>
    <m/>
    <s v="F1"/>
    <s v="SALE DRUG"/>
    <m/>
    <m/>
    <m/>
    <m/>
    <m/>
    <m/>
    <m/>
    <m/>
    <m/>
    <s v="Hired Attorney"/>
    <m/>
    <m/>
    <n v="3"/>
    <n v="126"/>
    <n v="126"/>
    <n v="20.628415300546447"/>
    <n v="0"/>
    <n v="-123"/>
    <s v="DEFERRED"/>
    <x v="1"/>
    <s v="Y"/>
    <m/>
    <s v="DEFERRED"/>
    <s v="Y"/>
    <x v="1"/>
    <x v="0"/>
    <s v="Y"/>
    <n v="2.3809523809523808E-2"/>
    <n v="2.3809523809523808E-2"/>
    <n v="0"/>
    <n v="0"/>
    <n v="-3"/>
    <n v="0"/>
    <n v="3"/>
    <e v="#VALUE!"/>
    <n v="3"/>
    <n v="0"/>
    <m/>
    <m/>
    <s v="Y"/>
    <m/>
    <s v="0-10 DAYS"/>
    <n v="1"/>
    <x v="0"/>
  </r>
  <r>
    <n v="402"/>
    <s v="N"/>
    <s v="N"/>
    <n v="2388796"/>
    <n v="2"/>
    <d v="2012-01-17T00:00:00"/>
    <d v="2012-10-10T00:00:00"/>
    <n v="2388796"/>
    <d v="2012-01-18T00:00:00"/>
    <d v="2012-01-19T00:00:00"/>
    <n v="5000"/>
    <x v="4"/>
    <d v="2012-01-19T00:00:00"/>
    <s v="Y"/>
    <s v="SURETY"/>
    <s v="DEFERRED ADJUDICATION "/>
    <n v="2"/>
    <n v="268"/>
    <n v="0"/>
    <n v="0"/>
    <m/>
    <m/>
    <m/>
    <m/>
    <m/>
    <m/>
    <m/>
    <m/>
    <m/>
    <d v="1987-12-18T00:00:00"/>
    <s v="M"/>
    <s v="B"/>
    <s v="BLACK"/>
    <s v="NULL"/>
    <s v="339"/>
    <s v="DEFERRED"/>
    <n v="13"/>
    <s v="DEFERRED"/>
    <m/>
    <m/>
    <m/>
    <s v="TAMPER/FABRICATE EVIDENCE"/>
    <m/>
    <s v="F3"/>
    <s v="OTHER FEL"/>
    <m/>
    <m/>
    <m/>
    <m/>
    <m/>
    <m/>
    <m/>
    <m/>
    <m/>
    <s v="Appointed Attorney"/>
    <m/>
    <m/>
    <n v="2"/>
    <n v="267"/>
    <n v="268"/>
    <n v="24.032786885245901"/>
    <n v="0"/>
    <n v="-265"/>
    <s v="DEFERRED"/>
    <x v="1"/>
    <s v="Y"/>
    <m/>
    <s v="DEFERRED"/>
    <s v="Y"/>
    <x v="1"/>
    <x v="0"/>
    <s v="N"/>
    <n v="7.462686567164179E-3"/>
    <n v="7.4906367041198503E-3"/>
    <n v="2.7950136955671306E-5"/>
    <n v="0"/>
    <n v="-2"/>
    <n v="0"/>
    <n v="2"/>
    <e v="#VALUE!"/>
    <n v="2"/>
    <n v="0"/>
    <m/>
    <m/>
    <s v="N"/>
    <m/>
    <s v="0-10 DAYS"/>
    <n v="1"/>
    <x v="0"/>
  </r>
  <r>
    <n v="2262"/>
    <s v="N"/>
    <s v="N"/>
    <n v="2389259"/>
    <n v="2"/>
    <d v="2012-03-27T00:00:00"/>
    <d v="2012-04-20T00:00:00"/>
    <n v="2389259"/>
    <d v="2012-03-27T00:00:00"/>
    <d v="2012-04-20T00:00:00"/>
    <s v="NO BOND"/>
    <x v="1"/>
    <m/>
    <s v="N"/>
    <s v="NONE"/>
    <s v="DEFERRED ADJUDICATION "/>
    <n v="25"/>
    <n v="25"/>
    <n v="1"/>
    <n v="0"/>
    <m/>
    <n v="1"/>
    <m/>
    <m/>
    <m/>
    <m/>
    <m/>
    <m/>
    <m/>
    <d v="1984-07-10T00:00:00"/>
    <s v="M"/>
    <s v="W"/>
    <s v="WHITE"/>
    <s v="NON-HISPANIC"/>
    <s v="228"/>
    <s v="DEFERRED"/>
    <n v="3"/>
    <s v="DEFERRED"/>
    <m/>
    <m/>
    <m/>
    <s v="POSS CS PG 1 &lt;1G"/>
    <m/>
    <s v="FS"/>
    <s v="POSS DRUG"/>
    <m/>
    <m/>
    <m/>
    <m/>
    <m/>
    <m/>
    <m/>
    <m/>
    <m/>
    <s v="Appointed Attorney"/>
    <m/>
    <m/>
    <n v="25"/>
    <n v="25"/>
    <n v="25"/>
    <n v="27.655737704918032"/>
    <n v="0"/>
    <n v="0"/>
    <s v="DEFERRED"/>
    <x v="0"/>
    <s v="N"/>
    <m/>
    <s v="DEFERRED"/>
    <s v="Y"/>
    <x v="0"/>
    <x v="0"/>
    <s v="Y"/>
    <n v="1"/>
    <n v="1"/>
    <n v="0"/>
    <n v="0"/>
    <n v="-25"/>
    <n v="0"/>
    <n v="25"/>
    <e v="#VALUE!"/>
    <n v="25"/>
    <n v="0"/>
    <m/>
    <m/>
    <s v="Y"/>
    <m/>
    <s v="11-30 DAYS"/>
    <n v="2"/>
    <x v="0"/>
  </r>
  <r>
    <n v="857"/>
    <s v="N"/>
    <s v="N"/>
    <n v="2389361"/>
    <n v="1"/>
    <d v="2012-02-01T00:00:00"/>
    <d v="2012-08-30T00:00:00"/>
    <n v="2389361"/>
    <d v="2012-02-02T00:00:00"/>
    <d v="2012-02-04T00:00:00"/>
    <n v="30000"/>
    <x v="2"/>
    <d v="2012-02-04T00:00:00"/>
    <s v="Y"/>
    <s v="SURETY"/>
    <s v="DISMISSED"/>
    <n v="3"/>
    <n v="212"/>
    <n v="1"/>
    <n v="0"/>
    <n v="1"/>
    <m/>
    <m/>
    <m/>
    <m/>
    <m/>
    <m/>
    <m/>
    <m/>
    <d v="1990-01-29T00:00:00"/>
    <s v="M"/>
    <s v="B"/>
    <s v="BLACK"/>
    <s v="NULL"/>
    <s v="339"/>
    <s v="DISMISSED"/>
    <n v="9"/>
    <s v="DISMISSED"/>
    <m/>
    <m/>
    <m/>
    <s v="FELON POSS WPN"/>
    <m/>
    <s v="F3"/>
    <s v="OTHER FEL"/>
    <m/>
    <m/>
    <m/>
    <m/>
    <m/>
    <m/>
    <m/>
    <m/>
    <m/>
    <s v="Hired Attorney"/>
    <m/>
    <m/>
    <n v="3"/>
    <n v="211"/>
    <n v="212"/>
    <n v="21.961748633879782"/>
    <n v="0"/>
    <n v="-208"/>
    <s v="NO CONVICTION"/>
    <x v="1"/>
    <s v="Y"/>
    <m/>
    <s v="NO CONVICTION"/>
    <s v="Y"/>
    <x v="1"/>
    <x v="0"/>
    <s v="Y"/>
    <n v="1.4150943396226415E-2"/>
    <n v="1.4218009478672985E-2"/>
    <n v="6.7066082446569711E-5"/>
    <n v="0"/>
    <n v="-3"/>
    <n v="0"/>
    <n v="3"/>
    <e v="#VALUE!"/>
    <n v="3"/>
    <n v="0"/>
    <m/>
    <m/>
    <s v="Y"/>
    <m/>
    <s v="0-10 DAYS"/>
    <n v="1"/>
    <x v="0"/>
  </r>
  <r>
    <n v="2214"/>
    <s v="N"/>
    <s v="N"/>
    <n v="2389763"/>
    <n v="2"/>
    <d v="2012-03-24T00:00:00"/>
    <d v="2012-06-14T00:00:00"/>
    <n v="2389763"/>
    <s v="NOT BOOKED"/>
    <s v="NOT BOOKED"/>
    <n v="2000"/>
    <x v="5"/>
    <d v="2012-03-25T00:00:00"/>
    <s v="Y"/>
    <s v="SURETY"/>
    <s v="DEFERRED ADJUDICATION "/>
    <n v="0"/>
    <n v="83"/>
    <n v="1"/>
    <n v="0"/>
    <m/>
    <n v="1"/>
    <m/>
    <m/>
    <m/>
    <m/>
    <m/>
    <m/>
    <m/>
    <d v="1989-08-22T00:00:00"/>
    <s v="M"/>
    <s v="B"/>
    <s v="BLACK"/>
    <s v="NON-HISPANIC"/>
    <s v="339"/>
    <s v="DEFERRED"/>
    <n v="4"/>
    <s v="DEFERRED"/>
    <m/>
    <m/>
    <m/>
    <s v="POSS MARIJ  4 OZ. - 5 LBS."/>
    <m/>
    <s v="FS"/>
    <s v="POSS DRUG"/>
    <m/>
    <m/>
    <m/>
    <m/>
    <m/>
    <m/>
    <m/>
    <m/>
    <m/>
    <s v="Hired Attorney"/>
    <m/>
    <m/>
    <n v="0"/>
    <n v="0"/>
    <n v="83"/>
    <n v="22.540983606557376"/>
    <e v="#VALUE!"/>
    <e v="#VALUE!"/>
    <s v="DEFERRED"/>
    <x v="1"/>
    <s v="Y"/>
    <m/>
    <s v="DEFERRED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22"/>
    <s v="N"/>
    <s v="N"/>
    <n v="2391046"/>
    <n v="6"/>
    <d v="2012-01-02T00:00:00"/>
    <d v="2012-08-16T00:00:00"/>
    <n v="2391046"/>
    <d v="2012-01-02T00:00:00"/>
    <d v="2012-08-16T00:00:00"/>
    <s v="NO BOND"/>
    <x v="1"/>
    <m/>
    <s v="N"/>
    <s v="NONE"/>
    <s v="GUILTY PLEA - NO JURY"/>
    <n v="228"/>
    <n v="228"/>
    <n v="1"/>
    <n v="4"/>
    <n v="1"/>
    <n v="1"/>
    <m/>
    <m/>
    <m/>
    <m/>
    <m/>
    <m/>
    <m/>
    <d v="1990-10-30T00:00:00"/>
    <s v="M"/>
    <s v="H"/>
    <s v="HISPANIC"/>
    <s v="HISPANIC"/>
    <s v="208"/>
    <s v="CONVICTED"/>
    <n v="7"/>
    <s v="TDC"/>
    <n v="5"/>
    <m/>
    <m/>
    <s v="AGG ASSAULT W/DEADLY WEAPON"/>
    <m/>
    <s v="F2"/>
    <s v="ASLT-MURDR"/>
    <m/>
    <m/>
    <m/>
    <m/>
    <m/>
    <m/>
    <m/>
    <m/>
    <m/>
    <s v="Appointed Attorney"/>
    <m/>
    <m/>
    <n v="228"/>
    <n v="228"/>
    <n v="228"/>
    <n v="21.131147540983605"/>
    <n v="0"/>
    <n v="0"/>
    <s v="CONVICTION"/>
    <x v="0"/>
    <s v="N"/>
    <m/>
    <s v="CONVICTION"/>
    <s v="Y"/>
    <x v="0"/>
    <x v="0"/>
    <s v="Y"/>
    <n v="1"/>
    <n v="1"/>
    <n v="0"/>
    <n v="0"/>
    <n v="-228"/>
    <n v="0"/>
    <n v="228"/>
    <e v="#VALUE!"/>
    <n v="228"/>
    <n v="0"/>
    <m/>
    <m/>
    <s v="Y"/>
    <m/>
    <s v="121-365 DAYS"/>
    <n v="6"/>
    <x v="0"/>
  </r>
  <r>
    <n v="1613"/>
    <s v="N"/>
    <s v="N"/>
    <n v="2391251"/>
    <n v="2"/>
    <d v="2012-02-29T00:00:00"/>
    <d v="2012-03-22T00:00:00"/>
    <n v="2391251"/>
    <d v="2012-03-01T00:00:00"/>
    <d v="2012-03-10T00:00:00"/>
    <n v="10000"/>
    <x v="3"/>
    <d v="2012-03-10T00:00:00"/>
    <s v="Y"/>
    <s v="SURETY"/>
    <s v="DEFERRED ADJUDICATION "/>
    <n v="10"/>
    <n v="23"/>
    <n v="0"/>
    <n v="0"/>
    <m/>
    <m/>
    <m/>
    <m/>
    <m/>
    <m/>
    <m/>
    <m/>
    <m/>
    <d v="1991-02-08T00:00:00"/>
    <s v="M"/>
    <s v="B"/>
    <s v="BLACK"/>
    <s v="NULL"/>
    <s v="228"/>
    <s v="DEFERRED"/>
    <n v="3"/>
    <s v="DEFERRED"/>
    <m/>
    <m/>
    <m/>
    <s v="POSS CS PG 1 4G - 200G"/>
    <m/>
    <s v="F2"/>
    <s v="POSS DRUG"/>
    <s v="bk 8/16/12  viol 9/6/12 cop amend"/>
    <m/>
    <m/>
    <m/>
    <m/>
    <m/>
    <m/>
    <m/>
    <m/>
    <s v="Appointed Attorney"/>
    <m/>
    <m/>
    <n v="10"/>
    <n v="22"/>
    <n v="23"/>
    <n v="21.013661202185791"/>
    <n v="0"/>
    <n v="-12"/>
    <s v="DEFERRED"/>
    <x v="1"/>
    <s v="Y"/>
    <m/>
    <s v="DEFERRED"/>
    <s v="Y"/>
    <x v="1"/>
    <x v="0"/>
    <s v="N"/>
    <n v="0.43478260869565216"/>
    <n v="0.45454545454545453"/>
    <n v="1.9762845849802368E-2"/>
    <n v="0"/>
    <n v="-10"/>
    <n v="0"/>
    <n v="10"/>
    <e v="#VALUE!"/>
    <n v="10"/>
    <n v="0"/>
    <m/>
    <m/>
    <s v="N"/>
    <m/>
    <s v="0-10 DAYS"/>
    <n v="1"/>
    <x v="0"/>
  </r>
  <r>
    <n v="2718"/>
    <s v="Y"/>
    <s v="Y"/>
    <n v="2391305"/>
    <n v="4"/>
    <d v="2012-04-11T00:00:00"/>
    <d v="2012-06-20T00:00:00"/>
    <n v="2391305"/>
    <d v="2012-04-11T00:00:00"/>
    <d v="2012-04-12T00:00:00"/>
    <n v="5000"/>
    <x v="4"/>
    <d v="2012-04-12T00:00:00"/>
    <s v="Y"/>
    <s v="SURETY"/>
    <s v="GUILTY PLEA - NO JURY"/>
    <n v="37"/>
    <n v="71"/>
    <n v="1"/>
    <n v="4"/>
    <n v="1"/>
    <m/>
    <m/>
    <m/>
    <m/>
    <m/>
    <m/>
    <m/>
    <m/>
    <d v="1991-10-02T00:00:00"/>
    <s v="M"/>
    <s v="B"/>
    <s v="BLACK"/>
    <s v="NON-HISPANIC"/>
    <s v="174"/>
    <s v="CONVICTED"/>
    <n v="6"/>
    <s v="HCJ"/>
    <m/>
    <m/>
    <n v="365"/>
    <s v="POSS CS PG 1 &lt;1G"/>
    <m/>
    <s v="FS"/>
    <s v="POSS DRUG"/>
    <s v="misd marija 9/20/12 hcj 30 d   bk 5/15/12  recal"/>
    <m/>
    <s v="Y"/>
    <s v="bf 5/11/12"/>
    <m/>
    <m/>
    <m/>
    <d v="2012-12-21T00:00:00"/>
    <n v="235"/>
    <s v="Appointed Attorney"/>
    <s v="m marija 9/20/12 hcj 30 d  f pcs stj 7 M"/>
    <m/>
    <n v="37"/>
    <n v="71"/>
    <n v="71"/>
    <n v="20.483606557377048"/>
    <n v="0"/>
    <n v="-69"/>
    <s v="CONVICTION"/>
    <x v="1"/>
    <s v="N"/>
    <m/>
    <s v="CONVICTION"/>
    <s v="Y"/>
    <x v="0"/>
    <x v="0"/>
    <s v="Y"/>
    <n v="0.52112676056338025"/>
    <n v="2.8169014084507043E-2"/>
    <n v="-0.49295774647887319"/>
    <n v="0"/>
    <n v="-2"/>
    <n v="35"/>
    <n v="71"/>
    <n v="37"/>
    <n v="71"/>
    <n v="69"/>
    <m/>
    <m/>
    <s v="Y"/>
    <m/>
    <s v="31-60 DAYS"/>
    <n v="3"/>
    <x v="0"/>
  </r>
  <r>
    <n v="1089"/>
    <s v="N"/>
    <s v="N"/>
    <n v="2391501"/>
    <n v="1"/>
    <d v="2012-02-09T00:00:00"/>
    <d v="2012-05-10T00:00:00"/>
    <n v="2391501"/>
    <d v="2012-02-10T00:00:00"/>
    <d v="2012-05-10T00:00:00"/>
    <n v="40000"/>
    <x v="2"/>
    <m/>
    <s v="N"/>
    <s v="NONE"/>
    <s v="DISMISSED"/>
    <n v="91"/>
    <n v="92"/>
    <n v="1"/>
    <n v="0"/>
    <n v="1"/>
    <m/>
    <m/>
    <m/>
    <m/>
    <m/>
    <m/>
    <m/>
    <m/>
    <d v="1990-11-11T00:00:00"/>
    <s v="M"/>
    <s v="B"/>
    <s v="BLACK"/>
    <s v="NULL"/>
    <s v="248"/>
    <s v="DISMISSED"/>
    <n v="5"/>
    <s v="DISMISSED"/>
    <m/>
    <m/>
    <m/>
    <s v="AGG ROBBERY-DEADLY WPN"/>
    <m/>
    <s v="F1"/>
    <s v="ROBBERY"/>
    <m/>
    <m/>
    <m/>
    <m/>
    <m/>
    <m/>
    <m/>
    <m/>
    <m/>
    <s v="Appointed Attorney"/>
    <m/>
    <m/>
    <n v="91"/>
    <n v="91"/>
    <n v="92"/>
    <n v="21.202185792349727"/>
    <n v="0"/>
    <n v="0"/>
    <s v="NO CONVICTION"/>
    <x v="0"/>
    <s v="N"/>
    <m/>
    <s v="NO CONVICTION"/>
    <s v="Y"/>
    <x v="0"/>
    <x v="0"/>
    <s v="Y"/>
    <n v="0.98913043478260865"/>
    <n v="1"/>
    <n v="1.0869565217391353E-2"/>
    <n v="0"/>
    <n v="-91"/>
    <n v="0"/>
    <n v="91"/>
    <e v="#VALUE!"/>
    <n v="91"/>
    <n v="0"/>
    <m/>
    <m/>
    <s v="Y"/>
    <m/>
    <s v="91-120 DAYS"/>
    <n v="0"/>
    <x v="0"/>
  </r>
  <r>
    <n v="2003"/>
    <s v="N"/>
    <s v="N"/>
    <n v="2392447"/>
    <n v="6"/>
    <d v="2012-03-16T00:00:00"/>
    <d v="2012-06-08T00:00:00"/>
    <n v="2392447"/>
    <d v="2012-03-16T00:00:00"/>
    <d v="2012-06-08T00:00:00"/>
    <s v="NO BOND"/>
    <x v="1"/>
    <m/>
    <s v="N"/>
    <s v="NONE"/>
    <s v="GUILTY PLEA - NO JURY"/>
    <n v="85"/>
    <n v="85"/>
    <n v="2"/>
    <n v="2"/>
    <n v="1"/>
    <m/>
    <m/>
    <m/>
    <m/>
    <m/>
    <m/>
    <m/>
    <m/>
    <d v="1991-08-22T00:00:00"/>
    <s v="M"/>
    <s v="B"/>
    <s v="BLACK"/>
    <s v="NULL"/>
    <s v="337"/>
    <s v="CONVICTED"/>
    <n v="6"/>
    <s v="TDC"/>
    <n v="3"/>
    <m/>
    <m/>
    <s v="POSS CS PG 1  1 - 4 GRAMS"/>
    <m/>
    <s v="F3"/>
    <s v="POSS DRUG"/>
    <m/>
    <m/>
    <m/>
    <m/>
    <m/>
    <m/>
    <m/>
    <m/>
    <m/>
    <s v="Hired Attorney"/>
    <m/>
    <m/>
    <n v="85"/>
    <n v="85"/>
    <n v="85"/>
    <n v="20.524590163934427"/>
    <n v="0"/>
    <n v="0"/>
    <s v="CONVICTION"/>
    <x v="0"/>
    <s v="N"/>
    <m/>
    <s v="CONVICTION"/>
    <s v="Y"/>
    <x v="0"/>
    <x v="0"/>
    <s v="Y"/>
    <n v="1"/>
    <n v="1"/>
    <n v="0"/>
    <n v="0"/>
    <n v="-85"/>
    <n v="0"/>
    <n v="85"/>
    <e v="#VALUE!"/>
    <n v="85"/>
    <n v="0"/>
    <m/>
    <m/>
    <s v="Y"/>
    <m/>
    <s v="61-90 DAYS"/>
    <n v="4"/>
    <x v="0"/>
  </r>
  <r>
    <n v="2089"/>
    <s v="N"/>
    <s v="N"/>
    <n v="2392456"/>
    <n v="6"/>
    <d v="2012-03-19T00:00:00"/>
    <d v="2012-03-21T00:00:00"/>
    <n v="2392456"/>
    <d v="2012-03-19T00:00:00"/>
    <d v="2012-03-21T00:00:00"/>
    <n v="10000"/>
    <x v="3"/>
    <m/>
    <s v="N"/>
    <s v="NONE"/>
    <s v="GUILTY PLEA - NO JURY"/>
    <n v="3"/>
    <n v="3"/>
    <n v="0"/>
    <n v="3"/>
    <m/>
    <m/>
    <m/>
    <m/>
    <m/>
    <m/>
    <m/>
    <m/>
    <m/>
    <d v="1980-09-04T00:00:00"/>
    <s v="M"/>
    <s v="B"/>
    <s v="BLACK"/>
    <s v="NULL"/>
    <s v="228"/>
    <s v="CONVICTED"/>
    <n v="1"/>
    <s v="TDC"/>
    <n v="2"/>
    <m/>
    <m/>
    <s v="BURGLARY OF HABITATION"/>
    <m/>
    <s v="F2"/>
    <s v="BURGLARY"/>
    <m/>
    <m/>
    <m/>
    <m/>
    <m/>
    <m/>
    <m/>
    <m/>
    <m/>
    <s v="Public Defender"/>
    <m/>
    <m/>
    <n v="3"/>
    <n v="3"/>
    <n v="3"/>
    <n v="31.472677595628415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997"/>
    <s v="N"/>
    <s v="N"/>
    <n v="2392650"/>
    <n v="4"/>
    <d v="2012-04-20T00:00:00"/>
    <d v="2012-05-10T00:00:00"/>
    <n v="2392650"/>
    <d v="2012-04-20T00:00:00"/>
    <d v="2012-05-10T00:00:00"/>
    <n v="2000"/>
    <x v="5"/>
    <m/>
    <s v="N"/>
    <s v="NONE"/>
    <s v="GUILTY PLEA - NO JURY"/>
    <n v="21"/>
    <n v="21"/>
    <n v="2"/>
    <n v="1"/>
    <m/>
    <m/>
    <m/>
    <m/>
    <m/>
    <m/>
    <m/>
    <m/>
    <m/>
    <d v="1969-05-07T00:00:00"/>
    <s v="M"/>
    <s v="B"/>
    <s v="BLACK"/>
    <s v="NULL"/>
    <s v="232"/>
    <s v="CONVICTED"/>
    <n v="2"/>
    <s v="HCJ"/>
    <m/>
    <m/>
    <n v="120"/>
    <s v="POSS CS PG 1 &lt;1G"/>
    <m/>
    <s v="FS"/>
    <s v="POSS DRUG"/>
    <m/>
    <m/>
    <m/>
    <m/>
    <m/>
    <m/>
    <m/>
    <m/>
    <m/>
    <s v="Appointed Attorney"/>
    <m/>
    <m/>
    <n v="21"/>
    <n v="21"/>
    <n v="21"/>
    <n v="42.866120218579233"/>
    <n v="0"/>
    <n v="0"/>
    <s v="CONVICTION"/>
    <x v="0"/>
    <s v="N"/>
    <m/>
    <s v="CONVICTION"/>
    <s v="Y"/>
    <x v="0"/>
    <x v="0"/>
    <s v="Y"/>
    <n v="1"/>
    <n v="1"/>
    <n v="0"/>
    <n v="0"/>
    <n v="-21"/>
    <n v="0"/>
    <n v="21"/>
    <e v="#VALUE!"/>
    <n v="21"/>
    <n v="0"/>
    <m/>
    <m/>
    <s v="Y"/>
    <m/>
    <s v="11-30 DAYS"/>
    <n v="2"/>
    <x v="0"/>
  </r>
  <r>
    <n v="2567"/>
    <s v="N"/>
    <s v="N"/>
    <n v="2392750"/>
    <n v="6"/>
    <d v="2012-04-05T00:00:00"/>
    <d v="2012-07-26T00:00:00"/>
    <n v="2392750"/>
    <d v="2012-04-07T00:00:00"/>
    <d v="2012-07-26T00:00:00"/>
    <s v="NO BOND"/>
    <x v="1"/>
    <m/>
    <s v="N"/>
    <s v="NONE"/>
    <s v="GUILTY PLEA - NO JURY"/>
    <n v="111"/>
    <n v="113"/>
    <n v="2"/>
    <n v="0"/>
    <n v="2"/>
    <m/>
    <m/>
    <m/>
    <m/>
    <m/>
    <m/>
    <m/>
    <m/>
    <d v="1990-07-24T00:00:00"/>
    <s v="M"/>
    <s v="W"/>
    <s v="WHITE"/>
    <s v="NULL"/>
    <s v="176"/>
    <s v="CONVICTED"/>
    <n v="4"/>
    <s v="TDC"/>
    <n v="7"/>
    <m/>
    <m/>
    <s v="BURGLARY OF HABITATION"/>
    <m/>
    <s v="F2"/>
    <s v="BURGLARY"/>
    <m/>
    <m/>
    <m/>
    <m/>
    <m/>
    <m/>
    <m/>
    <m/>
    <m/>
    <s v="Appointed Attorney"/>
    <m/>
    <m/>
    <n v="111"/>
    <n v="111"/>
    <n v="113"/>
    <n v="21.655737704918032"/>
    <n v="0"/>
    <n v="0"/>
    <s v="CONVICTION"/>
    <x v="0"/>
    <s v="N"/>
    <m/>
    <s v="CONVICTION"/>
    <s v="Y"/>
    <x v="0"/>
    <x v="0"/>
    <s v="Y"/>
    <n v="0.98230088495575218"/>
    <n v="1"/>
    <n v="1.7699115044247815E-2"/>
    <n v="0"/>
    <n v="-111"/>
    <n v="0"/>
    <n v="111"/>
    <e v="#VALUE!"/>
    <n v="111"/>
    <n v="0"/>
    <m/>
    <m/>
    <s v="Y"/>
    <m/>
    <s v="91-120 DAYS"/>
    <n v="0"/>
    <x v="0"/>
  </r>
  <r>
    <n v="673"/>
    <s v="N"/>
    <s v="N"/>
    <n v="2393258"/>
    <n v="2"/>
    <d v="2012-01-27T00:00:00"/>
    <d v="2012-05-18T00:00:00"/>
    <n v="2393258"/>
    <d v="2012-01-27T00:00:00"/>
    <d v="2012-01-29T00:00:00"/>
    <n v="2000"/>
    <x v="5"/>
    <d v="2012-01-29T00:00:00"/>
    <s v="Y"/>
    <s v="SURETY"/>
    <s v="DEFERRED ADJUDICATION "/>
    <n v="3"/>
    <n v="113"/>
    <n v="0"/>
    <n v="1"/>
    <m/>
    <m/>
    <m/>
    <m/>
    <m/>
    <m/>
    <m/>
    <m/>
    <m/>
    <d v="1989-12-10T00:00:00"/>
    <s v="M"/>
    <s v="H"/>
    <s v="HISPANIC"/>
    <s v="HISPANIC"/>
    <s v="263"/>
    <s v="DEFERRED"/>
    <n v="6"/>
    <s v="DEFERRED"/>
    <m/>
    <m/>
    <m/>
    <s v="POSS CS PG 1 &lt;1G"/>
    <m/>
    <s v="FS"/>
    <s v="POSS DRUG"/>
    <m/>
    <m/>
    <m/>
    <m/>
    <m/>
    <m/>
    <m/>
    <m/>
    <m/>
    <s v="Hired Attorney"/>
    <m/>
    <m/>
    <n v="3"/>
    <n v="113"/>
    <n v="113"/>
    <n v="22.084699453551913"/>
    <n v="0"/>
    <n v="-110"/>
    <s v="DEFERRED"/>
    <x v="1"/>
    <s v="Y"/>
    <m/>
    <s v="DEFERRED"/>
    <s v="Y"/>
    <x v="1"/>
    <x v="0"/>
    <s v="N"/>
    <n v="2.6548672566371681E-2"/>
    <n v="2.6548672566371681E-2"/>
    <n v="0"/>
    <n v="0"/>
    <n v="-3"/>
    <n v="0"/>
    <n v="3"/>
    <e v="#VALUE!"/>
    <n v="3"/>
    <n v="0"/>
    <m/>
    <m/>
    <s v="Y"/>
    <m/>
    <s v="0-10 DAYS"/>
    <n v="1"/>
    <x v="0"/>
  </r>
  <r>
    <n v="1485"/>
    <s v="N"/>
    <s v="N"/>
    <n v="2394403"/>
    <n v="4"/>
    <d v="2012-02-24T00:00:00"/>
    <d v="2012-02-27T00:00:00"/>
    <n v="2394403"/>
    <d v="2012-02-24T00:00:00"/>
    <d v="2012-02-27T00:00:00"/>
    <n v="15000"/>
    <x v="0"/>
    <m/>
    <s v="N"/>
    <s v="NONE"/>
    <s v="GUILTY PLEA - NO JURY"/>
    <n v="4"/>
    <n v="4"/>
    <n v="5"/>
    <n v="3"/>
    <n v="2"/>
    <m/>
    <m/>
    <m/>
    <m/>
    <m/>
    <m/>
    <m/>
    <m/>
    <d v="1973-05-21T00:00:00"/>
    <s v="M"/>
    <s v="B"/>
    <s v="BLACK"/>
    <s v="NULL"/>
    <s v="180"/>
    <s v="CONVICTED"/>
    <n v="1"/>
    <s v="HCJ"/>
    <m/>
    <m/>
    <n v="30"/>
    <s v="POSS CS PG 1 &lt;1G"/>
    <m/>
    <s v="FS"/>
    <s v="POSS DRUG"/>
    <s v="5/22/12 MISD TRESS 10D HCJ  7/13/12 FEL THEFT STJ 8 M"/>
    <m/>
    <m/>
    <m/>
    <m/>
    <m/>
    <m/>
    <m/>
    <m/>
    <s v="Appointed Attorney"/>
    <m/>
    <m/>
    <n v="4"/>
    <n v="4"/>
    <n v="4"/>
    <n v="38.68306010928962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m/>
    <m/>
    <s v="Y"/>
    <m/>
    <s v="0-10 DAYS"/>
    <n v="1"/>
    <x v="0"/>
  </r>
  <r>
    <n v="3199"/>
    <s v="N"/>
    <s v="N"/>
    <n v="2395657"/>
    <n v="1"/>
    <d v="2012-04-27T00:00:00"/>
    <d v="2012-06-29T00:00:00"/>
    <n v="2395657"/>
    <s v="NOT BOOKED"/>
    <s v="NOT BOOKED"/>
    <n v="2000"/>
    <x v="5"/>
    <d v="2012-04-29T00:00:00"/>
    <s v="Y"/>
    <s v="SURETY"/>
    <s v="DISMISSED"/>
    <n v="0"/>
    <n v="64"/>
    <n v="0"/>
    <n v="2"/>
    <m/>
    <m/>
    <m/>
    <m/>
    <m/>
    <m/>
    <m/>
    <m/>
    <m/>
    <d v="1991-04-06T00:00:00"/>
    <s v="M"/>
    <s v="H"/>
    <s v="HISPANIC"/>
    <s v="HISPANIC"/>
    <s v="228"/>
    <s v="DISMISSED"/>
    <n v="4"/>
    <s v="DISMISSED"/>
    <m/>
    <m/>
    <m/>
    <s v="POSS CS PG 1 &lt;1G"/>
    <m/>
    <s v="FS"/>
    <s v="POSS DRUG"/>
    <s v="misd weapon 6/29/12  hcj 2 d fine"/>
    <m/>
    <m/>
    <m/>
    <m/>
    <m/>
    <m/>
    <m/>
    <m/>
    <s v="Hired Attorney"/>
    <m/>
    <m/>
    <n v="0"/>
    <n v="0"/>
    <n v="64"/>
    <n v="21.016393442622952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149"/>
    <s v="N"/>
    <s v="N"/>
    <n v="2396021"/>
    <n v="5"/>
    <d v="2012-01-07T00:00:00"/>
    <d v="2012-08-27T00:00:00"/>
    <n v="2396021"/>
    <d v="2012-01-07T00:00:00"/>
    <d v="2012-01-09T00:00:00"/>
    <n v="2000"/>
    <x v="5"/>
    <d v="2012-01-09T00:00:00"/>
    <s v="Y"/>
    <s v="SURETY"/>
    <s v="GUILTY PLEA - NO JURY"/>
    <n v="3"/>
    <n v="234"/>
    <n v="0"/>
    <n v="6"/>
    <m/>
    <m/>
    <m/>
    <m/>
    <m/>
    <m/>
    <m/>
    <m/>
    <m/>
    <d v="1989-10-30T00:00:00"/>
    <s v="M"/>
    <s v="A"/>
    <s v="OTHER"/>
    <s v="NULL"/>
    <s v="208"/>
    <s v="CONVICTED"/>
    <n v="9"/>
    <s v="STJ"/>
    <m/>
    <n v="10"/>
    <m/>
    <s v="THEFT $1500-20K"/>
    <m/>
    <s v="FS"/>
    <s v="THEFT"/>
    <s v="8/27/2012 frl evade"/>
    <m/>
    <m/>
    <m/>
    <m/>
    <m/>
    <m/>
    <m/>
    <m/>
    <s v="Hired Attorney"/>
    <m/>
    <m/>
    <n v="3"/>
    <n v="234"/>
    <n v="234"/>
    <n v="22.142076502732241"/>
    <n v="0"/>
    <n v="-231"/>
    <s v="CONVICTION"/>
    <x v="1"/>
    <s v="Y"/>
    <m/>
    <s v="CONVICTION"/>
    <s v="Y"/>
    <x v="1"/>
    <x v="0"/>
    <s v="N"/>
    <n v="1.282051282051282E-2"/>
    <n v="1.282051282051282E-2"/>
    <n v="0"/>
    <n v="0"/>
    <n v="-3"/>
    <n v="0"/>
    <n v="3"/>
    <e v="#VALUE!"/>
    <n v="3"/>
    <n v="0"/>
    <m/>
    <m/>
    <s v="Y"/>
    <m/>
    <s v="0-10 DAYS"/>
    <n v="1"/>
    <x v="0"/>
  </r>
  <r>
    <n v="768"/>
    <s v="N"/>
    <s v="N"/>
    <n v="2396082"/>
    <n v="5"/>
    <d v="2012-01-30T00:00:00"/>
    <d v="2012-10-08T00:00:00"/>
    <n v="2396082"/>
    <d v="2012-01-31T00:00:00"/>
    <d v="2012-02-02T00:00:00"/>
    <n v="30000"/>
    <x v="2"/>
    <d v="2012-02-02T00:00:00"/>
    <s v="Y"/>
    <s v="SURETY"/>
    <s v="GUILTY PLEA - NO JURY"/>
    <n v="3"/>
    <n v="253"/>
    <n v="3"/>
    <n v="0"/>
    <n v="2"/>
    <m/>
    <m/>
    <m/>
    <m/>
    <m/>
    <m/>
    <m/>
    <m/>
    <d v="1991-08-16T00:00:00"/>
    <s v="M"/>
    <s v="B"/>
    <s v="BLACK"/>
    <s v="NON-HISPANIC"/>
    <s v="262"/>
    <s v="CONVICTED"/>
    <n v="13"/>
    <s v="STJ"/>
    <m/>
    <n v="6"/>
    <m/>
    <s v="POSS W/INT DEL CS PG1&gt;=4 &lt;200"/>
    <m/>
    <s v="F1"/>
    <s v="SALE DRUG"/>
    <m/>
    <m/>
    <m/>
    <m/>
    <m/>
    <m/>
    <m/>
    <m/>
    <m/>
    <s v="Hired Attorney"/>
    <m/>
    <m/>
    <n v="3"/>
    <n v="252"/>
    <n v="253"/>
    <n v="20.415300546448087"/>
    <n v="0"/>
    <n v="-249"/>
    <s v="CONVICTION"/>
    <x v="1"/>
    <s v="Y"/>
    <m/>
    <s v="CONVICTION"/>
    <s v="Y"/>
    <x v="1"/>
    <x v="0"/>
    <s v="Y"/>
    <n v="1.1857707509881422E-2"/>
    <n v="1.1904761904761904E-2"/>
    <n v="4.7054394880481978E-5"/>
    <n v="0"/>
    <n v="-3"/>
    <n v="0"/>
    <n v="3"/>
    <e v="#VALUE!"/>
    <n v="3"/>
    <n v="0"/>
    <m/>
    <m/>
    <s v="Y"/>
    <m/>
    <s v="0-10 DAYS"/>
    <n v="1"/>
    <x v="0"/>
  </r>
  <r>
    <n v="2742"/>
    <s v="Y"/>
    <s v="Y"/>
    <n v="2396941"/>
    <n v="2"/>
    <d v="2012-04-11T00:00:00"/>
    <d v="2012-10-31T00:00:00"/>
    <n v="2396941"/>
    <d v="2012-04-12T00:00:00"/>
    <d v="2012-04-13T00:00:00"/>
    <n v="5000"/>
    <x v="4"/>
    <d v="2012-04-13T00:00:00"/>
    <s v="Y"/>
    <s v="SURETY"/>
    <s v="DEFERRED ADJUDICATION "/>
    <n v="15"/>
    <n v="204"/>
    <n v="0"/>
    <n v="2"/>
    <m/>
    <m/>
    <m/>
    <m/>
    <m/>
    <m/>
    <m/>
    <m/>
    <m/>
    <d v="1989-01-06T00:00:00"/>
    <s v="M"/>
    <s v="W"/>
    <s v="WHITE"/>
    <s v="NULL"/>
    <s v="179"/>
    <s v="DEFERRED"/>
    <n v="12"/>
    <s v="DEFERRED"/>
    <m/>
    <m/>
    <m/>
    <s v="POSS CS PG 1  1 - 4 GRAMS"/>
    <m/>
    <s v="F3"/>
    <s v="POSS DRUG"/>
    <s v="bk 8/21/12 recal"/>
    <s v="bk 10/17/12   0 bond"/>
    <s v="Y"/>
    <s v="bf 10/2/12"/>
    <m/>
    <m/>
    <m/>
    <d v="2012-11-02T00:00:00"/>
    <n v="243"/>
    <s v="Hired Attorney"/>
    <s v="lv ftr 12/18/13 fugitive"/>
    <m/>
    <n v="15"/>
    <n v="203"/>
    <n v="204"/>
    <n v="23.21311475409836"/>
    <n v="0"/>
    <n v="-201"/>
    <s v="DEFERRED"/>
    <x v="1"/>
    <s v="N"/>
    <m/>
    <s v="DEFERRED"/>
    <s v="Y"/>
    <x v="0"/>
    <x v="0"/>
    <s v="N"/>
    <n v="7.3529411764705885E-2"/>
    <n v="9.852216748768473E-3"/>
    <n v="-6.367719501593741E-2"/>
    <n v="0"/>
    <n v="-2"/>
    <n v="13"/>
    <n v="203"/>
    <n v="15"/>
    <n v="203"/>
    <n v="201"/>
    <m/>
    <m/>
    <s v="Y"/>
    <m/>
    <s v="11-30 DAYS"/>
    <n v="2"/>
    <x v="0"/>
  </r>
  <r>
    <n v="345"/>
    <s v="N"/>
    <s v="N"/>
    <n v="2399982"/>
    <n v="6"/>
    <d v="2012-01-14T00:00:00"/>
    <d v="2012-03-01T00:00:00"/>
    <n v="2399982"/>
    <d v="2012-01-15T00:00:00"/>
    <d v="2012-03-01T00:00:00"/>
    <n v="20000"/>
    <x v="0"/>
    <m/>
    <s v="N"/>
    <s v="NONE"/>
    <s v="GUILTY PLEA - NO JURY"/>
    <n v="47"/>
    <n v="48"/>
    <n v="2"/>
    <n v="0"/>
    <n v="2"/>
    <m/>
    <m/>
    <m/>
    <m/>
    <m/>
    <m/>
    <m/>
    <m/>
    <d v="1991-07-11T00:00:00"/>
    <s v="M"/>
    <s v="B"/>
    <s v="BLACK"/>
    <s v="NON-HISPANIC"/>
    <s v="262"/>
    <s v="CONVICTED"/>
    <n v="3"/>
    <s v="TDC"/>
    <n v="2"/>
    <m/>
    <m/>
    <s v="ROBBERY-BODILY INJURY"/>
    <m/>
    <s v="F2"/>
    <s v="ROBBERY"/>
    <m/>
    <m/>
    <m/>
    <m/>
    <m/>
    <m/>
    <m/>
    <m/>
    <m/>
    <s v="Appointed Attorney"/>
    <m/>
    <m/>
    <n v="47"/>
    <n v="47"/>
    <n v="48"/>
    <n v="20.469945355191257"/>
    <n v="0"/>
    <n v="0"/>
    <s v="CONVICTION"/>
    <x v="0"/>
    <s v="N"/>
    <m/>
    <s v="CONVICTION"/>
    <s v="Y"/>
    <x v="0"/>
    <x v="0"/>
    <s v="Y"/>
    <n v="0.97916666666666663"/>
    <n v="1"/>
    <n v="2.083333333333337E-2"/>
    <n v="0"/>
    <n v="-47"/>
    <n v="0"/>
    <n v="47"/>
    <e v="#VALUE!"/>
    <n v="47"/>
    <n v="0"/>
    <m/>
    <m/>
    <s v="Y"/>
    <m/>
    <s v="31-60 DAYS"/>
    <n v="3"/>
    <x v="0"/>
  </r>
  <r>
    <n v="2174"/>
    <s v="N"/>
    <s v="N"/>
    <n v="2401422"/>
    <n v="2"/>
    <d v="2012-03-22T00:00:00"/>
    <d v="2012-03-27T00:00:00"/>
    <n v="2401422"/>
    <d v="2012-03-23T00:00:00"/>
    <d v="2012-03-27T00:00:00"/>
    <n v="50000"/>
    <x v="2"/>
    <m/>
    <s v="N"/>
    <s v="NONE"/>
    <s v="DEFERRED ADJUDICATION "/>
    <n v="5"/>
    <n v="6"/>
    <n v="2"/>
    <n v="4"/>
    <m/>
    <m/>
    <m/>
    <m/>
    <m/>
    <m/>
    <m/>
    <m/>
    <m/>
    <d v="1990-01-10T00:00:00"/>
    <s v="M"/>
    <s v="B"/>
    <s v="BLACK"/>
    <s v="NULL"/>
    <s v="337"/>
    <s v="DEFERRED"/>
    <n v="2"/>
    <s v="DEFERRED"/>
    <m/>
    <m/>
    <m/>
    <s v="AGG ASSAULT-FAMILY MEMBER"/>
    <m/>
    <s v="F2"/>
    <s v="ASLT-MURDR"/>
    <m/>
    <m/>
    <m/>
    <m/>
    <m/>
    <m/>
    <m/>
    <m/>
    <m/>
    <s v="Public Defender"/>
    <m/>
    <m/>
    <n v="5"/>
    <n v="5"/>
    <n v="6"/>
    <n v="22.150273224043715"/>
    <n v="0"/>
    <n v="0"/>
    <s v="DEFERRED"/>
    <x v="0"/>
    <s v="N"/>
    <m/>
    <s v="DEFERRED"/>
    <s v="Y"/>
    <x v="0"/>
    <x v="0"/>
    <s v="Y"/>
    <n v="0.83333333333333337"/>
    <n v="1"/>
    <n v="0.16666666666666663"/>
    <n v="0"/>
    <n v="-5"/>
    <n v="0"/>
    <n v="5"/>
    <e v="#VALUE!"/>
    <n v="5"/>
    <n v="0"/>
    <m/>
    <m/>
    <s v="Y"/>
    <m/>
    <s v="0-10 DAYS"/>
    <n v="1"/>
    <x v="0"/>
  </r>
  <r>
    <n v="1240"/>
    <s v="N"/>
    <s v="N"/>
    <n v="2401429"/>
    <n v="2"/>
    <d v="2012-02-15T00:00:00"/>
    <d v="2012-03-01T00:00:00"/>
    <n v="2401429"/>
    <d v="2012-02-15T00:00:00"/>
    <d v="2012-03-01T00:00:00"/>
    <n v="10000"/>
    <x v="3"/>
    <m/>
    <s v="N"/>
    <s v="NONE"/>
    <s v="DEFERRED ADJUDICATION "/>
    <n v="16"/>
    <n v="16"/>
    <n v="0"/>
    <n v="3"/>
    <m/>
    <m/>
    <m/>
    <m/>
    <m/>
    <m/>
    <m/>
    <m/>
    <m/>
    <d v="1990-12-16T00:00:00"/>
    <s v="M"/>
    <s v="B"/>
    <s v="BLACK"/>
    <s v="NON-HISPANIC"/>
    <s v="174"/>
    <s v="DEFERRED"/>
    <n v="2"/>
    <s v="DEFERRED"/>
    <m/>
    <m/>
    <m/>
    <s v="POSS W/INT DEL CS PG1 1G &lt;4 GR"/>
    <m/>
    <s v="F2"/>
    <s v="SALE DRUG"/>
    <s v="misd asslt conv 5/23/12  lv 4/20/12 revoked 6/13/12 sent tdc 3 yrs"/>
    <m/>
    <m/>
    <m/>
    <m/>
    <m/>
    <m/>
    <m/>
    <m/>
    <s v="Appointed Attorney"/>
    <m/>
    <m/>
    <n v="16"/>
    <n v="16"/>
    <n v="16"/>
    <n v="21.122950819672131"/>
    <n v="0"/>
    <n v="0"/>
    <s v="DEFERRED"/>
    <x v="0"/>
    <s v="N"/>
    <m/>
    <s v="DEFERRED"/>
    <s v="Y"/>
    <x v="0"/>
    <x v="0"/>
    <s v="N"/>
    <n v="1"/>
    <n v="1"/>
    <n v="0"/>
    <n v="0"/>
    <n v="-16"/>
    <n v="0"/>
    <n v="16"/>
    <e v="#VALUE!"/>
    <n v="16"/>
    <n v="0"/>
    <m/>
    <m/>
    <s v="Y"/>
    <m/>
    <s v="11-30 DAYS"/>
    <n v="2"/>
    <x v="0"/>
  </r>
  <r>
    <n v="2666"/>
    <s v="N"/>
    <s v="N"/>
    <n v="2401490"/>
    <n v="1"/>
    <d v="2012-04-09T00:00:00"/>
    <d v="2012-07-17T00:00:00"/>
    <n v="2401490"/>
    <d v="2012-04-09T00:00:00"/>
    <d v="2012-05-26T00:00:00"/>
    <n v="5000"/>
    <x v="4"/>
    <d v="2012-05-26T00:00:00"/>
    <s v="Y"/>
    <s v="SURETY"/>
    <s v="DISMISSED"/>
    <n v="48"/>
    <n v="100"/>
    <n v="1"/>
    <n v="2"/>
    <n v="1"/>
    <m/>
    <m/>
    <m/>
    <m/>
    <m/>
    <m/>
    <m/>
    <m/>
    <d v="1990-12-06T00:00:00"/>
    <s v="M"/>
    <s v="H"/>
    <s v="HISPANIC"/>
    <s v="HISPANIC"/>
    <s v="338"/>
    <s v="DISMISSED"/>
    <n v="8"/>
    <s v="DISMISSED"/>
    <m/>
    <m/>
    <m/>
    <s v="THEFT FROM PERSON"/>
    <m/>
    <s v="FS"/>
    <s v="THEFT"/>
    <m/>
    <m/>
    <m/>
    <m/>
    <m/>
    <m/>
    <m/>
    <m/>
    <m/>
    <s v="Appointed Attorney"/>
    <m/>
    <m/>
    <n v="48"/>
    <n v="100"/>
    <n v="100"/>
    <n v="21.297814207650273"/>
    <n v="0"/>
    <n v="-52"/>
    <s v="NO CONVICTION"/>
    <x v="1"/>
    <s v="Y"/>
    <m/>
    <s v="NO CONVICTION"/>
    <s v="Y"/>
    <x v="1"/>
    <x v="0"/>
    <s v="Y"/>
    <n v="0.48"/>
    <n v="0.48"/>
    <n v="0"/>
    <n v="0"/>
    <n v="-48"/>
    <n v="0"/>
    <n v="48"/>
    <e v="#VALUE!"/>
    <n v="48"/>
    <n v="0"/>
    <m/>
    <m/>
    <s v="Y"/>
    <m/>
    <s v="31-60 DAYS"/>
    <n v="3"/>
    <x v="0"/>
  </r>
  <r>
    <n v="927"/>
    <s v="N"/>
    <s v="N"/>
    <n v="2401679"/>
    <n v="5"/>
    <d v="2012-02-04T00:00:00"/>
    <d v="2012-05-10T00:00:00"/>
    <n v="2401679"/>
    <d v="2012-02-04T00:00:00"/>
    <d v="2012-05-10T00:00:00"/>
    <n v="5000"/>
    <x v="4"/>
    <m/>
    <s v="N"/>
    <s v="NONE"/>
    <s v="GUILTY PLEA - NO JURY"/>
    <n v="97"/>
    <n v="97"/>
    <n v="1"/>
    <n v="1"/>
    <n v="1"/>
    <m/>
    <m/>
    <m/>
    <m/>
    <m/>
    <m/>
    <m/>
    <m/>
    <d v="1989-02-11T00:00:00"/>
    <s v="F"/>
    <s v="B"/>
    <s v="BLACK"/>
    <s v="NULL"/>
    <s v="339"/>
    <s v="CONVICTED"/>
    <n v="3"/>
    <s v="STJ"/>
    <m/>
    <n v="8"/>
    <m/>
    <s v="POSS CS PG 1 &lt;1G"/>
    <m/>
    <s v="FS"/>
    <s v="POSS DRUG"/>
    <m/>
    <m/>
    <m/>
    <m/>
    <m/>
    <m/>
    <m/>
    <m/>
    <m/>
    <s v="Appointed Attorney"/>
    <m/>
    <m/>
    <n v="97"/>
    <n v="97"/>
    <n v="97"/>
    <n v="22.931693989071039"/>
    <n v="0"/>
    <n v="0"/>
    <s v="CONVICTION"/>
    <x v="0"/>
    <s v="N"/>
    <m/>
    <s v="CONVICTION"/>
    <s v="Y"/>
    <x v="0"/>
    <x v="0"/>
    <s v="Y"/>
    <n v="1"/>
    <n v="1"/>
    <n v="0"/>
    <n v="0"/>
    <n v="-97"/>
    <n v="0"/>
    <n v="97"/>
    <e v="#VALUE!"/>
    <n v="97"/>
    <n v="0"/>
    <m/>
    <m/>
    <s v="Y"/>
    <m/>
    <s v="91-120 DAYS"/>
    <n v="0"/>
    <x v="0"/>
  </r>
  <r>
    <n v="2054"/>
    <s v="N"/>
    <s v="N"/>
    <n v="2401906"/>
    <n v="2"/>
    <d v="2012-03-18T00:00:00"/>
    <d v="2012-04-12T00:00:00"/>
    <n v="2401906"/>
    <d v="2012-03-18T00:00:00"/>
    <d v="2012-03-19T00:00:00"/>
    <n v="2000"/>
    <x v="5"/>
    <d v="2012-03-19T00:00:00"/>
    <s v="Y"/>
    <s v="SURETY"/>
    <s v="DEFERRED ADJUDICATION "/>
    <n v="2"/>
    <n v="26"/>
    <n v="0"/>
    <n v="1"/>
    <m/>
    <m/>
    <m/>
    <m/>
    <m/>
    <m/>
    <m/>
    <m/>
    <m/>
    <d v="1992-01-03T00:00:00"/>
    <s v="M"/>
    <s v="H"/>
    <s v="HISPANIC"/>
    <s v="HISPANIC"/>
    <s v="179"/>
    <s v="DEFERRED"/>
    <n v="2"/>
    <s v="DEFERRED"/>
    <m/>
    <m/>
    <m/>
    <s v="POSS CS PG 2 &lt;1GRAM"/>
    <m/>
    <s v="FS"/>
    <s v="POSS DRUG"/>
    <m/>
    <m/>
    <m/>
    <m/>
    <m/>
    <m/>
    <m/>
    <m/>
    <m/>
    <s v="Hired Attorney"/>
    <m/>
    <m/>
    <n v="2"/>
    <n v="26"/>
    <n v="26"/>
    <n v="20.16393442622951"/>
    <n v="0"/>
    <n v="-24"/>
    <s v="DEFERRED"/>
    <x v="1"/>
    <s v="Y"/>
    <m/>
    <s v="DEFERRED"/>
    <s v="Y"/>
    <x v="1"/>
    <x v="0"/>
    <s v="N"/>
    <n v="7.6923076923076927E-2"/>
    <n v="7.6923076923076927E-2"/>
    <n v="0"/>
    <n v="0"/>
    <n v="-2"/>
    <n v="0"/>
    <n v="2"/>
    <e v="#VALUE!"/>
    <n v="2"/>
    <n v="0"/>
    <m/>
    <m/>
    <s v="Y"/>
    <m/>
    <s v="0-10 DAYS"/>
    <n v="1"/>
    <x v="0"/>
  </r>
  <r>
    <n v="45"/>
    <s v="N"/>
    <s v="Y"/>
    <n v="2401981"/>
    <n v="1"/>
    <d v="2012-01-03T00:00:00"/>
    <d v="2012-06-18T00:00:00"/>
    <n v="2401981"/>
    <d v="2012-01-04T00:00:00"/>
    <d v="2012-01-06T00:00:00"/>
    <n v="30000"/>
    <x v="2"/>
    <d v="2012-01-06T00:00:00"/>
    <s v="Y"/>
    <s v="SURETY"/>
    <s v="DISMISSED"/>
    <n v="32"/>
    <n v="168"/>
    <n v="0"/>
    <n v="1"/>
    <m/>
    <m/>
    <m/>
    <m/>
    <m/>
    <m/>
    <m/>
    <m/>
    <m/>
    <d v="1990-09-16T00:00:00"/>
    <s v="M"/>
    <s v="B"/>
    <s v="BLACK"/>
    <s v="NULL"/>
    <s v="337"/>
    <s v="DISMISSED"/>
    <n v="9"/>
    <s v="DISMISSED"/>
    <m/>
    <m/>
    <m/>
    <s v="AGG ASSAULT-FAMILY MEMBER"/>
    <m/>
    <s v="F2"/>
    <s v="ASLT-MURDR"/>
    <m/>
    <s v=" REV 2/21/12REIN"/>
    <m/>
    <m/>
    <s v="Y"/>
    <m/>
    <m/>
    <m/>
    <m/>
    <s v="Public Defender"/>
    <m/>
    <m/>
    <n v="32"/>
    <n v="167"/>
    <n v="168"/>
    <n v="21.254098360655739"/>
    <n v="0"/>
    <n v="-164"/>
    <s v="NO CONVICTION"/>
    <x v="1"/>
    <s v="Y"/>
    <m/>
    <s v="NO CONVICTION"/>
    <s v="Y"/>
    <x v="1"/>
    <x v="0"/>
    <s v="N"/>
    <n v="0.19047619047619047"/>
    <n v="1.7964071856287425E-2"/>
    <n v="-0.17251211861990304"/>
    <n v="0"/>
    <n v="-3"/>
    <n v="29"/>
    <n v="3"/>
    <n v="32"/>
    <m/>
    <n v="164"/>
    <m/>
    <m/>
    <s v="Y"/>
    <m/>
    <s v="31-60 DAYS"/>
    <n v="3"/>
    <x v="0"/>
  </r>
  <r>
    <n v="3186"/>
    <s v="N"/>
    <s v="N"/>
    <n v="2402975"/>
    <n v="1"/>
    <d v="2012-04-27T00:00:00"/>
    <d v="2012-05-01T00:00:00"/>
    <n v="2402975"/>
    <d v="2012-04-27T00:00:00"/>
    <d v="2012-05-01T00:00:00"/>
    <n v="2000"/>
    <x v="5"/>
    <m/>
    <s v="N"/>
    <s v="NONE"/>
    <s v="DISMISSED"/>
    <n v="5"/>
    <n v="5"/>
    <n v="0"/>
    <n v="2"/>
    <m/>
    <m/>
    <m/>
    <m/>
    <m/>
    <m/>
    <m/>
    <m/>
    <m/>
    <d v="1991-07-10T00:00:00"/>
    <s v="F"/>
    <s v="B"/>
    <s v="BLACK"/>
    <s v="NON-HISPANIC"/>
    <s v="263"/>
    <s v="DISMISSED"/>
    <n v="2"/>
    <s v="DISMISSED"/>
    <m/>
    <m/>
    <m/>
    <s v="POSS CS PG 1 &lt;1G"/>
    <m/>
    <s v="FS"/>
    <s v="POSS DRUG"/>
    <m/>
    <m/>
    <m/>
    <m/>
    <m/>
    <m/>
    <m/>
    <m/>
    <m/>
    <s v="Appointed Attorney"/>
    <m/>
    <m/>
    <n v="5"/>
    <n v="5"/>
    <n v="5"/>
    <n v="20.756830601092897"/>
    <n v="0"/>
    <n v="0"/>
    <s v="NO CONVICTION"/>
    <x v="0"/>
    <s v="N"/>
    <m/>
    <s v="NO CONVICTION"/>
    <s v="Y"/>
    <x v="0"/>
    <x v="0"/>
    <s v="N"/>
    <n v="1"/>
    <n v="1"/>
    <n v="0"/>
    <n v="0"/>
    <n v="-5"/>
    <n v="0"/>
    <n v="5"/>
    <e v="#VALUE!"/>
    <n v="5"/>
    <n v="0"/>
    <m/>
    <m/>
    <s v="Y"/>
    <m/>
    <s v="0-10 DAYS"/>
    <n v="1"/>
    <x v="0"/>
  </r>
  <r>
    <n v="2142"/>
    <s v="Y"/>
    <s v="N"/>
    <n v="2403118"/>
    <n v="2"/>
    <d v="2012-03-21T00:00:00"/>
    <d v="2012-07-03T00:00:00"/>
    <n v="2403118"/>
    <d v="2012-03-22T00:00:00"/>
    <d v="2012-07-03T00:00:00"/>
    <n v="30000"/>
    <x v="2"/>
    <m/>
    <s v="N"/>
    <s v="NONE"/>
    <s v="DEFERRED ADJUDICATION "/>
    <n v="104"/>
    <n v="105"/>
    <n v="0"/>
    <n v="3"/>
    <m/>
    <m/>
    <m/>
    <m/>
    <m/>
    <m/>
    <m/>
    <s v="S"/>
    <m/>
    <d v="1991-07-19T00:00:00"/>
    <s v="M"/>
    <s v="H"/>
    <s v="HISPANIC"/>
    <s v="NULL"/>
    <s v="185"/>
    <s v="DEFERRED"/>
    <n v="8"/>
    <s v="DEFERRED"/>
    <m/>
    <m/>
    <m/>
    <s v="AGG ASSAULT W/DEADLY WEAPON"/>
    <m/>
    <s v="F2"/>
    <s v="ASLT-MURDR"/>
    <m/>
    <m/>
    <m/>
    <m/>
    <m/>
    <m/>
    <m/>
    <m/>
    <m/>
    <s v="Appointed Attorney"/>
    <s v="5/24/13 law v tdc 4 y"/>
    <m/>
    <n v="104"/>
    <n v="104"/>
    <n v="105"/>
    <n v="20.631147540983605"/>
    <n v="0"/>
    <n v="0"/>
    <s v="DEFERRED"/>
    <x v="0"/>
    <s v="N"/>
    <m/>
    <s v="DEFERRED"/>
    <s v="Y"/>
    <x v="0"/>
    <x v="0"/>
    <s v="N"/>
    <n v="0.99047619047619051"/>
    <n v="1"/>
    <n v="9.52380952380949E-3"/>
    <n v="0"/>
    <n v="-104"/>
    <n v="0"/>
    <n v="104"/>
    <e v="#VALUE!"/>
    <n v="104"/>
    <n v="0"/>
    <m/>
    <m/>
    <s v="Y"/>
    <m/>
    <s v="91-120 DAYS"/>
    <n v="0"/>
    <x v="0"/>
  </r>
  <r>
    <n v="432"/>
    <s v="N"/>
    <s v="N"/>
    <n v="2403160"/>
    <n v="6"/>
    <d v="2012-01-13T00:00:00"/>
    <d v="2012-01-26T00:00:00"/>
    <n v="2403160"/>
    <d v="2012-01-19T00:00:00"/>
    <d v="2012-01-26T00:00:00"/>
    <s v="NO BOND"/>
    <x v="1"/>
    <m/>
    <s v="N"/>
    <s v="NONE"/>
    <s v="GUILTY PLEA - NO JURY"/>
    <n v="8"/>
    <n v="14"/>
    <n v="1"/>
    <n v="1"/>
    <m/>
    <n v="1"/>
    <m/>
    <m/>
    <m/>
    <m/>
    <m/>
    <m/>
    <m/>
    <d v="1987-03-26T00:00:00"/>
    <s v="M"/>
    <s v="B"/>
    <s v="BLACK"/>
    <s v="NULL"/>
    <s v="351"/>
    <s v="CONVICTED"/>
    <n v="3"/>
    <s v="TDC"/>
    <n v="3"/>
    <m/>
    <m/>
    <s v="POSS CS PG 1  1 - 4 GRAMS"/>
    <m/>
    <s v="F3"/>
    <s v="POSS DRUG"/>
    <m/>
    <m/>
    <m/>
    <m/>
    <m/>
    <m/>
    <m/>
    <m/>
    <m/>
    <s v="Public Defender"/>
    <m/>
    <m/>
    <n v="8"/>
    <n v="8"/>
    <n v="14"/>
    <n v="24.751366120218581"/>
    <n v="0"/>
    <n v="0"/>
    <s v="CONVICTION"/>
    <x v="0"/>
    <s v="N"/>
    <m/>
    <s v="CONVICTION"/>
    <s v="Y"/>
    <x v="0"/>
    <x v="0"/>
    <s v="Y"/>
    <n v="0.5714285714285714"/>
    <n v="1"/>
    <n v="0.4285714285714286"/>
    <n v="0"/>
    <n v="-8"/>
    <n v="0"/>
    <n v="8"/>
    <e v="#VALUE!"/>
    <n v="8"/>
    <n v="0"/>
    <m/>
    <m/>
    <s v="Y"/>
    <m/>
    <s v="0-10 DAYS"/>
    <n v="1"/>
    <x v="0"/>
  </r>
  <r>
    <n v="2584"/>
    <s v="N"/>
    <s v="N"/>
    <n v="2403515"/>
    <n v="2"/>
    <d v="2012-04-06T00:00:00"/>
    <d v="2012-09-12T00:00:00"/>
    <n v="2403515"/>
    <d v="2012-04-06T00:00:00"/>
    <d v="2012-04-07T00:00:00"/>
    <n v="2000"/>
    <x v="5"/>
    <d v="2012-04-07T00:00:00"/>
    <s v="Y"/>
    <s v="SURETY"/>
    <s v="DEFERRED ADJUDICATION "/>
    <n v="2"/>
    <n v="160"/>
    <n v="0"/>
    <n v="0"/>
    <m/>
    <m/>
    <m/>
    <m/>
    <m/>
    <m/>
    <m/>
    <m/>
    <m/>
    <d v="1968-11-03T00:00:00"/>
    <s v="F"/>
    <s v="B"/>
    <s v="BLACK"/>
    <s v="NULL"/>
    <s v="351"/>
    <s v="DEFERRED"/>
    <n v="7"/>
    <s v="DEFERRED"/>
    <m/>
    <m/>
    <m/>
    <s v="FORGERY"/>
    <m/>
    <s v="FS"/>
    <s v="OTHER FEL"/>
    <m/>
    <m/>
    <m/>
    <m/>
    <m/>
    <m/>
    <m/>
    <m/>
    <m/>
    <s v="Appointed Attorney"/>
    <m/>
    <m/>
    <n v="2"/>
    <n v="160"/>
    <n v="160"/>
    <n v="43.333333333333336"/>
    <n v="0"/>
    <n v="-158"/>
    <s v="DEFERRED"/>
    <x v="1"/>
    <s v="Y"/>
    <m/>
    <s v="DEFERRED"/>
    <s v="Y"/>
    <x v="1"/>
    <x v="0"/>
    <s v="N"/>
    <n v="1.2500000000000001E-2"/>
    <n v="1.2500000000000001E-2"/>
    <n v="0"/>
    <n v="0"/>
    <n v="-2"/>
    <n v="0"/>
    <n v="2"/>
    <e v="#VALUE!"/>
    <n v="2"/>
    <n v="0"/>
    <m/>
    <m/>
    <s v="N"/>
    <m/>
    <s v="0-10 DAYS"/>
    <n v="1"/>
    <x v="0"/>
  </r>
  <r>
    <n v="3154"/>
    <s v="N"/>
    <s v="N"/>
    <n v="2404140"/>
    <n v="1"/>
    <d v="2012-04-26T00:00:00"/>
    <d v="2012-05-29T00:00:00"/>
    <n v="2404140"/>
    <d v="2012-04-26T00:00:00"/>
    <d v="2012-05-29T00:00:00"/>
    <s v="NO BOND"/>
    <x v="1"/>
    <m/>
    <s v="N"/>
    <s v="NONE"/>
    <s v="DISMISSED"/>
    <n v="34"/>
    <n v="34"/>
    <n v="0"/>
    <n v="10"/>
    <m/>
    <m/>
    <m/>
    <m/>
    <m/>
    <m/>
    <m/>
    <m/>
    <m/>
    <d v="1978-03-22T00:00:00"/>
    <s v="F"/>
    <s v="B"/>
    <s v="BLACK"/>
    <s v="NON-HISPANIC"/>
    <s v="339"/>
    <s v="DISMISSED"/>
    <n v="4"/>
    <s v="DISMISSED"/>
    <m/>
    <m/>
    <m/>
    <s v="POSS CS PG 1 &lt;1G"/>
    <m/>
    <s v="FS"/>
    <s v="POSS DRUG"/>
    <s v="8/16/12 tressp 30 days hcj"/>
    <m/>
    <m/>
    <m/>
    <m/>
    <m/>
    <m/>
    <m/>
    <m/>
    <s v="Appointed Attorney"/>
    <m/>
    <m/>
    <n v="34"/>
    <n v="34"/>
    <n v="34"/>
    <n v="34.027322404371581"/>
    <n v="0"/>
    <n v="0"/>
    <s v="NO CONVICTION"/>
    <x v="0"/>
    <s v="N"/>
    <m/>
    <s v="NO CONVICTION"/>
    <s v="Y"/>
    <x v="0"/>
    <x v="0"/>
    <s v="N"/>
    <n v="1"/>
    <n v="1"/>
    <n v="0"/>
    <n v="0"/>
    <n v="-34"/>
    <n v="0"/>
    <n v="34"/>
    <e v="#VALUE!"/>
    <n v="34"/>
    <n v="0"/>
    <m/>
    <m/>
    <s v="Y"/>
    <m/>
    <s v="31-60 DAYS"/>
    <n v="3"/>
    <x v="0"/>
  </r>
  <r>
    <n v="2201"/>
    <s v="N"/>
    <s v="N"/>
    <n v="2404210"/>
    <n v="6"/>
    <d v="2012-03-23T00:00:00"/>
    <d v="2013-03-04T00:00:00"/>
    <n v="2404210"/>
    <d v="2012-03-28T00:00:00"/>
    <d v="2013-03-04T00:00:00"/>
    <s v="NO BOND"/>
    <x v="1"/>
    <m/>
    <s v="N"/>
    <s v="NONE"/>
    <s v="GUILTY PLEA - NO JURY"/>
    <n v="342"/>
    <n v="347"/>
    <n v="0"/>
    <n v="0"/>
    <m/>
    <m/>
    <m/>
    <m/>
    <m/>
    <m/>
    <m/>
    <m/>
    <m/>
    <d v="1989-06-06T00:00:00"/>
    <s v="M"/>
    <s v="H"/>
    <s v="HISPANIC"/>
    <s v="HISPANIC"/>
    <s v="337"/>
    <s v="CONVICTED"/>
    <n v="14"/>
    <s v="TDC"/>
    <n v="11"/>
    <m/>
    <m/>
    <s v="AGG SEX ASSAULT"/>
    <m/>
    <s v="F1"/>
    <s v="RAPE"/>
    <m/>
    <m/>
    <m/>
    <m/>
    <m/>
    <m/>
    <m/>
    <m/>
    <m/>
    <s v="Appointed Attorney"/>
    <m/>
    <m/>
    <n v="342"/>
    <n v="342"/>
    <n v="347"/>
    <n v="22.748633879781419"/>
    <n v="0"/>
    <n v="0"/>
    <s v="CONVICTION"/>
    <x v="0"/>
    <s v="N"/>
    <m/>
    <s v="CONVICTION"/>
    <s v="Y"/>
    <x v="0"/>
    <x v="0"/>
    <s v="N"/>
    <n v="0.98559077809798268"/>
    <n v="1"/>
    <n v="1.4409221902017322E-2"/>
    <n v="0"/>
    <n v="-342"/>
    <n v="0"/>
    <n v="342"/>
    <e v="#VALUE!"/>
    <n v="342"/>
    <n v="0"/>
    <m/>
    <m/>
    <s v="N"/>
    <m/>
    <s v="121-365 DAYS"/>
    <n v="6"/>
    <x v="0"/>
  </r>
  <r>
    <n v="2541"/>
    <s v="N"/>
    <s v="N"/>
    <n v="2404666"/>
    <n v="1"/>
    <d v="2012-04-05T00:00:00"/>
    <d v="2013-10-08T00:00:00"/>
    <n v="2404666"/>
    <s v="NOT BOOKED"/>
    <s v="NOT BOOKED"/>
    <n v="2000"/>
    <x v="5"/>
    <d v="2012-04-06T00:00:00"/>
    <s v="Y"/>
    <s v="SURETY"/>
    <s v="DISMISSED"/>
    <n v="0"/>
    <n v="552"/>
    <n v="0"/>
    <n v="1"/>
    <m/>
    <m/>
    <m/>
    <m/>
    <m/>
    <m/>
    <m/>
    <m/>
    <m/>
    <d v="1988-02-10T00:00:00"/>
    <s v="M"/>
    <s v="A"/>
    <s v="OTHER"/>
    <s v="NULL"/>
    <s v="338"/>
    <s v="NULL"/>
    <n v="16"/>
    <s v="DISMISSED"/>
    <m/>
    <m/>
    <m/>
    <s v="THEFT $1500-20K"/>
    <m/>
    <s v="FS"/>
    <s v="THEFT"/>
    <m/>
    <m/>
    <m/>
    <m/>
    <m/>
    <m/>
    <m/>
    <m/>
    <m/>
    <s v="Hired Attorney"/>
    <m/>
    <m/>
    <n v="0"/>
    <e v="#VALUE!"/>
    <n v="552"/>
    <n v="24.101092896174862"/>
    <e v="#VALUE!"/>
    <e v="#VALUE!"/>
    <s v="NO CONVICTION"/>
    <x v="1"/>
    <s v="Y"/>
    <m/>
    <s v=""/>
    <n v="0"/>
    <x v="1"/>
    <x v="0"/>
    <s v="N"/>
    <n v="0"/>
    <n v="0"/>
    <n v="0"/>
    <n v="0"/>
    <e v="#VALUE!"/>
    <e v="#VALUE!"/>
    <e v="#VALUE!"/>
    <s v="NOT BOOKED"/>
    <n v="0"/>
    <n v="0"/>
    <m/>
    <m/>
    <s v="Y"/>
    <m/>
    <s v="0-10 DAYS"/>
    <n v="1"/>
    <x v="1"/>
  </r>
  <r>
    <n v="348"/>
    <s v="N"/>
    <s v="N"/>
    <n v="2405021"/>
    <n v="5"/>
    <d v="2012-01-14T00:00:00"/>
    <d v="2012-03-19T00:00:00"/>
    <n v="2405021"/>
    <d v="2012-01-15T00:00:00"/>
    <d v="2012-03-19T00:00:00"/>
    <n v="10000"/>
    <x v="3"/>
    <m/>
    <s v="N"/>
    <s v="NONE"/>
    <s v="GUILTY PLEA - NO JURY"/>
    <n v="65"/>
    <n v="66"/>
    <n v="3"/>
    <n v="4"/>
    <n v="1"/>
    <m/>
    <m/>
    <m/>
    <m/>
    <m/>
    <m/>
    <m/>
    <m/>
    <d v="1990-06-16T00:00:00"/>
    <s v="M"/>
    <s v="B"/>
    <s v="BLACK"/>
    <s v="NULL"/>
    <s v="263"/>
    <s v="CONVICTED"/>
    <n v="4"/>
    <s v="STJ"/>
    <m/>
    <n v="6"/>
    <m/>
    <s v="THEFT FROM PERSON"/>
    <m/>
    <s v="FS"/>
    <s v="THEFT"/>
    <m/>
    <m/>
    <m/>
    <m/>
    <m/>
    <m/>
    <m/>
    <m/>
    <m/>
    <s v="Appointed Attorney"/>
    <m/>
    <m/>
    <n v="65"/>
    <n v="65"/>
    <n v="66"/>
    <n v="21.535519125683059"/>
    <n v="0"/>
    <n v="0"/>
    <s v="CONVICTION"/>
    <x v="0"/>
    <s v="N"/>
    <m/>
    <s v="CONVICTION"/>
    <s v="Y"/>
    <x v="0"/>
    <x v="0"/>
    <s v="Y"/>
    <n v="0.98484848484848486"/>
    <n v="1"/>
    <n v="1.5151515151515138E-2"/>
    <n v="0"/>
    <n v="-65"/>
    <n v="0"/>
    <n v="65"/>
    <e v="#VALUE!"/>
    <n v="65"/>
    <n v="0"/>
    <m/>
    <m/>
    <s v="Y"/>
    <m/>
    <s v="61-90 DAYS"/>
    <n v="4"/>
    <x v="0"/>
  </r>
  <r>
    <n v="1948"/>
    <s v="N"/>
    <s v="N"/>
    <n v="2405200"/>
    <n v="2"/>
    <d v="2012-03-14T00:00:00"/>
    <d v="2012-08-07T00:00:00"/>
    <n v="2405200"/>
    <d v="2012-03-14T00:00:00"/>
    <d v="2012-03-31T00:00:00"/>
    <n v="10000"/>
    <x v="3"/>
    <d v="2012-03-31T00:00:00"/>
    <s v="Y"/>
    <s v="SURETY"/>
    <s v="DEFERRED ADJUDICATION "/>
    <n v="18"/>
    <n v="147"/>
    <n v="0"/>
    <n v="0"/>
    <m/>
    <m/>
    <m/>
    <m/>
    <m/>
    <m/>
    <m/>
    <m/>
    <m/>
    <d v="1980-11-11T00:00:00"/>
    <s v="M"/>
    <s v="W"/>
    <s v="WHITE"/>
    <s v="NULL"/>
    <s v="208"/>
    <s v="DEFERRED"/>
    <n v="6"/>
    <s v="DEFERRED"/>
    <m/>
    <m/>
    <m/>
    <s v="AGG ASSAULT W/DEADLY WEAPON"/>
    <m/>
    <s v="F2"/>
    <s v="ASLT-MURDR"/>
    <m/>
    <m/>
    <m/>
    <m/>
    <m/>
    <m/>
    <m/>
    <m/>
    <m/>
    <s v="Hired Attorney"/>
    <m/>
    <m/>
    <n v="18"/>
    <n v="147"/>
    <n v="147"/>
    <n v="31.273224043715846"/>
    <n v="0"/>
    <n v="-129"/>
    <s v="DEFERRED"/>
    <x v="1"/>
    <s v="Y"/>
    <m/>
    <s v="DEFERRED"/>
    <s v="Y"/>
    <x v="1"/>
    <x v="0"/>
    <s v="N"/>
    <n v="0.12244897959183673"/>
    <n v="0.12244897959183673"/>
    <n v="0"/>
    <n v="0"/>
    <n v="-18"/>
    <n v="0"/>
    <n v="18"/>
    <e v="#VALUE!"/>
    <n v="18"/>
    <n v="0"/>
    <m/>
    <m/>
    <s v="N"/>
    <m/>
    <s v="11-30 DAYS"/>
    <n v="2"/>
    <x v="0"/>
  </r>
  <r>
    <n v="3113"/>
    <s v="N"/>
    <s v="N"/>
    <n v="2405848"/>
    <n v="1"/>
    <d v="2012-04-25T00:00:00"/>
    <d v="2012-05-10T00:00:00"/>
    <n v="2405848"/>
    <d v="2012-04-25T00:00:00"/>
    <d v="2012-05-10T00:00:00"/>
    <s v="NO BOND"/>
    <x v="1"/>
    <m/>
    <s v="N"/>
    <s v="NONE"/>
    <s v="DISMISSED"/>
    <n v="16"/>
    <n v="16"/>
    <n v="1"/>
    <n v="1"/>
    <m/>
    <m/>
    <m/>
    <m/>
    <m/>
    <m/>
    <m/>
    <m/>
    <m/>
    <d v="1989-03-24T00:00:00"/>
    <s v="M"/>
    <s v="B"/>
    <s v="BLACK"/>
    <s v="NULL"/>
    <s v="176"/>
    <s v="DISMISSED"/>
    <n v="2"/>
    <s v="DISMISSED"/>
    <m/>
    <m/>
    <m/>
    <s v="POSS CS PG 1 &lt;1G"/>
    <m/>
    <s v="FS"/>
    <s v="POSS DRUG"/>
    <m/>
    <m/>
    <m/>
    <m/>
    <m/>
    <m/>
    <m/>
    <m/>
    <m/>
    <s v="Hired Attorney"/>
    <m/>
    <m/>
    <n v="16"/>
    <n v="16"/>
    <n v="16"/>
    <n v="23.040983606557376"/>
    <n v="0"/>
    <n v="0"/>
    <s v="NO CONVICTION"/>
    <x v="0"/>
    <s v="N"/>
    <m/>
    <s v="NO CONVICTION"/>
    <s v="Y"/>
    <x v="0"/>
    <x v="0"/>
    <s v="Y"/>
    <n v="1"/>
    <n v="1"/>
    <n v="0"/>
    <n v="0"/>
    <n v="-16"/>
    <n v="0"/>
    <n v="16"/>
    <e v="#VALUE!"/>
    <n v="16"/>
    <n v="0"/>
    <m/>
    <m/>
    <s v="Y"/>
    <m/>
    <s v="11-30 DAYS"/>
    <n v="2"/>
    <x v="0"/>
  </r>
  <r>
    <n v="1013"/>
    <s v="N"/>
    <s v="N"/>
    <n v="2405913"/>
    <n v="2"/>
    <d v="2012-02-07T00:00:00"/>
    <d v="2012-06-28T00:00:00"/>
    <n v="2405913"/>
    <d v="2012-02-08T00:00:00"/>
    <d v="2012-02-11T00:00:00"/>
    <n v="30000"/>
    <x v="2"/>
    <d v="2012-02-11T00:00:00"/>
    <s v="Y"/>
    <s v="SURETY"/>
    <s v="DEFERRED ADJUDICATION "/>
    <n v="4"/>
    <n v="143"/>
    <n v="1"/>
    <n v="1"/>
    <m/>
    <m/>
    <m/>
    <m/>
    <m/>
    <m/>
    <m/>
    <m/>
    <m/>
    <d v="1989-08-31T00:00:00"/>
    <s v="M"/>
    <s v="W"/>
    <s v="WHITE"/>
    <s v="NON-HISPANIC"/>
    <s v="208"/>
    <s v="DEFERRED"/>
    <n v="7"/>
    <s v="DEFERRED"/>
    <m/>
    <m/>
    <m/>
    <s v="ASSAULT-BOD INJ-FAMILY MEMBER"/>
    <m/>
    <s v="F3"/>
    <s v="ASLT-MURDR"/>
    <m/>
    <m/>
    <m/>
    <m/>
    <m/>
    <m/>
    <m/>
    <m/>
    <m/>
    <s v="Hired Attorney"/>
    <m/>
    <m/>
    <n v="4"/>
    <n v="142"/>
    <n v="143"/>
    <n v="22.39071038251366"/>
    <n v="0"/>
    <n v="-138"/>
    <s v="DEFERRED"/>
    <x v="1"/>
    <s v="Y"/>
    <m/>
    <s v="DEFERRED"/>
    <s v="Y"/>
    <x v="1"/>
    <x v="0"/>
    <s v="Y"/>
    <n v="2.7972027972027972E-2"/>
    <n v="2.8169014084507043E-2"/>
    <n v="1.9698611247907089E-4"/>
    <n v="0"/>
    <n v="-4"/>
    <n v="0"/>
    <n v="4"/>
    <e v="#VALUE!"/>
    <n v="4"/>
    <n v="0"/>
    <m/>
    <m/>
    <s v="Y"/>
    <m/>
    <s v="0-10 DAYS"/>
    <n v="1"/>
    <x v="0"/>
  </r>
  <r>
    <n v="887"/>
    <s v="N"/>
    <s v="N"/>
    <n v="2406060"/>
    <n v="5"/>
    <d v="2012-02-02T00:00:00"/>
    <d v="2012-09-20T00:00:00"/>
    <n v="2406060"/>
    <d v="2012-02-03T00:00:00"/>
    <d v="2012-09-20T00:00:00"/>
    <n v="50000"/>
    <x v="2"/>
    <m/>
    <s v="N"/>
    <s v="NONE"/>
    <s v="GUILTY PLEA - NO JURY"/>
    <n v="231"/>
    <n v="232"/>
    <n v="3"/>
    <n v="2"/>
    <n v="3"/>
    <m/>
    <m/>
    <m/>
    <m/>
    <m/>
    <m/>
    <s v="S"/>
    <m/>
    <d v="1991-07-05T00:00:00"/>
    <s v="M"/>
    <s v="H"/>
    <s v="HISPANIC"/>
    <s v="NULL"/>
    <s v="337"/>
    <s v="CONVICTED"/>
    <n v="10"/>
    <s v="STJ"/>
    <m/>
    <n v="12"/>
    <m/>
    <s v="AGG ROBBERY-DEADLY WPN"/>
    <m/>
    <s v="F1"/>
    <s v="ROBBERY"/>
    <m/>
    <m/>
    <m/>
    <m/>
    <m/>
    <m/>
    <m/>
    <m/>
    <m/>
    <s v="Hired Attorney"/>
    <m/>
    <m/>
    <n v="231"/>
    <n v="231"/>
    <n v="232"/>
    <n v="20.538251366120218"/>
    <n v="0"/>
    <n v="0"/>
    <s v="CONVICTION"/>
    <x v="0"/>
    <s v="N"/>
    <m/>
    <s v="CONVICTION"/>
    <s v="Y"/>
    <x v="0"/>
    <x v="0"/>
    <s v="Y"/>
    <n v="0.99568965517241381"/>
    <n v="1"/>
    <n v="4.3103448275861878E-3"/>
    <n v="0"/>
    <n v="-231"/>
    <n v="0"/>
    <n v="231"/>
    <e v="#VALUE!"/>
    <n v="231"/>
    <n v="0"/>
    <m/>
    <m/>
    <s v="Y"/>
    <m/>
    <s v="121-365 DAYS"/>
    <n v="6"/>
    <x v="0"/>
  </r>
  <r>
    <n v="1559"/>
    <s v="N"/>
    <s v="N"/>
    <n v="2406109"/>
    <n v="4"/>
    <d v="2012-02-28T00:00:00"/>
    <d v="2013-02-07T00:00:00"/>
    <n v="2406109"/>
    <d v="2012-02-29T00:00:00"/>
    <d v="2013-02-07T00:00:00"/>
    <n v="70000"/>
    <x v="2"/>
    <m/>
    <s v="N"/>
    <s v="NONE"/>
    <s v="GUILTY PLEA - NO JURY"/>
    <n v="345"/>
    <n v="346"/>
    <n v="0"/>
    <n v="1"/>
    <m/>
    <m/>
    <m/>
    <m/>
    <m/>
    <m/>
    <m/>
    <s v="S"/>
    <m/>
    <d v="1973-10-02T00:00:00"/>
    <s v="M"/>
    <s v="H"/>
    <s v="HISPANIC"/>
    <s v="NULL"/>
    <s v="209"/>
    <s v="CONVICTED"/>
    <n v="12"/>
    <s v="HCJ"/>
    <m/>
    <m/>
    <n v="180"/>
    <s v="AGG ASSAULT W/DEADLY WEAPON"/>
    <m/>
    <s v="F2"/>
    <s v="ASLT-MURDR"/>
    <m/>
    <m/>
    <m/>
    <m/>
    <m/>
    <m/>
    <m/>
    <m/>
    <m/>
    <s v="Appointed Attorney"/>
    <m/>
    <m/>
    <n v="345"/>
    <n v="345"/>
    <n v="346"/>
    <n v="38.327868852459019"/>
    <n v="0"/>
    <n v="0"/>
    <s v="CONVICTION"/>
    <x v="0"/>
    <s v="N"/>
    <m/>
    <s v="CONVICTION"/>
    <s v="Y"/>
    <x v="0"/>
    <x v="0"/>
    <s v="N"/>
    <n v="0.99710982658959535"/>
    <n v="1"/>
    <n v="2.8901734104046506E-3"/>
    <n v="0"/>
    <n v="-345"/>
    <n v="0"/>
    <n v="345"/>
    <e v="#VALUE!"/>
    <n v="345"/>
    <n v="0"/>
    <m/>
    <m/>
    <s v="Y"/>
    <m/>
    <s v="121-365 DAYS"/>
    <n v="6"/>
    <x v="0"/>
  </r>
  <r>
    <n v="419"/>
    <s v="N"/>
    <s v="N"/>
    <n v="2406635"/>
    <n v="1"/>
    <d v="2012-01-18T00:00:00"/>
    <d v="2013-02-08T00:00:00"/>
    <n v="2406635"/>
    <d v="2012-01-21T00:00:00"/>
    <d v="2013-02-08T00:00:00"/>
    <n v="120000"/>
    <x v="2"/>
    <m/>
    <s v="N"/>
    <s v="NONE"/>
    <s v="DISMISSED"/>
    <n v="385"/>
    <n v="388"/>
    <n v="1"/>
    <n v="0"/>
    <m/>
    <n v="1"/>
    <m/>
    <m/>
    <m/>
    <m/>
    <m/>
    <s v="S"/>
    <m/>
    <d v="1970-09-04T00:00:00"/>
    <s v="M"/>
    <s v="H"/>
    <s v="HISPANIC"/>
    <s v="NULL"/>
    <s v="176"/>
    <s v="DISMISSED"/>
    <n v="9"/>
    <s v="DISMISSED"/>
    <m/>
    <m/>
    <m/>
    <s v="AGG SEX ASSLT CHILD-UNDER 14"/>
    <m/>
    <s v="F1"/>
    <s v="SEX ABUSE"/>
    <m/>
    <m/>
    <m/>
    <m/>
    <m/>
    <m/>
    <m/>
    <m/>
    <m/>
    <s v="Appointed Attorney"/>
    <m/>
    <m/>
    <n v="385"/>
    <n v="385"/>
    <n v="388"/>
    <n v="41.286885245901637"/>
    <n v="0"/>
    <n v="0"/>
    <s v="NO CONVICTION"/>
    <x v="0"/>
    <s v="N"/>
    <m/>
    <s v="NO CONVICTION"/>
    <s v="Y"/>
    <x v="0"/>
    <x v="0"/>
    <s v="Y"/>
    <n v="0.99226804123711343"/>
    <n v="1"/>
    <n v="7.7319587628865705E-3"/>
    <n v="0"/>
    <n v="-385"/>
    <n v="0"/>
    <n v="385"/>
    <e v="#VALUE!"/>
    <n v="385"/>
    <n v="0"/>
    <m/>
    <m/>
    <s v="Y"/>
    <m/>
    <s v=" &gt;1YRS&lt;2YRS"/>
    <n v="0"/>
    <x v="0"/>
  </r>
  <r>
    <n v="1427"/>
    <s v="N"/>
    <s v="N"/>
    <n v="2406856"/>
    <n v="3"/>
    <d v="2012-02-22T00:00:00"/>
    <d v="2012-02-24T00:00:00"/>
    <n v="2406856"/>
    <d v="2012-02-22T00:00:00"/>
    <d v="2012-02-24T00:00:00"/>
    <n v="10000"/>
    <x v="3"/>
    <m/>
    <s v="N"/>
    <s v="NONE"/>
    <s v="GUILTY PLEA - NO JURY"/>
    <n v="3"/>
    <n v="3"/>
    <n v="0"/>
    <n v="2"/>
    <m/>
    <m/>
    <m/>
    <m/>
    <m/>
    <m/>
    <m/>
    <m/>
    <m/>
    <d v="1986-10-17T00:00:00"/>
    <s v="F"/>
    <s v="W"/>
    <s v="WHITE"/>
    <s v="NON-HISPANIC"/>
    <s v="185"/>
    <s v="CONVICTED"/>
    <n v="1"/>
    <s v="PROBATION"/>
    <m/>
    <m/>
    <m/>
    <s v="DWI 3RD OFFENDER BAC .08"/>
    <m/>
    <s v="F3"/>
    <s v="FEL DWI"/>
    <m/>
    <m/>
    <m/>
    <m/>
    <m/>
    <m/>
    <m/>
    <m/>
    <m/>
    <s v="Appointed Attorney"/>
    <m/>
    <m/>
    <n v="3"/>
    <n v="3"/>
    <n v="3"/>
    <n v="25.297814207650273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3246"/>
    <s v="Y"/>
    <s v="N"/>
    <n v="2407335"/>
    <n v="1"/>
    <d v="2012-04-30T00:00:00"/>
    <d v="2012-05-01T00:00:00"/>
    <n v="2407335"/>
    <d v="2012-04-30T00:00:00"/>
    <d v="2012-05-01T00:00:00"/>
    <s v="NO BOND"/>
    <x v="1"/>
    <m/>
    <s v="N"/>
    <s v="NONE"/>
    <s v="DISMISSED"/>
    <n v="2"/>
    <n v="2"/>
    <n v="1"/>
    <n v="6"/>
    <m/>
    <m/>
    <m/>
    <m/>
    <m/>
    <m/>
    <m/>
    <m/>
    <m/>
    <d v="1991-03-07T00:00:00"/>
    <s v="M"/>
    <s v="H"/>
    <s v="HISPANIC"/>
    <s v="HISPANIC"/>
    <s v="182"/>
    <s v="DISMISSED"/>
    <n v="1"/>
    <s v="DISMISSED"/>
    <m/>
    <m/>
    <m/>
    <s v="ASSAULT-BOD INJ-FAMILY MEMBER"/>
    <m/>
    <s v="F3"/>
    <s v="ASLT-MURDR"/>
    <s v="5/1/12 8/20/12 misd asslt pend"/>
    <m/>
    <m/>
    <m/>
    <m/>
    <m/>
    <m/>
    <m/>
    <m/>
    <s v="Other/Unknown"/>
    <s v="m asaut fam mem 12/20/12 hcj 90d"/>
    <m/>
    <n v="2"/>
    <n v="2"/>
    <n v="2"/>
    <n v="21.106557377049182"/>
    <n v="0"/>
    <n v="0"/>
    <s v="NO CONVICTION"/>
    <x v="0"/>
    <s v="N"/>
    <m/>
    <s v="NO 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205"/>
    <s v="N"/>
    <s v="N"/>
    <n v="2407491"/>
    <n v="2"/>
    <d v="2012-01-10T00:00:00"/>
    <d v="2012-02-17T00:00:00"/>
    <n v="2407491"/>
    <d v="2012-01-10T00:00:00"/>
    <d v="2012-02-17T00:00:00"/>
    <n v="2000"/>
    <x v="5"/>
    <d v="2012-02-17T00:00:00"/>
    <s v="Y"/>
    <s v="SURETY"/>
    <s v="DEFERRED ADJUDICATION "/>
    <n v="39"/>
    <n v="39"/>
    <n v="0"/>
    <n v="4"/>
    <m/>
    <m/>
    <m/>
    <m/>
    <m/>
    <m/>
    <m/>
    <m/>
    <m/>
    <d v="1990-11-01T00:00:00"/>
    <s v="M"/>
    <s v="W"/>
    <s v="WHITE"/>
    <s v="NULL"/>
    <s v="337"/>
    <s v="DEFERRED"/>
    <n v="4"/>
    <s v="DEFERRED"/>
    <m/>
    <m/>
    <m/>
    <s v="POSS CS PG 1  1 - 4 GRAMS"/>
    <m/>
    <s v="F3"/>
    <s v="POSS DRUG"/>
    <m/>
    <m/>
    <m/>
    <m/>
    <m/>
    <m/>
    <m/>
    <m/>
    <m/>
    <s v="Hired Attorney"/>
    <m/>
    <m/>
    <n v="39"/>
    <n v="39"/>
    <n v="39"/>
    <n v="21.147540983606557"/>
    <n v="0"/>
    <n v="0"/>
    <s v="DEFERRED"/>
    <x v="1"/>
    <s v="Y"/>
    <m/>
    <s v="DEFERRED"/>
    <s v="Y"/>
    <x v="1"/>
    <x v="0"/>
    <s v="N"/>
    <n v="1"/>
    <n v="1"/>
    <n v="0"/>
    <n v="0"/>
    <n v="-39"/>
    <n v="0"/>
    <n v="39"/>
    <e v="#VALUE!"/>
    <n v="39"/>
    <n v="0"/>
    <m/>
    <m/>
    <s v="Y"/>
    <m/>
    <s v="31-60 DAYS"/>
    <n v="3"/>
    <x v="0"/>
  </r>
  <r>
    <n v="2831"/>
    <s v="N"/>
    <s v="N"/>
    <n v="2407553"/>
    <n v="5"/>
    <d v="2012-04-14T00:00:00"/>
    <d v="2012-08-07T00:00:00"/>
    <n v="2407553"/>
    <d v="2012-04-14T00:00:00"/>
    <d v="2012-04-15T00:00:00"/>
    <n v="5000"/>
    <x v="4"/>
    <d v="2012-04-15T00:00:00"/>
    <s v="Y"/>
    <s v="SURETY"/>
    <s v="GUILTY PLEA - NO JURY"/>
    <n v="2"/>
    <n v="116"/>
    <n v="0"/>
    <n v="2"/>
    <m/>
    <m/>
    <m/>
    <m/>
    <m/>
    <m/>
    <m/>
    <m/>
    <m/>
    <d v="1990-09-04T00:00:00"/>
    <s v="M"/>
    <s v="B"/>
    <s v="BLACK"/>
    <s v="NULL"/>
    <s v="248"/>
    <s v="CONVICTED"/>
    <n v="6"/>
    <s v="STJ"/>
    <m/>
    <n v="6"/>
    <m/>
    <s v="POSS CS PG 1 &lt;1G"/>
    <m/>
    <s v="FS"/>
    <s v="POSS DRUG"/>
    <m/>
    <m/>
    <m/>
    <m/>
    <m/>
    <m/>
    <m/>
    <m/>
    <m/>
    <s v="Hired Attorney"/>
    <m/>
    <m/>
    <n v="2"/>
    <n v="116"/>
    <n v="116"/>
    <n v="21.565573770491802"/>
    <n v="0"/>
    <n v="-114"/>
    <s v="CONVICTION"/>
    <x v="1"/>
    <s v="Y"/>
    <m/>
    <s v="CONVICTION"/>
    <s v="Y"/>
    <x v="1"/>
    <x v="0"/>
    <s v="N"/>
    <n v="1.7241379310344827E-2"/>
    <n v="1.7241379310344827E-2"/>
    <n v="0"/>
    <n v="0"/>
    <n v="-2"/>
    <n v="0"/>
    <n v="2"/>
    <e v="#VALUE!"/>
    <n v="2"/>
    <n v="0"/>
    <m/>
    <m/>
    <s v="Y"/>
    <m/>
    <s v="0-10 DAYS"/>
    <n v="1"/>
    <x v="0"/>
  </r>
  <r>
    <n v="99"/>
    <s v="N"/>
    <s v="N"/>
    <n v="2408271"/>
    <n v="5"/>
    <d v="2012-01-05T00:00:00"/>
    <d v="2012-01-09T00:00:00"/>
    <n v="2408271"/>
    <d v="2012-01-06T00:00:00"/>
    <d v="2012-01-09T00:00:00"/>
    <n v="10000"/>
    <x v="3"/>
    <m/>
    <s v="N"/>
    <s v="NONE"/>
    <s v="DEFENDANT CONVICTED ON ANOTHER CHARGE"/>
    <n v="4"/>
    <n v="5"/>
    <n v="1"/>
    <n v="0"/>
    <m/>
    <m/>
    <m/>
    <m/>
    <m/>
    <m/>
    <m/>
    <m/>
    <m/>
    <d v="1988-11-03T00:00:00"/>
    <s v="M"/>
    <s v="W"/>
    <s v="WHITE"/>
    <s v="NULL"/>
    <s v="248"/>
    <s v="CONVICTED"/>
    <n v="1"/>
    <s v="STJ"/>
    <m/>
    <n v="10"/>
    <m/>
    <s v="POSS CS PG 1 &lt;1G"/>
    <m/>
    <s v="FS"/>
    <s v="POSS DRUG"/>
    <m/>
    <m/>
    <m/>
    <m/>
    <m/>
    <m/>
    <m/>
    <m/>
    <m/>
    <s v="Appointed Attorney"/>
    <m/>
    <m/>
    <n v="4"/>
    <n v="4"/>
    <n v="5"/>
    <n v="23.122950819672131"/>
    <n v="0"/>
    <n v="0"/>
    <s v="CONVICTION"/>
    <x v="0"/>
    <s v="N"/>
    <m/>
    <s v="CONVICTION"/>
    <s v="Y"/>
    <x v="0"/>
    <x v="0"/>
    <s v="Y"/>
    <n v="0.8"/>
    <n v="1"/>
    <n v="0.19999999999999996"/>
    <n v="0"/>
    <n v="-4"/>
    <n v="0"/>
    <n v="4"/>
    <e v="#VALUE!"/>
    <n v="4"/>
    <n v="0"/>
    <m/>
    <m/>
    <s v="Y"/>
    <m/>
    <s v="0-10 DAYS"/>
    <n v="1"/>
    <x v="0"/>
  </r>
  <r>
    <n v="317"/>
    <s v="N"/>
    <s v="N"/>
    <n v="2409699"/>
    <n v="3"/>
    <d v="2012-01-13T00:00:00"/>
    <d v="2013-03-21T00:00:00"/>
    <n v="2409699"/>
    <d v="2012-02-29T00:00:00"/>
    <d v="2012-03-04T00:00:00"/>
    <n v="15000"/>
    <x v="0"/>
    <d v="2012-03-04T00:00:00"/>
    <s v="Y"/>
    <s v="SURETY"/>
    <s v="GUILTY PLEA - NO JURY"/>
    <n v="5"/>
    <n v="434"/>
    <n v="2"/>
    <n v="0"/>
    <n v="2"/>
    <m/>
    <m/>
    <m/>
    <m/>
    <m/>
    <m/>
    <m/>
    <m/>
    <d v="1990-07-25T00:00:00"/>
    <s v="M"/>
    <s v="B"/>
    <s v="BLACK"/>
    <s v="NON-HISPANIC"/>
    <s v="209"/>
    <s v="CONVICTED"/>
    <n v="17"/>
    <s v="PROBATION"/>
    <m/>
    <m/>
    <m/>
    <s v="THEFT $1500-20K"/>
    <m/>
    <s v="FS"/>
    <s v="THEFT"/>
    <m/>
    <m/>
    <m/>
    <m/>
    <m/>
    <m/>
    <m/>
    <m/>
    <m/>
    <s v="Hired Attorney"/>
    <m/>
    <m/>
    <n v="5"/>
    <n v="387"/>
    <n v="434"/>
    <n v="21.42622950819672"/>
    <n v="0"/>
    <n v="-382"/>
    <s v="CONVICTION"/>
    <x v="1"/>
    <s v="Y"/>
    <m/>
    <s v="CONVICTION"/>
    <s v="Y"/>
    <x v="1"/>
    <x v="0"/>
    <s v="Y"/>
    <n v="1.1520737327188941E-2"/>
    <n v="1.2919896640826873E-2"/>
    <n v="1.3991593136379321E-3"/>
    <n v="0"/>
    <n v="-5"/>
    <n v="0"/>
    <n v="5"/>
    <e v="#VALUE!"/>
    <n v="5"/>
    <n v="0"/>
    <m/>
    <m/>
    <s v="Y"/>
    <m/>
    <s v="0-10 DAYS"/>
    <n v="1"/>
    <x v="0"/>
  </r>
  <r>
    <n v="1451"/>
    <s v="N"/>
    <s v="N"/>
    <n v="2410662"/>
    <n v="5"/>
    <d v="2012-02-23T00:00:00"/>
    <d v="2012-04-18T00:00:00"/>
    <n v="2410662"/>
    <d v="2012-03-12T00:00:00"/>
    <d v="2012-04-18T00:00:00"/>
    <n v="5000"/>
    <x v="4"/>
    <m/>
    <s v="N"/>
    <s v="NONE"/>
    <s v="GUILTY PLEA - NO JURY"/>
    <n v="38"/>
    <n v="56"/>
    <n v="1"/>
    <n v="3"/>
    <m/>
    <m/>
    <m/>
    <m/>
    <m/>
    <m/>
    <m/>
    <m/>
    <m/>
    <d v="1987-08-11T00:00:00"/>
    <s v="M"/>
    <s v="W"/>
    <s v="WHITE"/>
    <s v="NON-HISPANIC"/>
    <s v="338"/>
    <s v="CONVICTED"/>
    <n v="4"/>
    <s v="STJ"/>
    <m/>
    <n v="8"/>
    <m/>
    <s v="THEFT UNDER $1500 - 3RD OFF."/>
    <m/>
    <s v="FS"/>
    <s v="THEFT"/>
    <s v="fel theft conv 4/18/12  st j 8 mos same date as study case"/>
    <m/>
    <m/>
    <m/>
    <m/>
    <m/>
    <m/>
    <m/>
    <m/>
    <s v="Appointed Attorney"/>
    <m/>
    <m/>
    <n v="38"/>
    <n v="38"/>
    <n v="56"/>
    <n v="24.486338797814209"/>
    <n v="0"/>
    <n v="0"/>
    <s v="CONVICTION"/>
    <x v="0"/>
    <s v="N"/>
    <m/>
    <s v="CONVICTION"/>
    <s v="Y"/>
    <x v="0"/>
    <x v="0"/>
    <s v="Y"/>
    <n v="0.6785714285714286"/>
    <n v="1"/>
    <n v="0.3214285714285714"/>
    <n v="0"/>
    <n v="-38"/>
    <n v="0"/>
    <n v="38"/>
    <e v="#VALUE!"/>
    <n v="38"/>
    <n v="0"/>
    <m/>
    <m/>
    <s v="Y"/>
    <m/>
    <s v="31-60 DAYS"/>
    <n v="3"/>
    <x v="0"/>
  </r>
  <r>
    <n v="412"/>
    <s v="N"/>
    <s v="N"/>
    <n v="2411591"/>
    <n v="6"/>
    <d v="2012-01-18T00:00:00"/>
    <d v="2012-02-13T00:00:00"/>
    <n v="2411591"/>
    <d v="2012-01-18T00:00:00"/>
    <d v="2012-02-13T00:00:00"/>
    <n v="5000"/>
    <x v="4"/>
    <m/>
    <s v="N"/>
    <s v="NONE"/>
    <s v="GUILTY PLEA - NO JURY"/>
    <n v="27"/>
    <n v="27"/>
    <n v="1"/>
    <n v="1"/>
    <n v="2"/>
    <m/>
    <m/>
    <m/>
    <m/>
    <m/>
    <m/>
    <m/>
    <m/>
    <d v="1983-01-20T00:00:00"/>
    <s v="M"/>
    <s v="B"/>
    <s v="BLACK"/>
    <s v="NON-HISPANIC"/>
    <s v="184"/>
    <s v="CONVICTED"/>
    <n v="2"/>
    <s v="TDC"/>
    <n v="2"/>
    <m/>
    <m/>
    <s v="FELON POSS WPN"/>
    <m/>
    <s v="F3"/>
    <s v="OTHER FEL"/>
    <m/>
    <m/>
    <m/>
    <m/>
    <m/>
    <m/>
    <m/>
    <m/>
    <m/>
    <s v="Appointed Attorney"/>
    <m/>
    <m/>
    <n v="27"/>
    <n v="27"/>
    <n v="27"/>
    <n v="28.934426229508198"/>
    <n v="0"/>
    <n v="0"/>
    <s v="CONVICTION"/>
    <x v="0"/>
    <s v="N"/>
    <m/>
    <s v="CONVICTION"/>
    <s v="Y"/>
    <x v="0"/>
    <x v="0"/>
    <s v="Y"/>
    <n v="1"/>
    <n v="1"/>
    <n v="0"/>
    <n v="0"/>
    <n v="-27"/>
    <n v="0"/>
    <n v="27"/>
    <e v="#VALUE!"/>
    <n v="27"/>
    <n v="0"/>
    <m/>
    <m/>
    <s v="Y"/>
    <m/>
    <s v="11-30 DAYS"/>
    <n v="2"/>
    <x v="0"/>
  </r>
  <r>
    <n v="1417"/>
    <s v="N"/>
    <s v="N"/>
    <n v="2411621"/>
    <n v="3"/>
    <d v="2012-02-22T00:00:00"/>
    <d v="2012-08-03T00:00:00"/>
    <n v="2411621"/>
    <d v="2012-02-22T00:00:00"/>
    <d v="2012-02-24T00:00:00"/>
    <n v="10000"/>
    <x v="3"/>
    <d v="2012-02-24T00:00:00"/>
    <s v="Y"/>
    <s v="SURETYPTRc"/>
    <s v="GUILTY PLEA - NO JURY"/>
    <n v="3"/>
    <n v="164"/>
    <n v="0"/>
    <n v="1"/>
    <m/>
    <m/>
    <m/>
    <m/>
    <m/>
    <m/>
    <m/>
    <m/>
    <m/>
    <d v="1973-01-09T00:00:00"/>
    <s v="M"/>
    <s v="W"/>
    <s v="WHITE"/>
    <s v="NULL"/>
    <s v="263"/>
    <s v="CONVICTED"/>
    <n v="7"/>
    <s v="PROBATION"/>
    <m/>
    <m/>
    <m/>
    <s v="DWI 3RD OFFENDER BAC .08"/>
    <m/>
    <s v="F3"/>
    <s v="FEL DWI"/>
    <m/>
    <m/>
    <m/>
    <m/>
    <m/>
    <m/>
    <m/>
    <m/>
    <m/>
    <s v="Hired Attorney"/>
    <m/>
    <m/>
    <n v="3"/>
    <n v="164"/>
    <n v="164"/>
    <n v="39.038251366120221"/>
    <n v="0"/>
    <n v="-161"/>
    <s v="CONVICTION"/>
    <x v="1"/>
    <s v="Y"/>
    <m/>
    <s v="CONVICTION"/>
    <s v="Y"/>
    <x v="1"/>
    <x v="0"/>
    <s v="N"/>
    <n v="1.8292682926829267E-2"/>
    <n v="1.8292682926829267E-2"/>
    <n v="0"/>
    <n v="0"/>
    <n v="-3"/>
    <n v="0"/>
    <n v="3"/>
    <e v="#VALUE!"/>
    <n v="3"/>
    <n v="0"/>
    <m/>
    <m/>
    <s v="Y"/>
    <m/>
    <s v="0-10 DAYS"/>
    <n v="1"/>
    <x v="0"/>
  </r>
  <r>
    <n v="1227"/>
    <s v="Y"/>
    <s v="Y"/>
    <n v="2412176"/>
    <n v="2"/>
    <d v="2012-02-14T00:00:00"/>
    <d v="2012-03-12T00:00:00"/>
    <n v="2412176"/>
    <d v="2012-02-15T00:00:00"/>
    <d v="2012-02-16T00:00:00"/>
    <n v="2000"/>
    <x v="5"/>
    <d v="2012-02-16T00:00:00"/>
    <s v="Y"/>
    <s v="SURETY"/>
    <s v="DEFERRED ADJUDICATION "/>
    <n v="4"/>
    <n v="28"/>
    <n v="0"/>
    <n v="2"/>
    <m/>
    <m/>
    <m/>
    <m/>
    <m/>
    <m/>
    <m/>
    <m/>
    <m/>
    <d v="1991-03-24T00:00:00"/>
    <s v="M"/>
    <s v="W"/>
    <s v="WHITE"/>
    <s v="NULL"/>
    <s v="263"/>
    <s v="DEFERRED"/>
    <n v="4"/>
    <s v="DEFERRED"/>
    <m/>
    <m/>
    <m/>
    <s v="POSS CS PG 1 &lt;1G"/>
    <m/>
    <s v="FS"/>
    <s v="POSS DRUG"/>
    <s v=" bk 3/9/12 law vio stj 7 mos 11/13/12"/>
    <s v=" bk 3/9/12 law vio 5/10/12  bk 5/11/12 pend rev motion"/>
    <s v="Y"/>
    <s v=" bf 3/8/2012"/>
    <m/>
    <m/>
    <m/>
    <d v="2012-05-03T00:00:00"/>
    <n v="323"/>
    <s v="Appointed Attorney"/>
    <s v="def revoke st j LV aslt fam 11/13/12"/>
    <m/>
    <n v="4"/>
    <n v="27"/>
    <n v="28"/>
    <n v="20.852459016393443"/>
    <n v="0"/>
    <n v="-25"/>
    <s v="DEFERRED"/>
    <x v="1"/>
    <s v="Y"/>
    <m/>
    <s v="DEFERRED"/>
    <s v="Y"/>
    <x v="0"/>
    <x v="0"/>
    <s v="N"/>
    <n v="0.14285714285714285"/>
    <n v="7.407407407407407E-2"/>
    <n v="-6.8783068783068779E-2"/>
    <n v="0"/>
    <n v="-2"/>
    <n v="2"/>
    <n v="27"/>
    <n v="4"/>
    <n v="27"/>
    <n v="25"/>
    <m/>
    <m/>
    <s v="Y"/>
    <m/>
    <s v="0-10 DAYS"/>
    <n v="1"/>
    <x v="0"/>
  </r>
  <r>
    <n v="1099"/>
    <s v="N"/>
    <s v="N"/>
    <n v="2412452"/>
    <n v="5"/>
    <d v="2012-02-09T00:00:00"/>
    <d v="2012-09-06T00:00:00"/>
    <n v="2412452"/>
    <d v="2012-02-10T00:00:00"/>
    <d v="2012-02-15T00:00:00"/>
    <n v="30000"/>
    <x v="2"/>
    <d v="2012-02-15T00:00:00"/>
    <s v="Y"/>
    <s v="SURETY"/>
    <s v="GUILTY PLEA - NO JURY"/>
    <n v="6"/>
    <n v="211"/>
    <n v="2"/>
    <n v="0"/>
    <n v="1"/>
    <m/>
    <m/>
    <m/>
    <m/>
    <m/>
    <m/>
    <m/>
    <m/>
    <d v="1987-01-08T00:00:00"/>
    <s v="M"/>
    <s v="B"/>
    <s v="BLACK"/>
    <s v="NULL"/>
    <s v="174"/>
    <s v="CONVICTED"/>
    <n v="10"/>
    <s v="STJ"/>
    <m/>
    <n v="10"/>
    <m/>
    <s v="CRIM MISCH &gt;=$1500 &lt;$20K"/>
    <m/>
    <s v="FS"/>
    <s v="OTHER FEL"/>
    <m/>
    <m/>
    <m/>
    <m/>
    <m/>
    <m/>
    <m/>
    <m/>
    <m/>
    <s v="Hired Attorney"/>
    <m/>
    <m/>
    <n v="6"/>
    <n v="210"/>
    <n v="211"/>
    <n v="25.035519125683059"/>
    <n v="0"/>
    <n v="-204"/>
    <s v="CONVICTION"/>
    <x v="1"/>
    <s v="Y"/>
    <m/>
    <s v="CONVICTION"/>
    <s v="Y"/>
    <x v="1"/>
    <x v="0"/>
    <s v="Y"/>
    <n v="2.843601895734597E-2"/>
    <n v="2.8571428571428571E-2"/>
    <n v="1.3540961408260027E-4"/>
    <n v="0"/>
    <n v="-6"/>
    <n v="0"/>
    <n v="6"/>
    <e v="#VALUE!"/>
    <n v="6"/>
    <n v="0"/>
    <m/>
    <m/>
    <s v="Y"/>
    <m/>
    <s v="0-10 DAYS"/>
    <n v="1"/>
    <x v="0"/>
  </r>
  <r>
    <n v="1656"/>
    <s v="N"/>
    <s v="N"/>
    <n v="2412792"/>
    <n v="6"/>
    <d v="2012-03-02T00:00:00"/>
    <d v="2012-08-06T00:00:00"/>
    <n v="2412792"/>
    <d v="2012-03-02T00:00:00"/>
    <d v="2012-03-03T00:00:00"/>
    <n v="20000"/>
    <x v="0"/>
    <d v="2012-03-03T00:00:00"/>
    <s v="Y"/>
    <s v="SURETY"/>
    <s v="GUILTY PLEA - NO JURY"/>
    <n v="2"/>
    <n v="158"/>
    <n v="1"/>
    <n v="0"/>
    <n v="1"/>
    <m/>
    <m/>
    <m/>
    <m/>
    <m/>
    <m/>
    <m/>
    <m/>
    <d v="1990-07-23T00:00:00"/>
    <s v="M"/>
    <s v="B"/>
    <s v="BLACK"/>
    <s v="NULL"/>
    <s v="180"/>
    <s v="CONVICTED"/>
    <n v="6"/>
    <s v="TDC"/>
    <n v="2"/>
    <m/>
    <m/>
    <s v="POSS CS PG 1 4G - 200G"/>
    <m/>
    <s v="F2"/>
    <s v="POSS DRUG"/>
    <s v="also CONV on fel p marj same date "/>
    <m/>
    <m/>
    <m/>
    <m/>
    <m/>
    <m/>
    <m/>
    <m/>
    <s v="Hired Attorney"/>
    <m/>
    <m/>
    <n v="2"/>
    <n v="158"/>
    <n v="158"/>
    <n v="21.565573770491802"/>
    <n v="0"/>
    <n v="-156"/>
    <s v="CONVICTION"/>
    <x v="1"/>
    <s v="N"/>
    <m/>
    <s v="CONVICTION"/>
    <s v="Y"/>
    <x v="1"/>
    <x v="0"/>
    <s v="Y"/>
    <n v="1.2658227848101266E-2"/>
    <n v="1.2658227848101266E-2"/>
    <n v="0"/>
    <n v="0"/>
    <n v="-2"/>
    <n v="0"/>
    <n v="2"/>
    <e v="#VALUE!"/>
    <n v="158"/>
    <n v="156"/>
    <s v="POSS EXCEPTION - NO MANUAL OVERRIDE"/>
    <m/>
    <s v="Y"/>
    <m/>
    <s v="0-10 DAYS"/>
    <n v="1"/>
    <x v="0"/>
  </r>
  <r>
    <n v="835"/>
    <s v="N"/>
    <s v="N"/>
    <n v="2412835"/>
    <n v="2"/>
    <d v="2012-02-01T00:00:00"/>
    <d v="2013-02-04T00:00:00"/>
    <n v="2412835"/>
    <s v="NOT BOOKED"/>
    <s v="NOT BOOKED"/>
    <n v="2000"/>
    <x v="5"/>
    <d v="2012-06-02T00:00:00"/>
    <s v="Y"/>
    <s v="SURETY"/>
    <s v="DEFERRED ADJUDICATION "/>
    <n v="0"/>
    <n v="370"/>
    <n v="0"/>
    <n v="0"/>
    <m/>
    <m/>
    <m/>
    <m/>
    <m/>
    <m/>
    <m/>
    <m/>
    <m/>
    <d v="1989-08-14T00:00:00"/>
    <s v="F"/>
    <s v="B"/>
    <s v="BLACK"/>
    <s v="NULL"/>
    <s v="208"/>
    <s v="DEFERRED"/>
    <n v="10"/>
    <s v="DEFERRED"/>
    <m/>
    <m/>
    <m/>
    <s v="FORGERY"/>
    <m/>
    <s v="FS"/>
    <s v="OTHER FEL"/>
    <m/>
    <m/>
    <m/>
    <m/>
    <m/>
    <m/>
    <m/>
    <m/>
    <m/>
    <s v="Appointed Attorney"/>
    <m/>
    <m/>
    <n v="0"/>
    <n v="0"/>
    <n v="370"/>
    <n v="22.420765027322403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599"/>
    <s v="N"/>
    <s v="N"/>
    <n v="2413011"/>
    <n v="6"/>
    <d v="2012-01-24T00:00:00"/>
    <d v="2012-02-22T00:00:00"/>
    <n v="2413011"/>
    <d v="2012-01-24T00:00:00"/>
    <d v="2012-02-22T00:00:00"/>
    <n v="20000"/>
    <x v="0"/>
    <m/>
    <s v="N"/>
    <s v="NONE"/>
    <s v="GUILTY PLEA - NO JURY"/>
    <n v="30"/>
    <n v="30"/>
    <n v="1"/>
    <n v="1"/>
    <n v="1"/>
    <m/>
    <m/>
    <m/>
    <m/>
    <m/>
    <m/>
    <m/>
    <m/>
    <d v="1992-02-23T00:00:00"/>
    <s v="M"/>
    <s v="B"/>
    <s v="BLACK"/>
    <s v="NON-HISPANIC"/>
    <s v="339"/>
    <s v="CONVICTED"/>
    <n v="2"/>
    <s v="TDC"/>
    <n v="3"/>
    <m/>
    <m/>
    <s v="BURGLARY OF HABITATION"/>
    <m/>
    <s v="F2"/>
    <s v="BURGLARY"/>
    <m/>
    <m/>
    <m/>
    <m/>
    <m/>
    <m/>
    <m/>
    <m/>
    <m/>
    <s v="Appointed Attorney"/>
    <m/>
    <m/>
    <n v="30"/>
    <n v="30"/>
    <n v="30"/>
    <n v="19.877049180327869"/>
    <n v="0"/>
    <n v="0"/>
    <s v="CONVICTION"/>
    <x v="0"/>
    <s v="N"/>
    <m/>
    <s v="CONVICTION"/>
    <s v="Y"/>
    <x v="0"/>
    <x v="0"/>
    <s v="Y"/>
    <n v="1"/>
    <n v="1"/>
    <n v="0"/>
    <n v="0"/>
    <n v="-30"/>
    <n v="0"/>
    <n v="30"/>
    <e v="#VALUE!"/>
    <n v="30"/>
    <n v="0"/>
    <m/>
    <m/>
    <s v="Y"/>
    <m/>
    <s v="11-30 DAYS"/>
    <n v="2"/>
    <x v="0"/>
  </r>
  <r>
    <n v="1669"/>
    <s v="N"/>
    <s v="N"/>
    <n v="2413260"/>
    <n v="1"/>
    <d v="2012-03-02T00:00:00"/>
    <d v="2012-05-30T00:00:00"/>
    <n v="2413260"/>
    <s v="NOT BOOKED"/>
    <s v="NOT BOOKED"/>
    <n v="5000"/>
    <x v="4"/>
    <m/>
    <s v="NO BOND MADE - NON ARREST"/>
    <s v="NONE"/>
    <s v="DISMISSED"/>
    <n v="0"/>
    <n v="90"/>
    <n v="1"/>
    <n v="0"/>
    <n v="1"/>
    <m/>
    <m/>
    <m/>
    <m/>
    <m/>
    <m/>
    <m/>
    <m/>
    <d v="1991-12-18T00:00:00"/>
    <s v="M"/>
    <s v="W"/>
    <s v="WHITE"/>
    <s v="NULL"/>
    <s v="232"/>
    <s v="DISMISSED"/>
    <n v="3"/>
    <s v="DISMISSED"/>
    <m/>
    <m/>
    <m/>
    <s v="BURGLARY OF A BUILDING"/>
    <m/>
    <s v="FS"/>
    <s v="BURGLARY"/>
    <m/>
    <m/>
    <m/>
    <m/>
    <m/>
    <m/>
    <m/>
    <m/>
    <m/>
    <s v="Appointed Attorney"/>
    <m/>
    <m/>
    <n v="0"/>
    <n v="0"/>
    <n v="90"/>
    <n v="20.16393442622951"/>
    <e v="#VALUE!"/>
    <e v="#VALUE!"/>
    <s v="NO CONVICTION"/>
    <x v="0"/>
    <s v="N"/>
    <m/>
    <s v="NO CONVICTION"/>
    <n v="0"/>
    <x v="2"/>
    <x v="0"/>
    <s v="Y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2510"/>
    <s v="N"/>
    <s v="N"/>
    <n v="2413368"/>
    <n v="6"/>
    <d v="2012-04-04T00:00:00"/>
    <d v="2013-08-08T00:00:00"/>
    <n v="2413368"/>
    <d v="2012-04-04T00:00:00"/>
    <d v="2012-07-17T00:00:00"/>
    <n v="35000"/>
    <x v="2"/>
    <d v="2012-07-17T00:00:00"/>
    <s v="Y"/>
    <s v="SURETY"/>
    <s v="GUILTY PLEA - NO JURY"/>
    <n v="105"/>
    <n v="492"/>
    <n v="0"/>
    <n v="0"/>
    <m/>
    <m/>
    <m/>
    <m/>
    <m/>
    <m/>
    <m/>
    <m/>
    <m/>
    <d v="1990-12-05T00:00:00"/>
    <s v="M"/>
    <s v="H"/>
    <s v="HISPANIC"/>
    <s v="HISPANIC"/>
    <s v="263"/>
    <s v="CONVICTED"/>
    <n v="18"/>
    <s v="TDC"/>
    <n v="16"/>
    <m/>
    <m/>
    <s v="AGG ROBBERY-DEADLY WPN"/>
    <m/>
    <s v="F1"/>
    <s v="ROBBERY"/>
    <s v="ALSO CONV OF RETALIATION SAME DATE ADDED 5 Y TDC "/>
    <m/>
    <m/>
    <m/>
    <m/>
    <m/>
    <m/>
    <m/>
    <m/>
    <s v="Hired Attorney"/>
    <m/>
    <m/>
    <n v="105"/>
    <n v="492"/>
    <n v="492"/>
    <n v="21.28688524590164"/>
    <n v="0"/>
    <n v="-387"/>
    <s v="CONVICTION"/>
    <x v="1"/>
    <s v="Y"/>
    <m/>
    <s v="CONVICTION"/>
    <s v="Y"/>
    <x v="1"/>
    <x v="0"/>
    <s v="N"/>
    <n v="0.21341463414634146"/>
    <n v="0.21341463414634146"/>
    <n v="0"/>
    <n v="0"/>
    <n v="-105"/>
    <n v="0"/>
    <n v="105"/>
    <e v="#VALUE!"/>
    <n v="105"/>
    <n v="0"/>
    <m/>
    <m/>
    <s v="N"/>
    <m/>
    <s v="91-120 DAYS"/>
    <n v="0"/>
    <x v="0"/>
  </r>
  <r>
    <n v="271"/>
    <s v="N"/>
    <s v="N"/>
    <n v="2414174"/>
    <n v="5"/>
    <d v="2012-01-12T00:00:00"/>
    <d v="2012-06-05T00:00:00"/>
    <n v="2414174"/>
    <d v="2012-03-19T00:00:00"/>
    <d v="2012-01-27T00:00:00"/>
    <n v="10000"/>
    <x v="3"/>
    <d v="2012-01-27T00:00:00"/>
    <s v="Y"/>
    <s v="SURETY"/>
    <s v="GUILTY PLEA - NO JURY"/>
    <n v="95"/>
    <n v="146"/>
    <n v="1"/>
    <n v="5"/>
    <n v="1"/>
    <m/>
    <m/>
    <m/>
    <m/>
    <m/>
    <m/>
    <m/>
    <m/>
    <d v="1984-01-29T00:00:00"/>
    <s v="F"/>
    <s v="B"/>
    <s v="BLACK"/>
    <s v="NON-HISPANIC"/>
    <s v="174"/>
    <s v="CONVICTED"/>
    <n v="8"/>
    <s v="STJ"/>
    <m/>
    <n v="9"/>
    <m/>
    <s v="THEFT UNDER $1500 - 3RD OFF."/>
    <m/>
    <s v="FS"/>
    <s v="THEFT"/>
    <s v="fel theft  filed 3/11/12 disp 6/5/12  filed same disp stj"/>
    <m/>
    <m/>
    <m/>
    <m/>
    <m/>
    <m/>
    <m/>
    <m/>
    <s v="Appointed Attorney"/>
    <m/>
    <m/>
    <n v="95"/>
    <n v="79"/>
    <n v="146"/>
    <n v="27.896174863387976"/>
    <n v="0"/>
    <n v="-130"/>
    <s v="CONVICTION"/>
    <x v="1"/>
    <s v="Y"/>
    <m/>
    <s v="CONVICTION"/>
    <s v="Y"/>
    <x v="0"/>
    <x v="0"/>
    <s v="Y"/>
    <n v="0.65068493150684936"/>
    <n v="-0.64556962025316456"/>
    <n v="-1.2962545517600139"/>
    <n v="0"/>
    <n v="51"/>
    <n v="0"/>
    <n v="79"/>
    <n v="95"/>
    <n v="79"/>
    <n v="130"/>
    <s v="MANUAL OVER-RIDE IS CORRECT BUT SHOW NO PT MISC"/>
    <m/>
    <s v="Y"/>
    <m/>
    <s v="91-120 DAYS"/>
    <n v="0"/>
    <x v="0"/>
  </r>
  <r>
    <n v="2359"/>
    <s v="N"/>
    <s v="N"/>
    <n v="2414717"/>
    <n v="2"/>
    <d v="2012-03-30T00:00:00"/>
    <d v="2012-05-01T00:00:00"/>
    <n v="2414717"/>
    <d v="2012-03-30T00:00:00"/>
    <d v="2012-03-31T00:00:00"/>
    <n v="2000"/>
    <x v="5"/>
    <d v="2012-03-31T00:00:00"/>
    <s v="Y"/>
    <s v="SURETYPTRc"/>
    <s v="DEFERRED ADJUDICATION "/>
    <n v="2"/>
    <n v="33"/>
    <n v="0"/>
    <n v="1"/>
    <m/>
    <m/>
    <m/>
    <m/>
    <m/>
    <m/>
    <m/>
    <m/>
    <m/>
    <d v="1985-09-17T00:00:00"/>
    <s v="M"/>
    <s v="W"/>
    <s v="WHITE"/>
    <s v="NULL"/>
    <s v="248"/>
    <s v="DEFERRED"/>
    <n v="2"/>
    <s v="DEFERRED"/>
    <m/>
    <m/>
    <m/>
    <s v="POSS CS PG 1 &lt;1G"/>
    <m/>
    <s v="FS"/>
    <s v="POSS DRUG"/>
    <s v="LAWV misd drug rev 9/24/12 stj 6 mos"/>
    <m/>
    <m/>
    <m/>
    <m/>
    <m/>
    <m/>
    <m/>
    <m/>
    <s v="Appointed Attorney"/>
    <m/>
    <m/>
    <n v="2"/>
    <n v="33"/>
    <n v="33"/>
    <n v="26.478142076502731"/>
    <n v="0"/>
    <n v="-31"/>
    <s v="DEFERRED"/>
    <x v="1"/>
    <s v="Y"/>
    <m/>
    <s v="DEFERRED"/>
    <s v="Y"/>
    <x v="1"/>
    <x v="0"/>
    <s v="N"/>
    <n v="6.0606060606060608E-2"/>
    <n v="6.0606060606060608E-2"/>
    <n v="0"/>
    <n v="0"/>
    <n v="-2"/>
    <n v="0"/>
    <n v="2"/>
    <e v="#VALUE!"/>
    <n v="2"/>
    <n v="0"/>
    <m/>
    <m/>
    <s v="Y"/>
    <m/>
    <s v="0-10 DAYS"/>
    <n v="1"/>
    <x v="0"/>
  </r>
  <r>
    <n v="2893"/>
    <s v="N"/>
    <s v="N"/>
    <n v="2414863"/>
    <n v="2"/>
    <d v="2012-04-17T00:00:00"/>
    <d v="2013-03-04T00:00:00"/>
    <n v="2414863"/>
    <s v="NOT BOOKED"/>
    <s v="NOT BOOKED"/>
    <n v="5000"/>
    <x v="4"/>
    <d v="2012-06-21T00:00:00"/>
    <s v="Y"/>
    <s v="SURETY"/>
    <s v="DEFERRED ADJUDICATION "/>
    <n v="0"/>
    <n v="322"/>
    <n v="0"/>
    <n v="0"/>
    <m/>
    <m/>
    <m/>
    <m/>
    <m/>
    <m/>
    <m/>
    <m/>
    <m/>
    <d v="1982-03-15T00:00:00"/>
    <s v="F"/>
    <s v="B"/>
    <s v="BLACK"/>
    <s v="NULL"/>
    <s v="182"/>
    <s v="DEFERRED"/>
    <n v="9"/>
    <s v="DEFERRED"/>
    <m/>
    <m/>
    <m/>
    <s v="POSS CS PG 1  1 - 4 GRAMS"/>
    <m/>
    <s v="F3"/>
    <s v="POSS DRUG"/>
    <m/>
    <m/>
    <m/>
    <m/>
    <m/>
    <m/>
    <m/>
    <m/>
    <m/>
    <s v="Appointed Attorney"/>
    <m/>
    <m/>
    <n v="0"/>
    <n v="0"/>
    <n v="322"/>
    <n v="30.030054644808743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077"/>
    <s v="N"/>
    <s v="N"/>
    <n v="2415479"/>
    <n v="3"/>
    <d v="2012-03-19T00:00:00"/>
    <d v="2012-03-20T00:00:00"/>
    <n v="2415479"/>
    <d v="2012-03-19T00:00:00"/>
    <d v="2012-03-20T00:00:00"/>
    <n v="10000"/>
    <x v="3"/>
    <m/>
    <s v="N"/>
    <s v="NONE"/>
    <s v="GUILTY PLEA - NO JURY"/>
    <n v="2"/>
    <n v="2"/>
    <n v="0"/>
    <n v="2"/>
    <m/>
    <m/>
    <m/>
    <m/>
    <m/>
    <m/>
    <m/>
    <s v="S"/>
    <m/>
    <d v="1959-08-29T00:00:00"/>
    <s v="M"/>
    <s v="H"/>
    <s v="HISPANIC"/>
    <s v="NULL"/>
    <s v="262"/>
    <s v="CONVICTED"/>
    <n v="1"/>
    <s v="PROBATION"/>
    <m/>
    <m/>
    <m/>
    <s v="DWI 3RD OFFENDER BAC .08"/>
    <m/>
    <s v="F3"/>
    <s v="FEL DWI"/>
    <m/>
    <m/>
    <m/>
    <m/>
    <m/>
    <m/>
    <m/>
    <m/>
    <m/>
    <s v="Appointed Attorney"/>
    <m/>
    <m/>
    <n v="2"/>
    <n v="2"/>
    <n v="2"/>
    <n v="52.448087431693992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3118"/>
    <s v="N"/>
    <s v="N"/>
    <n v="2415525"/>
    <n v="4"/>
    <d v="2012-04-25T00:00:00"/>
    <d v="2012-07-12T00:00:00"/>
    <n v="2415525"/>
    <d v="2012-04-25T00:00:00"/>
    <d v="2012-07-12T00:00:00"/>
    <s v="NO BOND"/>
    <x v="1"/>
    <m/>
    <s v="N"/>
    <s v="NONE"/>
    <s v="GUILTY PLEA - NO JURY"/>
    <n v="79"/>
    <n v="79"/>
    <n v="0"/>
    <n v="1"/>
    <m/>
    <m/>
    <m/>
    <m/>
    <m/>
    <m/>
    <m/>
    <m/>
    <m/>
    <d v="1978-07-04T00:00:00"/>
    <s v="M"/>
    <s v="B"/>
    <s v="BLACK"/>
    <s v="NULL"/>
    <s v="184"/>
    <s v="CONVICTED"/>
    <n v="5"/>
    <s v="HCJ"/>
    <m/>
    <m/>
    <n v="365"/>
    <s v="ASSAULT-BOD INJ-FAMILY MEMBER"/>
    <m/>
    <s v="F3"/>
    <s v="ASLT-MURDR"/>
    <m/>
    <m/>
    <m/>
    <m/>
    <m/>
    <m/>
    <m/>
    <m/>
    <m/>
    <s v="Hired Attorney"/>
    <m/>
    <m/>
    <n v="79"/>
    <n v="79"/>
    <n v="79"/>
    <n v="33.740437158469945"/>
    <n v="0"/>
    <n v="0"/>
    <s v="CONVICTION"/>
    <x v="0"/>
    <s v="N"/>
    <m/>
    <s v="CONVICTION"/>
    <s v="Y"/>
    <x v="0"/>
    <x v="0"/>
    <s v="N"/>
    <n v="1"/>
    <n v="1"/>
    <n v="0"/>
    <n v="0"/>
    <n v="-79"/>
    <n v="0"/>
    <n v="79"/>
    <e v="#VALUE!"/>
    <n v="79"/>
    <n v="0"/>
    <m/>
    <m/>
    <s v="Y"/>
    <m/>
    <s v="61-90 DAYS"/>
    <n v="4"/>
    <x v="0"/>
  </r>
  <r>
    <n v="1165"/>
    <s v="N"/>
    <s v="N"/>
    <n v="2415744"/>
    <n v="2"/>
    <d v="2012-02-11T00:00:00"/>
    <d v="2012-07-13T00:00:00"/>
    <n v="2415744"/>
    <d v="2012-02-12T00:00:00"/>
    <d v="2012-02-13T00:00:00"/>
    <n v="30000"/>
    <x v="2"/>
    <d v="2012-02-13T00:00:00"/>
    <s v="Y"/>
    <s v="SURETYPTRc"/>
    <s v="DEFERRED ADJUDICATION "/>
    <n v="2"/>
    <n v="154"/>
    <n v="1"/>
    <n v="0"/>
    <m/>
    <m/>
    <m/>
    <m/>
    <m/>
    <m/>
    <m/>
    <s v="S"/>
    <m/>
    <d v="1978-11-18T00:00:00"/>
    <s v="M"/>
    <s v="H"/>
    <s v="HISPANIC"/>
    <s v="NULL"/>
    <s v="248"/>
    <s v="DEFERRED"/>
    <n v="6"/>
    <s v="DEFERRED"/>
    <m/>
    <m/>
    <m/>
    <s v="AGG ASSLT AGAINST PB SERVANT"/>
    <m/>
    <s v="F1"/>
    <s v="ASLT-MURDR"/>
    <m/>
    <m/>
    <m/>
    <m/>
    <m/>
    <m/>
    <m/>
    <m/>
    <m/>
    <s v="Hired Attorney"/>
    <m/>
    <m/>
    <n v="2"/>
    <n v="153"/>
    <n v="154"/>
    <n v="33.16393442622951"/>
    <n v="0"/>
    <n v="-151"/>
    <s v="DEFERRED"/>
    <x v="1"/>
    <s v="Y"/>
    <m/>
    <s v="DEFERRED"/>
    <s v="Y"/>
    <x v="1"/>
    <x v="0"/>
    <s v="Y"/>
    <n v="1.2987012987012988E-2"/>
    <n v="1.3071895424836602E-2"/>
    <n v="8.4882437823613835E-5"/>
    <n v="0"/>
    <n v="-2"/>
    <n v="0"/>
    <n v="2"/>
    <e v="#VALUE!"/>
    <n v="2"/>
    <n v="0"/>
    <m/>
    <m/>
    <s v="Y"/>
    <m/>
    <s v="0-10 DAYS"/>
    <n v="1"/>
    <x v="0"/>
  </r>
  <r>
    <n v="446"/>
    <s v="N"/>
    <s v="N"/>
    <n v="2417464"/>
    <n v="6"/>
    <d v="2012-01-19T00:00:00"/>
    <d v="2012-08-08T00:00:00"/>
    <n v="2417464"/>
    <d v="2012-01-19T00:00:00"/>
    <d v="2012-08-08T00:00:00"/>
    <n v="5000"/>
    <x v="4"/>
    <m/>
    <s v="N"/>
    <s v="NONE"/>
    <s v="GUILTY PLEA - NO JURY"/>
    <n v="203"/>
    <n v="203"/>
    <n v="1"/>
    <n v="1"/>
    <m/>
    <m/>
    <m/>
    <m/>
    <m/>
    <m/>
    <m/>
    <m/>
    <m/>
    <d v="1988-09-08T00:00:00"/>
    <s v="M"/>
    <s v="B"/>
    <s v="BLACK"/>
    <s v="NON-HISPANIC"/>
    <s v="208"/>
    <s v="CONVICTED"/>
    <n v="6"/>
    <s v="TDC"/>
    <n v="2"/>
    <m/>
    <m/>
    <s v="FELON POSS WPN"/>
    <m/>
    <s v="F3"/>
    <s v="OTHER FEL"/>
    <m/>
    <m/>
    <m/>
    <m/>
    <m/>
    <m/>
    <m/>
    <m/>
    <m/>
    <s v="Appointed Attorney"/>
    <m/>
    <m/>
    <n v="203"/>
    <n v="203"/>
    <n v="203"/>
    <n v="23.314207650273225"/>
    <n v="0"/>
    <n v="0"/>
    <s v="CONVICTION"/>
    <x v="0"/>
    <s v="N"/>
    <m/>
    <s v="CONVICTION"/>
    <s v="Y"/>
    <x v="0"/>
    <x v="0"/>
    <s v="Y"/>
    <n v="1"/>
    <n v="1"/>
    <n v="0"/>
    <n v="0"/>
    <n v="-203"/>
    <n v="0"/>
    <n v="203"/>
    <e v="#VALUE!"/>
    <n v="203"/>
    <n v="0"/>
    <m/>
    <m/>
    <s v="Y"/>
    <m/>
    <s v="121-365 DAYS"/>
    <n v="6"/>
    <x v="0"/>
  </r>
  <r>
    <n v="748"/>
    <s v="N"/>
    <s v="N"/>
    <n v="2417807"/>
    <n v="1"/>
    <d v="2012-01-30T00:00:00"/>
    <d v="2012-02-01T00:00:00"/>
    <n v="2417807"/>
    <d v="2012-01-30T00:00:00"/>
    <d v="2012-02-01T00:00:00"/>
    <s v="NO BOND"/>
    <x v="1"/>
    <m/>
    <s v="N"/>
    <s v="NONE"/>
    <s v="DISMISSED"/>
    <n v="3"/>
    <n v="3"/>
    <n v="1"/>
    <n v="0"/>
    <m/>
    <n v="1"/>
    <m/>
    <m/>
    <m/>
    <m/>
    <m/>
    <m/>
    <m/>
    <d v="1988-05-29T00:00:00"/>
    <s v="F"/>
    <s v="B"/>
    <s v="BLACK"/>
    <s v="NON-HISPANIC"/>
    <s v="230"/>
    <s v="DISMISSED"/>
    <n v="2"/>
    <s v="DISMISSED"/>
    <m/>
    <m/>
    <m/>
    <s v="POSS CS PG 1 &lt;1G"/>
    <m/>
    <s v="FS"/>
    <s v="POSS DRUG"/>
    <m/>
    <m/>
    <m/>
    <m/>
    <m/>
    <m/>
    <m/>
    <m/>
    <m/>
    <s v="Appointed Attorney"/>
    <m/>
    <m/>
    <n v="3"/>
    <n v="3"/>
    <n v="3"/>
    <n v="23.622950819672131"/>
    <n v="0"/>
    <n v="0"/>
    <s v="NO CONVICTION"/>
    <x v="0"/>
    <s v="N"/>
    <m/>
    <s v="NO 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1411"/>
    <s v="Y"/>
    <s v="N"/>
    <n v="2417851"/>
    <n v="1"/>
    <d v="2012-02-22T00:00:00"/>
    <d v="2012-10-09T00:00:00"/>
    <n v="2417851"/>
    <d v="2012-02-23T00:00:00"/>
    <d v="2012-10-09T00:00:00"/>
    <n v="30000"/>
    <x v="2"/>
    <m/>
    <s v="N"/>
    <s v="NONE"/>
    <s v="DISMISSED"/>
    <n v="230"/>
    <n v="231"/>
    <n v="0"/>
    <n v="0"/>
    <m/>
    <m/>
    <m/>
    <m/>
    <m/>
    <m/>
    <m/>
    <m/>
    <m/>
    <d v="1972-03-18T00:00:00"/>
    <s v="M"/>
    <s v="W"/>
    <s v="WHITE"/>
    <s v="NULL"/>
    <s v="209"/>
    <s v="DISMISSED"/>
    <n v="8"/>
    <s v="DISMISSED"/>
    <m/>
    <m/>
    <m/>
    <s v="POSS CS PG 1 &lt;1G"/>
    <m/>
    <s v="FS"/>
    <s v="POSS DRUG"/>
    <s v="8/10/12 9/13/12 five  cases pend  fel forgery "/>
    <m/>
    <m/>
    <m/>
    <m/>
    <m/>
    <m/>
    <m/>
    <m/>
    <s v="Appointed Attorney"/>
    <s v="misd drug fel aslt 12/20/12 hcj 30 d"/>
    <m/>
    <n v="230"/>
    <n v="230"/>
    <n v="231"/>
    <n v="39.849726775956285"/>
    <n v="0"/>
    <n v="0"/>
    <s v="NO CONVICTION"/>
    <x v="0"/>
    <s v="N"/>
    <m/>
    <s v="NO CONVICTION"/>
    <s v="Y"/>
    <x v="0"/>
    <x v="0"/>
    <s v="N"/>
    <n v="0.99567099567099571"/>
    <n v="1"/>
    <n v="4.3290043290042934E-3"/>
    <n v="0"/>
    <n v="-230"/>
    <n v="0"/>
    <n v="230"/>
    <e v="#VALUE!"/>
    <n v="230"/>
    <n v="0"/>
    <m/>
    <m/>
    <s v="N"/>
    <m/>
    <s v="121-365 DAYS"/>
    <n v="6"/>
    <x v="0"/>
  </r>
  <r>
    <n v="2313"/>
    <s v="N"/>
    <s v="N"/>
    <n v="2418914"/>
    <n v="2"/>
    <d v="2012-03-19T00:00:00"/>
    <d v="2012-10-26T00:00:00"/>
    <n v="2418914"/>
    <s v="NOT BOOKED"/>
    <s v="NOT BOOKED"/>
    <n v="10000"/>
    <x v="3"/>
    <d v="2012-03-22T00:00:00"/>
    <s v="Y"/>
    <s v="SURETY"/>
    <s v="DEFERRED ADJUDICATION "/>
    <n v="0"/>
    <n v="222"/>
    <n v="1"/>
    <n v="5"/>
    <m/>
    <m/>
    <m/>
    <m/>
    <m/>
    <m/>
    <m/>
    <m/>
    <m/>
    <d v="1991-10-30T00:00:00"/>
    <s v="M"/>
    <s v="B"/>
    <s v="BLACK"/>
    <s v="NULL"/>
    <s v="208"/>
    <s v="DEFERRED"/>
    <n v="10"/>
    <s v="DEFERRED"/>
    <m/>
    <m/>
    <n v="15"/>
    <s v="POSS CS PG 1 &lt;1G"/>
    <m/>
    <s v="FS"/>
    <s v="POSS DRUG"/>
    <s v="misd drug fel aslt 12/20/12 hcj 30 d"/>
    <m/>
    <m/>
    <m/>
    <m/>
    <m/>
    <m/>
    <m/>
    <m/>
    <s v="Hired Attorney"/>
    <m/>
    <m/>
    <n v="0"/>
    <n v="0"/>
    <n v="222"/>
    <n v="20.344262295081968"/>
    <e v="#VALUE!"/>
    <e v="#VALUE!"/>
    <s v="DEFERRED"/>
    <x v="1"/>
    <s v="Y"/>
    <m/>
    <s v="DEFERRED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1743"/>
    <s v="N"/>
    <s v="N"/>
    <n v="2418931"/>
    <n v="6"/>
    <d v="2012-03-05T00:00:00"/>
    <d v="2012-06-28T00:00:00"/>
    <n v="2418931"/>
    <d v="2012-03-16T00:00:00"/>
    <d v="2012-06-28T00:00:00"/>
    <s v="NO BOND"/>
    <x v="1"/>
    <m/>
    <s v="N"/>
    <s v="NONE"/>
    <s v="GUILTY PLEA - NO JURY"/>
    <n v="105"/>
    <n v="116"/>
    <n v="0"/>
    <n v="2"/>
    <m/>
    <m/>
    <m/>
    <m/>
    <m/>
    <m/>
    <m/>
    <m/>
    <m/>
    <d v="1990-10-05T00:00:00"/>
    <s v="M"/>
    <s v="B"/>
    <s v="BLACK"/>
    <s v="NULL"/>
    <s v="182"/>
    <s v="CONVICTED"/>
    <n v="7"/>
    <s v="TDC"/>
    <n v="2"/>
    <m/>
    <m/>
    <s v="AGG ASSAULT W/DEADLY WEAPON"/>
    <m/>
    <s v="F2"/>
    <s v="ASLT-MURDR"/>
    <m/>
    <m/>
    <m/>
    <m/>
    <m/>
    <m/>
    <m/>
    <m/>
    <m/>
    <s v="Appointed Attorney"/>
    <m/>
    <m/>
    <n v="105"/>
    <n v="105"/>
    <n v="116"/>
    <n v="21.371584699453553"/>
    <n v="0"/>
    <n v="0"/>
    <s v="CONVICTION"/>
    <x v="0"/>
    <s v="N"/>
    <m/>
    <s v="CONVICTION"/>
    <s v="Y"/>
    <x v="0"/>
    <x v="0"/>
    <s v="N"/>
    <n v="0.90517241379310343"/>
    <n v="1"/>
    <n v="9.4827586206896575E-2"/>
    <n v="0"/>
    <n v="-105"/>
    <n v="0"/>
    <n v="105"/>
    <e v="#VALUE!"/>
    <n v="105"/>
    <n v="0"/>
    <m/>
    <m/>
    <s v="Y"/>
    <m/>
    <s v="91-120 DAYS"/>
    <n v="0"/>
    <x v="0"/>
  </r>
  <r>
    <n v="2455"/>
    <s v="Y"/>
    <s v="Y"/>
    <n v="2419007"/>
    <n v="2"/>
    <d v="2012-04-02T00:00:00"/>
    <d v="2012-08-22T00:00:00"/>
    <n v="2419007"/>
    <d v="2012-04-03T00:00:00"/>
    <d v="2012-04-04T00:00:00"/>
    <n v="10000"/>
    <x v="3"/>
    <d v="2012-04-04T00:00:00"/>
    <s v="Y"/>
    <s v="SURETY"/>
    <s v="DEFERRED ADJUDICATION "/>
    <n v="7"/>
    <n v="143"/>
    <n v="0"/>
    <n v="2"/>
    <m/>
    <m/>
    <m/>
    <m/>
    <m/>
    <m/>
    <m/>
    <m/>
    <m/>
    <d v="1991-01-26T00:00:00"/>
    <s v="M"/>
    <s v="B"/>
    <s v="BLACK"/>
    <s v="NULL"/>
    <s v="263"/>
    <s v="DEFERRED"/>
    <n v="9"/>
    <s v="DEFERRED"/>
    <m/>
    <m/>
    <m/>
    <s v="BURGLARY OF HABITATION"/>
    <m/>
    <s v="F2"/>
    <s v="BURGLARY"/>
    <s v="9/19/12 misd trespass 30 d hcj"/>
    <s v="bd rev 8/9/12"/>
    <m/>
    <m/>
    <s v="Y"/>
    <m/>
    <m/>
    <m/>
    <m/>
    <s v="Hired Attorney"/>
    <s v="1/17/14 lf hcj  agg rob pend j bk"/>
    <m/>
    <n v="7"/>
    <n v="142"/>
    <n v="143"/>
    <n v="21.139344262295083"/>
    <n v="0"/>
    <n v="-140"/>
    <s v="DEFERRED"/>
    <x v="1"/>
    <s v="Y"/>
    <m/>
    <s v="DEFERRED"/>
    <s v="Y"/>
    <x v="1"/>
    <x v="0"/>
    <s v="N"/>
    <n v="4.8951048951048952E-2"/>
    <n v="1.4084507042253521E-2"/>
    <n v="-3.4866541908795429E-2"/>
    <n v="0"/>
    <n v="-2"/>
    <n v="5"/>
    <n v="2"/>
    <n v="7"/>
    <m/>
    <n v="140"/>
    <m/>
    <m/>
    <s v="Y"/>
    <m/>
    <s v="0-10 DAYS"/>
    <n v="1"/>
    <x v="0"/>
  </r>
  <r>
    <n v="2731"/>
    <s v="N"/>
    <s v="N"/>
    <n v="2419167"/>
    <n v="1"/>
    <d v="2012-04-11T00:00:00"/>
    <d v="2012-06-26T00:00:00"/>
    <n v="2419167"/>
    <d v="2012-04-12T00:00:00"/>
    <d v="2012-06-26T00:00:00"/>
    <n v="150000"/>
    <x v="2"/>
    <m/>
    <s v="N"/>
    <s v="NONE"/>
    <s v="DISMISSED"/>
    <n v="76"/>
    <n v="77"/>
    <n v="0"/>
    <n v="3"/>
    <m/>
    <m/>
    <m/>
    <m/>
    <m/>
    <m/>
    <m/>
    <m/>
    <m/>
    <d v="1991-11-13T00:00:00"/>
    <s v="M"/>
    <s v="H"/>
    <s v="HISPANIC"/>
    <s v="HISPANIC"/>
    <s v="228"/>
    <s v="DISMISSED"/>
    <n v="3"/>
    <s v="DISMISSED"/>
    <m/>
    <m/>
    <m/>
    <s v="BURGLARY OF HABITATION"/>
    <m/>
    <s v="F2"/>
    <s v="BURGLARY"/>
    <m/>
    <m/>
    <m/>
    <m/>
    <m/>
    <m/>
    <m/>
    <m/>
    <m/>
    <s v="Appointed Attorney"/>
    <m/>
    <m/>
    <n v="76"/>
    <n v="76"/>
    <n v="77"/>
    <n v="20.368852459016395"/>
    <n v="0"/>
    <n v="0"/>
    <s v="NO CONVICTION"/>
    <x v="0"/>
    <s v="N"/>
    <m/>
    <s v="NO CONVICTION"/>
    <s v="Y"/>
    <x v="0"/>
    <x v="0"/>
    <s v="N"/>
    <n v="0.98701298701298701"/>
    <n v="1"/>
    <n v="1.2987012987012991E-2"/>
    <n v="0"/>
    <n v="-76"/>
    <n v="0"/>
    <n v="76"/>
    <e v="#VALUE!"/>
    <n v="76"/>
    <n v="0"/>
    <m/>
    <m/>
    <s v="Y"/>
    <m/>
    <s v="61-90 DAYS"/>
    <n v="4"/>
    <x v="0"/>
  </r>
  <r>
    <n v="853"/>
    <s v="N"/>
    <s v="N"/>
    <n v="2419699"/>
    <n v="1"/>
    <d v="2012-02-01T00:00:00"/>
    <d v="2012-03-29T00:00:00"/>
    <n v="2419699"/>
    <d v="2012-02-02T00:00:00"/>
    <d v="2012-03-29T00:00:00"/>
    <s v="NO BOND"/>
    <x v="1"/>
    <m/>
    <s v="N"/>
    <s v="NONE"/>
    <s v="DISMISSED"/>
    <n v="57"/>
    <n v="58"/>
    <n v="0"/>
    <n v="0"/>
    <m/>
    <m/>
    <m/>
    <m/>
    <m/>
    <m/>
    <m/>
    <m/>
    <m/>
    <d v="1985-06-02T00:00:00"/>
    <s v="F"/>
    <s v="W"/>
    <s v="WHITE"/>
    <s v="NON-HISPANIC"/>
    <s v="262"/>
    <s v="DISMISSED"/>
    <n v="3"/>
    <s v="DISMISSED"/>
    <m/>
    <m/>
    <m/>
    <s v="POSS W/INT DEL CS PG1 1G &lt;4 GR"/>
    <m/>
    <s v="F2"/>
    <s v="SALE DRUG"/>
    <m/>
    <m/>
    <m/>
    <m/>
    <m/>
    <m/>
    <m/>
    <m/>
    <m/>
    <s v="Appointed Attorney"/>
    <m/>
    <m/>
    <n v="57"/>
    <n v="57"/>
    <n v="58"/>
    <n v="26.612021857923498"/>
    <n v="0"/>
    <n v="0"/>
    <s v="NO CONVICTION"/>
    <x v="0"/>
    <s v="N"/>
    <m/>
    <s v="NO CONVICTION"/>
    <s v="Y"/>
    <x v="0"/>
    <x v="0"/>
    <s v="N"/>
    <n v="0.98275862068965514"/>
    <n v="1"/>
    <n v="1.7241379310344862E-2"/>
    <n v="0"/>
    <n v="-57"/>
    <n v="0"/>
    <n v="57"/>
    <e v="#VALUE!"/>
    <n v="57"/>
    <n v="0"/>
    <m/>
    <m/>
    <s v="N"/>
    <m/>
    <s v="31-60 DAYS"/>
    <n v="3"/>
    <x v="0"/>
  </r>
  <r>
    <n v="2186"/>
    <s v="N"/>
    <s v="N"/>
    <n v="2420144"/>
    <n v="5"/>
    <d v="2012-03-22T00:00:00"/>
    <d v="2012-04-24T00:00:00"/>
    <n v="2420144"/>
    <d v="2012-03-23T00:00:00"/>
    <d v="2012-04-24T00:00:00"/>
    <n v="15000"/>
    <x v="0"/>
    <m/>
    <s v="N"/>
    <s v="NONE"/>
    <s v="GUILTY PLEA - NO JURY"/>
    <n v="33"/>
    <n v="34"/>
    <n v="0"/>
    <n v="1"/>
    <m/>
    <m/>
    <m/>
    <m/>
    <m/>
    <m/>
    <m/>
    <m/>
    <m/>
    <d v="1979-05-21T00:00:00"/>
    <s v="M"/>
    <s v="B"/>
    <s v="BLACK"/>
    <s v="NON-HISPANIC"/>
    <s v="337"/>
    <s v="CONVICTED"/>
    <n v="2"/>
    <s v="STJ"/>
    <m/>
    <n v="9"/>
    <m/>
    <s v="MAN/DEL CS PG I &lt;1GRAM"/>
    <m/>
    <s v="FS"/>
    <s v="SALE DRUG"/>
    <m/>
    <m/>
    <m/>
    <m/>
    <m/>
    <m/>
    <m/>
    <m/>
    <m/>
    <s v="Appointed Attorney"/>
    <m/>
    <m/>
    <n v="33"/>
    <n v="33"/>
    <n v="34"/>
    <n v="32.770491803278688"/>
    <n v="0"/>
    <n v="0"/>
    <s v="CONVICTION"/>
    <x v="0"/>
    <s v="N"/>
    <m/>
    <s v="CONVICTION"/>
    <s v="Y"/>
    <x v="0"/>
    <x v="0"/>
    <s v="N"/>
    <n v="0.97058823529411764"/>
    <n v="1"/>
    <n v="2.9411764705882359E-2"/>
    <n v="0"/>
    <n v="-33"/>
    <n v="0"/>
    <n v="33"/>
    <e v="#VALUE!"/>
    <n v="33"/>
    <n v="0"/>
    <m/>
    <m/>
    <s v="Y"/>
    <m/>
    <s v="31-60 DAYS"/>
    <n v="3"/>
    <x v="0"/>
  </r>
  <r>
    <n v="763"/>
    <s v="N"/>
    <s v="N"/>
    <n v="2420913"/>
    <n v="6"/>
    <d v="2012-02-02T00:00:00"/>
    <d v="2012-02-10T00:00:00"/>
    <n v="2420913"/>
    <d v="2012-02-09T00:00:00"/>
    <d v="2012-02-10T00:00:00"/>
    <s v="NO BOND"/>
    <x v="1"/>
    <m/>
    <s v="N"/>
    <s v="NONE"/>
    <s v="GUILTY PLEA - NO JURY"/>
    <n v="2"/>
    <n v="9"/>
    <n v="3"/>
    <n v="4"/>
    <m/>
    <m/>
    <m/>
    <m/>
    <m/>
    <m/>
    <m/>
    <m/>
    <m/>
    <d v="1992-03-23T00:00:00"/>
    <s v="M"/>
    <s v="W"/>
    <s v="WHITE"/>
    <s v="NULL"/>
    <s v="339"/>
    <s v="CONVICTED"/>
    <n v="3"/>
    <s v="TDC"/>
    <n v="4"/>
    <m/>
    <m/>
    <s v="ROBBERY-BODILY INJURY"/>
    <m/>
    <s v="F2"/>
    <s v="ROBBERY"/>
    <m/>
    <m/>
    <m/>
    <m/>
    <m/>
    <m/>
    <m/>
    <m/>
    <m/>
    <s v="Appointed Attorney"/>
    <m/>
    <m/>
    <n v="2"/>
    <n v="2"/>
    <n v="9"/>
    <n v="19.8224043715847"/>
    <n v="0"/>
    <n v="0"/>
    <s v="CONVICTION"/>
    <x v="0"/>
    <s v="N"/>
    <m/>
    <s v="CONVICTION"/>
    <s v="Y"/>
    <x v="0"/>
    <x v="0"/>
    <s v="Y"/>
    <n v="0.22222222222222221"/>
    <n v="1"/>
    <n v="0.77777777777777779"/>
    <n v="0"/>
    <n v="-2"/>
    <n v="0"/>
    <n v="2"/>
    <e v="#VALUE!"/>
    <n v="2"/>
    <n v="0"/>
    <m/>
    <m/>
    <s v="Y"/>
    <m/>
    <s v="0-10 DAYS"/>
    <n v="1"/>
    <x v="0"/>
  </r>
  <r>
    <n v="1978"/>
    <s v="N"/>
    <s v="N"/>
    <n v="2421010"/>
    <n v="2"/>
    <d v="2012-03-14T00:00:00"/>
    <d v="2012-11-08T00:00:00"/>
    <n v="2421010"/>
    <d v="2012-03-15T00:00:00"/>
    <d v="2012-03-18T00:00:00"/>
    <n v="30000"/>
    <x v="2"/>
    <d v="2012-03-18T00:00:00"/>
    <s v="Y"/>
    <s v="SURETYPTRc"/>
    <s v="DEFERRED ADJUDICATION "/>
    <n v="4"/>
    <n v="240"/>
    <n v="0"/>
    <n v="1"/>
    <m/>
    <m/>
    <m/>
    <m/>
    <m/>
    <m/>
    <m/>
    <m/>
    <m/>
    <d v="1991-08-06T00:00:00"/>
    <s v="M"/>
    <s v="W"/>
    <s v="WHITE"/>
    <s v="NON-HISPANIC"/>
    <s v="262"/>
    <s v="DEFERRED"/>
    <n v="10"/>
    <s v="DEFERRED"/>
    <m/>
    <m/>
    <m/>
    <s v="AGG ROBBERY-DEADLY WPN"/>
    <m/>
    <s v="F1"/>
    <s v="ROBBERY"/>
    <m/>
    <m/>
    <m/>
    <m/>
    <m/>
    <m/>
    <m/>
    <m/>
    <m/>
    <s v="Appointed Attorney"/>
    <m/>
    <m/>
    <n v="4"/>
    <n v="239"/>
    <n v="240"/>
    <n v="20.562841530054644"/>
    <n v="0"/>
    <n v="-235"/>
    <s v="DEFERRED"/>
    <x v="1"/>
    <s v="Y"/>
    <m/>
    <s v="DEFERRED"/>
    <s v="Y"/>
    <x v="1"/>
    <x v="0"/>
    <s v="N"/>
    <n v="1.6666666666666666E-2"/>
    <n v="1.6736401673640166E-2"/>
    <n v="6.9735006973499492E-5"/>
    <n v="0"/>
    <n v="-4"/>
    <n v="0"/>
    <n v="4"/>
    <e v="#VALUE!"/>
    <n v="4"/>
    <n v="0"/>
    <m/>
    <m/>
    <s v="Y"/>
    <m/>
    <s v="0-10 DAYS"/>
    <n v="1"/>
    <x v="0"/>
  </r>
  <r>
    <n v="3099"/>
    <s v="N"/>
    <s v="N"/>
    <n v="2422022"/>
    <n v="2"/>
    <d v="2012-04-24T00:00:00"/>
    <d v="2012-05-29T00:00:00"/>
    <n v="2422022"/>
    <d v="2012-04-30T00:00:00"/>
    <d v="2012-05-01T00:00:00"/>
    <n v="2000"/>
    <x v="5"/>
    <d v="2012-05-01T00:00:00"/>
    <s v="Y"/>
    <s v="SURETY"/>
    <s v="DEFERRED ADJUDICATION "/>
    <n v="2"/>
    <n v="36"/>
    <n v="0"/>
    <n v="2"/>
    <m/>
    <m/>
    <m/>
    <m/>
    <m/>
    <m/>
    <m/>
    <m/>
    <m/>
    <d v="1990-05-17T00:00:00"/>
    <s v="M"/>
    <s v="W"/>
    <s v="WHITE"/>
    <s v="NON-HISPANIC"/>
    <s v="185"/>
    <s v="DEFERRED"/>
    <n v="3"/>
    <s v="DEFERRED"/>
    <m/>
    <m/>
    <m/>
    <s v="CREDIT/DEBIT CARD ABUSE"/>
    <m/>
    <s v="FS"/>
    <s v="OTHER FEL"/>
    <m/>
    <m/>
    <m/>
    <m/>
    <m/>
    <m/>
    <m/>
    <m/>
    <m/>
    <s v="Appointed Attorney"/>
    <m/>
    <m/>
    <n v="2"/>
    <n v="30"/>
    <n v="36"/>
    <n v="21.893442622950818"/>
    <n v="0"/>
    <n v="-28"/>
    <s v="DEFERRED"/>
    <x v="1"/>
    <s v="Y"/>
    <m/>
    <s v="DEFERRED"/>
    <s v="Y"/>
    <x v="1"/>
    <x v="0"/>
    <s v="N"/>
    <n v="5.5555555555555552E-2"/>
    <n v="6.6666666666666666E-2"/>
    <n v="1.1111111111111113E-2"/>
    <n v="0"/>
    <n v="-2"/>
    <n v="0"/>
    <n v="2"/>
    <e v="#VALUE!"/>
    <n v="2"/>
    <n v="0"/>
    <m/>
    <m/>
    <s v="Y"/>
    <m/>
    <s v="0-10 DAYS"/>
    <n v="1"/>
    <x v="0"/>
  </r>
  <r>
    <n v="2321"/>
    <s v="N"/>
    <s v="N"/>
    <n v="2423003"/>
    <n v="5"/>
    <d v="2012-03-28T00:00:00"/>
    <d v="2012-04-13T00:00:00"/>
    <n v="2423003"/>
    <d v="2012-03-29T00:00:00"/>
    <d v="2012-04-13T00:00:00"/>
    <s v="NO BOND"/>
    <x v="1"/>
    <m/>
    <s v="N"/>
    <s v="NONE"/>
    <s v="GUILTY PLEA - NO JURY"/>
    <n v="16"/>
    <n v="17"/>
    <n v="1"/>
    <n v="2"/>
    <m/>
    <n v="1"/>
    <m/>
    <m/>
    <m/>
    <m/>
    <m/>
    <m/>
    <m/>
    <d v="1980-08-06T00:00:00"/>
    <s v="M"/>
    <s v="B"/>
    <s v="BLACK"/>
    <s v="NON-HISPANIC"/>
    <s v="179"/>
    <s v="CONVICTED"/>
    <n v="2"/>
    <s v="STJ"/>
    <m/>
    <n v="6"/>
    <m/>
    <s v="POSS MARIJ  4 OZ. - 5 LBS."/>
    <m/>
    <s v="FS"/>
    <s v="POSS DRUG"/>
    <m/>
    <m/>
    <m/>
    <m/>
    <m/>
    <m/>
    <m/>
    <m/>
    <m/>
    <s v="Appointed Attorney"/>
    <m/>
    <m/>
    <n v="16"/>
    <n v="16"/>
    <n v="17"/>
    <n v="31.576502732240439"/>
    <n v="0"/>
    <n v="0"/>
    <s v="CONVICTION"/>
    <x v="0"/>
    <s v="N"/>
    <m/>
    <s v="CONVICTION"/>
    <s v="Y"/>
    <x v="0"/>
    <x v="0"/>
    <s v="Y"/>
    <n v="0.94117647058823528"/>
    <n v="1"/>
    <n v="5.8823529411764719E-2"/>
    <n v="0"/>
    <n v="-16"/>
    <n v="0"/>
    <n v="16"/>
    <e v="#VALUE!"/>
    <n v="16"/>
    <n v="0"/>
    <m/>
    <m/>
    <s v="Y"/>
    <m/>
    <s v="11-30 DAYS"/>
    <n v="2"/>
    <x v="0"/>
  </r>
  <r>
    <n v="2318"/>
    <s v="N"/>
    <s v="N"/>
    <n v="2423491"/>
    <n v="5"/>
    <d v="2012-03-28T00:00:00"/>
    <d v="2012-11-08T00:00:00"/>
    <n v="2423491"/>
    <d v="2012-03-28T00:00:00"/>
    <d v="2012-03-29T00:00:00"/>
    <n v="5000"/>
    <x v="4"/>
    <d v="2012-03-29T00:00:00"/>
    <s v="Y"/>
    <s v="SURETY"/>
    <s v="GUILTY PLEA - NO JURY"/>
    <n v="2"/>
    <n v="226"/>
    <n v="3"/>
    <n v="0"/>
    <n v="2"/>
    <m/>
    <m/>
    <m/>
    <m/>
    <m/>
    <m/>
    <m/>
    <m/>
    <d v="1991-11-22T00:00:00"/>
    <s v="M"/>
    <s v="W"/>
    <s v="WHITE"/>
    <s v="NULL"/>
    <s v="338"/>
    <s v="CONVICTED"/>
    <n v="10"/>
    <s v="STJ"/>
    <m/>
    <n v="7"/>
    <m/>
    <s v="THEFT $1500-20K"/>
    <m/>
    <s v="FS"/>
    <s v="THEFT"/>
    <m/>
    <m/>
    <m/>
    <m/>
    <m/>
    <m/>
    <m/>
    <m/>
    <m/>
    <s v="Hired Attorney"/>
    <m/>
    <m/>
    <n v="2"/>
    <n v="226"/>
    <n v="226"/>
    <n v="20.306010928961747"/>
    <n v="0"/>
    <n v="-224"/>
    <s v="CONVICTION"/>
    <x v="1"/>
    <s v="Y"/>
    <m/>
    <s v="CONVICTION"/>
    <s v="Y"/>
    <x v="1"/>
    <x v="0"/>
    <s v="Y"/>
    <n v="8.8495575221238937E-3"/>
    <n v="8.8495575221238937E-3"/>
    <n v="0"/>
    <n v="0"/>
    <n v="-2"/>
    <n v="0"/>
    <n v="2"/>
    <e v="#VALUE!"/>
    <n v="2"/>
    <n v="0"/>
    <m/>
    <m/>
    <s v="Y"/>
    <m/>
    <s v="0-10 DAYS"/>
    <n v="1"/>
    <x v="0"/>
  </r>
  <r>
    <n v="909"/>
    <s v="N"/>
    <s v="N"/>
    <n v="2423658"/>
    <n v="3"/>
    <d v="2012-02-03T00:00:00"/>
    <d v="2012-08-27T00:00:00"/>
    <n v="2423658"/>
    <d v="2012-02-04T00:00:00"/>
    <d v="2012-02-09T00:00:00"/>
    <n v="20000"/>
    <x v="0"/>
    <d v="2012-02-09T00:00:00"/>
    <s v="Y"/>
    <s v="SURETY"/>
    <s v="GUILTY PLEA - NO JURY"/>
    <n v="6"/>
    <n v="207"/>
    <n v="0"/>
    <n v="6"/>
    <m/>
    <m/>
    <m/>
    <m/>
    <m/>
    <m/>
    <m/>
    <m/>
    <m/>
    <d v="1972-11-19T00:00:00"/>
    <s v="M"/>
    <s v="B"/>
    <s v="BLACK"/>
    <s v="NULL"/>
    <s v="232"/>
    <s v="CONVICTED"/>
    <n v="6"/>
    <s v="PROBATION"/>
    <m/>
    <m/>
    <m/>
    <s v="INJURY CHILD UNDER 15 B/INJURY"/>
    <m/>
    <s v="F3"/>
    <s v="OTHER FEL"/>
    <m/>
    <m/>
    <m/>
    <m/>
    <m/>
    <m/>
    <m/>
    <m/>
    <m/>
    <s v="Public Defender"/>
    <m/>
    <m/>
    <n v="6"/>
    <n v="206"/>
    <n v="207"/>
    <n v="39.125683060109289"/>
    <n v="0"/>
    <n v="-200"/>
    <s v="CONVICTION"/>
    <x v="1"/>
    <s v="Y"/>
    <m/>
    <s v="CONVICTION"/>
    <s v="Y"/>
    <x v="1"/>
    <x v="0"/>
    <s v="N"/>
    <n v="2.8985507246376812E-2"/>
    <n v="2.9126213592233011E-2"/>
    <n v="1.4070634585619871E-4"/>
    <n v="0"/>
    <n v="-6"/>
    <n v="0"/>
    <n v="6"/>
    <e v="#VALUE!"/>
    <n v="6"/>
    <n v="0"/>
    <m/>
    <m/>
    <s v="Y"/>
    <m/>
    <s v="0-10 DAYS"/>
    <n v="1"/>
    <x v="0"/>
  </r>
  <r>
    <n v="2300"/>
    <s v="N"/>
    <s v="N"/>
    <n v="2424958"/>
    <n v="6"/>
    <d v="2012-03-28T00:00:00"/>
    <d v="2012-08-10T00:00:00"/>
    <n v="2424958"/>
    <d v="2012-03-28T00:00:00"/>
    <d v="2012-08-10T00:00:00"/>
    <n v="10000"/>
    <x v="3"/>
    <m/>
    <s v="N"/>
    <s v="NONE"/>
    <s v="GUILTY PLEA - NO JURY"/>
    <n v="136"/>
    <n v="136"/>
    <n v="0"/>
    <n v="1"/>
    <m/>
    <m/>
    <m/>
    <m/>
    <m/>
    <m/>
    <m/>
    <m/>
    <m/>
    <d v="1962-05-21T00:00:00"/>
    <s v="M"/>
    <s v="W"/>
    <s v="WHITE"/>
    <s v="NULL"/>
    <s v="182"/>
    <s v="CONVICTED"/>
    <n v="7"/>
    <s v="TDC"/>
    <n v="2"/>
    <m/>
    <m/>
    <s v="INJURY TO ELDERLY"/>
    <m/>
    <s v="F3"/>
    <s v="ASLT-MURDR"/>
    <m/>
    <m/>
    <m/>
    <m/>
    <m/>
    <m/>
    <m/>
    <m/>
    <m/>
    <s v="Appointed Attorney"/>
    <m/>
    <m/>
    <n v="136"/>
    <n v="136"/>
    <n v="136"/>
    <n v="49.751366120218577"/>
    <n v="0"/>
    <n v="0"/>
    <s v="CONVICTION"/>
    <x v="0"/>
    <s v="N"/>
    <m/>
    <s v="CONVICTION"/>
    <s v="Y"/>
    <x v="0"/>
    <x v="0"/>
    <s v="N"/>
    <n v="1"/>
    <n v="1"/>
    <n v="0"/>
    <n v="0"/>
    <n v="-136"/>
    <n v="0"/>
    <n v="136"/>
    <e v="#VALUE!"/>
    <n v="136"/>
    <n v="0"/>
    <m/>
    <m/>
    <s v="Y"/>
    <m/>
    <s v="121-365 DAYS"/>
    <n v="6"/>
    <x v="0"/>
  </r>
  <r>
    <n v="1543"/>
    <s v="N"/>
    <s v="N"/>
    <n v="2425458"/>
    <n v="1"/>
    <d v="2012-02-27T00:00:00"/>
    <d v="2012-02-28T00:00:00"/>
    <n v="2425458"/>
    <d v="2012-02-27T00:00:00"/>
    <d v="2012-02-28T00:00:00"/>
    <n v="2000"/>
    <x v="5"/>
    <m/>
    <s v="N"/>
    <s v="NONE"/>
    <s v="DISMISSED"/>
    <n v="2"/>
    <n v="2"/>
    <n v="0"/>
    <n v="1"/>
    <m/>
    <m/>
    <m/>
    <m/>
    <m/>
    <m/>
    <m/>
    <s v="S"/>
    <m/>
    <d v="1987-11-13T00:00:00"/>
    <s v="M"/>
    <s v="H"/>
    <s v="HISPANIC"/>
    <s v="NON-HISPANIC"/>
    <s v="228"/>
    <s v="DISMISSED"/>
    <n v="1"/>
    <s v="DISMISSED"/>
    <m/>
    <m/>
    <m/>
    <s v="POSS CS PG 1 &lt;1G"/>
    <m/>
    <s v="FS"/>
    <s v="POSS DRUG"/>
    <s v="8/23/12 evade arrest def adj"/>
    <m/>
    <m/>
    <m/>
    <m/>
    <m/>
    <m/>
    <m/>
    <m/>
    <s v="Appointed Attorney"/>
    <m/>
    <m/>
    <n v="2"/>
    <n v="2"/>
    <n v="2"/>
    <n v="24.240437158469945"/>
    <n v="0"/>
    <n v="0"/>
    <s v="NO CONVICTION"/>
    <x v="0"/>
    <s v="N"/>
    <m/>
    <s v="NO CONVICTION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2342"/>
    <s v="N"/>
    <s v="N"/>
    <n v="2427017"/>
    <n v="6"/>
    <d v="2012-03-29T00:00:00"/>
    <d v="2012-08-20T00:00:00"/>
    <n v="2427017"/>
    <d v="2012-07-17T00:00:00"/>
    <d v="2012-08-20T00:00:00"/>
    <s v="NO BOND"/>
    <x v="1"/>
    <m/>
    <s v="N"/>
    <s v="NONE"/>
    <s v="GUILTY PLEA - NO JURY"/>
    <n v="35"/>
    <n v="145"/>
    <n v="0"/>
    <n v="0"/>
    <m/>
    <m/>
    <m/>
    <m/>
    <m/>
    <m/>
    <m/>
    <m/>
    <m/>
    <d v="1973-02-24T00:00:00"/>
    <s v="F"/>
    <s v="H"/>
    <s v="HISPANIC"/>
    <s v="HISPANIC"/>
    <s v="208"/>
    <s v="CONVICTED"/>
    <n v="3"/>
    <s v="TDC"/>
    <n v="2"/>
    <m/>
    <m/>
    <s v="ROBBERY-BODILY INJURY"/>
    <m/>
    <s v="F2"/>
    <s v="ROBBERY"/>
    <m/>
    <m/>
    <m/>
    <m/>
    <m/>
    <m/>
    <m/>
    <m/>
    <m/>
    <s v="Appointed Attorney"/>
    <m/>
    <m/>
    <n v="35"/>
    <n v="35"/>
    <n v="145"/>
    <n v="39.010928961748633"/>
    <n v="0"/>
    <n v="0"/>
    <s v="CONVICTION"/>
    <x v="0"/>
    <s v="N"/>
    <m/>
    <s v="CONVICTION"/>
    <s v="Y"/>
    <x v="0"/>
    <x v="0"/>
    <s v="N"/>
    <n v="0.2413793103448276"/>
    <n v="1"/>
    <n v="0.75862068965517238"/>
    <n v="0"/>
    <n v="-35"/>
    <n v="0"/>
    <n v="35"/>
    <e v="#VALUE!"/>
    <n v="35"/>
    <n v="0"/>
    <m/>
    <m/>
    <s v="N"/>
    <m/>
    <s v="31-60 DAYS"/>
    <n v="3"/>
    <x v="0"/>
  </r>
  <r>
    <n v="1610"/>
    <s v="N"/>
    <s v="N"/>
    <n v="2427388"/>
    <n v="6"/>
    <d v="2012-02-29T00:00:00"/>
    <d v="2012-03-28T00:00:00"/>
    <n v="2427388"/>
    <d v="2012-02-29T00:00:00"/>
    <d v="2012-03-28T00:00:00"/>
    <n v="10000"/>
    <x v="3"/>
    <m/>
    <s v="N"/>
    <s v="NONE"/>
    <s v="GUILTY PLEA - NO JURY"/>
    <n v="29"/>
    <n v="29"/>
    <n v="0"/>
    <n v="1"/>
    <m/>
    <m/>
    <m/>
    <m/>
    <m/>
    <m/>
    <m/>
    <m/>
    <m/>
    <d v="1992-05-18T00:00:00"/>
    <s v="M"/>
    <s v="W"/>
    <s v="WHITE"/>
    <s v="NULL"/>
    <s v="232"/>
    <s v="CONVICTED"/>
    <n v="2"/>
    <s v="TDC"/>
    <n v="2"/>
    <m/>
    <m/>
    <s v="BURGLARY OF HABITATION"/>
    <m/>
    <s v="F2"/>
    <s v="BURGLARY"/>
    <m/>
    <m/>
    <m/>
    <m/>
    <m/>
    <m/>
    <m/>
    <m/>
    <m/>
    <s v="Public Defender"/>
    <m/>
    <m/>
    <n v="29"/>
    <n v="29"/>
    <n v="29"/>
    <n v="19.743169398907103"/>
    <n v="0"/>
    <n v="0"/>
    <s v="CONVICTION"/>
    <x v="0"/>
    <s v="N"/>
    <m/>
    <s v="CONVICTION"/>
    <s v="Y"/>
    <x v="0"/>
    <x v="0"/>
    <s v="N"/>
    <n v="1"/>
    <n v="1"/>
    <n v="0"/>
    <n v="0"/>
    <n v="-29"/>
    <n v="0"/>
    <n v="29"/>
    <e v="#VALUE!"/>
    <n v="29"/>
    <n v="0"/>
    <m/>
    <m/>
    <s v="Y"/>
    <m/>
    <s v="11-30 DAYS"/>
    <n v="2"/>
    <x v="0"/>
  </r>
  <r>
    <n v="2734"/>
    <s v="N"/>
    <s v="N"/>
    <n v="2428576"/>
    <n v="6"/>
    <d v="2012-04-11T00:00:00"/>
    <d v="2012-06-22T00:00:00"/>
    <n v="2428576"/>
    <d v="2012-04-12T00:00:00"/>
    <d v="2012-06-22T00:00:00"/>
    <n v="10000"/>
    <x v="3"/>
    <m/>
    <s v="N"/>
    <s v="NONE"/>
    <s v="GUILTY PLEA - NO JURY"/>
    <n v="72"/>
    <n v="73"/>
    <n v="1"/>
    <n v="0"/>
    <n v="1"/>
    <m/>
    <m/>
    <m/>
    <m/>
    <m/>
    <m/>
    <m/>
    <m/>
    <d v="1992-04-15T00:00:00"/>
    <s v="M"/>
    <s v="B"/>
    <s v="BLACK"/>
    <s v="NULL"/>
    <s v="208"/>
    <s v="CONVICTED"/>
    <n v="3"/>
    <s v="TDC"/>
    <n v="2"/>
    <m/>
    <m/>
    <s v="FELON POSS WPN"/>
    <m/>
    <s v="F3"/>
    <s v="OTHER FEL"/>
    <m/>
    <m/>
    <m/>
    <m/>
    <m/>
    <m/>
    <m/>
    <m/>
    <m/>
    <s v="Appointed Attorney"/>
    <m/>
    <m/>
    <n v="72"/>
    <n v="72"/>
    <n v="73"/>
    <n v="19.948087431693988"/>
    <n v="0"/>
    <n v="0"/>
    <s v="CONVICTION"/>
    <x v="0"/>
    <s v="N"/>
    <m/>
    <s v="CONVICTION"/>
    <s v="Y"/>
    <x v="0"/>
    <x v="0"/>
    <s v="Y"/>
    <n v="0.98630136986301364"/>
    <n v="1"/>
    <n v="1.3698630136986356E-2"/>
    <n v="0"/>
    <n v="-72"/>
    <n v="0"/>
    <n v="72"/>
    <e v="#VALUE!"/>
    <n v="72"/>
    <n v="0"/>
    <m/>
    <m/>
    <s v="Y"/>
    <m/>
    <s v="61-90 DAYS"/>
    <n v="4"/>
    <x v="0"/>
  </r>
  <r>
    <n v="3151"/>
    <s v="N"/>
    <s v="N"/>
    <n v="2428640"/>
    <n v="5"/>
    <d v="2012-04-26T00:00:00"/>
    <d v="2012-06-07T00:00:00"/>
    <n v="2428640"/>
    <d v="2012-04-26T00:00:00"/>
    <d v="2012-06-07T00:00:00"/>
    <s v="NO BOND"/>
    <x v="1"/>
    <m/>
    <s v="N"/>
    <s v="NONE"/>
    <s v="GUILTY PLEA - NO JURY"/>
    <n v="43"/>
    <n v="43"/>
    <n v="1"/>
    <n v="0"/>
    <m/>
    <m/>
    <m/>
    <m/>
    <m/>
    <m/>
    <m/>
    <m/>
    <m/>
    <d v="1987-08-26T00:00:00"/>
    <s v="M"/>
    <s v="B"/>
    <s v="BLACK"/>
    <s v="NULL"/>
    <s v="230"/>
    <s v="CONVICTED"/>
    <n v="4"/>
    <s v="STJ"/>
    <m/>
    <n v="6"/>
    <m/>
    <s v="MAN/DEL CS PG I &lt;1GRAM"/>
    <m/>
    <s v="FS"/>
    <s v="SALE DRUG"/>
    <m/>
    <m/>
    <m/>
    <m/>
    <m/>
    <m/>
    <m/>
    <m/>
    <m/>
    <s v="Hired Attorney"/>
    <m/>
    <m/>
    <n v="43"/>
    <n v="43"/>
    <n v="43"/>
    <n v="24.617486338797814"/>
    <n v="0"/>
    <n v="0"/>
    <s v="CONVICTION"/>
    <x v="0"/>
    <s v="N"/>
    <m/>
    <s v="CONVICTION"/>
    <s v="Y"/>
    <x v="0"/>
    <x v="0"/>
    <s v="Y"/>
    <n v="1"/>
    <n v="1"/>
    <n v="0"/>
    <n v="0"/>
    <n v="-43"/>
    <n v="0"/>
    <n v="43"/>
    <e v="#VALUE!"/>
    <n v="43"/>
    <n v="0"/>
    <m/>
    <m/>
    <s v="Y"/>
    <m/>
    <s v="31-60 DAYS"/>
    <n v="3"/>
    <x v="0"/>
  </r>
  <r>
    <n v="876"/>
    <s v="N"/>
    <s v="N"/>
    <n v="2428780"/>
    <n v="6"/>
    <d v="2012-02-02T00:00:00"/>
    <d v="2012-04-12T00:00:00"/>
    <n v="2428780"/>
    <d v="2012-02-08T00:00:00"/>
    <d v="2012-04-12T00:00:00"/>
    <n v="100000"/>
    <x v="2"/>
    <m/>
    <s v="N"/>
    <s v="NONE"/>
    <s v="GUILTY PLEA - NO JURY"/>
    <n v="65"/>
    <n v="71"/>
    <n v="1"/>
    <n v="1"/>
    <n v="1"/>
    <m/>
    <m/>
    <m/>
    <m/>
    <m/>
    <m/>
    <m/>
    <m/>
    <d v="1990-07-05T00:00:00"/>
    <s v="F"/>
    <s v="W"/>
    <s v="WHITE"/>
    <s v="NULL"/>
    <s v="248"/>
    <s v="CONVICTED"/>
    <n v="6"/>
    <s v="TDC"/>
    <n v="4"/>
    <m/>
    <m/>
    <s v="BURGLARY OF HABITATION"/>
    <m/>
    <s v="F2"/>
    <s v="BURGLARY"/>
    <m/>
    <m/>
    <m/>
    <m/>
    <m/>
    <m/>
    <m/>
    <m/>
    <m/>
    <s v="Hired Attorney"/>
    <m/>
    <m/>
    <n v="65"/>
    <n v="65"/>
    <n v="71"/>
    <n v="21.535519125683059"/>
    <n v="0"/>
    <n v="0"/>
    <s v="CONVICTION"/>
    <x v="0"/>
    <s v="N"/>
    <m/>
    <s v="CONVICTION"/>
    <s v="Y"/>
    <x v="0"/>
    <x v="0"/>
    <s v="Y"/>
    <n v="0.91549295774647887"/>
    <n v="1"/>
    <n v="8.4507042253521125E-2"/>
    <n v="0"/>
    <n v="-65"/>
    <n v="0"/>
    <n v="65"/>
    <e v="#VALUE!"/>
    <n v="65"/>
    <n v="0"/>
    <m/>
    <m/>
    <s v="Y"/>
    <m/>
    <s v="61-90 DAYS"/>
    <n v="4"/>
    <x v="0"/>
  </r>
  <r>
    <n v="2829"/>
    <s v="N"/>
    <s v="N"/>
    <n v="2429235"/>
    <n v="4"/>
    <d v="2012-04-14T00:00:00"/>
    <d v="2012-04-17T00:00:00"/>
    <n v="2429235"/>
    <d v="2012-04-14T00:00:00"/>
    <d v="2012-04-17T00:00:00"/>
    <n v="15000"/>
    <x v="0"/>
    <m/>
    <s v="N"/>
    <s v="NONE"/>
    <s v="GUILTY PLEA - NO JURY"/>
    <n v="4"/>
    <n v="4"/>
    <n v="3"/>
    <n v="1"/>
    <n v="1"/>
    <m/>
    <m/>
    <m/>
    <m/>
    <m/>
    <m/>
    <m/>
    <m/>
    <d v="1992-05-13T00:00:00"/>
    <s v="M"/>
    <s v="H"/>
    <s v="HISPANIC"/>
    <s v="HISPANIC"/>
    <s v="180"/>
    <s v="CONVICTED"/>
    <n v="2"/>
    <s v="HCJ"/>
    <m/>
    <m/>
    <n v="270"/>
    <s v="POSS CS PG 1 &lt;1G"/>
    <m/>
    <s v="FS"/>
    <s v="POSS DRUG"/>
    <m/>
    <m/>
    <m/>
    <m/>
    <m/>
    <m/>
    <m/>
    <m/>
    <m/>
    <s v="Appointed Attorney"/>
    <m/>
    <m/>
    <n v="4"/>
    <n v="4"/>
    <n v="4"/>
    <n v="19.879781420765028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m/>
    <m/>
    <s v="Y"/>
    <m/>
    <s v="0-10 DAYS"/>
    <n v="1"/>
    <x v="0"/>
  </r>
  <r>
    <n v="1609"/>
    <s v="N"/>
    <s v="N"/>
    <n v="2429857"/>
    <n v="5"/>
    <d v="2012-02-29T00:00:00"/>
    <d v="2012-04-26T00:00:00"/>
    <n v="2429857"/>
    <d v="2012-03-03T00:00:00"/>
    <d v="2012-04-26T00:00:00"/>
    <n v="20000"/>
    <x v="0"/>
    <m/>
    <s v="N"/>
    <s v="NONE"/>
    <s v="GUILTY PLEA - NO JURY"/>
    <n v="55"/>
    <n v="58"/>
    <n v="2"/>
    <n v="2"/>
    <m/>
    <m/>
    <m/>
    <m/>
    <m/>
    <m/>
    <m/>
    <m/>
    <m/>
    <d v="1991-12-31T00:00:00"/>
    <s v="M"/>
    <s v="H"/>
    <s v="HISPANIC"/>
    <s v="HISPANIC"/>
    <s v="178"/>
    <s v="CONVICTED"/>
    <n v="6"/>
    <s v="STJ"/>
    <m/>
    <n v="7"/>
    <m/>
    <s v="BURGLARY OF A BUILDING"/>
    <m/>
    <s v="FS"/>
    <s v="BURGLARY"/>
    <m/>
    <m/>
    <m/>
    <m/>
    <m/>
    <m/>
    <m/>
    <m/>
    <m/>
    <s v="Hired Attorney"/>
    <m/>
    <m/>
    <n v="55"/>
    <n v="55"/>
    <n v="58"/>
    <n v="20.122950819672131"/>
    <n v="0"/>
    <n v="0"/>
    <s v="CONVICTION"/>
    <x v="0"/>
    <s v="N"/>
    <m/>
    <s v="CONVICTION"/>
    <s v="Y"/>
    <x v="0"/>
    <x v="0"/>
    <s v="Y"/>
    <n v="0.94827586206896552"/>
    <n v="1"/>
    <n v="5.1724137931034475E-2"/>
    <n v="0"/>
    <n v="-55"/>
    <n v="0"/>
    <n v="55"/>
    <e v="#VALUE!"/>
    <n v="55"/>
    <n v="0"/>
    <m/>
    <m/>
    <s v="Y"/>
    <m/>
    <s v="31-60 DAYS"/>
    <n v="3"/>
    <x v="0"/>
  </r>
  <r>
    <n v="305"/>
    <s v="N"/>
    <s v="N"/>
    <n v="2430431"/>
    <n v="5"/>
    <d v="2012-01-13T00:00:00"/>
    <d v="2012-01-17T00:00:00"/>
    <n v="2430431"/>
    <d v="2012-01-13T00:00:00"/>
    <d v="2012-01-17T00:00:00"/>
    <n v="2000"/>
    <x v="5"/>
    <m/>
    <s v="N"/>
    <s v="NONE"/>
    <s v="GUILTY PLEA - NO JURY"/>
    <n v="5"/>
    <n v="5"/>
    <n v="3"/>
    <n v="0"/>
    <n v="3"/>
    <m/>
    <m/>
    <m/>
    <m/>
    <m/>
    <m/>
    <m/>
    <m/>
    <d v="1988-08-29T00:00:00"/>
    <s v="M"/>
    <s v="B"/>
    <s v="BLACK"/>
    <s v="NON-HISPANIC"/>
    <s v="179"/>
    <s v="CONVICTED"/>
    <n v="1"/>
    <s v="STJ"/>
    <m/>
    <n v="8"/>
    <m/>
    <s v="POSS CS PG 1 &lt;1G"/>
    <m/>
    <s v="FS"/>
    <s v="POSS DRUG"/>
    <m/>
    <m/>
    <m/>
    <m/>
    <m/>
    <m/>
    <m/>
    <m/>
    <m/>
    <s v="Appointed Attorney"/>
    <m/>
    <m/>
    <n v="5"/>
    <n v="5"/>
    <n v="5"/>
    <n v="23.325136612021858"/>
    <n v="0"/>
    <n v="0"/>
    <s v="CONVICTION"/>
    <x v="0"/>
    <s v="N"/>
    <m/>
    <s v="CONVICTION"/>
    <s v="Y"/>
    <x v="0"/>
    <x v="0"/>
    <s v="Y"/>
    <n v="1"/>
    <n v="1"/>
    <n v="0"/>
    <n v="0"/>
    <n v="-5"/>
    <n v="0"/>
    <n v="5"/>
    <e v="#VALUE!"/>
    <n v="5"/>
    <n v="0"/>
    <m/>
    <m/>
    <s v="Y"/>
    <m/>
    <s v="0-10 DAYS"/>
    <n v="1"/>
    <x v="0"/>
  </r>
  <r>
    <n v="2045"/>
    <s v="N"/>
    <s v="N"/>
    <n v="2430557"/>
    <n v="4"/>
    <d v="2012-03-17T00:00:00"/>
    <d v="2012-09-06T00:00:00"/>
    <n v="2430557"/>
    <d v="2012-03-17T00:00:00"/>
    <d v="2012-03-18T00:00:00"/>
    <n v="2000"/>
    <x v="5"/>
    <d v="2012-03-18T00:00:00"/>
    <s v="Y"/>
    <s v="SURETY"/>
    <s v="GUILTY PLEA - NO JURY"/>
    <n v="2"/>
    <n v="174"/>
    <n v="0"/>
    <n v="0"/>
    <m/>
    <m/>
    <m/>
    <m/>
    <m/>
    <m/>
    <m/>
    <s v="S"/>
    <m/>
    <d v="1992-03-21T00:00:00"/>
    <s v="M"/>
    <s v="H"/>
    <s v="HISPANIC"/>
    <s v="NULL"/>
    <s v="209"/>
    <s v="CONVICTED"/>
    <n v="6"/>
    <s v="HCJ"/>
    <m/>
    <m/>
    <n v="2"/>
    <s v="POSS MARIJ  4 OZ. - 5 LBS."/>
    <m/>
    <s v="FS"/>
    <s v="POSS DRUG"/>
    <m/>
    <m/>
    <m/>
    <m/>
    <m/>
    <m/>
    <m/>
    <m/>
    <m/>
    <s v="Hired Attorney"/>
    <m/>
    <m/>
    <n v="2"/>
    <n v="174"/>
    <n v="174"/>
    <n v="19.948087431693988"/>
    <n v="0"/>
    <n v="-172"/>
    <s v="CONVICTION"/>
    <x v="1"/>
    <s v="Y"/>
    <m/>
    <s v="CONVICTION"/>
    <s v="Y"/>
    <x v="1"/>
    <x v="0"/>
    <s v="N"/>
    <n v="1.1494252873563218E-2"/>
    <n v="1.1494252873563218E-2"/>
    <n v="0"/>
    <n v="0"/>
    <n v="-2"/>
    <n v="0"/>
    <n v="2"/>
    <e v="#VALUE!"/>
    <n v="2"/>
    <n v="0"/>
    <m/>
    <m/>
    <s v="N"/>
    <m/>
    <s v="0-10 DAYS"/>
    <n v="1"/>
    <x v="0"/>
  </r>
  <r>
    <n v="2925"/>
    <s v="N"/>
    <s v="N"/>
    <n v="2430711"/>
    <n v="6"/>
    <d v="2012-04-18T00:00:00"/>
    <d v="2012-08-21T00:00:00"/>
    <n v="2430711"/>
    <d v="2012-04-18T00:00:00"/>
    <d v="2012-08-21T00:00:00"/>
    <s v="NO BOND"/>
    <x v="1"/>
    <m/>
    <s v="N"/>
    <s v="NONE"/>
    <s v="GUILTY PLEA - NO JURY"/>
    <n v="126"/>
    <n v="126"/>
    <n v="3"/>
    <n v="3"/>
    <n v="1"/>
    <m/>
    <m/>
    <m/>
    <m/>
    <m/>
    <m/>
    <m/>
    <m/>
    <d v="1984-08-01T00:00:00"/>
    <s v="F"/>
    <s v="W"/>
    <s v="WHITE"/>
    <s v="NON-HISPANIC"/>
    <s v="178"/>
    <s v="CONVICTED"/>
    <n v="6"/>
    <s v="TDC"/>
    <n v="6"/>
    <m/>
    <m/>
    <s v="POSS CS PG 1 4G - 200G"/>
    <m/>
    <s v="F2"/>
    <s v="POSS DRUG"/>
    <m/>
    <m/>
    <m/>
    <m/>
    <m/>
    <m/>
    <m/>
    <m/>
    <m/>
    <s v="Appointed Attorney"/>
    <m/>
    <m/>
    <n v="126"/>
    <n v="126"/>
    <n v="126"/>
    <n v="27.655737704918032"/>
    <n v="0"/>
    <n v="0"/>
    <s v="CONVICTION"/>
    <x v="0"/>
    <s v="N"/>
    <m/>
    <s v="CONVICTION"/>
    <s v="Y"/>
    <x v="0"/>
    <x v="0"/>
    <s v="Y"/>
    <n v="1"/>
    <n v="1"/>
    <n v="0"/>
    <n v="0"/>
    <n v="-126"/>
    <n v="0"/>
    <n v="126"/>
    <e v="#VALUE!"/>
    <n v="126"/>
    <n v="0"/>
    <m/>
    <m/>
    <s v="Y"/>
    <m/>
    <s v="121-365 DAYS"/>
    <n v="6"/>
    <x v="0"/>
  </r>
  <r>
    <n v="1850"/>
    <s v="N"/>
    <s v="N"/>
    <n v="2430840"/>
    <n v="2"/>
    <d v="2012-03-09T00:00:00"/>
    <d v="2012-04-24T00:00:00"/>
    <n v="2430840"/>
    <d v="2012-03-09T00:00:00"/>
    <d v="2012-04-24T00:00:00"/>
    <n v="10000"/>
    <x v="3"/>
    <m/>
    <s v="N"/>
    <s v="NONE"/>
    <s v="DEFERRED ADJUDICATION "/>
    <n v="47"/>
    <n v="47"/>
    <n v="0"/>
    <n v="1"/>
    <m/>
    <m/>
    <m/>
    <m/>
    <m/>
    <m/>
    <m/>
    <m/>
    <m/>
    <d v="1976-05-30T00:00:00"/>
    <s v="F"/>
    <s v="W"/>
    <s v="WHITE"/>
    <s v="NULL"/>
    <s v="179"/>
    <s v="DEFERRED"/>
    <n v="3"/>
    <s v="DEFERRED"/>
    <m/>
    <m/>
    <m/>
    <s v="POSS CS PG 1 &lt;1G"/>
    <m/>
    <s v="FS"/>
    <s v="POSS DRUG"/>
    <m/>
    <m/>
    <m/>
    <m/>
    <m/>
    <m/>
    <m/>
    <m/>
    <m/>
    <s v="Appointed Attorney"/>
    <m/>
    <m/>
    <n v="47"/>
    <n v="47"/>
    <n v="47"/>
    <n v="35.702185792349724"/>
    <n v="0"/>
    <n v="0"/>
    <s v="DEFERRED"/>
    <x v="0"/>
    <s v="N"/>
    <m/>
    <s v="DEFERRED"/>
    <s v="Y"/>
    <x v="0"/>
    <x v="0"/>
    <s v="N"/>
    <n v="1"/>
    <n v="1"/>
    <n v="0"/>
    <n v="0"/>
    <n v="-47"/>
    <n v="0"/>
    <n v="47"/>
    <e v="#VALUE!"/>
    <n v="47"/>
    <n v="0"/>
    <m/>
    <m/>
    <s v="Y"/>
    <m/>
    <s v="31-60 DAYS"/>
    <n v="3"/>
    <x v="0"/>
  </r>
  <r>
    <n v="2374"/>
    <s v="N"/>
    <s v="N"/>
    <n v="2430923"/>
    <n v="2"/>
    <d v="2012-03-30T00:00:00"/>
    <d v="2012-07-27T00:00:00"/>
    <n v="2430923"/>
    <s v="NOT BOOKED"/>
    <s v="NOT BOOKED"/>
    <n v="2000"/>
    <x v="5"/>
    <d v="2012-04-06T00:00:00"/>
    <s v="Y"/>
    <s v="SURETY"/>
    <s v="DEFERRED ADJUDICATION "/>
    <n v="0"/>
    <n v="120"/>
    <n v="0"/>
    <n v="0"/>
    <m/>
    <m/>
    <m/>
    <m/>
    <m/>
    <m/>
    <m/>
    <m/>
    <m/>
    <d v="1991-11-25T00:00:00"/>
    <s v="F"/>
    <s v="B"/>
    <s v="BLACK"/>
    <s v="NULL"/>
    <s v="248"/>
    <s v="DEFERRED"/>
    <n v="6"/>
    <s v="DEFERRED"/>
    <m/>
    <m/>
    <m/>
    <s v="THEFT FROM PERSON"/>
    <m/>
    <s v="FS"/>
    <s v="THEFT"/>
    <s v="7/30/12 misd assault 10 days hcj"/>
    <m/>
    <m/>
    <m/>
    <m/>
    <m/>
    <m/>
    <m/>
    <m/>
    <s v="Hired Attorney"/>
    <m/>
    <m/>
    <n v="0"/>
    <n v="0"/>
    <n v="120"/>
    <n v="20.303278688524589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742"/>
    <s v="N"/>
    <s v="N"/>
    <n v="2431185"/>
    <n v="6"/>
    <d v="2012-03-05T00:00:00"/>
    <d v="2013-01-04T00:00:00"/>
    <n v="2431185"/>
    <d v="2012-03-06T00:00:00"/>
    <d v="2012-04-15T00:00:00"/>
    <n v="20000"/>
    <x v="0"/>
    <d v="2012-04-15T00:00:00"/>
    <s v="Y"/>
    <s v="SURETYPTRc"/>
    <s v="GUILTY PLEA - NO JURY"/>
    <n v="41"/>
    <n v="306"/>
    <n v="0"/>
    <n v="1"/>
    <m/>
    <m/>
    <m/>
    <m/>
    <m/>
    <m/>
    <m/>
    <m/>
    <m/>
    <d v="1983-01-25T00:00:00"/>
    <s v="M"/>
    <s v="W"/>
    <s v="WHITE"/>
    <s v="NON-HISPANIC"/>
    <s v="337"/>
    <s v="CONVICTED"/>
    <n v="8"/>
    <s v="TDC"/>
    <n v="3"/>
    <m/>
    <m/>
    <s v="BURGLARY OF HABITATION"/>
    <m/>
    <s v="F2"/>
    <s v="BURGLARY"/>
    <m/>
    <m/>
    <m/>
    <m/>
    <m/>
    <m/>
    <m/>
    <m/>
    <m/>
    <s v="Hired Attorney"/>
    <m/>
    <m/>
    <n v="41"/>
    <n v="305"/>
    <n v="306"/>
    <n v="29.049180327868854"/>
    <n v="0"/>
    <n v="-264"/>
    <s v="CONVICTION"/>
    <x v="1"/>
    <s v="Y"/>
    <m/>
    <s v="CONVICTION"/>
    <s v="Y"/>
    <x v="1"/>
    <x v="0"/>
    <s v="N"/>
    <n v="0.13398692810457516"/>
    <n v="0.13442622950819672"/>
    <n v="4.393014036215559E-4"/>
    <n v="0"/>
    <n v="-41"/>
    <n v="0"/>
    <n v="41"/>
    <e v="#VALUE!"/>
    <n v="41"/>
    <n v="0"/>
    <m/>
    <m/>
    <s v="Y"/>
    <m/>
    <s v="31-60 DAYS"/>
    <n v="3"/>
    <x v="0"/>
  </r>
  <r>
    <n v="2119"/>
    <s v="N"/>
    <s v="N"/>
    <n v="2431327"/>
    <n v="5"/>
    <d v="2012-03-20T00:00:00"/>
    <d v="2012-03-22T00:00:00"/>
    <n v="2431327"/>
    <d v="2012-03-20T00:00:00"/>
    <d v="2012-03-22T00:00:00"/>
    <n v="2000"/>
    <x v="5"/>
    <m/>
    <s v="N"/>
    <s v="NONE"/>
    <s v="GUILTY PLEA - NO JURY"/>
    <n v="3"/>
    <n v="3"/>
    <n v="1"/>
    <n v="2"/>
    <m/>
    <m/>
    <m/>
    <m/>
    <m/>
    <m/>
    <m/>
    <m/>
    <m/>
    <d v="1990-03-05T00:00:00"/>
    <s v="M"/>
    <s v="W"/>
    <s v="WHITE"/>
    <s v="NULL"/>
    <s v="230"/>
    <s v="CONVICTED"/>
    <n v="1"/>
    <s v="STJ"/>
    <m/>
    <n v="6"/>
    <m/>
    <s v="BURGLARY OF A BUILDING"/>
    <m/>
    <s v="FS"/>
    <s v="BURGLARY"/>
    <m/>
    <m/>
    <m/>
    <m/>
    <m/>
    <m/>
    <m/>
    <m/>
    <m/>
    <s v="Appointed Attorney"/>
    <m/>
    <m/>
    <n v="3"/>
    <n v="3"/>
    <n v="3"/>
    <n v="21.997267759562842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681"/>
    <s v="N"/>
    <s v="N"/>
    <n v="2431703"/>
    <n v="4"/>
    <d v="2012-04-09T00:00:00"/>
    <d v="2013-06-24T00:00:00"/>
    <n v="2431703"/>
    <d v="2012-04-10T00:00:00"/>
    <d v="2012-04-11T00:00:00"/>
    <n v="10000"/>
    <x v="3"/>
    <d v="2012-04-11T00:00:00"/>
    <s v="Y"/>
    <s v="SURETY"/>
    <s v="NULL"/>
    <n v="2"/>
    <n v="442"/>
    <n v="2"/>
    <n v="1"/>
    <m/>
    <m/>
    <m/>
    <m/>
    <m/>
    <m/>
    <m/>
    <m/>
    <m/>
    <d v="1985-11-20T00:00:00"/>
    <s v="M"/>
    <s v="B"/>
    <s v="BLACK"/>
    <s v="NULL"/>
    <s v="208"/>
    <s v="CONVICTED"/>
    <n v="15"/>
    <s v="HCJ"/>
    <m/>
    <m/>
    <n v="365"/>
    <s v="FELON POSS WPN"/>
    <m/>
    <s v="F3"/>
    <s v="OTHER FEL"/>
    <m/>
    <m/>
    <m/>
    <m/>
    <m/>
    <m/>
    <m/>
    <m/>
    <m/>
    <s v="Hired Attorney"/>
    <m/>
    <m/>
    <n v="2"/>
    <n v="441"/>
    <n v="442"/>
    <n v="26.330601092896174"/>
    <n v="0"/>
    <n v="-439"/>
    <s v="CONVICTION"/>
    <x v="1"/>
    <s v="Y"/>
    <m/>
    <s v="CONVICTION"/>
    <s v="Y"/>
    <x v="1"/>
    <x v="0"/>
    <s v="Y"/>
    <n v="4.5248868778280547E-3"/>
    <n v="4.5351473922902496E-3"/>
    <n v="1.026051446219485E-5"/>
    <n v="0"/>
    <n v="-2"/>
    <n v="0"/>
    <n v="2"/>
    <e v="#VALUE!"/>
    <n v="2"/>
    <n v="0"/>
    <m/>
    <m/>
    <s v="Y"/>
    <m/>
    <s v="0-10 DAYS"/>
    <n v="1"/>
    <x v="0"/>
  </r>
  <r>
    <n v="2907"/>
    <s v="N"/>
    <s v="N"/>
    <n v="2432612"/>
    <n v="1"/>
    <d v="2012-04-17T00:00:00"/>
    <d v="2012-05-17T00:00:00"/>
    <n v="2432612"/>
    <d v="2012-04-18T00:00:00"/>
    <d v="2012-04-19T00:00:00"/>
    <n v="2000"/>
    <x v="5"/>
    <d v="2012-04-19T00:00:00"/>
    <s v="Y"/>
    <s v="SURETY"/>
    <s v="DISMISSED"/>
    <n v="2"/>
    <n v="31"/>
    <n v="0"/>
    <n v="0"/>
    <m/>
    <m/>
    <m/>
    <m/>
    <m/>
    <m/>
    <m/>
    <m/>
    <m/>
    <d v="1990-12-21T00:00:00"/>
    <s v="M"/>
    <s v="W"/>
    <s v="WHITE"/>
    <s v="NULL"/>
    <s v="339"/>
    <s v="DISMISSED"/>
    <n v="2"/>
    <s v="DISMISSED"/>
    <m/>
    <m/>
    <m/>
    <s v="POSS CS PG 1 &lt;1G"/>
    <m/>
    <s v="FS"/>
    <s v="POSS DRUG"/>
    <m/>
    <m/>
    <m/>
    <m/>
    <m/>
    <m/>
    <m/>
    <m/>
    <m/>
    <s v="Hired Attorney"/>
    <m/>
    <m/>
    <n v="2"/>
    <n v="30"/>
    <n v="31"/>
    <n v="21.278688524590162"/>
    <n v="0"/>
    <n v="-28"/>
    <s v="NO CONVICTION"/>
    <x v="1"/>
    <s v="Y"/>
    <m/>
    <s v="NO CONVICTION"/>
    <s v="Y"/>
    <x v="1"/>
    <x v="0"/>
    <s v="N"/>
    <n v="6.4516129032258063E-2"/>
    <n v="6.6666666666666666E-2"/>
    <n v="2.150537634408603E-3"/>
    <n v="0"/>
    <n v="-2"/>
    <n v="0"/>
    <n v="2"/>
    <e v="#VALUE!"/>
    <n v="2"/>
    <n v="0"/>
    <m/>
    <m/>
    <s v="N"/>
    <m/>
    <s v="0-10 DAYS"/>
    <n v="1"/>
    <x v="0"/>
  </r>
  <r>
    <n v="1996"/>
    <s v="N"/>
    <s v="Y"/>
    <n v="2433155"/>
    <n v="5"/>
    <d v="2012-03-15T00:00:00"/>
    <d v="2012-10-23T00:00:00"/>
    <n v="2433155"/>
    <d v="2012-03-16T00:00:00"/>
    <d v="2012-05-16T00:00:00"/>
    <n v="30000"/>
    <x v="2"/>
    <d v="2012-05-16T00:00:00"/>
    <s v="Y"/>
    <s v="SURETY"/>
    <s v="GUILTY PLEA - NO JURY"/>
    <n v="62"/>
    <n v="223"/>
    <n v="2"/>
    <n v="3"/>
    <n v="1"/>
    <m/>
    <m/>
    <m/>
    <m/>
    <m/>
    <m/>
    <m/>
    <m/>
    <d v="1982-07-12T00:00:00"/>
    <s v="M"/>
    <s v="B"/>
    <s v="BLACK"/>
    <s v="NULL"/>
    <s v="208"/>
    <s v="CONVICTED"/>
    <n v="11"/>
    <s v="STJ"/>
    <m/>
    <n v="10"/>
    <m/>
    <s v="THEFT $1500-20K"/>
    <m/>
    <s v="FS"/>
    <s v="THEFT"/>
    <m/>
    <s v="REV 11/1/12"/>
    <m/>
    <m/>
    <s v="Y"/>
    <m/>
    <m/>
    <m/>
    <m/>
    <s v="Appointed Attorney"/>
    <m/>
    <m/>
    <n v="62"/>
    <n v="222"/>
    <n v="223"/>
    <n v="29.614754098360656"/>
    <n v="0"/>
    <n v="-160"/>
    <s v="CONVICTION"/>
    <x v="1"/>
    <s v="Y"/>
    <m/>
    <s v="CONVICTION"/>
    <s v="Y"/>
    <x v="1"/>
    <x v="0"/>
    <s v="Y"/>
    <n v="0.27802690582959644"/>
    <n v="0.27927927927927926"/>
    <n v="1.2523734496828198E-3"/>
    <n v="0"/>
    <n v="-62"/>
    <n v="0"/>
    <n v="62"/>
    <e v="#VALUE!"/>
    <m/>
    <n v="160"/>
    <m/>
    <m/>
    <s v="Y"/>
    <m/>
    <s v="61-90 DAYS"/>
    <n v="4"/>
    <x v="0"/>
  </r>
  <r>
    <n v="42"/>
    <s v="N"/>
    <s v="N"/>
    <n v="2433170"/>
    <n v="1"/>
    <d v="2012-01-03T00:00:00"/>
    <d v="2012-01-05T00:00:00"/>
    <n v="2433170"/>
    <s v="NOT BOOKED"/>
    <s v="NOT BOOKED"/>
    <n v="5000"/>
    <x v="4"/>
    <m/>
    <s v="NO BOND MADE - NON ARREST"/>
    <s v="NONE"/>
    <s v="DISMISSED"/>
    <n v="0"/>
    <n v="3"/>
    <n v="0"/>
    <n v="0"/>
    <m/>
    <m/>
    <m/>
    <m/>
    <m/>
    <m/>
    <m/>
    <m/>
    <m/>
    <d v="1988-06-11T00:00:00"/>
    <s v="M"/>
    <s v="B"/>
    <s v="BLACK"/>
    <s v="NULL"/>
    <s v="339"/>
    <s v="DISMISSED"/>
    <n v="1"/>
    <s v="DISMISSED"/>
    <m/>
    <m/>
    <m/>
    <s v="THEFT &gt;=$20,000 &lt;$100,000"/>
    <m/>
    <s v="F3"/>
    <s v="THEFT"/>
    <m/>
    <m/>
    <m/>
    <m/>
    <m/>
    <m/>
    <m/>
    <m/>
    <m/>
    <s v="Other/Unknown"/>
    <m/>
    <m/>
    <n v="0"/>
    <n v="0"/>
    <n v="3"/>
    <n v="23.513661202185791"/>
    <e v="#VALUE!"/>
    <e v="#VALUE!"/>
    <s v="NO CONVICTION"/>
    <x v="0"/>
    <s v="N"/>
    <m/>
    <s v="NO CONVICTION"/>
    <n v="0"/>
    <x v="2"/>
    <x v="0"/>
    <s v="N"/>
    <n v="0"/>
    <n v="0"/>
    <n v="0"/>
    <n v="0"/>
    <e v="#VALUE!"/>
    <e v="#VALUE!"/>
    <e v="#VALUE!"/>
    <n v="0"/>
    <n v="0"/>
    <m/>
    <m/>
    <m/>
    <s v="N"/>
    <m/>
    <s v="0-10 DAYS"/>
    <n v="1"/>
    <x v="1"/>
  </r>
  <r>
    <n v="1760"/>
    <s v="N"/>
    <s v="N"/>
    <n v="2433234"/>
    <n v="6"/>
    <d v="2012-03-06T00:00:00"/>
    <d v="2012-12-11T00:00:00"/>
    <n v="2433234"/>
    <d v="2012-03-07T00:00:00"/>
    <d v="2012-12-11T00:00:00"/>
    <n v="90000"/>
    <x v="2"/>
    <m/>
    <s v="N"/>
    <s v="NONE"/>
    <s v="GUILTY PLEA - NO JURY"/>
    <n v="280"/>
    <n v="281"/>
    <n v="0"/>
    <n v="1"/>
    <m/>
    <m/>
    <m/>
    <m/>
    <m/>
    <m/>
    <m/>
    <m/>
    <m/>
    <d v="1992-04-22T00:00:00"/>
    <s v="M"/>
    <s v="B"/>
    <s v="BLACK"/>
    <s v="NON-HISPANIC"/>
    <s v="209"/>
    <s v="CONVICTED"/>
    <n v="8"/>
    <s v="TDC"/>
    <n v="9"/>
    <m/>
    <m/>
    <s v="BURGLARY OF HABITATION"/>
    <m/>
    <s v="F2"/>
    <s v="BURGLARY"/>
    <m/>
    <m/>
    <m/>
    <m/>
    <m/>
    <m/>
    <m/>
    <m/>
    <m/>
    <s v="Appointed Attorney"/>
    <m/>
    <m/>
    <n v="280"/>
    <n v="280"/>
    <n v="281"/>
    <n v="19.830601092896174"/>
    <n v="0"/>
    <n v="0"/>
    <s v="CONVICTION"/>
    <x v="0"/>
    <s v="N"/>
    <m/>
    <s v="CONVICTION"/>
    <s v="Y"/>
    <x v="0"/>
    <x v="0"/>
    <s v="N"/>
    <n v="0.99644128113879005"/>
    <n v="1"/>
    <n v="3.558718861209953E-3"/>
    <n v="0"/>
    <n v="-280"/>
    <n v="0"/>
    <n v="280"/>
    <e v="#VALUE!"/>
    <n v="280"/>
    <n v="0"/>
    <m/>
    <m/>
    <s v="Y"/>
    <m/>
    <s v="121-365 DAYS"/>
    <n v="6"/>
    <x v="0"/>
  </r>
  <r>
    <n v="413"/>
    <s v="N"/>
    <s v="N"/>
    <n v="2433749"/>
    <n v="2"/>
    <d v="2012-01-18T00:00:00"/>
    <d v="2012-10-11T00:00:00"/>
    <n v="2433749"/>
    <d v="2012-01-18T00:00:00"/>
    <d v="2012-10-11T00:00:00"/>
    <n v="30000"/>
    <x v="2"/>
    <m/>
    <s v="N"/>
    <s v="NONE"/>
    <s v="DEFERRED ADJUDICATION "/>
    <n v="268"/>
    <n v="268"/>
    <n v="0"/>
    <n v="0"/>
    <m/>
    <m/>
    <m/>
    <m/>
    <m/>
    <m/>
    <m/>
    <s v="S"/>
    <m/>
    <d v="1986-12-11T00:00:00"/>
    <s v="M"/>
    <s v="H"/>
    <s v="HISPANIC"/>
    <s v="NULL"/>
    <s v="263"/>
    <s v="DEFERRED"/>
    <n v="11"/>
    <s v="DEFERRED"/>
    <m/>
    <m/>
    <m/>
    <s v="MAN/DEL CS PG I 4-200 GRAMS"/>
    <m/>
    <s v="F1"/>
    <s v="SALE DRUG"/>
    <m/>
    <m/>
    <m/>
    <m/>
    <m/>
    <m/>
    <m/>
    <m/>
    <m/>
    <s v="Hired Attorney"/>
    <m/>
    <m/>
    <n v="268"/>
    <n v="268"/>
    <n v="268"/>
    <n v="25.051912568306012"/>
    <n v="0"/>
    <n v="0"/>
    <s v="DEFERRED"/>
    <x v="0"/>
    <s v="N"/>
    <m/>
    <s v="DEFERRED"/>
    <s v="Y"/>
    <x v="0"/>
    <x v="0"/>
    <s v="N"/>
    <n v="1"/>
    <n v="1"/>
    <n v="0"/>
    <n v="0"/>
    <n v="-268"/>
    <n v="0"/>
    <n v="268"/>
    <e v="#VALUE!"/>
    <n v="268"/>
    <n v="0"/>
    <m/>
    <m/>
    <s v="N"/>
    <m/>
    <s v="121-365 DAYS"/>
    <n v="6"/>
    <x v="0"/>
  </r>
  <r>
    <n v="3153"/>
    <s v="N"/>
    <s v="N"/>
    <n v="2433970"/>
    <n v="1"/>
    <d v="2012-04-26T00:00:00"/>
    <d v="2012-08-23T00:00:00"/>
    <n v="2433970"/>
    <d v="2012-05-25T00:00:00"/>
    <d v="2012-08-23T00:00:00"/>
    <s v="NO BOND"/>
    <x v="1"/>
    <m/>
    <s v="N"/>
    <s v="NONE"/>
    <s v="DISMISSED"/>
    <n v="91"/>
    <n v="120"/>
    <n v="0"/>
    <n v="0"/>
    <m/>
    <m/>
    <m/>
    <m/>
    <m/>
    <m/>
    <m/>
    <m/>
    <m/>
    <d v="1992-05-11T00:00:00"/>
    <s v="M"/>
    <s v="B"/>
    <s v="BLACK"/>
    <s v="NULL"/>
    <s v="177"/>
    <s v="DISMISSED"/>
    <n v="5"/>
    <s v="DISMISSED"/>
    <m/>
    <m/>
    <m/>
    <s v="ARSON"/>
    <m/>
    <s v="F1"/>
    <s v="ARSON"/>
    <m/>
    <m/>
    <m/>
    <m/>
    <m/>
    <m/>
    <m/>
    <m/>
    <m/>
    <s v="Appointed Attorney"/>
    <m/>
    <m/>
    <n v="91"/>
    <n v="91"/>
    <n v="120"/>
    <n v="19.918032786885245"/>
    <n v="0"/>
    <n v="0"/>
    <s v="NO CONVICTION"/>
    <x v="0"/>
    <s v="N"/>
    <m/>
    <s v="NO CONVICTION"/>
    <s v="Y"/>
    <x v="0"/>
    <x v="0"/>
    <s v="N"/>
    <n v="0.7583333333333333"/>
    <n v="1"/>
    <n v="0.2416666666666667"/>
    <n v="0"/>
    <n v="-91"/>
    <n v="0"/>
    <n v="91"/>
    <e v="#VALUE!"/>
    <n v="91"/>
    <n v="0"/>
    <m/>
    <m/>
    <s v="N"/>
    <m/>
    <s v="91-120 DAYS"/>
    <n v="0"/>
    <x v="0"/>
  </r>
  <r>
    <n v="3204"/>
    <s v="N"/>
    <s v="N"/>
    <n v="2434768"/>
    <s v=""/>
    <d v="2012-04-27T00:00:00"/>
    <m/>
    <n v="2434768"/>
    <d v="2012-04-28T00:00:00"/>
    <d v="2012-05-01T00:00:00"/>
    <n v="10000"/>
    <x v="3"/>
    <d v="2012-04-29T00:00:00"/>
    <s v="Y"/>
    <s v="SURETYPTRc"/>
    <s v="INCOM TO STAND TRIAL PTRC"/>
    <s v="STILL OPEN"/>
    <s v="STILL OPEN"/>
    <n v="0"/>
    <n v="1"/>
    <m/>
    <m/>
    <m/>
    <m/>
    <m/>
    <m/>
    <m/>
    <m/>
    <m/>
    <d v="1940-11-20T00:00:00"/>
    <s v="M"/>
    <s v="U"/>
    <s v="OTHER"/>
    <s v="NULL"/>
    <s v="183"/>
    <s v="NULL"/>
    <m/>
    <m/>
    <m/>
    <m/>
    <m/>
    <s v="ATT SEXUAL ASSAULT"/>
    <m/>
    <s v="F3"/>
    <s v="OTHER FEL"/>
    <m/>
    <m/>
    <m/>
    <m/>
    <m/>
    <m/>
    <m/>
    <m/>
    <m/>
    <s v="Hired Attorney"/>
    <m/>
    <m/>
    <s v="STILL OPEN"/>
    <s v="STILL OPEN"/>
    <s v="STILL OPEN"/>
    <n v="71.286885245901644"/>
    <n v="-2"/>
    <n v="41030"/>
    <n v="0"/>
    <x v="1"/>
    <m/>
    <m/>
    <s v=""/>
    <s v="Y"/>
    <x v="3"/>
    <x v="1"/>
    <s v="N"/>
    <s v="STILL OPEN"/>
    <s v="STILL OPEN"/>
    <n v="0"/>
    <e v="#VALUE!"/>
    <n v="-4"/>
    <e v="#VALUE!"/>
    <e v="#VALUE!"/>
    <s v="STILL OPEN"/>
    <s v="STILL OPEN"/>
    <m/>
    <m/>
    <m/>
    <s v="Y"/>
    <e v="#N/A"/>
    <s v="&gt;3YRS"/>
    <n v="9"/>
    <x v="0"/>
  </r>
  <r>
    <n v="2710"/>
    <s v="N"/>
    <s v="N"/>
    <n v="2435057"/>
    <n v="1"/>
    <d v="2012-04-10T00:00:00"/>
    <d v="2012-08-30T00:00:00"/>
    <n v="2435057"/>
    <s v="NOT BOOKED"/>
    <s v="NOT BOOKED"/>
    <n v="5000"/>
    <x v="4"/>
    <d v="2012-06-07T00:00:00"/>
    <s v="Y"/>
    <s v="SURETY"/>
    <s v="DISMISSED"/>
    <n v="0"/>
    <n v="143"/>
    <n v="0"/>
    <n v="1"/>
    <m/>
    <m/>
    <m/>
    <m/>
    <m/>
    <m/>
    <m/>
    <m/>
    <m/>
    <d v="1966-08-29T00:00:00"/>
    <s v="M"/>
    <s v="A"/>
    <s v="OTHER"/>
    <s v="NULL"/>
    <s v="179"/>
    <s v="DISMISSED"/>
    <n v="5"/>
    <s v="DISMISSED"/>
    <m/>
    <m/>
    <m/>
    <s v="AGG PROMOTION PROST"/>
    <m/>
    <s v="F3"/>
    <s v="OTHER FEL"/>
    <m/>
    <m/>
    <m/>
    <m/>
    <m/>
    <m/>
    <m/>
    <m/>
    <m/>
    <s v="Hired Attorney"/>
    <m/>
    <m/>
    <n v="0"/>
    <n v="0"/>
    <n v="143"/>
    <n v="45.521857923497265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1135"/>
    <s v="N"/>
    <s v="N"/>
    <n v="2435273"/>
    <n v="6"/>
    <d v="2012-02-10T00:00:00"/>
    <d v="2013-05-15T00:00:00"/>
    <n v="2435273"/>
    <d v="2012-02-18T00:00:00"/>
    <d v="2012-02-24T00:00:00"/>
    <n v="10000"/>
    <x v="3"/>
    <d v="2012-02-24T00:00:00"/>
    <s v="Y"/>
    <s v="SURETY"/>
    <s v="GUILTY PLEA - NO JURY"/>
    <n v="7"/>
    <n v="461"/>
    <n v="0"/>
    <n v="3"/>
    <m/>
    <m/>
    <m/>
    <m/>
    <m/>
    <m/>
    <m/>
    <m/>
    <m/>
    <d v="1990-11-13T00:00:00"/>
    <s v="M"/>
    <s v="W"/>
    <s v="WHITE"/>
    <s v="NON-HISPANIC"/>
    <s v="178"/>
    <s v="CONVICTED"/>
    <n v="20"/>
    <s v="TDC"/>
    <n v="2"/>
    <m/>
    <m/>
    <s v="SEX ASSLT CHILD 14-17"/>
    <m/>
    <s v="F2"/>
    <s v="SEX ABUSE"/>
    <s v="appEAL PEND"/>
    <m/>
    <m/>
    <m/>
    <m/>
    <m/>
    <m/>
    <m/>
    <m/>
    <s v="Hired Attorney"/>
    <m/>
    <m/>
    <n v="7"/>
    <n v="453"/>
    <n v="461"/>
    <n v="21.199453551912569"/>
    <n v="0"/>
    <n v="-446"/>
    <s v="CONVICTION"/>
    <x v="1"/>
    <s v="N"/>
    <m/>
    <s v="CONVICTION"/>
    <s v="Y"/>
    <x v="1"/>
    <x v="0"/>
    <s v="N"/>
    <n v="1.5184381778741865E-2"/>
    <n v="1.5452538631346579E-2"/>
    <n v="2.6815685260471456E-4"/>
    <n v="0"/>
    <n v="-7"/>
    <n v="0"/>
    <n v="7"/>
    <e v="#VALUE!"/>
    <n v="7"/>
    <n v="0"/>
    <m/>
    <m/>
    <s v="Y"/>
    <m/>
    <s v="0-10 DAYS"/>
    <n v="1"/>
    <x v="0"/>
  </r>
  <r>
    <n v="2196"/>
    <s v="N"/>
    <s v="N"/>
    <n v="2435382"/>
    <n v="5"/>
    <d v="2012-03-23T00:00:00"/>
    <d v="2012-04-25T00:00:00"/>
    <n v="2435382"/>
    <d v="2012-03-23T00:00:00"/>
    <d v="2012-04-25T00:00:00"/>
    <n v="15000"/>
    <x v="0"/>
    <m/>
    <s v="N"/>
    <s v="NONE"/>
    <s v="GUILTY PLEA - NO JURY"/>
    <n v="34"/>
    <n v="34"/>
    <n v="2"/>
    <n v="2"/>
    <m/>
    <m/>
    <m/>
    <m/>
    <m/>
    <m/>
    <m/>
    <m/>
    <m/>
    <d v="1991-01-27T00:00:00"/>
    <s v="M"/>
    <s v="B"/>
    <s v="BLACK"/>
    <s v="NON-HISPANIC"/>
    <s v="262"/>
    <s v="CONVICTED"/>
    <n v="3"/>
    <s v="STJ"/>
    <m/>
    <n v="6"/>
    <m/>
    <s v="MAN/DEL CS PG I &lt;1GRAM"/>
    <m/>
    <s v="FS"/>
    <s v="SALE DRUG"/>
    <m/>
    <m/>
    <m/>
    <m/>
    <m/>
    <m/>
    <m/>
    <m/>
    <m/>
    <s v="Appointed Attorney"/>
    <m/>
    <m/>
    <n v="34"/>
    <n v="34"/>
    <n v="34"/>
    <n v="21.10928961748634"/>
    <n v="0"/>
    <n v="0"/>
    <s v="CONVICTION"/>
    <x v="0"/>
    <s v="N"/>
    <m/>
    <s v="CONVICTION"/>
    <s v="Y"/>
    <x v="0"/>
    <x v="0"/>
    <s v="Y"/>
    <n v="1"/>
    <n v="1"/>
    <n v="0"/>
    <n v="0"/>
    <n v="-34"/>
    <n v="0"/>
    <n v="34"/>
    <e v="#VALUE!"/>
    <n v="34"/>
    <n v="0"/>
    <m/>
    <m/>
    <s v="Y"/>
    <m/>
    <s v="31-60 DAYS"/>
    <n v="3"/>
    <x v="0"/>
  </r>
  <r>
    <n v="478"/>
    <s v="N"/>
    <s v="N"/>
    <n v="2436361"/>
    <n v="4"/>
    <d v="2012-01-20T00:00:00"/>
    <d v="2012-07-19T00:00:00"/>
    <n v="2436361"/>
    <d v="2012-01-20T00:00:00"/>
    <d v="2012-01-20T00:00:00"/>
    <n v="5000"/>
    <x v="4"/>
    <d v="2012-01-20T00:00:00"/>
    <s v="Y"/>
    <s v="SURETY"/>
    <s v="GUILTY PLEA - NO JURY"/>
    <n v="1"/>
    <n v="182"/>
    <n v="0"/>
    <n v="1"/>
    <m/>
    <m/>
    <m/>
    <m/>
    <m/>
    <m/>
    <m/>
    <m/>
    <m/>
    <d v="1990-06-28T00:00:00"/>
    <s v="F"/>
    <s v="W"/>
    <s v="WHITE"/>
    <s v="NULL"/>
    <s v="248"/>
    <s v="CONVICTED"/>
    <n v="7"/>
    <s v="HCJ"/>
    <m/>
    <m/>
    <n v="30"/>
    <s v="AGG PROMOTION PROST"/>
    <m/>
    <s v="F3"/>
    <s v="OTHER FEL"/>
    <m/>
    <m/>
    <m/>
    <m/>
    <m/>
    <m/>
    <m/>
    <m/>
    <m/>
    <s v="Hired Attorney"/>
    <m/>
    <m/>
    <n v="1"/>
    <n v="182"/>
    <n v="182"/>
    <n v="21.519125683060111"/>
    <n v="0"/>
    <n v="-181"/>
    <s v="CONVICTION"/>
    <x v="1"/>
    <s v="Y"/>
    <m/>
    <s v="CONVICTION"/>
    <s v="Y"/>
    <x v="1"/>
    <x v="0"/>
    <s v="N"/>
    <n v="5.4945054945054949E-3"/>
    <n v="5.4945054945054949E-3"/>
    <n v="0"/>
    <n v="0"/>
    <n v="-1"/>
    <n v="0"/>
    <n v="1"/>
    <e v="#VALUE!"/>
    <n v="1"/>
    <n v="0"/>
    <m/>
    <m/>
    <s v="Y"/>
    <m/>
    <s v="0-10 DAYS"/>
    <n v="1"/>
    <x v="0"/>
  </r>
  <r>
    <n v="453"/>
    <s v="N"/>
    <s v="N"/>
    <n v="2436866"/>
    <n v="2"/>
    <d v="2012-01-19T00:00:00"/>
    <d v="2012-04-26T00:00:00"/>
    <n v="2436866"/>
    <d v="2012-01-19T00:00:00"/>
    <d v="2012-04-26T00:00:00"/>
    <n v="10000"/>
    <x v="3"/>
    <m/>
    <s v="N"/>
    <s v="NONE"/>
    <s v="DEFERRED ADJUDICATION "/>
    <n v="99"/>
    <n v="99"/>
    <n v="0"/>
    <n v="4"/>
    <m/>
    <m/>
    <m/>
    <m/>
    <m/>
    <m/>
    <m/>
    <m/>
    <m/>
    <d v="1989-06-10T00:00:00"/>
    <s v="M"/>
    <s v="B"/>
    <s v="BLACK"/>
    <s v="NULL"/>
    <s v="176"/>
    <s v="DEFERRED"/>
    <n v="7"/>
    <s v="DEFERRED"/>
    <m/>
    <m/>
    <m/>
    <s v="BURGLARY OF HABITATION"/>
    <m/>
    <s v="F2"/>
    <s v="BURGLARY"/>
    <m/>
    <m/>
    <m/>
    <m/>
    <m/>
    <m/>
    <m/>
    <m/>
    <m/>
    <s v="Appointed Attorney"/>
    <m/>
    <m/>
    <n v="99"/>
    <n v="99"/>
    <n v="99"/>
    <n v="22.562841530054644"/>
    <n v="0"/>
    <n v="0"/>
    <s v="DEFERRED"/>
    <x v="0"/>
    <s v="N"/>
    <m/>
    <s v="DEFERRED"/>
    <s v="Y"/>
    <x v="0"/>
    <x v="0"/>
    <s v="N"/>
    <n v="1"/>
    <n v="1"/>
    <n v="0"/>
    <n v="0"/>
    <n v="-99"/>
    <n v="0"/>
    <n v="99"/>
    <e v="#VALUE!"/>
    <n v="99"/>
    <n v="0"/>
    <m/>
    <m/>
    <s v="Y"/>
    <m/>
    <s v="91-120 DAYS"/>
    <n v="0"/>
    <x v="0"/>
  </r>
  <r>
    <n v="2869"/>
    <s v="N"/>
    <s v="N"/>
    <n v="2437639"/>
    <n v="6"/>
    <d v="2012-04-16T00:00:00"/>
    <d v="2012-05-08T00:00:00"/>
    <n v="2437639"/>
    <d v="2012-04-20T00:00:00"/>
    <d v="2012-05-08T00:00:00"/>
    <n v="10000"/>
    <x v="3"/>
    <m/>
    <s v="N"/>
    <s v="NONE"/>
    <s v="GUILTY PLEA - NO JURY"/>
    <n v="19"/>
    <n v="23"/>
    <n v="1"/>
    <n v="0"/>
    <n v="1"/>
    <m/>
    <m/>
    <m/>
    <m/>
    <m/>
    <m/>
    <m/>
    <m/>
    <d v="1987-05-26T00:00:00"/>
    <s v="M"/>
    <s v="B"/>
    <s v="BLACK"/>
    <s v="NON-HISPANIC"/>
    <s v="262"/>
    <s v="CONVICTED"/>
    <n v="3"/>
    <s v="TDC"/>
    <n v="2"/>
    <m/>
    <m/>
    <s v="FAIL TO COMPLY AS SEX OFFENDER"/>
    <m/>
    <s v="F3"/>
    <s v="OTHER FEL"/>
    <m/>
    <m/>
    <m/>
    <m/>
    <m/>
    <m/>
    <m/>
    <m/>
    <m/>
    <s v="Appointed Attorney"/>
    <m/>
    <m/>
    <n v="19"/>
    <n v="19"/>
    <n v="23"/>
    <n v="24.84153005464481"/>
    <n v="0"/>
    <n v="0"/>
    <s v="CONVICTION"/>
    <x v="0"/>
    <s v="N"/>
    <m/>
    <s v="CONVICTION"/>
    <s v="Y"/>
    <x v="0"/>
    <x v="0"/>
    <s v="Y"/>
    <n v="0.82608695652173914"/>
    <n v="1"/>
    <n v="0.17391304347826086"/>
    <n v="0"/>
    <n v="-19"/>
    <n v="0"/>
    <n v="19"/>
    <e v="#VALUE!"/>
    <n v="19"/>
    <n v="0"/>
    <m/>
    <m/>
    <s v="Y"/>
    <m/>
    <s v="11-30 DAYS"/>
    <n v="2"/>
    <x v="0"/>
  </r>
  <r>
    <n v="2948"/>
    <s v="N"/>
    <s v="N"/>
    <n v="2438099"/>
    <n v="1"/>
    <d v="2012-04-18T00:00:00"/>
    <d v="2012-06-11T00:00:00"/>
    <n v="2438099"/>
    <d v="2012-04-19T00:00:00"/>
    <d v="2012-04-22T00:00:00"/>
    <n v="2000"/>
    <x v="5"/>
    <d v="2012-04-22T00:00:00"/>
    <s v="Y"/>
    <s v="SURETYPTRc"/>
    <s v="NO BILL"/>
    <n v="4"/>
    <n v="55"/>
    <n v="0"/>
    <n v="1"/>
    <m/>
    <m/>
    <m/>
    <m/>
    <m/>
    <m/>
    <m/>
    <m/>
    <m/>
    <d v="1982-10-27T00:00:00"/>
    <s v="M"/>
    <s v="W"/>
    <s v="WHITE"/>
    <s v="NON-HISPANIC"/>
    <s v="185"/>
    <s v="NO BILL"/>
    <n v="4"/>
    <s v="NO BILL"/>
    <m/>
    <m/>
    <m/>
    <s v="POSS CS PG 1 &lt;1G"/>
    <m/>
    <s v="FS"/>
    <s v="POSS DRUG"/>
    <s v="9/20/12 fel P CS  drug pend"/>
    <m/>
    <m/>
    <m/>
    <m/>
    <m/>
    <m/>
    <m/>
    <m/>
    <s v="Appointed Attorney"/>
    <m/>
    <m/>
    <n v="4"/>
    <n v="54"/>
    <n v="55"/>
    <n v="29.415300546448087"/>
    <n v="0"/>
    <n v="-50"/>
    <s v="NO CONVICTION"/>
    <x v="1"/>
    <s v="Y"/>
    <m/>
    <s v="NO CONVICTION"/>
    <s v="Y"/>
    <x v="1"/>
    <x v="0"/>
    <s v="N"/>
    <n v="7.2727272727272724E-2"/>
    <n v="7.407407407407407E-2"/>
    <n v="1.3468013468013462E-3"/>
    <n v="0"/>
    <n v="-4"/>
    <n v="0"/>
    <n v="4"/>
    <e v="#VALUE!"/>
    <n v="4"/>
    <n v="0"/>
    <m/>
    <m/>
    <s v="Y"/>
    <m/>
    <s v="0-10 DAYS"/>
    <n v="1"/>
    <x v="0"/>
  </r>
  <r>
    <n v="819"/>
    <s v="N"/>
    <s v="Y"/>
    <n v="2438459"/>
    <n v="5"/>
    <d v="2012-02-01T00:00:00"/>
    <d v="2012-10-23T00:00:00"/>
    <n v="2438459"/>
    <d v="2012-05-25T00:00:00"/>
    <d v="2012-10-23T00:00:00"/>
    <n v="15000"/>
    <x v="0"/>
    <d v="2012-02-02T00:00:00"/>
    <s v="Y"/>
    <s v="SURETY"/>
    <s v="GUILTY PLEA - NO JURY"/>
    <n v="157"/>
    <n v="266"/>
    <n v="2"/>
    <n v="5"/>
    <n v="1"/>
    <m/>
    <m/>
    <m/>
    <m/>
    <m/>
    <m/>
    <m/>
    <m/>
    <d v="1992-07-08T00:00:00"/>
    <s v="M"/>
    <s v="H"/>
    <s v="HISPANIC"/>
    <s v="HISPANIC"/>
    <s v="351"/>
    <s v="CONVICTED"/>
    <n v="14"/>
    <s v="STJ"/>
    <m/>
    <n v="8"/>
    <m/>
    <s v="THEFT $1500-20K"/>
    <m/>
    <s v="FS"/>
    <s v="THEFT"/>
    <m/>
    <d v="2012-05-25T00:00:00"/>
    <m/>
    <m/>
    <s v="Y"/>
    <m/>
    <m/>
    <m/>
    <m/>
    <s v="Appointed Attorney"/>
    <m/>
    <m/>
    <n v="157"/>
    <n v="152"/>
    <n v="266"/>
    <n v="19.527322404371585"/>
    <n v="0"/>
    <n v="0"/>
    <s v="CONVICTION"/>
    <x v="1"/>
    <s v="Y"/>
    <m/>
    <s v="CONVICTION"/>
    <s v="Y"/>
    <x v="0"/>
    <x v="0"/>
    <s v="Y"/>
    <n v="0.59022556390977443"/>
    <n v="1"/>
    <n v="0.40977443609022557"/>
    <n v="0"/>
    <n v="-152"/>
    <n v="5"/>
    <n v="152"/>
    <n v="157"/>
    <n v="152"/>
    <n v="0"/>
    <m/>
    <m/>
    <s v="Y"/>
    <m/>
    <s v="121-365 DAYS"/>
    <n v="6"/>
    <x v="0"/>
  </r>
  <r>
    <n v="3198"/>
    <s v="N"/>
    <s v="N"/>
    <n v="2439269"/>
    <n v="2"/>
    <d v="2012-04-27T00:00:00"/>
    <d v="2012-07-02T00:00:00"/>
    <n v="2439269"/>
    <d v="2012-05-02T00:00:00"/>
    <d v="2012-07-02T00:00:00"/>
    <n v="30000"/>
    <x v="2"/>
    <m/>
    <s v="N"/>
    <s v="NONE"/>
    <s v="DEFERRED ADJUDICATION "/>
    <n v="62"/>
    <n v="67"/>
    <n v="0"/>
    <n v="1"/>
    <m/>
    <m/>
    <m/>
    <m/>
    <m/>
    <m/>
    <m/>
    <m/>
    <m/>
    <d v="1991-10-15T00:00:00"/>
    <s v="M"/>
    <s v="B"/>
    <s v="BLACK"/>
    <s v="NULL"/>
    <s v="262"/>
    <s v="DEFERRED"/>
    <n v="6"/>
    <s v="DEFERRED"/>
    <m/>
    <m/>
    <m/>
    <s v="AGG ASSAULT W/DEADLY WEAPON"/>
    <m/>
    <s v="F2"/>
    <s v="ASLT-MURDR"/>
    <m/>
    <m/>
    <m/>
    <m/>
    <m/>
    <m/>
    <m/>
    <m/>
    <m/>
    <s v="Hired Attorney"/>
    <m/>
    <m/>
    <n v="62"/>
    <n v="62"/>
    <n v="67"/>
    <n v="20.491803278688526"/>
    <n v="0"/>
    <n v="0"/>
    <s v="DEFERRED"/>
    <x v="0"/>
    <s v="N"/>
    <m/>
    <s v="DEFERRED"/>
    <s v="Y"/>
    <x v="0"/>
    <x v="0"/>
    <s v="N"/>
    <n v="0.92537313432835822"/>
    <n v="1"/>
    <n v="7.4626865671641784E-2"/>
    <n v="0"/>
    <n v="-62"/>
    <n v="0"/>
    <n v="62"/>
    <e v="#VALUE!"/>
    <n v="62"/>
    <n v="0"/>
    <m/>
    <m/>
    <s v="Y"/>
    <m/>
    <s v="61-90 DAYS"/>
    <n v="4"/>
    <x v="0"/>
  </r>
  <r>
    <n v="252"/>
    <s v="N"/>
    <s v="N"/>
    <n v="2439395"/>
    <n v="5"/>
    <d v="2012-01-11T00:00:00"/>
    <d v="2012-05-21T00:00:00"/>
    <n v="2439395"/>
    <d v="2012-01-11T00:00:00"/>
    <d v="2012-05-21T00:00:00"/>
    <n v="15000"/>
    <x v="0"/>
    <m/>
    <s v="N"/>
    <s v="NONE"/>
    <s v="GUILTY PLEA - NO JURY"/>
    <n v="132"/>
    <n v="132"/>
    <n v="4"/>
    <n v="1"/>
    <n v="1"/>
    <m/>
    <m/>
    <m/>
    <m/>
    <m/>
    <m/>
    <m/>
    <m/>
    <d v="1988-09-19T00:00:00"/>
    <s v="M"/>
    <s v="B"/>
    <s v="BLACK"/>
    <s v="NON-HISPANIC"/>
    <s v="351"/>
    <s v="CONVICTED"/>
    <n v="7"/>
    <s v="STJ"/>
    <m/>
    <n v="10"/>
    <m/>
    <s v="THEFT $1500-20K"/>
    <m/>
    <s v="FS"/>
    <s v="THEFT"/>
    <m/>
    <m/>
    <m/>
    <m/>
    <m/>
    <m/>
    <m/>
    <m/>
    <m/>
    <s v="Appointed Attorney"/>
    <m/>
    <m/>
    <n v="132"/>
    <n v="132"/>
    <n v="132"/>
    <n v="23.262295081967213"/>
    <n v="0"/>
    <n v="0"/>
    <s v="CONVICTION"/>
    <x v="0"/>
    <s v="N"/>
    <m/>
    <s v="CONVICTION"/>
    <s v="Y"/>
    <x v="0"/>
    <x v="0"/>
    <s v="Y"/>
    <n v="1"/>
    <n v="1"/>
    <n v="0"/>
    <n v="0"/>
    <n v="-132"/>
    <n v="0"/>
    <n v="132"/>
    <e v="#VALUE!"/>
    <n v="132"/>
    <n v="0"/>
    <m/>
    <m/>
    <s v="Y"/>
    <m/>
    <s v="121-365 DAYS"/>
    <n v="6"/>
    <x v="0"/>
  </r>
  <r>
    <n v="2021"/>
    <s v="N"/>
    <s v="N"/>
    <n v="2439883"/>
    <n v="3"/>
    <d v="2012-03-16T00:00:00"/>
    <d v="2012-05-10T00:00:00"/>
    <n v="2439883"/>
    <d v="2012-03-17T00:00:00"/>
    <d v="2012-05-10T00:00:00"/>
    <n v="10000"/>
    <x v="3"/>
    <m/>
    <s v="N"/>
    <s v="NONE"/>
    <s v="GUILTY PLEA - NO JURY"/>
    <n v="55"/>
    <n v="56"/>
    <n v="0"/>
    <n v="2"/>
    <m/>
    <m/>
    <m/>
    <m/>
    <m/>
    <m/>
    <m/>
    <m/>
    <m/>
    <d v="1989-12-03T00:00:00"/>
    <s v="M"/>
    <s v="H"/>
    <s v="HISPANIC"/>
    <s v="HISPANIC"/>
    <s v="174"/>
    <s v="CONVICTED"/>
    <n v="3"/>
    <s v="PROBATION"/>
    <m/>
    <m/>
    <m/>
    <s v="DWI 3RD OFFENDER BAC .08"/>
    <m/>
    <s v="F3"/>
    <s v="FEL DWI"/>
    <m/>
    <m/>
    <m/>
    <m/>
    <m/>
    <m/>
    <m/>
    <m/>
    <m/>
    <s v="Hired Attorney"/>
    <m/>
    <m/>
    <n v="55"/>
    <n v="55"/>
    <n v="56"/>
    <n v="22.237704918032787"/>
    <n v="0"/>
    <n v="0"/>
    <s v="CONVICTION"/>
    <x v="0"/>
    <s v="N"/>
    <m/>
    <s v="CONVICTION"/>
    <s v="Y"/>
    <x v="0"/>
    <x v="0"/>
    <s v="N"/>
    <n v="0.9821428571428571"/>
    <n v="1"/>
    <n v="1.7857142857142905E-2"/>
    <n v="0"/>
    <n v="-55"/>
    <n v="0"/>
    <n v="55"/>
    <e v="#VALUE!"/>
    <n v="55"/>
    <n v="0"/>
    <m/>
    <m/>
    <s v="Y"/>
    <m/>
    <s v="31-60 DAYS"/>
    <n v="3"/>
    <x v="0"/>
  </r>
  <r>
    <n v="2502"/>
    <s v="N"/>
    <s v="N"/>
    <n v="2439938"/>
    <n v="2"/>
    <d v="2012-04-04T00:00:00"/>
    <d v="2012-07-19T00:00:00"/>
    <n v="2439938"/>
    <d v="2012-04-04T00:00:00"/>
    <d v="2012-04-05T00:00:00"/>
    <n v="5000"/>
    <x v="4"/>
    <d v="2012-04-05T00:00:00"/>
    <s v="Y"/>
    <s v="SURETY"/>
    <s v="DEFERRED ADJUDICATION "/>
    <n v="2"/>
    <n v="107"/>
    <n v="0"/>
    <n v="0"/>
    <m/>
    <m/>
    <m/>
    <m/>
    <m/>
    <m/>
    <m/>
    <m/>
    <m/>
    <d v="1990-01-08T00:00:00"/>
    <s v="M"/>
    <s v="B"/>
    <s v="BLACK"/>
    <s v="NULL"/>
    <s v="178"/>
    <s v="DEFERRED"/>
    <n v="5"/>
    <s v="DEFERRED"/>
    <m/>
    <m/>
    <m/>
    <s v="POSS CS PG 1  1 - 4 GRAMS"/>
    <m/>
    <s v="F3"/>
    <s v="POSS DRUG"/>
    <m/>
    <m/>
    <m/>
    <m/>
    <m/>
    <m/>
    <m/>
    <m/>
    <m/>
    <s v="Hired Attorney"/>
    <m/>
    <m/>
    <n v="2"/>
    <n v="107"/>
    <n v="107"/>
    <n v="22.191256830601095"/>
    <n v="0"/>
    <n v="-105"/>
    <s v="DEFERRED"/>
    <x v="1"/>
    <s v="Y"/>
    <m/>
    <s v="DEFERRED"/>
    <s v="Y"/>
    <x v="1"/>
    <x v="0"/>
    <s v="N"/>
    <n v="1.8691588785046728E-2"/>
    <n v="1.8691588785046728E-2"/>
    <n v="0"/>
    <n v="0"/>
    <n v="-2"/>
    <n v="0"/>
    <n v="2"/>
    <e v="#VALUE!"/>
    <n v="2"/>
    <n v="0"/>
    <m/>
    <m/>
    <s v="N"/>
    <m/>
    <s v="0-10 DAYS"/>
    <n v="1"/>
    <x v="0"/>
  </r>
  <r>
    <n v="2259"/>
    <s v="N"/>
    <s v="N"/>
    <n v="2440124"/>
    <n v="5"/>
    <d v="2012-03-26T00:00:00"/>
    <d v="2012-04-03T00:00:00"/>
    <n v="2440124"/>
    <d v="2012-03-27T00:00:00"/>
    <d v="2012-04-03T00:00:00"/>
    <n v="5000"/>
    <x v="4"/>
    <m/>
    <s v="N"/>
    <s v="NONE"/>
    <s v="GUILTY PLEA - NO JURY"/>
    <n v="8"/>
    <n v="9"/>
    <n v="1"/>
    <n v="0"/>
    <n v="1"/>
    <m/>
    <m/>
    <m/>
    <m/>
    <m/>
    <m/>
    <m/>
    <m/>
    <d v="1980-05-26T00:00:00"/>
    <s v="M"/>
    <s v="B"/>
    <s v="BLACK"/>
    <s v="NULL"/>
    <s v="184"/>
    <s v="CONVICTED"/>
    <n v="2"/>
    <s v="STJ"/>
    <m/>
    <n v="6"/>
    <m/>
    <s v="POSS CS PG 1 &lt;1G"/>
    <m/>
    <s v="FS"/>
    <s v="POSS DRUG"/>
    <s v="7/30/12 att  fel deadly conduct 15 mos stj "/>
    <m/>
    <m/>
    <m/>
    <m/>
    <m/>
    <m/>
    <m/>
    <m/>
    <s v="Appointed Attorney"/>
    <m/>
    <m/>
    <n v="8"/>
    <n v="8"/>
    <n v="9"/>
    <n v="31.76775956284153"/>
    <n v="0"/>
    <n v="0"/>
    <s v="CONVICTION"/>
    <x v="0"/>
    <s v="N"/>
    <m/>
    <s v="CONVICTION"/>
    <s v="Y"/>
    <x v="0"/>
    <x v="0"/>
    <s v="Y"/>
    <n v="0.88888888888888884"/>
    <n v="1"/>
    <n v="0.11111111111111116"/>
    <n v="0"/>
    <n v="-8"/>
    <n v="0"/>
    <n v="8"/>
    <e v="#VALUE!"/>
    <n v="8"/>
    <n v="0"/>
    <m/>
    <m/>
    <s v="Y"/>
    <m/>
    <s v="0-10 DAYS"/>
    <n v="1"/>
    <x v="0"/>
  </r>
  <r>
    <n v="574"/>
    <s v="N"/>
    <s v="N"/>
    <n v="2441121"/>
    <n v="1"/>
    <d v="2012-01-23T00:00:00"/>
    <d v="2012-04-11T00:00:00"/>
    <n v="2441121"/>
    <d v="2012-01-24T00:00:00"/>
    <d v="2012-01-27T00:00:00"/>
    <n v="9500"/>
    <x v="3"/>
    <d v="2012-01-27T00:00:00"/>
    <s v="Y"/>
    <s v="SURETY"/>
    <s v="DISMISSED"/>
    <n v="4"/>
    <n v="80"/>
    <n v="1"/>
    <n v="0"/>
    <m/>
    <n v="1"/>
    <m/>
    <m/>
    <m/>
    <m/>
    <m/>
    <m/>
    <m/>
    <d v="1991-06-11T00:00:00"/>
    <s v="M"/>
    <s v="H"/>
    <s v="HISPANIC"/>
    <s v="HISPANIC"/>
    <s v="177"/>
    <s v="DISMISSED"/>
    <n v="3"/>
    <s v="DISMISSED"/>
    <m/>
    <m/>
    <m/>
    <s v="ASSAULT-BOD INJ-PUB SERV/RETAL"/>
    <m/>
    <s v="F3"/>
    <s v="ASLT-MURDR"/>
    <m/>
    <m/>
    <m/>
    <m/>
    <m/>
    <m/>
    <m/>
    <m/>
    <m/>
    <s v="Hired Attorney"/>
    <m/>
    <m/>
    <n v="4"/>
    <n v="79"/>
    <n v="80"/>
    <n v="20.576502732240439"/>
    <n v="0"/>
    <n v="-75"/>
    <s v="NO CONVICTION"/>
    <x v="1"/>
    <s v="Y"/>
    <m/>
    <s v="NO CONVICTION"/>
    <s v="Y"/>
    <x v="1"/>
    <x v="0"/>
    <s v="Y"/>
    <n v="0.05"/>
    <n v="5.0632911392405063E-2"/>
    <n v="6.3291139240505973E-4"/>
    <n v="0"/>
    <n v="-4"/>
    <n v="0"/>
    <n v="4"/>
    <e v="#VALUE!"/>
    <n v="4"/>
    <n v="0"/>
    <m/>
    <m/>
    <s v="Y"/>
    <m/>
    <s v="0-10 DAYS"/>
    <n v="1"/>
    <x v="0"/>
  </r>
  <r>
    <n v="1797"/>
    <s v="N"/>
    <s v="N"/>
    <n v="2441929"/>
    <n v="1"/>
    <d v="2012-03-07T00:00:00"/>
    <d v="2012-05-30T00:00:00"/>
    <n v="2441929"/>
    <d v="2012-03-08T00:00:00"/>
    <d v="2012-05-30T00:00:00"/>
    <n v="20000"/>
    <x v="0"/>
    <m/>
    <s v="N"/>
    <s v="NONE"/>
    <s v="NO BILL"/>
    <n v="84"/>
    <n v="85"/>
    <n v="0"/>
    <n v="1"/>
    <m/>
    <m/>
    <m/>
    <m/>
    <m/>
    <m/>
    <m/>
    <m/>
    <m/>
    <d v="1992-02-01T00:00:00"/>
    <s v="M"/>
    <s v="H"/>
    <s v="HISPANIC"/>
    <s v="HISPANIC"/>
    <s v="176"/>
    <s v="NO BILL"/>
    <n v="4"/>
    <s v="NO BILL"/>
    <m/>
    <m/>
    <m/>
    <s v="MAN/DEL CS PG I 200-400 GRAMS"/>
    <m/>
    <s v="F"/>
    <s v="SALE DRUG"/>
    <m/>
    <m/>
    <m/>
    <m/>
    <m/>
    <m/>
    <m/>
    <m/>
    <m/>
    <s v="Appointed Attorney"/>
    <m/>
    <m/>
    <n v="84"/>
    <n v="84"/>
    <n v="85"/>
    <n v="20.05464480874317"/>
    <n v="0"/>
    <n v="0"/>
    <s v="NO CONVICTION"/>
    <x v="0"/>
    <s v="N"/>
    <m/>
    <s v="NO CONVICTION"/>
    <s v="Y"/>
    <x v="0"/>
    <x v="0"/>
    <s v="N"/>
    <n v="0.9882352941176471"/>
    <n v="1"/>
    <n v="1.1764705882352899E-2"/>
    <n v="0"/>
    <n v="-84"/>
    <n v="0"/>
    <n v="84"/>
    <e v="#VALUE!"/>
    <n v="84"/>
    <n v="0"/>
    <m/>
    <m/>
    <s v="Y"/>
    <m/>
    <s v="61-90 DAYS"/>
    <n v="4"/>
    <x v="0"/>
  </r>
  <r>
    <n v="2358"/>
    <s v="N"/>
    <s v="N"/>
    <n v="2442982"/>
    <n v="4"/>
    <d v="2012-03-29T00:00:00"/>
    <d v="2012-07-12T00:00:00"/>
    <n v="2442982"/>
    <d v="2012-04-04T00:00:00"/>
    <d v="2012-06-09T00:00:00"/>
    <n v="5000"/>
    <x v="4"/>
    <d v="2012-06-09T00:00:00"/>
    <s v="Y"/>
    <s v="SURETY"/>
    <s v="GUILTY PLEA - NO JURY"/>
    <n v="67"/>
    <n v="106"/>
    <n v="1"/>
    <n v="0"/>
    <m/>
    <n v="1"/>
    <m/>
    <m/>
    <m/>
    <m/>
    <m/>
    <m/>
    <m/>
    <d v="1992-07-21T00:00:00"/>
    <s v="M"/>
    <s v="H"/>
    <s v="HISPANIC"/>
    <s v="HISPANIC"/>
    <s v="228"/>
    <s v="CONVICTED"/>
    <n v="5"/>
    <s v="HCJ"/>
    <m/>
    <m/>
    <n v="90"/>
    <s v="AGG ROBBERY-DEADLY WPN"/>
    <m/>
    <s v="F1"/>
    <s v="ROBBERY"/>
    <s v="misd marij filed 9/28 12 pend "/>
    <m/>
    <m/>
    <m/>
    <m/>
    <m/>
    <m/>
    <m/>
    <m/>
    <s v="Appointed Attorney"/>
    <m/>
    <m/>
    <n v="67"/>
    <n v="100"/>
    <n v="106"/>
    <n v="19.647540983606557"/>
    <n v="0"/>
    <n v="-33"/>
    <s v="CONVICTION"/>
    <x v="1"/>
    <s v="Y"/>
    <m/>
    <s v="CONVICTION"/>
    <s v="Y"/>
    <x v="1"/>
    <x v="0"/>
    <s v="Y"/>
    <n v="0.63207547169811318"/>
    <n v="0.67"/>
    <n v="3.7924528301886862E-2"/>
    <n v="0"/>
    <n v="-67"/>
    <n v="0"/>
    <n v="67"/>
    <e v="#VALUE!"/>
    <n v="67"/>
    <n v="0"/>
    <m/>
    <m/>
    <s v="Y"/>
    <m/>
    <s v="61-90 DAYS"/>
    <n v="4"/>
    <x v="0"/>
  </r>
  <r>
    <n v="1841"/>
    <s v="N"/>
    <s v="N"/>
    <n v="2443020"/>
    <n v="6"/>
    <d v="2012-03-09T00:00:00"/>
    <d v="2012-08-24T00:00:00"/>
    <n v="2443020"/>
    <d v="2012-03-09T00:00:00"/>
    <d v="2012-08-24T00:00:00"/>
    <n v="30000"/>
    <x v="2"/>
    <m/>
    <s v="N"/>
    <s v="NONE"/>
    <s v="GUILTY PLEA - NO JURY"/>
    <n v="169"/>
    <n v="169"/>
    <n v="1"/>
    <n v="1"/>
    <n v="1"/>
    <m/>
    <m/>
    <m/>
    <m/>
    <m/>
    <m/>
    <m/>
    <m/>
    <d v="1991-11-03T00:00:00"/>
    <s v="M"/>
    <s v="W"/>
    <s v="WHITE"/>
    <s v="NON-HISPANIC"/>
    <s v="180"/>
    <s v="CONVICTED"/>
    <n v="6"/>
    <s v="TDC"/>
    <n v="12"/>
    <m/>
    <m/>
    <s v="AGG ASSAULT W/DEADLY WEAPON"/>
    <m/>
    <s v="F2"/>
    <s v="ASLT-MURDR"/>
    <m/>
    <m/>
    <m/>
    <m/>
    <m/>
    <m/>
    <m/>
    <m/>
    <m/>
    <s v="Appointed Attorney"/>
    <m/>
    <m/>
    <n v="169"/>
    <n v="169"/>
    <n v="169"/>
    <n v="20.306010928961747"/>
    <n v="0"/>
    <n v="0"/>
    <s v="CONVICTION"/>
    <x v="0"/>
    <s v="N"/>
    <m/>
    <s v="CONVICTION"/>
    <s v="Y"/>
    <x v="0"/>
    <x v="0"/>
    <s v="Y"/>
    <n v="1"/>
    <n v="1"/>
    <n v="0"/>
    <n v="0"/>
    <n v="-169"/>
    <n v="0"/>
    <n v="169"/>
    <e v="#VALUE!"/>
    <n v="169"/>
    <n v="0"/>
    <m/>
    <m/>
    <s v="Y"/>
    <m/>
    <s v="121-365 DAYS"/>
    <n v="6"/>
    <x v="0"/>
  </r>
  <r>
    <n v="947"/>
    <s v="N"/>
    <s v="N"/>
    <n v="2443099"/>
    <n v="2"/>
    <d v="2012-02-04T00:00:00"/>
    <d v="2012-06-14T00:00:00"/>
    <n v="2443099"/>
    <d v="2012-02-05T00:00:00"/>
    <d v="2012-06-14T00:00:00"/>
    <n v="30000"/>
    <x v="2"/>
    <m/>
    <s v="N"/>
    <s v="NONE"/>
    <s v="DEFERRED ADJUDICATION "/>
    <n v="131"/>
    <n v="132"/>
    <n v="0"/>
    <n v="2"/>
    <m/>
    <m/>
    <m/>
    <m/>
    <m/>
    <m/>
    <m/>
    <m/>
    <m/>
    <d v="1987-11-30T00:00:00"/>
    <s v="M"/>
    <s v="B"/>
    <s v="BLACK"/>
    <s v="NULL"/>
    <s v="248"/>
    <s v="DEFERRED"/>
    <n v="6"/>
    <s v="DEFERRED"/>
    <m/>
    <m/>
    <m/>
    <s v="AGG ASSAULT-FAMILY MEMBER"/>
    <m/>
    <s v="F2"/>
    <s v="ASLT-MURDR"/>
    <m/>
    <m/>
    <m/>
    <m/>
    <m/>
    <m/>
    <m/>
    <m/>
    <m/>
    <s v="Appointed Attorney"/>
    <m/>
    <m/>
    <n v="131"/>
    <n v="131"/>
    <n v="132"/>
    <n v="24.131147540983605"/>
    <n v="0"/>
    <n v="0"/>
    <s v="DEFERRED"/>
    <x v="0"/>
    <s v="N"/>
    <m/>
    <s v="DEFERRED"/>
    <s v="Y"/>
    <x v="0"/>
    <x v="0"/>
    <s v="N"/>
    <n v="0.99242424242424243"/>
    <n v="1"/>
    <n v="7.575757575757569E-3"/>
    <n v="0"/>
    <n v="-131"/>
    <n v="0"/>
    <n v="131"/>
    <e v="#VALUE!"/>
    <n v="131"/>
    <n v="0"/>
    <m/>
    <m/>
    <s v="Y"/>
    <m/>
    <s v="121-365 DAYS"/>
    <n v="6"/>
    <x v="0"/>
  </r>
  <r>
    <n v="1038"/>
    <s v="N"/>
    <s v="N"/>
    <n v="2443607"/>
    <n v="2"/>
    <d v="2012-02-08T00:00:00"/>
    <d v="2012-09-14T00:00:00"/>
    <n v="2443607"/>
    <d v="2012-02-08T00:00:00"/>
    <d v="2012-09-14T00:00:00"/>
    <n v="30000"/>
    <x v="2"/>
    <m/>
    <s v="N"/>
    <s v="NONE"/>
    <s v="DEFERRED ADJUDICATION "/>
    <n v="220"/>
    <n v="220"/>
    <n v="0"/>
    <n v="2"/>
    <m/>
    <m/>
    <m/>
    <m/>
    <m/>
    <m/>
    <m/>
    <m/>
    <m/>
    <d v="1991-06-28T00:00:00"/>
    <s v="M"/>
    <s v="B"/>
    <s v="BLACK"/>
    <s v="NULL"/>
    <s v="182"/>
    <s v="DEFERRED"/>
    <n v="6"/>
    <s v="DEFERRED"/>
    <m/>
    <m/>
    <m/>
    <s v="AGG ROBBERY-DEADLY WPN"/>
    <m/>
    <s v="F1"/>
    <s v="ROBBERY"/>
    <m/>
    <m/>
    <m/>
    <m/>
    <m/>
    <m/>
    <m/>
    <m/>
    <m/>
    <s v="Appointed Attorney"/>
    <m/>
    <m/>
    <n v="220"/>
    <n v="220"/>
    <n v="220"/>
    <n v="20.57377049180328"/>
    <n v="0"/>
    <n v="0"/>
    <s v="DEFERRED"/>
    <x v="0"/>
    <s v="N"/>
    <m/>
    <s v="DEFERRED"/>
    <s v="Y"/>
    <x v="0"/>
    <x v="0"/>
    <s v="N"/>
    <n v="1"/>
    <n v="1"/>
    <n v="0"/>
    <n v="0"/>
    <n v="-220"/>
    <n v="0"/>
    <n v="220"/>
    <e v="#VALUE!"/>
    <n v="220"/>
    <n v="0"/>
    <m/>
    <m/>
    <s v="Y"/>
    <m/>
    <s v="121-365 DAYS"/>
    <n v="6"/>
    <x v="0"/>
  </r>
  <r>
    <n v="1807"/>
    <s v="N"/>
    <s v="Y"/>
    <n v="2443851"/>
    <n v="6"/>
    <d v="2012-03-08T00:00:00"/>
    <d v="2012-05-16T00:00:00"/>
    <n v="2443851"/>
    <d v="2012-04-16T00:00:00"/>
    <d v="2012-05-16T00:00:00"/>
    <n v="20000"/>
    <x v="0"/>
    <d v="2012-03-09T00:00:00"/>
    <s v="Y"/>
    <s v="SURETY"/>
    <s v="GUILTY PLEA - NO JURY"/>
    <n v="31"/>
    <n v="70"/>
    <n v="1"/>
    <n v="2"/>
    <m/>
    <n v="1"/>
    <m/>
    <m/>
    <m/>
    <m/>
    <m/>
    <s v="S"/>
    <m/>
    <d v="1992-06-26T00:00:00"/>
    <s v="M"/>
    <s v="H"/>
    <s v="HISPANIC"/>
    <s v="NULL"/>
    <s v="228"/>
    <s v="CONVICTED"/>
    <n v="4"/>
    <s v="TDC"/>
    <n v="2"/>
    <m/>
    <m/>
    <s v="POSS CS PG 1 4G - 200G"/>
    <m/>
    <s v="F2"/>
    <s v="POSS DRUG"/>
    <m/>
    <s v="rev 4/16/12"/>
    <m/>
    <m/>
    <s v="Y"/>
    <m/>
    <m/>
    <m/>
    <m/>
    <s v="Public Defender"/>
    <m/>
    <m/>
    <n v="31"/>
    <n v="31"/>
    <n v="70"/>
    <n v="19.65846994535519"/>
    <n v="0"/>
    <n v="0"/>
    <s v="CONVICTION"/>
    <x v="1"/>
    <s v="Y"/>
    <m/>
    <s v="CONVICTION"/>
    <s v="Y"/>
    <x v="0"/>
    <x v="0"/>
    <s v="Y"/>
    <n v="0.44285714285714284"/>
    <n v="1"/>
    <n v="0.55714285714285716"/>
    <n v="0"/>
    <n v="-31"/>
    <n v="0"/>
    <n v="31"/>
    <e v="#VALUE!"/>
    <n v="31"/>
    <n v="0"/>
    <m/>
    <m/>
    <s v="Y"/>
    <m/>
    <s v="31-60 DAYS"/>
    <n v="3"/>
    <x v="0"/>
  </r>
  <r>
    <n v="1198"/>
    <s v="N"/>
    <s v="N"/>
    <n v="2444007"/>
    <n v="2"/>
    <d v="2012-02-13T00:00:00"/>
    <d v="2012-03-20T00:00:00"/>
    <n v="2444007"/>
    <d v="2012-02-14T00:00:00"/>
    <d v="2012-03-20T00:00:00"/>
    <n v="40000"/>
    <x v="2"/>
    <m/>
    <s v="N"/>
    <s v="NONE"/>
    <s v="DEFERRED ADJUDICATION "/>
    <n v="36"/>
    <n v="37"/>
    <n v="0"/>
    <n v="1"/>
    <m/>
    <m/>
    <m/>
    <m/>
    <m/>
    <m/>
    <m/>
    <m/>
    <m/>
    <d v="1984-05-14T00:00:00"/>
    <s v="M"/>
    <s v="B"/>
    <s v="BLACK"/>
    <s v="NULL"/>
    <s v="228"/>
    <s v="DEFERRED"/>
    <n v="2"/>
    <s v="DEFERRED"/>
    <m/>
    <m/>
    <m/>
    <s v="POSS CS PG 1 4G - 200G"/>
    <m/>
    <s v="F2"/>
    <s v="POSS DRUG"/>
    <m/>
    <m/>
    <m/>
    <m/>
    <m/>
    <m/>
    <m/>
    <m/>
    <m/>
    <s v="Appointed Attorney"/>
    <m/>
    <m/>
    <n v="36"/>
    <n v="36"/>
    <n v="37"/>
    <n v="27.693989071038253"/>
    <n v="0"/>
    <n v="0"/>
    <s v="DEFERRED"/>
    <x v="0"/>
    <s v="N"/>
    <m/>
    <s v="DEFERRED"/>
    <s v="Y"/>
    <x v="0"/>
    <x v="0"/>
    <s v="N"/>
    <n v="0.97297297297297303"/>
    <n v="1"/>
    <n v="2.7027027027026973E-2"/>
    <n v="0"/>
    <n v="-36"/>
    <n v="0"/>
    <n v="36"/>
    <e v="#VALUE!"/>
    <n v="36"/>
    <n v="0"/>
    <m/>
    <m/>
    <s v="Y"/>
    <m/>
    <s v="31-60 DAYS"/>
    <n v="3"/>
    <x v="0"/>
  </r>
  <r>
    <n v="455"/>
    <s v="N"/>
    <s v="N"/>
    <n v="2444093"/>
    <n v="2"/>
    <d v="2012-01-19T00:00:00"/>
    <d v="2012-03-07T00:00:00"/>
    <n v="2444093"/>
    <d v="2012-01-26T00:00:00"/>
    <d v="2012-03-07T00:00:00"/>
    <n v="10000"/>
    <x v="3"/>
    <m/>
    <s v="N"/>
    <s v="NONE"/>
    <s v="DEFERRED ADJUDICATION "/>
    <n v="42"/>
    <n v="49"/>
    <n v="0"/>
    <n v="1"/>
    <m/>
    <m/>
    <m/>
    <m/>
    <m/>
    <m/>
    <m/>
    <m/>
    <m/>
    <d v="1984-01-31T00:00:00"/>
    <s v="M"/>
    <s v="B"/>
    <s v="BLACK"/>
    <s v="NULL"/>
    <s v="182"/>
    <s v="DEFERRED"/>
    <n v="4"/>
    <s v="DEFERRED"/>
    <m/>
    <m/>
    <m/>
    <s v="INDECENCY-CHILD EXPOSURE"/>
    <m/>
    <s v="F3"/>
    <s v="SEX ABUSE"/>
    <m/>
    <m/>
    <m/>
    <m/>
    <m/>
    <m/>
    <m/>
    <m/>
    <m/>
    <s v="Appointed Attorney"/>
    <m/>
    <m/>
    <n v="42"/>
    <n v="42"/>
    <n v="49"/>
    <n v="27.909836065573771"/>
    <n v="0"/>
    <n v="0"/>
    <s v="DEFERRED"/>
    <x v="0"/>
    <s v="N"/>
    <m/>
    <s v="DEFERRED"/>
    <s v="Y"/>
    <x v="0"/>
    <x v="0"/>
    <s v="N"/>
    <n v="0.8571428571428571"/>
    <n v="1"/>
    <n v="0.1428571428571429"/>
    <n v="0"/>
    <n v="-42"/>
    <n v="0"/>
    <n v="42"/>
    <e v="#VALUE!"/>
    <n v="42"/>
    <n v="0"/>
    <m/>
    <m/>
    <s v="Y"/>
    <m/>
    <s v="31-60 DAYS"/>
    <n v="3"/>
    <x v="0"/>
  </r>
  <r>
    <n v="984"/>
    <s v="N"/>
    <s v="N"/>
    <n v="2444277"/>
    <n v="2"/>
    <d v="2012-02-06T00:00:00"/>
    <d v="2012-03-07T00:00:00"/>
    <n v="2444277"/>
    <d v="2012-02-06T00:00:00"/>
    <d v="2012-03-07T00:00:00"/>
    <s v="NO BOND"/>
    <x v="1"/>
    <m/>
    <s v="N"/>
    <s v="NONE"/>
    <s v="DEFERRED ADJUDICATION "/>
    <n v="31"/>
    <n v="31"/>
    <n v="0"/>
    <n v="1"/>
    <m/>
    <m/>
    <m/>
    <m/>
    <m/>
    <m/>
    <m/>
    <m/>
    <m/>
    <d v="1991-09-13T00:00:00"/>
    <s v="M"/>
    <s v="H"/>
    <s v="HISPANIC"/>
    <s v="HISPANIC"/>
    <s v="262"/>
    <s v="DEFERRED"/>
    <n v="3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31"/>
    <n v="31"/>
    <n v="31"/>
    <n v="20.357923497267759"/>
    <n v="0"/>
    <n v="0"/>
    <s v="DEFERRED"/>
    <x v="0"/>
    <s v="N"/>
    <m/>
    <s v="DEFERRED"/>
    <s v="Y"/>
    <x v="0"/>
    <x v="0"/>
    <s v="N"/>
    <n v="1"/>
    <n v="1"/>
    <n v="0"/>
    <n v="0"/>
    <n v="-31"/>
    <n v="0"/>
    <n v="31"/>
    <e v="#VALUE!"/>
    <n v="31"/>
    <n v="0"/>
    <m/>
    <m/>
    <s v="Y"/>
    <m/>
    <s v="31-60 DAYS"/>
    <n v="3"/>
    <x v="0"/>
  </r>
  <r>
    <n v="3075"/>
    <s v="N"/>
    <s v="N"/>
    <n v="2444508"/>
    <n v="2"/>
    <d v="2012-04-24T00:00:00"/>
    <d v="2012-10-22T00:00:00"/>
    <n v="2444508"/>
    <d v="2012-04-24T00:00:00"/>
    <d v="2012-04-25T00:00:00"/>
    <n v="2000"/>
    <x v="5"/>
    <d v="2012-04-25T00:00:00"/>
    <s v="Y"/>
    <s v="SURETY"/>
    <s v="DEFERRED ADJUDICATION "/>
    <n v="2"/>
    <n v="182"/>
    <n v="0"/>
    <n v="4"/>
    <m/>
    <m/>
    <m/>
    <m/>
    <m/>
    <m/>
    <m/>
    <m/>
    <m/>
    <d v="1989-05-18T00:00:00"/>
    <s v="M"/>
    <s v="W"/>
    <s v="WHITE"/>
    <s v="NULL"/>
    <s v="182"/>
    <s v="DEFERRED"/>
    <n v="6"/>
    <s v="DEFERRED"/>
    <m/>
    <m/>
    <m/>
    <s v="POSS MARIJ  4 OZ. - 5 LBS."/>
    <m/>
    <s v="FS"/>
    <s v="POSS DRUG"/>
    <m/>
    <m/>
    <m/>
    <m/>
    <m/>
    <m/>
    <m/>
    <m/>
    <m/>
    <s v="Hired Attorney"/>
    <m/>
    <m/>
    <n v="2"/>
    <n v="182"/>
    <n v="182"/>
    <n v="22.887978142076502"/>
    <n v="0"/>
    <n v="-180"/>
    <s v="DEFERRED"/>
    <x v="1"/>
    <s v="Y"/>
    <m/>
    <s v="DEFERRED"/>
    <s v="Y"/>
    <x v="1"/>
    <x v="0"/>
    <s v="N"/>
    <n v="1.098901098901099E-2"/>
    <n v="1.098901098901099E-2"/>
    <n v="0"/>
    <n v="0"/>
    <n v="-2"/>
    <n v="0"/>
    <n v="2"/>
    <e v="#VALUE!"/>
    <n v="2"/>
    <n v="0"/>
    <m/>
    <m/>
    <s v="Y"/>
    <m/>
    <s v="0-10 DAYS"/>
    <n v="1"/>
    <x v="0"/>
  </r>
  <r>
    <n v="25"/>
    <s v="N"/>
    <s v="N"/>
    <n v="2445136"/>
    <n v="1"/>
    <d v="2012-01-02T00:00:00"/>
    <d v="2012-08-31T00:00:00"/>
    <n v="2445136"/>
    <d v="2012-01-02T00:00:00"/>
    <d v="2012-08-31T00:00:00"/>
    <s v="NO BOND"/>
    <x v="1"/>
    <m/>
    <s v="N"/>
    <s v="NONE"/>
    <s v="DISMISSED"/>
    <n v="243"/>
    <n v="243"/>
    <n v="0"/>
    <n v="1"/>
    <m/>
    <m/>
    <m/>
    <m/>
    <m/>
    <m/>
    <m/>
    <m/>
    <m/>
    <d v="1992-01-01T00:00:00"/>
    <s v="M"/>
    <s v="B"/>
    <s v="BLACK"/>
    <s v="NULL"/>
    <s v="177"/>
    <s v="DISMISSED"/>
    <n v="10"/>
    <s v="DISMISSED"/>
    <m/>
    <m/>
    <m/>
    <s v="BURGLARY OF HABITATION"/>
    <m/>
    <s v="F2"/>
    <s v="BURGLARY"/>
    <m/>
    <m/>
    <m/>
    <m/>
    <m/>
    <m/>
    <m/>
    <m/>
    <m/>
    <s v="Appointed Attorney"/>
    <m/>
    <m/>
    <n v="243"/>
    <n v="243"/>
    <n v="243"/>
    <n v="19.961748633879782"/>
    <n v="0"/>
    <n v="0"/>
    <s v="NO CONVICTION"/>
    <x v="0"/>
    <s v="N"/>
    <m/>
    <s v="NO CONVICTION"/>
    <s v="Y"/>
    <x v="0"/>
    <x v="0"/>
    <s v="N"/>
    <n v="1"/>
    <n v="1"/>
    <n v="0"/>
    <n v="0"/>
    <n v="-243"/>
    <n v="0"/>
    <n v="243"/>
    <e v="#VALUE!"/>
    <n v="243"/>
    <n v="0"/>
    <m/>
    <m/>
    <s v="Y"/>
    <m/>
    <s v="121-365 DAYS"/>
    <n v="6"/>
    <x v="0"/>
  </r>
  <r>
    <n v="436"/>
    <s v="N"/>
    <s v="N"/>
    <n v="2445494"/>
    <n v="2"/>
    <d v="2012-01-19T00:00:00"/>
    <d v="2012-01-23T00:00:00"/>
    <n v="2445494"/>
    <d v="2012-01-19T00:00:00"/>
    <d v="2012-01-23T00:00:00"/>
    <n v="20000"/>
    <x v="0"/>
    <m/>
    <s v="N"/>
    <s v="NONE"/>
    <s v="DEFERRED ADJUDICATION "/>
    <n v="5"/>
    <n v="5"/>
    <n v="0"/>
    <n v="0"/>
    <m/>
    <m/>
    <m/>
    <m/>
    <m/>
    <m/>
    <m/>
    <m/>
    <m/>
    <d v="1979-08-25T00:00:00"/>
    <s v="M"/>
    <s v="B"/>
    <s v="BLACK"/>
    <s v="NULL"/>
    <s v="338"/>
    <s v="DEFERRED"/>
    <n v="2"/>
    <s v="DEFERRED"/>
    <m/>
    <m/>
    <m/>
    <s v="POSS CS PG 1 4G - 200G"/>
    <m/>
    <s v="F2"/>
    <s v="POSS DRUG"/>
    <m/>
    <m/>
    <m/>
    <m/>
    <m/>
    <m/>
    <m/>
    <m/>
    <m/>
    <s v="Appointed Attorney"/>
    <m/>
    <m/>
    <n v="5"/>
    <n v="5"/>
    <n v="5"/>
    <n v="32.33606557377049"/>
    <n v="0"/>
    <n v="0"/>
    <s v="DEFERRED"/>
    <x v="0"/>
    <s v="N"/>
    <m/>
    <s v="DEFERRED"/>
    <s v="Y"/>
    <x v="0"/>
    <x v="0"/>
    <s v="N"/>
    <n v="1"/>
    <n v="1"/>
    <n v="0"/>
    <n v="0"/>
    <n v="-5"/>
    <n v="0"/>
    <n v="5"/>
    <e v="#VALUE!"/>
    <n v="5"/>
    <n v="0"/>
    <m/>
    <m/>
    <s v="N"/>
    <m/>
    <s v="0-10 DAYS"/>
    <n v="1"/>
    <x v="0"/>
  </r>
  <r>
    <n v="520"/>
    <s v="N"/>
    <s v="N"/>
    <n v="2446018"/>
    <n v="1"/>
    <d v="2012-01-21T00:00:00"/>
    <d v="2012-10-02T00:00:00"/>
    <n v="2446018"/>
    <d v="2012-01-21T00:00:00"/>
    <d v="2012-01-24T00:00:00"/>
    <n v="2000"/>
    <x v="5"/>
    <d v="2012-01-24T00:00:00"/>
    <s v="Y"/>
    <s v="SURETYPTRc"/>
    <s v="NOT GUILTY BY JURY VERDICT"/>
    <n v="4"/>
    <n v="256"/>
    <n v="0"/>
    <n v="0"/>
    <m/>
    <m/>
    <m/>
    <m/>
    <m/>
    <m/>
    <m/>
    <s v="S"/>
    <m/>
    <d v="1969-11-06T00:00:00"/>
    <s v="M"/>
    <s v="H"/>
    <s v="HISPANIC"/>
    <s v="NULL"/>
    <s v="185"/>
    <s v="AQUITTAL"/>
    <n v="18"/>
    <s v="ACQUITTAL"/>
    <m/>
    <m/>
    <m/>
    <s v="POSS CS PG 1 &lt;1G"/>
    <m/>
    <s v="FS"/>
    <s v="POSS DRUG"/>
    <m/>
    <m/>
    <m/>
    <m/>
    <m/>
    <m/>
    <m/>
    <m/>
    <m/>
    <s v="Hired Attorney"/>
    <m/>
    <m/>
    <n v="4"/>
    <n v="256"/>
    <n v="256"/>
    <n v="42.120218579234972"/>
    <n v="0"/>
    <n v="-252"/>
    <n v="0"/>
    <x v="1"/>
    <s v="Y"/>
    <m/>
    <s v="NO CONVICTION"/>
    <s v="Y"/>
    <x v="1"/>
    <x v="0"/>
    <s v="N"/>
    <n v="1.5625E-2"/>
    <n v="1.5625E-2"/>
    <n v="0"/>
    <n v="0"/>
    <n v="-4"/>
    <n v="0"/>
    <n v="4"/>
    <e v="#VALUE!"/>
    <n v="4"/>
    <n v="0"/>
    <m/>
    <m/>
    <s v="N"/>
    <m/>
    <s v="0-10 DAYS"/>
    <n v="1"/>
    <x v="0"/>
  </r>
  <r>
    <n v="2691"/>
    <s v="N"/>
    <s v="N"/>
    <n v="2446032"/>
    <n v="5"/>
    <d v="2012-04-10T00:00:00"/>
    <d v="2012-04-12T00:00:00"/>
    <n v="2446032"/>
    <d v="2012-04-10T00:00:00"/>
    <d v="2012-04-12T00:00:00"/>
    <n v="5000"/>
    <x v="4"/>
    <m/>
    <s v="N"/>
    <s v="NONE"/>
    <s v="GUILTY PLEA - NO JURY"/>
    <n v="3"/>
    <n v="3"/>
    <n v="1"/>
    <n v="3"/>
    <m/>
    <m/>
    <m/>
    <m/>
    <m/>
    <m/>
    <m/>
    <m/>
    <m/>
    <d v="1992-05-02T00:00:00"/>
    <s v="M"/>
    <s v="B"/>
    <s v="BLACK"/>
    <s v="NULL"/>
    <s v="184"/>
    <s v="CONVICTED"/>
    <n v="2"/>
    <s v="STJ"/>
    <m/>
    <n v="6"/>
    <m/>
    <s v="ATT POSS FIREARM"/>
    <m/>
    <s v="FS"/>
    <s v="OTHER FEL"/>
    <m/>
    <m/>
    <m/>
    <m/>
    <m/>
    <m/>
    <m/>
    <m/>
    <m/>
    <s v="Appointed Attorney"/>
    <m/>
    <m/>
    <n v="3"/>
    <n v="3"/>
    <n v="3"/>
    <n v="19.898907103825138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488"/>
    <s v="N"/>
    <s v="N"/>
    <n v="2446532"/>
    <n v="2"/>
    <d v="2012-01-20T00:00:00"/>
    <d v="2012-06-07T00:00:00"/>
    <n v="2446532"/>
    <d v="2012-01-20T00:00:00"/>
    <d v="2012-01-24T00:00:00"/>
    <n v="5000"/>
    <x v="4"/>
    <d v="2012-01-24T00:00:00"/>
    <s v="Y"/>
    <s v="SURETYPTRc"/>
    <s v="DEFENDANT CONVICTED ON ANOTHER CHARGE"/>
    <n v="5"/>
    <n v="140"/>
    <n v="0"/>
    <n v="1"/>
    <m/>
    <m/>
    <m/>
    <m/>
    <m/>
    <m/>
    <m/>
    <s v="S"/>
    <m/>
    <d v="1990-08-02T00:00:00"/>
    <s v="M"/>
    <s v="H"/>
    <s v="HISPANIC"/>
    <s v="NULL"/>
    <s v="185"/>
    <s v="DEFERRED"/>
    <n v="7"/>
    <s v="DEFERRED"/>
    <m/>
    <m/>
    <m/>
    <s v="POSS MARIJ  4 OZ. - 5 LBS."/>
    <m/>
    <s v="FS"/>
    <s v="POSS DRUG"/>
    <m/>
    <m/>
    <m/>
    <m/>
    <m/>
    <m/>
    <m/>
    <m/>
    <m/>
    <s v="Hired Attorney"/>
    <m/>
    <m/>
    <n v="5"/>
    <n v="140"/>
    <n v="140"/>
    <n v="21.423497267759561"/>
    <n v="0"/>
    <n v="-135"/>
    <s v="DEFERRED"/>
    <x v="1"/>
    <s v="Y"/>
    <m/>
    <s v="DEFERRED"/>
    <s v="Y"/>
    <x v="1"/>
    <x v="0"/>
    <s v="N"/>
    <n v="3.5714285714285712E-2"/>
    <n v="3.5714285714285712E-2"/>
    <n v="0"/>
    <n v="0"/>
    <n v="-5"/>
    <n v="0"/>
    <n v="5"/>
    <e v="#VALUE!"/>
    <n v="5"/>
    <n v="0"/>
    <m/>
    <m/>
    <s v="Y"/>
    <m/>
    <s v="0-10 DAYS"/>
    <n v="1"/>
    <x v="0"/>
  </r>
  <r>
    <n v="850"/>
    <s v="N"/>
    <s v="N"/>
    <n v="2447317"/>
    <n v="2"/>
    <d v="2012-02-01T00:00:00"/>
    <d v="2012-03-23T00:00:00"/>
    <n v="2447317"/>
    <d v="2012-02-02T00:00:00"/>
    <d v="2012-02-04T00:00:00"/>
    <n v="2000"/>
    <x v="5"/>
    <d v="2012-02-04T00:00:00"/>
    <s v="Y"/>
    <s v="SURETY"/>
    <s v="DEFERRED ADJUDICATION "/>
    <n v="3"/>
    <n v="52"/>
    <n v="0"/>
    <n v="2"/>
    <m/>
    <m/>
    <m/>
    <m/>
    <m/>
    <m/>
    <m/>
    <m/>
    <m/>
    <d v="1987-01-14T00:00:00"/>
    <s v="M"/>
    <s v="W"/>
    <s v="WHITE"/>
    <s v="NULL"/>
    <s v="262"/>
    <s v="DEFERRED"/>
    <n v="5"/>
    <s v="DEFERRED"/>
    <m/>
    <m/>
    <m/>
    <s v="THEFT $1500-20K"/>
    <m/>
    <s v="FS"/>
    <s v="THEFT"/>
    <m/>
    <m/>
    <m/>
    <m/>
    <m/>
    <m/>
    <m/>
    <m/>
    <m/>
    <s v="Appointed Attorney"/>
    <m/>
    <m/>
    <n v="3"/>
    <n v="51"/>
    <n v="52"/>
    <n v="24.997267759562842"/>
    <n v="0"/>
    <n v="-48"/>
    <s v="DEFERRED"/>
    <x v="1"/>
    <s v="Y"/>
    <m/>
    <s v="DEFERRED"/>
    <s v="Y"/>
    <x v="1"/>
    <x v="0"/>
    <s v="N"/>
    <n v="5.7692307692307696E-2"/>
    <n v="5.8823529411764705E-2"/>
    <n v="1.1312217194570096E-3"/>
    <n v="0"/>
    <n v="-3"/>
    <n v="0"/>
    <n v="3"/>
    <e v="#VALUE!"/>
    <n v="3"/>
    <n v="0"/>
    <m/>
    <m/>
    <s v="Y"/>
    <m/>
    <s v="0-10 DAYS"/>
    <n v="1"/>
    <x v="0"/>
  </r>
  <r>
    <n v="1438"/>
    <s v="N"/>
    <s v="N"/>
    <n v="2448576"/>
    <n v="1"/>
    <d v="2012-02-22T00:00:00"/>
    <d v="2012-02-27T00:00:00"/>
    <n v="2448576"/>
    <d v="2012-02-23T00:00:00"/>
    <d v="2012-02-27T00:00:00"/>
    <n v="2000"/>
    <x v="5"/>
    <m/>
    <s v="N"/>
    <s v="NONE"/>
    <s v="DISMISSED"/>
    <n v="5"/>
    <n v="6"/>
    <n v="0"/>
    <n v="3"/>
    <m/>
    <m/>
    <m/>
    <m/>
    <m/>
    <m/>
    <m/>
    <m/>
    <m/>
    <d v="1962-12-15T00:00:00"/>
    <s v="M"/>
    <s v="W"/>
    <s v="WHITE"/>
    <s v="NON-HISPANIC"/>
    <s v="177"/>
    <s v="DISMISSED"/>
    <n v="2"/>
    <s v="DISMISSED"/>
    <m/>
    <m/>
    <m/>
    <s v="POSS CS PG 1 &lt;1G"/>
    <m/>
    <s v="FS"/>
    <s v="POSS DRUG"/>
    <m/>
    <m/>
    <m/>
    <m/>
    <m/>
    <m/>
    <m/>
    <m/>
    <m/>
    <s v="Appointed Attorney"/>
    <m/>
    <m/>
    <n v="5"/>
    <n v="5"/>
    <n v="6"/>
    <n v="49.087431693989068"/>
    <n v="0"/>
    <n v="0"/>
    <s v="NO CONVICTION"/>
    <x v="0"/>
    <s v="N"/>
    <m/>
    <s v="NO CONVICTION"/>
    <s v="Y"/>
    <x v="0"/>
    <x v="0"/>
    <s v="N"/>
    <n v="0.83333333333333337"/>
    <n v="1"/>
    <n v="0.16666666666666663"/>
    <n v="0"/>
    <n v="-5"/>
    <n v="0"/>
    <n v="5"/>
    <e v="#VALUE!"/>
    <n v="5"/>
    <n v="0"/>
    <m/>
    <m/>
    <s v="Y"/>
    <m/>
    <s v="0-10 DAYS"/>
    <n v="1"/>
    <x v="0"/>
  </r>
  <r>
    <n v="2743"/>
    <s v="N"/>
    <s v="N"/>
    <n v="2448964"/>
    <n v="6"/>
    <d v="2012-04-11T00:00:00"/>
    <d v="2012-05-04T00:00:00"/>
    <n v="2448964"/>
    <d v="2012-04-12T00:00:00"/>
    <d v="2012-05-04T00:00:00"/>
    <n v="5000"/>
    <x v="4"/>
    <m/>
    <s v="N"/>
    <s v="NONE"/>
    <s v="GUILTY PLEA - NO JURY"/>
    <n v="23"/>
    <n v="24"/>
    <n v="0"/>
    <n v="1"/>
    <m/>
    <m/>
    <m/>
    <m/>
    <m/>
    <m/>
    <m/>
    <m/>
    <m/>
    <d v="1988-05-31T00:00:00"/>
    <s v="F"/>
    <s v="B"/>
    <s v="BLACK"/>
    <s v="NULL"/>
    <s v="338"/>
    <s v="CONVICTED"/>
    <n v="2"/>
    <s v="TDC"/>
    <n v="2"/>
    <m/>
    <m/>
    <s v="POSS CS PG 1  1 - 4 GRAMS"/>
    <m/>
    <s v="F3"/>
    <s v="POSS DRUG"/>
    <m/>
    <m/>
    <m/>
    <m/>
    <m/>
    <m/>
    <m/>
    <m/>
    <m/>
    <s v="Hired Attorney"/>
    <m/>
    <m/>
    <n v="23"/>
    <n v="23"/>
    <n v="24"/>
    <n v="23.814207650273225"/>
    <n v="0"/>
    <n v="0"/>
    <s v="CONVICTION"/>
    <x v="0"/>
    <s v="N"/>
    <m/>
    <s v="CONVICTION"/>
    <s v="Y"/>
    <x v="0"/>
    <x v="0"/>
    <s v="N"/>
    <n v="0.95833333333333337"/>
    <n v="1"/>
    <n v="4.166666666666663E-2"/>
    <n v="0"/>
    <n v="-23"/>
    <n v="0"/>
    <n v="23"/>
    <e v="#VALUE!"/>
    <n v="23"/>
    <n v="0"/>
    <m/>
    <m/>
    <s v="Y"/>
    <m/>
    <s v="11-30 DAYS"/>
    <n v="2"/>
    <x v="0"/>
  </r>
  <r>
    <n v="1148"/>
    <s v="N"/>
    <s v="N"/>
    <n v="2449028"/>
    <n v="6"/>
    <d v="2012-02-11T00:00:00"/>
    <d v="2012-06-01T00:00:00"/>
    <n v="2449028"/>
    <d v="2012-03-15T00:00:00"/>
    <d v="2012-06-01T00:00:00"/>
    <n v="15000"/>
    <x v="0"/>
    <d v="2012-02-12T00:00:00"/>
    <s v="Y"/>
    <s v="SURETY"/>
    <s v="GUILTY PLEA - NO JURY"/>
    <n v="79"/>
    <n v="112"/>
    <n v="2"/>
    <n v="0"/>
    <n v="1"/>
    <n v="1"/>
    <m/>
    <m/>
    <m/>
    <m/>
    <m/>
    <m/>
    <m/>
    <d v="1992-05-23T00:00:00"/>
    <s v="M"/>
    <s v="B"/>
    <s v="BLACK"/>
    <s v="NULL"/>
    <s v="174"/>
    <s v="CONVICTED"/>
    <n v="8"/>
    <s v="TDC"/>
    <n v="1"/>
    <m/>
    <m/>
    <s v="THEFT $1500-20K"/>
    <m/>
    <s v="FS"/>
    <s v="THEFT"/>
    <s v="fel filed 4/12/12 sent same date as study case"/>
    <m/>
    <m/>
    <m/>
    <m/>
    <m/>
    <m/>
    <m/>
    <m/>
    <s v="Hired Attorney"/>
    <m/>
    <m/>
    <n v="79"/>
    <n v="79"/>
    <n v="112"/>
    <n v="19.680327868852459"/>
    <n v="0"/>
    <n v="0"/>
    <s v="CONVICTION"/>
    <x v="1"/>
    <s v="Y"/>
    <m/>
    <s v="CONVICTION"/>
    <s v="Y"/>
    <x v="1"/>
    <x v="0"/>
    <s v="Y"/>
    <n v="0.7053571428571429"/>
    <n v="1"/>
    <n v="0.2946428571428571"/>
    <n v="0"/>
    <n v="-79"/>
    <n v="0"/>
    <n v="-31"/>
    <e v="#VALUE!"/>
    <n v="-31"/>
    <n v="-110"/>
    <m/>
    <m/>
    <s v="Y"/>
    <m/>
    <s v="61-90 DAYS"/>
    <n v="4"/>
    <x v="0"/>
  </r>
  <r>
    <n v="2668"/>
    <s v="N"/>
    <s v="N"/>
    <n v="2449493"/>
    <n v="2"/>
    <d v="2012-04-09T00:00:00"/>
    <d v="2012-04-10T00:00:00"/>
    <n v="2449493"/>
    <d v="2012-04-09T00:00:00"/>
    <d v="2012-04-10T00:00:00"/>
    <n v="2000"/>
    <x v="5"/>
    <m/>
    <s v="N"/>
    <s v="NONE"/>
    <s v="DEFERRED ADJUDICATION "/>
    <n v="2"/>
    <n v="2"/>
    <n v="0"/>
    <n v="4"/>
    <m/>
    <m/>
    <m/>
    <m/>
    <m/>
    <m/>
    <m/>
    <m/>
    <m/>
    <d v="1992-06-25T00:00:00"/>
    <s v="F"/>
    <s v="B"/>
    <s v="BLACK"/>
    <s v="NON-HISPANIC"/>
    <s v="337"/>
    <s v="DEFERRED"/>
    <n v="1"/>
    <s v="DEFERRED"/>
    <m/>
    <m/>
    <m/>
    <s v="POSS CS PG 1 &lt;1G"/>
    <m/>
    <s v="FS"/>
    <s v="POSS DRUG"/>
    <s v="misc LAWV def adj revoked 9/28/12  stj7mos"/>
    <m/>
    <m/>
    <m/>
    <m/>
    <m/>
    <m/>
    <m/>
    <m/>
    <s v="Appointed Attorney"/>
    <m/>
    <m/>
    <n v="2"/>
    <n v="2"/>
    <n v="2"/>
    <n v="19.748633879781419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697"/>
    <s v="N"/>
    <s v="N"/>
    <n v="2449575"/>
    <n v="6"/>
    <d v="2012-01-28T00:00:00"/>
    <d v="2012-07-23T00:00:00"/>
    <n v="2449575"/>
    <d v="2012-01-28T00:00:00"/>
    <d v="2012-07-23T00:00:00"/>
    <n v="30000"/>
    <x v="2"/>
    <m/>
    <s v="N"/>
    <s v="NONE"/>
    <s v="GUILTY PLEA - NO JURY"/>
    <n v="178"/>
    <n v="178"/>
    <n v="0"/>
    <n v="2"/>
    <m/>
    <m/>
    <m/>
    <m/>
    <m/>
    <m/>
    <m/>
    <m/>
    <m/>
    <d v="1992-01-11T00:00:00"/>
    <s v="F"/>
    <s v="W"/>
    <s v="WHITE"/>
    <s v="NULL"/>
    <s v="248"/>
    <s v="CONVICTED"/>
    <n v="7"/>
    <s v="TDC"/>
    <n v="5"/>
    <m/>
    <m/>
    <s v="AGG ROBBERY-DEADLY WPN"/>
    <m/>
    <s v="F1"/>
    <s v="ROBBERY"/>
    <m/>
    <m/>
    <m/>
    <m/>
    <m/>
    <m/>
    <m/>
    <m/>
    <m/>
    <s v="Appointed Attorney"/>
    <m/>
    <m/>
    <n v="178"/>
    <n v="178"/>
    <n v="178"/>
    <n v="20.005464480874316"/>
    <n v="0"/>
    <n v="0"/>
    <s v="CONVICTION"/>
    <x v="0"/>
    <s v="N"/>
    <m/>
    <s v="CONVICTION"/>
    <s v="Y"/>
    <x v="0"/>
    <x v="0"/>
    <s v="N"/>
    <n v="1"/>
    <n v="1"/>
    <n v="0"/>
    <n v="0"/>
    <n v="-178"/>
    <n v="0"/>
    <n v="178"/>
    <e v="#VALUE!"/>
    <n v="178"/>
    <n v="0"/>
    <m/>
    <m/>
    <s v="Y"/>
    <m/>
    <s v="121-365 DAYS"/>
    <n v="6"/>
    <x v="0"/>
  </r>
  <r>
    <n v="2100"/>
    <s v="N"/>
    <s v="N"/>
    <n v="2449602"/>
    <n v="5"/>
    <d v="2012-03-20T00:00:00"/>
    <d v="2012-03-21T00:00:00"/>
    <n v="2449602"/>
    <d v="2012-03-20T00:00:00"/>
    <d v="2012-03-21T00:00:00"/>
    <n v="10000"/>
    <x v="3"/>
    <m/>
    <s v="N"/>
    <s v="NONE"/>
    <s v="GUILTY PLEA - NO JURY"/>
    <n v="2"/>
    <n v="2"/>
    <n v="1"/>
    <n v="2"/>
    <n v="1"/>
    <m/>
    <m/>
    <m/>
    <m/>
    <m/>
    <m/>
    <m/>
    <m/>
    <d v="1989-02-20T00:00:00"/>
    <s v="M"/>
    <s v="B"/>
    <s v="BLACK"/>
    <s v="NON-HISPANIC"/>
    <s v="228"/>
    <s v="CONVICTED"/>
    <n v="1"/>
    <s v="STJ"/>
    <m/>
    <n v="7"/>
    <m/>
    <s v="POSS CS PG 1 &lt;1G"/>
    <m/>
    <s v="FS"/>
    <s v="POSS DRUG"/>
    <m/>
    <m/>
    <m/>
    <m/>
    <m/>
    <m/>
    <m/>
    <m/>
    <m/>
    <s v="Appointed Attorney"/>
    <m/>
    <m/>
    <n v="2"/>
    <n v="2"/>
    <n v="2"/>
    <n v="23.030054644808743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804"/>
    <s v="N"/>
    <s v="N"/>
    <n v="2449633"/>
    <n v="1"/>
    <d v="2012-01-31T00:00:00"/>
    <d v="2012-03-13T00:00:00"/>
    <n v="2449633"/>
    <d v="2012-02-01T00:00:00"/>
    <d v="2012-03-13T00:00:00"/>
    <n v="2000"/>
    <x v="5"/>
    <m/>
    <s v="N"/>
    <s v="NONE"/>
    <s v="DISMISSED"/>
    <n v="42"/>
    <n v="43"/>
    <n v="0"/>
    <n v="0"/>
    <m/>
    <m/>
    <m/>
    <m/>
    <m/>
    <m/>
    <m/>
    <s v="S"/>
    <m/>
    <d v="1992-05-19T00:00:00"/>
    <s v="M"/>
    <s v="H"/>
    <s v="HISPANIC"/>
    <s v="NULL"/>
    <s v="208"/>
    <s v="DISMISSED"/>
    <n v="3"/>
    <s v="DISMISSED"/>
    <m/>
    <m/>
    <m/>
    <s v="POSS MARIJ  4 OZ. - 5 LBS."/>
    <m/>
    <s v="FS"/>
    <s v="POSS DRUG"/>
    <m/>
    <m/>
    <m/>
    <m/>
    <m/>
    <m/>
    <m/>
    <m/>
    <m/>
    <s v="Appointed Attorney"/>
    <m/>
    <m/>
    <n v="42"/>
    <n v="42"/>
    <n v="43"/>
    <n v="19.661202185792348"/>
    <n v="0"/>
    <n v="0"/>
    <s v="NO CONVICTION"/>
    <x v="0"/>
    <s v="N"/>
    <m/>
    <s v="NO CONVICTION"/>
    <s v="Y"/>
    <x v="0"/>
    <x v="0"/>
    <s v="N"/>
    <n v="0.97674418604651159"/>
    <n v="1"/>
    <n v="2.3255813953488413E-2"/>
    <n v="0"/>
    <n v="-42"/>
    <n v="0"/>
    <n v="42"/>
    <e v="#VALUE!"/>
    <n v="42"/>
    <n v="0"/>
    <m/>
    <m/>
    <s v="N"/>
    <m/>
    <s v="31-60 DAYS"/>
    <n v="3"/>
    <x v="0"/>
  </r>
  <r>
    <n v="183"/>
    <s v="N"/>
    <s v="N"/>
    <n v="2451008"/>
    <n v="3"/>
    <d v="2012-01-10T00:00:00"/>
    <d v="2013-05-22T00:00:00"/>
    <n v="2451008"/>
    <d v="2012-07-06T00:00:00"/>
    <d v="2013-05-22T00:00:00"/>
    <s v="NO BOND"/>
    <x v="1"/>
    <m/>
    <s v="N"/>
    <s v="NONE"/>
    <s v="GUILTY PLEA - NO JURY"/>
    <n v="321"/>
    <n v="499"/>
    <n v="0"/>
    <n v="1"/>
    <m/>
    <m/>
    <m/>
    <m/>
    <m/>
    <m/>
    <m/>
    <m/>
    <m/>
    <d v="1988-09-16T00:00:00"/>
    <s v="M"/>
    <s v="W"/>
    <s v="WHITE"/>
    <s v="NON-HISPANIC"/>
    <s v="176"/>
    <s v="CONVICTED"/>
    <n v="15"/>
    <s v="PROBATION"/>
    <m/>
    <m/>
    <m/>
    <s v="STALKING "/>
    <m/>
    <s v="F3"/>
    <s v="OTHER FEL"/>
    <m/>
    <m/>
    <m/>
    <m/>
    <m/>
    <m/>
    <m/>
    <m/>
    <m/>
    <s v="Hired Attorney"/>
    <m/>
    <m/>
    <n v="321"/>
    <n v="321"/>
    <n v="499"/>
    <n v="23.26775956284153"/>
    <n v="0"/>
    <n v="0"/>
    <s v="CONVICTION"/>
    <x v="0"/>
    <s v="N"/>
    <m/>
    <s v="CONVICTION"/>
    <s v="Y"/>
    <x v="0"/>
    <x v="0"/>
    <s v="N"/>
    <n v="0.64328657314629256"/>
    <n v="1"/>
    <n v="0.35671342685370744"/>
    <n v="0"/>
    <n v="-321"/>
    <n v="0"/>
    <n v="321"/>
    <e v="#VALUE!"/>
    <n v="321"/>
    <n v="0"/>
    <m/>
    <m/>
    <s v="Y"/>
    <m/>
    <s v="121-365 DAYS"/>
    <n v="6"/>
    <x v="0"/>
  </r>
  <r>
    <n v="604"/>
    <s v="N"/>
    <s v="N"/>
    <n v="2451112"/>
    <n v="6"/>
    <d v="2012-01-24T00:00:00"/>
    <d v="2012-11-13T00:00:00"/>
    <n v="2451112"/>
    <d v="2012-01-24T00:00:00"/>
    <d v="2012-11-13T00:00:00"/>
    <n v="90000"/>
    <x v="2"/>
    <m/>
    <s v="N"/>
    <s v="NONE"/>
    <s v="GUILTY PLEA - NO JURY"/>
    <n v="295"/>
    <n v="295"/>
    <n v="0"/>
    <n v="5"/>
    <m/>
    <m/>
    <m/>
    <m/>
    <m/>
    <m/>
    <m/>
    <m/>
    <m/>
    <d v="1991-08-26T00:00:00"/>
    <s v="M"/>
    <s v="H"/>
    <s v="HISPANIC"/>
    <s v="HISPANIC"/>
    <s v="339"/>
    <s v="CONVICTED"/>
    <n v="14"/>
    <s v="TDC"/>
    <n v="20"/>
    <m/>
    <m/>
    <s v="AGG ROBBERY-DEADLY WPN"/>
    <m/>
    <s v="F1"/>
    <s v="ROBBERY"/>
    <m/>
    <m/>
    <m/>
    <m/>
    <m/>
    <m/>
    <m/>
    <m/>
    <m/>
    <s v="Appointed Attorney"/>
    <m/>
    <m/>
    <n v="295"/>
    <n v="295"/>
    <n v="295"/>
    <n v="20.371584699453553"/>
    <n v="0"/>
    <n v="0"/>
    <s v="CONVICTION"/>
    <x v="0"/>
    <s v="N"/>
    <m/>
    <s v="CONVICTION"/>
    <s v="Y"/>
    <x v="0"/>
    <x v="0"/>
    <s v="N"/>
    <n v="1"/>
    <n v="1"/>
    <n v="0"/>
    <n v="0"/>
    <n v="-295"/>
    <n v="0"/>
    <n v="295"/>
    <e v="#VALUE!"/>
    <n v="295"/>
    <n v="0"/>
    <m/>
    <m/>
    <s v="Y"/>
    <m/>
    <s v="121-365 DAYS"/>
    <n v="6"/>
    <x v="0"/>
  </r>
  <r>
    <n v="1278"/>
    <s v="N"/>
    <s v="N"/>
    <n v="2451410"/>
    <n v="2"/>
    <d v="2012-02-16T00:00:00"/>
    <d v="2012-04-25T00:00:00"/>
    <n v="2451410"/>
    <d v="2012-04-13T00:00:00"/>
    <d v="2012-04-25T00:00:00"/>
    <s v="NO BOND"/>
    <x v="1"/>
    <m/>
    <s v="N"/>
    <s v="NONE"/>
    <s v="DEFERRED ADJUDICATION "/>
    <n v="13"/>
    <n v="70"/>
    <n v="1"/>
    <n v="3"/>
    <m/>
    <m/>
    <m/>
    <m/>
    <m/>
    <m/>
    <m/>
    <m/>
    <m/>
    <d v="1992-04-03T00:00:00"/>
    <s v="M"/>
    <s v="B"/>
    <s v="BLACK"/>
    <s v="NULL"/>
    <s v="351"/>
    <s v="DEFERRED"/>
    <n v="3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13"/>
    <n v="13"/>
    <n v="70"/>
    <n v="19.830601092896174"/>
    <n v="0"/>
    <n v="0"/>
    <s v="DEFERRED"/>
    <x v="0"/>
    <s v="N"/>
    <m/>
    <s v="DEFERRED"/>
    <s v="Y"/>
    <x v="0"/>
    <x v="0"/>
    <s v="Y"/>
    <n v="0.18571428571428572"/>
    <n v="1"/>
    <n v="0.81428571428571428"/>
    <n v="0"/>
    <n v="-13"/>
    <n v="0"/>
    <n v="13"/>
    <e v="#VALUE!"/>
    <n v="13"/>
    <n v="0"/>
    <m/>
    <m/>
    <s v="Y"/>
    <m/>
    <s v="11-30 DAYS"/>
    <n v="2"/>
    <x v="0"/>
  </r>
  <r>
    <n v="2307"/>
    <s v="N"/>
    <s v="N"/>
    <n v="2451431"/>
    <n v="6"/>
    <d v="2012-03-28T00:00:00"/>
    <d v="2013-04-16T00:00:00"/>
    <n v="2451431"/>
    <d v="2012-03-28T00:00:00"/>
    <d v="2013-04-16T00:00:00"/>
    <s v="NO BOND"/>
    <x v="1"/>
    <m/>
    <s v="N"/>
    <s v="NONE"/>
    <s v="GUILTY PLEA - NO JURY"/>
    <n v="385"/>
    <n v="385"/>
    <n v="0"/>
    <n v="2"/>
    <m/>
    <m/>
    <m/>
    <m/>
    <m/>
    <m/>
    <m/>
    <m/>
    <m/>
    <d v="1992-01-13T00:00:00"/>
    <s v="M"/>
    <s v="B"/>
    <s v="BLACK"/>
    <s v="NULL"/>
    <s v="179"/>
    <s v="CONVICTED"/>
    <n v="14"/>
    <s v="TDC"/>
    <n v="3"/>
    <m/>
    <m/>
    <s v="BURGLARY OF HABITATION"/>
    <m/>
    <s v="F2"/>
    <s v="BURGLARY"/>
    <m/>
    <m/>
    <m/>
    <m/>
    <m/>
    <m/>
    <m/>
    <m/>
    <m/>
    <s v="Appointed Attorney"/>
    <m/>
    <m/>
    <n v="385"/>
    <n v="385"/>
    <n v="385"/>
    <n v="20.16393442622951"/>
    <n v="0"/>
    <n v="0"/>
    <s v="CONVICTION"/>
    <x v="0"/>
    <s v="N"/>
    <m/>
    <s v="CONVICTION"/>
    <s v="Y"/>
    <x v="0"/>
    <x v="0"/>
    <s v="N"/>
    <n v="1"/>
    <n v="1"/>
    <n v="0"/>
    <n v="0"/>
    <n v="-385"/>
    <n v="0"/>
    <n v="385"/>
    <e v="#VALUE!"/>
    <n v="385"/>
    <n v="0"/>
    <m/>
    <m/>
    <s v="Y"/>
    <m/>
    <s v=" &gt;1YRS&lt;2YRS"/>
    <n v="0"/>
    <x v="0"/>
  </r>
  <r>
    <n v="1147"/>
    <s v="N"/>
    <s v="N"/>
    <n v="2451558"/>
    <n v="5"/>
    <d v="2012-02-11T00:00:00"/>
    <d v="2012-08-27T00:00:00"/>
    <n v="2451558"/>
    <d v="2012-02-11T00:00:00"/>
    <d v="2012-08-27T00:00:00"/>
    <s v="NO BOND"/>
    <x v="1"/>
    <m/>
    <s v="N"/>
    <s v="NONE"/>
    <s v="GUILTY PLEA - NO JURY"/>
    <n v="199"/>
    <n v="199"/>
    <n v="0"/>
    <n v="4"/>
    <m/>
    <m/>
    <m/>
    <m/>
    <m/>
    <m/>
    <m/>
    <m/>
    <m/>
    <d v="1991-09-28T00:00:00"/>
    <s v="M"/>
    <s v="B"/>
    <s v="BLACK"/>
    <s v="NON-HISPANIC"/>
    <s v="174"/>
    <s v="CONVICTED"/>
    <n v="10"/>
    <s v="STJ"/>
    <m/>
    <n v="8"/>
    <m/>
    <s v="THEFT $1500-20K"/>
    <m/>
    <s v="FS"/>
    <s v="THEFT"/>
    <m/>
    <m/>
    <m/>
    <m/>
    <m/>
    <m/>
    <m/>
    <m/>
    <m/>
    <s v="Hired Attorney"/>
    <m/>
    <m/>
    <n v="199"/>
    <n v="199"/>
    <n v="199"/>
    <n v="20.330601092896174"/>
    <n v="0"/>
    <n v="0"/>
    <s v="CONVICTION"/>
    <x v="0"/>
    <s v="N"/>
    <m/>
    <s v="CONVICTION"/>
    <s v="Y"/>
    <x v="0"/>
    <x v="0"/>
    <s v="N"/>
    <n v="1"/>
    <n v="1"/>
    <n v="0"/>
    <n v="0"/>
    <n v="-199"/>
    <n v="0"/>
    <n v="199"/>
    <e v="#VALUE!"/>
    <n v="199"/>
    <n v="0"/>
    <m/>
    <m/>
    <s v="Y"/>
    <m/>
    <s v="121-365 DAYS"/>
    <n v="6"/>
    <x v="0"/>
  </r>
  <r>
    <n v="1025"/>
    <s v="N"/>
    <s v="N"/>
    <n v="2451855"/>
    <n v="4"/>
    <d v="2012-02-08T00:00:00"/>
    <d v="2012-04-18T00:00:00"/>
    <n v="2451855"/>
    <d v="2012-02-08T00:00:00"/>
    <d v="2012-04-18T00:00:00"/>
    <s v="NO BOND"/>
    <x v="1"/>
    <m/>
    <s v="N"/>
    <s v="NONE"/>
    <s v="GUILTY PLEA - NO JURY"/>
    <n v="71"/>
    <n v="71"/>
    <n v="0"/>
    <n v="1"/>
    <m/>
    <m/>
    <m/>
    <m/>
    <m/>
    <m/>
    <m/>
    <m/>
    <m/>
    <d v="1992-08-31T00:00:00"/>
    <s v="M"/>
    <s v="H"/>
    <s v="HISPANIC"/>
    <s v="HISPANIC"/>
    <s v="208"/>
    <s v="CONVICTED"/>
    <n v="5"/>
    <s v="HCJ"/>
    <m/>
    <m/>
    <n v="30"/>
    <s v="POSS CS PG 1 &lt;1G"/>
    <m/>
    <s v="FS"/>
    <s v="POSS DRUG"/>
    <m/>
    <m/>
    <m/>
    <m/>
    <m/>
    <m/>
    <m/>
    <m/>
    <m/>
    <s v="Hired Attorney"/>
    <m/>
    <m/>
    <n v="71"/>
    <n v="71"/>
    <n v="71"/>
    <n v="19.398907103825138"/>
    <n v="0"/>
    <n v="0"/>
    <s v="CONVICTION"/>
    <x v="0"/>
    <s v="N"/>
    <m/>
    <s v="CONVICTION"/>
    <s v="Y"/>
    <x v="0"/>
    <x v="0"/>
    <s v="N"/>
    <n v="1"/>
    <n v="1"/>
    <n v="0"/>
    <n v="0"/>
    <n v="-71"/>
    <n v="0"/>
    <n v="71"/>
    <e v="#VALUE!"/>
    <n v="71"/>
    <n v="0"/>
    <m/>
    <m/>
    <s v="Y"/>
    <m/>
    <s v="61-90 DAYS"/>
    <n v="4"/>
    <x v="0"/>
  </r>
  <r>
    <n v="289"/>
    <s v="N"/>
    <s v="N"/>
    <n v="2452525"/>
    <n v="2"/>
    <d v="2012-01-12T00:00:00"/>
    <d v="2012-09-13T00:00:00"/>
    <n v="2452525"/>
    <d v="2012-01-12T00:00:00"/>
    <d v="2012-02-11T00:00:00"/>
    <n v="20000"/>
    <x v="0"/>
    <d v="2012-02-11T00:00:00"/>
    <s v="Y"/>
    <s v="SURETY"/>
    <s v="DEFERRED ADJUDICATION "/>
    <n v="31"/>
    <n v="246"/>
    <n v="1"/>
    <n v="4"/>
    <m/>
    <m/>
    <m/>
    <m/>
    <m/>
    <m/>
    <m/>
    <m/>
    <m/>
    <d v="1989-12-10T00:00:00"/>
    <s v="M"/>
    <s v="B"/>
    <s v="BLACK"/>
    <s v="NON-HISPANIC"/>
    <s v="338"/>
    <s v="DEFERRED"/>
    <n v="9"/>
    <s v="DEFERRED"/>
    <m/>
    <m/>
    <m/>
    <s v="ROBBERY-BODILY INJURY"/>
    <m/>
    <s v="F2"/>
    <s v="ROBBERY"/>
    <m/>
    <m/>
    <m/>
    <m/>
    <m/>
    <m/>
    <m/>
    <m/>
    <m/>
    <s v="Appointed Attorney"/>
    <m/>
    <m/>
    <n v="31"/>
    <n v="246"/>
    <n v="246"/>
    <n v="22.043715846994534"/>
    <n v="0"/>
    <n v="-215"/>
    <s v="DEFERRED"/>
    <x v="1"/>
    <s v="Y"/>
    <m/>
    <s v="DEFERRED"/>
    <s v="Y"/>
    <x v="1"/>
    <x v="0"/>
    <s v="Y"/>
    <n v="0.12601626016260162"/>
    <n v="0.12601626016260162"/>
    <n v="0"/>
    <n v="0"/>
    <n v="-31"/>
    <n v="0"/>
    <n v="31"/>
    <e v="#VALUE!"/>
    <n v="31"/>
    <n v="0"/>
    <m/>
    <m/>
    <s v="Y"/>
    <m/>
    <s v="31-60 DAYS"/>
    <n v="3"/>
    <x v="0"/>
  </r>
  <r>
    <n v="962"/>
    <s v="N"/>
    <s v="N"/>
    <n v="2452696"/>
    <n v="1"/>
    <d v="2012-02-05T00:00:00"/>
    <d v="2012-10-18T00:00:00"/>
    <n v="2452696"/>
    <d v="2012-02-05T00:00:00"/>
    <d v="2012-02-06T00:00:00"/>
    <n v="5000"/>
    <x v="4"/>
    <d v="2012-02-06T00:00:00"/>
    <s v="Y"/>
    <s v="SURETY"/>
    <s v="NO BILL"/>
    <n v="2"/>
    <n v="257"/>
    <n v="0"/>
    <n v="0"/>
    <m/>
    <m/>
    <m/>
    <m/>
    <m/>
    <m/>
    <m/>
    <m/>
    <m/>
    <d v="1988-08-30T00:00:00"/>
    <s v="M"/>
    <s v="W"/>
    <s v="WHITE"/>
    <s v="NULL"/>
    <s v="178"/>
    <s v="NO BILL"/>
    <n v="5"/>
    <s v="NO BILL"/>
    <m/>
    <m/>
    <m/>
    <s v="ASSAULT-BOD INJ-PUB SERV/RETAL"/>
    <m/>
    <s v="F3"/>
    <s v="ASLT-MURDR"/>
    <m/>
    <m/>
    <m/>
    <m/>
    <m/>
    <m/>
    <m/>
    <m/>
    <m/>
    <s v="Hired Attorney"/>
    <m/>
    <m/>
    <n v="2"/>
    <n v="257"/>
    <n v="257"/>
    <n v="23.385245901639344"/>
    <n v="0"/>
    <n v="-255"/>
    <s v="NO CONVICTION"/>
    <x v="1"/>
    <s v="Y"/>
    <m/>
    <s v="NO CONVICTION"/>
    <s v="Y"/>
    <x v="1"/>
    <x v="0"/>
    <s v="N"/>
    <n v="7.7821011673151752E-3"/>
    <n v="7.7821011673151752E-3"/>
    <n v="0"/>
    <n v="0"/>
    <n v="-2"/>
    <n v="0"/>
    <n v="2"/>
    <e v="#VALUE!"/>
    <n v="2"/>
    <n v="0"/>
    <m/>
    <m/>
    <s v="N"/>
    <m/>
    <s v="0-10 DAYS"/>
    <n v="1"/>
    <x v="0"/>
  </r>
  <r>
    <n v="1037"/>
    <s v="N"/>
    <s v="N"/>
    <n v="2452952"/>
    <n v="1"/>
    <d v="2012-02-08T00:00:00"/>
    <d v="2012-05-10T00:00:00"/>
    <n v="2452952"/>
    <d v="2012-02-09T00:00:00"/>
    <d v="2012-02-09T00:00:00"/>
    <n v="10000"/>
    <x v="3"/>
    <d v="2012-02-09T00:00:00"/>
    <s v="Y"/>
    <s v="SURETY"/>
    <s v="NO BILL"/>
    <n v="1"/>
    <n v="93"/>
    <n v="1"/>
    <n v="0"/>
    <m/>
    <m/>
    <m/>
    <m/>
    <m/>
    <m/>
    <m/>
    <s v="S"/>
    <m/>
    <d v="1992-08-18T00:00:00"/>
    <s v="M"/>
    <s v="H"/>
    <s v="HISPANIC"/>
    <s v="NULL"/>
    <s v="177"/>
    <s v="NO BILL"/>
    <n v="5"/>
    <s v="NO BILL"/>
    <m/>
    <m/>
    <m/>
    <s v="POSS CS PG 1 &lt;1G"/>
    <m/>
    <s v="FS"/>
    <s v="POSS DRUG"/>
    <m/>
    <m/>
    <m/>
    <m/>
    <m/>
    <m/>
    <m/>
    <m/>
    <m/>
    <s v="Hired Attorney"/>
    <m/>
    <m/>
    <n v="1"/>
    <n v="92"/>
    <n v="93"/>
    <n v="19.434426229508198"/>
    <n v="0"/>
    <n v="-91"/>
    <s v="NO CONVICTION"/>
    <x v="1"/>
    <s v="Y"/>
    <m/>
    <s v="NO CONVICTION"/>
    <s v="Y"/>
    <x v="1"/>
    <x v="0"/>
    <s v="Y"/>
    <n v="1.0752688172043012E-2"/>
    <n v="1.0869565217391304E-2"/>
    <n v="1.1687704534829244E-4"/>
    <n v="0"/>
    <n v="-1"/>
    <n v="0"/>
    <n v="1"/>
    <e v="#VALUE!"/>
    <n v="1"/>
    <n v="0"/>
    <m/>
    <m/>
    <s v="Y"/>
    <m/>
    <s v="0-10 DAYS"/>
    <n v="1"/>
    <x v="0"/>
  </r>
  <r>
    <n v="2383"/>
    <s v="N"/>
    <s v="N"/>
    <n v="2453871"/>
    <n v="4"/>
    <d v="2012-03-30T00:00:00"/>
    <d v="2013-05-01T00:00:00"/>
    <n v="2453871"/>
    <d v="2012-03-31T00:00:00"/>
    <d v="2012-07-18T00:00:00"/>
    <n v="50000"/>
    <x v="2"/>
    <d v="2012-07-18T00:00:00"/>
    <s v="Y"/>
    <s v="SURETY"/>
    <s v="GUILTY PLEA - NO JURY"/>
    <n v="110"/>
    <n v="398"/>
    <n v="3"/>
    <n v="0"/>
    <n v="1"/>
    <m/>
    <m/>
    <m/>
    <m/>
    <m/>
    <m/>
    <m/>
    <m/>
    <d v="1992-04-07T00:00:00"/>
    <s v="M"/>
    <s v="B"/>
    <s v="BLACK"/>
    <s v="NON-HISPANIC"/>
    <s v="182"/>
    <s v="CONVICTED"/>
    <n v="9"/>
    <s v="HCJ"/>
    <m/>
    <m/>
    <n v="180"/>
    <s v="AGG ROBBERY-DEADLY WPN"/>
    <m/>
    <s v="F1"/>
    <s v="ROBBERY"/>
    <m/>
    <m/>
    <m/>
    <m/>
    <m/>
    <m/>
    <m/>
    <m/>
    <m/>
    <s v="Appointed Attorney"/>
    <m/>
    <m/>
    <n v="110"/>
    <n v="397"/>
    <n v="398"/>
    <n v="19.937158469945356"/>
    <n v="0"/>
    <n v="-287"/>
    <s v="CONVICTION"/>
    <x v="1"/>
    <s v="Y"/>
    <m/>
    <s v="CONVICTION"/>
    <s v="Y"/>
    <x v="1"/>
    <x v="0"/>
    <s v="Y"/>
    <n v="0.27638190954773867"/>
    <n v="0.2770780856423174"/>
    <n v="6.9617609457872653E-4"/>
    <n v="0"/>
    <n v="-110"/>
    <n v="0"/>
    <n v="110"/>
    <e v="#VALUE!"/>
    <n v="110"/>
    <n v="0"/>
    <m/>
    <m/>
    <s v="Y"/>
    <m/>
    <s v="91-120 DAYS"/>
    <n v="0"/>
    <x v="0"/>
  </r>
  <r>
    <n v="1851"/>
    <s v="N"/>
    <s v="N"/>
    <n v="2453890"/>
    <n v="1"/>
    <d v="2012-02-04T00:00:00"/>
    <d v="2012-02-13T00:00:00"/>
    <n v="2453890"/>
    <s v="NOT BOOKED"/>
    <s v="NOT BOOKED"/>
    <n v="2000"/>
    <x v="5"/>
    <d v="2012-02-05T00:00:00"/>
    <s v="Y"/>
    <s v="SURETY"/>
    <s v="NO BILL"/>
    <n v="0"/>
    <n v="10"/>
    <n v="0"/>
    <n v="1"/>
    <m/>
    <m/>
    <m/>
    <m/>
    <m/>
    <m/>
    <m/>
    <m/>
    <m/>
    <d v="1989-04-13T00:00:00"/>
    <s v="F"/>
    <s v="B"/>
    <s v="BLACK"/>
    <s v="NON-HISPANIC"/>
    <s v="338"/>
    <s v="NO BILL"/>
    <n v="10"/>
    <s v="NO BILL"/>
    <m/>
    <m/>
    <m/>
    <s v="EVAding arrest/detention w/veh "/>
    <m/>
    <s v="F3"/>
    <s v="OTHER FEL"/>
    <m/>
    <m/>
    <m/>
    <m/>
    <m/>
    <m/>
    <m/>
    <m/>
    <m/>
    <s v="Public Defender"/>
    <m/>
    <m/>
    <n v="0"/>
    <m/>
    <n v="10"/>
    <n v="22.765027322404372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e v="#VALUE!"/>
    <m/>
    <e v="#VALUE!"/>
    <m/>
    <m/>
    <s v="Y"/>
    <m/>
    <s v="0-10 DAYS"/>
    <n v="1"/>
    <x v="1"/>
  </r>
  <r>
    <n v="2380"/>
    <s v="N"/>
    <s v="N"/>
    <n v="2455384"/>
    <n v="2"/>
    <d v="2012-03-30T00:00:00"/>
    <d v="2012-10-11T00:00:00"/>
    <n v="2455384"/>
    <d v="2012-04-12T00:00:00"/>
    <d v="2012-10-11T00:00:00"/>
    <n v="30000"/>
    <x v="2"/>
    <m/>
    <s v="N"/>
    <s v="NONE"/>
    <s v="DEFERRED ADJUDICATION "/>
    <n v="183"/>
    <n v="196"/>
    <n v="1"/>
    <n v="2"/>
    <m/>
    <m/>
    <m/>
    <m/>
    <m/>
    <m/>
    <m/>
    <m/>
    <m/>
    <d v="1989-06-17T00:00:00"/>
    <s v="F"/>
    <s v="H"/>
    <s v="HISPANIC"/>
    <s v="HISPANIC"/>
    <s v="180"/>
    <s v="DEFERRED"/>
    <n v="9"/>
    <s v="DEFERRED"/>
    <m/>
    <m/>
    <m/>
    <s v="AGG ROBBERY-DEADLY WPN"/>
    <m/>
    <s v="F1"/>
    <s v="ROBBERY"/>
    <m/>
    <m/>
    <m/>
    <m/>
    <m/>
    <m/>
    <m/>
    <m/>
    <m/>
    <s v="Appointed Attorney"/>
    <m/>
    <m/>
    <n v="183"/>
    <n v="183"/>
    <n v="196"/>
    <n v="22.737704918032787"/>
    <n v="0"/>
    <n v="0"/>
    <s v="DEFERRED"/>
    <x v="0"/>
    <s v="N"/>
    <m/>
    <s v="DEFERRED"/>
    <s v="Y"/>
    <x v="0"/>
    <x v="0"/>
    <s v="Y"/>
    <n v="0.93367346938775508"/>
    <n v="1"/>
    <n v="6.6326530612244916E-2"/>
    <n v="0"/>
    <n v="-183"/>
    <n v="0"/>
    <n v="183"/>
    <e v="#VALUE!"/>
    <n v="183"/>
    <n v="0"/>
    <m/>
    <m/>
    <s v="Y"/>
    <m/>
    <s v="121-365 DAYS"/>
    <n v="6"/>
    <x v="0"/>
  </r>
  <r>
    <n v="2350"/>
    <s v="N"/>
    <s v="N"/>
    <n v="2455795"/>
    <n v="6"/>
    <d v="2012-03-29T00:00:00"/>
    <d v="2013-12-19T00:00:00"/>
    <n v="2455795"/>
    <d v="2013-10-14T00:00:00"/>
    <d v="2013-12-19T00:00:00"/>
    <n v="50000"/>
    <x v="2"/>
    <d v="2013-02-21T00:00:00"/>
    <s v="Y"/>
    <s v="SURETY"/>
    <s v="jury verdict"/>
    <n v="67"/>
    <n v="631"/>
    <n v="0"/>
    <n v="0"/>
    <m/>
    <m/>
    <m/>
    <m/>
    <m/>
    <m/>
    <m/>
    <m/>
    <m/>
    <d v="1991-05-21T00:00:00"/>
    <s v="M"/>
    <s v="B"/>
    <s v="BLACK"/>
    <s v="NULL"/>
    <s v="338"/>
    <s v="CONVICTED"/>
    <n v="22"/>
    <s v="TDC"/>
    <n v="40"/>
    <m/>
    <m/>
    <s v="MURDER"/>
    <m/>
    <s v="F1"/>
    <s v="MURDER"/>
    <s v="murder conv in liew of dism burg filed 3/29/12 on bond - bk 8/3/12 "/>
    <m/>
    <m/>
    <m/>
    <m/>
    <m/>
    <m/>
    <m/>
    <m/>
    <s v="Hired Attorney"/>
    <m/>
    <m/>
    <n v="67"/>
    <n v="67"/>
    <n v="631"/>
    <n v="20.814207650273225"/>
    <n v="0"/>
    <n v="0"/>
    <s v="CONVICTION"/>
    <x v="1"/>
    <s v="Y"/>
    <m/>
    <s v="CONVICTION"/>
    <s v="Y"/>
    <x v="0"/>
    <x v="0"/>
    <s v="N"/>
    <n v="0.10618066561014262"/>
    <n v="1"/>
    <n v="0.89381933438985739"/>
    <n v="0"/>
    <n v="-67"/>
    <n v="0"/>
    <n v="67"/>
    <n v="67"/>
    <n v="67"/>
    <n v="0"/>
    <m/>
    <m/>
    <s v="N"/>
    <m/>
    <s v="61-90 DAYS"/>
    <n v="4"/>
    <x v="0"/>
  </r>
  <r>
    <n v="1238"/>
    <s v="N"/>
    <s v="N"/>
    <n v="2456807"/>
    <n v="2"/>
    <d v="2012-02-15T00:00:00"/>
    <d v="2012-02-16T00:00:00"/>
    <n v="2456807"/>
    <d v="2012-02-15T00:00:00"/>
    <d v="2012-02-16T00:00:00"/>
    <n v="2000"/>
    <x v="5"/>
    <m/>
    <s v="N"/>
    <s v="NONE"/>
    <s v="DEFERRED ADJUDICATION "/>
    <n v="2"/>
    <n v="2"/>
    <n v="0"/>
    <n v="3"/>
    <m/>
    <m/>
    <m/>
    <m/>
    <m/>
    <m/>
    <m/>
    <s v="S"/>
    <m/>
    <d v="1984-04-23T00:00:00"/>
    <s v="F"/>
    <s v="H"/>
    <s v="HISPANIC"/>
    <s v="NULL"/>
    <s v="262"/>
    <s v="DEFERRED"/>
    <n v="1"/>
    <s v="DEFERRED"/>
    <m/>
    <m/>
    <m/>
    <s v="POSS CS PG 1 &lt;1G"/>
    <m/>
    <s v="FS"/>
    <s v="POSS DRUG"/>
    <s v="Law  vio 5/14/12   def adj revoked 5/16/12  sent 10 mos st j"/>
    <m/>
    <m/>
    <m/>
    <m/>
    <m/>
    <m/>
    <m/>
    <m/>
    <s v="Appointed Attorney"/>
    <m/>
    <m/>
    <n v="2"/>
    <n v="2"/>
    <n v="2"/>
    <n v="27.756830601092897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379"/>
    <s v="N"/>
    <s v="N"/>
    <n v="2456901"/>
    <n v="2"/>
    <d v="2012-01-16T00:00:00"/>
    <d v="2012-02-09T00:00:00"/>
    <n v="2456901"/>
    <d v="2012-01-17T00:00:00"/>
    <d v="2012-02-09T00:00:00"/>
    <s v="NO BOND"/>
    <x v="1"/>
    <m/>
    <s v="N"/>
    <s v="NONE"/>
    <s v="DEFERRED ADJUDICATION "/>
    <n v="24"/>
    <n v="25"/>
    <n v="0"/>
    <n v="0"/>
    <m/>
    <m/>
    <m/>
    <m/>
    <m/>
    <m/>
    <m/>
    <m/>
    <m/>
    <d v="1986-06-13T00:00:00"/>
    <s v="F"/>
    <s v="H"/>
    <s v="HISPANIC"/>
    <s v="HISPANIC"/>
    <s v="228"/>
    <s v="DEFERRED"/>
    <n v="3"/>
    <s v="DEFERRED"/>
    <m/>
    <m/>
    <m/>
    <s v="AGG ASSAULT-FAMILY MEMBER"/>
    <m/>
    <s v="F2"/>
    <s v="ASLT-MURDR"/>
    <s v="fel theft 5/24/12 hcj 180 days"/>
    <m/>
    <m/>
    <m/>
    <m/>
    <m/>
    <m/>
    <m/>
    <m/>
    <s v="Appointed Attorney"/>
    <m/>
    <m/>
    <n v="24"/>
    <n v="24"/>
    <n v="25"/>
    <n v="25.540983606557376"/>
    <n v="0"/>
    <n v="0"/>
    <s v="DEFERRED"/>
    <x v="0"/>
    <s v="N"/>
    <m/>
    <s v="DEFERRED"/>
    <s v="Y"/>
    <x v="0"/>
    <x v="0"/>
    <s v="N"/>
    <n v="0.96"/>
    <n v="1"/>
    <n v="4.0000000000000036E-2"/>
    <n v="0"/>
    <n v="-24"/>
    <n v="0"/>
    <n v="24"/>
    <e v="#VALUE!"/>
    <n v="24"/>
    <n v="0"/>
    <m/>
    <m/>
    <s v="N"/>
    <m/>
    <s v="11-30 DAYS"/>
    <n v="2"/>
    <x v="0"/>
  </r>
  <r>
    <n v="1362"/>
    <s v="N"/>
    <s v="N"/>
    <n v="2457096"/>
    <n v="1"/>
    <d v="2012-02-19T00:00:00"/>
    <d v="2012-02-21T00:00:00"/>
    <n v="2457096"/>
    <d v="2012-02-19T00:00:00"/>
    <d v="2012-02-21T00:00:00"/>
    <n v="5000"/>
    <x v="4"/>
    <m/>
    <s v="N"/>
    <s v="NONE"/>
    <s v="DISMISSED"/>
    <n v="3"/>
    <n v="3"/>
    <n v="0"/>
    <n v="1"/>
    <m/>
    <m/>
    <m/>
    <m/>
    <m/>
    <m/>
    <m/>
    <s v="S"/>
    <m/>
    <d v="1990-11-01T00:00:00"/>
    <s v="M"/>
    <s v="H"/>
    <s v="HISPANIC"/>
    <s v="NULL"/>
    <s v="263"/>
    <s v="DISMISSED"/>
    <n v="1"/>
    <s v="DISMISSED"/>
    <m/>
    <m/>
    <m/>
    <s v="CREDIT/DEBIT CARD ABUSE"/>
    <m/>
    <s v="FS"/>
    <s v="OTHER FEL"/>
    <m/>
    <m/>
    <m/>
    <m/>
    <m/>
    <m/>
    <m/>
    <m/>
    <m/>
    <s v="Appointed Attorney"/>
    <m/>
    <m/>
    <n v="3"/>
    <n v="3"/>
    <n v="3"/>
    <n v="21.256830601092897"/>
    <n v="0"/>
    <n v="0"/>
    <s v="NO CONVICTION"/>
    <x v="0"/>
    <s v="N"/>
    <m/>
    <s v="NO CONVICTION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1929"/>
    <s v="N"/>
    <s v="N"/>
    <n v="2457237"/>
    <n v="4"/>
    <d v="2012-03-13T00:00:00"/>
    <d v="2013-03-05T00:00:00"/>
    <n v="2457237"/>
    <d v="2012-03-13T00:00:00"/>
    <d v="2013-03-05T00:00:00"/>
    <n v="5000"/>
    <x v="4"/>
    <m/>
    <s v="N"/>
    <s v="NONE"/>
    <s v="GUILTY PLEA - NO JURY"/>
    <n v="358"/>
    <n v="358"/>
    <n v="1"/>
    <n v="2"/>
    <n v="1"/>
    <m/>
    <m/>
    <m/>
    <m/>
    <m/>
    <m/>
    <m/>
    <m/>
    <d v="1992-06-26T00:00:00"/>
    <s v="M"/>
    <s v="H"/>
    <s v="HISPANIC"/>
    <s v="HISPANIC"/>
    <s v="208"/>
    <s v="CONVICTED"/>
    <n v="14"/>
    <s v="HCJ"/>
    <m/>
    <m/>
    <n v="365"/>
    <s v="FELON POSS WPN"/>
    <m/>
    <s v="F3"/>
    <s v="OTHER FEL"/>
    <m/>
    <m/>
    <m/>
    <m/>
    <m/>
    <m/>
    <m/>
    <m/>
    <m/>
    <s v="Hired Attorney"/>
    <m/>
    <m/>
    <n v="358"/>
    <n v="358"/>
    <n v="358"/>
    <n v="19.672131147540984"/>
    <n v="0"/>
    <n v="0"/>
    <s v="CONVICTION"/>
    <x v="0"/>
    <s v="N"/>
    <m/>
    <s v="CONVICTION"/>
    <s v="Y"/>
    <x v="0"/>
    <x v="0"/>
    <s v="Y"/>
    <n v="1"/>
    <n v="1"/>
    <n v="0"/>
    <n v="0"/>
    <n v="-358"/>
    <n v="0"/>
    <n v="358"/>
    <e v="#VALUE!"/>
    <n v="358"/>
    <n v="0"/>
    <m/>
    <m/>
    <s v="Y"/>
    <m/>
    <s v="121-365 DAYS"/>
    <n v="6"/>
    <x v="0"/>
  </r>
  <r>
    <n v="2036"/>
    <s v="N"/>
    <s v="N"/>
    <n v="2457548"/>
    <n v="2"/>
    <d v="2012-03-17T00:00:00"/>
    <d v="2012-03-19T00:00:00"/>
    <n v="2457548"/>
    <d v="2012-03-18T00:00:00"/>
    <d v="2012-03-19T00:00:00"/>
    <n v="10000"/>
    <x v="3"/>
    <m/>
    <s v="N"/>
    <s v="NONE"/>
    <s v="DEFERRED ADJUDICATION "/>
    <n v="2"/>
    <n v="3"/>
    <n v="0"/>
    <n v="1"/>
    <m/>
    <m/>
    <m/>
    <m/>
    <m/>
    <m/>
    <m/>
    <m/>
    <m/>
    <d v="1992-05-05T00:00:00"/>
    <s v="M"/>
    <s v="W"/>
    <s v="WHITE"/>
    <s v="NON-HISPANIC"/>
    <s v="183"/>
    <s v="DEFERRED"/>
    <n v="1"/>
    <s v="DEFERRED"/>
    <m/>
    <m/>
    <m/>
    <s v="BURGLARY OF A BUILDING"/>
    <m/>
    <s v="FS"/>
    <s v="BURGLARY"/>
    <m/>
    <m/>
    <m/>
    <m/>
    <m/>
    <m/>
    <m/>
    <m/>
    <m/>
    <s v="Appointed Attorney"/>
    <m/>
    <m/>
    <n v="2"/>
    <n v="2"/>
    <n v="3"/>
    <n v="19.825136612021858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1376"/>
    <s v="N"/>
    <s v="N"/>
    <n v="2457861"/>
    <n v="2"/>
    <d v="2012-02-20T00:00:00"/>
    <d v="2012-03-06T00:00:00"/>
    <n v="2457861"/>
    <d v="2012-02-22T00:00:00"/>
    <d v="2012-03-06T00:00:00"/>
    <n v="5000"/>
    <x v="4"/>
    <m/>
    <s v="N"/>
    <s v="NONE"/>
    <s v="DEFERRED ADJUDICATION "/>
    <n v="14"/>
    <n v="16"/>
    <n v="1"/>
    <n v="2"/>
    <n v="1"/>
    <m/>
    <m/>
    <m/>
    <m/>
    <m/>
    <m/>
    <m/>
    <m/>
    <d v="1991-04-23T00:00:00"/>
    <s v="M"/>
    <s v="B"/>
    <s v="BLACK"/>
    <s v="NON-HISPANIC"/>
    <s v="209"/>
    <s v="DEFERRED"/>
    <n v="4"/>
    <s v="DEFERRED"/>
    <m/>
    <m/>
    <m/>
    <s v="THEFT &gt;=$20,000 &lt;$100,000"/>
    <m/>
    <s v="F3"/>
    <s v="THEFT"/>
    <m/>
    <m/>
    <m/>
    <m/>
    <m/>
    <m/>
    <m/>
    <m/>
    <m/>
    <s v="Appointed Attorney"/>
    <m/>
    <m/>
    <n v="14"/>
    <n v="14"/>
    <n v="16"/>
    <n v="20.78688524590164"/>
    <n v="0"/>
    <n v="0"/>
    <s v="DEFERRED"/>
    <x v="0"/>
    <s v="N"/>
    <m/>
    <s v="DEFERRED"/>
    <s v="Y"/>
    <x v="0"/>
    <x v="0"/>
    <s v="Y"/>
    <n v="0.875"/>
    <n v="1"/>
    <n v="0.125"/>
    <n v="0"/>
    <n v="-14"/>
    <n v="0"/>
    <n v="14"/>
    <e v="#VALUE!"/>
    <n v="14"/>
    <n v="0"/>
    <m/>
    <m/>
    <s v="Y"/>
    <m/>
    <s v="11-30 DAYS"/>
    <n v="2"/>
    <x v="0"/>
  </r>
  <r>
    <n v="2528"/>
    <s v="N"/>
    <s v="N"/>
    <n v="2458185"/>
    <n v="2"/>
    <d v="2012-04-04T00:00:00"/>
    <d v="2013-10-09T00:00:00"/>
    <n v="2458185"/>
    <d v="2012-04-05T00:00:00"/>
    <d v="2012-04-07T00:00:00"/>
    <n v="10000"/>
    <x v="3"/>
    <d v="2012-04-07T00:00:00"/>
    <s v="Y"/>
    <s v="SURETY"/>
    <s v="DEFERRED ADJUDICATION "/>
    <n v="3"/>
    <n v="554"/>
    <n v="0"/>
    <n v="0"/>
    <m/>
    <m/>
    <m/>
    <m/>
    <m/>
    <m/>
    <m/>
    <m/>
    <m/>
    <d v="1990-07-27T00:00:00"/>
    <s v="M"/>
    <s v="B"/>
    <s v="BLACK"/>
    <s v="NON-HISPANIC"/>
    <s v="351"/>
    <s v="DEFERRED"/>
    <n v="21"/>
    <s v="DEFERRED"/>
    <m/>
    <m/>
    <m/>
    <s v="BURGLARY OF HABITATION"/>
    <m/>
    <s v="F2"/>
    <s v="BURGLARY"/>
    <s v="TWO CASES SAME OUTCOME "/>
    <m/>
    <m/>
    <m/>
    <m/>
    <m/>
    <m/>
    <m/>
    <m/>
    <s v="Hired Attorney"/>
    <m/>
    <m/>
    <n v="3"/>
    <n v="553"/>
    <n v="554"/>
    <n v="21.644808743169399"/>
    <n v="0"/>
    <n v="-550"/>
    <s v="DEFERRED"/>
    <x v="1"/>
    <s v="Y"/>
    <m/>
    <s v="DEFERRED"/>
    <s v="Y"/>
    <x v="1"/>
    <x v="0"/>
    <s v="N"/>
    <n v="5.415162454873646E-3"/>
    <n v="5.4249547920433997E-3"/>
    <n v="9.7923371697537093E-6"/>
    <n v="0"/>
    <n v="-3"/>
    <n v="0"/>
    <n v="3"/>
    <e v="#VALUE!"/>
    <n v="3"/>
    <n v="0"/>
    <m/>
    <m/>
    <s v="N"/>
    <m/>
    <s v="0-10 DAYS"/>
    <n v="1"/>
    <x v="0"/>
  </r>
  <r>
    <n v="3051"/>
    <s v="N"/>
    <s v="N"/>
    <n v="2458603"/>
    <n v="5"/>
    <d v="2012-04-23T00:00:00"/>
    <d v="2012-04-24T00:00:00"/>
    <n v="2458603"/>
    <d v="2012-04-23T00:00:00"/>
    <d v="2012-04-24T00:00:00"/>
    <n v="5000"/>
    <x v="4"/>
    <m/>
    <s v="N"/>
    <s v="NONE"/>
    <s v="GUILTY PLEA - NO JURY"/>
    <n v="2"/>
    <n v="2"/>
    <n v="1"/>
    <n v="0"/>
    <n v="1"/>
    <m/>
    <m/>
    <m/>
    <m/>
    <m/>
    <m/>
    <s v="S"/>
    <m/>
    <d v="1990-07-03T00:00:00"/>
    <s v="M"/>
    <s v="H"/>
    <s v="HISPANIC"/>
    <s v="NULL"/>
    <s v="180"/>
    <s v="CONVICTED"/>
    <n v="1"/>
    <s v="STJ"/>
    <m/>
    <n v="6"/>
    <m/>
    <s v="FORGERY"/>
    <m/>
    <s v="FS"/>
    <s v="OTHER FEL"/>
    <s v="stj disp no leg defence"/>
    <m/>
    <m/>
    <m/>
    <m/>
    <m/>
    <m/>
    <m/>
    <m/>
    <s v="Other/Unknown"/>
    <m/>
    <m/>
    <n v="2"/>
    <n v="2"/>
    <n v="2"/>
    <n v="21.762295081967213"/>
    <n v="0"/>
    <n v="0"/>
    <s v="CONVICTION"/>
    <x v="0"/>
    <s v="N"/>
    <m/>
    <s v="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1653"/>
    <s v="N"/>
    <s v="N"/>
    <n v="2459528"/>
    <n v="2"/>
    <d v="2012-03-01T00:00:00"/>
    <d v="2012-03-24T00:00:00"/>
    <n v="2459528"/>
    <d v="2012-03-02T00:00:00"/>
    <d v="2012-03-03T00:00:00"/>
    <n v="2000"/>
    <x v="5"/>
    <d v="2012-03-03T00:00:00"/>
    <s v="Y"/>
    <s v="SURETY"/>
    <s v="DEFERRED ADJUDICATION "/>
    <n v="2"/>
    <n v="24"/>
    <n v="0"/>
    <n v="5"/>
    <m/>
    <m/>
    <m/>
    <m/>
    <m/>
    <m/>
    <m/>
    <m/>
    <m/>
    <d v="1992-10-02T00:00:00"/>
    <s v="M"/>
    <s v="H"/>
    <s v="HISPANIC"/>
    <s v="HISPANIC"/>
    <s v="232"/>
    <s v="DEFERRED"/>
    <n v="7"/>
    <s v="DEFERRED"/>
    <m/>
    <m/>
    <m/>
    <s v="POSS MARIJ  4 OZ. - 5 LBS."/>
    <m/>
    <s v="FS"/>
    <s v="POSS DRUG"/>
    <m/>
    <m/>
    <m/>
    <m/>
    <m/>
    <m/>
    <m/>
    <m/>
    <m/>
    <s v="Hired Attorney"/>
    <m/>
    <m/>
    <n v="2"/>
    <n v="23"/>
    <n v="24"/>
    <n v="19.371584699453553"/>
    <n v="0"/>
    <n v="-21"/>
    <s v="DEFERRED"/>
    <x v="1"/>
    <s v="Y"/>
    <m/>
    <s v="DEFERRED"/>
    <s v="Y"/>
    <x v="1"/>
    <x v="0"/>
    <s v="N"/>
    <n v="8.3333333333333329E-2"/>
    <n v="8.6956521739130432E-2"/>
    <n v="3.6231884057971037E-3"/>
    <n v="0"/>
    <n v="-2"/>
    <n v="0"/>
    <n v="2"/>
    <e v="#VALUE!"/>
    <n v="2"/>
    <n v="0"/>
    <m/>
    <m/>
    <s v="Y"/>
    <m/>
    <s v="0-10 DAYS"/>
    <n v="1"/>
    <x v="0"/>
  </r>
  <r>
    <n v="1704"/>
    <s v="N"/>
    <s v="N"/>
    <n v="2460386"/>
    <n v="1"/>
    <d v="2012-03-04T00:00:00"/>
    <d v="2012-03-12T00:00:00"/>
    <n v="2460386"/>
    <d v="2012-03-04T00:00:00"/>
    <d v="2012-03-12T00:00:00"/>
    <s v="NO BOND"/>
    <x v="1"/>
    <m/>
    <s v="N"/>
    <s v="NONE"/>
    <s v="DISMISSED"/>
    <n v="9"/>
    <n v="9"/>
    <n v="0"/>
    <n v="2"/>
    <n v="0"/>
    <m/>
    <m/>
    <m/>
    <m/>
    <m/>
    <m/>
    <m/>
    <m/>
    <d v="1990-12-31T00:00:00"/>
    <s v="M"/>
    <s v="B"/>
    <s v="BLACK"/>
    <s v="NON-HISPANIC"/>
    <s v="180"/>
    <s v="DISMISSED"/>
    <n v="2"/>
    <s v="DISMISSED"/>
    <m/>
    <m/>
    <m/>
    <s v="POSS CS PG 1 &lt;1G"/>
    <m/>
    <s v="FS"/>
    <s v="POSS DRUG"/>
    <m/>
    <m/>
    <m/>
    <m/>
    <m/>
    <m/>
    <m/>
    <m/>
    <m/>
    <s v="Appointed Attorney"/>
    <m/>
    <m/>
    <n v="9"/>
    <n v="9"/>
    <n v="9"/>
    <n v="21.131147540983605"/>
    <n v="0"/>
    <n v="0"/>
    <s v="NO CONVICTION"/>
    <x v="0"/>
    <s v="N"/>
    <m/>
    <s v="NO CONVICTION"/>
    <s v="Y"/>
    <x v="0"/>
    <x v="0"/>
    <s v="N"/>
    <n v="1"/>
    <n v="1"/>
    <n v="0"/>
    <n v="0"/>
    <n v="-9"/>
    <n v="0"/>
    <n v="9"/>
    <e v="#VALUE!"/>
    <n v="9"/>
    <n v="0"/>
    <m/>
    <m/>
    <s v="Y"/>
    <m/>
    <s v="0-10 DAYS"/>
    <n v="1"/>
    <x v="0"/>
  </r>
  <r>
    <n v="140"/>
    <s v="N"/>
    <s v="N"/>
    <n v="2460883"/>
    <n v="5"/>
    <d v="2012-01-07T00:00:00"/>
    <d v="2012-01-09T00:00:00"/>
    <n v="2460883"/>
    <d v="2012-01-07T00:00:00"/>
    <d v="2012-01-09T00:00:00"/>
    <n v="15000"/>
    <x v="0"/>
    <m/>
    <s v="N"/>
    <s v="NONE"/>
    <s v="GUILTY PLEA - NO JURY"/>
    <n v="3"/>
    <n v="3"/>
    <n v="5"/>
    <n v="0"/>
    <m/>
    <m/>
    <m/>
    <m/>
    <m/>
    <m/>
    <m/>
    <m/>
    <m/>
    <d v="1968-08-26T00:00:00"/>
    <s v="F"/>
    <s v="B"/>
    <s v="BLACK"/>
    <s v="NON-HISPANIC"/>
    <s v="176"/>
    <s v="CONVICTED"/>
    <n v="1"/>
    <s v="STJ"/>
    <m/>
    <n v="6"/>
    <m/>
    <s v="MAN/DEL CS PG I &lt;1GRAM"/>
    <m/>
    <s v="FS"/>
    <s v="SALE DRUG"/>
    <m/>
    <m/>
    <m/>
    <m/>
    <m/>
    <m/>
    <m/>
    <m/>
    <m/>
    <s v="Appointed Attorney"/>
    <m/>
    <m/>
    <n v="3"/>
    <n v="3"/>
    <n v="3"/>
    <n v="43.275956284153004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1488"/>
    <s v="Y"/>
    <s v="Y"/>
    <n v="2461443"/>
    <n v="4"/>
    <d v="2012-02-24T00:00:00"/>
    <d v="2012-08-17T00:00:00"/>
    <n v="2461443"/>
    <d v="2012-02-25T00:00:00"/>
    <d v="2012-02-27T00:00:00"/>
    <n v="5000"/>
    <x v="4"/>
    <d v="2012-02-27T00:00:00"/>
    <s v="Y"/>
    <s v="SURETY"/>
    <s v="GUILTY PLEA - NO JURY"/>
    <n v="8"/>
    <n v="176"/>
    <n v="0"/>
    <n v="1"/>
    <n v="2"/>
    <m/>
    <m/>
    <m/>
    <m/>
    <m/>
    <m/>
    <m/>
    <m/>
    <d v="1990-05-18T00:00:00"/>
    <s v="M"/>
    <s v="H"/>
    <s v="HISPANIC"/>
    <s v="HISPANIC"/>
    <s v="208"/>
    <s v="CONVICTED"/>
    <n v="6"/>
    <s v="HCJ"/>
    <m/>
    <m/>
    <n v="240"/>
    <s v="POSS CS PG 1 &lt;1G"/>
    <m/>
    <s v="FS"/>
    <s v="POSS DRUG"/>
    <m/>
    <m/>
    <s v="Y"/>
    <s v="BF 4/23/2012"/>
    <m/>
    <m/>
    <m/>
    <d v="2013-05-14T00:00:00"/>
    <n v="308"/>
    <s v="Appointed Attorney"/>
    <s v="misd disc firearm hcj 36 d 8/27/12"/>
    <m/>
    <n v="8"/>
    <n v="175"/>
    <n v="176"/>
    <n v="21.726775956284154"/>
    <n v="0"/>
    <n v="-172"/>
    <s v="CONVICTION"/>
    <x v="1"/>
    <s v="Y"/>
    <m/>
    <s v="CONVICTION"/>
    <s v="Y"/>
    <x v="0"/>
    <x v="0"/>
    <s v="N"/>
    <n v="4.5454545454545456E-2"/>
    <n v="1.7142857142857144E-2"/>
    <n v="-2.8311688311688312E-2"/>
    <n v="0"/>
    <n v="-3"/>
    <n v="5"/>
    <n v="175"/>
    <n v="8"/>
    <n v="175"/>
    <n v="172"/>
    <m/>
    <m/>
    <s v="Y"/>
    <m/>
    <s v="0-10 DAYS"/>
    <n v="1"/>
    <x v="0"/>
  </r>
  <r>
    <n v="2171"/>
    <s v="N"/>
    <s v="N"/>
    <n v="2461989"/>
    <n v="2"/>
    <d v="2012-03-22T00:00:00"/>
    <d v="2012-07-18T00:00:00"/>
    <n v="2461989"/>
    <d v="2012-03-22T00:00:00"/>
    <d v="2012-07-18T00:00:00"/>
    <s v="NO BOND"/>
    <x v="1"/>
    <m/>
    <s v="N"/>
    <s v="NONE"/>
    <s v="DEFERRED ADJUDICATION "/>
    <n v="119"/>
    <n v="119"/>
    <n v="1"/>
    <n v="3"/>
    <m/>
    <n v="1"/>
    <m/>
    <m/>
    <m/>
    <m/>
    <m/>
    <m/>
    <m/>
    <d v="1992-09-07T00:00:00"/>
    <s v="M"/>
    <s v="B"/>
    <s v="BLACK"/>
    <s v="NULL"/>
    <s v="176"/>
    <s v="DEFERRED"/>
    <n v="5"/>
    <s v="DEFERRED"/>
    <m/>
    <m/>
    <m/>
    <s v="THEFT UNDER $1500 - 3RD OFF."/>
    <m/>
    <s v="FS"/>
    <s v="THEFT"/>
    <s v="9/19/12 fel theft  129 days hcj"/>
    <s v="bk 5/4/12 mot to rev but cont montly prob conf w ct"/>
    <m/>
    <m/>
    <m/>
    <m/>
    <m/>
    <m/>
    <m/>
    <s v="Appointed Attorney"/>
    <m/>
    <m/>
    <n v="119"/>
    <n v="119"/>
    <n v="119"/>
    <n v="19.497267759562842"/>
    <n v="0"/>
    <n v="0"/>
    <s v="DEFERRED"/>
    <x v="0"/>
    <s v="N"/>
    <m/>
    <s v="DEFERRED"/>
    <s v="Y"/>
    <x v="0"/>
    <x v="0"/>
    <s v="Y"/>
    <n v="1"/>
    <n v="1"/>
    <n v="0"/>
    <n v="0"/>
    <n v="-119"/>
    <n v="0"/>
    <n v="119"/>
    <e v="#VALUE!"/>
    <n v="119"/>
    <n v="0"/>
    <m/>
    <m/>
    <s v="Y"/>
    <m/>
    <s v="91-120 DAYS"/>
    <n v="0"/>
    <x v="0"/>
  </r>
  <r>
    <n v="1746"/>
    <s v="N"/>
    <s v="N"/>
    <n v="2462003"/>
    <n v="1"/>
    <d v="2012-03-06T00:00:00"/>
    <d v="2012-03-23T00:00:00"/>
    <n v="2462003"/>
    <d v="2012-03-06T00:00:00"/>
    <d v="2012-03-08T00:00:00"/>
    <n v="2000"/>
    <x v="5"/>
    <d v="2012-03-08T00:00:00"/>
    <s v="Y"/>
    <s v="SURETY"/>
    <s v="DISMISSED"/>
    <n v="3"/>
    <n v="18"/>
    <n v="1"/>
    <n v="1"/>
    <m/>
    <n v="1"/>
    <m/>
    <m/>
    <m/>
    <m/>
    <m/>
    <m/>
    <m/>
    <d v="1991-09-20T00:00:00"/>
    <s v="M"/>
    <s v="W"/>
    <s v="WHITE"/>
    <s v="NON-HISPANIC"/>
    <s v="232"/>
    <s v="DISMISSED"/>
    <n v="2"/>
    <s v="DISMISSED"/>
    <m/>
    <m/>
    <m/>
    <s v="UNAUTH USE OF VEHICLE"/>
    <m/>
    <s v="FS"/>
    <s v="AUTO THEFT"/>
    <m/>
    <m/>
    <m/>
    <m/>
    <m/>
    <m/>
    <m/>
    <m/>
    <m/>
    <s v="Other/Unknown"/>
    <m/>
    <m/>
    <n v="3"/>
    <n v="18"/>
    <n v="18"/>
    <n v="20.418032786885245"/>
    <n v="0"/>
    <n v="-15"/>
    <s v="NO CONVICTION"/>
    <x v="1"/>
    <s v="Y"/>
    <m/>
    <s v="NO CONVICTION"/>
    <s v="Y"/>
    <x v="1"/>
    <x v="0"/>
    <s v="Y"/>
    <n v="0.16666666666666666"/>
    <n v="0.16666666666666666"/>
    <n v="0"/>
    <n v="0"/>
    <n v="-3"/>
    <n v="0"/>
    <n v="3"/>
    <e v="#VALUE!"/>
    <n v="3"/>
    <n v="0"/>
    <m/>
    <m/>
    <s v="Y"/>
    <m/>
    <s v="0-10 DAYS"/>
    <n v="1"/>
    <x v="0"/>
  </r>
  <r>
    <n v="2349"/>
    <s v="N"/>
    <s v="N"/>
    <n v="2464095"/>
    <n v="6"/>
    <d v="2012-03-29T00:00:00"/>
    <d v="2012-08-30T00:00:00"/>
    <n v="2464095"/>
    <d v="2012-04-10T00:00:00"/>
    <d v="2012-08-30T00:00:00"/>
    <s v="NO BOND"/>
    <x v="1"/>
    <m/>
    <s v="N"/>
    <s v="NONE"/>
    <s v="DEFENDANT CONVICTED ON ANOTHER CHARGE"/>
    <n v="143"/>
    <n v="155"/>
    <n v="1"/>
    <n v="0"/>
    <m/>
    <n v="1"/>
    <m/>
    <m/>
    <m/>
    <m/>
    <m/>
    <m/>
    <m/>
    <d v="1992-08-31T00:00:00"/>
    <s v="M"/>
    <s v="B"/>
    <s v="BLACK"/>
    <s v="NON-HISPANIC"/>
    <s v="185"/>
    <s v="CONVICTED"/>
    <n v="8"/>
    <s v="TDC"/>
    <n v="2"/>
    <m/>
    <m/>
    <s v="POSS PROH WPN"/>
    <m/>
    <s v="F3"/>
    <s v="OTHER FEL"/>
    <m/>
    <m/>
    <m/>
    <m/>
    <m/>
    <m/>
    <m/>
    <m/>
    <m/>
    <s v="Hired Attorney"/>
    <m/>
    <m/>
    <n v="143"/>
    <n v="143"/>
    <n v="155"/>
    <n v="19.535519125683059"/>
    <n v="0"/>
    <n v="0"/>
    <s v="CONVICTION"/>
    <x v="0"/>
    <s v="N"/>
    <m/>
    <s v="CONVICTION"/>
    <s v="Y"/>
    <x v="0"/>
    <x v="0"/>
    <s v="Y"/>
    <n v="0.92258064516129035"/>
    <n v="1"/>
    <n v="7.7419354838709653E-2"/>
    <n v="0"/>
    <n v="-143"/>
    <n v="0"/>
    <n v="143"/>
    <e v="#VALUE!"/>
    <n v="143"/>
    <n v="0"/>
    <m/>
    <m/>
    <s v="Y"/>
    <m/>
    <s v="121-365 DAYS"/>
    <n v="6"/>
    <x v="0"/>
  </r>
  <r>
    <n v="1243"/>
    <s v="N"/>
    <s v="N"/>
    <n v="2464112"/>
    <n v="2"/>
    <d v="2012-02-15T00:00:00"/>
    <d v="2012-03-23T00:00:00"/>
    <n v="2464112"/>
    <d v="2012-03-22T00:00:00"/>
    <d v="2012-03-23T00:00:00"/>
    <n v="10000"/>
    <x v="3"/>
    <m/>
    <s v="N"/>
    <s v="NONE"/>
    <s v="DEFERRED ADJUDICATION "/>
    <n v="2"/>
    <n v="38"/>
    <n v="1"/>
    <n v="2"/>
    <m/>
    <m/>
    <m/>
    <m/>
    <m/>
    <m/>
    <m/>
    <m/>
    <m/>
    <d v="1992-06-23T00:00:00"/>
    <s v="M"/>
    <s v="B"/>
    <s v="BLACK"/>
    <s v="NULL"/>
    <s v="179"/>
    <s v="DEFERRED"/>
    <n v="2"/>
    <s v="DEFERRED"/>
    <m/>
    <m/>
    <m/>
    <s v="BURGLARY OF HABITATION"/>
    <m/>
    <s v="F2"/>
    <s v="BURGLARY"/>
    <s v="4/3/12 frep revoked 5/2/12 tdc 3 yrs"/>
    <m/>
    <m/>
    <m/>
    <m/>
    <m/>
    <m/>
    <m/>
    <m/>
    <s v="Appointed Attorney"/>
    <m/>
    <m/>
    <n v="2"/>
    <n v="2"/>
    <n v="38"/>
    <n v="19.606557377049182"/>
    <n v="0"/>
    <n v="0"/>
    <s v="DEFERRED"/>
    <x v="0"/>
    <s v="N"/>
    <m/>
    <s v="DEFERRED"/>
    <s v="Y"/>
    <x v="0"/>
    <x v="0"/>
    <s v="Y"/>
    <n v="5.2631578947368418E-2"/>
    <n v="1"/>
    <n v="0.94736842105263164"/>
    <n v="0"/>
    <n v="-2"/>
    <n v="0"/>
    <n v="2"/>
    <e v="#VALUE!"/>
    <n v="2"/>
    <n v="0"/>
    <m/>
    <m/>
    <s v="Y"/>
    <m/>
    <s v="0-10 DAYS"/>
    <n v="1"/>
    <x v="0"/>
  </r>
  <r>
    <n v="1977"/>
    <s v="N"/>
    <s v="N"/>
    <n v="2464167"/>
    <n v="2"/>
    <d v="2012-03-14T00:00:00"/>
    <d v="2012-03-16T00:00:00"/>
    <n v="2464167"/>
    <d v="2012-03-15T00:00:00"/>
    <d v="2012-03-16T00:00:00"/>
    <n v="10000"/>
    <x v="3"/>
    <m/>
    <s v="N"/>
    <s v="NONE"/>
    <s v="DEFERRED ADJUDICATION "/>
    <n v="2"/>
    <n v="3"/>
    <n v="0"/>
    <n v="3"/>
    <m/>
    <m/>
    <m/>
    <m/>
    <m/>
    <m/>
    <m/>
    <s v="S"/>
    <m/>
    <d v="1989-02-01T00:00:00"/>
    <s v="M"/>
    <s v="H"/>
    <s v="HISPANIC"/>
    <s v="NULL"/>
    <s v="176"/>
    <s v="DEFERRED"/>
    <n v="1"/>
    <s v="DEFERRED"/>
    <m/>
    <m/>
    <m/>
    <s v="POSS CS PG 1 4G - 200G"/>
    <m/>
    <s v="F2"/>
    <s v="POSS DRUG"/>
    <m/>
    <m/>
    <m/>
    <m/>
    <m/>
    <m/>
    <m/>
    <m/>
    <m/>
    <s v="Appointed Attorney"/>
    <m/>
    <m/>
    <n v="2"/>
    <n v="2"/>
    <n v="3"/>
    <n v="23.065573770491802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199"/>
    <s v="N"/>
    <s v="Y"/>
    <n v="2464383"/>
    <n v="6"/>
    <d v="2012-01-09T00:00:00"/>
    <d v="2012-07-17T00:00:00"/>
    <n v="2464383"/>
    <d v="2012-01-10T00:00:00"/>
    <d v="2012-01-13T00:00:00"/>
    <n v="10000"/>
    <x v="3"/>
    <d v="2012-01-13T00:00:00"/>
    <s v="Y"/>
    <s v="SURETY"/>
    <s v="GUILTY PLEA - NO JURY"/>
    <n v="43"/>
    <n v="191"/>
    <n v="1"/>
    <n v="2"/>
    <n v="1"/>
    <m/>
    <m/>
    <m/>
    <m/>
    <m/>
    <m/>
    <m/>
    <m/>
    <d v="1992-10-26T00:00:00"/>
    <s v="M"/>
    <s v="B"/>
    <s v="BLACK"/>
    <s v="NON-HISPANIC"/>
    <s v="174"/>
    <s v="CONVICTED"/>
    <n v="11"/>
    <s v="TDC"/>
    <n v="2"/>
    <m/>
    <m/>
    <s v="BURGLARY OF HABITATION"/>
    <m/>
    <s v="F2"/>
    <s v="BURGLARY"/>
    <s v=" 4/11/12 conv marij 30 days rec al  add 39 d"/>
    <m/>
    <s v="Y"/>
    <s v="BF6/8/2012"/>
    <m/>
    <m/>
    <m/>
    <d v="2012-07-20T00:00:00"/>
    <n v="235"/>
    <s v="Appointed Attorney"/>
    <m/>
    <m/>
    <n v="43"/>
    <n v="190"/>
    <n v="191"/>
    <n v="19.16393442622951"/>
    <n v="0"/>
    <n v="-186"/>
    <s v="CONVICTION"/>
    <x v="1"/>
    <s v="N"/>
    <m/>
    <s v="CONVICTION"/>
    <s v="Y"/>
    <x v="0"/>
    <x v="0"/>
    <s v="Y"/>
    <n v="0.22513089005235601"/>
    <n v="2.1052631578947368E-2"/>
    <n v="-0.20407825847340863"/>
    <n v="0"/>
    <n v="-4"/>
    <n v="39"/>
    <n v="190"/>
    <n v="43"/>
    <n v="190"/>
    <n v="186"/>
    <m/>
    <m/>
    <s v="Y"/>
    <m/>
    <s v="31-60 DAYS"/>
    <n v="3"/>
    <x v="0"/>
  </r>
  <r>
    <n v="1749"/>
    <s v="N"/>
    <s v="N"/>
    <n v="2464537"/>
    <n v="4"/>
    <d v="2012-03-06T00:00:00"/>
    <d v="2012-03-08T00:00:00"/>
    <n v="2464537"/>
    <d v="2012-03-06T00:00:00"/>
    <d v="2012-03-08T00:00:00"/>
    <n v="5000"/>
    <x v="4"/>
    <m/>
    <s v="N"/>
    <s v="NONE"/>
    <s v="GUILTY PLEA - NO JURY"/>
    <n v="3"/>
    <n v="3"/>
    <n v="1"/>
    <n v="4"/>
    <m/>
    <m/>
    <m/>
    <m/>
    <m/>
    <m/>
    <m/>
    <m/>
    <m/>
    <d v="1966-01-20T00:00:00"/>
    <s v="M"/>
    <s v="B"/>
    <s v="BLACK"/>
    <s v="NULL"/>
    <s v="180"/>
    <s v="CONVICTED"/>
    <n v="1"/>
    <s v="HCJ"/>
    <m/>
    <m/>
    <n v="180"/>
    <s v="THEFT UNDER $1500 - 3RD OFF."/>
    <m/>
    <s v="FS"/>
    <s v="THEFT"/>
    <s v="fel theft 9/11/12 hcj 1 yr"/>
    <m/>
    <m/>
    <m/>
    <m/>
    <m/>
    <m/>
    <m/>
    <m/>
    <s v="Public Defender"/>
    <m/>
    <m/>
    <n v="3"/>
    <n v="3"/>
    <n v="3"/>
    <n v="46.030054644808743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343"/>
    <s v="N"/>
    <s v="N"/>
    <n v="2464700"/>
    <n v="6"/>
    <d v="2012-01-14T00:00:00"/>
    <d v="2012-08-09T00:00:00"/>
    <n v="2464700"/>
    <d v="2012-01-19T00:00:00"/>
    <d v="2012-08-09T00:00:00"/>
    <n v="30000"/>
    <x v="2"/>
    <m/>
    <s v="N"/>
    <s v="NONE"/>
    <s v="GUILTY PLEA - NO JURY"/>
    <n v="204"/>
    <n v="209"/>
    <n v="0"/>
    <n v="2"/>
    <m/>
    <m/>
    <m/>
    <m/>
    <m/>
    <m/>
    <m/>
    <m/>
    <m/>
    <d v="1990-07-20T00:00:00"/>
    <s v="M"/>
    <s v="B"/>
    <s v="BLACK"/>
    <s v="NULL"/>
    <s v="351"/>
    <s v="CONVICTED"/>
    <n v="10"/>
    <s v="TDC"/>
    <n v="15"/>
    <m/>
    <m/>
    <s v="AGG ROBBERY-DEADLY WPN"/>
    <m/>
    <s v="F1"/>
    <s v="ROBBERY"/>
    <m/>
    <m/>
    <m/>
    <m/>
    <m/>
    <m/>
    <m/>
    <m/>
    <m/>
    <s v="Hired Attorney"/>
    <m/>
    <m/>
    <n v="204"/>
    <n v="204"/>
    <n v="209"/>
    <n v="21.442622950819672"/>
    <n v="0"/>
    <n v="0"/>
    <s v="CONVICTION"/>
    <x v="0"/>
    <s v="N"/>
    <m/>
    <s v="CONVICTION"/>
    <s v="Y"/>
    <x v="0"/>
    <x v="0"/>
    <s v="N"/>
    <n v="0.97607655502392343"/>
    <n v="1"/>
    <n v="2.3923444976076569E-2"/>
    <n v="0"/>
    <n v="-204"/>
    <n v="0"/>
    <n v="204"/>
    <e v="#VALUE!"/>
    <n v="204"/>
    <n v="0"/>
    <m/>
    <m/>
    <s v="Y"/>
    <m/>
    <s v="121-365 DAYS"/>
    <n v="6"/>
    <x v="0"/>
  </r>
  <r>
    <n v="2294"/>
    <s v="N"/>
    <s v="N"/>
    <n v="2464887"/>
    <n v="2"/>
    <d v="2012-03-27T00:00:00"/>
    <d v="2012-08-29T00:00:00"/>
    <n v="2464887"/>
    <d v="2012-03-28T00:00:00"/>
    <d v="2012-08-29T00:00:00"/>
    <n v="10000"/>
    <x v="3"/>
    <m/>
    <s v="N"/>
    <s v="NONE"/>
    <s v="DEFERRED ADJUDICATION "/>
    <n v="155"/>
    <n v="156"/>
    <n v="0"/>
    <n v="0"/>
    <m/>
    <m/>
    <m/>
    <m/>
    <m/>
    <m/>
    <m/>
    <m/>
    <m/>
    <d v="1992-10-16T00:00:00"/>
    <s v="M"/>
    <s v="W"/>
    <s v="WHITE"/>
    <s v="NULL"/>
    <s v="176"/>
    <s v="DEFERRED"/>
    <n v="7"/>
    <s v="DEFERRED"/>
    <m/>
    <m/>
    <n v="30"/>
    <s v="BURGLARY OF HABITATION"/>
    <m/>
    <s v="F2"/>
    <s v="BURGLARY"/>
    <m/>
    <m/>
    <m/>
    <m/>
    <m/>
    <m/>
    <m/>
    <m/>
    <m/>
    <s v="Appointed Attorney"/>
    <m/>
    <m/>
    <n v="155"/>
    <n v="155"/>
    <n v="156"/>
    <n v="19.404371584699454"/>
    <n v="0"/>
    <n v="0"/>
    <s v="DEFERRED"/>
    <x v="0"/>
    <s v="N"/>
    <m/>
    <s v="DEFERRED"/>
    <s v="Y"/>
    <x v="0"/>
    <x v="0"/>
    <s v="N"/>
    <n v="0.99358974358974361"/>
    <n v="1"/>
    <n v="6.4102564102563875E-3"/>
    <n v="0"/>
    <n v="-155"/>
    <n v="0"/>
    <n v="155"/>
    <e v="#VALUE!"/>
    <n v="155"/>
    <n v="0"/>
    <m/>
    <m/>
    <s v="N"/>
    <m/>
    <s v="121-365 DAYS"/>
    <n v="6"/>
    <x v="0"/>
  </r>
  <r>
    <n v="3223"/>
    <s v="N"/>
    <s v="N"/>
    <n v="2464892"/>
    <n v="4"/>
    <d v="2012-04-28T00:00:00"/>
    <d v="2012-10-11T00:00:00"/>
    <n v="2464892"/>
    <s v="NOT BOOKED"/>
    <s v="NOT BOOKED"/>
    <n v="10000"/>
    <x v="3"/>
    <d v="2012-06-02T00:00:00"/>
    <s v="Y"/>
    <s v="SURETY"/>
    <s v="GUILTY PLEA - NO JURY"/>
    <n v="0"/>
    <n v="167"/>
    <n v="1"/>
    <n v="0"/>
    <m/>
    <m/>
    <m/>
    <m/>
    <m/>
    <m/>
    <m/>
    <m/>
    <m/>
    <d v="1991-12-06T00:00:00"/>
    <s v="F"/>
    <s v="W"/>
    <s v="WHITE"/>
    <s v="NULL"/>
    <s v="338"/>
    <s v="CONVICTED"/>
    <n v="7"/>
    <s v="HCJ"/>
    <m/>
    <m/>
    <n v="1"/>
    <s v="BURGLARY OF HABITATION"/>
    <m/>
    <s v="F2"/>
    <s v="BURGLARY"/>
    <m/>
    <m/>
    <m/>
    <m/>
    <m/>
    <m/>
    <m/>
    <m/>
    <m/>
    <s v="Appointed Attorney"/>
    <m/>
    <m/>
    <n v="0"/>
    <n v="0"/>
    <n v="167"/>
    <n v="20.352459016393443"/>
    <e v="#VALUE!"/>
    <e v="#VALUE!"/>
    <s v="CONVICTION"/>
    <x v="1"/>
    <s v="Y"/>
    <m/>
    <s v="CONVICTION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2053"/>
    <s v="N"/>
    <s v="N"/>
    <n v="2464992"/>
    <n v="5"/>
    <d v="2012-03-18T00:00:00"/>
    <d v="2012-07-13T00:00:00"/>
    <n v="2464992"/>
    <d v="2012-03-18T00:00:00"/>
    <d v="2012-07-13T00:00:00"/>
    <n v="35000"/>
    <x v="2"/>
    <m/>
    <s v="N"/>
    <s v="NONE"/>
    <s v="GUILTY PLEA - NO JURY"/>
    <n v="118"/>
    <n v="118"/>
    <n v="1"/>
    <n v="0"/>
    <m/>
    <m/>
    <m/>
    <m/>
    <m/>
    <m/>
    <m/>
    <m/>
    <m/>
    <d v="1983-03-23T00:00:00"/>
    <s v="M"/>
    <s v="H"/>
    <s v="HISPANIC"/>
    <s v="HISPANIC"/>
    <s v="351"/>
    <s v="CONVICTED"/>
    <n v="9"/>
    <s v="STJ"/>
    <m/>
    <n v="8"/>
    <m/>
    <s v="DEADLY COND-DISCH F-ARM HAB/BL"/>
    <m/>
    <s v="F3"/>
    <s v="OTHER FEL"/>
    <m/>
    <m/>
    <m/>
    <m/>
    <m/>
    <m/>
    <m/>
    <m/>
    <m/>
    <s v="Hired Attorney"/>
    <m/>
    <m/>
    <n v="118"/>
    <n v="118"/>
    <n v="118"/>
    <n v="28.928961748633881"/>
    <n v="0"/>
    <n v="0"/>
    <s v="CONVICTION"/>
    <x v="0"/>
    <s v="N"/>
    <m/>
    <s v="CONVICTION"/>
    <s v="Y"/>
    <x v="0"/>
    <x v="0"/>
    <s v="Y"/>
    <n v="1"/>
    <n v="1"/>
    <n v="0"/>
    <n v="0"/>
    <n v="-118"/>
    <n v="0"/>
    <n v="118"/>
    <e v="#VALUE!"/>
    <n v="118"/>
    <n v="0"/>
    <m/>
    <m/>
    <s v="Y"/>
    <m/>
    <s v="91-120 DAYS"/>
    <n v="0"/>
    <x v="0"/>
  </r>
  <r>
    <n v="2633"/>
    <s v="N"/>
    <s v="N"/>
    <n v="2465486"/>
    <n v="1"/>
    <d v="2012-04-07T00:00:00"/>
    <d v="2012-05-01T00:00:00"/>
    <n v="2465486"/>
    <s v="NOT BOOKED"/>
    <s v="NOT BOOKED"/>
    <n v="10000"/>
    <x v="3"/>
    <d v="2012-04-08T00:00:00"/>
    <s v="Y"/>
    <s v="SURETY"/>
    <s v="DISMISSED"/>
    <n v="0"/>
    <n v="25"/>
    <n v="0"/>
    <n v="0"/>
    <m/>
    <m/>
    <m/>
    <m/>
    <m/>
    <m/>
    <m/>
    <m/>
    <m/>
    <d v="1983-07-25T00:00:00"/>
    <s v="F"/>
    <s v="W"/>
    <s v="WHITE"/>
    <s v="NULL"/>
    <s v="180"/>
    <s v="DISMISSED"/>
    <n v="2"/>
    <s v="DISMISSED"/>
    <m/>
    <m/>
    <m/>
    <s v="BURGLARY OF HABITATION"/>
    <m/>
    <s v="F2"/>
    <s v="BURGLARY"/>
    <m/>
    <m/>
    <m/>
    <m/>
    <m/>
    <m/>
    <m/>
    <m/>
    <m/>
    <s v="Hired Attorney"/>
    <m/>
    <m/>
    <n v="0"/>
    <n v="0"/>
    <n v="25"/>
    <n v="28.644808743169399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836"/>
    <s v="N"/>
    <s v="N"/>
    <n v="2465771"/>
    <n v="3"/>
    <d v="2012-04-14T00:00:00"/>
    <d v="2012-09-12T00:00:00"/>
    <n v="2465771"/>
    <d v="2012-04-14T00:00:00"/>
    <d v="2012-04-22T00:00:00"/>
    <n v="10000"/>
    <x v="3"/>
    <d v="2012-04-22T00:00:00"/>
    <s v="Y"/>
    <s v="SURETYPTRc"/>
    <s v="GUILTY PLEA - NO JURY"/>
    <n v="9"/>
    <n v="152"/>
    <n v="0"/>
    <n v="2"/>
    <m/>
    <m/>
    <m/>
    <m/>
    <m/>
    <m/>
    <m/>
    <m/>
    <m/>
    <d v="1962-09-11T00:00:00"/>
    <s v="M"/>
    <s v="W"/>
    <s v="WHITE"/>
    <s v="NULL"/>
    <s v="185"/>
    <s v="CONVICTED"/>
    <n v="8"/>
    <s v="PROBATION"/>
    <m/>
    <m/>
    <m/>
    <s v="DWI 3RD OFFENDER BAC .08"/>
    <m/>
    <s v="F3"/>
    <s v="FEL DWI"/>
    <m/>
    <m/>
    <m/>
    <m/>
    <m/>
    <m/>
    <m/>
    <m/>
    <m/>
    <s v="Appointed Attorney"/>
    <m/>
    <m/>
    <n v="9"/>
    <n v="152"/>
    <n v="152"/>
    <n v="49.489071038251367"/>
    <n v="0"/>
    <n v="-143"/>
    <s v="CONVICTION"/>
    <x v="1"/>
    <s v="Y"/>
    <m/>
    <s v="CONVICTION"/>
    <s v="Y"/>
    <x v="1"/>
    <x v="0"/>
    <s v="N"/>
    <n v="5.921052631578947E-2"/>
    <n v="5.921052631578947E-2"/>
    <n v="0"/>
    <n v="0"/>
    <n v="-9"/>
    <n v="0"/>
    <n v="9"/>
    <e v="#VALUE!"/>
    <n v="9"/>
    <n v="0"/>
    <m/>
    <m/>
    <s v="Y"/>
    <m/>
    <s v="0-10 DAYS"/>
    <n v="1"/>
    <x v="0"/>
  </r>
  <r>
    <n v="1318"/>
    <s v="N"/>
    <s v="Y"/>
    <n v="2465886"/>
    <s v=""/>
    <d v="2012-02-17T00:00:00"/>
    <m/>
    <n v="2465886"/>
    <d v="2012-05-14T00:00:00"/>
    <d v="2012-06-06T00:00:00"/>
    <n v="35000"/>
    <x v="2"/>
    <d v="2012-06-06T00:00:00"/>
    <s v="Y"/>
    <s v="SURETY"/>
    <s v="SURETY fugitive"/>
    <s v="STILL OPEN - FUGITIVE"/>
    <s v="STILL OPEN - FUGITIVE"/>
    <n v="0"/>
    <n v="3"/>
    <m/>
    <m/>
    <m/>
    <m/>
    <m/>
    <m/>
    <m/>
    <m/>
    <m/>
    <d v="1991-04-27T00:00:00"/>
    <s v="M"/>
    <s v="B"/>
    <s v="BLACK"/>
    <s v="NON-HISPANIC"/>
    <s v="176"/>
    <s v="NULL"/>
    <m/>
    <m/>
    <m/>
    <m/>
    <m/>
    <s v="AGG ROBBERY-DEADLY WPN"/>
    <m/>
    <s v="F1"/>
    <s v="ROBBERY"/>
    <m/>
    <s v=" bf 8/21/12 "/>
    <s v="Y"/>
    <s v="  8/21/12 "/>
    <m/>
    <s v="Y"/>
    <m/>
    <s v="(2)nisi 8/23/12 $PEN"/>
    <m/>
    <s v="Appointed Attorney"/>
    <m/>
    <m/>
    <s v="STILL OPEN - FUGITIVE"/>
    <s v="STILL OPEN - FUGITIVE"/>
    <s v="STILL OPEN - FUGITIVE"/>
    <n v="20.76775956284153"/>
    <n v="0"/>
    <n v="41066"/>
    <n v="0"/>
    <x v="1"/>
    <s v="Y"/>
    <m/>
    <s v=""/>
    <s v="Y"/>
    <x v="4"/>
    <x v="1"/>
    <s v="N"/>
    <s v="STILL OPEN - FUGITIVE"/>
    <s v="STILL OPEN"/>
    <n v="0"/>
    <e v="#VALUE!"/>
    <n v="-24"/>
    <e v="#VALUE!"/>
    <e v="#VALUE!"/>
    <s v="STILL OPEN - FUGITIVE"/>
    <s v="STILL OPEN"/>
    <m/>
    <m/>
    <m/>
    <s v="Y"/>
    <e v="#N/A"/>
    <s v="&gt;3YRS"/>
    <n v="9"/>
    <x v="0"/>
  </r>
  <r>
    <n v="2223"/>
    <s v="Y"/>
    <s v="N"/>
    <n v="2466220"/>
    <n v="1"/>
    <d v="2012-03-24T00:00:00"/>
    <d v="2012-03-26T00:00:00"/>
    <n v="2466220"/>
    <d v="2012-03-24T00:00:00"/>
    <d v="2012-03-26T00:00:00"/>
    <n v="5000"/>
    <x v="4"/>
    <m/>
    <s v="N"/>
    <s v="NONE"/>
    <s v="DISMISSED"/>
    <n v="3"/>
    <n v="3"/>
    <n v="0"/>
    <n v="0"/>
    <m/>
    <m/>
    <m/>
    <m/>
    <m/>
    <m/>
    <m/>
    <m/>
    <m/>
    <d v="1988-01-18T00:00:00"/>
    <s v="M"/>
    <s v="W"/>
    <s v="WHITE"/>
    <s v="NULL"/>
    <s v="180"/>
    <s v="DISMISSED"/>
    <n v="1"/>
    <s v="DISMISSED"/>
    <m/>
    <m/>
    <m/>
    <s v="TAMPER/FABRICATE EVIDENCE"/>
    <m/>
    <s v="F3"/>
    <s v="OTHER FEL"/>
    <s v="misd drug 1/3/13 def adj "/>
    <m/>
    <m/>
    <m/>
    <m/>
    <m/>
    <m/>
    <m/>
    <m/>
    <s v="Other/Unknown"/>
    <s v="misd drug 1/3/13 def adj "/>
    <m/>
    <n v="3"/>
    <n v="3"/>
    <n v="3"/>
    <n v="24.131147540983605"/>
    <n v="0"/>
    <n v="0"/>
    <s v="NO CONVICTION"/>
    <x v="0"/>
    <s v="N"/>
    <m/>
    <s v="NO CONVICTION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1849"/>
    <s v="N"/>
    <s v="N"/>
    <n v="2468498"/>
    <n v="2"/>
    <d v="2012-03-09T00:00:00"/>
    <d v="2012-04-25T00:00:00"/>
    <n v="2468498"/>
    <d v="2012-03-09T00:00:00"/>
    <d v="2012-04-25T00:00:00"/>
    <s v="NO BOND"/>
    <x v="1"/>
    <m/>
    <s v="N"/>
    <s v="NONE"/>
    <s v="DEFERRED ADJUDICATION "/>
    <n v="48"/>
    <n v="48"/>
    <n v="0"/>
    <n v="2"/>
    <m/>
    <m/>
    <m/>
    <m/>
    <m/>
    <m/>
    <m/>
    <m/>
    <m/>
    <d v="1981-08-13T00:00:00"/>
    <s v="M"/>
    <s v="B"/>
    <s v="BLACK"/>
    <s v="NON-HISPANIC"/>
    <s v="351"/>
    <s v="DEFERRED"/>
    <n v="3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48"/>
    <n v="48"/>
    <n v="48"/>
    <n v="30.508196721311474"/>
    <n v="0"/>
    <n v="0"/>
    <s v="DEFERRED"/>
    <x v="0"/>
    <s v="N"/>
    <m/>
    <s v="DEFERRED"/>
    <s v="Y"/>
    <x v="0"/>
    <x v="0"/>
    <s v="N"/>
    <n v="1"/>
    <n v="1"/>
    <n v="0"/>
    <n v="0"/>
    <n v="-48"/>
    <n v="0"/>
    <n v="48"/>
    <e v="#VALUE!"/>
    <n v="48"/>
    <n v="0"/>
    <m/>
    <m/>
    <s v="Y"/>
    <m/>
    <s v="31-60 DAYS"/>
    <n v="3"/>
    <x v="0"/>
  </r>
  <r>
    <n v="1960"/>
    <s v="N"/>
    <s v="N"/>
    <n v="2469382"/>
    <n v="1"/>
    <d v="2012-03-14T00:00:00"/>
    <d v="2012-06-21T00:00:00"/>
    <n v="2469382"/>
    <d v="2012-03-14T00:00:00"/>
    <d v="2012-03-16T00:00:00"/>
    <n v="30000"/>
    <x v="2"/>
    <d v="2012-03-16T00:00:00"/>
    <s v="Y"/>
    <s v="SURETYPTRc"/>
    <s v="NO BILL"/>
    <n v="3"/>
    <n v="100"/>
    <n v="0"/>
    <n v="0"/>
    <m/>
    <m/>
    <m/>
    <m/>
    <m/>
    <m/>
    <m/>
    <m/>
    <m/>
    <d v="1992-06-15T00:00:00"/>
    <s v="M"/>
    <s v="B"/>
    <s v="BLACK"/>
    <s v="NULL"/>
    <s v="337"/>
    <s v="NO BILL"/>
    <n v="6"/>
    <s v="NO BILL"/>
    <m/>
    <m/>
    <m/>
    <s v="AGG ASSLT AGAINST PB SERVANT"/>
    <m/>
    <s v="F1"/>
    <s v="ASLT-MURDR"/>
    <s v="4/16/12 bd viol drug urine"/>
    <m/>
    <m/>
    <m/>
    <m/>
    <m/>
    <m/>
    <m/>
    <m/>
    <s v="Hired Attorney"/>
    <m/>
    <m/>
    <n v="3"/>
    <n v="100"/>
    <n v="100"/>
    <n v="19.704918032786885"/>
    <n v="0"/>
    <n v="-97"/>
    <s v="NO CONVICTION"/>
    <x v="1"/>
    <s v="Y"/>
    <m/>
    <s v="NO CONVICTION"/>
    <s v="Y"/>
    <x v="1"/>
    <x v="0"/>
    <s v="N"/>
    <n v="0.03"/>
    <n v="0.03"/>
    <n v="0"/>
    <n v="0"/>
    <n v="-3"/>
    <n v="0"/>
    <n v="3"/>
    <e v="#VALUE!"/>
    <m/>
    <n v="97"/>
    <m/>
    <m/>
    <s v="N"/>
    <m/>
    <s v="0-10 DAYS"/>
    <n v="1"/>
    <x v="0"/>
  </r>
  <r>
    <n v="1046"/>
    <s v="N"/>
    <s v="N"/>
    <n v="2469812"/>
    <n v="4"/>
    <d v="2012-02-08T00:00:00"/>
    <d v="2012-04-09T00:00:00"/>
    <n v="2469812"/>
    <d v="2012-02-19T00:00:00"/>
    <d v="2012-02-20T00:00:00"/>
    <n v="5000"/>
    <x v="4"/>
    <d v="2012-02-20T00:00:00"/>
    <s v="Y"/>
    <s v="SURETYPTRc"/>
    <s v="GUILTY PLEA - NO JURY"/>
    <n v="2"/>
    <n v="62"/>
    <n v="1"/>
    <n v="0"/>
    <n v="1"/>
    <m/>
    <m/>
    <m/>
    <m/>
    <m/>
    <m/>
    <m/>
    <m/>
    <d v="1991-08-18T00:00:00"/>
    <s v="M"/>
    <s v="B"/>
    <s v="BLACK"/>
    <s v="NON-HISPANIC"/>
    <s v="185"/>
    <s v="CONVICTED"/>
    <n v="4"/>
    <s v="HCJ"/>
    <m/>
    <m/>
    <n v="90"/>
    <s v="ATT POSS PROH SUB CORRECT FACI"/>
    <m/>
    <s v="FS"/>
    <s v="POSS DRUG"/>
    <m/>
    <m/>
    <m/>
    <m/>
    <m/>
    <m/>
    <m/>
    <m/>
    <m/>
    <s v="Hired Attorney"/>
    <m/>
    <m/>
    <n v="2"/>
    <n v="51"/>
    <n v="62"/>
    <n v="20.434426229508198"/>
    <n v="0"/>
    <n v="-49"/>
    <s v="CONVICTION"/>
    <x v="1"/>
    <s v="Y"/>
    <m/>
    <s v="CONVICTION"/>
    <s v="Y"/>
    <x v="1"/>
    <x v="0"/>
    <s v="Y"/>
    <n v="3.2258064516129031E-2"/>
    <n v="3.9215686274509803E-2"/>
    <n v="6.957621758380772E-3"/>
    <n v="0"/>
    <n v="-2"/>
    <n v="0"/>
    <n v="2"/>
    <e v="#VALUE!"/>
    <n v="2"/>
    <n v="0"/>
    <m/>
    <m/>
    <s v="Y"/>
    <m/>
    <s v="0-10 DAYS"/>
    <n v="1"/>
    <x v="0"/>
  </r>
  <r>
    <n v="381"/>
    <s v="N"/>
    <s v="N"/>
    <n v="2469993"/>
    <n v="1"/>
    <d v="2012-01-16T00:00:00"/>
    <d v="2012-03-15T00:00:00"/>
    <n v="2469993"/>
    <d v="2012-01-17T00:00:00"/>
    <d v="2012-02-15T00:00:00"/>
    <n v="10000"/>
    <x v="3"/>
    <d v="2012-02-15T00:00:00"/>
    <s v="Y"/>
    <s v="SURETY"/>
    <s v="DISMISSED"/>
    <n v="30"/>
    <n v="60"/>
    <n v="1"/>
    <n v="1"/>
    <m/>
    <m/>
    <m/>
    <m/>
    <m/>
    <m/>
    <m/>
    <m/>
    <m/>
    <d v="1992-02-15T00:00:00"/>
    <s v="M"/>
    <s v="H"/>
    <s v="HISPANIC"/>
    <s v="HISPANIC"/>
    <s v="339"/>
    <s v="DISMISSED"/>
    <m/>
    <s v="DISMISSED"/>
    <m/>
    <m/>
    <m/>
    <s v="BURGLARY OF HABITATION"/>
    <m/>
    <s v="F2"/>
    <s v="BURGLARY"/>
    <m/>
    <m/>
    <m/>
    <m/>
    <m/>
    <m/>
    <m/>
    <m/>
    <m/>
    <s v="Hired Attorney"/>
    <m/>
    <m/>
    <n v="30"/>
    <n v="59"/>
    <n v="60"/>
    <n v="19.877049180327869"/>
    <n v="0"/>
    <n v="-29"/>
    <s v="NO CONVICTION"/>
    <x v="1"/>
    <s v="Y"/>
    <m/>
    <s v="NO CONVICTION"/>
    <s v="Y"/>
    <x v="1"/>
    <x v="0"/>
    <s v="Y"/>
    <n v="0.5"/>
    <n v="0.50847457627118642"/>
    <n v="8.4745762711864181E-3"/>
    <n v="0"/>
    <n v="-30"/>
    <n v="0"/>
    <n v="30"/>
    <e v="#VALUE!"/>
    <n v="30"/>
    <n v="0"/>
    <m/>
    <m/>
    <s v="Y"/>
    <m/>
    <s v="11-30 DAYS"/>
    <n v="2"/>
    <x v="0"/>
  </r>
  <r>
    <n v="1914"/>
    <s v="N"/>
    <s v="N"/>
    <n v="2470644"/>
    <n v="5"/>
    <d v="2012-03-12T00:00:00"/>
    <d v="2012-03-15T00:00:00"/>
    <n v="2470644"/>
    <d v="2012-03-12T00:00:00"/>
    <d v="2012-03-15T00:00:00"/>
    <n v="5000"/>
    <x v="4"/>
    <m/>
    <s v="N"/>
    <s v="NONE"/>
    <s v="GUILTY PLEA - NO JURY"/>
    <n v="4"/>
    <n v="4"/>
    <n v="1"/>
    <n v="1"/>
    <n v="1"/>
    <m/>
    <m/>
    <m/>
    <m/>
    <m/>
    <m/>
    <m/>
    <m/>
    <d v="1992-07-31T00:00:00"/>
    <s v="M"/>
    <s v="W"/>
    <s v="WHITE"/>
    <s v="NULL"/>
    <s v="338"/>
    <s v="CONVICTED"/>
    <n v="2"/>
    <s v="STJ"/>
    <m/>
    <n v="15"/>
    <m/>
    <s v="CREDIT/DEBIT CARD ABUSE"/>
    <m/>
    <s v="FS"/>
    <s v="OTHER FEL"/>
    <m/>
    <m/>
    <m/>
    <m/>
    <m/>
    <m/>
    <m/>
    <m/>
    <m/>
    <s v="Appointed Attorney"/>
    <m/>
    <m/>
    <n v="4"/>
    <n v="4"/>
    <n v="4"/>
    <n v="19.57377049180328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m/>
    <m/>
    <s v="Y"/>
    <m/>
    <s v="0-10 DAYS"/>
    <n v="1"/>
    <x v="0"/>
  </r>
  <r>
    <n v="605"/>
    <s v="N"/>
    <s v="N"/>
    <n v="2471103"/>
    <n v="1"/>
    <d v="2012-01-24T00:00:00"/>
    <d v="2013-05-06T00:00:00"/>
    <n v="2471103"/>
    <d v="2012-01-24T00:00:00"/>
    <d v="2012-02-24T00:00:00"/>
    <n v="90000"/>
    <x v="2"/>
    <d v="2012-02-24T00:00:00"/>
    <s v="Y"/>
    <s v="SURETY"/>
    <s v="DISMISSED"/>
    <n v="32"/>
    <n v="469"/>
    <n v="0"/>
    <n v="2"/>
    <m/>
    <m/>
    <m/>
    <m/>
    <m/>
    <m/>
    <m/>
    <s v="S"/>
    <m/>
    <d v="1991-07-17T00:00:00"/>
    <s v="M"/>
    <s v="H"/>
    <s v="HISPANIC"/>
    <s v="NULL"/>
    <s v="339"/>
    <s v="NULL"/>
    <n v="17"/>
    <s v="DISMISSED"/>
    <m/>
    <m/>
    <m/>
    <s v="AGG ROBBERY-DEADLY WPN"/>
    <m/>
    <s v="F1"/>
    <s v="ROBBERY"/>
    <s v="3 cases dismissed"/>
    <m/>
    <m/>
    <m/>
    <m/>
    <m/>
    <m/>
    <m/>
    <m/>
    <s v="Hired Attorney"/>
    <m/>
    <m/>
    <n v="32"/>
    <n v="469"/>
    <n v="469"/>
    <n v="20.480874316939889"/>
    <n v="0"/>
    <n v="-437"/>
    <s v="NO CONVICTION"/>
    <x v="1"/>
    <s v="Y"/>
    <m/>
    <s v=""/>
    <s v="Y"/>
    <x v="1"/>
    <x v="0"/>
    <s v="N"/>
    <n v="6.8230277185501065E-2"/>
    <n v="6.8230277185501065E-2"/>
    <n v="0"/>
    <n v="0"/>
    <n v="-32"/>
    <n v="0"/>
    <n v="32"/>
    <e v="#VALUE!"/>
    <n v="32"/>
    <n v="0"/>
    <m/>
    <m/>
    <s v="Y"/>
    <m/>
    <s v="31-60 DAYS"/>
    <n v="3"/>
    <x v="0"/>
  </r>
  <r>
    <n v="1596"/>
    <s v="N"/>
    <s v="N"/>
    <n v="2471230"/>
    <n v="2"/>
    <d v="2012-02-29T00:00:00"/>
    <d v="2012-03-13T00:00:00"/>
    <n v="2471230"/>
    <d v="2012-02-29T00:00:00"/>
    <d v="2012-03-13T00:00:00"/>
    <n v="5000"/>
    <x v="4"/>
    <m/>
    <s v="N"/>
    <s v="NONE"/>
    <s v="DEFERRED ADJUDICATION "/>
    <n v="14"/>
    <n v="14"/>
    <n v="1"/>
    <n v="1"/>
    <n v="1"/>
    <m/>
    <m/>
    <m/>
    <m/>
    <m/>
    <m/>
    <m/>
    <m/>
    <d v="1974-08-22T00:00:00"/>
    <s v="F"/>
    <s v="W"/>
    <s v="WHITE"/>
    <s v="NON-HISPANIC"/>
    <s v="262"/>
    <s v="DEFERRED"/>
    <n v="4"/>
    <s v="DEFERRED"/>
    <m/>
    <m/>
    <m/>
    <s v="POSS CS PG 1 &lt;1G"/>
    <m/>
    <s v="FS"/>
    <s v="POSS DRUG"/>
    <s v="bk 3/20/12  rev 4/9/12 stj 8 mos"/>
    <m/>
    <m/>
    <m/>
    <m/>
    <m/>
    <m/>
    <m/>
    <m/>
    <s v="Appointed Attorney"/>
    <m/>
    <m/>
    <n v="14"/>
    <n v="14"/>
    <n v="14"/>
    <n v="37.44535519125683"/>
    <n v="0"/>
    <n v="0"/>
    <s v="DEFERRED"/>
    <x v="0"/>
    <s v="N"/>
    <m/>
    <s v="DEFERRED"/>
    <s v="Y"/>
    <x v="0"/>
    <x v="0"/>
    <s v="Y"/>
    <n v="1"/>
    <n v="1"/>
    <n v="0"/>
    <n v="0"/>
    <n v="-14"/>
    <n v="0"/>
    <n v="14"/>
    <e v="#VALUE!"/>
    <n v="14"/>
    <n v="0"/>
    <m/>
    <m/>
    <s v="Y"/>
    <m/>
    <s v="11-30 DAYS"/>
    <n v="2"/>
    <x v="0"/>
  </r>
  <r>
    <n v="444"/>
    <s v="N"/>
    <s v="N"/>
    <n v="2471841"/>
    <n v="6"/>
    <d v="2012-01-19T00:00:00"/>
    <d v="2012-11-02T00:00:00"/>
    <n v="2471841"/>
    <d v="2012-01-21T00:00:00"/>
    <d v="2012-11-02T00:00:00"/>
    <s v="NO BOND"/>
    <x v="1"/>
    <m/>
    <s v="N"/>
    <s v="NONE"/>
    <s v="GUILTY PLEA - NO JURY"/>
    <n v="287"/>
    <n v="289"/>
    <n v="1"/>
    <n v="1"/>
    <m/>
    <n v="1"/>
    <m/>
    <m/>
    <m/>
    <m/>
    <m/>
    <s v="S"/>
    <m/>
    <d v="1992-12-05T00:00:00"/>
    <s v="M"/>
    <s v="H"/>
    <s v="HISPANIC"/>
    <s v="NULL"/>
    <s v="177"/>
    <s v="CONVICTED"/>
    <n v="10"/>
    <s v="TDC"/>
    <n v="10"/>
    <m/>
    <m/>
    <s v="ROBBERY-BODILY INJURY"/>
    <m/>
    <s v="F2"/>
    <s v="ROBBERY"/>
    <m/>
    <m/>
    <m/>
    <m/>
    <m/>
    <m/>
    <m/>
    <m/>
    <m/>
    <s v="Appointed Attorney"/>
    <m/>
    <m/>
    <n v="287"/>
    <n v="287"/>
    <n v="289"/>
    <n v="19.081967213114755"/>
    <n v="0"/>
    <n v="0"/>
    <s v="CONVICTION"/>
    <x v="0"/>
    <s v="N"/>
    <m/>
    <s v="CONVICTION"/>
    <s v="Y"/>
    <x v="0"/>
    <x v="0"/>
    <s v="Y"/>
    <n v="0.99307958477508651"/>
    <n v="1"/>
    <n v="6.9204152249134898E-3"/>
    <n v="0"/>
    <n v="-287"/>
    <n v="0"/>
    <n v="287"/>
    <e v="#VALUE!"/>
    <n v="287"/>
    <n v="0"/>
    <m/>
    <m/>
    <s v="Y"/>
    <m/>
    <s v="121-365 DAYS"/>
    <n v="6"/>
    <x v="0"/>
  </r>
  <r>
    <n v="2570"/>
    <s v="N"/>
    <s v="N"/>
    <n v="2472470"/>
    <n v="1"/>
    <d v="2012-04-05T00:00:00"/>
    <d v="2012-04-09T00:00:00"/>
    <n v="2472470"/>
    <d v="2012-04-06T00:00:00"/>
    <d v="2012-04-09T00:00:00"/>
    <s v="NO BOND"/>
    <x v="1"/>
    <m/>
    <s v="N"/>
    <s v="NONE"/>
    <s v="DISMISSED"/>
    <n v="4"/>
    <n v="5"/>
    <n v="1"/>
    <n v="1"/>
    <m/>
    <m/>
    <m/>
    <m/>
    <m/>
    <m/>
    <m/>
    <s v="S"/>
    <m/>
    <d v="1992-07-01T00:00:00"/>
    <s v="M"/>
    <s v="H"/>
    <s v="HISPANIC"/>
    <s v="NULL"/>
    <s v="209"/>
    <s v="DISMISSED"/>
    <n v="1"/>
    <s v="DISMISSED"/>
    <m/>
    <m/>
    <m/>
    <s v="THEFT FROM PERSON"/>
    <m/>
    <s v="FS"/>
    <s v="THEFT"/>
    <m/>
    <m/>
    <m/>
    <m/>
    <m/>
    <m/>
    <m/>
    <m/>
    <m/>
    <s v="Appointed Attorney"/>
    <m/>
    <m/>
    <n v="4"/>
    <n v="4"/>
    <n v="5"/>
    <n v="19.721311475409838"/>
    <n v="0"/>
    <n v="0"/>
    <s v="NO CONVICTION"/>
    <x v="0"/>
    <s v="N"/>
    <m/>
    <s v="NO CONVICTION"/>
    <s v="Y"/>
    <x v="0"/>
    <x v="0"/>
    <s v="Y"/>
    <n v="0.8"/>
    <n v="1"/>
    <n v="0.19999999999999996"/>
    <n v="0"/>
    <n v="-4"/>
    <n v="0"/>
    <n v="4"/>
    <e v="#VALUE!"/>
    <n v="4"/>
    <n v="0"/>
    <m/>
    <m/>
    <s v="Y"/>
    <m/>
    <s v="0-10 DAYS"/>
    <n v="1"/>
    <x v="0"/>
  </r>
  <r>
    <n v="462"/>
    <s v="N"/>
    <s v="N"/>
    <n v="2472808"/>
    <n v="2"/>
    <d v="2012-01-19T00:00:00"/>
    <d v="2012-01-23T00:00:00"/>
    <n v="2472808"/>
    <s v="NOT BOOKED"/>
    <s v="NOT BOOKED"/>
    <n v="2000"/>
    <x v="5"/>
    <d v="2012-01-20T00:00:00"/>
    <s v="Y"/>
    <s v="SURETY"/>
    <s v="DEFERRED ADJUDICATION "/>
    <n v="0"/>
    <n v="5"/>
    <n v="0"/>
    <n v="2"/>
    <m/>
    <m/>
    <m/>
    <m/>
    <m/>
    <m/>
    <m/>
    <s v="S"/>
    <m/>
    <d v="1991-10-21T00:00:00"/>
    <s v="M"/>
    <s v="H"/>
    <s v="HISPANIC"/>
    <s v="NULL"/>
    <s v="179"/>
    <s v="DEFERRED"/>
    <n v="1"/>
    <s v="DEFERRED"/>
    <m/>
    <m/>
    <m/>
    <s v="FORGERY"/>
    <m/>
    <s v="FS"/>
    <s v="OTHER FEL"/>
    <m/>
    <m/>
    <m/>
    <m/>
    <m/>
    <m/>
    <m/>
    <m/>
    <m/>
    <s v="Appointed Attorney"/>
    <m/>
    <m/>
    <n v="0"/>
    <n v="0"/>
    <n v="5"/>
    <n v="20.204918032786885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184"/>
    <s v="N"/>
    <s v="N"/>
    <n v="2472854"/>
    <n v="4"/>
    <d v="2012-01-09T00:00:00"/>
    <d v="2012-07-03T00:00:00"/>
    <n v="2472854"/>
    <d v="2012-01-19T00:00:00"/>
    <d v="2012-01-21T00:00:00"/>
    <n v="2000"/>
    <x v="5"/>
    <d v="2012-01-21T00:00:00"/>
    <s v="Y"/>
    <s v="SURETY"/>
    <s v="GUILTY PLEA - NO JURY"/>
    <n v="3"/>
    <n v="177"/>
    <n v="0"/>
    <n v="0"/>
    <m/>
    <m/>
    <m/>
    <m/>
    <m/>
    <m/>
    <m/>
    <m/>
    <m/>
    <d v="1988-05-26T00:00:00"/>
    <s v="F"/>
    <s v="B"/>
    <s v="BLACK"/>
    <s v="NULL"/>
    <s v="182"/>
    <s v="CONVICTED"/>
    <n v="9"/>
    <s v="HCJ"/>
    <m/>
    <m/>
    <n v="16"/>
    <s v="CRIM MISCH &gt;=$1500 &lt;$20K"/>
    <m/>
    <s v="FS"/>
    <s v="OTHER FEL"/>
    <s v="6/28/12   crim misch"/>
    <m/>
    <m/>
    <m/>
    <m/>
    <m/>
    <m/>
    <m/>
    <m/>
    <s v="Hired Attorney"/>
    <m/>
    <m/>
    <n v="3"/>
    <n v="167"/>
    <n v="177"/>
    <n v="23.57377049180328"/>
    <n v="0"/>
    <n v="-164"/>
    <s v="CONVICTION"/>
    <x v="1"/>
    <s v="Y"/>
    <m/>
    <s v="CONVICTION"/>
    <s v="Y"/>
    <x v="1"/>
    <x v="0"/>
    <s v="N"/>
    <n v="1.6949152542372881E-2"/>
    <n v="1.7964071856287425E-2"/>
    <n v="1.0149193139145432E-3"/>
    <n v="0"/>
    <n v="-3"/>
    <n v="0"/>
    <n v="3"/>
    <e v="#VALUE!"/>
    <n v="3"/>
    <n v="0"/>
    <m/>
    <m/>
    <s v="N"/>
    <m/>
    <s v="0-10 DAYS"/>
    <n v="1"/>
    <x v="0"/>
  </r>
  <r>
    <n v="2253"/>
    <s v="Y"/>
    <s v="N"/>
    <n v="2472865"/>
    <n v="1"/>
    <d v="2012-03-26T00:00:00"/>
    <d v="2012-03-28T00:00:00"/>
    <n v="2472865"/>
    <d v="2012-03-26T00:00:00"/>
    <d v="2012-03-28T00:00:00"/>
    <n v="10000"/>
    <x v="3"/>
    <m/>
    <s v="N"/>
    <s v="NONE"/>
    <s v="DISMISSED"/>
    <n v="3"/>
    <n v="3"/>
    <n v="3"/>
    <n v="3"/>
    <n v="2"/>
    <m/>
    <m/>
    <m/>
    <m/>
    <m/>
    <m/>
    <m/>
    <m/>
    <d v="1969-03-22T00:00:00"/>
    <s v="M"/>
    <s v="B"/>
    <s v="BLACK"/>
    <s v="NON-HISPANIC"/>
    <s v="339"/>
    <s v="DISMISSED"/>
    <n v="2"/>
    <s v="DISMISSED"/>
    <m/>
    <m/>
    <m/>
    <s v="TAMPER/FABRICATE EVIDENCE"/>
    <m/>
    <s v="F3"/>
    <s v="OTHER FEL"/>
    <s v="5/21/12 fel burg stj 6mos"/>
    <m/>
    <m/>
    <m/>
    <m/>
    <m/>
    <m/>
    <m/>
    <m/>
    <s v="Other/Unknown"/>
    <s v="5/21/12 fel burg stj 6mos 2/14/13 fraud tdc 2y"/>
    <m/>
    <n v="3"/>
    <n v="3"/>
    <n v="3"/>
    <n v="42.923497267759565"/>
    <n v="0"/>
    <n v="0"/>
    <s v="NO CONVICTION"/>
    <x v="0"/>
    <s v="N"/>
    <m/>
    <s v="NO 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009"/>
    <s v="Y"/>
    <s v="Y"/>
    <n v="2473736"/>
    <n v="2"/>
    <d v="2012-03-16T00:00:00"/>
    <d v="2012-07-18T00:00:00"/>
    <n v="2473736"/>
    <d v="2012-03-16T00:00:00"/>
    <d v="2012-03-31T00:00:00"/>
    <n v="30000"/>
    <x v="2"/>
    <d v="2012-03-31T00:00:00"/>
    <s v="Y"/>
    <s v="SURETY"/>
    <s v="DEFERRED ADJUDICATION "/>
    <n v="88"/>
    <n v="125"/>
    <n v="0"/>
    <n v="1"/>
    <m/>
    <m/>
    <m/>
    <m/>
    <m/>
    <m/>
    <m/>
    <m/>
    <m/>
    <d v="1992-04-11T00:00:00"/>
    <s v="F"/>
    <s v="B"/>
    <s v="BLACK"/>
    <s v="NON-HISPANIC"/>
    <s v="208"/>
    <s v="DEFERRED"/>
    <n v="9"/>
    <s v="DEFERRED"/>
    <m/>
    <m/>
    <m/>
    <s v="INJURY TO CHILD BY OMISSION"/>
    <m/>
    <s v="F3"/>
    <s v="OTHER FEL"/>
    <m/>
    <m/>
    <s v="Y"/>
    <s v="BF 5/3/12"/>
    <m/>
    <m/>
    <m/>
    <s v="(2)9/11/2012"/>
    <n v="470"/>
    <s v="Appointed Attorney"/>
    <s v="lv 8/26/13  tdc 5 y"/>
    <m/>
    <n v="88"/>
    <n v="125"/>
    <n v="125"/>
    <n v="19.887978142076502"/>
    <n v="0"/>
    <n v="-109"/>
    <s v="DEFERRED"/>
    <x v="1"/>
    <s v="Y"/>
    <m/>
    <s v="DEFERRED"/>
    <s v="Y"/>
    <x v="0"/>
    <x v="0"/>
    <s v="N"/>
    <n v="0.70399999999999996"/>
    <n v="0.128"/>
    <n v="-0.57599999999999996"/>
    <n v="0"/>
    <n v="-16"/>
    <n v="72"/>
    <n v="125"/>
    <n v="88"/>
    <n v="125"/>
    <n v="109"/>
    <m/>
    <m/>
    <s v="Y"/>
    <m/>
    <s v="61-90 DAYS"/>
    <n v="4"/>
    <x v="0"/>
  </r>
  <r>
    <n v="1404"/>
    <s v="N"/>
    <s v="N"/>
    <n v="2474676"/>
    <n v="5"/>
    <d v="2012-02-21T00:00:00"/>
    <d v="2012-04-24T00:00:00"/>
    <n v="2474676"/>
    <d v="2012-02-21T00:00:00"/>
    <d v="2012-04-24T00:00:00"/>
    <n v="5000"/>
    <x v="4"/>
    <m/>
    <s v="N"/>
    <s v="NONE"/>
    <s v="GUILTY PLEA - NO JURY"/>
    <n v="64"/>
    <n v="64"/>
    <n v="1"/>
    <n v="8"/>
    <n v="1"/>
    <m/>
    <m/>
    <m/>
    <m/>
    <m/>
    <m/>
    <m/>
    <m/>
    <d v="1968-03-21T00:00:00"/>
    <s v="M"/>
    <s v="B"/>
    <s v="BLACK"/>
    <s v="NON-HISPANIC"/>
    <s v="338"/>
    <s v="CONVICTED"/>
    <n v="3"/>
    <s v="STJ"/>
    <m/>
    <n v="6"/>
    <m/>
    <s v="THEFT UNDER $1500 - 3RD OFF."/>
    <m/>
    <s v="FS"/>
    <s v="THEFT"/>
    <m/>
    <m/>
    <m/>
    <m/>
    <m/>
    <m/>
    <m/>
    <m/>
    <m/>
    <s v="Appointed Attorney"/>
    <m/>
    <m/>
    <n v="64"/>
    <n v="64"/>
    <n v="64"/>
    <n v="43.830601092896174"/>
    <n v="0"/>
    <n v="0"/>
    <s v="CONVICTION"/>
    <x v="0"/>
    <s v="N"/>
    <m/>
    <s v="CONVICTION"/>
    <s v="Y"/>
    <x v="0"/>
    <x v="0"/>
    <s v="Y"/>
    <n v="1"/>
    <n v="1"/>
    <n v="0"/>
    <n v="0"/>
    <n v="-64"/>
    <n v="0"/>
    <n v="64"/>
    <e v="#VALUE!"/>
    <n v="64"/>
    <n v="0"/>
    <m/>
    <m/>
    <s v="Y"/>
    <m/>
    <s v="61-90 DAYS"/>
    <n v="4"/>
    <x v="0"/>
  </r>
  <r>
    <n v="1213"/>
    <s v="N"/>
    <s v="N"/>
    <n v="2475075"/>
    <n v="6"/>
    <d v="2012-02-14T00:00:00"/>
    <d v="2013-03-15T00:00:00"/>
    <n v="2475075"/>
    <d v="2012-02-19T00:00:00"/>
    <d v="2013-03-15T00:00:00"/>
    <n v="80000"/>
    <x v="2"/>
    <m/>
    <s v="N"/>
    <s v="NONE"/>
    <s v="GUILTY PLEA - NO JURY"/>
    <n v="391"/>
    <n v="396"/>
    <n v="0"/>
    <n v="1"/>
    <m/>
    <m/>
    <m/>
    <m/>
    <m/>
    <m/>
    <m/>
    <m/>
    <m/>
    <d v="1987-02-01T00:00:00"/>
    <s v="M"/>
    <s v="W"/>
    <s v="WHITE"/>
    <s v="NULL"/>
    <s v="338"/>
    <s v="CONVICTED"/>
    <n v="11"/>
    <s v="TDC"/>
    <n v="12"/>
    <m/>
    <m/>
    <s v="AGG ROBBERY-DEADLY WPN"/>
    <m/>
    <s v="F1"/>
    <s v="ROBBERY"/>
    <m/>
    <m/>
    <m/>
    <m/>
    <m/>
    <m/>
    <m/>
    <m/>
    <m/>
    <s v="Appointed Attorney"/>
    <m/>
    <m/>
    <n v="391"/>
    <n v="391"/>
    <n v="396"/>
    <n v="24.983606557377048"/>
    <n v="0"/>
    <n v="0"/>
    <s v="CONVICTION"/>
    <x v="0"/>
    <s v="N"/>
    <m/>
    <s v="CONVICTION"/>
    <s v="Y"/>
    <x v="0"/>
    <x v="0"/>
    <s v="N"/>
    <n v="0.98737373737373735"/>
    <n v="1"/>
    <n v="1.2626262626262652E-2"/>
    <n v="0"/>
    <n v="-391"/>
    <n v="0"/>
    <n v="391"/>
    <e v="#VALUE!"/>
    <n v="391"/>
    <n v="0"/>
    <m/>
    <m/>
    <s v="Y"/>
    <m/>
    <s v=" &gt;1YRS&lt;2YRS"/>
    <n v="0"/>
    <x v="0"/>
  </r>
  <r>
    <n v="2381"/>
    <s v="N"/>
    <s v="N"/>
    <n v="2477470"/>
    <n v="2"/>
    <d v="2012-03-30T00:00:00"/>
    <d v="2012-10-02T00:00:00"/>
    <n v="2477470"/>
    <d v="2012-04-30T00:00:00"/>
    <d v="2012-10-02T00:00:00"/>
    <n v="30000"/>
    <x v="2"/>
    <m/>
    <s v="N"/>
    <s v="NONE"/>
    <s v="DEFERRED ADJUDICATION "/>
    <n v="156"/>
    <n v="187"/>
    <n v="0"/>
    <n v="4"/>
    <m/>
    <m/>
    <m/>
    <m/>
    <m/>
    <m/>
    <m/>
    <m/>
    <m/>
    <d v="1986-09-11T00:00:00"/>
    <s v="M"/>
    <s v="H"/>
    <s v="HISPANIC"/>
    <s v="HISPANIC"/>
    <s v="180"/>
    <s v="DEFERRED"/>
    <n v="9"/>
    <s v="DEFERRED"/>
    <m/>
    <m/>
    <m/>
    <s v="AGG ROBBERY-DEADLY WPN"/>
    <m/>
    <s v="F1"/>
    <s v="ROBBERY"/>
    <m/>
    <m/>
    <m/>
    <m/>
    <m/>
    <m/>
    <m/>
    <m/>
    <m/>
    <s v="Appointed Attorney"/>
    <m/>
    <m/>
    <n v="156"/>
    <n v="156"/>
    <n v="187"/>
    <n v="25.497267759562842"/>
    <n v="0"/>
    <n v="0"/>
    <s v="DEFERRED"/>
    <x v="0"/>
    <s v="N"/>
    <m/>
    <s v="DEFERRED"/>
    <s v="Y"/>
    <x v="0"/>
    <x v="0"/>
    <s v="N"/>
    <n v="0.83422459893048129"/>
    <n v="1"/>
    <n v="0.16577540106951871"/>
    <n v="0"/>
    <n v="-156"/>
    <n v="0"/>
    <n v="156"/>
    <e v="#VALUE!"/>
    <n v="156"/>
    <n v="0"/>
    <m/>
    <m/>
    <s v="Y"/>
    <m/>
    <s v="121-365 DAYS"/>
    <n v="6"/>
    <x v="0"/>
  </r>
  <r>
    <n v="1133"/>
    <s v="N"/>
    <s v="Y"/>
    <n v="2477539"/>
    <n v="2"/>
    <d v="2012-02-10T00:00:00"/>
    <d v="2012-08-14T00:00:00"/>
    <n v="2477539"/>
    <d v="2012-02-11T00:00:00"/>
    <d v="2012-02-13T00:00:00"/>
    <n v="50000"/>
    <x v="2"/>
    <d v="2012-02-13T00:00:00"/>
    <s v="Y"/>
    <s v="SURETYPTRc"/>
    <s v="DEFERRED ADJUDICATION "/>
    <n v="179"/>
    <n v="187"/>
    <n v="0"/>
    <n v="3"/>
    <m/>
    <m/>
    <m/>
    <m/>
    <m/>
    <m/>
    <m/>
    <m/>
    <m/>
    <d v="1980-02-04T00:00:00"/>
    <s v="M"/>
    <s v="B"/>
    <s v="BLACK"/>
    <s v="NULL"/>
    <s v="337"/>
    <s v="DEFERRED"/>
    <n v="10"/>
    <s v="DEFERRED"/>
    <m/>
    <m/>
    <m/>
    <s v="AGG ASSAULT W/DEADLY WEAPON"/>
    <m/>
    <s v="F2"/>
    <s v="ASLT-MURDR"/>
    <m/>
    <s v="REV 2/20/2012"/>
    <m/>
    <m/>
    <s v="Y"/>
    <m/>
    <m/>
    <m/>
    <m/>
    <s v="Hired Attorney"/>
    <m/>
    <m/>
    <n v="179"/>
    <n v="186"/>
    <n v="187"/>
    <n v="31.950819672131146"/>
    <n v="0"/>
    <n v="-183"/>
    <s v="DEFERRED"/>
    <x v="1"/>
    <s v="Y"/>
    <m/>
    <s v="DEFERRED"/>
    <s v="Y"/>
    <x v="1"/>
    <x v="0"/>
    <s v="N"/>
    <n v="0.95721925133689845"/>
    <n v="1.6129032258064516E-2"/>
    <n v="-0.94109021907883394"/>
    <n v="0"/>
    <n v="-3"/>
    <n v="176"/>
    <n v="3"/>
    <n v="179"/>
    <m/>
    <n v="183"/>
    <m/>
    <m/>
    <s v="Y"/>
    <m/>
    <s v="121-365 DAYS"/>
    <n v="6"/>
    <x v="0"/>
  </r>
  <r>
    <n v="847"/>
    <s v="N"/>
    <s v="N"/>
    <n v="2478008"/>
    <n v="2"/>
    <d v="2012-02-01T00:00:00"/>
    <d v="2012-03-09T00:00:00"/>
    <n v="2478008"/>
    <d v="2012-02-02T00:00:00"/>
    <d v="2012-02-02T00:00:00"/>
    <n v="2000"/>
    <x v="5"/>
    <d v="2012-02-02T00:00:00"/>
    <s v="Y"/>
    <s v="SURETY"/>
    <s v="DEFERRED ADJUDICATION "/>
    <n v="1"/>
    <n v="38"/>
    <n v="0"/>
    <n v="3"/>
    <m/>
    <m/>
    <m/>
    <m/>
    <m/>
    <m/>
    <m/>
    <m/>
    <m/>
    <d v="1986-02-19T00:00:00"/>
    <s v="F"/>
    <s v="W"/>
    <s v="WHITE"/>
    <s v="NULL"/>
    <s v="184"/>
    <s v="DEFERRED"/>
    <n v="2"/>
    <s v="DEFERRED"/>
    <m/>
    <m/>
    <m/>
    <s v="THEFT UNDER $1500 - 3RD OFF."/>
    <m/>
    <s v="FS"/>
    <s v="THEFT"/>
    <m/>
    <m/>
    <m/>
    <m/>
    <m/>
    <m/>
    <m/>
    <m/>
    <m/>
    <s v="Appointed Attorney"/>
    <m/>
    <m/>
    <n v="1"/>
    <n v="37"/>
    <n v="38"/>
    <n v="25.896174863387976"/>
    <n v="0"/>
    <n v="-36"/>
    <s v="DEFERRED"/>
    <x v="1"/>
    <s v="Y"/>
    <m/>
    <s v="DEFERRED"/>
    <s v="Y"/>
    <x v="1"/>
    <x v="0"/>
    <s v="N"/>
    <n v="2.6315789473684209E-2"/>
    <n v="2.7027027027027029E-2"/>
    <n v="7.1123755334281946E-4"/>
    <n v="0"/>
    <n v="-1"/>
    <n v="0"/>
    <n v="1"/>
    <e v="#VALUE!"/>
    <n v="1"/>
    <n v="0"/>
    <m/>
    <m/>
    <s v="Y"/>
    <m/>
    <s v="0-10 DAYS"/>
    <n v="1"/>
    <x v="0"/>
  </r>
  <r>
    <n v="459"/>
    <s v="N"/>
    <s v="N"/>
    <n v="2479142"/>
    <n v="5"/>
    <d v="2012-01-19T00:00:00"/>
    <d v="2012-03-27T00:00:00"/>
    <n v="2479142"/>
    <d v="2012-01-31T00:00:00"/>
    <d v="2012-03-27T00:00:00"/>
    <s v="NO BOND"/>
    <x v="1"/>
    <m/>
    <s v="N"/>
    <s v="NONE"/>
    <s v="DEFENDANT CONVICTED ON ANOTHER CHARGE"/>
    <n v="57"/>
    <n v="69"/>
    <n v="1"/>
    <n v="5"/>
    <n v="1"/>
    <m/>
    <m/>
    <m/>
    <m/>
    <m/>
    <m/>
    <m/>
    <m/>
    <d v="1989-06-03T00:00:00"/>
    <s v="M"/>
    <s v="W"/>
    <s v="WHITE"/>
    <s v="NULL"/>
    <s v="232"/>
    <s v="CONVICTED"/>
    <n v="3"/>
    <s v="STJ"/>
    <m/>
    <n v="8"/>
    <m/>
    <s v="ENDANGERING A CHILD"/>
    <m/>
    <s v="FS"/>
    <s v="OTHER FEL"/>
    <m/>
    <m/>
    <m/>
    <m/>
    <m/>
    <m/>
    <m/>
    <m/>
    <m/>
    <s v="Public Defender"/>
    <m/>
    <m/>
    <n v="57"/>
    <n v="57"/>
    <n v="69"/>
    <n v="22.581967213114755"/>
    <n v="0"/>
    <n v="0"/>
    <s v="CONVICTION"/>
    <x v="0"/>
    <s v="N"/>
    <m/>
    <s v="CONVICTION"/>
    <s v="Y"/>
    <x v="0"/>
    <x v="0"/>
    <s v="Y"/>
    <n v="0.82608695652173914"/>
    <n v="1"/>
    <n v="0.17391304347826086"/>
    <n v="0"/>
    <n v="-57"/>
    <n v="0"/>
    <n v="57"/>
    <e v="#VALUE!"/>
    <n v="57"/>
    <n v="0"/>
    <m/>
    <m/>
    <s v="Y"/>
    <m/>
    <s v="31-60 DAYS"/>
    <n v="3"/>
    <x v="0"/>
  </r>
  <r>
    <n v="696"/>
    <s v="N"/>
    <s v="N"/>
    <n v="2479178"/>
    <n v="6"/>
    <d v="2012-01-28T00:00:00"/>
    <d v="2012-05-31T00:00:00"/>
    <n v="2479178"/>
    <d v="2012-01-28T00:00:00"/>
    <d v="2012-05-31T00:00:00"/>
    <s v="NO BOND"/>
    <x v="1"/>
    <m/>
    <s v="N"/>
    <s v="NONE"/>
    <s v="GUILTY PLEA - NO JURY"/>
    <n v="125"/>
    <n v="125"/>
    <n v="2"/>
    <n v="0"/>
    <n v="1"/>
    <m/>
    <m/>
    <m/>
    <m/>
    <m/>
    <m/>
    <m/>
    <m/>
    <d v="1992-07-17T00:00:00"/>
    <s v="M"/>
    <s v="W"/>
    <s v="WHITE"/>
    <s v="NULL"/>
    <s v="248"/>
    <s v="CONVICTED"/>
    <n v="5"/>
    <s v="TDC"/>
    <n v="8"/>
    <m/>
    <m/>
    <s v="AGG ROBBERY-DEADLY WPN"/>
    <m/>
    <s v="F1"/>
    <s v="ROBBERY"/>
    <m/>
    <m/>
    <m/>
    <m/>
    <m/>
    <m/>
    <m/>
    <m/>
    <m/>
    <s v="Public Defender"/>
    <m/>
    <m/>
    <n v="125"/>
    <n v="125"/>
    <n v="125"/>
    <n v="19.491803278688526"/>
    <n v="0"/>
    <n v="0"/>
    <s v="CONVICTION"/>
    <x v="0"/>
    <s v="N"/>
    <m/>
    <s v="CONVICTION"/>
    <s v="Y"/>
    <x v="0"/>
    <x v="0"/>
    <s v="Y"/>
    <n v="1"/>
    <n v="1"/>
    <n v="0"/>
    <n v="0"/>
    <n v="-125"/>
    <n v="0"/>
    <n v="125"/>
    <e v="#VALUE!"/>
    <n v="125"/>
    <n v="0"/>
    <m/>
    <m/>
    <s v="Y"/>
    <m/>
    <s v="121-365 DAYS"/>
    <n v="6"/>
    <x v="0"/>
  </r>
  <r>
    <n v="1456"/>
    <s v="N"/>
    <s v="N"/>
    <n v="2479206"/>
    <n v="2"/>
    <d v="2012-02-23T00:00:00"/>
    <d v="2012-03-09T00:00:00"/>
    <n v="2479206"/>
    <d v="2012-03-07T00:00:00"/>
    <d v="2012-03-09T00:00:00"/>
    <n v="5000"/>
    <x v="4"/>
    <m/>
    <s v="N"/>
    <s v="NONE"/>
    <s v="DEFERRED ADJUDICATION "/>
    <n v="3"/>
    <n v="16"/>
    <n v="0"/>
    <n v="3"/>
    <m/>
    <m/>
    <m/>
    <m/>
    <m/>
    <m/>
    <m/>
    <m/>
    <m/>
    <d v="1992-11-26T00:00:00"/>
    <s v="M"/>
    <s v="B"/>
    <s v="BLACK"/>
    <s v="NULL"/>
    <s v="179"/>
    <s v="DEFERRED"/>
    <n v="3"/>
    <s v="DEFERRED"/>
    <m/>
    <m/>
    <m/>
    <s v="CARRY PROH WPN PROHBITED PLACE"/>
    <m/>
    <s v="F3"/>
    <s v="OTHER FEL"/>
    <s v="fel theft conv 5/29/12    7/13/12 FREP  rob filed 8/3/12  booked 8/5/12  pend"/>
    <m/>
    <m/>
    <m/>
    <m/>
    <m/>
    <m/>
    <m/>
    <m/>
    <s v="Appointed Attorney"/>
    <m/>
    <m/>
    <n v="3"/>
    <n v="3"/>
    <n v="16"/>
    <n v="19.202185792349727"/>
    <n v="0"/>
    <n v="0"/>
    <s v="DEFERRED"/>
    <x v="0"/>
    <s v="N"/>
    <m/>
    <s v="DEFERRED"/>
    <s v="Y"/>
    <x v="0"/>
    <x v="0"/>
    <s v="N"/>
    <n v="0.1875"/>
    <n v="1"/>
    <n v="0.8125"/>
    <n v="0"/>
    <n v="-3"/>
    <n v="0"/>
    <n v="3"/>
    <e v="#VALUE!"/>
    <n v="3"/>
    <n v="0"/>
    <m/>
    <m/>
    <s v="Y"/>
    <m/>
    <s v="0-10 DAYS"/>
    <n v="1"/>
    <x v="0"/>
  </r>
  <r>
    <n v="2237"/>
    <s v="N"/>
    <s v="N"/>
    <n v="2479243"/>
    <n v="1"/>
    <d v="2012-03-25T00:00:00"/>
    <d v="2012-05-03T00:00:00"/>
    <n v="2479243"/>
    <d v="2012-03-25T00:00:00"/>
    <d v="2012-03-27T00:00:00"/>
    <n v="5000"/>
    <x v="4"/>
    <d v="2012-03-27T00:00:00"/>
    <s v="Y"/>
    <s v="SURETY"/>
    <s v="DISMISSED"/>
    <n v="3"/>
    <n v="40"/>
    <n v="0"/>
    <n v="0"/>
    <m/>
    <m/>
    <m/>
    <m/>
    <m/>
    <m/>
    <m/>
    <m/>
    <m/>
    <d v="1992-07-03T00:00:00"/>
    <s v="M"/>
    <s v="H"/>
    <s v="HISPANIC"/>
    <s v="HISPANIC"/>
    <s v="182"/>
    <s v="DISMISSED"/>
    <n v="3"/>
    <s v="DISMISSED"/>
    <m/>
    <m/>
    <m/>
    <s v="THEFT $1500-20K"/>
    <m/>
    <s v="FS"/>
    <s v="THEFT"/>
    <s v="misd thft 4/23/12 hcj 120 d"/>
    <m/>
    <m/>
    <m/>
    <m/>
    <m/>
    <m/>
    <m/>
    <m/>
    <s v="Hired Attorney"/>
    <m/>
    <m/>
    <n v="3"/>
    <n v="40"/>
    <n v="40"/>
    <n v="19.685792349726775"/>
    <n v="0"/>
    <n v="-37"/>
    <s v="NO CONVICTION"/>
    <x v="1"/>
    <s v="Y"/>
    <m/>
    <s v="NO CONVICTION"/>
    <s v="Y"/>
    <x v="1"/>
    <x v="0"/>
    <s v="N"/>
    <n v="7.4999999999999997E-2"/>
    <n v="7.4999999999999997E-2"/>
    <n v="0"/>
    <n v="0"/>
    <n v="-3"/>
    <n v="0"/>
    <n v="3"/>
    <e v="#VALUE!"/>
    <n v="3"/>
    <n v="0"/>
    <m/>
    <m/>
    <s v="N"/>
    <m/>
    <s v="0-10 DAYS"/>
    <n v="1"/>
    <x v="0"/>
  </r>
  <r>
    <n v="921"/>
    <s v="N"/>
    <s v="N"/>
    <n v="2479256"/>
    <n v="6"/>
    <d v="2012-02-03T00:00:00"/>
    <d v="2012-04-02T00:00:00"/>
    <n v="2479256"/>
    <d v="2012-02-04T00:00:00"/>
    <d v="2012-04-02T00:00:00"/>
    <s v="NO BOND"/>
    <x v="1"/>
    <m/>
    <s v="N"/>
    <s v="NONE"/>
    <s v="GUILTY PLEA - NO JURY"/>
    <n v="59"/>
    <n v="60"/>
    <n v="1"/>
    <n v="1"/>
    <n v="1"/>
    <m/>
    <m/>
    <m/>
    <m/>
    <m/>
    <m/>
    <m/>
    <m/>
    <d v="1992-06-27T00:00:00"/>
    <s v="M"/>
    <s v="B"/>
    <s v="BLACK"/>
    <s v="NULL"/>
    <s v="179"/>
    <s v="CONVICTED"/>
    <n v="5"/>
    <s v="TDC"/>
    <n v="10"/>
    <m/>
    <m/>
    <s v="BURGLARY OF HABITATION"/>
    <m/>
    <s v="F2"/>
    <s v="BURGLARY"/>
    <m/>
    <m/>
    <m/>
    <m/>
    <m/>
    <m/>
    <m/>
    <m/>
    <m/>
    <s v="Appointed Attorney"/>
    <m/>
    <m/>
    <n v="59"/>
    <n v="59"/>
    <n v="60"/>
    <n v="19.562841530054644"/>
    <n v="0"/>
    <n v="0"/>
    <s v="CONVICTION"/>
    <x v="0"/>
    <s v="N"/>
    <m/>
    <s v="CONVICTION"/>
    <s v="Y"/>
    <x v="0"/>
    <x v="0"/>
    <s v="Y"/>
    <n v="0.98333333333333328"/>
    <n v="1"/>
    <n v="1.6666666666666718E-2"/>
    <n v="0"/>
    <n v="-59"/>
    <n v="0"/>
    <n v="59"/>
    <e v="#VALUE!"/>
    <n v="59"/>
    <n v="0"/>
    <m/>
    <m/>
    <s v="Y"/>
    <m/>
    <s v="31-60 DAYS"/>
    <n v="3"/>
    <x v="0"/>
  </r>
  <r>
    <n v="3167"/>
    <s v="Y"/>
    <s v="Y"/>
    <n v="2479500"/>
    <n v="5"/>
    <d v="2012-04-26T00:00:00"/>
    <d v="2013-10-23T00:00:00"/>
    <n v="2479500"/>
    <d v="2012-09-21T00:00:00"/>
    <d v="2012-09-27T00:00:00"/>
    <n v="6000"/>
    <x v="3"/>
    <d v="2012-09-27T00:00:00"/>
    <s v="Y"/>
    <s v="SURETYPTRc"/>
    <s v="GUILTY PLEA - NO JURY"/>
    <n v="65"/>
    <n v="546"/>
    <n v="0"/>
    <n v="1"/>
    <m/>
    <m/>
    <m/>
    <m/>
    <m/>
    <m/>
    <m/>
    <m/>
    <m/>
    <d v="1990-11-23T00:00:00"/>
    <s v="M"/>
    <s v="B"/>
    <s v="BLACK"/>
    <s v="NULL"/>
    <s v="337"/>
    <s v="CONVICTED"/>
    <n v="8"/>
    <s v="STJ"/>
    <m/>
    <n v="12"/>
    <m/>
    <s v="FORGERY"/>
    <m/>
    <s v="FS"/>
    <s v="OTHER FEL"/>
    <s v="MULTI CASES"/>
    <m/>
    <s v="Y"/>
    <d v="2013-01-24T00:00:00"/>
    <m/>
    <m/>
    <m/>
    <m/>
    <m/>
    <s v="Appointed Attorney"/>
    <s v="M TFT BY CK 8/26/13 HCJ90D"/>
    <m/>
    <n v="65"/>
    <n v="398"/>
    <n v="546"/>
    <n v="21.379781420765028"/>
    <n v="0"/>
    <n v="-391"/>
    <s v="CONVICTION"/>
    <x v="1"/>
    <s v="N"/>
    <m/>
    <s v="CONVICTION"/>
    <s v="Y"/>
    <x v="0"/>
    <x v="0"/>
    <s v="N"/>
    <n v="0.11904761904761904"/>
    <n v="1.7587939698492462E-2"/>
    <n v="-0.10145967934912659"/>
    <n v="0"/>
    <n v="-7"/>
    <n v="58"/>
    <n v="398"/>
    <n v="65"/>
    <n v="398"/>
    <n v="391"/>
    <m/>
    <m/>
    <s v="Y"/>
    <m/>
    <s v="61-90 DAYS"/>
    <n v="4"/>
    <x v="0"/>
  </r>
  <r>
    <n v="1558"/>
    <s v="N"/>
    <s v="N"/>
    <n v="2479555"/>
    <n v="2"/>
    <d v="2012-02-28T00:00:00"/>
    <d v="2012-05-09T00:00:00"/>
    <n v="2479555"/>
    <s v="NOT BOOKED"/>
    <s v="NOT BOOKED"/>
    <n v="2000"/>
    <x v="5"/>
    <d v="2012-03-03T00:00:00"/>
    <s v="Y"/>
    <s v="SURETY"/>
    <s v="DEFERRED ADJUDICATION "/>
    <n v="0"/>
    <n v="72"/>
    <n v="1"/>
    <n v="2"/>
    <m/>
    <n v="1"/>
    <m/>
    <m/>
    <m/>
    <m/>
    <m/>
    <m/>
    <m/>
    <d v="1991-04-20T00:00:00"/>
    <s v="M"/>
    <s v="B"/>
    <s v="BLACK"/>
    <s v="NULL"/>
    <s v="351"/>
    <s v="DEFERRED"/>
    <n v="6"/>
    <s v="DEFERRED"/>
    <m/>
    <m/>
    <m/>
    <s v="CRIM MISCH &gt;=$1500 &lt;$20K"/>
    <m/>
    <s v="FS"/>
    <s v="OTHER FEL"/>
    <s v="MISD assalt 5/11/12  hcj 20 days"/>
    <m/>
    <m/>
    <m/>
    <m/>
    <m/>
    <m/>
    <m/>
    <m/>
    <s v="Appointed Attorney"/>
    <m/>
    <m/>
    <n v="0"/>
    <n v="0"/>
    <n v="72"/>
    <n v="20.816939890710383"/>
    <e v="#VALUE!"/>
    <e v="#VALUE!"/>
    <s v="DEFERRED"/>
    <x v="1"/>
    <s v="Y"/>
    <m/>
    <s v="DEFERRED"/>
    <n v="0"/>
    <x v="1"/>
    <x v="0"/>
    <s v="Y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1611"/>
    <s v="N"/>
    <s v="N"/>
    <n v="2480007"/>
    <n v="4"/>
    <d v="2012-02-29T00:00:00"/>
    <d v="2012-03-13T00:00:00"/>
    <n v="2480007"/>
    <d v="2012-03-12T00:00:00"/>
    <d v="2012-03-13T00:00:00"/>
    <n v="2000"/>
    <x v="5"/>
    <m/>
    <s v="N"/>
    <s v="NONE"/>
    <s v="GUILTY PLEA - NO JURY"/>
    <n v="2"/>
    <n v="14"/>
    <n v="0"/>
    <n v="3"/>
    <m/>
    <m/>
    <m/>
    <m/>
    <m/>
    <m/>
    <m/>
    <m/>
    <m/>
    <d v="1980-12-11T00:00:00"/>
    <s v="M"/>
    <s v="W"/>
    <s v="WHITE"/>
    <s v="NULL"/>
    <s v="185"/>
    <s v="CONVICTED"/>
    <n v="2"/>
    <s v="HCJ"/>
    <m/>
    <m/>
    <n v="90"/>
    <s v="THEFT UNDER $1500 - 3RD OFF."/>
    <m/>
    <s v="FS"/>
    <s v="THEFT"/>
    <s v="fel theft conv 5/4/12   stj 8mos"/>
    <m/>
    <m/>
    <m/>
    <m/>
    <m/>
    <m/>
    <m/>
    <m/>
    <s v="Appointed Attorney"/>
    <m/>
    <m/>
    <n v="2"/>
    <n v="2"/>
    <n v="14"/>
    <n v="31.153005464480874"/>
    <n v="0"/>
    <n v="0"/>
    <s v="CONVICTION"/>
    <x v="0"/>
    <s v="N"/>
    <m/>
    <s v="CONVICTION"/>
    <s v="Y"/>
    <x v="0"/>
    <x v="0"/>
    <s v="N"/>
    <n v="0.14285714285714285"/>
    <n v="1"/>
    <n v="0.85714285714285721"/>
    <n v="0"/>
    <n v="-2"/>
    <n v="0"/>
    <n v="2"/>
    <e v="#VALUE!"/>
    <n v="2"/>
    <n v="0"/>
    <m/>
    <m/>
    <s v="Y"/>
    <m/>
    <s v="0-10 DAYS"/>
    <n v="1"/>
    <x v="0"/>
  </r>
  <r>
    <n v="818"/>
    <s v="Y"/>
    <s v="Y"/>
    <n v="2480017"/>
    <n v="5"/>
    <d v="2012-02-01T00:00:00"/>
    <d v="2012-04-13T00:00:00"/>
    <n v="2480017"/>
    <d v="2012-02-01T00:00:00"/>
    <d v="2012-02-02T00:00:00"/>
    <n v="2000"/>
    <x v="5"/>
    <d v="2012-02-02T00:00:00"/>
    <s v="Y"/>
    <s v="SURETY"/>
    <s v="GUILTY PLEA - NO JURY"/>
    <n v="9"/>
    <n v="73"/>
    <n v="0"/>
    <n v="5"/>
    <m/>
    <m/>
    <m/>
    <m/>
    <m/>
    <m/>
    <m/>
    <m/>
    <m/>
    <d v="1992-02-22T00:00:00"/>
    <s v="M"/>
    <s v="H"/>
    <s v="HISPANIC"/>
    <s v="HISPANIC"/>
    <s v="351"/>
    <s v="CONVICTED"/>
    <n v="4"/>
    <s v="STJ"/>
    <m/>
    <n v="7"/>
    <m/>
    <s v="THEFT $1500-20K"/>
    <m/>
    <s v="FS"/>
    <s v="THEFT"/>
    <m/>
    <m/>
    <s v="Y"/>
    <d v="2012-03-19T00:00:00"/>
    <m/>
    <m/>
    <m/>
    <d v="2012-04-23T00:00:00"/>
    <n v="239"/>
    <s v="Appointed Attorney"/>
    <s v="misd pcs  filed 10/27/13"/>
    <m/>
    <n v="9"/>
    <n v="73"/>
    <n v="73"/>
    <n v="19.901639344262296"/>
    <n v="0"/>
    <n v="-71"/>
    <s v="CONVICTION"/>
    <x v="1"/>
    <s v="Y"/>
    <m/>
    <s v="CONVICTION"/>
    <s v="Y"/>
    <x v="0"/>
    <x v="0"/>
    <s v="N"/>
    <n v="0.12328767123287671"/>
    <n v="2.7397260273972601E-2"/>
    <n v="-9.5890410958904104E-2"/>
    <n v="0"/>
    <n v="-2"/>
    <n v="7"/>
    <n v="73"/>
    <n v="9"/>
    <n v="73"/>
    <n v="71"/>
    <m/>
    <m/>
    <s v="Y"/>
    <m/>
    <s v="0-10 DAYS"/>
    <n v="1"/>
    <x v="0"/>
  </r>
  <r>
    <n v="1217"/>
    <s v="N"/>
    <s v="N"/>
    <n v="2480815"/>
    <n v="2"/>
    <d v="2012-02-14T00:00:00"/>
    <d v="2012-02-17T00:00:00"/>
    <n v="2480815"/>
    <d v="2012-02-14T00:00:00"/>
    <d v="2012-02-17T00:00:00"/>
    <n v="5000"/>
    <x v="4"/>
    <m/>
    <s v="N"/>
    <s v="NONE"/>
    <s v="DEFERRED ADJUDICATION "/>
    <n v="4"/>
    <n v="4"/>
    <n v="0"/>
    <n v="2"/>
    <m/>
    <m/>
    <m/>
    <m/>
    <m/>
    <m/>
    <m/>
    <m/>
    <m/>
    <d v="1991-09-05T00:00:00"/>
    <s v="M"/>
    <s v="B"/>
    <s v="BLACK"/>
    <s v="NON-HISPANIC"/>
    <s v="178"/>
    <s v="DEFERRED"/>
    <n v="2"/>
    <s v="DEFERRED"/>
    <m/>
    <m/>
    <m/>
    <s v="POSS CS PG 1  1 - 4 GRAMS"/>
    <m/>
    <s v="F3"/>
    <s v="POSS DRUG"/>
    <s v="def adj revoked  11/12/12 tdc 2 yrs"/>
    <s v="MOTION rev 6/28/12"/>
    <m/>
    <m/>
    <m/>
    <m/>
    <m/>
    <m/>
    <m/>
    <s v="Appointed Attorney"/>
    <m/>
    <m/>
    <n v="4"/>
    <n v="4"/>
    <n v="4"/>
    <n v="20.401639344262296"/>
    <n v="0"/>
    <n v="0"/>
    <s v="DEFERRED"/>
    <x v="0"/>
    <s v="N"/>
    <m/>
    <s v="DEFERRED"/>
    <s v="Y"/>
    <x v="0"/>
    <x v="0"/>
    <s v="N"/>
    <n v="1"/>
    <n v="1"/>
    <n v="0"/>
    <n v="0"/>
    <n v="-4"/>
    <n v="0"/>
    <n v="4"/>
    <e v="#VALUE!"/>
    <n v="4"/>
    <n v="0"/>
    <m/>
    <m/>
    <s v="Y"/>
    <m/>
    <s v="0-10 DAYS"/>
    <n v="1"/>
    <x v="0"/>
  </r>
  <r>
    <n v="891"/>
    <s v="N"/>
    <s v="Y"/>
    <n v="2481589"/>
    <n v="4"/>
    <d v="2012-02-02T00:00:00"/>
    <d v="2012-02-10T00:00:00"/>
    <n v="2481589"/>
    <d v="2012-02-03T00:00:00"/>
    <d v="2012-02-05T00:00:00"/>
    <n v="2000"/>
    <x v="5"/>
    <d v="2012-02-05T00:00:00"/>
    <s v="Y"/>
    <s v="SURETY"/>
    <s v="GUILTY PLEA - NO JURY"/>
    <n v="3"/>
    <n v="9"/>
    <n v="0"/>
    <n v="0"/>
    <m/>
    <m/>
    <m/>
    <m/>
    <m/>
    <m/>
    <m/>
    <m/>
    <m/>
    <d v="1992-07-26T00:00:00"/>
    <s v="M"/>
    <s v="B"/>
    <s v="BLACK"/>
    <s v="NON-HISPANIC"/>
    <s v="263"/>
    <s v="CONVICTED"/>
    <n v="3"/>
    <s v="HCJ"/>
    <m/>
    <m/>
    <n v="90"/>
    <s v="POSS CS PG 1 &lt;1G"/>
    <m/>
    <s v="FS"/>
    <s v="POSS DRUG"/>
    <m/>
    <s v="srr 2/9/12"/>
    <m/>
    <m/>
    <s v="Y"/>
    <m/>
    <m/>
    <m/>
    <m/>
    <s v="Appointed Attorney"/>
    <m/>
    <m/>
    <n v="3"/>
    <n v="8"/>
    <n v="9"/>
    <n v="19.480874316939889"/>
    <n v="0"/>
    <n v="-5"/>
    <s v="CONVICTION"/>
    <x v="1"/>
    <s v="Y"/>
    <m/>
    <s v="CONVICTION"/>
    <s v="Y"/>
    <x v="1"/>
    <x v="0"/>
    <s v="N"/>
    <n v="0.33333333333333331"/>
    <n v="0.375"/>
    <n v="4.1666666666666685E-2"/>
    <n v="0"/>
    <n v="-3"/>
    <n v="0"/>
    <n v="3"/>
    <e v="#VALUE!"/>
    <m/>
    <n v="5"/>
    <m/>
    <m/>
    <s v="N"/>
    <m/>
    <s v="0-10 DAYS"/>
    <n v="1"/>
    <x v="0"/>
  </r>
  <r>
    <n v="1845"/>
    <s v="Y"/>
    <s v="Y"/>
    <n v="2481719"/>
    <n v="2"/>
    <d v="2012-03-09T00:00:00"/>
    <d v="2013-07-26T00:00:00"/>
    <n v="2481719"/>
    <d v="2012-03-09T00:00:00"/>
    <d v="2012-04-28T00:00:00"/>
    <n v="10000"/>
    <x v="3"/>
    <d v="2012-04-28T00:00:00"/>
    <s v="Y"/>
    <s v="SURETY"/>
    <s v="DEFERRED ADJUDICATION "/>
    <n v="115"/>
    <n v="505"/>
    <n v="2"/>
    <n v="2"/>
    <n v="1"/>
    <m/>
    <m/>
    <m/>
    <m/>
    <m/>
    <m/>
    <m/>
    <m/>
    <d v="1984-07-15T00:00:00"/>
    <s v="M"/>
    <s v="B"/>
    <s v="BLACK"/>
    <s v="NON-HISPANIC"/>
    <s v="180"/>
    <s v="DEFERRED"/>
    <n v="6"/>
    <s v="DEFERRED"/>
    <m/>
    <m/>
    <m/>
    <s v="ASSAULT-BOD INJ-PUB SERV/RETAL"/>
    <m/>
    <s v="F3"/>
    <s v="ASLT-MURDR"/>
    <s v="bf 8/28/12bond  on later charge"/>
    <m/>
    <s v="Y"/>
    <d v="2012-08-28T00:00:00"/>
    <m/>
    <m/>
    <m/>
    <m/>
    <m/>
    <s v="Appointed Attorney"/>
    <s v="bf on inj filed8/6/11 tdc rev"/>
    <m/>
    <n v="115"/>
    <n v="505"/>
    <n v="505"/>
    <n v="27.592896174863387"/>
    <n v="0"/>
    <n v="-454"/>
    <s v="DEFERRED"/>
    <x v="1"/>
    <s v="N"/>
    <m/>
    <s v="DEFERRED"/>
    <s v="Y"/>
    <x v="1"/>
    <x v="0"/>
    <s v="Y"/>
    <n v="0.22772277227722773"/>
    <n v="0.100990099009901"/>
    <n v="-0.12673267326732673"/>
    <n v="0"/>
    <n v="-51"/>
    <n v="64"/>
    <n v="51"/>
    <e v="#VALUE!"/>
    <m/>
    <n v="454"/>
    <m/>
    <m/>
    <s v="Y"/>
    <m/>
    <s v="91-120 DAYS"/>
    <n v="0"/>
    <x v="0"/>
  </r>
  <r>
    <n v="1121"/>
    <s v="N"/>
    <s v="N"/>
    <n v="2482363"/>
    <n v="4"/>
    <d v="2012-02-10T00:00:00"/>
    <d v="2012-10-18T00:00:00"/>
    <n v="2482363"/>
    <d v="2012-02-10T00:00:00"/>
    <d v="2012-10-18T00:00:00"/>
    <n v="35000"/>
    <x v="2"/>
    <m/>
    <s v="N"/>
    <s v="NONE"/>
    <s v="GUILTY PLEA - NO JURY"/>
    <n v="252"/>
    <n v="252"/>
    <n v="0"/>
    <n v="1"/>
    <m/>
    <m/>
    <m/>
    <m/>
    <m/>
    <m/>
    <m/>
    <s v="S"/>
    <m/>
    <d v="1992-08-22T00:00:00"/>
    <s v="M"/>
    <s v="H"/>
    <s v="HISPANIC"/>
    <s v="NULL"/>
    <s v="228"/>
    <s v="CONVICTED"/>
    <n v="10"/>
    <s v="HCJ"/>
    <m/>
    <m/>
    <n v="365"/>
    <s v="BURGLARY OF HABITATION"/>
    <m/>
    <s v="F2"/>
    <s v="BURGLARY"/>
    <m/>
    <m/>
    <m/>
    <m/>
    <m/>
    <m/>
    <m/>
    <m/>
    <m/>
    <s v="Appointed Attorney"/>
    <m/>
    <m/>
    <n v="252"/>
    <n v="252"/>
    <n v="252"/>
    <n v="19.428961748633881"/>
    <n v="0"/>
    <n v="0"/>
    <s v="CONVICTION"/>
    <x v="0"/>
    <s v="N"/>
    <m/>
    <s v="CONVICTION"/>
    <s v="Y"/>
    <x v="0"/>
    <x v="0"/>
    <s v="N"/>
    <n v="1"/>
    <n v="1"/>
    <n v="0"/>
    <n v="0"/>
    <n v="-252"/>
    <n v="0"/>
    <n v="252"/>
    <e v="#VALUE!"/>
    <n v="252"/>
    <n v="0"/>
    <m/>
    <m/>
    <s v="Y"/>
    <m/>
    <s v="121-365 DAYS"/>
    <n v="6"/>
    <x v="0"/>
  </r>
  <r>
    <n v="1865"/>
    <s v="N"/>
    <s v="N"/>
    <n v="2483027"/>
    <n v="5"/>
    <d v="2012-03-10T00:00:00"/>
    <d v="2013-02-07T00:00:00"/>
    <n v="2483027"/>
    <d v="2012-03-09T00:00:00"/>
    <d v="2013-02-07T00:00:00"/>
    <n v="600000"/>
    <x v="2"/>
    <m/>
    <s v="N"/>
    <s v="NONE"/>
    <s v="GUILTY PLEA - NO JURY"/>
    <n v="336"/>
    <n v="335"/>
    <n v="0"/>
    <n v="3"/>
    <m/>
    <m/>
    <m/>
    <m/>
    <m/>
    <m/>
    <m/>
    <m/>
    <m/>
    <d v="1992-05-21T00:00:00"/>
    <s v="M"/>
    <s v="H"/>
    <s v="HISPANIC"/>
    <s v="HISPANIC"/>
    <s v="176"/>
    <s v="CONVICTED"/>
    <n v="8"/>
    <s v="STJ"/>
    <m/>
    <n v="10"/>
    <m/>
    <s v="MAN/DEL CS PG I &lt;1GRAM"/>
    <m/>
    <s v="FS"/>
    <s v="SALE DRUG"/>
    <m/>
    <m/>
    <m/>
    <m/>
    <m/>
    <m/>
    <m/>
    <m/>
    <m/>
    <s v="Hired Attorney"/>
    <m/>
    <m/>
    <n v="336"/>
    <n v="336"/>
    <n v="335"/>
    <n v="19.762295081967213"/>
    <n v="0"/>
    <n v="0"/>
    <s v="CONVICTION"/>
    <x v="0"/>
    <s v="N"/>
    <m/>
    <s v="CONVICTION"/>
    <s v="Y"/>
    <x v="0"/>
    <x v="0"/>
    <s v="N"/>
    <n v="1"/>
    <n v="1.0029850746268656"/>
    <n v="2.9850746268655914E-3"/>
    <n v="0"/>
    <n v="-336"/>
    <n v="0"/>
    <n v="336"/>
    <e v="#VALUE!"/>
    <n v="336"/>
    <n v="0"/>
    <m/>
    <m/>
    <s v="Y"/>
    <m/>
    <s v="121-365 DAYS"/>
    <n v="6"/>
    <x v="0"/>
  </r>
  <r>
    <n v="3042"/>
    <s v="N"/>
    <s v="N"/>
    <n v="2483428"/>
    <n v="1"/>
    <d v="2012-04-22T00:00:00"/>
    <d v="2012-09-20T00:00:00"/>
    <n v="2483428"/>
    <d v="2012-04-22T00:00:00"/>
    <d v="2012-04-24T00:00:00"/>
    <n v="5000"/>
    <x v="4"/>
    <d v="2012-04-24T00:00:00"/>
    <s v="Y"/>
    <s v="SURETY"/>
    <s v="DISMISSED"/>
    <n v="3"/>
    <n v="152"/>
    <n v="1"/>
    <n v="2"/>
    <n v="1"/>
    <m/>
    <m/>
    <m/>
    <m/>
    <m/>
    <m/>
    <m/>
    <m/>
    <d v="1992-09-13T00:00:00"/>
    <s v="M"/>
    <s v="B"/>
    <s v="BLACK"/>
    <s v="NULL"/>
    <s v="232"/>
    <s v="DISMISSED"/>
    <n v="9"/>
    <s v="DISMISSED"/>
    <m/>
    <m/>
    <m/>
    <s v="POSS CS PG 1 &lt;1G"/>
    <m/>
    <s v="FS"/>
    <s v="POSS DRUG"/>
    <s v="  filed  5/23/12    disp   9/20/12 fel evade st j 6 mos"/>
    <m/>
    <m/>
    <m/>
    <m/>
    <m/>
    <m/>
    <m/>
    <m/>
    <s v="Appointed Attorney"/>
    <m/>
    <m/>
    <n v="3"/>
    <n v="152"/>
    <n v="152"/>
    <n v="19.565573770491802"/>
    <n v="0"/>
    <n v="-149"/>
    <s v="NO CONVICTION"/>
    <x v="1"/>
    <s v="Y"/>
    <m/>
    <s v="NO CONVICTION"/>
    <s v="Y"/>
    <x v="1"/>
    <x v="0"/>
    <s v="Y"/>
    <n v="1.9736842105263157E-2"/>
    <n v="1.9736842105263157E-2"/>
    <n v="0"/>
    <n v="0"/>
    <n v="-3"/>
    <n v="0"/>
    <n v="3"/>
    <e v="#VALUE!"/>
    <n v="3"/>
    <n v="0"/>
    <m/>
    <m/>
    <s v="Y"/>
    <m/>
    <s v="0-10 DAYS"/>
    <n v="1"/>
    <x v="0"/>
  </r>
  <r>
    <n v="2903"/>
    <s v="N"/>
    <s v="N"/>
    <n v="2483586"/>
    <n v="2"/>
    <d v="2012-04-17T00:00:00"/>
    <d v="2012-04-19T00:00:00"/>
    <n v="2483586"/>
    <d v="2012-04-18T00:00:00"/>
    <d v="2012-04-19T00:00:00"/>
    <n v="2000"/>
    <x v="5"/>
    <m/>
    <s v="N"/>
    <s v="NONE"/>
    <s v="DEFERRED ADJUDICATION "/>
    <n v="2"/>
    <n v="3"/>
    <n v="1"/>
    <n v="0"/>
    <m/>
    <m/>
    <m/>
    <m/>
    <m/>
    <m/>
    <m/>
    <m/>
    <m/>
    <d v="1987-05-18T00:00:00"/>
    <s v="M"/>
    <s v="W"/>
    <s v="WHITE"/>
    <s v="NULL"/>
    <s v="179"/>
    <s v="DEFERRED"/>
    <n v="1"/>
    <s v="DEFERRED"/>
    <m/>
    <m/>
    <m/>
    <s v="THEFT $1500-20K"/>
    <m/>
    <s v="FS"/>
    <s v="THEFT"/>
    <s v="7/19/12 DADJ disp burglary "/>
    <m/>
    <m/>
    <m/>
    <m/>
    <m/>
    <m/>
    <m/>
    <m/>
    <s v="Appointed Attorney"/>
    <m/>
    <m/>
    <n v="2"/>
    <n v="2"/>
    <n v="3"/>
    <n v="24.866120218579233"/>
    <n v="0"/>
    <n v="0"/>
    <s v="DEFERRED"/>
    <x v="0"/>
    <s v="N"/>
    <m/>
    <s v="DEFERRED"/>
    <s v="Y"/>
    <x v="0"/>
    <x v="0"/>
    <s v="Y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2527"/>
    <s v="Y"/>
    <s v="Y"/>
    <n v="2483592"/>
    <n v="6"/>
    <d v="2012-04-04T00:00:00"/>
    <d v="2014-01-17T00:00:00"/>
    <n v="2483592"/>
    <d v="2012-04-05T00:00:00"/>
    <d v="2012-05-19T00:00:00"/>
    <n v="10000"/>
    <x v="3"/>
    <d v="2012-05-19T00:00:00"/>
    <s v="Y"/>
    <s v="SURETY"/>
    <s v="GUILTY PLEA - NO JURY"/>
    <n v="224"/>
    <n v="654"/>
    <n v="0"/>
    <n v="3"/>
    <m/>
    <m/>
    <m/>
    <m/>
    <m/>
    <m/>
    <m/>
    <m/>
    <m/>
    <d v="1992-06-24T00:00:00"/>
    <s v="M"/>
    <s v="B"/>
    <s v="BLACK"/>
    <s v="NULL"/>
    <s v="351"/>
    <s v="NULL"/>
    <n v="15"/>
    <s v="TDC"/>
    <n v="20"/>
    <m/>
    <m/>
    <s v="AGG ROBBERY-DEADLY WPN"/>
    <m/>
    <s v="F1"/>
    <s v="ROBBERY"/>
    <s v="sent robb &amp; murder fel"/>
    <s v="SSR bk 7/8/12"/>
    <m/>
    <m/>
    <s v="Y"/>
    <m/>
    <m/>
    <m/>
    <m/>
    <s v="Appointed Attorney"/>
    <s v="MULTI FEL 6/28/12"/>
    <m/>
    <n v="224"/>
    <n v="653"/>
    <n v="654"/>
    <n v="19.737704918032787"/>
    <n v="0"/>
    <n v="-608"/>
    <s v="CONVICTION"/>
    <x v="1"/>
    <s v="Y"/>
    <m/>
    <s v="CONVICTION"/>
    <s v="Y"/>
    <x v="0"/>
    <x v="0"/>
    <s v="N"/>
    <n v="0.34250764525993882"/>
    <n v="6.8912710566615618E-2"/>
    <n v="-0.27359493469332319"/>
    <n v="0"/>
    <n v="-45"/>
    <n v="179"/>
    <n v="653"/>
    <n v="224"/>
    <n v="653"/>
    <n v="608"/>
    <m/>
    <m/>
    <s v="Y"/>
    <m/>
    <s v="121-365 DAYS"/>
    <n v="6"/>
    <x v="0"/>
  </r>
  <r>
    <n v="1182"/>
    <s v="N"/>
    <s v="N"/>
    <n v="2483698"/>
    <n v="2"/>
    <d v="2012-02-13T00:00:00"/>
    <d v="2012-06-12T00:00:00"/>
    <n v="2483698"/>
    <d v="2012-02-14T00:00:00"/>
    <d v="2012-02-16T00:00:00"/>
    <n v="2000"/>
    <x v="5"/>
    <d v="2012-02-16T00:00:00"/>
    <s v="Y"/>
    <s v="SURETY"/>
    <s v="DEFERRED ADJUDICATION "/>
    <n v="3"/>
    <n v="121"/>
    <n v="1"/>
    <n v="0"/>
    <m/>
    <m/>
    <m/>
    <m/>
    <m/>
    <m/>
    <m/>
    <m/>
    <m/>
    <d v="1987-01-31T00:00:00"/>
    <s v="M"/>
    <s v="W"/>
    <s v="WHITE"/>
    <s v="HISPANIC"/>
    <s v="263"/>
    <s v="DEFERRED"/>
    <n v="9"/>
    <s v="DEFERRED"/>
    <m/>
    <m/>
    <m/>
    <s v="POSS CS PG 1 &lt;1G"/>
    <m/>
    <s v="FS"/>
    <s v="POSS DRUG"/>
    <m/>
    <m/>
    <m/>
    <m/>
    <m/>
    <m/>
    <m/>
    <m/>
    <m/>
    <s v="Hired Attorney"/>
    <m/>
    <m/>
    <n v="3"/>
    <n v="120"/>
    <n v="121"/>
    <n v="24.983606557377048"/>
    <n v="0"/>
    <n v="-117"/>
    <s v="DEFERRED"/>
    <x v="1"/>
    <s v="Y"/>
    <m/>
    <s v="DEFERRED"/>
    <s v="Y"/>
    <x v="1"/>
    <x v="0"/>
    <s v="Y"/>
    <n v="2.4793388429752067E-2"/>
    <n v="2.5000000000000001E-2"/>
    <n v="2.0661157024793458E-4"/>
    <n v="0"/>
    <n v="-3"/>
    <n v="0"/>
    <n v="3"/>
    <e v="#VALUE!"/>
    <n v="3"/>
    <n v="0"/>
    <m/>
    <m/>
    <s v="Y"/>
    <m/>
    <s v="0-10 DAYS"/>
    <n v="1"/>
    <x v="0"/>
  </r>
  <r>
    <n v="2308"/>
    <s v="N"/>
    <s v="N"/>
    <n v="2483733"/>
    <n v="6"/>
    <d v="2012-03-28T00:00:00"/>
    <d v="2012-09-11T00:00:00"/>
    <n v="2483733"/>
    <d v="2012-03-28T00:00:00"/>
    <d v="2012-03-31T00:00:00"/>
    <n v="10000"/>
    <x v="3"/>
    <d v="2012-03-31T00:00:00"/>
    <s v="Y"/>
    <s v="SURETY"/>
    <s v="GUILTY PLEA - NO JURY"/>
    <n v="4"/>
    <n v="168"/>
    <n v="0"/>
    <n v="3"/>
    <m/>
    <m/>
    <m/>
    <m/>
    <m/>
    <m/>
    <m/>
    <m/>
    <m/>
    <d v="1992-04-12T00:00:00"/>
    <s v="M"/>
    <s v="B"/>
    <s v="BLACK"/>
    <s v="NULL"/>
    <s v="179"/>
    <s v="CONVICTED"/>
    <n v="8"/>
    <s v="TDC"/>
    <n v="2"/>
    <m/>
    <m/>
    <s v="BURGLARY OF HABITATION"/>
    <m/>
    <s v="F2"/>
    <s v="BURGLARY"/>
    <m/>
    <m/>
    <m/>
    <m/>
    <m/>
    <m/>
    <m/>
    <m/>
    <m/>
    <s v="Hired Attorney"/>
    <m/>
    <m/>
    <n v="4"/>
    <n v="168"/>
    <n v="168"/>
    <n v="19.918032786885245"/>
    <n v="0"/>
    <n v="-164"/>
    <s v="CONVICTION"/>
    <x v="1"/>
    <s v="Y"/>
    <m/>
    <s v="CONVICTION"/>
    <s v="Y"/>
    <x v="1"/>
    <x v="0"/>
    <s v="N"/>
    <n v="2.3809523809523808E-2"/>
    <n v="2.3809523809523808E-2"/>
    <n v="0"/>
    <n v="0"/>
    <n v="-4"/>
    <n v="0"/>
    <n v="4"/>
    <e v="#VALUE!"/>
    <n v="4"/>
    <n v="0"/>
    <m/>
    <m/>
    <s v="Y"/>
    <m/>
    <s v="0-10 DAYS"/>
    <n v="1"/>
    <x v="0"/>
  </r>
  <r>
    <n v="941"/>
    <s v="N"/>
    <s v="N"/>
    <n v="2484296"/>
    <n v="2"/>
    <d v="2012-02-04T00:00:00"/>
    <d v="2012-03-19T00:00:00"/>
    <n v="2484296"/>
    <d v="2012-02-04T00:00:00"/>
    <d v="2012-02-06T00:00:00"/>
    <n v="10000"/>
    <x v="3"/>
    <d v="2012-02-06T00:00:00"/>
    <s v="Y"/>
    <s v="SURETY"/>
    <s v="DEFERRED ADJUDICATION "/>
    <n v="3"/>
    <n v="45"/>
    <n v="0"/>
    <n v="0"/>
    <m/>
    <m/>
    <m/>
    <m/>
    <m/>
    <m/>
    <m/>
    <m/>
    <m/>
    <d v="1991-04-17T00:00:00"/>
    <s v="M"/>
    <s v="B"/>
    <s v="BLACK"/>
    <s v="NULL"/>
    <s v="263"/>
    <s v="DEFERRED"/>
    <n v="3"/>
    <s v="DEFERRED"/>
    <m/>
    <m/>
    <m/>
    <s v="ROBBERY-THREATS"/>
    <m/>
    <s v="F2"/>
    <s v="ROBBERY"/>
    <m/>
    <m/>
    <m/>
    <m/>
    <m/>
    <m/>
    <m/>
    <m/>
    <m/>
    <s v="Hired Attorney"/>
    <m/>
    <m/>
    <n v="3"/>
    <n v="45"/>
    <n v="45"/>
    <n v="20.759562841530055"/>
    <n v="0"/>
    <n v="-42"/>
    <s v="DEFERRED"/>
    <x v="1"/>
    <s v="Y"/>
    <m/>
    <s v="DEFERRED"/>
    <s v="Y"/>
    <x v="1"/>
    <x v="0"/>
    <s v="N"/>
    <n v="6.6666666666666666E-2"/>
    <n v="6.6666666666666666E-2"/>
    <n v="0"/>
    <n v="0"/>
    <n v="-3"/>
    <n v="0"/>
    <n v="3"/>
    <e v="#VALUE!"/>
    <n v="3"/>
    <n v="0"/>
    <m/>
    <m/>
    <s v="N"/>
    <m/>
    <s v="0-10 DAYS"/>
    <n v="1"/>
    <x v="0"/>
  </r>
  <r>
    <n v="685"/>
    <s v="N"/>
    <s v="N"/>
    <n v="2484683"/>
    <n v="6"/>
    <d v="2012-01-27T00:00:00"/>
    <d v="2013-08-21T00:00:00"/>
    <n v="2484683"/>
    <d v="2012-01-28T00:00:00"/>
    <d v="2013-08-21T00:00:00"/>
    <s v="NO BOND"/>
    <x v="1"/>
    <m/>
    <s v="N"/>
    <s v="NONE"/>
    <s v="GUILTY PLEA - NO JURY"/>
    <n v="572"/>
    <n v="573"/>
    <n v="1"/>
    <n v="1"/>
    <m/>
    <n v="1"/>
    <m/>
    <m/>
    <m/>
    <m/>
    <m/>
    <m/>
    <m/>
    <d v="1992-02-22T00:00:00"/>
    <s v="M"/>
    <s v="W"/>
    <s v="WHITE"/>
    <s v="NON-HISPANIC"/>
    <s v="263"/>
    <s v="NULL"/>
    <n v="23"/>
    <s v="TDC"/>
    <n v="75"/>
    <m/>
    <m/>
    <s v="CAPITAL MURDER"/>
    <m/>
    <s v="FC"/>
    <s v="CAP MURDER"/>
    <m/>
    <m/>
    <m/>
    <m/>
    <m/>
    <m/>
    <m/>
    <m/>
    <m/>
    <s v="Appointed Attorney"/>
    <m/>
    <m/>
    <n v="572"/>
    <n v="572"/>
    <n v="573"/>
    <n v="19.887978142076502"/>
    <n v="0"/>
    <n v="0"/>
    <s v="CONVICTION"/>
    <x v="0"/>
    <s v="N"/>
    <m/>
    <s v=""/>
    <s v="Y"/>
    <x v="0"/>
    <x v="0"/>
    <s v="Y"/>
    <n v="0.99825479930191974"/>
    <n v="1"/>
    <n v="1.7452006980802626E-3"/>
    <n v="0"/>
    <n v="-572"/>
    <n v="0"/>
    <n v="572"/>
    <e v="#VALUE!"/>
    <n v="572"/>
    <n v="0"/>
    <m/>
    <m/>
    <s v="Y"/>
    <m/>
    <s v=" &gt;1YRS&lt;2YRS"/>
    <n v="0"/>
    <x v="0"/>
  </r>
  <r>
    <n v="2195"/>
    <s v="N"/>
    <s v="N"/>
    <n v="2484938"/>
    <n v="2"/>
    <d v="2012-03-23T00:00:00"/>
    <d v="2012-08-21T00:00:00"/>
    <n v="2484938"/>
    <s v="NOT BOOKED"/>
    <s v="NOT BOOKED"/>
    <n v="2000"/>
    <x v="5"/>
    <d v="2012-03-24T00:00:00"/>
    <s v="Y"/>
    <s v="SURETY"/>
    <s v="DEFERRED ADJUDICATION "/>
    <n v="0"/>
    <n v="152"/>
    <n v="0"/>
    <n v="0"/>
    <m/>
    <m/>
    <m/>
    <m/>
    <m/>
    <m/>
    <m/>
    <m/>
    <m/>
    <d v="1991-06-25T00:00:00"/>
    <s v="M"/>
    <s v="H"/>
    <s v="HISPANIC"/>
    <s v="HISPANIC"/>
    <s v="263"/>
    <s v="DEFERRED"/>
    <n v="7"/>
    <s v="DEFERRED"/>
    <m/>
    <m/>
    <m/>
    <s v="POSS MARIJ  4 OZ. - 5 LBS."/>
    <m/>
    <s v="FS"/>
    <s v="POSS DRUG"/>
    <m/>
    <m/>
    <m/>
    <m/>
    <m/>
    <m/>
    <m/>
    <m/>
    <m/>
    <s v="Hired Attorney"/>
    <m/>
    <m/>
    <n v="0"/>
    <n v="0"/>
    <n v="152"/>
    <n v="20.702185792349727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72"/>
    <s v="N"/>
    <s v="N"/>
    <n v="2484971"/>
    <n v="2"/>
    <d v="2012-01-08T00:00:00"/>
    <d v="2012-05-15T00:00:00"/>
    <n v="2484971"/>
    <s v="NOT BOOKED"/>
    <s v="NOT BOOKED"/>
    <n v="2000"/>
    <x v="5"/>
    <d v="2012-01-09T00:00:00"/>
    <s v="Y"/>
    <s v="SURETYPTRc"/>
    <s v="DEFERRED ADJUDICATION "/>
    <n v="0"/>
    <n v="129"/>
    <n v="0"/>
    <n v="1"/>
    <m/>
    <m/>
    <m/>
    <m/>
    <m/>
    <m/>
    <m/>
    <m/>
    <m/>
    <d v="1985-06-25T00:00:00"/>
    <s v="M"/>
    <s v="W"/>
    <s v="WHITE"/>
    <s v="NULL"/>
    <s v="337"/>
    <s v="DEFERRED"/>
    <n v="5"/>
    <s v="DEFERR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129"/>
    <n v="26.483606557377048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2609"/>
    <s v="N"/>
    <s v="N"/>
    <n v="2485067"/>
    <n v="6"/>
    <d v="2012-04-06T00:00:00"/>
    <d v="2012-04-16T00:00:00"/>
    <n v="2485067"/>
    <d v="2012-04-06T00:00:00"/>
    <d v="2012-04-16T00:00:00"/>
    <s v="NO BOND"/>
    <x v="1"/>
    <m/>
    <s v="N"/>
    <s v="NONE"/>
    <s v="GUILTY PLEA - NO JURY"/>
    <n v="11"/>
    <n v="11"/>
    <n v="1"/>
    <n v="0"/>
    <n v="1"/>
    <m/>
    <m/>
    <m/>
    <m/>
    <m/>
    <m/>
    <s v="S"/>
    <m/>
    <d v="1990-08-12T00:00:00"/>
    <s v="M"/>
    <s v="H"/>
    <s v="HISPANIC"/>
    <s v="NULL"/>
    <s v="262"/>
    <s v="CONVICTED"/>
    <n v="2"/>
    <s v="TDC"/>
    <n v="1"/>
    <m/>
    <m/>
    <s v="FAIL TO STOP AND RENDER AID"/>
    <m/>
    <s v="F"/>
    <s v="OTHER FEL"/>
    <m/>
    <m/>
    <m/>
    <m/>
    <m/>
    <m/>
    <m/>
    <m/>
    <m/>
    <s v="Appointed Attorney"/>
    <m/>
    <m/>
    <n v="11"/>
    <n v="11"/>
    <n v="11"/>
    <n v="21.606557377049182"/>
    <n v="0"/>
    <n v="0"/>
    <s v="CONVICTION"/>
    <x v="0"/>
    <s v="N"/>
    <m/>
    <s v="CONVICTION"/>
    <s v="Y"/>
    <x v="0"/>
    <x v="0"/>
    <s v="Y"/>
    <n v="1"/>
    <n v="1"/>
    <n v="0"/>
    <n v="0"/>
    <n v="-11"/>
    <n v="0"/>
    <n v="11"/>
    <e v="#VALUE!"/>
    <n v="11"/>
    <n v="0"/>
    <m/>
    <m/>
    <s v="Y"/>
    <m/>
    <s v="11-30 DAYS"/>
    <n v="2"/>
    <x v="0"/>
  </r>
  <r>
    <n v="3215"/>
    <s v="N"/>
    <s v="N"/>
    <n v="2485871"/>
    <n v="6"/>
    <d v="2012-04-28T00:00:00"/>
    <d v="2012-10-09T00:00:00"/>
    <n v="2485871"/>
    <d v="2012-04-28T00:00:00"/>
    <d v="2012-05-01T00:00:00"/>
    <n v="10000"/>
    <x v="3"/>
    <d v="2012-05-01T00:00:00"/>
    <s v="Y"/>
    <s v="SURETY"/>
    <s v="GUILTY PLEA - NO JURY"/>
    <n v="4"/>
    <n v="165"/>
    <n v="2"/>
    <n v="0"/>
    <n v="1"/>
    <m/>
    <m/>
    <m/>
    <m/>
    <m/>
    <m/>
    <m/>
    <m/>
    <d v="1992-11-13T00:00:00"/>
    <s v="M"/>
    <s v="B"/>
    <s v="BLACK"/>
    <s v="NULL"/>
    <s v="184"/>
    <s v="CONVICTED"/>
    <n v="7"/>
    <s v="TDC"/>
    <n v="3"/>
    <m/>
    <m/>
    <s v="POSS CS PG 1  1 - 4 GRAMS"/>
    <m/>
    <s v="F3"/>
    <s v="POSS DRUG"/>
    <s v="7/3/12 aslt murder filed disp 10/9/12  tdc 3yrs "/>
    <m/>
    <m/>
    <m/>
    <m/>
    <m/>
    <m/>
    <m/>
    <m/>
    <s v="Appointed Attorney"/>
    <m/>
    <m/>
    <n v="4"/>
    <n v="165"/>
    <n v="165"/>
    <n v="19.415300546448087"/>
    <n v="0"/>
    <n v="-161"/>
    <s v="CONVICTION"/>
    <x v="1"/>
    <s v="Y"/>
    <m/>
    <s v="CONVICTION"/>
    <s v="Y"/>
    <x v="1"/>
    <x v="0"/>
    <s v="Y"/>
    <n v="2.4242424242424242E-2"/>
    <n v="2.4242424242424242E-2"/>
    <n v="0"/>
    <n v="0"/>
    <n v="-4"/>
    <n v="0"/>
    <n v="4"/>
    <e v="#VALUE!"/>
    <n v="4"/>
    <n v="0"/>
    <m/>
    <m/>
    <s v="Y"/>
    <m/>
    <s v="0-10 DAYS"/>
    <n v="1"/>
    <x v="0"/>
  </r>
  <r>
    <n v="1599"/>
    <s v="N"/>
    <s v="N"/>
    <n v="2485946"/>
    <n v="6"/>
    <d v="2012-02-29T00:00:00"/>
    <d v="2012-03-27T00:00:00"/>
    <n v="2485946"/>
    <d v="2012-03-01T00:00:00"/>
    <d v="2012-03-27T00:00:00"/>
    <s v="NO BOND"/>
    <x v="1"/>
    <m/>
    <s v="N"/>
    <s v="NONE"/>
    <s v="GUILTY PLEA - NO JURY"/>
    <n v="27"/>
    <n v="28"/>
    <n v="1"/>
    <n v="2"/>
    <n v="1"/>
    <m/>
    <m/>
    <m/>
    <m/>
    <m/>
    <m/>
    <m/>
    <m/>
    <d v="1992-12-04T00:00:00"/>
    <s v="M"/>
    <s v="H"/>
    <s v="HISPANIC"/>
    <s v="HISPANIC"/>
    <s v="174"/>
    <s v="CONVICTED"/>
    <n v="3"/>
    <s v="TDC"/>
    <n v="2"/>
    <m/>
    <m/>
    <s v="ASSAULT-BOD INJ-FAMILY MEMBER"/>
    <m/>
    <s v="F3"/>
    <s v="ASLT-MURDR"/>
    <m/>
    <m/>
    <m/>
    <m/>
    <m/>
    <m/>
    <m/>
    <m/>
    <m/>
    <s v="Appointed Attorney"/>
    <m/>
    <m/>
    <n v="27"/>
    <n v="27"/>
    <n v="28"/>
    <n v="19.196721311475411"/>
    <n v="0"/>
    <n v="0"/>
    <s v="CONVICTION"/>
    <x v="0"/>
    <s v="N"/>
    <m/>
    <s v="CONVICTION"/>
    <s v="Y"/>
    <x v="0"/>
    <x v="0"/>
    <s v="Y"/>
    <n v="0.9642857142857143"/>
    <n v="1"/>
    <n v="3.5714285714285698E-2"/>
    <n v="0"/>
    <n v="-27"/>
    <n v="0"/>
    <n v="27"/>
    <e v="#VALUE!"/>
    <n v="27"/>
    <n v="0"/>
    <m/>
    <m/>
    <s v="Y"/>
    <m/>
    <s v="11-30 DAYS"/>
    <n v="2"/>
    <x v="0"/>
  </r>
  <r>
    <n v="87"/>
    <s v="N"/>
    <s v="Y"/>
    <n v="2486324"/>
    <n v="4"/>
    <d v="2012-01-05T00:00:00"/>
    <d v="2012-06-25T00:00:00"/>
    <n v="2486324"/>
    <d v="2012-01-05T00:00:00"/>
    <d v="2012-01-06T00:00:00"/>
    <n v="2000"/>
    <x v="5"/>
    <d v="2012-01-06T00:00:00"/>
    <s v="Y"/>
    <s v="SURETY"/>
    <s v="GUILTY PLEA - NO JURY"/>
    <n v="45"/>
    <n v="173"/>
    <n v="0"/>
    <n v="1"/>
    <m/>
    <m/>
    <m/>
    <m/>
    <m/>
    <m/>
    <m/>
    <m/>
    <m/>
    <d v="1978-06-16T00:00:00"/>
    <s v="F"/>
    <s v="B"/>
    <s v="BLACK"/>
    <s v="NULL"/>
    <s v="177"/>
    <s v="CONVICTED"/>
    <n v="11"/>
    <s v="HCJ"/>
    <m/>
    <m/>
    <n v="60"/>
    <s v="POSS CS PG 1 &lt;1G"/>
    <m/>
    <s v="FS"/>
    <s v="POSS DRUG"/>
    <m/>
    <m/>
    <s v="Y"/>
    <s v="BF3/30/2012"/>
    <m/>
    <m/>
    <m/>
    <d v="2012-06-13T00:00:00"/>
    <n v="256"/>
    <s v="Appointed Attorney"/>
    <m/>
    <m/>
    <n v="45"/>
    <n v="173"/>
    <n v="173"/>
    <n v="33.486338797814206"/>
    <n v="0"/>
    <n v="-171"/>
    <s v="CONVICTION"/>
    <x v="1"/>
    <s v="Y"/>
    <m/>
    <s v="CONVICTION"/>
    <s v="Y"/>
    <x v="0"/>
    <x v="0"/>
    <s v="N"/>
    <n v="0.26011560693641617"/>
    <n v="1.1560693641618497E-2"/>
    <n v="-0.24855491329479767"/>
    <n v="0"/>
    <n v="-2"/>
    <n v="43"/>
    <n v="173"/>
    <n v="45"/>
    <n v="173"/>
    <n v="171"/>
    <m/>
    <m/>
    <s v="Y"/>
    <m/>
    <s v="31-60 DAYS"/>
    <n v="3"/>
    <x v="0"/>
  </r>
  <r>
    <n v="2277"/>
    <s v="N"/>
    <s v="N"/>
    <n v="2486746"/>
    <n v="5"/>
    <d v="2012-03-27T00:00:00"/>
    <d v="2012-10-11T00:00:00"/>
    <n v="2486746"/>
    <d v="2012-06-05T00:00:00"/>
    <d v="2012-10-11T00:00:00"/>
    <n v="10000"/>
    <x v="3"/>
    <m/>
    <s v="N"/>
    <s v="NONE"/>
    <s v="GUILTY PLEA - NO JURY"/>
    <n v="129"/>
    <n v="199"/>
    <n v="1"/>
    <n v="2"/>
    <n v="1"/>
    <m/>
    <m/>
    <m/>
    <m/>
    <m/>
    <m/>
    <m/>
    <m/>
    <d v="1990-06-14T00:00:00"/>
    <s v="M"/>
    <s v="B"/>
    <s v="BLACK"/>
    <s v="NON-HISPANIC"/>
    <s v="209"/>
    <s v="CONVICTED"/>
    <n v="5"/>
    <s v="STJ"/>
    <m/>
    <n v="6"/>
    <m/>
    <s v="FAIL TO COMPLY AS SEX OFFENDER"/>
    <m/>
    <s v="F3"/>
    <s v="OTHER FEL"/>
    <m/>
    <m/>
    <m/>
    <m/>
    <m/>
    <m/>
    <m/>
    <m/>
    <m/>
    <s v="Appointed Attorney"/>
    <m/>
    <m/>
    <n v="129"/>
    <n v="129"/>
    <n v="199"/>
    <n v="21.740437158469945"/>
    <n v="0"/>
    <n v="0"/>
    <s v="CONVICTION"/>
    <x v="0"/>
    <s v="N"/>
    <m/>
    <s v="CONVICTION"/>
    <s v="Y"/>
    <x v="0"/>
    <x v="0"/>
    <s v="Y"/>
    <n v="0.64824120603015079"/>
    <n v="1"/>
    <n v="0.35175879396984921"/>
    <n v="0"/>
    <n v="-129"/>
    <n v="0"/>
    <n v="129"/>
    <e v="#VALUE!"/>
    <n v="129"/>
    <n v="0"/>
    <m/>
    <m/>
    <s v="Y"/>
    <m/>
    <s v="121-365 DAYS"/>
    <n v="6"/>
    <x v="0"/>
  </r>
  <r>
    <n v="2588"/>
    <s v="N"/>
    <s v="N"/>
    <n v="2487206"/>
    <n v="6"/>
    <d v="2012-04-06T00:00:00"/>
    <d v="2012-05-31T00:00:00"/>
    <n v="2487206"/>
    <d v="2012-04-06T00:00:00"/>
    <d v="2012-05-31T00:00:00"/>
    <n v="100000"/>
    <x v="2"/>
    <m/>
    <s v="N"/>
    <s v="NONE"/>
    <s v="GUILTY PLEA - NO JURY"/>
    <n v="56"/>
    <n v="56"/>
    <n v="1"/>
    <n v="0"/>
    <n v="1"/>
    <m/>
    <m/>
    <m/>
    <m/>
    <m/>
    <m/>
    <m/>
    <m/>
    <d v="1991-11-25T00:00:00"/>
    <s v="M"/>
    <s v="B"/>
    <s v="BLACK"/>
    <s v="NULL"/>
    <s v="180"/>
    <s v="CONVICTED"/>
    <n v="3"/>
    <s v="TDC"/>
    <n v="4"/>
    <m/>
    <m/>
    <s v="POSS W/INT DEL CS PG1 1G &lt;4 GR"/>
    <m/>
    <s v="F2"/>
    <s v="SALE DRUG"/>
    <m/>
    <m/>
    <m/>
    <m/>
    <m/>
    <m/>
    <m/>
    <m/>
    <m/>
    <s v="Appointed Attorney"/>
    <m/>
    <m/>
    <n v="56"/>
    <n v="56"/>
    <n v="56"/>
    <n v="20.3224043715847"/>
    <n v="0"/>
    <n v="0"/>
    <s v="CONVICTION"/>
    <x v="0"/>
    <s v="N"/>
    <m/>
    <s v="CONVICTION"/>
    <s v="Y"/>
    <x v="0"/>
    <x v="0"/>
    <s v="Y"/>
    <n v="1"/>
    <n v="1"/>
    <n v="0"/>
    <n v="0"/>
    <n v="-56"/>
    <n v="0"/>
    <n v="56"/>
    <e v="#VALUE!"/>
    <n v="56"/>
    <n v="0"/>
    <m/>
    <m/>
    <s v="Y"/>
    <m/>
    <s v="31-60 DAYS"/>
    <n v="3"/>
    <x v="0"/>
  </r>
  <r>
    <n v="337"/>
    <s v="N"/>
    <s v="N"/>
    <n v="2487341"/>
    <n v="2"/>
    <d v="2012-01-14T00:00:00"/>
    <d v="2012-04-19T00:00:00"/>
    <n v="2487341"/>
    <d v="2012-01-14T00:00:00"/>
    <d v="2012-04-19T00:00:00"/>
    <n v="5000"/>
    <x v="4"/>
    <m/>
    <s v="N"/>
    <s v="NONE"/>
    <s v="DEFERRED ADJUDICATION "/>
    <n v="97"/>
    <n v="97"/>
    <n v="1"/>
    <n v="0"/>
    <m/>
    <n v="1"/>
    <m/>
    <m/>
    <m/>
    <m/>
    <m/>
    <m/>
    <m/>
    <d v="1992-12-07T00:00:00"/>
    <s v="M"/>
    <s v="B"/>
    <s v="BLACK"/>
    <s v="NULL"/>
    <s v="179"/>
    <s v="DEFERRED"/>
    <n v="5"/>
    <s v="DEFERRED"/>
    <m/>
    <m/>
    <m/>
    <s v="CREDIT/DEBIT CARD ABUSE"/>
    <m/>
    <s v="FS"/>
    <s v="OTHER FEL"/>
    <s v="jail 6/5/12 robbery released def adj to ymca7/2/12"/>
    <m/>
    <m/>
    <m/>
    <m/>
    <m/>
    <m/>
    <m/>
    <m/>
    <s v="Appointed Attorney"/>
    <m/>
    <m/>
    <n v="97"/>
    <n v="97"/>
    <n v="97"/>
    <n v="19.062841530054644"/>
    <n v="0"/>
    <n v="0"/>
    <s v="DEFERRED"/>
    <x v="0"/>
    <s v="N"/>
    <m/>
    <s v="DEFERRED"/>
    <s v="Y"/>
    <x v="0"/>
    <x v="0"/>
    <s v="Y"/>
    <n v="1"/>
    <n v="1"/>
    <n v="0"/>
    <n v="0"/>
    <n v="-97"/>
    <n v="0"/>
    <n v="97"/>
    <e v="#VALUE!"/>
    <n v="97"/>
    <n v="0"/>
    <m/>
    <m/>
    <s v="Y"/>
    <m/>
    <s v="91-120 DAYS"/>
    <n v="0"/>
    <x v="0"/>
  </r>
  <r>
    <n v="2957"/>
    <s v="N"/>
    <s v="N"/>
    <n v="2487397"/>
    <n v="1"/>
    <d v="2012-04-19T00:00:00"/>
    <d v="2013-05-20T00:00:00"/>
    <n v="2487397"/>
    <d v="2012-04-26T00:00:00"/>
    <d v="2012-04-27T00:00:00"/>
    <n v="4000"/>
    <x v="4"/>
    <d v="2012-04-27T00:00:00"/>
    <s v="Y"/>
    <s v="SURETY"/>
    <s v="DISMISSED"/>
    <n v="2"/>
    <n v="397"/>
    <n v="0"/>
    <n v="1"/>
    <m/>
    <m/>
    <m/>
    <m/>
    <m/>
    <m/>
    <m/>
    <m/>
    <m/>
    <d v="1991-04-18T00:00:00"/>
    <s v="F"/>
    <s v="W"/>
    <s v="WHITE"/>
    <s v="NULL"/>
    <s v="178"/>
    <s v="DISMISSED"/>
    <n v="13"/>
    <s v="DISMISSED"/>
    <m/>
    <m/>
    <m/>
    <s v="ENDANGERING A CHILD"/>
    <m/>
    <s v="FS"/>
    <s v="OTHER FEL"/>
    <m/>
    <m/>
    <m/>
    <m/>
    <m/>
    <m/>
    <m/>
    <m/>
    <m/>
    <s v="Hired Attorney"/>
    <m/>
    <m/>
    <n v="2"/>
    <n v="390"/>
    <n v="397"/>
    <n v="20.961748633879782"/>
    <n v="0"/>
    <n v="-388"/>
    <s v="NO CONVICTION"/>
    <x v="1"/>
    <s v="Y"/>
    <m/>
    <s v="NO CONVICTION"/>
    <s v="Y"/>
    <x v="1"/>
    <x v="0"/>
    <s v="N"/>
    <n v="5.0377833753148613E-3"/>
    <n v="5.1282051282051282E-3"/>
    <n v="9.0421752890266875E-5"/>
    <n v="0"/>
    <n v="-2"/>
    <n v="0"/>
    <n v="2"/>
    <e v="#VALUE!"/>
    <n v="2"/>
    <n v="0"/>
    <m/>
    <m/>
    <s v="Y"/>
    <m/>
    <s v="0-10 DAYS"/>
    <n v="1"/>
    <x v="0"/>
  </r>
  <r>
    <n v="2696"/>
    <s v="N"/>
    <s v="N"/>
    <n v="2487778"/>
    <n v="6"/>
    <d v="2012-04-10T00:00:00"/>
    <d v="2013-05-15T00:00:00"/>
    <n v="2487778"/>
    <d v="2012-04-11T00:00:00"/>
    <d v="2013-05-15T00:00:00"/>
    <n v="10000"/>
    <x v="3"/>
    <m/>
    <s v="N"/>
    <s v="NONE"/>
    <s v="GUILTY PLEA - NO JURY"/>
    <n v="400"/>
    <n v="401"/>
    <n v="2"/>
    <n v="2"/>
    <n v="1"/>
    <m/>
    <m/>
    <m/>
    <m/>
    <m/>
    <m/>
    <m/>
    <m/>
    <d v="1992-10-25T00:00:00"/>
    <s v="M"/>
    <s v="B"/>
    <s v="BLACK"/>
    <s v="NON-HISPANIC"/>
    <s v="209"/>
    <s v="CONVICTED"/>
    <n v="10"/>
    <s v="TDC"/>
    <n v="5"/>
    <m/>
    <m/>
    <s v="FELON POSS WPN"/>
    <m/>
    <s v="F3"/>
    <s v="OTHER FEL"/>
    <s v="MHH ISSUES"/>
    <m/>
    <m/>
    <m/>
    <m/>
    <m/>
    <m/>
    <m/>
    <m/>
    <s v="Appointed Attorney"/>
    <m/>
    <m/>
    <n v="400"/>
    <n v="400"/>
    <n v="401"/>
    <n v="19.418032786885245"/>
    <n v="0"/>
    <n v="0"/>
    <s v="CONVICTION"/>
    <x v="0"/>
    <s v="N"/>
    <m/>
    <s v="CONVICTION"/>
    <s v="Y"/>
    <x v="0"/>
    <x v="0"/>
    <s v="Y"/>
    <n v="0.99750623441396513"/>
    <n v="1"/>
    <n v="2.4937655860348684E-3"/>
    <n v="0"/>
    <n v="-400"/>
    <n v="0"/>
    <n v="400"/>
    <e v="#VALUE!"/>
    <n v="400"/>
    <n v="0"/>
    <m/>
    <m/>
    <s v="Y"/>
    <m/>
    <s v=" &gt;1YRS&lt;2YRS"/>
    <n v="0"/>
    <x v="0"/>
  </r>
  <r>
    <n v="2654"/>
    <s v="N"/>
    <s v="N"/>
    <n v="2488277"/>
    <n v="3"/>
    <d v="2012-04-08T00:00:00"/>
    <d v="2012-10-11T00:00:00"/>
    <n v="2488277"/>
    <d v="2012-04-08T00:00:00"/>
    <d v="2012-04-12T00:00:00"/>
    <n v="10000"/>
    <x v="3"/>
    <d v="2012-04-12T00:00:00"/>
    <s v="Y"/>
    <s v="SURETYPTRc"/>
    <s v="GUILTY PLEA - NO JURY"/>
    <n v="5"/>
    <n v="187"/>
    <n v="0"/>
    <n v="2"/>
    <m/>
    <m/>
    <m/>
    <m/>
    <m/>
    <m/>
    <m/>
    <s v="S"/>
    <m/>
    <d v="1988-10-11T00:00:00"/>
    <s v="M"/>
    <s v="H"/>
    <s v="HISPANIC"/>
    <s v="NULL"/>
    <s v="338"/>
    <s v="CONVICTED"/>
    <n v="7"/>
    <s v="PROBATION"/>
    <m/>
    <m/>
    <n v="5"/>
    <s v="DWI 3RD OFFENDER BAC .08"/>
    <m/>
    <s v="F3"/>
    <s v="FEL DWI"/>
    <m/>
    <m/>
    <m/>
    <m/>
    <m/>
    <m/>
    <m/>
    <m/>
    <m/>
    <s v="Hired Attorney"/>
    <m/>
    <m/>
    <n v="5"/>
    <n v="187"/>
    <n v="187"/>
    <n v="23.442622950819672"/>
    <n v="0"/>
    <n v="-182"/>
    <s v="CONVICTION"/>
    <x v="1"/>
    <s v="Y"/>
    <m/>
    <s v="CONVICTION"/>
    <s v="Y"/>
    <x v="1"/>
    <x v="0"/>
    <s v="N"/>
    <n v="2.6737967914438502E-2"/>
    <n v="2.6737967914438502E-2"/>
    <n v="0"/>
    <n v="0"/>
    <n v="-5"/>
    <n v="0"/>
    <n v="5"/>
    <e v="#VALUE!"/>
    <n v="5"/>
    <n v="0"/>
    <m/>
    <m/>
    <s v="Y"/>
    <m/>
    <s v="0-10 DAYS"/>
    <n v="1"/>
    <x v="0"/>
  </r>
  <r>
    <n v="326"/>
    <s v="N"/>
    <s v="N"/>
    <n v="2488447"/>
    <n v="1"/>
    <d v="2012-01-13T00:00:00"/>
    <d v="2012-06-14T00:00:00"/>
    <n v="2488447"/>
    <d v="2012-01-15T00:00:00"/>
    <d v="2012-03-10T00:00:00"/>
    <n v="90000"/>
    <x v="2"/>
    <d v="2012-03-10T00:00:00"/>
    <s v="Y"/>
    <s v="SURETY"/>
    <s v="DISMISSED"/>
    <n v="56"/>
    <n v="154"/>
    <n v="0"/>
    <n v="0"/>
    <m/>
    <m/>
    <m/>
    <m/>
    <m/>
    <m/>
    <m/>
    <s v="S"/>
    <m/>
    <d v="1973-07-30T00:00:00"/>
    <s v="M"/>
    <s v="H"/>
    <s v="HISPANIC"/>
    <s v="NULL"/>
    <s v="183"/>
    <s v="DISMISSED"/>
    <n v="8"/>
    <s v="DISMISSED"/>
    <m/>
    <m/>
    <m/>
    <s v="AGG ASSAULT-FAMILY MEMBER"/>
    <m/>
    <s v="F2"/>
    <s v="ASLT-MURDR"/>
    <m/>
    <m/>
    <m/>
    <m/>
    <m/>
    <m/>
    <m/>
    <m/>
    <m/>
    <s v="Hired Attorney"/>
    <m/>
    <m/>
    <n v="56"/>
    <n v="152"/>
    <n v="154"/>
    <n v="38.377049180327866"/>
    <n v="0"/>
    <n v="-96"/>
    <s v="NO CONVICTION"/>
    <x v="1"/>
    <s v="Y"/>
    <m/>
    <s v="NO CONVICTION"/>
    <s v="Y"/>
    <x v="1"/>
    <x v="0"/>
    <s v="N"/>
    <n v="0.36363636363636365"/>
    <n v="0.36842105263157893"/>
    <n v="4.7846889952152805E-3"/>
    <n v="0"/>
    <n v="-56"/>
    <n v="0"/>
    <n v="56"/>
    <e v="#VALUE!"/>
    <n v="56"/>
    <n v="0"/>
    <m/>
    <m/>
    <s v="N"/>
    <m/>
    <s v="31-60 DAYS"/>
    <n v="3"/>
    <x v="0"/>
  </r>
  <r>
    <n v="1351"/>
    <s v="N"/>
    <s v="N"/>
    <n v="2489224"/>
    <n v="2"/>
    <d v="2012-02-19T00:00:00"/>
    <d v="2012-06-18T00:00:00"/>
    <n v="2489224"/>
    <s v="NOT BOOKED"/>
    <s v="NOT BOOKED"/>
    <n v="2000"/>
    <x v="5"/>
    <d v="2012-02-19T00:00:00"/>
    <s v="Y"/>
    <s v="SURETY"/>
    <s v="DEFERRED ADJUDICATION "/>
    <n v="0"/>
    <n v="121"/>
    <n v="0"/>
    <n v="0"/>
    <m/>
    <m/>
    <m/>
    <m/>
    <m/>
    <m/>
    <m/>
    <m/>
    <m/>
    <d v="1990-10-13T00:00:00"/>
    <s v="F"/>
    <s v="B"/>
    <s v="BLACK"/>
    <s v="NULL"/>
    <s v="176"/>
    <s v="DEFERRED"/>
    <n v="6"/>
    <s v="DEFERRED"/>
    <m/>
    <m/>
    <m/>
    <s v="THEFT $1500-20K"/>
    <m/>
    <s v="FS"/>
    <s v="THEFT"/>
    <m/>
    <m/>
    <m/>
    <m/>
    <m/>
    <m/>
    <m/>
    <m/>
    <m/>
    <s v="Hired Attorney"/>
    <m/>
    <m/>
    <n v="0"/>
    <n v="0"/>
    <n v="121"/>
    <n v="21.308743169398905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3107"/>
    <s v="N"/>
    <s v="Y"/>
    <n v="2489991"/>
    <n v="6"/>
    <d v="2012-04-25T00:00:00"/>
    <d v="2012-10-09T00:00:00"/>
    <n v="2489991"/>
    <d v="2012-04-25T00:00:00"/>
    <d v="2012-04-26T00:00:00"/>
    <n v="20000"/>
    <x v="0"/>
    <d v="2012-04-26T00:00:00"/>
    <s v="Y"/>
    <s v="SURETY"/>
    <s v="GUILTY PLEA - NO JURY"/>
    <n v="118"/>
    <n v="168"/>
    <n v="1"/>
    <n v="2"/>
    <n v="1"/>
    <m/>
    <m/>
    <m/>
    <m/>
    <m/>
    <m/>
    <m/>
    <m/>
    <d v="1993-01-08T00:00:00"/>
    <s v="M"/>
    <s v="W"/>
    <s v="WHITE"/>
    <s v="NON-HISPANIC"/>
    <s v="208"/>
    <s v="CONVICTED"/>
    <n v="7"/>
    <s v="TDC"/>
    <n v="3"/>
    <m/>
    <m/>
    <s v="BURGLARY OF HABITATION"/>
    <m/>
    <s v="F2"/>
    <s v="BURGLARY"/>
    <s v="BK 6/15/12  RECAL 116 MORE DAYS"/>
    <m/>
    <s v="Y"/>
    <s v="bf 4/30/12"/>
    <m/>
    <m/>
    <m/>
    <d v="2012-08-20T00:00:00"/>
    <n v="355"/>
    <s v="Hired Attorney"/>
    <m/>
    <m/>
    <n v="118"/>
    <n v="168"/>
    <n v="168"/>
    <n v="19.254098360655739"/>
    <n v="0"/>
    <n v="-166"/>
    <s v="CONVICTION"/>
    <x v="1"/>
    <s v="N"/>
    <m/>
    <s v="CONVICTION"/>
    <s v="Y"/>
    <x v="0"/>
    <x v="0"/>
    <s v="Y"/>
    <n v="0.70238095238095233"/>
    <n v="1.1904761904761904E-2"/>
    <n v="-0.69047619047619047"/>
    <n v="0"/>
    <n v="-2"/>
    <n v="116"/>
    <n v="168"/>
    <n v="118"/>
    <n v="168"/>
    <n v="166"/>
    <m/>
    <m/>
    <s v="Y"/>
    <m/>
    <s v="91-120 DAYS"/>
    <n v="0"/>
    <x v="0"/>
  </r>
  <r>
    <n v="2565"/>
    <s v="N"/>
    <s v="N"/>
    <n v="2489994"/>
    <n v="2"/>
    <d v="2012-04-05T00:00:00"/>
    <d v="2012-07-25T00:00:00"/>
    <n v="2489994"/>
    <s v="NOT BOOKED"/>
    <s v="NOT BOOKED"/>
    <n v="2000"/>
    <x v="5"/>
    <d v="2012-04-07T00:00:00"/>
    <s v="Y"/>
    <s v="SURETY"/>
    <s v="DEFERRED ADJUDICATION "/>
    <n v="0"/>
    <n v="112"/>
    <n v="0"/>
    <n v="0"/>
    <m/>
    <m/>
    <m/>
    <m/>
    <m/>
    <m/>
    <m/>
    <m/>
    <m/>
    <d v="1992-08-12T00:00:00"/>
    <s v="M"/>
    <s v="W"/>
    <s v="WHITE"/>
    <s v="NULL"/>
    <s v="178"/>
    <s v="DEFERRED"/>
    <n v="5"/>
    <s v="DEFERRED"/>
    <m/>
    <m/>
    <m/>
    <s v="BURGLARY OF A BUILDING"/>
    <m/>
    <s v="FS"/>
    <s v="BURGLARY"/>
    <m/>
    <m/>
    <m/>
    <m/>
    <m/>
    <m/>
    <m/>
    <m/>
    <m/>
    <s v="Hired Attorney"/>
    <m/>
    <m/>
    <n v="0"/>
    <n v="0"/>
    <n v="112"/>
    <n v="19.606557377049182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498"/>
    <s v="N"/>
    <s v="N"/>
    <n v="2490823"/>
    <n v="6"/>
    <d v="2012-01-20T00:00:00"/>
    <d v="2013-04-04T00:00:00"/>
    <n v="2490823"/>
    <d v="2012-03-02T00:00:00"/>
    <d v="2013-04-04T00:00:00"/>
    <n v="120000"/>
    <x v="2"/>
    <m/>
    <s v="N"/>
    <s v="NONE"/>
    <s v="GUILTY PLEA - NO JURY"/>
    <n v="399"/>
    <n v="441"/>
    <n v="0"/>
    <n v="2"/>
    <m/>
    <m/>
    <m/>
    <m/>
    <m/>
    <m/>
    <m/>
    <m/>
    <m/>
    <d v="1990-10-25T00:00:00"/>
    <s v="M"/>
    <s v="B"/>
    <s v="BLACK"/>
    <s v="NON-HISPANIC"/>
    <s v="184"/>
    <s v="CONVICTED"/>
    <n v="13"/>
    <s v="TDC"/>
    <n v="18"/>
    <m/>
    <m/>
    <s v="AGG ROBBERY-DEADLY WPN"/>
    <m/>
    <s v="F1"/>
    <s v="ROBBERY"/>
    <m/>
    <m/>
    <m/>
    <m/>
    <m/>
    <m/>
    <m/>
    <m/>
    <m/>
    <s v="Appointed Attorney"/>
    <m/>
    <m/>
    <n v="399"/>
    <n v="399"/>
    <n v="441"/>
    <n v="21.193989071038253"/>
    <n v="0"/>
    <n v="0"/>
    <s v="CONVICTION"/>
    <x v="0"/>
    <s v="N"/>
    <m/>
    <s v="CONVICTION"/>
    <s v="Y"/>
    <x v="0"/>
    <x v="0"/>
    <s v="N"/>
    <n v="0.90476190476190477"/>
    <n v="1"/>
    <n v="9.5238095238095233E-2"/>
    <n v="0"/>
    <n v="-399"/>
    <n v="0"/>
    <n v="399"/>
    <e v="#VALUE!"/>
    <n v="399"/>
    <n v="0"/>
    <m/>
    <m/>
    <s v="Y"/>
    <m/>
    <s v=" &gt;1YRS&lt;2YRS"/>
    <n v="0"/>
    <x v="0"/>
  </r>
  <r>
    <n v="316"/>
    <s v="N"/>
    <s v="N"/>
    <n v="2490837"/>
    <n v="6"/>
    <d v="2012-01-13T00:00:00"/>
    <d v="2013-07-11T00:00:00"/>
    <n v="2490837"/>
    <d v="2012-01-13T00:00:00"/>
    <d v="2013-07-11T00:00:00"/>
    <n v="250000"/>
    <x v="2"/>
    <m/>
    <s v="N"/>
    <s v="NONE"/>
    <s v="GUILTY PLEA - NO JURY"/>
    <n v="546"/>
    <n v="546"/>
    <n v="0"/>
    <n v="2"/>
    <m/>
    <m/>
    <m/>
    <m/>
    <m/>
    <m/>
    <m/>
    <m/>
    <m/>
    <d v="1993-03-01T00:00:00"/>
    <s v="M"/>
    <s v="B"/>
    <s v="BLACK"/>
    <s v="NON-HISPANIC"/>
    <s v="183"/>
    <s v="CONVICTED"/>
    <n v="20"/>
    <s v="TDC"/>
    <n v="10"/>
    <m/>
    <m/>
    <s v="AGG ROBBERY-DEADLY WPN"/>
    <m/>
    <s v="F1"/>
    <s v="ROBBERY"/>
    <m/>
    <m/>
    <m/>
    <m/>
    <m/>
    <m/>
    <m/>
    <m/>
    <m/>
    <s v="Appointed Attorney"/>
    <m/>
    <m/>
    <n v="546"/>
    <n v="546"/>
    <n v="546"/>
    <n v="18.830601092896174"/>
    <n v="0"/>
    <n v="0"/>
    <s v="CONVICTION"/>
    <x v="0"/>
    <s v="N"/>
    <m/>
    <s v="CONVICTION"/>
    <s v="Y"/>
    <x v="0"/>
    <x v="0"/>
    <s v="N"/>
    <n v="1"/>
    <n v="1"/>
    <n v="0"/>
    <n v="0"/>
    <n v="-546"/>
    <n v="0"/>
    <n v="546"/>
    <e v="#VALUE!"/>
    <n v="546"/>
    <n v="0"/>
    <m/>
    <m/>
    <s v="Y"/>
    <m/>
    <s v=" &gt;1YRS&lt;2YRS"/>
    <n v="0"/>
    <x v="0"/>
  </r>
  <r>
    <n v="1435"/>
    <s v="N"/>
    <s v="N"/>
    <n v="2490960"/>
    <n v="2"/>
    <d v="2012-02-22T00:00:00"/>
    <d v="2012-04-26T00:00:00"/>
    <n v="2490960"/>
    <d v="2012-02-23T00:00:00"/>
    <d v="2012-02-24T00:00:00"/>
    <n v="2000"/>
    <x v="5"/>
    <d v="2012-02-24T00:00:00"/>
    <s v="Y"/>
    <s v="SURETYPTRc"/>
    <s v="DEFERRED ADJUDICATION "/>
    <n v="2"/>
    <n v="65"/>
    <n v="0"/>
    <n v="1"/>
    <m/>
    <m/>
    <m/>
    <m/>
    <m/>
    <m/>
    <m/>
    <s v="S"/>
    <m/>
    <d v="1989-09-09T00:00:00"/>
    <s v="M"/>
    <s v="H"/>
    <s v="HISPANIC"/>
    <s v="NULL"/>
    <s v="185"/>
    <s v="DEFERRED"/>
    <n v="4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64"/>
    <n v="65"/>
    <n v="22.407103825136613"/>
    <n v="0"/>
    <n v="-62"/>
    <s v="DEFERRED"/>
    <x v="1"/>
    <s v="Y"/>
    <m/>
    <s v="DEFERRED"/>
    <s v="Y"/>
    <x v="1"/>
    <x v="0"/>
    <s v="N"/>
    <n v="3.0769230769230771E-2"/>
    <n v="3.125E-2"/>
    <n v="4.8076923076922906E-4"/>
    <n v="0"/>
    <n v="-2"/>
    <n v="0"/>
    <n v="2"/>
    <e v="#VALUE!"/>
    <n v="2"/>
    <n v="0"/>
    <m/>
    <m/>
    <s v="Y"/>
    <m/>
    <s v="0-10 DAYS"/>
    <n v="1"/>
    <x v="0"/>
  </r>
  <r>
    <n v="810"/>
    <s v="N"/>
    <s v="N"/>
    <n v="2491046"/>
    <n v="5"/>
    <d v="2012-02-01T00:00:00"/>
    <d v="2012-03-13T00:00:00"/>
    <n v="2491046"/>
    <d v="2012-02-01T00:00:00"/>
    <d v="2012-03-13T00:00:00"/>
    <s v="NO BOND"/>
    <x v="1"/>
    <m/>
    <s v="N"/>
    <s v="NONE"/>
    <s v="GUILTY PLEA - NO JURY"/>
    <n v="42"/>
    <n v="42"/>
    <n v="0"/>
    <n v="1"/>
    <m/>
    <m/>
    <m/>
    <m/>
    <m/>
    <m/>
    <m/>
    <m/>
    <m/>
    <d v="1984-01-07T00:00:00"/>
    <s v="M"/>
    <s v="B"/>
    <s v="BLACK"/>
    <s v="NULL"/>
    <s v="248"/>
    <s v="CONVICTED"/>
    <n v="3"/>
    <s v="STJ"/>
    <m/>
    <n v="6"/>
    <m/>
    <s v="POSS CS PG 1 &lt;1G"/>
    <m/>
    <s v="FS"/>
    <s v="POSS DRUG"/>
    <m/>
    <m/>
    <m/>
    <m/>
    <m/>
    <m/>
    <m/>
    <m/>
    <m/>
    <s v="Appointed Attorney"/>
    <m/>
    <m/>
    <n v="42"/>
    <n v="42"/>
    <n v="42"/>
    <n v="28.010928961748633"/>
    <n v="0"/>
    <n v="0"/>
    <s v="CONVICTION"/>
    <x v="0"/>
    <s v="N"/>
    <m/>
    <s v="CONVICTION"/>
    <s v="Y"/>
    <x v="0"/>
    <x v="0"/>
    <s v="N"/>
    <n v="1"/>
    <n v="1"/>
    <n v="0"/>
    <n v="0"/>
    <n v="-42"/>
    <n v="0"/>
    <n v="42"/>
    <e v="#VALUE!"/>
    <n v="42"/>
    <n v="0"/>
    <m/>
    <m/>
    <s v="Y"/>
    <m/>
    <s v="31-60 DAYS"/>
    <n v="3"/>
    <x v="0"/>
  </r>
  <r>
    <n v="644"/>
    <s v="N"/>
    <s v="N"/>
    <n v="2491250"/>
    <n v="6"/>
    <d v="2012-01-26T00:00:00"/>
    <d v="2012-04-25T00:00:00"/>
    <n v="2491250"/>
    <d v="2012-01-27T00:00:00"/>
    <d v="2012-04-25T00:00:00"/>
    <n v="30000"/>
    <x v="2"/>
    <m/>
    <s v="N"/>
    <s v="NONE"/>
    <s v="GUILTY PLEA - NO JURY"/>
    <n v="90"/>
    <n v="91"/>
    <n v="0"/>
    <n v="1"/>
    <m/>
    <m/>
    <m/>
    <m/>
    <m/>
    <m/>
    <m/>
    <s v="S"/>
    <m/>
    <d v="1992-12-18T00:00:00"/>
    <s v="M"/>
    <s v="H"/>
    <s v="HISPANIC"/>
    <s v="NULL"/>
    <s v="351"/>
    <s v="CONVICTED"/>
    <n v="5"/>
    <s v="TDC"/>
    <n v="1"/>
    <m/>
    <m/>
    <s v="theft from person"/>
    <m/>
    <s v="FS"/>
    <s v="THEFT"/>
    <m/>
    <m/>
    <m/>
    <m/>
    <m/>
    <m/>
    <m/>
    <m/>
    <m/>
    <s v="Appointed Attorney"/>
    <m/>
    <m/>
    <n v="90"/>
    <n v="90"/>
    <n v="91"/>
    <n v="19.065573770491802"/>
    <n v="0"/>
    <n v="0"/>
    <s v="CONVICTION"/>
    <x v="0"/>
    <s v="N"/>
    <m/>
    <s v="CONVICTION"/>
    <s v="Y"/>
    <x v="0"/>
    <x v="0"/>
    <s v="N"/>
    <n v="0.98901098901098905"/>
    <n v="1"/>
    <n v="1.098901098901095E-2"/>
    <n v="0"/>
    <n v="-90"/>
    <n v="0"/>
    <n v="90"/>
    <e v="#VALUE!"/>
    <n v="90"/>
    <n v="0"/>
    <m/>
    <m/>
    <s v="Y"/>
    <m/>
    <s v="61-90 DAYS"/>
    <n v="4"/>
    <x v="0"/>
  </r>
  <r>
    <n v="945"/>
    <s v="N"/>
    <s v="N"/>
    <n v="2491714"/>
    <n v="6"/>
    <d v="2012-02-04T00:00:00"/>
    <d v="2012-04-17T00:00:00"/>
    <n v="2491714"/>
    <d v="2012-02-05T00:00:00"/>
    <d v="2012-04-17T00:00:00"/>
    <n v="15000"/>
    <x v="0"/>
    <m/>
    <s v="N"/>
    <s v="NONE"/>
    <s v="GUILTY PLEA - NO JURY"/>
    <n v="73"/>
    <n v="74"/>
    <n v="1"/>
    <n v="1"/>
    <n v="1"/>
    <m/>
    <m/>
    <m/>
    <m/>
    <m/>
    <m/>
    <m/>
    <m/>
    <d v="1993-02-01T00:00:00"/>
    <s v="M"/>
    <s v="B"/>
    <s v="BLACK"/>
    <s v="NON-HISPANIC"/>
    <s v="351"/>
    <s v="CONVICTED"/>
    <n v="4"/>
    <s v="TDC"/>
    <n v="1"/>
    <m/>
    <m/>
    <s v="BURGLARY OF A BUILDING"/>
    <m/>
    <s v="FS"/>
    <s v="BURGLARY"/>
    <m/>
    <m/>
    <m/>
    <m/>
    <m/>
    <m/>
    <m/>
    <m/>
    <m/>
    <s v="Appointed Attorney"/>
    <m/>
    <m/>
    <n v="73"/>
    <n v="73"/>
    <n v="74"/>
    <n v="18.967213114754099"/>
    <n v="0"/>
    <n v="0"/>
    <s v="CONVICTION"/>
    <x v="0"/>
    <s v="N"/>
    <m/>
    <s v="CONVICTION"/>
    <s v="Y"/>
    <x v="0"/>
    <x v="0"/>
    <s v="Y"/>
    <n v="0.98648648648648651"/>
    <n v="1"/>
    <n v="1.3513513513513487E-2"/>
    <n v="0"/>
    <n v="-73"/>
    <n v="0"/>
    <n v="73"/>
    <e v="#VALUE!"/>
    <n v="73"/>
    <n v="0"/>
    <m/>
    <m/>
    <s v="Y"/>
    <m/>
    <s v="61-90 DAYS"/>
    <n v="4"/>
    <x v="0"/>
  </r>
  <r>
    <n v="1906"/>
    <s v="N"/>
    <s v="N"/>
    <n v="2492333"/>
    <n v="1"/>
    <d v="2012-03-11T00:00:00"/>
    <d v="2012-03-13T00:00:00"/>
    <n v="2492333"/>
    <s v="NOT BOOKED"/>
    <s v="NOT BOOKED"/>
    <n v="2000"/>
    <x v="5"/>
    <m/>
    <s v="NO BOND MADE - NON ARREST"/>
    <s v="NONE"/>
    <s v="DISMISSED"/>
    <n v="0"/>
    <n v="3"/>
    <n v="1"/>
    <n v="1"/>
    <m/>
    <m/>
    <m/>
    <m/>
    <m/>
    <m/>
    <m/>
    <m/>
    <m/>
    <d v="1989-09-22T00:00:00"/>
    <s v="M"/>
    <s v="B"/>
    <s v="BLACK"/>
    <s v="NULL"/>
    <s v="209"/>
    <s v="DISMISSED"/>
    <n v="1"/>
    <s v="DISMISSED"/>
    <m/>
    <m/>
    <m/>
    <s v="CRIM MISCH &gt;=$1500 &lt;$20K"/>
    <m/>
    <s v="FS"/>
    <s v="OTHER FEL"/>
    <m/>
    <m/>
    <m/>
    <m/>
    <m/>
    <m/>
    <m/>
    <m/>
    <m/>
    <s v="Other/Unknown"/>
    <m/>
    <m/>
    <n v="0"/>
    <n v="0"/>
    <n v="3"/>
    <n v="22.420765027322403"/>
    <e v="#VALUE!"/>
    <e v="#VALUE!"/>
    <s v="NO CONVICTION"/>
    <x v="0"/>
    <s v="N"/>
    <m/>
    <s v="NO CONVICTION"/>
    <n v="0"/>
    <x v="2"/>
    <x v="0"/>
    <s v="Y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1918"/>
    <s v="N"/>
    <s v="N"/>
    <n v="2492417"/>
    <n v="1"/>
    <d v="2012-03-12T00:00:00"/>
    <d v="2012-03-14T00:00:00"/>
    <n v="2492417"/>
    <d v="2012-03-12T00:00:00"/>
    <d v="2012-03-13T00:00:00"/>
    <n v="5000"/>
    <x v="4"/>
    <d v="2012-03-13T00:00:00"/>
    <s v="Y"/>
    <s v="SURETY"/>
    <s v="DISMISSED"/>
    <n v="2"/>
    <n v="3"/>
    <n v="0"/>
    <n v="3"/>
    <m/>
    <m/>
    <m/>
    <m/>
    <m/>
    <m/>
    <m/>
    <m/>
    <m/>
    <d v="1993-04-08T00:00:00"/>
    <s v="M"/>
    <s v="B"/>
    <s v="BLACK"/>
    <s v="NULL"/>
    <s v="174"/>
    <s v="DISMISSED"/>
    <n v="1"/>
    <s v="DISMISSED"/>
    <m/>
    <m/>
    <m/>
    <s v="POSS CS PG 1  1 - 4 GRAMS"/>
    <m/>
    <s v="F3"/>
    <s v="POSS DRUG"/>
    <m/>
    <m/>
    <m/>
    <m/>
    <m/>
    <m/>
    <m/>
    <m/>
    <m/>
    <s v="Hired Attorney"/>
    <m/>
    <m/>
    <n v="2"/>
    <n v="3"/>
    <n v="3"/>
    <n v="18.887978142076502"/>
    <n v="0"/>
    <n v="-1"/>
    <s v="NO CONVICTION"/>
    <x v="1"/>
    <s v="Y"/>
    <m/>
    <s v="NO CONVICTION"/>
    <s v="Y"/>
    <x v="1"/>
    <x v="0"/>
    <s v="N"/>
    <n v="0.66666666666666663"/>
    <n v="0.66666666666666663"/>
    <n v="0"/>
    <n v="0"/>
    <n v="-2"/>
    <n v="0"/>
    <n v="2"/>
    <e v="#VALUE!"/>
    <n v="2"/>
    <n v="0"/>
    <m/>
    <m/>
    <s v="Y"/>
    <m/>
    <s v="0-10 DAYS"/>
    <n v="1"/>
    <x v="0"/>
  </r>
  <r>
    <n v="1239"/>
    <s v="N"/>
    <s v="N"/>
    <n v="2492778"/>
    <n v="2"/>
    <d v="2012-02-15T00:00:00"/>
    <d v="2012-02-16T00:00:00"/>
    <n v="2492778"/>
    <d v="2012-02-15T00:00:00"/>
    <d v="2012-02-16T00:00:00"/>
    <n v="2000"/>
    <x v="5"/>
    <m/>
    <s v="N"/>
    <s v="NONE"/>
    <s v="DEFERRED ADJUDICATION "/>
    <n v="2"/>
    <n v="2"/>
    <n v="0"/>
    <n v="1"/>
    <m/>
    <m/>
    <m/>
    <m/>
    <m/>
    <m/>
    <m/>
    <m/>
    <m/>
    <d v="1993-04-07T00:00:00"/>
    <s v="F"/>
    <s v="W"/>
    <s v="WHITE"/>
    <s v="NON-HISPANIC"/>
    <s v="174"/>
    <s v="DEFERRED"/>
    <n v="1"/>
    <s v="DEFERRED"/>
    <m/>
    <m/>
    <m/>
    <s v="POSS CS PG 1 &lt;1G"/>
    <m/>
    <s v="FS"/>
    <s v="POSS DRUG"/>
    <s v="law  vio 3/23/12 revoke  stj 8 mos "/>
    <s v="rev motion pend"/>
    <m/>
    <m/>
    <m/>
    <m/>
    <m/>
    <m/>
    <m/>
    <s v="Hired Attorney"/>
    <m/>
    <m/>
    <n v="2"/>
    <n v="2"/>
    <n v="2"/>
    <n v="18.819672131147541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1674"/>
    <s v="N"/>
    <s v="N"/>
    <n v="2492976"/>
    <n v="1"/>
    <d v="2012-03-02T00:00:00"/>
    <d v="2012-06-29T00:00:00"/>
    <n v="2492976"/>
    <d v="2012-03-03T00:00:00"/>
    <d v="2012-03-04T00:00:00"/>
    <n v="5000"/>
    <x v="4"/>
    <d v="2012-03-04T00:00:00"/>
    <s v="Y"/>
    <s v="SURETY"/>
    <s v="NO BILL"/>
    <n v="2"/>
    <n v="120"/>
    <n v="0"/>
    <n v="0"/>
    <m/>
    <m/>
    <m/>
    <m/>
    <m/>
    <m/>
    <m/>
    <m/>
    <m/>
    <d v="1985-01-27T00:00:00"/>
    <s v="M"/>
    <s v="W"/>
    <s v="WHITE"/>
    <s v="NON-HISPANIC"/>
    <s v="179"/>
    <s v="NO BILL"/>
    <n v="6"/>
    <s v="NO BILL"/>
    <m/>
    <m/>
    <m/>
    <s v="POSS CS PG 1  1 - 4 GRAMS"/>
    <m/>
    <s v="F3"/>
    <s v="POSS DRUG"/>
    <m/>
    <m/>
    <m/>
    <m/>
    <m/>
    <m/>
    <m/>
    <m/>
    <m/>
    <s v="Hired Attorney"/>
    <m/>
    <m/>
    <n v="2"/>
    <n v="119"/>
    <n v="120"/>
    <n v="27.038251366120218"/>
    <n v="0"/>
    <n v="-117"/>
    <s v="NO CONVICTION"/>
    <x v="1"/>
    <s v="Y"/>
    <m/>
    <s v="NO CONVICTION"/>
    <s v="Y"/>
    <x v="1"/>
    <x v="0"/>
    <s v="N"/>
    <n v="1.6666666666666666E-2"/>
    <n v="1.680672268907563E-2"/>
    <n v="1.4005602240896309E-4"/>
    <n v="0"/>
    <n v="-2"/>
    <n v="0"/>
    <n v="2"/>
    <e v="#VALUE!"/>
    <n v="2"/>
    <n v="0"/>
    <m/>
    <m/>
    <s v="N"/>
    <m/>
    <s v="0-10 DAYS"/>
    <n v="1"/>
    <x v="0"/>
  </r>
  <r>
    <n v="1241"/>
    <s v="N"/>
    <s v="N"/>
    <n v="2493029"/>
    <n v="5"/>
    <d v="2012-02-15T00:00:00"/>
    <d v="2012-06-01T00:00:00"/>
    <n v="2493029"/>
    <d v="2012-02-15T00:00:00"/>
    <d v="2012-02-16T00:00:00"/>
    <n v="2000"/>
    <x v="5"/>
    <d v="2012-02-16T00:00:00"/>
    <s v="Y"/>
    <s v="SURETY"/>
    <s v="GUILTY PLEA - NO JURY"/>
    <n v="2"/>
    <n v="108"/>
    <n v="0"/>
    <n v="1"/>
    <m/>
    <m/>
    <m/>
    <m/>
    <m/>
    <m/>
    <m/>
    <m/>
    <m/>
    <d v="1990-04-23T00:00:00"/>
    <s v="M"/>
    <s v="H"/>
    <s v="HISPANIC"/>
    <s v="HISPANIC"/>
    <s v="176"/>
    <s v="CONVICTED"/>
    <n v="4"/>
    <s v="STJ"/>
    <m/>
    <n v="6"/>
    <m/>
    <s v="POSS MARIJ  4 OZ. - 5 LBS."/>
    <m/>
    <s v="FS"/>
    <s v="POSS DRUG"/>
    <m/>
    <m/>
    <m/>
    <m/>
    <m/>
    <m/>
    <m/>
    <m/>
    <m/>
    <s v="Hired Attorney"/>
    <m/>
    <m/>
    <n v="2"/>
    <n v="108"/>
    <n v="108"/>
    <n v="21.770491803278688"/>
    <n v="0"/>
    <n v="-106"/>
    <s v="CONVICTION"/>
    <x v="1"/>
    <s v="Y"/>
    <m/>
    <s v="CONVICTION"/>
    <s v="Y"/>
    <x v="1"/>
    <x v="0"/>
    <s v="N"/>
    <n v="1.8518518518518517E-2"/>
    <n v="1.8518518518518517E-2"/>
    <n v="0"/>
    <n v="0"/>
    <n v="-2"/>
    <n v="0"/>
    <n v="2"/>
    <e v="#VALUE!"/>
    <n v="2"/>
    <n v="0"/>
    <m/>
    <m/>
    <s v="Y"/>
    <m/>
    <s v="0-10 DAYS"/>
    <n v="1"/>
    <x v="0"/>
  </r>
  <r>
    <n v="2504"/>
    <s v="N"/>
    <s v="N"/>
    <n v="2493521"/>
    <n v="4"/>
    <d v="2012-04-04T00:00:00"/>
    <d v="2012-11-02T00:00:00"/>
    <n v="2493521"/>
    <d v="2012-04-04T00:00:00"/>
    <d v="2012-04-10T00:00:00"/>
    <n v="5000"/>
    <x v="4"/>
    <d v="2012-04-10T00:00:00"/>
    <s v="Y"/>
    <s v="SURETY"/>
    <s v="GUILTY PLEA - NO JURY"/>
    <n v="7"/>
    <n v="213"/>
    <n v="0"/>
    <n v="0"/>
    <m/>
    <m/>
    <m/>
    <m/>
    <m/>
    <m/>
    <m/>
    <m/>
    <m/>
    <d v="1992-03-07T00:00:00"/>
    <s v="M"/>
    <s v="B"/>
    <s v="BLACK"/>
    <s v="NULL"/>
    <s v="263"/>
    <s v="CONVICTED"/>
    <n v="12"/>
    <s v="HCJ"/>
    <m/>
    <m/>
    <n v="22"/>
    <s v="RETALIATION"/>
    <m/>
    <s v="F3"/>
    <s v="OTHER FEL"/>
    <m/>
    <m/>
    <m/>
    <m/>
    <m/>
    <m/>
    <m/>
    <m/>
    <m/>
    <s v="Appointed Attorney"/>
    <m/>
    <m/>
    <n v="7"/>
    <n v="213"/>
    <n v="213"/>
    <n v="20.035519125683059"/>
    <n v="0"/>
    <n v="-206"/>
    <s v="CONVICTION"/>
    <x v="1"/>
    <s v="Y"/>
    <m/>
    <s v="CONVICTION"/>
    <s v="Y"/>
    <x v="1"/>
    <x v="0"/>
    <s v="N"/>
    <n v="3.2863849765258218E-2"/>
    <n v="3.2863849765258218E-2"/>
    <n v="0"/>
    <n v="0"/>
    <n v="-7"/>
    <n v="0"/>
    <n v="7"/>
    <e v="#VALUE!"/>
    <n v="7"/>
    <n v="0"/>
    <m/>
    <m/>
    <s v="N"/>
    <m/>
    <s v="0-10 DAYS"/>
    <n v="1"/>
    <x v="0"/>
  </r>
  <r>
    <n v="2323"/>
    <s v="N"/>
    <s v="N"/>
    <n v="2494862"/>
    <n v="5"/>
    <d v="2012-03-28T00:00:00"/>
    <d v="2012-04-16T00:00:00"/>
    <n v="2494862"/>
    <d v="2012-03-29T00:00:00"/>
    <d v="2012-04-16T00:00:00"/>
    <s v="NO BOND"/>
    <x v="1"/>
    <m/>
    <s v="N"/>
    <s v="NONE"/>
    <s v="GUILTY PLEA - NO JURY"/>
    <n v="19"/>
    <n v="20"/>
    <n v="0"/>
    <n v="1"/>
    <m/>
    <m/>
    <m/>
    <m/>
    <m/>
    <m/>
    <m/>
    <m/>
    <m/>
    <d v="1992-08-03T00:00:00"/>
    <s v="M"/>
    <s v="W"/>
    <s v="WHITE"/>
    <s v="NULL"/>
    <s v="184"/>
    <s v="CONVICTED"/>
    <n v="4"/>
    <s v="STJ"/>
    <m/>
    <n v="10"/>
    <m/>
    <s v="THEFT $1500-20K"/>
    <m/>
    <s v="FS"/>
    <s v="THEFT"/>
    <m/>
    <m/>
    <m/>
    <m/>
    <m/>
    <m/>
    <m/>
    <m/>
    <m/>
    <s v="Appointed Attorney"/>
    <m/>
    <m/>
    <n v="19"/>
    <n v="19"/>
    <n v="20"/>
    <n v="19.60928961748634"/>
    <n v="0"/>
    <n v="0"/>
    <s v="CONVICTION"/>
    <x v="0"/>
    <s v="N"/>
    <m/>
    <s v="CONVICTION"/>
    <s v="Y"/>
    <x v="0"/>
    <x v="0"/>
    <s v="N"/>
    <n v="0.95"/>
    <n v="1"/>
    <n v="5.0000000000000044E-2"/>
    <n v="0"/>
    <n v="-19"/>
    <n v="0"/>
    <n v="19"/>
    <e v="#VALUE!"/>
    <n v="19"/>
    <n v="0"/>
    <m/>
    <m/>
    <s v="Y"/>
    <m/>
    <s v="11-30 DAYS"/>
    <n v="2"/>
    <x v="0"/>
  </r>
  <r>
    <n v="2864"/>
    <s v="N"/>
    <s v="N"/>
    <n v="2495402"/>
    <n v="2"/>
    <d v="2012-04-15T00:00:00"/>
    <d v="2012-07-13T00:00:00"/>
    <n v="2495402"/>
    <d v="2012-04-16T00:00:00"/>
    <d v="2012-04-17T00:00:00"/>
    <n v="5000"/>
    <x v="4"/>
    <d v="2012-04-17T00:00:00"/>
    <s v="Y"/>
    <s v="SURETY"/>
    <s v="DEFERRED ADJUDICATION "/>
    <n v="2"/>
    <n v="90"/>
    <n v="0"/>
    <n v="1"/>
    <m/>
    <m/>
    <m/>
    <m/>
    <m/>
    <m/>
    <m/>
    <m/>
    <m/>
    <d v="1992-07-16T00:00:00"/>
    <s v="M"/>
    <s v="B"/>
    <s v="BLACK"/>
    <s v="NULL"/>
    <s v="263"/>
    <s v="DEFERRED"/>
    <n v="5"/>
    <s v="DEFERRED"/>
    <m/>
    <m/>
    <m/>
    <s v="POSS CS PG 1  1 - 4 GRAMS"/>
    <m/>
    <s v="F3"/>
    <s v="POSS DRUG"/>
    <s v="LAWV 9/17/12  misd evade pend amend fel cop"/>
    <m/>
    <m/>
    <m/>
    <m/>
    <m/>
    <m/>
    <m/>
    <m/>
    <s v="Hired Attorney"/>
    <m/>
    <m/>
    <n v="2"/>
    <n v="89"/>
    <n v="90"/>
    <n v="19.707650273224044"/>
    <n v="0"/>
    <n v="-87"/>
    <s v="DEFERRED"/>
    <x v="1"/>
    <s v="Y"/>
    <m/>
    <s v="DEFERRED"/>
    <s v="Y"/>
    <x v="1"/>
    <x v="0"/>
    <s v="N"/>
    <n v="2.2222222222222223E-2"/>
    <n v="2.247191011235955E-2"/>
    <n v="2.4968789013732687E-4"/>
    <n v="0"/>
    <n v="-2"/>
    <n v="0"/>
    <n v="2"/>
    <e v="#VALUE!"/>
    <n v="2"/>
    <n v="0"/>
    <m/>
    <m/>
    <s v="Y"/>
    <m/>
    <s v="0-10 DAYS"/>
    <n v="1"/>
    <x v="0"/>
  </r>
  <r>
    <n v="1499"/>
    <s v="N"/>
    <s v="N"/>
    <n v="2496956"/>
    <n v="2"/>
    <d v="2012-02-25T00:00:00"/>
    <d v="2012-04-04T00:00:00"/>
    <n v="2496956"/>
    <d v="2012-02-25T00:00:00"/>
    <d v="2012-04-04T00:00:00"/>
    <n v="15000"/>
    <x v="0"/>
    <m/>
    <s v="N"/>
    <s v="NONE"/>
    <s v="DEFERRED ADJUDICATION "/>
    <n v="40"/>
    <n v="40"/>
    <n v="1"/>
    <n v="3"/>
    <m/>
    <m/>
    <m/>
    <m/>
    <m/>
    <m/>
    <m/>
    <s v="S"/>
    <m/>
    <d v="1992-07-28T00:00:00"/>
    <s v="M"/>
    <s v="H"/>
    <s v="HISPANIC"/>
    <s v="NULL"/>
    <s v="339"/>
    <s v="DEFERRED"/>
    <n v="3"/>
    <s v="DEFERRED"/>
    <m/>
    <m/>
    <m/>
    <s v="POSS CS PG 1  1 - 4 GRAMS"/>
    <m/>
    <s v="F3"/>
    <s v="POSS DRUG"/>
    <m/>
    <m/>
    <m/>
    <m/>
    <m/>
    <m/>
    <m/>
    <m/>
    <m/>
    <s v="Public Defender"/>
    <m/>
    <m/>
    <n v="40"/>
    <n v="40"/>
    <n v="40"/>
    <n v="19.538251366120218"/>
    <n v="0"/>
    <n v="0"/>
    <s v="DEFERRED"/>
    <x v="0"/>
    <s v="N"/>
    <m/>
    <s v="DEFERRED"/>
    <s v="Y"/>
    <x v="0"/>
    <x v="0"/>
    <s v="Y"/>
    <n v="1"/>
    <n v="1"/>
    <n v="0"/>
    <n v="0"/>
    <n v="-40"/>
    <n v="0"/>
    <n v="40"/>
    <e v="#VALUE!"/>
    <n v="40"/>
    <n v="0"/>
    <m/>
    <m/>
    <s v="Y"/>
    <m/>
    <s v="31-60 DAYS"/>
    <n v="3"/>
    <x v="0"/>
  </r>
  <r>
    <n v="322"/>
    <s v="N"/>
    <s v="N"/>
    <n v="2497766"/>
    <n v="1"/>
    <d v="2012-01-13T00:00:00"/>
    <d v="2012-04-12T00:00:00"/>
    <n v="2497766"/>
    <d v="2012-01-17T00:00:00"/>
    <d v="2012-01-17T00:00:00"/>
    <n v="30000"/>
    <x v="2"/>
    <d v="2012-01-17T00:00:00"/>
    <s v="Y"/>
    <s v="SURETY"/>
    <s v="NO BILL"/>
    <n v="1"/>
    <n v="91"/>
    <n v="0"/>
    <n v="0"/>
    <m/>
    <m/>
    <m/>
    <m/>
    <m/>
    <m/>
    <m/>
    <m/>
    <m/>
    <d v="1984-04-09T00:00:00"/>
    <s v="F"/>
    <s v="H"/>
    <s v="HISPANIC"/>
    <s v="HISPANIC"/>
    <s v="208"/>
    <s v="NO BILL"/>
    <n v="5"/>
    <s v="NO BILL"/>
    <m/>
    <m/>
    <m/>
    <s v="AGG SEX ASSLT CHILD-UNDER 14"/>
    <m/>
    <s v="F1"/>
    <s v="SEX ABUSE"/>
    <m/>
    <m/>
    <m/>
    <m/>
    <m/>
    <m/>
    <m/>
    <m/>
    <m/>
    <s v="Hired Attorney"/>
    <m/>
    <m/>
    <n v="1"/>
    <n v="87"/>
    <n v="91"/>
    <n v="27.704918032786885"/>
    <n v="0"/>
    <n v="-86"/>
    <s v="NO CONVICTION"/>
    <x v="1"/>
    <s v="Y"/>
    <m/>
    <s v="NO CONVICTION"/>
    <s v="Y"/>
    <x v="1"/>
    <x v="0"/>
    <s v="N"/>
    <n v="1.098901098901099E-2"/>
    <n v="1.1494252873563218E-2"/>
    <n v="5.0524188455222836E-4"/>
    <n v="0"/>
    <n v="-1"/>
    <n v="0"/>
    <n v="1"/>
    <e v="#VALUE!"/>
    <n v="1"/>
    <n v="0"/>
    <m/>
    <m/>
    <s v="N"/>
    <m/>
    <s v="0-10 DAYS"/>
    <n v="1"/>
    <x v="0"/>
  </r>
  <r>
    <n v="423"/>
    <s v="N"/>
    <s v="N"/>
    <n v="2498048"/>
    <n v="2"/>
    <d v="2012-01-18T00:00:00"/>
    <d v="2013-02-15T00:00:00"/>
    <n v="2498048"/>
    <s v="NOT BOOKED"/>
    <s v="NOT BOOKED"/>
    <n v="30000"/>
    <x v="2"/>
    <d v="2012-01-22T00:00:00"/>
    <s v="Y"/>
    <s v="SURETY"/>
    <s v="DEFERRED ADJUDICATION "/>
    <n v="0"/>
    <n v="395"/>
    <n v="0"/>
    <n v="0"/>
    <m/>
    <m/>
    <m/>
    <m/>
    <m/>
    <m/>
    <m/>
    <m/>
    <m/>
    <d v="1988-12-21T00:00:00"/>
    <s v="M"/>
    <s v="B"/>
    <s v="BLACK"/>
    <s v="NULL"/>
    <s v="338"/>
    <s v="DEFERRED"/>
    <n v="17"/>
    <s v="DEFERRED"/>
    <m/>
    <m/>
    <m/>
    <s v="AGG SEX ASSLT CHILD-UNDER 14"/>
    <m/>
    <s v="F1"/>
    <s v="SEX ABUSE"/>
    <m/>
    <m/>
    <m/>
    <m/>
    <m/>
    <m/>
    <m/>
    <m/>
    <m/>
    <s v="Hired Attorney"/>
    <m/>
    <m/>
    <n v="0"/>
    <n v="0"/>
    <n v="395"/>
    <n v="23.027322404371585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942"/>
    <s v="N"/>
    <s v="N"/>
    <n v="2498424"/>
    <n v="1"/>
    <d v="2012-02-04T00:00:00"/>
    <d v="2013-04-18T00:00:00"/>
    <n v="2498424"/>
    <d v="2012-02-04T00:00:00"/>
    <d v="2012-12-08T00:00:00"/>
    <n v="30000"/>
    <x v="2"/>
    <d v="2012-12-08T00:00:00"/>
    <s v="Y"/>
    <s v="SURETY"/>
    <s v="DISMISSED"/>
    <n v="309"/>
    <n v="440"/>
    <n v="2"/>
    <n v="1"/>
    <n v="1"/>
    <m/>
    <m/>
    <m/>
    <m/>
    <m/>
    <m/>
    <m/>
    <m/>
    <d v="1993-03-25T00:00:00"/>
    <s v="M"/>
    <s v="B"/>
    <s v="BLACK"/>
    <s v="NULL"/>
    <s v="209"/>
    <s v="DISMISSED"/>
    <n v="11"/>
    <s v="DISMISSED"/>
    <m/>
    <m/>
    <m/>
    <s v="AGG ROBBERY-DEADLY WPN"/>
    <m/>
    <s v="F1"/>
    <s v="ROBBERY"/>
    <m/>
    <m/>
    <m/>
    <m/>
    <m/>
    <m/>
    <m/>
    <m/>
    <m/>
    <s v="Appointed Attorney"/>
    <m/>
    <m/>
    <n v="309"/>
    <n v="440"/>
    <n v="440"/>
    <n v="18.825136612021858"/>
    <n v="0"/>
    <n v="-131"/>
    <s v="NO CONVICTION"/>
    <x v="1"/>
    <s v="Y"/>
    <m/>
    <s v="NO CONVICTION"/>
    <s v="Y"/>
    <x v="1"/>
    <x v="0"/>
    <s v="Y"/>
    <n v="0.70227272727272727"/>
    <n v="0.70227272727272727"/>
    <n v="0"/>
    <n v="0"/>
    <n v="-309"/>
    <n v="0"/>
    <n v="309"/>
    <e v="#VALUE!"/>
    <n v="309"/>
    <n v="0"/>
    <m/>
    <m/>
    <s v="Y"/>
    <m/>
    <s v="121-365 DAYS"/>
    <n v="6"/>
    <x v="0"/>
  </r>
  <r>
    <n v="2519"/>
    <s v="N"/>
    <s v="N"/>
    <n v="2498614"/>
    <n v="2"/>
    <d v="2012-04-04T00:00:00"/>
    <d v="2012-04-10T00:00:00"/>
    <n v="2498614"/>
    <d v="2012-04-05T00:00:00"/>
    <d v="2012-04-10T00:00:00"/>
    <n v="2000"/>
    <x v="5"/>
    <m/>
    <s v="N"/>
    <s v="NONE"/>
    <s v="DEFERRED ADJUDICATION "/>
    <n v="6"/>
    <n v="7"/>
    <n v="0"/>
    <n v="1"/>
    <m/>
    <m/>
    <m/>
    <m/>
    <m/>
    <m/>
    <m/>
    <m/>
    <m/>
    <d v="1992-07-17T00:00:00"/>
    <s v="M"/>
    <s v="B"/>
    <s v="BLACK"/>
    <s v="NULL"/>
    <s v="208"/>
    <s v="DEFERRED"/>
    <n v="2"/>
    <s v="DEFERRED"/>
    <m/>
    <m/>
    <m/>
    <s v="POSS CS PG 1 &lt;1G"/>
    <m/>
    <s v="FS"/>
    <s v="POSS DRUG"/>
    <s v="two 8/24/12 misd drug and evade 43 d hcj"/>
    <m/>
    <m/>
    <m/>
    <m/>
    <m/>
    <m/>
    <m/>
    <m/>
    <s v="Appointed Attorney"/>
    <m/>
    <m/>
    <n v="6"/>
    <n v="6"/>
    <n v="7"/>
    <n v="19.674863387978142"/>
    <n v="0"/>
    <n v="0"/>
    <s v="DEFERRED"/>
    <x v="0"/>
    <s v="N"/>
    <m/>
    <s v="DEFERRED"/>
    <s v="Y"/>
    <x v="0"/>
    <x v="0"/>
    <s v="N"/>
    <n v="0.8571428571428571"/>
    <n v="1"/>
    <n v="0.1428571428571429"/>
    <n v="0"/>
    <n v="-6"/>
    <n v="0"/>
    <n v="6"/>
    <e v="#VALUE!"/>
    <n v="6"/>
    <n v="0"/>
    <m/>
    <m/>
    <s v="Y"/>
    <m/>
    <s v="0-10 DAYS"/>
    <n v="1"/>
    <x v="0"/>
  </r>
  <r>
    <n v="2123"/>
    <s v="N"/>
    <s v="N"/>
    <n v="2499626"/>
    <n v="6"/>
    <d v="2012-03-20T00:00:00"/>
    <d v="2012-10-08T00:00:00"/>
    <n v="2499626"/>
    <d v="2012-03-21T00:00:00"/>
    <d v="2012-10-08T00:00:00"/>
    <n v="160000"/>
    <x v="2"/>
    <m/>
    <s v="N"/>
    <s v="NONE"/>
    <s v="GUILTY PLEA - NO JURY"/>
    <n v="202"/>
    <n v="203"/>
    <n v="1"/>
    <n v="1"/>
    <m/>
    <m/>
    <m/>
    <m/>
    <m/>
    <m/>
    <m/>
    <m/>
    <m/>
    <d v="1993-05-18T00:00:00"/>
    <s v="M"/>
    <s v="H"/>
    <s v="HISPANIC"/>
    <s v="HISPANIC"/>
    <s v="248"/>
    <s v="CONVICTED"/>
    <n v="7"/>
    <s v="TDC"/>
    <n v="8"/>
    <m/>
    <m/>
    <s v="AGG ROBBERY-DEADLY WPN"/>
    <m/>
    <s v="F1"/>
    <s v="ROBBERY"/>
    <m/>
    <m/>
    <m/>
    <m/>
    <m/>
    <m/>
    <m/>
    <m/>
    <m/>
    <s v="Appointed Attorney"/>
    <m/>
    <m/>
    <n v="202"/>
    <n v="202"/>
    <n v="203"/>
    <n v="18.800546448087431"/>
    <n v="0"/>
    <n v="0"/>
    <s v="CONVICTION"/>
    <x v="0"/>
    <s v="N"/>
    <m/>
    <s v="CONVICTION"/>
    <s v="Y"/>
    <x v="0"/>
    <x v="0"/>
    <s v="Y"/>
    <n v="0.99507389162561577"/>
    <n v="1"/>
    <n v="4.9261083743842304E-3"/>
    <n v="0"/>
    <n v="-202"/>
    <n v="0"/>
    <n v="202"/>
    <e v="#VALUE!"/>
    <n v="202"/>
    <n v="0"/>
    <m/>
    <m/>
    <s v="Y"/>
    <m/>
    <s v="121-365 DAYS"/>
    <n v="6"/>
    <x v="0"/>
  </r>
  <r>
    <n v="1173"/>
    <s v="N"/>
    <s v="N"/>
    <n v="2499874"/>
    <n v="6"/>
    <d v="2012-02-12T00:00:00"/>
    <d v="2012-04-26T00:00:00"/>
    <n v="2499874"/>
    <d v="2012-02-13T00:00:00"/>
    <d v="2012-04-26T00:00:00"/>
    <n v="35000"/>
    <x v="2"/>
    <m/>
    <s v="N"/>
    <s v="NONE"/>
    <s v="GUILTY PLEA - NO JURY"/>
    <n v="74"/>
    <n v="75"/>
    <n v="1"/>
    <n v="2"/>
    <m/>
    <m/>
    <m/>
    <m/>
    <m/>
    <m/>
    <m/>
    <s v="S"/>
    <m/>
    <d v="1992-05-18T00:00:00"/>
    <s v="M"/>
    <s v="H"/>
    <s v="HISPANIC"/>
    <s v="NULL"/>
    <s v="183"/>
    <s v="CONVICTED"/>
    <n v="6"/>
    <s v="TDC"/>
    <n v="3"/>
    <m/>
    <m/>
    <s v="evading arrest/detention w/veh "/>
    <m/>
    <s v="F3"/>
    <s v="OTHER FEL"/>
    <m/>
    <m/>
    <m/>
    <m/>
    <m/>
    <m/>
    <m/>
    <m/>
    <m/>
    <s v="Appointed Attorney"/>
    <m/>
    <m/>
    <n v="74"/>
    <n v="74"/>
    <n v="75"/>
    <n v="19.696721311475411"/>
    <n v="0"/>
    <n v="0"/>
    <s v="CONVICTION"/>
    <x v="0"/>
    <s v="N"/>
    <m/>
    <s v="CONVICTION"/>
    <s v="Y"/>
    <x v="0"/>
    <x v="0"/>
    <s v="Y"/>
    <n v="0.98666666666666669"/>
    <n v="1"/>
    <n v="1.3333333333333308E-2"/>
    <n v="0"/>
    <n v="-74"/>
    <n v="0"/>
    <n v="74"/>
    <e v="#VALUE!"/>
    <n v="74"/>
    <n v="0"/>
    <m/>
    <m/>
    <s v="Y"/>
    <m/>
    <s v="61-90 DAYS"/>
    <n v="4"/>
    <x v="0"/>
  </r>
  <r>
    <n v="1385"/>
    <s v="N"/>
    <s v="N"/>
    <n v="2500119"/>
    <n v="1"/>
    <d v="2012-02-21T00:00:00"/>
    <d v="2012-04-11T00:00:00"/>
    <n v="2500119"/>
    <d v="2012-02-25T00:00:00"/>
    <d v="2012-04-11T00:00:00"/>
    <n v="30000"/>
    <x v="2"/>
    <m/>
    <s v="N"/>
    <s v="NONE"/>
    <s v="NO BILL"/>
    <n v="47"/>
    <n v="51"/>
    <n v="0"/>
    <n v="0"/>
    <m/>
    <m/>
    <m/>
    <m/>
    <m/>
    <m/>
    <m/>
    <m/>
    <m/>
    <d v="1988-02-04T00:00:00"/>
    <s v="M"/>
    <s v="B"/>
    <s v="BLACK"/>
    <s v="NULL"/>
    <s v="184"/>
    <s v="NO BILL"/>
    <n v="4"/>
    <s v="NO BILL"/>
    <m/>
    <m/>
    <m/>
    <s v="AGG ASSAULT W/DEADLY WEAPON"/>
    <m/>
    <s v="F2"/>
    <s v="ASLT-MURDR"/>
    <s v="fel drug conv 7/16/12 hcj 70 days"/>
    <m/>
    <m/>
    <m/>
    <m/>
    <m/>
    <m/>
    <m/>
    <m/>
    <s v="Hired Attorney"/>
    <m/>
    <m/>
    <n v="47"/>
    <n v="47"/>
    <n v="51"/>
    <n v="23.997267759562842"/>
    <n v="0"/>
    <n v="0"/>
    <s v="NO CONVICTION"/>
    <x v="0"/>
    <s v="N"/>
    <m/>
    <s v="NO CONVICTION"/>
    <s v="Y"/>
    <x v="0"/>
    <x v="0"/>
    <s v="N"/>
    <n v="0.92156862745098034"/>
    <n v="1"/>
    <n v="7.8431372549019662E-2"/>
    <n v="0"/>
    <n v="-47"/>
    <n v="0"/>
    <n v="47"/>
    <e v="#VALUE!"/>
    <n v="47"/>
    <n v="0"/>
    <m/>
    <m/>
    <s v="N"/>
    <m/>
    <s v="31-60 DAYS"/>
    <n v="3"/>
    <x v="0"/>
  </r>
  <r>
    <n v="1545"/>
    <s v="N"/>
    <s v="N"/>
    <n v="2500633"/>
    <n v="1"/>
    <d v="2012-02-27T00:00:00"/>
    <d v="2012-06-04T00:00:00"/>
    <n v="2500633"/>
    <d v="2012-02-27T00:00:00"/>
    <d v="2012-02-28T00:00:00"/>
    <n v="5000"/>
    <x v="4"/>
    <d v="2012-02-28T00:00:00"/>
    <s v="Y"/>
    <s v="SURETY"/>
    <s v="DISMISSED"/>
    <n v="2"/>
    <n v="99"/>
    <n v="0"/>
    <n v="1"/>
    <m/>
    <m/>
    <m/>
    <m/>
    <m/>
    <m/>
    <m/>
    <m/>
    <m/>
    <d v="1983-07-22T00:00:00"/>
    <s v="M"/>
    <s v="B"/>
    <s v="BLACK"/>
    <s v="NULL"/>
    <s v="232"/>
    <s v="DISMISSED"/>
    <n v="5"/>
    <s v="DISMISSED"/>
    <m/>
    <m/>
    <m/>
    <s v="TAKE WEAPON FROM POLICE OFFICE"/>
    <m/>
    <s v="F3"/>
    <s v="OTHER FEL"/>
    <s v="misd resist arrest dadj 10/5/12"/>
    <m/>
    <m/>
    <m/>
    <m/>
    <m/>
    <m/>
    <m/>
    <m/>
    <s v="Hired Attorney"/>
    <m/>
    <m/>
    <n v="2"/>
    <n v="99"/>
    <n v="99"/>
    <n v="28.543715846994534"/>
    <n v="0"/>
    <n v="-97"/>
    <s v="NO CONVICTION"/>
    <x v="1"/>
    <s v="Y"/>
    <m/>
    <s v="NO CONVICTION"/>
    <s v="Y"/>
    <x v="1"/>
    <x v="0"/>
    <s v="N"/>
    <n v="2.0202020202020204E-2"/>
    <n v="2.0202020202020204E-2"/>
    <n v="0"/>
    <n v="0"/>
    <n v="-2"/>
    <n v="0"/>
    <n v="2"/>
    <e v="#VALUE!"/>
    <n v="2"/>
    <n v="0"/>
    <m/>
    <m/>
    <s v="Y"/>
    <m/>
    <s v="0-10 DAYS"/>
    <n v="1"/>
    <x v="0"/>
  </r>
  <r>
    <n v="2291"/>
    <s v="N"/>
    <s v="N"/>
    <n v="2502016"/>
    <n v="6"/>
    <d v="2012-03-27T00:00:00"/>
    <d v="2013-02-20T00:00:00"/>
    <n v="2502016"/>
    <d v="2012-03-28T00:00:00"/>
    <d v="2013-02-20T00:00:00"/>
    <s v="NO BOND"/>
    <x v="1"/>
    <m/>
    <s v="N"/>
    <s v="NONE"/>
    <s v="GUILTY PLEA - NO JURY"/>
    <n v="330"/>
    <n v="331"/>
    <n v="1"/>
    <n v="1"/>
    <m/>
    <n v="1"/>
    <m/>
    <m/>
    <m/>
    <m/>
    <m/>
    <m/>
    <m/>
    <d v="1979-12-03T00:00:00"/>
    <s v="F"/>
    <s v="W"/>
    <s v="WHITE"/>
    <s v="NULL"/>
    <s v="183"/>
    <s v="CONVICTED"/>
    <n v="16"/>
    <s v="TDC"/>
    <n v="5"/>
    <m/>
    <m/>
    <s v="POSS WIM/D GP 3/4 CS- 200-399G"/>
    <m/>
    <s v="F1"/>
    <s v="SALE DRUG"/>
    <m/>
    <m/>
    <m/>
    <m/>
    <m/>
    <m/>
    <m/>
    <m/>
    <m/>
    <s v="Appointed Attorney"/>
    <m/>
    <m/>
    <n v="330"/>
    <n v="330"/>
    <n v="331"/>
    <n v="32.248633879781423"/>
    <n v="0"/>
    <n v="0"/>
    <s v="CONVICTION"/>
    <x v="0"/>
    <s v="N"/>
    <m/>
    <s v="CONVICTION"/>
    <s v="Y"/>
    <x v="0"/>
    <x v="0"/>
    <s v="Y"/>
    <n v="0.99697885196374625"/>
    <n v="1"/>
    <n v="3.0211480362537513E-3"/>
    <n v="0"/>
    <n v="-330"/>
    <n v="0"/>
    <n v="330"/>
    <e v="#VALUE!"/>
    <n v="330"/>
    <n v="0"/>
    <m/>
    <m/>
    <s v="Y"/>
    <m/>
    <s v="121-365 DAYS"/>
    <n v="6"/>
    <x v="0"/>
  </r>
  <r>
    <n v="542"/>
    <s v="N"/>
    <s v="N"/>
    <n v="2502096"/>
    <n v="2"/>
    <d v="2012-01-22T00:00:00"/>
    <d v="2012-01-24T00:00:00"/>
    <n v="2502096"/>
    <d v="2012-01-22T00:00:00"/>
    <d v="2012-01-24T00:00:00"/>
    <n v="10000"/>
    <x v="3"/>
    <m/>
    <s v="N"/>
    <s v="NONE"/>
    <s v="DEFERRED ADJUDICATION "/>
    <n v="3"/>
    <n v="3"/>
    <n v="0"/>
    <n v="0"/>
    <m/>
    <m/>
    <m/>
    <m/>
    <m/>
    <m/>
    <m/>
    <m/>
    <m/>
    <d v="1982-01-11T00:00:00"/>
    <s v="F"/>
    <s v="W"/>
    <s v="WHITE"/>
    <s v="NULL"/>
    <s v="228"/>
    <s v="DEFERRED"/>
    <n v="2"/>
    <s v="DEFERRED"/>
    <m/>
    <m/>
    <m/>
    <s v="POSS CS PG 1  1 - 4 GRAMS"/>
    <m/>
    <s v="F3"/>
    <s v="POSS DRUG"/>
    <s v="drug poss cs &lt; 1g  5/14/12 defer"/>
    <m/>
    <m/>
    <m/>
    <m/>
    <m/>
    <m/>
    <m/>
    <m/>
    <s v="Appointed Attorney"/>
    <m/>
    <m/>
    <n v="3"/>
    <n v="3"/>
    <n v="3"/>
    <n v="29.967213114754099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3124"/>
    <s v="N"/>
    <s v="N"/>
    <n v="2502276"/>
    <n v="2"/>
    <d v="2012-04-25T00:00:00"/>
    <d v="2012-07-12T00:00:00"/>
    <n v="2502276"/>
    <d v="2012-04-25T00:00:00"/>
    <d v="2012-07-12T00:00:00"/>
    <n v="1000"/>
    <x v="5"/>
    <m/>
    <s v="N"/>
    <s v="NONE"/>
    <s v="DEFERRED ADJUDICATION "/>
    <n v="79"/>
    <n v="79"/>
    <n v="1"/>
    <n v="2"/>
    <m/>
    <m/>
    <m/>
    <m/>
    <m/>
    <m/>
    <m/>
    <m/>
    <m/>
    <d v="1993-04-22T00:00:00"/>
    <s v="M"/>
    <s v="B"/>
    <s v="BLACK"/>
    <s v="NON-HISPANIC"/>
    <s v="177"/>
    <s v="DEFERRED"/>
    <n v="5"/>
    <s v="DEFERRED"/>
    <m/>
    <m/>
    <m/>
    <s v="BURGLARY OF HABITATION"/>
    <m/>
    <s v="F2"/>
    <s v="BURGLARY"/>
    <m/>
    <m/>
    <m/>
    <m/>
    <m/>
    <m/>
    <m/>
    <m/>
    <m/>
    <s v="Public Defender"/>
    <m/>
    <m/>
    <n v="79"/>
    <n v="79"/>
    <n v="79"/>
    <n v="18.969945355191257"/>
    <n v="0"/>
    <n v="0"/>
    <s v="DEFERRED"/>
    <x v="0"/>
    <s v="N"/>
    <m/>
    <s v="DEFERRED"/>
    <s v="Y"/>
    <x v="0"/>
    <x v="0"/>
    <s v="Y"/>
    <n v="1"/>
    <n v="1"/>
    <n v="0"/>
    <n v="0"/>
    <n v="-79"/>
    <n v="0"/>
    <n v="79"/>
    <e v="#VALUE!"/>
    <n v="79"/>
    <n v="0"/>
    <m/>
    <m/>
    <s v="Y"/>
    <m/>
    <s v="61-90 DAYS"/>
    <n v="4"/>
    <x v="0"/>
  </r>
  <r>
    <n v="2105"/>
    <s v="N"/>
    <s v="N"/>
    <n v="2502318"/>
    <n v="1"/>
    <d v="2012-03-20T00:00:00"/>
    <d v="2012-04-05T00:00:00"/>
    <n v="2502318"/>
    <d v="2012-03-20T00:00:00"/>
    <d v="2012-04-05T00:00:00"/>
    <n v="5000"/>
    <x v="4"/>
    <m/>
    <s v="N"/>
    <s v="NONE"/>
    <s v="DISMISSED"/>
    <n v="17"/>
    <n v="17"/>
    <n v="2"/>
    <n v="2"/>
    <n v="1"/>
    <m/>
    <m/>
    <m/>
    <m/>
    <m/>
    <m/>
    <m/>
    <m/>
    <d v="1992-07-23T00:00:00"/>
    <s v="M"/>
    <s v="B"/>
    <s v="BLACK"/>
    <s v="NULL"/>
    <s v="351"/>
    <s v="DISMISSED"/>
    <n v="3"/>
    <s v="DISMISSED"/>
    <m/>
    <m/>
    <m/>
    <s v="POSS CS PG 1  1 - 4 GRAMS"/>
    <m/>
    <s v="F3"/>
    <s v="POSS DRUG"/>
    <s v="misd trespass7/26/12 hcj 15 days "/>
    <m/>
    <m/>
    <m/>
    <m/>
    <m/>
    <m/>
    <m/>
    <m/>
    <s v="Appointed Attorney"/>
    <m/>
    <m/>
    <n v="17"/>
    <n v="17"/>
    <n v="17"/>
    <n v="19.617486338797814"/>
    <n v="0"/>
    <n v="0"/>
    <s v="NO CONVICTION"/>
    <x v="0"/>
    <s v="N"/>
    <m/>
    <s v="NO CONVICTION"/>
    <s v="Y"/>
    <x v="0"/>
    <x v="0"/>
    <s v="Y"/>
    <n v="1"/>
    <n v="1"/>
    <n v="0"/>
    <n v="0"/>
    <n v="-17"/>
    <n v="0"/>
    <n v="17"/>
    <e v="#VALUE!"/>
    <n v="17"/>
    <n v="0"/>
    <m/>
    <m/>
    <s v="Y"/>
    <m/>
    <s v="11-30 DAYS"/>
    <n v="2"/>
    <x v="0"/>
  </r>
  <r>
    <n v="2707"/>
    <s v="N"/>
    <s v="N"/>
    <n v="2502982"/>
    <n v="6"/>
    <d v="2012-04-10T00:00:00"/>
    <d v="2012-11-12T00:00:00"/>
    <n v="2502982"/>
    <d v="2012-04-11T00:00:00"/>
    <d v="2012-11-12T00:00:00"/>
    <n v="500000"/>
    <x v="2"/>
    <m/>
    <s v="N"/>
    <s v="NONE"/>
    <s v="GUILTY PLEA - NO JURY"/>
    <n v="216"/>
    <n v="217"/>
    <n v="0"/>
    <n v="2"/>
    <m/>
    <m/>
    <m/>
    <m/>
    <m/>
    <m/>
    <m/>
    <m/>
    <m/>
    <d v="1992-06-23T00:00:00"/>
    <s v="M"/>
    <s v="B"/>
    <s v="BLACK"/>
    <s v="NON-HISPANIC"/>
    <s v="248"/>
    <s v="CONVICTED"/>
    <n v="9"/>
    <s v="TDC"/>
    <n v="6"/>
    <m/>
    <m/>
    <s v="BURGLARY OF HABITATION"/>
    <m/>
    <s v="F2"/>
    <s v="BURGLARY"/>
    <m/>
    <m/>
    <m/>
    <m/>
    <m/>
    <m/>
    <m/>
    <m/>
    <m/>
    <s v="Hired Attorney"/>
    <m/>
    <m/>
    <n v="216"/>
    <n v="216"/>
    <n v="217"/>
    <n v="19.756830601092897"/>
    <n v="0"/>
    <n v="0"/>
    <s v="CONVICTION"/>
    <x v="0"/>
    <s v="N"/>
    <m/>
    <s v="CONVICTION"/>
    <s v="Y"/>
    <x v="0"/>
    <x v="0"/>
    <s v="N"/>
    <n v="0.99539170506912444"/>
    <n v="1"/>
    <n v="4.6082949308755561E-3"/>
    <n v="0"/>
    <n v="-216"/>
    <n v="0"/>
    <n v="216"/>
    <e v="#VALUE!"/>
    <n v="216"/>
    <n v="0"/>
    <m/>
    <m/>
    <s v="Y"/>
    <m/>
    <s v="121-365 DAYS"/>
    <n v="6"/>
    <x v="0"/>
  </r>
  <r>
    <n v="1501"/>
    <s v="N"/>
    <s v="N"/>
    <n v="2503148"/>
    <n v="2"/>
    <d v="2012-02-25T00:00:00"/>
    <d v="2012-06-04T00:00:00"/>
    <n v="2503148"/>
    <d v="2012-02-25T00:00:00"/>
    <d v="2012-02-26T00:00:00"/>
    <n v="2000"/>
    <x v="5"/>
    <d v="2012-02-26T00:00:00"/>
    <s v="Y"/>
    <s v="SURETY"/>
    <s v="DEFERRED ADJUDICATION "/>
    <n v="2"/>
    <n v="101"/>
    <n v="0"/>
    <n v="0"/>
    <m/>
    <m/>
    <m/>
    <m/>
    <m/>
    <m/>
    <m/>
    <m/>
    <m/>
    <d v="1986-07-21T00:00:00"/>
    <s v="M"/>
    <s v="B"/>
    <s v="BLACK"/>
    <s v="NULL"/>
    <s v="263"/>
    <s v="DEFERRED"/>
    <n v="5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101"/>
    <n v="101"/>
    <n v="25.546448087431695"/>
    <n v="0"/>
    <n v="-99"/>
    <s v="DEFERRED"/>
    <x v="1"/>
    <s v="Y"/>
    <m/>
    <s v="DEFERRED"/>
    <s v="Y"/>
    <x v="1"/>
    <x v="0"/>
    <s v="N"/>
    <n v="1.9801980198019802E-2"/>
    <n v="1.9801980198019802E-2"/>
    <n v="0"/>
    <n v="0"/>
    <n v="-2"/>
    <n v="0"/>
    <n v="2"/>
    <e v="#VALUE!"/>
    <n v="2"/>
    <n v="0"/>
    <m/>
    <m/>
    <s v="N"/>
    <m/>
    <s v="0-10 DAYS"/>
    <n v="1"/>
    <x v="0"/>
  </r>
  <r>
    <n v="693"/>
    <s v="N"/>
    <s v="N"/>
    <n v="2503704"/>
    <n v="2"/>
    <d v="2012-01-28T00:00:00"/>
    <d v="2012-01-31T00:00:00"/>
    <n v="2503704"/>
    <d v="2012-01-28T00:00:00"/>
    <d v="2012-01-31T00:00:00"/>
    <s v="NO BOND"/>
    <x v="1"/>
    <m/>
    <s v="N"/>
    <s v="NONE"/>
    <s v="DEFERRED ADJUDICATION "/>
    <n v="4"/>
    <n v="4"/>
    <n v="0"/>
    <n v="0"/>
    <m/>
    <m/>
    <m/>
    <m/>
    <m/>
    <m/>
    <m/>
    <m/>
    <m/>
    <d v="1990-05-04T00:00:00"/>
    <s v="M"/>
    <s v="W"/>
    <s v="WHITE"/>
    <s v="NULL"/>
    <s v="232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4"/>
    <n v="4"/>
    <n v="4"/>
    <n v="21.691256830601095"/>
    <n v="0"/>
    <n v="0"/>
    <s v="DEFERRED"/>
    <x v="0"/>
    <s v="N"/>
    <m/>
    <s v="DEFERRED"/>
    <s v="Y"/>
    <x v="0"/>
    <x v="0"/>
    <s v="N"/>
    <n v="1"/>
    <n v="1"/>
    <n v="0"/>
    <n v="0"/>
    <n v="-4"/>
    <n v="0"/>
    <n v="4"/>
    <e v="#VALUE!"/>
    <n v="4"/>
    <n v="0"/>
    <m/>
    <m/>
    <s v="N"/>
    <m/>
    <s v="0-10 DAYS"/>
    <n v="1"/>
    <x v="0"/>
  </r>
  <r>
    <n v="1649"/>
    <s v="N"/>
    <s v="N"/>
    <n v="2503768"/>
    <n v="2"/>
    <d v="2012-03-01T00:00:00"/>
    <d v="2012-07-11T00:00:00"/>
    <n v="2503768"/>
    <d v="2012-03-02T00:00:00"/>
    <d v="2012-03-08T00:00:00"/>
    <n v="2000"/>
    <x v="5"/>
    <d v="2012-03-08T00:00:00"/>
    <s v="Y"/>
    <s v="SURETY"/>
    <s v="DEFERRED ADJUDICATION "/>
    <n v="7"/>
    <n v="133"/>
    <n v="1"/>
    <n v="0"/>
    <m/>
    <m/>
    <m/>
    <m/>
    <m/>
    <m/>
    <m/>
    <m/>
    <m/>
    <d v="1992-09-01T00:00:00"/>
    <s v="M"/>
    <s v="W"/>
    <s v="WHITE"/>
    <s v="NULL"/>
    <s v="185"/>
    <s v="DEFERRED"/>
    <n v="9"/>
    <s v="DEFERRED"/>
    <m/>
    <m/>
    <m/>
    <s v="THEFT $1500-20K"/>
    <m/>
    <s v="FS"/>
    <s v="THEFT"/>
    <m/>
    <m/>
    <m/>
    <m/>
    <m/>
    <m/>
    <m/>
    <m/>
    <m/>
    <s v="Hired Attorney"/>
    <m/>
    <m/>
    <n v="7"/>
    <n v="132"/>
    <n v="133"/>
    <n v="19.456284153005466"/>
    <n v="0"/>
    <n v="-125"/>
    <s v="DEFERRED"/>
    <x v="1"/>
    <s v="Y"/>
    <m/>
    <s v="DEFERRED"/>
    <s v="Y"/>
    <x v="1"/>
    <x v="0"/>
    <s v="Y"/>
    <n v="5.2631578947368418E-2"/>
    <n v="5.3030303030303032E-2"/>
    <n v="3.9872408293461364E-4"/>
    <n v="0"/>
    <n v="-7"/>
    <n v="0"/>
    <n v="7"/>
    <e v="#VALUE!"/>
    <n v="7"/>
    <n v="0"/>
    <m/>
    <m/>
    <s v="Y"/>
    <m/>
    <s v="0-10 DAYS"/>
    <n v="1"/>
    <x v="0"/>
  </r>
  <r>
    <n v="2128"/>
    <s v="N"/>
    <s v="N"/>
    <n v="2504088"/>
    <n v="5"/>
    <d v="2012-03-20T00:00:00"/>
    <d v="2012-04-17T00:00:00"/>
    <n v="2504088"/>
    <d v="2012-03-21T00:00:00"/>
    <d v="2012-04-17T00:00:00"/>
    <n v="10000"/>
    <x v="3"/>
    <m/>
    <s v="N"/>
    <s v="NONE"/>
    <s v="GUILTY PLEA - NO JURY"/>
    <n v="28"/>
    <n v="29"/>
    <n v="0"/>
    <n v="1"/>
    <m/>
    <m/>
    <m/>
    <m/>
    <m/>
    <m/>
    <m/>
    <m/>
    <m/>
    <d v="1992-04-27T00:00:00"/>
    <s v="M"/>
    <s v="W"/>
    <s v="WHITE"/>
    <s v="NON-HISPANIC"/>
    <s v="263"/>
    <s v="CONVICTED"/>
    <n v="2"/>
    <s v="STJ"/>
    <m/>
    <n v="8"/>
    <m/>
    <s v="BURGLARY OF A BUILDING"/>
    <m/>
    <s v="FS"/>
    <s v="BURGLARY"/>
    <m/>
    <m/>
    <m/>
    <m/>
    <m/>
    <m/>
    <m/>
    <m/>
    <m/>
    <s v="Appointed Attorney"/>
    <m/>
    <m/>
    <n v="28"/>
    <n v="28"/>
    <n v="29"/>
    <n v="19.855191256830601"/>
    <n v="0"/>
    <n v="0"/>
    <s v="CONVICTION"/>
    <x v="0"/>
    <s v="N"/>
    <m/>
    <s v="CONVICTION"/>
    <s v="Y"/>
    <x v="0"/>
    <x v="0"/>
    <s v="N"/>
    <n v="0.96551724137931039"/>
    <n v="1"/>
    <n v="3.4482758620689613E-2"/>
    <n v="0"/>
    <n v="-28"/>
    <n v="0"/>
    <n v="28"/>
    <e v="#VALUE!"/>
    <n v="28"/>
    <n v="0"/>
    <m/>
    <m/>
    <s v="Y"/>
    <m/>
    <s v="11-30 DAYS"/>
    <n v="2"/>
    <x v="0"/>
  </r>
  <r>
    <n v="2736"/>
    <s v="N"/>
    <s v="N"/>
    <n v="2504395"/>
    <n v="2"/>
    <d v="2012-04-11T00:00:00"/>
    <d v="2012-04-16T00:00:00"/>
    <n v="2504395"/>
    <d v="2012-04-12T00:00:00"/>
    <d v="2012-04-16T00:00:00"/>
    <n v="10000"/>
    <x v="3"/>
    <m/>
    <s v="N"/>
    <s v="NONE"/>
    <s v="DEFERRED ADJUDICATION "/>
    <n v="5"/>
    <n v="6"/>
    <n v="0"/>
    <n v="1"/>
    <m/>
    <m/>
    <m/>
    <m/>
    <m/>
    <m/>
    <m/>
    <s v="S"/>
    <m/>
    <d v="1990-05-16T00:00:00"/>
    <s v="M"/>
    <s v="H"/>
    <s v="HISPANIC"/>
    <s v="NULL"/>
    <s v="174"/>
    <s v="DEFERRED"/>
    <n v="2"/>
    <s v="DEFERRED"/>
    <m/>
    <m/>
    <m/>
    <s v="POSS CS PG 1  1 - 4 GRAMS"/>
    <m/>
    <s v="F3"/>
    <s v="POSS DRUG"/>
    <s v="def adj on 3 cases no legal defense"/>
    <m/>
    <m/>
    <m/>
    <m/>
    <m/>
    <m/>
    <m/>
    <m/>
    <s v="Other/Unknown"/>
    <m/>
    <m/>
    <n v="5"/>
    <n v="5"/>
    <n v="6"/>
    <n v="21.860655737704917"/>
    <n v="0"/>
    <n v="0"/>
    <s v="DEFERRED"/>
    <x v="0"/>
    <s v="N"/>
    <m/>
    <s v="DEFERRED"/>
    <s v="Y"/>
    <x v="0"/>
    <x v="0"/>
    <s v="N"/>
    <n v="0.83333333333333337"/>
    <n v="1"/>
    <n v="0.16666666666666663"/>
    <n v="0"/>
    <n v="-5"/>
    <n v="0"/>
    <n v="5"/>
    <e v="#VALUE!"/>
    <n v="5"/>
    <n v="0"/>
    <m/>
    <m/>
    <s v="Y"/>
    <m/>
    <s v="0-10 DAYS"/>
    <n v="1"/>
    <x v="0"/>
  </r>
  <r>
    <n v="886"/>
    <s v="Y"/>
    <s v="N"/>
    <n v="2504767"/>
    <n v="2"/>
    <d v="2012-02-02T00:00:00"/>
    <d v="2012-11-09T00:00:00"/>
    <n v="2504767"/>
    <d v="2012-06-09T00:00:00"/>
    <d v="2012-06-10T00:00:00"/>
    <n v="2000"/>
    <x v="5"/>
    <d v="2012-06-10T00:00:00"/>
    <s v="Y"/>
    <s v="SURETYPTRc"/>
    <s v="DEFERRED ADJUDICATION "/>
    <n v="2"/>
    <n v="282"/>
    <n v="0"/>
    <n v="2"/>
    <m/>
    <m/>
    <m/>
    <m/>
    <m/>
    <m/>
    <m/>
    <m/>
    <m/>
    <d v="1992-08-16T00:00:00"/>
    <s v="M"/>
    <s v="B"/>
    <s v="BLACK"/>
    <s v="NULL"/>
    <s v="183"/>
    <s v="DEFERRED"/>
    <n v="9"/>
    <s v="DEFERRED"/>
    <m/>
    <m/>
    <m/>
    <s v="POSS CS PG 1 &lt;1G"/>
    <m/>
    <s v="FS"/>
    <s v="POSS DRUG"/>
    <m/>
    <m/>
    <m/>
    <m/>
    <m/>
    <m/>
    <m/>
    <m/>
    <m/>
    <s v="Appointed Attorney"/>
    <s v="fe asslt fam mem4/2/13 st j7mos"/>
    <m/>
    <n v="2"/>
    <n v="154"/>
    <n v="282"/>
    <n v="19.423497267759561"/>
    <n v="0"/>
    <n v="-152"/>
    <s v="DEFERRED"/>
    <x v="1"/>
    <s v="Y"/>
    <m/>
    <s v="DEFERRED"/>
    <s v="Y"/>
    <x v="1"/>
    <x v="0"/>
    <s v="N"/>
    <n v="7.0921985815602835E-3"/>
    <n v="1.2987012987012988E-2"/>
    <n v="5.8948144054527044E-3"/>
    <n v="0"/>
    <n v="-2"/>
    <n v="0"/>
    <n v="2"/>
    <e v="#VALUE!"/>
    <n v="2"/>
    <n v="0"/>
    <m/>
    <m/>
    <s v="Y"/>
    <m/>
    <s v="0-10 DAYS"/>
    <n v="1"/>
    <x v="0"/>
  </r>
  <r>
    <n v="114"/>
    <s v="N"/>
    <s v="N"/>
    <n v="2504822"/>
    <n v="6"/>
    <d v="2012-01-05T00:00:00"/>
    <d v="2015-02-24T00:00:00"/>
    <n v="2504822"/>
    <d v="2012-01-06T00:00:00"/>
    <d v="2015-02-24T00:00:00"/>
    <s v="NO BOND"/>
    <x v="1"/>
    <m/>
    <s v="N"/>
    <s v="NONE"/>
    <s v="GUILTY PLEA - NO JURY"/>
    <n v="1146"/>
    <n v="1147"/>
    <n v="2"/>
    <n v="1"/>
    <n v="1"/>
    <m/>
    <m/>
    <m/>
    <m/>
    <m/>
    <m/>
    <m/>
    <m/>
    <d v="1980-06-09T00:00:00"/>
    <s v="M"/>
    <s v="B"/>
    <s v="BLACK"/>
    <s v="NULL"/>
    <s v="351"/>
    <s v="CONVICTED"/>
    <n v="18"/>
    <s v="TDC"/>
    <n v="3"/>
    <m/>
    <m/>
    <s v="ASSAULT-BOD INJ-PUB SERV/RETAL"/>
    <m/>
    <s v="F3"/>
    <s v="ASLT-MURDR"/>
    <s v="MHH ISSUES 2 CASES"/>
    <m/>
    <m/>
    <m/>
    <m/>
    <m/>
    <m/>
    <m/>
    <m/>
    <s v="Appointed Attorney"/>
    <m/>
    <m/>
    <n v="1147"/>
    <n v="1146"/>
    <n v="1147"/>
    <n v="31.508196721311474"/>
    <n v="-42059"/>
    <n v="0"/>
    <s v="CONVICTION"/>
    <x v="0"/>
    <s v="N"/>
    <m/>
    <s v="CONVICTION"/>
    <s v="Y"/>
    <x v="0"/>
    <x v="0"/>
    <s v="Y"/>
    <n v="1"/>
    <n v="1"/>
    <n v="0"/>
    <n v="-1"/>
    <n v="-1146"/>
    <n v="1"/>
    <n v="1146"/>
    <e v="#VALUE!"/>
    <n v="1147"/>
    <m/>
    <m/>
    <m/>
    <s v="Y"/>
    <e v="#N/A"/>
    <s v="&gt;3YRS"/>
    <n v="9"/>
    <x v="0"/>
  </r>
  <r>
    <n v="1356"/>
    <s v="N"/>
    <s v="N"/>
    <n v="2504825"/>
    <n v="1"/>
    <d v="2012-02-19T00:00:00"/>
    <d v="2012-03-20T00:00:00"/>
    <n v="2504825"/>
    <d v="2012-02-19T00:00:00"/>
    <d v="2012-03-20T00:00:00"/>
    <s v="NO BOND"/>
    <x v="1"/>
    <m/>
    <s v="N"/>
    <s v="NONE"/>
    <s v="DISMISSED"/>
    <n v="31"/>
    <n v="31"/>
    <n v="1"/>
    <n v="0"/>
    <m/>
    <n v="1"/>
    <m/>
    <m/>
    <m/>
    <m/>
    <m/>
    <m/>
    <m/>
    <d v="1992-05-13T00:00:00"/>
    <s v="M"/>
    <s v="H"/>
    <s v="HISPANIC"/>
    <s v="HISPANIC"/>
    <s v="230"/>
    <s v="DISMISSED"/>
    <n v="3"/>
    <s v="DISMISSED"/>
    <m/>
    <m/>
    <m/>
    <s v="POSS CS PG 1  1 - 4 GRAMS"/>
    <m/>
    <s v="F3"/>
    <s v="POSS DRUG"/>
    <m/>
    <m/>
    <m/>
    <m/>
    <m/>
    <m/>
    <m/>
    <m/>
    <m/>
    <s v="Hired Attorney"/>
    <m/>
    <m/>
    <n v="31"/>
    <n v="31"/>
    <n v="31"/>
    <n v="19.729508196721312"/>
    <n v="0"/>
    <n v="0"/>
    <s v="NO CONVICTION"/>
    <x v="0"/>
    <s v="N"/>
    <m/>
    <s v="NO CONVICTION"/>
    <s v="Y"/>
    <x v="0"/>
    <x v="0"/>
    <s v="Y"/>
    <n v="1"/>
    <n v="1"/>
    <n v="0"/>
    <n v="0"/>
    <n v="-31"/>
    <n v="0"/>
    <n v="31"/>
    <e v="#VALUE!"/>
    <n v="31"/>
    <n v="0"/>
    <m/>
    <m/>
    <s v="Y"/>
    <m/>
    <s v="31-60 DAYS"/>
    <n v="3"/>
    <x v="0"/>
  </r>
  <r>
    <n v="404"/>
    <s v="N"/>
    <s v="N"/>
    <n v="2505073"/>
    <n v="2"/>
    <d v="2012-01-17T00:00:00"/>
    <d v="2012-01-19T00:00:00"/>
    <n v="2505073"/>
    <d v="2012-01-18T00:00:00"/>
    <d v="2012-01-19T00:00:00"/>
    <n v="2000"/>
    <x v="5"/>
    <m/>
    <s v="N"/>
    <s v="NONE"/>
    <s v="DEFERRED ADJUDICATION "/>
    <n v="2"/>
    <n v="3"/>
    <n v="0"/>
    <n v="0"/>
    <m/>
    <m/>
    <m/>
    <m/>
    <m/>
    <m/>
    <m/>
    <m/>
    <m/>
    <d v="1984-04-05T00:00:00"/>
    <s v="M"/>
    <s v="B"/>
    <s v="BLACK"/>
    <s v="NULL"/>
    <s v="185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2"/>
    <n v="2"/>
    <n v="3"/>
    <n v="27.726775956284154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2405"/>
    <s v="N"/>
    <s v="N"/>
    <n v="2505223"/>
    <n v="2"/>
    <d v="2012-03-31T00:00:00"/>
    <d v="2012-08-24T00:00:00"/>
    <n v="2505223"/>
    <d v="2012-06-07T00:00:00"/>
    <d v="2012-06-07T00:00:00"/>
    <n v="2000"/>
    <x v="5"/>
    <d v="2012-06-07T00:00:00"/>
    <s v="Y"/>
    <s v="PTR"/>
    <s v="DEFERRED ADJUDICATION "/>
    <n v="1"/>
    <n v="147"/>
    <n v="0"/>
    <n v="2"/>
    <m/>
    <m/>
    <m/>
    <m/>
    <m/>
    <m/>
    <m/>
    <m/>
    <m/>
    <d v="1992-02-02T00:00:00"/>
    <s v="M"/>
    <s v="B"/>
    <s v="BLACK"/>
    <s v="NULL"/>
    <s v="208"/>
    <s v="DEFERRED"/>
    <n v="5"/>
    <s v="DEFERRED"/>
    <m/>
    <m/>
    <m/>
    <s v="THEFT $1500-20K"/>
    <m/>
    <s v="FS"/>
    <s v="THEFT"/>
    <m/>
    <m/>
    <m/>
    <m/>
    <m/>
    <m/>
    <m/>
    <m/>
    <m/>
    <s v="Appointed Attorney"/>
    <m/>
    <m/>
    <n v="1"/>
    <n v="79"/>
    <n v="147"/>
    <n v="20.117486338797814"/>
    <n v="0"/>
    <n v="-78"/>
    <s v="DEFERRED"/>
    <x v="2"/>
    <s v="Y"/>
    <m/>
    <s v="DEFERRED"/>
    <s v="Y"/>
    <x v="1"/>
    <x v="0"/>
    <s v="N"/>
    <n v="6.8027210884353739E-3"/>
    <n v="1.2658227848101266E-2"/>
    <n v="5.8555067596658917E-3"/>
    <n v="0"/>
    <n v="-1"/>
    <n v="0"/>
    <n v="1"/>
    <e v="#VALUE!"/>
    <n v="1"/>
    <n v="0"/>
    <m/>
    <m/>
    <s v="Y"/>
    <m/>
    <s v="0-10 DAYS"/>
    <n v="1"/>
    <x v="0"/>
  </r>
  <r>
    <n v="683"/>
    <s v="N"/>
    <s v="N"/>
    <n v="2506010"/>
    <n v="1"/>
    <d v="2012-01-27T00:00:00"/>
    <d v="2012-03-09T00:00:00"/>
    <n v="2506010"/>
    <d v="2012-01-28T00:00:00"/>
    <d v="2012-03-09T00:00:00"/>
    <n v="20000"/>
    <x v="0"/>
    <m/>
    <s v="N"/>
    <s v="NONE"/>
    <s v="DISMISSED"/>
    <n v="42"/>
    <n v="43"/>
    <n v="0"/>
    <n v="1"/>
    <m/>
    <m/>
    <m/>
    <m/>
    <m/>
    <m/>
    <m/>
    <m/>
    <m/>
    <d v="1989-12-14T00:00:00"/>
    <s v="M"/>
    <s v="W"/>
    <s v="WHITE"/>
    <s v="NULL"/>
    <s v="177"/>
    <s v="DISMISSED"/>
    <n v="4"/>
    <s v="DISMISSED"/>
    <m/>
    <m/>
    <m/>
    <s v="THEFT $1500-20K"/>
    <m/>
    <s v="FS"/>
    <s v="THEFT"/>
    <m/>
    <m/>
    <m/>
    <m/>
    <m/>
    <m/>
    <m/>
    <m/>
    <m/>
    <s v="Hired Attorney"/>
    <m/>
    <m/>
    <n v="42"/>
    <n v="42"/>
    <n v="43"/>
    <n v="22.07377049180328"/>
    <n v="0"/>
    <n v="0"/>
    <s v="NO CONVICTION"/>
    <x v="0"/>
    <s v="N"/>
    <m/>
    <s v="NO CONVICTION"/>
    <s v="Y"/>
    <x v="0"/>
    <x v="0"/>
    <s v="N"/>
    <n v="0.97674418604651159"/>
    <n v="1"/>
    <n v="2.3255813953488413E-2"/>
    <n v="0"/>
    <n v="-42"/>
    <n v="0"/>
    <n v="42"/>
    <e v="#VALUE!"/>
    <n v="42"/>
    <n v="0"/>
    <m/>
    <m/>
    <s v="Y"/>
    <m/>
    <s v="31-60 DAYS"/>
    <n v="3"/>
    <x v="0"/>
  </r>
  <r>
    <n v="2092"/>
    <s v="N"/>
    <s v="N"/>
    <n v="2506542"/>
    <n v="6"/>
    <d v="2012-03-19T00:00:00"/>
    <d v="2013-02-07T00:00:00"/>
    <n v="2506542"/>
    <d v="2012-03-20T00:00:00"/>
    <d v="2013-02-07T00:00:00"/>
    <s v="NO BOND"/>
    <x v="1"/>
    <m/>
    <s v="N"/>
    <s v="NONE"/>
    <s v="GUILTY PLEA - NO JURY"/>
    <n v="325"/>
    <n v="326"/>
    <n v="1"/>
    <n v="0"/>
    <m/>
    <n v="1"/>
    <m/>
    <m/>
    <m/>
    <m/>
    <m/>
    <m/>
    <m/>
    <d v="1993-05-30T00:00:00"/>
    <s v="M"/>
    <s v="B"/>
    <s v="BLACK"/>
    <s v="NULL"/>
    <s v="184"/>
    <s v="CONVICTED"/>
    <n v="12"/>
    <s v="TDC"/>
    <n v="15"/>
    <m/>
    <m/>
    <s v="AGG ROBBERY-DEADLY WPN"/>
    <m/>
    <s v="F1"/>
    <s v="ROBBERY"/>
    <m/>
    <m/>
    <m/>
    <m/>
    <m/>
    <m/>
    <m/>
    <m/>
    <m/>
    <s v="Appointed Attorney"/>
    <m/>
    <m/>
    <n v="325"/>
    <n v="325"/>
    <n v="326"/>
    <n v="18.765027322404372"/>
    <n v="0"/>
    <n v="0"/>
    <s v="CONVICTION"/>
    <x v="0"/>
    <s v="N"/>
    <m/>
    <s v="CONVICTION"/>
    <s v="Y"/>
    <x v="0"/>
    <x v="0"/>
    <s v="Y"/>
    <n v="0.99693251533742333"/>
    <n v="1"/>
    <n v="3.0674846625766694E-3"/>
    <n v="0"/>
    <n v="-325"/>
    <n v="0"/>
    <n v="325"/>
    <e v="#VALUE!"/>
    <n v="325"/>
    <n v="0"/>
    <m/>
    <m/>
    <s v="Y"/>
    <m/>
    <s v="121-365 DAYS"/>
    <n v="6"/>
    <x v="0"/>
  </r>
  <r>
    <n v="1067"/>
    <s v="Y"/>
    <s v="N"/>
    <n v="2508188"/>
    <n v="2"/>
    <d v="2012-02-09T00:00:00"/>
    <d v="2012-08-27T00:00:00"/>
    <n v="2508188"/>
    <d v="2012-02-09T00:00:00"/>
    <d v="2012-02-11T00:00:00"/>
    <n v="5000"/>
    <x v="4"/>
    <d v="2012-02-11T00:00:00"/>
    <s v="Y"/>
    <s v="SURETY"/>
    <s v="DEFERRED ADJUDICATION "/>
    <n v="3"/>
    <n v="201"/>
    <n v="0"/>
    <n v="2"/>
    <m/>
    <m/>
    <m/>
    <m/>
    <m/>
    <m/>
    <m/>
    <m/>
    <m/>
    <d v="1989-10-05T00:00:00"/>
    <s v="F"/>
    <s v="W"/>
    <s v="WHITE"/>
    <s v="NULL"/>
    <s v="176"/>
    <s v="DEFERRED"/>
    <n v="9"/>
    <s v="DEFERRED"/>
    <m/>
    <m/>
    <m/>
    <s v="HARASSMENT OF PUBLIC SERVANT"/>
    <m/>
    <s v="F3"/>
    <s v="OTHER FEL"/>
    <m/>
    <m/>
    <m/>
    <m/>
    <m/>
    <m/>
    <m/>
    <m/>
    <m/>
    <s v="Appointed Attorney"/>
    <s v="law 7/26/13 tdc 2y"/>
    <m/>
    <n v="3"/>
    <n v="201"/>
    <n v="201"/>
    <n v="22.300546448087431"/>
    <n v="0"/>
    <n v="-198"/>
    <s v="DEFERRED"/>
    <x v="1"/>
    <s v="Y"/>
    <m/>
    <s v="DEFERRED"/>
    <s v="Y"/>
    <x v="1"/>
    <x v="0"/>
    <s v="N"/>
    <n v="1.4925373134328358E-2"/>
    <n v="1.4925373134328358E-2"/>
    <n v="0"/>
    <n v="0"/>
    <n v="-3"/>
    <n v="0"/>
    <n v="3"/>
    <e v="#VALUE!"/>
    <n v="3"/>
    <n v="0"/>
    <m/>
    <m/>
    <s v="Y"/>
    <m/>
    <s v="0-10 DAYS"/>
    <n v="1"/>
    <x v="0"/>
  </r>
  <r>
    <n v="3114"/>
    <s v="N"/>
    <s v="N"/>
    <n v="2509912"/>
    <n v="4"/>
    <d v="2012-04-25T00:00:00"/>
    <d v="2012-04-26T00:00:00"/>
    <n v="2509912"/>
    <d v="2012-04-25T00:00:00"/>
    <d v="2012-04-26T00:00:00"/>
    <n v="2000"/>
    <x v="5"/>
    <m/>
    <s v="N"/>
    <s v="NONE"/>
    <s v="GUILTY PLEA - NO JURY"/>
    <n v="2"/>
    <n v="2"/>
    <n v="0"/>
    <n v="1"/>
    <m/>
    <m/>
    <m/>
    <m/>
    <m/>
    <m/>
    <m/>
    <m/>
    <m/>
    <d v="1967-06-04T00:00:00"/>
    <s v="M"/>
    <s v="B"/>
    <s v="BLACK"/>
    <s v="NULL"/>
    <s v="263"/>
    <s v="CONVICTED"/>
    <n v="1"/>
    <s v="HCJ"/>
    <m/>
    <m/>
    <n v="60"/>
    <s v="POSS CS PG 1 &lt;1G"/>
    <m/>
    <s v="FS"/>
    <s v="POSS DRUG"/>
    <m/>
    <m/>
    <m/>
    <m/>
    <m/>
    <m/>
    <m/>
    <m/>
    <m/>
    <s v="Appointed Attorney"/>
    <m/>
    <m/>
    <n v="2"/>
    <n v="2"/>
    <n v="2"/>
    <n v="44.800546448087431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2904"/>
    <s v="N"/>
    <s v="N"/>
    <n v="2510091"/>
    <n v="1"/>
    <d v="2012-04-17T00:00:00"/>
    <d v="2012-11-05T00:00:00"/>
    <n v="2510091"/>
    <d v="2012-04-17T00:00:00"/>
    <d v="2012-04-19T00:00:00"/>
    <n v="5000"/>
    <x v="4"/>
    <d v="2012-04-19T00:00:00"/>
    <s v="Y"/>
    <s v="PTRc"/>
    <s v="DISMISSED"/>
    <n v="3"/>
    <n v="203"/>
    <n v="0"/>
    <n v="0"/>
    <m/>
    <m/>
    <m/>
    <m/>
    <m/>
    <m/>
    <m/>
    <m/>
    <m/>
    <d v="1970-07-08T00:00:00"/>
    <s v="F"/>
    <s v="W"/>
    <s v="WHITE"/>
    <s v="NULL"/>
    <s v="176"/>
    <s v="DISMISSED"/>
    <n v="9"/>
    <s v="DISMISSED"/>
    <m/>
    <m/>
    <m/>
    <s v="MISAPP/FIDUC/FINAN 20K-100K"/>
    <m/>
    <s v="F3"/>
    <s v="OTHER FEL"/>
    <s v="fel theft 11/7/12 tdc 3 yrs jury "/>
    <m/>
    <m/>
    <m/>
    <m/>
    <m/>
    <m/>
    <m/>
    <m/>
    <s v="Hired Attorney"/>
    <m/>
    <m/>
    <n v="3"/>
    <n v="203"/>
    <n v="203"/>
    <n v="41.691256830601091"/>
    <n v="0"/>
    <n v="-200"/>
    <s v="NO CONVICTION"/>
    <x v="2"/>
    <s v="Y"/>
    <m/>
    <s v="NO CONVICTION"/>
    <s v="Y"/>
    <x v="1"/>
    <x v="0"/>
    <s v="N"/>
    <n v="1.4778325123152709E-2"/>
    <n v="1.4778325123152709E-2"/>
    <n v="0"/>
    <n v="0"/>
    <n v="-3"/>
    <n v="0"/>
    <n v="3"/>
    <e v="#VALUE!"/>
    <n v="3"/>
    <n v="0"/>
    <m/>
    <m/>
    <s v="N"/>
    <m/>
    <s v="0-10 DAYS"/>
    <n v="1"/>
    <x v="0"/>
  </r>
  <r>
    <n v="1154"/>
    <s v="N"/>
    <s v="N"/>
    <n v="2510388"/>
    <n v="2"/>
    <d v="2012-02-11T00:00:00"/>
    <d v="2012-04-03T00:00:00"/>
    <n v="2510388"/>
    <d v="2012-02-11T00:00:00"/>
    <d v="2012-02-16T00:00:00"/>
    <n v="2000"/>
    <x v="5"/>
    <d v="2012-02-16T00:00:00"/>
    <s v="Y"/>
    <s v="SURETY"/>
    <s v="DEFERRED ADJUDICATION "/>
    <n v="6"/>
    <n v="53"/>
    <n v="0"/>
    <n v="0"/>
    <m/>
    <m/>
    <m/>
    <m/>
    <m/>
    <m/>
    <m/>
    <m/>
    <m/>
    <d v="1988-10-20T00:00:00"/>
    <s v="F"/>
    <s v="B"/>
    <s v="BLACK"/>
    <s v="NULL"/>
    <s v="180"/>
    <s v="DEFERRED"/>
    <n v="3"/>
    <s v="DEFERRED"/>
    <m/>
    <m/>
    <m/>
    <s v="POSS CS PG 1 &lt;1G"/>
    <m/>
    <s v="FS"/>
    <s v="POSS DRUG"/>
    <m/>
    <m/>
    <m/>
    <m/>
    <m/>
    <m/>
    <m/>
    <m/>
    <m/>
    <s v="Appointed Attorney"/>
    <m/>
    <m/>
    <n v="6"/>
    <n v="53"/>
    <n v="53"/>
    <n v="23.262295081967213"/>
    <n v="0"/>
    <n v="-47"/>
    <s v="DEFERRED"/>
    <x v="1"/>
    <s v="Y"/>
    <m/>
    <s v="DEFERRED"/>
    <s v="Y"/>
    <x v="1"/>
    <x v="0"/>
    <s v="N"/>
    <n v="0.11320754716981132"/>
    <n v="0.11320754716981132"/>
    <n v="0"/>
    <n v="0"/>
    <n v="-6"/>
    <n v="0"/>
    <n v="6"/>
    <e v="#VALUE!"/>
    <n v="6"/>
    <n v="0"/>
    <m/>
    <m/>
    <s v="N"/>
    <m/>
    <s v="0-10 DAYS"/>
    <n v="1"/>
    <x v="0"/>
  </r>
  <r>
    <n v="1526"/>
    <s v="N"/>
    <s v="N"/>
    <n v="2510956"/>
    <n v="2"/>
    <d v="2012-02-26T00:00:00"/>
    <d v="2012-02-28T00:00:00"/>
    <n v="2510956"/>
    <d v="2012-02-26T00:00:00"/>
    <d v="2012-02-28T00:00:00"/>
    <n v="5000"/>
    <x v="4"/>
    <m/>
    <s v="N"/>
    <s v="NONE"/>
    <s v="DEFERRED ADJUDICATION "/>
    <n v="3"/>
    <n v="3"/>
    <n v="0"/>
    <n v="1"/>
    <m/>
    <m/>
    <m/>
    <m/>
    <m/>
    <m/>
    <m/>
    <m/>
    <m/>
    <d v="1991-08-27T00:00:00"/>
    <s v="F"/>
    <s v="W"/>
    <s v="WHITE"/>
    <s v="NULL"/>
    <s v="263"/>
    <s v="DEFERRED"/>
    <n v="2"/>
    <s v="DEFERRED"/>
    <m/>
    <m/>
    <m/>
    <s v="POSS CS PG 1  1 - 4 GRAMS"/>
    <m/>
    <s v="F3"/>
    <s v="POSS DRUG"/>
    <s v="fel drug filed 4/24/12 disp 7/2/12 def adj"/>
    <m/>
    <m/>
    <m/>
    <m/>
    <m/>
    <m/>
    <m/>
    <m/>
    <s v="Appointed Attorney"/>
    <m/>
    <m/>
    <n v="3"/>
    <n v="3"/>
    <n v="3"/>
    <n v="20.459016393442624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833"/>
    <s v="N"/>
    <s v="N"/>
    <n v="2510990"/>
    <n v="2"/>
    <d v="2012-04-14T00:00:00"/>
    <d v="2012-10-30T00:00:00"/>
    <n v="2510990"/>
    <d v="2012-04-14T00:00:00"/>
    <d v="2012-04-16T00:00:00"/>
    <n v="5000"/>
    <x v="4"/>
    <d v="2012-04-16T00:00:00"/>
    <s v="Y"/>
    <s v="SURETY"/>
    <s v="DEFERRED ADJUDICATION "/>
    <n v="3"/>
    <n v="200"/>
    <n v="0"/>
    <n v="1"/>
    <m/>
    <m/>
    <m/>
    <m/>
    <m/>
    <m/>
    <m/>
    <m/>
    <m/>
    <d v="1980-07-15T00:00:00"/>
    <s v="M"/>
    <s v="H"/>
    <s v="HISPANIC"/>
    <s v="HISPANIC"/>
    <s v="232"/>
    <s v="DEFERRED"/>
    <n v="8"/>
    <s v="DEFERRED"/>
    <m/>
    <m/>
    <m/>
    <s v="ASSAULT-BOD INJ-FAMILY MEMBER"/>
    <m/>
    <s v="F3"/>
    <s v="ASLT-MURDR"/>
    <m/>
    <m/>
    <m/>
    <m/>
    <m/>
    <m/>
    <m/>
    <m/>
    <m/>
    <s v="Hired Attorney"/>
    <m/>
    <m/>
    <n v="3"/>
    <n v="200"/>
    <n v="200"/>
    <n v="31.683060109289617"/>
    <n v="0"/>
    <n v="-197"/>
    <s v="DEFERRED"/>
    <x v="1"/>
    <s v="Y"/>
    <m/>
    <s v="DEFERRED"/>
    <s v="Y"/>
    <x v="1"/>
    <x v="0"/>
    <s v="N"/>
    <n v="1.4999999999999999E-2"/>
    <n v="1.4999999999999999E-2"/>
    <n v="0"/>
    <n v="0"/>
    <n v="-3"/>
    <n v="0"/>
    <n v="3"/>
    <e v="#VALUE!"/>
    <n v="3"/>
    <n v="0"/>
    <m/>
    <m/>
    <s v="Y"/>
    <m/>
    <s v="0-10 DAYS"/>
    <n v="1"/>
    <x v="0"/>
  </r>
  <r>
    <n v="2610"/>
    <s v="N"/>
    <s v="Y"/>
    <n v="2511286"/>
    <n v="5"/>
    <d v="2012-04-06T00:00:00"/>
    <d v="2012-09-14T00:00:00"/>
    <n v="2511286"/>
    <d v="2012-04-07T00:00:00"/>
    <d v="2012-04-28T00:00:00"/>
    <n v="20000"/>
    <x v="0"/>
    <d v="2012-04-28T00:00:00"/>
    <s v="Y"/>
    <s v="SURETYPTRc"/>
    <s v="GUILTY PLEA - NO JURY"/>
    <n v="28"/>
    <n v="162"/>
    <n v="1"/>
    <n v="0"/>
    <n v="1"/>
    <m/>
    <m/>
    <m/>
    <m/>
    <m/>
    <m/>
    <m/>
    <m/>
    <d v="1973-08-28T00:00:00"/>
    <s v="M"/>
    <s v="W"/>
    <s v="WHITE"/>
    <s v="NON-HISPANIC"/>
    <s v="338"/>
    <s v="CONVICTED"/>
    <n v="9"/>
    <s v="STJ"/>
    <m/>
    <n v="6"/>
    <m/>
    <s v="POSS CS PG 1 &lt;1G"/>
    <m/>
    <s v="FS"/>
    <s v="POSS DRUG"/>
    <s v="bK recal"/>
    <m/>
    <s v="Y"/>
    <s v="bf 7/24/12"/>
    <m/>
    <m/>
    <m/>
    <d v="2013-04-23T00:00:00"/>
    <n v="355"/>
    <s v="Hired Attorney"/>
    <m/>
    <m/>
    <n v="28"/>
    <n v="161"/>
    <n v="162"/>
    <n v="38.527322404371581"/>
    <n v="0"/>
    <n v="-139"/>
    <s v="CONVICTION"/>
    <x v="1"/>
    <s v="N"/>
    <m/>
    <s v="CONVICTION"/>
    <s v="Y"/>
    <x v="0"/>
    <x v="0"/>
    <s v="Y"/>
    <n v="0.1728395061728395"/>
    <n v="0.13664596273291926"/>
    <n v="-3.6193543439920234E-2"/>
    <n v="0"/>
    <n v="-22"/>
    <n v="6"/>
    <n v="161"/>
    <n v="28"/>
    <n v="161"/>
    <n v="139"/>
    <m/>
    <m/>
    <s v="Y"/>
    <m/>
    <s v="11-30 DAYS"/>
    <n v="2"/>
    <x v="0"/>
  </r>
  <r>
    <n v="2250"/>
    <s v="N"/>
    <s v="N"/>
    <n v="2511368"/>
    <n v="2"/>
    <d v="2012-03-26T00:00:00"/>
    <d v="2012-11-02T00:00:00"/>
    <n v="2511368"/>
    <s v="NOT BOOKED"/>
    <s v="NOT BOOKED"/>
    <n v="5000"/>
    <x v="4"/>
    <d v="2012-04-17T00:00:00"/>
    <s v="Y"/>
    <s v="SURETY"/>
    <s v="DEFERRED ADJUDICATION "/>
    <n v="0"/>
    <n v="222"/>
    <n v="0"/>
    <n v="0"/>
    <m/>
    <m/>
    <m/>
    <m/>
    <m/>
    <m/>
    <m/>
    <m/>
    <m/>
    <d v="1991-09-15T00:00:00"/>
    <s v="M"/>
    <s v="B"/>
    <s v="BLACK"/>
    <s v="NULL"/>
    <s v="248"/>
    <s v="DEFERRED"/>
    <n v="8"/>
    <s v="DEFERRED"/>
    <m/>
    <m/>
    <m/>
    <s v="THEFT $1500-20K"/>
    <m/>
    <s v="FS"/>
    <s v="THEFT"/>
    <m/>
    <m/>
    <m/>
    <m/>
    <m/>
    <m/>
    <m/>
    <m/>
    <m/>
    <s v="Appointed Attorney"/>
    <m/>
    <m/>
    <n v="0"/>
    <n v="0"/>
    <n v="222"/>
    <n v="20.486338797814209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987"/>
    <s v="Y"/>
    <s v="Y"/>
    <n v="2511939"/>
    <n v="2"/>
    <d v="2012-03-15T00:00:00"/>
    <d v="2012-09-21T00:00:00"/>
    <n v="2511939"/>
    <d v="2012-04-16T00:00:00"/>
    <d v="2012-09-21T00:00:00"/>
    <n v="5000"/>
    <x v="4"/>
    <d v="2012-03-16T00:00:00"/>
    <s v="Y"/>
    <s v="SURETYPTRc"/>
    <s v="DEFERRED ADJUDICATION "/>
    <n v="38"/>
    <n v="191"/>
    <n v="0"/>
    <n v="1"/>
    <m/>
    <m/>
    <m/>
    <m/>
    <m/>
    <m/>
    <m/>
    <m/>
    <m/>
    <d v="1993-01-10T00:00:00"/>
    <s v="M"/>
    <s v="W"/>
    <s v="WHITE"/>
    <s v="NULL"/>
    <s v="182"/>
    <s v="DEFERRED"/>
    <n v="11"/>
    <s v="DEFERRED"/>
    <m/>
    <m/>
    <m/>
    <s v="POSS CS PG 4 28-200 GRAMS"/>
    <m/>
    <s v="F3"/>
    <s v="POSS DRUG"/>
    <s v="revoke 4/16/12"/>
    <s v="revoke 4/16/12"/>
    <m/>
    <m/>
    <s v="Y"/>
    <m/>
    <m/>
    <m/>
    <m/>
    <s v="Appointed Attorney"/>
    <s v="revoked 1/31/13 pcs 7 m9s stj"/>
    <m/>
    <n v="38"/>
    <n v="159"/>
    <n v="191"/>
    <n v="19.136612021857925"/>
    <n v="0"/>
    <n v="0"/>
    <s v="DEFERRED"/>
    <x v="1"/>
    <s v="Y"/>
    <m/>
    <s v="DEFERRED"/>
    <s v="Y"/>
    <x v="1"/>
    <x v="0"/>
    <s v="N"/>
    <n v="0.19895287958115182"/>
    <n v="1"/>
    <n v="0.80104712041884818"/>
    <n v="0"/>
    <n v="-159"/>
    <n v="-121"/>
    <n v="-30"/>
    <n v="38"/>
    <m/>
    <n v="0"/>
    <m/>
    <m/>
    <s v="Y"/>
    <m/>
    <s v="31-60 DAYS"/>
    <n v="3"/>
    <x v="0"/>
  </r>
  <r>
    <n v="956"/>
    <s v="N"/>
    <s v="N"/>
    <n v="2512241"/>
    <n v="2"/>
    <d v="2012-02-04T00:00:00"/>
    <d v="2012-06-12T00:00:00"/>
    <n v="2512241"/>
    <d v="2012-02-05T00:00:00"/>
    <d v="2012-02-06T00:00:00"/>
    <n v="17000"/>
    <x v="0"/>
    <d v="2012-02-06T00:00:00"/>
    <s v="Y"/>
    <s v="SURETY"/>
    <s v="DEFERRED ADJUDICATION "/>
    <n v="2"/>
    <n v="130"/>
    <n v="0"/>
    <n v="1"/>
    <m/>
    <m/>
    <m/>
    <m/>
    <m/>
    <m/>
    <m/>
    <m/>
    <m/>
    <d v="1984-05-09T00:00:00"/>
    <s v="M"/>
    <s v="B"/>
    <s v="BLACK"/>
    <s v="NULL"/>
    <s v="338"/>
    <s v="DEFERRED"/>
    <n v="6"/>
    <s v="DEFERRED"/>
    <m/>
    <m/>
    <m/>
    <s v="POSS W/INT DEL CS PG1 1G &lt;4 GR"/>
    <m/>
    <s v="F2"/>
    <s v="SALE DRUG"/>
    <m/>
    <m/>
    <m/>
    <m/>
    <m/>
    <m/>
    <m/>
    <m/>
    <m/>
    <s v="Hired Attorney"/>
    <m/>
    <m/>
    <n v="2"/>
    <n v="129"/>
    <n v="130"/>
    <n v="27.683060109289617"/>
    <n v="0"/>
    <n v="-127"/>
    <s v="DEFERRED"/>
    <x v="1"/>
    <s v="Y"/>
    <m/>
    <s v="DEFERRED"/>
    <s v="Y"/>
    <x v="1"/>
    <x v="0"/>
    <s v="N"/>
    <n v="1.5384615384615385E-2"/>
    <n v="1.5503875968992248E-2"/>
    <n v="1.1926058437686238E-4"/>
    <n v="0"/>
    <n v="-2"/>
    <n v="0"/>
    <n v="2"/>
    <e v="#VALUE!"/>
    <n v="2"/>
    <n v="0"/>
    <m/>
    <m/>
    <s v="Y"/>
    <m/>
    <s v="0-10 DAYS"/>
    <n v="1"/>
    <x v="0"/>
  </r>
  <r>
    <n v="416"/>
    <s v="N"/>
    <s v="N"/>
    <n v="2512511"/>
    <n v="2"/>
    <d v="2012-01-18T00:00:00"/>
    <d v="2012-08-27T00:00:00"/>
    <n v="2512511"/>
    <d v="2012-01-18T00:00:00"/>
    <d v="2012-01-22T00:00:00"/>
    <n v="10000"/>
    <x v="3"/>
    <d v="2012-01-22T00:00:00"/>
    <s v="Y"/>
    <s v="SURETY"/>
    <s v="DEFERRED ADJUDICATION "/>
    <n v="5"/>
    <n v="223"/>
    <n v="0"/>
    <n v="2"/>
    <m/>
    <m/>
    <m/>
    <m/>
    <m/>
    <m/>
    <m/>
    <m/>
    <m/>
    <d v="1993-08-10T00:00:00"/>
    <s v="M"/>
    <s v="B"/>
    <s v="BLACK"/>
    <s v="NULL"/>
    <s v="184"/>
    <s v="DEFERRED"/>
    <n v="11"/>
    <s v="DEFERRED"/>
    <m/>
    <m/>
    <n v="180"/>
    <s v="BURGLARY OF HABITATION"/>
    <m/>
    <s v="F2"/>
    <s v="BURGLARY"/>
    <m/>
    <m/>
    <m/>
    <m/>
    <m/>
    <m/>
    <m/>
    <m/>
    <m/>
    <s v="Public Defender"/>
    <m/>
    <m/>
    <n v="5"/>
    <n v="223"/>
    <n v="223"/>
    <n v="18.401639344262296"/>
    <n v="0"/>
    <n v="-218"/>
    <s v="DEFERRED"/>
    <x v="1"/>
    <s v="Y"/>
    <m/>
    <s v="DEFERRED"/>
    <s v="Y"/>
    <x v="1"/>
    <x v="0"/>
    <s v="N"/>
    <n v="2.2421524663677129E-2"/>
    <n v="2.2421524663677129E-2"/>
    <n v="0"/>
    <n v="0"/>
    <n v="-5"/>
    <n v="0"/>
    <n v="5"/>
    <e v="#VALUE!"/>
    <n v="5"/>
    <n v="0"/>
    <m/>
    <m/>
    <s v="Y"/>
    <m/>
    <s v="0-10 DAYS"/>
    <n v="1"/>
    <x v="0"/>
  </r>
  <r>
    <n v="111"/>
    <s v="N"/>
    <s v="N"/>
    <n v="2513842"/>
    <n v="2"/>
    <d v="2012-01-05T00:00:00"/>
    <d v="2012-01-09T00:00:00"/>
    <n v="2513842"/>
    <d v="2012-01-06T00:00:00"/>
    <d v="2012-01-09T00:00:00"/>
    <n v="2000"/>
    <x v="5"/>
    <m/>
    <s v="N"/>
    <s v="NONE"/>
    <s v="DEFERRED ADJUDICATION "/>
    <n v="4"/>
    <n v="5"/>
    <n v="0"/>
    <n v="5"/>
    <m/>
    <m/>
    <m/>
    <m/>
    <m/>
    <m/>
    <m/>
    <m/>
    <m/>
    <d v="1993-05-22T00:00:00"/>
    <s v="M"/>
    <s v="H"/>
    <s v="HISPANIC"/>
    <s v="HISPANIC"/>
    <s v="185"/>
    <s v="DEFERRED"/>
    <n v="1"/>
    <s v="DEFERRED"/>
    <m/>
    <m/>
    <m/>
    <s v="CREDIT/DEBIT CARD ABUSE"/>
    <m/>
    <s v="FS"/>
    <s v="OTHER FEL"/>
    <m/>
    <m/>
    <m/>
    <m/>
    <m/>
    <m/>
    <m/>
    <m/>
    <m/>
    <s v="Appointed Attorney"/>
    <m/>
    <m/>
    <n v="4"/>
    <n v="4"/>
    <n v="5"/>
    <n v="18.584699453551913"/>
    <n v="0"/>
    <n v="0"/>
    <s v="DEFERRED"/>
    <x v="0"/>
    <s v="N"/>
    <m/>
    <s v="DEFERRED"/>
    <s v="Y"/>
    <x v="0"/>
    <x v="0"/>
    <s v="N"/>
    <n v="0.8"/>
    <n v="1"/>
    <n v="0.19999999999999996"/>
    <n v="0"/>
    <n v="-4"/>
    <n v="0"/>
    <n v="4"/>
    <e v="#VALUE!"/>
    <n v="4"/>
    <n v="0"/>
    <m/>
    <m/>
    <s v="Y"/>
    <m/>
    <s v="0-10 DAYS"/>
    <n v="1"/>
    <x v="0"/>
  </r>
  <r>
    <n v="3253"/>
    <s v="N"/>
    <s v="N"/>
    <n v="2514119"/>
    <n v="5"/>
    <d v="2012-04-30T00:00:00"/>
    <d v="2012-05-23T00:00:00"/>
    <n v="2514119"/>
    <d v="2012-05-01T00:00:00"/>
    <d v="2012-05-23T00:00:00"/>
    <s v="NO BOND"/>
    <x v="1"/>
    <m/>
    <s v="N"/>
    <s v="NONE"/>
    <s v="GUILTY PLEA - NO JURY"/>
    <n v="23"/>
    <n v="24"/>
    <n v="1"/>
    <n v="0"/>
    <n v="1"/>
    <m/>
    <m/>
    <m/>
    <m/>
    <m/>
    <m/>
    <s v="S"/>
    <m/>
    <d v="1988-11-23T00:00:00"/>
    <s v="M"/>
    <s v="H"/>
    <s v="HISPANIC"/>
    <s v="NULL"/>
    <s v="179"/>
    <s v="CONVICTED"/>
    <n v="2"/>
    <s v="STJ"/>
    <m/>
    <n v="7"/>
    <m/>
    <s v="POSS CS PG 1 &lt;1G"/>
    <m/>
    <s v="FS"/>
    <s v="POSS DRUG"/>
    <m/>
    <m/>
    <m/>
    <m/>
    <m/>
    <m/>
    <m/>
    <m/>
    <m/>
    <s v="Appointed Attorney"/>
    <m/>
    <m/>
    <n v="23"/>
    <n v="23"/>
    <n v="24"/>
    <n v="23.385245901639344"/>
    <n v="0"/>
    <n v="0"/>
    <s v="CONVICTION"/>
    <x v="0"/>
    <s v="N"/>
    <m/>
    <s v="CONVICTION"/>
    <s v="Y"/>
    <x v="0"/>
    <x v="0"/>
    <s v="Y"/>
    <n v="0.95833333333333337"/>
    <n v="1"/>
    <n v="4.166666666666663E-2"/>
    <n v="0"/>
    <n v="-23"/>
    <n v="0"/>
    <n v="23"/>
    <e v="#VALUE!"/>
    <n v="23"/>
    <n v="0"/>
    <m/>
    <m/>
    <s v="Y"/>
    <m/>
    <s v="11-30 DAYS"/>
    <n v="2"/>
    <x v="0"/>
  </r>
  <r>
    <n v="1043"/>
    <s v="N"/>
    <s v="N"/>
    <n v="2514276"/>
    <n v="6"/>
    <d v="2012-02-08T00:00:00"/>
    <d v="2012-03-22T00:00:00"/>
    <n v="2514276"/>
    <d v="2012-02-08T00:00:00"/>
    <d v="2012-03-22T00:00:00"/>
    <s v="NO BOND"/>
    <x v="1"/>
    <m/>
    <s v="N"/>
    <s v="NONE"/>
    <s v="GUILTY PLEA - NO JURY"/>
    <n v="44"/>
    <n v="44"/>
    <n v="0"/>
    <n v="0"/>
    <m/>
    <m/>
    <m/>
    <m/>
    <m/>
    <m/>
    <m/>
    <s v="S"/>
    <m/>
    <d v="1971-08-21T00:00:00"/>
    <s v="M"/>
    <s v="H"/>
    <s v="HISPANIC"/>
    <s v="NON-HISPANIC"/>
    <s v="338"/>
    <s v="CONVICTED"/>
    <n v="2"/>
    <s v="TDC"/>
    <n v="2"/>
    <m/>
    <m/>
    <s v="POSS CS PG 1  1 - 4 GRAMS"/>
    <m/>
    <s v="F3"/>
    <s v="POSS DRUG"/>
    <m/>
    <m/>
    <m/>
    <m/>
    <m/>
    <m/>
    <m/>
    <m/>
    <m/>
    <s v="Appointed Attorney"/>
    <m/>
    <m/>
    <n v="44"/>
    <n v="44"/>
    <n v="44"/>
    <n v="40.385245901639344"/>
    <n v="0"/>
    <n v="0"/>
    <s v="CONVICTION"/>
    <x v="0"/>
    <s v="N"/>
    <m/>
    <s v="CONVICTION"/>
    <s v="Y"/>
    <x v="0"/>
    <x v="0"/>
    <s v="N"/>
    <n v="1"/>
    <n v="1"/>
    <n v="0"/>
    <n v="0"/>
    <n v="-44"/>
    <n v="0"/>
    <n v="44"/>
    <e v="#VALUE!"/>
    <n v="44"/>
    <n v="0"/>
    <m/>
    <m/>
    <s v="N"/>
    <m/>
    <s v="31-60 DAYS"/>
    <n v="3"/>
    <x v="0"/>
  </r>
  <r>
    <n v="3224"/>
    <s v="N"/>
    <s v="N"/>
    <n v="2515431"/>
    <n v="4"/>
    <d v="2012-04-29T00:00:00"/>
    <d v="2012-04-30T00:00:00"/>
    <n v="2515431"/>
    <d v="2012-04-29T00:00:00"/>
    <d v="2012-04-30T00:00:00"/>
    <s v="NO BOND"/>
    <x v="1"/>
    <m/>
    <s v="N"/>
    <s v="NONE"/>
    <s v="GUILTY PLEA - NO JURY"/>
    <n v="2"/>
    <n v="2"/>
    <n v="0"/>
    <n v="1"/>
    <m/>
    <m/>
    <m/>
    <m/>
    <m/>
    <m/>
    <m/>
    <m/>
    <m/>
    <d v="1990-12-07T00:00:00"/>
    <s v="M"/>
    <s v="B"/>
    <s v="BLACK"/>
    <s v="NULL"/>
    <s v="208"/>
    <s v="CONVICTED"/>
    <n v="1"/>
    <s v="HCJ"/>
    <m/>
    <m/>
    <n v="90"/>
    <s v="POSS CS PG 1 &lt;1G"/>
    <m/>
    <s v="FS"/>
    <s v="POSS DRUG"/>
    <m/>
    <m/>
    <m/>
    <m/>
    <m/>
    <m/>
    <m/>
    <m/>
    <m/>
    <s v="Appointed Attorney"/>
    <m/>
    <m/>
    <n v="2"/>
    <n v="2"/>
    <n v="2"/>
    <n v="21.349726775956285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1331"/>
    <s v="N"/>
    <s v="N"/>
    <n v="2515599"/>
    <n v="2"/>
    <d v="2012-02-18T00:00:00"/>
    <d v="2012-07-17T00:00:00"/>
    <n v="2515599"/>
    <d v="2012-02-18T00:00:00"/>
    <d v="2012-02-18T00:00:00"/>
    <n v="2000"/>
    <x v="5"/>
    <d v="2012-02-18T00:00:00"/>
    <s v="Y"/>
    <s v="SURETYPTRc"/>
    <s v="DEFERRED ADJUDICATION "/>
    <n v="1"/>
    <n v="151"/>
    <n v="0"/>
    <n v="1"/>
    <m/>
    <m/>
    <m/>
    <m/>
    <m/>
    <m/>
    <m/>
    <m/>
    <m/>
    <d v="1978-05-11T00:00:00"/>
    <s v="M"/>
    <s v="W"/>
    <s v="WHITE"/>
    <s v="NULL"/>
    <s v="248"/>
    <s v="DEFERRED"/>
    <n v="6"/>
    <s v="DEFERRED"/>
    <m/>
    <m/>
    <m/>
    <s v="POSS MARIJ  4 OZ. - 5 LBS."/>
    <m/>
    <s v="FS"/>
    <s v="POSS DRUG"/>
    <m/>
    <m/>
    <m/>
    <m/>
    <m/>
    <m/>
    <m/>
    <m/>
    <m/>
    <s v="Hired Attorney"/>
    <m/>
    <m/>
    <n v="1"/>
    <n v="151"/>
    <n v="151"/>
    <n v="33.704918032786885"/>
    <n v="0"/>
    <n v="-150"/>
    <s v="DEFERRED"/>
    <x v="1"/>
    <s v="Y"/>
    <m/>
    <s v="DEFERRED"/>
    <s v="Y"/>
    <x v="1"/>
    <x v="0"/>
    <s v="N"/>
    <n v="6.6225165562913907E-3"/>
    <n v="6.6225165562913907E-3"/>
    <n v="0"/>
    <n v="0"/>
    <n v="-1"/>
    <n v="0"/>
    <n v="1"/>
    <e v="#VALUE!"/>
    <n v="1"/>
    <n v="0"/>
    <m/>
    <m/>
    <s v="Y"/>
    <m/>
    <s v="0-10 DAYS"/>
    <n v="1"/>
    <x v="0"/>
  </r>
  <r>
    <n v="128"/>
    <s v="N"/>
    <s v="N"/>
    <n v="2516789"/>
    <n v="5"/>
    <d v="2012-01-06T00:00:00"/>
    <d v="2013-04-16T00:00:00"/>
    <n v="2516789"/>
    <d v="2013-04-11T00:00:00"/>
    <d v="2013-04-16T00:00:00"/>
    <n v="5000"/>
    <x v="4"/>
    <m/>
    <s v="N"/>
    <s v="NONE"/>
    <s v="GUILTY PLEA - NO JURY"/>
    <n v="6"/>
    <n v="467"/>
    <n v="1"/>
    <n v="0"/>
    <n v="1"/>
    <m/>
    <m/>
    <m/>
    <m/>
    <m/>
    <m/>
    <m/>
    <m/>
    <d v="1967-06-13T00:00:00"/>
    <s v="M"/>
    <s v="B"/>
    <s v="BLACK"/>
    <s v="NULL"/>
    <s v="337"/>
    <s v="CONVICTED"/>
    <n v="2"/>
    <s v="STJ"/>
    <m/>
    <m/>
    <n v="7"/>
    <s v="FAIL TO REGISTER AS SEX OFFEND"/>
    <m/>
    <s v="FS"/>
    <s v="OTHER FEL"/>
    <s v="was na fug"/>
    <m/>
    <m/>
    <m/>
    <m/>
    <m/>
    <m/>
    <m/>
    <m/>
    <s v="Appointed Attorney"/>
    <m/>
    <m/>
    <n v="6"/>
    <n v="6"/>
    <n v="467"/>
    <n v="44.475409836065573"/>
    <n v="0"/>
    <n v="0"/>
    <s v="CONVICTION"/>
    <x v="0"/>
    <s v="N"/>
    <m/>
    <s v="CONVICTION"/>
    <s v="Y"/>
    <x v="0"/>
    <x v="0"/>
    <s v="Y"/>
    <n v="1.284796573875803E-2"/>
    <n v="1"/>
    <n v="0.98715203426124198"/>
    <n v="0"/>
    <n v="-6"/>
    <n v="0"/>
    <n v="6"/>
    <n v="6"/>
    <n v="6"/>
    <n v="0"/>
    <m/>
    <m/>
    <s v="Y"/>
    <m/>
    <s v="0-10 DAYS"/>
    <n v="1"/>
    <x v="0"/>
  </r>
  <r>
    <n v="3192"/>
    <s v="N"/>
    <s v="N"/>
    <n v="2517727"/>
    <n v="3"/>
    <d v="2012-04-27T00:00:00"/>
    <d v="2014-05-12T00:00:00"/>
    <n v="2517727"/>
    <d v="2012-05-15T00:00:00"/>
    <d v="2012-05-16T00:00:00"/>
    <n v="60000"/>
    <x v="2"/>
    <d v="2012-05-16T00:00:00"/>
    <s v="Y"/>
    <s v="SURETY"/>
    <s v="JURY VERDCT"/>
    <n v="2"/>
    <n v="746"/>
    <n v="0"/>
    <n v="0"/>
    <m/>
    <m/>
    <m/>
    <m/>
    <m/>
    <m/>
    <m/>
    <m/>
    <m/>
    <d v="1970-11-30T00:00:00"/>
    <s v="F"/>
    <s v="W"/>
    <s v="WHITE"/>
    <s v="NULL"/>
    <s v="339"/>
    <s v="CONVICTED"/>
    <n v="21"/>
    <s v="PROBATION"/>
    <m/>
    <m/>
    <n v="30"/>
    <s v="SEX ASSLT CHILD 14-17"/>
    <m/>
    <s v="F2"/>
    <s v="SEX ABUSE"/>
    <s v="2 CASES SAME DISP"/>
    <m/>
    <m/>
    <m/>
    <m/>
    <m/>
    <m/>
    <m/>
    <m/>
    <s v="Hired Attorney"/>
    <m/>
    <m/>
    <n v="2"/>
    <n v="728"/>
    <n v="746"/>
    <n v="41.322404371584696"/>
    <n v="0"/>
    <n v="-726"/>
    <s v="CONVICTION"/>
    <x v="1"/>
    <m/>
    <m/>
    <s v="CONVICTION"/>
    <s v="Y"/>
    <x v="0"/>
    <x v="0"/>
    <s v="N"/>
    <n v="2.6809651474530832E-3"/>
    <n v="2.7000000000000001E-3"/>
    <n v="0"/>
    <n v="0"/>
    <n v="-2"/>
    <n v="0"/>
    <n v="728"/>
    <e v="#VALUE!"/>
    <n v="2"/>
    <m/>
    <m/>
    <m/>
    <s v="N"/>
    <e v="#N/A"/>
    <s v="0-10 DAYS"/>
    <n v="1"/>
    <x v="0"/>
  </r>
  <r>
    <n v="2154"/>
    <s v="N"/>
    <s v="N"/>
    <n v="2517900"/>
    <n v="1"/>
    <d v="2012-03-21T00:00:00"/>
    <d v="2012-05-15T00:00:00"/>
    <n v="2517900"/>
    <d v="2012-03-22T00:00:00"/>
    <d v="2012-03-24T00:00:00"/>
    <n v="15000"/>
    <x v="0"/>
    <d v="2012-03-24T00:00:00"/>
    <s v="Y"/>
    <s v="SURETY"/>
    <s v="DISMISSED"/>
    <n v="3"/>
    <n v="56"/>
    <n v="2"/>
    <n v="3"/>
    <n v="1"/>
    <m/>
    <m/>
    <m/>
    <m/>
    <m/>
    <m/>
    <m/>
    <m/>
    <d v="1992-05-09T00:00:00"/>
    <s v="M"/>
    <s v="B"/>
    <s v="BLACK"/>
    <s v="NULL"/>
    <s v="228"/>
    <s v="DISMISSED"/>
    <n v="5"/>
    <s v="DISMISSED"/>
    <m/>
    <m/>
    <m/>
    <s v="POSS CS PG 1 &lt;1G"/>
    <m/>
    <s v="FS"/>
    <s v="POSS DRUG"/>
    <s v="bf fugitive on misd tresp filed 4/12/12"/>
    <m/>
    <m/>
    <m/>
    <m/>
    <m/>
    <m/>
    <m/>
    <m/>
    <s v="Appointed Attorney"/>
    <m/>
    <m/>
    <n v="3"/>
    <n v="55"/>
    <n v="56"/>
    <n v="19.825136612021858"/>
    <n v="0"/>
    <n v="-52"/>
    <s v="NO CONVICTION"/>
    <x v="1"/>
    <s v="Y"/>
    <m/>
    <s v="NO CONVICTION"/>
    <s v="Y"/>
    <x v="1"/>
    <x v="0"/>
    <s v="Y"/>
    <n v="5.3571428571428568E-2"/>
    <n v="5.4545454545454543E-2"/>
    <n v="9.7402597402597435E-4"/>
    <n v="0"/>
    <n v="-3"/>
    <n v="0"/>
    <n v="3"/>
    <e v="#VALUE!"/>
    <n v="3"/>
    <n v="0"/>
    <m/>
    <m/>
    <s v="Y"/>
    <m/>
    <s v="0-10 DAYS"/>
    <n v="1"/>
    <x v="0"/>
  </r>
  <r>
    <n v="414"/>
    <s v="N"/>
    <s v="N"/>
    <n v="2518508"/>
    <n v="1"/>
    <d v="2012-01-18T00:00:00"/>
    <d v="2012-05-03T00:00:00"/>
    <n v="2518508"/>
    <s v="NOT BOOKED"/>
    <s v="NOT BOOKED"/>
    <n v="20000"/>
    <x v="0"/>
    <d v="2012-01-22T00:00:00"/>
    <s v="Y"/>
    <s v="SURETYPTRc"/>
    <s v="NO BILL"/>
    <n v="0"/>
    <n v="107"/>
    <n v="0"/>
    <n v="1"/>
    <m/>
    <m/>
    <m/>
    <m/>
    <m/>
    <m/>
    <m/>
    <m/>
    <m/>
    <d v="1992-10-16T00:00:00"/>
    <s v="M"/>
    <s v="B"/>
    <s v="BLACK"/>
    <s v="NULL"/>
    <s v="228"/>
    <s v="NO BILL"/>
    <n v="6"/>
    <s v="NO BILL"/>
    <m/>
    <m/>
    <m/>
    <s v="SEX ASSLT CHILD 14-17"/>
    <m/>
    <s v="F2"/>
    <s v="SEX ABUSE"/>
    <m/>
    <m/>
    <m/>
    <m/>
    <m/>
    <m/>
    <m/>
    <m/>
    <m/>
    <s v="Public Defender"/>
    <m/>
    <m/>
    <n v="0"/>
    <n v="0"/>
    <n v="107"/>
    <n v="19.215846994535518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2205"/>
    <s v="N"/>
    <s v="N"/>
    <n v="2519787"/>
    <n v="5"/>
    <d v="2012-03-23T00:00:00"/>
    <d v="2012-05-03T00:00:00"/>
    <n v="2519787"/>
    <d v="2012-03-24T00:00:00"/>
    <d v="2012-05-03T00:00:00"/>
    <s v="NO BOND"/>
    <x v="1"/>
    <m/>
    <s v="N"/>
    <s v="NONE"/>
    <s v="GUILTY PLEA - NO JURY"/>
    <n v="41"/>
    <n v="42"/>
    <n v="0"/>
    <n v="0"/>
    <m/>
    <m/>
    <m/>
    <m/>
    <m/>
    <m/>
    <m/>
    <m/>
    <m/>
    <d v="1984-11-21T00:00:00"/>
    <s v="M"/>
    <s v="B"/>
    <s v="BLACK"/>
    <s v="NON-HISPANIC"/>
    <s v="178"/>
    <s v="CONVICTED"/>
    <n v="2"/>
    <s v="STJ"/>
    <m/>
    <n v="8"/>
    <m/>
    <s v="POSS MARIJ  4 OZ. - 5 LBS."/>
    <m/>
    <s v="FS"/>
    <s v="POSS DRUG"/>
    <m/>
    <m/>
    <m/>
    <m/>
    <m/>
    <m/>
    <m/>
    <m/>
    <m/>
    <s v="Appointed Attorney"/>
    <m/>
    <m/>
    <n v="41"/>
    <n v="41"/>
    <n v="42"/>
    <n v="27.278688524590162"/>
    <n v="0"/>
    <n v="0"/>
    <s v="CONVICTION"/>
    <x v="0"/>
    <s v="N"/>
    <m/>
    <s v="CONVICTION"/>
    <s v="Y"/>
    <x v="0"/>
    <x v="0"/>
    <s v="N"/>
    <n v="0.97619047619047616"/>
    <n v="1"/>
    <n v="2.3809523809523836E-2"/>
    <n v="0"/>
    <n v="-41"/>
    <n v="0"/>
    <n v="41"/>
    <e v="#VALUE!"/>
    <n v="41"/>
    <n v="0"/>
    <m/>
    <m/>
    <s v="N"/>
    <m/>
    <s v="31-60 DAYS"/>
    <n v="3"/>
    <x v="0"/>
  </r>
  <r>
    <n v="2595"/>
    <s v="N"/>
    <s v="N"/>
    <n v="2520735"/>
    <n v="6"/>
    <d v="2012-04-06T00:00:00"/>
    <d v="2012-08-17T00:00:00"/>
    <n v="2520735"/>
    <d v="2012-04-06T00:00:00"/>
    <d v="2012-08-17T00:00:00"/>
    <n v="10000"/>
    <x v="3"/>
    <m/>
    <s v="N"/>
    <s v="NONE"/>
    <s v="GUILTY PLEA - NO JURY"/>
    <n v="134"/>
    <n v="134"/>
    <n v="1"/>
    <n v="1"/>
    <m/>
    <m/>
    <m/>
    <m/>
    <m/>
    <m/>
    <m/>
    <m/>
    <m/>
    <d v="1993-07-02T00:00:00"/>
    <s v="M"/>
    <s v="B"/>
    <s v="BLACK"/>
    <s v="NULL"/>
    <s v="351"/>
    <s v="CONVICTED"/>
    <n v="5"/>
    <s v="TDC"/>
    <n v="2"/>
    <m/>
    <m/>
    <s v="FELON POSS WPN"/>
    <m/>
    <s v="F3"/>
    <s v="OTHER FEL"/>
    <m/>
    <m/>
    <m/>
    <m/>
    <m/>
    <m/>
    <m/>
    <m/>
    <m/>
    <s v="Appointed Attorney"/>
    <m/>
    <m/>
    <n v="134"/>
    <n v="134"/>
    <n v="134"/>
    <n v="18.724043715846996"/>
    <n v="0"/>
    <n v="0"/>
    <s v="CONVICTION"/>
    <x v="0"/>
    <s v="N"/>
    <m/>
    <s v="CONVICTION"/>
    <s v="Y"/>
    <x v="0"/>
    <x v="0"/>
    <s v="Y"/>
    <n v="1"/>
    <n v="1"/>
    <n v="0"/>
    <n v="0"/>
    <n v="-134"/>
    <n v="0"/>
    <n v="134"/>
    <e v="#VALUE!"/>
    <n v="134"/>
    <n v="0"/>
    <m/>
    <m/>
    <s v="Y"/>
    <m/>
    <s v="121-365 DAYS"/>
    <n v="6"/>
    <x v="0"/>
  </r>
  <r>
    <n v="1968"/>
    <s v="N"/>
    <s v="N"/>
    <n v="2520748"/>
    <n v="6"/>
    <d v="2012-03-14T00:00:00"/>
    <d v="2012-05-23T00:00:00"/>
    <n v="2520748"/>
    <d v="2012-03-15T00:00:00"/>
    <d v="2012-05-23T00:00:00"/>
    <s v="NO BOND"/>
    <x v="1"/>
    <m/>
    <s v="N"/>
    <s v="NONE"/>
    <s v="GUILTY PLEA - NO JURY"/>
    <n v="70"/>
    <n v="71"/>
    <n v="2"/>
    <n v="1"/>
    <n v="1"/>
    <m/>
    <m/>
    <m/>
    <m/>
    <m/>
    <m/>
    <s v="S"/>
    <m/>
    <d v="1993-03-08T00:00:00"/>
    <s v="M"/>
    <s v="H"/>
    <s v="HISPANIC"/>
    <s v="NULL"/>
    <s v="208"/>
    <s v="CONVICTED"/>
    <n v="4"/>
    <s v="TDC"/>
    <n v="2"/>
    <m/>
    <m/>
    <s v="ENGAGING IN ORG CRIM ACTIVITY"/>
    <m/>
    <s v="F3"/>
    <s v="OTHER FEL"/>
    <m/>
    <m/>
    <m/>
    <m/>
    <m/>
    <m/>
    <m/>
    <m/>
    <m/>
    <s v="Hired Attorney"/>
    <m/>
    <m/>
    <n v="70"/>
    <n v="70"/>
    <n v="71"/>
    <n v="18.978142076502731"/>
    <n v="0"/>
    <n v="0"/>
    <s v="CONVICTION"/>
    <x v="0"/>
    <s v="N"/>
    <m/>
    <s v="CONVICTION"/>
    <s v="Y"/>
    <x v="0"/>
    <x v="0"/>
    <s v="Y"/>
    <n v="0.9859154929577465"/>
    <n v="1"/>
    <n v="1.4084507042253502E-2"/>
    <n v="0"/>
    <n v="-70"/>
    <n v="0"/>
    <n v="70"/>
    <e v="#VALUE!"/>
    <n v="70"/>
    <n v="0"/>
    <m/>
    <m/>
    <s v="Y"/>
    <m/>
    <s v="61-90 DAYS"/>
    <n v="4"/>
    <x v="0"/>
  </r>
  <r>
    <n v="332"/>
    <s v="N"/>
    <s v="N"/>
    <n v="2520862"/>
    <n v="6"/>
    <d v="2012-01-13T00:00:00"/>
    <d v="2012-06-27T00:00:00"/>
    <n v="2520862"/>
    <d v="2012-05-15T00:00:00"/>
    <d v="2012-06-27T00:00:00"/>
    <s v="NO BOND"/>
    <x v="1"/>
    <m/>
    <s v="N"/>
    <s v="NONE"/>
    <s v="GUILTY PLEA - NO JURY"/>
    <n v="44"/>
    <n v="167"/>
    <n v="0"/>
    <n v="0"/>
    <n v="1"/>
    <m/>
    <m/>
    <m/>
    <m/>
    <m/>
    <m/>
    <m/>
    <m/>
    <d v="1983-07-30T00:00:00"/>
    <s v="M"/>
    <s v="B"/>
    <s v="BLACK"/>
    <s v="NULL"/>
    <s v="180"/>
    <s v="CONVICTED"/>
    <n v="3"/>
    <s v="TDC"/>
    <n v="4"/>
    <m/>
    <m/>
    <s v="BURGLARY OF HABITATION"/>
    <m/>
    <s v="F2"/>
    <s v="BURGLARY"/>
    <m/>
    <m/>
    <m/>
    <m/>
    <m/>
    <m/>
    <m/>
    <m/>
    <m/>
    <s v="Appointed Attorney"/>
    <m/>
    <m/>
    <n v="44"/>
    <n v="44"/>
    <n v="167"/>
    <n v="28.398907103825138"/>
    <n v="0"/>
    <n v="0"/>
    <s v="CONVICTION"/>
    <x v="0"/>
    <s v="N"/>
    <m/>
    <s v="CONVICTION"/>
    <s v="Y"/>
    <x v="0"/>
    <x v="0"/>
    <s v="N"/>
    <n v="0.26347305389221559"/>
    <n v="1"/>
    <n v="0.73652694610778435"/>
    <n v="0"/>
    <n v="-44"/>
    <n v="0"/>
    <n v="44"/>
    <e v="#VALUE!"/>
    <n v="44"/>
    <n v="0"/>
    <m/>
    <m/>
    <s v="Y"/>
    <m/>
    <s v="31-60 DAYS"/>
    <n v="3"/>
    <x v="0"/>
  </r>
  <r>
    <n v="2980"/>
    <s v="N"/>
    <s v="N"/>
    <n v="2520898"/>
    <n v="2"/>
    <d v="2012-04-19T00:00:00"/>
    <d v="2012-08-22T00:00:00"/>
    <n v="2520898"/>
    <d v="2012-04-20T00:00:00"/>
    <d v="2012-04-23T00:00:00"/>
    <n v="2000"/>
    <x v="5"/>
    <d v="2012-04-23T00:00:00"/>
    <s v="Y"/>
    <s v="SURETY"/>
    <s v="DEFERRED ADJUDICATION "/>
    <n v="4"/>
    <n v="126"/>
    <n v="0"/>
    <n v="1"/>
    <m/>
    <m/>
    <m/>
    <m/>
    <m/>
    <m/>
    <m/>
    <m/>
    <m/>
    <d v="1982-03-09T00:00:00"/>
    <s v="F"/>
    <s v="W"/>
    <s v="WHITE"/>
    <s v="NULL"/>
    <s v="185"/>
    <s v="DEFERRED"/>
    <n v="8"/>
    <s v="DEFERRED"/>
    <m/>
    <m/>
    <m/>
    <s v="POSS MARIJ  4 OZ. - 5 LBS."/>
    <m/>
    <s v="FS"/>
    <s v="POSS DRUG"/>
    <m/>
    <m/>
    <m/>
    <m/>
    <m/>
    <m/>
    <m/>
    <m/>
    <m/>
    <s v="Hired Attorney"/>
    <m/>
    <m/>
    <n v="4"/>
    <n v="125"/>
    <n v="126"/>
    <n v="30.051912568306012"/>
    <n v="0"/>
    <n v="-121"/>
    <s v="DEFERRED"/>
    <x v="1"/>
    <s v="Y"/>
    <m/>
    <s v="DEFERRED"/>
    <s v="Y"/>
    <x v="1"/>
    <x v="0"/>
    <s v="N"/>
    <n v="3.1746031746031744E-2"/>
    <n v="3.2000000000000001E-2"/>
    <n v="2.539682539682564E-4"/>
    <n v="0"/>
    <n v="-4"/>
    <n v="0"/>
    <n v="4"/>
    <e v="#VALUE!"/>
    <n v="4"/>
    <n v="0"/>
    <m/>
    <m/>
    <s v="Y"/>
    <m/>
    <s v="0-10 DAYS"/>
    <n v="1"/>
    <x v="0"/>
  </r>
  <r>
    <n v="719"/>
    <s v="N"/>
    <s v="N"/>
    <n v="2521481"/>
    <n v="2"/>
    <d v="2012-01-29T00:00:00"/>
    <d v="2012-04-17T00:00:00"/>
    <n v="2521481"/>
    <d v="2012-01-29T00:00:00"/>
    <d v="2012-01-30T00:00:00"/>
    <n v="2000"/>
    <x v="5"/>
    <d v="2012-01-30T00:00:00"/>
    <s v="Y"/>
    <s v="SURETY"/>
    <s v="DEFERRED ADJUDICATION "/>
    <n v="2"/>
    <n v="80"/>
    <n v="0"/>
    <n v="2"/>
    <m/>
    <m/>
    <m/>
    <m/>
    <m/>
    <m/>
    <m/>
    <m/>
    <m/>
    <d v="1986-07-31T00:00:00"/>
    <s v="F"/>
    <s v="B"/>
    <s v="BLACK"/>
    <s v="NULL"/>
    <s v="182"/>
    <s v="DEFERRED"/>
    <n v="4"/>
    <s v="DEFERRED"/>
    <m/>
    <m/>
    <m/>
    <s v="THEFT UNDER $1500 - 3RD OFF."/>
    <m/>
    <s v="FS"/>
    <s v="THEFT"/>
    <m/>
    <m/>
    <m/>
    <m/>
    <m/>
    <m/>
    <m/>
    <m/>
    <m/>
    <s v="Appointed Attorney"/>
    <m/>
    <m/>
    <n v="2"/>
    <n v="80"/>
    <n v="80"/>
    <n v="25.44535519125683"/>
    <n v="0"/>
    <n v="-78"/>
    <s v="DEFERRED"/>
    <x v="1"/>
    <s v="Y"/>
    <m/>
    <s v="DEFERRED"/>
    <s v="Y"/>
    <x v="1"/>
    <x v="0"/>
    <s v="N"/>
    <n v="2.5000000000000001E-2"/>
    <n v="2.5000000000000001E-2"/>
    <n v="0"/>
    <n v="0"/>
    <n v="-2"/>
    <n v="0"/>
    <n v="2"/>
    <e v="#VALUE!"/>
    <n v="2"/>
    <n v="0"/>
    <m/>
    <m/>
    <s v="Y"/>
    <m/>
    <s v="0-10 DAYS"/>
    <n v="1"/>
    <x v="0"/>
  </r>
  <r>
    <n v="1975"/>
    <s v="Y"/>
    <s v="N"/>
    <n v="2522107"/>
    <n v="2"/>
    <d v="2012-03-14T00:00:00"/>
    <d v="2012-07-17T00:00:00"/>
    <n v="2522107"/>
    <d v="2012-03-15T00:00:00"/>
    <d v="2012-03-27T00:00:00"/>
    <n v="10000"/>
    <x v="3"/>
    <d v="2012-03-27T00:00:00"/>
    <s v="Y"/>
    <s v="PTRc"/>
    <s v="DEFERRED ADJUDICATION "/>
    <n v="13"/>
    <n v="126"/>
    <n v="0"/>
    <n v="3"/>
    <m/>
    <m/>
    <m/>
    <m/>
    <m/>
    <m/>
    <m/>
    <s v="S"/>
    <m/>
    <d v="1991-07-10T00:00:00"/>
    <s v="M"/>
    <s v="H"/>
    <s v="HISPANIC"/>
    <s v="NULL"/>
    <s v="338"/>
    <s v="DEFERRED"/>
    <n v="7"/>
    <s v="DEFERRED"/>
    <m/>
    <m/>
    <m/>
    <s v="ROBBERY-THREATS"/>
    <m/>
    <s v="F2"/>
    <s v="ROBBERY"/>
    <m/>
    <m/>
    <m/>
    <m/>
    <m/>
    <m/>
    <m/>
    <m/>
    <m/>
    <s v="Public Defender"/>
    <s v="revoked LV 4/1/13 rob tdc  2y"/>
    <m/>
    <n v="13"/>
    <n v="125"/>
    <n v="126"/>
    <n v="20.636612021857925"/>
    <n v="0"/>
    <n v="-112"/>
    <s v="DEFERRED"/>
    <x v="2"/>
    <s v="Y"/>
    <m/>
    <s v="DEFERRED"/>
    <s v="Y"/>
    <x v="1"/>
    <x v="0"/>
    <s v="N"/>
    <n v="0.10317460317460317"/>
    <n v="0.104"/>
    <n v="8.2539682539682635E-4"/>
    <n v="0"/>
    <n v="-13"/>
    <n v="0"/>
    <n v="13"/>
    <e v="#VALUE!"/>
    <n v="13"/>
    <n v="0"/>
    <m/>
    <m/>
    <s v="Y"/>
    <m/>
    <s v="11-30 DAYS"/>
    <n v="2"/>
    <x v="0"/>
  </r>
  <r>
    <n v="1293"/>
    <s v="N"/>
    <s v="N"/>
    <n v="2522597"/>
    <n v="2"/>
    <d v="2012-02-17T00:00:00"/>
    <d v="2012-02-20T00:00:00"/>
    <n v="2522597"/>
    <d v="2012-02-17T00:00:00"/>
    <d v="2012-02-20T00:00:00"/>
    <n v="10000"/>
    <x v="3"/>
    <m/>
    <s v="N"/>
    <s v="NONE"/>
    <s v="DEFERRED ADJUDICATION "/>
    <n v="4"/>
    <n v="4"/>
    <n v="1"/>
    <n v="0"/>
    <m/>
    <m/>
    <m/>
    <m/>
    <m/>
    <m/>
    <m/>
    <m/>
    <m/>
    <d v="1993-04-28T00:00:00"/>
    <s v="M"/>
    <s v="B"/>
    <s v="BLACK"/>
    <s v="NON-HISPANIC"/>
    <s v="182"/>
    <s v="DEFERRED"/>
    <n v="1"/>
    <s v="DEFERRED"/>
    <m/>
    <m/>
    <m/>
    <s v="POSS CS PG 2 1-4 GRAMS"/>
    <m/>
    <s v="F3"/>
    <s v="POSS DRUG"/>
    <s v="misd fail to id 9/11/12 hcj 30 dFREP  8/24/12  mo to revoke dism"/>
    <m/>
    <m/>
    <m/>
    <m/>
    <m/>
    <m/>
    <m/>
    <m/>
    <s v="Appointed Attorney"/>
    <m/>
    <m/>
    <n v="4"/>
    <n v="4"/>
    <n v="4"/>
    <n v="18.76775956284153"/>
    <n v="0"/>
    <n v="0"/>
    <s v="DEFERRED"/>
    <x v="0"/>
    <s v="N"/>
    <m/>
    <s v="DEFERRED"/>
    <s v="Y"/>
    <x v="0"/>
    <x v="0"/>
    <s v="Y"/>
    <n v="1"/>
    <n v="1"/>
    <n v="0"/>
    <n v="0"/>
    <n v="-4"/>
    <n v="0"/>
    <n v="4"/>
    <e v="#VALUE!"/>
    <n v="4"/>
    <n v="0"/>
    <m/>
    <m/>
    <s v="Y"/>
    <m/>
    <s v="0-10 DAYS"/>
    <n v="1"/>
    <x v="0"/>
  </r>
  <r>
    <n v="1185"/>
    <s v="N"/>
    <s v="N"/>
    <n v="2523176"/>
    <n v="1"/>
    <d v="2012-02-13T00:00:00"/>
    <d v="2012-05-17T00:00:00"/>
    <n v="2523176"/>
    <d v="2012-02-13T00:00:00"/>
    <d v="2012-02-17T00:00:00"/>
    <n v="5000"/>
    <x v="4"/>
    <d v="2012-02-17T00:00:00"/>
    <s v="Y"/>
    <s v="SURETY"/>
    <s v="DISMISSED"/>
    <n v="5"/>
    <n v="95"/>
    <n v="0"/>
    <n v="1"/>
    <m/>
    <m/>
    <m/>
    <m/>
    <m/>
    <m/>
    <m/>
    <m/>
    <m/>
    <d v="1958-10-06T00:00:00"/>
    <s v="M"/>
    <s v="W"/>
    <s v="WHITE"/>
    <s v="NULL"/>
    <s v="182"/>
    <s v="DISMISSED"/>
    <n v="4"/>
    <s v="DISMISSED"/>
    <m/>
    <m/>
    <m/>
    <s v="POSS CS PG 1  1 - 4 GRAMS"/>
    <m/>
    <s v="F3"/>
    <s v="POSS DRUG"/>
    <m/>
    <m/>
    <m/>
    <m/>
    <m/>
    <m/>
    <m/>
    <m/>
    <m/>
    <s v="Hired Attorney"/>
    <m/>
    <m/>
    <n v="5"/>
    <n v="95"/>
    <n v="95"/>
    <n v="53.245901639344261"/>
    <n v="0"/>
    <n v="-90"/>
    <s v="NO CONVICTION"/>
    <x v="1"/>
    <s v="Y"/>
    <m/>
    <s v="NO CONVICTION"/>
    <s v="Y"/>
    <x v="1"/>
    <x v="0"/>
    <s v="N"/>
    <n v="5.2631578947368418E-2"/>
    <n v="5.2631578947368418E-2"/>
    <n v="0"/>
    <n v="0"/>
    <n v="-5"/>
    <n v="0"/>
    <n v="5"/>
    <e v="#VALUE!"/>
    <n v="5"/>
    <n v="0"/>
    <m/>
    <m/>
    <s v="Y"/>
    <m/>
    <s v="0-10 DAYS"/>
    <n v="1"/>
    <x v="0"/>
  </r>
  <r>
    <n v="2897"/>
    <s v="N"/>
    <s v="N"/>
    <n v="2523791"/>
    <n v="2"/>
    <d v="2012-04-17T00:00:00"/>
    <d v="2012-04-19T00:00:00"/>
    <n v="2523791"/>
    <d v="2012-04-18T00:00:00"/>
    <d v="2012-04-19T00:00:00"/>
    <n v="5000"/>
    <x v="4"/>
    <m/>
    <s v="N"/>
    <s v="NONE"/>
    <s v="DEFERRED ADJUDICATION "/>
    <n v="2"/>
    <n v="3"/>
    <n v="0"/>
    <n v="1"/>
    <m/>
    <m/>
    <m/>
    <m/>
    <m/>
    <m/>
    <m/>
    <m/>
    <m/>
    <d v="1980-03-20T00:00:00"/>
    <s v="M"/>
    <s v="B"/>
    <s v="BLACK"/>
    <s v="NON-HISPANIC"/>
    <s v="337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2"/>
    <n v="2"/>
    <n v="3"/>
    <n v="32.010928961748633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46"/>
    <s v="N"/>
    <s v="N"/>
    <n v="2524127"/>
    <n v="2"/>
    <d v="2012-01-03T00:00:00"/>
    <d v="2012-02-13T00:00:00"/>
    <n v="2524127"/>
    <d v="2012-01-04T00:00:00"/>
    <d v="2012-01-05T00:00:00"/>
    <n v="5000"/>
    <x v="4"/>
    <d v="2012-01-05T00:00:00"/>
    <s v="Y"/>
    <s v="SURETY"/>
    <s v="DEFERRED ADJUDICATION "/>
    <n v="2"/>
    <n v="42"/>
    <n v="0"/>
    <n v="2"/>
    <m/>
    <m/>
    <m/>
    <m/>
    <m/>
    <m/>
    <m/>
    <m/>
    <m/>
    <d v="1990-04-28T00:00:00"/>
    <s v="M"/>
    <s v="B"/>
    <s v="BLACK"/>
    <s v="NULL"/>
    <s v="209"/>
    <s v="DEFERRED"/>
    <n v="4"/>
    <s v="DEFERRED"/>
    <m/>
    <m/>
    <m/>
    <s v="POSS CS PG 3 28-200 GRAMS"/>
    <m/>
    <s v="F3"/>
    <s v="POSS DRUG"/>
    <m/>
    <m/>
    <m/>
    <m/>
    <m/>
    <m/>
    <m/>
    <m/>
    <m/>
    <s v="Appointed Attorney"/>
    <m/>
    <m/>
    <n v="2"/>
    <n v="41"/>
    <n v="42"/>
    <n v="21.639344262295083"/>
    <n v="0"/>
    <n v="-39"/>
    <s v="DEFERRED"/>
    <x v="1"/>
    <s v="Y"/>
    <m/>
    <s v="DEFERRED"/>
    <s v="Y"/>
    <x v="1"/>
    <x v="0"/>
    <s v="N"/>
    <n v="4.7619047619047616E-2"/>
    <n v="4.878048780487805E-2"/>
    <n v="1.1614401858304341E-3"/>
    <n v="0"/>
    <n v="-2"/>
    <n v="0"/>
    <n v="2"/>
    <e v="#VALUE!"/>
    <n v="2"/>
    <n v="0"/>
    <m/>
    <m/>
    <s v="Y"/>
    <m/>
    <s v="0-10 DAYS"/>
    <n v="1"/>
    <x v="0"/>
  </r>
  <r>
    <n v="2227"/>
    <s v="N"/>
    <s v="N"/>
    <n v="2524137"/>
    <n v="1"/>
    <d v="2012-03-24T00:00:00"/>
    <d v="2012-03-26T00:00:00"/>
    <n v="2524137"/>
    <d v="2012-03-24T00:00:00"/>
    <d v="2012-03-26T00:00:00"/>
    <n v="5000"/>
    <x v="4"/>
    <m/>
    <s v="N"/>
    <s v="NONE"/>
    <s v="DISMISSED"/>
    <n v="3"/>
    <n v="3"/>
    <n v="1"/>
    <n v="0"/>
    <n v="1"/>
    <m/>
    <m/>
    <m/>
    <m/>
    <m/>
    <m/>
    <m/>
    <m/>
    <d v="1993-05-06T00:00:00"/>
    <s v="M"/>
    <s v="B"/>
    <s v="BLACK"/>
    <s v="NULL"/>
    <s v="262"/>
    <s v="DISMISSED"/>
    <n v="1"/>
    <s v="DISMISSED"/>
    <m/>
    <m/>
    <m/>
    <s v="TAMPER/FABRICATE EVIDENCE"/>
    <m/>
    <s v="F3"/>
    <s v="OTHER FEL"/>
    <s v="5/11/12 fel drug hcj 7 mos 7/30/12 misd evad 100 d hcj"/>
    <s v="5/11/12 fel drug hcj 7 mos 7/30/12 misd evad 100 d hcj"/>
    <m/>
    <m/>
    <m/>
    <m/>
    <m/>
    <m/>
    <m/>
    <s v="Other/Unknown"/>
    <m/>
    <m/>
    <n v="3"/>
    <n v="3"/>
    <n v="3"/>
    <n v="18.844262295081968"/>
    <n v="0"/>
    <n v="0"/>
    <s v="NO CONVICTION"/>
    <x v="0"/>
    <s v="N"/>
    <m/>
    <s v="NO 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083"/>
    <s v="N"/>
    <s v="N"/>
    <n v="2524425"/>
    <n v="2"/>
    <d v="2012-03-19T00:00:00"/>
    <d v="2012-03-22T00:00:00"/>
    <n v="2524425"/>
    <d v="2012-03-20T00:00:00"/>
    <d v="2012-03-22T00:00:00"/>
    <n v="5000"/>
    <x v="4"/>
    <m/>
    <s v="N"/>
    <s v="NONE"/>
    <s v="DEFERRED ADJUDICATION "/>
    <n v="3"/>
    <n v="4"/>
    <n v="0"/>
    <n v="1"/>
    <m/>
    <m/>
    <m/>
    <m/>
    <m/>
    <m/>
    <m/>
    <m/>
    <m/>
    <d v="1985-10-03T00:00:00"/>
    <s v="F"/>
    <s v="B"/>
    <s v="BLACK"/>
    <s v="NULL"/>
    <s v="183"/>
    <s v="DEFERRED"/>
    <n v="3"/>
    <s v="DEFERRED"/>
    <m/>
    <m/>
    <m/>
    <s v="ATT FORGE GOVE INSTR"/>
    <m/>
    <s v="FS"/>
    <s v="OTHER FEL"/>
    <m/>
    <m/>
    <m/>
    <m/>
    <m/>
    <m/>
    <m/>
    <m/>
    <m/>
    <s v="Appointed Attorney"/>
    <m/>
    <m/>
    <n v="3"/>
    <n v="3"/>
    <n v="4"/>
    <n v="26.404371584699454"/>
    <n v="0"/>
    <n v="0"/>
    <s v="DEFERRED"/>
    <x v="0"/>
    <s v="N"/>
    <m/>
    <s v="DEFERRED"/>
    <s v="Y"/>
    <x v="0"/>
    <x v="0"/>
    <s v="N"/>
    <n v="0.75"/>
    <n v="1"/>
    <n v="0.25"/>
    <n v="0"/>
    <n v="-3"/>
    <n v="0"/>
    <n v="3"/>
    <e v="#VALUE!"/>
    <n v="3"/>
    <n v="0"/>
    <m/>
    <m/>
    <s v="Y"/>
    <m/>
    <s v="0-10 DAYS"/>
    <n v="1"/>
    <x v="0"/>
  </r>
  <r>
    <n v="796"/>
    <s v="N"/>
    <s v="N"/>
    <n v="2525290"/>
    <n v="5"/>
    <d v="2012-01-31T00:00:00"/>
    <d v="2012-03-01T00:00:00"/>
    <n v="2525290"/>
    <d v="2012-02-01T00:00:00"/>
    <d v="2012-03-01T00:00:00"/>
    <n v="2000"/>
    <x v="5"/>
    <m/>
    <s v="N"/>
    <s v="NONE"/>
    <s v="GUILTY PLEA - NO JURY"/>
    <n v="30"/>
    <n v="31"/>
    <n v="1"/>
    <n v="1"/>
    <n v="1"/>
    <m/>
    <m/>
    <m/>
    <m/>
    <m/>
    <m/>
    <m/>
    <m/>
    <d v="1993-01-09T00:00:00"/>
    <s v="M"/>
    <s v="B"/>
    <s v="BLACK"/>
    <s v="NULL"/>
    <s v="339"/>
    <s v="CONVICTED"/>
    <n v="2"/>
    <s v="STJ"/>
    <m/>
    <n v="10"/>
    <m/>
    <s v="THEFT $1500-20K"/>
    <m/>
    <s v="FS"/>
    <s v="THEFT"/>
    <m/>
    <m/>
    <m/>
    <m/>
    <m/>
    <m/>
    <m/>
    <m/>
    <m/>
    <s v="Appointed Attorney"/>
    <m/>
    <m/>
    <n v="30"/>
    <n v="30"/>
    <n v="31"/>
    <n v="19.019125683060111"/>
    <n v="0"/>
    <n v="0"/>
    <s v="CONVICTION"/>
    <x v="0"/>
    <s v="N"/>
    <m/>
    <s v="CONVICTION"/>
    <s v="Y"/>
    <x v="0"/>
    <x v="0"/>
    <s v="Y"/>
    <n v="0.967741935483871"/>
    <n v="1"/>
    <n v="3.2258064516129004E-2"/>
    <n v="0"/>
    <n v="-30"/>
    <n v="0"/>
    <n v="30"/>
    <e v="#VALUE!"/>
    <n v="30"/>
    <n v="0"/>
    <m/>
    <m/>
    <s v="Y"/>
    <m/>
    <s v="11-30 DAYS"/>
    <n v="2"/>
    <x v="0"/>
  </r>
  <r>
    <n v="950"/>
    <s v="N"/>
    <s v="N"/>
    <n v="2525536"/>
    <n v="5"/>
    <d v="2012-02-04T00:00:00"/>
    <d v="2012-05-18T00:00:00"/>
    <n v="2525536"/>
    <d v="2012-02-05T00:00:00"/>
    <d v="2012-05-18T00:00:00"/>
    <n v="40000"/>
    <x v="2"/>
    <m/>
    <s v="N"/>
    <s v="NONE"/>
    <s v="GUILTY PLEA - NO JURY"/>
    <n v="104"/>
    <n v="105"/>
    <n v="1"/>
    <n v="0"/>
    <n v="1"/>
    <m/>
    <m/>
    <m/>
    <m/>
    <m/>
    <m/>
    <m/>
    <m/>
    <d v="1993-07-12T00:00:00"/>
    <s v="M"/>
    <s v="H"/>
    <s v="HISPANIC"/>
    <s v="HISPANIC"/>
    <s v="208"/>
    <s v="CONVICTED"/>
    <n v="4"/>
    <s v="STJ"/>
    <m/>
    <n v="7"/>
    <m/>
    <s v="POSS CS PG 1 &lt;1G"/>
    <m/>
    <s v="FS"/>
    <s v="POSS DRUG"/>
    <s v="misc evade arresr conv 2/7/12 hcj 6 d fel theft pend"/>
    <m/>
    <m/>
    <m/>
    <m/>
    <m/>
    <m/>
    <m/>
    <m/>
    <s v="Appointed Attorney"/>
    <m/>
    <m/>
    <n v="104"/>
    <n v="104"/>
    <n v="105"/>
    <n v="18.527322404371585"/>
    <n v="0"/>
    <n v="0"/>
    <s v="CONVICTION"/>
    <x v="0"/>
    <s v="N"/>
    <m/>
    <s v="CONVICTION"/>
    <s v="Y"/>
    <x v="0"/>
    <x v="0"/>
    <s v="Y"/>
    <n v="0.99047619047619051"/>
    <n v="1"/>
    <n v="9.52380952380949E-3"/>
    <n v="0"/>
    <n v="-104"/>
    <n v="0"/>
    <n v="104"/>
    <e v="#VALUE!"/>
    <n v="104"/>
    <n v="0"/>
    <m/>
    <m/>
    <s v="Y"/>
    <m/>
    <s v="91-120 DAYS"/>
    <n v="0"/>
    <x v="0"/>
  </r>
  <r>
    <n v="2132"/>
    <s v="Y"/>
    <s v="N"/>
    <n v="2525817"/>
    <n v="1"/>
    <d v="2012-03-20T00:00:00"/>
    <d v="2012-06-22T00:00:00"/>
    <n v="2525817"/>
    <d v="2012-03-21T00:00:00"/>
    <d v="2012-03-22T00:00:00"/>
    <n v="5000"/>
    <x v="4"/>
    <d v="2012-03-22T00:00:00"/>
    <s v="Y"/>
    <s v="SURETY"/>
    <s v="DISMISSED"/>
    <n v="2"/>
    <n v="95"/>
    <n v="0"/>
    <n v="0"/>
    <m/>
    <m/>
    <m/>
    <m/>
    <m/>
    <m/>
    <m/>
    <m/>
    <m/>
    <d v="1983-03-18T00:00:00"/>
    <s v="M"/>
    <s v="B"/>
    <s v="BLACK"/>
    <s v="NULL"/>
    <s v="178"/>
    <s v="DISMISSED"/>
    <n v="7"/>
    <s v="DISMISSED"/>
    <m/>
    <m/>
    <m/>
    <s v="ENGAGING IN ORG CRIM ACTIVITY"/>
    <m/>
    <s v="F3"/>
    <s v="OTHER FEL"/>
    <s v="BD REINST - bf 5/11/12 "/>
    <m/>
    <m/>
    <m/>
    <m/>
    <m/>
    <m/>
    <m/>
    <m/>
    <s v="Other/Unknown"/>
    <s v="fug war aslt fam 8/29/13"/>
    <m/>
    <n v="2"/>
    <n v="94"/>
    <n v="95"/>
    <n v="28.948087431693988"/>
    <n v="0"/>
    <n v="-92"/>
    <s v="NO CONVICTION"/>
    <x v="1"/>
    <s v="Y"/>
    <m/>
    <s v="NO CONVICTION"/>
    <s v="Y"/>
    <x v="1"/>
    <x v="0"/>
    <s v="N"/>
    <n v="2.1052631578947368E-2"/>
    <n v="2.1276595744680851E-2"/>
    <n v="2.239641657334826E-4"/>
    <n v="0"/>
    <n v="-2"/>
    <n v="0"/>
    <n v="2"/>
    <e v="#VALUE!"/>
    <m/>
    <n v="92"/>
    <m/>
    <m/>
    <s v="N"/>
    <m/>
    <s v="0-10 DAYS"/>
    <n v="1"/>
    <x v="0"/>
  </r>
  <r>
    <n v="73"/>
    <s v="Y"/>
    <s v="Y"/>
    <n v="2525824"/>
    <n v="2"/>
    <d v="2012-01-04T00:00:00"/>
    <d v="2012-10-05T00:00:00"/>
    <n v="2525824"/>
    <d v="2012-01-07T00:00:00"/>
    <d v="2012-01-12T00:00:00"/>
    <n v="10000"/>
    <x v="3"/>
    <d v="2012-01-12T00:00:00"/>
    <s v="Y"/>
    <s v="SURETYPTRc"/>
    <s v="DEFERRED ADJUDICATION "/>
    <n v="57"/>
    <n v="276"/>
    <n v="0"/>
    <n v="2"/>
    <m/>
    <m/>
    <m/>
    <m/>
    <m/>
    <m/>
    <m/>
    <m/>
    <m/>
    <d v="1982-08-13T00:00:00"/>
    <s v="F"/>
    <s v="W"/>
    <s v="WHITE"/>
    <s v="NULL"/>
    <s v="339"/>
    <s v="DEFERRED"/>
    <n v="9"/>
    <s v="DEFERRED"/>
    <m/>
    <m/>
    <m/>
    <s v="ROBBERY-THREATS"/>
    <m/>
    <s v="F2"/>
    <s v="ROBBERY"/>
    <s v="def adj revoked 4/16/13 TDC"/>
    <m/>
    <s v="Y"/>
    <s v="BF 4/2/12"/>
    <m/>
    <m/>
    <m/>
    <d v="2013-02-12T00:00:00"/>
    <n v="636"/>
    <s v="Hired Attorney"/>
    <s v="y robbery 4/16/13 tdc"/>
    <m/>
    <n v="57"/>
    <n v="273"/>
    <n v="276"/>
    <n v="29.333333333333332"/>
    <n v="0"/>
    <n v="-267"/>
    <s v="DEFERRED"/>
    <x v="1"/>
    <s v="Y"/>
    <m/>
    <s v="DEFERRED"/>
    <s v="Y"/>
    <x v="0"/>
    <x v="0"/>
    <s v="N"/>
    <n v="0.20652173913043478"/>
    <n v="2.197802197802198E-2"/>
    <n v="-0.1845437171524128"/>
    <n v="0"/>
    <n v="-6"/>
    <n v="51"/>
    <n v="273"/>
    <n v="57"/>
    <n v="273"/>
    <n v="267"/>
    <m/>
    <m/>
    <s v="Y"/>
    <m/>
    <s v="31-60 DAYS"/>
    <n v="3"/>
    <x v="0"/>
  </r>
  <r>
    <n v="1964"/>
    <s v="N"/>
    <s v="N"/>
    <n v="2525882"/>
    <n v="5"/>
    <d v="2012-03-14T00:00:00"/>
    <d v="2012-03-16T00:00:00"/>
    <n v="2525882"/>
    <d v="2012-03-14T00:00:00"/>
    <d v="2012-03-16T00:00:00"/>
    <n v="5000"/>
    <x v="4"/>
    <m/>
    <s v="N"/>
    <s v="NONE"/>
    <s v="GUILTY PLEA - NO JURY"/>
    <n v="3"/>
    <n v="3"/>
    <n v="0"/>
    <n v="3"/>
    <m/>
    <m/>
    <m/>
    <m/>
    <m/>
    <m/>
    <m/>
    <m/>
    <m/>
    <d v="1954-02-26T00:00:00"/>
    <s v="M"/>
    <s v="W"/>
    <s v="WHITE"/>
    <s v="NULL"/>
    <s v="232"/>
    <s v="CONVICTED"/>
    <n v="1"/>
    <s v="STJ"/>
    <m/>
    <n v="6"/>
    <m/>
    <s v="ATT POSS PROH SUB CORRECT FACI"/>
    <m/>
    <s v="FS"/>
    <s v="POSS DRUG"/>
    <m/>
    <m/>
    <m/>
    <m/>
    <m/>
    <m/>
    <m/>
    <m/>
    <m/>
    <s v="Public Defender"/>
    <m/>
    <m/>
    <n v="3"/>
    <n v="3"/>
    <n v="3"/>
    <n v="57.92622950819672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3063"/>
    <s v="N"/>
    <s v="Y"/>
    <n v="2525958"/>
    <n v="6"/>
    <d v="2012-04-23T00:00:00"/>
    <d v="2014-05-16T00:00:00"/>
    <n v="2525958"/>
    <d v="2012-04-24T00:00:00"/>
    <d v="2012-04-24T00:00:00"/>
    <n v="80000"/>
    <x v="2"/>
    <d v="2012-04-24T00:00:00"/>
    <s v="Y"/>
    <s v="SURETYPTRc"/>
    <s v="GUILTY PLEA - NO JURY"/>
    <n v="5"/>
    <n v="754"/>
    <n v="0"/>
    <n v="0"/>
    <m/>
    <m/>
    <m/>
    <m/>
    <m/>
    <m/>
    <m/>
    <m/>
    <m/>
    <d v="1991-05-27T00:00:00"/>
    <s v="M"/>
    <s v="B"/>
    <s v="BLACK"/>
    <s v="NULL"/>
    <s v="338"/>
    <s v="CONVICTED"/>
    <n v="24"/>
    <s v="TDC"/>
    <n v="9"/>
    <m/>
    <m/>
    <s v="AGG ROBBERY-DEADLY WPN"/>
    <m/>
    <s v="F1"/>
    <s v="ROBBERY"/>
    <s v="bd vio drug test ftr hccscd"/>
    <s v="new bond"/>
    <m/>
    <m/>
    <d v="2012-08-22T00:00:00"/>
    <m/>
    <m/>
    <m/>
    <m/>
    <s v="Hired Attorney"/>
    <m/>
    <m/>
    <n v="5"/>
    <n v="753"/>
    <n v="754"/>
    <n v="20.866120218579233"/>
    <n v="0"/>
    <n v="-752"/>
    <s v="CONVICTION"/>
    <x v="1"/>
    <s v="Y"/>
    <m/>
    <s v="CONVICTION"/>
    <s v="Y"/>
    <x v="1"/>
    <x v="0"/>
    <s v="N"/>
    <n v="6.6312997347480109E-3"/>
    <n v="6.6E-3"/>
    <n v="0"/>
    <n v="0"/>
    <n v="-1"/>
    <n v="4"/>
    <n v="1"/>
    <e v="#VALUE!"/>
    <n v="5"/>
    <m/>
    <m/>
    <m/>
    <s v="N"/>
    <e v="#N/A"/>
    <s v="0-10 DAYS"/>
    <n v="1"/>
    <x v="0"/>
  </r>
  <r>
    <n v="2990"/>
    <s v="N"/>
    <s v="N"/>
    <n v="2526209"/>
    <n v="4"/>
    <d v="2012-04-20T00:00:00"/>
    <d v="2012-04-23T00:00:00"/>
    <n v="2526209"/>
    <d v="2012-04-20T00:00:00"/>
    <d v="2012-04-23T00:00:00"/>
    <n v="5000"/>
    <x v="4"/>
    <m/>
    <s v="N"/>
    <s v="NONE"/>
    <s v="GUILTY PLEA - NO JURY"/>
    <n v="4"/>
    <n v="4"/>
    <n v="1"/>
    <n v="0"/>
    <m/>
    <m/>
    <m/>
    <m/>
    <m/>
    <m/>
    <m/>
    <m/>
    <m/>
    <d v="1992-10-06T00:00:00"/>
    <s v="M"/>
    <s v="B"/>
    <s v="BLACK"/>
    <s v="NULL"/>
    <s v="180"/>
    <s v="CONVICTED"/>
    <n v="1"/>
    <s v="HCJ"/>
    <m/>
    <m/>
    <n v="180"/>
    <s v="POSS CS PG 1 &lt;1G"/>
    <m/>
    <s v="FS"/>
    <s v="POSS DRUG"/>
    <s v="10/5/12 fel poss weapon 2yrs tdc"/>
    <m/>
    <m/>
    <m/>
    <m/>
    <m/>
    <m/>
    <m/>
    <m/>
    <s v="Appointed Attorney"/>
    <m/>
    <m/>
    <n v="4"/>
    <n v="4"/>
    <n v="4"/>
    <n v="19.497267759562842"/>
    <n v="0"/>
    <n v="0"/>
    <s v="CONVICTION"/>
    <x v="0"/>
    <s v="N"/>
    <m/>
    <s v="CONVICTION"/>
    <s v="Y"/>
    <x v="0"/>
    <x v="0"/>
    <s v="Y"/>
    <n v="1"/>
    <n v="1"/>
    <n v="0"/>
    <n v="0"/>
    <n v="-4"/>
    <n v="0"/>
    <n v="4"/>
    <e v="#VALUE!"/>
    <n v="4"/>
    <n v="0"/>
    <m/>
    <m/>
    <s v="Y"/>
    <m/>
    <s v="0-10 DAYS"/>
    <n v="1"/>
    <x v="0"/>
  </r>
  <r>
    <n v="235"/>
    <s v="N"/>
    <s v="N"/>
    <n v="2526425"/>
    <n v="2"/>
    <d v="2012-01-11T00:00:00"/>
    <d v="2012-02-23T00:00:00"/>
    <n v="2526425"/>
    <d v="2012-01-11T00:00:00"/>
    <d v="2012-01-15T00:00:00"/>
    <n v="2000"/>
    <x v="5"/>
    <d v="2012-01-15T00:00:00"/>
    <s v="Y"/>
    <s v="SURETY"/>
    <s v="DEFERRED ADJUDICATION "/>
    <n v="5"/>
    <n v="44"/>
    <n v="1"/>
    <n v="0"/>
    <m/>
    <n v="1"/>
    <m/>
    <m/>
    <m/>
    <m/>
    <m/>
    <m/>
    <m/>
    <d v="1992-03-19T00:00:00"/>
    <s v="M"/>
    <s v="W"/>
    <s v="WHITE"/>
    <s v="NULL"/>
    <s v="180"/>
    <s v="DEFERRED"/>
    <n v="3"/>
    <s v="DEFERRED"/>
    <m/>
    <m/>
    <m/>
    <s v="THEFT $1500-20K"/>
    <m/>
    <s v="FS"/>
    <s v="THEFT"/>
    <m/>
    <m/>
    <m/>
    <m/>
    <m/>
    <m/>
    <m/>
    <m/>
    <m/>
    <s v="Appointed Attorney"/>
    <m/>
    <m/>
    <n v="5"/>
    <n v="44"/>
    <n v="44"/>
    <n v="19.773224043715846"/>
    <n v="0"/>
    <n v="-39"/>
    <s v="DEFERRED"/>
    <x v="1"/>
    <s v="Y"/>
    <m/>
    <s v="DEFERRED"/>
    <s v="Y"/>
    <x v="1"/>
    <x v="0"/>
    <s v="Y"/>
    <n v="0.11363636363636363"/>
    <n v="0.11363636363636363"/>
    <n v="0"/>
    <n v="0"/>
    <n v="-5"/>
    <n v="0"/>
    <n v="5"/>
    <e v="#VALUE!"/>
    <n v="5"/>
    <n v="0"/>
    <m/>
    <m/>
    <s v="Y"/>
    <m/>
    <s v="0-10 DAYS"/>
    <n v="1"/>
    <x v="0"/>
  </r>
  <r>
    <n v="3047"/>
    <s v="N"/>
    <s v="N"/>
    <n v="2527368"/>
    <n v="4"/>
    <d v="2012-04-23T00:00:00"/>
    <d v="2012-08-02T00:00:00"/>
    <n v="2527368"/>
    <d v="2012-04-23T00:00:00"/>
    <d v="2012-04-24T00:00:00"/>
    <n v="2000"/>
    <x v="5"/>
    <d v="2012-04-24T00:00:00"/>
    <s v="Y"/>
    <s v="SURETY"/>
    <s v="GUILTY PLEA - NO JURY"/>
    <n v="2"/>
    <n v="102"/>
    <n v="0"/>
    <n v="0"/>
    <m/>
    <m/>
    <m/>
    <m/>
    <m/>
    <m/>
    <m/>
    <m/>
    <m/>
    <d v="1987-10-16T00:00:00"/>
    <s v="F"/>
    <s v="B"/>
    <s v="BLACK"/>
    <s v="NULL"/>
    <s v="182"/>
    <s v="CONVICTED"/>
    <n v="4"/>
    <s v="HCJ"/>
    <m/>
    <m/>
    <n v="120"/>
    <s v="THEFT $1500-20K"/>
    <m/>
    <s v="FS"/>
    <s v="THEFT"/>
    <m/>
    <m/>
    <m/>
    <m/>
    <m/>
    <m/>
    <m/>
    <m/>
    <m/>
    <s v="Appointed Attorney"/>
    <m/>
    <m/>
    <n v="2"/>
    <n v="102"/>
    <n v="102"/>
    <n v="24.469945355191257"/>
    <n v="0"/>
    <n v="-100"/>
    <s v="CONVICTION"/>
    <x v="1"/>
    <s v="Y"/>
    <m/>
    <s v="CONVICTION"/>
    <s v="Y"/>
    <x v="1"/>
    <x v="0"/>
    <s v="N"/>
    <n v="1.9607843137254902E-2"/>
    <n v="1.9607843137254902E-2"/>
    <n v="0"/>
    <n v="0"/>
    <n v="-2"/>
    <n v="0"/>
    <n v="2"/>
    <e v="#VALUE!"/>
    <n v="2"/>
    <n v="0"/>
    <m/>
    <m/>
    <s v="N"/>
    <m/>
    <s v="0-10 DAYS"/>
    <n v="1"/>
    <x v="0"/>
  </r>
  <r>
    <n v="1825"/>
    <s v="N"/>
    <s v="N"/>
    <n v="2527425"/>
    <n v="5"/>
    <d v="2012-03-08T00:00:00"/>
    <d v="2012-05-03T00:00:00"/>
    <n v="2527425"/>
    <d v="2012-03-09T00:00:00"/>
    <d v="2012-05-03T00:00:00"/>
    <n v="10000"/>
    <x v="3"/>
    <m/>
    <s v="N"/>
    <s v="NONE"/>
    <s v="GUILTY PLEA - NO JURY"/>
    <n v="56"/>
    <n v="57"/>
    <n v="2"/>
    <n v="1"/>
    <n v="1"/>
    <m/>
    <m/>
    <m/>
    <m/>
    <m/>
    <m/>
    <m/>
    <m/>
    <d v="1993-10-11T00:00:00"/>
    <s v="M"/>
    <s v="B"/>
    <s v="BLACK"/>
    <s v="NULL"/>
    <s v="185"/>
    <s v="CONVICTED"/>
    <n v="3"/>
    <s v="STJ"/>
    <m/>
    <n v="6"/>
    <m/>
    <s v="THEFT FROM PERSON"/>
    <m/>
    <s v="FS"/>
    <s v="THEFT"/>
    <m/>
    <m/>
    <m/>
    <m/>
    <m/>
    <m/>
    <m/>
    <m/>
    <m/>
    <s v="Appointed Attorney"/>
    <m/>
    <m/>
    <n v="56"/>
    <n v="56"/>
    <n v="57"/>
    <n v="18.368852459016395"/>
    <n v="0"/>
    <n v="0"/>
    <s v="CONVICTION"/>
    <x v="0"/>
    <s v="N"/>
    <m/>
    <s v="CONVICTION"/>
    <s v="Y"/>
    <x v="0"/>
    <x v="0"/>
    <s v="Y"/>
    <n v="0.98245614035087714"/>
    <n v="1"/>
    <n v="1.7543859649122862E-2"/>
    <n v="0"/>
    <n v="-56"/>
    <n v="0"/>
    <n v="56"/>
    <e v="#VALUE!"/>
    <n v="56"/>
    <n v="0"/>
    <m/>
    <m/>
    <s v="Y"/>
    <m/>
    <s v="31-60 DAYS"/>
    <n v="3"/>
    <x v="0"/>
  </r>
  <r>
    <n v="2898"/>
    <s v="N"/>
    <s v="N"/>
    <n v="2527544"/>
    <n v="2"/>
    <d v="2012-04-17T00:00:00"/>
    <d v="2012-05-22T00:00:00"/>
    <n v="2527544"/>
    <d v="2012-04-17T00:00:00"/>
    <d v="2012-05-22T00:00:00"/>
    <n v="5000"/>
    <x v="4"/>
    <m/>
    <s v="N"/>
    <s v="NONE"/>
    <s v="DEFERRED ADJUDICATION "/>
    <n v="36"/>
    <n v="36"/>
    <n v="1"/>
    <n v="0"/>
    <m/>
    <m/>
    <m/>
    <m/>
    <m/>
    <m/>
    <m/>
    <m/>
    <m/>
    <d v="1992-04-02T00:00:00"/>
    <s v="M"/>
    <s v="B"/>
    <s v="BLACK"/>
    <s v="NULL"/>
    <s v="174"/>
    <s v="DEFERRED"/>
    <n v="2"/>
    <s v="DEFERRED"/>
    <m/>
    <m/>
    <m/>
    <s v="BURGLARY OF A BUILDING"/>
    <m/>
    <s v="FS"/>
    <s v="BURGLARY"/>
    <s v="7/18/12 rev robbery pend detained"/>
    <m/>
    <m/>
    <m/>
    <m/>
    <m/>
    <m/>
    <m/>
    <m/>
    <s v="Public Defender"/>
    <m/>
    <m/>
    <n v="36"/>
    <n v="36"/>
    <n v="36"/>
    <n v="20"/>
    <n v="0"/>
    <n v="0"/>
    <s v="DEFERRED"/>
    <x v="0"/>
    <s v="N"/>
    <m/>
    <s v="DEFERRED"/>
    <s v="Y"/>
    <x v="0"/>
    <x v="0"/>
    <s v="Y"/>
    <n v="1"/>
    <n v="1"/>
    <n v="0"/>
    <n v="0"/>
    <n v="-36"/>
    <n v="0"/>
    <n v="36"/>
    <e v="#VALUE!"/>
    <n v="36"/>
    <n v="0"/>
    <m/>
    <m/>
    <s v="Y"/>
    <m/>
    <s v="31-60 DAYS"/>
    <n v="3"/>
    <x v="0"/>
  </r>
  <r>
    <n v="2129"/>
    <s v="N"/>
    <s v="N"/>
    <n v="2527569"/>
    <n v="6"/>
    <d v="2012-03-20T00:00:00"/>
    <d v="2013-10-22T00:00:00"/>
    <n v="2527569"/>
    <d v="2012-03-20T00:00:00"/>
    <d v="2013-10-22T00:00:00"/>
    <s v="NO BOND"/>
    <x v="1"/>
    <m/>
    <s v="N"/>
    <s v="NONE"/>
    <s v="GUILTY PLEA - NO JURY"/>
    <n v="582"/>
    <n v="582"/>
    <n v="2"/>
    <n v="0"/>
    <m/>
    <n v="2"/>
    <m/>
    <m/>
    <m/>
    <m/>
    <m/>
    <s v="S"/>
    <m/>
    <d v="1993-02-12T00:00:00"/>
    <s v="M"/>
    <s v="H"/>
    <s v="HISPANIC"/>
    <s v="NULL"/>
    <s v="339"/>
    <s v="CONVICTED"/>
    <n v="13"/>
    <s v="TDC"/>
    <n v="2"/>
    <m/>
    <m/>
    <s v="AGG ROBBERY-DEADLY WPN"/>
    <m/>
    <s v="F1"/>
    <s v="ROBBERY"/>
    <s v="2 CASES SAME DISP"/>
    <m/>
    <m/>
    <m/>
    <m/>
    <m/>
    <m/>
    <m/>
    <m/>
    <s v="Hired Attorney"/>
    <m/>
    <m/>
    <n v="582"/>
    <n v="582"/>
    <n v="582"/>
    <n v="19.060109289617486"/>
    <n v="0"/>
    <n v="0"/>
    <s v="CONVICTION"/>
    <x v="0"/>
    <s v="N"/>
    <m/>
    <s v="CONVICTION"/>
    <s v="Y"/>
    <x v="0"/>
    <x v="0"/>
    <s v="Y"/>
    <n v="1"/>
    <n v="1"/>
    <n v="0"/>
    <n v="0"/>
    <n v="-582"/>
    <n v="0"/>
    <n v="582"/>
    <e v="#VALUE!"/>
    <n v="582"/>
    <n v="0"/>
    <m/>
    <m/>
    <s v="Y"/>
    <m/>
    <s v=" &gt;1YRS&lt;2YRS"/>
    <n v="0"/>
    <x v="0"/>
  </r>
  <r>
    <n v="47"/>
    <s v="N"/>
    <s v="N"/>
    <n v="2527578"/>
    <n v="6"/>
    <d v="2012-01-03T00:00:00"/>
    <d v="2012-01-05T00:00:00"/>
    <n v="2527578"/>
    <d v="2012-01-03T00:00:00"/>
    <d v="2012-01-05T00:00:00"/>
    <n v="10000"/>
    <x v="3"/>
    <m/>
    <s v="N"/>
    <s v="NONE"/>
    <s v="GUILTY PLEA - NO JURY"/>
    <n v="3"/>
    <n v="3"/>
    <n v="2"/>
    <n v="0"/>
    <n v="1"/>
    <m/>
    <m/>
    <m/>
    <m/>
    <m/>
    <m/>
    <s v="S"/>
    <m/>
    <d v="1993-08-30T00:00:00"/>
    <s v="M"/>
    <s v="H"/>
    <s v="HISPANIC"/>
    <s v="NULL"/>
    <s v="262"/>
    <s v="CONVICTED"/>
    <n v="1"/>
    <s v="TDC"/>
    <n v="4"/>
    <m/>
    <m/>
    <s v="BURGLARY OF HABITATION"/>
    <m/>
    <s v="F2"/>
    <s v="BURGLARY"/>
    <m/>
    <m/>
    <m/>
    <m/>
    <m/>
    <m/>
    <m/>
    <m/>
    <m/>
    <s v="Appointed Attorney"/>
    <m/>
    <m/>
    <n v="3"/>
    <n v="3"/>
    <n v="3"/>
    <n v="18.306010928961747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493"/>
    <s v="N"/>
    <s v="N"/>
    <n v="2527757"/>
    <n v="2"/>
    <d v="2012-04-03T00:00:00"/>
    <d v="2012-05-21T00:00:00"/>
    <n v="2527757"/>
    <d v="2012-04-04T00:00:00"/>
    <d v="2012-05-21T00:00:00"/>
    <n v="5000"/>
    <x v="4"/>
    <m/>
    <s v="N"/>
    <s v="NONE"/>
    <s v="DEFERRED ADJUDICATION "/>
    <n v="48"/>
    <n v="49"/>
    <n v="1"/>
    <n v="4"/>
    <m/>
    <m/>
    <m/>
    <m/>
    <m/>
    <m/>
    <m/>
    <m/>
    <m/>
    <d v="1992-05-08T00:00:00"/>
    <s v="M"/>
    <s v="B"/>
    <s v="BLACK"/>
    <s v="NULL"/>
    <s v="230"/>
    <s v="DEFERRED"/>
    <n v="4"/>
    <s v="DEFERRED"/>
    <m/>
    <m/>
    <m/>
    <s v="THEFT $1500-20K"/>
    <m/>
    <s v="FS"/>
    <s v="THEFT"/>
    <m/>
    <m/>
    <m/>
    <m/>
    <m/>
    <m/>
    <m/>
    <m/>
    <m/>
    <s v="Appointed Attorney"/>
    <m/>
    <m/>
    <n v="48"/>
    <n v="48"/>
    <n v="49"/>
    <n v="19.863387978142075"/>
    <n v="0"/>
    <n v="0"/>
    <s v="DEFERRED"/>
    <x v="0"/>
    <s v="N"/>
    <m/>
    <s v="DEFERRED"/>
    <s v="Y"/>
    <x v="0"/>
    <x v="0"/>
    <s v="Y"/>
    <n v="0.97959183673469385"/>
    <n v="1"/>
    <n v="2.0408163265306145E-2"/>
    <n v="0"/>
    <n v="-48"/>
    <n v="0"/>
    <n v="48"/>
    <e v="#VALUE!"/>
    <n v="48"/>
    <n v="0"/>
    <m/>
    <m/>
    <s v="Y"/>
    <m/>
    <s v="31-60 DAYS"/>
    <n v="3"/>
    <x v="0"/>
  </r>
  <r>
    <n v="1585"/>
    <s v="N"/>
    <s v="N"/>
    <n v="2528186"/>
    <n v="1"/>
    <d v="2012-02-28T00:00:00"/>
    <d v="2012-05-30T00:00:00"/>
    <n v="2528186"/>
    <d v="2012-02-29T00:00:00"/>
    <d v="2012-03-02T00:00:00"/>
    <n v="20000"/>
    <x v="0"/>
    <d v="2012-03-02T00:00:00"/>
    <s v="Y"/>
    <s v="SURETYPTRc"/>
    <s v="NO BILL"/>
    <n v="3"/>
    <n v="93"/>
    <n v="0"/>
    <n v="0"/>
    <m/>
    <m/>
    <m/>
    <m/>
    <m/>
    <m/>
    <m/>
    <m/>
    <m/>
    <d v="1990-04-11T00:00:00"/>
    <s v="F"/>
    <s v="B"/>
    <s v="BLACK"/>
    <s v="NULL"/>
    <s v="230"/>
    <s v="NO BILL"/>
    <n v="5"/>
    <s v="NO BILL"/>
    <m/>
    <m/>
    <m/>
    <s v="POSS W/INT DEL CS PG1&gt;=4 &lt;200"/>
    <m/>
    <s v="F1"/>
    <s v="SALE DRUG"/>
    <m/>
    <m/>
    <m/>
    <m/>
    <m/>
    <m/>
    <m/>
    <m/>
    <m/>
    <s v="Hired Attorney"/>
    <m/>
    <m/>
    <n v="3"/>
    <n v="92"/>
    <n v="93"/>
    <n v="21.838797814207652"/>
    <n v="0"/>
    <n v="-89"/>
    <s v="NO CONVICTION"/>
    <x v="1"/>
    <s v="Y"/>
    <m/>
    <s v="NO CONVICTION"/>
    <s v="Y"/>
    <x v="1"/>
    <x v="0"/>
    <s v="N"/>
    <n v="3.2258064516129031E-2"/>
    <n v="3.2608695652173912E-2"/>
    <n v="3.5063113604488078E-4"/>
    <n v="0"/>
    <n v="-3"/>
    <n v="0"/>
    <n v="3"/>
    <e v="#VALUE!"/>
    <n v="3"/>
    <n v="0"/>
    <m/>
    <m/>
    <s v="N"/>
    <m/>
    <s v="0-10 DAYS"/>
    <n v="1"/>
    <x v="0"/>
  </r>
  <r>
    <n v="2507"/>
    <s v="N"/>
    <s v="N"/>
    <n v="2528328"/>
    <n v="2"/>
    <d v="2012-04-04T00:00:00"/>
    <d v="2012-04-11T00:00:00"/>
    <n v="2528328"/>
    <d v="2012-04-04T00:00:00"/>
    <d v="2012-04-11T00:00:00"/>
    <n v="2000"/>
    <x v="5"/>
    <m/>
    <s v="N"/>
    <s v="NONE"/>
    <s v="DEFERRED ADJUDICATION "/>
    <n v="8"/>
    <n v="8"/>
    <n v="0"/>
    <n v="0"/>
    <m/>
    <m/>
    <m/>
    <m/>
    <m/>
    <m/>
    <m/>
    <m/>
    <m/>
    <d v="1993-03-02T00:00:00"/>
    <s v="M"/>
    <s v="B"/>
    <s v="BLACK"/>
    <s v="NON-HISPANIC"/>
    <s v="208"/>
    <s v="DEFERRED"/>
    <n v="3"/>
    <s v="DEFERRED"/>
    <m/>
    <m/>
    <m/>
    <s v="UNAUTH USE OF VEHICLE"/>
    <m/>
    <s v="FS"/>
    <s v="AUTO THEFT"/>
    <m/>
    <m/>
    <m/>
    <m/>
    <m/>
    <m/>
    <m/>
    <m/>
    <m/>
    <s v="Appointed Attorney"/>
    <m/>
    <m/>
    <n v="8"/>
    <n v="8"/>
    <n v="8"/>
    <n v="19.051912568306012"/>
    <n v="0"/>
    <n v="0"/>
    <s v="DEFERRED"/>
    <x v="0"/>
    <s v="N"/>
    <m/>
    <s v="DEFERRED"/>
    <s v="Y"/>
    <x v="0"/>
    <x v="0"/>
    <s v="N"/>
    <n v="1"/>
    <n v="1"/>
    <n v="0"/>
    <n v="0"/>
    <n v="-8"/>
    <n v="0"/>
    <n v="8"/>
    <e v="#VALUE!"/>
    <n v="8"/>
    <n v="0"/>
    <m/>
    <m/>
    <s v="N"/>
    <m/>
    <s v="0-10 DAYS"/>
    <n v="1"/>
    <x v="0"/>
  </r>
  <r>
    <n v="3006"/>
    <s v="N"/>
    <s v="N"/>
    <n v="2528695"/>
    <n v="1"/>
    <d v="2012-04-20T00:00:00"/>
    <d v="2012-10-08T00:00:00"/>
    <n v="2528695"/>
    <d v="2012-04-20T00:00:00"/>
    <d v="2012-10-08T00:00:00"/>
    <s v="NO BOND"/>
    <x v="1"/>
    <m/>
    <s v="N"/>
    <s v="NONE"/>
    <s v="DISMISSED"/>
    <n v="172"/>
    <n v="172"/>
    <n v="1"/>
    <n v="2"/>
    <m/>
    <m/>
    <m/>
    <m/>
    <m/>
    <m/>
    <m/>
    <m/>
    <m/>
    <d v="1990-08-10T00:00:00"/>
    <s v="M"/>
    <s v="B"/>
    <s v="BLACK"/>
    <s v="NULL"/>
    <s v="177"/>
    <s v="DISMISSED"/>
    <n v="9"/>
    <s v="DISMISSED"/>
    <m/>
    <m/>
    <m/>
    <s v="ASSAULT-BOD INJ-FAMILY MEMBER"/>
    <m/>
    <s v="F3"/>
    <s v="ASLT-MURDR"/>
    <s v="convic on another charge filed 12/29/11  tdc 2 yrs"/>
    <m/>
    <m/>
    <m/>
    <m/>
    <m/>
    <m/>
    <m/>
    <m/>
    <s v="Appointed Attorney"/>
    <m/>
    <m/>
    <n v="172"/>
    <n v="172"/>
    <n v="172"/>
    <n v="21.650273224043715"/>
    <n v="0"/>
    <n v="0"/>
    <s v="NO CONVICTION"/>
    <x v="0"/>
    <s v="N"/>
    <m/>
    <s v="NO CONVICTION"/>
    <s v="Y"/>
    <x v="0"/>
    <x v="0"/>
    <s v="Y"/>
    <n v="1"/>
    <n v="1"/>
    <n v="0"/>
    <n v="0"/>
    <n v="-172"/>
    <n v="0"/>
    <n v="172"/>
    <e v="#VALUE!"/>
    <n v="172"/>
    <n v="0"/>
    <m/>
    <m/>
    <s v="Y"/>
    <m/>
    <s v="121-365 DAYS"/>
    <n v="6"/>
    <x v="0"/>
  </r>
  <r>
    <n v="49"/>
    <s v="N"/>
    <s v="N"/>
    <n v="2530339"/>
    <n v="2"/>
    <d v="2012-01-03T00:00:00"/>
    <d v="2012-05-09T00:00:00"/>
    <n v="2530339"/>
    <d v="2012-01-04T00:00:00"/>
    <d v="2012-05-09T00:00:00"/>
    <n v="10000"/>
    <x v="3"/>
    <m/>
    <s v="N"/>
    <s v="NONE"/>
    <s v="DEFERRED ADJUDICATION "/>
    <n v="127"/>
    <n v="128"/>
    <n v="0"/>
    <n v="3"/>
    <m/>
    <m/>
    <m/>
    <m/>
    <m/>
    <m/>
    <m/>
    <m/>
    <m/>
    <d v="1993-05-21T00:00:00"/>
    <s v="M"/>
    <s v="B"/>
    <s v="BLACK"/>
    <s v="NULL"/>
    <s v="177"/>
    <s v="DEFERRED"/>
    <n v="7"/>
    <s v="DEFERRED"/>
    <m/>
    <m/>
    <m/>
    <s v="BURGLARY OF HABITATION"/>
    <m/>
    <s v="F2"/>
    <s v="BURGLARY"/>
    <s v="5/14/12 misd tressp"/>
    <m/>
    <m/>
    <m/>
    <m/>
    <m/>
    <m/>
    <m/>
    <m/>
    <s v="Appointed Attorney"/>
    <m/>
    <m/>
    <n v="127"/>
    <n v="127"/>
    <n v="128"/>
    <n v="18.581967213114755"/>
    <n v="0"/>
    <n v="0"/>
    <s v="DEFERRED"/>
    <x v="0"/>
    <s v="N"/>
    <m/>
    <s v="DEFERRED"/>
    <s v="Y"/>
    <x v="0"/>
    <x v="0"/>
    <s v="N"/>
    <n v="0.9921875"/>
    <n v="1"/>
    <n v="7.8125E-3"/>
    <n v="0"/>
    <n v="-127"/>
    <n v="0"/>
    <n v="127"/>
    <e v="#VALUE!"/>
    <n v="127"/>
    <n v="0"/>
    <m/>
    <m/>
    <s v="Y"/>
    <m/>
    <s v="121-365 DAYS"/>
    <n v="6"/>
    <x v="0"/>
  </r>
  <r>
    <n v="3039"/>
    <s v="N"/>
    <s v="N"/>
    <n v="2530986"/>
    <n v="2"/>
    <d v="2012-04-22T00:00:00"/>
    <d v="2012-10-11T00:00:00"/>
    <n v="2530986"/>
    <d v="2012-04-23T00:00:00"/>
    <d v="2012-10-11T00:00:00"/>
    <n v="30000"/>
    <x v="2"/>
    <m/>
    <s v="N"/>
    <s v="NONE"/>
    <s v="DEFERRED ADJUDICATION "/>
    <n v="172"/>
    <n v="173"/>
    <n v="2"/>
    <n v="2"/>
    <m/>
    <m/>
    <m/>
    <m/>
    <m/>
    <m/>
    <m/>
    <m/>
    <m/>
    <d v="1993-01-08T00:00:00"/>
    <s v="F"/>
    <s v="W"/>
    <s v="WHITE"/>
    <s v="NON-HISPANIC"/>
    <s v="176"/>
    <s v="DEFERRED"/>
    <n v="9"/>
    <s v="DEFERRED"/>
    <m/>
    <m/>
    <n v="30"/>
    <s v="POSS W/INT DEL CS PG1&gt;=4 &lt;200"/>
    <m/>
    <s v="F1"/>
    <s v="SALE DRUG"/>
    <m/>
    <m/>
    <m/>
    <m/>
    <m/>
    <m/>
    <m/>
    <m/>
    <m/>
    <s v="Appointed Attorney"/>
    <m/>
    <m/>
    <n v="172"/>
    <n v="172"/>
    <n v="173"/>
    <n v="19.245901639344261"/>
    <n v="0"/>
    <n v="0"/>
    <s v="DEFERRED"/>
    <x v="0"/>
    <s v="N"/>
    <m/>
    <s v="DEFERRED"/>
    <s v="Y"/>
    <x v="0"/>
    <x v="0"/>
    <s v="Y"/>
    <n v="0.9942196531791907"/>
    <n v="1"/>
    <n v="5.7803468208093012E-3"/>
    <n v="0"/>
    <n v="-172"/>
    <n v="0"/>
    <n v="172"/>
    <e v="#VALUE!"/>
    <n v="172"/>
    <n v="0"/>
    <m/>
    <m/>
    <s v="Y"/>
    <m/>
    <s v="121-365 DAYS"/>
    <n v="6"/>
    <x v="0"/>
  </r>
  <r>
    <n v="2856"/>
    <s v="N"/>
    <s v="N"/>
    <n v="2531259"/>
    <n v="1"/>
    <d v="2012-04-15T00:00:00"/>
    <d v="2012-05-02T00:00:00"/>
    <n v="2531259"/>
    <d v="2012-04-16T00:00:00"/>
    <d v="2012-05-02T00:00:00"/>
    <n v="35000"/>
    <x v="2"/>
    <m/>
    <s v="N"/>
    <s v="NONE"/>
    <s v="DISMISSED"/>
    <n v="17"/>
    <n v="18"/>
    <n v="0"/>
    <n v="1"/>
    <m/>
    <m/>
    <m/>
    <m/>
    <m/>
    <m/>
    <m/>
    <m/>
    <m/>
    <d v="1990-03-11T00:00:00"/>
    <s v="M"/>
    <s v="H"/>
    <s v="HISPANIC"/>
    <s v="HISPANIC"/>
    <s v="262"/>
    <s v="DISMISSED"/>
    <n v="2"/>
    <s v="DISMISSED"/>
    <m/>
    <m/>
    <m/>
    <s v="ASSAULT-BOD INJ-FAMILY MEMBER"/>
    <m/>
    <s v="F3"/>
    <s v="ASLT-MURDR"/>
    <m/>
    <m/>
    <m/>
    <m/>
    <m/>
    <m/>
    <m/>
    <m/>
    <m/>
    <s v="Appointed Attorney"/>
    <m/>
    <m/>
    <n v="17"/>
    <n v="17"/>
    <n v="18"/>
    <n v="22.051912568306012"/>
    <n v="0"/>
    <n v="0"/>
    <s v="NO CONVICTION"/>
    <x v="0"/>
    <s v="N"/>
    <m/>
    <s v="NO CONVICTION"/>
    <s v="Y"/>
    <x v="0"/>
    <x v="0"/>
    <s v="N"/>
    <n v="0.94444444444444442"/>
    <n v="1"/>
    <n v="5.555555555555558E-2"/>
    <n v="0"/>
    <n v="-17"/>
    <n v="0"/>
    <n v="17"/>
    <e v="#VALUE!"/>
    <n v="17"/>
    <n v="0"/>
    <m/>
    <m/>
    <s v="Y"/>
    <m/>
    <s v="11-30 DAYS"/>
    <n v="2"/>
    <x v="0"/>
  </r>
  <r>
    <n v="944"/>
    <s v="Y"/>
    <s v="Y"/>
    <n v="2532655"/>
    <n v="5"/>
    <d v="2012-02-04T00:00:00"/>
    <d v="2012-05-25T00:00:00"/>
    <n v="2532655"/>
    <d v="2012-02-04T00:00:00"/>
    <d v="2012-02-06T00:00:00"/>
    <n v="5000"/>
    <x v="4"/>
    <d v="2012-02-06T00:00:00"/>
    <s v="Y"/>
    <s v="SURETY"/>
    <s v="GUILTY PLEA - NO JURY"/>
    <n v="70"/>
    <n v="112"/>
    <n v="0"/>
    <n v="3"/>
    <m/>
    <m/>
    <m/>
    <m/>
    <m/>
    <m/>
    <m/>
    <m/>
    <m/>
    <d v="1993-12-10T00:00:00"/>
    <s v="M"/>
    <s v="B"/>
    <s v="BLACK"/>
    <s v="NULL"/>
    <s v="351"/>
    <s v="CONVICTED"/>
    <n v="6"/>
    <s v="STJ"/>
    <m/>
    <n v="6"/>
    <m/>
    <s v="BURGLARY OF A BUILDING"/>
    <m/>
    <s v="FS"/>
    <s v="BURGLARY"/>
    <m/>
    <s v="rev 3/19/12 "/>
    <m/>
    <m/>
    <s v="Y"/>
    <m/>
    <m/>
    <m/>
    <m/>
    <s v="Appointed Attorney"/>
    <s v="m mischief 10/9/12 f theft1/10/14 stj2y"/>
    <m/>
    <n v="70"/>
    <n v="112"/>
    <n v="112"/>
    <n v="18.114754098360656"/>
    <n v="0"/>
    <n v="-109"/>
    <s v="CONVICTION"/>
    <x v="1"/>
    <s v="Y"/>
    <m/>
    <s v="CONVICTION"/>
    <s v="Y"/>
    <x v="0"/>
    <x v="0"/>
    <s v="N"/>
    <n v="0.625"/>
    <n v="2.6785714285714284E-2"/>
    <n v="-0.5982142857142857"/>
    <n v="0"/>
    <n v="-3"/>
    <n v="67"/>
    <n v="112"/>
    <n v="70"/>
    <n v="112"/>
    <n v="109"/>
    <m/>
    <m/>
    <s v="Y"/>
    <m/>
    <s v="61-90 DAYS"/>
    <n v="4"/>
    <x v="0"/>
  </r>
  <r>
    <n v="2143"/>
    <s v="N"/>
    <s v="N"/>
    <n v="2532700"/>
    <n v="6"/>
    <d v="2012-03-21T00:00:00"/>
    <d v="2012-06-20T00:00:00"/>
    <n v="2532700"/>
    <d v="2012-03-21T00:00:00"/>
    <d v="2012-06-20T00:00:00"/>
    <n v="60000"/>
    <x v="2"/>
    <m/>
    <s v="N"/>
    <s v="NONE"/>
    <s v="GUILTY PLEA - NO JURY"/>
    <n v="92"/>
    <n v="92"/>
    <n v="0"/>
    <n v="2"/>
    <m/>
    <m/>
    <m/>
    <m/>
    <m/>
    <m/>
    <m/>
    <s v="S"/>
    <m/>
    <d v="1991-11-19T00:00:00"/>
    <s v="M"/>
    <s v="H"/>
    <s v="HISPANIC"/>
    <s v="NULL"/>
    <s v="185"/>
    <s v="CONVICTED"/>
    <n v="6"/>
    <s v="TDC"/>
    <n v="3"/>
    <m/>
    <m/>
    <s v="AGG ASSAULT W/DEADLY WEAPON"/>
    <m/>
    <s v="F2"/>
    <s v="ASLT-MURDR"/>
    <m/>
    <m/>
    <m/>
    <m/>
    <m/>
    <m/>
    <m/>
    <m/>
    <m/>
    <s v="Public Defender"/>
    <m/>
    <m/>
    <n v="92"/>
    <n v="92"/>
    <n v="92"/>
    <n v="20.295081967213115"/>
    <n v="0"/>
    <n v="0"/>
    <s v="CONVICTION"/>
    <x v="0"/>
    <s v="N"/>
    <m/>
    <s v="CONVICTION"/>
    <s v="Y"/>
    <x v="0"/>
    <x v="0"/>
    <s v="N"/>
    <n v="1"/>
    <n v="1"/>
    <n v="0"/>
    <n v="0"/>
    <n v="-92"/>
    <n v="0"/>
    <n v="92"/>
    <e v="#VALUE!"/>
    <n v="92"/>
    <n v="0"/>
    <m/>
    <m/>
    <s v="Y"/>
    <m/>
    <s v="91-120 DAYS"/>
    <n v="0"/>
    <x v="0"/>
  </r>
  <r>
    <n v="1633"/>
    <s v="N"/>
    <s v="N"/>
    <n v="2533174"/>
    <n v="1"/>
    <d v="2012-03-01T00:00:00"/>
    <d v="2012-03-14T00:00:00"/>
    <n v="2533174"/>
    <d v="2012-03-12T00:00:00"/>
    <d v="2012-03-14T00:00:00"/>
    <s v="NO BOND"/>
    <x v="1"/>
    <m/>
    <s v="N"/>
    <s v="NONE"/>
    <s v="DISMISSED"/>
    <n v="3"/>
    <n v="14"/>
    <n v="1"/>
    <n v="0"/>
    <m/>
    <n v="1"/>
    <m/>
    <m/>
    <m/>
    <m/>
    <m/>
    <m/>
    <m/>
    <d v="1989-03-20T00:00:00"/>
    <s v="M"/>
    <s v="W"/>
    <s v="WHITE"/>
    <s v="NULL"/>
    <s v="180"/>
    <s v="DISMISSED"/>
    <n v="2"/>
    <s v="DISMISSED"/>
    <m/>
    <m/>
    <m/>
    <s v="THEFT $1500-20K"/>
    <m/>
    <s v="FS"/>
    <s v="THEFT"/>
    <m/>
    <m/>
    <m/>
    <m/>
    <m/>
    <m/>
    <m/>
    <m/>
    <m/>
    <s v="Appointed Attorney"/>
    <m/>
    <m/>
    <n v="3"/>
    <n v="3"/>
    <n v="14"/>
    <n v="22.901639344262296"/>
    <n v="0"/>
    <n v="0"/>
    <s v="NO CONVICTION"/>
    <x v="0"/>
    <s v="N"/>
    <m/>
    <s v="NO CONVICTION"/>
    <s v="Y"/>
    <x v="0"/>
    <x v="0"/>
    <s v="Y"/>
    <n v="0.21428571428571427"/>
    <n v="1"/>
    <n v="0.7857142857142857"/>
    <n v="0"/>
    <n v="-3"/>
    <n v="0"/>
    <n v="3"/>
    <e v="#VALUE!"/>
    <n v="3"/>
    <n v="0"/>
    <m/>
    <m/>
    <s v="Y"/>
    <m/>
    <s v="0-10 DAYS"/>
    <n v="1"/>
    <x v="0"/>
  </r>
  <r>
    <n v="949"/>
    <s v="N"/>
    <s v="N"/>
    <n v="2533281"/>
    <n v="2"/>
    <d v="2012-02-04T00:00:00"/>
    <d v="2012-04-09T00:00:00"/>
    <n v="2533281"/>
    <d v="2012-02-05T00:00:00"/>
    <d v="2012-02-14T00:00:00"/>
    <n v="2000"/>
    <x v="5"/>
    <d v="2012-02-14T00:00:00"/>
    <s v="Y"/>
    <s v="SURETY"/>
    <s v="DEFERRED ADJUDICATION "/>
    <n v="10"/>
    <n v="66"/>
    <n v="0"/>
    <n v="1"/>
    <m/>
    <m/>
    <m/>
    <m/>
    <m/>
    <m/>
    <m/>
    <m/>
    <m/>
    <d v="1979-11-08T00:00:00"/>
    <s v="F"/>
    <s v="W"/>
    <s v="WHITE"/>
    <s v="NON-HISPANIC"/>
    <s v="339"/>
    <s v="DEFERRED"/>
    <n v="4"/>
    <s v="DEFERRED"/>
    <m/>
    <m/>
    <m/>
    <s v="FORGERY GOVT FINANCIAL INST"/>
    <m/>
    <s v="F3"/>
    <s v="OTHER FEL"/>
    <s v="law viol 7/5/12  amend cop 35 days hcj  cont def adj"/>
    <m/>
    <m/>
    <m/>
    <m/>
    <m/>
    <m/>
    <m/>
    <m/>
    <s v="Appointed Attorney"/>
    <m/>
    <m/>
    <n v="10"/>
    <n v="65"/>
    <n v="66"/>
    <n v="32.174863387978142"/>
    <n v="0"/>
    <n v="-55"/>
    <s v="DEFERRED"/>
    <x v="1"/>
    <s v="Y"/>
    <m/>
    <s v="DEFERRED"/>
    <s v="Y"/>
    <x v="1"/>
    <x v="0"/>
    <s v="N"/>
    <n v="0.15151515151515152"/>
    <n v="0.15384615384615385"/>
    <n v="2.3310023310023353E-3"/>
    <n v="0"/>
    <n v="-10"/>
    <n v="0"/>
    <n v="10"/>
    <e v="#VALUE!"/>
    <n v="10"/>
    <n v="0"/>
    <m/>
    <m/>
    <s v="Y"/>
    <m/>
    <s v="0-10 DAYS"/>
    <n v="1"/>
    <x v="0"/>
  </r>
  <r>
    <n v="2116"/>
    <s v="N"/>
    <s v="N"/>
    <n v="2533289"/>
    <n v="2"/>
    <d v="2012-03-20T00:00:00"/>
    <d v="2012-03-27T00:00:00"/>
    <n v="2533289"/>
    <d v="2012-03-20T00:00:00"/>
    <d v="2012-03-27T00:00:00"/>
    <n v="5000"/>
    <x v="4"/>
    <m/>
    <s v="N"/>
    <s v="NONE"/>
    <s v="DEFERRED ADJUDICATION "/>
    <n v="8"/>
    <n v="8"/>
    <n v="0"/>
    <n v="5"/>
    <m/>
    <m/>
    <m/>
    <m/>
    <m/>
    <m/>
    <m/>
    <m/>
    <m/>
    <d v="1993-11-25T00:00:00"/>
    <s v="M"/>
    <s v="H"/>
    <s v="HISPANIC"/>
    <s v="HISPANIC"/>
    <s v="262"/>
    <s v="DEFERRED"/>
    <n v="3"/>
    <s v="DEFERRED"/>
    <m/>
    <m/>
    <m/>
    <s v="POSS CS PG 1 &lt;1G"/>
    <m/>
    <s v="FS"/>
    <s v="POSS DRUG"/>
    <m/>
    <m/>
    <m/>
    <m/>
    <m/>
    <m/>
    <m/>
    <m/>
    <m/>
    <s v="Appointed Attorney"/>
    <m/>
    <m/>
    <n v="8"/>
    <n v="8"/>
    <n v="8"/>
    <n v="18.278688524590162"/>
    <n v="0"/>
    <n v="0"/>
    <s v="DEFERRED"/>
    <x v="0"/>
    <s v="N"/>
    <m/>
    <s v="DEFERRED"/>
    <s v="Y"/>
    <x v="0"/>
    <x v="0"/>
    <s v="N"/>
    <n v="1"/>
    <n v="1"/>
    <n v="0"/>
    <n v="0"/>
    <n v="-8"/>
    <n v="0"/>
    <n v="8"/>
    <e v="#VALUE!"/>
    <n v="8"/>
    <n v="0"/>
    <m/>
    <m/>
    <s v="Y"/>
    <m/>
    <s v="0-10 DAYS"/>
    <n v="1"/>
    <x v="0"/>
  </r>
  <r>
    <n v="840"/>
    <s v="Y"/>
    <s v="N"/>
    <n v="2533376"/>
    <n v="6"/>
    <d v="2012-02-01T00:00:00"/>
    <d v="2014-01-17T00:00:00"/>
    <n v="2533376"/>
    <d v="2012-02-11T00:00:00"/>
    <d v="2014-01-17T00:00:00"/>
    <n v="140000"/>
    <x v="2"/>
    <m/>
    <s v="N"/>
    <s v="NONE"/>
    <s v="GUILTY PLEA - NO JURY"/>
    <n v="717"/>
    <n v="717"/>
    <n v="0"/>
    <n v="1"/>
    <m/>
    <m/>
    <m/>
    <m/>
    <m/>
    <m/>
    <m/>
    <m/>
    <m/>
    <d v="1993-03-18T00:00:00"/>
    <s v="M"/>
    <s v="W"/>
    <s v="WHITE"/>
    <s v="NULL"/>
    <s v="209"/>
    <s v="CONVICTED"/>
    <n v="18"/>
    <s v="TDC"/>
    <n v="20"/>
    <m/>
    <m/>
    <s v="INJURY TO CHILD-SBI"/>
    <m/>
    <s v="F1"/>
    <s v="ASLT-MURDR"/>
    <m/>
    <m/>
    <m/>
    <m/>
    <m/>
    <m/>
    <m/>
    <m/>
    <m/>
    <s v="Appointed Attorney"/>
    <s v="threatened pub serv w deadly 10 tdc sent"/>
    <m/>
    <n v="717"/>
    <n v="707"/>
    <n v="717"/>
    <n v="18.83606557377049"/>
    <n v="0"/>
    <n v="0"/>
    <s v="CONVICTION"/>
    <x v="0"/>
    <s v="N"/>
    <m/>
    <s v="CONVICTION"/>
    <s v="Y"/>
    <x v="0"/>
    <x v="0"/>
    <s v="N"/>
    <n v="1"/>
    <n v="1"/>
    <n v="0"/>
    <n v="0"/>
    <n v="-707"/>
    <n v="10"/>
    <n v="707"/>
    <e v="#VALUE!"/>
    <n v="717"/>
    <m/>
    <m/>
    <m/>
    <s v="Y"/>
    <e v="#N/A"/>
    <s v=" &gt;1YRS&lt;2YRS"/>
    <n v="0"/>
    <x v="0"/>
  </r>
  <r>
    <n v="1249"/>
    <s v="N"/>
    <s v="N"/>
    <n v="2533418"/>
    <n v="6"/>
    <d v="2012-02-15T00:00:00"/>
    <d v="2012-05-09T00:00:00"/>
    <n v="2533418"/>
    <d v="2012-02-15T00:00:00"/>
    <d v="2012-05-09T00:00:00"/>
    <s v="NO BOND"/>
    <x v="1"/>
    <m/>
    <s v="N"/>
    <s v="NONE"/>
    <s v="GUILTY PLEA - NO JURY"/>
    <n v="85"/>
    <n v="85"/>
    <n v="2"/>
    <n v="3"/>
    <n v="2"/>
    <m/>
    <m/>
    <m/>
    <m/>
    <m/>
    <m/>
    <m/>
    <m/>
    <d v="1993-08-22T00:00:00"/>
    <s v="M"/>
    <s v="H"/>
    <s v="HISPANIC"/>
    <s v="HISPANIC"/>
    <s v="180"/>
    <s v="CONVICTED"/>
    <n v="4"/>
    <s v="TDC"/>
    <n v="7"/>
    <m/>
    <m/>
    <s v="ROBBERY-BODILY INJURY"/>
    <m/>
    <s v="F2"/>
    <s v="ROBBERY"/>
    <m/>
    <m/>
    <m/>
    <m/>
    <m/>
    <m/>
    <m/>
    <m/>
    <m/>
    <s v="Appointed Attorney"/>
    <m/>
    <m/>
    <n v="85"/>
    <n v="85"/>
    <n v="85"/>
    <n v="18.44535519125683"/>
    <n v="0"/>
    <n v="0"/>
    <s v="CONVICTION"/>
    <x v="0"/>
    <s v="N"/>
    <m/>
    <s v="CONVICTION"/>
    <s v="Y"/>
    <x v="0"/>
    <x v="0"/>
    <s v="Y"/>
    <n v="1"/>
    <n v="1"/>
    <n v="0"/>
    <n v="0"/>
    <n v="-85"/>
    <n v="0"/>
    <n v="85"/>
    <e v="#VALUE!"/>
    <n v="85"/>
    <n v="0"/>
    <m/>
    <m/>
    <s v="Y"/>
    <m/>
    <s v="61-90 DAYS"/>
    <n v="4"/>
    <x v="0"/>
  </r>
  <r>
    <n v="101"/>
    <s v="N"/>
    <s v="Y"/>
    <n v="2535294"/>
    <s v=""/>
    <d v="2012-01-05T00:00:00"/>
    <m/>
    <n v="2535294"/>
    <d v="2012-01-06T00:00:00"/>
    <d v="2012-01-08T00:00:00"/>
    <n v="40000"/>
    <x v="2"/>
    <d v="2012-01-08T00:00:00"/>
    <s v="Y"/>
    <s v="SURETY"/>
    <s v="SURETY fugitive"/>
    <s v="STILL OPEN - FUGITIVE"/>
    <s v="STILL OPEN - FUGITIVE"/>
    <n v="0"/>
    <n v="0"/>
    <m/>
    <m/>
    <m/>
    <m/>
    <m/>
    <m/>
    <m/>
    <m/>
    <m/>
    <d v="1979-12-20T00:00:00"/>
    <s v="M"/>
    <s v="B"/>
    <s v="BLACK"/>
    <s v="NULL"/>
    <s v="177"/>
    <s v="NULL"/>
    <m/>
    <m/>
    <m/>
    <m/>
    <m/>
    <s v="MAN/DEL CS PG III/IV 28-200 GR"/>
    <m/>
    <s v="F2"/>
    <s v="SALE DRUG"/>
    <m/>
    <m/>
    <s v="Y"/>
    <d v="2012-10-25T00:00:00"/>
    <m/>
    <s v="Y"/>
    <m/>
    <s v="(3)nisi 10/29/12"/>
    <m/>
    <s v="Hired Attorney"/>
    <m/>
    <m/>
    <s v="STILL OPEN - FUGITIVE"/>
    <s v="STILL OPEN - FUGITIVE"/>
    <s v="STILL OPEN - FUGITIVE"/>
    <n v="31.978142076502731"/>
    <n v="0"/>
    <n v="40916"/>
    <n v="0"/>
    <x v="1"/>
    <s v="Y"/>
    <m/>
    <s v=""/>
    <s v="Y"/>
    <x v="4"/>
    <x v="1"/>
    <s v="N"/>
    <s v="STILL OPEN - FUGITIVE"/>
    <s v="STILL OPEN"/>
    <n v="0"/>
    <e v="#VALUE!"/>
    <n v="-3"/>
    <e v="#VALUE!"/>
    <e v="#VALUE!"/>
    <s v="STILL OPEN - FUGITIVE"/>
    <s v="STILL OPEN"/>
    <m/>
    <m/>
    <m/>
    <s v="N"/>
    <e v="#N/A"/>
    <s v="&gt;3YRS"/>
    <n v="9"/>
    <x v="0"/>
  </r>
  <r>
    <n v="2874"/>
    <s v="N"/>
    <s v="N"/>
    <n v="2535405"/>
    <n v="1"/>
    <d v="2012-04-16T00:00:00"/>
    <d v="2012-09-25T00:00:00"/>
    <n v="2535405"/>
    <s v="NOT BOOKED"/>
    <s v="NOT BOOKED"/>
    <n v="5000"/>
    <x v="4"/>
    <d v="2012-07-26T00:00:00"/>
    <s v="Y"/>
    <s v="SURETY"/>
    <s v="DISMISSED"/>
    <n v="0"/>
    <n v="163"/>
    <n v="0"/>
    <n v="0"/>
    <m/>
    <m/>
    <m/>
    <m/>
    <m/>
    <m/>
    <m/>
    <m/>
    <m/>
    <d v="1987-04-01T00:00:00"/>
    <s v="M"/>
    <s v="W"/>
    <s v="WHITE"/>
    <s v="NULL"/>
    <s v="230"/>
    <s v="DISMISSED"/>
    <n v="5"/>
    <s v="DISMISSED"/>
    <m/>
    <m/>
    <m/>
    <s v="THEFT $1500-20K"/>
    <m/>
    <s v="FS"/>
    <s v="THEFT"/>
    <m/>
    <m/>
    <m/>
    <m/>
    <m/>
    <m/>
    <m/>
    <m/>
    <m/>
    <s v="Hired Attorney"/>
    <m/>
    <m/>
    <n v="0"/>
    <n v="0"/>
    <n v="163"/>
    <n v="24.991803278688526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106"/>
    <s v="N"/>
    <s v="N"/>
    <n v="2535423"/>
    <n v="4"/>
    <d v="2012-02-10T00:00:00"/>
    <d v="2012-07-18T00:00:00"/>
    <n v="2535423"/>
    <d v="2012-02-10T00:00:00"/>
    <d v="2012-07-18T00:00:00"/>
    <n v="5000"/>
    <x v="4"/>
    <m/>
    <s v="N"/>
    <s v="NONE"/>
    <s v="GUILTY PLEA - NO JURY"/>
    <n v="160"/>
    <n v="160"/>
    <n v="1"/>
    <n v="1"/>
    <n v="1"/>
    <m/>
    <m/>
    <m/>
    <m/>
    <m/>
    <m/>
    <m/>
    <m/>
    <d v="1955-11-19T00:00:00"/>
    <s v="M"/>
    <s v="W"/>
    <s v="WHITE"/>
    <s v="NULL"/>
    <s v="178"/>
    <s v="CONVICTED"/>
    <n v="7"/>
    <s v="HCJ"/>
    <m/>
    <m/>
    <n v="365"/>
    <s v="POSS CS PG 1 &lt;1G"/>
    <m/>
    <s v="FS"/>
    <s v="POSS DRUG"/>
    <m/>
    <m/>
    <m/>
    <m/>
    <m/>
    <m/>
    <m/>
    <m/>
    <m/>
    <s v="Appointed Attorney"/>
    <m/>
    <m/>
    <n v="160"/>
    <n v="160"/>
    <n v="160"/>
    <n v="56.112021857923494"/>
    <n v="0"/>
    <n v="0"/>
    <s v="CONVICTION"/>
    <x v="0"/>
    <s v="N"/>
    <m/>
    <s v="CONVICTION"/>
    <s v="Y"/>
    <x v="0"/>
    <x v="0"/>
    <s v="Y"/>
    <n v="1"/>
    <n v="1"/>
    <n v="0"/>
    <n v="0"/>
    <n v="-160"/>
    <n v="0"/>
    <n v="160"/>
    <e v="#VALUE!"/>
    <n v="160"/>
    <n v="0"/>
    <m/>
    <m/>
    <s v="Y"/>
    <m/>
    <s v="121-365 DAYS"/>
    <n v="6"/>
    <x v="0"/>
  </r>
  <r>
    <n v="842"/>
    <s v="N"/>
    <s v="N"/>
    <n v="2536340"/>
    <n v="2"/>
    <d v="2012-02-01T00:00:00"/>
    <d v="2012-06-01T00:00:00"/>
    <n v="2536340"/>
    <d v="2012-02-04T00:00:00"/>
    <d v="2012-06-01T00:00:00"/>
    <s v="NO BOND"/>
    <x v="1"/>
    <m/>
    <s v="N"/>
    <s v="NONE"/>
    <s v="DEFERRED ADJUDICATION "/>
    <n v="119"/>
    <n v="122"/>
    <n v="0"/>
    <n v="1"/>
    <m/>
    <m/>
    <m/>
    <m/>
    <m/>
    <m/>
    <m/>
    <m/>
    <m/>
    <d v="1993-10-05T00:00:00"/>
    <s v="M"/>
    <s v="W"/>
    <s v="WHITE"/>
    <s v="NULL"/>
    <s v="178"/>
    <s v="DEFERRED"/>
    <n v="8"/>
    <s v="DEFERRED"/>
    <m/>
    <m/>
    <m/>
    <s v="POSS W/INT MAN/DEL CS PG1 1&lt;1"/>
    <m/>
    <s v="FS"/>
    <s v="SALE DRUG"/>
    <m/>
    <m/>
    <m/>
    <m/>
    <m/>
    <m/>
    <m/>
    <m/>
    <m/>
    <s v="Hired Attorney"/>
    <m/>
    <m/>
    <n v="119"/>
    <n v="119"/>
    <n v="122"/>
    <n v="18.28688524590164"/>
    <n v="0"/>
    <n v="0"/>
    <s v="DEFERRED"/>
    <x v="0"/>
    <s v="N"/>
    <m/>
    <s v="DEFERRED"/>
    <s v="Y"/>
    <x v="0"/>
    <x v="0"/>
    <s v="N"/>
    <n v="0.97540983606557374"/>
    <n v="1"/>
    <n v="2.4590163934426257E-2"/>
    <n v="0"/>
    <n v="-119"/>
    <n v="0"/>
    <n v="119"/>
    <e v="#VALUE!"/>
    <n v="119"/>
    <n v="0"/>
    <m/>
    <m/>
    <s v="Y"/>
    <m/>
    <s v="91-120 DAYS"/>
    <n v="0"/>
    <x v="0"/>
  </r>
  <r>
    <n v="38"/>
    <s v="N"/>
    <s v="N"/>
    <n v="2537129"/>
    <n v="6"/>
    <d v="2012-01-03T00:00:00"/>
    <d v="2012-07-31T00:00:00"/>
    <n v="2537129"/>
    <d v="2012-01-14T00:00:00"/>
    <d v="2012-07-31T00:00:00"/>
    <s v="NO BOND"/>
    <x v="1"/>
    <m/>
    <s v="N"/>
    <s v="NONE"/>
    <s v="GUILTY PLEA - NO JURY"/>
    <n v="200"/>
    <n v="211"/>
    <n v="2"/>
    <n v="0"/>
    <m/>
    <n v="2"/>
    <m/>
    <m/>
    <m/>
    <m/>
    <m/>
    <m/>
    <m/>
    <d v="1993-04-11T00:00:00"/>
    <s v="M"/>
    <s v="B"/>
    <s v="BLACK"/>
    <s v="NULL"/>
    <s v="228"/>
    <s v="CONVICTED"/>
    <n v="8"/>
    <s v="TDC"/>
    <n v="10"/>
    <m/>
    <m/>
    <s v="AGG ROBBERY-DEADLY WPN"/>
    <m/>
    <s v="F1"/>
    <s v="ROBBERY"/>
    <m/>
    <m/>
    <m/>
    <m/>
    <m/>
    <m/>
    <m/>
    <m/>
    <m/>
    <s v="Public Defender"/>
    <m/>
    <m/>
    <n v="200"/>
    <n v="200"/>
    <n v="211"/>
    <n v="18.691256830601095"/>
    <n v="0"/>
    <n v="0"/>
    <s v="CONVICTION"/>
    <x v="0"/>
    <s v="N"/>
    <m/>
    <s v="CONVICTION"/>
    <s v="Y"/>
    <x v="0"/>
    <x v="0"/>
    <s v="Y"/>
    <n v="0.94786729857819907"/>
    <n v="1"/>
    <n v="5.2132701421800931E-2"/>
    <n v="0"/>
    <n v="-200"/>
    <n v="0"/>
    <n v="200"/>
    <e v="#VALUE!"/>
    <n v="200"/>
    <n v="0"/>
    <m/>
    <m/>
    <s v="Y"/>
    <m/>
    <s v="121-365 DAYS"/>
    <n v="6"/>
    <x v="0"/>
  </r>
  <r>
    <n v="3189"/>
    <s v="N"/>
    <s v="N"/>
    <n v="2537533"/>
    <n v="6"/>
    <d v="2012-04-27T00:00:00"/>
    <d v="2012-11-26T00:00:00"/>
    <n v="2537533"/>
    <d v="2012-05-03T00:00:00"/>
    <d v="2012-11-26T00:00:00"/>
    <n v="75000"/>
    <x v="2"/>
    <m/>
    <s v="N"/>
    <s v="NONE"/>
    <s v="GUILTY PLEA - NO JURY"/>
    <n v="208"/>
    <n v="214"/>
    <n v="1"/>
    <n v="0"/>
    <m/>
    <n v="1"/>
    <m/>
    <m/>
    <m/>
    <m/>
    <m/>
    <m/>
    <m/>
    <d v="1977-02-25T00:00:00"/>
    <s v="M"/>
    <s v="W"/>
    <s v="WHITE"/>
    <s v="NULL"/>
    <s v="209"/>
    <s v="CONVICTED"/>
    <n v="13"/>
    <s v="TDC"/>
    <n v="7"/>
    <m/>
    <m/>
    <s v="AGG ASSAULT W/DEADLY WEAPON"/>
    <m/>
    <s v="F2"/>
    <s v="ASLT-MURDR"/>
    <m/>
    <m/>
    <m/>
    <m/>
    <m/>
    <m/>
    <m/>
    <m/>
    <m/>
    <s v="Hired Attorney"/>
    <m/>
    <m/>
    <n v="208"/>
    <n v="208"/>
    <n v="214"/>
    <n v="35.095628415300546"/>
    <n v="0"/>
    <n v="0"/>
    <s v="CONVICTION"/>
    <x v="0"/>
    <s v="N"/>
    <m/>
    <s v="CONVICTION"/>
    <s v="Y"/>
    <x v="0"/>
    <x v="0"/>
    <s v="Y"/>
    <n v="0.9719626168224299"/>
    <n v="1"/>
    <n v="2.8037383177570097E-2"/>
    <n v="0"/>
    <n v="-208"/>
    <n v="0"/>
    <n v="208"/>
    <e v="#VALUE!"/>
    <n v="208"/>
    <n v="0"/>
    <m/>
    <m/>
    <s v="Y"/>
    <m/>
    <s v="121-365 DAYS"/>
    <n v="6"/>
    <x v="0"/>
  </r>
  <r>
    <n v="2765"/>
    <s v="Y"/>
    <s v="N"/>
    <n v="2538060"/>
    <n v="4"/>
    <d v="2012-04-12T00:00:00"/>
    <d v="2012-09-13T00:00:00"/>
    <n v="2538060"/>
    <d v="2012-04-24T00:00:00"/>
    <d v="2012-09-13T00:00:00"/>
    <s v="NO BOND"/>
    <x v="1"/>
    <m/>
    <s v="N"/>
    <s v="NONE"/>
    <s v="GUILTY PLEA - NO JURY"/>
    <n v="143"/>
    <n v="155"/>
    <n v="1"/>
    <n v="1"/>
    <m/>
    <n v="1"/>
    <m/>
    <m/>
    <m/>
    <m/>
    <m/>
    <m/>
    <m/>
    <d v="1993-12-12T00:00:00"/>
    <s v="M"/>
    <s v="B"/>
    <s v="BLACK"/>
    <s v="NON-HISPANIC"/>
    <s v="178"/>
    <s v="CONVICTED"/>
    <n v="8"/>
    <s v="HCJ"/>
    <m/>
    <m/>
    <n v="180"/>
    <s v="AGG ROBBERY-DEADLY WPN"/>
    <m/>
    <s v="F1"/>
    <s v="ROBBERY"/>
    <m/>
    <m/>
    <m/>
    <m/>
    <m/>
    <m/>
    <m/>
    <m/>
    <m/>
    <s v="Appointed Attorney"/>
    <s v="MURDER FILED 8/21/13"/>
    <m/>
    <n v="143"/>
    <n v="143"/>
    <n v="155"/>
    <n v="18.295081967213115"/>
    <n v="0"/>
    <n v="0"/>
    <s v="CONVICTION"/>
    <x v="0"/>
    <s v="N"/>
    <m/>
    <s v="CONVICTION"/>
    <s v="Y"/>
    <x v="0"/>
    <x v="0"/>
    <s v="Y"/>
    <n v="0.92258064516129035"/>
    <n v="1"/>
    <n v="7.7419354838709653E-2"/>
    <n v="0"/>
    <n v="-143"/>
    <n v="0"/>
    <n v="143"/>
    <e v="#VALUE!"/>
    <n v="143"/>
    <n v="0"/>
    <m/>
    <m/>
    <s v="Y"/>
    <m/>
    <s v="121-365 DAYS"/>
    <n v="6"/>
    <x v="0"/>
  </r>
  <r>
    <n v="102"/>
    <s v="N"/>
    <s v="N"/>
    <n v="2538121"/>
    <n v="2"/>
    <d v="2012-01-05T00:00:00"/>
    <d v="2013-02-18T00:00:00"/>
    <n v="2538121"/>
    <d v="2012-01-06T00:00:00"/>
    <d v="2012-01-26T00:00:00"/>
    <n v="20000"/>
    <x v="0"/>
    <d v="2012-01-26T00:00:00"/>
    <s v="Y"/>
    <s v="SURETY"/>
    <s v="DEFERRED ADJUDICATION "/>
    <n v="21"/>
    <n v="411"/>
    <n v="0"/>
    <n v="0"/>
    <m/>
    <m/>
    <m/>
    <m/>
    <m/>
    <m/>
    <m/>
    <m/>
    <m/>
    <d v="1993-01-02T00:00:00"/>
    <s v="M"/>
    <s v="B"/>
    <s v="BLACK"/>
    <s v="NON-HISPANIC"/>
    <s v="339"/>
    <s v="DEFERRED"/>
    <n v="9"/>
    <s v="DEFERRED"/>
    <m/>
    <m/>
    <m/>
    <s v="BURGLARY OF HABITATION"/>
    <m/>
    <s v="F2"/>
    <s v="BURGLARY"/>
    <m/>
    <m/>
    <m/>
    <m/>
    <m/>
    <m/>
    <m/>
    <m/>
    <m/>
    <s v="Appointed Attorney"/>
    <m/>
    <m/>
    <n v="21"/>
    <n v="410"/>
    <n v="411"/>
    <n v="18.967213114754099"/>
    <n v="0"/>
    <n v="-389"/>
    <s v="DEFERRED"/>
    <x v="1"/>
    <s v="Y"/>
    <m/>
    <s v="DEFERRED"/>
    <s v="Y"/>
    <x v="1"/>
    <x v="0"/>
    <s v="N"/>
    <n v="5.1094890510948905E-2"/>
    <n v="5.1219512195121948E-2"/>
    <n v="1.2462168417304298E-4"/>
    <n v="0"/>
    <n v="-21"/>
    <n v="0"/>
    <n v="21"/>
    <e v="#VALUE!"/>
    <n v="21"/>
    <n v="0"/>
    <m/>
    <m/>
    <s v="N"/>
    <m/>
    <s v="11-30 DAYS"/>
    <n v="2"/>
    <x v="0"/>
  </r>
  <r>
    <n v="529"/>
    <s v="N"/>
    <s v="N"/>
    <n v="2538494"/>
    <n v="2"/>
    <d v="2012-01-21T00:00:00"/>
    <d v="2012-02-22T00:00:00"/>
    <n v="2538494"/>
    <d v="2012-01-22T00:00:00"/>
    <d v="2012-02-22T00:00:00"/>
    <s v="NO BOND"/>
    <x v="1"/>
    <m/>
    <s v="N"/>
    <s v="NONE"/>
    <s v="DEFERRED ADJUDICATION "/>
    <n v="32"/>
    <n v="33"/>
    <n v="1"/>
    <n v="0"/>
    <m/>
    <n v="1"/>
    <m/>
    <m/>
    <m/>
    <m/>
    <m/>
    <s v="S"/>
    <m/>
    <d v="1989-05-10T00:00:00"/>
    <s v="F"/>
    <s v="H"/>
    <s v="HISPANIC"/>
    <s v="NULL"/>
    <s v="337"/>
    <s v="DEFERRED"/>
    <n v="2"/>
    <s v="DEFERRED"/>
    <m/>
    <m/>
    <m/>
    <s v="ENDANGERING A CHILD"/>
    <m/>
    <s v="FS"/>
    <s v="OTHER FEL"/>
    <m/>
    <m/>
    <m/>
    <m/>
    <m/>
    <m/>
    <m/>
    <m/>
    <m/>
    <s v="Appointed Attorney"/>
    <m/>
    <m/>
    <n v="32"/>
    <n v="32"/>
    <n v="33"/>
    <n v="22.653005464480874"/>
    <n v="0"/>
    <n v="0"/>
    <s v="DEFERRED"/>
    <x v="0"/>
    <s v="N"/>
    <m/>
    <s v="DEFERRED"/>
    <s v="Y"/>
    <x v="0"/>
    <x v="0"/>
    <s v="Y"/>
    <n v="0.96969696969696972"/>
    <n v="1"/>
    <n v="3.0303030303030276E-2"/>
    <n v="0"/>
    <n v="-32"/>
    <n v="0"/>
    <n v="32"/>
    <e v="#VALUE!"/>
    <n v="32"/>
    <n v="0"/>
    <m/>
    <m/>
    <s v="Y"/>
    <m/>
    <s v="31-60 DAYS"/>
    <n v="3"/>
    <x v="0"/>
  </r>
  <r>
    <n v="2883"/>
    <s v="N"/>
    <s v="N"/>
    <n v="2538714"/>
    <n v="6"/>
    <d v="2012-04-17T00:00:00"/>
    <d v="2012-05-25T00:00:00"/>
    <n v="2538714"/>
    <d v="2012-04-17T00:00:00"/>
    <d v="2012-05-07T00:00:00"/>
    <n v="5000"/>
    <x v="4"/>
    <d v="2012-05-07T00:00:00"/>
    <s v="Y"/>
    <s v="SURETY"/>
    <s v="GUILTY PLEA - NO JURY"/>
    <n v="21"/>
    <n v="39"/>
    <n v="0"/>
    <n v="1"/>
    <m/>
    <m/>
    <m/>
    <m/>
    <m/>
    <m/>
    <m/>
    <s v="S"/>
    <m/>
    <d v="1993-11-09T00:00:00"/>
    <s v="M"/>
    <s v="H"/>
    <s v="HISPANIC"/>
    <s v="NULL"/>
    <s v="339"/>
    <s v="CONVICTED"/>
    <n v="3"/>
    <s v="TDC"/>
    <n v="2"/>
    <m/>
    <m/>
    <s v="ENGAGING IN ORG CRIM ACTIVITY"/>
    <m/>
    <s v="F3"/>
    <s v="OTHER FEL"/>
    <m/>
    <m/>
    <m/>
    <m/>
    <m/>
    <m/>
    <m/>
    <m/>
    <m/>
    <s v="Appointed Attorney"/>
    <m/>
    <m/>
    <n v="21"/>
    <n v="39"/>
    <n v="39"/>
    <n v="18.398907103825138"/>
    <n v="0"/>
    <n v="-18"/>
    <s v="CONVICTION"/>
    <x v="1"/>
    <s v="Y"/>
    <m/>
    <s v="CONVICTION"/>
    <s v="Y"/>
    <x v="1"/>
    <x v="0"/>
    <s v="N"/>
    <n v="0.53846153846153844"/>
    <n v="0.53846153846153844"/>
    <n v="0"/>
    <n v="0"/>
    <n v="-21"/>
    <n v="0"/>
    <n v="21"/>
    <e v="#VALUE!"/>
    <n v="21"/>
    <n v="0"/>
    <m/>
    <m/>
    <s v="Y"/>
    <m/>
    <s v="11-30 DAYS"/>
    <n v="2"/>
    <x v="0"/>
  </r>
  <r>
    <n v="1216"/>
    <s v="Y"/>
    <s v="Y"/>
    <n v="2538788"/>
    <n v="2"/>
    <d v="2012-02-14T00:00:00"/>
    <d v="2012-04-26T00:00:00"/>
    <n v="2538788"/>
    <d v="2012-04-18T00:00:00"/>
    <d v="2012-04-26T00:00:00"/>
    <n v="5000"/>
    <x v="4"/>
    <d v="2012-02-16T00:00:00"/>
    <s v="Y"/>
    <s v="SURETY"/>
    <s v="DEFERRED ADJUDICATION "/>
    <n v="9"/>
    <n v="73"/>
    <n v="0"/>
    <n v="1"/>
    <m/>
    <m/>
    <m/>
    <m/>
    <m/>
    <m/>
    <m/>
    <m/>
    <m/>
    <d v="1966-10-24T00:00:00"/>
    <s v="M"/>
    <s v="H"/>
    <s v="HISPANIC"/>
    <s v="HISPANIC"/>
    <s v="179"/>
    <s v="DEFERRED"/>
    <n v="4"/>
    <s v="DEFERRED"/>
    <m/>
    <m/>
    <m/>
    <s v="POSS CS PG 1  1 - 4 GRAMS"/>
    <m/>
    <s v="F3"/>
    <s v="POSS DRUG"/>
    <s v="def adj revoked  EVADE 7/27/12 tdc 2 yrs"/>
    <m/>
    <s v="Y"/>
    <s v="BF 4/4/12"/>
    <m/>
    <m/>
    <m/>
    <d v="2012-12-10T00:00:00"/>
    <n v="241"/>
    <s v="Appointed Attorney"/>
    <s v="fel evade 7/27/12 tdc 2"/>
    <m/>
    <n v="9"/>
    <n v="9"/>
    <n v="73"/>
    <n v="45.215846994535518"/>
    <n v="0"/>
    <n v="0"/>
    <s v="DEFERRED"/>
    <x v="1"/>
    <s v="Y"/>
    <m/>
    <s v="DEFERRED"/>
    <s v="Y"/>
    <x v="0"/>
    <x v="0"/>
    <s v="N"/>
    <n v="0.12328767123287671"/>
    <n v="1"/>
    <n v="0.87671232876712324"/>
    <n v="0"/>
    <n v="-9"/>
    <n v="0"/>
    <n v="9"/>
    <e v="#VALUE!"/>
    <n v="9"/>
    <n v="0"/>
    <m/>
    <m/>
    <s v="Y"/>
    <m/>
    <s v="0-10 DAYS"/>
    <n v="1"/>
    <x v="0"/>
  </r>
  <r>
    <n v="1541"/>
    <s v="N"/>
    <s v="Y"/>
    <n v="2538803"/>
    <n v="6"/>
    <d v="2012-02-27T00:00:00"/>
    <d v="2012-08-01T00:00:00"/>
    <n v="2538803"/>
    <d v="2012-03-19T00:00:00"/>
    <d v="2012-03-22T00:00:00"/>
    <n v="30000"/>
    <x v="2"/>
    <d v="2012-03-22T00:00:00"/>
    <s v="Y"/>
    <s v="SURETY"/>
    <s v="GUILTY PLEA - NO JURY"/>
    <n v="9"/>
    <n v="157"/>
    <n v="0"/>
    <n v="1"/>
    <m/>
    <m/>
    <m/>
    <m/>
    <m/>
    <m/>
    <m/>
    <m/>
    <m/>
    <d v="1968-08-08T00:00:00"/>
    <s v="M"/>
    <s v="W"/>
    <s v="WHITE"/>
    <s v="NULL"/>
    <s v="339"/>
    <s v="CONVICTED"/>
    <n v="9"/>
    <s v="TDC"/>
    <n v="2"/>
    <m/>
    <m/>
    <s v="AGG ASSAULT-FAMILY MEMBER"/>
    <m/>
    <s v="F2"/>
    <s v="ASLT-MURDR"/>
    <s v="   recal detained days bf 7/26/12 bk 7/27/12  "/>
    <m/>
    <s v="Y"/>
    <s v=" BF7/26/12"/>
    <m/>
    <m/>
    <m/>
    <d v="2013-02-18T00:00:00"/>
    <n v="235"/>
    <s v="Hired Attorney"/>
    <m/>
    <m/>
    <n v="9"/>
    <n v="136"/>
    <n v="157"/>
    <n v="43.464480874316941"/>
    <n v="0"/>
    <n v="-132"/>
    <s v="CONVICTION"/>
    <x v="1"/>
    <s v="Y"/>
    <m/>
    <s v="CONVICTION"/>
    <s v="Y"/>
    <x v="0"/>
    <x v="0"/>
    <s v="N"/>
    <n v="5.7324840764331211E-2"/>
    <n v="2.9411764705882353E-2"/>
    <n v="-2.7913076058448859E-2"/>
    <n v="0"/>
    <n v="-4"/>
    <n v="5"/>
    <n v="136"/>
    <n v="9"/>
    <n v="136"/>
    <n v="132"/>
    <m/>
    <m/>
    <s v="Y"/>
    <m/>
    <s v="0-10 DAYS"/>
    <n v="1"/>
    <x v="0"/>
  </r>
  <r>
    <n v="1490"/>
    <s v="N"/>
    <s v="N"/>
    <n v="2539410"/>
    <n v="2"/>
    <d v="2012-02-24T00:00:00"/>
    <d v="2012-07-12T00:00:00"/>
    <n v="2539410"/>
    <d v="2012-03-08T00:00:00"/>
    <d v="2012-07-12T00:00:00"/>
    <n v="10000"/>
    <x v="3"/>
    <m/>
    <s v="N"/>
    <s v="NONE"/>
    <s v="DEFERRED ADJUDICATION "/>
    <n v="127"/>
    <n v="140"/>
    <n v="0"/>
    <n v="1"/>
    <m/>
    <m/>
    <m/>
    <m/>
    <m/>
    <m/>
    <m/>
    <m/>
    <m/>
    <d v="1991-10-13T00:00:00"/>
    <s v="M"/>
    <s v="B"/>
    <s v="BLACK"/>
    <s v="NULL"/>
    <s v="338"/>
    <s v="DEFERRED"/>
    <n v="6"/>
    <s v="DEFERRED"/>
    <m/>
    <m/>
    <m/>
    <s v="BURGLARY OF HABITATION"/>
    <m/>
    <s v="F2"/>
    <s v="BURGLARY"/>
    <m/>
    <m/>
    <m/>
    <m/>
    <m/>
    <m/>
    <m/>
    <m/>
    <m/>
    <s v="Appointed Attorney"/>
    <m/>
    <m/>
    <n v="127"/>
    <n v="127"/>
    <n v="140"/>
    <n v="20.325136612021858"/>
    <n v="0"/>
    <n v="0"/>
    <s v="DEFERRED"/>
    <x v="0"/>
    <s v="N"/>
    <m/>
    <s v="DEFERRED"/>
    <s v="Y"/>
    <x v="0"/>
    <x v="0"/>
    <s v="N"/>
    <n v="0.90714285714285714"/>
    <n v="1"/>
    <n v="9.285714285714286E-2"/>
    <n v="0"/>
    <n v="-127"/>
    <n v="0"/>
    <n v="127"/>
    <e v="#VALUE!"/>
    <n v="127"/>
    <n v="0"/>
    <m/>
    <m/>
    <s v="Y"/>
    <m/>
    <s v="121-365 DAYS"/>
    <n v="6"/>
    <x v="0"/>
  </r>
  <r>
    <n v="2733"/>
    <s v="N"/>
    <s v="N"/>
    <n v="2539750"/>
    <n v="1"/>
    <d v="2012-04-11T00:00:00"/>
    <d v="2012-06-26T00:00:00"/>
    <n v="2539750"/>
    <d v="2012-04-12T00:00:00"/>
    <d v="2012-06-26T00:00:00"/>
    <n v="150000"/>
    <x v="2"/>
    <m/>
    <s v="N"/>
    <s v="NONE"/>
    <s v="DISMISSED"/>
    <n v="76"/>
    <n v="77"/>
    <n v="0"/>
    <n v="1"/>
    <m/>
    <m/>
    <m/>
    <m/>
    <m/>
    <m/>
    <m/>
    <m/>
    <m/>
    <d v="1991-11-13T00:00:00"/>
    <s v="M"/>
    <s v="H"/>
    <s v="HISPANIC"/>
    <s v="HISPANIC"/>
    <s v="228"/>
    <s v="DISMISSED"/>
    <n v="3"/>
    <s v="DISMISSED"/>
    <m/>
    <m/>
    <m/>
    <s v="BURGLARY OF HABITATION"/>
    <m/>
    <s v="F2"/>
    <s v="BURGLARY"/>
    <m/>
    <m/>
    <m/>
    <m/>
    <m/>
    <m/>
    <m/>
    <m/>
    <m/>
    <s v="Appointed Attorney"/>
    <m/>
    <m/>
    <n v="76"/>
    <n v="76"/>
    <n v="77"/>
    <n v="20.368852459016395"/>
    <n v="0"/>
    <n v="0"/>
    <s v="NO CONVICTION"/>
    <x v="0"/>
    <s v="N"/>
    <m/>
    <s v="NO CONVICTION"/>
    <s v="Y"/>
    <x v="0"/>
    <x v="0"/>
    <s v="N"/>
    <n v="0.98701298701298701"/>
    <n v="1"/>
    <n v="1.2987012987012991E-2"/>
    <n v="0"/>
    <n v="-76"/>
    <n v="0"/>
    <n v="76"/>
    <e v="#VALUE!"/>
    <n v="76"/>
    <n v="0"/>
    <m/>
    <m/>
    <s v="Y"/>
    <m/>
    <s v="61-90 DAYS"/>
    <n v="4"/>
    <x v="0"/>
  </r>
  <r>
    <n v="1534"/>
    <s v="N"/>
    <s v="N"/>
    <n v="2539960"/>
    <n v="6"/>
    <d v="2012-02-27T00:00:00"/>
    <d v="2012-03-19T00:00:00"/>
    <n v="2539960"/>
    <d v="2012-02-27T00:00:00"/>
    <d v="2012-03-19T00:00:00"/>
    <s v="NO BOND"/>
    <x v="1"/>
    <m/>
    <s v="N"/>
    <s v="NONE"/>
    <s v="GUILTY PLEA - NO JURY"/>
    <n v="22"/>
    <n v="22"/>
    <n v="1"/>
    <n v="1"/>
    <n v="1"/>
    <m/>
    <m/>
    <m/>
    <m/>
    <m/>
    <m/>
    <m/>
    <m/>
    <d v="1993-11-21T00:00:00"/>
    <s v="M"/>
    <s v="H"/>
    <s v="HISPANIC"/>
    <s v="HISPANIC"/>
    <s v="183"/>
    <s v="CONVICTED"/>
    <n v="2"/>
    <s v="TDC"/>
    <n v="3"/>
    <m/>
    <m/>
    <s v="AGG ASSAULT W/DEADLY WEAPON"/>
    <m/>
    <s v="F2"/>
    <s v="ASLT-MURDR"/>
    <m/>
    <m/>
    <m/>
    <m/>
    <m/>
    <m/>
    <m/>
    <m/>
    <m/>
    <s v="Appointed Attorney"/>
    <m/>
    <m/>
    <n v="22"/>
    <n v="22"/>
    <n v="22"/>
    <n v="18.229508196721312"/>
    <n v="0"/>
    <n v="0"/>
    <s v="CONVICTION"/>
    <x v="0"/>
    <s v="N"/>
    <m/>
    <s v="CONVICTION"/>
    <s v="Y"/>
    <x v="0"/>
    <x v="0"/>
    <s v="Y"/>
    <n v="1"/>
    <n v="1"/>
    <n v="0"/>
    <n v="0"/>
    <n v="-22"/>
    <n v="0"/>
    <n v="22"/>
    <e v="#VALUE!"/>
    <n v="22"/>
    <n v="0"/>
    <m/>
    <m/>
    <s v="Y"/>
    <m/>
    <s v="11-30 DAYS"/>
    <n v="2"/>
    <x v="0"/>
  </r>
  <r>
    <n v="1191"/>
    <s v="N"/>
    <s v="N"/>
    <n v="2540024"/>
    <n v="2"/>
    <d v="2012-02-13T00:00:00"/>
    <d v="2012-02-20T00:00:00"/>
    <n v="2540024"/>
    <s v="NOT BOOKED"/>
    <s v="NOT BOOKED"/>
    <n v="10000"/>
    <x v="3"/>
    <m/>
    <s v="NO BOND MADE - NON ARREST"/>
    <s v="NONE"/>
    <s v="DEFERRED ADJUDICATION "/>
    <n v="0"/>
    <n v="8"/>
    <n v="0"/>
    <n v="1"/>
    <m/>
    <m/>
    <m/>
    <m/>
    <m/>
    <m/>
    <m/>
    <s v="S"/>
    <m/>
    <d v="1993-08-28T00:00:00"/>
    <s v="M"/>
    <s v="H"/>
    <s v="HISPANIC"/>
    <s v="NULL"/>
    <s v="183"/>
    <s v="DEFERRED"/>
    <n v="2"/>
    <s v="DEFERRED"/>
    <m/>
    <m/>
    <m/>
    <s v="DEADLY COND-DISCH F-ARM HAB/BL"/>
    <m/>
    <s v="F3"/>
    <s v="OTHER FEL"/>
    <s v="detained 4/8/12  4/13/12 4/16/12 robbery murder four fel pend"/>
    <m/>
    <m/>
    <m/>
    <m/>
    <m/>
    <m/>
    <m/>
    <m/>
    <s v="Appointed Attorney"/>
    <m/>
    <m/>
    <n v="0"/>
    <n v="0"/>
    <n v="8"/>
    <n v="18.423497267759561"/>
    <e v="#VALUE!"/>
    <e v="#VALUE!"/>
    <s v="DEFERRED"/>
    <x v="0"/>
    <s v="N"/>
    <m/>
    <s v="DEFERRED"/>
    <n v="0"/>
    <x v="5"/>
    <x v="0"/>
    <s v="N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1033"/>
    <s v="Y"/>
    <s v="Y"/>
    <n v="2540337"/>
    <n v="6"/>
    <d v="2012-02-08T00:00:00"/>
    <d v="2014-02-14T00:00:00"/>
    <n v="2540337"/>
    <d v="2012-02-25T00:00:00"/>
    <d v="2012-03-15T00:00:00"/>
    <n v="30000"/>
    <x v="2"/>
    <d v="2012-03-15T00:00:00"/>
    <s v="Y"/>
    <s v="SURETY"/>
    <s v="GUILTY PLEA - NO JURY"/>
    <n v="18"/>
    <n v="738"/>
    <n v="0"/>
    <n v="0"/>
    <m/>
    <m/>
    <m/>
    <m/>
    <m/>
    <m/>
    <m/>
    <m/>
    <m/>
    <d v="1993-08-30T00:00:00"/>
    <s v="M"/>
    <s v="B"/>
    <s v="BLACK"/>
    <s v="NULL"/>
    <s v="232"/>
    <s v="CONVICTED"/>
    <n v="12"/>
    <s v="TDC"/>
    <n v="10"/>
    <m/>
    <m/>
    <s v="AGG ROBBERY-DEADLY WPN"/>
    <m/>
    <s v="F1"/>
    <s v="ROBBERY"/>
    <s v="booked 3/27/12  weapon recal detained days at disp"/>
    <s v="bd rev 3/27/12"/>
    <m/>
    <m/>
    <s v="Y"/>
    <m/>
    <m/>
    <m/>
    <m/>
    <s v="Public Defender"/>
    <s v="MULTI M F 2/25/12"/>
    <m/>
    <n v="28"/>
    <n v="721"/>
    <n v="738"/>
    <n v="18.404371584699454"/>
    <n v="0"/>
    <n v="-701"/>
    <s v="CONVICTION"/>
    <x v="1"/>
    <s v="N"/>
    <m/>
    <s v="CONVICTION"/>
    <s v="Y"/>
    <x v="1"/>
    <x v="0"/>
    <s v="N"/>
    <n v="2.4390243902439025E-2"/>
    <n v="2.4400000000000002E-2"/>
    <n v="0"/>
    <n v="-10"/>
    <n v="-20"/>
    <n v="8"/>
    <n v="20"/>
    <e v="#VALUE!"/>
    <n v="18"/>
    <m/>
    <m/>
    <m/>
    <s v="N"/>
    <e v="#N/A"/>
    <s v="11-30 DAYS"/>
    <n v="2"/>
    <x v="0"/>
  </r>
  <r>
    <n v="583"/>
    <s v="N"/>
    <s v="N"/>
    <n v="2540365"/>
    <n v="2"/>
    <d v="2012-01-24T00:00:00"/>
    <d v="2012-06-27T00:00:00"/>
    <n v="2540365"/>
    <d v="2012-01-25T00:00:00"/>
    <d v="2012-06-27T00:00:00"/>
    <n v="10000"/>
    <x v="3"/>
    <m/>
    <s v="N"/>
    <s v="NONE"/>
    <s v="DEFERRED ADJUDICATION "/>
    <n v="155"/>
    <n v="156"/>
    <n v="0"/>
    <n v="1"/>
    <m/>
    <m/>
    <m/>
    <m/>
    <m/>
    <m/>
    <m/>
    <m/>
    <m/>
    <d v="1993-10-12T00:00:00"/>
    <s v="M"/>
    <s v="B"/>
    <s v="BLACK"/>
    <s v="NULL"/>
    <s v="178"/>
    <s v="DEFERRED"/>
    <n v="9"/>
    <s v="DEFERRED"/>
    <m/>
    <m/>
    <m/>
    <s v="ENGAGING IN ORG CRIM ACTIVITY"/>
    <m/>
    <s v="F3"/>
    <s v="OTHER FEL"/>
    <m/>
    <m/>
    <m/>
    <m/>
    <m/>
    <m/>
    <m/>
    <m/>
    <m/>
    <s v="Appointed Attorney"/>
    <m/>
    <m/>
    <n v="155"/>
    <n v="155"/>
    <n v="156"/>
    <n v="18.245901639344261"/>
    <n v="0"/>
    <n v="0"/>
    <s v="DEFERRED"/>
    <x v="0"/>
    <s v="N"/>
    <m/>
    <s v="DEFERRED"/>
    <s v="Y"/>
    <x v="0"/>
    <x v="0"/>
    <s v="N"/>
    <n v="0.99358974358974361"/>
    <n v="1"/>
    <n v="6.4102564102563875E-3"/>
    <n v="0"/>
    <n v="-155"/>
    <n v="0"/>
    <n v="155"/>
    <e v="#VALUE!"/>
    <n v="155"/>
    <n v="0"/>
    <m/>
    <m/>
    <s v="Y"/>
    <m/>
    <s v="121-365 DAYS"/>
    <n v="6"/>
    <x v="0"/>
  </r>
  <r>
    <n v="3096"/>
    <s v="N"/>
    <s v="N"/>
    <n v="2540898"/>
    <n v="2"/>
    <d v="2012-04-24T00:00:00"/>
    <d v="2012-04-26T00:00:00"/>
    <n v="2540898"/>
    <d v="2012-04-25T00:00:00"/>
    <d v="2012-04-26T00:00:00"/>
    <n v="5000"/>
    <x v="4"/>
    <m/>
    <s v="N"/>
    <s v="NONE"/>
    <s v="DEFERRED ADJUDICATION "/>
    <n v="2"/>
    <n v="3"/>
    <n v="0"/>
    <n v="1"/>
    <m/>
    <m/>
    <m/>
    <m/>
    <m/>
    <m/>
    <m/>
    <m/>
    <m/>
    <d v="1993-01-10T00:00:00"/>
    <s v="M"/>
    <s v="B"/>
    <s v="BLACK"/>
    <s v="NULL"/>
    <s v="262"/>
    <s v="DEFERRED"/>
    <n v="1"/>
    <s v="DEFERRED"/>
    <m/>
    <m/>
    <m/>
    <s v="INJURY TO ELDERLY"/>
    <m/>
    <s v="F3"/>
    <s v="ASLT-MURDR"/>
    <s v="5/17/12 viol bk revoke  fel asault 10/11/12 st j 6mos  "/>
    <m/>
    <m/>
    <m/>
    <m/>
    <m/>
    <m/>
    <m/>
    <m/>
    <s v="Appointed Attorney"/>
    <m/>
    <m/>
    <n v="2"/>
    <n v="2"/>
    <n v="3"/>
    <n v="19.245901639344261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245"/>
    <s v="N"/>
    <s v="N"/>
    <n v="2541588"/>
    <n v="6"/>
    <d v="2012-01-11T00:00:00"/>
    <d v="2013-02-14T00:00:00"/>
    <n v="2541588"/>
    <d v="2012-01-11T00:00:00"/>
    <d v="2013-02-14T00:00:00"/>
    <s v="NO BOND"/>
    <x v="1"/>
    <m/>
    <s v="N"/>
    <s v="NONE"/>
    <s v="GUILTY PLEA - NO JURY"/>
    <n v="401"/>
    <n v="401"/>
    <n v="1"/>
    <n v="0"/>
    <m/>
    <n v="1"/>
    <m/>
    <m/>
    <m/>
    <m/>
    <m/>
    <s v="S"/>
    <m/>
    <d v="1993-11-07T00:00:00"/>
    <s v="M"/>
    <s v="H"/>
    <s v="HISPANIC"/>
    <s v="NULL"/>
    <s v="183"/>
    <s v="CONVICTED"/>
    <n v="12"/>
    <s v="TDC"/>
    <n v="30"/>
    <m/>
    <m/>
    <s v="MURDER"/>
    <m/>
    <s v="F1"/>
    <s v="MURD/MANSL"/>
    <m/>
    <m/>
    <m/>
    <m/>
    <m/>
    <m/>
    <m/>
    <m/>
    <m/>
    <s v="Appointed Attorney"/>
    <m/>
    <m/>
    <n v="401"/>
    <n v="401"/>
    <n v="401"/>
    <n v="18.139344262295083"/>
    <n v="0"/>
    <n v="0"/>
    <s v="CONVICTION"/>
    <x v="0"/>
    <s v="N"/>
    <m/>
    <s v="CONVICTION"/>
    <s v="Y"/>
    <x v="0"/>
    <x v="0"/>
    <s v="Y"/>
    <n v="1"/>
    <n v="1"/>
    <n v="0"/>
    <n v="0"/>
    <n v="-401"/>
    <n v="0"/>
    <n v="401"/>
    <e v="#VALUE!"/>
    <n v="401"/>
    <n v="0"/>
    <m/>
    <m/>
    <s v="Y"/>
    <m/>
    <s v=" &gt;1YRS&lt;2YRS"/>
    <n v="0"/>
    <x v="0"/>
  </r>
  <r>
    <n v="295"/>
    <s v="N"/>
    <s v="N"/>
    <n v="2541594"/>
    <n v="2"/>
    <d v="2012-01-12T00:00:00"/>
    <d v="2012-01-17T00:00:00"/>
    <n v="2541594"/>
    <d v="2012-01-13T00:00:00"/>
    <d v="2012-01-17T00:00:00"/>
    <n v="5000"/>
    <x v="4"/>
    <m/>
    <s v="N"/>
    <s v="NONE"/>
    <s v="DEFERRED ADJUDICATION "/>
    <n v="5"/>
    <n v="6"/>
    <n v="0"/>
    <n v="0"/>
    <m/>
    <m/>
    <m/>
    <m/>
    <m/>
    <m/>
    <m/>
    <m/>
    <m/>
    <d v="1979-10-30T00:00:00"/>
    <s v="M"/>
    <s v="B"/>
    <s v="BLACK"/>
    <s v="NULL"/>
    <s v="182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5"/>
    <n v="5"/>
    <n v="6"/>
    <n v="32.136612021857921"/>
    <n v="0"/>
    <n v="0"/>
    <s v="DEFERRED"/>
    <x v="0"/>
    <s v="N"/>
    <m/>
    <s v="DEFERRED"/>
    <s v="Y"/>
    <x v="0"/>
    <x v="0"/>
    <s v="N"/>
    <n v="0.83333333333333337"/>
    <n v="1"/>
    <n v="0.16666666666666663"/>
    <n v="0"/>
    <n v="-5"/>
    <n v="0"/>
    <n v="5"/>
    <e v="#VALUE!"/>
    <n v="5"/>
    <n v="0"/>
    <m/>
    <m/>
    <s v="N"/>
    <m/>
    <s v="0-10 DAYS"/>
    <n v="1"/>
    <x v="0"/>
  </r>
  <r>
    <n v="573"/>
    <s v="N"/>
    <s v="N"/>
    <n v="2541729"/>
    <n v="2"/>
    <d v="2012-01-23T00:00:00"/>
    <d v="2012-01-24T00:00:00"/>
    <n v="2541729"/>
    <s v="NOT BOOKED"/>
    <s v="NOT BOOKED"/>
    <n v="5000"/>
    <x v="4"/>
    <m/>
    <s v="NO BOND MADE - NON ARREST"/>
    <s v="NONE"/>
    <s v="DEFERRED ADJUDICATION "/>
    <n v="0"/>
    <n v="2"/>
    <n v="0"/>
    <n v="0"/>
    <m/>
    <m/>
    <m/>
    <m/>
    <m/>
    <m/>
    <m/>
    <m/>
    <m/>
    <d v="1971-07-03T00:00:00"/>
    <s v="M"/>
    <s v="W"/>
    <s v="WHITE"/>
    <s v="NULL"/>
    <s v="262"/>
    <s v="DEFERRED"/>
    <n v="1"/>
    <s v="DEFERRED"/>
    <m/>
    <m/>
    <m/>
    <s v="ENTICING CHIL W/INT FELONY"/>
    <m/>
    <s v="F3"/>
    <s v="OTHER FEL"/>
    <m/>
    <m/>
    <m/>
    <m/>
    <m/>
    <m/>
    <m/>
    <m/>
    <m/>
    <s v="Hired Attorney"/>
    <m/>
    <m/>
    <n v="0"/>
    <n v="0"/>
    <n v="2"/>
    <n v="40.475409836065573"/>
    <e v="#VALUE!"/>
    <e v="#VALUE!"/>
    <s v="DEFERRED"/>
    <x v="0"/>
    <s v="N"/>
    <m/>
    <s v="DEFERRED"/>
    <n v="0"/>
    <x v="5"/>
    <x v="0"/>
    <s v="N"/>
    <n v="0"/>
    <n v="0"/>
    <n v="0"/>
    <n v="0"/>
    <e v="#VALUE!"/>
    <e v="#VALUE!"/>
    <e v="#VALUE!"/>
    <n v="0"/>
    <n v="0"/>
    <m/>
    <m/>
    <m/>
    <s v="N"/>
    <m/>
    <s v="0-10 DAYS"/>
    <n v="1"/>
    <x v="1"/>
  </r>
  <r>
    <n v="2360"/>
    <s v="N"/>
    <s v="N"/>
    <n v="2541803"/>
    <n v="2"/>
    <d v="2012-03-30T00:00:00"/>
    <d v="2012-06-05T00:00:00"/>
    <n v="2541803"/>
    <d v="2012-03-30T00:00:00"/>
    <d v="2012-04-06T00:00:00"/>
    <n v="30000"/>
    <x v="2"/>
    <d v="2012-04-06T00:00:00"/>
    <s v="Y"/>
    <s v="SURETY"/>
    <s v="DEFERRED ADJUDICATION "/>
    <n v="8"/>
    <n v="68"/>
    <n v="0"/>
    <n v="1"/>
    <m/>
    <m/>
    <m/>
    <m/>
    <m/>
    <m/>
    <m/>
    <m/>
    <m/>
    <d v="1992-12-23T00:00:00"/>
    <s v="M"/>
    <s v="B"/>
    <s v="BLACK"/>
    <s v="NULL"/>
    <s v="179"/>
    <s v="DEFERRED"/>
    <n v="5"/>
    <s v="DEFERRED"/>
    <m/>
    <m/>
    <m/>
    <s v="AGG ROBBERY-DEADLY WPN"/>
    <m/>
    <s v="F1"/>
    <s v="ROBBERY"/>
    <m/>
    <m/>
    <m/>
    <m/>
    <m/>
    <m/>
    <m/>
    <m/>
    <m/>
    <s v="Hired Attorney"/>
    <m/>
    <m/>
    <n v="8"/>
    <n v="68"/>
    <n v="68"/>
    <n v="19.226775956284154"/>
    <n v="0"/>
    <n v="-60"/>
    <s v="DEFERRED"/>
    <x v="1"/>
    <s v="Y"/>
    <m/>
    <s v="DEFERRED"/>
    <s v="Y"/>
    <x v="1"/>
    <x v="0"/>
    <s v="N"/>
    <n v="0.11764705882352941"/>
    <n v="0.11764705882352941"/>
    <n v="0"/>
    <n v="0"/>
    <n v="-8"/>
    <n v="0"/>
    <n v="8"/>
    <e v="#VALUE!"/>
    <n v="8"/>
    <n v="0"/>
    <m/>
    <m/>
    <s v="Y"/>
    <m/>
    <s v="0-10 DAYS"/>
    <n v="1"/>
    <x v="0"/>
  </r>
  <r>
    <n v="1705"/>
    <s v="N"/>
    <s v="N"/>
    <n v="2541993"/>
    <n v="6"/>
    <d v="2012-03-04T00:00:00"/>
    <d v="2012-04-17T00:00:00"/>
    <n v="2541993"/>
    <d v="2012-03-04T00:00:00"/>
    <d v="2012-04-17T00:00:00"/>
    <n v="10000"/>
    <x v="3"/>
    <m/>
    <s v="N"/>
    <s v="NONE"/>
    <s v="GUILTY PLEA - NO JURY"/>
    <n v="45"/>
    <n v="45"/>
    <n v="2"/>
    <n v="0"/>
    <n v="1"/>
    <m/>
    <m/>
    <m/>
    <m/>
    <m/>
    <m/>
    <m/>
    <m/>
    <d v="1977-07-11T00:00:00"/>
    <s v="M"/>
    <s v="W"/>
    <s v="WHITE"/>
    <s v="NULL"/>
    <s v="179"/>
    <s v="CONVICTED"/>
    <n v="4"/>
    <s v="TDC"/>
    <n v="10"/>
    <m/>
    <m/>
    <s v="FELON POSS WPN"/>
    <m/>
    <s v="F3"/>
    <s v="OTHER FEL"/>
    <m/>
    <m/>
    <m/>
    <m/>
    <m/>
    <m/>
    <m/>
    <m/>
    <m/>
    <s v="Appointed Attorney"/>
    <m/>
    <m/>
    <n v="45"/>
    <n v="45"/>
    <n v="45"/>
    <n v="34.576502732240435"/>
    <n v="0"/>
    <n v="0"/>
    <s v="CONVICTION"/>
    <x v="0"/>
    <s v="N"/>
    <m/>
    <s v="CONVICTION"/>
    <s v="Y"/>
    <x v="0"/>
    <x v="0"/>
    <s v="Y"/>
    <n v="1"/>
    <n v="1"/>
    <n v="0"/>
    <n v="0"/>
    <n v="-45"/>
    <n v="0"/>
    <n v="45"/>
    <e v="#VALUE!"/>
    <n v="45"/>
    <n v="0"/>
    <m/>
    <m/>
    <s v="Y"/>
    <m/>
    <s v="31-60 DAYS"/>
    <n v="3"/>
    <x v="0"/>
  </r>
  <r>
    <n v="1837"/>
    <s v="N"/>
    <s v="N"/>
    <n v="2542071"/>
    <n v="2"/>
    <d v="2012-03-09T00:00:00"/>
    <d v="2012-05-18T00:00:00"/>
    <n v="2542071"/>
    <d v="2012-03-14T00:00:00"/>
    <d v="2012-05-18T00:00:00"/>
    <n v="10000"/>
    <x v="3"/>
    <m/>
    <s v="N"/>
    <s v="NONE"/>
    <s v="DEFERRED ADJUDICATION "/>
    <n v="66"/>
    <n v="71"/>
    <n v="0"/>
    <n v="1"/>
    <m/>
    <m/>
    <m/>
    <m/>
    <m/>
    <m/>
    <m/>
    <m/>
    <m/>
    <d v="1991-02-24T00:00:00"/>
    <s v="M"/>
    <s v="W"/>
    <s v="WHITE"/>
    <s v="NULL"/>
    <s v="185"/>
    <s v="DEFERRED"/>
    <n v="6"/>
    <s v="DEFERRED"/>
    <m/>
    <m/>
    <m/>
    <s v="ARSON"/>
    <m/>
    <s v="F2"/>
    <s v="ARSON"/>
    <m/>
    <m/>
    <m/>
    <m/>
    <m/>
    <m/>
    <m/>
    <m/>
    <m/>
    <s v="Public Defender"/>
    <m/>
    <m/>
    <n v="66"/>
    <n v="66"/>
    <n v="71"/>
    <n v="20.994535519125684"/>
    <n v="0"/>
    <n v="0"/>
    <s v="DEFERRED"/>
    <x v="0"/>
    <s v="N"/>
    <m/>
    <s v="DEFERRED"/>
    <s v="Y"/>
    <x v="0"/>
    <x v="0"/>
    <s v="N"/>
    <n v="0.92957746478873238"/>
    <n v="1"/>
    <n v="7.0422535211267623E-2"/>
    <n v="0"/>
    <n v="-66"/>
    <n v="0"/>
    <n v="66"/>
    <e v="#VALUE!"/>
    <n v="66"/>
    <n v="0"/>
    <m/>
    <m/>
    <s v="Y"/>
    <m/>
    <s v="61-90 DAYS"/>
    <n v="4"/>
    <x v="0"/>
  </r>
  <r>
    <n v="54"/>
    <s v="N"/>
    <s v="Y"/>
    <n v="2542383"/>
    <n v="5"/>
    <d v="2012-01-03T00:00:00"/>
    <d v="2012-04-20T00:00:00"/>
    <n v="2542383"/>
    <d v="2012-01-04T00:00:00"/>
    <d v="2012-01-05T00:00:00"/>
    <n v="2000"/>
    <x v="5"/>
    <d v="2012-01-05T00:00:00"/>
    <s v="Y"/>
    <s v="SURETY"/>
    <s v="GUILTY PLEA - NO JURY"/>
    <n v="44"/>
    <n v="109"/>
    <n v="0"/>
    <n v="1"/>
    <m/>
    <m/>
    <m/>
    <m/>
    <m/>
    <m/>
    <m/>
    <s v="S"/>
    <m/>
    <d v="1993-11-18T00:00:00"/>
    <s v="M"/>
    <s v="H"/>
    <s v="HISPANIC"/>
    <s v="NON-HISPANIC"/>
    <s v="176"/>
    <s v="CONVICTED"/>
    <n v="6"/>
    <s v="STJ"/>
    <m/>
    <n v="6"/>
    <m/>
    <s v="BURGLARY OF A BUILDING"/>
    <m/>
    <s v="FS"/>
    <s v="BURGLARY"/>
    <s v="rec det d"/>
    <m/>
    <s v="Y"/>
    <s v="BF 2/1/2012"/>
    <m/>
    <m/>
    <m/>
    <d v="2012-03-30T00:00:00"/>
    <n v="244"/>
    <s v="Appointed Attorney"/>
    <m/>
    <m/>
    <n v="44"/>
    <n v="108"/>
    <n v="109"/>
    <n v="18.087431693989071"/>
    <n v="0"/>
    <n v="-106"/>
    <s v="CONVICTION"/>
    <x v="1"/>
    <s v="N"/>
    <m/>
    <s v="CONVICTION"/>
    <s v="Y"/>
    <x v="0"/>
    <x v="0"/>
    <s v="N"/>
    <n v="0.40366972477064222"/>
    <n v="1.8518518518518517E-2"/>
    <n v="-0.38515120625212373"/>
    <n v="0"/>
    <n v="-2"/>
    <n v="42"/>
    <n v="108"/>
    <n v="44"/>
    <n v="108"/>
    <n v="106"/>
    <m/>
    <m/>
    <s v="Y"/>
    <m/>
    <s v="31-60 DAYS"/>
    <n v="3"/>
    <x v="0"/>
  </r>
  <r>
    <n v="652"/>
    <s v="N"/>
    <s v="N"/>
    <n v="2542418"/>
    <n v="5"/>
    <d v="2012-01-26T00:00:00"/>
    <d v="2012-03-28T00:00:00"/>
    <n v="2542418"/>
    <d v="2012-01-27T00:00:00"/>
    <d v="2012-03-28T00:00:00"/>
    <n v="5000"/>
    <x v="4"/>
    <m/>
    <s v="N"/>
    <s v="NONE"/>
    <s v="GUILTY PLEA - NO JURY"/>
    <n v="62"/>
    <n v="63"/>
    <n v="1"/>
    <n v="2"/>
    <m/>
    <m/>
    <m/>
    <m/>
    <m/>
    <m/>
    <m/>
    <m/>
    <m/>
    <d v="1973-08-09T00:00:00"/>
    <s v="F"/>
    <s v="B"/>
    <s v="BLACK"/>
    <s v="NULL"/>
    <s v="337"/>
    <s v="CONVICTED"/>
    <n v="4"/>
    <s v="STJ"/>
    <m/>
    <n v="7"/>
    <m/>
    <s v="MAN/DEL CS PG I &lt;1GRAM"/>
    <m/>
    <s v="FS"/>
    <s v="SALE DRUG"/>
    <m/>
    <m/>
    <m/>
    <m/>
    <m/>
    <m/>
    <m/>
    <m/>
    <m/>
    <s v="Appointed Attorney"/>
    <m/>
    <m/>
    <n v="62"/>
    <n v="62"/>
    <n v="63"/>
    <n v="38.385245901639344"/>
    <n v="0"/>
    <n v="0"/>
    <s v="CONVICTION"/>
    <x v="0"/>
    <s v="N"/>
    <m/>
    <s v="CONVICTION"/>
    <s v="Y"/>
    <x v="0"/>
    <x v="0"/>
    <s v="Y"/>
    <n v="0.98412698412698407"/>
    <n v="1"/>
    <n v="1.5873015873015928E-2"/>
    <n v="0"/>
    <n v="-62"/>
    <n v="0"/>
    <n v="62"/>
    <e v="#VALUE!"/>
    <n v="62"/>
    <n v="0"/>
    <m/>
    <m/>
    <s v="Y"/>
    <m/>
    <s v="61-90 DAYS"/>
    <n v="4"/>
    <x v="0"/>
  </r>
  <r>
    <n v="2476"/>
    <s v="N"/>
    <s v="N"/>
    <n v="2542516"/>
    <n v="1"/>
    <d v="2012-04-03T00:00:00"/>
    <d v="2012-11-02T00:00:00"/>
    <n v="2542516"/>
    <s v="NOT BOOKED"/>
    <s v="NOT BOOKED"/>
    <n v="20000"/>
    <x v="0"/>
    <d v="2012-04-10T00:00:00"/>
    <s v="Y"/>
    <s v="SURETY"/>
    <s v="NO BILL"/>
    <n v="0"/>
    <n v="214"/>
    <n v="0"/>
    <n v="1"/>
    <m/>
    <m/>
    <m/>
    <m/>
    <m/>
    <m/>
    <m/>
    <m/>
    <m/>
    <d v="1990-05-29T00:00:00"/>
    <s v="M"/>
    <s v="W"/>
    <s v="WHITE"/>
    <s v="NULL"/>
    <s v="174"/>
    <s v="NO BILL"/>
    <n v="8"/>
    <s v="NO BILL"/>
    <m/>
    <m/>
    <m/>
    <s v="AGG ROBBERY-DEADLY WPN"/>
    <m/>
    <s v="F1"/>
    <s v="ROBBERY"/>
    <m/>
    <m/>
    <m/>
    <m/>
    <m/>
    <m/>
    <m/>
    <m/>
    <m/>
    <s v="Hired Attorney"/>
    <m/>
    <m/>
    <n v="0"/>
    <n v="0"/>
    <n v="214"/>
    <n v="21.803278688524589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2675"/>
    <s v="N"/>
    <s v="N"/>
    <n v="2543175"/>
    <n v="1"/>
    <d v="2012-04-09T00:00:00"/>
    <d v="2012-07-11T00:00:00"/>
    <n v="2543175"/>
    <d v="2012-04-12T00:00:00"/>
    <d v="2012-07-11T00:00:00"/>
    <n v="20000"/>
    <x v="0"/>
    <m/>
    <s v="N"/>
    <s v="NONE"/>
    <s v="NO BILL"/>
    <n v="91"/>
    <n v="94"/>
    <n v="0"/>
    <n v="0"/>
    <m/>
    <m/>
    <m/>
    <m/>
    <m/>
    <m/>
    <m/>
    <s v="S"/>
    <m/>
    <d v="1993-05-08T00:00:00"/>
    <s v="M"/>
    <s v="H"/>
    <s v="HISPANIC"/>
    <s v="NULL"/>
    <s v="183"/>
    <s v="NO BILL"/>
    <n v="7"/>
    <s v="NO BILL"/>
    <m/>
    <m/>
    <m/>
    <s v="ROBBERY-THREATS"/>
    <m/>
    <s v="F2"/>
    <s v="ROBBERY"/>
    <m/>
    <m/>
    <m/>
    <m/>
    <m/>
    <m/>
    <m/>
    <m/>
    <m/>
    <s v="Hired Attorney"/>
    <m/>
    <m/>
    <n v="91"/>
    <n v="91"/>
    <n v="94"/>
    <n v="18.882513661202186"/>
    <n v="0"/>
    <n v="0"/>
    <s v="NO CONVICTION"/>
    <x v="0"/>
    <s v="N"/>
    <m/>
    <s v="NO CONVICTION"/>
    <s v="Y"/>
    <x v="0"/>
    <x v="0"/>
    <s v="N"/>
    <n v="0.96808510638297873"/>
    <n v="1"/>
    <n v="3.1914893617021267E-2"/>
    <n v="0"/>
    <n v="-91"/>
    <n v="0"/>
    <n v="91"/>
    <e v="#VALUE!"/>
    <n v="91"/>
    <n v="0"/>
    <m/>
    <m/>
    <s v="N"/>
    <m/>
    <s v="91-120 DAYS"/>
    <n v="0"/>
    <x v="0"/>
  </r>
  <r>
    <n v="1815"/>
    <s v="N"/>
    <s v="Y"/>
    <n v="2544051"/>
    <n v="4"/>
    <d v="2012-03-08T00:00:00"/>
    <d v="2013-02-01T00:00:00"/>
    <n v="2544051"/>
    <d v="2012-08-30T00:00:00"/>
    <d v="2012-09-04T00:00:00"/>
    <n v="5000"/>
    <x v="4"/>
    <d v="2012-09-04T00:00:00"/>
    <s v="Y"/>
    <s v="SURETY"/>
    <s v="GUILTY PLEA - NO JURY"/>
    <n v="113"/>
    <n v="331"/>
    <n v="0"/>
    <n v="0"/>
    <m/>
    <m/>
    <m/>
    <m/>
    <m/>
    <m/>
    <m/>
    <m/>
    <m/>
    <d v="1976-05-21T00:00:00"/>
    <s v="M"/>
    <s v="B"/>
    <s v="BLACK"/>
    <s v="NULL"/>
    <s v="248"/>
    <s v="CONVICTED"/>
    <n v="9"/>
    <s v="HCJ"/>
    <m/>
    <m/>
    <n v="180"/>
    <s v="THEFT $1500-20K"/>
    <m/>
    <s v="FS"/>
    <s v="THEFT"/>
    <s v=" 2 pend  booked 8/30/12  bond 9/4 /12 BF  9/5/12 BK 10/16 recal detain"/>
    <m/>
    <s v="Y"/>
    <d v="2012-10-17T00:00:00"/>
    <m/>
    <m/>
    <m/>
    <d v="2012-11-12T00:00:00"/>
    <n v="235"/>
    <s v="Appointed Attorney"/>
    <m/>
    <m/>
    <n v="113"/>
    <n v="113"/>
    <n v="331"/>
    <n v="35.724043715846996"/>
    <n v="0"/>
    <n v="-150"/>
    <s v="CONVICTION"/>
    <x v="1"/>
    <s v="N"/>
    <m/>
    <s v="CONVICTION"/>
    <s v="Y"/>
    <x v="0"/>
    <x v="0"/>
    <s v="N"/>
    <n v="0.34138972809667673"/>
    <n v="3.8461538461538464E-2"/>
    <n v="-0.30292818963513823"/>
    <n v="0"/>
    <n v="-6"/>
    <n v="107"/>
    <n v="156"/>
    <n v="113"/>
    <n v="156"/>
    <n v="150"/>
    <m/>
    <m/>
    <s v="N"/>
    <m/>
    <s v="91-120 DAYS"/>
    <n v="0"/>
    <x v="0"/>
  </r>
  <r>
    <n v="1818"/>
    <s v="N"/>
    <s v="N"/>
    <n v="2544256"/>
    <n v="6"/>
    <d v="2012-03-08T00:00:00"/>
    <d v="2012-07-02T00:00:00"/>
    <n v="2544256"/>
    <d v="2012-03-19T00:00:00"/>
    <d v="2012-07-02T00:00:00"/>
    <s v="NO BOND"/>
    <x v="1"/>
    <m/>
    <s v="N"/>
    <s v="NONE"/>
    <s v="GUILTY PLEA - NO JURY"/>
    <n v="106"/>
    <n v="117"/>
    <n v="1"/>
    <n v="0"/>
    <m/>
    <m/>
    <m/>
    <m/>
    <m/>
    <m/>
    <m/>
    <m/>
    <m/>
    <d v="1984-12-09T00:00:00"/>
    <s v="M"/>
    <s v="B"/>
    <s v="BLACK"/>
    <s v="NON-HISPANIC"/>
    <s v="337"/>
    <s v="CONVICTED"/>
    <n v="6"/>
    <s v="TDC"/>
    <n v="3"/>
    <m/>
    <m/>
    <s v="INJURY CHILD UNDER 15 B/INJURY"/>
    <m/>
    <s v="F3"/>
    <s v="OTHER FEL"/>
    <m/>
    <m/>
    <m/>
    <m/>
    <m/>
    <m/>
    <m/>
    <m/>
    <m/>
    <s v="Hired Attorney"/>
    <m/>
    <m/>
    <n v="106"/>
    <n v="106"/>
    <n v="117"/>
    <n v="27.188524590163933"/>
    <n v="0"/>
    <n v="0"/>
    <s v="CONVICTION"/>
    <x v="0"/>
    <s v="N"/>
    <m/>
    <s v="CONVICTION"/>
    <s v="Y"/>
    <x v="0"/>
    <x v="0"/>
    <s v="Y"/>
    <n v="0.90598290598290598"/>
    <n v="1"/>
    <n v="9.4017094017094016E-2"/>
    <n v="0"/>
    <n v="-106"/>
    <n v="0"/>
    <n v="106"/>
    <e v="#VALUE!"/>
    <n v="106"/>
    <n v="0"/>
    <m/>
    <m/>
    <s v="Y"/>
    <m/>
    <s v="91-120 DAYS"/>
    <n v="0"/>
    <x v="0"/>
  </r>
  <r>
    <n v="173"/>
    <s v="N"/>
    <s v="N"/>
    <n v="2544283"/>
    <n v="2"/>
    <d v="2012-01-08T00:00:00"/>
    <d v="2012-01-09T00:00:00"/>
    <n v="2544283"/>
    <d v="2012-01-08T00:00:00"/>
    <d v="2012-01-09T00:00:00"/>
    <n v="2000"/>
    <x v="5"/>
    <m/>
    <s v="N"/>
    <s v="NONE"/>
    <s v="DEFERRED ADJUDICATION "/>
    <n v="2"/>
    <n v="2"/>
    <n v="0"/>
    <n v="1"/>
    <m/>
    <m/>
    <m/>
    <m/>
    <m/>
    <m/>
    <m/>
    <m/>
    <m/>
    <d v="1970-08-08T00:00:00"/>
    <s v="M"/>
    <s v="B"/>
    <s v="BLACK"/>
    <s v="NULL"/>
    <s v="228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2"/>
    <n v="2"/>
    <n v="2"/>
    <n v="41.333333333333336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192"/>
    <s v="N"/>
    <s v="N"/>
    <n v="2544368"/>
    <n v="3"/>
    <d v="2012-01-09T00:00:00"/>
    <d v="2012-10-26T00:00:00"/>
    <n v="2544368"/>
    <d v="2012-01-10T00:00:00"/>
    <d v="2012-10-26T00:00:00"/>
    <n v="80000"/>
    <x v="2"/>
    <m/>
    <s v="N"/>
    <s v="NONE"/>
    <s v="GUILTY  JURY verdict"/>
    <n v="291"/>
    <n v="292"/>
    <n v="0"/>
    <n v="1"/>
    <m/>
    <m/>
    <m/>
    <m/>
    <m/>
    <m/>
    <m/>
    <s v="S"/>
    <m/>
    <d v="1988-10-20T00:00:00"/>
    <s v="M"/>
    <s v="H"/>
    <s v="HISPANIC"/>
    <s v="NULL"/>
    <s v="180"/>
    <s v="CONVICTED"/>
    <n v="16"/>
    <s v="PROBATION"/>
    <m/>
    <m/>
    <m/>
    <s v="AGG ROBBERY-DEADLY WPN"/>
    <m/>
    <s v="F1"/>
    <s v="ROBBERY"/>
    <s v="convMisd 5/7/12 evad arr"/>
    <m/>
    <m/>
    <m/>
    <m/>
    <m/>
    <m/>
    <m/>
    <m/>
    <s v="Appointed Attorney"/>
    <m/>
    <m/>
    <n v="291"/>
    <n v="291"/>
    <n v="292"/>
    <n v="23.172131147540984"/>
    <n v="0"/>
    <n v="0"/>
    <s v="CONVICTION"/>
    <x v="0"/>
    <s v="N"/>
    <m/>
    <s v="CONVICTION"/>
    <s v="Y"/>
    <x v="0"/>
    <x v="0"/>
    <s v="N"/>
    <n v="0.99657534246575341"/>
    <n v="1"/>
    <n v="3.424657534246589E-3"/>
    <n v="0"/>
    <n v="-291"/>
    <n v="0"/>
    <n v="291"/>
    <e v="#VALUE!"/>
    <n v="291"/>
    <n v="0"/>
    <m/>
    <m/>
    <s v="Y"/>
    <m/>
    <s v="121-365 DAYS"/>
    <n v="6"/>
    <x v="0"/>
  </r>
  <r>
    <n v="2346"/>
    <s v="N"/>
    <s v="N"/>
    <n v="2544463"/>
    <n v="2"/>
    <d v="2012-03-29T00:00:00"/>
    <d v="2012-06-13T00:00:00"/>
    <n v="2544463"/>
    <d v="2012-03-30T00:00:00"/>
    <d v="2012-06-13T00:00:00"/>
    <n v="30000"/>
    <x v="2"/>
    <m/>
    <s v="N"/>
    <s v="NONE"/>
    <s v="DEFERRED ADJUDICATION "/>
    <n v="76"/>
    <n v="77"/>
    <n v="0"/>
    <n v="2"/>
    <m/>
    <m/>
    <m/>
    <m/>
    <m/>
    <m/>
    <m/>
    <m/>
    <m/>
    <d v="1992-11-29T00:00:00"/>
    <s v="M"/>
    <s v="B"/>
    <s v="BLACK"/>
    <s v="NULL"/>
    <s v="179"/>
    <s v="DEFERRED"/>
    <n v="4"/>
    <s v="DEFERRED"/>
    <m/>
    <m/>
    <m/>
    <s v="AGG ROBBERY-DEADLY WPN"/>
    <m/>
    <s v="F1"/>
    <s v="ROBBERY"/>
    <m/>
    <m/>
    <m/>
    <m/>
    <m/>
    <m/>
    <m/>
    <m/>
    <m/>
    <s v="Appointed Attorney"/>
    <m/>
    <m/>
    <n v="76"/>
    <n v="76"/>
    <n v="77"/>
    <n v="19.289617486338798"/>
    <n v="0"/>
    <n v="0"/>
    <s v="DEFERRED"/>
    <x v="0"/>
    <s v="N"/>
    <m/>
    <s v="DEFERRED"/>
    <s v="Y"/>
    <x v="0"/>
    <x v="0"/>
    <s v="N"/>
    <n v="0.98701298701298701"/>
    <n v="1"/>
    <n v="1.2987012987012991E-2"/>
    <n v="0"/>
    <n v="-76"/>
    <n v="0"/>
    <n v="76"/>
    <e v="#VALUE!"/>
    <n v="76"/>
    <n v="0"/>
    <m/>
    <m/>
    <s v="Y"/>
    <m/>
    <s v="61-90 DAYS"/>
    <n v="4"/>
    <x v="0"/>
  </r>
  <r>
    <n v="2316"/>
    <s v="N"/>
    <s v="Y"/>
    <n v="2544668"/>
    <n v="6"/>
    <d v="2012-03-28T00:00:00"/>
    <d v="2013-04-08T00:00:00"/>
    <n v="2544668"/>
    <d v="2012-03-28T00:00:00"/>
    <d v="2012-05-29T00:00:00"/>
    <n v="25000"/>
    <x v="2"/>
    <d v="2012-05-29T00:00:00"/>
    <s v="Y"/>
    <s v="SURETY"/>
    <s v="GUILTY PLEA - NO JURY"/>
    <n v="235"/>
    <n v="377"/>
    <n v="0"/>
    <n v="0"/>
    <m/>
    <m/>
    <m/>
    <m/>
    <m/>
    <m/>
    <m/>
    <m/>
    <m/>
    <d v="1990-03-18T00:00:00"/>
    <s v="M"/>
    <s v="B"/>
    <s v="BLACK"/>
    <s v="NULL"/>
    <s v="351"/>
    <s v="CONVICTED"/>
    <n v="13"/>
    <s v="TDC"/>
    <n v="2"/>
    <m/>
    <m/>
    <s v="BURGLARY OF A BUILDING"/>
    <m/>
    <s v="FS"/>
    <s v="BURGLARY"/>
    <m/>
    <s v="bk 8/11/12  SSR 8/16/12"/>
    <m/>
    <m/>
    <s v="Y"/>
    <m/>
    <m/>
    <m/>
    <m/>
    <s v="Hired Attorney"/>
    <m/>
    <m/>
    <n v="235"/>
    <n v="377"/>
    <n v="377"/>
    <n v="21.983606557377048"/>
    <n v="0"/>
    <n v="-314"/>
    <s v="CONVICTION"/>
    <x v="1"/>
    <s v="Y"/>
    <m/>
    <s v="CONVICTION"/>
    <s v="Y"/>
    <x v="0"/>
    <x v="0"/>
    <s v="N"/>
    <n v="0.62334217506631295"/>
    <n v="0.16710875331564987"/>
    <n v="-0.45623342175066306"/>
    <n v="0"/>
    <n v="-63"/>
    <n v="172"/>
    <n v="377"/>
    <n v="235"/>
    <n v="377"/>
    <n v="314"/>
    <m/>
    <m/>
    <s v="N"/>
    <m/>
    <s v="121-365 DAYS"/>
    <n v="6"/>
    <x v="0"/>
  </r>
  <r>
    <n v="3132"/>
    <s v="N"/>
    <s v="N"/>
    <n v="2544964"/>
    <n v="1"/>
    <d v="2012-04-25T00:00:00"/>
    <d v="2012-05-02T00:00:00"/>
    <n v="2544964"/>
    <s v="NOT BOOKED"/>
    <s v="NOT BOOKED"/>
    <n v="5000"/>
    <x v="4"/>
    <m/>
    <s v="NO BOND MADE - NON ARREST"/>
    <s v="NONE"/>
    <s v="DISMISSED"/>
    <n v="0"/>
    <n v="8"/>
    <n v="2"/>
    <n v="0"/>
    <n v="2"/>
    <m/>
    <m/>
    <m/>
    <m/>
    <m/>
    <m/>
    <m/>
    <m/>
    <d v="1966-01-19T00:00:00"/>
    <s v="M"/>
    <s v="W"/>
    <s v="WHITE"/>
    <s v="NON-HISPANIC"/>
    <s v="262"/>
    <s v="DISMISSED"/>
    <n v="2"/>
    <s v="DISMISSED"/>
    <m/>
    <m/>
    <m/>
    <s v="RETALIATION"/>
    <m/>
    <s v="F3"/>
    <s v="OTHER FEL"/>
    <m/>
    <m/>
    <m/>
    <m/>
    <m/>
    <m/>
    <m/>
    <m/>
    <m/>
    <s v="Other/Unknown"/>
    <m/>
    <m/>
    <n v="0"/>
    <n v="0"/>
    <n v="8"/>
    <n v="46.169398907103826"/>
    <e v="#VALUE!"/>
    <e v="#VALUE!"/>
    <s v="NO CONVICTION"/>
    <x v="0"/>
    <s v="N"/>
    <m/>
    <s v="NO CONVICTION"/>
    <n v="0"/>
    <x v="2"/>
    <x v="0"/>
    <s v="Y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975"/>
    <s v="N"/>
    <s v="N"/>
    <n v="2544972"/>
    <n v="2"/>
    <d v="2012-02-06T00:00:00"/>
    <d v="2012-02-07T00:00:00"/>
    <n v="2544972"/>
    <d v="2012-02-06T00:00:00"/>
    <d v="2012-02-07T00:00:00"/>
    <n v="5000"/>
    <x v="4"/>
    <m/>
    <s v="N"/>
    <s v="NONE"/>
    <s v="DEFERRED ADJUDICATION "/>
    <n v="2"/>
    <n v="2"/>
    <n v="0"/>
    <n v="2"/>
    <m/>
    <m/>
    <m/>
    <m/>
    <m/>
    <m/>
    <m/>
    <m/>
    <m/>
    <d v="1978-05-28T00:00:00"/>
    <s v="M"/>
    <s v="B"/>
    <s v="BLACK"/>
    <s v="NULL"/>
    <s v="337"/>
    <s v="DEFERRED"/>
    <n v="1"/>
    <s v="DEFERRED"/>
    <m/>
    <m/>
    <m/>
    <s v="INJURY CHILD UNDER 15 B/INJURY"/>
    <m/>
    <s v="F3"/>
    <s v="OTHER FEL"/>
    <m/>
    <m/>
    <m/>
    <m/>
    <m/>
    <m/>
    <m/>
    <m/>
    <m/>
    <s v="Appointed Attorney"/>
    <m/>
    <m/>
    <n v="2"/>
    <n v="2"/>
    <n v="2"/>
    <n v="33.625683060109289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894"/>
    <s v="N"/>
    <s v="N"/>
    <n v="2545576"/>
    <n v="1"/>
    <d v="2012-02-02T00:00:00"/>
    <d v="2012-06-26T00:00:00"/>
    <n v="2545576"/>
    <d v="2012-02-03T00:00:00"/>
    <d v="2012-02-11T00:00:00"/>
    <n v="5000"/>
    <x v="4"/>
    <d v="2012-02-11T00:00:00"/>
    <s v="Y"/>
    <s v="SURETYPTRc"/>
    <s v="DISMISSED"/>
    <n v="9"/>
    <n v="146"/>
    <n v="0"/>
    <n v="1"/>
    <m/>
    <m/>
    <m/>
    <m/>
    <m/>
    <m/>
    <m/>
    <m/>
    <m/>
    <d v="1992-02-12T00:00:00"/>
    <s v="M"/>
    <s v="B"/>
    <s v="BLACK"/>
    <s v="NULL"/>
    <s v="337"/>
    <s v="DISMISSED"/>
    <n v="6"/>
    <s v="DISMISSED"/>
    <m/>
    <m/>
    <m/>
    <s v="INJURY CHILD UNDER 15 B/INJURY"/>
    <m/>
    <s v="F3"/>
    <s v="OTHER FEL"/>
    <s v="conv aslt murder 8/6/12 4yr tdc"/>
    <m/>
    <m/>
    <m/>
    <m/>
    <m/>
    <m/>
    <m/>
    <m/>
    <s v="Hired Attorney"/>
    <m/>
    <m/>
    <n v="9"/>
    <n v="145"/>
    <n v="146"/>
    <n v="19.931693989071039"/>
    <n v="0"/>
    <n v="-136"/>
    <s v="NO CONVICTION"/>
    <x v="1"/>
    <s v="Y"/>
    <m/>
    <s v="NO CONVICTION"/>
    <s v="Y"/>
    <x v="1"/>
    <x v="0"/>
    <s v="N"/>
    <n v="6.1643835616438353E-2"/>
    <n v="6.2068965517241378E-2"/>
    <n v="4.2512990080302571E-4"/>
    <n v="0"/>
    <n v="-9"/>
    <n v="0"/>
    <n v="9"/>
    <e v="#VALUE!"/>
    <n v="9"/>
    <n v="0"/>
    <m/>
    <m/>
    <s v="Y"/>
    <m/>
    <s v="0-10 DAYS"/>
    <n v="1"/>
    <x v="0"/>
  </r>
  <r>
    <n v="211"/>
    <s v="N"/>
    <s v="N"/>
    <n v="2545951"/>
    <n v="6"/>
    <d v="2012-01-10T00:00:00"/>
    <d v="2012-04-10T00:00:00"/>
    <n v="2545951"/>
    <d v="2012-01-11T00:00:00"/>
    <d v="2012-04-10T00:00:00"/>
    <s v="NO BOND"/>
    <x v="1"/>
    <m/>
    <s v="N"/>
    <s v="NONE"/>
    <s v="GUILTY PLEA - NO JURY"/>
    <n v="91"/>
    <n v="92"/>
    <n v="1"/>
    <n v="1"/>
    <n v="1"/>
    <m/>
    <m/>
    <m/>
    <m/>
    <m/>
    <m/>
    <m/>
    <m/>
    <d v="1993-11-29T00:00:00"/>
    <s v="M"/>
    <s v="B"/>
    <s v="BLACK"/>
    <s v="NULL"/>
    <s v="177"/>
    <s v="CONVICTED"/>
    <n v="4"/>
    <s v="TDC"/>
    <n v="3"/>
    <m/>
    <m/>
    <s v="BURGLARY OF HABITATION"/>
    <m/>
    <s v="F2"/>
    <s v="BURGLARY"/>
    <m/>
    <m/>
    <m/>
    <m/>
    <m/>
    <m/>
    <m/>
    <m/>
    <m/>
    <s v="Hired Attorney"/>
    <m/>
    <m/>
    <n v="91"/>
    <n v="91"/>
    <n v="92"/>
    <n v="18.076502732240439"/>
    <n v="0"/>
    <n v="0"/>
    <s v="CONVICTION"/>
    <x v="0"/>
    <s v="N"/>
    <m/>
    <s v="CONVICTION"/>
    <s v="Y"/>
    <x v="0"/>
    <x v="0"/>
    <s v="Y"/>
    <n v="0.98913043478260865"/>
    <n v="1"/>
    <n v="1.0869565217391353E-2"/>
    <n v="0"/>
    <n v="-91"/>
    <n v="0"/>
    <n v="91"/>
    <e v="#VALUE!"/>
    <n v="91"/>
    <n v="0"/>
    <m/>
    <m/>
    <s v="Y"/>
    <m/>
    <s v="91-120 DAYS"/>
    <n v="0"/>
    <x v="0"/>
  </r>
  <r>
    <n v="37"/>
    <s v="N"/>
    <s v="N"/>
    <n v="2546191"/>
    <n v="2"/>
    <d v="2012-01-03T00:00:00"/>
    <d v="2012-05-15T00:00:00"/>
    <n v="2546191"/>
    <d v="2012-01-03T00:00:00"/>
    <d v="2012-01-07T00:00:00"/>
    <n v="10000"/>
    <x v="3"/>
    <d v="2012-01-07T00:00:00"/>
    <s v="Y"/>
    <s v="SURETY"/>
    <s v="DEFERRED ADJUDICATION "/>
    <n v="5"/>
    <n v="134"/>
    <n v="1"/>
    <n v="0"/>
    <m/>
    <n v="1"/>
    <m/>
    <m/>
    <m/>
    <m/>
    <m/>
    <m/>
    <m/>
    <d v="1993-09-02T00:00:00"/>
    <s v="M"/>
    <s v="W"/>
    <s v="WHITE"/>
    <s v="NULL"/>
    <s v="338"/>
    <s v="DEFERRED"/>
    <n v="5"/>
    <s v="DEFERRED"/>
    <m/>
    <m/>
    <m/>
    <s v="CRIM MISCH &gt;=$1500 &lt;$20K"/>
    <m/>
    <s v="FS"/>
    <s v="OTHER FEL"/>
    <m/>
    <m/>
    <m/>
    <m/>
    <m/>
    <m/>
    <m/>
    <m/>
    <m/>
    <s v="Hired Attorney"/>
    <m/>
    <m/>
    <n v="5"/>
    <n v="134"/>
    <n v="134"/>
    <n v="18.297814207650273"/>
    <n v="0"/>
    <n v="-129"/>
    <s v="DEFERRED"/>
    <x v="1"/>
    <s v="Y"/>
    <m/>
    <s v="DEFERRED"/>
    <s v="Y"/>
    <x v="1"/>
    <x v="0"/>
    <s v="Y"/>
    <n v="3.7313432835820892E-2"/>
    <n v="3.7313432835820892E-2"/>
    <n v="0"/>
    <n v="0"/>
    <n v="-5"/>
    <n v="0"/>
    <n v="5"/>
    <e v="#VALUE!"/>
    <n v="5"/>
    <n v="0"/>
    <m/>
    <m/>
    <s v="Y"/>
    <m/>
    <s v="0-10 DAYS"/>
    <n v="1"/>
    <x v="0"/>
  </r>
  <r>
    <n v="2421"/>
    <s v="N"/>
    <s v="N"/>
    <n v="2546455"/>
    <n v="2"/>
    <d v="2012-04-29T00:00:00"/>
    <d v="2012-08-13T00:00:00"/>
    <n v="2546455"/>
    <d v="2012-04-30T00:00:00"/>
    <d v="2012-08-13T00:00:00"/>
    <s v="NO BOND"/>
    <x v="1"/>
    <m/>
    <s v="N"/>
    <s v="NONE"/>
    <s v="DEFERRED ADJUDICATION "/>
    <n v="106"/>
    <n v="107"/>
    <n v="0"/>
    <n v="0"/>
    <m/>
    <m/>
    <m/>
    <m/>
    <m/>
    <m/>
    <m/>
    <s v="S"/>
    <m/>
    <d v="1990-01-07T00:00:00"/>
    <s v="M"/>
    <s v="H"/>
    <s v="HISPANIC"/>
    <s v="NULL"/>
    <s v="174"/>
    <s v="DEFERRED"/>
    <n v="4"/>
    <s v="DEFERRED"/>
    <m/>
    <m/>
    <m/>
    <s v="POSS CS PG 1 &lt;1G"/>
    <m/>
    <s v="FS"/>
    <s v="POSS DRUG"/>
    <m/>
    <m/>
    <m/>
    <m/>
    <m/>
    <m/>
    <m/>
    <m/>
    <m/>
    <s v="Appointed Attorney"/>
    <m/>
    <m/>
    <n v="106"/>
    <n v="106"/>
    <n v="107"/>
    <n v="22.262295081967213"/>
    <n v="0"/>
    <n v="0"/>
    <s v="DEFERRED"/>
    <x v="0"/>
    <s v="N"/>
    <m/>
    <s v="DEFERRED"/>
    <s v="Y"/>
    <x v="0"/>
    <x v="0"/>
    <s v="N"/>
    <n v="0.99065420560747663"/>
    <n v="1"/>
    <n v="9.3457943925233655E-3"/>
    <n v="0"/>
    <n v="-106"/>
    <n v="0"/>
    <n v="106"/>
    <e v="#VALUE!"/>
    <n v="106"/>
    <n v="0"/>
    <m/>
    <m/>
    <s v="N"/>
    <m/>
    <s v="91-120 DAYS"/>
    <n v="0"/>
    <x v="0"/>
  </r>
  <r>
    <n v="2887"/>
    <s v="N"/>
    <s v="N"/>
    <n v="2546611"/>
    <n v="1"/>
    <d v="2012-04-17T00:00:00"/>
    <d v="2012-05-30T00:00:00"/>
    <n v="2546611"/>
    <d v="2012-04-19T00:00:00"/>
    <d v="2012-05-30T00:00:00"/>
    <n v="10000"/>
    <x v="3"/>
    <m/>
    <s v="N"/>
    <s v="NONE"/>
    <s v="NO BILL"/>
    <n v="42"/>
    <n v="44"/>
    <n v="1"/>
    <n v="0"/>
    <m/>
    <m/>
    <m/>
    <m/>
    <m/>
    <m/>
    <m/>
    <m/>
    <m/>
    <d v="1993-07-04T00:00:00"/>
    <s v="M"/>
    <s v="B"/>
    <s v="BLACK"/>
    <s v="NULL"/>
    <s v="230"/>
    <s v="NO BILL"/>
    <n v="4"/>
    <s v="NO BILL"/>
    <m/>
    <m/>
    <m/>
    <s v="ROBBERY-BODILY INJURY"/>
    <m/>
    <s v="F2"/>
    <s v="ROBBERY"/>
    <m/>
    <m/>
    <m/>
    <m/>
    <m/>
    <m/>
    <m/>
    <m/>
    <m/>
    <s v="Appointed Attorney"/>
    <m/>
    <m/>
    <n v="42"/>
    <n v="42"/>
    <n v="44"/>
    <n v="18.748633879781419"/>
    <n v="0"/>
    <n v="0"/>
    <s v="NO CONVICTION"/>
    <x v="0"/>
    <s v="N"/>
    <m/>
    <s v="NO CONVICTION"/>
    <s v="Y"/>
    <x v="0"/>
    <x v="0"/>
    <s v="Y"/>
    <n v="0.95454545454545459"/>
    <n v="1"/>
    <n v="4.5454545454545414E-2"/>
    <n v="0"/>
    <n v="-42"/>
    <n v="0"/>
    <n v="42"/>
    <e v="#VALUE!"/>
    <n v="42"/>
    <n v="0"/>
    <m/>
    <m/>
    <s v="Y"/>
    <m/>
    <s v="31-60 DAYS"/>
    <n v="3"/>
    <x v="0"/>
  </r>
  <r>
    <n v="1590"/>
    <s v="N"/>
    <s v="N"/>
    <n v="2547881"/>
    <n v="1"/>
    <d v="2012-02-29T00:00:00"/>
    <d v="2012-03-01T00:00:00"/>
    <n v="2547881"/>
    <d v="2012-02-29T00:00:00"/>
    <d v="2012-03-01T00:00:00"/>
    <n v="5000"/>
    <x v="4"/>
    <m/>
    <s v="N"/>
    <s v="NONE"/>
    <s v="DISMISSED"/>
    <n v="2"/>
    <n v="2"/>
    <n v="1"/>
    <n v="0"/>
    <m/>
    <m/>
    <m/>
    <m/>
    <m/>
    <m/>
    <m/>
    <m/>
    <m/>
    <d v="1958-06-06T00:00:00"/>
    <s v="M"/>
    <s v="B"/>
    <s v="BLACK"/>
    <s v="NULL"/>
    <s v="183"/>
    <s v="DISMISSED"/>
    <n v="1"/>
    <s v="DISMISSED"/>
    <m/>
    <m/>
    <m/>
    <s v="POSS CS PG 1 &lt;1G"/>
    <m/>
    <s v="FS"/>
    <s v="POSS DRUG"/>
    <m/>
    <m/>
    <m/>
    <m/>
    <m/>
    <m/>
    <m/>
    <m/>
    <m/>
    <s v="Other/Unknown"/>
    <m/>
    <m/>
    <n v="2"/>
    <n v="2"/>
    <n v="2"/>
    <n v="53.622950819672134"/>
    <n v="0"/>
    <n v="0"/>
    <s v="NO CONVICTION"/>
    <x v="0"/>
    <s v="N"/>
    <m/>
    <s v="NO CONVICTION"/>
    <s v="Y"/>
    <x v="0"/>
    <x v="0"/>
    <s v="Y"/>
    <n v="1"/>
    <n v="1"/>
    <n v="0"/>
    <n v="0"/>
    <n v="-2"/>
    <n v="0"/>
    <n v="2"/>
    <e v="#VALUE!"/>
    <n v="2"/>
    <n v="0"/>
    <m/>
    <m/>
    <s v="Y"/>
    <m/>
    <s v="0-10 DAYS"/>
    <n v="1"/>
    <x v="0"/>
  </r>
  <r>
    <n v="1780"/>
    <s v="N"/>
    <s v="N"/>
    <n v="2547883"/>
    <n v="1"/>
    <d v="2012-03-07T00:00:00"/>
    <d v="2012-03-09T00:00:00"/>
    <n v="2547883"/>
    <d v="2012-03-07T00:00:00"/>
    <d v="2012-03-09T00:00:00"/>
    <n v="100000"/>
    <x v="2"/>
    <m/>
    <s v="N"/>
    <s v="NONE"/>
    <s v="DISMISSED"/>
    <n v="3"/>
    <n v="3"/>
    <n v="0"/>
    <n v="3"/>
    <m/>
    <m/>
    <m/>
    <m/>
    <m/>
    <m/>
    <m/>
    <m/>
    <m/>
    <d v="1988-04-24T00:00:00"/>
    <s v="M"/>
    <s v="B"/>
    <s v="BLACK"/>
    <s v="NULL"/>
    <s v="337"/>
    <s v="DISMISSED"/>
    <n v="1"/>
    <s v="DISMISSED"/>
    <m/>
    <m/>
    <m/>
    <s v="AGG ROBBERY-DEADLY WPN"/>
    <m/>
    <s v="F1"/>
    <s v="ROBBERY"/>
    <m/>
    <m/>
    <m/>
    <m/>
    <m/>
    <m/>
    <m/>
    <m/>
    <m/>
    <s v="Other/Unknown"/>
    <m/>
    <m/>
    <n v="3"/>
    <n v="3"/>
    <n v="3"/>
    <n v="23.819672131147541"/>
    <n v="0"/>
    <n v="0"/>
    <s v="NO CONVICTION"/>
    <x v="0"/>
    <s v="N"/>
    <m/>
    <s v="NO CONVICTION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724"/>
    <s v="N"/>
    <s v="N"/>
    <n v="2547970"/>
    <n v="2"/>
    <d v="2012-04-11T00:00:00"/>
    <d v="2012-08-21T00:00:00"/>
    <n v="2547970"/>
    <d v="2012-04-11T00:00:00"/>
    <d v="2012-04-14T00:00:00"/>
    <n v="5000"/>
    <x v="4"/>
    <d v="2012-04-14T00:00:00"/>
    <s v="Y"/>
    <s v="SURETYPTRc"/>
    <s v="DEFERRED ADJUDICATION "/>
    <n v="4"/>
    <n v="133"/>
    <n v="0"/>
    <n v="0"/>
    <m/>
    <m/>
    <m/>
    <m/>
    <m/>
    <m/>
    <m/>
    <m/>
    <m/>
    <d v="1992-10-07T00:00:00"/>
    <s v="M"/>
    <s v="W"/>
    <s v="WHITE"/>
    <s v="NULL"/>
    <s v="183"/>
    <s v="DEFERRED"/>
    <n v="7"/>
    <s v="DEFERRED"/>
    <m/>
    <m/>
    <m/>
    <s v="POSS CS PG 1 &lt;1G"/>
    <m/>
    <s v="FS"/>
    <s v="POSS DRUG"/>
    <m/>
    <m/>
    <m/>
    <m/>
    <m/>
    <m/>
    <m/>
    <m/>
    <m/>
    <s v="Hired Attorney"/>
    <m/>
    <m/>
    <n v="4"/>
    <n v="133"/>
    <n v="133"/>
    <n v="19.469945355191257"/>
    <n v="0"/>
    <n v="-129"/>
    <s v="DEFERRED"/>
    <x v="1"/>
    <s v="Y"/>
    <m/>
    <s v="DEFERRED"/>
    <s v="Y"/>
    <x v="1"/>
    <x v="0"/>
    <s v="N"/>
    <n v="3.007518796992481E-2"/>
    <n v="3.007518796992481E-2"/>
    <n v="0"/>
    <n v="0"/>
    <n v="-4"/>
    <n v="0"/>
    <n v="4"/>
    <e v="#VALUE!"/>
    <n v="4"/>
    <n v="0"/>
    <m/>
    <m/>
    <s v="N"/>
    <m/>
    <s v="0-10 DAYS"/>
    <n v="1"/>
    <x v="0"/>
  </r>
  <r>
    <n v="1081"/>
    <s v="N"/>
    <s v="N"/>
    <n v="2548409"/>
    <n v="2"/>
    <d v="2012-02-09T00:00:00"/>
    <d v="2013-04-30T00:00:00"/>
    <n v="2548409"/>
    <d v="2012-02-11T00:00:00"/>
    <d v="2013-04-30T00:00:00"/>
    <n v="450000"/>
    <x v="2"/>
    <m/>
    <s v="N"/>
    <s v="NONE"/>
    <s v="DEFERRED ADJUDICATION "/>
    <n v="445"/>
    <n v="447"/>
    <n v="1"/>
    <n v="1"/>
    <m/>
    <m/>
    <m/>
    <m/>
    <m/>
    <m/>
    <m/>
    <m/>
    <m/>
    <d v="1993-11-04T00:00:00"/>
    <s v="M"/>
    <s v="B"/>
    <s v="BLACK"/>
    <s v="NULL"/>
    <s v="338"/>
    <s v="DEFERRED"/>
    <n v="18"/>
    <s v="DEFERRED"/>
    <m/>
    <m/>
    <m/>
    <s v="AGG ROBBERY-DEADLY WPN"/>
    <m/>
    <s v="F1"/>
    <s v="ROBBERY"/>
    <m/>
    <m/>
    <m/>
    <m/>
    <m/>
    <m/>
    <m/>
    <m/>
    <m/>
    <s v="Hired Attorney"/>
    <m/>
    <m/>
    <n v="445"/>
    <n v="445"/>
    <n v="447"/>
    <n v="18.226775956284154"/>
    <n v="0"/>
    <n v="0"/>
    <s v="DEFERRED"/>
    <x v="0"/>
    <s v="N"/>
    <m/>
    <s v="DEFERRED"/>
    <s v="Y"/>
    <x v="0"/>
    <x v="0"/>
    <s v="Y"/>
    <n v="0.99552572706935127"/>
    <n v="1"/>
    <n v="4.4742729306487261E-3"/>
    <n v="0"/>
    <n v="-445"/>
    <n v="0"/>
    <n v="445"/>
    <e v="#VALUE!"/>
    <n v="445"/>
    <n v="0"/>
    <m/>
    <m/>
    <s v="Y"/>
    <m/>
    <s v=" &gt;1YRS&lt;2YRS"/>
    <n v="0"/>
    <x v="0"/>
  </r>
  <r>
    <n v="12"/>
    <s v="N"/>
    <s v="N"/>
    <n v="2548619"/>
    <n v="2"/>
    <d v="2012-01-01T00:00:00"/>
    <d v="2012-01-04T00:00:00"/>
    <n v="2548619"/>
    <d v="2012-01-02T00:00:00"/>
    <d v="2012-01-04T00:00:00"/>
    <n v="10000"/>
    <x v="3"/>
    <m/>
    <s v="N"/>
    <s v="NONE"/>
    <s v="DEFERRED ADJUDICATION "/>
    <n v="3"/>
    <n v="4"/>
    <n v="0"/>
    <n v="0"/>
    <m/>
    <m/>
    <m/>
    <m/>
    <m/>
    <m/>
    <m/>
    <m/>
    <m/>
    <d v="1986-03-27T00:00:00"/>
    <s v="M"/>
    <s v="W"/>
    <s v="WHITE"/>
    <s v="NULL"/>
    <s v="176"/>
    <s v="DEFERRED"/>
    <n v="1"/>
    <s v="DEFERRED"/>
    <m/>
    <m/>
    <m/>
    <s v="AGG ASSAULT W/DEADLY WEAPON"/>
    <m/>
    <s v="F2"/>
    <s v="ASLT-MURDR"/>
    <s v="REV 4/26/12 ASS WEAPON"/>
    <m/>
    <m/>
    <m/>
    <m/>
    <m/>
    <m/>
    <m/>
    <m/>
    <s v="Appointed Attorney"/>
    <m/>
    <m/>
    <n v="3"/>
    <n v="3"/>
    <n v="4"/>
    <n v="25.71311475409836"/>
    <n v="0"/>
    <n v="0"/>
    <s v="DEFERRED"/>
    <x v="0"/>
    <s v="N"/>
    <m/>
    <s v="DEFERRED"/>
    <s v="Y"/>
    <x v="0"/>
    <x v="0"/>
    <s v="N"/>
    <n v="0.75"/>
    <n v="1"/>
    <n v="0.25"/>
    <n v="0"/>
    <n v="-3"/>
    <n v="0"/>
    <n v="3"/>
    <e v="#VALUE!"/>
    <n v="3"/>
    <n v="0"/>
    <m/>
    <m/>
    <s v="N"/>
    <m/>
    <s v="0-10 DAYS"/>
    <n v="1"/>
    <x v="0"/>
  </r>
  <r>
    <n v="1954"/>
    <s v="N"/>
    <s v="N"/>
    <n v="2548713"/>
    <n v="5"/>
    <d v="2012-03-14T00:00:00"/>
    <d v="2012-06-19T00:00:00"/>
    <n v="2548713"/>
    <d v="2012-03-14T00:00:00"/>
    <d v="2012-06-19T00:00:00"/>
    <n v="5000"/>
    <x v="4"/>
    <m/>
    <s v="N"/>
    <s v="NONE"/>
    <s v="GUILTY PLEA - NO JURY"/>
    <n v="98"/>
    <n v="98"/>
    <n v="1"/>
    <n v="1"/>
    <m/>
    <m/>
    <m/>
    <m/>
    <m/>
    <m/>
    <m/>
    <m/>
    <m/>
    <d v="1991-01-29T00:00:00"/>
    <s v="M"/>
    <s v="B"/>
    <s v="BLACK"/>
    <s v="NON-HISPANIC"/>
    <s v="351"/>
    <s v="CONVICTED"/>
    <n v="5"/>
    <s v="STJ"/>
    <m/>
    <n v="9"/>
    <m/>
    <s v="POSS CS PG 1 &lt;1G"/>
    <m/>
    <s v="FS"/>
    <s v="POSS DRUG"/>
    <m/>
    <m/>
    <m/>
    <m/>
    <m/>
    <m/>
    <m/>
    <m/>
    <m/>
    <s v="Appointed Attorney"/>
    <m/>
    <m/>
    <n v="98"/>
    <n v="98"/>
    <n v="98"/>
    <n v="21.079234972677597"/>
    <n v="0"/>
    <n v="0"/>
    <s v="CONVICTION"/>
    <x v="0"/>
    <s v="N"/>
    <m/>
    <s v="CONVICTION"/>
    <s v="Y"/>
    <x v="0"/>
    <x v="0"/>
    <s v="Y"/>
    <n v="1"/>
    <n v="1"/>
    <n v="0"/>
    <n v="0"/>
    <n v="-98"/>
    <n v="0"/>
    <n v="98"/>
    <e v="#VALUE!"/>
    <n v="98"/>
    <n v="0"/>
    <m/>
    <m/>
    <s v="Y"/>
    <m/>
    <s v="91-120 DAYS"/>
    <n v="0"/>
    <x v="0"/>
  </r>
  <r>
    <n v="1087"/>
    <s v="N"/>
    <s v="N"/>
    <n v="2549079"/>
    <n v="5"/>
    <d v="2012-02-09T00:00:00"/>
    <d v="2012-07-13T00:00:00"/>
    <n v="2549079"/>
    <d v="2012-02-09T00:00:00"/>
    <d v="2012-07-13T00:00:00"/>
    <n v="20000"/>
    <x v="0"/>
    <m/>
    <s v="N"/>
    <s v="NONE"/>
    <s v="GUILTY PLEA - NO JURY"/>
    <n v="156"/>
    <n v="156"/>
    <n v="0"/>
    <n v="0"/>
    <m/>
    <m/>
    <m/>
    <m/>
    <m/>
    <m/>
    <m/>
    <m/>
    <m/>
    <d v="1994-01-11T00:00:00"/>
    <s v="M"/>
    <s v="B"/>
    <s v="BLACK"/>
    <s v="NON-HISPANIC"/>
    <s v="178"/>
    <s v="CONVICTED"/>
    <n v="8"/>
    <s v="STJ"/>
    <m/>
    <n v="10"/>
    <m/>
    <s v="BURGLARY OF HABITATION"/>
    <m/>
    <s v="F2"/>
    <s v="BURGLARY"/>
    <m/>
    <m/>
    <m/>
    <m/>
    <m/>
    <m/>
    <m/>
    <m/>
    <m/>
    <s v="Appointed Attorney"/>
    <m/>
    <m/>
    <n v="156"/>
    <n v="156"/>
    <n v="156"/>
    <n v="18.040983606557376"/>
    <n v="0"/>
    <n v="0"/>
    <s v="CONVICTION"/>
    <x v="0"/>
    <s v="N"/>
    <m/>
    <s v="CONVICTION"/>
    <s v="Y"/>
    <x v="0"/>
    <x v="0"/>
    <s v="N"/>
    <n v="1"/>
    <n v="1"/>
    <n v="0"/>
    <n v="0"/>
    <n v="-156"/>
    <n v="0"/>
    <n v="156"/>
    <e v="#VALUE!"/>
    <n v="156"/>
    <n v="0"/>
    <m/>
    <m/>
    <s v="N"/>
    <m/>
    <s v="121-365 DAYS"/>
    <n v="6"/>
    <x v="0"/>
  </r>
  <r>
    <n v="1935"/>
    <s v="N"/>
    <s v="N"/>
    <n v="2549363"/>
    <n v="5"/>
    <d v="2012-03-13T00:00:00"/>
    <d v="2012-03-26T00:00:00"/>
    <n v="2549363"/>
    <d v="2012-03-13T00:00:00"/>
    <d v="2012-03-26T00:00:00"/>
    <s v="NO BOND"/>
    <x v="1"/>
    <m/>
    <s v="N"/>
    <s v="NONE"/>
    <s v="GUILTY PLEA - NO JURY"/>
    <n v="14"/>
    <n v="14"/>
    <n v="2"/>
    <n v="1"/>
    <n v="1"/>
    <m/>
    <m/>
    <m/>
    <m/>
    <m/>
    <m/>
    <s v="S"/>
    <m/>
    <d v="1992-11-26T00:00:00"/>
    <s v="M"/>
    <s v="H"/>
    <s v="HISPANIC"/>
    <s v="NULL"/>
    <s v="184"/>
    <s v="CONVICTED"/>
    <n v="3"/>
    <s v="STJ"/>
    <m/>
    <n v="12"/>
    <m/>
    <s v="UNAUTH USE OF VEHICLE"/>
    <m/>
    <s v="FS"/>
    <s v="AUTO THEFT"/>
    <s v=" misd failt to stop 2/1/13  hcj 20 d"/>
    <m/>
    <m/>
    <m/>
    <m/>
    <m/>
    <m/>
    <m/>
    <m/>
    <s v="Appointed Attorney"/>
    <m/>
    <m/>
    <n v="14"/>
    <n v="14"/>
    <n v="14"/>
    <n v="19.254098360655739"/>
    <n v="0"/>
    <n v="0"/>
    <s v="CONVICTION"/>
    <x v="0"/>
    <s v="N"/>
    <m/>
    <s v="CONVICTION"/>
    <s v="Y"/>
    <x v="0"/>
    <x v="0"/>
    <s v="Y"/>
    <n v="1"/>
    <n v="1"/>
    <n v="0"/>
    <n v="0"/>
    <n v="-14"/>
    <n v="0"/>
    <n v="14"/>
    <e v="#VALUE!"/>
    <n v="14"/>
    <n v="0"/>
    <m/>
    <m/>
    <s v="Y"/>
    <m/>
    <s v="11-30 DAYS"/>
    <n v="2"/>
    <x v="0"/>
  </r>
  <r>
    <n v="218"/>
    <s v="N"/>
    <s v="N"/>
    <n v="2549405"/>
    <n v="5"/>
    <d v="2012-01-10T00:00:00"/>
    <d v="2012-01-23T00:00:00"/>
    <n v="2549405"/>
    <d v="2012-01-21T00:00:00"/>
    <d v="2012-01-23T00:00:00"/>
    <n v="15000"/>
    <x v="0"/>
    <m/>
    <s v="N"/>
    <s v="NONE"/>
    <s v="GUILTY PLEA - NO JURY"/>
    <n v="3"/>
    <n v="14"/>
    <n v="0"/>
    <n v="0"/>
    <m/>
    <m/>
    <m/>
    <m/>
    <m/>
    <m/>
    <m/>
    <m/>
    <m/>
    <d v="1968-09-18T00:00:00"/>
    <s v="M"/>
    <s v="B"/>
    <s v="BLACK"/>
    <s v="NON-HISPANIC"/>
    <s v="228"/>
    <s v="CONVICTED"/>
    <n v="2"/>
    <s v="STJ"/>
    <m/>
    <n v="9"/>
    <m/>
    <s v="MAN/DEL CS PG I &lt;1GRAM"/>
    <m/>
    <s v="FS"/>
    <s v="SALE DRUG"/>
    <m/>
    <m/>
    <m/>
    <m/>
    <m/>
    <m/>
    <m/>
    <m/>
    <m/>
    <s v="Appointed Attorney"/>
    <m/>
    <m/>
    <n v="3"/>
    <n v="3"/>
    <n v="14"/>
    <n v="43.221311475409834"/>
    <n v="0"/>
    <n v="0"/>
    <s v="CONVICTION"/>
    <x v="0"/>
    <s v="N"/>
    <m/>
    <s v="CONVICTION"/>
    <s v="Y"/>
    <x v="0"/>
    <x v="0"/>
    <s v="N"/>
    <n v="0.21428571428571427"/>
    <n v="1"/>
    <n v="0.7857142857142857"/>
    <n v="0"/>
    <n v="-3"/>
    <n v="0"/>
    <n v="3"/>
    <e v="#VALUE!"/>
    <n v="3"/>
    <n v="0"/>
    <m/>
    <m/>
    <s v="N"/>
    <m/>
    <s v="0-10 DAYS"/>
    <n v="1"/>
    <x v="0"/>
  </r>
  <r>
    <n v="2645"/>
    <s v="N"/>
    <s v="N"/>
    <n v="2549576"/>
    <n v="2"/>
    <d v="2012-04-08T00:00:00"/>
    <d v="2012-06-15T00:00:00"/>
    <n v="2549576"/>
    <d v="2012-04-08T00:00:00"/>
    <d v="2012-06-15T00:00:00"/>
    <n v="30000"/>
    <x v="2"/>
    <m/>
    <s v="N"/>
    <s v="NONE"/>
    <s v="DEFERRED ADJUDICATION "/>
    <n v="69"/>
    <n v="69"/>
    <n v="0"/>
    <n v="0"/>
    <m/>
    <m/>
    <m/>
    <m/>
    <m/>
    <m/>
    <m/>
    <m/>
    <m/>
    <d v="1993-08-16T00:00:00"/>
    <s v="F"/>
    <s v="W"/>
    <s v="WHITE"/>
    <s v="NULL"/>
    <s v="337"/>
    <s v="DEFERRED"/>
    <n v="7"/>
    <s v="DEFERRED"/>
    <m/>
    <m/>
    <m/>
    <s v="AGG ASSAULT-FAMILY MEMBER"/>
    <m/>
    <s v="F2"/>
    <s v="ASLT-MURDR"/>
    <m/>
    <m/>
    <m/>
    <m/>
    <m/>
    <m/>
    <m/>
    <m/>
    <m/>
    <s v="Appointed Attorney"/>
    <m/>
    <m/>
    <n v="69"/>
    <n v="69"/>
    <n v="69"/>
    <n v="18.606557377049182"/>
    <n v="0"/>
    <n v="0"/>
    <s v="DEFERRED"/>
    <x v="0"/>
    <s v="N"/>
    <m/>
    <s v="DEFERRED"/>
    <s v="Y"/>
    <x v="0"/>
    <x v="0"/>
    <s v="N"/>
    <n v="1"/>
    <n v="1"/>
    <n v="0"/>
    <n v="0"/>
    <n v="-69"/>
    <n v="0"/>
    <n v="69"/>
    <e v="#VALUE!"/>
    <n v="69"/>
    <n v="0"/>
    <m/>
    <m/>
    <s v="N"/>
    <m/>
    <s v="61-90 DAYS"/>
    <n v="4"/>
    <x v="0"/>
  </r>
  <r>
    <n v="648"/>
    <s v="N"/>
    <s v="N"/>
    <n v="2549734"/>
    <n v="2"/>
    <d v="2012-01-26T00:00:00"/>
    <d v="2012-03-23T00:00:00"/>
    <n v="2549734"/>
    <d v="2012-02-03T00:00:00"/>
    <d v="2012-03-23T00:00:00"/>
    <s v="NO BOND"/>
    <x v="1"/>
    <m/>
    <s v="N"/>
    <s v="NONE"/>
    <s v="DEFERRED ADJUDICATION "/>
    <n v="50"/>
    <n v="58"/>
    <n v="0"/>
    <n v="1"/>
    <m/>
    <m/>
    <m/>
    <m/>
    <m/>
    <m/>
    <m/>
    <m/>
    <m/>
    <d v="1992-06-10T00:00:00"/>
    <s v="M"/>
    <s v="W"/>
    <s v="WHITE"/>
    <s v="NULL"/>
    <s v="208"/>
    <s v="DEFERRED"/>
    <n v="4"/>
    <s v="DEFERRED"/>
    <m/>
    <m/>
    <m/>
    <s v="BURGLARY OF HABITATION"/>
    <m/>
    <s v="F2"/>
    <s v="BURGLARY"/>
    <m/>
    <m/>
    <m/>
    <m/>
    <m/>
    <m/>
    <m/>
    <m/>
    <m/>
    <s v="Appointed Attorney"/>
    <m/>
    <m/>
    <n v="50"/>
    <n v="50"/>
    <n v="58"/>
    <n v="19.587431693989071"/>
    <n v="0"/>
    <n v="0"/>
    <s v="DEFERRED"/>
    <x v="0"/>
    <s v="N"/>
    <m/>
    <s v="DEFERRED"/>
    <s v="Y"/>
    <x v="0"/>
    <x v="0"/>
    <s v="N"/>
    <n v="0.86206896551724133"/>
    <n v="1"/>
    <n v="0.13793103448275867"/>
    <n v="0"/>
    <n v="-50"/>
    <n v="0"/>
    <n v="50"/>
    <e v="#VALUE!"/>
    <n v="50"/>
    <n v="0"/>
    <m/>
    <m/>
    <s v="Y"/>
    <m/>
    <s v="31-60 DAYS"/>
    <n v="3"/>
    <x v="0"/>
  </r>
  <r>
    <n v="1951"/>
    <s v="N"/>
    <s v="N"/>
    <n v="2551296"/>
    <n v="2"/>
    <d v="2012-03-14T00:00:00"/>
    <d v="2012-03-23T00:00:00"/>
    <n v="2551296"/>
    <d v="2012-03-19T00:00:00"/>
    <d v="2012-03-23T00:00:00"/>
    <s v="NO BOND"/>
    <x v="1"/>
    <m/>
    <s v="N"/>
    <s v="NONE"/>
    <s v="DEFERRED ADJUDICATION "/>
    <n v="5"/>
    <n v="10"/>
    <n v="0"/>
    <n v="0"/>
    <m/>
    <m/>
    <m/>
    <m/>
    <m/>
    <m/>
    <m/>
    <m/>
    <m/>
    <d v="1987-09-26T00:00:00"/>
    <s v="M"/>
    <s v="B"/>
    <s v="BLACK"/>
    <s v="NON-HISPANIC"/>
    <s v="177"/>
    <s v="DEFERRED"/>
    <n v="2"/>
    <s v="DEFERRED"/>
    <m/>
    <m/>
    <m/>
    <s v="CRIM MISCH &gt;=$1500 &lt;$20K"/>
    <m/>
    <s v="FS"/>
    <s v="OTHER FEL"/>
    <m/>
    <m/>
    <m/>
    <m/>
    <m/>
    <m/>
    <m/>
    <m/>
    <m/>
    <s v="Hired Attorney"/>
    <m/>
    <m/>
    <n v="5"/>
    <n v="5"/>
    <n v="10"/>
    <n v="24.415300546448087"/>
    <n v="0"/>
    <n v="0"/>
    <s v="DEFERRED"/>
    <x v="0"/>
    <s v="N"/>
    <m/>
    <s v="DEFERRED"/>
    <s v="Y"/>
    <x v="0"/>
    <x v="0"/>
    <s v="N"/>
    <n v="0.5"/>
    <n v="1"/>
    <n v="0.5"/>
    <n v="0"/>
    <n v="-5"/>
    <n v="0"/>
    <n v="5"/>
    <e v="#VALUE!"/>
    <n v="5"/>
    <n v="0"/>
    <m/>
    <m/>
    <s v="N"/>
    <m/>
    <s v="0-10 DAYS"/>
    <n v="1"/>
    <x v="0"/>
  </r>
  <r>
    <n v="2559"/>
    <s v="N"/>
    <s v="N"/>
    <n v="2551411"/>
    <n v="2"/>
    <d v="2012-04-05T00:00:00"/>
    <d v="2013-05-30T00:00:00"/>
    <n v="2551411"/>
    <s v="NOT BOOKED"/>
    <s v="NOT BOOKED"/>
    <n v="2000"/>
    <x v="5"/>
    <d v="2012-04-06T00:00:00"/>
    <s v="Y"/>
    <s v="SURETY"/>
    <s v="DEFERRED ADJUDICATION "/>
    <n v="0"/>
    <n v="421"/>
    <n v="0"/>
    <n v="0"/>
    <m/>
    <m/>
    <m/>
    <m/>
    <m/>
    <m/>
    <m/>
    <m/>
    <m/>
    <d v="1988-02-17T00:00:00"/>
    <s v="M"/>
    <s v="A"/>
    <s v="OTHER"/>
    <s v="NULL"/>
    <s v="178"/>
    <s v="DEFERRED"/>
    <n v="18"/>
    <s v="DEFERRED"/>
    <m/>
    <m/>
    <m/>
    <s v="POSS MARIJ  4 OZ. - 5 LBS."/>
    <m/>
    <s v="FS"/>
    <s v="POSS DRUG"/>
    <m/>
    <m/>
    <m/>
    <m/>
    <m/>
    <m/>
    <m/>
    <m/>
    <m/>
    <s v="Hired Attorney"/>
    <m/>
    <m/>
    <n v="0"/>
    <e v="#VALUE!"/>
    <n v="421"/>
    <n v="24.081967213114755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s v="NOT BOOKED"/>
    <n v="0"/>
    <n v="0"/>
    <m/>
    <m/>
    <s v="N"/>
    <m/>
    <s v="0-10 DAYS"/>
    <n v="1"/>
    <x v="1"/>
  </r>
  <r>
    <n v="1012"/>
    <s v="N"/>
    <s v="N"/>
    <n v="2552581"/>
    <n v="4"/>
    <d v="2012-02-07T00:00:00"/>
    <d v="2012-02-09T00:00:00"/>
    <n v="2552581"/>
    <d v="2012-02-08T00:00:00"/>
    <d v="2012-02-09T00:00:00"/>
    <n v="2000"/>
    <x v="5"/>
    <m/>
    <s v="N"/>
    <s v="NONE"/>
    <s v="GUILTY PLEA - NO JURY"/>
    <n v="2"/>
    <n v="3"/>
    <n v="0"/>
    <n v="2"/>
    <m/>
    <m/>
    <m/>
    <m/>
    <m/>
    <m/>
    <m/>
    <m/>
    <m/>
    <d v="1961-03-08T00:00:00"/>
    <s v="M"/>
    <s v="B"/>
    <s v="BLACK"/>
    <s v="NON-HISPANIC"/>
    <s v="248"/>
    <s v="CONVICTED"/>
    <n v="1"/>
    <s v="HCJ"/>
    <m/>
    <m/>
    <n v="90"/>
    <s v="THEFT UNDER $1500 - 3RD OFF."/>
    <m/>
    <s v="FS"/>
    <s v="THEFT"/>
    <s v="6/1/12 fel theft conv hcj 6 mos"/>
    <m/>
    <m/>
    <m/>
    <m/>
    <m/>
    <m/>
    <m/>
    <m/>
    <s v="Appointed Attorney"/>
    <m/>
    <m/>
    <n v="2"/>
    <n v="2"/>
    <n v="3"/>
    <n v="50.814207650273225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3088"/>
    <s v="N"/>
    <s v="Y"/>
    <n v="2553143"/>
    <n v="6"/>
    <d v="2012-04-24T00:00:00"/>
    <d v="2013-10-11T00:00:00"/>
    <n v="2553143"/>
    <d v="2012-05-01T00:00:00"/>
    <d v="2012-05-02T00:00:00"/>
    <n v="10000"/>
    <x v="3"/>
    <d v="2012-05-02T00:00:00"/>
    <s v="Y"/>
    <s v="SURETY"/>
    <s v="GUILTY PLEA - NO JURY"/>
    <n v="10"/>
    <n v="536"/>
    <n v="0"/>
    <n v="0"/>
    <m/>
    <m/>
    <m/>
    <m/>
    <m/>
    <m/>
    <m/>
    <m/>
    <m/>
    <d v="1989-09-13T00:00:00"/>
    <s v="M"/>
    <s v="B"/>
    <s v="BLACK"/>
    <s v="NULL"/>
    <s v="184"/>
    <s v="CONVICTED"/>
    <n v="9"/>
    <s v="TDC"/>
    <n v="3"/>
    <m/>
    <m/>
    <s v="BURGLARY OF HABITATION"/>
    <m/>
    <s v="F2"/>
    <s v="BURGLARY"/>
    <s v="arrest in montg county, bond judg dismissed pend"/>
    <s v="bf 7/19/12"/>
    <s v="Y"/>
    <s v=" 7/19/12"/>
    <m/>
    <m/>
    <m/>
    <m/>
    <m/>
    <s v="Hired Attorney"/>
    <m/>
    <m/>
    <n v="10"/>
    <n v="529"/>
    <n v="536"/>
    <n v="22.565573770491802"/>
    <n v="0"/>
    <n v="-527"/>
    <s v="CONVICTION"/>
    <x v="1"/>
    <s v="N"/>
    <m/>
    <s v="CONVICTION"/>
    <s v="Y"/>
    <x v="0"/>
    <x v="0"/>
    <s v="N"/>
    <n v="1.8656716417910446E-2"/>
    <n v="3.780718336483932E-3"/>
    <n v="-1.4875998081426514E-2"/>
    <n v="0"/>
    <n v="-2"/>
    <n v="8"/>
    <n v="529"/>
    <n v="10"/>
    <n v="529"/>
    <n v="527"/>
    <m/>
    <m/>
    <s v="N"/>
    <m/>
    <s v="0-10 DAYS"/>
    <n v="1"/>
    <x v="0"/>
  </r>
  <r>
    <n v="433"/>
    <s v="N"/>
    <s v="N"/>
    <n v="2553231"/>
    <n v="2"/>
    <d v="2012-01-18T00:00:00"/>
    <d v="2012-05-30T00:00:00"/>
    <n v="2553231"/>
    <s v="NOT BOOKED"/>
    <s v="NOT BOOKED"/>
    <n v="2000"/>
    <x v="5"/>
    <d v="2012-01-19T00:00:00"/>
    <s v="Y"/>
    <s v="SURETY"/>
    <s v="DEFERRED ADJUDICATION "/>
    <n v="0"/>
    <n v="134"/>
    <n v="0"/>
    <n v="1"/>
    <m/>
    <m/>
    <m/>
    <m/>
    <m/>
    <m/>
    <m/>
    <m/>
    <m/>
    <d v="1993-08-11T00:00:00"/>
    <s v="M"/>
    <s v="B"/>
    <s v="BLACK"/>
    <s v="NULL"/>
    <s v="178"/>
    <s v="DEFERRED"/>
    <n v="6"/>
    <s v="DEFERRED"/>
    <m/>
    <m/>
    <m/>
    <s v="POSS MARIJ  4 OZ. - 5 LBS."/>
    <m/>
    <s v="FS"/>
    <s v="POSS DRUG"/>
    <m/>
    <m/>
    <m/>
    <m/>
    <m/>
    <m/>
    <m/>
    <m/>
    <m/>
    <s v="Appointed Attorney"/>
    <m/>
    <m/>
    <n v="0"/>
    <n v="0"/>
    <n v="134"/>
    <n v="18.398907103825138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2144"/>
    <s v="N"/>
    <s v="N"/>
    <n v="2553371"/>
    <n v="1"/>
    <d v="2012-03-21T00:00:00"/>
    <d v="2012-03-23T00:00:00"/>
    <n v="2553371"/>
    <s v="NOT BOOKED"/>
    <s v="NOT BOOKED"/>
    <n v="10000"/>
    <x v="3"/>
    <m/>
    <s v="NO BOND MADE - NON ARREST"/>
    <s v="NONE"/>
    <s v="DISMISSED"/>
    <n v="0"/>
    <n v="3"/>
    <n v="0"/>
    <n v="0"/>
    <m/>
    <m/>
    <m/>
    <m/>
    <m/>
    <m/>
    <m/>
    <m/>
    <m/>
    <d v="1972-06-27T00:00:00"/>
    <s v="F"/>
    <s v="B"/>
    <s v="BLACK"/>
    <s v="NULL"/>
    <s v="232"/>
    <s v="DISMISSED"/>
    <n v="1"/>
    <s v="DISMISSED"/>
    <m/>
    <m/>
    <m/>
    <s v="FRAUD/DEL PRESC NOT MEDICAL"/>
    <m/>
    <s v="F2"/>
    <s v="OTHER FEL"/>
    <m/>
    <m/>
    <m/>
    <m/>
    <m/>
    <m/>
    <m/>
    <m/>
    <m/>
    <s v="Public Defender"/>
    <m/>
    <m/>
    <n v="0"/>
    <n v="0"/>
    <n v="3"/>
    <n v="39.650273224043715"/>
    <e v="#VALUE!"/>
    <e v="#VALUE!"/>
    <s v="NO CONVICTION"/>
    <x v="0"/>
    <s v="N"/>
    <m/>
    <s v="NO CONVICTION"/>
    <n v="0"/>
    <x v="2"/>
    <x v="0"/>
    <s v="N"/>
    <n v="0"/>
    <n v="0"/>
    <n v="0"/>
    <n v="0"/>
    <e v="#VALUE!"/>
    <e v="#VALUE!"/>
    <e v="#VALUE!"/>
    <n v="0"/>
    <n v="0"/>
    <m/>
    <m/>
    <m/>
    <s v="N"/>
    <m/>
    <s v="0-10 DAYS"/>
    <n v="1"/>
    <x v="1"/>
  </r>
  <r>
    <n v="1069"/>
    <s v="N"/>
    <s v="N"/>
    <n v="2553966"/>
    <n v="4"/>
    <d v="2012-02-09T00:00:00"/>
    <d v="2013-08-07T00:00:00"/>
    <n v="2553966"/>
    <d v="2012-02-09T00:00:00"/>
    <d v="2012-02-11T00:00:00"/>
    <n v="30000"/>
    <x v="2"/>
    <d v="2012-02-11T00:00:00"/>
    <s v="Y"/>
    <s v="SURETY"/>
    <s v="GUILTY PLEA - NO JURY"/>
    <n v="3"/>
    <n v="546"/>
    <n v="0"/>
    <n v="0"/>
    <m/>
    <m/>
    <m/>
    <m/>
    <m/>
    <m/>
    <m/>
    <m/>
    <m/>
    <d v="1981-12-25T00:00:00"/>
    <s v="M"/>
    <s v="B"/>
    <s v="BLACK"/>
    <s v="NULL"/>
    <s v="209"/>
    <s v="DISMISSED"/>
    <n v="19"/>
    <s v="HCJ"/>
    <m/>
    <m/>
    <n v="2"/>
    <s v="POSS CS PG 4 200-400 GRAMS"/>
    <m/>
    <s v="F2"/>
    <s v="POSS DRUG"/>
    <s v="y reinstated"/>
    <m/>
    <m/>
    <m/>
    <m/>
    <m/>
    <m/>
    <m/>
    <m/>
    <s v="Hired Attorney"/>
    <m/>
    <m/>
    <n v="3"/>
    <n v="546"/>
    <n v="546"/>
    <n v="30.062841530054644"/>
    <n v="0"/>
    <n v="-543"/>
    <s v="CONVICTION"/>
    <x v="1"/>
    <s v="N"/>
    <m/>
    <s v="CONVICTION"/>
    <s v="Y"/>
    <x v="1"/>
    <x v="0"/>
    <s v="N"/>
    <n v="5.4945054945054949E-3"/>
    <n v="5.4945054945054949E-3"/>
    <n v="0"/>
    <n v="0"/>
    <n v="-3"/>
    <n v="0"/>
    <n v="3"/>
    <e v="#VALUE!"/>
    <m/>
    <n v="543"/>
    <m/>
    <m/>
    <s v="N"/>
    <m/>
    <s v="0-10 DAYS"/>
    <n v="1"/>
    <x v="0"/>
  </r>
  <r>
    <n v="5"/>
    <s v="N"/>
    <s v="N"/>
    <n v="2554050"/>
    <n v="4"/>
    <d v="2012-01-01T00:00:00"/>
    <d v="2012-01-03T00:00:00"/>
    <n v="2554050"/>
    <d v="2012-01-01T00:00:00"/>
    <d v="2012-01-03T00:00:00"/>
    <n v="52000"/>
    <x v="2"/>
    <m/>
    <s v="N"/>
    <s v="NONE"/>
    <s v="GUILTY PLEA - NO JURY"/>
    <n v="3"/>
    <n v="3"/>
    <n v="0"/>
    <n v="0"/>
    <m/>
    <m/>
    <m/>
    <m/>
    <m/>
    <m/>
    <m/>
    <m/>
    <m/>
    <d v="1981-04-10T00:00:00"/>
    <s v="M"/>
    <s v="W"/>
    <s v="WHITE"/>
    <s v="NULL"/>
    <s v="185"/>
    <s v="CONVICTED"/>
    <n v="1"/>
    <s v="HCJ"/>
    <m/>
    <m/>
    <n v="60"/>
    <s v="POSS CS PG 1 &lt;1G"/>
    <m/>
    <s v="FS"/>
    <s v="POSS DRUG"/>
    <m/>
    <m/>
    <m/>
    <m/>
    <m/>
    <m/>
    <m/>
    <m/>
    <m/>
    <s v="Hired Attorney"/>
    <m/>
    <m/>
    <n v="3"/>
    <n v="3"/>
    <n v="3"/>
    <n v="30.66393442622951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981"/>
    <s v="N"/>
    <s v="N"/>
    <n v="2554532"/>
    <n v="6"/>
    <d v="2012-02-06T00:00:00"/>
    <d v="2012-09-18T00:00:00"/>
    <n v="2554532"/>
    <d v="2012-02-07T00:00:00"/>
    <d v="2012-09-18T00:00:00"/>
    <n v="50000"/>
    <x v="2"/>
    <m/>
    <s v="N"/>
    <s v="NONE"/>
    <s v="GUILTY PLEA - NO JURY"/>
    <n v="225"/>
    <n v="226"/>
    <n v="0"/>
    <n v="1"/>
    <m/>
    <m/>
    <m/>
    <m/>
    <m/>
    <m/>
    <m/>
    <m/>
    <m/>
    <d v="1992-12-09T00:00:00"/>
    <s v="M"/>
    <s v="B"/>
    <s v="BLACK"/>
    <s v="NULL"/>
    <s v="337"/>
    <s v="CONVICTED"/>
    <n v="10"/>
    <s v="TDC"/>
    <n v="2"/>
    <m/>
    <m/>
    <s v="AGG ROBBERY-DEADLY WPN"/>
    <m/>
    <s v="F1"/>
    <s v="ROBBERY"/>
    <m/>
    <m/>
    <m/>
    <m/>
    <m/>
    <m/>
    <m/>
    <m/>
    <m/>
    <s v="Public Defender"/>
    <m/>
    <m/>
    <n v="225"/>
    <n v="225"/>
    <n v="226"/>
    <n v="19.120218579234972"/>
    <n v="0"/>
    <n v="0"/>
    <s v="CONVICTION"/>
    <x v="0"/>
    <s v="N"/>
    <m/>
    <s v="CONVICTION"/>
    <s v="Y"/>
    <x v="0"/>
    <x v="0"/>
    <s v="N"/>
    <n v="0.99557522123893805"/>
    <n v="1"/>
    <n v="4.4247787610619538E-3"/>
    <n v="0"/>
    <n v="-225"/>
    <n v="0"/>
    <n v="225"/>
    <e v="#VALUE!"/>
    <n v="225"/>
    <n v="0"/>
    <m/>
    <m/>
    <s v="Y"/>
    <m/>
    <s v="121-365 DAYS"/>
    <n v="6"/>
    <x v="0"/>
  </r>
  <r>
    <n v="2287"/>
    <s v="N"/>
    <s v="N"/>
    <n v="2554926"/>
    <n v="6"/>
    <d v="2012-03-27T00:00:00"/>
    <d v="2012-10-15T00:00:00"/>
    <n v="2554926"/>
    <d v="2012-03-28T00:00:00"/>
    <d v="2012-03-29T00:00:00"/>
    <n v="30000"/>
    <x v="2"/>
    <d v="2012-03-29T00:00:00"/>
    <s v="Y"/>
    <s v="SURETY"/>
    <s v="GUILTY PLEA - NO JURY"/>
    <n v="2"/>
    <n v="203"/>
    <n v="0"/>
    <n v="0"/>
    <m/>
    <m/>
    <m/>
    <m/>
    <m/>
    <m/>
    <m/>
    <s v="S"/>
    <m/>
    <d v="1992-10-18T00:00:00"/>
    <s v="M"/>
    <s v="H"/>
    <s v="HISPANIC"/>
    <s v="NULL"/>
    <s v="263"/>
    <s v="CONVICTED"/>
    <n v="11"/>
    <s v="TDC"/>
    <n v="4"/>
    <m/>
    <m/>
    <s v="BURGLARY OF HABITATION"/>
    <m/>
    <s v="F2"/>
    <s v="BURGLARY"/>
    <m/>
    <m/>
    <m/>
    <m/>
    <m/>
    <m/>
    <m/>
    <m/>
    <m/>
    <s v="Appointed Attorney"/>
    <m/>
    <m/>
    <n v="2"/>
    <n v="202"/>
    <n v="203"/>
    <n v="19.398907103825138"/>
    <n v="0"/>
    <n v="-200"/>
    <s v="CONVICTION"/>
    <x v="1"/>
    <s v="Y"/>
    <m/>
    <s v="CONVICTION"/>
    <s v="Y"/>
    <x v="1"/>
    <x v="0"/>
    <s v="N"/>
    <n v="9.852216748768473E-3"/>
    <n v="9.9009900990099011E-3"/>
    <n v="4.8773350241428093E-5"/>
    <n v="0"/>
    <n v="-2"/>
    <n v="0"/>
    <n v="2"/>
    <e v="#VALUE!"/>
    <n v="2"/>
    <n v="0"/>
    <m/>
    <m/>
    <s v="N"/>
    <m/>
    <s v="0-10 DAYS"/>
    <n v="1"/>
    <x v="0"/>
  </r>
  <r>
    <n v="2090"/>
    <s v="N"/>
    <s v="N"/>
    <n v="2555885"/>
    <n v="6"/>
    <d v="2012-03-19T00:00:00"/>
    <d v="2012-12-05T00:00:00"/>
    <n v="2555885"/>
    <d v="2012-03-20T00:00:00"/>
    <d v="2012-12-05T00:00:00"/>
    <n v="42000"/>
    <x v="2"/>
    <m/>
    <s v="N"/>
    <s v="NONE"/>
    <s v="GUILTY PLEA - NO JURY"/>
    <n v="261"/>
    <n v="262"/>
    <n v="0"/>
    <n v="3"/>
    <m/>
    <m/>
    <m/>
    <m/>
    <m/>
    <m/>
    <m/>
    <m/>
    <m/>
    <d v="1994-03-29T00:00:00"/>
    <s v="M"/>
    <s v="B"/>
    <s v="BLACK"/>
    <s v="NON-HISPANIC"/>
    <s v="177"/>
    <s v="CONVICTED"/>
    <n v="9"/>
    <s v="TDC"/>
    <n v="5"/>
    <m/>
    <m/>
    <s v="AGG ROBBERY-DEADLY WPN"/>
    <m/>
    <s v="F1"/>
    <s v="ROBBERY"/>
    <m/>
    <m/>
    <m/>
    <m/>
    <m/>
    <m/>
    <m/>
    <m/>
    <m/>
    <s v="Appointed Attorney"/>
    <m/>
    <m/>
    <n v="261"/>
    <n v="261"/>
    <n v="262"/>
    <n v="17.937158469945356"/>
    <n v="0"/>
    <n v="0"/>
    <s v="CONVICTION"/>
    <x v="0"/>
    <s v="N"/>
    <m/>
    <s v="CONVICTION"/>
    <s v="Y"/>
    <x v="0"/>
    <x v="0"/>
    <s v="N"/>
    <n v="0.99618320610687028"/>
    <n v="1"/>
    <n v="3.8167938931297218E-3"/>
    <n v="0"/>
    <n v="-261"/>
    <n v="0"/>
    <n v="261"/>
    <e v="#VALUE!"/>
    <n v="261"/>
    <n v="0"/>
    <m/>
    <m/>
    <s v="Y"/>
    <m/>
    <s v="121-365 DAYS"/>
    <n v="6"/>
    <x v="0"/>
  </r>
  <r>
    <n v="813"/>
    <s v="N"/>
    <s v="Y"/>
    <n v="2555890"/>
    <n v="2"/>
    <d v="2012-02-01T00:00:00"/>
    <d v="2014-08-08T00:00:00"/>
    <n v="2555890"/>
    <d v="2012-02-01T00:00:00"/>
    <d v="2012-02-27T00:00:00"/>
    <n v="5000"/>
    <x v="4"/>
    <d v="2012-02-27T00:00:00"/>
    <s v="Y"/>
    <s v="SURETY"/>
    <s v="DEFERRED ADJUDICATION "/>
    <n v="391"/>
    <n v="920"/>
    <n v="0"/>
    <n v="0"/>
    <m/>
    <m/>
    <m/>
    <m/>
    <m/>
    <m/>
    <m/>
    <m/>
    <m/>
    <d v="1966-02-14T00:00:00"/>
    <s v="F"/>
    <s v="B"/>
    <s v="BLACK"/>
    <s v="NON-HISPANIC"/>
    <s v="185"/>
    <s v="DEFERRED"/>
    <n v="18"/>
    <s v="DEFERRED"/>
    <m/>
    <m/>
    <m/>
    <s v="ASSAULT-BOD INJ-PUB SERV/RETAL"/>
    <m/>
    <s v="F3"/>
    <s v="ASLT-MURDR"/>
    <s v=" bf surety 6/21/12  PTRc granted 6/19/13"/>
    <m/>
    <s v="Y"/>
    <d v="2012-04-27T00:00:00"/>
    <m/>
    <m/>
    <m/>
    <d v="2012-08-06T00:00:00"/>
    <n v="269"/>
    <s v="Appointed Attorney"/>
    <m/>
    <m/>
    <n v="391"/>
    <n v="920"/>
    <n v="920"/>
    <n v="45.868852459016395"/>
    <n v="0"/>
    <n v="-893"/>
    <s v="DEFERRED"/>
    <x v="1"/>
    <s v="Y"/>
    <m/>
    <s v="DEFERRED"/>
    <s v="Y"/>
    <x v="1"/>
    <x v="0"/>
    <s v="N"/>
    <n v="0.42499999999999999"/>
    <n v="0.42499999999999999"/>
    <n v="0"/>
    <n v="0"/>
    <n v="-27"/>
    <n v="364"/>
    <n v="27"/>
    <e v="#VALUE!"/>
    <n v="391"/>
    <m/>
    <m/>
    <m/>
    <s v="N"/>
    <e v="#N/A"/>
    <s v=" &gt;1YRS&lt;2YRS"/>
    <n v="0"/>
    <x v="0"/>
  </r>
  <r>
    <n v="1905"/>
    <s v="N"/>
    <s v="N"/>
    <n v="2556208"/>
    <n v="3"/>
    <d v="2012-03-11T00:00:00"/>
    <d v="2012-06-14T00:00:00"/>
    <n v="2556208"/>
    <d v="2012-03-12T00:00:00"/>
    <d v="2012-06-14T00:00:00"/>
    <n v="30000"/>
    <x v="2"/>
    <m/>
    <s v="N"/>
    <s v="NONE"/>
    <s v="GUILTY PLEA - NO JURY"/>
    <n v="95"/>
    <n v="96"/>
    <n v="0"/>
    <n v="1"/>
    <m/>
    <m/>
    <m/>
    <m/>
    <m/>
    <m/>
    <m/>
    <s v="S"/>
    <m/>
    <d v="1994-04-01T00:00:00"/>
    <s v="M"/>
    <s v="H"/>
    <s v="HISPANIC"/>
    <s v="NULL"/>
    <s v="184"/>
    <s v="CONVICTED"/>
    <n v="7"/>
    <s v="PROBATION"/>
    <m/>
    <m/>
    <m/>
    <s v="AGG ASSLT AGAINST PB SERVANT"/>
    <m/>
    <s v="F1"/>
    <s v="ASLT-MURDR"/>
    <s v="rev prob 10/19/12 rob case tdc 10 yrs"/>
    <m/>
    <m/>
    <m/>
    <m/>
    <m/>
    <m/>
    <m/>
    <m/>
    <s v="Hired Attorney"/>
    <m/>
    <m/>
    <n v="95"/>
    <n v="95"/>
    <n v="96"/>
    <n v="17.907103825136613"/>
    <n v="0"/>
    <n v="0"/>
    <s v="CONVICTION"/>
    <x v="0"/>
    <s v="N"/>
    <m/>
    <s v="CONVICTION"/>
    <s v="Y"/>
    <x v="0"/>
    <x v="0"/>
    <s v="N"/>
    <n v="0.98958333333333337"/>
    <n v="1"/>
    <n v="1.041666666666663E-2"/>
    <n v="0"/>
    <n v="-95"/>
    <n v="0"/>
    <n v="95"/>
    <e v="#VALUE!"/>
    <n v="95"/>
    <n v="0"/>
    <m/>
    <m/>
    <s v="Y"/>
    <m/>
    <s v="91-120 DAYS"/>
    <n v="0"/>
    <x v="0"/>
  </r>
  <r>
    <n v="1156"/>
    <s v="Y"/>
    <s v="Y"/>
    <n v="2556229"/>
    <n v="5"/>
    <d v="2012-02-11T00:00:00"/>
    <d v="2012-09-17T00:00:00"/>
    <n v="2556229"/>
    <d v="2012-03-31T00:00:00"/>
    <d v="2012-04-14T00:00:00"/>
    <n v="10000"/>
    <x v="3"/>
    <d v="2012-04-14T00:00:00"/>
    <s v="Y"/>
    <s v="SURETY"/>
    <s v="GUILTY PLEA - NO JURY"/>
    <n v="80"/>
    <n v="220"/>
    <n v="0"/>
    <n v="0"/>
    <m/>
    <m/>
    <m/>
    <m/>
    <m/>
    <m/>
    <m/>
    <m/>
    <m/>
    <d v="1969-06-06T00:00:00"/>
    <s v="M"/>
    <s v="W"/>
    <s v="WHITE"/>
    <s v="NULL"/>
    <s v="182"/>
    <s v="CONVICTED"/>
    <n v="11"/>
    <s v="STJ"/>
    <m/>
    <n v="7"/>
    <m/>
    <s v="POSS MARIJ  5 - 50 LBS."/>
    <m/>
    <s v="F3"/>
    <s v="POSS DRUG"/>
    <m/>
    <s v="rev 8/21/12 "/>
    <m/>
    <m/>
    <s v="Y"/>
    <m/>
    <m/>
    <m/>
    <m/>
    <s v="Hired Attorney"/>
    <s v="m tress 8/15/13 fugitive"/>
    <m/>
    <n v="80"/>
    <n v="171"/>
    <n v="220"/>
    <n v="42.595628415300546"/>
    <n v="0"/>
    <n v="-156"/>
    <s v="CONVICTION"/>
    <x v="1"/>
    <s v="Y"/>
    <m/>
    <s v="CONVICTION"/>
    <s v="Y"/>
    <x v="0"/>
    <x v="0"/>
    <s v="N"/>
    <n v="0.36363636363636365"/>
    <n v="8.771929824561403E-2"/>
    <n v="-0.27591706539074962"/>
    <n v="0"/>
    <n v="-15"/>
    <n v="65"/>
    <n v="171"/>
    <n v="80"/>
    <n v="171"/>
    <n v="156"/>
    <m/>
    <m/>
    <s v="N"/>
    <m/>
    <s v="61-90 DAYS"/>
    <n v="4"/>
    <x v="0"/>
  </r>
  <r>
    <n v="1341"/>
    <s v="N"/>
    <s v="N"/>
    <n v="2556373"/>
    <n v="1"/>
    <d v="2012-02-18T00:00:00"/>
    <d v="2012-07-03T00:00:00"/>
    <n v="2556373"/>
    <d v="2012-02-18T00:00:00"/>
    <d v="2012-02-19T00:00:00"/>
    <n v="5000"/>
    <x v="4"/>
    <d v="2012-02-19T00:00:00"/>
    <s v="Y"/>
    <s v="SURETY"/>
    <s v="DISMISSED"/>
    <n v="2"/>
    <n v="137"/>
    <n v="0"/>
    <n v="1"/>
    <m/>
    <m/>
    <m/>
    <m/>
    <m/>
    <m/>
    <m/>
    <m/>
    <m/>
    <d v="1989-06-18T00:00:00"/>
    <s v="M"/>
    <s v="B"/>
    <s v="BLACK"/>
    <s v="NULL"/>
    <s v="230"/>
    <s v="DISMISSED"/>
    <n v="10"/>
    <s v="DISMISSED"/>
    <m/>
    <m/>
    <m/>
    <s v="RETALIATION"/>
    <m/>
    <s v="F3"/>
    <s v="OTHER FEL"/>
    <s v="fel 6/39/12 sent def adj "/>
    <m/>
    <m/>
    <m/>
    <m/>
    <m/>
    <m/>
    <m/>
    <m/>
    <s v="Appointed Attorney"/>
    <m/>
    <m/>
    <n v="2"/>
    <n v="137"/>
    <n v="137"/>
    <n v="22.622950819672131"/>
    <n v="0"/>
    <n v="-135"/>
    <s v="NO CONVICTION"/>
    <x v="1"/>
    <s v="Y"/>
    <m/>
    <s v="NO CONVICTION"/>
    <s v="Y"/>
    <x v="1"/>
    <x v="0"/>
    <s v="N"/>
    <n v="1.4598540145985401E-2"/>
    <n v="1.4598540145985401E-2"/>
    <n v="0"/>
    <n v="0"/>
    <n v="-2"/>
    <n v="0"/>
    <n v="2"/>
    <e v="#VALUE!"/>
    <n v="2"/>
    <n v="0"/>
    <m/>
    <m/>
    <s v="Y"/>
    <m/>
    <s v="0-10 DAYS"/>
    <n v="1"/>
    <x v="0"/>
  </r>
  <r>
    <n v="247"/>
    <s v="N"/>
    <s v="N"/>
    <n v="2556661"/>
    <n v="6"/>
    <d v="2011-04-25T00:00:00"/>
    <d v="2012-02-28T00:00:00"/>
    <n v="2556661"/>
    <d v="2012-01-19T00:00:00"/>
    <d v="2012-02-28T00:00:00"/>
    <n v="20000"/>
    <x v="0"/>
    <m/>
    <s v="N"/>
    <s v="NONE"/>
    <s v="DEFENDANT CONVICTED ON ANOTHER CHARGE"/>
    <n v="41"/>
    <n v="310"/>
    <n v="1"/>
    <n v="0"/>
    <m/>
    <n v="1"/>
    <m/>
    <m/>
    <m/>
    <m/>
    <m/>
    <m/>
    <m/>
    <d v="1993-07-25T00:00:00"/>
    <s v="M"/>
    <s v="W"/>
    <s v="WHITE"/>
    <s v="NON-HISPANIC"/>
    <s v="180"/>
    <s v="CONVICTED"/>
    <n v="9"/>
    <s v="TDC"/>
    <n v="4"/>
    <m/>
    <m/>
    <s v="BURGLARY OF HABITATION"/>
    <m/>
    <s v="F2"/>
    <s v="BURGLARY"/>
    <m/>
    <m/>
    <m/>
    <m/>
    <m/>
    <m/>
    <m/>
    <m/>
    <m/>
    <s v="Public Defender"/>
    <m/>
    <m/>
    <n v="41"/>
    <n v="41"/>
    <n v="310"/>
    <n v="17.71311475409836"/>
    <n v="0"/>
    <n v="0"/>
    <s v="CONVICTION"/>
    <x v="0"/>
    <s v="N"/>
    <m/>
    <s v="CONVICTION"/>
    <s v="Y"/>
    <x v="0"/>
    <x v="0"/>
    <s v="Y"/>
    <n v="0.13225806451612904"/>
    <n v="1"/>
    <n v="0.86774193548387091"/>
    <n v="0"/>
    <n v="-41"/>
    <n v="0"/>
    <n v="41"/>
    <e v="#VALUE!"/>
    <n v="41"/>
    <n v="0"/>
    <m/>
    <m/>
    <s v="Y"/>
    <m/>
    <s v="31-60 DAYS"/>
    <n v="3"/>
    <x v="0"/>
  </r>
  <r>
    <n v="702"/>
    <s v="N"/>
    <s v="N"/>
    <n v="2556732"/>
    <n v="1"/>
    <d v="2012-01-28T00:00:00"/>
    <d v="2012-02-13T00:00:00"/>
    <n v="2556732"/>
    <d v="2012-01-28T00:00:00"/>
    <d v="2012-02-13T00:00:00"/>
    <n v="5000"/>
    <x v="4"/>
    <m/>
    <s v="N"/>
    <s v="NONE"/>
    <s v="NO BILL"/>
    <n v="17"/>
    <n v="17"/>
    <n v="0"/>
    <n v="0"/>
    <m/>
    <m/>
    <m/>
    <m/>
    <m/>
    <m/>
    <m/>
    <m/>
    <m/>
    <d v="1993-05-29T00:00:00"/>
    <s v="M"/>
    <s v="W"/>
    <s v="WHITE"/>
    <s v="NULL"/>
    <s v="174"/>
    <s v="NO BILL"/>
    <n v="2"/>
    <s v="NO BILL"/>
    <m/>
    <m/>
    <m/>
    <s v="ASSAULT-BOD INJ-PUB SERV/RETAL"/>
    <m/>
    <s v="F3"/>
    <s v="ASLT-MURDR"/>
    <m/>
    <m/>
    <m/>
    <m/>
    <m/>
    <m/>
    <m/>
    <m/>
    <m/>
    <s v="Appointed Attorney"/>
    <m/>
    <m/>
    <n v="17"/>
    <n v="17"/>
    <n v="17"/>
    <n v="18.628415300546447"/>
    <n v="0"/>
    <n v="0"/>
    <s v="NO CONVICTION"/>
    <x v="0"/>
    <s v="N"/>
    <m/>
    <s v="NO CONVICTION"/>
    <s v="Y"/>
    <x v="0"/>
    <x v="0"/>
    <s v="N"/>
    <n v="1"/>
    <n v="1"/>
    <n v="0"/>
    <n v="0"/>
    <n v="-17"/>
    <n v="0"/>
    <n v="17"/>
    <e v="#VALUE!"/>
    <n v="17"/>
    <n v="0"/>
    <m/>
    <m/>
    <s v="N"/>
    <m/>
    <s v="11-30 DAYS"/>
    <n v="2"/>
    <x v="0"/>
  </r>
  <r>
    <n v="3231"/>
    <s v="N"/>
    <s v="N"/>
    <n v="2557440"/>
    <n v="2"/>
    <d v="2012-04-29T00:00:00"/>
    <d v="2012-05-01T00:00:00"/>
    <n v="2557440"/>
    <d v="2012-04-29T00:00:00"/>
    <d v="2012-05-01T00:00:00"/>
    <n v="5000"/>
    <x v="4"/>
    <m/>
    <s v="N"/>
    <s v="NONE"/>
    <s v="DEFERRED ADJUDICATION "/>
    <n v="3"/>
    <n v="3"/>
    <n v="0"/>
    <n v="1"/>
    <m/>
    <m/>
    <m/>
    <m/>
    <m/>
    <m/>
    <m/>
    <m/>
    <m/>
    <d v="1989-06-06T00:00:00"/>
    <s v="M"/>
    <s v="B"/>
    <s v="BLACK"/>
    <s v="NULL"/>
    <s v="176"/>
    <s v="DEFERRED"/>
    <n v="3"/>
    <s v="DEFERRED"/>
    <m/>
    <m/>
    <m/>
    <s v="BURGLARY OF A BUILDING"/>
    <m/>
    <s v="FS"/>
    <s v="BURGLARY"/>
    <m/>
    <m/>
    <m/>
    <m/>
    <m/>
    <m/>
    <m/>
    <m/>
    <m/>
    <s v="Appointed Attorney"/>
    <m/>
    <m/>
    <n v="3"/>
    <n v="3"/>
    <n v="3"/>
    <n v="22.849726775956285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1144"/>
    <s v="N"/>
    <s v="N"/>
    <n v="2557585"/>
    <n v="6"/>
    <d v="2012-02-11T00:00:00"/>
    <d v="2012-03-08T00:00:00"/>
    <n v="2557585"/>
    <d v="2012-02-11T00:00:00"/>
    <d v="2012-03-08T00:00:00"/>
    <s v="NO BOND"/>
    <x v="1"/>
    <m/>
    <s v="N"/>
    <s v="NONE"/>
    <s v="GUILTY PLEA - NO JURY"/>
    <n v="27"/>
    <n v="27"/>
    <n v="2"/>
    <n v="2"/>
    <n v="1"/>
    <m/>
    <m/>
    <m/>
    <m/>
    <m/>
    <m/>
    <m/>
    <m/>
    <d v="1982-01-22T00:00:00"/>
    <s v="M"/>
    <s v="B"/>
    <s v="BLACK"/>
    <s v="NON-HISPANIC"/>
    <s v="183"/>
    <s v="CONVICTED"/>
    <n v="2"/>
    <s v="TDC"/>
    <n v="3"/>
    <m/>
    <m/>
    <s v="POSS CS PG 1  1 - 4 GRAMS"/>
    <m/>
    <s v="F3"/>
    <s v="POSS DRUG"/>
    <m/>
    <m/>
    <m/>
    <m/>
    <m/>
    <m/>
    <m/>
    <m/>
    <m/>
    <s v="Appointed Attorney"/>
    <m/>
    <m/>
    <n v="27"/>
    <n v="27"/>
    <n v="27"/>
    <n v="29.991803278688526"/>
    <n v="0"/>
    <n v="0"/>
    <s v="CONVICTION"/>
    <x v="0"/>
    <s v="N"/>
    <m/>
    <s v="CONVICTION"/>
    <s v="Y"/>
    <x v="0"/>
    <x v="0"/>
    <s v="Y"/>
    <n v="1"/>
    <n v="1"/>
    <n v="0"/>
    <n v="0"/>
    <n v="-27"/>
    <n v="0"/>
    <n v="27"/>
    <e v="#VALUE!"/>
    <n v="27"/>
    <n v="0"/>
    <m/>
    <m/>
    <s v="Y"/>
    <m/>
    <s v="11-30 DAYS"/>
    <n v="2"/>
    <x v="0"/>
  </r>
  <r>
    <n v="3187"/>
    <s v="N"/>
    <s v="N"/>
    <n v="2557898"/>
    <n v="4"/>
    <d v="2012-04-27T00:00:00"/>
    <d v="2012-08-03T00:00:00"/>
    <n v="2557898"/>
    <d v="2012-04-28T00:00:00"/>
    <d v="2012-05-02T00:00:00"/>
    <n v="10000"/>
    <x v="3"/>
    <d v="2012-05-02T00:00:00"/>
    <s v="Y"/>
    <s v="SURETY"/>
    <s v="GUILTY PLEA - NO JURY"/>
    <n v="5"/>
    <n v="99"/>
    <n v="0"/>
    <n v="1"/>
    <m/>
    <m/>
    <m/>
    <m/>
    <m/>
    <m/>
    <m/>
    <m/>
    <m/>
    <d v="1992-05-02T00:00:00"/>
    <s v="M"/>
    <s v="H"/>
    <s v="HISPANIC"/>
    <s v="HISPANIC"/>
    <s v="208"/>
    <s v="CONVICTED"/>
    <n v="6"/>
    <s v="HCJ"/>
    <m/>
    <m/>
    <n v="10"/>
    <s v="ASSAULT-BOD INJ-PUB SERV/RETAL"/>
    <m/>
    <s v="F3"/>
    <s v="ASLT-MURDR"/>
    <s v="8/3/12 fel crim misch Probation"/>
    <m/>
    <m/>
    <m/>
    <m/>
    <m/>
    <m/>
    <m/>
    <m/>
    <s v="Hired Attorney"/>
    <m/>
    <m/>
    <n v="5"/>
    <n v="98"/>
    <n v="99"/>
    <n v="19.94535519125683"/>
    <n v="0"/>
    <n v="-93"/>
    <s v="CONVICTION"/>
    <x v="1"/>
    <s v="Y"/>
    <m/>
    <s v="CONVICTION"/>
    <s v="Y"/>
    <x v="1"/>
    <x v="0"/>
    <s v="N"/>
    <n v="5.0505050505050504E-2"/>
    <n v="5.1020408163265307E-2"/>
    <n v="5.1535765821480312E-4"/>
    <n v="0"/>
    <n v="-5"/>
    <n v="0"/>
    <n v="5"/>
    <e v="#VALUE!"/>
    <n v="5"/>
    <n v="0"/>
    <m/>
    <m/>
    <s v="Y"/>
    <m/>
    <s v="0-10 DAYS"/>
    <n v="1"/>
    <x v="0"/>
  </r>
  <r>
    <n v="220"/>
    <s v="N"/>
    <s v="N"/>
    <n v="2557962"/>
    <n v="4"/>
    <d v="2012-01-10T00:00:00"/>
    <d v="2012-01-13T00:00:00"/>
    <n v="2557962"/>
    <d v="2012-01-10T00:00:00"/>
    <d v="2012-01-13T00:00:00"/>
    <n v="2000"/>
    <x v="5"/>
    <m/>
    <s v="N"/>
    <s v="NONE"/>
    <s v="GUILTY PLEA - NO JURY"/>
    <n v="4"/>
    <n v="4"/>
    <n v="0"/>
    <n v="3"/>
    <m/>
    <m/>
    <m/>
    <m/>
    <m/>
    <m/>
    <m/>
    <m/>
    <m/>
    <d v="1991-09-09T00:00:00"/>
    <s v="M"/>
    <s v="B"/>
    <s v="BLACK"/>
    <s v="NULL"/>
    <s v="185"/>
    <s v="CONVICTED"/>
    <n v="2"/>
    <s v="HCJ"/>
    <m/>
    <m/>
    <n v="120"/>
    <s v="CREDIT/DEBIT CARD ABUSE"/>
    <m/>
    <s v="FS"/>
    <s v="OTHER FEL"/>
    <m/>
    <m/>
    <m/>
    <m/>
    <m/>
    <m/>
    <m/>
    <m/>
    <m/>
    <s v="Appointed Attorney"/>
    <m/>
    <m/>
    <n v="4"/>
    <n v="4"/>
    <n v="4"/>
    <n v="20.295081967213115"/>
    <n v="0"/>
    <n v="0"/>
    <s v="CONVICTION"/>
    <x v="0"/>
    <s v="N"/>
    <m/>
    <s v="CONVICTION"/>
    <s v="Y"/>
    <x v="0"/>
    <x v="0"/>
    <s v="N"/>
    <n v="1"/>
    <n v="1"/>
    <n v="0"/>
    <n v="0"/>
    <n v="-4"/>
    <n v="0"/>
    <n v="4"/>
    <e v="#VALUE!"/>
    <n v="4"/>
    <n v="0"/>
    <m/>
    <m/>
    <s v="Y"/>
    <m/>
    <s v="0-10 DAYS"/>
    <n v="1"/>
    <x v="0"/>
  </r>
  <r>
    <n v="18"/>
    <s v="N"/>
    <s v="N"/>
    <n v="2558328"/>
    <n v="5"/>
    <d v="2012-01-02T00:00:00"/>
    <d v="2012-03-13T00:00:00"/>
    <n v="2558328"/>
    <d v="2012-01-02T00:00:00"/>
    <d v="2012-03-13T00:00:00"/>
    <n v="15000"/>
    <x v="0"/>
    <m/>
    <s v="N"/>
    <s v="NONE"/>
    <s v="GUILTY PLEA - NO JURY"/>
    <n v="72"/>
    <n v="72"/>
    <n v="1"/>
    <n v="1"/>
    <m/>
    <n v="1"/>
    <m/>
    <m/>
    <m/>
    <m/>
    <m/>
    <m/>
    <m/>
    <d v="1994-02-12T00:00:00"/>
    <s v="M"/>
    <s v="W"/>
    <s v="WHITE"/>
    <s v="NON-HISPANIC"/>
    <s v="338"/>
    <s v="CONVICTED"/>
    <n v="3"/>
    <s v="STJ"/>
    <m/>
    <n v="6"/>
    <m/>
    <s v="POSS CS PG 1 &lt;1G"/>
    <m/>
    <s v="FS"/>
    <s v="POSS DRUG"/>
    <m/>
    <m/>
    <m/>
    <m/>
    <m/>
    <m/>
    <m/>
    <m/>
    <m/>
    <s v="Hired Attorney"/>
    <m/>
    <m/>
    <n v="72"/>
    <n v="72"/>
    <n v="72"/>
    <n v="17.849726775956285"/>
    <n v="0"/>
    <n v="0"/>
    <s v="CONVICTION"/>
    <x v="0"/>
    <s v="N"/>
    <m/>
    <s v="CONVICTION"/>
    <s v="Y"/>
    <x v="0"/>
    <x v="0"/>
    <s v="Y"/>
    <n v="1"/>
    <n v="1"/>
    <n v="0"/>
    <n v="0"/>
    <n v="-72"/>
    <n v="0"/>
    <n v="72"/>
    <e v="#VALUE!"/>
    <n v="72"/>
    <n v="0"/>
    <m/>
    <m/>
    <s v="Y"/>
    <m/>
    <s v="61-90 DAYS"/>
    <n v="4"/>
    <x v="0"/>
  </r>
  <r>
    <n v="3061"/>
    <s v="N"/>
    <s v="N"/>
    <n v="2558543"/>
    <n v="5"/>
    <d v="2012-04-23T00:00:00"/>
    <d v="2012-05-25T00:00:00"/>
    <n v="2558543"/>
    <d v="2012-04-24T00:00:00"/>
    <d v="2012-05-25T00:00:00"/>
    <s v="NO BOND"/>
    <x v="1"/>
    <m/>
    <s v="N"/>
    <s v="NONE"/>
    <s v="GUILTY PLEA - NO JURY"/>
    <n v="32"/>
    <n v="33"/>
    <n v="0"/>
    <n v="0"/>
    <m/>
    <m/>
    <m/>
    <m/>
    <m/>
    <m/>
    <m/>
    <m/>
    <m/>
    <d v="1993-11-06T00:00:00"/>
    <s v="M"/>
    <s v="W"/>
    <s v="WHITE"/>
    <s v="NULL"/>
    <s v="178"/>
    <s v="CONVICTED"/>
    <n v="2"/>
    <s v="STJ"/>
    <m/>
    <n v="8"/>
    <m/>
    <s v="THEFT $1500-20K"/>
    <m/>
    <s v="FS"/>
    <s v="THEFT"/>
    <m/>
    <m/>
    <m/>
    <m/>
    <m/>
    <m/>
    <m/>
    <m/>
    <m/>
    <s v="Appointed Attorney"/>
    <m/>
    <m/>
    <n v="32"/>
    <n v="32"/>
    <n v="33"/>
    <n v="18.423497267759561"/>
    <n v="0"/>
    <n v="0"/>
    <s v="CONVICTION"/>
    <x v="0"/>
    <s v="N"/>
    <m/>
    <s v="CONVICTION"/>
    <s v="Y"/>
    <x v="0"/>
    <x v="0"/>
    <s v="N"/>
    <n v="0.96969696969696972"/>
    <n v="1"/>
    <n v="3.0303030303030276E-2"/>
    <n v="0"/>
    <n v="-32"/>
    <n v="0"/>
    <n v="32"/>
    <e v="#VALUE!"/>
    <n v="32"/>
    <n v="0"/>
    <m/>
    <m/>
    <s v="N"/>
    <m/>
    <s v="31-60 DAYS"/>
    <n v="3"/>
    <x v="0"/>
  </r>
  <r>
    <n v="2717"/>
    <s v="N"/>
    <s v="N"/>
    <n v="2558688"/>
    <n v="2"/>
    <d v="2012-04-11T00:00:00"/>
    <d v="2012-05-08T00:00:00"/>
    <n v="2558688"/>
    <d v="2012-04-11T00:00:00"/>
    <d v="2012-05-08T00:00:00"/>
    <n v="5000"/>
    <x v="4"/>
    <m/>
    <s v="N"/>
    <s v="NONE"/>
    <s v="DEFERRED ADJUDICATION "/>
    <n v="28"/>
    <n v="28"/>
    <n v="1"/>
    <n v="0"/>
    <m/>
    <m/>
    <m/>
    <m/>
    <m/>
    <m/>
    <m/>
    <m/>
    <m/>
    <d v="1990-08-04T00:00:00"/>
    <s v="F"/>
    <s v="B"/>
    <s v="BLACK"/>
    <s v="NON-HISPANIC"/>
    <s v="230"/>
    <s v="DEFERRED"/>
    <n v="4"/>
    <s v="DEFERRED"/>
    <m/>
    <m/>
    <m/>
    <s v="MAN/DEL CS PG I &lt;1GRAM"/>
    <m/>
    <s v="FS"/>
    <s v="SALE DRUG"/>
    <m/>
    <m/>
    <m/>
    <m/>
    <m/>
    <m/>
    <m/>
    <m/>
    <m/>
    <s v="Appointed Attorney"/>
    <m/>
    <m/>
    <n v="28"/>
    <n v="28"/>
    <n v="28"/>
    <n v="21.642076502732241"/>
    <n v="0"/>
    <n v="0"/>
    <s v="DEFERRED"/>
    <x v="0"/>
    <s v="N"/>
    <m/>
    <s v="DEFERRED"/>
    <s v="Y"/>
    <x v="0"/>
    <x v="0"/>
    <s v="Y"/>
    <n v="1"/>
    <n v="1"/>
    <n v="0"/>
    <n v="0"/>
    <n v="-28"/>
    <n v="0"/>
    <n v="28"/>
    <e v="#VALUE!"/>
    <n v="28"/>
    <n v="0"/>
    <m/>
    <m/>
    <s v="Y"/>
    <m/>
    <s v="11-30 DAYS"/>
    <n v="2"/>
    <x v="0"/>
  </r>
  <r>
    <n v="372"/>
    <s v="N"/>
    <s v="N"/>
    <n v="2559335"/>
    <n v="2"/>
    <d v="2012-01-16T00:00:00"/>
    <d v="2012-06-13T00:00:00"/>
    <n v="2559335"/>
    <d v="2012-01-16T00:00:00"/>
    <d v="2012-01-18T00:00:00"/>
    <n v="2000"/>
    <x v="5"/>
    <d v="2012-01-18T00:00:00"/>
    <s v="Y"/>
    <s v="PTR"/>
    <s v="DEFERRED ADJUDICATION "/>
    <n v="3"/>
    <n v="150"/>
    <n v="0"/>
    <n v="2"/>
    <m/>
    <m/>
    <m/>
    <m/>
    <m/>
    <m/>
    <m/>
    <m/>
    <m/>
    <d v="1986-08-21T00:00:00"/>
    <s v="M"/>
    <s v="H"/>
    <s v="HISPANIC"/>
    <s v="HISPANIC"/>
    <s v="174"/>
    <s v="DEFERRED"/>
    <n v="9"/>
    <s v="DEFERRED"/>
    <m/>
    <m/>
    <m/>
    <s v="POSS CS PG 1 &lt;1G"/>
    <m/>
    <s v="FS"/>
    <s v="POSS DRUG"/>
    <s v="misd assault pend"/>
    <m/>
    <m/>
    <m/>
    <m/>
    <m/>
    <m/>
    <m/>
    <m/>
    <s v="Hired Attorney"/>
    <m/>
    <m/>
    <n v="3"/>
    <n v="150"/>
    <n v="150"/>
    <n v="25.352459016393443"/>
    <n v="0"/>
    <n v="-147"/>
    <s v="DEFERRED"/>
    <x v="2"/>
    <s v="Y"/>
    <m/>
    <s v="DEFERRED"/>
    <s v="Y"/>
    <x v="1"/>
    <x v="0"/>
    <s v="N"/>
    <n v="0.02"/>
    <n v="0.02"/>
    <n v="0"/>
    <n v="0"/>
    <n v="-3"/>
    <n v="0"/>
    <n v="3"/>
    <e v="#VALUE!"/>
    <n v="3"/>
    <n v="0"/>
    <m/>
    <m/>
    <s v="Y"/>
    <m/>
    <s v="0-10 DAYS"/>
    <n v="1"/>
    <x v="0"/>
  </r>
  <r>
    <n v="1045"/>
    <s v="N"/>
    <s v="N"/>
    <n v="2559487"/>
    <n v="5"/>
    <d v="2012-02-08T00:00:00"/>
    <d v="2012-02-13T00:00:00"/>
    <n v="2559487"/>
    <d v="2012-02-08T00:00:00"/>
    <d v="2012-02-13T00:00:00"/>
    <n v="5000"/>
    <x v="4"/>
    <m/>
    <s v="N"/>
    <s v="NONE"/>
    <s v="GUILTY PLEA - NO JURY"/>
    <n v="6"/>
    <n v="6"/>
    <n v="0"/>
    <n v="0"/>
    <m/>
    <m/>
    <m/>
    <m/>
    <m/>
    <m/>
    <m/>
    <m/>
    <m/>
    <d v="1993-06-28T00:00:00"/>
    <s v="M"/>
    <s v="W"/>
    <s v="WHITE"/>
    <s v="NULL"/>
    <s v="262"/>
    <s v="CONVICTED"/>
    <n v="2"/>
    <s v="STJ"/>
    <m/>
    <n v="6"/>
    <m/>
    <s v="BURGLARY OF A BUILDING"/>
    <m/>
    <s v="FS"/>
    <s v="BURGLARY"/>
    <m/>
    <m/>
    <m/>
    <m/>
    <m/>
    <m/>
    <m/>
    <m/>
    <m/>
    <s v="Appointed Attorney"/>
    <m/>
    <m/>
    <n v="6"/>
    <n v="6"/>
    <n v="6"/>
    <n v="18.576502732240439"/>
    <n v="0"/>
    <n v="0"/>
    <s v="CONVICTION"/>
    <x v="0"/>
    <s v="N"/>
    <m/>
    <s v="CONVICTION"/>
    <s v="Y"/>
    <x v="0"/>
    <x v="0"/>
    <s v="N"/>
    <n v="1"/>
    <n v="1"/>
    <n v="0"/>
    <n v="0"/>
    <n v="-6"/>
    <n v="0"/>
    <n v="6"/>
    <e v="#VALUE!"/>
    <n v="6"/>
    <n v="0"/>
    <m/>
    <m/>
    <s v="N"/>
    <m/>
    <s v="0-10 DAYS"/>
    <n v="1"/>
    <x v="0"/>
  </r>
  <r>
    <n v="39"/>
    <s v="N"/>
    <s v="N"/>
    <n v="2559919"/>
    <n v="6"/>
    <d v="2012-01-03T00:00:00"/>
    <d v="2012-06-21T00:00:00"/>
    <n v="2559919"/>
    <d v="2012-01-04T00:00:00"/>
    <d v="2012-06-21T00:00:00"/>
    <n v="30000"/>
    <x v="2"/>
    <m/>
    <s v="N"/>
    <s v="NONE"/>
    <s v="GUILTY PLEA - NO JURY"/>
    <n v="170"/>
    <n v="171"/>
    <n v="0"/>
    <n v="2"/>
    <m/>
    <m/>
    <m/>
    <m/>
    <m/>
    <m/>
    <m/>
    <m/>
    <m/>
    <d v="1993-12-12T00:00:00"/>
    <s v="M"/>
    <s v="B"/>
    <s v="BLACK"/>
    <s v="NULL"/>
    <s v="228"/>
    <s v="CONVICTED"/>
    <n v="6"/>
    <s v="TDC"/>
    <n v="5"/>
    <m/>
    <m/>
    <s v="AGG ROBBERY-DEADLY WPN"/>
    <m/>
    <s v="F1"/>
    <s v="ROBBERY"/>
    <m/>
    <m/>
    <m/>
    <m/>
    <m/>
    <m/>
    <m/>
    <m/>
    <m/>
    <s v="Hired Attorney"/>
    <m/>
    <m/>
    <n v="170"/>
    <n v="170"/>
    <n v="171"/>
    <n v="18.021857923497269"/>
    <n v="0"/>
    <n v="0"/>
    <s v="CONVICTION"/>
    <x v="0"/>
    <s v="N"/>
    <m/>
    <s v="CONVICTION"/>
    <s v="Y"/>
    <x v="0"/>
    <x v="0"/>
    <s v="N"/>
    <n v="0.99415204678362568"/>
    <n v="1"/>
    <n v="5.8479532163743242E-3"/>
    <n v="0"/>
    <n v="-170"/>
    <n v="0"/>
    <n v="170"/>
    <e v="#VALUE!"/>
    <n v="170"/>
    <n v="0"/>
    <m/>
    <m/>
    <s v="Y"/>
    <m/>
    <s v="121-365 DAYS"/>
    <n v="6"/>
    <x v="0"/>
  </r>
  <r>
    <n v="1575"/>
    <s v="N"/>
    <s v="N"/>
    <n v="2560422"/>
    <n v="5"/>
    <d v="2012-02-28T00:00:00"/>
    <d v="2012-06-25T00:00:00"/>
    <n v="2560422"/>
    <d v="2012-02-29T00:00:00"/>
    <d v="2012-06-25T00:00:00"/>
    <s v="NO BOND"/>
    <x v="1"/>
    <m/>
    <s v="N"/>
    <s v="NONE"/>
    <s v="GUILTY PLEA - NO JURY"/>
    <n v="118"/>
    <n v="119"/>
    <n v="1"/>
    <n v="0"/>
    <n v="1"/>
    <m/>
    <m/>
    <m/>
    <m/>
    <m/>
    <m/>
    <m/>
    <m/>
    <d v="1965-01-03T00:00:00"/>
    <s v="M"/>
    <s v="B"/>
    <s v="BLACK"/>
    <s v="NULL"/>
    <s v="339"/>
    <s v="CONVICTED"/>
    <n v="5"/>
    <s v="STJ"/>
    <m/>
    <n v="7"/>
    <m/>
    <s v="POSS CS PG 1  1 - 4 GRAMS"/>
    <m/>
    <s v="F3"/>
    <s v="POSS DRUG"/>
    <m/>
    <m/>
    <m/>
    <m/>
    <m/>
    <m/>
    <m/>
    <m/>
    <m/>
    <s v="Appointed Attorney"/>
    <m/>
    <m/>
    <n v="118"/>
    <n v="118"/>
    <n v="119"/>
    <n v="47.05464480874317"/>
    <n v="0"/>
    <n v="0"/>
    <s v="CONVICTION"/>
    <x v="0"/>
    <s v="N"/>
    <m/>
    <s v="CONVICTION"/>
    <s v="Y"/>
    <x v="0"/>
    <x v="0"/>
    <s v="Y"/>
    <n v="0.99159663865546221"/>
    <n v="1"/>
    <n v="8.4033613445377853E-3"/>
    <n v="0"/>
    <n v="-118"/>
    <n v="0"/>
    <n v="118"/>
    <e v="#VALUE!"/>
    <n v="118"/>
    <n v="0"/>
    <m/>
    <m/>
    <s v="Y"/>
    <m/>
    <s v="91-120 DAYS"/>
    <n v="0"/>
    <x v="0"/>
  </r>
  <r>
    <n v="1273"/>
    <s v="N"/>
    <s v="N"/>
    <n v="2561965"/>
    <n v="2"/>
    <d v="2012-02-16T00:00:00"/>
    <d v="2012-04-13T00:00:00"/>
    <n v="2561965"/>
    <d v="2012-02-16T00:00:00"/>
    <d v="2012-04-13T00:00:00"/>
    <s v="NO BOND"/>
    <x v="1"/>
    <m/>
    <s v="N"/>
    <s v="NONE"/>
    <s v="DEFERRED ADJUDICATION "/>
    <n v="58"/>
    <n v="58"/>
    <n v="0"/>
    <n v="2"/>
    <m/>
    <m/>
    <m/>
    <m/>
    <m/>
    <m/>
    <m/>
    <m/>
    <m/>
    <d v="1983-10-24T00:00:00"/>
    <s v="M"/>
    <s v="B"/>
    <s v="BLACK"/>
    <s v="NULL"/>
    <s v="184"/>
    <s v="DEFERRED"/>
    <n v="4"/>
    <s v="DEFERRED"/>
    <m/>
    <m/>
    <m/>
    <s v="ASSAULT-BOD INJ-FAMILY MEMBER"/>
    <m/>
    <s v="F3"/>
    <s v="ASLT-MURDR"/>
    <m/>
    <m/>
    <m/>
    <m/>
    <m/>
    <m/>
    <m/>
    <m/>
    <m/>
    <s v="Hired Attorney"/>
    <m/>
    <m/>
    <n v="58"/>
    <n v="58"/>
    <n v="58"/>
    <n v="28.256830601092897"/>
    <n v="0"/>
    <n v="0"/>
    <s v="DEFERRED"/>
    <x v="0"/>
    <s v="N"/>
    <m/>
    <s v="DEFERRED"/>
    <s v="Y"/>
    <x v="0"/>
    <x v="0"/>
    <s v="N"/>
    <n v="1"/>
    <n v="1"/>
    <n v="0"/>
    <n v="0"/>
    <n v="-58"/>
    <n v="0"/>
    <n v="58"/>
    <e v="#VALUE!"/>
    <n v="58"/>
    <n v="0"/>
    <m/>
    <m/>
    <s v="Y"/>
    <m/>
    <s v="31-60 DAYS"/>
    <n v="3"/>
    <x v="0"/>
  </r>
  <r>
    <n v="707"/>
    <s v="N"/>
    <s v="N"/>
    <n v="2562612"/>
    <n v="6"/>
    <d v="2012-01-28T00:00:00"/>
    <d v="2012-07-06T00:00:00"/>
    <n v="2562612"/>
    <d v="2012-01-29T00:00:00"/>
    <d v="2012-07-06T00:00:00"/>
    <n v="50000"/>
    <x v="2"/>
    <m/>
    <s v="N"/>
    <s v="NONE"/>
    <s v="GUILTY PLEA - NO JURY"/>
    <n v="160"/>
    <n v="161"/>
    <n v="0"/>
    <n v="0"/>
    <m/>
    <m/>
    <m/>
    <m/>
    <m/>
    <m/>
    <m/>
    <s v="S"/>
    <m/>
    <d v="1993-07-30T00:00:00"/>
    <s v="M"/>
    <s v="H"/>
    <s v="HISPANIC"/>
    <s v="NULL"/>
    <s v="262"/>
    <s v="CONVICTED"/>
    <n v="6"/>
    <s v="TDC"/>
    <n v="12"/>
    <m/>
    <m/>
    <s v="AGG ROBBERY-DEADLY WPN"/>
    <m/>
    <s v="F1"/>
    <s v="ROBBERY"/>
    <m/>
    <m/>
    <m/>
    <m/>
    <m/>
    <m/>
    <m/>
    <m/>
    <m/>
    <s v="Appointed Attorney"/>
    <m/>
    <m/>
    <n v="160"/>
    <n v="160"/>
    <n v="161"/>
    <n v="18.459016393442624"/>
    <n v="0"/>
    <n v="0"/>
    <s v="CONVICTION"/>
    <x v="0"/>
    <s v="N"/>
    <m/>
    <s v="CONVICTION"/>
    <s v="Y"/>
    <x v="0"/>
    <x v="0"/>
    <s v="N"/>
    <n v="0.99378881987577639"/>
    <n v="1"/>
    <n v="6.2111801242236142E-3"/>
    <n v="0"/>
    <n v="-160"/>
    <n v="0"/>
    <n v="160"/>
    <e v="#VALUE!"/>
    <n v="160"/>
    <n v="0"/>
    <m/>
    <m/>
    <s v="N"/>
    <m/>
    <s v="121-365 DAYS"/>
    <n v="6"/>
    <x v="0"/>
  </r>
  <r>
    <n v="2151"/>
    <s v="N"/>
    <s v="N"/>
    <n v="2562897"/>
    <n v="2"/>
    <d v="2012-03-21T00:00:00"/>
    <d v="2012-04-10T00:00:00"/>
    <n v="2562897"/>
    <d v="2012-03-23T00:00:00"/>
    <d v="2012-03-25T00:00:00"/>
    <n v="2000"/>
    <x v="5"/>
    <d v="2012-03-25T00:00:00"/>
    <s v="Y"/>
    <s v="SURETY"/>
    <s v="DEFERRED ADJUDICATION "/>
    <n v="3"/>
    <n v="21"/>
    <n v="0"/>
    <n v="2"/>
    <m/>
    <m/>
    <m/>
    <m/>
    <m/>
    <m/>
    <m/>
    <s v="S"/>
    <m/>
    <d v="1991-04-19T00:00:00"/>
    <s v="M"/>
    <s v="H"/>
    <s v="HISPANIC"/>
    <s v="NULL"/>
    <s v="179"/>
    <s v="DEFERRED"/>
    <n v="3"/>
    <s v="DEFERRED"/>
    <m/>
    <m/>
    <m/>
    <s v="THEFT $1500-20K"/>
    <m/>
    <s v="FS"/>
    <s v="THEFT"/>
    <s v="def ajd glt revoked fraud  6/15/12 stj 7 mos"/>
    <m/>
    <m/>
    <m/>
    <m/>
    <m/>
    <m/>
    <m/>
    <m/>
    <s v="Appointed Attorney"/>
    <m/>
    <m/>
    <n v="3"/>
    <n v="19"/>
    <n v="21"/>
    <n v="20.879781420765028"/>
    <n v="0"/>
    <n v="-16"/>
    <s v="DEFERRED"/>
    <x v="1"/>
    <s v="Y"/>
    <m/>
    <s v="DEFERRED"/>
    <s v="Y"/>
    <x v="1"/>
    <x v="0"/>
    <s v="N"/>
    <n v="0.14285714285714285"/>
    <n v="0.15789473684210525"/>
    <n v="1.5037593984962405E-2"/>
    <n v="0"/>
    <n v="-3"/>
    <n v="0"/>
    <n v="3"/>
    <e v="#VALUE!"/>
    <n v="3"/>
    <n v="0"/>
    <m/>
    <m/>
    <s v="Y"/>
    <m/>
    <s v="0-10 DAYS"/>
    <n v="1"/>
    <x v="0"/>
  </r>
  <r>
    <n v="516"/>
    <s v="N"/>
    <s v="N"/>
    <n v="2563275"/>
    <n v="1"/>
    <d v="2012-01-21T00:00:00"/>
    <d v="2012-04-04T00:00:00"/>
    <n v="2563275"/>
    <d v="2012-01-21T00:00:00"/>
    <d v="2012-01-22T00:00:00"/>
    <n v="2000"/>
    <x v="5"/>
    <d v="2012-01-22T00:00:00"/>
    <s v="Y"/>
    <s v="SURETY"/>
    <s v="DISMISSED"/>
    <n v="2"/>
    <n v="75"/>
    <n v="0"/>
    <n v="0"/>
    <m/>
    <m/>
    <m/>
    <m/>
    <m/>
    <m/>
    <m/>
    <m/>
    <m/>
    <d v="1993-11-19T00:00:00"/>
    <s v="M"/>
    <s v="W"/>
    <s v="WHITE"/>
    <s v="NULL"/>
    <s v="180"/>
    <s v="DISMISSED"/>
    <n v="5"/>
    <s v="DISMISSED"/>
    <m/>
    <m/>
    <m/>
    <s v="FORGERY GOVT FINANCIAL INST"/>
    <m/>
    <s v="F3"/>
    <s v="OTHER FEL"/>
    <s v="8/7/12 convic poss marij 2 days hcj"/>
    <m/>
    <m/>
    <m/>
    <m/>
    <m/>
    <m/>
    <m/>
    <m/>
    <s v="Hired Attorney"/>
    <m/>
    <m/>
    <n v="2"/>
    <n v="75"/>
    <n v="75"/>
    <n v="18.133879781420767"/>
    <n v="0"/>
    <n v="-73"/>
    <s v="NO CONVICTION"/>
    <x v="1"/>
    <s v="Y"/>
    <m/>
    <s v="NO CONVICTION"/>
    <s v="Y"/>
    <x v="1"/>
    <x v="0"/>
    <s v="N"/>
    <n v="2.6666666666666668E-2"/>
    <n v="2.6666666666666668E-2"/>
    <n v="0"/>
    <n v="0"/>
    <n v="-2"/>
    <n v="0"/>
    <n v="2"/>
    <e v="#VALUE!"/>
    <n v="2"/>
    <n v="0"/>
    <m/>
    <m/>
    <s v="N"/>
    <m/>
    <s v="0-10 DAYS"/>
    <n v="1"/>
    <x v="0"/>
  </r>
  <r>
    <n v="2509"/>
    <s v="N"/>
    <s v="N"/>
    <n v="2563389"/>
    <n v="4"/>
    <d v="2012-04-04T00:00:00"/>
    <d v="2013-05-09T00:00:00"/>
    <n v="2563389"/>
    <d v="2012-04-05T00:00:00"/>
    <d v="2012-06-28T00:00:00"/>
    <n v="30000"/>
    <x v="2"/>
    <d v="2012-06-28T00:00:00"/>
    <s v="Y"/>
    <s v="SURETY"/>
    <s v="GUILTY PLEA - NO JURY"/>
    <n v="85"/>
    <n v="401"/>
    <n v="0"/>
    <n v="1"/>
    <m/>
    <m/>
    <m/>
    <m/>
    <m/>
    <m/>
    <m/>
    <m/>
    <m/>
    <d v="1992-09-08T00:00:00"/>
    <s v="F"/>
    <s v="W"/>
    <s v="WHITE"/>
    <s v="NULL"/>
    <s v="263"/>
    <s v="CONVICTED"/>
    <n v="11"/>
    <s v="HCJ"/>
    <m/>
    <m/>
    <n v="120"/>
    <s v="AGG ROBBERY-DEADLY WPN"/>
    <m/>
    <s v="F1"/>
    <s v="ROBBERY"/>
    <m/>
    <m/>
    <m/>
    <m/>
    <m/>
    <m/>
    <m/>
    <m/>
    <m/>
    <s v="Hired Attorney"/>
    <m/>
    <m/>
    <n v="85"/>
    <n v="400"/>
    <n v="401"/>
    <n v="19.530054644808743"/>
    <n v="0"/>
    <n v="-315"/>
    <s v="CONVICTION"/>
    <x v="1"/>
    <s v="Y"/>
    <m/>
    <s v="CONVICTION"/>
    <s v="Y"/>
    <x v="1"/>
    <x v="0"/>
    <s v="N"/>
    <n v="0.21197007481296759"/>
    <n v="0.21249999999999999"/>
    <n v="5.2992518703240399E-4"/>
    <n v="0"/>
    <n v="-85"/>
    <n v="0"/>
    <n v="85"/>
    <e v="#VALUE!"/>
    <n v="85"/>
    <n v="0"/>
    <m/>
    <m/>
    <s v="Y"/>
    <m/>
    <s v="61-90 DAYS"/>
    <n v="4"/>
    <x v="0"/>
  </r>
  <r>
    <n v="2153"/>
    <s v="N"/>
    <s v="N"/>
    <n v="2563537"/>
    <n v="5"/>
    <d v="2012-03-21T00:00:00"/>
    <d v="2012-05-16T00:00:00"/>
    <n v="2563537"/>
    <d v="2012-03-22T00:00:00"/>
    <d v="2012-05-16T00:00:00"/>
    <n v="2000"/>
    <x v="5"/>
    <m/>
    <s v="N"/>
    <s v="NONE"/>
    <s v="GUILTY PLEA - NO JURY"/>
    <n v="56"/>
    <n v="57"/>
    <n v="0"/>
    <n v="0"/>
    <m/>
    <m/>
    <m/>
    <m/>
    <m/>
    <m/>
    <m/>
    <m/>
    <m/>
    <d v="1993-09-02T00:00:00"/>
    <s v="M"/>
    <s v="B"/>
    <s v="BLACK"/>
    <s v="NULL"/>
    <s v="351"/>
    <s v="CONVICTED"/>
    <n v="4"/>
    <s v="STJ"/>
    <m/>
    <n v="12"/>
    <m/>
    <s v="UNAUTH USE OF VEHICLE"/>
    <m/>
    <s v="FS"/>
    <s v="AUTO THEFT"/>
    <m/>
    <m/>
    <m/>
    <m/>
    <m/>
    <m/>
    <m/>
    <m/>
    <m/>
    <s v="Appointed Attorney"/>
    <m/>
    <m/>
    <n v="56"/>
    <n v="56"/>
    <n v="57"/>
    <n v="18.510928961748633"/>
    <n v="0"/>
    <n v="0"/>
    <s v="CONVICTION"/>
    <x v="0"/>
    <s v="N"/>
    <m/>
    <s v="CONVICTION"/>
    <s v="Y"/>
    <x v="0"/>
    <x v="0"/>
    <s v="N"/>
    <n v="0.98245614035087714"/>
    <n v="1"/>
    <n v="1.7543859649122862E-2"/>
    <n v="0"/>
    <n v="-56"/>
    <n v="0"/>
    <n v="56"/>
    <e v="#VALUE!"/>
    <n v="56"/>
    <n v="0"/>
    <m/>
    <m/>
    <s v="N"/>
    <m/>
    <s v="31-60 DAYS"/>
    <n v="3"/>
    <x v="0"/>
  </r>
  <r>
    <n v="359"/>
    <s v="N"/>
    <s v="N"/>
    <n v="2563540"/>
    <n v="6"/>
    <d v="2012-01-15T00:00:00"/>
    <d v="2012-04-20T00:00:00"/>
    <n v="2563540"/>
    <d v="2012-01-16T00:00:00"/>
    <d v="2012-04-20T00:00:00"/>
    <n v="35000"/>
    <x v="2"/>
    <m/>
    <s v="N"/>
    <s v="NONE"/>
    <s v="GUILTY PLEA - NO JURY"/>
    <n v="96"/>
    <n v="97"/>
    <n v="0"/>
    <n v="1"/>
    <m/>
    <m/>
    <m/>
    <m/>
    <m/>
    <m/>
    <m/>
    <s v="S"/>
    <m/>
    <d v="1984-07-28T00:00:00"/>
    <s v="M"/>
    <s v="H"/>
    <s v="HISPANIC"/>
    <s v="NULL"/>
    <s v="248"/>
    <s v="CONVICTED"/>
    <n v="6"/>
    <s v="TDC"/>
    <n v="1"/>
    <m/>
    <m/>
    <s v="SELL/POSS UNLAB/RCRD&gt;65 RCRD"/>
    <m/>
    <s v="F"/>
    <s v="POSS DRUG"/>
    <m/>
    <m/>
    <m/>
    <m/>
    <m/>
    <m/>
    <m/>
    <m/>
    <m/>
    <s v="Hired Attorney"/>
    <m/>
    <m/>
    <n v="96"/>
    <n v="96"/>
    <n v="97"/>
    <n v="27.409836065573771"/>
    <n v="0"/>
    <n v="0"/>
    <s v="CONVICTION"/>
    <x v="0"/>
    <s v="N"/>
    <m/>
    <s v="CONVICTION"/>
    <s v="Y"/>
    <x v="0"/>
    <x v="0"/>
    <s v="N"/>
    <n v="0.98969072164948457"/>
    <n v="1"/>
    <n v="1.0309278350515427E-2"/>
    <n v="0"/>
    <n v="-96"/>
    <n v="0"/>
    <n v="96"/>
    <e v="#VALUE!"/>
    <n v="96"/>
    <n v="0"/>
    <m/>
    <m/>
    <s v="Y"/>
    <m/>
    <s v="91-120 DAYS"/>
    <n v="0"/>
    <x v="0"/>
  </r>
  <r>
    <n v="188"/>
    <s v="N"/>
    <s v="N"/>
    <n v="2563977"/>
    <n v="4"/>
    <d v="2012-01-09T00:00:00"/>
    <d v="2012-06-12T00:00:00"/>
    <n v="2563977"/>
    <d v="2012-01-09T00:00:00"/>
    <d v="2012-01-10T00:00:00"/>
    <n v="5000"/>
    <x v="4"/>
    <d v="2012-01-10T00:00:00"/>
    <s v="Y"/>
    <s v="SURETY"/>
    <s v="GUILTY PLEA - NO JURY"/>
    <n v="2"/>
    <n v="156"/>
    <n v="0"/>
    <n v="1"/>
    <m/>
    <m/>
    <m/>
    <m/>
    <m/>
    <m/>
    <m/>
    <s v="S"/>
    <m/>
    <d v="1973-12-29T00:00:00"/>
    <s v="F"/>
    <s v="H"/>
    <s v="HISPANIC"/>
    <s v="NULL"/>
    <s v="174"/>
    <s v="CONVICTED"/>
    <n v="8"/>
    <s v="HCJ"/>
    <m/>
    <m/>
    <n v="30"/>
    <s v="POSS CS PG 1 &lt;1G"/>
    <m/>
    <s v="FS"/>
    <s v="POSS DRUG"/>
    <m/>
    <m/>
    <m/>
    <m/>
    <m/>
    <m/>
    <m/>
    <m/>
    <m/>
    <s v="Hired Attorney"/>
    <m/>
    <m/>
    <n v="2"/>
    <n v="156"/>
    <n v="156"/>
    <n v="37.950819672131146"/>
    <n v="0"/>
    <n v="-154"/>
    <s v="CONVICTION"/>
    <x v="1"/>
    <s v="Y"/>
    <m/>
    <s v="CONVICTION"/>
    <s v="Y"/>
    <x v="1"/>
    <x v="0"/>
    <s v="N"/>
    <n v="1.282051282051282E-2"/>
    <n v="1.282051282051282E-2"/>
    <n v="0"/>
    <n v="0"/>
    <n v="-2"/>
    <n v="0"/>
    <n v="2"/>
    <e v="#VALUE!"/>
    <n v="2"/>
    <n v="0"/>
    <m/>
    <m/>
    <s v="Y"/>
    <m/>
    <s v="0-10 DAYS"/>
    <n v="1"/>
    <x v="0"/>
  </r>
  <r>
    <n v="251"/>
    <s v="N"/>
    <s v="N"/>
    <n v="2564020"/>
    <n v="2"/>
    <d v="2012-01-11T00:00:00"/>
    <d v="2012-01-13T00:00:00"/>
    <n v="2564020"/>
    <d v="2012-01-13T00:00:00"/>
    <d v="2012-01-13T00:00:00"/>
    <s v="NO BOND"/>
    <x v="1"/>
    <m/>
    <s v="N"/>
    <s v="NONE"/>
    <s v="DEFERRED ADJUDICATION "/>
    <n v="1"/>
    <n v="3"/>
    <n v="1"/>
    <n v="1"/>
    <m/>
    <m/>
    <m/>
    <m/>
    <m/>
    <m/>
    <m/>
    <m/>
    <m/>
    <d v="1990-02-19T00:00:00"/>
    <s v="M"/>
    <s v="B"/>
    <s v="BLACK"/>
    <s v="NULL"/>
    <s v="228"/>
    <s v="DEFERRED"/>
    <n v="2"/>
    <s v="DEFERRED"/>
    <m/>
    <m/>
    <m/>
    <s v="CRIM MISCH &gt;=$1500 &lt;$20K"/>
    <m/>
    <s v="FS"/>
    <s v="OTHER FEL"/>
    <s v="5/23/12  feltheft  P revoked stj 10 mos"/>
    <m/>
    <m/>
    <m/>
    <m/>
    <m/>
    <m/>
    <m/>
    <m/>
    <s v="Appointed Attorney"/>
    <m/>
    <m/>
    <n v="1"/>
    <n v="1"/>
    <n v="3"/>
    <n v="21.846994535519126"/>
    <n v="0"/>
    <n v="0"/>
    <s v="DEFERRED"/>
    <x v="0"/>
    <s v="N"/>
    <m/>
    <s v="DEFERRED"/>
    <s v="Y"/>
    <x v="0"/>
    <x v="0"/>
    <s v="Y"/>
    <n v="0.33333333333333331"/>
    <n v="1"/>
    <n v="0.66666666666666674"/>
    <n v="0"/>
    <n v="-1"/>
    <n v="0"/>
    <n v="1"/>
    <e v="#VALUE!"/>
    <n v="1"/>
    <n v="0"/>
    <m/>
    <m/>
    <s v="Y"/>
    <m/>
    <s v="0-10 DAYS"/>
    <n v="1"/>
    <x v="0"/>
  </r>
  <r>
    <n v="2167"/>
    <s v="N"/>
    <s v="N"/>
    <n v="2564677"/>
    <n v="6"/>
    <d v="2012-03-22T00:00:00"/>
    <d v="2012-12-27T00:00:00"/>
    <n v="2564677"/>
    <d v="2012-03-23T00:00:00"/>
    <d v="2012-03-27T00:00:00"/>
    <n v="30000"/>
    <x v="2"/>
    <d v="2012-03-27T00:00:00"/>
    <s v="Y"/>
    <s v="SURETYPTRc"/>
    <s v="GUILTY PLEA - NO JURY"/>
    <n v="5"/>
    <n v="281"/>
    <n v="0"/>
    <n v="2"/>
    <m/>
    <m/>
    <m/>
    <m/>
    <m/>
    <m/>
    <m/>
    <m/>
    <m/>
    <d v="1992-03-03T00:00:00"/>
    <s v="M"/>
    <s v="B"/>
    <s v="BLACK"/>
    <s v="NULL"/>
    <s v="248"/>
    <s v="CONVICTED"/>
    <n v="12"/>
    <s v="TDC"/>
    <n v="6"/>
    <m/>
    <m/>
    <s v="BURGLARY OF HABITATION"/>
    <m/>
    <s v="F2"/>
    <s v="BURGLARY"/>
    <m/>
    <m/>
    <m/>
    <m/>
    <m/>
    <m/>
    <m/>
    <m/>
    <m/>
    <s v="Appointed Attorney"/>
    <m/>
    <m/>
    <n v="5"/>
    <n v="280"/>
    <n v="281"/>
    <n v="20.010928961748633"/>
    <n v="0"/>
    <n v="-275"/>
    <s v="CONVICTION"/>
    <x v="1"/>
    <s v="Y"/>
    <m/>
    <s v="CONVICTION"/>
    <s v="Y"/>
    <x v="1"/>
    <x v="0"/>
    <s v="N"/>
    <n v="1.7793594306049824E-2"/>
    <n v="1.7857142857142856E-2"/>
    <n v="6.3548551093032396E-5"/>
    <n v="0"/>
    <n v="-5"/>
    <n v="0"/>
    <n v="5"/>
    <e v="#VALUE!"/>
    <n v="5"/>
    <n v="0"/>
    <m/>
    <m/>
    <s v="Y"/>
    <m/>
    <s v="0-10 DAYS"/>
    <n v="1"/>
    <x v="0"/>
  </r>
  <r>
    <n v="1731"/>
    <s v="N"/>
    <s v="N"/>
    <n v="2564774"/>
    <n v="6"/>
    <d v="2012-03-05T00:00:00"/>
    <d v="2012-06-13T00:00:00"/>
    <n v="2564774"/>
    <d v="2012-03-22T00:00:00"/>
    <d v="2012-06-13T00:00:00"/>
    <s v="NO BOND"/>
    <x v="1"/>
    <m/>
    <s v="N"/>
    <s v="NONE"/>
    <s v="GUILTY PLEA - NO JURY"/>
    <n v="84"/>
    <n v="101"/>
    <n v="0"/>
    <n v="0"/>
    <m/>
    <m/>
    <m/>
    <m/>
    <m/>
    <m/>
    <m/>
    <m/>
    <m/>
    <d v="1961-12-21T00:00:00"/>
    <s v="M"/>
    <s v="B"/>
    <s v="BLACK"/>
    <s v="NULL"/>
    <s v="263"/>
    <s v="CONVICTED"/>
    <n v="4"/>
    <s v="TDC"/>
    <n v="10"/>
    <m/>
    <m/>
    <s v="FAIL TO COMPLY AS SEX OFFENDER"/>
    <m/>
    <s v="F3"/>
    <s v="OTHER FEL"/>
    <m/>
    <m/>
    <m/>
    <m/>
    <m/>
    <m/>
    <m/>
    <m/>
    <m/>
    <s v="Appointed Attorney"/>
    <m/>
    <m/>
    <n v="84"/>
    <n v="84"/>
    <n v="101"/>
    <n v="50.101092896174862"/>
    <n v="0"/>
    <n v="0"/>
    <s v="CONVICTION"/>
    <x v="0"/>
    <s v="N"/>
    <m/>
    <s v="CONVICTION"/>
    <s v="Y"/>
    <x v="0"/>
    <x v="0"/>
    <s v="N"/>
    <n v="0.83168316831683164"/>
    <n v="1"/>
    <n v="0.16831683168316836"/>
    <n v="0"/>
    <n v="-84"/>
    <n v="0"/>
    <n v="84"/>
    <e v="#VALUE!"/>
    <n v="84"/>
    <n v="0"/>
    <m/>
    <m/>
    <s v="N"/>
    <m/>
    <s v="61-90 DAYS"/>
    <n v="4"/>
    <x v="0"/>
  </r>
  <r>
    <n v="2131"/>
    <s v="N"/>
    <s v="N"/>
    <n v="2565790"/>
    <n v="6"/>
    <d v="2012-03-20T00:00:00"/>
    <d v="2012-09-13T00:00:00"/>
    <n v="2565790"/>
    <d v="2012-03-21T00:00:00"/>
    <d v="2012-03-24T00:00:00"/>
    <n v="25000"/>
    <x v="2"/>
    <d v="2012-03-24T00:00:00"/>
    <s v="Y"/>
    <s v="SURETY"/>
    <s v="GUILTY PLEA - NO JURY"/>
    <n v="4"/>
    <n v="178"/>
    <n v="0"/>
    <n v="0"/>
    <m/>
    <m/>
    <m/>
    <m/>
    <m/>
    <m/>
    <m/>
    <m/>
    <m/>
    <d v="1983-08-19T00:00:00"/>
    <s v="M"/>
    <s v="H"/>
    <s v="HISPANIC"/>
    <s v="HISPANIC"/>
    <s v="263"/>
    <s v="CONVICTED"/>
    <n v="11"/>
    <s v="TDC"/>
    <n v="3"/>
    <m/>
    <m/>
    <s v="POSS CS PG 1  1 - 4 GRAMS"/>
    <m/>
    <s v="F3"/>
    <s v="POSS DRUG"/>
    <m/>
    <m/>
    <m/>
    <m/>
    <m/>
    <m/>
    <m/>
    <m/>
    <m/>
    <s v="Hired Attorney"/>
    <m/>
    <m/>
    <n v="4"/>
    <n v="177"/>
    <n v="178"/>
    <n v="28.527322404371585"/>
    <n v="0"/>
    <n v="-173"/>
    <s v="CONVICTION"/>
    <x v="1"/>
    <s v="Y"/>
    <m/>
    <s v="CONVICTION"/>
    <s v="Y"/>
    <x v="1"/>
    <x v="0"/>
    <s v="N"/>
    <n v="2.247191011235955E-2"/>
    <n v="2.2598870056497175E-2"/>
    <n v="1.2695994413762512E-4"/>
    <n v="0"/>
    <n v="-4"/>
    <n v="0"/>
    <n v="4"/>
    <e v="#VALUE!"/>
    <n v="4"/>
    <n v="0"/>
    <m/>
    <m/>
    <s v="N"/>
    <m/>
    <s v="0-10 DAYS"/>
    <n v="1"/>
    <x v="0"/>
  </r>
  <r>
    <n v="141"/>
    <s v="N"/>
    <s v="N"/>
    <n v="2566472"/>
    <n v="1"/>
    <d v="2012-01-07T00:00:00"/>
    <d v="2012-01-31T00:00:00"/>
    <n v="2566472"/>
    <d v="2012-01-07T00:00:00"/>
    <d v="2012-01-31T00:00:00"/>
    <s v="NO BOND"/>
    <x v="1"/>
    <m/>
    <s v="N"/>
    <s v="NONE"/>
    <s v="DISMISSED"/>
    <n v="25"/>
    <n v="25"/>
    <n v="0"/>
    <n v="0"/>
    <m/>
    <m/>
    <m/>
    <m/>
    <m/>
    <m/>
    <m/>
    <m/>
    <m/>
    <d v="1981-01-21T00:00:00"/>
    <s v="M"/>
    <s v="B"/>
    <s v="BLACK"/>
    <s v="NON-HISPANIC"/>
    <s v="184"/>
    <s v="DISMISSED"/>
    <n v="4"/>
    <s v="DISMISSED"/>
    <m/>
    <m/>
    <m/>
    <s v="POSS CS PG 4 OVER 400 GRAMS"/>
    <m/>
    <s v="F1"/>
    <s v="POSS DRUG"/>
    <s v="5/8/12 auto th "/>
    <m/>
    <m/>
    <m/>
    <m/>
    <m/>
    <m/>
    <m/>
    <m/>
    <s v="Appointed Attorney"/>
    <m/>
    <m/>
    <n v="25"/>
    <n v="25"/>
    <n v="25"/>
    <n v="30.896174863387976"/>
    <n v="0"/>
    <n v="0"/>
    <s v="NO CONVICTION"/>
    <x v="0"/>
    <s v="N"/>
    <m/>
    <s v="NO CONVICTION"/>
    <s v="Y"/>
    <x v="0"/>
    <x v="0"/>
    <s v="N"/>
    <n v="1"/>
    <n v="1"/>
    <n v="0"/>
    <n v="0"/>
    <n v="-25"/>
    <n v="0"/>
    <n v="25"/>
    <e v="#VALUE!"/>
    <n v="25"/>
    <n v="0"/>
    <m/>
    <m/>
    <s v="N"/>
    <m/>
    <s v="11-30 DAYS"/>
    <n v="2"/>
    <x v="0"/>
  </r>
  <r>
    <n v="228"/>
    <s v="N"/>
    <s v="N"/>
    <n v="2566514"/>
    <n v="6"/>
    <d v="2012-01-13T00:00:00"/>
    <d v="2012-10-24T00:00:00"/>
    <n v="2566514"/>
    <d v="2012-07-18T00:00:00"/>
    <d v="2012-10-24T00:00:00"/>
    <n v="10000"/>
    <x v="3"/>
    <m/>
    <s v="N"/>
    <s v="NONE"/>
    <s v="GUILTY PLEA - NO JURY"/>
    <n v="99"/>
    <n v="286"/>
    <n v="1"/>
    <n v="0"/>
    <m/>
    <m/>
    <m/>
    <m/>
    <m/>
    <m/>
    <m/>
    <m/>
    <m/>
    <d v="1991-10-08T00:00:00"/>
    <s v="M"/>
    <s v="W"/>
    <s v="WHITE"/>
    <s v="NULL"/>
    <s v="338"/>
    <s v="CONVICTED"/>
    <n v="6"/>
    <s v="TDC"/>
    <n v="2"/>
    <m/>
    <m/>
    <s v="BURGLARY OF HABITATION"/>
    <m/>
    <s v="F2"/>
    <s v="BURGLARY"/>
    <m/>
    <m/>
    <m/>
    <m/>
    <m/>
    <m/>
    <m/>
    <m/>
    <m/>
    <s v="Appointed Attorney"/>
    <m/>
    <m/>
    <n v="98"/>
    <n v="98"/>
    <n v="286"/>
    <n v="20.224043715846996"/>
    <n v="0"/>
    <n v="0"/>
    <s v="CONVICTION"/>
    <x v="0"/>
    <s v="N"/>
    <m/>
    <s v="CONVICTION"/>
    <s v="Y"/>
    <x v="0"/>
    <x v="0"/>
    <s v="Y"/>
    <n v="0.34615384615384615"/>
    <n v="1"/>
    <n v="0.65384615384615385"/>
    <n v="1"/>
    <n v="-99"/>
    <n v="-1"/>
    <n v="99"/>
    <n v="98"/>
    <n v="99"/>
    <n v="0"/>
    <m/>
    <m/>
    <s v="Y"/>
    <m/>
    <s v="91-120 DAYS"/>
    <n v="0"/>
    <x v="0"/>
  </r>
  <r>
    <n v="2906"/>
    <s v="N"/>
    <s v="N"/>
    <n v="2566544"/>
    <n v="4"/>
    <d v="2012-04-16T00:00:00"/>
    <d v="2012-05-29T00:00:00"/>
    <n v="2566544"/>
    <d v="2012-04-23T00:00:00"/>
    <d v="2012-05-29T00:00:00"/>
    <n v="10000"/>
    <x v="3"/>
    <m/>
    <s v="N"/>
    <s v="NONE"/>
    <s v="GUILTY PLEA - NO JURY"/>
    <n v="37"/>
    <n v="44"/>
    <n v="0"/>
    <n v="0"/>
    <m/>
    <m/>
    <m/>
    <m/>
    <m/>
    <m/>
    <m/>
    <m/>
    <m/>
    <d v="1993-06-11T00:00:00"/>
    <s v="F"/>
    <s v="B"/>
    <s v="BLACK"/>
    <s v="NULL"/>
    <s v="209"/>
    <s v="CONVICTED"/>
    <n v="4"/>
    <s v="HCJ"/>
    <m/>
    <m/>
    <n v="60"/>
    <s v="BURGLARY OF HABITATION"/>
    <m/>
    <s v="F2"/>
    <s v="BURGLARY"/>
    <s v="5/29/12  disp hcj 60 d tresspass oth felony"/>
    <m/>
    <m/>
    <m/>
    <m/>
    <m/>
    <m/>
    <m/>
    <m/>
    <s v="Appointed Attorney"/>
    <m/>
    <m/>
    <n v="33"/>
    <n v="37"/>
    <n v="44"/>
    <n v="18.808743169398905"/>
    <n v="0"/>
    <n v="0"/>
    <s v="CONVICTION"/>
    <x v="0"/>
    <s v="N"/>
    <m/>
    <s v="CONVICTION"/>
    <s v="Y"/>
    <x v="0"/>
    <x v="0"/>
    <s v="N"/>
    <n v="0.84090909090909094"/>
    <n v="1"/>
    <n v="0.15909090909090906"/>
    <n v="4"/>
    <n v="-37"/>
    <n v="-4"/>
    <n v="37"/>
    <n v="33"/>
    <n v="37"/>
    <n v="0"/>
    <m/>
    <m/>
    <s v="N"/>
    <m/>
    <s v="31-60 DAYS"/>
    <n v="3"/>
    <x v="0"/>
  </r>
  <r>
    <n v="2685"/>
    <s v="Y"/>
    <s v="N"/>
    <n v="2566640"/>
    <n v="1"/>
    <d v="2012-04-09T00:00:00"/>
    <d v="2012-04-11T00:00:00"/>
    <n v="2566640"/>
    <d v="2012-04-10T00:00:00"/>
    <d v="2012-04-11T00:00:00"/>
    <n v="2000"/>
    <x v="5"/>
    <m/>
    <s v="N"/>
    <s v="NONE"/>
    <s v="DISMISSED"/>
    <n v="2"/>
    <n v="3"/>
    <n v="0"/>
    <n v="2"/>
    <m/>
    <m/>
    <m/>
    <m/>
    <m/>
    <m/>
    <m/>
    <m/>
    <m/>
    <d v="1994-01-12T00:00:00"/>
    <s v="M"/>
    <s v="B"/>
    <s v="BLACK"/>
    <s v="NON-HISPANIC"/>
    <s v="176"/>
    <s v="DISMISSED"/>
    <n v="1"/>
    <s v="DISMISSED"/>
    <m/>
    <m/>
    <m/>
    <s v="THEFT OF FIREARM"/>
    <m/>
    <s v="FS"/>
    <s v="THEFT"/>
    <m/>
    <m/>
    <m/>
    <m/>
    <m/>
    <m/>
    <m/>
    <m/>
    <m/>
    <s v="Other/Unknown"/>
    <s v="8/19/13 pcs tdc 2y"/>
    <m/>
    <n v="2"/>
    <n v="2"/>
    <n v="3"/>
    <n v="18.202185792349727"/>
    <n v="0"/>
    <n v="0"/>
    <s v="NO CONVICTION"/>
    <x v="0"/>
    <s v="N"/>
    <m/>
    <s v="NO 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2182"/>
    <s v="N"/>
    <s v="N"/>
    <n v="2567675"/>
    <n v="1"/>
    <d v="2012-03-22T00:00:00"/>
    <d v="2012-11-28T00:00:00"/>
    <n v="2567675"/>
    <s v="NOT BOOKED"/>
    <s v="NOT BOOKED"/>
    <n v="2000"/>
    <x v="5"/>
    <d v="2012-06-02T00:00:00"/>
    <s v="Y"/>
    <s v="SURETY"/>
    <s v="DISMISSED"/>
    <n v="0"/>
    <n v="252"/>
    <n v="0"/>
    <n v="0"/>
    <m/>
    <m/>
    <m/>
    <m/>
    <m/>
    <m/>
    <m/>
    <m/>
    <m/>
    <d v="1994-03-27T00:00:00"/>
    <s v="F"/>
    <s v="B"/>
    <s v="BLACK"/>
    <s v="NULL"/>
    <s v="208"/>
    <s v="DISMISSED"/>
    <n v="8"/>
    <s v="DISMISSED"/>
    <m/>
    <m/>
    <m/>
    <s v="THEFT $1500-20K"/>
    <m/>
    <s v="FS"/>
    <s v="THEFT"/>
    <m/>
    <m/>
    <m/>
    <m/>
    <m/>
    <m/>
    <m/>
    <m/>
    <m/>
    <s v="Hired Attorney"/>
    <m/>
    <m/>
    <n v="0"/>
    <n v="0"/>
    <n v="252"/>
    <n v="17.950819672131146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325"/>
    <s v="N"/>
    <s v="N"/>
    <n v="2568019"/>
    <n v="2"/>
    <d v="2012-01-13T00:00:00"/>
    <d v="2013-04-01T00:00:00"/>
    <n v="2568019"/>
    <d v="2012-07-18T00:00:00"/>
    <d v="2012-07-20T00:00:00"/>
    <n v="60000"/>
    <x v="2"/>
    <d v="2012-07-20T00:00:00"/>
    <s v="Y"/>
    <s v="SURETY"/>
    <s v="DEFERRED ADJUDICATION "/>
    <n v="3"/>
    <n v="445"/>
    <n v="0"/>
    <n v="0"/>
    <m/>
    <m/>
    <m/>
    <m/>
    <m/>
    <m/>
    <m/>
    <m/>
    <m/>
    <d v="1980-07-14T00:00:00"/>
    <s v="M"/>
    <s v="W"/>
    <s v="WHITE"/>
    <s v="NULL"/>
    <s v="263"/>
    <s v="DEFERRED"/>
    <n v="10"/>
    <s v="DEFERRED"/>
    <m/>
    <m/>
    <m/>
    <s v="THEFT &gt;=$20,000 &lt;$100,000"/>
    <m/>
    <s v="F3"/>
    <s v="THEFT"/>
    <m/>
    <m/>
    <m/>
    <m/>
    <m/>
    <m/>
    <m/>
    <m/>
    <m/>
    <s v="Hired Attorney"/>
    <m/>
    <m/>
    <n v="4"/>
    <n v="258"/>
    <n v="445"/>
    <n v="31.434426229508198"/>
    <n v="0"/>
    <n v="-255"/>
    <s v="DEFERRED"/>
    <x v="1"/>
    <s v="N"/>
    <m/>
    <s v="DEFERRED"/>
    <s v="Y"/>
    <x v="1"/>
    <x v="0"/>
    <s v="N"/>
    <n v="6.7415730337078653E-3"/>
    <n v="1.1627906976744186E-2"/>
    <n v="4.8863339430363206E-3"/>
    <n v="-1"/>
    <n v="-3"/>
    <n v="0"/>
    <n v="3"/>
    <n v="4"/>
    <n v="3"/>
    <n v="-1"/>
    <m/>
    <m/>
    <s v="N"/>
    <m/>
    <s v="0-10 DAYS"/>
    <n v="1"/>
    <x v="0"/>
  </r>
  <r>
    <n v="1926"/>
    <s v="N"/>
    <s v="N"/>
    <n v="2568021"/>
    <n v="5"/>
    <d v="2012-03-13T00:00:00"/>
    <d v="2012-04-03T00:00:00"/>
    <n v="2568021"/>
    <d v="2012-03-13T00:00:00"/>
    <d v="2012-04-03T00:00:00"/>
    <s v="NO BOND"/>
    <x v="1"/>
    <m/>
    <s v="N"/>
    <s v="NONE"/>
    <s v="GUILTY PLEA - NO JURY"/>
    <n v="22"/>
    <n v="22"/>
    <n v="0"/>
    <n v="0"/>
    <m/>
    <m/>
    <m/>
    <m/>
    <m/>
    <m/>
    <m/>
    <m/>
    <m/>
    <d v="1986-01-22T00:00:00"/>
    <s v="M"/>
    <s v="W"/>
    <s v="WHITE"/>
    <s v="NULL"/>
    <s v="262"/>
    <s v="CONVICTED"/>
    <n v="3"/>
    <s v="STJ"/>
    <m/>
    <n v="6"/>
    <m/>
    <s v="POSS CS PG 1 &lt;1G"/>
    <m/>
    <s v="FS"/>
    <s v="POSS DRUG"/>
    <m/>
    <m/>
    <m/>
    <m/>
    <m/>
    <m/>
    <m/>
    <m/>
    <m/>
    <s v="Hired Attorney"/>
    <m/>
    <m/>
    <n v="22"/>
    <n v="22"/>
    <n v="22"/>
    <n v="26.084699453551913"/>
    <n v="0"/>
    <n v="0"/>
    <s v="CONVICTION"/>
    <x v="0"/>
    <s v="N"/>
    <m/>
    <s v="CONVICTION"/>
    <s v="Y"/>
    <x v="0"/>
    <x v="0"/>
    <s v="N"/>
    <n v="1"/>
    <n v="1"/>
    <n v="0"/>
    <n v="0"/>
    <n v="-22"/>
    <n v="0"/>
    <n v="22"/>
    <e v="#VALUE!"/>
    <n v="22"/>
    <n v="0"/>
    <m/>
    <m/>
    <s v="N"/>
    <m/>
    <s v="11-30 DAYS"/>
    <n v="2"/>
    <x v="0"/>
  </r>
  <r>
    <n v="2766"/>
    <s v="N"/>
    <s v="N"/>
    <n v="2568181"/>
    <n v="2"/>
    <d v="2012-04-12T00:00:00"/>
    <d v="2012-08-08T00:00:00"/>
    <n v="2568181"/>
    <d v="2012-04-13T00:00:00"/>
    <d v="2012-06-15T00:00:00"/>
    <n v="20000"/>
    <x v="0"/>
    <d v="2012-06-15T00:00:00"/>
    <s v="Y"/>
    <s v="SURETY"/>
    <s v="DEFERRED ADJUDICATION "/>
    <n v="64"/>
    <n v="119"/>
    <n v="1"/>
    <n v="1"/>
    <m/>
    <n v="1"/>
    <m/>
    <m/>
    <m/>
    <m/>
    <m/>
    <m/>
    <m/>
    <d v="1992-08-21T00:00:00"/>
    <s v="M"/>
    <s v="W"/>
    <s v="WHITE"/>
    <s v="NON-HISPANIC"/>
    <s v="178"/>
    <s v="DEFERRED"/>
    <n v="9"/>
    <s v="DEFERRED"/>
    <m/>
    <m/>
    <m/>
    <s v="INJURY CHILD UNDER 15 B/INJURY"/>
    <m/>
    <s v="F3"/>
    <s v="OTHER FEL"/>
    <s v="8/30/12 misd evade DADJ"/>
    <m/>
    <m/>
    <m/>
    <m/>
    <m/>
    <m/>
    <m/>
    <m/>
    <s v="Hired Attorney"/>
    <m/>
    <m/>
    <n v="64"/>
    <n v="118"/>
    <n v="119"/>
    <n v="19.601092896174862"/>
    <n v="0"/>
    <n v="-54"/>
    <s v="DEFERRED"/>
    <x v="1"/>
    <s v="Y"/>
    <m/>
    <s v="DEFERRED"/>
    <s v="Y"/>
    <x v="1"/>
    <x v="0"/>
    <s v="Y"/>
    <n v="0.53781512605042014"/>
    <n v="0.5423728813559322"/>
    <n v="4.5577553055120568E-3"/>
    <n v="0"/>
    <n v="-64"/>
    <n v="0"/>
    <n v="64"/>
    <e v="#VALUE!"/>
    <n v="64"/>
    <n v="0"/>
    <m/>
    <m/>
    <s v="Y"/>
    <m/>
    <s v="61-90 DAYS"/>
    <n v="4"/>
    <x v="0"/>
  </r>
  <r>
    <n v="534"/>
    <s v="N"/>
    <s v="N"/>
    <n v="2568226"/>
    <n v="4"/>
    <d v="2012-01-22T00:00:00"/>
    <d v="2012-01-24T00:00:00"/>
    <n v="2568226"/>
    <d v="2012-01-22T00:00:00"/>
    <d v="2012-01-24T00:00:00"/>
    <n v="2000"/>
    <x v="5"/>
    <m/>
    <s v="N"/>
    <s v="NONE"/>
    <s v="GUILTY PLEA - NO JURY"/>
    <n v="3"/>
    <n v="3"/>
    <n v="0"/>
    <n v="1"/>
    <m/>
    <m/>
    <m/>
    <m/>
    <m/>
    <m/>
    <m/>
    <m/>
    <m/>
    <d v="1986-12-16T00:00:00"/>
    <s v="M"/>
    <s v="W"/>
    <s v="WHITE"/>
    <s v="NULL"/>
    <s v="176"/>
    <s v="CONVICTED"/>
    <n v="2"/>
    <s v="HCJ"/>
    <m/>
    <m/>
    <n v="90"/>
    <s v="POSS CS PG 1 &lt;1G"/>
    <m/>
    <s v="FS"/>
    <s v="POSS DRUG"/>
    <m/>
    <m/>
    <m/>
    <m/>
    <m/>
    <m/>
    <m/>
    <m/>
    <m/>
    <s v="Appointed Attorney"/>
    <m/>
    <m/>
    <n v="3"/>
    <n v="3"/>
    <n v="3"/>
    <n v="25.049180327868854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380"/>
    <s v="N"/>
    <s v="N"/>
    <n v="2568527"/>
    <n v="1"/>
    <d v="2012-01-16T00:00:00"/>
    <d v="2012-09-06T00:00:00"/>
    <n v="2568527"/>
    <d v="2012-01-17T00:00:00"/>
    <d v="2012-01-23T00:00:00"/>
    <n v="5000"/>
    <x v="4"/>
    <d v="2012-01-23T00:00:00"/>
    <s v="Y"/>
    <s v="SURETY"/>
    <s v="DISMISSED"/>
    <n v="7"/>
    <n v="235"/>
    <n v="0"/>
    <n v="0"/>
    <m/>
    <m/>
    <m/>
    <m/>
    <m/>
    <m/>
    <m/>
    <m/>
    <m/>
    <d v="1991-10-04T00:00:00"/>
    <s v="F"/>
    <s v="B"/>
    <s v="BLACK"/>
    <s v="NULL"/>
    <s v="178"/>
    <s v="DISMISSED"/>
    <n v="10"/>
    <s v="DISMISSED"/>
    <m/>
    <m/>
    <m/>
    <s v="POSS CS PG 1  1 - 4 GRAMS"/>
    <m/>
    <s v="F3"/>
    <s v="POSS DRUG"/>
    <m/>
    <m/>
    <m/>
    <m/>
    <m/>
    <m/>
    <m/>
    <m/>
    <m/>
    <s v="Public Defender"/>
    <m/>
    <m/>
    <n v="7"/>
    <n v="234"/>
    <n v="235"/>
    <n v="20.243169398907103"/>
    <n v="0"/>
    <n v="-227"/>
    <s v="NO CONVICTION"/>
    <x v="1"/>
    <s v="Y"/>
    <m/>
    <s v="NO CONVICTION"/>
    <s v="Y"/>
    <x v="1"/>
    <x v="0"/>
    <s v="N"/>
    <n v="2.9787234042553193E-2"/>
    <n v="2.9914529914529916E-2"/>
    <n v="1.2729587197672296E-4"/>
    <n v="0"/>
    <n v="-7"/>
    <n v="0"/>
    <n v="7"/>
    <e v="#VALUE!"/>
    <n v="7"/>
    <n v="0"/>
    <m/>
    <m/>
    <s v="N"/>
    <m/>
    <s v="0-10 DAYS"/>
    <n v="1"/>
    <x v="0"/>
  </r>
  <r>
    <n v="2896"/>
    <s v="N"/>
    <s v="N"/>
    <n v="2568795"/>
    <n v="2"/>
    <d v="2012-04-17T00:00:00"/>
    <d v="2012-07-19T00:00:00"/>
    <n v="2568795"/>
    <d v="2012-04-19T00:00:00"/>
    <d v="2012-04-20T00:00:00"/>
    <n v="10000"/>
    <x v="3"/>
    <d v="2012-04-20T00:00:00"/>
    <s v="Y"/>
    <s v="SURETY"/>
    <s v="DEFERRED ADJUDICATION "/>
    <n v="2"/>
    <n v="94"/>
    <n v="0"/>
    <n v="0"/>
    <m/>
    <m/>
    <m/>
    <m/>
    <m/>
    <m/>
    <m/>
    <m/>
    <m/>
    <d v="1975-10-01T00:00:00"/>
    <s v="M"/>
    <s v="B"/>
    <s v="BLACK"/>
    <s v="NULL"/>
    <s v="184"/>
    <s v="DEFERRED"/>
    <n v="6"/>
    <s v="DEFERRED"/>
    <m/>
    <m/>
    <m/>
    <s v="POSS/ATT POSS CS BY FRAUD SCH"/>
    <m/>
    <s v="F3"/>
    <s v="SALE DRUG"/>
    <m/>
    <m/>
    <m/>
    <m/>
    <m/>
    <m/>
    <m/>
    <m/>
    <m/>
    <s v="Hired Attorney"/>
    <m/>
    <m/>
    <n v="2"/>
    <n v="92"/>
    <n v="94"/>
    <n v="36.469945355191257"/>
    <n v="0"/>
    <n v="-90"/>
    <s v="DEFERRED"/>
    <x v="1"/>
    <s v="Y"/>
    <m/>
    <s v="DEFERRED"/>
    <s v="Y"/>
    <x v="1"/>
    <x v="0"/>
    <s v="N"/>
    <n v="2.1276595744680851E-2"/>
    <n v="2.1739130434782608E-2"/>
    <n v="4.6253469010175755E-4"/>
    <n v="0"/>
    <n v="-2"/>
    <n v="0"/>
    <n v="2"/>
    <e v="#VALUE!"/>
    <n v="2"/>
    <n v="0"/>
    <m/>
    <m/>
    <s v="N"/>
    <m/>
    <s v="0-10 DAYS"/>
    <n v="1"/>
    <x v="0"/>
  </r>
  <r>
    <n v="2778"/>
    <s v="N"/>
    <s v="N"/>
    <n v="2569108"/>
    <n v="1"/>
    <d v="2012-04-12T00:00:00"/>
    <d v="2012-08-29T00:00:00"/>
    <n v="2569108"/>
    <d v="2012-04-13T00:00:00"/>
    <d v="2012-08-29T00:00:00"/>
    <n v="5000"/>
    <x v="4"/>
    <m/>
    <s v="N"/>
    <s v="NONE"/>
    <s v="DISMISSED"/>
    <n v="139"/>
    <n v="140"/>
    <n v="0"/>
    <n v="2"/>
    <m/>
    <m/>
    <m/>
    <m/>
    <m/>
    <m/>
    <m/>
    <m/>
    <m/>
    <d v="1994-06-03T00:00:00"/>
    <s v="M"/>
    <s v="B"/>
    <s v="BLACK"/>
    <s v="NULL"/>
    <s v="228"/>
    <s v="DISMISSED"/>
    <n v="3"/>
    <s v="DISMISSED"/>
    <m/>
    <m/>
    <m/>
    <s v="POSS CS PG 1  1 - 4 GRAMS"/>
    <m/>
    <s v="F3"/>
    <s v="POSS DRUG"/>
    <s v="9/18/12 fel tampering d adj"/>
    <m/>
    <m/>
    <m/>
    <m/>
    <m/>
    <m/>
    <m/>
    <m/>
    <s v="Appointed Attorney"/>
    <m/>
    <m/>
    <n v="139"/>
    <n v="139"/>
    <n v="140"/>
    <n v="17.8224043715847"/>
    <n v="0"/>
    <n v="0"/>
    <s v="NO CONVICTION"/>
    <x v="0"/>
    <s v="N"/>
    <m/>
    <s v="NO CONVICTION"/>
    <s v="Y"/>
    <x v="0"/>
    <x v="0"/>
    <s v="N"/>
    <n v="0.99285714285714288"/>
    <n v="1"/>
    <n v="7.1428571428571175E-3"/>
    <n v="0"/>
    <n v="-139"/>
    <n v="0"/>
    <n v="139"/>
    <e v="#VALUE!"/>
    <n v="139"/>
    <n v="0"/>
    <m/>
    <m/>
    <s v="Y"/>
    <m/>
    <s v="121-365 DAYS"/>
    <n v="6"/>
    <x v="0"/>
  </r>
  <r>
    <n v="1886"/>
    <s v="N"/>
    <s v="N"/>
    <n v="2569461"/>
    <n v="4"/>
    <d v="2012-03-10T00:00:00"/>
    <d v="2012-03-12T00:00:00"/>
    <n v="2569461"/>
    <d v="2012-03-10T00:00:00"/>
    <d v="2012-03-12T00:00:00"/>
    <n v="15000"/>
    <x v="0"/>
    <m/>
    <s v="N"/>
    <s v="NONE"/>
    <s v="GUILTY PLEA - NO JURY"/>
    <n v="3"/>
    <n v="3"/>
    <n v="0"/>
    <n v="3"/>
    <m/>
    <m/>
    <m/>
    <m/>
    <m/>
    <m/>
    <m/>
    <m/>
    <m/>
    <d v="1956-01-07T00:00:00"/>
    <s v="M"/>
    <s v="B"/>
    <s v="BLACK"/>
    <s v="NON-HISPANIC"/>
    <s v="179"/>
    <s v="CONVICTED"/>
    <n v="1"/>
    <s v="HCJ"/>
    <m/>
    <m/>
    <n v="60"/>
    <s v="POSS CS PG 1 &lt;1G"/>
    <m/>
    <s v="FS"/>
    <s v="POSS DRUG"/>
    <m/>
    <m/>
    <m/>
    <m/>
    <m/>
    <m/>
    <m/>
    <m/>
    <m/>
    <s v="Appointed Attorney"/>
    <m/>
    <m/>
    <n v="3"/>
    <n v="3"/>
    <n v="3"/>
    <n v="56.057377049180324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2432"/>
    <s v="N"/>
    <s v="N"/>
    <n v="2569619"/>
    <n v="2"/>
    <d v="2012-04-01T00:00:00"/>
    <d v="2012-04-10T00:00:00"/>
    <n v="2569619"/>
    <d v="2012-04-01T00:00:00"/>
    <d v="2012-04-10T00:00:00"/>
    <n v="2000"/>
    <x v="5"/>
    <m/>
    <s v="N"/>
    <s v="NONE"/>
    <s v="DEFERRED ADJUDICATION "/>
    <n v="10"/>
    <n v="10"/>
    <n v="0"/>
    <n v="0"/>
    <m/>
    <m/>
    <m/>
    <m/>
    <m/>
    <m/>
    <m/>
    <m/>
    <m/>
    <d v="1994-05-26T00:00:00"/>
    <s v="M"/>
    <s v="W"/>
    <s v="WHITE"/>
    <s v="NULL"/>
    <s v="179"/>
    <s v="DEFERRED"/>
    <n v="3"/>
    <s v="DEFERRED"/>
    <m/>
    <m/>
    <m/>
    <s v="FORGERY"/>
    <m/>
    <s v="FS"/>
    <s v="OTHER FEL"/>
    <m/>
    <m/>
    <m/>
    <m/>
    <m/>
    <m/>
    <m/>
    <m/>
    <m/>
    <s v="Appointed Attorney"/>
    <m/>
    <m/>
    <n v="10"/>
    <n v="10"/>
    <n v="10"/>
    <n v="17.814207650273225"/>
    <n v="0"/>
    <n v="0"/>
    <s v="DEFERRED"/>
    <x v="0"/>
    <s v="N"/>
    <m/>
    <s v="DEFERRED"/>
    <s v="Y"/>
    <x v="0"/>
    <x v="0"/>
    <s v="N"/>
    <n v="1"/>
    <n v="1"/>
    <n v="0"/>
    <n v="0"/>
    <n v="-10"/>
    <n v="0"/>
    <n v="10"/>
    <e v="#VALUE!"/>
    <n v="10"/>
    <n v="0"/>
    <m/>
    <m/>
    <s v="N"/>
    <m/>
    <s v="0-10 DAYS"/>
    <n v="1"/>
    <x v="0"/>
  </r>
  <r>
    <n v="1826"/>
    <s v="N"/>
    <s v="N"/>
    <n v="2570237"/>
    <n v="1"/>
    <d v="2012-03-08T00:00:00"/>
    <d v="2012-05-03T00:00:00"/>
    <n v="2570237"/>
    <d v="2012-03-09T00:00:00"/>
    <d v="2012-04-15T00:00:00"/>
    <n v="10000"/>
    <x v="3"/>
    <d v="2012-04-15T00:00:00"/>
    <s v="Y"/>
    <s v="SURETY"/>
    <s v="DISMISSED"/>
    <n v="38"/>
    <n v="57"/>
    <n v="0"/>
    <n v="0"/>
    <m/>
    <m/>
    <m/>
    <m/>
    <m/>
    <m/>
    <m/>
    <m/>
    <m/>
    <d v="1990-12-25T00:00:00"/>
    <s v="M"/>
    <s v="B"/>
    <s v="BLACK"/>
    <s v="NON-HISPANIC"/>
    <s v="185"/>
    <s v="DISMISSED"/>
    <n v="4"/>
    <s v="DISMISSED"/>
    <m/>
    <m/>
    <m/>
    <s v="ROBBERY-THREATS"/>
    <m/>
    <s v="F2"/>
    <s v="ROBBERY"/>
    <s v="misd drug  2/5/13 hcj 82 d"/>
    <m/>
    <m/>
    <m/>
    <m/>
    <m/>
    <m/>
    <m/>
    <m/>
    <s v="Hired Attorney"/>
    <m/>
    <m/>
    <n v="38"/>
    <n v="56"/>
    <n v="57"/>
    <n v="21.15846994535519"/>
    <n v="0"/>
    <n v="-18"/>
    <s v="NO CONVICTION"/>
    <x v="1"/>
    <s v="Y"/>
    <m/>
    <s v="NO CONVICTION"/>
    <s v="Y"/>
    <x v="1"/>
    <x v="0"/>
    <s v="N"/>
    <n v="0.66666666666666663"/>
    <n v="0.6785714285714286"/>
    <n v="1.1904761904761973E-2"/>
    <n v="0"/>
    <n v="-38"/>
    <n v="0"/>
    <n v="38"/>
    <e v="#VALUE!"/>
    <n v="38"/>
    <n v="0"/>
    <m/>
    <m/>
    <s v="N"/>
    <m/>
    <s v="31-60 DAYS"/>
    <n v="3"/>
    <x v="0"/>
  </r>
  <r>
    <n v="2451"/>
    <s v="N"/>
    <s v="N"/>
    <n v="2570301"/>
    <n v="2"/>
    <d v="2012-04-02T00:00:00"/>
    <d v="2012-06-07T00:00:00"/>
    <n v="2570301"/>
    <s v="NOT BOOKED"/>
    <s v="NOT BOOKED"/>
    <n v="2000"/>
    <x v="5"/>
    <d v="2012-04-04T00:00:00"/>
    <s v="Y"/>
    <s v="SURETY"/>
    <s v="DEFERRED ADJUDICATION "/>
    <n v="0"/>
    <n v="67"/>
    <n v="0"/>
    <n v="2"/>
    <m/>
    <m/>
    <m/>
    <m/>
    <m/>
    <m/>
    <m/>
    <s v="S"/>
    <m/>
    <d v="1968-01-02T00:00:00"/>
    <s v="M"/>
    <s v="H"/>
    <s v="HISPANIC"/>
    <s v="NULL"/>
    <s v="262"/>
    <s v="DEFERRED"/>
    <n v="5"/>
    <s v="DEFERRED"/>
    <m/>
    <m/>
    <m/>
    <s v="POSS CS PG 1 &lt;1G"/>
    <m/>
    <s v="FS"/>
    <s v="POSS DRUG"/>
    <s v="LAWVrev 8/21/12 stj 7mos"/>
    <m/>
    <m/>
    <m/>
    <m/>
    <m/>
    <m/>
    <m/>
    <m/>
    <s v="Hired Attorney"/>
    <m/>
    <m/>
    <n v="0"/>
    <n v="0"/>
    <n v="67"/>
    <n v="44.158469945355193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Y"/>
    <m/>
    <s v="0-10 DAYS"/>
    <n v="1"/>
    <x v="1"/>
  </r>
  <r>
    <n v="750"/>
    <s v="N"/>
    <s v="N"/>
    <n v="2570352"/>
    <n v="2"/>
    <d v="2012-01-30T00:00:00"/>
    <d v="2012-09-17T00:00:00"/>
    <n v="2570352"/>
    <d v="2012-02-07T00:00:00"/>
    <d v="2012-09-17T00:00:00"/>
    <n v="10000"/>
    <x v="3"/>
    <m/>
    <s v="N"/>
    <s v="NONE"/>
    <s v="DEFERRED ADJUDICATION "/>
    <n v="224"/>
    <n v="232"/>
    <n v="0"/>
    <n v="1"/>
    <m/>
    <m/>
    <m/>
    <m/>
    <m/>
    <m/>
    <m/>
    <m/>
    <m/>
    <d v="1991-12-24T00:00:00"/>
    <s v="F"/>
    <s v="W"/>
    <s v="WHITE"/>
    <s v="NULL"/>
    <s v="182"/>
    <s v="DEFERRED"/>
    <n v="12"/>
    <s v="DEFERRED"/>
    <m/>
    <m/>
    <m/>
    <s v="AGG ASSAULT W/DEADLY WEAPON"/>
    <m/>
    <s v="F2"/>
    <s v="ASLT-MURDR"/>
    <m/>
    <m/>
    <m/>
    <m/>
    <m/>
    <m/>
    <m/>
    <m/>
    <m/>
    <s v="Appointed Attorney"/>
    <m/>
    <m/>
    <n v="224"/>
    <n v="224"/>
    <n v="232"/>
    <n v="20.060109289617486"/>
    <n v="0"/>
    <n v="0"/>
    <s v="DEFERRED"/>
    <x v="0"/>
    <s v="N"/>
    <m/>
    <s v="DEFERRED"/>
    <s v="Y"/>
    <x v="0"/>
    <x v="0"/>
    <s v="N"/>
    <n v="0.96551724137931039"/>
    <n v="1"/>
    <n v="3.4482758620689613E-2"/>
    <n v="0"/>
    <n v="-224"/>
    <n v="0"/>
    <n v="224"/>
    <e v="#VALUE!"/>
    <n v="224"/>
    <n v="0"/>
    <m/>
    <m/>
    <s v="Y"/>
    <m/>
    <s v="121-365 DAYS"/>
    <n v="6"/>
    <x v="0"/>
  </r>
  <r>
    <n v="2010"/>
    <s v="N"/>
    <s v="N"/>
    <n v="2571553"/>
    <n v="6"/>
    <d v="2012-03-16T00:00:00"/>
    <d v="2014-01-21T00:00:00"/>
    <n v="2571553"/>
    <d v="2012-12-07T00:00:00"/>
    <d v="2014-01-21T00:00:00"/>
    <n v="50000"/>
    <x v="2"/>
    <m/>
    <s v="N"/>
    <s v="NONE"/>
    <s v="GUILTY PLEA - NO JURY"/>
    <n v="404"/>
    <n v="677"/>
    <n v="0"/>
    <n v="0"/>
    <m/>
    <m/>
    <m/>
    <m/>
    <m/>
    <m/>
    <m/>
    <m/>
    <m/>
    <d v="1976-04-01T00:00:00"/>
    <s v="M"/>
    <s v="B"/>
    <s v="BLACK"/>
    <s v="NULL"/>
    <s v="179"/>
    <s v="CONVICTED"/>
    <n v="13"/>
    <s v="TDC"/>
    <n v="40"/>
    <m/>
    <m/>
    <s v="AGG SEX ASSLT CHILD-UNDER 14"/>
    <m/>
    <s v="F1"/>
    <s v="SEX ABUSE"/>
    <m/>
    <m/>
    <m/>
    <m/>
    <m/>
    <m/>
    <m/>
    <m/>
    <m/>
    <s v="Appointed Attorney"/>
    <m/>
    <m/>
    <n v="404"/>
    <n v="404"/>
    <n v="677"/>
    <n v="35.882513661202189"/>
    <n v="0"/>
    <n v="0"/>
    <s v="CONVICTION"/>
    <x v="0"/>
    <s v="N"/>
    <m/>
    <s v="CONVICTION"/>
    <s v="Y"/>
    <x v="0"/>
    <x v="0"/>
    <s v="N"/>
    <n v="0.59675036927621861"/>
    <n v="0.5968"/>
    <n v="0"/>
    <n v="0"/>
    <n v="-411"/>
    <n v="-7"/>
    <n v="411"/>
    <e v="#VALUE!"/>
    <n v="404"/>
    <m/>
    <m/>
    <m/>
    <s v="N"/>
    <e v="#N/A"/>
    <s v=" &gt;1YRS&lt;2YRS"/>
    <n v="0"/>
    <x v="0"/>
  </r>
  <r>
    <n v="1342"/>
    <s v="N"/>
    <s v="N"/>
    <n v="2572117"/>
    <n v="4"/>
    <d v="2012-02-18T00:00:00"/>
    <d v="2012-08-03T00:00:00"/>
    <n v="2572117"/>
    <d v="2012-02-18T00:00:00"/>
    <d v="2012-02-26T00:00:00"/>
    <n v="10000"/>
    <x v="3"/>
    <d v="2012-02-26T00:00:00"/>
    <s v="Y"/>
    <s v="SURETY"/>
    <s v="GUILTY PLEA - NO JURY"/>
    <n v="9"/>
    <n v="168"/>
    <n v="0"/>
    <n v="1"/>
    <m/>
    <m/>
    <m/>
    <m/>
    <m/>
    <m/>
    <m/>
    <s v="S"/>
    <m/>
    <d v="1976-11-14T00:00:00"/>
    <s v="M"/>
    <s v="H"/>
    <s v="HISPANIC"/>
    <s v="NULL"/>
    <s v="174"/>
    <s v="CONVICTED"/>
    <n v="8"/>
    <s v="HCJ"/>
    <m/>
    <m/>
    <n v="365"/>
    <s v="ASSAULT-BOD INJ-PUB SERV/RETAL"/>
    <m/>
    <s v="F3"/>
    <s v="ASLT-MURDR"/>
    <m/>
    <m/>
    <m/>
    <m/>
    <m/>
    <m/>
    <m/>
    <m/>
    <m/>
    <s v="Hired Attorney"/>
    <m/>
    <m/>
    <n v="9"/>
    <n v="168"/>
    <n v="168"/>
    <n v="35.188524590163937"/>
    <n v="0"/>
    <n v="-159"/>
    <s v="CONVICTION"/>
    <x v="1"/>
    <s v="Y"/>
    <m/>
    <s v="CONVICTION"/>
    <s v="Y"/>
    <x v="1"/>
    <x v="0"/>
    <s v="N"/>
    <n v="5.3571428571428568E-2"/>
    <n v="5.3571428571428568E-2"/>
    <n v="0"/>
    <n v="0"/>
    <n v="-9"/>
    <n v="0"/>
    <n v="9"/>
    <e v="#VALUE!"/>
    <n v="9"/>
    <n v="0"/>
    <m/>
    <m/>
    <s v="Y"/>
    <m/>
    <s v="0-10 DAYS"/>
    <n v="1"/>
    <x v="0"/>
  </r>
  <r>
    <n v="1512"/>
    <s v="N"/>
    <s v="N"/>
    <n v="2572673"/>
    <n v="6"/>
    <d v="2012-02-25T00:00:00"/>
    <d v="2012-10-10T00:00:00"/>
    <n v="2572673"/>
    <d v="2012-02-26T00:00:00"/>
    <d v="2012-10-10T00:00:00"/>
    <n v="5000"/>
    <x v="4"/>
    <m/>
    <s v="N"/>
    <s v="NONE"/>
    <s v="DEFERRED ADJUDICATION "/>
    <n v="228"/>
    <n v="229"/>
    <n v="1"/>
    <n v="0"/>
    <m/>
    <n v="1"/>
    <m/>
    <m/>
    <m/>
    <m/>
    <m/>
    <m/>
    <m/>
    <d v="1983-06-09T00:00:00"/>
    <s v="M"/>
    <s v="B"/>
    <s v="BLACK"/>
    <s v="NULL"/>
    <s v="263"/>
    <s v="CONVICTED"/>
    <n v="7"/>
    <s v="TDC"/>
    <n v="8"/>
    <m/>
    <m/>
    <s v="ASSAULT-BOD INJ-FAMILY MEMBER"/>
    <m/>
    <s v="F3"/>
    <s v="ASLT-MURDR"/>
    <m/>
    <m/>
    <m/>
    <m/>
    <m/>
    <m/>
    <m/>
    <m/>
    <m/>
    <s v="Appointed Attorney"/>
    <m/>
    <m/>
    <n v="228"/>
    <n v="228"/>
    <n v="229"/>
    <n v="28.655737704918032"/>
    <n v="0"/>
    <n v="0"/>
    <s v="CONVICTION"/>
    <x v="0"/>
    <s v="N"/>
    <m/>
    <s v="CONVICTION"/>
    <s v="Y"/>
    <x v="0"/>
    <x v="0"/>
    <s v="Y"/>
    <n v="0.99563318777292575"/>
    <n v="1"/>
    <n v="4.366812227074246E-3"/>
    <n v="0"/>
    <n v="-228"/>
    <n v="0"/>
    <n v="228"/>
    <e v="#VALUE!"/>
    <n v="228"/>
    <n v="0"/>
    <m/>
    <m/>
    <s v="Y"/>
    <m/>
    <s v="121-365 DAYS"/>
    <n v="6"/>
    <x v="0"/>
  </r>
  <r>
    <n v="336"/>
    <s v="N"/>
    <s v="N"/>
    <n v="2573204"/>
    <n v="1"/>
    <d v="2012-01-14T00:00:00"/>
    <d v="2012-03-05T00:00:00"/>
    <n v="2573204"/>
    <d v="2012-01-14T00:00:00"/>
    <d v="2012-03-05T00:00:00"/>
    <n v="5000"/>
    <x v="4"/>
    <m/>
    <s v="N"/>
    <s v="NONE"/>
    <s v="NO BILL"/>
    <n v="52"/>
    <n v="52"/>
    <n v="1"/>
    <n v="1"/>
    <m/>
    <n v="1"/>
    <m/>
    <m/>
    <m/>
    <m/>
    <m/>
    <m/>
    <m/>
    <d v="1961-05-15T00:00:00"/>
    <s v="F"/>
    <s v="B"/>
    <s v="BLACK"/>
    <s v="NULL"/>
    <s v="337"/>
    <s v="NO BILL"/>
    <n v="7"/>
    <s v="NO BILL"/>
    <m/>
    <m/>
    <m/>
    <s v="FORGERY GOVT FINANCIAL INST"/>
    <m/>
    <s v="F3"/>
    <s v="OTHER FEL"/>
    <s v="9/12/2 stj 6 mos other drug  filed 1/4/12"/>
    <m/>
    <m/>
    <m/>
    <m/>
    <m/>
    <m/>
    <m/>
    <m/>
    <s v="Public Defender"/>
    <m/>
    <m/>
    <n v="52"/>
    <n v="52"/>
    <n v="52"/>
    <n v="50.562841530054648"/>
    <n v="0"/>
    <n v="0"/>
    <s v="NO CONVICTION"/>
    <x v="0"/>
    <s v="N"/>
    <m/>
    <s v="NO CONVICTION"/>
    <s v="Y"/>
    <x v="0"/>
    <x v="0"/>
    <s v="Y"/>
    <n v="1"/>
    <n v="1"/>
    <n v="0"/>
    <n v="0"/>
    <n v="-52"/>
    <n v="0"/>
    <n v="52"/>
    <e v="#VALUE!"/>
    <n v="52"/>
    <n v="0"/>
    <m/>
    <m/>
    <s v="Y"/>
    <m/>
    <s v="31-60 DAYS"/>
    <n v="3"/>
    <x v="0"/>
  </r>
  <r>
    <n v="546"/>
    <s v="N"/>
    <s v="N"/>
    <n v="2573211"/>
    <n v="2"/>
    <d v="2012-01-22T00:00:00"/>
    <d v="2012-01-24T00:00:00"/>
    <n v="2573211"/>
    <d v="2012-01-23T00:00:00"/>
    <d v="2012-01-24T00:00:00"/>
    <n v="2000"/>
    <x v="5"/>
    <m/>
    <s v="N"/>
    <s v="NONE"/>
    <s v="DEFERRED ADJUDICATION "/>
    <n v="2"/>
    <n v="3"/>
    <n v="0"/>
    <n v="3"/>
    <m/>
    <m/>
    <m/>
    <m/>
    <m/>
    <m/>
    <m/>
    <m/>
    <m/>
    <d v="1994-06-13T00:00:00"/>
    <s v="M"/>
    <s v="H"/>
    <s v="HISPANIC"/>
    <s v="HISPANIC"/>
    <s v="262"/>
    <s v="DEFERRED"/>
    <n v="1"/>
    <s v="DEFERRED"/>
    <m/>
    <m/>
    <m/>
    <s v="UNAUTH USE OF VEHICLE"/>
    <m/>
    <s v="FS"/>
    <s v="AUTO THEFT"/>
    <m/>
    <m/>
    <m/>
    <m/>
    <m/>
    <m/>
    <m/>
    <m/>
    <m/>
    <s v="Appointed Attorney"/>
    <m/>
    <m/>
    <n v="2"/>
    <n v="2"/>
    <n v="3"/>
    <n v="17.57377049180328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2120"/>
    <s v="N"/>
    <s v="N"/>
    <n v="2573700"/>
    <n v="5"/>
    <d v="2012-03-20T00:00:00"/>
    <d v="2012-03-22T00:00:00"/>
    <n v="2573700"/>
    <d v="2012-03-20T00:00:00"/>
    <d v="2012-03-22T00:00:00"/>
    <n v="2000"/>
    <x v="5"/>
    <m/>
    <s v="N"/>
    <s v="NONE"/>
    <s v="GUILTY PLEA - NO JURY"/>
    <n v="3"/>
    <n v="3"/>
    <n v="0"/>
    <n v="1"/>
    <m/>
    <m/>
    <m/>
    <m/>
    <m/>
    <m/>
    <m/>
    <s v="S"/>
    <m/>
    <d v="1991-10-19T00:00:00"/>
    <s v="M"/>
    <s v="H"/>
    <s v="HISPANIC"/>
    <s v="NULL"/>
    <s v="230"/>
    <s v="CONVICTED"/>
    <n v="1"/>
    <s v="STJ"/>
    <m/>
    <n v="6"/>
    <m/>
    <s v="BURGLARY OF A BUILDING"/>
    <m/>
    <s v="FS"/>
    <s v="BURGLARY"/>
    <m/>
    <m/>
    <m/>
    <m/>
    <m/>
    <m/>
    <m/>
    <m/>
    <m/>
    <s v="Appointed Attorney"/>
    <m/>
    <m/>
    <n v="3"/>
    <n v="3"/>
    <n v="3"/>
    <n v="20.377049180327869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1506"/>
    <s v="N"/>
    <s v="N"/>
    <n v="2574501"/>
    <n v="2"/>
    <d v="2012-02-25T00:00:00"/>
    <d v="2012-07-10T00:00:00"/>
    <n v="2574501"/>
    <d v="2012-02-25T00:00:00"/>
    <d v="2012-07-10T00:00:00"/>
    <n v="5000"/>
    <x v="4"/>
    <m/>
    <s v="N"/>
    <s v="NONE"/>
    <s v="DEFERRED ADJUDICATION "/>
    <n v="137"/>
    <n v="137"/>
    <n v="0"/>
    <n v="1"/>
    <m/>
    <m/>
    <m/>
    <m/>
    <m/>
    <m/>
    <m/>
    <m/>
    <m/>
    <d v="1991-07-26T00:00:00"/>
    <s v="M"/>
    <s v="B"/>
    <s v="BLACK"/>
    <s v="NON-HISPANIC"/>
    <s v="338"/>
    <s v="DEFERRED"/>
    <n v="6"/>
    <s v="DEFERRED"/>
    <m/>
    <m/>
    <m/>
    <s v="RETALIATION"/>
    <m/>
    <s v="F3"/>
    <s v="OTHER FEL"/>
    <m/>
    <m/>
    <m/>
    <m/>
    <m/>
    <m/>
    <m/>
    <m/>
    <m/>
    <s v="Appointed Attorney"/>
    <m/>
    <m/>
    <n v="137"/>
    <n v="137"/>
    <n v="137"/>
    <n v="20.543715846994534"/>
    <n v="0"/>
    <n v="0"/>
    <s v="DEFERRED"/>
    <x v="0"/>
    <s v="N"/>
    <m/>
    <s v="DEFERRED"/>
    <s v="Y"/>
    <x v="0"/>
    <x v="0"/>
    <s v="N"/>
    <n v="1"/>
    <n v="1"/>
    <n v="0"/>
    <n v="0"/>
    <n v="-137"/>
    <n v="0"/>
    <n v="137"/>
    <e v="#VALUE!"/>
    <n v="137"/>
    <n v="0"/>
    <m/>
    <m/>
    <s v="Y"/>
    <m/>
    <s v="121-365 DAYS"/>
    <n v="6"/>
    <x v="0"/>
  </r>
  <r>
    <n v="3012"/>
    <s v="N"/>
    <s v="N"/>
    <n v="2574873"/>
    <n v="4"/>
    <d v="2012-04-21T00:00:00"/>
    <d v="2012-07-27T00:00:00"/>
    <n v="2574873"/>
    <d v="2012-04-21T00:00:00"/>
    <d v="2012-07-27T00:00:00"/>
    <n v="5000"/>
    <x v="4"/>
    <m/>
    <s v="N"/>
    <s v="NONE"/>
    <s v="GUILTY PLEA - NO JURY"/>
    <n v="98"/>
    <n v="98"/>
    <n v="0"/>
    <n v="2"/>
    <m/>
    <m/>
    <m/>
    <m/>
    <m/>
    <m/>
    <m/>
    <m/>
    <m/>
    <d v="1988-03-23T00:00:00"/>
    <s v="F"/>
    <s v="B"/>
    <s v="BLACK"/>
    <s v="NON-HISPANIC"/>
    <s v="178"/>
    <s v="CONVICTED"/>
    <n v="5"/>
    <s v="HCJ"/>
    <m/>
    <m/>
    <n v="180"/>
    <s v="HARASSMENT OF PUBLIC SERVANT"/>
    <m/>
    <s v="F3"/>
    <s v="OTHER FEL"/>
    <s v="8/14/12 misd fugitive hold"/>
    <m/>
    <m/>
    <m/>
    <m/>
    <m/>
    <m/>
    <m/>
    <m/>
    <s v="Appointed Attorney"/>
    <m/>
    <m/>
    <n v="98"/>
    <n v="98"/>
    <n v="98"/>
    <n v="24.030054644808743"/>
    <n v="0"/>
    <n v="0"/>
    <s v="CONVICTION"/>
    <x v="0"/>
    <s v="N"/>
    <m/>
    <s v="CONVICTION"/>
    <s v="Y"/>
    <x v="0"/>
    <x v="0"/>
    <s v="N"/>
    <n v="1"/>
    <n v="1"/>
    <n v="0"/>
    <n v="0"/>
    <n v="-98"/>
    <n v="0"/>
    <n v="98"/>
    <e v="#VALUE!"/>
    <n v="98"/>
    <n v="0"/>
    <m/>
    <m/>
    <s v="Y"/>
    <m/>
    <s v="91-120 DAYS"/>
    <n v="0"/>
    <x v="0"/>
  </r>
  <r>
    <n v="2026"/>
    <s v="N"/>
    <s v="N"/>
    <n v="2575116"/>
    <n v="4"/>
    <d v="2012-03-17T00:00:00"/>
    <d v="2012-05-16T00:00:00"/>
    <n v="2575116"/>
    <d v="2012-03-17T00:00:00"/>
    <d v="2012-05-16T00:00:00"/>
    <n v="5000"/>
    <x v="4"/>
    <m/>
    <s v="N"/>
    <s v="NONE"/>
    <s v="GUILTY PLEA - NO JURY"/>
    <n v="61"/>
    <n v="61"/>
    <n v="0"/>
    <n v="0"/>
    <m/>
    <m/>
    <m/>
    <m/>
    <m/>
    <m/>
    <m/>
    <m/>
    <m/>
    <d v="1959-11-25T00:00:00"/>
    <s v="F"/>
    <s v="B"/>
    <s v="BLACK"/>
    <s v="NULL"/>
    <s v="232"/>
    <s v="CONVICTED"/>
    <n v="3"/>
    <s v="HCJ"/>
    <m/>
    <m/>
    <n v="300"/>
    <s v="POSS CS PG 1  1 - 4 GRAMS"/>
    <m/>
    <s v="F3"/>
    <s v="POSS DRUG"/>
    <m/>
    <m/>
    <m/>
    <m/>
    <m/>
    <m/>
    <m/>
    <m/>
    <m/>
    <s v="Appointed Attorney"/>
    <m/>
    <m/>
    <n v="61"/>
    <n v="61"/>
    <n v="61"/>
    <n v="52.202185792349724"/>
    <n v="0"/>
    <n v="0"/>
    <s v="CONVICTION"/>
    <x v="0"/>
    <s v="N"/>
    <m/>
    <s v="CONVICTION"/>
    <s v="Y"/>
    <x v="0"/>
    <x v="0"/>
    <s v="N"/>
    <n v="1"/>
    <n v="1"/>
    <n v="0"/>
    <n v="0"/>
    <n v="-61"/>
    <n v="0"/>
    <n v="61"/>
    <e v="#VALUE!"/>
    <n v="61"/>
    <n v="0"/>
    <m/>
    <m/>
    <s v="N"/>
    <m/>
    <s v="61-90 DAYS"/>
    <n v="4"/>
    <x v="0"/>
  </r>
  <r>
    <n v="1321"/>
    <s v="N"/>
    <s v="N"/>
    <n v="2575438"/>
    <n v="6"/>
    <d v="2012-02-17T00:00:00"/>
    <d v="2012-10-03T00:00:00"/>
    <n v="2575438"/>
    <d v="2012-06-26T00:00:00"/>
    <d v="2012-10-03T00:00:00"/>
    <n v="60000"/>
    <x v="2"/>
    <m/>
    <s v="N"/>
    <s v="NONE"/>
    <s v="GUILTY PLEA - NO JURY"/>
    <n v="100"/>
    <n v="230"/>
    <n v="0"/>
    <n v="1"/>
    <m/>
    <m/>
    <m/>
    <m/>
    <m/>
    <m/>
    <m/>
    <m/>
    <m/>
    <d v="1993-08-29T00:00:00"/>
    <s v="M"/>
    <s v="B"/>
    <s v="BLACK"/>
    <s v="NULL"/>
    <s v="248"/>
    <s v="CONVICTED"/>
    <n v="4"/>
    <s v="TDC"/>
    <n v="4"/>
    <m/>
    <m/>
    <s v="AGG ROBBERY-DEADLY WPN"/>
    <m/>
    <s v="F1"/>
    <s v="ROBBERY"/>
    <m/>
    <m/>
    <m/>
    <m/>
    <m/>
    <m/>
    <m/>
    <m/>
    <m/>
    <s v="Appointed Attorney"/>
    <m/>
    <m/>
    <n v="100"/>
    <n v="100"/>
    <n v="230"/>
    <n v="18.431693989071039"/>
    <n v="0"/>
    <n v="0"/>
    <s v="CONVICTION"/>
    <x v="0"/>
    <s v="N"/>
    <m/>
    <s v="CONVICTION"/>
    <s v="Y"/>
    <x v="0"/>
    <x v="0"/>
    <s v="N"/>
    <n v="0.43478260869565216"/>
    <n v="1"/>
    <n v="0.56521739130434789"/>
    <n v="0"/>
    <n v="-100"/>
    <n v="0"/>
    <n v="100"/>
    <e v="#VALUE!"/>
    <n v="100"/>
    <n v="0"/>
    <m/>
    <m/>
    <s v="Y"/>
    <m/>
    <s v="91-120 DAYS"/>
    <n v="0"/>
    <x v="0"/>
  </r>
  <r>
    <n v="2255"/>
    <s v="N"/>
    <s v="N"/>
    <n v="2575470"/>
    <n v="6"/>
    <d v="2012-03-26T00:00:00"/>
    <d v="2012-09-25T00:00:00"/>
    <n v="2575470"/>
    <d v="2012-03-27T00:00:00"/>
    <d v="2012-09-25T00:00:00"/>
    <n v="30000"/>
    <x v="2"/>
    <m/>
    <s v="N"/>
    <s v="NONE"/>
    <s v="GUILTY PLEA - NO JURY"/>
    <n v="183"/>
    <n v="184"/>
    <n v="0"/>
    <n v="1"/>
    <m/>
    <m/>
    <m/>
    <m/>
    <m/>
    <m/>
    <m/>
    <s v="S"/>
    <m/>
    <d v="1992-09-12T00:00:00"/>
    <s v="M"/>
    <s v="H"/>
    <s v="HISPANIC"/>
    <s v="NULL"/>
    <s v="232"/>
    <s v="CONVICTED"/>
    <n v="8"/>
    <s v="TDC"/>
    <n v="8"/>
    <m/>
    <m/>
    <s v="AGG SEX ASSLT CHILD-UNDER 14"/>
    <m/>
    <s v="F1"/>
    <s v="SEX ABUSE"/>
    <m/>
    <m/>
    <m/>
    <m/>
    <m/>
    <m/>
    <m/>
    <m/>
    <m/>
    <s v="Public Defender"/>
    <m/>
    <m/>
    <n v="183"/>
    <n v="183"/>
    <n v="184"/>
    <n v="19.494535519125684"/>
    <n v="0"/>
    <n v="0"/>
    <s v="CONVICTION"/>
    <x v="0"/>
    <s v="N"/>
    <m/>
    <s v="CONVICTION"/>
    <s v="Y"/>
    <x v="0"/>
    <x v="0"/>
    <s v="N"/>
    <n v="0.99456521739130432"/>
    <n v="1"/>
    <n v="5.4347826086956763E-3"/>
    <n v="0"/>
    <n v="-183"/>
    <n v="0"/>
    <n v="183"/>
    <e v="#VALUE!"/>
    <n v="183"/>
    <n v="0"/>
    <m/>
    <m/>
    <s v="Y"/>
    <m/>
    <s v="121-365 DAYS"/>
    <n v="6"/>
    <x v="0"/>
  </r>
  <r>
    <n v="1271"/>
    <s v="N"/>
    <s v="N"/>
    <n v="2576733"/>
    <n v="2"/>
    <d v="2012-02-16T00:00:00"/>
    <d v="2012-05-16T00:00:00"/>
    <n v="2576733"/>
    <d v="2012-02-28T00:00:00"/>
    <d v="2012-05-16T00:00:00"/>
    <n v="5000"/>
    <x v="4"/>
    <m/>
    <s v="N"/>
    <s v="NONE"/>
    <s v="DEFERRED ADJUDICATION "/>
    <n v="79"/>
    <n v="91"/>
    <n v="0"/>
    <n v="2"/>
    <m/>
    <m/>
    <m/>
    <m/>
    <m/>
    <m/>
    <m/>
    <s v="S"/>
    <m/>
    <d v="1985-09-29T00:00:00"/>
    <s v="F"/>
    <s v="H"/>
    <s v="HISPANIC"/>
    <s v="NULL"/>
    <s v="183"/>
    <s v="DEFERRED"/>
    <n v="10"/>
    <s v="DEFERRED"/>
    <m/>
    <m/>
    <m/>
    <s v="THEFT $1500-20K"/>
    <m/>
    <s v="FS"/>
    <s v="THEFT"/>
    <m/>
    <m/>
    <m/>
    <m/>
    <m/>
    <m/>
    <m/>
    <m/>
    <m/>
    <s v="Hired Attorney"/>
    <m/>
    <m/>
    <n v="79"/>
    <n v="79"/>
    <n v="91"/>
    <n v="26.327868852459016"/>
    <n v="0"/>
    <n v="0"/>
    <s v="DEFERRED"/>
    <x v="0"/>
    <s v="N"/>
    <m/>
    <s v="DEFERRED"/>
    <s v="Y"/>
    <x v="0"/>
    <x v="0"/>
    <s v="N"/>
    <n v="0.86813186813186816"/>
    <n v="1"/>
    <n v="0.13186813186813184"/>
    <n v="0"/>
    <n v="-79"/>
    <n v="0"/>
    <n v="79"/>
    <e v="#VALUE!"/>
    <n v="79"/>
    <n v="0"/>
    <m/>
    <m/>
    <s v="Y"/>
    <m/>
    <s v="61-90 DAYS"/>
    <n v="4"/>
    <x v="0"/>
  </r>
  <r>
    <n v="2605"/>
    <s v="N"/>
    <s v="N"/>
    <n v="2577332"/>
    <n v="1"/>
    <d v="2012-04-06T00:00:00"/>
    <d v="2012-06-20T00:00:00"/>
    <n v="2577332"/>
    <d v="2012-04-06T00:00:00"/>
    <d v="2012-04-12T00:00:00"/>
    <n v="5000"/>
    <x v="4"/>
    <d v="2012-04-12T00:00:00"/>
    <s v="Y"/>
    <s v="SURETY"/>
    <s v="NO BILL"/>
    <n v="7"/>
    <n v="76"/>
    <n v="0"/>
    <n v="0"/>
    <m/>
    <m/>
    <m/>
    <m/>
    <m/>
    <m/>
    <m/>
    <m/>
    <m/>
    <d v="1964-12-04T00:00:00"/>
    <s v="M"/>
    <s v="B"/>
    <s v="BLACK"/>
    <s v="NULL"/>
    <s v="176"/>
    <s v="NO BILL"/>
    <n v="4"/>
    <s v="NO BILL"/>
    <m/>
    <m/>
    <m/>
    <s v="FORGERY"/>
    <m/>
    <s v="FS"/>
    <s v="OTHER FEL"/>
    <m/>
    <m/>
    <m/>
    <m/>
    <m/>
    <m/>
    <m/>
    <m/>
    <m/>
    <s v="Appointed Attorney"/>
    <m/>
    <m/>
    <n v="7"/>
    <n v="76"/>
    <n v="76"/>
    <n v="47.240437158469945"/>
    <n v="0"/>
    <n v="-69"/>
    <s v="NO CONVICTION"/>
    <x v="1"/>
    <s v="Y"/>
    <m/>
    <s v="NO CONVICTION"/>
    <s v="Y"/>
    <x v="1"/>
    <x v="0"/>
    <s v="N"/>
    <n v="9.2105263157894732E-2"/>
    <n v="9.2105263157894732E-2"/>
    <n v="0"/>
    <n v="0"/>
    <n v="-7"/>
    <n v="0"/>
    <n v="7"/>
    <e v="#VALUE!"/>
    <n v="7"/>
    <n v="0"/>
    <m/>
    <m/>
    <s v="N"/>
    <m/>
    <s v="0-10 DAYS"/>
    <n v="1"/>
    <x v="0"/>
  </r>
  <r>
    <n v="2215"/>
    <s v="N"/>
    <s v="N"/>
    <n v="2577956"/>
    <n v="6"/>
    <d v="2012-03-24T00:00:00"/>
    <d v="2012-04-12T00:00:00"/>
    <n v="2577956"/>
    <d v="2012-03-24T00:00:00"/>
    <d v="2012-04-12T00:00:00"/>
    <s v="NO BOND"/>
    <x v="1"/>
    <m/>
    <s v="N"/>
    <s v="NONE"/>
    <s v="GUILTY PLEA - NO JURY"/>
    <n v="20"/>
    <n v="20"/>
    <n v="1"/>
    <n v="4"/>
    <n v="1"/>
    <m/>
    <m/>
    <m/>
    <m/>
    <m/>
    <m/>
    <s v="S"/>
    <m/>
    <d v="1986-11-28T00:00:00"/>
    <s v="M"/>
    <s v="H"/>
    <s v="HISPANIC"/>
    <s v="NULL"/>
    <s v="228"/>
    <s v="CONVICTED"/>
    <n v="2"/>
    <s v="TDC"/>
    <n v="2"/>
    <m/>
    <m/>
    <s v="PROH SUBSTANCE CORRECT FACILIT"/>
    <m/>
    <s v="F3"/>
    <s v="POSS DRUG"/>
    <m/>
    <m/>
    <m/>
    <m/>
    <m/>
    <m/>
    <m/>
    <m/>
    <m/>
    <s v="Appointed Attorney"/>
    <m/>
    <m/>
    <n v="20"/>
    <n v="20"/>
    <n v="20"/>
    <n v="25.26775956284153"/>
    <n v="0"/>
    <n v="0"/>
    <s v="CONVICTION"/>
    <x v="0"/>
    <s v="N"/>
    <m/>
    <s v="CONVICTION"/>
    <s v="Y"/>
    <x v="0"/>
    <x v="0"/>
    <s v="Y"/>
    <n v="1"/>
    <n v="1"/>
    <n v="0"/>
    <n v="0"/>
    <n v="-20"/>
    <n v="0"/>
    <n v="20"/>
    <e v="#VALUE!"/>
    <n v="20"/>
    <n v="0"/>
    <m/>
    <m/>
    <s v="Y"/>
    <m/>
    <s v="11-30 DAYS"/>
    <n v="2"/>
    <x v="0"/>
  </r>
  <r>
    <n v="1097"/>
    <s v="N"/>
    <s v="N"/>
    <n v="2578162"/>
    <n v="2"/>
    <d v="2012-02-09T00:00:00"/>
    <d v="2012-03-06T00:00:00"/>
    <n v="2578162"/>
    <d v="2012-02-10T00:00:00"/>
    <d v="2012-03-06T00:00:00"/>
    <s v="NO BOND"/>
    <x v="1"/>
    <m/>
    <s v="N"/>
    <s v="NONE"/>
    <s v="DEFERRED ADJUDICATION "/>
    <n v="26"/>
    <n v="27"/>
    <n v="0"/>
    <n v="0"/>
    <m/>
    <m/>
    <m/>
    <m/>
    <m/>
    <m/>
    <m/>
    <m/>
    <m/>
    <d v="1994-07-28T00:00:00"/>
    <s v="M"/>
    <s v="B"/>
    <s v="BLACK"/>
    <s v="NULL"/>
    <s v="208"/>
    <s v="DEFERRED"/>
    <n v="3"/>
    <s v="DEFERRED"/>
    <m/>
    <m/>
    <m/>
    <s v="BURGLARY OF HABITATION"/>
    <m/>
    <s v="F2"/>
    <s v="BURGLARY"/>
    <m/>
    <m/>
    <m/>
    <m/>
    <m/>
    <m/>
    <m/>
    <m/>
    <m/>
    <s v="Appointed Attorney"/>
    <m/>
    <m/>
    <n v="26"/>
    <n v="26"/>
    <n v="27"/>
    <n v="17.5"/>
    <n v="0"/>
    <n v="0"/>
    <s v="DEFERRED"/>
    <x v="0"/>
    <s v="N"/>
    <m/>
    <s v="DEFERRED"/>
    <s v="Y"/>
    <x v="0"/>
    <x v="0"/>
    <s v="N"/>
    <n v="0.96296296296296291"/>
    <n v="1"/>
    <n v="3.703703703703709E-2"/>
    <n v="0"/>
    <n v="-26"/>
    <n v="0"/>
    <n v="26"/>
    <e v="#VALUE!"/>
    <n v="26"/>
    <n v="0"/>
    <m/>
    <m/>
    <s v="N"/>
    <m/>
    <s v="11-30 DAYS"/>
    <n v="2"/>
    <x v="0"/>
  </r>
  <r>
    <n v="1587"/>
    <s v="N"/>
    <s v="N"/>
    <n v="2578476"/>
    <n v="2"/>
    <d v="2012-02-29T00:00:00"/>
    <d v="2012-08-21T00:00:00"/>
    <n v="2578476"/>
    <d v="2012-02-29T00:00:00"/>
    <d v="2012-08-21T00:00:00"/>
    <n v="5000"/>
    <x v="4"/>
    <m/>
    <s v="N"/>
    <s v="NONE"/>
    <s v="DEFERRED ADJUDICATION "/>
    <n v="175"/>
    <n v="175"/>
    <n v="0"/>
    <n v="1"/>
    <m/>
    <m/>
    <m/>
    <m/>
    <m/>
    <m/>
    <m/>
    <m/>
    <m/>
    <d v="1988-07-24T00:00:00"/>
    <s v="M"/>
    <s v="B"/>
    <s v="BLACK"/>
    <s v="NULL"/>
    <s v="338"/>
    <s v="DEFERRED"/>
    <n v="8"/>
    <s v="DEFERRED"/>
    <m/>
    <m/>
    <m/>
    <s v="POSS CS PG 1 &lt;1G"/>
    <m/>
    <s v="FS"/>
    <s v="POSS DRUG"/>
    <m/>
    <m/>
    <m/>
    <m/>
    <m/>
    <m/>
    <m/>
    <m/>
    <m/>
    <s v="Appointed Attorney"/>
    <m/>
    <m/>
    <n v="175"/>
    <n v="175"/>
    <n v="175"/>
    <n v="23.551912568306012"/>
    <n v="0"/>
    <n v="0"/>
    <s v="DEFERRED"/>
    <x v="0"/>
    <s v="N"/>
    <m/>
    <s v="DEFERRED"/>
    <s v="Y"/>
    <x v="0"/>
    <x v="0"/>
    <s v="N"/>
    <n v="1"/>
    <n v="1"/>
    <n v="0"/>
    <n v="0"/>
    <n v="-175"/>
    <n v="0"/>
    <n v="175"/>
    <e v="#VALUE!"/>
    <n v="175"/>
    <n v="0"/>
    <m/>
    <m/>
    <s v="Y"/>
    <m/>
    <s v="121-365 DAYS"/>
    <n v="6"/>
    <x v="0"/>
  </r>
  <r>
    <n v="3262"/>
    <s v="N"/>
    <s v="N"/>
    <n v="2578514"/>
    <n v="2"/>
    <d v="2012-04-30T00:00:00"/>
    <d v="2012-06-26T00:00:00"/>
    <n v="2578514"/>
    <d v="2012-05-01T00:00:00"/>
    <d v="2012-06-26T00:00:00"/>
    <n v="10000"/>
    <x v="3"/>
    <m/>
    <s v="N"/>
    <s v="NONE"/>
    <s v="DEFERRED ADJUDICATION "/>
    <n v="57"/>
    <n v="58"/>
    <n v="0"/>
    <n v="1"/>
    <m/>
    <m/>
    <m/>
    <m/>
    <m/>
    <m/>
    <m/>
    <m/>
    <m/>
    <d v="1969-01-08T00:00:00"/>
    <s v="M"/>
    <s v="W"/>
    <s v="WHITE"/>
    <s v="NULL"/>
    <s v="232"/>
    <s v="DEFERRED"/>
    <n v="4"/>
    <s v="DEFERRED"/>
    <m/>
    <m/>
    <m/>
    <s v="ASSAULT-BOD INJ-FAMILY MEMBER"/>
    <m/>
    <s v="F3"/>
    <s v="ASLT-MURDR"/>
    <m/>
    <m/>
    <m/>
    <m/>
    <m/>
    <m/>
    <m/>
    <m/>
    <m/>
    <s v="Public Defender"/>
    <m/>
    <m/>
    <n v="57"/>
    <n v="57"/>
    <n v="58"/>
    <n v="43.21857923497268"/>
    <n v="0"/>
    <n v="0"/>
    <s v="DEFERRED"/>
    <x v="0"/>
    <s v="N"/>
    <m/>
    <s v="DEFERRED"/>
    <s v="Y"/>
    <x v="0"/>
    <x v="0"/>
    <s v="N"/>
    <n v="0.98275862068965514"/>
    <n v="1"/>
    <n v="1.7241379310344862E-2"/>
    <n v="0"/>
    <n v="-57"/>
    <n v="0"/>
    <n v="57"/>
    <e v="#VALUE!"/>
    <n v="57"/>
    <n v="0"/>
    <m/>
    <m/>
    <s v="Y"/>
    <m/>
    <s v="31-60 DAYS"/>
    <n v="3"/>
    <x v="0"/>
  </r>
  <r>
    <n v="1127"/>
    <s v="N"/>
    <s v="N"/>
    <n v="2578699"/>
    <n v="1"/>
    <d v="2012-02-10T00:00:00"/>
    <d v="2012-02-15T00:00:00"/>
    <n v="2578699"/>
    <s v="NOT BOOKED"/>
    <s v="NOT BOOKED"/>
    <s v="NO BOND"/>
    <x v="1"/>
    <m/>
    <s v="NO BOND SET - NON ARREST"/>
    <s v="NONE"/>
    <s v="DISMISSED"/>
    <n v="0"/>
    <n v="6"/>
    <n v="1"/>
    <n v="0"/>
    <m/>
    <n v="1"/>
    <m/>
    <m/>
    <m/>
    <m/>
    <m/>
    <m/>
    <m/>
    <d v="1965-07-13T00:00:00"/>
    <s v="M"/>
    <s v="W"/>
    <s v="WHITE"/>
    <s v="NULL"/>
    <s v="339"/>
    <s v="DISMISSED"/>
    <n v="1"/>
    <s v="DISMISSED"/>
    <m/>
    <m/>
    <m/>
    <s v="MAN/DEL CS PG III/IV 28-200 GR"/>
    <m/>
    <s v="F2"/>
    <s v="SALE DRUG"/>
    <m/>
    <m/>
    <m/>
    <m/>
    <m/>
    <m/>
    <m/>
    <m/>
    <m/>
    <s v="Other/Unknown"/>
    <m/>
    <m/>
    <n v="0"/>
    <n v="0"/>
    <n v="6"/>
    <n v="46.483606557377051"/>
    <e v="#VALUE!"/>
    <e v="#VALUE!"/>
    <s v="NO CONVICTION"/>
    <x v="0"/>
    <s v="N"/>
    <m/>
    <s v="NO CONVICTION"/>
    <n v="0"/>
    <x v="2"/>
    <x v="0"/>
    <s v="Y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2312"/>
    <s v="N"/>
    <s v="N"/>
    <n v="2578834"/>
    <n v="2"/>
    <d v="2012-03-28T00:00:00"/>
    <d v="2012-07-23T00:00:00"/>
    <n v="2578834"/>
    <s v="NOT BOOKED"/>
    <s v="NOT BOOKED"/>
    <n v="2000"/>
    <x v="5"/>
    <d v="2012-03-30T00:00:00"/>
    <s v="Y"/>
    <s v="SURETYPTRc"/>
    <s v="DEFERRED ADJUDICATION "/>
    <n v="0"/>
    <n v="118"/>
    <n v="0"/>
    <n v="0"/>
    <m/>
    <m/>
    <m/>
    <m/>
    <m/>
    <m/>
    <m/>
    <m/>
    <m/>
    <d v="1986-03-23T00:00:00"/>
    <s v="M"/>
    <s v="A"/>
    <s v="OTHER"/>
    <s v="NULL"/>
    <s v="230"/>
    <s v="DEFERRED"/>
    <n v="7"/>
    <s v="DEFERR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118"/>
    <n v="25.961748633879782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241"/>
    <s v="N"/>
    <s v="N"/>
    <n v="2579944"/>
    <n v="6"/>
    <d v="2012-03-25T00:00:00"/>
    <d v="2013-07-11T00:00:00"/>
    <n v="2579944"/>
    <d v="2012-03-25T00:00:00"/>
    <d v="2012-11-04T00:00:00"/>
    <n v="20000"/>
    <x v="0"/>
    <d v="2012-11-04T00:00:00"/>
    <s v="Y"/>
    <s v="SURETY"/>
    <s v="GUILTY PLEA - NO JURY"/>
    <n v="225"/>
    <n v="472"/>
    <n v="1"/>
    <n v="0"/>
    <m/>
    <n v="1"/>
    <m/>
    <m/>
    <m/>
    <m/>
    <m/>
    <m/>
    <m/>
    <d v="1994-09-07T00:00:00"/>
    <s v="M"/>
    <s v="null"/>
    <s v="OTHER"/>
    <s v="NULL"/>
    <s v="177"/>
    <s v="CONVICTED"/>
    <n v="13"/>
    <s v="TDC"/>
    <n v="10"/>
    <m/>
    <m/>
    <s v="AGG ROBBERY-DEADLY WPN"/>
    <m/>
    <s v="F1"/>
    <s v="ROBBERY"/>
    <s v="UNAUTH USE OF VEH STUDY CASE DISMISSED SAME DISP DATE"/>
    <m/>
    <m/>
    <m/>
    <m/>
    <m/>
    <m/>
    <m/>
    <m/>
    <s v="Hired Attorney"/>
    <m/>
    <m/>
    <n v="213"/>
    <n v="225"/>
    <n v="472"/>
    <n v="17.510928961748633"/>
    <n v="0"/>
    <e v="#VALUE!"/>
    <s v="CONVICTION"/>
    <x v="1"/>
    <s v="Y"/>
    <m/>
    <s v="CONVICTION"/>
    <s v="Y"/>
    <x v="1"/>
    <x v="0"/>
    <s v="Y"/>
    <n v="0.47669491525423729"/>
    <n v="0.47468354430379744"/>
    <n v="-2.0113709504398503E-3"/>
    <n v="12"/>
    <n v="-225"/>
    <n v="-12"/>
    <n v="225"/>
    <n v="213"/>
    <n v="225"/>
    <n v="12"/>
    <m/>
    <m/>
    <s v="Y"/>
    <m/>
    <s v="121-365 DAYS"/>
    <n v="6"/>
    <x v="0"/>
  </r>
  <r>
    <n v="830"/>
    <s v="N"/>
    <s v="N"/>
    <n v="2580025"/>
    <n v="6"/>
    <d v="2012-02-01T00:00:00"/>
    <d v="2012-07-12T00:00:00"/>
    <n v="2580025"/>
    <s v="NOT BOOKED"/>
    <s v="NOT BOOKED"/>
    <n v="30000"/>
    <x v="2"/>
    <d v="2012-02-09T00:00:00"/>
    <s v="Y"/>
    <s v="SURETYPTRc"/>
    <s v="GUILTY PLEA - NO JURY"/>
    <n v="0"/>
    <n v="163"/>
    <n v="0"/>
    <n v="0"/>
    <m/>
    <m/>
    <m/>
    <m/>
    <m/>
    <m/>
    <m/>
    <m/>
    <m/>
    <d v="1993-11-02T00:00:00"/>
    <s v="M"/>
    <s v="B"/>
    <s v="BLACK"/>
    <s v="NULL"/>
    <s v="262"/>
    <s v="CONVICTED"/>
    <n v="7"/>
    <s v="TDC"/>
    <n v="10"/>
    <m/>
    <m/>
    <s v="AGG ROBBERY-DEADLY WPN"/>
    <m/>
    <s v="F1"/>
    <s v="ROBBERY"/>
    <m/>
    <m/>
    <m/>
    <m/>
    <m/>
    <m/>
    <m/>
    <m/>
    <m/>
    <s v="Hired Attorney"/>
    <m/>
    <m/>
    <n v="0"/>
    <n v="0"/>
    <n v="163"/>
    <n v="18.210382513661202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15"/>
    <s v="N"/>
    <s v="N"/>
    <n v="2580360"/>
    <n v="4"/>
    <d v="2012-01-05T00:00:00"/>
    <d v="2012-11-12T00:00:00"/>
    <n v="2580360"/>
    <d v="2012-01-20T00:00:00"/>
    <d v="2012-11-12T00:00:00"/>
    <n v="30000"/>
    <x v="2"/>
    <m/>
    <s v="N"/>
    <s v="NONE"/>
    <s v="GUILTY PLEA - NO JURY"/>
    <n v="298"/>
    <n v="313"/>
    <n v="0"/>
    <n v="2"/>
    <m/>
    <m/>
    <m/>
    <m/>
    <m/>
    <m/>
    <m/>
    <m/>
    <m/>
    <d v="1986-03-04T00:00:00"/>
    <s v="M"/>
    <s v="B"/>
    <s v="BLACK"/>
    <s v="NULL"/>
    <s v="338"/>
    <s v="CONVICTED"/>
    <n v="11"/>
    <s v="HCJ"/>
    <m/>
    <m/>
    <n v="365"/>
    <s v="AGG ASSAULT W/DEADLY WEAPON"/>
    <m/>
    <s v="F2"/>
    <s v="ASLT-MURDR"/>
    <m/>
    <m/>
    <m/>
    <m/>
    <m/>
    <m/>
    <m/>
    <m/>
    <m/>
    <s v="Appointed Attorney"/>
    <m/>
    <m/>
    <n v="298"/>
    <n v="298"/>
    <n v="313"/>
    <n v="25.78688524590164"/>
    <n v="0"/>
    <n v="0"/>
    <s v="CONVICTION"/>
    <x v="0"/>
    <s v="N"/>
    <m/>
    <s v="CONVICTION"/>
    <s v="Y"/>
    <x v="0"/>
    <x v="0"/>
    <s v="N"/>
    <n v="0.95207667731629397"/>
    <n v="1"/>
    <n v="4.7923322683706027E-2"/>
    <n v="0"/>
    <n v="-298"/>
    <n v="0"/>
    <n v="298"/>
    <e v="#VALUE!"/>
    <n v="298"/>
    <n v="0"/>
    <m/>
    <m/>
    <s v="Y"/>
    <m/>
    <s v="121-365 DAYS"/>
    <n v="6"/>
    <x v="0"/>
  </r>
  <r>
    <n v="2911"/>
    <s v="N"/>
    <s v="N"/>
    <n v="2580433"/>
    <n v="2"/>
    <d v="2012-04-17T00:00:00"/>
    <d v="2013-01-14T00:00:00"/>
    <n v="2580433"/>
    <d v="2012-04-18T00:00:00"/>
    <d v="2012-04-19T00:00:00"/>
    <n v="2000"/>
    <x v="5"/>
    <d v="2012-04-19T00:00:00"/>
    <s v="Y"/>
    <s v="SURETY"/>
    <s v="DEFERRED ADJUDICATION "/>
    <n v="2"/>
    <n v="273"/>
    <n v="0"/>
    <n v="0"/>
    <m/>
    <m/>
    <m/>
    <m/>
    <m/>
    <m/>
    <m/>
    <m/>
    <m/>
    <d v="1989-09-05T00:00:00"/>
    <s v="M"/>
    <s v="H"/>
    <s v="HISPANIC"/>
    <s v="HISPANIC"/>
    <s v="208"/>
    <s v="DEFERRED"/>
    <n v="11"/>
    <s v="DEFERRED"/>
    <m/>
    <m/>
    <m/>
    <s v="THEFT $1500-20K"/>
    <m/>
    <s v="FS"/>
    <s v="THEFT"/>
    <m/>
    <m/>
    <m/>
    <m/>
    <m/>
    <m/>
    <m/>
    <m/>
    <m/>
    <s v="Hired Attorney"/>
    <m/>
    <m/>
    <n v="2"/>
    <n v="272"/>
    <n v="273"/>
    <n v="22.568306010928961"/>
    <n v="0"/>
    <n v="-270"/>
    <s v="DEFERRED"/>
    <x v="1"/>
    <s v="Y"/>
    <m/>
    <s v="DEFERRED"/>
    <s v="Y"/>
    <x v="1"/>
    <x v="0"/>
    <s v="N"/>
    <n v="7.326007326007326E-3"/>
    <n v="7.3529411764705881E-3"/>
    <n v="2.6933850463262132E-5"/>
    <n v="0"/>
    <n v="-2"/>
    <n v="0"/>
    <n v="2"/>
    <e v="#VALUE!"/>
    <n v="2"/>
    <n v="0"/>
    <m/>
    <m/>
    <s v="N"/>
    <m/>
    <s v="0-10 DAYS"/>
    <n v="1"/>
    <x v="0"/>
  </r>
  <r>
    <n v="2748"/>
    <s v="N"/>
    <s v="N"/>
    <n v="2580906"/>
    <n v="1"/>
    <d v="2012-04-12T00:00:00"/>
    <d v="2012-04-16T00:00:00"/>
    <n v="2580906"/>
    <d v="2012-04-12T00:00:00"/>
    <d v="2012-04-16T00:00:00"/>
    <n v="2000"/>
    <x v="5"/>
    <m/>
    <s v="N"/>
    <s v="NONE"/>
    <s v="DISMISSED"/>
    <n v="5"/>
    <n v="5"/>
    <n v="0"/>
    <n v="3"/>
    <m/>
    <m/>
    <m/>
    <m/>
    <m/>
    <m/>
    <m/>
    <m/>
    <m/>
    <d v="1994-09-10T00:00:00"/>
    <s v="M"/>
    <s v="B"/>
    <s v="BLACK"/>
    <s v="NULL"/>
    <s v="178"/>
    <s v="DISMISSED"/>
    <n v="2"/>
    <s v="DISMISSED"/>
    <m/>
    <m/>
    <m/>
    <s v="POSS CS PG 1 &lt;1G"/>
    <m/>
    <s v="FS"/>
    <s v="POSS DRUG"/>
    <m/>
    <m/>
    <m/>
    <m/>
    <m/>
    <m/>
    <m/>
    <m/>
    <m/>
    <s v="Appointed Attorney"/>
    <m/>
    <m/>
    <n v="5"/>
    <n v="5"/>
    <n v="5"/>
    <n v="17.551912568306012"/>
    <n v="0"/>
    <n v="0"/>
    <s v="NO CONVICTION"/>
    <x v="0"/>
    <s v="N"/>
    <m/>
    <s v="NO CONVICTION"/>
    <s v="Y"/>
    <x v="0"/>
    <x v="0"/>
    <s v="N"/>
    <n v="1"/>
    <n v="1"/>
    <n v="0"/>
    <n v="0"/>
    <n v="-5"/>
    <n v="0"/>
    <n v="5"/>
    <e v="#VALUE!"/>
    <n v="5"/>
    <n v="0"/>
    <m/>
    <m/>
    <s v="Y"/>
    <m/>
    <s v="0-10 DAYS"/>
    <n v="1"/>
    <x v="0"/>
  </r>
  <r>
    <n v="1824"/>
    <s v="N"/>
    <s v="N"/>
    <n v="2580918"/>
    <n v="5"/>
    <d v="2012-03-08T00:00:00"/>
    <d v="2012-05-03T00:00:00"/>
    <n v="2580918"/>
    <d v="2012-03-09T00:00:00"/>
    <d v="2012-05-03T00:00:00"/>
    <n v="10000"/>
    <x v="3"/>
    <m/>
    <s v="N"/>
    <s v="NONE"/>
    <s v="GUILTY PLEA - NO JURY"/>
    <n v="56"/>
    <n v="57"/>
    <n v="0"/>
    <n v="1"/>
    <m/>
    <m/>
    <m/>
    <m/>
    <m/>
    <m/>
    <m/>
    <m/>
    <m/>
    <d v="1994-06-12T00:00:00"/>
    <s v="M"/>
    <s v="B"/>
    <s v="BLACK"/>
    <s v="NULL"/>
    <s v="185"/>
    <s v="CONVICTED"/>
    <n v="3"/>
    <s v="STJ"/>
    <m/>
    <n v="6"/>
    <m/>
    <s v="THEFT FROM PERSON"/>
    <m/>
    <s v="FS"/>
    <s v="THEFT"/>
    <m/>
    <m/>
    <m/>
    <m/>
    <m/>
    <m/>
    <m/>
    <m/>
    <m/>
    <s v="Appointed Attorney"/>
    <m/>
    <m/>
    <n v="56"/>
    <n v="56"/>
    <n v="57"/>
    <n v="17.702185792349727"/>
    <n v="0"/>
    <n v="0"/>
    <s v="CONVICTION"/>
    <x v="0"/>
    <s v="N"/>
    <m/>
    <s v="CONVICTION"/>
    <s v="Y"/>
    <x v="0"/>
    <x v="0"/>
    <s v="N"/>
    <n v="0.98245614035087714"/>
    <n v="1"/>
    <n v="1.7543859649122862E-2"/>
    <n v="0"/>
    <n v="-56"/>
    <n v="0"/>
    <n v="56"/>
    <e v="#VALUE!"/>
    <n v="56"/>
    <n v="0"/>
    <m/>
    <m/>
    <s v="Y"/>
    <m/>
    <s v="31-60 DAYS"/>
    <n v="3"/>
    <x v="0"/>
  </r>
  <r>
    <n v="1166"/>
    <s v="N"/>
    <s v="N"/>
    <n v="2581059"/>
    <n v="4"/>
    <d v="2012-02-11T00:00:00"/>
    <d v="2012-02-28T00:00:00"/>
    <n v="2581059"/>
    <d v="2012-02-12T00:00:00"/>
    <d v="2012-02-28T00:00:00"/>
    <n v="2000"/>
    <x v="5"/>
    <m/>
    <s v="N"/>
    <s v="NONE"/>
    <s v="GUILTY PLEA - NO JURY"/>
    <n v="17"/>
    <n v="18"/>
    <n v="0"/>
    <n v="4"/>
    <m/>
    <m/>
    <m/>
    <m/>
    <m/>
    <m/>
    <m/>
    <m/>
    <m/>
    <d v="1977-04-23T00:00:00"/>
    <s v="F"/>
    <s v="B"/>
    <s v="BLACK"/>
    <s v="NULL"/>
    <s v="339"/>
    <s v="CONVICTED"/>
    <n v="2"/>
    <s v="HCJ"/>
    <m/>
    <m/>
    <n v="30"/>
    <s v="POSS CS PG 1 &lt;1G"/>
    <m/>
    <s v="FS"/>
    <s v="POSS DRUG"/>
    <s v="3/14/12 mis con  4/4/12 fel conv fel filed 5/17/12 pend "/>
    <m/>
    <m/>
    <m/>
    <m/>
    <m/>
    <m/>
    <m/>
    <m/>
    <s v="Appointed Attorney"/>
    <m/>
    <m/>
    <n v="17"/>
    <n v="17"/>
    <n v="18"/>
    <n v="34.732240437158467"/>
    <n v="0"/>
    <n v="0"/>
    <s v="CONVICTION"/>
    <x v="0"/>
    <s v="N"/>
    <m/>
    <s v="CONVICTION"/>
    <s v="Y"/>
    <x v="0"/>
    <x v="0"/>
    <s v="N"/>
    <n v="0.94444444444444442"/>
    <n v="1"/>
    <n v="5.555555555555558E-2"/>
    <n v="0"/>
    <n v="-17"/>
    <n v="0"/>
    <n v="17"/>
    <e v="#VALUE!"/>
    <n v="17"/>
    <n v="0"/>
    <m/>
    <m/>
    <s v="Y"/>
    <m/>
    <s v="11-30 DAYS"/>
    <n v="2"/>
    <x v="0"/>
  </r>
  <r>
    <n v="2655"/>
    <s v="N"/>
    <s v="N"/>
    <n v="2581224"/>
    <n v="2"/>
    <d v="2012-04-08T00:00:00"/>
    <d v="2012-04-11T00:00:00"/>
    <n v="2581224"/>
    <d v="2012-04-08T00:00:00"/>
    <d v="2012-04-11T00:00:00"/>
    <n v="2000"/>
    <x v="5"/>
    <m/>
    <s v="N"/>
    <s v="NONE"/>
    <s v="DEFERRED ADJUDICATION "/>
    <n v="4"/>
    <n v="4"/>
    <n v="0"/>
    <n v="2"/>
    <m/>
    <m/>
    <m/>
    <m/>
    <m/>
    <m/>
    <m/>
    <m/>
    <m/>
    <d v="1991-05-31T00:00:00"/>
    <s v="F"/>
    <s v="B"/>
    <s v="BLACK"/>
    <s v="NULL"/>
    <s v="184"/>
    <s v="DEFERRED"/>
    <n v="2"/>
    <s v="DEFERRED"/>
    <m/>
    <m/>
    <m/>
    <s v="THEFT UNDER $1500 - 3RD OFF."/>
    <m/>
    <s v="FS"/>
    <s v="THEFT"/>
    <m/>
    <m/>
    <m/>
    <m/>
    <m/>
    <m/>
    <m/>
    <m/>
    <m/>
    <s v="Appointed Attorney"/>
    <m/>
    <m/>
    <n v="4"/>
    <n v="4"/>
    <n v="4"/>
    <n v="20.814207650273225"/>
    <n v="0"/>
    <n v="0"/>
    <s v="DEFERRED"/>
    <x v="0"/>
    <s v="N"/>
    <m/>
    <s v="DEFERRED"/>
    <s v="Y"/>
    <x v="0"/>
    <x v="0"/>
    <s v="N"/>
    <n v="1"/>
    <n v="1"/>
    <n v="0"/>
    <n v="0"/>
    <n v="-4"/>
    <n v="0"/>
    <n v="4"/>
    <e v="#VALUE!"/>
    <n v="4"/>
    <n v="0"/>
    <m/>
    <m/>
    <s v="Y"/>
    <m/>
    <s v="0-10 DAYS"/>
    <n v="1"/>
    <x v="0"/>
  </r>
  <r>
    <n v="3166"/>
    <s v="N"/>
    <s v="N"/>
    <n v="2581411"/>
    <n v="1"/>
    <d v="2012-04-26T00:00:00"/>
    <d v="2012-06-08T00:00:00"/>
    <n v="2581411"/>
    <d v="2012-04-27T00:00:00"/>
    <d v="2012-06-08T00:00:00"/>
    <n v="30000"/>
    <x v="2"/>
    <m/>
    <s v="N"/>
    <s v="NONE"/>
    <s v="NO BILL"/>
    <n v="43"/>
    <n v="44"/>
    <n v="0"/>
    <n v="2"/>
    <m/>
    <m/>
    <m/>
    <m/>
    <m/>
    <m/>
    <m/>
    <m/>
    <m/>
    <d v="1994-04-28T00:00:00"/>
    <s v="M"/>
    <s v="H"/>
    <s v="HISPANIC"/>
    <s v="HISPANIC"/>
    <s v="208"/>
    <s v="NO BILL"/>
    <n v="3"/>
    <s v="NO BILL"/>
    <m/>
    <m/>
    <m/>
    <s v="AGG ASSAULT W/DEADLY WEAPON"/>
    <m/>
    <s v="F2"/>
    <s v="ASLT-MURDR"/>
    <m/>
    <m/>
    <m/>
    <m/>
    <m/>
    <m/>
    <m/>
    <m/>
    <m/>
    <s v="Appointed Attorney"/>
    <m/>
    <m/>
    <n v="43"/>
    <n v="43"/>
    <n v="44"/>
    <n v="17.959016393442624"/>
    <n v="0"/>
    <n v="0"/>
    <s v="NO CONVICTION"/>
    <x v="0"/>
    <s v="N"/>
    <m/>
    <s v="NO CONVICTION"/>
    <s v="Y"/>
    <x v="0"/>
    <x v="0"/>
    <s v="N"/>
    <n v="0.97727272727272729"/>
    <n v="1"/>
    <n v="2.2727272727272707E-2"/>
    <n v="0"/>
    <n v="-43"/>
    <n v="0"/>
    <n v="43"/>
    <e v="#VALUE!"/>
    <n v="43"/>
    <n v="0"/>
    <m/>
    <m/>
    <s v="Y"/>
    <m/>
    <s v="31-60 DAYS"/>
    <n v="3"/>
    <x v="0"/>
  </r>
  <r>
    <n v="3168"/>
    <s v="N"/>
    <s v="N"/>
    <n v="2582209"/>
    <n v="2"/>
    <d v="2012-04-26T00:00:00"/>
    <d v="2013-02-04T00:00:00"/>
    <n v="2582209"/>
    <d v="2012-10-11T00:00:00"/>
    <d v="2012-10-12T00:00:00"/>
    <n v="2000"/>
    <x v="5"/>
    <d v="2012-10-12T00:00:00"/>
    <s v="Y"/>
    <s v="SURETY"/>
    <s v="DEFERRED ADJUDICATION "/>
    <n v="2"/>
    <n v="285"/>
    <n v="0"/>
    <n v="0"/>
    <m/>
    <m/>
    <m/>
    <m/>
    <m/>
    <m/>
    <m/>
    <m/>
    <m/>
    <d v="1991-08-19T00:00:00"/>
    <s v="F"/>
    <s v="B"/>
    <s v="BLACK"/>
    <s v="NULL"/>
    <s v="262"/>
    <s v="DEFERRED"/>
    <n v="10"/>
    <s v="DEFERRED"/>
    <m/>
    <m/>
    <m/>
    <s v="FORGERY"/>
    <m/>
    <s v="FS"/>
    <s v="OTHER FEL"/>
    <m/>
    <m/>
    <m/>
    <m/>
    <m/>
    <m/>
    <m/>
    <m/>
    <m/>
    <s v="Appointed Attorney"/>
    <m/>
    <m/>
    <n v="2"/>
    <n v="117"/>
    <n v="285"/>
    <n v="20.644808743169399"/>
    <n v="0"/>
    <n v="-115"/>
    <s v="DEFERRED"/>
    <x v="1"/>
    <s v="Y"/>
    <m/>
    <s v="DEFERRED"/>
    <s v="Y"/>
    <x v="1"/>
    <x v="0"/>
    <s v="N"/>
    <n v="7.0175438596491229E-3"/>
    <n v="1.7094017094017096E-2"/>
    <n v="1.0076473234367972E-2"/>
    <n v="0"/>
    <n v="-2"/>
    <n v="0"/>
    <n v="2"/>
    <e v="#VALUE!"/>
    <n v="2"/>
    <n v="0"/>
    <m/>
    <m/>
    <s v="N"/>
    <m/>
    <s v="0-10 DAYS"/>
    <n v="1"/>
    <x v="0"/>
  </r>
  <r>
    <n v="1785"/>
    <s v="N"/>
    <s v="N"/>
    <n v="2582484"/>
    <n v="2"/>
    <d v="2012-03-07T00:00:00"/>
    <d v="2012-04-03T00:00:00"/>
    <n v="2582484"/>
    <d v="2012-03-08T00:00:00"/>
    <d v="2012-04-03T00:00:00"/>
    <n v="10000"/>
    <x v="3"/>
    <m/>
    <s v="N"/>
    <s v="NONE"/>
    <s v="DEFERRED ADJUDICATION "/>
    <n v="27"/>
    <n v="28"/>
    <n v="0"/>
    <n v="1"/>
    <m/>
    <m/>
    <m/>
    <m/>
    <m/>
    <m/>
    <m/>
    <m/>
    <m/>
    <d v="1986-01-25T00:00:00"/>
    <s v="M"/>
    <s v="A"/>
    <s v="OTHER"/>
    <s v="NULL"/>
    <s v="177"/>
    <s v="DEFERRED"/>
    <n v="3"/>
    <s v="DEFERRED"/>
    <m/>
    <m/>
    <m/>
    <s v="POSS CS PG 4 28-200 GRAMS"/>
    <m/>
    <s v="F3"/>
    <s v="POSS DRUG"/>
    <m/>
    <m/>
    <m/>
    <m/>
    <m/>
    <m/>
    <m/>
    <m/>
    <m/>
    <s v="Appointed Attorney"/>
    <m/>
    <m/>
    <n v="27"/>
    <n v="27"/>
    <n v="28"/>
    <n v="26.060109289617486"/>
    <n v="0"/>
    <n v="0"/>
    <s v="DEFERRED"/>
    <x v="0"/>
    <s v="N"/>
    <m/>
    <s v="DEFERRED"/>
    <s v="Y"/>
    <x v="0"/>
    <x v="0"/>
    <s v="N"/>
    <n v="0.9642857142857143"/>
    <n v="1"/>
    <n v="3.5714285714285698E-2"/>
    <n v="0"/>
    <n v="-27"/>
    <n v="0"/>
    <n v="27"/>
    <e v="#VALUE!"/>
    <n v="27"/>
    <n v="0"/>
    <m/>
    <m/>
    <s v="Y"/>
    <m/>
    <s v="11-30 DAYS"/>
    <n v="2"/>
    <x v="0"/>
  </r>
  <r>
    <n v="1591"/>
    <s v="N"/>
    <s v="N"/>
    <n v="2582491"/>
    <n v="2"/>
    <d v="2012-02-29T00:00:00"/>
    <d v="2012-12-20T00:00:00"/>
    <n v="2582491"/>
    <d v="2012-02-29T00:00:00"/>
    <d v="2012-03-02T00:00:00"/>
    <n v="10000"/>
    <x v="3"/>
    <d v="2012-03-02T00:00:00"/>
    <s v="Y"/>
    <s v="SURETY"/>
    <s v="DEFERRED ADJUDICATION "/>
    <n v="3"/>
    <n v="296"/>
    <n v="0"/>
    <n v="0"/>
    <m/>
    <m/>
    <m/>
    <m/>
    <m/>
    <m/>
    <m/>
    <s v="S"/>
    <m/>
    <d v="1994-04-03T00:00:00"/>
    <s v="M"/>
    <s v="H"/>
    <s v="HISPANIC"/>
    <s v="NULL"/>
    <s v="209"/>
    <s v="DEFERRED"/>
    <n v="9"/>
    <s v="DEFERRED"/>
    <m/>
    <m/>
    <m/>
    <s v="BURGLARY OF HABITATION"/>
    <m/>
    <s v="F2"/>
    <s v="BURGLARY"/>
    <m/>
    <m/>
    <m/>
    <m/>
    <m/>
    <m/>
    <m/>
    <m/>
    <m/>
    <s v="Hired Attorney"/>
    <m/>
    <m/>
    <n v="3"/>
    <n v="296"/>
    <n v="296"/>
    <n v="17.871584699453553"/>
    <n v="0"/>
    <n v="-293"/>
    <s v="DEFERRED"/>
    <x v="1"/>
    <s v="Y"/>
    <m/>
    <s v="DEFERRED"/>
    <s v="Y"/>
    <x v="1"/>
    <x v="0"/>
    <s v="N"/>
    <n v="1.0135135135135136E-2"/>
    <n v="1.0135135135135136E-2"/>
    <n v="0"/>
    <n v="0"/>
    <n v="-3"/>
    <n v="0"/>
    <n v="3"/>
    <e v="#VALUE!"/>
    <n v="3"/>
    <n v="0"/>
    <m/>
    <m/>
    <s v="N"/>
    <m/>
    <s v="0-10 DAYS"/>
    <n v="1"/>
    <x v="0"/>
  </r>
  <r>
    <n v="3073"/>
    <s v="Y"/>
    <s v="Y"/>
    <n v="2582726"/>
    <n v="4"/>
    <d v="2012-04-24T00:00:00"/>
    <d v="2012-07-20T00:00:00"/>
    <n v="2582726"/>
    <d v="2012-04-24T00:00:00"/>
    <d v="2012-04-24T00:00:00"/>
    <n v="2000"/>
    <x v="5"/>
    <d v="2012-04-24T00:00:00"/>
    <s v="Y"/>
    <s v="SURETYPTRc"/>
    <s v="GUILTY PLEA - NO JURY"/>
    <n v="41"/>
    <n v="88"/>
    <n v="0"/>
    <n v="0"/>
    <m/>
    <m/>
    <m/>
    <m/>
    <m/>
    <m/>
    <m/>
    <m/>
    <m/>
    <d v="1988-12-22T00:00:00"/>
    <s v="M"/>
    <s v="B"/>
    <s v="BLACK"/>
    <s v="NULL"/>
    <s v="248"/>
    <s v="CONVICTED"/>
    <n v="5"/>
    <s v="HCJ"/>
    <m/>
    <m/>
    <n v="80"/>
    <s v="POSS MARIJ  4 OZ. - 5 LBS."/>
    <m/>
    <s v="FS"/>
    <s v="POSS DRUG"/>
    <m/>
    <s v="bd revoked 61/12"/>
    <m/>
    <m/>
    <s v="Y"/>
    <m/>
    <m/>
    <m/>
    <m/>
    <s v="Hired Attorney"/>
    <s v="m pmarj 6/3/13 hcj 15 d"/>
    <m/>
    <n v="41"/>
    <n v="88"/>
    <n v="88"/>
    <n v="23.289617486338798"/>
    <n v="0"/>
    <n v="-87"/>
    <s v="CONVICTION"/>
    <x v="1"/>
    <s v="Y"/>
    <m/>
    <s v="CONVICTION"/>
    <s v="Y"/>
    <x v="0"/>
    <x v="0"/>
    <s v="N"/>
    <n v="0.46590909090909088"/>
    <n v="1.1363636363636364E-2"/>
    <n v="-0.45454545454545453"/>
    <n v="0"/>
    <n v="-1"/>
    <n v="40"/>
    <n v="88"/>
    <n v="41"/>
    <n v="88"/>
    <n v="87"/>
    <m/>
    <m/>
    <s v="N"/>
    <m/>
    <s v="31-60 DAYS"/>
    <n v="3"/>
    <x v="0"/>
  </r>
  <r>
    <n v="1942"/>
    <s v="N"/>
    <s v="N"/>
    <n v="2582799"/>
    <n v="4"/>
    <d v="2012-03-13T00:00:00"/>
    <d v="2012-03-15T00:00:00"/>
    <n v="2582799"/>
    <d v="2012-03-14T00:00:00"/>
    <d v="2012-03-15T00:00:00"/>
    <n v="15000"/>
    <x v="0"/>
    <m/>
    <s v="N"/>
    <s v="NONE"/>
    <s v="GUILTY PLEA - NO JURY"/>
    <n v="2"/>
    <n v="3"/>
    <n v="0"/>
    <n v="2"/>
    <m/>
    <m/>
    <m/>
    <m/>
    <m/>
    <m/>
    <m/>
    <m/>
    <m/>
    <d v="1987-07-17T00:00:00"/>
    <s v="F"/>
    <s v="H"/>
    <s v="HISPANIC"/>
    <s v="HISPANIC"/>
    <s v="183"/>
    <s v="CONVICTED"/>
    <n v="1"/>
    <s v="HCJ"/>
    <m/>
    <m/>
    <n v="100"/>
    <s v="THEFT UNDER $1500 - 3RD OFF."/>
    <m/>
    <s v="FS"/>
    <s v="THEFT"/>
    <m/>
    <m/>
    <m/>
    <m/>
    <m/>
    <m/>
    <m/>
    <m/>
    <m/>
    <s v="Appointed Attorney"/>
    <m/>
    <m/>
    <n v="2"/>
    <n v="2"/>
    <n v="3"/>
    <n v="24.606557377049182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1188"/>
    <s v="N"/>
    <s v="N"/>
    <n v="2582823"/>
    <n v="2"/>
    <d v="2012-02-13T00:00:00"/>
    <d v="2012-02-15T00:00:00"/>
    <n v="2582823"/>
    <d v="2012-02-13T00:00:00"/>
    <d v="2012-02-15T00:00:00"/>
    <n v="10000"/>
    <x v="3"/>
    <m/>
    <s v="N"/>
    <s v="NONE"/>
    <s v="DEFERRED ADJUDICATION "/>
    <n v="3"/>
    <n v="3"/>
    <n v="0"/>
    <n v="3"/>
    <m/>
    <m/>
    <m/>
    <m/>
    <m/>
    <m/>
    <m/>
    <m/>
    <m/>
    <d v="1994-04-06T00:00:00"/>
    <s v="M"/>
    <s v="W"/>
    <s v="WHITE"/>
    <s v="NULL"/>
    <s v="180"/>
    <s v="DEFERRED"/>
    <n v="1"/>
    <s v="DEFERRED"/>
    <m/>
    <m/>
    <m/>
    <s v="BURGLARY OF HABITATION"/>
    <m/>
    <s v="F2"/>
    <s v="BURGLARY"/>
    <m/>
    <m/>
    <m/>
    <m/>
    <m/>
    <m/>
    <m/>
    <m/>
    <m/>
    <s v="Appointed Attorney"/>
    <m/>
    <m/>
    <n v="3"/>
    <n v="3"/>
    <n v="3"/>
    <n v="17.819672131147541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Y"/>
    <m/>
    <s v="0-10 DAYS"/>
    <n v="1"/>
    <x v="0"/>
  </r>
  <r>
    <n v="1082"/>
    <s v="N"/>
    <s v="N"/>
    <n v="2582825"/>
    <n v="6"/>
    <d v="2012-02-09T00:00:00"/>
    <d v="2012-11-20T00:00:00"/>
    <n v="2582825"/>
    <d v="2012-02-11T00:00:00"/>
    <d v="2012-11-20T00:00:00"/>
    <n v="275000"/>
    <x v="2"/>
    <m/>
    <s v="N"/>
    <s v="NONE"/>
    <s v="GUILTY PLEA - NO JURY"/>
    <n v="284"/>
    <n v="286"/>
    <n v="0"/>
    <n v="1"/>
    <m/>
    <m/>
    <m/>
    <m/>
    <m/>
    <m/>
    <m/>
    <m/>
    <m/>
    <d v="1994-07-30T00:00:00"/>
    <s v="M"/>
    <s v="B"/>
    <s v="BLACK"/>
    <s v="NON-HISPANIC"/>
    <s v="338"/>
    <s v="CONVICTED"/>
    <n v="11"/>
    <s v="TDC"/>
    <n v="8"/>
    <m/>
    <m/>
    <s v="AGG ROBBERY-DEADLY WPN"/>
    <m/>
    <s v="F1"/>
    <s v="ROBBERY"/>
    <m/>
    <m/>
    <m/>
    <m/>
    <m/>
    <m/>
    <m/>
    <m/>
    <m/>
    <s v="Hired Attorney"/>
    <m/>
    <m/>
    <n v="284"/>
    <n v="284"/>
    <n v="286"/>
    <n v="17.494535519125684"/>
    <n v="0"/>
    <n v="0"/>
    <s v="CONVICTION"/>
    <x v="0"/>
    <s v="N"/>
    <m/>
    <s v="CONVICTION"/>
    <s v="Y"/>
    <x v="0"/>
    <x v="0"/>
    <s v="N"/>
    <n v="0.99300699300699302"/>
    <n v="1"/>
    <n v="6.9930069930069783E-3"/>
    <n v="0"/>
    <n v="-284"/>
    <n v="0"/>
    <n v="284"/>
    <e v="#VALUE!"/>
    <n v="284"/>
    <n v="0"/>
    <m/>
    <m/>
    <s v="Y"/>
    <m/>
    <s v="121-365 DAYS"/>
    <n v="6"/>
    <x v="0"/>
  </r>
  <r>
    <n v="1315"/>
    <s v="N"/>
    <s v="N"/>
    <n v="2583206"/>
    <n v="2"/>
    <d v="2012-02-17T00:00:00"/>
    <d v="2012-04-11T00:00:00"/>
    <n v="2583206"/>
    <d v="2012-02-21T00:00:00"/>
    <d v="2012-04-11T00:00:00"/>
    <n v="35000"/>
    <x v="2"/>
    <m/>
    <s v="N"/>
    <s v="NONE"/>
    <s v="DEFERRED ADJUDICATION "/>
    <n v="51"/>
    <n v="55"/>
    <n v="0"/>
    <n v="1"/>
    <m/>
    <m/>
    <m/>
    <m/>
    <m/>
    <m/>
    <m/>
    <m/>
    <m/>
    <d v="1990-08-02T00:00:00"/>
    <s v="F"/>
    <s v="W"/>
    <s v="WHITE"/>
    <s v="NULL"/>
    <s v="230"/>
    <s v="DEFERRED"/>
    <n v="5"/>
    <s v="DEFERRED"/>
    <m/>
    <m/>
    <m/>
    <s v="CRIM MISCH &gt;=$1500 &lt;$20K"/>
    <m/>
    <s v="FS"/>
    <s v="OTHER FEL"/>
    <s v="rev 8/15/12 VOIH 8/15/12 hcj 10 mos"/>
    <m/>
    <m/>
    <m/>
    <m/>
    <m/>
    <m/>
    <m/>
    <m/>
    <s v="Appointed Attorney"/>
    <m/>
    <m/>
    <n v="51"/>
    <n v="51"/>
    <n v="55"/>
    <n v="21.5"/>
    <n v="0"/>
    <n v="0"/>
    <s v="DEFERRED"/>
    <x v="0"/>
    <s v="N"/>
    <m/>
    <s v="DEFERRED"/>
    <s v="Y"/>
    <x v="0"/>
    <x v="0"/>
    <s v="N"/>
    <n v="0.92727272727272725"/>
    <n v="1"/>
    <n v="7.2727272727272751E-2"/>
    <n v="0"/>
    <n v="-51"/>
    <n v="0"/>
    <n v="51"/>
    <e v="#VALUE!"/>
    <n v="51"/>
    <n v="0"/>
    <m/>
    <m/>
    <s v="Y"/>
    <m/>
    <s v="31-60 DAYS"/>
    <n v="3"/>
    <x v="0"/>
  </r>
  <r>
    <n v="2471"/>
    <s v="N"/>
    <s v="N"/>
    <n v="2583230"/>
    <n v="2"/>
    <d v="2012-04-03T00:00:00"/>
    <d v="2012-04-05T00:00:00"/>
    <n v="2583230"/>
    <d v="2012-04-03T00:00:00"/>
    <d v="2012-04-05T00:00:00"/>
    <n v="2000"/>
    <x v="5"/>
    <m/>
    <s v="N"/>
    <s v="NONE"/>
    <s v="DEFERRED ADJUDICATION "/>
    <n v="3"/>
    <n v="3"/>
    <n v="0"/>
    <n v="0"/>
    <m/>
    <m/>
    <m/>
    <m/>
    <m/>
    <m/>
    <m/>
    <m/>
    <m/>
    <d v="1986-10-27T00:00:00"/>
    <s v="M"/>
    <s v="B"/>
    <s v="BLACK"/>
    <s v="NULL"/>
    <s v="262"/>
    <s v="DEFERRED"/>
    <n v="2"/>
    <s v="DEFERRED"/>
    <m/>
    <m/>
    <m/>
    <s v="ILLEGAL DUMPING 1ST OFFENSE"/>
    <m/>
    <s v="FS"/>
    <s v="OTHER FEL"/>
    <m/>
    <m/>
    <m/>
    <m/>
    <m/>
    <m/>
    <m/>
    <m/>
    <m/>
    <s v="Appointed Attorney"/>
    <m/>
    <m/>
    <n v="3"/>
    <n v="3"/>
    <n v="3"/>
    <n v="25.382513661202186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715"/>
    <s v="N"/>
    <s v="N"/>
    <n v="2583906"/>
    <n v="2"/>
    <d v="2012-01-28T00:00:00"/>
    <d v="2012-04-25T00:00:00"/>
    <n v="2583906"/>
    <d v="2012-01-29T00:00:00"/>
    <d v="2012-02-01T00:00:00"/>
    <n v="2000"/>
    <x v="5"/>
    <d v="2012-02-01T00:00:00"/>
    <s v="Y"/>
    <s v="SURETY"/>
    <s v="DEFERRED ADJUDICATION "/>
    <n v="4"/>
    <n v="89"/>
    <n v="0"/>
    <n v="0"/>
    <m/>
    <m/>
    <m/>
    <m/>
    <m/>
    <m/>
    <m/>
    <m/>
    <m/>
    <d v="1991-03-13T00:00:00"/>
    <s v="F"/>
    <s v="B"/>
    <s v="BLACK"/>
    <s v="NULL"/>
    <s v="180"/>
    <s v="DEFERRED"/>
    <n v="6"/>
    <s v="DEFERRED"/>
    <m/>
    <m/>
    <m/>
    <s v="FORGERY"/>
    <m/>
    <s v="FS"/>
    <s v="OTHER FEL"/>
    <s v="bk 7/25/12  viol 30 days hcj amended cop"/>
    <m/>
    <m/>
    <m/>
    <m/>
    <m/>
    <m/>
    <m/>
    <m/>
    <s v="Hired Attorney"/>
    <m/>
    <m/>
    <n v="4"/>
    <n v="88"/>
    <n v="89"/>
    <n v="20.83606557377049"/>
    <n v="0"/>
    <n v="-84"/>
    <s v="DEFERRED"/>
    <x v="1"/>
    <s v="Y"/>
    <m/>
    <s v="DEFERRED"/>
    <s v="Y"/>
    <x v="1"/>
    <x v="0"/>
    <s v="N"/>
    <n v="4.49438202247191E-2"/>
    <n v="4.5454545454545456E-2"/>
    <n v="5.1072522982635593E-4"/>
    <n v="0"/>
    <n v="-4"/>
    <n v="0"/>
    <n v="4"/>
    <e v="#VALUE!"/>
    <n v="4"/>
    <n v="0"/>
    <m/>
    <m/>
    <s v="N"/>
    <m/>
    <s v="0-10 DAYS"/>
    <n v="1"/>
    <x v="0"/>
  </r>
  <r>
    <n v="2257"/>
    <s v="N"/>
    <s v="N"/>
    <n v="2583964"/>
    <n v="2"/>
    <d v="2012-03-25T00:00:00"/>
    <d v="2012-04-13T00:00:00"/>
    <n v="2583964"/>
    <d v="2012-03-27T00:00:00"/>
    <d v="2012-04-13T00:00:00"/>
    <n v="2000"/>
    <x v="5"/>
    <m/>
    <s v="N"/>
    <s v="NONE"/>
    <s v="DEFERRED ADJUDICATION "/>
    <n v="18"/>
    <n v="20"/>
    <n v="0"/>
    <n v="0"/>
    <m/>
    <m/>
    <m/>
    <m/>
    <m/>
    <m/>
    <m/>
    <m/>
    <m/>
    <d v="1989-10-21T00:00:00"/>
    <s v="M"/>
    <s v="W"/>
    <s v="WHITE"/>
    <s v="NULL"/>
    <s v="182"/>
    <s v="DEFERRED"/>
    <n v="4"/>
    <s v="DEFERRED"/>
    <m/>
    <m/>
    <m/>
    <s v="THEFT $1500-20K"/>
    <m/>
    <s v="FS"/>
    <s v="THEFT"/>
    <s v="def adj revoked 10/11/12 hcj 9 mos FREP 9/11/12  "/>
    <m/>
    <m/>
    <m/>
    <m/>
    <m/>
    <m/>
    <m/>
    <m/>
    <s v="Appointed Attorney"/>
    <m/>
    <m/>
    <n v="18"/>
    <n v="18"/>
    <n v="20"/>
    <n v="22.379781420765028"/>
    <n v="0"/>
    <n v="0"/>
    <s v="DEFERRED"/>
    <x v="0"/>
    <s v="N"/>
    <m/>
    <s v="DEFERRED"/>
    <s v="Y"/>
    <x v="0"/>
    <x v="0"/>
    <s v="N"/>
    <n v="0.9"/>
    <n v="1"/>
    <n v="9.9999999999999978E-2"/>
    <n v="0"/>
    <n v="-18"/>
    <n v="0"/>
    <n v="18"/>
    <e v="#VALUE!"/>
    <n v="18"/>
    <n v="0"/>
    <m/>
    <m/>
    <s v="N"/>
    <m/>
    <s v="11-30 DAYS"/>
    <n v="2"/>
    <x v="0"/>
  </r>
  <r>
    <n v="278"/>
    <s v="N"/>
    <s v="N"/>
    <n v="2584002"/>
    <n v="1"/>
    <d v="2012-01-12T00:00:00"/>
    <d v="2012-04-23T00:00:00"/>
    <n v="2584002"/>
    <d v="2012-04-18T00:00:00"/>
    <d v="2012-04-23T00:00:00"/>
    <n v="10000"/>
    <x v="3"/>
    <m/>
    <s v="N"/>
    <s v="NONE"/>
    <s v="DISMISSED"/>
    <n v="6"/>
    <n v="103"/>
    <n v="0"/>
    <n v="1"/>
    <m/>
    <m/>
    <m/>
    <m/>
    <m/>
    <m/>
    <m/>
    <s v="S"/>
    <m/>
    <d v="1994-07-02T00:00:00"/>
    <s v="M"/>
    <s v="H"/>
    <s v="HISPANIC"/>
    <s v="NULL"/>
    <s v="180"/>
    <s v="DISMISSED"/>
    <n v="3"/>
    <s v="DISMISSED"/>
    <m/>
    <m/>
    <m/>
    <s v="ROBBERY-THREATS"/>
    <m/>
    <s v="F2"/>
    <s v="ROBBERY"/>
    <m/>
    <m/>
    <m/>
    <m/>
    <m/>
    <m/>
    <m/>
    <m/>
    <m/>
    <s v="Appointed Attorney"/>
    <m/>
    <m/>
    <n v="6"/>
    <n v="6"/>
    <n v="103"/>
    <n v="17.494535519125684"/>
    <n v="0"/>
    <n v="0"/>
    <s v="NO CONVICTION"/>
    <x v="0"/>
    <s v="N"/>
    <m/>
    <s v="NO CONVICTION"/>
    <s v="Y"/>
    <x v="0"/>
    <x v="0"/>
    <s v="N"/>
    <n v="5.8252427184466021E-2"/>
    <n v="1"/>
    <n v="0.94174757281553401"/>
    <n v="0"/>
    <n v="-6"/>
    <n v="0"/>
    <n v="6"/>
    <e v="#VALUE!"/>
    <n v="6"/>
    <n v="0"/>
    <m/>
    <m/>
    <s v="Y"/>
    <m/>
    <s v="0-10 DAYS"/>
    <n v="1"/>
    <x v="0"/>
  </r>
  <r>
    <n v="2543"/>
    <s v="N"/>
    <s v="N"/>
    <n v="2584811"/>
    <n v="2"/>
    <d v="2012-04-05T00:00:00"/>
    <d v="2012-04-09T00:00:00"/>
    <n v="2584811"/>
    <d v="2012-04-05T00:00:00"/>
    <d v="2012-04-09T00:00:00"/>
    <n v="2000"/>
    <x v="5"/>
    <m/>
    <s v="N"/>
    <s v="NONE"/>
    <s v="DEFERRED ADJUDICATION "/>
    <n v="5"/>
    <n v="5"/>
    <n v="0"/>
    <n v="0"/>
    <m/>
    <m/>
    <m/>
    <m/>
    <m/>
    <m/>
    <m/>
    <m/>
    <m/>
    <d v="1993-10-25T00:00:00"/>
    <s v="M"/>
    <s v="B"/>
    <s v="BLACK"/>
    <s v="NULL"/>
    <s v="182"/>
    <s v="DEFERRED"/>
    <n v="3"/>
    <s v="DEFERRED"/>
    <m/>
    <m/>
    <m/>
    <s v="POSS CS PG 1 &lt;1G"/>
    <m/>
    <s v="FS"/>
    <s v="POSS DRUG"/>
    <s v=" def adj glt revoked 9/11/12  stj 6mos"/>
    <m/>
    <m/>
    <m/>
    <m/>
    <m/>
    <m/>
    <m/>
    <m/>
    <s v="Appointed Attorney"/>
    <m/>
    <m/>
    <n v="5"/>
    <n v="5"/>
    <n v="5"/>
    <n v="18.407103825136613"/>
    <n v="0"/>
    <n v="0"/>
    <s v="DEFERRED"/>
    <x v="0"/>
    <s v="N"/>
    <m/>
    <s v="DEFERRED"/>
    <s v="Y"/>
    <x v="0"/>
    <x v="0"/>
    <s v="N"/>
    <n v="1"/>
    <n v="1"/>
    <n v="0"/>
    <n v="0"/>
    <n v="-5"/>
    <n v="0"/>
    <n v="5"/>
    <e v="#VALUE!"/>
    <n v="5"/>
    <n v="0"/>
    <m/>
    <m/>
    <s v="N"/>
    <m/>
    <s v="0-10 DAYS"/>
    <n v="1"/>
    <x v="0"/>
  </r>
  <r>
    <n v="356"/>
    <s v="N"/>
    <s v="N"/>
    <n v="2585750"/>
    <n v="2"/>
    <d v="2012-01-14T00:00:00"/>
    <d v="2012-05-22T00:00:00"/>
    <n v="2585750"/>
    <d v="2012-01-15T00:00:00"/>
    <d v="2012-01-15T00:00:00"/>
    <n v="2000"/>
    <x v="5"/>
    <d v="2012-01-15T00:00:00"/>
    <s v="Y"/>
    <s v="SURETY"/>
    <s v="DEFERRED ADJUDICATION "/>
    <n v="1"/>
    <n v="130"/>
    <n v="0"/>
    <n v="1"/>
    <m/>
    <m/>
    <m/>
    <m/>
    <m/>
    <m/>
    <m/>
    <m/>
    <m/>
    <d v="1992-12-14T00:00:00"/>
    <s v="F"/>
    <s v="B"/>
    <s v="BLACK"/>
    <s v="NON-HISPANIC"/>
    <s v="174"/>
    <s v="DEFERRED"/>
    <n v="5"/>
    <s v="DEFERRED"/>
    <m/>
    <m/>
    <m/>
    <s v="THEFT $1500-20K"/>
    <m/>
    <s v="FS"/>
    <s v="THEFT"/>
    <m/>
    <m/>
    <m/>
    <m/>
    <m/>
    <m/>
    <m/>
    <m/>
    <m/>
    <s v="Hired Attorney"/>
    <m/>
    <m/>
    <n v="1"/>
    <n v="129"/>
    <n v="130"/>
    <n v="19.043715846994534"/>
    <n v="0"/>
    <n v="-128"/>
    <s v="DEFERRED"/>
    <x v="1"/>
    <s v="Y"/>
    <m/>
    <s v="DEFERRED"/>
    <s v="Y"/>
    <x v="1"/>
    <x v="0"/>
    <s v="N"/>
    <n v="7.6923076923076927E-3"/>
    <n v="7.7519379844961239E-3"/>
    <n v="5.9630292188431189E-5"/>
    <n v="0"/>
    <n v="-1"/>
    <n v="0"/>
    <n v="1"/>
    <e v="#VALUE!"/>
    <n v="1"/>
    <n v="0"/>
    <m/>
    <m/>
    <s v="Y"/>
    <m/>
    <s v="0-10 DAYS"/>
    <n v="1"/>
    <x v="0"/>
  </r>
  <r>
    <n v="1158"/>
    <s v="N"/>
    <s v="N"/>
    <n v="2585794"/>
    <n v="2"/>
    <d v="2012-02-11T00:00:00"/>
    <d v="2012-05-31T00:00:00"/>
    <n v="2585794"/>
    <d v="2012-02-11T00:00:00"/>
    <d v="2012-05-31T00:00:00"/>
    <n v="30000"/>
    <x v="2"/>
    <m/>
    <s v="N"/>
    <s v="NONE"/>
    <s v="DEFERRED ADJUDICATION "/>
    <n v="111"/>
    <n v="111"/>
    <n v="0"/>
    <n v="2"/>
    <m/>
    <m/>
    <m/>
    <m/>
    <m/>
    <m/>
    <m/>
    <m/>
    <m/>
    <d v="1992-12-29T00:00:00"/>
    <s v="M"/>
    <s v="B"/>
    <s v="BLACK"/>
    <s v="NULL"/>
    <s v="339"/>
    <s v="DEFERRED"/>
    <n v="7"/>
    <s v="DEFERRED"/>
    <m/>
    <m/>
    <m/>
    <s v="AGG ROBBERY-DEADLY WPN"/>
    <m/>
    <s v="F1"/>
    <s v="ROBBERY"/>
    <m/>
    <m/>
    <m/>
    <m/>
    <m/>
    <m/>
    <m/>
    <m/>
    <m/>
    <s v="Appointed Attorney"/>
    <m/>
    <m/>
    <n v="111"/>
    <n v="111"/>
    <n v="111"/>
    <n v="19.079234972677597"/>
    <n v="0"/>
    <n v="0"/>
    <s v="DEFERRED"/>
    <x v="0"/>
    <s v="N"/>
    <m/>
    <s v="DEFERRED"/>
    <s v="Y"/>
    <x v="0"/>
    <x v="0"/>
    <s v="N"/>
    <n v="1"/>
    <n v="1"/>
    <n v="0"/>
    <n v="0"/>
    <n v="-111"/>
    <n v="0"/>
    <n v="111"/>
    <e v="#VALUE!"/>
    <n v="111"/>
    <n v="0"/>
    <m/>
    <m/>
    <s v="Y"/>
    <m/>
    <s v="91-120 DAYS"/>
    <n v="0"/>
    <x v="0"/>
  </r>
  <r>
    <n v="1920"/>
    <s v="N"/>
    <s v="N"/>
    <n v="2586060"/>
    <n v="5"/>
    <d v="2012-03-12T00:00:00"/>
    <d v="2012-03-30T00:00:00"/>
    <n v="2586060"/>
    <d v="2012-03-13T00:00:00"/>
    <d v="2012-03-30T00:00:00"/>
    <n v="2000"/>
    <x v="5"/>
    <m/>
    <s v="N"/>
    <s v="NONE"/>
    <s v="GUILTY PLEA - NO JURY"/>
    <n v="18"/>
    <n v="19"/>
    <n v="0"/>
    <n v="1"/>
    <m/>
    <m/>
    <m/>
    <m/>
    <m/>
    <m/>
    <m/>
    <m/>
    <m/>
    <d v="1994-03-07T00:00:00"/>
    <s v="M"/>
    <s v="null"/>
    <s v="OTHER"/>
    <s v="NULL"/>
    <s v="232"/>
    <s v="CONVICTED"/>
    <n v="2"/>
    <s v="STJ"/>
    <m/>
    <n v="6"/>
    <m/>
    <s v="UNAUTH USE OF VEHICLE"/>
    <m/>
    <s v="FS"/>
    <s v="AUTO THEFT"/>
    <m/>
    <m/>
    <m/>
    <m/>
    <m/>
    <m/>
    <m/>
    <m/>
    <m/>
    <s v="Public Defender"/>
    <m/>
    <m/>
    <n v="18"/>
    <n v="18"/>
    <n v="19"/>
    <n v="17.978142076502731"/>
    <n v="0"/>
    <n v="0"/>
    <s v="CONVICTION"/>
    <x v="0"/>
    <s v="N"/>
    <m/>
    <s v="CONVICTION"/>
    <s v="Y"/>
    <x v="0"/>
    <x v="0"/>
    <s v="N"/>
    <n v="0.94736842105263153"/>
    <n v="1"/>
    <n v="5.2631578947368474E-2"/>
    <n v="0"/>
    <n v="-18"/>
    <n v="0"/>
    <n v="18"/>
    <e v="#VALUE!"/>
    <n v="18"/>
    <n v="0"/>
    <m/>
    <m/>
    <s v="Y"/>
    <m/>
    <s v="11-30 DAYS"/>
    <n v="2"/>
    <x v="0"/>
  </r>
  <r>
    <n v="2236"/>
    <s v="N"/>
    <s v="N"/>
    <n v="2586462"/>
    <n v="6"/>
    <d v="2012-03-25T00:00:00"/>
    <d v="2012-08-07T00:00:00"/>
    <n v="2586462"/>
    <d v="2012-03-25T00:00:00"/>
    <d v="2012-08-07T00:00:00"/>
    <s v="NO BOND"/>
    <x v="1"/>
    <m/>
    <s v="N"/>
    <s v="NONE"/>
    <s v="GUILTY PLEA - NO JURY"/>
    <n v="136"/>
    <n v="136"/>
    <n v="0"/>
    <n v="0"/>
    <m/>
    <m/>
    <m/>
    <m/>
    <m/>
    <m/>
    <m/>
    <m/>
    <m/>
    <d v="1991-06-29T00:00:00"/>
    <s v="M"/>
    <s v="B"/>
    <s v="BLACK"/>
    <s v="NULL"/>
    <s v="180"/>
    <s v="CONVICTED"/>
    <n v="5"/>
    <s v="TDC"/>
    <n v="5"/>
    <m/>
    <m/>
    <s v="AGG ROBBERY-DEADLY WPN"/>
    <m/>
    <s v="F1"/>
    <s v="ROBBERY"/>
    <m/>
    <m/>
    <m/>
    <m/>
    <m/>
    <m/>
    <m/>
    <m/>
    <m/>
    <s v="Appointed Attorney"/>
    <m/>
    <m/>
    <n v="136"/>
    <n v="136"/>
    <n v="136"/>
    <n v="20.696721311475411"/>
    <n v="0"/>
    <n v="0"/>
    <s v="CONVICTION"/>
    <x v="0"/>
    <s v="N"/>
    <m/>
    <s v="CONVICTION"/>
    <s v="Y"/>
    <x v="0"/>
    <x v="0"/>
    <s v="N"/>
    <n v="1"/>
    <n v="1"/>
    <n v="0"/>
    <n v="0"/>
    <n v="-136"/>
    <n v="0"/>
    <n v="136"/>
    <e v="#VALUE!"/>
    <n v="136"/>
    <n v="0"/>
    <m/>
    <m/>
    <s v="N"/>
    <m/>
    <s v="121-365 DAYS"/>
    <n v="6"/>
    <x v="0"/>
  </r>
  <r>
    <n v="2921"/>
    <s v="N"/>
    <s v="N"/>
    <n v="2587532"/>
    <n v="4"/>
    <d v="2012-04-18T00:00:00"/>
    <d v="2012-06-28T00:00:00"/>
    <n v="2587532"/>
    <d v="2012-04-18T00:00:00"/>
    <d v="2012-06-28T00:00:00"/>
    <s v="NO BOND"/>
    <x v="1"/>
    <m/>
    <s v="N"/>
    <s v="NONE"/>
    <s v="GUILTY PLEA - NO JURY"/>
    <n v="72"/>
    <n v="72"/>
    <n v="0"/>
    <n v="0"/>
    <m/>
    <m/>
    <m/>
    <m/>
    <m/>
    <m/>
    <m/>
    <m/>
    <m/>
    <d v="1989-04-10T00:00:00"/>
    <s v="M"/>
    <s v="B"/>
    <s v="BLACK"/>
    <s v="NON-HISPANIC"/>
    <s v="182"/>
    <s v="CONVICTED"/>
    <n v="3"/>
    <s v="HCJ"/>
    <m/>
    <m/>
    <n v="180"/>
    <s v="AGG ASSAULT-FAMILY MEMBER"/>
    <m/>
    <s v="F2"/>
    <s v="ASLT-MURDR"/>
    <m/>
    <m/>
    <m/>
    <m/>
    <m/>
    <m/>
    <m/>
    <m/>
    <m/>
    <s v="Appointed Attorney"/>
    <m/>
    <m/>
    <n v="72"/>
    <n v="72"/>
    <n v="72"/>
    <n v="22.975409836065573"/>
    <n v="0"/>
    <n v="0"/>
    <s v="CONVICTION"/>
    <x v="0"/>
    <s v="N"/>
    <m/>
    <s v="CONVICTION"/>
    <s v="Y"/>
    <x v="0"/>
    <x v="0"/>
    <s v="N"/>
    <n v="1"/>
    <n v="1"/>
    <n v="0"/>
    <n v="0"/>
    <n v="-72"/>
    <n v="0"/>
    <n v="72"/>
    <e v="#VALUE!"/>
    <n v="72"/>
    <n v="0"/>
    <m/>
    <m/>
    <s v="N"/>
    <m/>
    <s v="61-90 DAYS"/>
    <n v="4"/>
    <x v="0"/>
  </r>
  <r>
    <n v="1420"/>
    <s v="N"/>
    <s v="N"/>
    <n v="2587540"/>
    <n v="2"/>
    <d v="2012-02-22T00:00:00"/>
    <d v="2012-11-29T00:00:00"/>
    <n v="2587540"/>
    <d v="2012-02-23T00:00:00"/>
    <d v="2012-02-25T00:00:00"/>
    <n v="2000"/>
    <x v="5"/>
    <d v="2012-02-25T00:00:00"/>
    <s v="Y"/>
    <s v="SURETY"/>
    <s v="DEFERRED ADJUDICATION "/>
    <n v="3"/>
    <n v="282"/>
    <n v="0"/>
    <n v="0"/>
    <m/>
    <m/>
    <m/>
    <m/>
    <m/>
    <m/>
    <m/>
    <m/>
    <m/>
    <d v="1993-09-02T00:00:00"/>
    <s v="F"/>
    <s v="B"/>
    <s v="BLACK"/>
    <s v="NULL"/>
    <s v="208"/>
    <s v="DEFERRED"/>
    <n v="11"/>
    <s v="DEFERRED"/>
    <m/>
    <m/>
    <m/>
    <s v="THEFT FROM PERSON"/>
    <m/>
    <s v="FS"/>
    <s v="THEFT"/>
    <m/>
    <m/>
    <m/>
    <m/>
    <m/>
    <m/>
    <m/>
    <m/>
    <m/>
    <s v="Hired Attorney"/>
    <m/>
    <m/>
    <n v="3"/>
    <n v="281"/>
    <n v="282"/>
    <n v="18.434426229508198"/>
    <n v="0"/>
    <n v="-278"/>
    <s v="DEFERRED"/>
    <x v="1"/>
    <s v="Y"/>
    <m/>
    <s v="DEFERRED"/>
    <s v="Y"/>
    <x v="1"/>
    <x v="0"/>
    <s v="N"/>
    <n v="1.0638297872340425E-2"/>
    <n v="1.0676156583629894E-2"/>
    <n v="3.7858711289468286E-5"/>
    <n v="0"/>
    <n v="-3"/>
    <n v="0"/>
    <n v="3"/>
    <e v="#VALUE!"/>
    <n v="3"/>
    <n v="0"/>
    <m/>
    <m/>
    <s v="N"/>
    <m/>
    <s v="0-10 DAYS"/>
    <n v="1"/>
    <x v="0"/>
  </r>
  <r>
    <n v="2015"/>
    <s v="N"/>
    <s v="N"/>
    <n v="2588145"/>
    <n v="5"/>
    <d v="2012-03-16T00:00:00"/>
    <d v="2012-03-19T00:00:00"/>
    <n v="2588145"/>
    <d v="2012-03-16T00:00:00"/>
    <d v="2012-03-19T00:00:00"/>
    <n v="15000"/>
    <x v="0"/>
    <m/>
    <s v="N"/>
    <s v="NONE"/>
    <s v="GUILTY PLEA - NO JURY"/>
    <n v="4"/>
    <n v="4"/>
    <n v="0"/>
    <n v="1"/>
    <m/>
    <m/>
    <m/>
    <m/>
    <m/>
    <m/>
    <m/>
    <m/>
    <m/>
    <d v="1969-07-20T00:00:00"/>
    <s v="M"/>
    <s v="W"/>
    <s v="WHITE"/>
    <s v="NON-HISPANIC"/>
    <s v="262"/>
    <s v="CONVICTED"/>
    <n v="1"/>
    <s v="STJ"/>
    <m/>
    <n v="6"/>
    <m/>
    <s v="FORGERY"/>
    <m/>
    <s v="FS"/>
    <s v="OTHER FEL"/>
    <m/>
    <m/>
    <m/>
    <m/>
    <m/>
    <m/>
    <m/>
    <m/>
    <m/>
    <s v="Appointed Attorney"/>
    <m/>
    <m/>
    <n v="4"/>
    <n v="4"/>
    <n v="4"/>
    <n v="42.568306010928964"/>
    <n v="0"/>
    <n v="0"/>
    <s v="CONVICTION"/>
    <x v="0"/>
    <s v="N"/>
    <m/>
    <s v="CONVICTION"/>
    <s v="Y"/>
    <x v="0"/>
    <x v="0"/>
    <s v="N"/>
    <n v="1"/>
    <n v="1"/>
    <n v="0"/>
    <n v="0"/>
    <n v="-4"/>
    <n v="0"/>
    <n v="4"/>
    <e v="#VALUE!"/>
    <n v="4"/>
    <n v="0"/>
    <m/>
    <m/>
    <s v="Y"/>
    <m/>
    <s v="0-10 DAYS"/>
    <n v="1"/>
    <x v="0"/>
  </r>
  <r>
    <n v="779"/>
    <s v="N"/>
    <s v="N"/>
    <n v="2588432"/>
    <n v="2"/>
    <d v="2012-01-31T00:00:00"/>
    <d v="2012-03-02T00:00:00"/>
    <n v="2588432"/>
    <d v="2012-02-04T00:00:00"/>
    <d v="2012-03-02T00:00:00"/>
    <s v="NO BOND"/>
    <x v="1"/>
    <m/>
    <s v="N"/>
    <s v="NONE"/>
    <s v="DEFERRED ADJUDICATION "/>
    <n v="28"/>
    <n v="32"/>
    <n v="0"/>
    <n v="1"/>
    <m/>
    <m/>
    <m/>
    <m/>
    <m/>
    <m/>
    <m/>
    <m/>
    <m/>
    <d v="1991-08-23T00:00:00"/>
    <s v="M"/>
    <s v="B"/>
    <s v="BLACK"/>
    <s v="NON-HISPANIC"/>
    <s v="232"/>
    <s v="DEFERRED"/>
    <n v="4"/>
    <s v="DEFERRED"/>
    <m/>
    <m/>
    <m/>
    <s v="ASSAULT-BOD INJ-FAMILY MEMBER"/>
    <m/>
    <s v="F3"/>
    <s v="ASLT-MURDR"/>
    <m/>
    <m/>
    <m/>
    <m/>
    <m/>
    <m/>
    <m/>
    <m/>
    <m/>
    <s v="Public Defender"/>
    <m/>
    <m/>
    <n v="28"/>
    <n v="28"/>
    <n v="32"/>
    <n v="20.398907103825138"/>
    <n v="0"/>
    <n v="0"/>
    <s v="DEFERRED"/>
    <x v="0"/>
    <s v="N"/>
    <m/>
    <s v="DEFERRED"/>
    <s v="Y"/>
    <x v="0"/>
    <x v="0"/>
    <s v="N"/>
    <n v="0.875"/>
    <n v="1"/>
    <n v="0.125"/>
    <n v="0"/>
    <n v="-28"/>
    <n v="0"/>
    <n v="28"/>
    <e v="#VALUE!"/>
    <n v="28"/>
    <n v="0"/>
    <m/>
    <m/>
    <s v="Y"/>
    <m/>
    <s v="11-30 DAYS"/>
    <n v="2"/>
    <x v="0"/>
  </r>
  <r>
    <n v="131"/>
    <s v="N"/>
    <s v="N"/>
    <n v="2588605"/>
    <n v="2"/>
    <d v="2012-01-06T00:00:00"/>
    <d v="2012-03-12T00:00:00"/>
    <n v="2588605"/>
    <d v="2012-01-09T00:00:00"/>
    <d v="2012-01-10T00:00:00"/>
    <n v="10000"/>
    <x v="3"/>
    <d v="2012-01-10T00:00:00"/>
    <s v="Y"/>
    <s v="SURETY"/>
    <s v="DEFERRED ADJUDICATION "/>
    <n v="2"/>
    <n v="67"/>
    <n v="0"/>
    <n v="0"/>
    <m/>
    <m/>
    <m/>
    <m/>
    <m/>
    <m/>
    <m/>
    <m/>
    <m/>
    <d v="1993-07-24T00:00:00"/>
    <s v="M"/>
    <s v="H"/>
    <s v="HISPANIC"/>
    <s v="HISPANIC"/>
    <s v="228"/>
    <s v="DEFERRED"/>
    <n v="5"/>
    <s v="DEFERRED"/>
    <m/>
    <m/>
    <m/>
    <s v="BURGLARY OF HABITATION"/>
    <m/>
    <s v="F2"/>
    <s v="BURGLARY"/>
    <m/>
    <m/>
    <m/>
    <m/>
    <m/>
    <m/>
    <m/>
    <m/>
    <m/>
    <s v="Hired Attorney"/>
    <m/>
    <m/>
    <n v="2"/>
    <n v="64"/>
    <n v="67"/>
    <n v="18.415300546448087"/>
    <n v="0"/>
    <n v="-62"/>
    <s v="DEFERRED"/>
    <x v="1"/>
    <s v="Y"/>
    <m/>
    <s v="DEFERRED"/>
    <s v="Y"/>
    <x v="1"/>
    <x v="0"/>
    <s v="N"/>
    <n v="2.9850746268656716E-2"/>
    <n v="3.125E-2"/>
    <n v="1.3992537313432842E-3"/>
    <n v="0"/>
    <n v="-2"/>
    <n v="0"/>
    <n v="2"/>
    <e v="#VALUE!"/>
    <n v="2"/>
    <n v="0"/>
    <m/>
    <m/>
    <s v="N"/>
    <m/>
    <s v="0-10 DAYS"/>
    <n v="1"/>
    <x v="0"/>
  </r>
  <r>
    <n v="2104"/>
    <s v="N"/>
    <s v="N"/>
    <n v="2589233"/>
    <n v="5"/>
    <d v="2012-03-20T00:00:00"/>
    <d v="2012-04-05T00:00:00"/>
    <n v="2589233"/>
    <d v="2012-03-20T00:00:00"/>
    <d v="2012-04-05T00:00:00"/>
    <s v="NO BOND"/>
    <x v="1"/>
    <m/>
    <s v="N"/>
    <s v="NONE"/>
    <s v="GUILTY PLEA - NO JURY"/>
    <n v="17"/>
    <n v="17"/>
    <n v="0"/>
    <n v="1"/>
    <m/>
    <m/>
    <m/>
    <m/>
    <m/>
    <m/>
    <m/>
    <m/>
    <m/>
    <d v="1990-04-18T00:00:00"/>
    <s v="M"/>
    <s v="null"/>
    <s v="OTHER"/>
    <s v="NULL"/>
    <s v="351"/>
    <s v="CONVICTED"/>
    <n v="3"/>
    <s v="STJ"/>
    <m/>
    <n v="10"/>
    <m/>
    <s v="POSS CS PG 1 &lt;1G"/>
    <m/>
    <s v="FS"/>
    <s v="POSS DRUG"/>
    <m/>
    <m/>
    <m/>
    <m/>
    <m/>
    <m/>
    <m/>
    <m/>
    <m/>
    <s v="Appointed Attorney"/>
    <m/>
    <m/>
    <n v="17"/>
    <n v="17"/>
    <n v="17"/>
    <n v="21.877049180327869"/>
    <n v="0"/>
    <n v="0"/>
    <s v="CONVICTION"/>
    <x v="0"/>
    <s v="N"/>
    <m/>
    <s v="CONVICTION"/>
    <s v="Y"/>
    <x v="0"/>
    <x v="0"/>
    <s v="N"/>
    <n v="1"/>
    <n v="1"/>
    <n v="0"/>
    <n v="0"/>
    <n v="-17"/>
    <n v="0"/>
    <n v="17"/>
    <e v="#VALUE!"/>
    <n v="17"/>
    <n v="0"/>
    <m/>
    <m/>
    <s v="Y"/>
    <m/>
    <s v="11-30 DAYS"/>
    <n v="2"/>
    <x v="0"/>
  </r>
  <r>
    <n v="1678"/>
    <s v="Y"/>
    <s v="N"/>
    <n v="2589299"/>
    <n v="6"/>
    <d v="2012-01-21T00:00:00"/>
    <d v="2014-05-22T00:00:00"/>
    <n v="2589299"/>
    <d v="2012-03-03T00:00:00"/>
    <d v="2012-01-26T00:00:00"/>
    <n v="100000"/>
    <x v="2"/>
    <d v="2012-01-26T00:00:00"/>
    <s v="Y"/>
    <s v="SURETY"/>
    <s v="GUILTY PLEA - NO JURY"/>
    <n v="812"/>
    <n v="853"/>
    <n v="0"/>
    <n v="0"/>
    <m/>
    <m/>
    <m/>
    <m/>
    <m/>
    <m/>
    <m/>
    <m/>
    <m/>
    <d v="1993-02-07T00:00:00"/>
    <s v="M"/>
    <s v="B"/>
    <s v="BLACK"/>
    <s v="NULL"/>
    <s v="182"/>
    <s v="CONVICTED"/>
    <n v="20"/>
    <s v="TDC"/>
    <n v="15"/>
    <m/>
    <m/>
    <s v="AGG ROBBERY-DEADLY WPN"/>
    <m/>
    <s v="F1"/>
    <s v="ROBBERY"/>
    <s v="3 assoc rob cases"/>
    <m/>
    <m/>
    <m/>
    <m/>
    <m/>
    <m/>
    <m/>
    <m/>
    <s v="Hired Attorney"/>
    <s v="murder FILED 8/21/13 35 yrs tdc 2/27/14"/>
    <m/>
    <n v="41"/>
    <n v="811"/>
    <n v="853"/>
    <n v="18.912568306010929"/>
    <n v="-40087"/>
    <n v="-847"/>
    <s v="CONVICTION"/>
    <x v="1"/>
    <s v="Y"/>
    <m/>
    <s v="CONVICTION"/>
    <s v="Y"/>
    <x v="0"/>
    <x v="0"/>
    <s v="N"/>
    <n v="0.95193434935521692"/>
    <n v="0.95189999999999997"/>
    <n v="0"/>
    <n v="771"/>
    <n v="36"/>
    <n v="77"/>
    <n v="811"/>
    <e v="#VALUE!"/>
    <n v="812"/>
    <m/>
    <m/>
    <m/>
    <s v="N"/>
    <e v="#N/A"/>
    <s v="31-60 DAYS"/>
    <n v="3"/>
    <x v="0"/>
  </r>
  <r>
    <n v="523"/>
    <s v="N"/>
    <s v="N"/>
    <n v="2589301"/>
    <n v="6"/>
    <d v="2012-01-21T00:00:00"/>
    <d v="2014-05-21T00:00:00"/>
    <n v="2589301"/>
    <d v="2012-01-22T00:00:00"/>
    <m/>
    <n v="50000"/>
    <x v="2"/>
    <m/>
    <s v="N"/>
    <s v="NONE"/>
    <s v="GUILTY PLEA - NO JURY"/>
    <n v="851"/>
    <n v="852"/>
    <n v="0"/>
    <n v="1"/>
    <m/>
    <m/>
    <m/>
    <m/>
    <m/>
    <m/>
    <m/>
    <m/>
    <m/>
    <d v="1987-01-12T00:00:00"/>
    <s v="M"/>
    <s v="B"/>
    <s v="BLACK"/>
    <s v="NULL"/>
    <s v="182"/>
    <s v="CONVICTED"/>
    <n v="26"/>
    <s v="TDC"/>
    <n v="20"/>
    <m/>
    <m/>
    <s v="AGG ROBBERY-DEADLY WPN"/>
    <m/>
    <s v="F1"/>
    <s v="ROBBERY"/>
    <s v=" 2FEL INDICTMENT ADDED  CASES dism"/>
    <m/>
    <m/>
    <m/>
    <m/>
    <m/>
    <m/>
    <m/>
    <m/>
    <s v="Hired Attorney"/>
    <m/>
    <m/>
    <n v="851"/>
    <n v="851"/>
    <n v="852"/>
    <n v="24.972677595628415"/>
    <n v="41780"/>
    <n v="-41780"/>
    <s v="CONVICTION"/>
    <x v="0"/>
    <s v="N"/>
    <m/>
    <s v="CONVICTION"/>
    <s v="Y"/>
    <x v="0"/>
    <x v="0"/>
    <s v="N"/>
    <n v="0.99882629107981225"/>
    <n v="0.99880000000000002"/>
    <n v="0"/>
    <n v="0"/>
    <n v="40929"/>
    <n v="41780"/>
    <n v="851"/>
    <e v="#VALUE!"/>
    <n v="851"/>
    <m/>
    <m/>
    <m/>
    <s v="Y"/>
    <e v="#N/A"/>
    <s v="&gt;2YRS&lt;3YRS"/>
    <n v="8"/>
    <x v="0"/>
  </r>
  <r>
    <n v="75"/>
    <s v="N"/>
    <s v="N"/>
    <n v="2589740"/>
    <n v="6"/>
    <d v="2012-01-04T00:00:00"/>
    <d v="2013-08-21T00:00:00"/>
    <n v="2589740"/>
    <d v="2012-01-05T00:00:00"/>
    <d v="2013-08-21T00:00:00"/>
    <s v="NO BOND"/>
    <x v="1"/>
    <m/>
    <s v="N"/>
    <s v="NONE"/>
    <s v="GUILTY PLEA - NO JURY"/>
    <n v="595"/>
    <n v="596"/>
    <n v="0"/>
    <n v="0"/>
    <m/>
    <m/>
    <m/>
    <m/>
    <m/>
    <m/>
    <m/>
    <m/>
    <m/>
    <d v="1994-09-07T00:00:00"/>
    <s v="M"/>
    <s v="B"/>
    <s v="BLACK"/>
    <s v="NON-HISPANIC"/>
    <s v="263"/>
    <s v="CONVICTED"/>
    <n v="12"/>
    <s v="TDC"/>
    <n v="30"/>
    <m/>
    <m/>
    <s v="AGG ROBBERY-DEADLY WPN"/>
    <m/>
    <s v="F1"/>
    <s v="ROBBERY"/>
    <m/>
    <m/>
    <m/>
    <m/>
    <m/>
    <m/>
    <m/>
    <m/>
    <m/>
    <s v="Appointed Attorney"/>
    <m/>
    <m/>
    <n v="595"/>
    <n v="595"/>
    <n v="596"/>
    <n v="17.289617486338798"/>
    <n v="0"/>
    <n v="0"/>
    <s v="CONVICTION"/>
    <x v="0"/>
    <s v="N"/>
    <m/>
    <s v="CONVICTION"/>
    <s v="Y"/>
    <x v="0"/>
    <x v="0"/>
    <s v="N"/>
    <n v="0.99832214765100669"/>
    <n v="1"/>
    <n v="1.6778523489933139E-3"/>
    <n v="0"/>
    <n v="-595"/>
    <n v="0"/>
    <n v="595"/>
    <e v="#VALUE!"/>
    <n v="595"/>
    <n v="0"/>
    <m/>
    <m/>
    <s v="N"/>
    <m/>
    <s v=" &gt;1YRS&lt;2YRS"/>
    <n v="0"/>
    <x v="0"/>
  </r>
  <r>
    <n v="2069"/>
    <s v="N"/>
    <s v="N"/>
    <n v="2589910"/>
    <n v="1"/>
    <d v="2012-03-19T00:00:00"/>
    <d v="2012-06-15T00:00:00"/>
    <n v="2589910"/>
    <d v="2012-03-19T00:00:00"/>
    <d v="2012-05-24T00:00:00"/>
    <n v="20000"/>
    <x v="0"/>
    <d v="2012-05-24T00:00:00"/>
    <s v="Y"/>
    <s v="SURETY"/>
    <s v="DISMISSED"/>
    <n v="67"/>
    <n v="89"/>
    <n v="0"/>
    <n v="0"/>
    <m/>
    <m/>
    <m/>
    <m/>
    <m/>
    <m/>
    <m/>
    <m/>
    <m/>
    <d v="1990-08-31T00:00:00"/>
    <s v="F"/>
    <s v="B"/>
    <s v="BLACK"/>
    <s v="NULL"/>
    <s v="232"/>
    <s v="DISMISSED"/>
    <n v="5"/>
    <s v="DISMISSED"/>
    <m/>
    <m/>
    <m/>
    <s v="AGG ASSAULT W/DEADLY WEAPON"/>
    <m/>
    <s v="F2"/>
    <s v="ASLT-MURDR"/>
    <m/>
    <m/>
    <m/>
    <m/>
    <m/>
    <m/>
    <m/>
    <m/>
    <m/>
    <s v="Appointed Attorney"/>
    <m/>
    <m/>
    <n v="67"/>
    <n v="89"/>
    <n v="89"/>
    <n v="21.505464480874316"/>
    <n v="0"/>
    <n v="-22"/>
    <s v="NO CONVICTION"/>
    <x v="1"/>
    <s v="Y"/>
    <m/>
    <s v="NO CONVICTION"/>
    <s v="Y"/>
    <x v="1"/>
    <x v="0"/>
    <s v="N"/>
    <n v="0.7528089887640449"/>
    <n v="0.7528089887640449"/>
    <n v="0"/>
    <n v="0"/>
    <n v="-67"/>
    <n v="0"/>
    <n v="67"/>
    <e v="#VALUE!"/>
    <n v="67"/>
    <n v="0"/>
    <m/>
    <m/>
    <s v="N"/>
    <m/>
    <s v="61-90 DAYS"/>
    <n v="4"/>
    <x v="0"/>
  </r>
  <r>
    <n v="1400"/>
    <s v="N"/>
    <s v="N"/>
    <n v="2590070"/>
    <n v="6"/>
    <d v="2012-02-17T00:00:00"/>
    <d v="2014-10-14T00:00:00"/>
    <n v="2590070"/>
    <d v="2012-02-23T00:00:00"/>
    <m/>
    <s v="NO BOND"/>
    <x v="1"/>
    <m/>
    <s v="N"/>
    <s v="NONE"/>
    <s v="GUILTY PLEA - NO JURY"/>
    <n v="965"/>
    <n v="971"/>
    <n v="0"/>
    <n v="0"/>
    <m/>
    <m/>
    <m/>
    <m/>
    <m/>
    <m/>
    <m/>
    <m/>
    <m/>
    <d v="1980-06-19T00:00:00"/>
    <s v="M"/>
    <s v="W"/>
    <s v="WHITE"/>
    <s v="NON-HISPANIC"/>
    <s v="174"/>
    <s v="CONVICTED"/>
    <n v="20"/>
    <s v="TDC"/>
    <n v="30"/>
    <m/>
    <m/>
    <s v="AGG SEX ASSLT CHILD-UNDER 14"/>
    <m/>
    <s v="F1"/>
    <s v="SEX ABUSE"/>
    <s v="7 assoc f cases dism"/>
    <m/>
    <m/>
    <m/>
    <m/>
    <m/>
    <m/>
    <m/>
    <m/>
    <s v="Hired Attorney"/>
    <m/>
    <m/>
    <n v="965"/>
    <n v="965"/>
    <n v="971"/>
    <n v="31.598360655737704"/>
    <n v="41926"/>
    <n v="-41926"/>
    <s v="CONVICTION"/>
    <x v="0"/>
    <s v="Y"/>
    <m/>
    <s v="CONVICTION"/>
    <s v="Y"/>
    <x v="0"/>
    <x v="0"/>
    <s v="N"/>
    <n v="0.99382080329557154"/>
    <n v="0.99380000000000002"/>
    <n v="0"/>
    <n v="0"/>
    <n v="40961"/>
    <n v="41926"/>
    <n v="965"/>
    <e v="#VALUE!"/>
    <n v="965"/>
    <m/>
    <m/>
    <m/>
    <s v="N"/>
    <e v="#N/A"/>
    <s v="&gt;2YRS&lt;3YRS"/>
    <n v="8"/>
    <x v="0"/>
  </r>
  <r>
    <n v="1937"/>
    <s v="N"/>
    <s v="N"/>
    <n v="2590173"/>
    <n v="4"/>
    <d v="2012-03-12T00:00:00"/>
    <d v="2012-07-31T00:00:00"/>
    <n v="2590173"/>
    <d v="2012-03-14T00:00:00"/>
    <d v="2012-07-31T00:00:00"/>
    <n v="30000"/>
    <x v="2"/>
    <m/>
    <s v="N"/>
    <s v="NONE"/>
    <s v="GUILTY PLEA - NO JURY"/>
    <n v="140"/>
    <n v="142"/>
    <n v="0"/>
    <n v="0"/>
    <m/>
    <m/>
    <m/>
    <m/>
    <m/>
    <m/>
    <m/>
    <m/>
    <m/>
    <d v="1970-12-18T00:00:00"/>
    <s v="M"/>
    <s v="B"/>
    <s v="BLACK"/>
    <s v="NON-HISPANIC"/>
    <s v="176"/>
    <s v="CONVICTED"/>
    <n v="6"/>
    <s v="HCJ"/>
    <m/>
    <m/>
    <n v="180"/>
    <s v="ROBBERY-THREATS"/>
    <m/>
    <s v="F2"/>
    <s v="ROBBERY"/>
    <m/>
    <m/>
    <m/>
    <m/>
    <m/>
    <m/>
    <m/>
    <m/>
    <m/>
    <s v="Appointed Attorney"/>
    <m/>
    <m/>
    <n v="140"/>
    <n v="140"/>
    <n v="142"/>
    <n v="41.147540983606561"/>
    <n v="0"/>
    <n v="0"/>
    <s v="CONVICTION"/>
    <x v="0"/>
    <s v="N"/>
    <m/>
    <s v="CONVICTION"/>
    <s v="Y"/>
    <x v="0"/>
    <x v="0"/>
    <s v="N"/>
    <n v="0.9859154929577465"/>
    <n v="1"/>
    <n v="1.4084507042253502E-2"/>
    <n v="0"/>
    <n v="-140"/>
    <n v="0"/>
    <n v="140"/>
    <e v="#VALUE!"/>
    <n v="140"/>
    <n v="0"/>
    <m/>
    <m/>
    <s v="N"/>
    <m/>
    <s v="121-365 DAYS"/>
    <n v="6"/>
    <x v="0"/>
  </r>
  <r>
    <n v="3058"/>
    <s v="N"/>
    <s v="N"/>
    <n v="2590439"/>
    <n v="6"/>
    <d v="2012-04-23T00:00:00"/>
    <d v="2012-04-25T00:00:00"/>
    <n v="2590439"/>
    <d v="2012-04-23T00:00:00"/>
    <d v="2012-04-25T00:00:00"/>
    <s v="NO BOND"/>
    <x v="1"/>
    <m/>
    <s v="N"/>
    <s v="NONE"/>
    <s v="GUILTY PLEA - NO JURY"/>
    <n v="3"/>
    <n v="3"/>
    <n v="1"/>
    <n v="0"/>
    <n v="1"/>
    <m/>
    <m/>
    <m/>
    <m/>
    <m/>
    <m/>
    <s v="S"/>
    <m/>
    <d v="1993-10-25T00:00:00"/>
    <s v="M"/>
    <s v="H"/>
    <s v="HISPANIC"/>
    <s v="NULL"/>
    <s v="351"/>
    <s v="CONVICTED"/>
    <n v="1"/>
    <s v="TDC"/>
    <n v="3"/>
    <m/>
    <m/>
    <s v="ASSAULT-BOD INJ-FAMILY MEMBER"/>
    <m/>
    <s v="F3"/>
    <s v="ASLT-MURDR"/>
    <s v="feldef adj12/16/11 revoked lv fel aslt 4/23/12 "/>
    <m/>
    <m/>
    <m/>
    <m/>
    <m/>
    <m/>
    <m/>
    <m/>
    <s v="Appointed Attorney"/>
    <m/>
    <m/>
    <n v="3"/>
    <n v="3"/>
    <n v="3"/>
    <n v="18.456284153005466"/>
    <n v="0"/>
    <n v="0"/>
    <s v="CONVICTION"/>
    <x v="0"/>
    <s v="N"/>
    <m/>
    <s v="CONVICTION"/>
    <s v="Y"/>
    <x v="0"/>
    <x v="0"/>
    <s v="Y"/>
    <n v="1"/>
    <n v="1"/>
    <n v="0"/>
    <n v="0"/>
    <n v="-3"/>
    <n v="0"/>
    <n v="3"/>
    <e v="#VALUE!"/>
    <n v="3"/>
    <n v="0"/>
    <m/>
    <m/>
    <s v="Y"/>
    <m/>
    <s v="0-10 DAYS"/>
    <n v="1"/>
    <x v="0"/>
  </r>
  <r>
    <n v="834"/>
    <s v="N"/>
    <s v="N"/>
    <n v="2590584"/>
    <n v="2"/>
    <d v="2012-02-01T00:00:00"/>
    <d v="2012-04-05T00:00:00"/>
    <n v="2590584"/>
    <d v="2012-02-14T00:00:00"/>
    <d v="2012-04-05T00:00:00"/>
    <n v="10000"/>
    <x v="3"/>
    <m/>
    <s v="N"/>
    <s v="NONE"/>
    <s v="DEFERRED ADJUDICATION "/>
    <n v="52"/>
    <n v="65"/>
    <n v="0"/>
    <n v="0"/>
    <m/>
    <m/>
    <m/>
    <m/>
    <m/>
    <m/>
    <m/>
    <m/>
    <m/>
    <d v="1993-04-15T00:00:00"/>
    <s v="M"/>
    <s v="B"/>
    <s v="BLACK"/>
    <s v="NON-HISPANIC"/>
    <s v="179"/>
    <s v="DEFERRED"/>
    <n v="6"/>
    <s v="DEFERRED"/>
    <m/>
    <m/>
    <m/>
    <s v="BURGLARY OF HABITATION"/>
    <m/>
    <s v="F2"/>
    <s v="BURGLARY"/>
    <m/>
    <m/>
    <m/>
    <m/>
    <m/>
    <m/>
    <m/>
    <m/>
    <m/>
    <s v="Public Defender"/>
    <m/>
    <m/>
    <n v="52"/>
    <n v="52"/>
    <n v="65"/>
    <n v="18.759562841530055"/>
    <n v="0"/>
    <n v="0"/>
    <s v="DEFERRED"/>
    <x v="0"/>
    <s v="N"/>
    <m/>
    <s v="DEFERRED"/>
    <s v="Y"/>
    <x v="0"/>
    <x v="0"/>
    <s v="N"/>
    <n v="0.8"/>
    <n v="1"/>
    <n v="0.19999999999999996"/>
    <n v="0"/>
    <n v="-52"/>
    <n v="0"/>
    <n v="52"/>
    <e v="#VALUE!"/>
    <n v="52"/>
    <n v="0"/>
    <m/>
    <m/>
    <s v="N"/>
    <m/>
    <s v="31-60 DAYS"/>
    <n v="3"/>
    <x v="0"/>
  </r>
  <r>
    <n v="1244"/>
    <s v="Y"/>
    <s v="Y"/>
    <n v="2590620"/>
    <n v="4"/>
    <d v="2012-02-15T00:00:00"/>
    <d v="2012-09-07T00:00:00"/>
    <n v="2590620"/>
    <d v="2012-05-30T00:00:00"/>
    <d v="2012-06-05T00:00:00"/>
    <n v="30000"/>
    <x v="2"/>
    <d v="2012-06-05T00:00:00"/>
    <s v="Y"/>
    <s v="SURETYPTRc"/>
    <s v="GUILTY PLEA - NO JURY"/>
    <n v="35"/>
    <n v="206"/>
    <n v="0"/>
    <n v="0"/>
    <m/>
    <m/>
    <m/>
    <m/>
    <m/>
    <m/>
    <m/>
    <s v="S"/>
    <m/>
    <d v="1990-08-03T00:00:00"/>
    <s v="M"/>
    <s v="H"/>
    <s v="HISPANIC"/>
    <s v="HISPANIC"/>
    <s v="183"/>
    <s v="CONVICTED"/>
    <n v="8"/>
    <s v="HCJ"/>
    <m/>
    <m/>
    <n v="90"/>
    <s v="ROBBERY-BODILY INJURY"/>
    <m/>
    <s v="F2"/>
    <s v="ROBBERY"/>
    <s v=" misd9/10/12 interf w pub serv hcj 1 d"/>
    <s v="bf 4/13/12   3/12/12 revoke 8/8/12"/>
    <s v="Y"/>
    <d v="2012-04-13T00:00:00"/>
    <s v="Y"/>
    <m/>
    <m/>
    <d v="2012-09-12T00:00:00"/>
    <n v="293"/>
    <s v="Hired Attorney"/>
    <s v="m 9/10/12 interf fel pend"/>
    <m/>
    <n v="35"/>
    <n v="101"/>
    <n v="206"/>
    <n v="21.491803278688526"/>
    <n v="0"/>
    <n v="-94"/>
    <s v="CONVICTION"/>
    <x v="1"/>
    <s v="Y"/>
    <m/>
    <s v="CONVICTION"/>
    <s v="Y"/>
    <x v="0"/>
    <x v="0"/>
    <s v="N"/>
    <n v="0.16990291262135923"/>
    <n v="6.9306930693069313E-2"/>
    <n v="-0.10059598192828992"/>
    <n v="0"/>
    <n v="-7"/>
    <n v="28"/>
    <n v="101"/>
    <n v="35"/>
    <n v="101"/>
    <n v="94"/>
    <m/>
    <m/>
    <s v="N"/>
    <m/>
    <s v="31-60 DAYS"/>
    <n v="3"/>
    <x v="0"/>
  </r>
  <r>
    <n v="2006"/>
    <s v="N"/>
    <s v="N"/>
    <n v="2591267"/>
    <n v="5"/>
    <d v="2012-03-16T00:00:00"/>
    <d v="2012-11-08T00:00:00"/>
    <n v="2591267"/>
    <d v="2012-03-16T00:00:00"/>
    <d v="2012-03-22T00:00:00"/>
    <n v="5000"/>
    <x v="4"/>
    <d v="2012-03-22T00:00:00"/>
    <s v="Y"/>
    <s v="SURETY"/>
    <s v="GUILTY PLEA - NO JURY"/>
    <n v="7"/>
    <n v="238"/>
    <n v="0"/>
    <n v="1"/>
    <m/>
    <m/>
    <m/>
    <m/>
    <m/>
    <m/>
    <m/>
    <s v="S"/>
    <m/>
    <d v="1986-10-03T00:00:00"/>
    <s v="M"/>
    <s v="H"/>
    <s v="HISPANIC"/>
    <s v="NULL"/>
    <s v="174"/>
    <s v="CONVICTED"/>
    <n v="11"/>
    <s v="STJ"/>
    <m/>
    <n v="6"/>
    <m/>
    <s v="ENDANGERING A CHILD"/>
    <m/>
    <s v="FS"/>
    <s v="OTHER FEL"/>
    <m/>
    <m/>
    <m/>
    <m/>
    <m/>
    <m/>
    <m/>
    <m/>
    <m/>
    <s v="Hired Attorney"/>
    <m/>
    <m/>
    <n v="7"/>
    <n v="238"/>
    <n v="238"/>
    <n v="25.398907103825138"/>
    <n v="0"/>
    <n v="-231"/>
    <s v="CONVICTION"/>
    <x v="1"/>
    <s v="Y"/>
    <m/>
    <s v="CONVICTION"/>
    <s v="Y"/>
    <x v="1"/>
    <x v="0"/>
    <s v="N"/>
    <n v="2.9411764705882353E-2"/>
    <n v="2.9411764705882353E-2"/>
    <n v="0"/>
    <n v="0"/>
    <n v="-7"/>
    <n v="0"/>
    <n v="7"/>
    <e v="#VALUE!"/>
    <n v="7"/>
    <n v="0"/>
    <m/>
    <m/>
    <s v="Y"/>
    <m/>
    <s v="0-10 DAYS"/>
    <n v="1"/>
    <x v="0"/>
  </r>
  <r>
    <n v="1125"/>
    <s v="N"/>
    <s v="N"/>
    <n v="2591317"/>
    <n v="1"/>
    <d v="2012-02-10T00:00:00"/>
    <d v="2012-02-14T00:00:00"/>
    <n v="2591317"/>
    <s v="NOT BOOKED"/>
    <s v="NOT BOOKED"/>
    <s v="NO BOND"/>
    <x v="1"/>
    <m/>
    <s v="NO BOND SET - NON ARREST"/>
    <s v="NONE"/>
    <s v="DISMISSED"/>
    <n v="0"/>
    <n v="5"/>
    <n v="1"/>
    <n v="0"/>
    <m/>
    <n v="1"/>
    <m/>
    <m/>
    <m/>
    <m/>
    <m/>
    <s v="S"/>
    <m/>
    <d v="1969-02-13T00:00:00"/>
    <s v="M"/>
    <s v="H"/>
    <s v="HISPANIC"/>
    <s v="NULL"/>
    <s v="262"/>
    <s v="DISMISSED"/>
    <n v="2"/>
    <s v="DISMISSED"/>
    <m/>
    <m/>
    <m/>
    <s v="MURDER"/>
    <m/>
    <s v="F1"/>
    <s v="MURD/MANSL"/>
    <m/>
    <m/>
    <m/>
    <m/>
    <m/>
    <m/>
    <m/>
    <m/>
    <m/>
    <s v="Other/Unknown"/>
    <m/>
    <m/>
    <n v="0"/>
    <n v="0"/>
    <n v="5"/>
    <n v="42.901639344262293"/>
    <e v="#VALUE!"/>
    <e v="#VALUE!"/>
    <s v="NO CONVICTION"/>
    <x v="0"/>
    <s v="N"/>
    <m/>
    <s v="NO CONVICTION"/>
    <n v="0"/>
    <x v="2"/>
    <x v="0"/>
    <s v="Y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424"/>
    <s v="N"/>
    <s v="N"/>
    <n v="2591634"/>
    <n v="2"/>
    <d v="2012-01-18T00:00:00"/>
    <d v="2012-06-14T00:00:00"/>
    <n v="2591634"/>
    <s v="NOT BOOKED"/>
    <s v="NOT BOOKED"/>
    <n v="15000"/>
    <x v="0"/>
    <d v="2012-01-22T00:00:00"/>
    <s v="Y"/>
    <s v="SURETY"/>
    <s v="DEFERRED ADJUDICATION "/>
    <n v="0"/>
    <n v="149"/>
    <n v="0"/>
    <n v="0"/>
    <m/>
    <m/>
    <m/>
    <m/>
    <m/>
    <m/>
    <m/>
    <m/>
    <m/>
    <d v="1987-12-30T00:00:00"/>
    <s v="M"/>
    <s v="W"/>
    <s v="WHITE"/>
    <s v="NULL"/>
    <s v="182"/>
    <s v="DEFERRED"/>
    <n v="6"/>
    <s v="DEFERRED"/>
    <m/>
    <m/>
    <m/>
    <s v="INDECENCY-CHILD EXPOSURE"/>
    <m/>
    <s v="F3"/>
    <s v="SEX ABUSE"/>
    <m/>
    <m/>
    <m/>
    <m/>
    <m/>
    <m/>
    <m/>
    <m/>
    <m/>
    <s v="Hired Attorney"/>
    <m/>
    <m/>
    <n v="0"/>
    <n v="0"/>
    <n v="149"/>
    <n v="24.002732240437158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866"/>
    <s v="N"/>
    <s v="N"/>
    <n v="2591915"/>
    <n v="2"/>
    <d v="2012-03-10T00:00:00"/>
    <d v="2012-10-10T00:00:00"/>
    <n v="2591915"/>
    <d v="2012-03-09T00:00:00"/>
    <d v="2012-03-11T00:00:00"/>
    <n v="10000"/>
    <x v="3"/>
    <d v="2012-03-11T00:00:00"/>
    <s v="Y"/>
    <s v="SURETY"/>
    <s v="DEFERRED ADJUDICATION "/>
    <n v="3"/>
    <n v="215"/>
    <n v="0"/>
    <n v="0"/>
    <m/>
    <m/>
    <m/>
    <m/>
    <m/>
    <m/>
    <m/>
    <m/>
    <m/>
    <d v="1957-03-29T00:00:00"/>
    <s v="M"/>
    <s v="B"/>
    <s v="BLACK"/>
    <s v="NULL"/>
    <s v="232"/>
    <s v="DEFERRED"/>
    <n v="9"/>
    <s v="DEFERRED"/>
    <m/>
    <m/>
    <m/>
    <s v="TAMPER GOVT RECORD"/>
    <m/>
    <s v="F2"/>
    <s v="OTHER FEL"/>
    <m/>
    <m/>
    <m/>
    <m/>
    <m/>
    <m/>
    <m/>
    <m/>
    <m/>
    <s v="Hired Attorney"/>
    <m/>
    <m/>
    <n v="3"/>
    <n v="216"/>
    <n v="215"/>
    <n v="54.83606557377049"/>
    <n v="0"/>
    <n v="-213"/>
    <s v="DEFERRED"/>
    <x v="1"/>
    <s v="Y"/>
    <m/>
    <s v="DEFERRED"/>
    <s v="Y"/>
    <x v="1"/>
    <x v="0"/>
    <s v="N"/>
    <n v="1.3953488372093023E-2"/>
    <n v="1.3953488372093023E-2"/>
    <n v="0"/>
    <n v="0"/>
    <n v="-3"/>
    <n v="0"/>
    <n v="3"/>
    <e v="#VALUE!"/>
    <n v="3"/>
    <n v="0"/>
    <m/>
    <m/>
    <s v="N"/>
    <m/>
    <s v="0-10 DAYS"/>
    <n v="1"/>
    <x v="0"/>
  </r>
  <r>
    <n v="2678"/>
    <s v="N"/>
    <s v="Y"/>
    <n v="2592432"/>
    <n v="4"/>
    <d v="2012-04-09T00:00:00"/>
    <d v="2013-02-06T00:00:00"/>
    <n v="2592432"/>
    <d v="2012-04-10T00:00:00"/>
    <d v="2012-04-12T00:00:00"/>
    <n v="2000"/>
    <x v="5"/>
    <d v="2012-04-12T00:00:00"/>
    <s v="Y"/>
    <s v="SURETY"/>
    <s v="GUILTY PLEA - NO JURY"/>
    <n v="11"/>
    <n v="304"/>
    <n v="0"/>
    <n v="0"/>
    <m/>
    <m/>
    <m/>
    <m/>
    <m/>
    <m/>
    <m/>
    <s v="S"/>
    <m/>
    <d v="1994-11-17T00:00:00"/>
    <s v="M"/>
    <s v="H"/>
    <s v="HISPANIC"/>
    <s v="NULL"/>
    <s v="209"/>
    <s v="CONVICTED"/>
    <n v="5"/>
    <s v="HCJ"/>
    <m/>
    <m/>
    <n v="30"/>
    <s v="POSS CS PG 1 &lt;1G"/>
    <m/>
    <s v="FS"/>
    <s v="POSS DRUG"/>
    <s v=" def jud bf (2k) dismissed adj glt revoked 9/11/12  stj 6mos"/>
    <m/>
    <s v="Y"/>
    <s v="bf 7/17/12"/>
    <m/>
    <m/>
    <m/>
    <d v="2013-01-22T00:00:00"/>
    <n v="339"/>
    <s v="Hired Attorney"/>
    <m/>
    <m/>
    <n v="11"/>
    <n v="303"/>
    <n v="304"/>
    <n v="17.357923497267759"/>
    <n v="0"/>
    <n v="-300"/>
    <s v="CONVICTION"/>
    <x v="1"/>
    <s v="Y"/>
    <m/>
    <s v="CONVICTION"/>
    <s v="Y"/>
    <x v="0"/>
    <x v="0"/>
    <s v="N"/>
    <n v="3.6184210526315791E-2"/>
    <n v="9.9009900990099011E-3"/>
    <n v="-2.6283220427305888E-2"/>
    <n v="0"/>
    <n v="-3"/>
    <n v="8"/>
    <n v="303"/>
    <n v="11"/>
    <n v="303"/>
    <n v="300"/>
    <m/>
    <m/>
    <s v="N"/>
    <m/>
    <s v="11-30 DAYS"/>
    <n v="2"/>
    <x v="0"/>
  </r>
  <r>
    <n v="1855"/>
    <s v="N"/>
    <s v="N"/>
    <n v="2592502"/>
    <n v="1"/>
    <d v="2012-03-09T00:00:00"/>
    <d v="2012-07-17T00:00:00"/>
    <n v="2592502"/>
    <d v="2012-01-31T00:00:00"/>
    <d v="2012-07-17T00:00:00"/>
    <n v="75000"/>
    <x v="2"/>
    <m/>
    <s v="N"/>
    <s v="NONE"/>
    <s v="DISMISSED"/>
    <n v="169"/>
    <n v="131"/>
    <n v="0"/>
    <n v="1"/>
    <m/>
    <m/>
    <m/>
    <m/>
    <m/>
    <m/>
    <m/>
    <m/>
    <m/>
    <d v="1967-05-12T00:00:00"/>
    <s v="F"/>
    <s v="W"/>
    <s v="WHITE"/>
    <s v="NULL"/>
    <s v="176"/>
    <s v="DISMISSED"/>
    <n v="5"/>
    <s v="DISMISSED"/>
    <m/>
    <m/>
    <m/>
    <s v="THEFT F/ELDERLY 1,500 - 20,000"/>
    <m/>
    <s v="F3"/>
    <s v="THEFT"/>
    <m/>
    <m/>
    <m/>
    <m/>
    <m/>
    <m/>
    <m/>
    <m/>
    <m/>
    <s v="Appointed Attorney"/>
    <m/>
    <m/>
    <n v="169"/>
    <n v="169"/>
    <n v="131"/>
    <n v="44.734972677595628"/>
    <n v="0"/>
    <n v="0"/>
    <s v="NO CONVICTION"/>
    <x v="0"/>
    <s v="N"/>
    <m/>
    <s v="NO CONVICTION"/>
    <s v="Y"/>
    <x v="0"/>
    <x v="0"/>
    <s v="N"/>
    <n v="1.2900763358778626"/>
    <n v="1.2900763358778626"/>
    <n v="0"/>
    <n v="0"/>
    <n v="-169"/>
    <n v="0"/>
    <n v="169"/>
    <e v="#VALUE!"/>
    <n v="169"/>
    <n v="0"/>
    <m/>
    <m/>
    <s v="Y"/>
    <m/>
    <s v="121-365 DAYS"/>
    <n v="6"/>
    <x v="0"/>
  </r>
  <r>
    <n v="701"/>
    <s v="N"/>
    <s v="N"/>
    <n v="2592693"/>
    <n v="2"/>
    <d v="2012-01-28T00:00:00"/>
    <d v="2012-01-30T00:00:00"/>
    <n v="2592693"/>
    <s v="NOT BOOKED"/>
    <s v="NOT BOOKED"/>
    <n v="2000"/>
    <x v="5"/>
    <m/>
    <s v="NO BOND MADE - NON ARREST"/>
    <s v="NONE"/>
    <s v="DEFERRED ADJUDICATION "/>
    <n v="0"/>
    <n v="3"/>
    <n v="0"/>
    <n v="3"/>
    <m/>
    <m/>
    <m/>
    <m/>
    <m/>
    <m/>
    <m/>
    <m/>
    <m/>
    <d v="1990-12-03T00:00:00"/>
    <s v="M"/>
    <s v="H"/>
    <s v="HISPANIC"/>
    <s v="HISPANIC"/>
    <s v="179"/>
    <s v="DEFERRED"/>
    <n v="1"/>
    <s v="DEFERRED"/>
    <m/>
    <m/>
    <m/>
    <s v="POSS CS PG 1 &lt;1G"/>
    <m/>
    <s v="FS"/>
    <s v="POSS DRUG"/>
    <s v="bk  3/22/12 P revoked 3/27/12  hcj4mos"/>
    <m/>
    <m/>
    <m/>
    <m/>
    <m/>
    <m/>
    <m/>
    <m/>
    <s v="Appointed Attorney"/>
    <m/>
    <m/>
    <n v="0"/>
    <n v="0"/>
    <n v="3"/>
    <n v="21.10928961748634"/>
    <e v="#VALUE!"/>
    <e v="#VALUE!"/>
    <s v="DEFERRED"/>
    <x v="0"/>
    <s v="N"/>
    <m/>
    <s v="DEFERRED"/>
    <n v="0"/>
    <x v="5"/>
    <x v="0"/>
    <s v="N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1697"/>
    <s v="N"/>
    <s v="N"/>
    <n v="2592878"/>
    <n v="2"/>
    <d v="2012-03-03T00:00:00"/>
    <d v="2012-03-05T00:00:00"/>
    <n v="2592878"/>
    <d v="2012-03-04T00:00:00"/>
    <d v="2012-03-05T00:00:00"/>
    <n v="50000"/>
    <x v="2"/>
    <m/>
    <s v="N"/>
    <s v="NONE"/>
    <s v="DEFERRED ADJUDICATION "/>
    <n v="2"/>
    <n v="3"/>
    <n v="0"/>
    <n v="0"/>
    <m/>
    <m/>
    <m/>
    <m/>
    <m/>
    <m/>
    <m/>
    <s v="S"/>
    <m/>
    <d v="1976-08-04T00:00:00"/>
    <s v="M"/>
    <s v="H"/>
    <s v="HISPANIC"/>
    <s v="HISPANIC"/>
    <s v="228"/>
    <s v="DEFERRED"/>
    <n v="1"/>
    <s v="DEFERRED"/>
    <m/>
    <m/>
    <m/>
    <s v="ASSAULT-BOD INJ-FAMILY MEMBER"/>
    <m/>
    <s v="F3"/>
    <s v="ASLT-MURDR"/>
    <m/>
    <m/>
    <m/>
    <m/>
    <m/>
    <m/>
    <m/>
    <m/>
    <m/>
    <s v="Appointed Attorney"/>
    <m/>
    <m/>
    <n v="2"/>
    <n v="2"/>
    <n v="3"/>
    <n v="35.505464480874316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619"/>
    <s v="N"/>
    <s v="N"/>
    <n v="2593166"/>
    <n v="3"/>
    <d v="2012-01-25T00:00:00"/>
    <d v="2012-04-16T00:00:00"/>
    <n v="2593166"/>
    <d v="2012-01-25T00:00:00"/>
    <d v="2012-04-16T00:00:00"/>
    <n v="2500"/>
    <x v="4"/>
    <m/>
    <s v="N"/>
    <s v="NONE"/>
    <s v="GUILTY PLEA - NO JURY"/>
    <n v="83"/>
    <n v="83"/>
    <n v="0"/>
    <n v="0"/>
    <m/>
    <m/>
    <m/>
    <m/>
    <m/>
    <m/>
    <m/>
    <s v="S"/>
    <m/>
    <d v="1983-01-17T00:00:00"/>
    <s v="F"/>
    <s v="H"/>
    <s v="HISPANIC"/>
    <s v="NULL"/>
    <s v="232"/>
    <s v="CONVICTED"/>
    <n v="5"/>
    <s v="PROBATION"/>
    <m/>
    <m/>
    <m/>
    <s v="UNLAWFUL RESTRAINT CHILD"/>
    <m/>
    <s v="FS"/>
    <s v="OTHER FEL"/>
    <m/>
    <m/>
    <m/>
    <m/>
    <m/>
    <m/>
    <m/>
    <m/>
    <m/>
    <s v="Hired Attorney"/>
    <m/>
    <m/>
    <n v="83"/>
    <n v="83"/>
    <n v="83"/>
    <n v="28.961748633879782"/>
    <n v="0"/>
    <n v="0"/>
    <s v="CONVICTION"/>
    <x v="0"/>
    <s v="N"/>
    <m/>
    <s v="CONVICTION"/>
    <s v="Y"/>
    <x v="0"/>
    <x v="0"/>
    <s v="N"/>
    <n v="1"/>
    <n v="1"/>
    <n v="0"/>
    <n v="0"/>
    <n v="-83"/>
    <n v="0"/>
    <n v="83"/>
    <e v="#VALUE!"/>
    <n v="83"/>
    <n v="0"/>
    <m/>
    <m/>
    <s v="N"/>
    <m/>
    <s v="61-90 DAYS"/>
    <n v="4"/>
    <x v="0"/>
  </r>
  <r>
    <n v="1299"/>
    <s v="Y"/>
    <s v="Y"/>
    <n v="2593616"/>
    <n v="2"/>
    <d v="2012-02-17T00:00:00"/>
    <d v="2012-08-02T00:00:00"/>
    <n v="2593616"/>
    <d v="2012-02-22T00:00:00"/>
    <d v="2012-04-04T00:00:00"/>
    <n v="2000"/>
    <x v="5"/>
    <d v="2012-04-04T00:00:00"/>
    <s v="Y"/>
    <s v="SURETY"/>
    <s v="DEFERRED ADJUDICATION "/>
    <n v="77"/>
    <n v="168"/>
    <n v="0"/>
    <n v="2"/>
    <m/>
    <m/>
    <m/>
    <m/>
    <m/>
    <m/>
    <m/>
    <m/>
    <m/>
    <d v="1994-12-01T00:00:00"/>
    <s v="M"/>
    <s v="B"/>
    <s v="BLACK"/>
    <s v="NON-HISPANIC"/>
    <s v="228"/>
    <s v="DEFERRED"/>
    <n v="9"/>
    <s v="DEFERRED"/>
    <m/>
    <m/>
    <m/>
    <s v="CRIM MISCH &gt;=$1500 &lt;$20K"/>
    <m/>
    <s v="FS"/>
    <s v="OTHER FEL"/>
    <s v="three misd conv 6/8/12 one misd 6/29/12"/>
    <s v="bd rev 6/28/12 "/>
    <m/>
    <m/>
    <s v="Y"/>
    <m/>
    <m/>
    <m/>
    <m/>
    <s v="Hired Attorney"/>
    <s v="mulpi m  p marij tress 2/13/13 hcj60d"/>
    <m/>
    <n v="77"/>
    <n v="163"/>
    <n v="168"/>
    <n v="17.1775956284153"/>
    <n v="0"/>
    <n v="-120"/>
    <s v="DEFERRED"/>
    <x v="1"/>
    <s v="Y"/>
    <m/>
    <s v="DEFERRED"/>
    <s v="Y"/>
    <x v="0"/>
    <x v="0"/>
    <s v="N"/>
    <n v="0.45833333333333331"/>
    <n v="0.26380368098159507"/>
    <n v="-0.19452965235173825"/>
    <n v="0"/>
    <n v="-43"/>
    <n v="34"/>
    <n v="163"/>
    <n v="77"/>
    <n v="163"/>
    <n v="120"/>
    <m/>
    <m/>
    <s v="Y"/>
    <m/>
    <s v="61-90 DAYS"/>
    <n v="4"/>
    <x v="0"/>
  </r>
  <r>
    <n v="43"/>
    <s v="N"/>
    <s v="N"/>
    <n v="2593770"/>
    <n v="4"/>
    <d v="2012-01-03T00:00:00"/>
    <d v="2012-03-02T00:00:00"/>
    <n v="2593770"/>
    <d v="2012-01-03T00:00:00"/>
    <d v="2012-03-02T00:00:00"/>
    <n v="5000"/>
    <x v="4"/>
    <m/>
    <s v="N"/>
    <s v="NONE"/>
    <s v="GUILTY PLEA - NO JURY"/>
    <n v="60"/>
    <n v="60"/>
    <n v="0"/>
    <n v="2"/>
    <m/>
    <m/>
    <m/>
    <m/>
    <m/>
    <m/>
    <m/>
    <m/>
    <m/>
    <d v="1980-02-11T00:00:00"/>
    <s v="M"/>
    <s v="W"/>
    <s v="WHITE"/>
    <s v="NON-HISPANIC"/>
    <s v="232"/>
    <s v="CONVICTED"/>
    <n v="4"/>
    <s v="HCJ"/>
    <m/>
    <m/>
    <n v="180"/>
    <s v="POSS CS PG 1 &lt;1G"/>
    <m/>
    <s v="FS"/>
    <s v="POSS DRUG"/>
    <m/>
    <m/>
    <m/>
    <m/>
    <m/>
    <m/>
    <m/>
    <m/>
    <m/>
    <s v="Public Defender"/>
    <m/>
    <m/>
    <n v="60"/>
    <n v="60"/>
    <n v="60"/>
    <n v="31.827868852459016"/>
    <n v="0"/>
    <n v="0"/>
    <s v="CONVICTION"/>
    <x v="0"/>
    <s v="N"/>
    <m/>
    <s v="CONVICTION"/>
    <s v="Y"/>
    <x v="0"/>
    <x v="0"/>
    <s v="N"/>
    <n v="1"/>
    <n v="1"/>
    <n v="0"/>
    <n v="0"/>
    <n v="-60"/>
    <n v="0"/>
    <n v="60"/>
    <e v="#VALUE!"/>
    <n v="60"/>
    <n v="0"/>
    <m/>
    <m/>
    <s v="Y"/>
    <m/>
    <s v="31-60 DAYS"/>
    <n v="3"/>
    <x v="0"/>
  </r>
  <r>
    <n v="1042"/>
    <s v="N"/>
    <s v="N"/>
    <n v="2594163"/>
    <n v="5"/>
    <d v="2012-02-08T00:00:00"/>
    <d v="2012-04-30T00:00:00"/>
    <n v="2594163"/>
    <d v="2012-02-08T00:00:00"/>
    <d v="2012-04-30T00:00:00"/>
    <s v="NO BOND"/>
    <x v="1"/>
    <m/>
    <s v="N"/>
    <s v="NONE"/>
    <s v="GUILTY PLEA - NO JURY"/>
    <n v="83"/>
    <n v="83"/>
    <n v="1"/>
    <n v="0"/>
    <m/>
    <m/>
    <m/>
    <m/>
    <m/>
    <m/>
    <m/>
    <m/>
    <m/>
    <d v="1985-03-05T00:00:00"/>
    <s v="M"/>
    <s v="B"/>
    <s v="BLACK"/>
    <s v="NON-HISPANIC"/>
    <s v="209"/>
    <s v="CONVICTED"/>
    <n v="5"/>
    <s v="STJ"/>
    <m/>
    <n v="6"/>
    <m/>
    <s v="THEFT $1500-20K"/>
    <m/>
    <s v="FS"/>
    <s v="THEFT"/>
    <m/>
    <m/>
    <m/>
    <m/>
    <m/>
    <m/>
    <m/>
    <m/>
    <m/>
    <s v="Appointed Attorney"/>
    <m/>
    <m/>
    <n v="83"/>
    <n v="83"/>
    <n v="83"/>
    <n v="26.874316939890711"/>
    <n v="0"/>
    <n v="0"/>
    <s v="CONVICTION"/>
    <x v="0"/>
    <s v="N"/>
    <m/>
    <s v="CONVICTION"/>
    <s v="Y"/>
    <x v="0"/>
    <x v="0"/>
    <s v="Y"/>
    <n v="1"/>
    <n v="1"/>
    <n v="0"/>
    <n v="0"/>
    <n v="-83"/>
    <n v="0"/>
    <n v="83"/>
    <e v="#VALUE!"/>
    <n v="83"/>
    <n v="0"/>
    <m/>
    <m/>
    <s v="Y"/>
    <m/>
    <s v="61-90 DAYS"/>
    <n v="4"/>
    <x v="0"/>
  </r>
  <r>
    <n v="600"/>
    <s v="N"/>
    <s v="N"/>
    <n v="2594332"/>
    <n v="6"/>
    <d v="2012-01-24T00:00:00"/>
    <d v="2012-05-24T00:00:00"/>
    <n v="2594332"/>
    <d v="2012-01-24T00:00:00"/>
    <d v="2012-03-04T00:00:00"/>
    <n v="30000"/>
    <x v="2"/>
    <d v="2012-03-04T00:00:00"/>
    <s v="Y"/>
    <s v="SURETY"/>
    <s v="DEFENDANT CONVICTED ON ANOTHER CHARGE"/>
    <n v="41"/>
    <n v="122"/>
    <n v="0"/>
    <n v="1"/>
    <m/>
    <m/>
    <m/>
    <m/>
    <m/>
    <m/>
    <m/>
    <m/>
    <m/>
    <d v="1994-03-28T00:00:00"/>
    <s v="F"/>
    <s v="H"/>
    <s v="HISPANIC"/>
    <s v="HISPANIC"/>
    <s v="339"/>
    <s v="CONVICTED"/>
    <n v="6"/>
    <s v="TDC"/>
    <n v="2"/>
    <m/>
    <m/>
    <s v="BURGLARY OF HABITATION"/>
    <m/>
    <s v="F2"/>
    <s v="BURGLARY"/>
    <m/>
    <m/>
    <m/>
    <m/>
    <m/>
    <m/>
    <m/>
    <m/>
    <m/>
    <s v="Hired Attorney"/>
    <m/>
    <m/>
    <n v="41"/>
    <n v="122"/>
    <n v="122"/>
    <n v="17.789617486338798"/>
    <n v="0"/>
    <n v="-81"/>
    <s v="CONVICTION"/>
    <x v="1"/>
    <s v="Y"/>
    <m/>
    <s v="CONVICTION"/>
    <s v="Y"/>
    <x v="1"/>
    <x v="0"/>
    <s v="N"/>
    <n v="0.33606557377049179"/>
    <n v="0.33606557377049179"/>
    <n v="0"/>
    <n v="0"/>
    <n v="-41"/>
    <n v="0"/>
    <n v="41"/>
    <e v="#VALUE!"/>
    <n v="41"/>
    <n v="0"/>
    <m/>
    <m/>
    <s v="Y"/>
    <m/>
    <s v="31-60 DAYS"/>
    <n v="3"/>
    <x v="0"/>
  </r>
  <r>
    <n v="2901"/>
    <s v="N"/>
    <s v="N"/>
    <n v="2596728"/>
    <n v="2"/>
    <d v="2012-04-17T00:00:00"/>
    <d v="2012-04-27T00:00:00"/>
    <n v="2596728"/>
    <d v="2012-04-26T00:00:00"/>
    <d v="2012-04-27T00:00:00"/>
    <n v="5000"/>
    <x v="4"/>
    <m/>
    <s v="N"/>
    <s v="NONE"/>
    <s v="DEFERRED ADJUDICATION "/>
    <n v="2"/>
    <n v="11"/>
    <n v="0"/>
    <n v="0"/>
    <m/>
    <m/>
    <m/>
    <m/>
    <m/>
    <m/>
    <m/>
    <m/>
    <m/>
    <d v="1990-11-27T00:00:00"/>
    <s v="M"/>
    <s v="B"/>
    <s v="BLACK"/>
    <s v="NULL"/>
    <s v="263"/>
    <s v="DEFERRED"/>
    <n v="2"/>
    <s v="DEFERRED"/>
    <m/>
    <m/>
    <m/>
    <s v="CARRY PROH WPN PROHBITED PLACE"/>
    <m/>
    <s v="F3"/>
    <s v="OTHER FEL"/>
    <m/>
    <m/>
    <m/>
    <m/>
    <m/>
    <m/>
    <m/>
    <m/>
    <m/>
    <s v="Appointed Attorney"/>
    <m/>
    <m/>
    <n v="2"/>
    <n v="2"/>
    <n v="11"/>
    <n v="21.344262295081968"/>
    <n v="0"/>
    <n v="0"/>
    <s v="DEFERRED"/>
    <x v="0"/>
    <s v="N"/>
    <m/>
    <s v="DEFERRED"/>
    <s v="Y"/>
    <x v="0"/>
    <x v="0"/>
    <s v="N"/>
    <n v="0.18181818181818182"/>
    <n v="1"/>
    <n v="0.81818181818181812"/>
    <n v="0"/>
    <n v="-2"/>
    <n v="0"/>
    <n v="2"/>
    <e v="#VALUE!"/>
    <n v="2"/>
    <n v="0"/>
    <m/>
    <m/>
    <s v="N"/>
    <m/>
    <s v="0-10 DAYS"/>
    <n v="1"/>
    <x v="0"/>
  </r>
  <r>
    <n v="1884"/>
    <s v="N"/>
    <s v="Y"/>
    <n v="2596819"/>
    <n v="1"/>
    <d v="2012-03-10T00:00:00"/>
    <d v="2012-10-12T00:00:00"/>
    <n v="2596819"/>
    <d v="2012-03-11T00:00:00"/>
    <d v="2012-03-13T00:00:00"/>
    <n v="10000"/>
    <x v="3"/>
    <d v="2012-03-13T00:00:00"/>
    <s v="Y"/>
    <s v="SURETY"/>
    <s v="DISMISSED"/>
    <n v="210"/>
    <n v="217"/>
    <n v="0"/>
    <n v="0"/>
    <m/>
    <m/>
    <m/>
    <m/>
    <m/>
    <m/>
    <m/>
    <m/>
    <m/>
    <d v="1991-11-22T00:00:00"/>
    <s v="M"/>
    <s v="H"/>
    <s v="HISPANIC"/>
    <s v="HISPANIC"/>
    <s v="183"/>
    <s v="DISMISSED"/>
    <n v="12"/>
    <s v="DISMISSED"/>
    <m/>
    <m/>
    <m/>
    <s v="ROBBERY-THREATS"/>
    <m/>
    <s v="F2"/>
    <s v="ROBBERY"/>
    <m/>
    <s v="SSR 7/13/12 "/>
    <m/>
    <m/>
    <s v="Y"/>
    <m/>
    <m/>
    <m/>
    <m/>
    <s v="Hired Attorney"/>
    <m/>
    <m/>
    <n v="210"/>
    <n v="216"/>
    <n v="217"/>
    <n v="20.256830601092897"/>
    <n v="0"/>
    <n v="-213"/>
    <s v="NO CONVICTION"/>
    <x v="1"/>
    <s v="Y"/>
    <m/>
    <s v="NO CONVICTION"/>
    <s v="Y"/>
    <x v="0"/>
    <x v="0"/>
    <s v="N"/>
    <n v="0.967741935483871"/>
    <n v="1.3888888888888888E-2"/>
    <n v="-0.95385304659498216"/>
    <n v="0"/>
    <n v="-3"/>
    <n v="207"/>
    <n v="216"/>
    <n v="210"/>
    <n v="216"/>
    <n v="213"/>
    <m/>
    <m/>
    <s v="N"/>
    <m/>
    <s v="121-365 DAYS"/>
    <n v="6"/>
    <x v="0"/>
  </r>
  <r>
    <n v="2667"/>
    <s v="N"/>
    <s v="N"/>
    <n v="2597245"/>
    <n v="2"/>
    <d v="2012-04-09T00:00:00"/>
    <d v="2013-01-03T00:00:00"/>
    <n v="2597245"/>
    <d v="2012-04-09T00:00:00"/>
    <d v="2012-05-02T00:00:00"/>
    <n v="30000"/>
    <x v="2"/>
    <d v="2012-05-02T00:00:00"/>
    <s v="Y"/>
    <s v="SURETYPTRc"/>
    <s v="DEFERRED ADJUDICATION "/>
    <n v="24"/>
    <n v="270"/>
    <n v="0"/>
    <n v="1"/>
    <m/>
    <m/>
    <m/>
    <m/>
    <m/>
    <m/>
    <m/>
    <m/>
    <m/>
    <d v="1982-12-30T00:00:00"/>
    <s v="M"/>
    <s v="W"/>
    <s v="WHITE"/>
    <s v="NULL"/>
    <s v="183"/>
    <s v="DEFERRED"/>
    <n v="14"/>
    <s v="DEFERRED"/>
    <m/>
    <m/>
    <m/>
    <s v="AGG ASSAULT W/DEADLY WEAPON"/>
    <m/>
    <s v="F2"/>
    <s v="ASLT-MURDR"/>
    <m/>
    <m/>
    <m/>
    <m/>
    <m/>
    <m/>
    <m/>
    <m/>
    <m/>
    <s v="Hired Attorney"/>
    <m/>
    <m/>
    <n v="24"/>
    <n v="270"/>
    <n v="270"/>
    <n v="29.215846994535518"/>
    <n v="0"/>
    <n v="-246"/>
    <s v="DEFERRED"/>
    <x v="1"/>
    <s v="Y"/>
    <m/>
    <s v="DEFERRED"/>
    <s v="Y"/>
    <x v="1"/>
    <x v="0"/>
    <s v="N"/>
    <n v="8.8888888888888892E-2"/>
    <n v="8.8888888888888892E-2"/>
    <n v="0"/>
    <n v="0"/>
    <n v="-24"/>
    <n v="0"/>
    <n v="24"/>
    <e v="#VALUE!"/>
    <n v="24"/>
    <n v="0"/>
    <m/>
    <m/>
    <s v="Y"/>
    <m/>
    <s v="11-30 DAYS"/>
    <n v="2"/>
    <x v="0"/>
  </r>
  <r>
    <n v="2148"/>
    <s v="N"/>
    <s v="N"/>
    <n v="2597432"/>
    <n v="6"/>
    <d v="2012-03-21T00:00:00"/>
    <d v="2013-10-25T00:00:00"/>
    <n v="2597432"/>
    <d v="2012-03-22T00:00:00"/>
    <d v="2013-10-25T00:00:00"/>
    <n v="50000"/>
    <x v="2"/>
    <m/>
    <s v="N"/>
    <s v="NONE"/>
    <s v="GUILTY PLEA - NO JURY"/>
    <n v="583"/>
    <n v="584"/>
    <n v="2"/>
    <n v="0"/>
    <m/>
    <n v="2"/>
    <m/>
    <m/>
    <m/>
    <m/>
    <m/>
    <s v="S"/>
    <m/>
    <d v="1993-12-29T00:00:00"/>
    <s v="M"/>
    <s v="H"/>
    <s v="HISPANIC"/>
    <s v="NULL"/>
    <s v="174"/>
    <s v="CONVICTED"/>
    <n v="13"/>
    <s v="TDC"/>
    <n v="10"/>
    <m/>
    <m/>
    <s v="AGG ASSAULT W/DEADLY WEAPON"/>
    <m/>
    <s v="F2"/>
    <s v="ASLT-MURDR"/>
    <s v="2 PRIOR FILED F CASES SAME DISP DATE &amp; SENT"/>
    <m/>
    <m/>
    <m/>
    <m/>
    <m/>
    <m/>
    <m/>
    <m/>
    <s v="Public Defender"/>
    <m/>
    <m/>
    <n v="583"/>
    <n v="583"/>
    <n v="584"/>
    <n v="18.188524590163933"/>
    <n v="0"/>
    <n v="0"/>
    <s v="CONVICTION"/>
    <x v="0"/>
    <s v="N"/>
    <m/>
    <s v="CONVICTION"/>
    <s v="Y"/>
    <x v="0"/>
    <x v="0"/>
    <s v="Y"/>
    <n v="0.99828767123287676"/>
    <n v="1"/>
    <n v="1.712328767123239E-3"/>
    <n v="0"/>
    <n v="-583"/>
    <n v="0"/>
    <n v="583"/>
    <e v="#VALUE!"/>
    <n v="583"/>
    <n v="0"/>
    <m/>
    <m/>
    <s v="Y"/>
    <m/>
    <s v=" &gt;1YRS&lt;2YRS"/>
    <n v="0"/>
    <x v="0"/>
  </r>
  <r>
    <n v="1340"/>
    <s v="N"/>
    <s v="N"/>
    <n v="2597491"/>
    <n v="1"/>
    <d v="2012-02-18T00:00:00"/>
    <d v="2012-05-14T00:00:00"/>
    <n v="2597491"/>
    <d v="2012-02-18T00:00:00"/>
    <d v="2012-05-14T00:00:00"/>
    <s v="NO BOND"/>
    <x v="1"/>
    <m/>
    <s v="N"/>
    <s v="NONE"/>
    <s v="DISMISSED"/>
    <n v="87"/>
    <n v="87"/>
    <n v="0"/>
    <n v="1"/>
    <m/>
    <m/>
    <m/>
    <m/>
    <m/>
    <m/>
    <m/>
    <s v="S"/>
    <m/>
    <d v="1993-12-29T00:00:00"/>
    <s v="M"/>
    <s v="H"/>
    <s v="HISPANIC"/>
    <s v="NULL"/>
    <s v="209"/>
    <s v="DISMISSED"/>
    <n v="4"/>
    <s v="DISMISSED"/>
    <m/>
    <m/>
    <m/>
    <s v="AGG KIDNAPPING"/>
    <m/>
    <s v="F1"/>
    <s v="KIDNAPPING"/>
    <m/>
    <m/>
    <m/>
    <m/>
    <m/>
    <m/>
    <m/>
    <m/>
    <m/>
    <s v="Hired Attorney"/>
    <m/>
    <m/>
    <n v="87"/>
    <n v="87"/>
    <n v="87"/>
    <n v="18.101092896174862"/>
    <n v="0"/>
    <n v="0"/>
    <s v="NO CONVICTION"/>
    <x v="0"/>
    <s v="N"/>
    <m/>
    <s v="NO CONVICTION"/>
    <s v="Y"/>
    <x v="0"/>
    <x v="0"/>
    <s v="N"/>
    <n v="1"/>
    <n v="1"/>
    <n v="0"/>
    <n v="0"/>
    <n v="-87"/>
    <n v="0"/>
    <n v="87"/>
    <e v="#VALUE!"/>
    <n v="87"/>
    <n v="0"/>
    <m/>
    <m/>
    <s v="Y"/>
    <m/>
    <s v="61-90 DAYS"/>
    <n v="4"/>
    <x v="0"/>
  </r>
  <r>
    <n v="2285"/>
    <s v="N"/>
    <s v="N"/>
    <n v="2597532"/>
    <n v="4"/>
    <d v="2012-03-27T00:00:00"/>
    <d v="2012-06-04T00:00:00"/>
    <n v="2597532"/>
    <d v="2012-03-28T00:00:00"/>
    <d v="2012-03-30T00:00:00"/>
    <n v="2000"/>
    <x v="5"/>
    <d v="2012-03-30T00:00:00"/>
    <s v="Y"/>
    <s v="SURETY"/>
    <s v="GUILTY PLEA - NO JURY"/>
    <n v="3"/>
    <n v="70"/>
    <n v="0"/>
    <n v="1"/>
    <m/>
    <m/>
    <m/>
    <m/>
    <m/>
    <m/>
    <m/>
    <m/>
    <m/>
    <d v="1994-05-26T00:00:00"/>
    <s v="M"/>
    <s v="null"/>
    <s v="OTHER"/>
    <s v="NULL"/>
    <s v="232"/>
    <s v="CONVICTED"/>
    <n v="4"/>
    <s v="HCJ"/>
    <m/>
    <m/>
    <n v="60"/>
    <s v="POSS CS PG 1 &lt;1G"/>
    <m/>
    <s v="FS"/>
    <s v="POSS DRUG"/>
    <m/>
    <m/>
    <m/>
    <m/>
    <m/>
    <m/>
    <m/>
    <m/>
    <m/>
    <s v="Appointed Attorney"/>
    <m/>
    <m/>
    <n v="3"/>
    <n v="69"/>
    <n v="70"/>
    <n v="17.800546448087431"/>
    <n v="0"/>
    <n v="-66"/>
    <s v="CONVICTION"/>
    <x v="1"/>
    <s v="Y"/>
    <m/>
    <s v="CONVICTION"/>
    <s v="Y"/>
    <x v="1"/>
    <x v="0"/>
    <s v="N"/>
    <n v="4.2857142857142858E-2"/>
    <n v="4.3478260869565216E-2"/>
    <n v="6.2111801242235865E-4"/>
    <n v="0"/>
    <n v="-3"/>
    <n v="0"/>
    <n v="3"/>
    <e v="#VALUE!"/>
    <n v="3"/>
    <n v="0"/>
    <m/>
    <m/>
    <s v="Y"/>
    <m/>
    <s v="0-10 DAYS"/>
    <n v="1"/>
    <x v="0"/>
  </r>
  <r>
    <n v="431"/>
    <s v="N"/>
    <s v="N"/>
    <n v="2597538"/>
    <n v="2"/>
    <d v="2012-01-18T00:00:00"/>
    <d v="2012-02-23T00:00:00"/>
    <n v="2597538"/>
    <d v="2012-01-19T00:00:00"/>
    <d v="2012-02-23T00:00:00"/>
    <n v="3000"/>
    <x v="4"/>
    <m/>
    <s v="N"/>
    <s v="NONE"/>
    <s v="DEFERRED ADJUDICATION "/>
    <n v="36"/>
    <n v="37"/>
    <n v="0"/>
    <n v="1"/>
    <m/>
    <m/>
    <m/>
    <m/>
    <m/>
    <m/>
    <m/>
    <m/>
    <m/>
    <d v="1993-03-04T00:00:00"/>
    <s v="M"/>
    <s v="W"/>
    <s v="WHITE"/>
    <s v="NULL"/>
    <s v="230"/>
    <s v="DEFERRED"/>
    <n v="5"/>
    <s v="DEFERRED"/>
    <m/>
    <m/>
    <m/>
    <s v="POSS W/INT DEL CS PG1&gt;=4 &lt;200"/>
    <m/>
    <s v="F1"/>
    <s v="SALE DRUG"/>
    <m/>
    <m/>
    <m/>
    <m/>
    <m/>
    <m/>
    <m/>
    <m/>
    <m/>
    <s v="Appointed Attorney"/>
    <m/>
    <m/>
    <n v="36"/>
    <n v="36"/>
    <n v="37"/>
    <n v="18.83606557377049"/>
    <n v="0"/>
    <n v="0"/>
    <s v="DEFERRED"/>
    <x v="0"/>
    <s v="N"/>
    <m/>
    <s v="DEFERRED"/>
    <s v="Y"/>
    <x v="0"/>
    <x v="0"/>
    <s v="N"/>
    <n v="0.97297297297297303"/>
    <n v="1"/>
    <n v="2.7027027027026973E-2"/>
    <n v="0"/>
    <n v="-36"/>
    <n v="0"/>
    <n v="36"/>
    <e v="#VALUE!"/>
    <n v="36"/>
    <n v="0"/>
    <m/>
    <m/>
    <s v="Y"/>
    <m/>
    <s v="31-60 DAYS"/>
    <n v="3"/>
    <x v="0"/>
  </r>
  <r>
    <n v="1878"/>
    <s v="N"/>
    <s v="N"/>
    <n v="2597726"/>
    <n v="2"/>
    <d v="2012-03-10T00:00:00"/>
    <d v="2012-04-10T00:00:00"/>
    <n v="2597726"/>
    <d v="2012-03-10T00:00:00"/>
    <d v="2012-04-10T00:00:00"/>
    <n v="2000"/>
    <x v="5"/>
    <m/>
    <s v="N"/>
    <s v="NONE"/>
    <s v="DEFERRED ADJUDICATION "/>
    <n v="32"/>
    <n v="32"/>
    <n v="0"/>
    <n v="1"/>
    <m/>
    <m/>
    <m/>
    <m/>
    <m/>
    <m/>
    <m/>
    <m/>
    <m/>
    <d v="1988-11-11T00:00:00"/>
    <s v="M"/>
    <s v="W"/>
    <s v="WHITE"/>
    <s v="NULL"/>
    <s v="179"/>
    <s v="DEFERRED"/>
    <n v="2"/>
    <s v="DEFERRED"/>
    <m/>
    <m/>
    <m/>
    <s v="POSS CS PG 1 &lt;1G"/>
    <m/>
    <s v="FS"/>
    <s v="POSS DRUG"/>
    <m/>
    <m/>
    <m/>
    <m/>
    <m/>
    <m/>
    <m/>
    <m/>
    <m/>
    <s v="Appointed Attorney"/>
    <m/>
    <m/>
    <n v="32"/>
    <n v="32"/>
    <n v="32"/>
    <n v="23.278688524590162"/>
    <n v="0"/>
    <n v="0"/>
    <s v="DEFERRED"/>
    <x v="0"/>
    <s v="N"/>
    <m/>
    <s v="DEFERRED"/>
    <s v="Y"/>
    <x v="0"/>
    <x v="0"/>
    <s v="N"/>
    <n v="1"/>
    <n v="1"/>
    <n v="0"/>
    <n v="0"/>
    <n v="-32"/>
    <n v="0"/>
    <n v="32"/>
    <e v="#VALUE!"/>
    <n v="32"/>
    <n v="0"/>
    <m/>
    <m/>
    <s v="Y"/>
    <m/>
    <s v="31-60 DAYS"/>
    <n v="3"/>
    <x v="0"/>
  </r>
  <r>
    <n v="6"/>
    <s v="N"/>
    <s v="N"/>
    <n v="2597773"/>
    <n v="1"/>
    <d v="2012-01-01T00:00:00"/>
    <d v="2012-02-23T00:00:00"/>
    <n v="2597773"/>
    <d v="2012-01-01T00:00:00"/>
    <d v="2012-01-03T00:00:00"/>
    <n v="10000"/>
    <x v="3"/>
    <d v="2012-01-03T00:00:00"/>
    <s v="Y"/>
    <s v="PTRc"/>
    <s v="DISMISSED"/>
    <n v="3"/>
    <n v="54"/>
    <n v="0"/>
    <n v="0"/>
    <m/>
    <m/>
    <m/>
    <m/>
    <m/>
    <m/>
    <m/>
    <m/>
    <m/>
    <d v="1984-08-14T00:00:00"/>
    <s v="F"/>
    <s v="B"/>
    <s v="BLACK"/>
    <s v="NULL"/>
    <s v="178"/>
    <s v="DISMISSED"/>
    <n v="3"/>
    <s v="DISMISSED"/>
    <m/>
    <m/>
    <m/>
    <s v="BURGLARY OF HABITATION"/>
    <m/>
    <s v="F2"/>
    <s v="BURGLARY"/>
    <m/>
    <m/>
    <m/>
    <m/>
    <m/>
    <m/>
    <m/>
    <m/>
    <m/>
    <s v="Appointed Attorney"/>
    <m/>
    <m/>
    <n v="3"/>
    <n v="54"/>
    <n v="54"/>
    <n v="27.325136612021858"/>
    <n v="0"/>
    <n v="-51"/>
    <s v="NO CONVICTION"/>
    <x v="2"/>
    <s v="Y"/>
    <m/>
    <s v="NO CONVICTION"/>
    <s v="Y"/>
    <x v="1"/>
    <x v="0"/>
    <s v="N"/>
    <n v="5.5555555555555552E-2"/>
    <n v="5.5555555555555552E-2"/>
    <n v="0"/>
    <n v="0"/>
    <n v="-3"/>
    <n v="0"/>
    <n v="3"/>
    <e v="#VALUE!"/>
    <n v="3"/>
    <n v="0"/>
    <m/>
    <m/>
    <s v="N"/>
    <m/>
    <s v="0-10 DAYS"/>
    <n v="1"/>
    <x v="0"/>
  </r>
  <r>
    <n v="10"/>
    <s v="N"/>
    <s v="N"/>
    <n v="2597790"/>
    <n v="2"/>
    <d v="2012-01-01T00:00:00"/>
    <d v="2012-09-21T00:00:00"/>
    <n v="2597790"/>
    <d v="2012-01-01T00:00:00"/>
    <d v="2012-01-02T00:00:00"/>
    <n v="10000"/>
    <x v="3"/>
    <d v="2012-01-02T00:00:00"/>
    <s v="Y"/>
    <s v="SURETYPTRc"/>
    <s v="DEFERRED ADJUDICATION "/>
    <n v="2"/>
    <n v="265"/>
    <n v="0"/>
    <n v="0"/>
    <m/>
    <m/>
    <m/>
    <m/>
    <m/>
    <m/>
    <m/>
    <m/>
    <m/>
    <d v="1992-10-27T00:00:00"/>
    <s v="M"/>
    <s v="W"/>
    <s v="WHITE"/>
    <s v="NULL"/>
    <s v="183"/>
    <s v="DEFERRED"/>
    <n v="11"/>
    <s v="DEFERRED"/>
    <m/>
    <m/>
    <m/>
    <s v="BURGLARY OF HABITATION"/>
    <m/>
    <s v="F2"/>
    <s v="BURGLARY"/>
    <m/>
    <m/>
    <m/>
    <m/>
    <m/>
    <m/>
    <m/>
    <m/>
    <m/>
    <s v="Hired Attorney"/>
    <m/>
    <m/>
    <n v="2"/>
    <n v="265"/>
    <n v="265"/>
    <n v="19.139344262295083"/>
    <n v="0"/>
    <n v="-263"/>
    <s v="DEFERRED"/>
    <x v="1"/>
    <s v="Y"/>
    <m/>
    <s v="DEFERRED"/>
    <s v="Y"/>
    <x v="1"/>
    <x v="0"/>
    <s v="N"/>
    <n v="7.5471698113207548E-3"/>
    <n v="7.5471698113207548E-3"/>
    <n v="0"/>
    <n v="0"/>
    <n v="-2"/>
    <n v="0"/>
    <n v="2"/>
    <e v="#VALUE!"/>
    <n v="2"/>
    <n v="0"/>
    <m/>
    <m/>
    <s v="N"/>
    <m/>
    <s v="0-10 DAYS"/>
    <n v="1"/>
    <x v="0"/>
  </r>
  <r>
    <n v="13"/>
    <s v="N"/>
    <s v="N"/>
    <n v="2597817"/>
    <n v="2"/>
    <d v="2012-01-02T00:00:00"/>
    <d v="2012-02-08T00:00:00"/>
    <n v="2597817"/>
    <s v="NOT BOOKED"/>
    <s v="NOT BOOKED"/>
    <n v="10000"/>
    <x v="3"/>
    <d v="2012-01-02T00:00:00"/>
    <s v="Y"/>
    <s v="SURETY"/>
    <s v="DEFENDANT CONVICTED ON ANOTHER CHARGE"/>
    <n v="0"/>
    <n v="38"/>
    <n v="0"/>
    <n v="0"/>
    <m/>
    <m/>
    <m/>
    <m/>
    <m/>
    <m/>
    <m/>
    <m/>
    <m/>
    <d v="1975-10-09T00:00:00"/>
    <s v="M"/>
    <s v="W"/>
    <s v="WHITE"/>
    <s v="NULL"/>
    <s v="337"/>
    <s v="DEFERRED"/>
    <n v="2"/>
    <s v="DEFERRED"/>
    <m/>
    <m/>
    <m/>
    <s v="DISARMING POLICE OFFICER"/>
    <m/>
    <s v="FS"/>
    <s v="OTHER FEL"/>
    <s v="no legal defense"/>
    <m/>
    <m/>
    <m/>
    <m/>
    <m/>
    <m/>
    <m/>
    <m/>
    <s v="Other/Unknown"/>
    <m/>
    <m/>
    <n v="0"/>
    <n v="0"/>
    <n v="38"/>
    <n v="36.158469945355193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6"/>
    <s v="N"/>
    <s v="N"/>
    <n v="2597859"/>
    <n v="1"/>
    <d v="2012-01-02T00:00:00"/>
    <d v="2012-01-05T00:00:00"/>
    <n v="2597859"/>
    <d v="2012-01-03T00:00:00"/>
    <d v="2012-01-05T00:00:00"/>
    <n v="5000"/>
    <x v="4"/>
    <m/>
    <s v="N"/>
    <s v="NONE"/>
    <s v="DISMISSED"/>
    <n v="3"/>
    <n v="4"/>
    <n v="0"/>
    <n v="0"/>
    <m/>
    <m/>
    <m/>
    <m/>
    <m/>
    <m/>
    <m/>
    <m/>
    <m/>
    <d v="1991-07-17T00:00:00"/>
    <s v="M"/>
    <s v="W"/>
    <s v="WHITE"/>
    <s v="NULL"/>
    <s v="183"/>
    <s v="DISMISSED"/>
    <n v="2"/>
    <s v="DISMISSED"/>
    <m/>
    <m/>
    <m/>
    <s v="POSS CS PG 1  1 - 4 GRAMS"/>
    <m/>
    <s v="F3"/>
    <s v="POSS DRUG"/>
    <m/>
    <m/>
    <m/>
    <m/>
    <m/>
    <m/>
    <m/>
    <m/>
    <m/>
    <s v="Other/Unknown"/>
    <m/>
    <m/>
    <n v="3"/>
    <n v="3"/>
    <n v="4"/>
    <n v="20.420765027322403"/>
    <n v="0"/>
    <n v="0"/>
    <s v="NO CONVICTION"/>
    <x v="0"/>
    <s v="N"/>
    <m/>
    <s v="NO CONVICTION"/>
    <s v="Y"/>
    <x v="0"/>
    <x v="0"/>
    <s v="N"/>
    <n v="0.75"/>
    <n v="1"/>
    <n v="0.25"/>
    <n v="0"/>
    <n v="-3"/>
    <n v="0"/>
    <n v="3"/>
    <e v="#VALUE!"/>
    <n v="3"/>
    <n v="0"/>
    <m/>
    <m/>
    <s v="N"/>
    <m/>
    <s v="0-10 DAYS"/>
    <n v="1"/>
    <x v="0"/>
  </r>
  <r>
    <n v="2680"/>
    <s v="N"/>
    <s v="Y"/>
    <n v="2597860"/>
    <n v="2"/>
    <d v="2012-04-09T00:00:00"/>
    <d v="2012-06-07T00:00:00"/>
    <n v="2597860"/>
    <d v="2012-05-14T00:00:00"/>
    <d v="2012-06-07T00:00:00"/>
    <n v="10000"/>
    <x v="3"/>
    <d v="2012-04-11T00:00:00"/>
    <s v="Y"/>
    <s v="SURETY"/>
    <s v="DEFERRED ADJUDICATION "/>
    <n v="22"/>
    <n v="60"/>
    <n v="0"/>
    <n v="0"/>
    <m/>
    <m/>
    <m/>
    <m/>
    <m/>
    <m/>
    <m/>
    <m/>
    <m/>
    <d v="1984-10-28T00:00:00"/>
    <s v="M"/>
    <s v="W"/>
    <s v="WHITE"/>
    <s v="NULL"/>
    <s v="228"/>
    <s v="DEFERRED"/>
    <n v="3"/>
    <s v="DEFERRED"/>
    <m/>
    <m/>
    <m/>
    <s v="POSS CS PG 1 4G - 200G"/>
    <m/>
    <s v="F2"/>
    <s v="POSS DRUG"/>
    <s v="6/8/12  misd theft hcj 30 d   bd rev 5/14/12"/>
    <s v="bd rev 5/14/12  "/>
    <m/>
    <m/>
    <s v="Y"/>
    <m/>
    <m/>
    <m/>
    <m/>
    <s v="Public Defender"/>
    <m/>
    <m/>
    <n v="22"/>
    <n v="25"/>
    <n v="60"/>
    <n v="27.39071038251366"/>
    <n v="0"/>
    <n v="0"/>
    <s v="DEFERRED"/>
    <x v="1"/>
    <s v="Y"/>
    <m/>
    <s v="DEFERRED"/>
    <s v="Y"/>
    <x v="0"/>
    <x v="0"/>
    <s v="N"/>
    <n v="0.36666666666666664"/>
    <n v="1"/>
    <n v="0.6333333333333333"/>
    <n v="0"/>
    <n v="-25"/>
    <n v="-3"/>
    <n v="25"/>
    <n v="22"/>
    <n v="25"/>
    <n v="0"/>
    <m/>
    <m/>
    <s v="N"/>
    <m/>
    <s v="11-30 DAYS"/>
    <n v="2"/>
    <x v="0"/>
  </r>
  <r>
    <n v="29"/>
    <s v="N"/>
    <s v="N"/>
    <n v="2597872"/>
    <n v="2"/>
    <d v="2012-01-03T00:00:00"/>
    <d v="2012-10-30T00:00:00"/>
    <n v="2597872"/>
    <d v="2012-01-10T00:00:00"/>
    <d v="2012-01-10T00:00:00"/>
    <n v="10000"/>
    <x v="3"/>
    <d v="2012-01-14T00:00:00"/>
    <s v="Y"/>
    <s v="SURETY"/>
    <s v="DEFERRED ADJUDICATION "/>
    <n v="1"/>
    <n v="302"/>
    <n v="0"/>
    <n v="1"/>
    <m/>
    <m/>
    <m/>
    <m/>
    <m/>
    <m/>
    <m/>
    <m/>
    <m/>
    <d v="1989-10-15T00:00:00"/>
    <s v="M"/>
    <s v="B"/>
    <s v="BLACK"/>
    <s v="NULL"/>
    <s v="339"/>
    <s v="DEFERRED"/>
    <n v="14"/>
    <s v="DEFERRED"/>
    <m/>
    <m/>
    <m/>
    <s v="INJURY CHILD UNDER 15 B/INJURY"/>
    <m/>
    <s v="F3"/>
    <s v="OTHER FEL"/>
    <m/>
    <m/>
    <m/>
    <m/>
    <m/>
    <m/>
    <m/>
    <m/>
    <m/>
    <s v="Hired Attorney"/>
    <m/>
    <m/>
    <n v="1"/>
    <n v="295"/>
    <n v="302"/>
    <n v="22.172131147540984"/>
    <n v="4"/>
    <n v="-294"/>
    <s v="DEFERRED"/>
    <x v="1"/>
    <s v="Y"/>
    <m/>
    <s v="DEFERRED"/>
    <s v="Y"/>
    <x v="1"/>
    <x v="0"/>
    <s v="N"/>
    <n v="3.3112582781456954E-3"/>
    <n v="3.3898305084745762E-3"/>
    <n v="7.8572230328880811E-5"/>
    <n v="0"/>
    <n v="-1"/>
    <n v="0"/>
    <n v="5"/>
    <e v="#VALUE!"/>
    <n v="5"/>
    <n v="4"/>
    <m/>
    <m/>
    <s v="Y"/>
    <m/>
    <s v="0-10 DAYS"/>
    <n v="1"/>
    <x v="0"/>
  </r>
  <r>
    <n v="2554"/>
    <s v="N"/>
    <s v="N"/>
    <n v="2597893"/>
    <n v="6"/>
    <d v="2012-04-05T00:00:00"/>
    <d v="2012-07-26T00:00:00"/>
    <n v="2597893"/>
    <d v="2012-04-05T00:00:00"/>
    <d v="2012-07-26T00:00:00"/>
    <s v="NO BOND"/>
    <x v="1"/>
    <m/>
    <s v="N"/>
    <s v="NONE"/>
    <s v="GUILTY PLEA - NO JURY"/>
    <n v="113"/>
    <n v="113"/>
    <n v="0"/>
    <n v="0"/>
    <m/>
    <m/>
    <m/>
    <m/>
    <m/>
    <m/>
    <m/>
    <m/>
    <m/>
    <d v="1985-12-14T00:00:00"/>
    <s v="M"/>
    <s v="B"/>
    <s v="BLACK"/>
    <s v="NULL"/>
    <s v="176"/>
    <s v="CONVICTED"/>
    <n v="4"/>
    <s v="TDC"/>
    <n v="5"/>
    <m/>
    <m/>
    <s v="POSS CS PG 1 &lt;1G"/>
    <m/>
    <s v="FS"/>
    <s v="POSS DRUG"/>
    <m/>
    <s v=" rev 4/9/12  "/>
    <m/>
    <m/>
    <m/>
    <m/>
    <m/>
    <m/>
    <m/>
    <s v="Hired Attorney"/>
    <m/>
    <m/>
    <n v="113"/>
    <n v="113"/>
    <n v="113"/>
    <n v="26.254098360655739"/>
    <n v="0"/>
    <n v="0"/>
    <s v="CONVICTION"/>
    <x v="0"/>
    <s v="N"/>
    <m/>
    <s v="CONVICTION"/>
    <s v="Y"/>
    <x v="0"/>
    <x v="0"/>
    <s v="N"/>
    <n v="1"/>
    <n v="1"/>
    <n v="0"/>
    <n v="0"/>
    <n v="-113"/>
    <n v="0"/>
    <n v="113"/>
    <e v="#VALUE!"/>
    <n v="113"/>
    <n v="0"/>
    <m/>
    <m/>
    <s v="N"/>
    <m/>
    <s v="91-120 DAYS"/>
    <n v="0"/>
    <x v="0"/>
  </r>
  <r>
    <n v="451"/>
    <s v="N"/>
    <s v="N"/>
    <n v="2597942"/>
    <n v="2"/>
    <d v="2012-01-19T00:00:00"/>
    <d v="2012-02-09T00:00:00"/>
    <n v="2597942"/>
    <d v="2012-01-19T00:00:00"/>
    <d v="2012-02-09T00:00:00"/>
    <s v="NO BOND"/>
    <x v="1"/>
    <m/>
    <s v="N"/>
    <s v="NONE"/>
    <s v="DEFERRED ADJUDICATION "/>
    <n v="22"/>
    <n v="22"/>
    <n v="0"/>
    <n v="0"/>
    <m/>
    <m/>
    <m/>
    <m/>
    <m/>
    <m/>
    <m/>
    <m/>
    <m/>
    <d v="1994-01-11T00:00:00"/>
    <s v="M"/>
    <s v="B"/>
    <s v="BLACK"/>
    <s v="NON-HISPANIC"/>
    <s v="337"/>
    <s v="DEFERRED"/>
    <n v="3"/>
    <s v="DEFERRED"/>
    <m/>
    <m/>
    <m/>
    <s v="THEFT $1500-20K"/>
    <m/>
    <s v="FS"/>
    <s v="THEFT"/>
    <m/>
    <m/>
    <m/>
    <m/>
    <m/>
    <m/>
    <m/>
    <m/>
    <m/>
    <s v="Public Defender"/>
    <m/>
    <m/>
    <n v="22"/>
    <n v="22"/>
    <n v="22"/>
    <n v="17.983606557377048"/>
    <n v="0"/>
    <n v="0"/>
    <s v="DEFERRED"/>
    <x v="0"/>
    <s v="N"/>
    <m/>
    <s v="DEFERRED"/>
    <s v="Y"/>
    <x v="0"/>
    <x v="0"/>
    <s v="N"/>
    <n v="1"/>
    <n v="1"/>
    <n v="0"/>
    <n v="0"/>
    <n v="-22"/>
    <n v="0"/>
    <n v="22"/>
    <e v="#VALUE!"/>
    <n v="22"/>
    <n v="0"/>
    <m/>
    <m/>
    <s v="N"/>
    <m/>
    <s v="11-30 DAYS"/>
    <n v="2"/>
    <x v="0"/>
  </r>
  <r>
    <n v="55"/>
    <s v="N"/>
    <s v="N"/>
    <n v="2597963"/>
    <n v="2"/>
    <d v="2012-01-03T00:00:00"/>
    <d v="2012-08-15T00:00:00"/>
    <n v="2597963"/>
    <d v="2012-01-04T00:00:00"/>
    <d v="2012-01-05T00:00:00"/>
    <n v="5000"/>
    <x v="4"/>
    <d v="2012-01-05T00:00:00"/>
    <s v="Y"/>
    <s v="SURETY"/>
    <s v="DEFERRED ADJUDICATION "/>
    <n v="2"/>
    <n v="226"/>
    <n v="0"/>
    <n v="0"/>
    <m/>
    <m/>
    <m/>
    <m/>
    <m/>
    <m/>
    <m/>
    <m/>
    <m/>
    <d v="1970-07-06T00:00:00"/>
    <s v="F"/>
    <s v="W"/>
    <s v="WHITE"/>
    <s v="NULL"/>
    <s v="177"/>
    <s v="DEFERRED"/>
    <n v="10"/>
    <s v="DEFERRED"/>
    <m/>
    <m/>
    <m/>
    <s v="POSS CS PG 2 1-4 GRAMS"/>
    <m/>
    <s v="F3"/>
    <s v="POSS DRUG"/>
    <m/>
    <m/>
    <m/>
    <m/>
    <m/>
    <m/>
    <m/>
    <m/>
    <m/>
    <s v="Hired Attorney"/>
    <m/>
    <m/>
    <n v="2"/>
    <n v="225"/>
    <n v="226"/>
    <n v="41.409836065573771"/>
    <n v="0"/>
    <n v="-223"/>
    <s v="DEFERRED"/>
    <x v="1"/>
    <s v="Y"/>
    <m/>
    <s v="DEFERRED"/>
    <s v="Y"/>
    <x v="1"/>
    <x v="0"/>
    <s v="N"/>
    <n v="8.8495575221238937E-3"/>
    <n v="8.8888888888888889E-3"/>
    <n v="3.9331366764995199E-5"/>
    <n v="0"/>
    <n v="-2"/>
    <n v="0"/>
    <n v="2"/>
    <e v="#VALUE!"/>
    <n v="2"/>
    <n v="0"/>
    <m/>
    <m/>
    <s v="N"/>
    <m/>
    <s v="0-10 DAYS"/>
    <n v="1"/>
    <x v="0"/>
  </r>
  <r>
    <n v="56"/>
    <s v="N"/>
    <s v="N"/>
    <n v="2597964"/>
    <n v="1"/>
    <d v="2012-01-03T00:00:00"/>
    <d v="2012-02-08T00:00:00"/>
    <n v="2597964"/>
    <d v="2012-01-04T00:00:00"/>
    <d v="2012-01-05T00:00:00"/>
    <n v="5000"/>
    <x v="4"/>
    <d v="2012-01-05T00:00:00"/>
    <s v="Y"/>
    <s v="SURETY"/>
    <s v="DISMISSED"/>
    <n v="2"/>
    <n v="37"/>
    <n v="0"/>
    <n v="0"/>
    <m/>
    <m/>
    <m/>
    <m/>
    <m/>
    <m/>
    <m/>
    <m/>
    <m/>
    <d v="1953-06-15T00:00:00"/>
    <s v="M"/>
    <s v="W"/>
    <s v="WHITE"/>
    <s v="NULL"/>
    <s v="182"/>
    <s v="DISMISSED"/>
    <n v="2"/>
    <s v="DISMISSED"/>
    <m/>
    <m/>
    <m/>
    <s v="ASSAULT-BOD INJ-PUB SERV/RETAL"/>
    <m/>
    <s v="F3"/>
    <s v="ASLT-MURDR"/>
    <s v="misd DWI 2/8/12"/>
    <m/>
    <m/>
    <m/>
    <m/>
    <m/>
    <m/>
    <m/>
    <m/>
    <s v="Hired Attorney"/>
    <m/>
    <m/>
    <n v="2"/>
    <n v="36"/>
    <n v="37"/>
    <n v="58.431693989071036"/>
    <n v="0"/>
    <n v="-34"/>
    <s v="NO CONVICTION"/>
    <x v="1"/>
    <s v="Y"/>
    <m/>
    <s v="NO CONVICTION"/>
    <s v="Y"/>
    <x v="1"/>
    <x v="0"/>
    <s v="N"/>
    <n v="5.4054054054054057E-2"/>
    <n v="5.5555555555555552E-2"/>
    <n v="1.5015015015014954E-3"/>
    <n v="0"/>
    <n v="-2"/>
    <n v="0"/>
    <n v="2"/>
    <e v="#VALUE!"/>
    <n v="2"/>
    <n v="0"/>
    <m/>
    <m/>
    <s v="N"/>
    <m/>
    <s v="0-10 DAYS"/>
    <n v="1"/>
    <x v="0"/>
  </r>
  <r>
    <n v="62"/>
    <s v="N"/>
    <s v="N"/>
    <n v="2597975"/>
    <n v="1"/>
    <d v="2012-01-04T00:00:00"/>
    <d v="2012-04-25T00:00:00"/>
    <n v="2597975"/>
    <d v="2012-01-04T00:00:00"/>
    <d v="2012-01-07T00:00:00"/>
    <n v="20000"/>
    <x v="0"/>
    <d v="2012-01-07T00:00:00"/>
    <s v="Y"/>
    <s v="SURETY"/>
    <s v="NO BILL"/>
    <n v="4"/>
    <n v="113"/>
    <n v="0"/>
    <n v="0"/>
    <m/>
    <m/>
    <m/>
    <m/>
    <m/>
    <m/>
    <m/>
    <m/>
    <m/>
    <d v="1974-08-14T00:00:00"/>
    <s v="M"/>
    <s v="B"/>
    <s v="BLACK"/>
    <s v="NULL"/>
    <s v="263"/>
    <s v="NO BILL"/>
    <n v="7"/>
    <s v="NO BILL"/>
    <m/>
    <m/>
    <m/>
    <s v="FELON POSS WPN"/>
    <m/>
    <s v="F3"/>
    <s v="OTHER FEL"/>
    <m/>
    <m/>
    <m/>
    <m/>
    <m/>
    <m/>
    <m/>
    <m/>
    <m/>
    <s v="Hired Attorney"/>
    <m/>
    <m/>
    <n v="4"/>
    <n v="113"/>
    <n v="113"/>
    <n v="37.314207650273225"/>
    <n v="0"/>
    <n v="-109"/>
    <s v="NO CONVICTION"/>
    <x v="1"/>
    <s v="Y"/>
    <m/>
    <s v="NO CONVICTION"/>
    <s v="Y"/>
    <x v="1"/>
    <x v="0"/>
    <s v="N"/>
    <n v="3.5398230088495575E-2"/>
    <n v="3.5398230088495575E-2"/>
    <n v="0"/>
    <n v="0"/>
    <n v="-4"/>
    <n v="0"/>
    <n v="4"/>
    <e v="#VALUE!"/>
    <n v="4"/>
    <n v="0"/>
    <m/>
    <m/>
    <s v="N"/>
    <m/>
    <s v="0-10 DAYS"/>
    <n v="1"/>
    <x v="0"/>
  </r>
  <r>
    <n v="63"/>
    <s v="N"/>
    <s v="N"/>
    <n v="2597977"/>
    <n v="1"/>
    <d v="2012-01-04T00:00:00"/>
    <d v="2012-06-11T00:00:00"/>
    <n v="2597977"/>
    <d v="2012-01-04T00:00:00"/>
    <d v="2012-01-06T00:00:00"/>
    <n v="5000"/>
    <x v="4"/>
    <d v="2012-01-06T00:00:00"/>
    <s v="Y"/>
    <s v="SURETY"/>
    <s v="DISMISSED"/>
    <n v="3"/>
    <n v="160"/>
    <n v="0"/>
    <n v="0"/>
    <m/>
    <m/>
    <m/>
    <m/>
    <m/>
    <m/>
    <m/>
    <m/>
    <m/>
    <d v="1967-09-19T00:00:00"/>
    <s v="M"/>
    <s v="W"/>
    <s v="WHITE"/>
    <s v="NULL"/>
    <s v="208"/>
    <s v="DISMISSED"/>
    <n v="6"/>
    <s v="DISMISSED"/>
    <m/>
    <m/>
    <m/>
    <s v="POSS MARIJ  5 - 50 LBS."/>
    <m/>
    <s v="F3"/>
    <s v="POSS DRUG"/>
    <m/>
    <m/>
    <m/>
    <m/>
    <m/>
    <m/>
    <m/>
    <m/>
    <m/>
    <s v="Hired Attorney"/>
    <m/>
    <m/>
    <n v="3"/>
    <n v="160"/>
    <n v="160"/>
    <n v="44.202185792349724"/>
    <n v="0"/>
    <n v="-157"/>
    <s v="NO CONVICTION"/>
    <x v="1"/>
    <s v="Y"/>
    <m/>
    <s v="NO CONVICTION"/>
    <s v="Y"/>
    <x v="1"/>
    <x v="0"/>
    <s v="N"/>
    <n v="1.8749999999999999E-2"/>
    <n v="1.8749999999999999E-2"/>
    <n v="0"/>
    <n v="0"/>
    <n v="-3"/>
    <n v="0"/>
    <n v="3"/>
    <e v="#VALUE!"/>
    <n v="3"/>
    <n v="0"/>
    <m/>
    <m/>
    <s v="N"/>
    <m/>
    <s v="0-10 DAYS"/>
    <n v="1"/>
    <x v="0"/>
  </r>
  <r>
    <n v="66"/>
    <s v="N"/>
    <s v="N"/>
    <n v="2597991"/>
    <n v="2"/>
    <d v="2012-01-04T00:00:00"/>
    <d v="2012-01-11T00:00:00"/>
    <n v="2597991"/>
    <d v="2012-01-10T00:00:00"/>
    <d v="2012-01-11T00:00:00"/>
    <n v="10000"/>
    <x v="3"/>
    <m/>
    <s v="N"/>
    <s v="NONE"/>
    <s v="DEFERRED ADJUDICATION "/>
    <n v="2"/>
    <n v="8"/>
    <n v="0"/>
    <n v="0"/>
    <m/>
    <m/>
    <m/>
    <m/>
    <m/>
    <m/>
    <m/>
    <m/>
    <m/>
    <d v="1983-01-13T00:00:00"/>
    <s v="F"/>
    <s v="B"/>
    <s v="BLACK"/>
    <s v="NULL"/>
    <s v="185"/>
    <s v="DEFERRED"/>
    <n v="2"/>
    <s v="DEFERRED"/>
    <m/>
    <m/>
    <m/>
    <s v="BURGLARY OF HABITATION"/>
    <m/>
    <s v="F2"/>
    <s v="BURGLARY"/>
    <m/>
    <m/>
    <m/>
    <m/>
    <m/>
    <m/>
    <m/>
    <m/>
    <m/>
    <s v="Appointed Attorney"/>
    <m/>
    <m/>
    <n v="2"/>
    <n v="2"/>
    <n v="8"/>
    <n v="28.915300546448087"/>
    <n v="0"/>
    <n v="0"/>
    <s v="DEFERRED"/>
    <x v="0"/>
    <s v="N"/>
    <m/>
    <s v="DEFERRED"/>
    <s v="Y"/>
    <x v="0"/>
    <x v="0"/>
    <s v="N"/>
    <n v="0.25"/>
    <n v="1"/>
    <n v="0.75"/>
    <n v="0"/>
    <n v="-2"/>
    <n v="0"/>
    <n v="2"/>
    <e v="#VALUE!"/>
    <n v="2"/>
    <n v="0"/>
    <m/>
    <m/>
    <s v="N"/>
    <m/>
    <s v="0-10 DAYS"/>
    <n v="1"/>
    <x v="0"/>
  </r>
  <r>
    <n v="68"/>
    <s v="N"/>
    <s v="N"/>
    <n v="2598066"/>
    <n v="6"/>
    <d v="2012-01-04T00:00:00"/>
    <d v="2012-09-19T00:00:00"/>
    <n v="2598066"/>
    <d v="2012-01-05T00:00:00"/>
    <d v="2012-09-19T00:00:00"/>
    <n v="90000"/>
    <x v="2"/>
    <m/>
    <s v="N"/>
    <s v="NONE"/>
    <s v="GUILTY PLEA - NO JURY"/>
    <n v="259"/>
    <n v="260"/>
    <n v="0"/>
    <n v="0"/>
    <m/>
    <m/>
    <m/>
    <m/>
    <m/>
    <m/>
    <m/>
    <m/>
    <m/>
    <d v="1978-10-01T00:00:00"/>
    <s v="M"/>
    <s v="W"/>
    <s v="WHITE"/>
    <s v="NULL"/>
    <s v="337"/>
    <s v="CONVICTED"/>
    <n v="11"/>
    <s v="TDC"/>
    <n v="2"/>
    <m/>
    <m/>
    <s v="AGG SEX ASSLT CHILD-UNDER 14"/>
    <m/>
    <s v="F1"/>
    <s v="SEX ABUSE"/>
    <m/>
    <m/>
    <m/>
    <m/>
    <m/>
    <m/>
    <m/>
    <m/>
    <m/>
    <s v="Public Defender"/>
    <m/>
    <m/>
    <n v="259"/>
    <n v="259"/>
    <n v="260"/>
    <n v="33.191256830601091"/>
    <n v="0"/>
    <n v="0"/>
    <s v="CONVICTION"/>
    <x v="0"/>
    <s v="N"/>
    <m/>
    <s v="CONVICTION"/>
    <s v="Y"/>
    <x v="0"/>
    <x v="0"/>
    <s v="N"/>
    <n v="0.99615384615384617"/>
    <n v="1"/>
    <n v="3.8461538461538325E-3"/>
    <n v="0"/>
    <n v="-259"/>
    <n v="0"/>
    <n v="259"/>
    <e v="#VALUE!"/>
    <n v="259"/>
    <n v="0"/>
    <m/>
    <m/>
    <s v="N"/>
    <m/>
    <s v="121-365 DAYS"/>
    <n v="6"/>
    <x v="0"/>
  </r>
  <r>
    <n v="76"/>
    <s v="N"/>
    <s v="N"/>
    <n v="2598108"/>
    <n v="6"/>
    <d v="2012-01-04T00:00:00"/>
    <d v="2013-05-09T00:00:00"/>
    <n v="2598108"/>
    <d v="2012-01-05T00:00:00"/>
    <d v="2013-05-09T00:00:00"/>
    <n v="90000"/>
    <x v="2"/>
    <m/>
    <s v="N"/>
    <s v="NONE"/>
    <s v="GUILTY PLEA - NO JURY"/>
    <n v="491"/>
    <n v="492"/>
    <n v="0"/>
    <n v="0"/>
    <m/>
    <m/>
    <m/>
    <m/>
    <m/>
    <m/>
    <m/>
    <m/>
    <m/>
    <d v="1994-01-13T00:00:00"/>
    <s v="M"/>
    <s v="B"/>
    <s v="BLACK"/>
    <s v="NULL"/>
    <s v="263"/>
    <s v="CONVICTED"/>
    <n v="11"/>
    <s v="TDC"/>
    <n v="45"/>
    <m/>
    <m/>
    <s v="AGG ROBBERY-DEADLY WPN"/>
    <m/>
    <s v="F1"/>
    <s v="ROBBERY"/>
    <s v="detained on 3 30K bonds appeal pending "/>
    <m/>
    <m/>
    <m/>
    <m/>
    <m/>
    <m/>
    <m/>
    <m/>
    <s v="Hired Attorney"/>
    <m/>
    <m/>
    <n v="491"/>
    <n v="491"/>
    <n v="492"/>
    <n v="17.937158469945356"/>
    <n v="0"/>
    <n v="0"/>
    <s v="CONVICTION"/>
    <x v="0"/>
    <s v="N"/>
    <m/>
    <s v="CONVICTION"/>
    <s v="Y"/>
    <x v="0"/>
    <x v="0"/>
    <s v="N"/>
    <n v="0.99796747967479671"/>
    <n v="1"/>
    <n v="2.0325203252032908E-3"/>
    <n v="0"/>
    <n v="-491"/>
    <n v="0"/>
    <n v="491"/>
    <e v="#VALUE!"/>
    <n v="491"/>
    <n v="0"/>
    <m/>
    <m/>
    <s v="N"/>
    <m/>
    <s v=" &gt;1YRS&lt;2YRS"/>
    <n v="0"/>
    <x v="0"/>
  </r>
  <r>
    <n v="1142"/>
    <s v="N"/>
    <s v="N"/>
    <n v="2598112"/>
    <n v="6"/>
    <d v="2012-02-11T00:00:00"/>
    <d v="2012-08-17T00:00:00"/>
    <n v="2598112"/>
    <d v="2012-02-21T00:00:00"/>
    <d v="2012-08-17T00:00:00"/>
    <n v="30000"/>
    <x v="2"/>
    <m/>
    <s v="N"/>
    <s v="NONE"/>
    <s v="GUILTY PLEA - NO JURY"/>
    <n v="179"/>
    <n v="189"/>
    <n v="0"/>
    <n v="0"/>
    <m/>
    <m/>
    <m/>
    <m/>
    <m/>
    <m/>
    <m/>
    <m/>
    <m/>
    <d v="1990-05-25T00:00:00"/>
    <s v="M"/>
    <s v="B"/>
    <s v="BLACK"/>
    <s v="NULL"/>
    <s v="182"/>
    <s v="CONVICTED"/>
    <n v="6"/>
    <s v="TDC"/>
    <n v="5"/>
    <m/>
    <m/>
    <s v="AGG ROBBERY-DEADLY WPN"/>
    <m/>
    <s v="F1"/>
    <s v="ROBBERY"/>
    <m/>
    <m/>
    <m/>
    <m/>
    <m/>
    <m/>
    <m/>
    <m/>
    <m/>
    <s v="Appointed Attorney"/>
    <m/>
    <m/>
    <n v="179"/>
    <n v="179"/>
    <n v="189"/>
    <n v="21.672131147540984"/>
    <n v="0"/>
    <n v="0"/>
    <s v="CONVICTION"/>
    <x v="0"/>
    <s v="N"/>
    <m/>
    <s v="CONVICTION"/>
    <s v="Y"/>
    <x v="0"/>
    <x v="0"/>
    <s v="N"/>
    <n v="0.94708994708994709"/>
    <n v="1"/>
    <n v="5.2910052910052907E-2"/>
    <n v="0"/>
    <n v="-179"/>
    <n v="0"/>
    <n v="179"/>
    <e v="#VALUE!"/>
    <n v="179"/>
    <n v="0"/>
    <m/>
    <m/>
    <s v="N"/>
    <m/>
    <s v="121-365 DAYS"/>
    <n v="6"/>
    <x v="0"/>
  </r>
  <r>
    <n v="82"/>
    <s v="N"/>
    <s v="N"/>
    <n v="2598136"/>
    <n v="1"/>
    <d v="2012-01-05T00:00:00"/>
    <d v="2012-06-01T00:00:00"/>
    <n v="2598136"/>
    <d v="2012-01-06T00:00:00"/>
    <d v="2012-01-06T00:00:00"/>
    <n v="2000"/>
    <x v="5"/>
    <d v="2012-01-06T00:00:00"/>
    <s v="Y"/>
    <s v="SURETY"/>
    <s v="DISMISSED"/>
    <n v="1"/>
    <n v="149"/>
    <n v="0"/>
    <n v="0"/>
    <m/>
    <m/>
    <m/>
    <m/>
    <m/>
    <m/>
    <m/>
    <m/>
    <m/>
    <d v="1976-03-06T00:00:00"/>
    <s v="F"/>
    <s v="A"/>
    <s v="OTHER"/>
    <s v="NULL"/>
    <s v="176"/>
    <s v="DISMISSED"/>
    <n v="5"/>
    <s v="DISMISSED"/>
    <m/>
    <m/>
    <m/>
    <s v="ABAN/ENDANG CHILD W/INT TO RET"/>
    <m/>
    <s v="FS"/>
    <s v="OTHER FEL"/>
    <m/>
    <m/>
    <m/>
    <m/>
    <m/>
    <m/>
    <m/>
    <m/>
    <m/>
    <s v="Hired Attorney"/>
    <m/>
    <m/>
    <n v="1"/>
    <n v="148"/>
    <n v="149"/>
    <n v="35.759562841530055"/>
    <n v="0"/>
    <n v="-147"/>
    <s v="NO CONVICTION"/>
    <x v="1"/>
    <s v="Y"/>
    <m/>
    <s v="NO CONVICTION"/>
    <s v="Y"/>
    <x v="1"/>
    <x v="0"/>
    <s v="N"/>
    <n v="6.7114093959731542E-3"/>
    <n v="6.7567567567567571E-3"/>
    <n v="4.5347360783602915E-5"/>
    <n v="0"/>
    <n v="-1"/>
    <n v="0"/>
    <n v="1"/>
    <e v="#VALUE!"/>
    <n v="1"/>
    <n v="0"/>
    <m/>
    <m/>
    <s v="N"/>
    <m/>
    <s v="0-10 DAYS"/>
    <n v="1"/>
    <x v="0"/>
  </r>
  <r>
    <n v="93"/>
    <s v="N"/>
    <s v="N"/>
    <n v="2598241"/>
    <n v="1"/>
    <d v="2012-01-05T00:00:00"/>
    <d v="2012-07-13T00:00:00"/>
    <n v="2598241"/>
    <d v="2012-04-27T00:00:00"/>
    <d v="2012-04-29T00:00:00"/>
    <n v="30000"/>
    <x v="2"/>
    <d v="2012-04-29T00:00:00"/>
    <s v="Y"/>
    <s v="SURETY"/>
    <s v="NO BILL"/>
    <n v="3"/>
    <n v="191"/>
    <n v="0"/>
    <n v="0"/>
    <m/>
    <m/>
    <m/>
    <m/>
    <m/>
    <m/>
    <m/>
    <m/>
    <m/>
    <d v="1993-03-04T00:00:00"/>
    <s v="M"/>
    <s v="W"/>
    <s v="WHITE"/>
    <s v="NULL"/>
    <s v="184"/>
    <s v="NO BILL"/>
    <n v="6"/>
    <s v="NO BILL"/>
    <m/>
    <m/>
    <m/>
    <s v="AGG SEX ASSLT CHILD-UNDER 14"/>
    <m/>
    <s v="F1"/>
    <s v="SEX ABUSE"/>
    <m/>
    <m/>
    <m/>
    <m/>
    <m/>
    <m/>
    <m/>
    <m/>
    <m/>
    <s v="Hired Attorney"/>
    <m/>
    <m/>
    <n v="3"/>
    <n v="78"/>
    <n v="191"/>
    <n v="18.800546448087431"/>
    <n v="0"/>
    <n v="-75"/>
    <s v="NO CONVICTION"/>
    <x v="1"/>
    <s v="Y"/>
    <m/>
    <s v="NO CONVICTION"/>
    <s v="Y"/>
    <x v="1"/>
    <x v="0"/>
    <s v="N"/>
    <n v="1.5706806282722512E-2"/>
    <n v="3.8461538461538464E-2"/>
    <n v="2.2754732178815951E-2"/>
    <n v="0"/>
    <n v="-3"/>
    <n v="0"/>
    <n v="3"/>
    <e v="#VALUE!"/>
    <n v="3"/>
    <n v="0"/>
    <m/>
    <m/>
    <s v="N"/>
    <m/>
    <s v="0-10 DAYS"/>
    <n v="1"/>
    <x v="0"/>
  </r>
  <r>
    <n v="94"/>
    <s v="Y"/>
    <s v="Y"/>
    <n v="2598246"/>
    <n v="2"/>
    <d v="2012-01-05T00:00:00"/>
    <d v="2012-06-22T00:00:00"/>
    <n v="2598246"/>
    <d v="2012-01-19T00:00:00"/>
    <d v="2012-04-03T00:00:00"/>
    <n v="10000"/>
    <x v="3"/>
    <d v="2012-04-03T00:00:00"/>
    <s v="Y"/>
    <s v="SURETYPTRc"/>
    <s v="DEFERRED ADJUDICATION "/>
    <n v="101"/>
    <n v="170"/>
    <n v="0"/>
    <n v="0"/>
    <m/>
    <m/>
    <m/>
    <m/>
    <m/>
    <m/>
    <m/>
    <m/>
    <m/>
    <d v="1993-05-26T00:00:00"/>
    <s v="M"/>
    <s v="B"/>
    <s v="BLACK"/>
    <s v="NULL"/>
    <s v="176"/>
    <s v="DEFERRED"/>
    <n v="6"/>
    <s v="DEFERRED"/>
    <m/>
    <m/>
    <m/>
    <s v="BURGLARY OF HABITATION"/>
    <m/>
    <s v="F2"/>
    <s v="BURGLARY"/>
    <m/>
    <s v="rev5/1/12  "/>
    <m/>
    <m/>
    <s v="Y"/>
    <m/>
    <m/>
    <m/>
    <m/>
    <s v="Appointed Attorney"/>
    <s v="burg hab revked 12/20/13 tdc 3y"/>
    <m/>
    <n v="101"/>
    <n v="156"/>
    <n v="170"/>
    <n v="18.57377049180328"/>
    <n v="0"/>
    <n v="-80"/>
    <s v="DEFERRED"/>
    <x v="1"/>
    <s v="Y"/>
    <m/>
    <s v="DEFERRED"/>
    <s v="Y"/>
    <x v="0"/>
    <x v="0"/>
    <s v="N"/>
    <n v="0.59411764705882353"/>
    <n v="0.48717948717948717"/>
    <n v="-0.10693815987933636"/>
    <n v="0"/>
    <n v="-76"/>
    <n v="25"/>
    <n v="156"/>
    <n v="101"/>
    <n v="156"/>
    <n v="80"/>
    <m/>
    <m/>
    <s v="N"/>
    <m/>
    <s v="91-120 DAYS"/>
    <n v="0"/>
    <x v="0"/>
  </r>
  <r>
    <n v="105"/>
    <s v="N"/>
    <s v="N"/>
    <n v="2598309"/>
    <n v="4"/>
    <d v="2012-01-06T00:00:00"/>
    <d v="2012-08-14T00:00:00"/>
    <n v="2598309"/>
    <d v="2012-05-28T00:00:00"/>
    <d v="2012-05-30T00:00:00"/>
    <n v="19200"/>
    <x v="0"/>
    <d v="2012-05-30T00:00:00"/>
    <s v="Y"/>
    <s v="SURETY"/>
    <s v="GUILTY PLEA - NO JURY"/>
    <n v="3"/>
    <n v="222"/>
    <n v="0"/>
    <n v="0"/>
    <m/>
    <m/>
    <m/>
    <m/>
    <m/>
    <m/>
    <m/>
    <m/>
    <m/>
    <d v="1969-07-08T00:00:00"/>
    <s v="F"/>
    <s v="W"/>
    <s v="WHITE"/>
    <s v="NULL"/>
    <s v="208"/>
    <s v="CONVICTED"/>
    <n v="4"/>
    <s v="HCJ"/>
    <m/>
    <m/>
    <n v="20"/>
    <s v="THEFT $1500-20K"/>
    <m/>
    <s v="FS"/>
    <s v="THEFT"/>
    <m/>
    <m/>
    <m/>
    <m/>
    <m/>
    <m/>
    <m/>
    <m/>
    <m/>
    <s v="Hired Attorney"/>
    <m/>
    <m/>
    <n v="3"/>
    <n v="79"/>
    <n v="222"/>
    <n v="42.409836065573771"/>
    <n v="0"/>
    <n v="-76"/>
    <s v="CONVICTION"/>
    <x v="1"/>
    <s v="Y"/>
    <m/>
    <s v="CONVICTION"/>
    <s v="Y"/>
    <x v="1"/>
    <x v="0"/>
    <s v="N"/>
    <n v="1.3513513513513514E-2"/>
    <n v="3.7974683544303799E-2"/>
    <n v="2.4461170030790284E-2"/>
    <n v="0"/>
    <n v="-3"/>
    <n v="0"/>
    <n v="3"/>
    <e v="#VALUE!"/>
    <n v="3"/>
    <n v="0"/>
    <m/>
    <m/>
    <s v="N"/>
    <m/>
    <s v="0-10 DAYS"/>
    <n v="1"/>
    <x v="0"/>
  </r>
  <r>
    <n v="120"/>
    <s v="N"/>
    <s v="N"/>
    <n v="2598338"/>
    <n v="1"/>
    <d v="2012-01-06T00:00:00"/>
    <d v="2012-01-26T00:00:00"/>
    <n v="2598338"/>
    <d v="2012-01-06T00:00:00"/>
    <d v="2012-01-07T00:00:00"/>
    <n v="2000"/>
    <x v="5"/>
    <d v="2012-01-07T00:00:00"/>
    <s v="Y"/>
    <s v="SURETY"/>
    <s v="DISMISSED"/>
    <n v="2"/>
    <n v="21"/>
    <n v="0"/>
    <n v="0"/>
    <m/>
    <m/>
    <m/>
    <m/>
    <m/>
    <m/>
    <m/>
    <m/>
    <m/>
    <d v="1964-04-08T00:00:00"/>
    <s v="M"/>
    <s v="W"/>
    <s v="WHITE"/>
    <s v="NULL"/>
    <s v="209"/>
    <s v="DISMISSED"/>
    <n v="3"/>
    <s v="DISMISSED"/>
    <m/>
    <m/>
    <m/>
    <s v="UNAUTH USE OF VEHICLE"/>
    <m/>
    <s v="FS"/>
    <s v="AUTO THEFT"/>
    <m/>
    <m/>
    <m/>
    <m/>
    <m/>
    <m/>
    <m/>
    <m/>
    <m/>
    <s v="Hired Attorney"/>
    <m/>
    <m/>
    <n v="2"/>
    <n v="21"/>
    <n v="21"/>
    <n v="47.647540983606561"/>
    <n v="0"/>
    <n v="-19"/>
    <s v="NO CONVICTION"/>
    <x v="1"/>
    <s v="Y"/>
    <m/>
    <s v="NO CONVICTION"/>
    <s v="Y"/>
    <x v="1"/>
    <x v="0"/>
    <s v="N"/>
    <n v="9.5238095238095233E-2"/>
    <n v="9.5238095238095233E-2"/>
    <n v="0"/>
    <n v="0"/>
    <n v="-2"/>
    <n v="0"/>
    <n v="2"/>
    <e v="#VALUE!"/>
    <n v="2"/>
    <n v="0"/>
    <m/>
    <m/>
    <s v="N"/>
    <m/>
    <s v="0-10 DAYS"/>
    <n v="1"/>
    <x v="0"/>
  </r>
  <r>
    <n v="130"/>
    <s v="N"/>
    <s v="N"/>
    <n v="2598430"/>
    <n v="1"/>
    <d v="2012-01-06T00:00:00"/>
    <d v="2013-05-20T00:00:00"/>
    <n v="2598430"/>
    <d v="2012-01-11T00:00:00"/>
    <d v="2012-01-12T00:00:00"/>
    <n v="30000"/>
    <x v="2"/>
    <d v="2012-01-12T00:00:00"/>
    <s v="Y"/>
    <s v="SURETY"/>
    <s v="DISMISSED"/>
    <n v="2"/>
    <n v="501"/>
    <n v="0"/>
    <n v="0"/>
    <m/>
    <m/>
    <m/>
    <m/>
    <m/>
    <m/>
    <m/>
    <s v="S"/>
    <m/>
    <d v="1976-07-08T00:00:00"/>
    <s v="M"/>
    <s v="H"/>
    <s v="HISPANIC"/>
    <s v="NULL"/>
    <s v="337"/>
    <s v="DISMISSED"/>
    <n v="15"/>
    <s v="DISMISSED"/>
    <m/>
    <m/>
    <m/>
    <s v="SEX ASSLT CHILD 14-17"/>
    <m/>
    <s v="F2"/>
    <s v="SEX ABUSE"/>
    <m/>
    <m/>
    <m/>
    <m/>
    <m/>
    <m/>
    <m/>
    <m/>
    <m/>
    <s v="Hired Attorney"/>
    <m/>
    <m/>
    <n v="2"/>
    <n v="496"/>
    <n v="501"/>
    <n v="35.423497267759565"/>
    <n v="0"/>
    <n v="-494"/>
    <s v="NO CONVICTION"/>
    <x v="1"/>
    <s v="Y"/>
    <m/>
    <s v="NO CONVICTION"/>
    <s v="Y"/>
    <x v="1"/>
    <x v="0"/>
    <s v="N"/>
    <n v="3.9920159680638719E-3"/>
    <n v="4.0322580645161289E-3"/>
    <n v="4.0242096452257001E-5"/>
    <n v="0"/>
    <n v="-2"/>
    <n v="0"/>
    <n v="2"/>
    <e v="#VALUE!"/>
    <n v="2"/>
    <n v="0"/>
    <m/>
    <m/>
    <s v="N"/>
    <m/>
    <s v="0-10 DAYS"/>
    <n v="1"/>
    <x v="0"/>
  </r>
  <r>
    <n v="3241"/>
    <s v="N"/>
    <s v="N"/>
    <n v="2598445"/>
    <n v="4"/>
    <d v="2012-04-29T00:00:00"/>
    <d v="2012-08-08T00:00:00"/>
    <n v="2598445"/>
    <d v="2012-04-30T00:00:00"/>
    <d v="2012-08-08T00:00:00"/>
    <s v="NO BOND"/>
    <x v="1"/>
    <m/>
    <s v="N"/>
    <s v="NONE"/>
    <s v="GUILTY PLEA - NO JURY"/>
    <n v="101"/>
    <n v="102"/>
    <n v="0"/>
    <n v="3"/>
    <m/>
    <m/>
    <m/>
    <m/>
    <m/>
    <m/>
    <m/>
    <m/>
    <m/>
    <d v="1982-05-12T00:00:00"/>
    <s v="M"/>
    <s v="B"/>
    <s v="BLACK"/>
    <s v="NON-HISPANIC"/>
    <s v="174"/>
    <s v="CONVICTED"/>
    <n v="6"/>
    <s v="HCJ"/>
    <m/>
    <m/>
    <n v="365"/>
    <s v="ASSAULT-BOD INJ-FAMILY MEMBER"/>
    <m/>
    <s v="F3"/>
    <s v="ASLT-MURDR"/>
    <m/>
    <m/>
    <m/>
    <m/>
    <m/>
    <m/>
    <m/>
    <m/>
    <m/>
    <s v="Appointed Attorney"/>
    <m/>
    <m/>
    <n v="101"/>
    <n v="101"/>
    <n v="102"/>
    <n v="29.904371584699454"/>
    <n v="0"/>
    <n v="0"/>
    <s v="CONVICTION"/>
    <x v="0"/>
    <s v="N"/>
    <m/>
    <s v="CONVICTION"/>
    <s v="Y"/>
    <x v="0"/>
    <x v="0"/>
    <s v="N"/>
    <n v="0.99019607843137258"/>
    <n v="1"/>
    <n v="9.8039215686274161E-3"/>
    <n v="0"/>
    <n v="-101"/>
    <n v="0"/>
    <n v="101"/>
    <e v="#VALUE!"/>
    <n v="101"/>
    <n v="0"/>
    <m/>
    <m/>
    <s v="Y"/>
    <m/>
    <s v="91-120 DAYS"/>
    <n v="0"/>
    <x v="0"/>
  </r>
  <r>
    <n v="990"/>
    <s v="N"/>
    <s v="Y"/>
    <n v="2598465"/>
    <n v="2"/>
    <d v="2012-02-06T00:00:00"/>
    <d v="2012-08-23T00:00:00"/>
    <n v="2598465"/>
    <d v="2012-02-07T00:00:00"/>
    <d v="2012-02-09T00:00:00"/>
    <n v="10000"/>
    <x v="3"/>
    <d v="2012-02-09T00:00:00"/>
    <s v="Y"/>
    <s v="SURETY"/>
    <s v="DEFERRED ADJUDICATION "/>
    <n v="7"/>
    <n v="200"/>
    <n v="0"/>
    <n v="1"/>
    <m/>
    <m/>
    <m/>
    <m/>
    <m/>
    <m/>
    <m/>
    <m/>
    <m/>
    <d v="1986-04-01T00:00:00"/>
    <s v="F"/>
    <s v="W"/>
    <s v="WHITE"/>
    <s v="NON-HISPANIC"/>
    <s v="339"/>
    <s v="DEFERRED"/>
    <n v="9"/>
    <s v="DEFERRED"/>
    <m/>
    <m/>
    <m/>
    <s v="POSS CS PG 3 200-400 GRAMS"/>
    <m/>
    <s v="F2"/>
    <s v="POSS DRUG"/>
    <m/>
    <m/>
    <s v="Y"/>
    <s v="BF8/9/2012"/>
    <m/>
    <m/>
    <m/>
    <d v="2013-05-15T00:00:00"/>
    <n v="251"/>
    <s v="Hired Attorney"/>
    <m/>
    <m/>
    <n v="7"/>
    <n v="199"/>
    <n v="200"/>
    <n v="25.797814207650273"/>
    <n v="0"/>
    <n v="-196"/>
    <s v="DEFERRED"/>
    <x v="1"/>
    <s v="Y"/>
    <m/>
    <s v="DEFERRED"/>
    <s v="Y"/>
    <x v="0"/>
    <x v="0"/>
    <s v="N"/>
    <n v="3.5000000000000003E-2"/>
    <n v="1.507537688442211E-2"/>
    <n v="-1.9924623115577893E-2"/>
    <n v="0"/>
    <n v="-3"/>
    <n v="4"/>
    <n v="199"/>
    <n v="7"/>
    <n v="199"/>
    <n v="196"/>
    <m/>
    <m/>
    <s v="Y"/>
    <m/>
    <s v="0-10 DAYS"/>
    <n v="1"/>
    <x v="0"/>
  </r>
  <r>
    <n v="578"/>
    <s v="N"/>
    <s v="N"/>
    <n v="2598496"/>
    <n v="2"/>
    <d v="2012-01-24T00:00:00"/>
    <d v="2012-02-21T00:00:00"/>
    <n v="2598496"/>
    <d v="2012-01-24T00:00:00"/>
    <d v="2012-02-21T00:00:00"/>
    <n v="20000"/>
    <x v="0"/>
    <m/>
    <s v="N"/>
    <s v="NONE"/>
    <s v="DEFERRED ADJUDICATION "/>
    <n v="29"/>
    <n v="29"/>
    <n v="0"/>
    <n v="1"/>
    <m/>
    <m/>
    <m/>
    <m/>
    <m/>
    <m/>
    <m/>
    <s v="S"/>
    <m/>
    <d v="1987-01-25T00:00:00"/>
    <s v="F"/>
    <s v="W"/>
    <s v="WHITE"/>
    <s v="NULL"/>
    <s v="230"/>
    <s v="DEFERRED"/>
    <n v="3"/>
    <s v="DEFERRED"/>
    <m/>
    <m/>
    <m/>
    <s v="POSS W/INT DEL CS PG1 1G &lt;4 GR"/>
    <m/>
    <s v="F2"/>
    <s v="SALE DRUG"/>
    <m/>
    <m/>
    <m/>
    <m/>
    <m/>
    <m/>
    <m/>
    <m/>
    <m/>
    <s v="Appointed Attorney"/>
    <m/>
    <m/>
    <n v="29"/>
    <n v="29"/>
    <n v="29"/>
    <n v="24.94535519125683"/>
    <n v="0"/>
    <n v="0"/>
    <s v="DEFERRED"/>
    <x v="0"/>
    <s v="N"/>
    <m/>
    <s v="DEFERRED"/>
    <s v="Y"/>
    <x v="0"/>
    <x v="0"/>
    <s v="N"/>
    <n v="1"/>
    <n v="1"/>
    <n v="0"/>
    <n v="0"/>
    <n v="-29"/>
    <n v="0"/>
    <n v="29"/>
    <e v="#VALUE!"/>
    <n v="29"/>
    <n v="0"/>
    <m/>
    <m/>
    <s v="Y"/>
    <m/>
    <s v="11-30 DAYS"/>
    <n v="2"/>
    <x v="0"/>
  </r>
  <r>
    <n v="137"/>
    <s v="N"/>
    <s v="N"/>
    <n v="2598522"/>
    <n v="1"/>
    <d v="2012-01-06T00:00:00"/>
    <d v="2012-10-02T00:00:00"/>
    <n v="2598522"/>
    <d v="2012-01-07T00:00:00"/>
    <d v="2012-01-10T00:00:00"/>
    <n v="30000"/>
    <x v="2"/>
    <d v="2012-01-10T00:00:00"/>
    <s v="Y"/>
    <s v="SURETY"/>
    <s v="DISMISSED"/>
    <n v="4"/>
    <n v="271"/>
    <n v="0"/>
    <n v="0"/>
    <m/>
    <m/>
    <m/>
    <m/>
    <m/>
    <m/>
    <m/>
    <m/>
    <m/>
    <d v="1982-05-16T00:00:00"/>
    <s v="M"/>
    <s v="B"/>
    <s v="BLACK"/>
    <s v="NULL"/>
    <s v="339"/>
    <s v="DISMISSED"/>
    <n v="8"/>
    <s v="DISMISSED"/>
    <m/>
    <m/>
    <m/>
    <s v="AGG ASSAULT W/DEADLY WEAPON"/>
    <m/>
    <s v="F2"/>
    <s v="ASLT-MURDR"/>
    <m/>
    <m/>
    <m/>
    <m/>
    <m/>
    <m/>
    <m/>
    <m/>
    <m/>
    <s v="Appointed Attorney"/>
    <m/>
    <m/>
    <n v="4"/>
    <n v="270"/>
    <n v="271"/>
    <n v="29.581967213114755"/>
    <n v="0"/>
    <n v="-266"/>
    <s v="NO CONVICTION"/>
    <x v="1"/>
    <s v="Y"/>
    <m/>
    <s v="NO CONVICTION"/>
    <s v="Y"/>
    <x v="1"/>
    <x v="0"/>
    <s v="N"/>
    <n v="1.4760147601476014E-2"/>
    <n v="1.4814814814814815E-2"/>
    <n v="5.4667213338801049E-5"/>
    <n v="0"/>
    <n v="-4"/>
    <n v="0"/>
    <n v="4"/>
    <e v="#VALUE!"/>
    <n v="4"/>
    <n v="0"/>
    <m/>
    <m/>
    <s v="N"/>
    <m/>
    <s v="0-10 DAYS"/>
    <n v="1"/>
    <x v="0"/>
  </r>
  <r>
    <n v="139"/>
    <s v="N"/>
    <s v="N"/>
    <n v="2598531"/>
    <n v="1"/>
    <d v="2012-01-07T00:00:00"/>
    <d v="2012-01-09T00:00:00"/>
    <n v="2598531"/>
    <d v="2012-01-08T00:00:00"/>
    <d v="2012-01-09T00:00:00"/>
    <n v="2000"/>
    <x v="5"/>
    <m/>
    <s v="N"/>
    <s v="NONE"/>
    <s v="DISMISSED"/>
    <n v="2"/>
    <n v="3"/>
    <n v="0"/>
    <n v="0"/>
    <m/>
    <m/>
    <m/>
    <m/>
    <m/>
    <m/>
    <m/>
    <s v="S"/>
    <m/>
    <d v="1988-05-01T00:00:00"/>
    <s v="M"/>
    <s v="H"/>
    <s v="HISPANIC"/>
    <s v="NULL"/>
    <s v="262"/>
    <s v="DISMISSED"/>
    <n v="1"/>
    <s v="DISMISSED"/>
    <m/>
    <m/>
    <m/>
    <s v="UNAUTH USE OF VEHICLE"/>
    <m/>
    <s v="FS"/>
    <s v="AUTO THEFT"/>
    <m/>
    <m/>
    <m/>
    <m/>
    <m/>
    <m/>
    <m/>
    <m/>
    <m/>
    <s v="Appointed Attorney"/>
    <m/>
    <m/>
    <n v="2"/>
    <n v="2"/>
    <n v="3"/>
    <n v="23.636612021857925"/>
    <n v="0"/>
    <n v="0"/>
    <s v="NO CONVICTION"/>
    <x v="0"/>
    <s v="N"/>
    <m/>
    <s v="NO 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168"/>
    <s v="Y"/>
    <s v="Y"/>
    <n v="2598584"/>
    <n v="1"/>
    <d v="2012-01-08T00:00:00"/>
    <d v="2013-03-27T00:00:00"/>
    <n v="2598584"/>
    <d v="2012-01-08T00:00:00"/>
    <d v="2012-02-11T00:00:00"/>
    <n v="40000"/>
    <x v="2"/>
    <d v="2012-02-11T00:00:00"/>
    <s v="Y"/>
    <s v="SURETY"/>
    <s v="DISMISSED"/>
    <n v="215"/>
    <n v="445"/>
    <n v="0"/>
    <n v="0"/>
    <m/>
    <m/>
    <m/>
    <m/>
    <m/>
    <m/>
    <m/>
    <s v="S"/>
    <m/>
    <d v="1994-08-16T00:00:00"/>
    <s v="M"/>
    <s v="H"/>
    <s v="HISPANIC"/>
    <s v="NULL"/>
    <s v="228"/>
    <s v="DISMISSED"/>
    <n v="15"/>
    <s v="DISMISSED"/>
    <m/>
    <m/>
    <m/>
    <s v="AGG ROBBERY-DEADLY WPN"/>
    <m/>
    <s v="F1"/>
    <s v="ROBBERY"/>
    <m/>
    <s v="bf 4/3/2012"/>
    <s v="Y"/>
    <s v=" 4/3/2012"/>
    <m/>
    <m/>
    <m/>
    <d v="2012-05-04T00:00:00"/>
    <n v="235"/>
    <s v="Public Defender"/>
    <s v="misd veh burg 4/8/13 hcj200"/>
    <m/>
    <n v="215"/>
    <n v="445"/>
    <n v="445"/>
    <n v="17.360655737704917"/>
    <n v="0"/>
    <n v="-410"/>
    <s v="NO CONVICTION"/>
    <x v="1"/>
    <s v="Y"/>
    <m/>
    <s v="NO CONVICTION"/>
    <s v="Y"/>
    <x v="1"/>
    <x v="0"/>
    <s v="N"/>
    <n v="0.48314606741573035"/>
    <n v="7.8651685393258425E-2"/>
    <n v="-0.4044943820224719"/>
    <n v="0"/>
    <n v="-35"/>
    <n v="180"/>
    <n v="35"/>
    <n v="215"/>
    <m/>
    <n v="410"/>
    <m/>
    <m/>
    <s v="N"/>
    <m/>
    <s v="121-365 DAYS"/>
    <n v="6"/>
    <x v="0"/>
  </r>
  <r>
    <n v="164"/>
    <s v="N"/>
    <s v="N"/>
    <n v="2598620"/>
    <n v="4"/>
    <d v="2012-01-08T00:00:00"/>
    <d v="2012-08-07T00:00:00"/>
    <n v="2598620"/>
    <d v="2012-01-08T00:00:00"/>
    <d v="2012-01-14T00:00:00"/>
    <n v="5000"/>
    <x v="4"/>
    <d v="2012-01-14T00:00:00"/>
    <s v="Y"/>
    <s v="SURETY"/>
    <s v="GUILTY PLEA - NO JURY"/>
    <n v="7"/>
    <n v="213"/>
    <n v="0"/>
    <n v="0"/>
    <m/>
    <m/>
    <m/>
    <m/>
    <m/>
    <m/>
    <m/>
    <s v="S"/>
    <m/>
    <d v="1986-02-19T00:00:00"/>
    <s v="M"/>
    <s v="H"/>
    <s v="HISPANIC"/>
    <s v="NULL"/>
    <s v="232"/>
    <s v="CONVICTED"/>
    <n v="8"/>
    <s v="HCJ"/>
    <m/>
    <m/>
    <n v="240"/>
    <s v="RETALIATION"/>
    <m/>
    <s v="F3"/>
    <s v="OTHER FEL"/>
    <m/>
    <m/>
    <m/>
    <m/>
    <m/>
    <m/>
    <m/>
    <m/>
    <m/>
    <s v="Public Defender"/>
    <m/>
    <m/>
    <n v="7"/>
    <n v="213"/>
    <n v="213"/>
    <n v="25.830601092896174"/>
    <n v="0"/>
    <n v="-206"/>
    <s v="CONVICTION"/>
    <x v="1"/>
    <s v="Y"/>
    <m/>
    <s v="CONVICTION"/>
    <s v="Y"/>
    <x v="1"/>
    <x v="0"/>
    <s v="N"/>
    <n v="3.2863849765258218E-2"/>
    <n v="3.2863849765258218E-2"/>
    <n v="0"/>
    <n v="0"/>
    <n v="-7"/>
    <n v="0"/>
    <n v="7"/>
    <e v="#VALUE!"/>
    <n v="7"/>
    <n v="0"/>
    <m/>
    <m/>
    <s v="N"/>
    <m/>
    <s v="0-10 DAYS"/>
    <n v="1"/>
    <x v="0"/>
  </r>
  <r>
    <n v="166"/>
    <s v="N"/>
    <s v="N"/>
    <n v="2598624"/>
    <n v="2"/>
    <d v="2012-01-08T00:00:00"/>
    <d v="2012-07-02T00:00:00"/>
    <n v="2598624"/>
    <s v="NOT BOOKED"/>
    <s v="NOT BOOKED"/>
    <n v="2000"/>
    <x v="5"/>
    <d v="2012-01-09T00:00:00"/>
    <s v="Y"/>
    <s v="SURETY"/>
    <s v="DEFERRED ADJUDICATION "/>
    <n v="0"/>
    <n v="177"/>
    <n v="0"/>
    <n v="0"/>
    <m/>
    <m/>
    <m/>
    <m/>
    <m/>
    <m/>
    <m/>
    <m/>
    <m/>
    <d v="1990-07-06T00:00:00"/>
    <s v="M"/>
    <s v="W"/>
    <s v="WHITE"/>
    <s v="NULL"/>
    <s v="185"/>
    <s v="DEFERRED"/>
    <n v="16"/>
    <s v="DEFERRED"/>
    <m/>
    <m/>
    <m/>
    <s v="THEFT OF FIREARM"/>
    <m/>
    <s v="FS"/>
    <s v="THEFT"/>
    <m/>
    <m/>
    <m/>
    <m/>
    <m/>
    <m/>
    <m/>
    <m/>
    <m/>
    <s v="Hired Attorney"/>
    <m/>
    <m/>
    <n v="0"/>
    <n v="0"/>
    <n v="177"/>
    <n v="21.464480874316941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67"/>
    <s v="N"/>
    <s v="N"/>
    <n v="2598627"/>
    <n v="1"/>
    <d v="2012-01-08T00:00:00"/>
    <d v="2012-04-25T00:00:00"/>
    <n v="2598627"/>
    <s v="NOT BOOKED"/>
    <s v="NOT BOOKED"/>
    <n v="2000"/>
    <x v="5"/>
    <d v="2012-01-09T00:00:00"/>
    <s v="Y"/>
    <s v="SURETY"/>
    <s v="DISMISSED"/>
    <n v="0"/>
    <n v="109"/>
    <n v="0"/>
    <n v="0"/>
    <m/>
    <m/>
    <m/>
    <m/>
    <m/>
    <m/>
    <m/>
    <m/>
    <m/>
    <d v="1994-11-28T00:00:00"/>
    <s v="M"/>
    <s v="W"/>
    <s v="WHITE"/>
    <s v="NULL"/>
    <s v="351"/>
    <s v="DISMISSED"/>
    <n v="3"/>
    <s v="DISMISSED"/>
    <m/>
    <m/>
    <m/>
    <s v="POSS CS PG 2 &lt;1GRAM"/>
    <m/>
    <s v="FS"/>
    <s v="POSS DRUG"/>
    <m/>
    <m/>
    <m/>
    <m/>
    <m/>
    <m/>
    <m/>
    <m/>
    <m/>
    <s v="Hired Attorney"/>
    <m/>
    <m/>
    <n v="0"/>
    <n v="0"/>
    <n v="109"/>
    <n v="17.076502732240439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82"/>
    <s v="N"/>
    <s v="N"/>
    <n v="2598692"/>
    <n v="1"/>
    <d v="2012-01-09T00:00:00"/>
    <d v="2012-02-07T00:00:00"/>
    <n v="2598692"/>
    <d v="2012-01-09T00:00:00"/>
    <d v="2012-02-07T00:00:00"/>
    <n v="10000"/>
    <x v="3"/>
    <m/>
    <s v="N"/>
    <s v="NONE"/>
    <s v="DISMISSED"/>
    <n v="30"/>
    <n v="30"/>
    <n v="0"/>
    <n v="0"/>
    <m/>
    <m/>
    <m/>
    <m/>
    <m/>
    <m/>
    <m/>
    <m/>
    <m/>
    <d v="1986-01-29T00:00:00"/>
    <s v="M"/>
    <s v="W"/>
    <s v="WHITE"/>
    <s v="NULL"/>
    <s v="179"/>
    <s v="DISMISSED"/>
    <n v="3"/>
    <s v="DISMISSED"/>
    <m/>
    <m/>
    <m/>
    <s v="ASSAULT-BOD INJ-PUB SERV/RETAL"/>
    <m/>
    <s v="F3"/>
    <s v="ASLT-MURDR"/>
    <m/>
    <m/>
    <m/>
    <m/>
    <m/>
    <m/>
    <m/>
    <m/>
    <m/>
    <s v="Appointed Attorney"/>
    <m/>
    <m/>
    <n v="30"/>
    <n v="30"/>
    <n v="30"/>
    <n v="25.89071038251366"/>
    <n v="0"/>
    <n v="0"/>
    <s v="NO CONVICTION"/>
    <x v="0"/>
    <s v="N"/>
    <m/>
    <s v="NO CONVICTION"/>
    <s v="Y"/>
    <x v="0"/>
    <x v="0"/>
    <s v="N"/>
    <n v="1"/>
    <n v="1"/>
    <n v="0"/>
    <n v="0"/>
    <n v="-30"/>
    <n v="0"/>
    <n v="30"/>
    <e v="#VALUE!"/>
    <n v="30"/>
    <n v="0"/>
    <m/>
    <m/>
    <s v="N"/>
    <m/>
    <s v="11-30 DAYS"/>
    <n v="2"/>
    <x v="0"/>
  </r>
  <r>
    <n v="190"/>
    <s v="N"/>
    <s v="N"/>
    <n v="2598735"/>
    <n v="4"/>
    <d v="2012-01-09T00:00:00"/>
    <d v="2012-04-24T00:00:00"/>
    <n v="2598735"/>
    <d v="2012-01-10T00:00:00"/>
    <d v="2012-04-24T00:00:00"/>
    <n v="10000"/>
    <x v="3"/>
    <m/>
    <s v="N"/>
    <s v="NONE"/>
    <s v="GUILTY PLEA - NO JURY"/>
    <n v="106"/>
    <n v="107"/>
    <n v="0"/>
    <n v="0"/>
    <m/>
    <m/>
    <m/>
    <m/>
    <m/>
    <m/>
    <m/>
    <s v="S"/>
    <m/>
    <d v="1964-10-12T00:00:00"/>
    <s v="M"/>
    <s v="H"/>
    <s v="HISPANIC"/>
    <s v="NULL"/>
    <s v="337"/>
    <s v="CONVICTED"/>
    <n v="5"/>
    <s v="HCJ"/>
    <m/>
    <m/>
    <n v="180"/>
    <s v="ATT TAMPER GOVT RECORD"/>
    <m/>
    <s v="FS"/>
    <s v="OTHER FEL"/>
    <m/>
    <m/>
    <m/>
    <m/>
    <m/>
    <m/>
    <m/>
    <m/>
    <m/>
    <s v="Hired Attorney"/>
    <m/>
    <m/>
    <n v="106"/>
    <n v="106"/>
    <n v="107"/>
    <n v="47.144808743169399"/>
    <n v="0"/>
    <n v="0"/>
    <s v="CONVICTION"/>
    <x v="0"/>
    <s v="N"/>
    <m/>
    <s v="CONVICTION"/>
    <s v="Y"/>
    <x v="0"/>
    <x v="0"/>
    <s v="N"/>
    <n v="0.99065420560747663"/>
    <n v="1"/>
    <n v="9.3457943925233655E-3"/>
    <n v="0"/>
    <n v="-106"/>
    <n v="0"/>
    <n v="106"/>
    <e v="#VALUE!"/>
    <n v="106"/>
    <n v="0"/>
    <m/>
    <m/>
    <s v="N"/>
    <m/>
    <s v="91-120 DAYS"/>
    <n v="0"/>
    <x v="0"/>
  </r>
  <r>
    <n v="195"/>
    <s v="N"/>
    <s v="N"/>
    <n v="2598837"/>
    <n v="4"/>
    <d v="2012-01-09T00:00:00"/>
    <d v="2012-06-14T00:00:00"/>
    <n v="2598837"/>
    <d v="2012-01-09T00:00:00"/>
    <d v="2012-02-13T00:00:00"/>
    <n v="5000"/>
    <x v="4"/>
    <d v="2012-02-13T00:00:00"/>
    <s v="Y"/>
    <s v="SURETY"/>
    <s v="GUILTY PLEA - NO JURY"/>
    <n v="36"/>
    <n v="158"/>
    <n v="0"/>
    <n v="0"/>
    <m/>
    <m/>
    <m/>
    <m/>
    <m/>
    <m/>
    <m/>
    <m/>
    <m/>
    <d v="1987-05-28T00:00:00"/>
    <s v="M"/>
    <s v="B"/>
    <s v="BLACK"/>
    <s v="NULL"/>
    <s v="182"/>
    <s v="CONVICTED"/>
    <n v="5"/>
    <s v="HCJ"/>
    <m/>
    <m/>
    <n v="180"/>
    <s v="POSS CS PG 1 &lt;1G"/>
    <m/>
    <s v="FS"/>
    <s v="POSS DRUG"/>
    <m/>
    <m/>
    <m/>
    <m/>
    <m/>
    <m/>
    <m/>
    <m/>
    <m/>
    <s v="Appointed Attorney"/>
    <m/>
    <m/>
    <n v="36"/>
    <n v="158"/>
    <n v="158"/>
    <n v="24.568306010928961"/>
    <n v="0"/>
    <n v="-122"/>
    <s v="CONVICTION"/>
    <x v="1"/>
    <s v="Y"/>
    <m/>
    <s v="CONVICTION"/>
    <s v="Y"/>
    <x v="1"/>
    <x v="0"/>
    <s v="N"/>
    <n v="0.22784810126582278"/>
    <n v="0.22784810126582278"/>
    <n v="0"/>
    <n v="0"/>
    <n v="-36"/>
    <n v="0"/>
    <n v="36"/>
    <e v="#VALUE!"/>
    <n v="36"/>
    <n v="0"/>
    <m/>
    <m/>
    <s v="N"/>
    <m/>
    <s v="31-60 DAYS"/>
    <n v="3"/>
    <x v="0"/>
  </r>
  <r>
    <n v="204"/>
    <s v="N"/>
    <s v="N"/>
    <n v="2598872"/>
    <n v="2"/>
    <d v="2012-01-10T00:00:00"/>
    <d v="2012-02-06T00:00:00"/>
    <n v="2598872"/>
    <d v="2012-01-10T00:00:00"/>
    <d v="2012-02-02T00:00:00"/>
    <n v="2000"/>
    <x v="5"/>
    <d v="2012-02-02T00:00:00"/>
    <s v="Y"/>
    <s v="SURETY"/>
    <s v="DEFERRED ADJUDICATION "/>
    <n v="24"/>
    <n v="28"/>
    <n v="0"/>
    <n v="0"/>
    <m/>
    <m/>
    <m/>
    <m/>
    <m/>
    <m/>
    <m/>
    <m/>
    <m/>
    <d v="1990-03-26T00:00:00"/>
    <s v="M"/>
    <s v="B"/>
    <s v="BLACK"/>
    <s v="NULL"/>
    <s v="208"/>
    <s v="DEFERRED"/>
    <n v="3"/>
    <s v="DEFERRED"/>
    <m/>
    <m/>
    <m/>
    <s v="POSS CS PG 1 &lt;1G"/>
    <m/>
    <s v="FS"/>
    <s v="POSS DRUG"/>
    <m/>
    <m/>
    <m/>
    <m/>
    <m/>
    <m/>
    <m/>
    <m/>
    <m/>
    <s v="Appointed Attorney"/>
    <m/>
    <m/>
    <n v="24"/>
    <n v="28"/>
    <n v="28"/>
    <n v="21.748633879781419"/>
    <n v="0"/>
    <n v="-4"/>
    <s v="DEFERRED"/>
    <x v="1"/>
    <s v="Y"/>
    <m/>
    <s v="DEFERRED"/>
    <s v="Y"/>
    <x v="1"/>
    <x v="0"/>
    <s v="N"/>
    <n v="0.8571428571428571"/>
    <n v="0.8571428571428571"/>
    <n v="0"/>
    <n v="0"/>
    <n v="-24"/>
    <n v="0"/>
    <n v="24"/>
    <e v="#VALUE!"/>
    <n v="24"/>
    <n v="0"/>
    <m/>
    <m/>
    <s v="N"/>
    <m/>
    <s v="11-30 DAYS"/>
    <n v="2"/>
    <x v="0"/>
  </r>
  <r>
    <n v="207"/>
    <s v="N"/>
    <s v="N"/>
    <n v="2598873"/>
    <n v="4"/>
    <d v="2012-01-10T00:00:00"/>
    <d v="2012-02-21T00:00:00"/>
    <n v="2598873"/>
    <d v="2012-01-10T00:00:00"/>
    <d v="2012-02-21T00:00:00"/>
    <n v="35000"/>
    <x v="2"/>
    <m/>
    <s v="N"/>
    <s v="NONE"/>
    <s v="GUILTY PLEA - NO JURY"/>
    <n v="43"/>
    <n v="43"/>
    <n v="0"/>
    <n v="1"/>
    <m/>
    <m/>
    <m/>
    <m/>
    <m/>
    <m/>
    <m/>
    <m/>
    <m/>
    <d v="1967-07-30T00:00:00"/>
    <s v="M"/>
    <s v="W"/>
    <s v="WHITE"/>
    <s v="NULL"/>
    <s v="209"/>
    <s v="CONVICTED"/>
    <n v="2"/>
    <s v="HCJ"/>
    <m/>
    <m/>
    <n v="60"/>
    <s v="ATT FORGE GOVE INSTR"/>
    <m/>
    <s v="FS"/>
    <s v="OTHER FEL"/>
    <m/>
    <m/>
    <m/>
    <m/>
    <m/>
    <m/>
    <m/>
    <m/>
    <m/>
    <s v="Appointed Attorney"/>
    <m/>
    <m/>
    <n v="43"/>
    <n v="43"/>
    <n v="43"/>
    <n v="44.357923497267763"/>
    <n v="0"/>
    <n v="0"/>
    <s v="CONVICTION"/>
    <x v="0"/>
    <s v="N"/>
    <m/>
    <s v="CONVICTION"/>
    <s v="Y"/>
    <x v="0"/>
    <x v="0"/>
    <s v="N"/>
    <n v="1"/>
    <n v="1"/>
    <n v="0"/>
    <n v="0"/>
    <n v="-43"/>
    <n v="0"/>
    <n v="43"/>
    <e v="#VALUE!"/>
    <n v="43"/>
    <n v="0"/>
    <m/>
    <m/>
    <s v="Y"/>
    <m/>
    <s v="31-60 DAYS"/>
    <n v="3"/>
    <x v="0"/>
  </r>
  <r>
    <n v="215"/>
    <s v="N"/>
    <s v="N"/>
    <n v="2598998"/>
    <n v="6"/>
    <d v="2012-01-10T00:00:00"/>
    <d v="2012-06-29T00:00:00"/>
    <n v="2598998"/>
    <d v="2012-01-14T00:00:00"/>
    <d v="2012-01-14T00:00:00"/>
    <n v="30000"/>
    <x v="2"/>
    <d v="2012-01-14T00:00:00"/>
    <s v="Y"/>
    <s v="SURETY"/>
    <s v="NOT GUILTY BY JURY VERDICT"/>
    <n v="1"/>
    <n v="172"/>
    <n v="0"/>
    <n v="0"/>
    <m/>
    <m/>
    <m/>
    <m/>
    <m/>
    <m/>
    <m/>
    <m/>
    <m/>
    <d v="1959-06-28T00:00:00"/>
    <s v="M"/>
    <s v="B"/>
    <s v="BLACK"/>
    <s v="NULL"/>
    <s v="230"/>
    <s v="CONVICTED"/>
    <n v="16"/>
    <s v="TDC"/>
    <n v="50"/>
    <m/>
    <m/>
    <s v="INDECENCY CHILD-TG"/>
    <m/>
    <s v="F2"/>
    <s v="SEX ABUSE"/>
    <m/>
    <m/>
    <m/>
    <m/>
    <m/>
    <m/>
    <m/>
    <m/>
    <m/>
    <s v="Hired Attorney"/>
    <m/>
    <m/>
    <n v="1"/>
    <n v="168"/>
    <n v="172"/>
    <n v="52.428961748633881"/>
    <n v="0"/>
    <n v="-167"/>
    <s v="CONVICTION"/>
    <x v="1"/>
    <s v="Y"/>
    <m/>
    <s v="CONVICTION"/>
    <s v="Y"/>
    <x v="1"/>
    <x v="0"/>
    <s v="N"/>
    <n v="5.8139534883720929E-3"/>
    <n v="5.9523809523809521E-3"/>
    <n v="1.3842746400885911E-4"/>
    <n v="0"/>
    <n v="-1"/>
    <n v="0"/>
    <n v="1"/>
    <e v="#VALUE!"/>
    <n v="1"/>
    <n v="0"/>
    <m/>
    <m/>
    <s v="N"/>
    <m/>
    <s v="0-10 DAYS"/>
    <n v="1"/>
    <x v="0"/>
  </r>
  <r>
    <n v="217"/>
    <s v="N"/>
    <s v="N"/>
    <n v="2599027"/>
    <n v="3"/>
    <d v="2012-01-10T00:00:00"/>
    <d v="2012-03-09T00:00:00"/>
    <n v="2599027"/>
    <d v="2012-01-12T00:00:00"/>
    <d v="2012-03-09T00:00:00"/>
    <n v="302000"/>
    <x v="2"/>
    <m/>
    <s v="N"/>
    <s v="NONE"/>
    <s v="GUILTY PLEA - NO JURY"/>
    <n v="58"/>
    <n v="60"/>
    <n v="0"/>
    <n v="0"/>
    <m/>
    <m/>
    <m/>
    <m/>
    <m/>
    <m/>
    <m/>
    <m/>
    <m/>
    <d v="1978-08-13T00:00:00"/>
    <s v="F"/>
    <s v="W"/>
    <s v="WHITE"/>
    <s v="NULL"/>
    <s v="248"/>
    <s v="CONVICTED"/>
    <n v="4"/>
    <s v="PROBATION"/>
    <m/>
    <m/>
    <m/>
    <s v="THEFT &gt;=$100,000 &lt;$200,000"/>
    <m/>
    <s v="F2"/>
    <s v="THEFT"/>
    <m/>
    <m/>
    <m/>
    <m/>
    <m/>
    <m/>
    <m/>
    <m/>
    <m/>
    <s v="Hired Attorney"/>
    <m/>
    <m/>
    <n v="58"/>
    <n v="58"/>
    <n v="60"/>
    <n v="33.341530054644807"/>
    <n v="0"/>
    <n v="0"/>
    <s v="CONVICTION"/>
    <x v="0"/>
    <s v="N"/>
    <m/>
    <s v="CONVICTION"/>
    <s v="Y"/>
    <x v="0"/>
    <x v="0"/>
    <s v="N"/>
    <n v="0.96666666666666667"/>
    <n v="1"/>
    <n v="3.3333333333333326E-2"/>
    <n v="0"/>
    <n v="-58"/>
    <n v="0"/>
    <n v="58"/>
    <e v="#VALUE!"/>
    <n v="58"/>
    <n v="0"/>
    <m/>
    <m/>
    <s v="N"/>
    <m/>
    <s v="31-60 DAYS"/>
    <n v="3"/>
    <x v="0"/>
  </r>
  <r>
    <n v="219"/>
    <s v="N"/>
    <s v="N"/>
    <n v="2599037"/>
    <n v="1"/>
    <d v="2012-01-10T00:00:00"/>
    <d v="2012-04-10T00:00:00"/>
    <n v="2599037"/>
    <d v="2012-01-10T00:00:00"/>
    <d v="2012-01-20T00:00:00"/>
    <n v="5000"/>
    <x v="4"/>
    <d v="2012-01-20T00:00:00"/>
    <s v="Y"/>
    <s v="SURETY"/>
    <s v="DISMISSED"/>
    <n v="11"/>
    <n v="92"/>
    <n v="0"/>
    <n v="0"/>
    <m/>
    <m/>
    <m/>
    <m/>
    <m/>
    <m/>
    <m/>
    <m/>
    <m/>
    <d v="1986-07-08T00:00:00"/>
    <s v="F"/>
    <s v="B"/>
    <s v="BLACK"/>
    <s v="NULL"/>
    <s v="232"/>
    <s v="DISMISSED"/>
    <n v="4"/>
    <s v="DISMISSED"/>
    <m/>
    <m/>
    <m/>
    <s v="ASSAULT-BOD INJ-PUB SERV/RETAL"/>
    <m/>
    <s v="F3"/>
    <s v="ASLT-MURDR"/>
    <m/>
    <m/>
    <m/>
    <m/>
    <m/>
    <m/>
    <m/>
    <m/>
    <m/>
    <s v="Public Defender"/>
    <m/>
    <m/>
    <n v="11"/>
    <n v="92"/>
    <n v="92"/>
    <n v="25.456284153005466"/>
    <n v="0"/>
    <n v="-81"/>
    <s v="NO CONVICTION"/>
    <x v="1"/>
    <s v="Y"/>
    <m/>
    <s v="NO CONVICTION"/>
    <s v="Y"/>
    <x v="1"/>
    <x v="0"/>
    <s v="N"/>
    <n v="0.11956521739130435"/>
    <n v="0.11956521739130435"/>
    <n v="0"/>
    <n v="0"/>
    <n v="-11"/>
    <n v="0"/>
    <n v="11"/>
    <e v="#VALUE!"/>
    <n v="11"/>
    <n v="0"/>
    <m/>
    <m/>
    <s v="N"/>
    <m/>
    <s v="11-30 DAYS"/>
    <n v="2"/>
    <x v="0"/>
  </r>
  <r>
    <n v="224"/>
    <s v="N"/>
    <s v="N"/>
    <n v="2599051"/>
    <n v="1"/>
    <d v="2012-01-10T00:00:00"/>
    <d v="2012-06-25T00:00:00"/>
    <n v="2599051"/>
    <d v="2012-01-11T00:00:00"/>
    <d v="2012-06-25T00:00:00"/>
    <n v="4000"/>
    <x v="4"/>
    <m/>
    <s v="N"/>
    <s v="NONE"/>
    <s v="NO BILL"/>
    <n v="167"/>
    <n v="168"/>
    <n v="0"/>
    <n v="0"/>
    <m/>
    <m/>
    <m/>
    <m/>
    <m/>
    <m/>
    <m/>
    <m/>
    <m/>
    <d v="1994-06-06T00:00:00"/>
    <s v="F"/>
    <s v="W"/>
    <s v="WHITE"/>
    <s v="NULL"/>
    <s v="228"/>
    <s v="NO BILL"/>
    <n v="2"/>
    <s v="NO BILL"/>
    <m/>
    <m/>
    <m/>
    <s v="POSS CS PG 1 &lt;1G"/>
    <m/>
    <s v="FS"/>
    <s v="POSS DRUG"/>
    <m/>
    <m/>
    <m/>
    <m/>
    <m/>
    <m/>
    <m/>
    <m/>
    <m/>
    <s v="Hired Attorney"/>
    <m/>
    <m/>
    <n v="167"/>
    <n v="167"/>
    <n v="168"/>
    <n v="17.560109289617486"/>
    <n v="0"/>
    <n v="0"/>
    <s v="NO CONVICTION"/>
    <x v="0"/>
    <s v="N"/>
    <m/>
    <s v="NO CONVICTION"/>
    <s v="Y"/>
    <x v="0"/>
    <x v="0"/>
    <s v="N"/>
    <n v="0.99404761904761907"/>
    <n v="1"/>
    <n v="5.9523809523809312E-3"/>
    <n v="0"/>
    <n v="-167"/>
    <n v="0"/>
    <n v="167"/>
    <e v="#VALUE!"/>
    <n v="167"/>
    <n v="0"/>
    <m/>
    <m/>
    <s v="N"/>
    <m/>
    <s v="121-365 DAYS"/>
    <n v="6"/>
    <x v="0"/>
  </r>
  <r>
    <n v="293"/>
    <s v="N"/>
    <s v="N"/>
    <n v="2599055"/>
    <n v="6"/>
    <d v="2012-01-10T00:00:00"/>
    <d v="2012-08-07T00:00:00"/>
    <n v="2599055"/>
    <d v="2012-01-11T00:00:00"/>
    <d v="2012-01-15T00:00:00"/>
    <n v="32000"/>
    <x v="2"/>
    <d v="2012-01-15T00:00:00"/>
    <s v="Y"/>
    <s v="SURETY"/>
    <s v="GUILTY PLEA - NO JURY"/>
    <n v="5"/>
    <n v="211"/>
    <n v="0"/>
    <n v="0"/>
    <m/>
    <m/>
    <m/>
    <m/>
    <m/>
    <m/>
    <m/>
    <m/>
    <m/>
    <d v="1993-07-06T00:00:00"/>
    <s v="M"/>
    <s v="null"/>
    <s v="OTHER"/>
    <s v="NULL"/>
    <s v="184"/>
    <s v="CONVICTED"/>
    <n v="7"/>
    <s v="TDC"/>
    <n v="2"/>
    <m/>
    <m/>
    <s v="CARRY PROH WPN PROHBITED PLACE"/>
    <m/>
    <s v="F3"/>
    <s v="OTHER FEL"/>
    <m/>
    <m/>
    <m/>
    <m/>
    <m/>
    <m/>
    <m/>
    <m/>
    <m/>
    <s v="Hired Attorney"/>
    <m/>
    <m/>
    <n v="5"/>
    <n v="210"/>
    <n v="211"/>
    <n v="18.475409836065573"/>
    <n v="0"/>
    <n v="-205"/>
    <s v="CONVICTION"/>
    <x v="1"/>
    <s v="Y"/>
    <m/>
    <s v="CONVICTION"/>
    <s v="Y"/>
    <x v="1"/>
    <x v="0"/>
    <s v="N"/>
    <n v="2.3696682464454975E-2"/>
    <n v="2.3809523809523808E-2"/>
    <n v="1.1284134506883356E-4"/>
    <n v="0"/>
    <n v="-5"/>
    <n v="0"/>
    <n v="5"/>
    <e v="#VALUE!"/>
    <n v="5"/>
    <n v="0"/>
    <m/>
    <m/>
    <s v="N"/>
    <m/>
    <s v="0-10 DAYS"/>
    <n v="1"/>
    <x v="0"/>
  </r>
  <r>
    <n v="226"/>
    <s v="N"/>
    <s v="N"/>
    <n v="2599057"/>
    <n v="1"/>
    <d v="2012-01-10T00:00:00"/>
    <d v="2012-06-21T00:00:00"/>
    <n v="2599057"/>
    <d v="2012-01-13T00:00:00"/>
    <d v="2012-01-18T00:00:00"/>
    <n v="30000"/>
    <x v="2"/>
    <d v="2012-01-18T00:00:00"/>
    <s v="Y"/>
    <s v="SURETY"/>
    <s v="DISMISSED"/>
    <n v="6"/>
    <n v="164"/>
    <n v="0"/>
    <n v="0"/>
    <m/>
    <m/>
    <m/>
    <m/>
    <m/>
    <m/>
    <m/>
    <m/>
    <m/>
    <d v="1989-11-14T00:00:00"/>
    <s v="M"/>
    <s v="B"/>
    <s v="BLACK"/>
    <s v="NULL"/>
    <s v="184"/>
    <s v="DISMISSED"/>
    <n v="9"/>
    <s v="DISMISSED"/>
    <m/>
    <m/>
    <m/>
    <s v="AGG ASSAULT-FAMILY MEMBER"/>
    <m/>
    <s v="F2"/>
    <s v="ASLT-MURDR"/>
    <m/>
    <m/>
    <m/>
    <m/>
    <m/>
    <m/>
    <m/>
    <m/>
    <m/>
    <s v="Hired Attorney"/>
    <m/>
    <m/>
    <n v="6"/>
    <n v="161"/>
    <n v="164"/>
    <n v="22.10928961748634"/>
    <n v="0"/>
    <n v="-155"/>
    <s v="NO CONVICTION"/>
    <x v="1"/>
    <s v="Y"/>
    <m/>
    <s v="NO CONVICTION"/>
    <s v="Y"/>
    <x v="1"/>
    <x v="0"/>
    <s v="N"/>
    <n v="3.6585365853658534E-2"/>
    <n v="3.7267080745341616E-2"/>
    <n v="6.8171489168308147E-4"/>
    <n v="0"/>
    <n v="-6"/>
    <n v="0"/>
    <n v="6"/>
    <e v="#VALUE!"/>
    <n v="6"/>
    <n v="0"/>
    <m/>
    <m/>
    <s v="N"/>
    <m/>
    <s v="0-10 DAYS"/>
    <n v="1"/>
    <x v="0"/>
  </r>
  <r>
    <n v="232"/>
    <s v="N"/>
    <s v="N"/>
    <n v="2599066"/>
    <n v="6"/>
    <d v="2012-01-11T00:00:00"/>
    <d v="2012-03-25T00:00:00"/>
    <n v="2599066"/>
    <d v="2012-01-11T00:00:00"/>
    <d v="2012-03-25T00:00:00"/>
    <s v="NO BOND"/>
    <x v="1"/>
    <m/>
    <s v="N"/>
    <s v="NONE"/>
    <s v="GUILTY PLEA - NO JURY"/>
    <n v="75"/>
    <n v="75"/>
    <n v="0"/>
    <n v="0"/>
    <m/>
    <m/>
    <m/>
    <m/>
    <m/>
    <m/>
    <m/>
    <m/>
    <m/>
    <d v="1992-10-07T00:00:00"/>
    <s v="M"/>
    <s v="W"/>
    <s v="WHITE"/>
    <s v="NULL"/>
    <s v="185"/>
    <s v="CONVICTED"/>
    <n v="4"/>
    <s v="TDC"/>
    <n v="5"/>
    <m/>
    <m/>
    <s v="BURGLARY OF HABITATION"/>
    <m/>
    <s v="F2"/>
    <s v="BURGLARY"/>
    <m/>
    <m/>
    <m/>
    <m/>
    <m/>
    <m/>
    <m/>
    <m/>
    <m/>
    <s v="Appointed Attorney"/>
    <m/>
    <m/>
    <n v="75"/>
    <n v="75"/>
    <n v="75"/>
    <n v="19.221311475409838"/>
    <n v="0"/>
    <n v="0"/>
    <s v="CONVICTION"/>
    <x v="0"/>
    <s v="N"/>
    <m/>
    <s v="CONVICTION"/>
    <s v="Y"/>
    <x v="0"/>
    <x v="0"/>
    <s v="N"/>
    <n v="1"/>
    <n v="1"/>
    <n v="0"/>
    <n v="0"/>
    <n v="-75"/>
    <n v="0"/>
    <n v="75"/>
    <e v="#VALUE!"/>
    <n v="75"/>
    <n v="0"/>
    <m/>
    <m/>
    <s v="N"/>
    <m/>
    <s v="61-90 DAYS"/>
    <n v="4"/>
    <x v="0"/>
  </r>
  <r>
    <n v="233"/>
    <s v="N"/>
    <s v="N"/>
    <n v="2599067"/>
    <n v="2"/>
    <d v="2012-01-11T00:00:00"/>
    <d v="2012-05-03T00:00:00"/>
    <n v="2599067"/>
    <d v="2012-01-11T00:00:00"/>
    <d v="2012-01-12T00:00:00"/>
    <n v="10000"/>
    <x v="3"/>
    <d v="2012-01-12T00:00:00"/>
    <s v="Y"/>
    <s v="SURETY"/>
    <s v="DEFERRED ADJUDICATION "/>
    <n v="2"/>
    <n v="114"/>
    <n v="0"/>
    <n v="0"/>
    <m/>
    <m/>
    <m/>
    <m/>
    <m/>
    <m/>
    <m/>
    <s v="S"/>
    <m/>
    <d v="1994-09-20T00:00:00"/>
    <s v="M"/>
    <s v="H"/>
    <s v="HISPANIC"/>
    <s v="NULL"/>
    <s v="185"/>
    <s v="DEFERRED"/>
    <n v="8"/>
    <s v="DEFERRED"/>
    <m/>
    <m/>
    <m/>
    <s v="BURGLARY OF HABITATION"/>
    <m/>
    <s v="F2"/>
    <s v="BURGLARY"/>
    <m/>
    <m/>
    <m/>
    <m/>
    <m/>
    <m/>
    <m/>
    <m/>
    <m/>
    <s v="Hired Attorney"/>
    <m/>
    <m/>
    <n v="2"/>
    <n v="114"/>
    <n v="114"/>
    <n v="17.273224043715846"/>
    <n v="0"/>
    <n v="-112"/>
    <s v="DEFERRED"/>
    <x v="1"/>
    <s v="Y"/>
    <m/>
    <s v="DEFERRED"/>
    <s v="Y"/>
    <x v="1"/>
    <x v="0"/>
    <s v="N"/>
    <n v="1.7543859649122806E-2"/>
    <n v="1.7543859649122806E-2"/>
    <n v="0"/>
    <n v="0"/>
    <n v="-2"/>
    <n v="0"/>
    <n v="2"/>
    <e v="#VALUE!"/>
    <n v="2"/>
    <n v="0"/>
    <m/>
    <m/>
    <s v="N"/>
    <m/>
    <s v="0-10 DAYS"/>
    <n v="1"/>
    <x v="0"/>
  </r>
  <r>
    <n v="1715"/>
    <s v="N"/>
    <s v="N"/>
    <n v="2599080"/>
    <n v="2"/>
    <d v="2012-03-04T00:00:00"/>
    <d v="2012-10-09T00:00:00"/>
    <n v="2599080"/>
    <d v="2012-03-04T00:00:00"/>
    <d v="2012-10-09T00:00:00"/>
    <n v="30000"/>
    <x v="2"/>
    <m/>
    <s v="N"/>
    <s v="NONE"/>
    <s v="DEFERRED ADJUDICATION "/>
    <n v="220"/>
    <n v="220"/>
    <n v="0"/>
    <n v="2"/>
    <m/>
    <m/>
    <m/>
    <m/>
    <m/>
    <m/>
    <m/>
    <m/>
    <m/>
    <d v="1994-12-23T00:00:00"/>
    <s v="M"/>
    <s v="B"/>
    <s v="BLACK"/>
    <s v="NULL"/>
    <s v="208"/>
    <s v="DEFERRED"/>
    <n v="8"/>
    <s v="DEFERRED"/>
    <m/>
    <m/>
    <m/>
    <s v="AGG ROBBERY-DEADLY WPN"/>
    <m/>
    <s v="F1"/>
    <s v="ROBBERY"/>
    <m/>
    <m/>
    <m/>
    <m/>
    <m/>
    <m/>
    <m/>
    <m/>
    <m/>
    <s v="Hired Attorney"/>
    <m/>
    <m/>
    <n v="220"/>
    <n v="220"/>
    <n v="220"/>
    <n v="17.161202185792348"/>
    <n v="0"/>
    <n v="0"/>
    <s v="DEFERRED"/>
    <x v="0"/>
    <s v="N"/>
    <m/>
    <s v="DEFERRED"/>
    <s v="Y"/>
    <x v="0"/>
    <x v="0"/>
    <s v="N"/>
    <n v="1"/>
    <n v="1"/>
    <n v="0"/>
    <n v="0"/>
    <n v="-220"/>
    <n v="0"/>
    <n v="220"/>
    <e v="#VALUE!"/>
    <n v="220"/>
    <n v="0"/>
    <m/>
    <m/>
    <s v="Y"/>
    <m/>
    <s v="121-365 DAYS"/>
    <n v="6"/>
    <x v="0"/>
  </r>
  <r>
    <n v="902"/>
    <s v="N"/>
    <s v="N"/>
    <n v="2599083"/>
    <n v="6"/>
    <d v="2012-02-03T00:00:00"/>
    <d v="2012-10-15T00:00:00"/>
    <n v="2599083"/>
    <d v="2012-02-04T00:00:00"/>
    <d v="2012-10-15T00:00:00"/>
    <n v="30000"/>
    <x v="2"/>
    <m/>
    <s v="N"/>
    <s v="NONE"/>
    <s v="GUILTY PLEA - NO JURY"/>
    <n v="255"/>
    <n v="256"/>
    <n v="0"/>
    <n v="1"/>
    <m/>
    <m/>
    <m/>
    <m/>
    <m/>
    <m/>
    <m/>
    <m/>
    <m/>
    <d v="1993-08-13T00:00:00"/>
    <s v="M"/>
    <s v="B"/>
    <s v="BLACK"/>
    <s v="NULL"/>
    <s v="228"/>
    <s v="CONVICTED"/>
    <n v="8"/>
    <s v="TDC"/>
    <n v="2"/>
    <m/>
    <m/>
    <s v="AGG ASSAULT W/DEADLY WEAPON"/>
    <m/>
    <s v="F2"/>
    <s v="ASLT-MURDR"/>
    <m/>
    <m/>
    <m/>
    <m/>
    <m/>
    <m/>
    <m/>
    <m/>
    <m/>
    <s v="Appointed Attorney"/>
    <m/>
    <m/>
    <n v="255"/>
    <n v="255"/>
    <n v="256"/>
    <n v="18.437158469945356"/>
    <n v="0"/>
    <n v="0"/>
    <s v="CONVICTION"/>
    <x v="0"/>
    <s v="N"/>
    <m/>
    <s v="CONVICTION"/>
    <s v="Y"/>
    <x v="0"/>
    <x v="0"/>
    <s v="N"/>
    <n v="0.99609375"/>
    <n v="1"/>
    <n v="3.90625E-3"/>
    <n v="0"/>
    <n v="-255"/>
    <n v="0"/>
    <n v="255"/>
    <e v="#VALUE!"/>
    <n v="255"/>
    <n v="0"/>
    <m/>
    <m/>
    <s v="Y"/>
    <m/>
    <s v="121-365 DAYS"/>
    <n v="6"/>
    <x v="0"/>
  </r>
  <r>
    <n v="256"/>
    <s v="N"/>
    <s v="N"/>
    <n v="2599213"/>
    <n v="1"/>
    <d v="2012-01-11T00:00:00"/>
    <d v="2012-03-18T00:00:00"/>
    <n v="2599213"/>
    <d v="2012-02-02T00:00:00"/>
    <d v="2012-02-05T00:00:00"/>
    <n v="5000"/>
    <x v="4"/>
    <d v="2012-02-05T00:00:00"/>
    <s v="Y"/>
    <s v="SURETY"/>
    <s v="DISMISSED"/>
    <n v="4"/>
    <n v="68"/>
    <n v="0"/>
    <n v="0"/>
    <m/>
    <m/>
    <m/>
    <m/>
    <m/>
    <m/>
    <m/>
    <m/>
    <m/>
    <d v="1994-01-11T00:00:00"/>
    <s v="M"/>
    <s v="B"/>
    <s v="BLACK"/>
    <s v="NULL"/>
    <s v="337"/>
    <s v="DISMISSED"/>
    <n v="3"/>
    <s v="DISMISSED"/>
    <m/>
    <m/>
    <m/>
    <s v="EXHIBIT FIREARM/CAMPUS/SCHOOL"/>
    <m/>
    <s v="F3"/>
    <s v="OTHER FEL"/>
    <m/>
    <m/>
    <m/>
    <m/>
    <m/>
    <m/>
    <m/>
    <m/>
    <m/>
    <s v="Public Defender"/>
    <m/>
    <m/>
    <n v="4"/>
    <n v="46"/>
    <n v="68"/>
    <n v="17.961748633879782"/>
    <n v="0"/>
    <n v="-42"/>
    <s v="NO CONVICTION"/>
    <x v="1"/>
    <s v="Y"/>
    <m/>
    <s v="NO CONVICTION"/>
    <s v="Y"/>
    <x v="1"/>
    <x v="0"/>
    <s v="N"/>
    <n v="5.8823529411764705E-2"/>
    <n v="8.6956521739130432E-2"/>
    <n v="2.8132992327365727E-2"/>
    <n v="0"/>
    <n v="-4"/>
    <n v="0"/>
    <n v="4"/>
    <e v="#VALUE!"/>
    <n v="4"/>
    <n v="0"/>
    <m/>
    <m/>
    <s v="N"/>
    <m/>
    <s v="0-10 DAYS"/>
    <n v="1"/>
    <x v="0"/>
  </r>
  <r>
    <n v="250"/>
    <s v="N"/>
    <s v="N"/>
    <n v="2599214"/>
    <n v="1"/>
    <d v="2012-01-11T00:00:00"/>
    <d v="2012-02-14T00:00:00"/>
    <n v="2599214"/>
    <d v="2012-01-11T00:00:00"/>
    <d v="2012-01-13T00:00:00"/>
    <n v="4000"/>
    <x v="4"/>
    <d v="2012-01-13T00:00:00"/>
    <s v="Y"/>
    <s v="SURETY"/>
    <s v="DISMISSED"/>
    <n v="3"/>
    <n v="35"/>
    <n v="0"/>
    <n v="0"/>
    <m/>
    <m/>
    <m/>
    <m/>
    <m/>
    <m/>
    <m/>
    <m/>
    <m/>
    <d v="1990-06-20T00:00:00"/>
    <s v="M"/>
    <s v="B"/>
    <s v="BLACK"/>
    <s v="NULL"/>
    <s v="228"/>
    <s v="DISMISSED"/>
    <n v="2"/>
    <s v="DISMISSED"/>
    <m/>
    <m/>
    <m/>
    <s v="CRIM MISCH &gt;=$1500 &lt;$20K"/>
    <m/>
    <s v="FS"/>
    <s v="OTHER FEL"/>
    <m/>
    <m/>
    <m/>
    <m/>
    <m/>
    <m/>
    <m/>
    <m/>
    <m/>
    <s v="Appointed Attorney"/>
    <m/>
    <m/>
    <n v="3"/>
    <n v="35"/>
    <n v="35"/>
    <n v="21.516393442622952"/>
    <n v="0"/>
    <n v="-32"/>
    <s v="NO CONVICTION"/>
    <x v="1"/>
    <s v="Y"/>
    <m/>
    <s v="NO CONVICTION"/>
    <s v="Y"/>
    <x v="1"/>
    <x v="0"/>
    <s v="N"/>
    <n v="8.5714285714285715E-2"/>
    <n v="8.5714285714285715E-2"/>
    <n v="0"/>
    <n v="0"/>
    <n v="-3"/>
    <n v="0"/>
    <n v="3"/>
    <e v="#VALUE!"/>
    <n v="3"/>
    <n v="0"/>
    <m/>
    <m/>
    <s v="N"/>
    <m/>
    <s v="0-10 DAYS"/>
    <n v="1"/>
    <x v="0"/>
  </r>
  <r>
    <n v="1579"/>
    <s v="N"/>
    <s v="N"/>
    <n v="2599215"/>
    <n v="1"/>
    <d v="2012-02-28T00:00:00"/>
    <d v="2012-04-26T00:00:00"/>
    <n v="2599215"/>
    <s v="NOT BOOKED"/>
    <s v="NOT BOOKED"/>
    <n v="5000"/>
    <x v="4"/>
    <d v="2012-02-29T00:00:00"/>
    <s v="Y"/>
    <s v="SURETY"/>
    <s v="DISMISSED"/>
    <n v="0"/>
    <n v="59"/>
    <n v="0"/>
    <n v="0"/>
    <m/>
    <m/>
    <m/>
    <m/>
    <m/>
    <m/>
    <m/>
    <m/>
    <m/>
    <d v="1987-03-07T00:00:00"/>
    <s v="M"/>
    <s v="W"/>
    <s v="WHITE"/>
    <s v="NULL"/>
    <s v="262"/>
    <s v="DISMISSED"/>
    <n v="4"/>
    <s v="DISMISSED"/>
    <m/>
    <m/>
    <m/>
    <s v="POSS CS PG 2 1-4 GRAMS"/>
    <m/>
    <s v="F3"/>
    <s v="POSS DRUG"/>
    <m/>
    <m/>
    <m/>
    <m/>
    <m/>
    <m/>
    <m/>
    <m/>
    <m/>
    <s v="Appointed Attorney"/>
    <m/>
    <m/>
    <n v="0"/>
    <n v="0"/>
    <n v="59"/>
    <n v="24.928961748633881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422"/>
    <s v="N"/>
    <s v="N"/>
    <n v="2599232"/>
    <n v="1"/>
    <d v="2012-04-01T00:00:00"/>
    <d v="2013-06-03T00:00:00"/>
    <n v="2599232"/>
    <d v="2012-04-01T00:00:00"/>
    <d v="2012-04-03T00:00:00"/>
    <n v="2000"/>
    <x v="5"/>
    <d v="2012-04-03T00:00:00"/>
    <s v="Y"/>
    <s v="SURETY"/>
    <s v="DISMISSED"/>
    <n v="3"/>
    <n v="429"/>
    <n v="0"/>
    <n v="1"/>
    <m/>
    <m/>
    <m/>
    <m/>
    <m/>
    <m/>
    <m/>
    <m/>
    <m/>
    <d v="1983-04-16T00:00:00"/>
    <s v="M"/>
    <s v="W"/>
    <s v="WHITE"/>
    <s v="NULL"/>
    <s v="351"/>
    <s v="DISMISSED"/>
    <n v="12"/>
    <s v="DISMISSED"/>
    <m/>
    <m/>
    <m/>
    <s v="POSS CS PG 1 &lt;1G"/>
    <m/>
    <s v="FS"/>
    <s v="POSS DRUG"/>
    <m/>
    <m/>
    <m/>
    <m/>
    <m/>
    <m/>
    <m/>
    <m/>
    <m/>
    <s v="Hired Attorney"/>
    <m/>
    <m/>
    <n v="3"/>
    <n v="429"/>
    <n v="429"/>
    <n v="28.901639344262296"/>
    <n v="0"/>
    <n v="-426"/>
    <s v="NO CONVICTION"/>
    <x v="1"/>
    <s v="Y"/>
    <m/>
    <s v="NO CONVICTION"/>
    <s v="Y"/>
    <x v="1"/>
    <x v="0"/>
    <s v="N"/>
    <n v="6.993006993006993E-3"/>
    <n v="6.993006993006993E-3"/>
    <n v="0"/>
    <n v="0"/>
    <n v="-3"/>
    <n v="0"/>
    <n v="3"/>
    <e v="#VALUE!"/>
    <n v="3"/>
    <n v="0"/>
    <m/>
    <m/>
    <s v="Y"/>
    <m/>
    <s v="0-10 DAYS"/>
    <n v="1"/>
    <x v="0"/>
  </r>
  <r>
    <n v="263"/>
    <s v="N"/>
    <s v="N"/>
    <n v="2599233"/>
    <n v="2"/>
    <d v="2012-01-11T00:00:00"/>
    <d v="2012-07-27T00:00:00"/>
    <n v="2599233"/>
    <d v="2012-01-12T00:00:00"/>
    <d v="2012-01-14T00:00:00"/>
    <n v="10000"/>
    <x v="3"/>
    <d v="2012-01-14T00:00:00"/>
    <s v="Y"/>
    <s v="SURETY"/>
    <s v="DEFERRED ADJUDICATION "/>
    <n v="3"/>
    <n v="199"/>
    <n v="0"/>
    <n v="1"/>
    <m/>
    <m/>
    <m/>
    <m/>
    <m/>
    <m/>
    <m/>
    <m/>
    <m/>
    <d v="1994-10-14T00:00:00"/>
    <s v="M"/>
    <s v="B"/>
    <s v="BLACK"/>
    <s v="NON-HISPANIC"/>
    <s v="180"/>
    <s v="DEFERRED"/>
    <n v="10"/>
    <s v="DEFERRED"/>
    <m/>
    <m/>
    <m/>
    <s v="BURGLARY OF HABITATION"/>
    <m/>
    <s v="F2"/>
    <s v="BURGLARY"/>
    <m/>
    <m/>
    <m/>
    <m/>
    <m/>
    <m/>
    <m/>
    <m/>
    <m/>
    <s v="Hired Attorney"/>
    <m/>
    <m/>
    <n v="3"/>
    <n v="198"/>
    <n v="199"/>
    <n v="17.207650273224044"/>
    <n v="0"/>
    <n v="-195"/>
    <s v="DEFERRED"/>
    <x v="1"/>
    <s v="Y"/>
    <m/>
    <s v="DEFERRED"/>
    <s v="Y"/>
    <x v="1"/>
    <x v="0"/>
    <s v="N"/>
    <n v="1.507537688442211E-2"/>
    <n v="1.5151515151515152E-2"/>
    <n v="7.6138267093042028E-5"/>
    <n v="0"/>
    <n v="-3"/>
    <n v="0"/>
    <n v="3"/>
    <e v="#VALUE!"/>
    <n v="3"/>
    <n v="0"/>
    <m/>
    <m/>
    <s v="Y"/>
    <m/>
    <s v="0-10 DAYS"/>
    <n v="1"/>
    <x v="0"/>
  </r>
  <r>
    <n v="265"/>
    <s v="N"/>
    <s v="N"/>
    <n v="2599237"/>
    <n v="2"/>
    <d v="2012-01-12T00:00:00"/>
    <d v="2012-06-28T00:00:00"/>
    <n v="2599237"/>
    <d v="2012-01-12T00:00:00"/>
    <d v="2012-01-13T00:00:00"/>
    <n v="2000"/>
    <x v="5"/>
    <d v="2012-01-13T00:00:00"/>
    <s v="Y"/>
    <s v="SURETY"/>
    <s v="DEFERRED ADJUDICATION "/>
    <n v="2"/>
    <n v="169"/>
    <n v="0"/>
    <n v="0"/>
    <m/>
    <m/>
    <m/>
    <m/>
    <m/>
    <m/>
    <m/>
    <m/>
    <m/>
    <d v="1991-03-29T00:00:00"/>
    <s v="M"/>
    <s v="B"/>
    <s v="BLACK"/>
    <s v="NULL"/>
    <s v="248"/>
    <s v="DEFERRED"/>
    <n v="8"/>
    <s v="DEFERRED"/>
    <m/>
    <m/>
    <m/>
    <s v="THEFT $1500-20K"/>
    <m/>
    <s v="FS"/>
    <s v="THEFT"/>
    <m/>
    <m/>
    <m/>
    <m/>
    <m/>
    <m/>
    <m/>
    <m/>
    <m/>
    <s v="Hired Attorney"/>
    <m/>
    <m/>
    <n v="2"/>
    <n v="169"/>
    <n v="169"/>
    <n v="20.748633879781419"/>
    <n v="0"/>
    <n v="-167"/>
    <s v="DEFERRED"/>
    <x v="1"/>
    <s v="Y"/>
    <m/>
    <s v="DEFERRED"/>
    <s v="Y"/>
    <x v="1"/>
    <x v="0"/>
    <s v="N"/>
    <n v="1.1834319526627219E-2"/>
    <n v="1.1834319526627219E-2"/>
    <n v="0"/>
    <n v="0"/>
    <n v="-2"/>
    <n v="0"/>
    <n v="2"/>
    <e v="#VALUE!"/>
    <n v="2"/>
    <n v="0"/>
    <m/>
    <m/>
    <s v="N"/>
    <m/>
    <s v="0-10 DAYS"/>
    <n v="1"/>
    <x v="0"/>
  </r>
  <r>
    <n v="10"/>
    <s v="N"/>
    <s v="N"/>
    <n v="2599244"/>
    <n v="1"/>
    <d v="2012-01-12T00:00:00"/>
    <d v="2012-07-31T00:00:00"/>
    <n v="2599244"/>
    <d v="2012-01-12T00:00:00"/>
    <d v="2012-01-13T00:00:00"/>
    <n v="25000"/>
    <x v="2"/>
    <d v="2012-01-13T00:00:00"/>
    <s v="Y"/>
    <s v="SURETYPTRc"/>
    <s v="DISMISSED"/>
    <n v="2"/>
    <n v="202"/>
    <n v="0"/>
    <n v="0"/>
    <m/>
    <m/>
    <m/>
    <m/>
    <m/>
    <m/>
    <m/>
    <m/>
    <m/>
    <d v="1981-07-12T00:00:00"/>
    <s v="F"/>
    <s v="B"/>
    <s v="BLACK"/>
    <s v="NULL"/>
    <s v="262"/>
    <s v="DISMISSED"/>
    <n v="10"/>
    <s v="DISMISSED"/>
    <m/>
    <m/>
    <m/>
    <s v="POSS MARIJ  5 - 50 LBS."/>
    <m/>
    <s v="F3"/>
    <s v="POSS DRUG"/>
    <m/>
    <m/>
    <m/>
    <m/>
    <m/>
    <m/>
    <m/>
    <m/>
    <m/>
    <s v="Hired Attorney"/>
    <m/>
    <m/>
    <n v="2"/>
    <n v="202"/>
    <n v="202"/>
    <n v="30.439890710382514"/>
    <n v="0"/>
    <n v="-200"/>
    <s v="NO CONVICTION"/>
    <x v="1"/>
    <s v="Y"/>
    <m/>
    <s v="NO CONVICTION"/>
    <s v="Y"/>
    <x v="1"/>
    <x v="0"/>
    <s v="N"/>
    <n v="9.9009900990099011E-3"/>
    <n v="9.9009900990099011E-3"/>
    <n v="0"/>
    <n v="0"/>
    <n v="-2"/>
    <n v="0"/>
    <n v="2"/>
    <e v="#VALUE!"/>
    <n v="2"/>
    <n v="0"/>
    <m/>
    <m/>
    <s v="N"/>
    <m/>
    <s v="0-10 DAYS"/>
    <n v="1"/>
    <x v="0"/>
  </r>
  <r>
    <n v="270"/>
    <s v="N"/>
    <s v="N"/>
    <n v="2599246"/>
    <n v="4"/>
    <d v="2012-01-12T00:00:00"/>
    <d v="2012-01-18T00:00:00"/>
    <n v="2599246"/>
    <d v="2012-01-12T00:00:00"/>
    <d v="2012-01-18T00:00:00"/>
    <n v="35000"/>
    <x v="2"/>
    <m/>
    <s v="N"/>
    <s v="NONE"/>
    <s v="GUILTY PLEA - NO JURY"/>
    <n v="7"/>
    <n v="7"/>
    <n v="0"/>
    <n v="0"/>
    <m/>
    <m/>
    <m/>
    <m/>
    <m/>
    <m/>
    <m/>
    <m/>
    <m/>
    <d v="1976-08-26T00:00:00"/>
    <s v="M"/>
    <s v="W"/>
    <s v="WHITE"/>
    <s v="NULL"/>
    <s v="337"/>
    <s v="CONVICTED"/>
    <n v="2"/>
    <s v="HCJ"/>
    <m/>
    <m/>
    <n v="90"/>
    <s v="MAN/DEL CS PG I &lt;1GRAM"/>
    <m/>
    <s v="FS"/>
    <s v="SALE DRUG"/>
    <m/>
    <m/>
    <m/>
    <m/>
    <m/>
    <m/>
    <m/>
    <m/>
    <m/>
    <s v="Appointed Attorney"/>
    <m/>
    <m/>
    <n v="7"/>
    <n v="7"/>
    <n v="7"/>
    <n v="35.306010928961747"/>
    <n v="0"/>
    <n v="0"/>
    <s v="CONVICTION"/>
    <x v="0"/>
    <s v="N"/>
    <m/>
    <s v="CONVICTION"/>
    <s v="Y"/>
    <x v="0"/>
    <x v="0"/>
    <s v="N"/>
    <n v="1"/>
    <n v="1"/>
    <n v="0"/>
    <n v="0"/>
    <n v="-7"/>
    <n v="0"/>
    <n v="7"/>
    <e v="#VALUE!"/>
    <n v="7"/>
    <n v="0"/>
    <m/>
    <m/>
    <s v="N"/>
    <m/>
    <s v="0-10 DAYS"/>
    <n v="1"/>
    <x v="0"/>
  </r>
  <r>
    <n v="1120"/>
    <s v="N"/>
    <s v="N"/>
    <n v="2599257"/>
    <n v="6"/>
    <d v="2012-02-10T00:00:00"/>
    <d v="2013-03-07T00:00:00"/>
    <n v="2599257"/>
    <d v="2012-02-11T00:00:00"/>
    <d v="2012-03-29T00:00:00"/>
    <n v="120000"/>
    <x v="2"/>
    <d v="2012-03-29T00:00:00"/>
    <s v="Y"/>
    <s v="SURETY"/>
    <s v="GUILTY PLEA - NO JURY"/>
    <n v="48"/>
    <n v="392"/>
    <n v="0"/>
    <n v="0"/>
    <m/>
    <m/>
    <m/>
    <m/>
    <m/>
    <m/>
    <m/>
    <m/>
    <m/>
    <d v="1989-07-17T00:00:00"/>
    <s v="M"/>
    <s v="W"/>
    <s v="WHITE"/>
    <s v="NULL"/>
    <s v="180"/>
    <s v="CONVICTED"/>
    <n v="11"/>
    <s v="TDC"/>
    <n v="6"/>
    <m/>
    <m/>
    <s v="POSS CHILD PORNOGRAPHY"/>
    <m/>
    <s v="F3"/>
    <s v="OTHER FEL"/>
    <m/>
    <m/>
    <m/>
    <m/>
    <m/>
    <m/>
    <m/>
    <m/>
    <m/>
    <s v="Hired Attorney"/>
    <m/>
    <m/>
    <n v="48"/>
    <n v="391"/>
    <n v="392"/>
    <n v="22.521857923497269"/>
    <n v="0"/>
    <n v="-343"/>
    <s v="CONVICTION"/>
    <x v="1"/>
    <s v="Y"/>
    <m/>
    <s v="CONVICTION"/>
    <s v="Y"/>
    <x v="1"/>
    <x v="0"/>
    <s v="N"/>
    <n v="0.12244897959183673"/>
    <n v="0.12276214833759591"/>
    <n v="3.1316874575917919E-4"/>
    <n v="0"/>
    <n v="-48"/>
    <n v="0"/>
    <n v="48"/>
    <e v="#VALUE!"/>
    <n v="48"/>
    <n v="0"/>
    <m/>
    <m/>
    <s v="N"/>
    <m/>
    <s v="31-60 DAYS"/>
    <n v="3"/>
    <x v="0"/>
  </r>
  <r>
    <n v="277"/>
    <s v="N"/>
    <s v="N"/>
    <n v="2599288"/>
    <n v="1"/>
    <d v="2012-01-12T00:00:00"/>
    <d v="2012-07-09T00:00:00"/>
    <n v="2599288"/>
    <d v="2012-01-12T00:00:00"/>
    <d v="2012-01-13T00:00:00"/>
    <n v="5000"/>
    <x v="4"/>
    <d v="2012-01-13T00:00:00"/>
    <s v="Y"/>
    <s v="SURETY"/>
    <s v="DISMISSED"/>
    <n v="2"/>
    <n v="180"/>
    <n v="0"/>
    <n v="0"/>
    <m/>
    <m/>
    <m/>
    <m/>
    <m/>
    <m/>
    <m/>
    <m/>
    <m/>
    <d v="1964-07-07T00:00:00"/>
    <s v="F"/>
    <s v="B"/>
    <s v="BLACK"/>
    <s v="NON-HISPANIC"/>
    <s v="185"/>
    <s v="DISMISSED"/>
    <n v="12"/>
    <s v="DISMISSED"/>
    <m/>
    <m/>
    <m/>
    <s v="INJURY TO ELDERLY"/>
    <m/>
    <s v="F3"/>
    <s v="ASLT-MURDR"/>
    <m/>
    <m/>
    <m/>
    <m/>
    <m/>
    <m/>
    <m/>
    <m/>
    <m/>
    <s v="Hired Attorney"/>
    <m/>
    <m/>
    <n v="2"/>
    <n v="180"/>
    <n v="180"/>
    <n v="47.418032786885249"/>
    <n v="0"/>
    <n v="-178"/>
    <s v="NO CONVICTION"/>
    <x v="1"/>
    <s v="Y"/>
    <m/>
    <s v="NO CONVICTION"/>
    <s v="Y"/>
    <x v="1"/>
    <x v="0"/>
    <s v="N"/>
    <n v="1.1111111111111112E-2"/>
    <n v="1.1111111111111112E-2"/>
    <n v="0"/>
    <n v="0"/>
    <n v="-2"/>
    <n v="0"/>
    <n v="2"/>
    <e v="#VALUE!"/>
    <n v="2"/>
    <n v="0"/>
    <m/>
    <m/>
    <s v="N"/>
    <m/>
    <s v="0-10 DAYS"/>
    <n v="1"/>
    <x v="0"/>
  </r>
  <r>
    <n v="281"/>
    <s v="N"/>
    <s v="N"/>
    <n v="2599328"/>
    <n v="1"/>
    <d v="2012-01-12T00:00:00"/>
    <d v="2013-08-12T00:00:00"/>
    <n v="2599328"/>
    <d v="2012-01-12T00:00:00"/>
    <d v="2013-08-12T00:00:00"/>
    <n v="50000"/>
    <x v="2"/>
    <m/>
    <s v="N"/>
    <s v="NONE"/>
    <s v="ACQUITTAL insane"/>
    <n v="579"/>
    <n v="579"/>
    <n v="0"/>
    <n v="0"/>
    <m/>
    <m/>
    <m/>
    <m/>
    <m/>
    <m/>
    <m/>
    <m/>
    <m/>
    <d v="1985-02-01T00:00:00"/>
    <s v="M"/>
    <s v="A"/>
    <s v="OTHER"/>
    <s v="ASIAN"/>
    <s v="208"/>
    <s v="ACQUITTAL insane"/>
    <n v="22"/>
    <s v="acq insane"/>
    <m/>
    <m/>
    <m/>
    <s v="MURDER"/>
    <m/>
    <s v="F1"/>
    <s v="MURD/MANSL"/>
    <m/>
    <m/>
    <m/>
    <m/>
    <m/>
    <m/>
    <m/>
    <m/>
    <m/>
    <s v="Appointed Attorney"/>
    <m/>
    <m/>
    <n v="579"/>
    <n v="579"/>
    <n v="579"/>
    <n v="26.887978142076502"/>
    <n v="0"/>
    <n v="0"/>
    <n v="0"/>
    <x v="0"/>
    <s v="Y"/>
    <m/>
    <s v=""/>
    <s v="Y"/>
    <x v="0"/>
    <x v="0"/>
    <s v="N"/>
    <n v="1"/>
    <n v="1"/>
    <n v="0"/>
    <n v="0"/>
    <n v="-579"/>
    <n v="0"/>
    <n v="579"/>
    <e v="#VALUE!"/>
    <n v="579"/>
    <n v="0"/>
    <m/>
    <m/>
    <s v="N"/>
    <m/>
    <s v=" &gt;1YRS&lt;2YRS"/>
    <n v="0"/>
    <x v="0"/>
  </r>
  <r>
    <n v="283"/>
    <s v="N"/>
    <s v="N"/>
    <n v="2599365"/>
    <n v="1"/>
    <d v="2012-01-12T00:00:00"/>
    <d v="2012-02-20T00:00:00"/>
    <n v="2599365"/>
    <d v="2012-01-13T00:00:00"/>
    <d v="2012-01-14T00:00:00"/>
    <n v="10000"/>
    <x v="3"/>
    <d v="2012-01-14T00:00:00"/>
    <s v="Y"/>
    <s v="SURETY"/>
    <s v="DISMISSED"/>
    <n v="2"/>
    <n v="40"/>
    <n v="0"/>
    <n v="0"/>
    <m/>
    <m/>
    <m/>
    <m/>
    <m/>
    <m/>
    <m/>
    <m/>
    <m/>
    <d v="1985-09-03T00:00:00"/>
    <s v="M"/>
    <s v="B"/>
    <s v="BLACK"/>
    <s v="NULL"/>
    <s v="185"/>
    <s v="DISMISSED"/>
    <n v="3"/>
    <s v="DISMISSED"/>
    <m/>
    <m/>
    <m/>
    <s v="BURGLARY OF HABITATION"/>
    <m/>
    <s v="F2"/>
    <s v="BURGLARY"/>
    <m/>
    <m/>
    <m/>
    <m/>
    <m/>
    <m/>
    <m/>
    <m/>
    <m/>
    <s v="Hired Attorney"/>
    <m/>
    <m/>
    <n v="2"/>
    <n v="39"/>
    <n v="40"/>
    <n v="26.303278688524589"/>
    <n v="0"/>
    <n v="-37"/>
    <s v="NO CONVICTION"/>
    <x v="1"/>
    <s v="Y"/>
    <m/>
    <s v="NO CONVICTION"/>
    <s v="Y"/>
    <x v="1"/>
    <x v="0"/>
    <s v="N"/>
    <n v="0.05"/>
    <n v="5.128205128205128E-2"/>
    <n v="1.2820512820512775E-3"/>
    <n v="0"/>
    <n v="-2"/>
    <n v="0"/>
    <n v="2"/>
    <e v="#VALUE!"/>
    <n v="2"/>
    <n v="0"/>
    <m/>
    <m/>
    <s v="N"/>
    <m/>
    <s v="0-10 DAYS"/>
    <n v="1"/>
    <x v="0"/>
  </r>
  <r>
    <n v="282"/>
    <s v="N"/>
    <s v="N"/>
    <n v="2599371"/>
    <n v="5"/>
    <d v="2012-01-12T00:00:00"/>
    <d v="2012-09-19T00:00:00"/>
    <n v="2599371"/>
    <d v="2012-07-03T00:00:00"/>
    <d v="2012-07-18T00:00:00"/>
    <n v="5000"/>
    <x v="4"/>
    <d v="2012-07-18T00:00:00"/>
    <s v="Y"/>
    <s v="SURETY"/>
    <s v="GUILTY PLEA - NO JURY"/>
    <n v="16"/>
    <n v="252"/>
    <n v="0"/>
    <n v="0"/>
    <m/>
    <m/>
    <m/>
    <m/>
    <m/>
    <m/>
    <m/>
    <m/>
    <m/>
    <d v="1990-07-09T00:00:00"/>
    <s v="M"/>
    <s v="B"/>
    <s v="BLACK"/>
    <s v="NULL"/>
    <s v="337"/>
    <s v="CONVICTED"/>
    <n v="7"/>
    <s v="STJ"/>
    <m/>
    <n v="8"/>
    <m/>
    <s v="FAIL TO REGISTER AS SEX OFFEND"/>
    <m/>
    <s v="FS"/>
    <s v="OTHER FEL"/>
    <m/>
    <m/>
    <m/>
    <m/>
    <m/>
    <m/>
    <m/>
    <m/>
    <m/>
    <s v="Appointed Attorney"/>
    <m/>
    <m/>
    <n v="16"/>
    <n v="79"/>
    <n v="252"/>
    <n v="21.467213114754099"/>
    <n v="0"/>
    <n v="-63"/>
    <s v="CONVICTION"/>
    <x v="1"/>
    <s v="Y"/>
    <m/>
    <s v="CONVICTION"/>
    <s v="Y"/>
    <x v="1"/>
    <x v="0"/>
    <s v="N"/>
    <n v="6.3492063492063489E-2"/>
    <n v="0.20253164556962025"/>
    <n v="0.13903958207755676"/>
    <n v="0"/>
    <n v="-16"/>
    <n v="0"/>
    <n v="16"/>
    <e v="#VALUE!"/>
    <n v="16"/>
    <n v="0"/>
    <m/>
    <m/>
    <s v="N"/>
    <m/>
    <s v="11-30 DAYS"/>
    <n v="2"/>
    <x v="0"/>
  </r>
  <r>
    <n v="285"/>
    <s v="N"/>
    <s v="N"/>
    <n v="2599376"/>
    <n v="6"/>
    <d v="2012-01-12T00:00:00"/>
    <d v="2012-01-13T00:00:00"/>
    <n v="2599376"/>
    <d v="2012-01-13T00:00:00"/>
    <d v="2012-01-13T00:00:00"/>
    <n v="30000"/>
    <x v="2"/>
    <d v="2012-01-14T00:00:00"/>
    <s v="Y"/>
    <s v="SURETY"/>
    <s v="GUILTY PLEA - NO JURY"/>
    <n v="1"/>
    <n v="2"/>
    <n v="0"/>
    <n v="0"/>
    <m/>
    <m/>
    <m/>
    <m/>
    <m/>
    <m/>
    <m/>
    <m/>
    <m/>
    <d v="1991-11-23T00:00:00"/>
    <s v="M"/>
    <s v="B"/>
    <s v="BLACK"/>
    <s v="NULL"/>
    <s v="338"/>
    <s v="CONVICTED"/>
    <n v="13"/>
    <s v="TDC"/>
    <n v="10"/>
    <m/>
    <m/>
    <s v="AGG SEX ASSLT CHILD-UNDER 14"/>
    <m/>
    <s v="F1"/>
    <s v="SEX ABUSE"/>
    <m/>
    <m/>
    <m/>
    <m/>
    <m/>
    <m/>
    <m/>
    <m/>
    <m/>
    <s v="Hired Attorney"/>
    <m/>
    <m/>
    <n v="1"/>
    <n v="1"/>
    <n v="2"/>
    <n v="20.095628415300546"/>
    <n v="0"/>
    <n v="0"/>
    <s v="CONVICTION"/>
    <x v="1"/>
    <s v="Y"/>
    <m/>
    <s v="CONVICTION"/>
    <s v="Y"/>
    <x v="1"/>
    <x v="0"/>
    <s v="N"/>
    <n v="0.5"/>
    <n v="1"/>
    <n v="0.5"/>
    <n v="0"/>
    <n v="-1"/>
    <n v="0"/>
    <n v="2"/>
    <e v="#VALUE!"/>
    <n v="2"/>
    <n v="1"/>
    <m/>
    <m/>
    <s v="N"/>
    <m/>
    <s v="0-10 DAYS"/>
    <n v="1"/>
    <x v="0"/>
  </r>
  <r>
    <n v="288"/>
    <s v="N"/>
    <s v="N"/>
    <n v="2599402"/>
    <n v="2"/>
    <d v="2012-01-12T00:00:00"/>
    <d v="2012-04-18T00:00:00"/>
    <n v="2599402"/>
    <d v="2012-01-12T00:00:00"/>
    <d v="2012-01-14T00:00:00"/>
    <n v="2000"/>
    <x v="5"/>
    <d v="2012-01-14T00:00:00"/>
    <s v="Y"/>
    <s v="SURETY"/>
    <s v="DEFERRED ADJUDICATION "/>
    <n v="3"/>
    <n v="98"/>
    <n v="0"/>
    <n v="0"/>
    <m/>
    <m/>
    <m/>
    <m/>
    <m/>
    <m/>
    <m/>
    <m/>
    <m/>
    <d v="1991-11-02T00:00:00"/>
    <s v="F"/>
    <s v="B"/>
    <s v="BLACK"/>
    <s v="NULL"/>
    <s v="351"/>
    <s v="DEFERRED"/>
    <n v="6"/>
    <s v="DEFERRED"/>
    <m/>
    <m/>
    <m/>
    <s v="THEFT $1500-20K"/>
    <m/>
    <s v="FS"/>
    <s v="THEFT"/>
    <m/>
    <m/>
    <m/>
    <m/>
    <m/>
    <m/>
    <m/>
    <m/>
    <m/>
    <s v="Public Defender"/>
    <m/>
    <m/>
    <n v="3"/>
    <n v="98"/>
    <n v="98"/>
    <n v="20.153005464480874"/>
    <n v="0"/>
    <n v="-95"/>
    <s v="DEFERRED"/>
    <x v="1"/>
    <s v="Y"/>
    <m/>
    <s v="DEFERRED"/>
    <s v="Y"/>
    <x v="1"/>
    <x v="0"/>
    <s v="N"/>
    <n v="3.0612244897959183E-2"/>
    <n v="3.0612244897959183E-2"/>
    <n v="0"/>
    <n v="0"/>
    <n v="-3"/>
    <n v="0"/>
    <n v="3"/>
    <e v="#VALUE!"/>
    <n v="3"/>
    <n v="0"/>
    <m/>
    <m/>
    <s v="N"/>
    <m/>
    <s v="0-10 DAYS"/>
    <n v="1"/>
    <x v="0"/>
  </r>
  <r>
    <n v="286"/>
    <s v="N"/>
    <s v="N"/>
    <n v="2599403"/>
    <n v="6"/>
    <d v="2012-01-12T00:00:00"/>
    <d v="2012-06-04T00:00:00"/>
    <n v="2599403"/>
    <d v="2012-01-17T00:00:00"/>
    <d v="2012-06-04T00:00:00"/>
    <n v="30000"/>
    <x v="2"/>
    <m/>
    <s v="N"/>
    <s v="NONE"/>
    <s v="GUILTY PLEA - NO JURY"/>
    <n v="140"/>
    <n v="145"/>
    <n v="0"/>
    <n v="0"/>
    <m/>
    <m/>
    <m/>
    <m/>
    <m/>
    <m/>
    <m/>
    <s v="S"/>
    <m/>
    <d v="1969-01-23T00:00:00"/>
    <s v="M"/>
    <s v="H"/>
    <s v="HISPANIC"/>
    <s v="NULL"/>
    <s v="185"/>
    <s v="CONVICTED"/>
    <n v="7"/>
    <s v="TDC"/>
    <n v="2"/>
    <m/>
    <m/>
    <s v="INDECENCY CHILD-TB"/>
    <m/>
    <s v="F2"/>
    <s v="SEX ABUSE"/>
    <m/>
    <m/>
    <m/>
    <m/>
    <m/>
    <m/>
    <m/>
    <m/>
    <m/>
    <s v="Appointed Attorney"/>
    <m/>
    <m/>
    <n v="140"/>
    <n v="140"/>
    <n v="145"/>
    <n v="42.879781420765028"/>
    <n v="0"/>
    <n v="0"/>
    <s v="CONVICTION"/>
    <x v="0"/>
    <s v="N"/>
    <m/>
    <s v="CONVICTION"/>
    <s v="Y"/>
    <x v="0"/>
    <x v="0"/>
    <s v="N"/>
    <n v="0.96551724137931039"/>
    <n v="1"/>
    <n v="3.4482758620689613E-2"/>
    <n v="0"/>
    <n v="-140"/>
    <n v="0"/>
    <n v="140"/>
    <e v="#VALUE!"/>
    <n v="140"/>
    <n v="0"/>
    <m/>
    <m/>
    <s v="N"/>
    <m/>
    <s v="121-365 DAYS"/>
    <n v="6"/>
    <x v="0"/>
  </r>
  <r>
    <n v="290"/>
    <s v="N"/>
    <s v="N"/>
    <n v="2599410"/>
    <n v="1"/>
    <d v="2012-01-12T00:00:00"/>
    <d v="2013-10-15T00:00:00"/>
    <n v="2599410"/>
    <d v="2012-01-12T00:00:00"/>
    <d v="2013-10-15T00:00:00"/>
    <n v="35000"/>
    <x v="2"/>
    <m/>
    <s v="N"/>
    <s v="NONE"/>
    <s v="DISMISSED"/>
    <n v="643"/>
    <n v="643"/>
    <n v="0"/>
    <n v="0"/>
    <m/>
    <m/>
    <m/>
    <m/>
    <m/>
    <m/>
    <m/>
    <s v="S"/>
    <m/>
    <d v="1962-04-23T00:00:00"/>
    <s v="M"/>
    <s v="H"/>
    <s v="HISPANIC"/>
    <s v="NULL"/>
    <s v="263"/>
    <s v="DISMISSED"/>
    <n v="14"/>
    <s v="DISMISSED"/>
    <m/>
    <m/>
    <m/>
    <s v="INDECENCY CHILD-TG"/>
    <m/>
    <s v="F2"/>
    <s v="SEX ABUSE"/>
    <m/>
    <m/>
    <m/>
    <m/>
    <m/>
    <m/>
    <m/>
    <m/>
    <m/>
    <s v="Hired Attorney"/>
    <m/>
    <m/>
    <n v="643"/>
    <n v="643"/>
    <n v="643"/>
    <n v="49.620218579234972"/>
    <n v="0"/>
    <n v="0"/>
    <s v="NO CONVICTION"/>
    <x v="0"/>
    <s v="Y"/>
    <m/>
    <s v="NO CONVICTION"/>
    <s v="Y"/>
    <x v="0"/>
    <x v="0"/>
    <s v="N"/>
    <n v="1"/>
    <n v="1"/>
    <n v="0"/>
    <n v="0"/>
    <n v="-643"/>
    <n v="0"/>
    <n v="643"/>
    <e v="#VALUE!"/>
    <n v="643"/>
    <n v="0"/>
    <m/>
    <m/>
    <s v="N"/>
    <m/>
    <s v=" &gt;1YRS&lt;2YRS"/>
    <n v="0"/>
    <x v="0"/>
  </r>
  <r>
    <n v="299"/>
    <s v="N"/>
    <s v="N"/>
    <n v="2599435"/>
    <n v="2"/>
    <d v="2012-01-13T00:00:00"/>
    <d v="2012-02-06T00:00:00"/>
    <n v="2599435"/>
    <d v="2012-01-13T00:00:00"/>
    <d v="2012-02-06T00:00:00"/>
    <n v="5000"/>
    <x v="4"/>
    <m/>
    <s v="N"/>
    <s v="NONE"/>
    <s v="DEFERRED ADJUDICATION "/>
    <n v="25"/>
    <n v="25"/>
    <n v="0"/>
    <n v="0"/>
    <m/>
    <m/>
    <m/>
    <m/>
    <m/>
    <m/>
    <m/>
    <m/>
    <m/>
    <d v="1989-11-02T00:00:00"/>
    <s v="M"/>
    <s v="B"/>
    <s v="BLACK"/>
    <s v="NULL"/>
    <s v="351"/>
    <s v="DEFERRED"/>
    <n v="2"/>
    <s v="DEFERRED"/>
    <m/>
    <m/>
    <m/>
    <s v="TAMPER/FABRICATE EVIDENCE"/>
    <m/>
    <s v="F3"/>
    <s v="OTHER FEL"/>
    <m/>
    <m/>
    <m/>
    <m/>
    <m/>
    <m/>
    <m/>
    <m/>
    <m/>
    <s v="Appointed Attorney"/>
    <m/>
    <m/>
    <n v="25"/>
    <n v="25"/>
    <n v="25"/>
    <n v="22.150273224043715"/>
    <n v="0"/>
    <n v="0"/>
    <s v="DEFERRED"/>
    <x v="0"/>
    <s v="N"/>
    <m/>
    <s v="DEFERRED"/>
    <s v="Y"/>
    <x v="0"/>
    <x v="0"/>
    <s v="N"/>
    <n v="1"/>
    <n v="1"/>
    <n v="0"/>
    <n v="0"/>
    <n v="-25"/>
    <n v="0"/>
    <n v="25"/>
    <e v="#VALUE!"/>
    <n v="25"/>
    <n v="0"/>
    <m/>
    <m/>
    <s v="N"/>
    <m/>
    <s v="11-30 DAYS"/>
    <n v="2"/>
    <x v="0"/>
  </r>
  <r>
    <n v="303"/>
    <s v="Y"/>
    <s v="N"/>
    <n v="2599440"/>
    <n v="4"/>
    <d v="2012-01-13T00:00:00"/>
    <d v="2013-04-22T00:00:00"/>
    <n v="2599440"/>
    <d v="2012-01-13T00:00:00"/>
    <d v="2012-01-17T00:00:00"/>
    <n v="5000"/>
    <x v="4"/>
    <d v="2012-01-17T00:00:00"/>
    <s v="Y"/>
    <s v="SURETY"/>
    <s v="GUILTY PLEA - NO JURY"/>
    <n v="5"/>
    <n v="466"/>
    <n v="0"/>
    <n v="0"/>
    <m/>
    <m/>
    <m/>
    <m/>
    <m/>
    <m/>
    <m/>
    <m/>
    <m/>
    <d v="1986-07-19T00:00:00"/>
    <s v="M"/>
    <s v="W"/>
    <s v="WHITE"/>
    <s v="NULL"/>
    <s v="182"/>
    <s v="CONVICTED"/>
    <n v="12"/>
    <s v="HCJ"/>
    <m/>
    <m/>
    <n v="120"/>
    <s v="POSS CS PG 2 &lt;1GRAM"/>
    <m/>
    <s v="FS"/>
    <s v="POSS DRUG"/>
    <m/>
    <m/>
    <m/>
    <m/>
    <m/>
    <m/>
    <m/>
    <m/>
    <m/>
    <s v="Hired Attorney"/>
    <s v="Y fugitve fel drug 7/25/12"/>
    <m/>
    <n v="5"/>
    <n v="466"/>
    <n v="466"/>
    <n v="25.434426229508198"/>
    <n v="0"/>
    <n v="-461"/>
    <s v="CONVICTION"/>
    <x v="1"/>
    <s v="Y"/>
    <m/>
    <s v="CONVICTION"/>
    <s v="Y"/>
    <x v="1"/>
    <x v="0"/>
    <s v="N"/>
    <n v="1.0729613733905579E-2"/>
    <n v="1.0729613733905579E-2"/>
    <n v="0"/>
    <n v="0"/>
    <n v="-5"/>
    <n v="0"/>
    <n v="5"/>
    <e v="#VALUE!"/>
    <n v="5"/>
    <n v="0"/>
    <m/>
    <m/>
    <s v="N"/>
    <m/>
    <s v="0-10 DAYS"/>
    <n v="1"/>
    <x v="0"/>
  </r>
  <r>
    <n v="306"/>
    <s v="N"/>
    <s v="N"/>
    <n v="2599444"/>
    <n v="2"/>
    <d v="2012-01-13T00:00:00"/>
    <d v="2012-09-11T00:00:00"/>
    <n v="2599444"/>
    <d v="2012-01-13T00:00:00"/>
    <d v="2012-01-14T00:00:00"/>
    <n v="22000"/>
    <x v="2"/>
    <d v="2012-01-14T00:00:00"/>
    <s v="Y"/>
    <s v="SURETY"/>
    <s v="DEFERRED ADJUDICATION "/>
    <n v="2"/>
    <n v="243"/>
    <n v="0"/>
    <n v="0"/>
    <m/>
    <m/>
    <m/>
    <m/>
    <m/>
    <m/>
    <m/>
    <m/>
    <m/>
    <d v="1993-12-31T00:00:00"/>
    <s v="M"/>
    <s v="W"/>
    <s v="WHITE"/>
    <s v="NULL"/>
    <s v="232"/>
    <s v="DEFERRED"/>
    <n v="10"/>
    <s v="DEFERRED"/>
    <m/>
    <m/>
    <m/>
    <s v="POSS W/INT DEL CS 4G &lt;200 GRAM"/>
    <m/>
    <s v="F2"/>
    <s v="SALE DRUG"/>
    <m/>
    <m/>
    <m/>
    <m/>
    <m/>
    <m/>
    <m/>
    <m/>
    <m/>
    <s v="Hired Attorney"/>
    <m/>
    <m/>
    <n v="2"/>
    <n v="243"/>
    <n v="243"/>
    <n v="17.997267759562842"/>
    <n v="0"/>
    <n v="-241"/>
    <s v="DEFERRED"/>
    <x v="1"/>
    <s v="Y"/>
    <m/>
    <s v="DEFERRED"/>
    <s v="Y"/>
    <x v="1"/>
    <x v="0"/>
    <s v="N"/>
    <n v="8.23045267489712E-3"/>
    <n v="8.23045267489712E-3"/>
    <n v="0"/>
    <n v="0"/>
    <n v="-2"/>
    <n v="0"/>
    <n v="2"/>
    <e v="#VALUE!"/>
    <n v="2"/>
    <n v="0"/>
    <m/>
    <m/>
    <s v="N"/>
    <m/>
    <s v="0-10 DAYS"/>
    <n v="1"/>
    <x v="0"/>
  </r>
  <r>
    <n v="643"/>
    <s v="N"/>
    <s v="N"/>
    <n v="2599477"/>
    <n v="4"/>
    <d v="2012-01-26T00:00:00"/>
    <d v="2012-01-27T00:00:00"/>
    <n v="2599477"/>
    <d v="2012-01-26T00:00:00"/>
    <d v="2012-01-27T00:00:00"/>
    <n v="5000"/>
    <x v="4"/>
    <m/>
    <s v="N"/>
    <s v="NONE"/>
    <s v="GUILTY PLEA - NO JURY"/>
    <n v="2"/>
    <n v="2"/>
    <n v="0"/>
    <n v="1"/>
    <m/>
    <m/>
    <m/>
    <m/>
    <m/>
    <m/>
    <m/>
    <s v="S"/>
    <m/>
    <d v="1993-09-17T00:00:00"/>
    <s v="M"/>
    <s v="H"/>
    <s v="HISPANIC"/>
    <s v="NULL"/>
    <s v="185"/>
    <s v="CONVICTED"/>
    <n v="1"/>
    <s v="HCJ"/>
    <m/>
    <m/>
    <n v="90"/>
    <s v="POSS CS PG 1 &lt;1G"/>
    <m/>
    <s v="FS"/>
    <s v="POSS DRUG"/>
    <m/>
    <m/>
    <m/>
    <m/>
    <m/>
    <m/>
    <m/>
    <m/>
    <m/>
    <s v="Appointed Attorney"/>
    <m/>
    <m/>
    <n v="2"/>
    <n v="2"/>
    <n v="2"/>
    <n v="18.319672131147541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313"/>
    <s v="N"/>
    <s v="N"/>
    <n v="2599491"/>
    <n v="2"/>
    <d v="2012-01-13T00:00:00"/>
    <d v="2012-05-14T00:00:00"/>
    <n v="2599491"/>
    <d v="2012-01-13T00:00:00"/>
    <d v="2012-01-14T00:00:00"/>
    <n v="2000"/>
    <x v="5"/>
    <d v="2012-01-14T00:00:00"/>
    <s v="Y"/>
    <s v="SURETY"/>
    <s v="DEFERRED ADJUDICATION "/>
    <n v="2"/>
    <n v="123"/>
    <n v="0"/>
    <n v="0"/>
    <m/>
    <m/>
    <m/>
    <m/>
    <m/>
    <m/>
    <m/>
    <s v="S"/>
    <m/>
    <d v="1973-09-05T00:00:00"/>
    <s v="M"/>
    <s v="H"/>
    <s v="HISPANIC"/>
    <s v="NULL"/>
    <s v="185"/>
    <s v="DEFERRED"/>
    <n v="7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123"/>
    <n v="123"/>
    <n v="38.275956284153004"/>
    <n v="0"/>
    <n v="-121"/>
    <s v="DEFERRED"/>
    <x v="1"/>
    <s v="Y"/>
    <m/>
    <s v="DEFERRED"/>
    <s v="Y"/>
    <x v="1"/>
    <x v="0"/>
    <s v="N"/>
    <n v="1.6260162601626018E-2"/>
    <n v="1.6260162601626018E-2"/>
    <n v="0"/>
    <n v="0"/>
    <n v="-2"/>
    <n v="0"/>
    <n v="2"/>
    <e v="#VALUE!"/>
    <n v="2"/>
    <n v="0"/>
    <m/>
    <m/>
    <s v="N"/>
    <m/>
    <s v="0-10 DAYS"/>
    <n v="1"/>
    <x v="0"/>
  </r>
  <r>
    <n v="333"/>
    <s v="N"/>
    <s v="N"/>
    <n v="2599577"/>
    <n v="1"/>
    <d v="2012-01-13T00:00:00"/>
    <d v="2012-05-02T00:00:00"/>
    <n v="2599577"/>
    <s v="NOT BOOKED"/>
    <s v="NOT BOOKED"/>
    <n v="20000"/>
    <x v="0"/>
    <d v="2012-01-14T00:00:00"/>
    <s v="Y"/>
    <s v="SURETY"/>
    <s v="DISMISSED"/>
    <n v="0"/>
    <n v="111"/>
    <n v="0"/>
    <n v="0"/>
    <m/>
    <m/>
    <m/>
    <m/>
    <m/>
    <m/>
    <m/>
    <m/>
    <m/>
    <d v="1992-06-18T00:00:00"/>
    <s v="M"/>
    <s v="W"/>
    <s v="WHITE"/>
    <s v="NULL"/>
    <s v="232"/>
    <s v="DISMISSED"/>
    <n v="5"/>
    <s v="DISMISSED"/>
    <m/>
    <m/>
    <m/>
    <s v="POSS W/INT DEL CS PG1&gt;=4 &lt;200"/>
    <m/>
    <s v="F1"/>
    <s v="SALE DRUG"/>
    <m/>
    <m/>
    <m/>
    <m/>
    <m/>
    <m/>
    <m/>
    <m/>
    <m/>
    <s v="Hired Attorney"/>
    <m/>
    <m/>
    <n v="0"/>
    <n v="0"/>
    <n v="111"/>
    <n v="19.530054644808743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335"/>
    <s v="N"/>
    <s v="N"/>
    <n v="2599591"/>
    <n v="6"/>
    <d v="2012-01-14T00:00:00"/>
    <d v="2013-01-07T00:00:00"/>
    <n v="2599591"/>
    <d v="2012-01-14T00:00:00"/>
    <d v="2012-01-18T00:00:00"/>
    <n v="50000"/>
    <x v="2"/>
    <d v="2012-01-18T00:00:00"/>
    <s v="Y"/>
    <s v="SURETY"/>
    <s v="GUILTY PLEA - NO JURY"/>
    <n v="5"/>
    <n v="360"/>
    <n v="0"/>
    <n v="0"/>
    <m/>
    <m/>
    <m/>
    <m/>
    <m/>
    <m/>
    <m/>
    <m/>
    <m/>
    <d v="1988-02-29T00:00:00"/>
    <s v="M"/>
    <s v="W"/>
    <s v="WHITE"/>
    <s v="NULL"/>
    <s v="337"/>
    <s v="DEFERRED"/>
    <n v="9"/>
    <s v="TDC"/>
    <n v="3"/>
    <m/>
    <m/>
    <s v="PROMOTE CHILD PORNOGRAPHY"/>
    <m/>
    <s v="F2"/>
    <s v="OTHER FEL"/>
    <m/>
    <m/>
    <m/>
    <m/>
    <m/>
    <m/>
    <m/>
    <m/>
    <m/>
    <s v="Hired Attorney"/>
    <m/>
    <m/>
    <n v="5"/>
    <n v="360"/>
    <n v="360"/>
    <n v="23.825136612021858"/>
    <n v="0"/>
    <n v="-355"/>
    <s v="CONVICTION"/>
    <x v="1"/>
    <s v="Y"/>
    <m/>
    <s v="DEFERRED"/>
    <s v="Y"/>
    <x v="1"/>
    <x v="0"/>
    <s v="N"/>
    <n v="1.3888888888888888E-2"/>
    <n v="1.3888888888888888E-2"/>
    <n v="0"/>
    <n v="0"/>
    <n v="-5"/>
    <n v="0"/>
    <n v="5"/>
    <e v="#VALUE!"/>
    <n v="5"/>
    <n v="0"/>
    <m/>
    <m/>
    <s v="N"/>
    <m/>
    <s v="0-10 DAYS"/>
    <n v="1"/>
    <x v="0"/>
  </r>
  <r>
    <n v="339"/>
    <s v="N"/>
    <s v="N"/>
    <n v="2599602"/>
    <n v="2"/>
    <d v="2012-01-14T00:00:00"/>
    <d v="2012-10-15T00:00:00"/>
    <n v="2599602"/>
    <s v="NOT BOOKED"/>
    <s v="NOT BOOKED"/>
    <n v="2000"/>
    <x v="5"/>
    <d v="2012-01-14T00:00:00"/>
    <s v="Y"/>
    <s v="SURETY"/>
    <s v="DEFERRED ADJUDICATION "/>
    <n v="0"/>
    <n v="276"/>
    <n v="0"/>
    <n v="0"/>
    <m/>
    <m/>
    <m/>
    <m/>
    <m/>
    <m/>
    <m/>
    <s v="S"/>
    <m/>
    <d v="1992-02-16T00:00:00"/>
    <s v="M"/>
    <s v="H"/>
    <s v="HISPANIC"/>
    <s v="NULL"/>
    <s v="208"/>
    <s v="DEFERRED"/>
    <n v="9"/>
    <s v="DEFERR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276"/>
    <n v="19.868852459016395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344"/>
    <s v="N"/>
    <s v="N"/>
    <n v="2599631"/>
    <n v="6"/>
    <d v="2012-01-14T00:00:00"/>
    <d v="2012-10-17T00:00:00"/>
    <n v="2599631"/>
    <d v="2012-01-15T00:00:00"/>
    <d v="2012-01-22T00:00:00"/>
    <n v="30000"/>
    <x v="2"/>
    <d v="2012-01-22T00:00:00"/>
    <s v="Y"/>
    <s v="SURETY"/>
    <s v="GUILTY PLEA - NO JURY"/>
    <n v="8"/>
    <n v="278"/>
    <n v="0"/>
    <n v="0"/>
    <m/>
    <m/>
    <m/>
    <m/>
    <m/>
    <m/>
    <m/>
    <m/>
    <m/>
    <d v="1994-03-15T00:00:00"/>
    <s v="M"/>
    <s v="B"/>
    <s v="BLACK"/>
    <s v="NULL"/>
    <s v="351"/>
    <s v="CONVICTED"/>
    <n v="10"/>
    <s v="TDC"/>
    <n v="12"/>
    <m/>
    <m/>
    <s v="AGG ROBBERY-DEADLY WPN"/>
    <m/>
    <s v="F1"/>
    <s v="ROBBERY"/>
    <m/>
    <m/>
    <m/>
    <m/>
    <m/>
    <m/>
    <m/>
    <m/>
    <m/>
    <s v="Appointed Attorney"/>
    <m/>
    <m/>
    <n v="8"/>
    <n v="277"/>
    <n v="278"/>
    <n v="17.797814207650273"/>
    <n v="0"/>
    <n v="-269"/>
    <s v="CONVICTION"/>
    <x v="1"/>
    <s v="Y"/>
    <m/>
    <s v="CONVICTION"/>
    <s v="Y"/>
    <x v="1"/>
    <x v="0"/>
    <s v="N"/>
    <n v="2.8776978417266189E-2"/>
    <n v="2.8880866425992781E-2"/>
    <n v="1.0388800872659226E-4"/>
    <n v="0"/>
    <n v="-8"/>
    <n v="0"/>
    <n v="8"/>
    <e v="#VALUE!"/>
    <n v="8"/>
    <n v="0"/>
    <m/>
    <m/>
    <s v="N"/>
    <m/>
    <s v="0-10 DAYS"/>
    <n v="1"/>
    <x v="0"/>
  </r>
  <r>
    <n v="346"/>
    <s v="N"/>
    <s v="N"/>
    <n v="2599645"/>
    <n v="2"/>
    <d v="2012-01-14T00:00:00"/>
    <d v="2012-02-09T00:00:00"/>
    <n v="2599645"/>
    <d v="2012-01-14T00:00:00"/>
    <d v="2012-02-09T00:00:00"/>
    <n v="10000"/>
    <x v="3"/>
    <m/>
    <s v="N"/>
    <s v="NONE"/>
    <s v="DEFERRED ADJUDICATION "/>
    <n v="27"/>
    <n v="27"/>
    <n v="0"/>
    <n v="0"/>
    <m/>
    <m/>
    <m/>
    <m/>
    <m/>
    <m/>
    <m/>
    <s v="S"/>
    <m/>
    <d v="1994-09-12T00:00:00"/>
    <s v="M"/>
    <s v="H"/>
    <s v="HISPANIC"/>
    <s v="NULL"/>
    <s v="179"/>
    <s v="DEFERRED"/>
    <n v="2"/>
    <s v="DEFERRED"/>
    <m/>
    <m/>
    <m/>
    <s v="BURGLARY OF HABITATION"/>
    <m/>
    <s v="F2"/>
    <s v="BURGLARY"/>
    <m/>
    <m/>
    <m/>
    <m/>
    <m/>
    <m/>
    <m/>
    <m/>
    <m/>
    <s v="Appointed Attorney"/>
    <m/>
    <m/>
    <n v="27"/>
    <n v="27"/>
    <n v="27"/>
    <n v="17.303278688524589"/>
    <n v="0"/>
    <n v="0"/>
    <s v="DEFERRED"/>
    <x v="0"/>
    <s v="N"/>
    <m/>
    <s v="DEFERRED"/>
    <s v="Y"/>
    <x v="0"/>
    <x v="0"/>
    <s v="N"/>
    <n v="1"/>
    <n v="1"/>
    <n v="0"/>
    <n v="0"/>
    <n v="-27"/>
    <n v="0"/>
    <n v="27"/>
    <e v="#VALUE!"/>
    <n v="27"/>
    <n v="0"/>
    <m/>
    <m/>
    <s v="N"/>
    <m/>
    <s v="11-30 DAYS"/>
    <n v="2"/>
    <x v="0"/>
  </r>
  <r>
    <n v="631"/>
    <s v="N"/>
    <s v="N"/>
    <n v="2599648"/>
    <n v="5"/>
    <d v="2012-01-25T00:00:00"/>
    <d v="2013-02-07T00:00:00"/>
    <n v="2599648"/>
    <d v="2012-01-25T00:00:00"/>
    <d v="2013-02-07T00:00:00"/>
    <n v="10000"/>
    <x v="3"/>
    <m/>
    <s v="N"/>
    <s v="NONE"/>
    <s v="GUILTY PLEA - NO JURY"/>
    <n v="380"/>
    <n v="380"/>
    <n v="0"/>
    <n v="1"/>
    <m/>
    <m/>
    <m/>
    <m/>
    <m/>
    <m/>
    <m/>
    <m/>
    <m/>
    <d v="1985-03-04T00:00:00"/>
    <s v="M"/>
    <s v="W"/>
    <s v="WHITE"/>
    <s v="NULL"/>
    <s v="184"/>
    <s v="CONVICTED"/>
    <n v="18"/>
    <s v="STJ"/>
    <m/>
    <n v="6"/>
    <m/>
    <s v="ENGAGING IN ORG CRIM ACTIVITY"/>
    <m/>
    <s v="F3"/>
    <s v="OTHER FEL"/>
    <m/>
    <m/>
    <m/>
    <m/>
    <m/>
    <m/>
    <m/>
    <m/>
    <m/>
    <s v="Hired Attorney"/>
    <m/>
    <m/>
    <n v="380"/>
    <n v="380"/>
    <n v="380"/>
    <n v="26.838797814207652"/>
    <n v="0"/>
    <n v="0"/>
    <s v="CONVICTION"/>
    <x v="0"/>
    <s v="N"/>
    <m/>
    <s v="CONVICTION"/>
    <s v="Y"/>
    <x v="0"/>
    <x v="0"/>
    <s v="N"/>
    <n v="1"/>
    <n v="1"/>
    <n v="0"/>
    <n v="0"/>
    <n v="-380"/>
    <n v="0"/>
    <n v="380"/>
    <e v="#VALUE!"/>
    <n v="380"/>
    <n v="0"/>
    <m/>
    <m/>
    <s v="Y"/>
    <m/>
    <s v=" &gt;1YRS&lt;2YRS"/>
    <n v="0"/>
    <x v="0"/>
  </r>
  <r>
    <n v="3001"/>
    <s v="N"/>
    <s v="Y"/>
    <n v="2599652"/>
    <n v="1"/>
    <d v="2012-04-20T00:00:00"/>
    <d v="2012-10-01T00:00:00"/>
    <n v="2599652"/>
    <d v="2012-08-06T00:00:00"/>
    <d v="2012-10-01T00:00:00"/>
    <n v="20000"/>
    <x v="0"/>
    <d v="2012-04-26T00:00:00"/>
    <s v="Y"/>
    <s v="SURETYPTRc"/>
    <s v="DEFERRED ADJUDICATION "/>
    <n v="77"/>
    <n v="165"/>
    <n v="0"/>
    <n v="1"/>
    <m/>
    <m/>
    <m/>
    <m/>
    <m/>
    <m/>
    <m/>
    <m/>
    <m/>
    <d v="1994-04-25T00:00:00"/>
    <s v="M"/>
    <s v="B"/>
    <s v="BLACK"/>
    <s v="NULL"/>
    <s v="183"/>
    <s v="DISMISSED"/>
    <n v="8"/>
    <s v="DISMISSED"/>
    <m/>
    <m/>
    <m/>
    <s v="BURGLARY OF HABITATION"/>
    <m/>
    <s v="F2"/>
    <s v="BURGLARY"/>
    <s v="10/1/12  def adj on robbery"/>
    <s v="revoked 7/31/12"/>
    <m/>
    <m/>
    <s v="Y"/>
    <m/>
    <m/>
    <m/>
    <m/>
    <s v="Hired Attorney"/>
    <m/>
    <m/>
    <n v="77"/>
    <n v="57"/>
    <n v="165"/>
    <n v="17.950819672131146"/>
    <n v="0"/>
    <n v="0"/>
    <s v="NO CONVICTION"/>
    <x v="1"/>
    <s v="Y"/>
    <m/>
    <s v="NO CONVICTION"/>
    <s v="Y"/>
    <x v="0"/>
    <x v="0"/>
    <s v="N"/>
    <n v="0.46666666666666667"/>
    <n v="1"/>
    <n v="0.53333333333333333"/>
    <n v="0"/>
    <n v="-57"/>
    <n v="20"/>
    <n v="57"/>
    <n v="77"/>
    <n v="57"/>
    <n v="0"/>
    <m/>
    <m/>
    <s v="Y"/>
    <m/>
    <s v="61-90 DAYS"/>
    <n v="4"/>
    <x v="0"/>
  </r>
  <r>
    <n v="366"/>
    <s v="N"/>
    <s v="Y"/>
    <n v="2599741"/>
    <n v="4"/>
    <d v="2012-01-15T00:00:00"/>
    <d v="2012-08-13T00:00:00"/>
    <n v="2599741"/>
    <d v="2012-01-16T00:00:00"/>
    <d v="2012-01-21T00:00:00"/>
    <n v="30000"/>
    <x v="2"/>
    <d v="2012-01-21T00:00:00"/>
    <s v="Y"/>
    <s v="SURETY"/>
    <s v="GUILTY PLEA - NO JURY"/>
    <n v="59"/>
    <n v="212"/>
    <n v="0"/>
    <n v="0"/>
    <m/>
    <m/>
    <m/>
    <m/>
    <m/>
    <m/>
    <m/>
    <s v="S"/>
    <m/>
    <d v="1992-06-02T00:00:00"/>
    <s v="M"/>
    <s v="H"/>
    <s v="HISPANIC"/>
    <s v="NULL"/>
    <s v="263"/>
    <s v="CONVICTED"/>
    <n v="11"/>
    <s v="HCJ"/>
    <m/>
    <m/>
    <n v="100"/>
    <s v="AGG ROBBERY-DEADLY WPN"/>
    <m/>
    <s v="F1"/>
    <s v="ROBBERY"/>
    <m/>
    <s v="surety RV 6/21/12"/>
    <m/>
    <m/>
    <s v="Y"/>
    <m/>
    <m/>
    <m/>
    <m/>
    <s v="Appointed Attorney"/>
    <m/>
    <m/>
    <n v="59"/>
    <n v="211"/>
    <n v="212"/>
    <n v="19.579234972677597"/>
    <n v="0"/>
    <n v="-205"/>
    <s v="CONVICTION"/>
    <x v="1"/>
    <s v="Y"/>
    <m/>
    <s v="CONVICTION"/>
    <s v="Y"/>
    <x v="0"/>
    <x v="0"/>
    <s v="N"/>
    <n v="0.27830188679245282"/>
    <n v="2.843601895734597E-2"/>
    <n v="-0.24986586783510686"/>
    <n v="0"/>
    <n v="-6"/>
    <n v="53"/>
    <n v="211"/>
    <n v="59"/>
    <n v="211"/>
    <n v="205"/>
    <m/>
    <m/>
    <s v="N"/>
    <m/>
    <s v="31-60 DAYS"/>
    <n v="3"/>
    <x v="0"/>
  </r>
  <r>
    <n v="371"/>
    <s v="N"/>
    <s v="N"/>
    <n v="2599785"/>
    <n v="4"/>
    <d v="2012-01-16T00:00:00"/>
    <d v="2012-01-18T00:00:00"/>
    <n v="2599785"/>
    <d v="2012-01-16T00:00:00"/>
    <d v="2012-01-18T00:00:00"/>
    <n v="35000"/>
    <x v="2"/>
    <m/>
    <s v="N"/>
    <s v="NONE"/>
    <s v="GUILTY PLEA - NO JURY"/>
    <n v="3"/>
    <n v="3"/>
    <n v="0"/>
    <n v="0"/>
    <m/>
    <m/>
    <m/>
    <m/>
    <m/>
    <m/>
    <m/>
    <m/>
    <m/>
    <d v="1984-01-19T00:00:00"/>
    <s v="M"/>
    <s v="H"/>
    <s v="HISPANIC"/>
    <s v="HISPANIC"/>
    <s v="208"/>
    <s v="CONVICTED"/>
    <n v="1"/>
    <s v="HCJ"/>
    <m/>
    <m/>
    <n v="30"/>
    <s v="POSS CS PG 1 &lt;1G"/>
    <m/>
    <s v="FS"/>
    <s v="POSS DRUG"/>
    <m/>
    <m/>
    <m/>
    <m/>
    <m/>
    <m/>
    <m/>
    <m/>
    <m/>
    <s v="Appointed Attorney"/>
    <m/>
    <m/>
    <n v="3"/>
    <n v="3"/>
    <n v="3"/>
    <n v="27.934426229508198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373"/>
    <s v="N"/>
    <s v="N"/>
    <n v="2599813"/>
    <n v="2"/>
    <d v="2012-01-16T00:00:00"/>
    <d v="2012-03-23T00:00:00"/>
    <n v="2599813"/>
    <d v="2012-01-16T00:00:00"/>
    <d v="2012-03-23T00:00:00"/>
    <n v="32000"/>
    <x v="2"/>
    <m/>
    <s v="N"/>
    <s v="NONE"/>
    <s v="DEFERRED ADJUDICATION "/>
    <n v="68"/>
    <n v="68"/>
    <n v="0"/>
    <n v="0"/>
    <m/>
    <m/>
    <m/>
    <m/>
    <m/>
    <m/>
    <m/>
    <m/>
    <m/>
    <d v="1993-09-24T00:00:00"/>
    <s v="M"/>
    <s v="B"/>
    <s v="BLACK"/>
    <s v="NULL"/>
    <s v="177"/>
    <s v="DEFERRED"/>
    <n v="3"/>
    <s v="DEFERRED"/>
    <m/>
    <m/>
    <m/>
    <s v="AGG ROBBERY-DEADLY WPN"/>
    <m/>
    <s v="F1"/>
    <s v="ROBBERY"/>
    <m/>
    <m/>
    <m/>
    <m/>
    <m/>
    <m/>
    <m/>
    <m/>
    <m/>
    <s v="Appointed Attorney"/>
    <m/>
    <m/>
    <n v="68"/>
    <n v="68"/>
    <n v="68"/>
    <n v="18.273224043715846"/>
    <n v="0"/>
    <n v="0"/>
    <s v="DEFERRED"/>
    <x v="0"/>
    <s v="N"/>
    <m/>
    <s v="DEFERRED"/>
    <s v="Y"/>
    <x v="0"/>
    <x v="0"/>
    <s v="N"/>
    <n v="1"/>
    <n v="1"/>
    <n v="0"/>
    <n v="0"/>
    <n v="-68"/>
    <n v="0"/>
    <n v="68"/>
    <e v="#VALUE!"/>
    <n v="68"/>
    <n v="0"/>
    <m/>
    <m/>
    <s v="N"/>
    <m/>
    <s v="61-90 DAYS"/>
    <n v="4"/>
    <x v="0"/>
  </r>
  <r>
    <n v="383"/>
    <s v="N"/>
    <s v="N"/>
    <n v="2599840"/>
    <n v="5"/>
    <d v="2012-01-16T00:00:00"/>
    <d v="2012-07-13T00:00:00"/>
    <n v="2599840"/>
    <d v="2012-01-17T00:00:00"/>
    <d v="2012-07-13T00:00:00"/>
    <n v="15000"/>
    <x v="0"/>
    <m/>
    <s v="N"/>
    <s v="NONE"/>
    <s v="GUILTY PLEA - NO JURY"/>
    <n v="179"/>
    <n v="180"/>
    <n v="0"/>
    <n v="0"/>
    <m/>
    <m/>
    <m/>
    <m/>
    <m/>
    <m/>
    <m/>
    <s v="S"/>
    <m/>
    <d v="1980-02-18T00:00:00"/>
    <s v="M"/>
    <s v="H"/>
    <s v="HISPANIC"/>
    <s v="NULL"/>
    <s v="208"/>
    <s v="CONVICTED"/>
    <n v="7"/>
    <s v="STJ"/>
    <m/>
    <n v="8"/>
    <m/>
    <s v="THEFT UNDER $1500 - 3RD OFF."/>
    <m/>
    <s v="FS"/>
    <s v="THEFT"/>
    <m/>
    <m/>
    <m/>
    <m/>
    <m/>
    <m/>
    <m/>
    <m/>
    <m/>
    <s v="Appointed Attorney"/>
    <m/>
    <m/>
    <n v="179"/>
    <n v="179"/>
    <n v="180"/>
    <n v="31.844262295081968"/>
    <n v="0"/>
    <n v="0"/>
    <s v="CONVICTION"/>
    <x v="0"/>
    <s v="N"/>
    <m/>
    <s v="CONVICTION"/>
    <s v="Y"/>
    <x v="0"/>
    <x v="0"/>
    <s v="N"/>
    <n v="0.99444444444444446"/>
    <n v="1"/>
    <n v="5.5555555555555358E-3"/>
    <n v="0"/>
    <n v="-179"/>
    <n v="0"/>
    <n v="179"/>
    <e v="#VALUE!"/>
    <n v="179"/>
    <n v="0"/>
    <m/>
    <m/>
    <s v="N"/>
    <m/>
    <s v="121-365 DAYS"/>
    <n v="6"/>
    <x v="0"/>
  </r>
  <r>
    <n v="2249"/>
    <s v="N"/>
    <s v="N"/>
    <n v="2599849"/>
    <n v="2"/>
    <d v="2012-03-26T00:00:00"/>
    <d v="2012-04-26T00:00:00"/>
    <n v="2599849"/>
    <d v="2012-03-27T00:00:00"/>
    <d v="2012-04-26T00:00:00"/>
    <n v="10000"/>
    <x v="3"/>
    <m/>
    <s v="N"/>
    <s v="NONE"/>
    <s v="DEFERRED ADJUDICATION "/>
    <n v="31"/>
    <n v="32"/>
    <n v="1"/>
    <n v="0"/>
    <m/>
    <m/>
    <m/>
    <m/>
    <m/>
    <m/>
    <m/>
    <m/>
    <m/>
    <d v="1994-12-21T00:00:00"/>
    <s v="F"/>
    <s v="B"/>
    <s v="BLACK"/>
    <s v="NULL"/>
    <s v="179"/>
    <s v="DEFERRED"/>
    <n v="3"/>
    <s v="DEFERRED"/>
    <m/>
    <m/>
    <m/>
    <s v="AGG ASSAULT W/DEADLY WEAPON"/>
    <m/>
    <s v="F2"/>
    <s v="ASLT-MURDR"/>
    <s v="misd LAW V mot to rev 8/23/12  bk 8/24 cop amend "/>
    <m/>
    <m/>
    <m/>
    <m/>
    <m/>
    <m/>
    <m/>
    <m/>
    <s v="Appointed Attorney"/>
    <m/>
    <m/>
    <n v="31"/>
    <n v="31"/>
    <n v="32"/>
    <n v="17.226775956284154"/>
    <n v="0"/>
    <n v="0"/>
    <s v="DEFERRED"/>
    <x v="0"/>
    <s v="N"/>
    <m/>
    <s v="DEFERRED"/>
    <s v="Y"/>
    <x v="0"/>
    <x v="0"/>
    <s v="Y"/>
    <n v="0.96875"/>
    <n v="1"/>
    <n v="3.125E-2"/>
    <n v="0"/>
    <n v="-31"/>
    <n v="0"/>
    <n v="31"/>
    <e v="#VALUE!"/>
    <n v="31"/>
    <n v="0"/>
    <m/>
    <m/>
    <s v="Y"/>
    <m/>
    <s v="31-60 DAYS"/>
    <n v="3"/>
    <x v="0"/>
  </r>
  <r>
    <n v="385"/>
    <s v="N"/>
    <s v="N"/>
    <n v="2599855"/>
    <n v="1"/>
    <d v="2012-01-17T00:00:00"/>
    <d v="2012-05-17T00:00:00"/>
    <n v="2599855"/>
    <d v="2012-01-17T00:00:00"/>
    <d v="2012-01-18T00:00:00"/>
    <n v="5000"/>
    <x v="4"/>
    <d v="2012-01-18T00:00:00"/>
    <s v="Y"/>
    <s v="SURETY"/>
    <s v="NO BILL"/>
    <n v="2"/>
    <n v="122"/>
    <n v="0"/>
    <n v="0"/>
    <m/>
    <m/>
    <m/>
    <m/>
    <m/>
    <m/>
    <m/>
    <m/>
    <m/>
    <d v="1984-05-19T00:00:00"/>
    <s v="F"/>
    <s v="W"/>
    <s v="WHITE"/>
    <s v="NON-HISPANIC"/>
    <s v="179"/>
    <s v="NO BILL"/>
    <n v="4"/>
    <s v="NO BILL"/>
    <m/>
    <m/>
    <m/>
    <s v="INJURY TO ELDERLY"/>
    <m/>
    <s v="F3"/>
    <s v="ASLT-MURDR"/>
    <m/>
    <m/>
    <m/>
    <m/>
    <m/>
    <m/>
    <m/>
    <m/>
    <m/>
    <s v="Hired Attorney"/>
    <m/>
    <m/>
    <n v="2"/>
    <n v="122"/>
    <n v="122"/>
    <n v="27.606557377049182"/>
    <n v="0"/>
    <n v="-120"/>
    <s v="NO CONVICTION"/>
    <x v="1"/>
    <s v="Y"/>
    <m/>
    <s v="NO CONVICTION"/>
    <s v="Y"/>
    <x v="1"/>
    <x v="0"/>
    <s v="N"/>
    <n v="1.6393442622950821E-2"/>
    <n v="1.6393442622950821E-2"/>
    <n v="0"/>
    <n v="0"/>
    <n v="-2"/>
    <n v="0"/>
    <n v="2"/>
    <e v="#VALUE!"/>
    <n v="2"/>
    <n v="0"/>
    <m/>
    <m/>
    <s v="N"/>
    <m/>
    <s v="0-10 DAYS"/>
    <n v="1"/>
    <x v="0"/>
  </r>
  <r>
    <n v="388"/>
    <s v="N"/>
    <s v="N"/>
    <n v="2599859"/>
    <n v="2"/>
    <d v="2012-01-17T00:00:00"/>
    <d v="2012-02-17T00:00:00"/>
    <n v="2599859"/>
    <d v="2012-01-17T00:00:00"/>
    <d v="2012-01-18T00:00:00"/>
    <n v="10000"/>
    <x v="3"/>
    <d v="2012-01-18T00:00:00"/>
    <s v="Y"/>
    <s v="PTR"/>
    <s v="DEFERRED ADJUDICATION "/>
    <n v="2"/>
    <n v="32"/>
    <n v="0"/>
    <n v="0"/>
    <m/>
    <m/>
    <m/>
    <m/>
    <m/>
    <m/>
    <m/>
    <m/>
    <m/>
    <d v="1991-04-12T00:00:00"/>
    <s v="M"/>
    <s v="B"/>
    <s v="BLACK"/>
    <s v="NULL"/>
    <s v="339"/>
    <s v="DEFERRED"/>
    <n v="3"/>
    <s v="DEFERRED"/>
    <m/>
    <m/>
    <m/>
    <s v="POSS CS PG 1 4G - 200G"/>
    <m/>
    <s v="F2"/>
    <s v="POSS DRUG"/>
    <m/>
    <m/>
    <m/>
    <m/>
    <m/>
    <m/>
    <m/>
    <m/>
    <m/>
    <s v="Appointed Attorney"/>
    <m/>
    <m/>
    <n v="2"/>
    <n v="32"/>
    <n v="32"/>
    <n v="20.724043715846996"/>
    <n v="0"/>
    <n v="-30"/>
    <s v="DEFERRED"/>
    <x v="2"/>
    <s v="Y"/>
    <m/>
    <s v="DEFERRED"/>
    <s v="Y"/>
    <x v="1"/>
    <x v="0"/>
    <s v="N"/>
    <n v="6.25E-2"/>
    <n v="6.25E-2"/>
    <n v="0"/>
    <n v="0"/>
    <n v="-2"/>
    <n v="0"/>
    <n v="2"/>
    <e v="#VALUE!"/>
    <n v="2"/>
    <n v="0"/>
    <m/>
    <m/>
    <s v="N"/>
    <m/>
    <s v="0-10 DAYS"/>
    <n v="1"/>
    <x v="0"/>
  </r>
  <r>
    <n v="3106"/>
    <s v="N"/>
    <s v="N"/>
    <n v="2599887"/>
    <n v="5"/>
    <d v="2012-04-24T00:00:00"/>
    <d v="2012-04-26T00:00:00"/>
    <n v="2599887"/>
    <d v="2012-04-25T00:00:00"/>
    <d v="2012-04-26T00:00:00"/>
    <n v="15000"/>
    <x v="0"/>
    <m/>
    <s v="N"/>
    <s v="NONE"/>
    <s v="GUILTY PLEA - NO JURY"/>
    <n v="2"/>
    <n v="3"/>
    <n v="0"/>
    <n v="1"/>
    <m/>
    <m/>
    <m/>
    <m/>
    <m/>
    <m/>
    <m/>
    <m/>
    <m/>
    <d v="1963-03-26T00:00:00"/>
    <s v="M"/>
    <s v="W"/>
    <s v="WHITE"/>
    <s v="NULL"/>
    <s v="248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2"/>
    <n v="2"/>
    <n v="3"/>
    <n v="48.980874316939889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Y"/>
    <m/>
    <s v="0-10 DAYS"/>
    <n v="1"/>
    <x v="0"/>
  </r>
  <r>
    <n v="396"/>
    <s v="N"/>
    <s v="N"/>
    <n v="2599939"/>
    <n v="1"/>
    <d v="2012-01-17T00:00:00"/>
    <d v="2012-06-27T00:00:00"/>
    <n v="2599939"/>
    <d v="2012-01-17T00:00:00"/>
    <d v="2012-01-18T00:00:00"/>
    <n v="2000"/>
    <x v="5"/>
    <d v="2012-01-18T00:00:00"/>
    <s v="Y"/>
    <s v="SURETY"/>
    <s v="NO BILL"/>
    <n v="2"/>
    <n v="163"/>
    <n v="0"/>
    <n v="0"/>
    <m/>
    <m/>
    <m/>
    <m/>
    <m/>
    <m/>
    <m/>
    <s v="S"/>
    <m/>
    <d v="1981-02-12T00:00:00"/>
    <s v="M"/>
    <s v="H"/>
    <s v="HISPANIC"/>
    <s v="NULL"/>
    <s v="180"/>
    <s v="NO BILL"/>
    <n v="7"/>
    <s v="NO BILL"/>
    <m/>
    <m/>
    <m/>
    <s v="POSS MARIJ  4 OZ. - 5 LBS."/>
    <m/>
    <s v="FS"/>
    <s v="POSS DRUG"/>
    <m/>
    <m/>
    <m/>
    <m/>
    <m/>
    <m/>
    <m/>
    <m/>
    <m/>
    <s v="Hired Attorney"/>
    <m/>
    <m/>
    <n v="2"/>
    <n v="163"/>
    <n v="163"/>
    <n v="30.863387978142075"/>
    <n v="0"/>
    <n v="-161"/>
    <s v="NO CONVICTION"/>
    <x v="1"/>
    <s v="Y"/>
    <m/>
    <s v="NO CONVICTION"/>
    <s v="Y"/>
    <x v="1"/>
    <x v="0"/>
    <s v="N"/>
    <n v="1.2269938650306749E-2"/>
    <n v="1.2269938650306749E-2"/>
    <n v="0"/>
    <n v="0"/>
    <n v="-2"/>
    <n v="0"/>
    <n v="2"/>
    <e v="#VALUE!"/>
    <n v="2"/>
    <n v="0"/>
    <m/>
    <m/>
    <s v="N"/>
    <m/>
    <s v="0-10 DAYS"/>
    <n v="1"/>
    <x v="0"/>
  </r>
  <r>
    <n v="406"/>
    <s v="N"/>
    <s v="N"/>
    <n v="2600013"/>
    <n v="4"/>
    <d v="2012-01-17T00:00:00"/>
    <d v="2012-01-20T00:00:00"/>
    <n v="2600013"/>
    <d v="2012-01-18T00:00:00"/>
    <d v="2012-01-20T00:00:00"/>
    <n v="35000"/>
    <x v="2"/>
    <m/>
    <s v="N"/>
    <s v="NONE"/>
    <s v="GUILTY PLEA - NO JURY"/>
    <n v="3"/>
    <n v="4"/>
    <n v="0"/>
    <n v="0"/>
    <m/>
    <m/>
    <m/>
    <m/>
    <m/>
    <m/>
    <m/>
    <m/>
    <m/>
    <d v="1993-10-26T00:00:00"/>
    <s v="M"/>
    <s v="H"/>
    <s v="HISPANIC"/>
    <s v="HISPANIC"/>
    <s v="262"/>
    <s v="CONVICTED"/>
    <n v="2"/>
    <s v="HCJ"/>
    <m/>
    <m/>
    <n v="120"/>
    <s v="ATT FORGE GOVE INSTR"/>
    <m/>
    <s v="FS"/>
    <s v="OTHER FEL"/>
    <m/>
    <m/>
    <m/>
    <m/>
    <m/>
    <m/>
    <m/>
    <m/>
    <m/>
    <s v="Appointed Attorney"/>
    <m/>
    <m/>
    <n v="3"/>
    <n v="3"/>
    <n v="4"/>
    <n v="18.188524590163933"/>
    <n v="0"/>
    <n v="0"/>
    <s v="CONVICTION"/>
    <x v="0"/>
    <s v="N"/>
    <m/>
    <s v="CONVICTION"/>
    <s v="Y"/>
    <x v="0"/>
    <x v="0"/>
    <s v="N"/>
    <n v="0.75"/>
    <n v="1"/>
    <n v="0.25"/>
    <n v="0"/>
    <n v="-3"/>
    <n v="0"/>
    <n v="3"/>
    <e v="#VALUE!"/>
    <n v="3"/>
    <n v="0"/>
    <m/>
    <m/>
    <s v="N"/>
    <m/>
    <s v="0-10 DAYS"/>
    <n v="1"/>
    <x v="0"/>
  </r>
  <r>
    <n v="427"/>
    <s v="N"/>
    <s v="N"/>
    <n v="2600181"/>
    <n v="2"/>
    <d v="2012-01-18T00:00:00"/>
    <d v="2012-06-25T00:00:00"/>
    <n v="2600181"/>
    <d v="2012-01-20T00:00:00"/>
    <d v="2012-02-03T00:00:00"/>
    <n v="40000"/>
    <x v="2"/>
    <d v="2012-02-03T00:00:00"/>
    <s v="Y"/>
    <s v="PTR"/>
    <s v="DEFERRED ADJUDICATION "/>
    <n v="15"/>
    <n v="160"/>
    <n v="0"/>
    <n v="0"/>
    <m/>
    <m/>
    <m/>
    <m/>
    <m/>
    <m/>
    <m/>
    <m/>
    <m/>
    <d v="1994-08-08T00:00:00"/>
    <s v="M"/>
    <s v="W"/>
    <s v="WHITE"/>
    <s v="NULL"/>
    <n v="337"/>
    <s v="DEFERRED"/>
    <n v="11"/>
    <s v="DEFERRED"/>
    <m/>
    <m/>
    <m/>
    <s v="POSS CHILD PORNOGRAPHY"/>
    <m/>
    <s v="F3"/>
    <s v="OTHER FEL"/>
    <m/>
    <m/>
    <m/>
    <m/>
    <m/>
    <m/>
    <m/>
    <m/>
    <m/>
    <s v="Hired Attorney"/>
    <m/>
    <m/>
    <n v="15"/>
    <n v="158"/>
    <n v="160"/>
    <n v="17.409836065573771"/>
    <n v="0"/>
    <n v="-143"/>
    <s v="DEFERRED"/>
    <x v="2"/>
    <s v="Y"/>
    <m/>
    <s v="DEFERRED"/>
    <s v="Y"/>
    <x v="1"/>
    <x v="0"/>
    <s v="N"/>
    <n v="9.375E-2"/>
    <n v="9.49367088607595E-2"/>
    <n v="1.1867088607595E-3"/>
    <n v="0"/>
    <n v="-15"/>
    <n v="0"/>
    <n v="15"/>
    <e v="#VALUE!"/>
    <n v="15"/>
    <n v="0"/>
    <m/>
    <m/>
    <s v="N"/>
    <m/>
    <s v="11-30 DAYS"/>
    <n v="2"/>
    <x v="0"/>
  </r>
  <r>
    <n v="624"/>
    <s v="N"/>
    <s v="N"/>
    <n v="2600185"/>
    <n v="1"/>
    <d v="2012-01-25T00:00:00"/>
    <d v="2012-11-27T00:00:00"/>
    <n v="2600185"/>
    <d v="2012-01-26T00:00:00"/>
    <d v="2012-01-27T00:00:00"/>
    <n v="5000"/>
    <x v="4"/>
    <d v="2012-01-27T00:00:00"/>
    <s v="Y"/>
    <s v="PTR"/>
    <s v="DISMISSED"/>
    <n v="2"/>
    <n v="308"/>
    <n v="0"/>
    <n v="0"/>
    <m/>
    <m/>
    <m/>
    <m/>
    <m/>
    <m/>
    <m/>
    <m/>
    <m/>
    <d v="1930-05-27T00:00:00"/>
    <s v="M"/>
    <s v="W"/>
    <s v="WHITE"/>
    <s v="NULL"/>
    <s v="228"/>
    <s v="DISMISSED"/>
    <n v="11"/>
    <s v="DISMISSED"/>
    <m/>
    <m/>
    <m/>
    <s v="THEFT F/ELDERLY 1,500 - 20,000"/>
    <m/>
    <s v="F3"/>
    <s v="THEFT"/>
    <m/>
    <m/>
    <m/>
    <m/>
    <m/>
    <m/>
    <m/>
    <m/>
    <m/>
    <s v="Appointed Attorney"/>
    <m/>
    <m/>
    <n v="2"/>
    <n v="307"/>
    <n v="308"/>
    <n v="81.497267759562845"/>
    <n v="0"/>
    <n v="-305"/>
    <s v="NO CONVICTION"/>
    <x v="2"/>
    <s v="Y"/>
    <m/>
    <s v="NO CONVICTION"/>
    <s v="Y"/>
    <x v="1"/>
    <x v="0"/>
    <s v="N"/>
    <n v="6.4935064935064939E-3"/>
    <n v="6.5146579804560263E-3"/>
    <n v="2.1151486949532415E-5"/>
    <n v="0"/>
    <n v="-2"/>
    <n v="0"/>
    <n v="2"/>
    <e v="#VALUE!"/>
    <n v="2"/>
    <n v="0"/>
    <m/>
    <m/>
    <s v="N"/>
    <m/>
    <s v="0-10 DAYS"/>
    <n v="1"/>
    <x v="0"/>
  </r>
  <r>
    <n v="429"/>
    <s v="N"/>
    <s v="N"/>
    <n v="2600186"/>
    <n v="1"/>
    <d v="2012-01-18T00:00:00"/>
    <d v="2012-01-20T00:00:00"/>
    <n v="2600186"/>
    <s v="NOT BOOKED"/>
    <s v="NOT BOOKED"/>
    <n v="2000"/>
    <x v="5"/>
    <m/>
    <s v="NO BOND MADE - NON ARREST"/>
    <s v="NONE"/>
    <s v="DISMISSED"/>
    <n v="0"/>
    <n v="3"/>
    <n v="0"/>
    <n v="0"/>
    <m/>
    <m/>
    <m/>
    <m/>
    <m/>
    <m/>
    <m/>
    <m/>
    <m/>
    <d v="1982-09-07T00:00:00"/>
    <s v="F"/>
    <s v="B"/>
    <s v="BLACK"/>
    <s v="NULL"/>
    <s v="178"/>
    <s v="DISMISSED"/>
    <n v="1"/>
    <s v="DISMISSED"/>
    <m/>
    <m/>
    <m/>
    <s v="THEFT $1500-20K"/>
    <m/>
    <s v="FS"/>
    <s v="THEFT"/>
    <m/>
    <m/>
    <m/>
    <m/>
    <m/>
    <m/>
    <m/>
    <m/>
    <m/>
    <s v="Other/Unknown"/>
    <m/>
    <m/>
    <n v="0"/>
    <n v="0"/>
    <n v="3"/>
    <n v="29.303278688524589"/>
    <e v="#VALUE!"/>
    <e v="#VALUE!"/>
    <s v="NO CONVICTION"/>
    <x v="0"/>
    <s v="N"/>
    <m/>
    <s v="NO CONVICTION"/>
    <n v="0"/>
    <x v="2"/>
    <x v="0"/>
    <s v="N"/>
    <n v="0"/>
    <n v="0"/>
    <n v="0"/>
    <n v="0"/>
    <e v="#VALUE!"/>
    <e v="#VALUE!"/>
    <e v="#VALUE!"/>
    <n v="0"/>
    <n v="0"/>
    <m/>
    <m/>
    <m/>
    <s v="N"/>
    <m/>
    <s v="0-10 DAYS"/>
    <n v="1"/>
    <x v="1"/>
  </r>
  <r>
    <n v="442"/>
    <s v="N"/>
    <s v="N"/>
    <n v="2600225"/>
    <n v="1"/>
    <d v="2012-01-19T00:00:00"/>
    <d v="2012-01-24T00:00:00"/>
    <n v="2600225"/>
    <d v="2012-01-19T00:00:00"/>
    <d v="2012-01-24T00:00:00"/>
    <n v="30000"/>
    <x v="2"/>
    <m/>
    <s v="N"/>
    <s v="NONE"/>
    <s v="DISMISSED"/>
    <n v="6"/>
    <n v="6"/>
    <n v="0"/>
    <n v="0"/>
    <m/>
    <m/>
    <m/>
    <m/>
    <m/>
    <m/>
    <m/>
    <m/>
    <m/>
    <d v="1992-10-29T00:00:00"/>
    <s v="F"/>
    <s v="B"/>
    <s v="BLACK"/>
    <s v="NULL"/>
    <s v="337"/>
    <s v="DISMISSED"/>
    <n v="2"/>
    <s v="DISMISSED"/>
    <m/>
    <m/>
    <m/>
    <s v="AGG ASSAULT W/DEADLY WEAPON"/>
    <m/>
    <s v="F2"/>
    <s v="ASLT-MURDR"/>
    <m/>
    <m/>
    <m/>
    <m/>
    <m/>
    <m/>
    <m/>
    <m/>
    <m/>
    <s v="Public Defender"/>
    <m/>
    <m/>
    <n v="6"/>
    <n v="6"/>
    <n v="6"/>
    <n v="19.183060109289617"/>
    <n v="0"/>
    <n v="0"/>
    <s v="NO CONVICTION"/>
    <x v="0"/>
    <s v="N"/>
    <m/>
    <s v="NO CONVICTION"/>
    <s v="Y"/>
    <x v="0"/>
    <x v="0"/>
    <s v="N"/>
    <n v="1"/>
    <n v="1"/>
    <n v="0"/>
    <n v="0"/>
    <n v="-6"/>
    <n v="0"/>
    <n v="6"/>
    <e v="#VALUE!"/>
    <n v="6"/>
    <n v="0"/>
    <m/>
    <m/>
    <s v="N"/>
    <m/>
    <s v="0-10 DAYS"/>
    <n v="1"/>
    <x v="0"/>
  </r>
  <r>
    <n v="445"/>
    <s v="N"/>
    <s v="N"/>
    <n v="2600540"/>
    <n v="2"/>
    <d v="2012-01-19T00:00:00"/>
    <d v="2012-01-23T00:00:00"/>
    <n v="2600540"/>
    <d v="2012-01-19T00:00:00"/>
    <d v="2012-01-23T00:00:00"/>
    <n v="5000"/>
    <x v="4"/>
    <m/>
    <s v="N"/>
    <s v="NONE"/>
    <s v="DEFERRED ADJUDICATION "/>
    <n v="5"/>
    <n v="5"/>
    <n v="0"/>
    <n v="0"/>
    <m/>
    <m/>
    <m/>
    <m/>
    <m/>
    <m/>
    <m/>
    <m/>
    <m/>
    <d v="1985-02-19T00:00:00"/>
    <s v="F"/>
    <s v="W"/>
    <s v="WHITE"/>
    <s v="NULL"/>
    <s v="338"/>
    <s v="DEFERRED"/>
    <n v="2"/>
    <s v="DEFERRED"/>
    <m/>
    <m/>
    <m/>
    <s v="POSS CS PG 1  1 - 4 GRAMS"/>
    <m/>
    <s v="F3"/>
    <s v="POSS DRUG"/>
    <m/>
    <m/>
    <m/>
    <m/>
    <m/>
    <m/>
    <m/>
    <m/>
    <m/>
    <s v="Appointed Attorney"/>
    <m/>
    <m/>
    <n v="5"/>
    <n v="5"/>
    <n v="5"/>
    <n v="26.857923497267759"/>
    <n v="0"/>
    <n v="0"/>
    <s v="DEFERRED"/>
    <x v="0"/>
    <s v="N"/>
    <m/>
    <s v="DEFERRED"/>
    <s v="Y"/>
    <x v="0"/>
    <x v="0"/>
    <s v="N"/>
    <n v="1"/>
    <n v="1"/>
    <n v="0"/>
    <n v="0"/>
    <n v="-5"/>
    <n v="0"/>
    <n v="5"/>
    <e v="#VALUE!"/>
    <n v="5"/>
    <n v="0"/>
    <m/>
    <m/>
    <s v="N"/>
    <m/>
    <s v="0-10 DAYS"/>
    <n v="1"/>
    <x v="0"/>
  </r>
  <r>
    <n v="447"/>
    <s v="N"/>
    <s v="N"/>
    <n v="2600568"/>
    <n v="4"/>
    <d v="2012-01-19T00:00:00"/>
    <d v="2012-03-07T00:00:00"/>
    <n v="2600568"/>
    <d v="2012-01-19T00:00:00"/>
    <d v="2012-03-07T00:00:00"/>
    <n v="35000"/>
    <x v="2"/>
    <m/>
    <s v="N"/>
    <s v="NONE"/>
    <s v="GUILTY PLEA - NO JURY"/>
    <n v="49"/>
    <n v="49"/>
    <n v="0"/>
    <n v="0"/>
    <m/>
    <m/>
    <m/>
    <m/>
    <m/>
    <m/>
    <m/>
    <s v="S"/>
    <m/>
    <d v="1988-07-18T00:00:00"/>
    <s v="M"/>
    <s v="H"/>
    <s v="HISPANIC"/>
    <s v="NULL"/>
    <s v="209"/>
    <s v="CONVICTED"/>
    <n v="4"/>
    <s v="HCJ"/>
    <m/>
    <m/>
    <n v="365"/>
    <s v="UNAUTH USE OF VEHICLE"/>
    <m/>
    <s v="FS"/>
    <s v="AUTO THEFT"/>
    <m/>
    <m/>
    <m/>
    <m/>
    <m/>
    <m/>
    <m/>
    <m/>
    <m/>
    <s v="Appointed Attorney"/>
    <m/>
    <m/>
    <n v="49"/>
    <n v="49"/>
    <n v="49"/>
    <n v="23.456284153005466"/>
    <n v="0"/>
    <n v="0"/>
    <s v="CONVICTION"/>
    <x v="0"/>
    <s v="N"/>
    <m/>
    <s v="CONVICTION"/>
    <s v="Y"/>
    <x v="0"/>
    <x v="0"/>
    <s v="N"/>
    <n v="1"/>
    <n v="1"/>
    <n v="0"/>
    <n v="0"/>
    <n v="-49"/>
    <n v="0"/>
    <n v="49"/>
    <e v="#VALUE!"/>
    <n v="49"/>
    <n v="0"/>
    <m/>
    <m/>
    <s v="N"/>
    <m/>
    <s v="31-60 DAYS"/>
    <n v="3"/>
    <x v="0"/>
  </r>
  <r>
    <n v="456"/>
    <s v="N"/>
    <s v="N"/>
    <n v="2600640"/>
    <n v="1"/>
    <d v="2012-01-19T00:00:00"/>
    <d v="2012-05-09T00:00:00"/>
    <n v="2600640"/>
    <d v="2012-01-20T00:00:00"/>
    <d v="2012-01-22T00:00:00"/>
    <n v="2000"/>
    <x v="5"/>
    <d v="2012-01-20T00:00:00"/>
    <s v="Y"/>
    <s v="SURETY"/>
    <s v="DISMISSED"/>
    <n v="3"/>
    <n v="112"/>
    <n v="0"/>
    <n v="0"/>
    <m/>
    <m/>
    <m/>
    <m/>
    <m/>
    <m/>
    <m/>
    <m/>
    <m/>
    <d v="1983-04-16T00:00:00"/>
    <s v="F"/>
    <s v="B"/>
    <s v="BLACK"/>
    <s v="NULL"/>
    <s v="232"/>
    <s v="DISMISSED"/>
    <n v="5"/>
    <s v="DISMISSED"/>
    <m/>
    <m/>
    <m/>
    <s v="FORGERY"/>
    <m/>
    <s v="FS"/>
    <s v="OTHER FEL"/>
    <m/>
    <m/>
    <m/>
    <m/>
    <m/>
    <m/>
    <m/>
    <m/>
    <m/>
    <s v="Hired Attorney"/>
    <m/>
    <m/>
    <n v="3"/>
    <n v="111"/>
    <n v="112"/>
    <n v="28.702185792349727"/>
    <n v="-2"/>
    <n v="-108"/>
    <s v="NO CONVICTION"/>
    <x v="1"/>
    <s v="Y"/>
    <m/>
    <s v="NO CONVICTION"/>
    <s v="Y"/>
    <x v="1"/>
    <x v="0"/>
    <s v="N"/>
    <n v="2.6785714285714284E-2"/>
    <n v="2.7027027027027029E-2"/>
    <n v="2.413127413127443E-4"/>
    <n v="0"/>
    <n v="-3"/>
    <n v="0"/>
    <n v="1"/>
    <e v="#VALUE!"/>
    <n v="1"/>
    <n v="-2"/>
    <m/>
    <m/>
    <s v="N"/>
    <m/>
    <s v="0-10 DAYS"/>
    <n v="1"/>
    <x v="0"/>
  </r>
  <r>
    <n v="457"/>
    <s v="N"/>
    <s v="N"/>
    <n v="2600641"/>
    <n v="2"/>
    <d v="2012-01-19T00:00:00"/>
    <d v="2012-05-09T00:00:00"/>
    <n v="2600641"/>
    <s v="NOT BOOKED"/>
    <s v="NOT BOOKED"/>
    <n v="2000"/>
    <x v="5"/>
    <d v="2012-01-24T00:00:00"/>
    <s v="Y"/>
    <s v="SURETY"/>
    <s v="DEFERRED ADJUDICATION "/>
    <n v="0"/>
    <n v="112"/>
    <n v="0"/>
    <n v="0"/>
    <m/>
    <m/>
    <m/>
    <m/>
    <m/>
    <m/>
    <m/>
    <m/>
    <m/>
    <d v="1976-02-10T00:00:00"/>
    <s v="M"/>
    <s v="W"/>
    <s v="WHITE"/>
    <s v="NULL"/>
    <s v="263"/>
    <s v="DEFERRED"/>
    <n v="7"/>
    <s v="DEFERRED"/>
    <m/>
    <m/>
    <m/>
    <s v="THEFT $1500-20K"/>
    <m/>
    <s v="FS"/>
    <s v="THEFT"/>
    <m/>
    <m/>
    <m/>
    <m/>
    <m/>
    <m/>
    <m/>
    <m/>
    <m/>
    <s v="Hired Attorney"/>
    <m/>
    <m/>
    <n v="0"/>
    <n v="0"/>
    <n v="112"/>
    <n v="35.866120218579233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458"/>
    <s v="N"/>
    <s v="N"/>
    <n v="2600642"/>
    <n v="1"/>
    <d v="2012-01-19T00:00:00"/>
    <d v="2012-08-28T00:00:00"/>
    <n v="2600642"/>
    <s v="NOT BOOKED"/>
    <s v="NOT BOOKED"/>
    <n v="2000"/>
    <x v="5"/>
    <d v="2012-01-24T00:00:00"/>
    <s v="Y"/>
    <s v="SURETYPTRc"/>
    <s v="DISMISSED"/>
    <n v="0"/>
    <n v="223"/>
    <n v="0"/>
    <n v="0"/>
    <m/>
    <m/>
    <m/>
    <m/>
    <m/>
    <m/>
    <m/>
    <m/>
    <m/>
    <d v="1984-08-03T00:00:00"/>
    <s v="F"/>
    <s v="W"/>
    <s v="WHITE"/>
    <s v="NULL"/>
    <s v="183"/>
    <s v="DISMISSED"/>
    <n v="10"/>
    <s v="DISMISSED"/>
    <m/>
    <m/>
    <m/>
    <s v="THEFT $1500-20K"/>
    <m/>
    <s v="FS"/>
    <s v="THEFT"/>
    <m/>
    <m/>
    <m/>
    <m/>
    <m/>
    <m/>
    <m/>
    <m/>
    <m/>
    <s v="Hired Attorney"/>
    <m/>
    <m/>
    <n v="0"/>
    <n v="0"/>
    <n v="223"/>
    <n v="27.404371584699454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460"/>
    <s v="N"/>
    <s v="N"/>
    <n v="2600646"/>
    <n v="2"/>
    <d v="2012-01-19T00:00:00"/>
    <d v="2012-05-10T00:00:00"/>
    <n v="2600646"/>
    <s v="NOT BOOKED"/>
    <s v="NOT BOOKED"/>
    <n v="2000"/>
    <x v="5"/>
    <d v="2012-01-20T00:00:00"/>
    <s v="Y"/>
    <s v="SURETY"/>
    <s v="DEFERRED ADJUDICATION "/>
    <n v="0"/>
    <n v="113"/>
    <n v="0"/>
    <n v="0"/>
    <m/>
    <m/>
    <m/>
    <m/>
    <m/>
    <m/>
    <m/>
    <m/>
    <m/>
    <d v="1956-01-21T00:00:00"/>
    <s v="F"/>
    <s v="W"/>
    <s v="WHITE"/>
    <s v="NULL"/>
    <s v="262"/>
    <s v="DEFERRED"/>
    <n v="6"/>
    <s v="DEFERR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113"/>
    <n v="55.879781420765028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467"/>
    <s v="N"/>
    <s v="N"/>
    <n v="2600661"/>
    <n v="2"/>
    <d v="2012-01-19T00:00:00"/>
    <d v="2012-03-07T00:00:00"/>
    <n v="2600661"/>
    <d v="2012-01-20T00:00:00"/>
    <d v="2012-03-07T00:00:00"/>
    <n v="5000"/>
    <x v="4"/>
    <m/>
    <s v="N"/>
    <s v="NONE"/>
    <s v="DEFERRED ADJUDICATION "/>
    <n v="48"/>
    <n v="49"/>
    <n v="0"/>
    <n v="0"/>
    <m/>
    <m/>
    <m/>
    <m/>
    <m/>
    <m/>
    <m/>
    <m/>
    <m/>
    <d v="1994-10-20T00:00:00"/>
    <s v="M"/>
    <s v="W"/>
    <s v="WHITE"/>
    <s v="NULL"/>
    <s v="178"/>
    <s v="DEFERRED"/>
    <n v="3"/>
    <s v="DEFERRED"/>
    <m/>
    <m/>
    <m/>
    <s v="BURGLARY OF HABITATION"/>
    <m/>
    <s v="F2"/>
    <s v="BURGLARY"/>
    <s v="LAWV  misd drug 11/14/12 hcj 30 days "/>
    <m/>
    <m/>
    <m/>
    <m/>
    <m/>
    <m/>
    <m/>
    <m/>
    <s v="Appointed Attorney"/>
    <m/>
    <m/>
    <n v="48"/>
    <n v="48"/>
    <n v="49"/>
    <n v="17.21311475409836"/>
    <n v="0"/>
    <n v="0"/>
    <s v="DEFERRED"/>
    <x v="0"/>
    <s v="N"/>
    <m/>
    <s v="DEFERRED"/>
    <s v="Y"/>
    <x v="0"/>
    <x v="0"/>
    <s v="N"/>
    <n v="0.97959183673469385"/>
    <n v="1"/>
    <n v="2.0408163265306145E-2"/>
    <n v="0"/>
    <n v="-48"/>
    <n v="0"/>
    <n v="48"/>
    <e v="#VALUE!"/>
    <n v="48"/>
    <n v="0"/>
    <m/>
    <m/>
    <s v="N"/>
    <m/>
    <s v="31-60 DAYS"/>
    <n v="3"/>
    <x v="0"/>
  </r>
  <r>
    <n v="2327"/>
    <s v="N"/>
    <s v="N"/>
    <n v="2600664"/>
    <n v="1"/>
    <d v="2012-03-29T00:00:00"/>
    <d v="2012-07-13T00:00:00"/>
    <n v="2600664"/>
    <d v="2012-03-29T00:00:00"/>
    <d v="2012-07-13T00:00:00"/>
    <n v="20000"/>
    <x v="0"/>
    <m/>
    <s v="N"/>
    <s v="NONE"/>
    <s v="DISMISSED"/>
    <n v="107"/>
    <n v="107"/>
    <n v="0"/>
    <n v="1"/>
    <m/>
    <m/>
    <m/>
    <m/>
    <m/>
    <m/>
    <m/>
    <m/>
    <m/>
    <d v="1993-08-30T00:00:00"/>
    <s v="M"/>
    <s v="B"/>
    <s v="BLACK"/>
    <s v="NULL"/>
    <s v="176"/>
    <s v="DISMISSED"/>
    <n v="5"/>
    <s v="DISMISSED"/>
    <m/>
    <m/>
    <m/>
    <s v="POSS CS PG 1 4G - 200G"/>
    <m/>
    <s v="F2"/>
    <s v="POSS DRUG"/>
    <m/>
    <m/>
    <m/>
    <m/>
    <m/>
    <m/>
    <m/>
    <m/>
    <m/>
    <s v="Appointed Attorney"/>
    <m/>
    <m/>
    <n v="107"/>
    <n v="107"/>
    <n v="107"/>
    <n v="18.540983606557376"/>
    <n v="0"/>
    <n v="0"/>
    <s v="NO CONVICTION"/>
    <x v="0"/>
    <s v="N"/>
    <m/>
    <s v="NO CONVICTION"/>
    <s v="Y"/>
    <x v="0"/>
    <x v="0"/>
    <s v="N"/>
    <n v="1"/>
    <n v="1"/>
    <n v="0"/>
    <n v="0"/>
    <n v="-107"/>
    <n v="0"/>
    <n v="107"/>
    <e v="#VALUE!"/>
    <n v="107"/>
    <n v="0"/>
    <m/>
    <m/>
    <s v="Y"/>
    <m/>
    <s v="91-120 DAYS"/>
    <n v="0"/>
    <x v="0"/>
  </r>
  <r>
    <n v="480"/>
    <s v="N"/>
    <s v="N"/>
    <n v="2600729"/>
    <n v="2"/>
    <d v="2012-01-20T00:00:00"/>
    <d v="2012-03-06T00:00:00"/>
    <n v="2600729"/>
    <d v="2012-01-20T00:00:00"/>
    <d v="2012-01-21T00:00:00"/>
    <n v="10000"/>
    <x v="3"/>
    <d v="2012-01-21T00:00:00"/>
    <s v="Y"/>
    <s v="SURETYPTRc"/>
    <s v="DEFERRED ADJUDICATION "/>
    <n v="2"/>
    <n v="47"/>
    <n v="0"/>
    <n v="0"/>
    <m/>
    <m/>
    <m/>
    <m/>
    <m/>
    <m/>
    <m/>
    <m/>
    <m/>
    <d v="1990-06-29T00:00:00"/>
    <s v="M"/>
    <s v="W"/>
    <s v="WHITE"/>
    <s v="NULL"/>
    <s v="337"/>
    <s v="DEFERRED"/>
    <n v="2"/>
    <s v="DEFERRED"/>
    <m/>
    <m/>
    <m/>
    <s v="MAN/DEL CS PG II 1-4 GRAMS"/>
    <m/>
    <s v="F2"/>
    <s v="SALE DRUG"/>
    <m/>
    <m/>
    <m/>
    <m/>
    <m/>
    <m/>
    <m/>
    <m/>
    <m/>
    <s v="Hired Attorney"/>
    <m/>
    <m/>
    <n v="2"/>
    <n v="47"/>
    <n v="47"/>
    <n v="21.516393442622952"/>
    <n v="0"/>
    <n v="-45"/>
    <s v="DEFERRED"/>
    <x v="1"/>
    <s v="Y"/>
    <m/>
    <s v="DEFERRED"/>
    <s v="Y"/>
    <x v="1"/>
    <x v="0"/>
    <s v="N"/>
    <n v="4.2553191489361701E-2"/>
    <n v="4.2553191489361701E-2"/>
    <n v="0"/>
    <n v="0"/>
    <n v="-2"/>
    <n v="0"/>
    <n v="2"/>
    <e v="#VALUE!"/>
    <n v="2"/>
    <n v="0"/>
    <m/>
    <m/>
    <s v="N"/>
    <m/>
    <s v="0-10 DAYS"/>
    <n v="1"/>
    <x v="0"/>
  </r>
  <r>
    <n v="481"/>
    <s v="N"/>
    <s v="N"/>
    <n v="2600738"/>
    <n v="6"/>
    <d v="2012-01-20T00:00:00"/>
    <d v="2012-07-13T00:00:00"/>
    <n v="2600738"/>
    <s v="NOT BOOKED"/>
    <s v="NOT BOOKED"/>
    <n v="60000"/>
    <x v="2"/>
    <d v="2012-02-09T00:00:00"/>
    <s v="Y"/>
    <s v="SURETY"/>
    <s v="CONV BY JURY VERDICT"/>
    <n v="0"/>
    <n v="176"/>
    <n v="0"/>
    <n v="0"/>
    <m/>
    <m/>
    <m/>
    <m/>
    <m/>
    <m/>
    <m/>
    <m/>
    <m/>
    <d v="1993-05-19T00:00:00"/>
    <s v="M"/>
    <s v="B"/>
    <s v="BLACK"/>
    <s v="NULL"/>
    <s v="230"/>
    <s v="CONVICTED"/>
    <n v="14"/>
    <s v="TDC"/>
    <n v="7"/>
    <m/>
    <m/>
    <s v="AGG SEX ASSLT CHILD-UNDER 14"/>
    <m/>
    <s v="F1"/>
    <s v="SEX ABUSE"/>
    <m/>
    <m/>
    <m/>
    <m/>
    <m/>
    <m/>
    <m/>
    <m/>
    <m/>
    <s v="Hired Attorney"/>
    <m/>
    <m/>
    <n v="0"/>
    <n v="0"/>
    <n v="176"/>
    <n v="18.633879781420767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482"/>
    <s v="N"/>
    <s v="N"/>
    <n v="2600777"/>
    <n v="6"/>
    <d v="2012-01-20T00:00:00"/>
    <d v="2015-02-24T00:00:00"/>
    <n v="2600777"/>
    <d v="2012-01-21T00:00:00"/>
    <m/>
    <s v="NO BOND"/>
    <x v="1"/>
    <m/>
    <s v="N"/>
    <s v="NONE"/>
    <s v="GUILTY PLEA - NO JURY"/>
    <n v="1131"/>
    <n v="1132"/>
    <n v="0"/>
    <n v="0"/>
    <m/>
    <m/>
    <m/>
    <m/>
    <m/>
    <m/>
    <m/>
    <s v="S"/>
    <m/>
    <d v="1994-08-14T00:00:00"/>
    <s v="M"/>
    <s v="H"/>
    <s v="HISPANIC"/>
    <s v="NULL"/>
    <s v="182"/>
    <s v="CONVICTED"/>
    <n v="21"/>
    <s v="TDC"/>
    <n v="50"/>
    <m/>
    <m/>
    <s v="MURDER"/>
    <m/>
    <s v="F1"/>
    <s v="MURD/MANSL"/>
    <m/>
    <m/>
    <m/>
    <m/>
    <m/>
    <m/>
    <m/>
    <m/>
    <m/>
    <s v="Appointed Attorney"/>
    <m/>
    <m/>
    <n v="1131"/>
    <n v="1131"/>
    <n v="1132"/>
    <n v="17.398907103825138"/>
    <n v="42059"/>
    <n v="-42059"/>
    <s v="CONVICTION"/>
    <x v="0"/>
    <s v="N"/>
    <m/>
    <s v="CONVICTION"/>
    <s v="Y"/>
    <x v="0"/>
    <x v="0"/>
    <s v="N"/>
    <n v="0.99911660777385158"/>
    <n v="0.99909999999999999"/>
    <n v="0"/>
    <n v="0"/>
    <n v="40928"/>
    <n v="42059"/>
    <n v="1131"/>
    <e v="#VALUE!"/>
    <n v="1131"/>
    <m/>
    <m/>
    <m/>
    <s v="N"/>
    <e v="#N/A"/>
    <s v="&gt;3YRS"/>
    <n v="9"/>
    <x v="0"/>
  </r>
  <r>
    <n v="486"/>
    <s v="N"/>
    <s v="N"/>
    <n v="2600818"/>
    <n v="1"/>
    <d v="2012-01-20T00:00:00"/>
    <d v="2012-08-29T00:00:00"/>
    <n v="2600818"/>
    <d v="2012-01-23T00:00:00"/>
    <d v="2012-01-25T00:00:00"/>
    <n v="30000"/>
    <x v="2"/>
    <d v="2012-01-25T00:00:00"/>
    <s v="Y"/>
    <s v="SURETY"/>
    <s v="DISMISSED"/>
    <n v="3"/>
    <n v="223"/>
    <n v="0"/>
    <n v="0"/>
    <m/>
    <m/>
    <m/>
    <m/>
    <m/>
    <m/>
    <m/>
    <s v="S"/>
    <m/>
    <d v="1992-09-03T00:00:00"/>
    <s v="M"/>
    <s v="H"/>
    <s v="HISPANIC"/>
    <s v="NULL"/>
    <s v="262"/>
    <s v="DISMISSED"/>
    <n v="9"/>
    <s v="DISMISSED"/>
    <m/>
    <m/>
    <m/>
    <s v="AGG SEX ASSLT CHILD-UNDER 14"/>
    <m/>
    <s v="F1"/>
    <s v="SEX ABUSE"/>
    <m/>
    <m/>
    <m/>
    <m/>
    <m/>
    <m/>
    <m/>
    <m/>
    <m/>
    <s v="Hired Attorney"/>
    <m/>
    <m/>
    <n v="3"/>
    <n v="220"/>
    <n v="223"/>
    <n v="19.338797814207652"/>
    <n v="0"/>
    <n v="-217"/>
    <s v="NO CONVICTION"/>
    <x v="1"/>
    <s v="Y"/>
    <m/>
    <s v="NO CONVICTION"/>
    <s v="Y"/>
    <x v="1"/>
    <x v="0"/>
    <s v="N"/>
    <n v="1.3452914798206279E-2"/>
    <n v="1.3636363636363636E-2"/>
    <n v="1.8344883815735701E-4"/>
    <n v="0"/>
    <n v="-3"/>
    <n v="0"/>
    <n v="3"/>
    <e v="#VALUE!"/>
    <n v="3"/>
    <n v="0"/>
    <m/>
    <m/>
    <s v="N"/>
    <m/>
    <s v="0-10 DAYS"/>
    <n v="1"/>
    <x v="0"/>
  </r>
  <r>
    <n v="490"/>
    <s v="N"/>
    <s v="N"/>
    <n v="2600840"/>
    <n v="1"/>
    <d v="2012-01-20T00:00:00"/>
    <d v="2012-05-04T00:00:00"/>
    <n v="2600840"/>
    <d v="2012-01-20T00:00:00"/>
    <d v="2012-01-22T00:00:00"/>
    <n v="2000"/>
    <x v="5"/>
    <d v="2012-01-22T00:00:00"/>
    <s v="Y"/>
    <s v="SURETY"/>
    <s v="NO BILL"/>
    <n v="3"/>
    <n v="106"/>
    <n v="0"/>
    <n v="0"/>
    <m/>
    <m/>
    <m/>
    <m/>
    <m/>
    <m/>
    <m/>
    <m/>
    <m/>
    <d v="1994-03-09T00:00:00"/>
    <s v="M"/>
    <s v="W"/>
    <s v="WHITE"/>
    <s v="NULL"/>
    <s v="178"/>
    <s v="NO BILL"/>
    <n v="5"/>
    <s v="NO BILL"/>
    <m/>
    <m/>
    <m/>
    <s v="POSS CS PG 1 &lt;1G"/>
    <m/>
    <s v="FS"/>
    <s v="POSS DRUG"/>
    <m/>
    <m/>
    <m/>
    <m/>
    <m/>
    <m/>
    <m/>
    <m/>
    <m/>
    <s v="Appointed Attorney"/>
    <m/>
    <m/>
    <n v="3"/>
    <n v="106"/>
    <n v="106"/>
    <n v="17.830601092896174"/>
    <n v="0"/>
    <n v="-103"/>
    <s v="NO CONVICTION"/>
    <x v="1"/>
    <s v="Y"/>
    <m/>
    <s v="NO CONVICTION"/>
    <s v="Y"/>
    <x v="1"/>
    <x v="0"/>
    <s v="N"/>
    <n v="2.8301886792452831E-2"/>
    <n v="2.8301886792452831E-2"/>
    <n v="0"/>
    <n v="0"/>
    <n v="-3"/>
    <n v="0"/>
    <n v="3"/>
    <e v="#VALUE!"/>
    <n v="3"/>
    <n v="0"/>
    <m/>
    <m/>
    <s v="N"/>
    <m/>
    <s v="0-10 DAYS"/>
    <n v="1"/>
    <x v="0"/>
  </r>
  <r>
    <n v="487"/>
    <s v="N"/>
    <s v="N"/>
    <n v="2600843"/>
    <n v="2"/>
    <d v="2012-01-20T00:00:00"/>
    <d v="2012-02-16T00:00:00"/>
    <n v="2600843"/>
    <d v="2012-01-24T00:00:00"/>
    <d v="2012-01-24T00:00:00"/>
    <n v="2000"/>
    <x v="5"/>
    <d v="2012-01-24T00:00:00"/>
    <s v="Y"/>
    <s v="SURETY"/>
    <s v="DEFERRED ADJUDICATION "/>
    <n v="1"/>
    <n v="28"/>
    <n v="0"/>
    <n v="0"/>
    <m/>
    <m/>
    <m/>
    <m/>
    <m/>
    <m/>
    <m/>
    <s v="S"/>
    <m/>
    <d v="1992-05-22T00:00:00"/>
    <s v="F"/>
    <s v="H"/>
    <s v="HISPANIC"/>
    <s v="NULL"/>
    <s v="263"/>
    <s v="DEFERRED"/>
    <n v="4"/>
    <s v="DEFERRED"/>
    <m/>
    <m/>
    <n v="10"/>
    <s v="CREDIT/DEBIT CARD ABUSE"/>
    <m/>
    <s v="FS"/>
    <s v="OTHER FEL"/>
    <m/>
    <m/>
    <m/>
    <m/>
    <m/>
    <m/>
    <m/>
    <m/>
    <m/>
    <s v="Appointed Attorney"/>
    <m/>
    <m/>
    <n v="1"/>
    <n v="24"/>
    <n v="28"/>
    <n v="19.622950819672131"/>
    <n v="0"/>
    <n v="-23"/>
    <s v="DEFERRED"/>
    <x v="1"/>
    <s v="Y"/>
    <m/>
    <s v="DEFERRED"/>
    <s v="Y"/>
    <x v="1"/>
    <x v="0"/>
    <s v="N"/>
    <n v="3.5714285714285712E-2"/>
    <n v="4.1666666666666664E-2"/>
    <n v="5.9523809523809521E-3"/>
    <n v="0"/>
    <n v="-1"/>
    <n v="0"/>
    <n v="1"/>
    <e v="#VALUE!"/>
    <n v="1"/>
    <n v="0"/>
    <m/>
    <m/>
    <s v="N"/>
    <m/>
    <s v="0-10 DAYS"/>
    <n v="1"/>
    <x v="0"/>
  </r>
  <r>
    <n v="492"/>
    <s v="N"/>
    <s v="N"/>
    <n v="2600844"/>
    <n v="4"/>
    <d v="2012-01-20T00:00:00"/>
    <d v="2012-10-30T00:00:00"/>
    <n v="2600844"/>
    <s v="NOT BOOKED"/>
    <s v="NOT BOOKED"/>
    <n v="10000"/>
    <x v="3"/>
    <d v="2012-01-21T00:00:00"/>
    <s v="Y"/>
    <s v="SURETY"/>
    <s v="GUILTY PLEA - NO JURY"/>
    <n v="0"/>
    <n v="285"/>
    <n v="0"/>
    <n v="0"/>
    <m/>
    <m/>
    <m/>
    <m/>
    <m/>
    <m/>
    <m/>
    <m/>
    <m/>
    <d v="1971-05-09T00:00:00"/>
    <s v="M"/>
    <s v="W"/>
    <s v="WHITE"/>
    <s v="NULL"/>
    <s v="177"/>
    <s v="CONVICTED"/>
    <n v="11"/>
    <s v="HCJ"/>
    <m/>
    <m/>
    <n v="30"/>
    <s v="DWI 3RD OFFENDER BAC .08"/>
    <m/>
    <s v="F3"/>
    <s v="FEL DWI"/>
    <m/>
    <m/>
    <m/>
    <m/>
    <m/>
    <m/>
    <m/>
    <m/>
    <m/>
    <s v="Hired Attorney"/>
    <m/>
    <m/>
    <n v="0"/>
    <n v="0"/>
    <n v="285"/>
    <n v="40.617486338797811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491"/>
    <s v="N"/>
    <s v="N"/>
    <n v="2600853"/>
    <n v="1"/>
    <d v="2012-01-20T00:00:00"/>
    <d v="2012-06-29T00:00:00"/>
    <n v="2600853"/>
    <s v="NOT BOOKED"/>
    <s v="NOT BOOKED"/>
    <n v="2000"/>
    <x v="5"/>
    <d v="2012-01-24T00:00:00"/>
    <s v="Y"/>
    <s v="SURETY"/>
    <s v="DISMISSED"/>
    <n v="0"/>
    <n v="162"/>
    <n v="0"/>
    <n v="0"/>
    <m/>
    <m/>
    <m/>
    <m/>
    <m/>
    <m/>
    <m/>
    <m/>
    <m/>
    <d v="1981-05-10T00:00:00"/>
    <s v="F"/>
    <s v="W"/>
    <s v="WHITE"/>
    <s v="NULL"/>
    <s v="248"/>
    <s v="DISMISSED"/>
    <n v="6"/>
    <s v="DISMISSED"/>
    <m/>
    <m/>
    <m/>
    <s v="THEFT $1500-20K"/>
    <m/>
    <s v="FS"/>
    <s v="THEFT"/>
    <m/>
    <m/>
    <m/>
    <m/>
    <m/>
    <m/>
    <m/>
    <m/>
    <m/>
    <s v="Hired Attorney"/>
    <m/>
    <m/>
    <n v="0"/>
    <n v="0"/>
    <n v="162"/>
    <n v="30.633879781420767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497"/>
    <s v="N"/>
    <s v="N"/>
    <n v="2600874"/>
    <n v="1"/>
    <d v="2012-01-20T00:00:00"/>
    <d v="2012-02-02T00:00:00"/>
    <n v="2600874"/>
    <s v="NOT BOOKED"/>
    <s v="NOT BOOKED"/>
    <n v="100000"/>
    <x v="2"/>
    <m/>
    <s v="NO BOND MADE - NON ARREST"/>
    <s v="NONE"/>
    <s v="DISMISSED"/>
    <n v="0"/>
    <n v="14"/>
    <n v="0"/>
    <n v="0"/>
    <m/>
    <m/>
    <m/>
    <m/>
    <m/>
    <m/>
    <m/>
    <s v="S"/>
    <m/>
    <d v="1957-12-09T00:00:00"/>
    <s v="M"/>
    <s v="H"/>
    <s v="HISPANIC"/>
    <s v="NULL"/>
    <s v="262"/>
    <s v="DISMISSED"/>
    <n v="2"/>
    <s v="DISMISSED"/>
    <m/>
    <m/>
    <m/>
    <s v="FORGERY GOVERNMENT INSTRUMENT"/>
    <m/>
    <s v="F3"/>
    <s v="OTHER FEL"/>
    <m/>
    <m/>
    <m/>
    <m/>
    <m/>
    <m/>
    <m/>
    <m/>
    <m/>
    <s v="Other/Unknown"/>
    <m/>
    <m/>
    <n v="0"/>
    <n v="0"/>
    <n v="14"/>
    <n v="54.002732240437162"/>
    <e v="#VALUE!"/>
    <e v="#VALUE!"/>
    <s v="NO CONVICTION"/>
    <x v="0"/>
    <s v="N"/>
    <m/>
    <s v="NO CONVICTION"/>
    <n v="0"/>
    <x v="2"/>
    <x v="0"/>
    <s v="N"/>
    <n v="0"/>
    <n v="0"/>
    <n v="0"/>
    <n v="0"/>
    <e v="#VALUE!"/>
    <e v="#VALUE!"/>
    <e v="#VALUE!"/>
    <n v="0"/>
    <n v="0"/>
    <m/>
    <m/>
    <m/>
    <s v="N"/>
    <m/>
    <s v="0-10 DAYS"/>
    <n v="1"/>
    <x v="1"/>
  </r>
  <r>
    <n v="502"/>
    <s v="N"/>
    <s v="N"/>
    <n v="2600877"/>
    <n v="2"/>
    <d v="2012-01-21T00:00:00"/>
    <d v="2012-04-12T00:00:00"/>
    <n v="2600877"/>
    <d v="2012-01-21T00:00:00"/>
    <d v="2012-01-22T00:00:00"/>
    <n v="2000"/>
    <x v="5"/>
    <d v="2012-01-22T00:00:00"/>
    <s v="Y"/>
    <s v="SURETY"/>
    <s v="DEFERRED ADJUDICATION "/>
    <n v="2"/>
    <n v="83"/>
    <n v="0"/>
    <n v="0"/>
    <m/>
    <m/>
    <m/>
    <m/>
    <m/>
    <m/>
    <m/>
    <s v="S"/>
    <m/>
    <d v="1994-08-14T00:00:00"/>
    <s v="M"/>
    <s v="H"/>
    <s v="HISPANIC"/>
    <s v="NULL"/>
    <s v="338"/>
    <s v="DEFERRED"/>
    <n v="4"/>
    <s v="DEFERRED"/>
    <m/>
    <m/>
    <m/>
    <s v="CREDIT/DEBIT CARD ABUSE"/>
    <m/>
    <s v="FS"/>
    <s v="OTHER FEL"/>
    <m/>
    <m/>
    <m/>
    <m/>
    <m/>
    <m/>
    <m/>
    <m/>
    <m/>
    <s v="Hired Attorney"/>
    <m/>
    <m/>
    <n v="2"/>
    <n v="83"/>
    <n v="83"/>
    <n v="17.401639344262296"/>
    <n v="0"/>
    <n v="-81"/>
    <s v="DEFERRED"/>
    <x v="1"/>
    <s v="Y"/>
    <m/>
    <s v="DEFERRED"/>
    <s v="Y"/>
    <x v="1"/>
    <x v="0"/>
    <s v="N"/>
    <n v="2.4096385542168676E-2"/>
    <n v="2.4096385542168676E-2"/>
    <n v="0"/>
    <n v="0"/>
    <n v="-2"/>
    <n v="0"/>
    <n v="2"/>
    <e v="#VALUE!"/>
    <n v="2"/>
    <n v="0"/>
    <m/>
    <m/>
    <s v="N"/>
    <m/>
    <s v="0-10 DAYS"/>
    <n v="1"/>
    <x v="0"/>
  </r>
  <r>
    <n v="503"/>
    <s v="N"/>
    <s v="N"/>
    <n v="2600879"/>
    <n v="1"/>
    <d v="2012-01-21T00:00:00"/>
    <d v="2012-06-28T00:00:00"/>
    <n v="2600879"/>
    <d v="2012-01-21T00:00:00"/>
    <d v="2012-01-22T00:00:00"/>
    <n v="2000"/>
    <x v="5"/>
    <d v="2012-01-22T00:00:00"/>
    <s v="Y"/>
    <s v="SURETY"/>
    <s v="DISMISSED"/>
    <n v="2"/>
    <n v="160"/>
    <n v="0"/>
    <n v="0"/>
    <m/>
    <m/>
    <m/>
    <m/>
    <m/>
    <m/>
    <m/>
    <m/>
    <m/>
    <d v="1993-09-21T00:00:00"/>
    <s v="F"/>
    <s v="B"/>
    <s v="BLACK"/>
    <s v="NULL"/>
    <s v="177"/>
    <s v="DISMISSED"/>
    <n v="4"/>
    <s v="DISMISSED"/>
    <m/>
    <m/>
    <m/>
    <s v="FORGERY"/>
    <m/>
    <s v="FS"/>
    <s v="OTHER FEL"/>
    <m/>
    <m/>
    <m/>
    <m/>
    <m/>
    <m/>
    <m/>
    <m/>
    <m/>
    <s v="Hired Attorney"/>
    <m/>
    <m/>
    <n v="2"/>
    <n v="160"/>
    <n v="160"/>
    <n v="18.295081967213115"/>
    <n v="0"/>
    <n v="-158"/>
    <s v="NO CONVICTION"/>
    <x v="1"/>
    <s v="Y"/>
    <m/>
    <s v="NO CONVICTION"/>
    <s v="Y"/>
    <x v="1"/>
    <x v="0"/>
    <s v="N"/>
    <n v="1.2500000000000001E-2"/>
    <n v="1.2500000000000001E-2"/>
    <n v="0"/>
    <n v="0"/>
    <n v="-2"/>
    <n v="0"/>
    <n v="2"/>
    <e v="#VALUE!"/>
    <n v="2"/>
    <n v="0"/>
    <m/>
    <m/>
    <s v="N"/>
    <m/>
    <s v="0-10 DAYS"/>
    <n v="1"/>
    <x v="0"/>
  </r>
  <r>
    <n v="504"/>
    <s v="N"/>
    <s v="N"/>
    <n v="2600880"/>
    <n v="2"/>
    <d v="2012-01-21T00:00:00"/>
    <d v="2012-04-24T00:00:00"/>
    <n v="2600880"/>
    <d v="2012-01-21T00:00:00"/>
    <d v="2012-01-22T00:00:00"/>
    <n v="5000"/>
    <x v="4"/>
    <d v="2012-01-22T00:00:00"/>
    <s v="Y"/>
    <s v="SURETY"/>
    <s v="DEFERRED ADJUDICATION "/>
    <n v="2"/>
    <n v="95"/>
    <n v="0"/>
    <n v="0"/>
    <m/>
    <m/>
    <m/>
    <m/>
    <m/>
    <m/>
    <m/>
    <m/>
    <m/>
    <d v="1992-09-02T00:00:00"/>
    <s v="M"/>
    <s v="B"/>
    <s v="BLACK"/>
    <s v="NULL"/>
    <s v="182"/>
    <s v="DEFERRED"/>
    <n v="4"/>
    <s v="DEFERRED"/>
    <m/>
    <m/>
    <m/>
    <s v="POSS CS PG 4 28-200 GRAMS"/>
    <m/>
    <s v="F3"/>
    <s v="POSS DRUG"/>
    <m/>
    <m/>
    <m/>
    <m/>
    <m/>
    <m/>
    <m/>
    <m/>
    <m/>
    <s v="Hired Attorney"/>
    <m/>
    <m/>
    <n v="2"/>
    <n v="95"/>
    <n v="95"/>
    <n v="19.344262295081968"/>
    <n v="0"/>
    <n v="-93"/>
    <s v="DEFERRED"/>
    <x v="1"/>
    <s v="Y"/>
    <m/>
    <s v="DEFERRED"/>
    <s v="Y"/>
    <x v="1"/>
    <x v="0"/>
    <s v="N"/>
    <n v="2.1052631578947368E-2"/>
    <n v="2.1052631578947368E-2"/>
    <n v="0"/>
    <n v="0"/>
    <n v="-2"/>
    <n v="0"/>
    <n v="2"/>
    <e v="#VALUE!"/>
    <n v="2"/>
    <n v="0"/>
    <m/>
    <m/>
    <s v="N"/>
    <m/>
    <s v="0-10 DAYS"/>
    <n v="1"/>
    <x v="0"/>
  </r>
  <r>
    <n v="508"/>
    <s v="N"/>
    <s v="N"/>
    <n v="2600881"/>
    <n v="6"/>
    <d v="2012-01-21T00:00:00"/>
    <d v="2012-03-19T00:00:00"/>
    <n v="2600881"/>
    <d v="2012-01-21T00:00:00"/>
    <d v="2012-03-19T00:00:00"/>
    <n v="10000"/>
    <x v="3"/>
    <m/>
    <s v="N"/>
    <s v="NONE"/>
    <s v="GUILTY PLEA - NO JURY"/>
    <n v="59"/>
    <n v="59"/>
    <n v="0"/>
    <n v="1"/>
    <m/>
    <m/>
    <m/>
    <m/>
    <m/>
    <m/>
    <m/>
    <m/>
    <m/>
    <d v="1981-11-11T00:00:00"/>
    <s v="M"/>
    <s v="B"/>
    <s v="BLACK"/>
    <s v="NULL"/>
    <s v="351"/>
    <s v="CONVICTED"/>
    <n v="3"/>
    <s v="TDC"/>
    <n v="2"/>
    <m/>
    <m/>
    <s v="POSS CS PG 1  1 - 4 GRAMS"/>
    <m/>
    <s v="F3"/>
    <s v="POSS DRUG"/>
    <m/>
    <m/>
    <m/>
    <m/>
    <m/>
    <m/>
    <m/>
    <m/>
    <m/>
    <s v="Appointed Attorney"/>
    <m/>
    <m/>
    <n v="59"/>
    <n v="59"/>
    <n v="59"/>
    <n v="30.131147540983605"/>
    <n v="0"/>
    <n v="0"/>
    <s v="CONVICTION"/>
    <x v="0"/>
    <s v="N"/>
    <m/>
    <s v="CONVICTION"/>
    <s v="Y"/>
    <x v="0"/>
    <x v="0"/>
    <s v="N"/>
    <n v="1"/>
    <n v="1"/>
    <n v="0"/>
    <n v="0"/>
    <n v="-59"/>
    <n v="0"/>
    <n v="59"/>
    <e v="#VALUE!"/>
    <n v="59"/>
    <n v="0"/>
    <m/>
    <m/>
    <s v="Y"/>
    <m/>
    <s v="31-60 DAYS"/>
    <n v="3"/>
    <x v="0"/>
  </r>
  <r>
    <n v="512"/>
    <s v="N"/>
    <s v="N"/>
    <n v="2600904"/>
    <n v="1"/>
    <d v="2012-01-21T00:00:00"/>
    <d v="2012-01-23T00:00:00"/>
    <n v="2600904"/>
    <d v="2012-01-22T00:00:00"/>
    <d v="2012-01-23T00:00:00"/>
    <n v="2000"/>
    <x v="5"/>
    <m/>
    <s v="N"/>
    <s v="NONE"/>
    <s v="DISMISSED"/>
    <n v="2"/>
    <n v="3"/>
    <n v="0"/>
    <n v="0"/>
    <m/>
    <m/>
    <m/>
    <m/>
    <m/>
    <m/>
    <m/>
    <s v="S"/>
    <m/>
    <d v="1978-04-12T00:00:00"/>
    <s v="M"/>
    <s v="H"/>
    <s v="HISPANIC"/>
    <s v="NULL"/>
    <s v="183"/>
    <s v="DISMISSED"/>
    <m/>
    <s v="DISMISSED"/>
    <m/>
    <m/>
    <m/>
    <s v="POSS CS PG 1 &lt;1G"/>
    <m/>
    <s v="FS"/>
    <s v="POSS DRUG"/>
    <m/>
    <m/>
    <m/>
    <m/>
    <m/>
    <m/>
    <m/>
    <m/>
    <m/>
    <s v="Other/Unknown"/>
    <m/>
    <m/>
    <n v="2"/>
    <n v="2"/>
    <n v="3"/>
    <n v="33.707650273224047"/>
    <n v="0"/>
    <n v="0"/>
    <s v="NO CONVICTION"/>
    <x v="0"/>
    <s v="N"/>
    <m/>
    <s v="NO 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525"/>
    <s v="N"/>
    <s v="N"/>
    <n v="2600906"/>
    <n v="2"/>
    <d v="2012-01-21T00:00:00"/>
    <d v="2012-03-08T00:00:00"/>
    <n v="2600906"/>
    <d v="2012-01-21T00:00:00"/>
    <d v="2012-01-22T00:00:00"/>
    <n v="2000"/>
    <x v="5"/>
    <d v="2012-01-22T00:00:00"/>
    <s v="Y"/>
    <s v="SURETYPTRc"/>
    <s v="DEFERRED ADJUDICATION "/>
    <n v="2"/>
    <n v="48"/>
    <n v="1"/>
    <n v="1"/>
    <m/>
    <n v="1"/>
    <m/>
    <m/>
    <m/>
    <m/>
    <m/>
    <m/>
    <m/>
    <d v="1978-04-24T00:00:00"/>
    <s v="F"/>
    <s v="W"/>
    <s v="WHITE"/>
    <s v="NULL"/>
    <s v="263"/>
    <s v="DEFERRED"/>
    <n v="4"/>
    <s v="DEFERRED"/>
    <m/>
    <m/>
    <m/>
    <s v="CRIM MISCH &gt;=$1500 &lt;$20K"/>
    <m/>
    <s v="FS"/>
    <s v="OTHER FEL"/>
    <m/>
    <m/>
    <m/>
    <m/>
    <m/>
    <m/>
    <m/>
    <m/>
    <m/>
    <s v="Appointed Attorney"/>
    <m/>
    <m/>
    <n v="2"/>
    <n v="48"/>
    <n v="48"/>
    <n v="33.674863387978142"/>
    <n v="0"/>
    <n v="-46"/>
    <s v="DEFERRED"/>
    <x v="1"/>
    <s v="Y"/>
    <m/>
    <s v="DEFERRED"/>
    <s v="Y"/>
    <x v="1"/>
    <x v="0"/>
    <s v="Y"/>
    <n v="4.1666666666666664E-2"/>
    <n v="4.1666666666666664E-2"/>
    <n v="0"/>
    <n v="0"/>
    <n v="-2"/>
    <n v="0"/>
    <n v="2"/>
    <e v="#VALUE!"/>
    <n v="2"/>
    <n v="0"/>
    <m/>
    <m/>
    <s v="Y"/>
    <m/>
    <s v="0-10 DAYS"/>
    <n v="1"/>
    <x v="0"/>
  </r>
  <r>
    <n v="518"/>
    <s v="N"/>
    <s v="N"/>
    <n v="2600922"/>
    <n v="3"/>
    <d v="2012-01-21T00:00:00"/>
    <d v="2013-09-20T00:00:00"/>
    <n v="2600922"/>
    <d v="2012-01-21T00:00:00"/>
    <d v="2012-01-22T00:00:00"/>
    <n v="10000"/>
    <x v="3"/>
    <d v="2012-01-22T00:00:00"/>
    <s v="Y"/>
    <s v="SURETY"/>
    <s v="GUILTY PLEA - NO JURY"/>
    <n v="2"/>
    <n v="609"/>
    <n v="0"/>
    <n v="0"/>
    <m/>
    <m/>
    <m/>
    <m/>
    <m/>
    <m/>
    <m/>
    <m/>
    <m/>
    <d v="1983-12-30T00:00:00"/>
    <s v="M"/>
    <s v="W"/>
    <s v="WHITE"/>
    <s v="NULL"/>
    <s v="177"/>
    <s v="CONVICTED"/>
    <n v="7"/>
    <s v="PROBATION"/>
    <m/>
    <m/>
    <m/>
    <s v="DWI 3RD OFFENDER BAC .08"/>
    <m/>
    <s v="F3"/>
    <s v="FEL DWI"/>
    <s v="10 day hcj cop  fine 300"/>
    <m/>
    <m/>
    <m/>
    <m/>
    <m/>
    <m/>
    <m/>
    <m/>
    <s v="Hired Attorney"/>
    <m/>
    <m/>
    <n v="4"/>
    <n v="609"/>
    <n v="609"/>
    <n v="28.002732240437158"/>
    <n v="0"/>
    <n v="-607"/>
    <s v="CONVICTION"/>
    <x v="1"/>
    <s v="Y"/>
    <m/>
    <s v="CONVICTION"/>
    <s v="Y"/>
    <x v="1"/>
    <x v="0"/>
    <s v="N"/>
    <n v="3.2840722495894909E-3"/>
    <n v="3.2840722495894909E-3"/>
    <n v="0"/>
    <n v="-2"/>
    <n v="-2"/>
    <n v="0"/>
    <n v="2"/>
    <n v="4"/>
    <n v="2"/>
    <n v="-2"/>
    <m/>
    <m/>
    <s v="N"/>
    <m/>
    <s v="0-10 DAYS"/>
    <n v="1"/>
    <x v="0"/>
  </r>
  <r>
    <n v="528"/>
    <s v="N"/>
    <s v="N"/>
    <n v="2600952"/>
    <n v="1"/>
    <d v="2012-01-21T00:00:00"/>
    <d v="2012-05-30T00:00:00"/>
    <n v="2600952"/>
    <s v="NOT BOOKED"/>
    <s v="NOT BOOKED"/>
    <n v="5000"/>
    <x v="4"/>
    <d v="2012-01-22T00:00:00"/>
    <s v="Y"/>
    <s v="SURETY"/>
    <s v="DISMISSED"/>
    <n v="0"/>
    <n v="131"/>
    <n v="0"/>
    <n v="0"/>
    <m/>
    <m/>
    <m/>
    <m/>
    <m/>
    <m/>
    <m/>
    <m/>
    <m/>
    <d v="1988-07-18T00:00:00"/>
    <s v="M"/>
    <s v="W"/>
    <s v="WHITE"/>
    <s v="NULL"/>
    <s v="177"/>
    <s v="DISMISSED"/>
    <n v="5"/>
    <s v="DISMISSED"/>
    <m/>
    <m/>
    <m/>
    <s v="FORGERY GOVT FINANCIAL INST"/>
    <m/>
    <s v="F3"/>
    <s v="OTHER FEL"/>
    <m/>
    <m/>
    <m/>
    <m/>
    <m/>
    <m/>
    <m/>
    <m/>
    <m/>
    <s v="Hired Attorney"/>
    <m/>
    <m/>
    <n v="0"/>
    <n v="0"/>
    <n v="131"/>
    <n v="23.461748633879782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564"/>
    <s v="N"/>
    <s v="N"/>
    <n v="2600954"/>
    <n v="5"/>
    <d v="2012-02-28T00:00:00"/>
    <d v="2012-04-24T00:00:00"/>
    <n v="2600954"/>
    <d v="2012-02-28T00:00:00"/>
    <d v="2012-04-24T00:00:00"/>
    <n v="2000"/>
    <x v="5"/>
    <m/>
    <s v="N"/>
    <s v="NONE"/>
    <s v="GUILTY PLEA - NO JURY"/>
    <n v="57"/>
    <n v="57"/>
    <n v="0"/>
    <n v="0"/>
    <m/>
    <m/>
    <m/>
    <m/>
    <m/>
    <m/>
    <m/>
    <m/>
    <m/>
    <d v="1994-11-13T00:00:00"/>
    <s v="M"/>
    <s v="B"/>
    <s v="BLACK"/>
    <s v="NULL"/>
    <s v="184"/>
    <s v="CONVICTED"/>
    <n v="4"/>
    <s v="STJ"/>
    <m/>
    <n v="6"/>
    <m/>
    <s v="BURGLARY OF A BUILDING"/>
    <m/>
    <s v="FS"/>
    <s v="BURGLARY"/>
    <m/>
    <m/>
    <m/>
    <m/>
    <m/>
    <m/>
    <m/>
    <m/>
    <m/>
    <s v="Public Defender"/>
    <m/>
    <m/>
    <n v="57"/>
    <n v="57"/>
    <n v="57"/>
    <n v="17.256830601092897"/>
    <n v="0"/>
    <n v="0"/>
    <s v="CONVICTION"/>
    <x v="0"/>
    <s v="N"/>
    <m/>
    <s v="CONVICTION"/>
    <s v="Y"/>
    <x v="0"/>
    <x v="0"/>
    <s v="N"/>
    <n v="1"/>
    <n v="1"/>
    <n v="0"/>
    <n v="0"/>
    <n v="-57"/>
    <n v="0"/>
    <n v="57"/>
    <e v="#VALUE!"/>
    <n v="57"/>
    <n v="0"/>
    <m/>
    <m/>
    <s v="N"/>
    <m/>
    <s v="31-60 DAYS"/>
    <n v="3"/>
    <x v="0"/>
  </r>
  <r>
    <n v="538"/>
    <s v="N"/>
    <s v="N"/>
    <n v="2600991"/>
    <n v="4"/>
    <d v="2012-01-22T00:00:00"/>
    <d v="2012-01-23T00:00:00"/>
    <n v="2600991"/>
    <d v="2012-01-22T00:00:00"/>
    <d v="2012-01-23T00:00:00"/>
    <n v="5000"/>
    <x v="4"/>
    <m/>
    <s v="N"/>
    <s v="NONE"/>
    <s v="GUILTY PLEA - NO JURY"/>
    <n v="2"/>
    <n v="2"/>
    <n v="0"/>
    <n v="0"/>
    <m/>
    <m/>
    <m/>
    <m/>
    <m/>
    <m/>
    <m/>
    <s v="S"/>
    <m/>
    <d v="1973-12-07T00:00:00"/>
    <s v="M"/>
    <s v="H"/>
    <s v="HISPANIC"/>
    <s v="NULL"/>
    <s v="185"/>
    <s v="CONVICTED"/>
    <n v="1"/>
    <s v="HCJ"/>
    <m/>
    <m/>
    <n v="90"/>
    <s v="POSS CS PG 1 &lt;1G"/>
    <m/>
    <s v="FS"/>
    <s v="POSS DRUG"/>
    <m/>
    <m/>
    <m/>
    <m/>
    <m/>
    <m/>
    <m/>
    <m/>
    <m/>
    <s v="Appointed Attorney"/>
    <m/>
    <m/>
    <n v="2"/>
    <n v="2"/>
    <n v="2"/>
    <n v="38.046448087431692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544"/>
    <s v="N"/>
    <s v="N"/>
    <n v="2601023"/>
    <n v="4"/>
    <d v="2012-01-22T00:00:00"/>
    <d v="2012-04-27T00:00:00"/>
    <n v="2601023"/>
    <d v="2012-01-23T00:00:00"/>
    <d v="2012-01-24T00:00:00"/>
    <n v="2000"/>
    <x v="5"/>
    <d v="2012-01-24T00:00:00"/>
    <s v="Y"/>
    <s v="SURETY"/>
    <s v="GUILTY PLEA - NO JURY"/>
    <n v="2"/>
    <n v="97"/>
    <n v="0"/>
    <n v="0"/>
    <m/>
    <m/>
    <m/>
    <m/>
    <m/>
    <m/>
    <m/>
    <s v="S"/>
    <m/>
    <d v="1978-09-10T00:00:00"/>
    <s v="M"/>
    <s v="H"/>
    <s v="HISPANIC"/>
    <s v="NULL"/>
    <s v="178"/>
    <s v="CONVICTED"/>
    <n v="5"/>
    <s v="HCJ"/>
    <m/>
    <m/>
    <n v="30"/>
    <s v="POSS CS PG 1 &lt;1G"/>
    <m/>
    <s v="FS"/>
    <s v="POSS DRUG"/>
    <m/>
    <m/>
    <m/>
    <m/>
    <m/>
    <m/>
    <m/>
    <m/>
    <m/>
    <s v="Hired Attorney"/>
    <m/>
    <m/>
    <n v="2"/>
    <n v="96"/>
    <n v="97"/>
    <n v="33.297814207650276"/>
    <n v="0"/>
    <n v="-94"/>
    <s v="CONVICTION"/>
    <x v="1"/>
    <s v="Y"/>
    <m/>
    <s v="CONVICTION"/>
    <s v="Y"/>
    <x v="1"/>
    <x v="0"/>
    <s v="N"/>
    <n v="2.0618556701030927E-2"/>
    <n v="2.0833333333333332E-2"/>
    <n v="2.1477663230240474E-4"/>
    <n v="0"/>
    <n v="-2"/>
    <n v="0"/>
    <n v="2"/>
    <e v="#VALUE!"/>
    <n v="2"/>
    <n v="0"/>
    <m/>
    <m/>
    <s v="N"/>
    <m/>
    <s v="0-10 DAYS"/>
    <n v="1"/>
    <x v="0"/>
  </r>
  <r>
    <n v="545"/>
    <s v="N"/>
    <s v="N"/>
    <n v="2601037"/>
    <n v="2"/>
    <d v="2012-01-22T00:00:00"/>
    <d v="2012-05-11T00:00:00"/>
    <n v="2601037"/>
    <s v="NOT BOOKED"/>
    <s v="NOT BOOKED"/>
    <n v="2000"/>
    <x v="5"/>
    <d v="2012-01-25T00:00:00"/>
    <s v="Y"/>
    <s v="SURETY"/>
    <s v="DEFERRED ADJUDICATION "/>
    <n v="0"/>
    <n v="111"/>
    <n v="0"/>
    <n v="0"/>
    <m/>
    <m/>
    <m/>
    <m/>
    <m/>
    <m/>
    <m/>
    <s v="S"/>
    <m/>
    <d v="1992-04-23T00:00:00"/>
    <s v="M"/>
    <s v="H"/>
    <s v="HISPANIC"/>
    <s v="NULL"/>
    <s v="185"/>
    <s v="DEFERRED"/>
    <n v="7"/>
    <s v="DEFERRED"/>
    <m/>
    <m/>
    <m/>
    <s v="THEFT $1500-20K"/>
    <m/>
    <s v="FS"/>
    <s v="THEFT"/>
    <m/>
    <m/>
    <m/>
    <m/>
    <m/>
    <m/>
    <m/>
    <m/>
    <m/>
    <s v="Hired Attorney"/>
    <m/>
    <m/>
    <n v="0"/>
    <n v="0"/>
    <n v="111"/>
    <n v="19.707650273224044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565"/>
    <s v="N"/>
    <s v="N"/>
    <n v="2601182"/>
    <n v="6"/>
    <d v="2012-01-23T00:00:00"/>
    <d v="2013-08-27T00:00:00"/>
    <n v="2601182"/>
    <d v="2012-01-24T00:00:00"/>
    <d v="2013-08-27T00:00:00"/>
    <n v="50000"/>
    <x v="2"/>
    <m/>
    <s v="N"/>
    <s v="NONE"/>
    <s v="GUILTY PLEA - NO JURY"/>
    <n v="582"/>
    <n v="583"/>
    <n v="0"/>
    <n v="0"/>
    <m/>
    <m/>
    <m/>
    <m/>
    <m/>
    <m/>
    <m/>
    <m/>
    <m/>
    <d v="1988-11-25T00:00:00"/>
    <s v="M"/>
    <s v="W"/>
    <s v="WHITE"/>
    <s v="NULL"/>
    <s v="209"/>
    <s v="CONVICTED"/>
    <m/>
    <s v="TDC"/>
    <n v="3"/>
    <m/>
    <m/>
    <s v="INDECENCY CHILD-TG"/>
    <m/>
    <s v="F2"/>
    <s v="SEX ABUSE"/>
    <m/>
    <m/>
    <m/>
    <m/>
    <m/>
    <m/>
    <m/>
    <m/>
    <m/>
    <s v="Appointed Attorney"/>
    <m/>
    <m/>
    <n v="582"/>
    <n v="582"/>
    <n v="583"/>
    <n v="23.112021857923498"/>
    <n v="0"/>
    <n v="0"/>
    <s v="CONVICTION"/>
    <x v="0"/>
    <s v="N"/>
    <m/>
    <s v="CONVICTION"/>
    <s v="Y"/>
    <x v="0"/>
    <x v="0"/>
    <s v="N"/>
    <n v="0.99828473413379071"/>
    <n v="1"/>
    <n v="1.7152658662092923E-3"/>
    <n v="0"/>
    <n v="-582"/>
    <n v="0"/>
    <n v="582"/>
    <e v="#VALUE!"/>
    <n v="582"/>
    <n v="0"/>
    <m/>
    <m/>
    <s v="N"/>
    <m/>
    <s v=" &gt;1YRS&lt;2YRS"/>
    <n v="0"/>
    <x v="0"/>
  </r>
  <r>
    <n v="568"/>
    <s v="N"/>
    <s v="N"/>
    <n v="2601202"/>
    <n v="1"/>
    <d v="2012-01-23T00:00:00"/>
    <d v="2012-11-27T00:00:00"/>
    <n v="2601202"/>
    <d v="2012-01-25T00:00:00"/>
    <d v="2012-02-01T00:00:00"/>
    <n v="60000"/>
    <x v="2"/>
    <d v="2012-02-01T00:00:00"/>
    <s v="Y"/>
    <s v="SURETYPTRc"/>
    <s v="DISMISSED"/>
    <n v="8"/>
    <n v="310"/>
    <n v="0"/>
    <n v="0"/>
    <m/>
    <m/>
    <m/>
    <m/>
    <m/>
    <m/>
    <m/>
    <m/>
    <m/>
    <d v="1986-02-01T00:00:00"/>
    <s v="M"/>
    <s v="B"/>
    <s v="BLACK"/>
    <s v="NULL"/>
    <s v="351"/>
    <s v="DISMISSED"/>
    <n v="11"/>
    <s v="DISMISSED"/>
    <m/>
    <m/>
    <m/>
    <s v="AGG ROBBERY-DEADLY WPN"/>
    <m/>
    <s v="F1"/>
    <s v="ROBBERY"/>
    <s v="3 COUNTS DISM"/>
    <m/>
    <m/>
    <m/>
    <m/>
    <m/>
    <m/>
    <m/>
    <m/>
    <s v="Hired Attorney"/>
    <m/>
    <m/>
    <n v="8"/>
    <n v="308"/>
    <n v="310"/>
    <n v="25.920765027322403"/>
    <n v="0"/>
    <n v="-300"/>
    <s v="NO CONVICTION"/>
    <x v="1"/>
    <s v="Y"/>
    <m/>
    <s v="NO CONVICTION"/>
    <s v="Y"/>
    <x v="1"/>
    <x v="0"/>
    <s v="N"/>
    <n v="2.5806451612903226E-2"/>
    <n v="2.5974025974025976E-2"/>
    <n v="1.6757436112274995E-4"/>
    <n v="0"/>
    <n v="-8"/>
    <n v="0"/>
    <n v="8"/>
    <e v="#VALUE!"/>
    <n v="8"/>
    <n v="0"/>
    <m/>
    <m/>
    <s v="N"/>
    <m/>
    <s v="0-10 DAYS"/>
    <n v="1"/>
    <x v="0"/>
  </r>
  <r>
    <n v="569"/>
    <s v="N"/>
    <s v="N"/>
    <n v="2601212"/>
    <n v="5"/>
    <d v="2012-01-23T00:00:00"/>
    <d v="2012-03-22T00:00:00"/>
    <n v="2601212"/>
    <d v="2012-01-24T00:00:00"/>
    <d v="2012-03-22T00:00:00"/>
    <n v="35000"/>
    <x v="2"/>
    <m/>
    <s v="N"/>
    <s v="NONE"/>
    <s v="GUILTY PLEA - NO JURY"/>
    <n v="59"/>
    <n v="60"/>
    <n v="0"/>
    <n v="0"/>
    <m/>
    <m/>
    <m/>
    <m/>
    <m/>
    <m/>
    <m/>
    <m/>
    <m/>
    <d v="1981-12-05T00:00:00"/>
    <s v="M"/>
    <s v="W"/>
    <s v="WHITE"/>
    <s v="NULL"/>
    <s v="232"/>
    <s v="CONVICTED"/>
    <n v="5"/>
    <s v="STJ"/>
    <m/>
    <n v="6"/>
    <m/>
    <s v="POSS CS PG 1 &lt;1G"/>
    <m/>
    <s v="FS"/>
    <s v="POSS DRUG"/>
    <m/>
    <m/>
    <m/>
    <m/>
    <m/>
    <m/>
    <m/>
    <m/>
    <m/>
    <s v="Public Defender"/>
    <m/>
    <m/>
    <n v="59"/>
    <n v="59"/>
    <n v="60"/>
    <n v="30.071038251366119"/>
    <n v="0"/>
    <n v="0"/>
    <s v="CONVICTION"/>
    <x v="0"/>
    <s v="N"/>
    <m/>
    <s v="CONVICTION"/>
    <s v="Y"/>
    <x v="0"/>
    <x v="0"/>
    <s v="N"/>
    <n v="0.98333333333333328"/>
    <n v="1"/>
    <n v="1.6666666666666718E-2"/>
    <n v="0"/>
    <n v="-59"/>
    <n v="0"/>
    <n v="59"/>
    <e v="#VALUE!"/>
    <n v="59"/>
    <n v="0"/>
    <m/>
    <m/>
    <s v="N"/>
    <m/>
    <s v="31-60 DAYS"/>
    <n v="3"/>
    <x v="0"/>
  </r>
  <r>
    <n v="591"/>
    <s v="N"/>
    <s v="N"/>
    <n v="2601213"/>
    <n v="2"/>
    <d v="2012-01-24T00:00:00"/>
    <d v="2014-06-17T00:00:00"/>
    <n v="2601213"/>
    <d v="2012-01-23T00:00:00"/>
    <d v="2012-02-21T00:00:00"/>
    <n v="30000"/>
    <x v="2"/>
    <d v="2012-02-21T00:00:00"/>
    <s v="Y"/>
    <s v="SURETY"/>
    <s v="DEFERRED ADJUDICATION "/>
    <n v="29"/>
    <n v="876"/>
    <n v="0"/>
    <n v="0"/>
    <m/>
    <m/>
    <m/>
    <m/>
    <m/>
    <m/>
    <m/>
    <m/>
    <m/>
    <d v="1981-06-09T00:00:00"/>
    <s v="M"/>
    <s v="B"/>
    <s v="BLACK"/>
    <s v="NULL"/>
    <s v="208"/>
    <s v="DEFERRED"/>
    <n v="20"/>
    <s v="DEFERRED"/>
    <m/>
    <m/>
    <m/>
    <s v="INDECENCY CHILD-TG"/>
    <m/>
    <s v="F2"/>
    <s v="SEX ABUSE"/>
    <m/>
    <m/>
    <m/>
    <m/>
    <m/>
    <m/>
    <m/>
    <m/>
    <m/>
    <s v="Hired Attorney"/>
    <m/>
    <m/>
    <n v="29"/>
    <n v="877"/>
    <n v="876"/>
    <n v="30.562841530054644"/>
    <n v="0"/>
    <n v="-847"/>
    <s v="DEFERRED"/>
    <x v="1"/>
    <s v="N"/>
    <m/>
    <s v="DEFERRED"/>
    <s v="Y"/>
    <x v="1"/>
    <x v="0"/>
    <s v="N"/>
    <n v="3.3105022831050226E-2"/>
    <n v="3.3099999999999997E-2"/>
    <n v="0"/>
    <n v="0"/>
    <n v="-30"/>
    <n v="-1"/>
    <n v="30"/>
    <e v="#VALUE!"/>
    <n v="29"/>
    <m/>
    <m/>
    <m/>
    <s v="N"/>
    <e v="#N/A"/>
    <s v="11-30 DAYS"/>
    <n v="2"/>
    <x v="0"/>
  </r>
  <r>
    <n v="577"/>
    <s v="N"/>
    <s v="Y"/>
    <n v="2601240"/>
    <n v="6"/>
    <d v="2012-01-24T00:00:00"/>
    <d v="2013-05-31T00:00:00"/>
    <n v="2601240"/>
    <d v="2013-04-05T00:00:00"/>
    <d v="2013-05-31T00:00:00"/>
    <n v="20000"/>
    <x v="0"/>
    <d v="2012-01-25T00:00:00"/>
    <s v="Y"/>
    <s v="SURETYPTRc"/>
    <s v="GUILTY PLEA - NO JURY"/>
    <n v="56"/>
    <n v="494"/>
    <n v="0"/>
    <n v="0"/>
    <m/>
    <m/>
    <m/>
    <m/>
    <m/>
    <m/>
    <m/>
    <m/>
    <m/>
    <d v="1971-08-27T00:00:00"/>
    <s v="M"/>
    <s v="H"/>
    <s v="HISPANIC"/>
    <s v="NULL"/>
    <s v="337"/>
    <s v="CONVICTED"/>
    <n v="13"/>
    <s v="TDC"/>
    <n v="3"/>
    <m/>
    <m/>
    <s v="POSS W/INT DEL CS PG1&gt;=4 &lt;200"/>
    <m/>
    <s v="F1"/>
    <s v="SALE DRUG"/>
    <m/>
    <m/>
    <s v="Y"/>
    <d v="2012-10-18T00:00:00"/>
    <m/>
    <m/>
    <m/>
    <s v=" 5/17/13"/>
    <n v="2688"/>
    <s v="Hired Attorney"/>
    <m/>
    <m/>
    <n v="56"/>
    <n v="56"/>
    <n v="494"/>
    <n v="40.327868852459019"/>
    <n v="0"/>
    <n v="0"/>
    <s v="CONVICTION"/>
    <x v="1"/>
    <s v="N"/>
    <m/>
    <s v="CONVICTION"/>
    <s v="Y"/>
    <x v="0"/>
    <x v="0"/>
    <s v="N"/>
    <n v="0.11336032388663968"/>
    <n v="1"/>
    <n v="0.88663967611336036"/>
    <n v="0"/>
    <n v="-57"/>
    <n v="-1"/>
    <n v="57"/>
    <n v="56"/>
    <n v="57"/>
    <n v="0"/>
    <m/>
    <m/>
    <s v="N"/>
    <m/>
    <s v="31-60 DAYS"/>
    <n v="3"/>
    <x v="0"/>
  </r>
  <r>
    <n v="580"/>
    <s v="N"/>
    <s v="Y"/>
    <n v="2601244"/>
    <n v="5"/>
    <d v="2012-01-24T00:00:00"/>
    <d v="2012-11-28T00:00:00"/>
    <n v="2601244"/>
    <d v="2012-10-06T00:00:00"/>
    <d v="2012-11-28T00:00:00"/>
    <n v="5000"/>
    <x v="4"/>
    <d v="2012-01-25T00:00:00"/>
    <s v="Y"/>
    <s v="SURETY"/>
    <s v="GUILTY PLEA - NO JURY"/>
    <n v="54"/>
    <n v="310"/>
    <n v="0"/>
    <n v="0"/>
    <m/>
    <m/>
    <m/>
    <m/>
    <m/>
    <m/>
    <m/>
    <m/>
    <m/>
    <d v="1987-09-11T00:00:00"/>
    <s v="M"/>
    <s v="W"/>
    <s v="WHITE"/>
    <s v="NULL"/>
    <s v="176"/>
    <s v="CONVICTED"/>
    <n v="5"/>
    <s v="STJ"/>
    <m/>
    <n v="6"/>
    <m/>
    <s v="POSS CS PG 2 &lt;1GRAM"/>
    <m/>
    <s v="FS"/>
    <s v="POSS DRUG"/>
    <m/>
    <m/>
    <s v="Y"/>
    <d v="2012-02-13T00:00:00"/>
    <m/>
    <m/>
    <m/>
    <d v="2013-01-07T00:00:00"/>
    <n v="766"/>
    <s v="Appointed Attorney"/>
    <m/>
    <m/>
    <n v="54"/>
    <n v="54"/>
    <n v="310"/>
    <n v="24.319672131147541"/>
    <n v="0"/>
    <n v="0"/>
    <s v="CONVICTION"/>
    <x v="1"/>
    <s v="Y"/>
    <m/>
    <s v="CONVICTION"/>
    <s v="Y"/>
    <x v="0"/>
    <x v="0"/>
    <s v="N"/>
    <n v="0.17419354838709677"/>
    <n v="1"/>
    <n v="0.82580645161290323"/>
    <n v="0"/>
    <n v="-54"/>
    <n v="0"/>
    <n v="54"/>
    <e v="#VALUE!"/>
    <n v="54"/>
    <n v="0"/>
    <m/>
    <m/>
    <s v="N"/>
    <m/>
    <s v="31-60 DAYS"/>
    <n v="3"/>
    <x v="0"/>
  </r>
  <r>
    <n v="2344"/>
    <s v="N"/>
    <s v="N"/>
    <n v="2601278"/>
    <n v="1"/>
    <d v="2012-03-29T00:00:00"/>
    <d v="2013-03-13T00:00:00"/>
    <n v="2601278"/>
    <d v="2012-03-29T00:00:00"/>
    <d v="2013-03-13T00:00:00"/>
    <n v="30000"/>
    <x v="2"/>
    <m/>
    <s v="N"/>
    <s v="NONE"/>
    <s v="DISMISSED"/>
    <n v="350"/>
    <n v="350"/>
    <n v="0"/>
    <n v="1"/>
    <m/>
    <m/>
    <m/>
    <m/>
    <m/>
    <m/>
    <m/>
    <m/>
    <m/>
    <d v="1993-09-14T00:00:00"/>
    <s v="M"/>
    <s v="B"/>
    <s v="BLACK"/>
    <s v="NULL"/>
    <s v="209"/>
    <s v="DISMISSED"/>
    <n v="14"/>
    <s v="DISMISSED"/>
    <m/>
    <m/>
    <m/>
    <s v="AGG ROBBERY-DEADLY WPN"/>
    <m/>
    <s v="F1"/>
    <s v="ROBBERY"/>
    <s v="fel eng in crim act stj 8 mos 3/13/13 "/>
    <m/>
    <m/>
    <m/>
    <m/>
    <m/>
    <m/>
    <m/>
    <m/>
    <s v="Appointed Attorney"/>
    <m/>
    <m/>
    <n v="350"/>
    <n v="350"/>
    <n v="350"/>
    <n v="18.5"/>
    <n v="0"/>
    <n v="0"/>
    <s v="NO CONVICTION"/>
    <x v="0"/>
    <s v="N"/>
    <m/>
    <s v="NO CONVICTION"/>
    <s v="Y"/>
    <x v="0"/>
    <x v="0"/>
    <s v="N"/>
    <n v="1"/>
    <n v="1"/>
    <n v="0"/>
    <n v="0"/>
    <n v="-350"/>
    <n v="0"/>
    <n v="350"/>
    <e v="#VALUE!"/>
    <n v="350"/>
    <n v="0"/>
    <m/>
    <m/>
    <s v="Y"/>
    <m/>
    <s v="121-365 DAYS"/>
    <n v="6"/>
    <x v="0"/>
  </r>
  <r>
    <n v="595"/>
    <s v="N"/>
    <s v="N"/>
    <n v="2601306"/>
    <n v="2"/>
    <d v="2012-01-24T00:00:00"/>
    <d v="2012-01-26T00:00:00"/>
    <n v="2601306"/>
    <d v="2012-01-25T00:00:00"/>
    <d v="2012-01-26T00:00:00"/>
    <n v="5000"/>
    <x v="4"/>
    <m/>
    <s v="N"/>
    <s v="NONE"/>
    <s v="DEFERRED ADJUDICATION "/>
    <n v="2"/>
    <n v="3"/>
    <n v="0"/>
    <n v="0"/>
    <m/>
    <m/>
    <m/>
    <m/>
    <m/>
    <m/>
    <m/>
    <m/>
    <m/>
    <d v="1989-06-16T00:00:00"/>
    <s v="F"/>
    <s v="W"/>
    <s v="WHITE"/>
    <s v="NULL"/>
    <s v="209"/>
    <s v="DEFERRED"/>
    <n v="2"/>
    <s v="DEFERRED"/>
    <m/>
    <m/>
    <m/>
    <s v="OTHER DRUG (POSS/ATT POSS CS BY FRAUD SCH"/>
    <m/>
    <s v="FS"/>
    <s v="POSS DRUG"/>
    <m/>
    <m/>
    <m/>
    <m/>
    <m/>
    <m/>
    <m/>
    <m/>
    <m/>
    <s v="Appointed Attorney"/>
    <m/>
    <m/>
    <n v="2"/>
    <n v="2"/>
    <n v="3"/>
    <n v="22.560109289617486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586"/>
    <s v="N"/>
    <s v="N"/>
    <n v="2601332"/>
    <n v="2"/>
    <d v="2012-01-24T00:00:00"/>
    <d v="2012-04-10T00:00:00"/>
    <n v="2601332"/>
    <s v="NOT BOOKED"/>
    <s v="NOT BOOKED"/>
    <n v="5000"/>
    <x v="4"/>
    <d v="2012-03-21T00:00:00"/>
    <s v="Y"/>
    <s v="SURETYPTRc"/>
    <s v="DEFERRED ADJUDICATION "/>
    <n v="0"/>
    <n v="78"/>
    <n v="0"/>
    <n v="0"/>
    <m/>
    <m/>
    <m/>
    <m/>
    <m/>
    <m/>
    <m/>
    <s v="S"/>
    <m/>
    <d v="1986-09-01T00:00:00"/>
    <s v="M"/>
    <s v="H"/>
    <s v="HISPANIC"/>
    <s v="NULL"/>
    <s v="228"/>
    <s v="DEFERRED"/>
    <n v="3"/>
    <s v="DEFERRED"/>
    <m/>
    <m/>
    <m/>
    <s v="FAIL TO REGISTER AS SEX OFFEND"/>
    <m/>
    <s v="FS"/>
    <s v="OTHER FEL"/>
    <m/>
    <m/>
    <m/>
    <m/>
    <m/>
    <m/>
    <m/>
    <m/>
    <m/>
    <s v="Appointed Attorney"/>
    <m/>
    <m/>
    <n v="0"/>
    <n v="0"/>
    <n v="78"/>
    <n v="25.344262295081968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598"/>
    <s v="N"/>
    <s v="N"/>
    <n v="2601454"/>
    <n v="6"/>
    <d v="2012-01-24T00:00:00"/>
    <d v="2012-06-04T00:00:00"/>
    <n v="2601454"/>
    <d v="2012-01-24T00:00:00"/>
    <d v="2012-06-04T00:00:00"/>
    <n v="10000"/>
    <x v="3"/>
    <m/>
    <s v="N"/>
    <s v="NONE"/>
    <s v="DEFENDANT CONVICTED ON ANOTHER CHARGE"/>
    <n v="133"/>
    <n v="133"/>
    <n v="0"/>
    <n v="0"/>
    <m/>
    <m/>
    <m/>
    <m/>
    <m/>
    <m/>
    <m/>
    <m/>
    <m/>
    <d v="1991-02-13T00:00:00"/>
    <s v="M"/>
    <s v="B"/>
    <s v="BLACK"/>
    <s v="NULL"/>
    <s v="339"/>
    <s v="CONVICTED"/>
    <n v="6"/>
    <s v="TDC"/>
    <n v="2"/>
    <m/>
    <m/>
    <s v="BURGLARY OF HABITATION"/>
    <m/>
    <s v="F2"/>
    <s v="BURGLARY"/>
    <m/>
    <m/>
    <m/>
    <m/>
    <m/>
    <m/>
    <m/>
    <m/>
    <m/>
    <s v="Appointed Attorney"/>
    <m/>
    <m/>
    <n v="133"/>
    <n v="133"/>
    <n v="133"/>
    <n v="20.901639344262296"/>
    <n v="0"/>
    <n v="0"/>
    <s v="CONVICTION"/>
    <x v="0"/>
    <s v="N"/>
    <m/>
    <s v="CONVICTION"/>
    <s v="Y"/>
    <x v="0"/>
    <x v="0"/>
    <s v="N"/>
    <n v="1"/>
    <n v="1"/>
    <n v="0"/>
    <n v="0"/>
    <n v="-133"/>
    <n v="0"/>
    <n v="133"/>
    <e v="#VALUE!"/>
    <n v="133"/>
    <n v="0"/>
    <m/>
    <m/>
    <s v="N"/>
    <m/>
    <s v="121-365 DAYS"/>
    <n v="6"/>
    <x v="0"/>
  </r>
  <r>
    <n v="602"/>
    <s v="N"/>
    <s v="N"/>
    <n v="2601461"/>
    <n v="2"/>
    <d v="2012-01-24T00:00:00"/>
    <d v="2012-11-12T00:00:00"/>
    <n v="2601461"/>
    <d v="2012-01-25T00:00:00"/>
    <d v="2012-01-26T00:00:00"/>
    <n v="2000"/>
    <x v="5"/>
    <d v="2012-01-26T00:00:00"/>
    <s v="Y"/>
    <s v="SURETY"/>
    <s v="DEFERRED ADJUDICATION "/>
    <n v="2"/>
    <n v="294"/>
    <n v="0"/>
    <n v="0"/>
    <m/>
    <m/>
    <m/>
    <m/>
    <m/>
    <m/>
    <m/>
    <s v="S"/>
    <m/>
    <d v="1982-10-21T00:00:00"/>
    <s v="M"/>
    <s v="H"/>
    <s v="HISPANIC"/>
    <s v="NULL"/>
    <s v="174"/>
    <s v="DEFERRED"/>
    <n v="13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293"/>
    <n v="294"/>
    <n v="29.199453551912569"/>
    <n v="0"/>
    <n v="-291"/>
    <s v="DEFERRED"/>
    <x v="1"/>
    <s v="Y"/>
    <m/>
    <s v="DEFERRED"/>
    <s v="Y"/>
    <x v="1"/>
    <x v="0"/>
    <s v="N"/>
    <n v="6.8027210884353739E-3"/>
    <n v="6.8259385665529011E-3"/>
    <n v="2.3217478117527196E-5"/>
    <n v="0"/>
    <n v="-2"/>
    <n v="0"/>
    <n v="2"/>
    <e v="#VALUE!"/>
    <n v="2"/>
    <n v="0"/>
    <m/>
    <m/>
    <s v="N"/>
    <m/>
    <s v="0-10 DAYS"/>
    <n v="1"/>
    <x v="0"/>
  </r>
  <r>
    <n v="608"/>
    <s v="N"/>
    <s v="N"/>
    <n v="2601469"/>
    <n v="2"/>
    <d v="2012-01-24T00:00:00"/>
    <d v="2012-01-26T00:00:00"/>
    <n v="2601469"/>
    <d v="2012-01-25T00:00:00"/>
    <d v="2012-01-26T00:00:00"/>
    <n v="2000"/>
    <x v="5"/>
    <m/>
    <s v="N"/>
    <s v="NONE"/>
    <s v="DEFERRED ADJUDICATION "/>
    <n v="2"/>
    <n v="3"/>
    <n v="0"/>
    <n v="0"/>
    <m/>
    <m/>
    <m/>
    <m/>
    <m/>
    <m/>
    <m/>
    <m/>
    <m/>
    <d v="1981-07-11T00:00:00"/>
    <s v="F"/>
    <s v="B"/>
    <s v="BLACK"/>
    <s v="NULL"/>
    <s v="185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2"/>
    <n v="2"/>
    <n v="3"/>
    <n v="30.475409836065573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611"/>
    <s v="Y"/>
    <s v="N"/>
    <n v="2601470"/>
    <n v="1"/>
    <d v="2012-01-24T00:00:00"/>
    <d v="2012-01-26T00:00:00"/>
    <n v="2601470"/>
    <d v="2012-01-25T00:00:00"/>
    <d v="2012-01-26T00:00:00"/>
    <n v="15000"/>
    <x v="0"/>
    <m/>
    <s v="N"/>
    <s v="NONE"/>
    <s v="DISMISSED"/>
    <n v="2"/>
    <n v="3"/>
    <n v="0"/>
    <n v="0"/>
    <m/>
    <m/>
    <m/>
    <m/>
    <m/>
    <m/>
    <m/>
    <m/>
    <m/>
    <d v="1963-11-11T00:00:00"/>
    <s v="M"/>
    <s v="A"/>
    <s v="OTHER"/>
    <s v="NON-HISPANIC"/>
    <s v="179"/>
    <s v="DISMISSED"/>
    <n v="1"/>
    <s v="DISMISSED"/>
    <m/>
    <m/>
    <m/>
    <s v="POSS CS PG 1 &lt;1G"/>
    <m/>
    <s v="FS"/>
    <s v="POSS DRUG"/>
    <m/>
    <m/>
    <m/>
    <m/>
    <m/>
    <m/>
    <m/>
    <m/>
    <m/>
    <s v="Other/Unknown"/>
    <s v="2/9/12 m tres hcj30 f theft 6/25/12 hcj180d"/>
    <m/>
    <n v="2"/>
    <n v="2"/>
    <n v="3"/>
    <n v="48.103825136612024"/>
    <n v="0"/>
    <n v="0"/>
    <s v="NO CONVICTION"/>
    <x v="0"/>
    <s v="N"/>
    <m/>
    <s v="NO 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612"/>
    <s v="N"/>
    <s v="N"/>
    <n v="2601471"/>
    <n v="4"/>
    <d v="2012-01-24T00:00:00"/>
    <d v="2012-03-27T00:00:00"/>
    <n v="2601471"/>
    <d v="2012-01-25T00:00:00"/>
    <d v="2012-03-27T00:00:00"/>
    <s v="NO BOND"/>
    <x v="1"/>
    <m/>
    <s v="N"/>
    <s v="NONE"/>
    <s v="GUILTY PLEA - NO JURY"/>
    <n v="63"/>
    <n v="64"/>
    <n v="0"/>
    <n v="0"/>
    <m/>
    <m/>
    <m/>
    <m/>
    <m/>
    <m/>
    <m/>
    <m/>
    <m/>
    <d v="1992-03-20T00:00:00"/>
    <s v="M"/>
    <s v="W"/>
    <s v="WHITE"/>
    <s v="NULL"/>
    <s v="338"/>
    <s v="CONVICTED"/>
    <n v="4"/>
    <s v="HCJ"/>
    <m/>
    <m/>
    <n v="365"/>
    <s v="ATT RETALIATION"/>
    <m/>
    <s v="FS"/>
    <s v="OTHER FEL"/>
    <m/>
    <m/>
    <m/>
    <m/>
    <m/>
    <m/>
    <m/>
    <m/>
    <m/>
    <s v="Appointed Attorney"/>
    <m/>
    <m/>
    <n v="63"/>
    <n v="63"/>
    <n v="64"/>
    <n v="19.806010928961747"/>
    <n v="0"/>
    <n v="0"/>
    <s v="CONVICTION"/>
    <x v="0"/>
    <s v="N"/>
    <m/>
    <s v="CONVICTION"/>
    <s v="Y"/>
    <x v="0"/>
    <x v="0"/>
    <s v="N"/>
    <n v="0.984375"/>
    <n v="1"/>
    <n v="1.5625E-2"/>
    <n v="0"/>
    <n v="-63"/>
    <n v="0"/>
    <n v="63"/>
    <e v="#VALUE!"/>
    <n v="63"/>
    <n v="0"/>
    <m/>
    <m/>
    <s v="N"/>
    <m/>
    <s v="61-90 DAYS"/>
    <n v="4"/>
    <x v="0"/>
  </r>
  <r>
    <n v="616"/>
    <s v="N"/>
    <s v="N"/>
    <n v="2601488"/>
    <n v="4"/>
    <d v="2012-01-25T00:00:00"/>
    <d v="2012-01-26T00:00:00"/>
    <n v="2601488"/>
    <d v="2012-01-25T00:00:00"/>
    <d v="2012-01-26T00:00:00"/>
    <n v="2000"/>
    <x v="5"/>
    <m/>
    <s v="N"/>
    <s v="NONE"/>
    <s v="GUILTY PLEA - NO JURY"/>
    <n v="2"/>
    <n v="2"/>
    <n v="0"/>
    <n v="0"/>
    <m/>
    <m/>
    <m/>
    <m/>
    <m/>
    <m/>
    <m/>
    <s v="S"/>
    <m/>
    <d v="1993-06-01T00:00:00"/>
    <s v="M"/>
    <s v="H"/>
    <s v="HISPANIC"/>
    <s v="NULL"/>
    <s v="263"/>
    <s v="CONVICTED"/>
    <n v="1"/>
    <s v="HCJ"/>
    <m/>
    <m/>
    <n v="30"/>
    <s v="POSS CS PG 1 &lt;1G"/>
    <m/>
    <s v="FS"/>
    <s v="POSS DRUG"/>
    <m/>
    <m/>
    <m/>
    <m/>
    <m/>
    <m/>
    <m/>
    <m/>
    <m/>
    <s v="Appointed Attorney"/>
    <m/>
    <m/>
    <n v="2"/>
    <n v="2"/>
    <n v="2"/>
    <n v="18.612021857923498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628"/>
    <s v="N"/>
    <s v="N"/>
    <n v="2601493"/>
    <n v="2"/>
    <d v="2012-01-25T00:00:00"/>
    <d v="2012-10-06T00:00:00"/>
    <n v="2601493"/>
    <d v="2012-01-25T00:00:00"/>
    <d v="2012-01-28T00:00:00"/>
    <n v="5000"/>
    <x v="4"/>
    <d v="2012-01-28T00:00:00"/>
    <s v="Y"/>
    <s v="SURETY"/>
    <s v="DEFERRED ADJUDICATION "/>
    <n v="4"/>
    <n v="256"/>
    <n v="0"/>
    <n v="0"/>
    <m/>
    <m/>
    <m/>
    <m/>
    <m/>
    <m/>
    <m/>
    <m/>
    <m/>
    <d v="1985-10-03T00:00:00"/>
    <s v="M"/>
    <s v="B"/>
    <s v="BLACK"/>
    <s v="NON-HISPANIC"/>
    <s v="184"/>
    <s v="DEFERRED"/>
    <n v="11"/>
    <s v="DEFERRED"/>
    <m/>
    <m/>
    <m/>
    <s v="FELON POSS WPN"/>
    <m/>
    <s v="F3"/>
    <s v="OTHER FEL"/>
    <m/>
    <m/>
    <m/>
    <m/>
    <m/>
    <m/>
    <m/>
    <m/>
    <m/>
    <s v="Hired Attorney"/>
    <m/>
    <m/>
    <n v="4"/>
    <n v="256"/>
    <n v="256"/>
    <n v="26.256830601092897"/>
    <n v="0"/>
    <n v="-252"/>
    <s v="DEFERRED"/>
    <x v="1"/>
    <s v="Y"/>
    <m/>
    <s v="DEFERRED"/>
    <s v="Y"/>
    <x v="1"/>
    <x v="0"/>
    <s v="N"/>
    <n v="1.5625E-2"/>
    <n v="1.5625E-2"/>
    <n v="0"/>
    <n v="0"/>
    <n v="-4"/>
    <n v="0"/>
    <n v="4"/>
    <e v="#VALUE!"/>
    <n v="4"/>
    <n v="0"/>
    <m/>
    <m/>
    <s v="N"/>
    <m/>
    <s v="0-10 DAYS"/>
    <n v="1"/>
    <x v="0"/>
  </r>
  <r>
    <n v="620"/>
    <s v="N"/>
    <s v="N"/>
    <n v="2601526"/>
    <n v="2"/>
    <d v="2012-01-25T00:00:00"/>
    <d v="2012-05-22T00:00:00"/>
    <n v="2601526"/>
    <d v="2012-01-26T00:00:00"/>
    <d v="2012-01-31T00:00:00"/>
    <n v="5000"/>
    <x v="4"/>
    <d v="2012-01-31T00:00:00"/>
    <s v="Y"/>
    <s v="PTRc"/>
    <s v="DEFERRED ADJUDICATION "/>
    <n v="6"/>
    <n v="119"/>
    <n v="0"/>
    <n v="0"/>
    <m/>
    <m/>
    <m/>
    <m/>
    <m/>
    <m/>
    <m/>
    <m/>
    <m/>
    <d v="1992-07-28T00:00:00"/>
    <s v="M"/>
    <s v="B"/>
    <s v="BLACK"/>
    <s v="NULL"/>
    <s v="208"/>
    <s v="DEFERRED"/>
    <n v="8"/>
    <s v="DEFERRED"/>
    <m/>
    <m/>
    <m/>
    <s v="FORGERY GOVT FINANCIAL INST"/>
    <m/>
    <s v="F3"/>
    <s v="OTHER FEL"/>
    <m/>
    <m/>
    <m/>
    <m/>
    <m/>
    <m/>
    <m/>
    <m/>
    <m/>
    <s v="Appointed Attorney"/>
    <m/>
    <m/>
    <n v="6"/>
    <n v="118"/>
    <n v="119"/>
    <n v="19.453551912568305"/>
    <n v="0"/>
    <n v="-112"/>
    <s v="DEFERRED"/>
    <x v="2"/>
    <s v="Y"/>
    <m/>
    <s v="DEFERRED"/>
    <s v="Y"/>
    <x v="1"/>
    <x v="0"/>
    <s v="N"/>
    <n v="5.0420168067226892E-2"/>
    <n v="5.0847457627118647E-2"/>
    <n v="4.2728955989175532E-4"/>
    <n v="0"/>
    <n v="-6"/>
    <n v="0"/>
    <n v="6"/>
    <e v="#VALUE!"/>
    <n v="6"/>
    <n v="0"/>
    <m/>
    <m/>
    <s v="N"/>
    <m/>
    <s v="0-10 DAYS"/>
    <n v="1"/>
    <x v="0"/>
  </r>
  <r>
    <n v="623"/>
    <s v="N"/>
    <s v="N"/>
    <n v="2601632"/>
    <n v="3"/>
    <d v="2012-01-25T00:00:00"/>
    <d v="2012-07-13T00:00:00"/>
    <n v="2601632"/>
    <d v="2012-01-26T00:00:00"/>
    <d v="2012-01-28T00:00:00"/>
    <n v="100000"/>
    <x v="2"/>
    <d v="2012-01-28T00:00:00"/>
    <s v="Y"/>
    <s v="SURETY"/>
    <s v="GUILTY PLEA - NO JURY"/>
    <n v="3"/>
    <n v="171"/>
    <n v="0"/>
    <n v="0"/>
    <m/>
    <m/>
    <m/>
    <m/>
    <m/>
    <m/>
    <m/>
    <m/>
    <m/>
    <d v="1970-04-18T00:00:00"/>
    <s v="M"/>
    <s v="W"/>
    <s v="WHITE"/>
    <s v="NULL"/>
    <s v="248"/>
    <s v="CONVICTED"/>
    <n v="3"/>
    <s v="PROBATION"/>
    <m/>
    <m/>
    <m/>
    <s v="THEFT &gt;= $200,000"/>
    <m/>
    <s v="F1"/>
    <s v="THEFT"/>
    <m/>
    <m/>
    <m/>
    <m/>
    <m/>
    <m/>
    <m/>
    <m/>
    <m/>
    <s v="Hired Attorney"/>
    <m/>
    <m/>
    <n v="3"/>
    <n v="170"/>
    <n v="171"/>
    <n v="41.685792349726775"/>
    <n v="0"/>
    <n v="-167"/>
    <s v="CONVICTION"/>
    <x v="1"/>
    <s v="Y"/>
    <m/>
    <s v="CONVICTION"/>
    <s v="Y"/>
    <x v="1"/>
    <x v="0"/>
    <s v="N"/>
    <n v="1.7543859649122806E-2"/>
    <n v="1.7647058823529412E-2"/>
    <n v="1.0319917440660548E-4"/>
    <n v="0"/>
    <n v="-3"/>
    <n v="0"/>
    <n v="3"/>
    <e v="#VALUE!"/>
    <n v="3"/>
    <n v="0"/>
    <m/>
    <m/>
    <s v="N"/>
    <m/>
    <s v="0-10 DAYS"/>
    <n v="1"/>
    <x v="0"/>
  </r>
  <r>
    <n v="625"/>
    <s v="N"/>
    <s v="N"/>
    <n v="2601680"/>
    <n v="1"/>
    <d v="2012-01-25T00:00:00"/>
    <d v="2012-02-16T00:00:00"/>
    <n v="2601680"/>
    <s v="NOT BOOKED"/>
    <s v="NOT BOOKED"/>
    <n v="5000"/>
    <x v="4"/>
    <d v="2012-01-26T00:00:00"/>
    <s v="Y"/>
    <s v="SURETY"/>
    <s v="DISMISSED"/>
    <n v="0"/>
    <n v="23"/>
    <n v="0"/>
    <n v="0"/>
    <m/>
    <m/>
    <m/>
    <m/>
    <m/>
    <m/>
    <m/>
    <s v="S"/>
    <m/>
    <d v="1989-01-17T00:00:00"/>
    <s v="F"/>
    <s v="H"/>
    <s v="HISPANIC"/>
    <s v="NULL"/>
    <s v="263"/>
    <s v="DISMISSED"/>
    <n v="2"/>
    <s v="DISMISSED"/>
    <m/>
    <m/>
    <m/>
    <s v="POSS CS PG 2 1-4 GRAMS"/>
    <m/>
    <s v="F3"/>
    <s v="POSS DRUG"/>
    <m/>
    <m/>
    <m/>
    <m/>
    <m/>
    <m/>
    <m/>
    <m/>
    <m/>
    <s v="Other/Unknown"/>
    <m/>
    <m/>
    <n v="0"/>
    <n v="0"/>
    <n v="23"/>
    <n v="22.972677595628415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686"/>
    <s v="N"/>
    <s v="N"/>
    <n v="2601689"/>
    <n v="6"/>
    <d v="2012-01-27T00:00:00"/>
    <d v="2013-05-07T00:00:00"/>
    <n v="2601689"/>
    <d v="2012-01-28T00:00:00"/>
    <d v="2013-05-07T00:00:00"/>
    <s v="NO BOND"/>
    <x v="1"/>
    <m/>
    <s v="N"/>
    <s v="NONE"/>
    <s v="GUILTY PLEA - NO JURY"/>
    <n v="466"/>
    <n v="467"/>
    <n v="0"/>
    <n v="0"/>
    <m/>
    <m/>
    <m/>
    <m/>
    <m/>
    <m/>
    <m/>
    <s v="S"/>
    <m/>
    <d v="1993-01-13T00:00:00"/>
    <s v="M"/>
    <s v="H"/>
    <s v="HISPANIC"/>
    <s v="NULL"/>
    <s v="263"/>
    <s v="CONVICTED"/>
    <n v="11"/>
    <s v="TDC"/>
    <n v="99"/>
    <m/>
    <m/>
    <s v="CAPITAL MURDER"/>
    <m/>
    <s v="FC"/>
    <s v="CAP MURDER"/>
    <s v="cap pend; life sent for murder filed same date"/>
    <m/>
    <m/>
    <m/>
    <m/>
    <m/>
    <m/>
    <m/>
    <m/>
    <s v="Hired Attorney"/>
    <m/>
    <m/>
    <n v="466"/>
    <n v="466"/>
    <n v="467"/>
    <n v="18.997267759562842"/>
    <n v="0"/>
    <n v="0"/>
    <s v="CONVICTION"/>
    <x v="0"/>
    <s v="N"/>
    <m/>
    <s v="CONVICTION"/>
    <s v="Y"/>
    <x v="0"/>
    <x v="0"/>
    <s v="N"/>
    <n v="0.99785867237687365"/>
    <n v="1"/>
    <n v="2.1413276231263545E-3"/>
    <n v="0"/>
    <n v="-466"/>
    <n v="0"/>
    <n v="466"/>
    <e v="#VALUE!"/>
    <n v="466"/>
    <n v="0"/>
    <m/>
    <m/>
    <s v="N"/>
    <m/>
    <s v=" &gt;1YRS&lt;2YRS"/>
    <n v="0"/>
    <x v="0"/>
  </r>
  <r>
    <n v="630"/>
    <s v="N"/>
    <s v="N"/>
    <n v="2601698"/>
    <n v="6"/>
    <d v="2012-01-25T00:00:00"/>
    <d v="2013-09-19T00:00:00"/>
    <n v="2601698"/>
    <d v="2012-01-26T00:00:00"/>
    <d v="2013-09-19T00:00:00"/>
    <s v="NO BOND"/>
    <x v="1"/>
    <m/>
    <s v="N"/>
    <s v="NONE"/>
    <s v="GUILTY PLEA - NO JURY"/>
    <n v="603"/>
    <n v="604"/>
    <n v="0"/>
    <n v="0"/>
    <m/>
    <m/>
    <m/>
    <m/>
    <m/>
    <m/>
    <m/>
    <m/>
    <m/>
    <d v="1987-04-06T00:00:00"/>
    <s v="M"/>
    <s v="W"/>
    <s v="WHITE"/>
    <s v="NULL"/>
    <s v="262"/>
    <s v="CONVICTED"/>
    <n v="23"/>
    <s v="TDC"/>
    <n v="50"/>
    <m/>
    <m/>
    <s v="AGG ROBBERY-DEADLY WPN"/>
    <m/>
    <s v="F1"/>
    <s v="ROBBERY"/>
    <m/>
    <m/>
    <m/>
    <m/>
    <m/>
    <m/>
    <m/>
    <m/>
    <m/>
    <s v="Appointed Attorney"/>
    <m/>
    <m/>
    <n v="603"/>
    <n v="603"/>
    <n v="604"/>
    <n v="24.754098360655739"/>
    <n v="0"/>
    <n v="0"/>
    <s v="CONVICTION"/>
    <x v="0"/>
    <s v="N"/>
    <m/>
    <s v="CONVICTION"/>
    <s v="Y"/>
    <x v="0"/>
    <x v="0"/>
    <s v="N"/>
    <n v="0.9983443708609272"/>
    <n v="1"/>
    <n v="1.6556291390728006E-3"/>
    <n v="0"/>
    <n v="-603"/>
    <n v="0"/>
    <n v="603"/>
    <e v="#VALUE!"/>
    <n v="603"/>
    <n v="0"/>
    <m/>
    <m/>
    <s v="N"/>
    <m/>
    <s v=" &gt;1YRS&lt;2YRS"/>
    <n v="0"/>
    <x v="0"/>
  </r>
  <r>
    <n v="641"/>
    <s v="N"/>
    <s v="N"/>
    <n v="2601713"/>
    <n v="3"/>
    <d v="2012-01-26T00:00:00"/>
    <d v="2013-06-14T00:00:00"/>
    <n v="2601713"/>
    <s v="NOT BOOKED"/>
    <s v="NOT BOOKED"/>
    <n v="5000"/>
    <x v="4"/>
    <d v="2012-01-30T00:00:00"/>
    <s v="Y"/>
    <s v="SURETYPTRc"/>
    <s v="GUILTY PLEA - NO JURY"/>
    <n v="0"/>
    <n v="506"/>
    <n v="0"/>
    <n v="0"/>
    <m/>
    <m/>
    <m/>
    <m/>
    <m/>
    <m/>
    <m/>
    <m/>
    <m/>
    <d v="1974-01-08T00:00:00"/>
    <s v="F"/>
    <s v="W"/>
    <s v="WHITE"/>
    <s v="NULL"/>
    <s v="177"/>
    <s v="CONVICTED"/>
    <n v="16"/>
    <s v="PROBATION"/>
    <m/>
    <m/>
    <m/>
    <s v="INTOXICATED ASSLT W/VEH SBI"/>
    <m/>
    <s v="F3"/>
    <s v="ASLT-MURDR"/>
    <m/>
    <m/>
    <m/>
    <m/>
    <m/>
    <m/>
    <m/>
    <m/>
    <m/>
    <s v="Hired Attorney"/>
    <m/>
    <m/>
    <n v="0"/>
    <e v="#VALUE!"/>
    <n v="506"/>
    <n v="37.969945355191257"/>
    <e v="#VALUE!"/>
    <e v="#VALUE!"/>
    <s v="CONVICTION"/>
    <x v="1"/>
    <s v="N"/>
    <m/>
    <s v="CONVICTION"/>
    <n v="0"/>
    <x v="1"/>
    <x v="0"/>
    <s v="N"/>
    <n v="0"/>
    <n v="0"/>
    <n v="0"/>
    <n v="0"/>
    <e v="#VALUE!"/>
    <e v="#VALUE!"/>
    <e v="#VALUE!"/>
    <s v="NOT BOOKED"/>
    <n v="0"/>
    <n v="0"/>
    <m/>
    <m/>
    <s v="N"/>
    <m/>
    <s v="0-10 DAYS"/>
    <n v="1"/>
    <x v="1"/>
  </r>
  <r>
    <n v="2082"/>
    <s v="N"/>
    <s v="N"/>
    <n v="2601743"/>
    <n v="2"/>
    <d v="2012-03-19T00:00:00"/>
    <d v="2012-07-19T00:00:00"/>
    <n v="2601743"/>
    <d v="2012-03-29T00:00:00"/>
    <d v="2012-03-31T00:00:00"/>
    <n v="2000"/>
    <x v="5"/>
    <d v="2012-03-31T00:00:00"/>
    <s v="Y"/>
    <s v="SURETY"/>
    <s v="DEFERRED ADJUDICATION "/>
    <n v="3"/>
    <n v="123"/>
    <n v="0"/>
    <n v="0"/>
    <m/>
    <m/>
    <m/>
    <m/>
    <m/>
    <m/>
    <m/>
    <m/>
    <m/>
    <d v="1982-04-10T00:00:00"/>
    <s v="F"/>
    <s v="W"/>
    <s v="WHITE"/>
    <s v="NULL"/>
    <s v="263"/>
    <s v="DEFERRED"/>
    <n v="5"/>
    <s v="DEFERRED"/>
    <m/>
    <m/>
    <m/>
    <s v="FORGERY"/>
    <m/>
    <s v="FS"/>
    <s v="OTHER FEL"/>
    <s v="misd theft 7/20/12 def adj"/>
    <m/>
    <m/>
    <m/>
    <m/>
    <m/>
    <m/>
    <m/>
    <m/>
    <s v="Hired Attorney"/>
    <m/>
    <m/>
    <n v="3"/>
    <n v="113"/>
    <n v="123"/>
    <n v="29.879781420765028"/>
    <n v="0"/>
    <n v="-110"/>
    <s v="DEFERRED"/>
    <x v="1"/>
    <s v="Y"/>
    <m/>
    <s v="DEFERRED"/>
    <s v="Y"/>
    <x v="1"/>
    <x v="0"/>
    <s v="N"/>
    <n v="2.4390243902439025E-2"/>
    <n v="2.6548672566371681E-2"/>
    <n v="2.1584286639326558E-3"/>
    <n v="0"/>
    <n v="-3"/>
    <n v="0"/>
    <n v="3"/>
    <e v="#VALUE!"/>
    <n v="3"/>
    <n v="0"/>
    <m/>
    <m/>
    <s v="N"/>
    <m/>
    <s v="0-10 DAYS"/>
    <n v="1"/>
    <x v="0"/>
  </r>
  <r>
    <n v="645"/>
    <s v="N"/>
    <s v="Y"/>
    <n v="2601763"/>
    <s v=""/>
    <d v="2012-01-26T00:00:00"/>
    <m/>
    <n v="2601763"/>
    <d v="2012-10-23T00:00:00"/>
    <d v="2013-03-02T00:00:00"/>
    <n v="60000"/>
    <x v="2"/>
    <d v="2013-03-02T00:00:00"/>
    <s v="Y"/>
    <s v="SURETYPTRc"/>
    <s v="NULL"/>
    <s v="STILL OPEN"/>
    <s v="STILL OPEN"/>
    <n v="0"/>
    <n v="0"/>
    <m/>
    <m/>
    <m/>
    <m/>
    <m/>
    <m/>
    <m/>
    <s v="S"/>
    <m/>
    <d v="1970-08-27T00:00:00"/>
    <s v="M"/>
    <s v="H"/>
    <s v="HISPANIC"/>
    <s v="NULL"/>
    <s v="228"/>
    <s v="NULL"/>
    <m/>
    <m/>
    <m/>
    <m/>
    <m/>
    <s v="INDECENCY CHILD-TG"/>
    <m/>
    <s v="F2"/>
    <s v="SEX ABUSE"/>
    <s v="bk 10/16/13 recal"/>
    <d v="2013-10-16T00:00:00"/>
    <m/>
    <m/>
    <s v="Y"/>
    <m/>
    <m/>
    <m/>
    <m/>
    <s v="Public Defender"/>
    <m/>
    <m/>
    <s v="STILL OPEN"/>
    <s v="STILL OPEN"/>
    <s v="STILL OPEN"/>
    <n v="41.330601092896174"/>
    <n v="0"/>
    <n v="41335"/>
    <n v="0"/>
    <x v="1"/>
    <s v="N"/>
    <m/>
    <s v=""/>
    <s v="Y"/>
    <x v="3"/>
    <x v="1"/>
    <s v="N"/>
    <s v="STILL OPEN"/>
    <s v="STILL OPEN"/>
    <n v="0"/>
    <e v="#VALUE!"/>
    <n v="-131"/>
    <e v="#VALUE!"/>
    <e v="#VALUE!"/>
    <s v="STILL OPEN"/>
    <s v="STILL OPEN"/>
    <m/>
    <m/>
    <m/>
    <s v="N"/>
    <e v="#N/A"/>
    <s v="&gt;3YRS"/>
    <n v="9"/>
    <x v="0"/>
  </r>
  <r>
    <n v="649"/>
    <s v="N"/>
    <s v="N"/>
    <n v="2601849"/>
    <n v="6"/>
    <d v="2012-01-26T00:00:00"/>
    <d v="2012-06-22T00:00:00"/>
    <n v="2601849"/>
    <d v="2012-01-27T00:00:00"/>
    <d v="2012-06-22T00:00:00"/>
    <n v="35000"/>
    <x v="2"/>
    <m/>
    <s v="N"/>
    <s v="NONE"/>
    <s v="GUILTY PLEA - NO JURY"/>
    <n v="148"/>
    <n v="149"/>
    <n v="0"/>
    <n v="0"/>
    <m/>
    <m/>
    <m/>
    <m/>
    <m/>
    <m/>
    <m/>
    <s v="S"/>
    <m/>
    <d v="1989-03-29T00:00:00"/>
    <s v="F"/>
    <s v="H"/>
    <s v="HISPANIC"/>
    <s v="NULL"/>
    <s v="184"/>
    <s v="CONVICTED"/>
    <n v="8"/>
    <s v="TDC"/>
    <n v="10"/>
    <m/>
    <m/>
    <s v="AGG ROBBERY-DEADLY WPN"/>
    <m/>
    <s v="F1"/>
    <s v="ROBBERY"/>
    <m/>
    <m/>
    <m/>
    <m/>
    <m/>
    <m/>
    <m/>
    <m/>
    <m/>
    <s v="Hired Attorney"/>
    <m/>
    <m/>
    <n v="148"/>
    <n v="148"/>
    <n v="149"/>
    <n v="22.781420765027324"/>
    <n v="0"/>
    <n v="0"/>
    <s v="CONVICTION"/>
    <x v="0"/>
    <s v="N"/>
    <m/>
    <s v="CONVICTION"/>
    <s v="Y"/>
    <x v="0"/>
    <x v="0"/>
    <s v="N"/>
    <n v="0.99328859060402686"/>
    <n v="1"/>
    <n v="6.7114093959731447E-3"/>
    <n v="0"/>
    <n v="-148"/>
    <n v="0"/>
    <n v="148"/>
    <e v="#VALUE!"/>
    <n v="148"/>
    <n v="0"/>
    <m/>
    <m/>
    <s v="N"/>
    <m/>
    <s v="121-365 DAYS"/>
    <n v="6"/>
    <x v="0"/>
  </r>
  <r>
    <n v="654"/>
    <s v="N"/>
    <s v="N"/>
    <n v="2601865"/>
    <n v="2"/>
    <d v="2012-01-26T00:00:00"/>
    <d v="2012-07-24T00:00:00"/>
    <n v="2601865"/>
    <d v="2012-01-27T00:00:00"/>
    <d v="2012-01-27T00:00:00"/>
    <n v="70000"/>
    <x v="2"/>
    <d v="2012-01-27T00:00:00"/>
    <s v="Y"/>
    <s v="SURETY"/>
    <s v="DEFERRED ADJUDICATION "/>
    <n v="1"/>
    <n v="181"/>
    <n v="0"/>
    <n v="0"/>
    <m/>
    <m/>
    <m/>
    <m/>
    <m/>
    <m/>
    <m/>
    <m/>
    <m/>
    <d v="1988-03-25T00:00:00"/>
    <s v="M"/>
    <s v="W"/>
    <s v="WHITE"/>
    <s v="NULL"/>
    <s v="263"/>
    <s v="DEFERRED"/>
    <n v="7"/>
    <s v="DEFERRED"/>
    <m/>
    <m/>
    <m/>
    <s v="PROMOTE CHILD PORNOGRAPHY"/>
    <m/>
    <s v="F2"/>
    <s v="OTHER FEL"/>
    <m/>
    <m/>
    <m/>
    <m/>
    <m/>
    <m/>
    <m/>
    <m/>
    <m/>
    <s v="Appointed Attorney"/>
    <m/>
    <m/>
    <n v="1"/>
    <n v="180"/>
    <n v="181"/>
    <n v="23.789617486338798"/>
    <n v="0"/>
    <n v="-179"/>
    <s v="DEFERRED"/>
    <x v="1"/>
    <s v="Y"/>
    <m/>
    <s v="DEFERRED"/>
    <s v="Y"/>
    <x v="1"/>
    <x v="0"/>
    <s v="N"/>
    <n v="5.5248618784530384E-3"/>
    <n v="5.5555555555555558E-3"/>
    <n v="3.0693677102517324E-5"/>
    <n v="0"/>
    <n v="-1"/>
    <n v="0"/>
    <n v="1"/>
    <e v="#VALUE!"/>
    <n v="1"/>
    <n v="0"/>
    <m/>
    <m/>
    <s v="N"/>
    <m/>
    <s v="0-10 DAYS"/>
    <n v="1"/>
    <x v="0"/>
  </r>
  <r>
    <n v="657"/>
    <s v="N"/>
    <s v="N"/>
    <n v="2601877"/>
    <n v="2"/>
    <d v="2012-01-26T00:00:00"/>
    <d v="2012-01-30T00:00:00"/>
    <n v="2601877"/>
    <d v="2012-01-27T00:00:00"/>
    <d v="2012-01-30T00:00:00"/>
    <n v="10000"/>
    <x v="3"/>
    <m/>
    <s v="N"/>
    <s v="NONE"/>
    <s v="DEFERRED ADJUDICATION "/>
    <n v="4"/>
    <n v="5"/>
    <n v="0"/>
    <n v="0"/>
    <m/>
    <m/>
    <m/>
    <m/>
    <m/>
    <m/>
    <m/>
    <m/>
    <m/>
    <d v="1977-02-01T00:00:00"/>
    <s v="F"/>
    <s v="B"/>
    <s v="BLACK"/>
    <s v="NULL"/>
    <s v="179"/>
    <s v="DEFERRED"/>
    <n v="1"/>
    <s v="DEFERRED"/>
    <m/>
    <m/>
    <m/>
    <s v="POSS CS PG 1 4G - 200G"/>
    <m/>
    <s v="F2"/>
    <s v="POSS DRUG"/>
    <m/>
    <m/>
    <m/>
    <m/>
    <m/>
    <m/>
    <m/>
    <m/>
    <m/>
    <s v="Appointed Attorney"/>
    <m/>
    <m/>
    <n v="4"/>
    <n v="4"/>
    <n v="5"/>
    <n v="34.909836065573771"/>
    <n v="0"/>
    <n v="0"/>
    <s v="DEFERRED"/>
    <x v="0"/>
    <s v="N"/>
    <m/>
    <s v="DEFERRED"/>
    <s v="Y"/>
    <x v="0"/>
    <x v="0"/>
    <s v="N"/>
    <n v="0.8"/>
    <n v="1"/>
    <n v="0.19999999999999996"/>
    <n v="0"/>
    <n v="-4"/>
    <n v="0"/>
    <n v="4"/>
    <e v="#VALUE!"/>
    <n v="4"/>
    <n v="0"/>
    <m/>
    <m/>
    <s v="N"/>
    <m/>
    <s v="0-10 DAYS"/>
    <n v="1"/>
    <x v="0"/>
  </r>
  <r>
    <n v="663"/>
    <s v="N"/>
    <s v="N"/>
    <n v="2601897"/>
    <n v="6"/>
    <d v="2012-01-27T00:00:00"/>
    <d v="2013-12-16T00:00:00"/>
    <n v="2601897"/>
    <d v="2012-01-27T00:00:00"/>
    <d v="2013-12-16T00:00:00"/>
    <s v="NO BOND"/>
    <x v="1"/>
    <m/>
    <s v="N"/>
    <s v="NONE"/>
    <s v="GUILTY PLEA - NO JURY"/>
    <n v="690"/>
    <n v="690"/>
    <n v="0"/>
    <n v="0"/>
    <m/>
    <m/>
    <m/>
    <m/>
    <m/>
    <m/>
    <m/>
    <s v="S"/>
    <m/>
    <d v="1992-09-15T00:00:00"/>
    <s v="M"/>
    <s v="H"/>
    <s v="HISPANIC"/>
    <s v="NULL"/>
    <s v="263"/>
    <s v="CONVICTED"/>
    <n v="20"/>
    <s v="TDC"/>
    <n v="45"/>
    <m/>
    <m/>
    <s v="CAPITAL MURDER"/>
    <m/>
    <s v="FC"/>
    <s v="CAP MURDER"/>
    <m/>
    <m/>
    <m/>
    <m/>
    <m/>
    <m/>
    <m/>
    <m/>
    <m/>
    <s v="Appointed Attorney"/>
    <m/>
    <m/>
    <n v="690"/>
    <n v="690"/>
    <n v="690"/>
    <n v="19.325136612021858"/>
    <n v="0"/>
    <n v="0"/>
    <s v="CONVICTION"/>
    <x v="0"/>
    <s v="Y"/>
    <m/>
    <s v="CONVICTION"/>
    <s v="Y"/>
    <x v="0"/>
    <x v="0"/>
    <s v="N"/>
    <n v="1"/>
    <n v="1"/>
    <n v="0"/>
    <n v="0"/>
    <n v="-690"/>
    <n v="0"/>
    <n v="690"/>
    <e v="#VALUE!"/>
    <n v="690"/>
    <n v="0"/>
    <m/>
    <m/>
    <s v="N"/>
    <m/>
    <s v=" &gt;1YRS&lt;2YRS"/>
    <n v="0"/>
    <x v="0"/>
  </r>
  <r>
    <n v="680"/>
    <s v="N"/>
    <s v="N"/>
    <n v="2601989"/>
    <n v="2"/>
    <d v="2012-01-27T00:00:00"/>
    <d v="2012-01-31T00:00:00"/>
    <n v="2601989"/>
    <d v="2012-01-28T00:00:00"/>
    <d v="2012-01-31T00:00:00"/>
    <n v="10000"/>
    <x v="3"/>
    <m/>
    <s v="N"/>
    <s v="NONE"/>
    <s v="DEFERRED ADJUDICATION "/>
    <n v="4"/>
    <n v="5"/>
    <n v="0"/>
    <n v="0"/>
    <m/>
    <m/>
    <m/>
    <m/>
    <m/>
    <m/>
    <m/>
    <m/>
    <m/>
    <d v="1988-01-23T00:00:00"/>
    <s v="M"/>
    <s v="B"/>
    <s v="BLACK"/>
    <s v="NULL"/>
    <s v="263"/>
    <s v="DEFERRED"/>
    <n v="2"/>
    <s v="DEFERRED"/>
    <m/>
    <m/>
    <m/>
    <s v="HINDER APPREHENSION"/>
    <m/>
    <s v="F3"/>
    <s v="OTHER FEL"/>
    <m/>
    <m/>
    <m/>
    <m/>
    <m/>
    <m/>
    <m/>
    <m/>
    <m/>
    <s v="Appointed Attorney"/>
    <m/>
    <m/>
    <n v="4"/>
    <n v="4"/>
    <n v="5"/>
    <n v="23.961748633879782"/>
    <n v="0"/>
    <n v="0"/>
    <s v="DEFERRED"/>
    <x v="0"/>
    <s v="N"/>
    <m/>
    <s v="DEFERRED"/>
    <s v="Y"/>
    <x v="0"/>
    <x v="0"/>
    <s v="N"/>
    <n v="0.8"/>
    <n v="1"/>
    <n v="0.19999999999999996"/>
    <n v="0"/>
    <n v="-4"/>
    <n v="0"/>
    <n v="4"/>
    <e v="#VALUE!"/>
    <n v="4"/>
    <n v="0"/>
    <m/>
    <m/>
    <s v="N"/>
    <m/>
    <s v="0-10 DAYS"/>
    <n v="1"/>
    <x v="0"/>
  </r>
  <r>
    <n v="2051"/>
    <s v="N"/>
    <s v="N"/>
    <n v="2602008"/>
    <n v="1"/>
    <d v="2012-03-18T00:00:00"/>
    <d v="2012-03-26T00:00:00"/>
    <n v="2602008"/>
    <d v="2012-03-18T00:00:00"/>
    <d v="2012-03-26T00:00:00"/>
    <s v="NO BOND"/>
    <x v="1"/>
    <m/>
    <s v="N"/>
    <s v="NONE"/>
    <s v="DISMISSED"/>
    <n v="9"/>
    <n v="9"/>
    <n v="0"/>
    <n v="0"/>
    <m/>
    <m/>
    <m/>
    <m/>
    <m/>
    <m/>
    <m/>
    <m/>
    <m/>
    <d v="1994-10-12T00:00:00"/>
    <s v="M"/>
    <s v="B"/>
    <s v="BLACK"/>
    <s v="NON-HISPANIC"/>
    <s v="183"/>
    <s v="DISMISSED"/>
    <n v="2"/>
    <s v="DISMISSED"/>
    <m/>
    <m/>
    <m/>
    <s v="UNAUTH USE OF VEHICLE"/>
    <m/>
    <s v="FS"/>
    <s v="AUTO THEFT"/>
    <s v="8/8/12 felony tamper 2yr tdc"/>
    <m/>
    <m/>
    <m/>
    <m/>
    <m/>
    <m/>
    <m/>
    <m/>
    <s v="Appointed Attorney"/>
    <m/>
    <m/>
    <n v="9"/>
    <n v="9"/>
    <n v="9"/>
    <n v="17.396174863387976"/>
    <n v="0"/>
    <n v="0"/>
    <s v="NO CONVICTION"/>
    <x v="0"/>
    <s v="N"/>
    <m/>
    <s v="NO CONVICTION"/>
    <s v="Y"/>
    <x v="0"/>
    <x v="0"/>
    <s v="N"/>
    <n v="1"/>
    <n v="1"/>
    <n v="0"/>
    <n v="0"/>
    <n v="-9"/>
    <n v="0"/>
    <n v="9"/>
    <e v="#VALUE!"/>
    <n v="9"/>
    <n v="0"/>
    <m/>
    <m/>
    <s v="N"/>
    <m/>
    <s v="0-10 DAYS"/>
    <n v="1"/>
    <x v="0"/>
  </r>
  <r>
    <n v="1574"/>
    <s v="N"/>
    <s v="N"/>
    <n v="2602012"/>
    <n v="6"/>
    <d v="2012-02-28T00:00:00"/>
    <d v="2013-01-10T00:00:00"/>
    <n v="2602012"/>
    <d v="2012-02-29T00:00:00"/>
    <d v="2013-01-10T00:00:00"/>
    <n v="70000"/>
    <x v="2"/>
    <m/>
    <s v="N"/>
    <s v="NONE"/>
    <s v="GUILTY PLEA - NO JURY"/>
    <n v="317"/>
    <n v="318"/>
    <n v="0"/>
    <n v="0"/>
    <m/>
    <m/>
    <m/>
    <m/>
    <m/>
    <m/>
    <m/>
    <m/>
    <m/>
    <d v="1994-04-20T00:00:00"/>
    <s v="F"/>
    <s v="W"/>
    <s v="WHITE"/>
    <s v="NULL"/>
    <s v="180"/>
    <s v="CONVICTED"/>
    <n v="11"/>
    <s v="TDC"/>
    <n v="3"/>
    <m/>
    <m/>
    <s v="AGG ROBBERY-DEADLY WPN"/>
    <m/>
    <s v="F1"/>
    <s v="ROBBERY"/>
    <m/>
    <m/>
    <m/>
    <m/>
    <m/>
    <m/>
    <m/>
    <m/>
    <m/>
    <s v="Hired Attorney"/>
    <m/>
    <m/>
    <n v="317"/>
    <n v="317"/>
    <n v="318"/>
    <n v="17.8224043715847"/>
    <n v="0"/>
    <n v="0"/>
    <s v="CONVICTION"/>
    <x v="0"/>
    <s v="N"/>
    <m/>
    <s v="CONVICTION"/>
    <s v="Y"/>
    <x v="0"/>
    <x v="0"/>
    <s v="N"/>
    <n v="0.99685534591194969"/>
    <n v="1"/>
    <n v="3.1446540880503138E-3"/>
    <n v="0"/>
    <n v="-317"/>
    <n v="0"/>
    <n v="317"/>
    <e v="#VALUE!"/>
    <n v="317"/>
    <n v="0"/>
    <m/>
    <m/>
    <s v="N"/>
    <m/>
    <s v="121-365 DAYS"/>
    <n v="6"/>
    <x v="0"/>
  </r>
  <r>
    <n v="689"/>
    <s v="N"/>
    <s v="N"/>
    <n v="2602013"/>
    <n v="6"/>
    <d v="2012-01-27T00:00:00"/>
    <d v="2013-01-09T00:00:00"/>
    <n v="2602013"/>
    <d v="2012-01-28T00:00:00"/>
    <d v="2013-01-09T00:00:00"/>
    <n v="240000"/>
    <x v="2"/>
    <m/>
    <s v="N"/>
    <s v="NONE"/>
    <s v="GUILTY PLEA - NO JURY"/>
    <n v="348"/>
    <n v="349"/>
    <n v="0"/>
    <n v="0"/>
    <m/>
    <m/>
    <m/>
    <m/>
    <m/>
    <m/>
    <m/>
    <s v="S"/>
    <m/>
    <d v="1993-06-06T00:00:00"/>
    <s v="M"/>
    <s v="H"/>
    <s v="HISPANIC"/>
    <s v="NULL"/>
    <s v="180"/>
    <s v="CONVICTED"/>
    <n v="12"/>
    <s v="TDC"/>
    <n v="12"/>
    <m/>
    <m/>
    <s v="AGG ROBBERY-DEADLY WPN"/>
    <m/>
    <s v="F1"/>
    <s v="ROBBERY"/>
    <m/>
    <m/>
    <m/>
    <m/>
    <m/>
    <m/>
    <m/>
    <m/>
    <m/>
    <s v="Hired Attorney"/>
    <m/>
    <m/>
    <n v="348"/>
    <n v="348"/>
    <n v="349"/>
    <n v="18.603825136612024"/>
    <n v="0"/>
    <n v="0"/>
    <s v="CONVICTION"/>
    <x v="0"/>
    <s v="N"/>
    <m/>
    <s v="CONVICTION"/>
    <s v="Y"/>
    <x v="0"/>
    <x v="0"/>
    <s v="N"/>
    <n v="0.99713467048710602"/>
    <n v="1"/>
    <n v="2.8653295128939771E-3"/>
    <n v="0"/>
    <n v="-348"/>
    <n v="0"/>
    <n v="348"/>
    <e v="#VALUE!"/>
    <n v="348"/>
    <n v="0"/>
    <m/>
    <m/>
    <s v="N"/>
    <m/>
    <s v="121-365 DAYS"/>
    <n v="6"/>
    <x v="0"/>
  </r>
  <r>
    <n v="699"/>
    <s v="N"/>
    <s v="N"/>
    <n v="2602080"/>
    <n v="2"/>
    <d v="2012-01-28T00:00:00"/>
    <d v="2012-01-30T00:00:00"/>
    <n v="2602080"/>
    <d v="2012-01-29T00:00:00"/>
    <d v="2012-01-30T00:00:00"/>
    <n v="2000"/>
    <x v="5"/>
    <m/>
    <s v="N"/>
    <s v="NONE"/>
    <s v="DEFERRED ADJUDICATION "/>
    <n v="2"/>
    <n v="3"/>
    <n v="0"/>
    <n v="0"/>
    <m/>
    <m/>
    <m/>
    <m/>
    <m/>
    <m/>
    <m/>
    <m/>
    <m/>
    <d v="1980-04-29T00:00:00"/>
    <s v="M"/>
    <s v="H"/>
    <s v="HISPANIC"/>
    <s v="HISPANIC"/>
    <s v="263"/>
    <s v="DEFERRED"/>
    <n v="2"/>
    <s v="DEFERRED"/>
    <m/>
    <m/>
    <m/>
    <s v="POSS CS PG 1 &lt;1G"/>
    <m/>
    <s v="FS"/>
    <s v="POSS DRUG"/>
    <s v="prob revoked 6/28/12 tdc 6mos"/>
    <m/>
    <m/>
    <m/>
    <m/>
    <m/>
    <m/>
    <m/>
    <m/>
    <s v="Appointed Attorney"/>
    <m/>
    <m/>
    <n v="2"/>
    <n v="2"/>
    <n v="3"/>
    <n v="31.683060109289617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703"/>
    <s v="N"/>
    <s v="N"/>
    <n v="2602090"/>
    <n v="4"/>
    <d v="2012-01-28T00:00:00"/>
    <d v="2012-03-06T00:00:00"/>
    <n v="2602090"/>
    <d v="2012-01-29T00:00:00"/>
    <d v="2012-03-06T00:00:00"/>
    <n v="2000"/>
    <x v="5"/>
    <m/>
    <s v="N"/>
    <s v="NONE"/>
    <s v="GUILTY PLEA - NO JURY"/>
    <n v="38"/>
    <n v="39"/>
    <n v="0"/>
    <n v="0"/>
    <m/>
    <m/>
    <m/>
    <m/>
    <m/>
    <m/>
    <m/>
    <s v="S"/>
    <m/>
    <d v="1994-07-04T00:00:00"/>
    <s v="M"/>
    <s v="H"/>
    <s v="HISPANIC"/>
    <s v="NULL"/>
    <s v="176"/>
    <s v="CONVICTED"/>
    <n v="3"/>
    <s v="HCJ"/>
    <m/>
    <m/>
    <n v="180"/>
    <s v="THEFT $1500-20K"/>
    <m/>
    <s v="FS"/>
    <s v="THEFT"/>
    <m/>
    <m/>
    <m/>
    <m/>
    <m/>
    <m/>
    <m/>
    <m/>
    <m/>
    <s v="Appointed Attorney"/>
    <m/>
    <m/>
    <n v="38"/>
    <n v="38"/>
    <n v="39"/>
    <n v="17.532786885245901"/>
    <n v="0"/>
    <n v="0"/>
    <s v="CONVICTION"/>
    <x v="0"/>
    <s v="N"/>
    <m/>
    <s v="CONVICTION"/>
    <s v="Y"/>
    <x v="0"/>
    <x v="0"/>
    <s v="N"/>
    <n v="0.97435897435897434"/>
    <n v="1"/>
    <n v="2.5641025641025661E-2"/>
    <n v="0"/>
    <n v="-38"/>
    <n v="0"/>
    <n v="38"/>
    <e v="#VALUE!"/>
    <n v="38"/>
    <n v="0"/>
    <m/>
    <m/>
    <s v="N"/>
    <m/>
    <s v="31-60 DAYS"/>
    <n v="3"/>
    <x v="0"/>
  </r>
  <r>
    <n v="705"/>
    <s v="N"/>
    <s v="N"/>
    <n v="2602094"/>
    <n v="1"/>
    <d v="2012-01-28T00:00:00"/>
    <d v="2013-05-10T00:00:00"/>
    <n v="2602094"/>
    <s v="NOT BOOKED"/>
    <s v="NOT BOOKED"/>
    <n v="5000"/>
    <x v="4"/>
    <d v="2012-01-29T00:00:00"/>
    <s v="Y"/>
    <s v="SURETY"/>
    <s v="pretrial diversion"/>
    <n v="0"/>
    <n v="469"/>
    <n v="0"/>
    <n v="0"/>
    <m/>
    <m/>
    <m/>
    <m/>
    <m/>
    <m/>
    <m/>
    <m/>
    <m/>
    <d v="1960-07-16T00:00:00"/>
    <s v="M"/>
    <s v="B"/>
    <s v="BLACK"/>
    <s v="NULL"/>
    <s v="177"/>
    <s v="DISMISSED"/>
    <n v="5"/>
    <s v="DISMISSED"/>
    <m/>
    <m/>
    <m/>
    <s v="TAMPER/FABRICATE EVIDENCE"/>
    <m/>
    <s v="F3"/>
    <s v="OTHER FEL"/>
    <s v="success pt inter dism"/>
    <m/>
    <m/>
    <m/>
    <m/>
    <m/>
    <m/>
    <m/>
    <m/>
    <s v="Hired Attorney"/>
    <m/>
    <m/>
    <n v="0"/>
    <e v="#VALUE!"/>
    <n v="469"/>
    <n v="51.428961748633881"/>
    <e v="#VALUE!"/>
    <e v="#VALUE!"/>
    <s v="NO CONVICTION"/>
    <x v="1"/>
    <s v="N"/>
    <m/>
    <s v="NO CONVICTION"/>
    <n v="0"/>
    <x v="1"/>
    <x v="0"/>
    <s v="N"/>
    <n v="0"/>
    <n v="0"/>
    <n v="0"/>
    <n v="0"/>
    <e v="#VALUE!"/>
    <e v="#VALUE!"/>
    <e v="#VALUE!"/>
    <s v="NOT BOOKED"/>
    <n v="0"/>
    <n v="0"/>
    <m/>
    <m/>
    <s v="N"/>
    <m/>
    <s v="0-10 DAYS"/>
    <n v="1"/>
    <x v="1"/>
  </r>
  <r>
    <n v="708"/>
    <s v="N"/>
    <s v="N"/>
    <n v="2602099"/>
    <n v="6"/>
    <d v="2012-01-28T00:00:00"/>
    <d v="2012-06-21T00:00:00"/>
    <n v="2602099"/>
    <d v="2012-01-29T00:00:00"/>
    <d v="2012-02-02T00:00:00"/>
    <n v="40000"/>
    <x v="2"/>
    <d v="2012-02-02T00:00:00"/>
    <s v="Y"/>
    <s v="SURETY"/>
    <s v="GUILTY PLEA - NO JURY"/>
    <n v="5"/>
    <n v="146"/>
    <n v="0"/>
    <n v="0"/>
    <m/>
    <m/>
    <m/>
    <m/>
    <m/>
    <m/>
    <m/>
    <s v="S"/>
    <m/>
    <d v="1994-05-28T00:00:00"/>
    <s v="M"/>
    <s v="H"/>
    <s v="HISPANIC"/>
    <s v="NULL"/>
    <s v="262"/>
    <s v="CONVICTED"/>
    <n v="6"/>
    <s v="TDC"/>
    <n v="15"/>
    <m/>
    <m/>
    <s v="AGG ROBBERY-DEADLY WPN"/>
    <m/>
    <s v="F1"/>
    <s v="ROBBERY"/>
    <m/>
    <m/>
    <m/>
    <m/>
    <m/>
    <m/>
    <m/>
    <m/>
    <m/>
    <s v="Hired Attorney"/>
    <m/>
    <m/>
    <n v="5"/>
    <n v="145"/>
    <n v="146"/>
    <n v="17.633879781420767"/>
    <n v="0"/>
    <n v="-140"/>
    <s v="CONVICTION"/>
    <x v="1"/>
    <s v="Y"/>
    <m/>
    <s v="CONVICTION"/>
    <s v="Y"/>
    <x v="1"/>
    <x v="0"/>
    <s v="N"/>
    <n v="3.4246575342465752E-2"/>
    <n v="3.4482758620689655E-2"/>
    <n v="2.3618327822390317E-4"/>
    <n v="0"/>
    <n v="-5"/>
    <n v="0"/>
    <n v="5"/>
    <e v="#VALUE!"/>
    <n v="5"/>
    <n v="0"/>
    <m/>
    <m/>
    <s v="N"/>
    <m/>
    <s v="0-10 DAYS"/>
    <n v="1"/>
    <x v="0"/>
  </r>
  <r>
    <n v="2187"/>
    <s v="N"/>
    <s v="N"/>
    <n v="2602102"/>
    <n v="2"/>
    <d v="2012-03-22T00:00:00"/>
    <d v="2012-03-26T00:00:00"/>
    <n v="2602102"/>
    <d v="2012-03-23T00:00:00"/>
    <d v="2012-03-26T00:00:00"/>
    <n v="10000"/>
    <x v="3"/>
    <m/>
    <s v="N"/>
    <s v="NONE"/>
    <s v="DEFERRED ADJUDICATION "/>
    <n v="4"/>
    <n v="5"/>
    <n v="0"/>
    <n v="1"/>
    <m/>
    <m/>
    <m/>
    <m/>
    <m/>
    <m/>
    <m/>
    <m/>
    <m/>
    <d v="1987-04-24T00:00:00"/>
    <s v="M"/>
    <s v="B"/>
    <s v="BLACK"/>
    <s v="NULL"/>
    <s v="337"/>
    <s v="DEFERRED"/>
    <n v="1"/>
    <s v="DEFERRED"/>
    <m/>
    <m/>
    <m/>
    <s v="MAN/DEL CS PG I 1-4 GRAMS"/>
    <m/>
    <s v="F2"/>
    <s v="SALE DRUG"/>
    <s v="no legal defense"/>
    <m/>
    <m/>
    <m/>
    <m/>
    <m/>
    <m/>
    <m/>
    <m/>
    <s v="Other/Unknown"/>
    <m/>
    <m/>
    <n v="4"/>
    <n v="4"/>
    <n v="5"/>
    <n v="24.860655737704917"/>
    <n v="0"/>
    <n v="0"/>
    <s v="DEFERRED"/>
    <x v="0"/>
    <s v="N"/>
    <m/>
    <s v="DEFERRED"/>
    <s v="Y"/>
    <x v="0"/>
    <x v="0"/>
    <s v="N"/>
    <n v="0.8"/>
    <n v="1"/>
    <n v="0.19999999999999996"/>
    <n v="0"/>
    <n v="-4"/>
    <n v="0"/>
    <n v="4"/>
    <e v="#VALUE!"/>
    <n v="4"/>
    <n v="0"/>
    <m/>
    <m/>
    <s v="Y"/>
    <m/>
    <s v="0-10 DAYS"/>
    <n v="1"/>
    <x v="0"/>
  </r>
  <r>
    <n v="712"/>
    <s v="N"/>
    <s v="N"/>
    <n v="2602104"/>
    <n v="2"/>
    <d v="2012-01-28T00:00:00"/>
    <d v="2012-07-27T00:00:00"/>
    <n v="2602104"/>
    <d v="2012-01-29T00:00:00"/>
    <d v="2012-02-02T00:00:00"/>
    <n v="10000"/>
    <x v="3"/>
    <d v="2012-02-02T00:00:00"/>
    <s v="Y"/>
    <s v="SURETYPTRc"/>
    <s v="DEFERRED ADJUDICATION "/>
    <n v="5"/>
    <n v="182"/>
    <n v="0"/>
    <n v="0"/>
    <m/>
    <m/>
    <m/>
    <m/>
    <m/>
    <m/>
    <m/>
    <s v="S"/>
    <m/>
    <d v="1993-07-24T00:00:00"/>
    <s v="M"/>
    <s v="H"/>
    <s v="HISPANIC"/>
    <s v="NULL"/>
    <s v="183"/>
    <s v="DEFERRED"/>
    <n v="9"/>
    <s v="DEFERRED"/>
    <m/>
    <m/>
    <m/>
    <s v="BURGLARY OF A BUILDING"/>
    <m/>
    <s v="FS"/>
    <s v="BURGLARY"/>
    <m/>
    <m/>
    <m/>
    <m/>
    <m/>
    <m/>
    <m/>
    <m/>
    <m/>
    <s v="Appointed Attorney"/>
    <m/>
    <m/>
    <n v="5"/>
    <n v="181"/>
    <n v="182"/>
    <n v="18.475409836065573"/>
    <n v="0"/>
    <n v="-176"/>
    <s v="DEFERRED"/>
    <x v="1"/>
    <s v="Y"/>
    <m/>
    <s v="DEFERRED"/>
    <s v="Y"/>
    <x v="1"/>
    <x v="0"/>
    <s v="N"/>
    <n v="2.7472527472527472E-2"/>
    <n v="2.7624309392265192E-2"/>
    <n v="1.5178191973772015E-4"/>
    <n v="0"/>
    <n v="-5"/>
    <n v="0"/>
    <n v="5"/>
    <e v="#VALUE!"/>
    <n v="5"/>
    <n v="0"/>
    <m/>
    <m/>
    <s v="N"/>
    <m/>
    <s v="0-10 DAYS"/>
    <n v="1"/>
    <x v="0"/>
  </r>
  <r>
    <n v="724"/>
    <s v="N"/>
    <s v="N"/>
    <n v="2602126"/>
    <n v="1"/>
    <d v="2012-01-29T00:00:00"/>
    <d v="2012-01-30T00:00:00"/>
    <n v="2602126"/>
    <d v="2012-01-29T00:00:00"/>
    <d v="2012-01-30T00:00:00"/>
    <s v="NO BOND"/>
    <x v="1"/>
    <m/>
    <s v="N"/>
    <s v="NONE"/>
    <s v="DISMISSED"/>
    <n v="2"/>
    <n v="2"/>
    <n v="0"/>
    <n v="0"/>
    <m/>
    <m/>
    <m/>
    <m/>
    <m/>
    <m/>
    <m/>
    <m/>
    <m/>
    <d v="1979-09-22T00:00:00"/>
    <s v="F"/>
    <s v="B"/>
    <s v="BLACK"/>
    <s v="NULL"/>
    <s v="184"/>
    <s v="DISMISSED"/>
    <n v="1"/>
    <s v="DISMISSED"/>
    <m/>
    <m/>
    <m/>
    <s v="AGG ASSAULT-FAMILY MEMBER"/>
    <m/>
    <s v="F2"/>
    <s v="ASLT-MURDR"/>
    <m/>
    <m/>
    <m/>
    <m/>
    <m/>
    <m/>
    <m/>
    <m/>
    <m/>
    <s v="Other/Unknown"/>
    <m/>
    <m/>
    <n v="2"/>
    <n v="2"/>
    <n v="2"/>
    <n v="32.286885245901637"/>
    <n v="0"/>
    <n v="0"/>
    <s v="NO CONVICTION"/>
    <x v="0"/>
    <s v="N"/>
    <m/>
    <s v="NO 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734"/>
    <s v="N"/>
    <s v="N"/>
    <n v="2602198"/>
    <n v="1"/>
    <d v="2012-01-29T00:00:00"/>
    <d v="2012-06-13T00:00:00"/>
    <n v="2602198"/>
    <d v="2012-01-29T00:00:00"/>
    <d v="2012-01-30T00:00:00"/>
    <n v="2000"/>
    <x v="5"/>
    <d v="2012-01-30T00:00:00"/>
    <s v="Y"/>
    <s v="SURETY"/>
    <s v="NO BILL"/>
    <n v="2"/>
    <n v="137"/>
    <n v="0"/>
    <n v="0"/>
    <m/>
    <m/>
    <m/>
    <m/>
    <m/>
    <m/>
    <m/>
    <m/>
    <m/>
    <d v="1974-01-26T00:00:00"/>
    <s v="F"/>
    <s v="W"/>
    <s v="WHITE"/>
    <s v="NULL"/>
    <s v="339"/>
    <s v="NO BILL"/>
    <n v="6"/>
    <s v="NO BILL"/>
    <m/>
    <m/>
    <m/>
    <s v="ENDANGERING A CHILD"/>
    <m/>
    <s v="FS"/>
    <s v="OTHER FEL"/>
    <m/>
    <m/>
    <m/>
    <m/>
    <m/>
    <m/>
    <m/>
    <m/>
    <m/>
    <s v="Hired Attorney"/>
    <m/>
    <m/>
    <n v="2"/>
    <n v="137"/>
    <n v="137"/>
    <n v="37.928961748633881"/>
    <n v="0"/>
    <n v="-135"/>
    <s v="NO CONVICTION"/>
    <x v="1"/>
    <s v="Y"/>
    <m/>
    <s v="NO CONVICTION"/>
    <s v="Y"/>
    <x v="1"/>
    <x v="0"/>
    <s v="N"/>
    <n v="1.4598540145985401E-2"/>
    <n v="1.4598540145985401E-2"/>
    <n v="0"/>
    <n v="0"/>
    <n v="-2"/>
    <n v="0"/>
    <n v="2"/>
    <e v="#VALUE!"/>
    <n v="2"/>
    <n v="0"/>
    <m/>
    <m/>
    <s v="N"/>
    <m/>
    <s v="0-10 DAYS"/>
    <n v="1"/>
    <x v="0"/>
  </r>
  <r>
    <n v="735"/>
    <s v="N"/>
    <s v="N"/>
    <n v="2602201"/>
    <n v="1"/>
    <d v="2012-01-29T00:00:00"/>
    <d v="2012-04-11T00:00:00"/>
    <n v="2602201"/>
    <d v="2012-01-31T00:00:00"/>
    <d v="2012-04-11T00:00:00"/>
    <n v="30000"/>
    <x v="2"/>
    <m/>
    <s v="N"/>
    <s v="NONE"/>
    <s v="NO BILL"/>
    <n v="72"/>
    <n v="74"/>
    <n v="0"/>
    <n v="0"/>
    <m/>
    <m/>
    <m/>
    <m/>
    <m/>
    <m/>
    <m/>
    <m/>
    <m/>
    <d v="1991-11-06T00:00:00"/>
    <s v="M"/>
    <s v="W"/>
    <s v="WHITE"/>
    <s v="NULL"/>
    <s v="184"/>
    <s v="NO BILL"/>
    <n v="7"/>
    <s v="NO BILL"/>
    <m/>
    <m/>
    <m/>
    <s v="AGG KIDNAPPING"/>
    <m/>
    <s v="F1"/>
    <s v="KIDNAPPING"/>
    <m/>
    <m/>
    <m/>
    <m/>
    <m/>
    <m/>
    <m/>
    <m/>
    <m/>
    <s v="Hired Attorney"/>
    <m/>
    <m/>
    <n v="72"/>
    <n v="72"/>
    <n v="74"/>
    <n v="20.188524590163933"/>
    <n v="0"/>
    <n v="0"/>
    <s v="NO CONVICTION"/>
    <x v="0"/>
    <s v="N"/>
    <m/>
    <s v="NO CONVICTION"/>
    <s v="Y"/>
    <x v="0"/>
    <x v="0"/>
    <s v="N"/>
    <n v="0.97297297297297303"/>
    <n v="1"/>
    <n v="2.7027027027026973E-2"/>
    <n v="0"/>
    <n v="-72"/>
    <n v="0"/>
    <n v="72"/>
    <e v="#VALUE!"/>
    <n v="72"/>
    <n v="0"/>
    <m/>
    <m/>
    <s v="N"/>
    <m/>
    <s v="61-90 DAYS"/>
    <n v="4"/>
    <x v="0"/>
  </r>
  <r>
    <n v="739"/>
    <s v="N"/>
    <s v="N"/>
    <n v="2602221"/>
    <n v="1"/>
    <d v="2012-01-30T00:00:00"/>
    <d v="2012-05-02T00:00:00"/>
    <n v="2602221"/>
    <s v="NOT BOOKED"/>
    <s v="NOT BOOKED"/>
    <n v="20000"/>
    <x v="0"/>
    <d v="2012-01-30T00:00:00"/>
    <s v="Y"/>
    <s v="SURETY"/>
    <s v="NO BILL"/>
    <n v="0"/>
    <n v="94"/>
    <n v="0"/>
    <n v="0"/>
    <m/>
    <m/>
    <m/>
    <m/>
    <m/>
    <m/>
    <m/>
    <m/>
    <m/>
    <d v="1967-06-06T00:00:00"/>
    <s v="M"/>
    <s v="A"/>
    <s v="OTHER"/>
    <s v="NULL"/>
    <s v="263"/>
    <s v="NO BILL"/>
    <n v="2"/>
    <s v="NO BILL"/>
    <m/>
    <m/>
    <m/>
    <s v="POSS CS PG 3 28-200 GRAMS"/>
    <m/>
    <s v="F3"/>
    <s v="POSS DRUG"/>
    <m/>
    <m/>
    <m/>
    <m/>
    <m/>
    <m/>
    <m/>
    <m/>
    <m/>
    <s v="Hired Attorney"/>
    <m/>
    <m/>
    <n v="0"/>
    <n v="0"/>
    <n v="94"/>
    <n v="44.560109289617486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747"/>
    <s v="N"/>
    <s v="N"/>
    <n v="2602236"/>
    <n v="6"/>
    <d v="2012-01-30T00:00:00"/>
    <d v="2012-10-04T00:00:00"/>
    <n v="2602236"/>
    <d v="2012-01-30T00:00:00"/>
    <d v="2012-10-04T00:00:00"/>
    <s v="NO BOND"/>
    <x v="1"/>
    <m/>
    <s v="N"/>
    <s v="NONE"/>
    <s v="GUILTY PLEA - NO JURY"/>
    <n v="249"/>
    <n v="249"/>
    <n v="0"/>
    <n v="0"/>
    <m/>
    <m/>
    <m/>
    <m/>
    <m/>
    <m/>
    <m/>
    <s v="S"/>
    <m/>
    <d v="1986-03-09T00:00:00"/>
    <s v="M"/>
    <s v="H"/>
    <s v="HISPANIC"/>
    <s v="NULL"/>
    <s v="263"/>
    <s v="CONVICTED"/>
    <n v="10"/>
    <s v="TDC"/>
    <n v="7"/>
    <m/>
    <m/>
    <s v="INTOXICATED ASSLT W/VEH SBI"/>
    <m/>
    <s v="F3"/>
    <s v="ASLT-MURDR"/>
    <m/>
    <m/>
    <m/>
    <m/>
    <m/>
    <m/>
    <m/>
    <m/>
    <m/>
    <s v="Appointed Attorney"/>
    <m/>
    <m/>
    <n v="249"/>
    <n v="249"/>
    <n v="249"/>
    <n v="25.84153005464481"/>
    <n v="0"/>
    <n v="0"/>
    <s v="CONVICTION"/>
    <x v="0"/>
    <s v="N"/>
    <m/>
    <s v="CONVICTION"/>
    <s v="Y"/>
    <x v="0"/>
    <x v="0"/>
    <s v="N"/>
    <n v="1"/>
    <n v="1"/>
    <n v="0"/>
    <n v="0"/>
    <n v="-249"/>
    <n v="0"/>
    <n v="249"/>
    <e v="#VALUE!"/>
    <n v="249"/>
    <n v="0"/>
    <m/>
    <m/>
    <s v="N"/>
    <m/>
    <s v="121-365 DAYS"/>
    <n v="6"/>
    <x v="0"/>
  </r>
  <r>
    <n v="749"/>
    <s v="N"/>
    <s v="Y"/>
    <n v="2602268"/>
    <s v=""/>
    <d v="2012-01-30T00:00:00"/>
    <m/>
    <n v="2602268"/>
    <s v="NOT BOOKED"/>
    <s v="NOT BOOKED"/>
    <n v="90000"/>
    <x v="2"/>
    <m/>
    <s v="NOT BOOKED - FUGITIVE"/>
    <s v="NONE"/>
    <s v="NA fugitive"/>
    <s v="STILL OPEN - FUGITIVE"/>
    <s v="STILL OPEN - FUGITIVE"/>
    <n v="0"/>
    <n v="0"/>
    <m/>
    <m/>
    <m/>
    <m/>
    <m/>
    <m/>
    <m/>
    <m/>
    <m/>
    <d v="1968-05-13T00:00:00"/>
    <s v="M"/>
    <s v="W"/>
    <s v="WHITE"/>
    <s v="NULL"/>
    <s v="177"/>
    <s v="NULL"/>
    <m/>
    <m/>
    <m/>
    <m/>
    <m/>
    <s v="INDECENCY CHILD-TG"/>
    <m/>
    <s v="F2"/>
    <s v="SEX ABUSE"/>
    <m/>
    <m/>
    <m/>
    <m/>
    <m/>
    <s v="Y"/>
    <m/>
    <m/>
    <m/>
    <s v="Other/Unknown"/>
    <m/>
    <m/>
    <s v="STILL OPEN - FUGITIVE"/>
    <s v="STILL OPEN - FUGITIVE"/>
    <s v="STILL OPEN - FUGITIVE"/>
    <n v="43.625683060109289"/>
    <e v="#VALUE!"/>
    <e v="#VALUE!"/>
    <n v="0"/>
    <x v="0"/>
    <s v="N"/>
    <m/>
    <s v=""/>
    <s v="Y"/>
    <x v="4"/>
    <x v="1"/>
    <s v="N"/>
    <s v="STILL OPEN - FUGITIVE"/>
    <s v="STILL OPEN"/>
    <n v="0"/>
    <e v="#VALUE!"/>
    <e v="#VALUE!"/>
    <e v="#VALUE!"/>
    <e v="#VALUE!"/>
    <s v="STILL OPEN - FUGITIVE"/>
    <s v="STILL OPEN"/>
    <m/>
    <m/>
    <m/>
    <s v="N"/>
    <e v="#N/A"/>
    <s v="&gt;3YRS"/>
    <n v="9"/>
    <x v="1"/>
  </r>
  <r>
    <n v="752"/>
    <s v="N"/>
    <s v="N"/>
    <n v="2602309"/>
    <n v="4"/>
    <d v="2012-01-30T00:00:00"/>
    <d v="2012-10-30T00:00:00"/>
    <n v="2602309"/>
    <d v="2012-01-30T00:00:00"/>
    <d v="2012-10-30T00:00:00"/>
    <n v="10000"/>
    <x v="3"/>
    <m/>
    <s v="N"/>
    <s v="NONE"/>
    <s v="GUILTY PLEA - NO JURY"/>
    <n v="275"/>
    <n v="275"/>
    <n v="0"/>
    <n v="0"/>
    <m/>
    <m/>
    <m/>
    <m/>
    <m/>
    <m/>
    <m/>
    <m/>
    <m/>
    <d v="1972-09-22T00:00:00"/>
    <s v="M"/>
    <s v="W"/>
    <s v="WHITE"/>
    <s v="NULL"/>
    <s v="208"/>
    <s v="CONVICTED"/>
    <n v="12"/>
    <s v="HCJ"/>
    <m/>
    <m/>
    <n v="365"/>
    <s v="BURGLARY OF HABITATION"/>
    <m/>
    <s v="F2"/>
    <s v="BURGLARY"/>
    <m/>
    <m/>
    <m/>
    <m/>
    <m/>
    <m/>
    <m/>
    <m/>
    <m/>
    <s v="Appointed Attorney"/>
    <m/>
    <m/>
    <n v="275"/>
    <n v="275"/>
    <n v="275"/>
    <n v="39.27322404371585"/>
    <n v="0"/>
    <n v="0"/>
    <s v="CONVICTION"/>
    <x v="0"/>
    <s v="N"/>
    <m/>
    <s v="CONVICTION"/>
    <s v="Y"/>
    <x v="0"/>
    <x v="0"/>
    <s v="N"/>
    <n v="1"/>
    <n v="1"/>
    <n v="0"/>
    <n v="0"/>
    <n v="-275"/>
    <n v="0"/>
    <n v="275"/>
    <e v="#VALUE!"/>
    <n v="275"/>
    <n v="0"/>
    <m/>
    <m/>
    <s v="N"/>
    <m/>
    <s v="121-365 DAYS"/>
    <n v="6"/>
    <x v="0"/>
  </r>
  <r>
    <n v="765"/>
    <s v="N"/>
    <s v="N"/>
    <n v="2602358"/>
    <n v="5"/>
    <d v="2012-01-30T00:00:00"/>
    <d v="2012-08-02T00:00:00"/>
    <n v="2602358"/>
    <d v="2012-07-24T00:00:00"/>
    <d v="2012-08-02T00:00:00"/>
    <n v="5000"/>
    <x v="4"/>
    <m/>
    <s v="N"/>
    <s v="NONE"/>
    <s v="GUILTY PLEA - NO JURY"/>
    <n v="10"/>
    <n v="186"/>
    <n v="0"/>
    <n v="0"/>
    <m/>
    <m/>
    <m/>
    <m/>
    <m/>
    <m/>
    <m/>
    <m/>
    <m/>
    <d v="1988-02-02T00:00:00"/>
    <s v="M"/>
    <s v="W"/>
    <s v="WHITE"/>
    <s v="NULL"/>
    <s v="232"/>
    <s v="CONVICTED"/>
    <n v="3"/>
    <s v="STJ"/>
    <m/>
    <n v="8"/>
    <m/>
    <s v="CREDIT/DEBIT CARD ABUSE"/>
    <m/>
    <s v="FS"/>
    <s v="OTHER FEL"/>
    <m/>
    <m/>
    <m/>
    <m/>
    <m/>
    <m/>
    <m/>
    <m/>
    <m/>
    <s v="Appointed Attorney"/>
    <m/>
    <m/>
    <n v="10"/>
    <n v="10"/>
    <n v="186"/>
    <n v="23.942622950819672"/>
    <n v="0"/>
    <n v="0"/>
    <s v="CONVICTION"/>
    <x v="0"/>
    <s v="N"/>
    <m/>
    <s v="CONVICTION"/>
    <s v="Y"/>
    <x v="0"/>
    <x v="0"/>
    <s v="N"/>
    <n v="5.3763440860215055E-2"/>
    <n v="1"/>
    <n v="0.94623655913978499"/>
    <n v="0"/>
    <n v="-10"/>
    <n v="0"/>
    <n v="10"/>
    <e v="#VALUE!"/>
    <n v="10"/>
    <n v="0"/>
    <m/>
    <m/>
    <s v="N"/>
    <m/>
    <s v="0-10 DAYS"/>
    <n v="1"/>
    <x v="0"/>
  </r>
  <r>
    <n v="766"/>
    <s v="N"/>
    <s v="N"/>
    <n v="2602366"/>
    <n v="2"/>
    <d v="2012-01-30T00:00:00"/>
    <d v="2012-02-16T00:00:00"/>
    <n v="2602366"/>
    <d v="2012-01-31T00:00:00"/>
    <d v="2012-02-02T00:00:00"/>
    <n v="10000"/>
    <x v="3"/>
    <d v="2012-02-02T00:00:00"/>
    <s v="Y"/>
    <s v="PTR"/>
    <s v="DEFERRED ADJUDICATION "/>
    <n v="3"/>
    <n v="18"/>
    <n v="0"/>
    <n v="0"/>
    <m/>
    <m/>
    <m/>
    <m/>
    <m/>
    <m/>
    <m/>
    <m/>
    <m/>
    <d v="1981-10-16T00:00:00"/>
    <s v="M"/>
    <s v="B"/>
    <s v="BLACK"/>
    <s v="NULL"/>
    <s v="230"/>
    <s v="DEFERRED"/>
    <n v="2"/>
    <s v="DEFERRED"/>
    <m/>
    <m/>
    <m/>
    <s v="POSS CS PG 1 4G - 200G"/>
    <m/>
    <s v="F2"/>
    <s v="POSS DRUG"/>
    <s v="dwi 2/17/12 hcj 30 days"/>
    <m/>
    <m/>
    <m/>
    <m/>
    <m/>
    <m/>
    <m/>
    <m/>
    <s v="Appointed Attorney"/>
    <m/>
    <m/>
    <n v="3"/>
    <n v="17"/>
    <n v="18"/>
    <n v="30.226775956284154"/>
    <n v="0"/>
    <n v="-14"/>
    <s v="DEFERRED"/>
    <x v="2"/>
    <s v="Y"/>
    <m/>
    <s v="DEFERRED"/>
    <s v="Y"/>
    <x v="1"/>
    <x v="0"/>
    <s v="N"/>
    <n v="0.16666666666666666"/>
    <n v="0.17647058823529413"/>
    <n v="9.8039215686274717E-3"/>
    <n v="0"/>
    <n v="-3"/>
    <n v="0"/>
    <n v="3"/>
    <e v="#VALUE!"/>
    <n v="3"/>
    <n v="0"/>
    <m/>
    <m/>
    <s v="N"/>
    <m/>
    <s v="0-10 DAYS"/>
    <n v="1"/>
    <x v="0"/>
  </r>
  <r>
    <n v="769"/>
    <s v="N"/>
    <s v="N"/>
    <n v="2602374"/>
    <n v="2"/>
    <d v="2012-01-30T00:00:00"/>
    <d v="2012-04-12T00:00:00"/>
    <n v="2602374"/>
    <d v="2012-01-31T00:00:00"/>
    <d v="2012-02-02T00:00:00"/>
    <n v="30000"/>
    <x v="2"/>
    <d v="2012-02-02T00:00:00"/>
    <s v="Y"/>
    <s v="SURETY"/>
    <s v="DEFERRED ADJUDICATION "/>
    <n v="3"/>
    <n v="74"/>
    <n v="0"/>
    <n v="0"/>
    <m/>
    <m/>
    <m/>
    <m/>
    <m/>
    <m/>
    <m/>
    <m/>
    <m/>
    <d v="1991-04-04T00:00:00"/>
    <s v="M"/>
    <s v="B"/>
    <s v="BLACK"/>
    <s v="NULL"/>
    <s v="262"/>
    <s v="DEFERRED"/>
    <n v="4"/>
    <s v="DEFERRED"/>
    <m/>
    <m/>
    <m/>
    <s v="POSS W/INT DEL CS PG1&gt;=4 &lt;200"/>
    <m/>
    <s v="F1"/>
    <s v="SALE DRUG"/>
    <s v="proba revoked fel del drug 1/19/13 tdc 8 yrs "/>
    <m/>
    <m/>
    <m/>
    <m/>
    <m/>
    <m/>
    <m/>
    <m/>
    <s v="Hired Attorney"/>
    <m/>
    <m/>
    <n v="3"/>
    <n v="73"/>
    <n v="74"/>
    <n v="20.781420765027324"/>
    <n v="0"/>
    <n v="-70"/>
    <s v="DEFERRED"/>
    <x v="1"/>
    <s v="Y"/>
    <m/>
    <s v="DEFERRED"/>
    <s v="Y"/>
    <x v="1"/>
    <x v="0"/>
    <s v="N"/>
    <n v="4.0540540540540543E-2"/>
    <n v="4.1095890410958902E-2"/>
    <n v="5.5534987041835904E-4"/>
    <n v="0"/>
    <n v="-3"/>
    <n v="0"/>
    <n v="3"/>
    <e v="#VALUE!"/>
    <n v="3"/>
    <n v="0"/>
    <m/>
    <m/>
    <s v="N"/>
    <m/>
    <s v="0-10 DAYS"/>
    <n v="1"/>
    <x v="0"/>
  </r>
  <r>
    <n v="774"/>
    <s v="N"/>
    <s v="N"/>
    <n v="2602382"/>
    <n v="1"/>
    <d v="2012-01-31T00:00:00"/>
    <d v="2012-02-01T00:00:00"/>
    <n v="2602382"/>
    <d v="2012-01-31T00:00:00"/>
    <d v="2012-02-01T00:00:00"/>
    <n v="5000"/>
    <x v="4"/>
    <m/>
    <s v="N"/>
    <s v="NONE"/>
    <s v="DISMISSED"/>
    <n v="2"/>
    <n v="2"/>
    <n v="0"/>
    <n v="0"/>
    <m/>
    <m/>
    <m/>
    <m/>
    <m/>
    <m/>
    <m/>
    <m/>
    <m/>
    <d v="1991-08-30T00:00:00"/>
    <s v="M"/>
    <s v="W"/>
    <s v="WHITE"/>
    <s v="NULL"/>
    <s v="263"/>
    <s v="DISMISSED"/>
    <n v="1"/>
    <s v="DISMISSED"/>
    <m/>
    <m/>
    <m/>
    <s v="TAMPER/FABRICATE EVIDENCE"/>
    <m/>
    <s v="F3"/>
    <s v="OTHER FEL"/>
    <s v="misd evade conv 2/2/12 hcj 10 days"/>
    <m/>
    <m/>
    <m/>
    <m/>
    <m/>
    <m/>
    <m/>
    <m/>
    <s v="Other/Unknown"/>
    <m/>
    <m/>
    <n v="2"/>
    <n v="2"/>
    <n v="2"/>
    <n v="20.379781420765028"/>
    <n v="0"/>
    <n v="0"/>
    <s v="NO CONVICTION"/>
    <x v="0"/>
    <s v="N"/>
    <m/>
    <s v="NO 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786"/>
    <s v="N"/>
    <s v="N"/>
    <n v="2602432"/>
    <n v="2"/>
    <d v="2012-01-31T00:00:00"/>
    <d v="2013-07-29T00:00:00"/>
    <n v="2602432"/>
    <s v="NOT BOOKED"/>
    <s v="NOT BOOKED"/>
    <n v="60000"/>
    <x v="2"/>
    <d v="2012-02-04T00:00:00"/>
    <s v="Y"/>
    <s v="SURETY"/>
    <s v="DEFERRED ADJUDICATION "/>
    <n v="0"/>
    <n v="546"/>
    <n v="0"/>
    <n v="0"/>
    <m/>
    <m/>
    <m/>
    <m/>
    <m/>
    <m/>
    <m/>
    <m/>
    <m/>
    <d v="1988-01-16T00:00:00"/>
    <s v="M"/>
    <s v="I"/>
    <s v="OTHER"/>
    <s v="NULL"/>
    <s v="339"/>
    <s v="DEFERRED"/>
    <n v="17"/>
    <s v="DEFERRED"/>
    <m/>
    <m/>
    <m/>
    <s v="SEX ASSLT CHILD 14-17"/>
    <m/>
    <s v="F2"/>
    <s v="SEX ABUSE"/>
    <m/>
    <m/>
    <m/>
    <m/>
    <m/>
    <m/>
    <m/>
    <m/>
    <m/>
    <s v="Hired Attorney"/>
    <m/>
    <m/>
    <n v="0"/>
    <e v="#VALUE!"/>
    <n v="546"/>
    <n v="23.991803278688526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s v="NOT BOOKED"/>
    <n v="0"/>
    <n v="0"/>
    <m/>
    <m/>
    <s v="N"/>
    <m/>
    <s v="0-10 DAYS"/>
    <n v="1"/>
    <x v="1"/>
  </r>
  <r>
    <n v="795"/>
    <s v="N"/>
    <s v="N"/>
    <n v="2602531"/>
    <n v="1"/>
    <d v="2012-01-31T00:00:00"/>
    <d v="2013-05-07T00:00:00"/>
    <n v="2602531"/>
    <s v="NOT BOOKED"/>
    <s v="NOT BOOKED"/>
    <n v="30000"/>
    <x v="2"/>
    <d v="2012-02-03T00:00:00"/>
    <s v="Y"/>
    <s v="SURETYPTRc"/>
    <s v="DISMISSED"/>
    <n v="0"/>
    <n v="463"/>
    <n v="0"/>
    <n v="0"/>
    <m/>
    <m/>
    <m/>
    <m/>
    <m/>
    <m/>
    <m/>
    <m/>
    <m/>
    <d v="1989-12-06T00:00:00"/>
    <s v="M"/>
    <s v="W"/>
    <s v="WHITE"/>
    <s v="NULL"/>
    <s v="337"/>
    <s v="DISMISSED"/>
    <n v="12"/>
    <s v="DISMISSED"/>
    <m/>
    <m/>
    <m/>
    <s v="AGG ASLT-SER BOD INJURY"/>
    <m/>
    <s v="F2"/>
    <s v="ASLT-MURDR"/>
    <m/>
    <m/>
    <m/>
    <m/>
    <m/>
    <m/>
    <m/>
    <m/>
    <m/>
    <s v="Hired Attorney"/>
    <m/>
    <m/>
    <n v="0"/>
    <e v="#VALUE!"/>
    <n v="463"/>
    <n v="22.106557377049182"/>
    <e v="#VALUE!"/>
    <e v="#VALUE!"/>
    <s v="NO CONVICTION"/>
    <x v="1"/>
    <s v="N"/>
    <m/>
    <s v="NO CONVICTION"/>
    <n v="0"/>
    <x v="1"/>
    <x v="0"/>
    <s v="N"/>
    <n v="0"/>
    <n v="0"/>
    <n v="0"/>
    <n v="0"/>
    <e v="#VALUE!"/>
    <e v="#VALUE!"/>
    <e v="#VALUE!"/>
    <s v="NOT BOOKED"/>
    <n v="0"/>
    <n v="0"/>
    <m/>
    <m/>
    <s v="N"/>
    <m/>
    <s v="0-10 DAYS"/>
    <n v="1"/>
    <x v="1"/>
  </r>
  <r>
    <n v="860"/>
    <s v="N"/>
    <s v="N"/>
    <n v="2602547"/>
    <n v="5"/>
    <d v="2012-01-31T00:00:00"/>
    <d v="2012-02-03T00:00:00"/>
    <n v="2602547"/>
    <d v="2012-02-01T00:00:00"/>
    <d v="2012-02-03T00:00:00"/>
    <n v="12000"/>
    <x v="0"/>
    <m/>
    <s v="N"/>
    <s v="NONE"/>
    <s v="GUILTY PLEA - NO JURY"/>
    <n v="3"/>
    <n v="4"/>
    <n v="0"/>
    <n v="0"/>
    <m/>
    <m/>
    <m/>
    <m/>
    <m/>
    <m/>
    <m/>
    <m/>
    <m/>
    <d v="1980-06-15T00:00:00"/>
    <s v="F"/>
    <s v="W"/>
    <s v="WHITE"/>
    <s v="NULL"/>
    <s v="248"/>
    <s v="CONVICTED"/>
    <n v="1"/>
    <s v="STJ"/>
    <m/>
    <n v="8"/>
    <m/>
    <s v="FRAUD/USE/POSS ID INFO"/>
    <m/>
    <s v="FS"/>
    <s v="OTHER FEL"/>
    <m/>
    <m/>
    <m/>
    <m/>
    <m/>
    <m/>
    <m/>
    <m/>
    <m/>
    <s v="Appointed Attorney"/>
    <m/>
    <m/>
    <n v="3"/>
    <n v="3"/>
    <n v="4"/>
    <n v="31.562841530054644"/>
    <n v="0"/>
    <n v="0"/>
    <s v="CONVICTION"/>
    <x v="0"/>
    <s v="N"/>
    <m/>
    <s v="CONVICTION"/>
    <s v="Y"/>
    <x v="0"/>
    <x v="0"/>
    <s v="N"/>
    <n v="0.75"/>
    <n v="1"/>
    <n v="0.25"/>
    <n v="0"/>
    <n v="-3"/>
    <n v="0"/>
    <n v="3"/>
    <e v="#VALUE!"/>
    <n v="3"/>
    <n v="0"/>
    <m/>
    <m/>
    <s v="N"/>
    <m/>
    <s v="0-10 DAYS"/>
    <n v="1"/>
    <x v="0"/>
  </r>
  <r>
    <n v="797"/>
    <s v="N"/>
    <s v="N"/>
    <n v="2602550"/>
    <n v="1"/>
    <d v="2012-01-31T00:00:00"/>
    <d v="2012-02-03T00:00:00"/>
    <n v="2602550"/>
    <d v="2012-02-01T00:00:00"/>
    <d v="2012-02-03T00:00:00"/>
    <s v="NO BOND"/>
    <x v="1"/>
    <m/>
    <s v="N"/>
    <s v="NONE"/>
    <s v="DISMISSED"/>
    <n v="3"/>
    <n v="4"/>
    <n v="0"/>
    <n v="0"/>
    <m/>
    <m/>
    <m/>
    <m/>
    <m/>
    <m/>
    <m/>
    <s v="S"/>
    <m/>
    <d v="1985-02-27T00:00:00"/>
    <s v="M"/>
    <s v="H"/>
    <s v="HISPANIC"/>
    <s v="NULL"/>
    <s v="180"/>
    <s v="DISMISSED"/>
    <n v="2"/>
    <s v="DISMISSED"/>
    <m/>
    <m/>
    <m/>
    <s v="SEXUAL ASSAULT"/>
    <m/>
    <s v="F2"/>
    <s v="RAPE"/>
    <m/>
    <m/>
    <m/>
    <m/>
    <m/>
    <m/>
    <m/>
    <m/>
    <m/>
    <s v="Appointed Attorney"/>
    <m/>
    <m/>
    <n v="3"/>
    <n v="3"/>
    <n v="4"/>
    <n v="26.868852459016395"/>
    <n v="0"/>
    <n v="0"/>
    <s v="NO CONVICTION"/>
    <x v="0"/>
    <s v="N"/>
    <m/>
    <s v="NO CONVICTION"/>
    <s v="Y"/>
    <x v="0"/>
    <x v="0"/>
    <s v="N"/>
    <n v="0.75"/>
    <n v="1"/>
    <n v="0.25"/>
    <n v="0"/>
    <n v="-3"/>
    <n v="0"/>
    <n v="3"/>
    <e v="#VALUE!"/>
    <n v="3"/>
    <n v="0"/>
    <m/>
    <m/>
    <s v="N"/>
    <m/>
    <s v="0-10 DAYS"/>
    <n v="1"/>
    <x v="0"/>
  </r>
  <r>
    <n v="800"/>
    <s v="N"/>
    <s v="N"/>
    <n v="2602555"/>
    <n v="2"/>
    <d v="2012-01-31T00:00:00"/>
    <d v="2012-05-17T00:00:00"/>
    <n v="2602555"/>
    <s v="NOT BOOKED"/>
    <s v="NOT BOOKED"/>
    <n v="10000"/>
    <x v="3"/>
    <d v="2012-02-05T00:00:00"/>
    <s v="Y"/>
    <s v="SURETY"/>
    <s v="DEFERRED ADJUDICATION "/>
    <n v="0"/>
    <n v="108"/>
    <n v="0"/>
    <n v="0"/>
    <m/>
    <m/>
    <m/>
    <m/>
    <m/>
    <m/>
    <m/>
    <s v="S"/>
    <m/>
    <d v="1993-06-04T00:00:00"/>
    <s v="M"/>
    <s v="H"/>
    <s v="HISPANIC"/>
    <s v="NULL"/>
    <s v="185"/>
    <s v="DEFERRED"/>
    <n v="6"/>
    <s v="DEFERRED"/>
    <m/>
    <m/>
    <m/>
    <s v="BURGLARY OF HABITATION"/>
    <m/>
    <s v="F2"/>
    <s v="BURGLARY"/>
    <m/>
    <m/>
    <m/>
    <m/>
    <m/>
    <m/>
    <m/>
    <m/>
    <m/>
    <s v="Hired Attorney"/>
    <m/>
    <m/>
    <n v="0"/>
    <n v="0"/>
    <n v="108"/>
    <n v="18.620218579234972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802"/>
    <s v="N"/>
    <s v="N"/>
    <n v="2602558"/>
    <n v="6"/>
    <d v="2012-01-31T00:00:00"/>
    <d v="2012-08-29T00:00:00"/>
    <n v="2602558"/>
    <d v="2012-03-30T00:00:00"/>
    <d v="2012-08-29T00:00:00"/>
    <s v="NO BOND"/>
    <x v="1"/>
    <m/>
    <s v="N"/>
    <s v="NONE"/>
    <s v="GUILTY PLEA - NO JURY"/>
    <n v="153"/>
    <n v="212"/>
    <n v="0"/>
    <n v="0"/>
    <m/>
    <m/>
    <m/>
    <m/>
    <m/>
    <m/>
    <m/>
    <m/>
    <m/>
    <d v="1994-08-22T00:00:00"/>
    <s v="M"/>
    <s v="B"/>
    <s v="BLACK"/>
    <s v="NULL"/>
    <s v="228"/>
    <s v="CONVICTED"/>
    <n v="8"/>
    <s v="TDC"/>
    <n v="7"/>
    <m/>
    <m/>
    <s v="BURGLARY OF HABITATION"/>
    <m/>
    <s v="F2"/>
    <s v="BURGLARY"/>
    <m/>
    <m/>
    <m/>
    <m/>
    <m/>
    <m/>
    <m/>
    <m/>
    <m/>
    <s v="Hired Attorney"/>
    <m/>
    <m/>
    <n v="153"/>
    <n v="153"/>
    <n v="212"/>
    <n v="17.407103825136613"/>
    <n v="0"/>
    <n v="0"/>
    <s v="CONVICTION"/>
    <x v="0"/>
    <s v="N"/>
    <m/>
    <s v="CONVICTION"/>
    <s v="Y"/>
    <x v="0"/>
    <x v="0"/>
    <s v="N"/>
    <n v="0.72169811320754718"/>
    <n v="1"/>
    <n v="0.27830188679245282"/>
    <n v="0"/>
    <n v="-153"/>
    <n v="0"/>
    <n v="153"/>
    <e v="#VALUE!"/>
    <n v="153"/>
    <n v="0"/>
    <m/>
    <m/>
    <s v="N"/>
    <m/>
    <s v="121-365 DAYS"/>
    <n v="6"/>
    <x v="0"/>
  </r>
  <r>
    <n v="329"/>
    <s v="N"/>
    <s v="N"/>
    <n v="2602560"/>
    <n v="1"/>
    <d v="2012-01-13T00:00:00"/>
    <d v="2012-02-01T00:00:00"/>
    <n v="2602560"/>
    <s v="NOT BOOKED"/>
    <s v="NOT BOOKED"/>
    <s v="NO BOND"/>
    <x v="1"/>
    <m/>
    <s v="NO BOND SET - NON ARREST"/>
    <s v="NONE"/>
    <s v="DISMISSED"/>
    <n v="0"/>
    <n v="20"/>
    <n v="0"/>
    <n v="1"/>
    <m/>
    <m/>
    <m/>
    <m/>
    <m/>
    <m/>
    <m/>
    <m/>
    <m/>
    <d v="1980-01-16T00:00:00"/>
    <s v="M"/>
    <s v="B"/>
    <s v="BLACK"/>
    <s v="NULL"/>
    <s v="174"/>
    <s v="DISMISSED"/>
    <n v="1"/>
    <s v="DISMISSED"/>
    <m/>
    <m/>
    <m/>
    <s v="AGG ASSAULT-FAMILY MEMBER"/>
    <m/>
    <s v="F2"/>
    <s v="ASLT-MURDR"/>
    <s v="Mdefer adj 2/3/12 misd assault fam mem"/>
    <m/>
    <m/>
    <m/>
    <m/>
    <m/>
    <m/>
    <m/>
    <m/>
    <s v="Other/Unknown"/>
    <m/>
    <m/>
    <n v="0"/>
    <n v="0"/>
    <n v="20"/>
    <n v="31.92622950819672"/>
    <e v="#VALUE!"/>
    <e v="#VALUE!"/>
    <s v="NO CONVICTION"/>
    <x v="0"/>
    <s v="N"/>
    <m/>
    <s v="NO CONVICTION"/>
    <n v="0"/>
    <x v="2"/>
    <x v="0"/>
    <s v="N"/>
    <n v="0"/>
    <n v="0"/>
    <n v="0"/>
    <n v="0"/>
    <e v="#VALUE!"/>
    <e v="#VALUE!"/>
    <e v="#VALUE!"/>
    <n v="0"/>
    <n v="0"/>
    <m/>
    <m/>
    <m/>
    <s v="Y"/>
    <m/>
    <s v="0-10 DAYS"/>
    <n v="1"/>
    <x v="1"/>
  </r>
  <r>
    <n v="811"/>
    <s v="N"/>
    <s v="N"/>
    <n v="2602571"/>
    <n v="6"/>
    <d v="2012-02-01T00:00:00"/>
    <d v="2013-01-18T00:00:00"/>
    <n v="2602571"/>
    <d v="2012-02-01T00:00:00"/>
    <d v="2013-01-18T00:00:00"/>
    <n v="10000"/>
    <x v="3"/>
    <m/>
    <s v="N"/>
    <s v="NONE"/>
    <s v="GUILTY PLEA - NO JURY"/>
    <n v="353"/>
    <n v="353"/>
    <n v="0"/>
    <n v="0"/>
    <m/>
    <m/>
    <m/>
    <m/>
    <m/>
    <m/>
    <m/>
    <s v="S"/>
    <m/>
    <d v="1969-06-10T00:00:00"/>
    <s v="M"/>
    <s v="H"/>
    <s v="HISPANIC"/>
    <s v="NULL"/>
    <s v="183"/>
    <s v="CONVICTED"/>
    <n v="16"/>
    <s v="TDC"/>
    <n v="2"/>
    <m/>
    <m/>
    <s v="BURGLARY OF HABITATION"/>
    <m/>
    <s v="F2"/>
    <s v="BURGLARY"/>
    <m/>
    <m/>
    <m/>
    <m/>
    <m/>
    <m/>
    <m/>
    <m/>
    <m/>
    <s v="Appointed Attorney"/>
    <m/>
    <m/>
    <n v="353"/>
    <n v="353"/>
    <n v="353"/>
    <n v="42.557377049180324"/>
    <n v="0"/>
    <n v="0"/>
    <s v="CONVICTION"/>
    <x v="0"/>
    <s v="N"/>
    <m/>
    <s v="CONVICTION"/>
    <s v="Y"/>
    <x v="0"/>
    <x v="0"/>
    <s v="N"/>
    <n v="1"/>
    <n v="1"/>
    <n v="0"/>
    <n v="0"/>
    <n v="-353"/>
    <n v="0"/>
    <n v="353"/>
    <e v="#VALUE!"/>
    <n v="353"/>
    <n v="0"/>
    <m/>
    <m/>
    <s v="N"/>
    <m/>
    <s v="121-365 DAYS"/>
    <n v="6"/>
    <x v="0"/>
  </r>
  <r>
    <n v="816"/>
    <s v="N"/>
    <s v="N"/>
    <n v="2602583"/>
    <n v="6"/>
    <d v="2012-02-01T00:00:00"/>
    <d v="2012-07-16T00:00:00"/>
    <n v="2602583"/>
    <d v="2012-02-02T00:00:00"/>
    <d v="2012-07-16T00:00:00"/>
    <n v="120000"/>
    <x v="2"/>
    <m/>
    <s v="N"/>
    <s v="NONE"/>
    <s v="GUILTY PLEA - NO JURY"/>
    <n v="166"/>
    <n v="167"/>
    <n v="0"/>
    <n v="0"/>
    <m/>
    <m/>
    <m/>
    <m/>
    <m/>
    <m/>
    <m/>
    <s v="S"/>
    <m/>
    <d v="1985-05-11T00:00:00"/>
    <s v="M"/>
    <s v="H"/>
    <s v="HISPANIC"/>
    <s v="NULL"/>
    <s v="338"/>
    <s v="CONVICTED"/>
    <n v="9"/>
    <s v="TDC"/>
    <n v="8"/>
    <m/>
    <m/>
    <s v="MAN/DEL CS PG I OVER 400 GRAMS"/>
    <m/>
    <s v="F1"/>
    <s v="SALE DRUG"/>
    <m/>
    <m/>
    <m/>
    <m/>
    <m/>
    <m/>
    <m/>
    <m/>
    <m/>
    <s v="Hired Attorney"/>
    <m/>
    <m/>
    <n v="166"/>
    <n v="166"/>
    <n v="167"/>
    <n v="26.672131147540984"/>
    <n v="0"/>
    <n v="0"/>
    <s v="CONVICTION"/>
    <x v="0"/>
    <s v="N"/>
    <m/>
    <s v="CONVICTION"/>
    <s v="Y"/>
    <x v="0"/>
    <x v="0"/>
    <s v="N"/>
    <n v="0.99401197604790414"/>
    <n v="1"/>
    <n v="5.9880239520958556E-3"/>
    <n v="0"/>
    <n v="-166"/>
    <n v="0"/>
    <n v="166"/>
    <e v="#VALUE!"/>
    <n v="166"/>
    <n v="0"/>
    <m/>
    <m/>
    <s v="N"/>
    <m/>
    <s v="121-365 DAYS"/>
    <n v="6"/>
    <x v="0"/>
  </r>
  <r>
    <n v="885"/>
    <s v="N"/>
    <s v="N"/>
    <n v="2602716"/>
    <n v="2"/>
    <d v="2012-02-02T00:00:00"/>
    <d v="2012-08-09T00:00:00"/>
    <n v="2602716"/>
    <d v="2012-02-05T00:00:00"/>
    <d v="2012-05-31T00:00:00"/>
    <n v="10000"/>
    <x v="3"/>
    <d v="2012-05-31T00:00:00"/>
    <s v="Y"/>
    <s v="SURETYPTRc"/>
    <s v="DEFERRED ADJUDICATION "/>
    <n v="117"/>
    <n v="190"/>
    <n v="0"/>
    <n v="0"/>
    <m/>
    <m/>
    <m/>
    <m/>
    <m/>
    <m/>
    <m/>
    <s v="S"/>
    <m/>
    <d v="1993-07-03T00:00:00"/>
    <s v="M"/>
    <s v="H"/>
    <s v="HISPANIC"/>
    <s v="NULL"/>
    <s v="232"/>
    <s v="DEFERRED"/>
    <n v="11"/>
    <s v="DEFERRED"/>
    <m/>
    <m/>
    <m/>
    <s v="BURGLARY OF HABITATION"/>
    <m/>
    <s v="F2"/>
    <s v="BURGLARY"/>
    <m/>
    <m/>
    <m/>
    <m/>
    <m/>
    <m/>
    <m/>
    <m/>
    <m/>
    <s v="Public Defender"/>
    <m/>
    <m/>
    <n v="117"/>
    <n v="187"/>
    <n v="190"/>
    <n v="18.546448087431695"/>
    <n v="0"/>
    <n v="-70"/>
    <s v="DEFERRED"/>
    <x v="1"/>
    <s v="Y"/>
    <m/>
    <s v="DEFERRED"/>
    <s v="Y"/>
    <x v="1"/>
    <x v="0"/>
    <s v="N"/>
    <n v="0.61578947368421055"/>
    <n v="0.62566844919786091"/>
    <n v="9.8789755136503565E-3"/>
    <n v="0"/>
    <n v="-117"/>
    <n v="0"/>
    <n v="117"/>
    <e v="#VALUE!"/>
    <n v="117"/>
    <n v="0"/>
    <m/>
    <m/>
    <s v="N"/>
    <m/>
    <s v="91-120 DAYS"/>
    <n v="0"/>
    <x v="0"/>
  </r>
  <r>
    <n v="851"/>
    <s v="N"/>
    <s v="N"/>
    <n v="2602744"/>
    <n v="6"/>
    <d v="2012-02-01T00:00:00"/>
    <d v="2014-05-16T00:00:00"/>
    <n v="2602744"/>
    <d v="2012-02-02T00:00:00"/>
    <m/>
    <s v="NO BOND"/>
    <x v="1"/>
    <m/>
    <s v="N"/>
    <s v="NONE"/>
    <s v="GUILTY PLEA - NO JURY"/>
    <n v="835"/>
    <n v="836"/>
    <n v="0"/>
    <n v="0"/>
    <m/>
    <m/>
    <m/>
    <m/>
    <m/>
    <m/>
    <m/>
    <s v="S"/>
    <m/>
    <d v="1970-12-28T00:00:00"/>
    <s v="F"/>
    <s v="H"/>
    <s v="HISPANIC"/>
    <s v="NULL"/>
    <s v="180"/>
    <s v="CONVICTED"/>
    <n v="24"/>
    <s v="TDC"/>
    <n v="42"/>
    <m/>
    <m/>
    <s v="INJURY TO CHILD-SBI"/>
    <m/>
    <s v="F1"/>
    <s v="ASLT-MURDR"/>
    <m/>
    <m/>
    <m/>
    <m/>
    <m/>
    <m/>
    <m/>
    <m/>
    <m/>
    <s v="Appointed Attorney"/>
    <m/>
    <m/>
    <n v="835"/>
    <n v="835"/>
    <n v="836"/>
    <n v="41.010928961748633"/>
    <n v="41775"/>
    <n v="-41775"/>
    <s v="CONVICTION"/>
    <x v="0"/>
    <s v="N"/>
    <m/>
    <s v="CONVICTION"/>
    <s v="Y"/>
    <x v="0"/>
    <x v="0"/>
    <s v="N"/>
    <n v="0.99880382775119614"/>
    <n v="0.99880000000000002"/>
    <n v="0"/>
    <n v="0"/>
    <n v="40940"/>
    <n v="41775"/>
    <n v="835"/>
    <e v="#VALUE!"/>
    <n v="835"/>
    <m/>
    <m/>
    <m/>
    <s v="N"/>
    <e v="#N/A"/>
    <s v="&gt;2YRS&lt;3YRS"/>
    <n v="8"/>
    <x v="0"/>
  </r>
  <r>
    <n v="855"/>
    <s v="N"/>
    <s v="N"/>
    <n v="2602761"/>
    <n v="1"/>
    <d v="2012-02-01T00:00:00"/>
    <d v="2013-01-09T00:00:00"/>
    <n v="2602761"/>
    <d v="2012-02-02T00:00:00"/>
    <d v="2013-01-09T00:00:00"/>
    <n v="130000"/>
    <x v="2"/>
    <m/>
    <s v="N"/>
    <s v="NONE"/>
    <s v="DISMISSED"/>
    <n v="343"/>
    <n v="344"/>
    <n v="0"/>
    <n v="0"/>
    <m/>
    <m/>
    <m/>
    <m/>
    <m/>
    <m/>
    <m/>
    <s v="S"/>
    <m/>
    <d v="1982-12-01T00:00:00"/>
    <s v="M"/>
    <s v="H"/>
    <s v="HISPANIC"/>
    <s v="NULL"/>
    <s v="174"/>
    <s v="DISMISSED"/>
    <n v="11"/>
    <s v="DISMISSED"/>
    <m/>
    <m/>
    <m/>
    <s v="MAN/DEL CS PG I OVER 400 GRAMS"/>
    <m/>
    <s v="F1"/>
    <s v="SALE DRUG"/>
    <m/>
    <m/>
    <m/>
    <m/>
    <m/>
    <m/>
    <m/>
    <m/>
    <m/>
    <s v="Hired Attorney"/>
    <m/>
    <m/>
    <n v="343"/>
    <n v="343"/>
    <n v="344"/>
    <n v="29.10928961748634"/>
    <n v="0"/>
    <n v="0"/>
    <s v="NO CONVICTION"/>
    <x v="0"/>
    <s v="N"/>
    <m/>
    <s v="NO CONVICTION"/>
    <s v="Y"/>
    <x v="0"/>
    <x v="0"/>
    <s v="N"/>
    <n v="0.99709302325581395"/>
    <n v="1"/>
    <n v="2.9069767441860517E-3"/>
    <n v="0"/>
    <n v="-343"/>
    <n v="0"/>
    <n v="343"/>
    <e v="#VALUE!"/>
    <n v="343"/>
    <n v="0"/>
    <m/>
    <m/>
    <s v="N"/>
    <m/>
    <s v="121-365 DAYS"/>
    <n v="6"/>
    <x v="0"/>
  </r>
  <r>
    <n v="859"/>
    <s v="N"/>
    <s v="N"/>
    <n v="2602762"/>
    <n v="4"/>
    <d v="2012-02-02T00:00:00"/>
    <d v="2012-04-17T00:00:00"/>
    <n v="2602762"/>
    <d v="2012-02-02T00:00:00"/>
    <d v="2012-02-04T00:00:00"/>
    <n v="5000"/>
    <x v="4"/>
    <d v="2012-02-04T00:00:00"/>
    <s v="Y"/>
    <s v="SURETY"/>
    <s v="GUILTY PLEA - NO JURY"/>
    <n v="3"/>
    <n v="76"/>
    <n v="0"/>
    <n v="0"/>
    <m/>
    <m/>
    <m/>
    <m/>
    <m/>
    <m/>
    <m/>
    <m/>
    <m/>
    <d v="1984-05-24T00:00:00"/>
    <s v="M"/>
    <s v="W"/>
    <s v="WHITE"/>
    <s v="NULL"/>
    <s v="185"/>
    <s v="CONVICTED"/>
    <n v="4"/>
    <s v="HCJ"/>
    <m/>
    <m/>
    <n v="180"/>
    <s v="ATT POSS CS PG 3 28-200 GRAMS"/>
    <m/>
    <s v="FS"/>
    <s v="POSS DRUG"/>
    <m/>
    <m/>
    <m/>
    <m/>
    <m/>
    <m/>
    <m/>
    <m/>
    <m/>
    <s v="Hired Attorney"/>
    <m/>
    <m/>
    <n v="3"/>
    <n v="76"/>
    <n v="76"/>
    <n v="27.636612021857925"/>
    <n v="0"/>
    <n v="-73"/>
    <s v="CONVICTION"/>
    <x v="1"/>
    <s v="Y"/>
    <m/>
    <s v="CONVICTION"/>
    <s v="Y"/>
    <x v="1"/>
    <x v="0"/>
    <s v="N"/>
    <n v="3.9473684210526314E-2"/>
    <n v="3.9473684210526314E-2"/>
    <n v="0"/>
    <n v="0"/>
    <n v="-3"/>
    <n v="0"/>
    <n v="3"/>
    <e v="#VALUE!"/>
    <n v="3"/>
    <n v="0"/>
    <m/>
    <m/>
    <s v="N"/>
    <m/>
    <s v="0-10 DAYS"/>
    <n v="1"/>
    <x v="0"/>
  </r>
  <r>
    <n v="871"/>
    <s v="N"/>
    <s v="N"/>
    <n v="2602835"/>
    <n v="5"/>
    <d v="2012-02-02T00:00:00"/>
    <d v="2012-02-06T00:00:00"/>
    <n v="2602835"/>
    <d v="2012-02-02T00:00:00"/>
    <d v="2012-02-06T00:00:00"/>
    <n v="15000"/>
    <x v="0"/>
    <m/>
    <s v="N"/>
    <s v="NONE"/>
    <s v="GUILTY PLEA - NO JURY"/>
    <n v="5"/>
    <n v="5"/>
    <n v="0"/>
    <n v="0"/>
    <m/>
    <m/>
    <m/>
    <m/>
    <m/>
    <m/>
    <m/>
    <m/>
    <m/>
    <d v="1958-12-09T00:00:00"/>
    <s v="F"/>
    <s v="B"/>
    <s v="BLACK"/>
    <s v="NULL"/>
    <s v="351"/>
    <s v="CONVICTED"/>
    <n v="1"/>
    <s v="STJ"/>
    <m/>
    <n v="7"/>
    <m/>
    <s v="POSS CS PG 1 &lt;1G"/>
    <m/>
    <s v="FS"/>
    <s v="POSS DRUG"/>
    <m/>
    <m/>
    <m/>
    <m/>
    <m/>
    <m/>
    <m/>
    <m/>
    <m/>
    <s v="Appointed Attorney"/>
    <m/>
    <m/>
    <n v="5"/>
    <n v="5"/>
    <n v="5"/>
    <n v="53.040983606557376"/>
    <n v="0"/>
    <n v="0"/>
    <s v="CONVICTION"/>
    <x v="0"/>
    <s v="N"/>
    <m/>
    <s v="CONVICTION"/>
    <s v="Y"/>
    <x v="0"/>
    <x v="0"/>
    <s v="N"/>
    <n v="1"/>
    <n v="1"/>
    <n v="0"/>
    <n v="0"/>
    <n v="-5"/>
    <n v="0"/>
    <n v="5"/>
    <e v="#VALUE!"/>
    <n v="5"/>
    <n v="0"/>
    <m/>
    <m/>
    <s v="N"/>
    <m/>
    <s v="0-10 DAYS"/>
    <n v="1"/>
    <x v="0"/>
  </r>
  <r>
    <n v="879"/>
    <s v="N"/>
    <s v="N"/>
    <n v="2602853"/>
    <n v="5"/>
    <d v="2012-02-02T00:00:00"/>
    <d v="2012-05-07T00:00:00"/>
    <n v="2602853"/>
    <s v="NOT BOOKED"/>
    <s v="NOT BOOKED"/>
    <n v="15000"/>
    <x v="0"/>
    <d v="2012-02-25T00:00:00"/>
    <s v="Y"/>
    <s v="SURETY"/>
    <s v="GUILTY PLEA - NO JURY"/>
    <n v="0"/>
    <n v="96"/>
    <n v="0"/>
    <n v="0"/>
    <m/>
    <m/>
    <m/>
    <m/>
    <m/>
    <m/>
    <m/>
    <m/>
    <m/>
    <d v="1986-09-01T00:00:00"/>
    <s v="M"/>
    <s v="W"/>
    <s v="WHITE"/>
    <s v="NULL"/>
    <s v="185"/>
    <s v="CONVICTED"/>
    <n v="6"/>
    <s v="STJ"/>
    <m/>
    <n v="6"/>
    <m/>
    <s v="CREDIT/DEBIT CARD ABUSE"/>
    <m/>
    <s v="FS"/>
    <s v="OTHER FEL"/>
    <m/>
    <m/>
    <m/>
    <m/>
    <m/>
    <m/>
    <m/>
    <m/>
    <m/>
    <s v="Hired Attorney"/>
    <m/>
    <m/>
    <n v="0"/>
    <n v="0"/>
    <n v="96"/>
    <n v="25.368852459016395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880"/>
    <s v="Y"/>
    <s v="Y"/>
    <n v="2602885"/>
    <n v="2"/>
    <d v="2012-02-02T00:00:00"/>
    <d v="2012-11-28T00:00:00"/>
    <n v="2602885"/>
    <d v="2012-08-12T00:00:00"/>
    <d v="2012-08-18T00:00:00"/>
    <n v="7000"/>
    <x v="3"/>
    <d v="2012-08-18T00:00:00"/>
    <s v="Y"/>
    <s v="SURETY"/>
    <s v="DEFERRED ADJUDICATION "/>
    <n v="7"/>
    <n v="301"/>
    <n v="0"/>
    <n v="0"/>
    <m/>
    <m/>
    <m/>
    <m/>
    <m/>
    <m/>
    <m/>
    <m/>
    <m/>
    <d v="1991-04-24T00:00:00"/>
    <s v="M"/>
    <s v="W"/>
    <s v="WHITE"/>
    <s v="NULL"/>
    <s v="208"/>
    <s v="DEFERRED"/>
    <n v="14"/>
    <s v="DEFERRED"/>
    <m/>
    <m/>
    <m/>
    <s v="MAN/DEL SIM CS-MISLEAD PERS"/>
    <m/>
    <s v="FS"/>
    <s v="SALE DRUG"/>
    <m/>
    <s v="rev 8/2/12"/>
    <m/>
    <m/>
    <s v="Y"/>
    <m/>
    <m/>
    <m/>
    <m/>
    <s v="Hired Attorney"/>
    <s v="ftr 8/16/13 amend cop  90 d hcj"/>
    <m/>
    <n v="7"/>
    <n v="109"/>
    <n v="301"/>
    <n v="20.734972677595628"/>
    <n v="0"/>
    <n v="-102"/>
    <s v="DEFERRED"/>
    <x v="1"/>
    <s v="Y"/>
    <m/>
    <s v="DEFERRED"/>
    <s v="Y"/>
    <x v="1"/>
    <x v="0"/>
    <s v="N"/>
    <n v="2.3255813953488372E-2"/>
    <n v="6.4220183486238536E-2"/>
    <n v="4.0964369532750164E-2"/>
    <n v="0"/>
    <n v="-7"/>
    <n v="0"/>
    <n v="7"/>
    <n v="7"/>
    <m/>
    <n v="102"/>
    <m/>
    <m/>
    <s v="N"/>
    <m/>
    <s v="0-10 DAYS"/>
    <n v="1"/>
    <x v="0"/>
  </r>
  <r>
    <n v="882"/>
    <s v="N"/>
    <s v="N"/>
    <n v="2602887"/>
    <n v="2"/>
    <d v="2012-02-02T00:00:00"/>
    <d v="2012-11-15T00:00:00"/>
    <n v="2602887"/>
    <d v="2012-02-02T00:00:00"/>
    <d v="2012-02-04T00:00:00"/>
    <n v="5000"/>
    <x v="4"/>
    <d v="2012-02-04T00:00:00"/>
    <s v="Y"/>
    <s v="SURETY"/>
    <s v="DEFERRED ADJUDICATION "/>
    <n v="3"/>
    <n v="288"/>
    <n v="0"/>
    <n v="0"/>
    <m/>
    <m/>
    <m/>
    <m/>
    <m/>
    <m/>
    <m/>
    <m/>
    <m/>
    <d v="1981-05-15T00:00:00"/>
    <s v="M"/>
    <s v="A"/>
    <s v="OTHER"/>
    <s v="NULL"/>
    <s v="178"/>
    <s v="DEFERRED"/>
    <n v="12"/>
    <s v="DEFERRED"/>
    <m/>
    <m/>
    <m/>
    <s v="POSS MARIJ  5 - 50 LBS."/>
    <m/>
    <s v="F3"/>
    <s v="POSS DRUG"/>
    <m/>
    <m/>
    <m/>
    <m/>
    <m/>
    <m/>
    <m/>
    <m/>
    <m/>
    <s v="Hired Attorney"/>
    <m/>
    <m/>
    <n v="3"/>
    <n v="288"/>
    <n v="288"/>
    <n v="30.655737704918032"/>
    <n v="0"/>
    <n v="-285"/>
    <s v="DEFERRED"/>
    <x v="1"/>
    <s v="Y"/>
    <m/>
    <s v="DEFERRED"/>
    <s v="Y"/>
    <x v="1"/>
    <x v="0"/>
    <s v="N"/>
    <n v="1.0416666666666666E-2"/>
    <n v="1.0416666666666666E-2"/>
    <n v="0"/>
    <n v="0"/>
    <n v="-3"/>
    <n v="0"/>
    <n v="3"/>
    <e v="#VALUE!"/>
    <n v="3"/>
    <n v="0"/>
    <m/>
    <m/>
    <s v="N"/>
    <m/>
    <s v="0-10 DAYS"/>
    <n v="1"/>
    <x v="0"/>
  </r>
  <r>
    <n v="884"/>
    <s v="N"/>
    <s v="N"/>
    <n v="2602891"/>
    <n v="2"/>
    <d v="2012-02-02T00:00:00"/>
    <d v="2012-03-09T00:00:00"/>
    <n v="2602891"/>
    <d v="2012-02-03T00:00:00"/>
    <d v="2012-03-09T00:00:00"/>
    <n v="10000"/>
    <x v="3"/>
    <m/>
    <s v="N"/>
    <s v="NONE"/>
    <s v="DEFERRED ADJUDICATION "/>
    <n v="36"/>
    <n v="37"/>
    <n v="0"/>
    <n v="0"/>
    <m/>
    <m/>
    <m/>
    <m/>
    <m/>
    <m/>
    <m/>
    <m/>
    <m/>
    <d v="1994-03-20T00:00:00"/>
    <s v="M"/>
    <s v="B"/>
    <s v="BLACK"/>
    <s v="NULL"/>
    <s v="184"/>
    <s v="DEFERRED"/>
    <n v="5"/>
    <s v="DEFERRED"/>
    <m/>
    <m/>
    <m/>
    <s v="BURGLARY OF HABITATION"/>
    <m/>
    <s v="F2"/>
    <s v="BURGLARY"/>
    <s v="8/10/12 bk for violamend cop  release to ymca"/>
    <m/>
    <m/>
    <m/>
    <m/>
    <m/>
    <m/>
    <m/>
    <m/>
    <s v="Appointed Attorney"/>
    <m/>
    <m/>
    <n v="36"/>
    <n v="36"/>
    <n v="37"/>
    <n v="17.83606557377049"/>
    <n v="0"/>
    <n v="0"/>
    <s v="DEFERRED"/>
    <x v="0"/>
    <s v="N"/>
    <m/>
    <s v="DEFERRED"/>
    <s v="Y"/>
    <x v="0"/>
    <x v="0"/>
    <s v="N"/>
    <n v="0.97297297297297303"/>
    <n v="1"/>
    <n v="2.7027027027026973E-2"/>
    <n v="0"/>
    <n v="-36"/>
    <n v="0"/>
    <n v="36"/>
    <e v="#VALUE!"/>
    <n v="36"/>
    <n v="0"/>
    <m/>
    <m/>
    <s v="N"/>
    <m/>
    <s v="31-60 DAYS"/>
    <n v="3"/>
    <x v="0"/>
  </r>
  <r>
    <n v="908"/>
    <s v="N"/>
    <s v="N"/>
    <n v="2602924"/>
    <n v="1"/>
    <d v="2012-02-03T00:00:00"/>
    <d v="2012-02-06T00:00:00"/>
    <n v="2602924"/>
    <d v="2012-02-03T00:00:00"/>
    <d v="2012-02-04T00:00:00"/>
    <n v="45000"/>
    <x v="2"/>
    <d v="2012-02-04T00:00:00"/>
    <s v="Y"/>
    <s v="SURETY"/>
    <s v="DISMISSED"/>
    <n v="2"/>
    <n v="4"/>
    <n v="0"/>
    <n v="0"/>
    <m/>
    <m/>
    <m/>
    <m/>
    <m/>
    <m/>
    <m/>
    <m/>
    <m/>
    <d v="1976-07-19T00:00:00"/>
    <s v="M"/>
    <s v="W"/>
    <s v="WHITE"/>
    <s v="NULL"/>
    <s v="179"/>
    <s v="DISMISSED"/>
    <n v="1"/>
    <s v="DISMISSED"/>
    <m/>
    <m/>
    <m/>
    <s v="MAN/DEL CS PG III/IV  &lt;28 GRAM"/>
    <m/>
    <s v="FS"/>
    <s v="SALE DRUG"/>
    <m/>
    <m/>
    <m/>
    <m/>
    <m/>
    <m/>
    <m/>
    <m/>
    <m/>
    <s v="Hired Attorney"/>
    <m/>
    <m/>
    <n v="1"/>
    <n v="4"/>
    <n v="4"/>
    <n v="35.469945355191257"/>
    <n v="0"/>
    <n v="-2"/>
    <s v="NO CONVICTION"/>
    <x v="1"/>
    <s v="Y"/>
    <m/>
    <s v="NO CONVICTION"/>
    <s v="Y"/>
    <x v="1"/>
    <x v="0"/>
    <s v="N"/>
    <n v="0.5"/>
    <n v="0.5"/>
    <n v="0"/>
    <n v="1"/>
    <n v="-2"/>
    <n v="-1"/>
    <n v="2"/>
    <n v="1"/>
    <n v="2"/>
    <n v="1"/>
    <m/>
    <m/>
    <s v="N"/>
    <m/>
    <s v="0-10 DAYS"/>
    <n v="1"/>
    <x v="0"/>
  </r>
  <r>
    <n v="898"/>
    <s v="N"/>
    <s v="N"/>
    <n v="2602931"/>
    <n v="4"/>
    <d v="2012-02-03T00:00:00"/>
    <d v="2012-02-06T00:00:00"/>
    <n v="2602931"/>
    <d v="2012-02-03T00:00:00"/>
    <d v="2012-02-06T00:00:00"/>
    <n v="35000"/>
    <x v="2"/>
    <m/>
    <s v="N"/>
    <s v="NONE"/>
    <s v="GUILTY PLEA - NO JURY"/>
    <n v="4"/>
    <n v="4"/>
    <n v="0"/>
    <n v="0"/>
    <m/>
    <m/>
    <m/>
    <m/>
    <m/>
    <m/>
    <m/>
    <s v="S"/>
    <m/>
    <d v="1982-12-01T00:00:00"/>
    <s v="M"/>
    <s v="H"/>
    <s v="HISPANIC"/>
    <s v="NULL"/>
    <s v="208"/>
    <s v="CONVICTED"/>
    <n v="1"/>
    <s v="HCJ"/>
    <m/>
    <m/>
    <n v="60"/>
    <s v="POSS CS PG 1 &lt;1G"/>
    <m/>
    <s v="FS"/>
    <s v="POSS DRUG"/>
    <m/>
    <m/>
    <m/>
    <m/>
    <m/>
    <m/>
    <m/>
    <m/>
    <m/>
    <s v="Appointed Attorney"/>
    <m/>
    <m/>
    <n v="4"/>
    <n v="4"/>
    <n v="4"/>
    <n v="29.114754098360656"/>
    <n v="0"/>
    <n v="0"/>
    <s v="CONVICTION"/>
    <x v="0"/>
    <s v="N"/>
    <m/>
    <s v="CONVICTION"/>
    <s v="Y"/>
    <x v="0"/>
    <x v="0"/>
    <s v="N"/>
    <n v="1"/>
    <n v="1"/>
    <n v="0"/>
    <n v="0"/>
    <n v="-4"/>
    <n v="0"/>
    <n v="4"/>
    <e v="#VALUE!"/>
    <n v="4"/>
    <n v="0"/>
    <m/>
    <m/>
    <s v="N"/>
    <m/>
    <s v="0-10 DAYS"/>
    <n v="1"/>
    <x v="0"/>
  </r>
  <r>
    <n v="899"/>
    <s v="N"/>
    <s v="N"/>
    <n v="2602932"/>
    <n v="4"/>
    <d v="2012-02-03T00:00:00"/>
    <d v="2012-02-06T00:00:00"/>
    <n v="2602932"/>
    <d v="2012-02-03T00:00:00"/>
    <d v="2012-02-06T00:00:00"/>
    <n v="35000"/>
    <x v="2"/>
    <m/>
    <s v="N"/>
    <s v="NONE"/>
    <s v="GUILTY PLEA - NO JURY"/>
    <n v="4"/>
    <n v="4"/>
    <n v="0"/>
    <n v="0"/>
    <m/>
    <m/>
    <m/>
    <m/>
    <m/>
    <m/>
    <m/>
    <s v="S"/>
    <m/>
    <d v="1978-07-21T00:00:00"/>
    <s v="M"/>
    <s v="H"/>
    <s v="HISPANIC"/>
    <s v="NULL"/>
    <s v="185"/>
    <s v="CONVICTED"/>
    <n v="1"/>
    <s v="HCJ"/>
    <m/>
    <m/>
    <n v="60"/>
    <s v="POSS CS PG 1 &lt;1G"/>
    <m/>
    <s v="FS"/>
    <s v="POSS DRUG"/>
    <m/>
    <m/>
    <m/>
    <m/>
    <m/>
    <m/>
    <m/>
    <m/>
    <m/>
    <s v="Public Defender"/>
    <m/>
    <m/>
    <n v="4"/>
    <n v="4"/>
    <n v="4"/>
    <n v="33.469945355191257"/>
    <n v="0"/>
    <n v="0"/>
    <s v="CONVICTION"/>
    <x v="0"/>
    <s v="N"/>
    <m/>
    <s v="CONVICTION"/>
    <s v="Y"/>
    <x v="0"/>
    <x v="0"/>
    <s v="N"/>
    <n v="1"/>
    <n v="1"/>
    <n v="0"/>
    <n v="0"/>
    <n v="-4"/>
    <n v="0"/>
    <n v="4"/>
    <e v="#VALUE!"/>
    <n v="4"/>
    <n v="0"/>
    <m/>
    <m/>
    <s v="N"/>
    <m/>
    <s v="0-10 DAYS"/>
    <n v="1"/>
    <x v="0"/>
  </r>
  <r>
    <n v="911"/>
    <s v="N"/>
    <s v="N"/>
    <n v="2602991"/>
    <n v="4"/>
    <d v="2012-02-03T00:00:00"/>
    <d v="2012-09-11T00:00:00"/>
    <n v="2602991"/>
    <d v="2012-08-14T00:00:00"/>
    <d v="2012-09-11T00:00:00"/>
    <n v="15000"/>
    <x v="0"/>
    <m/>
    <s v="N"/>
    <s v="NONE"/>
    <s v="GUILTY PLEA - NO JURY"/>
    <n v="29"/>
    <n v="222"/>
    <n v="0"/>
    <n v="0"/>
    <m/>
    <m/>
    <m/>
    <m/>
    <m/>
    <m/>
    <m/>
    <m/>
    <m/>
    <d v="1956-08-09T00:00:00"/>
    <s v="M"/>
    <s v="B"/>
    <s v="BLACK"/>
    <s v="NULL"/>
    <s v="262"/>
    <s v="CONVICTED"/>
    <n v="3"/>
    <s v="HCJ"/>
    <m/>
    <m/>
    <n v="90"/>
    <s v="THEFT UNDER $1500 - 3RD OFF."/>
    <m/>
    <s v="FS"/>
    <s v="THEFT"/>
    <m/>
    <m/>
    <m/>
    <m/>
    <m/>
    <m/>
    <m/>
    <m/>
    <m/>
    <s v="Appointed Attorney"/>
    <m/>
    <m/>
    <n v="29"/>
    <n v="29"/>
    <n v="222"/>
    <n v="55.37158469945355"/>
    <n v="0"/>
    <n v="0"/>
    <s v="CONVICTION"/>
    <x v="0"/>
    <s v="N"/>
    <m/>
    <s v="CONVICTION"/>
    <s v="Y"/>
    <x v="0"/>
    <x v="0"/>
    <s v="N"/>
    <n v="0.13063063063063063"/>
    <n v="1"/>
    <n v="0.86936936936936937"/>
    <n v="0"/>
    <n v="-29"/>
    <n v="0"/>
    <n v="29"/>
    <e v="#VALUE!"/>
    <n v="29"/>
    <n v="0"/>
    <m/>
    <m/>
    <s v="N"/>
    <m/>
    <s v="11-30 DAYS"/>
    <n v="2"/>
    <x v="0"/>
  </r>
  <r>
    <n v="912"/>
    <s v="N"/>
    <s v="N"/>
    <n v="2602992"/>
    <n v="6"/>
    <d v="2012-02-03T00:00:00"/>
    <d v="2012-04-12T00:00:00"/>
    <n v="2602992"/>
    <d v="2012-02-07T00:00:00"/>
    <d v="2012-04-12T00:00:00"/>
    <n v="20000"/>
    <x v="0"/>
    <m/>
    <s v="N"/>
    <s v="NONE"/>
    <s v="GUILTY PLEA - NO JURY"/>
    <n v="66"/>
    <n v="70"/>
    <n v="0"/>
    <n v="0"/>
    <m/>
    <m/>
    <m/>
    <m/>
    <m/>
    <m/>
    <m/>
    <s v="S"/>
    <m/>
    <d v="1983-12-27T00:00:00"/>
    <s v="M"/>
    <s v="H"/>
    <s v="HISPANIC"/>
    <s v="NULL"/>
    <s v="180"/>
    <s v="CONVICTED"/>
    <n v="5"/>
    <s v="TDC"/>
    <n v="2"/>
    <m/>
    <m/>
    <s v="SEX ASSLT CHILD 14-17"/>
    <m/>
    <s v="F2"/>
    <s v="SEX ABUSE"/>
    <m/>
    <m/>
    <m/>
    <m/>
    <m/>
    <m/>
    <m/>
    <m/>
    <m/>
    <s v="Hired Attorney"/>
    <m/>
    <m/>
    <n v="66"/>
    <n v="66"/>
    <n v="70"/>
    <n v="28.046448087431695"/>
    <n v="0"/>
    <n v="0"/>
    <s v="CONVICTION"/>
    <x v="0"/>
    <s v="N"/>
    <m/>
    <s v="CONVICTION"/>
    <s v="Y"/>
    <x v="0"/>
    <x v="0"/>
    <s v="N"/>
    <n v="0.94285714285714284"/>
    <n v="1"/>
    <n v="5.7142857142857162E-2"/>
    <n v="0"/>
    <n v="-66"/>
    <n v="0"/>
    <n v="66"/>
    <e v="#VALUE!"/>
    <n v="66"/>
    <n v="0"/>
    <m/>
    <m/>
    <s v="N"/>
    <m/>
    <s v="61-90 DAYS"/>
    <n v="4"/>
    <x v="0"/>
  </r>
  <r>
    <n v="2677"/>
    <s v="N"/>
    <s v="N"/>
    <n v="2602996"/>
    <n v="6"/>
    <d v="2012-04-09T00:00:00"/>
    <d v="2012-06-15T00:00:00"/>
    <n v="2602996"/>
    <d v="2012-04-09T00:00:00"/>
    <d v="2012-06-15T00:00:00"/>
    <n v="30000"/>
    <x v="2"/>
    <m/>
    <s v="N"/>
    <s v="NONE"/>
    <s v="GUILTY PLEA - NO JURY"/>
    <n v="68"/>
    <n v="68"/>
    <n v="0"/>
    <n v="0"/>
    <m/>
    <m/>
    <m/>
    <m/>
    <m/>
    <m/>
    <m/>
    <s v="S"/>
    <m/>
    <d v="1993-07-10T00:00:00"/>
    <s v="M"/>
    <s v="H"/>
    <s v="HISPANIC"/>
    <s v="NULL"/>
    <s v="178"/>
    <s v="CONVICTED"/>
    <n v="4"/>
    <s v="TDC"/>
    <n v="5"/>
    <m/>
    <m/>
    <s v="AGG ROBBERY-DEADLY WPN"/>
    <m/>
    <s v="F1"/>
    <s v="ROBBERY"/>
    <m/>
    <m/>
    <m/>
    <m/>
    <m/>
    <m/>
    <m/>
    <m/>
    <m/>
    <s v="Appointed Attorney"/>
    <m/>
    <m/>
    <n v="68"/>
    <n v="68"/>
    <n v="68"/>
    <n v="18.710382513661202"/>
    <n v="0"/>
    <n v="0"/>
    <s v="CONVICTION"/>
    <x v="0"/>
    <s v="N"/>
    <m/>
    <s v="CONVICTION"/>
    <s v="Y"/>
    <x v="0"/>
    <x v="0"/>
    <s v="N"/>
    <n v="1"/>
    <n v="1"/>
    <n v="0"/>
    <n v="0"/>
    <n v="-68"/>
    <n v="0"/>
    <n v="68"/>
    <e v="#VALUE!"/>
    <n v="68"/>
    <n v="0"/>
    <m/>
    <m/>
    <s v="N"/>
    <m/>
    <s v="61-90 DAYS"/>
    <n v="4"/>
    <x v="0"/>
  </r>
  <r>
    <n v="917"/>
    <s v="N"/>
    <s v="N"/>
    <n v="2603044"/>
    <n v="2"/>
    <d v="2012-02-03T00:00:00"/>
    <d v="2012-04-12T00:00:00"/>
    <n v="2603044"/>
    <d v="2012-02-03T00:00:00"/>
    <d v="2012-02-07T00:00:00"/>
    <n v="4000"/>
    <x v="4"/>
    <d v="2012-02-07T00:00:00"/>
    <s v="Y"/>
    <s v="SURETY"/>
    <s v="DEFERRED ADJUDICATION "/>
    <n v="5"/>
    <n v="70"/>
    <n v="0"/>
    <n v="0"/>
    <m/>
    <m/>
    <m/>
    <m/>
    <m/>
    <m/>
    <m/>
    <m/>
    <m/>
    <d v="1993-06-05T00:00:00"/>
    <s v="M"/>
    <s v="W"/>
    <s v="WHITE"/>
    <s v="NULL"/>
    <s v="177"/>
    <s v="DEFERRED"/>
    <n v="3"/>
    <s v="DEFERRED"/>
    <m/>
    <m/>
    <m/>
    <s v="POSS DANG DRUG - FREE SCHOOL Z"/>
    <m/>
    <s v="FS"/>
    <s v="POSS DRUG"/>
    <s v="6/6/12 p drug 10 days hcj"/>
    <m/>
    <m/>
    <m/>
    <m/>
    <m/>
    <m/>
    <m/>
    <m/>
    <s v="Hired Attorney"/>
    <m/>
    <m/>
    <n v="5"/>
    <n v="70"/>
    <n v="70"/>
    <n v="18.625683060109289"/>
    <n v="0"/>
    <n v="-65"/>
    <s v="DEFERRED"/>
    <x v="1"/>
    <s v="Y"/>
    <m/>
    <s v="DEFERRED"/>
    <s v="Y"/>
    <x v="1"/>
    <x v="0"/>
    <s v="N"/>
    <n v="7.1428571428571425E-2"/>
    <n v="7.1428571428571425E-2"/>
    <n v="0"/>
    <n v="0"/>
    <n v="-5"/>
    <n v="0"/>
    <n v="5"/>
    <e v="#VALUE!"/>
    <n v="5"/>
    <n v="0"/>
    <m/>
    <m/>
    <s v="N"/>
    <m/>
    <s v="0-10 DAYS"/>
    <n v="1"/>
    <x v="0"/>
  </r>
  <r>
    <n v="918"/>
    <s v="N"/>
    <s v="N"/>
    <n v="2603051"/>
    <n v="2"/>
    <d v="2012-02-03T00:00:00"/>
    <d v="2012-02-24T00:00:00"/>
    <n v="2603051"/>
    <s v="NOT BOOKED"/>
    <s v="NOT BOOKED"/>
    <n v="2000"/>
    <x v="5"/>
    <d v="2012-02-04T00:00:00"/>
    <s v="Y"/>
    <s v="SURETY"/>
    <s v="DEFERRED ADJUDICATION "/>
    <n v="0"/>
    <n v="22"/>
    <n v="0"/>
    <n v="0"/>
    <m/>
    <m/>
    <m/>
    <m/>
    <m/>
    <m/>
    <m/>
    <s v="S"/>
    <m/>
    <d v="1993-07-12T00:00:00"/>
    <s v="F"/>
    <s v="H"/>
    <s v="HISPANIC"/>
    <s v="NULL"/>
    <s v="263"/>
    <s v="DEFERRED"/>
    <n v="3"/>
    <s v="DEFERRED"/>
    <m/>
    <m/>
    <n v="10"/>
    <s v="BURGLARY OF A BUILDING"/>
    <m/>
    <s v="FS"/>
    <s v="BURGLARY"/>
    <m/>
    <m/>
    <m/>
    <m/>
    <m/>
    <m/>
    <m/>
    <m/>
    <m/>
    <s v="Appointed Attorney"/>
    <m/>
    <m/>
    <n v="0"/>
    <n v="0"/>
    <n v="22"/>
    <n v="18.524590163934427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930"/>
    <s v="N"/>
    <s v="N"/>
    <n v="2603102"/>
    <n v="4"/>
    <d v="2012-02-04T00:00:00"/>
    <d v="2012-06-13T00:00:00"/>
    <n v="2603102"/>
    <d v="2012-02-04T00:00:00"/>
    <d v="2012-06-13T00:00:00"/>
    <n v="35000"/>
    <x v="2"/>
    <m/>
    <s v="N"/>
    <s v="NONE"/>
    <s v="GUILTY PLEA - NO JURY"/>
    <n v="131"/>
    <n v="131"/>
    <n v="0"/>
    <n v="0"/>
    <m/>
    <m/>
    <m/>
    <m/>
    <m/>
    <m/>
    <m/>
    <s v="S"/>
    <m/>
    <d v="1992-08-21T00:00:00"/>
    <s v="M"/>
    <s v="H"/>
    <s v="HISPANIC"/>
    <s v="NULL"/>
    <s v="337"/>
    <s v="CONVICTED"/>
    <n v="8"/>
    <s v="HCJ"/>
    <m/>
    <m/>
    <n v="180"/>
    <s v="POSS CS PG 1 &lt;1G"/>
    <m/>
    <s v="FS"/>
    <s v="POSS DRUG"/>
    <m/>
    <m/>
    <m/>
    <m/>
    <m/>
    <m/>
    <m/>
    <m/>
    <m/>
    <s v="Public Defender"/>
    <m/>
    <m/>
    <n v="131"/>
    <n v="131"/>
    <n v="131"/>
    <n v="19.415300546448087"/>
    <n v="0"/>
    <n v="0"/>
    <s v="CONVICTION"/>
    <x v="0"/>
    <s v="N"/>
    <m/>
    <s v="CONVICTION"/>
    <s v="Y"/>
    <x v="0"/>
    <x v="0"/>
    <s v="N"/>
    <n v="1"/>
    <n v="1"/>
    <n v="0"/>
    <n v="0"/>
    <n v="-131"/>
    <n v="0"/>
    <n v="131"/>
    <e v="#VALUE!"/>
    <n v="131"/>
    <n v="0"/>
    <m/>
    <m/>
    <s v="N"/>
    <m/>
    <s v="121-365 DAYS"/>
    <n v="6"/>
    <x v="0"/>
  </r>
  <r>
    <n v="929"/>
    <s v="N"/>
    <s v="N"/>
    <n v="2603103"/>
    <n v="2"/>
    <d v="2012-02-04T00:00:00"/>
    <d v="2012-06-29T00:00:00"/>
    <n v="2603103"/>
    <d v="2012-02-04T00:00:00"/>
    <d v="2012-02-06T00:00:00"/>
    <n v="70000"/>
    <x v="2"/>
    <d v="2012-02-06T00:00:00"/>
    <s v="Y"/>
    <s v="SURETY"/>
    <s v="DEFERRED ADJUDICATION "/>
    <n v="3"/>
    <n v="147"/>
    <n v="0"/>
    <n v="0"/>
    <m/>
    <m/>
    <m/>
    <m/>
    <m/>
    <m/>
    <m/>
    <s v="S"/>
    <m/>
    <d v="1983-10-07T00:00:00"/>
    <s v="M"/>
    <s v="H"/>
    <s v="HISPANIC"/>
    <s v="NULL"/>
    <s v="263"/>
    <s v="DEFERRED"/>
    <n v="7"/>
    <s v="DEFERRED"/>
    <m/>
    <m/>
    <m/>
    <s v="POSS W/INT DEL CS PG1&gt;=4 &lt;200"/>
    <m/>
    <s v="F1"/>
    <s v="SALE DRUG"/>
    <m/>
    <m/>
    <m/>
    <m/>
    <m/>
    <m/>
    <m/>
    <m/>
    <m/>
    <s v="Hired Attorney"/>
    <m/>
    <m/>
    <n v="3"/>
    <n v="147"/>
    <n v="147"/>
    <n v="28.270491803278688"/>
    <n v="0"/>
    <n v="-144"/>
    <s v="DEFERRED"/>
    <x v="1"/>
    <s v="Y"/>
    <m/>
    <s v="DEFERRED"/>
    <s v="Y"/>
    <x v="1"/>
    <x v="0"/>
    <s v="N"/>
    <n v="2.0408163265306121E-2"/>
    <n v="2.0408163265306121E-2"/>
    <n v="0"/>
    <n v="0"/>
    <n v="-3"/>
    <n v="0"/>
    <n v="3"/>
    <e v="#VALUE!"/>
    <n v="3"/>
    <n v="0"/>
    <m/>
    <m/>
    <s v="N"/>
    <m/>
    <s v="0-10 DAYS"/>
    <n v="1"/>
    <x v="0"/>
  </r>
  <r>
    <n v="955"/>
    <s v="N"/>
    <s v="N"/>
    <n v="2603175"/>
    <n v="2"/>
    <d v="2012-02-04T00:00:00"/>
    <d v="2012-05-15T00:00:00"/>
    <n v="2603175"/>
    <d v="2012-02-05T00:00:00"/>
    <d v="2012-02-07T00:00:00"/>
    <n v="5000"/>
    <x v="4"/>
    <d v="2012-02-07T00:00:00"/>
    <s v="Y"/>
    <s v="SURETY"/>
    <s v="DEFERRED ADJUDICATION "/>
    <n v="3"/>
    <n v="102"/>
    <n v="0"/>
    <n v="0"/>
    <m/>
    <m/>
    <m/>
    <m/>
    <m/>
    <m/>
    <m/>
    <m/>
    <m/>
    <d v="1974-12-14T00:00:00"/>
    <s v="F"/>
    <s v="B"/>
    <s v="BLACK"/>
    <s v="NULL"/>
    <s v="176"/>
    <s v="DEFERRED"/>
    <n v="4"/>
    <s v="DEFERRED"/>
    <m/>
    <m/>
    <m/>
    <s v="INJURY CHILD UNDER 15 B/INJURY"/>
    <m/>
    <s v="F3"/>
    <s v="OTHER FEL"/>
    <m/>
    <m/>
    <m/>
    <m/>
    <m/>
    <m/>
    <m/>
    <m/>
    <m/>
    <s v="Appointed Attorney"/>
    <m/>
    <m/>
    <n v="3"/>
    <n v="101"/>
    <n v="102"/>
    <n v="37.065573770491802"/>
    <n v="0"/>
    <n v="-98"/>
    <s v="DEFERRED"/>
    <x v="1"/>
    <s v="Y"/>
    <m/>
    <s v="DEFERRED"/>
    <s v="Y"/>
    <x v="1"/>
    <x v="0"/>
    <s v="N"/>
    <n v="2.9411764705882353E-2"/>
    <n v="2.9702970297029702E-2"/>
    <n v="2.9120559114734906E-4"/>
    <n v="0"/>
    <n v="-3"/>
    <n v="0"/>
    <n v="3"/>
    <e v="#VALUE!"/>
    <n v="3"/>
    <n v="0"/>
    <m/>
    <m/>
    <s v="N"/>
    <m/>
    <s v="0-10 DAYS"/>
    <n v="1"/>
    <x v="0"/>
  </r>
  <r>
    <n v="961"/>
    <s v="N"/>
    <s v="N"/>
    <n v="2603180"/>
    <n v="2"/>
    <d v="2012-02-05T00:00:00"/>
    <d v="2012-02-07T00:00:00"/>
    <n v="2603180"/>
    <d v="2012-02-05T00:00:00"/>
    <d v="2012-02-07T00:00:00"/>
    <n v="20000"/>
    <x v="0"/>
    <m/>
    <s v="N"/>
    <s v="NONE"/>
    <s v="DEFERRED ADJUDICATION "/>
    <n v="3"/>
    <n v="3"/>
    <n v="0"/>
    <n v="0"/>
    <m/>
    <m/>
    <m/>
    <m/>
    <m/>
    <m/>
    <m/>
    <m/>
    <m/>
    <d v="1990-08-28T00:00:00"/>
    <s v="M"/>
    <s v="W"/>
    <s v="WHITE"/>
    <s v="NULL"/>
    <s v="228"/>
    <s v="DEFERRED"/>
    <n v="2"/>
    <s v="DEFERRED"/>
    <m/>
    <m/>
    <m/>
    <s v="INJURY CHILD UNDER 15 B/INJURY"/>
    <m/>
    <s v="F3"/>
    <s v="OTHER FEL"/>
    <s v="2/8/12 misc conv poss cs 10 daya hcj"/>
    <m/>
    <m/>
    <m/>
    <m/>
    <m/>
    <m/>
    <m/>
    <m/>
    <s v="Appointed Attorney"/>
    <m/>
    <m/>
    <n v="3"/>
    <n v="3"/>
    <n v="3"/>
    <n v="21.396174863387976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964"/>
    <s v="N"/>
    <s v="N"/>
    <n v="2603206"/>
    <n v="2"/>
    <d v="2012-02-05T00:00:00"/>
    <d v="2012-05-29T00:00:00"/>
    <n v="2603206"/>
    <d v="2012-02-05T00:00:00"/>
    <d v="2012-02-06T00:00:00"/>
    <n v="5000"/>
    <x v="4"/>
    <d v="2012-02-06T00:00:00"/>
    <s v="Y"/>
    <s v="SURETY"/>
    <s v="DEFERRED ADJUDICATION "/>
    <n v="2"/>
    <n v="115"/>
    <n v="0"/>
    <n v="0"/>
    <m/>
    <m/>
    <m/>
    <m/>
    <m/>
    <m/>
    <m/>
    <s v="S"/>
    <m/>
    <d v="1986-01-31T00:00:00"/>
    <s v="M"/>
    <s v="H"/>
    <s v="HISPANIC"/>
    <s v="NULL"/>
    <s v="263"/>
    <s v="DEFERRED"/>
    <n v="6"/>
    <s v="DEFERRED"/>
    <m/>
    <m/>
    <m/>
    <s v="RETALIATION"/>
    <m/>
    <s v="F3"/>
    <s v="OTHER FEL"/>
    <s v="7/16/12 misd poss weapn def adj"/>
    <m/>
    <m/>
    <m/>
    <m/>
    <m/>
    <m/>
    <m/>
    <m/>
    <s v="Hired Attorney"/>
    <m/>
    <m/>
    <n v="2"/>
    <n v="115"/>
    <n v="115"/>
    <n v="25.959016393442624"/>
    <n v="0"/>
    <n v="-113"/>
    <s v="DEFERRED"/>
    <x v="1"/>
    <s v="Y"/>
    <m/>
    <s v="DEFERRED"/>
    <s v="Y"/>
    <x v="1"/>
    <x v="0"/>
    <s v="N"/>
    <n v="1.7391304347826087E-2"/>
    <n v="1.7391304347826087E-2"/>
    <n v="0"/>
    <n v="0"/>
    <n v="-2"/>
    <n v="0"/>
    <n v="2"/>
    <e v="#VALUE!"/>
    <n v="2"/>
    <n v="0"/>
    <m/>
    <m/>
    <s v="N"/>
    <m/>
    <s v="0-10 DAYS"/>
    <n v="1"/>
    <x v="0"/>
  </r>
  <r>
    <n v="967"/>
    <s v="N"/>
    <s v="N"/>
    <n v="2603212"/>
    <n v="2"/>
    <d v="2012-02-05T00:00:00"/>
    <d v="2012-09-20T00:00:00"/>
    <n v="2603212"/>
    <s v="NOT BOOKED"/>
    <s v="NOT BOOKED"/>
    <n v="10000"/>
    <x v="3"/>
    <d v="2012-02-05T00:00:00"/>
    <s v="Y"/>
    <s v="SURETY"/>
    <s v="DEFERRED ADJUDICATION "/>
    <n v="0"/>
    <n v="229"/>
    <n v="0"/>
    <n v="0"/>
    <m/>
    <m/>
    <m/>
    <m/>
    <m/>
    <m/>
    <m/>
    <m/>
    <m/>
    <d v="1978-07-02T00:00:00"/>
    <s v="M"/>
    <s v="B"/>
    <s v="BLACK"/>
    <s v="NULL"/>
    <s v="180"/>
    <s v="DEFERRED"/>
    <n v="10"/>
    <s v="DEFERRED"/>
    <m/>
    <m/>
    <m/>
    <s v="BURGLARY OF HABITATION"/>
    <m/>
    <s v="F2"/>
    <s v="BURGLARY"/>
    <m/>
    <m/>
    <m/>
    <m/>
    <m/>
    <m/>
    <m/>
    <m/>
    <m/>
    <s v="Hired Attorney"/>
    <m/>
    <m/>
    <n v="0"/>
    <n v="0"/>
    <n v="229"/>
    <n v="33.527322404371581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969"/>
    <s v="N"/>
    <s v="N"/>
    <n v="2603231"/>
    <n v="1"/>
    <d v="2012-02-05T00:00:00"/>
    <d v="2012-04-05T00:00:00"/>
    <n v="2603231"/>
    <d v="2012-02-05T00:00:00"/>
    <d v="2012-02-08T00:00:00"/>
    <n v="10000"/>
    <x v="3"/>
    <d v="2012-02-08T00:00:00"/>
    <s v="Y"/>
    <s v="SURETYPTRc"/>
    <s v="DISMISSED"/>
    <n v="4"/>
    <n v="61"/>
    <n v="0"/>
    <n v="0"/>
    <m/>
    <m/>
    <m/>
    <m/>
    <m/>
    <m/>
    <m/>
    <s v="S"/>
    <m/>
    <d v="1990-01-08T00:00:00"/>
    <s v="M"/>
    <s v="H"/>
    <s v="HISPANIC"/>
    <s v="NULL"/>
    <s v="339"/>
    <s v="DISMISSED"/>
    <n v="6"/>
    <s v="DISMISSED"/>
    <m/>
    <m/>
    <m/>
    <s v="DWI 3RD OFFENDER BAC .08"/>
    <m/>
    <s v="F3"/>
    <s v="FEL DWI"/>
    <s v="misd 12/11/12 dwi  hcj 60 d"/>
    <m/>
    <m/>
    <m/>
    <m/>
    <m/>
    <m/>
    <m/>
    <m/>
    <s v="Hired Attorney"/>
    <m/>
    <m/>
    <n v="4"/>
    <n v="61"/>
    <n v="61"/>
    <n v="22.030054644808743"/>
    <n v="0"/>
    <n v="-57"/>
    <s v="NO CONVICTION"/>
    <x v="1"/>
    <s v="Y"/>
    <m/>
    <s v="NO CONVICTION"/>
    <s v="Y"/>
    <x v="1"/>
    <x v="0"/>
    <s v="N"/>
    <n v="6.5573770491803282E-2"/>
    <n v="6.5573770491803282E-2"/>
    <n v="0"/>
    <n v="0"/>
    <n v="-4"/>
    <n v="0"/>
    <n v="4"/>
    <e v="#VALUE!"/>
    <n v="4"/>
    <n v="0"/>
    <m/>
    <m/>
    <s v="N"/>
    <m/>
    <s v="0-10 DAYS"/>
    <n v="1"/>
    <x v="0"/>
  </r>
  <r>
    <n v="973"/>
    <s v="N"/>
    <s v="N"/>
    <n v="2603247"/>
    <n v="4"/>
    <d v="2012-02-05T00:00:00"/>
    <d v="2012-02-07T00:00:00"/>
    <n v="2603247"/>
    <d v="2012-02-06T00:00:00"/>
    <d v="2012-02-07T00:00:00"/>
    <n v="35000"/>
    <x v="2"/>
    <m/>
    <s v="N"/>
    <s v="NONE"/>
    <s v="GUILTY PLEA - NO JURY"/>
    <n v="2"/>
    <n v="3"/>
    <n v="0"/>
    <n v="0"/>
    <m/>
    <m/>
    <m/>
    <m/>
    <m/>
    <m/>
    <m/>
    <s v="S"/>
    <m/>
    <d v="1988-07-16T00:00:00"/>
    <s v="M"/>
    <s v="H"/>
    <s v="HISPANIC"/>
    <s v="NULL"/>
    <s v="209"/>
    <s v="CONVICTED"/>
    <n v="1"/>
    <s v="HCJ"/>
    <m/>
    <m/>
    <n v="120"/>
    <s v="POSS CS PG 1 &lt;1G"/>
    <m/>
    <s v="FS"/>
    <s v="POSS DRUG"/>
    <m/>
    <m/>
    <m/>
    <m/>
    <m/>
    <m/>
    <m/>
    <m/>
    <m/>
    <s v="Appointed Attorney"/>
    <m/>
    <m/>
    <n v="2"/>
    <n v="2"/>
    <n v="3"/>
    <n v="23.508196721311474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978"/>
    <s v="N"/>
    <s v="N"/>
    <n v="2603293"/>
    <n v="4"/>
    <d v="2012-02-06T00:00:00"/>
    <d v="2012-02-08T00:00:00"/>
    <n v="2603293"/>
    <d v="2012-02-07T00:00:00"/>
    <d v="2012-02-08T00:00:00"/>
    <n v="35000"/>
    <x v="2"/>
    <m/>
    <s v="N"/>
    <s v="NONE"/>
    <s v="GUILTY PLEA - NO JURY"/>
    <n v="2"/>
    <n v="3"/>
    <n v="0"/>
    <n v="0"/>
    <m/>
    <m/>
    <m/>
    <m/>
    <m/>
    <m/>
    <m/>
    <s v="S"/>
    <m/>
    <d v="1979-05-11T00:00:00"/>
    <s v="M"/>
    <s v="H"/>
    <s v="HISPANIC"/>
    <s v="NULL"/>
    <s v="179"/>
    <s v="CONVICTED"/>
    <n v="2"/>
    <s v="HCJ"/>
    <m/>
    <m/>
    <n v="60"/>
    <s v="POSS CS PG 1 &lt;1G"/>
    <m/>
    <s v="FS"/>
    <s v="POSS DRUG"/>
    <s v="misd dwi conv 2/9/12 hcj 40 days"/>
    <m/>
    <m/>
    <m/>
    <m/>
    <m/>
    <m/>
    <m/>
    <m/>
    <s v="Appointed Attorney"/>
    <m/>
    <m/>
    <n v="2"/>
    <n v="2"/>
    <n v="3"/>
    <n v="32.674863387978142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980"/>
    <s v="Y"/>
    <s v="Y"/>
    <n v="2603294"/>
    <n v="5"/>
    <d v="2012-02-06T00:00:00"/>
    <d v="2012-04-30T00:00:00"/>
    <n v="2603294"/>
    <d v="2012-02-06T00:00:00"/>
    <d v="2012-02-07T00:00:00"/>
    <n v="2000"/>
    <x v="5"/>
    <d v="2012-02-07T00:00:00"/>
    <s v="Y"/>
    <s v="PTRc"/>
    <s v="GUILTY PLEA - NO JURY"/>
    <n v="49"/>
    <n v="85"/>
    <n v="0"/>
    <n v="1"/>
    <m/>
    <m/>
    <m/>
    <m/>
    <m/>
    <m/>
    <m/>
    <m/>
    <m/>
    <d v="1994-11-02T00:00:00"/>
    <s v="M"/>
    <s v="B"/>
    <s v="BLACK"/>
    <s v="NULL"/>
    <s v="338"/>
    <s v="CONVICTED"/>
    <n v="4"/>
    <s v="STJ"/>
    <m/>
    <n v="6"/>
    <m/>
    <s v="UNAUTH USE OF VEHICLE"/>
    <m/>
    <s v="FS"/>
    <s v="AUTO THEFT"/>
    <m/>
    <m/>
    <s v="Y"/>
    <s v="bf 3/7/12 "/>
    <m/>
    <m/>
    <m/>
    <s v="ptr"/>
    <m/>
    <s v="Hired Attorney"/>
    <s v="poss mj 10/11/12 fel pend"/>
    <m/>
    <n v="49"/>
    <n v="85"/>
    <n v="85"/>
    <n v="17.226775956284154"/>
    <n v="0"/>
    <n v="-83"/>
    <s v="CONVICTION"/>
    <x v="2"/>
    <s v="Y"/>
    <m/>
    <s v="CONVICTION"/>
    <s v="Y"/>
    <x v="0"/>
    <x v="0"/>
    <s v="N"/>
    <n v="0.57647058823529407"/>
    <n v="2.3529411764705882E-2"/>
    <n v="-0.55294117647058816"/>
    <n v="0"/>
    <n v="-2"/>
    <n v="47"/>
    <n v="85"/>
    <n v="49"/>
    <n v="85"/>
    <n v="83"/>
    <m/>
    <m/>
    <s v="Y"/>
    <m/>
    <s v="31-60 DAYS"/>
    <n v="3"/>
    <x v="0"/>
  </r>
  <r>
    <n v="983"/>
    <s v="N"/>
    <s v="N"/>
    <n v="2603341"/>
    <n v="2"/>
    <d v="2012-02-06T00:00:00"/>
    <d v="2014-07-28T00:00:00"/>
    <n v="2603341"/>
    <d v="2012-02-07T00:00:00"/>
    <d v="2012-02-09T00:00:00"/>
    <n v="60000"/>
    <x v="2"/>
    <d v="2012-02-09T00:00:00"/>
    <s v="Y"/>
    <s v="SURETYPTRc"/>
    <s v="DEFERRED ADJUDICATION "/>
    <n v="3"/>
    <n v="904"/>
    <n v="0"/>
    <n v="0"/>
    <m/>
    <m/>
    <m/>
    <m/>
    <m/>
    <m/>
    <m/>
    <m/>
    <m/>
    <d v="1976-03-17T00:00:00"/>
    <s v="M"/>
    <s v="W"/>
    <s v="WHITE"/>
    <s v="NULL"/>
    <s v="339"/>
    <s v="DEFERRED"/>
    <n v="21"/>
    <s v="DEFERRED"/>
    <m/>
    <m/>
    <m/>
    <s v="SEX ASSLT CHILD 14-17"/>
    <m/>
    <s v="F2"/>
    <s v="SEX ABUSE"/>
    <m/>
    <m/>
    <m/>
    <m/>
    <m/>
    <m/>
    <m/>
    <m/>
    <m/>
    <s v="Hired Attorney"/>
    <m/>
    <m/>
    <n v="3"/>
    <n v="903"/>
    <n v="904"/>
    <n v="35.81693989071038"/>
    <n v="0"/>
    <n v="-900"/>
    <s v="DEFERRED"/>
    <x v="1"/>
    <s v="N"/>
    <m/>
    <s v="DEFERRED"/>
    <s v="Y"/>
    <x v="1"/>
    <x v="0"/>
    <s v="N"/>
    <n v="3.3185840707964601E-3"/>
    <n v="3.3E-3"/>
    <n v="0"/>
    <n v="0"/>
    <n v="-3"/>
    <n v="0"/>
    <n v="3"/>
    <e v="#VALUE!"/>
    <n v="3"/>
    <m/>
    <m/>
    <m/>
    <s v="N"/>
    <e v="#N/A"/>
    <s v="0-10 DAYS"/>
    <n v="1"/>
    <x v="0"/>
  </r>
  <r>
    <n v="987"/>
    <s v="N"/>
    <s v="Y"/>
    <n v="2603380"/>
    <s v=""/>
    <d v="2012-02-06T00:00:00"/>
    <m/>
    <n v="2603380"/>
    <s v="NOT BOOKED"/>
    <s v="NOT BOOKED"/>
    <s v="NO BOND"/>
    <x v="1"/>
    <m/>
    <s v="NO BOND NOT BOOKED - FUGITIVE"/>
    <s v="NONE"/>
    <s v="NA fugitive"/>
    <s v="STILL OPEN - FUGITIVE"/>
    <s v="STILL OPEN - FUGITIVE"/>
    <n v="0"/>
    <n v="0"/>
    <m/>
    <m/>
    <m/>
    <m/>
    <m/>
    <m/>
    <m/>
    <m/>
    <m/>
    <d v="1990-11-18T00:00:00"/>
    <s v="M"/>
    <s v="W"/>
    <s v="WHITE"/>
    <s v="NULL"/>
    <s v="232"/>
    <s v="NULL"/>
    <m/>
    <m/>
    <m/>
    <m/>
    <m/>
    <s v="AGG SEX ASSLT CHILD-UNDER 14"/>
    <m/>
    <s v="F1"/>
    <s v="SEX ABUSE"/>
    <m/>
    <m/>
    <m/>
    <m/>
    <m/>
    <s v="Y"/>
    <m/>
    <m/>
    <m/>
    <s v="Other/Unknown"/>
    <m/>
    <m/>
    <s v="STILL OPEN - FUGITIVE"/>
    <s v="STILL OPEN - FUGITIVE"/>
    <s v="STILL OPEN - FUGITIVE"/>
    <n v="21.174863387978142"/>
    <e v="#VALUE!"/>
    <e v="#VALUE!"/>
    <n v="0"/>
    <x v="0"/>
    <s v="Y"/>
    <m/>
    <s v=""/>
    <s v="Y"/>
    <x v="4"/>
    <x v="1"/>
    <s v="N"/>
    <s v="STILL OPEN - FUGITIVE"/>
    <s v="STILL OPEN"/>
    <n v="0"/>
    <e v="#VALUE!"/>
    <e v="#VALUE!"/>
    <e v="#VALUE!"/>
    <e v="#VALUE!"/>
    <s v="STILL OPEN - FUGITIVE"/>
    <s v="STILL OPEN"/>
    <m/>
    <m/>
    <m/>
    <s v="N"/>
    <e v="#N/A"/>
    <s v="&gt;3YRS"/>
    <n v="9"/>
    <x v="1"/>
  </r>
  <r>
    <n v="1009"/>
    <s v="Y"/>
    <s v="Y"/>
    <n v="2603401"/>
    <n v="5"/>
    <d v="2012-02-07T00:00:00"/>
    <d v="2012-08-30T00:00:00"/>
    <n v="2603401"/>
    <d v="2012-02-08T00:00:00"/>
    <d v="2012-03-04T00:00:00"/>
    <n v="2000"/>
    <x v="5"/>
    <d v="2012-03-04T00:00:00"/>
    <s v="Y"/>
    <s v="SURETYPTRc"/>
    <s v="GUILTY PLEA - NO JURY"/>
    <n v="7"/>
    <n v="206"/>
    <n v="0"/>
    <n v="2"/>
    <m/>
    <m/>
    <m/>
    <m/>
    <m/>
    <m/>
    <m/>
    <m/>
    <m/>
    <d v="1993-12-16T00:00:00"/>
    <s v="M"/>
    <s v="B"/>
    <s v="BLACK"/>
    <s v="NULL"/>
    <s v="248"/>
    <s v="CONVICTED"/>
    <n v="10"/>
    <s v="STJ"/>
    <m/>
    <n v="6"/>
    <m/>
    <s v="UNAUTH USE OF VEHICLE"/>
    <m/>
    <s v="FS"/>
    <s v="AUTO THEFT"/>
    <s v="BF 8/8/12 violation 8/7/12  bk 8/24/12 "/>
    <s v="BF 8/8/12 violation 8/7/12  bk 8/24/12 "/>
    <s v="Y"/>
    <s v="BF8/8/2012"/>
    <m/>
    <m/>
    <m/>
    <d v="2012-10-15T00:00:00"/>
    <n v="239"/>
    <s v="Appointed Attorney"/>
    <s v="Aggrobbery fug 10/15/13"/>
    <m/>
    <n v="7"/>
    <n v="205"/>
    <n v="206"/>
    <n v="18.106557377049182"/>
    <n v="0"/>
    <n v="-179"/>
    <s v="CONVICTION"/>
    <x v="1"/>
    <s v="Y"/>
    <m/>
    <s v="CONVICTION"/>
    <s v="Y"/>
    <x v="0"/>
    <x v="0"/>
    <s v="N"/>
    <n v="3.3980582524271843E-2"/>
    <n v="0.12682926829268293"/>
    <n v="9.2848685768411085E-2"/>
    <n v="0"/>
    <n v="-26"/>
    <n v="-19"/>
    <n v="205"/>
    <n v="7"/>
    <n v="205"/>
    <n v="179"/>
    <m/>
    <m/>
    <s v="Y"/>
    <m/>
    <s v="0-10 DAYS"/>
    <n v="1"/>
    <x v="0"/>
  </r>
  <r>
    <n v="1969"/>
    <s v="N"/>
    <s v="N"/>
    <n v="2603415"/>
    <n v="2"/>
    <d v="2012-03-14T00:00:00"/>
    <d v="2012-05-22T00:00:00"/>
    <n v="2603415"/>
    <d v="2012-03-15T00:00:00"/>
    <d v="2012-05-22T00:00:00"/>
    <n v="5000"/>
    <x v="4"/>
    <m/>
    <s v="N"/>
    <s v="NONE"/>
    <s v="DEFERRED ADJUDICATION "/>
    <n v="69"/>
    <n v="70"/>
    <n v="0"/>
    <n v="1"/>
    <m/>
    <m/>
    <m/>
    <m/>
    <m/>
    <m/>
    <m/>
    <s v="S"/>
    <m/>
    <d v="1995-02-02T00:00:00"/>
    <s v="M"/>
    <s v="H"/>
    <s v="HISPANIC"/>
    <s v="NULL"/>
    <s v="208"/>
    <s v="DEFERRED"/>
    <n v="7"/>
    <s v="DEFERRED"/>
    <m/>
    <m/>
    <m/>
    <s v="THEFT $1500-20K"/>
    <m/>
    <s v="FS"/>
    <s v="THEFT"/>
    <m/>
    <m/>
    <m/>
    <m/>
    <m/>
    <m/>
    <m/>
    <m/>
    <m/>
    <s v="Public Defender"/>
    <m/>
    <m/>
    <n v="69"/>
    <n v="69"/>
    <n v="70"/>
    <n v="17.076502732240439"/>
    <n v="0"/>
    <n v="0"/>
    <s v="DEFERRED"/>
    <x v="0"/>
    <s v="N"/>
    <m/>
    <s v="DEFERRED"/>
    <s v="Y"/>
    <x v="0"/>
    <x v="0"/>
    <s v="N"/>
    <n v="0.98571428571428577"/>
    <n v="1"/>
    <n v="1.4285714285714235E-2"/>
    <n v="0"/>
    <n v="-69"/>
    <n v="0"/>
    <n v="69"/>
    <e v="#VALUE!"/>
    <n v="69"/>
    <n v="0"/>
    <m/>
    <m/>
    <s v="Y"/>
    <m/>
    <s v="61-90 DAYS"/>
    <n v="4"/>
    <x v="0"/>
  </r>
  <r>
    <n v="991"/>
    <s v="N"/>
    <s v="N"/>
    <n v="2603416"/>
    <n v="4"/>
    <d v="2012-02-07T00:00:00"/>
    <d v="2012-03-20T00:00:00"/>
    <n v="2603416"/>
    <d v="2012-02-07T00:00:00"/>
    <d v="2012-03-20T00:00:00"/>
    <n v="35000"/>
    <x v="2"/>
    <m/>
    <s v="N"/>
    <s v="NONE"/>
    <s v="GUILTY PLEA - NO JURY"/>
    <n v="43"/>
    <n v="43"/>
    <n v="0"/>
    <n v="0"/>
    <m/>
    <m/>
    <m/>
    <m/>
    <m/>
    <m/>
    <m/>
    <s v="S"/>
    <m/>
    <d v="1987-06-10T00:00:00"/>
    <s v="M"/>
    <s v="H"/>
    <s v="HISPANIC"/>
    <s v="NULL"/>
    <s v="209"/>
    <s v="CONVICTED"/>
    <n v="2"/>
    <s v="HCJ"/>
    <m/>
    <m/>
    <n v="180"/>
    <s v="ATT TAMPER GOVT RECORD"/>
    <m/>
    <s v="FS"/>
    <s v="OTHER FEL"/>
    <m/>
    <m/>
    <m/>
    <m/>
    <m/>
    <m/>
    <m/>
    <m/>
    <m/>
    <s v="Hired Attorney"/>
    <m/>
    <m/>
    <n v="43"/>
    <n v="43"/>
    <n v="43"/>
    <n v="24.612021857923498"/>
    <n v="0"/>
    <n v="0"/>
    <s v="CONVICTION"/>
    <x v="0"/>
    <s v="N"/>
    <m/>
    <s v="CONVICTION"/>
    <s v="Y"/>
    <x v="0"/>
    <x v="0"/>
    <s v="N"/>
    <n v="1"/>
    <n v="1"/>
    <n v="0"/>
    <n v="0"/>
    <n v="-43"/>
    <n v="0"/>
    <n v="43"/>
    <e v="#VALUE!"/>
    <n v="43"/>
    <n v="0"/>
    <m/>
    <m/>
    <s v="N"/>
    <m/>
    <s v="31-60 DAYS"/>
    <n v="3"/>
    <x v="0"/>
  </r>
  <r>
    <n v="1002"/>
    <s v="N"/>
    <s v="N"/>
    <n v="2603525"/>
    <n v="2"/>
    <d v="2012-02-07T00:00:00"/>
    <d v="2012-05-18T00:00:00"/>
    <n v="2603525"/>
    <d v="2012-02-11T00:00:00"/>
    <d v="2012-05-18T00:00:00"/>
    <n v="30000"/>
    <x v="2"/>
    <m/>
    <s v="N"/>
    <s v="NONE"/>
    <s v="DEFERRED ADJUDICATION "/>
    <n v="98"/>
    <n v="102"/>
    <n v="0"/>
    <n v="0"/>
    <m/>
    <m/>
    <m/>
    <m/>
    <m/>
    <m/>
    <m/>
    <m/>
    <m/>
    <d v="1993-01-07T00:00:00"/>
    <s v="M"/>
    <s v="B"/>
    <s v="BLACK"/>
    <s v="NULL"/>
    <s v="185"/>
    <s v="DEFERRED"/>
    <n v="5"/>
    <s v="DEFERRED"/>
    <m/>
    <m/>
    <m/>
    <s v="AGG ROBBERY-DEADLY WPN"/>
    <m/>
    <s v="F1"/>
    <s v="ROBBERY"/>
    <m/>
    <m/>
    <m/>
    <m/>
    <m/>
    <m/>
    <m/>
    <m/>
    <m/>
    <s v="Appointed Attorney"/>
    <m/>
    <m/>
    <n v="98"/>
    <n v="98"/>
    <n v="102"/>
    <n v="19.043715846994534"/>
    <n v="0"/>
    <n v="0"/>
    <s v="DEFERRED"/>
    <x v="0"/>
    <s v="N"/>
    <m/>
    <s v="DEFERRED"/>
    <s v="Y"/>
    <x v="0"/>
    <x v="0"/>
    <s v="N"/>
    <n v="0.96078431372549022"/>
    <n v="1"/>
    <n v="3.9215686274509776E-2"/>
    <n v="0"/>
    <n v="-98"/>
    <n v="0"/>
    <n v="98"/>
    <e v="#VALUE!"/>
    <n v="98"/>
    <n v="0"/>
    <m/>
    <m/>
    <s v="N"/>
    <m/>
    <s v="91-120 DAYS"/>
    <n v="0"/>
    <x v="0"/>
  </r>
  <r>
    <n v="1003"/>
    <s v="N"/>
    <s v="N"/>
    <n v="2603552"/>
    <n v="1"/>
    <d v="2012-02-07T00:00:00"/>
    <d v="2012-02-13T00:00:00"/>
    <n v="2603552"/>
    <d v="2012-02-10T00:00:00"/>
    <d v="2012-02-13T00:00:00"/>
    <n v="2000"/>
    <x v="5"/>
    <m/>
    <s v="N"/>
    <s v="NONE"/>
    <s v="DISMISSED"/>
    <n v="4"/>
    <n v="7"/>
    <n v="0"/>
    <n v="0"/>
    <m/>
    <m/>
    <m/>
    <m/>
    <m/>
    <m/>
    <m/>
    <m/>
    <m/>
    <d v="1992-05-14T00:00:00"/>
    <s v="M"/>
    <s v="B"/>
    <s v="BLACK"/>
    <s v="NULL"/>
    <s v="174"/>
    <s v="DISMISSED"/>
    <n v="2"/>
    <s v="DISMISSED"/>
    <m/>
    <m/>
    <m/>
    <s v="THEFT $1500-20K"/>
    <m/>
    <s v="FS"/>
    <s v="THEFT"/>
    <m/>
    <m/>
    <m/>
    <m/>
    <m/>
    <m/>
    <m/>
    <m/>
    <m/>
    <s v="Appointed Attorney"/>
    <m/>
    <m/>
    <n v="4"/>
    <n v="4"/>
    <n v="7"/>
    <n v="19.693989071038253"/>
    <n v="0"/>
    <n v="0"/>
    <s v="NO CONVICTION"/>
    <x v="0"/>
    <s v="N"/>
    <m/>
    <s v="NO CONVICTION"/>
    <s v="Y"/>
    <x v="0"/>
    <x v="0"/>
    <s v="N"/>
    <n v="0.5714285714285714"/>
    <n v="1"/>
    <n v="0.4285714285714286"/>
    <n v="0"/>
    <n v="-4"/>
    <n v="0"/>
    <n v="4"/>
    <e v="#VALUE!"/>
    <n v="4"/>
    <n v="0"/>
    <m/>
    <m/>
    <s v="N"/>
    <m/>
    <s v="0-10 DAYS"/>
    <n v="1"/>
    <x v="0"/>
  </r>
  <r>
    <n v="1004"/>
    <s v="N"/>
    <s v="N"/>
    <n v="2603554"/>
    <n v="4"/>
    <d v="2012-02-07T00:00:00"/>
    <d v="2012-07-13T00:00:00"/>
    <n v="2603554"/>
    <d v="2012-02-07T00:00:00"/>
    <d v="2012-02-09T00:00:00"/>
    <n v="2000"/>
    <x v="5"/>
    <d v="2012-02-09T00:00:00"/>
    <s v="Y"/>
    <s v="SURETY"/>
    <s v="GUILTY PLEA - NO JURY"/>
    <n v="3"/>
    <n v="158"/>
    <n v="0"/>
    <n v="0"/>
    <m/>
    <m/>
    <m/>
    <m/>
    <m/>
    <m/>
    <m/>
    <m/>
    <m/>
    <d v="1994-10-29T00:00:00"/>
    <s v="M"/>
    <s v="W"/>
    <s v="WHITE"/>
    <s v="NULL"/>
    <s v="351"/>
    <s v="CONVICTED"/>
    <n v="9"/>
    <s v="HCJ"/>
    <m/>
    <m/>
    <n v="30"/>
    <s v="POSS CS PG3&lt;28G DRUG FREE ZONE"/>
    <m/>
    <s v="FS"/>
    <s v="POSS DRUG"/>
    <m/>
    <m/>
    <m/>
    <m/>
    <m/>
    <m/>
    <m/>
    <m/>
    <m/>
    <s v="Hired Attorney"/>
    <m/>
    <m/>
    <n v="3"/>
    <n v="158"/>
    <n v="158"/>
    <n v="17.240437158469945"/>
    <n v="0"/>
    <n v="-155"/>
    <s v="CONVICTION"/>
    <x v="1"/>
    <s v="Y"/>
    <m/>
    <s v="CONVICTION"/>
    <s v="Y"/>
    <x v="1"/>
    <x v="0"/>
    <s v="N"/>
    <n v="1.8987341772151899E-2"/>
    <n v="1.8987341772151899E-2"/>
    <n v="0"/>
    <n v="0"/>
    <n v="-3"/>
    <n v="0"/>
    <n v="3"/>
    <e v="#VALUE!"/>
    <n v="3"/>
    <n v="0"/>
    <m/>
    <m/>
    <s v="N"/>
    <m/>
    <s v="0-10 DAYS"/>
    <n v="1"/>
    <x v="0"/>
  </r>
  <r>
    <n v="1005"/>
    <s v="N"/>
    <s v="N"/>
    <n v="2603556"/>
    <n v="1"/>
    <d v="2012-02-07T00:00:00"/>
    <d v="2012-06-25T00:00:00"/>
    <n v="2603556"/>
    <d v="2012-05-02T00:00:00"/>
    <d v="2012-06-25T00:00:00"/>
    <n v="30000"/>
    <x v="2"/>
    <m/>
    <s v="N"/>
    <s v="NONE"/>
    <s v="NO BILL"/>
    <n v="55"/>
    <n v="140"/>
    <n v="0"/>
    <n v="0"/>
    <m/>
    <m/>
    <m/>
    <m/>
    <m/>
    <m/>
    <m/>
    <m/>
    <m/>
    <d v="1988-08-13T00:00:00"/>
    <s v="M"/>
    <s v="W"/>
    <s v="WHITE"/>
    <s v="NULL"/>
    <s v="228"/>
    <s v="NO BILL"/>
    <n v="4"/>
    <s v="NO BILL"/>
    <m/>
    <m/>
    <m/>
    <s v="SEXUAL ASSAULT"/>
    <m/>
    <s v="F2"/>
    <s v="RAPE"/>
    <m/>
    <m/>
    <m/>
    <m/>
    <m/>
    <m/>
    <m/>
    <m/>
    <m/>
    <s v="Public Defender"/>
    <m/>
    <m/>
    <n v="55"/>
    <n v="55"/>
    <n v="140"/>
    <n v="23.437158469945356"/>
    <n v="0"/>
    <n v="0"/>
    <s v="NO CONVICTION"/>
    <x v="0"/>
    <s v="N"/>
    <m/>
    <s v="NO CONVICTION"/>
    <s v="Y"/>
    <x v="0"/>
    <x v="0"/>
    <s v="N"/>
    <n v="0.39285714285714285"/>
    <n v="1"/>
    <n v="0.60714285714285721"/>
    <n v="0"/>
    <n v="-55"/>
    <n v="0"/>
    <n v="55"/>
    <e v="#VALUE!"/>
    <n v="55"/>
    <n v="0"/>
    <m/>
    <m/>
    <s v="N"/>
    <m/>
    <s v="31-60 DAYS"/>
    <n v="3"/>
    <x v="0"/>
  </r>
  <r>
    <n v="1007"/>
    <s v="N"/>
    <s v="N"/>
    <n v="2603568"/>
    <n v="2"/>
    <d v="2012-02-07T00:00:00"/>
    <d v="2012-05-18T00:00:00"/>
    <n v="2603568"/>
    <d v="2012-02-08T00:00:00"/>
    <d v="2012-02-09T00:00:00"/>
    <n v="5000"/>
    <x v="4"/>
    <d v="2012-02-09T00:00:00"/>
    <s v="Y"/>
    <s v="SURETYPTRc"/>
    <s v="DEFERRED ADJUDICATION "/>
    <n v="2"/>
    <n v="102"/>
    <n v="0"/>
    <n v="0"/>
    <m/>
    <m/>
    <m/>
    <m/>
    <m/>
    <m/>
    <m/>
    <m/>
    <m/>
    <d v="1992-03-26T00:00:00"/>
    <s v="M"/>
    <s v="W"/>
    <s v="WHITE"/>
    <s v="NULL"/>
    <s v="262"/>
    <s v="DEFERRED"/>
    <n v="6"/>
    <s v="DEFERRED"/>
    <m/>
    <m/>
    <m/>
    <s v="POSS CS PG 1  1 - 4 GRAMS"/>
    <m/>
    <s v="F3"/>
    <s v="POSS DRUG"/>
    <m/>
    <m/>
    <m/>
    <m/>
    <m/>
    <m/>
    <m/>
    <m/>
    <m/>
    <s v="Hired Attorney"/>
    <m/>
    <m/>
    <n v="2"/>
    <n v="101"/>
    <n v="102"/>
    <n v="19.827868852459016"/>
    <n v="0"/>
    <n v="-99"/>
    <s v="DEFERRED"/>
    <x v="1"/>
    <s v="Y"/>
    <m/>
    <s v="DEFERRED"/>
    <s v="Y"/>
    <x v="1"/>
    <x v="0"/>
    <s v="N"/>
    <n v="1.9607843137254902E-2"/>
    <n v="1.9801980198019802E-2"/>
    <n v="1.9413706076490053E-4"/>
    <n v="0"/>
    <n v="-2"/>
    <n v="0"/>
    <n v="2"/>
    <e v="#VALUE!"/>
    <n v="2"/>
    <n v="0"/>
    <m/>
    <m/>
    <s v="N"/>
    <m/>
    <s v="0-10 DAYS"/>
    <n v="1"/>
    <x v="0"/>
  </r>
  <r>
    <n v="1010"/>
    <s v="N"/>
    <s v="N"/>
    <n v="2603569"/>
    <n v="3"/>
    <d v="2012-02-07T00:00:00"/>
    <d v="2012-09-12T00:00:00"/>
    <n v="2603569"/>
    <d v="2012-02-07T00:00:00"/>
    <d v="2012-02-11T00:00:00"/>
    <n v="100000"/>
    <x v="2"/>
    <d v="2012-02-11T00:00:00"/>
    <s v="Y"/>
    <s v="SURETY"/>
    <s v="GUILTY PLEA - NO JURY"/>
    <n v="5"/>
    <n v="219"/>
    <n v="0"/>
    <n v="0"/>
    <m/>
    <m/>
    <m/>
    <m/>
    <m/>
    <m/>
    <m/>
    <m/>
    <m/>
    <d v="1981-11-21T00:00:00"/>
    <s v="M"/>
    <s v="W"/>
    <s v="WHITE"/>
    <s v="NULL"/>
    <s v="182"/>
    <s v="CONVICTED"/>
    <n v="8"/>
    <s v="PROBATION"/>
    <m/>
    <m/>
    <m/>
    <s v="MAN/DEL CS PG III/IV OVER 400"/>
    <m/>
    <s v="F1"/>
    <s v="SALE DRUG"/>
    <s v="  10/4 12 FREP  bk  10/11/12 jail therapy"/>
    <m/>
    <m/>
    <m/>
    <m/>
    <m/>
    <m/>
    <m/>
    <m/>
    <s v="Hired Attorney"/>
    <m/>
    <m/>
    <n v="5"/>
    <n v="219"/>
    <n v="219"/>
    <n v="30.150273224043715"/>
    <n v="0"/>
    <n v="-214"/>
    <s v="CONVICTION"/>
    <x v="1"/>
    <s v="Y"/>
    <m/>
    <s v="CONVICTION"/>
    <s v="Y"/>
    <x v="1"/>
    <x v="0"/>
    <s v="N"/>
    <n v="2.2831050228310501E-2"/>
    <n v="2.2831050228310501E-2"/>
    <n v="0"/>
    <n v="0"/>
    <n v="-5"/>
    <n v="0"/>
    <n v="5"/>
    <e v="#VALUE!"/>
    <n v="5"/>
    <n v="0"/>
    <m/>
    <m/>
    <s v="N"/>
    <m/>
    <s v="0-10 DAYS"/>
    <n v="1"/>
    <x v="0"/>
  </r>
  <r>
    <n v="1020"/>
    <s v="N"/>
    <s v="N"/>
    <n v="2603599"/>
    <n v="1"/>
    <d v="2012-02-08T00:00:00"/>
    <d v="2012-03-12T00:00:00"/>
    <n v="2603599"/>
    <d v="2012-02-08T00:00:00"/>
    <d v="2012-02-09T00:00:00"/>
    <n v="2000"/>
    <x v="5"/>
    <d v="2012-02-09T00:00:00"/>
    <s v="Y"/>
    <s v="SURETY"/>
    <s v="DISMISSED"/>
    <n v="2"/>
    <n v="34"/>
    <n v="0"/>
    <n v="0"/>
    <m/>
    <m/>
    <m/>
    <m/>
    <m/>
    <m/>
    <m/>
    <m/>
    <m/>
    <d v="1978-02-02T00:00:00"/>
    <s v="M"/>
    <s v="W"/>
    <s v="WHITE"/>
    <s v="NULL"/>
    <s v="262"/>
    <s v="DISMISSED"/>
    <n v="2"/>
    <s v="DISMISSED"/>
    <m/>
    <m/>
    <m/>
    <s v="POSS CS PG 1 &lt;1G"/>
    <m/>
    <s v="FS"/>
    <s v="POSS DRUG"/>
    <m/>
    <m/>
    <m/>
    <m/>
    <m/>
    <m/>
    <m/>
    <m/>
    <m/>
    <s v="Hired Attorney"/>
    <m/>
    <m/>
    <n v="2"/>
    <n v="34"/>
    <n v="34"/>
    <n v="33.94535519125683"/>
    <n v="0"/>
    <n v="-32"/>
    <s v="NO CONVICTION"/>
    <x v="1"/>
    <s v="Y"/>
    <m/>
    <s v="NO CONVICTION"/>
    <s v="Y"/>
    <x v="1"/>
    <x v="0"/>
    <s v="N"/>
    <n v="5.8823529411764705E-2"/>
    <n v="5.8823529411764705E-2"/>
    <n v="0"/>
    <n v="0"/>
    <n v="-2"/>
    <n v="0"/>
    <n v="2"/>
    <e v="#VALUE!"/>
    <n v="2"/>
    <n v="0"/>
    <m/>
    <m/>
    <s v="N"/>
    <m/>
    <s v="0-10 DAYS"/>
    <n v="1"/>
    <x v="0"/>
  </r>
  <r>
    <n v="1023"/>
    <s v="N"/>
    <s v="N"/>
    <n v="2603604"/>
    <n v="2"/>
    <d v="2012-02-08T00:00:00"/>
    <d v="2012-02-10T00:00:00"/>
    <n v="2603604"/>
    <d v="2012-02-08T00:00:00"/>
    <d v="2012-02-10T00:00:00"/>
    <n v="20000"/>
    <x v="0"/>
    <m/>
    <s v="N"/>
    <s v="NONE"/>
    <s v="DEFERRED ADJUDICATION "/>
    <n v="3"/>
    <n v="3"/>
    <n v="0"/>
    <n v="0"/>
    <m/>
    <m/>
    <m/>
    <m/>
    <m/>
    <m/>
    <m/>
    <s v="S"/>
    <m/>
    <d v="1991-05-05T00:00:00"/>
    <s v="M"/>
    <s v="H"/>
    <s v="HISPANIC"/>
    <s v="NULL"/>
    <s v="208"/>
    <s v="DEFERRED"/>
    <n v="2"/>
    <s v="DEFERRED"/>
    <m/>
    <m/>
    <m/>
    <s v="POSS W/INT DEL CS 4G &lt;200 GRAM"/>
    <m/>
    <s v="F2"/>
    <s v="SALE DRUG"/>
    <m/>
    <m/>
    <m/>
    <m/>
    <m/>
    <m/>
    <m/>
    <m/>
    <m/>
    <s v="Hired Attorney"/>
    <m/>
    <m/>
    <n v="3"/>
    <n v="3"/>
    <n v="3"/>
    <n v="20.721311475409838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1029"/>
    <s v="N"/>
    <s v="N"/>
    <n v="2603673"/>
    <n v="6"/>
    <d v="2012-02-08T00:00:00"/>
    <d v="2012-08-29T00:00:00"/>
    <n v="2603673"/>
    <s v="NOT BOOKED"/>
    <s v="NOT BOOKED"/>
    <n v="100000"/>
    <x v="2"/>
    <d v="2012-02-24T00:00:00"/>
    <s v="Y"/>
    <s v="SURETYPTRc"/>
    <s v="GUILTY PLEA - NO JURY"/>
    <n v="0"/>
    <n v="204"/>
    <n v="0"/>
    <n v="0"/>
    <m/>
    <m/>
    <m/>
    <m/>
    <m/>
    <m/>
    <m/>
    <m/>
    <m/>
    <d v="1981-01-30T00:00:00"/>
    <s v="M"/>
    <s v="W"/>
    <s v="WHITE"/>
    <s v="NULL"/>
    <s v="351"/>
    <s v="CONVICTED"/>
    <n v="9"/>
    <s v="TDC"/>
    <n v="20"/>
    <m/>
    <m/>
    <s v="AGG SEX ASSLT CHILD-UNDER 14"/>
    <m/>
    <s v="F1"/>
    <s v="SEX ABUSE"/>
    <m/>
    <m/>
    <m/>
    <m/>
    <m/>
    <m/>
    <m/>
    <m/>
    <m/>
    <s v="Hired Attorney"/>
    <m/>
    <m/>
    <n v="0"/>
    <n v="0"/>
    <n v="204"/>
    <n v="30.959016393442624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030"/>
    <s v="N"/>
    <s v="N"/>
    <n v="2603675"/>
    <n v="2"/>
    <d v="2012-02-08T00:00:00"/>
    <d v="2012-09-06T00:00:00"/>
    <n v="2603675"/>
    <s v="NOT BOOKED"/>
    <s v="NOT BOOKED"/>
    <n v="60000"/>
    <x v="2"/>
    <d v="2012-02-09T00:00:00"/>
    <s v="Y"/>
    <s v="SURETY"/>
    <s v="DEFERRED ADJUDICATION "/>
    <n v="0"/>
    <n v="212"/>
    <n v="0"/>
    <n v="0"/>
    <m/>
    <m/>
    <m/>
    <m/>
    <m/>
    <m/>
    <m/>
    <m/>
    <m/>
    <d v="1957-09-20T00:00:00"/>
    <s v="M"/>
    <s v="W"/>
    <s v="WHITE"/>
    <s v="NULL"/>
    <s v="179"/>
    <s v="DEFERRED"/>
    <n v="3"/>
    <s v="DEFERRED"/>
    <m/>
    <m/>
    <m/>
    <s v="POSS CHILD PORNOGRAPHY"/>
    <m/>
    <s v="F3"/>
    <s v="OTHER FEL"/>
    <m/>
    <m/>
    <m/>
    <m/>
    <m/>
    <m/>
    <m/>
    <m/>
    <m/>
    <s v="Hired Attorney"/>
    <m/>
    <m/>
    <n v="0"/>
    <n v="0"/>
    <n v="212"/>
    <n v="54.27322404371585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032"/>
    <s v="N"/>
    <s v="Y"/>
    <n v="2603693"/>
    <n v="1"/>
    <d v="2012-02-08T00:00:00"/>
    <d v="2012-03-09T00:00:00"/>
    <n v="2603693"/>
    <d v="2012-03-01T00:00:00"/>
    <d v="2012-03-09T00:00:00"/>
    <n v="2000"/>
    <x v="5"/>
    <d v="2012-02-19T00:00:00"/>
    <s v="Y"/>
    <s v="SURETY"/>
    <s v="DISMISSED"/>
    <n v="9"/>
    <n v="31"/>
    <n v="0"/>
    <n v="0"/>
    <m/>
    <m/>
    <m/>
    <m/>
    <m/>
    <m/>
    <m/>
    <m/>
    <m/>
    <d v="1970-04-25T00:00:00"/>
    <s v="F"/>
    <s v="B"/>
    <s v="BLACK"/>
    <s v="NULL"/>
    <s v="184"/>
    <s v="DISMISSED"/>
    <n v="3"/>
    <s v="DISMISSED"/>
    <m/>
    <m/>
    <m/>
    <s v="CREDIT/DEBIT CARD ABUSE"/>
    <m/>
    <s v="FS"/>
    <s v="OTHER FEL"/>
    <m/>
    <s v="bf 2/23/12 bk 3/1/12 dism 3/9/12"/>
    <s v="Y"/>
    <d v="2012-02-23T00:00:00"/>
    <m/>
    <m/>
    <m/>
    <d v="2012-03-19T00:00:00"/>
    <n v="236"/>
    <s v="Other/Unknown"/>
    <m/>
    <m/>
    <n v="9"/>
    <n v="9"/>
    <n v="31"/>
    <n v="41.704918032786885"/>
    <n v="0"/>
    <n v="0"/>
    <s v="NO CONVICTION"/>
    <x v="1"/>
    <s v="Y"/>
    <m/>
    <s v="NO CONVICTION"/>
    <s v="Y"/>
    <x v="0"/>
    <x v="0"/>
    <s v="N"/>
    <n v="0.29032258064516131"/>
    <n v="1"/>
    <n v="0.70967741935483875"/>
    <n v="0"/>
    <n v="-9"/>
    <n v="0"/>
    <n v="9"/>
    <e v="#VALUE!"/>
    <n v="9"/>
    <n v="0"/>
    <m/>
    <m/>
    <s v="N"/>
    <m/>
    <s v="0-10 DAYS"/>
    <n v="1"/>
    <x v="0"/>
  </r>
  <r>
    <n v="1036"/>
    <s v="N"/>
    <s v="N"/>
    <n v="2603724"/>
    <n v="1"/>
    <d v="2012-02-08T00:00:00"/>
    <d v="2012-03-27T00:00:00"/>
    <n v="2603724"/>
    <s v="NOT BOOKED"/>
    <s v="NOT BOOKED"/>
    <n v="2000"/>
    <x v="5"/>
    <d v="2012-02-09T00:00:00"/>
    <s v="Y"/>
    <s v="SURETY"/>
    <s v="NO BILL"/>
    <n v="0"/>
    <n v="49"/>
    <n v="0"/>
    <n v="0"/>
    <m/>
    <m/>
    <m/>
    <m/>
    <m/>
    <m/>
    <m/>
    <m/>
    <m/>
    <d v="1982-06-01T00:00:00"/>
    <s v="F"/>
    <s v="W"/>
    <s v="WHITE"/>
    <s v="NULL"/>
    <s v="178"/>
    <s v="NO BILL"/>
    <n v="3"/>
    <s v="NO BILL"/>
    <m/>
    <m/>
    <m/>
    <s v="ABAN/ENDANG CHILD W/INT TO RET"/>
    <m/>
    <s v="FS"/>
    <s v="OTHER FEL"/>
    <m/>
    <m/>
    <m/>
    <m/>
    <m/>
    <m/>
    <m/>
    <m/>
    <m/>
    <s v="Hired Attorney"/>
    <m/>
    <m/>
    <n v="0"/>
    <n v="0"/>
    <n v="49"/>
    <n v="29.628415300546447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047"/>
    <s v="N"/>
    <s v="N"/>
    <n v="2603758"/>
    <n v="2"/>
    <d v="2012-02-08T00:00:00"/>
    <d v="2012-02-10T00:00:00"/>
    <n v="2603758"/>
    <d v="2012-02-09T00:00:00"/>
    <d v="2012-02-10T00:00:00"/>
    <n v="5000"/>
    <x v="4"/>
    <m/>
    <s v="N"/>
    <s v="NONE"/>
    <s v="DEFERRED ADJUDICATION "/>
    <n v="2"/>
    <n v="3"/>
    <n v="0"/>
    <n v="0"/>
    <m/>
    <m/>
    <m/>
    <m/>
    <m/>
    <m/>
    <m/>
    <m/>
    <m/>
    <d v="1979-09-19T00:00:00"/>
    <s v="F"/>
    <s v="W"/>
    <s v="WHITE"/>
    <s v="NULL"/>
    <s v="228"/>
    <s v="DEFERRED"/>
    <n v="1"/>
    <s v="DEFERRED"/>
    <m/>
    <m/>
    <m/>
    <s v="POSS CS PG 1  1 - 4 GRAMS"/>
    <m/>
    <s v="F3"/>
    <s v="POSS DRUG"/>
    <m/>
    <m/>
    <m/>
    <m/>
    <m/>
    <m/>
    <m/>
    <m/>
    <m/>
    <s v="Appointed Attorney"/>
    <m/>
    <m/>
    <n v="2"/>
    <n v="2"/>
    <n v="3"/>
    <n v="32.322404371584696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1053"/>
    <s v="N"/>
    <s v="N"/>
    <n v="2603763"/>
    <n v="1"/>
    <d v="2012-02-08T00:00:00"/>
    <d v="2012-03-05T00:00:00"/>
    <n v="2603763"/>
    <d v="2012-02-09T00:00:00"/>
    <d v="2012-02-21T00:00:00"/>
    <n v="70000"/>
    <x v="2"/>
    <d v="2012-02-21T00:00:00"/>
    <s v="Y"/>
    <s v="SURETYPTRc"/>
    <s v="NO BILL"/>
    <n v="13"/>
    <n v="27"/>
    <n v="0"/>
    <n v="0"/>
    <m/>
    <m/>
    <m/>
    <m/>
    <m/>
    <m/>
    <m/>
    <m/>
    <m/>
    <d v="1987-04-12T00:00:00"/>
    <s v="M"/>
    <s v="W"/>
    <s v="WHITE"/>
    <s v="NULL"/>
    <s v="338"/>
    <s v="NO BILL"/>
    <n v="3"/>
    <s v="NO BILL"/>
    <m/>
    <m/>
    <m/>
    <s v="MONEY LAUNDERING&gt;=20K&lt;100K"/>
    <m/>
    <s v="F3"/>
    <s v="OTHER FEL"/>
    <m/>
    <m/>
    <m/>
    <m/>
    <m/>
    <m/>
    <m/>
    <m/>
    <m/>
    <s v="Hired Attorney"/>
    <m/>
    <m/>
    <n v="13"/>
    <n v="26"/>
    <n v="27"/>
    <n v="24.775956284153004"/>
    <n v="0"/>
    <n v="-13"/>
    <s v="NO CONVICTION"/>
    <x v="1"/>
    <s v="Y"/>
    <m/>
    <s v="NO CONVICTION"/>
    <s v="Y"/>
    <x v="1"/>
    <x v="0"/>
    <s v="N"/>
    <n v="0.48148148148148145"/>
    <n v="0.5"/>
    <n v="1.8518518518518545E-2"/>
    <n v="0"/>
    <n v="-13"/>
    <n v="0"/>
    <n v="13"/>
    <e v="#VALUE!"/>
    <n v="13"/>
    <n v="0"/>
    <m/>
    <m/>
    <s v="N"/>
    <m/>
    <s v="11-30 DAYS"/>
    <n v="2"/>
    <x v="0"/>
  </r>
  <r>
    <n v="1051"/>
    <s v="N"/>
    <s v="N"/>
    <n v="2603766"/>
    <n v="2"/>
    <d v="2012-02-08T00:00:00"/>
    <d v="2012-06-08T00:00:00"/>
    <n v="2603766"/>
    <d v="2012-02-09T00:00:00"/>
    <d v="2012-02-09T00:00:00"/>
    <n v="30000"/>
    <x v="2"/>
    <d v="2012-02-09T00:00:00"/>
    <s v="Y"/>
    <s v="SURETYPTRc"/>
    <s v="DEFERRED ADJUDICATION "/>
    <n v="1"/>
    <n v="122"/>
    <n v="0"/>
    <n v="0"/>
    <m/>
    <m/>
    <m/>
    <m/>
    <m/>
    <m/>
    <m/>
    <s v="S"/>
    <m/>
    <d v="1994-05-22T00:00:00"/>
    <s v="M"/>
    <s v="H"/>
    <s v="HISPANIC"/>
    <s v="NULL"/>
    <s v="262"/>
    <s v="DEFERRED"/>
    <n v="8"/>
    <s v="DEFERRED"/>
    <m/>
    <m/>
    <m/>
    <s v="AGG ROBBERY-DEADLY WPN"/>
    <m/>
    <s v="F1"/>
    <s v="ROBBERY"/>
    <m/>
    <m/>
    <m/>
    <m/>
    <m/>
    <m/>
    <m/>
    <m/>
    <m/>
    <s v="Hired Attorney"/>
    <m/>
    <m/>
    <n v="1"/>
    <n v="121"/>
    <n v="122"/>
    <n v="17.680327868852459"/>
    <n v="0"/>
    <n v="-120"/>
    <s v="DEFERRED"/>
    <x v="1"/>
    <s v="Y"/>
    <m/>
    <s v="DEFERRED"/>
    <s v="Y"/>
    <x v="1"/>
    <x v="0"/>
    <s v="N"/>
    <n v="8.1967213114754103E-3"/>
    <n v="8.2644628099173556E-3"/>
    <n v="6.7741498441945339E-5"/>
    <n v="0"/>
    <n v="-1"/>
    <n v="0"/>
    <n v="1"/>
    <e v="#VALUE!"/>
    <n v="1"/>
    <n v="0"/>
    <m/>
    <m/>
    <s v="N"/>
    <m/>
    <s v="0-10 DAYS"/>
    <n v="1"/>
    <x v="0"/>
  </r>
  <r>
    <n v="1063"/>
    <s v="N"/>
    <s v="N"/>
    <n v="2603805"/>
    <n v="6"/>
    <d v="2012-02-09T00:00:00"/>
    <d v="2012-05-24T00:00:00"/>
    <n v="2603805"/>
    <d v="2012-02-10T00:00:00"/>
    <d v="2012-05-24T00:00:00"/>
    <n v="180000"/>
    <x v="2"/>
    <m/>
    <s v="N"/>
    <s v="NONE"/>
    <s v="GUILTY PLEA - NO JURY"/>
    <n v="105"/>
    <n v="106"/>
    <n v="0"/>
    <n v="0"/>
    <m/>
    <m/>
    <m/>
    <m/>
    <m/>
    <m/>
    <m/>
    <s v="S"/>
    <m/>
    <d v="1987-11-25T00:00:00"/>
    <s v="M"/>
    <s v="H"/>
    <s v="HISPANIC"/>
    <s v="NULL"/>
    <s v="208"/>
    <s v="CONVICTED"/>
    <n v="5"/>
    <s v="TDC"/>
    <n v="5"/>
    <m/>
    <m/>
    <s v="POSS W/INT DEL CS PG1&gt;=4 &lt;200"/>
    <m/>
    <s v="F1"/>
    <s v="SALE DRUG"/>
    <m/>
    <m/>
    <m/>
    <m/>
    <m/>
    <m/>
    <m/>
    <m/>
    <m/>
    <s v="Appointed Attorney"/>
    <m/>
    <m/>
    <n v="105"/>
    <n v="105"/>
    <n v="106"/>
    <n v="24.15846994535519"/>
    <n v="0"/>
    <n v="0"/>
    <s v="CONVICTION"/>
    <x v="0"/>
    <s v="N"/>
    <m/>
    <s v="CONVICTION"/>
    <s v="Y"/>
    <x v="0"/>
    <x v="0"/>
    <s v="N"/>
    <n v="0.99056603773584906"/>
    <n v="1"/>
    <n v="9.4339622641509413E-3"/>
    <n v="0"/>
    <n v="-105"/>
    <n v="0"/>
    <n v="105"/>
    <e v="#VALUE!"/>
    <n v="105"/>
    <n v="0"/>
    <m/>
    <m/>
    <s v="N"/>
    <m/>
    <s v="91-120 DAYS"/>
    <n v="0"/>
    <x v="0"/>
  </r>
  <r>
    <n v="1065"/>
    <s v="N"/>
    <s v="N"/>
    <n v="2603806"/>
    <n v="2"/>
    <d v="2012-02-09T00:00:00"/>
    <d v="2012-02-10T00:00:00"/>
    <n v="2603806"/>
    <d v="2012-02-09T00:00:00"/>
    <d v="2012-02-10T00:00:00"/>
    <n v="2000"/>
    <x v="5"/>
    <m/>
    <s v="N"/>
    <s v="NONE"/>
    <s v="DEFERRED ADJUDICATION "/>
    <n v="2"/>
    <n v="2"/>
    <n v="0"/>
    <n v="0"/>
    <m/>
    <m/>
    <m/>
    <m/>
    <m/>
    <m/>
    <m/>
    <m/>
    <m/>
    <d v="1956-03-12T00:00:00"/>
    <s v="F"/>
    <s v="B"/>
    <s v="BLACK"/>
    <s v="NULL"/>
    <s v="351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2"/>
    <n v="2"/>
    <n v="2"/>
    <n v="55.797814207650276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1068"/>
    <s v="N"/>
    <s v="N"/>
    <n v="2603809"/>
    <n v="1"/>
    <d v="2012-02-09T00:00:00"/>
    <d v="2013-02-07T00:00:00"/>
    <n v="2603809"/>
    <d v="2012-02-15T00:00:00"/>
    <d v="2012-03-03T00:00:00"/>
    <n v="15000"/>
    <x v="0"/>
    <d v="2012-03-03T00:00:00"/>
    <s v="Y"/>
    <s v="SURETY"/>
    <s v="DISMISSED"/>
    <n v="18"/>
    <n v="365"/>
    <n v="0"/>
    <n v="0"/>
    <m/>
    <m/>
    <m/>
    <m/>
    <m/>
    <m/>
    <m/>
    <m/>
    <m/>
    <d v="1976-04-10T00:00:00"/>
    <s v="M"/>
    <s v="B"/>
    <s v="BLACK"/>
    <s v="NULL"/>
    <s v="178"/>
    <s v="DISMISSED"/>
    <n v="15"/>
    <s v="DISMISSED"/>
    <m/>
    <m/>
    <m/>
    <s v="RECKLESS INJURY TO CHILD"/>
    <m/>
    <s v="F2"/>
    <s v="OTHER FEL"/>
    <m/>
    <m/>
    <m/>
    <m/>
    <m/>
    <m/>
    <m/>
    <m/>
    <m/>
    <s v="Hired Attorney"/>
    <m/>
    <m/>
    <n v="18"/>
    <n v="359"/>
    <n v="365"/>
    <n v="35.759562841530055"/>
    <n v="0"/>
    <n v="-341"/>
    <s v="NO CONVICTION"/>
    <x v="1"/>
    <s v="Y"/>
    <m/>
    <s v="NO CONVICTION"/>
    <s v="Y"/>
    <x v="1"/>
    <x v="0"/>
    <s v="N"/>
    <n v="4.9315068493150684E-2"/>
    <n v="5.0139275766016712E-2"/>
    <n v="8.242072728660288E-4"/>
    <n v="0"/>
    <n v="-18"/>
    <n v="0"/>
    <n v="18"/>
    <e v="#VALUE!"/>
    <n v="18"/>
    <n v="0"/>
    <m/>
    <m/>
    <s v="N"/>
    <m/>
    <s v="11-30 DAYS"/>
    <n v="2"/>
    <x v="0"/>
  </r>
  <r>
    <n v="1070"/>
    <s v="N"/>
    <s v="N"/>
    <n v="2603824"/>
    <n v="4"/>
    <d v="2012-02-09T00:00:00"/>
    <d v="2012-02-13T00:00:00"/>
    <n v="2603824"/>
    <d v="2012-02-09T00:00:00"/>
    <d v="2012-02-13T00:00:00"/>
    <n v="2000"/>
    <x v="5"/>
    <m/>
    <s v="N"/>
    <s v="NONE"/>
    <s v="GUILTY PLEA - NO JURY"/>
    <n v="5"/>
    <n v="5"/>
    <n v="0"/>
    <n v="0"/>
    <m/>
    <m/>
    <m/>
    <m/>
    <m/>
    <m/>
    <m/>
    <m/>
    <m/>
    <d v="1991-01-20T00:00:00"/>
    <s v="M"/>
    <s v="W"/>
    <s v="WHITE"/>
    <s v="NULL"/>
    <s v="177"/>
    <s v="CONVICTED"/>
    <n v="2"/>
    <s v="HCJ"/>
    <m/>
    <m/>
    <n v="30"/>
    <s v="POSS CS PG 1 &lt;1G"/>
    <m/>
    <s v="FS"/>
    <s v="POSS DRUG"/>
    <m/>
    <m/>
    <m/>
    <m/>
    <m/>
    <m/>
    <m/>
    <m/>
    <m/>
    <s v="Appointed Attorney"/>
    <m/>
    <m/>
    <n v="5"/>
    <n v="5"/>
    <n v="5"/>
    <n v="21.010928961748633"/>
    <n v="0"/>
    <n v="0"/>
    <s v="CONVICTION"/>
    <x v="0"/>
    <s v="N"/>
    <m/>
    <s v="CONVICTION"/>
    <s v="Y"/>
    <x v="0"/>
    <x v="0"/>
    <s v="N"/>
    <n v="1"/>
    <n v="1"/>
    <n v="0"/>
    <n v="0"/>
    <n v="-5"/>
    <n v="0"/>
    <n v="5"/>
    <e v="#VALUE!"/>
    <n v="5"/>
    <n v="0"/>
    <m/>
    <m/>
    <s v="N"/>
    <m/>
    <s v="0-10 DAYS"/>
    <n v="1"/>
    <x v="0"/>
  </r>
  <r>
    <n v="1071"/>
    <s v="N"/>
    <s v="N"/>
    <n v="2603834"/>
    <n v="1"/>
    <d v="2012-02-09T00:00:00"/>
    <d v="2012-03-12T00:00:00"/>
    <n v="2603834"/>
    <s v="NOT BOOKED"/>
    <s v="NOT BOOKED"/>
    <n v="30000"/>
    <x v="2"/>
    <d v="2012-02-10T00:00:00"/>
    <s v="Y"/>
    <s v="SURETY"/>
    <s v="DISMISSED"/>
    <n v="0"/>
    <n v="33"/>
    <n v="0"/>
    <n v="0"/>
    <m/>
    <m/>
    <m/>
    <m/>
    <m/>
    <m/>
    <m/>
    <m/>
    <m/>
    <d v="1982-03-17T00:00:00"/>
    <s v="F"/>
    <s v="B"/>
    <s v="BLACK"/>
    <s v="NULL"/>
    <s v="232"/>
    <s v="DISMISSED"/>
    <n v="3"/>
    <s v="DISMISSED"/>
    <m/>
    <m/>
    <m/>
    <s v="AGG ASSAULT W/DEADLY WEAPON"/>
    <m/>
    <s v="F2"/>
    <s v="ASLT-MURDR"/>
    <s v="misd assult filed 3/9/12 pend"/>
    <m/>
    <m/>
    <m/>
    <m/>
    <m/>
    <m/>
    <m/>
    <m/>
    <s v="Hired Attorney"/>
    <m/>
    <m/>
    <n v="0"/>
    <n v="0"/>
    <n v="33"/>
    <n v="29.838797814207652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074"/>
    <s v="N"/>
    <s v="Y"/>
    <n v="2603872"/>
    <n v="6"/>
    <d v="2012-02-09T00:00:00"/>
    <d v="2015-03-27T00:00:00"/>
    <n v="2603872"/>
    <d v="2013-08-28T00:00:00"/>
    <d v="2012-04-19T00:00:00"/>
    <n v="10000"/>
    <x v="3"/>
    <d v="2012-04-19T00:00:00"/>
    <s v="Y"/>
    <s v="SURETY"/>
    <s v="GUILTY PLEA - NO JURY"/>
    <n v="576"/>
    <n v="1143"/>
    <n v="0"/>
    <n v="0"/>
    <m/>
    <m/>
    <m/>
    <m/>
    <m/>
    <m/>
    <m/>
    <m/>
    <m/>
    <d v="1979-01-27T00:00:00"/>
    <s v="M"/>
    <s v="B"/>
    <s v="BLACK"/>
    <s v="NULL"/>
    <s v="351"/>
    <s v="CONVICTED"/>
    <n v="25"/>
    <s v="TDC"/>
    <n v="4"/>
    <m/>
    <m/>
    <s v="AGG ASLT-SER BOD INJURY"/>
    <m/>
    <s v="F2"/>
    <s v="ASLT-MURDR"/>
    <s v="non-bked surety fugitiveuntil booked 8-28-13"/>
    <m/>
    <s v="Y"/>
    <d v="2012-10-23T00:00:00"/>
    <m/>
    <m/>
    <m/>
    <s v="nisi 10/26/12"/>
    <n v="541.92999999999995"/>
    <s v="Appointed Attorney"/>
    <m/>
    <m/>
    <n v="576"/>
    <n v="577"/>
    <n v="1143"/>
    <n v="32.967213114754095"/>
    <n v="1072"/>
    <n v="-1072"/>
    <s v="CONVICTION"/>
    <x v="1"/>
    <s v="Y"/>
    <m/>
    <s v="CONVICTION"/>
    <s v="Y"/>
    <x v="0"/>
    <x v="0"/>
    <s v="N"/>
    <n v="0.50393700787401574"/>
    <n v="0.50390000000000001"/>
    <n v="0"/>
    <n v="0"/>
    <n v="495"/>
    <n v="1071"/>
    <n v="577"/>
    <e v="#VALUE!"/>
    <n v="576"/>
    <m/>
    <m/>
    <m/>
    <s v="N"/>
    <e v="#N/A"/>
    <s v=" &gt;1YRS&lt;2YRS"/>
    <n v="0"/>
    <x v="0"/>
  </r>
  <r>
    <n v="1094"/>
    <s v="Y"/>
    <s v="N"/>
    <n v="2603952"/>
    <n v="1"/>
    <d v="2012-02-09T00:00:00"/>
    <d v="2012-02-13T00:00:00"/>
    <n v="2603952"/>
    <d v="2012-02-10T00:00:00"/>
    <d v="2012-02-13T00:00:00"/>
    <n v="10000"/>
    <x v="3"/>
    <m/>
    <s v="N"/>
    <s v="NONE"/>
    <s v="DISMISSED"/>
    <n v="4"/>
    <n v="5"/>
    <n v="0"/>
    <n v="0"/>
    <m/>
    <m/>
    <m/>
    <m/>
    <m/>
    <m/>
    <m/>
    <m/>
    <m/>
    <d v="1994-02-15T00:00:00"/>
    <s v="M"/>
    <s v="B"/>
    <s v="BLACK"/>
    <s v="NULL"/>
    <s v="230"/>
    <s v="DISMISSED"/>
    <n v="1"/>
    <s v="DISMISSED"/>
    <m/>
    <m/>
    <m/>
    <s v="BURGLARY OF HABITATION"/>
    <m/>
    <s v="F2"/>
    <s v="BURGLARY"/>
    <s v="misd crim misch def adj 7/24/12"/>
    <m/>
    <m/>
    <m/>
    <m/>
    <m/>
    <m/>
    <m/>
    <m/>
    <s v="Other/Unknown"/>
    <s v="misd misch def adj 7/24/12 m weap 12/28/12hcj3m"/>
    <m/>
    <n v="4"/>
    <n v="4"/>
    <n v="5"/>
    <n v="17.94535519125683"/>
    <n v="0"/>
    <n v="0"/>
    <s v="NO CONVICTION"/>
    <x v="0"/>
    <s v="N"/>
    <m/>
    <s v="NO CONVICTION"/>
    <s v="Y"/>
    <x v="0"/>
    <x v="0"/>
    <s v="N"/>
    <n v="0.8"/>
    <n v="1"/>
    <n v="0.19999999999999996"/>
    <n v="0"/>
    <n v="-4"/>
    <n v="0"/>
    <n v="4"/>
    <e v="#VALUE!"/>
    <n v="4"/>
    <n v="0"/>
    <m/>
    <m/>
    <s v="N"/>
    <m/>
    <s v="0-10 DAYS"/>
    <n v="1"/>
    <x v="0"/>
  </r>
  <r>
    <n v="1092"/>
    <s v="N"/>
    <s v="N"/>
    <n v="2603954"/>
    <n v="6"/>
    <d v="2012-02-09T00:00:00"/>
    <d v="2012-02-13T00:00:00"/>
    <n v="2603954"/>
    <d v="2012-02-10T00:00:00"/>
    <d v="2012-02-13T00:00:00"/>
    <n v="30000"/>
    <x v="2"/>
    <m/>
    <s v="N"/>
    <s v="NONE"/>
    <s v="GUILTY PLEA - NO JURY"/>
    <n v="4"/>
    <n v="5"/>
    <n v="0"/>
    <n v="0"/>
    <m/>
    <m/>
    <m/>
    <m/>
    <m/>
    <m/>
    <m/>
    <s v="S"/>
    <m/>
    <d v="1977-12-17T00:00:00"/>
    <s v="M"/>
    <s v="H"/>
    <s v="HISPANIC"/>
    <s v="NULL"/>
    <s v="262"/>
    <s v="CONVICTED"/>
    <n v="1"/>
    <s v="TDC"/>
    <n v="2"/>
    <m/>
    <m/>
    <s v="FAIL COMPLY SEX OFFENDER REGIS"/>
    <m/>
    <s v="F2"/>
    <s v="OTHER FEL"/>
    <m/>
    <m/>
    <m/>
    <m/>
    <m/>
    <m/>
    <m/>
    <m/>
    <m/>
    <s v="Hired Attorney"/>
    <m/>
    <m/>
    <n v="4"/>
    <n v="4"/>
    <n v="5"/>
    <n v="34.076502732240435"/>
    <n v="0"/>
    <n v="0"/>
    <s v="CONVICTION"/>
    <x v="0"/>
    <s v="N"/>
    <m/>
    <s v="CONVICTION"/>
    <s v="Y"/>
    <x v="0"/>
    <x v="0"/>
    <s v="N"/>
    <n v="0.8"/>
    <n v="1"/>
    <n v="0.19999999999999996"/>
    <n v="0"/>
    <n v="-4"/>
    <n v="0"/>
    <n v="4"/>
    <e v="#VALUE!"/>
    <n v="4"/>
    <n v="0"/>
    <m/>
    <m/>
    <s v="N"/>
    <m/>
    <s v="0-10 DAYS"/>
    <n v="1"/>
    <x v="0"/>
  </r>
  <r>
    <n v="1093"/>
    <s v="N"/>
    <s v="N"/>
    <n v="2603955"/>
    <n v="2"/>
    <d v="2012-02-09T00:00:00"/>
    <d v="2012-05-01T00:00:00"/>
    <n v="2603955"/>
    <d v="2012-02-10T00:00:00"/>
    <d v="2012-03-08T00:00:00"/>
    <n v="10000"/>
    <x v="3"/>
    <d v="2012-03-08T00:00:00"/>
    <s v="Y"/>
    <s v="SURETY"/>
    <s v="DEFERRED ADJUDICATION "/>
    <n v="28"/>
    <n v="83"/>
    <n v="0"/>
    <n v="0"/>
    <m/>
    <m/>
    <m/>
    <m/>
    <m/>
    <m/>
    <m/>
    <m/>
    <m/>
    <d v="1993-10-07T00:00:00"/>
    <s v="M"/>
    <s v="B"/>
    <s v="BLACK"/>
    <s v="NULL"/>
    <s v="230"/>
    <s v="DEFERRED"/>
    <n v="5"/>
    <s v="DEFERRED"/>
    <m/>
    <m/>
    <m/>
    <s v="BURGLARY OF HABITATION"/>
    <m/>
    <s v="F2"/>
    <s v="BURGLARY"/>
    <m/>
    <m/>
    <m/>
    <m/>
    <m/>
    <m/>
    <m/>
    <m/>
    <m/>
    <s v="Hired Attorney"/>
    <m/>
    <m/>
    <n v="28"/>
    <n v="82"/>
    <n v="83"/>
    <n v="18.303278688524589"/>
    <n v="0"/>
    <n v="-54"/>
    <s v="DEFERRED"/>
    <x v="1"/>
    <s v="Y"/>
    <m/>
    <s v="DEFERRED"/>
    <s v="Y"/>
    <x v="1"/>
    <x v="0"/>
    <s v="N"/>
    <n v="0.33734939759036142"/>
    <n v="0.34146341463414637"/>
    <n v="4.1140170437849455E-3"/>
    <n v="0"/>
    <n v="-28"/>
    <n v="0"/>
    <n v="28"/>
    <e v="#VALUE!"/>
    <n v="28"/>
    <n v="0"/>
    <m/>
    <m/>
    <s v="N"/>
    <m/>
    <s v="11-30 DAYS"/>
    <n v="2"/>
    <x v="0"/>
  </r>
  <r>
    <n v="1098"/>
    <s v="N"/>
    <s v="N"/>
    <n v="2603958"/>
    <n v="2"/>
    <d v="2012-02-09T00:00:00"/>
    <d v="2012-10-02T00:00:00"/>
    <n v="2603958"/>
    <s v="NOT BOOKED"/>
    <s v="NOT BOOKED"/>
    <n v="20000"/>
    <x v="0"/>
    <d v="2012-02-11T00:00:00"/>
    <s v="Y"/>
    <s v="SURETY"/>
    <s v="DEFERRED ADJUDICATION "/>
    <n v="0"/>
    <n v="237"/>
    <n v="0"/>
    <n v="0"/>
    <m/>
    <m/>
    <m/>
    <m/>
    <m/>
    <m/>
    <m/>
    <m/>
    <m/>
    <d v="1955-05-03T00:00:00"/>
    <s v="M"/>
    <s v="W"/>
    <s v="WHITE"/>
    <s v="NULL"/>
    <s v="185"/>
    <s v="DEFERRED"/>
    <n v="13"/>
    <s v="DEFERRED"/>
    <m/>
    <m/>
    <m/>
    <s v="POSS CHILD PORNOGRAPHY"/>
    <m/>
    <s v="F3"/>
    <s v="OTHER FEL"/>
    <m/>
    <m/>
    <m/>
    <m/>
    <m/>
    <m/>
    <m/>
    <m/>
    <m/>
    <s v="Hired Attorney"/>
    <m/>
    <m/>
    <n v="0"/>
    <n v="0"/>
    <n v="237"/>
    <n v="56.655737704918032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100"/>
    <s v="N"/>
    <s v="N"/>
    <n v="2603966"/>
    <n v="2"/>
    <d v="2012-02-09T00:00:00"/>
    <d v="2012-10-17T00:00:00"/>
    <n v="2603966"/>
    <d v="2012-02-10T00:00:00"/>
    <d v="2012-02-12T00:00:00"/>
    <n v="10000"/>
    <x v="3"/>
    <d v="2012-02-12T00:00:00"/>
    <s v="Y"/>
    <s v="SURETY"/>
    <s v="DEFERRED ADJUDICATION "/>
    <n v="3"/>
    <n v="252"/>
    <n v="0"/>
    <n v="0"/>
    <m/>
    <m/>
    <m/>
    <m/>
    <m/>
    <m/>
    <m/>
    <m/>
    <m/>
    <d v="1988-10-25T00:00:00"/>
    <s v="M"/>
    <s v="W"/>
    <s v="WHITE"/>
    <s v="NON-HISPANIC"/>
    <s v="179"/>
    <s v="DEFERRED"/>
    <n v="9"/>
    <s v="DEFERRED"/>
    <m/>
    <m/>
    <m/>
    <s v="ATT SEXUAL ASSAULT"/>
    <m/>
    <s v="F3"/>
    <s v="OTHER FEL"/>
    <m/>
    <m/>
    <m/>
    <m/>
    <m/>
    <m/>
    <m/>
    <m/>
    <m/>
    <s v="Hired Attorney"/>
    <m/>
    <m/>
    <n v="3"/>
    <n v="251"/>
    <n v="252"/>
    <n v="23.243169398907103"/>
    <n v="0"/>
    <n v="-248"/>
    <s v="DEFERRED"/>
    <x v="1"/>
    <s v="Y"/>
    <m/>
    <s v="DEFERRED"/>
    <s v="Y"/>
    <x v="1"/>
    <x v="0"/>
    <s v="N"/>
    <n v="1.1904761904761904E-2"/>
    <n v="1.1952191235059761E-2"/>
    <n v="4.7429330297856648E-5"/>
    <n v="0"/>
    <n v="-3"/>
    <n v="0"/>
    <n v="3"/>
    <e v="#VALUE!"/>
    <n v="3"/>
    <n v="0"/>
    <m/>
    <m/>
    <s v="N"/>
    <m/>
    <s v="0-10 DAYS"/>
    <n v="1"/>
    <x v="0"/>
  </r>
  <r>
    <n v="1101"/>
    <s v="N"/>
    <s v="N"/>
    <n v="2603967"/>
    <n v="4"/>
    <d v="2012-02-09T00:00:00"/>
    <d v="2012-12-04T00:00:00"/>
    <n v="2603967"/>
    <d v="2012-02-10T00:00:00"/>
    <d v="2012-02-14T00:00:00"/>
    <n v="10000"/>
    <x v="3"/>
    <d v="2012-02-14T00:00:00"/>
    <s v="Y"/>
    <s v="SURETY"/>
    <s v="GUILTY PLEA - NO JURY"/>
    <n v="5"/>
    <n v="300"/>
    <n v="0"/>
    <n v="0"/>
    <m/>
    <m/>
    <m/>
    <m/>
    <m/>
    <m/>
    <m/>
    <m/>
    <m/>
    <d v="1965-02-21T00:00:00"/>
    <s v="M"/>
    <s v="A"/>
    <s v="OTHER"/>
    <s v="NULL"/>
    <s v="228"/>
    <s v="CONVICTED"/>
    <n v="11"/>
    <s v="HCJ"/>
    <m/>
    <m/>
    <n v="10"/>
    <s v="POSS MARIJ 50-2000 LBS."/>
    <m/>
    <s v="F2"/>
    <s v="POSS DRUG"/>
    <m/>
    <m/>
    <m/>
    <m/>
    <m/>
    <m/>
    <m/>
    <m/>
    <m/>
    <s v="Hired Attorney"/>
    <m/>
    <m/>
    <n v="5"/>
    <n v="299"/>
    <n v="300"/>
    <n v="46.868852459016395"/>
    <n v="0"/>
    <n v="-294"/>
    <s v="CONVICTION"/>
    <x v="1"/>
    <s v="Y"/>
    <m/>
    <s v="CONVICTION"/>
    <s v="Y"/>
    <x v="1"/>
    <x v="0"/>
    <s v="N"/>
    <n v="1.6666666666666666E-2"/>
    <n v="1.6722408026755852E-2"/>
    <n v="5.5741360089185676E-5"/>
    <n v="0"/>
    <n v="-5"/>
    <n v="0"/>
    <n v="5"/>
    <e v="#VALUE!"/>
    <n v="5"/>
    <n v="0"/>
    <m/>
    <m/>
    <s v="N"/>
    <m/>
    <s v="0-10 DAYS"/>
    <n v="1"/>
    <x v="0"/>
  </r>
  <r>
    <n v="1102"/>
    <s v="N"/>
    <s v="N"/>
    <n v="2603972"/>
    <n v="6"/>
    <d v="2012-02-10T00:00:00"/>
    <d v="2012-08-15T00:00:00"/>
    <n v="2603972"/>
    <d v="2012-02-10T00:00:00"/>
    <d v="2012-08-15T00:00:00"/>
    <n v="40000"/>
    <x v="2"/>
    <m/>
    <s v="N"/>
    <s v="NONE"/>
    <s v="GUILTY PLEA - NO JURY"/>
    <n v="188"/>
    <n v="188"/>
    <n v="0"/>
    <n v="0"/>
    <m/>
    <m/>
    <m/>
    <m/>
    <m/>
    <m/>
    <m/>
    <s v="S"/>
    <m/>
    <d v="1946-06-13T00:00:00"/>
    <s v="M"/>
    <s v="H"/>
    <s v="HISPANIC"/>
    <s v="NULL"/>
    <s v="176"/>
    <s v="CONVICTED"/>
    <n v="8"/>
    <s v="TDC"/>
    <n v="10"/>
    <m/>
    <m/>
    <s v="AGG SEX ASSLT CHILD-UNDER 14"/>
    <m/>
    <s v="F1"/>
    <s v="SEX ABUSE"/>
    <m/>
    <m/>
    <m/>
    <m/>
    <m/>
    <m/>
    <m/>
    <m/>
    <m/>
    <s v="Hired Attorney"/>
    <m/>
    <m/>
    <n v="188"/>
    <n v="188"/>
    <n v="188"/>
    <n v="65.527322404371589"/>
    <n v="0"/>
    <n v="0"/>
    <s v="CONVICTION"/>
    <x v="0"/>
    <s v="N"/>
    <m/>
    <s v="CONVICTION"/>
    <s v="Y"/>
    <x v="0"/>
    <x v="0"/>
    <s v="N"/>
    <n v="1"/>
    <n v="1"/>
    <n v="0"/>
    <n v="0"/>
    <n v="-188"/>
    <n v="0"/>
    <n v="188"/>
    <e v="#VALUE!"/>
    <n v="188"/>
    <n v="0"/>
    <m/>
    <m/>
    <s v="N"/>
    <m/>
    <s v="121-365 DAYS"/>
    <n v="6"/>
    <x v="0"/>
  </r>
  <r>
    <n v="1103"/>
    <s v="N"/>
    <s v="N"/>
    <n v="2603979"/>
    <n v="2"/>
    <d v="2012-02-10T00:00:00"/>
    <d v="2012-02-14T00:00:00"/>
    <n v="2603979"/>
    <d v="2012-02-10T00:00:00"/>
    <d v="2012-02-14T00:00:00"/>
    <n v="2000"/>
    <x v="5"/>
    <m/>
    <s v="N"/>
    <s v="NONE"/>
    <s v="DEFERRED ADJUDICATION "/>
    <n v="5"/>
    <n v="5"/>
    <n v="0"/>
    <n v="0"/>
    <m/>
    <m/>
    <m/>
    <m/>
    <m/>
    <m/>
    <m/>
    <m/>
    <m/>
    <d v="1982-01-28T00:00:00"/>
    <s v="M"/>
    <s v="B"/>
    <s v="BLACK"/>
    <s v="NULL"/>
    <s v="183"/>
    <s v="DEFERRED"/>
    <n v="2"/>
    <s v="DEFERRED"/>
    <m/>
    <m/>
    <m/>
    <s v="FORGERY"/>
    <m/>
    <s v="FS"/>
    <s v="OTHER FEL"/>
    <m/>
    <m/>
    <m/>
    <m/>
    <m/>
    <m/>
    <m/>
    <m/>
    <m/>
    <s v="Appointed Attorney"/>
    <m/>
    <m/>
    <n v="5"/>
    <n v="5"/>
    <n v="5"/>
    <n v="29.972677595628415"/>
    <n v="0"/>
    <n v="0"/>
    <s v="DEFERRED"/>
    <x v="0"/>
    <s v="N"/>
    <m/>
    <s v="DEFERRED"/>
    <s v="Y"/>
    <x v="0"/>
    <x v="0"/>
    <s v="N"/>
    <n v="1"/>
    <n v="1"/>
    <n v="0"/>
    <n v="0"/>
    <n v="-5"/>
    <n v="0"/>
    <n v="5"/>
    <e v="#VALUE!"/>
    <n v="5"/>
    <n v="0"/>
    <m/>
    <m/>
    <s v="N"/>
    <m/>
    <s v="0-10 DAYS"/>
    <n v="1"/>
    <x v="0"/>
  </r>
  <r>
    <n v="1104"/>
    <s v="N"/>
    <s v="N"/>
    <n v="2603991"/>
    <n v="2"/>
    <d v="2012-02-10T00:00:00"/>
    <d v="2012-02-13T00:00:00"/>
    <n v="2603991"/>
    <d v="2012-02-10T00:00:00"/>
    <d v="2012-02-13T00:00:00"/>
    <n v="5000"/>
    <x v="4"/>
    <m/>
    <s v="N"/>
    <s v="NONE"/>
    <s v="DEFERRED ADJUDICATION "/>
    <n v="4"/>
    <n v="4"/>
    <n v="0"/>
    <n v="0"/>
    <m/>
    <m/>
    <m/>
    <m/>
    <m/>
    <m/>
    <m/>
    <m/>
    <m/>
    <d v="1972-05-30T00:00:00"/>
    <s v="M"/>
    <s v="B"/>
    <s v="BLACK"/>
    <s v="NULL"/>
    <s v="179"/>
    <s v="DEFERRED"/>
    <n v="1"/>
    <s v="DEFERRED"/>
    <m/>
    <m/>
    <m/>
    <s v="POSS CS PG 1 &lt;1G"/>
    <m/>
    <s v="FS"/>
    <s v="POSS DRUG"/>
    <s v="booked 8/21/12 ACI/R/DFAG  motion pend dism"/>
    <m/>
    <m/>
    <m/>
    <m/>
    <m/>
    <m/>
    <m/>
    <m/>
    <s v="Appointed Attorney"/>
    <m/>
    <m/>
    <n v="4"/>
    <n v="4"/>
    <n v="4"/>
    <n v="39.617486338797811"/>
    <n v="0"/>
    <n v="0"/>
    <s v="DEFERRED"/>
    <x v="0"/>
    <s v="N"/>
    <m/>
    <s v="DEFERRED"/>
    <s v="Y"/>
    <x v="0"/>
    <x v="0"/>
    <s v="N"/>
    <n v="1"/>
    <n v="1"/>
    <n v="0"/>
    <n v="0"/>
    <n v="-4"/>
    <n v="0"/>
    <n v="4"/>
    <e v="#VALUE!"/>
    <n v="4"/>
    <n v="0"/>
    <m/>
    <m/>
    <s v="N"/>
    <m/>
    <s v="0-10 DAYS"/>
    <n v="1"/>
    <x v="0"/>
  </r>
  <r>
    <n v="1114"/>
    <s v="N"/>
    <s v="N"/>
    <n v="2604009"/>
    <n v="1"/>
    <d v="2012-02-10T00:00:00"/>
    <d v="2013-06-06T00:00:00"/>
    <n v="2604009"/>
    <d v="2012-07-06T00:00:00"/>
    <d v="2012-07-17T00:00:00"/>
    <n v="30000"/>
    <x v="2"/>
    <d v="2012-07-17T00:00:00"/>
    <s v="Y"/>
    <s v="SURETYPTRc"/>
    <s v="DISMISSED"/>
    <n v="12"/>
    <n v="483"/>
    <n v="0"/>
    <n v="0"/>
    <m/>
    <m/>
    <m/>
    <m/>
    <m/>
    <m/>
    <m/>
    <m/>
    <m/>
    <d v="1975-09-12T00:00:00"/>
    <s v="M"/>
    <s v="W"/>
    <s v="WHITE"/>
    <s v="NULL"/>
    <s v="183"/>
    <s v="DISMISSED"/>
    <n v="12"/>
    <s v="DISMISSED"/>
    <m/>
    <m/>
    <m/>
    <s v="AGG ASSAULT-FAMILY MEMBER"/>
    <m/>
    <s v="F2"/>
    <s v="ASLT-MURDR"/>
    <m/>
    <m/>
    <m/>
    <m/>
    <m/>
    <m/>
    <m/>
    <m/>
    <m/>
    <s v="Hired Attorney"/>
    <m/>
    <m/>
    <n v="12"/>
    <n v="336"/>
    <n v="483"/>
    <n v="36.338797814207652"/>
    <n v="0"/>
    <n v="-324"/>
    <s v="NO CONVICTION"/>
    <x v="1"/>
    <s v="N"/>
    <m/>
    <s v="NO CONVICTION"/>
    <s v="Y"/>
    <x v="1"/>
    <x v="0"/>
    <s v="N"/>
    <n v="2.4844720496894408E-2"/>
    <n v="3.5714285714285712E-2"/>
    <n v="1.0869565217391304E-2"/>
    <n v="0"/>
    <n v="-12"/>
    <n v="0"/>
    <n v="12"/>
    <e v="#VALUE!"/>
    <n v="12"/>
    <n v="0"/>
    <m/>
    <m/>
    <s v="N"/>
    <m/>
    <s v="11-30 DAYS"/>
    <n v="2"/>
    <x v="0"/>
  </r>
  <r>
    <n v="1974"/>
    <s v="N"/>
    <s v="N"/>
    <n v="2604025"/>
    <n v="2"/>
    <d v="2012-03-14T00:00:00"/>
    <d v="2012-06-05T00:00:00"/>
    <n v="2604025"/>
    <d v="2012-03-15T00:00:00"/>
    <d v="2012-06-05T00:00:00"/>
    <s v="NO BOND"/>
    <x v="1"/>
    <m/>
    <s v="N"/>
    <s v="NONE"/>
    <s v="DEFERRED ADJUDICATION "/>
    <n v="83"/>
    <n v="84"/>
    <n v="0"/>
    <n v="0"/>
    <m/>
    <m/>
    <m/>
    <m/>
    <m/>
    <m/>
    <m/>
    <m/>
    <m/>
    <d v="1993-08-24T00:00:00"/>
    <s v="M"/>
    <s v="W"/>
    <s v="WHITE"/>
    <s v="NULL"/>
    <s v="338"/>
    <s v="DEFERRED"/>
    <n v="6"/>
    <s v="DEFERRED"/>
    <m/>
    <m/>
    <m/>
    <s v="ROBBERY-THREATS"/>
    <m/>
    <s v="F2"/>
    <s v="ROBBERY"/>
    <m/>
    <m/>
    <m/>
    <m/>
    <m/>
    <m/>
    <m/>
    <m/>
    <m/>
    <s v="Appointed Attorney"/>
    <m/>
    <m/>
    <n v="83"/>
    <n v="83"/>
    <n v="84"/>
    <n v="18.516393442622952"/>
    <n v="0"/>
    <n v="0"/>
    <s v="DEFERRED"/>
    <x v="0"/>
    <s v="N"/>
    <m/>
    <s v="DEFERRED"/>
    <s v="Y"/>
    <x v="0"/>
    <x v="0"/>
    <s v="N"/>
    <n v="0.98809523809523814"/>
    <n v="1"/>
    <n v="1.1904761904761862E-2"/>
    <n v="0"/>
    <n v="-83"/>
    <n v="0"/>
    <n v="83"/>
    <e v="#VALUE!"/>
    <n v="83"/>
    <n v="0"/>
    <m/>
    <m/>
    <s v="N"/>
    <m/>
    <s v="61-90 DAYS"/>
    <n v="4"/>
    <x v="0"/>
  </r>
  <r>
    <n v="1122"/>
    <s v="N"/>
    <s v="N"/>
    <n v="2604056"/>
    <n v="2"/>
    <d v="2012-02-10T00:00:00"/>
    <d v="2012-08-07T00:00:00"/>
    <n v="2604056"/>
    <d v="2012-02-10T00:00:00"/>
    <d v="2012-02-11T00:00:00"/>
    <n v="10000"/>
    <x v="3"/>
    <d v="2012-02-11T00:00:00"/>
    <s v="Y"/>
    <s v="SURETY"/>
    <s v="DEFERRED ADJUDICATION "/>
    <n v="2"/>
    <n v="180"/>
    <n v="0"/>
    <n v="0"/>
    <m/>
    <m/>
    <m/>
    <m/>
    <m/>
    <m/>
    <m/>
    <s v="S"/>
    <m/>
    <d v="1994-11-11T00:00:00"/>
    <s v="M"/>
    <s v="H"/>
    <s v="HISPANIC"/>
    <s v="NULL"/>
    <s v="228"/>
    <s v="DEFERRED"/>
    <n v="9"/>
    <s v="DEFERRED"/>
    <m/>
    <m/>
    <m/>
    <s v="BURGLARY OF HABITATION"/>
    <m/>
    <s v="F2"/>
    <s v="BURGLARY"/>
    <m/>
    <m/>
    <m/>
    <m/>
    <m/>
    <m/>
    <m/>
    <m/>
    <m/>
    <s v="Hired Attorney"/>
    <m/>
    <m/>
    <n v="2"/>
    <n v="180"/>
    <n v="180"/>
    <n v="17.21311475409836"/>
    <n v="0"/>
    <n v="-178"/>
    <s v="DEFERRED"/>
    <x v="1"/>
    <s v="Y"/>
    <m/>
    <s v="DEFERRED"/>
    <s v="Y"/>
    <x v="1"/>
    <x v="0"/>
    <s v="N"/>
    <n v="1.1111111111111112E-2"/>
    <n v="1.1111111111111112E-2"/>
    <n v="0"/>
    <n v="0"/>
    <n v="-2"/>
    <n v="0"/>
    <n v="2"/>
    <e v="#VALUE!"/>
    <n v="2"/>
    <n v="0"/>
    <m/>
    <m/>
    <s v="N"/>
    <m/>
    <s v="0-10 DAYS"/>
    <n v="1"/>
    <x v="0"/>
  </r>
  <r>
    <n v="1123"/>
    <s v="N"/>
    <s v="N"/>
    <n v="2604060"/>
    <n v="2"/>
    <d v="2012-02-10T00:00:00"/>
    <d v="2012-05-24T00:00:00"/>
    <n v="2604060"/>
    <d v="2012-02-11T00:00:00"/>
    <d v="2012-05-24T00:00:00"/>
    <s v="NO BOND"/>
    <x v="1"/>
    <m/>
    <s v="N"/>
    <s v="NONE"/>
    <s v="DEFERRED ADJUDICATION "/>
    <n v="104"/>
    <n v="105"/>
    <n v="0"/>
    <n v="0"/>
    <m/>
    <m/>
    <m/>
    <m/>
    <m/>
    <m/>
    <m/>
    <m/>
    <m/>
    <d v="1994-12-27T00:00:00"/>
    <s v="M"/>
    <s v="B"/>
    <s v="BLACK"/>
    <s v="NULL"/>
    <s v="176"/>
    <s v="DEFERRED"/>
    <n v="4"/>
    <s v="DEFERRED"/>
    <m/>
    <m/>
    <m/>
    <s v="AGG ROBBERY-DEADLY WPN"/>
    <m/>
    <s v="F1"/>
    <s v="ROBBERY"/>
    <m/>
    <m/>
    <m/>
    <m/>
    <m/>
    <m/>
    <m/>
    <m/>
    <m/>
    <s v="Appointed Attorney"/>
    <m/>
    <m/>
    <n v="104"/>
    <n v="104"/>
    <n v="105"/>
    <n v="17.087431693989071"/>
    <n v="0"/>
    <n v="0"/>
    <s v="DEFERRED"/>
    <x v="0"/>
    <s v="N"/>
    <m/>
    <s v="DEFERRED"/>
    <s v="Y"/>
    <x v="0"/>
    <x v="0"/>
    <s v="N"/>
    <n v="0.99047619047619051"/>
    <n v="1"/>
    <n v="9.52380952380949E-3"/>
    <n v="0"/>
    <n v="-104"/>
    <n v="0"/>
    <n v="104"/>
    <e v="#VALUE!"/>
    <n v="104"/>
    <n v="0"/>
    <m/>
    <m/>
    <s v="N"/>
    <m/>
    <s v="91-120 DAYS"/>
    <n v="0"/>
    <x v="0"/>
  </r>
  <r>
    <n v="1129"/>
    <s v="N"/>
    <s v="N"/>
    <n v="2604062"/>
    <n v="2"/>
    <d v="2012-02-10T00:00:00"/>
    <d v="2012-03-28T00:00:00"/>
    <n v="2604062"/>
    <s v="NOT BOOKED"/>
    <s v="NOT BOOKED"/>
    <n v="5000"/>
    <x v="4"/>
    <d v="2012-02-12T00:00:00"/>
    <s v="Y"/>
    <s v="SURETY"/>
    <s v="DEFERRED ADJUDICATION "/>
    <n v="0"/>
    <n v="48"/>
    <n v="0"/>
    <n v="0"/>
    <m/>
    <m/>
    <m/>
    <m/>
    <m/>
    <m/>
    <m/>
    <m/>
    <m/>
    <d v="1987-08-07T00:00:00"/>
    <s v="F"/>
    <s v="W"/>
    <s v="WHITE"/>
    <s v="NULL"/>
    <s v="176"/>
    <s v="DEFERRED"/>
    <n v="4"/>
    <s v="DEFERRED"/>
    <m/>
    <m/>
    <m/>
    <s v="POSS CS PG 2 &lt;1GRAM"/>
    <m/>
    <s v="FS"/>
    <s v="POSS DRUG"/>
    <s v="misd dwi dip 4/25/12 probation"/>
    <m/>
    <m/>
    <m/>
    <m/>
    <m/>
    <m/>
    <m/>
    <m/>
    <s v="Appointed Attorney"/>
    <m/>
    <m/>
    <n v="0"/>
    <n v="0"/>
    <n v="48"/>
    <n v="24.461748633879782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124"/>
    <s v="Y"/>
    <s v="N"/>
    <n v="2604064"/>
    <n v="2"/>
    <d v="2012-02-10T00:00:00"/>
    <d v="2013-08-12T00:00:00"/>
    <n v="2604064"/>
    <d v="2012-02-11T00:00:00"/>
    <d v="2012-02-14T00:00:00"/>
    <n v="30000"/>
    <x v="2"/>
    <d v="2012-02-14T00:00:00"/>
    <s v="Y"/>
    <s v="SURETY"/>
    <s v="DEFERRED ADJUDICATION "/>
    <n v="4"/>
    <n v="550"/>
    <n v="0"/>
    <n v="0"/>
    <m/>
    <m/>
    <m/>
    <m/>
    <m/>
    <m/>
    <m/>
    <m/>
    <m/>
    <d v="1993-03-18T00:00:00"/>
    <s v="M"/>
    <s v="B"/>
    <s v="BLACK"/>
    <s v="NULL"/>
    <s v="178"/>
    <s v="DEFERRED"/>
    <n v="13"/>
    <s v="DEFERRED"/>
    <m/>
    <m/>
    <m/>
    <s v="AGG SEX ASSLT CHILD-UNDER 14"/>
    <m/>
    <s v="F1"/>
    <s v="SEX ABUSE"/>
    <s v="motion to adj glt 11/19/13 bk 11/20/13"/>
    <m/>
    <m/>
    <m/>
    <m/>
    <m/>
    <m/>
    <m/>
    <m/>
    <s v="Hired Attorney"/>
    <s v="sex abuse pend 11/19/13 "/>
    <m/>
    <n v="4"/>
    <n v="549"/>
    <n v="550"/>
    <n v="18.860655737704917"/>
    <n v="0"/>
    <n v="-545"/>
    <s v="DEFERRED"/>
    <x v="1"/>
    <s v="Y"/>
    <m/>
    <s v="DEFERRED"/>
    <s v="Y"/>
    <x v="1"/>
    <x v="0"/>
    <s v="N"/>
    <n v="7.2727272727272727E-3"/>
    <n v="7.2859744990892532E-3"/>
    <n v="1.324722636198046E-5"/>
    <n v="0"/>
    <n v="-4"/>
    <n v="0"/>
    <n v="4"/>
    <e v="#VALUE!"/>
    <n v="4"/>
    <n v="0"/>
    <m/>
    <m/>
    <s v="N"/>
    <m/>
    <s v="0-10 DAYS"/>
    <n v="1"/>
    <x v="0"/>
  </r>
  <r>
    <n v="1126"/>
    <s v="N"/>
    <s v="N"/>
    <n v="2604065"/>
    <n v="6"/>
    <d v="2012-02-10T00:00:00"/>
    <d v="2012-05-23T00:00:00"/>
    <n v="2604065"/>
    <d v="2012-02-11T00:00:00"/>
    <d v="2012-05-23T00:00:00"/>
    <n v="20000"/>
    <x v="0"/>
    <m/>
    <s v="N"/>
    <s v="NONE"/>
    <s v="GUILTY PLEA - NO JURY"/>
    <n v="103"/>
    <n v="104"/>
    <n v="0"/>
    <n v="0"/>
    <m/>
    <m/>
    <m/>
    <m/>
    <m/>
    <m/>
    <m/>
    <m/>
    <m/>
    <d v="1956-02-08T00:00:00"/>
    <s v="M"/>
    <s v="W"/>
    <s v="WHITE"/>
    <s v="NULL"/>
    <s v="184"/>
    <s v="CONVICTED"/>
    <n v="4"/>
    <s v="TDC"/>
    <n v="5"/>
    <m/>
    <m/>
    <s v="INDECENCY CHILD-TG"/>
    <m/>
    <s v="F2"/>
    <s v="SEX ABUSE"/>
    <m/>
    <m/>
    <m/>
    <m/>
    <m/>
    <m/>
    <m/>
    <m/>
    <m/>
    <s v="Hired Attorney"/>
    <m/>
    <m/>
    <n v="103"/>
    <n v="103"/>
    <n v="104"/>
    <n v="55.89071038251366"/>
    <n v="0"/>
    <n v="0"/>
    <s v="CONVICTION"/>
    <x v="0"/>
    <s v="N"/>
    <m/>
    <s v="CONVICTION"/>
    <s v="Y"/>
    <x v="0"/>
    <x v="0"/>
    <s v="N"/>
    <n v="0.99038461538461542"/>
    <n v="1"/>
    <n v="9.6153846153845812E-3"/>
    <n v="0"/>
    <n v="-103"/>
    <n v="0"/>
    <n v="103"/>
    <e v="#VALUE!"/>
    <n v="103"/>
    <n v="0"/>
    <m/>
    <m/>
    <s v="N"/>
    <m/>
    <s v="91-120 DAYS"/>
    <n v="0"/>
    <x v="0"/>
  </r>
  <r>
    <n v="1128"/>
    <s v="N"/>
    <s v="N"/>
    <n v="2604082"/>
    <n v="2"/>
    <d v="2012-02-10T00:00:00"/>
    <d v="2012-06-22T00:00:00"/>
    <n v="2604082"/>
    <s v="NOT BOOKED"/>
    <s v="NOT BOOKED"/>
    <n v="5000"/>
    <x v="4"/>
    <d v="2012-03-04T00:00:00"/>
    <s v="Y"/>
    <s v="SURETY"/>
    <s v="DEFERRED ADJUDICATION "/>
    <n v="0"/>
    <n v="134"/>
    <n v="0"/>
    <n v="0"/>
    <m/>
    <m/>
    <m/>
    <m/>
    <m/>
    <m/>
    <m/>
    <m/>
    <m/>
    <d v="1975-09-15T00:00:00"/>
    <s v="F"/>
    <s v="W"/>
    <s v="WHITE"/>
    <s v="NULL"/>
    <s v="230"/>
    <s v="DEFERRED"/>
    <n v="8"/>
    <s v="DEFERRED"/>
    <m/>
    <m/>
    <m/>
    <s v="THEFT &gt;=$20,000 &lt;$100,000"/>
    <m/>
    <s v="F3"/>
    <s v="THEFT"/>
    <m/>
    <m/>
    <m/>
    <m/>
    <m/>
    <m/>
    <m/>
    <m/>
    <m/>
    <s v="Appointed Attorney"/>
    <m/>
    <m/>
    <n v="0"/>
    <n v="0"/>
    <n v="134"/>
    <n v="36.330601092896174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130"/>
    <s v="N"/>
    <s v="N"/>
    <n v="2604086"/>
    <n v="2"/>
    <d v="2012-02-10T00:00:00"/>
    <d v="2012-05-09T00:00:00"/>
    <n v="2604086"/>
    <d v="2012-02-11T00:00:00"/>
    <d v="2012-02-12T00:00:00"/>
    <n v="20000"/>
    <x v="0"/>
    <d v="2012-02-12T00:00:00"/>
    <s v="Y"/>
    <s v="SURETY"/>
    <s v="DEFERRED ADJUDICATION "/>
    <n v="2"/>
    <n v="90"/>
    <n v="0"/>
    <n v="0"/>
    <m/>
    <m/>
    <m/>
    <m/>
    <m/>
    <m/>
    <m/>
    <m/>
    <m/>
    <d v="1991-01-08T00:00:00"/>
    <s v="M"/>
    <s v="W"/>
    <s v="WHITE"/>
    <s v="NULL"/>
    <s v="209"/>
    <s v="DEFERRED"/>
    <n v="4"/>
    <s v="DEFERRED"/>
    <m/>
    <m/>
    <m/>
    <s v="POSS CHILD PORNOGRAPHY"/>
    <m/>
    <s v="F3"/>
    <s v="OTHER FEL"/>
    <m/>
    <m/>
    <m/>
    <m/>
    <m/>
    <m/>
    <m/>
    <m/>
    <m/>
    <s v="Hired Attorney"/>
    <m/>
    <m/>
    <n v="2"/>
    <n v="89"/>
    <n v="90"/>
    <n v="21.046448087431695"/>
    <n v="0"/>
    <n v="-87"/>
    <s v="DEFERRED"/>
    <x v="1"/>
    <s v="Y"/>
    <m/>
    <s v="DEFERRED"/>
    <s v="Y"/>
    <x v="1"/>
    <x v="0"/>
    <s v="N"/>
    <n v="2.2222222222222223E-2"/>
    <n v="2.247191011235955E-2"/>
    <n v="2.4968789013732687E-4"/>
    <n v="0"/>
    <n v="-2"/>
    <n v="0"/>
    <n v="2"/>
    <e v="#VALUE!"/>
    <n v="2"/>
    <n v="0"/>
    <m/>
    <m/>
    <s v="N"/>
    <m/>
    <s v="0-10 DAYS"/>
    <n v="1"/>
    <x v="0"/>
  </r>
  <r>
    <n v="1138"/>
    <s v="N"/>
    <s v="N"/>
    <n v="2604106"/>
    <n v="2"/>
    <d v="2012-02-10T00:00:00"/>
    <d v="2012-03-09T00:00:00"/>
    <n v="2604106"/>
    <d v="2012-02-13T00:00:00"/>
    <d v="2012-03-09T00:00:00"/>
    <n v="10000"/>
    <x v="3"/>
    <m/>
    <s v="N"/>
    <s v="NONE"/>
    <s v="DEFERRED ADJUDICATION "/>
    <n v="26"/>
    <n v="29"/>
    <n v="0"/>
    <n v="0"/>
    <m/>
    <m/>
    <m/>
    <m/>
    <m/>
    <m/>
    <m/>
    <m/>
    <m/>
    <d v="1991-08-24T00:00:00"/>
    <s v="M"/>
    <s v="W"/>
    <s v="WHITE"/>
    <s v="NULL"/>
    <s v="174"/>
    <s v="DEFERRED"/>
    <n v="4"/>
    <s v="DEFERRED"/>
    <m/>
    <m/>
    <m/>
    <s v="BURGLARY OF HABITATION"/>
    <m/>
    <s v="F2"/>
    <s v="BURGLARY"/>
    <m/>
    <m/>
    <m/>
    <m/>
    <m/>
    <m/>
    <m/>
    <m/>
    <m/>
    <s v="Appointed Attorney"/>
    <m/>
    <m/>
    <n v="26"/>
    <n v="26"/>
    <n v="29"/>
    <n v="20.423497267759561"/>
    <n v="0"/>
    <n v="0"/>
    <s v="DEFERRED"/>
    <x v="0"/>
    <s v="N"/>
    <m/>
    <s v="DEFERRED"/>
    <s v="Y"/>
    <x v="0"/>
    <x v="0"/>
    <s v="N"/>
    <n v="0.89655172413793105"/>
    <n v="1"/>
    <n v="0.10344827586206895"/>
    <n v="0"/>
    <n v="-26"/>
    <n v="0"/>
    <n v="26"/>
    <e v="#VALUE!"/>
    <n v="26"/>
    <n v="0"/>
    <m/>
    <m/>
    <s v="N"/>
    <m/>
    <s v="11-30 DAYS"/>
    <n v="2"/>
    <x v="0"/>
  </r>
  <r>
    <n v="1140"/>
    <s v="N"/>
    <s v="N"/>
    <n v="2604109"/>
    <n v="1"/>
    <d v="2012-02-10T00:00:00"/>
    <d v="2012-06-26T00:00:00"/>
    <n v="2604109"/>
    <d v="2012-02-14T00:00:00"/>
    <d v="2012-06-26T00:00:00"/>
    <n v="35000"/>
    <x v="2"/>
    <m/>
    <s v="N"/>
    <s v="NONE"/>
    <s v="DISMISSED"/>
    <n v="134"/>
    <n v="138"/>
    <n v="0"/>
    <n v="0"/>
    <m/>
    <m/>
    <m/>
    <m/>
    <m/>
    <m/>
    <m/>
    <s v="S"/>
    <m/>
    <d v="1993-01-11T00:00:00"/>
    <s v="M"/>
    <s v="H"/>
    <s v="HISPANIC"/>
    <s v="NULL"/>
    <s v="230"/>
    <s v="DISMISSED"/>
    <n v="12"/>
    <s v="DISMISSED"/>
    <m/>
    <m/>
    <m/>
    <s v="SEXUAL ASSAULT"/>
    <m/>
    <s v="F2"/>
    <s v="RAPE"/>
    <m/>
    <m/>
    <m/>
    <m/>
    <m/>
    <m/>
    <m/>
    <m/>
    <m/>
    <s v="Hired Attorney"/>
    <m/>
    <m/>
    <n v="134"/>
    <n v="134"/>
    <n v="138"/>
    <n v="19.040983606557376"/>
    <n v="0"/>
    <n v="0"/>
    <s v="NO CONVICTION"/>
    <x v="0"/>
    <s v="N"/>
    <m/>
    <s v="NO CONVICTION"/>
    <s v="Y"/>
    <x v="0"/>
    <x v="0"/>
    <s v="N"/>
    <n v="0.97101449275362317"/>
    <n v="1"/>
    <n v="2.8985507246376829E-2"/>
    <n v="0"/>
    <n v="-134"/>
    <n v="0"/>
    <n v="134"/>
    <e v="#VALUE!"/>
    <n v="134"/>
    <n v="0"/>
    <m/>
    <m/>
    <s v="N"/>
    <m/>
    <s v="121-365 DAYS"/>
    <n v="6"/>
    <x v="0"/>
  </r>
  <r>
    <n v="1149"/>
    <s v="N"/>
    <s v="Y"/>
    <n v="2604155"/>
    <n v="1"/>
    <d v="2012-02-11T00:00:00"/>
    <d v="2012-05-01T00:00:00"/>
    <n v="2604155"/>
    <d v="2012-02-11T00:00:00"/>
    <d v="2012-02-13T00:00:00"/>
    <n v="12000"/>
    <x v="0"/>
    <d v="2012-02-13T00:00:00"/>
    <s v="Y"/>
    <s v="PTR"/>
    <s v="DISMISSED"/>
    <n v="19"/>
    <n v="81"/>
    <n v="0"/>
    <n v="0"/>
    <m/>
    <m/>
    <m/>
    <m/>
    <m/>
    <m/>
    <m/>
    <m/>
    <m/>
    <d v="1985-03-28T00:00:00"/>
    <s v="F"/>
    <s v="B"/>
    <s v="BLACK"/>
    <s v="NULL"/>
    <s v="180"/>
    <s v="DISMISSED"/>
    <n v="3"/>
    <s v="DISMISSED"/>
    <m/>
    <m/>
    <m/>
    <s v="POSS CS PG 1 &lt;1G"/>
    <m/>
    <s v="FS"/>
    <s v="POSS DRUG"/>
    <m/>
    <s v="ptr rev  3/14/12  "/>
    <m/>
    <m/>
    <s v="Y"/>
    <m/>
    <m/>
    <m/>
    <m/>
    <s v="Appointed Attorney"/>
    <m/>
    <m/>
    <n v="19"/>
    <n v="81"/>
    <n v="81"/>
    <n v="26.819672131147541"/>
    <n v="0"/>
    <n v="-78"/>
    <s v="NO CONVICTION"/>
    <x v="2"/>
    <s v="Y"/>
    <m/>
    <s v="NO CONVICTION"/>
    <s v="Y"/>
    <x v="1"/>
    <x v="0"/>
    <s v="N"/>
    <n v="0.23456790123456789"/>
    <n v="3.7037037037037035E-2"/>
    <n v="-0.19753086419753085"/>
    <n v="0"/>
    <n v="-3"/>
    <n v="16"/>
    <n v="3"/>
    <n v="19"/>
    <m/>
    <n v="78"/>
    <m/>
    <m/>
    <s v="N"/>
    <m/>
    <s v="11-30 DAYS"/>
    <n v="2"/>
    <x v="0"/>
  </r>
  <r>
    <n v="1150"/>
    <s v="N"/>
    <s v="N"/>
    <n v="2604156"/>
    <n v="2"/>
    <d v="2012-02-11T00:00:00"/>
    <d v="2012-02-13T00:00:00"/>
    <n v="2604156"/>
    <d v="2012-02-11T00:00:00"/>
    <d v="2012-02-13T00:00:00"/>
    <n v="2000"/>
    <x v="5"/>
    <m/>
    <s v="N"/>
    <s v="NONE"/>
    <s v="DEFERRED ADJUDICATION "/>
    <n v="3"/>
    <n v="3"/>
    <n v="0"/>
    <n v="0"/>
    <m/>
    <m/>
    <m/>
    <m/>
    <m/>
    <m/>
    <m/>
    <s v="S"/>
    <m/>
    <d v="1970-11-14T00:00:00"/>
    <s v="F"/>
    <s v="H"/>
    <s v="HISPANIC"/>
    <s v="NULL"/>
    <s v="176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3"/>
    <n v="3"/>
    <n v="3"/>
    <n v="41.158469945355193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1155"/>
    <s v="N"/>
    <s v="N"/>
    <n v="2604183"/>
    <n v="2"/>
    <d v="2012-02-11T00:00:00"/>
    <d v="2012-02-13T00:00:00"/>
    <n v="2604183"/>
    <d v="2012-02-11T00:00:00"/>
    <d v="2012-02-12T00:00:00"/>
    <n v="2000"/>
    <x v="5"/>
    <d v="2012-02-12T00:00:00"/>
    <s v="Y"/>
    <s v="SURETY"/>
    <s v="DEFERRED ADJUDICATION "/>
    <n v="2"/>
    <n v="3"/>
    <n v="0"/>
    <n v="0"/>
    <m/>
    <m/>
    <m/>
    <m/>
    <m/>
    <m/>
    <m/>
    <s v="S"/>
    <m/>
    <d v="1993-10-16T00:00:00"/>
    <s v="M"/>
    <s v="H"/>
    <s v="HISPANIC"/>
    <s v="NULL"/>
    <s v="179"/>
    <s v="DEFERRED"/>
    <n v="1"/>
    <s v="DEFERRED"/>
    <m/>
    <m/>
    <m/>
    <s v="MAN/DEL CS PG II &lt; 1 GRAMS"/>
    <m/>
    <s v="FS"/>
    <s v="SALE DRUG"/>
    <s v="LV 6/12/12 book 6/19/12  motion to adj g dism"/>
    <m/>
    <m/>
    <m/>
    <m/>
    <m/>
    <m/>
    <m/>
    <m/>
    <s v="Hired Attorney"/>
    <m/>
    <m/>
    <n v="2"/>
    <n v="3"/>
    <n v="3"/>
    <n v="18.284153005464482"/>
    <n v="0"/>
    <n v="-1"/>
    <s v="DEFERRED"/>
    <x v="1"/>
    <s v="Y"/>
    <m/>
    <s v="DEFERRED"/>
    <s v="Y"/>
    <x v="1"/>
    <x v="0"/>
    <s v="N"/>
    <n v="0.66666666666666663"/>
    <n v="0.66666666666666663"/>
    <n v="0"/>
    <n v="0"/>
    <n v="-2"/>
    <n v="0"/>
    <n v="2"/>
    <e v="#VALUE!"/>
    <n v="2"/>
    <n v="0"/>
    <m/>
    <m/>
    <s v="N"/>
    <m/>
    <s v="0-10 DAYS"/>
    <n v="1"/>
    <x v="0"/>
  </r>
  <r>
    <n v="1162"/>
    <s v="N"/>
    <s v="N"/>
    <n v="2604220"/>
    <n v="2"/>
    <d v="2012-02-11T00:00:00"/>
    <d v="2012-02-13T00:00:00"/>
    <n v="2604220"/>
    <d v="2012-02-12T00:00:00"/>
    <d v="2012-02-13T00:00:00"/>
    <n v="2000"/>
    <x v="5"/>
    <m/>
    <s v="N"/>
    <s v="NONE"/>
    <s v="DEFERRED ADJUDICATION "/>
    <n v="2"/>
    <n v="3"/>
    <n v="0"/>
    <n v="0"/>
    <m/>
    <m/>
    <m/>
    <m/>
    <m/>
    <m/>
    <m/>
    <m/>
    <m/>
    <d v="1993-03-08T00:00:00"/>
    <s v="M"/>
    <s v="B"/>
    <s v="BLACK"/>
    <s v="NULL"/>
    <s v="179"/>
    <s v="DEFERRED"/>
    <n v="1"/>
    <s v="DEFERRED"/>
    <m/>
    <m/>
    <m/>
    <s v="THEFT $1500-20K"/>
    <m/>
    <s v="FS"/>
    <s v="THEFT"/>
    <s v=" fel theft filed 7/24/12  def adj rev 7/25/12 1yr st j"/>
    <m/>
    <m/>
    <m/>
    <m/>
    <m/>
    <m/>
    <m/>
    <m/>
    <s v="Appointed Attorney"/>
    <m/>
    <m/>
    <n v="2"/>
    <n v="2"/>
    <n v="3"/>
    <n v="18.89071038251366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1180"/>
    <s v="N"/>
    <s v="N"/>
    <n v="2604339"/>
    <n v="5"/>
    <d v="2012-02-13T00:00:00"/>
    <d v="2012-06-28T00:00:00"/>
    <n v="2604339"/>
    <d v="2012-02-13T00:00:00"/>
    <d v="2012-06-28T00:00:00"/>
    <n v="35000"/>
    <x v="2"/>
    <m/>
    <s v="N"/>
    <s v="NONE"/>
    <s v="GUILTY PLEA - NO JURY"/>
    <n v="137"/>
    <n v="137"/>
    <n v="0"/>
    <n v="0"/>
    <m/>
    <m/>
    <m/>
    <m/>
    <m/>
    <m/>
    <m/>
    <m/>
    <m/>
    <d v="1985-02-17T00:00:00"/>
    <s v="F"/>
    <s v="W"/>
    <s v="WHITE"/>
    <s v="NULL"/>
    <s v="338"/>
    <s v="CONVICTED"/>
    <n v="7"/>
    <s v="STJ"/>
    <m/>
    <n v="6"/>
    <m/>
    <s v="ABAN/ENDANG CHILD W/INT TO RET"/>
    <m/>
    <s v="FS"/>
    <s v="OTHER FEL"/>
    <m/>
    <m/>
    <m/>
    <m/>
    <m/>
    <m/>
    <m/>
    <m/>
    <m/>
    <s v="Appointed Attorney"/>
    <m/>
    <m/>
    <n v="137"/>
    <n v="137"/>
    <n v="137"/>
    <n v="26.931693989071039"/>
    <n v="0"/>
    <n v="0"/>
    <s v="CONVICTION"/>
    <x v="0"/>
    <s v="N"/>
    <m/>
    <s v="CONVICTION"/>
    <s v="Y"/>
    <x v="0"/>
    <x v="0"/>
    <s v="N"/>
    <n v="1"/>
    <n v="1"/>
    <n v="0"/>
    <n v="0"/>
    <n v="-137"/>
    <n v="0"/>
    <n v="137"/>
    <e v="#VALUE!"/>
    <n v="137"/>
    <n v="0"/>
    <m/>
    <m/>
    <s v="N"/>
    <m/>
    <s v="121-365 DAYS"/>
    <n v="6"/>
    <x v="0"/>
  </r>
  <r>
    <n v="1187"/>
    <s v="N"/>
    <s v="N"/>
    <n v="2604423"/>
    <n v="4"/>
    <d v="2012-02-13T00:00:00"/>
    <d v="2012-02-15T00:00:00"/>
    <n v="2604423"/>
    <d v="2012-02-14T00:00:00"/>
    <d v="2012-02-15T00:00:00"/>
    <n v="35000"/>
    <x v="2"/>
    <m/>
    <s v="N"/>
    <s v="NONE"/>
    <s v="GUILTY PLEA - NO JURY"/>
    <n v="2"/>
    <n v="3"/>
    <n v="0"/>
    <n v="0"/>
    <m/>
    <m/>
    <m/>
    <m/>
    <m/>
    <m/>
    <m/>
    <s v="S"/>
    <m/>
    <d v="1978-08-29T00:00:00"/>
    <s v="M"/>
    <s v="H"/>
    <s v="HISPANIC"/>
    <s v="NULL"/>
    <s v="262"/>
    <s v="CONVICTED"/>
    <n v="1"/>
    <s v="HCJ"/>
    <m/>
    <m/>
    <n v="120"/>
    <s v="POSS CS PG 1 &lt;1G"/>
    <m/>
    <s v="FS"/>
    <s v="POSS DRUG"/>
    <s v="misc dwi conv 2/16/12 hcj 30 day"/>
    <m/>
    <m/>
    <m/>
    <m/>
    <m/>
    <m/>
    <m/>
    <m/>
    <s v="Appointed Attorney"/>
    <m/>
    <m/>
    <n v="2"/>
    <n v="2"/>
    <n v="3"/>
    <n v="33.39071038251366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1193"/>
    <s v="N"/>
    <s v="N"/>
    <n v="2604466"/>
    <n v="2"/>
    <d v="2012-02-13T00:00:00"/>
    <d v="2013-02-21T00:00:00"/>
    <n v="2604466"/>
    <d v="2012-02-14T00:00:00"/>
    <d v="2012-02-16T00:00:00"/>
    <n v="65000"/>
    <x v="2"/>
    <d v="2012-02-16T00:00:00"/>
    <s v="Y"/>
    <s v="SURETY"/>
    <s v="DEFERRED ADJUDICATION "/>
    <n v="3"/>
    <n v="375"/>
    <n v="0"/>
    <n v="0"/>
    <m/>
    <m/>
    <m/>
    <m/>
    <m/>
    <m/>
    <m/>
    <m/>
    <m/>
    <d v="1983-08-29T00:00:00"/>
    <s v="M"/>
    <s v="W"/>
    <s v="WHITE"/>
    <s v="NULL"/>
    <s v="182"/>
    <s v="DEFERRED"/>
    <n v="11"/>
    <s v="DEFERRED"/>
    <m/>
    <m/>
    <m/>
    <s v="POSS CHILD PORNOGRAPHY"/>
    <m/>
    <s v="F3"/>
    <s v="OTHER FEL"/>
    <m/>
    <m/>
    <m/>
    <m/>
    <m/>
    <m/>
    <m/>
    <m/>
    <m/>
    <s v="Hired Attorney"/>
    <m/>
    <m/>
    <n v="3"/>
    <n v="374"/>
    <n v="375"/>
    <n v="28.401639344262296"/>
    <n v="0"/>
    <n v="-371"/>
    <s v="DEFERRED"/>
    <x v="1"/>
    <s v="Y"/>
    <m/>
    <s v="DEFERRED"/>
    <s v="Y"/>
    <x v="1"/>
    <x v="0"/>
    <s v="N"/>
    <n v="8.0000000000000002E-3"/>
    <n v="8.0213903743315516E-3"/>
    <n v="2.139037433155147E-5"/>
    <n v="0"/>
    <n v="-3"/>
    <n v="0"/>
    <n v="3"/>
    <e v="#VALUE!"/>
    <n v="3"/>
    <n v="0"/>
    <m/>
    <m/>
    <s v="N"/>
    <m/>
    <s v="0-10 DAYS"/>
    <n v="1"/>
    <x v="0"/>
  </r>
  <r>
    <n v="1196"/>
    <s v="N"/>
    <s v="N"/>
    <n v="2604508"/>
    <n v="5"/>
    <d v="2012-02-13T00:00:00"/>
    <d v="2012-06-12T00:00:00"/>
    <n v="2604508"/>
    <s v="NOT BOOKED"/>
    <s v="NOT BOOKED"/>
    <n v="2000"/>
    <x v="5"/>
    <d v="2012-02-14T00:00:00"/>
    <s v="Y"/>
    <s v="SURETY"/>
    <s v="GUILTY PLEA - NO JURY"/>
    <n v="0"/>
    <n v="121"/>
    <n v="0"/>
    <n v="0"/>
    <m/>
    <m/>
    <m/>
    <m/>
    <m/>
    <m/>
    <m/>
    <m/>
    <m/>
    <d v="1981-06-03T00:00:00"/>
    <s v="M"/>
    <s v="W"/>
    <s v="WHITE"/>
    <s v="NULL"/>
    <s v="351"/>
    <s v="CONVICTED"/>
    <n v="5"/>
    <s v="STJ"/>
    <m/>
    <n v="6"/>
    <m/>
    <s v="POSS CS PG 1 &lt;1G"/>
    <m/>
    <s v="FS"/>
    <s v="POSS DRUG"/>
    <m/>
    <m/>
    <m/>
    <m/>
    <m/>
    <m/>
    <m/>
    <m/>
    <m/>
    <s v="Hired Attorney"/>
    <m/>
    <m/>
    <n v="0"/>
    <n v="0"/>
    <n v="121"/>
    <n v="30.633879781420767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204"/>
    <s v="N"/>
    <s v="N"/>
    <n v="2604540"/>
    <n v="5"/>
    <d v="2012-02-14T00:00:00"/>
    <d v="2012-02-15T00:00:00"/>
    <n v="2604540"/>
    <d v="2012-02-14T00:00:00"/>
    <d v="2012-02-15T00:00:00"/>
    <n v="10000"/>
    <x v="3"/>
    <m/>
    <s v="N"/>
    <s v="NONE"/>
    <s v="GUILTY PLEA - NO JURY"/>
    <n v="2"/>
    <n v="2"/>
    <n v="0"/>
    <n v="0"/>
    <m/>
    <m/>
    <m/>
    <m/>
    <m/>
    <m/>
    <m/>
    <m/>
    <m/>
    <d v="1982-04-08T00:00:00"/>
    <s v="M"/>
    <s v="B"/>
    <s v="BLACK"/>
    <s v="NULL"/>
    <s v="182"/>
    <s v="CONVICTED"/>
    <n v="1"/>
    <s v="STJ"/>
    <m/>
    <n v="6"/>
    <m/>
    <s v="POSS CS PG 1 &lt;1G"/>
    <m/>
    <s v="FS"/>
    <s v="POSS DRUG"/>
    <m/>
    <m/>
    <m/>
    <m/>
    <m/>
    <m/>
    <m/>
    <m/>
    <m/>
    <s v="Appointed Attorney"/>
    <m/>
    <m/>
    <n v="2"/>
    <n v="2"/>
    <n v="2"/>
    <n v="29.792349726775956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1207"/>
    <s v="N"/>
    <s v="N"/>
    <n v="2604541"/>
    <n v="2"/>
    <d v="2012-02-14T00:00:00"/>
    <d v="2013-04-04T00:00:00"/>
    <n v="2604541"/>
    <s v="NOT BOOKED"/>
    <s v="NOT BOOKED"/>
    <n v="20000"/>
    <x v="0"/>
    <d v="2012-02-15T00:00:00"/>
    <s v="Y"/>
    <s v="SURETYPTRc"/>
    <s v="DEFERRED ADJUDICATION "/>
    <n v="0"/>
    <n v="416"/>
    <n v="0"/>
    <n v="0"/>
    <m/>
    <m/>
    <m/>
    <m/>
    <m/>
    <m/>
    <m/>
    <m/>
    <m/>
    <d v="1991-11-01T00:00:00"/>
    <s v="M"/>
    <s v="W"/>
    <s v="WHITE"/>
    <s v="NULL"/>
    <s v="263"/>
    <s v="DEFERRED"/>
    <n v="14"/>
    <s v="DEFERRED"/>
    <m/>
    <m/>
    <m/>
    <s v="POSS W/INT DEL CS PG1&gt;=4 &lt;200"/>
    <m/>
    <s v="F1"/>
    <s v="SALE DRUG"/>
    <m/>
    <m/>
    <m/>
    <m/>
    <m/>
    <m/>
    <m/>
    <m/>
    <m/>
    <s v="Hired Attorney"/>
    <m/>
    <m/>
    <n v="0"/>
    <e v="#VALUE!"/>
    <n v="416"/>
    <n v="20.245901639344261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000"/>
    <s v="N"/>
    <s v="N"/>
    <n v="2604655"/>
    <n v="1"/>
    <d v="2012-02-07T00:00:00"/>
    <d v="2012-02-14T00:00:00"/>
    <n v="2604655"/>
    <s v="NOT BOOKED"/>
    <s v="NOT BOOKED"/>
    <n v="100000"/>
    <x v="2"/>
    <m/>
    <s v="NO BOND MADE - NON ARREST"/>
    <s v="NONE"/>
    <s v="DISMISSED"/>
    <n v="0"/>
    <n v="8"/>
    <n v="0"/>
    <n v="0"/>
    <m/>
    <m/>
    <m/>
    <m/>
    <m/>
    <m/>
    <m/>
    <m/>
    <m/>
    <d v="1960-10-17T00:00:00"/>
    <s v="M"/>
    <s v="H"/>
    <s v="HISPANIC"/>
    <s v="HISPANIC"/>
    <s v="183"/>
    <s v="DISMISSED"/>
    <n v="1"/>
    <s v="DISMISSED"/>
    <m/>
    <m/>
    <m/>
    <s v="FORGERY GOVERNMENT INSTRUMENT"/>
    <m/>
    <s v="F3"/>
    <s v="OTHER FEL"/>
    <m/>
    <m/>
    <m/>
    <m/>
    <m/>
    <m/>
    <m/>
    <m/>
    <m/>
    <s v="Other/Unknown"/>
    <m/>
    <m/>
    <n v="0"/>
    <n v="0"/>
    <n v="8"/>
    <n v="51.202185792349724"/>
    <e v="#VALUE!"/>
    <e v="#VALUE!"/>
    <s v="NO CONVICTION"/>
    <x v="0"/>
    <s v="N"/>
    <m/>
    <s v="NO CONVICTION"/>
    <n v="0"/>
    <x v="2"/>
    <x v="0"/>
    <s v="N"/>
    <n v="0"/>
    <n v="0"/>
    <n v="0"/>
    <n v="0"/>
    <e v="#VALUE!"/>
    <e v="#VALUE!"/>
    <e v="#VALUE!"/>
    <n v="0"/>
    <n v="0"/>
    <m/>
    <m/>
    <m/>
    <s v="N"/>
    <m/>
    <s v="0-10 DAYS"/>
    <n v="1"/>
    <x v="1"/>
  </r>
  <r>
    <n v="1224"/>
    <s v="N"/>
    <s v="N"/>
    <n v="2604683"/>
    <n v="2"/>
    <d v="2012-02-14T00:00:00"/>
    <d v="2012-10-15T00:00:00"/>
    <n v="2604683"/>
    <d v="2012-02-15T00:00:00"/>
    <d v="2012-02-16T00:00:00"/>
    <n v="2000"/>
    <x v="5"/>
    <d v="2012-02-16T00:00:00"/>
    <s v="Y"/>
    <s v="SURETY"/>
    <s v="DEFERRED ADJUDICATION "/>
    <n v="2"/>
    <n v="245"/>
    <n v="0"/>
    <n v="0"/>
    <m/>
    <m/>
    <m/>
    <m/>
    <m/>
    <m/>
    <m/>
    <m/>
    <m/>
    <d v="1985-10-24T00:00:00"/>
    <s v="F"/>
    <s v="B"/>
    <s v="BLACK"/>
    <s v="NULL"/>
    <s v="209"/>
    <s v="DEFERRED"/>
    <n v="7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244"/>
    <n v="245"/>
    <n v="26.254098360655739"/>
    <n v="0"/>
    <n v="-242"/>
    <s v="DEFERRED"/>
    <x v="1"/>
    <s v="Y"/>
    <m/>
    <s v="DEFERRED"/>
    <s v="Y"/>
    <x v="1"/>
    <x v="0"/>
    <s v="N"/>
    <n v="8.1632653061224497E-3"/>
    <n v="8.1967213114754103E-3"/>
    <n v="3.3456005352960547E-5"/>
    <n v="0"/>
    <n v="-2"/>
    <n v="0"/>
    <n v="2"/>
    <e v="#VALUE!"/>
    <n v="2"/>
    <n v="0"/>
    <m/>
    <m/>
    <s v="N"/>
    <m/>
    <s v="0-10 DAYS"/>
    <n v="1"/>
    <x v="0"/>
  </r>
  <r>
    <n v="1226"/>
    <s v="N"/>
    <s v="N"/>
    <n v="2604686"/>
    <n v="1"/>
    <d v="2012-02-14T00:00:00"/>
    <d v="2012-08-09T00:00:00"/>
    <n v="2604686"/>
    <s v="NOT BOOKED"/>
    <s v="NOT BOOKED"/>
    <n v="2000"/>
    <x v="5"/>
    <d v="2012-02-16T00:00:00"/>
    <s v="Y"/>
    <s v="SURETY"/>
    <s v="DISMISSED"/>
    <n v="0"/>
    <n v="178"/>
    <n v="0"/>
    <n v="0"/>
    <m/>
    <m/>
    <m/>
    <m/>
    <m/>
    <m/>
    <m/>
    <s v="S"/>
    <m/>
    <d v="1991-08-24T00:00:00"/>
    <s v="F"/>
    <s v="H"/>
    <s v="HISPANIC"/>
    <s v="NULL"/>
    <s v="338"/>
    <s v="DISMISSED"/>
    <n v="7"/>
    <s v="DISMISS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178"/>
    <n v="20.434426229508198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234"/>
    <s v="N"/>
    <s v="N"/>
    <n v="2604695"/>
    <n v="1"/>
    <d v="2012-02-15T00:00:00"/>
    <d v="2012-02-16T00:00:00"/>
    <n v="2604695"/>
    <d v="2012-02-15T00:00:00"/>
    <d v="2012-02-16T00:00:00"/>
    <n v="2000"/>
    <x v="5"/>
    <d v="2012-02-16T00:00:00"/>
    <s v="Y"/>
    <s v="SURETY"/>
    <s v="DISMISSED"/>
    <n v="2"/>
    <n v="2"/>
    <n v="0"/>
    <n v="0"/>
    <m/>
    <m/>
    <m/>
    <m/>
    <m/>
    <m/>
    <m/>
    <m/>
    <m/>
    <d v="1994-06-13T00:00:00"/>
    <s v="F"/>
    <s v="W"/>
    <s v="WHITE"/>
    <s v="NULL"/>
    <s v="228"/>
    <s v="DISMISSED"/>
    <n v="1"/>
    <s v="DISMISSED"/>
    <m/>
    <m/>
    <m/>
    <s v="POSS CS PG 1 &lt;1G"/>
    <m/>
    <s v="FS"/>
    <s v="POSS DRUG"/>
    <m/>
    <m/>
    <m/>
    <m/>
    <m/>
    <m/>
    <m/>
    <m/>
    <m/>
    <s v="Other/Unknown"/>
    <m/>
    <m/>
    <n v="2"/>
    <n v="2"/>
    <n v="2"/>
    <n v="17.639344262295083"/>
    <n v="0"/>
    <n v="0"/>
    <s v="NO CONVICTION"/>
    <x v="1"/>
    <s v="Y"/>
    <m/>
    <s v="NO CONVICTION"/>
    <s v="Y"/>
    <x v="1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1235"/>
    <s v="N"/>
    <s v="N"/>
    <n v="2604699"/>
    <n v="2"/>
    <d v="2012-02-15T00:00:00"/>
    <d v="2012-02-17T00:00:00"/>
    <n v="2604699"/>
    <d v="2012-02-15T00:00:00"/>
    <d v="2012-02-17T00:00:00"/>
    <n v="2000"/>
    <x v="5"/>
    <m/>
    <s v="N"/>
    <s v="NONE"/>
    <s v="DEFERRED ADJUDICATION "/>
    <n v="3"/>
    <n v="3"/>
    <n v="0"/>
    <n v="0"/>
    <m/>
    <m/>
    <m/>
    <m/>
    <m/>
    <m/>
    <m/>
    <m/>
    <m/>
    <d v="1988-07-12T00:00:00"/>
    <s v="F"/>
    <s v="B"/>
    <s v="BLACK"/>
    <s v="NULL"/>
    <s v="178"/>
    <s v="DEFERRED"/>
    <n v="2"/>
    <s v="DEFERRED"/>
    <m/>
    <m/>
    <m/>
    <s v="ABAN/ENDANG CHILD W/INT TO RET"/>
    <m/>
    <s v="FS"/>
    <s v="OTHER FEL"/>
    <m/>
    <m/>
    <m/>
    <m/>
    <m/>
    <m/>
    <m/>
    <m/>
    <m/>
    <s v="Appointed Attorney"/>
    <m/>
    <m/>
    <n v="3"/>
    <n v="3"/>
    <n v="3"/>
    <n v="23.546448087431695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1242"/>
    <s v="N"/>
    <s v="N"/>
    <n v="2604736"/>
    <n v="3"/>
    <d v="2012-02-15T00:00:00"/>
    <d v="2012-10-22T00:00:00"/>
    <n v="2604736"/>
    <d v="2012-02-15T00:00:00"/>
    <d v="2012-02-16T00:00:00"/>
    <n v="5000"/>
    <x v="4"/>
    <d v="2012-02-16T00:00:00"/>
    <s v="Y"/>
    <s v="SURETY"/>
    <s v="GUILTY PLEA - NO JURY"/>
    <n v="2"/>
    <n v="251"/>
    <n v="0"/>
    <n v="0"/>
    <m/>
    <m/>
    <m/>
    <m/>
    <m/>
    <m/>
    <m/>
    <s v="S"/>
    <m/>
    <d v="1992-12-10T00:00:00"/>
    <s v="M"/>
    <s v="H"/>
    <s v="HISPANIC"/>
    <s v="NULL"/>
    <s v="208"/>
    <s v="CONVICTED"/>
    <n v="8"/>
    <s v="PROBATION"/>
    <m/>
    <m/>
    <m/>
    <s v="INTOXICATED ASSLT W/VEH SBI"/>
    <m/>
    <s v="F3"/>
    <s v="ASLT-MURDR"/>
    <m/>
    <m/>
    <m/>
    <m/>
    <m/>
    <m/>
    <m/>
    <m/>
    <m/>
    <s v="Hired Attorney"/>
    <m/>
    <m/>
    <n v="2"/>
    <n v="251"/>
    <n v="251"/>
    <n v="19.142076502732241"/>
    <n v="0"/>
    <n v="-249"/>
    <s v="CONVICTION"/>
    <x v="1"/>
    <s v="Y"/>
    <m/>
    <s v="CONVICTION"/>
    <s v="Y"/>
    <x v="1"/>
    <x v="0"/>
    <s v="N"/>
    <n v="7.9681274900398405E-3"/>
    <n v="7.9681274900398405E-3"/>
    <n v="0"/>
    <n v="0"/>
    <n v="-2"/>
    <n v="0"/>
    <n v="2"/>
    <e v="#VALUE!"/>
    <n v="2"/>
    <n v="0"/>
    <m/>
    <m/>
    <s v="N"/>
    <m/>
    <s v="0-10 DAYS"/>
    <n v="1"/>
    <x v="0"/>
  </r>
  <r>
    <n v="1248"/>
    <s v="N"/>
    <s v="N"/>
    <n v="2604759"/>
    <n v="6"/>
    <d v="2012-02-15T00:00:00"/>
    <d v="2012-10-08T00:00:00"/>
    <n v="2604759"/>
    <d v="2012-02-15T00:00:00"/>
    <d v="2012-03-14T00:00:00"/>
    <n v="100000"/>
    <x v="2"/>
    <d v="2012-03-14T00:00:00"/>
    <s v="Y"/>
    <s v="SURETY"/>
    <s v="GUILTY PLEA - NO JURY"/>
    <n v="29"/>
    <n v="237"/>
    <n v="0"/>
    <n v="0"/>
    <m/>
    <m/>
    <m/>
    <m/>
    <m/>
    <m/>
    <m/>
    <m/>
    <m/>
    <d v="1986-02-09T00:00:00"/>
    <s v="M"/>
    <s v="A"/>
    <s v="OTHER"/>
    <s v="NON-HISPANIC"/>
    <s v="248"/>
    <s v="CONVICTED"/>
    <n v="8"/>
    <s v="TDC"/>
    <n v="5"/>
    <m/>
    <m/>
    <s v="POSS CHILD PORNOGRAPHY"/>
    <m/>
    <s v="F3"/>
    <s v="OTHER FEL"/>
    <m/>
    <m/>
    <m/>
    <m/>
    <m/>
    <m/>
    <m/>
    <m/>
    <m/>
    <s v="Hired Attorney"/>
    <m/>
    <m/>
    <n v="29"/>
    <n v="237"/>
    <n v="237"/>
    <n v="25.961748633879782"/>
    <n v="0"/>
    <n v="-208"/>
    <s v="CONVICTION"/>
    <x v="1"/>
    <s v="Y"/>
    <m/>
    <s v="CONVICTION"/>
    <s v="Y"/>
    <x v="1"/>
    <x v="0"/>
    <s v="N"/>
    <n v="0.12236286919831224"/>
    <n v="0.12236286919831224"/>
    <n v="0"/>
    <n v="0"/>
    <n v="-29"/>
    <n v="0"/>
    <n v="29"/>
    <e v="#VALUE!"/>
    <n v="29"/>
    <n v="0"/>
    <m/>
    <m/>
    <s v="N"/>
    <m/>
    <s v="11-30 DAYS"/>
    <n v="2"/>
    <x v="0"/>
  </r>
  <r>
    <n v="1254"/>
    <s v="N"/>
    <s v="N"/>
    <n v="2604858"/>
    <n v="2"/>
    <d v="2012-02-15T00:00:00"/>
    <d v="2012-10-16T00:00:00"/>
    <n v="2604858"/>
    <d v="2012-02-15T00:00:00"/>
    <d v="2012-02-16T00:00:00"/>
    <n v="2000"/>
    <x v="5"/>
    <d v="2012-02-16T00:00:00"/>
    <s v="Y"/>
    <s v="PTR"/>
    <s v="DEFERRED ADJUDICATION "/>
    <n v="2"/>
    <n v="245"/>
    <n v="0"/>
    <n v="0"/>
    <m/>
    <m/>
    <m/>
    <m/>
    <m/>
    <m/>
    <m/>
    <m/>
    <m/>
    <d v="1985-05-10T00:00:00"/>
    <s v="M"/>
    <s v="B"/>
    <s v="BLACK"/>
    <s v="NULL"/>
    <s v="177"/>
    <s v="DEFERRED"/>
    <n v="11"/>
    <s v="DEFERRED"/>
    <m/>
    <m/>
    <m/>
    <s v="THEFT $1500-20K"/>
    <m/>
    <s v="FS"/>
    <s v="THEFT"/>
    <m/>
    <m/>
    <m/>
    <m/>
    <m/>
    <m/>
    <m/>
    <m/>
    <m/>
    <s v="Hired Attorney"/>
    <m/>
    <m/>
    <n v="2"/>
    <n v="245"/>
    <n v="245"/>
    <n v="26.71311475409836"/>
    <n v="0"/>
    <n v="-243"/>
    <s v="DEFERRED"/>
    <x v="2"/>
    <s v="Y"/>
    <m/>
    <s v="DEFERRED"/>
    <s v="Y"/>
    <x v="1"/>
    <x v="0"/>
    <s v="N"/>
    <n v="8.1632653061224497E-3"/>
    <n v="8.1632653061224497E-3"/>
    <n v="0"/>
    <n v="0"/>
    <n v="-2"/>
    <n v="0"/>
    <n v="2"/>
    <e v="#VALUE!"/>
    <n v="2"/>
    <n v="0"/>
    <m/>
    <m/>
    <s v="N"/>
    <m/>
    <s v="0-10 DAYS"/>
    <n v="1"/>
    <x v="0"/>
  </r>
  <r>
    <n v="1266"/>
    <s v="Y"/>
    <s v="Y"/>
    <n v="2605066"/>
    <n v="2"/>
    <d v="2012-02-16T00:00:00"/>
    <d v="2012-07-16T00:00:00"/>
    <n v="2605066"/>
    <d v="2012-07-12T00:00:00"/>
    <d v="2012-07-16T00:00:00"/>
    <n v="7000"/>
    <x v="3"/>
    <d v="2012-02-19T00:00:00"/>
    <s v="Y"/>
    <s v="SURETYPTRc"/>
    <s v="DEFERRED ADJUDICATION "/>
    <n v="5"/>
    <n v="152"/>
    <n v="0"/>
    <n v="0"/>
    <m/>
    <m/>
    <m/>
    <m/>
    <m/>
    <m/>
    <m/>
    <m/>
    <m/>
    <d v="1994-05-12T00:00:00"/>
    <s v="M"/>
    <s v="B"/>
    <s v="BLACK"/>
    <s v="NULL"/>
    <s v="337"/>
    <s v="DEFERRED"/>
    <n v="10"/>
    <s v="DEFERRED"/>
    <m/>
    <m/>
    <m/>
    <s v="THEFT FROM PERSON"/>
    <m/>
    <s v="FS"/>
    <s v="THEFT"/>
    <s v="cap muder filed 8/28/12 pend  and motion to rev def adj "/>
    <s v=" rev 5/30/12   "/>
    <m/>
    <m/>
    <s v="Y"/>
    <m/>
    <m/>
    <m/>
    <m/>
    <s v="Appointed Attorney"/>
    <s v="m to revoke lv 9/7/12 bk cap murd pend"/>
    <m/>
    <n v="5"/>
    <n v="5"/>
    <n v="152"/>
    <n v="17.729508196721312"/>
    <n v="0"/>
    <n v="0"/>
    <s v="DEFERRED"/>
    <x v="1"/>
    <s v="Y"/>
    <m/>
    <s v="DEFERRED"/>
    <s v="Y"/>
    <x v="0"/>
    <x v="0"/>
    <s v="N"/>
    <n v="3.2894736842105261E-2"/>
    <n v="1"/>
    <n v="0.96710526315789469"/>
    <n v="0"/>
    <n v="-5"/>
    <n v="0"/>
    <n v="5"/>
    <e v="#VALUE!"/>
    <n v="5"/>
    <n v="0"/>
    <m/>
    <m/>
    <s v="N"/>
    <m/>
    <s v="0-10 DAYS"/>
    <n v="1"/>
    <x v="0"/>
  </r>
  <r>
    <n v="2415"/>
    <s v="N"/>
    <s v="N"/>
    <n v="2605147"/>
    <n v="1"/>
    <d v="2012-04-01T00:00:00"/>
    <d v="2012-04-17T00:00:00"/>
    <n v="2605147"/>
    <d v="2012-04-01T00:00:00"/>
    <d v="2012-04-17T00:00:00"/>
    <s v="NO BOND"/>
    <x v="1"/>
    <m/>
    <s v="N"/>
    <s v="NONE"/>
    <s v="DISMISSED"/>
    <n v="17"/>
    <n v="17"/>
    <n v="1"/>
    <n v="0"/>
    <m/>
    <m/>
    <m/>
    <m/>
    <m/>
    <m/>
    <m/>
    <m/>
    <m/>
    <d v="1988-11-07T00:00:00"/>
    <s v="M"/>
    <s v="B"/>
    <s v="BLACK"/>
    <s v="NON-HISPANIC"/>
    <s v="176"/>
    <s v="DISMISSED"/>
    <n v="2"/>
    <s v="DISMISSED"/>
    <m/>
    <m/>
    <m/>
    <s v="ASSAULT-BOD INJ-FAMILY MEMBER"/>
    <m/>
    <s v="F3"/>
    <s v="ASLT-MURDR"/>
    <s v="9/14/12 three fel pend no bond"/>
    <m/>
    <m/>
    <m/>
    <m/>
    <m/>
    <m/>
    <m/>
    <m/>
    <s v="Appointed Attorney"/>
    <m/>
    <m/>
    <n v="17"/>
    <n v="17"/>
    <n v="17"/>
    <n v="23.349726775956285"/>
    <n v="0"/>
    <n v="0"/>
    <s v="NO CONVICTION"/>
    <x v="0"/>
    <s v="N"/>
    <m/>
    <s v="NO CONVICTION"/>
    <s v="Y"/>
    <x v="0"/>
    <x v="0"/>
    <s v="Y"/>
    <n v="1"/>
    <n v="1"/>
    <n v="0"/>
    <n v="0"/>
    <n v="-17"/>
    <n v="0"/>
    <n v="17"/>
    <e v="#VALUE!"/>
    <n v="17"/>
    <n v="0"/>
    <m/>
    <m/>
    <s v="Y"/>
    <m/>
    <s v="11-30 DAYS"/>
    <n v="2"/>
    <x v="0"/>
  </r>
  <r>
    <n v="2569"/>
    <s v="N"/>
    <s v="N"/>
    <n v="2605164"/>
    <n v="2"/>
    <d v="2012-04-05T00:00:00"/>
    <d v="2012-07-13T00:00:00"/>
    <n v="2605164"/>
    <d v="2012-04-10T00:00:00"/>
    <d v="2012-04-12T00:00:00"/>
    <n v="2000"/>
    <x v="5"/>
    <d v="2012-04-12T00:00:00"/>
    <s v="Y"/>
    <s v="SURETY"/>
    <s v="DEFERRED ADJUDICATION "/>
    <n v="3"/>
    <n v="100"/>
    <n v="0"/>
    <n v="1"/>
    <m/>
    <m/>
    <m/>
    <m/>
    <m/>
    <m/>
    <m/>
    <m/>
    <m/>
    <d v="1994-11-18T00:00:00"/>
    <s v="M"/>
    <s v="B"/>
    <s v="BLACK"/>
    <s v="NULL"/>
    <s v="248"/>
    <s v="DEFERRED"/>
    <n v="7"/>
    <s v="DEFERRED"/>
    <m/>
    <m/>
    <m/>
    <s v="GRAFFITI MEDICAL EDUC FACIL. &lt;"/>
    <m/>
    <s v="FS"/>
    <s v="OTHER FEL"/>
    <s v="mrp voih 1/7/13   bk 1/15/13"/>
    <m/>
    <m/>
    <m/>
    <m/>
    <m/>
    <m/>
    <m/>
    <m/>
    <s v="Appointed Attorney"/>
    <m/>
    <m/>
    <n v="3"/>
    <n v="95"/>
    <n v="100"/>
    <n v="17.344262295081968"/>
    <n v="0"/>
    <n v="-92"/>
    <s v="DEFERRED"/>
    <x v="1"/>
    <s v="Y"/>
    <m/>
    <s v="DEFERRED"/>
    <s v="Y"/>
    <x v="1"/>
    <x v="0"/>
    <s v="N"/>
    <n v="0.03"/>
    <n v="3.1578947368421054E-2"/>
    <n v="1.5789473684210548E-3"/>
    <n v="0"/>
    <n v="-3"/>
    <n v="0"/>
    <n v="3"/>
    <e v="#VALUE!"/>
    <n v="3"/>
    <n v="0"/>
    <m/>
    <m/>
    <s v="Y"/>
    <m/>
    <s v="0-10 DAYS"/>
    <n v="1"/>
    <x v="0"/>
  </r>
  <r>
    <n v="1297"/>
    <s v="N"/>
    <s v="N"/>
    <n v="2605181"/>
    <n v="6"/>
    <d v="2012-02-17T00:00:00"/>
    <d v="2012-06-18T00:00:00"/>
    <n v="2605181"/>
    <d v="2012-02-17T00:00:00"/>
    <d v="2012-06-18T00:00:00"/>
    <n v="25000"/>
    <x v="2"/>
    <m/>
    <s v="N"/>
    <s v="NONE"/>
    <s v="GUILTY PLEA - NO JURY"/>
    <n v="123"/>
    <n v="123"/>
    <n v="0"/>
    <n v="0"/>
    <m/>
    <m/>
    <m/>
    <m/>
    <m/>
    <m/>
    <m/>
    <m/>
    <m/>
    <d v="1984-09-21T00:00:00"/>
    <s v="F"/>
    <s v="W"/>
    <s v="WHITE"/>
    <s v="NULL"/>
    <s v="351"/>
    <s v="CONVICTED"/>
    <n v="5"/>
    <s v="TDC"/>
    <n v="2"/>
    <m/>
    <m/>
    <s v="POSS CS PG 1  1 - 4 GRAMS"/>
    <m/>
    <s v="F3"/>
    <s v="POSS DRUG"/>
    <m/>
    <m/>
    <m/>
    <m/>
    <m/>
    <m/>
    <m/>
    <m/>
    <m/>
    <s v="Appointed Attorney"/>
    <m/>
    <m/>
    <n v="123"/>
    <n v="123"/>
    <n v="123"/>
    <n v="27.349726775956285"/>
    <n v="0"/>
    <n v="0"/>
    <s v="CONVICTION"/>
    <x v="0"/>
    <s v="N"/>
    <m/>
    <s v="CONVICTION"/>
    <s v="Y"/>
    <x v="0"/>
    <x v="0"/>
    <s v="N"/>
    <n v="1"/>
    <n v="1"/>
    <n v="0"/>
    <n v="0"/>
    <n v="-123"/>
    <n v="0"/>
    <n v="123"/>
    <e v="#VALUE!"/>
    <n v="123"/>
    <n v="0"/>
    <m/>
    <m/>
    <s v="N"/>
    <m/>
    <s v="121-365 DAYS"/>
    <n v="6"/>
    <x v="0"/>
  </r>
  <r>
    <n v="1301"/>
    <s v="N"/>
    <s v="N"/>
    <n v="2605183"/>
    <n v="2"/>
    <d v="2012-02-17T00:00:00"/>
    <d v="2012-05-14T00:00:00"/>
    <n v="2605183"/>
    <d v="2012-02-17T00:00:00"/>
    <d v="2012-03-09T00:00:00"/>
    <n v="150000"/>
    <x v="2"/>
    <d v="2012-03-09T00:00:00"/>
    <s v="Y"/>
    <s v="PTRc"/>
    <s v="DEFERRED ADJUDICATION "/>
    <n v="22"/>
    <n v="88"/>
    <n v="0"/>
    <n v="0"/>
    <m/>
    <m/>
    <m/>
    <m/>
    <m/>
    <m/>
    <m/>
    <m/>
    <m/>
    <d v="1980-10-06T00:00:00"/>
    <s v="M"/>
    <s v="W"/>
    <s v="WHITE"/>
    <s v="NULL"/>
    <s v="339"/>
    <s v="DEFERRED"/>
    <n v="7"/>
    <s v="DEFERRED"/>
    <m/>
    <m/>
    <m/>
    <s v="POSS CS PG 1 200-400GR"/>
    <m/>
    <s v="F1"/>
    <s v="POSS DRUG"/>
    <m/>
    <m/>
    <m/>
    <m/>
    <m/>
    <m/>
    <m/>
    <m/>
    <m/>
    <s v="Hired Attorney"/>
    <m/>
    <m/>
    <n v="22"/>
    <n v="88"/>
    <n v="88"/>
    <n v="31.300546448087431"/>
    <n v="0"/>
    <n v="-66"/>
    <s v="DEFERRED"/>
    <x v="2"/>
    <s v="Y"/>
    <m/>
    <s v="DEFERRED"/>
    <s v="Y"/>
    <x v="1"/>
    <x v="0"/>
    <s v="N"/>
    <n v="0.25"/>
    <n v="0.25"/>
    <n v="0"/>
    <n v="0"/>
    <n v="-22"/>
    <n v="0"/>
    <n v="22"/>
    <e v="#VALUE!"/>
    <n v="22"/>
    <n v="0"/>
    <m/>
    <m/>
    <s v="N"/>
    <m/>
    <s v="11-30 DAYS"/>
    <n v="2"/>
    <x v="0"/>
  </r>
  <r>
    <n v="1304"/>
    <s v="N"/>
    <s v="N"/>
    <n v="2605189"/>
    <n v="1"/>
    <d v="2012-02-17T00:00:00"/>
    <d v="2012-04-03T00:00:00"/>
    <n v="2605189"/>
    <d v="2012-02-17T00:00:00"/>
    <d v="2012-02-19T00:00:00"/>
    <n v="2000"/>
    <x v="5"/>
    <d v="2012-02-19T00:00:00"/>
    <s v="Y"/>
    <s v="SURETYPTRc"/>
    <s v="NO BILL"/>
    <n v="3"/>
    <n v="47"/>
    <n v="0"/>
    <n v="0"/>
    <m/>
    <m/>
    <m/>
    <m/>
    <m/>
    <m/>
    <m/>
    <m/>
    <m/>
    <d v="1994-06-12T00:00:00"/>
    <s v="F"/>
    <s v="W"/>
    <s v="WHITE"/>
    <s v="NON-HISPANIC"/>
    <s v="230"/>
    <s v="NO BILL"/>
    <n v="4"/>
    <s v="NO BILL"/>
    <m/>
    <m/>
    <m/>
    <s v="POSS CS PG 2 &lt;1GRAM"/>
    <m/>
    <s v="FS"/>
    <s v="POSS DRUG"/>
    <m/>
    <m/>
    <m/>
    <m/>
    <m/>
    <m/>
    <m/>
    <m/>
    <m/>
    <s v="Other/Unknown"/>
    <m/>
    <m/>
    <n v="3"/>
    <n v="47"/>
    <n v="47"/>
    <n v="17.647540983606557"/>
    <n v="0"/>
    <n v="-44"/>
    <s v="NO CONVICTION"/>
    <x v="1"/>
    <s v="Y"/>
    <m/>
    <s v="NO CONVICTION"/>
    <s v="Y"/>
    <x v="1"/>
    <x v="0"/>
    <s v="N"/>
    <n v="6.3829787234042548E-2"/>
    <n v="6.3829787234042548E-2"/>
    <n v="0"/>
    <n v="0"/>
    <n v="-3"/>
    <n v="0"/>
    <n v="3"/>
    <e v="#VALUE!"/>
    <n v="3"/>
    <n v="0"/>
    <m/>
    <m/>
    <s v="N"/>
    <m/>
    <s v="0-10 DAYS"/>
    <n v="1"/>
    <x v="0"/>
  </r>
  <r>
    <n v="1327"/>
    <s v="N"/>
    <s v="N"/>
    <n v="2605226"/>
    <n v="6"/>
    <d v="2012-02-17T00:00:00"/>
    <d v="2012-08-09T00:00:00"/>
    <n v="2605226"/>
    <d v="2012-02-17T00:00:00"/>
    <d v="2012-08-09T00:00:00"/>
    <s v="NO BOND"/>
    <x v="1"/>
    <m/>
    <s v="N"/>
    <s v="NONE"/>
    <s v="GUILTY PLEA - NO JURY"/>
    <n v="175"/>
    <n v="175"/>
    <n v="0"/>
    <n v="0"/>
    <m/>
    <m/>
    <m/>
    <m/>
    <m/>
    <m/>
    <m/>
    <m/>
    <m/>
    <d v="1980-09-14T00:00:00"/>
    <s v="M"/>
    <s v="W"/>
    <s v="WHITE"/>
    <s v="NULL"/>
    <s v="262"/>
    <s v="CONVICTED"/>
    <n v="8"/>
    <s v="TDC"/>
    <n v="5"/>
    <m/>
    <m/>
    <s v="AGG ASSLT AGAINST PB SERVANT"/>
    <m/>
    <s v="F1"/>
    <s v="ASLT-MURDR"/>
    <m/>
    <m/>
    <m/>
    <m/>
    <m/>
    <m/>
    <m/>
    <m/>
    <m/>
    <s v="Hired Attorney"/>
    <m/>
    <m/>
    <n v="175"/>
    <n v="175"/>
    <n v="175"/>
    <n v="31.360655737704917"/>
    <n v="0"/>
    <n v="0"/>
    <s v="CONVICTION"/>
    <x v="0"/>
    <s v="N"/>
    <m/>
    <s v="CONVICTION"/>
    <s v="Y"/>
    <x v="0"/>
    <x v="0"/>
    <s v="N"/>
    <n v="1"/>
    <n v="1"/>
    <n v="0"/>
    <n v="0"/>
    <n v="-175"/>
    <n v="0"/>
    <n v="175"/>
    <e v="#VALUE!"/>
    <n v="175"/>
    <n v="0"/>
    <m/>
    <m/>
    <s v="N"/>
    <m/>
    <s v="121-365 DAYS"/>
    <n v="6"/>
    <x v="0"/>
  </r>
  <r>
    <n v="1309"/>
    <s v="N"/>
    <s v="Y"/>
    <n v="2605233"/>
    <n v="2"/>
    <d v="2012-02-17T00:00:00"/>
    <d v="2012-07-05T00:00:00"/>
    <n v="2605233"/>
    <d v="2012-07-02T00:00:00"/>
    <d v="2012-07-05T00:00:00"/>
    <n v="2000"/>
    <x v="5"/>
    <d v="2012-02-26T00:00:00"/>
    <s v="Y"/>
    <s v="SURETY"/>
    <s v="DEFERRED ADJUDICATION "/>
    <n v="4"/>
    <n v="140"/>
    <n v="0"/>
    <n v="0"/>
    <m/>
    <m/>
    <m/>
    <m/>
    <m/>
    <m/>
    <m/>
    <s v="S"/>
    <m/>
    <d v="1993-08-23T00:00:00"/>
    <s v="M"/>
    <s v="H"/>
    <s v="HISPANIC"/>
    <s v="NULL"/>
    <s v="179"/>
    <s v="DEFERRED"/>
    <n v="3"/>
    <s v="DEFERRED"/>
    <m/>
    <m/>
    <m/>
    <s v="TAMPER GOVT RECORD-HARM"/>
    <m/>
    <s v="F3"/>
    <s v="OTHER FEL"/>
    <m/>
    <s v="bk 7/2/12"/>
    <s v="Y"/>
    <s v="bf  3/2/12"/>
    <m/>
    <m/>
    <m/>
    <d v="2012-08-24T00:00:00"/>
    <n v="313"/>
    <s v="Hired Attorney"/>
    <m/>
    <m/>
    <n v="4"/>
    <n v="4"/>
    <n v="140"/>
    <n v="18.448087431693988"/>
    <n v="0"/>
    <n v="0"/>
    <s v="DEFERRED"/>
    <x v="1"/>
    <s v="Y"/>
    <m/>
    <s v="DEFERRED"/>
    <s v="Y"/>
    <x v="0"/>
    <x v="0"/>
    <s v="N"/>
    <n v="2.8571428571428571E-2"/>
    <n v="1"/>
    <n v="0.97142857142857142"/>
    <n v="0"/>
    <n v="-4"/>
    <n v="0"/>
    <n v="4"/>
    <e v="#VALUE!"/>
    <n v="4"/>
    <n v="0"/>
    <m/>
    <m/>
    <s v="N"/>
    <m/>
    <s v="0-10 DAYS"/>
    <n v="1"/>
    <x v="0"/>
  </r>
  <r>
    <n v="1312"/>
    <s v="Y"/>
    <s v="Y"/>
    <n v="2605248"/>
    <n v="2"/>
    <d v="2012-02-17T00:00:00"/>
    <d v="2012-09-05T00:00:00"/>
    <n v="2605248"/>
    <d v="2012-07-31T00:00:00"/>
    <d v="2012-08-04T00:00:00"/>
    <n v="7000"/>
    <x v="3"/>
    <d v="2012-06-30T00:00:00"/>
    <s v="Y"/>
    <s v="SURETY"/>
    <s v="DEFERRED ADJUDICATION "/>
    <n v="11"/>
    <n v="202"/>
    <n v="0"/>
    <n v="0"/>
    <m/>
    <m/>
    <m/>
    <m/>
    <m/>
    <m/>
    <m/>
    <m/>
    <m/>
    <d v="1985-03-22T00:00:00"/>
    <s v="M"/>
    <s v="W"/>
    <s v="WHITE"/>
    <s v="NULL"/>
    <s v="232"/>
    <s v="DEFERRED"/>
    <n v="4"/>
    <s v="DEFERRED"/>
    <m/>
    <m/>
    <m/>
    <s v="THEFT OF FIREARM"/>
    <m/>
    <s v="FS"/>
    <s v="THEFT"/>
    <m/>
    <m/>
    <s v="Y"/>
    <d v="2012-07-09T00:00:00"/>
    <m/>
    <m/>
    <m/>
    <d v="2012-09-10T00:00:00"/>
    <n v="328"/>
    <s v="Hired Attorney"/>
    <s v="THEFT FIREARM REVKE HCJ 7/29/13 6 MOS"/>
    <m/>
    <n v="11"/>
    <n v="37"/>
    <n v="202"/>
    <n v="26.852459016393443"/>
    <n v="-35"/>
    <n v="-32"/>
    <s v="DEFERRED"/>
    <x v="1"/>
    <s v="Y"/>
    <m/>
    <s v="DEFERRED"/>
    <s v="Y"/>
    <x v="0"/>
    <x v="0"/>
    <s v="N"/>
    <n v="5.4455445544554455E-2"/>
    <n v="0.13513513513513514"/>
    <n v="8.0679689590580694E-2"/>
    <n v="0"/>
    <n v="-5"/>
    <n v="6"/>
    <n v="37"/>
    <n v="11"/>
    <n v="37"/>
    <n v="32"/>
    <m/>
    <m/>
    <s v="N"/>
    <m/>
    <s v="11-30 DAYS"/>
    <n v="2"/>
    <x v="0"/>
  </r>
  <r>
    <n v="1320"/>
    <s v="N"/>
    <s v="N"/>
    <n v="2605307"/>
    <n v="1"/>
    <d v="2012-02-17T00:00:00"/>
    <d v="2012-03-15T00:00:00"/>
    <n v="2605307"/>
    <d v="2012-02-17T00:00:00"/>
    <d v="2012-02-18T00:00:00"/>
    <n v="2000"/>
    <x v="5"/>
    <d v="2012-02-18T00:00:00"/>
    <s v="Y"/>
    <s v="SURETY"/>
    <s v="NO BILL"/>
    <n v="2"/>
    <n v="28"/>
    <n v="0"/>
    <n v="0"/>
    <m/>
    <m/>
    <m/>
    <m/>
    <m/>
    <m/>
    <m/>
    <m/>
    <m/>
    <d v="1994-07-25T00:00:00"/>
    <s v="M"/>
    <s v="W"/>
    <s v="WHITE"/>
    <s v="NULL"/>
    <s v="232"/>
    <s v="NO BILL"/>
    <n v="2"/>
    <s v="NO BILL"/>
    <m/>
    <m/>
    <m/>
    <s v="GRAFFITI MEDICAL EDUC FACIL. &lt;"/>
    <m/>
    <s v="FS"/>
    <s v="OTHER FEL"/>
    <m/>
    <m/>
    <m/>
    <m/>
    <m/>
    <m/>
    <m/>
    <m/>
    <m/>
    <s v="Other/Unknown"/>
    <m/>
    <m/>
    <n v="2"/>
    <n v="28"/>
    <n v="28"/>
    <n v="17.530054644808743"/>
    <n v="0"/>
    <n v="-26"/>
    <s v="NO CONVICTION"/>
    <x v="1"/>
    <s v="Y"/>
    <m/>
    <s v="NO CONVICTION"/>
    <s v="Y"/>
    <x v="1"/>
    <x v="0"/>
    <s v="N"/>
    <n v="7.1428571428571425E-2"/>
    <n v="7.1428571428571425E-2"/>
    <n v="0"/>
    <n v="0"/>
    <n v="-2"/>
    <n v="0"/>
    <n v="2"/>
    <e v="#VALUE!"/>
    <n v="2"/>
    <n v="0"/>
    <m/>
    <m/>
    <s v="N"/>
    <m/>
    <s v="0-10 DAYS"/>
    <n v="1"/>
    <x v="0"/>
  </r>
  <r>
    <n v="1325"/>
    <s v="N"/>
    <s v="N"/>
    <n v="2605321"/>
    <n v="2"/>
    <d v="2012-02-17T00:00:00"/>
    <d v="2012-06-22T00:00:00"/>
    <n v="2605321"/>
    <s v="NOT BOOKED"/>
    <s v="NOT BOOKED"/>
    <n v="2000"/>
    <x v="5"/>
    <d v="2012-02-18T00:00:00"/>
    <s v="Y"/>
    <s v="SURETYPTRc"/>
    <s v="DEFERRED ADJUDICATION "/>
    <n v="0"/>
    <n v="127"/>
    <n v="0"/>
    <n v="0"/>
    <m/>
    <m/>
    <m/>
    <m/>
    <m/>
    <m/>
    <m/>
    <m/>
    <m/>
    <d v="1994-10-07T00:00:00"/>
    <s v="M"/>
    <s v="H"/>
    <s v="HISPANIC"/>
    <s v="HISPANIC"/>
    <s v="337"/>
    <s v="DEFERRED"/>
    <n v="5"/>
    <s v="DEFERRED"/>
    <m/>
    <m/>
    <m/>
    <s v="POSS CS PG3&lt;28G DRUG FREE ZONE"/>
    <m/>
    <s v="FS"/>
    <s v="POSS DRUG"/>
    <m/>
    <m/>
    <m/>
    <m/>
    <m/>
    <m/>
    <m/>
    <m/>
    <m/>
    <s v="Hired Attorney"/>
    <m/>
    <m/>
    <n v="0"/>
    <n v="0"/>
    <n v="127"/>
    <n v="17.327868852459016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328"/>
    <s v="N"/>
    <s v="N"/>
    <n v="2605330"/>
    <n v="5"/>
    <d v="2012-02-17T00:00:00"/>
    <d v="2012-02-20T00:00:00"/>
    <n v="2605330"/>
    <d v="2012-02-18T00:00:00"/>
    <d v="2012-02-20T00:00:00"/>
    <s v="NO BOND"/>
    <x v="1"/>
    <m/>
    <s v="N"/>
    <s v="NONE"/>
    <s v="GUILTY PLEA - NO JURY"/>
    <n v="3"/>
    <n v="4"/>
    <n v="0"/>
    <n v="0"/>
    <m/>
    <m/>
    <m/>
    <m/>
    <m/>
    <m/>
    <m/>
    <m/>
    <m/>
    <d v="1992-05-23T00:00:00"/>
    <s v="M"/>
    <s v="B"/>
    <s v="BLACK"/>
    <s v="NULL"/>
    <s v="179"/>
    <s v="CONVICTED"/>
    <n v="1"/>
    <s v="STJ"/>
    <m/>
    <n v="6"/>
    <m/>
    <s v="ATT ESCAPE - ARR/CONF-FELONY"/>
    <m/>
    <s v="FS"/>
    <s v="OTHER FEL"/>
    <m/>
    <m/>
    <m/>
    <m/>
    <m/>
    <m/>
    <m/>
    <m/>
    <m/>
    <s v="Appointed Attorney"/>
    <m/>
    <m/>
    <n v="3"/>
    <n v="3"/>
    <n v="4"/>
    <n v="19.696721311475411"/>
    <n v="0"/>
    <n v="0"/>
    <s v="CONVICTION"/>
    <x v="0"/>
    <s v="N"/>
    <m/>
    <s v="CONVICTION"/>
    <s v="Y"/>
    <x v="0"/>
    <x v="0"/>
    <s v="N"/>
    <n v="0.75"/>
    <n v="1"/>
    <n v="0.25"/>
    <n v="0"/>
    <n v="-3"/>
    <n v="0"/>
    <n v="3"/>
    <e v="#VALUE!"/>
    <n v="3"/>
    <n v="0"/>
    <m/>
    <m/>
    <s v="N"/>
    <m/>
    <s v="0-10 DAYS"/>
    <n v="1"/>
    <x v="0"/>
  </r>
  <r>
    <n v="1333"/>
    <s v="N"/>
    <s v="N"/>
    <n v="2605353"/>
    <n v="4"/>
    <d v="2012-02-18T00:00:00"/>
    <d v="2012-06-06T00:00:00"/>
    <n v="2605353"/>
    <d v="2012-02-18T00:00:00"/>
    <d v="2012-06-06T00:00:00"/>
    <n v="35000"/>
    <x v="2"/>
    <m/>
    <s v="N"/>
    <s v="NONE"/>
    <s v="GUILTY PLEA - NO JURY"/>
    <n v="110"/>
    <n v="110"/>
    <n v="0"/>
    <n v="0"/>
    <m/>
    <m/>
    <m/>
    <m/>
    <m/>
    <m/>
    <m/>
    <s v="S"/>
    <m/>
    <d v="1981-06-16T00:00:00"/>
    <s v="F"/>
    <s v="H"/>
    <s v="HISPANIC"/>
    <s v="NULL"/>
    <s v="184"/>
    <s v="CONVICTED"/>
    <n v="7"/>
    <s v="HCJ"/>
    <m/>
    <m/>
    <n v="300"/>
    <s v="THEFT FROM PERSON"/>
    <m/>
    <s v="FS"/>
    <s v="THEFT"/>
    <m/>
    <m/>
    <m/>
    <m/>
    <m/>
    <m/>
    <m/>
    <m/>
    <m/>
    <s v="Hired Attorney"/>
    <m/>
    <m/>
    <n v="110"/>
    <n v="110"/>
    <n v="110"/>
    <n v="30.612021857923498"/>
    <n v="0"/>
    <n v="0"/>
    <s v="CONVICTION"/>
    <x v="0"/>
    <s v="N"/>
    <m/>
    <s v="CONVICTION"/>
    <s v="Y"/>
    <x v="0"/>
    <x v="0"/>
    <s v="N"/>
    <n v="1"/>
    <n v="1"/>
    <n v="0"/>
    <n v="0"/>
    <n v="-110"/>
    <n v="0"/>
    <n v="110"/>
    <e v="#VALUE!"/>
    <n v="110"/>
    <n v="0"/>
    <m/>
    <m/>
    <s v="N"/>
    <m/>
    <s v="91-120 DAYS"/>
    <n v="0"/>
    <x v="0"/>
  </r>
  <r>
    <n v="1334"/>
    <s v="N"/>
    <s v="N"/>
    <n v="2605354"/>
    <n v="4"/>
    <d v="2012-02-18T00:00:00"/>
    <d v="2012-06-06T00:00:00"/>
    <n v="2605354"/>
    <d v="2012-02-19T00:00:00"/>
    <d v="2012-06-06T00:00:00"/>
    <n v="35000"/>
    <x v="2"/>
    <m/>
    <s v="N"/>
    <s v="NONE"/>
    <s v="GUILTY PLEA - NO JURY"/>
    <n v="109"/>
    <n v="110"/>
    <n v="0"/>
    <n v="0"/>
    <m/>
    <m/>
    <m/>
    <m/>
    <m/>
    <m/>
    <m/>
    <s v="S"/>
    <m/>
    <d v="1979-08-22T00:00:00"/>
    <s v="M"/>
    <s v="H"/>
    <s v="HISPANIC"/>
    <s v="NULL"/>
    <s v="184"/>
    <s v="CONVICTED"/>
    <n v="5"/>
    <s v="HCJ"/>
    <m/>
    <m/>
    <n v="300"/>
    <s v="THEFT FROM PERSON"/>
    <m/>
    <s v="FS"/>
    <s v="THEFT"/>
    <m/>
    <m/>
    <m/>
    <m/>
    <m/>
    <m/>
    <m/>
    <m/>
    <m/>
    <s v="Hired Attorney"/>
    <m/>
    <m/>
    <n v="109"/>
    <n v="109"/>
    <n v="110"/>
    <n v="32.42622950819672"/>
    <n v="0"/>
    <n v="0"/>
    <s v="CONVICTION"/>
    <x v="0"/>
    <s v="N"/>
    <m/>
    <s v="CONVICTION"/>
    <s v="Y"/>
    <x v="0"/>
    <x v="0"/>
    <s v="N"/>
    <n v="0.99090909090909096"/>
    <n v="1"/>
    <n v="9.0909090909090384E-3"/>
    <n v="0"/>
    <n v="-109"/>
    <n v="0"/>
    <n v="109"/>
    <e v="#VALUE!"/>
    <n v="109"/>
    <n v="0"/>
    <m/>
    <m/>
    <s v="N"/>
    <m/>
    <s v="91-120 DAYS"/>
    <n v="0"/>
    <x v="0"/>
  </r>
  <r>
    <n v="1335"/>
    <s v="N"/>
    <s v="N"/>
    <n v="2605364"/>
    <n v="3"/>
    <d v="2012-02-18T00:00:00"/>
    <d v="2012-07-20T00:00:00"/>
    <n v="2605364"/>
    <s v="NOT BOOKED"/>
    <s v="NOT BOOKED"/>
    <n v="10000"/>
    <x v="3"/>
    <d v="2012-03-03T00:00:00"/>
    <s v="Y"/>
    <s v="SURETY"/>
    <s v="GUILTY PLEA - NO JURY"/>
    <n v="0"/>
    <n v="154"/>
    <n v="0"/>
    <n v="0"/>
    <m/>
    <m/>
    <m/>
    <m/>
    <m/>
    <m/>
    <m/>
    <m/>
    <m/>
    <d v="1969-03-23T00:00:00"/>
    <s v="M"/>
    <s v="W"/>
    <s v="WHITE"/>
    <s v="NULL"/>
    <s v="180"/>
    <s v="CONVICTED"/>
    <n v="6"/>
    <s v="PROBATION"/>
    <m/>
    <m/>
    <m/>
    <s v="DWI 3RD OFFENDER BAC .08"/>
    <m/>
    <s v="F3"/>
    <s v="FEL DWI"/>
    <m/>
    <m/>
    <m/>
    <m/>
    <m/>
    <m/>
    <m/>
    <m/>
    <m/>
    <s v="Hired Attorney"/>
    <m/>
    <m/>
    <n v="0"/>
    <n v="0"/>
    <n v="154"/>
    <n v="42.819672131147541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343"/>
    <s v="N"/>
    <s v="N"/>
    <n v="2605398"/>
    <n v="2"/>
    <d v="2012-02-18T00:00:00"/>
    <d v="2012-07-17T00:00:00"/>
    <n v="2605398"/>
    <d v="2012-02-18T00:00:00"/>
    <d v="2012-02-20T00:00:00"/>
    <n v="5000"/>
    <x v="4"/>
    <d v="2012-02-20T00:00:00"/>
    <s v="Y"/>
    <s v="SURETY"/>
    <s v="DEFERRED ADJUDICATION "/>
    <n v="3"/>
    <n v="151"/>
    <n v="0"/>
    <n v="0"/>
    <m/>
    <m/>
    <m/>
    <m/>
    <m/>
    <m/>
    <m/>
    <s v="S"/>
    <m/>
    <d v="1979-03-20T00:00:00"/>
    <s v="F"/>
    <s v="H"/>
    <s v="HISPANIC"/>
    <s v="NULL"/>
    <s v="179"/>
    <s v="DEFERRED"/>
    <n v="7"/>
    <s v="DEFERRED"/>
    <m/>
    <m/>
    <m/>
    <s v="other misd crim misch&gt;$500&lt;$1500"/>
    <m/>
    <m/>
    <s v="OTHERMISD"/>
    <m/>
    <m/>
    <m/>
    <m/>
    <m/>
    <m/>
    <m/>
    <m/>
    <m/>
    <s v="Hired Attorney"/>
    <m/>
    <m/>
    <n v="3"/>
    <n v="151"/>
    <n v="151"/>
    <n v="32.849726775956285"/>
    <n v="0"/>
    <n v="-148"/>
    <s v="DEFERRED"/>
    <x v="1"/>
    <s v="Y"/>
    <m/>
    <s v="DEFERRED"/>
    <s v="Y"/>
    <x v="1"/>
    <x v="0"/>
    <s v="N"/>
    <n v="1.9867549668874173E-2"/>
    <n v="1.9867549668874173E-2"/>
    <n v="0"/>
    <n v="0"/>
    <n v="-3"/>
    <n v="0"/>
    <n v="3"/>
    <e v="#VALUE!"/>
    <n v="3"/>
    <n v="0"/>
    <m/>
    <m/>
    <s v="N"/>
    <m/>
    <s v="0-10 DAYS"/>
    <n v="1"/>
    <x v="0"/>
  </r>
  <r>
    <n v="1347"/>
    <s v="N"/>
    <s v="N"/>
    <n v="2605409"/>
    <n v="1"/>
    <d v="2012-02-18T00:00:00"/>
    <d v="2012-11-29T00:00:00"/>
    <n v="2605409"/>
    <d v="2012-02-18T00:00:00"/>
    <d v="2012-02-19T00:00:00"/>
    <n v="5000"/>
    <x v="4"/>
    <d v="2012-02-19T00:00:00"/>
    <s v="Y"/>
    <s v="SURETY"/>
    <s v="DISMISSED"/>
    <n v="2"/>
    <n v="286"/>
    <n v="0"/>
    <n v="0"/>
    <m/>
    <m/>
    <m/>
    <m/>
    <m/>
    <m/>
    <m/>
    <s v="S"/>
    <m/>
    <d v="1977-03-30T00:00:00"/>
    <s v="F"/>
    <s v="H"/>
    <s v="HISPANIC"/>
    <s v="NULL"/>
    <s v="263"/>
    <s v="DISMISSED"/>
    <n v="18"/>
    <s v="DISMISSED"/>
    <m/>
    <m/>
    <m/>
    <s v="ASSAULT-BOD INJ-PUB SERV/RETAL"/>
    <m/>
    <s v="F3"/>
    <s v="ASLT-MURDR"/>
    <s v="misd resist arrest filed 9/7/12"/>
    <m/>
    <m/>
    <m/>
    <m/>
    <m/>
    <m/>
    <m/>
    <m/>
    <s v="Hired Attorney"/>
    <m/>
    <m/>
    <n v="2"/>
    <n v="286"/>
    <n v="286"/>
    <n v="34.81693989071038"/>
    <n v="0"/>
    <n v="-284"/>
    <s v="NO CONVICTION"/>
    <x v="1"/>
    <s v="Y"/>
    <m/>
    <s v="NO CONVICTION"/>
    <s v="Y"/>
    <x v="1"/>
    <x v="0"/>
    <s v="N"/>
    <n v="6.993006993006993E-3"/>
    <n v="6.993006993006993E-3"/>
    <n v="0"/>
    <n v="0"/>
    <n v="-2"/>
    <n v="0"/>
    <n v="2"/>
    <e v="#VALUE!"/>
    <n v="2"/>
    <n v="0"/>
    <m/>
    <m/>
    <s v="N"/>
    <m/>
    <s v="0-10 DAYS"/>
    <n v="1"/>
    <x v="0"/>
  </r>
  <r>
    <n v="1353"/>
    <s v="N"/>
    <s v="N"/>
    <n v="2605447"/>
    <n v="4"/>
    <d v="2012-02-19T00:00:00"/>
    <d v="2012-03-15T00:00:00"/>
    <n v="2605447"/>
    <d v="2012-02-20T00:00:00"/>
    <d v="2012-02-21T00:00:00"/>
    <n v="2000"/>
    <x v="5"/>
    <d v="2012-02-21T00:00:00"/>
    <s v="Y"/>
    <s v="SURETY"/>
    <s v="GUILTY PLEA - NO JURY"/>
    <n v="6"/>
    <n v="26"/>
    <n v="0"/>
    <n v="0"/>
    <m/>
    <m/>
    <m/>
    <m/>
    <m/>
    <m/>
    <m/>
    <s v="S"/>
    <m/>
    <d v="1985-06-03T00:00:00"/>
    <s v="M"/>
    <s v="H"/>
    <s v="HISPANIC"/>
    <s v="NULL"/>
    <s v="339"/>
    <s v="CONVICTED"/>
    <n v="4"/>
    <s v="HCJ"/>
    <m/>
    <m/>
    <n v="60"/>
    <s v="POSS CS PG 1 &lt;1G"/>
    <m/>
    <s v="FS"/>
    <s v="POSS DRUG"/>
    <s v=" BK 3/12/12      ?? 2/29/2012"/>
    <m/>
    <m/>
    <m/>
    <m/>
    <m/>
    <m/>
    <m/>
    <m/>
    <s v="Appointed Attorney"/>
    <m/>
    <m/>
    <n v="6"/>
    <n v="25"/>
    <n v="26"/>
    <n v="26.65846994535519"/>
    <n v="0"/>
    <n v="-23"/>
    <s v="CONVICTION"/>
    <x v="1"/>
    <s v="Y"/>
    <m/>
    <s v="CONVICTION"/>
    <s v="Y"/>
    <x v="1"/>
    <x v="0"/>
    <s v="N"/>
    <n v="0.23076923076923078"/>
    <n v="0.08"/>
    <n v="-0.15076923076923077"/>
    <n v="0"/>
    <n v="-2"/>
    <n v="4"/>
    <n v="2"/>
    <e v="#VALUE!"/>
    <m/>
    <n v="23"/>
    <m/>
    <m/>
    <s v="N"/>
    <m/>
    <s v="0-10 DAYS"/>
    <n v="1"/>
    <x v="0"/>
  </r>
  <r>
    <n v="1361"/>
    <s v="N"/>
    <s v="N"/>
    <n v="2605541"/>
    <n v="1"/>
    <d v="2012-02-19T00:00:00"/>
    <d v="2012-05-16T00:00:00"/>
    <n v="2605541"/>
    <d v="2012-02-19T00:00:00"/>
    <d v="2012-02-20T00:00:00"/>
    <n v="5000"/>
    <x v="4"/>
    <d v="2012-02-20T00:00:00"/>
    <s v="Y"/>
    <s v="SURETY"/>
    <s v="NO BILL"/>
    <n v="2"/>
    <n v="88"/>
    <n v="0"/>
    <n v="0"/>
    <m/>
    <m/>
    <m/>
    <m/>
    <m/>
    <m/>
    <m/>
    <s v="S"/>
    <m/>
    <d v="1975-10-29T00:00:00"/>
    <s v="F"/>
    <s v="H"/>
    <s v="HISPANIC"/>
    <s v="NULL"/>
    <s v="184"/>
    <s v="NO BILL"/>
    <n v="5"/>
    <s v="NO BILL"/>
    <m/>
    <m/>
    <m/>
    <s v="ASSAULT-BOD INJ-PUB SERV/RETAL"/>
    <m/>
    <s v="F3"/>
    <s v="ASLT-MURDR"/>
    <m/>
    <m/>
    <m/>
    <m/>
    <m/>
    <m/>
    <m/>
    <m/>
    <m/>
    <s v="Hired Attorney"/>
    <m/>
    <m/>
    <n v="2"/>
    <n v="88"/>
    <n v="88"/>
    <n v="36.234972677595628"/>
    <n v="0"/>
    <n v="-86"/>
    <s v="NO CONVICTION"/>
    <x v="1"/>
    <s v="Y"/>
    <m/>
    <s v="NO CONVICTION"/>
    <s v="Y"/>
    <x v="1"/>
    <x v="0"/>
    <s v="N"/>
    <n v="2.2727272727272728E-2"/>
    <n v="2.2727272727272728E-2"/>
    <n v="0"/>
    <n v="0"/>
    <n v="-2"/>
    <n v="0"/>
    <n v="2"/>
    <e v="#VALUE!"/>
    <n v="2"/>
    <n v="0"/>
    <m/>
    <m/>
    <s v="N"/>
    <m/>
    <s v="0-10 DAYS"/>
    <n v="1"/>
    <x v="0"/>
  </r>
  <r>
    <n v="1365"/>
    <s v="N"/>
    <s v="N"/>
    <n v="2605561"/>
    <n v="2"/>
    <d v="2012-02-19T00:00:00"/>
    <d v="2012-09-13T00:00:00"/>
    <n v="2605561"/>
    <d v="2012-02-20T00:00:00"/>
    <d v="2012-02-21T00:00:00"/>
    <n v="5000"/>
    <x v="4"/>
    <d v="2012-02-21T00:00:00"/>
    <s v="Y"/>
    <s v="SURETY"/>
    <s v="DEFERRED ADJUDICATION "/>
    <n v="2"/>
    <n v="208"/>
    <n v="0"/>
    <n v="0"/>
    <m/>
    <m/>
    <m/>
    <m/>
    <m/>
    <m/>
    <m/>
    <m/>
    <m/>
    <d v="1988-10-23T00:00:00"/>
    <s v="M"/>
    <s v="A"/>
    <s v="OTHER"/>
    <s v="NULL"/>
    <s v="339"/>
    <s v="DEFERRED"/>
    <n v="8"/>
    <s v="DEFERRED"/>
    <m/>
    <m/>
    <m/>
    <s v="OBTAIN DRUGS BY FRAUD-SCH I-II"/>
    <m/>
    <s v="F2"/>
    <s v="SALE DRUG"/>
    <m/>
    <m/>
    <m/>
    <m/>
    <m/>
    <m/>
    <m/>
    <m/>
    <m/>
    <s v="Hired Attorney"/>
    <m/>
    <m/>
    <n v="2"/>
    <n v="207"/>
    <n v="208"/>
    <n v="23.275956284153004"/>
    <n v="0"/>
    <n v="-205"/>
    <s v="DEFERRED"/>
    <x v="1"/>
    <s v="Y"/>
    <m/>
    <s v="DEFERRED"/>
    <s v="Y"/>
    <x v="1"/>
    <x v="0"/>
    <s v="N"/>
    <n v="9.6153846153846159E-3"/>
    <n v="9.6618357487922701E-3"/>
    <n v="4.6451133407654152E-5"/>
    <n v="0"/>
    <n v="-2"/>
    <n v="0"/>
    <n v="2"/>
    <e v="#VALUE!"/>
    <n v="2"/>
    <n v="0"/>
    <m/>
    <m/>
    <s v="N"/>
    <m/>
    <s v="0-10 DAYS"/>
    <n v="1"/>
    <x v="0"/>
  </r>
  <r>
    <n v="1369"/>
    <s v="N"/>
    <s v="N"/>
    <n v="2605571"/>
    <n v="4"/>
    <d v="2012-02-20T00:00:00"/>
    <d v="2012-02-21T00:00:00"/>
    <n v="2605571"/>
    <d v="2012-02-20T00:00:00"/>
    <d v="2012-02-21T00:00:00"/>
    <n v="35000"/>
    <x v="2"/>
    <m/>
    <s v="N"/>
    <s v="NONE"/>
    <s v="GUILTY PLEA - NO JURY"/>
    <n v="2"/>
    <n v="2"/>
    <n v="0"/>
    <n v="0"/>
    <m/>
    <m/>
    <m/>
    <m/>
    <m/>
    <m/>
    <m/>
    <s v="S"/>
    <m/>
    <d v="1991-01-13T00:00:00"/>
    <s v="M"/>
    <s v="H"/>
    <s v="HISPANIC"/>
    <s v="NULL"/>
    <s v="180"/>
    <s v="CONVICTED"/>
    <n v="1"/>
    <s v="HCJ"/>
    <m/>
    <m/>
    <n v="180"/>
    <s v="POSS CS PG 1 &lt;1G"/>
    <m/>
    <s v="FS"/>
    <s v="POSS DRUG"/>
    <m/>
    <m/>
    <m/>
    <m/>
    <m/>
    <m/>
    <m/>
    <m/>
    <m/>
    <s v="Public Defender"/>
    <m/>
    <m/>
    <n v="2"/>
    <n v="2"/>
    <n v="2"/>
    <n v="21.060109289617486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1375"/>
    <s v="N"/>
    <s v="N"/>
    <n v="2605667"/>
    <n v="1"/>
    <d v="2012-02-20T00:00:00"/>
    <d v="2012-05-18T00:00:00"/>
    <n v="2605667"/>
    <d v="2012-02-21T00:00:00"/>
    <d v="2012-05-18T00:00:00"/>
    <n v="150000"/>
    <x v="2"/>
    <m/>
    <s v="N"/>
    <s v="NONE"/>
    <s v="DISMISSED"/>
    <n v="88"/>
    <n v="89"/>
    <n v="0"/>
    <n v="0"/>
    <m/>
    <m/>
    <m/>
    <m/>
    <m/>
    <m/>
    <m/>
    <s v="S"/>
    <m/>
    <d v="1985-09-20T00:00:00"/>
    <s v="M"/>
    <s v="H"/>
    <s v="HISPANIC"/>
    <s v="NULL"/>
    <s v="263"/>
    <s v="DISMISSED"/>
    <n v="5"/>
    <s v="DISMISSED"/>
    <m/>
    <m/>
    <m/>
    <s v="MONEY LAUNDERING&gt;=20K&lt;100K"/>
    <m/>
    <s v="F3"/>
    <s v="OTHER FEL"/>
    <m/>
    <m/>
    <m/>
    <m/>
    <m/>
    <m/>
    <m/>
    <m/>
    <m/>
    <s v="Hired Attorney"/>
    <m/>
    <m/>
    <n v="88"/>
    <n v="88"/>
    <n v="89"/>
    <n v="26.363387978142075"/>
    <n v="0"/>
    <n v="0"/>
    <s v="NO CONVICTION"/>
    <x v="0"/>
    <s v="N"/>
    <m/>
    <s v="NO CONVICTION"/>
    <s v="Y"/>
    <x v="0"/>
    <x v="0"/>
    <s v="N"/>
    <n v="0.9887640449438202"/>
    <n v="1"/>
    <n v="1.1235955056179803E-2"/>
    <n v="0"/>
    <n v="-88"/>
    <n v="0"/>
    <n v="88"/>
    <e v="#VALUE!"/>
    <n v="88"/>
    <n v="0"/>
    <m/>
    <m/>
    <s v="N"/>
    <m/>
    <s v="61-90 DAYS"/>
    <n v="4"/>
    <x v="0"/>
  </r>
  <r>
    <n v="1382"/>
    <s v="N"/>
    <s v="N"/>
    <n v="2605706"/>
    <n v="6"/>
    <d v="2012-02-20T00:00:00"/>
    <d v="2012-05-23T00:00:00"/>
    <n v="2605706"/>
    <d v="2012-02-21T00:00:00"/>
    <d v="2012-05-23T00:00:00"/>
    <n v="135000"/>
    <x v="2"/>
    <m/>
    <s v="N"/>
    <s v="NONE"/>
    <s v="GUILTY PLEA - NO JURY"/>
    <n v="93"/>
    <n v="94"/>
    <n v="0"/>
    <n v="0"/>
    <m/>
    <m/>
    <m/>
    <m/>
    <m/>
    <m/>
    <m/>
    <s v="S"/>
    <m/>
    <d v="1975-06-02T00:00:00"/>
    <s v="M"/>
    <s v="H"/>
    <s v="HISPANIC"/>
    <s v="NULL"/>
    <s v="337"/>
    <s v="CONVICTED"/>
    <n v="5"/>
    <s v="TDC"/>
    <n v="4"/>
    <m/>
    <m/>
    <s v="POSS W/INT DEL CS PG1&gt;=4 &lt;200"/>
    <m/>
    <s v="F1"/>
    <s v="SALE DRUG"/>
    <m/>
    <m/>
    <m/>
    <m/>
    <m/>
    <m/>
    <m/>
    <m/>
    <m/>
    <s v="Hired Attorney"/>
    <m/>
    <m/>
    <n v="93"/>
    <n v="93"/>
    <n v="94"/>
    <n v="36.644808743169399"/>
    <n v="0"/>
    <n v="0"/>
    <s v="CONVICTION"/>
    <x v="0"/>
    <s v="N"/>
    <m/>
    <s v="CONVICTION"/>
    <s v="Y"/>
    <x v="0"/>
    <x v="0"/>
    <s v="N"/>
    <n v="0.98936170212765961"/>
    <n v="1"/>
    <n v="1.0638297872340385E-2"/>
    <n v="0"/>
    <n v="-93"/>
    <n v="0"/>
    <n v="93"/>
    <e v="#VALUE!"/>
    <n v="93"/>
    <n v="0"/>
    <m/>
    <m/>
    <s v="N"/>
    <m/>
    <s v="91-120 DAYS"/>
    <n v="0"/>
    <x v="0"/>
  </r>
  <r>
    <n v="1384"/>
    <s v="N"/>
    <s v="N"/>
    <n v="2605752"/>
    <n v="2"/>
    <d v="2012-02-21T00:00:00"/>
    <d v="2013-03-08T00:00:00"/>
    <n v="2605752"/>
    <d v="2012-02-21T00:00:00"/>
    <d v="2012-02-23T00:00:00"/>
    <n v="5000"/>
    <x v="4"/>
    <d v="2012-02-23T00:00:00"/>
    <s v="Y"/>
    <s v="SURETY"/>
    <s v="DEFERRED ADJUDICATION "/>
    <n v="3"/>
    <n v="382"/>
    <n v="0"/>
    <n v="0"/>
    <m/>
    <m/>
    <m/>
    <m/>
    <m/>
    <m/>
    <m/>
    <m/>
    <m/>
    <d v="1965-01-02T00:00:00"/>
    <s v="F"/>
    <s v="B"/>
    <s v="BLACK"/>
    <s v="NULL"/>
    <s v="178"/>
    <s v="DEFERRED"/>
    <n v="17"/>
    <s v="DEFERRED"/>
    <m/>
    <m/>
    <m/>
    <s v="THEFT $1500-20K"/>
    <m/>
    <s v="FS"/>
    <s v="THEFT"/>
    <m/>
    <m/>
    <m/>
    <m/>
    <m/>
    <m/>
    <m/>
    <m/>
    <m/>
    <s v="Hired Attorney"/>
    <m/>
    <m/>
    <n v="3"/>
    <n v="382"/>
    <n v="382"/>
    <n v="47.038251366120221"/>
    <n v="0"/>
    <n v="-379"/>
    <s v="DEFERRED"/>
    <x v="1"/>
    <s v="Y"/>
    <m/>
    <s v="DEFERRED"/>
    <s v="Y"/>
    <x v="1"/>
    <x v="0"/>
    <s v="N"/>
    <n v="7.8534031413612562E-3"/>
    <n v="7.8534031413612562E-3"/>
    <n v="0"/>
    <n v="0"/>
    <n v="-3"/>
    <n v="0"/>
    <n v="3"/>
    <e v="#VALUE!"/>
    <n v="3"/>
    <n v="0"/>
    <m/>
    <m/>
    <s v="N"/>
    <m/>
    <s v="0-10 DAYS"/>
    <n v="1"/>
    <x v="0"/>
  </r>
  <r>
    <n v="1390"/>
    <s v="N"/>
    <s v="N"/>
    <n v="2605785"/>
    <n v="1"/>
    <d v="2012-02-21T00:00:00"/>
    <d v="2012-03-09T00:00:00"/>
    <n v="2605785"/>
    <s v="NOT BOOKED"/>
    <s v="NOT BOOKED"/>
    <n v="30000"/>
    <x v="2"/>
    <m/>
    <s v="NO BOND MADE - NON ARREST"/>
    <s v="NONE"/>
    <s v="NO BILL"/>
    <n v="0"/>
    <n v="18"/>
    <n v="0"/>
    <n v="0"/>
    <m/>
    <m/>
    <m/>
    <m/>
    <m/>
    <m/>
    <m/>
    <s v="S"/>
    <m/>
    <d v="1980-12-23T00:00:00"/>
    <s v="M"/>
    <s v="H"/>
    <s v="HISPANIC"/>
    <s v="NULL"/>
    <s v="180"/>
    <s v="NO BILL"/>
    <n v="1"/>
    <s v="NO BILL"/>
    <m/>
    <m/>
    <m/>
    <s v="AGG ASSAULT W/DEADLY WEAPON"/>
    <m/>
    <s v="F2"/>
    <s v="ASLT-MURDR"/>
    <m/>
    <m/>
    <m/>
    <m/>
    <m/>
    <m/>
    <m/>
    <m/>
    <m/>
    <s v="Other/Unknown"/>
    <m/>
    <m/>
    <n v="0"/>
    <n v="0"/>
    <n v="18"/>
    <n v="31.098360655737704"/>
    <e v="#VALUE!"/>
    <e v="#VALUE!"/>
    <s v="NO CONVICTION"/>
    <x v="0"/>
    <s v="N"/>
    <m/>
    <s v="NO CONVICTION"/>
    <n v="0"/>
    <x v="6"/>
    <x v="0"/>
    <s v="N"/>
    <n v="0"/>
    <n v="0"/>
    <n v="0"/>
    <n v="0"/>
    <e v="#VALUE!"/>
    <e v="#VALUE!"/>
    <e v="#VALUE!"/>
    <n v="0"/>
    <n v="0"/>
    <m/>
    <m/>
    <m/>
    <s v="N"/>
    <m/>
    <s v="0-10 DAYS"/>
    <n v="1"/>
    <x v="1"/>
  </r>
  <r>
    <n v="1396"/>
    <s v="N"/>
    <s v="N"/>
    <n v="2605832"/>
    <n v="5"/>
    <d v="2012-02-21T00:00:00"/>
    <d v="2012-07-10T00:00:00"/>
    <n v="2605832"/>
    <d v="2012-02-21T00:00:00"/>
    <d v="2012-02-24T00:00:00"/>
    <n v="5000"/>
    <x v="4"/>
    <d v="2012-02-24T00:00:00"/>
    <s v="Y"/>
    <s v="SURETY"/>
    <s v="GUILTY PLEA - NO JURY"/>
    <n v="4"/>
    <n v="141"/>
    <n v="0"/>
    <n v="0"/>
    <m/>
    <m/>
    <m/>
    <m/>
    <m/>
    <m/>
    <m/>
    <m/>
    <m/>
    <d v="1991-07-12T00:00:00"/>
    <s v="M"/>
    <s v="B"/>
    <s v="BLACK"/>
    <s v="NULL"/>
    <s v="232"/>
    <s v="CONVICTED"/>
    <n v="10"/>
    <s v="STJ"/>
    <m/>
    <n v="8"/>
    <m/>
    <s v="FORGERY GOVT FINANCIAL INST"/>
    <m/>
    <s v="F3"/>
    <s v="OTHER FEL"/>
    <m/>
    <m/>
    <m/>
    <m/>
    <m/>
    <m/>
    <m/>
    <m/>
    <m/>
    <s v="Hired Attorney"/>
    <m/>
    <m/>
    <n v="4"/>
    <n v="141"/>
    <n v="141"/>
    <n v="20.571038251366119"/>
    <n v="0"/>
    <n v="-137"/>
    <s v="CONVICTION"/>
    <x v="1"/>
    <s v="Y"/>
    <m/>
    <s v="CONVICTION"/>
    <s v="Y"/>
    <x v="1"/>
    <x v="0"/>
    <s v="N"/>
    <n v="2.8368794326241134E-2"/>
    <n v="2.8368794326241134E-2"/>
    <n v="0"/>
    <n v="0"/>
    <n v="-4"/>
    <n v="0"/>
    <n v="4"/>
    <e v="#VALUE!"/>
    <n v="4"/>
    <n v="0"/>
    <m/>
    <m/>
    <s v="N"/>
    <m/>
    <s v="0-10 DAYS"/>
    <n v="1"/>
    <x v="0"/>
  </r>
  <r>
    <n v="1419"/>
    <s v="N"/>
    <s v="N"/>
    <n v="2605938"/>
    <n v="2"/>
    <d v="2012-02-22T00:00:00"/>
    <d v="2012-02-24T00:00:00"/>
    <n v="2605938"/>
    <d v="2012-02-23T00:00:00"/>
    <d v="2012-02-24T00:00:00"/>
    <n v="35000"/>
    <x v="2"/>
    <m/>
    <s v="N"/>
    <s v="NONE"/>
    <s v="DEFERRED ADJUDICATION "/>
    <n v="2"/>
    <n v="3"/>
    <n v="0"/>
    <n v="0"/>
    <m/>
    <m/>
    <m/>
    <m/>
    <m/>
    <m/>
    <m/>
    <s v="S"/>
    <m/>
    <d v="1987-11-23T00:00:00"/>
    <s v="M"/>
    <s v="H"/>
    <s v="HISPANIC"/>
    <s v="NULL"/>
    <s v="179"/>
    <s v="DEFERRED"/>
    <n v="2"/>
    <s v="DEFERRED"/>
    <m/>
    <m/>
    <m/>
    <s v="POSS CS PG 1 &lt;1G"/>
    <m/>
    <s v="FS"/>
    <s v="POSS DRUG"/>
    <s v="revoked 10/1/12 stj 6 mos"/>
    <m/>
    <m/>
    <m/>
    <m/>
    <m/>
    <m/>
    <m/>
    <m/>
    <s v="Appointed Attorney"/>
    <m/>
    <m/>
    <n v="2"/>
    <n v="2"/>
    <n v="3"/>
    <n v="24.199453551912569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2972"/>
    <s v="N"/>
    <s v="N"/>
    <n v="2605994"/>
    <n v="4"/>
    <d v="2012-04-19T00:00:00"/>
    <d v="2012-07-20T00:00:00"/>
    <n v="2605994"/>
    <d v="2012-04-19T00:00:00"/>
    <d v="2012-07-20T00:00:00"/>
    <n v="2000"/>
    <x v="5"/>
    <m/>
    <s v="N"/>
    <s v="NONE"/>
    <s v="GUILTY PLEA - NO JURY"/>
    <n v="93"/>
    <n v="93"/>
    <n v="0"/>
    <n v="0"/>
    <m/>
    <m/>
    <m/>
    <m/>
    <m/>
    <m/>
    <m/>
    <m/>
    <m/>
    <d v="1994-09-19T00:00:00"/>
    <s v="M"/>
    <s v="W"/>
    <s v="WHITE"/>
    <s v="NULL"/>
    <s v="208"/>
    <s v="CONVICTED"/>
    <n v="3"/>
    <s v="HCJ"/>
    <m/>
    <m/>
    <n v="180"/>
    <s v="BURGLARY OF A BUILDING"/>
    <m/>
    <s v="FS"/>
    <s v="BURGLARY"/>
    <s v="7/27/12 misd theft hcj 60 d   2 fel 10/18 and 10/24/12 pend"/>
    <m/>
    <m/>
    <m/>
    <m/>
    <m/>
    <m/>
    <m/>
    <m/>
    <s v="Appointed Attorney"/>
    <m/>
    <m/>
    <n v="93"/>
    <n v="93"/>
    <n v="93"/>
    <n v="17.546448087431695"/>
    <n v="0"/>
    <n v="0"/>
    <s v="CONVICTION"/>
    <x v="0"/>
    <s v="N"/>
    <m/>
    <s v="CONVICTION"/>
    <s v="Y"/>
    <x v="0"/>
    <x v="0"/>
    <s v="N"/>
    <n v="1"/>
    <n v="1"/>
    <n v="0"/>
    <n v="0"/>
    <n v="-93"/>
    <n v="0"/>
    <n v="93"/>
    <e v="#VALUE!"/>
    <n v="93"/>
    <n v="0"/>
    <m/>
    <m/>
    <s v="N"/>
    <m/>
    <s v="91-120 DAYS"/>
    <n v="0"/>
    <x v="0"/>
  </r>
  <r>
    <n v="1423"/>
    <s v="Y"/>
    <s v="N"/>
    <n v="2606000"/>
    <n v="2"/>
    <d v="2012-02-22T00:00:00"/>
    <d v="2012-11-08T00:00:00"/>
    <n v="2606000"/>
    <d v="2012-08-23T00:00:00"/>
    <d v="2012-08-24T00:00:00"/>
    <n v="2000"/>
    <x v="5"/>
    <d v="2012-08-23T00:00:00"/>
    <s v="Y"/>
    <s v="SURETY"/>
    <s v="DEFERRED ADJUDICATION "/>
    <n v="2"/>
    <n v="261"/>
    <n v="0"/>
    <n v="0"/>
    <m/>
    <m/>
    <m/>
    <m/>
    <m/>
    <m/>
    <m/>
    <m/>
    <m/>
    <d v="1983-05-23T00:00:00"/>
    <s v="F"/>
    <s v="B"/>
    <s v="BLACK"/>
    <s v="NULL"/>
    <s v="178"/>
    <s v="DEFERRED"/>
    <n v="6"/>
    <s v="DEFERRED"/>
    <m/>
    <m/>
    <m/>
    <s v="THEFT $1500-20K"/>
    <m/>
    <s v="FS"/>
    <s v="THEFT"/>
    <m/>
    <m/>
    <m/>
    <m/>
    <m/>
    <m/>
    <m/>
    <m/>
    <m/>
    <s v="Appointed Attorney"/>
    <s v="ftr 11/14/13  FUGITIVE"/>
    <m/>
    <n v="2"/>
    <n v="78"/>
    <n v="261"/>
    <n v="28.693989071038253"/>
    <n v="-1"/>
    <n v="-76"/>
    <s v="DEFERRED"/>
    <x v="1"/>
    <s v="Y"/>
    <m/>
    <s v="DEFERRED"/>
    <s v="Y"/>
    <x v="1"/>
    <x v="0"/>
    <s v="N"/>
    <n v="7.6628352490421452E-3"/>
    <n v="2.564102564102564E-2"/>
    <n v="1.7978190391983496E-2"/>
    <n v="0"/>
    <n v="-2"/>
    <n v="0"/>
    <n v="1"/>
    <e v="#VALUE!"/>
    <n v="1"/>
    <n v="-1"/>
    <m/>
    <m/>
    <s v="N"/>
    <m/>
    <s v="0-10 DAYS"/>
    <n v="1"/>
    <x v="0"/>
  </r>
  <r>
    <n v="1429"/>
    <s v="N"/>
    <s v="N"/>
    <n v="2606029"/>
    <n v="2"/>
    <d v="2012-02-22T00:00:00"/>
    <d v="2012-03-23T00:00:00"/>
    <n v="2606029"/>
    <d v="2012-02-23T00:00:00"/>
    <d v="2012-02-24T00:00:00"/>
    <n v="10000"/>
    <x v="3"/>
    <d v="2012-02-24T00:00:00"/>
    <s v="Y"/>
    <s v="SURETY"/>
    <s v="DEFERRED ADJUDICATION "/>
    <n v="2"/>
    <n v="31"/>
    <n v="0"/>
    <n v="0"/>
    <m/>
    <m/>
    <m/>
    <m/>
    <m/>
    <m/>
    <m/>
    <s v="S"/>
    <m/>
    <d v="1974-12-17T00:00:00"/>
    <s v="M"/>
    <s v="H"/>
    <s v="HISPANIC"/>
    <s v="NULL"/>
    <s v="185"/>
    <s v="DEFERRED"/>
    <n v="2"/>
    <s v="DEFERRED"/>
    <m/>
    <m/>
    <m/>
    <s v="POSS MARIJ  5 - 50 LBS."/>
    <m/>
    <s v="F3"/>
    <s v="POSS DRUG"/>
    <m/>
    <m/>
    <m/>
    <m/>
    <m/>
    <m/>
    <m/>
    <m/>
    <m/>
    <s v="Hired Attorney"/>
    <m/>
    <m/>
    <n v="2"/>
    <n v="30"/>
    <n v="31"/>
    <n v="37.106557377049178"/>
    <n v="0"/>
    <n v="-28"/>
    <s v="DEFERRED"/>
    <x v="1"/>
    <s v="Y"/>
    <m/>
    <s v="DEFERRED"/>
    <s v="Y"/>
    <x v="1"/>
    <x v="0"/>
    <s v="N"/>
    <n v="6.4516129032258063E-2"/>
    <n v="6.6666666666666666E-2"/>
    <n v="2.150537634408603E-3"/>
    <n v="0"/>
    <n v="-2"/>
    <n v="0"/>
    <n v="2"/>
    <e v="#VALUE!"/>
    <n v="2"/>
    <n v="0"/>
    <m/>
    <m/>
    <s v="N"/>
    <m/>
    <s v="0-10 DAYS"/>
    <n v="1"/>
    <x v="0"/>
  </r>
  <r>
    <n v="1431"/>
    <s v="N"/>
    <s v="N"/>
    <n v="2606032"/>
    <n v="1"/>
    <d v="2012-02-22T00:00:00"/>
    <d v="2012-04-18T00:00:00"/>
    <n v="2606032"/>
    <d v="2012-03-07T00:00:00"/>
    <d v="2012-04-18T00:00:00"/>
    <n v="5000"/>
    <x v="4"/>
    <m/>
    <s v="N"/>
    <s v="NONE"/>
    <s v="DISMISSED"/>
    <n v="43"/>
    <n v="57"/>
    <n v="0"/>
    <n v="0"/>
    <m/>
    <m/>
    <m/>
    <m/>
    <m/>
    <m/>
    <m/>
    <m/>
    <m/>
    <d v="1988-01-18T00:00:00"/>
    <s v="M"/>
    <s v="B"/>
    <s v="BLACK"/>
    <s v="NULL"/>
    <s v="179"/>
    <s v="DISMISSED"/>
    <n v="3"/>
    <s v="DISMISSED"/>
    <m/>
    <m/>
    <m/>
    <s v="FAIL TO COMPLY AS SEX OFFENDER"/>
    <m/>
    <s v="F3"/>
    <s v="OTHER FEL"/>
    <m/>
    <m/>
    <m/>
    <m/>
    <m/>
    <m/>
    <m/>
    <m/>
    <m/>
    <s v="Appointed Attorney"/>
    <m/>
    <m/>
    <n v="43"/>
    <n v="43"/>
    <n v="57"/>
    <n v="24.046448087431695"/>
    <n v="0"/>
    <n v="0"/>
    <s v="NO CONVICTION"/>
    <x v="0"/>
    <s v="N"/>
    <m/>
    <s v="NO CONVICTION"/>
    <s v="Y"/>
    <x v="0"/>
    <x v="0"/>
    <s v="N"/>
    <n v="0.75438596491228072"/>
    <n v="1"/>
    <n v="0.24561403508771928"/>
    <n v="0"/>
    <n v="-43"/>
    <n v="0"/>
    <n v="43"/>
    <e v="#VALUE!"/>
    <n v="43"/>
    <n v="0"/>
    <m/>
    <m/>
    <s v="N"/>
    <m/>
    <s v="31-60 DAYS"/>
    <n v="3"/>
    <x v="0"/>
  </r>
  <r>
    <n v="1460"/>
    <s v="N"/>
    <s v="N"/>
    <n v="2606039"/>
    <n v="6"/>
    <d v="2012-02-23T00:00:00"/>
    <d v="2013-05-10T00:00:00"/>
    <n v="2606039"/>
    <d v="2012-02-23T00:00:00"/>
    <d v="2013-05-10T00:00:00"/>
    <n v="100000"/>
    <x v="2"/>
    <m/>
    <s v="N"/>
    <s v="NONE"/>
    <s v="GUILTY PLEA - NO JURY"/>
    <n v="443"/>
    <n v="443"/>
    <n v="0"/>
    <n v="0"/>
    <m/>
    <m/>
    <m/>
    <m/>
    <m/>
    <m/>
    <m/>
    <m/>
    <m/>
    <d v="1977-08-23T00:00:00"/>
    <s v="M"/>
    <s v="W"/>
    <s v="WHITE"/>
    <s v="NULL"/>
    <s v="351"/>
    <s v="CONVICTED"/>
    <n v="13"/>
    <s v="TDC"/>
    <n v="16"/>
    <m/>
    <m/>
    <s v="AGG ASSAULT-FAMILY MEMBER"/>
    <m/>
    <s v="F2"/>
    <s v="ASLT-MURDR"/>
    <s v="2 fel dismissed same file dates"/>
    <m/>
    <m/>
    <m/>
    <m/>
    <m/>
    <m/>
    <m/>
    <m/>
    <s v="Appointed Attorney"/>
    <m/>
    <m/>
    <n v="443"/>
    <n v="443"/>
    <n v="443"/>
    <n v="34.431693989071036"/>
    <n v="0"/>
    <n v="0"/>
    <s v="CONVICTION"/>
    <x v="0"/>
    <s v="N"/>
    <m/>
    <s v="CONVICTION"/>
    <s v="Y"/>
    <x v="0"/>
    <x v="0"/>
    <s v="N"/>
    <n v="1"/>
    <n v="1"/>
    <n v="0"/>
    <n v="0"/>
    <n v="-443"/>
    <n v="0"/>
    <n v="443"/>
    <e v="#VALUE!"/>
    <n v="443"/>
    <n v="0"/>
    <m/>
    <m/>
    <s v="N"/>
    <m/>
    <s v=" &gt;1YRS&lt;2YRS"/>
    <n v="0"/>
    <x v="0"/>
  </r>
  <r>
    <n v="1440"/>
    <s v="N"/>
    <s v="N"/>
    <n v="2606053"/>
    <n v="4"/>
    <d v="2012-02-22T00:00:00"/>
    <d v="2012-02-29T00:00:00"/>
    <n v="2606053"/>
    <d v="2012-02-23T00:00:00"/>
    <d v="2012-02-29T00:00:00"/>
    <n v="100000"/>
    <x v="2"/>
    <m/>
    <s v="N"/>
    <s v="NONE"/>
    <s v="GUILTY PLEA - NO JURY"/>
    <n v="7"/>
    <n v="8"/>
    <n v="0"/>
    <n v="0"/>
    <m/>
    <m/>
    <m/>
    <m/>
    <m/>
    <m/>
    <m/>
    <m/>
    <m/>
    <d v="1968-09-16T00:00:00"/>
    <s v="F"/>
    <s v="W"/>
    <s v="WHITE"/>
    <s v="NULL"/>
    <s v="263"/>
    <s v="CONVICTED"/>
    <n v="2"/>
    <s v="HCJ"/>
    <m/>
    <m/>
    <n v="60"/>
    <s v="ABAN/ENDANG CHILD W/INT TO RET"/>
    <m/>
    <s v="FS"/>
    <s v="OTHER FEL"/>
    <m/>
    <m/>
    <m/>
    <m/>
    <m/>
    <m/>
    <m/>
    <m/>
    <m/>
    <s v="Appointed Attorney"/>
    <m/>
    <m/>
    <n v="7"/>
    <n v="7"/>
    <n v="8"/>
    <n v="43.344262295081968"/>
    <n v="0"/>
    <n v="0"/>
    <s v="CONVICTION"/>
    <x v="0"/>
    <s v="N"/>
    <m/>
    <s v="CONVICTION"/>
    <s v="Y"/>
    <x v="0"/>
    <x v="0"/>
    <s v="N"/>
    <n v="0.875"/>
    <n v="1"/>
    <n v="0.125"/>
    <n v="0"/>
    <n v="-7"/>
    <n v="0"/>
    <n v="7"/>
    <e v="#VALUE!"/>
    <n v="7"/>
    <n v="0"/>
    <m/>
    <m/>
    <s v="N"/>
    <m/>
    <s v="0-10 DAYS"/>
    <n v="1"/>
    <x v="0"/>
  </r>
  <r>
    <n v="1443"/>
    <s v="N"/>
    <s v="N"/>
    <n v="2606076"/>
    <n v="4"/>
    <d v="2012-02-23T00:00:00"/>
    <d v="2012-02-24T00:00:00"/>
    <n v="2606076"/>
    <d v="2012-02-23T00:00:00"/>
    <d v="2012-02-24T00:00:00"/>
    <n v="15000"/>
    <x v="0"/>
    <m/>
    <s v="N"/>
    <s v="NONE"/>
    <s v="GUILTY PLEA - NO JURY"/>
    <n v="2"/>
    <n v="2"/>
    <n v="0"/>
    <n v="0"/>
    <m/>
    <m/>
    <m/>
    <m/>
    <m/>
    <m/>
    <m/>
    <m/>
    <m/>
    <d v="1971-01-01T00:00:00"/>
    <s v="M"/>
    <s v="B"/>
    <s v="BLACK"/>
    <s v="NULL"/>
    <s v="209"/>
    <s v="CONVICTED"/>
    <n v="1"/>
    <s v="HCJ"/>
    <m/>
    <m/>
    <n v="30"/>
    <s v="MAN/DEL CS PG I &lt;1GRAM"/>
    <m/>
    <s v="FS"/>
    <s v="SALE DRUG"/>
    <m/>
    <s v="   REV 3/5/12 "/>
    <m/>
    <m/>
    <m/>
    <m/>
    <m/>
    <m/>
    <m/>
    <s v="Appointed Attorney"/>
    <m/>
    <m/>
    <n v="2"/>
    <n v="2"/>
    <n v="2"/>
    <n v="41.060109289617486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1446"/>
    <s v="N"/>
    <s v="N"/>
    <n v="2606132"/>
    <n v="6"/>
    <d v="2012-02-23T00:00:00"/>
    <d v="2012-08-06T00:00:00"/>
    <n v="2606132"/>
    <d v="2012-02-28T00:00:00"/>
    <d v="2012-08-06T00:00:00"/>
    <n v="35000"/>
    <x v="2"/>
    <m/>
    <s v="N"/>
    <s v="NONE"/>
    <s v="GUILTY PLEA - NO JURY"/>
    <n v="161"/>
    <n v="166"/>
    <n v="0"/>
    <n v="0"/>
    <m/>
    <m/>
    <m/>
    <m/>
    <m/>
    <m/>
    <m/>
    <s v="S"/>
    <m/>
    <d v="1981-04-25T00:00:00"/>
    <s v="M"/>
    <s v="H"/>
    <s v="HISPANIC"/>
    <s v="NULL"/>
    <s v="179"/>
    <s v="CONVICTED"/>
    <n v="8"/>
    <s v="TDC"/>
    <n v="7"/>
    <m/>
    <m/>
    <s v="AGG SEX ASSLT CHILD-UNDER 14"/>
    <m/>
    <s v="F1"/>
    <s v="SEX ABUSE"/>
    <m/>
    <m/>
    <m/>
    <m/>
    <m/>
    <m/>
    <m/>
    <m/>
    <m/>
    <s v="Appointed Attorney"/>
    <m/>
    <m/>
    <n v="161"/>
    <n v="161"/>
    <n v="166"/>
    <n v="30.76775956284153"/>
    <n v="0"/>
    <n v="0"/>
    <s v="CONVICTION"/>
    <x v="0"/>
    <s v="N"/>
    <m/>
    <s v="CONVICTION"/>
    <s v="Y"/>
    <x v="0"/>
    <x v="0"/>
    <s v="N"/>
    <n v="0.96987951807228912"/>
    <n v="1"/>
    <n v="3.0120481927710885E-2"/>
    <n v="0"/>
    <n v="-161"/>
    <n v="0"/>
    <n v="161"/>
    <e v="#VALUE!"/>
    <n v="161"/>
    <n v="0"/>
    <m/>
    <m/>
    <s v="N"/>
    <m/>
    <s v="121-365 DAYS"/>
    <n v="6"/>
    <x v="0"/>
  </r>
  <r>
    <n v="1458"/>
    <s v="N"/>
    <s v="N"/>
    <n v="2606267"/>
    <n v="1"/>
    <d v="2012-02-23T00:00:00"/>
    <d v="2013-03-13T00:00:00"/>
    <n v="2606267"/>
    <s v="NOT BOOKED"/>
    <s v="NOT BOOKED"/>
    <n v="5000"/>
    <x v="4"/>
    <d v="2012-03-08T00:00:00"/>
    <s v="Y"/>
    <s v="SURETY"/>
    <s v="DISMISSED"/>
    <n v="0"/>
    <n v="385"/>
    <n v="0"/>
    <n v="0"/>
    <m/>
    <m/>
    <m/>
    <m/>
    <m/>
    <m/>
    <m/>
    <m/>
    <m/>
    <d v="1961-02-15T00:00:00"/>
    <s v="M"/>
    <s v="B"/>
    <s v="BLACK"/>
    <s v="NULL"/>
    <s v="209"/>
    <s v="DISMISSED"/>
    <n v="12"/>
    <s v="DISMISSED"/>
    <m/>
    <m/>
    <m/>
    <s v="CRIM MISCH &gt;=$1500 &lt;$20K"/>
    <m/>
    <s v="FS"/>
    <s v="OTHER FEL"/>
    <m/>
    <m/>
    <m/>
    <m/>
    <m/>
    <m/>
    <m/>
    <m/>
    <m/>
    <s v="Hired Attorney"/>
    <m/>
    <m/>
    <n v="0"/>
    <n v="0"/>
    <n v="385"/>
    <n v="50.915300546448087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466"/>
    <s v="N"/>
    <s v="N"/>
    <n v="2606283"/>
    <n v="2"/>
    <d v="2012-02-23T00:00:00"/>
    <d v="2012-06-21T00:00:00"/>
    <n v="2606283"/>
    <d v="2012-02-23T00:00:00"/>
    <d v="2012-03-17T00:00:00"/>
    <n v="10000"/>
    <x v="3"/>
    <d v="2012-03-17T00:00:00"/>
    <s v="Y"/>
    <s v="SURETY"/>
    <s v="DEFERRED ADJUDICATION "/>
    <n v="24"/>
    <n v="120"/>
    <n v="0"/>
    <n v="0"/>
    <m/>
    <m/>
    <m/>
    <m/>
    <m/>
    <m/>
    <m/>
    <m/>
    <m/>
    <d v="1994-08-11T00:00:00"/>
    <s v="M"/>
    <s v="B"/>
    <s v="BLACK"/>
    <s v="NULL"/>
    <s v="178"/>
    <s v="DEFERRED"/>
    <n v="6"/>
    <s v="DEFERRED"/>
    <m/>
    <m/>
    <m/>
    <s v="THEFT $1500-20K"/>
    <m/>
    <s v="FS"/>
    <s v="THEFT"/>
    <m/>
    <m/>
    <m/>
    <m/>
    <m/>
    <m/>
    <m/>
    <m/>
    <m/>
    <s v="Appointed Attorney"/>
    <m/>
    <m/>
    <n v="24"/>
    <n v="120"/>
    <n v="120"/>
    <n v="17.5"/>
    <n v="0"/>
    <n v="-96"/>
    <s v="DEFERRED"/>
    <x v="1"/>
    <s v="Y"/>
    <m/>
    <s v="DEFERRED"/>
    <s v="Y"/>
    <x v="1"/>
    <x v="0"/>
    <s v="N"/>
    <n v="0.2"/>
    <n v="0.2"/>
    <n v="0"/>
    <n v="0"/>
    <n v="-24"/>
    <n v="0"/>
    <n v="24"/>
    <e v="#VALUE!"/>
    <n v="24"/>
    <n v="0"/>
    <m/>
    <m/>
    <s v="N"/>
    <m/>
    <s v="11-30 DAYS"/>
    <n v="2"/>
    <x v="0"/>
  </r>
  <r>
    <n v="1472"/>
    <s v="N"/>
    <s v="N"/>
    <n v="2606288"/>
    <n v="2"/>
    <d v="2012-02-23T00:00:00"/>
    <d v="2012-07-12T00:00:00"/>
    <n v="2606288"/>
    <s v="NOT BOOKED"/>
    <s v="NOT BOOKED"/>
    <n v="2000"/>
    <x v="5"/>
    <d v="2012-02-24T00:00:00"/>
    <s v="Y"/>
    <s v="SURETY"/>
    <s v="DEFERRED ADJUDICATION "/>
    <n v="0"/>
    <n v="141"/>
    <n v="0"/>
    <n v="0"/>
    <m/>
    <m/>
    <m/>
    <m/>
    <m/>
    <m/>
    <m/>
    <m/>
    <m/>
    <d v="1993-04-06T00:00:00"/>
    <s v="M"/>
    <s v="W"/>
    <s v="WHITE"/>
    <s v="NULL"/>
    <s v="180"/>
    <s v="DEFERRED"/>
    <n v="6"/>
    <s v="DEFERRED"/>
    <m/>
    <m/>
    <m/>
    <s v="POSS CS PG 2 &lt;1GRAM"/>
    <m/>
    <s v="FS"/>
    <s v="POSS DRUG"/>
    <m/>
    <m/>
    <m/>
    <m/>
    <m/>
    <m/>
    <m/>
    <m/>
    <m/>
    <s v="Hired Attorney"/>
    <m/>
    <m/>
    <n v="0"/>
    <n v="0"/>
    <n v="141"/>
    <n v="18.844262295081968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481"/>
    <s v="Y"/>
    <s v="Y"/>
    <n v="2606324"/>
    <n v="1"/>
    <d v="2012-02-24T00:00:00"/>
    <d v="2013-04-01T00:00:00"/>
    <n v="2606324"/>
    <d v="2012-02-25T00:00:00"/>
    <d v="2012-03-10T00:00:00"/>
    <n v="20000"/>
    <x v="0"/>
    <d v="2012-03-10T00:00:00"/>
    <s v="Y"/>
    <s v="SURETY"/>
    <s v="DISMISSED"/>
    <n v="132"/>
    <n v="403"/>
    <n v="0"/>
    <n v="0"/>
    <m/>
    <m/>
    <m/>
    <m/>
    <m/>
    <m/>
    <m/>
    <m/>
    <m/>
    <d v="1989-09-01T00:00:00"/>
    <s v="M"/>
    <s v="B"/>
    <s v="BLACK"/>
    <s v="NULL"/>
    <s v="232"/>
    <s v="DISMISSED"/>
    <n v="14"/>
    <s v="DISMISSED"/>
    <m/>
    <m/>
    <m/>
    <s v="INJURY TO CHILD-SBI"/>
    <m/>
    <s v="F1"/>
    <s v="ASLT-MURDR"/>
    <s v="rearrest charged injury to child  booked 3/27/13 pend"/>
    <s v="bd srr 1/22/13 rearrested bk 12/3/12"/>
    <m/>
    <m/>
    <s v="Y"/>
    <m/>
    <m/>
    <m/>
    <m/>
    <s v="Public Defender"/>
    <s v="inj child 3/27/13 pend"/>
    <m/>
    <n v="132"/>
    <n v="402"/>
    <n v="403"/>
    <n v="22.434426229508198"/>
    <n v="0"/>
    <n v="-387"/>
    <s v="NO CONVICTION"/>
    <x v="1"/>
    <s v="Y"/>
    <m/>
    <s v="NO CONVICTION"/>
    <s v="Y"/>
    <x v="0"/>
    <x v="0"/>
    <s v="N"/>
    <n v="0.32754342431761785"/>
    <n v="3.7313432835820892E-2"/>
    <n v="-0.29022999148179696"/>
    <n v="0"/>
    <n v="-15"/>
    <n v="117"/>
    <n v="402"/>
    <n v="132"/>
    <n v="402"/>
    <n v="387"/>
    <m/>
    <m/>
    <s v="N"/>
    <m/>
    <s v="121-365 DAYS"/>
    <n v="6"/>
    <x v="0"/>
  </r>
  <r>
    <n v="1484"/>
    <s v="N"/>
    <s v="N"/>
    <n v="2606336"/>
    <n v="1"/>
    <d v="2012-02-24T00:00:00"/>
    <d v="2012-03-12T00:00:00"/>
    <n v="2606336"/>
    <d v="2012-02-24T00:00:00"/>
    <d v="2012-03-12T00:00:00"/>
    <n v="30000"/>
    <x v="2"/>
    <m/>
    <s v="N"/>
    <s v="NONE"/>
    <s v="DISMISSED"/>
    <n v="18"/>
    <n v="18"/>
    <n v="0"/>
    <n v="0"/>
    <m/>
    <m/>
    <m/>
    <m/>
    <m/>
    <m/>
    <m/>
    <m/>
    <m/>
    <d v="1961-12-11T00:00:00"/>
    <s v="M"/>
    <s v="W"/>
    <s v="WHITE"/>
    <s v="NULL"/>
    <s v="351"/>
    <s v="DISMISSED"/>
    <n v="2"/>
    <s v="DISMISSED"/>
    <m/>
    <m/>
    <m/>
    <s v="AGG ASSAULT W/DEADLY WEAPON"/>
    <m/>
    <s v="F2"/>
    <s v="ASLT-MURDR"/>
    <m/>
    <m/>
    <m/>
    <m/>
    <m/>
    <m/>
    <m/>
    <m/>
    <m/>
    <s v="Appointed Attorney"/>
    <m/>
    <m/>
    <n v="18"/>
    <n v="18"/>
    <n v="18"/>
    <n v="50.101092896174862"/>
    <n v="0"/>
    <n v="0"/>
    <s v="NO CONVICTION"/>
    <x v="0"/>
    <s v="N"/>
    <m/>
    <s v="NO CONVICTION"/>
    <s v="Y"/>
    <x v="0"/>
    <x v="0"/>
    <s v="N"/>
    <n v="1"/>
    <n v="1"/>
    <n v="0"/>
    <n v="0"/>
    <n v="-18"/>
    <n v="0"/>
    <n v="18"/>
    <e v="#VALUE!"/>
    <n v="18"/>
    <n v="0"/>
    <m/>
    <m/>
    <s v="N"/>
    <m/>
    <s v="11-30 DAYS"/>
    <n v="2"/>
    <x v="0"/>
  </r>
  <r>
    <n v="1486"/>
    <s v="N"/>
    <s v="N"/>
    <n v="2606343"/>
    <n v="1"/>
    <d v="2012-02-24T00:00:00"/>
    <d v="2012-08-20T00:00:00"/>
    <n v="2606343"/>
    <d v="2012-03-05T00:00:00"/>
    <d v="2012-03-07T00:00:00"/>
    <n v="30000"/>
    <x v="2"/>
    <d v="2012-03-07T00:00:00"/>
    <s v="Y"/>
    <s v="SURETYPTRc"/>
    <s v="NO BILL"/>
    <n v="3"/>
    <n v="179"/>
    <n v="0"/>
    <n v="0"/>
    <m/>
    <m/>
    <m/>
    <m/>
    <m/>
    <m/>
    <m/>
    <m/>
    <m/>
    <d v="1960-01-15T00:00:00"/>
    <s v="M"/>
    <s v="W"/>
    <s v="WHITE"/>
    <s v="NULL"/>
    <s v="338"/>
    <s v="NO BILL"/>
    <n v="8"/>
    <s v="NO BILL"/>
    <m/>
    <m/>
    <m/>
    <s v="AGG ASSAULT-FAMILY MEMBER"/>
    <m/>
    <s v="F2"/>
    <s v="ASLT-MURDR"/>
    <m/>
    <m/>
    <m/>
    <m/>
    <m/>
    <m/>
    <m/>
    <m/>
    <m/>
    <s v="Hired Attorney"/>
    <m/>
    <m/>
    <n v="3"/>
    <n v="169"/>
    <n v="179"/>
    <n v="52.002732240437162"/>
    <n v="0"/>
    <n v="-166"/>
    <s v="NO CONVICTION"/>
    <x v="1"/>
    <s v="Y"/>
    <m/>
    <s v="NO CONVICTION"/>
    <s v="Y"/>
    <x v="1"/>
    <x v="0"/>
    <s v="N"/>
    <n v="1.6759776536312849E-2"/>
    <n v="1.7751479289940829E-2"/>
    <n v="9.9170275362798002E-4"/>
    <n v="0"/>
    <n v="-3"/>
    <n v="0"/>
    <n v="3"/>
    <e v="#VALUE!"/>
    <n v="3"/>
    <n v="0"/>
    <m/>
    <m/>
    <s v="N"/>
    <m/>
    <s v="0-10 DAYS"/>
    <n v="1"/>
    <x v="0"/>
  </r>
  <r>
    <n v="1493"/>
    <s v="N"/>
    <s v="N"/>
    <n v="2606417"/>
    <n v="1"/>
    <d v="2012-02-24T00:00:00"/>
    <d v="2012-04-17T00:00:00"/>
    <n v="2606417"/>
    <d v="2012-02-25T00:00:00"/>
    <d v="2012-04-17T00:00:00"/>
    <n v="2000"/>
    <x v="5"/>
    <m/>
    <s v="N"/>
    <s v="NONE"/>
    <s v="DISMISSED"/>
    <n v="53"/>
    <n v="54"/>
    <n v="0"/>
    <n v="0"/>
    <m/>
    <m/>
    <m/>
    <m/>
    <m/>
    <m/>
    <m/>
    <m/>
    <m/>
    <d v="1983-01-08T00:00:00"/>
    <s v="M"/>
    <s v="B"/>
    <s v="BLACK"/>
    <s v="NULL"/>
    <s v="248"/>
    <s v="DISMISSED"/>
    <n v="3"/>
    <s v="DISMISSED"/>
    <m/>
    <m/>
    <m/>
    <s v="POSS CS PG 1 &lt;1G"/>
    <m/>
    <s v="FS"/>
    <s v="POSS DRUG"/>
    <m/>
    <m/>
    <m/>
    <m/>
    <m/>
    <m/>
    <m/>
    <m/>
    <m/>
    <s v="Appointed Attorney"/>
    <m/>
    <m/>
    <n v="53"/>
    <n v="53"/>
    <n v="54"/>
    <n v="29.068306010928961"/>
    <n v="0"/>
    <n v="0"/>
    <s v="NO CONVICTION"/>
    <x v="0"/>
    <s v="N"/>
    <m/>
    <s v="NO CONVICTION"/>
    <s v="Y"/>
    <x v="0"/>
    <x v="0"/>
    <s v="N"/>
    <n v="0.98148148148148151"/>
    <n v="1"/>
    <n v="1.851851851851849E-2"/>
    <n v="0"/>
    <n v="-53"/>
    <n v="0"/>
    <n v="53"/>
    <e v="#VALUE!"/>
    <n v="53"/>
    <n v="0"/>
    <m/>
    <m/>
    <s v="N"/>
    <m/>
    <s v="31-60 DAYS"/>
    <n v="3"/>
    <x v="0"/>
  </r>
  <r>
    <n v="1500"/>
    <s v="N"/>
    <s v="N"/>
    <n v="2606487"/>
    <n v="2"/>
    <d v="2012-02-25T00:00:00"/>
    <d v="2012-02-27T00:00:00"/>
    <n v="2606487"/>
    <d v="2012-02-25T00:00:00"/>
    <d v="2012-02-27T00:00:00"/>
    <n v="5000"/>
    <x v="4"/>
    <m/>
    <s v="N"/>
    <s v="NONE"/>
    <s v="DEFERRED ADJUDICATION "/>
    <n v="3"/>
    <n v="3"/>
    <n v="0"/>
    <n v="0"/>
    <m/>
    <m/>
    <m/>
    <m/>
    <m/>
    <m/>
    <m/>
    <m/>
    <m/>
    <d v="1969-09-01T00:00:00"/>
    <s v="M"/>
    <s v="W"/>
    <s v="WHITE"/>
    <s v="NULL"/>
    <s v="232"/>
    <s v="DEFERRED"/>
    <n v="1"/>
    <s v="DEFERRED"/>
    <m/>
    <m/>
    <m/>
    <s v="POSS CS PG 1  1 - 4 GRAMS"/>
    <m/>
    <s v="F3"/>
    <s v="POSS DRUG"/>
    <m/>
    <m/>
    <m/>
    <m/>
    <m/>
    <m/>
    <m/>
    <m/>
    <m/>
    <s v="Public Defender"/>
    <m/>
    <m/>
    <n v="3"/>
    <n v="3"/>
    <n v="3"/>
    <n v="42.396174863387976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1502"/>
    <s v="N"/>
    <s v="N"/>
    <n v="2606488"/>
    <n v="4"/>
    <d v="2012-02-25T00:00:00"/>
    <d v="2012-03-08T00:00:00"/>
    <n v="2606488"/>
    <d v="2012-02-26T00:00:00"/>
    <d v="2012-03-08T00:00:00"/>
    <n v="52000"/>
    <x v="2"/>
    <m/>
    <s v="N"/>
    <s v="NONE"/>
    <s v="GUILTY PLEA - NO JURY"/>
    <n v="12"/>
    <n v="13"/>
    <n v="0"/>
    <n v="0"/>
    <m/>
    <m/>
    <m/>
    <m/>
    <m/>
    <m/>
    <m/>
    <m/>
    <m/>
    <d v="1992-07-11T00:00:00"/>
    <s v="M"/>
    <s v="W"/>
    <s v="WHITE"/>
    <s v="NULL"/>
    <s v="208"/>
    <s v="CONVICTED"/>
    <n v="2"/>
    <s v="HCJ"/>
    <m/>
    <m/>
    <n v="30"/>
    <s v="POSS CS PG 1 &lt;1G"/>
    <m/>
    <s v="FS"/>
    <s v="POSS DRUG"/>
    <m/>
    <m/>
    <m/>
    <m/>
    <m/>
    <m/>
    <m/>
    <m/>
    <m/>
    <s v="Appointed Attorney"/>
    <m/>
    <m/>
    <n v="12"/>
    <n v="12"/>
    <n v="13"/>
    <n v="19.584699453551913"/>
    <n v="0"/>
    <n v="0"/>
    <s v="CONVICTION"/>
    <x v="0"/>
    <s v="N"/>
    <m/>
    <s v="CONVICTION"/>
    <s v="Y"/>
    <x v="0"/>
    <x v="0"/>
    <s v="N"/>
    <n v="0.92307692307692313"/>
    <n v="1"/>
    <n v="7.6923076923076872E-2"/>
    <n v="0"/>
    <n v="-12"/>
    <n v="0"/>
    <n v="12"/>
    <e v="#VALUE!"/>
    <n v="12"/>
    <n v="0"/>
    <m/>
    <m/>
    <s v="N"/>
    <m/>
    <s v="11-30 DAYS"/>
    <n v="2"/>
    <x v="0"/>
  </r>
  <r>
    <n v="1504"/>
    <s v="N"/>
    <s v="N"/>
    <n v="2606517"/>
    <s v=""/>
    <d v="2012-02-25T00:00:00"/>
    <m/>
    <n v="2606517"/>
    <d v="2012-03-03T00:00:00"/>
    <m/>
    <n v="80000"/>
    <x v="2"/>
    <m/>
    <s v="N"/>
    <s v="NONE"/>
    <s v="NULL"/>
    <s v="STILL OPEN"/>
    <s v="STILL OPEN"/>
    <n v="0"/>
    <n v="5"/>
    <m/>
    <m/>
    <m/>
    <m/>
    <m/>
    <m/>
    <m/>
    <m/>
    <m/>
    <d v="1962-10-04T00:00:00"/>
    <s v="M"/>
    <s v="H"/>
    <s v="HISPANIC"/>
    <s v="HISPANIC"/>
    <s v="209"/>
    <s v="NULL"/>
    <m/>
    <m/>
    <m/>
    <m/>
    <m/>
    <s v="AGG SEX ASSLT CHILD-UNDER 14"/>
    <m/>
    <s v="F1"/>
    <s v="SEX ABUSE"/>
    <m/>
    <m/>
    <m/>
    <m/>
    <m/>
    <m/>
    <m/>
    <m/>
    <m/>
    <s v="Hired Attorney"/>
    <m/>
    <m/>
    <s v="STILL OPEN"/>
    <s v="STILL OPEN"/>
    <s v="STILL OPEN"/>
    <n v="49.292349726775953"/>
    <n v="0"/>
    <n v="0"/>
    <n v="0"/>
    <x v="0"/>
    <s v="N"/>
    <m/>
    <s v=""/>
    <s v="Y"/>
    <x v="3"/>
    <x v="1"/>
    <s v="N"/>
    <s v="STILL OPEN"/>
    <s v="STILL OPEN"/>
    <n v="0"/>
    <e v="#VALUE!"/>
    <n v="40970"/>
    <e v="#VALUE!"/>
    <e v="#VALUE!"/>
    <s v="STILL OPEN"/>
    <s v="STILL OPEN"/>
    <m/>
    <m/>
    <m/>
    <s v="Y"/>
    <e v="#N/A"/>
    <s v="&gt;3YRS"/>
    <n v="9"/>
    <x v="0"/>
  </r>
  <r>
    <n v="1505"/>
    <s v="N"/>
    <s v="N"/>
    <n v="2606536"/>
    <n v="1"/>
    <d v="2012-02-25T00:00:00"/>
    <d v="2012-05-16T00:00:00"/>
    <n v="2606536"/>
    <d v="2012-02-25T00:00:00"/>
    <d v="2012-02-29T00:00:00"/>
    <n v="30000"/>
    <x v="2"/>
    <d v="2012-02-29T00:00:00"/>
    <s v="Y"/>
    <s v="SURETY"/>
    <s v="DISMISSED"/>
    <n v="5"/>
    <n v="82"/>
    <n v="0"/>
    <n v="0"/>
    <m/>
    <m/>
    <m/>
    <m/>
    <m/>
    <m/>
    <m/>
    <s v="S"/>
    <m/>
    <d v="1981-02-05T00:00:00"/>
    <s v="F"/>
    <s v="H"/>
    <s v="HISPANIC"/>
    <s v="NULL"/>
    <s v="179"/>
    <s v="DISMISSED"/>
    <n v="4"/>
    <s v="DISMISSED"/>
    <m/>
    <m/>
    <m/>
    <s v="AGG ROBBERY-DEADLY WPN"/>
    <m/>
    <s v="F1"/>
    <s v="ROBBERY"/>
    <m/>
    <m/>
    <m/>
    <m/>
    <m/>
    <m/>
    <m/>
    <m/>
    <m/>
    <s v="Hired Attorney"/>
    <m/>
    <m/>
    <n v="5"/>
    <n v="82"/>
    <n v="82"/>
    <n v="30.989071038251367"/>
    <n v="0"/>
    <n v="-77"/>
    <s v="NO CONVICTION"/>
    <x v="1"/>
    <s v="Y"/>
    <m/>
    <s v="NO CONVICTION"/>
    <s v="Y"/>
    <x v="1"/>
    <x v="0"/>
    <s v="N"/>
    <n v="6.097560975609756E-2"/>
    <n v="6.097560975609756E-2"/>
    <n v="0"/>
    <n v="0"/>
    <n v="-5"/>
    <n v="0"/>
    <n v="5"/>
    <e v="#VALUE!"/>
    <n v="5"/>
    <n v="0"/>
    <m/>
    <m/>
    <s v="N"/>
    <m/>
    <s v="0-10 DAYS"/>
    <n v="1"/>
    <x v="0"/>
  </r>
  <r>
    <n v="1514"/>
    <s v="N"/>
    <s v="N"/>
    <n v="2606598"/>
    <n v="1"/>
    <d v="2012-02-25T00:00:00"/>
    <d v="2012-02-27T00:00:00"/>
    <n v="2606598"/>
    <s v="NOT BOOKED"/>
    <s v="NOT BOOKED"/>
    <n v="1000"/>
    <x v="5"/>
    <d v="2012-02-26T00:00:00"/>
    <s v="Y"/>
    <s v="SURETY"/>
    <s v="DISMISSED"/>
    <n v="0"/>
    <n v="3"/>
    <n v="0"/>
    <n v="0"/>
    <m/>
    <m/>
    <m/>
    <m/>
    <m/>
    <m/>
    <m/>
    <s v="S"/>
    <m/>
    <d v="1994-10-08T00:00:00"/>
    <s v="M"/>
    <s v="H"/>
    <s v="HISPANIC"/>
    <s v="NULL"/>
    <s v="338"/>
    <s v="DISMISSED"/>
    <n v="1"/>
    <s v="DISMISSED"/>
    <m/>
    <m/>
    <m/>
    <s v="POSS PROH WPN"/>
    <m/>
    <s v="F3"/>
    <s v="OTHER FEL"/>
    <m/>
    <m/>
    <m/>
    <m/>
    <m/>
    <m/>
    <m/>
    <m/>
    <m/>
    <s v="Other/Unknown"/>
    <m/>
    <m/>
    <n v="0"/>
    <n v="0"/>
    <n v="3"/>
    <n v="17.346994535519126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517"/>
    <s v="N"/>
    <s v="N"/>
    <n v="2606601"/>
    <n v="5"/>
    <d v="2012-02-25T00:00:00"/>
    <d v="2012-02-27T00:00:00"/>
    <n v="2606601"/>
    <d v="2012-02-26T00:00:00"/>
    <d v="2012-02-27T00:00:00"/>
    <s v="NO BOND"/>
    <x v="1"/>
    <m/>
    <s v="N"/>
    <s v="NONE"/>
    <s v="GUILTY PLEA - NO JURY"/>
    <n v="2"/>
    <n v="3"/>
    <n v="0"/>
    <n v="0"/>
    <m/>
    <m/>
    <m/>
    <m/>
    <m/>
    <m/>
    <m/>
    <m/>
    <m/>
    <d v="1988-01-30T00:00:00"/>
    <s v="M"/>
    <s v="B"/>
    <s v="BLACK"/>
    <s v="NULL"/>
    <s v="208"/>
    <s v="CONVICTED"/>
    <n v="1"/>
    <s v="STJ"/>
    <m/>
    <n v="6"/>
    <m/>
    <s v="THEFT OF FIREARM"/>
    <m/>
    <s v="FS"/>
    <s v="THEFT"/>
    <m/>
    <m/>
    <m/>
    <m/>
    <m/>
    <m/>
    <m/>
    <m/>
    <m/>
    <s v="Appointed Attorney"/>
    <m/>
    <m/>
    <n v="2"/>
    <n v="2"/>
    <n v="3"/>
    <n v="24.021857923497269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1520"/>
    <s v="N"/>
    <s v="N"/>
    <n v="2606610"/>
    <n v="4"/>
    <d v="2012-02-25T00:00:00"/>
    <d v="2012-02-27T00:00:00"/>
    <n v="2606610"/>
    <d v="2012-02-26T00:00:00"/>
    <d v="2012-02-27T00:00:00"/>
    <n v="55000"/>
    <x v="2"/>
    <m/>
    <s v="N"/>
    <s v="NONE"/>
    <s v="GUILTY PLEA - NO JURY"/>
    <n v="2"/>
    <n v="3"/>
    <n v="0"/>
    <n v="0"/>
    <m/>
    <m/>
    <m/>
    <m/>
    <m/>
    <m/>
    <m/>
    <m/>
    <m/>
    <d v="1971-05-31T00:00:00"/>
    <s v="M"/>
    <s v="H"/>
    <s v="HISPANIC"/>
    <s v="HISPANIC"/>
    <s v="183"/>
    <s v="CONVICTED"/>
    <n v="1"/>
    <s v="HCJ"/>
    <m/>
    <m/>
    <n v="10"/>
    <s v="POSS CS PG 1 &lt;1G"/>
    <m/>
    <s v="FS"/>
    <s v="POSS DRUG"/>
    <m/>
    <m/>
    <m/>
    <m/>
    <m/>
    <m/>
    <m/>
    <m/>
    <m/>
    <s v="Appointed Attorney"/>
    <m/>
    <m/>
    <n v="2"/>
    <n v="2"/>
    <n v="3"/>
    <n v="40.655737704918032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1529"/>
    <s v="N"/>
    <s v="N"/>
    <n v="2606643"/>
    <n v="1"/>
    <d v="2012-02-26T00:00:00"/>
    <d v="2012-02-27T00:00:00"/>
    <n v="2606643"/>
    <d v="2012-02-26T00:00:00"/>
    <d v="2012-02-27T00:00:00"/>
    <n v="2000"/>
    <x v="5"/>
    <m/>
    <s v="N"/>
    <s v="NONE"/>
    <s v="DISMISSED"/>
    <n v="2"/>
    <n v="2"/>
    <n v="0"/>
    <n v="0"/>
    <m/>
    <m/>
    <m/>
    <m/>
    <m/>
    <m/>
    <m/>
    <m/>
    <m/>
    <d v="1980-10-30T00:00:00"/>
    <s v="M"/>
    <s v="W"/>
    <s v="WHITE"/>
    <s v="NULL"/>
    <s v="209"/>
    <s v="DISMISSED"/>
    <n v="1"/>
    <s v="DISMISSED"/>
    <m/>
    <m/>
    <m/>
    <s v="THEFT $1500-20K"/>
    <m/>
    <s v="FS"/>
    <s v="THEFT"/>
    <m/>
    <m/>
    <m/>
    <m/>
    <m/>
    <m/>
    <m/>
    <m/>
    <m/>
    <s v="Other/Unknown"/>
    <m/>
    <m/>
    <n v="2"/>
    <n v="2"/>
    <n v="2"/>
    <n v="31.259562841530055"/>
    <n v="0"/>
    <n v="0"/>
    <s v="NO CONVICTION"/>
    <x v="0"/>
    <s v="N"/>
    <m/>
    <s v="NO 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1531"/>
    <s v="N"/>
    <s v="N"/>
    <n v="2606650"/>
    <n v="2"/>
    <d v="2012-02-26T00:00:00"/>
    <d v="2012-08-29T00:00:00"/>
    <n v="2606650"/>
    <d v="2012-02-26T00:00:00"/>
    <d v="2012-02-27T00:00:00"/>
    <n v="2000"/>
    <x v="5"/>
    <d v="2012-02-27T00:00:00"/>
    <s v="Y"/>
    <s v="SURETY"/>
    <s v="DEFERRED ADJUDICATION "/>
    <n v="2"/>
    <n v="186"/>
    <n v="0"/>
    <n v="0"/>
    <m/>
    <m/>
    <m/>
    <m/>
    <m/>
    <m/>
    <m/>
    <s v="S"/>
    <m/>
    <d v="1993-02-09T00:00:00"/>
    <s v="F"/>
    <s v="H"/>
    <s v="HISPANIC"/>
    <s v="NULL"/>
    <s v="228"/>
    <s v="DEFERRED"/>
    <n v="8"/>
    <s v="DEFERRED"/>
    <m/>
    <m/>
    <m/>
    <s v="CRIM MISCH &gt;=$1500 &lt;$20K"/>
    <m/>
    <s v="FS"/>
    <s v="OTHER FEL"/>
    <m/>
    <m/>
    <m/>
    <m/>
    <m/>
    <m/>
    <m/>
    <m/>
    <m/>
    <s v="Hired Attorney"/>
    <m/>
    <m/>
    <n v="2"/>
    <n v="186"/>
    <n v="186"/>
    <n v="19.005464480874316"/>
    <n v="0"/>
    <n v="-184"/>
    <s v="DEFERRED"/>
    <x v="1"/>
    <s v="Y"/>
    <m/>
    <s v="DEFERRED"/>
    <s v="Y"/>
    <x v="1"/>
    <x v="0"/>
    <s v="N"/>
    <n v="1.0752688172043012E-2"/>
    <n v="1.0752688172043012E-2"/>
    <n v="0"/>
    <n v="0"/>
    <n v="-2"/>
    <n v="0"/>
    <n v="2"/>
    <e v="#VALUE!"/>
    <n v="2"/>
    <n v="0"/>
    <m/>
    <m/>
    <s v="N"/>
    <m/>
    <s v="0-10 DAYS"/>
    <n v="1"/>
    <x v="0"/>
  </r>
  <r>
    <n v="1532"/>
    <s v="N"/>
    <s v="N"/>
    <n v="2606668"/>
    <n v="4"/>
    <d v="2012-02-26T00:00:00"/>
    <d v="2012-07-25T00:00:00"/>
    <n v="2606668"/>
    <d v="2012-02-26T00:00:00"/>
    <d v="2012-02-27T00:00:00"/>
    <n v="5000"/>
    <x v="4"/>
    <d v="2012-02-27T00:00:00"/>
    <s v="Y"/>
    <s v="SURETY"/>
    <s v="GUILTY PLEA - NO JURY"/>
    <n v="2"/>
    <n v="151"/>
    <n v="0"/>
    <n v="0"/>
    <m/>
    <m/>
    <m/>
    <m/>
    <m/>
    <m/>
    <m/>
    <m/>
    <m/>
    <d v="1985-06-24T00:00:00"/>
    <s v="M"/>
    <s v="W"/>
    <s v="WHITE"/>
    <s v="NULL"/>
    <s v="263"/>
    <s v="CONVICTED"/>
    <n v="8"/>
    <s v="HCJ"/>
    <m/>
    <m/>
    <n v="90"/>
    <s v="POSS CS PG 4 28-200 GRAMS"/>
    <m/>
    <s v="F3"/>
    <s v="POSS DRUG"/>
    <m/>
    <m/>
    <m/>
    <m/>
    <m/>
    <m/>
    <m/>
    <m/>
    <m/>
    <s v="Hired Attorney"/>
    <m/>
    <m/>
    <n v="2"/>
    <n v="151"/>
    <n v="151"/>
    <n v="26.620218579234972"/>
    <n v="0"/>
    <n v="-149"/>
    <s v="CONVICTION"/>
    <x v="1"/>
    <s v="Y"/>
    <m/>
    <s v="CONVICTION"/>
    <s v="Y"/>
    <x v="1"/>
    <x v="0"/>
    <s v="N"/>
    <n v="1.3245033112582781E-2"/>
    <n v="1.3245033112582781E-2"/>
    <n v="0"/>
    <n v="0"/>
    <n v="-2"/>
    <n v="0"/>
    <n v="2"/>
    <e v="#VALUE!"/>
    <n v="2"/>
    <n v="0"/>
    <m/>
    <m/>
    <s v="N"/>
    <m/>
    <s v="0-10 DAYS"/>
    <n v="1"/>
    <x v="0"/>
  </r>
  <r>
    <n v="1536"/>
    <s v="N"/>
    <s v="N"/>
    <n v="2606708"/>
    <n v="2"/>
    <d v="2012-02-27T00:00:00"/>
    <d v="2012-07-16T00:00:00"/>
    <n v="2606708"/>
    <d v="2012-02-27T00:00:00"/>
    <d v="2012-02-28T00:00:00"/>
    <n v="2000"/>
    <x v="5"/>
    <d v="2012-02-28T00:00:00"/>
    <s v="Y"/>
    <s v="SURETY"/>
    <s v="DEFERRED ADJUDICATION "/>
    <n v="2"/>
    <n v="141"/>
    <n v="0"/>
    <n v="0"/>
    <m/>
    <m/>
    <m/>
    <m/>
    <m/>
    <m/>
    <m/>
    <s v="S"/>
    <m/>
    <d v="1980-05-10T00:00:00"/>
    <s v="M"/>
    <s v="H"/>
    <s v="HISPANIC"/>
    <s v="NULL"/>
    <s v="176"/>
    <s v="DEFERRED"/>
    <n v="7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141"/>
    <n v="141"/>
    <n v="31.734972677595628"/>
    <n v="0"/>
    <n v="-139"/>
    <s v="DEFERRED"/>
    <x v="1"/>
    <s v="Y"/>
    <m/>
    <s v="DEFERRED"/>
    <s v="Y"/>
    <x v="1"/>
    <x v="0"/>
    <s v="N"/>
    <n v="1.4184397163120567E-2"/>
    <n v="1.4184397163120567E-2"/>
    <n v="0"/>
    <n v="0"/>
    <n v="-2"/>
    <n v="0"/>
    <n v="2"/>
    <e v="#VALUE!"/>
    <n v="2"/>
    <n v="0"/>
    <m/>
    <m/>
    <s v="N"/>
    <m/>
    <s v="0-10 DAYS"/>
    <n v="1"/>
    <x v="0"/>
  </r>
  <r>
    <n v="1540"/>
    <s v="N"/>
    <s v="N"/>
    <n v="2606733"/>
    <n v="3"/>
    <d v="2012-02-27T00:00:00"/>
    <d v="2012-08-23T00:00:00"/>
    <n v="2606733"/>
    <s v="NOT BOOKED"/>
    <s v="NOT BOOKED"/>
    <n v="2000"/>
    <x v="5"/>
    <d v="2012-02-28T00:00:00"/>
    <s v="Y"/>
    <s v="SURETY"/>
    <s v="GUILTY  JURY verdict"/>
    <n v="0"/>
    <n v="179"/>
    <n v="0"/>
    <n v="0"/>
    <m/>
    <m/>
    <m/>
    <m/>
    <m/>
    <m/>
    <m/>
    <m/>
    <m/>
    <d v="1972-10-20T00:00:00"/>
    <s v="F"/>
    <s v="W"/>
    <s v="WHITE"/>
    <s v="NULL"/>
    <s v="262"/>
    <s v="CONVICTED"/>
    <n v="11"/>
    <s v="PROBATION"/>
    <m/>
    <m/>
    <m/>
    <s v="THEFT $1500-20K"/>
    <m/>
    <s v="FS"/>
    <s v="THEFT"/>
    <m/>
    <m/>
    <m/>
    <m/>
    <m/>
    <m/>
    <m/>
    <m/>
    <m/>
    <s v="Hired Attorney"/>
    <m/>
    <m/>
    <n v="0"/>
    <n v="0"/>
    <n v="179"/>
    <n v="39.27322404371585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542"/>
    <s v="N"/>
    <s v="N"/>
    <n v="2606744"/>
    <n v="1"/>
    <d v="2012-02-27T00:00:00"/>
    <d v="2012-04-17T00:00:00"/>
    <n v="2606744"/>
    <d v="2012-02-27T00:00:00"/>
    <d v="2012-04-17T00:00:00"/>
    <n v="52000"/>
    <x v="2"/>
    <m/>
    <s v="N"/>
    <s v="NONE"/>
    <s v="DISMISSED"/>
    <n v="51"/>
    <n v="51"/>
    <n v="0"/>
    <n v="0"/>
    <m/>
    <m/>
    <m/>
    <m/>
    <m/>
    <m/>
    <m/>
    <s v="S"/>
    <m/>
    <d v="1989-01-04T00:00:00"/>
    <s v="M"/>
    <s v="H"/>
    <s v="HISPANIC"/>
    <s v="NULL"/>
    <s v="180"/>
    <s v="DISMISSED"/>
    <n v="3"/>
    <s v="DISMISSED"/>
    <m/>
    <m/>
    <m/>
    <s v="BURGLARY OF A BUILDING"/>
    <m/>
    <s v="FS"/>
    <s v="BURGLARY"/>
    <m/>
    <m/>
    <m/>
    <m/>
    <m/>
    <m/>
    <m/>
    <m/>
    <m/>
    <s v="Hired Attorney"/>
    <m/>
    <m/>
    <n v="51"/>
    <n v="51"/>
    <n v="51"/>
    <n v="23.098360655737704"/>
    <n v="0"/>
    <n v="0"/>
    <s v="NO CONVICTION"/>
    <x v="0"/>
    <s v="N"/>
    <m/>
    <s v="NO CONVICTION"/>
    <s v="Y"/>
    <x v="0"/>
    <x v="0"/>
    <s v="N"/>
    <n v="1"/>
    <n v="1"/>
    <n v="0"/>
    <n v="0"/>
    <n v="-51"/>
    <n v="0"/>
    <n v="51"/>
    <e v="#VALUE!"/>
    <n v="51"/>
    <n v="0"/>
    <m/>
    <m/>
    <s v="N"/>
    <m/>
    <s v="31-60 DAYS"/>
    <n v="3"/>
    <x v="0"/>
  </r>
  <r>
    <n v="1568"/>
    <s v="N"/>
    <s v="N"/>
    <n v="2606882"/>
    <n v="1"/>
    <d v="2012-02-28T00:00:00"/>
    <d v="2012-02-29T00:00:00"/>
    <n v="2606882"/>
    <d v="2012-02-28T00:00:00"/>
    <d v="2012-02-29T00:00:00"/>
    <n v="5000"/>
    <x v="4"/>
    <d v="2012-02-29T00:00:00"/>
    <s v="Y"/>
    <s v="SURETY"/>
    <s v="DISMISSED"/>
    <n v="2"/>
    <n v="2"/>
    <n v="0"/>
    <n v="0"/>
    <m/>
    <m/>
    <m/>
    <m/>
    <m/>
    <m/>
    <m/>
    <m/>
    <m/>
    <d v="1965-11-17T00:00:00"/>
    <s v="F"/>
    <s v="W"/>
    <s v="WHITE"/>
    <s v="NULL"/>
    <s v="183"/>
    <s v="DISMISSED"/>
    <n v="1"/>
    <s v="DISMISSED"/>
    <m/>
    <m/>
    <m/>
    <s v="INJURY CHILD UNDER 15 B/INJURY"/>
    <m/>
    <s v="F3"/>
    <s v="OTHER FEL"/>
    <m/>
    <m/>
    <m/>
    <m/>
    <m/>
    <m/>
    <m/>
    <m/>
    <m/>
    <s v="Other/Unknown"/>
    <m/>
    <m/>
    <n v="2"/>
    <n v="2"/>
    <n v="2"/>
    <n v="46.185792349726775"/>
    <n v="0"/>
    <n v="0"/>
    <s v="NO CONVICTION"/>
    <x v="1"/>
    <s v="Y"/>
    <m/>
    <s v="NO CONVICTION"/>
    <s v="Y"/>
    <x v="1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1576"/>
    <s v="N"/>
    <s v="N"/>
    <n v="2606985"/>
    <n v="2"/>
    <d v="2012-02-28T00:00:00"/>
    <d v="2012-03-01T00:00:00"/>
    <n v="2606985"/>
    <d v="2012-02-29T00:00:00"/>
    <d v="2012-03-01T00:00:00"/>
    <n v="2000"/>
    <x v="5"/>
    <m/>
    <s v="N"/>
    <s v="NONE"/>
    <s v="DEFERRED ADJUDICATION "/>
    <n v="2"/>
    <n v="3"/>
    <n v="0"/>
    <n v="0"/>
    <m/>
    <m/>
    <m/>
    <m/>
    <m/>
    <m/>
    <m/>
    <s v="S"/>
    <m/>
    <d v="1994-01-05T00:00:00"/>
    <s v="M"/>
    <s v="H"/>
    <s v="HISPANIC"/>
    <s v="NULL"/>
    <s v="184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2"/>
    <n v="2"/>
    <n v="3"/>
    <n v="18.10928961748634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1578"/>
    <s v="N"/>
    <s v="N"/>
    <n v="2606990"/>
    <n v="2"/>
    <d v="2012-02-28T00:00:00"/>
    <d v="2012-03-02T00:00:00"/>
    <n v="2606990"/>
    <d v="2012-02-29T00:00:00"/>
    <d v="2012-03-02T00:00:00"/>
    <n v="5000"/>
    <x v="4"/>
    <m/>
    <s v="N"/>
    <s v="NONE"/>
    <s v="DEFERRED ADJUDICATION "/>
    <n v="3"/>
    <n v="4"/>
    <n v="0"/>
    <n v="0"/>
    <m/>
    <m/>
    <m/>
    <m/>
    <m/>
    <m/>
    <m/>
    <m/>
    <m/>
    <d v="1983-10-05T00:00:00"/>
    <s v="F"/>
    <s v="W"/>
    <s v="WHITE"/>
    <s v="NULL"/>
    <s v="262"/>
    <s v="DEFERRED"/>
    <n v="2"/>
    <s v="DEFERRED"/>
    <m/>
    <m/>
    <m/>
    <s v="POSS CS PG 2 &lt;1GRAM"/>
    <m/>
    <s v="FS"/>
    <s v="POSS DRUG"/>
    <s v=" 5/9/12 FREP rev 5/17/12  6mos stj"/>
    <m/>
    <m/>
    <m/>
    <m/>
    <m/>
    <m/>
    <m/>
    <m/>
    <s v="Appointed Attorney"/>
    <m/>
    <m/>
    <n v="3"/>
    <n v="3"/>
    <n v="4"/>
    <n v="28.34153005464481"/>
    <n v="0"/>
    <n v="0"/>
    <s v="DEFERRED"/>
    <x v="0"/>
    <s v="N"/>
    <m/>
    <s v="DEFERRED"/>
    <s v="Y"/>
    <x v="0"/>
    <x v="0"/>
    <s v="N"/>
    <n v="0.75"/>
    <n v="1"/>
    <n v="0.25"/>
    <n v="0"/>
    <n v="-3"/>
    <n v="0"/>
    <n v="3"/>
    <e v="#VALUE!"/>
    <n v="3"/>
    <n v="0"/>
    <m/>
    <m/>
    <s v="N"/>
    <m/>
    <s v="0-10 DAYS"/>
    <n v="1"/>
    <x v="0"/>
  </r>
  <r>
    <n v="1580"/>
    <s v="N"/>
    <s v="N"/>
    <n v="2606995"/>
    <n v="2"/>
    <d v="2012-02-28T00:00:00"/>
    <d v="2012-04-13T00:00:00"/>
    <n v="2606995"/>
    <d v="2012-02-29T00:00:00"/>
    <d v="2012-03-01T00:00:00"/>
    <n v="10000"/>
    <x v="3"/>
    <d v="2012-03-01T00:00:00"/>
    <s v="Y"/>
    <s v="PTR"/>
    <s v="DEFERRED ADJUDICATION "/>
    <n v="2"/>
    <n v="46"/>
    <n v="0"/>
    <n v="0"/>
    <m/>
    <m/>
    <m/>
    <m/>
    <m/>
    <m/>
    <m/>
    <m/>
    <m/>
    <d v="1986-10-12T00:00:00"/>
    <s v="F"/>
    <s v="W"/>
    <s v="WHITE"/>
    <s v="NULL"/>
    <s v="176"/>
    <s v="DEFERRED"/>
    <n v="3"/>
    <s v="DEFERRED"/>
    <m/>
    <m/>
    <m/>
    <s v="ROBBERY-THREATS"/>
    <m/>
    <s v="F2"/>
    <s v="ROBBERY"/>
    <s v="3/22/12 ACI REV B 7/26/12 COP 30 days hcj"/>
    <m/>
    <m/>
    <m/>
    <m/>
    <m/>
    <m/>
    <m/>
    <m/>
    <s v="Appointed Attorney"/>
    <m/>
    <m/>
    <n v="2"/>
    <n v="45"/>
    <n v="46"/>
    <n v="25.327868852459016"/>
    <n v="0"/>
    <n v="-43"/>
    <s v="DEFERRED"/>
    <x v="2"/>
    <s v="Y"/>
    <m/>
    <s v="DEFERRED"/>
    <s v="Y"/>
    <x v="1"/>
    <x v="0"/>
    <s v="N"/>
    <n v="4.3478260869565216E-2"/>
    <n v="4.4444444444444446E-2"/>
    <n v="9.6618357487922996E-4"/>
    <n v="0"/>
    <n v="-2"/>
    <n v="0"/>
    <n v="2"/>
    <e v="#VALUE!"/>
    <n v="2"/>
    <n v="0"/>
    <m/>
    <m/>
    <s v="N"/>
    <m/>
    <s v="0-10 DAYS"/>
    <n v="1"/>
    <x v="0"/>
  </r>
  <r>
    <n v="1581"/>
    <s v="N"/>
    <s v="N"/>
    <n v="2606998"/>
    <n v="6"/>
    <d v="2012-02-28T00:00:00"/>
    <d v="2013-08-15T00:00:00"/>
    <n v="2606998"/>
    <d v="2012-02-29T00:00:00"/>
    <d v="2013-08-15T00:00:00"/>
    <n v="60000"/>
    <x v="2"/>
    <m/>
    <s v="N"/>
    <s v="NONE"/>
    <s v="GUILTY PLEA - NO JURY"/>
    <n v="534"/>
    <n v="535"/>
    <n v="0"/>
    <n v="0"/>
    <m/>
    <m/>
    <m/>
    <m/>
    <m/>
    <m/>
    <m/>
    <m/>
    <m/>
    <d v="1992-11-10T00:00:00"/>
    <s v="M"/>
    <s v="B"/>
    <s v="BLACK"/>
    <s v="NULL"/>
    <s v="174"/>
    <s v="CONVICTED"/>
    <n v="17"/>
    <s v="TDC"/>
    <n v="15"/>
    <m/>
    <m/>
    <s v="AGG ROBBERY-DEADLY WPN"/>
    <m/>
    <s v="F1"/>
    <s v="ROBBERY"/>
    <s v="APPEAL"/>
    <m/>
    <m/>
    <m/>
    <m/>
    <m/>
    <m/>
    <m/>
    <m/>
    <s v="Appointed Attorney"/>
    <m/>
    <m/>
    <n v="534"/>
    <n v="534"/>
    <n v="535"/>
    <n v="19.259562841530055"/>
    <n v="0"/>
    <n v="0"/>
    <s v="CONVICTION"/>
    <x v="0"/>
    <s v="N"/>
    <m/>
    <s v="CONVICTION"/>
    <s v="Y"/>
    <x v="0"/>
    <x v="0"/>
    <s v="N"/>
    <n v="0.9981308411214953"/>
    <n v="1"/>
    <n v="1.8691588785046953E-3"/>
    <n v="0"/>
    <n v="-534"/>
    <n v="0"/>
    <n v="534"/>
    <e v="#VALUE!"/>
    <n v="534"/>
    <n v="0"/>
    <m/>
    <m/>
    <s v="N"/>
    <m/>
    <s v=" &gt;1YRS&lt;2YRS"/>
    <n v="0"/>
    <x v="0"/>
  </r>
  <r>
    <n v="1586"/>
    <s v="N"/>
    <s v="N"/>
    <n v="2607009"/>
    <n v="1"/>
    <d v="2012-02-28T00:00:00"/>
    <d v="2012-11-27T00:00:00"/>
    <n v="2607009"/>
    <d v="2012-02-29T00:00:00"/>
    <d v="2012-03-02T00:00:00"/>
    <n v="15000"/>
    <x v="0"/>
    <d v="2012-03-02T00:00:00"/>
    <s v="Y"/>
    <s v="SURETY"/>
    <s v="DISMISSED"/>
    <n v="3"/>
    <n v="274"/>
    <n v="0"/>
    <n v="0"/>
    <m/>
    <m/>
    <m/>
    <m/>
    <m/>
    <m/>
    <m/>
    <m/>
    <m/>
    <d v="1981-09-13T00:00:00"/>
    <s v="F"/>
    <s v="B"/>
    <s v="BLACK"/>
    <s v="NULL"/>
    <s v="228"/>
    <s v="DISMISSED"/>
    <n v="10"/>
    <s v="DISMISSED"/>
    <m/>
    <m/>
    <m/>
    <s v="POSS CS PG 4 28-200 GRAMS"/>
    <m/>
    <s v="F3"/>
    <s v="POSS DRUG"/>
    <m/>
    <m/>
    <m/>
    <m/>
    <m/>
    <m/>
    <m/>
    <m/>
    <m/>
    <s v="Hired Attorney"/>
    <m/>
    <m/>
    <n v="3"/>
    <n v="273"/>
    <n v="274"/>
    <n v="30.396174863387976"/>
    <n v="0"/>
    <n v="-270"/>
    <s v="NO CONVICTION"/>
    <x v="1"/>
    <s v="Y"/>
    <m/>
    <s v="NO CONVICTION"/>
    <s v="Y"/>
    <x v="1"/>
    <x v="0"/>
    <s v="N"/>
    <n v="1.0948905109489052E-2"/>
    <n v="1.098901098901099E-2"/>
    <n v="4.0105879521938267E-5"/>
    <n v="0"/>
    <n v="-3"/>
    <n v="0"/>
    <n v="3"/>
    <e v="#VALUE!"/>
    <n v="3"/>
    <n v="0"/>
    <m/>
    <m/>
    <s v="N"/>
    <m/>
    <s v="0-10 DAYS"/>
    <n v="1"/>
    <x v="0"/>
  </r>
  <r>
    <n v="1588"/>
    <s v="N"/>
    <s v="N"/>
    <n v="2607012"/>
    <n v="5"/>
    <d v="2012-02-29T00:00:00"/>
    <d v="2012-03-02T00:00:00"/>
    <n v="2607012"/>
    <d v="2012-02-29T00:00:00"/>
    <d v="2012-03-02T00:00:00"/>
    <n v="15000"/>
    <x v="0"/>
    <m/>
    <s v="N"/>
    <s v="NONE"/>
    <s v="GUILTY PLEA - NO JURY"/>
    <n v="3"/>
    <n v="3"/>
    <n v="0"/>
    <n v="0"/>
    <m/>
    <m/>
    <m/>
    <m/>
    <m/>
    <m/>
    <m/>
    <m/>
    <m/>
    <d v="1985-09-16T00:00:00"/>
    <s v="M"/>
    <s v="W"/>
    <s v="WHITE"/>
    <s v="NULL"/>
    <s v="178"/>
    <s v="CONVICTED"/>
    <n v="2"/>
    <s v="STJ"/>
    <m/>
    <n v="6"/>
    <m/>
    <s v="POSS CS PG 1 &lt;1G"/>
    <m/>
    <s v="FS"/>
    <s v="POSS DRUG"/>
    <m/>
    <m/>
    <m/>
    <m/>
    <m/>
    <m/>
    <m/>
    <m/>
    <m/>
    <s v="Other/Unknown"/>
    <m/>
    <s v="no leg def of record?"/>
    <n v="3"/>
    <n v="3"/>
    <n v="3"/>
    <n v="26.398907103825138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1594"/>
    <s v="N"/>
    <s v="N"/>
    <n v="2607028"/>
    <n v="2"/>
    <d v="2012-02-29T00:00:00"/>
    <d v="2012-06-11T00:00:00"/>
    <n v="2607028"/>
    <d v="2012-02-29T00:00:00"/>
    <d v="2012-03-02T00:00:00"/>
    <n v="5000"/>
    <x v="4"/>
    <d v="2012-03-02T00:00:00"/>
    <s v="Y"/>
    <s v="SURETY"/>
    <s v="DEFERRED ADJUDICATION "/>
    <n v="3"/>
    <n v="104"/>
    <n v="0"/>
    <n v="0"/>
    <m/>
    <m/>
    <m/>
    <m/>
    <m/>
    <m/>
    <m/>
    <m/>
    <m/>
    <d v="1989-06-03T00:00:00"/>
    <s v="M"/>
    <s v="B"/>
    <s v="BLACK"/>
    <s v="NULL"/>
    <s v="208"/>
    <s v="DEFERRED"/>
    <n v="6"/>
    <s v="DEFERRED"/>
    <m/>
    <m/>
    <m/>
    <s v="TAMPER/FABRICATE EVIDENCE"/>
    <m/>
    <s v="F3"/>
    <s v="OTHER FEL"/>
    <s v="5/1/12 drug def adj 6/11/12"/>
    <m/>
    <m/>
    <m/>
    <m/>
    <m/>
    <m/>
    <m/>
    <m/>
    <s v="Appointed Attorney"/>
    <m/>
    <m/>
    <n v="3"/>
    <n v="104"/>
    <n v="104"/>
    <n v="22.693989071038253"/>
    <n v="0"/>
    <n v="-101"/>
    <s v="DEFERRED"/>
    <x v="1"/>
    <s v="Y"/>
    <m/>
    <s v="DEFERRED"/>
    <s v="Y"/>
    <x v="1"/>
    <x v="0"/>
    <s v="N"/>
    <n v="2.8846153846153848E-2"/>
    <n v="2.8846153846153848E-2"/>
    <n v="0"/>
    <n v="0"/>
    <n v="-3"/>
    <n v="0"/>
    <n v="3"/>
    <e v="#VALUE!"/>
    <n v="3"/>
    <n v="0"/>
    <m/>
    <m/>
    <s v="N"/>
    <m/>
    <s v="0-10 DAYS"/>
    <n v="1"/>
    <x v="0"/>
  </r>
  <r>
    <n v="1598"/>
    <s v="N"/>
    <s v="N"/>
    <n v="2607038"/>
    <n v="1"/>
    <d v="2012-02-29T00:00:00"/>
    <d v="2012-04-02T00:00:00"/>
    <n v="2607038"/>
    <d v="2012-02-29T00:00:00"/>
    <d v="2012-03-03T00:00:00"/>
    <n v="2000"/>
    <x v="5"/>
    <d v="2012-03-03T00:00:00"/>
    <s v="Y"/>
    <s v="SURETY"/>
    <s v="DISMISSED"/>
    <n v="4"/>
    <n v="34"/>
    <n v="0"/>
    <n v="0"/>
    <m/>
    <m/>
    <m/>
    <m/>
    <m/>
    <m/>
    <m/>
    <m/>
    <m/>
    <d v="1981-05-15T00:00:00"/>
    <s v="F"/>
    <s v="W"/>
    <s v="WHITE"/>
    <s v="NULL"/>
    <s v="177"/>
    <s v="DISMISSED"/>
    <n v="2"/>
    <s v="DISMISSED"/>
    <m/>
    <m/>
    <m/>
    <s v="POSS CS PG 1 &lt;1G"/>
    <m/>
    <s v="FS"/>
    <s v="POSS DRUG"/>
    <m/>
    <m/>
    <m/>
    <m/>
    <m/>
    <m/>
    <m/>
    <m/>
    <m/>
    <s v="Hired Attorney"/>
    <m/>
    <m/>
    <n v="4"/>
    <n v="34"/>
    <n v="34"/>
    <n v="30.729508196721312"/>
    <n v="0"/>
    <n v="-30"/>
    <s v="NO CONVICTION"/>
    <x v="1"/>
    <s v="Y"/>
    <m/>
    <s v="NO CONVICTION"/>
    <s v="Y"/>
    <x v="1"/>
    <x v="0"/>
    <s v="N"/>
    <n v="0.11764705882352941"/>
    <n v="0.11764705882352941"/>
    <n v="0"/>
    <n v="0"/>
    <n v="-4"/>
    <n v="0"/>
    <n v="4"/>
    <e v="#VALUE!"/>
    <n v="4"/>
    <n v="0"/>
    <m/>
    <m/>
    <s v="N"/>
    <m/>
    <s v="0-10 DAYS"/>
    <n v="1"/>
    <x v="0"/>
  </r>
  <r>
    <n v="1608"/>
    <s v="N"/>
    <s v="N"/>
    <n v="2607135"/>
    <n v="2"/>
    <d v="2012-02-29T00:00:00"/>
    <d v="2012-07-02T00:00:00"/>
    <n v="2607135"/>
    <s v="NOT BOOKED"/>
    <s v="NOT BOOKED"/>
    <n v="2000"/>
    <x v="5"/>
    <d v="2012-03-09T00:00:00"/>
    <s v="Y"/>
    <s v="SURETY"/>
    <s v="DEFERRED ADJUDICATION "/>
    <n v="0"/>
    <n v="125"/>
    <n v="0"/>
    <n v="0"/>
    <m/>
    <m/>
    <m/>
    <m/>
    <m/>
    <m/>
    <m/>
    <s v="S"/>
    <m/>
    <d v="1964-03-31T00:00:00"/>
    <s v="F"/>
    <s v="H"/>
    <s v="HISPANIC"/>
    <s v="NULL"/>
    <s v="232"/>
    <s v="DEFERRED"/>
    <n v="5"/>
    <s v="DEFERRED"/>
    <m/>
    <m/>
    <m/>
    <s v="CREDIT/DEBIT CARD ABUSE"/>
    <m/>
    <s v="FS"/>
    <s v="OTHER FEL"/>
    <m/>
    <m/>
    <m/>
    <m/>
    <m/>
    <m/>
    <m/>
    <m/>
    <m/>
    <s v="Hired Attorney"/>
    <m/>
    <m/>
    <n v="0"/>
    <n v="0"/>
    <n v="125"/>
    <n v="47.81693989071038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607"/>
    <s v="N"/>
    <s v="N"/>
    <n v="2607136"/>
    <n v="1"/>
    <d v="2012-02-29T00:00:00"/>
    <d v="2012-06-25T00:00:00"/>
    <n v="2607136"/>
    <s v="NOT BOOKED"/>
    <s v="NOT BOOKED"/>
    <n v="2000"/>
    <x v="5"/>
    <d v="2012-03-02T00:00:00"/>
    <s v="Y"/>
    <s v="SURETY"/>
    <s v="DISMISSED"/>
    <n v="0"/>
    <n v="118"/>
    <n v="0"/>
    <n v="0"/>
    <m/>
    <m/>
    <m/>
    <m/>
    <m/>
    <m/>
    <m/>
    <m/>
    <m/>
    <d v="1992-04-29T00:00:00"/>
    <s v="M"/>
    <s v="W"/>
    <s v="WHITE"/>
    <s v="NULL"/>
    <s v="182"/>
    <s v="DISMISSED"/>
    <n v="5"/>
    <s v="DISMISSED"/>
    <m/>
    <m/>
    <m/>
    <s v="POSS CS PG 1 &lt;1G"/>
    <m/>
    <s v="FS"/>
    <s v="POSS DRUG"/>
    <s v="misd drug 10/17/12 dadj"/>
    <m/>
    <m/>
    <m/>
    <m/>
    <m/>
    <m/>
    <m/>
    <m/>
    <s v="Hired Attorney"/>
    <m/>
    <m/>
    <n v="0"/>
    <n v="0"/>
    <n v="118"/>
    <n v="19.795081967213115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617"/>
    <s v="N"/>
    <s v="N"/>
    <n v="2607192"/>
    <n v="2"/>
    <d v="2012-03-01T00:00:00"/>
    <d v="2012-05-11T00:00:00"/>
    <n v="2607192"/>
    <s v="NOT BOOKED"/>
    <s v="NOT BOOKED"/>
    <n v="5000"/>
    <x v="4"/>
    <d v="2012-03-03T00:00:00"/>
    <s v="Y"/>
    <s v="SURETYPTRc"/>
    <s v="DEFERRED ADJUDICATION "/>
    <n v="0"/>
    <n v="72"/>
    <n v="0"/>
    <n v="0"/>
    <m/>
    <m/>
    <m/>
    <m/>
    <m/>
    <m/>
    <m/>
    <m/>
    <m/>
    <d v="1981-06-10T00:00:00"/>
    <s v="M"/>
    <s v="B"/>
    <s v="BLACK"/>
    <s v="NULL"/>
    <s v="185"/>
    <s v="DEFERRED"/>
    <n v="4"/>
    <s v="DEFERRED"/>
    <m/>
    <m/>
    <m/>
    <s v="POSS MARIJ  5 - 50 LBS."/>
    <m/>
    <s v="F3"/>
    <s v="POSS DRUG"/>
    <m/>
    <m/>
    <m/>
    <m/>
    <m/>
    <m/>
    <m/>
    <m/>
    <m/>
    <s v="Hired Attorney"/>
    <m/>
    <m/>
    <n v="0"/>
    <n v="0"/>
    <n v="72"/>
    <n v="30.661202185792348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620"/>
    <s v="N"/>
    <s v="N"/>
    <n v="2607199"/>
    <n v="1"/>
    <d v="2012-03-01T00:00:00"/>
    <d v="2012-03-02T00:00:00"/>
    <n v="2607199"/>
    <d v="2012-03-01T00:00:00"/>
    <d v="2012-03-02T00:00:00"/>
    <n v="20000"/>
    <x v="0"/>
    <m/>
    <s v="N"/>
    <s v="NONE"/>
    <s v="DISMISSED"/>
    <n v="2"/>
    <n v="2"/>
    <n v="0"/>
    <n v="0"/>
    <m/>
    <m/>
    <m/>
    <m/>
    <m/>
    <m/>
    <m/>
    <m/>
    <m/>
    <d v="1994-12-28T00:00:00"/>
    <s v="F"/>
    <s v="W"/>
    <s v="WHITE"/>
    <s v="NULL"/>
    <s v="177"/>
    <s v="DISMISSED"/>
    <n v="1"/>
    <s v="DISMISSED"/>
    <m/>
    <m/>
    <m/>
    <s v="POSS W/INT DEL CS PG1&gt;=4 &lt;200"/>
    <m/>
    <s v="F1"/>
    <s v="SALE DRUG"/>
    <m/>
    <m/>
    <m/>
    <m/>
    <m/>
    <m/>
    <m/>
    <m/>
    <m/>
    <s v="Appointed Attorney"/>
    <m/>
    <m/>
    <n v="2"/>
    <n v="2"/>
    <n v="2"/>
    <n v="17.139344262295083"/>
    <n v="0"/>
    <n v="0"/>
    <s v="NO CONVICTION"/>
    <x v="0"/>
    <s v="N"/>
    <m/>
    <s v="NO 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1629"/>
    <s v="N"/>
    <s v="N"/>
    <n v="2607247"/>
    <n v="1"/>
    <d v="2012-03-01T00:00:00"/>
    <d v="2012-03-13T00:00:00"/>
    <n v="2607247"/>
    <d v="2012-03-01T00:00:00"/>
    <d v="2012-03-04T00:00:00"/>
    <n v="3000"/>
    <x v="4"/>
    <d v="2012-03-04T00:00:00"/>
    <s v="Y"/>
    <s v="SURETY"/>
    <s v="DISMISSED"/>
    <n v="4"/>
    <n v="13"/>
    <n v="0"/>
    <n v="0"/>
    <n v="1"/>
    <m/>
    <m/>
    <m/>
    <m/>
    <m/>
    <m/>
    <m/>
    <m/>
    <d v="1985-02-28T00:00:00"/>
    <s v="M"/>
    <s v="B"/>
    <s v="BLACK"/>
    <s v="NULL"/>
    <s v="185"/>
    <s v="DISMISSED"/>
    <n v="2"/>
    <s v="DISMISSED"/>
    <m/>
    <m/>
    <m/>
    <s v="AGG ASSAULT-FAMILY MEMBER"/>
    <m/>
    <s v="F2"/>
    <s v="ASLT-MURDR"/>
    <s v="misd assault 3/12/12 pend"/>
    <m/>
    <m/>
    <m/>
    <m/>
    <m/>
    <m/>
    <m/>
    <m/>
    <s v="Appointed Attorney"/>
    <m/>
    <m/>
    <n v="4"/>
    <n v="13"/>
    <n v="13"/>
    <n v="26.948087431693988"/>
    <n v="0"/>
    <n v="-9"/>
    <s v="NO CONVICTION"/>
    <x v="1"/>
    <s v="Y"/>
    <m/>
    <s v="NO CONVICTION"/>
    <s v="Y"/>
    <x v="1"/>
    <x v="0"/>
    <s v="N"/>
    <n v="0.30769230769230771"/>
    <n v="0.30769230769230771"/>
    <n v="0"/>
    <n v="0"/>
    <n v="-4"/>
    <n v="0"/>
    <n v="4"/>
    <e v="#VALUE!"/>
    <n v="4"/>
    <n v="0"/>
    <m/>
    <m/>
    <s v="Y"/>
    <m/>
    <s v="0-10 DAYS"/>
    <n v="1"/>
    <x v="0"/>
  </r>
  <r>
    <n v="1631"/>
    <s v="N"/>
    <s v="N"/>
    <n v="2607252"/>
    <n v="2"/>
    <d v="2012-03-01T00:00:00"/>
    <d v="2012-05-31T00:00:00"/>
    <n v="2607252"/>
    <d v="2012-03-01T00:00:00"/>
    <d v="2012-03-18T00:00:00"/>
    <n v="7000"/>
    <x v="3"/>
    <d v="2012-03-18T00:00:00"/>
    <s v="Y"/>
    <s v="SURETYPTRc"/>
    <s v="DEFERRED ADJUDICATION "/>
    <n v="18"/>
    <n v="92"/>
    <n v="0"/>
    <n v="0"/>
    <m/>
    <m/>
    <m/>
    <m/>
    <m/>
    <m/>
    <m/>
    <m/>
    <m/>
    <d v="1989-05-05T00:00:00"/>
    <s v="M"/>
    <s v="W"/>
    <s v="WHITE"/>
    <s v="NULL"/>
    <s v="174"/>
    <s v="DEFERRED"/>
    <n v="6"/>
    <s v="DEFERRED"/>
    <m/>
    <m/>
    <m/>
    <s v="POSS CS PG 1  1 - 4 GRAMS"/>
    <m/>
    <s v="F3"/>
    <s v="POSS DRUG"/>
    <m/>
    <m/>
    <m/>
    <m/>
    <m/>
    <m/>
    <m/>
    <m/>
    <m/>
    <s v="Hired Attorney"/>
    <m/>
    <m/>
    <n v="18"/>
    <n v="92"/>
    <n v="92"/>
    <n v="22.775956284153004"/>
    <n v="0"/>
    <n v="-74"/>
    <s v="DEFERRED"/>
    <x v="1"/>
    <s v="Y"/>
    <m/>
    <s v="DEFERRED"/>
    <s v="Y"/>
    <x v="1"/>
    <x v="0"/>
    <s v="N"/>
    <n v="0.19565217391304349"/>
    <n v="0.19565217391304349"/>
    <n v="0"/>
    <n v="0"/>
    <n v="-18"/>
    <n v="0"/>
    <n v="18"/>
    <e v="#VALUE!"/>
    <n v="18"/>
    <n v="0"/>
    <m/>
    <m/>
    <s v="N"/>
    <m/>
    <s v="11-30 DAYS"/>
    <n v="2"/>
    <x v="0"/>
  </r>
  <r>
    <n v="1632"/>
    <s v="N"/>
    <s v="N"/>
    <n v="2607253"/>
    <n v="2"/>
    <d v="2012-03-01T00:00:00"/>
    <d v="2012-03-02T00:00:00"/>
    <n v="2607253"/>
    <d v="2012-03-01T00:00:00"/>
    <d v="2012-03-02T00:00:00"/>
    <n v="2000"/>
    <x v="5"/>
    <m/>
    <s v="N"/>
    <s v="NONE"/>
    <s v="DEFERRED ADJUDICATION "/>
    <n v="2"/>
    <n v="2"/>
    <n v="0"/>
    <n v="0"/>
    <m/>
    <m/>
    <m/>
    <m/>
    <m/>
    <m/>
    <m/>
    <s v="S"/>
    <m/>
    <d v="1993-09-25T00:00:00"/>
    <s v="F"/>
    <s v="H"/>
    <s v="HISPANIC"/>
    <s v="NULL"/>
    <s v="351"/>
    <s v="DEFERRED"/>
    <n v="1"/>
    <s v="DEFERRED"/>
    <m/>
    <m/>
    <m/>
    <s v="POSS CS PG 1 &lt;1G"/>
    <m/>
    <s v="FS"/>
    <s v="POSS DRUG"/>
    <s v="prob rev  FREP 6/28/12 stj 9 mos"/>
    <m/>
    <m/>
    <m/>
    <m/>
    <m/>
    <m/>
    <m/>
    <m/>
    <s v="Appointed Attorney"/>
    <m/>
    <m/>
    <n v="2"/>
    <n v="2"/>
    <n v="2"/>
    <n v="18.393442622950818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1634"/>
    <s v="Y"/>
    <s v="N"/>
    <n v="2607278"/>
    <n v="6"/>
    <d v="2012-03-01T00:00:00"/>
    <d v="2015-03-12T00:00:00"/>
    <n v="2607278"/>
    <d v="2014-08-20T00:00:00"/>
    <d v="2015-03-12T00:00:00"/>
    <s v="NO BOND"/>
    <x v="1"/>
    <m/>
    <s v="N"/>
    <s v="NONE"/>
    <s v="GUILTY PLEA - NO JURY"/>
    <n v="204"/>
    <n v="741"/>
    <n v="0"/>
    <n v="0"/>
    <m/>
    <m/>
    <m/>
    <m/>
    <m/>
    <m/>
    <m/>
    <m/>
    <m/>
    <d v="1989-02-17T00:00:00"/>
    <s v="M"/>
    <s v="B"/>
    <s v="BLACK"/>
    <s v="NULL"/>
    <s v="228"/>
    <s v="CONVICTED"/>
    <n v="6"/>
    <s v="TDC"/>
    <n v="2"/>
    <m/>
    <m/>
    <s v="BURGLARY OF HABITATION"/>
    <m/>
    <s v="F2"/>
    <s v="BURGLARY"/>
    <m/>
    <m/>
    <m/>
    <m/>
    <m/>
    <m/>
    <m/>
    <m/>
    <m/>
    <s v="Public Defender"/>
    <s v="2y tdc assault same disp date filed later"/>
    <m/>
    <n v="204"/>
    <n v="204"/>
    <n v="741"/>
    <n v="22.986338797814209"/>
    <n v="-42075"/>
    <n v="0"/>
    <s v="CONVICTION"/>
    <x v="0"/>
    <s v="N"/>
    <m/>
    <s v="CONVICTION"/>
    <s v="Y"/>
    <x v="0"/>
    <x v="0"/>
    <s v="N"/>
    <n v="0.27530364372469635"/>
    <n v="0.27529999999999999"/>
    <n v="0"/>
    <n v="0"/>
    <n v="-205"/>
    <n v="-1"/>
    <n v="204"/>
    <e v="#VALUE!"/>
    <n v="204"/>
    <m/>
    <m/>
    <m/>
    <s v="N"/>
    <e v="#N/A"/>
    <s v="121-365 DAYS"/>
    <n v="6"/>
    <x v="0"/>
  </r>
  <r>
    <n v="1636"/>
    <s v="N"/>
    <s v="N"/>
    <n v="2607301"/>
    <n v="5"/>
    <d v="2012-03-01T00:00:00"/>
    <d v="2012-03-05T00:00:00"/>
    <n v="2607301"/>
    <d v="2012-03-02T00:00:00"/>
    <d v="2012-03-05T00:00:00"/>
    <n v="5000"/>
    <x v="4"/>
    <m/>
    <s v="N"/>
    <s v="NONE"/>
    <s v="GUILTY PLEA - NO JURY"/>
    <n v="4"/>
    <n v="5"/>
    <n v="0"/>
    <n v="0"/>
    <m/>
    <m/>
    <m/>
    <m/>
    <m/>
    <m/>
    <m/>
    <m/>
    <m/>
    <d v="1983-02-14T00:00:00"/>
    <s v="M"/>
    <s v="W"/>
    <s v="WHITE"/>
    <s v="NULL"/>
    <s v="232"/>
    <s v="CONVICTED"/>
    <n v="1"/>
    <s v="STJ"/>
    <m/>
    <n v="8"/>
    <m/>
    <s v="BURGLARY OF A BUILDING"/>
    <m/>
    <s v="FS"/>
    <s v="BURGLARY"/>
    <m/>
    <m/>
    <m/>
    <m/>
    <m/>
    <m/>
    <m/>
    <m/>
    <m/>
    <s v="Appointed Attorney"/>
    <m/>
    <m/>
    <n v="4"/>
    <n v="4"/>
    <n v="5"/>
    <n v="28.983606557377048"/>
    <n v="0"/>
    <n v="0"/>
    <s v="CONVICTION"/>
    <x v="0"/>
    <s v="N"/>
    <m/>
    <s v="CONVICTION"/>
    <s v="Y"/>
    <x v="0"/>
    <x v="0"/>
    <s v="N"/>
    <n v="0.8"/>
    <n v="1"/>
    <n v="0.19999999999999996"/>
    <n v="0"/>
    <n v="-4"/>
    <n v="0"/>
    <n v="4"/>
    <e v="#VALUE!"/>
    <n v="4"/>
    <n v="0"/>
    <m/>
    <m/>
    <s v="N"/>
    <m/>
    <s v="0-10 DAYS"/>
    <n v="1"/>
    <x v="0"/>
  </r>
  <r>
    <n v="1643"/>
    <s v="N"/>
    <s v="N"/>
    <n v="2607313"/>
    <n v="1"/>
    <d v="2012-03-01T00:00:00"/>
    <d v="2012-08-31T00:00:00"/>
    <n v="2607313"/>
    <d v="2012-04-16T00:00:00"/>
    <d v="2012-04-17T00:00:00"/>
    <n v="5000"/>
    <x v="4"/>
    <d v="2012-04-17T00:00:00"/>
    <s v="Y"/>
    <s v="SURETY"/>
    <s v="DISMISSED"/>
    <n v="2"/>
    <n v="184"/>
    <n v="0"/>
    <n v="0"/>
    <m/>
    <m/>
    <m/>
    <m/>
    <m/>
    <m/>
    <m/>
    <m/>
    <m/>
    <d v="1961-01-03T00:00:00"/>
    <s v="M"/>
    <s v="W"/>
    <s v="WHITE"/>
    <s v="NULL"/>
    <s v="262"/>
    <s v="DISMISSED"/>
    <n v="7"/>
    <s v="DISMISSED"/>
    <m/>
    <m/>
    <m/>
    <s v="THEFT $1500-20K"/>
    <m/>
    <s v="FS"/>
    <s v="THEFT"/>
    <m/>
    <m/>
    <m/>
    <m/>
    <m/>
    <m/>
    <m/>
    <m/>
    <m/>
    <s v="Hired Attorney"/>
    <m/>
    <m/>
    <n v="2"/>
    <n v="138"/>
    <n v="184"/>
    <n v="51.051912568306008"/>
    <n v="0"/>
    <n v="-136"/>
    <s v="NO CONVICTION"/>
    <x v="1"/>
    <s v="Y"/>
    <m/>
    <s v="NO CONVICTION"/>
    <s v="Y"/>
    <x v="1"/>
    <x v="0"/>
    <s v="N"/>
    <n v="1.0869565217391304E-2"/>
    <n v="1.4492753623188406E-2"/>
    <n v="3.6231884057971019E-3"/>
    <n v="0"/>
    <n v="-2"/>
    <n v="0"/>
    <n v="2"/>
    <e v="#VALUE!"/>
    <n v="2"/>
    <n v="0"/>
    <m/>
    <m/>
    <s v="N"/>
    <m/>
    <s v="0-10 DAYS"/>
    <n v="1"/>
    <x v="0"/>
  </r>
  <r>
    <n v="1661"/>
    <s v="N"/>
    <s v="N"/>
    <n v="2607413"/>
    <n v="2"/>
    <d v="2012-03-02T00:00:00"/>
    <d v="2012-09-24T00:00:00"/>
    <n v="2607413"/>
    <s v="NOT BOOKED"/>
    <s v="NOT BOOKED"/>
    <n v="5000"/>
    <x v="4"/>
    <d v="2012-03-03T00:00:00"/>
    <s v="Y"/>
    <s v="SURETYPTRc"/>
    <s v="DEFERRED ADJUDICATION "/>
    <n v="0"/>
    <n v="207"/>
    <n v="0"/>
    <n v="0"/>
    <m/>
    <m/>
    <m/>
    <m/>
    <m/>
    <m/>
    <m/>
    <s v="S"/>
    <m/>
    <d v="1987-02-26T00:00:00"/>
    <s v="F"/>
    <s v="H"/>
    <s v="HISPANIC"/>
    <s v="NULL"/>
    <s v="230"/>
    <s v="DEFERRED"/>
    <n v="14"/>
    <s v="DEFERRED"/>
    <m/>
    <m/>
    <m/>
    <s v="INJURY CHILD UNDER 15 B/INJURY"/>
    <m/>
    <s v="F3"/>
    <s v="OTHER FEL"/>
    <m/>
    <m/>
    <m/>
    <m/>
    <m/>
    <m/>
    <m/>
    <m/>
    <m/>
    <s v="Hired Attorney"/>
    <m/>
    <m/>
    <n v="0"/>
    <n v="0"/>
    <n v="207"/>
    <n v="24.961748633879782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665"/>
    <s v="N"/>
    <s v="N"/>
    <n v="2607454"/>
    <n v="5"/>
    <d v="2012-03-02T00:00:00"/>
    <d v="2012-06-19T00:00:00"/>
    <n v="2607454"/>
    <d v="2012-03-02T00:00:00"/>
    <d v="2012-06-19T00:00:00"/>
    <n v="35000"/>
    <x v="2"/>
    <m/>
    <s v="N"/>
    <s v="NONE"/>
    <s v="GUILTY PLEA - NO JURY"/>
    <n v="110"/>
    <n v="110"/>
    <n v="0"/>
    <n v="0"/>
    <m/>
    <m/>
    <m/>
    <m/>
    <m/>
    <m/>
    <m/>
    <s v="S"/>
    <m/>
    <d v="1985-06-17T00:00:00"/>
    <s v="F"/>
    <s v="H"/>
    <s v="HISPANIC"/>
    <s v="NULL"/>
    <s v="176"/>
    <s v="CONVICTED"/>
    <n v="5"/>
    <s v="STJ"/>
    <m/>
    <n v="6"/>
    <m/>
    <s v="FORGERY"/>
    <m/>
    <s v="FS"/>
    <s v="OTHER FEL"/>
    <m/>
    <m/>
    <m/>
    <m/>
    <m/>
    <m/>
    <m/>
    <m/>
    <m/>
    <s v="Appointed Attorney"/>
    <m/>
    <m/>
    <n v="110"/>
    <n v="110"/>
    <n v="110"/>
    <n v="26.653005464480874"/>
    <n v="0"/>
    <n v="0"/>
    <s v="CONVICTION"/>
    <x v="0"/>
    <s v="N"/>
    <m/>
    <s v="CONVICTION"/>
    <s v="Y"/>
    <x v="0"/>
    <x v="0"/>
    <s v="N"/>
    <n v="1"/>
    <n v="1"/>
    <n v="0"/>
    <n v="0"/>
    <n v="-110"/>
    <n v="0"/>
    <n v="110"/>
    <e v="#VALUE!"/>
    <n v="110"/>
    <n v="0"/>
    <m/>
    <m/>
    <s v="N"/>
    <m/>
    <s v="91-120 DAYS"/>
    <n v="0"/>
    <x v="0"/>
  </r>
  <r>
    <n v="1666"/>
    <s v="N"/>
    <s v="N"/>
    <n v="2607457"/>
    <n v="3"/>
    <d v="2012-03-02T00:00:00"/>
    <d v="2012-10-31T00:00:00"/>
    <n v="2607457"/>
    <d v="2012-03-02T00:00:00"/>
    <d v="2012-03-03T00:00:00"/>
    <n v="2000"/>
    <x v="5"/>
    <d v="2012-03-03T00:00:00"/>
    <s v="Y"/>
    <s v="SURETY"/>
    <s v="GUILTY PLEA - NO JURY"/>
    <n v="2"/>
    <n v="244"/>
    <n v="0"/>
    <n v="0"/>
    <m/>
    <m/>
    <m/>
    <m/>
    <m/>
    <m/>
    <m/>
    <m/>
    <m/>
    <d v="1973-08-03T00:00:00"/>
    <s v="M"/>
    <s v="W"/>
    <s v="WHITE"/>
    <s v="NULL"/>
    <s v="182"/>
    <s v="CONVICTED"/>
    <n v="6"/>
    <s v="PROBATION"/>
    <m/>
    <m/>
    <m/>
    <s v="TAMPERING WITH RECORD"/>
    <m/>
    <s v="FS"/>
    <s v="OTHER FEL"/>
    <m/>
    <m/>
    <m/>
    <m/>
    <m/>
    <m/>
    <m/>
    <m/>
    <m/>
    <s v="Hired Attorney"/>
    <m/>
    <m/>
    <n v="2"/>
    <n v="244"/>
    <n v="244"/>
    <n v="38.5"/>
    <n v="0"/>
    <n v="-242"/>
    <s v="CONVICTION"/>
    <x v="1"/>
    <s v="Y"/>
    <m/>
    <s v="CONVICTION"/>
    <s v="Y"/>
    <x v="1"/>
    <x v="0"/>
    <s v="N"/>
    <n v="8.1967213114754103E-3"/>
    <n v="8.1967213114754103E-3"/>
    <n v="0"/>
    <n v="0"/>
    <n v="-2"/>
    <n v="0"/>
    <n v="2"/>
    <e v="#VALUE!"/>
    <n v="2"/>
    <n v="0"/>
    <m/>
    <m/>
    <s v="N"/>
    <m/>
    <s v="0-10 DAYS"/>
    <n v="1"/>
    <x v="0"/>
  </r>
  <r>
    <n v="1681"/>
    <s v="N"/>
    <s v="N"/>
    <n v="2607560"/>
    <n v="2"/>
    <d v="2012-03-02T00:00:00"/>
    <d v="2012-09-27T00:00:00"/>
    <n v="2607560"/>
    <d v="2012-04-18T00:00:00"/>
    <d v="2012-04-20T00:00:00"/>
    <n v="2000"/>
    <x v="5"/>
    <d v="2012-04-20T00:00:00"/>
    <s v="Y"/>
    <s v="SURETY"/>
    <s v="DEFERRED ADJUDICATION "/>
    <n v="3"/>
    <n v="210"/>
    <n v="0"/>
    <n v="0"/>
    <m/>
    <m/>
    <m/>
    <m/>
    <m/>
    <m/>
    <m/>
    <m/>
    <m/>
    <d v="1990-05-17T00:00:00"/>
    <s v="F"/>
    <s v="B"/>
    <s v="BLACK"/>
    <s v="NULL"/>
    <s v="351"/>
    <s v="DEFERRED"/>
    <n v="13"/>
    <s v="DEFERRED"/>
    <m/>
    <m/>
    <m/>
    <s v="ENDANGERING A CHILD"/>
    <m/>
    <s v="FS"/>
    <s v="OTHER FEL"/>
    <m/>
    <m/>
    <m/>
    <m/>
    <m/>
    <m/>
    <m/>
    <m/>
    <m/>
    <s v="Hired Attorney"/>
    <m/>
    <m/>
    <n v="3"/>
    <n v="163"/>
    <n v="210"/>
    <n v="21.748633879781419"/>
    <n v="0"/>
    <n v="-160"/>
    <s v="DEFERRED"/>
    <x v="1"/>
    <s v="Y"/>
    <m/>
    <s v="DEFERRED"/>
    <s v="Y"/>
    <x v="1"/>
    <x v="0"/>
    <s v="N"/>
    <n v="1.4285714285714285E-2"/>
    <n v="1.8404907975460124E-2"/>
    <n v="4.1191936897458387E-3"/>
    <n v="0"/>
    <n v="-3"/>
    <n v="0"/>
    <n v="3"/>
    <e v="#VALUE!"/>
    <n v="3"/>
    <n v="0"/>
    <m/>
    <m/>
    <s v="N"/>
    <m/>
    <s v="0-10 DAYS"/>
    <n v="1"/>
    <x v="0"/>
  </r>
  <r>
    <n v="1690"/>
    <s v="N"/>
    <s v="N"/>
    <n v="2607693"/>
    <n v="6"/>
    <d v="2012-03-03T00:00:00"/>
    <d v="2012-03-05T00:00:00"/>
    <n v="2607693"/>
    <d v="2012-03-03T00:00:00"/>
    <d v="2012-03-05T00:00:00"/>
    <n v="10000"/>
    <x v="3"/>
    <m/>
    <s v="N"/>
    <s v="NONE"/>
    <s v="GUILTY PLEA - NO JURY"/>
    <n v="3"/>
    <n v="3"/>
    <n v="0"/>
    <n v="0"/>
    <m/>
    <m/>
    <m/>
    <m/>
    <m/>
    <m/>
    <m/>
    <m/>
    <m/>
    <d v="1964-09-13T00:00:00"/>
    <s v="M"/>
    <s v="B"/>
    <s v="BLACK"/>
    <s v="NULL"/>
    <s v="178"/>
    <s v="CONVICTED"/>
    <n v="1"/>
    <s v="TDC"/>
    <n v="2"/>
    <m/>
    <m/>
    <s v="POSS MARIJ  5 - 50 LBS."/>
    <m/>
    <s v="F3"/>
    <s v="POSS DRUG"/>
    <m/>
    <m/>
    <m/>
    <m/>
    <m/>
    <m/>
    <m/>
    <m/>
    <m/>
    <s v="Appointed Attorney"/>
    <m/>
    <m/>
    <n v="3"/>
    <n v="3"/>
    <n v="3"/>
    <n v="47.37158469945355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1699"/>
    <s v="N"/>
    <s v="N"/>
    <n v="2607748"/>
    <n v="2"/>
    <d v="2012-03-04T00:00:00"/>
    <d v="2012-03-05T00:00:00"/>
    <n v="2607748"/>
    <d v="2012-03-04T00:00:00"/>
    <d v="2012-03-05T00:00:00"/>
    <n v="5000"/>
    <x v="4"/>
    <m/>
    <s v="N"/>
    <s v="NONE"/>
    <s v="DEFERRED ADJUDICATION "/>
    <n v="2"/>
    <n v="2"/>
    <n v="0"/>
    <n v="0"/>
    <m/>
    <m/>
    <m/>
    <m/>
    <m/>
    <m/>
    <m/>
    <s v="S"/>
    <m/>
    <d v="1989-06-24T00:00:00"/>
    <s v="F"/>
    <s v="H"/>
    <s v="HISPANIC"/>
    <s v="NULL"/>
    <s v="351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2"/>
    <n v="2"/>
    <n v="2"/>
    <n v="22.647540983606557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1710"/>
    <s v="N"/>
    <s v="N"/>
    <n v="2607798"/>
    <n v="4"/>
    <d v="2012-03-04T00:00:00"/>
    <d v="2012-10-03T00:00:00"/>
    <n v="2607798"/>
    <s v="NOT BOOKED"/>
    <s v="NOT BOOKED"/>
    <n v="5000"/>
    <x v="4"/>
    <d v="2012-03-05T00:00:00"/>
    <s v="Y"/>
    <s v="SURETYPTRc"/>
    <s v="GUILTY PLEA - NO JURY"/>
    <n v="0"/>
    <n v="214"/>
    <n v="0"/>
    <n v="0"/>
    <m/>
    <m/>
    <m/>
    <m/>
    <m/>
    <m/>
    <m/>
    <m/>
    <m/>
    <d v="1990-04-14T00:00:00"/>
    <s v="M"/>
    <s v="W"/>
    <s v="WHITE"/>
    <s v="NULL"/>
    <s v="337"/>
    <s v="CONVICTED"/>
    <n v="9"/>
    <s v="HCJ"/>
    <m/>
    <m/>
    <n v="3"/>
    <s v="ASSAULT-BOD INJ-PUB SERV/RETAL"/>
    <m/>
    <s v="F3"/>
    <s v="ASLT-MURDR"/>
    <m/>
    <m/>
    <m/>
    <m/>
    <m/>
    <m/>
    <m/>
    <m/>
    <m/>
    <s v="Hired Attorney"/>
    <m/>
    <m/>
    <n v="0"/>
    <n v="0"/>
    <n v="214"/>
    <n v="21.844262295081968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709"/>
    <s v="N"/>
    <s v="N"/>
    <n v="2607799"/>
    <n v="2"/>
    <d v="2012-03-04T00:00:00"/>
    <d v="2012-05-17T00:00:00"/>
    <n v="2607799"/>
    <d v="2012-03-04T00:00:00"/>
    <d v="2012-05-17T00:00:00"/>
    <n v="30000"/>
    <x v="2"/>
    <m/>
    <s v="N"/>
    <s v="NONE"/>
    <s v="DEFERRED ADJUDICATION "/>
    <n v="75"/>
    <n v="75"/>
    <n v="0"/>
    <n v="0"/>
    <m/>
    <m/>
    <m/>
    <m/>
    <m/>
    <m/>
    <m/>
    <m/>
    <m/>
    <d v="1978-11-17T00:00:00"/>
    <s v="M"/>
    <s v="B"/>
    <s v="BLACK"/>
    <s v="NULL"/>
    <s v="183"/>
    <s v="DEFERRED"/>
    <n v="4"/>
    <s v="DEFERRED"/>
    <m/>
    <m/>
    <m/>
    <s v="AGG ASSAULT-FAMILY MEMBER"/>
    <m/>
    <s v="F2"/>
    <s v="ASLT-MURDR"/>
    <s v="law vio 9/14/12  motion to revoke pend"/>
    <s v="bk 9/19/12"/>
    <m/>
    <m/>
    <m/>
    <m/>
    <m/>
    <m/>
    <m/>
    <s v="Appointed Attorney"/>
    <m/>
    <m/>
    <n v="75"/>
    <n v="75"/>
    <n v="75"/>
    <n v="33.22677595628415"/>
    <n v="0"/>
    <n v="0"/>
    <s v="DEFERRED"/>
    <x v="0"/>
    <s v="N"/>
    <m/>
    <s v="DEFERRED"/>
    <s v="Y"/>
    <x v="0"/>
    <x v="0"/>
    <s v="N"/>
    <n v="1"/>
    <n v="1"/>
    <n v="0"/>
    <n v="0"/>
    <n v="-75"/>
    <n v="0"/>
    <n v="75"/>
    <e v="#VALUE!"/>
    <n v="75"/>
    <n v="0"/>
    <m/>
    <m/>
    <s v="N"/>
    <m/>
    <s v="61-90 DAYS"/>
    <n v="4"/>
    <x v="0"/>
  </r>
  <r>
    <n v="1713"/>
    <s v="N"/>
    <s v="N"/>
    <n v="2607813"/>
    <n v="1"/>
    <d v="2012-03-04T00:00:00"/>
    <d v="2012-09-12T00:00:00"/>
    <n v="2607813"/>
    <d v="2012-03-05T00:00:00"/>
    <d v="2012-09-12T00:00:00"/>
    <n v="35000"/>
    <x v="2"/>
    <m/>
    <s v="N"/>
    <s v="NONE"/>
    <s v="DISMISSED"/>
    <n v="192"/>
    <n v="193"/>
    <n v="0"/>
    <n v="1"/>
    <m/>
    <m/>
    <m/>
    <m/>
    <m/>
    <m/>
    <m/>
    <s v="S"/>
    <m/>
    <d v="1977-09-24T00:00:00"/>
    <s v="M"/>
    <s v="H"/>
    <s v="HISPANIC"/>
    <s v="NULL"/>
    <s v="339"/>
    <s v="DISMISSED"/>
    <n v="4"/>
    <s v="DISMISSED"/>
    <m/>
    <m/>
    <m/>
    <s v="POSS CS PG 1 &lt;1G"/>
    <m/>
    <s v="FS"/>
    <s v="POSS DRUG"/>
    <m/>
    <m/>
    <m/>
    <m/>
    <m/>
    <m/>
    <m/>
    <m/>
    <m/>
    <s v="Public Defender"/>
    <m/>
    <m/>
    <n v="192"/>
    <n v="192"/>
    <n v="193"/>
    <n v="34.37158469945355"/>
    <n v="0"/>
    <n v="0"/>
    <s v="NO CONVICTION"/>
    <x v="0"/>
    <s v="N"/>
    <m/>
    <s v="NO CONVICTION"/>
    <s v="Y"/>
    <x v="0"/>
    <x v="0"/>
    <s v="N"/>
    <n v="0.99481865284974091"/>
    <n v="1"/>
    <n v="5.1813471502590858E-3"/>
    <n v="0"/>
    <n v="-192"/>
    <n v="0"/>
    <n v="192"/>
    <e v="#VALUE!"/>
    <n v="192"/>
    <n v="0"/>
    <m/>
    <m/>
    <s v="Y"/>
    <m/>
    <s v="121-365 DAYS"/>
    <n v="6"/>
    <x v="0"/>
  </r>
  <r>
    <n v="1714"/>
    <s v="N"/>
    <s v="N"/>
    <n v="2607814"/>
    <n v="1"/>
    <d v="2012-03-04T00:00:00"/>
    <d v="2012-06-27T00:00:00"/>
    <n v="2607814"/>
    <s v="NOT BOOKED"/>
    <s v="NOT BOOKED"/>
    <n v="2000"/>
    <x v="5"/>
    <d v="2012-03-05T00:00:00"/>
    <s v="Y"/>
    <s v="SURETY"/>
    <s v="DISMISSED"/>
    <n v="0"/>
    <n v="116"/>
    <n v="0"/>
    <n v="0"/>
    <m/>
    <m/>
    <m/>
    <m/>
    <m/>
    <m/>
    <m/>
    <s v="S"/>
    <m/>
    <d v="1977-01-12T00:00:00"/>
    <s v="M"/>
    <s v="H"/>
    <s v="HISPANIC"/>
    <s v="NULL"/>
    <s v="184"/>
    <s v="DISMISSED"/>
    <n v="7"/>
    <s v="DISMISSED"/>
    <m/>
    <m/>
    <m/>
    <s v="THEFT $1500-20K"/>
    <m/>
    <s v="FS"/>
    <s v="THEFT"/>
    <m/>
    <m/>
    <m/>
    <m/>
    <m/>
    <m/>
    <m/>
    <m/>
    <m/>
    <s v="Hired Attorney"/>
    <m/>
    <m/>
    <n v="0"/>
    <n v="0"/>
    <n v="116"/>
    <n v="35.068306010928964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718"/>
    <s v="N"/>
    <s v="N"/>
    <n v="2607848"/>
    <n v="2"/>
    <d v="2012-03-04T00:00:00"/>
    <d v="2012-07-12T00:00:00"/>
    <n v="2607848"/>
    <d v="2012-03-05T00:00:00"/>
    <d v="2012-03-07T00:00:00"/>
    <n v="5000"/>
    <x v="4"/>
    <d v="2012-03-07T00:00:00"/>
    <s v="Y"/>
    <s v="SURETY"/>
    <s v="DEFERRED ADJUDICATION "/>
    <n v="3"/>
    <n v="131"/>
    <n v="0"/>
    <n v="2"/>
    <m/>
    <m/>
    <m/>
    <m/>
    <m/>
    <m/>
    <m/>
    <m/>
    <m/>
    <d v="1973-07-12T00:00:00"/>
    <s v="M"/>
    <s v="W"/>
    <s v="WHITE"/>
    <s v="NULL"/>
    <s v="177"/>
    <s v="DEFERRED"/>
    <n v="5"/>
    <s v="DEFERRED"/>
    <m/>
    <m/>
    <m/>
    <s v="POSS CS PG 1  1 - 4 GRAMS"/>
    <m/>
    <s v="F3"/>
    <s v="POSS DRUG"/>
    <m/>
    <m/>
    <m/>
    <m/>
    <m/>
    <m/>
    <m/>
    <m/>
    <m/>
    <s v="Hired Attorney"/>
    <m/>
    <m/>
    <n v="3"/>
    <n v="130"/>
    <n v="131"/>
    <n v="38.565573770491802"/>
    <n v="0"/>
    <n v="-127"/>
    <s v="DEFERRED"/>
    <x v="1"/>
    <s v="Y"/>
    <m/>
    <s v="DEFERRED"/>
    <s v="Y"/>
    <x v="1"/>
    <x v="0"/>
    <s v="N"/>
    <n v="2.2900763358778626E-2"/>
    <n v="2.3076923076923078E-2"/>
    <n v="1.7615971814445228E-4"/>
    <n v="0"/>
    <n v="-3"/>
    <n v="0"/>
    <n v="3"/>
    <e v="#VALUE!"/>
    <n v="3"/>
    <n v="0"/>
    <m/>
    <m/>
    <s v="Y"/>
    <m/>
    <s v="0-10 DAYS"/>
    <n v="1"/>
    <x v="0"/>
  </r>
  <r>
    <n v="1719"/>
    <s v="N"/>
    <s v="N"/>
    <n v="2607849"/>
    <n v="4"/>
    <d v="2012-03-04T00:00:00"/>
    <d v="2012-04-17T00:00:00"/>
    <n v="2607849"/>
    <d v="2012-03-05T00:00:00"/>
    <d v="2012-04-17T00:00:00"/>
    <n v="5000"/>
    <x v="4"/>
    <m/>
    <s v="N"/>
    <s v="NONE"/>
    <s v="GUILTY PLEA - NO JURY"/>
    <n v="44"/>
    <n v="45"/>
    <n v="0"/>
    <n v="0"/>
    <m/>
    <m/>
    <m/>
    <m/>
    <m/>
    <m/>
    <m/>
    <m/>
    <m/>
    <d v="1979-02-12T00:00:00"/>
    <s v="M"/>
    <s v="W"/>
    <s v="WHITE"/>
    <s v="NULL"/>
    <s v="232"/>
    <s v="CONVICTED"/>
    <n v="3"/>
    <s v="HCJ"/>
    <m/>
    <m/>
    <n v="180"/>
    <s v="THEFT UNDER $1500 - 3RD OFF."/>
    <m/>
    <s v="FS"/>
    <s v="THEFT"/>
    <s v="misd conv 8/3/12 trespass 40 daya hcj"/>
    <m/>
    <m/>
    <m/>
    <m/>
    <m/>
    <m/>
    <m/>
    <m/>
    <s v="Appointed Attorney"/>
    <m/>
    <m/>
    <n v="44"/>
    <n v="44"/>
    <n v="45"/>
    <n v="32.989071038251367"/>
    <n v="0"/>
    <n v="0"/>
    <s v="CONVICTION"/>
    <x v="0"/>
    <s v="N"/>
    <m/>
    <s v="CONVICTION"/>
    <s v="Y"/>
    <x v="0"/>
    <x v="0"/>
    <s v="N"/>
    <n v="0.97777777777777775"/>
    <n v="1"/>
    <n v="2.2222222222222254E-2"/>
    <n v="0"/>
    <n v="-44"/>
    <n v="0"/>
    <n v="44"/>
    <e v="#VALUE!"/>
    <n v="44"/>
    <n v="0"/>
    <m/>
    <m/>
    <s v="N"/>
    <m/>
    <s v="31-60 DAYS"/>
    <n v="3"/>
    <x v="0"/>
  </r>
  <r>
    <n v="1728"/>
    <s v="N"/>
    <s v="N"/>
    <n v="2607884"/>
    <n v="6"/>
    <d v="2012-03-05T00:00:00"/>
    <d v="2012-03-27T00:00:00"/>
    <n v="2607884"/>
    <d v="2012-03-05T00:00:00"/>
    <d v="2012-03-27T00:00:00"/>
    <n v="35000"/>
    <x v="2"/>
    <m/>
    <s v="N"/>
    <s v="NONE"/>
    <s v="GUILTY PLEA - NO JURY"/>
    <n v="23"/>
    <n v="23"/>
    <n v="0"/>
    <n v="1"/>
    <m/>
    <m/>
    <m/>
    <m/>
    <m/>
    <m/>
    <m/>
    <s v="S"/>
    <m/>
    <d v="1987-05-18T00:00:00"/>
    <s v="M"/>
    <s v="H"/>
    <s v="HISPANIC"/>
    <s v="NULL"/>
    <s v="185"/>
    <s v="CONVICTED"/>
    <n v="2"/>
    <s v="TDC"/>
    <n v="2"/>
    <m/>
    <m/>
    <s v="UNLAW CARRY WPN-LIC PREMISE"/>
    <m/>
    <s v="F3"/>
    <s v="OTHER FEL"/>
    <m/>
    <m/>
    <m/>
    <m/>
    <m/>
    <m/>
    <m/>
    <m/>
    <m/>
    <s v="Public Defender"/>
    <m/>
    <m/>
    <n v="23"/>
    <n v="23"/>
    <n v="23"/>
    <n v="24.748633879781419"/>
    <n v="0"/>
    <n v="0"/>
    <s v="CONVICTION"/>
    <x v="0"/>
    <s v="N"/>
    <m/>
    <s v="CONVICTION"/>
    <s v="Y"/>
    <x v="0"/>
    <x v="0"/>
    <s v="N"/>
    <n v="1"/>
    <n v="1"/>
    <n v="0"/>
    <n v="0"/>
    <n v="-23"/>
    <n v="0"/>
    <n v="23"/>
    <e v="#VALUE!"/>
    <n v="23"/>
    <n v="0"/>
    <m/>
    <m/>
    <s v="Y"/>
    <m/>
    <s v="11-30 DAYS"/>
    <n v="2"/>
    <x v="0"/>
  </r>
  <r>
    <n v="1741"/>
    <s v="N"/>
    <s v="N"/>
    <n v="2608024"/>
    <n v="2"/>
    <d v="2012-03-05T00:00:00"/>
    <d v="2012-05-08T00:00:00"/>
    <n v="2608024"/>
    <d v="2012-03-05T00:00:00"/>
    <d v="2012-03-09T00:00:00"/>
    <n v="5000"/>
    <x v="4"/>
    <d v="2012-03-09T00:00:00"/>
    <s v="Y"/>
    <s v="SURETY"/>
    <s v="DEFERRED ADJUDICATION "/>
    <n v="5"/>
    <n v="65"/>
    <n v="0"/>
    <n v="0"/>
    <m/>
    <m/>
    <m/>
    <m/>
    <m/>
    <m/>
    <m/>
    <m/>
    <m/>
    <d v="1991-01-21T00:00:00"/>
    <s v="M"/>
    <s v="B"/>
    <s v="BLACK"/>
    <s v="NULL"/>
    <s v="183"/>
    <s v="DEFERRED"/>
    <n v="4"/>
    <s v="DEFERRED"/>
    <m/>
    <m/>
    <m/>
    <s v="ATT BURGLARY HABITATION"/>
    <m/>
    <s v="F3"/>
    <s v="BURGLARY"/>
    <m/>
    <m/>
    <m/>
    <m/>
    <m/>
    <m/>
    <m/>
    <m/>
    <m/>
    <s v="Appointed Attorney"/>
    <m/>
    <m/>
    <n v="5"/>
    <n v="65"/>
    <n v="65"/>
    <n v="21.076502732240439"/>
    <n v="0"/>
    <n v="-60"/>
    <s v="DEFERRED"/>
    <x v="1"/>
    <s v="Y"/>
    <m/>
    <s v="DEFERRED"/>
    <s v="Y"/>
    <x v="1"/>
    <x v="0"/>
    <s v="N"/>
    <n v="7.6923076923076927E-2"/>
    <n v="7.6923076923076927E-2"/>
    <n v="0"/>
    <n v="0"/>
    <n v="-5"/>
    <n v="0"/>
    <n v="5"/>
    <e v="#VALUE!"/>
    <n v="5"/>
    <n v="0"/>
    <m/>
    <m/>
    <s v="N"/>
    <m/>
    <s v="0-10 DAYS"/>
    <n v="1"/>
    <x v="0"/>
  </r>
  <r>
    <n v="1736"/>
    <s v="Y"/>
    <s v="N"/>
    <n v="2608025"/>
    <n v="2"/>
    <d v="2012-03-05T00:00:00"/>
    <d v="2013-08-14T00:00:00"/>
    <n v="2608025"/>
    <d v="2012-03-06T00:00:00"/>
    <d v="2012-03-31T00:00:00"/>
    <n v="100000"/>
    <x v="2"/>
    <d v="2012-03-31T00:00:00"/>
    <s v="Y"/>
    <s v="SURETYPTRc"/>
    <s v="DEFERRED ADJUDICATION "/>
    <n v="26"/>
    <n v="528"/>
    <n v="0"/>
    <n v="0"/>
    <m/>
    <m/>
    <m/>
    <m/>
    <m/>
    <m/>
    <m/>
    <s v="S"/>
    <m/>
    <d v="1987-06-08T00:00:00"/>
    <s v="F"/>
    <s v="H"/>
    <s v="HISPANIC"/>
    <s v="NULL"/>
    <s v="179"/>
    <s v="DEFERRED"/>
    <n v="19"/>
    <s v="DEFERRED"/>
    <m/>
    <m/>
    <m/>
    <s v="SOLICIT CAPITAL MURDER"/>
    <m/>
    <s v="F1"/>
    <s v="OTHER FEL"/>
    <s v="FAIL TO REPORT"/>
    <m/>
    <m/>
    <m/>
    <m/>
    <m/>
    <m/>
    <m/>
    <m/>
    <s v="Hired Attorney"/>
    <s v="FTR 11/25/13  FUGITIVE"/>
    <m/>
    <n v="26"/>
    <n v="527"/>
    <n v="528"/>
    <n v="24.691256830601095"/>
    <n v="0"/>
    <n v="-501"/>
    <s v="DEFERRED"/>
    <x v="1"/>
    <s v="Y"/>
    <m/>
    <s v="DEFERRED"/>
    <s v="Y"/>
    <x v="1"/>
    <x v="0"/>
    <s v="N"/>
    <n v="4.924242424242424E-2"/>
    <n v="4.9335863377609111E-2"/>
    <n v="9.3439135184870958E-5"/>
    <n v="0"/>
    <n v="-26"/>
    <n v="0"/>
    <n v="26"/>
    <e v="#VALUE!"/>
    <n v="26"/>
    <n v="0"/>
    <m/>
    <m/>
    <s v="N"/>
    <m/>
    <s v="11-30 DAYS"/>
    <n v="2"/>
    <x v="0"/>
  </r>
  <r>
    <n v="1740"/>
    <s v="N"/>
    <s v="N"/>
    <n v="2608040"/>
    <n v="2"/>
    <d v="2012-03-05T00:00:00"/>
    <d v="2012-08-09T00:00:00"/>
    <n v="2608040"/>
    <d v="2012-03-06T00:00:00"/>
    <d v="2012-03-10T00:00:00"/>
    <n v="20000"/>
    <x v="0"/>
    <d v="2012-03-10T00:00:00"/>
    <s v="Y"/>
    <s v="SURETY"/>
    <s v="DEFERRED ADJUDICATION "/>
    <n v="5"/>
    <n v="158"/>
    <n v="0"/>
    <n v="0"/>
    <m/>
    <m/>
    <m/>
    <m/>
    <m/>
    <m/>
    <m/>
    <m/>
    <m/>
    <d v="1943-08-23T00:00:00"/>
    <s v="M"/>
    <s v="B"/>
    <s v="BLACK"/>
    <s v="NULL"/>
    <s v="177"/>
    <s v="DEFERRED"/>
    <n v="6"/>
    <s v="DEFERRED"/>
    <m/>
    <m/>
    <m/>
    <s v="AGG ASSAULT-FAMILY MEMBER"/>
    <m/>
    <s v="F2"/>
    <s v="ASLT-MURDR"/>
    <m/>
    <m/>
    <m/>
    <m/>
    <m/>
    <m/>
    <m/>
    <m/>
    <m/>
    <s v="Hired Attorney"/>
    <m/>
    <m/>
    <n v="5"/>
    <n v="157"/>
    <n v="158"/>
    <n v="68.393442622950815"/>
    <n v="0"/>
    <n v="-152"/>
    <s v="DEFERRED"/>
    <x v="1"/>
    <s v="Y"/>
    <m/>
    <s v="DEFERRED"/>
    <s v="Y"/>
    <x v="1"/>
    <x v="0"/>
    <s v="N"/>
    <n v="3.1645569620253167E-2"/>
    <n v="3.1847133757961783E-2"/>
    <n v="2.0156413770861664E-4"/>
    <n v="0"/>
    <n v="-5"/>
    <n v="0"/>
    <n v="5"/>
    <e v="#VALUE!"/>
    <n v="5"/>
    <n v="0"/>
    <m/>
    <m/>
    <s v="N"/>
    <m/>
    <s v="0-10 DAYS"/>
    <n v="1"/>
    <x v="0"/>
  </r>
  <r>
    <n v="1752"/>
    <s v="N"/>
    <s v="N"/>
    <n v="2608120"/>
    <n v="2"/>
    <d v="2012-03-06T00:00:00"/>
    <d v="2012-04-03T00:00:00"/>
    <n v="2608120"/>
    <s v="NOT BOOKED"/>
    <s v="NOT BOOKED"/>
    <n v="2000"/>
    <x v="5"/>
    <d v="2012-03-09T00:00:00"/>
    <s v="Y"/>
    <s v="SURETY"/>
    <s v="DEFERRED ADJUDICATION "/>
    <n v="0"/>
    <n v="29"/>
    <n v="0"/>
    <n v="0"/>
    <m/>
    <m/>
    <m/>
    <m/>
    <m/>
    <m/>
    <m/>
    <s v="S"/>
    <m/>
    <d v="1987-12-02T00:00:00"/>
    <s v="F"/>
    <s v="H"/>
    <s v="HISPANIC"/>
    <s v="NULL"/>
    <s v="262"/>
    <s v="DEFERRED"/>
    <n v="3"/>
    <s v="DEFERRED"/>
    <m/>
    <m/>
    <m/>
    <s v="THEFT $1500-20K"/>
    <m/>
    <s v="FS"/>
    <s v="THEFT"/>
    <m/>
    <m/>
    <m/>
    <m/>
    <m/>
    <m/>
    <m/>
    <m/>
    <m/>
    <s v="Hired Attorney"/>
    <m/>
    <m/>
    <n v="0"/>
    <n v="0"/>
    <n v="29"/>
    <n v="24.210382513661202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761"/>
    <s v="N"/>
    <s v="N"/>
    <n v="2608171"/>
    <n v="2"/>
    <d v="2012-03-06T00:00:00"/>
    <d v="2012-05-31T00:00:00"/>
    <n v="2608171"/>
    <d v="2012-03-07T00:00:00"/>
    <d v="2012-05-31T00:00:00"/>
    <n v="10000"/>
    <x v="3"/>
    <m/>
    <s v="N"/>
    <s v="NONE"/>
    <s v="DEFERRED ADJUDICATION "/>
    <n v="86"/>
    <n v="87"/>
    <n v="0"/>
    <n v="0"/>
    <m/>
    <m/>
    <m/>
    <m/>
    <m/>
    <m/>
    <m/>
    <m/>
    <m/>
    <d v="1994-06-14T00:00:00"/>
    <s v="M"/>
    <s v="B"/>
    <s v="BLACK"/>
    <s v="NULL"/>
    <s v="209"/>
    <s v="DEFERRED"/>
    <n v="4"/>
    <s v="DEFERRED"/>
    <m/>
    <m/>
    <m/>
    <s v="BURGLARY OF HABITATION"/>
    <m/>
    <s v="F2"/>
    <s v="BURGLARY"/>
    <s v="prob rev  law viol  evade arrest 9/6/12  tdc 2 yrs"/>
    <m/>
    <m/>
    <m/>
    <m/>
    <m/>
    <m/>
    <m/>
    <m/>
    <s v="Appointed Attorney"/>
    <m/>
    <m/>
    <n v="86"/>
    <n v="86"/>
    <n v="87"/>
    <n v="17.691256830601095"/>
    <n v="0"/>
    <n v="0"/>
    <s v="DEFERRED"/>
    <x v="0"/>
    <s v="N"/>
    <m/>
    <s v="DEFERRED"/>
    <s v="Y"/>
    <x v="0"/>
    <x v="0"/>
    <s v="N"/>
    <n v="0.9885057471264368"/>
    <n v="1"/>
    <n v="1.1494252873563204E-2"/>
    <n v="0"/>
    <n v="-86"/>
    <n v="0"/>
    <n v="86"/>
    <e v="#VALUE!"/>
    <n v="86"/>
    <n v="0"/>
    <m/>
    <m/>
    <s v="N"/>
    <m/>
    <s v="61-90 DAYS"/>
    <n v="4"/>
    <x v="0"/>
  </r>
  <r>
    <n v="1762"/>
    <s v="N"/>
    <s v="N"/>
    <n v="2608172"/>
    <n v="2"/>
    <d v="2012-03-06T00:00:00"/>
    <d v="2012-07-20T00:00:00"/>
    <n v="2608172"/>
    <d v="2012-03-07T00:00:00"/>
    <d v="2012-07-20T00:00:00"/>
    <n v="10000"/>
    <x v="3"/>
    <m/>
    <s v="N"/>
    <s v="NONE"/>
    <s v="DEFERRED ADJUDICATION "/>
    <n v="136"/>
    <n v="137"/>
    <n v="0"/>
    <n v="0"/>
    <m/>
    <m/>
    <m/>
    <m/>
    <m/>
    <m/>
    <m/>
    <s v="S"/>
    <m/>
    <d v="1994-10-07T00:00:00"/>
    <s v="M"/>
    <s v="H"/>
    <s v="HISPANIC"/>
    <s v="NULL"/>
    <s v="209"/>
    <s v="DEFERRED"/>
    <n v="7"/>
    <s v="DEFERRED"/>
    <m/>
    <m/>
    <m/>
    <s v="BURGLARY OF HABITATION"/>
    <m/>
    <s v="F2"/>
    <s v="BURGLARY"/>
    <m/>
    <m/>
    <m/>
    <m/>
    <m/>
    <m/>
    <m/>
    <m/>
    <m/>
    <s v="Appointed Attorney"/>
    <m/>
    <m/>
    <n v="136"/>
    <n v="136"/>
    <n v="137"/>
    <n v="17.377049180327869"/>
    <n v="0"/>
    <n v="0"/>
    <s v="DEFERRED"/>
    <x v="0"/>
    <s v="N"/>
    <m/>
    <s v="DEFERRED"/>
    <s v="Y"/>
    <x v="0"/>
    <x v="0"/>
    <s v="N"/>
    <n v="0.99270072992700731"/>
    <n v="1"/>
    <n v="7.2992700729926918E-3"/>
    <n v="0"/>
    <n v="-136"/>
    <n v="0"/>
    <n v="136"/>
    <e v="#VALUE!"/>
    <n v="136"/>
    <n v="0"/>
    <m/>
    <m/>
    <s v="N"/>
    <m/>
    <s v="121-365 DAYS"/>
    <n v="6"/>
    <x v="0"/>
  </r>
  <r>
    <n v="1771"/>
    <s v="N"/>
    <s v="N"/>
    <n v="2608199"/>
    <n v="6"/>
    <d v="2012-03-07T00:00:00"/>
    <d v="2012-06-27T00:00:00"/>
    <n v="2608199"/>
    <d v="2012-03-07T00:00:00"/>
    <d v="2012-06-27T00:00:00"/>
    <n v="10000"/>
    <x v="3"/>
    <m/>
    <s v="N"/>
    <s v="NONE"/>
    <s v="GUILTY PLEA - NO JURY"/>
    <n v="113"/>
    <n v="113"/>
    <n v="0"/>
    <n v="0"/>
    <m/>
    <m/>
    <m/>
    <m/>
    <m/>
    <m/>
    <m/>
    <m/>
    <m/>
    <d v="1994-07-09T00:00:00"/>
    <s v="M"/>
    <s v="B"/>
    <s v="BLACK"/>
    <s v="NULL"/>
    <s v="176"/>
    <s v="CONVICTED"/>
    <n v="4"/>
    <s v="TDC"/>
    <n v="2"/>
    <m/>
    <m/>
    <s v="BURGLARY OF HABITATION"/>
    <m/>
    <s v="F2"/>
    <s v="BURGLARY"/>
    <m/>
    <m/>
    <m/>
    <m/>
    <m/>
    <m/>
    <m/>
    <m/>
    <m/>
    <s v="Hired Attorney"/>
    <m/>
    <m/>
    <n v="113"/>
    <n v="113"/>
    <n v="113"/>
    <n v="17.625683060109289"/>
    <n v="0"/>
    <n v="0"/>
    <s v="CONVICTION"/>
    <x v="0"/>
    <s v="N"/>
    <m/>
    <s v="CONVICTION"/>
    <s v="Y"/>
    <x v="0"/>
    <x v="0"/>
    <s v="N"/>
    <n v="1"/>
    <n v="1"/>
    <n v="0"/>
    <n v="0"/>
    <n v="-113"/>
    <n v="0"/>
    <n v="113"/>
    <e v="#VALUE!"/>
    <n v="113"/>
    <n v="0"/>
    <m/>
    <m/>
    <s v="N"/>
    <m/>
    <s v="91-120 DAYS"/>
    <n v="0"/>
    <x v="0"/>
  </r>
  <r>
    <n v="1777"/>
    <s v="N"/>
    <s v="N"/>
    <n v="2608218"/>
    <n v="2"/>
    <d v="2012-03-07T00:00:00"/>
    <d v="2012-03-28T00:00:00"/>
    <n v="2608218"/>
    <d v="2012-03-07T00:00:00"/>
    <d v="2012-03-28T00:00:00"/>
    <n v="10000"/>
    <x v="3"/>
    <m/>
    <s v="N"/>
    <s v="NONE"/>
    <s v="DEFERRED ADJUDICATION "/>
    <n v="22"/>
    <n v="22"/>
    <n v="0"/>
    <n v="0"/>
    <m/>
    <m/>
    <m/>
    <m/>
    <m/>
    <m/>
    <m/>
    <m/>
    <m/>
    <d v="1993-04-17T00:00:00"/>
    <s v="F"/>
    <s v="W"/>
    <s v="WHITE"/>
    <s v="NULL"/>
    <s v="177"/>
    <s v="DEFERRED"/>
    <n v="2"/>
    <s v="DEFERRED"/>
    <m/>
    <m/>
    <m/>
    <s v="MAN/DEL CS PG II &lt; 1 GRAMS"/>
    <m/>
    <s v="FS"/>
    <s v="SALE DRUG"/>
    <m/>
    <m/>
    <m/>
    <m/>
    <m/>
    <m/>
    <m/>
    <m/>
    <m/>
    <s v="Appointed Attorney"/>
    <m/>
    <m/>
    <n v="22"/>
    <n v="22"/>
    <n v="22"/>
    <n v="18.849726775956285"/>
    <n v="0"/>
    <n v="0"/>
    <s v="DEFERRED"/>
    <x v="0"/>
    <s v="N"/>
    <m/>
    <s v="DEFERRED"/>
    <s v="Y"/>
    <x v="0"/>
    <x v="0"/>
    <s v="N"/>
    <n v="1"/>
    <n v="1"/>
    <n v="0"/>
    <n v="0"/>
    <n v="-22"/>
    <n v="0"/>
    <n v="22"/>
    <e v="#VALUE!"/>
    <n v="22"/>
    <n v="0"/>
    <m/>
    <m/>
    <s v="N"/>
    <m/>
    <s v="11-30 DAYS"/>
    <n v="2"/>
    <x v="0"/>
  </r>
  <r>
    <n v="1783"/>
    <s v="N"/>
    <s v="N"/>
    <n v="2608332"/>
    <n v="2"/>
    <d v="2012-03-07T00:00:00"/>
    <d v="2012-03-26T00:00:00"/>
    <n v="2608332"/>
    <d v="2012-03-07T00:00:00"/>
    <d v="2012-03-09T00:00:00"/>
    <n v="5000"/>
    <x v="4"/>
    <d v="2012-03-09T00:00:00"/>
    <s v="Y"/>
    <s v="PTRc"/>
    <s v="DEFERRED ADJUDICATION "/>
    <n v="3"/>
    <n v="20"/>
    <n v="0"/>
    <n v="0"/>
    <m/>
    <m/>
    <m/>
    <m/>
    <m/>
    <m/>
    <m/>
    <m/>
    <m/>
    <d v="1983-08-30T00:00:00"/>
    <s v="M"/>
    <s v="B"/>
    <s v="BLACK"/>
    <s v="NULL"/>
    <s v="248"/>
    <s v="DEFERRED"/>
    <n v="2"/>
    <s v="DEFERRED"/>
    <m/>
    <m/>
    <m/>
    <s v="POSS CS PG 1 &lt;1G"/>
    <m/>
    <s v="FS"/>
    <s v="POSS DRUG"/>
    <m/>
    <m/>
    <m/>
    <m/>
    <m/>
    <m/>
    <m/>
    <m/>
    <m/>
    <s v="Appointed Attorney"/>
    <m/>
    <m/>
    <n v="3"/>
    <n v="20"/>
    <n v="20"/>
    <n v="28.461748633879782"/>
    <n v="0"/>
    <n v="-17"/>
    <s v="DEFERRED"/>
    <x v="2"/>
    <s v="Y"/>
    <m/>
    <s v="DEFERRED"/>
    <s v="Y"/>
    <x v="1"/>
    <x v="0"/>
    <s v="N"/>
    <n v="0.15"/>
    <n v="0.15"/>
    <n v="0"/>
    <n v="0"/>
    <n v="-3"/>
    <n v="0"/>
    <n v="3"/>
    <e v="#VALUE!"/>
    <n v="3"/>
    <n v="0"/>
    <m/>
    <m/>
    <s v="N"/>
    <m/>
    <s v="0-10 DAYS"/>
    <n v="1"/>
    <x v="0"/>
  </r>
  <r>
    <n v="1827"/>
    <s v="N"/>
    <s v="N"/>
    <n v="2608334"/>
    <n v="1"/>
    <d v="2012-03-08T00:00:00"/>
    <d v="2012-05-17T00:00:00"/>
    <n v="2608334"/>
    <d v="2012-03-09T00:00:00"/>
    <d v="2012-04-11T00:00:00"/>
    <n v="10000"/>
    <x v="3"/>
    <d v="2012-04-11T00:00:00"/>
    <s v="Y"/>
    <s v="SURETY"/>
    <s v="NO BILL"/>
    <n v="34"/>
    <n v="71"/>
    <n v="0"/>
    <n v="0"/>
    <m/>
    <m/>
    <m/>
    <m/>
    <m/>
    <m/>
    <m/>
    <m/>
    <m/>
    <d v="1984-06-18T00:00:00"/>
    <s v="M"/>
    <s v="H"/>
    <s v="HISPANIC"/>
    <s v="HISPANIC"/>
    <s v="182"/>
    <s v="NO BILL"/>
    <n v="3"/>
    <s v="NO BILL"/>
    <m/>
    <m/>
    <m/>
    <s v="CREDIT/DEBIT CARD ABUSE"/>
    <m/>
    <s v="FS"/>
    <s v="OTHER FEL"/>
    <m/>
    <m/>
    <m/>
    <m/>
    <m/>
    <m/>
    <m/>
    <m/>
    <m/>
    <s v="Hired Attorney"/>
    <m/>
    <m/>
    <n v="34"/>
    <n v="70"/>
    <n v="71"/>
    <n v="27.66393442622951"/>
    <n v="0"/>
    <n v="-36"/>
    <s v="NO CONVICTION"/>
    <x v="1"/>
    <s v="Y"/>
    <m/>
    <s v="NO CONVICTION"/>
    <s v="Y"/>
    <x v="1"/>
    <x v="0"/>
    <s v="N"/>
    <n v="0.47887323943661969"/>
    <n v="0.48571428571428571"/>
    <n v="6.8410462776660186E-3"/>
    <n v="0"/>
    <n v="-34"/>
    <n v="0"/>
    <n v="34"/>
    <e v="#VALUE!"/>
    <n v="34"/>
    <n v="0"/>
    <m/>
    <m/>
    <s v="N"/>
    <m/>
    <s v="31-60 DAYS"/>
    <n v="3"/>
    <x v="0"/>
  </r>
  <r>
    <n v="1796"/>
    <s v="N"/>
    <s v="N"/>
    <n v="2608383"/>
    <n v="6"/>
    <d v="2012-03-07T00:00:00"/>
    <d v="2012-10-03T00:00:00"/>
    <n v="2608383"/>
    <d v="2012-03-08T00:00:00"/>
    <d v="2012-10-03T00:00:00"/>
    <n v="20000"/>
    <x v="0"/>
    <m/>
    <s v="N"/>
    <s v="NONE"/>
    <s v="GUILTY PLEA - NO JURY"/>
    <n v="210"/>
    <n v="211"/>
    <n v="0"/>
    <n v="0"/>
    <m/>
    <m/>
    <m/>
    <m/>
    <m/>
    <m/>
    <m/>
    <s v="S"/>
    <m/>
    <d v="1986-04-01T00:00:00"/>
    <s v="M"/>
    <s v="H"/>
    <s v="HISPANIC"/>
    <s v="NULL"/>
    <s v="176"/>
    <s v="CONVICTED"/>
    <n v="8"/>
    <s v="TDC"/>
    <n v="12"/>
    <m/>
    <m/>
    <s v="MAN/DEL CS PG I 200-400 GRAMS"/>
    <m/>
    <s v="F"/>
    <s v="SALE DRUG"/>
    <m/>
    <m/>
    <m/>
    <m/>
    <m/>
    <m/>
    <m/>
    <m/>
    <m/>
    <s v="Hired Attorney"/>
    <m/>
    <m/>
    <n v="210"/>
    <n v="210"/>
    <n v="211"/>
    <n v="25.879781420765028"/>
    <n v="0"/>
    <n v="0"/>
    <s v="CONVICTION"/>
    <x v="0"/>
    <s v="N"/>
    <m/>
    <s v="CONVICTION"/>
    <s v="Y"/>
    <x v="0"/>
    <x v="0"/>
    <s v="N"/>
    <n v="0.99526066350710896"/>
    <n v="1"/>
    <n v="4.7393364928910442E-3"/>
    <n v="0"/>
    <n v="-210"/>
    <n v="0"/>
    <n v="210"/>
    <e v="#VALUE!"/>
    <n v="210"/>
    <n v="0"/>
    <m/>
    <m/>
    <s v="N"/>
    <m/>
    <s v="121-365 DAYS"/>
    <n v="6"/>
    <x v="0"/>
  </r>
  <r>
    <n v="1802"/>
    <s v="N"/>
    <s v="N"/>
    <n v="2608399"/>
    <n v="6"/>
    <d v="2012-03-08T00:00:00"/>
    <d v="2012-06-14T00:00:00"/>
    <n v="2608399"/>
    <d v="2012-03-08T00:00:00"/>
    <d v="2012-06-14T00:00:00"/>
    <n v="10000"/>
    <x v="3"/>
    <m/>
    <s v="N"/>
    <s v="NONE"/>
    <s v="GUILTY PLEA - NO JURY"/>
    <n v="99"/>
    <n v="99"/>
    <n v="0"/>
    <n v="0"/>
    <m/>
    <m/>
    <m/>
    <m/>
    <m/>
    <m/>
    <m/>
    <m/>
    <m/>
    <d v="1993-03-29T00:00:00"/>
    <s v="M"/>
    <s v="B"/>
    <s v="BLACK"/>
    <s v="NULL"/>
    <s v="337"/>
    <s v="CONVICTED"/>
    <n v="2"/>
    <s v="TDC"/>
    <n v="2"/>
    <m/>
    <m/>
    <s v="BURGLARY OF HABITATION"/>
    <m/>
    <s v="F2"/>
    <s v="BURGLARY"/>
    <m/>
    <m/>
    <m/>
    <m/>
    <m/>
    <m/>
    <m/>
    <m/>
    <m/>
    <s v="Public Defender"/>
    <m/>
    <m/>
    <n v="99"/>
    <n v="99"/>
    <n v="99"/>
    <n v="18.904371584699454"/>
    <n v="0"/>
    <n v="0"/>
    <s v="CONVICTION"/>
    <x v="0"/>
    <s v="N"/>
    <m/>
    <s v="CONVICTION"/>
    <s v="Y"/>
    <x v="0"/>
    <x v="0"/>
    <s v="N"/>
    <n v="1"/>
    <n v="1"/>
    <n v="0"/>
    <n v="0"/>
    <n v="-99"/>
    <n v="0"/>
    <n v="99"/>
    <e v="#VALUE!"/>
    <n v="99"/>
    <n v="0"/>
    <m/>
    <m/>
    <s v="N"/>
    <m/>
    <s v="91-120 DAYS"/>
    <n v="0"/>
    <x v="0"/>
  </r>
  <r>
    <n v="1801"/>
    <s v="N"/>
    <s v="N"/>
    <n v="2608400"/>
    <n v="2"/>
    <d v="2012-03-08T00:00:00"/>
    <d v="2012-05-03T00:00:00"/>
    <n v="2608400"/>
    <d v="2012-03-08T00:00:00"/>
    <d v="2012-05-03T00:00:00"/>
    <n v="10000"/>
    <x v="3"/>
    <m/>
    <s v="N"/>
    <s v="NONE"/>
    <s v="DEFERRED ADJUDICATION "/>
    <n v="57"/>
    <n v="57"/>
    <n v="0"/>
    <n v="0"/>
    <m/>
    <m/>
    <m/>
    <m/>
    <m/>
    <m/>
    <m/>
    <s v="S"/>
    <m/>
    <d v="1993-09-18T00:00:00"/>
    <s v="M"/>
    <s v="H"/>
    <s v="HISPANIC"/>
    <s v="NULL"/>
    <s v="337"/>
    <s v="DEFERRED"/>
    <n v="3"/>
    <s v="DEFERRED"/>
    <m/>
    <m/>
    <m/>
    <s v="BURGLARY OF HABITATION"/>
    <m/>
    <s v="F2"/>
    <s v="BURGLARY"/>
    <m/>
    <m/>
    <m/>
    <m/>
    <m/>
    <m/>
    <m/>
    <m/>
    <m/>
    <s v="Hired Attorney"/>
    <m/>
    <m/>
    <n v="57"/>
    <n v="57"/>
    <n v="57"/>
    <n v="18.431693989071039"/>
    <n v="0"/>
    <n v="0"/>
    <s v="DEFERRED"/>
    <x v="0"/>
    <s v="N"/>
    <m/>
    <s v="DEFERRED"/>
    <s v="Y"/>
    <x v="0"/>
    <x v="0"/>
    <s v="N"/>
    <n v="1"/>
    <n v="1"/>
    <n v="0"/>
    <n v="0"/>
    <n v="-57"/>
    <n v="0"/>
    <n v="57"/>
    <e v="#VALUE!"/>
    <n v="57"/>
    <n v="0"/>
    <m/>
    <m/>
    <s v="N"/>
    <m/>
    <s v="31-60 DAYS"/>
    <n v="3"/>
    <x v="0"/>
  </r>
  <r>
    <n v="1809"/>
    <s v="N"/>
    <s v="N"/>
    <n v="2608409"/>
    <n v="1"/>
    <d v="2012-03-08T00:00:00"/>
    <d v="2012-03-09T00:00:00"/>
    <n v="2608409"/>
    <d v="2012-03-08T00:00:00"/>
    <d v="2012-03-09T00:00:00"/>
    <n v="5000"/>
    <x v="4"/>
    <m/>
    <s v="N"/>
    <s v="NONE"/>
    <s v="DISMISSED"/>
    <n v="2"/>
    <n v="2"/>
    <n v="0"/>
    <n v="0"/>
    <m/>
    <m/>
    <m/>
    <m/>
    <m/>
    <m/>
    <m/>
    <s v="S"/>
    <m/>
    <d v="1981-02-07T00:00:00"/>
    <s v="F"/>
    <s v="H"/>
    <s v="HISPANIC"/>
    <s v="NULL"/>
    <s v="248"/>
    <s v="DISMISSED"/>
    <n v="1"/>
    <s v="DISMISSED"/>
    <m/>
    <m/>
    <m/>
    <s v="POSS CS PG 3 28-200 GRAMS"/>
    <m/>
    <s v="F3"/>
    <s v="POSS DRUG"/>
    <m/>
    <m/>
    <m/>
    <m/>
    <m/>
    <m/>
    <m/>
    <m/>
    <m/>
    <s v="Appointed Attorney"/>
    <m/>
    <m/>
    <n v="2"/>
    <n v="2"/>
    <n v="2"/>
    <n v="31.016393442622952"/>
    <n v="0"/>
    <n v="0"/>
    <s v="NO CONVICTION"/>
    <x v="0"/>
    <s v="N"/>
    <m/>
    <s v="NO 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1811"/>
    <s v="N"/>
    <s v="N"/>
    <n v="2608450"/>
    <n v="2"/>
    <d v="2012-03-08T00:00:00"/>
    <d v="2013-02-27T00:00:00"/>
    <n v="2608450"/>
    <s v="NOT BOOKED"/>
    <s v="NOT BOOKED"/>
    <n v="2000"/>
    <x v="5"/>
    <d v="2012-03-09T00:00:00"/>
    <s v="Y"/>
    <s v="SURETY"/>
    <s v="DEFERRED ADJUDICATION "/>
    <n v="0"/>
    <n v="357"/>
    <n v="0"/>
    <n v="0"/>
    <m/>
    <m/>
    <m/>
    <m/>
    <m/>
    <m/>
    <m/>
    <m/>
    <m/>
    <d v="1984-04-27T00:00:00"/>
    <s v="M"/>
    <s v="B"/>
    <s v="BLACK"/>
    <s v="NULL"/>
    <s v="174"/>
    <s v="DEFERRED"/>
    <n v="13"/>
    <s v="DEFERRED"/>
    <m/>
    <m/>
    <m/>
    <s v="POSS MARIJ  4 OZ. - 5 LBS."/>
    <m/>
    <s v="FS"/>
    <s v="POSS DRUG"/>
    <m/>
    <m/>
    <m/>
    <m/>
    <m/>
    <m/>
    <m/>
    <m/>
    <m/>
    <s v="Hired Attorney"/>
    <m/>
    <m/>
    <n v="0"/>
    <n v="0"/>
    <n v="357"/>
    <n v="27.806010928961747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820"/>
    <s v="N"/>
    <s v="N"/>
    <n v="2608587"/>
    <n v="4"/>
    <d v="2012-03-08T00:00:00"/>
    <d v="2012-08-03T00:00:00"/>
    <n v="2608587"/>
    <d v="2012-03-09T00:00:00"/>
    <d v="2012-03-22T00:00:00"/>
    <n v="4000"/>
    <x v="4"/>
    <d v="2012-03-22T00:00:00"/>
    <s v="Y"/>
    <s v="CASHPTRc"/>
    <s v="GUILTY PLEA - NO JURY"/>
    <n v="14"/>
    <n v="149"/>
    <n v="0"/>
    <n v="0"/>
    <m/>
    <m/>
    <m/>
    <m/>
    <m/>
    <m/>
    <m/>
    <m/>
    <m/>
    <d v="1989-05-21T00:00:00"/>
    <s v="M"/>
    <s v="A"/>
    <s v="OTHER"/>
    <s v="NULL"/>
    <s v="183"/>
    <s v="CONVICTED"/>
    <n v="8"/>
    <s v="HCJ"/>
    <m/>
    <m/>
    <n v="179"/>
    <s v="ENGAGING IN ORG CRIM ACTIVITY"/>
    <m/>
    <s v="FS"/>
    <s v="OTHER FEL"/>
    <m/>
    <m/>
    <m/>
    <m/>
    <m/>
    <m/>
    <m/>
    <m/>
    <m/>
    <s v="Hired Attorney"/>
    <m/>
    <m/>
    <n v="14"/>
    <n v="148"/>
    <n v="149"/>
    <n v="22.751366120218581"/>
    <n v="0"/>
    <n v="-134"/>
    <s v="CONVICTION"/>
    <x v="3"/>
    <s v="Y"/>
    <m/>
    <s v="CONVICTION"/>
    <s v="Y"/>
    <x v="1"/>
    <x v="0"/>
    <s v="N"/>
    <n v="9.3959731543624164E-2"/>
    <n v="9.45945945945946E-2"/>
    <n v="6.3486305097043561E-4"/>
    <n v="0"/>
    <n v="-14"/>
    <n v="0"/>
    <n v="14"/>
    <e v="#VALUE!"/>
    <n v="14"/>
    <n v="0"/>
    <m/>
    <m/>
    <s v="N"/>
    <m/>
    <s v="11-30 DAYS"/>
    <n v="2"/>
    <x v="0"/>
  </r>
  <r>
    <n v="1829"/>
    <s v="N"/>
    <s v="N"/>
    <n v="2608597"/>
    <n v="6"/>
    <d v="2012-03-08T00:00:00"/>
    <d v="2012-03-12T00:00:00"/>
    <n v="2608597"/>
    <d v="2012-03-09T00:00:00"/>
    <d v="2012-03-12T00:00:00"/>
    <s v="NO BOND"/>
    <x v="1"/>
    <m/>
    <s v="N"/>
    <s v="NONE"/>
    <s v="GUILTY PLEA - NO JURY"/>
    <n v="4"/>
    <n v="5"/>
    <n v="0"/>
    <n v="0"/>
    <m/>
    <m/>
    <m/>
    <m/>
    <m/>
    <m/>
    <m/>
    <m/>
    <m/>
    <d v="1947-08-25T00:00:00"/>
    <s v="M"/>
    <s v="W"/>
    <s v="WHITE"/>
    <s v="NULL"/>
    <s v="184"/>
    <s v="CONVICTED"/>
    <n v="1"/>
    <s v="TDC"/>
    <n v="2"/>
    <m/>
    <m/>
    <s v="POSS MARIJ  5 - 50 LBS."/>
    <m/>
    <s v="F3"/>
    <s v="POSS DRUG"/>
    <m/>
    <m/>
    <m/>
    <m/>
    <m/>
    <m/>
    <m/>
    <m/>
    <m/>
    <s v="Appointed Attorney"/>
    <m/>
    <m/>
    <n v="4"/>
    <n v="4"/>
    <n v="5"/>
    <n v="64.404371584699447"/>
    <n v="0"/>
    <n v="0"/>
    <s v="CONVICTION"/>
    <x v="0"/>
    <s v="N"/>
    <m/>
    <s v="CONVICTION"/>
    <s v="Y"/>
    <x v="0"/>
    <x v="0"/>
    <s v="N"/>
    <n v="0.8"/>
    <n v="1"/>
    <n v="0.19999999999999996"/>
    <n v="0"/>
    <n v="-4"/>
    <n v="0"/>
    <n v="4"/>
    <e v="#VALUE!"/>
    <n v="4"/>
    <n v="0"/>
    <m/>
    <m/>
    <s v="N"/>
    <m/>
    <s v="0-10 DAYS"/>
    <n v="1"/>
    <x v="0"/>
  </r>
  <r>
    <n v="1844"/>
    <s v="N"/>
    <s v="N"/>
    <n v="2608628"/>
    <n v="1"/>
    <d v="2012-03-09T00:00:00"/>
    <d v="2012-07-10T00:00:00"/>
    <n v="2608628"/>
    <d v="2012-03-09T00:00:00"/>
    <d v="2012-03-13T00:00:00"/>
    <n v="10000"/>
    <x v="3"/>
    <d v="2012-03-13T00:00:00"/>
    <s v="Y"/>
    <s v="SURETYPTRc"/>
    <s v="DISMISSED"/>
    <n v="5"/>
    <n v="124"/>
    <n v="0"/>
    <n v="0"/>
    <m/>
    <m/>
    <m/>
    <m/>
    <m/>
    <m/>
    <m/>
    <s v="S"/>
    <m/>
    <d v="1994-01-15T00:00:00"/>
    <s v="M"/>
    <s v="H"/>
    <s v="HISPANIC"/>
    <s v="NULL"/>
    <s v="337"/>
    <s v="DISMISSED"/>
    <n v="5"/>
    <s v="DISMISSED"/>
    <m/>
    <m/>
    <m/>
    <s v="BURGLARY OF HABITATION"/>
    <m/>
    <s v="F2"/>
    <s v="BURGLARY"/>
    <s v="misd drug 7/26/12 def adj"/>
    <m/>
    <m/>
    <m/>
    <m/>
    <m/>
    <m/>
    <m/>
    <m/>
    <s v="Hired Attorney"/>
    <m/>
    <m/>
    <n v="5"/>
    <n v="124"/>
    <n v="124"/>
    <n v="18.10928961748634"/>
    <n v="0"/>
    <n v="-119"/>
    <s v="NO CONVICTION"/>
    <x v="1"/>
    <s v="Y"/>
    <m/>
    <s v="NO CONVICTION"/>
    <s v="Y"/>
    <x v="1"/>
    <x v="0"/>
    <s v="N"/>
    <n v="4.0322580645161289E-2"/>
    <n v="4.0322580645161289E-2"/>
    <n v="0"/>
    <n v="0"/>
    <n v="-5"/>
    <n v="0"/>
    <n v="5"/>
    <e v="#VALUE!"/>
    <n v="5"/>
    <n v="0"/>
    <m/>
    <m/>
    <s v="N"/>
    <m/>
    <s v="0-10 DAYS"/>
    <n v="1"/>
    <x v="0"/>
  </r>
  <r>
    <n v="1846"/>
    <s v="N"/>
    <s v="N"/>
    <n v="2608639"/>
    <n v="2"/>
    <d v="2012-03-09T00:00:00"/>
    <d v="2012-09-13T00:00:00"/>
    <n v="2608639"/>
    <d v="2012-03-09T00:00:00"/>
    <d v="2012-03-10T00:00:00"/>
    <n v="5000"/>
    <x v="4"/>
    <d v="2012-03-10T00:00:00"/>
    <s v="Y"/>
    <s v="SURETYPTRc"/>
    <s v="DEFERRED ADJUDICATION "/>
    <n v="2"/>
    <n v="189"/>
    <n v="0"/>
    <n v="0"/>
    <m/>
    <m/>
    <m/>
    <m/>
    <m/>
    <m/>
    <m/>
    <m/>
    <m/>
    <d v="1978-10-03T00:00:00"/>
    <s v="M"/>
    <s v="W"/>
    <s v="WHITE"/>
    <s v="NULL"/>
    <s v="248"/>
    <s v="DEFERRED"/>
    <n v="7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189"/>
    <n v="189"/>
    <n v="33.363387978142079"/>
    <n v="0"/>
    <n v="-187"/>
    <s v="DEFERRED"/>
    <x v="1"/>
    <s v="Y"/>
    <m/>
    <s v="DEFERRED"/>
    <s v="Y"/>
    <x v="1"/>
    <x v="0"/>
    <s v="N"/>
    <n v="1.0582010582010581E-2"/>
    <n v="1.0582010582010581E-2"/>
    <n v="0"/>
    <n v="0"/>
    <n v="-2"/>
    <n v="0"/>
    <n v="2"/>
    <e v="#VALUE!"/>
    <n v="2"/>
    <n v="0"/>
    <m/>
    <m/>
    <s v="N"/>
    <m/>
    <s v="0-10 DAYS"/>
    <n v="1"/>
    <x v="0"/>
  </r>
  <r>
    <n v="1852"/>
    <s v="N"/>
    <s v="N"/>
    <n v="2608694"/>
    <n v="6"/>
    <d v="2012-03-09T00:00:00"/>
    <d v="2013-09-20T00:00:00"/>
    <n v="2608694"/>
    <d v="2012-03-28T00:00:00"/>
    <d v="2012-03-30T00:00:00"/>
    <n v="100000"/>
    <x v="2"/>
    <d v="2012-03-30T00:00:00"/>
    <s v="Y"/>
    <s v="SURETY"/>
    <s v="GUILTY PLEA - NO JURY"/>
    <n v="3"/>
    <n v="561"/>
    <n v="0"/>
    <n v="0"/>
    <m/>
    <m/>
    <m/>
    <m/>
    <m/>
    <m/>
    <m/>
    <s v="S"/>
    <m/>
    <d v="1951-03-06T00:00:00"/>
    <s v="F"/>
    <s v="H"/>
    <s v="HISPANIC"/>
    <s v="NULL"/>
    <s v="232"/>
    <s v="CONVICTED"/>
    <n v="13"/>
    <s v="TDC"/>
    <n v="7"/>
    <m/>
    <m/>
    <s v="THEFT &gt;= $200,000"/>
    <m/>
    <s v="F1"/>
    <s v="THEFT"/>
    <m/>
    <m/>
    <m/>
    <m/>
    <m/>
    <m/>
    <m/>
    <m/>
    <m/>
    <s v="Hired Attorney"/>
    <m/>
    <m/>
    <n v="3"/>
    <n v="542"/>
    <n v="561"/>
    <n v="60.885245901639344"/>
    <n v="0"/>
    <n v="-539"/>
    <s v="CONVICTION"/>
    <x v="1"/>
    <s v="Y"/>
    <m/>
    <s v="CONVICTION"/>
    <s v="Y"/>
    <x v="1"/>
    <x v="0"/>
    <s v="N"/>
    <n v="5.3475935828877002E-3"/>
    <n v="5.5350553505535052E-3"/>
    <n v="1.8746176766580493E-4"/>
    <n v="0"/>
    <n v="-3"/>
    <n v="0"/>
    <n v="3"/>
    <e v="#VALUE!"/>
    <n v="3"/>
    <n v="0"/>
    <m/>
    <m/>
    <s v="N"/>
    <m/>
    <s v="0-10 DAYS"/>
    <n v="1"/>
    <x v="0"/>
  </r>
  <r>
    <n v="1857"/>
    <s v="N"/>
    <s v="N"/>
    <n v="2608791"/>
    <n v="1"/>
    <d v="2012-03-09T00:00:00"/>
    <d v="2012-06-08T00:00:00"/>
    <n v="2608791"/>
    <d v="2012-03-10T00:00:00"/>
    <d v="2012-03-14T00:00:00"/>
    <n v="35000"/>
    <x v="2"/>
    <d v="2012-03-14T00:00:00"/>
    <s v="Y"/>
    <s v="SURETY"/>
    <s v="NO BILL"/>
    <n v="5"/>
    <n v="92"/>
    <n v="0"/>
    <n v="0"/>
    <m/>
    <m/>
    <m/>
    <m/>
    <m/>
    <m/>
    <m/>
    <m/>
    <m/>
    <d v="1993-09-27T00:00:00"/>
    <s v="F"/>
    <s v="W"/>
    <s v="WHITE"/>
    <s v="NULL"/>
    <s v="208"/>
    <s v="NO BILL"/>
    <n v="4"/>
    <s v="NO BILL"/>
    <m/>
    <m/>
    <m/>
    <s v="POSS CS PG3&lt;28G DRUG FREE ZONE"/>
    <m/>
    <s v="FS"/>
    <s v="POSS DRUG"/>
    <m/>
    <m/>
    <m/>
    <m/>
    <m/>
    <m/>
    <m/>
    <m/>
    <m/>
    <s v="Hired Attorney"/>
    <m/>
    <m/>
    <n v="5"/>
    <n v="91"/>
    <n v="92"/>
    <n v="18.409836065573771"/>
    <n v="0"/>
    <n v="-86"/>
    <s v="NO CONVICTION"/>
    <x v="1"/>
    <s v="Y"/>
    <m/>
    <s v="NO CONVICTION"/>
    <s v="Y"/>
    <x v="1"/>
    <x v="0"/>
    <s v="N"/>
    <n v="5.434782608695652E-2"/>
    <n v="5.4945054945054944E-2"/>
    <n v="5.9722885809842391E-4"/>
    <n v="0"/>
    <n v="-5"/>
    <n v="0"/>
    <n v="5"/>
    <e v="#VALUE!"/>
    <n v="5"/>
    <n v="0"/>
    <m/>
    <m/>
    <s v="N"/>
    <m/>
    <s v="0-10 DAYS"/>
    <n v="1"/>
    <x v="0"/>
  </r>
  <r>
    <n v="1858"/>
    <s v="N"/>
    <s v="N"/>
    <n v="2608792"/>
    <n v="6"/>
    <d v="2012-03-09T00:00:00"/>
    <d v="2013-04-22T00:00:00"/>
    <n v="2608792"/>
    <d v="2012-03-09T00:00:00"/>
    <d v="2013-04-22T00:00:00"/>
    <n v="300000"/>
    <x v="2"/>
    <m/>
    <s v="N"/>
    <s v="NONE"/>
    <s v="GUILTY PLEA - NO JURY"/>
    <n v="410"/>
    <n v="410"/>
    <n v="0"/>
    <n v="0"/>
    <m/>
    <m/>
    <m/>
    <m/>
    <m/>
    <m/>
    <m/>
    <m/>
    <m/>
    <d v="1969-08-28T00:00:00"/>
    <s v="M"/>
    <s v="W"/>
    <s v="WHITE"/>
    <s v="NULL"/>
    <s v="337"/>
    <s v="CONVICTED"/>
    <n v="13"/>
    <s v="TDC"/>
    <n v="25"/>
    <m/>
    <m/>
    <s v="PROMOTE CHILD PORNOGRAPHY"/>
    <m/>
    <s v="F2"/>
    <s v="OTHER FEL"/>
    <s v="STACK SENT"/>
    <m/>
    <m/>
    <m/>
    <m/>
    <m/>
    <m/>
    <m/>
    <m/>
    <s v="Public Defender"/>
    <m/>
    <m/>
    <n v="410"/>
    <n v="410"/>
    <n v="410"/>
    <n v="42.442622950819676"/>
    <n v="0"/>
    <n v="0"/>
    <s v="CONVICTION"/>
    <x v="0"/>
    <s v="N"/>
    <m/>
    <s v="CONVICTION"/>
    <s v="Y"/>
    <x v="0"/>
    <x v="0"/>
    <s v="N"/>
    <n v="1"/>
    <n v="1"/>
    <n v="0"/>
    <n v="0"/>
    <n v="-410"/>
    <n v="0"/>
    <n v="410"/>
    <e v="#VALUE!"/>
    <n v="410"/>
    <n v="0"/>
    <m/>
    <m/>
    <s v="N"/>
    <m/>
    <s v=" &gt;1YRS&lt;2YRS"/>
    <n v="0"/>
    <x v="0"/>
  </r>
  <r>
    <n v="1860"/>
    <s v="N"/>
    <s v="N"/>
    <n v="2608800"/>
    <n v="1"/>
    <d v="2012-03-09T00:00:00"/>
    <d v="2012-11-16T00:00:00"/>
    <n v="2608800"/>
    <s v="NOT BOOKED"/>
    <s v="NOT BOOKED"/>
    <n v="10000"/>
    <x v="3"/>
    <d v="2012-04-13T00:00:00"/>
    <s v="Y"/>
    <s v="SURETY"/>
    <s v="DISMISSED"/>
    <n v="0"/>
    <n v="253"/>
    <n v="0"/>
    <n v="0"/>
    <m/>
    <m/>
    <m/>
    <m/>
    <m/>
    <m/>
    <m/>
    <m/>
    <m/>
    <d v="1987-01-30T00:00:00"/>
    <s v="F"/>
    <s v="W"/>
    <s v="WHITE"/>
    <s v="NULL"/>
    <s v="232"/>
    <s v="DISMISSED"/>
    <n v="9"/>
    <s v="DISMISSED"/>
    <m/>
    <m/>
    <m/>
    <s v="FORGERY"/>
    <m/>
    <s v="FS"/>
    <s v="OTHER FEL"/>
    <m/>
    <m/>
    <m/>
    <m/>
    <m/>
    <m/>
    <m/>
    <m/>
    <m/>
    <s v="Hired Attorney"/>
    <m/>
    <m/>
    <n v="0"/>
    <n v="0"/>
    <n v="253"/>
    <n v="25.05464480874317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1863"/>
    <s v="N"/>
    <s v="N"/>
    <n v="2608809"/>
    <n v="5"/>
    <d v="2012-03-09T00:00:00"/>
    <d v="2012-03-14T00:00:00"/>
    <n v="2608809"/>
    <d v="2012-03-09T00:00:00"/>
    <d v="2012-03-14T00:00:00"/>
    <n v="2000"/>
    <x v="5"/>
    <m/>
    <s v="N"/>
    <s v="NONE"/>
    <s v="GUILTY PLEA - NO JURY"/>
    <n v="6"/>
    <n v="6"/>
    <n v="0"/>
    <n v="0"/>
    <m/>
    <m/>
    <m/>
    <m/>
    <m/>
    <m/>
    <m/>
    <m/>
    <m/>
    <d v="1980-01-19T00:00:00"/>
    <s v="F"/>
    <s v="W"/>
    <s v="WHITE"/>
    <s v="NULL"/>
    <s v="174"/>
    <s v="CONVICTED"/>
    <n v="2"/>
    <s v="STJ"/>
    <m/>
    <n v="6"/>
    <m/>
    <s v="THEFT $1500-20K"/>
    <m/>
    <s v="FS"/>
    <s v="THEFT"/>
    <s v="fel theft 10/4/12 hcj 4 d"/>
    <m/>
    <m/>
    <m/>
    <m/>
    <m/>
    <m/>
    <m/>
    <m/>
    <s v="Appointed Attorney"/>
    <m/>
    <m/>
    <n v="6"/>
    <n v="6"/>
    <n v="6"/>
    <n v="32.071038251366119"/>
    <n v="0"/>
    <n v="0"/>
    <s v="CONVICTION"/>
    <x v="0"/>
    <s v="N"/>
    <m/>
    <s v="CONVICTION"/>
    <s v="Y"/>
    <x v="0"/>
    <x v="0"/>
    <s v="N"/>
    <n v="1"/>
    <n v="1"/>
    <n v="0"/>
    <n v="0"/>
    <n v="-6"/>
    <n v="0"/>
    <n v="6"/>
    <e v="#VALUE!"/>
    <n v="6"/>
    <n v="0"/>
    <m/>
    <m/>
    <s v="N"/>
    <m/>
    <s v="0-10 DAYS"/>
    <n v="1"/>
    <x v="0"/>
  </r>
  <r>
    <n v="1864"/>
    <s v="N"/>
    <s v="N"/>
    <n v="2608814"/>
    <n v="6"/>
    <d v="2012-03-10T00:00:00"/>
    <d v="2014-01-06T00:00:00"/>
    <n v="2608814"/>
    <d v="2012-03-09T00:00:00"/>
    <d v="2014-01-06T00:00:00"/>
    <n v="360000"/>
    <x v="2"/>
    <m/>
    <s v="N"/>
    <s v="NONE"/>
    <s v="GUILTY PLEA - NO JURY"/>
    <n v="669"/>
    <n v="668"/>
    <n v="0"/>
    <n v="0"/>
    <m/>
    <m/>
    <m/>
    <m/>
    <m/>
    <m/>
    <m/>
    <s v="S"/>
    <m/>
    <d v="1983-02-15T00:00:00"/>
    <s v="F"/>
    <s v="H"/>
    <s v="HISPANIC"/>
    <s v="NULL"/>
    <s v="339"/>
    <s v="CONVICTED"/>
    <n v="16"/>
    <s v="TDC"/>
    <n v="2"/>
    <m/>
    <m/>
    <s v="MAN/DEL CS PG II OVER 400 GRAM"/>
    <m/>
    <s v="F1"/>
    <s v="SALE DRUG"/>
    <m/>
    <m/>
    <m/>
    <m/>
    <m/>
    <m/>
    <m/>
    <m/>
    <m/>
    <s v="Hired Attorney"/>
    <m/>
    <m/>
    <n v="669"/>
    <n v="669"/>
    <n v="668"/>
    <n v="29.005464480874316"/>
    <n v="0"/>
    <n v="0"/>
    <s v="CONVICTION"/>
    <x v="0"/>
    <s v="Y"/>
    <m/>
    <s v="CONVICTION"/>
    <s v="Y"/>
    <x v="0"/>
    <x v="0"/>
    <s v="N"/>
    <n v="1"/>
    <n v="1.0014970059880239"/>
    <n v="1.4970059880239361E-3"/>
    <n v="0"/>
    <n v="-669"/>
    <n v="0"/>
    <n v="669"/>
    <e v="#VALUE!"/>
    <n v="669"/>
    <n v="0"/>
    <m/>
    <m/>
    <s v="N"/>
    <e v="#N/A"/>
    <s v=" &gt;1YRS&lt;2YRS"/>
    <n v="0"/>
    <x v="0"/>
  </r>
  <r>
    <n v="1867"/>
    <s v="N"/>
    <s v="N"/>
    <n v="2608817"/>
    <n v="1"/>
    <d v="2012-03-10T00:00:00"/>
    <d v="2012-03-12T00:00:00"/>
    <n v="2608817"/>
    <d v="2012-03-10T00:00:00"/>
    <d v="2012-03-12T00:00:00"/>
    <n v="2000"/>
    <x v="5"/>
    <m/>
    <s v="N"/>
    <s v="NONE"/>
    <s v="DISMISSED"/>
    <n v="3"/>
    <n v="3"/>
    <n v="0"/>
    <n v="0"/>
    <m/>
    <m/>
    <m/>
    <m/>
    <m/>
    <m/>
    <m/>
    <m/>
    <m/>
    <d v="1973-11-25T00:00:00"/>
    <s v="F"/>
    <s v="W"/>
    <s v="WHITE"/>
    <s v="NULL"/>
    <s v="183"/>
    <s v="DISMISSED"/>
    <n v="1"/>
    <s v="DISMISSED"/>
    <m/>
    <m/>
    <m/>
    <s v="POSS CS PG 1 &lt;1G"/>
    <m/>
    <s v="FS"/>
    <s v="POSS DRUG"/>
    <m/>
    <m/>
    <m/>
    <m/>
    <m/>
    <m/>
    <m/>
    <m/>
    <m/>
    <s v="Appointed Attorney"/>
    <m/>
    <m/>
    <n v="3"/>
    <n v="3"/>
    <n v="3"/>
    <n v="38.210382513661202"/>
    <n v="0"/>
    <n v="0"/>
    <s v="NO CONVICTION"/>
    <x v="0"/>
    <s v="N"/>
    <m/>
    <s v="NO CONVICTION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1869"/>
    <s v="N"/>
    <s v="Y"/>
    <n v="2608820"/>
    <n v="1"/>
    <d v="2012-03-10T00:00:00"/>
    <d v="2012-06-14T00:00:00"/>
    <n v="2608820"/>
    <d v="2012-03-10T00:00:00"/>
    <d v="2012-04-06T00:00:00"/>
    <n v="30000"/>
    <x v="2"/>
    <d v="2012-04-06T00:00:00"/>
    <s v="Y"/>
    <s v="SURETY"/>
    <s v="DISMISSED"/>
    <n v="23"/>
    <n v="97"/>
    <n v="0"/>
    <n v="0"/>
    <m/>
    <m/>
    <m/>
    <m/>
    <m/>
    <m/>
    <m/>
    <m/>
    <m/>
    <d v="1948-11-14T00:00:00"/>
    <s v="M"/>
    <s v="B"/>
    <s v="BLACK"/>
    <s v="NULL"/>
    <s v="262"/>
    <s v="DISMISSED"/>
    <n v="6"/>
    <s v="DISMISSED"/>
    <m/>
    <m/>
    <m/>
    <s v="KIDNAPPING"/>
    <m/>
    <s v="F3"/>
    <s v="KIDNAPPING"/>
    <s v="rev 6/5/12"/>
    <s v="rev 6/5/12"/>
    <m/>
    <m/>
    <s v="Y"/>
    <m/>
    <m/>
    <m/>
    <m/>
    <s v="Appointed Attorney"/>
    <m/>
    <m/>
    <n v="23"/>
    <n v="97"/>
    <n v="97"/>
    <n v="63.188524590163937"/>
    <n v="0"/>
    <n v="-69"/>
    <s v="NO CONVICTION"/>
    <x v="1"/>
    <s v="Y"/>
    <m/>
    <s v="NO CONVICTION"/>
    <s v="Y"/>
    <x v="0"/>
    <x v="0"/>
    <s v="N"/>
    <n v="0.23711340206185566"/>
    <n v="0.28865979381443296"/>
    <n v="5.1546391752577303E-2"/>
    <n v="0"/>
    <n v="-28"/>
    <n v="-5"/>
    <n v="97"/>
    <n v="23"/>
    <n v="97"/>
    <n v="69"/>
    <m/>
    <m/>
    <s v="N"/>
    <m/>
    <s v="11-30 DAYS"/>
    <n v="2"/>
    <x v="0"/>
  </r>
  <r>
    <n v="1868"/>
    <s v="N"/>
    <s v="N"/>
    <n v="2608821"/>
    <n v="2"/>
    <d v="2012-03-10T00:00:00"/>
    <d v="2013-04-23T00:00:00"/>
    <n v="2608821"/>
    <d v="2012-03-10T00:00:00"/>
    <d v="2012-03-11T00:00:00"/>
    <n v="2000"/>
    <x v="5"/>
    <d v="2012-03-11T00:00:00"/>
    <s v="Y"/>
    <s v="SURETY"/>
    <s v="DEFERRED ADJUDICATION "/>
    <n v="2"/>
    <n v="410"/>
    <n v="0"/>
    <n v="0"/>
    <m/>
    <m/>
    <m/>
    <m/>
    <m/>
    <m/>
    <m/>
    <m/>
    <m/>
    <d v="1994-02-02T00:00:00"/>
    <s v="M"/>
    <s v="W"/>
    <s v="WHITE"/>
    <s v="NULL"/>
    <s v="209"/>
    <s v="DEFERRED"/>
    <m/>
    <s v="DEFERRED"/>
    <m/>
    <m/>
    <m/>
    <s v="THEFT $1500-20K"/>
    <m/>
    <s v="FS"/>
    <s v="THEFT"/>
    <s v="RECHECK SETTINGS"/>
    <m/>
    <m/>
    <m/>
    <m/>
    <m/>
    <m/>
    <m/>
    <m/>
    <s v="Hired Attorney"/>
    <m/>
    <m/>
    <n v="2"/>
    <n v="410"/>
    <n v="410"/>
    <n v="18.062841530054644"/>
    <n v="0"/>
    <n v="-408"/>
    <s v="DEFERRED"/>
    <x v="1"/>
    <s v="Y"/>
    <m/>
    <s v="DEFERRED"/>
    <s v="Y"/>
    <x v="1"/>
    <x v="0"/>
    <s v="N"/>
    <n v="4.8780487804878049E-3"/>
    <n v="4.8780487804878049E-3"/>
    <n v="0"/>
    <n v="0"/>
    <n v="-2"/>
    <n v="0"/>
    <n v="2"/>
    <e v="#VALUE!"/>
    <n v="2"/>
    <n v="0"/>
    <m/>
    <m/>
    <s v="N"/>
    <m/>
    <s v="0-10 DAYS"/>
    <n v="1"/>
    <x v="0"/>
  </r>
  <r>
    <n v="2729"/>
    <s v="N"/>
    <s v="N"/>
    <n v="2608856"/>
    <n v="2"/>
    <d v="2012-03-10T00:00:00"/>
    <d v="2012-09-07T00:00:00"/>
    <n v="2608856"/>
    <d v="2012-03-10T00:00:00"/>
    <d v="2012-03-11T00:00:00"/>
    <n v="5000"/>
    <x v="4"/>
    <d v="2012-03-11T00:00:00"/>
    <s v="Y"/>
    <s v="SURETY"/>
    <s v="DEFERRED ADJUDICATION "/>
    <n v="2"/>
    <n v="182"/>
    <n v="0"/>
    <n v="0"/>
    <m/>
    <m/>
    <m/>
    <m/>
    <m/>
    <m/>
    <m/>
    <m/>
    <m/>
    <d v="1990-10-19T00:00:00"/>
    <s v="M"/>
    <s v="B"/>
    <s v="BLACK"/>
    <s v="NULL"/>
    <s v="177"/>
    <s v="DEFERRED"/>
    <n v="9"/>
    <s v="DEFERRED"/>
    <m/>
    <m/>
    <m/>
    <s v="THEFT $1500-20K"/>
    <m/>
    <s v="FS"/>
    <s v="THEFT"/>
    <m/>
    <m/>
    <m/>
    <m/>
    <m/>
    <m/>
    <m/>
    <m/>
    <m/>
    <s v="Hired Attorney"/>
    <m/>
    <m/>
    <n v="2"/>
    <n v="182"/>
    <n v="182"/>
    <n v="21.346994535519126"/>
    <n v="0"/>
    <n v="-180"/>
    <s v="DEFERRED"/>
    <x v="1"/>
    <s v="Y"/>
    <m/>
    <s v="DEFERRED"/>
    <s v="Y"/>
    <x v="1"/>
    <x v="0"/>
    <s v="N"/>
    <n v="1.098901098901099E-2"/>
    <n v="1.098901098901099E-2"/>
    <n v="0"/>
    <n v="0"/>
    <n v="-2"/>
    <n v="0"/>
    <n v="2"/>
    <e v="#VALUE!"/>
    <n v="2"/>
    <n v="0"/>
    <m/>
    <m/>
    <s v="N"/>
    <m/>
    <s v="0-10 DAYS"/>
    <n v="1"/>
    <x v="0"/>
  </r>
  <r>
    <n v="1879"/>
    <s v="N"/>
    <s v="N"/>
    <n v="2608864"/>
    <n v="4"/>
    <d v="2012-03-10T00:00:00"/>
    <d v="2012-03-12T00:00:00"/>
    <n v="2608864"/>
    <d v="2012-03-10T00:00:00"/>
    <d v="2012-03-12T00:00:00"/>
    <n v="35000"/>
    <x v="2"/>
    <m/>
    <s v="N"/>
    <s v="NONE"/>
    <s v="GUILTY PLEA - NO JURY"/>
    <n v="3"/>
    <n v="3"/>
    <n v="0"/>
    <n v="0"/>
    <m/>
    <m/>
    <m/>
    <m/>
    <m/>
    <m/>
    <m/>
    <s v="S"/>
    <m/>
    <d v="1979-11-15T00:00:00"/>
    <s v="M"/>
    <s v="H"/>
    <s v="HISPANIC"/>
    <s v="NULL"/>
    <s v="184"/>
    <s v="CONVICTED"/>
    <n v="1"/>
    <s v="HCJ"/>
    <m/>
    <m/>
    <n v="30"/>
    <s v="POSS CS PG 1 &lt;1G"/>
    <m/>
    <s v="FS"/>
    <s v="POSS DRUG"/>
    <m/>
    <m/>
    <m/>
    <m/>
    <m/>
    <m/>
    <m/>
    <m/>
    <m/>
    <s v="Appointed Attorney"/>
    <m/>
    <m/>
    <n v="3"/>
    <n v="3"/>
    <n v="3"/>
    <n v="32.251366120218577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1880"/>
    <s v="N"/>
    <s v="N"/>
    <n v="2608880"/>
    <n v="4"/>
    <d v="2012-03-10T00:00:00"/>
    <d v="2012-05-01T00:00:00"/>
    <n v="2608880"/>
    <d v="2012-03-11T00:00:00"/>
    <d v="2012-05-01T00:00:00"/>
    <n v="50000"/>
    <x v="2"/>
    <m/>
    <s v="N"/>
    <s v="NONE"/>
    <s v="GUILTY PLEA - NO JURY"/>
    <n v="52"/>
    <n v="53"/>
    <n v="0"/>
    <n v="0"/>
    <m/>
    <m/>
    <m/>
    <m/>
    <m/>
    <m/>
    <m/>
    <s v="S"/>
    <m/>
    <d v="1985-03-25T00:00:00"/>
    <s v="M"/>
    <s v="H"/>
    <s v="HISPANIC"/>
    <s v="NULL"/>
    <s v="183"/>
    <s v="CONVICTED"/>
    <n v="3"/>
    <s v="HCJ"/>
    <m/>
    <m/>
    <n v="120"/>
    <s v="ATT FAILURE TO STOP AND RENDER"/>
    <m/>
    <s v="FS"/>
    <s v="OTHER FEL"/>
    <m/>
    <m/>
    <m/>
    <m/>
    <m/>
    <m/>
    <m/>
    <m/>
    <m/>
    <s v="Hired Attorney"/>
    <m/>
    <m/>
    <n v="52"/>
    <n v="52"/>
    <n v="53"/>
    <n v="26.904371584699454"/>
    <n v="0"/>
    <n v="0"/>
    <s v="CONVICTION"/>
    <x v="0"/>
    <s v="N"/>
    <m/>
    <s v="CONVICTION"/>
    <s v="Y"/>
    <x v="0"/>
    <x v="0"/>
    <s v="N"/>
    <n v="0.98113207547169812"/>
    <n v="1"/>
    <n v="1.8867924528301883E-2"/>
    <n v="0"/>
    <n v="-52"/>
    <n v="0"/>
    <n v="52"/>
    <e v="#VALUE!"/>
    <n v="52"/>
    <n v="0"/>
    <m/>
    <m/>
    <s v="N"/>
    <m/>
    <s v="31-60 DAYS"/>
    <n v="3"/>
    <x v="0"/>
  </r>
  <r>
    <n v="1888"/>
    <s v="N"/>
    <s v="N"/>
    <n v="2608940"/>
    <n v="4"/>
    <d v="2012-03-10T00:00:00"/>
    <d v="2012-03-12T00:00:00"/>
    <n v="2608940"/>
    <d v="2012-03-11T00:00:00"/>
    <d v="2012-03-12T00:00:00"/>
    <n v="70000"/>
    <x v="2"/>
    <m/>
    <s v="N"/>
    <s v="NONE"/>
    <s v="GUILTY PLEA - NO JURY"/>
    <n v="2"/>
    <n v="3"/>
    <n v="0"/>
    <n v="0"/>
    <m/>
    <m/>
    <m/>
    <m/>
    <m/>
    <m/>
    <m/>
    <s v="S"/>
    <m/>
    <d v="1984-09-01T00:00:00"/>
    <s v="F"/>
    <s v="H"/>
    <s v="HISPANIC"/>
    <s v="NULL"/>
    <s v="177"/>
    <s v="CONVICTED"/>
    <n v="1"/>
    <s v="HCJ"/>
    <m/>
    <m/>
    <n v="365"/>
    <s v="FORGERY"/>
    <m/>
    <s v="FS"/>
    <s v="OTHER FEL"/>
    <m/>
    <m/>
    <m/>
    <m/>
    <m/>
    <m/>
    <m/>
    <m/>
    <m/>
    <s v="Appointed Attorney"/>
    <m/>
    <m/>
    <n v="2"/>
    <n v="2"/>
    <n v="3"/>
    <n v="27.464480874316941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1896"/>
    <s v="N"/>
    <s v="N"/>
    <n v="2608966"/>
    <n v="2"/>
    <d v="2012-03-11T00:00:00"/>
    <d v="2012-09-17T00:00:00"/>
    <n v="2608966"/>
    <d v="2012-03-11T00:00:00"/>
    <d v="2012-03-13T00:00:00"/>
    <n v="2000"/>
    <x v="5"/>
    <d v="2012-03-13T00:00:00"/>
    <s v="Y"/>
    <s v="SURETYPTRc"/>
    <s v="DEFERRED ADJUDICATION "/>
    <n v="3"/>
    <n v="191"/>
    <n v="0"/>
    <n v="0"/>
    <m/>
    <m/>
    <m/>
    <m/>
    <m/>
    <m/>
    <m/>
    <s v="S"/>
    <m/>
    <d v="1972-06-09T00:00:00"/>
    <s v="M"/>
    <s v="H"/>
    <s v="HISPANIC"/>
    <s v="NULL"/>
    <s v="248"/>
    <s v="DEFERRED"/>
    <n v="7"/>
    <s v="DEFERRED"/>
    <m/>
    <m/>
    <m/>
    <s v="POSS CS PG 1 &lt;1G"/>
    <m/>
    <s v="FS"/>
    <s v="POSS DRUG"/>
    <m/>
    <m/>
    <m/>
    <m/>
    <m/>
    <m/>
    <m/>
    <m/>
    <m/>
    <s v="Hired Attorney"/>
    <m/>
    <m/>
    <n v="3"/>
    <n v="191"/>
    <n v="191"/>
    <n v="39.672131147540981"/>
    <n v="0"/>
    <n v="-188"/>
    <s v="DEFERRED"/>
    <x v="1"/>
    <s v="Y"/>
    <m/>
    <s v="DEFERRED"/>
    <s v="Y"/>
    <x v="1"/>
    <x v="0"/>
    <s v="N"/>
    <n v="1.5706806282722512E-2"/>
    <n v="1.5706806282722512E-2"/>
    <n v="0"/>
    <n v="0"/>
    <n v="-3"/>
    <n v="0"/>
    <n v="3"/>
    <e v="#VALUE!"/>
    <n v="3"/>
    <n v="0"/>
    <m/>
    <m/>
    <s v="N"/>
    <m/>
    <s v="0-10 DAYS"/>
    <n v="1"/>
    <x v="0"/>
  </r>
  <r>
    <n v="1919"/>
    <s v="N"/>
    <s v="N"/>
    <n v="2609179"/>
    <n v="4"/>
    <d v="2012-03-12T00:00:00"/>
    <d v="2012-08-01T00:00:00"/>
    <n v="2609179"/>
    <d v="2012-03-13T00:00:00"/>
    <d v="2012-04-15T00:00:00"/>
    <n v="20000"/>
    <x v="0"/>
    <d v="2012-04-15T00:00:00"/>
    <s v="Y"/>
    <s v="SURETY"/>
    <s v="GUILTY PLEA - NO JURY"/>
    <n v="34"/>
    <n v="143"/>
    <n v="0"/>
    <n v="0"/>
    <m/>
    <m/>
    <m/>
    <m/>
    <m/>
    <m/>
    <m/>
    <m/>
    <m/>
    <d v="1990-10-05T00:00:00"/>
    <s v="F"/>
    <s v="B"/>
    <s v="BLACK"/>
    <s v="NULL"/>
    <s v="339"/>
    <s v="CONVICTED"/>
    <n v="6"/>
    <s v="HCJ"/>
    <m/>
    <m/>
    <n v="30"/>
    <s v="AGG ASSAULT W/DEADLY WEAPON"/>
    <m/>
    <s v="F2"/>
    <s v="ASLT-MURDR"/>
    <m/>
    <m/>
    <m/>
    <m/>
    <m/>
    <m/>
    <m/>
    <m/>
    <m/>
    <s v="Appointed Attorney"/>
    <m/>
    <m/>
    <n v="34"/>
    <n v="142"/>
    <n v="143"/>
    <n v="21.39071038251366"/>
    <n v="0"/>
    <n v="-108"/>
    <s v="CONVICTION"/>
    <x v="1"/>
    <s v="Y"/>
    <m/>
    <s v="CONVICTION"/>
    <s v="Y"/>
    <x v="1"/>
    <x v="0"/>
    <s v="N"/>
    <n v="0.23776223776223776"/>
    <n v="0.23943661971830985"/>
    <n v="1.6743819560720852E-3"/>
    <n v="0"/>
    <n v="-34"/>
    <n v="0"/>
    <n v="34"/>
    <e v="#VALUE!"/>
    <n v="34"/>
    <n v="0"/>
    <m/>
    <m/>
    <s v="N"/>
    <m/>
    <s v="31-60 DAYS"/>
    <n v="3"/>
    <x v="0"/>
  </r>
  <r>
    <n v="1930"/>
    <s v="N"/>
    <s v="N"/>
    <n v="2609280"/>
    <n v="6"/>
    <d v="2012-03-13T00:00:00"/>
    <d v="2012-10-15T00:00:00"/>
    <n v="2609280"/>
    <d v="2012-03-15T00:00:00"/>
    <d v="2012-03-17T00:00:00"/>
    <n v="10000"/>
    <x v="3"/>
    <d v="2012-03-17T00:00:00"/>
    <s v="Y"/>
    <s v="SURETYPTRc"/>
    <s v="GUILTY PLEA - NO JURY"/>
    <n v="3"/>
    <n v="217"/>
    <n v="0"/>
    <n v="0"/>
    <m/>
    <m/>
    <m/>
    <m/>
    <m/>
    <m/>
    <m/>
    <m/>
    <m/>
    <d v="1992-08-09T00:00:00"/>
    <s v="M"/>
    <s v="B"/>
    <s v="BLACK"/>
    <s v="NULL"/>
    <s v="230"/>
    <s v="CONVICTED"/>
    <n v="14"/>
    <s v="TDC"/>
    <n v="3"/>
    <m/>
    <m/>
    <s v="AGG ASLT-SER BOD INJURY"/>
    <m/>
    <s v="F2"/>
    <s v="ASLT-MURDR"/>
    <s v="disp 10/15/12 fel aslt filed 8/10/12 tdc disp same as study disp date case"/>
    <m/>
    <m/>
    <m/>
    <m/>
    <m/>
    <m/>
    <m/>
    <m/>
    <s v="Hired Attorney"/>
    <m/>
    <m/>
    <n v="3"/>
    <n v="215"/>
    <n v="217"/>
    <n v="19.551912568306012"/>
    <n v="0"/>
    <n v="-212"/>
    <s v="CONVICTION"/>
    <x v="1"/>
    <s v="Y"/>
    <m/>
    <s v="CONVICTION"/>
    <s v="Y"/>
    <x v="1"/>
    <x v="0"/>
    <s v="N"/>
    <n v="1.3824884792626729E-2"/>
    <n v="1.3953488372093023E-2"/>
    <n v="1.286035794662941E-4"/>
    <n v="0"/>
    <n v="-3"/>
    <n v="0"/>
    <n v="3"/>
    <e v="#VALUE!"/>
    <n v="3"/>
    <n v="0"/>
    <m/>
    <m/>
    <s v="N"/>
    <m/>
    <s v="0-10 DAYS"/>
    <n v="1"/>
    <x v="0"/>
  </r>
  <r>
    <n v="1921"/>
    <s v="N"/>
    <s v="N"/>
    <n v="2609348"/>
    <n v="4"/>
    <d v="2012-03-12T00:00:00"/>
    <d v="2012-06-18T00:00:00"/>
    <n v="2609348"/>
    <d v="2012-03-14T00:00:00"/>
    <d v="2012-06-18T00:00:00"/>
    <s v="NO BOND"/>
    <x v="1"/>
    <m/>
    <s v="N"/>
    <s v="NONE"/>
    <s v="DEFENDANT CONVICTED ON ANOTHER CHARGE"/>
    <n v="97"/>
    <n v="99"/>
    <n v="0"/>
    <n v="0"/>
    <m/>
    <m/>
    <m/>
    <m/>
    <m/>
    <m/>
    <m/>
    <s v="S"/>
    <m/>
    <d v="1984-04-25T00:00:00"/>
    <s v="M"/>
    <s v="H"/>
    <s v="HISPANIC"/>
    <s v="NULL"/>
    <s v="208"/>
    <s v="CONVICTED"/>
    <n v="6"/>
    <s v="HCJ"/>
    <m/>
    <m/>
    <n v="240"/>
    <s v="DEADLY CONDUCT"/>
    <m/>
    <m/>
    <s v="OTHERMISD"/>
    <m/>
    <m/>
    <m/>
    <m/>
    <m/>
    <m/>
    <m/>
    <m/>
    <m/>
    <s v="Appointed Attorney"/>
    <m/>
    <m/>
    <n v="97"/>
    <n v="97"/>
    <n v="99"/>
    <n v="27.8224043715847"/>
    <n v="0"/>
    <n v="0"/>
    <s v="CONVICTION"/>
    <x v="0"/>
    <s v="N"/>
    <m/>
    <s v="CONVICTION"/>
    <s v="Y"/>
    <x v="0"/>
    <x v="0"/>
    <s v="N"/>
    <n v="0.97979797979797978"/>
    <n v="1"/>
    <n v="2.0202020202020221E-2"/>
    <n v="0"/>
    <n v="-97"/>
    <n v="0"/>
    <n v="97"/>
    <e v="#VALUE!"/>
    <n v="97"/>
    <n v="0"/>
    <m/>
    <m/>
    <s v="N"/>
    <m/>
    <s v="91-120 DAYS"/>
    <n v="0"/>
    <x v="0"/>
  </r>
  <r>
    <n v="1946"/>
    <s v="N"/>
    <s v="N"/>
    <n v="2609363"/>
    <n v="2"/>
    <d v="2012-03-14T00:00:00"/>
    <d v="2012-06-20T00:00:00"/>
    <n v="2609363"/>
    <d v="2012-03-14T00:00:00"/>
    <d v="2012-06-20T00:00:00"/>
    <n v="20000"/>
    <x v="0"/>
    <m/>
    <s v="N"/>
    <s v="NONE"/>
    <s v="DEFERRED ADJUDICATION "/>
    <n v="99"/>
    <n v="99"/>
    <n v="0"/>
    <n v="0"/>
    <m/>
    <m/>
    <m/>
    <m/>
    <m/>
    <m/>
    <m/>
    <m/>
    <m/>
    <d v="1993-12-17T00:00:00"/>
    <s v="M"/>
    <s v="W"/>
    <s v="WHITE"/>
    <s v="NULL"/>
    <s v="232"/>
    <s v="DEFERRED"/>
    <n v="5"/>
    <s v="DEFERRED"/>
    <m/>
    <m/>
    <m/>
    <s v="BURGLARY OF HABITATION"/>
    <m/>
    <s v="F2"/>
    <s v="BURGLARY"/>
    <s v="6/20/12 viol amend cop"/>
    <m/>
    <m/>
    <m/>
    <m/>
    <m/>
    <m/>
    <m/>
    <m/>
    <s v="Public Defender"/>
    <m/>
    <m/>
    <n v="99"/>
    <n v="99"/>
    <n v="99"/>
    <n v="18.202185792349727"/>
    <n v="0"/>
    <n v="0"/>
    <s v="DEFERRED"/>
    <x v="0"/>
    <s v="N"/>
    <m/>
    <s v="DEFERRED"/>
    <s v="Y"/>
    <x v="0"/>
    <x v="0"/>
    <s v="N"/>
    <n v="1"/>
    <n v="1"/>
    <n v="0"/>
    <n v="0"/>
    <n v="-99"/>
    <n v="0"/>
    <n v="99"/>
    <e v="#VALUE!"/>
    <n v="99"/>
    <n v="0"/>
    <m/>
    <m/>
    <s v="N"/>
    <m/>
    <s v="91-120 DAYS"/>
    <n v="0"/>
    <x v="0"/>
  </r>
  <r>
    <n v="1958"/>
    <s v="N"/>
    <s v="N"/>
    <n v="2609412"/>
    <n v="5"/>
    <d v="2012-03-14T00:00:00"/>
    <d v="2012-08-24T00:00:00"/>
    <n v="2609412"/>
    <d v="2012-03-14T00:00:00"/>
    <d v="2012-08-24T00:00:00"/>
    <n v="35000"/>
    <x v="2"/>
    <m/>
    <s v="N"/>
    <s v="NONE"/>
    <s v="GUILTY PLEA - NO JURY"/>
    <n v="164"/>
    <n v="164"/>
    <n v="0"/>
    <n v="0"/>
    <m/>
    <m/>
    <m/>
    <m/>
    <m/>
    <m/>
    <m/>
    <s v="S"/>
    <m/>
    <d v="1972-08-28T00:00:00"/>
    <s v="F"/>
    <s v="H"/>
    <s v="HISPANIC"/>
    <s v="NULL"/>
    <s v="232"/>
    <s v="CONVICTED"/>
    <n v="9"/>
    <s v="STJ"/>
    <m/>
    <n v="6"/>
    <m/>
    <s v="TRADEMARK COUNTERFEITING&gt;=1500"/>
    <m/>
    <s v="FS"/>
    <s v="OTHER FEL"/>
    <m/>
    <m/>
    <m/>
    <m/>
    <m/>
    <m/>
    <m/>
    <m/>
    <m/>
    <s v="Hired Attorney"/>
    <m/>
    <m/>
    <n v="164"/>
    <n v="164"/>
    <n v="164"/>
    <n v="39.461748633879779"/>
    <n v="0"/>
    <n v="0"/>
    <s v="CONVICTION"/>
    <x v="0"/>
    <s v="N"/>
    <m/>
    <s v="CONVICTION"/>
    <s v="Y"/>
    <x v="0"/>
    <x v="0"/>
    <s v="N"/>
    <n v="1"/>
    <n v="1"/>
    <n v="0"/>
    <n v="0"/>
    <n v="-164"/>
    <n v="0"/>
    <n v="164"/>
    <e v="#VALUE!"/>
    <n v="164"/>
    <n v="0"/>
    <m/>
    <m/>
    <s v="N"/>
    <m/>
    <s v="121-365 DAYS"/>
    <n v="6"/>
    <x v="0"/>
  </r>
  <r>
    <n v="2122"/>
    <s v="N"/>
    <s v="N"/>
    <n v="2609423"/>
    <n v="6"/>
    <d v="2012-03-20T00:00:00"/>
    <d v="2012-10-04T00:00:00"/>
    <n v="2609423"/>
    <d v="2012-03-20T00:00:00"/>
    <d v="2012-10-04T00:00:00"/>
    <s v="NO BOND"/>
    <x v="1"/>
    <m/>
    <s v="N"/>
    <s v="NONE"/>
    <s v="GUILTY PLEA - NO JURY"/>
    <n v="199"/>
    <n v="199"/>
    <n v="0"/>
    <n v="0"/>
    <m/>
    <m/>
    <m/>
    <m/>
    <m/>
    <m/>
    <m/>
    <s v="S"/>
    <m/>
    <d v="1977-05-28T00:00:00"/>
    <s v="M"/>
    <s v="H"/>
    <s v="HISPANIC"/>
    <s v="NULL"/>
    <s v="183"/>
    <s v="CONVICTED"/>
    <n v="10"/>
    <s v="TDC"/>
    <n v="6"/>
    <m/>
    <m/>
    <s v="AGG ROBBERY-DEADLY WPN"/>
    <m/>
    <s v="F1"/>
    <s v="ROBBERY"/>
    <m/>
    <m/>
    <m/>
    <m/>
    <m/>
    <m/>
    <m/>
    <m/>
    <m/>
    <s v="Appointed Attorney"/>
    <m/>
    <m/>
    <n v="199"/>
    <n v="199"/>
    <n v="199"/>
    <n v="34.740437158469945"/>
    <n v="0"/>
    <n v="0"/>
    <s v="CONVICTION"/>
    <x v="0"/>
    <s v="N"/>
    <m/>
    <s v="CONVICTION"/>
    <s v="Y"/>
    <x v="0"/>
    <x v="0"/>
    <s v="N"/>
    <n v="1"/>
    <n v="1"/>
    <n v="0"/>
    <n v="0"/>
    <n v="-199"/>
    <n v="0"/>
    <n v="199"/>
    <e v="#VALUE!"/>
    <n v="199"/>
    <n v="0"/>
    <m/>
    <m/>
    <s v="N"/>
    <m/>
    <s v="121-365 DAYS"/>
    <n v="6"/>
    <x v="0"/>
  </r>
  <r>
    <n v="2940"/>
    <s v="N"/>
    <s v="N"/>
    <n v="2609496"/>
    <n v="6"/>
    <d v="2012-04-18T00:00:00"/>
    <d v="2013-10-23T00:00:00"/>
    <n v="2609496"/>
    <d v="2013-07-17T00:00:00"/>
    <d v="2013-10-23T00:00:00"/>
    <n v="30000"/>
    <x v="2"/>
    <m/>
    <s v="N"/>
    <s v="NONE"/>
    <s v="GUILTY PLEA - NO JURY"/>
    <n v="99"/>
    <n v="554"/>
    <n v="0"/>
    <n v="1"/>
    <m/>
    <m/>
    <m/>
    <m/>
    <m/>
    <m/>
    <m/>
    <m/>
    <m/>
    <d v="1994-11-22T00:00:00"/>
    <s v="M"/>
    <s v="B"/>
    <s v="BLACK"/>
    <s v="NULL"/>
    <s v="176"/>
    <s v="CONVICTED"/>
    <n v="18"/>
    <s v="TDC"/>
    <n v="12"/>
    <m/>
    <m/>
    <s v="AGG ROBBERY-DEADLY WPN"/>
    <m/>
    <s v="F1"/>
    <s v="ROBBERY"/>
    <s v="pend f theft filed before arrested sent to  12 y tdc on aff robbery "/>
    <m/>
    <m/>
    <m/>
    <m/>
    <m/>
    <m/>
    <m/>
    <m/>
    <s v="Appointed Attorney"/>
    <m/>
    <m/>
    <n v="99"/>
    <n v="99"/>
    <n v="554"/>
    <n v="17.368852459016395"/>
    <n v="0"/>
    <n v="0"/>
    <s v="CONVICTION"/>
    <x v="0"/>
    <s v="N"/>
    <m/>
    <s v="CONVICTION"/>
    <s v="Y"/>
    <x v="0"/>
    <x v="0"/>
    <s v="N"/>
    <n v="0.17870036101083034"/>
    <n v="1"/>
    <n v="0.82129963898916969"/>
    <n v="0"/>
    <n v="-99"/>
    <n v="0"/>
    <n v="99"/>
    <e v="#VALUE!"/>
    <n v="99"/>
    <n v="0"/>
    <m/>
    <m/>
    <s v="Y"/>
    <m/>
    <s v="91-120 DAYS"/>
    <n v="0"/>
    <x v="0"/>
  </r>
  <r>
    <n v="1970"/>
    <s v="N"/>
    <s v="N"/>
    <n v="2609533"/>
    <n v="2"/>
    <d v="2012-03-14T00:00:00"/>
    <d v="2012-08-21T00:00:00"/>
    <n v="2609533"/>
    <d v="2012-03-15T00:00:00"/>
    <d v="2012-03-19T00:00:00"/>
    <n v="5000"/>
    <x v="4"/>
    <d v="2012-03-19T00:00:00"/>
    <s v="Y"/>
    <s v="PTR"/>
    <s v="DEFERRED ADJUDICATION "/>
    <n v="5"/>
    <n v="161"/>
    <n v="0"/>
    <n v="0"/>
    <m/>
    <m/>
    <m/>
    <m/>
    <m/>
    <m/>
    <m/>
    <s v="S"/>
    <m/>
    <d v="1990-09-17T00:00:00"/>
    <s v="M"/>
    <s v="H"/>
    <s v="HISPANIC"/>
    <s v="NULL"/>
    <s v="208"/>
    <s v="DEFERRED"/>
    <n v="8"/>
    <s v="DEFERRED"/>
    <m/>
    <m/>
    <m/>
    <s v="ENGAGING IN ORG CRIM ACTIVITY"/>
    <m/>
    <s v="F3"/>
    <s v="OTHER FEL"/>
    <m/>
    <m/>
    <m/>
    <m/>
    <m/>
    <m/>
    <m/>
    <m/>
    <m/>
    <s v="Hired Attorney"/>
    <m/>
    <m/>
    <n v="5"/>
    <n v="160"/>
    <n v="161"/>
    <n v="21.44535519125683"/>
    <n v="0"/>
    <n v="-155"/>
    <s v="DEFERRED"/>
    <x v="2"/>
    <s v="Y"/>
    <m/>
    <s v="DEFERRED"/>
    <s v="Y"/>
    <x v="1"/>
    <x v="0"/>
    <s v="N"/>
    <n v="3.1055900621118012E-2"/>
    <n v="3.125E-2"/>
    <n v="1.9409937888198794E-4"/>
    <n v="0"/>
    <n v="-5"/>
    <n v="0"/>
    <n v="5"/>
    <e v="#VALUE!"/>
    <n v="5"/>
    <n v="0"/>
    <m/>
    <m/>
    <s v="N"/>
    <m/>
    <s v="0-10 DAYS"/>
    <n v="1"/>
    <x v="0"/>
  </r>
  <r>
    <n v="1973"/>
    <s v="N"/>
    <s v="N"/>
    <n v="2609535"/>
    <n v="4"/>
    <d v="2012-03-14T00:00:00"/>
    <d v="2012-06-27T00:00:00"/>
    <n v="2609535"/>
    <d v="2012-03-15T00:00:00"/>
    <d v="2012-03-17T00:00:00"/>
    <n v="10000"/>
    <x v="3"/>
    <d v="2012-03-17T00:00:00"/>
    <s v="Y"/>
    <s v="SURETY"/>
    <s v="GUILTY PLEA - NO JURY"/>
    <n v="3"/>
    <n v="106"/>
    <n v="0"/>
    <n v="0"/>
    <m/>
    <m/>
    <m/>
    <m/>
    <m/>
    <m/>
    <m/>
    <m/>
    <m/>
    <d v="1954-03-25T00:00:00"/>
    <s v="F"/>
    <s v="B"/>
    <s v="BLACK"/>
    <s v="NULL"/>
    <s v="351"/>
    <s v="CONVICTED"/>
    <n v="5"/>
    <s v="HCJ"/>
    <m/>
    <m/>
    <n v="90"/>
    <s v="ROBBERY-BODILY INJURY"/>
    <m/>
    <s v="F2"/>
    <s v="ROBBERY"/>
    <m/>
    <m/>
    <m/>
    <m/>
    <m/>
    <m/>
    <m/>
    <m/>
    <m/>
    <s v="Appointed Attorney"/>
    <m/>
    <m/>
    <n v="3"/>
    <n v="105"/>
    <n v="106"/>
    <n v="57.852459016393439"/>
    <n v="0"/>
    <n v="-102"/>
    <s v="CONVICTION"/>
    <x v="1"/>
    <s v="Y"/>
    <m/>
    <s v="CONVICTION"/>
    <s v="Y"/>
    <x v="1"/>
    <x v="0"/>
    <s v="N"/>
    <n v="2.8301886792452831E-2"/>
    <n v="2.8571428571428571E-2"/>
    <n v="2.6954177897573969E-4"/>
    <n v="0"/>
    <n v="-3"/>
    <n v="0"/>
    <n v="3"/>
    <e v="#VALUE!"/>
    <n v="3"/>
    <n v="0"/>
    <m/>
    <m/>
    <s v="N"/>
    <m/>
    <s v="0-10 DAYS"/>
    <n v="1"/>
    <x v="0"/>
  </r>
  <r>
    <n v="1971"/>
    <s v="N"/>
    <s v="N"/>
    <n v="2609536"/>
    <n v="2"/>
    <d v="2012-03-14T00:00:00"/>
    <d v="2012-03-16T00:00:00"/>
    <n v="2609536"/>
    <d v="2012-03-15T00:00:00"/>
    <d v="2012-03-16T00:00:00"/>
    <n v="2000"/>
    <x v="5"/>
    <m/>
    <s v="N"/>
    <s v="NONE"/>
    <s v="DEFERRED ADJUDICATION "/>
    <n v="2"/>
    <n v="3"/>
    <n v="0"/>
    <n v="0"/>
    <m/>
    <m/>
    <m/>
    <m/>
    <m/>
    <m/>
    <m/>
    <m/>
    <m/>
    <d v="1964-05-10T00:00:00"/>
    <s v="F"/>
    <s v="A"/>
    <s v="OTHER"/>
    <s v="NULL"/>
    <s v="262"/>
    <s v="DEFERRED"/>
    <n v="1"/>
    <s v="DEFERRED"/>
    <m/>
    <m/>
    <m/>
    <s v="FORGERY"/>
    <m/>
    <s v="FS"/>
    <s v="OTHER FEL"/>
    <s v="failed to report 8/16/12 motion pend"/>
    <m/>
    <m/>
    <m/>
    <m/>
    <m/>
    <m/>
    <m/>
    <m/>
    <s v="Appointed Attorney"/>
    <m/>
    <m/>
    <n v="2"/>
    <n v="2"/>
    <n v="3"/>
    <n v="47.745901639344261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2165"/>
    <s v="N"/>
    <s v="N"/>
    <n v="2609552"/>
    <n v="4"/>
    <d v="2012-03-22T00:00:00"/>
    <d v="2012-03-26T00:00:00"/>
    <n v="2609552"/>
    <d v="2012-03-22T00:00:00"/>
    <d v="2012-03-26T00:00:00"/>
    <n v="5000"/>
    <x v="4"/>
    <m/>
    <s v="N"/>
    <s v="NONE"/>
    <s v="GUILTY PLEA - NO JURY"/>
    <n v="5"/>
    <n v="5"/>
    <n v="0"/>
    <n v="0"/>
    <m/>
    <m/>
    <m/>
    <m/>
    <m/>
    <m/>
    <m/>
    <m/>
    <m/>
    <d v="1991-11-11T00:00:00"/>
    <s v="M"/>
    <s v="B"/>
    <s v="BLACK"/>
    <s v="NULL"/>
    <s v="178"/>
    <s v="CONVICTED"/>
    <n v="1"/>
    <s v="HCJ"/>
    <m/>
    <m/>
    <n v="10"/>
    <s v="evading arrest/detention w/veh "/>
    <m/>
    <s v="F3"/>
    <s v="OTHER FEL"/>
    <m/>
    <m/>
    <m/>
    <m/>
    <m/>
    <m/>
    <m/>
    <m/>
    <m/>
    <s v="Appointed Attorney"/>
    <m/>
    <m/>
    <n v="5"/>
    <n v="5"/>
    <n v="5"/>
    <n v="20.319672131147541"/>
    <n v="0"/>
    <n v="0"/>
    <s v="CONVICTION"/>
    <x v="0"/>
    <s v="N"/>
    <m/>
    <s v="CONVICTION"/>
    <s v="Y"/>
    <x v="0"/>
    <x v="0"/>
    <s v="N"/>
    <n v="1"/>
    <n v="1"/>
    <n v="0"/>
    <n v="0"/>
    <n v="-5"/>
    <n v="0"/>
    <n v="5"/>
    <e v="#VALUE!"/>
    <n v="5"/>
    <n v="0"/>
    <m/>
    <m/>
    <s v="N"/>
    <m/>
    <s v="0-10 DAYS"/>
    <n v="1"/>
    <x v="0"/>
  </r>
  <r>
    <n v="1985"/>
    <s v="N"/>
    <s v="N"/>
    <n v="2609576"/>
    <n v="1"/>
    <d v="2012-03-15T00:00:00"/>
    <d v="2012-04-26T00:00:00"/>
    <n v="2609576"/>
    <d v="2012-03-15T00:00:00"/>
    <d v="2012-03-16T00:00:00"/>
    <n v="30000"/>
    <x v="2"/>
    <d v="2012-03-16T00:00:00"/>
    <s v="Y"/>
    <s v="SURETY"/>
    <s v="NO BILL"/>
    <n v="2"/>
    <n v="43"/>
    <n v="0"/>
    <n v="0"/>
    <m/>
    <m/>
    <m/>
    <m/>
    <m/>
    <m/>
    <m/>
    <m/>
    <m/>
    <d v="1960-05-09T00:00:00"/>
    <s v="F"/>
    <s v="W"/>
    <s v="WHITE"/>
    <s v="NULL"/>
    <s v="248"/>
    <s v="NO BILL"/>
    <n v="5"/>
    <s v="NO BILL"/>
    <m/>
    <m/>
    <m/>
    <s v="AGG ASSAULT-FAMILY MEMBER"/>
    <m/>
    <s v="F2"/>
    <s v="ASLT-MURDR"/>
    <m/>
    <m/>
    <m/>
    <m/>
    <m/>
    <m/>
    <m/>
    <m/>
    <m/>
    <s v="Hired Attorney"/>
    <m/>
    <m/>
    <n v="2"/>
    <n v="43"/>
    <n v="43"/>
    <n v="51.743169398907106"/>
    <n v="0"/>
    <n v="-41"/>
    <s v="NO CONVICTION"/>
    <x v="1"/>
    <s v="Y"/>
    <m/>
    <s v="NO CONVICTION"/>
    <s v="Y"/>
    <x v="1"/>
    <x v="0"/>
    <s v="N"/>
    <n v="4.6511627906976744E-2"/>
    <n v="4.6511627906976744E-2"/>
    <n v="0"/>
    <n v="0"/>
    <n v="-2"/>
    <n v="0"/>
    <n v="2"/>
    <e v="#VALUE!"/>
    <n v="2"/>
    <n v="0"/>
    <m/>
    <m/>
    <s v="N"/>
    <m/>
    <s v="0-10 DAYS"/>
    <n v="1"/>
    <x v="0"/>
  </r>
  <r>
    <n v="1988"/>
    <s v="N"/>
    <s v="N"/>
    <n v="2609630"/>
    <n v="1"/>
    <d v="2012-03-15T00:00:00"/>
    <d v="2012-05-16T00:00:00"/>
    <n v="2609630"/>
    <d v="2012-03-16T00:00:00"/>
    <d v="2012-05-16T00:00:00"/>
    <n v="30000"/>
    <x v="2"/>
    <m/>
    <s v="N"/>
    <s v="NONE"/>
    <s v="DISMISSED"/>
    <n v="62"/>
    <n v="63"/>
    <n v="0"/>
    <n v="0"/>
    <m/>
    <m/>
    <m/>
    <m/>
    <m/>
    <m/>
    <m/>
    <m/>
    <m/>
    <d v="1980-03-26T00:00:00"/>
    <s v="M"/>
    <s v="W"/>
    <s v="WHITE"/>
    <s v="NULL"/>
    <s v="180"/>
    <s v="DISMISSED"/>
    <n v="8"/>
    <s v="DISMISSED"/>
    <m/>
    <m/>
    <m/>
    <s v="INJURY TO CHILD-SBI"/>
    <m/>
    <s v="F1"/>
    <s v="ASLT-MURDR"/>
    <m/>
    <m/>
    <m/>
    <m/>
    <m/>
    <m/>
    <m/>
    <m/>
    <m/>
    <s v="Hired Attorney"/>
    <m/>
    <m/>
    <n v="62"/>
    <n v="62"/>
    <n v="63"/>
    <n v="31.904371584699454"/>
    <n v="0"/>
    <n v="0"/>
    <s v="NO CONVICTION"/>
    <x v="0"/>
    <s v="N"/>
    <m/>
    <s v="NO CONVICTION"/>
    <s v="Y"/>
    <x v="0"/>
    <x v="0"/>
    <s v="N"/>
    <n v="0.98412698412698407"/>
    <n v="1"/>
    <n v="1.5873015873015928E-2"/>
    <n v="0"/>
    <n v="-62"/>
    <n v="0"/>
    <n v="62"/>
    <e v="#VALUE!"/>
    <n v="62"/>
    <n v="0"/>
    <m/>
    <m/>
    <s v="N"/>
    <m/>
    <s v="61-90 DAYS"/>
    <n v="4"/>
    <x v="0"/>
  </r>
  <r>
    <n v="1992"/>
    <s v="N"/>
    <s v="N"/>
    <n v="2609659"/>
    <n v="1"/>
    <d v="2012-03-15T00:00:00"/>
    <d v="2012-08-30T00:00:00"/>
    <n v="2609659"/>
    <d v="2012-03-15T00:00:00"/>
    <d v="2012-03-22T00:00:00"/>
    <n v="7000"/>
    <x v="3"/>
    <d v="2012-03-22T00:00:00"/>
    <s v="Y"/>
    <s v="SURETY"/>
    <s v="DISMISSED"/>
    <n v="8"/>
    <n v="169"/>
    <n v="0"/>
    <n v="0"/>
    <m/>
    <m/>
    <m/>
    <m/>
    <m/>
    <m/>
    <m/>
    <m/>
    <m/>
    <d v="1992-09-04T00:00:00"/>
    <s v="M"/>
    <s v="B"/>
    <s v="BLACK"/>
    <s v="NULL"/>
    <s v="228"/>
    <s v="DISMISSED"/>
    <n v="6"/>
    <s v="DISMISSED"/>
    <m/>
    <m/>
    <m/>
    <s v="AGG ROBBERY-OVER 65 OR DISABLE"/>
    <m/>
    <s v="F1"/>
    <s v="ROBBERY"/>
    <m/>
    <m/>
    <m/>
    <m/>
    <m/>
    <m/>
    <m/>
    <m/>
    <m/>
    <s v="Appointed Attorney"/>
    <m/>
    <m/>
    <n v="8"/>
    <n v="169"/>
    <n v="169"/>
    <n v="19.486338797814209"/>
    <n v="0"/>
    <n v="-161"/>
    <s v="NO CONVICTION"/>
    <x v="1"/>
    <s v="Y"/>
    <m/>
    <s v="NO CONVICTION"/>
    <s v="Y"/>
    <x v="1"/>
    <x v="0"/>
    <s v="N"/>
    <n v="4.7337278106508875E-2"/>
    <n v="4.7337278106508875E-2"/>
    <n v="0"/>
    <n v="0"/>
    <n v="-8"/>
    <n v="0"/>
    <n v="8"/>
    <e v="#VALUE!"/>
    <n v="8"/>
    <n v="0"/>
    <m/>
    <m/>
    <s v="N"/>
    <m/>
    <s v="0-10 DAYS"/>
    <n v="1"/>
    <x v="0"/>
  </r>
  <r>
    <n v="1993"/>
    <s v="N"/>
    <s v="N"/>
    <n v="2609707"/>
    <n v="4"/>
    <d v="2012-03-15T00:00:00"/>
    <d v="2012-04-11T00:00:00"/>
    <n v="2609707"/>
    <d v="2012-03-15T00:00:00"/>
    <d v="2012-04-11T00:00:00"/>
    <n v="5000"/>
    <x v="4"/>
    <m/>
    <s v="N"/>
    <s v="NONE"/>
    <s v="GUILTY PLEA - NO JURY"/>
    <n v="28"/>
    <n v="28"/>
    <n v="0"/>
    <n v="0"/>
    <m/>
    <m/>
    <m/>
    <m/>
    <m/>
    <m/>
    <m/>
    <s v="S"/>
    <m/>
    <d v="1976-09-15T00:00:00"/>
    <s v="M"/>
    <s v="H"/>
    <s v="HISPANIC"/>
    <s v="NULL"/>
    <s v="182"/>
    <s v="CONVICTED"/>
    <n v="2"/>
    <s v="HCJ"/>
    <m/>
    <m/>
    <n v="180"/>
    <s v="POSS CS PG 1 &lt;1G"/>
    <m/>
    <s v="FS"/>
    <s v="POSS DRUG"/>
    <s v="fel pend crim misch 11/7/12 hcj 120 d "/>
    <m/>
    <m/>
    <m/>
    <m/>
    <m/>
    <m/>
    <m/>
    <m/>
    <s v="Appointed Attorney"/>
    <m/>
    <m/>
    <n v="28"/>
    <n v="28"/>
    <n v="28"/>
    <n v="35.423497267759565"/>
    <n v="0"/>
    <n v="0"/>
    <s v="CONVICTION"/>
    <x v="0"/>
    <s v="N"/>
    <m/>
    <s v="CONVICTION"/>
    <s v="Y"/>
    <x v="0"/>
    <x v="0"/>
    <s v="N"/>
    <n v="1"/>
    <n v="1"/>
    <n v="0"/>
    <n v="0"/>
    <n v="-28"/>
    <n v="0"/>
    <n v="28"/>
    <e v="#VALUE!"/>
    <n v="28"/>
    <n v="0"/>
    <m/>
    <m/>
    <s v="N"/>
    <m/>
    <s v="11-30 DAYS"/>
    <n v="2"/>
    <x v="0"/>
  </r>
  <r>
    <n v="1995"/>
    <s v="N"/>
    <s v="N"/>
    <n v="2609709"/>
    <n v="1"/>
    <d v="2012-03-15T00:00:00"/>
    <d v="2013-01-23T00:00:00"/>
    <n v="2609709"/>
    <d v="2012-03-16T00:00:00"/>
    <d v="2012-03-22T00:00:00"/>
    <n v="30000"/>
    <x v="2"/>
    <d v="2012-03-22T00:00:00"/>
    <s v="Y"/>
    <s v="SURETYPTRc"/>
    <s v="DISMISSED"/>
    <n v="7"/>
    <n v="315"/>
    <n v="0"/>
    <n v="0"/>
    <m/>
    <m/>
    <m/>
    <m/>
    <m/>
    <m/>
    <m/>
    <m/>
    <m/>
    <d v="1991-03-25T00:00:00"/>
    <s v="M"/>
    <s v="W"/>
    <s v="WHITE"/>
    <s v="NULL"/>
    <s v="337"/>
    <s v="DISMISSED"/>
    <n v="7"/>
    <s v="DISMISSED"/>
    <m/>
    <m/>
    <m/>
    <s v="AGG ASSAULT W/DEADLY WEAPON"/>
    <m/>
    <s v="F2"/>
    <s v="ASLT-MURDR"/>
    <m/>
    <m/>
    <m/>
    <m/>
    <m/>
    <m/>
    <m/>
    <m/>
    <m/>
    <s v="Hired Attorney"/>
    <m/>
    <m/>
    <n v="7"/>
    <n v="314"/>
    <n v="315"/>
    <n v="20.931693989071039"/>
    <n v="0"/>
    <n v="-307"/>
    <s v="NO CONVICTION"/>
    <x v="1"/>
    <s v="Y"/>
    <m/>
    <s v="NO CONVICTION"/>
    <s v="Y"/>
    <x v="1"/>
    <x v="0"/>
    <s v="N"/>
    <n v="2.2222222222222223E-2"/>
    <n v="2.2292993630573247E-2"/>
    <n v="7.0771408351023857E-5"/>
    <n v="0"/>
    <n v="-7"/>
    <n v="0"/>
    <n v="7"/>
    <e v="#VALUE!"/>
    <n v="7"/>
    <n v="0"/>
    <m/>
    <m/>
    <s v="N"/>
    <m/>
    <s v="0-10 DAYS"/>
    <n v="1"/>
    <x v="0"/>
  </r>
  <r>
    <n v="2005"/>
    <s v="N"/>
    <s v="N"/>
    <n v="2609733"/>
    <n v="2"/>
    <d v="2012-03-16T00:00:00"/>
    <d v="2012-10-08T00:00:00"/>
    <n v="2609733"/>
    <d v="2012-03-16T00:00:00"/>
    <d v="2012-03-16T00:00:00"/>
    <n v="40000"/>
    <x v="2"/>
    <d v="2012-03-16T00:00:00"/>
    <s v="Y"/>
    <s v="SURETY"/>
    <s v="DEFERRED ADJUDICATION "/>
    <n v="1"/>
    <n v="207"/>
    <n v="0"/>
    <n v="0"/>
    <m/>
    <m/>
    <m/>
    <m/>
    <m/>
    <m/>
    <m/>
    <m/>
    <m/>
    <d v="1982-09-14T00:00:00"/>
    <s v="M"/>
    <s v="W"/>
    <s v="WHITE"/>
    <s v="NULL"/>
    <s v="185"/>
    <s v="DEFERRED"/>
    <n v="10"/>
    <s v="DEFERRED"/>
    <m/>
    <m/>
    <m/>
    <s v="ENGAGING IN ORG CRIM ACTIVITY"/>
    <m/>
    <s v="F1"/>
    <s v="OTHER FEL"/>
    <m/>
    <m/>
    <m/>
    <m/>
    <m/>
    <m/>
    <m/>
    <m/>
    <m/>
    <s v="Hired Attorney"/>
    <m/>
    <m/>
    <n v="1"/>
    <n v="207"/>
    <n v="207"/>
    <n v="29.442622950819672"/>
    <n v="0"/>
    <n v="-206"/>
    <s v="DEFERRED"/>
    <x v="1"/>
    <s v="Y"/>
    <m/>
    <s v="DEFERRED"/>
    <s v="Y"/>
    <x v="1"/>
    <x v="0"/>
    <s v="N"/>
    <n v="4.830917874396135E-3"/>
    <n v="4.830917874396135E-3"/>
    <n v="0"/>
    <n v="0"/>
    <n v="-1"/>
    <n v="0"/>
    <n v="1"/>
    <e v="#VALUE!"/>
    <n v="1"/>
    <n v="0"/>
    <m/>
    <m/>
    <s v="N"/>
    <m/>
    <s v="0-10 DAYS"/>
    <n v="1"/>
    <x v="0"/>
  </r>
  <r>
    <n v="2012"/>
    <s v="N"/>
    <s v="N"/>
    <n v="2609819"/>
    <n v="6"/>
    <d v="2012-03-16T00:00:00"/>
    <d v="2012-07-11T00:00:00"/>
    <n v="2609819"/>
    <d v="2012-03-19T00:00:00"/>
    <d v="2012-07-11T00:00:00"/>
    <s v="NO BOND"/>
    <x v="1"/>
    <m/>
    <s v="N"/>
    <s v="NONE"/>
    <s v="GUILTY PLEA - NO JURY"/>
    <n v="115"/>
    <n v="118"/>
    <n v="0"/>
    <n v="0"/>
    <m/>
    <m/>
    <m/>
    <m/>
    <m/>
    <m/>
    <m/>
    <m/>
    <m/>
    <d v="1997-01-04T00:00:00"/>
    <s v="M"/>
    <s v="W"/>
    <s v="WHITE"/>
    <s v="NULL"/>
    <s v="248"/>
    <s v="CONVICTED"/>
    <n v="5"/>
    <s v="TDC"/>
    <n v="7"/>
    <m/>
    <m/>
    <s v="AGG ROBBERY-DEADLY WPN"/>
    <m/>
    <s v="F1"/>
    <s v="ROBBERY"/>
    <m/>
    <m/>
    <m/>
    <m/>
    <m/>
    <m/>
    <m/>
    <m/>
    <m/>
    <s v="Appointed Attorney"/>
    <m/>
    <m/>
    <n v="115"/>
    <n v="115"/>
    <n v="118"/>
    <n v="15.163934426229508"/>
    <n v="0"/>
    <n v="0"/>
    <s v="CONVICTION"/>
    <x v="0"/>
    <s v="N"/>
    <m/>
    <s v="CONVICTION"/>
    <s v="Y"/>
    <x v="0"/>
    <x v="0"/>
    <s v="N"/>
    <n v="0.97457627118644063"/>
    <n v="1"/>
    <n v="2.5423728813559365E-2"/>
    <n v="0"/>
    <n v="-115"/>
    <n v="0"/>
    <n v="115"/>
    <e v="#VALUE!"/>
    <n v="115"/>
    <n v="0"/>
    <m/>
    <m/>
    <s v="N"/>
    <m/>
    <s v="91-120 DAYS"/>
    <n v="0"/>
    <x v="0"/>
  </r>
  <r>
    <n v="2014"/>
    <s v="N"/>
    <s v="N"/>
    <n v="2609833"/>
    <n v="6"/>
    <d v="2012-03-16T00:00:00"/>
    <d v="2013-08-23T00:00:00"/>
    <n v="2609833"/>
    <d v="2012-03-16T00:00:00"/>
    <d v="2012-03-17T00:00:00"/>
    <n v="60000"/>
    <x v="2"/>
    <d v="2012-03-17T00:00:00"/>
    <s v="Y"/>
    <s v="SURETY"/>
    <s v="GUILTY PLEA - NO JURY"/>
    <n v="2"/>
    <n v="526"/>
    <n v="0"/>
    <n v="0"/>
    <m/>
    <m/>
    <m/>
    <m/>
    <m/>
    <m/>
    <m/>
    <m/>
    <m/>
    <d v="1983-04-27T00:00:00"/>
    <s v="M"/>
    <s v="W"/>
    <s v="WHITE"/>
    <s v="NULL"/>
    <s v="177"/>
    <s v="CONVICTED"/>
    <n v="14"/>
    <s v="TDC"/>
    <n v="5"/>
    <m/>
    <m/>
    <s v="SEX ASSLT CHILD 14-17"/>
    <m/>
    <s v="F2"/>
    <s v="SEX ABUSE"/>
    <s v="3 CASES SAME DISP"/>
    <m/>
    <m/>
    <m/>
    <m/>
    <m/>
    <m/>
    <m/>
    <m/>
    <s v="Hired Attorney"/>
    <m/>
    <m/>
    <n v="2"/>
    <n v="526"/>
    <n v="526"/>
    <n v="28.827868852459016"/>
    <n v="0"/>
    <n v="-524"/>
    <s v="CONVICTION"/>
    <x v="1"/>
    <s v="Y"/>
    <m/>
    <s v="CONVICTION"/>
    <s v="Y"/>
    <x v="1"/>
    <x v="0"/>
    <s v="N"/>
    <n v="3.8022813688212928E-3"/>
    <n v="3.8022813688212928E-3"/>
    <n v="0"/>
    <n v="0"/>
    <n v="-2"/>
    <n v="0"/>
    <n v="2"/>
    <e v="#VALUE!"/>
    <n v="2"/>
    <n v="0"/>
    <m/>
    <m/>
    <s v="N"/>
    <m/>
    <s v="0-10 DAYS"/>
    <n v="1"/>
    <x v="0"/>
  </r>
  <r>
    <n v="2019"/>
    <s v="N"/>
    <s v="N"/>
    <n v="2609877"/>
    <n v="6"/>
    <d v="2012-03-16T00:00:00"/>
    <d v="2012-05-30T00:00:00"/>
    <n v="2609877"/>
    <d v="2012-03-17T00:00:00"/>
    <d v="2012-05-30T00:00:00"/>
    <n v="50000"/>
    <x v="2"/>
    <m/>
    <s v="N"/>
    <s v="NONE"/>
    <s v="GUILTY PLEA - NO JURY"/>
    <n v="75"/>
    <n v="76"/>
    <n v="0"/>
    <n v="0"/>
    <m/>
    <m/>
    <m/>
    <m/>
    <m/>
    <m/>
    <m/>
    <m/>
    <m/>
    <d v="1976-05-20T00:00:00"/>
    <s v="F"/>
    <s v="W"/>
    <s v="WHITE"/>
    <s v="NULL"/>
    <s v="263"/>
    <s v="CONVICTED"/>
    <n v="4"/>
    <s v="TDC"/>
    <n v="5"/>
    <m/>
    <m/>
    <s v="AGG ROBBERY-DEADLY WPN"/>
    <m/>
    <s v="F1"/>
    <s v="ROBBERY"/>
    <m/>
    <m/>
    <m/>
    <m/>
    <m/>
    <m/>
    <m/>
    <m/>
    <m/>
    <s v="Appointed Attorney"/>
    <m/>
    <m/>
    <n v="75"/>
    <n v="75"/>
    <n v="76"/>
    <n v="35.748633879781423"/>
    <n v="0"/>
    <n v="0"/>
    <s v="CONVICTION"/>
    <x v="0"/>
    <s v="N"/>
    <m/>
    <s v="CONVICTION"/>
    <s v="Y"/>
    <x v="0"/>
    <x v="0"/>
    <s v="N"/>
    <n v="0.98684210526315785"/>
    <n v="1"/>
    <n v="1.3157894736842146E-2"/>
    <n v="0"/>
    <n v="-75"/>
    <n v="0"/>
    <n v="75"/>
    <e v="#VALUE!"/>
    <n v="75"/>
    <n v="0"/>
    <m/>
    <m/>
    <s v="N"/>
    <m/>
    <s v="61-90 DAYS"/>
    <n v="4"/>
    <x v="0"/>
  </r>
  <r>
    <n v="2023"/>
    <s v="N"/>
    <s v="N"/>
    <n v="2609887"/>
    <n v="4"/>
    <d v="2012-03-16T00:00:00"/>
    <d v="2012-03-19T00:00:00"/>
    <n v="2609887"/>
    <d v="2012-03-17T00:00:00"/>
    <d v="2012-03-19T00:00:00"/>
    <n v="35000"/>
    <x v="2"/>
    <m/>
    <s v="N"/>
    <s v="NONE"/>
    <s v="GUILTY PLEA - NO JURY"/>
    <n v="3"/>
    <n v="4"/>
    <n v="0"/>
    <n v="0"/>
    <m/>
    <m/>
    <m/>
    <m/>
    <m/>
    <m/>
    <m/>
    <s v="S"/>
    <m/>
    <d v="1955-01-20T00:00:00"/>
    <s v="M"/>
    <s v="H"/>
    <s v="HISPANIC"/>
    <s v="NULL"/>
    <s v="228"/>
    <s v="CONVICTED"/>
    <n v="1"/>
    <s v="HCJ"/>
    <m/>
    <m/>
    <n v="90"/>
    <s v="POSS CS PG 1 &lt;1G"/>
    <m/>
    <s v="FS"/>
    <s v="POSS DRUG"/>
    <m/>
    <m/>
    <m/>
    <m/>
    <m/>
    <m/>
    <m/>
    <m/>
    <m/>
    <s v="Appointed Attorney"/>
    <m/>
    <m/>
    <n v="3"/>
    <n v="3"/>
    <n v="4"/>
    <n v="57.035519125683059"/>
    <n v="0"/>
    <n v="0"/>
    <s v="CONVICTION"/>
    <x v="0"/>
    <s v="N"/>
    <m/>
    <s v="CONVICTION"/>
    <s v="Y"/>
    <x v="0"/>
    <x v="0"/>
    <s v="N"/>
    <n v="0.75"/>
    <n v="1"/>
    <n v="0.25"/>
    <n v="0"/>
    <n v="-3"/>
    <n v="0"/>
    <n v="3"/>
    <e v="#VALUE!"/>
    <n v="3"/>
    <n v="0"/>
    <m/>
    <m/>
    <s v="N"/>
    <m/>
    <s v="0-10 DAYS"/>
    <n v="1"/>
    <x v="0"/>
  </r>
  <r>
    <n v="2030"/>
    <s v="N"/>
    <s v="N"/>
    <n v="2609932"/>
    <n v="2"/>
    <d v="2012-03-17T00:00:00"/>
    <d v="2012-08-22T00:00:00"/>
    <n v="2609932"/>
    <d v="2012-03-17T00:00:00"/>
    <d v="2012-08-22T00:00:00"/>
    <n v="30000"/>
    <x v="2"/>
    <m/>
    <s v="N"/>
    <s v="NONE"/>
    <s v="DEFERRED ADJUDICATION "/>
    <n v="159"/>
    <n v="159"/>
    <n v="0"/>
    <n v="0"/>
    <m/>
    <m/>
    <m/>
    <m/>
    <m/>
    <m/>
    <m/>
    <s v="S"/>
    <m/>
    <d v="1993-06-26T00:00:00"/>
    <s v="M"/>
    <s v="H"/>
    <s v="HISPANIC"/>
    <s v="NULL"/>
    <s v="209"/>
    <s v="DEFERRED"/>
    <n v="7"/>
    <s v="DEFERRED"/>
    <m/>
    <m/>
    <m/>
    <s v="AGG ASSAULT W/DEADLY WEAPON"/>
    <m/>
    <s v="F2"/>
    <s v="ASLT-MURDR"/>
    <m/>
    <m/>
    <m/>
    <m/>
    <m/>
    <m/>
    <m/>
    <m/>
    <m/>
    <s v="Appointed Attorney"/>
    <m/>
    <m/>
    <n v="159"/>
    <n v="159"/>
    <n v="159"/>
    <n v="18.685792349726775"/>
    <n v="0"/>
    <n v="0"/>
    <s v="DEFERRED"/>
    <x v="0"/>
    <s v="N"/>
    <m/>
    <s v="DEFERRED"/>
    <s v="Y"/>
    <x v="0"/>
    <x v="0"/>
    <s v="N"/>
    <n v="1"/>
    <n v="1"/>
    <n v="0"/>
    <n v="0"/>
    <n v="-159"/>
    <n v="0"/>
    <n v="159"/>
    <e v="#VALUE!"/>
    <n v="159"/>
    <n v="0"/>
    <m/>
    <m/>
    <s v="N"/>
    <m/>
    <s v="121-365 DAYS"/>
    <n v="6"/>
    <x v="0"/>
  </r>
  <r>
    <n v="2035"/>
    <s v="N"/>
    <s v="N"/>
    <n v="2609961"/>
    <n v="2"/>
    <d v="2012-03-17T00:00:00"/>
    <d v="2012-03-19T00:00:00"/>
    <n v="2609961"/>
    <d v="2012-03-18T00:00:00"/>
    <d v="2012-03-19T00:00:00"/>
    <n v="10000"/>
    <x v="3"/>
    <m/>
    <s v="N"/>
    <s v="NONE"/>
    <s v="DEFERRED ADJUDICATION "/>
    <n v="2"/>
    <n v="3"/>
    <n v="0"/>
    <n v="0"/>
    <m/>
    <m/>
    <m/>
    <m/>
    <m/>
    <m/>
    <m/>
    <m/>
    <m/>
    <d v="1993-07-26T00:00:00"/>
    <s v="F"/>
    <s v="W"/>
    <s v="WHITE"/>
    <s v="NULL"/>
    <s v="183"/>
    <s v="DEFERRED"/>
    <n v="1"/>
    <s v="DEFERRED"/>
    <m/>
    <m/>
    <m/>
    <s v="BURGLARY OF A BUILDING"/>
    <m/>
    <s v="FS"/>
    <s v="BURGLARY"/>
    <m/>
    <m/>
    <m/>
    <m/>
    <m/>
    <m/>
    <m/>
    <m/>
    <m/>
    <s v="Appointed Attorney"/>
    <m/>
    <m/>
    <n v="2"/>
    <n v="2"/>
    <n v="3"/>
    <n v="18.603825136612024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2037"/>
    <s v="N"/>
    <s v="N"/>
    <n v="2609968"/>
    <n v="4"/>
    <d v="2012-03-17T00:00:00"/>
    <d v="2012-03-19T00:00:00"/>
    <n v="2609968"/>
    <d v="2012-03-18T00:00:00"/>
    <d v="2012-03-19T00:00:00"/>
    <n v="35000"/>
    <x v="2"/>
    <m/>
    <s v="N"/>
    <s v="NONE"/>
    <s v="GUILTY PLEA - NO JURY"/>
    <n v="2"/>
    <n v="3"/>
    <n v="0"/>
    <n v="0"/>
    <m/>
    <m/>
    <m/>
    <m/>
    <m/>
    <m/>
    <m/>
    <s v="S"/>
    <m/>
    <d v="1986-03-20T00:00:00"/>
    <s v="F"/>
    <s v="H"/>
    <s v="HISPANIC"/>
    <s v="NULL"/>
    <s v="174"/>
    <s v="CONVICTED"/>
    <n v="1"/>
    <s v="HCJ"/>
    <m/>
    <m/>
    <n v="180"/>
    <s v="POSS CS PG 1 &lt;1G"/>
    <m/>
    <s v="FS"/>
    <s v="POSS DRUG"/>
    <m/>
    <m/>
    <m/>
    <m/>
    <m/>
    <m/>
    <m/>
    <m/>
    <m/>
    <s v="Appointed Attorney"/>
    <m/>
    <m/>
    <n v="2"/>
    <n v="2"/>
    <n v="3"/>
    <n v="25.939890710382514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2041"/>
    <s v="N"/>
    <s v="N"/>
    <n v="2609975"/>
    <n v="1"/>
    <d v="2012-03-17T00:00:00"/>
    <d v="2012-03-20T00:00:00"/>
    <n v="2609975"/>
    <d v="2012-03-18T00:00:00"/>
    <d v="2012-03-20T00:00:00"/>
    <n v="30000"/>
    <x v="2"/>
    <m/>
    <s v="N"/>
    <s v="NONE"/>
    <s v="DISMISSED"/>
    <n v="3"/>
    <n v="4"/>
    <n v="0"/>
    <n v="0"/>
    <m/>
    <m/>
    <m/>
    <m/>
    <m/>
    <m/>
    <m/>
    <m/>
    <m/>
    <d v="1994-03-20T00:00:00"/>
    <s v="M"/>
    <s v="B"/>
    <s v="BLACK"/>
    <s v="NON-HISPANIC"/>
    <s v="338"/>
    <s v="DISMISSED"/>
    <n v="2"/>
    <s v="DISMISSED"/>
    <m/>
    <m/>
    <m/>
    <s v="AGG ROBBERY-DEADLY WPN"/>
    <m/>
    <s v="F1"/>
    <s v="ROBBERY"/>
    <s v="detained on  5/10/12 fel robbery pend"/>
    <m/>
    <m/>
    <m/>
    <m/>
    <m/>
    <m/>
    <m/>
    <m/>
    <s v="Public Defender"/>
    <m/>
    <m/>
    <n v="3"/>
    <n v="3"/>
    <n v="4"/>
    <n v="17.956284153005466"/>
    <n v="0"/>
    <n v="0"/>
    <s v="NO CONVICTION"/>
    <x v="0"/>
    <s v="N"/>
    <m/>
    <s v="NO CONVICTION"/>
    <s v="Y"/>
    <x v="0"/>
    <x v="0"/>
    <s v="N"/>
    <n v="0.75"/>
    <n v="1"/>
    <n v="0.25"/>
    <n v="0"/>
    <n v="-3"/>
    <n v="0"/>
    <n v="3"/>
    <e v="#VALUE!"/>
    <n v="3"/>
    <n v="0"/>
    <m/>
    <m/>
    <s v="N"/>
    <m/>
    <s v="0-10 DAYS"/>
    <n v="1"/>
    <x v="0"/>
  </r>
  <r>
    <n v="2047"/>
    <s v="N"/>
    <s v="N"/>
    <n v="2609991"/>
    <n v="1"/>
    <d v="2012-03-17T00:00:00"/>
    <d v="2012-08-14T00:00:00"/>
    <n v="2609991"/>
    <d v="2012-03-18T00:00:00"/>
    <d v="2012-03-19T00:00:00"/>
    <n v="5000"/>
    <x v="4"/>
    <d v="2012-03-19T00:00:00"/>
    <s v="Y"/>
    <s v="SURETY"/>
    <s v="DISMISSED"/>
    <n v="2"/>
    <n v="151"/>
    <n v="0"/>
    <n v="0"/>
    <m/>
    <m/>
    <m/>
    <m/>
    <m/>
    <m/>
    <m/>
    <m/>
    <m/>
    <d v="1990-06-30T00:00:00"/>
    <s v="F"/>
    <s v="B"/>
    <s v="BLACK"/>
    <s v="NULL"/>
    <s v="180"/>
    <s v="DISMISSED"/>
    <n v="7"/>
    <s v="DISMISSED"/>
    <m/>
    <m/>
    <m/>
    <s v="ASSAULT-BOD INJ-PUB SERV/RETAL"/>
    <m/>
    <s v="F3"/>
    <s v="ASLT-MURDR"/>
    <s v="misd assault filed 8/7/12 pend"/>
    <m/>
    <m/>
    <m/>
    <m/>
    <m/>
    <m/>
    <m/>
    <m/>
    <s v="Hired Attorney"/>
    <m/>
    <m/>
    <n v="2"/>
    <n v="150"/>
    <n v="151"/>
    <n v="21.669398907103826"/>
    <n v="0"/>
    <n v="-148"/>
    <s v="NO CONVICTION"/>
    <x v="1"/>
    <s v="Y"/>
    <m/>
    <s v="NO CONVICTION"/>
    <s v="Y"/>
    <x v="1"/>
    <x v="0"/>
    <s v="N"/>
    <n v="1.3245033112582781E-2"/>
    <n v="1.3333333333333334E-2"/>
    <n v="8.8300220750552744E-5"/>
    <n v="0"/>
    <n v="-2"/>
    <n v="0"/>
    <n v="2"/>
    <e v="#VALUE!"/>
    <n v="2"/>
    <n v="0"/>
    <m/>
    <m/>
    <s v="N"/>
    <m/>
    <s v="0-10 DAYS"/>
    <n v="1"/>
    <x v="0"/>
  </r>
  <r>
    <n v="2048"/>
    <s v="N"/>
    <s v="N"/>
    <n v="2609992"/>
    <n v="2"/>
    <d v="2012-03-18T00:00:00"/>
    <d v="2012-03-20T00:00:00"/>
    <n v="2609992"/>
    <d v="2012-03-18T00:00:00"/>
    <d v="2012-03-20T00:00:00"/>
    <n v="7000"/>
    <x v="3"/>
    <m/>
    <s v="N"/>
    <s v="NONE"/>
    <s v="DEFERRED ADJUDICATION "/>
    <n v="3"/>
    <n v="3"/>
    <n v="0"/>
    <n v="0"/>
    <m/>
    <m/>
    <m/>
    <m/>
    <m/>
    <m/>
    <m/>
    <s v="S"/>
    <m/>
    <d v="1992-04-09T00:00:00"/>
    <s v="M"/>
    <s v="H"/>
    <s v="HISPANIC"/>
    <s v="NULL"/>
    <s v="228"/>
    <s v="DEFERRED"/>
    <n v="1"/>
    <s v="DEFERRED"/>
    <m/>
    <m/>
    <m/>
    <s v="UNAUTH USE OF VEHICLE"/>
    <m/>
    <s v="FS"/>
    <s v="AUTO THEFT"/>
    <m/>
    <m/>
    <m/>
    <m/>
    <m/>
    <m/>
    <m/>
    <m/>
    <m/>
    <s v="Appointed Attorney"/>
    <m/>
    <m/>
    <n v="3"/>
    <n v="3"/>
    <n v="3"/>
    <n v="19.898907103825138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2049"/>
    <s v="N"/>
    <s v="N"/>
    <n v="2609993"/>
    <n v="4"/>
    <d v="2012-03-18T00:00:00"/>
    <d v="2012-03-20T00:00:00"/>
    <n v="2609993"/>
    <d v="2012-03-19T00:00:00"/>
    <d v="2012-03-20T00:00:00"/>
    <n v="35000"/>
    <x v="2"/>
    <m/>
    <s v="N"/>
    <s v="NONE"/>
    <s v="GUILTY PLEA - NO JURY"/>
    <n v="2"/>
    <n v="3"/>
    <n v="0"/>
    <n v="0"/>
    <m/>
    <m/>
    <m/>
    <m/>
    <m/>
    <m/>
    <m/>
    <m/>
    <m/>
    <d v="1985-04-05T00:00:00"/>
    <s v="M"/>
    <s v="W"/>
    <s v="WHITE"/>
    <s v="NULL"/>
    <s v="248"/>
    <s v="CONVICTED"/>
    <n v="2"/>
    <s v="HCJ"/>
    <m/>
    <m/>
    <n v="180"/>
    <s v="ATT FORGE GOVE INSTR"/>
    <m/>
    <s v="FS"/>
    <s v="OTHER FEL"/>
    <m/>
    <m/>
    <m/>
    <m/>
    <m/>
    <m/>
    <m/>
    <m/>
    <m/>
    <s v="Appointed Attorney"/>
    <m/>
    <m/>
    <n v="2"/>
    <n v="2"/>
    <n v="3"/>
    <n v="26.896174863387976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2056"/>
    <s v="N"/>
    <s v="N"/>
    <n v="2610020"/>
    <n v="2"/>
    <d v="2012-03-18T00:00:00"/>
    <d v="2012-03-20T00:00:00"/>
    <n v="2610020"/>
    <d v="2012-03-18T00:00:00"/>
    <d v="2012-03-20T00:00:00"/>
    <n v="2000"/>
    <x v="5"/>
    <m/>
    <s v="N"/>
    <s v="NONE"/>
    <s v="DEFERRED ADJUDICATION "/>
    <n v="3"/>
    <n v="3"/>
    <n v="0"/>
    <n v="0"/>
    <m/>
    <m/>
    <m/>
    <m/>
    <m/>
    <m/>
    <m/>
    <m/>
    <m/>
    <d v="1991-10-25T00:00:00"/>
    <s v="M"/>
    <s v="W"/>
    <s v="WHITE"/>
    <s v="NULL"/>
    <s v="178"/>
    <s v="DEFERRED"/>
    <n v="2"/>
    <s v="DEFERRED"/>
    <m/>
    <m/>
    <m/>
    <s v="POSS CS PG 1 &lt;1G"/>
    <m/>
    <s v="FS"/>
    <s v="POSS DRUG"/>
    <m/>
    <m/>
    <m/>
    <m/>
    <m/>
    <m/>
    <m/>
    <m/>
    <m/>
    <s v="Appointed Attorney"/>
    <m/>
    <m/>
    <n v="3"/>
    <n v="3"/>
    <n v="3"/>
    <n v="20.355191256830601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2061"/>
    <s v="N"/>
    <s v="N"/>
    <n v="2610063"/>
    <n v="1"/>
    <d v="2012-03-18T00:00:00"/>
    <d v="2012-10-25T00:00:00"/>
    <n v="2610063"/>
    <d v="2012-03-18T00:00:00"/>
    <d v="2012-03-18T00:00:00"/>
    <n v="2000"/>
    <x v="5"/>
    <d v="2012-03-18T00:00:00"/>
    <s v="Y"/>
    <s v="SURETY"/>
    <s v="DISMISSED"/>
    <n v="1"/>
    <n v="222"/>
    <n v="0"/>
    <n v="0"/>
    <m/>
    <m/>
    <m/>
    <m/>
    <m/>
    <m/>
    <m/>
    <m/>
    <m/>
    <d v="1991-12-19T00:00:00"/>
    <s v="M"/>
    <s v="W"/>
    <s v="WHITE"/>
    <s v="NULL"/>
    <s v="178"/>
    <s v="DISMISSED"/>
    <n v="9"/>
    <s v="DISMISSED"/>
    <m/>
    <m/>
    <m/>
    <s v="THEFT $1500-20K"/>
    <m/>
    <s v="FS"/>
    <s v="THEFT"/>
    <m/>
    <m/>
    <m/>
    <m/>
    <m/>
    <m/>
    <m/>
    <m/>
    <m/>
    <s v="Hired Attorney"/>
    <m/>
    <m/>
    <n v="1"/>
    <n v="222"/>
    <n v="222"/>
    <n v="20.204918032786885"/>
    <n v="0"/>
    <n v="-221"/>
    <s v="NO CONVICTION"/>
    <x v="1"/>
    <s v="Y"/>
    <m/>
    <s v="NO CONVICTION"/>
    <s v="Y"/>
    <x v="1"/>
    <x v="0"/>
    <s v="N"/>
    <n v="4.5045045045045045E-3"/>
    <n v="4.5045045045045045E-3"/>
    <n v="0"/>
    <n v="0"/>
    <n v="-1"/>
    <n v="0"/>
    <n v="1"/>
    <e v="#VALUE!"/>
    <n v="1"/>
    <n v="0"/>
    <m/>
    <m/>
    <s v="N"/>
    <m/>
    <s v="0-10 DAYS"/>
    <n v="1"/>
    <x v="0"/>
  </r>
  <r>
    <n v="2062"/>
    <s v="N"/>
    <s v="N"/>
    <n v="2610064"/>
    <n v="1"/>
    <d v="2012-03-18T00:00:00"/>
    <d v="2012-10-25T00:00:00"/>
    <n v="2610064"/>
    <d v="2012-03-18T00:00:00"/>
    <d v="2012-03-19T00:00:00"/>
    <n v="2000"/>
    <x v="5"/>
    <d v="2012-03-19T00:00:00"/>
    <s v="Y"/>
    <s v="PTR"/>
    <s v="DISMISSED"/>
    <n v="2"/>
    <n v="222"/>
    <n v="0"/>
    <n v="0"/>
    <m/>
    <m/>
    <m/>
    <m/>
    <m/>
    <m/>
    <m/>
    <m/>
    <m/>
    <d v="1994-03-03T00:00:00"/>
    <s v="M"/>
    <s v="W"/>
    <s v="WHITE"/>
    <s v="NULL"/>
    <s v="178"/>
    <s v="DISMISSED"/>
    <n v="10"/>
    <s v="DISMISSED"/>
    <m/>
    <m/>
    <m/>
    <s v="THEFT $1500-20K"/>
    <m/>
    <s v="FS"/>
    <s v="THEFT"/>
    <m/>
    <m/>
    <m/>
    <m/>
    <m/>
    <m/>
    <m/>
    <m/>
    <m/>
    <s v="Appointed Attorney"/>
    <m/>
    <m/>
    <n v="2"/>
    <n v="222"/>
    <n v="222"/>
    <n v="18.005464480874316"/>
    <n v="0"/>
    <n v="-220"/>
    <s v="NO CONVICTION"/>
    <x v="2"/>
    <s v="Y"/>
    <m/>
    <s v="NO CONVICTION"/>
    <s v="Y"/>
    <x v="1"/>
    <x v="0"/>
    <s v="N"/>
    <n v="9.0090090090090089E-3"/>
    <n v="9.0090090090090089E-3"/>
    <n v="0"/>
    <n v="0"/>
    <n v="-2"/>
    <n v="0"/>
    <n v="2"/>
    <e v="#VALUE!"/>
    <n v="2"/>
    <n v="0"/>
    <m/>
    <m/>
    <s v="N"/>
    <m/>
    <s v="0-10 DAYS"/>
    <n v="1"/>
    <x v="0"/>
  </r>
  <r>
    <n v="2071"/>
    <s v="N"/>
    <s v="N"/>
    <n v="2610101"/>
    <n v="4"/>
    <d v="2012-03-19T00:00:00"/>
    <d v="2012-07-03T00:00:00"/>
    <n v="2610101"/>
    <d v="2012-03-19T00:00:00"/>
    <d v="2012-07-03T00:00:00"/>
    <n v="55000"/>
    <x v="2"/>
    <m/>
    <s v="N"/>
    <s v="NONE"/>
    <s v="GUILTY PLEA - NO JURY"/>
    <n v="107"/>
    <n v="107"/>
    <n v="0"/>
    <n v="1"/>
    <m/>
    <m/>
    <m/>
    <m/>
    <m/>
    <m/>
    <m/>
    <s v="S"/>
    <m/>
    <d v="1982-06-26T00:00:00"/>
    <s v="M"/>
    <s v="H"/>
    <s v="HISPANIC"/>
    <s v="NULL"/>
    <s v="230"/>
    <s v="CONVICTED"/>
    <n v="6"/>
    <s v="HCJ"/>
    <m/>
    <m/>
    <n v="180"/>
    <s v="INJURY CHILD UNDER 15 B/INJURY"/>
    <m/>
    <s v="F3"/>
    <s v="OTHER FEL"/>
    <m/>
    <m/>
    <m/>
    <m/>
    <m/>
    <m/>
    <m/>
    <m/>
    <m/>
    <s v="Appointed Attorney"/>
    <m/>
    <m/>
    <n v="107"/>
    <n v="107"/>
    <n v="107"/>
    <n v="29.669398907103826"/>
    <n v="0"/>
    <n v="0"/>
    <s v="CONVICTION"/>
    <x v="0"/>
    <s v="N"/>
    <m/>
    <s v="CONVICTION"/>
    <s v="Y"/>
    <x v="0"/>
    <x v="0"/>
    <s v="N"/>
    <n v="1"/>
    <n v="1"/>
    <n v="0"/>
    <n v="0"/>
    <n v="-107"/>
    <n v="0"/>
    <n v="107"/>
    <e v="#VALUE!"/>
    <n v="107"/>
    <n v="0"/>
    <m/>
    <m/>
    <s v="Y"/>
    <m/>
    <s v="91-120 DAYS"/>
    <n v="0"/>
    <x v="0"/>
  </r>
  <r>
    <n v="2081"/>
    <s v="N"/>
    <s v="N"/>
    <n v="2610165"/>
    <n v="2"/>
    <d v="2012-03-19T00:00:00"/>
    <d v="2013-01-11T00:00:00"/>
    <n v="2610165"/>
    <s v="NOT BOOKED"/>
    <s v="NOT BOOKED"/>
    <n v="20000"/>
    <x v="0"/>
    <d v="2012-03-22T00:00:00"/>
    <s v="Y"/>
    <s v="SURETY"/>
    <s v="DEFERRED ADJUDICATION "/>
    <n v="0"/>
    <n v="299"/>
    <n v="0"/>
    <n v="0"/>
    <m/>
    <m/>
    <m/>
    <m/>
    <m/>
    <m/>
    <m/>
    <s v="S"/>
    <m/>
    <d v="1991-07-19T00:00:00"/>
    <s v="M"/>
    <s v="H"/>
    <s v="HISPANIC"/>
    <s v="NULL"/>
    <s v="248"/>
    <s v="DEFERRED"/>
    <n v="11"/>
    <s v="DEFERRED"/>
    <m/>
    <m/>
    <m/>
    <s v="SEX ASSLT CHILD 14-17"/>
    <m/>
    <s v="F2"/>
    <s v="SEX ABUSE"/>
    <m/>
    <m/>
    <m/>
    <m/>
    <m/>
    <m/>
    <m/>
    <m/>
    <m/>
    <s v="Hired Attorney"/>
    <m/>
    <m/>
    <n v="0"/>
    <n v="0"/>
    <n v="299"/>
    <n v="20.625683060109289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085"/>
    <s v="N"/>
    <s v="N"/>
    <n v="2610260"/>
    <n v="4"/>
    <d v="2012-03-19T00:00:00"/>
    <d v="2012-03-21T00:00:00"/>
    <n v="2610260"/>
    <d v="2012-03-19T00:00:00"/>
    <d v="2012-03-21T00:00:00"/>
    <n v="35000"/>
    <x v="2"/>
    <m/>
    <s v="N"/>
    <s v="NONE"/>
    <s v="GUILTY PLEA - NO JURY"/>
    <n v="3"/>
    <n v="3"/>
    <n v="0"/>
    <n v="0"/>
    <m/>
    <m/>
    <m/>
    <m/>
    <m/>
    <m/>
    <m/>
    <s v="S"/>
    <m/>
    <d v="1982-05-03T00:00:00"/>
    <s v="F"/>
    <s v="H"/>
    <s v="HISPANIC"/>
    <s v="NULL"/>
    <s v="208"/>
    <s v="CONVICTED"/>
    <n v="1"/>
    <s v="HCJ"/>
    <m/>
    <m/>
    <n v="30"/>
    <s v="POSS CS PG 1 &lt;1G"/>
    <m/>
    <s v="FS"/>
    <s v="POSS DRUG"/>
    <m/>
    <m/>
    <m/>
    <m/>
    <m/>
    <m/>
    <m/>
    <m/>
    <m/>
    <s v="Appointed Attorney"/>
    <m/>
    <m/>
    <n v="3"/>
    <n v="3"/>
    <n v="3"/>
    <n v="29.816939890710383"/>
    <n v="0"/>
    <n v="0"/>
    <s v="CONVICTION"/>
    <x v="0"/>
    <s v="N"/>
    <m/>
    <s v="CONVICTION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2306"/>
    <s v="N"/>
    <s v="N"/>
    <n v="2610305"/>
    <n v="6"/>
    <d v="2012-03-28T00:00:00"/>
    <d v="2012-06-05T00:00:00"/>
    <n v="2610305"/>
    <d v="2012-03-28T00:00:00"/>
    <d v="2012-06-05T00:00:00"/>
    <s v="NO BOND"/>
    <x v="1"/>
    <m/>
    <s v="N"/>
    <s v="NONE"/>
    <s v="GUILTY PLEA - NO JURY"/>
    <n v="70"/>
    <n v="70"/>
    <n v="0"/>
    <n v="0"/>
    <m/>
    <m/>
    <m/>
    <m/>
    <m/>
    <m/>
    <m/>
    <m/>
    <m/>
    <d v="1994-03-08T00:00:00"/>
    <s v="M"/>
    <s v="B"/>
    <s v="BLACK"/>
    <s v="NULL"/>
    <s v="179"/>
    <s v="CONVICTED"/>
    <n v="4"/>
    <s v="TDC"/>
    <n v="6"/>
    <m/>
    <m/>
    <s v="BURGLARY OF HABITATION"/>
    <m/>
    <s v="F2"/>
    <s v="BURGLARY"/>
    <m/>
    <m/>
    <m/>
    <m/>
    <m/>
    <m/>
    <m/>
    <m/>
    <m/>
    <s v="Appointed Attorney"/>
    <m/>
    <m/>
    <n v="70"/>
    <n v="70"/>
    <n v="70"/>
    <n v="18.019125683060111"/>
    <n v="0"/>
    <n v="0"/>
    <s v="CONVICTION"/>
    <x v="0"/>
    <s v="N"/>
    <m/>
    <s v="CONVICTION"/>
    <s v="Y"/>
    <x v="0"/>
    <x v="0"/>
    <s v="N"/>
    <n v="1"/>
    <n v="1"/>
    <n v="0"/>
    <n v="0"/>
    <n v="-70"/>
    <n v="0"/>
    <n v="70"/>
    <e v="#VALUE!"/>
    <n v="70"/>
    <n v="0"/>
    <m/>
    <m/>
    <s v="N"/>
    <m/>
    <s v="61-90 DAYS"/>
    <n v="4"/>
    <x v="0"/>
  </r>
  <r>
    <n v="2091"/>
    <s v="N"/>
    <s v="N"/>
    <n v="2610313"/>
    <n v="6"/>
    <d v="2012-03-19T00:00:00"/>
    <d v="2015-03-30T00:00:00"/>
    <n v="2610313"/>
    <d v="2015-02-26T00:00:00"/>
    <d v="2012-03-20T00:00:00"/>
    <n v="40000"/>
    <x v="2"/>
    <d v="2012-03-20T00:00:00"/>
    <s v="Y"/>
    <s v="SURETY"/>
    <s v="GUILTY PLEA - NO JURY"/>
    <n v="0"/>
    <n v="1107"/>
    <n v="0"/>
    <n v="0"/>
    <m/>
    <m/>
    <m/>
    <m/>
    <m/>
    <m/>
    <m/>
    <m/>
    <m/>
    <d v="1985-11-19T00:00:00"/>
    <s v="M"/>
    <s v="A"/>
    <s v="OTHER"/>
    <s v="NULL"/>
    <s v="232"/>
    <s v="CONVICTED"/>
    <n v="12"/>
    <s v="TDC"/>
    <n v="6"/>
    <m/>
    <m/>
    <s v="POSS MARIJ  4 OZ. - 5 LBS."/>
    <m/>
    <s v="FS"/>
    <s v="POSS DRUG"/>
    <s v="7/10/12 BD SURR"/>
    <m/>
    <m/>
    <m/>
    <m/>
    <m/>
    <m/>
    <m/>
    <m/>
    <s v="Hired Attorney"/>
    <m/>
    <m/>
    <n v="0"/>
    <n v="33"/>
    <n v="1107"/>
    <n v="26.275956284153004"/>
    <n v="0"/>
    <n v="-1105"/>
    <s v="CONVICTION"/>
    <x v="1"/>
    <s v="Y"/>
    <m/>
    <s v="CONVICTION"/>
    <n v="0"/>
    <x v="0"/>
    <x v="0"/>
    <s v="N"/>
    <n v="0"/>
    <n v="-32.484848484848484"/>
    <n v="-32.484848484848484"/>
    <n v="0"/>
    <n v="1072"/>
    <n v="1072"/>
    <n v="33"/>
    <e v="#VALUE!"/>
    <m/>
    <n v="1105"/>
    <m/>
    <m/>
    <s v="N"/>
    <m/>
    <s v="0-10 DAYS"/>
    <n v="1"/>
    <x v="0"/>
  </r>
  <r>
    <n v="2099"/>
    <s v="N"/>
    <s v="N"/>
    <n v="2610326"/>
    <n v="2"/>
    <d v="2012-03-19T00:00:00"/>
    <d v="2012-06-21T00:00:00"/>
    <n v="2610326"/>
    <s v="NOT BOOKED"/>
    <s v="NOT BOOKED"/>
    <n v="2000"/>
    <x v="5"/>
    <d v="2012-03-24T00:00:00"/>
    <s v="Y"/>
    <s v="SURETY"/>
    <s v="DEFERRED ADJUDICATION "/>
    <n v="0"/>
    <n v="95"/>
    <n v="0"/>
    <n v="0"/>
    <m/>
    <m/>
    <m/>
    <m/>
    <m/>
    <m/>
    <m/>
    <m/>
    <m/>
    <d v="1990-07-05T00:00:00"/>
    <s v="F"/>
    <s v="B"/>
    <s v="BLACK"/>
    <s v="NON-HISPANIC"/>
    <s v="230"/>
    <s v="DEFERRED"/>
    <n v="6"/>
    <s v="DEFERRED"/>
    <m/>
    <m/>
    <m/>
    <s v="THEFT $1500-20K"/>
    <m/>
    <s v="FS"/>
    <s v="THEFT"/>
    <m/>
    <m/>
    <m/>
    <m/>
    <m/>
    <m/>
    <m/>
    <m/>
    <m/>
    <s v="Hired Attorney"/>
    <m/>
    <m/>
    <n v="0"/>
    <n v="0"/>
    <n v="95"/>
    <n v="21.661202185792348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102"/>
    <s v="N"/>
    <s v="N"/>
    <n v="2610334"/>
    <n v="2"/>
    <d v="2012-03-20T00:00:00"/>
    <d v="2012-08-08T00:00:00"/>
    <n v="2610334"/>
    <s v="NOT BOOKED"/>
    <s v="NOT BOOKED"/>
    <n v="2000"/>
    <x v="5"/>
    <d v="2012-03-21T00:00:00"/>
    <s v="Y"/>
    <s v="SURETY"/>
    <s v="DEFERRED ADJUDICATION "/>
    <n v="0"/>
    <n v="142"/>
    <n v="0"/>
    <n v="0"/>
    <m/>
    <m/>
    <m/>
    <m/>
    <m/>
    <m/>
    <m/>
    <m/>
    <m/>
    <d v="1959-02-02T00:00:00"/>
    <s v="M"/>
    <s v="B"/>
    <s v="BLACK"/>
    <s v="NULL"/>
    <s v="208"/>
    <s v="DEFERRED"/>
    <n v="6"/>
    <s v="DEFERR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142"/>
    <n v="53.019125683060111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109"/>
    <s v="N"/>
    <s v="N"/>
    <n v="2610344"/>
    <n v="1"/>
    <d v="2012-03-20T00:00:00"/>
    <d v="2013-05-09T00:00:00"/>
    <n v="2610344"/>
    <s v="NOT BOOKED"/>
    <s v="NOT BOOKED"/>
    <n v="15000"/>
    <x v="0"/>
    <d v="2012-03-22T00:00:00"/>
    <s v="Y"/>
    <s v="SURETY"/>
    <s v="DISMISSED"/>
    <n v="0"/>
    <n v="416"/>
    <n v="0"/>
    <n v="0"/>
    <m/>
    <m/>
    <m/>
    <m/>
    <m/>
    <m/>
    <m/>
    <m/>
    <m/>
    <d v="1992-09-29T00:00:00"/>
    <s v="M"/>
    <s v="W"/>
    <s v="WHITE"/>
    <s v="NULL"/>
    <s v="177"/>
    <s v="DISMISSED"/>
    <n v="14"/>
    <s v="DISMISSED"/>
    <m/>
    <m/>
    <m/>
    <s v="POSS CS PG 1  1 - 4 GRAMS"/>
    <m/>
    <s v="F3"/>
    <s v="POSS DRUG"/>
    <s v="3 CASES SAME DISP"/>
    <m/>
    <m/>
    <m/>
    <m/>
    <m/>
    <m/>
    <m/>
    <m/>
    <s v="Hired Attorney"/>
    <m/>
    <m/>
    <n v="0"/>
    <e v="#VALUE!"/>
    <n v="416"/>
    <n v="19.431693989071039"/>
    <e v="#VALUE!"/>
    <e v="#VALUE!"/>
    <s v="NO CONVICTION"/>
    <x v="1"/>
    <s v="N"/>
    <m/>
    <s v="NO CONVICTION"/>
    <n v="0"/>
    <x v="1"/>
    <x v="0"/>
    <s v="N"/>
    <n v="0"/>
    <n v="0"/>
    <n v="0"/>
    <n v="0"/>
    <e v="#VALUE!"/>
    <e v="#VALUE!"/>
    <e v="#VALUE!"/>
    <s v="NOT BOOKED"/>
    <n v="0"/>
    <n v="0"/>
    <m/>
    <m/>
    <s v="N"/>
    <m/>
    <s v="0-10 DAYS"/>
    <n v="1"/>
    <x v="1"/>
  </r>
  <r>
    <n v="2111"/>
    <s v="N"/>
    <s v="N"/>
    <n v="2610345"/>
    <n v="2"/>
    <d v="2012-03-20T00:00:00"/>
    <d v="2012-03-22T00:00:00"/>
    <n v="2610345"/>
    <d v="2012-03-20T00:00:00"/>
    <d v="2012-03-22T00:00:00"/>
    <s v="NO BOND"/>
    <x v="1"/>
    <m/>
    <s v="N"/>
    <s v="NONE"/>
    <s v="DEFERRED ADJUDICATION "/>
    <n v="3"/>
    <n v="3"/>
    <n v="0"/>
    <n v="0"/>
    <m/>
    <m/>
    <m/>
    <m/>
    <m/>
    <m/>
    <m/>
    <m/>
    <m/>
    <d v="1960-05-02T00:00:00"/>
    <s v="F"/>
    <s v="W"/>
    <s v="WHITE"/>
    <s v="NULL"/>
    <s v="263"/>
    <s v="DEFERRED"/>
    <n v="2"/>
    <s v="DEFERRED"/>
    <m/>
    <m/>
    <m/>
    <s v="AGG ASSAULT-FAMILY MEMBER"/>
    <m/>
    <s v="F2"/>
    <s v="ASLT-MURDR"/>
    <m/>
    <m/>
    <m/>
    <m/>
    <m/>
    <m/>
    <m/>
    <m/>
    <m/>
    <s v="Appointed Attorney"/>
    <m/>
    <m/>
    <n v="3"/>
    <n v="3"/>
    <n v="3"/>
    <n v="51.775956284153004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2112"/>
    <s v="N"/>
    <s v="N"/>
    <n v="2610346"/>
    <n v="1"/>
    <d v="2012-03-20T00:00:00"/>
    <d v="2012-05-25T00:00:00"/>
    <n v="2610346"/>
    <d v="2012-03-20T00:00:00"/>
    <d v="2012-03-22T00:00:00"/>
    <n v="30000"/>
    <x v="2"/>
    <d v="2012-03-22T00:00:00"/>
    <s v="Y"/>
    <s v="SURETY"/>
    <s v="NO BILL"/>
    <n v="3"/>
    <n v="67"/>
    <n v="0"/>
    <n v="0"/>
    <m/>
    <m/>
    <m/>
    <m/>
    <m/>
    <m/>
    <m/>
    <m/>
    <m/>
    <d v="1991-04-09T00:00:00"/>
    <s v="M"/>
    <s v="W"/>
    <s v="WHITE"/>
    <s v="NULL"/>
    <s v="183"/>
    <s v="NO BILL"/>
    <n v="4"/>
    <s v="NO BILL"/>
    <m/>
    <m/>
    <m/>
    <s v="AGG ASSAULT-FAMILY MEMBER"/>
    <m/>
    <s v="F2"/>
    <s v="ASLT-MURDR"/>
    <m/>
    <m/>
    <m/>
    <m/>
    <m/>
    <m/>
    <m/>
    <m/>
    <m/>
    <s v="Hired Attorney"/>
    <m/>
    <m/>
    <n v="3"/>
    <n v="67"/>
    <n v="67"/>
    <n v="20.904371584699454"/>
    <n v="0"/>
    <n v="-64"/>
    <s v="NO CONVICTION"/>
    <x v="1"/>
    <s v="Y"/>
    <m/>
    <s v="NO CONVICTION"/>
    <s v="Y"/>
    <x v="1"/>
    <x v="0"/>
    <s v="N"/>
    <n v="4.4776119402985072E-2"/>
    <n v="4.4776119402985072E-2"/>
    <n v="0"/>
    <n v="0"/>
    <n v="-3"/>
    <n v="0"/>
    <n v="3"/>
    <e v="#VALUE!"/>
    <n v="3"/>
    <n v="0"/>
    <m/>
    <m/>
    <s v="N"/>
    <m/>
    <s v="0-10 DAYS"/>
    <n v="1"/>
    <x v="0"/>
  </r>
  <r>
    <n v="2125"/>
    <s v="N"/>
    <s v="Y"/>
    <n v="2610462"/>
    <n v="1"/>
    <d v="2012-03-20T00:00:00"/>
    <d v="2012-10-12T00:00:00"/>
    <n v="2610462"/>
    <d v="2012-03-21T00:00:00"/>
    <d v="2012-03-25T00:00:00"/>
    <n v="15000"/>
    <x v="0"/>
    <d v="2012-03-25T00:00:00"/>
    <s v="Y"/>
    <s v="SURETY"/>
    <s v="DISMISSED"/>
    <n v="5"/>
    <n v="207"/>
    <n v="0"/>
    <n v="0"/>
    <m/>
    <m/>
    <m/>
    <m/>
    <m/>
    <m/>
    <m/>
    <m/>
    <m/>
    <d v="1986-12-22T00:00:00"/>
    <s v="M"/>
    <s v="B"/>
    <s v="BLACK"/>
    <s v="NULL"/>
    <s v="185"/>
    <s v="DISMISSED"/>
    <n v="3"/>
    <s v="DISMISSED"/>
    <m/>
    <m/>
    <m/>
    <s v="UNAUTH USE OF VEHICLE"/>
    <m/>
    <s v="FS"/>
    <s v="AUTO THEFT"/>
    <m/>
    <m/>
    <s v="Y"/>
    <s v="bf   4/18/2012"/>
    <m/>
    <m/>
    <m/>
    <d v="2013-06-10T00:00:00"/>
    <n v="1020"/>
    <s v="Appointed Attorney"/>
    <m/>
    <m/>
    <n v="5"/>
    <n v="206"/>
    <n v="207"/>
    <n v="25.191256830601095"/>
    <n v="0"/>
    <n v="-201"/>
    <s v="NO CONVICTION"/>
    <x v="1"/>
    <s v="Y"/>
    <m/>
    <s v="NO CONVICTION"/>
    <s v="Y"/>
    <x v="1"/>
    <x v="0"/>
    <s v="N"/>
    <n v="2.4154589371980676E-2"/>
    <n v="2.4271844660194174E-2"/>
    <n v="1.1725528821349834E-4"/>
    <n v="0"/>
    <n v="-5"/>
    <n v="0"/>
    <n v="5"/>
    <e v="#VALUE!"/>
    <m/>
    <n v="201"/>
    <m/>
    <m/>
    <s v="N"/>
    <m/>
    <s v="0-10 DAYS"/>
    <n v="1"/>
    <x v="0"/>
  </r>
  <r>
    <n v="2137"/>
    <s v="N"/>
    <s v="N"/>
    <n v="2610540"/>
    <n v="2"/>
    <d v="2012-03-21T00:00:00"/>
    <d v="2012-03-23T00:00:00"/>
    <n v="2610540"/>
    <d v="2012-03-21T00:00:00"/>
    <d v="2012-03-23T00:00:00"/>
    <n v="2000"/>
    <x v="5"/>
    <m/>
    <s v="N"/>
    <s v="NONE"/>
    <s v="DEFERRED ADJUDICATION "/>
    <n v="3"/>
    <n v="3"/>
    <n v="0"/>
    <n v="0"/>
    <m/>
    <m/>
    <m/>
    <m/>
    <m/>
    <m/>
    <m/>
    <m/>
    <m/>
    <d v="1983-04-08T00:00:00"/>
    <s v="M"/>
    <s v="W"/>
    <s v="WHITE"/>
    <s v="NULL"/>
    <s v="209"/>
    <s v="DEFERRED"/>
    <n v="2"/>
    <s v="DEFERRED"/>
    <m/>
    <m/>
    <m/>
    <s v="MAN/DEL CS PG I &lt;1GRAM"/>
    <m/>
    <s v="FS"/>
    <s v="SALE DRUG"/>
    <m/>
    <m/>
    <m/>
    <m/>
    <m/>
    <m/>
    <m/>
    <m/>
    <m/>
    <s v="Appointed Attorney"/>
    <m/>
    <m/>
    <n v="3"/>
    <n v="3"/>
    <n v="3"/>
    <n v="28.893442622950818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2274"/>
    <s v="N"/>
    <s v="N"/>
    <n v="2610611"/>
    <n v="2"/>
    <d v="2012-03-27T00:00:00"/>
    <d v="2012-04-25T00:00:00"/>
    <n v="2610611"/>
    <d v="2012-03-27T00:00:00"/>
    <d v="2012-04-25T00:00:00"/>
    <n v="20000"/>
    <x v="0"/>
    <m/>
    <s v="N"/>
    <s v="NONE"/>
    <s v="DEFERRED ADJUDICATION "/>
    <n v="30"/>
    <n v="30"/>
    <n v="0"/>
    <n v="0"/>
    <m/>
    <m/>
    <m/>
    <m/>
    <m/>
    <m/>
    <m/>
    <m/>
    <m/>
    <d v="1993-09-01T00:00:00"/>
    <s v="M"/>
    <s v="B"/>
    <s v="BLACK"/>
    <s v="NULL"/>
    <s v="228"/>
    <s v="DEFERRED"/>
    <n v="2"/>
    <s v="DEFERRED"/>
    <m/>
    <m/>
    <m/>
    <s v="BURGLARY OF HABITATION"/>
    <m/>
    <s v="F2"/>
    <s v="BURGLARY"/>
    <m/>
    <m/>
    <m/>
    <m/>
    <m/>
    <m/>
    <m/>
    <m/>
    <m/>
    <s v="Appointed Attorney"/>
    <m/>
    <m/>
    <n v="30"/>
    <n v="30"/>
    <n v="30"/>
    <n v="18.530054644808743"/>
    <n v="0"/>
    <n v="0"/>
    <s v="DEFERRED"/>
    <x v="0"/>
    <s v="N"/>
    <m/>
    <s v="DEFERRED"/>
    <s v="Y"/>
    <x v="0"/>
    <x v="0"/>
    <s v="N"/>
    <n v="1"/>
    <n v="1"/>
    <n v="0"/>
    <n v="0"/>
    <n v="-30"/>
    <n v="0"/>
    <n v="30"/>
    <e v="#VALUE!"/>
    <n v="30"/>
    <n v="0"/>
    <m/>
    <m/>
    <s v="N"/>
    <m/>
    <s v="11-30 DAYS"/>
    <n v="2"/>
    <x v="0"/>
  </r>
  <r>
    <n v="2150"/>
    <s v="N"/>
    <s v="N"/>
    <n v="2610667"/>
    <n v="1"/>
    <d v="2012-03-21T00:00:00"/>
    <d v="2012-04-24T00:00:00"/>
    <n v="2610667"/>
    <s v="NOT BOOKED"/>
    <s v="NOT BOOKED"/>
    <n v="20000"/>
    <x v="0"/>
    <d v="2012-03-22T00:00:00"/>
    <s v="Y"/>
    <s v="SURETY"/>
    <s v="DISMISSED"/>
    <n v="0"/>
    <n v="35"/>
    <n v="0"/>
    <n v="0"/>
    <m/>
    <m/>
    <m/>
    <m/>
    <m/>
    <m/>
    <m/>
    <m/>
    <m/>
    <d v="1994-02-11T00:00:00"/>
    <s v="M"/>
    <s v="B"/>
    <s v="BLACK"/>
    <s v="NULL"/>
    <s v="180"/>
    <s v="DISMISSED"/>
    <n v="2"/>
    <s v="DISMISSED"/>
    <m/>
    <m/>
    <m/>
    <s v="POSS CS PG 4 OVER 400 GRAMS"/>
    <m/>
    <s v="F1"/>
    <s v="POSS DRUG"/>
    <m/>
    <m/>
    <m/>
    <m/>
    <m/>
    <m/>
    <m/>
    <m/>
    <m/>
    <s v="Hired Attorney"/>
    <m/>
    <m/>
    <n v="0"/>
    <n v="0"/>
    <n v="35"/>
    <n v="18.068306010928961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152"/>
    <s v="N"/>
    <s v="N"/>
    <n v="2610692"/>
    <n v="2"/>
    <d v="2012-03-21T00:00:00"/>
    <d v="2012-03-23T00:00:00"/>
    <n v="2610692"/>
    <d v="2012-03-22T00:00:00"/>
    <d v="2012-03-23T00:00:00"/>
    <n v="2000"/>
    <x v="5"/>
    <m/>
    <s v="N"/>
    <s v="NONE"/>
    <s v="DEFERRED ADJUDICATION "/>
    <n v="2"/>
    <n v="3"/>
    <n v="0"/>
    <n v="0"/>
    <m/>
    <m/>
    <m/>
    <m/>
    <m/>
    <m/>
    <m/>
    <m/>
    <m/>
    <d v="1993-03-07T00:00:00"/>
    <s v="M"/>
    <s v="B"/>
    <s v="BLACK"/>
    <s v="NULL"/>
    <s v="182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2"/>
    <n v="2"/>
    <n v="3"/>
    <n v="19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2158"/>
    <s v="N"/>
    <s v="N"/>
    <n v="2610724"/>
    <n v="2"/>
    <d v="2012-03-22T00:00:00"/>
    <d v="2012-05-03T00:00:00"/>
    <n v="2610724"/>
    <d v="2012-03-22T00:00:00"/>
    <d v="2012-05-03T00:00:00"/>
    <n v="20000"/>
    <x v="0"/>
    <m/>
    <s v="N"/>
    <s v="NONE"/>
    <s v="DEFERRED ADJUDICATION "/>
    <n v="43"/>
    <n v="43"/>
    <n v="0"/>
    <n v="0"/>
    <m/>
    <m/>
    <m/>
    <m/>
    <m/>
    <m/>
    <m/>
    <s v="S"/>
    <m/>
    <d v="1994-05-26T00:00:00"/>
    <s v="M"/>
    <s v="H"/>
    <s v="HISPANIC"/>
    <s v="NULL"/>
    <s v="209"/>
    <s v="DEFERRED"/>
    <n v="5"/>
    <s v="DEFERRED"/>
    <m/>
    <m/>
    <m/>
    <s v="BURGLARY OF HABITATION"/>
    <m/>
    <s v="F2"/>
    <s v="BURGLARY"/>
    <m/>
    <m/>
    <m/>
    <m/>
    <m/>
    <m/>
    <m/>
    <m/>
    <m/>
    <s v="Appointed Attorney"/>
    <m/>
    <m/>
    <n v="43"/>
    <n v="43"/>
    <n v="43"/>
    <n v="17.78688524590164"/>
    <n v="0"/>
    <n v="0"/>
    <s v="DEFERRED"/>
    <x v="0"/>
    <s v="N"/>
    <m/>
    <s v="DEFERRED"/>
    <s v="Y"/>
    <x v="0"/>
    <x v="0"/>
    <s v="N"/>
    <n v="1"/>
    <n v="1"/>
    <n v="0"/>
    <n v="0"/>
    <n v="-43"/>
    <n v="0"/>
    <n v="43"/>
    <e v="#VALUE!"/>
    <n v="43"/>
    <n v="0"/>
    <m/>
    <m/>
    <s v="N"/>
    <m/>
    <s v="31-60 DAYS"/>
    <n v="3"/>
    <x v="0"/>
  </r>
  <r>
    <n v="2160"/>
    <s v="N"/>
    <s v="N"/>
    <n v="2610727"/>
    <n v="1"/>
    <d v="2012-03-22T00:00:00"/>
    <d v="2012-03-23T00:00:00"/>
    <n v="2610727"/>
    <d v="2012-03-22T00:00:00"/>
    <d v="2012-03-23T00:00:00"/>
    <n v="5500"/>
    <x v="3"/>
    <m/>
    <s v="N"/>
    <s v="NONE"/>
    <s v="DISMISSED"/>
    <n v="2"/>
    <n v="2"/>
    <n v="0"/>
    <n v="0"/>
    <m/>
    <m/>
    <m/>
    <m/>
    <m/>
    <m/>
    <m/>
    <m/>
    <m/>
    <d v="1976-12-02T00:00:00"/>
    <s v="M"/>
    <s v="B"/>
    <s v="BLACK"/>
    <s v="NULL"/>
    <s v="232"/>
    <s v="DISMISSED"/>
    <n v="1"/>
    <s v="DISMISSED"/>
    <m/>
    <m/>
    <m/>
    <s v="POSS CS PG 2 1-4 GRAMS"/>
    <m/>
    <s v="F3"/>
    <s v="POSS DRUG"/>
    <m/>
    <m/>
    <m/>
    <m/>
    <m/>
    <m/>
    <m/>
    <m/>
    <m/>
    <s v="Other/Unknown"/>
    <m/>
    <m/>
    <n v="2"/>
    <n v="2"/>
    <n v="2"/>
    <n v="35.229508196721312"/>
    <n v="0"/>
    <n v="0"/>
    <s v="NO CONVICTION"/>
    <x v="0"/>
    <s v="N"/>
    <m/>
    <s v="NO 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2166"/>
    <s v="N"/>
    <s v="N"/>
    <n v="2610740"/>
    <n v="2"/>
    <d v="2012-03-22T00:00:00"/>
    <d v="2012-11-06T00:00:00"/>
    <n v="2610740"/>
    <d v="2012-09-20T00:00:00"/>
    <d v="2012-11-06T00:00:00"/>
    <n v="65000"/>
    <x v="2"/>
    <m/>
    <s v="N"/>
    <s v="NONE"/>
    <s v="DEFERRED ADJUDICATION "/>
    <n v="48"/>
    <n v="230"/>
    <n v="0"/>
    <n v="0"/>
    <m/>
    <m/>
    <m/>
    <m/>
    <m/>
    <m/>
    <m/>
    <m/>
    <m/>
    <d v="1992-10-20T00:00:00"/>
    <s v="M"/>
    <s v="B"/>
    <s v="BLACK"/>
    <s v="NULL"/>
    <s v="178"/>
    <s v="DEFERRED"/>
    <n v="3"/>
    <s v="DEFERRED"/>
    <m/>
    <m/>
    <m/>
    <s v="evading arrest/detention w/veh "/>
    <m/>
    <s v="F3"/>
    <s v="OTHER FEL"/>
    <m/>
    <m/>
    <m/>
    <m/>
    <m/>
    <m/>
    <m/>
    <m/>
    <m/>
    <s v="Appointed Attorney"/>
    <m/>
    <m/>
    <n v="48"/>
    <n v="48"/>
    <n v="230"/>
    <n v="19.379781420765028"/>
    <n v="0"/>
    <n v="0"/>
    <s v="DEFERRED"/>
    <x v="0"/>
    <s v="N"/>
    <m/>
    <s v="DEFERRED"/>
    <s v="Y"/>
    <x v="0"/>
    <x v="0"/>
    <s v="N"/>
    <n v="0.20869565217391303"/>
    <n v="1"/>
    <n v="0.79130434782608694"/>
    <n v="0"/>
    <n v="-48"/>
    <n v="0"/>
    <n v="48"/>
    <e v="#VALUE!"/>
    <n v="48"/>
    <n v="0"/>
    <m/>
    <m/>
    <s v="N"/>
    <m/>
    <s v="31-60 DAYS"/>
    <n v="3"/>
    <x v="0"/>
  </r>
  <r>
    <n v="2173"/>
    <s v="N"/>
    <s v="N"/>
    <n v="2610808"/>
    <n v="1"/>
    <d v="2012-03-22T00:00:00"/>
    <d v="2012-03-26T00:00:00"/>
    <n v="2610808"/>
    <s v="NOT BOOKED"/>
    <s v="NOT BOOKED"/>
    <n v="5000"/>
    <x v="4"/>
    <d v="2012-03-24T00:00:00"/>
    <s v="Y"/>
    <s v="SURETY"/>
    <s v="DISMISSED"/>
    <n v="0"/>
    <n v="5"/>
    <n v="0"/>
    <n v="0"/>
    <m/>
    <m/>
    <m/>
    <m/>
    <m/>
    <m/>
    <m/>
    <m/>
    <m/>
    <d v="1985-11-05T00:00:00"/>
    <s v="F"/>
    <s v="W"/>
    <s v="WHITE"/>
    <s v="NULL"/>
    <s v="232"/>
    <s v="DISMISSED"/>
    <n v="1"/>
    <s v="DISMISSED"/>
    <m/>
    <m/>
    <m/>
    <s v="THEFT &gt;=$20,000 &lt;$100,000"/>
    <m/>
    <s v="F3"/>
    <s v="THEFT"/>
    <m/>
    <m/>
    <m/>
    <m/>
    <m/>
    <m/>
    <m/>
    <m/>
    <m/>
    <s v="Other/Unknown"/>
    <m/>
    <m/>
    <n v="0"/>
    <n v="0"/>
    <n v="5"/>
    <n v="26.3224043715847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179"/>
    <s v="N"/>
    <s v="N"/>
    <n v="2610849"/>
    <n v="6"/>
    <d v="2012-03-22T00:00:00"/>
    <d v="2012-08-29T00:00:00"/>
    <n v="2610849"/>
    <d v="2012-03-23T00:00:00"/>
    <d v="2012-03-29T00:00:00"/>
    <n v="100000"/>
    <x v="2"/>
    <d v="2012-03-29T00:00:00"/>
    <s v="Y"/>
    <s v="SURETY"/>
    <s v="GUILTY PLEA - NO JURY"/>
    <n v="7"/>
    <n v="161"/>
    <n v="0"/>
    <n v="0"/>
    <m/>
    <m/>
    <m/>
    <m/>
    <m/>
    <m/>
    <m/>
    <s v="S"/>
    <m/>
    <d v="1956-04-12T00:00:00"/>
    <s v="M"/>
    <s v="H"/>
    <s v="HISPANIC"/>
    <s v="NULL"/>
    <s v="179"/>
    <s v="CONVICTED"/>
    <n v="6"/>
    <s v="TDC"/>
    <n v="10"/>
    <m/>
    <m/>
    <s v="POSS CHILD PORNOGRAPHY"/>
    <m/>
    <s v="F3"/>
    <s v="OTHER FEL"/>
    <m/>
    <m/>
    <m/>
    <m/>
    <m/>
    <m/>
    <m/>
    <m/>
    <m/>
    <s v="Hired Attorney"/>
    <m/>
    <m/>
    <n v="7"/>
    <n v="160"/>
    <n v="161"/>
    <n v="55.827868852459019"/>
    <n v="0"/>
    <n v="-153"/>
    <s v="CONVICTION"/>
    <x v="1"/>
    <s v="Y"/>
    <m/>
    <s v="CONVICTION"/>
    <s v="Y"/>
    <x v="1"/>
    <x v="0"/>
    <s v="N"/>
    <n v="4.3478260869565216E-2"/>
    <n v="4.3749999999999997E-2"/>
    <n v="2.7173913043478104E-4"/>
    <n v="0"/>
    <n v="-7"/>
    <n v="0"/>
    <n v="7"/>
    <e v="#VALUE!"/>
    <n v="7"/>
    <n v="0"/>
    <m/>
    <m/>
    <s v="N"/>
    <m/>
    <s v="0-10 DAYS"/>
    <n v="1"/>
    <x v="0"/>
  </r>
  <r>
    <n v="2183"/>
    <s v="N"/>
    <s v="N"/>
    <n v="2610871"/>
    <n v="1"/>
    <d v="2012-03-22T00:00:00"/>
    <d v="2012-03-26T00:00:00"/>
    <n v="2610871"/>
    <s v="NOT BOOKED"/>
    <s v="NOT BOOKED"/>
    <n v="80000"/>
    <x v="2"/>
    <m/>
    <s v="NO BOND MADE - NON ARREST"/>
    <s v="NONE"/>
    <s v="DISMISSED"/>
    <n v="0"/>
    <n v="5"/>
    <n v="0"/>
    <n v="0"/>
    <m/>
    <m/>
    <m/>
    <m/>
    <m/>
    <m/>
    <m/>
    <s v="S"/>
    <m/>
    <d v="1990-09-01T00:00:00"/>
    <s v="M"/>
    <s v="H"/>
    <s v="HISPANIC"/>
    <s v="NULL"/>
    <s v="351"/>
    <s v="DISMISSED"/>
    <n v="1"/>
    <s v="DISMISSED"/>
    <m/>
    <m/>
    <m/>
    <s v="AGG ASSAULT W/DEADLY WEAPON"/>
    <m/>
    <s v="F2"/>
    <s v="ASLT-MURDR"/>
    <m/>
    <m/>
    <m/>
    <m/>
    <m/>
    <m/>
    <m/>
    <m/>
    <m/>
    <s v="Other/Unknown"/>
    <m/>
    <m/>
    <n v="0"/>
    <n v="0"/>
    <n v="5"/>
    <n v="21.510928961748633"/>
    <e v="#VALUE!"/>
    <e v="#VALUE!"/>
    <s v="NO CONVICTION"/>
    <x v="0"/>
    <s v="N"/>
    <m/>
    <s v="NO CONVICTION"/>
    <n v="0"/>
    <x v="2"/>
    <x v="0"/>
    <s v="N"/>
    <n v="0"/>
    <n v="0"/>
    <n v="0"/>
    <n v="0"/>
    <e v="#VALUE!"/>
    <e v="#VALUE!"/>
    <e v="#VALUE!"/>
    <n v="0"/>
    <n v="0"/>
    <m/>
    <m/>
    <m/>
    <s v="N"/>
    <m/>
    <s v="0-10 DAYS"/>
    <n v="1"/>
    <x v="1"/>
  </r>
  <r>
    <n v="2199"/>
    <s v="N"/>
    <s v="N"/>
    <n v="2610985"/>
    <s v=""/>
    <d v="2012-03-23T00:00:00"/>
    <m/>
    <n v="2610985"/>
    <d v="2014-10-22T00:00:00"/>
    <m/>
    <s v="NO BOND"/>
    <x v="1"/>
    <m/>
    <s v="N"/>
    <s v="NONE"/>
    <s v="NULL"/>
    <m/>
    <m/>
    <n v="0"/>
    <n v="0"/>
    <m/>
    <m/>
    <m/>
    <m/>
    <m/>
    <m/>
    <m/>
    <m/>
    <m/>
    <d v="1989-11-07T00:00:00"/>
    <s v="M"/>
    <s v="W"/>
    <s v="WHITE"/>
    <s v="NULL"/>
    <s v="179"/>
    <s v="NULL"/>
    <m/>
    <m/>
    <m/>
    <m/>
    <m/>
    <s v="MURDER"/>
    <m/>
    <s v="F1"/>
    <s v="MURD/MANSL"/>
    <m/>
    <m/>
    <m/>
    <m/>
    <m/>
    <m/>
    <m/>
    <m/>
    <m/>
    <s v="Appointed Attorney"/>
    <m/>
    <m/>
    <s v="STILL OPEN - "/>
    <s v="STILL OPEN  "/>
    <s v="STILL OPEN "/>
    <n v="22.327868852459016"/>
    <n v="0"/>
    <n v="0"/>
    <n v="0"/>
    <x v="0"/>
    <s v="N"/>
    <m/>
    <s v=""/>
    <s v="Y"/>
    <x v="7"/>
    <x v="1"/>
    <s v="N"/>
    <s v="STILL OPEN - "/>
    <s v="STILL OPEN"/>
    <n v="0"/>
    <e v="#VALUE!"/>
    <n v="41933"/>
    <e v="#VALUE!"/>
    <e v="#VALUE!"/>
    <s v="STILL OPEN - "/>
    <s v="STILL OPEN"/>
    <m/>
    <m/>
    <m/>
    <s v="N"/>
    <e v="#N/A"/>
    <s v="&gt;3YRS"/>
    <n v="9"/>
    <x v="0"/>
  </r>
  <r>
    <n v="2206"/>
    <s v="N"/>
    <s v="N"/>
    <n v="2611012"/>
    <n v="6"/>
    <d v="2012-03-23T00:00:00"/>
    <d v="2012-11-01T00:00:00"/>
    <n v="2611012"/>
    <d v="2012-03-24T00:00:00"/>
    <d v="2012-11-01T00:00:00"/>
    <n v="80000"/>
    <x v="2"/>
    <m/>
    <s v="N"/>
    <s v="NONE"/>
    <s v="GUILTY PLEA - NO JURY"/>
    <n v="223"/>
    <n v="224"/>
    <n v="0"/>
    <n v="0"/>
    <m/>
    <m/>
    <m/>
    <m/>
    <m/>
    <m/>
    <m/>
    <s v="S"/>
    <m/>
    <d v="1992-09-19T00:00:00"/>
    <s v="M"/>
    <s v="H"/>
    <s v="HISPANIC"/>
    <s v="NULL"/>
    <s v="182"/>
    <s v="CONVICTED"/>
    <n v="9"/>
    <s v="TDC"/>
    <n v="2"/>
    <m/>
    <m/>
    <s v="SEX ASSLT CHILD 14-17"/>
    <m/>
    <s v="F2"/>
    <s v="SEX ABUSE"/>
    <m/>
    <m/>
    <m/>
    <m/>
    <m/>
    <m/>
    <m/>
    <m/>
    <m/>
    <s v="Hired Attorney"/>
    <m/>
    <m/>
    <n v="223"/>
    <n v="223"/>
    <n v="224"/>
    <n v="19.467213114754099"/>
    <n v="0"/>
    <n v="0"/>
    <s v="CONVICTION"/>
    <x v="0"/>
    <s v="N"/>
    <m/>
    <s v="CONVICTION"/>
    <s v="Y"/>
    <x v="0"/>
    <x v="0"/>
    <s v="N"/>
    <n v="0.9955357142857143"/>
    <n v="1"/>
    <n v="4.4642857142856984E-3"/>
    <n v="0"/>
    <n v="-223"/>
    <n v="0"/>
    <n v="223"/>
    <e v="#VALUE!"/>
    <n v="223"/>
    <n v="0"/>
    <m/>
    <m/>
    <s v="N"/>
    <m/>
    <s v="121-365 DAYS"/>
    <n v="6"/>
    <x v="0"/>
  </r>
  <r>
    <n v="2212"/>
    <s v="N"/>
    <s v="N"/>
    <n v="2611022"/>
    <n v="2"/>
    <d v="2012-03-24T00:00:00"/>
    <d v="2012-05-03T00:00:00"/>
    <n v="2611022"/>
    <d v="2012-03-24T00:00:00"/>
    <d v="2012-03-26T00:00:00"/>
    <n v="2000"/>
    <x v="5"/>
    <d v="2012-03-26T00:00:00"/>
    <s v="Y"/>
    <s v="PTR"/>
    <s v="DEFERRED ADJUDICATION "/>
    <n v="3"/>
    <n v="41"/>
    <n v="0"/>
    <n v="0"/>
    <m/>
    <m/>
    <m/>
    <m/>
    <m/>
    <m/>
    <m/>
    <s v="S"/>
    <m/>
    <d v="1991-09-17T00:00:00"/>
    <s v="M"/>
    <s v="H"/>
    <s v="HISPANIC"/>
    <s v="NULL"/>
    <s v="183"/>
    <s v="DEFERRED"/>
    <n v="3"/>
    <s v="DEFERRED"/>
    <m/>
    <m/>
    <m/>
    <s v="BURGLARY OF A BUILDING"/>
    <m/>
    <s v="FS"/>
    <s v="BURGLARY"/>
    <m/>
    <m/>
    <m/>
    <m/>
    <m/>
    <m/>
    <m/>
    <m/>
    <m/>
    <s v="Appointed Attorney"/>
    <m/>
    <m/>
    <n v="3"/>
    <n v="41"/>
    <n v="41"/>
    <n v="20.475409836065573"/>
    <n v="0"/>
    <n v="-38"/>
    <s v="DEFERRED"/>
    <x v="2"/>
    <s v="Y"/>
    <m/>
    <s v="DEFERRED"/>
    <s v="Y"/>
    <x v="1"/>
    <x v="0"/>
    <s v="N"/>
    <n v="7.3170731707317069E-2"/>
    <n v="7.3170731707317069E-2"/>
    <n v="0"/>
    <n v="0"/>
    <n v="-3"/>
    <n v="0"/>
    <n v="3"/>
    <e v="#VALUE!"/>
    <n v="3"/>
    <n v="0"/>
    <m/>
    <m/>
    <s v="N"/>
    <m/>
    <s v="0-10 DAYS"/>
    <n v="1"/>
    <x v="0"/>
  </r>
  <r>
    <n v="2219"/>
    <s v="N"/>
    <s v="N"/>
    <n v="2611049"/>
    <n v="6"/>
    <d v="2012-03-24T00:00:00"/>
    <d v="2012-08-31T00:00:00"/>
    <n v="2611049"/>
    <d v="2012-03-24T00:00:00"/>
    <d v="2012-08-31T00:00:00"/>
    <s v="NO BOND"/>
    <x v="1"/>
    <m/>
    <s v="N"/>
    <s v="NONE"/>
    <s v="GUILTY PLEA - NO JURY"/>
    <n v="161"/>
    <n v="161"/>
    <n v="0"/>
    <n v="0"/>
    <m/>
    <m/>
    <m/>
    <m/>
    <m/>
    <m/>
    <m/>
    <s v="S"/>
    <m/>
    <d v="1981-10-28T00:00:00"/>
    <s v="M"/>
    <s v="H"/>
    <s v="HISPANIC"/>
    <s v="NULL"/>
    <s v="248"/>
    <s v="CONVICTED"/>
    <n v="7"/>
    <s v="TDC"/>
    <n v="2"/>
    <m/>
    <m/>
    <s v="AGG ASSAULT-FAMILY MEMBER"/>
    <m/>
    <s v="F2"/>
    <s v="ASLT-MURDR"/>
    <m/>
    <m/>
    <m/>
    <m/>
    <m/>
    <m/>
    <m/>
    <m/>
    <m/>
    <s v="Hired Attorney"/>
    <m/>
    <m/>
    <n v="161"/>
    <n v="161"/>
    <n v="161"/>
    <n v="30.34153005464481"/>
    <n v="0"/>
    <n v="0"/>
    <s v="CONVICTION"/>
    <x v="0"/>
    <s v="N"/>
    <m/>
    <s v="CONVICTION"/>
    <s v="Y"/>
    <x v="0"/>
    <x v="0"/>
    <s v="N"/>
    <n v="1"/>
    <n v="1"/>
    <n v="0"/>
    <n v="0"/>
    <n v="-161"/>
    <n v="0"/>
    <n v="161"/>
    <e v="#VALUE!"/>
    <n v="161"/>
    <n v="0"/>
    <m/>
    <m/>
    <s v="N"/>
    <m/>
    <s v="121-365 DAYS"/>
    <n v="6"/>
    <x v="0"/>
  </r>
  <r>
    <n v="2222"/>
    <s v="N"/>
    <s v="N"/>
    <n v="2611065"/>
    <n v="1"/>
    <d v="2012-03-24T00:00:00"/>
    <d v="2012-06-26T00:00:00"/>
    <n v="2611065"/>
    <d v="2012-03-24T00:00:00"/>
    <d v="2012-06-26T00:00:00"/>
    <s v="NO BOND"/>
    <x v="1"/>
    <m/>
    <s v="N"/>
    <s v="NONE"/>
    <s v="NO BILL"/>
    <n v="95"/>
    <n v="95"/>
    <n v="0"/>
    <n v="0"/>
    <m/>
    <m/>
    <m/>
    <m/>
    <m/>
    <m/>
    <m/>
    <m/>
    <m/>
    <d v="1994-01-25T00:00:00"/>
    <s v="F"/>
    <s v="B"/>
    <s v="BLACK"/>
    <s v="NULL"/>
    <s v="351"/>
    <s v="NO BILL"/>
    <n v="4"/>
    <s v="NO BILL"/>
    <m/>
    <m/>
    <m/>
    <s v="AGG ASSAULT-FAMILY MEMBER"/>
    <m/>
    <s v="F2"/>
    <s v="ASLT-MURDR"/>
    <m/>
    <m/>
    <m/>
    <m/>
    <m/>
    <m/>
    <m/>
    <m/>
    <m/>
    <s v="Appointed Attorney"/>
    <m/>
    <m/>
    <n v="95"/>
    <n v="95"/>
    <n v="95"/>
    <n v="18.122950819672131"/>
    <n v="0"/>
    <n v="0"/>
    <s v="NO CONVICTION"/>
    <x v="0"/>
    <s v="N"/>
    <m/>
    <s v="NO CONVICTION"/>
    <s v="Y"/>
    <x v="0"/>
    <x v="0"/>
    <s v="N"/>
    <n v="1"/>
    <n v="1"/>
    <n v="0"/>
    <n v="0"/>
    <n v="-95"/>
    <n v="0"/>
    <n v="95"/>
    <e v="#VALUE!"/>
    <n v="95"/>
    <n v="0"/>
    <m/>
    <m/>
    <s v="N"/>
    <m/>
    <s v="91-120 DAYS"/>
    <n v="0"/>
    <x v="0"/>
  </r>
  <r>
    <n v="2224"/>
    <s v="N"/>
    <s v="N"/>
    <n v="2611073"/>
    <n v="2"/>
    <d v="2012-03-24T00:00:00"/>
    <d v="2012-03-26T00:00:00"/>
    <n v="2611073"/>
    <d v="2012-03-24T00:00:00"/>
    <d v="2012-03-26T00:00:00"/>
    <n v="5000"/>
    <x v="4"/>
    <m/>
    <s v="N"/>
    <s v="NONE"/>
    <s v="DEFERRED ADJUDICATION "/>
    <n v="3"/>
    <n v="3"/>
    <n v="0"/>
    <n v="0"/>
    <m/>
    <m/>
    <m/>
    <m/>
    <m/>
    <m/>
    <m/>
    <m/>
    <m/>
    <d v="1985-10-10T00:00:00"/>
    <s v="M"/>
    <s v="W"/>
    <s v="WHITE"/>
    <s v="NULL"/>
    <s v="176"/>
    <s v="DEFERRED"/>
    <n v="1"/>
    <s v="DEFERRED"/>
    <m/>
    <m/>
    <m/>
    <s v="POSS CS PG 2 1-4 GRAMS"/>
    <m/>
    <s v="F3"/>
    <s v="POSS DRUG"/>
    <s v="rev 8/1/12 LAWV detained pend tdc 3 yrs 11/19/12"/>
    <m/>
    <m/>
    <m/>
    <m/>
    <m/>
    <m/>
    <m/>
    <m/>
    <s v="Appointed Attorney"/>
    <m/>
    <m/>
    <n v="3"/>
    <n v="3"/>
    <n v="3"/>
    <n v="26.398907103825138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2225"/>
    <s v="N"/>
    <s v="N"/>
    <n v="2611076"/>
    <n v="6"/>
    <d v="2012-03-24T00:00:00"/>
    <d v="2012-11-16T00:00:00"/>
    <n v="2611076"/>
    <d v="2012-05-22T00:00:00"/>
    <d v="2012-11-16T00:00:00"/>
    <n v="60000"/>
    <x v="2"/>
    <m/>
    <s v="N"/>
    <s v="NONE"/>
    <s v="GUILTY PLEA - NO JURY"/>
    <n v="179"/>
    <n v="238"/>
    <n v="0"/>
    <n v="0"/>
    <m/>
    <m/>
    <m/>
    <m/>
    <m/>
    <m/>
    <m/>
    <m/>
    <m/>
    <d v="1989-12-20T00:00:00"/>
    <s v="M"/>
    <s v="B"/>
    <s v="BLACK"/>
    <s v="NULL"/>
    <s v="338"/>
    <s v="CONVICTED"/>
    <n v="7"/>
    <s v="TDC"/>
    <n v="8"/>
    <m/>
    <m/>
    <s v="AGG ROBBERY-DEADLY WPN"/>
    <m/>
    <s v="F1"/>
    <s v="ROBBERY"/>
    <m/>
    <m/>
    <m/>
    <m/>
    <m/>
    <m/>
    <m/>
    <m/>
    <m/>
    <s v="Appointed Attorney"/>
    <m/>
    <m/>
    <n v="179"/>
    <n v="179"/>
    <n v="238"/>
    <n v="22.21311475409836"/>
    <n v="0"/>
    <n v="0"/>
    <s v="CONVICTION"/>
    <x v="0"/>
    <s v="N"/>
    <m/>
    <s v="CONVICTION"/>
    <s v="Y"/>
    <x v="0"/>
    <x v="0"/>
    <s v="N"/>
    <n v="0.75210084033613445"/>
    <n v="1"/>
    <n v="0.24789915966386555"/>
    <n v="0"/>
    <n v="-179"/>
    <n v="0"/>
    <n v="179"/>
    <e v="#VALUE!"/>
    <n v="179"/>
    <n v="0"/>
    <m/>
    <m/>
    <s v="N"/>
    <m/>
    <s v="121-365 DAYS"/>
    <n v="6"/>
    <x v="0"/>
  </r>
  <r>
    <n v="2230"/>
    <s v="N"/>
    <s v="N"/>
    <n v="2611106"/>
    <n v="2"/>
    <d v="2012-03-24T00:00:00"/>
    <d v="2012-05-09T00:00:00"/>
    <n v="2611106"/>
    <d v="2012-03-25T00:00:00"/>
    <d v="2012-05-09T00:00:00"/>
    <n v="10000"/>
    <x v="3"/>
    <m/>
    <s v="N"/>
    <s v="NONE"/>
    <s v="DEFERRED ADJUDICATION "/>
    <n v="46"/>
    <n v="47"/>
    <n v="0"/>
    <n v="0"/>
    <m/>
    <m/>
    <m/>
    <m/>
    <m/>
    <m/>
    <m/>
    <m/>
    <m/>
    <d v="1992-07-28T00:00:00"/>
    <s v="M"/>
    <s v="B"/>
    <s v="BLACK"/>
    <s v="NULL"/>
    <s v="209"/>
    <s v="DEFERRED"/>
    <n v="3"/>
    <s v="DEFERRED"/>
    <m/>
    <m/>
    <m/>
    <s v="BURGLARY OF HABITATION"/>
    <m/>
    <s v="F2"/>
    <s v="BURGLARY"/>
    <m/>
    <m/>
    <m/>
    <m/>
    <m/>
    <m/>
    <m/>
    <m/>
    <m/>
    <s v="Appointed Attorney"/>
    <m/>
    <m/>
    <n v="46"/>
    <n v="46"/>
    <n v="47"/>
    <n v="19.614754098360656"/>
    <n v="0"/>
    <n v="0"/>
    <s v="DEFERRED"/>
    <x v="0"/>
    <s v="N"/>
    <m/>
    <s v="DEFERRED"/>
    <s v="Y"/>
    <x v="0"/>
    <x v="0"/>
    <s v="N"/>
    <n v="0.97872340425531912"/>
    <n v="1"/>
    <n v="2.1276595744680882E-2"/>
    <n v="0"/>
    <n v="-46"/>
    <n v="0"/>
    <n v="46"/>
    <e v="#VALUE!"/>
    <n v="46"/>
    <n v="0"/>
    <m/>
    <m/>
    <s v="N"/>
    <m/>
    <s v="31-60 DAYS"/>
    <n v="3"/>
    <x v="0"/>
  </r>
  <r>
    <n v="2240"/>
    <s v="N"/>
    <s v="N"/>
    <n v="2611172"/>
    <n v="1"/>
    <d v="2012-03-25T00:00:00"/>
    <d v="2012-03-27T00:00:00"/>
    <n v="2611172"/>
    <s v="NOT BOOKED"/>
    <s v="NOT BOOKED"/>
    <n v="5000"/>
    <x v="4"/>
    <d v="2012-03-26T00:00:00"/>
    <s v="Y"/>
    <s v="SURETY"/>
    <s v="DISMISSED"/>
    <n v="0"/>
    <n v="3"/>
    <n v="0"/>
    <n v="0"/>
    <m/>
    <m/>
    <m/>
    <m/>
    <m/>
    <m/>
    <m/>
    <m/>
    <m/>
    <d v="1984-09-19T00:00:00"/>
    <s v="F"/>
    <s v="B"/>
    <s v="BLACK"/>
    <s v="NULL"/>
    <s v="183"/>
    <s v="DISMISSED"/>
    <n v="1"/>
    <s v="DISMISSED"/>
    <m/>
    <m/>
    <m/>
    <s v="HINDER APPREHENSION"/>
    <m/>
    <s v="F3"/>
    <s v="OTHER FEL"/>
    <m/>
    <m/>
    <m/>
    <m/>
    <m/>
    <m/>
    <m/>
    <m/>
    <m/>
    <s v="Hired Attorney"/>
    <m/>
    <m/>
    <n v="0"/>
    <n v="0"/>
    <n v="3"/>
    <n v="27.456284153005466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244"/>
    <s v="N"/>
    <s v="N"/>
    <n v="2611195"/>
    <n v="6"/>
    <d v="2012-03-25T00:00:00"/>
    <d v="2012-06-29T00:00:00"/>
    <n v="2611195"/>
    <d v="2012-03-26T00:00:00"/>
    <d v="2012-06-29T00:00:00"/>
    <n v="135000"/>
    <x v="2"/>
    <m/>
    <s v="N"/>
    <s v="NONE"/>
    <s v="GUILTY PLEA - NO JURY"/>
    <n v="96"/>
    <n v="97"/>
    <n v="0"/>
    <n v="0"/>
    <m/>
    <m/>
    <m/>
    <m/>
    <m/>
    <m/>
    <m/>
    <m/>
    <m/>
    <d v="1983-05-11T00:00:00"/>
    <s v="M"/>
    <s v="W"/>
    <s v="WHITE"/>
    <s v="NULL"/>
    <s v="182"/>
    <s v="CONVICTED"/>
    <n v="4"/>
    <s v="TDC"/>
    <n v="2"/>
    <m/>
    <m/>
    <s v="INTOXICATED ASSLT W/VEH SBI"/>
    <m/>
    <s v="F3"/>
    <s v="ASLT-MURDR"/>
    <m/>
    <m/>
    <m/>
    <m/>
    <m/>
    <m/>
    <m/>
    <m/>
    <m/>
    <s v="Appointed Attorney"/>
    <m/>
    <m/>
    <n v="96"/>
    <n v="96"/>
    <n v="97"/>
    <n v="28.814207650273225"/>
    <n v="0"/>
    <n v="0"/>
    <s v="CONVICTION"/>
    <x v="0"/>
    <s v="N"/>
    <m/>
    <s v="CONVICTION"/>
    <s v="Y"/>
    <x v="0"/>
    <x v="0"/>
    <s v="N"/>
    <n v="0.98969072164948457"/>
    <n v="1"/>
    <n v="1.0309278350515427E-2"/>
    <n v="0"/>
    <n v="-96"/>
    <n v="0"/>
    <n v="96"/>
    <e v="#VALUE!"/>
    <n v="96"/>
    <n v="0"/>
    <m/>
    <m/>
    <s v="N"/>
    <m/>
    <s v="91-120 DAYS"/>
    <n v="0"/>
    <x v="0"/>
  </r>
  <r>
    <n v="2247"/>
    <s v="N"/>
    <s v="N"/>
    <n v="2611223"/>
    <n v="4"/>
    <d v="2012-03-26T00:00:00"/>
    <d v="2012-03-28T00:00:00"/>
    <n v="2611223"/>
    <d v="2012-03-27T00:00:00"/>
    <d v="2012-03-28T00:00:00"/>
    <n v="2000"/>
    <x v="5"/>
    <m/>
    <s v="N"/>
    <s v="NONE"/>
    <s v="GUILTY PLEA - NO JURY"/>
    <n v="2"/>
    <n v="3"/>
    <n v="0"/>
    <n v="0"/>
    <m/>
    <m/>
    <m/>
    <m/>
    <m/>
    <m/>
    <m/>
    <s v="S"/>
    <m/>
    <d v="1977-04-17T00:00:00"/>
    <s v="M"/>
    <s v="H"/>
    <s v="HISPANIC"/>
    <s v="NULL"/>
    <s v="185"/>
    <s v="CONVICTED"/>
    <n v="2"/>
    <s v="HCJ"/>
    <m/>
    <m/>
    <n v="60"/>
    <s v="POSS CS PG 1 &lt;1G"/>
    <m/>
    <s v="FS"/>
    <s v="POSS DRUG"/>
    <m/>
    <m/>
    <m/>
    <m/>
    <m/>
    <m/>
    <m/>
    <m/>
    <m/>
    <s v="Appointed Attorney"/>
    <m/>
    <m/>
    <n v="2"/>
    <n v="2"/>
    <n v="3"/>
    <n v="34.868852459016395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2256"/>
    <s v="N"/>
    <s v="N"/>
    <n v="2611341"/>
    <n v="4"/>
    <d v="2012-03-26T00:00:00"/>
    <d v="2012-11-08T00:00:00"/>
    <n v="2611341"/>
    <d v="2012-03-27T00:00:00"/>
    <d v="2012-11-08T00:00:00"/>
    <n v="10000"/>
    <x v="3"/>
    <m/>
    <s v="N"/>
    <s v="NONE"/>
    <s v="GUILTY PLEA - NO JURY"/>
    <n v="227"/>
    <n v="228"/>
    <n v="0"/>
    <n v="0"/>
    <m/>
    <m/>
    <m/>
    <m/>
    <m/>
    <m/>
    <m/>
    <m/>
    <m/>
    <d v="1993-03-11T00:00:00"/>
    <s v="M"/>
    <s v="W"/>
    <s v="WHITE"/>
    <s v="NULL"/>
    <s v="263"/>
    <s v="CONVICTED"/>
    <n v="6"/>
    <s v="HCJ"/>
    <m/>
    <m/>
    <n v="137"/>
    <s v="BURGLARY OF HABITATION"/>
    <m/>
    <s v="F2"/>
    <s v="BURGLARY"/>
    <m/>
    <m/>
    <m/>
    <m/>
    <m/>
    <m/>
    <m/>
    <m/>
    <m/>
    <s v="Appointed Attorney"/>
    <m/>
    <m/>
    <n v="227"/>
    <n v="227"/>
    <n v="228"/>
    <n v="19.002732240437158"/>
    <n v="0"/>
    <n v="0"/>
    <s v="CONVICTION"/>
    <x v="0"/>
    <s v="N"/>
    <m/>
    <s v="CONVICTION"/>
    <s v="Y"/>
    <x v="0"/>
    <x v="0"/>
    <s v="N"/>
    <n v="0.99561403508771928"/>
    <n v="1"/>
    <n v="4.3859649122807154E-3"/>
    <n v="0"/>
    <n v="-227"/>
    <n v="0"/>
    <n v="227"/>
    <e v="#VALUE!"/>
    <n v="227"/>
    <n v="0"/>
    <m/>
    <m/>
    <s v="N"/>
    <m/>
    <s v="121-365 DAYS"/>
    <n v="6"/>
    <x v="0"/>
  </r>
  <r>
    <n v="2260"/>
    <s v="N"/>
    <s v="N"/>
    <n v="2611353"/>
    <n v="3"/>
    <d v="2012-03-26T00:00:00"/>
    <d v="2012-07-31T00:00:00"/>
    <n v="2611353"/>
    <d v="2012-03-27T00:00:00"/>
    <d v="2012-03-27T00:00:00"/>
    <n v="5000"/>
    <x v="4"/>
    <d v="2012-03-27T00:00:00"/>
    <s v="Y"/>
    <s v="SURETY"/>
    <s v="GUILTY PLEA - NO JURY"/>
    <n v="1"/>
    <n v="128"/>
    <n v="0"/>
    <n v="0"/>
    <m/>
    <m/>
    <m/>
    <m/>
    <m/>
    <m/>
    <m/>
    <m/>
    <m/>
    <d v="1972-04-05T00:00:00"/>
    <s v="M"/>
    <s v="W"/>
    <s v="WHITE"/>
    <s v="NULL"/>
    <s v="180"/>
    <s v="CONVICTED"/>
    <n v="6"/>
    <s v="PROBATION"/>
    <m/>
    <m/>
    <m/>
    <s v="FALSELY HOLDING ONESELF AS ATY"/>
    <m/>
    <s v="F3"/>
    <s v="OTHER FEL"/>
    <m/>
    <m/>
    <m/>
    <m/>
    <m/>
    <m/>
    <m/>
    <m/>
    <m/>
    <s v="Hired Attorney"/>
    <m/>
    <m/>
    <n v="1"/>
    <n v="127"/>
    <n v="128"/>
    <n v="39.89071038251366"/>
    <n v="0"/>
    <n v="-126"/>
    <s v="CONVICTION"/>
    <x v="1"/>
    <s v="Y"/>
    <m/>
    <s v="CONVICTION"/>
    <s v="Y"/>
    <x v="1"/>
    <x v="0"/>
    <s v="N"/>
    <n v="7.8125E-3"/>
    <n v="7.874015748031496E-3"/>
    <n v="6.1515748031495954E-5"/>
    <n v="0"/>
    <n v="-1"/>
    <n v="0"/>
    <n v="1"/>
    <e v="#VALUE!"/>
    <n v="1"/>
    <n v="0"/>
    <m/>
    <m/>
    <s v="N"/>
    <m/>
    <s v="0-10 DAYS"/>
    <n v="1"/>
    <x v="0"/>
  </r>
  <r>
    <n v="2266"/>
    <s v="N"/>
    <s v="N"/>
    <n v="2611383"/>
    <n v="2"/>
    <d v="2012-03-27T00:00:00"/>
    <d v="2012-03-28T00:00:00"/>
    <n v="2611383"/>
    <d v="2012-03-27T00:00:00"/>
    <d v="2012-03-28T00:00:00"/>
    <n v="2000"/>
    <x v="5"/>
    <m/>
    <s v="N"/>
    <s v="NONE"/>
    <s v="DEFERRED ADJUDICATION "/>
    <n v="2"/>
    <n v="2"/>
    <n v="0"/>
    <n v="0"/>
    <m/>
    <m/>
    <m/>
    <m/>
    <m/>
    <m/>
    <m/>
    <s v="S"/>
    <m/>
    <d v="1985-03-17T00:00:00"/>
    <s v="F"/>
    <s v="H"/>
    <s v="HISPANIC"/>
    <s v="NULL"/>
    <s v="178"/>
    <s v="DEFERRED"/>
    <n v="1"/>
    <s v="DEFERRED"/>
    <m/>
    <m/>
    <m/>
    <s v="POSS CS PG 1 &lt;1G"/>
    <m/>
    <s v="FS"/>
    <s v="POSS DRUG"/>
    <s v="rev 9/14/12 hcj 60 days "/>
    <m/>
    <m/>
    <m/>
    <m/>
    <m/>
    <m/>
    <m/>
    <m/>
    <s v="Appointed Attorney"/>
    <m/>
    <m/>
    <n v="2"/>
    <n v="2"/>
    <n v="2"/>
    <n v="26.972677595628415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2267"/>
    <s v="N"/>
    <s v="N"/>
    <n v="2611385"/>
    <n v="2"/>
    <d v="2012-03-27T00:00:00"/>
    <d v="2012-10-15T00:00:00"/>
    <n v="2611385"/>
    <d v="2012-03-27T00:00:00"/>
    <d v="2012-03-28T00:00:00"/>
    <n v="2000"/>
    <x v="5"/>
    <d v="2012-03-28T00:00:00"/>
    <s v="Y"/>
    <s v="SURETY"/>
    <s v="DEFERRED ADJUDICATION "/>
    <n v="2"/>
    <n v="203"/>
    <n v="0"/>
    <n v="0"/>
    <m/>
    <m/>
    <m/>
    <m/>
    <m/>
    <m/>
    <m/>
    <m/>
    <m/>
    <d v="1982-12-09T00:00:00"/>
    <s v="M"/>
    <s v="W"/>
    <s v="WHITE"/>
    <s v="NULL"/>
    <s v="338"/>
    <s v="DEFERRED"/>
    <n v="9"/>
    <s v="DEFERRED"/>
    <m/>
    <m/>
    <m/>
    <s v="POSS CS PG 1 &lt;1G"/>
    <m/>
    <s v="FS"/>
    <s v="POSS DRUG"/>
    <m/>
    <m/>
    <m/>
    <m/>
    <m/>
    <m/>
    <m/>
    <m/>
    <m/>
    <s v="Appointed Attorney"/>
    <m/>
    <m/>
    <n v="2"/>
    <n v="203"/>
    <n v="203"/>
    <n v="29.237704918032787"/>
    <n v="0"/>
    <n v="-201"/>
    <s v="DEFERRED"/>
    <x v="1"/>
    <s v="Y"/>
    <m/>
    <s v="DEFERRED"/>
    <s v="Y"/>
    <x v="1"/>
    <x v="0"/>
    <s v="N"/>
    <n v="9.852216748768473E-3"/>
    <n v="9.852216748768473E-3"/>
    <n v="0"/>
    <n v="0"/>
    <n v="-2"/>
    <n v="0"/>
    <n v="2"/>
    <e v="#VALUE!"/>
    <n v="2"/>
    <n v="0"/>
    <m/>
    <m/>
    <s v="N"/>
    <m/>
    <s v="0-10 DAYS"/>
    <n v="1"/>
    <x v="0"/>
  </r>
  <r>
    <n v="2268"/>
    <s v="N"/>
    <s v="N"/>
    <n v="2611386"/>
    <n v="4"/>
    <d v="2012-03-27T00:00:00"/>
    <d v="2012-04-02T00:00:00"/>
    <n v="2611386"/>
    <d v="2012-03-27T00:00:00"/>
    <d v="2012-04-02T00:00:00"/>
    <n v="15000"/>
    <x v="0"/>
    <m/>
    <s v="N"/>
    <s v="NONE"/>
    <s v="GUILTY PLEA - NO JURY"/>
    <n v="7"/>
    <n v="7"/>
    <n v="0"/>
    <n v="0"/>
    <m/>
    <m/>
    <m/>
    <m/>
    <m/>
    <m/>
    <m/>
    <s v="S"/>
    <m/>
    <d v="1976-09-13T00:00:00"/>
    <s v="M"/>
    <s v="H"/>
    <s v="HISPANIC"/>
    <s v="NULL"/>
    <s v="339"/>
    <s v="CONVICTED"/>
    <n v="2"/>
    <s v="HCJ"/>
    <m/>
    <m/>
    <n v="90"/>
    <s v="POSS CS PG 1 &lt;1G"/>
    <m/>
    <s v="FS"/>
    <s v="POSS DRUG"/>
    <m/>
    <m/>
    <m/>
    <m/>
    <m/>
    <m/>
    <m/>
    <m/>
    <m/>
    <s v="Public Defender"/>
    <m/>
    <m/>
    <n v="7"/>
    <n v="7"/>
    <n v="7"/>
    <n v="35.461748633879779"/>
    <n v="0"/>
    <n v="0"/>
    <s v="CONVICTION"/>
    <x v="0"/>
    <s v="N"/>
    <m/>
    <s v="CONVICTION"/>
    <s v="Y"/>
    <x v="0"/>
    <x v="0"/>
    <s v="N"/>
    <n v="1"/>
    <n v="1"/>
    <n v="0"/>
    <n v="0"/>
    <n v="-7"/>
    <n v="0"/>
    <n v="7"/>
    <e v="#VALUE!"/>
    <n v="7"/>
    <n v="0"/>
    <m/>
    <m/>
    <s v="N"/>
    <m/>
    <s v="0-10 DAYS"/>
    <n v="1"/>
    <x v="0"/>
  </r>
  <r>
    <n v="2276"/>
    <s v="N"/>
    <s v="N"/>
    <n v="2611440"/>
    <n v="1"/>
    <d v="2012-03-27T00:00:00"/>
    <d v="2012-06-12T00:00:00"/>
    <n v="2611440"/>
    <d v="2012-03-27T00:00:00"/>
    <d v="2012-06-12T00:00:00"/>
    <n v="2000"/>
    <x v="5"/>
    <m/>
    <s v="N"/>
    <s v="NONE"/>
    <s v="DISMISSED"/>
    <n v="78"/>
    <n v="78"/>
    <n v="0"/>
    <n v="0"/>
    <m/>
    <m/>
    <m/>
    <m/>
    <m/>
    <m/>
    <m/>
    <m/>
    <m/>
    <d v="1964-04-11T00:00:00"/>
    <s v="F"/>
    <s v="W"/>
    <s v="WHITE"/>
    <s v="NULL"/>
    <s v="176"/>
    <s v="DISMISSED"/>
    <n v="4"/>
    <s v="DISMISSED"/>
    <m/>
    <m/>
    <m/>
    <s v="POSS CS PG 1 &lt;1G"/>
    <m/>
    <s v="FS"/>
    <s v="POSS DRUG"/>
    <m/>
    <m/>
    <m/>
    <m/>
    <m/>
    <m/>
    <m/>
    <m/>
    <m/>
    <s v="Appointed Attorney"/>
    <m/>
    <m/>
    <n v="78"/>
    <n v="78"/>
    <n v="78"/>
    <n v="47.860655737704917"/>
    <n v="0"/>
    <n v="0"/>
    <s v="NO CONVICTION"/>
    <x v="0"/>
    <s v="N"/>
    <m/>
    <s v="NO CONVICTION"/>
    <s v="Y"/>
    <x v="0"/>
    <x v="0"/>
    <s v="N"/>
    <n v="1"/>
    <n v="1"/>
    <n v="0"/>
    <n v="0"/>
    <n v="-78"/>
    <n v="0"/>
    <n v="78"/>
    <e v="#VALUE!"/>
    <n v="78"/>
    <n v="0"/>
    <m/>
    <m/>
    <s v="N"/>
    <m/>
    <s v="61-90 DAYS"/>
    <n v="4"/>
    <x v="0"/>
  </r>
  <r>
    <n v="2282"/>
    <s v="N"/>
    <s v="Y"/>
    <n v="2611552"/>
    <n v="2"/>
    <d v="2012-04-11T00:00:00"/>
    <d v="2013-10-25T00:00:00"/>
    <n v="2611552"/>
    <d v="2012-04-13T00:00:00"/>
    <d v="2012-04-19T00:00:00"/>
    <n v="40000"/>
    <x v="2"/>
    <d v="2012-04-19T00:00:00"/>
    <s v="Y"/>
    <s v="SURETY"/>
    <s v="DEFERRED ADJUDICATION "/>
    <n v="65"/>
    <n v="563"/>
    <n v="0"/>
    <n v="0"/>
    <m/>
    <m/>
    <m/>
    <m/>
    <m/>
    <m/>
    <m/>
    <m/>
    <m/>
    <d v="1992-04-19T00:00:00"/>
    <s v="M"/>
    <s v="B"/>
    <s v="BLACK"/>
    <s v="NULL"/>
    <s v="263"/>
    <s v="DEFERRED"/>
    <n v="17"/>
    <s v="DEFERRED"/>
    <m/>
    <m/>
    <m/>
    <s v="ROBBERY THREATS"/>
    <m/>
    <s v="F2"/>
    <s v="ROBBERY"/>
    <s v="TDC SENT OF ROB FILED 4/11 IN LIEU OF  DISM BURG HAB FILED 3/27/12"/>
    <s v=" surr 8/29/12  BD 11/17/12 RECAL"/>
    <m/>
    <m/>
    <s v="Y"/>
    <m/>
    <m/>
    <m/>
    <m/>
    <s v="Hired Attorney"/>
    <m/>
    <m/>
    <n v="65"/>
    <n v="561"/>
    <n v="563"/>
    <n v="19.937158469945356"/>
    <n v="0"/>
    <n v="-554"/>
    <s v="DEFERRED"/>
    <x v="1"/>
    <s v="Y"/>
    <m/>
    <s v="DEFERRED"/>
    <s v="Y"/>
    <x v="1"/>
    <x v="0"/>
    <s v="N"/>
    <n v="0.11545293072824156"/>
    <n v="1.2477718360071301E-2"/>
    <n v="-0.10297521236817025"/>
    <n v="0"/>
    <n v="-7"/>
    <n v="58"/>
    <n v="7"/>
    <n v="65"/>
    <m/>
    <n v="554"/>
    <m/>
    <m/>
    <s v="N"/>
    <m/>
    <s v="61-90 DAYS"/>
    <n v="4"/>
    <x v="0"/>
  </r>
  <r>
    <n v="2283"/>
    <s v="N"/>
    <s v="N"/>
    <n v="2611562"/>
    <n v="6"/>
    <d v="2012-03-27T00:00:00"/>
    <d v="2012-08-29T00:00:00"/>
    <n v="2611562"/>
    <d v="2012-03-30T00:00:00"/>
    <d v="2012-08-29T00:00:00"/>
    <n v="10000"/>
    <x v="3"/>
    <m/>
    <s v="N"/>
    <s v="NONE"/>
    <s v="GUILTY PLEA - NO JURY"/>
    <n v="153"/>
    <n v="156"/>
    <n v="0"/>
    <n v="0"/>
    <m/>
    <m/>
    <m/>
    <m/>
    <m/>
    <m/>
    <m/>
    <s v="S"/>
    <m/>
    <d v="1994-05-30T00:00:00"/>
    <s v="M"/>
    <s v="H"/>
    <s v="HISPANIC"/>
    <s v="NULL"/>
    <s v="248"/>
    <s v="CONVICTED"/>
    <n v="7"/>
    <s v="TDC"/>
    <n v="3"/>
    <m/>
    <m/>
    <s v="BURGLARY OF HABITATION"/>
    <m/>
    <s v="F2"/>
    <s v="BURGLARY"/>
    <m/>
    <m/>
    <m/>
    <m/>
    <m/>
    <m/>
    <m/>
    <m/>
    <m/>
    <s v="Hired Attorney"/>
    <m/>
    <m/>
    <n v="153"/>
    <n v="153"/>
    <n v="156"/>
    <n v="17.789617486338798"/>
    <n v="0"/>
    <n v="0"/>
    <s v="CONVICTION"/>
    <x v="0"/>
    <s v="N"/>
    <m/>
    <s v="CONVICTION"/>
    <s v="Y"/>
    <x v="0"/>
    <x v="0"/>
    <s v="N"/>
    <n v="0.98076923076923073"/>
    <n v="1"/>
    <n v="1.9230769230769273E-2"/>
    <n v="0"/>
    <n v="-153"/>
    <n v="0"/>
    <n v="153"/>
    <e v="#VALUE!"/>
    <n v="153"/>
    <n v="0"/>
    <m/>
    <m/>
    <s v="N"/>
    <m/>
    <s v="121-365 DAYS"/>
    <n v="6"/>
    <x v="0"/>
  </r>
  <r>
    <n v="2286"/>
    <s v="N"/>
    <s v="N"/>
    <n v="2611566"/>
    <n v="2"/>
    <d v="2012-03-27T00:00:00"/>
    <d v="2012-08-02T00:00:00"/>
    <n v="2611566"/>
    <s v="NOT BOOKED"/>
    <s v="NOT BOOKED"/>
    <n v="5000"/>
    <x v="4"/>
    <d v="2012-03-28T00:00:00"/>
    <s v="Y"/>
    <s v="SURETY"/>
    <s v="DEFERRED ADJUDICATION "/>
    <n v="0"/>
    <n v="129"/>
    <n v="0"/>
    <n v="0"/>
    <m/>
    <m/>
    <m/>
    <m/>
    <m/>
    <m/>
    <m/>
    <s v="S"/>
    <m/>
    <d v="1994-06-24T00:00:00"/>
    <s v="M"/>
    <s v="H"/>
    <s v="HISPANIC"/>
    <s v="NULL"/>
    <s v="263"/>
    <s v="DEFERRED"/>
    <n v="7"/>
    <s v="DEFERRED"/>
    <m/>
    <m/>
    <m/>
    <s v="BURGLARY OF HABITATION"/>
    <m/>
    <s v="F2"/>
    <s v="BURGLARY"/>
    <m/>
    <m/>
    <m/>
    <m/>
    <m/>
    <m/>
    <m/>
    <m/>
    <m/>
    <s v="Hired Attorney"/>
    <m/>
    <m/>
    <n v="0"/>
    <n v="0"/>
    <n v="129"/>
    <n v="17.721311475409838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290"/>
    <s v="Y"/>
    <s v="Y"/>
    <n v="2611573"/>
    <n v="2"/>
    <d v="2012-03-27T00:00:00"/>
    <d v="2012-06-25T00:00:00"/>
    <n v="2611573"/>
    <d v="2012-03-28T00:00:00"/>
    <d v="2012-03-31T00:00:00"/>
    <n v="20000"/>
    <x v="0"/>
    <d v="2012-03-31T00:00:00"/>
    <s v="Y"/>
    <s v="SURETYPTRc"/>
    <s v="DEFERRED ADJUDICATION "/>
    <n v="23"/>
    <n v="91"/>
    <n v="0"/>
    <n v="0"/>
    <m/>
    <m/>
    <m/>
    <m/>
    <m/>
    <m/>
    <m/>
    <m/>
    <m/>
    <d v="1990-05-03T00:00:00"/>
    <s v="M"/>
    <s v="W"/>
    <s v="WHITE"/>
    <s v="NULL"/>
    <s v="262"/>
    <s v="DEFERRED"/>
    <n v="5"/>
    <s v="DEFERRED"/>
    <m/>
    <m/>
    <n v="30"/>
    <s v="POSS W/INT DEL CS PG1&gt;=4 &lt;200"/>
    <m/>
    <s v="F1"/>
    <s v="SALE DRUG"/>
    <m/>
    <s v="bd rev 5/23/12"/>
    <m/>
    <m/>
    <s v="Y"/>
    <m/>
    <m/>
    <m/>
    <m/>
    <s v="Hired Attorney"/>
    <s v="m adj 4/29/13 viol "/>
    <m/>
    <n v="23"/>
    <n v="90"/>
    <n v="91"/>
    <n v="21.855191256830601"/>
    <n v="0"/>
    <n v="-86"/>
    <s v="DEFERRED"/>
    <x v="1"/>
    <s v="Y"/>
    <m/>
    <s v="DEFERRED"/>
    <s v="Y"/>
    <x v="0"/>
    <x v="0"/>
    <s v="N"/>
    <n v="0.25274725274725274"/>
    <n v="4.4444444444444446E-2"/>
    <n v="-0.20830280830280828"/>
    <n v="0"/>
    <n v="-4"/>
    <n v="19"/>
    <n v="90"/>
    <n v="23"/>
    <n v="90"/>
    <n v="86"/>
    <m/>
    <m/>
    <s v="N"/>
    <m/>
    <s v="11-30 DAYS"/>
    <n v="2"/>
    <x v="0"/>
  </r>
  <r>
    <n v="2292"/>
    <s v="N"/>
    <s v="N"/>
    <n v="2611582"/>
    <n v="3"/>
    <d v="2012-03-27T00:00:00"/>
    <d v="2012-08-29T00:00:00"/>
    <n v="2611582"/>
    <s v="NOT BOOKED"/>
    <s v="NOT BOOKED"/>
    <n v="2000"/>
    <x v="5"/>
    <d v="2012-04-02T00:00:00"/>
    <s v="Y"/>
    <s v="SURETY"/>
    <s v="GUILTY PLEA - NO JURY"/>
    <n v="0"/>
    <n v="156"/>
    <n v="0"/>
    <n v="0"/>
    <m/>
    <m/>
    <m/>
    <m/>
    <m/>
    <m/>
    <m/>
    <m/>
    <m/>
    <d v="1988-06-09T00:00:00"/>
    <s v="F"/>
    <s v="W"/>
    <s v="WHITE"/>
    <s v="NULL"/>
    <s v="176"/>
    <s v="CONVICTED"/>
    <n v="7"/>
    <s v="PROBATION"/>
    <m/>
    <m/>
    <m/>
    <s v="THEFT $1500-20K"/>
    <m/>
    <s v="FS"/>
    <s v="THEFT"/>
    <m/>
    <m/>
    <m/>
    <m/>
    <m/>
    <m/>
    <m/>
    <m/>
    <m/>
    <s v="Appointed Attorney"/>
    <m/>
    <m/>
    <n v="0"/>
    <n v="0"/>
    <n v="156"/>
    <n v="23.748633879781419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293"/>
    <s v="N"/>
    <s v="N"/>
    <n v="2611583"/>
    <n v="2"/>
    <d v="2012-03-29T00:00:00"/>
    <d v="2014-06-06T00:00:00"/>
    <n v="2611583"/>
    <d v="2012-07-31T00:00:00"/>
    <d v="2012-08-23T00:00:00"/>
    <n v="500000"/>
    <x v="2"/>
    <d v="2012-08-23T00:00:00"/>
    <s v="Y"/>
    <s v="SURETY"/>
    <s v="DEFERRED ADJUDICATION "/>
    <n v="24"/>
    <n v="800"/>
    <n v="0"/>
    <n v="0"/>
    <m/>
    <m/>
    <m/>
    <m/>
    <m/>
    <m/>
    <m/>
    <s v="S"/>
    <m/>
    <d v="1959-01-06T00:00:00"/>
    <s v="F"/>
    <s v="H"/>
    <s v="HISPANIC"/>
    <s v="NULL"/>
    <s v="179"/>
    <s v="DEFERRED"/>
    <n v="11"/>
    <s v="DEFERRED"/>
    <m/>
    <m/>
    <m/>
    <s v="ENGAGING IN ORG CRIM ACTIVITY"/>
    <m/>
    <s v="F1"/>
    <s v="OTHER FEL"/>
    <m/>
    <m/>
    <m/>
    <m/>
    <m/>
    <m/>
    <m/>
    <m/>
    <m/>
    <s v="Hired Attorney"/>
    <m/>
    <m/>
    <n v="24"/>
    <n v="676"/>
    <n v="800"/>
    <n v="53.117486338797811"/>
    <n v="0"/>
    <n v="-652"/>
    <s v="DEFERRED"/>
    <x v="1"/>
    <s v="N"/>
    <m/>
    <s v="DEFERRED"/>
    <s v="Y"/>
    <x v="1"/>
    <x v="0"/>
    <s v="N"/>
    <n v="0.03"/>
    <n v="0.03"/>
    <n v="0"/>
    <n v="0"/>
    <n v="-24"/>
    <n v="0"/>
    <n v="24"/>
    <e v="#VALUE!"/>
    <n v="24"/>
    <m/>
    <m/>
    <m/>
    <s v="N"/>
    <e v="#N/A"/>
    <s v="11-30 DAYS"/>
    <n v="2"/>
    <x v="0"/>
  </r>
  <r>
    <n v="2314"/>
    <s v="N"/>
    <s v="N"/>
    <n v="2611664"/>
    <n v="2"/>
    <d v="2012-03-28T00:00:00"/>
    <d v="2012-09-19T00:00:00"/>
    <n v="2611664"/>
    <d v="2012-03-28T00:00:00"/>
    <d v="2012-03-30T00:00:00"/>
    <n v="2000"/>
    <x v="5"/>
    <d v="2012-03-30T00:00:00"/>
    <s v="Y"/>
    <s v="SURETY"/>
    <s v="DEFERRED ADJUDICATION "/>
    <n v="3"/>
    <n v="176"/>
    <n v="0"/>
    <n v="0"/>
    <m/>
    <m/>
    <m/>
    <m/>
    <m/>
    <m/>
    <m/>
    <m/>
    <m/>
    <d v="1990-01-01T00:00:00"/>
    <s v="M"/>
    <s v="B"/>
    <s v="BLACK"/>
    <s v="NULL"/>
    <s v="208"/>
    <s v="DEFERRED"/>
    <n v="5"/>
    <s v="DEFERRED"/>
    <m/>
    <m/>
    <m/>
    <s v="POSS CS PG 1 &lt;1G"/>
    <m/>
    <s v="FS"/>
    <s v="POSS DRUG"/>
    <m/>
    <m/>
    <m/>
    <m/>
    <m/>
    <m/>
    <m/>
    <m/>
    <m/>
    <s v="Hired Attorney"/>
    <m/>
    <m/>
    <n v="3"/>
    <n v="176"/>
    <n v="176"/>
    <n v="22.191256830601095"/>
    <n v="0"/>
    <n v="-173"/>
    <s v="DEFERRED"/>
    <x v="1"/>
    <s v="Y"/>
    <m/>
    <s v="DEFERRED"/>
    <s v="Y"/>
    <x v="1"/>
    <x v="0"/>
    <s v="N"/>
    <n v="1.7045454545454544E-2"/>
    <n v="1.7045454545454544E-2"/>
    <n v="0"/>
    <n v="0"/>
    <n v="-3"/>
    <n v="0"/>
    <n v="3"/>
    <e v="#VALUE!"/>
    <n v="3"/>
    <n v="0"/>
    <m/>
    <m/>
    <s v="N"/>
    <m/>
    <s v="0-10 DAYS"/>
    <n v="1"/>
    <x v="0"/>
  </r>
  <r>
    <n v="2331"/>
    <s v="N"/>
    <s v="N"/>
    <n v="2611768"/>
    <n v="4"/>
    <d v="2012-03-29T00:00:00"/>
    <d v="2012-04-02T00:00:00"/>
    <n v="2611768"/>
    <d v="2012-03-30T00:00:00"/>
    <d v="2012-04-02T00:00:00"/>
    <n v="35000"/>
    <x v="2"/>
    <m/>
    <s v="N"/>
    <s v="NONE"/>
    <s v="GUILTY PLEA - NO JURY"/>
    <n v="4"/>
    <n v="5"/>
    <n v="0"/>
    <n v="0"/>
    <m/>
    <m/>
    <m/>
    <m/>
    <m/>
    <m/>
    <m/>
    <s v="S"/>
    <m/>
    <d v="1983-06-24T00:00:00"/>
    <s v="M"/>
    <s v="H"/>
    <s v="HISPANIC"/>
    <s v="NULL"/>
    <s v="209"/>
    <s v="CONVICTED"/>
    <n v="2"/>
    <s v="HCJ"/>
    <m/>
    <m/>
    <n v="60"/>
    <s v="POSS CS PG 1 &lt;1G"/>
    <m/>
    <s v="FS"/>
    <s v="POSS DRUG"/>
    <m/>
    <m/>
    <m/>
    <m/>
    <m/>
    <m/>
    <m/>
    <m/>
    <m/>
    <s v="Appointed Attorney"/>
    <m/>
    <m/>
    <n v="4"/>
    <n v="4"/>
    <n v="5"/>
    <n v="28.704918032786885"/>
    <n v="0"/>
    <n v="0"/>
    <s v="CONVICTION"/>
    <x v="0"/>
    <s v="N"/>
    <m/>
    <s v="CONVICTION"/>
    <s v="Y"/>
    <x v="0"/>
    <x v="0"/>
    <s v="N"/>
    <n v="0.8"/>
    <n v="1"/>
    <n v="0.19999999999999996"/>
    <n v="0"/>
    <n v="-4"/>
    <n v="0"/>
    <n v="4"/>
    <e v="#VALUE!"/>
    <n v="4"/>
    <n v="0"/>
    <m/>
    <m/>
    <s v="N"/>
    <m/>
    <s v="0-10 DAYS"/>
    <n v="1"/>
    <x v="0"/>
  </r>
  <r>
    <n v="2340"/>
    <s v="N"/>
    <s v="N"/>
    <n v="2611829"/>
    <n v="1"/>
    <d v="2012-03-29T00:00:00"/>
    <d v="2012-10-17T00:00:00"/>
    <n v="2611829"/>
    <d v="2012-03-31T00:00:00"/>
    <d v="2012-04-01T00:00:00"/>
    <n v="30000"/>
    <x v="2"/>
    <d v="2012-04-01T00:00:00"/>
    <s v="Y"/>
    <s v="SURETY"/>
    <s v="NO BILL"/>
    <n v="2"/>
    <n v="203"/>
    <n v="0"/>
    <n v="0"/>
    <m/>
    <m/>
    <m/>
    <m/>
    <m/>
    <m/>
    <m/>
    <m/>
    <m/>
    <d v="1955-06-16T00:00:00"/>
    <s v="M"/>
    <s v="A"/>
    <s v="OTHER"/>
    <s v="NULL"/>
    <s v="174"/>
    <s v="NO BILL"/>
    <n v="7"/>
    <s v="NO BILL"/>
    <m/>
    <m/>
    <m/>
    <s v="INDECENCY CHILD-TG"/>
    <m/>
    <s v="F2"/>
    <s v="SEX ABUSE"/>
    <m/>
    <m/>
    <m/>
    <m/>
    <m/>
    <m/>
    <m/>
    <m/>
    <m/>
    <s v="Hired Attorney"/>
    <m/>
    <m/>
    <n v="2"/>
    <n v="201"/>
    <n v="203"/>
    <n v="56.669398907103826"/>
    <n v="0"/>
    <n v="-199"/>
    <s v="NO CONVICTION"/>
    <x v="1"/>
    <s v="Y"/>
    <m/>
    <s v="NO CONVICTION"/>
    <s v="Y"/>
    <x v="1"/>
    <x v="0"/>
    <s v="N"/>
    <n v="9.852216748768473E-3"/>
    <n v="9.9502487562189053E-3"/>
    <n v="9.8032007450432265E-5"/>
    <n v="0"/>
    <n v="-2"/>
    <n v="0"/>
    <n v="2"/>
    <e v="#VALUE!"/>
    <n v="2"/>
    <n v="0"/>
    <m/>
    <m/>
    <s v="N"/>
    <m/>
    <s v="0-10 DAYS"/>
    <n v="1"/>
    <x v="0"/>
  </r>
  <r>
    <n v="2357"/>
    <s v="N"/>
    <s v="N"/>
    <n v="2611961"/>
    <n v="2"/>
    <d v="2012-03-29T00:00:00"/>
    <d v="2012-04-16T00:00:00"/>
    <n v="2611961"/>
    <d v="2012-03-30T00:00:00"/>
    <d v="2012-04-16T00:00:00"/>
    <n v="30000"/>
    <x v="2"/>
    <m/>
    <s v="N"/>
    <s v="NONE"/>
    <s v="DEFERRED ADJUDICATION "/>
    <n v="18"/>
    <n v="19"/>
    <n v="0"/>
    <n v="0"/>
    <m/>
    <m/>
    <m/>
    <m/>
    <m/>
    <m/>
    <m/>
    <m/>
    <m/>
    <d v="1994-07-24T00:00:00"/>
    <s v="M"/>
    <s v="B"/>
    <s v="BLACK"/>
    <s v="NULL"/>
    <s v="179"/>
    <s v="DEFERRED"/>
    <n v="2"/>
    <s v="DEFERRED"/>
    <m/>
    <m/>
    <m/>
    <s v="AGG ROBBERY-DEADLY WPN"/>
    <m/>
    <s v="F1"/>
    <s v="ROBBERY"/>
    <m/>
    <m/>
    <m/>
    <m/>
    <m/>
    <m/>
    <m/>
    <m/>
    <m/>
    <s v="Appointed Attorney"/>
    <m/>
    <m/>
    <n v="18"/>
    <n v="18"/>
    <n v="19"/>
    <n v="17.644808743169399"/>
    <n v="0"/>
    <n v="0"/>
    <s v="DEFERRED"/>
    <x v="0"/>
    <s v="N"/>
    <m/>
    <s v="DEFERRED"/>
    <s v="Y"/>
    <x v="0"/>
    <x v="0"/>
    <s v="N"/>
    <n v="0.94736842105263153"/>
    <n v="1"/>
    <n v="5.2631578947368474E-2"/>
    <n v="0"/>
    <n v="-18"/>
    <n v="0"/>
    <n v="18"/>
    <e v="#VALUE!"/>
    <n v="18"/>
    <n v="0"/>
    <m/>
    <m/>
    <s v="N"/>
    <m/>
    <s v="11-30 DAYS"/>
    <n v="2"/>
    <x v="0"/>
  </r>
  <r>
    <n v="2370"/>
    <s v="N"/>
    <s v="N"/>
    <n v="2611991"/>
    <n v="2"/>
    <d v="2012-03-30T00:00:00"/>
    <d v="2012-12-17T00:00:00"/>
    <n v="2611991"/>
    <d v="2012-03-30T00:00:00"/>
    <d v="2012-04-21T00:00:00"/>
    <n v="60000"/>
    <x v="2"/>
    <d v="2012-04-21T00:00:00"/>
    <s v="Y"/>
    <s v="SURETY"/>
    <s v="DEFERRED ADJUDICATION "/>
    <n v="23"/>
    <n v="263"/>
    <n v="0"/>
    <n v="0"/>
    <m/>
    <m/>
    <m/>
    <m/>
    <m/>
    <m/>
    <m/>
    <s v="S"/>
    <m/>
    <d v="1993-10-08T00:00:00"/>
    <s v="M"/>
    <s v="H"/>
    <s v="HISPANIC"/>
    <s v="NULL"/>
    <s v="182"/>
    <s v="DEFERRED"/>
    <n v="8"/>
    <s v="DEFERRED"/>
    <m/>
    <m/>
    <m/>
    <s v="AGG ROBBERY-DEADLY WPN"/>
    <m/>
    <s v="F1"/>
    <s v="ROBBERY"/>
    <m/>
    <m/>
    <m/>
    <m/>
    <m/>
    <m/>
    <m/>
    <m/>
    <m/>
    <s v="Hired Attorney"/>
    <m/>
    <m/>
    <n v="23"/>
    <n v="263"/>
    <n v="263"/>
    <n v="18.437158469945356"/>
    <n v="0"/>
    <n v="-240"/>
    <s v="DEFERRED"/>
    <x v="1"/>
    <s v="Y"/>
    <m/>
    <s v="DEFERRED"/>
    <s v="Y"/>
    <x v="1"/>
    <x v="0"/>
    <s v="N"/>
    <n v="8.7452471482889732E-2"/>
    <n v="8.7452471482889732E-2"/>
    <n v="0"/>
    <n v="0"/>
    <n v="-23"/>
    <n v="0"/>
    <n v="23"/>
    <e v="#VALUE!"/>
    <n v="23"/>
    <n v="0"/>
    <m/>
    <m/>
    <s v="N"/>
    <m/>
    <s v="11-30 DAYS"/>
    <n v="2"/>
    <x v="0"/>
  </r>
  <r>
    <n v="2371"/>
    <s v="N"/>
    <s v="N"/>
    <n v="2612011"/>
    <n v="2"/>
    <d v="2012-03-30T00:00:00"/>
    <d v="2013-09-12T00:00:00"/>
    <n v="2612011"/>
    <d v="2012-04-03T00:00:00"/>
    <d v="2012-04-06T00:00:00"/>
    <n v="30000"/>
    <x v="2"/>
    <d v="2012-04-06T00:00:00"/>
    <s v="Y"/>
    <s v="SURETY"/>
    <s v="DEFERRED ADJUDICATION "/>
    <n v="4"/>
    <n v="532"/>
    <n v="0"/>
    <n v="0"/>
    <m/>
    <m/>
    <m/>
    <m/>
    <m/>
    <m/>
    <m/>
    <s v="S"/>
    <m/>
    <d v="1993-12-15T00:00:00"/>
    <s v="M"/>
    <s v="H"/>
    <s v="HISPANIC"/>
    <s v="NULL"/>
    <s v="263"/>
    <s v="DEFERRED"/>
    <n v="13"/>
    <s v="DEFERRED"/>
    <m/>
    <m/>
    <m/>
    <s v="AGG SEX ASSLT CHILD-UNDER 14"/>
    <m/>
    <s v="F1"/>
    <s v="SEX ABUSE"/>
    <m/>
    <m/>
    <m/>
    <m/>
    <m/>
    <m/>
    <m/>
    <m/>
    <m/>
    <s v="Hired Attorney"/>
    <m/>
    <m/>
    <n v="4"/>
    <n v="528"/>
    <n v="532"/>
    <n v="18.251366120218581"/>
    <n v="0"/>
    <n v="-524"/>
    <s v="DEFERRED"/>
    <x v="1"/>
    <s v="Y"/>
    <m/>
    <s v="DEFERRED"/>
    <s v="Y"/>
    <x v="1"/>
    <x v="0"/>
    <s v="N"/>
    <n v="7.5187969924812026E-3"/>
    <n v="7.575757575757576E-3"/>
    <n v="5.6960583276373378E-5"/>
    <n v="0"/>
    <n v="-4"/>
    <n v="0"/>
    <n v="4"/>
    <e v="#VALUE!"/>
    <n v="4"/>
    <n v="0"/>
    <m/>
    <m/>
    <s v="N"/>
    <m/>
    <s v="0-10 DAYS"/>
    <n v="1"/>
    <x v="0"/>
  </r>
  <r>
    <n v="2596"/>
    <s v="N"/>
    <s v="N"/>
    <n v="2612039"/>
    <n v="1"/>
    <d v="2012-04-06T00:00:00"/>
    <d v="2012-05-21T00:00:00"/>
    <n v="2612039"/>
    <d v="2012-04-06T00:00:00"/>
    <d v="2012-04-07T00:00:00"/>
    <n v="2000"/>
    <x v="5"/>
    <d v="2012-04-07T00:00:00"/>
    <s v="Y"/>
    <s v="SURETY"/>
    <s v="DISMISSED"/>
    <n v="2"/>
    <n v="46"/>
    <n v="0"/>
    <n v="0"/>
    <m/>
    <m/>
    <m/>
    <m/>
    <m/>
    <m/>
    <m/>
    <m/>
    <m/>
    <d v="1990-05-15T00:00:00"/>
    <s v="M"/>
    <s v="B"/>
    <s v="BLACK"/>
    <s v="NULL"/>
    <s v="338"/>
    <s v="DISMISSED"/>
    <n v="3"/>
    <s v="DISMISSED"/>
    <m/>
    <m/>
    <m/>
    <s v="POSS W/INT DEL CS PG1&gt;=4 &lt;200"/>
    <m/>
    <s v="F1"/>
    <s v="SALE DRUG"/>
    <m/>
    <m/>
    <m/>
    <m/>
    <m/>
    <m/>
    <m/>
    <m/>
    <m/>
    <s v="Hired Attorney"/>
    <m/>
    <m/>
    <n v="2"/>
    <n v="46"/>
    <n v="46"/>
    <n v="21.849726775956285"/>
    <n v="0"/>
    <n v="-44"/>
    <s v="NO CONVICTION"/>
    <x v="1"/>
    <s v="Y"/>
    <m/>
    <s v="NO CONVICTION"/>
    <s v="Y"/>
    <x v="1"/>
    <x v="0"/>
    <s v="N"/>
    <n v="4.3478260869565216E-2"/>
    <n v="4.3478260869565216E-2"/>
    <n v="0"/>
    <n v="0"/>
    <n v="-2"/>
    <n v="0"/>
    <n v="2"/>
    <e v="#VALUE!"/>
    <n v="2"/>
    <n v="0"/>
    <m/>
    <m/>
    <s v="N"/>
    <m/>
    <s v="0-10 DAYS"/>
    <n v="1"/>
    <x v="0"/>
  </r>
  <r>
    <n v="2386"/>
    <s v="N"/>
    <s v="N"/>
    <n v="2612078"/>
    <n v="1"/>
    <d v="2012-03-30T00:00:00"/>
    <d v="2012-06-26T00:00:00"/>
    <n v="2612078"/>
    <d v="2012-04-04T00:00:00"/>
    <d v="2012-06-26T00:00:00"/>
    <n v="5000"/>
    <x v="4"/>
    <m/>
    <s v="N"/>
    <s v="NONE"/>
    <s v="NO BILL"/>
    <n v="84"/>
    <n v="89"/>
    <n v="0"/>
    <n v="1"/>
    <m/>
    <m/>
    <m/>
    <m/>
    <m/>
    <m/>
    <m/>
    <m/>
    <m/>
    <d v="1971-12-21T00:00:00"/>
    <s v="M"/>
    <s v="B"/>
    <s v="BLACK"/>
    <s v="NULL"/>
    <s v="339"/>
    <s v="NO BILL"/>
    <n v="5"/>
    <s v="NO BILL"/>
    <m/>
    <m/>
    <m/>
    <s v="POSS CS PG 1  1 - 4 GRAMS"/>
    <m/>
    <s v="F3"/>
    <s v="POSS DRUG"/>
    <m/>
    <m/>
    <m/>
    <m/>
    <m/>
    <m/>
    <m/>
    <m/>
    <m/>
    <s v="Appointed Attorney"/>
    <m/>
    <m/>
    <n v="84"/>
    <n v="84"/>
    <n v="89"/>
    <n v="40.191256830601091"/>
    <n v="0"/>
    <n v="0"/>
    <s v="NO CONVICTION"/>
    <x v="0"/>
    <s v="N"/>
    <m/>
    <s v="NO CONVICTION"/>
    <s v="Y"/>
    <x v="0"/>
    <x v="0"/>
    <s v="N"/>
    <n v="0.9438202247191011"/>
    <n v="1"/>
    <n v="5.6179775280898903E-2"/>
    <n v="0"/>
    <n v="-84"/>
    <n v="0"/>
    <n v="84"/>
    <e v="#VALUE!"/>
    <n v="84"/>
    <n v="0"/>
    <m/>
    <m/>
    <s v="Y"/>
    <m/>
    <s v="61-90 DAYS"/>
    <n v="4"/>
    <x v="0"/>
  </r>
  <r>
    <n v="2390"/>
    <s v="N"/>
    <s v="N"/>
    <n v="2612083"/>
    <n v="2"/>
    <d v="2012-03-30T00:00:00"/>
    <d v="2012-06-21T00:00:00"/>
    <n v="2612083"/>
    <d v="2012-03-31T00:00:00"/>
    <d v="2012-04-03T00:00:00"/>
    <n v="10000"/>
    <x v="3"/>
    <d v="2012-04-03T00:00:00"/>
    <s v="Y"/>
    <s v="SURETYPTRc"/>
    <s v="DEFERRED ADJUDICATION "/>
    <n v="4"/>
    <n v="84"/>
    <n v="0"/>
    <n v="0"/>
    <m/>
    <m/>
    <m/>
    <m/>
    <m/>
    <m/>
    <m/>
    <m/>
    <m/>
    <d v="1990-12-14T00:00:00"/>
    <s v="M"/>
    <s v="W"/>
    <s v="WHITE"/>
    <s v="NULL"/>
    <s v="262"/>
    <s v="DEFERRED"/>
    <n v="5"/>
    <s v="DEFERRED"/>
    <m/>
    <m/>
    <m/>
    <s v="BURGLARY OF HABITATION"/>
    <m/>
    <s v="F2"/>
    <s v="BURGLARY"/>
    <m/>
    <m/>
    <m/>
    <m/>
    <m/>
    <m/>
    <m/>
    <m/>
    <m/>
    <s v="Hired Attorney"/>
    <m/>
    <m/>
    <n v="4"/>
    <n v="83"/>
    <n v="84"/>
    <n v="21.248633879781419"/>
    <n v="0"/>
    <n v="-79"/>
    <s v="DEFERRED"/>
    <x v="1"/>
    <s v="Y"/>
    <m/>
    <s v="DEFERRED"/>
    <s v="Y"/>
    <x v="1"/>
    <x v="0"/>
    <s v="N"/>
    <n v="4.7619047619047616E-2"/>
    <n v="4.8192771084337352E-2"/>
    <n v="5.737234652897355E-4"/>
    <n v="0"/>
    <n v="-4"/>
    <n v="0"/>
    <n v="4"/>
    <e v="#VALUE!"/>
    <n v="4"/>
    <n v="0"/>
    <m/>
    <m/>
    <s v="N"/>
    <m/>
    <s v="0-10 DAYS"/>
    <n v="1"/>
    <x v="0"/>
  </r>
  <r>
    <n v="2387"/>
    <s v="N"/>
    <s v="N"/>
    <n v="2612084"/>
    <n v="1"/>
    <d v="2012-03-30T00:00:00"/>
    <d v="2012-08-06T00:00:00"/>
    <n v="2612084"/>
    <d v="2012-03-30T00:00:00"/>
    <d v="2012-08-06T00:00:00"/>
    <n v="5000"/>
    <x v="4"/>
    <m/>
    <s v="N"/>
    <s v="NONE"/>
    <s v="DISMISSED"/>
    <n v="130"/>
    <n v="130"/>
    <n v="0"/>
    <n v="0"/>
    <m/>
    <m/>
    <m/>
    <m/>
    <m/>
    <m/>
    <m/>
    <m/>
    <m/>
    <d v="1980-04-10T00:00:00"/>
    <s v="M"/>
    <s v="W"/>
    <s v="WHITE"/>
    <s v="NULL"/>
    <s v="339"/>
    <s v="DISMISSED"/>
    <n v="5"/>
    <s v="DISMISSED"/>
    <m/>
    <m/>
    <m/>
    <s v="POSS CS PG 1  1 - 4 GRAMS"/>
    <m/>
    <s v="F3"/>
    <s v="POSS DRUG"/>
    <m/>
    <m/>
    <m/>
    <m/>
    <m/>
    <m/>
    <m/>
    <m/>
    <m/>
    <s v="Appointed Attorney"/>
    <m/>
    <m/>
    <n v="130"/>
    <n v="130"/>
    <n v="130"/>
    <n v="31.904371584699454"/>
    <n v="0"/>
    <n v="0"/>
    <s v="NO CONVICTION"/>
    <x v="0"/>
    <s v="N"/>
    <m/>
    <s v="NO CONVICTION"/>
    <s v="Y"/>
    <x v="0"/>
    <x v="0"/>
    <s v="N"/>
    <n v="1"/>
    <n v="1"/>
    <n v="0"/>
    <n v="0"/>
    <n v="-130"/>
    <n v="0"/>
    <n v="130"/>
    <e v="#VALUE!"/>
    <n v="130"/>
    <n v="0"/>
    <m/>
    <m/>
    <s v="N"/>
    <m/>
    <s v="121-365 DAYS"/>
    <n v="6"/>
    <x v="0"/>
  </r>
  <r>
    <n v="2393"/>
    <s v="Y"/>
    <s v="Y"/>
    <n v="2612112"/>
    <n v="2"/>
    <d v="2012-03-31T00:00:00"/>
    <d v="2012-06-05T00:00:00"/>
    <n v="2612112"/>
    <d v="2012-03-31T00:00:00"/>
    <d v="2012-04-01T00:00:00"/>
    <n v="2000"/>
    <x v="5"/>
    <d v="2012-04-01T00:00:00"/>
    <s v="Y"/>
    <s v="SURETY"/>
    <s v="DEFERRED ADJUDICATION "/>
    <n v="8"/>
    <n v="67"/>
    <n v="0"/>
    <n v="0"/>
    <m/>
    <m/>
    <m/>
    <m/>
    <m/>
    <m/>
    <m/>
    <m/>
    <m/>
    <d v="1994-10-14T00:00:00"/>
    <s v="M"/>
    <s v="B"/>
    <s v="BLACK"/>
    <s v="NULL"/>
    <s v="176"/>
    <s v="DEFERRED"/>
    <n v="4"/>
    <s v="DEFERRED"/>
    <m/>
    <m/>
    <m/>
    <s v="MAN/DEL CS PG I &lt;1GRAM"/>
    <m/>
    <s v="FS"/>
    <s v="SALE DRUG"/>
    <s v="bf bk recal"/>
    <m/>
    <s v="Y"/>
    <s v="bf 5/31/12"/>
    <m/>
    <m/>
    <m/>
    <d v="2012-08-21T00:00:00"/>
    <n v="235"/>
    <s v="Appointed Attorney"/>
    <s v="att burg H stj 7 M 2/13/13"/>
    <m/>
    <n v="8"/>
    <n v="67"/>
    <n v="67"/>
    <n v="17.42622950819672"/>
    <n v="0"/>
    <n v="-65"/>
    <s v="DEFERRED"/>
    <x v="1"/>
    <s v="Y"/>
    <m/>
    <s v="DEFERRED"/>
    <s v="Y"/>
    <x v="0"/>
    <x v="0"/>
    <s v="N"/>
    <n v="0.11940298507462686"/>
    <n v="2.9850746268656716E-2"/>
    <n v="-8.9552238805970144E-2"/>
    <n v="0"/>
    <n v="-2"/>
    <n v="6"/>
    <n v="67"/>
    <n v="8"/>
    <n v="67"/>
    <n v="65"/>
    <m/>
    <m/>
    <s v="N"/>
    <m/>
    <s v="0-10 DAYS"/>
    <n v="1"/>
    <x v="0"/>
  </r>
  <r>
    <n v="2399"/>
    <s v="N"/>
    <s v="N"/>
    <n v="2612170"/>
    <n v="4"/>
    <d v="2012-03-31T00:00:00"/>
    <d v="2012-05-31T00:00:00"/>
    <n v="2612170"/>
    <d v="2012-03-31T00:00:00"/>
    <d v="2012-05-31T00:00:00"/>
    <n v="35000"/>
    <x v="2"/>
    <m/>
    <s v="N"/>
    <s v="NONE"/>
    <s v="GUILTY PLEA - NO JURY"/>
    <n v="62"/>
    <n v="62"/>
    <n v="0"/>
    <n v="0"/>
    <m/>
    <m/>
    <m/>
    <m/>
    <m/>
    <m/>
    <m/>
    <s v="S"/>
    <m/>
    <d v="1984-04-15T00:00:00"/>
    <s v="M"/>
    <s v="H"/>
    <s v="HISPANIC"/>
    <s v="NULL"/>
    <s v="185"/>
    <s v="CONVICTED"/>
    <n v="3"/>
    <s v="HCJ"/>
    <m/>
    <m/>
    <n v="120"/>
    <s v="POSS CS PG 1 &lt;1G"/>
    <m/>
    <s v="FS"/>
    <s v="POSS DRUG"/>
    <m/>
    <m/>
    <m/>
    <m/>
    <m/>
    <m/>
    <m/>
    <m/>
    <m/>
    <s v="Appointed Attorney"/>
    <m/>
    <m/>
    <n v="62"/>
    <n v="62"/>
    <n v="62"/>
    <n v="27.901639344262296"/>
    <n v="0"/>
    <n v="0"/>
    <s v="CONVICTION"/>
    <x v="0"/>
    <s v="N"/>
    <m/>
    <s v="CONVICTION"/>
    <s v="Y"/>
    <x v="0"/>
    <x v="0"/>
    <s v="N"/>
    <n v="1"/>
    <n v="1"/>
    <n v="0"/>
    <n v="0"/>
    <n v="-62"/>
    <n v="0"/>
    <n v="62"/>
    <e v="#VALUE!"/>
    <n v="62"/>
    <n v="0"/>
    <m/>
    <m/>
    <s v="N"/>
    <m/>
    <s v="61-90 DAYS"/>
    <n v="4"/>
    <x v="0"/>
  </r>
  <r>
    <n v="2413"/>
    <s v="N"/>
    <s v="N"/>
    <n v="2612193"/>
    <n v="2"/>
    <d v="2012-04-01T00:00:00"/>
    <d v="2012-04-02T00:00:00"/>
    <n v="2612193"/>
    <d v="2012-04-01T00:00:00"/>
    <d v="2012-04-02T00:00:00"/>
    <n v="5000"/>
    <x v="4"/>
    <m/>
    <s v="N"/>
    <s v="NONE"/>
    <s v="DEFERRED ADJUDICATION "/>
    <n v="2"/>
    <n v="2"/>
    <n v="0"/>
    <n v="2"/>
    <m/>
    <m/>
    <m/>
    <m/>
    <m/>
    <m/>
    <m/>
    <m/>
    <m/>
    <d v="1965-10-01T00:00:00"/>
    <s v="M"/>
    <s v="W"/>
    <s v="WHITE"/>
    <s v="NULL"/>
    <s v="179"/>
    <s v="DEFERRED"/>
    <n v="1"/>
    <s v="DEFERRED"/>
    <m/>
    <m/>
    <m/>
    <s v="POSS CS PG 1 &lt;1G"/>
    <m/>
    <s v="FS"/>
    <s v="POSS DRUG"/>
    <m/>
    <m/>
    <m/>
    <m/>
    <m/>
    <m/>
    <m/>
    <m/>
    <m/>
    <s v="Appointed Attorney"/>
    <m/>
    <m/>
    <n v="2"/>
    <n v="2"/>
    <n v="2"/>
    <n v="46.404371584699454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m/>
    <m/>
    <s v="Y"/>
    <m/>
    <s v="0-10 DAYS"/>
    <n v="1"/>
    <x v="0"/>
  </r>
  <r>
    <n v="2404"/>
    <s v="N"/>
    <s v="N"/>
    <n v="2612198"/>
    <n v="4"/>
    <d v="2012-03-31T00:00:00"/>
    <d v="2012-04-24T00:00:00"/>
    <n v="2612198"/>
    <d v="2012-03-31T00:00:00"/>
    <d v="2012-04-24T00:00:00"/>
    <n v="5000"/>
    <x v="4"/>
    <m/>
    <s v="N"/>
    <s v="NONE"/>
    <s v="GUILTY PLEA - NO JURY"/>
    <n v="25"/>
    <n v="25"/>
    <n v="0"/>
    <n v="0"/>
    <m/>
    <m/>
    <m/>
    <m/>
    <m/>
    <m/>
    <m/>
    <m/>
    <m/>
    <d v="1982-10-15T00:00:00"/>
    <s v="M"/>
    <s v="B"/>
    <s v="BLACK"/>
    <s v="NULL"/>
    <s v="263"/>
    <s v="CONVICTED"/>
    <n v="2"/>
    <s v="HCJ"/>
    <m/>
    <m/>
    <n v="90"/>
    <s v="POSS CS PG 1 &lt;1G"/>
    <m/>
    <s v="FS"/>
    <s v="POSS DRUG"/>
    <m/>
    <m/>
    <m/>
    <m/>
    <m/>
    <m/>
    <m/>
    <m/>
    <m/>
    <s v="Appointed Attorney"/>
    <m/>
    <m/>
    <n v="25"/>
    <n v="25"/>
    <n v="25"/>
    <n v="29.398907103825138"/>
    <n v="0"/>
    <n v="0"/>
    <s v="CONVICTION"/>
    <x v="0"/>
    <s v="N"/>
    <m/>
    <s v="CONVICTION"/>
    <s v="Y"/>
    <x v="0"/>
    <x v="0"/>
    <s v="N"/>
    <n v="1"/>
    <n v="1"/>
    <n v="0"/>
    <n v="0"/>
    <n v="-25"/>
    <n v="0"/>
    <n v="25"/>
    <e v="#VALUE!"/>
    <n v="25"/>
    <n v="0"/>
    <m/>
    <m/>
    <s v="N"/>
    <m/>
    <s v="11-30 DAYS"/>
    <n v="2"/>
    <x v="0"/>
  </r>
  <r>
    <n v="2406"/>
    <s v="N"/>
    <s v="N"/>
    <n v="2612206"/>
    <n v="5"/>
    <d v="2012-03-31T00:00:00"/>
    <d v="2012-07-13T00:00:00"/>
    <n v="2612206"/>
    <d v="2012-06-10T00:00:00"/>
    <d v="2012-06-16T00:00:00"/>
    <n v="2000"/>
    <x v="5"/>
    <d v="2012-06-16T00:00:00"/>
    <s v="Y"/>
    <s v="SURETY"/>
    <s v="GUILTY PLEA - NO JURY"/>
    <n v="7"/>
    <n v="105"/>
    <n v="0"/>
    <n v="1"/>
    <m/>
    <m/>
    <m/>
    <m/>
    <m/>
    <m/>
    <m/>
    <m/>
    <m/>
    <d v="1993-02-22T00:00:00"/>
    <s v="M"/>
    <s v="B"/>
    <s v="BLACK"/>
    <s v="NULL"/>
    <s v="208"/>
    <s v="CONVICTED"/>
    <n v="5"/>
    <s v="STJ"/>
    <m/>
    <n v="7"/>
    <m/>
    <s v="THEFT $1500-20K"/>
    <m/>
    <s v="FS"/>
    <s v="THEFT"/>
    <s v="7/13/12 auto thf burg 11/12/13 tdc 4y"/>
    <m/>
    <m/>
    <m/>
    <m/>
    <m/>
    <m/>
    <m/>
    <m/>
    <s v="Appointed Attorney"/>
    <m/>
    <m/>
    <n v="7"/>
    <n v="34"/>
    <n v="105"/>
    <n v="19.062841530054644"/>
    <n v="0"/>
    <n v="-27"/>
    <s v="CONVICTION"/>
    <x v="1"/>
    <s v="Y"/>
    <m/>
    <s v="CONVICTION"/>
    <s v="Y"/>
    <x v="1"/>
    <x v="0"/>
    <s v="N"/>
    <n v="6.6666666666666666E-2"/>
    <n v="0.20588235294117646"/>
    <n v="0.13921568627450981"/>
    <n v="0"/>
    <n v="-7"/>
    <n v="0"/>
    <n v="7"/>
    <e v="#VALUE!"/>
    <n v="7"/>
    <n v="0"/>
    <m/>
    <m/>
    <s v="Y"/>
    <m/>
    <s v="0-10 DAYS"/>
    <n v="1"/>
    <x v="0"/>
  </r>
  <r>
    <n v="2407"/>
    <s v="N"/>
    <s v="N"/>
    <n v="2612207"/>
    <n v="4"/>
    <d v="2012-03-31T00:00:00"/>
    <d v="2012-04-02T00:00:00"/>
    <n v="2612207"/>
    <d v="2012-04-01T00:00:00"/>
    <d v="2012-04-02T00:00:00"/>
    <n v="2000"/>
    <x v="5"/>
    <m/>
    <s v="N"/>
    <s v="NONE"/>
    <s v="GUILTY PLEA - NO JURY"/>
    <n v="2"/>
    <n v="3"/>
    <n v="0"/>
    <n v="0"/>
    <m/>
    <m/>
    <m/>
    <m/>
    <m/>
    <m/>
    <m/>
    <s v="S"/>
    <m/>
    <d v="1990-08-18T00:00:00"/>
    <s v="M"/>
    <s v="H"/>
    <s v="HISPANIC"/>
    <s v="NULL"/>
    <s v="337"/>
    <s v="CONVICTED"/>
    <n v="1"/>
    <s v="HCJ"/>
    <m/>
    <m/>
    <n v="30"/>
    <s v="POSS CS PG 1 &lt;1G"/>
    <m/>
    <s v="FS"/>
    <s v="POSS DRUG"/>
    <m/>
    <m/>
    <m/>
    <m/>
    <m/>
    <m/>
    <m/>
    <m/>
    <m/>
    <s v="Appointed Attorney"/>
    <m/>
    <m/>
    <n v="2"/>
    <n v="2"/>
    <n v="3"/>
    <n v="21.57377049180328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2412"/>
    <s v="N"/>
    <s v="N"/>
    <n v="2612234"/>
    <n v="6"/>
    <d v="2012-04-01T00:00:00"/>
    <d v="2012-08-03T00:00:00"/>
    <n v="2612234"/>
    <d v="2012-04-01T00:00:00"/>
    <d v="2012-08-03T00:00:00"/>
    <n v="600000"/>
    <x v="2"/>
    <m/>
    <s v="N"/>
    <s v="NONE"/>
    <s v="GUILTY PLEA - NO JURY"/>
    <n v="125"/>
    <n v="125"/>
    <n v="0"/>
    <n v="0"/>
    <m/>
    <m/>
    <m/>
    <m/>
    <m/>
    <m/>
    <m/>
    <m/>
    <m/>
    <d v="1984-08-16T00:00:00"/>
    <s v="F"/>
    <s v="W"/>
    <s v="WHITE"/>
    <s v="NULL"/>
    <s v="185"/>
    <s v="CONVICTED"/>
    <n v="7"/>
    <s v="TDC"/>
    <n v="7"/>
    <m/>
    <m/>
    <s v="MAN/DEL CS PG I 200-400 GRAMS"/>
    <m/>
    <s v="F"/>
    <s v="SALE DRUG"/>
    <m/>
    <m/>
    <m/>
    <m/>
    <m/>
    <m/>
    <m/>
    <m/>
    <m/>
    <s v="Appointed Attorney"/>
    <m/>
    <m/>
    <n v="125"/>
    <n v="125"/>
    <n v="125"/>
    <n v="27.568306010928961"/>
    <n v="0"/>
    <n v="0"/>
    <s v="CONVICTION"/>
    <x v="0"/>
    <s v="N"/>
    <m/>
    <s v="CONVICTION"/>
    <s v="Y"/>
    <x v="0"/>
    <x v="0"/>
    <s v="N"/>
    <n v="1"/>
    <n v="1"/>
    <n v="0"/>
    <n v="0"/>
    <n v="-125"/>
    <n v="0"/>
    <n v="125"/>
    <e v="#VALUE!"/>
    <n v="125"/>
    <n v="0"/>
    <m/>
    <m/>
    <s v="N"/>
    <m/>
    <s v="121-365 DAYS"/>
    <n v="6"/>
    <x v="0"/>
  </r>
  <r>
    <n v="2416"/>
    <s v="N"/>
    <s v="N"/>
    <n v="2612246"/>
    <n v="2"/>
    <d v="2012-04-01T00:00:00"/>
    <d v="2012-09-12T00:00:00"/>
    <n v="2612246"/>
    <d v="2012-04-02T00:00:00"/>
    <d v="2012-04-13T00:00:00"/>
    <n v="15000"/>
    <x v="0"/>
    <d v="2012-04-13T00:00:00"/>
    <s v="Y"/>
    <s v="SURETY"/>
    <s v="DEFERRED ADJUDICATION "/>
    <n v="12"/>
    <n v="165"/>
    <n v="0"/>
    <n v="0"/>
    <m/>
    <m/>
    <m/>
    <m/>
    <m/>
    <m/>
    <m/>
    <m/>
    <m/>
    <d v="1970-11-17T00:00:00"/>
    <s v="M"/>
    <s v="W"/>
    <s v="WHITE"/>
    <s v="NULL"/>
    <s v="339"/>
    <s v="DEFERRED"/>
    <n v="8"/>
    <s v="DEFERRED"/>
    <m/>
    <m/>
    <m/>
    <s v="INJURY CHILD UNDER 15 B/INJURY"/>
    <m/>
    <s v="F3"/>
    <s v="OTHER FEL"/>
    <m/>
    <m/>
    <m/>
    <m/>
    <m/>
    <m/>
    <m/>
    <m/>
    <m/>
    <s v="Hired Attorney"/>
    <m/>
    <m/>
    <n v="12"/>
    <n v="164"/>
    <n v="165"/>
    <n v="41.286885245901637"/>
    <n v="0"/>
    <n v="-152"/>
    <s v="DEFERRED"/>
    <x v="1"/>
    <s v="Y"/>
    <m/>
    <s v="DEFERRED"/>
    <s v="Y"/>
    <x v="1"/>
    <x v="0"/>
    <s v="N"/>
    <n v="7.2727272727272724E-2"/>
    <n v="7.3170731707317069E-2"/>
    <n v="4.4345898004434503E-4"/>
    <n v="0"/>
    <n v="-12"/>
    <n v="0"/>
    <n v="12"/>
    <e v="#VALUE!"/>
    <n v="12"/>
    <n v="0"/>
    <m/>
    <m/>
    <s v="N"/>
    <m/>
    <s v="11-30 DAYS"/>
    <n v="2"/>
    <x v="0"/>
  </r>
  <r>
    <n v="2418"/>
    <s v="N"/>
    <s v="N"/>
    <n v="2612251"/>
    <n v="2"/>
    <d v="2012-04-01T00:00:00"/>
    <d v="2012-08-20T00:00:00"/>
    <n v="2612251"/>
    <d v="2012-04-01T00:00:00"/>
    <d v="2012-04-04T00:00:00"/>
    <n v="20000"/>
    <x v="0"/>
    <d v="2012-04-04T00:00:00"/>
    <s v="Y"/>
    <s v="SURETYPTRc"/>
    <s v="DEFERRED ADJUDICATION "/>
    <n v="4"/>
    <n v="142"/>
    <n v="0"/>
    <n v="0"/>
    <m/>
    <m/>
    <m/>
    <m/>
    <m/>
    <m/>
    <m/>
    <m/>
    <m/>
    <d v="1971-09-26T00:00:00"/>
    <s v="M"/>
    <s v="B"/>
    <s v="BLACK"/>
    <s v="NULL"/>
    <s v="183"/>
    <s v="DEFERRED"/>
    <n v="8"/>
    <s v="DEFERRED"/>
    <m/>
    <m/>
    <m/>
    <s v="POSS W/INT DEL CS PG1&gt;=4 &lt;200"/>
    <m/>
    <s v="F1"/>
    <s v="SALE DRUG"/>
    <m/>
    <m/>
    <m/>
    <m/>
    <m/>
    <m/>
    <m/>
    <m/>
    <m/>
    <s v="Hired Attorney"/>
    <m/>
    <m/>
    <n v="4"/>
    <n v="142"/>
    <n v="142"/>
    <n v="40.431693989071036"/>
    <n v="0"/>
    <n v="-138"/>
    <s v="DEFERRED"/>
    <x v="1"/>
    <s v="Y"/>
    <m/>
    <s v="DEFERRED"/>
    <s v="Y"/>
    <x v="1"/>
    <x v="0"/>
    <s v="N"/>
    <n v="2.8169014084507043E-2"/>
    <n v="2.8169014084507043E-2"/>
    <n v="0"/>
    <n v="0"/>
    <n v="-4"/>
    <n v="0"/>
    <n v="4"/>
    <e v="#VALUE!"/>
    <n v="4"/>
    <n v="0"/>
    <m/>
    <m/>
    <s v="N"/>
    <m/>
    <s v="0-10 DAYS"/>
    <n v="1"/>
    <x v="0"/>
  </r>
  <r>
    <n v="2420"/>
    <s v="N"/>
    <s v="N"/>
    <n v="2612256"/>
    <n v="1"/>
    <d v="2012-04-01T00:00:00"/>
    <d v="2012-06-08T00:00:00"/>
    <n v="2612256"/>
    <d v="2012-04-01T00:00:00"/>
    <d v="2012-04-04T00:00:00"/>
    <n v="30000"/>
    <x v="2"/>
    <d v="2012-04-04T00:00:00"/>
    <s v="Y"/>
    <s v="SURETY"/>
    <s v="NO BILL"/>
    <n v="4"/>
    <n v="69"/>
    <n v="0"/>
    <n v="0"/>
    <m/>
    <m/>
    <m/>
    <m/>
    <m/>
    <m/>
    <m/>
    <m/>
    <m/>
    <d v="1979-06-16T00:00:00"/>
    <s v="F"/>
    <s v="B"/>
    <s v="BLACK"/>
    <s v="NULL"/>
    <s v="262"/>
    <s v="NO BILL"/>
    <n v="6"/>
    <s v="NO BILL"/>
    <m/>
    <m/>
    <m/>
    <s v="AGG ASSAULT-FAMILY MEMBER"/>
    <m/>
    <s v="F2"/>
    <s v="ASLT-MURDR"/>
    <m/>
    <m/>
    <m/>
    <m/>
    <m/>
    <m/>
    <m/>
    <m/>
    <m/>
    <s v="Hired Attorney"/>
    <m/>
    <m/>
    <n v="4"/>
    <n v="69"/>
    <n v="69"/>
    <n v="32.72677595628415"/>
    <n v="0"/>
    <n v="-65"/>
    <s v="NO CONVICTION"/>
    <x v="1"/>
    <s v="Y"/>
    <m/>
    <s v="NO CONVICTION"/>
    <s v="Y"/>
    <x v="1"/>
    <x v="0"/>
    <s v="N"/>
    <n v="5.7971014492753624E-2"/>
    <n v="5.7971014492753624E-2"/>
    <n v="0"/>
    <n v="0"/>
    <n v="-4"/>
    <n v="0"/>
    <n v="4"/>
    <e v="#VALUE!"/>
    <n v="4"/>
    <n v="0"/>
    <m/>
    <m/>
    <s v="N"/>
    <m/>
    <s v="0-10 DAYS"/>
    <n v="1"/>
    <x v="0"/>
  </r>
  <r>
    <n v="2423"/>
    <s v="N"/>
    <s v="N"/>
    <n v="2612263"/>
    <n v="4"/>
    <d v="2012-04-01T00:00:00"/>
    <d v="2012-10-05T00:00:00"/>
    <n v="2612263"/>
    <d v="2012-04-01T00:00:00"/>
    <d v="2012-04-02T00:00:00"/>
    <n v="5000"/>
    <x v="4"/>
    <d v="2012-04-02T00:00:00"/>
    <s v="Y"/>
    <s v="SURETY"/>
    <s v="GUILTY PLEA - NO JURY"/>
    <n v="2"/>
    <n v="188"/>
    <n v="0"/>
    <n v="0"/>
    <m/>
    <m/>
    <m/>
    <m/>
    <m/>
    <m/>
    <m/>
    <s v="S"/>
    <m/>
    <d v="1994-11-15T00:00:00"/>
    <s v="M"/>
    <s v="H"/>
    <s v="HISPANIC"/>
    <s v="NULL"/>
    <s v="180"/>
    <s v="CONVICTED"/>
    <n v="8"/>
    <s v="HCJ"/>
    <m/>
    <m/>
    <n v="365"/>
    <s v="POSS CS PG 1 &lt;1G"/>
    <m/>
    <s v="FS"/>
    <s v="POSS DRUG"/>
    <m/>
    <m/>
    <m/>
    <m/>
    <m/>
    <m/>
    <m/>
    <m/>
    <m/>
    <s v="Hired Attorney"/>
    <m/>
    <m/>
    <n v="2"/>
    <n v="188"/>
    <n v="188"/>
    <n v="17.34153005464481"/>
    <n v="0"/>
    <n v="-186"/>
    <s v="CONVICTION"/>
    <x v="1"/>
    <s v="Y"/>
    <m/>
    <s v="CONVICTION"/>
    <s v="Y"/>
    <x v="1"/>
    <x v="0"/>
    <s v="N"/>
    <n v="1.0638297872340425E-2"/>
    <n v="1.0638297872340425E-2"/>
    <n v="0"/>
    <n v="0"/>
    <n v="-2"/>
    <n v="0"/>
    <n v="2"/>
    <e v="#VALUE!"/>
    <n v="2"/>
    <n v="0"/>
    <m/>
    <m/>
    <s v="N"/>
    <m/>
    <s v="0-10 DAYS"/>
    <n v="1"/>
    <x v="0"/>
  </r>
  <r>
    <n v="2427"/>
    <s v="N"/>
    <s v="N"/>
    <n v="2612288"/>
    <n v="2"/>
    <d v="2012-04-01T00:00:00"/>
    <d v="2012-11-02T00:00:00"/>
    <n v="2612288"/>
    <d v="2012-04-01T00:00:00"/>
    <d v="2012-11-02T00:00:00"/>
    <s v="NO BOND"/>
    <x v="1"/>
    <m/>
    <s v="N"/>
    <s v="NONE"/>
    <s v="DEFERRED ADJUDICATION "/>
    <n v="216"/>
    <n v="216"/>
    <n v="0"/>
    <n v="0"/>
    <m/>
    <m/>
    <m/>
    <m/>
    <m/>
    <m/>
    <m/>
    <s v="S"/>
    <m/>
    <d v="1991-02-02T00:00:00"/>
    <s v="M"/>
    <s v="H"/>
    <s v="HISPANIC"/>
    <s v="NULL"/>
    <s v="184"/>
    <s v="DEFERRED"/>
    <n v="13"/>
    <s v="DEFERRED"/>
    <m/>
    <m/>
    <m/>
    <s v="AGG ASSAULT-FAMILY MEMBER"/>
    <m/>
    <s v="F2"/>
    <s v="ASLT-MURDR"/>
    <m/>
    <m/>
    <m/>
    <m/>
    <m/>
    <m/>
    <m/>
    <m/>
    <m/>
    <s v="Appointed Attorney"/>
    <m/>
    <m/>
    <n v="216"/>
    <n v="216"/>
    <n v="216"/>
    <n v="21.117486338797814"/>
    <n v="0"/>
    <n v="0"/>
    <s v="DEFERRED"/>
    <x v="0"/>
    <s v="N"/>
    <m/>
    <s v="DEFERRED"/>
    <s v="Y"/>
    <x v="0"/>
    <x v="0"/>
    <s v="N"/>
    <n v="1"/>
    <n v="1"/>
    <n v="0"/>
    <n v="0"/>
    <n v="-216"/>
    <n v="0"/>
    <n v="216"/>
    <e v="#VALUE!"/>
    <n v="216"/>
    <n v="0"/>
    <m/>
    <m/>
    <s v="N"/>
    <m/>
    <s v="121-365 DAYS"/>
    <n v="6"/>
    <x v="0"/>
  </r>
  <r>
    <n v="2435"/>
    <s v="N"/>
    <s v="N"/>
    <n v="2612315"/>
    <n v="2"/>
    <d v="2012-04-01T00:00:00"/>
    <d v="2012-08-02T00:00:00"/>
    <n v="2612315"/>
    <d v="2012-04-02T00:00:00"/>
    <d v="2012-08-02T00:00:00"/>
    <n v="10000"/>
    <x v="3"/>
    <m/>
    <s v="N"/>
    <s v="NONE"/>
    <s v="DEFERRED ADJUDICATION "/>
    <n v="123"/>
    <n v="124"/>
    <n v="0"/>
    <n v="0"/>
    <m/>
    <m/>
    <m/>
    <m/>
    <m/>
    <m/>
    <m/>
    <m/>
    <m/>
    <d v="1991-07-12T00:00:00"/>
    <s v="M"/>
    <s v="B"/>
    <s v="BLACK"/>
    <s v="NULL"/>
    <s v="183"/>
    <s v="DEFERRED"/>
    <n v="6"/>
    <s v="DEFERRED"/>
    <m/>
    <m/>
    <m/>
    <s v="ROBBERY-BODILY INJURY"/>
    <m/>
    <s v="F2"/>
    <s v="ROBBERY"/>
    <m/>
    <m/>
    <m/>
    <m/>
    <m/>
    <m/>
    <m/>
    <m/>
    <m/>
    <s v="Appointed Attorney"/>
    <m/>
    <m/>
    <n v="123"/>
    <n v="123"/>
    <n v="124"/>
    <n v="20.680327868852459"/>
    <n v="0"/>
    <n v="0"/>
    <s v="DEFERRED"/>
    <x v="0"/>
    <s v="N"/>
    <m/>
    <s v="DEFERRED"/>
    <s v="Y"/>
    <x v="0"/>
    <x v="0"/>
    <s v="N"/>
    <n v="0.99193548387096775"/>
    <n v="1"/>
    <n v="8.0645161290322509E-3"/>
    <n v="0"/>
    <n v="-123"/>
    <n v="0"/>
    <n v="123"/>
    <e v="#VALUE!"/>
    <n v="123"/>
    <n v="0"/>
    <m/>
    <m/>
    <s v="N"/>
    <m/>
    <s v="121-365 DAYS"/>
    <n v="6"/>
    <x v="0"/>
  </r>
  <r>
    <n v="2439"/>
    <s v="N"/>
    <s v="N"/>
    <n v="2612326"/>
    <n v="5"/>
    <d v="2012-04-02T00:00:00"/>
    <d v="2012-09-06T00:00:00"/>
    <n v="2612326"/>
    <d v="2012-04-02T00:00:00"/>
    <d v="2012-09-06T00:00:00"/>
    <n v="10000"/>
    <x v="3"/>
    <m/>
    <s v="N"/>
    <s v="NONE"/>
    <s v="GUILTY PLEA - NO JURY"/>
    <n v="158"/>
    <n v="158"/>
    <n v="0"/>
    <n v="0"/>
    <m/>
    <m/>
    <m/>
    <m/>
    <m/>
    <m/>
    <m/>
    <m/>
    <m/>
    <d v="1982-10-08T00:00:00"/>
    <s v="M"/>
    <s v="B"/>
    <s v="BLACK"/>
    <s v="NULL"/>
    <s v="182"/>
    <s v="CONVICTED"/>
    <n v="5"/>
    <s v="STJ"/>
    <m/>
    <n v="6"/>
    <m/>
    <s v="FORGERY GOVT FINANCIAL INST"/>
    <m/>
    <s v="F3"/>
    <s v="OTHER FEL"/>
    <m/>
    <m/>
    <m/>
    <m/>
    <m/>
    <m/>
    <m/>
    <m/>
    <m/>
    <s v="Appointed Attorney"/>
    <m/>
    <m/>
    <n v="158"/>
    <n v="158"/>
    <n v="158"/>
    <n v="29.423497267759561"/>
    <n v="0"/>
    <n v="0"/>
    <s v="CONVICTION"/>
    <x v="0"/>
    <s v="N"/>
    <m/>
    <s v="CONVICTION"/>
    <s v="Y"/>
    <x v="0"/>
    <x v="0"/>
    <s v="N"/>
    <n v="1"/>
    <n v="1"/>
    <n v="0"/>
    <n v="0"/>
    <n v="-158"/>
    <n v="0"/>
    <n v="158"/>
    <e v="#VALUE!"/>
    <n v="158"/>
    <n v="0"/>
    <m/>
    <m/>
    <s v="N"/>
    <m/>
    <s v="121-365 DAYS"/>
    <n v="6"/>
    <x v="0"/>
  </r>
  <r>
    <n v="2443"/>
    <s v="Y"/>
    <s v="N"/>
    <n v="2612374"/>
    <n v="1"/>
    <d v="2012-04-02T00:00:00"/>
    <d v="2012-04-13T00:00:00"/>
    <n v="2612374"/>
    <d v="2012-04-05T00:00:00"/>
    <d v="2012-04-13T00:00:00"/>
    <n v="2000"/>
    <x v="5"/>
    <m/>
    <s v="N"/>
    <s v="NONE"/>
    <s v="DISMISSED"/>
    <n v="9"/>
    <n v="12"/>
    <n v="0"/>
    <n v="0"/>
    <m/>
    <m/>
    <m/>
    <m/>
    <m/>
    <m/>
    <m/>
    <m/>
    <m/>
    <d v="1994-05-18T00:00:00"/>
    <s v="M"/>
    <s v="W"/>
    <s v="WHITE"/>
    <s v="NULL"/>
    <s v="248"/>
    <s v="DISMISSED"/>
    <n v="3"/>
    <s v="DISMISSED"/>
    <m/>
    <m/>
    <m/>
    <s v="GRAFFITI MEDICAL EDUC FACIL. &lt;"/>
    <m/>
    <s v="FS"/>
    <s v="OTHER FEL"/>
    <m/>
    <m/>
    <m/>
    <m/>
    <m/>
    <m/>
    <m/>
    <m/>
    <m/>
    <s v="Other/Unknown"/>
    <s v="10/3/13 burg h 2ytdc"/>
    <m/>
    <n v="9"/>
    <n v="9"/>
    <n v="12"/>
    <n v="17.838797814207652"/>
    <n v="0"/>
    <n v="0"/>
    <s v="NO CONVICTION"/>
    <x v="0"/>
    <s v="N"/>
    <m/>
    <s v="NO CONVICTION"/>
    <s v="Y"/>
    <x v="0"/>
    <x v="0"/>
    <s v="N"/>
    <n v="0.75"/>
    <n v="1"/>
    <n v="0.25"/>
    <n v="0"/>
    <n v="-9"/>
    <n v="0"/>
    <n v="9"/>
    <e v="#VALUE!"/>
    <n v="9"/>
    <n v="0"/>
    <m/>
    <m/>
    <s v="N"/>
    <m/>
    <s v="0-10 DAYS"/>
    <n v="1"/>
    <x v="0"/>
  </r>
  <r>
    <n v="2469"/>
    <s v="N"/>
    <s v="N"/>
    <n v="2612474"/>
    <n v="2"/>
    <d v="2012-04-03T00:00:00"/>
    <d v="2012-07-17T00:00:00"/>
    <n v="2612474"/>
    <d v="2012-04-03T00:00:00"/>
    <d v="2012-04-04T00:00:00"/>
    <n v="10000"/>
    <x v="3"/>
    <d v="2012-04-04T00:00:00"/>
    <s v="Y"/>
    <s v="SURETY"/>
    <s v="DEFERRED ADJUDICATION "/>
    <n v="2"/>
    <n v="106"/>
    <n v="0"/>
    <n v="0"/>
    <m/>
    <m/>
    <m/>
    <m/>
    <m/>
    <m/>
    <m/>
    <s v="S"/>
    <m/>
    <d v="1994-08-23T00:00:00"/>
    <s v="M"/>
    <s v="H"/>
    <s v="HISPANIC"/>
    <s v="NULL"/>
    <s v="177"/>
    <s v="DEFERRED"/>
    <n v="5"/>
    <s v="DEFERRED"/>
    <m/>
    <m/>
    <m/>
    <s v="POSS CS PG 1 4G - 200G"/>
    <m/>
    <s v="F2"/>
    <s v="POSS DRUG"/>
    <m/>
    <m/>
    <m/>
    <m/>
    <m/>
    <m/>
    <m/>
    <m/>
    <m/>
    <s v="Appointed Attorney"/>
    <m/>
    <m/>
    <n v="2"/>
    <n v="106"/>
    <n v="106"/>
    <n v="17.576502732240439"/>
    <n v="0"/>
    <n v="-104"/>
    <s v="DEFERRED"/>
    <x v="1"/>
    <s v="Y"/>
    <m/>
    <s v="DEFERRED"/>
    <s v="Y"/>
    <x v="1"/>
    <x v="0"/>
    <s v="N"/>
    <n v="1.8867924528301886E-2"/>
    <n v="1.8867924528301886E-2"/>
    <n v="0"/>
    <n v="0"/>
    <n v="-2"/>
    <n v="0"/>
    <n v="2"/>
    <e v="#VALUE!"/>
    <n v="2"/>
    <n v="0"/>
    <m/>
    <m/>
    <s v="N"/>
    <m/>
    <s v="0-10 DAYS"/>
    <n v="1"/>
    <x v="0"/>
  </r>
  <r>
    <n v="2459"/>
    <s v="Y"/>
    <s v="Y"/>
    <n v="2612494"/>
    <n v="1"/>
    <d v="2012-04-03T00:00:00"/>
    <d v="2012-07-25T00:00:00"/>
    <n v="2612494"/>
    <d v="2012-04-03T00:00:00"/>
    <d v="2012-04-14T00:00:00"/>
    <n v="5000"/>
    <x v="4"/>
    <d v="2012-04-14T00:00:00"/>
    <s v="Y"/>
    <s v="SURETY"/>
    <s v="DISMISSED"/>
    <n v="95"/>
    <n v="114"/>
    <n v="0"/>
    <n v="0"/>
    <m/>
    <m/>
    <m/>
    <m/>
    <m/>
    <m/>
    <m/>
    <s v="S"/>
    <m/>
    <d v="1963-07-01T00:00:00"/>
    <s v="F"/>
    <s v="H"/>
    <s v="HISPANIC"/>
    <s v="NULL"/>
    <s v="184"/>
    <s v="DISMISSED"/>
    <n v="7"/>
    <s v="DISMISSED"/>
    <m/>
    <m/>
    <m/>
    <s v="POSS CS PG 1  1 - 4 GRAMS"/>
    <m/>
    <s v="F3"/>
    <s v="POSS DRUG"/>
    <s v="misd assault7/24/12 hcj 190 days"/>
    <s v="bd SSR 4/30/12"/>
    <m/>
    <m/>
    <s v="Y"/>
    <m/>
    <m/>
    <m/>
    <m/>
    <s v="Hired Attorney"/>
    <s v="7/24/12 m fam aslt 190 d hcj"/>
    <m/>
    <n v="95"/>
    <n v="114"/>
    <n v="114"/>
    <n v="48.658469945355193"/>
    <n v="0"/>
    <n v="-102"/>
    <s v="NO CONVICTION"/>
    <x v="1"/>
    <s v="Y"/>
    <m/>
    <s v="NO CONVICTION"/>
    <s v="Y"/>
    <x v="0"/>
    <x v="0"/>
    <s v="N"/>
    <n v="0.83333333333333337"/>
    <n v="0.10526315789473684"/>
    <n v="-0.72807017543859653"/>
    <n v="0"/>
    <n v="-12"/>
    <n v="83"/>
    <n v="114"/>
    <n v="95"/>
    <n v="114"/>
    <n v="102"/>
    <m/>
    <m/>
    <s v="N"/>
    <m/>
    <s v="91-120 DAYS"/>
    <n v="0"/>
    <x v="0"/>
  </r>
  <r>
    <n v="2462"/>
    <s v="N"/>
    <s v="N"/>
    <n v="2612506"/>
    <n v="6"/>
    <d v="2012-04-03T00:00:00"/>
    <d v="2012-07-31T00:00:00"/>
    <n v="2612506"/>
    <d v="2012-04-03T00:00:00"/>
    <d v="2012-07-31T00:00:00"/>
    <s v="NO BOND"/>
    <x v="1"/>
    <m/>
    <s v="N"/>
    <s v="NONE"/>
    <s v="GUILTY PLEA - NO JURY"/>
    <n v="120"/>
    <n v="120"/>
    <n v="0"/>
    <n v="0"/>
    <m/>
    <m/>
    <m/>
    <m/>
    <m/>
    <m/>
    <m/>
    <m/>
    <m/>
    <d v="1971-07-17T00:00:00"/>
    <s v="M"/>
    <s v="W"/>
    <s v="WHITE"/>
    <s v="NULL"/>
    <s v="180"/>
    <s v="CONVICTED"/>
    <n v="5"/>
    <s v="TDC"/>
    <n v="10"/>
    <m/>
    <m/>
    <s v="CIVIL COMMITMENT REQUIR"/>
    <m/>
    <s v="F3"/>
    <s v="OTHER FEL"/>
    <m/>
    <m/>
    <m/>
    <m/>
    <m/>
    <m/>
    <m/>
    <m/>
    <m/>
    <s v="Appointed Attorney"/>
    <m/>
    <m/>
    <n v="120"/>
    <n v="120"/>
    <n v="120"/>
    <n v="40.631147540983605"/>
    <n v="0"/>
    <n v="0"/>
    <s v="CONVICTION"/>
    <x v="0"/>
    <s v="N"/>
    <m/>
    <s v="CONVICTION"/>
    <s v="Y"/>
    <x v="0"/>
    <x v="0"/>
    <s v="N"/>
    <n v="1"/>
    <n v="1"/>
    <n v="0"/>
    <n v="0"/>
    <n v="-120"/>
    <n v="0"/>
    <n v="120"/>
    <e v="#VALUE!"/>
    <n v="120"/>
    <n v="0"/>
    <m/>
    <m/>
    <s v="N"/>
    <m/>
    <s v="91-120 DAYS"/>
    <n v="0"/>
    <x v="0"/>
  </r>
  <r>
    <n v="2463"/>
    <s v="N"/>
    <s v="N"/>
    <n v="2612510"/>
    <n v="4"/>
    <d v="2012-04-03T00:00:00"/>
    <d v="2012-04-12T00:00:00"/>
    <n v="2612510"/>
    <d v="2012-04-04T00:00:00"/>
    <d v="2012-04-12T00:00:00"/>
    <n v="35000"/>
    <x v="2"/>
    <m/>
    <s v="N"/>
    <s v="NONE"/>
    <s v="GUILTY PLEA - NO JURY"/>
    <n v="9"/>
    <n v="10"/>
    <n v="0"/>
    <n v="0"/>
    <m/>
    <m/>
    <m/>
    <m/>
    <m/>
    <m/>
    <m/>
    <s v="S"/>
    <m/>
    <d v="1991-06-23T00:00:00"/>
    <s v="M"/>
    <s v="H"/>
    <s v="HISPANIC"/>
    <s v="NULL"/>
    <s v="228"/>
    <s v="CONVICTED"/>
    <n v="3"/>
    <s v="HCJ"/>
    <m/>
    <m/>
    <n v="45"/>
    <s v="POSS CS PG 1 &lt;1G"/>
    <m/>
    <s v="FS"/>
    <s v="POSS DRUG"/>
    <s v="fel P drug  9/19/12 stj 6mos"/>
    <m/>
    <m/>
    <m/>
    <m/>
    <m/>
    <m/>
    <m/>
    <m/>
    <s v="Appointed Attorney"/>
    <m/>
    <m/>
    <n v="9"/>
    <n v="9"/>
    <n v="10"/>
    <n v="20.737704918032787"/>
    <n v="0"/>
    <n v="0"/>
    <s v="CONVICTION"/>
    <x v="0"/>
    <s v="N"/>
    <m/>
    <s v="CONVICTION"/>
    <s v="Y"/>
    <x v="0"/>
    <x v="0"/>
    <s v="N"/>
    <n v="0.9"/>
    <n v="1"/>
    <n v="9.9999999999999978E-2"/>
    <n v="0"/>
    <n v="-9"/>
    <n v="0"/>
    <n v="9"/>
    <e v="#VALUE!"/>
    <n v="9"/>
    <n v="0"/>
    <m/>
    <m/>
    <s v="N"/>
    <m/>
    <s v="0-10 DAYS"/>
    <n v="1"/>
    <x v="0"/>
  </r>
  <r>
    <n v="2467"/>
    <s v="N"/>
    <s v="N"/>
    <n v="2612512"/>
    <n v="2"/>
    <d v="2012-04-03T00:00:00"/>
    <d v="2012-06-01T00:00:00"/>
    <n v="2612512"/>
    <d v="2012-04-03T00:00:00"/>
    <d v="2012-06-01T00:00:00"/>
    <s v="NO BOND"/>
    <x v="1"/>
    <m/>
    <s v="N"/>
    <s v="NONE"/>
    <s v="DEFERRED ADJUDICATION "/>
    <n v="60"/>
    <n v="60"/>
    <n v="0"/>
    <n v="0"/>
    <m/>
    <m/>
    <m/>
    <m/>
    <m/>
    <m/>
    <m/>
    <m/>
    <m/>
    <d v="1990-05-09T00:00:00"/>
    <s v="M"/>
    <s v="B"/>
    <s v="BLACK"/>
    <s v="NULL"/>
    <s v="184"/>
    <s v="DEFERRED"/>
    <n v="4"/>
    <s v="DEFERRED"/>
    <m/>
    <m/>
    <m/>
    <s v="AGG ASSAULT-FAMILY MEMBER"/>
    <m/>
    <s v="F2"/>
    <s v="ASLT-MURDR"/>
    <m/>
    <m/>
    <m/>
    <m/>
    <m/>
    <m/>
    <m/>
    <m/>
    <m/>
    <s v="Appointed Attorney"/>
    <m/>
    <m/>
    <n v="60"/>
    <n v="60"/>
    <n v="60"/>
    <n v="21.857923497267759"/>
    <n v="0"/>
    <n v="0"/>
    <s v="DEFERRED"/>
    <x v="0"/>
    <s v="N"/>
    <m/>
    <s v="DEFERRED"/>
    <s v="Y"/>
    <x v="0"/>
    <x v="0"/>
    <s v="N"/>
    <n v="1"/>
    <n v="1"/>
    <n v="0"/>
    <n v="0"/>
    <n v="-60"/>
    <n v="0"/>
    <n v="60"/>
    <e v="#VALUE!"/>
    <n v="60"/>
    <n v="0"/>
    <m/>
    <m/>
    <s v="N"/>
    <m/>
    <s v="31-60 DAYS"/>
    <n v="3"/>
    <x v="0"/>
  </r>
  <r>
    <n v="2475"/>
    <s v="N"/>
    <s v="N"/>
    <n v="2612574"/>
    <n v="5"/>
    <d v="2012-04-03T00:00:00"/>
    <d v="2012-10-18T00:00:00"/>
    <n v="2612574"/>
    <d v="2012-05-01T00:00:00"/>
    <d v="2012-10-18T00:00:00"/>
    <s v="NO BOND"/>
    <x v="1"/>
    <m/>
    <s v="N"/>
    <s v="NONE"/>
    <s v="GUILTY PLEA - NO JURY"/>
    <n v="171"/>
    <n v="199"/>
    <n v="0"/>
    <n v="0"/>
    <m/>
    <m/>
    <m/>
    <m/>
    <m/>
    <m/>
    <m/>
    <m/>
    <m/>
    <d v="1986-03-15T00:00:00"/>
    <s v="M"/>
    <s v="W"/>
    <s v="WHITE"/>
    <s v="NULL"/>
    <s v="174"/>
    <s v="CONVICTED"/>
    <n v="7"/>
    <s v="STJ"/>
    <m/>
    <n v="6"/>
    <m/>
    <s v="FAIL TO REGISTER AS SEX OFFEND"/>
    <m/>
    <s v="FS"/>
    <s v="OTHER FEL"/>
    <m/>
    <m/>
    <m/>
    <m/>
    <m/>
    <m/>
    <m/>
    <m/>
    <m/>
    <s v="Appointed Attorney"/>
    <m/>
    <m/>
    <n v="171"/>
    <n v="171"/>
    <n v="199"/>
    <n v="26"/>
    <n v="0"/>
    <n v="0"/>
    <s v="CONVICTION"/>
    <x v="0"/>
    <s v="N"/>
    <m/>
    <s v="CONVICTION"/>
    <s v="Y"/>
    <x v="0"/>
    <x v="0"/>
    <s v="N"/>
    <n v="0.85929648241206025"/>
    <n v="1"/>
    <n v="0.14070351758793975"/>
    <n v="0"/>
    <n v="-171"/>
    <n v="0"/>
    <n v="171"/>
    <e v="#VALUE!"/>
    <n v="171"/>
    <n v="0"/>
    <m/>
    <m/>
    <s v="N"/>
    <m/>
    <s v="121-365 DAYS"/>
    <n v="6"/>
    <x v="0"/>
  </r>
  <r>
    <n v="2477"/>
    <s v="N"/>
    <s v="N"/>
    <n v="2612603"/>
    <n v="1"/>
    <d v="2012-04-03T00:00:00"/>
    <d v="2012-06-28T00:00:00"/>
    <n v="2612603"/>
    <d v="2012-04-04T00:00:00"/>
    <d v="2012-04-05T00:00:00"/>
    <n v="5000"/>
    <x v="4"/>
    <d v="2012-04-05T00:00:00"/>
    <s v="Y"/>
    <s v="SURETY"/>
    <s v="DISMISSED"/>
    <n v="2"/>
    <n v="87"/>
    <n v="0"/>
    <n v="0"/>
    <m/>
    <m/>
    <m/>
    <m/>
    <m/>
    <m/>
    <m/>
    <m/>
    <m/>
    <d v="1979-06-01T00:00:00"/>
    <s v="M"/>
    <s v="B"/>
    <s v="BLACK"/>
    <s v="NULL"/>
    <s v="232"/>
    <s v="DISMISSED"/>
    <n v="4"/>
    <s v="DISMISSED"/>
    <m/>
    <m/>
    <m/>
    <s v="KIDNAPPING"/>
    <m/>
    <s v="F3"/>
    <s v="KIDNAPPING"/>
    <m/>
    <m/>
    <m/>
    <m/>
    <m/>
    <m/>
    <m/>
    <m/>
    <m/>
    <s v="Hired Attorney"/>
    <m/>
    <m/>
    <n v="2"/>
    <n v="86"/>
    <n v="87"/>
    <n v="32.77322404371585"/>
    <n v="0"/>
    <n v="-84"/>
    <s v="NO CONVICTION"/>
    <x v="1"/>
    <s v="Y"/>
    <m/>
    <s v="NO CONVICTION"/>
    <s v="Y"/>
    <x v="1"/>
    <x v="0"/>
    <s v="N"/>
    <n v="2.2988505747126436E-2"/>
    <n v="2.3255813953488372E-2"/>
    <n v="2.6730820636193531E-4"/>
    <n v="0"/>
    <n v="-2"/>
    <n v="0"/>
    <n v="2"/>
    <e v="#VALUE!"/>
    <n v="2"/>
    <n v="0"/>
    <m/>
    <m/>
    <s v="N"/>
    <m/>
    <s v="0-10 DAYS"/>
    <n v="1"/>
    <x v="0"/>
  </r>
  <r>
    <n v="2479"/>
    <s v="N"/>
    <s v="N"/>
    <n v="2612652"/>
    <n v="6"/>
    <d v="2012-04-03T00:00:00"/>
    <d v="2012-11-14T00:00:00"/>
    <n v="2612652"/>
    <d v="2012-04-04T00:00:00"/>
    <d v="2012-11-14T00:00:00"/>
    <n v="60000"/>
    <x v="2"/>
    <m/>
    <s v="N"/>
    <s v="NONE"/>
    <s v="GUILTY PLEA - NO JURY"/>
    <n v="225"/>
    <n v="226"/>
    <n v="0"/>
    <n v="0"/>
    <m/>
    <m/>
    <m/>
    <m/>
    <m/>
    <m/>
    <m/>
    <s v="S"/>
    <m/>
    <d v="1959-10-15T00:00:00"/>
    <s v="M"/>
    <s v="H"/>
    <s v="HISPANIC"/>
    <s v="NULL"/>
    <s v="180"/>
    <s v="CONVICTED"/>
    <n v="8"/>
    <s v="TDC"/>
    <n v="2"/>
    <m/>
    <m/>
    <s v="POSS CHILD PORNOGRAPHY"/>
    <m/>
    <s v="F3"/>
    <s v="OTHER FEL"/>
    <m/>
    <m/>
    <m/>
    <m/>
    <m/>
    <m/>
    <m/>
    <m/>
    <m/>
    <s v="Hired Attorney"/>
    <m/>
    <m/>
    <n v="225"/>
    <n v="225"/>
    <n v="226"/>
    <n v="52.360655737704917"/>
    <n v="0"/>
    <n v="0"/>
    <s v="CONVICTION"/>
    <x v="0"/>
    <s v="N"/>
    <m/>
    <s v="CONVICTION"/>
    <s v="Y"/>
    <x v="0"/>
    <x v="0"/>
    <s v="N"/>
    <n v="0.99557522123893805"/>
    <n v="1"/>
    <n v="4.4247787610619538E-3"/>
    <n v="0"/>
    <n v="-225"/>
    <n v="0"/>
    <n v="225"/>
    <e v="#VALUE!"/>
    <n v="225"/>
    <n v="0"/>
    <m/>
    <m/>
    <s v="N"/>
    <m/>
    <s v="121-365 DAYS"/>
    <n v="6"/>
    <x v="0"/>
  </r>
  <r>
    <n v="2486"/>
    <s v="N"/>
    <s v="N"/>
    <n v="2612678"/>
    <n v="2"/>
    <d v="2012-04-03T00:00:00"/>
    <d v="2012-06-08T00:00:00"/>
    <n v="2612678"/>
    <s v="NOT BOOKED"/>
    <s v="NOT BOOKED"/>
    <n v="10000"/>
    <x v="3"/>
    <d v="2012-04-05T00:00:00"/>
    <s v="Y"/>
    <s v="SURETY"/>
    <s v="DEFERRED ADJUDICATION "/>
    <n v="0"/>
    <n v="67"/>
    <n v="0"/>
    <n v="0"/>
    <m/>
    <m/>
    <m/>
    <m/>
    <m/>
    <m/>
    <m/>
    <s v="S"/>
    <m/>
    <d v="1994-03-21T00:00:00"/>
    <s v="M"/>
    <s v="H"/>
    <s v="HISPANIC"/>
    <s v="NULL"/>
    <s v="338"/>
    <s v="DEFERRED"/>
    <n v="4"/>
    <s v="DEFERRED"/>
    <m/>
    <m/>
    <m/>
    <s v="BURGLARY OF HABITATION"/>
    <m/>
    <s v="F2"/>
    <s v="BURGLARY"/>
    <s v="LAWV 8/7/12  amend cop  bk 8/8 rel 9/13 misd 9/14 HCJ"/>
    <m/>
    <m/>
    <m/>
    <m/>
    <m/>
    <m/>
    <m/>
    <m/>
    <s v="Hired Attorney"/>
    <m/>
    <m/>
    <n v="0"/>
    <n v="0"/>
    <n v="67"/>
    <n v="18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488"/>
    <s v="N"/>
    <s v="N"/>
    <n v="2612679"/>
    <n v="2"/>
    <d v="2012-04-03T00:00:00"/>
    <d v="2012-07-30T00:00:00"/>
    <n v="2612679"/>
    <d v="2012-04-03T00:00:00"/>
    <d v="2012-04-05T00:00:00"/>
    <n v="2000"/>
    <x v="5"/>
    <d v="2012-04-05T00:00:00"/>
    <s v="Y"/>
    <s v="SURETY"/>
    <s v="DEFERRED ADJUDICATION "/>
    <n v="3"/>
    <n v="119"/>
    <n v="0"/>
    <n v="0"/>
    <m/>
    <m/>
    <m/>
    <m/>
    <m/>
    <m/>
    <m/>
    <m/>
    <m/>
    <d v="1977-11-07T00:00:00"/>
    <s v="M"/>
    <s v="W"/>
    <s v="WHITE"/>
    <s v="NULL"/>
    <s v="232"/>
    <s v="DEFERRED"/>
    <n v="5"/>
    <s v="DEFERRED"/>
    <m/>
    <m/>
    <m/>
    <s v="POSS MARIJ  4 OZ. - 5 LBS."/>
    <m/>
    <s v="FS"/>
    <s v="POSS DRUG"/>
    <m/>
    <m/>
    <m/>
    <m/>
    <m/>
    <m/>
    <m/>
    <m/>
    <m/>
    <s v="Hired Attorney"/>
    <m/>
    <m/>
    <n v="3"/>
    <n v="119"/>
    <n v="119"/>
    <n v="34.333333333333336"/>
    <n v="0"/>
    <n v="-116"/>
    <s v="DEFERRED"/>
    <x v="1"/>
    <s v="Y"/>
    <m/>
    <s v="DEFERRED"/>
    <s v="Y"/>
    <x v="1"/>
    <x v="0"/>
    <s v="N"/>
    <n v="2.5210084033613446E-2"/>
    <n v="2.5210084033613446E-2"/>
    <n v="0"/>
    <n v="0"/>
    <n v="-3"/>
    <n v="0"/>
    <n v="3"/>
    <e v="#VALUE!"/>
    <n v="3"/>
    <n v="0"/>
    <m/>
    <m/>
    <s v="N"/>
    <m/>
    <s v="0-10 DAYS"/>
    <n v="1"/>
    <x v="0"/>
  </r>
  <r>
    <n v="2636"/>
    <s v="N"/>
    <s v="N"/>
    <n v="2612683"/>
    <n v="2"/>
    <d v="2012-04-07T00:00:00"/>
    <d v="2012-07-09T00:00:00"/>
    <n v="2612683"/>
    <d v="2012-04-07T00:00:00"/>
    <d v="2012-07-09T00:00:00"/>
    <n v="10000"/>
    <x v="3"/>
    <m/>
    <s v="N"/>
    <s v="NONE"/>
    <s v="DEFERRED ADJUDICATION "/>
    <n v="94"/>
    <n v="94"/>
    <n v="0"/>
    <n v="0"/>
    <m/>
    <m/>
    <m/>
    <m/>
    <m/>
    <m/>
    <m/>
    <s v="S"/>
    <m/>
    <d v="1995-01-27T00:00:00"/>
    <s v="M"/>
    <s v="H"/>
    <s v="HISPANIC"/>
    <s v="NULL"/>
    <s v="230"/>
    <s v="DEFERRED"/>
    <n v="6"/>
    <s v="DEFERRED"/>
    <m/>
    <m/>
    <m/>
    <s v="BURGLARY OF HABITATION"/>
    <m/>
    <s v="F2"/>
    <s v="BURGLARY"/>
    <m/>
    <m/>
    <m/>
    <m/>
    <m/>
    <m/>
    <m/>
    <m/>
    <m/>
    <s v="Hired Attorney"/>
    <m/>
    <m/>
    <n v="94"/>
    <n v="94"/>
    <n v="94"/>
    <n v="17.15846994535519"/>
    <n v="0"/>
    <n v="0"/>
    <s v="DEFERRED"/>
    <x v="0"/>
    <s v="N"/>
    <m/>
    <s v="DEFERRED"/>
    <s v="Y"/>
    <x v="0"/>
    <x v="0"/>
    <s v="N"/>
    <n v="1"/>
    <n v="1"/>
    <n v="0"/>
    <n v="0"/>
    <n v="-94"/>
    <n v="0"/>
    <n v="94"/>
    <e v="#VALUE!"/>
    <n v="94"/>
    <n v="0"/>
    <m/>
    <m/>
    <s v="N"/>
    <m/>
    <s v="91-120 DAYS"/>
    <n v="0"/>
    <x v="0"/>
  </r>
  <r>
    <n v="2491"/>
    <s v="N"/>
    <s v="N"/>
    <n v="2612684"/>
    <n v="1"/>
    <d v="2012-04-03T00:00:00"/>
    <d v="2012-04-10T00:00:00"/>
    <n v="2612684"/>
    <d v="2012-04-03T00:00:00"/>
    <d v="2012-04-06T00:00:00"/>
    <n v="5000"/>
    <x v="4"/>
    <d v="2012-04-06T00:00:00"/>
    <s v="Y"/>
    <s v="SURETY"/>
    <s v="DISMISSED"/>
    <n v="4"/>
    <n v="8"/>
    <n v="0"/>
    <n v="0"/>
    <m/>
    <m/>
    <m/>
    <m/>
    <m/>
    <m/>
    <m/>
    <m/>
    <m/>
    <d v="1994-03-08T00:00:00"/>
    <s v="M"/>
    <s v="B"/>
    <s v="BLACK"/>
    <s v="NULL"/>
    <s v="209"/>
    <s v="DISMISSED"/>
    <n v="2"/>
    <s v="DISMISSED"/>
    <m/>
    <m/>
    <m/>
    <s v="POSS CS PG 4 28-200 GRAMS"/>
    <m/>
    <s v="F3"/>
    <s v="POSS DRUG"/>
    <m/>
    <m/>
    <m/>
    <m/>
    <m/>
    <m/>
    <m/>
    <m/>
    <m/>
    <s v="Hired Attorney"/>
    <m/>
    <m/>
    <n v="4"/>
    <n v="8"/>
    <n v="8"/>
    <n v="18.035519125683059"/>
    <n v="0"/>
    <n v="-4"/>
    <s v="NO CONVICTION"/>
    <x v="1"/>
    <s v="Y"/>
    <m/>
    <s v="NO CONVICTION"/>
    <s v="Y"/>
    <x v="1"/>
    <x v="0"/>
    <s v="N"/>
    <n v="0.5"/>
    <n v="0.5"/>
    <n v="0"/>
    <n v="0"/>
    <n v="-4"/>
    <n v="0"/>
    <n v="4"/>
    <e v="#VALUE!"/>
    <n v="4"/>
    <n v="0"/>
    <m/>
    <m/>
    <s v="N"/>
    <m/>
    <s v="0-10 DAYS"/>
    <n v="1"/>
    <x v="0"/>
  </r>
  <r>
    <n v="2494"/>
    <s v="N"/>
    <s v="N"/>
    <n v="2612700"/>
    <n v="1"/>
    <d v="2012-04-03T00:00:00"/>
    <d v="2012-06-05T00:00:00"/>
    <n v="2612700"/>
    <d v="2012-04-04T00:00:00"/>
    <d v="2012-04-04T00:00:00"/>
    <n v="2000"/>
    <x v="5"/>
    <d v="2012-04-04T00:00:00"/>
    <s v="Y"/>
    <s v="PTR"/>
    <s v="DISMISSED"/>
    <n v="1"/>
    <n v="64"/>
    <n v="0"/>
    <n v="0"/>
    <m/>
    <m/>
    <m/>
    <m/>
    <m/>
    <m/>
    <m/>
    <m/>
    <m/>
    <d v="1989-10-07T00:00:00"/>
    <s v="M"/>
    <s v="W"/>
    <s v="WHITE"/>
    <s v="NULL"/>
    <s v="174"/>
    <s v="DISMISSED"/>
    <n v="3"/>
    <s v="DISMISSED"/>
    <m/>
    <m/>
    <m/>
    <s v="POSS CS PG 2 &lt;1GRAM"/>
    <m/>
    <s v="FS"/>
    <s v="POSS DRUG"/>
    <m/>
    <m/>
    <m/>
    <m/>
    <m/>
    <m/>
    <m/>
    <m/>
    <m/>
    <s v="Hired Attorney"/>
    <m/>
    <m/>
    <n v="1"/>
    <n v="63"/>
    <n v="64"/>
    <n v="22.442622950819672"/>
    <n v="0"/>
    <n v="-62"/>
    <s v="NO CONVICTION"/>
    <x v="2"/>
    <s v="Y"/>
    <m/>
    <s v="NO CONVICTION"/>
    <s v="Y"/>
    <x v="1"/>
    <x v="0"/>
    <s v="N"/>
    <n v="1.5625E-2"/>
    <n v="1.5873015873015872E-2"/>
    <n v="2.4801587301587213E-4"/>
    <n v="0"/>
    <n v="-1"/>
    <n v="0"/>
    <n v="1"/>
    <e v="#VALUE!"/>
    <n v="1"/>
    <n v="0"/>
    <m/>
    <m/>
    <s v="N"/>
    <m/>
    <s v="0-10 DAYS"/>
    <n v="1"/>
    <x v="0"/>
  </r>
  <r>
    <n v="2501"/>
    <s v="N"/>
    <s v="N"/>
    <n v="2612727"/>
    <n v="1"/>
    <d v="2012-04-04T00:00:00"/>
    <d v="2012-04-05T00:00:00"/>
    <n v="2612727"/>
    <d v="2012-04-04T00:00:00"/>
    <d v="2012-04-05T00:00:00"/>
    <n v="2000"/>
    <x v="5"/>
    <m/>
    <s v="N"/>
    <s v="NONE"/>
    <s v="DISMISSED"/>
    <n v="2"/>
    <n v="2"/>
    <n v="0"/>
    <n v="0"/>
    <m/>
    <m/>
    <m/>
    <m/>
    <m/>
    <m/>
    <m/>
    <m/>
    <m/>
    <d v="1987-09-24T00:00:00"/>
    <s v="M"/>
    <s v="B"/>
    <s v="BLACK"/>
    <s v="NULL"/>
    <s v="176"/>
    <s v="DISMISSED"/>
    <n v="1"/>
    <s v="DISMISSED"/>
    <m/>
    <m/>
    <m/>
    <s v="POSS CS PG 1 &lt;1G"/>
    <m/>
    <s v="FS"/>
    <s v="POSS DRUG"/>
    <m/>
    <m/>
    <m/>
    <m/>
    <m/>
    <m/>
    <m/>
    <m/>
    <m/>
    <s v="Other/Unknown"/>
    <m/>
    <m/>
    <n v="2"/>
    <n v="2"/>
    <n v="2"/>
    <n v="24.478142076502731"/>
    <n v="0"/>
    <n v="0"/>
    <s v="NO CONVICTION"/>
    <x v="0"/>
    <s v="N"/>
    <m/>
    <s v="NO 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2512"/>
    <s v="N"/>
    <s v="N"/>
    <n v="2612778"/>
    <n v="1"/>
    <d v="2012-04-04T00:00:00"/>
    <d v="2012-06-27T00:00:00"/>
    <n v="2612778"/>
    <s v="NOT BOOKED"/>
    <s v="NOT BOOKED"/>
    <n v="2000"/>
    <x v="5"/>
    <d v="2012-04-05T00:00:00"/>
    <s v="Y"/>
    <s v="SURETY"/>
    <s v="NO BILL"/>
    <n v="0"/>
    <n v="85"/>
    <n v="0"/>
    <n v="0"/>
    <m/>
    <m/>
    <m/>
    <m/>
    <m/>
    <m/>
    <m/>
    <m/>
    <m/>
    <d v="1994-08-16T00:00:00"/>
    <s v="M"/>
    <s v="W"/>
    <s v="WHITE"/>
    <s v="NULL"/>
    <s v="180"/>
    <s v="NO BILL"/>
    <n v="4"/>
    <s v="NO BILL"/>
    <m/>
    <m/>
    <m/>
    <s v="CRIM MISCH &gt;=$1500 &lt;$20K"/>
    <m/>
    <s v="FS"/>
    <s v="OTHER FEL"/>
    <m/>
    <m/>
    <m/>
    <m/>
    <m/>
    <m/>
    <m/>
    <m/>
    <m/>
    <s v="Hired Attorney"/>
    <m/>
    <m/>
    <n v="0"/>
    <n v="0"/>
    <n v="85"/>
    <n v="17.598360655737704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513"/>
    <s v="N"/>
    <s v="N"/>
    <n v="2612781"/>
    <n v="5"/>
    <d v="2012-04-04T00:00:00"/>
    <d v="2012-05-14T00:00:00"/>
    <n v="2612781"/>
    <d v="2012-05-10T00:00:00"/>
    <d v="2012-05-14T00:00:00"/>
    <n v="20000"/>
    <x v="0"/>
    <m/>
    <s v="N"/>
    <s v="NONE"/>
    <s v="GUILTY PLEA - NO JURY"/>
    <n v="5"/>
    <n v="41"/>
    <n v="0"/>
    <n v="0"/>
    <m/>
    <m/>
    <m/>
    <m/>
    <m/>
    <m/>
    <m/>
    <m/>
    <m/>
    <d v="1970-01-12T00:00:00"/>
    <s v="M"/>
    <s v="W"/>
    <s v="WHITE"/>
    <s v="NULL"/>
    <s v="177"/>
    <s v="CONVICTED"/>
    <n v="2"/>
    <s v="STJ"/>
    <m/>
    <n v="6"/>
    <m/>
    <s v="FAIL TO REGISTER AS SEX OFFEND"/>
    <m/>
    <s v="FS"/>
    <s v="OTHER FEL"/>
    <m/>
    <m/>
    <m/>
    <m/>
    <m/>
    <m/>
    <m/>
    <m/>
    <m/>
    <s v="Appointed Attorney"/>
    <m/>
    <m/>
    <n v="5"/>
    <n v="5"/>
    <n v="41"/>
    <n v="42.139344262295083"/>
    <n v="0"/>
    <n v="0"/>
    <s v="CONVICTION"/>
    <x v="0"/>
    <s v="N"/>
    <m/>
    <s v="CONVICTION"/>
    <s v="Y"/>
    <x v="0"/>
    <x v="0"/>
    <s v="N"/>
    <n v="0.12195121951219512"/>
    <n v="1"/>
    <n v="0.87804878048780488"/>
    <n v="0"/>
    <n v="-5"/>
    <n v="0"/>
    <n v="5"/>
    <e v="#VALUE!"/>
    <n v="5"/>
    <n v="0"/>
    <m/>
    <m/>
    <s v="N"/>
    <m/>
    <s v="0-10 DAYS"/>
    <n v="1"/>
    <x v="0"/>
  </r>
  <r>
    <n v="2516"/>
    <s v="N"/>
    <s v="N"/>
    <n v="2612801"/>
    <n v="1"/>
    <d v="2012-04-04T00:00:00"/>
    <d v="2012-05-30T00:00:00"/>
    <n v="2612801"/>
    <s v="NOT BOOKED"/>
    <s v="NOT BOOKED"/>
    <n v="10000"/>
    <x v="3"/>
    <d v="2012-04-06T00:00:00"/>
    <s v="Y"/>
    <s v="SURETY"/>
    <s v="NO BILL"/>
    <n v="0"/>
    <n v="57"/>
    <n v="0"/>
    <n v="0"/>
    <m/>
    <m/>
    <m/>
    <m/>
    <m/>
    <m/>
    <m/>
    <m/>
    <m/>
    <d v="1991-12-18T00:00:00"/>
    <s v="M"/>
    <s v="W"/>
    <s v="WHITE"/>
    <s v="NULL"/>
    <s v="177"/>
    <s v="NO BILL"/>
    <n v="3"/>
    <s v="NO BILL"/>
    <m/>
    <m/>
    <m/>
    <s v="ARSON"/>
    <m/>
    <s v="F2"/>
    <s v="ARSON"/>
    <m/>
    <m/>
    <m/>
    <m/>
    <m/>
    <m/>
    <m/>
    <m/>
    <m/>
    <s v="Hired Attorney"/>
    <m/>
    <m/>
    <n v="0"/>
    <n v="0"/>
    <n v="57"/>
    <n v="20.254098360655739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517"/>
    <s v="N"/>
    <s v="N"/>
    <n v="2612802"/>
    <n v="1"/>
    <d v="2012-04-04T00:00:00"/>
    <d v="2012-05-10T00:00:00"/>
    <n v="2612802"/>
    <d v="2012-04-05T00:00:00"/>
    <d v="2012-05-10T00:00:00"/>
    <n v="10000"/>
    <x v="3"/>
    <m/>
    <s v="N"/>
    <s v="NONE"/>
    <s v="NO BILL"/>
    <n v="36"/>
    <n v="37"/>
    <n v="0"/>
    <n v="0"/>
    <m/>
    <m/>
    <m/>
    <m/>
    <m/>
    <m/>
    <m/>
    <m/>
    <m/>
    <d v="1991-03-24T00:00:00"/>
    <s v="M"/>
    <s v="W"/>
    <s v="WHITE"/>
    <s v="NULL"/>
    <s v="177"/>
    <s v="NO BILL"/>
    <n v="2"/>
    <s v="NO BILL"/>
    <m/>
    <m/>
    <m/>
    <s v="ARSON"/>
    <m/>
    <s v="F2"/>
    <s v="ARSON"/>
    <m/>
    <m/>
    <m/>
    <m/>
    <m/>
    <m/>
    <m/>
    <m/>
    <m/>
    <s v="Appointed Attorney"/>
    <m/>
    <m/>
    <n v="36"/>
    <n v="36"/>
    <n v="37"/>
    <n v="20.989071038251367"/>
    <n v="0"/>
    <n v="0"/>
    <s v="NO CONVICTION"/>
    <x v="0"/>
    <s v="N"/>
    <m/>
    <s v="NO CONVICTION"/>
    <s v="Y"/>
    <x v="0"/>
    <x v="0"/>
    <s v="N"/>
    <n v="0.97297297297297303"/>
    <n v="1"/>
    <n v="2.7027027027026973E-2"/>
    <n v="0"/>
    <n v="-36"/>
    <n v="0"/>
    <n v="36"/>
    <e v="#VALUE!"/>
    <n v="36"/>
    <n v="0"/>
    <m/>
    <m/>
    <s v="N"/>
    <m/>
    <s v="31-60 DAYS"/>
    <n v="3"/>
    <x v="0"/>
  </r>
  <r>
    <n v="2520"/>
    <s v="N"/>
    <s v="N"/>
    <n v="2612821"/>
    <n v="1"/>
    <d v="2012-04-04T00:00:00"/>
    <d v="2013-03-12T00:00:00"/>
    <n v="2612821"/>
    <d v="2012-05-02T00:00:00"/>
    <d v="2012-05-03T00:00:00"/>
    <n v="10000"/>
    <x v="3"/>
    <d v="2012-05-03T00:00:00"/>
    <s v="Y"/>
    <s v="SURETY"/>
    <s v="DISMISSED"/>
    <n v="2"/>
    <n v="343"/>
    <n v="0"/>
    <n v="0"/>
    <m/>
    <m/>
    <m/>
    <m/>
    <m/>
    <m/>
    <m/>
    <s v="S"/>
    <m/>
    <d v="1992-07-31T00:00:00"/>
    <s v="M"/>
    <s v="H"/>
    <s v="HISPANIC"/>
    <s v="NULL"/>
    <s v="209"/>
    <s v="DISMISSED"/>
    <n v="11"/>
    <s v="DISMISSED"/>
    <m/>
    <m/>
    <m/>
    <s v="BURGLARY OF HABITATION"/>
    <m/>
    <s v="F2"/>
    <s v="BURGLARY"/>
    <m/>
    <m/>
    <m/>
    <m/>
    <m/>
    <m/>
    <m/>
    <m/>
    <m/>
    <s v="Hired Attorney"/>
    <m/>
    <m/>
    <n v="2"/>
    <n v="315"/>
    <n v="343"/>
    <n v="19.636612021857925"/>
    <n v="0"/>
    <n v="-313"/>
    <s v="NO CONVICTION"/>
    <x v="1"/>
    <s v="Y"/>
    <m/>
    <s v="NO CONVICTION"/>
    <s v="Y"/>
    <x v="1"/>
    <x v="0"/>
    <s v="N"/>
    <n v="5.8309037900874635E-3"/>
    <n v="6.3492063492063492E-3"/>
    <n v="5.1830255911888574E-4"/>
    <n v="0"/>
    <n v="-2"/>
    <n v="0"/>
    <n v="2"/>
    <e v="#VALUE!"/>
    <n v="2"/>
    <n v="0"/>
    <m/>
    <m/>
    <s v="N"/>
    <m/>
    <s v="0-10 DAYS"/>
    <n v="1"/>
    <x v="0"/>
  </r>
  <r>
    <n v="2530"/>
    <s v="N"/>
    <s v="N"/>
    <n v="2612842"/>
    <n v="1"/>
    <d v="2012-04-04T00:00:00"/>
    <d v="2012-05-16T00:00:00"/>
    <n v="2612842"/>
    <d v="2012-04-05T00:00:00"/>
    <d v="2012-04-05T00:00:00"/>
    <n v="2000"/>
    <x v="5"/>
    <d v="2012-04-05T00:00:00"/>
    <s v="Y"/>
    <s v="PTR"/>
    <s v="DISMISSED"/>
    <n v="1"/>
    <n v="43"/>
    <n v="0"/>
    <n v="0"/>
    <m/>
    <m/>
    <m/>
    <m/>
    <m/>
    <m/>
    <m/>
    <m/>
    <m/>
    <d v="1990-01-09T00:00:00"/>
    <s v="F"/>
    <s v="B"/>
    <s v="BLACK"/>
    <s v="NULL"/>
    <s v="178"/>
    <s v="DISMISSED"/>
    <n v="2"/>
    <s v="DISMISSED"/>
    <m/>
    <m/>
    <m/>
    <s v="FORGERY"/>
    <m/>
    <s v="FS"/>
    <s v="OTHER FEL"/>
    <m/>
    <m/>
    <m/>
    <m/>
    <m/>
    <m/>
    <m/>
    <m/>
    <m/>
    <s v="Hired Attorney"/>
    <m/>
    <m/>
    <n v="1"/>
    <n v="42"/>
    <n v="43"/>
    <n v="22.188524590163933"/>
    <n v="0"/>
    <n v="-41"/>
    <s v="NO CONVICTION"/>
    <x v="2"/>
    <s v="Y"/>
    <m/>
    <s v="NO CONVICTION"/>
    <s v="Y"/>
    <x v="1"/>
    <x v="0"/>
    <s v="N"/>
    <n v="2.3255813953488372E-2"/>
    <n v="2.3809523809523808E-2"/>
    <n v="5.5370985603543643E-4"/>
    <n v="0"/>
    <n v="-1"/>
    <n v="0"/>
    <n v="1"/>
    <e v="#VALUE!"/>
    <n v="1"/>
    <n v="0"/>
    <m/>
    <m/>
    <s v="N"/>
    <m/>
    <s v="0-10 DAYS"/>
    <n v="1"/>
    <x v="0"/>
  </r>
  <r>
    <n v="2549"/>
    <s v="N"/>
    <s v="N"/>
    <n v="2612898"/>
    <n v="6"/>
    <d v="2012-04-05T00:00:00"/>
    <d v="2012-08-30T00:00:00"/>
    <n v="2612898"/>
    <d v="2012-04-05T00:00:00"/>
    <d v="2012-08-30T00:00:00"/>
    <s v="NO BOND"/>
    <x v="1"/>
    <m/>
    <s v="N"/>
    <s v="NONE"/>
    <s v="GUILTY PLEA - NO JURY"/>
    <n v="148"/>
    <n v="148"/>
    <n v="0"/>
    <n v="0"/>
    <m/>
    <m/>
    <m/>
    <m/>
    <m/>
    <m/>
    <m/>
    <m/>
    <m/>
    <d v="1976-10-24T00:00:00"/>
    <s v="M"/>
    <s v="H"/>
    <s v="HISPANIC"/>
    <s v="HISPANIC"/>
    <s v="228"/>
    <s v="CONVICTED"/>
    <n v="6"/>
    <s v="TDC"/>
    <n v="2"/>
    <m/>
    <m/>
    <s v="AGG ASSAULT-FAMILY MEMBER"/>
    <m/>
    <s v="F2"/>
    <s v="ASLT-MURDR"/>
    <m/>
    <m/>
    <m/>
    <m/>
    <m/>
    <m/>
    <m/>
    <m/>
    <m/>
    <s v="Appointed Attorney"/>
    <m/>
    <m/>
    <n v="148"/>
    <n v="148"/>
    <n v="148"/>
    <n v="35.374316939890711"/>
    <n v="0"/>
    <n v="0"/>
    <s v="CONVICTION"/>
    <x v="0"/>
    <s v="N"/>
    <m/>
    <s v="CONVICTION"/>
    <s v="Y"/>
    <x v="0"/>
    <x v="0"/>
    <s v="N"/>
    <n v="1"/>
    <n v="1"/>
    <n v="0"/>
    <n v="0"/>
    <n v="-148"/>
    <n v="0"/>
    <n v="148"/>
    <e v="#VALUE!"/>
    <n v="148"/>
    <n v="0"/>
    <m/>
    <m/>
    <s v="N"/>
    <m/>
    <s v="121-365 DAYS"/>
    <n v="6"/>
    <x v="0"/>
  </r>
  <r>
    <n v="2551"/>
    <s v="N"/>
    <s v="N"/>
    <n v="2612902"/>
    <n v="6"/>
    <d v="2012-04-05T00:00:00"/>
    <d v="2013-11-15T00:00:00"/>
    <n v="2612902"/>
    <d v="2012-04-05T00:00:00"/>
    <d v="2012-04-10T00:00:00"/>
    <n v="30000"/>
    <x v="2"/>
    <d v="2012-04-10T00:00:00"/>
    <s v="Y"/>
    <s v="SURETY"/>
    <s v="GUILTY PLEA - NO JURY"/>
    <n v="512"/>
    <n v="590"/>
    <n v="0"/>
    <n v="0"/>
    <m/>
    <m/>
    <m/>
    <m/>
    <m/>
    <m/>
    <m/>
    <m/>
    <m/>
    <d v="1992-10-08T00:00:00"/>
    <s v="M"/>
    <s v="B"/>
    <s v="BLACK"/>
    <s v="NULL"/>
    <s v="177"/>
    <s v="CONVICTED"/>
    <n v="34"/>
    <s v="TDC"/>
    <n v="12"/>
    <m/>
    <m/>
    <s v="AGG ROBBERY-DEADLY WPN"/>
    <m/>
    <s v="F1"/>
    <s v="ROBBERY"/>
    <s v="STUDY C DISM, TDC JUNE FILE C DISP SAME DATE"/>
    <m/>
    <m/>
    <m/>
    <m/>
    <m/>
    <m/>
    <m/>
    <m/>
    <s v="Hired Attorney"/>
    <m/>
    <m/>
    <n v="512"/>
    <n v="590"/>
    <n v="590"/>
    <n v="19.450819672131146"/>
    <n v="0"/>
    <n v="-584"/>
    <s v="CONVICTION"/>
    <x v="1"/>
    <s v="Y"/>
    <m/>
    <s v="CONVICTION"/>
    <s v="Y"/>
    <x v="0"/>
    <x v="0"/>
    <s v="N"/>
    <n v="0.8677966101694915"/>
    <n v="1.0169491525423728E-2"/>
    <n v="-0.85762711864406782"/>
    <n v="0"/>
    <n v="-6"/>
    <n v="0"/>
    <n v="590"/>
    <n v="512"/>
    <n v="590"/>
    <n v="584"/>
    <s v="MANUAL OVER-RIDE IS CORRECT BUT SHOW NO PT MISC"/>
    <m/>
    <s v="N"/>
    <m/>
    <s v=" &gt;1YRS&lt;2YRS"/>
    <n v="0"/>
    <x v="0"/>
  </r>
  <r>
    <n v="2552"/>
    <s v="N"/>
    <s v="N"/>
    <n v="2612911"/>
    <n v="5"/>
    <d v="2012-04-05T00:00:00"/>
    <d v="2012-05-08T00:00:00"/>
    <n v="2612911"/>
    <d v="2012-04-05T00:00:00"/>
    <d v="2012-05-08T00:00:00"/>
    <n v="5000"/>
    <x v="4"/>
    <m/>
    <s v="N"/>
    <s v="NONE"/>
    <s v="GUILTY PLEA - NO JURY"/>
    <n v="34"/>
    <n v="34"/>
    <n v="0"/>
    <n v="0"/>
    <m/>
    <m/>
    <m/>
    <m/>
    <m/>
    <m/>
    <m/>
    <m/>
    <m/>
    <d v="1982-06-20T00:00:00"/>
    <s v="F"/>
    <s v="W"/>
    <s v="WHITE"/>
    <s v="NULL"/>
    <s v="232"/>
    <s v="CONVICTED"/>
    <n v="2"/>
    <s v="STJ"/>
    <m/>
    <n v="8"/>
    <m/>
    <s v="ATT TAMPER WITH PHYSICAL EVIDE"/>
    <m/>
    <s v="FS"/>
    <s v="OTHER FEL"/>
    <m/>
    <m/>
    <m/>
    <m/>
    <m/>
    <m/>
    <m/>
    <m/>
    <m/>
    <s v="Appointed Attorney"/>
    <m/>
    <m/>
    <n v="34"/>
    <n v="34"/>
    <n v="34"/>
    <n v="29.73224043715847"/>
    <n v="0"/>
    <n v="0"/>
    <s v="CONVICTION"/>
    <x v="0"/>
    <s v="N"/>
    <m/>
    <s v="CONVICTION"/>
    <s v="Y"/>
    <x v="0"/>
    <x v="0"/>
    <s v="N"/>
    <n v="1"/>
    <n v="1"/>
    <n v="0"/>
    <n v="0"/>
    <n v="-34"/>
    <n v="0"/>
    <n v="34"/>
    <e v="#VALUE!"/>
    <n v="34"/>
    <n v="0"/>
    <m/>
    <m/>
    <s v="N"/>
    <m/>
    <s v="31-60 DAYS"/>
    <n v="3"/>
    <x v="0"/>
  </r>
  <r>
    <n v="2558"/>
    <s v="N"/>
    <s v="N"/>
    <n v="2612917"/>
    <n v="4"/>
    <d v="2012-04-05T00:00:00"/>
    <d v="2012-04-10T00:00:00"/>
    <n v="2612917"/>
    <d v="2012-04-06T00:00:00"/>
    <d v="2012-04-10T00:00:00"/>
    <n v="35000"/>
    <x v="2"/>
    <m/>
    <s v="N"/>
    <s v="NONE"/>
    <s v="GUILTY PLEA - NO JURY"/>
    <n v="5"/>
    <n v="6"/>
    <n v="0"/>
    <n v="0"/>
    <m/>
    <m/>
    <m/>
    <m/>
    <m/>
    <m/>
    <m/>
    <s v="S"/>
    <m/>
    <d v="1989-11-20T00:00:00"/>
    <s v="M"/>
    <s v="H"/>
    <s v="HISPANIC"/>
    <s v="NULL"/>
    <s v="338"/>
    <s v="CONVICTED"/>
    <n v="2"/>
    <s v="HCJ"/>
    <m/>
    <m/>
    <n v="30"/>
    <s v="POSS CS PG 1 &lt;1G"/>
    <m/>
    <s v="FS"/>
    <s v="POSS DRUG"/>
    <m/>
    <m/>
    <m/>
    <m/>
    <m/>
    <m/>
    <m/>
    <m/>
    <m/>
    <s v="Appointed Attorney"/>
    <m/>
    <m/>
    <n v="5"/>
    <n v="5"/>
    <n v="6"/>
    <n v="22.327868852459016"/>
    <n v="0"/>
    <n v="0"/>
    <s v="CONVICTION"/>
    <x v="0"/>
    <s v="N"/>
    <m/>
    <s v="CONVICTION"/>
    <s v="Y"/>
    <x v="0"/>
    <x v="0"/>
    <s v="N"/>
    <n v="0.83333333333333337"/>
    <n v="1"/>
    <n v="0.16666666666666663"/>
    <n v="0"/>
    <n v="-5"/>
    <n v="0"/>
    <n v="5"/>
    <e v="#VALUE!"/>
    <n v="5"/>
    <n v="0"/>
    <m/>
    <m/>
    <s v="N"/>
    <m/>
    <s v="0-10 DAYS"/>
    <n v="1"/>
    <x v="0"/>
  </r>
  <r>
    <n v="2561"/>
    <s v="N"/>
    <s v="N"/>
    <n v="2612956"/>
    <n v="1"/>
    <d v="2012-04-05T00:00:00"/>
    <d v="2012-06-08T00:00:00"/>
    <n v="2612956"/>
    <d v="2012-04-06T00:00:00"/>
    <d v="2012-04-07T00:00:00"/>
    <n v="30000"/>
    <x v="2"/>
    <d v="2012-04-07T00:00:00"/>
    <s v="Y"/>
    <s v="SURETY"/>
    <s v="NO BILL"/>
    <n v="2"/>
    <n v="65"/>
    <n v="0"/>
    <n v="0"/>
    <m/>
    <m/>
    <m/>
    <m/>
    <m/>
    <m/>
    <m/>
    <m/>
    <m/>
    <d v="1982-10-20T00:00:00"/>
    <s v="M"/>
    <s v="W"/>
    <s v="WHITE"/>
    <s v="NULL"/>
    <s v="185"/>
    <s v="NO BILL"/>
    <n v="4"/>
    <s v="NO BILL"/>
    <m/>
    <m/>
    <m/>
    <s v="AGG ASSAULT W/DEADLY WEAPON"/>
    <m/>
    <s v="F2"/>
    <s v="ASLT-MURDR"/>
    <m/>
    <m/>
    <m/>
    <m/>
    <m/>
    <m/>
    <m/>
    <m/>
    <m/>
    <s v="Hired Attorney"/>
    <m/>
    <m/>
    <n v="2"/>
    <n v="64"/>
    <n v="65"/>
    <n v="29.398907103825138"/>
    <n v="0"/>
    <n v="-62"/>
    <s v="NO CONVICTION"/>
    <x v="1"/>
    <s v="Y"/>
    <m/>
    <s v="NO CONVICTION"/>
    <s v="Y"/>
    <x v="1"/>
    <x v="0"/>
    <s v="N"/>
    <n v="3.0769230769230771E-2"/>
    <n v="3.125E-2"/>
    <n v="4.8076923076922906E-4"/>
    <n v="0"/>
    <n v="-2"/>
    <n v="0"/>
    <n v="2"/>
    <e v="#VALUE!"/>
    <n v="2"/>
    <n v="0"/>
    <m/>
    <m/>
    <s v="N"/>
    <m/>
    <s v="0-10 DAYS"/>
    <n v="1"/>
    <x v="0"/>
  </r>
  <r>
    <n v="2563"/>
    <s v="N"/>
    <s v="N"/>
    <n v="2612977"/>
    <n v="5"/>
    <d v="2012-04-05T00:00:00"/>
    <d v="2012-06-29T00:00:00"/>
    <n v="2612977"/>
    <d v="2012-04-06T00:00:00"/>
    <d v="2012-06-29T00:00:00"/>
    <n v="200000"/>
    <x v="2"/>
    <m/>
    <s v="N"/>
    <s v="NONE"/>
    <s v="GUILTY PLEA - NO JURY"/>
    <n v="85"/>
    <n v="86"/>
    <n v="0"/>
    <n v="0"/>
    <m/>
    <m/>
    <m/>
    <m/>
    <m/>
    <m/>
    <m/>
    <m/>
    <m/>
    <d v="1992-08-30T00:00:00"/>
    <s v="M"/>
    <s v="B"/>
    <s v="BLACK"/>
    <s v="NULL"/>
    <s v="180"/>
    <s v="CONVICTED"/>
    <n v="4"/>
    <s v="STJ"/>
    <m/>
    <n v="8"/>
    <m/>
    <s v="ROBBERY-BODILY INJURY"/>
    <m/>
    <s v="F2"/>
    <s v="ROBBERY"/>
    <m/>
    <m/>
    <m/>
    <m/>
    <m/>
    <m/>
    <m/>
    <m/>
    <m/>
    <s v="Appointed Attorney"/>
    <m/>
    <m/>
    <n v="85"/>
    <n v="85"/>
    <n v="86"/>
    <n v="19.557377049180328"/>
    <n v="0"/>
    <n v="0"/>
    <s v="CONVICTION"/>
    <x v="0"/>
    <s v="N"/>
    <m/>
    <s v="CONVICTION"/>
    <s v="Y"/>
    <x v="0"/>
    <x v="0"/>
    <s v="N"/>
    <n v="0.98837209302325579"/>
    <n v="1"/>
    <n v="1.1627906976744207E-2"/>
    <n v="0"/>
    <n v="-85"/>
    <n v="0"/>
    <n v="85"/>
    <e v="#VALUE!"/>
    <n v="85"/>
    <n v="0"/>
    <m/>
    <m/>
    <s v="N"/>
    <m/>
    <s v="61-90 DAYS"/>
    <n v="4"/>
    <x v="0"/>
  </r>
  <r>
    <n v="2571"/>
    <s v="N"/>
    <s v="N"/>
    <n v="2612993"/>
    <n v="1"/>
    <d v="2012-04-05T00:00:00"/>
    <d v="2012-09-18T00:00:00"/>
    <n v="2612993"/>
    <d v="2012-04-06T00:00:00"/>
    <d v="2012-09-18T00:00:00"/>
    <n v="5000"/>
    <x v="4"/>
    <m/>
    <s v="N"/>
    <s v="NONE"/>
    <s v="DISMISSED"/>
    <n v="166"/>
    <n v="167"/>
    <n v="0"/>
    <n v="0"/>
    <m/>
    <m/>
    <m/>
    <m/>
    <m/>
    <m/>
    <m/>
    <s v="S"/>
    <m/>
    <d v="1994-09-15T00:00:00"/>
    <s v="M"/>
    <s v="H"/>
    <s v="HISPANIC"/>
    <s v="NULL"/>
    <s v="228"/>
    <s v="DISMISSED"/>
    <n v="7"/>
    <s v="DISMISSED"/>
    <m/>
    <m/>
    <m/>
    <s v="POSS CS PG 2 &lt;1GRAM"/>
    <m/>
    <s v="FS"/>
    <s v="POSS DRUG"/>
    <s v="8/29/12 detained  sex abuse filed pend"/>
    <m/>
    <m/>
    <m/>
    <m/>
    <m/>
    <m/>
    <m/>
    <m/>
    <s v="Appointed Attorney"/>
    <m/>
    <m/>
    <n v="166"/>
    <n v="166"/>
    <n v="167"/>
    <n v="17.519125683060111"/>
    <n v="0"/>
    <n v="0"/>
    <s v="NO CONVICTION"/>
    <x v="0"/>
    <s v="N"/>
    <m/>
    <s v="NO CONVICTION"/>
    <s v="Y"/>
    <x v="0"/>
    <x v="0"/>
    <s v="N"/>
    <n v="0.99401197604790414"/>
    <n v="1"/>
    <n v="5.9880239520958556E-3"/>
    <n v="0"/>
    <n v="-166"/>
    <n v="0"/>
    <n v="166"/>
    <e v="#VALUE!"/>
    <n v="166"/>
    <n v="0"/>
    <m/>
    <m/>
    <s v="N"/>
    <m/>
    <s v="121-365 DAYS"/>
    <n v="6"/>
    <x v="0"/>
  </r>
  <r>
    <n v="2574"/>
    <s v="N"/>
    <s v="N"/>
    <n v="2613001"/>
    <n v="2"/>
    <d v="2012-04-05T00:00:00"/>
    <d v="2012-07-18T00:00:00"/>
    <n v="2613001"/>
    <d v="2012-04-06T00:00:00"/>
    <d v="2012-04-07T00:00:00"/>
    <n v="5000"/>
    <x v="4"/>
    <d v="2012-04-07T00:00:00"/>
    <s v="Y"/>
    <s v="SURETY"/>
    <s v="DEFERRED ADJUDICATION "/>
    <n v="2"/>
    <n v="105"/>
    <n v="0"/>
    <n v="0"/>
    <m/>
    <m/>
    <m/>
    <m/>
    <m/>
    <m/>
    <m/>
    <s v="S"/>
    <m/>
    <d v="1992-03-08T00:00:00"/>
    <s v="F"/>
    <s v="H"/>
    <s v="HISPANIC"/>
    <s v="NULL"/>
    <s v="174"/>
    <s v="DEFERRED"/>
    <n v="4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104"/>
    <n v="105"/>
    <n v="20.035519125683059"/>
    <n v="0"/>
    <n v="-102"/>
    <s v="DEFERRED"/>
    <x v="1"/>
    <s v="Y"/>
    <m/>
    <s v="DEFERRED"/>
    <s v="Y"/>
    <x v="1"/>
    <x v="0"/>
    <s v="N"/>
    <n v="1.9047619047619049E-2"/>
    <n v="1.9230769230769232E-2"/>
    <n v="1.831501831501825E-4"/>
    <n v="0"/>
    <n v="-2"/>
    <n v="0"/>
    <n v="2"/>
    <e v="#VALUE!"/>
    <n v="2"/>
    <n v="0"/>
    <m/>
    <m/>
    <s v="N"/>
    <m/>
    <s v="0-10 DAYS"/>
    <n v="1"/>
    <x v="0"/>
  </r>
  <r>
    <n v="2576"/>
    <s v="N"/>
    <s v="N"/>
    <n v="2613012"/>
    <n v="2"/>
    <d v="2012-04-05T00:00:00"/>
    <d v="2012-10-05T00:00:00"/>
    <n v="2613012"/>
    <d v="2012-04-06T00:00:00"/>
    <d v="2012-04-07T00:00:00"/>
    <n v="5000"/>
    <x v="4"/>
    <d v="2012-04-07T00:00:00"/>
    <s v="Y"/>
    <s v="SURETY"/>
    <s v="DEFERRED ADJUDICATION "/>
    <n v="2"/>
    <n v="184"/>
    <n v="0"/>
    <n v="0"/>
    <m/>
    <m/>
    <m/>
    <m/>
    <m/>
    <m/>
    <m/>
    <s v="S"/>
    <m/>
    <d v="1991-12-03T00:00:00"/>
    <s v="F"/>
    <s v="H"/>
    <s v="HISPANIC"/>
    <s v="NULL"/>
    <s v="338"/>
    <s v="DEFERRED"/>
    <n v="8"/>
    <s v="DEFERRED"/>
    <m/>
    <m/>
    <m/>
    <s v="HINDER APPREHENSION"/>
    <m/>
    <s v="F3"/>
    <s v="OTHER FEL"/>
    <m/>
    <m/>
    <m/>
    <m/>
    <m/>
    <m/>
    <m/>
    <m/>
    <m/>
    <s v="Hired Attorney"/>
    <m/>
    <m/>
    <n v="2"/>
    <n v="183"/>
    <n v="184"/>
    <n v="20.297814207650273"/>
    <n v="0"/>
    <n v="-181"/>
    <s v="DEFERRED"/>
    <x v="1"/>
    <s v="Y"/>
    <m/>
    <s v="DEFERRED"/>
    <s v="Y"/>
    <x v="1"/>
    <x v="0"/>
    <s v="N"/>
    <n v="1.0869565217391304E-2"/>
    <n v="1.092896174863388E-2"/>
    <n v="5.9396531242575726E-5"/>
    <n v="0"/>
    <n v="-2"/>
    <n v="0"/>
    <n v="2"/>
    <e v="#VALUE!"/>
    <n v="2"/>
    <n v="0"/>
    <m/>
    <m/>
    <s v="N"/>
    <m/>
    <s v="0-10 DAYS"/>
    <n v="1"/>
    <x v="0"/>
  </r>
  <r>
    <n v="2577"/>
    <s v="N"/>
    <s v="N"/>
    <n v="2613013"/>
    <n v="2"/>
    <d v="2012-04-05T00:00:00"/>
    <d v="2012-07-18T00:00:00"/>
    <n v="2613013"/>
    <d v="2012-04-06T00:00:00"/>
    <d v="2012-04-06T00:00:00"/>
    <n v="2000"/>
    <x v="5"/>
    <d v="2012-04-06T00:00:00"/>
    <s v="Y"/>
    <s v="SURETY"/>
    <s v="DEFERRED ADJUDICATION "/>
    <n v="1"/>
    <n v="105"/>
    <n v="0"/>
    <n v="0"/>
    <m/>
    <m/>
    <m/>
    <m/>
    <m/>
    <m/>
    <m/>
    <s v="S"/>
    <m/>
    <d v="1992-09-16T00:00:00"/>
    <s v="F"/>
    <s v="H"/>
    <s v="HISPANIC"/>
    <s v="NULL"/>
    <s v="178"/>
    <s v="DEFERRED"/>
    <n v="5"/>
    <s v="DEFERRED"/>
    <m/>
    <m/>
    <m/>
    <s v="THEFT $1500-20K"/>
    <m/>
    <s v="FS"/>
    <s v="THEFT"/>
    <m/>
    <m/>
    <m/>
    <m/>
    <m/>
    <m/>
    <m/>
    <m/>
    <m/>
    <s v="Appointed Attorney"/>
    <m/>
    <m/>
    <n v="1"/>
    <n v="104"/>
    <n v="105"/>
    <n v="19.510928961748633"/>
    <n v="0"/>
    <n v="-103"/>
    <s v="DEFERRED"/>
    <x v="1"/>
    <s v="Y"/>
    <m/>
    <s v="DEFERRED"/>
    <s v="Y"/>
    <x v="1"/>
    <x v="0"/>
    <s v="N"/>
    <n v="9.5238095238095247E-3"/>
    <n v="9.6153846153846159E-3"/>
    <n v="9.157509157509125E-5"/>
    <n v="0"/>
    <n v="-1"/>
    <n v="0"/>
    <n v="1"/>
    <e v="#VALUE!"/>
    <n v="1"/>
    <n v="0"/>
    <m/>
    <m/>
    <s v="N"/>
    <m/>
    <s v="0-10 DAYS"/>
    <n v="1"/>
    <x v="0"/>
  </r>
  <r>
    <n v="2578"/>
    <s v="N"/>
    <s v="N"/>
    <n v="2613015"/>
    <n v="1"/>
    <d v="2012-04-06T00:00:00"/>
    <d v="2014-04-04T00:00:00"/>
    <n v="2613015"/>
    <d v="2014-02-11T00:00:00"/>
    <d v="2014-02-22T00:00:00"/>
    <n v="1000"/>
    <x v="5"/>
    <d v="2014-02-13T00:00:00"/>
    <s v="Y"/>
    <s v="CASH"/>
    <s v="DISMISSED"/>
    <n v="3"/>
    <n v="728"/>
    <n v="0"/>
    <n v="0"/>
    <m/>
    <m/>
    <m/>
    <m/>
    <m/>
    <m/>
    <m/>
    <m/>
    <m/>
    <d v="1986-10-20T00:00:00"/>
    <s v="F"/>
    <s v="W"/>
    <s v="WHITE"/>
    <s v="NULL"/>
    <s v="182"/>
    <s v="DISMISSED"/>
    <n v="7"/>
    <s v="DISMISSED"/>
    <m/>
    <m/>
    <m/>
    <s v="FALSE STATEMENT ON ALCOHOL LIC"/>
    <m/>
    <s v="F"/>
    <s v="OTHER FEL"/>
    <s v=" na cash bd bf 8/27/12 remade surety ok"/>
    <m/>
    <m/>
    <m/>
    <m/>
    <m/>
    <m/>
    <m/>
    <m/>
    <s v="Hired Attorney"/>
    <m/>
    <m/>
    <n v="3"/>
    <n v="3"/>
    <n v="728"/>
    <n v="25.409836065573771"/>
    <n v="-9"/>
    <n v="-41"/>
    <s v="NO CONVICTION"/>
    <x v="1"/>
    <s v="N"/>
    <m/>
    <s v="NO CONVICTION"/>
    <s v="Y"/>
    <x v="1"/>
    <x v="0"/>
    <s v="N"/>
    <n v="4.120879120879121E-3"/>
    <n v="4.1000000000000003E-3"/>
    <n v="0"/>
    <n v="0"/>
    <n v="-12"/>
    <n v="-9"/>
    <n v="3"/>
    <e v="#VALUE!"/>
    <n v="3"/>
    <m/>
    <m/>
    <m/>
    <s v="N"/>
    <e v="#N/A"/>
    <s v="0-10 DAYS"/>
    <n v="1"/>
    <x v="0"/>
  </r>
  <r>
    <n v="2592"/>
    <s v="N"/>
    <s v="N"/>
    <n v="2613041"/>
    <n v="6"/>
    <d v="2012-04-06T00:00:00"/>
    <d v="2012-05-02T00:00:00"/>
    <n v="2613041"/>
    <d v="2012-04-07T00:00:00"/>
    <d v="2012-05-02T00:00:00"/>
    <n v="70000"/>
    <x v="2"/>
    <m/>
    <s v="N"/>
    <s v="NONE"/>
    <s v="GUILTY PLEA - NO JURY"/>
    <n v="26"/>
    <n v="27"/>
    <n v="0"/>
    <n v="0"/>
    <m/>
    <m/>
    <m/>
    <m/>
    <m/>
    <m/>
    <m/>
    <s v="S"/>
    <m/>
    <d v="1983-08-10T00:00:00"/>
    <s v="M"/>
    <s v="H"/>
    <s v="HISPANIC"/>
    <s v="NULL"/>
    <s v="183"/>
    <s v="CONVICTED"/>
    <n v="2"/>
    <s v="TDC"/>
    <n v="3"/>
    <m/>
    <m/>
    <s v="MAN/DEL CS PG I 4-200 GRAMS"/>
    <m/>
    <s v="F1"/>
    <s v="SALE DRUG"/>
    <m/>
    <m/>
    <m/>
    <m/>
    <m/>
    <m/>
    <m/>
    <m/>
    <m/>
    <s v="Appointed Attorney"/>
    <m/>
    <m/>
    <n v="26"/>
    <n v="26"/>
    <n v="27"/>
    <n v="28.598360655737704"/>
    <n v="0"/>
    <n v="0"/>
    <s v="CONVICTION"/>
    <x v="0"/>
    <s v="N"/>
    <m/>
    <s v="CONVICTION"/>
    <s v="Y"/>
    <x v="0"/>
    <x v="0"/>
    <s v="N"/>
    <n v="0.96296296296296291"/>
    <n v="1"/>
    <n v="3.703703703703709E-2"/>
    <n v="0"/>
    <n v="-26"/>
    <n v="0"/>
    <n v="26"/>
    <e v="#VALUE!"/>
    <n v="26"/>
    <n v="0"/>
    <m/>
    <m/>
    <s v="N"/>
    <m/>
    <s v="11-30 DAYS"/>
    <n v="2"/>
    <x v="0"/>
  </r>
  <r>
    <n v="2607"/>
    <s v="N"/>
    <s v="N"/>
    <n v="2613076"/>
    <n v="2"/>
    <d v="2012-04-06T00:00:00"/>
    <d v="2012-04-09T00:00:00"/>
    <n v="2613076"/>
    <d v="2012-04-07T00:00:00"/>
    <d v="2012-04-09T00:00:00"/>
    <n v="2000"/>
    <x v="5"/>
    <m/>
    <s v="N"/>
    <s v="NONE"/>
    <s v="DEFERRED ADJUDICATION "/>
    <n v="3"/>
    <n v="4"/>
    <n v="0"/>
    <n v="0"/>
    <m/>
    <m/>
    <m/>
    <m/>
    <m/>
    <m/>
    <m/>
    <m/>
    <m/>
    <d v="1993-12-18T00:00:00"/>
    <s v="F"/>
    <s v="B"/>
    <s v="BLACK"/>
    <s v="NULL"/>
    <s v="338"/>
    <s v="DEFERRED"/>
    <n v="2"/>
    <s v="DEFERRED"/>
    <m/>
    <m/>
    <m/>
    <s v="THEFT $1500-20K"/>
    <m/>
    <s v="FS"/>
    <s v="THEFT"/>
    <s v=" 7/17/12FREP  revoke 9/28/12 stj 6mos"/>
    <m/>
    <m/>
    <m/>
    <m/>
    <m/>
    <m/>
    <m/>
    <m/>
    <s v="Appointed Attorney"/>
    <m/>
    <m/>
    <n v="3"/>
    <n v="3"/>
    <n v="4"/>
    <n v="18.262295081967213"/>
    <n v="0"/>
    <n v="0"/>
    <s v="DEFERRED"/>
    <x v="0"/>
    <s v="N"/>
    <m/>
    <s v="DEFERRED"/>
    <s v="Y"/>
    <x v="0"/>
    <x v="0"/>
    <s v="N"/>
    <n v="0.75"/>
    <n v="1"/>
    <n v="0.25"/>
    <n v="0"/>
    <n v="-3"/>
    <n v="0"/>
    <n v="3"/>
    <e v="#VALUE!"/>
    <n v="3"/>
    <n v="0"/>
    <m/>
    <m/>
    <s v="N"/>
    <m/>
    <s v="0-10 DAYS"/>
    <n v="1"/>
    <x v="0"/>
  </r>
  <r>
    <n v="2617"/>
    <s v="N"/>
    <s v="N"/>
    <n v="2613100"/>
    <n v="6"/>
    <d v="2012-04-07T00:00:00"/>
    <d v="2014-03-26T00:00:00"/>
    <n v="2613100"/>
    <d v="2012-04-07T00:00:00"/>
    <d v="2014-03-26T00:00:00"/>
    <s v="NO BOND"/>
    <x v="1"/>
    <m/>
    <s v="N"/>
    <s v="NONE"/>
    <s v="GUILTY PLEA - NO JURY"/>
    <n v="719"/>
    <n v="728"/>
    <n v="0"/>
    <n v="0"/>
    <m/>
    <m/>
    <m/>
    <m/>
    <m/>
    <m/>
    <m/>
    <s v="S"/>
    <m/>
    <d v="1956-12-07T00:00:00"/>
    <s v="F"/>
    <s v="W"/>
    <s v="WHITE"/>
    <s v="NULL"/>
    <s v="339"/>
    <s v="CONVICTED"/>
    <n v="19"/>
    <s v="TDC"/>
    <n v="40"/>
    <m/>
    <m/>
    <s v="CAPITAL MURDER"/>
    <m/>
    <s v="FC"/>
    <s v="CAP MURDER"/>
    <m/>
    <m/>
    <m/>
    <m/>
    <m/>
    <m/>
    <m/>
    <m/>
    <m/>
    <s v="Hired Attorney"/>
    <m/>
    <m/>
    <n v="728"/>
    <n v="728"/>
    <n v="728"/>
    <n v="55.21857923497268"/>
    <n v="0"/>
    <n v="0"/>
    <s v="CONVICTION"/>
    <x v="0"/>
    <s v="N"/>
    <m/>
    <s v="CONVICTION"/>
    <s v="Y"/>
    <x v="0"/>
    <x v="0"/>
    <s v="N"/>
    <n v="1"/>
    <n v="1"/>
    <n v="0"/>
    <n v="-9"/>
    <n v="-719"/>
    <n v="9"/>
    <n v="719"/>
    <e v="#VALUE!"/>
    <n v="728"/>
    <m/>
    <m/>
    <m/>
    <s v="N"/>
    <e v="#N/A"/>
    <s v=" &gt;1YRS&lt;2YRS"/>
    <n v="0"/>
    <x v="0"/>
  </r>
  <r>
    <n v="2618"/>
    <s v="N"/>
    <s v="N"/>
    <n v="2613104"/>
    <n v="2"/>
    <d v="2012-04-07T00:00:00"/>
    <d v="2012-04-09T00:00:00"/>
    <n v="2613104"/>
    <d v="2012-04-07T00:00:00"/>
    <d v="2012-04-09T00:00:00"/>
    <n v="2000"/>
    <x v="5"/>
    <m/>
    <s v="N"/>
    <s v="NONE"/>
    <s v="DEFERRED ADJUDICATION "/>
    <n v="3"/>
    <n v="3"/>
    <n v="0"/>
    <n v="0"/>
    <m/>
    <m/>
    <m/>
    <m/>
    <m/>
    <m/>
    <m/>
    <m/>
    <m/>
    <d v="1995-01-21T00:00:00"/>
    <s v="M"/>
    <s v="B"/>
    <s v="BLACK"/>
    <s v="NULL"/>
    <s v="182"/>
    <s v="DEFERRED"/>
    <n v="1"/>
    <s v="DEFERRED"/>
    <m/>
    <m/>
    <m/>
    <s v="POSS CS PG 1 &lt;1G"/>
    <m/>
    <s v="FS"/>
    <s v="POSS DRUG"/>
    <s v="11/12/12 def adj revoked 7mos stj"/>
    <m/>
    <m/>
    <m/>
    <m/>
    <m/>
    <m/>
    <m/>
    <m/>
    <s v="Appointed Attorney"/>
    <m/>
    <m/>
    <n v="3"/>
    <n v="3"/>
    <n v="3"/>
    <n v="17.174863387978142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2619"/>
    <s v="N"/>
    <s v="N"/>
    <n v="2613110"/>
    <n v="4"/>
    <d v="2012-04-07T00:00:00"/>
    <d v="2012-06-27T00:00:00"/>
    <n v="2613110"/>
    <s v="NOT BOOKED"/>
    <s v="NOT BOOKED"/>
    <n v="2000"/>
    <x v="5"/>
    <d v="2012-04-07T00:00:00"/>
    <s v="Y"/>
    <s v="SURETYPTRc"/>
    <s v="GUILTY PLEA - NO JURY"/>
    <n v="0"/>
    <n v="82"/>
    <n v="0"/>
    <n v="0"/>
    <m/>
    <m/>
    <m/>
    <m/>
    <m/>
    <m/>
    <m/>
    <s v="S"/>
    <m/>
    <d v="1976-03-07T00:00:00"/>
    <s v="F"/>
    <s v="H"/>
    <s v="HISPANIC"/>
    <s v="NULL"/>
    <s v="183"/>
    <s v="CONVICTED"/>
    <n v="5"/>
    <s v="fine"/>
    <m/>
    <m/>
    <m/>
    <s v="ENDANGERING A CHILD"/>
    <m/>
    <s v="FS"/>
    <s v="OTHER FEL"/>
    <m/>
    <m/>
    <m/>
    <m/>
    <m/>
    <m/>
    <m/>
    <m/>
    <m/>
    <s v="Hired Attorney"/>
    <m/>
    <m/>
    <n v="0"/>
    <n v="0"/>
    <n v="82"/>
    <n v="36.010928961748633"/>
    <e v="#VALUE!"/>
    <e v="#VALUE!"/>
    <s v="NO 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625"/>
    <s v="N"/>
    <s v="N"/>
    <n v="2613124"/>
    <n v="2"/>
    <d v="2012-04-07T00:00:00"/>
    <d v="2012-09-10T00:00:00"/>
    <n v="2613124"/>
    <d v="2012-04-07T00:00:00"/>
    <d v="2012-04-08T00:00:00"/>
    <n v="5000"/>
    <x v="4"/>
    <d v="2012-04-08T00:00:00"/>
    <s v="Y"/>
    <s v="SURETY"/>
    <s v="DEFERRED ADJUDICATION "/>
    <n v="2"/>
    <n v="157"/>
    <n v="0"/>
    <n v="0"/>
    <m/>
    <m/>
    <m/>
    <m/>
    <m/>
    <m/>
    <m/>
    <s v="S"/>
    <m/>
    <d v="1985-02-14T00:00:00"/>
    <s v="F"/>
    <s v="H"/>
    <s v="HISPANIC"/>
    <s v="NULL"/>
    <s v="176"/>
    <s v="DEFERRED"/>
    <n v="7"/>
    <s v="DEFERRED"/>
    <m/>
    <m/>
    <m/>
    <s v="POSS CS PG 1  1 - 4 GRAMS"/>
    <m/>
    <s v="F3"/>
    <s v="POSS DRUG"/>
    <m/>
    <m/>
    <m/>
    <m/>
    <m/>
    <m/>
    <m/>
    <m/>
    <m/>
    <s v="Hired Attorney"/>
    <m/>
    <m/>
    <n v="2"/>
    <n v="157"/>
    <n v="157"/>
    <n v="27.087431693989071"/>
    <n v="0"/>
    <n v="-155"/>
    <s v="DEFERRED"/>
    <x v="1"/>
    <s v="Y"/>
    <m/>
    <s v="DEFERRED"/>
    <s v="Y"/>
    <x v="1"/>
    <x v="0"/>
    <s v="N"/>
    <n v="1.2738853503184714E-2"/>
    <n v="1.2738853503184714E-2"/>
    <n v="0"/>
    <n v="0"/>
    <n v="-2"/>
    <n v="0"/>
    <n v="2"/>
    <e v="#VALUE!"/>
    <n v="2"/>
    <n v="0"/>
    <m/>
    <m/>
    <s v="N"/>
    <m/>
    <s v="0-10 DAYS"/>
    <n v="1"/>
    <x v="0"/>
  </r>
  <r>
    <n v="2635"/>
    <s v="N"/>
    <s v="N"/>
    <n v="2613172"/>
    <n v="1"/>
    <d v="2012-04-07T00:00:00"/>
    <d v="2012-07-11T00:00:00"/>
    <n v="2613172"/>
    <s v="NOT BOOKED"/>
    <s v="NOT BOOKED"/>
    <n v="5000"/>
    <x v="4"/>
    <d v="2012-04-08T00:00:00"/>
    <s v="Y"/>
    <s v="SURETY"/>
    <s v="NO BILL"/>
    <n v="0"/>
    <n v="96"/>
    <n v="0"/>
    <n v="0"/>
    <m/>
    <m/>
    <m/>
    <m/>
    <m/>
    <m/>
    <m/>
    <m/>
    <m/>
    <d v="1961-06-20T00:00:00"/>
    <s v="F"/>
    <s v="W"/>
    <s v="WHITE"/>
    <s v="NULL"/>
    <s v="178"/>
    <s v="NO BILL"/>
    <n v="5"/>
    <s v="NO BILL"/>
    <m/>
    <m/>
    <m/>
    <s v="INJURY TO ELDERLY"/>
    <m/>
    <s v="F3"/>
    <s v="ASLT-MURDR"/>
    <m/>
    <m/>
    <m/>
    <m/>
    <m/>
    <m/>
    <m/>
    <m/>
    <m/>
    <s v="Hired Attorney"/>
    <m/>
    <m/>
    <n v="0"/>
    <n v="0"/>
    <n v="96"/>
    <n v="50.693989071038253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639"/>
    <s v="N"/>
    <s v="N"/>
    <n v="2613189"/>
    <n v="4"/>
    <d v="2012-04-07T00:00:00"/>
    <d v="2012-04-10T00:00:00"/>
    <n v="2613189"/>
    <d v="2012-04-08T00:00:00"/>
    <d v="2012-04-10T00:00:00"/>
    <n v="50000"/>
    <x v="2"/>
    <m/>
    <s v="N"/>
    <s v="NONE"/>
    <s v="GUILTY PLEA - NO JURY"/>
    <n v="3"/>
    <n v="4"/>
    <n v="0"/>
    <n v="0"/>
    <m/>
    <m/>
    <m/>
    <m/>
    <m/>
    <m/>
    <m/>
    <m/>
    <m/>
    <d v="1983-04-02T00:00:00"/>
    <s v="M"/>
    <s v="W"/>
    <s v="WHITE"/>
    <s v="NULL"/>
    <s v="182"/>
    <s v="CONVICTED"/>
    <n v="1"/>
    <s v="HCJ"/>
    <m/>
    <m/>
    <n v="90"/>
    <s v="POSS CS PG 1 &lt;1G"/>
    <m/>
    <s v="FS"/>
    <s v="POSS DRUG"/>
    <m/>
    <m/>
    <m/>
    <m/>
    <m/>
    <m/>
    <m/>
    <m/>
    <m/>
    <s v="Appointed Attorney"/>
    <m/>
    <m/>
    <n v="3"/>
    <n v="3"/>
    <n v="4"/>
    <n v="28.956284153005466"/>
    <n v="0"/>
    <n v="0"/>
    <s v="CONVICTION"/>
    <x v="0"/>
    <s v="N"/>
    <m/>
    <s v="CONVICTION"/>
    <s v="Y"/>
    <x v="0"/>
    <x v="0"/>
    <s v="N"/>
    <n v="0.75"/>
    <n v="1"/>
    <n v="0.25"/>
    <n v="0"/>
    <n v="-3"/>
    <n v="0"/>
    <n v="3"/>
    <e v="#VALUE!"/>
    <n v="3"/>
    <n v="0"/>
    <m/>
    <m/>
    <s v="N"/>
    <m/>
    <s v="0-10 DAYS"/>
    <n v="1"/>
    <x v="0"/>
  </r>
  <r>
    <n v="2643"/>
    <s v="N"/>
    <s v="N"/>
    <n v="2613206"/>
    <n v="2"/>
    <d v="2012-04-08T00:00:00"/>
    <d v="2012-07-17T00:00:00"/>
    <n v="2613206"/>
    <d v="2012-04-08T00:00:00"/>
    <d v="2012-04-10T00:00:00"/>
    <n v="2000"/>
    <x v="5"/>
    <d v="2012-04-10T00:00:00"/>
    <s v="Y"/>
    <s v="CASH"/>
    <s v="DEFERRED ADJUDICATION "/>
    <n v="3"/>
    <n v="101"/>
    <n v="0"/>
    <n v="0"/>
    <m/>
    <m/>
    <m/>
    <m/>
    <m/>
    <m/>
    <m/>
    <m/>
    <m/>
    <d v="1969-11-10T00:00:00"/>
    <s v="F"/>
    <s v="B"/>
    <s v="BLACK"/>
    <s v="NULL"/>
    <s v="338"/>
    <s v="DEFERRED"/>
    <n v="5"/>
    <s v="DEFERRED"/>
    <m/>
    <m/>
    <m/>
    <s v="THEFT $1500-20K"/>
    <m/>
    <s v="FS"/>
    <s v="THEFT"/>
    <m/>
    <m/>
    <m/>
    <m/>
    <m/>
    <m/>
    <m/>
    <m/>
    <m/>
    <s v="Hired Attorney"/>
    <m/>
    <m/>
    <n v="3"/>
    <n v="101"/>
    <n v="101"/>
    <n v="42.322404371584696"/>
    <n v="0"/>
    <n v="-98"/>
    <s v="DEFERRED"/>
    <x v="3"/>
    <s v="Y"/>
    <m/>
    <s v="DEFERRED"/>
    <s v="Y"/>
    <x v="1"/>
    <x v="0"/>
    <s v="N"/>
    <n v="2.9702970297029702E-2"/>
    <n v="2.9702970297029702E-2"/>
    <n v="0"/>
    <n v="0"/>
    <n v="-3"/>
    <n v="0"/>
    <n v="3"/>
    <e v="#VALUE!"/>
    <n v="3"/>
    <n v="0"/>
    <m/>
    <m/>
    <s v="N"/>
    <m/>
    <s v="0-10 DAYS"/>
    <n v="1"/>
    <x v="0"/>
  </r>
  <r>
    <n v="2650"/>
    <s v="N"/>
    <s v="Y"/>
    <n v="2613236"/>
    <n v="2"/>
    <d v="2012-04-08T00:00:00"/>
    <d v="2012-07-10T00:00:00"/>
    <n v="2613236"/>
    <d v="2012-07-06T00:00:00"/>
    <d v="2012-07-10T00:00:00"/>
    <n v="2000"/>
    <x v="5"/>
    <d v="2012-04-09T00:00:00"/>
    <s v="Y"/>
    <s v="SURETY"/>
    <s v="DEFERRED ADJUDICATION "/>
    <n v="5"/>
    <n v="94"/>
    <n v="0"/>
    <n v="0"/>
    <m/>
    <m/>
    <m/>
    <m/>
    <m/>
    <m/>
    <m/>
    <s v="S"/>
    <m/>
    <d v="1978-11-06T00:00:00"/>
    <s v="F"/>
    <s v="H"/>
    <s v="HISPANIC"/>
    <s v="NULL"/>
    <s v="232"/>
    <s v="DEFERRED"/>
    <m/>
    <s v="DEFERRED"/>
    <m/>
    <m/>
    <m/>
    <s v="POSS CS PG 1 &lt;1G"/>
    <m/>
    <s v="FS"/>
    <s v="POSS DRUG"/>
    <s v="bk 7/6/12 recal"/>
    <m/>
    <s v="Y"/>
    <d v="2012-07-06T00:00:00"/>
    <m/>
    <m/>
    <m/>
    <s v="(2)12/10/2012"/>
    <n v="470"/>
    <s v="Hired Attorney"/>
    <m/>
    <m/>
    <n v="5"/>
    <n v="5"/>
    <n v="94"/>
    <n v="33.352459016393439"/>
    <n v="0"/>
    <n v="0"/>
    <s v="DEFERRED"/>
    <x v="1"/>
    <s v="N"/>
    <m/>
    <s v="DEFERRED"/>
    <s v="Y"/>
    <x v="0"/>
    <x v="0"/>
    <s v="N"/>
    <n v="5.3191489361702128E-2"/>
    <n v="1"/>
    <n v="0.94680851063829785"/>
    <n v="0"/>
    <n v="-5"/>
    <n v="0"/>
    <n v="5"/>
    <n v="5"/>
    <n v="5"/>
    <n v="0"/>
    <m/>
    <m/>
    <s v="N"/>
    <m/>
    <s v="0-10 DAYS"/>
    <n v="1"/>
    <x v="0"/>
  </r>
  <r>
    <n v="2653"/>
    <s v="N"/>
    <s v="N"/>
    <n v="2613249"/>
    <n v="1"/>
    <d v="2012-04-08T00:00:00"/>
    <d v="2012-04-25T00:00:00"/>
    <n v="2613249"/>
    <s v="NOT BOOKED"/>
    <s v="NOT BOOKED"/>
    <n v="5000"/>
    <x v="4"/>
    <d v="2012-04-08T00:00:00"/>
    <s v="Y"/>
    <s v="SURETY"/>
    <s v="NO BILL"/>
    <n v="0"/>
    <n v="18"/>
    <n v="0"/>
    <n v="0"/>
    <m/>
    <m/>
    <m/>
    <m/>
    <m/>
    <m/>
    <m/>
    <m/>
    <m/>
    <d v="1988-12-21T00:00:00"/>
    <s v="M"/>
    <s v="W"/>
    <s v="WHITE"/>
    <s v="NULL"/>
    <s v="180"/>
    <s v="NO BILL"/>
    <n v="2"/>
    <s v="NO BILL"/>
    <m/>
    <m/>
    <m/>
    <s v="CRIMINAL SOLICITATION OF A MIN"/>
    <m/>
    <s v="F3"/>
    <s v="OTHER FEL"/>
    <m/>
    <m/>
    <m/>
    <m/>
    <m/>
    <m/>
    <m/>
    <m/>
    <m/>
    <s v="Hired Attorney"/>
    <m/>
    <m/>
    <n v="0"/>
    <n v="0"/>
    <n v="18"/>
    <n v="23.248633879781419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656"/>
    <s v="N"/>
    <s v="N"/>
    <n v="2613275"/>
    <n v="2"/>
    <d v="2012-04-08T00:00:00"/>
    <d v="2012-05-09T00:00:00"/>
    <n v="2613275"/>
    <d v="2012-04-09T00:00:00"/>
    <d v="2012-05-09T00:00:00"/>
    <n v="2000"/>
    <x v="5"/>
    <m/>
    <s v="N"/>
    <s v="NONE"/>
    <s v="DEFERRED ADJUDICATION "/>
    <n v="31"/>
    <n v="32"/>
    <n v="0"/>
    <n v="0"/>
    <m/>
    <m/>
    <m/>
    <m/>
    <m/>
    <m/>
    <m/>
    <m/>
    <m/>
    <d v="1991-03-28T00:00:00"/>
    <s v="M"/>
    <s v="B"/>
    <s v="BLACK"/>
    <s v="NON-HISPANIC"/>
    <s v="263"/>
    <s v="DEFERRED"/>
    <n v="2"/>
    <s v="DEFERRED"/>
    <m/>
    <m/>
    <m/>
    <s v="BURGLARY OF A BUILDING"/>
    <m/>
    <s v="FS"/>
    <s v="BURGLARY"/>
    <s v="8/9/12 8/24/12 FREP  misd evade 5/10/12  hcj 32d"/>
    <m/>
    <m/>
    <m/>
    <m/>
    <m/>
    <m/>
    <m/>
    <m/>
    <s v="Appointed Attorney"/>
    <m/>
    <m/>
    <n v="31"/>
    <n v="31"/>
    <n v="32"/>
    <n v="20.989071038251367"/>
    <n v="0"/>
    <n v="0"/>
    <s v="DEFERRED"/>
    <x v="0"/>
    <s v="N"/>
    <m/>
    <s v="DEFERRED"/>
    <s v="Y"/>
    <x v="0"/>
    <x v="0"/>
    <s v="N"/>
    <n v="0.96875"/>
    <n v="1"/>
    <n v="3.125E-2"/>
    <n v="0"/>
    <n v="-31"/>
    <n v="0"/>
    <n v="31"/>
    <e v="#VALUE!"/>
    <n v="31"/>
    <n v="0"/>
    <m/>
    <m/>
    <s v="N"/>
    <m/>
    <s v="31-60 DAYS"/>
    <n v="3"/>
    <x v="0"/>
  </r>
  <r>
    <n v="2669"/>
    <s v="N"/>
    <s v="N"/>
    <n v="2613373"/>
    <n v="2"/>
    <d v="2012-04-09T00:00:00"/>
    <d v="2012-04-10T00:00:00"/>
    <n v="2613373"/>
    <d v="2012-04-09T00:00:00"/>
    <d v="2012-04-10T00:00:00"/>
    <n v="2000"/>
    <x v="5"/>
    <d v="2012-04-10T00:00:00"/>
    <s v="Y"/>
    <s v="SURETYPTRc"/>
    <s v="DEFERRED ADJUDICATION "/>
    <n v="2"/>
    <n v="2"/>
    <n v="0"/>
    <n v="0"/>
    <m/>
    <m/>
    <m/>
    <m/>
    <m/>
    <m/>
    <m/>
    <m/>
    <m/>
    <d v="1989-01-23T00:00:00"/>
    <s v="F"/>
    <s v="B"/>
    <s v="BLACK"/>
    <s v="NULL"/>
    <s v="262"/>
    <s v="DEFERRED"/>
    <n v="1"/>
    <s v="DEFERRED"/>
    <m/>
    <m/>
    <m/>
    <s v="ABAN/ENDANG CHILD W/INT TO RET"/>
    <m/>
    <s v="FS"/>
    <s v="OTHER FEL"/>
    <m/>
    <m/>
    <m/>
    <m/>
    <m/>
    <m/>
    <m/>
    <m/>
    <m/>
    <s v="Appointed Attorney"/>
    <m/>
    <m/>
    <n v="2"/>
    <n v="2"/>
    <n v="2"/>
    <n v="23.161202185792348"/>
    <n v="0"/>
    <n v="0"/>
    <s v="DEFERRED"/>
    <x v="1"/>
    <s v="Y"/>
    <m/>
    <s v="DEFERRED"/>
    <s v="Y"/>
    <x v="1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2672"/>
    <s v="N"/>
    <s v="Y"/>
    <n v="2613378"/>
    <n v="6"/>
    <d v="2012-04-09T00:00:00"/>
    <d v="2012-12-11T00:00:00"/>
    <n v="2613378"/>
    <d v="2012-04-09T00:00:00"/>
    <d v="2012-04-12T00:00:00"/>
    <n v="30000"/>
    <x v="2"/>
    <d v="2012-04-12T00:00:00"/>
    <s v="Y"/>
    <s v="SURETY"/>
    <s v="GUILTY PLEA - NO JURY"/>
    <n v="106"/>
    <n v="247"/>
    <n v="0"/>
    <n v="1"/>
    <m/>
    <m/>
    <m/>
    <m/>
    <m/>
    <m/>
    <m/>
    <s v="S"/>
    <m/>
    <d v="1994-12-19T00:00:00"/>
    <s v="M"/>
    <s v="H"/>
    <s v="HISPANIC"/>
    <s v="NULL"/>
    <s v="180"/>
    <s v="CONVICTED"/>
    <n v="11"/>
    <s v="TDC"/>
    <n v="6"/>
    <m/>
    <m/>
    <s v="AGG ROBBERY-DEADLY WPN"/>
    <m/>
    <s v="F1"/>
    <s v="ROBBERY"/>
    <s v="5/5/12 misd drug  hcj 30 d"/>
    <s v="bd rev 8/30/12"/>
    <m/>
    <m/>
    <s v="Y"/>
    <m/>
    <m/>
    <m/>
    <m/>
    <s v="Hired Attorney"/>
    <m/>
    <m/>
    <n v="106"/>
    <n v="247"/>
    <n v="247"/>
    <n v="17.270491803278688"/>
    <n v="0"/>
    <n v="-243"/>
    <s v="CONVICTION"/>
    <x v="1"/>
    <s v="Y"/>
    <m/>
    <s v="CONVICTION"/>
    <s v="Y"/>
    <x v="0"/>
    <x v="0"/>
    <s v="N"/>
    <n v="0.4291497975708502"/>
    <n v="1.6194331983805668E-2"/>
    <n v="-0.41295546558704455"/>
    <n v="0"/>
    <n v="-4"/>
    <n v="102"/>
    <n v="247"/>
    <n v="106"/>
    <n v="247"/>
    <n v="243"/>
    <m/>
    <m/>
    <s v="Y"/>
    <m/>
    <s v="91-120 DAYS"/>
    <n v="0"/>
    <x v="0"/>
  </r>
  <r>
    <n v="2688"/>
    <s v="N"/>
    <s v="N"/>
    <n v="2613477"/>
    <n v="2"/>
    <d v="2012-04-10T00:00:00"/>
    <d v="2012-08-23T00:00:00"/>
    <n v="2613477"/>
    <s v="NOT BOOKED"/>
    <s v="NOT BOOKED"/>
    <n v="5000"/>
    <x v="4"/>
    <d v="2012-04-10T00:00:00"/>
    <s v="Y"/>
    <s v="SURETYPTRc"/>
    <s v="DEFERRED ADJUDICATION "/>
    <n v="0"/>
    <n v="136"/>
    <n v="0"/>
    <n v="0"/>
    <m/>
    <m/>
    <m/>
    <m/>
    <m/>
    <m/>
    <m/>
    <m/>
    <m/>
    <d v="1992-09-22T00:00:00"/>
    <s v="F"/>
    <s v="W"/>
    <s v="WHITE"/>
    <s v="NULL"/>
    <s v="183"/>
    <s v="DEFERRED"/>
    <n v="6"/>
    <s v="DEFERRED"/>
    <m/>
    <m/>
    <m/>
    <s v="POSS CS PG 2 1-4 GRAMS"/>
    <m/>
    <s v="F3"/>
    <s v="POSS DRUG"/>
    <s v="bd viol report 4/18/12 "/>
    <m/>
    <m/>
    <m/>
    <m/>
    <m/>
    <m/>
    <m/>
    <m/>
    <s v="Hired Attorney"/>
    <m/>
    <m/>
    <n v="0"/>
    <n v="0"/>
    <n v="136"/>
    <n v="19.508196721311474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m/>
    <e v="#VALUE!"/>
    <m/>
    <m/>
    <s v="N"/>
    <m/>
    <s v="0-10 DAYS"/>
    <n v="1"/>
    <x v="1"/>
  </r>
  <r>
    <n v="2697"/>
    <s v="N"/>
    <s v="Y"/>
    <n v="2613519"/>
    <n v="1"/>
    <d v="2012-04-10T00:00:00"/>
    <d v="2013-11-15T00:00:00"/>
    <n v="2613519"/>
    <d v="2012-06-03T00:00:00"/>
    <d v="2012-06-05T00:00:00"/>
    <n v="10000"/>
    <x v="3"/>
    <d v="2012-06-05T00:00:00"/>
    <s v="Y"/>
    <s v="SURETY"/>
    <s v="DISMISSED"/>
    <n v="3"/>
    <n v="585"/>
    <n v="0"/>
    <n v="0"/>
    <m/>
    <m/>
    <m/>
    <m/>
    <m/>
    <m/>
    <m/>
    <m/>
    <m/>
    <d v="1982-12-09T00:00:00"/>
    <s v="M"/>
    <s v="B"/>
    <s v="BLACK"/>
    <s v="NULL"/>
    <s v="262"/>
    <s v="DISMISSED"/>
    <n v="8"/>
    <s v="DISMISSED"/>
    <m/>
    <m/>
    <m/>
    <s v="FAIL TO COMPLY AS SEX OFFENDER"/>
    <m/>
    <s v="F3"/>
    <s v="OTHER FEL"/>
    <m/>
    <s v="rev 10/3/12"/>
    <m/>
    <m/>
    <s v="Y"/>
    <m/>
    <m/>
    <m/>
    <m/>
    <s v="Hired Attorney"/>
    <m/>
    <m/>
    <n v="3"/>
    <n v="531"/>
    <n v="585"/>
    <n v="29.275956284153004"/>
    <n v="0"/>
    <n v="-528"/>
    <s v="NO CONVICTION"/>
    <x v="1"/>
    <s v="Y"/>
    <m/>
    <s v="NO CONVICTION"/>
    <s v="Y"/>
    <x v="1"/>
    <x v="0"/>
    <s v="N"/>
    <n v="5.1282051282051282E-3"/>
    <n v="5.6497175141242938E-3"/>
    <n v="5.2151238591916557E-4"/>
    <n v="0"/>
    <n v="-3"/>
    <n v="0"/>
    <n v="3"/>
    <e v="#VALUE!"/>
    <m/>
    <n v="528"/>
    <m/>
    <m/>
    <s v="N"/>
    <m/>
    <s v="0-10 DAYS"/>
    <n v="1"/>
    <x v="0"/>
  </r>
  <r>
    <n v="2700"/>
    <s v="N"/>
    <s v="N"/>
    <n v="2613583"/>
    <n v="2"/>
    <d v="2012-04-10T00:00:00"/>
    <d v="2012-11-12T00:00:00"/>
    <n v="2613583"/>
    <d v="2012-04-11T00:00:00"/>
    <d v="2012-04-12T00:00:00"/>
    <n v="60000"/>
    <x v="2"/>
    <d v="2012-04-12T00:00:00"/>
    <s v="Y"/>
    <s v="SURETYPTRc"/>
    <s v="DEFERRED ADJUDICATION "/>
    <n v="2"/>
    <n v="217"/>
    <n v="0"/>
    <n v="0"/>
    <m/>
    <m/>
    <m/>
    <m/>
    <m/>
    <m/>
    <m/>
    <m/>
    <m/>
    <d v="1963-09-26T00:00:00"/>
    <s v="M"/>
    <s v="W"/>
    <s v="WHITE"/>
    <s v="NULL"/>
    <s v="337"/>
    <s v="DEFERRED"/>
    <n v="7"/>
    <s v="DEFERRED"/>
    <m/>
    <m/>
    <m/>
    <s v="ONLINE SOLICITATION OF MINOR"/>
    <m/>
    <s v="F3"/>
    <s v="OTHER FEL"/>
    <m/>
    <m/>
    <m/>
    <m/>
    <m/>
    <m/>
    <m/>
    <m/>
    <m/>
    <s v="Hired Attorney"/>
    <m/>
    <m/>
    <n v="2"/>
    <n v="216"/>
    <n v="217"/>
    <n v="48.439890710382514"/>
    <n v="0"/>
    <n v="-214"/>
    <s v="DEFERRED"/>
    <x v="1"/>
    <s v="Y"/>
    <m/>
    <s v="DEFERRED"/>
    <s v="Y"/>
    <x v="1"/>
    <x v="0"/>
    <s v="N"/>
    <n v="9.2165898617511521E-3"/>
    <n v="9.2592592592592587E-3"/>
    <n v="4.266939750810668E-5"/>
    <n v="0"/>
    <n v="-2"/>
    <n v="0"/>
    <n v="2"/>
    <e v="#VALUE!"/>
    <n v="2"/>
    <n v="0"/>
    <m/>
    <m/>
    <s v="N"/>
    <m/>
    <s v="0-10 DAYS"/>
    <n v="1"/>
    <x v="0"/>
  </r>
  <r>
    <n v="2722"/>
    <s v="N"/>
    <s v="N"/>
    <n v="2613631"/>
    <n v="6"/>
    <d v="2012-04-11T00:00:00"/>
    <d v="2014-12-12T00:00:00"/>
    <n v="2613631"/>
    <d v="2014-07-20T00:00:00"/>
    <d v="2014-12-12T00:00:00"/>
    <n v="30000"/>
    <x v="2"/>
    <m/>
    <s v="N"/>
    <s v="NONE"/>
    <s v="GUILTY PLEA - NO JURY"/>
    <n v="145"/>
    <n v="711"/>
    <n v="0"/>
    <n v="0"/>
    <m/>
    <m/>
    <m/>
    <m/>
    <m/>
    <m/>
    <m/>
    <s v="S"/>
    <m/>
    <d v="1975-07-05T00:00:00"/>
    <s v="M"/>
    <s v="H"/>
    <s v="HISPANIC"/>
    <s v="NULL"/>
    <s v="177"/>
    <s v="CONVICTED"/>
    <n v="9"/>
    <s v="TDC"/>
    <n v="4"/>
    <m/>
    <m/>
    <s v="INDECENCY CHILD-TG"/>
    <m/>
    <s v="F2"/>
    <s v="SEX ABUSE"/>
    <m/>
    <m/>
    <m/>
    <m/>
    <m/>
    <m/>
    <m/>
    <m/>
    <m/>
    <s v="Appointed Attorney"/>
    <m/>
    <m/>
    <n v="145"/>
    <n v="566"/>
    <n v="711"/>
    <n v="36.693989071038253"/>
    <n v="-41985"/>
    <n v="0"/>
    <s v="CONVICTION"/>
    <x v="0"/>
    <s v="N"/>
    <m/>
    <s v="CONVICTION"/>
    <s v="Y"/>
    <x v="0"/>
    <x v="0"/>
    <s v="N"/>
    <n v="0.20393811533052039"/>
    <n v="0.2039"/>
    <n v="0"/>
    <n v="0"/>
    <n v="-146"/>
    <n v="-1"/>
    <n v="146"/>
    <e v="#VALUE!"/>
    <n v="145"/>
    <m/>
    <m/>
    <m/>
    <s v="N"/>
    <e v="#N/A"/>
    <s v="121-365 DAYS"/>
    <n v="6"/>
    <x v="0"/>
  </r>
  <r>
    <n v="2726"/>
    <s v="N"/>
    <s v="N"/>
    <n v="2613636"/>
    <n v="1"/>
    <d v="2012-04-11T00:00:00"/>
    <d v="2012-04-13T00:00:00"/>
    <n v="2613636"/>
    <s v="NOT BOOKED"/>
    <s v="NOT BOOKED"/>
    <n v="5000"/>
    <x v="4"/>
    <d v="2012-04-12T00:00:00"/>
    <s v="Y"/>
    <s v="SURETY"/>
    <s v="DISMISSED"/>
    <n v="0"/>
    <n v="3"/>
    <n v="0"/>
    <n v="0"/>
    <m/>
    <m/>
    <m/>
    <m/>
    <m/>
    <m/>
    <m/>
    <m/>
    <m/>
    <d v="1978-07-26T00:00:00"/>
    <s v="M"/>
    <s v="B"/>
    <s v="BLACK"/>
    <s v="NULL"/>
    <s v="262"/>
    <s v="DISMISSED"/>
    <n v="2"/>
    <s v="DISMISSED"/>
    <m/>
    <m/>
    <m/>
    <s v="POSS PROH WPN"/>
    <m/>
    <s v="F3"/>
    <s v="OTHER FEL"/>
    <m/>
    <m/>
    <m/>
    <m/>
    <m/>
    <m/>
    <m/>
    <m/>
    <m/>
    <s v="Appointed Attorney"/>
    <m/>
    <m/>
    <n v="0"/>
    <n v="0"/>
    <n v="3"/>
    <n v="33.642076502732237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727"/>
    <s v="N"/>
    <s v="N"/>
    <n v="2613643"/>
    <n v="6"/>
    <d v="2012-04-11T00:00:00"/>
    <d v="2012-07-19T00:00:00"/>
    <n v="2613643"/>
    <d v="2012-04-11T00:00:00"/>
    <d v="2012-05-14T00:00:00"/>
    <n v="60000"/>
    <x v="2"/>
    <d v="2012-05-14T00:00:00"/>
    <s v="Y"/>
    <s v="SURETYPTRc"/>
    <s v="GUILTY PLEA - NO JURY"/>
    <n v="34"/>
    <n v="100"/>
    <n v="0"/>
    <n v="0"/>
    <m/>
    <m/>
    <m/>
    <m/>
    <m/>
    <m/>
    <m/>
    <s v="S"/>
    <m/>
    <d v="1994-11-02T00:00:00"/>
    <s v="M"/>
    <s v="H"/>
    <s v="HISPANIC"/>
    <s v="NULL"/>
    <s v="338"/>
    <s v="CONVICTED"/>
    <n v="5"/>
    <s v="TDC"/>
    <n v="5"/>
    <m/>
    <m/>
    <s v="AGG ROBBERY-DEADLY WPN"/>
    <m/>
    <s v="F1"/>
    <s v="ROBBERY"/>
    <m/>
    <m/>
    <m/>
    <m/>
    <m/>
    <m/>
    <m/>
    <m/>
    <m/>
    <s v="Hired Attorney"/>
    <m/>
    <m/>
    <n v="34"/>
    <n v="100"/>
    <n v="100"/>
    <n v="17.404371584699454"/>
    <n v="0"/>
    <n v="-66"/>
    <s v="CONVICTION"/>
    <x v="1"/>
    <s v="Y"/>
    <m/>
    <s v="CONVICTION"/>
    <s v="Y"/>
    <x v="1"/>
    <x v="0"/>
    <s v="N"/>
    <n v="0.34"/>
    <n v="0.34"/>
    <n v="0"/>
    <n v="0"/>
    <n v="-34"/>
    <n v="0"/>
    <n v="34"/>
    <e v="#VALUE!"/>
    <n v="34"/>
    <n v="0"/>
    <m/>
    <m/>
    <s v="N"/>
    <m/>
    <s v="31-60 DAYS"/>
    <n v="3"/>
    <x v="0"/>
  </r>
  <r>
    <n v="2751"/>
    <s v="N"/>
    <s v="N"/>
    <n v="2613699"/>
    <n v="2"/>
    <d v="2012-04-12T00:00:00"/>
    <d v="2012-07-26T00:00:00"/>
    <n v="2613699"/>
    <d v="2012-04-12T00:00:00"/>
    <d v="2012-04-13T00:00:00"/>
    <n v="2000"/>
    <x v="5"/>
    <d v="2012-04-13T00:00:00"/>
    <s v="Y"/>
    <s v="SURETY"/>
    <s v="DEFERRED ADJUDICATION "/>
    <n v="2"/>
    <n v="106"/>
    <n v="0"/>
    <n v="0"/>
    <m/>
    <m/>
    <m/>
    <m/>
    <m/>
    <m/>
    <m/>
    <m/>
    <m/>
    <d v="1993-12-14T00:00:00"/>
    <s v="M"/>
    <s v="B"/>
    <s v="BLACK"/>
    <s v="NULL"/>
    <s v="263"/>
    <s v="DEFERRED"/>
    <n v="5"/>
    <s v="DEFERRED"/>
    <m/>
    <m/>
    <m/>
    <s v="POSS CS PG3&gt;28G DRUG FREE ZONE"/>
    <m/>
    <s v="F"/>
    <s v="POSS DRUG"/>
    <m/>
    <m/>
    <m/>
    <m/>
    <m/>
    <m/>
    <m/>
    <m/>
    <m/>
    <s v="Hired Attorney"/>
    <m/>
    <m/>
    <n v="2"/>
    <n v="106"/>
    <n v="106"/>
    <n v="18.289617486338798"/>
    <n v="0"/>
    <n v="-104"/>
    <s v="DEFERRED"/>
    <x v="1"/>
    <s v="Y"/>
    <m/>
    <s v="DEFERRED"/>
    <s v="Y"/>
    <x v="1"/>
    <x v="0"/>
    <s v="N"/>
    <n v="1.8867924528301886E-2"/>
    <n v="1.8867924528301886E-2"/>
    <n v="0"/>
    <n v="0"/>
    <n v="-2"/>
    <n v="0"/>
    <n v="2"/>
    <e v="#VALUE!"/>
    <n v="2"/>
    <n v="0"/>
    <m/>
    <m/>
    <s v="N"/>
    <m/>
    <s v="0-10 DAYS"/>
    <n v="1"/>
    <x v="0"/>
  </r>
  <r>
    <n v="2745"/>
    <s v="N"/>
    <s v="N"/>
    <n v="2613704"/>
    <n v="5"/>
    <d v="2012-04-12T00:00:00"/>
    <d v="2012-06-19T00:00:00"/>
    <n v="2613704"/>
    <d v="2012-04-13T00:00:00"/>
    <d v="2012-06-19T00:00:00"/>
    <n v="52000"/>
    <x v="2"/>
    <m/>
    <s v="N"/>
    <s v="NONE"/>
    <s v="GUILTY PLEA - NO JURY"/>
    <n v="68"/>
    <n v="69"/>
    <n v="0"/>
    <n v="0"/>
    <m/>
    <m/>
    <m/>
    <m/>
    <m/>
    <m/>
    <m/>
    <s v="S"/>
    <m/>
    <d v="1989-07-31T00:00:00"/>
    <s v="M"/>
    <s v="H"/>
    <s v="HISPANIC"/>
    <s v="NULL"/>
    <s v="174"/>
    <s v="CONVICTED"/>
    <n v="4"/>
    <s v="STJ"/>
    <m/>
    <n v="6"/>
    <m/>
    <s v="THEFT $1500-20K"/>
    <m/>
    <s v="FS"/>
    <s v="THEFT"/>
    <s v="misd evade 6/20/12  hcj 60 d"/>
    <m/>
    <m/>
    <m/>
    <m/>
    <m/>
    <m/>
    <m/>
    <m/>
    <s v="Appointed Attorney"/>
    <m/>
    <m/>
    <n v="68"/>
    <n v="68"/>
    <n v="69"/>
    <n v="22.653005464480874"/>
    <n v="0"/>
    <n v="0"/>
    <s v="CONVICTION"/>
    <x v="0"/>
    <s v="N"/>
    <m/>
    <s v="CONVICTION"/>
    <s v="Y"/>
    <x v="0"/>
    <x v="0"/>
    <s v="N"/>
    <n v="0.98550724637681164"/>
    <n v="1"/>
    <n v="1.4492753623188359E-2"/>
    <n v="0"/>
    <n v="-68"/>
    <n v="0"/>
    <n v="68"/>
    <e v="#VALUE!"/>
    <n v="68"/>
    <n v="0"/>
    <m/>
    <m/>
    <s v="N"/>
    <m/>
    <s v="61-90 DAYS"/>
    <n v="4"/>
    <x v="0"/>
  </r>
  <r>
    <n v="2747"/>
    <s v="N"/>
    <s v="N"/>
    <n v="2613707"/>
    <n v="4"/>
    <d v="2012-04-12T00:00:00"/>
    <d v="2012-04-16T00:00:00"/>
    <n v="2613707"/>
    <d v="2012-04-13T00:00:00"/>
    <d v="2012-04-16T00:00:00"/>
    <n v="35000"/>
    <x v="2"/>
    <m/>
    <s v="N"/>
    <s v="NONE"/>
    <s v="GUILTY PLEA - NO JURY"/>
    <n v="4"/>
    <n v="5"/>
    <n v="0"/>
    <n v="0"/>
    <m/>
    <m/>
    <m/>
    <m/>
    <m/>
    <m/>
    <m/>
    <m/>
    <m/>
    <d v="1984-01-26T00:00:00"/>
    <s v="M"/>
    <s v="W"/>
    <s v="WHITE"/>
    <s v="NULL"/>
    <s v="185"/>
    <s v="CONVICTED"/>
    <n v="2"/>
    <s v="HCJ"/>
    <m/>
    <m/>
    <n v="180"/>
    <s v="THEFT $1500-20K"/>
    <m/>
    <s v="FS"/>
    <s v="THEFT"/>
    <m/>
    <m/>
    <m/>
    <m/>
    <m/>
    <m/>
    <m/>
    <m/>
    <m/>
    <s v="Appointed Attorney"/>
    <m/>
    <m/>
    <n v="4"/>
    <n v="4"/>
    <n v="5"/>
    <n v="28.153005464480874"/>
    <n v="0"/>
    <n v="0"/>
    <s v="CONVICTION"/>
    <x v="0"/>
    <s v="N"/>
    <m/>
    <s v="CONVICTION"/>
    <s v="Y"/>
    <x v="0"/>
    <x v="0"/>
    <s v="N"/>
    <n v="0.8"/>
    <n v="1"/>
    <n v="0.19999999999999996"/>
    <n v="0"/>
    <n v="-4"/>
    <n v="0"/>
    <n v="4"/>
    <e v="#VALUE!"/>
    <n v="4"/>
    <n v="0"/>
    <m/>
    <m/>
    <s v="N"/>
    <m/>
    <s v="0-10 DAYS"/>
    <n v="1"/>
    <x v="0"/>
  </r>
  <r>
    <n v="2746"/>
    <s v="N"/>
    <s v="N"/>
    <n v="2613709"/>
    <n v="4"/>
    <d v="2012-04-11T00:00:00"/>
    <d v="2012-04-16T00:00:00"/>
    <n v="2613709"/>
    <d v="2012-04-13T00:00:00"/>
    <d v="2012-04-16T00:00:00"/>
    <n v="2000"/>
    <x v="5"/>
    <m/>
    <s v="N"/>
    <s v="NONE"/>
    <s v="GUILTY PLEA - NO JURY"/>
    <n v="4"/>
    <n v="6"/>
    <n v="0"/>
    <n v="0"/>
    <m/>
    <m/>
    <m/>
    <m/>
    <m/>
    <m/>
    <m/>
    <s v="S"/>
    <m/>
    <d v="1984-07-18T00:00:00"/>
    <s v="M"/>
    <s v="H"/>
    <s v="HISPANIC"/>
    <s v="NULL"/>
    <s v="185"/>
    <s v="CONVICTED"/>
    <n v="2"/>
    <s v="HCJ"/>
    <m/>
    <m/>
    <n v="180"/>
    <s v="THEFT $1500-20K"/>
    <m/>
    <s v="FS"/>
    <s v="THEFT"/>
    <s v="misd assault 4/20/12  hcj 30 d "/>
    <m/>
    <m/>
    <m/>
    <m/>
    <m/>
    <m/>
    <m/>
    <m/>
    <s v="Appointed Attorney"/>
    <m/>
    <m/>
    <n v="4"/>
    <n v="4"/>
    <n v="6"/>
    <n v="27.674863387978142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4"/>
    <n v="0"/>
    <n v="4"/>
    <e v="#VALUE!"/>
    <n v="4"/>
    <n v="0"/>
    <m/>
    <m/>
    <s v="N"/>
    <m/>
    <s v="0-10 DAYS"/>
    <n v="1"/>
    <x v="0"/>
  </r>
  <r>
    <n v="2753"/>
    <s v="N"/>
    <s v="N"/>
    <n v="2613729"/>
    <n v="4"/>
    <d v="2012-04-12T00:00:00"/>
    <d v="2012-09-26T00:00:00"/>
    <n v="2613729"/>
    <d v="2012-04-12T00:00:00"/>
    <d v="2012-09-26T00:00:00"/>
    <n v="5000"/>
    <x v="4"/>
    <m/>
    <s v="N"/>
    <s v="NONE"/>
    <s v="GUILTY PLEA - NO JURY"/>
    <n v="168"/>
    <n v="168"/>
    <n v="0"/>
    <n v="0"/>
    <m/>
    <m/>
    <m/>
    <m/>
    <m/>
    <m/>
    <m/>
    <m/>
    <m/>
    <d v="1975-11-05T00:00:00"/>
    <s v="M"/>
    <s v="B"/>
    <s v="BLACK"/>
    <s v="NULL"/>
    <s v="351"/>
    <s v="CONVICTED"/>
    <n v="7"/>
    <s v="HCJ"/>
    <m/>
    <m/>
    <n v="365"/>
    <s v="ASSAULT-BOD INJ-PUB SERV/RETAL"/>
    <m/>
    <s v="F3"/>
    <s v="ASLT-MURDR"/>
    <m/>
    <m/>
    <m/>
    <m/>
    <m/>
    <m/>
    <m/>
    <m/>
    <m/>
    <s v="Appointed Attorney"/>
    <m/>
    <m/>
    <n v="168"/>
    <n v="168"/>
    <n v="168"/>
    <n v="36.360655737704917"/>
    <n v="0"/>
    <n v="0"/>
    <s v="CONVICTION"/>
    <x v="0"/>
    <s v="N"/>
    <m/>
    <s v="CONVICTION"/>
    <s v="Y"/>
    <x v="0"/>
    <x v="0"/>
    <s v="N"/>
    <n v="1"/>
    <n v="1"/>
    <n v="0"/>
    <n v="0"/>
    <n v="-168"/>
    <n v="0"/>
    <n v="168"/>
    <e v="#VALUE!"/>
    <n v="168"/>
    <n v="0"/>
    <m/>
    <m/>
    <s v="N"/>
    <m/>
    <s v="121-365 DAYS"/>
    <n v="6"/>
    <x v="0"/>
  </r>
  <r>
    <n v="3127"/>
    <s v="N"/>
    <s v="N"/>
    <n v="2613739"/>
    <n v="4"/>
    <d v="2012-04-25T00:00:00"/>
    <d v="2012-08-03T00:00:00"/>
    <n v="2613739"/>
    <d v="2012-04-26T00:00:00"/>
    <d v="2012-08-03T00:00:00"/>
    <n v="20000"/>
    <x v="0"/>
    <m/>
    <s v="N"/>
    <s v="NONE"/>
    <s v="GUILTY PLEA - NO JURY"/>
    <n v="100"/>
    <n v="101"/>
    <n v="0"/>
    <n v="2"/>
    <m/>
    <m/>
    <m/>
    <m/>
    <m/>
    <m/>
    <m/>
    <m/>
    <m/>
    <d v="1989-10-28T00:00:00"/>
    <s v="M"/>
    <s v="B"/>
    <s v="BLACK"/>
    <s v="NON-HISPANIC"/>
    <s v="262"/>
    <s v="CONVICTED"/>
    <n v="6"/>
    <s v="HCJ"/>
    <m/>
    <m/>
    <n v="200"/>
    <s v="BURGLARY OF HABITATION"/>
    <m/>
    <s v="F2"/>
    <s v="BURGLARY"/>
    <m/>
    <m/>
    <m/>
    <m/>
    <m/>
    <m/>
    <m/>
    <m/>
    <m/>
    <s v="Appointed Attorney"/>
    <m/>
    <m/>
    <n v="100"/>
    <n v="100"/>
    <n v="101"/>
    <n v="22.44535519125683"/>
    <n v="0"/>
    <n v="0"/>
    <s v="CONVICTION"/>
    <x v="0"/>
    <s v="N"/>
    <m/>
    <s v="CONVICTION"/>
    <s v="Y"/>
    <x v="0"/>
    <x v="0"/>
    <s v="N"/>
    <n v="0.99009900990099009"/>
    <n v="1"/>
    <n v="9.9009900990099098E-3"/>
    <n v="0"/>
    <n v="-100"/>
    <n v="0"/>
    <n v="100"/>
    <e v="#VALUE!"/>
    <n v="100"/>
    <n v="0"/>
    <m/>
    <m/>
    <s v="Y"/>
    <m/>
    <s v="91-120 DAYS"/>
    <n v="0"/>
    <x v="0"/>
  </r>
  <r>
    <n v="2761"/>
    <s v="N"/>
    <s v="N"/>
    <n v="2613746"/>
    <n v="1"/>
    <d v="2012-04-12T00:00:00"/>
    <d v="2012-06-05T00:00:00"/>
    <n v="2613746"/>
    <d v="2012-04-12T00:00:00"/>
    <d v="2012-06-05T00:00:00"/>
    <n v="10000"/>
    <x v="3"/>
    <m/>
    <s v="N"/>
    <s v="NONE"/>
    <s v="DISMISSED"/>
    <n v="55"/>
    <n v="55"/>
    <n v="0"/>
    <n v="0"/>
    <m/>
    <m/>
    <m/>
    <m/>
    <m/>
    <m/>
    <m/>
    <m/>
    <m/>
    <d v="1978-07-21T00:00:00"/>
    <s v="F"/>
    <s v="W"/>
    <s v="WHITE"/>
    <s v="NULL"/>
    <s v="183"/>
    <s v="DISMISSED"/>
    <n v="4"/>
    <s v="DISMISSED"/>
    <m/>
    <m/>
    <m/>
    <s v="FELON POSS WPN"/>
    <m/>
    <s v="F3"/>
    <s v="OTHER FEL"/>
    <s v="7/4/12 fel robbery pend"/>
    <m/>
    <m/>
    <m/>
    <m/>
    <m/>
    <m/>
    <m/>
    <m/>
    <s v="Appointed Attorney"/>
    <m/>
    <m/>
    <n v="55"/>
    <n v="55"/>
    <n v="55"/>
    <n v="33.658469945355193"/>
    <n v="0"/>
    <n v="0"/>
    <s v="NO CONVICTION"/>
    <x v="0"/>
    <s v="N"/>
    <m/>
    <s v="NO CONVICTION"/>
    <s v="Y"/>
    <x v="0"/>
    <x v="0"/>
    <s v="N"/>
    <n v="1"/>
    <n v="1"/>
    <n v="0"/>
    <n v="0"/>
    <n v="-55"/>
    <n v="0"/>
    <n v="55"/>
    <e v="#VALUE!"/>
    <n v="55"/>
    <n v="0"/>
    <m/>
    <m/>
    <s v="N"/>
    <m/>
    <s v="31-60 DAYS"/>
    <n v="3"/>
    <x v="0"/>
  </r>
  <r>
    <n v="2756"/>
    <s v="N"/>
    <s v="N"/>
    <n v="2613751"/>
    <n v="4"/>
    <d v="2012-04-12T00:00:00"/>
    <d v="2012-04-27T00:00:00"/>
    <n v="2613751"/>
    <d v="2012-04-12T00:00:00"/>
    <d v="2012-04-27T00:00:00"/>
    <n v="5000"/>
    <x v="4"/>
    <m/>
    <s v="N"/>
    <s v="NONE"/>
    <s v="GUILTY PLEA - NO JURY"/>
    <n v="16"/>
    <n v="16"/>
    <n v="0"/>
    <n v="0"/>
    <m/>
    <m/>
    <m/>
    <m/>
    <m/>
    <m/>
    <m/>
    <m/>
    <m/>
    <d v="1988-05-30T00:00:00"/>
    <s v="M"/>
    <s v="W"/>
    <s v="WHITE"/>
    <s v="NULL"/>
    <s v="339"/>
    <s v="CONVICTED"/>
    <n v="2"/>
    <s v="HCJ"/>
    <m/>
    <m/>
    <n v="180"/>
    <s v="POSS CS PG 2 &lt;1GRAM"/>
    <m/>
    <s v="FS"/>
    <s v="POSS DRUG"/>
    <m/>
    <m/>
    <m/>
    <m/>
    <m/>
    <m/>
    <m/>
    <m/>
    <m/>
    <s v="Appointed Attorney"/>
    <m/>
    <m/>
    <n v="16"/>
    <n v="16"/>
    <n v="16"/>
    <n v="23.819672131147541"/>
    <n v="0"/>
    <n v="0"/>
    <s v="CONVICTION"/>
    <x v="0"/>
    <s v="N"/>
    <m/>
    <s v="CONVICTION"/>
    <s v="Y"/>
    <x v="0"/>
    <x v="0"/>
    <s v="N"/>
    <n v="1"/>
    <n v="1"/>
    <n v="0"/>
    <n v="0"/>
    <n v="-16"/>
    <n v="0"/>
    <n v="16"/>
    <e v="#VALUE!"/>
    <n v="16"/>
    <n v="0"/>
    <m/>
    <m/>
    <s v="N"/>
    <m/>
    <s v="11-30 DAYS"/>
    <n v="2"/>
    <x v="0"/>
  </r>
  <r>
    <n v="2758"/>
    <s v="N"/>
    <s v="N"/>
    <n v="2613753"/>
    <n v="1"/>
    <d v="2012-04-12T00:00:00"/>
    <d v="2012-08-17T00:00:00"/>
    <n v="2613753"/>
    <d v="2012-04-12T00:00:00"/>
    <d v="2012-04-13T00:00:00"/>
    <n v="4000"/>
    <x v="4"/>
    <d v="2012-04-13T00:00:00"/>
    <s v="Y"/>
    <s v="SURETY"/>
    <s v="DISMISSED"/>
    <n v="2"/>
    <n v="128"/>
    <n v="0"/>
    <n v="0"/>
    <m/>
    <m/>
    <m/>
    <m/>
    <m/>
    <m/>
    <m/>
    <m/>
    <m/>
    <d v="1992-11-08T00:00:00"/>
    <s v="F"/>
    <s v="W"/>
    <s v="WHITE"/>
    <s v="NULL"/>
    <s v="263"/>
    <s v="DISMISSED"/>
    <n v="6"/>
    <s v="DISMISSED"/>
    <m/>
    <m/>
    <m/>
    <s v="POSS CS PG 2 &lt;1GRAM"/>
    <m/>
    <s v="FS"/>
    <s v="POSS DRUG"/>
    <m/>
    <m/>
    <m/>
    <m/>
    <m/>
    <m/>
    <m/>
    <m/>
    <m/>
    <s v="Hired Attorney"/>
    <m/>
    <m/>
    <n v="2"/>
    <n v="128"/>
    <n v="128"/>
    <n v="19.385245901639344"/>
    <n v="0"/>
    <n v="-126"/>
    <s v="NO CONVICTION"/>
    <x v="1"/>
    <s v="Y"/>
    <m/>
    <s v="NO CONVICTION"/>
    <s v="Y"/>
    <x v="1"/>
    <x v="0"/>
    <s v="N"/>
    <n v="1.5625E-2"/>
    <n v="1.5625E-2"/>
    <n v="0"/>
    <n v="0"/>
    <n v="-2"/>
    <n v="0"/>
    <n v="2"/>
    <e v="#VALUE!"/>
    <n v="2"/>
    <n v="0"/>
    <m/>
    <m/>
    <s v="N"/>
    <m/>
    <s v="0-10 DAYS"/>
    <n v="1"/>
    <x v="0"/>
  </r>
  <r>
    <n v="2768"/>
    <s v="N"/>
    <s v="Y"/>
    <n v="2613835"/>
    <n v="1"/>
    <d v="2012-04-12T00:00:00"/>
    <d v="2013-06-26T00:00:00"/>
    <n v="2613835"/>
    <d v="2012-04-13T00:00:00"/>
    <d v="2012-04-21T00:00:00"/>
    <n v="5000"/>
    <x v="4"/>
    <d v="2012-04-21T00:00:00"/>
    <s v="Y"/>
    <s v="SURETY"/>
    <s v="DISMISSED"/>
    <n v="9"/>
    <n v="441"/>
    <n v="0"/>
    <n v="0"/>
    <m/>
    <m/>
    <m/>
    <m/>
    <m/>
    <m/>
    <m/>
    <m/>
    <m/>
    <d v="1980-10-18T00:00:00"/>
    <s v="M"/>
    <s v="B"/>
    <s v="BLACK"/>
    <s v="NULL"/>
    <s v="176"/>
    <s v="DISMISSED"/>
    <n v="11"/>
    <s v="DISMISSED"/>
    <m/>
    <m/>
    <m/>
    <s v="VIOL. OF PROTECTIVE ORDER ENH."/>
    <m/>
    <s v="F3"/>
    <s v="OTHER FEL"/>
    <m/>
    <m/>
    <s v="Y"/>
    <d v="2013-06-25T00:00:00"/>
    <m/>
    <m/>
    <m/>
    <m/>
    <m/>
    <s v="Appointed Attorney"/>
    <m/>
    <m/>
    <n v="9"/>
    <n v="440"/>
    <n v="441"/>
    <n v="31.418032786885245"/>
    <n v="0"/>
    <n v="-431"/>
    <s v="NO CONVICTION"/>
    <x v="1"/>
    <s v="Y"/>
    <m/>
    <s v="NO CONVICTION"/>
    <s v="Y"/>
    <x v="1"/>
    <x v="0"/>
    <s v="N"/>
    <n v="2.0408163265306121E-2"/>
    <n v="2.0454545454545454E-2"/>
    <n v="4.6382189239333599E-5"/>
    <n v="0"/>
    <n v="-9"/>
    <n v="0"/>
    <n v="9"/>
    <e v="#VALUE!"/>
    <m/>
    <n v="431"/>
    <m/>
    <m/>
    <s v="N"/>
    <m/>
    <s v="0-10 DAYS"/>
    <n v="1"/>
    <x v="0"/>
  </r>
  <r>
    <n v="2770"/>
    <s v="N"/>
    <s v="N"/>
    <n v="2613868"/>
    <n v="2"/>
    <d v="2012-04-12T00:00:00"/>
    <d v="2012-07-13T00:00:00"/>
    <n v="2613868"/>
    <d v="2012-07-03T00:00:00"/>
    <d v="2012-07-13T00:00:00"/>
    <n v="2000"/>
    <x v="5"/>
    <m/>
    <s v="N"/>
    <s v="NONE"/>
    <s v="DEFERRED ADJUDICATION "/>
    <n v="11"/>
    <n v="93"/>
    <n v="0"/>
    <n v="0"/>
    <m/>
    <m/>
    <m/>
    <m/>
    <m/>
    <m/>
    <m/>
    <m/>
    <m/>
    <d v="1986-04-06T00:00:00"/>
    <s v="M"/>
    <s v="W"/>
    <s v="WHITE"/>
    <s v="NULL"/>
    <s v="209"/>
    <s v="DEFERRED"/>
    <n v="3"/>
    <s v="DEFERRED"/>
    <m/>
    <m/>
    <m/>
    <s v="CRIM MISCH &gt;=$1500 &lt;$20K"/>
    <m/>
    <s v="FS"/>
    <s v="OTHER FEL"/>
    <s v="7/13/12 burg dadj on case filed 7/5/12"/>
    <m/>
    <m/>
    <m/>
    <m/>
    <m/>
    <m/>
    <m/>
    <m/>
    <s v="Appointed Attorney"/>
    <m/>
    <m/>
    <n v="11"/>
    <n v="11"/>
    <n v="93"/>
    <n v="25.964480874316941"/>
    <n v="0"/>
    <n v="0"/>
    <s v="DEFERRED"/>
    <x v="0"/>
    <s v="N"/>
    <m/>
    <s v="DEFERRED"/>
    <s v="Y"/>
    <x v="0"/>
    <x v="0"/>
    <s v="N"/>
    <n v="0.11827956989247312"/>
    <n v="1"/>
    <n v="0.88172043010752688"/>
    <n v="0"/>
    <n v="-11"/>
    <n v="0"/>
    <n v="11"/>
    <e v="#VALUE!"/>
    <n v="11"/>
    <n v="0"/>
    <m/>
    <m/>
    <s v="N"/>
    <m/>
    <s v="11-30 DAYS"/>
    <n v="2"/>
    <x v="0"/>
  </r>
  <r>
    <n v="2776"/>
    <s v="N"/>
    <s v="N"/>
    <n v="2613898"/>
    <n v="2"/>
    <d v="2012-04-12T00:00:00"/>
    <d v="2012-07-25T00:00:00"/>
    <n v="2613898"/>
    <s v="NOT BOOKED"/>
    <s v="NOT BOOKED"/>
    <n v="2000"/>
    <x v="5"/>
    <d v="2012-04-14T00:00:00"/>
    <s v="Y"/>
    <s v="SURETY"/>
    <s v="DEFERRED ADJUDICATION "/>
    <n v="0"/>
    <n v="105"/>
    <n v="0"/>
    <n v="0"/>
    <m/>
    <m/>
    <m/>
    <m/>
    <m/>
    <m/>
    <m/>
    <s v="S"/>
    <m/>
    <d v="1994-11-01T00:00:00"/>
    <s v="M"/>
    <s v="H"/>
    <s v="HISPANIC"/>
    <s v="NULL"/>
    <s v="230"/>
    <s v="DEFERRED"/>
    <n v="6"/>
    <s v="DEFERRED"/>
    <m/>
    <m/>
    <m/>
    <s v="THEFT $1500-20K"/>
    <m/>
    <s v="FS"/>
    <s v="THEFT"/>
    <m/>
    <m/>
    <m/>
    <m/>
    <m/>
    <m/>
    <m/>
    <m/>
    <m/>
    <s v="Hired Attorney"/>
    <m/>
    <m/>
    <n v="0"/>
    <n v="0"/>
    <n v="105"/>
    <n v="17.409836065573771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779"/>
    <s v="N"/>
    <s v="N"/>
    <n v="2613910"/>
    <n v="4"/>
    <d v="2012-04-12T00:00:00"/>
    <d v="2012-09-24T00:00:00"/>
    <n v="2613910"/>
    <d v="2012-04-13T00:00:00"/>
    <d v="2012-04-14T00:00:00"/>
    <n v="5000"/>
    <x v="4"/>
    <d v="2012-04-14T00:00:00"/>
    <s v="Y"/>
    <s v="SURETY"/>
    <s v="GUILTY PLEA - NO JURY"/>
    <n v="2"/>
    <n v="166"/>
    <n v="0"/>
    <n v="0"/>
    <m/>
    <m/>
    <m/>
    <m/>
    <m/>
    <m/>
    <m/>
    <m/>
    <m/>
    <d v="1984-09-15T00:00:00"/>
    <s v="M"/>
    <s v="W"/>
    <s v="WHITE"/>
    <s v="NULL"/>
    <s v="184"/>
    <s v="CONVICTED"/>
    <n v="8"/>
    <s v="HCJ"/>
    <m/>
    <m/>
    <n v="330"/>
    <s v="TAMPER/FABRICATE EVIDENCE"/>
    <m/>
    <s v="F3"/>
    <s v="OTHER FEL"/>
    <m/>
    <m/>
    <m/>
    <m/>
    <m/>
    <m/>
    <m/>
    <m/>
    <m/>
    <s v="Hired Attorney"/>
    <m/>
    <m/>
    <n v="2"/>
    <n v="165"/>
    <n v="166"/>
    <n v="27.516393442622952"/>
    <n v="0"/>
    <n v="-163"/>
    <s v="CONVICTION"/>
    <x v="1"/>
    <s v="Y"/>
    <m/>
    <s v="CONVICTION"/>
    <s v="Y"/>
    <x v="1"/>
    <x v="0"/>
    <s v="N"/>
    <n v="1.2048192771084338E-2"/>
    <n v="1.2121212121212121E-2"/>
    <n v="7.3019350127783225E-5"/>
    <n v="0"/>
    <n v="-2"/>
    <n v="0"/>
    <n v="2"/>
    <e v="#VALUE!"/>
    <n v="2"/>
    <n v="0"/>
    <m/>
    <m/>
    <s v="N"/>
    <m/>
    <s v="0-10 DAYS"/>
    <n v="1"/>
    <x v="0"/>
  </r>
  <r>
    <n v="2784"/>
    <s v="N"/>
    <s v="N"/>
    <n v="2613922"/>
    <n v="1"/>
    <d v="2012-04-13T00:00:00"/>
    <d v="2012-05-14T00:00:00"/>
    <n v="2613922"/>
    <d v="2012-04-13T00:00:00"/>
    <d v="2012-05-14T00:00:00"/>
    <s v="NO BOND"/>
    <x v="1"/>
    <m/>
    <s v="N"/>
    <s v="NONE"/>
    <s v="DISMISSED"/>
    <n v="32"/>
    <n v="32"/>
    <n v="0"/>
    <n v="0"/>
    <m/>
    <m/>
    <m/>
    <m/>
    <m/>
    <m/>
    <m/>
    <m/>
    <m/>
    <d v="1954-04-19T00:00:00"/>
    <s v="F"/>
    <s v="W"/>
    <s v="WHITE"/>
    <s v="NULL"/>
    <s v="177"/>
    <s v="DISMISSED"/>
    <n v="4"/>
    <s v="DISMISSED"/>
    <m/>
    <m/>
    <m/>
    <s v="AGG ASSAULT-FAMILY MEMBER"/>
    <m/>
    <s v="F2"/>
    <s v="ASLT-MURDR"/>
    <m/>
    <m/>
    <m/>
    <m/>
    <m/>
    <m/>
    <m/>
    <m/>
    <m/>
    <s v="Appointed Attorney"/>
    <m/>
    <m/>
    <n v="32"/>
    <n v="32"/>
    <n v="32"/>
    <n v="57.866120218579233"/>
    <n v="0"/>
    <n v="0"/>
    <s v="NO CONVICTION"/>
    <x v="0"/>
    <s v="N"/>
    <m/>
    <s v="NO CONVICTION"/>
    <s v="Y"/>
    <x v="0"/>
    <x v="0"/>
    <s v="N"/>
    <n v="1"/>
    <n v="1"/>
    <n v="0"/>
    <n v="0"/>
    <n v="-32"/>
    <n v="0"/>
    <n v="32"/>
    <e v="#VALUE!"/>
    <n v="32"/>
    <n v="0"/>
    <m/>
    <m/>
    <s v="N"/>
    <m/>
    <s v="31-60 DAYS"/>
    <n v="3"/>
    <x v="0"/>
  </r>
  <r>
    <n v="2785"/>
    <s v="N"/>
    <s v="N"/>
    <n v="2613925"/>
    <n v="4"/>
    <d v="2012-04-13T00:00:00"/>
    <d v="2012-08-31T00:00:00"/>
    <n v="2613925"/>
    <d v="2012-04-13T00:00:00"/>
    <d v="2012-04-14T00:00:00"/>
    <n v="2000"/>
    <x v="5"/>
    <d v="2012-04-14T00:00:00"/>
    <s v="Y"/>
    <s v="SURETY"/>
    <s v="GUILTY PLEA - NO JURY"/>
    <n v="2"/>
    <n v="141"/>
    <n v="0"/>
    <n v="0"/>
    <m/>
    <m/>
    <m/>
    <m/>
    <m/>
    <m/>
    <m/>
    <s v="S"/>
    <m/>
    <d v="1987-07-16T00:00:00"/>
    <s v="M"/>
    <s v="H"/>
    <s v="HISPANIC"/>
    <s v="NULL"/>
    <s v="339"/>
    <s v="CONVICTED"/>
    <n v="6"/>
    <s v="HCJ"/>
    <m/>
    <m/>
    <n v="2"/>
    <s v="POSS MARIJ  4 OZ. - 5 LBS."/>
    <m/>
    <s v="FS"/>
    <s v="POSS DRUG"/>
    <m/>
    <m/>
    <m/>
    <m/>
    <m/>
    <m/>
    <m/>
    <m/>
    <m/>
    <s v="Hired Attorney"/>
    <m/>
    <m/>
    <n v="2"/>
    <n v="141"/>
    <n v="141"/>
    <n v="24.693989071038253"/>
    <n v="0"/>
    <n v="-139"/>
    <s v="CONVICTION"/>
    <x v="1"/>
    <s v="Y"/>
    <m/>
    <s v="CONVICTION"/>
    <s v="Y"/>
    <x v="1"/>
    <x v="0"/>
    <s v="N"/>
    <n v="1.4184397163120567E-2"/>
    <n v="1.4184397163120567E-2"/>
    <n v="0"/>
    <n v="0"/>
    <n v="-2"/>
    <n v="0"/>
    <n v="2"/>
    <e v="#VALUE!"/>
    <n v="2"/>
    <n v="0"/>
    <m/>
    <m/>
    <s v="N"/>
    <m/>
    <s v="0-10 DAYS"/>
    <n v="1"/>
    <x v="0"/>
  </r>
  <r>
    <n v="2793"/>
    <s v="N"/>
    <s v="N"/>
    <n v="2613974"/>
    <n v="4"/>
    <d v="2012-04-13T00:00:00"/>
    <d v="2012-05-16T00:00:00"/>
    <n v="2613974"/>
    <d v="2012-04-14T00:00:00"/>
    <d v="2012-05-16T00:00:00"/>
    <n v="2000"/>
    <x v="5"/>
    <m/>
    <s v="N"/>
    <s v="NONE"/>
    <s v="GUILTY PLEA - NO JURY"/>
    <n v="33"/>
    <n v="34"/>
    <n v="0"/>
    <n v="0"/>
    <m/>
    <m/>
    <m/>
    <m/>
    <m/>
    <m/>
    <m/>
    <s v="S"/>
    <m/>
    <d v="1981-09-05T00:00:00"/>
    <s v="M"/>
    <s v="H"/>
    <s v="HISPANIC"/>
    <s v="NULL"/>
    <s v="208"/>
    <s v="CONVICTED"/>
    <n v="3"/>
    <s v="HCJ"/>
    <m/>
    <m/>
    <n v="60"/>
    <s v="POSS CS PG 1 &lt;1G"/>
    <m/>
    <s v="FS"/>
    <s v="POSS DRUG"/>
    <m/>
    <m/>
    <m/>
    <m/>
    <m/>
    <m/>
    <m/>
    <m/>
    <m/>
    <s v="Appointed Attorney"/>
    <m/>
    <m/>
    <n v="33"/>
    <n v="33"/>
    <n v="34"/>
    <n v="30.540983606557376"/>
    <n v="0"/>
    <n v="0"/>
    <s v="CONVICTION"/>
    <x v="0"/>
    <s v="N"/>
    <m/>
    <s v="CONVICTION"/>
    <s v="Y"/>
    <x v="0"/>
    <x v="0"/>
    <s v="N"/>
    <n v="0.97058823529411764"/>
    <n v="1"/>
    <n v="2.9411764705882359E-2"/>
    <n v="0"/>
    <n v="-33"/>
    <n v="0"/>
    <n v="33"/>
    <e v="#VALUE!"/>
    <n v="33"/>
    <n v="0"/>
    <m/>
    <m/>
    <s v="N"/>
    <m/>
    <s v="31-60 DAYS"/>
    <n v="3"/>
    <x v="0"/>
  </r>
  <r>
    <n v="2791"/>
    <s v="Y"/>
    <s v="N"/>
    <n v="2613976"/>
    <n v="2"/>
    <d v="2012-04-13T00:00:00"/>
    <d v="2012-11-02T00:00:00"/>
    <n v="2613976"/>
    <d v="2012-04-23T00:00:00"/>
    <d v="2012-04-28T00:00:00"/>
    <n v="60000"/>
    <x v="2"/>
    <d v="2012-04-28T00:00:00"/>
    <s v="Y"/>
    <s v="SURETYPTRc"/>
    <s v="DEFERRED ADJUDICATION "/>
    <n v="6"/>
    <n v="204"/>
    <n v="0"/>
    <n v="0"/>
    <m/>
    <m/>
    <m/>
    <m/>
    <m/>
    <m/>
    <m/>
    <m/>
    <m/>
    <d v="1990-11-20T00:00:00"/>
    <s v="M"/>
    <s v="W"/>
    <s v="WHITE"/>
    <s v="NULL"/>
    <s v="183"/>
    <s v="DEFERRED"/>
    <n v="10"/>
    <s v="DEFERRED"/>
    <m/>
    <m/>
    <m/>
    <s v="SEX ASSLT CHILD 14-17"/>
    <m/>
    <s v="F2"/>
    <s v="SEX ABUSE"/>
    <s v="bk 8/30/13"/>
    <m/>
    <m/>
    <m/>
    <m/>
    <m/>
    <m/>
    <m/>
    <m/>
    <s v="Appointed Attorney"/>
    <s v="ftr mot adj guild bk 8/30/13"/>
    <m/>
    <n v="6"/>
    <n v="194"/>
    <n v="204"/>
    <n v="21.352459016393443"/>
    <n v="0"/>
    <n v="-188"/>
    <s v="DEFERRED"/>
    <x v="1"/>
    <s v="Y"/>
    <m/>
    <s v="DEFERRED"/>
    <s v="Y"/>
    <x v="1"/>
    <x v="0"/>
    <s v="N"/>
    <n v="2.9411764705882353E-2"/>
    <n v="3.0927835051546393E-2"/>
    <n v="1.5160703456640404E-3"/>
    <n v="0"/>
    <n v="-6"/>
    <n v="0"/>
    <n v="6"/>
    <e v="#VALUE!"/>
    <n v="6"/>
    <n v="0"/>
    <m/>
    <m/>
    <s v="N"/>
    <m/>
    <s v="0-10 DAYS"/>
    <n v="1"/>
    <x v="0"/>
  </r>
  <r>
    <n v="2796"/>
    <s v="N"/>
    <s v="N"/>
    <n v="2613999"/>
    <n v="1"/>
    <d v="2012-04-13T00:00:00"/>
    <d v="2012-08-10T00:00:00"/>
    <n v="2613999"/>
    <s v="NOT BOOKED"/>
    <s v="NOT BOOKED"/>
    <n v="2000"/>
    <x v="5"/>
    <d v="2012-04-14T00:00:00"/>
    <s v="Y"/>
    <s v="SURETY"/>
    <s v="DISMISSED"/>
    <n v="0"/>
    <n v="120"/>
    <n v="0"/>
    <n v="0"/>
    <m/>
    <m/>
    <m/>
    <m/>
    <m/>
    <m/>
    <m/>
    <m/>
    <m/>
    <d v="1987-06-14T00:00:00"/>
    <s v="F"/>
    <s v="W"/>
    <s v="WHITE"/>
    <s v="NULL"/>
    <s v="176"/>
    <s v="DISMISSED"/>
    <n v="5"/>
    <s v="DISMISSED"/>
    <m/>
    <m/>
    <m/>
    <s v="POSS CS PG 1 &lt;1G"/>
    <m/>
    <s v="FS"/>
    <s v="POSS DRUG"/>
    <m/>
    <m/>
    <m/>
    <m/>
    <m/>
    <m/>
    <m/>
    <m/>
    <m/>
    <s v="Hired Attorney"/>
    <m/>
    <m/>
    <n v="0"/>
    <n v="0"/>
    <n v="120"/>
    <n v="24.781420765027324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800"/>
    <s v="N"/>
    <s v="N"/>
    <n v="2614014"/>
    <n v="6"/>
    <d v="2012-04-13T00:00:00"/>
    <d v="2012-12-13T00:00:00"/>
    <n v="2614014"/>
    <d v="2012-04-17T00:00:00"/>
    <d v="2012-04-26T00:00:00"/>
    <n v="60000"/>
    <x v="2"/>
    <d v="2012-04-26T00:00:00"/>
    <s v="Y"/>
    <s v="SURETY"/>
    <s v="GUILTY PLEA - NO JURY"/>
    <n v="10"/>
    <n v="245"/>
    <n v="0"/>
    <n v="0"/>
    <m/>
    <m/>
    <m/>
    <m/>
    <m/>
    <m/>
    <m/>
    <s v="S"/>
    <m/>
    <d v="1961-03-14T00:00:00"/>
    <s v="M"/>
    <s v="H"/>
    <s v="HISPANIC"/>
    <s v="NULL"/>
    <s v="337"/>
    <s v="CONVICTED"/>
    <n v="10"/>
    <s v="TDC"/>
    <n v="20"/>
    <m/>
    <m/>
    <s v="SEX ASSLT CHILD 14-17"/>
    <m/>
    <s v="F2"/>
    <s v="SEX ABUSE"/>
    <m/>
    <m/>
    <m/>
    <m/>
    <m/>
    <m/>
    <m/>
    <m/>
    <m/>
    <s v="Hired Attorney"/>
    <m/>
    <m/>
    <n v="10"/>
    <n v="241"/>
    <n v="245"/>
    <n v="50.978142076502735"/>
    <n v="0"/>
    <n v="-231"/>
    <s v="CONVICTION"/>
    <x v="1"/>
    <s v="Y"/>
    <m/>
    <s v="CONVICTION"/>
    <s v="Y"/>
    <x v="1"/>
    <x v="0"/>
    <s v="N"/>
    <n v="4.0816326530612242E-2"/>
    <n v="4.1493775933609957E-2"/>
    <n v="6.7744940299771517E-4"/>
    <n v="0"/>
    <n v="-10"/>
    <n v="0"/>
    <n v="10"/>
    <e v="#VALUE!"/>
    <n v="10"/>
    <n v="0"/>
    <m/>
    <m/>
    <s v="N"/>
    <m/>
    <s v="0-10 DAYS"/>
    <n v="1"/>
    <x v="0"/>
  </r>
  <r>
    <n v="2802"/>
    <s v="N"/>
    <s v="N"/>
    <n v="2614063"/>
    <n v="2"/>
    <d v="2012-04-13T00:00:00"/>
    <d v="2013-01-17T00:00:00"/>
    <n v="2614063"/>
    <s v="NOT BOOKED"/>
    <s v="NOT BOOKED"/>
    <n v="5000"/>
    <x v="4"/>
    <d v="2012-04-18T00:00:00"/>
    <s v="Y"/>
    <s v="SURETY"/>
    <s v="DEFERRED ADJUDICATION "/>
    <n v="0"/>
    <n v="280"/>
    <n v="0"/>
    <n v="0"/>
    <m/>
    <m/>
    <m/>
    <m/>
    <m/>
    <m/>
    <m/>
    <m/>
    <m/>
    <d v="1988-09-06T00:00:00"/>
    <s v="F"/>
    <s v="W"/>
    <s v="WHITE"/>
    <s v="NULL"/>
    <s v="351"/>
    <s v="DEFERRED"/>
    <n v="10"/>
    <s v="DEFERRED"/>
    <m/>
    <m/>
    <m/>
    <s v="DEADLY COND-DISCH F-ARM HAB/BL"/>
    <m/>
    <s v="F3"/>
    <s v="OTHER FEL"/>
    <m/>
    <m/>
    <m/>
    <m/>
    <m/>
    <m/>
    <m/>
    <m/>
    <m/>
    <s v="Hired Attorney"/>
    <m/>
    <m/>
    <n v="0"/>
    <n v="0"/>
    <n v="280"/>
    <n v="23.551912568306012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810"/>
    <s v="N"/>
    <s v="N"/>
    <n v="2614073"/>
    <n v="6"/>
    <d v="2012-04-13T00:00:00"/>
    <d v="2013-05-22T00:00:00"/>
    <n v="2614073"/>
    <d v="2012-04-18T00:00:00"/>
    <d v="2012-05-06T00:00:00"/>
    <n v="30000"/>
    <x v="2"/>
    <d v="2012-05-06T00:00:00"/>
    <s v="Y"/>
    <s v="SURETY"/>
    <s v="GUILTY PLEA - NO JURY"/>
    <n v="19"/>
    <n v="405"/>
    <n v="0"/>
    <n v="0"/>
    <m/>
    <m/>
    <m/>
    <m/>
    <m/>
    <m/>
    <m/>
    <m/>
    <m/>
    <d v="1979-02-21T00:00:00"/>
    <s v="M"/>
    <s v="B"/>
    <s v="BLACK"/>
    <s v="NULL"/>
    <s v="182"/>
    <s v="CONVICTED"/>
    <n v="14"/>
    <s v="TDC"/>
    <n v="4"/>
    <m/>
    <m/>
    <s v="POSS MARIJ 50-2000 LBS."/>
    <m/>
    <s v="F2"/>
    <s v="POSS DRUG"/>
    <m/>
    <m/>
    <m/>
    <m/>
    <m/>
    <m/>
    <m/>
    <m/>
    <m/>
    <s v="Appointed Attorney"/>
    <m/>
    <m/>
    <n v="19"/>
    <n v="400"/>
    <n v="405"/>
    <n v="33.07377049180328"/>
    <n v="0"/>
    <n v="-381"/>
    <s v="CONVICTION"/>
    <x v="1"/>
    <s v="Y"/>
    <m/>
    <s v="CONVICTION"/>
    <s v="Y"/>
    <x v="1"/>
    <x v="0"/>
    <s v="N"/>
    <n v="4.6913580246913583E-2"/>
    <n v="4.7500000000000001E-2"/>
    <n v="5.8641975308641736E-4"/>
    <n v="0"/>
    <n v="-19"/>
    <n v="0"/>
    <n v="19"/>
    <e v="#VALUE!"/>
    <n v="19"/>
    <n v="0"/>
    <m/>
    <m/>
    <s v="N"/>
    <m/>
    <s v="11-30 DAYS"/>
    <n v="2"/>
    <x v="0"/>
  </r>
  <r>
    <n v="2807"/>
    <s v="N"/>
    <s v="N"/>
    <n v="2614081"/>
    <n v="2"/>
    <d v="2012-04-13T00:00:00"/>
    <d v="2012-07-12T00:00:00"/>
    <n v="2614081"/>
    <d v="2012-04-13T00:00:00"/>
    <d v="2012-04-21T00:00:00"/>
    <n v="5000"/>
    <x v="4"/>
    <d v="2012-04-21T00:00:00"/>
    <s v="Y"/>
    <s v="SURETY"/>
    <s v="DEFERRED ADJUDICATION "/>
    <n v="9"/>
    <n v="91"/>
    <n v="0"/>
    <n v="0"/>
    <m/>
    <m/>
    <m/>
    <m/>
    <m/>
    <m/>
    <m/>
    <m/>
    <m/>
    <d v="1971-10-09T00:00:00"/>
    <s v="M"/>
    <s v="W"/>
    <s v="WHITE"/>
    <s v="NULL"/>
    <s v="178"/>
    <s v="DEFERRED"/>
    <n v="7"/>
    <s v="DEFERRED"/>
    <m/>
    <m/>
    <m/>
    <s v="POSS CS PG 1  1 - 4 GRAMS"/>
    <m/>
    <s v="F3"/>
    <s v="POSS DRUG"/>
    <m/>
    <m/>
    <m/>
    <m/>
    <m/>
    <m/>
    <m/>
    <m/>
    <m/>
    <s v="Appointed Attorney"/>
    <m/>
    <m/>
    <n v="9"/>
    <n v="91"/>
    <n v="91"/>
    <n v="40.428961748633881"/>
    <n v="0"/>
    <n v="-82"/>
    <s v="DEFERRED"/>
    <x v="1"/>
    <s v="Y"/>
    <m/>
    <s v="DEFERRED"/>
    <s v="Y"/>
    <x v="1"/>
    <x v="0"/>
    <s v="N"/>
    <n v="9.8901098901098897E-2"/>
    <n v="9.8901098901098897E-2"/>
    <n v="0"/>
    <n v="0"/>
    <n v="-9"/>
    <n v="0"/>
    <n v="9"/>
    <e v="#VALUE!"/>
    <n v="9"/>
    <n v="0"/>
    <m/>
    <m/>
    <s v="N"/>
    <m/>
    <s v="0-10 DAYS"/>
    <n v="1"/>
    <x v="0"/>
  </r>
  <r>
    <n v="2808"/>
    <s v="N"/>
    <s v="N"/>
    <n v="2614082"/>
    <n v="2"/>
    <d v="2012-04-13T00:00:00"/>
    <d v="2013-01-04T00:00:00"/>
    <n v="2614082"/>
    <d v="2012-04-17T00:00:00"/>
    <d v="2012-05-18T00:00:00"/>
    <n v="10000"/>
    <x v="3"/>
    <d v="2012-05-18T00:00:00"/>
    <s v="Y"/>
    <s v="SURETY"/>
    <s v="DEFERRED ADJUDICATION "/>
    <n v="32"/>
    <n v="267"/>
    <n v="0"/>
    <n v="0"/>
    <m/>
    <m/>
    <m/>
    <m/>
    <m/>
    <m/>
    <m/>
    <m/>
    <m/>
    <d v="1994-04-23T00:00:00"/>
    <s v="M"/>
    <s v="W"/>
    <s v="WHITE"/>
    <s v="NULL"/>
    <s v="177"/>
    <s v="DEFERRED"/>
    <n v="11"/>
    <s v="DEFERRED"/>
    <m/>
    <m/>
    <m/>
    <s v="BURGLARY OF HABITATION"/>
    <m/>
    <s v="F2"/>
    <s v="BURGLARY"/>
    <m/>
    <m/>
    <m/>
    <m/>
    <m/>
    <m/>
    <m/>
    <m/>
    <m/>
    <s v="Public Defender"/>
    <m/>
    <m/>
    <n v="32"/>
    <n v="263"/>
    <n v="267"/>
    <n v="17.937158469945356"/>
    <n v="0"/>
    <n v="-231"/>
    <s v="DEFERRED"/>
    <x v="1"/>
    <s v="Y"/>
    <m/>
    <s v="DEFERRED"/>
    <s v="Y"/>
    <x v="1"/>
    <x v="0"/>
    <s v="N"/>
    <n v="0.1198501872659176"/>
    <n v="0.12167300380228137"/>
    <n v="1.8228165363637638E-3"/>
    <n v="0"/>
    <n v="-32"/>
    <n v="0"/>
    <n v="32"/>
    <e v="#VALUE!"/>
    <n v="32"/>
    <n v="0"/>
    <m/>
    <m/>
    <s v="N"/>
    <m/>
    <s v="31-60 DAYS"/>
    <n v="3"/>
    <x v="0"/>
  </r>
  <r>
    <n v="2811"/>
    <s v="N"/>
    <s v="N"/>
    <n v="2614092"/>
    <n v="2"/>
    <d v="2012-04-14T00:00:00"/>
    <d v="2012-06-15T00:00:00"/>
    <n v="2614092"/>
    <d v="2012-04-13T00:00:00"/>
    <d v="2012-04-23T00:00:00"/>
    <n v="10000"/>
    <x v="3"/>
    <d v="2012-04-23T00:00:00"/>
    <s v="Y"/>
    <s v="SURETY"/>
    <s v="DEFERRED ADJUDICATION "/>
    <n v="11"/>
    <n v="63"/>
    <n v="0"/>
    <n v="0"/>
    <m/>
    <m/>
    <m/>
    <m/>
    <m/>
    <m/>
    <m/>
    <m/>
    <m/>
    <d v="1993-12-06T00:00:00"/>
    <s v="M"/>
    <s v="B"/>
    <s v="BLACK"/>
    <s v="NULL"/>
    <s v="183"/>
    <s v="DEFERRED"/>
    <n v="5"/>
    <s v="DEFERRED"/>
    <m/>
    <m/>
    <m/>
    <s v="BURGLARY OF HABITATION"/>
    <m/>
    <s v="F2"/>
    <s v="BURGLARY"/>
    <m/>
    <m/>
    <m/>
    <m/>
    <m/>
    <m/>
    <m/>
    <m/>
    <m/>
    <s v="Appointed Attorney"/>
    <m/>
    <m/>
    <n v="11"/>
    <n v="64"/>
    <n v="63"/>
    <n v="18.316939890710383"/>
    <n v="0"/>
    <n v="-53"/>
    <s v="DEFERRED"/>
    <x v="1"/>
    <s v="Y"/>
    <m/>
    <s v="DEFERRED"/>
    <s v="Y"/>
    <x v="1"/>
    <x v="0"/>
    <s v="N"/>
    <n v="0.17460317460317459"/>
    <n v="0.17460317460317459"/>
    <n v="0"/>
    <n v="0"/>
    <n v="-11"/>
    <n v="0"/>
    <n v="11"/>
    <e v="#VALUE!"/>
    <n v="11"/>
    <n v="0"/>
    <m/>
    <m/>
    <s v="N"/>
    <m/>
    <s v="11-30 DAYS"/>
    <n v="2"/>
    <x v="0"/>
  </r>
  <r>
    <n v="2823"/>
    <s v="N"/>
    <s v="N"/>
    <n v="2614106"/>
    <n v="6"/>
    <d v="2012-04-13T00:00:00"/>
    <d v="2013-01-30T00:00:00"/>
    <n v="2614106"/>
    <d v="2012-04-13T00:00:00"/>
    <d v="2012-04-16T00:00:00"/>
    <n v="10000"/>
    <x v="3"/>
    <d v="2012-04-16T00:00:00"/>
    <s v="Y"/>
    <s v="SURETY"/>
    <s v="GUILTY PLEA - NO JURY"/>
    <n v="4"/>
    <n v="293"/>
    <n v="0"/>
    <n v="0"/>
    <m/>
    <m/>
    <m/>
    <m/>
    <m/>
    <m/>
    <m/>
    <s v="S"/>
    <m/>
    <d v="1994-08-09T00:00:00"/>
    <s v="M"/>
    <s v="H"/>
    <s v="HISPANIC"/>
    <s v="NULL"/>
    <s v="208"/>
    <s v="CONVICTED"/>
    <n v="12"/>
    <s v="TDC"/>
    <n v="2"/>
    <m/>
    <m/>
    <s v="BURGLARY OF HABITATION"/>
    <m/>
    <s v="F2"/>
    <s v="BURGLARY"/>
    <m/>
    <m/>
    <m/>
    <m/>
    <m/>
    <m/>
    <m/>
    <m/>
    <m/>
    <s v="Hired Attorney"/>
    <m/>
    <m/>
    <n v="4"/>
    <n v="293"/>
    <n v="293"/>
    <n v="17.642076502732241"/>
    <n v="0"/>
    <n v="-289"/>
    <s v="CONVICTION"/>
    <x v="1"/>
    <s v="Y"/>
    <m/>
    <s v="CONVICTION"/>
    <s v="Y"/>
    <x v="1"/>
    <x v="0"/>
    <s v="N"/>
    <n v="1.3651877133105802E-2"/>
    <n v="1.3651877133105802E-2"/>
    <n v="0"/>
    <n v="0"/>
    <n v="-4"/>
    <n v="0"/>
    <n v="4"/>
    <e v="#VALUE!"/>
    <n v="4"/>
    <n v="0"/>
    <m/>
    <m/>
    <s v="N"/>
    <m/>
    <s v="0-10 DAYS"/>
    <n v="1"/>
    <x v="0"/>
  </r>
  <r>
    <n v="2842"/>
    <s v="N"/>
    <s v="N"/>
    <n v="2614219"/>
    <n v="6"/>
    <d v="2012-04-14T00:00:00"/>
    <d v="2012-10-16T00:00:00"/>
    <n v="2614219"/>
    <d v="2012-04-15T00:00:00"/>
    <d v="2012-10-16T00:00:00"/>
    <n v="30000"/>
    <x v="2"/>
    <m/>
    <s v="N"/>
    <s v="NONE"/>
    <s v="GUILTY PLEA - NO JURY"/>
    <n v="185"/>
    <n v="186"/>
    <n v="0"/>
    <n v="1"/>
    <m/>
    <m/>
    <m/>
    <m/>
    <m/>
    <m/>
    <m/>
    <m/>
    <m/>
    <d v="1994-12-12T00:00:00"/>
    <s v="M"/>
    <s v="W"/>
    <s v="WHITE"/>
    <s v="NULL"/>
    <s v="263"/>
    <s v="CONVICTED"/>
    <n v="9"/>
    <s v="TDC"/>
    <n v="3"/>
    <m/>
    <m/>
    <s v="AGG ASSAULT W/DEADLY WEAPON"/>
    <m/>
    <s v="F2"/>
    <s v="ASLT-MURDR"/>
    <m/>
    <m/>
    <m/>
    <m/>
    <m/>
    <m/>
    <m/>
    <m/>
    <m/>
    <s v="Appointed Attorney"/>
    <m/>
    <m/>
    <n v="185"/>
    <n v="185"/>
    <n v="186"/>
    <n v="17.303278688524589"/>
    <n v="0"/>
    <n v="0"/>
    <s v="CONVICTION"/>
    <x v="0"/>
    <s v="N"/>
    <m/>
    <s v="CONVICTION"/>
    <s v="Y"/>
    <x v="0"/>
    <x v="0"/>
    <s v="N"/>
    <n v="0.9946236559139785"/>
    <n v="1"/>
    <n v="5.3763440860215006E-3"/>
    <n v="0"/>
    <n v="-185"/>
    <n v="0"/>
    <n v="185"/>
    <e v="#VALUE!"/>
    <n v="185"/>
    <n v="0"/>
    <m/>
    <m/>
    <s v="Y"/>
    <m/>
    <s v="121-365 DAYS"/>
    <n v="6"/>
    <x v="0"/>
  </r>
  <r>
    <n v="2843"/>
    <s v="N"/>
    <s v="N"/>
    <n v="2614231"/>
    <n v="1"/>
    <d v="2012-04-15T00:00:00"/>
    <d v="2012-09-06T00:00:00"/>
    <n v="2614231"/>
    <d v="2012-04-15T00:00:00"/>
    <d v="2012-04-16T00:00:00"/>
    <n v="2000"/>
    <x v="5"/>
    <d v="2012-04-16T00:00:00"/>
    <s v="Y"/>
    <s v="SURETY"/>
    <s v="DISMISSED"/>
    <n v="2"/>
    <n v="145"/>
    <n v="0"/>
    <n v="0"/>
    <m/>
    <m/>
    <m/>
    <m/>
    <m/>
    <m/>
    <m/>
    <s v="S"/>
    <m/>
    <d v="1973-04-27T00:00:00"/>
    <s v="M"/>
    <s v="H"/>
    <s v="HISPANIC"/>
    <s v="NULL"/>
    <s v="180"/>
    <s v="DISMISSED"/>
    <n v="6"/>
    <s v="DISMISSED"/>
    <m/>
    <m/>
    <m/>
    <s v="POSS CS PG 1 &lt;1G"/>
    <m/>
    <s v="FS"/>
    <s v="POSS DRUG"/>
    <m/>
    <m/>
    <m/>
    <m/>
    <m/>
    <m/>
    <m/>
    <m/>
    <m/>
    <s v="Hired Attorney"/>
    <m/>
    <m/>
    <n v="2"/>
    <n v="145"/>
    <n v="145"/>
    <n v="38.887978142076506"/>
    <n v="0"/>
    <n v="-143"/>
    <s v="NO CONVICTION"/>
    <x v="1"/>
    <s v="Y"/>
    <m/>
    <s v="NO CONVICTION"/>
    <s v="Y"/>
    <x v="1"/>
    <x v="0"/>
    <s v="N"/>
    <n v="1.3793103448275862E-2"/>
    <n v="1.3793103448275862E-2"/>
    <n v="0"/>
    <n v="0"/>
    <n v="-2"/>
    <n v="0"/>
    <n v="2"/>
    <e v="#VALUE!"/>
    <n v="2"/>
    <n v="0"/>
    <m/>
    <m/>
    <s v="N"/>
    <m/>
    <s v="0-10 DAYS"/>
    <n v="1"/>
    <x v="0"/>
  </r>
  <r>
    <n v="2849"/>
    <s v="N"/>
    <s v="N"/>
    <n v="2614245"/>
    <n v="1"/>
    <d v="2012-04-15T00:00:00"/>
    <d v="2012-07-09T00:00:00"/>
    <n v="2614245"/>
    <d v="2012-04-15T00:00:00"/>
    <d v="2012-04-16T00:00:00"/>
    <n v="5000"/>
    <x v="4"/>
    <d v="2012-04-16T00:00:00"/>
    <s v="Y"/>
    <s v="SURETY"/>
    <s v="DISMISSED"/>
    <n v="2"/>
    <n v="86"/>
    <n v="0"/>
    <n v="0"/>
    <m/>
    <m/>
    <m/>
    <m/>
    <m/>
    <m/>
    <m/>
    <s v="S"/>
    <m/>
    <d v="1992-03-07T00:00:00"/>
    <s v="F"/>
    <s v="H"/>
    <s v="HISPANIC"/>
    <s v="NULL"/>
    <s v="338"/>
    <s v="DISMISSED"/>
    <n v="4"/>
    <s v="DISMISSED"/>
    <m/>
    <m/>
    <m/>
    <s v="POSS CS PG 1 &lt;1G"/>
    <m/>
    <s v="FS"/>
    <s v="POSS DRUG"/>
    <m/>
    <m/>
    <m/>
    <m/>
    <m/>
    <m/>
    <m/>
    <m/>
    <m/>
    <s v="Hired Attorney"/>
    <m/>
    <m/>
    <n v="2"/>
    <n v="86"/>
    <n v="86"/>
    <n v="20.065573770491802"/>
    <n v="0"/>
    <n v="-84"/>
    <s v="NO CONVICTION"/>
    <x v="1"/>
    <s v="Y"/>
    <m/>
    <s v="NO CONVICTION"/>
    <s v="Y"/>
    <x v="1"/>
    <x v="0"/>
    <s v="N"/>
    <n v="2.3255813953488372E-2"/>
    <n v="2.3255813953488372E-2"/>
    <n v="0"/>
    <n v="0"/>
    <n v="-2"/>
    <n v="0"/>
    <n v="2"/>
    <e v="#VALUE!"/>
    <n v="2"/>
    <n v="0"/>
    <m/>
    <m/>
    <s v="N"/>
    <m/>
    <s v="0-10 DAYS"/>
    <n v="1"/>
    <x v="0"/>
  </r>
  <r>
    <n v="2850"/>
    <s v="N"/>
    <s v="N"/>
    <n v="2614253"/>
    <n v="2"/>
    <d v="2012-04-15T00:00:00"/>
    <d v="2012-10-03T00:00:00"/>
    <n v="2614253"/>
    <d v="2012-04-15T00:00:00"/>
    <d v="2012-04-16T00:00:00"/>
    <n v="5000"/>
    <x v="4"/>
    <d v="2012-04-16T00:00:00"/>
    <s v="Y"/>
    <s v="SURETY"/>
    <s v="DEFERRED ADJUDICATION "/>
    <n v="2"/>
    <n v="172"/>
    <n v="0"/>
    <n v="0"/>
    <m/>
    <m/>
    <m/>
    <m/>
    <m/>
    <m/>
    <m/>
    <s v="S"/>
    <m/>
    <d v="1990-06-22T00:00:00"/>
    <s v="F"/>
    <s v="H"/>
    <s v="HISPANIC"/>
    <s v="NULL"/>
    <s v="208"/>
    <s v="DEFERRED"/>
    <n v="7"/>
    <s v="DEFERRED"/>
    <m/>
    <m/>
    <m/>
    <s v="ASSAULT-BOD INJ-PUB SERV/RETAL"/>
    <m/>
    <s v="F3"/>
    <s v="ASLT-MURDR"/>
    <m/>
    <m/>
    <m/>
    <m/>
    <m/>
    <m/>
    <m/>
    <m/>
    <m/>
    <s v="Hired Attorney"/>
    <m/>
    <m/>
    <n v="2"/>
    <n v="172"/>
    <n v="172"/>
    <n v="21.770491803278688"/>
    <n v="0"/>
    <n v="-170"/>
    <s v="DEFERRED"/>
    <x v="1"/>
    <s v="Y"/>
    <m/>
    <s v="DEFERRED"/>
    <s v="Y"/>
    <x v="1"/>
    <x v="0"/>
    <s v="N"/>
    <n v="1.1627906976744186E-2"/>
    <n v="1.1627906976744186E-2"/>
    <n v="0"/>
    <n v="0"/>
    <n v="-2"/>
    <n v="0"/>
    <n v="2"/>
    <e v="#VALUE!"/>
    <n v="2"/>
    <n v="0"/>
    <m/>
    <m/>
    <s v="N"/>
    <m/>
    <s v="0-10 DAYS"/>
    <n v="1"/>
    <x v="0"/>
  </r>
  <r>
    <n v="2857"/>
    <s v="N"/>
    <s v="N"/>
    <n v="2614292"/>
    <n v="6"/>
    <d v="2012-04-15T00:00:00"/>
    <d v="2013-04-10T00:00:00"/>
    <n v="2614292"/>
    <d v="2012-04-16T00:00:00"/>
    <d v="2013-04-10T00:00:00"/>
    <n v="30000"/>
    <x v="2"/>
    <m/>
    <s v="N"/>
    <s v="NONE"/>
    <s v="GUILTY PLEA - NO JURY"/>
    <n v="360"/>
    <n v="361"/>
    <n v="0"/>
    <n v="0"/>
    <m/>
    <m/>
    <m/>
    <m/>
    <m/>
    <m/>
    <m/>
    <m/>
    <m/>
    <d v="1994-03-28T00:00:00"/>
    <s v="M"/>
    <s v="B"/>
    <s v="BLACK"/>
    <s v="NULL"/>
    <s v="180"/>
    <s v="CONVICTED"/>
    <n v="13"/>
    <s v="TDC"/>
    <n v="10"/>
    <m/>
    <m/>
    <s v="AGG ROBBERY-DEADLY WPN"/>
    <m/>
    <s v="F1"/>
    <s v="ROBBERY"/>
    <m/>
    <m/>
    <m/>
    <m/>
    <m/>
    <m/>
    <m/>
    <m/>
    <m/>
    <s v="Appointed Attorney"/>
    <m/>
    <m/>
    <n v="360"/>
    <n v="360"/>
    <n v="361"/>
    <n v="18.013661202185791"/>
    <n v="0"/>
    <n v="0"/>
    <s v="CONVICTION"/>
    <x v="0"/>
    <s v="N"/>
    <m/>
    <s v="CONVICTION"/>
    <s v="Y"/>
    <x v="0"/>
    <x v="0"/>
    <s v="N"/>
    <n v="0.99722991689750695"/>
    <n v="1"/>
    <n v="2.7700831024930483E-3"/>
    <n v="0"/>
    <n v="-360"/>
    <n v="0"/>
    <n v="360"/>
    <e v="#VALUE!"/>
    <n v="360"/>
    <n v="0"/>
    <m/>
    <m/>
    <s v="N"/>
    <m/>
    <s v="121-365 DAYS"/>
    <n v="6"/>
    <x v="0"/>
  </r>
  <r>
    <n v="2863"/>
    <s v="N"/>
    <s v="N"/>
    <n v="2614307"/>
    <n v="1"/>
    <d v="2012-04-15T00:00:00"/>
    <d v="2012-08-16T00:00:00"/>
    <n v="2614307"/>
    <d v="2012-04-16T00:00:00"/>
    <d v="2012-04-17T00:00:00"/>
    <n v="2000"/>
    <x v="5"/>
    <d v="2012-04-17T00:00:00"/>
    <s v="Y"/>
    <s v="PTR"/>
    <s v="DISMISSED"/>
    <n v="2"/>
    <n v="124"/>
    <n v="0"/>
    <n v="0"/>
    <m/>
    <m/>
    <m/>
    <m/>
    <m/>
    <m/>
    <m/>
    <m/>
    <m/>
    <d v="1993-09-25T00:00:00"/>
    <s v="F"/>
    <s v="W"/>
    <s v="WHITE"/>
    <s v="NULL"/>
    <s v="232"/>
    <s v="DISMISSED"/>
    <n v="6"/>
    <s v="DISMISSED"/>
    <m/>
    <m/>
    <m/>
    <s v="CREDIT/DEBIT CARD ABUSE"/>
    <m/>
    <s v="FS"/>
    <s v="OTHER FEL"/>
    <m/>
    <m/>
    <m/>
    <m/>
    <m/>
    <m/>
    <m/>
    <m/>
    <m/>
    <s v="Appointed Attorney"/>
    <m/>
    <m/>
    <n v="2"/>
    <n v="123"/>
    <n v="124"/>
    <n v="18.516393442622952"/>
    <n v="0"/>
    <n v="-121"/>
    <s v="NO CONVICTION"/>
    <x v="2"/>
    <s v="Y"/>
    <m/>
    <s v="NO CONVICTION"/>
    <s v="Y"/>
    <x v="1"/>
    <x v="0"/>
    <s v="N"/>
    <n v="1.6129032258064516E-2"/>
    <n v="1.6260162601626018E-2"/>
    <n v="1.311303435615023E-4"/>
    <n v="0"/>
    <n v="-2"/>
    <n v="0"/>
    <n v="2"/>
    <e v="#VALUE!"/>
    <n v="2"/>
    <n v="0"/>
    <m/>
    <m/>
    <s v="N"/>
    <m/>
    <s v="0-10 DAYS"/>
    <n v="1"/>
    <x v="0"/>
  </r>
  <r>
    <n v="2870"/>
    <s v="N"/>
    <s v="N"/>
    <n v="2614415"/>
    <n v="2"/>
    <d v="2012-04-16T00:00:00"/>
    <d v="2012-11-08T00:00:00"/>
    <n v="2614415"/>
    <s v="NOT BOOKED"/>
    <s v="NOT BOOKED"/>
    <n v="2000"/>
    <x v="5"/>
    <d v="2012-04-17T00:00:00"/>
    <s v="Y"/>
    <s v="SURETY"/>
    <s v="DEFERRED ADJUDICATION "/>
    <n v="0"/>
    <n v="207"/>
    <n v="0"/>
    <n v="0"/>
    <m/>
    <m/>
    <m/>
    <m/>
    <m/>
    <m/>
    <m/>
    <m/>
    <m/>
    <d v="1983-01-04T00:00:00"/>
    <s v="M"/>
    <s v="B"/>
    <s v="BLACK"/>
    <s v="NULL"/>
    <s v="232"/>
    <s v="DEFERRED"/>
    <n v="10"/>
    <s v="DEFERRED"/>
    <m/>
    <m/>
    <m/>
    <s v="THEFT $1500-20K"/>
    <m/>
    <s v="FS"/>
    <s v="THEFT"/>
    <m/>
    <m/>
    <m/>
    <m/>
    <m/>
    <m/>
    <m/>
    <m/>
    <m/>
    <s v="Hired Attorney"/>
    <m/>
    <m/>
    <n v="0"/>
    <n v="0"/>
    <n v="207"/>
    <n v="29.221311475409838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871"/>
    <s v="N"/>
    <s v="N"/>
    <n v="2614447"/>
    <n v="6"/>
    <d v="2012-04-16T00:00:00"/>
    <d v="2012-09-27T00:00:00"/>
    <n v="2614447"/>
    <d v="2012-04-18T00:00:00"/>
    <d v="2012-09-27T00:00:00"/>
    <n v="80000"/>
    <x v="2"/>
    <m/>
    <s v="N"/>
    <s v="NONE"/>
    <s v="GUILTY PLEA - NO JURY"/>
    <n v="163"/>
    <n v="165"/>
    <n v="0"/>
    <n v="0"/>
    <m/>
    <m/>
    <m/>
    <m/>
    <m/>
    <m/>
    <m/>
    <s v="S"/>
    <m/>
    <d v="1972-12-21T00:00:00"/>
    <s v="M"/>
    <s v="H"/>
    <s v="HISPANIC"/>
    <s v="NULL"/>
    <s v="180"/>
    <s v="CONVICTED"/>
    <n v="10"/>
    <s v="TDC"/>
    <n v="2"/>
    <m/>
    <m/>
    <s v="SEXUAL ASSAULT"/>
    <m/>
    <s v="F2"/>
    <s v="RAPE"/>
    <m/>
    <m/>
    <m/>
    <m/>
    <m/>
    <m/>
    <m/>
    <m/>
    <m/>
    <s v="Appointed Attorney"/>
    <m/>
    <m/>
    <n v="163"/>
    <n v="163"/>
    <n v="165"/>
    <n v="39.23770491803279"/>
    <n v="0"/>
    <n v="0"/>
    <s v="CONVICTION"/>
    <x v="0"/>
    <s v="N"/>
    <m/>
    <s v="CONVICTION"/>
    <s v="Y"/>
    <x v="0"/>
    <x v="0"/>
    <s v="N"/>
    <n v="0.98787878787878791"/>
    <n v="1"/>
    <n v="1.2121212121212088E-2"/>
    <n v="0"/>
    <n v="-163"/>
    <n v="0"/>
    <n v="163"/>
    <e v="#VALUE!"/>
    <n v="163"/>
    <n v="0"/>
    <m/>
    <m/>
    <s v="N"/>
    <m/>
    <s v="121-365 DAYS"/>
    <n v="6"/>
    <x v="0"/>
  </r>
  <r>
    <n v="2872"/>
    <s v="N"/>
    <s v="N"/>
    <n v="2614474"/>
    <n v="1"/>
    <d v="2012-04-16T00:00:00"/>
    <d v="2013-10-23T00:00:00"/>
    <n v="2614474"/>
    <s v="NOT BOOKED"/>
    <s v="NOT BOOKED"/>
    <n v="40000"/>
    <x v="2"/>
    <d v="2012-06-05T00:00:00"/>
    <s v="Y"/>
    <s v="SURETY"/>
    <s v="DISMISSED"/>
    <n v="0"/>
    <n v="556"/>
    <n v="0"/>
    <n v="0"/>
    <m/>
    <m/>
    <m/>
    <m/>
    <m/>
    <m/>
    <m/>
    <m/>
    <m/>
    <d v="1978-11-23T00:00:00"/>
    <s v="M"/>
    <s v="W"/>
    <s v="WHITE"/>
    <s v="NULL"/>
    <s v="263"/>
    <s v="DISMISSED"/>
    <n v="19"/>
    <s v="DISMISSED"/>
    <m/>
    <m/>
    <m/>
    <s v="MAN/DEL CS PG II 4-400 GRAMS"/>
    <m/>
    <s v="F1"/>
    <s v="SALE DRUG"/>
    <m/>
    <m/>
    <m/>
    <m/>
    <m/>
    <m/>
    <m/>
    <m/>
    <m/>
    <s v="Hired Attorney"/>
    <m/>
    <m/>
    <n v="0"/>
    <e v="#VALUE!"/>
    <n v="556"/>
    <n v="33.327868852459019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s v="NOT BOOKED"/>
    <n v="0"/>
    <n v="0"/>
    <m/>
    <m/>
    <s v="N"/>
    <m/>
    <s v="0-10 DAYS"/>
    <n v="1"/>
    <x v="1"/>
  </r>
  <r>
    <n v="2878"/>
    <s v="N"/>
    <s v="N"/>
    <n v="2614525"/>
    <n v="1"/>
    <d v="2012-04-17T00:00:00"/>
    <d v="2012-06-12T00:00:00"/>
    <n v="2614525"/>
    <d v="2012-04-17T00:00:00"/>
    <d v="2012-04-19T00:00:00"/>
    <n v="2000"/>
    <x v="5"/>
    <d v="2012-04-19T00:00:00"/>
    <s v="Y"/>
    <s v="SURETY"/>
    <s v="DISMISSED"/>
    <n v="3"/>
    <n v="57"/>
    <n v="0"/>
    <n v="0"/>
    <m/>
    <m/>
    <m/>
    <m/>
    <m/>
    <m/>
    <m/>
    <m/>
    <m/>
    <d v="1955-07-15T00:00:00"/>
    <s v="M"/>
    <s v="B"/>
    <s v="BLACK"/>
    <s v="NULL"/>
    <s v="174"/>
    <s v="DISMISSED"/>
    <n v="3"/>
    <s v="DISMISSED"/>
    <m/>
    <m/>
    <m/>
    <s v="POSS CS PG 1 &lt;1G"/>
    <m/>
    <s v="FS"/>
    <s v="POSS DRUG"/>
    <m/>
    <m/>
    <m/>
    <m/>
    <m/>
    <m/>
    <m/>
    <m/>
    <m/>
    <s v="Hired Attorney"/>
    <m/>
    <m/>
    <n v="3"/>
    <n v="57"/>
    <n v="57"/>
    <n v="56.642076502732237"/>
    <n v="0"/>
    <n v="-54"/>
    <s v="NO CONVICTION"/>
    <x v="1"/>
    <s v="Y"/>
    <m/>
    <s v="NO CONVICTION"/>
    <s v="Y"/>
    <x v="1"/>
    <x v="0"/>
    <s v="N"/>
    <n v="5.2631578947368418E-2"/>
    <n v="5.2631578947368418E-2"/>
    <n v="0"/>
    <n v="0"/>
    <n v="-3"/>
    <n v="0"/>
    <n v="3"/>
    <e v="#VALUE!"/>
    <n v="3"/>
    <n v="0"/>
    <m/>
    <m/>
    <s v="N"/>
    <m/>
    <s v="0-10 DAYS"/>
    <n v="1"/>
    <x v="0"/>
  </r>
  <r>
    <n v="2882"/>
    <s v="N"/>
    <s v="N"/>
    <n v="2614536"/>
    <n v="2"/>
    <d v="2012-04-17T00:00:00"/>
    <d v="2012-09-25T00:00:00"/>
    <n v="2614536"/>
    <d v="2012-04-17T00:00:00"/>
    <d v="2012-04-18T00:00:00"/>
    <n v="5000"/>
    <x v="4"/>
    <d v="2012-04-18T00:00:00"/>
    <s v="Y"/>
    <s v="SURETY"/>
    <s v="DEFERRED ADJUDICATION "/>
    <n v="2"/>
    <n v="162"/>
    <n v="0"/>
    <n v="0"/>
    <m/>
    <m/>
    <m/>
    <m/>
    <m/>
    <m/>
    <m/>
    <s v="S"/>
    <m/>
    <d v="1991-04-04T00:00:00"/>
    <s v="F"/>
    <s v="H"/>
    <s v="HISPANIC"/>
    <s v="NULL"/>
    <s v="339"/>
    <s v="DEFERRED"/>
    <n v="7"/>
    <s v="DEFERRED"/>
    <m/>
    <m/>
    <m/>
    <s v="ENGAGING IN ORG CRIM ACTIVITY"/>
    <m/>
    <s v="F3"/>
    <s v="OTHER FEL"/>
    <m/>
    <m/>
    <m/>
    <m/>
    <m/>
    <m/>
    <m/>
    <m/>
    <m/>
    <s v="Hired Attorney"/>
    <m/>
    <m/>
    <n v="2"/>
    <n v="162"/>
    <n v="162"/>
    <n v="20.994535519125684"/>
    <n v="0"/>
    <n v="-160"/>
    <s v="DEFERRED"/>
    <x v="1"/>
    <s v="Y"/>
    <m/>
    <s v="DEFERRED"/>
    <s v="Y"/>
    <x v="1"/>
    <x v="0"/>
    <s v="N"/>
    <n v="1.2345679012345678E-2"/>
    <n v="1.2345679012345678E-2"/>
    <n v="0"/>
    <n v="0"/>
    <n v="-2"/>
    <n v="0"/>
    <n v="2"/>
    <e v="#VALUE!"/>
    <n v="2"/>
    <n v="0"/>
    <m/>
    <m/>
    <s v="N"/>
    <m/>
    <s v="0-10 DAYS"/>
    <n v="1"/>
    <x v="0"/>
  </r>
  <r>
    <n v="2884"/>
    <s v="N"/>
    <s v="N"/>
    <n v="2614537"/>
    <n v="1"/>
    <d v="2012-04-17T00:00:00"/>
    <d v="2012-07-26T00:00:00"/>
    <n v="2614537"/>
    <d v="2012-04-17T00:00:00"/>
    <d v="2012-04-18T00:00:00"/>
    <n v="2000"/>
    <x v="5"/>
    <d v="2012-04-18T00:00:00"/>
    <s v="Y"/>
    <s v="SURETYPTRc"/>
    <s v="DISMISSED"/>
    <n v="2"/>
    <n v="101"/>
    <n v="0"/>
    <n v="0"/>
    <m/>
    <m/>
    <m/>
    <m/>
    <m/>
    <m/>
    <m/>
    <m/>
    <m/>
    <d v="1989-12-25T00:00:00"/>
    <s v="F"/>
    <s v="B"/>
    <s v="BLACK"/>
    <s v="NULL"/>
    <s v="183"/>
    <s v="DISMISSED"/>
    <n v="7"/>
    <s v="DISMISSED"/>
    <m/>
    <m/>
    <m/>
    <s v="ABAN/ENDANG CHILD W/INT TO RET"/>
    <m/>
    <s v="FS"/>
    <s v="OTHER FEL"/>
    <m/>
    <m/>
    <m/>
    <m/>
    <m/>
    <m/>
    <m/>
    <m/>
    <m/>
    <s v="Appointed Attorney"/>
    <m/>
    <m/>
    <n v="2"/>
    <n v="101"/>
    <n v="101"/>
    <n v="22.265027322404372"/>
    <n v="0"/>
    <n v="-99"/>
    <s v="NO CONVICTION"/>
    <x v="1"/>
    <s v="Y"/>
    <m/>
    <s v="NO CONVICTION"/>
    <s v="Y"/>
    <x v="1"/>
    <x v="0"/>
    <s v="N"/>
    <n v="1.9801980198019802E-2"/>
    <n v="1.9801980198019802E-2"/>
    <n v="0"/>
    <n v="0"/>
    <n v="-2"/>
    <n v="0"/>
    <n v="2"/>
    <e v="#VALUE!"/>
    <n v="2"/>
    <n v="0"/>
    <m/>
    <m/>
    <s v="N"/>
    <m/>
    <s v="0-10 DAYS"/>
    <n v="1"/>
    <x v="0"/>
  </r>
  <r>
    <n v="2889"/>
    <s v="N"/>
    <s v="N"/>
    <n v="2614575"/>
    <n v="2"/>
    <d v="2012-04-17T00:00:00"/>
    <d v="2013-02-13T00:00:00"/>
    <n v="2614575"/>
    <s v="NOT BOOKED"/>
    <s v="NOT BOOKED"/>
    <n v="2000"/>
    <x v="5"/>
    <d v="2012-04-26T00:00:00"/>
    <s v="Y"/>
    <s v="SURETY"/>
    <s v="DEFERRED ADJUDICATION "/>
    <n v="0"/>
    <n v="303"/>
    <n v="0"/>
    <n v="0"/>
    <m/>
    <m/>
    <m/>
    <m/>
    <m/>
    <m/>
    <m/>
    <m/>
    <m/>
    <d v="1990-04-23T00:00:00"/>
    <s v="M"/>
    <s v="W"/>
    <s v="WHITE"/>
    <s v="NULL"/>
    <s v="178"/>
    <s v="DEFERRED"/>
    <n v="13"/>
    <s v="DEFERRED"/>
    <m/>
    <m/>
    <m/>
    <s v="THEFT $1500-20K"/>
    <m/>
    <s v="FS"/>
    <s v="THEFT"/>
    <m/>
    <m/>
    <m/>
    <m/>
    <m/>
    <m/>
    <m/>
    <m/>
    <m/>
    <s v="Hired Attorney"/>
    <m/>
    <m/>
    <n v="0"/>
    <n v="0"/>
    <n v="303"/>
    <n v="21.939890710382514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892"/>
    <s v="N"/>
    <s v="N"/>
    <n v="2614594"/>
    <n v="1"/>
    <d v="2012-04-17T00:00:00"/>
    <d v="2012-07-11T00:00:00"/>
    <n v="2614594"/>
    <d v="2012-04-18T00:00:00"/>
    <d v="2012-04-21T00:00:00"/>
    <n v="5000"/>
    <x v="4"/>
    <d v="2012-04-21T00:00:00"/>
    <s v="Y"/>
    <s v="SURETYPTRc"/>
    <s v="NO BILL"/>
    <n v="4"/>
    <n v="86"/>
    <n v="0"/>
    <n v="0"/>
    <m/>
    <m/>
    <m/>
    <m/>
    <m/>
    <m/>
    <m/>
    <m/>
    <m/>
    <d v="1985-08-31T00:00:00"/>
    <s v="F"/>
    <s v="B"/>
    <s v="BLACK"/>
    <s v="NULL"/>
    <s v="183"/>
    <s v="NO BILL"/>
    <n v="8"/>
    <s v="NO BILL"/>
    <m/>
    <m/>
    <m/>
    <s v="STALKING"/>
    <m/>
    <s v="F3"/>
    <s v="OTHER FEL"/>
    <m/>
    <m/>
    <m/>
    <m/>
    <m/>
    <m/>
    <m/>
    <m/>
    <m/>
    <s v="Hired Attorney"/>
    <m/>
    <m/>
    <n v="4"/>
    <n v="85"/>
    <n v="86"/>
    <n v="26.57377049180328"/>
    <n v="0"/>
    <n v="-81"/>
    <s v="NO CONVICTION"/>
    <x v="1"/>
    <s v="Y"/>
    <m/>
    <s v="NO CONVICTION"/>
    <s v="Y"/>
    <x v="1"/>
    <x v="0"/>
    <s v="N"/>
    <n v="4.6511627906976744E-2"/>
    <n v="4.7058823529411764E-2"/>
    <n v="5.4719562243502051E-4"/>
    <n v="0"/>
    <n v="-4"/>
    <n v="0"/>
    <n v="4"/>
    <e v="#VALUE!"/>
    <n v="4"/>
    <n v="0"/>
    <m/>
    <m/>
    <s v="N"/>
    <m/>
    <s v="0-10 DAYS"/>
    <n v="1"/>
    <x v="0"/>
  </r>
  <r>
    <n v="3093"/>
    <s v="N"/>
    <s v="N"/>
    <n v="2614596"/>
    <n v="5"/>
    <d v="2012-04-24T00:00:00"/>
    <d v="2013-08-01T00:00:00"/>
    <n v="2614596"/>
    <d v="2012-04-22T00:00:00"/>
    <d v="2013-08-01T00:00:00"/>
    <n v="270000"/>
    <x v="2"/>
    <m/>
    <s v="N"/>
    <s v="NONE"/>
    <s v="GUILTY PLEA - NO JURY"/>
    <n v="467"/>
    <n v="465"/>
    <n v="0"/>
    <n v="0"/>
    <m/>
    <m/>
    <m/>
    <m/>
    <m/>
    <m/>
    <m/>
    <m/>
    <m/>
    <d v="1974-12-13T00:00:00"/>
    <s v="M"/>
    <s v="B"/>
    <s v="BLACK"/>
    <s v="NULL"/>
    <s v="208"/>
    <s v="CONVICTED"/>
    <n v="19"/>
    <s v="STJ"/>
    <m/>
    <n v="15"/>
    <m/>
    <s v="ARSON"/>
    <m/>
    <s v="F2"/>
    <s v="ARSON"/>
    <m/>
    <m/>
    <m/>
    <m/>
    <m/>
    <m/>
    <m/>
    <m/>
    <m/>
    <s v="Appointed Attorney"/>
    <m/>
    <m/>
    <n v="467"/>
    <n v="467"/>
    <n v="465"/>
    <n v="37.286885245901637"/>
    <n v="0"/>
    <n v="0"/>
    <s v="CONVICTION"/>
    <x v="0"/>
    <s v="N"/>
    <m/>
    <s v="CONVICTION"/>
    <s v="Y"/>
    <x v="0"/>
    <x v="0"/>
    <s v="N"/>
    <n v="1"/>
    <n v="1.0043010752688173"/>
    <n v="4.3010752688172893E-3"/>
    <n v="0"/>
    <n v="-467"/>
    <n v="0"/>
    <n v="467"/>
    <e v="#VALUE!"/>
    <n v="467"/>
    <n v="0"/>
    <m/>
    <m/>
    <s v="N"/>
    <m/>
    <s v=" &gt;1YRS&lt;2YRS"/>
    <n v="0"/>
    <x v="0"/>
  </r>
  <r>
    <n v="2899"/>
    <s v="N"/>
    <s v="N"/>
    <n v="2614726"/>
    <n v="2"/>
    <d v="2012-04-17T00:00:00"/>
    <d v="2012-08-02T00:00:00"/>
    <n v="2614726"/>
    <d v="2012-04-18T00:00:00"/>
    <d v="2012-04-18T00:00:00"/>
    <n v="2000"/>
    <x v="5"/>
    <d v="2012-04-18T00:00:00"/>
    <s v="Y"/>
    <s v="PTR"/>
    <s v="DEFERRED ADJUDICATION "/>
    <n v="1"/>
    <n v="108"/>
    <n v="0"/>
    <n v="0"/>
    <m/>
    <m/>
    <m/>
    <m/>
    <m/>
    <m/>
    <m/>
    <s v="S"/>
    <m/>
    <d v="1985-01-17T00:00:00"/>
    <s v="M"/>
    <s v="H"/>
    <s v="HISPANIC"/>
    <s v="NULL"/>
    <s v="176"/>
    <s v="DEFERRED"/>
    <n v="4"/>
    <s v="DEFERRED"/>
    <m/>
    <m/>
    <m/>
    <s v="POSS CS PG 1 &lt;1G"/>
    <m/>
    <s v="FS"/>
    <s v="POSS DRUG"/>
    <m/>
    <m/>
    <m/>
    <m/>
    <m/>
    <m/>
    <m/>
    <m/>
    <m/>
    <s v="Hired Attorney"/>
    <m/>
    <m/>
    <n v="1"/>
    <n v="107"/>
    <n v="108"/>
    <n v="27.191256830601095"/>
    <n v="0"/>
    <n v="-106"/>
    <s v="DEFERRED"/>
    <x v="2"/>
    <s v="Y"/>
    <m/>
    <s v="DEFERRED"/>
    <s v="Y"/>
    <x v="1"/>
    <x v="0"/>
    <s v="N"/>
    <n v="9.2592592592592587E-3"/>
    <n v="9.3457943925233638E-3"/>
    <n v="8.6535133264105044E-5"/>
    <n v="0"/>
    <n v="-1"/>
    <n v="0"/>
    <n v="1"/>
    <e v="#VALUE!"/>
    <n v="1"/>
    <n v="0"/>
    <m/>
    <m/>
    <s v="N"/>
    <m/>
    <s v="0-10 DAYS"/>
    <n v="1"/>
    <x v="0"/>
  </r>
  <r>
    <n v="2908"/>
    <s v="N"/>
    <s v="N"/>
    <n v="2614737"/>
    <n v="2"/>
    <d v="2012-04-17T00:00:00"/>
    <d v="2012-08-15T00:00:00"/>
    <n v="2614737"/>
    <d v="2012-04-18T00:00:00"/>
    <d v="2012-04-19T00:00:00"/>
    <n v="10000"/>
    <x v="3"/>
    <d v="2012-04-19T00:00:00"/>
    <s v="Y"/>
    <s v="SURETY"/>
    <s v="DEFERRED ADJUDICATION "/>
    <n v="2"/>
    <n v="121"/>
    <n v="0"/>
    <n v="0"/>
    <m/>
    <m/>
    <m/>
    <m/>
    <m/>
    <m/>
    <m/>
    <m/>
    <m/>
    <d v="1993-08-01T00:00:00"/>
    <s v="M"/>
    <s v="B"/>
    <s v="BLACK"/>
    <s v="NULL"/>
    <s v="184"/>
    <s v="DEFERRED"/>
    <n v="8"/>
    <s v="DEFERRED"/>
    <m/>
    <m/>
    <m/>
    <s v="BURGLARY OF HABITATION"/>
    <m/>
    <s v="F2"/>
    <s v="BURGLARY"/>
    <m/>
    <m/>
    <m/>
    <m/>
    <m/>
    <m/>
    <m/>
    <m/>
    <m/>
    <s v="Hired Attorney"/>
    <m/>
    <m/>
    <n v="2"/>
    <n v="120"/>
    <n v="121"/>
    <n v="18.672131147540984"/>
    <n v="0"/>
    <n v="-118"/>
    <s v="DEFERRED"/>
    <x v="1"/>
    <s v="Y"/>
    <m/>
    <s v="DEFERRED"/>
    <s v="Y"/>
    <x v="1"/>
    <x v="0"/>
    <s v="N"/>
    <n v="1.6528925619834711E-2"/>
    <n v="1.6666666666666666E-2"/>
    <n v="1.3774104683195523E-4"/>
    <n v="0"/>
    <n v="-2"/>
    <n v="0"/>
    <n v="2"/>
    <e v="#VALUE!"/>
    <n v="2"/>
    <n v="0"/>
    <m/>
    <m/>
    <s v="N"/>
    <m/>
    <s v="0-10 DAYS"/>
    <n v="1"/>
    <x v="0"/>
  </r>
  <r>
    <n v="2909"/>
    <s v="N"/>
    <s v="N"/>
    <n v="2614738"/>
    <n v="1"/>
    <d v="2012-04-17T00:00:00"/>
    <d v="2012-10-10T00:00:00"/>
    <n v="2614738"/>
    <s v="NOT BOOKED"/>
    <s v="NOT BOOKED"/>
    <n v="2000"/>
    <x v="5"/>
    <d v="2012-04-19T00:00:00"/>
    <s v="Y"/>
    <s v="SURETY"/>
    <s v="DISMISSED"/>
    <n v="0"/>
    <n v="177"/>
    <n v="0"/>
    <n v="0"/>
    <m/>
    <m/>
    <m/>
    <m/>
    <m/>
    <m/>
    <m/>
    <m/>
    <m/>
    <d v="1992-01-27T00:00:00"/>
    <s v="F"/>
    <s v="W"/>
    <s v="WHITE"/>
    <s v="NULL"/>
    <s v="232"/>
    <s v="DISMISSED"/>
    <n v="7"/>
    <s v="DISMISSED"/>
    <m/>
    <m/>
    <m/>
    <s v="CREDIT/DEBIT CARD ABUSE"/>
    <m/>
    <s v="FS"/>
    <s v="OTHER FEL"/>
    <m/>
    <m/>
    <m/>
    <m/>
    <m/>
    <m/>
    <m/>
    <m/>
    <m/>
    <s v="Hired Attorney"/>
    <m/>
    <m/>
    <n v="0"/>
    <n v="0"/>
    <n v="177"/>
    <n v="20.180327868852459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2915"/>
    <s v="N"/>
    <s v="N"/>
    <n v="2614748"/>
    <n v="1"/>
    <d v="2012-04-17T00:00:00"/>
    <d v="2013-11-14T00:00:00"/>
    <n v="2614748"/>
    <d v="2012-04-18T00:00:00"/>
    <d v="2012-04-26T00:00:00"/>
    <n v="30000"/>
    <x v="2"/>
    <d v="2012-04-26T00:00:00"/>
    <s v="Y"/>
    <s v="SURETY"/>
    <s v="DISMISSED"/>
    <n v="9"/>
    <n v="577"/>
    <n v="0"/>
    <n v="0"/>
    <m/>
    <m/>
    <m/>
    <m/>
    <m/>
    <m/>
    <m/>
    <m/>
    <m/>
    <d v="1984-09-11T00:00:00"/>
    <s v="M"/>
    <s v="W"/>
    <s v="WHITE"/>
    <s v="NULL"/>
    <s v="351"/>
    <s v="DISMISSED"/>
    <n v="20"/>
    <s v="DISMISSED"/>
    <m/>
    <m/>
    <m/>
    <s v="AGG ROBBERY-DEADLY WPN"/>
    <m/>
    <s v="F1"/>
    <s v="ROBBERY"/>
    <m/>
    <m/>
    <m/>
    <m/>
    <m/>
    <m/>
    <m/>
    <m/>
    <m/>
    <s v="Hired Attorney"/>
    <m/>
    <m/>
    <n v="9"/>
    <n v="576"/>
    <n v="577"/>
    <n v="27.540983606557376"/>
    <n v="0"/>
    <n v="-567"/>
    <s v="NO CONVICTION"/>
    <x v="1"/>
    <s v="Y"/>
    <m/>
    <s v="NO CONVICTION"/>
    <s v="Y"/>
    <x v="1"/>
    <x v="0"/>
    <s v="N"/>
    <n v="1.5597920277296361E-2"/>
    <n v="1.5625E-2"/>
    <n v="2.7079722703639286E-5"/>
    <n v="0"/>
    <n v="-9"/>
    <n v="0"/>
    <n v="9"/>
    <e v="#VALUE!"/>
    <n v="9"/>
    <n v="0"/>
    <m/>
    <m/>
    <s v="N"/>
    <m/>
    <s v="0-10 DAYS"/>
    <n v="1"/>
    <x v="0"/>
  </r>
  <r>
    <n v="2913"/>
    <s v="N"/>
    <s v="N"/>
    <n v="2614749"/>
    <n v="2"/>
    <d v="2012-04-17T00:00:00"/>
    <d v="2012-05-03T00:00:00"/>
    <n v="2614749"/>
    <d v="2012-04-18T00:00:00"/>
    <d v="2012-05-03T00:00:00"/>
    <n v="2000"/>
    <x v="5"/>
    <m/>
    <s v="N"/>
    <s v="NONE"/>
    <s v="DEFERRED ADJUDICATION "/>
    <n v="16"/>
    <n v="17"/>
    <n v="0"/>
    <n v="0"/>
    <m/>
    <m/>
    <m/>
    <m/>
    <m/>
    <m/>
    <m/>
    <m/>
    <m/>
    <d v="1994-01-23T00:00:00"/>
    <s v="M"/>
    <s v="W"/>
    <s v="WHITE"/>
    <s v="NULL"/>
    <s v="262"/>
    <s v="DEFERRED"/>
    <n v="2"/>
    <s v="DEFERRED"/>
    <m/>
    <m/>
    <m/>
    <s v="POSS MARIJ  4 OZ. - 5 LBS."/>
    <m/>
    <s v="FS"/>
    <s v="POSS DRUG"/>
    <m/>
    <m/>
    <m/>
    <m/>
    <m/>
    <m/>
    <m/>
    <m/>
    <m/>
    <s v="Appointed Attorney"/>
    <m/>
    <m/>
    <n v="16"/>
    <n v="16"/>
    <n v="17"/>
    <n v="18.193989071038253"/>
    <n v="0"/>
    <n v="0"/>
    <s v="DEFERRED"/>
    <x v="0"/>
    <s v="N"/>
    <m/>
    <s v="DEFERRED"/>
    <s v="Y"/>
    <x v="0"/>
    <x v="0"/>
    <s v="N"/>
    <n v="0.94117647058823528"/>
    <n v="1"/>
    <n v="5.8823529411764719E-2"/>
    <n v="0"/>
    <n v="-16"/>
    <n v="0"/>
    <n v="16"/>
    <e v="#VALUE!"/>
    <n v="16"/>
    <n v="0"/>
    <m/>
    <m/>
    <s v="N"/>
    <m/>
    <s v="11-30 DAYS"/>
    <n v="2"/>
    <x v="0"/>
  </r>
  <r>
    <n v="2914"/>
    <s v="Y"/>
    <s v="N"/>
    <n v="2614750"/>
    <n v="2"/>
    <d v="2012-04-17T00:00:00"/>
    <d v="2012-04-20T00:00:00"/>
    <n v="2614750"/>
    <d v="2012-04-18T00:00:00"/>
    <d v="2012-04-20T00:00:00"/>
    <n v="2000"/>
    <x v="5"/>
    <m/>
    <s v="N"/>
    <s v="NONE"/>
    <s v="DEFERRED ADJUDICATION "/>
    <n v="3"/>
    <n v="4"/>
    <n v="0"/>
    <n v="0"/>
    <m/>
    <m/>
    <m/>
    <m/>
    <m/>
    <m/>
    <m/>
    <m/>
    <m/>
    <d v="1990-01-21T00:00:00"/>
    <s v="M"/>
    <s v="W"/>
    <s v="WHITE"/>
    <s v="NULL"/>
    <s v="262"/>
    <s v="DEFERRED"/>
    <n v="2"/>
    <s v="DEFERRED"/>
    <m/>
    <m/>
    <m/>
    <s v="POSS MARIJ  4 OZ. - 5 LBS."/>
    <m/>
    <s v="FS"/>
    <s v="POSS DRUG"/>
    <m/>
    <m/>
    <m/>
    <m/>
    <m/>
    <m/>
    <m/>
    <m/>
    <m/>
    <s v="Appointed Attorney"/>
    <s v="2/8/13 revoked FTR  7m stj"/>
    <m/>
    <n v="3"/>
    <n v="3"/>
    <n v="4"/>
    <n v="22.191256830601095"/>
    <n v="0"/>
    <n v="0"/>
    <s v="DEFERRED"/>
    <x v="0"/>
    <s v="N"/>
    <m/>
    <s v="DEFERRED"/>
    <s v="Y"/>
    <x v="0"/>
    <x v="0"/>
    <s v="N"/>
    <n v="0.75"/>
    <n v="1"/>
    <n v="0.25"/>
    <n v="0"/>
    <n v="-3"/>
    <n v="0"/>
    <n v="3"/>
    <e v="#VALUE!"/>
    <n v="3"/>
    <n v="0"/>
    <m/>
    <m/>
    <s v="N"/>
    <m/>
    <s v="0-10 DAYS"/>
    <n v="1"/>
    <x v="0"/>
  </r>
  <r>
    <n v="2929"/>
    <s v="N"/>
    <s v="N"/>
    <n v="2614816"/>
    <n v="1"/>
    <d v="2012-04-18T00:00:00"/>
    <d v="2012-07-12T00:00:00"/>
    <n v="2614816"/>
    <d v="2012-04-18T00:00:00"/>
    <d v="2012-04-23T00:00:00"/>
    <n v="30000"/>
    <x v="2"/>
    <d v="2012-04-23T00:00:00"/>
    <s v="Y"/>
    <s v="SURETY"/>
    <s v="DISMISSED"/>
    <n v="6"/>
    <n v="86"/>
    <n v="0"/>
    <n v="0"/>
    <m/>
    <m/>
    <m/>
    <m/>
    <m/>
    <m/>
    <m/>
    <m/>
    <m/>
    <d v="1989-10-02T00:00:00"/>
    <s v="M"/>
    <s v="B"/>
    <s v="BLACK"/>
    <s v="NULL"/>
    <s v="232"/>
    <s v="DISMISSED"/>
    <n v="5"/>
    <s v="DISMISSED"/>
    <m/>
    <m/>
    <m/>
    <s v="AGG ASSAULT W/DEADLY WEAPON"/>
    <m/>
    <s v="F2"/>
    <s v="ASLT-MURDR"/>
    <m/>
    <m/>
    <m/>
    <m/>
    <m/>
    <m/>
    <m/>
    <m/>
    <m/>
    <s v="Hired Attorney"/>
    <m/>
    <m/>
    <n v="6"/>
    <n v="86"/>
    <n v="86"/>
    <n v="22.497267759562842"/>
    <n v="0"/>
    <n v="-80"/>
    <s v="NO CONVICTION"/>
    <x v="1"/>
    <s v="Y"/>
    <m/>
    <s v="NO CONVICTION"/>
    <s v="Y"/>
    <x v="1"/>
    <x v="0"/>
    <s v="N"/>
    <n v="6.9767441860465115E-2"/>
    <n v="6.9767441860465115E-2"/>
    <n v="0"/>
    <n v="0"/>
    <n v="-6"/>
    <n v="0"/>
    <n v="6"/>
    <e v="#VALUE!"/>
    <n v="6"/>
    <n v="0"/>
    <m/>
    <m/>
    <s v="N"/>
    <m/>
    <s v="0-10 DAYS"/>
    <n v="1"/>
    <x v="0"/>
  </r>
  <r>
    <n v="2927"/>
    <s v="N"/>
    <s v="N"/>
    <n v="2614822"/>
    <n v="1"/>
    <d v="2012-04-18T00:00:00"/>
    <d v="2012-10-08T00:00:00"/>
    <n v="2614822"/>
    <d v="2012-04-28T00:00:00"/>
    <d v="2012-10-08T00:00:00"/>
    <n v="800000"/>
    <x v="2"/>
    <m/>
    <s v="N"/>
    <s v="NONE"/>
    <s v="DISMISSED"/>
    <n v="164"/>
    <n v="174"/>
    <n v="0"/>
    <n v="0"/>
    <m/>
    <m/>
    <m/>
    <m/>
    <m/>
    <m/>
    <m/>
    <m/>
    <m/>
    <d v="1968-02-09T00:00:00"/>
    <s v="F"/>
    <s v="W"/>
    <s v="WHITE"/>
    <s v="NULL"/>
    <s v="248"/>
    <s v="DISMISSED"/>
    <n v="6"/>
    <s v="DISMISSED"/>
    <m/>
    <m/>
    <m/>
    <s v="THEFT &gt;= $200,000"/>
    <m/>
    <s v="F1"/>
    <s v="THEFT"/>
    <s v="fel theft filed 8/16/12 disp 10/8/12   10 yrs tdc"/>
    <m/>
    <m/>
    <m/>
    <m/>
    <m/>
    <m/>
    <m/>
    <m/>
    <s v="Hired Attorney"/>
    <m/>
    <m/>
    <n v="164"/>
    <n v="164"/>
    <n v="174"/>
    <n v="44.098360655737707"/>
    <n v="0"/>
    <n v="0"/>
    <s v="NO CONVICTION"/>
    <x v="0"/>
    <s v="N"/>
    <m/>
    <s v="NO CONVICTION"/>
    <s v="Y"/>
    <x v="0"/>
    <x v="0"/>
    <s v="N"/>
    <n v="0.94252873563218387"/>
    <n v="1"/>
    <n v="5.7471264367816133E-2"/>
    <n v="0"/>
    <n v="-164"/>
    <n v="0"/>
    <n v="164"/>
    <e v="#VALUE!"/>
    <n v="164"/>
    <n v="0"/>
    <m/>
    <m/>
    <s v="N"/>
    <m/>
    <s v="121-365 DAYS"/>
    <n v="6"/>
    <x v="0"/>
  </r>
  <r>
    <n v="2945"/>
    <s v="N"/>
    <s v="N"/>
    <n v="2614923"/>
    <n v="2"/>
    <d v="2012-04-18T00:00:00"/>
    <d v="2012-09-06T00:00:00"/>
    <n v="2614923"/>
    <d v="2012-04-19T00:00:00"/>
    <d v="2012-04-20T00:00:00"/>
    <n v="5000"/>
    <x v="4"/>
    <d v="2012-04-20T00:00:00"/>
    <s v="Y"/>
    <s v="SURETY"/>
    <s v="DEFERRED ADJUDICATION "/>
    <n v="2"/>
    <n v="142"/>
    <n v="0"/>
    <n v="0"/>
    <m/>
    <m/>
    <m/>
    <m/>
    <m/>
    <m/>
    <m/>
    <m/>
    <m/>
    <d v="1994-02-10T00:00:00"/>
    <s v="M"/>
    <s v="W"/>
    <s v="WHITE"/>
    <s v="NULL"/>
    <s v="263"/>
    <s v="DEFERRED"/>
    <n v="6"/>
    <s v="DEFERRED"/>
    <m/>
    <m/>
    <m/>
    <s v="THEFT $1500-20K"/>
    <m/>
    <s v="FS"/>
    <s v="THEFT"/>
    <m/>
    <m/>
    <m/>
    <m/>
    <m/>
    <m/>
    <m/>
    <m/>
    <m/>
    <s v="Hired Attorney"/>
    <m/>
    <m/>
    <n v="2"/>
    <n v="141"/>
    <n v="142"/>
    <n v="18.147540983606557"/>
    <n v="0"/>
    <n v="-139"/>
    <s v="DEFERRED"/>
    <x v="1"/>
    <s v="Y"/>
    <m/>
    <s v="DEFERRED"/>
    <s v="Y"/>
    <x v="1"/>
    <x v="0"/>
    <s v="N"/>
    <n v="1.4084507042253521E-2"/>
    <n v="1.4184397163120567E-2"/>
    <n v="9.9890120867045587E-5"/>
    <n v="0"/>
    <n v="-2"/>
    <n v="0"/>
    <n v="2"/>
    <e v="#VALUE!"/>
    <n v="2"/>
    <n v="0"/>
    <m/>
    <m/>
    <s v="N"/>
    <m/>
    <s v="0-10 DAYS"/>
    <n v="1"/>
    <x v="0"/>
  </r>
  <r>
    <n v="2947"/>
    <s v="N"/>
    <s v="N"/>
    <n v="2614928"/>
    <n v="5"/>
    <d v="2012-04-18T00:00:00"/>
    <d v="2012-04-23T00:00:00"/>
    <n v="2614928"/>
    <d v="2012-04-19T00:00:00"/>
    <d v="2012-04-23T00:00:00"/>
    <n v="35000"/>
    <x v="2"/>
    <m/>
    <s v="N"/>
    <s v="NONE"/>
    <s v="GUILTY PLEA - NO JURY"/>
    <n v="5"/>
    <n v="6"/>
    <n v="0"/>
    <n v="0"/>
    <m/>
    <m/>
    <m/>
    <m/>
    <m/>
    <m/>
    <m/>
    <s v="S"/>
    <m/>
    <d v="1984-01-12T00:00:00"/>
    <s v="M"/>
    <s v="H"/>
    <s v="HISPANIC"/>
    <s v="NULL"/>
    <s v="337"/>
    <s v="CONVICTED"/>
    <n v="2"/>
    <s v="STJ"/>
    <m/>
    <n v="6"/>
    <m/>
    <s v="ATT TAMPER GOVT RECORD"/>
    <m/>
    <s v="FS"/>
    <s v="OTHER FEL"/>
    <m/>
    <m/>
    <m/>
    <m/>
    <m/>
    <m/>
    <m/>
    <m/>
    <m/>
    <s v="Appointed Attorney"/>
    <m/>
    <m/>
    <n v="5"/>
    <n v="5"/>
    <n v="6"/>
    <n v="28.207650273224044"/>
    <n v="0"/>
    <n v="0"/>
    <s v="CONVICTION"/>
    <x v="0"/>
    <s v="N"/>
    <m/>
    <s v="CONVICTION"/>
    <s v="Y"/>
    <x v="0"/>
    <x v="0"/>
    <s v="N"/>
    <n v="0.83333333333333337"/>
    <n v="1"/>
    <n v="0.16666666666666663"/>
    <n v="0"/>
    <n v="-5"/>
    <n v="0"/>
    <n v="5"/>
    <e v="#VALUE!"/>
    <n v="5"/>
    <n v="0"/>
    <m/>
    <m/>
    <s v="N"/>
    <m/>
    <s v="0-10 DAYS"/>
    <n v="1"/>
    <x v="0"/>
  </r>
  <r>
    <n v="2946"/>
    <s v="N"/>
    <s v="N"/>
    <n v="2614930"/>
    <n v="4"/>
    <d v="2012-04-18T00:00:00"/>
    <d v="2012-04-20T00:00:00"/>
    <n v="2614930"/>
    <d v="2012-04-19T00:00:00"/>
    <d v="2012-04-20T00:00:00"/>
    <n v="2000"/>
    <x v="5"/>
    <m/>
    <s v="N"/>
    <s v="NONE"/>
    <s v="GUILTY PLEA - NO JURY"/>
    <n v="2"/>
    <n v="3"/>
    <n v="0"/>
    <n v="0"/>
    <m/>
    <m/>
    <m/>
    <m/>
    <m/>
    <m/>
    <m/>
    <s v="S"/>
    <m/>
    <d v="1994-01-29T00:00:00"/>
    <s v="F"/>
    <s v="H"/>
    <s v="HISPANIC"/>
    <s v="NULL"/>
    <s v="183"/>
    <s v="CONVICTED"/>
    <n v="1"/>
    <s v="HCJ"/>
    <m/>
    <m/>
    <n v="90"/>
    <s v="POSS CS PG 1 &lt;1G"/>
    <m/>
    <s v="FS"/>
    <s v="POSS DRUG"/>
    <m/>
    <m/>
    <m/>
    <m/>
    <m/>
    <m/>
    <m/>
    <m/>
    <m/>
    <s v="Appointed Attorney"/>
    <m/>
    <m/>
    <n v="2"/>
    <n v="2"/>
    <n v="3"/>
    <n v="18.180327868852459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2959"/>
    <s v="Y"/>
    <s v="N"/>
    <n v="2614947"/>
    <n v="2"/>
    <d v="2012-04-19T00:00:00"/>
    <d v="2012-07-13T00:00:00"/>
    <n v="2614947"/>
    <d v="2012-04-19T00:00:00"/>
    <d v="2012-07-13T00:00:00"/>
    <n v="12000"/>
    <x v="0"/>
    <m/>
    <s v="N"/>
    <s v="NONE"/>
    <s v="DEFERRED ADJUDICATION "/>
    <n v="86"/>
    <n v="86"/>
    <n v="0"/>
    <n v="0"/>
    <m/>
    <m/>
    <m/>
    <m/>
    <m/>
    <m/>
    <m/>
    <m/>
    <m/>
    <d v="1991-11-03T00:00:00"/>
    <s v="M"/>
    <s v="B"/>
    <s v="BLACK"/>
    <s v="NON-HISPANIC"/>
    <s v="337"/>
    <s v="DEFERRED"/>
    <n v="4"/>
    <s v="DEFERRED"/>
    <m/>
    <m/>
    <m/>
    <s v="INTERFER W/POLICE SERVICE ANIM"/>
    <m/>
    <s v="FS"/>
    <s v="OTHER FEL"/>
    <m/>
    <m/>
    <m/>
    <m/>
    <m/>
    <m/>
    <m/>
    <m/>
    <m/>
    <s v="Appointed Attorney"/>
    <s v="rev 5/22/13 tdc"/>
    <m/>
    <n v="86"/>
    <n v="86"/>
    <n v="86"/>
    <n v="20.418032786885245"/>
    <n v="0"/>
    <n v="0"/>
    <s v="DEFERRED"/>
    <x v="0"/>
    <s v="N"/>
    <m/>
    <s v="DEFERRED"/>
    <s v="Y"/>
    <x v="0"/>
    <x v="0"/>
    <s v="N"/>
    <n v="1"/>
    <n v="1"/>
    <n v="0"/>
    <n v="0"/>
    <n v="-86"/>
    <n v="0"/>
    <n v="86"/>
    <e v="#VALUE!"/>
    <n v="86"/>
    <n v="0"/>
    <m/>
    <m/>
    <s v="N"/>
    <m/>
    <s v="61-90 DAYS"/>
    <n v="4"/>
    <x v="0"/>
  </r>
  <r>
    <n v="2963"/>
    <s v="N"/>
    <s v="N"/>
    <n v="2614960"/>
    <n v="4"/>
    <d v="2012-04-19T00:00:00"/>
    <d v="2012-04-20T00:00:00"/>
    <n v="2614960"/>
    <d v="2012-04-19T00:00:00"/>
    <d v="2012-04-20T00:00:00"/>
    <n v="35000"/>
    <x v="2"/>
    <m/>
    <s v="N"/>
    <s v="NONE"/>
    <s v="GUILTY PLEA - NO JURY"/>
    <n v="2"/>
    <n v="2"/>
    <n v="0"/>
    <n v="0"/>
    <m/>
    <m/>
    <m/>
    <m/>
    <m/>
    <m/>
    <m/>
    <s v="S"/>
    <m/>
    <d v="1986-08-13T00:00:00"/>
    <s v="M"/>
    <s v="H"/>
    <s v="HISPANIC"/>
    <s v="NULL"/>
    <s v="179"/>
    <s v="CONVICTED"/>
    <n v="1"/>
    <s v="HCJ"/>
    <m/>
    <m/>
    <n v="120"/>
    <s v="ATT FORGE GOVE INSTR"/>
    <m/>
    <s v="FS"/>
    <s v="OTHER FEL"/>
    <m/>
    <m/>
    <m/>
    <m/>
    <m/>
    <m/>
    <m/>
    <m/>
    <m/>
    <s v="Appointed Attorney"/>
    <m/>
    <m/>
    <n v="2"/>
    <n v="2"/>
    <n v="2"/>
    <n v="25.631147540983605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2969"/>
    <s v="N"/>
    <s v="N"/>
    <n v="2615035"/>
    <n v="6"/>
    <d v="2012-04-19T00:00:00"/>
    <d v="2012-09-11T00:00:00"/>
    <n v="2615035"/>
    <d v="2012-04-20T00:00:00"/>
    <d v="2012-09-11T00:00:00"/>
    <n v="10000"/>
    <x v="3"/>
    <m/>
    <s v="N"/>
    <s v="NONE"/>
    <s v="GUILTY PLEA - NO JURY"/>
    <n v="145"/>
    <n v="146"/>
    <n v="0"/>
    <n v="0"/>
    <m/>
    <m/>
    <m/>
    <m/>
    <m/>
    <m/>
    <m/>
    <s v="S"/>
    <m/>
    <d v="1994-12-20T00:00:00"/>
    <s v="M"/>
    <s v="H"/>
    <s v="HISPANIC"/>
    <s v="NULL"/>
    <s v="248"/>
    <s v="CONVICTED"/>
    <n v="7"/>
    <s v="TDC"/>
    <n v="2"/>
    <m/>
    <m/>
    <s v="BURGLARY OF HABITATION"/>
    <m/>
    <s v="F2"/>
    <s v="BURGLARY"/>
    <m/>
    <m/>
    <m/>
    <m/>
    <m/>
    <m/>
    <m/>
    <m/>
    <m/>
    <s v="Appointed Attorney"/>
    <m/>
    <m/>
    <n v="145"/>
    <n v="145"/>
    <n v="146"/>
    <n v="17.295081967213115"/>
    <n v="0"/>
    <n v="0"/>
    <s v="CONVICTION"/>
    <x v="0"/>
    <s v="N"/>
    <m/>
    <s v="CONVICTION"/>
    <s v="Y"/>
    <x v="0"/>
    <x v="0"/>
    <s v="N"/>
    <n v="0.99315068493150682"/>
    <n v="1"/>
    <n v="6.8493150684931781E-3"/>
    <n v="0"/>
    <n v="-145"/>
    <n v="0"/>
    <n v="145"/>
    <e v="#VALUE!"/>
    <n v="145"/>
    <n v="0"/>
    <m/>
    <m/>
    <s v="N"/>
    <m/>
    <s v="121-365 DAYS"/>
    <n v="6"/>
    <x v="0"/>
  </r>
  <r>
    <n v="2971"/>
    <s v="N"/>
    <s v="N"/>
    <n v="2615057"/>
    <n v="2"/>
    <d v="2012-04-19T00:00:00"/>
    <d v="2012-05-30T00:00:00"/>
    <n v="2615057"/>
    <d v="2012-04-19T00:00:00"/>
    <d v="2012-04-20T00:00:00"/>
    <n v="10000"/>
    <x v="3"/>
    <d v="2012-04-20T00:00:00"/>
    <s v="Y"/>
    <s v="SURETY"/>
    <s v="DEFERRED ADJUDICATION "/>
    <n v="2"/>
    <n v="42"/>
    <n v="0"/>
    <n v="0"/>
    <m/>
    <m/>
    <m/>
    <m/>
    <m/>
    <m/>
    <m/>
    <s v="S"/>
    <m/>
    <d v="1993-06-29T00:00:00"/>
    <s v="M"/>
    <s v="H"/>
    <s v="HISPANIC"/>
    <s v="NULL"/>
    <s v="179"/>
    <s v="DEFERRED"/>
    <n v="2"/>
    <s v="DEFERRED"/>
    <m/>
    <m/>
    <m/>
    <s v="TAMPER GOVT RECORD"/>
    <m/>
    <s v="F2"/>
    <s v="OTHER FEL"/>
    <m/>
    <m/>
    <m/>
    <m/>
    <m/>
    <m/>
    <m/>
    <m/>
    <m/>
    <s v="Appointed Attorney"/>
    <m/>
    <m/>
    <n v="2"/>
    <n v="42"/>
    <n v="42"/>
    <n v="18.76775956284153"/>
    <n v="0"/>
    <n v="-40"/>
    <s v="DEFERRED"/>
    <x v="1"/>
    <s v="Y"/>
    <m/>
    <s v="DEFERRED"/>
    <s v="Y"/>
    <x v="1"/>
    <x v="0"/>
    <s v="N"/>
    <n v="4.7619047619047616E-2"/>
    <n v="4.7619047619047616E-2"/>
    <n v="0"/>
    <n v="0"/>
    <n v="-2"/>
    <n v="0"/>
    <n v="2"/>
    <e v="#VALUE!"/>
    <n v="2"/>
    <n v="0"/>
    <m/>
    <m/>
    <s v="N"/>
    <m/>
    <s v="0-10 DAYS"/>
    <n v="1"/>
    <x v="0"/>
  </r>
  <r>
    <n v="2981"/>
    <s v="N"/>
    <s v="N"/>
    <n v="2615085"/>
    <n v="1"/>
    <d v="2012-04-19T00:00:00"/>
    <d v="2012-04-23T00:00:00"/>
    <n v="2615085"/>
    <d v="2012-04-20T00:00:00"/>
    <d v="2012-04-23T00:00:00"/>
    <n v="5000"/>
    <x v="4"/>
    <m/>
    <s v="N"/>
    <s v="NONE"/>
    <s v="DISMISSED"/>
    <n v="4"/>
    <n v="5"/>
    <n v="0"/>
    <n v="0"/>
    <m/>
    <m/>
    <m/>
    <m/>
    <m/>
    <m/>
    <m/>
    <m/>
    <m/>
    <d v="1995-01-08T00:00:00"/>
    <s v="M"/>
    <s v="B"/>
    <s v="BLACK"/>
    <s v="NULL"/>
    <s v="179"/>
    <s v="DISMISSED"/>
    <n v="1"/>
    <s v="DISMISSED"/>
    <m/>
    <m/>
    <m/>
    <s v="BURGLARY OF HABITATION"/>
    <m/>
    <s v="F2"/>
    <s v="BURGLARY"/>
    <s v="10/1/12  misd resist arr 8 d hcj"/>
    <m/>
    <m/>
    <m/>
    <m/>
    <m/>
    <m/>
    <m/>
    <m/>
    <s v="Appointed Attorney"/>
    <m/>
    <m/>
    <n v="4"/>
    <n v="4"/>
    <n v="5"/>
    <n v="17.243169398907103"/>
    <n v="0"/>
    <n v="0"/>
    <s v="NO CONVICTION"/>
    <x v="0"/>
    <s v="N"/>
    <m/>
    <s v="NO CONVICTION"/>
    <s v="Y"/>
    <x v="0"/>
    <x v="0"/>
    <s v="N"/>
    <n v="0.8"/>
    <n v="1"/>
    <n v="0.19999999999999996"/>
    <n v="0"/>
    <n v="-4"/>
    <n v="0"/>
    <n v="4"/>
    <e v="#VALUE!"/>
    <n v="4"/>
    <n v="0"/>
    <m/>
    <m/>
    <s v="N"/>
    <m/>
    <s v="0-10 DAYS"/>
    <n v="1"/>
    <x v="0"/>
  </r>
  <r>
    <n v="2988"/>
    <s v="N"/>
    <s v="N"/>
    <n v="2615103"/>
    <n v="1"/>
    <d v="2012-04-20T00:00:00"/>
    <d v="2012-06-26T00:00:00"/>
    <n v="2615103"/>
    <d v="2012-04-20T00:00:00"/>
    <d v="2012-04-21T00:00:00"/>
    <n v="35000"/>
    <x v="2"/>
    <d v="2012-04-21T00:00:00"/>
    <s v="Y"/>
    <s v="SURETYPTRc"/>
    <s v="DISMISSED"/>
    <n v="2"/>
    <n v="68"/>
    <n v="0"/>
    <n v="0"/>
    <m/>
    <m/>
    <m/>
    <m/>
    <m/>
    <m/>
    <m/>
    <s v="S"/>
    <m/>
    <d v="1965-12-06T00:00:00"/>
    <s v="M"/>
    <s v="H"/>
    <s v="HISPANIC"/>
    <s v="NULL"/>
    <s v="230"/>
    <s v="DISMISSED"/>
    <n v="5"/>
    <s v="DISMISSED"/>
    <m/>
    <m/>
    <m/>
    <s v="AGG ASSAULT W/DEADLY WEAPON"/>
    <m/>
    <s v="F2"/>
    <s v="ASLT-MURDR"/>
    <m/>
    <m/>
    <m/>
    <m/>
    <m/>
    <m/>
    <m/>
    <m/>
    <m/>
    <s v="Hired Attorney"/>
    <m/>
    <m/>
    <n v="2"/>
    <n v="68"/>
    <n v="68"/>
    <n v="46.275956284153004"/>
    <n v="0"/>
    <n v="-66"/>
    <s v="NO CONVICTION"/>
    <x v="1"/>
    <s v="Y"/>
    <m/>
    <s v="NO CONVICTION"/>
    <s v="Y"/>
    <x v="1"/>
    <x v="0"/>
    <s v="N"/>
    <n v="2.9411764705882353E-2"/>
    <n v="2.9411764705882353E-2"/>
    <n v="0"/>
    <n v="0"/>
    <n v="-2"/>
    <n v="0"/>
    <n v="2"/>
    <e v="#VALUE!"/>
    <n v="2"/>
    <n v="0"/>
    <m/>
    <m/>
    <s v="N"/>
    <m/>
    <s v="0-10 DAYS"/>
    <n v="1"/>
    <x v="0"/>
  </r>
  <r>
    <n v="2999"/>
    <s v="N"/>
    <s v="N"/>
    <n v="2615190"/>
    <n v="4"/>
    <d v="2012-04-20T00:00:00"/>
    <d v="2012-07-05T00:00:00"/>
    <n v="2615190"/>
    <s v="NOT BOOKED"/>
    <s v="NOT BOOKED"/>
    <n v="2000"/>
    <x v="5"/>
    <d v="2012-05-01T00:00:00"/>
    <s v="Y"/>
    <s v="SURETY"/>
    <s v="GUILTY PLEA - NO JURY"/>
    <n v="0"/>
    <n v="77"/>
    <n v="0"/>
    <n v="0"/>
    <m/>
    <m/>
    <m/>
    <m/>
    <m/>
    <m/>
    <m/>
    <m/>
    <m/>
    <d v="1988-12-06T00:00:00"/>
    <s v="M"/>
    <s v="W"/>
    <s v="WHITE"/>
    <s v="NULL"/>
    <s v="351"/>
    <s v="CONVICTED"/>
    <n v="4"/>
    <s v="HCJ"/>
    <m/>
    <m/>
    <n v="3"/>
    <s v="CRIM MISCH &gt;=$1500 &lt;$20K"/>
    <m/>
    <s v="FS"/>
    <s v="OTHER FEL"/>
    <m/>
    <m/>
    <m/>
    <m/>
    <m/>
    <m/>
    <m/>
    <m/>
    <m/>
    <s v="Hired Attorney"/>
    <m/>
    <m/>
    <n v="0"/>
    <n v="0"/>
    <n v="77"/>
    <n v="23.3224043715847"/>
    <e v="#VALUE!"/>
    <e v="#VALUE!"/>
    <s v="CONVICTION"/>
    <x v="1"/>
    <s v="Y"/>
    <m/>
    <s v="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3005"/>
    <s v="N"/>
    <s v="N"/>
    <n v="2615194"/>
    <n v="2"/>
    <d v="2012-04-20T00:00:00"/>
    <d v="2012-04-27T00:00:00"/>
    <n v="2615194"/>
    <d v="2012-04-23T00:00:00"/>
    <d v="2012-04-27T00:00:00"/>
    <n v="2000"/>
    <x v="5"/>
    <m/>
    <s v="N"/>
    <s v="NONE"/>
    <s v="DEFERRED ADJUDICATION "/>
    <n v="5"/>
    <n v="8"/>
    <n v="0"/>
    <n v="0"/>
    <m/>
    <m/>
    <m/>
    <m/>
    <m/>
    <m/>
    <m/>
    <m/>
    <m/>
    <d v="1990-01-03T00:00:00"/>
    <s v="F"/>
    <s v="W"/>
    <s v="WHITE"/>
    <s v="NULL"/>
    <s v="184"/>
    <s v="DEFERRED"/>
    <n v="3"/>
    <s v="DEFERRED"/>
    <m/>
    <m/>
    <m/>
    <s v="CREDIT/DEBIT CARD ABUSE"/>
    <m/>
    <s v="FS"/>
    <s v="OTHER FEL"/>
    <m/>
    <m/>
    <m/>
    <m/>
    <m/>
    <m/>
    <m/>
    <m/>
    <m/>
    <s v="Public Defender"/>
    <m/>
    <m/>
    <n v="5"/>
    <n v="5"/>
    <n v="8"/>
    <n v="22.248633879781419"/>
    <n v="0"/>
    <n v="0"/>
    <s v="DEFERRED"/>
    <x v="0"/>
    <s v="N"/>
    <m/>
    <s v="DEFERRED"/>
    <s v="Y"/>
    <x v="0"/>
    <x v="0"/>
    <s v="N"/>
    <n v="0.625"/>
    <n v="1"/>
    <n v="0.375"/>
    <n v="0"/>
    <n v="-5"/>
    <n v="0"/>
    <n v="5"/>
    <e v="#VALUE!"/>
    <n v="5"/>
    <n v="0"/>
    <m/>
    <m/>
    <s v="N"/>
    <m/>
    <s v="0-10 DAYS"/>
    <n v="1"/>
    <x v="0"/>
  </r>
  <r>
    <n v="3010"/>
    <s v="N"/>
    <s v="N"/>
    <n v="2615242"/>
    <n v="6"/>
    <d v="2012-04-20T00:00:00"/>
    <d v="2012-06-20T00:00:00"/>
    <n v="2615242"/>
    <d v="2012-04-21T00:00:00"/>
    <d v="2012-06-20T00:00:00"/>
    <s v="NO BOND"/>
    <x v="1"/>
    <m/>
    <s v="N"/>
    <s v="NONE"/>
    <s v="GUILTY PLEA - NO JURY"/>
    <n v="61"/>
    <n v="62"/>
    <n v="0"/>
    <n v="0"/>
    <m/>
    <m/>
    <m/>
    <m/>
    <m/>
    <m/>
    <m/>
    <m/>
    <m/>
    <d v="1956-12-10T00:00:00"/>
    <s v="M"/>
    <s v="W"/>
    <s v="WHITE"/>
    <s v="NULL"/>
    <s v="339"/>
    <s v="CONVICTED"/>
    <n v="3"/>
    <s v="TDC"/>
    <n v="2"/>
    <m/>
    <m/>
    <s v="POSS CS PG 1 4G - 200G"/>
    <m/>
    <s v="F2"/>
    <s v="POSS DRUG"/>
    <m/>
    <m/>
    <m/>
    <m/>
    <m/>
    <m/>
    <m/>
    <m/>
    <m/>
    <s v="Appointed Attorney"/>
    <m/>
    <m/>
    <n v="61"/>
    <n v="61"/>
    <n v="62"/>
    <n v="55.245901639344261"/>
    <n v="0"/>
    <n v="0"/>
    <s v="CONVICTION"/>
    <x v="0"/>
    <s v="N"/>
    <m/>
    <s v="CONVICTION"/>
    <s v="Y"/>
    <x v="0"/>
    <x v="0"/>
    <s v="N"/>
    <n v="0.9838709677419355"/>
    <n v="1"/>
    <n v="1.6129032258064502E-2"/>
    <n v="0"/>
    <n v="-61"/>
    <n v="0"/>
    <n v="61"/>
    <e v="#VALUE!"/>
    <n v="61"/>
    <n v="0"/>
    <m/>
    <m/>
    <s v="N"/>
    <m/>
    <s v="61-90 DAYS"/>
    <n v="4"/>
    <x v="0"/>
  </r>
  <r>
    <n v="3014"/>
    <s v="N"/>
    <s v="N"/>
    <n v="2615288"/>
    <n v="4"/>
    <d v="2012-04-21T00:00:00"/>
    <d v="2012-04-23T00:00:00"/>
    <n v="2615288"/>
    <d v="2012-04-22T00:00:00"/>
    <d v="2012-04-23T00:00:00"/>
    <n v="35000"/>
    <x v="2"/>
    <m/>
    <s v="N"/>
    <s v="NONE"/>
    <s v="GUILTY PLEA - NO JURY"/>
    <n v="2"/>
    <n v="3"/>
    <n v="0"/>
    <n v="0"/>
    <m/>
    <m/>
    <m/>
    <m/>
    <m/>
    <m/>
    <m/>
    <s v="S"/>
    <m/>
    <d v="1987-05-10T00:00:00"/>
    <s v="M"/>
    <s v="H"/>
    <s v="HISPANIC"/>
    <s v="NULL"/>
    <s v="179"/>
    <s v="CONVICTED"/>
    <n v="1"/>
    <s v="HCJ"/>
    <m/>
    <m/>
    <n v="60"/>
    <s v="POSS CS PG 1 &lt;1G"/>
    <m/>
    <s v="FS"/>
    <s v="POSS DRUG"/>
    <m/>
    <m/>
    <m/>
    <m/>
    <m/>
    <m/>
    <m/>
    <m/>
    <m/>
    <s v="Appointed Attorney"/>
    <m/>
    <m/>
    <n v="2"/>
    <n v="2"/>
    <n v="3"/>
    <n v="24.898907103825138"/>
    <n v="0"/>
    <n v="0"/>
    <s v="CONVICTION"/>
    <x v="0"/>
    <s v="N"/>
    <m/>
    <s v="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3016"/>
    <s v="N"/>
    <s v="N"/>
    <n v="2615294"/>
    <n v="4"/>
    <d v="2012-04-21T00:00:00"/>
    <d v="2012-07-05T00:00:00"/>
    <n v="2615294"/>
    <d v="2012-04-22T00:00:00"/>
    <d v="2012-07-05T00:00:00"/>
    <n v="35000"/>
    <x v="2"/>
    <m/>
    <s v="N"/>
    <s v="NONE"/>
    <s v="GUILTY PLEA - NO JURY"/>
    <n v="75"/>
    <n v="76"/>
    <n v="0"/>
    <n v="0"/>
    <m/>
    <m/>
    <m/>
    <m/>
    <m/>
    <m/>
    <m/>
    <s v="S"/>
    <m/>
    <d v="1993-02-07T00:00:00"/>
    <s v="M"/>
    <s v="H"/>
    <s v="HISPANIC"/>
    <s v="NULL"/>
    <s v="232"/>
    <s v="CONVICTED"/>
    <n v="4"/>
    <s v="HCJ"/>
    <m/>
    <m/>
    <n v="180"/>
    <s v="ASSAULT - SECURITY OFFICER"/>
    <m/>
    <s v="F3"/>
    <s v="ASLT-MURDR"/>
    <m/>
    <m/>
    <m/>
    <m/>
    <m/>
    <m/>
    <m/>
    <m/>
    <m/>
    <s v="Hired Attorney"/>
    <m/>
    <m/>
    <n v="75"/>
    <n v="75"/>
    <n v="76"/>
    <n v="19.161202185792348"/>
    <n v="0"/>
    <n v="0"/>
    <s v="CONVICTION"/>
    <x v="0"/>
    <s v="N"/>
    <m/>
    <s v="CONVICTION"/>
    <s v="Y"/>
    <x v="0"/>
    <x v="0"/>
    <s v="N"/>
    <n v="0.98684210526315785"/>
    <n v="1"/>
    <n v="1.3157894736842146E-2"/>
    <n v="0"/>
    <n v="-75"/>
    <n v="0"/>
    <n v="75"/>
    <e v="#VALUE!"/>
    <n v="75"/>
    <n v="0"/>
    <m/>
    <m/>
    <s v="N"/>
    <m/>
    <s v="61-90 DAYS"/>
    <n v="4"/>
    <x v="0"/>
  </r>
  <r>
    <n v="3019"/>
    <s v="N"/>
    <s v="N"/>
    <n v="2615299"/>
    <n v="4"/>
    <d v="2012-04-21T00:00:00"/>
    <d v="2012-05-29T00:00:00"/>
    <n v="2615299"/>
    <d v="2012-04-21T00:00:00"/>
    <d v="2012-05-29T00:00:00"/>
    <n v="5000"/>
    <x v="4"/>
    <m/>
    <s v="N"/>
    <s v="NONE"/>
    <s v="GUILTY PLEA - NO JURY"/>
    <n v="39"/>
    <n v="39"/>
    <n v="0"/>
    <n v="0"/>
    <m/>
    <m/>
    <m/>
    <m/>
    <m/>
    <m/>
    <m/>
    <m/>
    <m/>
    <d v="1983-08-19T00:00:00"/>
    <s v="M"/>
    <s v="B"/>
    <s v="BLACK"/>
    <s v="NULL"/>
    <s v="351"/>
    <s v="CONVICTED"/>
    <n v="4"/>
    <s v="HCJ"/>
    <m/>
    <m/>
    <n v="75"/>
    <s v="UNAUTH USE OF VEHICLE"/>
    <m/>
    <s v="FS"/>
    <s v="AUTO THEFT"/>
    <m/>
    <m/>
    <m/>
    <m/>
    <m/>
    <m/>
    <m/>
    <m/>
    <m/>
    <s v="Appointed Attorney"/>
    <m/>
    <m/>
    <n v="39"/>
    <n v="39"/>
    <n v="39"/>
    <n v="28.614754098360656"/>
    <n v="0"/>
    <n v="0"/>
    <s v="CONVICTION"/>
    <x v="0"/>
    <s v="N"/>
    <m/>
    <s v="CONVICTION"/>
    <s v="Y"/>
    <x v="0"/>
    <x v="0"/>
    <s v="N"/>
    <n v="1"/>
    <n v="1"/>
    <n v="0"/>
    <n v="0"/>
    <n v="-39"/>
    <n v="0"/>
    <n v="39"/>
    <e v="#VALUE!"/>
    <n v="39"/>
    <n v="0"/>
    <m/>
    <m/>
    <s v="N"/>
    <m/>
    <s v="31-60 DAYS"/>
    <n v="3"/>
    <x v="0"/>
  </r>
  <r>
    <n v="3020"/>
    <s v="N"/>
    <s v="N"/>
    <n v="2615300"/>
    <n v="2"/>
    <d v="2012-04-21T00:00:00"/>
    <d v="2012-06-21T00:00:00"/>
    <n v="2615300"/>
    <d v="2012-04-21T00:00:00"/>
    <d v="2012-04-23T00:00:00"/>
    <n v="10000"/>
    <x v="3"/>
    <d v="2012-04-23T00:00:00"/>
    <s v="Y"/>
    <s v="SURETY"/>
    <s v="DEFERRED ADJUDICATION "/>
    <n v="3"/>
    <n v="62"/>
    <n v="0"/>
    <n v="0"/>
    <m/>
    <m/>
    <m/>
    <m/>
    <m/>
    <m/>
    <m/>
    <m/>
    <m/>
    <d v="1994-07-25T00:00:00"/>
    <s v="M"/>
    <s v="B"/>
    <s v="BLACK"/>
    <s v="NULL"/>
    <s v="180"/>
    <s v="DEFERRED"/>
    <n v="3"/>
    <s v="DEFERRED"/>
    <m/>
    <m/>
    <m/>
    <s v="BURGLARY OF HABITATION"/>
    <m/>
    <s v="F2"/>
    <s v="BURGLARY"/>
    <m/>
    <m/>
    <m/>
    <m/>
    <m/>
    <m/>
    <m/>
    <m/>
    <m/>
    <s v="Appointed Attorney"/>
    <m/>
    <m/>
    <n v="3"/>
    <n v="62"/>
    <n v="62"/>
    <n v="17.704918032786885"/>
    <n v="0"/>
    <n v="-59"/>
    <s v="DEFERRED"/>
    <x v="1"/>
    <s v="Y"/>
    <m/>
    <s v="DEFERRED"/>
    <s v="Y"/>
    <x v="1"/>
    <x v="0"/>
    <s v="N"/>
    <n v="4.8387096774193547E-2"/>
    <n v="4.8387096774193547E-2"/>
    <n v="0"/>
    <n v="0"/>
    <n v="-3"/>
    <n v="0"/>
    <n v="3"/>
    <e v="#VALUE!"/>
    <n v="3"/>
    <n v="0"/>
    <m/>
    <m/>
    <s v="N"/>
    <m/>
    <s v="0-10 DAYS"/>
    <n v="1"/>
    <x v="0"/>
  </r>
  <r>
    <n v="3022"/>
    <s v="N"/>
    <s v="N"/>
    <n v="2615314"/>
    <n v="6"/>
    <d v="2012-04-21T00:00:00"/>
    <d v="2013-02-01T00:00:00"/>
    <n v="2615314"/>
    <d v="2012-04-22T00:00:00"/>
    <d v="2012-04-26T00:00:00"/>
    <n v="100000"/>
    <x v="2"/>
    <d v="2012-04-26T00:00:00"/>
    <s v="Y"/>
    <s v="SURETY"/>
    <s v="GUILTY PLEA - NO JURY"/>
    <n v="5"/>
    <n v="287"/>
    <n v="0"/>
    <n v="0"/>
    <m/>
    <m/>
    <m/>
    <m/>
    <m/>
    <m/>
    <m/>
    <m/>
    <m/>
    <d v="1985-09-20T00:00:00"/>
    <s v="M"/>
    <s v="B"/>
    <s v="BLACK"/>
    <s v="NULL"/>
    <s v="177"/>
    <s v="CONVICTED"/>
    <n v="9"/>
    <s v="TDC"/>
    <n v="7"/>
    <m/>
    <m/>
    <s v="MAN/DEL CS PG I 200-400 GRAMS"/>
    <m/>
    <s v="F"/>
    <s v="SALE DRUG"/>
    <m/>
    <m/>
    <m/>
    <m/>
    <m/>
    <m/>
    <m/>
    <m/>
    <m/>
    <s v="Appointed Attorney"/>
    <m/>
    <m/>
    <n v="5"/>
    <n v="286"/>
    <n v="287"/>
    <n v="26.530054644808743"/>
    <n v="0"/>
    <n v="-281"/>
    <s v="CONVICTION"/>
    <x v="1"/>
    <s v="Y"/>
    <m/>
    <s v="CONVICTION"/>
    <s v="Y"/>
    <x v="1"/>
    <x v="0"/>
    <s v="N"/>
    <n v="1.7421602787456445E-2"/>
    <n v="1.7482517482517484E-2"/>
    <n v="6.0914695061038693E-5"/>
    <n v="0"/>
    <n v="-5"/>
    <n v="0"/>
    <n v="5"/>
    <e v="#VALUE!"/>
    <n v="5"/>
    <n v="0"/>
    <m/>
    <m/>
    <s v="N"/>
    <m/>
    <s v="0-10 DAYS"/>
    <n v="1"/>
    <x v="0"/>
  </r>
  <r>
    <n v="3023"/>
    <s v="N"/>
    <s v="N"/>
    <n v="2615325"/>
    <n v="1"/>
    <d v="2012-04-21T00:00:00"/>
    <d v="2012-09-21T00:00:00"/>
    <n v="2615325"/>
    <d v="2012-05-14T00:00:00"/>
    <d v="2012-05-15T00:00:00"/>
    <n v="2000"/>
    <x v="5"/>
    <d v="2012-05-15T00:00:00"/>
    <s v="Y"/>
    <s v="SURETY"/>
    <s v="DISMISSED"/>
    <n v="2"/>
    <n v="154"/>
    <n v="0"/>
    <n v="0"/>
    <m/>
    <m/>
    <m/>
    <m/>
    <m/>
    <m/>
    <m/>
    <m/>
    <m/>
    <d v="1987-11-24T00:00:00"/>
    <s v="F"/>
    <s v="B"/>
    <s v="BLACK"/>
    <s v="NULL"/>
    <s v="184"/>
    <s v="DISMISSED"/>
    <n v="8"/>
    <s v="DISMISSED"/>
    <m/>
    <m/>
    <m/>
    <s v="CRIM MISCH &gt;=$1500 &lt;$20K"/>
    <m/>
    <s v="FS"/>
    <s v="OTHER FEL"/>
    <m/>
    <m/>
    <m/>
    <m/>
    <m/>
    <m/>
    <m/>
    <m/>
    <m/>
    <s v="Appointed Attorney"/>
    <m/>
    <m/>
    <n v="2"/>
    <n v="131"/>
    <n v="154"/>
    <n v="24.357923497267759"/>
    <n v="0"/>
    <n v="-129"/>
    <s v="NO CONVICTION"/>
    <x v="1"/>
    <s v="Y"/>
    <m/>
    <s v="NO CONVICTION"/>
    <s v="Y"/>
    <x v="1"/>
    <x v="0"/>
    <s v="N"/>
    <n v="1.2987012987012988E-2"/>
    <n v="1.5267175572519083E-2"/>
    <n v="2.2801625855060955E-3"/>
    <n v="0"/>
    <n v="-2"/>
    <n v="0"/>
    <n v="2"/>
    <e v="#VALUE!"/>
    <n v="2"/>
    <n v="0"/>
    <m/>
    <m/>
    <s v="N"/>
    <m/>
    <s v="0-10 DAYS"/>
    <n v="1"/>
    <x v="0"/>
  </r>
  <r>
    <n v="3026"/>
    <s v="N"/>
    <s v="N"/>
    <n v="2615331"/>
    <n v="1"/>
    <d v="2012-04-21T00:00:00"/>
    <d v="2012-04-23T00:00:00"/>
    <n v="2615331"/>
    <d v="2012-04-22T00:00:00"/>
    <d v="2012-04-23T00:00:00"/>
    <n v="2000"/>
    <x v="5"/>
    <m/>
    <s v="N"/>
    <s v="NONE"/>
    <s v="DISMISSED"/>
    <n v="2"/>
    <n v="3"/>
    <n v="0"/>
    <n v="0"/>
    <m/>
    <m/>
    <m/>
    <m/>
    <m/>
    <m/>
    <m/>
    <s v="S"/>
    <m/>
    <d v="1984-06-02T00:00:00"/>
    <s v="F"/>
    <s v="H"/>
    <s v="HISPANIC"/>
    <s v="NULL"/>
    <s v="174"/>
    <s v="DISMISSED"/>
    <n v="1"/>
    <s v="DISMISSED"/>
    <m/>
    <m/>
    <m/>
    <s v="POSS CS PG 1 &lt;1G"/>
    <m/>
    <s v="FS"/>
    <s v="POSS DRUG"/>
    <m/>
    <m/>
    <m/>
    <m/>
    <m/>
    <m/>
    <m/>
    <m/>
    <m/>
    <s v="Other/Unknown"/>
    <m/>
    <m/>
    <n v="2"/>
    <n v="2"/>
    <n v="3"/>
    <n v="27.827868852459016"/>
    <n v="0"/>
    <n v="0"/>
    <s v="NO CONVICTION"/>
    <x v="0"/>
    <s v="N"/>
    <m/>
    <s v="NO 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3029"/>
    <s v="N"/>
    <s v="N"/>
    <n v="2615336"/>
    <n v="2"/>
    <d v="2012-04-22T00:00:00"/>
    <d v="2012-04-23T00:00:00"/>
    <n v="2615336"/>
    <d v="2012-04-22T00:00:00"/>
    <d v="2012-04-23T00:00:00"/>
    <n v="10000"/>
    <x v="3"/>
    <m/>
    <s v="N"/>
    <s v="NONE"/>
    <s v="DEFERRED ADJUDICATION "/>
    <n v="2"/>
    <n v="2"/>
    <n v="0"/>
    <n v="0"/>
    <m/>
    <m/>
    <m/>
    <m/>
    <m/>
    <m/>
    <m/>
    <m/>
    <m/>
    <d v="1995-03-15T00:00:00"/>
    <s v="M"/>
    <s v="B"/>
    <s v="BLACK"/>
    <s v="NULL"/>
    <s v="178"/>
    <s v="DEFERRED"/>
    <n v="1"/>
    <s v="DEFERRED"/>
    <m/>
    <m/>
    <m/>
    <s v="THEFT FROM PERSON"/>
    <m/>
    <s v="FS"/>
    <s v="THEFT"/>
    <s v="5/15/12 BK mot toadj g LAWV amend cop  hcj 2 d"/>
    <m/>
    <m/>
    <m/>
    <m/>
    <m/>
    <m/>
    <m/>
    <m/>
    <s v="Appointed Attorney"/>
    <m/>
    <m/>
    <n v="2"/>
    <n v="2"/>
    <n v="2"/>
    <n v="17.071038251366119"/>
    <n v="0"/>
    <n v="0"/>
    <s v="DEFERRED"/>
    <x v="0"/>
    <s v="N"/>
    <m/>
    <s v="DEFERRED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3048"/>
    <s v="N"/>
    <s v="N"/>
    <n v="2615474"/>
    <n v="4"/>
    <d v="2012-04-23T00:00:00"/>
    <d v="2012-04-24T00:00:00"/>
    <n v="2615474"/>
    <d v="2012-04-23T00:00:00"/>
    <d v="2012-04-24T00:00:00"/>
    <n v="2000"/>
    <x v="5"/>
    <m/>
    <s v="N"/>
    <s v="NONE"/>
    <s v="GUILTY PLEA - NO JURY"/>
    <n v="2"/>
    <n v="2"/>
    <n v="0"/>
    <n v="0"/>
    <m/>
    <m/>
    <m/>
    <m/>
    <m/>
    <m/>
    <m/>
    <s v="S"/>
    <m/>
    <d v="1981-03-25T00:00:00"/>
    <s v="M"/>
    <s v="H"/>
    <s v="HISPANIC"/>
    <s v="NULL"/>
    <s v="183"/>
    <s v="CONVICTED"/>
    <n v="1"/>
    <s v="HCJ"/>
    <m/>
    <m/>
    <n v="180"/>
    <s v="POSS CS PG 1 &lt;1G"/>
    <m/>
    <s v="FS"/>
    <s v="POSS DRUG"/>
    <m/>
    <m/>
    <m/>
    <m/>
    <m/>
    <m/>
    <m/>
    <m/>
    <m/>
    <s v="Appointed Attorney"/>
    <m/>
    <m/>
    <n v="2"/>
    <n v="2"/>
    <n v="2"/>
    <n v="31.016393442622952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3053"/>
    <s v="N"/>
    <s v="N"/>
    <n v="2615507"/>
    <n v="2"/>
    <d v="2012-04-23T00:00:00"/>
    <d v="2012-08-29T00:00:00"/>
    <n v="2615507"/>
    <s v="NOT BOOKED"/>
    <s v="NOT BOOKED"/>
    <n v="2000"/>
    <x v="5"/>
    <d v="2012-04-24T00:00:00"/>
    <s v="Y"/>
    <s v="SURETY"/>
    <s v="DEFERRED ADJUDICATION "/>
    <n v="0"/>
    <n v="129"/>
    <n v="0"/>
    <n v="0"/>
    <m/>
    <m/>
    <m/>
    <m/>
    <m/>
    <m/>
    <m/>
    <m/>
    <m/>
    <d v="1967-04-19T00:00:00"/>
    <s v="M"/>
    <s v="W"/>
    <s v="WHITE"/>
    <s v="NULL"/>
    <s v="228"/>
    <s v="DEFERRED"/>
    <n v="5"/>
    <s v="DEFERRED"/>
    <m/>
    <m/>
    <m/>
    <s v="THEFT $1500-20K"/>
    <m/>
    <s v="FS"/>
    <s v="THEFT"/>
    <m/>
    <m/>
    <m/>
    <m/>
    <m/>
    <m/>
    <m/>
    <m/>
    <m/>
    <s v="Hired Attorney"/>
    <m/>
    <m/>
    <n v="0"/>
    <n v="0"/>
    <n v="129"/>
    <n v="44.920765027322403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3055"/>
    <s v="N"/>
    <s v="N"/>
    <n v="2615523"/>
    <n v="1"/>
    <d v="2012-04-23T00:00:00"/>
    <d v="2012-04-26T00:00:00"/>
    <n v="2615523"/>
    <d v="2012-04-23T00:00:00"/>
    <d v="2012-04-24T00:00:00"/>
    <n v="5000"/>
    <x v="4"/>
    <d v="2012-04-24T00:00:00"/>
    <s v="Y"/>
    <s v="SURETY"/>
    <s v="DISMISSED"/>
    <n v="2"/>
    <n v="4"/>
    <n v="0"/>
    <n v="0"/>
    <m/>
    <m/>
    <m/>
    <m/>
    <m/>
    <m/>
    <m/>
    <m/>
    <m/>
    <d v="1973-02-07T00:00:00"/>
    <s v="M"/>
    <s v="A"/>
    <s v="OTHER"/>
    <s v="NULL"/>
    <s v="337"/>
    <s v="DISMISSED"/>
    <n v="1"/>
    <s v="DISMISSED"/>
    <m/>
    <m/>
    <m/>
    <s v="FALSELY HOLDING ONESELF AS ATY"/>
    <m/>
    <s v="F3"/>
    <s v="OTHER FEL"/>
    <s v="4/25/12 fel pend"/>
    <m/>
    <m/>
    <m/>
    <m/>
    <m/>
    <m/>
    <m/>
    <m/>
    <s v="Other/Unknown"/>
    <m/>
    <m/>
    <n v="2"/>
    <n v="4"/>
    <n v="4"/>
    <n v="39.125683060109289"/>
    <n v="0"/>
    <n v="-2"/>
    <s v="NO CONVICTION"/>
    <x v="1"/>
    <s v="Y"/>
    <m/>
    <s v="NO CONVICTION"/>
    <s v="Y"/>
    <x v="1"/>
    <x v="0"/>
    <s v="N"/>
    <n v="0.5"/>
    <n v="0.5"/>
    <n v="0"/>
    <n v="0"/>
    <n v="-2"/>
    <n v="0"/>
    <n v="2"/>
    <e v="#VALUE!"/>
    <n v="2"/>
    <n v="0"/>
    <m/>
    <m/>
    <s v="N"/>
    <m/>
    <s v="0-10 DAYS"/>
    <n v="1"/>
    <x v="0"/>
  </r>
  <r>
    <n v="3069"/>
    <s v="N"/>
    <s v="Y"/>
    <n v="2615634"/>
    <n v="2"/>
    <d v="2012-04-24T00:00:00"/>
    <d v="2012-09-14T00:00:00"/>
    <n v="2615634"/>
    <d v="2012-04-24T00:00:00"/>
    <d v="2012-04-25T00:00:00"/>
    <n v="5000"/>
    <x v="4"/>
    <d v="2012-04-25T00:00:00"/>
    <s v="Y"/>
    <s v="SURETYPTRc"/>
    <s v="DEFERRED ADJUDICATION "/>
    <n v="100"/>
    <n v="144"/>
    <n v="0"/>
    <n v="0"/>
    <m/>
    <m/>
    <m/>
    <m/>
    <m/>
    <m/>
    <m/>
    <m/>
    <m/>
    <d v="1987-10-27T00:00:00"/>
    <s v="F"/>
    <s v="W"/>
    <s v="WHITE"/>
    <s v="NULL"/>
    <s v="337"/>
    <s v="DEFERRED"/>
    <n v="10"/>
    <s v="DEFERRED"/>
    <m/>
    <m/>
    <m/>
    <s v="POSS CS PG 1  1 - 4 GRAMS"/>
    <m/>
    <s v="F3"/>
    <s v="POSS DRUG"/>
    <m/>
    <s v="bd revok 5/23/12"/>
    <s v="Y"/>
    <s v="bf 6/13/12"/>
    <s v="Y"/>
    <m/>
    <m/>
    <d v="2012-07-31T00:00:00"/>
    <n v="235"/>
    <s v="Appointed Attorney"/>
    <m/>
    <m/>
    <n v="100"/>
    <n v="144"/>
    <n v="144"/>
    <n v="24.442622950819672"/>
    <n v="0"/>
    <n v="-142"/>
    <s v="DEFERRED"/>
    <x v="1"/>
    <s v="Y"/>
    <m/>
    <s v="DEFERRED"/>
    <s v="Y"/>
    <x v="0"/>
    <x v="0"/>
    <s v="N"/>
    <n v="0.69444444444444442"/>
    <n v="1.3888888888888888E-2"/>
    <n v="-0.68055555555555558"/>
    <n v="0"/>
    <n v="-2"/>
    <n v="98"/>
    <n v="144"/>
    <n v="100"/>
    <n v="144"/>
    <n v="142"/>
    <m/>
    <m/>
    <s v="N"/>
    <m/>
    <s v="91-120 DAYS"/>
    <n v="0"/>
    <x v="0"/>
  </r>
  <r>
    <n v="3074"/>
    <s v="N"/>
    <s v="N"/>
    <n v="2615639"/>
    <n v="1"/>
    <d v="2012-04-24T00:00:00"/>
    <d v="2012-04-25T00:00:00"/>
    <n v="2615639"/>
    <d v="2012-04-24T00:00:00"/>
    <d v="2012-04-25T00:00:00"/>
    <n v="2000"/>
    <x v="5"/>
    <m/>
    <s v="N"/>
    <s v="NONE"/>
    <s v="DISMISSED"/>
    <n v="2"/>
    <n v="2"/>
    <n v="0"/>
    <n v="0"/>
    <m/>
    <m/>
    <m/>
    <m/>
    <m/>
    <m/>
    <m/>
    <s v="S"/>
    <m/>
    <d v="1992-03-17T00:00:00"/>
    <s v="M"/>
    <s v="H"/>
    <s v="HISPANIC"/>
    <s v="NULL"/>
    <s v="248"/>
    <s v="DISMISSED"/>
    <n v="1"/>
    <s v="DISMISSED"/>
    <m/>
    <m/>
    <m/>
    <s v="POSS MARIJ  4 OZ. - 5 LBS."/>
    <m/>
    <s v="FS"/>
    <s v="POSS DRUG"/>
    <m/>
    <m/>
    <m/>
    <m/>
    <m/>
    <m/>
    <m/>
    <m/>
    <m/>
    <s v="Appointed Attorney"/>
    <m/>
    <m/>
    <n v="2"/>
    <n v="2"/>
    <n v="2"/>
    <n v="20.062841530054644"/>
    <n v="0"/>
    <n v="0"/>
    <s v="NO CONVICTION"/>
    <x v="0"/>
    <s v="N"/>
    <m/>
    <s v="NO 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3084"/>
    <s v="N"/>
    <s v="N"/>
    <n v="2615659"/>
    <n v="2"/>
    <d v="2012-04-24T00:00:00"/>
    <d v="2012-12-05T00:00:00"/>
    <n v="2615659"/>
    <d v="2012-04-24T00:00:00"/>
    <d v="2012-07-26T00:00:00"/>
    <n v="20000"/>
    <x v="0"/>
    <d v="2012-07-26T00:00:00"/>
    <s v="Y"/>
    <s v="SURETYPTRc"/>
    <s v="DEFERRED ADJUDICATION "/>
    <n v="94"/>
    <n v="226"/>
    <n v="0"/>
    <n v="0"/>
    <m/>
    <m/>
    <m/>
    <m/>
    <m/>
    <m/>
    <m/>
    <m/>
    <m/>
    <d v="1990-07-11T00:00:00"/>
    <s v="M"/>
    <s v="W"/>
    <s v="WHITE"/>
    <s v="NULL"/>
    <s v="183"/>
    <s v="DEFERRED"/>
    <n v="13"/>
    <s v="DEFERRED"/>
    <m/>
    <m/>
    <m/>
    <s v="MAN/DEL CS PG II 4-400 GRAMS"/>
    <m/>
    <s v="F1"/>
    <s v="SALE DRUG"/>
    <m/>
    <m/>
    <m/>
    <m/>
    <m/>
    <m/>
    <m/>
    <m/>
    <m/>
    <s v="Hired Attorney"/>
    <m/>
    <m/>
    <n v="94"/>
    <n v="226"/>
    <n v="226"/>
    <n v="21.743169398907103"/>
    <n v="0"/>
    <n v="-132"/>
    <s v="DEFERRED"/>
    <x v="1"/>
    <s v="Y"/>
    <m/>
    <s v="DEFERRED"/>
    <s v="Y"/>
    <x v="1"/>
    <x v="0"/>
    <s v="N"/>
    <n v="0.41592920353982299"/>
    <n v="0.41592920353982299"/>
    <n v="0"/>
    <n v="0"/>
    <n v="-94"/>
    <n v="0"/>
    <n v="94"/>
    <e v="#VALUE!"/>
    <n v="94"/>
    <n v="0"/>
    <m/>
    <m/>
    <s v="N"/>
    <m/>
    <s v="91-120 DAYS"/>
    <n v="0"/>
    <x v="0"/>
  </r>
  <r>
    <n v="3089"/>
    <s v="N"/>
    <s v="N"/>
    <n v="2615690"/>
    <n v="6"/>
    <d v="2012-04-24T00:00:00"/>
    <d v="2012-08-15T00:00:00"/>
    <n v="2615690"/>
    <d v="2012-08-12T00:00:00"/>
    <d v="2012-08-15T00:00:00"/>
    <s v="NO BOND"/>
    <x v="1"/>
    <m/>
    <s v="N"/>
    <s v="NONE"/>
    <s v="GUILTY PLEA - NO JURY"/>
    <n v="4"/>
    <n v="114"/>
    <n v="0"/>
    <n v="0"/>
    <m/>
    <m/>
    <m/>
    <m/>
    <m/>
    <m/>
    <m/>
    <m/>
    <m/>
    <d v="1978-12-08T00:00:00"/>
    <s v="M"/>
    <s v="W"/>
    <s v="WHITE"/>
    <s v="NULL"/>
    <s v="178"/>
    <s v="CONVICTED"/>
    <n v="2"/>
    <s v="TDC"/>
    <n v="2"/>
    <m/>
    <m/>
    <s v="THEFT &gt;=$20,000 &lt;$100,000"/>
    <m/>
    <s v="F3"/>
    <s v="THEFT"/>
    <m/>
    <m/>
    <m/>
    <m/>
    <m/>
    <m/>
    <m/>
    <m/>
    <m/>
    <s v="Appointed Attorney"/>
    <m/>
    <m/>
    <n v="4"/>
    <n v="4"/>
    <n v="114"/>
    <n v="33.308743169398909"/>
    <n v="0"/>
    <n v="0"/>
    <s v="CONVICTION"/>
    <x v="0"/>
    <s v="N"/>
    <m/>
    <s v="CONVICTION"/>
    <s v="Y"/>
    <x v="0"/>
    <x v="0"/>
    <s v="N"/>
    <n v="3.5087719298245612E-2"/>
    <n v="1"/>
    <n v="0.96491228070175439"/>
    <n v="0"/>
    <n v="-4"/>
    <n v="0"/>
    <n v="4"/>
    <e v="#VALUE!"/>
    <n v="4"/>
    <n v="0"/>
    <m/>
    <m/>
    <s v="N"/>
    <m/>
    <s v="0-10 DAYS"/>
    <n v="1"/>
    <x v="0"/>
  </r>
  <r>
    <n v="3097"/>
    <s v="N"/>
    <s v="N"/>
    <n v="2615729"/>
    <n v="2"/>
    <d v="2012-04-24T00:00:00"/>
    <d v="2012-04-26T00:00:00"/>
    <n v="2615729"/>
    <d v="2012-04-24T00:00:00"/>
    <d v="2012-04-26T00:00:00"/>
    <n v="5000"/>
    <x v="4"/>
    <m/>
    <s v="N"/>
    <s v="NONE"/>
    <s v="DEFERRED ADJUDICATION "/>
    <n v="3"/>
    <n v="3"/>
    <n v="0"/>
    <n v="0"/>
    <m/>
    <m/>
    <m/>
    <m/>
    <m/>
    <m/>
    <m/>
    <m/>
    <m/>
    <d v="1992-11-13T00:00:00"/>
    <s v="M"/>
    <s v="B"/>
    <s v="BLACK"/>
    <s v="NULL"/>
    <s v="338"/>
    <s v="DEFERRED"/>
    <n v="1"/>
    <s v="DEFERRED"/>
    <m/>
    <m/>
    <m/>
    <s v="HINDER APPREHENSION"/>
    <m/>
    <s v="F3"/>
    <s v="OTHER FEL"/>
    <m/>
    <m/>
    <m/>
    <m/>
    <m/>
    <m/>
    <m/>
    <m/>
    <m/>
    <s v="Appointed Attorney"/>
    <m/>
    <m/>
    <n v="3"/>
    <n v="3"/>
    <n v="3"/>
    <n v="19.404371584699454"/>
    <n v="0"/>
    <n v="0"/>
    <s v="DEFERRED"/>
    <x v="0"/>
    <s v="N"/>
    <m/>
    <s v="DEFERRED"/>
    <s v="Y"/>
    <x v="0"/>
    <x v="0"/>
    <s v="N"/>
    <n v="1"/>
    <n v="1"/>
    <n v="0"/>
    <n v="0"/>
    <n v="-3"/>
    <n v="0"/>
    <n v="3"/>
    <e v="#VALUE!"/>
    <n v="3"/>
    <n v="0"/>
    <m/>
    <m/>
    <s v="N"/>
    <m/>
    <s v="0-10 DAYS"/>
    <n v="1"/>
    <x v="0"/>
  </r>
  <r>
    <n v="3102"/>
    <s v="N"/>
    <s v="N"/>
    <n v="2615756"/>
    <n v="1"/>
    <d v="2012-04-24T00:00:00"/>
    <d v="2013-02-27T00:00:00"/>
    <n v="2615756"/>
    <d v="2012-04-24T00:00:00"/>
    <d v="2012-04-25T00:00:00"/>
    <n v="5000"/>
    <x v="4"/>
    <d v="2012-04-25T00:00:00"/>
    <s v="Y"/>
    <s v="SURETY"/>
    <s v="DISMISSED"/>
    <n v="2"/>
    <n v="310"/>
    <n v="0"/>
    <n v="0"/>
    <m/>
    <m/>
    <m/>
    <m/>
    <m/>
    <m/>
    <m/>
    <m/>
    <m/>
    <d v="1973-09-18T00:00:00"/>
    <s v="M"/>
    <s v="B"/>
    <s v="BLACK"/>
    <s v="NULL"/>
    <s v="228"/>
    <s v="DISMISSED"/>
    <n v="10"/>
    <s v="DISMISSED"/>
    <m/>
    <m/>
    <m/>
    <s v="BARRATRY ENHANCED"/>
    <m/>
    <s v="F3"/>
    <s v="OTHER FEL"/>
    <m/>
    <m/>
    <m/>
    <m/>
    <m/>
    <m/>
    <m/>
    <m/>
    <m/>
    <s v="Hired Attorney"/>
    <m/>
    <m/>
    <n v="2"/>
    <n v="310"/>
    <n v="310"/>
    <n v="38.519125683060111"/>
    <n v="0"/>
    <n v="-308"/>
    <s v="NO CONVICTION"/>
    <x v="1"/>
    <s v="Y"/>
    <m/>
    <s v="NO CONVICTION"/>
    <s v="Y"/>
    <x v="1"/>
    <x v="0"/>
    <s v="N"/>
    <n v="6.4516129032258064E-3"/>
    <n v="6.4516129032258064E-3"/>
    <n v="0"/>
    <n v="0"/>
    <n v="-2"/>
    <n v="0"/>
    <n v="2"/>
    <e v="#VALUE!"/>
    <n v="2"/>
    <n v="0"/>
    <m/>
    <m/>
    <s v="N"/>
    <m/>
    <s v="0-10 DAYS"/>
    <n v="1"/>
    <x v="0"/>
  </r>
  <r>
    <n v="3104"/>
    <s v="N"/>
    <s v="N"/>
    <n v="2615762"/>
    <n v="2"/>
    <d v="2012-04-24T00:00:00"/>
    <d v="2012-08-29T00:00:00"/>
    <n v="2615762"/>
    <d v="2012-08-24T00:00:00"/>
    <d v="2012-08-29T00:00:00"/>
    <s v="NO BOND"/>
    <x v="1"/>
    <m/>
    <s v="N"/>
    <s v="NONE"/>
    <s v="DEFERRED ADJUDICATION "/>
    <n v="6"/>
    <n v="128"/>
    <n v="0"/>
    <n v="0"/>
    <m/>
    <m/>
    <m/>
    <m/>
    <m/>
    <m/>
    <m/>
    <m/>
    <m/>
    <d v="1983-10-05T00:00:00"/>
    <s v="M"/>
    <s v="W"/>
    <s v="WHITE"/>
    <s v="NULL"/>
    <s v="179"/>
    <s v="DEFERRED"/>
    <n v="2"/>
    <s v="DEFERRED"/>
    <m/>
    <m/>
    <m/>
    <s v="ASSAULT-BOD INJ-FAMILY MEMBER"/>
    <m/>
    <s v="F3"/>
    <s v="ASLT-MURDR"/>
    <m/>
    <m/>
    <m/>
    <m/>
    <m/>
    <m/>
    <m/>
    <m/>
    <m/>
    <s v="Public Defender"/>
    <m/>
    <m/>
    <n v="6"/>
    <n v="6"/>
    <n v="128"/>
    <n v="28.494535519125684"/>
    <n v="0"/>
    <n v="0"/>
    <s v="DEFERRED"/>
    <x v="0"/>
    <s v="N"/>
    <m/>
    <s v="DEFERRED"/>
    <s v="Y"/>
    <x v="0"/>
    <x v="0"/>
    <s v="N"/>
    <n v="4.6875E-2"/>
    <n v="1"/>
    <n v="0.953125"/>
    <n v="0"/>
    <n v="-6"/>
    <n v="0"/>
    <n v="6"/>
    <e v="#VALUE!"/>
    <n v="6"/>
    <n v="0"/>
    <m/>
    <m/>
    <s v="N"/>
    <m/>
    <s v="0-10 DAYS"/>
    <n v="1"/>
    <x v="0"/>
  </r>
  <r>
    <n v="3112"/>
    <s v="N"/>
    <s v="Y"/>
    <n v="2615780"/>
    <n v="3"/>
    <d v="2012-04-25T00:00:00"/>
    <d v="2012-07-13T00:00:00"/>
    <n v="2615780"/>
    <d v="2012-05-02T00:00:00"/>
    <d v="2012-05-03T00:00:00"/>
    <n v="30000"/>
    <x v="2"/>
    <d v="2012-05-03T00:00:00"/>
    <s v="Y"/>
    <s v="SURETYPTRc"/>
    <s v="GUILTY PLEA - NO JURY"/>
    <n v="25"/>
    <n v="80"/>
    <n v="0"/>
    <n v="0"/>
    <m/>
    <m/>
    <m/>
    <m/>
    <m/>
    <m/>
    <m/>
    <s v="S"/>
    <m/>
    <d v="1986-05-12T00:00:00"/>
    <s v="F"/>
    <s v="H"/>
    <s v="HISPANIC"/>
    <s v="NULL"/>
    <s v="248"/>
    <s v="CONVICTED"/>
    <n v="7"/>
    <s v="PROBATION"/>
    <m/>
    <m/>
    <m/>
    <s v="INTOXICATED ASSLT W/VEH SBI"/>
    <m/>
    <s v="F3"/>
    <s v="ASLT-MURDR"/>
    <s v="violation intox 8/6/12 amend cop"/>
    <s v="bd rev 6/19/12"/>
    <m/>
    <m/>
    <s v="Y"/>
    <m/>
    <m/>
    <m/>
    <m/>
    <s v="Hired Attorney"/>
    <m/>
    <m/>
    <n v="25"/>
    <n v="73"/>
    <n v="80"/>
    <n v="25.901639344262296"/>
    <n v="0"/>
    <n v="-71"/>
    <s v="CONVICTION"/>
    <x v="1"/>
    <s v="Y"/>
    <m/>
    <s v="CONVICTION"/>
    <s v="Y"/>
    <x v="0"/>
    <x v="0"/>
    <s v="N"/>
    <n v="0.3125"/>
    <n v="2.7397260273972601E-2"/>
    <n v="-0.2851027397260274"/>
    <n v="0"/>
    <n v="-2"/>
    <n v="23"/>
    <n v="73"/>
    <n v="25"/>
    <n v="73"/>
    <n v="71"/>
    <m/>
    <m/>
    <s v="N"/>
    <m/>
    <s v="11-30 DAYS"/>
    <n v="2"/>
    <x v="0"/>
  </r>
  <r>
    <n v="3121"/>
    <s v="N"/>
    <s v="N"/>
    <n v="2615897"/>
    <n v="2"/>
    <d v="2012-04-25T00:00:00"/>
    <d v="2012-05-24T00:00:00"/>
    <n v="2615897"/>
    <d v="2012-04-25T00:00:00"/>
    <d v="2012-04-26T00:00:00"/>
    <n v="2000"/>
    <x v="5"/>
    <d v="2012-04-26T00:00:00"/>
    <s v="Y"/>
    <s v="PTR"/>
    <s v="DEFERRED ADJUDICATION "/>
    <n v="2"/>
    <n v="30"/>
    <n v="0"/>
    <n v="0"/>
    <m/>
    <m/>
    <m/>
    <m/>
    <m/>
    <m/>
    <m/>
    <m/>
    <m/>
    <d v="1987-01-15T00:00:00"/>
    <s v="F"/>
    <s v="B"/>
    <s v="BLACK"/>
    <s v="NULL"/>
    <s v="179"/>
    <s v="DEFERRED"/>
    <n v="2"/>
    <s v="DEFERRED"/>
    <m/>
    <m/>
    <m/>
    <s v="FORGERY"/>
    <m/>
    <s v="FS"/>
    <s v="OTHER FEL"/>
    <m/>
    <m/>
    <m/>
    <m/>
    <m/>
    <m/>
    <m/>
    <m/>
    <m/>
    <s v="Appointed Attorney"/>
    <m/>
    <m/>
    <n v="2"/>
    <n v="30"/>
    <n v="30"/>
    <n v="25.224043715846996"/>
    <n v="0"/>
    <n v="-28"/>
    <s v="DEFERRED"/>
    <x v="2"/>
    <s v="Y"/>
    <m/>
    <s v="DEFERRED"/>
    <s v="Y"/>
    <x v="1"/>
    <x v="0"/>
    <s v="N"/>
    <n v="6.6666666666666666E-2"/>
    <n v="6.6666666666666666E-2"/>
    <n v="0"/>
    <n v="0"/>
    <n v="-2"/>
    <n v="0"/>
    <n v="2"/>
    <e v="#VALUE!"/>
    <n v="2"/>
    <n v="0"/>
    <m/>
    <m/>
    <s v="N"/>
    <m/>
    <s v="0-10 DAYS"/>
    <n v="1"/>
    <x v="0"/>
  </r>
  <r>
    <n v="3122"/>
    <s v="N"/>
    <s v="N"/>
    <n v="2615934"/>
    <n v="2"/>
    <d v="2012-04-25T00:00:00"/>
    <d v="2012-10-05T00:00:00"/>
    <n v="2615934"/>
    <d v="2012-04-29T00:00:00"/>
    <d v="2012-04-30T00:00:00"/>
    <n v="2000"/>
    <x v="5"/>
    <d v="2012-04-30T00:00:00"/>
    <s v="Y"/>
    <s v="SURETY"/>
    <s v="DEFERRED ADJUDICATION "/>
    <n v="2"/>
    <n v="164"/>
    <n v="0"/>
    <n v="0"/>
    <m/>
    <m/>
    <m/>
    <m/>
    <m/>
    <m/>
    <m/>
    <s v="S"/>
    <m/>
    <d v="1968-05-19T00:00:00"/>
    <s v="M"/>
    <s v="H"/>
    <s v="HISPANIC"/>
    <s v="NULL"/>
    <s v="184"/>
    <s v="DEFERRED"/>
    <n v="11"/>
    <s v="DEFERRED"/>
    <m/>
    <m/>
    <m/>
    <s v="CREDIT/DEBIT CARD ABUSE"/>
    <m/>
    <s v="FS"/>
    <s v="OTHER FEL"/>
    <m/>
    <m/>
    <m/>
    <m/>
    <m/>
    <m/>
    <m/>
    <m/>
    <m/>
    <s v="Hired Attorney"/>
    <m/>
    <m/>
    <n v="2"/>
    <n v="160"/>
    <n v="164"/>
    <n v="43.844262295081968"/>
    <n v="0"/>
    <n v="-158"/>
    <s v="DEFERRED"/>
    <x v="1"/>
    <s v="Y"/>
    <m/>
    <s v="DEFERRED"/>
    <s v="Y"/>
    <x v="1"/>
    <x v="0"/>
    <s v="N"/>
    <n v="1.2195121951219513E-2"/>
    <n v="1.2500000000000001E-2"/>
    <n v="3.0487804878048808E-4"/>
    <n v="0"/>
    <n v="-2"/>
    <n v="0"/>
    <n v="2"/>
    <e v="#VALUE!"/>
    <n v="2"/>
    <n v="0"/>
    <m/>
    <m/>
    <s v="N"/>
    <m/>
    <s v="0-10 DAYS"/>
    <n v="1"/>
    <x v="0"/>
  </r>
  <r>
    <n v="3134"/>
    <s v="N"/>
    <s v="N"/>
    <n v="2615979"/>
    <n v="1"/>
    <d v="2012-04-25T00:00:00"/>
    <d v="2012-07-09T00:00:00"/>
    <n v="2615979"/>
    <d v="2012-04-26T00:00:00"/>
    <d v="2012-04-27T00:00:00"/>
    <n v="7000"/>
    <x v="3"/>
    <d v="2012-04-27T00:00:00"/>
    <s v="Y"/>
    <s v="SURETY"/>
    <s v="DISMISSED"/>
    <n v="2"/>
    <n v="76"/>
    <n v="0"/>
    <n v="0"/>
    <m/>
    <m/>
    <m/>
    <m/>
    <m/>
    <m/>
    <m/>
    <m/>
    <m/>
    <d v="1981-10-15T00:00:00"/>
    <s v="M"/>
    <s v="B"/>
    <s v="BLACK"/>
    <s v="NULL"/>
    <s v="180"/>
    <s v="DISMISSED"/>
    <n v="5"/>
    <s v="DISMISSED"/>
    <m/>
    <m/>
    <m/>
    <s v="POSS CS PG 1 &lt;1G"/>
    <m/>
    <s v="FS"/>
    <s v="POSS DRUG"/>
    <m/>
    <m/>
    <m/>
    <m/>
    <m/>
    <m/>
    <m/>
    <m/>
    <m/>
    <s v="Hired Attorney"/>
    <m/>
    <m/>
    <n v="2"/>
    <n v="75"/>
    <n v="76"/>
    <n v="30.464480874316941"/>
    <n v="0"/>
    <n v="-73"/>
    <s v="NO CONVICTION"/>
    <x v="1"/>
    <s v="Y"/>
    <m/>
    <s v="NO CONVICTION"/>
    <s v="Y"/>
    <x v="1"/>
    <x v="0"/>
    <s v="N"/>
    <n v="2.6315789473684209E-2"/>
    <n v="2.6666666666666668E-2"/>
    <n v="3.5087719298245931E-4"/>
    <n v="0"/>
    <n v="-2"/>
    <n v="0"/>
    <n v="2"/>
    <e v="#VALUE!"/>
    <n v="2"/>
    <n v="0"/>
    <m/>
    <m/>
    <s v="N"/>
    <m/>
    <s v="0-10 DAYS"/>
    <n v="1"/>
    <x v="0"/>
  </r>
  <r>
    <n v="3135"/>
    <s v="N"/>
    <s v="N"/>
    <n v="2615980"/>
    <n v="1"/>
    <d v="2012-04-25T00:00:00"/>
    <d v="2012-06-19T00:00:00"/>
    <n v="2615980"/>
    <d v="2012-04-26T00:00:00"/>
    <d v="2012-06-19T00:00:00"/>
    <n v="10000"/>
    <x v="3"/>
    <m/>
    <s v="N"/>
    <s v="NONE"/>
    <s v="DISMISSED"/>
    <n v="55"/>
    <n v="56"/>
    <n v="0"/>
    <n v="0"/>
    <m/>
    <m/>
    <m/>
    <m/>
    <m/>
    <m/>
    <m/>
    <m/>
    <m/>
    <d v="1983-09-13T00:00:00"/>
    <s v="M"/>
    <s v="B"/>
    <s v="BLACK"/>
    <s v="NULL"/>
    <s v="180"/>
    <s v="DISMISSED"/>
    <n v="3"/>
    <s v="DISMISSED"/>
    <m/>
    <m/>
    <m/>
    <s v="TAMPER/FABRICATE EVIDENCE"/>
    <m/>
    <s v="F3"/>
    <s v="OTHER FEL"/>
    <m/>
    <m/>
    <m/>
    <m/>
    <m/>
    <m/>
    <m/>
    <m/>
    <m/>
    <s v="Appointed Attorney"/>
    <m/>
    <m/>
    <n v="55"/>
    <n v="55"/>
    <n v="56"/>
    <n v="28.557377049180328"/>
    <n v="0"/>
    <n v="0"/>
    <s v="NO CONVICTION"/>
    <x v="0"/>
    <s v="N"/>
    <m/>
    <s v="NO CONVICTION"/>
    <s v="Y"/>
    <x v="0"/>
    <x v="0"/>
    <s v="N"/>
    <n v="0.9821428571428571"/>
    <n v="1"/>
    <n v="1.7857142857142905E-2"/>
    <n v="0"/>
    <n v="-55"/>
    <n v="0"/>
    <n v="55"/>
    <e v="#VALUE!"/>
    <n v="55"/>
    <n v="0"/>
    <m/>
    <m/>
    <s v="N"/>
    <m/>
    <s v="31-60 DAYS"/>
    <n v="3"/>
    <x v="0"/>
  </r>
  <r>
    <n v="3137"/>
    <s v="N"/>
    <s v="N"/>
    <n v="2615989"/>
    <n v="2"/>
    <d v="2012-04-25T00:00:00"/>
    <d v="2012-05-25T00:00:00"/>
    <n v="2615989"/>
    <d v="2012-04-26T00:00:00"/>
    <d v="2012-04-29T00:00:00"/>
    <n v="2000"/>
    <x v="5"/>
    <d v="2012-04-29T00:00:00"/>
    <s v="Y"/>
    <s v="SURETY"/>
    <s v="DEFERRED ADJUDICATION "/>
    <n v="4"/>
    <n v="31"/>
    <n v="0"/>
    <n v="0"/>
    <m/>
    <m/>
    <m/>
    <m/>
    <m/>
    <m/>
    <m/>
    <m/>
    <m/>
    <d v="1994-04-15T00:00:00"/>
    <s v="M"/>
    <s v="W"/>
    <s v="WHITE"/>
    <s v="NULL"/>
    <s v="248"/>
    <s v="DEFERRED"/>
    <n v="2"/>
    <s v="DEFERRED"/>
    <m/>
    <m/>
    <m/>
    <s v="BURGLARY OF A BUILDING"/>
    <m/>
    <s v="FS"/>
    <s v="BURGLARY"/>
    <s v="violation? revoked adj glt 10/31/12 stj 1 yr"/>
    <m/>
    <m/>
    <m/>
    <m/>
    <m/>
    <m/>
    <m/>
    <m/>
    <s v="Appointed Attorney"/>
    <m/>
    <m/>
    <n v="4"/>
    <n v="30"/>
    <n v="31"/>
    <n v="17.991803278688526"/>
    <n v="0"/>
    <n v="-26"/>
    <s v="DEFERRED"/>
    <x v="1"/>
    <s v="Y"/>
    <m/>
    <s v="DEFERRED"/>
    <s v="Y"/>
    <x v="1"/>
    <x v="0"/>
    <s v="N"/>
    <n v="0.12903225806451613"/>
    <n v="0.13333333333333333"/>
    <n v="4.301075268817206E-3"/>
    <n v="0"/>
    <n v="-4"/>
    <n v="0"/>
    <n v="4"/>
    <e v="#VALUE!"/>
    <n v="4"/>
    <n v="0"/>
    <m/>
    <m/>
    <s v="N"/>
    <m/>
    <s v="0-10 DAYS"/>
    <n v="1"/>
    <x v="0"/>
  </r>
  <r>
    <n v="3142"/>
    <s v="N"/>
    <s v="N"/>
    <n v="2616003"/>
    <n v="2"/>
    <d v="2012-04-26T00:00:00"/>
    <d v="2012-10-25T00:00:00"/>
    <n v="2616003"/>
    <d v="2012-04-26T00:00:00"/>
    <d v="2012-04-27T00:00:00"/>
    <n v="10000"/>
    <x v="3"/>
    <d v="2012-04-27T00:00:00"/>
    <s v="Y"/>
    <s v="SURETY"/>
    <s v="DEFERRED ADJUDICATION "/>
    <n v="2"/>
    <n v="183"/>
    <n v="0"/>
    <n v="0"/>
    <m/>
    <m/>
    <m/>
    <m/>
    <m/>
    <m/>
    <m/>
    <m/>
    <m/>
    <d v="1993-12-03T00:00:00"/>
    <s v="M"/>
    <s v="W"/>
    <s v="WHITE"/>
    <s v="NULL"/>
    <s v="208"/>
    <s v="DEFERRED"/>
    <n v="7"/>
    <s v="DEFERRED"/>
    <m/>
    <m/>
    <m/>
    <s v="BURGLARY OF HABITATION"/>
    <m/>
    <s v="F2"/>
    <s v="BURGLARY"/>
    <m/>
    <m/>
    <m/>
    <m/>
    <m/>
    <m/>
    <m/>
    <m/>
    <m/>
    <s v="Hired Attorney"/>
    <m/>
    <m/>
    <n v="2"/>
    <n v="183"/>
    <n v="183"/>
    <n v="18.357923497267759"/>
    <n v="0"/>
    <n v="-181"/>
    <s v="DEFERRED"/>
    <x v="1"/>
    <s v="Y"/>
    <m/>
    <s v="DEFERRED"/>
    <s v="Y"/>
    <x v="1"/>
    <x v="0"/>
    <s v="N"/>
    <n v="1.092896174863388E-2"/>
    <n v="1.092896174863388E-2"/>
    <n v="0"/>
    <n v="0"/>
    <n v="-2"/>
    <n v="0"/>
    <n v="2"/>
    <e v="#VALUE!"/>
    <n v="2"/>
    <n v="0"/>
    <m/>
    <m/>
    <s v="N"/>
    <m/>
    <s v="0-10 DAYS"/>
    <n v="1"/>
    <x v="0"/>
  </r>
  <r>
    <n v="3143"/>
    <s v="N"/>
    <s v="Y"/>
    <n v="2616010"/>
    <n v="6"/>
    <d v="2012-04-26T00:00:00"/>
    <d v="2012-11-14T00:00:00"/>
    <n v="2616010"/>
    <d v="2012-04-26T00:00:00"/>
    <d v="2012-05-20T00:00:00"/>
    <n v="56000"/>
    <x v="2"/>
    <d v="2012-05-20T00:00:00"/>
    <s v="Y"/>
    <s v="SURETY"/>
    <s v="GUILTY PLEA - NO JURY"/>
    <n v="60"/>
    <n v="203"/>
    <n v="0"/>
    <n v="0"/>
    <m/>
    <m/>
    <m/>
    <m/>
    <m/>
    <m/>
    <m/>
    <m/>
    <m/>
    <d v="1974-08-14T00:00:00"/>
    <s v="M"/>
    <s v="B"/>
    <s v="BLACK"/>
    <s v="NULL"/>
    <s v="176"/>
    <s v="CONVICTED"/>
    <n v="8"/>
    <s v="TDC"/>
    <n v="3"/>
    <m/>
    <m/>
    <s v="MAN/DEL CS PG II 4-400 GRAMS"/>
    <m/>
    <s v="F1"/>
    <s v="SALE DRUG"/>
    <s v="BK 7/12/12 &amp; 10/25/12 RECAL"/>
    <m/>
    <s v="Y"/>
    <s v="bf 6/28/ 10/2 "/>
    <m/>
    <m/>
    <m/>
    <s v="(2)7/19/2013"/>
    <n v="1056"/>
    <s v="Appointed Attorney"/>
    <m/>
    <m/>
    <n v="60"/>
    <n v="203"/>
    <n v="203"/>
    <n v="37.622950819672134"/>
    <n v="0"/>
    <n v="-178"/>
    <s v="CONVICTION"/>
    <x v="1"/>
    <s v="N"/>
    <m/>
    <s v="CONVICTION"/>
    <s v="Y"/>
    <x v="0"/>
    <x v="0"/>
    <s v="N"/>
    <n v="0.29556650246305421"/>
    <n v="0.12315270935960591"/>
    <n v="-0.17241379310344829"/>
    <n v="0"/>
    <n v="-25"/>
    <n v="35"/>
    <n v="203"/>
    <n v="60"/>
    <n v="203"/>
    <n v="178"/>
    <m/>
    <m/>
    <s v="N"/>
    <m/>
    <s v="31-60 DAYS"/>
    <n v="3"/>
    <x v="0"/>
  </r>
  <r>
    <n v="3144"/>
    <s v="N"/>
    <s v="N"/>
    <n v="2616015"/>
    <n v="1"/>
    <d v="2012-04-26T00:00:00"/>
    <d v="2012-06-28T00:00:00"/>
    <n v="2616015"/>
    <d v="2012-04-26T00:00:00"/>
    <d v="2012-04-28T00:00:00"/>
    <n v="6500"/>
    <x v="3"/>
    <d v="2012-04-28T00:00:00"/>
    <s v="Y"/>
    <s v="SURETY"/>
    <s v="DISMISSED"/>
    <n v="3"/>
    <n v="64"/>
    <n v="0"/>
    <n v="0"/>
    <m/>
    <m/>
    <m/>
    <m/>
    <m/>
    <m/>
    <m/>
    <m/>
    <m/>
    <d v="1990-08-13T00:00:00"/>
    <s v="F"/>
    <s v="B"/>
    <s v="BLACK"/>
    <s v="NULL"/>
    <s v="177"/>
    <s v="DISMISSED"/>
    <n v="4"/>
    <s v="DISMISSED"/>
    <m/>
    <m/>
    <m/>
    <s v="POSS CS PG 2 1-4 GRAMS"/>
    <m/>
    <s v="F3"/>
    <s v="POSS DRUG"/>
    <m/>
    <m/>
    <m/>
    <m/>
    <m/>
    <m/>
    <m/>
    <m/>
    <m/>
    <s v="Appointed Attorney"/>
    <m/>
    <m/>
    <n v="3"/>
    <n v="64"/>
    <n v="64"/>
    <n v="21.65846994535519"/>
    <n v="0"/>
    <n v="-61"/>
    <s v="NO CONVICTION"/>
    <x v="1"/>
    <s v="Y"/>
    <m/>
    <s v="NO CONVICTION"/>
    <s v="Y"/>
    <x v="1"/>
    <x v="0"/>
    <s v="N"/>
    <n v="4.6875E-2"/>
    <n v="4.6875E-2"/>
    <n v="0"/>
    <n v="0"/>
    <n v="-3"/>
    <n v="0"/>
    <n v="3"/>
    <e v="#VALUE!"/>
    <n v="3"/>
    <n v="0"/>
    <m/>
    <m/>
    <s v="N"/>
    <m/>
    <s v="0-10 DAYS"/>
    <n v="1"/>
    <x v="0"/>
  </r>
  <r>
    <n v="3158"/>
    <s v="N"/>
    <s v="N"/>
    <n v="2616089"/>
    <n v="1"/>
    <d v="2012-04-26T00:00:00"/>
    <d v="2012-10-02T00:00:00"/>
    <n v="2616089"/>
    <d v="2012-06-03T00:00:00"/>
    <d v="2012-06-04T00:00:00"/>
    <n v="5000"/>
    <x v="4"/>
    <d v="2012-06-04T00:00:00"/>
    <s v="Y"/>
    <s v="SURETY"/>
    <s v="DISMISSED"/>
    <n v="2"/>
    <n v="160"/>
    <n v="0"/>
    <n v="0"/>
    <m/>
    <m/>
    <m/>
    <m/>
    <m/>
    <m/>
    <m/>
    <m/>
    <m/>
    <d v="1989-01-22T00:00:00"/>
    <s v="F"/>
    <s v="B"/>
    <s v="BLACK"/>
    <s v="NULL"/>
    <s v="179"/>
    <s v="DISMISSED"/>
    <n v="8"/>
    <s v="DISMISSED"/>
    <m/>
    <m/>
    <m/>
    <s v="THEFT $1500-20K"/>
    <m/>
    <s v="FS"/>
    <s v="THEFT"/>
    <m/>
    <m/>
    <m/>
    <m/>
    <m/>
    <m/>
    <m/>
    <m/>
    <m/>
    <s v="Appointed Attorney"/>
    <m/>
    <m/>
    <n v="2"/>
    <n v="122"/>
    <n v="160"/>
    <n v="23.210382513661202"/>
    <n v="0"/>
    <n v="-120"/>
    <s v="NO CONVICTION"/>
    <x v="1"/>
    <s v="Y"/>
    <m/>
    <s v="NO CONVICTION"/>
    <s v="Y"/>
    <x v="1"/>
    <x v="0"/>
    <s v="N"/>
    <n v="1.2500000000000001E-2"/>
    <n v="1.6393442622950821E-2"/>
    <n v="3.8934426229508198E-3"/>
    <n v="0"/>
    <n v="-2"/>
    <n v="0"/>
    <n v="2"/>
    <e v="#VALUE!"/>
    <n v="2"/>
    <n v="0"/>
    <m/>
    <m/>
    <s v="N"/>
    <m/>
    <s v="0-10 DAYS"/>
    <n v="1"/>
    <x v="0"/>
  </r>
  <r>
    <n v="3161"/>
    <s v="N"/>
    <s v="N"/>
    <n v="2616110"/>
    <n v="2"/>
    <d v="2012-04-26T00:00:00"/>
    <d v="2012-05-09T00:00:00"/>
    <n v="2616110"/>
    <d v="2012-05-02T00:00:00"/>
    <d v="2012-05-09T00:00:00"/>
    <n v="2000"/>
    <x v="5"/>
    <m/>
    <s v="N"/>
    <s v="NONE"/>
    <s v="DEFERRED ADJUDICATION "/>
    <n v="8"/>
    <n v="14"/>
    <n v="0"/>
    <n v="0"/>
    <m/>
    <m/>
    <m/>
    <m/>
    <m/>
    <m/>
    <m/>
    <m/>
    <m/>
    <d v="1995-03-10T00:00:00"/>
    <s v="M"/>
    <s v="B"/>
    <s v="BLACK"/>
    <s v="NULL"/>
    <s v="178"/>
    <s v="DEFERRED"/>
    <n v="3"/>
    <s v="DEFERRED"/>
    <m/>
    <m/>
    <m/>
    <s v="BURGLARY OF A BUILDING"/>
    <m/>
    <s v="FS"/>
    <s v="BURGLARY"/>
    <s v="LAWV  misd 7/13/12  amend cop 8/16/12 hcj 10 days"/>
    <m/>
    <m/>
    <m/>
    <m/>
    <m/>
    <m/>
    <m/>
    <m/>
    <s v="Appointed Attorney"/>
    <m/>
    <m/>
    <n v="8"/>
    <n v="8"/>
    <n v="14"/>
    <n v="17.095628415300546"/>
    <n v="0"/>
    <n v="0"/>
    <s v="DEFERRED"/>
    <x v="0"/>
    <s v="N"/>
    <m/>
    <s v="DEFERRED"/>
    <s v="Y"/>
    <x v="0"/>
    <x v="0"/>
    <s v="N"/>
    <n v="0.5714285714285714"/>
    <n v="1"/>
    <n v="0.4285714285714286"/>
    <n v="0"/>
    <n v="-8"/>
    <n v="0"/>
    <n v="8"/>
    <e v="#VALUE!"/>
    <n v="8"/>
    <n v="0"/>
    <m/>
    <m/>
    <s v="N"/>
    <m/>
    <s v="0-10 DAYS"/>
    <n v="1"/>
    <x v="0"/>
  </r>
  <r>
    <n v="3162"/>
    <s v="N"/>
    <s v="N"/>
    <n v="2616111"/>
    <n v="6"/>
    <d v="2012-04-26T00:00:00"/>
    <d v="2012-06-28T00:00:00"/>
    <n v="2616111"/>
    <d v="2012-04-27T00:00:00"/>
    <d v="2012-06-28T00:00:00"/>
    <n v="10000"/>
    <x v="3"/>
    <m/>
    <s v="N"/>
    <s v="NONE"/>
    <s v="GUILTY PLEA - NO JURY"/>
    <n v="63"/>
    <n v="64"/>
    <n v="0"/>
    <n v="0"/>
    <m/>
    <m/>
    <m/>
    <m/>
    <m/>
    <m/>
    <m/>
    <s v="S"/>
    <m/>
    <d v="1995-03-17T00:00:00"/>
    <s v="M"/>
    <s v="H"/>
    <s v="HISPANIC"/>
    <s v="NULL"/>
    <s v="182"/>
    <s v="CONVICTED"/>
    <n v="5"/>
    <s v="TDC"/>
    <n v="2"/>
    <m/>
    <m/>
    <s v="BURGLARY OF HABITATION"/>
    <m/>
    <s v="F2"/>
    <s v="BURGLARY"/>
    <m/>
    <m/>
    <m/>
    <m/>
    <m/>
    <m/>
    <m/>
    <m/>
    <m/>
    <s v="Appointed Attorney"/>
    <m/>
    <m/>
    <n v="63"/>
    <n v="63"/>
    <n v="64"/>
    <n v="17.076502732240439"/>
    <n v="0"/>
    <n v="0"/>
    <s v="CONVICTION"/>
    <x v="0"/>
    <s v="N"/>
    <m/>
    <s v="CONVICTION"/>
    <s v="Y"/>
    <x v="0"/>
    <x v="0"/>
    <s v="N"/>
    <n v="0.984375"/>
    <n v="1"/>
    <n v="1.5625E-2"/>
    <n v="0"/>
    <n v="-63"/>
    <n v="0"/>
    <n v="63"/>
    <e v="#VALUE!"/>
    <n v="63"/>
    <n v="0"/>
    <m/>
    <m/>
    <s v="N"/>
    <m/>
    <s v="61-90 DAYS"/>
    <n v="4"/>
    <x v="0"/>
  </r>
  <r>
    <n v="3164"/>
    <s v="N"/>
    <s v="N"/>
    <n v="2616114"/>
    <n v="6"/>
    <d v="2012-04-26T00:00:00"/>
    <d v="2013-03-01T00:00:00"/>
    <n v="2616114"/>
    <d v="2012-06-26T00:00:00"/>
    <d v="2013-03-01T00:00:00"/>
    <n v="60000"/>
    <x v="2"/>
    <m/>
    <s v="N"/>
    <s v="NONE"/>
    <s v="GUILTY PLEA - NO JURY"/>
    <n v="249"/>
    <n v="310"/>
    <n v="0"/>
    <n v="0"/>
    <m/>
    <m/>
    <m/>
    <m/>
    <m/>
    <m/>
    <m/>
    <m/>
    <m/>
    <d v="1982-12-30T00:00:00"/>
    <s v="M"/>
    <s v="I"/>
    <s v="OTHER"/>
    <s v="NULL"/>
    <s v="263"/>
    <s v="CONVICTED"/>
    <n v="10"/>
    <s v="TDC"/>
    <n v="4"/>
    <m/>
    <m/>
    <s v="INDECENCY CHILD-TG"/>
    <m/>
    <s v="F2"/>
    <s v="SEX ABUSE"/>
    <m/>
    <m/>
    <m/>
    <m/>
    <m/>
    <m/>
    <m/>
    <m/>
    <m/>
    <s v="Appointed Attorney"/>
    <m/>
    <m/>
    <n v="249"/>
    <n v="249"/>
    <n v="310"/>
    <n v="29.262295081967213"/>
    <n v="0"/>
    <n v="0"/>
    <s v="CONVICTION"/>
    <x v="0"/>
    <s v="N"/>
    <m/>
    <s v="CONVICTION"/>
    <s v="Y"/>
    <x v="0"/>
    <x v="0"/>
    <s v="N"/>
    <n v="0.8032258064516129"/>
    <n v="1"/>
    <n v="0.1967741935483871"/>
    <n v="0"/>
    <n v="-249"/>
    <n v="0"/>
    <n v="249"/>
    <e v="#VALUE!"/>
    <n v="249"/>
    <n v="0"/>
    <m/>
    <m/>
    <s v="N"/>
    <m/>
    <s v="121-365 DAYS"/>
    <n v="6"/>
    <x v="0"/>
  </r>
  <r>
    <n v="3163"/>
    <s v="N"/>
    <s v="N"/>
    <n v="2616115"/>
    <n v="5"/>
    <d v="2012-04-26T00:00:00"/>
    <d v="2013-01-15T00:00:00"/>
    <n v="2616115"/>
    <d v="2012-04-27T00:00:00"/>
    <d v="2013-01-15T00:00:00"/>
    <n v="10000"/>
    <x v="3"/>
    <m/>
    <s v="N"/>
    <s v="NONE"/>
    <s v="GUILTY PLEA - NO JURY"/>
    <n v="264"/>
    <n v="265"/>
    <n v="0"/>
    <n v="0"/>
    <m/>
    <m/>
    <m/>
    <m/>
    <m/>
    <m/>
    <m/>
    <m/>
    <m/>
    <d v="1978-09-11T00:00:00"/>
    <s v="M"/>
    <s v="W"/>
    <s v="WHITE"/>
    <s v="NULL"/>
    <s v="232"/>
    <s v="CONVICTED"/>
    <n v="11"/>
    <s v="STJ"/>
    <m/>
    <n v="8"/>
    <m/>
    <s v="AGG ASLT-SER BOD INJURY"/>
    <m/>
    <s v="F2"/>
    <s v="ASLT-MURDR"/>
    <m/>
    <m/>
    <m/>
    <m/>
    <m/>
    <m/>
    <m/>
    <m/>
    <m/>
    <s v="Public Defender"/>
    <m/>
    <m/>
    <n v="264"/>
    <n v="264"/>
    <n v="265"/>
    <n v="33.55464480874317"/>
    <n v="0"/>
    <n v="0"/>
    <s v="CONVICTION"/>
    <x v="0"/>
    <s v="N"/>
    <m/>
    <s v="CONVICTION"/>
    <s v="Y"/>
    <x v="0"/>
    <x v="0"/>
    <s v="N"/>
    <n v="0.99622641509433962"/>
    <n v="1"/>
    <n v="3.7735849056603765E-3"/>
    <n v="0"/>
    <n v="-264"/>
    <n v="0"/>
    <n v="264"/>
    <e v="#VALUE!"/>
    <n v="264"/>
    <n v="0"/>
    <m/>
    <m/>
    <s v="N"/>
    <m/>
    <s v="121-365 DAYS"/>
    <n v="6"/>
    <x v="0"/>
  </r>
  <r>
    <n v="3165"/>
    <s v="N"/>
    <s v="N"/>
    <n v="2616119"/>
    <n v="6"/>
    <d v="2012-04-26T00:00:00"/>
    <d v="2013-05-09T00:00:00"/>
    <n v="2616119"/>
    <d v="2012-04-27T00:00:00"/>
    <d v="2013-05-09T00:00:00"/>
    <n v="120000"/>
    <x v="2"/>
    <m/>
    <s v="N"/>
    <s v="NONE"/>
    <s v="GUILTY PLEA - NO JURY"/>
    <n v="378"/>
    <n v="379"/>
    <n v="0"/>
    <n v="0"/>
    <m/>
    <m/>
    <m/>
    <m/>
    <m/>
    <m/>
    <m/>
    <s v="S"/>
    <m/>
    <d v="1965-05-20T00:00:00"/>
    <s v="M"/>
    <s v="H"/>
    <s v="HISPANIC"/>
    <s v="NULL"/>
    <s v="183"/>
    <s v="CONVICTED"/>
    <n v="11"/>
    <s v="TDC"/>
    <n v="2"/>
    <m/>
    <m/>
    <s v="SEX ASSLT CHILD 14-17"/>
    <m/>
    <s v="F2"/>
    <s v="SEX ABUSE"/>
    <m/>
    <m/>
    <m/>
    <m/>
    <m/>
    <m/>
    <m/>
    <m/>
    <m/>
    <s v="Appointed Attorney"/>
    <m/>
    <m/>
    <n v="378"/>
    <n v="378"/>
    <n v="379"/>
    <n v="46.838797814207652"/>
    <n v="0"/>
    <n v="0"/>
    <s v="CONVICTION"/>
    <x v="0"/>
    <m/>
    <m/>
    <s v="CONVICTION"/>
    <s v="Y"/>
    <x v="0"/>
    <x v="0"/>
    <s v="N"/>
    <n v="0.99736147757255933"/>
    <n v="1"/>
    <n v="2.6385224274406704E-3"/>
    <n v="0"/>
    <n v="-378"/>
    <n v="0"/>
    <n v="378"/>
    <e v="#VALUE!"/>
    <n v="378"/>
    <n v="0"/>
    <m/>
    <m/>
    <s v="N"/>
    <m/>
    <s v=" &gt;1YRS&lt;2YRS"/>
    <n v="0"/>
    <x v="0"/>
  </r>
  <r>
    <n v="3175"/>
    <s v="N"/>
    <s v="N"/>
    <n v="2616208"/>
    <n v="2"/>
    <d v="2012-04-26T00:00:00"/>
    <d v="2012-05-04T00:00:00"/>
    <n v="2616208"/>
    <d v="2012-04-27T00:00:00"/>
    <d v="2012-04-28T00:00:00"/>
    <n v="2000"/>
    <x v="5"/>
    <d v="2012-04-28T00:00:00"/>
    <s v="Y"/>
    <s v="SURETY"/>
    <s v="DEFERRED ADJUDICATION "/>
    <n v="2"/>
    <n v="9"/>
    <n v="0"/>
    <n v="0"/>
    <m/>
    <m/>
    <m/>
    <m/>
    <m/>
    <m/>
    <m/>
    <m/>
    <m/>
    <d v="1984-12-22T00:00:00"/>
    <s v="F"/>
    <s v="W"/>
    <s v="WHITE"/>
    <s v="NULL"/>
    <s v="262"/>
    <s v="DEFERRED"/>
    <n v="2"/>
    <s v="DEFERRED"/>
    <m/>
    <m/>
    <m/>
    <s v="ABAN/ENDANG CHILD W/INT TO RET"/>
    <m/>
    <s v="FS"/>
    <s v="OTHER FEL"/>
    <m/>
    <m/>
    <m/>
    <m/>
    <m/>
    <m/>
    <m/>
    <m/>
    <m/>
    <s v="Appointed Attorney"/>
    <m/>
    <m/>
    <n v="2"/>
    <n v="8"/>
    <n v="9"/>
    <n v="27.28688524590164"/>
    <n v="0"/>
    <n v="-6"/>
    <s v="DEFERRED"/>
    <x v="1"/>
    <s v="Y"/>
    <m/>
    <s v="DEFERRED"/>
    <s v="Y"/>
    <x v="1"/>
    <x v="0"/>
    <s v="N"/>
    <n v="0.22222222222222221"/>
    <n v="0.25"/>
    <n v="2.777777777777779E-2"/>
    <n v="0"/>
    <n v="-2"/>
    <n v="0"/>
    <n v="2"/>
    <e v="#VALUE!"/>
    <n v="2"/>
    <n v="0"/>
    <m/>
    <m/>
    <s v="N"/>
    <m/>
    <s v="0-10 DAYS"/>
    <n v="1"/>
    <x v="0"/>
  </r>
  <r>
    <n v="3183"/>
    <s v="N"/>
    <s v="N"/>
    <n v="2616291"/>
    <n v="1"/>
    <d v="2012-04-27T00:00:00"/>
    <d v="2012-10-08T00:00:00"/>
    <n v="2616291"/>
    <d v="2012-04-27T00:00:00"/>
    <d v="2012-10-08T00:00:00"/>
    <n v="80000"/>
    <x v="2"/>
    <m/>
    <s v="N"/>
    <s v="NONE"/>
    <s v="DISMISSED"/>
    <n v="165"/>
    <n v="165"/>
    <n v="0"/>
    <n v="0"/>
    <m/>
    <m/>
    <m/>
    <m/>
    <m/>
    <m/>
    <m/>
    <m/>
    <m/>
    <d v="1982-09-21T00:00:00"/>
    <s v="M"/>
    <s v="W"/>
    <s v="WHITE"/>
    <s v="NULL"/>
    <s v="174"/>
    <s v="DISMISSED"/>
    <n v="6"/>
    <s v="DISMISSED"/>
    <m/>
    <m/>
    <m/>
    <s v="AGG ASSAULT W/DEADLY WEAPON"/>
    <m/>
    <s v="F2"/>
    <s v="ASLT-MURDR"/>
    <m/>
    <m/>
    <m/>
    <m/>
    <m/>
    <m/>
    <m/>
    <m/>
    <m/>
    <s v="Appointed Attorney"/>
    <m/>
    <m/>
    <n v="165"/>
    <n v="165"/>
    <n v="165"/>
    <n v="29.538251366120218"/>
    <n v="0"/>
    <n v="0"/>
    <s v="NO CONVICTION"/>
    <x v="0"/>
    <s v="N"/>
    <m/>
    <s v="NO CONVICTION"/>
    <s v="Y"/>
    <x v="0"/>
    <x v="0"/>
    <s v="N"/>
    <n v="1"/>
    <n v="1"/>
    <n v="0"/>
    <n v="0"/>
    <n v="-165"/>
    <n v="0"/>
    <n v="165"/>
    <e v="#VALUE!"/>
    <n v="165"/>
    <n v="0"/>
    <m/>
    <m/>
    <s v="N"/>
    <m/>
    <s v="121-365 DAYS"/>
    <n v="6"/>
    <x v="0"/>
  </r>
  <r>
    <n v="3185"/>
    <s v="N"/>
    <s v="N"/>
    <n v="2616293"/>
    <n v="4"/>
    <d v="2012-04-27T00:00:00"/>
    <d v="2012-04-30T00:00:00"/>
    <n v="2616293"/>
    <d v="2012-04-28T00:00:00"/>
    <d v="2012-04-30T00:00:00"/>
    <n v="35000"/>
    <x v="2"/>
    <m/>
    <s v="N"/>
    <s v="NONE"/>
    <s v="GUILTY PLEA - NO JURY"/>
    <n v="3"/>
    <n v="4"/>
    <n v="0"/>
    <n v="0"/>
    <m/>
    <m/>
    <m/>
    <m/>
    <m/>
    <m/>
    <m/>
    <s v="S"/>
    <m/>
    <d v="1976-09-25T00:00:00"/>
    <s v="M"/>
    <s v="H"/>
    <s v="HISPANIC"/>
    <s v="NULL"/>
    <s v="338"/>
    <s v="CONVICTED"/>
    <n v="1"/>
    <s v="HCJ"/>
    <m/>
    <m/>
    <n v="90"/>
    <s v="POSS CS PG 1 &lt;1G"/>
    <m/>
    <s v="FS"/>
    <s v="POSS DRUG"/>
    <m/>
    <m/>
    <m/>
    <m/>
    <m/>
    <m/>
    <m/>
    <m/>
    <m/>
    <s v="Appointed Attorney"/>
    <m/>
    <m/>
    <n v="3"/>
    <n v="3"/>
    <n v="4"/>
    <n v="35.513661202185794"/>
    <n v="0"/>
    <n v="0"/>
    <s v="CONVICTION"/>
    <x v="0"/>
    <s v="N"/>
    <m/>
    <s v="CONVICTION"/>
    <s v="Y"/>
    <x v="0"/>
    <x v="0"/>
    <s v="N"/>
    <n v="0.75"/>
    <n v="1"/>
    <n v="0.25"/>
    <n v="0"/>
    <n v="-3"/>
    <n v="0"/>
    <n v="3"/>
    <e v="#VALUE!"/>
    <n v="3"/>
    <n v="0"/>
    <m/>
    <m/>
    <s v="N"/>
    <m/>
    <s v="0-10 DAYS"/>
    <n v="1"/>
    <x v="0"/>
  </r>
  <r>
    <n v="3191"/>
    <s v="N"/>
    <s v="Y"/>
    <n v="2616390"/>
    <n v="6"/>
    <d v="2012-04-27T00:00:00"/>
    <d v="2013-04-02T00:00:00"/>
    <n v="2616390"/>
    <d v="2013-02-01T00:00:00"/>
    <d v="2013-02-08T00:00:00"/>
    <n v="60000"/>
    <x v="2"/>
    <d v="2013-02-08T00:00:00"/>
    <s v="Y"/>
    <s v="SURETY"/>
    <s v="GUILTY PLEA - NO JURY"/>
    <n v="8"/>
    <n v="341"/>
    <n v="0"/>
    <n v="0"/>
    <m/>
    <m/>
    <m/>
    <m/>
    <m/>
    <m/>
    <m/>
    <s v="S"/>
    <m/>
    <d v="1979-08-21T00:00:00"/>
    <s v="M"/>
    <s v="H"/>
    <s v="HISPANIC"/>
    <s v="NULL"/>
    <s v="182"/>
    <s v="CONVICTED"/>
    <n v="8"/>
    <s v="TDC"/>
    <n v="25"/>
    <m/>
    <m/>
    <s v="AGG SEX ASSLT CHILD-UNDER 14"/>
    <m/>
    <s v="F1"/>
    <s v="SEX ABUSE"/>
    <s v="bk2/1/13   4/2/13"/>
    <d v="2013-02-01T00:00:00"/>
    <m/>
    <m/>
    <s v="Y"/>
    <m/>
    <m/>
    <m/>
    <m/>
    <s v="Hired Attorney"/>
    <m/>
    <m/>
    <n v="8"/>
    <n v="61"/>
    <n v="341"/>
    <n v="32.617486338797811"/>
    <n v="0"/>
    <n v="-53"/>
    <s v="CONVICTION"/>
    <x v="1"/>
    <s v="Y"/>
    <m/>
    <s v="CONVICTION"/>
    <s v="Y"/>
    <x v="1"/>
    <x v="0"/>
    <s v="N"/>
    <n v="2.3460410557184751E-2"/>
    <n v="0.13114754098360656"/>
    <n v="0.10768713042642181"/>
    <n v="0"/>
    <n v="-8"/>
    <n v="0"/>
    <n v="8"/>
    <n v="8"/>
    <m/>
    <n v="53"/>
    <m/>
    <m/>
    <s v="N"/>
    <m/>
    <s v="0-10 DAYS"/>
    <n v="1"/>
    <x v="0"/>
  </r>
  <r>
    <n v="3195"/>
    <s v="N"/>
    <s v="N"/>
    <n v="2616402"/>
    <n v="2"/>
    <d v="2012-04-27T00:00:00"/>
    <d v="2012-07-24T00:00:00"/>
    <n v="2616402"/>
    <d v="2012-04-28T00:00:00"/>
    <d v="2012-04-29T00:00:00"/>
    <n v="20000"/>
    <x v="0"/>
    <d v="2012-04-29T00:00:00"/>
    <s v="Y"/>
    <s v="SURETY"/>
    <s v="DEFERRED ADJUDICATION "/>
    <n v="2"/>
    <n v="89"/>
    <n v="0"/>
    <n v="0"/>
    <m/>
    <m/>
    <m/>
    <m/>
    <m/>
    <m/>
    <m/>
    <m/>
    <m/>
    <d v="1974-04-15T00:00:00"/>
    <s v="M"/>
    <s v="W"/>
    <s v="WHITE"/>
    <s v="NULL"/>
    <s v="180"/>
    <s v="DEFERRED"/>
    <n v="4"/>
    <s v="DEFERRED"/>
    <m/>
    <m/>
    <m/>
    <s v="POSS CS PG 1  1 - 4 GRAMS"/>
    <m/>
    <s v="F3"/>
    <s v="POSS DRUG"/>
    <m/>
    <m/>
    <m/>
    <m/>
    <m/>
    <m/>
    <m/>
    <m/>
    <m/>
    <s v="Hired Attorney"/>
    <m/>
    <m/>
    <n v="2"/>
    <n v="88"/>
    <n v="89"/>
    <n v="37.956284153005463"/>
    <n v="0"/>
    <n v="-86"/>
    <s v="DEFERRED"/>
    <x v="1"/>
    <s v="Y"/>
    <m/>
    <s v="DEFERRED"/>
    <s v="Y"/>
    <x v="1"/>
    <x v="0"/>
    <s v="N"/>
    <n v="2.247191011235955E-2"/>
    <n v="2.2727272727272728E-2"/>
    <n v="2.5536261491317797E-4"/>
    <n v="0"/>
    <n v="-2"/>
    <n v="0"/>
    <n v="2"/>
    <e v="#VALUE!"/>
    <n v="2"/>
    <n v="0"/>
    <m/>
    <m/>
    <s v="N"/>
    <m/>
    <s v="0-10 DAYS"/>
    <n v="1"/>
    <x v="0"/>
  </r>
  <r>
    <n v="3196"/>
    <s v="N"/>
    <s v="N"/>
    <n v="2616403"/>
    <n v="1"/>
    <d v="2012-04-27T00:00:00"/>
    <d v="2012-08-30T00:00:00"/>
    <n v="2616403"/>
    <s v="NOT BOOKED"/>
    <s v="NOT BOOKED"/>
    <n v="2000"/>
    <x v="5"/>
    <d v="2012-04-28T00:00:00"/>
    <s v="Y"/>
    <s v="SURETY"/>
    <s v="DISMISSED"/>
    <n v="0"/>
    <n v="126"/>
    <n v="0"/>
    <n v="0"/>
    <m/>
    <m/>
    <m/>
    <m/>
    <m/>
    <m/>
    <m/>
    <s v="S"/>
    <m/>
    <d v="1946-09-05T00:00:00"/>
    <s v="M"/>
    <s v="H"/>
    <s v="HISPANIC"/>
    <s v="NULL"/>
    <s v="228"/>
    <s v="DISMISSED"/>
    <n v="5"/>
    <s v="DISMISSED"/>
    <m/>
    <m/>
    <m/>
    <s v="THEFT $1500-20K"/>
    <m/>
    <s v="FS"/>
    <s v="THEFT"/>
    <m/>
    <m/>
    <m/>
    <m/>
    <m/>
    <m/>
    <m/>
    <m/>
    <m/>
    <s v="Hired Attorney"/>
    <m/>
    <m/>
    <n v="0"/>
    <n v="0"/>
    <n v="126"/>
    <n v="65.508196721311478"/>
    <e v="#VALUE!"/>
    <e v="#VALUE!"/>
    <s v="NO CONVICTION"/>
    <x v="1"/>
    <s v="Y"/>
    <m/>
    <s v="NO CONVICTION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3206"/>
    <s v="N"/>
    <s v="N"/>
    <n v="2616433"/>
    <n v="1"/>
    <d v="2012-04-28T00:00:00"/>
    <d v="2012-09-12T00:00:00"/>
    <n v="2616433"/>
    <d v="2012-04-28T00:00:00"/>
    <d v="2012-04-29T00:00:00"/>
    <n v="30000"/>
    <x v="2"/>
    <d v="2012-04-29T00:00:00"/>
    <s v="Y"/>
    <s v="SURETY"/>
    <s v="DISMISSED"/>
    <n v="2"/>
    <n v="138"/>
    <n v="0"/>
    <n v="0"/>
    <m/>
    <m/>
    <m/>
    <m/>
    <m/>
    <m/>
    <m/>
    <m/>
    <m/>
    <d v="1990-05-15T00:00:00"/>
    <s v="M"/>
    <s v="B"/>
    <s v="BLACK"/>
    <s v="NULL"/>
    <s v="351"/>
    <s v="DISMISSED"/>
    <n v="5"/>
    <s v="DISMISSED"/>
    <m/>
    <m/>
    <m/>
    <s v="AGG ASSAULT-FAMILY MEMBER"/>
    <m/>
    <s v="F2"/>
    <s v="ASLT-MURDR"/>
    <m/>
    <m/>
    <m/>
    <m/>
    <m/>
    <m/>
    <m/>
    <m/>
    <m/>
    <s v="Hired Attorney"/>
    <m/>
    <m/>
    <n v="2"/>
    <n v="138"/>
    <n v="138"/>
    <n v="21.909836065573771"/>
    <n v="0"/>
    <n v="-136"/>
    <s v="NO CONVICTION"/>
    <x v="1"/>
    <s v="Y"/>
    <m/>
    <s v="NO CONVICTION"/>
    <s v="Y"/>
    <x v="1"/>
    <x v="0"/>
    <s v="N"/>
    <n v="1.4492753623188406E-2"/>
    <n v="1.4492753623188406E-2"/>
    <n v="0"/>
    <n v="0"/>
    <n v="-2"/>
    <n v="0"/>
    <n v="2"/>
    <e v="#VALUE!"/>
    <n v="2"/>
    <n v="0"/>
    <m/>
    <m/>
    <s v="N"/>
    <m/>
    <s v="0-10 DAYS"/>
    <n v="1"/>
    <x v="0"/>
  </r>
  <r>
    <n v="3208"/>
    <s v="N"/>
    <s v="N"/>
    <n v="2616444"/>
    <n v="1"/>
    <d v="2012-04-28T00:00:00"/>
    <d v="2012-05-31T00:00:00"/>
    <n v="2616444"/>
    <d v="2012-04-28T00:00:00"/>
    <d v="2012-05-05T00:00:00"/>
    <n v="20000"/>
    <x v="0"/>
    <d v="2012-05-05T00:00:00"/>
    <s v="Y"/>
    <s v="SURETY"/>
    <s v="DISMISSED"/>
    <n v="8"/>
    <n v="34"/>
    <n v="0"/>
    <n v="0"/>
    <m/>
    <m/>
    <m/>
    <m/>
    <m/>
    <m/>
    <m/>
    <m/>
    <m/>
    <d v="1975-03-21T00:00:00"/>
    <s v="F"/>
    <s v="W"/>
    <s v="WHITE"/>
    <s v="NULL"/>
    <s v="184"/>
    <s v="DISMISSED"/>
    <n v="2"/>
    <s v="DISMISSED"/>
    <m/>
    <m/>
    <m/>
    <s v="INJURY CHILD UNDER 15 B/INJURY"/>
    <m/>
    <s v="F3"/>
    <s v="OTHER FEL"/>
    <m/>
    <m/>
    <m/>
    <m/>
    <m/>
    <m/>
    <m/>
    <m/>
    <m/>
    <s v="Public Defender"/>
    <m/>
    <m/>
    <n v="8"/>
    <n v="34"/>
    <n v="34"/>
    <n v="37.030054644808743"/>
    <n v="0"/>
    <n v="-26"/>
    <s v="NO CONVICTION"/>
    <x v="1"/>
    <s v="Y"/>
    <m/>
    <s v="NO CONVICTION"/>
    <s v="Y"/>
    <x v="1"/>
    <x v="0"/>
    <s v="N"/>
    <n v="0.23529411764705882"/>
    <n v="0.23529411764705882"/>
    <n v="0"/>
    <n v="0"/>
    <n v="-8"/>
    <n v="0"/>
    <n v="8"/>
    <e v="#VALUE!"/>
    <n v="8"/>
    <n v="0"/>
    <m/>
    <m/>
    <s v="N"/>
    <m/>
    <s v="0-10 DAYS"/>
    <n v="1"/>
    <x v="0"/>
  </r>
  <r>
    <n v="3217"/>
    <s v="N"/>
    <s v="N"/>
    <n v="2616517"/>
    <n v="2"/>
    <d v="2012-04-28T00:00:00"/>
    <d v="2013-04-01T00:00:00"/>
    <n v="2616517"/>
    <d v="2012-04-28T00:00:00"/>
    <d v="2012-04-29T00:00:00"/>
    <n v="35000"/>
    <x v="2"/>
    <d v="2012-04-29T00:00:00"/>
    <s v="Y"/>
    <s v="SURETY"/>
    <s v="DEFERRED ADJUDICATION "/>
    <n v="2"/>
    <n v="339"/>
    <n v="0"/>
    <n v="0"/>
    <m/>
    <m/>
    <m/>
    <m/>
    <m/>
    <m/>
    <m/>
    <m/>
    <m/>
    <d v="1993-02-20T00:00:00"/>
    <s v="F"/>
    <s v="W"/>
    <s v="WHITE"/>
    <s v="NULL"/>
    <s v="178"/>
    <s v="DEFERRED"/>
    <n v="14"/>
    <s v="DEFERRED"/>
    <m/>
    <m/>
    <m/>
    <s v="POSS CS PG 1 &lt;1G"/>
    <m/>
    <s v="FS"/>
    <s v="POSS DRUG"/>
    <m/>
    <m/>
    <m/>
    <m/>
    <m/>
    <m/>
    <m/>
    <m/>
    <m/>
    <s v="Hired Attorney"/>
    <m/>
    <m/>
    <n v="2"/>
    <n v="339"/>
    <n v="339"/>
    <n v="19.144808743169399"/>
    <n v="0"/>
    <n v="-337"/>
    <s v="DEFERRED"/>
    <x v="1"/>
    <s v="Y"/>
    <m/>
    <s v="DEFERRED"/>
    <s v="Y"/>
    <x v="1"/>
    <x v="0"/>
    <s v="N"/>
    <n v="5.8997050147492625E-3"/>
    <n v="5.8997050147492625E-3"/>
    <n v="0"/>
    <n v="0"/>
    <n v="-2"/>
    <n v="0"/>
    <n v="2"/>
    <e v="#VALUE!"/>
    <n v="2"/>
    <n v="0"/>
    <m/>
    <m/>
    <s v="N"/>
    <m/>
    <s v="0-10 DAYS"/>
    <n v="1"/>
    <x v="0"/>
  </r>
  <r>
    <n v="3220"/>
    <s v="N"/>
    <s v="N"/>
    <n v="2616529"/>
    <n v="2"/>
    <d v="2012-04-28T00:00:00"/>
    <d v="2013-10-10T00:00:00"/>
    <n v="2616529"/>
    <d v="2012-04-28T00:00:00"/>
    <d v="2012-04-30T00:00:00"/>
    <n v="15000"/>
    <x v="0"/>
    <d v="2012-04-30T00:00:00"/>
    <s v="Y"/>
    <s v="SURETY"/>
    <s v="DEFERRED ADJUDICATION "/>
    <n v="3"/>
    <n v="531"/>
    <n v="0"/>
    <n v="0"/>
    <m/>
    <m/>
    <m/>
    <m/>
    <m/>
    <m/>
    <m/>
    <m/>
    <m/>
    <d v="1990-01-31T00:00:00"/>
    <s v="M"/>
    <s v="W"/>
    <s v="WHITE"/>
    <s v="NULL"/>
    <s v="209"/>
    <s v="DEFERRED"/>
    <n v="11"/>
    <s v="DEFERRED"/>
    <m/>
    <m/>
    <m/>
    <s v="POSS MARIJ  5 - 50 LBS."/>
    <m/>
    <s v="F3"/>
    <s v="POSS DRUG"/>
    <m/>
    <m/>
    <m/>
    <m/>
    <m/>
    <m/>
    <m/>
    <m/>
    <m/>
    <s v="Hired Attorney"/>
    <m/>
    <m/>
    <n v="3"/>
    <n v="531"/>
    <n v="531"/>
    <n v="22.193989071038253"/>
    <n v="0"/>
    <n v="-528"/>
    <s v="DEFERRED"/>
    <x v="1"/>
    <s v="Y"/>
    <m/>
    <s v="DEFERRED"/>
    <s v="Y"/>
    <x v="1"/>
    <x v="0"/>
    <s v="N"/>
    <n v="5.6497175141242938E-3"/>
    <n v="5.6497175141242938E-3"/>
    <n v="0"/>
    <n v="0"/>
    <n v="-3"/>
    <n v="0"/>
    <n v="3"/>
    <e v="#VALUE!"/>
    <n v="3"/>
    <n v="0"/>
    <m/>
    <m/>
    <s v="N"/>
    <m/>
    <s v="0-10 DAYS"/>
    <n v="1"/>
    <x v="0"/>
  </r>
  <r>
    <n v="3221"/>
    <s v="N"/>
    <s v="N"/>
    <n v="2616530"/>
    <n v="1"/>
    <d v="2012-04-28T00:00:00"/>
    <d v="2012-11-16T00:00:00"/>
    <n v="2616530"/>
    <d v="2012-04-28T00:00:00"/>
    <d v="2012-04-30T00:00:00"/>
    <n v="15000"/>
    <x v="0"/>
    <d v="2012-04-30T00:00:00"/>
    <s v="Y"/>
    <s v="SURETY"/>
    <s v="DISMISSED"/>
    <n v="3"/>
    <n v="203"/>
    <n v="0"/>
    <n v="0"/>
    <m/>
    <m/>
    <m/>
    <m/>
    <m/>
    <m/>
    <m/>
    <m/>
    <m/>
    <d v="1994-03-02T00:00:00"/>
    <s v="F"/>
    <s v="W"/>
    <s v="WHITE"/>
    <s v="NULL"/>
    <s v="209"/>
    <s v="DISMISSED"/>
    <n v="7"/>
    <s v="DISMISSED"/>
    <m/>
    <m/>
    <m/>
    <s v="POSS CS PG 2 4G - 400G"/>
    <m/>
    <s v="F2"/>
    <s v="POSS DRUG"/>
    <m/>
    <m/>
    <m/>
    <m/>
    <m/>
    <m/>
    <m/>
    <m/>
    <m/>
    <s v="Hired Attorney"/>
    <m/>
    <m/>
    <n v="3"/>
    <n v="203"/>
    <n v="203"/>
    <n v="18.120218579234972"/>
    <n v="0"/>
    <n v="-200"/>
    <s v="NO CONVICTION"/>
    <x v="1"/>
    <s v="Y"/>
    <m/>
    <s v="NO CONVICTION"/>
    <s v="Y"/>
    <x v="1"/>
    <x v="0"/>
    <s v="N"/>
    <n v="1.4778325123152709E-2"/>
    <n v="1.4778325123152709E-2"/>
    <n v="0"/>
    <n v="0"/>
    <n v="-3"/>
    <n v="0"/>
    <n v="3"/>
    <e v="#VALUE!"/>
    <n v="3"/>
    <n v="0"/>
    <m/>
    <m/>
    <s v="N"/>
    <m/>
    <s v="0-10 DAYS"/>
    <n v="1"/>
    <x v="0"/>
  </r>
  <r>
    <n v="3227"/>
    <s v="N"/>
    <s v="N"/>
    <n v="2616601"/>
    <n v="2"/>
    <d v="2012-04-29T00:00:00"/>
    <d v="2012-10-09T00:00:00"/>
    <n v="2616601"/>
    <s v="NOT BOOKED"/>
    <s v="NOT BOOKED"/>
    <n v="2000"/>
    <x v="5"/>
    <d v="2012-04-29T00:00:00"/>
    <s v="Y"/>
    <s v="SURETYPTRc"/>
    <s v="DEFERRED ADJUDICATION "/>
    <n v="0"/>
    <n v="164"/>
    <n v="0"/>
    <n v="0"/>
    <m/>
    <m/>
    <m/>
    <m/>
    <m/>
    <m/>
    <m/>
    <m/>
    <m/>
    <d v="1987-06-28T00:00:00"/>
    <s v="M"/>
    <s v="W"/>
    <s v="WHITE"/>
    <s v="NULL"/>
    <s v="230"/>
    <s v="DEFERRED"/>
    <n v="9"/>
    <s v="DEFERRED"/>
    <m/>
    <m/>
    <m/>
    <s v="POSS MARIJ  4 OZ. - 5 LBS."/>
    <m/>
    <s v="FS"/>
    <s v="POSS DRUG"/>
    <m/>
    <m/>
    <m/>
    <m/>
    <m/>
    <m/>
    <m/>
    <m/>
    <m/>
    <s v="Hired Attorney"/>
    <m/>
    <m/>
    <n v="0"/>
    <n v="0"/>
    <n v="164"/>
    <n v="24.78688524590164"/>
    <e v="#VALUE!"/>
    <e v="#VALUE!"/>
    <s v="DEFERRED"/>
    <x v="1"/>
    <s v="Y"/>
    <m/>
    <s v="DEFERRED"/>
    <n v="0"/>
    <x v="1"/>
    <x v="0"/>
    <s v="N"/>
    <n v="0"/>
    <n v="0"/>
    <n v="0"/>
    <n v="0"/>
    <e v="#VALUE!"/>
    <e v="#VALUE!"/>
    <e v="#VALUE!"/>
    <n v="0"/>
    <n v="0"/>
    <n v="0"/>
    <m/>
    <m/>
    <s v="N"/>
    <m/>
    <s v="0-10 DAYS"/>
    <n v="1"/>
    <x v="1"/>
  </r>
  <r>
    <n v="3229"/>
    <s v="N"/>
    <s v="N"/>
    <n v="2616602"/>
    <n v="4"/>
    <d v="2012-04-29T00:00:00"/>
    <d v="2012-04-30T00:00:00"/>
    <n v="2616602"/>
    <d v="2012-04-29T00:00:00"/>
    <d v="2012-04-30T00:00:00"/>
    <n v="2000"/>
    <x v="5"/>
    <m/>
    <s v="N"/>
    <s v="NONE"/>
    <s v="GUILTY PLEA - NO JURY"/>
    <n v="2"/>
    <n v="2"/>
    <n v="0"/>
    <n v="0"/>
    <m/>
    <m/>
    <m/>
    <m/>
    <m/>
    <m/>
    <m/>
    <s v="S"/>
    <m/>
    <d v="1989-12-18T00:00:00"/>
    <s v="M"/>
    <s v="H"/>
    <s v="HISPANIC"/>
    <s v="NULL"/>
    <s v="179"/>
    <s v="CONVICTED"/>
    <n v="1"/>
    <s v="HCJ"/>
    <m/>
    <m/>
    <n v="90"/>
    <s v="POSS CS PG 1 &lt;1G"/>
    <m/>
    <s v="FS"/>
    <s v="POSS DRUG"/>
    <m/>
    <m/>
    <m/>
    <m/>
    <m/>
    <m/>
    <m/>
    <m/>
    <m/>
    <s v="Hired Attorney"/>
    <m/>
    <m/>
    <n v="2"/>
    <n v="2"/>
    <n v="2"/>
    <n v="22.316939890710383"/>
    <n v="0"/>
    <n v="0"/>
    <s v="CONVICTION"/>
    <x v="0"/>
    <s v="N"/>
    <m/>
    <s v="CONVICTION"/>
    <s v="Y"/>
    <x v="0"/>
    <x v="0"/>
    <s v="N"/>
    <n v="1"/>
    <n v="1"/>
    <n v="0"/>
    <n v="0"/>
    <n v="-2"/>
    <n v="0"/>
    <n v="2"/>
    <e v="#VALUE!"/>
    <n v="2"/>
    <n v="0"/>
    <m/>
    <m/>
    <s v="N"/>
    <m/>
    <s v="0-10 DAYS"/>
    <n v="1"/>
    <x v="0"/>
  </r>
  <r>
    <n v="3236"/>
    <s v="N"/>
    <s v="N"/>
    <n v="2616620"/>
    <n v="5"/>
    <d v="2012-04-29T00:00:00"/>
    <d v="2012-07-10T00:00:00"/>
    <n v="2616620"/>
    <d v="2012-04-29T00:00:00"/>
    <d v="2012-07-10T00:00:00"/>
    <n v="10000"/>
    <x v="3"/>
    <m/>
    <s v="N"/>
    <s v="NONE"/>
    <s v="GUILTY PLEA - NO JURY"/>
    <n v="73"/>
    <n v="73"/>
    <n v="0"/>
    <n v="0"/>
    <m/>
    <m/>
    <m/>
    <m/>
    <m/>
    <m/>
    <m/>
    <s v="S"/>
    <m/>
    <d v="1978-02-21T00:00:00"/>
    <s v="M"/>
    <s v="W"/>
    <s v="WHITE"/>
    <s v="NULL"/>
    <s v="351"/>
    <s v="CONVICTED"/>
    <n v="3"/>
    <s v="STJ"/>
    <m/>
    <n v="6"/>
    <m/>
    <s v="TAMPERING WITH RECORD"/>
    <m/>
    <s v="FS"/>
    <s v="OTHER FEL"/>
    <m/>
    <m/>
    <m/>
    <m/>
    <m/>
    <m/>
    <m/>
    <m/>
    <m/>
    <s v="Appointed Attorney"/>
    <m/>
    <m/>
    <n v="73"/>
    <n v="73"/>
    <n v="73"/>
    <n v="34.114754098360656"/>
    <n v="0"/>
    <n v="0"/>
    <s v="CONVICTION"/>
    <x v="0"/>
    <s v="N"/>
    <m/>
    <s v="CONVICTION"/>
    <s v="Y"/>
    <x v="0"/>
    <x v="0"/>
    <s v="N"/>
    <n v="1"/>
    <n v="1"/>
    <n v="0"/>
    <n v="0"/>
    <n v="-73"/>
    <n v="0"/>
    <n v="73"/>
    <e v="#VALUE!"/>
    <n v="73"/>
    <n v="0"/>
    <m/>
    <m/>
    <s v="N"/>
    <m/>
    <s v="61-90 DAYS"/>
    <n v="4"/>
    <x v="0"/>
  </r>
  <r>
    <n v="3240"/>
    <s v="N"/>
    <s v="N"/>
    <n v="2616630"/>
    <n v="2"/>
    <d v="2012-04-29T00:00:00"/>
    <d v="2013-02-25T00:00:00"/>
    <n v="2616630"/>
    <d v="2012-04-30T00:00:00"/>
    <d v="2012-05-03T00:00:00"/>
    <n v="30000"/>
    <x v="2"/>
    <d v="2012-05-03T00:00:00"/>
    <s v="Y"/>
    <s v="SURETY"/>
    <s v="DEFERRED ADJUDICATION "/>
    <n v="4"/>
    <n v="303"/>
    <n v="0"/>
    <n v="0"/>
    <m/>
    <m/>
    <m/>
    <m/>
    <m/>
    <m/>
    <m/>
    <m/>
    <m/>
    <d v="1974-06-24T00:00:00"/>
    <s v="M"/>
    <s v="A"/>
    <s v="OTHER"/>
    <s v="NULL"/>
    <s v="208"/>
    <s v="DEFERRED"/>
    <n v="7"/>
    <s v="DEFERRED"/>
    <m/>
    <m/>
    <m/>
    <s v="AGG ASSAULT-FAMILY MEMBER"/>
    <m/>
    <s v="F2"/>
    <s v="ASLT-MURDR"/>
    <m/>
    <m/>
    <m/>
    <m/>
    <m/>
    <m/>
    <m/>
    <m/>
    <m/>
    <s v="Hired Attorney"/>
    <m/>
    <m/>
    <n v="4"/>
    <n v="302"/>
    <n v="303"/>
    <n v="37.770491803278688"/>
    <n v="0"/>
    <n v="-298"/>
    <s v="DEFERRED"/>
    <x v="1"/>
    <s v="Y"/>
    <m/>
    <s v="DEFERRED"/>
    <s v="Y"/>
    <x v="1"/>
    <x v="0"/>
    <s v="N"/>
    <n v="1.3201320132013201E-2"/>
    <n v="1.3245033112582781E-2"/>
    <n v="4.3712980569579965E-5"/>
    <n v="0"/>
    <n v="-4"/>
    <n v="0"/>
    <n v="4"/>
    <e v="#VALUE!"/>
    <n v="4"/>
    <n v="0"/>
    <m/>
    <m/>
    <s v="N"/>
    <m/>
    <s v="0-10 DAYS"/>
    <n v="1"/>
    <x v="0"/>
  </r>
  <r>
    <n v="3242"/>
    <s v="N"/>
    <s v="N"/>
    <n v="2616655"/>
    <n v="2"/>
    <d v="2012-04-30T00:00:00"/>
    <d v="2012-09-14T00:00:00"/>
    <n v="2616655"/>
    <d v="2012-04-30T00:00:00"/>
    <d v="2012-05-02T00:00:00"/>
    <n v="2000"/>
    <x v="5"/>
    <d v="2012-05-02T00:00:00"/>
    <s v="Y"/>
    <s v="SURETYPTRc"/>
    <s v="DEFERRED ADJUDICATION "/>
    <n v="9"/>
    <n v="138"/>
    <n v="0"/>
    <n v="0"/>
    <m/>
    <m/>
    <m/>
    <m/>
    <m/>
    <m/>
    <m/>
    <m/>
    <m/>
    <d v="1995-02-03T00:00:00"/>
    <s v="F"/>
    <s v="B"/>
    <s v="BLACK"/>
    <s v="NULL"/>
    <s v="337"/>
    <s v="DEFERRED"/>
    <n v="7"/>
    <s v="DEFERRED"/>
    <m/>
    <m/>
    <m/>
    <s v="CRIM MISCH &gt;=$1500 &lt;$20K"/>
    <m/>
    <s v="FS"/>
    <s v="OTHER FEL"/>
    <s v="misd assalt filed 6/8/12 pend - bd viol 6/12/12"/>
    <m/>
    <m/>
    <m/>
    <m/>
    <m/>
    <m/>
    <m/>
    <m/>
    <s v="Public Defender"/>
    <m/>
    <m/>
    <n v="9"/>
    <n v="138"/>
    <n v="138"/>
    <n v="17.202185792349727"/>
    <n v="0"/>
    <n v="-135"/>
    <s v="DEFERRED"/>
    <x v="1"/>
    <s v="Y"/>
    <m/>
    <s v="DEFERRED"/>
    <s v="Y"/>
    <x v="1"/>
    <x v="0"/>
    <s v="N"/>
    <n v="6.5217391304347824E-2"/>
    <n v="2.1739130434782608E-2"/>
    <n v="-4.3478260869565216E-2"/>
    <n v="0"/>
    <n v="-3"/>
    <n v="6"/>
    <n v="3"/>
    <e v="#VALUE!"/>
    <m/>
    <n v="135"/>
    <m/>
    <m/>
    <s v="N"/>
    <m/>
    <s v="0-10 DAYS"/>
    <n v="1"/>
    <x v="0"/>
  </r>
  <r>
    <n v="3244"/>
    <s v="N"/>
    <s v="Y"/>
    <n v="2616658"/>
    <n v="6"/>
    <d v="2012-04-30T00:00:00"/>
    <d v="2013-02-05T00:00:00"/>
    <n v="2616658"/>
    <d v="2012-04-30T00:00:00"/>
    <d v="2012-05-02T00:00:00"/>
    <n v="25000"/>
    <x v="2"/>
    <d v="2012-05-02T00:00:00"/>
    <s v="Y"/>
    <s v="SURETY"/>
    <s v="GUILTY PLEA - NO JURY"/>
    <n v="104"/>
    <n v="282"/>
    <n v="0"/>
    <n v="0"/>
    <m/>
    <m/>
    <m/>
    <m/>
    <m/>
    <m/>
    <m/>
    <m/>
    <m/>
    <d v="1985-04-09T00:00:00"/>
    <s v="M"/>
    <s v="B"/>
    <s v="BLACK"/>
    <s v="NULL"/>
    <s v="178"/>
    <s v="CONVICTED"/>
    <n v="9"/>
    <s v="TDC"/>
    <n v="4"/>
    <m/>
    <m/>
    <s v="POSS CS PG 1 4G - 200G"/>
    <m/>
    <s v="F3"/>
    <s v="POSS DRUG"/>
    <m/>
    <m/>
    <s v="Y"/>
    <s v="bf 7/13/12"/>
    <m/>
    <m/>
    <m/>
    <s v="(2)12/20/2012"/>
    <n v="470"/>
    <s v="Appointed Attorney"/>
    <m/>
    <m/>
    <n v="104"/>
    <n v="282"/>
    <n v="282"/>
    <n v="27.002732240437158"/>
    <n v="0"/>
    <n v="-279"/>
    <s v="CONVICTION"/>
    <x v="1"/>
    <s v="N"/>
    <m/>
    <s v="CONVICTION"/>
    <s v="Y"/>
    <x v="0"/>
    <x v="0"/>
    <s v="N"/>
    <n v="0.36879432624113473"/>
    <n v="1.0638297872340425E-2"/>
    <n v="-0.35815602836879429"/>
    <n v="0"/>
    <n v="-3"/>
    <n v="101"/>
    <n v="282"/>
    <n v="104"/>
    <n v="282"/>
    <n v="279"/>
    <m/>
    <m/>
    <s v="N"/>
    <m/>
    <s v="91-120 DAYS"/>
    <n v="0"/>
    <x v="0"/>
  </r>
  <r>
    <n v="3247"/>
    <s v="N"/>
    <s v="N"/>
    <n v="2616716"/>
    <n v="2"/>
    <d v="2012-04-30T00:00:00"/>
    <d v="2012-08-30T00:00:00"/>
    <n v="2616716"/>
    <d v="2012-04-30T00:00:00"/>
    <d v="2012-05-02T00:00:00"/>
    <n v="2000"/>
    <x v="5"/>
    <d v="2012-05-02T00:00:00"/>
    <s v="Y"/>
    <s v="SURETY"/>
    <s v="DEFERRED ADJUDICATION "/>
    <n v="3"/>
    <n v="123"/>
    <n v="0"/>
    <n v="0"/>
    <m/>
    <m/>
    <m/>
    <m/>
    <m/>
    <m/>
    <m/>
    <s v="S"/>
    <m/>
    <d v="1992-08-14T00:00:00"/>
    <s v="F"/>
    <s v="H"/>
    <s v="HISPANIC"/>
    <s v="NULL"/>
    <s v="339"/>
    <s v="DEFERRED"/>
    <n v="6"/>
    <s v="DEFERRED"/>
    <m/>
    <m/>
    <m/>
    <s v="POSS MARIJ  4 OZ. - 5 LBS."/>
    <m/>
    <s v="FS"/>
    <s v="POSS DRUG"/>
    <m/>
    <m/>
    <m/>
    <m/>
    <m/>
    <m/>
    <m/>
    <m/>
    <m/>
    <s v="Hired Attorney"/>
    <m/>
    <m/>
    <n v="3"/>
    <n v="123"/>
    <n v="123"/>
    <n v="19.669398907103826"/>
    <n v="0"/>
    <n v="-120"/>
    <s v="DEFERRED"/>
    <x v="1"/>
    <s v="Y"/>
    <m/>
    <s v="DEFERRED"/>
    <s v="Y"/>
    <x v="1"/>
    <x v="0"/>
    <s v="N"/>
    <n v="2.4390243902439025E-2"/>
    <n v="2.4390243902439025E-2"/>
    <n v="0"/>
    <n v="0"/>
    <n v="-3"/>
    <n v="0"/>
    <n v="3"/>
    <e v="#VALUE!"/>
    <n v="3"/>
    <n v="0"/>
    <m/>
    <m/>
    <s v="N"/>
    <m/>
    <s v="0-10 DAYS"/>
    <n v="1"/>
    <x v="0"/>
  </r>
  <r>
    <n v="3252"/>
    <s v="N"/>
    <s v="N"/>
    <n v="2616741"/>
    <n v="1"/>
    <d v="2012-04-30T00:00:00"/>
    <d v="2012-05-07T00:00:00"/>
    <n v="2616741"/>
    <d v="2012-05-03T00:00:00"/>
    <d v="2012-05-04T00:00:00"/>
    <n v="2000"/>
    <x v="5"/>
    <d v="2012-05-04T00:00:00"/>
    <s v="Y"/>
    <s v="SURETY"/>
    <s v="NO BILL"/>
    <n v="2"/>
    <n v="8"/>
    <n v="0"/>
    <n v="0"/>
    <m/>
    <m/>
    <m/>
    <m/>
    <m/>
    <m/>
    <m/>
    <m/>
    <m/>
    <d v="1985-05-20T00:00:00"/>
    <s v="M"/>
    <s v="W"/>
    <s v="WHITE"/>
    <s v="NULL"/>
    <s v="209"/>
    <s v="NO BILL"/>
    <n v="1"/>
    <s v="NO BILL"/>
    <m/>
    <m/>
    <m/>
    <s v="IMPROPER/PHOTOG/VISUAL RECORDI"/>
    <m/>
    <s v="FS"/>
    <s v="OTHER FEL"/>
    <m/>
    <m/>
    <m/>
    <m/>
    <m/>
    <m/>
    <m/>
    <m/>
    <m/>
    <s v="Other/Unknown"/>
    <m/>
    <m/>
    <n v="2"/>
    <n v="5"/>
    <n v="8"/>
    <n v="26.89071038251366"/>
    <n v="0"/>
    <n v="-3"/>
    <s v="NO CONVICTION"/>
    <x v="1"/>
    <s v="Y"/>
    <m/>
    <s v="NO CONVICTION"/>
    <s v="Y"/>
    <x v="1"/>
    <x v="0"/>
    <s v="N"/>
    <n v="0.25"/>
    <n v="0.4"/>
    <n v="0.15000000000000002"/>
    <n v="0"/>
    <n v="-2"/>
    <n v="0"/>
    <n v="2"/>
    <e v="#VALUE!"/>
    <n v="2"/>
    <n v="0"/>
    <m/>
    <m/>
    <s v="N"/>
    <m/>
    <s v="0-10 DAYS"/>
    <n v="1"/>
    <x v="0"/>
  </r>
  <r>
    <n v="3264"/>
    <s v="N"/>
    <s v="N"/>
    <n v="2616789"/>
    <n v="2"/>
    <d v="2012-04-30T00:00:00"/>
    <d v="2012-08-07T00:00:00"/>
    <n v="2616789"/>
    <d v="2012-05-01T00:00:00"/>
    <d v="2012-05-02T00:00:00"/>
    <n v="10000"/>
    <x v="3"/>
    <d v="2012-05-02T00:00:00"/>
    <s v="Y"/>
    <s v="SURETY"/>
    <s v="DEFERRED ADJUDICATION "/>
    <n v="2"/>
    <n v="100"/>
    <n v="0"/>
    <n v="0"/>
    <m/>
    <m/>
    <m/>
    <m/>
    <m/>
    <m/>
    <m/>
    <s v="S"/>
    <m/>
    <d v="1995-03-09T00:00:00"/>
    <s v="M"/>
    <s v="H"/>
    <s v="HISPANIC"/>
    <s v="NULL"/>
    <s v="232"/>
    <s v="DEFERRED"/>
    <n v="5"/>
    <s v="DEFERRED"/>
    <m/>
    <m/>
    <m/>
    <s v="BURGLARY OF HABITATION"/>
    <m/>
    <s v="F2"/>
    <s v="BURGLARY"/>
    <m/>
    <m/>
    <m/>
    <m/>
    <m/>
    <m/>
    <m/>
    <m/>
    <m/>
    <s v="Public Defender"/>
    <m/>
    <m/>
    <n v="2"/>
    <n v="99"/>
    <n v="100"/>
    <n v="17.10928961748634"/>
    <n v="0"/>
    <n v="-97"/>
    <s v="DEFERRED"/>
    <x v="1"/>
    <s v="Y"/>
    <m/>
    <s v="DEFERRED"/>
    <s v="Y"/>
    <x v="1"/>
    <x v="0"/>
    <s v="N"/>
    <n v="0.02"/>
    <n v="2.0202020202020204E-2"/>
    <n v="2.0202020202020332E-4"/>
    <n v="0"/>
    <n v="-2"/>
    <n v="0"/>
    <n v="2"/>
    <e v="#VALUE!"/>
    <n v="2"/>
    <n v="0"/>
    <m/>
    <m/>
    <s v="N"/>
    <m/>
    <s v="0-10 DAYS"/>
    <n v="1"/>
    <x v="0"/>
  </r>
  <r>
    <n v="3265"/>
    <s v="N"/>
    <s v="N"/>
    <n v="2616791"/>
    <n v="1"/>
    <d v="2012-04-30T00:00:00"/>
    <d v="2012-05-02T00:00:00"/>
    <n v="2616791"/>
    <d v="2012-05-01T00:00:00"/>
    <d v="2012-05-02T00:00:00"/>
    <n v="10000"/>
    <x v="3"/>
    <m/>
    <s v="N"/>
    <s v="NONE"/>
    <s v="DISMISSED"/>
    <n v="2"/>
    <n v="3"/>
    <n v="0"/>
    <n v="0"/>
    <m/>
    <m/>
    <m/>
    <m/>
    <m/>
    <m/>
    <m/>
    <m/>
    <m/>
    <d v="1978-09-10T00:00:00"/>
    <s v="M"/>
    <s v="B"/>
    <s v="BLACK"/>
    <s v="NULL"/>
    <s v="208"/>
    <s v="DISMISSED"/>
    <n v="1"/>
    <s v="DISMISSED"/>
    <m/>
    <m/>
    <m/>
    <s v="POSS CS PG 1 4G - 200G"/>
    <m/>
    <s v="F2"/>
    <s v="POSS DRUG"/>
    <m/>
    <m/>
    <m/>
    <m/>
    <m/>
    <m/>
    <m/>
    <m/>
    <m/>
    <s v="Other/Unknown"/>
    <m/>
    <m/>
    <n v="2"/>
    <n v="2"/>
    <n v="3"/>
    <n v="33.568306010928964"/>
    <n v="0"/>
    <n v="0"/>
    <s v="NO CONVICTION"/>
    <x v="0"/>
    <s v="N"/>
    <m/>
    <s v="NO CONVICTION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  <r>
    <n v="3268"/>
    <s v="N"/>
    <s v="N"/>
    <n v="2616797"/>
    <n v="2"/>
    <d v="2012-04-30T00:00:00"/>
    <d v="2012-05-02T00:00:00"/>
    <n v="2616797"/>
    <d v="2012-05-01T00:00:00"/>
    <d v="2012-05-02T00:00:00"/>
    <n v="5000"/>
    <x v="4"/>
    <m/>
    <s v="N"/>
    <s v="NONE"/>
    <s v="DEFERRED ADJUDICATION "/>
    <n v="2"/>
    <n v="3"/>
    <n v="0"/>
    <n v="0"/>
    <m/>
    <m/>
    <m/>
    <m/>
    <m/>
    <m/>
    <m/>
    <m/>
    <m/>
    <d v="1992-04-09T00:00:00"/>
    <s v="F"/>
    <s v="W"/>
    <s v="WHITE"/>
    <s v="NULL"/>
    <s v="178"/>
    <s v="DEFERRED"/>
    <m/>
    <s v="DEFERRED"/>
    <m/>
    <m/>
    <m/>
    <s v="TAMPER/FABRICATE EVIDENCE"/>
    <m/>
    <s v="F3"/>
    <s v="OTHER FEL"/>
    <m/>
    <m/>
    <m/>
    <m/>
    <m/>
    <m/>
    <m/>
    <m/>
    <m/>
    <s v="Appointed Attorney"/>
    <m/>
    <m/>
    <n v="2"/>
    <n v="2"/>
    <n v="3"/>
    <n v="20.016393442622952"/>
    <n v="0"/>
    <n v="0"/>
    <s v="DEFERRED"/>
    <x v="0"/>
    <s v="N"/>
    <m/>
    <s v="DEFERRED"/>
    <s v="Y"/>
    <x v="0"/>
    <x v="0"/>
    <s v="N"/>
    <n v="0.66666666666666663"/>
    <n v="1"/>
    <n v="0.33333333333333337"/>
    <n v="0"/>
    <n v="-2"/>
    <n v="0"/>
    <n v="2"/>
    <e v="#VALUE!"/>
    <n v="2"/>
    <n v="0"/>
    <m/>
    <m/>
    <s v="N"/>
    <m/>
    <s v="0-10 DAYS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4" minRefreshableVersion="3" useAutoFormatting="1" colGrandTotals="0" itemPrintTitles="1" createdVersion="4" indent="0" compact="0" compactData="0" multipleFieldFilters="0" chartFormat="1">
  <location ref="A3:H10" firstHeaderRow="1" firstDataRow="2" firstDataCol="4"/>
  <pivotFields count="89"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6">
        <item h="1" x="2"/>
        <item h="1" x="0"/>
        <item x="5"/>
        <item h="1" x="4"/>
        <item h="1" x="3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4">
        <item x="3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0"/>
        <item x="5"/>
        <item x="6"/>
        <item x="2"/>
        <item x="1"/>
        <item x="3"/>
        <item x="7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1"/>
    <field x="70"/>
    <field x="88"/>
    <field x="69"/>
  </rowFields>
  <rowItems count="6">
    <i>
      <x v="2"/>
      <x/>
      <x/>
      <x/>
    </i>
    <i r="3">
      <x v="4"/>
    </i>
    <i r="2">
      <x v="1"/>
      <x v="1"/>
    </i>
    <i r="3">
      <x v="3"/>
    </i>
    <i r="3">
      <x v="4"/>
    </i>
    <i t="grand">
      <x/>
    </i>
  </rowItems>
  <colFields count="1">
    <field x="64"/>
  </colFields>
  <colItems count="4">
    <i>
      <x/>
    </i>
    <i>
      <x v="1"/>
    </i>
    <i>
      <x v="2"/>
    </i>
    <i>
      <x v="3"/>
    </i>
  </colItems>
  <dataFields count="1">
    <dataField name="Count of BOND CAT" fld="11" subtotal="count" baseField="0" baseItem="0"/>
  </dataFields>
  <formats count="2">
    <format dxfId="1">
      <pivotArea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4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4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4" count="1" selected="0">
            <x v="3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F@" TargetMode="External"/><Relationship Id="rId1" Type="http://schemas.openxmlformats.org/officeDocument/2006/relationships/hyperlink" Target="mailto:F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10"/>
  <sheetViews>
    <sheetView tabSelected="1" topLeftCell="A9" workbookViewId="0">
      <selection activeCell="B8" sqref="B8"/>
    </sheetView>
  </sheetViews>
  <sheetFormatPr defaultRowHeight="15" x14ac:dyDescent="0.25"/>
  <cols>
    <col min="1" max="1" width="24.42578125" bestFit="1" customWidth="1"/>
    <col min="2" max="3" width="37.7109375" customWidth="1"/>
    <col min="4" max="4" width="37.7109375" bestFit="1" customWidth="1"/>
    <col min="5" max="5" width="23.140625" bestFit="1" customWidth="1"/>
    <col min="6" max="6" width="6.28515625" bestFit="1" customWidth="1"/>
    <col min="7" max="7" width="4.28515625" bestFit="1" customWidth="1"/>
    <col min="8" max="8" width="7.7109375" bestFit="1" customWidth="1"/>
    <col min="9" max="54" width="16.28515625" bestFit="1" customWidth="1"/>
    <col min="55" max="55" width="11.28515625" bestFit="1" customWidth="1"/>
  </cols>
  <sheetData>
    <row r="3" spans="1:8" x14ac:dyDescent="0.25">
      <c r="A3" s="169" t="s">
        <v>1430</v>
      </c>
      <c r="E3" s="169" t="s">
        <v>1341</v>
      </c>
    </row>
    <row r="4" spans="1:8" x14ac:dyDescent="0.25">
      <c r="A4" s="169" t="s">
        <v>567</v>
      </c>
      <c r="B4" s="169" t="s">
        <v>1257</v>
      </c>
      <c r="C4" s="169" t="s">
        <v>1431</v>
      </c>
      <c r="D4" s="169" t="s">
        <v>1256</v>
      </c>
      <c r="E4" t="s">
        <v>583</v>
      </c>
      <c r="F4" t="s">
        <v>917</v>
      </c>
      <c r="G4" t="s">
        <v>160</v>
      </c>
      <c r="H4" t="s">
        <v>76</v>
      </c>
    </row>
    <row r="5" spans="1:8" x14ac:dyDescent="0.25">
      <c r="A5" t="s">
        <v>568</v>
      </c>
      <c r="B5" t="s">
        <v>1259</v>
      </c>
      <c r="C5" t="s">
        <v>1432</v>
      </c>
      <c r="D5" t="s">
        <v>574</v>
      </c>
      <c r="E5" s="170"/>
      <c r="F5" s="170">
        <v>142</v>
      </c>
      <c r="G5" s="170">
        <v>1</v>
      </c>
      <c r="H5" s="170">
        <v>21</v>
      </c>
    </row>
    <row r="6" spans="1:8" x14ac:dyDescent="0.25">
      <c r="A6" t="s">
        <v>568</v>
      </c>
      <c r="B6" t="s">
        <v>1259</v>
      </c>
      <c r="C6" t="s">
        <v>1432</v>
      </c>
      <c r="D6" t="s">
        <v>575</v>
      </c>
      <c r="E6" s="170">
        <v>1</v>
      </c>
      <c r="F6" s="170"/>
      <c r="G6" s="170">
        <v>15</v>
      </c>
      <c r="H6" s="170">
        <v>162</v>
      </c>
    </row>
    <row r="7" spans="1:8" x14ac:dyDescent="0.25">
      <c r="A7" t="s">
        <v>568</v>
      </c>
      <c r="B7" t="s">
        <v>1259</v>
      </c>
      <c r="C7" t="s">
        <v>1433</v>
      </c>
      <c r="D7" t="s">
        <v>1344</v>
      </c>
      <c r="E7" s="170"/>
      <c r="F7" s="170">
        <v>2</v>
      </c>
      <c r="G7" s="170"/>
      <c r="H7" s="170"/>
    </row>
    <row r="8" spans="1:8" x14ac:dyDescent="0.25">
      <c r="A8" t="s">
        <v>568</v>
      </c>
      <c r="B8" t="s">
        <v>1259</v>
      </c>
      <c r="C8" t="s">
        <v>1433</v>
      </c>
      <c r="D8" t="s">
        <v>1345</v>
      </c>
      <c r="E8" s="170"/>
      <c r="F8" s="170">
        <v>5</v>
      </c>
      <c r="G8" s="170"/>
      <c r="H8" s="170"/>
    </row>
    <row r="9" spans="1:8" x14ac:dyDescent="0.25">
      <c r="A9" t="s">
        <v>568</v>
      </c>
      <c r="B9" t="s">
        <v>1259</v>
      </c>
      <c r="C9" t="s">
        <v>1433</v>
      </c>
      <c r="D9" t="s">
        <v>575</v>
      </c>
      <c r="E9" s="170">
        <v>1</v>
      </c>
      <c r="F9" s="170"/>
      <c r="G9" s="170">
        <v>1</v>
      </c>
      <c r="H9" s="170">
        <v>78</v>
      </c>
    </row>
    <row r="10" spans="1:8" x14ac:dyDescent="0.25">
      <c r="A10" t="s">
        <v>1429</v>
      </c>
      <c r="E10" s="170">
        <v>2</v>
      </c>
      <c r="F10" s="170">
        <v>149</v>
      </c>
      <c r="G10" s="170">
        <v>17</v>
      </c>
      <c r="H10" s="170">
        <v>261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K3233"/>
  <sheetViews>
    <sheetView zoomScale="90" zoomScaleNormal="90" workbookViewId="0">
      <pane xSplit="1" ySplit="1" topLeftCell="CI3184" activePane="bottomRight" state="frozen"/>
      <selection pane="topRight" activeCell="B1" sqref="B1"/>
      <selection pane="bottomLeft" activeCell="A2" sqref="A2"/>
      <selection pane="bottomRight" activeCell="CK167" sqref="CK167"/>
    </sheetView>
  </sheetViews>
  <sheetFormatPr defaultColWidth="18.42578125" defaultRowHeight="15" customHeight="1" x14ac:dyDescent="0.25"/>
  <cols>
    <col min="1" max="1" width="18" style="129" customWidth="1"/>
    <col min="2" max="2" width="18" style="128" customWidth="1"/>
    <col min="3" max="4" width="18" style="129" customWidth="1"/>
    <col min="5" max="5" width="18" style="111" customWidth="1"/>
    <col min="6" max="6" width="18" style="117" customWidth="1"/>
    <col min="7" max="7" width="18" style="129" customWidth="1"/>
    <col min="8" max="9" width="18" style="117" customWidth="1"/>
    <col min="10" max="10" width="18" style="129" customWidth="1"/>
    <col min="11" max="11" width="18" style="154" customWidth="1"/>
    <col min="12" max="12" width="18" style="111" customWidth="1"/>
    <col min="13" max="14" width="18" style="129" customWidth="1"/>
    <col min="15" max="15" width="18" style="128" customWidth="1"/>
    <col min="16" max="21" width="18" style="129" customWidth="1"/>
    <col min="22" max="22" width="18" style="117" customWidth="1"/>
    <col min="23" max="23" width="18" style="129" customWidth="1"/>
    <col min="24" max="24" width="18" style="117" customWidth="1"/>
    <col min="25" max="26" width="18" style="129" customWidth="1"/>
    <col min="27" max="27" width="18" style="117" customWidth="1"/>
    <col min="28" max="28" width="18" style="131" customWidth="1"/>
    <col min="29" max="30" width="18" style="129" customWidth="1"/>
    <col min="31" max="33" width="18" style="128" customWidth="1"/>
    <col min="34" max="34" width="18" style="108" customWidth="1"/>
    <col min="35" max="35" width="18" style="128" customWidth="1"/>
    <col min="36" max="37" width="18" style="129" customWidth="1"/>
    <col min="38" max="38" width="18" style="3" customWidth="1"/>
    <col min="39" max="40" width="18" style="117" customWidth="1"/>
    <col min="41" max="41" width="18" style="128" customWidth="1"/>
    <col min="42" max="42" width="18" style="129" customWidth="1"/>
    <col min="43" max="44" width="18" style="128" customWidth="1"/>
    <col min="45" max="46" width="18" style="129" customWidth="1"/>
    <col min="47" max="48" width="18" style="3" customWidth="1"/>
    <col min="49" max="51" width="18" style="129" customWidth="1"/>
    <col min="52" max="52" width="18" style="128" customWidth="1"/>
    <col min="53" max="68" width="18" style="129" customWidth="1"/>
    <col min="69" max="69" width="18" style="128" customWidth="1"/>
    <col min="70" max="72" width="18" style="129" customWidth="1"/>
    <col min="73" max="75" width="18" style="109" customWidth="1"/>
    <col min="76" max="88" width="18" style="129" customWidth="1"/>
    <col min="89" max="16384" width="18.42578125" style="129"/>
  </cols>
  <sheetData>
    <row r="1" spans="1:89" s="134" customFormat="1" ht="69.75" customHeight="1" thickBot="1" x14ac:dyDescent="0.3">
      <c r="A1" s="133" t="s">
        <v>558</v>
      </c>
      <c r="B1" s="133" t="s">
        <v>1328</v>
      </c>
      <c r="C1" s="133" t="s">
        <v>1321</v>
      </c>
      <c r="D1" s="133" t="s">
        <v>1336</v>
      </c>
      <c r="E1" s="156" t="s">
        <v>1333</v>
      </c>
      <c r="F1" s="133" t="s">
        <v>0</v>
      </c>
      <c r="G1" s="133" t="s">
        <v>1</v>
      </c>
      <c r="H1" s="133" t="s">
        <v>2</v>
      </c>
      <c r="I1" s="133" t="s">
        <v>542</v>
      </c>
      <c r="J1" s="133" t="s">
        <v>1320</v>
      </c>
      <c r="K1" s="156" t="s">
        <v>543</v>
      </c>
      <c r="L1" s="156" t="s">
        <v>567</v>
      </c>
      <c r="M1" s="133" t="s">
        <v>1314</v>
      </c>
      <c r="N1" s="133" t="s">
        <v>565</v>
      </c>
      <c r="O1" s="133" t="s">
        <v>545</v>
      </c>
      <c r="P1" s="133" t="s">
        <v>544</v>
      </c>
      <c r="Q1" s="133" t="s">
        <v>667</v>
      </c>
      <c r="R1" s="133" t="s">
        <v>563</v>
      </c>
      <c r="S1" s="133" t="s">
        <v>4</v>
      </c>
      <c r="T1" s="133" t="s">
        <v>5</v>
      </c>
      <c r="U1" s="133" t="s">
        <v>6</v>
      </c>
      <c r="V1" s="133" t="s">
        <v>551</v>
      </c>
      <c r="W1" s="133" t="s">
        <v>554</v>
      </c>
      <c r="X1" s="133" t="s">
        <v>7</v>
      </c>
      <c r="Y1" s="133" t="s">
        <v>8</v>
      </c>
      <c r="Z1" s="133" t="s">
        <v>9</v>
      </c>
      <c r="AA1" s="133" t="s">
        <v>10</v>
      </c>
      <c r="AB1" s="133" t="s">
        <v>11</v>
      </c>
      <c r="AC1" s="133" t="s">
        <v>12</v>
      </c>
      <c r="AD1" s="133" t="s">
        <v>13</v>
      </c>
      <c r="AE1" s="133" t="s">
        <v>14</v>
      </c>
      <c r="AF1" s="133" t="s">
        <v>870</v>
      </c>
      <c r="AG1" s="133" t="s">
        <v>871</v>
      </c>
      <c r="AH1" s="133" t="s">
        <v>15</v>
      </c>
      <c r="AI1" s="133" t="s">
        <v>16</v>
      </c>
      <c r="AJ1" s="133" t="s">
        <v>17</v>
      </c>
      <c r="AK1" s="133" t="s">
        <v>18</v>
      </c>
      <c r="AL1" s="133" t="s">
        <v>19</v>
      </c>
      <c r="AM1" s="133" t="s">
        <v>556</v>
      </c>
      <c r="AN1" s="133" t="s">
        <v>555</v>
      </c>
      <c r="AO1" s="133" t="s">
        <v>557</v>
      </c>
      <c r="AP1" s="133" t="s">
        <v>20</v>
      </c>
      <c r="AQ1" s="133" t="s">
        <v>21</v>
      </c>
      <c r="AR1" s="133" t="s">
        <v>22</v>
      </c>
      <c r="AS1" s="133" t="s">
        <v>23</v>
      </c>
      <c r="AT1" s="133" t="s">
        <v>24</v>
      </c>
      <c r="AU1" s="133" t="s">
        <v>1339</v>
      </c>
      <c r="AV1" s="133" t="s">
        <v>25</v>
      </c>
      <c r="AW1" s="133" t="s">
        <v>26</v>
      </c>
      <c r="AX1" s="133" t="s">
        <v>27</v>
      </c>
      <c r="AY1" s="133" t="s">
        <v>1338</v>
      </c>
      <c r="AZ1" s="133" t="s">
        <v>28</v>
      </c>
      <c r="BA1" s="133" t="s">
        <v>1190</v>
      </c>
      <c r="BB1" s="133" t="s">
        <v>29</v>
      </c>
      <c r="BC1" s="133" t="s">
        <v>1001</v>
      </c>
      <c r="BD1" s="133" t="s">
        <v>30</v>
      </c>
      <c r="BE1" s="133" t="s">
        <v>541</v>
      </c>
      <c r="BF1" s="133" t="s">
        <v>3</v>
      </c>
      <c r="BG1" s="133" t="s">
        <v>573</v>
      </c>
      <c r="BH1" s="133" t="s">
        <v>552</v>
      </c>
      <c r="BI1" s="133" t="s">
        <v>669</v>
      </c>
      <c r="BJ1" s="133" t="s">
        <v>546</v>
      </c>
      <c r="BK1" s="133" t="s">
        <v>547</v>
      </c>
      <c r="BL1" s="133" t="s">
        <v>1055</v>
      </c>
      <c r="BM1" s="133" t="s">
        <v>1341</v>
      </c>
      <c r="BN1" s="133" t="s">
        <v>1024</v>
      </c>
      <c r="BO1" s="133" t="s">
        <v>1056</v>
      </c>
      <c r="BP1" s="133" t="s">
        <v>1059</v>
      </c>
      <c r="BQ1" s="133" t="s">
        <v>1258</v>
      </c>
      <c r="BR1" s="133" t="s">
        <v>1256</v>
      </c>
      <c r="BS1" s="133" t="s">
        <v>1257</v>
      </c>
      <c r="BT1" s="133" t="s">
        <v>1183</v>
      </c>
      <c r="BU1" s="157" t="s">
        <v>1316</v>
      </c>
      <c r="BV1" s="157" t="s">
        <v>1329</v>
      </c>
      <c r="BW1" s="157" t="s">
        <v>1317</v>
      </c>
      <c r="BX1" s="158" t="s">
        <v>1270</v>
      </c>
      <c r="BY1" s="158" t="s">
        <v>1309</v>
      </c>
      <c r="BZ1" s="158" t="s">
        <v>1310</v>
      </c>
      <c r="CA1" s="158" t="s">
        <v>3</v>
      </c>
      <c r="CB1" s="158" t="s">
        <v>1349</v>
      </c>
      <c r="CC1" s="158" t="s">
        <v>1323</v>
      </c>
      <c r="CD1" s="158" t="s">
        <v>1324</v>
      </c>
      <c r="CE1" s="158" t="s">
        <v>1322</v>
      </c>
      <c r="CF1" s="158" t="s">
        <v>1348</v>
      </c>
      <c r="CG1" s="158" t="s">
        <v>1347</v>
      </c>
      <c r="CH1" s="158" t="s">
        <v>1404</v>
      </c>
      <c r="CI1" s="158" t="s">
        <v>1405</v>
      </c>
      <c r="CJ1" s="158" t="s">
        <v>1406</v>
      </c>
      <c r="CK1" s="134" t="s">
        <v>1431</v>
      </c>
    </row>
    <row r="2" spans="1:89" ht="15" customHeight="1" x14ac:dyDescent="0.25">
      <c r="A2" s="111">
        <v>1349</v>
      </c>
      <c r="B2" s="128" t="str">
        <f>IF(BD2&lt;&gt;"","Y","N")</f>
        <v>N</v>
      </c>
      <c r="C2" s="128" t="str">
        <f>IF((AND(AV2="",AX2="",AY2="")),"N","Y")</f>
        <v>N</v>
      </c>
      <c r="D2" s="117">
        <v>10267</v>
      </c>
      <c r="E2" s="135">
        <f>IF(OR(AL2="ACQUITTAL",AL2="ACQUIT",AL2="acq insane",AL2="DISMISSED",AL2="NO BILL"),1,IF(AL2="DEFERRED",2,IF(AL2="PROBATION",3,IF(OR(AL2="HCJ",AL2="fine"),4,IF(AL2="STJ",5,IF(AL2="TDC",6,""))))))</f>
        <v>5</v>
      </c>
      <c r="F2" s="124">
        <v>40958</v>
      </c>
      <c r="G2" s="125">
        <v>41002</v>
      </c>
      <c r="H2" s="117">
        <v>10267</v>
      </c>
      <c r="I2" s="124">
        <v>40958</v>
      </c>
      <c r="J2" s="124">
        <v>41002</v>
      </c>
      <c r="K2" s="126">
        <v>15000</v>
      </c>
      <c r="L2" s="127" t="s">
        <v>571</v>
      </c>
      <c r="N2" s="129" t="str">
        <f>IF(M2&gt;1/1/1,"Y","N")</f>
        <v>N</v>
      </c>
      <c r="O2" s="128" t="s">
        <v>917</v>
      </c>
      <c r="P2" s="129" t="s">
        <v>39</v>
      </c>
      <c r="Q2" s="111">
        <f t="shared" ref="Q2:Q36" si="0">BF2</f>
        <v>45</v>
      </c>
      <c r="R2" s="111">
        <f t="shared" ref="R2:R65" si="1">BH2</f>
        <v>45</v>
      </c>
      <c r="S2" s="129">
        <v>11</v>
      </c>
      <c r="T2" s="129">
        <v>5</v>
      </c>
      <c r="U2" s="129">
        <v>7</v>
      </c>
      <c r="W2" s="111"/>
      <c r="AC2" s="130"/>
      <c r="AD2" s="130">
        <v>19642</v>
      </c>
      <c r="AE2" s="128" t="s">
        <v>32</v>
      </c>
      <c r="AF2" s="128" t="s">
        <v>33</v>
      </c>
      <c r="AG2" s="128" t="s">
        <v>872</v>
      </c>
      <c r="AH2" s="108" t="s">
        <v>31</v>
      </c>
      <c r="AI2" s="128" t="s">
        <v>97</v>
      </c>
      <c r="AJ2" s="129" t="s">
        <v>89</v>
      </c>
      <c r="AK2" s="129">
        <v>3</v>
      </c>
      <c r="AL2" s="3" t="s">
        <v>992</v>
      </c>
      <c r="AN2" s="117">
        <v>6</v>
      </c>
      <c r="AP2" s="129" t="s">
        <v>60</v>
      </c>
      <c r="AR2" s="128" t="s">
        <v>44</v>
      </c>
      <c r="AS2" s="129" t="s">
        <v>61</v>
      </c>
      <c r="BC2" s="129" t="s">
        <v>38</v>
      </c>
      <c r="BF2" s="136">
        <f>IF(J2&gt;1/1/1900,((J2+1)-I2),"STILL OPEN")</f>
        <v>45</v>
      </c>
      <c r="BG2" s="111">
        <f t="shared" ref="BG2:BG33" si="2">IF(G2&gt;1/1/1900,((G2+1)-I2),"STILL OPEN")</f>
        <v>45</v>
      </c>
      <c r="BH2" s="111">
        <f t="shared" ref="BH2:BH65" si="3">IF(G2&gt;1/1/1900,((G2+1)-F2),"STILL OPEN")</f>
        <v>45</v>
      </c>
      <c r="BI2" s="111">
        <f t="shared" ref="BI2:BI65" si="4">(F2-AD2)/366</f>
        <v>58.240437158469945</v>
      </c>
      <c r="BJ2" s="129">
        <f>G2-J2</f>
        <v>0</v>
      </c>
      <c r="BK2" s="129">
        <f t="shared" ref="BK2:BK65" si="5">J2-G2</f>
        <v>0</v>
      </c>
      <c r="BL2" s="129" t="str">
        <f t="shared" ref="BL2:BL65" si="6">IF(OR(AL2="AQUITTAL",AL2="DISMISSED",AL2="FINE",AL2="NO BILL"),"NO CONVICTION",IF(OR(AL2="HCJ",AL2="MHH",AL2="PROBATION",AL2="STJ",AL2="TDC"),"CONVICTION",IF(AL2="DEFERRED","DEFERRED",0)))</f>
        <v>CONVICTION</v>
      </c>
      <c r="BM2" s="129" t="str">
        <f>O2</f>
        <v>NONE</v>
      </c>
      <c r="BN2" s="129" t="s">
        <v>566</v>
      </c>
      <c r="BP2" s="137" t="str">
        <f>IF(OR(AJ2="AQUITTAL",AJ2="DISMISSED",AJ2="FINE",AJ2="NO BILL"),"NO CONVICTION",IF(OR(AJ2="HCJ",AJ2="MHH",AJ2="PROBATION",AJ2="STJ",AJ2="TDC",AJ2="CONVICTED"),"CONVICTION",IF(AJ2="DEFERRED","DEFERRED","")))</f>
        <v>CONVICTION</v>
      </c>
      <c r="BQ2" s="128" t="str">
        <f>IF(BF2&gt;0,"Y",BF2)</f>
        <v>Y</v>
      </c>
      <c r="BR2" s="129" t="str">
        <f>IF(AND(J2="NOT BOOKED",M2&gt;1/1/1),"BONDED - BEFORE BOOKED",IF(BG2="STILL OPEN","STILL OPEN",IF(N2="Y","ON BOND",IF(J2&gt;=G2,"DETAINED","RELEASED"))))</f>
        <v>DETAINED</v>
      </c>
      <c r="BS2" s="129" t="str">
        <f>IF(G2&lt;&gt;"","DISPOSED","")</f>
        <v>DISPOSED</v>
      </c>
      <c r="BT2" s="129" t="str">
        <f>IF(S2&gt;0,"Y","N")</f>
        <v>Y</v>
      </c>
      <c r="BU2" s="109">
        <f>((J2-I2+1)/(G2-F2+1))</f>
        <v>1</v>
      </c>
      <c r="BV2" s="109">
        <f>IF(I2&gt;F2,((J2-I2+1)/(G2-I2+1)),(J2-I2+1)/(G2-F2+1))</f>
        <v>1</v>
      </c>
      <c r="BW2" s="109">
        <f>BV2-BU2</f>
        <v>0</v>
      </c>
      <c r="BX2" s="111">
        <f>+Q2-BF2</f>
        <v>0</v>
      </c>
      <c r="BY2" s="129">
        <f>I2-J2-1</f>
        <v>-45</v>
      </c>
      <c r="BZ2" s="111">
        <f>BY2+BF2</f>
        <v>0</v>
      </c>
      <c r="CA2" s="138">
        <f>IF(AND(BS2="DISPOSED",BR2="DETAINED"),G2-I2+1,IF(AND(BS2="DISPOSED",BR2="ON BOND"),M2-I2+1,IF(AND(BS2="STILL OPEN","STILL OPEN"),"NOT BOOKED")))</f>
        <v>45</v>
      </c>
      <c r="CB2" s="111" t="e">
        <f t="shared" ref="CB2:CB36" si="7">IF(AF2&gt;1/1/1900,((AF2+1)-AE2),"STILL OPEN")</f>
        <v>#VALUE!</v>
      </c>
      <c r="CC2" s="129">
        <f>G2-I2+1</f>
        <v>45</v>
      </c>
      <c r="CD2" s="129">
        <f>G2-J2</f>
        <v>0</v>
      </c>
      <c r="CE2" s="129">
        <f>G2-J2</f>
        <v>0</v>
      </c>
      <c r="CF2" s="129">
        <f>J2-I2</f>
        <v>44</v>
      </c>
      <c r="CG2" s="129" t="str">
        <f>IF((S2+T2+U2)&gt;0,"Y","N")</f>
        <v>Y</v>
      </c>
      <c r="CH2" s="137" t="e">
        <f>IF(BF2&lt;11,"0-10",IF(AND(BF2&gt;10,BF2&lt;31),"11-30")),IF(AND(BF2&gt;30,BF2&lt;61),"31-60"),IF(AND(BF2&gt;60,BF2&lt;91),"61-90"),IF(AND(BF2&gt;90,BF2&lt;121),"91-120"),IF(AND(BF2&gt;120,BF2&lt;366),"120-365"),IF(AND(BF2&gt;365,BF2&lt;730)," 1YRS-2YRS"),IF(AND(BF2&gt;729,BF2&lt;1095),"2YRS-3YRS"),IF(BF2&gt;1094,"3YRS")</f>
        <v>#VALUE!</v>
      </c>
      <c r="CI2" s="129" t="str">
        <f>IF(BF2&lt;11,"0-10 DAYS",IF(AND(BF2&gt;10,BF2&lt;31),"11-30 DAYS",IF((AND(BF2&gt;30,BF2&lt;61)),"31-60 DAYS",IF(AND(BF2&gt;60,BF2&lt;91),"61-90 DAYS",IF(AND(BF2&gt;90,BF2&lt;121),"91-120 DAYS",IF(AND(BF2&gt;120,BF2&lt;366),"121-365 DAYS",IF(AND(BF2&gt;365,BF2&lt;730)," &gt;1YRS&lt;2YRS",IF(AND(BF2&gt;729,BF2&lt;1095),"&gt;2YRS&lt;3YRS",IF(BF2&gt;1094,"&gt;3YRS")))))))))</f>
        <v>31-60 DAYS</v>
      </c>
      <c r="CJ2" s="137">
        <f>IF(CI2="0-10 DAYS",1,IF(CI2="11-30 DAYS",2,IF(CI2="31-60 DAYS",3,IF(CI2="61-90 DAYS",4,IF(CK2="91-120 DAYS",5,IF(CI2="121-365 DAYS",6,IF(CI2="&gt;1YRS&lt;2YRS",7,IF(CI2="&gt;2YRS&lt;3YRS",8,IF(CI2="&gt;3YRS",9,0)))))))))</f>
        <v>3</v>
      </c>
      <c r="CK2" s="129" t="str">
        <f>IF(I2="Not Booked","Not Booked","Booked")</f>
        <v>Booked</v>
      </c>
    </row>
    <row r="3" spans="1:89" ht="15" customHeight="1" x14ac:dyDescent="0.25">
      <c r="A3" s="111">
        <v>2616</v>
      </c>
      <c r="B3" s="128" t="str">
        <f t="shared" ref="B3:B66" si="8">IF(BD3&lt;&gt;"","Y","N")</f>
        <v>N</v>
      </c>
      <c r="C3" s="128" t="str">
        <f t="shared" ref="C3:C66" si="9">IF((AND(AV3="",AX3="",AY3="")),"N","Y")</f>
        <v>N</v>
      </c>
      <c r="D3" s="117">
        <v>40834</v>
      </c>
      <c r="E3" s="135">
        <f t="shared" ref="E3:E66" si="10">IF(OR(AL3="ACQUITTAL",AL3="ACQUIT",AL3="acq insane",AL3="DISMISSED",AL3="NO BILL"),1,IF(AL3="DEFERRED",2,IF(AL3="PROBATION",3,IF(OR(AL3="HCJ",AL3="fine"),4,IF(AL3="STJ",5,IF(AL3="TDC",6,""))))))</f>
        <v>5</v>
      </c>
      <c r="F3" s="124">
        <v>41005</v>
      </c>
      <c r="G3" s="125">
        <v>41072</v>
      </c>
      <c r="H3" s="117">
        <v>40834</v>
      </c>
      <c r="I3" s="124">
        <v>41010</v>
      </c>
      <c r="J3" s="124">
        <v>41072</v>
      </c>
      <c r="K3" s="126">
        <v>15000</v>
      </c>
      <c r="L3" s="127" t="s">
        <v>571</v>
      </c>
      <c r="N3" s="129" t="str">
        <f>IF(M3&gt;1/1/1,"Y","N")</f>
        <v>N</v>
      </c>
      <c r="O3" s="128" t="s">
        <v>917</v>
      </c>
      <c r="P3" s="129" t="s">
        <v>39</v>
      </c>
      <c r="Q3" s="111">
        <f t="shared" si="0"/>
        <v>63</v>
      </c>
      <c r="R3" s="111">
        <f t="shared" si="1"/>
        <v>68</v>
      </c>
      <c r="S3" s="129">
        <v>8</v>
      </c>
      <c r="T3" s="129">
        <v>4</v>
      </c>
      <c r="U3" s="129">
        <v>6</v>
      </c>
      <c r="W3" s="111"/>
      <c r="AC3" s="130"/>
      <c r="AD3" s="130">
        <v>18869</v>
      </c>
      <c r="AE3" s="128" t="s">
        <v>32</v>
      </c>
      <c r="AF3" s="128" t="s">
        <v>33</v>
      </c>
      <c r="AG3" s="128" t="s">
        <v>872</v>
      </c>
      <c r="AH3" s="108" t="s">
        <v>58</v>
      </c>
      <c r="AI3" s="128" t="s">
        <v>141</v>
      </c>
      <c r="AJ3" s="129" t="s">
        <v>89</v>
      </c>
      <c r="AK3" s="129">
        <v>4</v>
      </c>
      <c r="AL3" s="3" t="s">
        <v>992</v>
      </c>
      <c r="AN3" s="117">
        <v>6</v>
      </c>
      <c r="AP3" s="129" t="s">
        <v>60</v>
      </c>
      <c r="AR3" s="128" t="s">
        <v>44</v>
      </c>
      <c r="AS3" s="129" t="s">
        <v>61</v>
      </c>
      <c r="BC3" s="129" t="s">
        <v>38</v>
      </c>
      <c r="BF3" s="111">
        <f t="shared" ref="BF3:BF36" si="11">IF(J3&gt;1/1/1900,((J3+1)-I3),"STILL OPEN")</f>
        <v>63</v>
      </c>
      <c r="BG3" s="111">
        <f t="shared" si="2"/>
        <v>63</v>
      </c>
      <c r="BH3" s="111">
        <f t="shared" si="3"/>
        <v>68</v>
      </c>
      <c r="BI3" s="111">
        <f t="shared" si="4"/>
        <v>60.480874316939889</v>
      </c>
      <c r="BJ3" s="129">
        <f t="shared" ref="BJ3:BJ66" si="12">G3-J3-M3</f>
        <v>0</v>
      </c>
      <c r="BK3" s="129">
        <f t="shared" si="5"/>
        <v>0</v>
      </c>
      <c r="BL3" s="129" t="str">
        <f t="shared" si="6"/>
        <v>CONVICTION</v>
      </c>
      <c r="BM3" s="129" t="str">
        <f t="shared" ref="BM3:BM66" si="13">O3</f>
        <v>NONE</v>
      </c>
      <c r="BN3" s="129" t="s">
        <v>566</v>
      </c>
      <c r="BP3" s="137" t="str">
        <f t="shared" ref="BP3:BP66" si="14">IF(OR(AJ3="AQUITTAL",AJ3="DISMISSED",AJ3="FINE",AJ3="NO BILL"),"NO CONVICTION",IF(OR(AJ3="HCJ",AJ3="MHH",AJ3="PROBATION",AJ3="STJ",AJ3="TDC",AJ3="CONVICTED"),"CONVICTION",IF(AJ3="DEFERRED","DEFERRED","")))</f>
        <v>CONVICTION</v>
      </c>
      <c r="BQ3" s="128" t="str">
        <f t="shared" ref="BQ3:BQ66" si="15">IF(BF3&gt;0,"Y",BF3)</f>
        <v>Y</v>
      </c>
      <c r="BR3" s="129" t="str">
        <f t="shared" ref="BR3:BR66" si="16">IF(AND(J3="NOT BOOKED",M3&gt;1/1/1),"BONDED - BEFORE BOOKED",IF(BG3="STILL OPEN","STILL OPEN",IF(N3="Y","ON BOND",IF(J3&gt;=G3,"DETAINED","RELEASED"))))</f>
        <v>DETAINED</v>
      </c>
      <c r="BS3" s="129" t="str">
        <f t="shared" ref="BS3:BS67" si="17">IF(G3&lt;&gt;"","DISPOSED","")</f>
        <v>DISPOSED</v>
      </c>
      <c r="BT3" s="129" t="str">
        <f t="shared" ref="BT3:BT66" si="18">IF(S3&gt;0,"Y","N")</f>
        <v>Y</v>
      </c>
      <c r="BU3" s="109">
        <f t="shared" ref="BU3:BU65" si="19">Q3/R3</f>
        <v>0.92647058823529416</v>
      </c>
      <c r="BV3" s="109">
        <f t="shared" ref="BV3:BV66" si="20">IF(I3&gt;F3,((J3-I3+1)/(G3-I3+1)),(J3-I3+1)/(G3-F3+1))</f>
        <v>1</v>
      </c>
      <c r="BW3" s="109">
        <f t="shared" ref="BW3:BW66" si="21">BV3-BU3</f>
        <v>7.3529411764705843E-2</v>
      </c>
      <c r="BX3" s="111">
        <f t="shared" ref="BX3:BX66" si="22">+Q3-BF3</f>
        <v>0</v>
      </c>
      <c r="BY3" s="129">
        <f t="shared" ref="BY3:BY66" si="23">I3-J3-1</f>
        <v>-63</v>
      </c>
      <c r="BZ3" s="111">
        <f t="shared" ref="BZ3:BZ66" si="24">BY3+BF3</f>
        <v>0</v>
      </c>
      <c r="CA3" s="138">
        <f t="shared" ref="CA3:CA66" si="25">IF(AND(BS3="DISPOSED",BR3="DETAINED"),G3-I3+1,IF(AND(BS3="DISPOSED",BR3="ON BOND"),M3-I3+1,IF(AND(BS3="STILL OPEN","STILL OPEN"),"NOT BOOKED")))</f>
        <v>63</v>
      </c>
      <c r="CB3" s="111" t="e">
        <f t="shared" si="7"/>
        <v>#VALUE!</v>
      </c>
      <c r="CC3" s="129">
        <f t="shared" ref="CC3:CC13" si="26">G3-I3+1</f>
        <v>63</v>
      </c>
      <c r="CD3" s="129">
        <f t="shared" ref="CD3:CD13" si="27">G3-J3</f>
        <v>0</v>
      </c>
      <c r="CE3" s="129">
        <f t="shared" ref="CE3:CE66" si="28">G3-J3</f>
        <v>0</v>
      </c>
      <c r="CF3" s="129">
        <f t="shared" ref="CF3:CF36" si="29">J3-I3</f>
        <v>62</v>
      </c>
      <c r="CG3" s="129" t="str">
        <f t="shared" ref="CG3:CG66" si="30">IF((S3+T3+U3)&gt;0,"Y","N")</f>
        <v>Y</v>
      </c>
      <c r="CI3" s="129" t="str">
        <f t="shared" ref="CI3:CI66" si="31">IF(BF3&lt;11,"0-10 DAYS",IF(AND(BF3&gt;10,BF3&lt;31),"11-30 DAYS",IF((AND(BF3&gt;30,BF3&lt;61)),"31-60 DAYS",IF(AND(BF3&gt;60,BF3&lt;91),"61-90 DAYS",IF(AND(BF3&gt;90,BF3&lt;121),"91-120 DAYS",IF(AND(BF3&gt;120,BF3&lt;366),"121-365 DAYS",IF(AND(BF3&gt;365,BF3&lt;730)," &gt;1YRS&lt;2YRS",IF(AND(BF3&gt;729,BF3&lt;1095),"&gt;2YRS&lt;3YRS",IF(BF3&gt;1094,"&gt;3YRS")))))))))</f>
        <v>61-90 DAYS</v>
      </c>
      <c r="CJ3" s="137">
        <f t="shared" ref="CJ3:CJ66" si="32">IF(CI3="0-10 DAYS",1,IF(CI3="11-30 DAYS",2,IF(CI3="31-60 DAYS",3,IF(CI3="61-90 DAYS",4,IF(CK3="91-120 DAYS",5,IF(CI3="121-365 DAYS",6,IF(CI3="&gt;1YRS&lt;2YRS",7,IF(CI3="&gt;2YRS&lt;3YRS",8,IF(CI3="&gt;3YRS",9,0)))))))))</f>
        <v>4</v>
      </c>
      <c r="CK3" s="129" t="str">
        <f t="shared" ref="CK3:CK66" si="33">IF(I3="Not Booked","Not Booked","Booked")</f>
        <v>Booked</v>
      </c>
    </row>
    <row r="4" spans="1:89" ht="19.5" customHeight="1" x14ac:dyDescent="0.25">
      <c r="A4" s="111">
        <v>2673</v>
      </c>
      <c r="B4" s="128" t="str">
        <f t="shared" si="8"/>
        <v>N</v>
      </c>
      <c r="C4" s="128" t="str">
        <f t="shared" si="9"/>
        <v>N</v>
      </c>
      <c r="D4" s="117">
        <v>43872</v>
      </c>
      <c r="E4" s="135">
        <f t="shared" si="10"/>
        <v>6</v>
      </c>
      <c r="F4" s="124">
        <v>41008</v>
      </c>
      <c r="G4" s="125">
        <v>41395</v>
      </c>
      <c r="H4" s="117">
        <v>43872</v>
      </c>
      <c r="I4" s="124">
        <v>41086</v>
      </c>
      <c r="J4" s="125">
        <v>41395</v>
      </c>
      <c r="K4" s="126" t="s">
        <v>564</v>
      </c>
      <c r="L4" s="127" t="s">
        <v>564</v>
      </c>
      <c r="N4" s="129" t="s">
        <v>566</v>
      </c>
      <c r="O4" s="128" t="s">
        <v>917</v>
      </c>
      <c r="P4" s="129" t="s">
        <v>39</v>
      </c>
      <c r="Q4" s="111">
        <f t="shared" si="0"/>
        <v>310</v>
      </c>
      <c r="R4" s="111">
        <f t="shared" si="1"/>
        <v>388</v>
      </c>
      <c r="S4" s="129">
        <v>5</v>
      </c>
      <c r="T4" s="129">
        <v>1</v>
      </c>
      <c r="U4" s="129">
        <v>4</v>
      </c>
      <c r="W4" s="111"/>
      <c r="AC4" s="130"/>
      <c r="AD4" s="130">
        <v>18553</v>
      </c>
      <c r="AE4" s="128" t="s">
        <v>32</v>
      </c>
      <c r="AF4" s="128" t="s">
        <v>40</v>
      </c>
      <c r="AG4" s="128" t="s">
        <v>41</v>
      </c>
      <c r="AH4" s="108" t="s">
        <v>41</v>
      </c>
      <c r="AI4" s="128" t="s">
        <v>34</v>
      </c>
      <c r="AJ4" s="129" t="s">
        <v>89</v>
      </c>
      <c r="AK4" s="129">
        <v>11</v>
      </c>
      <c r="AL4" s="3" t="s">
        <v>362</v>
      </c>
      <c r="AM4" s="117">
        <v>12</v>
      </c>
      <c r="AP4" s="129" t="s">
        <v>173</v>
      </c>
      <c r="AR4" s="128" t="s">
        <v>50</v>
      </c>
      <c r="AS4" s="129" t="s">
        <v>126</v>
      </c>
      <c r="BC4" s="129" t="s">
        <v>38</v>
      </c>
      <c r="BF4" s="111">
        <f t="shared" si="11"/>
        <v>310</v>
      </c>
      <c r="BG4" s="111">
        <f t="shared" si="2"/>
        <v>310</v>
      </c>
      <c r="BH4" s="111">
        <f t="shared" si="3"/>
        <v>388</v>
      </c>
      <c r="BI4" s="111">
        <f t="shared" si="4"/>
        <v>61.352459016393439</v>
      </c>
      <c r="BJ4" s="129">
        <f t="shared" si="12"/>
        <v>0</v>
      </c>
      <c r="BK4" s="129">
        <f t="shared" si="5"/>
        <v>0</v>
      </c>
      <c r="BL4" s="129" t="str">
        <f t="shared" si="6"/>
        <v>CONVICTION</v>
      </c>
      <c r="BM4" s="129" t="str">
        <f t="shared" si="13"/>
        <v>NONE</v>
      </c>
      <c r="BN4" s="129" t="s">
        <v>566</v>
      </c>
      <c r="BP4" s="137" t="str">
        <f t="shared" si="14"/>
        <v>CONVICTION</v>
      </c>
      <c r="BQ4" s="128" t="str">
        <f t="shared" si="15"/>
        <v>Y</v>
      </c>
      <c r="BR4" s="129" t="str">
        <f t="shared" si="16"/>
        <v>DETAINED</v>
      </c>
      <c r="BS4" s="129" t="str">
        <f t="shared" si="17"/>
        <v>DISPOSED</v>
      </c>
      <c r="BT4" s="129" t="str">
        <f t="shared" si="18"/>
        <v>Y</v>
      </c>
      <c r="BU4" s="109">
        <f t="shared" si="19"/>
        <v>0.7989690721649485</v>
      </c>
      <c r="BV4" s="109">
        <f t="shared" si="20"/>
        <v>1</v>
      </c>
      <c r="BW4" s="109">
        <f t="shared" si="21"/>
        <v>0.2010309278350515</v>
      </c>
      <c r="BX4" s="111">
        <f t="shared" si="22"/>
        <v>0</v>
      </c>
      <c r="BY4" s="129">
        <f t="shared" si="23"/>
        <v>-310</v>
      </c>
      <c r="BZ4" s="111">
        <f t="shared" si="24"/>
        <v>0</v>
      </c>
      <c r="CA4" s="138">
        <f t="shared" si="25"/>
        <v>310</v>
      </c>
      <c r="CB4" s="111" t="e">
        <f t="shared" si="7"/>
        <v>#VALUE!</v>
      </c>
      <c r="CC4" s="129">
        <f t="shared" si="26"/>
        <v>310</v>
      </c>
      <c r="CD4" s="129">
        <f t="shared" si="27"/>
        <v>0</v>
      </c>
      <c r="CE4" s="129">
        <f t="shared" si="28"/>
        <v>0</v>
      </c>
      <c r="CF4" s="129">
        <f t="shared" si="29"/>
        <v>309</v>
      </c>
      <c r="CG4" s="129" t="str">
        <f t="shared" si="30"/>
        <v>Y</v>
      </c>
      <c r="CI4" s="129" t="str">
        <f t="shared" si="31"/>
        <v>121-365 DAYS</v>
      </c>
      <c r="CJ4" s="137">
        <f t="shared" si="32"/>
        <v>6</v>
      </c>
      <c r="CK4" s="129" t="str">
        <f t="shared" si="33"/>
        <v>Booked</v>
      </c>
    </row>
    <row r="5" spans="1:89" ht="15" customHeight="1" x14ac:dyDescent="0.25">
      <c r="A5" s="111">
        <v>362</v>
      </c>
      <c r="B5" s="128" t="str">
        <f t="shared" si="8"/>
        <v>N</v>
      </c>
      <c r="C5" s="128" t="str">
        <f t="shared" si="9"/>
        <v>N</v>
      </c>
      <c r="D5" s="117">
        <v>48182</v>
      </c>
      <c r="E5" s="135">
        <f t="shared" si="10"/>
        <v>6</v>
      </c>
      <c r="F5" s="124">
        <v>40923</v>
      </c>
      <c r="G5" s="125">
        <v>40955</v>
      </c>
      <c r="H5" s="117">
        <v>48182</v>
      </c>
      <c r="I5" s="124">
        <v>40923</v>
      </c>
      <c r="J5" s="124">
        <v>40955</v>
      </c>
      <c r="K5" s="126" t="s">
        <v>564</v>
      </c>
      <c r="L5" s="127" t="s">
        <v>564</v>
      </c>
      <c r="N5" s="129" t="s">
        <v>566</v>
      </c>
      <c r="O5" s="128" t="s">
        <v>917</v>
      </c>
      <c r="P5" s="129" t="s">
        <v>39</v>
      </c>
      <c r="Q5" s="111">
        <f t="shared" si="0"/>
        <v>33</v>
      </c>
      <c r="R5" s="111">
        <f t="shared" si="1"/>
        <v>33</v>
      </c>
      <c r="S5" s="129">
        <v>6</v>
      </c>
      <c r="T5" s="129">
        <v>9</v>
      </c>
      <c r="U5" s="129">
        <v>5</v>
      </c>
      <c r="W5" s="111"/>
      <c r="AC5" s="130"/>
      <c r="AD5" s="130">
        <v>20826</v>
      </c>
      <c r="AE5" s="128" t="s">
        <v>32</v>
      </c>
      <c r="AF5" s="128" t="s">
        <v>40</v>
      </c>
      <c r="AG5" s="128" t="s">
        <v>41</v>
      </c>
      <c r="AH5" s="108" t="s">
        <v>41</v>
      </c>
      <c r="AI5" s="128" t="s">
        <v>72</v>
      </c>
      <c r="AJ5" s="129" t="s">
        <v>89</v>
      </c>
      <c r="AK5" s="129">
        <v>2</v>
      </c>
      <c r="AL5" s="3" t="s">
        <v>362</v>
      </c>
      <c r="AM5" s="117">
        <v>4</v>
      </c>
      <c r="AP5" s="129" t="s">
        <v>66</v>
      </c>
      <c r="AR5" s="128" t="s">
        <v>67</v>
      </c>
      <c r="AS5" s="129" t="s">
        <v>68</v>
      </c>
      <c r="BC5" s="129" t="s">
        <v>52</v>
      </c>
      <c r="BF5" s="111">
        <f t="shared" si="11"/>
        <v>33</v>
      </c>
      <c r="BG5" s="111">
        <f t="shared" si="2"/>
        <v>33</v>
      </c>
      <c r="BH5" s="111">
        <f t="shared" si="3"/>
        <v>33</v>
      </c>
      <c r="BI5" s="111">
        <f t="shared" si="4"/>
        <v>54.909836065573771</v>
      </c>
      <c r="BJ5" s="129">
        <f t="shared" si="12"/>
        <v>0</v>
      </c>
      <c r="BK5" s="129">
        <f t="shared" si="5"/>
        <v>0</v>
      </c>
      <c r="BL5" s="129" t="str">
        <f t="shared" si="6"/>
        <v>CONVICTION</v>
      </c>
      <c r="BM5" s="129" t="str">
        <f t="shared" si="13"/>
        <v>NONE</v>
      </c>
      <c r="BN5" s="129" t="s">
        <v>566</v>
      </c>
      <c r="BP5" s="137" t="str">
        <f t="shared" si="14"/>
        <v>CONVICTION</v>
      </c>
      <c r="BQ5" s="128" t="str">
        <f t="shared" si="15"/>
        <v>Y</v>
      </c>
      <c r="BR5" s="129" t="str">
        <f t="shared" si="16"/>
        <v>DETAINED</v>
      </c>
      <c r="BS5" s="129" t="str">
        <f t="shared" si="17"/>
        <v>DISPOSED</v>
      </c>
      <c r="BT5" s="129" t="str">
        <f t="shared" si="18"/>
        <v>Y</v>
      </c>
      <c r="BU5" s="109">
        <f t="shared" si="19"/>
        <v>1</v>
      </c>
      <c r="BV5" s="109">
        <f t="shared" si="20"/>
        <v>1</v>
      </c>
      <c r="BW5" s="109">
        <f t="shared" si="21"/>
        <v>0</v>
      </c>
      <c r="BX5" s="111">
        <f t="shared" si="22"/>
        <v>0</v>
      </c>
      <c r="BY5" s="129">
        <f t="shared" si="23"/>
        <v>-33</v>
      </c>
      <c r="BZ5" s="111">
        <f t="shared" si="24"/>
        <v>0</v>
      </c>
      <c r="CA5" s="138">
        <f t="shared" si="25"/>
        <v>33</v>
      </c>
      <c r="CB5" s="111" t="e">
        <f t="shared" si="7"/>
        <v>#VALUE!</v>
      </c>
      <c r="CC5" s="129">
        <f t="shared" si="26"/>
        <v>33</v>
      </c>
      <c r="CD5" s="129">
        <f t="shared" si="27"/>
        <v>0</v>
      </c>
      <c r="CE5" s="129">
        <f t="shared" si="28"/>
        <v>0</v>
      </c>
      <c r="CF5" s="129">
        <f t="shared" si="29"/>
        <v>32</v>
      </c>
      <c r="CG5" s="129" t="str">
        <f t="shared" si="30"/>
        <v>Y</v>
      </c>
      <c r="CI5" s="129" t="str">
        <f t="shared" si="31"/>
        <v>31-60 DAYS</v>
      </c>
      <c r="CJ5" s="137">
        <f t="shared" si="32"/>
        <v>3</v>
      </c>
      <c r="CK5" s="129" t="str">
        <f t="shared" si="33"/>
        <v>Booked</v>
      </c>
    </row>
    <row r="6" spans="1:89" ht="20.25" customHeight="1" x14ac:dyDescent="0.25">
      <c r="A6" s="111">
        <v>531</v>
      </c>
      <c r="B6" s="128" t="str">
        <f t="shared" si="8"/>
        <v>N</v>
      </c>
      <c r="C6" s="128" t="str">
        <f t="shared" si="9"/>
        <v>N</v>
      </c>
      <c r="D6" s="117">
        <v>48245</v>
      </c>
      <c r="E6" s="135">
        <f t="shared" si="10"/>
        <v>2</v>
      </c>
      <c r="F6" s="124">
        <v>40929</v>
      </c>
      <c r="G6" s="125">
        <v>41039</v>
      </c>
      <c r="H6" s="117">
        <v>48245</v>
      </c>
      <c r="I6" s="124">
        <v>41019</v>
      </c>
      <c r="J6" s="124">
        <v>41039</v>
      </c>
      <c r="K6" s="126" t="s">
        <v>564</v>
      </c>
      <c r="L6" s="127" t="s">
        <v>564</v>
      </c>
      <c r="N6" s="129" t="s">
        <v>566</v>
      </c>
      <c r="O6" s="128" t="s">
        <v>917</v>
      </c>
      <c r="P6" s="129" t="s">
        <v>589</v>
      </c>
      <c r="Q6" s="111">
        <f t="shared" si="0"/>
        <v>21</v>
      </c>
      <c r="R6" s="111">
        <f t="shared" si="1"/>
        <v>111</v>
      </c>
      <c r="S6" s="129">
        <v>3</v>
      </c>
      <c r="T6" s="129">
        <v>6</v>
      </c>
      <c r="U6" s="129">
        <v>2</v>
      </c>
      <c r="V6" s="117">
        <v>1</v>
      </c>
      <c r="W6" s="111"/>
      <c r="AC6" s="130"/>
      <c r="AD6" s="130">
        <v>21396</v>
      </c>
      <c r="AE6" s="128" t="s">
        <v>32</v>
      </c>
      <c r="AF6" s="128" t="s">
        <v>69</v>
      </c>
      <c r="AG6" s="128" t="s">
        <v>874</v>
      </c>
      <c r="AH6" s="108" t="s">
        <v>58</v>
      </c>
      <c r="AI6" s="128" t="s">
        <v>80</v>
      </c>
      <c r="AJ6" s="129" t="s">
        <v>48</v>
      </c>
      <c r="AK6" s="129">
        <v>3</v>
      </c>
      <c r="AL6" s="3" t="s">
        <v>48</v>
      </c>
      <c r="AP6" s="129" t="s">
        <v>150</v>
      </c>
      <c r="AR6" s="128" t="s">
        <v>67</v>
      </c>
      <c r="AS6" s="129" t="s">
        <v>74</v>
      </c>
      <c r="BC6" s="129" t="s">
        <v>38</v>
      </c>
      <c r="BF6" s="111">
        <f t="shared" si="11"/>
        <v>21</v>
      </c>
      <c r="BG6" s="111">
        <f t="shared" si="2"/>
        <v>21</v>
      </c>
      <c r="BH6" s="111">
        <f t="shared" si="3"/>
        <v>111</v>
      </c>
      <c r="BI6" s="111">
        <f t="shared" si="4"/>
        <v>53.368852459016395</v>
      </c>
      <c r="BJ6" s="129">
        <f t="shared" si="12"/>
        <v>0</v>
      </c>
      <c r="BK6" s="129">
        <f t="shared" si="5"/>
        <v>0</v>
      </c>
      <c r="BL6" s="129" t="str">
        <f t="shared" si="6"/>
        <v>DEFERRED</v>
      </c>
      <c r="BM6" s="129" t="str">
        <f t="shared" si="13"/>
        <v>NONE</v>
      </c>
      <c r="BN6" s="129" t="s">
        <v>566</v>
      </c>
      <c r="BP6" s="137" t="str">
        <f t="shared" si="14"/>
        <v>DEFERRED</v>
      </c>
      <c r="BQ6" s="128" t="str">
        <f t="shared" si="15"/>
        <v>Y</v>
      </c>
      <c r="BR6" s="129" t="str">
        <f t="shared" si="16"/>
        <v>DETAINED</v>
      </c>
      <c r="BS6" s="129" t="str">
        <f t="shared" si="17"/>
        <v>DISPOSED</v>
      </c>
      <c r="BT6" s="129" t="str">
        <f t="shared" si="18"/>
        <v>Y</v>
      </c>
      <c r="BU6" s="109">
        <f t="shared" si="19"/>
        <v>0.1891891891891892</v>
      </c>
      <c r="BV6" s="109">
        <f t="shared" si="20"/>
        <v>1</v>
      </c>
      <c r="BW6" s="109">
        <f t="shared" si="21"/>
        <v>0.81081081081081074</v>
      </c>
      <c r="BX6" s="111">
        <f t="shared" si="22"/>
        <v>0</v>
      </c>
      <c r="BY6" s="129">
        <f t="shared" si="23"/>
        <v>-21</v>
      </c>
      <c r="BZ6" s="111">
        <f t="shared" si="24"/>
        <v>0</v>
      </c>
      <c r="CA6" s="138">
        <f t="shared" si="25"/>
        <v>21</v>
      </c>
      <c r="CB6" s="111" t="e">
        <f t="shared" si="7"/>
        <v>#VALUE!</v>
      </c>
      <c r="CC6" s="129">
        <f t="shared" si="26"/>
        <v>21</v>
      </c>
      <c r="CD6" s="129">
        <f t="shared" si="27"/>
        <v>0</v>
      </c>
      <c r="CE6" s="129">
        <f t="shared" si="28"/>
        <v>0</v>
      </c>
      <c r="CF6" s="129">
        <f t="shared" si="29"/>
        <v>20</v>
      </c>
      <c r="CG6" s="129" t="str">
        <f t="shared" si="30"/>
        <v>Y</v>
      </c>
      <c r="CI6" s="129" t="str">
        <f t="shared" si="31"/>
        <v>11-30 DAYS</v>
      </c>
      <c r="CJ6" s="137">
        <f t="shared" si="32"/>
        <v>2</v>
      </c>
      <c r="CK6" s="129" t="str">
        <f t="shared" si="33"/>
        <v>Booked</v>
      </c>
    </row>
    <row r="7" spans="1:89" ht="15" customHeight="1" x14ac:dyDescent="0.25">
      <c r="A7" s="111">
        <v>1647</v>
      </c>
      <c r="B7" s="128" t="str">
        <f t="shared" si="8"/>
        <v>N</v>
      </c>
      <c r="C7" s="128" t="str">
        <f t="shared" si="9"/>
        <v>N</v>
      </c>
      <c r="D7" s="117">
        <v>50295</v>
      </c>
      <c r="E7" s="135">
        <f t="shared" si="10"/>
        <v>4</v>
      </c>
      <c r="F7" s="124">
        <v>40969</v>
      </c>
      <c r="G7" s="125">
        <v>40973</v>
      </c>
      <c r="H7" s="117">
        <v>50295</v>
      </c>
      <c r="I7" s="124">
        <v>40970</v>
      </c>
      <c r="J7" s="124">
        <v>40973</v>
      </c>
      <c r="K7" s="126">
        <v>15000</v>
      </c>
      <c r="L7" s="127" t="s">
        <v>571</v>
      </c>
      <c r="N7" s="129" t="str">
        <f>IF(M7&gt;1/1/1,"Y","N")</f>
        <v>N</v>
      </c>
      <c r="O7" s="128" t="s">
        <v>917</v>
      </c>
      <c r="P7" s="129" t="s">
        <v>39</v>
      </c>
      <c r="Q7" s="111">
        <f t="shared" si="0"/>
        <v>4</v>
      </c>
      <c r="R7" s="111">
        <f t="shared" si="1"/>
        <v>5</v>
      </c>
      <c r="S7" s="129">
        <v>3</v>
      </c>
      <c r="T7" s="129">
        <v>7</v>
      </c>
      <c r="U7" s="129">
        <v>3</v>
      </c>
      <c r="W7" s="111"/>
      <c r="AC7" s="130"/>
      <c r="AD7" s="130">
        <v>18443</v>
      </c>
      <c r="AE7" s="128" t="s">
        <v>32</v>
      </c>
      <c r="AF7" s="128" t="s">
        <v>33</v>
      </c>
      <c r="AG7" s="128" t="s">
        <v>872</v>
      </c>
      <c r="AH7" s="108" t="s">
        <v>58</v>
      </c>
      <c r="AI7" s="128" t="s">
        <v>65</v>
      </c>
      <c r="AJ7" s="129" t="s">
        <v>89</v>
      </c>
      <c r="AK7" s="129">
        <v>1</v>
      </c>
      <c r="AL7" s="3" t="s">
        <v>991</v>
      </c>
      <c r="AO7" s="128">
        <v>180</v>
      </c>
      <c r="AP7" s="129" t="s">
        <v>43</v>
      </c>
      <c r="AR7" s="128" t="s">
        <v>44</v>
      </c>
      <c r="AS7" s="129" t="s">
        <v>45</v>
      </c>
      <c r="BC7" s="129" t="s">
        <v>38</v>
      </c>
      <c r="BF7" s="111">
        <f t="shared" si="11"/>
        <v>4</v>
      </c>
      <c r="BG7" s="111">
        <f t="shared" si="2"/>
        <v>4</v>
      </c>
      <c r="BH7" s="111">
        <f t="shared" si="3"/>
        <v>5</v>
      </c>
      <c r="BI7" s="111">
        <f t="shared" si="4"/>
        <v>61.546448087431692</v>
      </c>
      <c r="BJ7" s="129">
        <f t="shared" si="12"/>
        <v>0</v>
      </c>
      <c r="BK7" s="129">
        <f t="shared" si="5"/>
        <v>0</v>
      </c>
      <c r="BL7" s="129" t="str">
        <f t="shared" si="6"/>
        <v>CONVICTION</v>
      </c>
      <c r="BM7" s="129" t="str">
        <f t="shared" si="13"/>
        <v>NONE</v>
      </c>
      <c r="BN7" s="129" t="s">
        <v>566</v>
      </c>
      <c r="BP7" s="137" t="str">
        <f t="shared" si="14"/>
        <v>CONVICTION</v>
      </c>
      <c r="BQ7" s="128" t="str">
        <f t="shared" si="15"/>
        <v>Y</v>
      </c>
      <c r="BR7" s="129" t="str">
        <f t="shared" si="16"/>
        <v>DETAINED</v>
      </c>
      <c r="BS7" s="129" t="str">
        <f t="shared" si="17"/>
        <v>DISPOSED</v>
      </c>
      <c r="BT7" s="129" t="str">
        <f t="shared" si="18"/>
        <v>Y</v>
      </c>
      <c r="BU7" s="109">
        <f t="shared" si="19"/>
        <v>0.8</v>
      </c>
      <c r="BV7" s="109">
        <f t="shared" si="20"/>
        <v>1</v>
      </c>
      <c r="BW7" s="109">
        <f t="shared" si="21"/>
        <v>0.19999999999999996</v>
      </c>
      <c r="BX7" s="111">
        <f t="shared" si="22"/>
        <v>0</v>
      </c>
      <c r="BY7" s="129">
        <f t="shared" si="23"/>
        <v>-4</v>
      </c>
      <c r="BZ7" s="111">
        <f t="shared" si="24"/>
        <v>0</v>
      </c>
      <c r="CA7" s="138">
        <f t="shared" si="25"/>
        <v>4</v>
      </c>
      <c r="CB7" s="111" t="e">
        <f t="shared" si="7"/>
        <v>#VALUE!</v>
      </c>
      <c r="CC7" s="129">
        <f t="shared" si="26"/>
        <v>4</v>
      </c>
      <c r="CD7" s="129">
        <f t="shared" si="27"/>
        <v>0</v>
      </c>
      <c r="CE7" s="129">
        <f t="shared" si="28"/>
        <v>0</v>
      </c>
      <c r="CF7" s="129">
        <f t="shared" si="29"/>
        <v>3</v>
      </c>
      <c r="CG7" s="129" t="str">
        <f t="shared" si="30"/>
        <v>Y</v>
      </c>
      <c r="CI7" s="129" t="str">
        <f t="shared" si="31"/>
        <v>0-10 DAYS</v>
      </c>
      <c r="CJ7" s="137">
        <f t="shared" si="32"/>
        <v>1</v>
      </c>
      <c r="CK7" s="129" t="str">
        <f t="shared" si="33"/>
        <v>Booked</v>
      </c>
    </row>
    <row r="8" spans="1:89" ht="15.75" customHeight="1" x14ac:dyDescent="0.25">
      <c r="A8" s="111">
        <v>2621</v>
      </c>
      <c r="B8" s="128" t="str">
        <f t="shared" si="8"/>
        <v>N</v>
      </c>
      <c r="C8" s="128" t="str">
        <f t="shared" si="9"/>
        <v>N</v>
      </c>
      <c r="D8" s="117">
        <v>50302</v>
      </c>
      <c r="E8" s="135">
        <f t="shared" si="10"/>
        <v>6</v>
      </c>
      <c r="F8" s="124">
        <v>41006</v>
      </c>
      <c r="G8" s="125">
        <v>41067</v>
      </c>
      <c r="H8" s="117">
        <v>50302</v>
      </c>
      <c r="I8" s="124">
        <v>41006</v>
      </c>
      <c r="J8" s="124">
        <v>41067</v>
      </c>
      <c r="K8" s="126" t="s">
        <v>564</v>
      </c>
      <c r="L8" s="127" t="s">
        <v>564</v>
      </c>
      <c r="N8" s="129" t="s">
        <v>566</v>
      </c>
      <c r="O8" s="128" t="s">
        <v>917</v>
      </c>
      <c r="P8" s="129" t="s">
        <v>39</v>
      </c>
      <c r="Q8" s="111">
        <f t="shared" si="0"/>
        <v>62</v>
      </c>
      <c r="R8" s="111">
        <f t="shared" si="1"/>
        <v>62</v>
      </c>
      <c r="S8" s="129">
        <v>3</v>
      </c>
      <c r="T8" s="129">
        <v>4</v>
      </c>
      <c r="U8" s="129">
        <v>3</v>
      </c>
      <c r="W8" s="111"/>
      <c r="AC8" s="130"/>
      <c r="AD8" s="130">
        <v>19315</v>
      </c>
      <c r="AE8" s="128" t="s">
        <v>32</v>
      </c>
      <c r="AF8" s="128" t="s">
        <v>69</v>
      </c>
      <c r="AG8" s="128" t="s">
        <v>874</v>
      </c>
      <c r="AH8" s="108" t="s">
        <v>58</v>
      </c>
      <c r="AI8" s="128" t="s">
        <v>100</v>
      </c>
      <c r="AJ8" s="129" t="s">
        <v>89</v>
      </c>
      <c r="AK8" s="129">
        <v>3</v>
      </c>
      <c r="AL8" s="3" t="s">
        <v>362</v>
      </c>
      <c r="AM8" s="117">
        <v>2</v>
      </c>
      <c r="AP8" s="129" t="s">
        <v>73</v>
      </c>
      <c r="AR8" s="128" t="s">
        <v>50</v>
      </c>
      <c r="AS8" s="129" t="s">
        <v>74</v>
      </c>
      <c r="BC8" s="129" t="s">
        <v>38</v>
      </c>
      <c r="BF8" s="111">
        <f t="shared" si="11"/>
        <v>62</v>
      </c>
      <c r="BG8" s="111">
        <f t="shared" si="2"/>
        <v>62</v>
      </c>
      <c r="BH8" s="111">
        <f t="shared" si="3"/>
        <v>62</v>
      </c>
      <c r="BI8" s="111">
        <f t="shared" si="4"/>
        <v>59.265027322404372</v>
      </c>
      <c r="BJ8" s="129">
        <f t="shared" si="12"/>
        <v>0</v>
      </c>
      <c r="BK8" s="129">
        <f t="shared" si="5"/>
        <v>0</v>
      </c>
      <c r="BL8" s="129" t="str">
        <f t="shared" si="6"/>
        <v>CONVICTION</v>
      </c>
      <c r="BM8" s="129" t="str">
        <f t="shared" si="13"/>
        <v>NONE</v>
      </c>
      <c r="BN8" s="129" t="s">
        <v>566</v>
      </c>
      <c r="BP8" s="137" t="str">
        <f t="shared" si="14"/>
        <v>CONVICTION</v>
      </c>
      <c r="BQ8" s="128" t="str">
        <f t="shared" si="15"/>
        <v>Y</v>
      </c>
      <c r="BR8" s="129" t="str">
        <f t="shared" si="16"/>
        <v>DETAINED</v>
      </c>
      <c r="BS8" s="129" t="str">
        <f t="shared" si="17"/>
        <v>DISPOSED</v>
      </c>
      <c r="BT8" s="129" t="str">
        <f t="shared" si="18"/>
        <v>Y</v>
      </c>
      <c r="BU8" s="109">
        <f t="shared" si="19"/>
        <v>1</v>
      </c>
      <c r="BV8" s="109">
        <f t="shared" si="20"/>
        <v>1</v>
      </c>
      <c r="BW8" s="109">
        <f t="shared" si="21"/>
        <v>0</v>
      </c>
      <c r="BX8" s="111">
        <f t="shared" si="22"/>
        <v>0</v>
      </c>
      <c r="BY8" s="129">
        <f t="shared" si="23"/>
        <v>-62</v>
      </c>
      <c r="BZ8" s="111">
        <f t="shared" si="24"/>
        <v>0</v>
      </c>
      <c r="CA8" s="138">
        <f t="shared" si="25"/>
        <v>62</v>
      </c>
      <c r="CB8" s="111" t="e">
        <f t="shared" si="7"/>
        <v>#VALUE!</v>
      </c>
      <c r="CC8" s="129">
        <f t="shared" si="26"/>
        <v>62</v>
      </c>
      <c r="CD8" s="129">
        <f t="shared" si="27"/>
        <v>0</v>
      </c>
      <c r="CE8" s="129">
        <f t="shared" si="28"/>
        <v>0</v>
      </c>
      <c r="CF8" s="129">
        <f t="shared" si="29"/>
        <v>61</v>
      </c>
      <c r="CG8" s="129" t="str">
        <f t="shared" si="30"/>
        <v>Y</v>
      </c>
      <c r="CI8" s="129" t="str">
        <f t="shared" si="31"/>
        <v>61-90 DAYS</v>
      </c>
      <c r="CJ8" s="137">
        <f t="shared" si="32"/>
        <v>4</v>
      </c>
      <c r="CK8" s="129" t="str">
        <f t="shared" si="33"/>
        <v>Booked</v>
      </c>
    </row>
    <row r="9" spans="1:89" ht="15.75" customHeight="1" x14ac:dyDescent="0.25">
      <c r="A9" s="111">
        <v>511</v>
      </c>
      <c r="B9" s="128" t="str">
        <f t="shared" si="8"/>
        <v>N</v>
      </c>
      <c r="C9" s="128" t="str">
        <f t="shared" si="9"/>
        <v>N</v>
      </c>
      <c r="D9" s="117">
        <v>55175</v>
      </c>
      <c r="E9" s="135">
        <f t="shared" si="10"/>
        <v>6</v>
      </c>
      <c r="F9" s="124">
        <v>40929</v>
      </c>
      <c r="G9" s="125">
        <v>41502</v>
      </c>
      <c r="H9" s="117">
        <v>55175</v>
      </c>
      <c r="I9" s="124">
        <v>40929</v>
      </c>
      <c r="J9" s="125">
        <v>41502</v>
      </c>
      <c r="K9" s="126" t="s">
        <v>564</v>
      </c>
      <c r="L9" s="127" t="s">
        <v>564</v>
      </c>
      <c r="N9" s="129" t="s">
        <v>566</v>
      </c>
      <c r="O9" s="128" t="s">
        <v>917</v>
      </c>
      <c r="P9" s="129" t="s">
        <v>39</v>
      </c>
      <c r="Q9" s="111">
        <f t="shared" si="0"/>
        <v>574</v>
      </c>
      <c r="R9" s="111">
        <f t="shared" si="1"/>
        <v>574</v>
      </c>
      <c r="S9" s="129">
        <v>6</v>
      </c>
      <c r="T9" s="129">
        <v>12</v>
      </c>
      <c r="U9" s="129">
        <v>4</v>
      </c>
      <c r="W9" s="111"/>
      <c r="AC9" s="130"/>
      <c r="AD9" s="130">
        <v>21501</v>
      </c>
      <c r="AE9" s="128" t="s">
        <v>32</v>
      </c>
      <c r="AF9" s="128" t="s">
        <v>33</v>
      </c>
      <c r="AG9" s="128" t="s">
        <v>872</v>
      </c>
      <c r="AH9" s="108" t="s">
        <v>58</v>
      </c>
      <c r="AI9" s="128" t="s">
        <v>65</v>
      </c>
      <c r="AJ9" s="129" t="s">
        <v>31</v>
      </c>
      <c r="AK9" s="129">
        <v>18</v>
      </c>
      <c r="AL9" s="3" t="s">
        <v>362</v>
      </c>
      <c r="AM9" s="117">
        <v>40</v>
      </c>
      <c r="AP9" s="129" t="s">
        <v>179</v>
      </c>
      <c r="AR9" s="128" t="s">
        <v>92</v>
      </c>
      <c r="AS9" s="129" t="s">
        <v>180</v>
      </c>
      <c r="AT9" s="129" t="s">
        <v>1130</v>
      </c>
      <c r="BC9" s="129" t="s">
        <v>52</v>
      </c>
      <c r="BF9" s="111">
        <f t="shared" si="11"/>
        <v>574</v>
      </c>
      <c r="BG9" s="111">
        <f t="shared" si="2"/>
        <v>574</v>
      </c>
      <c r="BH9" s="111">
        <f t="shared" si="3"/>
        <v>574</v>
      </c>
      <c r="BI9" s="111">
        <f t="shared" si="4"/>
        <v>53.081967213114751</v>
      </c>
      <c r="BJ9" s="129">
        <f t="shared" si="12"/>
        <v>0</v>
      </c>
      <c r="BK9" s="129">
        <f t="shared" si="5"/>
        <v>0</v>
      </c>
      <c r="BL9" s="129" t="str">
        <f t="shared" si="6"/>
        <v>CONVICTION</v>
      </c>
      <c r="BM9" s="129" t="str">
        <f t="shared" si="13"/>
        <v>NONE</v>
      </c>
      <c r="BN9" s="129" t="s">
        <v>566</v>
      </c>
      <c r="BP9" s="137" t="s">
        <v>1057</v>
      </c>
      <c r="BQ9" s="128" t="str">
        <f t="shared" si="15"/>
        <v>Y</v>
      </c>
      <c r="BR9" s="129" t="str">
        <f t="shared" si="16"/>
        <v>DETAINED</v>
      </c>
      <c r="BS9" s="129" t="str">
        <f t="shared" si="17"/>
        <v>DISPOSED</v>
      </c>
      <c r="BT9" s="129" t="str">
        <f t="shared" si="18"/>
        <v>Y</v>
      </c>
      <c r="BU9" s="109">
        <f>IFERROR(Q9/R9,BR9)</f>
        <v>1</v>
      </c>
      <c r="BV9" s="109">
        <f t="shared" si="20"/>
        <v>1</v>
      </c>
      <c r="BW9" s="109">
        <f t="shared" si="21"/>
        <v>0</v>
      </c>
      <c r="BX9" s="111">
        <f t="shared" si="22"/>
        <v>0</v>
      </c>
      <c r="BY9" s="129">
        <f t="shared" si="23"/>
        <v>-574</v>
      </c>
      <c r="BZ9" s="111">
        <f t="shared" si="24"/>
        <v>0</v>
      </c>
      <c r="CA9" s="138">
        <f t="shared" si="25"/>
        <v>574</v>
      </c>
      <c r="CB9" s="111" t="e">
        <f t="shared" si="7"/>
        <v>#VALUE!</v>
      </c>
      <c r="CC9" s="129">
        <f t="shared" si="26"/>
        <v>574</v>
      </c>
      <c r="CD9" s="129">
        <f t="shared" si="27"/>
        <v>0</v>
      </c>
      <c r="CE9" s="129">
        <f t="shared" si="28"/>
        <v>0</v>
      </c>
      <c r="CF9" s="129">
        <f t="shared" si="29"/>
        <v>573</v>
      </c>
      <c r="CG9" s="129" t="str">
        <f t="shared" si="30"/>
        <v>Y</v>
      </c>
      <c r="CI9" s="129" t="str">
        <f t="shared" si="31"/>
        <v xml:space="preserve"> &gt;1YRS&lt;2YRS</v>
      </c>
      <c r="CJ9" s="137">
        <f t="shared" si="32"/>
        <v>0</v>
      </c>
      <c r="CK9" s="129" t="str">
        <f t="shared" si="33"/>
        <v>Booked</v>
      </c>
    </row>
    <row r="10" spans="1:89" ht="15.75" customHeight="1" x14ac:dyDescent="0.25">
      <c r="A10" s="111">
        <v>1550</v>
      </c>
      <c r="B10" s="128" t="str">
        <f t="shared" si="8"/>
        <v>N</v>
      </c>
      <c r="C10" s="128" t="str">
        <f t="shared" si="9"/>
        <v>N</v>
      </c>
      <c r="D10" s="117">
        <v>75989</v>
      </c>
      <c r="E10" s="135">
        <f t="shared" si="10"/>
        <v>4</v>
      </c>
      <c r="F10" s="124">
        <v>40966</v>
      </c>
      <c r="G10" s="125">
        <v>41022</v>
      </c>
      <c r="H10" s="117">
        <v>75989</v>
      </c>
      <c r="I10" s="124">
        <v>40967</v>
      </c>
      <c r="J10" s="124">
        <v>41022</v>
      </c>
      <c r="K10" s="126">
        <v>15000</v>
      </c>
      <c r="L10" s="127" t="s">
        <v>571</v>
      </c>
      <c r="N10" s="129" t="str">
        <f>IF(M10&gt;1/1/1,"Y","N")</f>
        <v>N</v>
      </c>
      <c r="O10" s="128" t="s">
        <v>917</v>
      </c>
      <c r="P10" s="129" t="s">
        <v>39</v>
      </c>
      <c r="Q10" s="111">
        <f t="shared" si="0"/>
        <v>56</v>
      </c>
      <c r="R10" s="111">
        <f t="shared" si="1"/>
        <v>57</v>
      </c>
      <c r="S10" s="129">
        <v>7</v>
      </c>
      <c r="T10" s="129">
        <v>2</v>
      </c>
      <c r="U10" s="129">
        <v>2</v>
      </c>
      <c r="W10" s="111"/>
      <c r="AC10" s="130"/>
      <c r="AD10" s="130">
        <v>19954</v>
      </c>
      <c r="AE10" s="128" t="s">
        <v>32</v>
      </c>
      <c r="AF10" s="128" t="s">
        <v>69</v>
      </c>
      <c r="AG10" s="128" t="s">
        <v>874</v>
      </c>
      <c r="AH10" s="108" t="s">
        <v>31</v>
      </c>
      <c r="AI10" s="128" t="s">
        <v>65</v>
      </c>
      <c r="AJ10" s="129" t="s">
        <v>89</v>
      </c>
      <c r="AK10" s="129">
        <v>5</v>
      </c>
      <c r="AL10" s="3" t="s">
        <v>991</v>
      </c>
      <c r="AO10" s="128">
        <v>90</v>
      </c>
      <c r="AP10" s="129" t="s">
        <v>43</v>
      </c>
      <c r="AR10" s="128" t="s">
        <v>44</v>
      </c>
      <c r="AS10" s="129" t="s">
        <v>45</v>
      </c>
      <c r="BC10" s="129" t="s">
        <v>52</v>
      </c>
      <c r="BF10" s="111">
        <f t="shared" si="11"/>
        <v>56</v>
      </c>
      <c r="BG10" s="111">
        <f t="shared" si="2"/>
        <v>56</v>
      </c>
      <c r="BH10" s="111">
        <f t="shared" si="3"/>
        <v>57</v>
      </c>
      <c r="BI10" s="111">
        <f t="shared" si="4"/>
        <v>57.409836065573771</v>
      </c>
      <c r="BJ10" s="129">
        <f t="shared" si="12"/>
        <v>0</v>
      </c>
      <c r="BK10" s="129">
        <f t="shared" si="5"/>
        <v>0</v>
      </c>
      <c r="BL10" s="129" t="str">
        <f t="shared" si="6"/>
        <v>CONVICTION</v>
      </c>
      <c r="BM10" s="129" t="str">
        <f t="shared" si="13"/>
        <v>NONE</v>
      </c>
      <c r="BN10" s="129" t="s">
        <v>566</v>
      </c>
      <c r="BP10" s="137" t="str">
        <f t="shared" si="14"/>
        <v>CONVICTION</v>
      </c>
      <c r="BQ10" s="128" t="str">
        <f t="shared" si="15"/>
        <v>Y</v>
      </c>
      <c r="BR10" s="129" t="str">
        <f t="shared" si="16"/>
        <v>DETAINED</v>
      </c>
      <c r="BS10" s="129" t="str">
        <f t="shared" si="17"/>
        <v>DISPOSED</v>
      </c>
      <c r="BT10" s="129" t="str">
        <f t="shared" si="18"/>
        <v>Y</v>
      </c>
      <c r="BU10" s="109">
        <f t="shared" si="19"/>
        <v>0.98245614035087714</v>
      </c>
      <c r="BV10" s="109">
        <f t="shared" si="20"/>
        <v>1</v>
      </c>
      <c r="BW10" s="109">
        <f t="shared" si="21"/>
        <v>1.7543859649122862E-2</v>
      </c>
      <c r="BX10" s="111">
        <f t="shared" si="22"/>
        <v>0</v>
      </c>
      <c r="BY10" s="129">
        <f t="shared" si="23"/>
        <v>-56</v>
      </c>
      <c r="BZ10" s="111">
        <f t="shared" si="24"/>
        <v>0</v>
      </c>
      <c r="CA10" s="138">
        <f t="shared" si="25"/>
        <v>56</v>
      </c>
      <c r="CB10" s="111" t="e">
        <f t="shared" si="7"/>
        <v>#VALUE!</v>
      </c>
      <c r="CC10" s="129">
        <f t="shared" si="26"/>
        <v>56</v>
      </c>
      <c r="CD10" s="129">
        <f t="shared" si="27"/>
        <v>0</v>
      </c>
      <c r="CE10" s="129">
        <f t="shared" si="28"/>
        <v>0</v>
      </c>
      <c r="CF10" s="129">
        <f t="shared" si="29"/>
        <v>55</v>
      </c>
      <c r="CG10" s="129" t="str">
        <f t="shared" si="30"/>
        <v>Y</v>
      </c>
      <c r="CI10" s="129" t="str">
        <f t="shared" si="31"/>
        <v>31-60 DAYS</v>
      </c>
      <c r="CJ10" s="137">
        <f t="shared" si="32"/>
        <v>3</v>
      </c>
      <c r="CK10" s="129" t="str">
        <f t="shared" si="33"/>
        <v>Booked</v>
      </c>
    </row>
    <row r="11" spans="1:89" ht="15" customHeight="1" x14ac:dyDescent="0.25">
      <c r="A11" s="111">
        <v>1233</v>
      </c>
      <c r="B11" s="128" t="str">
        <f t="shared" si="8"/>
        <v>N</v>
      </c>
      <c r="C11" s="128" t="str">
        <f t="shared" si="9"/>
        <v>N</v>
      </c>
      <c r="D11" s="117">
        <v>89246</v>
      </c>
      <c r="E11" s="135">
        <f t="shared" si="10"/>
        <v>6</v>
      </c>
      <c r="F11" s="124">
        <v>40953</v>
      </c>
      <c r="G11" s="125">
        <v>41019</v>
      </c>
      <c r="H11" s="117">
        <v>89246</v>
      </c>
      <c r="I11" s="124">
        <v>40954</v>
      </c>
      <c r="J11" s="124">
        <v>41019</v>
      </c>
      <c r="K11" s="126" t="s">
        <v>564</v>
      </c>
      <c r="L11" s="127" t="s">
        <v>564</v>
      </c>
      <c r="N11" s="129" t="s">
        <v>566</v>
      </c>
      <c r="O11" s="128" t="s">
        <v>917</v>
      </c>
      <c r="P11" s="129" t="s">
        <v>39</v>
      </c>
      <c r="Q11" s="111">
        <f t="shared" si="0"/>
        <v>66</v>
      </c>
      <c r="R11" s="111">
        <f t="shared" si="1"/>
        <v>67</v>
      </c>
      <c r="S11" s="129">
        <v>14</v>
      </c>
      <c r="T11" s="129">
        <v>3</v>
      </c>
      <c r="U11" s="129">
        <v>8</v>
      </c>
      <c r="W11" s="111"/>
      <c r="AC11" s="130"/>
      <c r="AD11" s="130">
        <v>19072</v>
      </c>
      <c r="AE11" s="128" t="s">
        <v>32</v>
      </c>
      <c r="AF11" s="128" t="s">
        <v>33</v>
      </c>
      <c r="AG11" s="128" t="s">
        <v>872</v>
      </c>
      <c r="AH11" s="108" t="s">
        <v>31</v>
      </c>
      <c r="AI11" s="128" t="s">
        <v>90</v>
      </c>
      <c r="AJ11" s="129" t="s">
        <v>89</v>
      </c>
      <c r="AK11" s="129">
        <v>6</v>
      </c>
      <c r="AL11" s="3" t="s">
        <v>362</v>
      </c>
      <c r="AM11" s="117">
        <v>5</v>
      </c>
      <c r="AP11" s="129" t="s">
        <v>93</v>
      </c>
      <c r="AR11" s="128" t="s">
        <v>67</v>
      </c>
      <c r="AS11" s="129" t="s">
        <v>45</v>
      </c>
      <c r="BC11" s="129" t="s">
        <v>52</v>
      </c>
      <c r="BF11" s="111">
        <f t="shared" si="11"/>
        <v>66</v>
      </c>
      <c r="BG11" s="111">
        <f t="shared" si="2"/>
        <v>66</v>
      </c>
      <c r="BH11" s="111">
        <f t="shared" si="3"/>
        <v>67</v>
      </c>
      <c r="BI11" s="111">
        <f t="shared" si="4"/>
        <v>59.784153005464482</v>
      </c>
      <c r="BJ11" s="129">
        <f t="shared" si="12"/>
        <v>0</v>
      </c>
      <c r="BK11" s="129">
        <f t="shared" si="5"/>
        <v>0</v>
      </c>
      <c r="BL11" s="129" t="str">
        <f t="shared" si="6"/>
        <v>CONVICTION</v>
      </c>
      <c r="BM11" s="129" t="str">
        <f t="shared" si="13"/>
        <v>NONE</v>
      </c>
      <c r="BN11" s="129" t="s">
        <v>566</v>
      </c>
      <c r="BP11" s="137" t="str">
        <f t="shared" si="14"/>
        <v>CONVICTION</v>
      </c>
      <c r="BQ11" s="128" t="str">
        <f t="shared" si="15"/>
        <v>Y</v>
      </c>
      <c r="BR11" s="129" t="str">
        <f t="shared" si="16"/>
        <v>DETAINED</v>
      </c>
      <c r="BS11" s="129" t="str">
        <f t="shared" si="17"/>
        <v>DISPOSED</v>
      </c>
      <c r="BT11" s="129" t="str">
        <f t="shared" si="18"/>
        <v>Y</v>
      </c>
      <c r="BU11" s="109">
        <f t="shared" si="19"/>
        <v>0.9850746268656716</v>
      </c>
      <c r="BV11" s="109">
        <f t="shared" si="20"/>
        <v>1</v>
      </c>
      <c r="BW11" s="109">
        <f t="shared" si="21"/>
        <v>1.4925373134328401E-2</v>
      </c>
      <c r="BX11" s="111">
        <f t="shared" si="22"/>
        <v>0</v>
      </c>
      <c r="BY11" s="129">
        <f t="shared" si="23"/>
        <v>-66</v>
      </c>
      <c r="BZ11" s="111">
        <f t="shared" si="24"/>
        <v>0</v>
      </c>
      <c r="CA11" s="138">
        <f t="shared" si="25"/>
        <v>66</v>
      </c>
      <c r="CB11" s="111" t="e">
        <f t="shared" si="7"/>
        <v>#VALUE!</v>
      </c>
      <c r="CC11" s="129">
        <f t="shared" si="26"/>
        <v>66</v>
      </c>
      <c r="CD11" s="129">
        <f t="shared" si="27"/>
        <v>0</v>
      </c>
      <c r="CE11" s="129">
        <f t="shared" si="28"/>
        <v>0</v>
      </c>
      <c r="CF11" s="129">
        <f t="shared" si="29"/>
        <v>65</v>
      </c>
      <c r="CG11" s="129" t="str">
        <f t="shared" si="30"/>
        <v>Y</v>
      </c>
      <c r="CI11" s="129" t="str">
        <f t="shared" si="31"/>
        <v>61-90 DAYS</v>
      </c>
      <c r="CJ11" s="137">
        <f t="shared" si="32"/>
        <v>4</v>
      </c>
      <c r="CK11" s="129" t="str">
        <f t="shared" si="33"/>
        <v>Booked</v>
      </c>
    </row>
    <row r="12" spans="1:89" ht="15.75" customHeight="1" x14ac:dyDescent="0.25">
      <c r="A12" s="111">
        <v>2168</v>
      </c>
      <c r="B12" s="128" t="str">
        <f t="shared" si="8"/>
        <v>N</v>
      </c>
      <c r="C12" s="128" t="str">
        <f t="shared" si="9"/>
        <v>N</v>
      </c>
      <c r="D12" s="117">
        <v>98335</v>
      </c>
      <c r="E12" s="135">
        <f t="shared" si="10"/>
        <v>6</v>
      </c>
      <c r="F12" s="124">
        <v>40990</v>
      </c>
      <c r="G12" s="125">
        <v>41114</v>
      </c>
      <c r="H12" s="117">
        <v>98335</v>
      </c>
      <c r="I12" s="124">
        <v>40990</v>
      </c>
      <c r="J12" s="124">
        <v>41114</v>
      </c>
      <c r="K12" s="126">
        <v>50000</v>
      </c>
      <c r="L12" s="129" t="s">
        <v>572</v>
      </c>
      <c r="N12" s="129" t="str">
        <f t="shared" ref="N12:N17" si="34">IF(M12&gt;1/1/1,"Y","N")</f>
        <v>N</v>
      </c>
      <c r="O12" s="128" t="s">
        <v>917</v>
      </c>
      <c r="P12" s="129" t="s">
        <v>39</v>
      </c>
      <c r="Q12" s="111">
        <f t="shared" si="0"/>
        <v>125</v>
      </c>
      <c r="R12" s="111">
        <f t="shared" si="1"/>
        <v>125</v>
      </c>
      <c r="S12" s="129">
        <v>4</v>
      </c>
      <c r="T12" s="129">
        <v>13</v>
      </c>
      <c r="W12" s="111"/>
      <c r="AC12" s="130"/>
      <c r="AD12" s="130">
        <v>17954</v>
      </c>
      <c r="AE12" s="128" t="s">
        <v>32</v>
      </c>
      <c r="AF12" s="128" t="s">
        <v>69</v>
      </c>
      <c r="AG12" s="128" t="s">
        <v>874</v>
      </c>
      <c r="AH12" s="108" t="s">
        <v>31</v>
      </c>
      <c r="AI12" s="128" t="s">
        <v>59</v>
      </c>
      <c r="AJ12" s="129" t="s">
        <v>89</v>
      </c>
      <c r="AK12" s="129">
        <v>6</v>
      </c>
      <c r="AL12" s="3" t="s">
        <v>362</v>
      </c>
      <c r="AM12" s="117">
        <v>3</v>
      </c>
      <c r="AP12" s="129" t="s">
        <v>66</v>
      </c>
      <c r="AR12" s="128" t="s">
        <v>67</v>
      </c>
      <c r="AS12" s="129" t="s">
        <v>68</v>
      </c>
      <c r="BC12" s="129" t="s">
        <v>38</v>
      </c>
      <c r="BF12" s="111">
        <f t="shared" si="11"/>
        <v>125</v>
      </c>
      <c r="BG12" s="111">
        <f t="shared" si="2"/>
        <v>125</v>
      </c>
      <c r="BH12" s="111">
        <f t="shared" si="3"/>
        <v>125</v>
      </c>
      <c r="BI12" s="111">
        <f t="shared" si="4"/>
        <v>62.939890710382514</v>
      </c>
      <c r="BJ12" s="129">
        <f t="shared" si="12"/>
        <v>0</v>
      </c>
      <c r="BK12" s="129">
        <f t="shared" si="5"/>
        <v>0</v>
      </c>
      <c r="BL12" s="129" t="str">
        <f t="shared" si="6"/>
        <v>CONVICTION</v>
      </c>
      <c r="BM12" s="129" t="str">
        <f t="shared" si="13"/>
        <v>NONE</v>
      </c>
      <c r="BN12" s="129" t="s">
        <v>566</v>
      </c>
      <c r="BP12" s="137" t="str">
        <f t="shared" si="14"/>
        <v>CONVICTION</v>
      </c>
      <c r="BQ12" s="128" t="str">
        <f t="shared" si="15"/>
        <v>Y</v>
      </c>
      <c r="BR12" s="129" t="str">
        <f t="shared" si="16"/>
        <v>DETAINED</v>
      </c>
      <c r="BS12" s="129" t="str">
        <f t="shared" si="17"/>
        <v>DISPOSED</v>
      </c>
      <c r="BT12" s="129" t="str">
        <f t="shared" si="18"/>
        <v>Y</v>
      </c>
      <c r="BU12" s="109">
        <f t="shared" si="19"/>
        <v>1</v>
      </c>
      <c r="BV12" s="109">
        <f t="shared" si="20"/>
        <v>1</v>
      </c>
      <c r="BW12" s="109">
        <f t="shared" si="21"/>
        <v>0</v>
      </c>
      <c r="BX12" s="111">
        <f t="shared" si="22"/>
        <v>0</v>
      </c>
      <c r="BY12" s="129">
        <f t="shared" si="23"/>
        <v>-125</v>
      </c>
      <c r="BZ12" s="111">
        <f t="shared" si="24"/>
        <v>0</v>
      </c>
      <c r="CA12" s="138">
        <f t="shared" si="25"/>
        <v>125</v>
      </c>
      <c r="CB12" s="111" t="e">
        <f t="shared" si="7"/>
        <v>#VALUE!</v>
      </c>
      <c r="CC12" s="129">
        <f t="shared" si="26"/>
        <v>125</v>
      </c>
      <c r="CD12" s="129">
        <f t="shared" si="27"/>
        <v>0</v>
      </c>
      <c r="CE12" s="129">
        <f t="shared" si="28"/>
        <v>0</v>
      </c>
      <c r="CF12" s="129">
        <f t="shared" si="29"/>
        <v>124</v>
      </c>
      <c r="CG12" s="129" t="str">
        <f t="shared" si="30"/>
        <v>Y</v>
      </c>
      <c r="CI12" s="129" t="str">
        <f t="shared" si="31"/>
        <v>121-365 DAYS</v>
      </c>
      <c r="CJ12" s="137">
        <f t="shared" si="32"/>
        <v>6</v>
      </c>
      <c r="CK12" s="129" t="str">
        <f t="shared" si="33"/>
        <v>Booked</v>
      </c>
    </row>
    <row r="13" spans="1:89" ht="15.75" customHeight="1" x14ac:dyDescent="0.25">
      <c r="A13" s="111">
        <v>157</v>
      </c>
      <c r="B13" s="128" t="str">
        <f t="shared" si="8"/>
        <v>N</v>
      </c>
      <c r="C13" s="128" t="str">
        <f t="shared" si="9"/>
        <v>N</v>
      </c>
      <c r="D13" s="117">
        <v>98465</v>
      </c>
      <c r="E13" s="135">
        <f t="shared" si="10"/>
        <v>1</v>
      </c>
      <c r="F13" s="124">
        <v>40915</v>
      </c>
      <c r="G13" s="125">
        <v>40960</v>
      </c>
      <c r="H13" s="117">
        <v>98465</v>
      </c>
      <c r="I13" s="124">
        <v>40915</v>
      </c>
      <c r="J13" s="124">
        <v>40960</v>
      </c>
      <c r="K13" s="126">
        <v>15000</v>
      </c>
      <c r="L13" s="127" t="s">
        <v>571</v>
      </c>
      <c r="N13" s="129" t="str">
        <f t="shared" si="34"/>
        <v>N</v>
      </c>
      <c r="O13" s="128" t="s">
        <v>917</v>
      </c>
      <c r="P13" s="129" t="s">
        <v>123</v>
      </c>
      <c r="Q13" s="111">
        <f t="shared" si="0"/>
        <v>46</v>
      </c>
      <c r="R13" s="111">
        <f t="shared" si="1"/>
        <v>46</v>
      </c>
      <c r="S13" s="129">
        <v>3</v>
      </c>
      <c r="T13" s="129">
        <v>6</v>
      </c>
      <c r="U13" s="129">
        <v>1</v>
      </c>
      <c r="W13" s="111"/>
      <c r="AC13" s="130"/>
      <c r="AD13" s="130">
        <v>20513</v>
      </c>
      <c r="AE13" s="128" t="s">
        <v>32</v>
      </c>
      <c r="AF13" s="128" t="s">
        <v>33</v>
      </c>
      <c r="AG13" s="128" t="s">
        <v>872</v>
      </c>
      <c r="AH13" s="108" t="s">
        <v>58</v>
      </c>
      <c r="AI13" s="128" t="s">
        <v>42</v>
      </c>
      <c r="AJ13" s="129" t="s">
        <v>123</v>
      </c>
      <c r="AK13" s="129">
        <v>5</v>
      </c>
      <c r="AL13" s="3" t="s">
        <v>123</v>
      </c>
      <c r="AP13" s="129" t="s">
        <v>43</v>
      </c>
      <c r="AR13" s="128" t="s">
        <v>44</v>
      </c>
      <c r="AS13" s="129" t="s">
        <v>45</v>
      </c>
      <c r="BC13" s="129" t="s">
        <v>38</v>
      </c>
      <c r="BF13" s="111">
        <f t="shared" si="11"/>
        <v>46</v>
      </c>
      <c r="BG13" s="111">
        <f t="shared" si="2"/>
        <v>46</v>
      </c>
      <c r="BH13" s="111">
        <f t="shared" si="3"/>
        <v>46</v>
      </c>
      <c r="BI13" s="111">
        <f t="shared" si="4"/>
        <v>55.743169398907106</v>
      </c>
      <c r="BJ13" s="129">
        <f t="shared" si="12"/>
        <v>0</v>
      </c>
      <c r="BK13" s="129">
        <f t="shared" si="5"/>
        <v>0</v>
      </c>
      <c r="BL13" s="129" t="str">
        <f t="shared" si="6"/>
        <v>NO CONVICTION</v>
      </c>
      <c r="BM13" s="129" t="str">
        <f t="shared" si="13"/>
        <v>NONE</v>
      </c>
      <c r="BN13" s="129" t="s">
        <v>566</v>
      </c>
      <c r="BP13" s="137" t="str">
        <f t="shared" si="14"/>
        <v>NO CONVICTION</v>
      </c>
      <c r="BQ13" s="128" t="str">
        <f t="shared" si="15"/>
        <v>Y</v>
      </c>
      <c r="BR13" s="129" t="str">
        <f t="shared" si="16"/>
        <v>DETAINED</v>
      </c>
      <c r="BS13" s="129" t="str">
        <f t="shared" si="17"/>
        <v>DISPOSED</v>
      </c>
      <c r="BT13" s="129" t="str">
        <f t="shared" si="18"/>
        <v>Y</v>
      </c>
      <c r="BU13" s="109">
        <f>IFERROR(Q13/R13,BR13)</f>
        <v>1</v>
      </c>
      <c r="BV13" s="109">
        <f t="shared" si="20"/>
        <v>1</v>
      </c>
      <c r="BW13" s="109">
        <f t="shared" si="21"/>
        <v>0</v>
      </c>
      <c r="BX13" s="111">
        <f t="shared" si="22"/>
        <v>0</v>
      </c>
      <c r="BY13" s="129">
        <f t="shared" si="23"/>
        <v>-46</v>
      </c>
      <c r="BZ13" s="111">
        <f t="shared" si="24"/>
        <v>0</v>
      </c>
      <c r="CA13" s="138">
        <f t="shared" si="25"/>
        <v>46</v>
      </c>
      <c r="CB13" s="111" t="e">
        <f t="shared" si="7"/>
        <v>#VALUE!</v>
      </c>
      <c r="CC13" s="129">
        <f t="shared" si="26"/>
        <v>46</v>
      </c>
      <c r="CD13" s="129">
        <f t="shared" si="27"/>
        <v>0</v>
      </c>
      <c r="CE13" s="129">
        <f t="shared" si="28"/>
        <v>0</v>
      </c>
      <c r="CF13" s="129">
        <f t="shared" si="29"/>
        <v>45</v>
      </c>
      <c r="CG13" s="129" t="str">
        <f t="shared" si="30"/>
        <v>Y</v>
      </c>
      <c r="CI13" s="129" t="str">
        <f t="shared" si="31"/>
        <v>31-60 DAYS</v>
      </c>
      <c r="CJ13" s="137">
        <f t="shared" si="32"/>
        <v>3</v>
      </c>
      <c r="CK13" s="129" t="str">
        <f t="shared" si="33"/>
        <v>Booked</v>
      </c>
    </row>
    <row r="14" spans="1:89" ht="15" customHeight="1" x14ac:dyDescent="0.25">
      <c r="A14" s="111">
        <v>2336</v>
      </c>
      <c r="B14" s="128" t="str">
        <f t="shared" si="8"/>
        <v>N</v>
      </c>
      <c r="C14" s="128" t="str">
        <f t="shared" si="9"/>
        <v>N</v>
      </c>
      <c r="D14" s="117">
        <v>98564</v>
      </c>
      <c r="E14" s="135">
        <f t="shared" si="10"/>
        <v>1</v>
      </c>
      <c r="F14" s="124">
        <v>40997</v>
      </c>
      <c r="G14" s="125">
        <v>41472</v>
      </c>
      <c r="H14" s="117">
        <v>98564</v>
      </c>
      <c r="I14" s="124">
        <v>40997</v>
      </c>
      <c r="J14" s="124">
        <v>41034</v>
      </c>
      <c r="K14" s="126">
        <v>100000</v>
      </c>
      <c r="L14" s="129" t="s">
        <v>572</v>
      </c>
      <c r="M14" s="125">
        <v>41034</v>
      </c>
      <c r="N14" s="129" t="str">
        <f t="shared" si="34"/>
        <v>Y</v>
      </c>
      <c r="O14" s="128" t="s">
        <v>76</v>
      </c>
      <c r="P14" s="129" t="s">
        <v>55</v>
      </c>
      <c r="Q14" s="111">
        <f t="shared" si="0"/>
        <v>38</v>
      </c>
      <c r="R14" s="111">
        <f t="shared" si="1"/>
        <v>476</v>
      </c>
      <c r="S14" s="129">
        <v>8</v>
      </c>
      <c r="T14" s="129">
        <v>2</v>
      </c>
      <c r="U14" s="129">
        <v>5</v>
      </c>
      <c r="V14" s="117">
        <v>1</v>
      </c>
      <c r="W14" s="111"/>
      <c r="AC14" s="130"/>
      <c r="AD14" s="130">
        <v>18122</v>
      </c>
      <c r="AE14" s="128" t="s">
        <v>32</v>
      </c>
      <c r="AF14" s="128" t="s">
        <v>69</v>
      </c>
      <c r="AG14" s="128" t="s">
        <v>874</v>
      </c>
      <c r="AH14" s="108" t="s">
        <v>58</v>
      </c>
      <c r="AI14" s="128" t="s">
        <v>141</v>
      </c>
      <c r="AJ14" s="129" t="s">
        <v>55</v>
      </c>
      <c r="AK14" s="129">
        <v>14</v>
      </c>
      <c r="AL14" s="3" t="s">
        <v>55</v>
      </c>
      <c r="AP14" s="129" t="s">
        <v>49</v>
      </c>
      <c r="AR14" s="128" t="s">
        <v>50</v>
      </c>
      <c r="AS14" s="129" t="s">
        <v>45</v>
      </c>
      <c r="AT14" s="129" t="s">
        <v>1163</v>
      </c>
      <c r="BC14" s="129" t="s">
        <v>52</v>
      </c>
      <c r="BF14" s="111">
        <f t="shared" si="11"/>
        <v>38</v>
      </c>
      <c r="BG14" s="111">
        <f t="shared" si="2"/>
        <v>476</v>
      </c>
      <c r="BH14" s="111">
        <f t="shared" si="3"/>
        <v>476</v>
      </c>
      <c r="BI14" s="111">
        <f t="shared" si="4"/>
        <v>62.5</v>
      </c>
      <c r="BJ14" s="129">
        <f>(G14-J14)+(M14-G14)</f>
        <v>0</v>
      </c>
      <c r="BK14" s="129">
        <f t="shared" si="5"/>
        <v>-438</v>
      </c>
      <c r="BL14" s="129" t="str">
        <f t="shared" si="6"/>
        <v>NO CONVICTION</v>
      </c>
      <c r="BM14" s="129" t="s">
        <v>76</v>
      </c>
      <c r="BN14" s="129" t="s">
        <v>88</v>
      </c>
      <c r="BP14" s="137" t="str">
        <f t="shared" si="14"/>
        <v>NO CONVICTION</v>
      </c>
      <c r="BQ14" s="128" t="str">
        <f t="shared" si="15"/>
        <v>Y</v>
      </c>
      <c r="BR14" s="129" t="str">
        <f t="shared" si="16"/>
        <v>ON BOND</v>
      </c>
      <c r="BS14" s="129" t="str">
        <f t="shared" si="17"/>
        <v>DISPOSED</v>
      </c>
      <c r="BT14" s="129" t="str">
        <f t="shared" si="18"/>
        <v>Y</v>
      </c>
      <c r="BU14" s="109">
        <f>IFERROR(Q14/R14,BR14)</f>
        <v>7.9831932773109238E-2</v>
      </c>
      <c r="BV14" s="109">
        <f t="shared" si="20"/>
        <v>7.9831932773109238E-2</v>
      </c>
      <c r="BW14" s="109">
        <f t="shared" si="21"/>
        <v>0</v>
      </c>
      <c r="BX14" s="111">
        <f t="shared" si="22"/>
        <v>0</v>
      </c>
      <c r="BY14" s="129">
        <f t="shared" si="23"/>
        <v>-38</v>
      </c>
      <c r="BZ14" s="111">
        <f t="shared" si="24"/>
        <v>0</v>
      </c>
      <c r="CA14" s="138">
        <f t="shared" si="25"/>
        <v>38</v>
      </c>
      <c r="CB14" s="111" t="e">
        <f t="shared" si="7"/>
        <v>#VALUE!</v>
      </c>
      <c r="CC14" s="129">
        <f>M14-I14+1</f>
        <v>38</v>
      </c>
      <c r="CD14" s="111">
        <f>CC14-BF14</f>
        <v>0</v>
      </c>
      <c r="CE14" s="129">
        <f t="shared" si="28"/>
        <v>438</v>
      </c>
      <c r="CF14" s="129">
        <f t="shared" si="29"/>
        <v>37</v>
      </c>
      <c r="CG14" s="129" t="str">
        <f t="shared" si="30"/>
        <v>Y</v>
      </c>
      <c r="CI14" s="129" t="str">
        <f t="shared" si="31"/>
        <v>31-60 DAYS</v>
      </c>
      <c r="CJ14" s="137">
        <f t="shared" si="32"/>
        <v>3</v>
      </c>
      <c r="CK14" s="129" t="str">
        <f t="shared" si="33"/>
        <v>Booked</v>
      </c>
    </row>
    <row r="15" spans="1:89" ht="15" customHeight="1" x14ac:dyDescent="0.25">
      <c r="A15" s="111">
        <v>1172</v>
      </c>
      <c r="B15" s="128" t="str">
        <f t="shared" si="8"/>
        <v>N</v>
      </c>
      <c r="C15" s="128" t="str">
        <f t="shared" si="9"/>
        <v>N</v>
      </c>
      <c r="D15" s="117">
        <v>111744</v>
      </c>
      <c r="E15" s="135">
        <f t="shared" si="10"/>
        <v>6</v>
      </c>
      <c r="F15" s="124">
        <v>40951</v>
      </c>
      <c r="G15" s="125">
        <v>41096</v>
      </c>
      <c r="H15" s="117">
        <v>111744</v>
      </c>
      <c r="I15" s="124">
        <v>40952</v>
      </c>
      <c r="J15" s="124">
        <v>40952</v>
      </c>
      <c r="K15" s="126">
        <v>30000</v>
      </c>
      <c r="L15" s="129" t="s">
        <v>572</v>
      </c>
      <c r="M15" s="125">
        <v>40952</v>
      </c>
      <c r="N15" s="129" t="str">
        <f t="shared" si="34"/>
        <v>Y</v>
      </c>
      <c r="O15" s="128" t="s">
        <v>76</v>
      </c>
      <c r="P15" s="129" t="s">
        <v>39</v>
      </c>
      <c r="Q15" s="111">
        <f t="shared" si="0"/>
        <v>1</v>
      </c>
      <c r="R15" s="111">
        <f t="shared" si="1"/>
        <v>146</v>
      </c>
      <c r="S15" s="129">
        <v>6</v>
      </c>
      <c r="T15" s="129">
        <v>13</v>
      </c>
      <c r="U15" s="129">
        <v>3</v>
      </c>
      <c r="W15" s="111"/>
      <c r="AC15" s="130"/>
      <c r="AD15" s="130">
        <v>21015</v>
      </c>
      <c r="AE15" s="128" t="s">
        <v>32</v>
      </c>
      <c r="AF15" s="128" t="s">
        <v>69</v>
      </c>
      <c r="AG15" s="128" t="s">
        <v>874</v>
      </c>
      <c r="AH15" s="108" t="s">
        <v>58</v>
      </c>
      <c r="AI15" s="128" t="s">
        <v>59</v>
      </c>
      <c r="AJ15" s="129" t="s">
        <v>89</v>
      </c>
      <c r="AK15" s="129">
        <v>7</v>
      </c>
      <c r="AL15" s="3" t="s">
        <v>362</v>
      </c>
      <c r="AM15" s="117">
        <v>10</v>
      </c>
      <c r="AP15" s="129" t="s">
        <v>66</v>
      </c>
      <c r="AR15" s="128" t="s">
        <v>67</v>
      </c>
      <c r="AS15" s="129" t="s">
        <v>68</v>
      </c>
      <c r="BC15" s="129" t="s">
        <v>52</v>
      </c>
      <c r="BF15" s="111">
        <f t="shared" si="11"/>
        <v>1</v>
      </c>
      <c r="BG15" s="111">
        <f t="shared" si="2"/>
        <v>145</v>
      </c>
      <c r="BH15" s="111">
        <f t="shared" si="3"/>
        <v>146</v>
      </c>
      <c r="BI15" s="111">
        <f t="shared" si="4"/>
        <v>54.469945355191257</v>
      </c>
      <c r="BJ15" s="129">
        <f>(G15-J15)+(M15-G15)</f>
        <v>0</v>
      </c>
      <c r="BK15" s="129">
        <f t="shared" si="5"/>
        <v>-144</v>
      </c>
      <c r="BL15" s="129" t="str">
        <f t="shared" si="6"/>
        <v>CONVICTION</v>
      </c>
      <c r="BM15" s="129" t="s">
        <v>76</v>
      </c>
      <c r="BN15" s="129" t="s">
        <v>88</v>
      </c>
      <c r="BP15" s="137" t="str">
        <f t="shared" si="14"/>
        <v>CONVICTION</v>
      </c>
      <c r="BQ15" s="128" t="str">
        <f t="shared" si="15"/>
        <v>Y</v>
      </c>
      <c r="BR15" s="129" t="str">
        <f>IF(J15&lt;G15,"ON BOND",0)</f>
        <v>ON BOND</v>
      </c>
      <c r="BS15" s="129" t="str">
        <f t="shared" si="17"/>
        <v>DISPOSED</v>
      </c>
      <c r="BT15" s="129" t="str">
        <f t="shared" si="18"/>
        <v>Y</v>
      </c>
      <c r="BU15" s="109">
        <f t="shared" si="19"/>
        <v>6.8493150684931503E-3</v>
      </c>
      <c r="BV15" s="109">
        <f t="shared" si="20"/>
        <v>6.8965517241379309E-3</v>
      </c>
      <c r="BW15" s="109">
        <f t="shared" si="21"/>
        <v>4.7236655644780634E-5</v>
      </c>
      <c r="BX15" s="111">
        <f t="shared" si="22"/>
        <v>0</v>
      </c>
      <c r="BY15" s="129">
        <f t="shared" si="23"/>
        <v>-1</v>
      </c>
      <c r="BZ15" s="111">
        <f t="shared" si="24"/>
        <v>0</v>
      </c>
      <c r="CA15" s="138">
        <f t="shared" si="25"/>
        <v>1</v>
      </c>
      <c r="CB15" s="111" t="e">
        <f t="shared" si="7"/>
        <v>#VALUE!</v>
      </c>
      <c r="CC15" s="129">
        <f>M15-I15+1</f>
        <v>1</v>
      </c>
      <c r="CD15" s="111">
        <f>CC15-BF15</f>
        <v>0</v>
      </c>
      <c r="CE15" s="129">
        <f t="shared" si="28"/>
        <v>144</v>
      </c>
      <c r="CF15" s="129">
        <f t="shared" si="29"/>
        <v>0</v>
      </c>
      <c r="CG15" s="129" t="str">
        <f t="shared" si="30"/>
        <v>Y</v>
      </c>
      <c r="CI15" s="129" t="str">
        <f t="shared" si="31"/>
        <v>0-10 DAYS</v>
      </c>
      <c r="CJ15" s="137">
        <f t="shared" si="32"/>
        <v>1</v>
      </c>
      <c r="CK15" s="129" t="str">
        <f t="shared" si="33"/>
        <v>Booked</v>
      </c>
    </row>
    <row r="16" spans="1:89" ht="15" customHeight="1" x14ac:dyDescent="0.25">
      <c r="A16" s="111">
        <v>1765</v>
      </c>
      <c r="B16" s="128" t="str">
        <f t="shared" si="8"/>
        <v>N</v>
      </c>
      <c r="C16" s="128" t="str">
        <f t="shared" si="9"/>
        <v>N</v>
      </c>
      <c r="D16" s="117">
        <v>115623</v>
      </c>
      <c r="E16" s="135">
        <f t="shared" si="10"/>
        <v>5</v>
      </c>
      <c r="F16" s="124">
        <v>40974</v>
      </c>
      <c r="G16" s="125">
        <v>40976</v>
      </c>
      <c r="H16" s="117">
        <v>115623</v>
      </c>
      <c r="I16" s="124">
        <v>40974</v>
      </c>
      <c r="J16" s="124">
        <v>40976</v>
      </c>
      <c r="K16" s="126">
        <v>30000</v>
      </c>
      <c r="L16" s="129" t="s">
        <v>572</v>
      </c>
      <c r="N16" s="129" t="str">
        <f t="shared" si="34"/>
        <v>N</v>
      </c>
      <c r="O16" s="128" t="s">
        <v>917</v>
      </c>
      <c r="P16" s="129" t="s">
        <v>39</v>
      </c>
      <c r="Q16" s="111">
        <f t="shared" si="0"/>
        <v>3</v>
      </c>
      <c r="R16" s="111">
        <f t="shared" si="1"/>
        <v>3</v>
      </c>
      <c r="S16" s="129">
        <v>13</v>
      </c>
      <c r="T16" s="129">
        <v>10</v>
      </c>
      <c r="U16" s="129">
        <v>9</v>
      </c>
      <c r="W16" s="111"/>
      <c r="AC16" s="130"/>
      <c r="AD16" s="130">
        <v>20104</v>
      </c>
      <c r="AE16" s="128" t="s">
        <v>32</v>
      </c>
      <c r="AF16" s="128" t="s">
        <v>69</v>
      </c>
      <c r="AG16" s="128" t="s">
        <v>874</v>
      </c>
      <c r="AH16" s="108" t="s">
        <v>58</v>
      </c>
      <c r="AI16" s="128" t="s">
        <v>42</v>
      </c>
      <c r="AJ16" s="129" t="s">
        <v>89</v>
      </c>
      <c r="AK16" s="129">
        <v>1</v>
      </c>
      <c r="AL16" s="3" t="s">
        <v>992</v>
      </c>
      <c r="AN16" s="117">
        <v>11</v>
      </c>
      <c r="AP16" s="129" t="s">
        <v>43</v>
      </c>
      <c r="AR16" s="128" t="s">
        <v>44</v>
      </c>
      <c r="AS16" s="129" t="s">
        <v>45</v>
      </c>
      <c r="BC16" s="129" t="s">
        <v>38</v>
      </c>
      <c r="BF16" s="111">
        <f t="shared" si="11"/>
        <v>3</v>
      </c>
      <c r="BG16" s="111">
        <f t="shared" si="2"/>
        <v>3</v>
      </c>
      <c r="BH16" s="111">
        <f t="shared" si="3"/>
        <v>3</v>
      </c>
      <c r="BI16" s="111">
        <f t="shared" si="4"/>
        <v>57.021857923497265</v>
      </c>
      <c r="BJ16" s="129">
        <f t="shared" si="12"/>
        <v>0</v>
      </c>
      <c r="BK16" s="129">
        <f t="shared" si="5"/>
        <v>0</v>
      </c>
      <c r="BL16" s="129" t="str">
        <f t="shared" si="6"/>
        <v>CONVICTION</v>
      </c>
      <c r="BM16" s="129" t="str">
        <f t="shared" si="13"/>
        <v>NONE</v>
      </c>
      <c r="BN16" s="129" t="s">
        <v>566</v>
      </c>
      <c r="BP16" s="137" t="str">
        <f t="shared" si="14"/>
        <v>CONVICTION</v>
      </c>
      <c r="BQ16" s="128" t="str">
        <f t="shared" si="15"/>
        <v>Y</v>
      </c>
      <c r="BR16" s="129" t="str">
        <f t="shared" si="16"/>
        <v>DETAINED</v>
      </c>
      <c r="BS16" s="129" t="str">
        <f t="shared" si="17"/>
        <v>DISPOSED</v>
      </c>
      <c r="BT16" s="129" t="str">
        <f t="shared" si="18"/>
        <v>Y</v>
      </c>
      <c r="BU16" s="109">
        <f t="shared" si="19"/>
        <v>1</v>
      </c>
      <c r="BV16" s="109">
        <f t="shared" si="20"/>
        <v>1</v>
      </c>
      <c r="BW16" s="109">
        <f t="shared" si="21"/>
        <v>0</v>
      </c>
      <c r="BX16" s="111">
        <f t="shared" si="22"/>
        <v>0</v>
      </c>
      <c r="BY16" s="129">
        <f t="shared" si="23"/>
        <v>-3</v>
      </c>
      <c r="BZ16" s="111">
        <f t="shared" si="24"/>
        <v>0</v>
      </c>
      <c r="CA16" s="138">
        <f t="shared" si="25"/>
        <v>3</v>
      </c>
      <c r="CB16" s="111" t="e">
        <f t="shared" si="7"/>
        <v>#VALUE!</v>
      </c>
      <c r="CC16" s="129">
        <f t="shared" ref="CC16:CC25" si="35">G16-I16+1</f>
        <v>3</v>
      </c>
      <c r="CD16" s="129">
        <f t="shared" ref="CD16:CD25" si="36">G16-J16</f>
        <v>0</v>
      </c>
      <c r="CE16" s="129">
        <f t="shared" si="28"/>
        <v>0</v>
      </c>
      <c r="CF16" s="129">
        <f t="shared" si="29"/>
        <v>2</v>
      </c>
      <c r="CG16" s="129" t="str">
        <f t="shared" si="30"/>
        <v>Y</v>
      </c>
      <c r="CI16" s="129" t="str">
        <f t="shared" si="31"/>
        <v>0-10 DAYS</v>
      </c>
      <c r="CJ16" s="137">
        <f t="shared" si="32"/>
        <v>1</v>
      </c>
      <c r="CK16" s="129" t="str">
        <f t="shared" si="33"/>
        <v>Booked</v>
      </c>
    </row>
    <row r="17" spans="1:89" ht="15" customHeight="1" x14ac:dyDescent="0.25">
      <c r="A17" s="111">
        <v>1814</v>
      </c>
      <c r="B17" s="128" t="str">
        <f t="shared" si="8"/>
        <v>N</v>
      </c>
      <c r="C17" s="128" t="str">
        <f t="shared" si="9"/>
        <v>N</v>
      </c>
      <c r="D17" s="117">
        <v>116260</v>
      </c>
      <c r="E17" s="135">
        <f t="shared" si="10"/>
        <v>2</v>
      </c>
      <c r="F17" s="124">
        <v>40976</v>
      </c>
      <c r="G17" s="125">
        <v>40980</v>
      </c>
      <c r="H17" s="117">
        <v>116260</v>
      </c>
      <c r="I17" s="124">
        <v>40976</v>
      </c>
      <c r="J17" s="124">
        <v>40980</v>
      </c>
      <c r="K17" s="126">
        <v>10000</v>
      </c>
      <c r="L17" s="127" t="s">
        <v>570</v>
      </c>
      <c r="N17" s="129" t="str">
        <f t="shared" si="34"/>
        <v>N</v>
      </c>
      <c r="O17" s="128" t="s">
        <v>917</v>
      </c>
      <c r="P17" s="129" t="s">
        <v>589</v>
      </c>
      <c r="Q17" s="111">
        <f t="shared" si="0"/>
        <v>5</v>
      </c>
      <c r="R17" s="111">
        <f t="shared" si="1"/>
        <v>5</v>
      </c>
      <c r="S17" s="129">
        <v>2</v>
      </c>
      <c r="T17" s="129">
        <v>0</v>
      </c>
      <c r="U17" s="129">
        <v>1</v>
      </c>
      <c r="V17" s="117">
        <v>1</v>
      </c>
      <c r="W17" s="111"/>
      <c r="AC17" s="130"/>
      <c r="AD17" s="130">
        <v>21584</v>
      </c>
      <c r="AE17" s="128" t="s">
        <v>32</v>
      </c>
      <c r="AF17" s="128" t="s">
        <v>69</v>
      </c>
      <c r="AG17" s="128" t="s">
        <v>874</v>
      </c>
      <c r="AH17" s="108" t="s">
        <v>58</v>
      </c>
      <c r="AI17" s="128" t="s">
        <v>85</v>
      </c>
      <c r="AJ17" s="129" t="s">
        <v>48</v>
      </c>
      <c r="AK17" s="129">
        <v>1</v>
      </c>
      <c r="AL17" s="3" t="s">
        <v>48</v>
      </c>
      <c r="AP17" s="129" t="s">
        <v>43</v>
      </c>
      <c r="AR17" s="128" t="s">
        <v>44</v>
      </c>
      <c r="AS17" s="129" t="s">
        <v>45</v>
      </c>
      <c r="BC17" s="129" t="s">
        <v>38</v>
      </c>
      <c r="BF17" s="111">
        <f t="shared" si="11"/>
        <v>5</v>
      </c>
      <c r="BG17" s="111">
        <f t="shared" si="2"/>
        <v>5</v>
      </c>
      <c r="BH17" s="111">
        <f t="shared" si="3"/>
        <v>5</v>
      </c>
      <c r="BI17" s="111">
        <f t="shared" si="4"/>
        <v>52.983606557377051</v>
      </c>
      <c r="BJ17" s="129">
        <f t="shared" si="12"/>
        <v>0</v>
      </c>
      <c r="BK17" s="129">
        <f t="shared" si="5"/>
        <v>0</v>
      </c>
      <c r="BL17" s="129" t="str">
        <f t="shared" si="6"/>
        <v>DEFERRED</v>
      </c>
      <c r="BM17" s="129" t="str">
        <f t="shared" si="13"/>
        <v>NONE</v>
      </c>
      <c r="BN17" s="129" t="s">
        <v>566</v>
      </c>
      <c r="BP17" s="137" t="str">
        <f t="shared" si="14"/>
        <v>DEFERRED</v>
      </c>
      <c r="BQ17" s="128" t="str">
        <f t="shared" si="15"/>
        <v>Y</v>
      </c>
      <c r="BR17" s="129" t="str">
        <f t="shared" si="16"/>
        <v>DETAINED</v>
      </c>
      <c r="BS17" s="129" t="str">
        <f t="shared" si="17"/>
        <v>DISPOSED</v>
      </c>
      <c r="BT17" s="129" t="str">
        <f t="shared" si="18"/>
        <v>Y</v>
      </c>
      <c r="BU17" s="109">
        <f t="shared" si="19"/>
        <v>1</v>
      </c>
      <c r="BV17" s="109">
        <f t="shared" si="20"/>
        <v>1</v>
      </c>
      <c r="BW17" s="109">
        <f t="shared" si="21"/>
        <v>0</v>
      </c>
      <c r="BX17" s="111">
        <f t="shared" si="22"/>
        <v>0</v>
      </c>
      <c r="BY17" s="129">
        <f t="shared" si="23"/>
        <v>-5</v>
      </c>
      <c r="BZ17" s="111">
        <f t="shared" si="24"/>
        <v>0</v>
      </c>
      <c r="CA17" s="138">
        <f t="shared" si="25"/>
        <v>5</v>
      </c>
      <c r="CB17" s="111" t="e">
        <f t="shared" si="7"/>
        <v>#VALUE!</v>
      </c>
      <c r="CC17" s="129">
        <f t="shared" si="35"/>
        <v>5</v>
      </c>
      <c r="CD17" s="129">
        <f t="shared" si="36"/>
        <v>0</v>
      </c>
      <c r="CE17" s="129">
        <f t="shared" si="28"/>
        <v>0</v>
      </c>
      <c r="CF17" s="129">
        <f t="shared" si="29"/>
        <v>4</v>
      </c>
      <c r="CG17" s="129" t="str">
        <f t="shared" si="30"/>
        <v>Y</v>
      </c>
      <c r="CI17" s="129" t="str">
        <f t="shared" si="31"/>
        <v>0-10 DAYS</v>
      </c>
      <c r="CJ17" s="137">
        <f t="shared" si="32"/>
        <v>1</v>
      </c>
      <c r="CK17" s="129" t="str">
        <f t="shared" si="33"/>
        <v>Booked</v>
      </c>
    </row>
    <row r="18" spans="1:89" ht="15" customHeight="1" x14ac:dyDescent="0.25">
      <c r="A18" s="111">
        <v>1583</v>
      </c>
      <c r="B18" s="128" t="str">
        <f t="shared" si="8"/>
        <v>N</v>
      </c>
      <c r="C18" s="128" t="str">
        <f t="shared" si="9"/>
        <v>N</v>
      </c>
      <c r="D18" s="117">
        <v>116473</v>
      </c>
      <c r="E18" s="135">
        <f t="shared" si="10"/>
        <v>4</v>
      </c>
      <c r="F18" s="124">
        <v>40967</v>
      </c>
      <c r="G18" s="125">
        <v>41206</v>
      </c>
      <c r="H18" s="117">
        <v>116473</v>
      </c>
      <c r="I18" s="124">
        <v>41085</v>
      </c>
      <c r="J18" s="125">
        <v>41206</v>
      </c>
      <c r="K18" s="126" t="s">
        <v>564</v>
      </c>
      <c r="L18" s="127" t="s">
        <v>564</v>
      </c>
      <c r="N18" s="129" t="s">
        <v>566</v>
      </c>
      <c r="O18" s="128" t="s">
        <v>917</v>
      </c>
      <c r="P18" s="129" t="s">
        <v>39</v>
      </c>
      <c r="Q18" s="111">
        <f t="shared" si="0"/>
        <v>122</v>
      </c>
      <c r="R18" s="111">
        <f t="shared" si="1"/>
        <v>240</v>
      </c>
      <c r="S18" s="129">
        <v>0</v>
      </c>
      <c r="T18" s="129">
        <v>1</v>
      </c>
      <c r="W18" s="111"/>
      <c r="AC18" s="130"/>
      <c r="AD18" s="130">
        <v>18756</v>
      </c>
      <c r="AE18" s="128" t="s">
        <v>32</v>
      </c>
      <c r="AF18" s="128" t="s">
        <v>69</v>
      </c>
      <c r="AG18" s="128" t="s">
        <v>874</v>
      </c>
      <c r="AH18" s="108" t="s">
        <v>31</v>
      </c>
      <c r="AI18" s="128" t="s">
        <v>65</v>
      </c>
      <c r="AJ18" s="129" t="s">
        <v>89</v>
      </c>
      <c r="AK18" s="129">
        <v>7</v>
      </c>
      <c r="AL18" s="3" t="s">
        <v>991</v>
      </c>
      <c r="AO18" s="128">
        <v>240</v>
      </c>
      <c r="AP18" s="129" t="s">
        <v>150</v>
      </c>
      <c r="AR18" s="128" t="s">
        <v>67</v>
      </c>
      <c r="AS18" s="129" t="s">
        <v>74</v>
      </c>
      <c r="BC18" s="129" t="s">
        <v>38</v>
      </c>
      <c r="BF18" s="111">
        <f t="shared" si="11"/>
        <v>122</v>
      </c>
      <c r="BG18" s="111">
        <f t="shared" si="2"/>
        <v>122</v>
      </c>
      <c r="BH18" s="111">
        <f t="shared" si="3"/>
        <v>240</v>
      </c>
      <c r="BI18" s="111">
        <f t="shared" si="4"/>
        <v>60.685792349726775</v>
      </c>
      <c r="BJ18" s="129">
        <f t="shared" si="12"/>
        <v>0</v>
      </c>
      <c r="BK18" s="129">
        <f t="shared" si="5"/>
        <v>0</v>
      </c>
      <c r="BL18" s="129" t="str">
        <f t="shared" si="6"/>
        <v>CONVICTION</v>
      </c>
      <c r="BM18" s="129" t="str">
        <f t="shared" si="13"/>
        <v>NONE</v>
      </c>
      <c r="BN18" s="129" t="s">
        <v>566</v>
      </c>
      <c r="BP18" s="137" t="str">
        <f t="shared" si="14"/>
        <v>CONVICTION</v>
      </c>
      <c r="BQ18" s="128" t="str">
        <f t="shared" si="15"/>
        <v>Y</v>
      </c>
      <c r="BR18" s="129" t="str">
        <f t="shared" si="16"/>
        <v>DETAINED</v>
      </c>
      <c r="BS18" s="129" t="str">
        <f t="shared" si="17"/>
        <v>DISPOSED</v>
      </c>
      <c r="BT18" s="129" t="str">
        <f t="shared" si="18"/>
        <v>N</v>
      </c>
      <c r="BU18" s="109">
        <f t="shared" si="19"/>
        <v>0.5083333333333333</v>
      </c>
      <c r="BV18" s="109">
        <f t="shared" si="20"/>
        <v>1</v>
      </c>
      <c r="BW18" s="109">
        <f t="shared" si="21"/>
        <v>0.4916666666666667</v>
      </c>
      <c r="BX18" s="111">
        <f t="shared" si="22"/>
        <v>0</v>
      </c>
      <c r="BY18" s="129">
        <f t="shared" si="23"/>
        <v>-122</v>
      </c>
      <c r="BZ18" s="111">
        <f t="shared" si="24"/>
        <v>0</v>
      </c>
      <c r="CA18" s="138">
        <f t="shared" si="25"/>
        <v>122</v>
      </c>
      <c r="CB18" s="111" t="e">
        <f t="shared" si="7"/>
        <v>#VALUE!</v>
      </c>
      <c r="CC18" s="129">
        <f t="shared" si="35"/>
        <v>122</v>
      </c>
      <c r="CD18" s="129">
        <f t="shared" si="36"/>
        <v>0</v>
      </c>
      <c r="CE18" s="129">
        <f t="shared" si="28"/>
        <v>0</v>
      </c>
      <c r="CF18" s="129">
        <f t="shared" si="29"/>
        <v>121</v>
      </c>
      <c r="CG18" s="129" t="str">
        <f t="shared" si="30"/>
        <v>Y</v>
      </c>
      <c r="CI18" s="129" t="str">
        <f t="shared" si="31"/>
        <v>121-365 DAYS</v>
      </c>
      <c r="CJ18" s="137">
        <f t="shared" si="32"/>
        <v>6</v>
      </c>
      <c r="CK18" s="129" t="str">
        <f t="shared" si="33"/>
        <v>Booked</v>
      </c>
    </row>
    <row r="19" spans="1:89" ht="15.75" customHeight="1" x14ac:dyDescent="0.25">
      <c r="A19" s="111">
        <v>670</v>
      </c>
      <c r="B19" s="128" t="str">
        <f t="shared" si="8"/>
        <v>N</v>
      </c>
      <c r="C19" s="128" t="str">
        <f t="shared" si="9"/>
        <v>N</v>
      </c>
      <c r="D19" s="117">
        <v>121367</v>
      </c>
      <c r="E19" s="135">
        <f t="shared" si="10"/>
        <v>6</v>
      </c>
      <c r="F19" s="124">
        <v>40935</v>
      </c>
      <c r="G19" s="125">
        <v>40941</v>
      </c>
      <c r="H19" s="117">
        <v>121367</v>
      </c>
      <c r="I19" s="124">
        <v>40935</v>
      </c>
      <c r="J19" s="124">
        <v>40941</v>
      </c>
      <c r="K19" s="126" t="s">
        <v>564</v>
      </c>
      <c r="L19" s="127" t="s">
        <v>564</v>
      </c>
      <c r="N19" s="129" t="s">
        <v>566</v>
      </c>
      <c r="O19" s="128" t="s">
        <v>917</v>
      </c>
      <c r="P19" s="129" t="s">
        <v>39</v>
      </c>
      <c r="Q19" s="111">
        <f t="shared" si="0"/>
        <v>7</v>
      </c>
      <c r="R19" s="111">
        <f t="shared" si="1"/>
        <v>7</v>
      </c>
      <c r="S19" s="129">
        <v>5</v>
      </c>
      <c r="T19" s="129">
        <v>6</v>
      </c>
      <c r="U19" s="129">
        <v>5</v>
      </c>
      <c r="W19" s="111"/>
      <c r="AC19" s="130"/>
      <c r="AD19" s="130">
        <v>21016</v>
      </c>
      <c r="AE19" s="128" t="s">
        <v>32</v>
      </c>
      <c r="AF19" s="128" t="s">
        <v>69</v>
      </c>
      <c r="AG19" s="128" t="s">
        <v>874</v>
      </c>
      <c r="AH19" s="108" t="s">
        <v>58</v>
      </c>
      <c r="AI19" s="128" t="s">
        <v>62</v>
      </c>
      <c r="AJ19" s="129" t="s">
        <v>89</v>
      </c>
      <c r="AK19" s="129">
        <v>3</v>
      </c>
      <c r="AL19" s="3" t="s">
        <v>362</v>
      </c>
      <c r="AM19" s="117">
        <v>5</v>
      </c>
      <c r="AP19" s="129" t="s">
        <v>132</v>
      </c>
      <c r="AR19" s="128" t="s">
        <v>92</v>
      </c>
      <c r="AS19" s="129" t="s">
        <v>82</v>
      </c>
      <c r="BC19" s="129" t="s">
        <v>38</v>
      </c>
      <c r="BF19" s="111">
        <f t="shared" si="11"/>
        <v>7</v>
      </c>
      <c r="BG19" s="111">
        <f t="shared" si="2"/>
        <v>7</v>
      </c>
      <c r="BH19" s="111">
        <f t="shared" si="3"/>
        <v>7</v>
      </c>
      <c r="BI19" s="111">
        <f t="shared" si="4"/>
        <v>54.423497267759565</v>
      </c>
      <c r="BJ19" s="129">
        <f t="shared" si="12"/>
        <v>0</v>
      </c>
      <c r="BK19" s="129">
        <f t="shared" si="5"/>
        <v>0</v>
      </c>
      <c r="BL19" s="129" t="str">
        <f t="shared" si="6"/>
        <v>CONVICTION</v>
      </c>
      <c r="BM19" s="129" t="str">
        <f t="shared" si="13"/>
        <v>NONE</v>
      </c>
      <c r="BN19" s="129" t="s">
        <v>566</v>
      </c>
      <c r="BP19" s="137" t="str">
        <f t="shared" si="14"/>
        <v>CONVICTION</v>
      </c>
      <c r="BQ19" s="128" t="str">
        <f t="shared" si="15"/>
        <v>Y</v>
      </c>
      <c r="BR19" s="129" t="str">
        <f t="shared" si="16"/>
        <v>DETAINED</v>
      </c>
      <c r="BS19" s="129" t="str">
        <f t="shared" si="17"/>
        <v>DISPOSED</v>
      </c>
      <c r="BT19" s="129" t="str">
        <f t="shared" si="18"/>
        <v>Y</v>
      </c>
      <c r="BU19" s="109">
        <f t="shared" si="19"/>
        <v>1</v>
      </c>
      <c r="BV19" s="109">
        <f t="shared" si="20"/>
        <v>1</v>
      </c>
      <c r="BW19" s="109">
        <f t="shared" si="21"/>
        <v>0</v>
      </c>
      <c r="BX19" s="111">
        <f t="shared" si="22"/>
        <v>0</v>
      </c>
      <c r="BY19" s="129">
        <f t="shared" si="23"/>
        <v>-7</v>
      </c>
      <c r="BZ19" s="111">
        <f t="shared" si="24"/>
        <v>0</v>
      </c>
      <c r="CA19" s="138">
        <f t="shared" si="25"/>
        <v>7</v>
      </c>
      <c r="CB19" s="111" t="e">
        <f t="shared" si="7"/>
        <v>#VALUE!</v>
      </c>
      <c r="CC19" s="129">
        <f t="shared" si="35"/>
        <v>7</v>
      </c>
      <c r="CD19" s="129">
        <f t="shared" si="36"/>
        <v>0</v>
      </c>
      <c r="CE19" s="129">
        <f t="shared" si="28"/>
        <v>0</v>
      </c>
      <c r="CF19" s="129">
        <f t="shared" si="29"/>
        <v>6</v>
      </c>
      <c r="CG19" s="129" t="str">
        <f t="shared" si="30"/>
        <v>Y</v>
      </c>
      <c r="CI19" s="129" t="str">
        <f t="shared" si="31"/>
        <v>0-10 DAYS</v>
      </c>
      <c r="CJ19" s="137">
        <f t="shared" si="32"/>
        <v>1</v>
      </c>
      <c r="CK19" s="129" t="str">
        <f t="shared" si="33"/>
        <v>Booked</v>
      </c>
    </row>
    <row r="20" spans="1:89" ht="15.75" customHeight="1" x14ac:dyDescent="0.25">
      <c r="A20" s="111">
        <v>653</v>
      </c>
      <c r="B20" s="128" t="str">
        <f t="shared" si="8"/>
        <v>N</v>
      </c>
      <c r="C20" s="128" t="str">
        <f t="shared" si="9"/>
        <v>N</v>
      </c>
      <c r="D20" s="117">
        <v>124425</v>
      </c>
      <c r="E20" s="135">
        <f t="shared" si="10"/>
        <v>6</v>
      </c>
      <c r="F20" s="124">
        <v>40934</v>
      </c>
      <c r="G20" s="125">
        <v>40967</v>
      </c>
      <c r="H20" s="117">
        <v>124425</v>
      </c>
      <c r="I20" s="124">
        <v>40935</v>
      </c>
      <c r="J20" s="124">
        <v>40967</v>
      </c>
      <c r="K20" s="126">
        <v>30000</v>
      </c>
      <c r="L20" s="129" t="s">
        <v>572</v>
      </c>
      <c r="N20" s="129" t="str">
        <f>IF(M20&gt;1/1/1,"Y","N")</f>
        <v>N</v>
      </c>
      <c r="O20" s="128" t="s">
        <v>917</v>
      </c>
      <c r="P20" s="129" t="s">
        <v>39</v>
      </c>
      <c r="Q20" s="111">
        <f t="shared" si="0"/>
        <v>33</v>
      </c>
      <c r="R20" s="111">
        <f t="shared" si="1"/>
        <v>34</v>
      </c>
      <c r="S20" s="129">
        <v>13</v>
      </c>
      <c r="T20" s="129">
        <v>7</v>
      </c>
      <c r="U20" s="129">
        <v>9</v>
      </c>
      <c r="V20" s="117">
        <v>1</v>
      </c>
      <c r="W20" s="111"/>
      <c r="AC20" s="130"/>
      <c r="AD20" s="130">
        <v>21240</v>
      </c>
      <c r="AE20" s="128" t="s">
        <v>32</v>
      </c>
      <c r="AF20" s="128" t="s">
        <v>33</v>
      </c>
      <c r="AG20" s="128" t="s">
        <v>872</v>
      </c>
      <c r="AH20" s="108" t="s">
        <v>58</v>
      </c>
      <c r="AI20" s="128" t="s">
        <v>100</v>
      </c>
      <c r="AJ20" s="129" t="s">
        <v>89</v>
      </c>
      <c r="AK20" s="129">
        <v>2</v>
      </c>
      <c r="AL20" s="3" t="s">
        <v>362</v>
      </c>
      <c r="AM20" s="117">
        <v>2</v>
      </c>
      <c r="AP20" s="129" t="s">
        <v>211</v>
      </c>
      <c r="AR20" s="128" t="s">
        <v>44</v>
      </c>
      <c r="AS20" s="129" t="s">
        <v>82</v>
      </c>
      <c r="BC20" s="129" t="s">
        <v>38</v>
      </c>
      <c r="BF20" s="111">
        <f t="shared" si="11"/>
        <v>33</v>
      </c>
      <c r="BG20" s="111">
        <f t="shared" si="2"/>
        <v>33</v>
      </c>
      <c r="BH20" s="111">
        <f t="shared" si="3"/>
        <v>34</v>
      </c>
      <c r="BI20" s="111">
        <f t="shared" si="4"/>
        <v>53.808743169398909</v>
      </c>
      <c r="BJ20" s="129">
        <f t="shared" si="12"/>
        <v>0</v>
      </c>
      <c r="BK20" s="129">
        <f t="shared" si="5"/>
        <v>0</v>
      </c>
      <c r="BL20" s="129" t="str">
        <f t="shared" si="6"/>
        <v>CONVICTION</v>
      </c>
      <c r="BM20" s="129" t="str">
        <f t="shared" si="13"/>
        <v>NONE</v>
      </c>
      <c r="BN20" s="129" t="s">
        <v>566</v>
      </c>
      <c r="BP20" s="137" t="str">
        <f t="shared" si="14"/>
        <v>CONVICTION</v>
      </c>
      <c r="BQ20" s="128" t="str">
        <f t="shared" si="15"/>
        <v>Y</v>
      </c>
      <c r="BR20" s="129" t="str">
        <f t="shared" si="16"/>
        <v>DETAINED</v>
      </c>
      <c r="BS20" s="129" t="str">
        <f t="shared" si="17"/>
        <v>DISPOSED</v>
      </c>
      <c r="BT20" s="129" t="str">
        <f t="shared" si="18"/>
        <v>Y</v>
      </c>
      <c r="BU20" s="109">
        <f t="shared" si="19"/>
        <v>0.97058823529411764</v>
      </c>
      <c r="BV20" s="109">
        <f t="shared" si="20"/>
        <v>1</v>
      </c>
      <c r="BW20" s="109">
        <f t="shared" si="21"/>
        <v>2.9411764705882359E-2</v>
      </c>
      <c r="BX20" s="111">
        <f t="shared" si="22"/>
        <v>0</v>
      </c>
      <c r="BY20" s="129">
        <f t="shared" si="23"/>
        <v>-33</v>
      </c>
      <c r="BZ20" s="111">
        <f t="shared" si="24"/>
        <v>0</v>
      </c>
      <c r="CA20" s="138">
        <f t="shared" si="25"/>
        <v>33</v>
      </c>
      <c r="CB20" s="111" t="e">
        <f t="shared" si="7"/>
        <v>#VALUE!</v>
      </c>
      <c r="CC20" s="129">
        <f t="shared" si="35"/>
        <v>33</v>
      </c>
      <c r="CD20" s="129">
        <f t="shared" si="36"/>
        <v>0</v>
      </c>
      <c r="CE20" s="129">
        <f t="shared" si="28"/>
        <v>0</v>
      </c>
      <c r="CF20" s="129">
        <f t="shared" si="29"/>
        <v>32</v>
      </c>
      <c r="CG20" s="129" t="str">
        <f t="shared" si="30"/>
        <v>Y</v>
      </c>
      <c r="CI20" s="129" t="str">
        <f t="shared" si="31"/>
        <v>31-60 DAYS</v>
      </c>
      <c r="CJ20" s="137">
        <f t="shared" si="32"/>
        <v>3</v>
      </c>
      <c r="CK20" s="129" t="str">
        <f t="shared" si="33"/>
        <v>Booked</v>
      </c>
    </row>
    <row r="21" spans="1:89" ht="15.75" customHeight="1" x14ac:dyDescent="0.25">
      <c r="A21" s="111">
        <v>3257</v>
      </c>
      <c r="B21" s="128" t="str">
        <f t="shared" si="8"/>
        <v>N</v>
      </c>
      <c r="C21" s="128" t="str">
        <f t="shared" si="9"/>
        <v>N</v>
      </c>
      <c r="D21" s="117">
        <v>137641</v>
      </c>
      <c r="E21" s="135">
        <f t="shared" si="10"/>
        <v>4</v>
      </c>
      <c r="F21" s="124">
        <v>41029</v>
      </c>
      <c r="G21" s="125">
        <v>41053</v>
      </c>
      <c r="H21" s="117">
        <v>137641</v>
      </c>
      <c r="I21" s="124">
        <v>41029</v>
      </c>
      <c r="J21" s="124">
        <v>41053</v>
      </c>
      <c r="K21" s="126">
        <v>15000</v>
      </c>
      <c r="L21" s="127" t="s">
        <v>571</v>
      </c>
      <c r="N21" s="129" t="str">
        <f>IF(M21&gt;1/1/1,"Y","N")</f>
        <v>N</v>
      </c>
      <c r="O21" s="128" t="s">
        <v>917</v>
      </c>
      <c r="P21" s="129" t="s">
        <v>39</v>
      </c>
      <c r="Q21" s="111">
        <f t="shared" si="0"/>
        <v>25</v>
      </c>
      <c r="R21" s="111">
        <f t="shared" si="1"/>
        <v>25</v>
      </c>
      <c r="S21" s="129">
        <v>4</v>
      </c>
      <c r="T21" s="129">
        <v>4</v>
      </c>
      <c r="U21" s="129">
        <v>2</v>
      </c>
      <c r="W21" s="111"/>
      <c r="AC21" s="130"/>
      <c r="AD21" s="130">
        <v>21576</v>
      </c>
      <c r="AE21" s="128" t="s">
        <v>32</v>
      </c>
      <c r="AF21" s="128" t="s">
        <v>40</v>
      </c>
      <c r="AG21" s="128" t="s">
        <v>41</v>
      </c>
      <c r="AH21" s="108" t="s">
        <v>41</v>
      </c>
      <c r="AI21" s="128" t="s">
        <v>65</v>
      </c>
      <c r="AJ21" s="129" t="s">
        <v>89</v>
      </c>
      <c r="AK21" s="129">
        <v>2</v>
      </c>
      <c r="AL21" s="3" t="s">
        <v>991</v>
      </c>
      <c r="AO21" s="128">
        <v>60</v>
      </c>
      <c r="AP21" s="129" t="s">
        <v>43</v>
      </c>
      <c r="AR21" s="128" t="s">
        <v>44</v>
      </c>
      <c r="AS21" s="129" t="s">
        <v>45</v>
      </c>
      <c r="BC21" s="129" t="s">
        <v>38</v>
      </c>
      <c r="BF21" s="111">
        <f t="shared" si="11"/>
        <v>25</v>
      </c>
      <c r="BG21" s="111">
        <f t="shared" si="2"/>
        <v>25</v>
      </c>
      <c r="BH21" s="111">
        <f t="shared" si="3"/>
        <v>25</v>
      </c>
      <c r="BI21" s="111">
        <f t="shared" si="4"/>
        <v>53.150273224043715</v>
      </c>
      <c r="BJ21" s="129">
        <f t="shared" si="12"/>
        <v>0</v>
      </c>
      <c r="BK21" s="129">
        <f t="shared" si="5"/>
        <v>0</v>
      </c>
      <c r="BL21" s="129" t="str">
        <f t="shared" si="6"/>
        <v>CONVICTION</v>
      </c>
      <c r="BM21" s="129" t="str">
        <f t="shared" si="13"/>
        <v>NONE</v>
      </c>
      <c r="BN21" s="129" t="s">
        <v>566</v>
      </c>
      <c r="BP21" s="137" t="str">
        <f t="shared" si="14"/>
        <v>CONVICTION</v>
      </c>
      <c r="BQ21" s="128" t="str">
        <f t="shared" si="15"/>
        <v>Y</v>
      </c>
      <c r="BR21" s="129" t="str">
        <f t="shared" si="16"/>
        <v>DETAINED</v>
      </c>
      <c r="BS21" s="129" t="str">
        <f t="shared" si="17"/>
        <v>DISPOSED</v>
      </c>
      <c r="BT21" s="129" t="str">
        <f t="shared" si="18"/>
        <v>Y</v>
      </c>
      <c r="BU21" s="109">
        <f t="shared" si="19"/>
        <v>1</v>
      </c>
      <c r="BV21" s="109">
        <f t="shared" si="20"/>
        <v>1</v>
      </c>
      <c r="BW21" s="109">
        <f t="shared" si="21"/>
        <v>0</v>
      </c>
      <c r="BX21" s="111">
        <f t="shared" si="22"/>
        <v>0</v>
      </c>
      <c r="BY21" s="129">
        <f t="shared" si="23"/>
        <v>-25</v>
      </c>
      <c r="BZ21" s="111">
        <f t="shared" si="24"/>
        <v>0</v>
      </c>
      <c r="CA21" s="138">
        <f t="shared" si="25"/>
        <v>25</v>
      </c>
      <c r="CB21" s="111" t="e">
        <f t="shared" si="7"/>
        <v>#VALUE!</v>
      </c>
      <c r="CC21" s="129">
        <f t="shared" si="35"/>
        <v>25</v>
      </c>
      <c r="CD21" s="129">
        <f t="shared" si="36"/>
        <v>0</v>
      </c>
      <c r="CE21" s="129">
        <f t="shared" si="28"/>
        <v>0</v>
      </c>
      <c r="CF21" s="129">
        <f t="shared" si="29"/>
        <v>24</v>
      </c>
      <c r="CG21" s="129" t="str">
        <f t="shared" si="30"/>
        <v>Y</v>
      </c>
      <c r="CI21" s="129" t="str">
        <f t="shared" si="31"/>
        <v>11-30 DAYS</v>
      </c>
      <c r="CJ21" s="137">
        <f t="shared" si="32"/>
        <v>2</v>
      </c>
      <c r="CK21" s="129" t="str">
        <f t="shared" si="33"/>
        <v>Booked</v>
      </c>
    </row>
    <row r="22" spans="1:89" ht="15" customHeight="1" x14ac:dyDescent="0.25">
      <c r="A22" s="111">
        <v>386</v>
      </c>
      <c r="B22" s="128" t="str">
        <f t="shared" si="8"/>
        <v>N</v>
      </c>
      <c r="C22" s="128" t="str">
        <f t="shared" si="9"/>
        <v>N</v>
      </c>
      <c r="D22" s="117">
        <v>138208</v>
      </c>
      <c r="E22" s="135">
        <f t="shared" si="10"/>
        <v>5</v>
      </c>
      <c r="F22" s="124">
        <v>40925</v>
      </c>
      <c r="G22" s="125">
        <v>41116</v>
      </c>
      <c r="H22" s="117">
        <v>138208</v>
      </c>
      <c r="I22" s="124">
        <v>40925</v>
      </c>
      <c r="J22" s="124">
        <v>41116</v>
      </c>
      <c r="K22" s="126" t="s">
        <v>564</v>
      </c>
      <c r="L22" s="127" t="s">
        <v>564</v>
      </c>
      <c r="N22" s="129" t="s">
        <v>566</v>
      </c>
      <c r="O22" s="128" t="s">
        <v>917</v>
      </c>
      <c r="P22" s="129" t="s">
        <v>39</v>
      </c>
      <c r="Q22" s="111">
        <f t="shared" si="0"/>
        <v>192</v>
      </c>
      <c r="R22" s="111">
        <f t="shared" si="1"/>
        <v>192</v>
      </c>
      <c r="S22" s="129">
        <v>4</v>
      </c>
      <c r="T22" s="129">
        <v>1</v>
      </c>
      <c r="U22" s="129">
        <v>3</v>
      </c>
      <c r="V22" s="117">
        <v>2</v>
      </c>
      <c r="W22" s="111"/>
      <c r="AC22" s="130"/>
      <c r="AD22" s="130">
        <v>17330</v>
      </c>
      <c r="AE22" s="128" t="s">
        <v>46</v>
      </c>
      <c r="AF22" s="128" t="s">
        <v>69</v>
      </c>
      <c r="AG22" s="128" t="s">
        <v>874</v>
      </c>
      <c r="AH22" s="108" t="s">
        <v>58</v>
      </c>
      <c r="AI22" s="128" t="s">
        <v>87</v>
      </c>
      <c r="AJ22" s="129" t="s">
        <v>89</v>
      </c>
      <c r="AK22" s="129">
        <v>9</v>
      </c>
      <c r="AL22" s="3" t="s">
        <v>992</v>
      </c>
      <c r="AN22" s="117">
        <v>7</v>
      </c>
      <c r="AP22" s="129" t="s">
        <v>60</v>
      </c>
      <c r="AR22" s="128" t="s">
        <v>44</v>
      </c>
      <c r="AS22" s="129" t="s">
        <v>61</v>
      </c>
      <c r="BC22" s="129" t="s">
        <v>52</v>
      </c>
      <c r="BF22" s="111">
        <f t="shared" si="11"/>
        <v>192</v>
      </c>
      <c r="BG22" s="111">
        <f t="shared" si="2"/>
        <v>192</v>
      </c>
      <c r="BH22" s="111">
        <f t="shared" si="3"/>
        <v>192</v>
      </c>
      <c r="BI22" s="111">
        <f t="shared" si="4"/>
        <v>64.467213114754102</v>
      </c>
      <c r="BJ22" s="129">
        <f t="shared" si="12"/>
        <v>0</v>
      </c>
      <c r="BK22" s="129">
        <f t="shared" si="5"/>
        <v>0</v>
      </c>
      <c r="BL22" s="129" t="str">
        <f t="shared" si="6"/>
        <v>CONVICTION</v>
      </c>
      <c r="BM22" s="129" t="str">
        <f t="shared" si="13"/>
        <v>NONE</v>
      </c>
      <c r="BN22" s="129" t="s">
        <v>566</v>
      </c>
      <c r="BP22" s="137" t="str">
        <f t="shared" si="14"/>
        <v>CONVICTION</v>
      </c>
      <c r="BQ22" s="128" t="str">
        <f t="shared" si="15"/>
        <v>Y</v>
      </c>
      <c r="BR22" s="129" t="str">
        <f t="shared" si="16"/>
        <v>DETAINED</v>
      </c>
      <c r="BS22" s="129" t="str">
        <f t="shared" si="17"/>
        <v>DISPOSED</v>
      </c>
      <c r="BT22" s="129" t="str">
        <f t="shared" si="18"/>
        <v>Y</v>
      </c>
      <c r="BU22" s="109">
        <f t="shared" si="19"/>
        <v>1</v>
      </c>
      <c r="BV22" s="109">
        <f t="shared" si="20"/>
        <v>1</v>
      </c>
      <c r="BW22" s="109">
        <f t="shared" si="21"/>
        <v>0</v>
      </c>
      <c r="BX22" s="111">
        <f t="shared" si="22"/>
        <v>0</v>
      </c>
      <c r="BY22" s="129">
        <f t="shared" si="23"/>
        <v>-192</v>
      </c>
      <c r="BZ22" s="111">
        <f t="shared" si="24"/>
        <v>0</v>
      </c>
      <c r="CA22" s="138">
        <f t="shared" si="25"/>
        <v>192</v>
      </c>
      <c r="CB22" s="111" t="e">
        <f t="shared" si="7"/>
        <v>#VALUE!</v>
      </c>
      <c r="CC22" s="129">
        <f t="shared" si="35"/>
        <v>192</v>
      </c>
      <c r="CD22" s="129">
        <f t="shared" si="36"/>
        <v>0</v>
      </c>
      <c r="CE22" s="129">
        <f t="shared" si="28"/>
        <v>0</v>
      </c>
      <c r="CF22" s="129">
        <f t="shared" si="29"/>
        <v>191</v>
      </c>
      <c r="CG22" s="129" t="str">
        <f t="shared" si="30"/>
        <v>Y</v>
      </c>
      <c r="CI22" s="129" t="str">
        <f t="shared" si="31"/>
        <v>121-365 DAYS</v>
      </c>
      <c r="CJ22" s="137">
        <f t="shared" si="32"/>
        <v>6</v>
      </c>
      <c r="CK22" s="129" t="str">
        <f t="shared" si="33"/>
        <v>Booked</v>
      </c>
    </row>
    <row r="23" spans="1:89" ht="15" customHeight="1" x14ac:dyDescent="0.25">
      <c r="A23" s="111">
        <v>3245</v>
      </c>
      <c r="B23" s="128" t="str">
        <f t="shared" si="8"/>
        <v>N</v>
      </c>
      <c r="C23" s="128" t="str">
        <f t="shared" si="9"/>
        <v>N</v>
      </c>
      <c r="D23" s="117">
        <v>138556</v>
      </c>
      <c r="E23" s="135">
        <f t="shared" si="10"/>
        <v>6</v>
      </c>
      <c r="F23" s="124">
        <v>41029</v>
      </c>
      <c r="G23" s="125">
        <v>41570</v>
      </c>
      <c r="H23" s="117">
        <v>138556</v>
      </c>
      <c r="I23" s="124">
        <v>41030</v>
      </c>
      <c r="J23" s="125">
        <v>41570</v>
      </c>
      <c r="K23" s="126" t="s">
        <v>564</v>
      </c>
      <c r="L23" s="127" t="s">
        <v>564</v>
      </c>
      <c r="N23" s="129" t="s">
        <v>566</v>
      </c>
      <c r="O23" s="128" t="s">
        <v>917</v>
      </c>
      <c r="P23" s="129" t="s">
        <v>39</v>
      </c>
      <c r="Q23" s="111">
        <f t="shared" si="0"/>
        <v>541</v>
      </c>
      <c r="R23" s="111">
        <f t="shared" si="1"/>
        <v>542</v>
      </c>
      <c r="S23" s="129">
        <v>4</v>
      </c>
      <c r="T23" s="129">
        <v>5</v>
      </c>
      <c r="U23" s="129">
        <v>3</v>
      </c>
      <c r="W23" s="111"/>
      <c r="AC23" s="130"/>
      <c r="AD23" s="130">
        <v>21794</v>
      </c>
      <c r="AE23" s="128" t="s">
        <v>32</v>
      </c>
      <c r="AF23" s="128" t="s">
        <v>33</v>
      </c>
      <c r="AG23" s="128" t="s">
        <v>872</v>
      </c>
      <c r="AH23" s="108" t="s">
        <v>31</v>
      </c>
      <c r="AI23" s="128" t="s">
        <v>42</v>
      </c>
      <c r="AJ23" s="129" t="s">
        <v>89</v>
      </c>
      <c r="AK23" s="129">
        <v>7</v>
      </c>
      <c r="AL23" s="3" t="s">
        <v>362</v>
      </c>
      <c r="AM23" s="117">
        <v>12</v>
      </c>
      <c r="AP23" s="129" t="s">
        <v>125</v>
      </c>
      <c r="AR23" s="128" t="s">
        <v>50</v>
      </c>
      <c r="AS23" s="129" t="s">
        <v>126</v>
      </c>
      <c r="AT23" s="129" t="s">
        <v>969</v>
      </c>
      <c r="BC23" s="129" t="s">
        <v>38</v>
      </c>
      <c r="BE23" s="129" t="s">
        <v>1179</v>
      </c>
      <c r="BF23" s="111">
        <f t="shared" si="11"/>
        <v>541</v>
      </c>
      <c r="BG23" s="111">
        <f t="shared" si="2"/>
        <v>541</v>
      </c>
      <c r="BH23" s="111">
        <f t="shared" si="3"/>
        <v>542</v>
      </c>
      <c r="BI23" s="111">
        <f t="shared" si="4"/>
        <v>52.55464480874317</v>
      </c>
      <c r="BJ23" s="129">
        <f t="shared" si="12"/>
        <v>0</v>
      </c>
      <c r="BK23" s="129">
        <f t="shared" si="5"/>
        <v>0</v>
      </c>
      <c r="BL23" s="129" t="str">
        <f t="shared" si="6"/>
        <v>CONVICTION</v>
      </c>
      <c r="BM23" s="129" t="str">
        <f t="shared" si="13"/>
        <v>NONE</v>
      </c>
      <c r="BN23" s="129" t="s">
        <v>566</v>
      </c>
      <c r="BP23" s="137" t="str">
        <f t="shared" si="14"/>
        <v>CONVICTION</v>
      </c>
      <c r="BQ23" s="128" t="str">
        <f t="shared" si="15"/>
        <v>Y</v>
      </c>
      <c r="BR23" s="129" t="str">
        <f t="shared" si="16"/>
        <v>DETAINED</v>
      </c>
      <c r="BS23" s="129" t="str">
        <f t="shared" si="17"/>
        <v>DISPOSED</v>
      </c>
      <c r="BT23" s="129" t="str">
        <f t="shared" si="18"/>
        <v>Y</v>
      </c>
      <c r="BU23" s="109">
        <f t="shared" si="19"/>
        <v>0.99815498154981552</v>
      </c>
      <c r="BV23" s="109">
        <f t="shared" si="20"/>
        <v>1</v>
      </c>
      <c r="BW23" s="109">
        <f t="shared" si="21"/>
        <v>1.8450184501844769E-3</v>
      </c>
      <c r="BX23" s="111">
        <f t="shared" si="22"/>
        <v>0</v>
      </c>
      <c r="BY23" s="129">
        <f t="shared" si="23"/>
        <v>-541</v>
      </c>
      <c r="BZ23" s="111">
        <f t="shared" si="24"/>
        <v>0</v>
      </c>
      <c r="CA23" s="138">
        <f t="shared" si="25"/>
        <v>541</v>
      </c>
      <c r="CB23" s="111" t="e">
        <f t="shared" si="7"/>
        <v>#VALUE!</v>
      </c>
      <c r="CC23" s="129">
        <f t="shared" si="35"/>
        <v>541</v>
      </c>
      <c r="CD23" s="129">
        <f t="shared" si="36"/>
        <v>0</v>
      </c>
      <c r="CE23" s="129">
        <f t="shared" si="28"/>
        <v>0</v>
      </c>
      <c r="CF23" s="129">
        <f t="shared" si="29"/>
        <v>540</v>
      </c>
      <c r="CG23" s="129" t="str">
        <f t="shared" si="30"/>
        <v>Y</v>
      </c>
      <c r="CI23" s="129" t="str">
        <f t="shared" si="31"/>
        <v xml:space="preserve"> &gt;1YRS&lt;2YRS</v>
      </c>
      <c r="CJ23" s="137">
        <f t="shared" si="32"/>
        <v>0</v>
      </c>
      <c r="CK23" s="129" t="str">
        <f t="shared" si="33"/>
        <v>Booked</v>
      </c>
    </row>
    <row r="24" spans="1:89" ht="15" customHeight="1" x14ac:dyDescent="0.25">
      <c r="A24" s="111">
        <v>1717</v>
      </c>
      <c r="B24" s="128" t="str">
        <f t="shared" si="8"/>
        <v>N</v>
      </c>
      <c r="C24" s="128" t="str">
        <f t="shared" si="9"/>
        <v>N</v>
      </c>
      <c r="D24" s="117">
        <v>149272</v>
      </c>
      <c r="E24" s="135">
        <f t="shared" si="10"/>
        <v>5</v>
      </c>
      <c r="F24" s="124">
        <v>40972</v>
      </c>
      <c r="G24" s="125">
        <v>40974</v>
      </c>
      <c r="H24" s="117">
        <v>149272</v>
      </c>
      <c r="I24" s="124">
        <v>40973</v>
      </c>
      <c r="J24" s="124">
        <v>40974</v>
      </c>
      <c r="K24" s="126">
        <v>15000</v>
      </c>
      <c r="L24" s="127" t="s">
        <v>571</v>
      </c>
      <c r="N24" s="129" t="str">
        <f>IF(M24&gt;1/1/1,"Y","N")</f>
        <v>N</v>
      </c>
      <c r="O24" s="128" t="s">
        <v>917</v>
      </c>
      <c r="P24" s="129" t="s">
        <v>39</v>
      </c>
      <c r="Q24" s="111">
        <f t="shared" si="0"/>
        <v>2</v>
      </c>
      <c r="R24" s="111">
        <f t="shared" si="1"/>
        <v>3</v>
      </c>
      <c r="S24" s="129">
        <v>8</v>
      </c>
      <c r="T24" s="129">
        <v>2</v>
      </c>
      <c r="U24" s="129">
        <v>5</v>
      </c>
      <c r="W24" s="111"/>
      <c r="AC24" s="130"/>
      <c r="AD24" s="130">
        <v>20930</v>
      </c>
      <c r="AE24" s="128" t="s">
        <v>32</v>
      </c>
      <c r="AF24" s="128" t="s">
        <v>33</v>
      </c>
      <c r="AG24" s="128" t="s">
        <v>872</v>
      </c>
      <c r="AH24" s="108" t="s">
        <v>58</v>
      </c>
      <c r="AI24" s="128" t="s">
        <v>87</v>
      </c>
      <c r="AJ24" s="129" t="s">
        <v>89</v>
      </c>
      <c r="AK24" s="129">
        <v>1</v>
      </c>
      <c r="AL24" s="3" t="s">
        <v>992</v>
      </c>
      <c r="AN24" s="117">
        <v>8</v>
      </c>
      <c r="AP24" s="129" t="s">
        <v>43</v>
      </c>
      <c r="AR24" s="128" t="s">
        <v>44</v>
      </c>
      <c r="AS24" s="129" t="s">
        <v>45</v>
      </c>
      <c r="AY24" s="32"/>
      <c r="BC24" s="129" t="s">
        <v>38</v>
      </c>
      <c r="BD24" s="32"/>
      <c r="BF24" s="111">
        <f t="shared" si="11"/>
        <v>2</v>
      </c>
      <c r="BG24" s="111">
        <f t="shared" si="2"/>
        <v>2</v>
      </c>
      <c r="BH24" s="111">
        <f t="shared" si="3"/>
        <v>3</v>
      </c>
      <c r="BI24" s="111">
        <f t="shared" si="4"/>
        <v>54.759562841530055</v>
      </c>
      <c r="BJ24" s="129">
        <f t="shared" si="12"/>
        <v>0</v>
      </c>
      <c r="BK24" s="129">
        <f t="shared" si="5"/>
        <v>0</v>
      </c>
      <c r="BL24" s="129" t="str">
        <f t="shared" si="6"/>
        <v>CONVICTION</v>
      </c>
      <c r="BM24" s="129" t="str">
        <f t="shared" si="13"/>
        <v>NONE</v>
      </c>
      <c r="BN24" s="129" t="s">
        <v>566</v>
      </c>
      <c r="BP24" s="137" t="str">
        <f t="shared" si="14"/>
        <v>CONVICTION</v>
      </c>
      <c r="BQ24" s="128" t="str">
        <f t="shared" si="15"/>
        <v>Y</v>
      </c>
      <c r="BR24" s="129" t="str">
        <f t="shared" si="16"/>
        <v>DETAINED</v>
      </c>
      <c r="BS24" s="129" t="str">
        <f t="shared" si="17"/>
        <v>DISPOSED</v>
      </c>
      <c r="BT24" s="129" t="str">
        <f t="shared" si="18"/>
        <v>Y</v>
      </c>
      <c r="BU24" s="109">
        <f t="shared" si="19"/>
        <v>0.66666666666666663</v>
      </c>
      <c r="BV24" s="109">
        <f t="shared" si="20"/>
        <v>1</v>
      </c>
      <c r="BW24" s="109">
        <f t="shared" si="21"/>
        <v>0.33333333333333337</v>
      </c>
      <c r="BX24" s="111">
        <f t="shared" si="22"/>
        <v>0</v>
      </c>
      <c r="BY24" s="129">
        <f t="shared" si="23"/>
        <v>-2</v>
      </c>
      <c r="BZ24" s="111">
        <f t="shared" si="24"/>
        <v>0</v>
      </c>
      <c r="CA24" s="138">
        <f t="shared" si="25"/>
        <v>2</v>
      </c>
      <c r="CB24" s="111" t="e">
        <f t="shared" si="7"/>
        <v>#VALUE!</v>
      </c>
      <c r="CC24" s="129">
        <f t="shared" si="35"/>
        <v>2</v>
      </c>
      <c r="CD24" s="129">
        <f t="shared" si="36"/>
        <v>0</v>
      </c>
      <c r="CE24" s="129">
        <f t="shared" si="28"/>
        <v>0</v>
      </c>
      <c r="CF24" s="129">
        <f t="shared" si="29"/>
        <v>1</v>
      </c>
      <c r="CG24" s="129" t="str">
        <f t="shared" si="30"/>
        <v>Y</v>
      </c>
      <c r="CI24" s="129" t="str">
        <f t="shared" si="31"/>
        <v>0-10 DAYS</v>
      </c>
      <c r="CJ24" s="137">
        <f t="shared" si="32"/>
        <v>1</v>
      </c>
      <c r="CK24" s="129" t="str">
        <f t="shared" si="33"/>
        <v>Booked</v>
      </c>
    </row>
    <row r="25" spans="1:89" ht="15.75" customHeight="1" x14ac:dyDescent="0.25">
      <c r="A25" s="111">
        <v>1931</v>
      </c>
      <c r="B25" s="128" t="str">
        <f t="shared" si="8"/>
        <v>N</v>
      </c>
      <c r="C25" s="128" t="str">
        <f t="shared" si="9"/>
        <v>N</v>
      </c>
      <c r="D25" s="117">
        <v>149416</v>
      </c>
      <c r="E25" s="135">
        <f t="shared" si="10"/>
        <v>6</v>
      </c>
      <c r="F25" s="124">
        <v>40981</v>
      </c>
      <c r="G25" s="125">
        <v>41184</v>
      </c>
      <c r="H25" s="117">
        <v>149416</v>
      </c>
      <c r="I25" s="124">
        <v>40982</v>
      </c>
      <c r="J25" s="124">
        <v>41184</v>
      </c>
      <c r="K25" s="126" t="s">
        <v>564</v>
      </c>
      <c r="L25" s="127" t="s">
        <v>564</v>
      </c>
      <c r="N25" s="129" t="s">
        <v>566</v>
      </c>
      <c r="O25" s="128" t="s">
        <v>917</v>
      </c>
      <c r="P25" s="129" t="s">
        <v>39</v>
      </c>
      <c r="Q25" s="111">
        <f t="shared" si="0"/>
        <v>203</v>
      </c>
      <c r="R25" s="111">
        <f t="shared" si="1"/>
        <v>204</v>
      </c>
      <c r="S25" s="129">
        <v>10</v>
      </c>
      <c r="T25" s="129">
        <v>4</v>
      </c>
      <c r="U25" s="129">
        <v>8</v>
      </c>
      <c r="W25" s="111"/>
      <c r="AC25" s="130"/>
      <c r="AD25" s="130">
        <v>19464</v>
      </c>
      <c r="AE25" s="128" t="s">
        <v>32</v>
      </c>
      <c r="AF25" s="128" t="s">
        <v>33</v>
      </c>
      <c r="AG25" s="128" t="s">
        <v>872</v>
      </c>
      <c r="AH25" s="108" t="s">
        <v>31</v>
      </c>
      <c r="AI25" s="128" t="s">
        <v>83</v>
      </c>
      <c r="AJ25" s="129" t="s">
        <v>89</v>
      </c>
      <c r="AK25" s="129">
        <v>9</v>
      </c>
      <c r="AL25" s="3" t="s">
        <v>362</v>
      </c>
      <c r="AM25" s="117">
        <v>2</v>
      </c>
      <c r="AP25" s="129" t="s">
        <v>158</v>
      </c>
      <c r="AR25" s="128" t="s">
        <v>67</v>
      </c>
      <c r="AS25" s="129" t="s">
        <v>64</v>
      </c>
      <c r="BC25" s="129" t="s">
        <v>38</v>
      </c>
      <c r="BF25" s="111">
        <f t="shared" si="11"/>
        <v>203</v>
      </c>
      <c r="BG25" s="111">
        <f t="shared" si="2"/>
        <v>203</v>
      </c>
      <c r="BH25" s="111">
        <f t="shared" si="3"/>
        <v>204</v>
      </c>
      <c r="BI25" s="111">
        <f t="shared" si="4"/>
        <v>58.789617486338798</v>
      </c>
      <c r="BJ25" s="129">
        <f t="shared" si="12"/>
        <v>0</v>
      </c>
      <c r="BK25" s="129">
        <f t="shared" si="5"/>
        <v>0</v>
      </c>
      <c r="BL25" s="129" t="str">
        <f t="shared" si="6"/>
        <v>CONVICTION</v>
      </c>
      <c r="BM25" s="129" t="str">
        <f t="shared" si="13"/>
        <v>NONE</v>
      </c>
      <c r="BN25" s="129" t="s">
        <v>566</v>
      </c>
      <c r="BP25" s="137" t="str">
        <f t="shared" si="14"/>
        <v>CONVICTION</v>
      </c>
      <c r="BQ25" s="128" t="str">
        <f t="shared" si="15"/>
        <v>Y</v>
      </c>
      <c r="BR25" s="129" t="str">
        <f t="shared" si="16"/>
        <v>DETAINED</v>
      </c>
      <c r="BS25" s="129" t="str">
        <f t="shared" si="17"/>
        <v>DISPOSED</v>
      </c>
      <c r="BT25" s="129" t="str">
        <f t="shared" si="18"/>
        <v>Y</v>
      </c>
      <c r="BU25" s="109">
        <f t="shared" si="19"/>
        <v>0.99509803921568629</v>
      </c>
      <c r="BV25" s="109">
        <f t="shared" si="20"/>
        <v>1</v>
      </c>
      <c r="BW25" s="109">
        <f t="shared" si="21"/>
        <v>4.9019607843137081E-3</v>
      </c>
      <c r="BX25" s="111">
        <f t="shared" si="22"/>
        <v>0</v>
      </c>
      <c r="BY25" s="129">
        <f t="shared" si="23"/>
        <v>-203</v>
      </c>
      <c r="BZ25" s="111">
        <f t="shared" si="24"/>
        <v>0</v>
      </c>
      <c r="CA25" s="138">
        <f t="shared" si="25"/>
        <v>203</v>
      </c>
      <c r="CB25" s="111" t="e">
        <f t="shared" si="7"/>
        <v>#VALUE!</v>
      </c>
      <c r="CC25" s="129">
        <f t="shared" si="35"/>
        <v>203</v>
      </c>
      <c r="CD25" s="129">
        <f t="shared" si="36"/>
        <v>0</v>
      </c>
      <c r="CE25" s="129">
        <f t="shared" si="28"/>
        <v>0</v>
      </c>
      <c r="CF25" s="129">
        <f t="shared" si="29"/>
        <v>202</v>
      </c>
      <c r="CG25" s="129" t="str">
        <f t="shared" si="30"/>
        <v>Y</v>
      </c>
      <c r="CI25" s="129" t="str">
        <f t="shared" si="31"/>
        <v>121-365 DAYS</v>
      </c>
      <c r="CJ25" s="137">
        <f t="shared" si="32"/>
        <v>6</v>
      </c>
      <c r="CK25" s="129" t="str">
        <f t="shared" si="33"/>
        <v>Booked</v>
      </c>
    </row>
    <row r="26" spans="1:89" ht="15.75" customHeight="1" x14ac:dyDescent="0.25">
      <c r="A26" s="111">
        <v>2960</v>
      </c>
      <c r="B26" s="128" t="str">
        <f t="shared" si="8"/>
        <v>N</v>
      </c>
      <c r="C26" s="128" t="str">
        <f t="shared" si="9"/>
        <v>N</v>
      </c>
      <c r="D26" s="117">
        <v>174333</v>
      </c>
      <c r="E26" s="135">
        <f t="shared" si="10"/>
        <v>6</v>
      </c>
      <c r="F26" s="124">
        <v>41018</v>
      </c>
      <c r="G26" s="125">
        <v>41801</v>
      </c>
      <c r="H26" s="117">
        <v>174333</v>
      </c>
      <c r="I26" s="124">
        <v>41023</v>
      </c>
      <c r="J26" s="124">
        <v>41801</v>
      </c>
      <c r="K26" s="126">
        <v>90000</v>
      </c>
      <c r="L26" s="129" t="s">
        <v>572</v>
      </c>
      <c r="N26" s="129" t="str">
        <f>IF(M26&gt;1/1/1,"Y","N")</f>
        <v>N</v>
      </c>
      <c r="O26" s="128" t="s">
        <v>917</v>
      </c>
      <c r="P26" s="129" t="s">
        <v>968</v>
      </c>
      <c r="Q26" s="111">
        <v>779</v>
      </c>
      <c r="R26" s="111">
        <f t="shared" si="1"/>
        <v>784</v>
      </c>
      <c r="S26" s="129">
        <v>0</v>
      </c>
      <c r="T26" s="129">
        <v>2</v>
      </c>
      <c r="W26" s="111"/>
      <c r="AC26" s="130"/>
      <c r="AD26" s="130">
        <v>21081</v>
      </c>
      <c r="AE26" s="128" t="s">
        <v>32</v>
      </c>
      <c r="AF26" s="128" t="s">
        <v>33</v>
      </c>
      <c r="AG26" s="128" t="s">
        <v>872</v>
      </c>
      <c r="AH26" s="108" t="s">
        <v>58</v>
      </c>
      <c r="AI26" s="128" t="s">
        <v>83</v>
      </c>
      <c r="AJ26" s="129" t="s">
        <v>89</v>
      </c>
      <c r="AK26" s="129">
        <v>26</v>
      </c>
      <c r="AL26" s="3" t="s">
        <v>362</v>
      </c>
      <c r="AM26" s="117">
        <v>12</v>
      </c>
      <c r="AP26" s="129" t="s">
        <v>173</v>
      </c>
      <c r="AR26" s="128" t="s">
        <v>50</v>
      </c>
      <c r="AS26" s="129" t="s">
        <v>126</v>
      </c>
      <c r="AT26" s="129" t="s">
        <v>1159</v>
      </c>
      <c r="BC26" s="129" t="s">
        <v>38</v>
      </c>
      <c r="BF26" s="111">
        <v>779</v>
      </c>
      <c r="BG26" s="111">
        <f t="shared" si="2"/>
        <v>779</v>
      </c>
      <c r="BH26" s="111">
        <f t="shared" si="3"/>
        <v>784</v>
      </c>
      <c r="BI26" s="111">
        <f t="shared" si="4"/>
        <v>54.472677595628419</v>
      </c>
      <c r="BJ26" s="129">
        <f t="shared" si="12"/>
        <v>0</v>
      </c>
      <c r="BK26" s="129">
        <f t="shared" si="5"/>
        <v>0</v>
      </c>
      <c r="BL26" s="129" t="str">
        <f t="shared" si="6"/>
        <v>CONVICTION</v>
      </c>
      <c r="BM26" s="129" t="str">
        <f t="shared" si="13"/>
        <v>NONE</v>
      </c>
      <c r="BN26" s="129" t="s">
        <v>566</v>
      </c>
      <c r="BP26" s="137" t="str">
        <f t="shared" si="14"/>
        <v>CONVICTION</v>
      </c>
      <c r="BQ26" s="128" t="str">
        <f t="shared" si="15"/>
        <v>Y</v>
      </c>
      <c r="BR26" s="129" t="str">
        <f t="shared" si="16"/>
        <v>DETAINED</v>
      </c>
      <c r="BS26" s="129" t="str">
        <f t="shared" si="17"/>
        <v>DISPOSED</v>
      </c>
      <c r="BT26" s="129" t="str">
        <f t="shared" si="18"/>
        <v>N</v>
      </c>
      <c r="BU26" s="109">
        <f>IFERROR(Q26/R26,BR26)</f>
        <v>0.99362244897959184</v>
      </c>
      <c r="BV26" s="109">
        <v>0.99319999999999997</v>
      </c>
      <c r="BW26" s="109">
        <v>0</v>
      </c>
      <c r="BX26" s="111">
        <f t="shared" si="22"/>
        <v>0</v>
      </c>
      <c r="BY26" s="129">
        <f t="shared" si="23"/>
        <v>-779</v>
      </c>
      <c r="BZ26" s="111">
        <f t="shared" si="24"/>
        <v>0</v>
      </c>
      <c r="CA26" s="138">
        <f t="shared" si="25"/>
        <v>779</v>
      </c>
      <c r="CB26" s="111" t="e">
        <f t="shared" si="7"/>
        <v>#VALUE!</v>
      </c>
      <c r="CC26" s="129">
        <v>779</v>
      </c>
      <c r="CE26" s="129">
        <f t="shared" si="28"/>
        <v>0</v>
      </c>
      <c r="CF26" s="129">
        <f t="shared" si="29"/>
        <v>778</v>
      </c>
      <c r="CG26" s="129" t="str">
        <f t="shared" si="30"/>
        <v>Y</v>
      </c>
      <c r="CH26" s="129" t="e">
        <v>#N/A</v>
      </c>
      <c r="CI26" s="129" t="str">
        <f t="shared" si="31"/>
        <v>&gt;2YRS&lt;3YRS</v>
      </c>
      <c r="CJ26" s="137">
        <f t="shared" si="32"/>
        <v>8</v>
      </c>
      <c r="CK26" s="129" t="str">
        <f t="shared" si="33"/>
        <v>Booked</v>
      </c>
    </row>
    <row r="27" spans="1:89" ht="15.75" customHeight="1" x14ac:dyDescent="0.25">
      <c r="A27" s="111">
        <v>1963</v>
      </c>
      <c r="B27" s="128" t="str">
        <f t="shared" si="8"/>
        <v>N</v>
      </c>
      <c r="C27" s="128" t="str">
        <f t="shared" si="9"/>
        <v>N</v>
      </c>
      <c r="D27" s="117">
        <v>176421</v>
      </c>
      <c r="E27" s="135">
        <f t="shared" si="10"/>
        <v>6</v>
      </c>
      <c r="F27" s="124">
        <v>40982</v>
      </c>
      <c r="G27" s="125">
        <v>41010</v>
      </c>
      <c r="H27" s="117">
        <v>176421</v>
      </c>
      <c r="I27" s="124">
        <v>40982</v>
      </c>
      <c r="J27" s="124">
        <v>41010</v>
      </c>
      <c r="K27" s="126" t="s">
        <v>564</v>
      </c>
      <c r="L27" s="127" t="s">
        <v>564</v>
      </c>
      <c r="N27" s="129" t="s">
        <v>566</v>
      </c>
      <c r="O27" s="128" t="s">
        <v>917</v>
      </c>
      <c r="P27" s="129" t="s">
        <v>39</v>
      </c>
      <c r="Q27" s="111">
        <f t="shared" si="0"/>
        <v>29</v>
      </c>
      <c r="R27" s="111">
        <f t="shared" si="1"/>
        <v>29</v>
      </c>
      <c r="S27" s="129">
        <v>5</v>
      </c>
      <c r="T27" s="129">
        <v>3</v>
      </c>
      <c r="U27" s="129">
        <v>4</v>
      </c>
      <c r="W27" s="111"/>
      <c r="AC27" s="130"/>
      <c r="AD27" s="130">
        <v>20621</v>
      </c>
      <c r="AE27" s="128" t="s">
        <v>32</v>
      </c>
      <c r="AF27" s="128" t="s">
        <v>40</v>
      </c>
      <c r="AG27" s="128" t="s">
        <v>41</v>
      </c>
      <c r="AH27" s="108" t="s">
        <v>41</v>
      </c>
      <c r="AI27" s="128" t="s">
        <v>59</v>
      </c>
      <c r="AJ27" s="129" t="s">
        <v>89</v>
      </c>
      <c r="AK27" s="129">
        <v>2</v>
      </c>
      <c r="AL27" s="3" t="s">
        <v>362</v>
      </c>
      <c r="AM27" s="117">
        <v>10</v>
      </c>
      <c r="AP27" s="129" t="s">
        <v>170</v>
      </c>
      <c r="AR27" s="128" t="s">
        <v>67</v>
      </c>
      <c r="AS27" s="129" t="s">
        <v>64</v>
      </c>
      <c r="BC27" s="129" t="s">
        <v>38</v>
      </c>
      <c r="BF27" s="111">
        <f t="shared" si="11"/>
        <v>29</v>
      </c>
      <c r="BG27" s="111">
        <f t="shared" si="2"/>
        <v>29</v>
      </c>
      <c r="BH27" s="111">
        <f t="shared" si="3"/>
        <v>29</v>
      </c>
      <c r="BI27" s="111">
        <f t="shared" si="4"/>
        <v>55.631147540983605</v>
      </c>
      <c r="BJ27" s="129">
        <f t="shared" si="12"/>
        <v>0</v>
      </c>
      <c r="BK27" s="129">
        <f t="shared" si="5"/>
        <v>0</v>
      </c>
      <c r="BL27" s="129" t="str">
        <f t="shared" si="6"/>
        <v>CONVICTION</v>
      </c>
      <c r="BM27" s="129" t="str">
        <f t="shared" si="13"/>
        <v>NONE</v>
      </c>
      <c r="BN27" s="129" t="s">
        <v>566</v>
      </c>
      <c r="BP27" s="137" t="str">
        <f t="shared" si="14"/>
        <v>CONVICTION</v>
      </c>
      <c r="BQ27" s="128" t="str">
        <f t="shared" si="15"/>
        <v>Y</v>
      </c>
      <c r="BR27" s="129" t="str">
        <f t="shared" si="16"/>
        <v>DETAINED</v>
      </c>
      <c r="BS27" s="129" t="str">
        <f t="shared" si="17"/>
        <v>DISPOSED</v>
      </c>
      <c r="BT27" s="129" t="str">
        <f t="shared" si="18"/>
        <v>Y</v>
      </c>
      <c r="BU27" s="109">
        <f t="shared" si="19"/>
        <v>1</v>
      </c>
      <c r="BV27" s="109">
        <f t="shared" si="20"/>
        <v>1</v>
      </c>
      <c r="BW27" s="109">
        <f t="shared" si="21"/>
        <v>0</v>
      </c>
      <c r="BX27" s="111">
        <f t="shared" si="22"/>
        <v>0</v>
      </c>
      <c r="BY27" s="129">
        <f t="shared" si="23"/>
        <v>-29</v>
      </c>
      <c r="BZ27" s="111">
        <f t="shared" si="24"/>
        <v>0</v>
      </c>
      <c r="CA27" s="138">
        <f t="shared" si="25"/>
        <v>29</v>
      </c>
      <c r="CB27" s="111" t="e">
        <f t="shared" si="7"/>
        <v>#VALUE!</v>
      </c>
      <c r="CC27" s="129">
        <f>G27-I27+1</f>
        <v>29</v>
      </c>
      <c r="CD27" s="129">
        <f>G27-J27</f>
        <v>0</v>
      </c>
      <c r="CE27" s="129">
        <f t="shared" si="28"/>
        <v>0</v>
      </c>
      <c r="CF27" s="129">
        <f t="shared" si="29"/>
        <v>28</v>
      </c>
      <c r="CG27" s="129" t="str">
        <f t="shared" si="30"/>
        <v>Y</v>
      </c>
      <c r="CI27" s="129" t="str">
        <f t="shared" si="31"/>
        <v>11-30 DAYS</v>
      </c>
      <c r="CJ27" s="137">
        <f t="shared" si="32"/>
        <v>2</v>
      </c>
      <c r="CK27" s="129" t="str">
        <f t="shared" si="33"/>
        <v>Booked</v>
      </c>
    </row>
    <row r="28" spans="1:89" ht="15.75" customHeight="1" x14ac:dyDescent="0.25">
      <c r="A28" s="111">
        <v>1268</v>
      </c>
      <c r="B28" s="128" t="str">
        <f t="shared" si="8"/>
        <v>N</v>
      </c>
      <c r="C28" s="128" t="str">
        <f t="shared" si="9"/>
        <v>N</v>
      </c>
      <c r="D28" s="117">
        <v>180829</v>
      </c>
      <c r="E28" s="135">
        <f t="shared" si="10"/>
        <v>3</v>
      </c>
      <c r="F28" s="124">
        <v>40955</v>
      </c>
      <c r="G28" s="125">
        <v>41171</v>
      </c>
      <c r="H28" s="117">
        <v>180829</v>
      </c>
      <c r="I28" s="124">
        <v>40955</v>
      </c>
      <c r="J28" s="124">
        <v>40965</v>
      </c>
      <c r="K28" s="126">
        <v>20000</v>
      </c>
      <c r="L28" s="127" t="s">
        <v>571</v>
      </c>
      <c r="M28" s="125">
        <v>40965</v>
      </c>
      <c r="N28" s="129" t="str">
        <f>IF(M28&gt;1/1/1,"Y","N")</f>
        <v>Y</v>
      </c>
      <c r="O28" s="128" t="s">
        <v>585</v>
      </c>
      <c r="P28" s="129" t="s">
        <v>39</v>
      </c>
      <c r="Q28" s="111">
        <f t="shared" si="0"/>
        <v>11</v>
      </c>
      <c r="R28" s="111">
        <f t="shared" si="1"/>
        <v>217</v>
      </c>
      <c r="S28" s="129">
        <v>1</v>
      </c>
      <c r="T28" s="129">
        <v>8</v>
      </c>
      <c r="U28" s="129">
        <v>1</v>
      </c>
      <c r="W28" s="111"/>
      <c r="AC28" s="130"/>
      <c r="AD28" s="130">
        <v>21755</v>
      </c>
      <c r="AE28" s="128" t="s">
        <v>32</v>
      </c>
      <c r="AF28" s="128" t="s">
        <v>69</v>
      </c>
      <c r="AG28" s="128" t="s">
        <v>874</v>
      </c>
      <c r="AH28" s="108" t="s">
        <v>58</v>
      </c>
      <c r="AI28" s="128" t="s">
        <v>71</v>
      </c>
      <c r="AJ28" s="129" t="s">
        <v>89</v>
      </c>
      <c r="AK28" s="129">
        <v>8</v>
      </c>
      <c r="AL28" s="3" t="s">
        <v>185</v>
      </c>
      <c r="AP28" s="129" t="s">
        <v>66</v>
      </c>
      <c r="AR28" s="128" t="s">
        <v>67</v>
      </c>
      <c r="AS28" s="129" t="s">
        <v>68</v>
      </c>
      <c r="BC28" s="129" t="s">
        <v>52</v>
      </c>
      <c r="BF28" s="111">
        <f t="shared" si="11"/>
        <v>11</v>
      </c>
      <c r="BG28" s="111">
        <f t="shared" si="2"/>
        <v>217</v>
      </c>
      <c r="BH28" s="111">
        <f t="shared" si="3"/>
        <v>217</v>
      </c>
      <c r="BI28" s="111">
        <f t="shared" si="4"/>
        <v>52.459016393442624</v>
      </c>
      <c r="BJ28" s="129">
        <f>(G28-J28)+(M28-G28)</f>
        <v>0</v>
      </c>
      <c r="BK28" s="129">
        <f t="shared" si="5"/>
        <v>-206</v>
      </c>
      <c r="BL28" s="129" t="str">
        <f t="shared" si="6"/>
        <v>CONVICTION</v>
      </c>
      <c r="BM28" s="129" t="s">
        <v>76</v>
      </c>
      <c r="BN28" s="129" t="s">
        <v>88</v>
      </c>
      <c r="BP28" s="137" t="str">
        <f t="shared" si="14"/>
        <v>CONVICTION</v>
      </c>
      <c r="BQ28" s="128" t="str">
        <f t="shared" si="15"/>
        <v>Y</v>
      </c>
      <c r="BR28" s="129" t="str">
        <f>IF(J28&lt;G28,"ON BOND",0)</f>
        <v>ON BOND</v>
      </c>
      <c r="BS28" s="129" t="str">
        <f t="shared" si="17"/>
        <v>DISPOSED</v>
      </c>
      <c r="BT28" s="129" t="str">
        <f t="shared" si="18"/>
        <v>Y</v>
      </c>
      <c r="BU28" s="109">
        <f t="shared" si="19"/>
        <v>5.0691244239631339E-2</v>
      </c>
      <c r="BV28" s="109">
        <f t="shared" si="20"/>
        <v>5.0691244239631339E-2</v>
      </c>
      <c r="BW28" s="109">
        <f t="shared" si="21"/>
        <v>0</v>
      </c>
      <c r="BX28" s="111">
        <f t="shared" si="22"/>
        <v>0</v>
      </c>
      <c r="BY28" s="129">
        <f t="shared" si="23"/>
        <v>-11</v>
      </c>
      <c r="BZ28" s="111">
        <f t="shared" si="24"/>
        <v>0</v>
      </c>
      <c r="CA28" s="138">
        <f t="shared" si="25"/>
        <v>11</v>
      </c>
      <c r="CB28" s="111" t="e">
        <f t="shared" si="7"/>
        <v>#VALUE!</v>
      </c>
      <c r="CC28" s="129">
        <f>M28-I28+1</f>
        <v>11</v>
      </c>
      <c r="CD28" s="111">
        <f>CC28-BF28</f>
        <v>0</v>
      </c>
      <c r="CE28" s="129">
        <f t="shared" si="28"/>
        <v>206</v>
      </c>
      <c r="CF28" s="129">
        <f t="shared" si="29"/>
        <v>10</v>
      </c>
      <c r="CG28" s="129" t="str">
        <f t="shared" si="30"/>
        <v>Y</v>
      </c>
      <c r="CI28" s="129" t="str">
        <f t="shared" si="31"/>
        <v>11-30 DAYS</v>
      </c>
      <c r="CJ28" s="137">
        <f t="shared" si="32"/>
        <v>2</v>
      </c>
      <c r="CK28" s="129" t="str">
        <f t="shared" si="33"/>
        <v>Booked</v>
      </c>
    </row>
    <row r="29" spans="1:89" ht="15.75" customHeight="1" x14ac:dyDescent="0.25">
      <c r="A29" s="111">
        <v>758</v>
      </c>
      <c r="B29" s="128" t="str">
        <f t="shared" si="8"/>
        <v>N</v>
      </c>
      <c r="C29" s="128" t="str">
        <f t="shared" si="9"/>
        <v>N</v>
      </c>
      <c r="D29" s="117">
        <v>182368</v>
      </c>
      <c r="E29" s="135">
        <f t="shared" si="10"/>
        <v>6</v>
      </c>
      <c r="F29" s="124">
        <v>40938</v>
      </c>
      <c r="G29" s="125">
        <v>40961</v>
      </c>
      <c r="H29" s="117">
        <v>182368</v>
      </c>
      <c r="I29" s="124">
        <v>40939</v>
      </c>
      <c r="J29" s="124">
        <v>40961</v>
      </c>
      <c r="K29" s="126">
        <v>10000</v>
      </c>
      <c r="L29" s="127" t="s">
        <v>570</v>
      </c>
      <c r="N29" s="129" t="str">
        <f>IF(M29&gt;1/1/1,"Y","N")</f>
        <v>N</v>
      </c>
      <c r="O29" s="128" t="s">
        <v>917</v>
      </c>
      <c r="P29" s="129" t="s">
        <v>39</v>
      </c>
      <c r="Q29" s="111">
        <f t="shared" si="0"/>
        <v>23</v>
      </c>
      <c r="R29" s="111">
        <f t="shared" si="1"/>
        <v>24</v>
      </c>
      <c r="S29" s="129">
        <v>5</v>
      </c>
      <c r="T29" s="129">
        <v>5</v>
      </c>
      <c r="U29" s="129">
        <v>2</v>
      </c>
      <c r="W29" s="111"/>
      <c r="AC29" s="130"/>
      <c r="AD29" s="130">
        <v>20436</v>
      </c>
      <c r="AE29" s="128" t="s">
        <v>32</v>
      </c>
      <c r="AF29" s="128" t="s">
        <v>69</v>
      </c>
      <c r="AG29" s="128" t="s">
        <v>874</v>
      </c>
      <c r="AH29" s="108" t="s">
        <v>58</v>
      </c>
      <c r="AI29" s="128" t="s">
        <v>53</v>
      </c>
      <c r="AJ29" s="129" t="s">
        <v>89</v>
      </c>
      <c r="AK29" s="129">
        <v>2</v>
      </c>
      <c r="AL29" s="3" t="s">
        <v>362</v>
      </c>
      <c r="AM29" s="117">
        <v>2</v>
      </c>
      <c r="AP29" s="129" t="s">
        <v>137</v>
      </c>
      <c r="AR29" s="128" t="s">
        <v>67</v>
      </c>
      <c r="AS29" s="129" t="s">
        <v>64</v>
      </c>
      <c r="BC29" s="129" t="s">
        <v>38</v>
      </c>
      <c r="BF29" s="111">
        <f t="shared" si="11"/>
        <v>23</v>
      </c>
      <c r="BG29" s="111">
        <f t="shared" si="2"/>
        <v>23</v>
      </c>
      <c r="BH29" s="111">
        <f t="shared" si="3"/>
        <v>24</v>
      </c>
      <c r="BI29" s="111">
        <f t="shared" si="4"/>
        <v>56.016393442622949</v>
      </c>
      <c r="BJ29" s="129">
        <f t="shared" si="12"/>
        <v>0</v>
      </c>
      <c r="BK29" s="129">
        <f t="shared" si="5"/>
        <v>0</v>
      </c>
      <c r="BL29" s="129" t="str">
        <f t="shared" si="6"/>
        <v>CONVICTION</v>
      </c>
      <c r="BM29" s="129" t="str">
        <f t="shared" si="13"/>
        <v>NONE</v>
      </c>
      <c r="BN29" s="129" t="s">
        <v>566</v>
      </c>
      <c r="BP29" s="137" t="str">
        <f t="shared" si="14"/>
        <v>CONVICTION</v>
      </c>
      <c r="BQ29" s="128" t="str">
        <f t="shared" si="15"/>
        <v>Y</v>
      </c>
      <c r="BR29" s="129" t="str">
        <f t="shared" si="16"/>
        <v>DETAINED</v>
      </c>
      <c r="BS29" s="129" t="str">
        <f t="shared" si="17"/>
        <v>DISPOSED</v>
      </c>
      <c r="BT29" s="129" t="str">
        <f t="shared" si="18"/>
        <v>Y</v>
      </c>
      <c r="BU29" s="109">
        <f t="shared" si="19"/>
        <v>0.95833333333333337</v>
      </c>
      <c r="BV29" s="109">
        <f t="shared" si="20"/>
        <v>1</v>
      </c>
      <c r="BW29" s="109">
        <f t="shared" si="21"/>
        <v>4.166666666666663E-2</v>
      </c>
      <c r="BX29" s="111">
        <f t="shared" si="22"/>
        <v>0</v>
      </c>
      <c r="BY29" s="129">
        <f t="shared" si="23"/>
        <v>-23</v>
      </c>
      <c r="BZ29" s="111">
        <f t="shared" si="24"/>
        <v>0</v>
      </c>
      <c r="CA29" s="138">
        <f t="shared" si="25"/>
        <v>23</v>
      </c>
      <c r="CB29" s="111" t="e">
        <f t="shared" si="7"/>
        <v>#VALUE!</v>
      </c>
      <c r="CC29" s="129">
        <f t="shared" ref="CC29:CC47" si="37">G29-I29+1</f>
        <v>23</v>
      </c>
      <c r="CD29" s="129">
        <f t="shared" ref="CD29:CD47" si="38">G29-J29</f>
        <v>0</v>
      </c>
      <c r="CE29" s="129">
        <f t="shared" si="28"/>
        <v>0</v>
      </c>
      <c r="CF29" s="129">
        <f t="shared" si="29"/>
        <v>22</v>
      </c>
      <c r="CG29" s="129" t="str">
        <f t="shared" si="30"/>
        <v>Y</v>
      </c>
      <c r="CI29" s="129" t="str">
        <f t="shared" si="31"/>
        <v>11-30 DAYS</v>
      </c>
      <c r="CJ29" s="137">
        <f t="shared" si="32"/>
        <v>2</v>
      </c>
      <c r="CK29" s="129" t="str">
        <f t="shared" si="33"/>
        <v>Booked</v>
      </c>
    </row>
    <row r="30" spans="1:89" ht="15" customHeight="1" x14ac:dyDescent="0.25">
      <c r="A30" s="111">
        <v>3211</v>
      </c>
      <c r="B30" s="128" t="str">
        <f t="shared" si="8"/>
        <v>N</v>
      </c>
      <c r="C30" s="128" t="str">
        <f t="shared" si="9"/>
        <v>N</v>
      </c>
      <c r="D30" s="117">
        <v>185210</v>
      </c>
      <c r="E30" s="135">
        <f t="shared" si="10"/>
        <v>1</v>
      </c>
      <c r="F30" s="124">
        <v>41027</v>
      </c>
      <c r="G30" s="125">
        <v>41101</v>
      </c>
      <c r="H30" s="117">
        <v>185210</v>
      </c>
      <c r="I30" s="124">
        <v>41027</v>
      </c>
      <c r="J30" s="124">
        <v>41101</v>
      </c>
      <c r="K30" s="126" t="s">
        <v>564</v>
      </c>
      <c r="L30" s="127" t="s">
        <v>564</v>
      </c>
      <c r="N30" s="129" t="s">
        <v>566</v>
      </c>
      <c r="O30" s="128" t="s">
        <v>917</v>
      </c>
      <c r="P30" s="129" t="s">
        <v>55</v>
      </c>
      <c r="Q30" s="111">
        <f t="shared" si="0"/>
        <v>75</v>
      </c>
      <c r="R30" s="111">
        <f t="shared" si="1"/>
        <v>75</v>
      </c>
      <c r="S30" s="129">
        <v>10</v>
      </c>
      <c r="T30" s="129">
        <v>3</v>
      </c>
      <c r="U30" s="129">
        <v>6</v>
      </c>
      <c r="W30" s="111"/>
      <c r="AC30" s="130"/>
      <c r="AD30" s="130">
        <v>21142</v>
      </c>
      <c r="AE30" s="128" t="s">
        <v>32</v>
      </c>
      <c r="AF30" s="128" t="s">
        <v>40</v>
      </c>
      <c r="AG30" s="128" t="s">
        <v>41</v>
      </c>
      <c r="AH30" s="108" t="s">
        <v>41</v>
      </c>
      <c r="AI30" s="128" t="s">
        <v>113</v>
      </c>
      <c r="AJ30" s="129" t="s">
        <v>55</v>
      </c>
      <c r="AK30" s="129">
        <v>4</v>
      </c>
      <c r="AL30" s="3" t="s">
        <v>55</v>
      </c>
      <c r="AP30" s="129" t="s">
        <v>73</v>
      </c>
      <c r="AR30" s="128" t="s">
        <v>50</v>
      </c>
      <c r="AS30" s="129" t="s">
        <v>74</v>
      </c>
      <c r="BC30" s="129" t="s">
        <v>52</v>
      </c>
      <c r="BF30" s="111">
        <f t="shared" si="11"/>
        <v>75</v>
      </c>
      <c r="BG30" s="111">
        <f t="shared" si="2"/>
        <v>75</v>
      </c>
      <c r="BH30" s="111">
        <f t="shared" si="3"/>
        <v>75</v>
      </c>
      <c r="BI30" s="111">
        <f t="shared" si="4"/>
        <v>54.330601092896174</v>
      </c>
      <c r="BJ30" s="129">
        <f t="shared" si="12"/>
        <v>0</v>
      </c>
      <c r="BK30" s="129">
        <f t="shared" si="5"/>
        <v>0</v>
      </c>
      <c r="BL30" s="129" t="str">
        <f t="shared" si="6"/>
        <v>NO CONVICTION</v>
      </c>
      <c r="BM30" s="129" t="str">
        <f t="shared" si="13"/>
        <v>NONE</v>
      </c>
      <c r="BN30" s="129" t="s">
        <v>566</v>
      </c>
      <c r="BP30" s="137" t="str">
        <f t="shared" si="14"/>
        <v>NO CONVICTION</v>
      </c>
      <c r="BQ30" s="128" t="str">
        <f t="shared" si="15"/>
        <v>Y</v>
      </c>
      <c r="BR30" s="129" t="str">
        <f t="shared" si="16"/>
        <v>DETAINED</v>
      </c>
      <c r="BS30" s="129" t="str">
        <f t="shared" si="17"/>
        <v>DISPOSED</v>
      </c>
      <c r="BT30" s="129" t="str">
        <f t="shared" si="18"/>
        <v>Y</v>
      </c>
      <c r="BU30" s="109">
        <f>IFERROR(Q30/R30,BR30)</f>
        <v>1</v>
      </c>
      <c r="BV30" s="109">
        <f t="shared" si="20"/>
        <v>1</v>
      </c>
      <c r="BW30" s="109">
        <f t="shared" si="21"/>
        <v>0</v>
      </c>
      <c r="BX30" s="111">
        <f t="shared" si="22"/>
        <v>0</v>
      </c>
      <c r="BY30" s="129">
        <f t="shared" si="23"/>
        <v>-75</v>
      </c>
      <c r="BZ30" s="111">
        <f t="shared" si="24"/>
        <v>0</v>
      </c>
      <c r="CA30" s="138">
        <f t="shared" si="25"/>
        <v>75</v>
      </c>
      <c r="CB30" s="111" t="e">
        <f t="shared" si="7"/>
        <v>#VALUE!</v>
      </c>
      <c r="CC30" s="129">
        <f t="shared" si="37"/>
        <v>75</v>
      </c>
      <c r="CD30" s="129">
        <f t="shared" si="38"/>
        <v>0</v>
      </c>
      <c r="CE30" s="129">
        <f t="shared" si="28"/>
        <v>0</v>
      </c>
      <c r="CF30" s="129">
        <f t="shared" si="29"/>
        <v>74</v>
      </c>
      <c r="CG30" s="129" t="str">
        <f t="shared" si="30"/>
        <v>Y</v>
      </c>
      <c r="CI30" s="129" t="str">
        <f t="shared" si="31"/>
        <v>61-90 DAYS</v>
      </c>
      <c r="CJ30" s="137">
        <f t="shared" si="32"/>
        <v>4</v>
      </c>
      <c r="CK30" s="129" t="str">
        <f t="shared" si="33"/>
        <v>Booked</v>
      </c>
    </row>
    <row r="31" spans="1:89" ht="15" customHeight="1" x14ac:dyDescent="0.25">
      <c r="A31" s="111">
        <v>1296</v>
      </c>
      <c r="B31" s="128" t="str">
        <f t="shared" si="8"/>
        <v>N</v>
      </c>
      <c r="C31" s="128" t="str">
        <f t="shared" si="9"/>
        <v>N</v>
      </c>
      <c r="D31" s="117">
        <v>186781</v>
      </c>
      <c r="E31" s="135">
        <f t="shared" si="10"/>
        <v>5</v>
      </c>
      <c r="F31" s="124">
        <v>40956</v>
      </c>
      <c r="G31" s="125">
        <v>40959</v>
      </c>
      <c r="H31" s="117">
        <v>186781</v>
      </c>
      <c r="I31" s="124">
        <v>40956</v>
      </c>
      <c r="J31" s="124">
        <v>40959</v>
      </c>
      <c r="K31" s="126">
        <v>15000</v>
      </c>
      <c r="L31" s="127" t="s">
        <v>571</v>
      </c>
      <c r="N31" s="129" t="str">
        <f>IF(M31&gt;1/1/1,"Y","N")</f>
        <v>N</v>
      </c>
      <c r="O31" s="128" t="s">
        <v>917</v>
      </c>
      <c r="P31" s="129" t="s">
        <v>39</v>
      </c>
      <c r="Q31" s="111">
        <f t="shared" si="0"/>
        <v>4</v>
      </c>
      <c r="R31" s="111">
        <f t="shared" si="1"/>
        <v>4</v>
      </c>
      <c r="S31" s="129">
        <v>6</v>
      </c>
      <c r="T31" s="129">
        <v>4</v>
      </c>
      <c r="U31" s="129">
        <v>4</v>
      </c>
      <c r="W31" s="111"/>
      <c r="AC31" s="130"/>
      <c r="AD31" s="130">
        <v>22003</v>
      </c>
      <c r="AE31" s="128" t="s">
        <v>32</v>
      </c>
      <c r="AF31" s="128" t="s">
        <v>33</v>
      </c>
      <c r="AG31" s="128" t="s">
        <v>872</v>
      </c>
      <c r="AH31" s="108" t="s">
        <v>58</v>
      </c>
      <c r="AI31" s="128" t="s">
        <v>53</v>
      </c>
      <c r="AJ31" s="129" t="s">
        <v>89</v>
      </c>
      <c r="AK31" s="129">
        <v>1</v>
      </c>
      <c r="AL31" s="3" t="s">
        <v>992</v>
      </c>
      <c r="AN31" s="117">
        <v>10</v>
      </c>
      <c r="AP31" s="129" t="s">
        <v>127</v>
      </c>
      <c r="AR31" s="128" t="s">
        <v>44</v>
      </c>
      <c r="AS31" s="129" t="s">
        <v>82</v>
      </c>
      <c r="BC31" s="129" t="s">
        <v>38</v>
      </c>
      <c r="BF31" s="111">
        <f t="shared" si="11"/>
        <v>4</v>
      </c>
      <c r="BG31" s="111">
        <f t="shared" si="2"/>
        <v>4</v>
      </c>
      <c r="BH31" s="111">
        <f t="shared" si="3"/>
        <v>4</v>
      </c>
      <c r="BI31" s="111">
        <f t="shared" si="4"/>
        <v>51.784153005464482</v>
      </c>
      <c r="BJ31" s="129">
        <f t="shared" si="12"/>
        <v>0</v>
      </c>
      <c r="BK31" s="129">
        <f t="shared" si="5"/>
        <v>0</v>
      </c>
      <c r="BL31" s="129" t="str">
        <f t="shared" si="6"/>
        <v>CONVICTION</v>
      </c>
      <c r="BM31" s="129" t="str">
        <f t="shared" si="13"/>
        <v>NONE</v>
      </c>
      <c r="BN31" s="129" t="s">
        <v>566</v>
      </c>
      <c r="BP31" s="137" t="str">
        <f t="shared" si="14"/>
        <v>CONVICTION</v>
      </c>
      <c r="BQ31" s="128" t="str">
        <f t="shared" si="15"/>
        <v>Y</v>
      </c>
      <c r="BR31" s="129" t="str">
        <f t="shared" si="16"/>
        <v>DETAINED</v>
      </c>
      <c r="BS31" s="129" t="str">
        <f t="shared" si="17"/>
        <v>DISPOSED</v>
      </c>
      <c r="BT31" s="129" t="str">
        <f t="shared" si="18"/>
        <v>Y</v>
      </c>
      <c r="BU31" s="109">
        <f t="shared" si="19"/>
        <v>1</v>
      </c>
      <c r="BV31" s="109">
        <f t="shared" si="20"/>
        <v>1</v>
      </c>
      <c r="BW31" s="109">
        <f t="shared" si="21"/>
        <v>0</v>
      </c>
      <c r="BX31" s="111">
        <f t="shared" si="22"/>
        <v>0</v>
      </c>
      <c r="BY31" s="129">
        <f t="shared" si="23"/>
        <v>-4</v>
      </c>
      <c r="BZ31" s="111">
        <f t="shared" si="24"/>
        <v>0</v>
      </c>
      <c r="CA31" s="138">
        <f t="shared" si="25"/>
        <v>4</v>
      </c>
      <c r="CB31" s="111" t="e">
        <f t="shared" si="7"/>
        <v>#VALUE!</v>
      </c>
      <c r="CC31" s="129">
        <f t="shared" si="37"/>
        <v>4</v>
      </c>
      <c r="CD31" s="129">
        <f t="shared" si="38"/>
        <v>0</v>
      </c>
      <c r="CE31" s="129">
        <f t="shared" si="28"/>
        <v>0</v>
      </c>
      <c r="CF31" s="129">
        <f t="shared" si="29"/>
        <v>3</v>
      </c>
      <c r="CG31" s="129" t="str">
        <f t="shared" si="30"/>
        <v>Y</v>
      </c>
      <c r="CI31" s="129" t="str">
        <f t="shared" si="31"/>
        <v>0-10 DAYS</v>
      </c>
      <c r="CJ31" s="137">
        <f t="shared" si="32"/>
        <v>1</v>
      </c>
      <c r="CK31" s="129" t="str">
        <f t="shared" si="33"/>
        <v>Booked</v>
      </c>
    </row>
    <row r="32" spans="1:89" ht="15" customHeight="1" x14ac:dyDescent="0.25">
      <c r="A32" s="111">
        <v>959</v>
      </c>
      <c r="B32" s="128" t="str">
        <f t="shared" si="8"/>
        <v>N</v>
      </c>
      <c r="C32" s="128" t="str">
        <f t="shared" si="9"/>
        <v>N</v>
      </c>
      <c r="D32" s="117">
        <v>187744</v>
      </c>
      <c r="E32" s="135">
        <f t="shared" si="10"/>
        <v>1</v>
      </c>
      <c r="F32" s="124">
        <v>40944</v>
      </c>
      <c r="G32" s="125">
        <v>41046</v>
      </c>
      <c r="H32" s="117">
        <v>187744</v>
      </c>
      <c r="I32" s="124">
        <v>40944</v>
      </c>
      <c r="J32" s="124">
        <v>41046</v>
      </c>
      <c r="K32" s="126">
        <v>175000</v>
      </c>
      <c r="L32" s="129" t="s">
        <v>572</v>
      </c>
      <c r="N32" s="129" t="str">
        <f>IF(M32&gt;1/1/1,"Y","N")</f>
        <v>N</v>
      </c>
      <c r="O32" s="128" t="s">
        <v>917</v>
      </c>
      <c r="P32" s="129" t="s">
        <v>55</v>
      </c>
      <c r="Q32" s="111">
        <f t="shared" si="0"/>
        <v>103</v>
      </c>
      <c r="R32" s="111">
        <f t="shared" si="1"/>
        <v>103</v>
      </c>
      <c r="S32" s="129">
        <v>3</v>
      </c>
      <c r="T32" s="129">
        <v>4</v>
      </c>
      <c r="U32" s="129">
        <v>3</v>
      </c>
      <c r="W32" s="111"/>
      <c r="AC32" s="130"/>
      <c r="AD32" s="130">
        <v>21366</v>
      </c>
      <c r="AE32" s="128" t="s">
        <v>32</v>
      </c>
      <c r="AF32" s="128" t="s">
        <v>40</v>
      </c>
      <c r="AG32" s="128" t="s">
        <v>41</v>
      </c>
      <c r="AH32" s="108" t="s">
        <v>41</v>
      </c>
      <c r="AI32" s="128" t="s">
        <v>59</v>
      </c>
      <c r="AJ32" s="129" t="s">
        <v>55</v>
      </c>
      <c r="AK32" s="129">
        <v>6</v>
      </c>
      <c r="AL32" s="3" t="s">
        <v>55</v>
      </c>
      <c r="AP32" s="129" t="s">
        <v>149</v>
      </c>
      <c r="AR32" s="128" t="s">
        <v>92</v>
      </c>
      <c r="AS32" s="129" t="s">
        <v>82</v>
      </c>
      <c r="BC32" s="129" t="s">
        <v>52</v>
      </c>
      <c r="BF32" s="111">
        <f t="shared" si="11"/>
        <v>103</v>
      </c>
      <c r="BG32" s="111">
        <f t="shared" si="2"/>
        <v>103</v>
      </c>
      <c r="BH32" s="111">
        <f t="shared" si="3"/>
        <v>103</v>
      </c>
      <c r="BI32" s="111">
        <f t="shared" si="4"/>
        <v>53.491803278688522</v>
      </c>
      <c r="BJ32" s="129">
        <f t="shared" si="12"/>
        <v>0</v>
      </c>
      <c r="BK32" s="129">
        <f t="shared" si="5"/>
        <v>0</v>
      </c>
      <c r="BL32" s="129" t="str">
        <f t="shared" si="6"/>
        <v>NO CONVICTION</v>
      </c>
      <c r="BM32" s="129" t="str">
        <f t="shared" si="13"/>
        <v>NONE</v>
      </c>
      <c r="BN32" s="129" t="s">
        <v>566</v>
      </c>
      <c r="BP32" s="137" t="str">
        <f t="shared" si="14"/>
        <v>NO CONVICTION</v>
      </c>
      <c r="BQ32" s="128" t="str">
        <f t="shared" si="15"/>
        <v>Y</v>
      </c>
      <c r="BR32" s="129" t="str">
        <f t="shared" si="16"/>
        <v>DETAINED</v>
      </c>
      <c r="BS32" s="129" t="str">
        <f t="shared" si="17"/>
        <v>DISPOSED</v>
      </c>
      <c r="BT32" s="129" t="str">
        <f t="shared" si="18"/>
        <v>Y</v>
      </c>
      <c r="BU32" s="109">
        <f>IFERROR(Q32/R32,BR32)</f>
        <v>1</v>
      </c>
      <c r="BV32" s="109">
        <f t="shared" si="20"/>
        <v>1</v>
      </c>
      <c r="BW32" s="109">
        <f t="shared" si="21"/>
        <v>0</v>
      </c>
      <c r="BX32" s="111">
        <f t="shared" si="22"/>
        <v>0</v>
      </c>
      <c r="BY32" s="129">
        <f t="shared" si="23"/>
        <v>-103</v>
      </c>
      <c r="BZ32" s="111">
        <f t="shared" si="24"/>
        <v>0</v>
      </c>
      <c r="CA32" s="138">
        <f t="shared" si="25"/>
        <v>103</v>
      </c>
      <c r="CB32" s="111" t="e">
        <f t="shared" si="7"/>
        <v>#VALUE!</v>
      </c>
      <c r="CC32" s="129">
        <f t="shared" si="37"/>
        <v>103</v>
      </c>
      <c r="CD32" s="129">
        <f t="shared" si="38"/>
        <v>0</v>
      </c>
      <c r="CE32" s="129">
        <f t="shared" si="28"/>
        <v>0</v>
      </c>
      <c r="CF32" s="129">
        <f t="shared" si="29"/>
        <v>102</v>
      </c>
      <c r="CG32" s="129" t="str">
        <f t="shared" si="30"/>
        <v>Y</v>
      </c>
      <c r="CI32" s="129" t="str">
        <f t="shared" si="31"/>
        <v>91-120 DAYS</v>
      </c>
      <c r="CJ32" s="137">
        <f t="shared" si="32"/>
        <v>0</v>
      </c>
      <c r="CK32" s="129" t="str">
        <f t="shared" si="33"/>
        <v>Booked</v>
      </c>
    </row>
    <row r="33" spans="1:89" ht="15.75" customHeight="1" x14ac:dyDescent="0.25">
      <c r="A33" s="111">
        <v>681</v>
      </c>
      <c r="B33" s="128" t="str">
        <f t="shared" si="8"/>
        <v>N</v>
      </c>
      <c r="C33" s="128" t="str">
        <f t="shared" si="9"/>
        <v>N</v>
      </c>
      <c r="D33" s="117">
        <v>189810</v>
      </c>
      <c r="E33" s="135">
        <f t="shared" si="10"/>
        <v>5</v>
      </c>
      <c r="F33" s="124">
        <v>40935</v>
      </c>
      <c r="G33" s="125">
        <v>40938</v>
      </c>
      <c r="H33" s="117">
        <v>189810</v>
      </c>
      <c r="I33" s="124">
        <v>40936</v>
      </c>
      <c r="J33" s="124">
        <v>40938</v>
      </c>
      <c r="K33" s="126">
        <v>15000</v>
      </c>
      <c r="L33" s="127" t="s">
        <v>571</v>
      </c>
      <c r="N33" s="129" t="str">
        <f>IF(M33&gt;1/1/1,"Y","N")</f>
        <v>N</v>
      </c>
      <c r="O33" s="128" t="s">
        <v>917</v>
      </c>
      <c r="P33" s="129" t="s">
        <v>39</v>
      </c>
      <c r="Q33" s="111">
        <f t="shared" si="0"/>
        <v>3</v>
      </c>
      <c r="R33" s="111">
        <f t="shared" si="1"/>
        <v>4</v>
      </c>
      <c r="S33" s="129">
        <v>15</v>
      </c>
      <c r="T33" s="129">
        <v>11</v>
      </c>
      <c r="U33" s="129">
        <v>10</v>
      </c>
      <c r="W33" s="111"/>
      <c r="AC33" s="130"/>
      <c r="AD33" s="130">
        <v>21349</v>
      </c>
      <c r="AE33" s="128" t="s">
        <v>32</v>
      </c>
      <c r="AF33" s="128" t="s">
        <v>69</v>
      </c>
      <c r="AG33" s="128" t="s">
        <v>874</v>
      </c>
      <c r="AH33" s="108" t="s">
        <v>58</v>
      </c>
      <c r="AI33" s="128" t="s">
        <v>80</v>
      </c>
      <c r="AJ33" s="129" t="s">
        <v>89</v>
      </c>
      <c r="AK33" s="129">
        <v>1</v>
      </c>
      <c r="AL33" s="3" t="s">
        <v>992</v>
      </c>
      <c r="AN33" s="117">
        <v>6</v>
      </c>
      <c r="AP33" s="129" t="s">
        <v>60</v>
      </c>
      <c r="AR33" s="128" t="s">
        <v>44</v>
      </c>
      <c r="AS33" s="129" t="s">
        <v>61</v>
      </c>
      <c r="BC33" s="129" t="s">
        <v>38</v>
      </c>
      <c r="BF33" s="111">
        <f t="shared" si="11"/>
        <v>3</v>
      </c>
      <c r="BG33" s="111">
        <f t="shared" si="2"/>
        <v>3</v>
      </c>
      <c r="BH33" s="111">
        <f t="shared" si="3"/>
        <v>4</v>
      </c>
      <c r="BI33" s="111">
        <f t="shared" si="4"/>
        <v>53.513661202185794</v>
      </c>
      <c r="BJ33" s="129">
        <f t="shared" si="12"/>
        <v>0</v>
      </c>
      <c r="BK33" s="129">
        <f t="shared" si="5"/>
        <v>0</v>
      </c>
      <c r="BL33" s="129" t="str">
        <f t="shared" si="6"/>
        <v>CONVICTION</v>
      </c>
      <c r="BM33" s="129" t="str">
        <f t="shared" si="13"/>
        <v>NONE</v>
      </c>
      <c r="BN33" s="129" t="s">
        <v>566</v>
      </c>
      <c r="BP33" s="137" t="str">
        <f t="shared" si="14"/>
        <v>CONVICTION</v>
      </c>
      <c r="BQ33" s="128" t="str">
        <f t="shared" si="15"/>
        <v>Y</v>
      </c>
      <c r="BR33" s="129" t="str">
        <f t="shared" si="16"/>
        <v>DETAINED</v>
      </c>
      <c r="BS33" s="129" t="str">
        <f t="shared" si="17"/>
        <v>DISPOSED</v>
      </c>
      <c r="BT33" s="129" t="str">
        <f t="shared" si="18"/>
        <v>Y</v>
      </c>
      <c r="BU33" s="109">
        <f t="shared" si="19"/>
        <v>0.75</v>
      </c>
      <c r="BV33" s="109">
        <f t="shared" si="20"/>
        <v>1</v>
      </c>
      <c r="BW33" s="109">
        <f t="shared" si="21"/>
        <v>0.25</v>
      </c>
      <c r="BX33" s="111">
        <f t="shared" si="22"/>
        <v>0</v>
      </c>
      <c r="BY33" s="129">
        <f t="shared" si="23"/>
        <v>-3</v>
      </c>
      <c r="BZ33" s="111">
        <f t="shared" si="24"/>
        <v>0</v>
      </c>
      <c r="CA33" s="138">
        <f t="shared" si="25"/>
        <v>3</v>
      </c>
      <c r="CB33" s="111" t="e">
        <f t="shared" si="7"/>
        <v>#VALUE!</v>
      </c>
      <c r="CC33" s="129">
        <f t="shared" si="37"/>
        <v>3</v>
      </c>
      <c r="CD33" s="129">
        <f t="shared" si="38"/>
        <v>0</v>
      </c>
      <c r="CE33" s="129">
        <f t="shared" si="28"/>
        <v>0</v>
      </c>
      <c r="CF33" s="129">
        <f t="shared" si="29"/>
        <v>2</v>
      </c>
      <c r="CG33" s="129" t="str">
        <f t="shared" si="30"/>
        <v>Y</v>
      </c>
      <c r="CI33" s="129" t="str">
        <f t="shared" si="31"/>
        <v>0-10 DAYS</v>
      </c>
      <c r="CJ33" s="137">
        <f t="shared" si="32"/>
        <v>1</v>
      </c>
      <c r="CK33" s="129" t="str">
        <f t="shared" si="33"/>
        <v>Booked</v>
      </c>
    </row>
    <row r="34" spans="1:89" ht="15" customHeight="1" x14ac:dyDescent="0.25">
      <c r="A34" s="111">
        <v>2449</v>
      </c>
      <c r="B34" s="128" t="str">
        <f t="shared" si="8"/>
        <v>N</v>
      </c>
      <c r="C34" s="128" t="str">
        <f t="shared" si="9"/>
        <v>N</v>
      </c>
      <c r="D34" s="117">
        <v>199164</v>
      </c>
      <c r="E34" s="135">
        <f t="shared" si="10"/>
        <v>6</v>
      </c>
      <c r="F34" s="124">
        <v>41001</v>
      </c>
      <c r="G34" s="125">
        <v>41030</v>
      </c>
      <c r="H34" s="117">
        <v>199164</v>
      </c>
      <c r="I34" s="124">
        <v>41001</v>
      </c>
      <c r="J34" s="124">
        <v>41030</v>
      </c>
      <c r="K34" s="126" t="s">
        <v>564</v>
      </c>
      <c r="L34" s="127" t="s">
        <v>564</v>
      </c>
      <c r="N34" s="129" t="s">
        <v>566</v>
      </c>
      <c r="O34" s="128" t="s">
        <v>917</v>
      </c>
      <c r="P34" s="129" t="s">
        <v>39</v>
      </c>
      <c r="Q34" s="111">
        <f t="shared" si="0"/>
        <v>30</v>
      </c>
      <c r="R34" s="111">
        <f t="shared" si="1"/>
        <v>30</v>
      </c>
      <c r="S34" s="129">
        <v>6</v>
      </c>
      <c r="T34" s="129">
        <v>7</v>
      </c>
      <c r="U34" s="129">
        <v>2</v>
      </c>
      <c r="W34" s="111"/>
      <c r="AC34" s="130"/>
      <c r="AD34" s="130">
        <v>19541</v>
      </c>
      <c r="AE34" s="128" t="s">
        <v>32</v>
      </c>
      <c r="AF34" s="128" t="s">
        <v>69</v>
      </c>
      <c r="AG34" s="128" t="s">
        <v>874</v>
      </c>
      <c r="AH34" s="108" t="s">
        <v>31</v>
      </c>
      <c r="AI34" s="128" t="s">
        <v>42</v>
      </c>
      <c r="AJ34" s="129" t="s">
        <v>89</v>
      </c>
      <c r="AK34" s="129">
        <v>2</v>
      </c>
      <c r="AL34" s="3" t="s">
        <v>362</v>
      </c>
      <c r="AM34" s="117">
        <v>2</v>
      </c>
      <c r="AP34" s="129" t="s">
        <v>56</v>
      </c>
      <c r="AR34" s="128" t="s">
        <v>50</v>
      </c>
      <c r="AS34" s="129" t="s">
        <v>57</v>
      </c>
      <c r="BC34" s="129" t="s">
        <v>38</v>
      </c>
      <c r="BF34" s="111">
        <f t="shared" si="11"/>
        <v>30</v>
      </c>
      <c r="BG34" s="111">
        <f t="shared" ref="BG34:BG65" si="39">IF(G34&gt;1/1/1900,((G34+1)-I34),"STILL OPEN")</f>
        <v>30</v>
      </c>
      <c r="BH34" s="111">
        <f t="shared" si="3"/>
        <v>30</v>
      </c>
      <c r="BI34" s="111">
        <f t="shared" si="4"/>
        <v>58.633879781420767</v>
      </c>
      <c r="BJ34" s="129">
        <f t="shared" si="12"/>
        <v>0</v>
      </c>
      <c r="BK34" s="129">
        <f t="shared" si="5"/>
        <v>0</v>
      </c>
      <c r="BL34" s="129" t="str">
        <f t="shared" si="6"/>
        <v>CONVICTION</v>
      </c>
      <c r="BM34" s="129" t="str">
        <f t="shared" si="13"/>
        <v>NONE</v>
      </c>
      <c r="BN34" s="129" t="s">
        <v>566</v>
      </c>
      <c r="BP34" s="137" t="str">
        <f t="shared" si="14"/>
        <v>CONVICTION</v>
      </c>
      <c r="BQ34" s="128" t="str">
        <f t="shared" si="15"/>
        <v>Y</v>
      </c>
      <c r="BR34" s="129" t="str">
        <f t="shared" si="16"/>
        <v>DETAINED</v>
      </c>
      <c r="BS34" s="129" t="str">
        <f t="shared" si="17"/>
        <v>DISPOSED</v>
      </c>
      <c r="BT34" s="129" t="str">
        <f t="shared" si="18"/>
        <v>Y</v>
      </c>
      <c r="BU34" s="109">
        <f t="shared" si="19"/>
        <v>1</v>
      </c>
      <c r="BV34" s="109">
        <f t="shared" si="20"/>
        <v>1</v>
      </c>
      <c r="BW34" s="109">
        <f t="shared" si="21"/>
        <v>0</v>
      </c>
      <c r="BX34" s="111">
        <f t="shared" si="22"/>
        <v>0</v>
      </c>
      <c r="BY34" s="129">
        <f t="shared" si="23"/>
        <v>-30</v>
      </c>
      <c r="BZ34" s="111">
        <f t="shared" si="24"/>
        <v>0</v>
      </c>
      <c r="CA34" s="138">
        <f t="shared" si="25"/>
        <v>30</v>
      </c>
      <c r="CB34" s="111" t="e">
        <f t="shared" si="7"/>
        <v>#VALUE!</v>
      </c>
      <c r="CC34" s="129">
        <f t="shared" si="37"/>
        <v>30</v>
      </c>
      <c r="CD34" s="129">
        <f t="shared" si="38"/>
        <v>0</v>
      </c>
      <c r="CE34" s="129">
        <f t="shared" si="28"/>
        <v>0</v>
      </c>
      <c r="CF34" s="129">
        <f t="shared" si="29"/>
        <v>29</v>
      </c>
      <c r="CG34" s="129" t="str">
        <f t="shared" si="30"/>
        <v>Y</v>
      </c>
      <c r="CI34" s="129" t="str">
        <f t="shared" si="31"/>
        <v>11-30 DAYS</v>
      </c>
      <c r="CJ34" s="137">
        <f t="shared" si="32"/>
        <v>2</v>
      </c>
      <c r="CK34" s="129" t="str">
        <f t="shared" si="33"/>
        <v>Booked</v>
      </c>
    </row>
    <row r="35" spans="1:89" ht="15" customHeight="1" x14ac:dyDescent="0.25">
      <c r="A35" s="111">
        <v>97</v>
      </c>
      <c r="B35" s="128" t="str">
        <f t="shared" si="8"/>
        <v>N</v>
      </c>
      <c r="C35" s="128" t="str">
        <f t="shared" si="9"/>
        <v>N</v>
      </c>
      <c r="D35" s="117">
        <v>207233</v>
      </c>
      <c r="E35" s="135">
        <f t="shared" si="10"/>
        <v>6</v>
      </c>
      <c r="F35" s="124">
        <v>40913</v>
      </c>
      <c r="G35" s="125">
        <v>40954</v>
      </c>
      <c r="H35" s="117">
        <v>207233</v>
      </c>
      <c r="I35" s="124">
        <v>40914</v>
      </c>
      <c r="J35" s="124">
        <v>40954</v>
      </c>
      <c r="K35" s="126" t="s">
        <v>564</v>
      </c>
      <c r="L35" s="127" t="s">
        <v>564</v>
      </c>
      <c r="N35" s="129" t="s">
        <v>566</v>
      </c>
      <c r="O35" s="128" t="s">
        <v>917</v>
      </c>
      <c r="P35" s="129" t="s">
        <v>39</v>
      </c>
      <c r="Q35" s="111">
        <f t="shared" si="0"/>
        <v>41</v>
      </c>
      <c r="R35" s="111">
        <f t="shared" si="1"/>
        <v>42</v>
      </c>
      <c r="S35" s="129">
        <v>7</v>
      </c>
      <c r="T35" s="129">
        <v>8</v>
      </c>
      <c r="U35" s="129">
        <v>6</v>
      </c>
      <c r="V35" s="117">
        <v>1</v>
      </c>
      <c r="W35" s="111"/>
      <c r="AC35" s="130"/>
      <c r="AD35" s="130">
        <v>21162</v>
      </c>
      <c r="AE35" s="128" t="s">
        <v>32</v>
      </c>
      <c r="AF35" s="128" t="s">
        <v>40</v>
      </c>
      <c r="AG35" s="128" t="s">
        <v>41</v>
      </c>
      <c r="AH35" s="108" t="s">
        <v>41</v>
      </c>
      <c r="AI35" s="128" t="s">
        <v>100</v>
      </c>
      <c r="AJ35" s="129" t="s">
        <v>89</v>
      </c>
      <c r="AK35" s="129">
        <v>3</v>
      </c>
      <c r="AL35" s="3" t="s">
        <v>362</v>
      </c>
      <c r="AM35" s="117">
        <v>16</v>
      </c>
      <c r="AP35" s="129" t="s">
        <v>66</v>
      </c>
      <c r="AR35" s="128" t="s">
        <v>67</v>
      </c>
      <c r="AS35" s="129" t="s">
        <v>68</v>
      </c>
      <c r="BC35" s="129" t="s">
        <v>38</v>
      </c>
      <c r="BF35" s="111">
        <f t="shared" si="11"/>
        <v>41</v>
      </c>
      <c r="BG35" s="111">
        <f t="shared" si="39"/>
        <v>41</v>
      </c>
      <c r="BH35" s="111">
        <f t="shared" si="3"/>
        <v>42</v>
      </c>
      <c r="BI35" s="111">
        <f t="shared" si="4"/>
        <v>53.964480874316941</v>
      </c>
      <c r="BJ35" s="129">
        <f t="shared" si="12"/>
        <v>0</v>
      </c>
      <c r="BK35" s="129">
        <f t="shared" si="5"/>
        <v>0</v>
      </c>
      <c r="BL35" s="129" t="str">
        <f t="shared" si="6"/>
        <v>CONVICTION</v>
      </c>
      <c r="BM35" s="129" t="str">
        <f t="shared" si="13"/>
        <v>NONE</v>
      </c>
      <c r="BN35" s="129" t="s">
        <v>566</v>
      </c>
      <c r="BP35" s="137" t="str">
        <f t="shared" si="14"/>
        <v>CONVICTION</v>
      </c>
      <c r="BQ35" s="128" t="str">
        <f t="shared" si="15"/>
        <v>Y</v>
      </c>
      <c r="BR35" s="129" t="str">
        <f t="shared" si="16"/>
        <v>DETAINED</v>
      </c>
      <c r="BS35" s="129" t="str">
        <f t="shared" si="17"/>
        <v>DISPOSED</v>
      </c>
      <c r="BT35" s="129" t="str">
        <f t="shared" si="18"/>
        <v>Y</v>
      </c>
      <c r="BU35" s="109">
        <f t="shared" si="19"/>
        <v>0.97619047619047616</v>
      </c>
      <c r="BV35" s="109">
        <f t="shared" si="20"/>
        <v>1</v>
      </c>
      <c r="BW35" s="109">
        <f t="shared" si="21"/>
        <v>2.3809523809523836E-2</v>
      </c>
      <c r="BX35" s="111">
        <f t="shared" si="22"/>
        <v>0</v>
      </c>
      <c r="BY35" s="129">
        <f t="shared" si="23"/>
        <v>-41</v>
      </c>
      <c r="BZ35" s="111">
        <f t="shared" si="24"/>
        <v>0</v>
      </c>
      <c r="CA35" s="138">
        <f t="shared" si="25"/>
        <v>41</v>
      </c>
      <c r="CB35" s="111" t="e">
        <f t="shared" si="7"/>
        <v>#VALUE!</v>
      </c>
      <c r="CC35" s="129">
        <f t="shared" si="37"/>
        <v>41</v>
      </c>
      <c r="CD35" s="129">
        <f t="shared" si="38"/>
        <v>0</v>
      </c>
      <c r="CE35" s="129">
        <f t="shared" si="28"/>
        <v>0</v>
      </c>
      <c r="CF35" s="129">
        <f t="shared" si="29"/>
        <v>40</v>
      </c>
      <c r="CG35" s="129" t="str">
        <f t="shared" si="30"/>
        <v>Y</v>
      </c>
      <c r="CI35" s="129" t="str">
        <f t="shared" si="31"/>
        <v>31-60 DAYS</v>
      </c>
      <c r="CJ35" s="137">
        <f t="shared" si="32"/>
        <v>3</v>
      </c>
      <c r="CK35" s="129" t="str">
        <f t="shared" si="33"/>
        <v>Booked</v>
      </c>
    </row>
    <row r="36" spans="1:89" ht="15.75" customHeight="1" x14ac:dyDescent="0.25">
      <c r="A36" s="111">
        <v>1890</v>
      </c>
      <c r="B36" s="128" t="str">
        <f t="shared" si="8"/>
        <v>N</v>
      </c>
      <c r="C36" s="128" t="str">
        <f t="shared" si="9"/>
        <v>N</v>
      </c>
      <c r="D36" s="117">
        <v>208209</v>
      </c>
      <c r="E36" s="135">
        <f t="shared" si="10"/>
        <v>4</v>
      </c>
      <c r="F36" s="124">
        <v>40978</v>
      </c>
      <c r="G36" s="125">
        <v>41023</v>
      </c>
      <c r="H36" s="117">
        <v>208209</v>
      </c>
      <c r="I36" s="124">
        <v>40979</v>
      </c>
      <c r="J36" s="124">
        <v>41023</v>
      </c>
      <c r="K36" s="126">
        <v>15000</v>
      </c>
      <c r="L36" s="127" t="s">
        <v>571</v>
      </c>
      <c r="N36" s="129" t="str">
        <f>IF(M36&gt;1/1/1,"Y","N")</f>
        <v>N</v>
      </c>
      <c r="O36" s="128" t="s">
        <v>917</v>
      </c>
      <c r="P36" s="129" t="s">
        <v>39</v>
      </c>
      <c r="Q36" s="111">
        <f t="shared" si="0"/>
        <v>45</v>
      </c>
      <c r="R36" s="111">
        <f t="shared" si="1"/>
        <v>46</v>
      </c>
      <c r="S36" s="129">
        <v>7</v>
      </c>
      <c r="T36" s="129">
        <v>10</v>
      </c>
      <c r="U36" s="129">
        <v>6</v>
      </c>
      <c r="W36" s="111"/>
      <c r="AC36" s="130"/>
      <c r="AD36" s="130">
        <v>20447</v>
      </c>
      <c r="AE36" s="128" t="s">
        <v>32</v>
      </c>
      <c r="AF36" s="128" t="s">
        <v>33</v>
      </c>
      <c r="AG36" s="128" t="s">
        <v>872</v>
      </c>
      <c r="AH36" s="108" t="s">
        <v>31</v>
      </c>
      <c r="AI36" s="128" t="s">
        <v>80</v>
      </c>
      <c r="AJ36" s="129" t="s">
        <v>89</v>
      </c>
      <c r="AK36" s="129">
        <v>2</v>
      </c>
      <c r="AL36" s="3" t="s">
        <v>991</v>
      </c>
      <c r="AO36" s="128">
        <v>90</v>
      </c>
      <c r="AP36" s="129" t="s">
        <v>60</v>
      </c>
      <c r="AR36" s="128" t="s">
        <v>44</v>
      </c>
      <c r="AS36" s="129" t="s">
        <v>61</v>
      </c>
      <c r="BC36" s="129" t="s">
        <v>38</v>
      </c>
      <c r="BF36" s="111">
        <f t="shared" si="11"/>
        <v>45</v>
      </c>
      <c r="BG36" s="111">
        <f t="shared" si="39"/>
        <v>45</v>
      </c>
      <c r="BH36" s="111">
        <f t="shared" si="3"/>
        <v>46</v>
      </c>
      <c r="BI36" s="111">
        <f t="shared" si="4"/>
        <v>56.095628415300546</v>
      </c>
      <c r="BJ36" s="129">
        <f t="shared" si="12"/>
        <v>0</v>
      </c>
      <c r="BK36" s="129">
        <f t="shared" si="5"/>
        <v>0</v>
      </c>
      <c r="BL36" s="129" t="str">
        <f t="shared" si="6"/>
        <v>CONVICTION</v>
      </c>
      <c r="BM36" s="129" t="str">
        <f t="shared" si="13"/>
        <v>NONE</v>
      </c>
      <c r="BN36" s="129" t="s">
        <v>566</v>
      </c>
      <c r="BP36" s="137" t="str">
        <f t="shared" si="14"/>
        <v>CONVICTION</v>
      </c>
      <c r="BQ36" s="128" t="str">
        <f t="shared" si="15"/>
        <v>Y</v>
      </c>
      <c r="BR36" s="129" t="str">
        <f t="shared" si="16"/>
        <v>DETAINED</v>
      </c>
      <c r="BS36" s="129" t="str">
        <f t="shared" si="17"/>
        <v>DISPOSED</v>
      </c>
      <c r="BT36" s="129" t="str">
        <f t="shared" si="18"/>
        <v>Y</v>
      </c>
      <c r="BU36" s="109">
        <f t="shared" si="19"/>
        <v>0.97826086956521741</v>
      </c>
      <c r="BV36" s="109">
        <f t="shared" si="20"/>
        <v>1</v>
      </c>
      <c r="BW36" s="109">
        <f t="shared" si="21"/>
        <v>2.1739130434782594E-2</v>
      </c>
      <c r="BX36" s="111">
        <f t="shared" si="22"/>
        <v>0</v>
      </c>
      <c r="BY36" s="129">
        <f t="shared" si="23"/>
        <v>-45</v>
      </c>
      <c r="BZ36" s="111">
        <f t="shared" si="24"/>
        <v>0</v>
      </c>
      <c r="CA36" s="138">
        <f t="shared" si="25"/>
        <v>45</v>
      </c>
      <c r="CB36" s="111" t="e">
        <f t="shared" si="7"/>
        <v>#VALUE!</v>
      </c>
      <c r="CC36" s="129">
        <f t="shared" si="37"/>
        <v>45</v>
      </c>
      <c r="CD36" s="129">
        <f t="shared" si="38"/>
        <v>0</v>
      </c>
      <c r="CE36" s="129">
        <f t="shared" si="28"/>
        <v>0</v>
      </c>
      <c r="CF36" s="129">
        <f t="shared" si="29"/>
        <v>44</v>
      </c>
      <c r="CG36" s="129" t="str">
        <f t="shared" si="30"/>
        <v>Y</v>
      </c>
      <c r="CI36" s="129" t="str">
        <f t="shared" si="31"/>
        <v>31-60 DAYS</v>
      </c>
      <c r="CJ36" s="137">
        <f t="shared" si="32"/>
        <v>3</v>
      </c>
      <c r="CK36" s="129" t="str">
        <f t="shared" si="33"/>
        <v>Booked</v>
      </c>
    </row>
    <row r="37" spans="1:89" ht="15.75" customHeight="1" x14ac:dyDescent="0.25">
      <c r="A37" s="111">
        <v>687</v>
      </c>
      <c r="B37" s="128" t="str">
        <f t="shared" si="8"/>
        <v>Y</v>
      </c>
      <c r="C37" s="128" t="str">
        <f t="shared" si="9"/>
        <v>Y</v>
      </c>
      <c r="D37" s="117">
        <v>211183</v>
      </c>
      <c r="E37" s="135">
        <f t="shared" si="10"/>
        <v>4</v>
      </c>
      <c r="F37" s="124">
        <v>40935</v>
      </c>
      <c r="G37" s="125">
        <v>41199</v>
      </c>
      <c r="H37" s="117">
        <v>211183</v>
      </c>
      <c r="I37" s="124">
        <v>40936</v>
      </c>
      <c r="J37" s="124">
        <v>40950</v>
      </c>
      <c r="K37" s="126">
        <v>20000</v>
      </c>
      <c r="L37" s="127" t="s">
        <v>571</v>
      </c>
      <c r="M37" s="125">
        <v>40950</v>
      </c>
      <c r="N37" s="129" t="str">
        <f>IF(M37&gt;1/1/1,"Y","N")</f>
        <v>Y</v>
      </c>
      <c r="O37" s="128" t="s">
        <v>76</v>
      </c>
      <c r="P37" s="129" t="s">
        <v>39</v>
      </c>
      <c r="Q37" s="111">
        <v>50</v>
      </c>
      <c r="R37" s="111">
        <f t="shared" si="1"/>
        <v>265</v>
      </c>
      <c r="S37" s="129">
        <v>5</v>
      </c>
      <c r="T37" s="129">
        <v>3</v>
      </c>
      <c r="U37" s="129">
        <v>1</v>
      </c>
      <c r="V37" s="117">
        <v>1</v>
      </c>
      <c r="W37" s="111"/>
      <c r="AC37" s="130"/>
      <c r="AD37" s="130">
        <v>20096</v>
      </c>
      <c r="AE37" s="128" t="s">
        <v>32</v>
      </c>
      <c r="AF37" s="128" t="s">
        <v>33</v>
      </c>
      <c r="AG37" s="128" t="s">
        <v>872</v>
      </c>
      <c r="AH37" s="108" t="s">
        <v>58</v>
      </c>
      <c r="AI37" s="128" t="s">
        <v>100</v>
      </c>
      <c r="AJ37" s="129" t="s">
        <v>89</v>
      </c>
      <c r="AK37" s="129">
        <v>15</v>
      </c>
      <c r="AL37" s="3" t="s">
        <v>991</v>
      </c>
      <c r="AO37" s="128">
        <v>120</v>
      </c>
      <c r="AP37" s="129" t="s">
        <v>108</v>
      </c>
      <c r="AR37" s="128" t="s">
        <v>44</v>
      </c>
      <c r="AS37" s="129" t="s">
        <v>61</v>
      </c>
      <c r="AT37" s="129" t="s">
        <v>1087</v>
      </c>
      <c r="AV37" s="3" t="s">
        <v>88</v>
      </c>
      <c r="AW37" s="129" t="s">
        <v>693</v>
      </c>
      <c r="BA37" s="125">
        <v>41507</v>
      </c>
      <c r="BB37" s="129">
        <v>235</v>
      </c>
      <c r="BC37" s="129" t="s">
        <v>52</v>
      </c>
      <c r="BD37" s="129" t="s">
        <v>1069</v>
      </c>
      <c r="BF37" s="111">
        <v>50</v>
      </c>
      <c r="BG37" s="111">
        <f t="shared" si="39"/>
        <v>264</v>
      </c>
      <c r="BH37" s="111">
        <f t="shared" si="3"/>
        <v>265</v>
      </c>
      <c r="BI37" s="111">
        <f t="shared" si="4"/>
        <v>56.937158469945352</v>
      </c>
      <c r="BJ37" s="129">
        <f>(G37-J37)+(M37-G37)</f>
        <v>0</v>
      </c>
      <c r="BK37" s="129">
        <f t="shared" si="5"/>
        <v>-249</v>
      </c>
      <c r="BL37" s="129" t="str">
        <f t="shared" si="6"/>
        <v>CONVICTION</v>
      </c>
      <c r="BM37" s="129" t="s">
        <v>76</v>
      </c>
      <c r="BN37" s="129" t="s">
        <v>566</v>
      </c>
      <c r="BP37" s="137" t="str">
        <f t="shared" si="14"/>
        <v>CONVICTION</v>
      </c>
      <c r="BQ37" s="128" t="str">
        <f t="shared" si="15"/>
        <v>Y</v>
      </c>
      <c r="BR37" s="129" t="s">
        <v>574</v>
      </c>
      <c r="BS37" s="129" t="str">
        <f t="shared" si="17"/>
        <v>DISPOSED</v>
      </c>
      <c r="BT37" s="129" t="str">
        <f t="shared" si="18"/>
        <v>Y</v>
      </c>
      <c r="BU37" s="109">
        <f t="shared" si="19"/>
        <v>0.18867924528301888</v>
      </c>
      <c r="BV37" s="109">
        <f t="shared" si="20"/>
        <v>5.6818181818181816E-2</v>
      </c>
      <c r="BW37" s="109">
        <f t="shared" si="21"/>
        <v>-0.13186106346483706</v>
      </c>
      <c r="BX37" s="111">
        <f t="shared" si="22"/>
        <v>0</v>
      </c>
      <c r="BY37" s="129">
        <f t="shared" si="23"/>
        <v>-15</v>
      </c>
      <c r="BZ37" s="111">
        <f t="shared" si="24"/>
        <v>35</v>
      </c>
      <c r="CA37" s="138">
        <f t="shared" si="25"/>
        <v>264</v>
      </c>
      <c r="CB37" s="111">
        <v>50</v>
      </c>
      <c r="CC37" s="129">
        <f t="shared" si="37"/>
        <v>264</v>
      </c>
      <c r="CD37" s="129">
        <f t="shared" si="38"/>
        <v>249</v>
      </c>
      <c r="CE37" s="129">
        <f t="shared" si="28"/>
        <v>249</v>
      </c>
      <c r="CF37" s="129">
        <f>I37-J37</f>
        <v>-14</v>
      </c>
      <c r="CG37" s="129" t="str">
        <f t="shared" si="30"/>
        <v>Y</v>
      </c>
      <c r="CI37" s="129" t="str">
        <f t="shared" si="31"/>
        <v>31-60 DAYS</v>
      </c>
      <c r="CJ37" s="137">
        <f t="shared" si="32"/>
        <v>3</v>
      </c>
      <c r="CK37" s="129" t="str">
        <f t="shared" si="33"/>
        <v>Booked</v>
      </c>
    </row>
    <row r="38" spans="1:89" ht="15" customHeight="1" x14ac:dyDescent="0.25">
      <c r="A38" s="111">
        <v>2686</v>
      </c>
      <c r="B38" s="128" t="str">
        <f t="shared" si="8"/>
        <v>N</v>
      </c>
      <c r="C38" s="128" t="str">
        <f t="shared" si="9"/>
        <v>N</v>
      </c>
      <c r="D38" s="117">
        <v>216110</v>
      </c>
      <c r="E38" s="135">
        <f t="shared" si="10"/>
        <v>5</v>
      </c>
      <c r="F38" s="124">
        <v>41009</v>
      </c>
      <c r="G38" s="125">
        <v>41010</v>
      </c>
      <c r="H38" s="117">
        <v>216110</v>
      </c>
      <c r="I38" s="124">
        <v>41009</v>
      </c>
      <c r="J38" s="124">
        <v>41010</v>
      </c>
      <c r="K38" s="126">
        <v>15000</v>
      </c>
      <c r="L38" s="127" t="s">
        <v>571</v>
      </c>
      <c r="N38" s="129" t="str">
        <f>IF(M38&gt;1/1/1,"Y","N")</f>
        <v>N</v>
      </c>
      <c r="O38" s="128" t="s">
        <v>917</v>
      </c>
      <c r="P38" s="129" t="s">
        <v>39</v>
      </c>
      <c r="Q38" s="111">
        <f>BF38</f>
        <v>2</v>
      </c>
      <c r="R38" s="111">
        <f t="shared" si="1"/>
        <v>2</v>
      </c>
      <c r="S38" s="129">
        <v>9</v>
      </c>
      <c r="T38" s="129">
        <v>8</v>
      </c>
      <c r="U38" s="129">
        <v>5</v>
      </c>
      <c r="W38" s="111"/>
      <c r="AC38" s="130"/>
      <c r="AD38" s="130">
        <v>19604</v>
      </c>
      <c r="AE38" s="128" t="s">
        <v>32</v>
      </c>
      <c r="AF38" s="128" t="s">
        <v>33</v>
      </c>
      <c r="AG38" s="128" t="s">
        <v>872</v>
      </c>
      <c r="AH38" s="108" t="s">
        <v>58</v>
      </c>
      <c r="AI38" s="128" t="s">
        <v>59</v>
      </c>
      <c r="AJ38" s="129" t="s">
        <v>89</v>
      </c>
      <c r="AK38" s="129">
        <v>1</v>
      </c>
      <c r="AL38" s="3" t="s">
        <v>992</v>
      </c>
      <c r="AN38" s="117">
        <v>6</v>
      </c>
      <c r="AP38" s="129" t="s">
        <v>108</v>
      </c>
      <c r="AR38" s="128" t="s">
        <v>44</v>
      </c>
      <c r="AS38" s="129" t="s">
        <v>61</v>
      </c>
      <c r="BC38" s="129" t="s">
        <v>38</v>
      </c>
      <c r="BF38" s="111">
        <f>IF(J38&gt;1/1/1900,((J38+1)-I38),"STILL OPEN")</f>
        <v>2</v>
      </c>
      <c r="BG38" s="111">
        <f t="shared" si="39"/>
        <v>2</v>
      </c>
      <c r="BH38" s="111">
        <f t="shared" si="3"/>
        <v>2</v>
      </c>
      <c r="BI38" s="111">
        <f t="shared" si="4"/>
        <v>58.483606557377051</v>
      </c>
      <c r="BJ38" s="129">
        <f t="shared" si="12"/>
        <v>0</v>
      </c>
      <c r="BK38" s="129">
        <f t="shared" si="5"/>
        <v>0</v>
      </c>
      <c r="BL38" s="129" t="str">
        <f t="shared" si="6"/>
        <v>CONVICTION</v>
      </c>
      <c r="BM38" s="129" t="str">
        <f t="shared" si="13"/>
        <v>NONE</v>
      </c>
      <c r="BN38" s="129" t="s">
        <v>566</v>
      </c>
      <c r="BP38" s="137" t="str">
        <f t="shared" si="14"/>
        <v>CONVICTION</v>
      </c>
      <c r="BQ38" s="128" t="str">
        <f t="shared" si="15"/>
        <v>Y</v>
      </c>
      <c r="BR38" s="129" t="str">
        <f t="shared" si="16"/>
        <v>DETAINED</v>
      </c>
      <c r="BS38" s="129" t="str">
        <f t="shared" si="17"/>
        <v>DISPOSED</v>
      </c>
      <c r="BT38" s="129" t="str">
        <f t="shared" si="18"/>
        <v>Y</v>
      </c>
      <c r="BU38" s="109">
        <f t="shared" si="19"/>
        <v>1</v>
      </c>
      <c r="BV38" s="109">
        <f t="shared" si="20"/>
        <v>1</v>
      </c>
      <c r="BW38" s="109">
        <f t="shared" si="21"/>
        <v>0</v>
      </c>
      <c r="BX38" s="111">
        <f t="shared" si="22"/>
        <v>0</v>
      </c>
      <c r="BY38" s="129">
        <f t="shared" si="23"/>
        <v>-2</v>
      </c>
      <c r="BZ38" s="111">
        <f t="shared" si="24"/>
        <v>0</v>
      </c>
      <c r="CA38" s="138">
        <f t="shared" si="25"/>
        <v>2</v>
      </c>
      <c r="CB38" s="111" t="e">
        <f>IF(AF38&gt;1/1/1900,((AF38+1)-AE38),"STILL OPEN")</f>
        <v>#VALUE!</v>
      </c>
      <c r="CC38" s="129">
        <f t="shared" si="37"/>
        <v>2</v>
      </c>
      <c r="CD38" s="129">
        <f t="shared" si="38"/>
        <v>0</v>
      </c>
      <c r="CE38" s="129">
        <f t="shared" si="28"/>
        <v>0</v>
      </c>
      <c r="CF38" s="129">
        <f>J38-I38</f>
        <v>1</v>
      </c>
      <c r="CG38" s="129" t="str">
        <f t="shared" si="30"/>
        <v>Y</v>
      </c>
      <c r="CI38" s="129" t="str">
        <f t="shared" si="31"/>
        <v>0-10 DAYS</v>
      </c>
      <c r="CJ38" s="137">
        <f t="shared" si="32"/>
        <v>1</v>
      </c>
      <c r="CK38" s="129" t="str">
        <f t="shared" si="33"/>
        <v>Booked</v>
      </c>
    </row>
    <row r="39" spans="1:89" ht="15" customHeight="1" x14ac:dyDescent="0.25">
      <c r="A39" s="111">
        <v>1917</v>
      </c>
      <c r="B39" s="128" t="str">
        <f t="shared" si="8"/>
        <v>N</v>
      </c>
      <c r="C39" s="128" t="str">
        <f t="shared" si="9"/>
        <v>N</v>
      </c>
      <c r="D39" s="117">
        <v>222373</v>
      </c>
      <c r="E39" s="135">
        <f t="shared" si="10"/>
        <v>1</v>
      </c>
      <c r="F39" s="124">
        <v>40980</v>
      </c>
      <c r="G39" s="125">
        <v>41205</v>
      </c>
      <c r="H39" s="117">
        <v>222373</v>
      </c>
      <c r="I39" s="124">
        <v>40980</v>
      </c>
      <c r="J39" s="124">
        <f>G39</f>
        <v>41205</v>
      </c>
      <c r="K39" s="126" t="s">
        <v>564</v>
      </c>
      <c r="L39" s="127" t="s">
        <v>564</v>
      </c>
      <c r="N39" s="129" t="s">
        <v>566</v>
      </c>
      <c r="O39" s="128" t="s">
        <v>917</v>
      </c>
      <c r="P39" s="129" t="s">
        <v>553</v>
      </c>
      <c r="Q39" s="111">
        <f>BF39</f>
        <v>226</v>
      </c>
      <c r="R39" s="111">
        <f t="shared" si="1"/>
        <v>226</v>
      </c>
      <c r="S39" s="129">
        <v>2</v>
      </c>
      <c r="T39" s="129">
        <v>2</v>
      </c>
      <c r="U39" s="129">
        <v>2</v>
      </c>
      <c r="W39" s="111"/>
      <c r="AC39" s="130"/>
      <c r="AD39" s="130">
        <v>21089</v>
      </c>
      <c r="AE39" s="128" t="s">
        <v>32</v>
      </c>
      <c r="AF39" s="128" t="s">
        <v>33</v>
      </c>
      <c r="AG39" s="128" t="s">
        <v>872</v>
      </c>
      <c r="AH39" s="108" t="s">
        <v>31</v>
      </c>
      <c r="AI39" s="128" t="s">
        <v>53</v>
      </c>
      <c r="AJ39" s="129" t="s">
        <v>553</v>
      </c>
      <c r="AK39" s="129">
        <v>9</v>
      </c>
      <c r="AL39" s="3" t="s">
        <v>1334</v>
      </c>
      <c r="AP39" s="129" t="s">
        <v>110</v>
      </c>
      <c r="AR39" s="128" t="s">
        <v>50</v>
      </c>
      <c r="AS39" s="129" t="s">
        <v>74</v>
      </c>
      <c r="BC39" s="129" t="s">
        <v>38</v>
      </c>
      <c r="BF39" s="111">
        <f>IF(J39&gt;1/1/1900,((J39+1)-I39),"STILL OPEN")</f>
        <v>226</v>
      </c>
      <c r="BG39" s="111">
        <f t="shared" si="39"/>
        <v>226</v>
      </c>
      <c r="BH39" s="111">
        <f t="shared" si="3"/>
        <v>226</v>
      </c>
      <c r="BI39" s="111">
        <f t="shared" si="4"/>
        <v>54.346994535519123</v>
      </c>
      <c r="BJ39" s="129">
        <f t="shared" si="12"/>
        <v>0</v>
      </c>
      <c r="BK39" s="129">
        <f t="shared" si="5"/>
        <v>0</v>
      </c>
      <c r="BL39" s="129">
        <f t="shared" si="6"/>
        <v>0</v>
      </c>
      <c r="BM39" s="129" t="str">
        <f t="shared" si="13"/>
        <v>NONE</v>
      </c>
      <c r="BN39" s="129" t="s">
        <v>566</v>
      </c>
      <c r="BP39" s="137" t="str">
        <f t="shared" si="14"/>
        <v>NO CONVICTION</v>
      </c>
      <c r="BQ39" s="128" t="str">
        <f t="shared" si="15"/>
        <v>Y</v>
      </c>
      <c r="BR39" s="129" t="str">
        <f t="shared" si="16"/>
        <v>DETAINED</v>
      </c>
      <c r="BS39" s="129" t="str">
        <f t="shared" si="17"/>
        <v>DISPOSED</v>
      </c>
      <c r="BT39" s="129" t="str">
        <f t="shared" si="18"/>
        <v>Y</v>
      </c>
      <c r="BU39" s="109">
        <f>IFERROR(Q39/R39,BR39)</f>
        <v>1</v>
      </c>
      <c r="BV39" s="109">
        <f t="shared" si="20"/>
        <v>1</v>
      </c>
      <c r="BW39" s="109">
        <f t="shared" si="21"/>
        <v>0</v>
      </c>
      <c r="BX39" s="111">
        <f t="shared" si="22"/>
        <v>0</v>
      </c>
      <c r="BY39" s="129">
        <f t="shared" si="23"/>
        <v>-226</v>
      </c>
      <c r="BZ39" s="111">
        <f t="shared" si="24"/>
        <v>0</v>
      </c>
      <c r="CA39" s="138">
        <f t="shared" si="25"/>
        <v>226</v>
      </c>
      <c r="CB39" s="111" t="e">
        <f>IF(AF39&gt;1/1/1900,((AF39+1)-AE39),"STILL OPEN")</f>
        <v>#VALUE!</v>
      </c>
      <c r="CC39" s="129">
        <f t="shared" si="37"/>
        <v>226</v>
      </c>
      <c r="CD39" s="129">
        <f t="shared" si="38"/>
        <v>0</v>
      </c>
      <c r="CE39" s="129">
        <f t="shared" si="28"/>
        <v>0</v>
      </c>
      <c r="CF39" s="129">
        <f>J39-I39</f>
        <v>225</v>
      </c>
      <c r="CG39" s="129" t="str">
        <f t="shared" si="30"/>
        <v>Y</v>
      </c>
      <c r="CI39" s="129" t="str">
        <f t="shared" si="31"/>
        <v>121-365 DAYS</v>
      </c>
      <c r="CJ39" s="137">
        <f t="shared" si="32"/>
        <v>6</v>
      </c>
      <c r="CK39" s="129" t="str">
        <f t="shared" si="33"/>
        <v>Booked</v>
      </c>
    </row>
    <row r="40" spans="1:89" ht="15" customHeight="1" x14ac:dyDescent="0.25">
      <c r="A40" s="111">
        <v>1137</v>
      </c>
      <c r="B40" s="128" t="str">
        <f t="shared" si="8"/>
        <v>N</v>
      </c>
      <c r="C40" s="128" t="str">
        <f t="shared" si="9"/>
        <v>N</v>
      </c>
      <c r="D40" s="117">
        <v>222698</v>
      </c>
      <c r="E40" s="135">
        <f t="shared" si="10"/>
        <v>6</v>
      </c>
      <c r="F40" s="124">
        <v>40949</v>
      </c>
      <c r="G40" s="125">
        <v>40962</v>
      </c>
      <c r="H40" s="117">
        <v>222698</v>
      </c>
      <c r="I40" s="124">
        <v>40959</v>
      </c>
      <c r="J40" s="124">
        <v>40962</v>
      </c>
      <c r="K40" s="126" t="s">
        <v>564</v>
      </c>
      <c r="L40" s="127" t="s">
        <v>564</v>
      </c>
      <c r="N40" s="129" t="s">
        <v>566</v>
      </c>
      <c r="O40" s="128" t="s">
        <v>917</v>
      </c>
      <c r="P40" s="129" t="s">
        <v>39</v>
      </c>
      <c r="Q40" s="111">
        <f>BF40</f>
        <v>4</v>
      </c>
      <c r="R40" s="111">
        <f t="shared" si="1"/>
        <v>14</v>
      </c>
      <c r="S40" s="129">
        <v>4</v>
      </c>
      <c r="T40" s="129">
        <v>3</v>
      </c>
      <c r="U40" s="129">
        <v>2</v>
      </c>
      <c r="W40" s="111"/>
      <c r="AC40" s="130"/>
      <c r="AD40" s="130">
        <v>19167</v>
      </c>
      <c r="AE40" s="128" t="s">
        <v>32</v>
      </c>
      <c r="AF40" s="128" t="s">
        <v>69</v>
      </c>
      <c r="AG40" s="128" t="s">
        <v>874</v>
      </c>
      <c r="AH40" s="108" t="s">
        <v>58</v>
      </c>
      <c r="AI40" s="128" t="s">
        <v>62</v>
      </c>
      <c r="AJ40" s="129" t="s">
        <v>89</v>
      </c>
      <c r="AK40" s="129">
        <v>3</v>
      </c>
      <c r="AL40" s="3" t="s">
        <v>362</v>
      </c>
      <c r="AM40" s="117">
        <v>5</v>
      </c>
      <c r="AP40" s="129" t="s">
        <v>170</v>
      </c>
      <c r="AR40" s="128" t="s">
        <v>67</v>
      </c>
      <c r="AS40" s="129" t="s">
        <v>64</v>
      </c>
      <c r="AU40" s="121"/>
      <c r="AV40" s="121"/>
      <c r="AX40" s="32"/>
      <c r="BC40" s="129" t="s">
        <v>38</v>
      </c>
      <c r="BF40" s="111">
        <f>IF(J40&gt;1/1/1900,((J40+1)-I40),"STILL OPEN")</f>
        <v>4</v>
      </c>
      <c r="BG40" s="111">
        <f t="shared" si="39"/>
        <v>4</v>
      </c>
      <c r="BH40" s="111">
        <f t="shared" si="3"/>
        <v>14</v>
      </c>
      <c r="BI40" s="111">
        <f t="shared" si="4"/>
        <v>59.513661202185794</v>
      </c>
      <c r="BJ40" s="129">
        <f t="shared" si="12"/>
        <v>0</v>
      </c>
      <c r="BK40" s="129">
        <f t="shared" si="5"/>
        <v>0</v>
      </c>
      <c r="BL40" s="129" t="str">
        <f t="shared" si="6"/>
        <v>CONVICTION</v>
      </c>
      <c r="BM40" s="129" t="str">
        <f t="shared" si="13"/>
        <v>NONE</v>
      </c>
      <c r="BN40" s="129" t="s">
        <v>566</v>
      </c>
      <c r="BP40" s="137" t="str">
        <f t="shared" si="14"/>
        <v>CONVICTION</v>
      </c>
      <c r="BQ40" s="128" t="str">
        <f t="shared" si="15"/>
        <v>Y</v>
      </c>
      <c r="BR40" s="129" t="str">
        <f t="shared" si="16"/>
        <v>DETAINED</v>
      </c>
      <c r="BS40" s="129" t="str">
        <f t="shared" si="17"/>
        <v>DISPOSED</v>
      </c>
      <c r="BT40" s="129" t="str">
        <f t="shared" si="18"/>
        <v>Y</v>
      </c>
      <c r="BU40" s="109">
        <f t="shared" si="19"/>
        <v>0.2857142857142857</v>
      </c>
      <c r="BV40" s="109">
        <f t="shared" si="20"/>
        <v>1</v>
      </c>
      <c r="BW40" s="109">
        <f t="shared" si="21"/>
        <v>0.7142857142857143</v>
      </c>
      <c r="BX40" s="111">
        <f t="shared" si="22"/>
        <v>0</v>
      </c>
      <c r="BY40" s="129">
        <f t="shared" si="23"/>
        <v>-4</v>
      </c>
      <c r="BZ40" s="111">
        <f t="shared" si="24"/>
        <v>0</v>
      </c>
      <c r="CA40" s="138">
        <f t="shared" si="25"/>
        <v>4</v>
      </c>
      <c r="CB40" s="111" t="e">
        <f>IF(AF40&gt;1/1/1900,((AF40+1)-AE40),"STILL OPEN")</f>
        <v>#VALUE!</v>
      </c>
      <c r="CC40" s="129">
        <f t="shared" si="37"/>
        <v>4</v>
      </c>
      <c r="CD40" s="129">
        <f t="shared" si="38"/>
        <v>0</v>
      </c>
      <c r="CE40" s="129">
        <f t="shared" si="28"/>
        <v>0</v>
      </c>
      <c r="CF40" s="129">
        <f>J40-I40</f>
        <v>3</v>
      </c>
      <c r="CG40" s="129" t="str">
        <f t="shared" si="30"/>
        <v>Y</v>
      </c>
      <c r="CI40" s="129" t="str">
        <f t="shared" si="31"/>
        <v>0-10 DAYS</v>
      </c>
      <c r="CJ40" s="137">
        <f t="shared" si="32"/>
        <v>1</v>
      </c>
      <c r="CK40" s="129" t="str">
        <f t="shared" si="33"/>
        <v>Booked</v>
      </c>
    </row>
    <row r="41" spans="1:89" ht="15" customHeight="1" x14ac:dyDescent="0.25">
      <c r="A41" s="111">
        <v>121</v>
      </c>
      <c r="B41" s="128" t="str">
        <f t="shared" si="8"/>
        <v>N</v>
      </c>
      <c r="C41" s="128" t="str">
        <f t="shared" si="9"/>
        <v>N</v>
      </c>
      <c r="D41" s="117">
        <v>229429</v>
      </c>
      <c r="E41" s="135">
        <f t="shared" si="10"/>
        <v>5</v>
      </c>
      <c r="F41" s="124">
        <v>40914</v>
      </c>
      <c r="G41" s="125">
        <v>40917</v>
      </c>
      <c r="H41" s="117">
        <v>229429</v>
      </c>
      <c r="I41" s="124">
        <v>40914</v>
      </c>
      <c r="J41" s="124">
        <v>40917</v>
      </c>
      <c r="K41" s="126">
        <v>15000</v>
      </c>
      <c r="L41" s="127" t="s">
        <v>571</v>
      </c>
      <c r="N41" s="129" t="str">
        <f>IF(M41&gt;1/1/1,"Y","N")</f>
        <v>N</v>
      </c>
      <c r="O41" s="128" t="s">
        <v>917</v>
      </c>
      <c r="P41" s="129" t="s">
        <v>39</v>
      </c>
      <c r="Q41" s="111">
        <f>BF41</f>
        <v>4</v>
      </c>
      <c r="R41" s="111">
        <f t="shared" si="1"/>
        <v>4</v>
      </c>
      <c r="S41" s="129">
        <v>6</v>
      </c>
      <c r="T41" s="129">
        <v>2</v>
      </c>
      <c r="U41" s="129">
        <v>4</v>
      </c>
      <c r="V41" s="117">
        <v>1</v>
      </c>
      <c r="W41" s="111"/>
      <c r="AC41" s="130"/>
      <c r="AD41" s="130">
        <v>21543</v>
      </c>
      <c r="AE41" s="128" t="s">
        <v>32</v>
      </c>
      <c r="AF41" s="128" t="s">
        <v>33</v>
      </c>
      <c r="AG41" s="128" t="s">
        <v>872</v>
      </c>
      <c r="AH41" s="108" t="s">
        <v>58</v>
      </c>
      <c r="AI41" s="128" t="s">
        <v>141</v>
      </c>
      <c r="AJ41" s="129" t="s">
        <v>89</v>
      </c>
      <c r="AK41" s="129">
        <v>1</v>
      </c>
      <c r="AL41" s="3" t="s">
        <v>992</v>
      </c>
      <c r="AN41" s="117">
        <v>8</v>
      </c>
      <c r="AP41" s="129" t="s">
        <v>43</v>
      </c>
      <c r="AR41" s="128" t="s">
        <v>44</v>
      </c>
      <c r="AS41" s="129" t="s">
        <v>45</v>
      </c>
      <c r="BC41" s="129" t="s">
        <v>38</v>
      </c>
      <c r="BF41" s="111">
        <f>IF(J41&gt;1/1/1900,((J41+1)-I41),"STILL OPEN")</f>
        <v>4</v>
      </c>
      <c r="BG41" s="111">
        <f t="shared" si="39"/>
        <v>4</v>
      </c>
      <c r="BH41" s="111">
        <f t="shared" si="3"/>
        <v>4</v>
      </c>
      <c r="BI41" s="111">
        <f t="shared" si="4"/>
        <v>52.92622950819672</v>
      </c>
      <c r="BJ41" s="129">
        <f t="shared" si="12"/>
        <v>0</v>
      </c>
      <c r="BK41" s="129">
        <f t="shared" si="5"/>
        <v>0</v>
      </c>
      <c r="BL41" s="129" t="str">
        <f t="shared" si="6"/>
        <v>CONVICTION</v>
      </c>
      <c r="BM41" s="129" t="str">
        <f t="shared" si="13"/>
        <v>NONE</v>
      </c>
      <c r="BN41" s="129" t="s">
        <v>566</v>
      </c>
      <c r="BP41" s="137" t="str">
        <f t="shared" si="14"/>
        <v>CONVICTION</v>
      </c>
      <c r="BQ41" s="128" t="str">
        <f t="shared" si="15"/>
        <v>Y</v>
      </c>
      <c r="BR41" s="129" t="str">
        <f t="shared" si="16"/>
        <v>DETAINED</v>
      </c>
      <c r="BS41" s="129" t="str">
        <f t="shared" si="17"/>
        <v>DISPOSED</v>
      </c>
      <c r="BT41" s="129" t="str">
        <f t="shared" si="18"/>
        <v>Y</v>
      </c>
      <c r="BU41" s="109">
        <f t="shared" si="19"/>
        <v>1</v>
      </c>
      <c r="BV41" s="109">
        <f t="shared" si="20"/>
        <v>1</v>
      </c>
      <c r="BW41" s="109">
        <f t="shared" si="21"/>
        <v>0</v>
      </c>
      <c r="BX41" s="111">
        <f t="shared" si="22"/>
        <v>0</v>
      </c>
      <c r="BY41" s="129">
        <f t="shared" si="23"/>
        <v>-4</v>
      </c>
      <c r="BZ41" s="111">
        <f t="shared" si="24"/>
        <v>0</v>
      </c>
      <c r="CA41" s="138">
        <f t="shared" si="25"/>
        <v>4</v>
      </c>
      <c r="CB41" s="111" t="e">
        <f>IF(AF41&gt;1/1/1900,((AF41+1)-AE41),"STILL OPEN")</f>
        <v>#VALUE!</v>
      </c>
      <c r="CC41" s="129">
        <f t="shared" si="37"/>
        <v>4</v>
      </c>
      <c r="CD41" s="129">
        <f t="shared" si="38"/>
        <v>0</v>
      </c>
      <c r="CE41" s="129">
        <f t="shared" si="28"/>
        <v>0</v>
      </c>
      <c r="CF41" s="129">
        <f>J41-I41</f>
        <v>3</v>
      </c>
      <c r="CG41" s="129" t="str">
        <f t="shared" si="30"/>
        <v>Y</v>
      </c>
      <c r="CI41" s="129" t="str">
        <f t="shared" si="31"/>
        <v>0-10 DAYS</v>
      </c>
      <c r="CJ41" s="137">
        <f t="shared" si="32"/>
        <v>1</v>
      </c>
      <c r="CK41" s="129" t="str">
        <f t="shared" si="33"/>
        <v>Booked</v>
      </c>
    </row>
    <row r="42" spans="1:89" ht="15.75" customHeight="1" x14ac:dyDescent="0.25">
      <c r="A42" s="111">
        <v>2395</v>
      </c>
      <c r="B42" s="128" t="str">
        <f t="shared" si="8"/>
        <v>N</v>
      </c>
      <c r="C42" s="128" t="str">
        <f t="shared" si="9"/>
        <v>Y</v>
      </c>
      <c r="D42" s="117">
        <v>235494</v>
      </c>
      <c r="E42" s="135">
        <f t="shared" si="10"/>
        <v>2</v>
      </c>
      <c r="F42" s="124">
        <v>40999</v>
      </c>
      <c r="G42" s="125">
        <v>41065</v>
      </c>
      <c r="H42" s="117">
        <v>235494</v>
      </c>
      <c r="I42" s="124">
        <v>40999</v>
      </c>
      <c r="J42" s="124">
        <v>41000</v>
      </c>
      <c r="K42" s="126">
        <v>10000</v>
      </c>
      <c r="L42" s="127" t="s">
        <v>570</v>
      </c>
      <c r="M42" s="125">
        <v>41000</v>
      </c>
      <c r="N42" s="129" t="str">
        <f>IF(M42&gt;1/1/1,"Y","N")</f>
        <v>Y</v>
      </c>
      <c r="O42" s="128" t="s">
        <v>585</v>
      </c>
      <c r="P42" s="129" t="s">
        <v>589</v>
      </c>
      <c r="Q42" s="111">
        <v>39</v>
      </c>
      <c r="R42" s="111">
        <f t="shared" si="1"/>
        <v>67</v>
      </c>
      <c r="S42" s="129">
        <v>2</v>
      </c>
      <c r="T42" s="129">
        <v>2</v>
      </c>
      <c r="U42" s="129">
        <v>1</v>
      </c>
      <c r="W42" s="111"/>
      <c r="AC42" s="130"/>
      <c r="AD42" s="130">
        <v>20799</v>
      </c>
      <c r="AE42" s="128" t="s">
        <v>32</v>
      </c>
      <c r="AF42" s="128" t="s">
        <v>69</v>
      </c>
      <c r="AG42" s="128" t="s">
        <v>874</v>
      </c>
      <c r="AH42" s="108" t="s">
        <v>58</v>
      </c>
      <c r="AI42" s="128" t="s">
        <v>113</v>
      </c>
      <c r="AJ42" s="129" t="s">
        <v>48</v>
      </c>
      <c r="AK42" s="129">
        <v>7</v>
      </c>
      <c r="AL42" s="3" t="s">
        <v>48</v>
      </c>
      <c r="AP42" s="129" t="s">
        <v>49</v>
      </c>
      <c r="AR42" s="128" t="s">
        <v>50</v>
      </c>
      <c r="AS42" s="129" t="s">
        <v>45</v>
      </c>
      <c r="AT42" s="129" t="s">
        <v>1094</v>
      </c>
      <c r="AV42" s="3" t="s">
        <v>88</v>
      </c>
      <c r="AW42" s="129" t="s">
        <v>768</v>
      </c>
      <c r="BA42" s="125">
        <v>41100</v>
      </c>
      <c r="BB42" s="129">
        <v>329</v>
      </c>
      <c r="BC42" s="129" t="s">
        <v>38</v>
      </c>
      <c r="BF42" s="111">
        <v>39</v>
      </c>
      <c r="BG42" s="111">
        <f t="shared" si="39"/>
        <v>67</v>
      </c>
      <c r="BH42" s="111">
        <f t="shared" si="3"/>
        <v>67</v>
      </c>
      <c r="BI42" s="111">
        <f t="shared" si="4"/>
        <v>55.191256830601091</v>
      </c>
      <c r="BJ42" s="129">
        <f>(G42-J42)+(M42-G42)</f>
        <v>0</v>
      </c>
      <c r="BK42" s="129">
        <f t="shared" si="5"/>
        <v>-65</v>
      </c>
      <c r="BL42" s="129" t="str">
        <f t="shared" si="6"/>
        <v>DEFERRED</v>
      </c>
      <c r="BM42" s="129" t="s">
        <v>76</v>
      </c>
      <c r="BN42" s="129" t="s">
        <v>566</v>
      </c>
      <c r="BP42" s="137" t="str">
        <f t="shared" si="14"/>
        <v>DEFERRED</v>
      </c>
      <c r="BQ42" s="128" t="str">
        <f t="shared" si="15"/>
        <v>Y</v>
      </c>
      <c r="BR42" s="129" t="s">
        <v>574</v>
      </c>
      <c r="BS42" s="129" t="str">
        <f t="shared" si="17"/>
        <v>DISPOSED</v>
      </c>
      <c r="BT42" s="129" t="str">
        <f t="shared" si="18"/>
        <v>Y</v>
      </c>
      <c r="BU42" s="109">
        <f t="shared" si="19"/>
        <v>0.58208955223880599</v>
      </c>
      <c r="BV42" s="109">
        <f t="shared" si="20"/>
        <v>2.9850746268656716E-2</v>
      </c>
      <c r="BW42" s="109">
        <f t="shared" si="21"/>
        <v>-0.55223880597014929</v>
      </c>
      <c r="BX42" s="111">
        <f t="shared" si="22"/>
        <v>0</v>
      </c>
      <c r="BY42" s="129">
        <f t="shared" si="23"/>
        <v>-2</v>
      </c>
      <c r="BZ42" s="111">
        <f t="shared" si="24"/>
        <v>37</v>
      </c>
      <c r="CA42" s="138">
        <f t="shared" si="25"/>
        <v>67</v>
      </c>
      <c r="CB42" s="111">
        <v>39</v>
      </c>
      <c r="CC42" s="129">
        <f t="shared" si="37"/>
        <v>67</v>
      </c>
      <c r="CD42" s="129">
        <f t="shared" si="38"/>
        <v>65</v>
      </c>
      <c r="CE42" s="129">
        <f t="shared" si="28"/>
        <v>65</v>
      </c>
      <c r="CF42" s="129">
        <f>I42-J42</f>
        <v>-1</v>
      </c>
      <c r="CG42" s="129" t="str">
        <f t="shared" si="30"/>
        <v>Y</v>
      </c>
      <c r="CI42" s="129" t="str">
        <f t="shared" si="31"/>
        <v>31-60 DAYS</v>
      </c>
      <c r="CJ42" s="137">
        <f t="shared" si="32"/>
        <v>3</v>
      </c>
      <c r="CK42" s="129" t="str">
        <f t="shared" si="33"/>
        <v>Booked</v>
      </c>
    </row>
    <row r="43" spans="1:89" ht="15" customHeight="1" x14ac:dyDescent="0.25">
      <c r="A43" s="111">
        <v>2280</v>
      </c>
      <c r="B43" s="128" t="str">
        <f t="shared" si="8"/>
        <v>N</v>
      </c>
      <c r="C43" s="128" t="str">
        <f t="shared" si="9"/>
        <v>N</v>
      </c>
      <c r="D43" s="117">
        <v>235840</v>
      </c>
      <c r="E43" s="135">
        <f t="shared" si="10"/>
        <v>5</v>
      </c>
      <c r="F43" s="124">
        <v>40995</v>
      </c>
      <c r="G43" s="125">
        <v>41029</v>
      </c>
      <c r="H43" s="117">
        <v>235840</v>
      </c>
      <c r="I43" s="124">
        <v>40995</v>
      </c>
      <c r="J43" s="124">
        <v>41029</v>
      </c>
      <c r="K43" s="126">
        <v>15000</v>
      </c>
      <c r="L43" s="127" t="s">
        <v>571</v>
      </c>
      <c r="N43" s="129" t="str">
        <f>IF(M43&gt;1/1/1,"Y","N")</f>
        <v>N</v>
      </c>
      <c r="O43" s="128" t="s">
        <v>917</v>
      </c>
      <c r="P43" s="129" t="s">
        <v>39</v>
      </c>
      <c r="Q43" s="111">
        <f t="shared" ref="Q43:Q79" si="40">BF43</f>
        <v>35</v>
      </c>
      <c r="R43" s="111">
        <f t="shared" si="1"/>
        <v>35</v>
      </c>
      <c r="S43" s="129">
        <v>14</v>
      </c>
      <c r="T43" s="129">
        <v>5</v>
      </c>
      <c r="U43" s="129">
        <v>7</v>
      </c>
      <c r="W43" s="111"/>
      <c r="AC43" s="130"/>
      <c r="AD43" s="130">
        <v>21477</v>
      </c>
      <c r="AE43" s="128" t="s">
        <v>46</v>
      </c>
      <c r="AF43" s="128" t="s">
        <v>40</v>
      </c>
      <c r="AG43" s="128" t="s">
        <v>41</v>
      </c>
      <c r="AH43" s="108" t="s">
        <v>41</v>
      </c>
      <c r="AI43" s="128" t="s">
        <v>62</v>
      </c>
      <c r="AJ43" s="129" t="s">
        <v>89</v>
      </c>
      <c r="AK43" s="129">
        <v>5</v>
      </c>
      <c r="AL43" s="3" t="s">
        <v>992</v>
      </c>
      <c r="AN43" s="117">
        <v>6</v>
      </c>
      <c r="AP43" s="129" t="s">
        <v>43</v>
      </c>
      <c r="AR43" s="128" t="s">
        <v>44</v>
      </c>
      <c r="AS43" s="129" t="s">
        <v>45</v>
      </c>
      <c r="BC43" s="129" t="s">
        <v>38</v>
      </c>
      <c r="BF43" s="111">
        <f t="shared" ref="BF43:BF84" si="41">IF(J43&gt;1/1/1900,((J43+1)-I43),"STILL OPEN")</f>
        <v>35</v>
      </c>
      <c r="BG43" s="111">
        <f t="shared" si="39"/>
        <v>35</v>
      </c>
      <c r="BH43" s="111">
        <f t="shared" si="3"/>
        <v>35</v>
      </c>
      <c r="BI43" s="111">
        <f t="shared" si="4"/>
        <v>53.327868852459019</v>
      </c>
      <c r="BJ43" s="129">
        <f t="shared" si="12"/>
        <v>0</v>
      </c>
      <c r="BK43" s="129">
        <f t="shared" si="5"/>
        <v>0</v>
      </c>
      <c r="BL43" s="129" t="str">
        <f t="shared" si="6"/>
        <v>CONVICTION</v>
      </c>
      <c r="BM43" s="129" t="str">
        <f t="shared" si="13"/>
        <v>NONE</v>
      </c>
      <c r="BN43" s="129" t="s">
        <v>566</v>
      </c>
      <c r="BP43" s="137" t="str">
        <f t="shared" si="14"/>
        <v>CONVICTION</v>
      </c>
      <c r="BQ43" s="128" t="str">
        <f t="shared" si="15"/>
        <v>Y</v>
      </c>
      <c r="BR43" s="129" t="str">
        <f t="shared" si="16"/>
        <v>DETAINED</v>
      </c>
      <c r="BS43" s="129" t="str">
        <f t="shared" si="17"/>
        <v>DISPOSED</v>
      </c>
      <c r="BT43" s="129" t="str">
        <f t="shared" si="18"/>
        <v>Y</v>
      </c>
      <c r="BU43" s="109">
        <f t="shared" si="19"/>
        <v>1</v>
      </c>
      <c r="BV43" s="109">
        <f t="shared" si="20"/>
        <v>1</v>
      </c>
      <c r="BW43" s="109">
        <f t="shared" si="21"/>
        <v>0</v>
      </c>
      <c r="BX43" s="111">
        <f t="shared" si="22"/>
        <v>0</v>
      </c>
      <c r="BY43" s="129">
        <f t="shared" si="23"/>
        <v>-35</v>
      </c>
      <c r="BZ43" s="111">
        <f t="shared" si="24"/>
        <v>0</v>
      </c>
      <c r="CA43" s="138">
        <f t="shared" si="25"/>
        <v>35</v>
      </c>
      <c r="CB43" s="111" t="e">
        <f t="shared" ref="CB43:CB84" si="42">IF(AF43&gt;1/1/1900,((AF43+1)-AE43),"STILL OPEN")</f>
        <v>#VALUE!</v>
      </c>
      <c r="CC43" s="129">
        <f t="shared" si="37"/>
        <v>35</v>
      </c>
      <c r="CD43" s="129">
        <f t="shared" si="38"/>
        <v>0</v>
      </c>
      <c r="CE43" s="129">
        <f t="shared" si="28"/>
        <v>0</v>
      </c>
      <c r="CF43" s="129">
        <f t="shared" ref="CF43:CF62" si="43">J43-I43</f>
        <v>34</v>
      </c>
      <c r="CG43" s="129" t="str">
        <f t="shared" si="30"/>
        <v>Y</v>
      </c>
      <c r="CI43" s="129" t="str">
        <f t="shared" si="31"/>
        <v>31-60 DAYS</v>
      </c>
      <c r="CJ43" s="137">
        <f t="shared" si="32"/>
        <v>3</v>
      </c>
      <c r="CK43" s="129" t="str">
        <f t="shared" si="33"/>
        <v>Booked</v>
      </c>
    </row>
    <row r="44" spans="1:89" ht="15" customHeight="1" x14ac:dyDescent="0.25">
      <c r="A44" s="111">
        <v>1316</v>
      </c>
      <c r="B44" s="128" t="str">
        <f t="shared" si="8"/>
        <v>N</v>
      </c>
      <c r="C44" s="128" t="str">
        <f t="shared" si="9"/>
        <v>N</v>
      </c>
      <c r="D44" s="117">
        <v>240507</v>
      </c>
      <c r="E44" s="135">
        <f t="shared" si="10"/>
        <v>6</v>
      </c>
      <c r="F44" s="124">
        <v>40956</v>
      </c>
      <c r="G44" s="125">
        <v>41123</v>
      </c>
      <c r="H44" s="117">
        <v>240507</v>
      </c>
      <c r="I44" s="124">
        <v>40975</v>
      </c>
      <c r="J44" s="124">
        <v>41123</v>
      </c>
      <c r="K44" s="126" t="s">
        <v>564</v>
      </c>
      <c r="L44" s="127" t="s">
        <v>564</v>
      </c>
      <c r="N44" s="129" t="s">
        <v>566</v>
      </c>
      <c r="O44" s="128" t="s">
        <v>917</v>
      </c>
      <c r="P44" s="129" t="s">
        <v>39</v>
      </c>
      <c r="Q44" s="111">
        <f t="shared" si="40"/>
        <v>149</v>
      </c>
      <c r="R44" s="111">
        <f t="shared" si="1"/>
        <v>168</v>
      </c>
      <c r="S44" s="129">
        <v>7</v>
      </c>
      <c r="T44" s="129">
        <v>0</v>
      </c>
      <c r="U44" s="129">
        <v>2</v>
      </c>
      <c r="W44" s="111"/>
      <c r="AC44" s="130"/>
      <c r="AD44" s="130">
        <v>18980</v>
      </c>
      <c r="AE44" s="128" t="s">
        <v>32</v>
      </c>
      <c r="AF44" s="128" t="s">
        <v>33</v>
      </c>
      <c r="AG44" s="128" t="s">
        <v>872</v>
      </c>
      <c r="AH44" s="108" t="s">
        <v>58</v>
      </c>
      <c r="AI44" s="128" t="s">
        <v>85</v>
      </c>
      <c r="AJ44" s="129" t="s">
        <v>89</v>
      </c>
      <c r="AK44" s="129">
        <v>7</v>
      </c>
      <c r="AL44" s="3" t="s">
        <v>362</v>
      </c>
      <c r="AM44" s="117">
        <v>5</v>
      </c>
      <c r="AP44" s="129" t="s">
        <v>170</v>
      </c>
      <c r="AR44" s="128" t="s">
        <v>67</v>
      </c>
      <c r="AS44" s="129" t="s">
        <v>64</v>
      </c>
      <c r="AW44" s="123"/>
      <c r="AX44" s="123"/>
      <c r="BC44" s="129" t="s">
        <v>99</v>
      </c>
      <c r="BF44" s="111">
        <f t="shared" si="41"/>
        <v>149</v>
      </c>
      <c r="BG44" s="111">
        <f t="shared" si="39"/>
        <v>149</v>
      </c>
      <c r="BH44" s="111">
        <f t="shared" si="3"/>
        <v>168</v>
      </c>
      <c r="BI44" s="111">
        <f t="shared" si="4"/>
        <v>60.043715846994537</v>
      </c>
      <c r="BJ44" s="129">
        <f t="shared" si="12"/>
        <v>0</v>
      </c>
      <c r="BK44" s="129">
        <f t="shared" si="5"/>
        <v>0</v>
      </c>
      <c r="BL44" s="129" t="str">
        <f t="shared" si="6"/>
        <v>CONVICTION</v>
      </c>
      <c r="BM44" s="129" t="str">
        <f t="shared" si="13"/>
        <v>NONE</v>
      </c>
      <c r="BN44" s="129" t="s">
        <v>566</v>
      </c>
      <c r="BP44" s="137" t="str">
        <f t="shared" si="14"/>
        <v>CONVICTION</v>
      </c>
      <c r="BQ44" s="128" t="str">
        <f t="shared" si="15"/>
        <v>Y</v>
      </c>
      <c r="BR44" s="129" t="str">
        <f t="shared" si="16"/>
        <v>DETAINED</v>
      </c>
      <c r="BS44" s="129" t="str">
        <f t="shared" si="17"/>
        <v>DISPOSED</v>
      </c>
      <c r="BT44" s="129" t="str">
        <f t="shared" si="18"/>
        <v>Y</v>
      </c>
      <c r="BU44" s="109">
        <f t="shared" si="19"/>
        <v>0.88690476190476186</v>
      </c>
      <c r="BV44" s="109">
        <f t="shared" si="20"/>
        <v>1</v>
      </c>
      <c r="BW44" s="109">
        <f t="shared" si="21"/>
        <v>0.11309523809523814</v>
      </c>
      <c r="BX44" s="111">
        <f t="shared" si="22"/>
        <v>0</v>
      </c>
      <c r="BY44" s="129">
        <f t="shared" si="23"/>
        <v>-149</v>
      </c>
      <c r="BZ44" s="111">
        <f t="shared" si="24"/>
        <v>0</v>
      </c>
      <c r="CA44" s="138">
        <f t="shared" si="25"/>
        <v>149</v>
      </c>
      <c r="CB44" s="111" t="e">
        <f t="shared" si="42"/>
        <v>#VALUE!</v>
      </c>
      <c r="CC44" s="129">
        <f t="shared" si="37"/>
        <v>149</v>
      </c>
      <c r="CD44" s="129">
        <f t="shared" si="38"/>
        <v>0</v>
      </c>
      <c r="CE44" s="129">
        <f t="shared" si="28"/>
        <v>0</v>
      </c>
      <c r="CF44" s="129">
        <f t="shared" si="43"/>
        <v>148</v>
      </c>
      <c r="CG44" s="129" t="str">
        <f t="shared" si="30"/>
        <v>Y</v>
      </c>
      <c r="CI44" s="129" t="str">
        <f t="shared" si="31"/>
        <v>121-365 DAYS</v>
      </c>
      <c r="CJ44" s="137">
        <f t="shared" si="32"/>
        <v>6</v>
      </c>
      <c r="CK44" s="129" t="str">
        <f t="shared" si="33"/>
        <v>Booked</v>
      </c>
    </row>
    <row r="45" spans="1:89" ht="15.75" customHeight="1" x14ac:dyDescent="0.25">
      <c r="A45" s="111">
        <v>3190</v>
      </c>
      <c r="B45" s="128" t="str">
        <f t="shared" si="8"/>
        <v>N</v>
      </c>
      <c r="C45" s="128" t="str">
        <f t="shared" si="9"/>
        <v>N</v>
      </c>
      <c r="D45" s="117">
        <v>244117</v>
      </c>
      <c r="E45" s="135">
        <f t="shared" si="10"/>
        <v>6</v>
      </c>
      <c r="F45" s="124">
        <v>41026</v>
      </c>
      <c r="G45" s="125">
        <v>41302</v>
      </c>
      <c r="H45" s="117">
        <v>244117</v>
      </c>
      <c r="I45" s="124">
        <v>41026</v>
      </c>
      <c r="J45" s="125">
        <v>41302</v>
      </c>
      <c r="K45" s="126" t="s">
        <v>564</v>
      </c>
      <c r="L45" s="127" t="s">
        <v>564</v>
      </c>
      <c r="N45" s="129" t="s">
        <v>566</v>
      </c>
      <c r="O45" s="128" t="s">
        <v>917</v>
      </c>
      <c r="P45" s="129" t="s">
        <v>39</v>
      </c>
      <c r="Q45" s="111">
        <f t="shared" si="40"/>
        <v>277</v>
      </c>
      <c r="R45" s="111">
        <f t="shared" si="1"/>
        <v>277</v>
      </c>
      <c r="S45" s="129">
        <v>7</v>
      </c>
      <c r="T45" s="129">
        <v>3</v>
      </c>
      <c r="U45" s="129">
        <v>4</v>
      </c>
      <c r="W45" s="111"/>
      <c r="AC45" s="130"/>
      <c r="AD45" s="130">
        <v>21447</v>
      </c>
      <c r="AE45" s="128" t="s">
        <v>32</v>
      </c>
      <c r="AF45" s="128" t="s">
        <v>33</v>
      </c>
      <c r="AG45" s="128" t="s">
        <v>872</v>
      </c>
      <c r="AH45" s="108" t="s">
        <v>58</v>
      </c>
      <c r="AI45" s="128" t="s">
        <v>113</v>
      </c>
      <c r="AJ45" s="129" t="s">
        <v>89</v>
      </c>
      <c r="AK45" s="129">
        <v>6</v>
      </c>
      <c r="AL45" s="3" t="s">
        <v>362</v>
      </c>
      <c r="AM45" s="114">
        <v>25</v>
      </c>
      <c r="AP45" s="129" t="s">
        <v>105</v>
      </c>
      <c r="AR45" s="128" t="s">
        <v>92</v>
      </c>
      <c r="AS45" s="129" t="s">
        <v>106</v>
      </c>
      <c r="BC45" s="129" t="s">
        <v>38</v>
      </c>
      <c r="BF45" s="111">
        <f t="shared" si="41"/>
        <v>277</v>
      </c>
      <c r="BG45" s="111">
        <f t="shared" si="39"/>
        <v>277</v>
      </c>
      <c r="BH45" s="111">
        <f t="shared" si="3"/>
        <v>277</v>
      </c>
      <c r="BI45" s="111">
        <f t="shared" si="4"/>
        <v>53.494535519125684</v>
      </c>
      <c r="BJ45" s="129">
        <f t="shared" si="12"/>
        <v>0</v>
      </c>
      <c r="BK45" s="129">
        <f t="shared" si="5"/>
        <v>0</v>
      </c>
      <c r="BL45" s="129" t="str">
        <f t="shared" si="6"/>
        <v>CONVICTION</v>
      </c>
      <c r="BM45" s="129" t="str">
        <f t="shared" si="13"/>
        <v>NONE</v>
      </c>
      <c r="BN45" s="129" t="s">
        <v>566</v>
      </c>
      <c r="BP45" s="137" t="str">
        <f t="shared" si="14"/>
        <v>CONVICTION</v>
      </c>
      <c r="BQ45" s="128" t="str">
        <f t="shared" si="15"/>
        <v>Y</v>
      </c>
      <c r="BR45" s="129" t="str">
        <f t="shared" si="16"/>
        <v>DETAINED</v>
      </c>
      <c r="BS45" s="129" t="str">
        <f t="shared" si="17"/>
        <v>DISPOSED</v>
      </c>
      <c r="BT45" s="129" t="str">
        <f t="shared" si="18"/>
        <v>Y</v>
      </c>
      <c r="BU45" s="109">
        <f t="shared" si="19"/>
        <v>1</v>
      </c>
      <c r="BV45" s="109">
        <f t="shared" si="20"/>
        <v>1</v>
      </c>
      <c r="BW45" s="109">
        <f t="shared" si="21"/>
        <v>0</v>
      </c>
      <c r="BX45" s="111">
        <f t="shared" si="22"/>
        <v>0</v>
      </c>
      <c r="BY45" s="129">
        <f t="shared" si="23"/>
        <v>-277</v>
      </c>
      <c r="BZ45" s="111">
        <f t="shared" si="24"/>
        <v>0</v>
      </c>
      <c r="CA45" s="138">
        <f t="shared" si="25"/>
        <v>277</v>
      </c>
      <c r="CB45" s="111" t="e">
        <f t="shared" si="42"/>
        <v>#VALUE!</v>
      </c>
      <c r="CC45" s="129">
        <f t="shared" si="37"/>
        <v>277</v>
      </c>
      <c r="CD45" s="129">
        <f t="shared" si="38"/>
        <v>0</v>
      </c>
      <c r="CE45" s="129">
        <f t="shared" si="28"/>
        <v>0</v>
      </c>
      <c r="CF45" s="129">
        <f t="shared" si="43"/>
        <v>276</v>
      </c>
      <c r="CG45" s="129" t="str">
        <f t="shared" si="30"/>
        <v>Y</v>
      </c>
      <c r="CI45" s="129" t="str">
        <f t="shared" si="31"/>
        <v>121-365 DAYS</v>
      </c>
      <c r="CJ45" s="137">
        <f t="shared" si="32"/>
        <v>6</v>
      </c>
      <c r="CK45" s="129" t="str">
        <f t="shared" si="33"/>
        <v>Booked</v>
      </c>
    </row>
    <row r="46" spans="1:89" ht="15.75" customHeight="1" x14ac:dyDescent="0.25">
      <c r="A46" s="111">
        <v>1696</v>
      </c>
      <c r="B46" s="128" t="str">
        <f t="shared" si="8"/>
        <v>N</v>
      </c>
      <c r="C46" s="128" t="str">
        <f t="shared" si="9"/>
        <v>N</v>
      </c>
      <c r="D46" s="117">
        <v>249703</v>
      </c>
      <c r="E46" s="135">
        <f t="shared" si="10"/>
        <v>4</v>
      </c>
      <c r="F46" s="124">
        <v>40971</v>
      </c>
      <c r="G46" s="125">
        <v>40974</v>
      </c>
      <c r="H46" s="117">
        <v>249703</v>
      </c>
      <c r="I46" s="124">
        <v>40972</v>
      </c>
      <c r="J46" s="124">
        <v>40974</v>
      </c>
      <c r="K46" s="126">
        <v>15000</v>
      </c>
      <c r="L46" s="127" t="s">
        <v>571</v>
      </c>
      <c r="N46" s="129" t="str">
        <f t="shared" ref="N46:N58" si="44">IF(M46&gt;1/1/1,"Y","N")</f>
        <v>N</v>
      </c>
      <c r="O46" s="128" t="s">
        <v>917</v>
      </c>
      <c r="P46" s="129" t="s">
        <v>39</v>
      </c>
      <c r="Q46" s="111">
        <f t="shared" si="40"/>
        <v>3</v>
      </c>
      <c r="R46" s="111">
        <f t="shared" si="1"/>
        <v>4</v>
      </c>
      <c r="S46" s="129">
        <v>9</v>
      </c>
      <c r="T46" s="129">
        <v>4</v>
      </c>
      <c r="U46" s="129">
        <v>2</v>
      </c>
      <c r="W46" s="111"/>
      <c r="AC46" s="130"/>
      <c r="AD46" s="130">
        <v>22124</v>
      </c>
      <c r="AE46" s="128" t="s">
        <v>32</v>
      </c>
      <c r="AF46" s="128" t="s">
        <v>33</v>
      </c>
      <c r="AG46" s="128" t="s">
        <v>872</v>
      </c>
      <c r="AH46" s="108" t="s">
        <v>58</v>
      </c>
      <c r="AI46" s="128" t="s">
        <v>114</v>
      </c>
      <c r="AJ46" s="129" t="s">
        <v>89</v>
      </c>
      <c r="AK46" s="129">
        <v>2</v>
      </c>
      <c r="AL46" s="3" t="s">
        <v>991</v>
      </c>
      <c r="AO46" s="128">
        <v>90</v>
      </c>
      <c r="AP46" s="129" t="s">
        <v>43</v>
      </c>
      <c r="AR46" s="128" t="s">
        <v>44</v>
      </c>
      <c r="AS46" s="129" t="s">
        <v>45</v>
      </c>
      <c r="AT46" s="129" t="s">
        <v>365</v>
      </c>
      <c r="BC46" s="129" t="s">
        <v>38</v>
      </c>
      <c r="BF46" s="111">
        <f t="shared" si="41"/>
        <v>3</v>
      </c>
      <c r="BG46" s="111">
        <f t="shared" si="39"/>
        <v>3</v>
      </c>
      <c r="BH46" s="111">
        <f t="shared" si="3"/>
        <v>4</v>
      </c>
      <c r="BI46" s="111">
        <f t="shared" si="4"/>
        <v>51.494535519125684</v>
      </c>
      <c r="BJ46" s="129">
        <f t="shared" si="12"/>
        <v>0</v>
      </c>
      <c r="BK46" s="129">
        <f t="shared" si="5"/>
        <v>0</v>
      </c>
      <c r="BL46" s="129" t="str">
        <f t="shared" si="6"/>
        <v>CONVICTION</v>
      </c>
      <c r="BM46" s="129" t="str">
        <f t="shared" si="13"/>
        <v>NONE</v>
      </c>
      <c r="BN46" s="129" t="s">
        <v>566</v>
      </c>
      <c r="BP46" s="137" t="str">
        <f t="shared" si="14"/>
        <v>CONVICTION</v>
      </c>
      <c r="BQ46" s="128" t="str">
        <f t="shared" si="15"/>
        <v>Y</v>
      </c>
      <c r="BR46" s="129" t="str">
        <f t="shared" si="16"/>
        <v>DETAINED</v>
      </c>
      <c r="BS46" s="129" t="str">
        <f t="shared" si="17"/>
        <v>DISPOSED</v>
      </c>
      <c r="BT46" s="129" t="str">
        <f t="shared" si="18"/>
        <v>Y</v>
      </c>
      <c r="BU46" s="109">
        <f t="shared" si="19"/>
        <v>0.75</v>
      </c>
      <c r="BV46" s="109">
        <f t="shared" si="20"/>
        <v>1</v>
      </c>
      <c r="BW46" s="109">
        <f t="shared" si="21"/>
        <v>0.25</v>
      </c>
      <c r="BX46" s="111">
        <f t="shared" si="22"/>
        <v>0</v>
      </c>
      <c r="BY46" s="129">
        <f t="shared" si="23"/>
        <v>-3</v>
      </c>
      <c r="BZ46" s="111">
        <f t="shared" si="24"/>
        <v>0</v>
      </c>
      <c r="CA46" s="138">
        <f t="shared" si="25"/>
        <v>3</v>
      </c>
      <c r="CB46" s="111" t="e">
        <f t="shared" si="42"/>
        <v>#VALUE!</v>
      </c>
      <c r="CC46" s="129">
        <f t="shared" si="37"/>
        <v>3</v>
      </c>
      <c r="CD46" s="129">
        <f t="shared" si="38"/>
        <v>0</v>
      </c>
      <c r="CE46" s="129">
        <f t="shared" si="28"/>
        <v>0</v>
      </c>
      <c r="CF46" s="129">
        <f t="shared" si="43"/>
        <v>2</v>
      </c>
      <c r="CG46" s="129" t="str">
        <f t="shared" si="30"/>
        <v>Y</v>
      </c>
      <c r="CI46" s="129" t="str">
        <f t="shared" si="31"/>
        <v>0-10 DAYS</v>
      </c>
      <c r="CJ46" s="137">
        <f t="shared" si="32"/>
        <v>1</v>
      </c>
      <c r="CK46" s="129" t="str">
        <f t="shared" si="33"/>
        <v>Booked</v>
      </c>
    </row>
    <row r="47" spans="1:89" ht="15" customHeight="1" x14ac:dyDescent="0.25">
      <c r="A47" s="111">
        <v>1895</v>
      </c>
      <c r="B47" s="128" t="str">
        <f t="shared" si="8"/>
        <v>N</v>
      </c>
      <c r="C47" s="128" t="str">
        <f t="shared" si="9"/>
        <v>N</v>
      </c>
      <c r="D47" s="117">
        <v>252961</v>
      </c>
      <c r="E47" s="135">
        <f t="shared" si="10"/>
        <v>5</v>
      </c>
      <c r="F47" s="124">
        <v>40979</v>
      </c>
      <c r="G47" s="125">
        <v>40981</v>
      </c>
      <c r="H47" s="117">
        <v>252961</v>
      </c>
      <c r="I47" s="124">
        <v>40979</v>
      </c>
      <c r="J47" s="124">
        <v>40981</v>
      </c>
      <c r="K47" s="126">
        <v>15000</v>
      </c>
      <c r="L47" s="127" t="s">
        <v>571</v>
      </c>
      <c r="N47" s="129" t="str">
        <f t="shared" si="44"/>
        <v>N</v>
      </c>
      <c r="O47" s="128" t="s">
        <v>917</v>
      </c>
      <c r="P47" s="129" t="s">
        <v>39</v>
      </c>
      <c r="Q47" s="111">
        <f t="shared" si="40"/>
        <v>3</v>
      </c>
      <c r="R47" s="111">
        <f t="shared" si="1"/>
        <v>3</v>
      </c>
      <c r="S47" s="129">
        <v>4</v>
      </c>
      <c r="T47" s="129">
        <v>3</v>
      </c>
      <c r="V47" s="117">
        <v>2</v>
      </c>
      <c r="W47" s="111"/>
      <c r="AC47" s="130"/>
      <c r="AD47" s="130">
        <v>21077</v>
      </c>
      <c r="AE47" s="128" t="s">
        <v>32</v>
      </c>
      <c r="AF47" s="128" t="s">
        <v>33</v>
      </c>
      <c r="AG47" s="128" t="s">
        <v>872</v>
      </c>
      <c r="AH47" s="108" t="s">
        <v>58</v>
      </c>
      <c r="AI47" s="128" t="s">
        <v>34</v>
      </c>
      <c r="AJ47" s="129" t="s">
        <v>89</v>
      </c>
      <c r="AK47" s="129">
        <v>2</v>
      </c>
      <c r="AL47" s="3" t="s">
        <v>992</v>
      </c>
      <c r="AN47" s="117">
        <v>6</v>
      </c>
      <c r="AP47" s="129" t="s">
        <v>43</v>
      </c>
      <c r="AR47" s="128" t="s">
        <v>44</v>
      </c>
      <c r="AS47" s="129" t="s">
        <v>45</v>
      </c>
      <c r="BC47" s="129" t="s">
        <v>38</v>
      </c>
      <c r="BF47" s="111">
        <f t="shared" si="41"/>
        <v>3</v>
      </c>
      <c r="BG47" s="111">
        <f t="shared" si="39"/>
        <v>3</v>
      </c>
      <c r="BH47" s="111">
        <f t="shared" si="3"/>
        <v>3</v>
      </c>
      <c r="BI47" s="111">
        <f t="shared" si="4"/>
        <v>54.377049180327866</v>
      </c>
      <c r="BJ47" s="129">
        <f t="shared" si="12"/>
        <v>0</v>
      </c>
      <c r="BK47" s="129">
        <f t="shared" si="5"/>
        <v>0</v>
      </c>
      <c r="BL47" s="129" t="str">
        <f t="shared" si="6"/>
        <v>CONVICTION</v>
      </c>
      <c r="BM47" s="129" t="str">
        <f t="shared" si="13"/>
        <v>NONE</v>
      </c>
      <c r="BN47" s="129" t="s">
        <v>566</v>
      </c>
      <c r="BP47" s="137" t="str">
        <f t="shared" si="14"/>
        <v>CONVICTION</v>
      </c>
      <c r="BQ47" s="128" t="str">
        <f t="shared" si="15"/>
        <v>Y</v>
      </c>
      <c r="BR47" s="129" t="str">
        <f t="shared" si="16"/>
        <v>DETAINED</v>
      </c>
      <c r="BS47" s="129" t="str">
        <f t="shared" si="17"/>
        <v>DISPOSED</v>
      </c>
      <c r="BT47" s="129" t="str">
        <f t="shared" si="18"/>
        <v>Y</v>
      </c>
      <c r="BU47" s="109">
        <f t="shared" si="19"/>
        <v>1</v>
      </c>
      <c r="BV47" s="109">
        <f t="shared" si="20"/>
        <v>1</v>
      </c>
      <c r="BW47" s="109">
        <f t="shared" si="21"/>
        <v>0</v>
      </c>
      <c r="BX47" s="111">
        <f t="shared" si="22"/>
        <v>0</v>
      </c>
      <c r="BY47" s="129">
        <f t="shared" si="23"/>
        <v>-3</v>
      </c>
      <c r="BZ47" s="111">
        <f t="shared" si="24"/>
        <v>0</v>
      </c>
      <c r="CA47" s="138">
        <f t="shared" si="25"/>
        <v>3</v>
      </c>
      <c r="CB47" s="111" t="e">
        <f t="shared" si="42"/>
        <v>#VALUE!</v>
      </c>
      <c r="CC47" s="129">
        <f t="shared" si="37"/>
        <v>3</v>
      </c>
      <c r="CD47" s="129">
        <f t="shared" si="38"/>
        <v>0</v>
      </c>
      <c r="CE47" s="129">
        <f t="shared" si="28"/>
        <v>0</v>
      </c>
      <c r="CF47" s="129">
        <f t="shared" si="43"/>
        <v>2</v>
      </c>
      <c r="CG47" s="129" t="str">
        <f t="shared" si="30"/>
        <v>Y</v>
      </c>
      <c r="CI47" s="129" t="str">
        <f t="shared" si="31"/>
        <v>0-10 DAYS</v>
      </c>
      <c r="CJ47" s="137">
        <f t="shared" si="32"/>
        <v>1</v>
      </c>
      <c r="CK47" s="129" t="str">
        <f t="shared" si="33"/>
        <v>Booked</v>
      </c>
    </row>
    <row r="48" spans="1:89" ht="15" customHeight="1" x14ac:dyDescent="0.25">
      <c r="A48" s="111">
        <v>1432</v>
      </c>
      <c r="B48" s="128" t="str">
        <f t="shared" si="8"/>
        <v>N</v>
      </c>
      <c r="C48" s="128" t="str">
        <f t="shared" si="9"/>
        <v>N</v>
      </c>
      <c r="D48" s="117">
        <v>257111</v>
      </c>
      <c r="E48" s="135">
        <f t="shared" si="10"/>
        <v>4</v>
      </c>
      <c r="F48" s="124">
        <v>40961</v>
      </c>
      <c r="G48" s="125">
        <v>41309</v>
      </c>
      <c r="H48" s="117">
        <v>257111</v>
      </c>
      <c r="I48" s="124">
        <v>40962</v>
      </c>
      <c r="J48" s="124">
        <v>40964</v>
      </c>
      <c r="K48" s="126">
        <v>15000</v>
      </c>
      <c r="L48" s="127" t="s">
        <v>571</v>
      </c>
      <c r="M48" s="125">
        <v>40964</v>
      </c>
      <c r="N48" s="129" t="str">
        <f t="shared" si="44"/>
        <v>Y</v>
      </c>
      <c r="O48" s="128" t="s">
        <v>76</v>
      </c>
      <c r="P48" s="129" t="s">
        <v>39</v>
      </c>
      <c r="Q48" s="111">
        <f t="shared" si="40"/>
        <v>3</v>
      </c>
      <c r="R48" s="111">
        <f t="shared" si="1"/>
        <v>349</v>
      </c>
      <c r="S48" s="129">
        <v>5</v>
      </c>
      <c r="T48" s="129">
        <v>0</v>
      </c>
      <c r="U48" s="129">
        <v>5</v>
      </c>
      <c r="W48" s="111"/>
      <c r="AC48" s="130"/>
      <c r="AD48" s="130">
        <v>21916</v>
      </c>
      <c r="AE48" s="128" t="s">
        <v>46</v>
      </c>
      <c r="AF48" s="128" t="s">
        <v>33</v>
      </c>
      <c r="AG48" s="128" t="s">
        <v>872</v>
      </c>
      <c r="AH48" s="108" t="s">
        <v>58</v>
      </c>
      <c r="AI48" s="128" t="s">
        <v>34</v>
      </c>
      <c r="AJ48" s="129" t="s">
        <v>89</v>
      </c>
      <c r="AK48" s="129">
        <v>13</v>
      </c>
      <c r="AL48" s="3" t="s">
        <v>991</v>
      </c>
      <c r="AO48" s="128">
        <v>30</v>
      </c>
      <c r="AP48" s="129" t="s">
        <v>43</v>
      </c>
      <c r="AR48" s="128" t="s">
        <v>44</v>
      </c>
      <c r="AS48" s="129" t="s">
        <v>45</v>
      </c>
      <c r="BC48" s="129" t="s">
        <v>52</v>
      </c>
      <c r="BF48" s="111">
        <f t="shared" si="41"/>
        <v>3</v>
      </c>
      <c r="BG48" s="111">
        <f t="shared" si="39"/>
        <v>348</v>
      </c>
      <c r="BH48" s="111">
        <f t="shared" si="3"/>
        <v>349</v>
      </c>
      <c r="BI48" s="111">
        <f t="shared" si="4"/>
        <v>52.035519125683059</v>
      </c>
      <c r="BJ48" s="129">
        <f>(G48-J48)+(M48-G48)</f>
        <v>0</v>
      </c>
      <c r="BK48" s="129">
        <f t="shared" si="5"/>
        <v>-345</v>
      </c>
      <c r="BL48" s="129" t="str">
        <f t="shared" si="6"/>
        <v>CONVICTION</v>
      </c>
      <c r="BM48" s="129" t="s">
        <v>76</v>
      </c>
      <c r="BN48" s="129" t="s">
        <v>88</v>
      </c>
      <c r="BP48" s="137" t="str">
        <f t="shared" si="14"/>
        <v>CONVICTION</v>
      </c>
      <c r="BQ48" s="128" t="str">
        <f t="shared" si="15"/>
        <v>Y</v>
      </c>
      <c r="BR48" s="129" t="str">
        <f>IF(J48&lt;G48,"ON BOND",0)</f>
        <v>ON BOND</v>
      </c>
      <c r="BS48" s="129" t="str">
        <f t="shared" si="17"/>
        <v>DISPOSED</v>
      </c>
      <c r="BT48" s="129" t="str">
        <f t="shared" si="18"/>
        <v>Y</v>
      </c>
      <c r="BU48" s="109">
        <f t="shared" si="19"/>
        <v>8.5959885386819486E-3</v>
      </c>
      <c r="BV48" s="109">
        <f t="shared" si="20"/>
        <v>8.6206896551724137E-3</v>
      </c>
      <c r="BW48" s="109">
        <f t="shared" si="21"/>
        <v>2.470111649046508E-5</v>
      </c>
      <c r="BX48" s="111">
        <f t="shared" si="22"/>
        <v>0</v>
      </c>
      <c r="BY48" s="129">
        <f t="shared" si="23"/>
        <v>-3</v>
      </c>
      <c r="BZ48" s="111">
        <f t="shared" si="24"/>
        <v>0</v>
      </c>
      <c r="CA48" s="138">
        <f t="shared" si="25"/>
        <v>3</v>
      </c>
      <c r="CB48" s="111" t="e">
        <f t="shared" si="42"/>
        <v>#VALUE!</v>
      </c>
      <c r="CC48" s="129">
        <f>M48-I48+1</f>
        <v>3</v>
      </c>
      <c r="CD48" s="111">
        <f>CC48-BF48</f>
        <v>0</v>
      </c>
      <c r="CE48" s="129">
        <f t="shared" si="28"/>
        <v>345</v>
      </c>
      <c r="CF48" s="129">
        <f t="shared" si="43"/>
        <v>2</v>
      </c>
      <c r="CG48" s="129" t="str">
        <f t="shared" si="30"/>
        <v>Y</v>
      </c>
      <c r="CI48" s="129" t="str">
        <f t="shared" si="31"/>
        <v>0-10 DAYS</v>
      </c>
      <c r="CJ48" s="137">
        <f t="shared" si="32"/>
        <v>1</v>
      </c>
      <c r="CK48" s="129" t="str">
        <f t="shared" si="33"/>
        <v>Booked</v>
      </c>
    </row>
    <row r="49" spans="1:89" ht="15.75" customHeight="1" x14ac:dyDescent="0.25">
      <c r="A49" s="111">
        <v>2529</v>
      </c>
      <c r="B49" s="128" t="str">
        <f t="shared" si="8"/>
        <v>N</v>
      </c>
      <c r="C49" s="128" t="str">
        <f t="shared" si="9"/>
        <v>N</v>
      </c>
      <c r="D49" s="117">
        <v>267721</v>
      </c>
      <c r="E49" s="135">
        <f t="shared" si="10"/>
        <v>1</v>
      </c>
      <c r="F49" s="124">
        <v>41003</v>
      </c>
      <c r="G49" s="125">
        <v>41024</v>
      </c>
      <c r="H49" s="117">
        <v>267721</v>
      </c>
      <c r="I49" s="124">
        <v>41004</v>
      </c>
      <c r="J49" s="124">
        <v>41024</v>
      </c>
      <c r="K49" s="126">
        <v>5000</v>
      </c>
      <c r="L49" s="127" t="s">
        <v>569</v>
      </c>
      <c r="N49" s="129" t="str">
        <f t="shared" si="44"/>
        <v>N</v>
      </c>
      <c r="O49" s="128" t="s">
        <v>917</v>
      </c>
      <c r="P49" s="129" t="s">
        <v>55</v>
      </c>
      <c r="Q49" s="111">
        <f t="shared" si="40"/>
        <v>21</v>
      </c>
      <c r="R49" s="111">
        <f t="shared" si="1"/>
        <v>22</v>
      </c>
      <c r="S49" s="129">
        <v>1</v>
      </c>
      <c r="T49" s="129">
        <v>1</v>
      </c>
      <c r="W49" s="111"/>
      <c r="AC49" s="130"/>
      <c r="AD49" s="130">
        <v>20473</v>
      </c>
      <c r="AE49" s="128" t="s">
        <v>32</v>
      </c>
      <c r="AF49" s="128" t="s">
        <v>33</v>
      </c>
      <c r="AG49" s="128" t="s">
        <v>872</v>
      </c>
      <c r="AH49" s="108" t="s">
        <v>58</v>
      </c>
      <c r="AI49" s="128" t="s">
        <v>87</v>
      </c>
      <c r="AJ49" s="129" t="s">
        <v>55</v>
      </c>
      <c r="AK49" s="129">
        <v>3</v>
      </c>
      <c r="AL49" s="3" t="s">
        <v>55</v>
      </c>
      <c r="AP49" s="129" t="s">
        <v>43</v>
      </c>
      <c r="AR49" s="128" t="s">
        <v>44</v>
      </c>
      <c r="AS49" s="129" t="s">
        <v>45</v>
      </c>
      <c r="BC49" s="129" t="s">
        <v>79</v>
      </c>
      <c r="BF49" s="111">
        <f t="shared" si="41"/>
        <v>21</v>
      </c>
      <c r="BG49" s="111">
        <f t="shared" si="39"/>
        <v>21</v>
      </c>
      <c r="BH49" s="111">
        <f t="shared" si="3"/>
        <v>22</v>
      </c>
      <c r="BI49" s="111">
        <f t="shared" si="4"/>
        <v>56.092896174863391</v>
      </c>
      <c r="BJ49" s="129">
        <f t="shared" si="12"/>
        <v>0</v>
      </c>
      <c r="BK49" s="129">
        <f t="shared" si="5"/>
        <v>0</v>
      </c>
      <c r="BL49" s="129" t="str">
        <f t="shared" si="6"/>
        <v>NO CONVICTION</v>
      </c>
      <c r="BM49" s="129" t="str">
        <f t="shared" si="13"/>
        <v>NONE</v>
      </c>
      <c r="BN49" s="129" t="s">
        <v>566</v>
      </c>
      <c r="BP49" s="137" t="str">
        <f t="shared" si="14"/>
        <v>NO CONVICTION</v>
      </c>
      <c r="BQ49" s="128" t="str">
        <f t="shared" si="15"/>
        <v>Y</v>
      </c>
      <c r="BR49" s="129" t="str">
        <f t="shared" si="16"/>
        <v>DETAINED</v>
      </c>
      <c r="BS49" s="129" t="str">
        <f t="shared" si="17"/>
        <v>DISPOSED</v>
      </c>
      <c r="BT49" s="129" t="str">
        <f t="shared" si="18"/>
        <v>Y</v>
      </c>
      <c r="BU49" s="109">
        <f>IFERROR(Q49/R49,BR49)</f>
        <v>0.95454545454545459</v>
      </c>
      <c r="BV49" s="109">
        <f t="shared" si="20"/>
        <v>1</v>
      </c>
      <c r="BW49" s="109">
        <f t="shared" si="21"/>
        <v>4.5454545454545414E-2</v>
      </c>
      <c r="BX49" s="111">
        <f t="shared" si="22"/>
        <v>0</v>
      </c>
      <c r="BY49" s="129">
        <f t="shared" si="23"/>
        <v>-21</v>
      </c>
      <c r="BZ49" s="111">
        <f t="shared" si="24"/>
        <v>0</v>
      </c>
      <c r="CA49" s="138">
        <f t="shared" si="25"/>
        <v>21</v>
      </c>
      <c r="CB49" s="111" t="e">
        <f t="shared" si="42"/>
        <v>#VALUE!</v>
      </c>
      <c r="CC49" s="129">
        <f>G49-I49+1</f>
        <v>21</v>
      </c>
      <c r="CD49" s="129">
        <f>G49-J49</f>
        <v>0</v>
      </c>
      <c r="CE49" s="129">
        <f t="shared" si="28"/>
        <v>0</v>
      </c>
      <c r="CF49" s="129">
        <f t="shared" si="43"/>
        <v>20</v>
      </c>
      <c r="CG49" s="129" t="str">
        <f t="shared" si="30"/>
        <v>Y</v>
      </c>
      <c r="CI49" s="129" t="str">
        <f t="shared" si="31"/>
        <v>11-30 DAYS</v>
      </c>
      <c r="CJ49" s="137">
        <f t="shared" si="32"/>
        <v>2</v>
      </c>
      <c r="CK49" s="129" t="str">
        <f t="shared" si="33"/>
        <v>Booked</v>
      </c>
    </row>
    <row r="50" spans="1:89" ht="15" customHeight="1" x14ac:dyDescent="0.25">
      <c r="A50" s="111">
        <v>2330</v>
      </c>
      <c r="B50" s="128" t="str">
        <f t="shared" si="8"/>
        <v>N</v>
      </c>
      <c r="C50" s="128" t="str">
        <f t="shared" si="9"/>
        <v>N</v>
      </c>
      <c r="D50" s="117">
        <v>276817</v>
      </c>
      <c r="E50" s="135">
        <f t="shared" si="10"/>
        <v>5</v>
      </c>
      <c r="F50" s="124">
        <v>40997</v>
      </c>
      <c r="G50" s="125">
        <v>41130</v>
      </c>
      <c r="H50" s="117">
        <v>276817</v>
      </c>
      <c r="I50" s="124">
        <v>40997</v>
      </c>
      <c r="J50" s="124">
        <v>41130</v>
      </c>
      <c r="K50" s="126">
        <v>15000</v>
      </c>
      <c r="L50" s="127" t="s">
        <v>571</v>
      </c>
      <c r="N50" s="129" t="str">
        <f t="shared" si="44"/>
        <v>N</v>
      </c>
      <c r="O50" s="128" t="s">
        <v>917</v>
      </c>
      <c r="P50" s="129" t="s">
        <v>39</v>
      </c>
      <c r="Q50" s="111">
        <f t="shared" si="40"/>
        <v>134</v>
      </c>
      <c r="R50" s="111">
        <f t="shared" si="1"/>
        <v>134</v>
      </c>
      <c r="S50" s="129">
        <v>9</v>
      </c>
      <c r="T50" s="129">
        <v>2</v>
      </c>
      <c r="U50" s="129">
        <v>6</v>
      </c>
      <c r="W50" s="111"/>
      <c r="AC50" s="130"/>
      <c r="AD50" s="130">
        <v>21849</v>
      </c>
      <c r="AE50" s="128" t="s">
        <v>32</v>
      </c>
      <c r="AF50" s="128" t="s">
        <v>33</v>
      </c>
      <c r="AG50" s="128" t="s">
        <v>872</v>
      </c>
      <c r="AH50" s="108" t="s">
        <v>58</v>
      </c>
      <c r="AI50" s="128" t="s">
        <v>53</v>
      </c>
      <c r="AJ50" s="129" t="s">
        <v>89</v>
      </c>
      <c r="AK50" s="129">
        <v>7</v>
      </c>
      <c r="AL50" s="3" t="s">
        <v>992</v>
      </c>
      <c r="AN50" s="117">
        <v>6</v>
      </c>
      <c r="AP50" s="129" t="s">
        <v>211</v>
      </c>
      <c r="AR50" s="128" t="s">
        <v>44</v>
      </c>
      <c r="AS50" s="129" t="s">
        <v>82</v>
      </c>
      <c r="BC50" s="129" t="s">
        <v>38</v>
      </c>
      <c r="BF50" s="111">
        <f t="shared" si="41"/>
        <v>134</v>
      </c>
      <c r="BG50" s="111">
        <f t="shared" si="39"/>
        <v>134</v>
      </c>
      <c r="BH50" s="111">
        <f t="shared" si="3"/>
        <v>134</v>
      </c>
      <c r="BI50" s="111">
        <f t="shared" si="4"/>
        <v>52.31693989071038</v>
      </c>
      <c r="BJ50" s="129">
        <f t="shared" si="12"/>
        <v>0</v>
      </c>
      <c r="BK50" s="129">
        <f t="shared" si="5"/>
        <v>0</v>
      </c>
      <c r="BL50" s="129" t="str">
        <f t="shared" si="6"/>
        <v>CONVICTION</v>
      </c>
      <c r="BM50" s="129" t="str">
        <f t="shared" si="13"/>
        <v>NONE</v>
      </c>
      <c r="BN50" s="129" t="s">
        <v>566</v>
      </c>
      <c r="BP50" s="137" t="str">
        <f t="shared" si="14"/>
        <v>CONVICTION</v>
      </c>
      <c r="BQ50" s="128" t="str">
        <f t="shared" si="15"/>
        <v>Y</v>
      </c>
      <c r="BR50" s="129" t="str">
        <f t="shared" si="16"/>
        <v>DETAINED</v>
      </c>
      <c r="BS50" s="129" t="str">
        <f t="shared" si="17"/>
        <v>DISPOSED</v>
      </c>
      <c r="BT50" s="129" t="str">
        <f t="shared" si="18"/>
        <v>Y</v>
      </c>
      <c r="BU50" s="109">
        <f t="shared" si="19"/>
        <v>1</v>
      </c>
      <c r="BV50" s="109">
        <f t="shared" si="20"/>
        <v>1</v>
      </c>
      <c r="BW50" s="109">
        <f t="shared" si="21"/>
        <v>0</v>
      </c>
      <c r="BX50" s="111">
        <f t="shared" si="22"/>
        <v>0</v>
      </c>
      <c r="BY50" s="129">
        <f t="shared" si="23"/>
        <v>-134</v>
      </c>
      <c r="BZ50" s="111">
        <f t="shared" si="24"/>
        <v>0</v>
      </c>
      <c r="CA50" s="138">
        <f t="shared" si="25"/>
        <v>134</v>
      </c>
      <c r="CB50" s="111" t="e">
        <f t="shared" si="42"/>
        <v>#VALUE!</v>
      </c>
      <c r="CC50" s="129">
        <f>G50-I50+1</f>
        <v>134</v>
      </c>
      <c r="CD50" s="129">
        <f>G50-J50</f>
        <v>0</v>
      </c>
      <c r="CE50" s="129">
        <f t="shared" si="28"/>
        <v>0</v>
      </c>
      <c r="CF50" s="129">
        <f t="shared" si="43"/>
        <v>133</v>
      </c>
      <c r="CG50" s="129" t="str">
        <f t="shared" si="30"/>
        <v>Y</v>
      </c>
      <c r="CI50" s="129" t="str">
        <f t="shared" si="31"/>
        <v>121-365 DAYS</v>
      </c>
      <c r="CJ50" s="137">
        <f t="shared" si="32"/>
        <v>6</v>
      </c>
      <c r="CK50" s="129" t="str">
        <f t="shared" si="33"/>
        <v>Booked</v>
      </c>
    </row>
    <row r="51" spans="1:89" ht="15" customHeight="1" x14ac:dyDescent="0.25">
      <c r="A51" s="111">
        <v>2172</v>
      </c>
      <c r="B51" s="128" t="str">
        <f t="shared" si="8"/>
        <v>N</v>
      </c>
      <c r="C51" s="128" t="str">
        <f t="shared" si="9"/>
        <v>N</v>
      </c>
      <c r="D51" s="117">
        <v>277444</v>
      </c>
      <c r="E51" s="135">
        <f t="shared" si="10"/>
        <v>5</v>
      </c>
      <c r="F51" s="124">
        <v>40990</v>
      </c>
      <c r="G51" s="125">
        <v>41087</v>
      </c>
      <c r="H51" s="117">
        <v>277444</v>
      </c>
      <c r="I51" s="124">
        <v>40990</v>
      </c>
      <c r="J51" s="124">
        <v>41087</v>
      </c>
      <c r="K51" s="126">
        <v>15000</v>
      </c>
      <c r="L51" s="127" t="s">
        <v>571</v>
      </c>
      <c r="N51" s="129" t="str">
        <f t="shared" si="44"/>
        <v>N</v>
      </c>
      <c r="O51" s="128" t="s">
        <v>917</v>
      </c>
      <c r="P51" s="129" t="s">
        <v>39</v>
      </c>
      <c r="Q51" s="111">
        <f t="shared" si="40"/>
        <v>98</v>
      </c>
      <c r="R51" s="111">
        <f t="shared" si="1"/>
        <v>98</v>
      </c>
      <c r="S51" s="129">
        <v>9</v>
      </c>
      <c r="T51" s="129">
        <v>6</v>
      </c>
      <c r="U51" s="129">
        <v>3</v>
      </c>
      <c r="W51" s="111"/>
      <c r="AC51" s="130"/>
      <c r="AD51" s="130">
        <v>22164</v>
      </c>
      <c r="AE51" s="128" t="s">
        <v>32</v>
      </c>
      <c r="AF51" s="128" t="s">
        <v>33</v>
      </c>
      <c r="AG51" s="128" t="s">
        <v>872</v>
      </c>
      <c r="AH51" s="108" t="s">
        <v>58</v>
      </c>
      <c r="AI51" s="128" t="s">
        <v>59</v>
      </c>
      <c r="AJ51" s="129" t="s">
        <v>89</v>
      </c>
      <c r="AK51" s="129">
        <v>5</v>
      </c>
      <c r="AL51" s="3" t="s">
        <v>992</v>
      </c>
      <c r="AN51" s="117">
        <v>6</v>
      </c>
      <c r="AP51" s="129" t="s">
        <v>107</v>
      </c>
      <c r="AR51" s="128" t="s">
        <v>44</v>
      </c>
      <c r="AS51" s="129" t="s">
        <v>57</v>
      </c>
      <c r="BC51" s="129" t="s">
        <v>38</v>
      </c>
      <c r="BF51" s="111">
        <f t="shared" si="41"/>
        <v>98</v>
      </c>
      <c r="BG51" s="111">
        <f t="shared" si="39"/>
        <v>98</v>
      </c>
      <c r="BH51" s="111">
        <f t="shared" si="3"/>
        <v>98</v>
      </c>
      <c r="BI51" s="111">
        <f t="shared" si="4"/>
        <v>51.437158469945352</v>
      </c>
      <c r="BJ51" s="129">
        <f t="shared" si="12"/>
        <v>0</v>
      </c>
      <c r="BK51" s="129">
        <f t="shared" si="5"/>
        <v>0</v>
      </c>
      <c r="BL51" s="129" t="str">
        <f t="shared" si="6"/>
        <v>CONVICTION</v>
      </c>
      <c r="BM51" s="129" t="str">
        <f t="shared" si="13"/>
        <v>NONE</v>
      </c>
      <c r="BN51" s="129" t="s">
        <v>566</v>
      </c>
      <c r="BP51" s="137" t="str">
        <f t="shared" si="14"/>
        <v>CONVICTION</v>
      </c>
      <c r="BQ51" s="128" t="str">
        <f t="shared" si="15"/>
        <v>Y</v>
      </c>
      <c r="BR51" s="129" t="str">
        <f t="shared" si="16"/>
        <v>DETAINED</v>
      </c>
      <c r="BS51" s="129" t="str">
        <f t="shared" si="17"/>
        <v>DISPOSED</v>
      </c>
      <c r="BT51" s="129" t="str">
        <f t="shared" si="18"/>
        <v>Y</v>
      </c>
      <c r="BU51" s="109">
        <f t="shared" si="19"/>
        <v>1</v>
      </c>
      <c r="BV51" s="109">
        <f t="shared" si="20"/>
        <v>1</v>
      </c>
      <c r="BW51" s="109">
        <f t="shared" si="21"/>
        <v>0</v>
      </c>
      <c r="BX51" s="111">
        <f t="shared" si="22"/>
        <v>0</v>
      </c>
      <c r="BY51" s="129">
        <f t="shared" si="23"/>
        <v>-98</v>
      </c>
      <c r="BZ51" s="111">
        <f t="shared" si="24"/>
        <v>0</v>
      </c>
      <c r="CA51" s="138">
        <f t="shared" si="25"/>
        <v>98</v>
      </c>
      <c r="CB51" s="111" t="e">
        <f t="shared" si="42"/>
        <v>#VALUE!</v>
      </c>
      <c r="CC51" s="129">
        <f>G51-I51+1</f>
        <v>98</v>
      </c>
      <c r="CD51" s="129">
        <f>G51-J51</f>
        <v>0</v>
      </c>
      <c r="CE51" s="129">
        <f t="shared" si="28"/>
        <v>0</v>
      </c>
      <c r="CF51" s="129">
        <f t="shared" si="43"/>
        <v>97</v>
      </c>
      <c r="CG51" s="129" t="str">
        <f t="shared" si="30"/>
        <v>Y</v>
      </c>
      <c r="CI51" s="129" t="str">
        <f t="shared" si="31"/>
        <v>91-120 DAYS</v>
      </c>
      <c r="CJ51" s="137">
        <f t="shared" si="32"/>
        <v>0</v>
      </c>
      <c r="CK51" s="129" t="str">
        <f t="shared" si="33"/>
        <v>Booked</v>
      </c>
    </row>
    <row r="52" spans="1:89" ht="15" customHeight="1" x14ac:dyDescent="0.25">
      <c r="A52" s="111">
        <v>2042</v>
      </c>
      <c r="B52" s="128" t="str">
        <f t="shared" si="8"/>
        <v>N</v>
      </c>
      <c r="C52" s="128" t="str">
        <f t="shared" si="9"/>
        <v>N</v>
      </c>
      <c r="D52" s="117">
        <v>280802</v>
      </c>
      <c r="E52" s="135">
        <f t="shared" si="10"/>
        <v>2</v>
      </c>
      <c r="F52" s="124">
        <v>40985</v>
      </c>
      <c r="G52" s="125">
        <v>40987</v>
      </c>
      <c r="H52" s="117">
        <v>280802</v>
      </c>
      <c r="I52" s="124">
        <v>40986</v>
      </c>
      <c r="J52" s="124">
        <v>40987</v>
      </c>
      <c r="K52" s="126">
        <v>10000</v>
      </c>
      <c r="L52" s="127" t="s">
        <v>570</v>
      </c>
      <c r="N52" s="129" t="str">
        <f t="shared" si="44"/>
        <v>N</v>
      </c>
      <c r="O52" s="128" t="s">
        <v>917</v>
      </c>
      <c r="P52" s="129" t="s">
        <v>589</v>
      </c>
      <c r="Q52" s="111">
        <f t="shared" si="40"/>
        <v>2</v>
      </c>
      <c r="R52" s="111">
        <f t="shared" si="1"/>
        <v>3</v>
      </c>
      <c r="S52" s="129">
        <v>2</v>
      </c>
      <c r="T52" s="129">
        <v>0</v>
      </c>
      <c r="V52" s="117">
        <v>2</v>
      </c>
      <c r="W52" s="111"/>
      <c r="AC52" s="130"/>
      <c r="AD52" s="130">
        <v>20249</v>
      </c>
      <c r="AE52" s="128" t="s">
        <v>32</v>
      </c>
      <c r="AF52" s="128" t="s">
        <v>69</v>
      </c>
      <c r="AG52" s="128" t="s">
        <v>874</v>
      </c>
      <c r="AH52" s="108" t="s">
        <v>31</v>
      </c>
      <c r="AI52" s="128" t="s">
        <v>34</v>
      </c>
      <c r="AJ52" s="129" t="s">
        <v>48</v>
      </c>
      <c r="AK52" s="129">
        <v>1</v>
      </c>
      <c r="AL52" s="3" t="s">
        <v>48</v>
      </c>
      <c r="AP52" s="129" t="s">
        <v>93</v>
      </c>
      <c r="AR52" s="128" t="s">
        <v>67</v>
      </c>
      <c r="AS52" s="129" t="s">
        <v>45</v>
      </c>
      <c r="BC52" s="129" t="s">
        <v>38</v>
      </c>
      <c r="BF52" s="111">
        <f t="shared" si="41"/>
        <v>2</v>
      </c>
      <c r="BG52" s="111">
        <f t="shared" si="39"/>
        <v>2</v>
      </c>
      <c r="BH52" s="111">
        <f t="shared" si="3"/>
        <v>3</v>
      </c>
      <c r="BI52" s="111">
        <f t="shared" si="4"/>
        <v>56.655737704918032</v>
      </c>
      <c r="BJ52" s="129">
        <f t="shared" si="12"/>
        <v>0</v>
      </c>
      <c r="BK52" s="129">
        <f t="shared" si="5"/>
        <v>0</v>
      </c>
      <c r="BL52" s="129" t="str">
        <f t="shared" si="6"/>
        <v>DEFERRED</v>
      </c>
      <c r="BM52" s="129" t="str">
        <f t="shared" si="13"/>
        <v>NONE</v>
      </c>
      <c r="BN52" s="129" t="s">
        <v>566</v>
      </c>
      <c r="BP52" s="137" t="str">
        <f t="shared" si="14"/>
        <v>DEFERRED</v>
      </c>
      <c r="BQ52" s="128" t="str">
        <f t="shared" si="15"/>
        <v>Y</v>
      </c>
      <c r="BR52" s="129" t="str">
        <f t="shared" si="16"/>
        <v>DETAINED</v>
      </c>
      <c r="BS52" s="129" t="str">
        <f t="shared" si="17"/>
        <v>DISPOSED</v>
      </c>
      <c r="BT52" s="129" t="str">
        <f t="shared" si="18"/>
        <v>Y</v>
      </c>
      <c r="BU52" s="109">
        <f t="shared" si="19"/>
        <v>0.66666666666666663</v>
      </c>
      <c r="BV52" s="109">
        <f t="shared" si="20"/>
        <v>1</v>
      </c>
      <c r="BW52" s="109">
        <f t="shared" si="21"/>
        <v>0.33333333333333337</v>
      </c>
      <c r="BX52" s="111">
        <f t="shared" si="22"/>
        <v>0</v>
      </c>
      <c r="BY52" s="129">
        <f t="shared" si="23"/>
        <v>-2</v>
      </c>
      <c r="BZ52" s="111">
        <f t="shared" si="24"/>
        <v>0</v>
      </c>
      <c r="CA52" s="138">
        <f t="shared" si="25"/>
        <v>2</v>
      </c>
      <c r="CB52" s="111" t="e">
        <f t="shared" si="42"/>
        <v>#VALUE!</v>
      </c>
      <c r="CC52" s="129">
        <f>G52-I52+1</f>
        <v>2</v>
      </c>
      <c r="CD52" s="129">
        <f>G52-J52</f>
        <v>0</v>
      </c>
      <c r="CE52" s="129">
        <f t="shared" si="28"/>
        <v>0</v>
      </c>
      <c r="CF52" s="129">
        <f t="shared" si="43"/>
        <v>1</v>
      </c>
      <c r="CG52" s="129" t="str">
        <f t="shared" si="30"/>
        <v>Y</v>
      </c>
      <c r="CI52" s="129" t="str">
        <f t="shared" si="31"/>
        <v>0-10 DAYS</v>
      </c>
      <c r="CJ52" s="137">
        <f t="shared" si="32"/>
        <v>1</v>
      </c>
      <c r="CK52" s="129" t="str">
        <f t="shared" si="33"/>
        <v>Booked</v>
      </c>
    </row>
    <row r="53" spans="1:89" ht="15" customHeight="1" x14ac:dyDescent="0.25">
      <c r="A53" s="111">
        <v>903</v>
      </c>
      <c r="B53" s="128" t="str">
        <f t="shared" si="8"/>
        <v>N</v>
      </c>
      <c r="C53" s="128" t="str">
        <f t="shared" si="9"/>
        <v>N</v>
      </c>
      <c r="D53" s="117">
        <v>283449</v>
      </c>
      <c r="E53" s="135">
        <f t="shared" si="10"/>
        <v>5</v>
      </c>
      <c r="F53" s="124">
        <v>40942</v>
      </c>
      <c r="G53" s="125">
        <v>40945</v>
      </c>
      <c r="H53" s="117">
        <v>283449</v>
      </c>
      <c r="I53" s="124">
        <v>40942</v>
      </c>
      <c r="J53" s="124">
        <v>40945</v>
      </c>
      <c r="K53" s="126">
        <v>15000</v>
      </c>
      <c r="L53" s="127" t="s">
        <v>571</v>
      </c>
      <c r="N53" s="129" t="str">
        <f t="shared" si="44"/>
        <v>N</v>
      </c>
      <c r="O53" s="128" t="s">
        <v>917</v>
      </c>
      <c r="P53" s="129" t="s">
        <v>39</v>
      </c>
      <c r="Q53" s="111">
        <f t="shared" si="40"/>
        <v>4</v>
      </c>
      <c r="R53" s="111">
        <f t="shared" si="1"/>
        <v>4</v>
      </c>
      <c r="S53" s="129">
        <v>6</v>
      </c>
      <c r="T53" s="129">
        <v>5</v>
      </c>
      <c r="U53" s="129">
        <v>6</v>
      </c>
      <c r="W53" s="111"/>
      <c r="AC53" s="130"/>
      <c r="AD53" s="130">
        <v>20971</v>
      </c>
      <c r="AE53" s="128" t="s">
        <v>32</v>
      </c>
      <c r="AF53" s="128" t="s">
        <v>33</v>
      </c>
      <c r="AG53" s="128" t="s">
        <v>872</v>
      </c>
      <c r="AH53" s="108" t="s">
        <v>58</v>
      </c>
      <c r="AI53" s="128" t="s">
        <v>42</v>
      </c>
      <c r="AJ53" s="129" t="s">
        <v>89</v>
      </c>
      <c r="AK53" s="129">
        <v>1</v>
      </c>
      <c r="AL53" s="3" t="s">
        <v>992</v>
      </c>
      <c r="AN53" s="117">
        <v>6</v>
      </c>
      <c r="AP53" s="129" t="s">
        <v>43</v>
      </c>
      <c r="AR53" s="128" t="s">
        <v>44</v>
      </c>
      <c r="AS53" s="129" t="s">
        <v>45</v>
      </c>
      <c r="BC53" s="129" t="s">
        <v>38</v>
      </c>
      <c r="BF53" s="111">
        <f t="shared" si="41"/>
        <v>4</v>
      </c>
      <c r="BG53" s="111">
        <f t="shared" si="39"/>
        <v>4</v>
      </c>
      <c r="BH53" s="111">
        <f t="shared" si="3"/>
        <v>4</v>
      </c>
      <c r="BI53" s="111">
        <f t="shared" si="4"/>
        <v>54.565573770491802</v>
      </c>
      <c r="BJ53" s="129">
        <f t="shared" si="12"/>
        <v>0</v>
      </c>
      <c r="BK53" s="129">
        <f t="shared" si="5"/>
        <v>0</v>
      </c>
      <c r="BL53" s="129" t="str">
        <f t="shared" si="6"/>
        <v>CONVICTION</v>
      </c>
      <c r="BM53" s="129" t="str">
        <f t="shared" si="13"/>
        <v>NONE</v>
      </c>
      <c r="BN53" s="129" t="s">
        <v>566</v>
      </c>
      <c r="BP53" s="137" t="str">
        <f t="shared" si="14"/>
        <v>CONVICTION</v>
      </c>
      <c r="BQ53" s="128" t="str">
        <f t="shared" si="15"/>
        <v>Y</v>
      </c>
      <c r="BR53" s="129" t="str">
        <f t="shared" si="16"/>
        <v>DETAINED</v>
      </c>
      <c r="BS53" s="129" t="str">
        <f t="shared" si="17"/>
        <v>DISPOSED</v>
      </c>
      <c r="BT53" s="129" t="str">
        <f t="shared" si="18"/>
        <v>Y</v>
      </c>
      <c r="BU53" s="109">
        <f t="shared" si="19"/>
        <v>1</v>
      </c>
      <c r="BV53" s="109">
        <f t="shared" si="20"/>
        <v>1</v>
      </c>
      <c r="BW53" s="109">
        <f t="shared" si="21"/>
        <v>0</v>
      </c>
      <c r="BX53" s="111">
        <f t="shared" si="22"/>
        <v>0</v>
      </c>
      <c r="BY53" s="129">
        <f t="shared" si="23"/>
        <v>-4</v>
      </c>
      <c r="BZ53" s="111">
        <f t="shared" si="24"/>
        <v>0</v>
      </c>
      <c r="CA53" s="138">
        <f t="shared" si="25"/>
        <v>4</v>
      </c>
      <c r="CB53" s="111" t="e">
        <f t="shared" si="42"/>
        <v>#VALUE!</v>
      </c>
      <c r="CC53" s="129">
        <f>G53-I53+1</f>
        <v>4</v>
      </c>
      <c r="CD53" s="129">
        <f>G53-J53</f>
        <v>0</v>
      </c>
      <c r="CE53" s="129">
        <f t="shared" si="28"/>
        <v>0</v>
      </c>
      <c r="CF53" s="129">
        <f t="shared" si="43"/>
        <v>3</v>
      </c>
      <c r="CG53" s="129" t="str">
        <f t="shared" si="30"/>
        <v>Y</v>
      </c>
      <c r="CI53" s="129" t="str">
        <f t="shared" si="31"/>
        <v>0-10 DAYS</v>
      </c>
      <c r="CJ53" s="137">
        <f t="shared" si="32"/>
        <v>1</v>
      </c>
      <c r="CK53" s="129" t="str">
        <f t="shared" si="33"/>
        <v>Booked</v>
      </c>
    </row>
    <row r="54" spans="1:89" ht="15" customHeight="1" x14ac:dyDescent="0.25">
      <c r="A54" s="111">
        <v>3184</v>
      </c>
      <c r="B54" s="128" t="str">
        <f t="shared" si="8"/>
        <v>N</v>
      </c>
      <c r="C54" s="128" t="str">
        <f t="shared" si="9"/>
        <v>N</v>
      </c>
      <c r="D54" s="117">
        <v>284173</v>
      </c>
      <c r="E54" s="135">
        <f t="shared" si="10"/>
        <v>3</v>
      </c>
      <c r="F54" s="124">
        <v>41026</v>
      </c>
      <c r="G54" s="125">
        <v>41572</v>
      </c>
      <c r="H54" s="117">
        <v>284173</v>
      </c>
      <c r="I54" s="124">
        <v>41026</v>
      </c>
      <c r="J54" s="124">
        <v>41031</v>
      </c>
      <c r="K54" s="126">
        <v>20000</v>
      </c>
      <c r="L54" s="127" t="s">
        <v>571</v>
      </c>
      <c r="M54" s="125">
        <v>41031</v>
      </c>
      <c r="N54" s="129" t="str">
        <f t="shared" si="44"/>
        <v>Y</v>
      </c>
      <c r="O54" s="128" t="s">
        <v>585</v>
      </c>
      <c r="P54" s="129" t="s">
        <v>39</v>
      </c>
      <c r="Q54" s="111">
        <f t="shared" si="40"/>
        <v>6</v>
      </c>
      <c r="R54" s="111">
        <f t="shared" si="1"/>
        <v>547</v>
      </c>
      <c r="S54" s="129">
        <v>2</v>
      </c>
      <c r="T54" s="129">
        <v>6</v>
      </c>
      <c r="U54" s="129">
        <v>2</v>
      </c>
      <c r="W54" s="111"/>
      <c r="AC54" s="130"/>
      <c r="AD54" s="130">
        <v>19940</v>
      </c>
      <c r="AE54" s="128" t="s">
        <v>32</v>
      </c>
      <c r="AF54" s="128" t="s">
        <v>40</v>
      </c>
      <c r="AG54" s="128" t="s">
        <v>41</v>
      </c>
      <c r="AH54" s="108" t="s">
        <v>41</v>
      </c>
      <c r="AI54" s="128" t="s">
        <v>72</v>
      </c>
      <c r="AJ54" s="129" t="s">
        <v>89</v>
      </c>
      <c r="AK54" s="129">
        <v>11</v>
      </c>
      <c r="AL54" s="3" t="s">
        <v>185</v>
      </c>
      <c r="AP54" s="129" t="s">
        <v>66</v>
      </c>
      <c r="AR54" s="128" t="s">
        <v>67</v>
      </c>
      <c r="AS54" s="129" t="s">
        <v>68</v>
      </c>
      <c r="BC54" s="129" t="s">
        <v>52</v>
      </c>
      <c r="BF54" s="111">
        <f t="shared" si="41"/>
        <v>6</v>
      </c>
      <c r="BG54" s="111">
        <f t="shared" si="39"/>
        <v>547</v>
      </c>
      <c r="BH54" s="111">
        <f t="shared" si="3"/>
        <v>547</v>
      </c>
      <c r="BI54" s="111">
        <f t="shared" si="4"/>
        <v>57.612021857923494</v>
      </c>
      <c r="BJ54" s="129">
        <f>(G54-J54)+(M54-G54)</f>
        <v>0</v>
      </c>
      <c r="BK54" s="129">
        <f t="shared" si="5"/>
        <v>-541</v>
      </c>
      <c r="BL54" s="129" t="str">
        <f t="shared" si="6"/>
        <v>CONVICTION</v>
      </c>
      <c r="BM54" s="129" t="s">
        <v>76</v>
      </c>
      <c r="BN54" s="129" t="s">
        <v>88</v>
      </c>
      <c r="BP54" s="137" t="str">
        <f t="shared" si="14"/>
        <v>CONVICTION</v>
      </c>
      <c r="BQ54" s="128" t="str">
        <f t="shared" si="15"/>
        <v>Y</v>
      </c>
      <c r="BR54" s="129" t="str">
        <f>IF(J54&lt;G54,"ON BOND",0)</f>
        <v>ON BOND</v>
      </c>
      <c r="BS54" s="129" t="str">
        <f t="shared" si="17"/>
        <v>DISPOSED</v>
      </c>
      <c r="BT54" s="129" t="str">
        <f t="shared" si="18"/>
        <v>Y</v>
      </c>
      <c r="BU54" s="109">
        <f t="shared" si="19"/>
        <v>1.0968921389396709E-2</v>
      </c>
      <c r="BV54" s="109">
        <f t="shared" si="20"/>
        <v>1.0968921389396709E-2</v>
      </c>
      <c r="BW54" s="109">
        <f t="shared" si="21"/>
        <v>0</v>
      </c>
      <c r="BX54" s="111">
        <f t="shared" si="22"/>
        <v>0</v>
      </c>
      <c r="BY54" s="129">
        <f t="shared" si="23"/>
        <v>-6</v>
      </c>
      <c r="BZ54" s="111">
        <f t="shared" si="24"/>
        <v>0</v>
      </c>
      <c r="CA54" s="138">
        <f t="shared" si="25"/>
        <v>6</v>
      </c>
      <c r="CB54" s="111" t="e">
        <f t="shared" si="42"/>
        <v>#VALUE!</v>
      </c>
      <c r="CC54" s="129">
        <f>M54-I54+1</f>
        <v>6</v>
      </c>
      <c r="CD54" s="111">
        <f>CC54-BF54</f>
        <v>0</v>
      </c>
      <c r="CE54" s="129">
        <f t="shared" si="28"/>
        <v>541</v>
      </c>
      <c r="CF54" s="129">
        <f t="shared" si="43"/>
        <v>5</v>
      </c>
      <c r="CG54" s="129" t="str">
        <f t="shared" si="30"/>
        <v>Y</v>
      </c>
      <c r="CI54" s="129" t="str">
        <f t="shared" si="31"/>
        <v>0-10 DAYS</v>
      </c>
      <c r="CJ54" s="137">
        <f t="shared" si="32"/>
        <v>1</v>
      </c>
      <c r="CK54" s="129" t="str">
        <f t="shared" si="33"/>
        <v>Booked</v>
      </c>
    </row>
    <row r="55" spans="1:89" ht="15.75" customHeight="1" x14ac:dyDescent="0.25">
      <c r="A55" s="111">
        <v>714</v>
      </c>
      <c r="B55" s="128" t="str">
        <f t="shared" si="8"/>
        <v>N</v>
      </c>
      <c r="C55" s="128" t="str">
        <f t="shared" si="9"/>
        <v>N</v>
      </c>
      <c r="D55" s="117">
        <v>289578</v>
      </c>
      <c r="E55" s="135">
        <f t="shared" si="10"/>
        <v>4</v>
      </c>
      <c r="F55" s="124">
        <v>40936</v>
      </c>
      <c r="G55" s="125">
        <v>40938</v>
      </c>
      <c r="H55" s="117">
        <v>289578</v>
      </c>
      <c r="I55" s="124">
        <v>40937</v>
      </c>
      <c r="J55" s="124">
        <v>40938</v>
      </c>
      <c r="K55" s="126">
        <v>15000</v>
      </c>
      <c r="L55" s="127" t="s">
        <v>571</v>
      </c>
      <c r="N55" s="129" t="str">
        <f t="shared" si="44"/>
        <v>N</v>
      </c>
      <c r="O55" s="128" t="s">
        <v>917</v>
      </c>
      <c r="P55" s="129" t="s">
        <v>39</v>
      </c>
      <c r="Q55" s="111">
        <f t="shared" si="40"/>
        <v>2</v>
      </c>
      <c r="R55" s="111">
        <f t="shared" si="1"/>
        <v>3</v>
      </c>
      <c r="S55" s="129">
        <v>5</v>
      </c>
      <c r="T55" s="129">
        <v>6</v>
      </c>
      <c r="U55" s="129">
        <v>3</v>
      </c>
      <c r="V55" s="117">
        <v>1</v>
      </c>
      <c r="W55" s="111"/>
      <c r="AC55" s="130"/>
      <c r="AD55" s="130">
        <v>21459</v>
      </c>
      <c r="AE55" s="128" t="s">
        <v>32</v>
      </c>
      <c r="AF55" s="128" t="s">
        <v>33</v>
      </c>
      <c r="AG55" s="128" t="s">
        <v>872</v>
      </c>
      <c r="AH55" s="108" t="s">
        <v>58</v>
      </c>
      <c r="AI55" s="128" t="s">
        <v>90</v>
      </c>
      <c r="AJ55" s="129" t="s">
        <v>89</v>
      </c>
      <c r="AK55" s="129">
        <v>1</v>
      </c>
      <c r="AL55" s="3" t="s">
        <v>991</v>
      </c>
      <c r="AO55" s="128">
        <v>365</v>
      </c>
      <c r="AP55" s="129" t="s">
        <v>43</v>
      </c>
      <c r="AR55" s="128" t="s">
        <v>44</v>
      </c>
      <c r="AS55" s="129" t="s">
        <v>45</v>
      </c>
      <c r="BC55" s="129" t="s">
        <v>38</v>
      </c>
      <c r="BF55" s="111">
        <f t="shared" si="41"/>
        <v>2</v>
      </c>
      <c r="BG55" s="111">
        <f t="shared" si="39"/>
        <v>2</v>
      </c>
      <c r="BH55" s="111">
        <f t="shared" si="3"/>
        <v>3</v>
      </c>
      <c r="BI55" s="111">
        <f t="shared" si="4"/>
        <v>53.215846994535518</v>
      </c>
      <c r="BJ55" s="129">
        <f t="shared" si="12"/>
        <v>0</v>
      </c>
      <c r="BK55" s="129">
        <f t="shared" si="5"/>
        <v>0</v>
      </c>
      <c r="BL55" s="129" t="str">
        <f t="shared" si="6"/>
        <v>CONVICTION</v>
      </c>
      <c r="BM55" s="129" t="str">
        <f t="shared" si="13"/>
        <v>NONE</v>
      </c>
      <c r="BN55" s="129" t="s">
        <v>566</v>
      </c>
      <c r="BP55" s="137" t="str">
        <f t="shared" si="14"/>
        <v>CONVICTION</v>
      </c>
      <c r="BQ55" s="128" t="str">
        <f t="shared" si="15"/>
        <v>Y</v>
      </c>
      <c r="BR55" s="129" t="str">
        <f t="shared" si="16"/>
        <v>DETAINED</v>
      </c>
      <c r="BS55" s="129" t="str">
        <f t="shared" si="17"/>
        <v>DISPOSED</v>
      </c>
      <c r="BT55" s="129" t="str">
        <f t="shared" si="18"/>
        <v>Y</v>
      </c>
      <c r="BU55" s="109">
        <f t="shared" si="19"/>
        <v>0.66666666666666663</v>
      </c>
      <c r="BV55" s="109">
        <f t="shared" si="20"/>
        <v>1</v>
      </c>
      <c r="BW55" s="109">
        <f t="shared" si="21"/>
        <v>0.33333333333333337</v>
      </c>
      <c r="BX55" s="111">
        <f t="shared" si="22"/>
        <v>0</v>
      </c>
      <c r="BY55" s="129">
        <f t="shared" si="23"/>
        <v>-2</v>
      </c>
      <c r="BZ55" s="111">
        <f t="shared" si="24"/>
        <v>0</v>
      </c>
      <c r="CA55" s="138">
        <f t="shared" si="25"/>
        <v>2</v>
      </c>
      <c r="CB55" s="111" t="e">
        <f t="shared" si="42"/>
        <v>#VALUE!</v>
      </c>
      <c r="CC55" s="129">
        <f>G55-I55+1</f>
        <v>2</v>
      </c>
      <c r="CD55" s="129">
        <f>G55-J55</f>
        <v>0</v>
      </c>
      <c r="CE55" s="129">
        <f t="shared" si="28"/>
        <v>0</v>
      </c>
      <c r="CF55" s="129">
        <f t="shared" si="43"/>
        <v>1</v>
      </c>
      <c r="CG55" s="129" t="str">
        <f t="shared" si="30"/>
        <v>Y</v>
      </c>
      <c r="CI55" s="129" t="str">
        <f t="shared" si="31"/>
        <v>0-10 DAYS</v>
      </c>
      <c r="CJ55" s="137">
        <f t="shared" si="32"/>
        <v>1</v>
      </c>
      <c r="CK55" s="129" t="str">
        <f t="shared" si="33"/>
        <v>Booked</v>
      </c>
    </row>
    <row r="56" spans="1:89" ht="15.75" customHeight="1" x14ac:dyDescent="0.25">
      <c r="A56" s="111">
        <v>815</v>
      </c>
      <c r="B56" s="128" t="str">
        <f t="shared" si="8"/>
        <v>N</v>
      </c>
      <c r="C56" s="128" t="str">
        <f t="shared" si="9"/>
        <v>N</v>
      </c>
      <c r="D56" s="117">
        <v>292391</v>
      </c>
      <c r="E56" s="135">
        <f t="shared" si="10"/>
        <v>4</v>
      </c>
      <c r="F56" s="124">
        <v>40940</v>
      </c>
      <c r="G56" s="125">
        <v>40981</v>
      </c>
      <c r="H56" s="117">
        <v>292391</v>
      </c>
      <c r="I56" s="124">
        <v>40975</v>
      </c>
      <c r="J56" s="124">
        <v>40981</v>
      </c>
      <c r="K56" s="126">
        <v>15000</v>
      </c>
      <c r="L56" s="127" t="s">
        <v>571</v>
      </c>
      <c r="N56" s="129" t="str">
        <f t="shared" si="44"/>
        <v>N</v>
      </c>
      <c r="O56" s="128" t="s">
        <v>917</v>
      </c>
      <c r="P56" s="129" t="s">
        <v>39</v>
      </c>
      <c r="Q56" s="111">
        <f t="shared" si="40"/>
        <v>7</v>
      </c>
      <c r="R56" s="111">
        <f t="shared" si="1"/>
        <v>42</v>
      </c>
      <c r="S56" s="129">
        <v>2</v>
      </c>
      <c r="T56" s="129">
        <v>3</v>
      </c>
      <c r="U56" s="129">
        <v>2</v>
      </c>
      <c r="W56" s="111"/>
      <c r="AC56" s="130"/>
      <c r="AD56" s="130">
        <v>18413</v>
      </c>
      <c r="AE56" s="128" t="s">
        <v>46</v>
      </c>
      <c r="AF56" s="128" t="s">
        <v>33</v>
      </c>
      <c r="AG56" s="128" t="s">
        <v>872</v>
      </c>
      <c r="AH56" s="108" t="s">
        <v>31</v>
      </c>
      <c r="AI56" s="128" t="s">
        <v>114</v>
      </c>
      <c r="AJ56" s="129" t="s">
        <v>89</v>
      </c>
      <c r="AK56" s="129">
        <v>2</v>
      </c>
      <c r="AL56" s="3" t="s">
        <v>991</v>
      </c>
      <c r="AO56" s="128">
        <v>30</v>
      </c>
      <c r="AP56" s="129" t="s">
        <v>43</v>
      </c>
      <c r="AR56" s="128" t="s">
        <v>44</v>
      </c>
      <c r="AS56" s="129" t="s">
        <v>45</v>
      </c>
      <c r="AW56" s="125"/>
      <c r="AX56" s="125"/>
      <c r="BC56" s="129" t="s">
        <v>38</v>
      </c>
      <c r="BF56" s="111">
        <f t="shared" si="41"/>
        <v>7</v>
      </c>
      <c r="BG56" s="111">
        <f t="shared" si="39"/>
        <v>7</v>
      </c>
      <c r="BH56" s="111">
        <f t="shared" si="3"/>
        <v>42</v>
      </c>
      <c r="BI56" s="111">
        <f t="shared" si="4"/>
        <v>61.549180327868854</v>
      </c>
      <c r="BJ56" s="129">
        <f t="shared" si="12"/>
        <v>0</v>
      </c>
      <c r="BK56" s="129">
        <f t="shared" si="5"/>
        <v>0</v>
      </c>
      <c r="BL56" s="129" t="str">
        <f t="shared" si="6"/>
        <v>CONVICTION</v>
      </c>
      <c r="BM56" s="129" t="str">
        <f t="shared" si="13"/>
        <v>NONE</v>
      </c>
      <c r="BN56" s="129" t="s">
        <v>566</v>
      </c>
      <c r="BP56" s="137" t="str">
        <f t="shared" si="14"/>
        <v>CONVICTION</v>
      </c>
      <c r="BQ56" s="128" t="str">
        <f t="shared" si="15"/>
        <v>Y</v>
      </c>
      <c r="BR56" s="129" t="str">
        <f t="shared" si="16"/>
        <v>DETAINED</v>
      </c>
      <c r="BS56" s="129" t="str">
        <f t="shared" si="17"/>
        <v>DISPOSED</v>
      </c>
      <c r="BT56" s="129" t="str">
        <f t="shared" si="18"/>
        <v>Y</v>
      </c>
      <c r="BU56" s="109">
        <f t="shared" si="19"/>
        <v>0.16666666666666666</v>
      </c>
      <c r="BV56" s="109">
        <f t="shared" si="20"/>
        <v>1</v>
      </c>
      <c r="BW56" s="109">
        <f t="shared" si="21"/>
        <v>0.83333333333333337</v>
      </c>
      <c r="BX56" s="111">
        <f t="shared" si="22"/>
        <v>0</v>
      </c>
      <c r="BY56" s="129">
        <f t="shared" si="23"/>
        <v>-7</v>
      </c>
      <c r="BZ56" s="111">
        <f t="shared" si="24"/>
        <v>0</v>
      </c>
      <c r="CA56" s="138">
        <f t="shared" si="25"/>
        <v>7</v>
      </c>
      <c r="CB56" s="111" t="e">
        <f t="shared" si="42"/>
        <v>#VALUE!</v>
      </c>
      <c r="CC56" s="129">
        <f>G56-I56+1</f>
        <v>7</v>
      </c>
      <c r="CD56" s="129">
        <f>G56-J56</f>
        <v>0</v>
      </c>
      <c r="CE56" s="129">
        <f t="shared" si="28"/>
        <v>0</v>
      </c>
      <c r="CF56" s="129">
        <f t="shared" si="43"/>
        <v>6</v>
      </c>
      <c r="CG56" s="129" t="str">
        <f t="shared" si="30"/>
        <v>Y</v>
      </c>
      <c r="CI56" s="129" t="str">
        <f t="shared" si="31"/>
        <v>0-10 DAYS</v>
      </c>
      <c r="CJ56" s="137">
        <f t="shared" si="32"/>
        <v>1</v>
      </c>
      <c r="CK56" s="129" t="str">
        <f t="shared" si="33"/>
        <v>Booked</v>
      </c>
    </row>
    <row r="57" spans="1:89" ht="15.75" customHeight="1" x14ac:dyDescent="0.25">
      <c r="A57" s="111">
        <v>1565</v>
      </c>
      <c r="B57" s="128" t="str">
        <f t="shared" si="8"/>
        <v>N</v>
      </c>
      <c r="C57" s="128" t="str">
        <f t="shared" si="9"/>
        <v>N</v>
      </c>
      <c r="D57" s="117">
        <v>295354</v>
      </c>
      <c r="E57" s="135">
        <f t="shared" si="10"/>
        <v>5</v>
      </c>
      <c r="F57" s="124">
        <v>40967</v>
      </c>
      <c r="G57" s="125">
        <v>40969</v>
      </c>
      <c r="H57" s="117">
        <v>295354</v>
      </c>
      <c r="I57" s="124">
        <v>40967</v>
      </c>
      <c r="J57" s="124">
        <v>40969</v>
      </c>
      <c r="K57" s="126">
        <v>15000</v>
      </c>
      <c r="L57" s="127" t="s">
        <v>571</v>
      </c>
      <c r="N57" s="129" t="str">
        <f t="shared" si="44"/>
        <v>N</v>
      </c>
      <c r="O57" s="128" t="s">
        <v>917</v>
      </c>
      <c r="P57" s="129" t="s">
        <v>39</v>
      </c>
      <c r="Q57" s="111">
        <f t="shared" si="40"/>
        <v>3</v>
      </c>
      <c r="R57" s="111">
        <f t="shared" si="1"/>
        <v>3</v>
      </c>
      <c r="S57" s="129">
        <v>1</v>
      </c>
      <c r="T57" s="129">
        <v>2</v>
      </c>
      <c r="W57" s="111"/>
      <c r="AC57" s="130"/>
      <c r="AD57" s="130">
        <v>14643</v>
      </c>
      <c r="AE57" s="128" t="s">
        <v>32</v>
      </c>
      <c r="AF57" s="128" t="s">
        <v>40</v>
      </c>
      <c r="AG57" s="128" t="s">
        <v>41</v>
      </c>
      <c r="AH57" s="108" t="s">
        <v>41</v>
      </c>
      <c r="AI57" s="128" t="s">
        <v>118</v>
      </c>
      <c r="AJ57" s="129" t="s">
        <v>89</v>
      </c>
      <c r="AK57" s="129">
        <v>1</v>
      </c>
      <c r="AL57" s="3" t="s">
        <v>992</v>
      </c>
      <c r="AN57" s="117">
        <v>8</v>
      </c>
      <c r="AP57" s="129" t="s">
        <v>127</v>
      </c>
      <c r="AR57" s="128" t="s">
        <v>44</v>
      </c>
      <c r="AS57" s="129" t="s">
        <v>82</v>
      </c>
      <c r="BC57" s="129" t="s">
        <v>38</v>
      </c>
      <c r="BF57" s="111">
        <f t="shared" si="41"/>
        <v>3</v>
      </c>
      <c r="BG57" s="111">
        <f t="shared" si="39"/>
        <v>3</v>
      </c>
      <c r="BH57" s="111">
        <f t="shared" si="3"/>
        <v>3</v>
      </c>
      <c r="BI57" s="111">
        <f t="shared" si="4"/>
        <v>71.923497267759558</v>
      </c>
      <c r="BJ57" s="129">
        <f t="shared" si="12"/>
        <v>0</v>
      </c>
      <c r="BK57" s="129">
        <f t="shared" si="5"/>
        <v>0</v>
      </c>
      <c r="BL57" s="129" t="str">
        <f t="shared" si="6"/>
        <v>CONVICTION</v>
      </c>
      <c r="BM57" s="129" t="str">
        <f t="shared" si="13"/>
        <v>NONE</v>
      </c>
      <c r="BN57" s="129" t="s">
        <v>566</v>
      </c>
      <c r="BP57" s="137" t="str">
        <f t="shared" si="14"/>
        <v>CONVICTION</v>
      </c>
      <c r="BQ57" s="128" t="str">
        <f t="shared" si="15"/>
        <v>Y</v>
      </c>
      <c r="BR57" s="129" t="str">
        <f t="shared" si="16"/>
        <v>DETAINED</v>
      </c>
      <c r="BS57" s="129" t="str">
        <f t="shared" si="17"/>
        <v>DISPOSED</v>
      </c>
      <c r="BT57" s="129" t="str">
        <f t="shared" si="18"/>
        <v>Y</v>
      </c>
      <c r="BU57" s="109">
        <f t="shared" si="19"/>
        <v>1</v>
      </c>
      <c r="BV57" s="109">
        <f t="shared" si="20"/>
        <v>1</v>
      </c>
      <c r="BW57" s="109">
        <f t="shared" si="21"/>
        <v>0</v>
      </c>
      <c r="BX57" s="111">
        <f t="shared" si="22"/>
        <v>0</v>
      </c>
      <c r="BY57" s="129">
        <f t="shared" si="23"/>
        <v>-3</v>
      </c>
      <c r="BZ57" s="111">
        <f t="shared" si="24"/>
        <v>0</v>
      </c>
      <c r="CA57" s="138">
        <f t="shared" si="25"/>
        <v>3</v>
      </c>
      <c r="CB57" s="111" t="e">
        <f t="shared" si="42"/>
        <v>#VALUE!</v>
      </c>
      <c r="CC57" s="129">
        <f>G57-I57+1</f>
        <v>3</v>
      </c>
      <c r="CD57" s="129">
        <f>G57-J57</f>
        <v>0</v>
      </c>
      <c r="CE57" s="129">
        <f t="shared" si="28"/>
        <v>0</v>
      </c>
      <c r="CF57" s="129">
        <f t="shared" si="43"/>
        <v>2</v>
      </c>
      <c r="CG57" s="129" t="str">
        <f t="shared" si="30"/>
        <v>Y</v>
      </c>
      <c r="CI57" s="129" t="str">
        <f t="shared" si="31"/>
        <v>0-10 DAYS</v>
      </c>
      <c r="CJ57" s="137">
        <f t="shared" si="32"/>
        <v>1</v>
      </c>
      <c r="CK57" s="129" t="str">
        <f t="shared" si="33"/>
        <v>Booked</v>
      </c>
    </row>
    <row r="58" spans="1:89" ht="15" customHeight="1" x14ac:dyDescent="0.25">
      <c r="A58" s="111">
        <v>2985</v>
      </c>
      <c r="B58" s="128" t="str">
        <f t="shared" si="8"/>
        <v>N</v>
      </c>
      <c r="C58" s="128" t="str">
        <f t="shared" si="9"/>
        <v>N</v>
      </c>
      <c r="D58" s="117">
        <v>295673</v>
      </c>
      <c r="E58" s="135">
        <f t="shared" si="10"/>
        <v>4</v>
      </c>
      <c r="F58" s="124">
        <v>41019</v>
      </c>
      <c r="G58" s="125">
        <v>41022</v>
      </c>
      <c r="H58" s="117">
        <v>295673</v>
      </c>
      <c r="I58" s="124">
        <v>41019</v>
      </c>
      <c r="J58" s="124">
        <v>41022</v>
      </c>
      <c r="K58" s="126">
        <v>15000</v>
      </c>
      <c r="L58" s="127" t="s">
        <v>571</v>
      </c>
      <c r="N58" s="129" t="str">
        <f t="shared" si="44"/>
        <v>N</v>
      </c>
      <c r="O58" s="128" t="s">
        <v>917</v>
      </c>
      <c r="P58" s="129" t="s">
        <v>39</v>
      </c>
      <c r="Q58" s="111">
        <f t="shared" si="40"/>
        <v>4</v>
      </c>
      <c r="R58" s="111">
        <f t="shared" si="1"/>
        <v>4</v>
      </c>
      <c r="S58" s="129">
        <v>6</v>
      </c>
      <c r="T58" s="129">
        <v>1</v>
      </c>
      <c r="U58" s="129">
        <v>3</v>
      </c>
      <c r="W58" s="111"/>
      <c r="AC58" s="130"/>
      <c r="AD58" s="130">
        <v>22561</v>
      </c>
      <c r="AE58" s="128" t="s">
        <v>32</v>
      </c>
      <c r="AF58" s="128" t="s">
        <v>33</v>
      </c>
      <c r="AG58" s="128" t="s">
        <v>872</v>
      </c>
      <c r="AH58" s="108" t="s">
        <v>31</v>
      </c>
      <c r="AI58" s="128" t="s">
        <v>59</v>
      </c>
      <c r="AJ58" s="129" t="s">
        <v>89</v>
      </c>
      <c r="AK58" s="129">
        <v>1</v>
      </c>
      <c r="AL58" s="3" t="s">
        <v>991</v>
      </c>
      <c r="AO58" s="128">
        <v>90</v>
      </c>
      <c r="AP58" s="129" t="s">
        <v>43</v>
      </c>
      <c r="AR58" s="128" t="s">
        <v>44</v>
      </c>
      <c r="AS58" s="129" t="s">
        <v>45</v>
      </c>
      <c r="BC58" s="129" t="s">
        <v>38</v>
      </c>
      <c r="BF58" s="111">
        <f t="shared" si="41"/>
        <v>4</v>
      </c>
      <c r="BG58" s="111">
        <f t="shared" si="39"/>
        <v>4</v>
      </c>
      <c r="BH58" s="111">
        <f t="shared" si="3"/>
        <v>4</v>
      </c>
      <c r="BI58" s="111">
        <f t="shared" si="4"/>
        <v>50.431693989071036</v>
      </c>
      <c r="BJ58" s="129">
        <f t="shared" si="12"/>
        <v>0</v>
      </c>
      <c r="BK58" s="129">
        <f t="shared" si="5"/>
        <v>0</v>
      </c>
      <c r="BL58" s="129" t="str">
        <f t="shared" si="6"/>
        <v>CONVICTION</v>
      </c>
      <c r="BM58" s="129" t="str">
        <f t="shared" si="13"/>
        <v>NONE</v>
      </c>
      <c r="BN58" s="129" t="s">
        <v>566</v>
      </c>
      <c r="BP58" s="137" t="str">
        <f t="shared" si="14"/>
        <v>CONVICTION</v>
      </c>
      <c r="BQ58" s="128" t="str">
        <f t="shared" si="15"/>
        <v>Y</v>
      </c>
      <c r="BR58" s="129" t="str">
        <f t="shared" si="16"/>
        <v>DETAINED</v>
      </c>
      <c r="BS58" s="129" t="str">
        <f t="shared" si="17"/>
        <v>DISPOSED</v>
      </c>
      <c r="BT58" s="129" t="str">
        <f t="shared" si="18"/>
        <v>Y</v>
      </c>
      <c r="BU58" s="109">
        <f t="shared" si="19"/>
        <v>1</v>
      </c>
      <c r="BV58" s="109">
        <f t="shared" si="20"/>
        <v>1</v>
      </c>
      <c r="BW58" s="109">
        <f t="shared" si="21"/>
        <v>0</v>
      </c>
      <c r="BX58" s="111">
        <f t="shared" si="22"/>
        <v>0</v>
      </c>
      <c r="BY58" s="129">
        <f t="shared" si="23"/>
        <v>-4</v>
      </c>
      <c r="BZ58" s="111">
        <f t="shared" si="24"/>
        <v>0</v>
      </c>
      <c r="CA58" s="138">
        <f t="shared" si="25"/>
        <v>4</v>
      </c>
      <c r="CB58" s="111" t="e">
        <f t="shared" si="42"/>
        <v>#VALUE!</v>
      </c>
      <c r="CC58" s="129">
        <f>G58-I58+1</f>
        <v>4</v>
      </c>
      <c r="CD58" s="129">
        <f>G58-J58</f>
        <v>0</v>
      </c>
      <c r="CE58" s="129">
        <f t="shared" si="28"/>
        <v>0</v>
      </c>
      <c r="CF58" s="129">
        <f t="shared" si="43"/>
        <v>3</v>
      </c>
      <c r="CG58" s="129" t="str">
        <f t="shared" si="30"/>
        <v>Y</v>
      </c>
      <c r="CI58" s="129" t="str">
        <f t="shared" si="31"/>
        <v>0-10 DAYS</v>
      </c>
      <c r="CJ58" s="137">
        <f t="shared" si="32"/>
        <v>1</v>
      </c>
      <c r="CK58" s="129" t="str">
        <f t="shared" si="33"/>
        <v>Booked</v>
      </c>
    </row>
    <row r="59" spans="1:89" ht="15.75" customHeight="1" x14ac:dyDescent="0.25">
      <c r="A59" s="111">
        <v>2453</v>
      </c>
      <c r="B59" s="128" t="str">
        <f t="shared" si="8"/>
        <v>N</v>
      </c>
      <c r="C59" s="128" t="str">
        <f t="shared" si="9"/>
        <v>N</v>
      </c>
      <c r="D59" s="117">
        <v>301044</v>
      </c>
      <c r="E59" s="135">
        <f t="shared" si="10"/>
        <v>6</v>
      </c>
      <c r="F59" s="124">
        <v>41001</v>
      </c>
      <c r="G59" s="125">
        <v>41065</v>
      </c>
      <c r="H59" s="117">
        <v>301044</v>
      </c>
      <c r="I59" s="124">
        <v>41001</v>
      </c>
      <c r="J59" s="124">
        <v>41065</v>
      </c>
      <c r="K59" s="126" t="s">
        <v>564</v>
      </c>
      <c r="L59" s="127" t="s">
        <v>564</v>
      </c>
      <c r="N59" s="129" t="s">
        <v>566</v>
      </c>
      <c r="O59" s="128" t="s">
        <v>917</v>
      </c>
      <c r="P59" s="129" t="s">
        <v>39</v>
      </c>
      <c r="Q59" s="111">
        <f t="shared" si="40"/>
        <v>65</v>
      </c>
      <c r="R59" s="111">
        <f t="shared" si="1"/>
        <v>65</v>
      </c>
      <c r="S59" s="129">
        <v>3</v>
      </c>
      <c r="T59" s="129">
        <v>2</v>
      </c>
      <c r="U59" s="129">
        <v>3</v>
      </c>
      <c r="W59" s="111"/>
      <c r="AC59" s="130"/>
      <c r="AD59" s="130">
        <v>20173</v>
      </c>
      <c r="AE59" s="128" t="s">
        <v>32</v>
      </c>
      <c r="AF59" s="128" t="s">
        <v>33</v>
      </c>
      <c r="AG59" s="128" t="s">
        <v>872</v>
      </c>
      <c r="AH59" s="108" t="s">
        <v>58</v>
      </c>
      <c r="AI59" s="128" t="s">
        <v>83</v>
      </c>
      <c r="AJ59" s="129" t="s">
        <v>89</v>
      </c>
      <c r="AK59" s="129">
        <v>3</v>
      </c>
      <c r="AL59" s="3" t="s">
        <v>362</v>
      </c>
      <c r="AM59" s="117">
        <v>5</v>
      </c>
      <c r="AP59" s="129" t="s">
        <v>56</v>
      </c>
      <c r="AR59" s="128" t="s">
        <v>50</v>
      </c>
      <c r="AS59" s="129" t="s">
        <v>57</v>
      </c>
      <c r="BC59" s="129" t="s">
        <v>38</v>
      </c>
      <c r="BF59" s="111">
        <f t="shared" si="41"/>
        <v>65</v>
      </c>
      <c r="BG59" s="111">
        <f t="shared" si="39"/>
        <v>65</v>
      </c>
      <c r="BH59" s="111">
        <f t="shared" si="3"/>
        <v>65</v>
      </c>
      <c r="BI59" s="111">
        <f t="shared" si="4"/>
        <v>56.907103825136609</v>
      </c>
      <c r="BJ59" s="129">
        <f t="shared" si="12"/>
        <v>0</v>
      </c>
      <c r="BK59" s="129">
        <f t="shared" si="5"/>
        <v>0</v>
      </c>
      <c r="BL59" s="129" t="str">
        <f t="shared" si="6"/>
        <v>CONVICTION</v>
      </c>
      <c r="BM59" s="129" t="str">
        <f t="shared" si="13"/>
        <v>NONE</v>
      </c>
      <c r="BN59" s="129" t="s">
        <v>566</v>
      </c>
      <c r="BP59" s="137" t="str">
        <f t="shared" si="14"/>
        <v>CONVICTION</v>
      </c>
      <c r="BQ59" s="128" t="str">
        <f t="shared" si="15"/>
        <v>Y</v>
      </c>
      <c r="BR59" s="129" t="str">
        <f t="shared" si="16"/>
        <v>DETAINED</v>
      </c>
      <c r="BS59" s="129" t="str">
        <f t="shared" si="17"/>
        <v>DISPOSED</v>
      </c>
      <c r="BT59" s="129" t="str">
        <f t="shared" si="18"/>
        <v>Y</v>
      </c>
      <c r="BU59" s="109">
        <f t="shared" si="19"/>
        <v>1</v>
      </c>
      <c r="BV59" s="109">
        <f t="shared" si="20"/>
        <v>1</v>
      </c>
      <c r="BW59" s="109">
        <f t="shared" si="21"/>
        <v>0</v>
      </c>
      <c r="BX59" s="111">
        <f t="shared" si="22"/>
        <v>0</v>
      </c>
      <c r="BY59" s="129">
        <f t="shared" si="23"/>
        <v>-65</v>
      </c>
      <c r="BZ59" s="111">
        <f t="shared" si="24"/>
        <v>0</v>
      </c>
      <c r="CA59" s="138">
        <f t="shared" si="25"/>
        <v>65</v>
      </c>
      <c r="CB59" s="111" t="e">
        <f t="shared" si="42"/>
        <v>#VALUE!</v>
      </c>
      <c r="CC59" s="129">
        <f>G59-I59+1</f>
        <v>65</v>
      </c>
      <c r="CD59" s="129">
        <f>G59-J59</f>
        <v>0</v>
      </c>
      <c r="CE59" s="129">
        <f t="shared" si="28"/>
        <v>0</v>
      </c>
      <c r="CF59" s="129">
        <f t="shared" si="43"/>
        <v>64</v>
      </c>
      <c r="CG59" s="129" t="str">
        <f t="shared" si="30"/>
        <v>Y</v>
      </c>
      <c r="CI59" s="129" t="str">
        <f t="shared" si="31"/>
        <v>61-90 DAYS</v>
      </c>
      <c r="CJ59" s="137">
        <f t="shared" si="32"/>
        <v>4</v>
      </c>
      <c r="CK59" s="129" t="str">
        <f t="shared" si="33"/>
        <v>Booked</v>
      </c>
    </row>
    <row r="60" spans="1:89" ht="15.75" customHeight="1" x14ac:dyDescent="0.25">
      <c r="A60" s="111">
        <v>273</v>
      </c>
      <c r="B60" s="128" t="str">
        <f t="shared" si="8"/>
        <v>N</v>
      </c>
      <c r="C60" s="128" t="str">
        <f t="shared" si="9"/>
        <v>N</v>
      </c>
      <c r="D60" s="117">
        <v>301452</v>
      </c>
      <c r="E60" s="135">
        <f t="shared" si="10"/>
        <v>3</v>
      </c>
      <c r="F60" s="124">
        <v>40920</v>
      </c>
      <c r="G60" s="125">
        <v>40996</v>
      </c>
      <c r="H60" s="117">
        <v>301452</v>
      </c>
      <c r="I60" s="124">
        <v>40920</v>
      </c>
      <c r="J60" s="124">
        <v>40922</v>
      </c>
      <c r="K60" s="126">
        <v>5000</v>
      </c>
      <c r="L60" s="127" t="s">
        <v>569</v>
      </c>
      <c r="M60" s="125">
        <v>40922</v>
      </c>
      <c r="N60" s="129" t="str">
        <f t="shared" ref="N60:N67" si="45">IF(M60&gt;1/1/1,"Y","N")</f>
        <v>Y</v>
      </c>
      <c r="O60" s="128" t="s">
        <v>76</v>
      </c>
      <c r="P60" s="129" t="s">
        <v>39</v>
      </c>
      <c r="Q60" s="111">
        <f t="shared" si="40"/>
        <v>3</v>
      </c>
      <c r="R60" s="111">
        <f t="shared" si="1"/>
        <v>77</v>
      </c>
      <c r="S60" s="129">
        <v>0</v>
      </c>
      <c r="T60" s="129">
        <v>3</v>
      </c>
      <c r="W60" s="111"/>
      <c r="AC60" s="130"/>
      <c r="AD60" s="130">
        <v>18008</v>
      </c>
      <c r="AE60" s="128" t="s">
        <v>32</v>
      </c>
      <c r="AF60" s="128" t="s">
        <v>69</v>
      </c>
      <c r="AG60" s="128" t="s">
        <v>874</v>
      </c>
      <c r="AH60" s="108" t="s">
        <v>58</v>
      </c>
      <c r="AI60" s="128" t="s">
        <v>141</v>
      </c>
      <c r="AJ60" s="129" t="s">
        <v>89</v>
      </c>
      <c r="AK60" s="129">
        <v>5</v>
      </c>
      <c r="AL60" s="3" t="s">
        <v>185</v>
      </c>
      <c r="AP60" s="129" t="s">
        <v>66</v>
      </c>
      <c r="AR60" s="128" t="s">
        <v>67</v>
      </c>
      <c r="AS60" s="129" t="s">
        <v>68</v>
      </c>
      <c r="BC60" s="129" t="s">
        <v>52</v>
      </c>
      <c r="BF60" s="111">
        <f t="shared" si="41"/>
        <v>3</v>
      </c>
      <c r="BG60" s="111">
        <f t="shared" si="39"/>
        <v>77</v>
      </c>
      <c r="BH60" s="111">
        <f t="shared" si="3"/>
        <v>77</v>
      </c>
      <c r="BI60" s="111">
        <f t="shared" si="4"/>
        <v>62.601092896174862</v>
      </c>
      <c r="BJ60" s="129">
        <f>(G60-J60)+(M60-G60)</f>
        <v>0</v>
      </c>
      <c r="BK60" s="129">
        <f t="shared" si="5"/>
        <v>-74</v>
      </c>
      <c r="BL60" s="129" t="str">
        <f t="shared" si="6"/>
        <v>CONVICTION</v>
      </c>
      <c r="BM60" s="129" t="s">
        <v>76</v>
      </c>
      <c r="BN60" s="129" t="s">
        <v>88</v>
      </c>
      <c r="BP60" s="137" t="str">
        <f t="shared" si="14"/>
        <v>CONVICTION</v>
      </c>
      <c r="BQ60" s="128" t="str">
        <f t="shared" si="15"/>
        <v>Y</v>
      </c>
      <c r="BR60" s="129" t="str">
        <f>IF(J60&lt;G60,"ON BOND",0)</f>
        <v>ON BOND</v>
      </c>
      <c r="BS60" s="129" t="str">
        <f t="shared" si="17"/>
        <v>DISPOSED</v>
      </c>
      <c r="BT60" s="129" t="str">
        <f t="shared" si="18"/>
        <v>N</v>
      </c>
      <c r="BU60" s="109">
        <f t="shared" si="19"/>
        <v>3.896103896103896E-2</v>
      </c>
      <c r="BV60" s="109">
        <f t="shared" si="20"/>
        <v>3.896103896103896E-2</v>
      </c>
      <c r="BW60" s="109">
        <f t="shared" si="21"/>
        <v>0</v>
      </c>
      <c r="BX60" s="111">
        <f t="shared" si="22"/>
        <v>0</v>
      </c>
      <c r="BY60" s="129">
        <f t="shared" si="23"/>
        <v>-3</v>
      </c>
      <c r="BZ60" s="111">
        <f t="shared" si="24"/>
        <v>0</v>
      </c>
      <c r="CA60" s="138">
        <f t="shared" si="25"/>
        <v>3</v>
      </c>
      <c r="CB60" s="111" t="e">
        <f t="shared" si="42"/>
        <v>#VALUE!</v>
      </c>
      <c r="CC60" s="129">
        <f>M60-I60+1</f>
        <v>3</v>
      </c>
      <c r="CD60" s="111">
        <f>CC60-BF60</f>
        <v>0</v>
      </c>
      <c r="CE60" s="129">
        <f t="shared" si="28"/>
        <v>74</v>
      </c>
      <c r="CF60" s="129">
        <f t="shared" si="43"/>
        <v>2</v>
      </c>
      <c r="CG60" s="129" t="str">
        <f t="shared" si="30"/>
        <v>Y</v>
      </c>
      <c r="CI60" s="129" t="str">
        <f t="shared" si="31"/>
        <v>0-10 DAYS</v>
      </c>
      <c r="CJ60" s="137">
        <f t="shared" si="32"/>
        <v>1</v>
      </c>
      <c r="CK60" s="129" t="str">
        <f t="shared" si="33"/>
        <v>Booked</v>
      </c>
    </row>
    <row r="61" spans="1:89" ht="15" customHeight="1" x14ac:dyDescent="0.25">
      <c r="A61" s="111">
        <v>399</v>
      </c>
      <c r="B61" s="128" t="str">
        <f t="shared" si="8"/>
        <v>N</v>
      </c>
      <c r="C61" s="128" t="str">
        <f t="shared" si="9"/>
        <v>N</v>
      </c>
      <c r="D61" s="117">
        <v>303580</v>
      </c>
      <c r="E61" s="135">
        <f t="shared" si="10"/>
        <v>5</v>
      </c>
      <c r="F61" s="124">
        <v>40925</v>
      </c>
      <c r="G61" s="125">
        <v>40927</v>
      </c>
      <c r="H61" s="117">
        <v>303580</v>
      </c>
      <c r="I61" s="124">
        <v>40926</v>
      </c>
      <c r="J61" s="124">
        <v>40927</v>
      </c>
      <c r="K61" s="126">
        <v>15000</v>
      </c>
      <c r="L61" s="127" t="s">
        <v>571</v>
      </c>
      <c r="N61" s="129" t="str">
        <f t="shared" si="45"/>
        <v>N</v>
      </c>
      <c r="O61" s="128" t="s">
        <v>917</v>
      </c>
      <c r="P61" s="129" t="s">
        <v>39</v>
      </c>
      <c r="Q61" s="111">
        <f t="shared" si="40"/>
        <v>2</v>
      </c>
      <c r="R61" s="111">
        <f t="shared" si="1"/>
        <v>3</v>
      </c>
      <c r="S61" s="129">
        <v>6</v>
      </c>
      <c r="T61" s="129">
        <v>5</v>
      </c>
      <c r="U61" s="129">
        <v>6</v>
      </c>
      <c r="W61" s="111"/>
      <c r="AC61" s="130"/>
      <c r="AD61" s="130">
        <v>19230</v>
      </c>
      <c r="AE61" s="128" t="s">
        <v>32</v>
      </c>
      <c r="AF61" s="128" t="s">
        <v>33</v>
      </c>
      <c r="AG61" s="128" t="s">
        <v>872</v>
      </c>
      <c r="AH61" s="108" t="s">
        <v>58</v>
      </c>
      <c r="AI61" s="128" t="s">
        <v>53</v>
      </c>
      <c r="AJ61" s="129" t="s">
        <v>89</v>
      </c>
      <c r="AK61" s="129">
        <v>1</v>
      </c>
      <c r="AL61" s="3" t="s">
        <v>992</v>
      </c>
      <c r="AN61" s="117">
        <v>7</v>
      </c>
      <c r="AP61" s="129" t="s">
        <v>63</v>
      </c>
      <c r="AR61" s="128" t="s">
        <v>44</v>
      </c>
      <c r="AS61" s="129" t="s">
        <v>64</v>
      </c>
      <c r="BC61" s="129" t="s">
        <v>38</v>
      </c>
      <c r="BF61" s="111">
        <f t="shared" si="41"/>
        <v>2</v>
      </c>
      <c r="BG61" s="111">
        <f t="shared" si="39"/>
        <v>2</v>
      </c>
      <c r="BH61" s="111">
        <f t="shared" si="3"/>
        <v>3</v>
      </c>
      <c r="BI61" s="111">
        <f t="shared" si="4"/>
        <v>59.275956284153004</v>
      </c>
      <c r="BJ61" s="129">
        <f t="shared" si="12"/>
        <v>0</v>
      </c>
      <c r="BK61" s="129">
        <f t="shared" si="5"/>
        <v>0</v>
      </c>
      <c r="BL61" s="129" t="str">
        <f t="shared" si="6"/>
        <v>CONVICTION</v>
      </c>
      <c r="BM61" s="129" t="str">
        <f t="shared" si="13"/>
        <v>NONE</v>
      </c>
      <c r="BN61" s="129" t="s">
        <v>566</v>
      </c>
      <c r="BP61" s="137" t="str">
        <f t="shared" si="14"/>
        <v>CONVICTION</v>
      </c>
      <c r="BQ61" s="128" t="str">
        <f t="shared" si="15"/>
        <v>Y</v>
      </c>
      <c r="BR61" s="129" t="str">
        <f t="shared" si="16"/>
        <v>DETAINED</v>
      </c>
      <c r="BS61" s="129" t="str">
        <f t="shared" si="17"/>
        <v>DISPOSED</v>
      </c>
      <c r="BT61" s="129" t="str">
        <f t="shared" si="18"/>
        <v>Y</v>
      </c>
      <c r="BU61" s="109">
        <f t="shared" si="19"/>
        <v>0.66666666666666663</v>
      </c>
      <c r="BV61" s="109">
        <f t="shared" si="20"/>
        <v>1</v>
      </c>
      <c r="BW61" s="109">
        <f t="shared" si="21"/>
        <v>0.33333333333333337</v>
      </c>
      <c r="BX61" s="111">
        <f t="shared" si="22"/>
        <v>0</v>
      </c>
      <c r="BY61" s="129">
        <f t="shared" si="23"/>
        <v>-2</v>
      </c>
      <c r="BZ61" s="111">
        <f t="shared" si="24"/>
        <v>0</v>
      </c>
      <c r="CA61" s="138">
        <f t="shared" si="25"/>
        <v>2</v>
      </c>
      <c r="CB61" s="111" t="e">
        <f t="shared" si="42"/>
        <v>#VALUE!</v>
      </c>
      <c r="CC61" s="129">
        <f>G61-I61+1</f>
        <v>2</v>
      </c>
      <c r="CD61" s="129">
        <f t="shared" ref="CD61:CD66" si="46">G61-J61</f>
        <v>0</v>
      </c>
      <c r="CE61" s="129">
        <f t="shared" si="28"/>
        <v>0</v>
      </c>
      <c r="CF61" s="129">
        <f t="shared" si="43"/>
        <v>1</v>
      </c>
      <c r="CG61" s="129" t="str">
        <f t="shared" si="30"/>
        <v>Y</v>
      </c>
      <c r="CI61" s="129" t="str">
        <f t="shared" si="31"/>
        <v>0-10 DAYS</v>
      </c>
      <c r="CJ61" s="137">
        <f t="shared" si="32"/>
        <v>1</v>
      </c>
      <c r="CK61" s="129" t="str">
        <f t="shared" si="33"/>
        <v>Booked</v>
      </c>
    </row>
    <row r="62" spans="1:89" ht="15.75" customHeight="1" x14ac:dyDescent="0.25">
      <c r="A62" s="111">
        <v>1054</v>
      </c>
      <c r="B62" s="128" t="str">
        <f t="shared" si="8"/>
        <v>N</v>
      </c>
      <c r="C62" s="128" t="str">
        <f t="shared" si="9"/>
        <v>N</v>
      </c>
      <c r="D62" s="117">
        <v>304518</v>
      </c>
      <c r="E62" s="135">
        <f t="shared" si="10"/>
        <v>5</v>
      </c>
      <c r="F62" s="124">
        <v>40948</v>
      </c>
      <c r="G62" s="125">
        <v>41010</v>
      </c>
      <c r="H62" s="117">
        <v>304518</v>
      </c>
      <c r="I62" s="124">
        <v>40948</v>
      </c>
      <c r="J62" s="124">
        <v>41010</v>
      </c>
      <c r="K62" s="126">
        <v>15000</v>
      </c>
      <c r="L62" s="127" t="s">
        <v>571</v>
      </c>
      <c r="N62" s="129" t="str">
        <f t="shared" si="45"/>
        <v>N</v>
      </c>
      <c r="O62" s="128" t="s">
        <v>917</v>
      </c>
      <c r="P62" s="129" t="s">
        <v>39</v>
      </c>
      <c r="Q62" s="111">
        <f t="shared" si="40"/>
        <v>63</v>
      </c>
      <c r="R62" s="111">
        <f t="shared" si="1"/>
        <v>63</v>
      </c>
      <c r="S62" s="129">
        <v>15</v>
      </c>
      <c r="T62" s="129">
        <v>2</v>
      </c>
      <c r="U62" s="129">
        <v>13</v>
      </c>
      <c r="W62" s="111"/>
      <c r="AC62" s="130"/>
      <c r="AD62" s="130">
        <v>22003</v>
      </c>
      <c r="AE62" s="128" t="s">
        <v>32</v>
      </c>
      <c r="AF62" s="128" t="s">
        <v>33</v>
      </c>
      <c r="AG62" s="128" t="s">
        <v>872</v>
      </c>
      <c r="AH62" s="108" t="s">
        <v>58</v>
      </c>
      <c r="AI62" s="128" t="s">
        <v>62</v>
      </c>
      <c r="AJ62" s="129" t="s">
        <v>89</v>
      </c>
      <c r="AK62" s="129">
        <v>4</v>
      </c>
      <c r="AL62" s="3" t="s">
        <v>992</v>
      </c>
      <c r="AN62" s="117">
        <v>6</v>
      </c>
      <c r="AP62" s="129" t="s">
        <v>43</v>
      </c>
      <c r="AR62" s="128" t="s">
        <v>44</v>
      </c>
      <c r="AS62" s="129" t="s">
        <v>45</v>
      </c>
      <c r="BC62" s="129" t="s">
        <v>38</v>
      </c>
      <c r="BF62" s="111">
        <f t="shared" si="41"/>
        <v>63</v>
      </c>
      <c r="BG62" s="111">
        <f t="shared" si="39"/>
        <v>63</v>
      </c>
      <c r="BH62" s="111">
        <f t="shared" si="3"/>
        <v>63</v>
      </c>
      <c r="BI62" s="111">
        <f t="shared" si="4"/>
        <v>51.76229508196721</v>
      </c>
      <c r="BJ62" s="129">
        <f t="shared" si="12"/>
        <v>0</v>
      </c>
      <c r="BK62" s="129">
        <f t="shared" si="5"/>
        <v>0</v>
      </c>
      <c r="BL62" s="129" t="str">
        <f t="shared" si="6"/>
        <v>CONVICTION</v>
      </c>
      <c r="BM62" s="129" t="str">
        <f t="shared" si="13"/>
        <v>NONE</v>
      </c>
      <c r="BN62" s="129" t="s">
        <v>566</v>
      </c>
      <c r="BP62" s="137" t="str">
        <f t="shared" si="14"/>
        <v>CONVICTION</v>
      </c>
      <c r="BQ62" s="128" t="str">
        <f t="shared" si="15"/>
        <v>Y</v>
      </c>
      <c r="BR62" s="129" t="str">
        <f t="shared" si="16"/>
        <v>DETAINED</v>
      </c>
      <c r="BS62" s="129" t="str">
        <f t="shared" si="17"/>
        <v>DISPOSED</v>
      </c>
      <c r="BT62" s="129" t="str">
        <f t="shared" si="18"/>
        <v>Y</v>
      </c>
      <c r="BU62" s="109">
        <f t="shared" si="19"/>
        <v>1</v>
      </c>
      <c r="BV62" s="109">
        <f t="shared" si="20"/>
        <v>1</v>
      </c>
      <c r="BW62" s="109">
        <f t="shared" si="21"/>
        <v>0</v>
      </c>
      <c r="BX62" s="111">
        <f t="shared" si="22"/>
        <v>0</v>
      </c>
      <c r="BY62" s="129">
        <f t="shared" si="23"/>
        <v>-63</v>
      </c>
      <c r="BZ62" s="111">
        <f t="shared" si="24"/>
        <v>0</v>
      </c>
      <c r="CA62" s="138">
        <f t="shared" si="25"/>
        <v>63</v>
      </c>
      <c r="CB62" s="111" t="e">
        <f t="shared" si="42"/>
        <v>#VALUE!</v>
      </c>
      <c r="CC62" s="129">
        <f>G62-I62+1</f>
        <v>63</v>
      </c>
      <c r="CD62" s="129">
        <f t="shared" si="46"/>
        <v>0</v>
      </c>
      <c r="CE62" s="129">
        <f t="shared" si="28"/>
        <v>0</v>
      </c>
      <c r="CF62" s="129">
        <f t="shared" si="43"/>
        <v>62</v>
      </c>
      <c r="CG62" s="129" t="str">
        <f t="shared" si="30"/>
        <v>Y</v>
      </c>
      <c r="CI62" s="129" t="str">
        <f t="shared" si="31"/>
        <v>61-90 DAYS</v>
      </c>
      <c r="CJ62" s="137">
        <f t="shared" si="32"/>
        <v>4</v>
      </c>
      <c r="CK62" s="129" t="str">
        <f t="shared" si="33"/>
        <v>Booked</v>
      </c>
    </row>
    <row r="63" spans="1:89" ht="15.75" customHeight="1" x14ac:dyDescent="0.25">
      <c r="A63" s="111">
        <v>1232</v>
      </c>
      <c r="B63" s="128" t="str">
        <f t="shared" si="8"/>
        <v>N</v>
      </c>
      <c r="C63" s="128" t="str">
        <f t="shared" si="9"/>
        <v>Y</v>
      </c>
      <c r="D63" s="117">
        <v>306811</v>
      </c>
      <c r="E63" s="135">
        <f t="shared" si="10"/>
        <v>6</v>
      </c>
      <c r="F63" s="124">
        <v>40953</v>
      </c>
      <c r="G63" s="125">
        <v>41038</v>
      </c>
      <c r="H63" s="117">
        <v>306811</v>
      </c>
      <c r="I63" s="124">
        <v>40954</v>
      </c>
      <c r="J63" s="124">
        <v>40958</v>
      </c>
      <c r="K63" s="126">
        <v>15000</v>
      </c>
      <c r="L63" s="127" t="s">
        <v>571</v>
      </c>
      <c r="M63" s="125">
        <v>40958</v>
      </c>
      <c r="N63" s="129" t="str">
        <f t="shared" si="45"/>
        <v>Y</v>
      </c>
      <c r="O63" s="128" t="s">
        <v>76</v>
      </c>
      <c r="P63" s="129" t="s">
        <v>39</v>
      </c>
      <c r="Q63" s="111">
        <f t="shared" si="40"/>
        <v>27</v>
      </c>
      <c r="R63" s="111">
        <f t="shared" si="1"/>
        <v>86</v>
      </c>
      <c r="S63" s="129">
        <v>4</v>
      </c>
      <c r="T63" s="129">
        <v>0</v>
      </c>
      <c r="U63" s="129">
        <v>4</v>
      </c>
      <c r="W63" s="111"/>
      <c r="AC63" s="130"/>
      <c r="AD63" s="130">
        <v>19896</v>
      </c>
      <c r="AE63" s="128" t="s">
        <v>32</v>
      </c>
      <c r="AF63" s="128" t="s">
        <v>33</v>
      </c>
      <c r="AG63" s="128" t="s">
        <v>872</v>
      </c>
      <c r="AH63" s="108" t="s">
        <v>31</v>
      </c>
      <c r="AI63" s="128" t="s">
        <v>90</v>
      </c>
      <c r="AJ63" s="129" t="s">
        <v>89</v>
      </c>
      <c r="AK63" s="129">
        <v>7</v>
      </c>
      <c r="AL63" s="3" t="s">
        <v>362</v>
      </c>
      <c r="AM63" s="117">
        <v>3</v>
      </c>
      <c r="AP63" s="129" t="s">
        <v>93</v>
      </c>
      <c r="AR63" s="128" t="s">
        <v>67</v>
      </c>
      <c r="AS63" s="129" t="s">
        <v>45</v>
      </c>
      <c r="AU63" s="3" t="s">
        <v>823</v>
      </c>
      <c r="AX63" s="3" t="s">
        <v>88</v>
      </c>
      <c r="BC63" s="129" t="s">
        <v>52</v>
      </c>
      <c r="BF63" s="111">
        <v>27</v>
      </c>
      <c r="BG63" s="111">
        <f t="shared" si="39"/>
        <v>85</v>
      </c>
      <c r="BH63" s="111">
        <f t="shared" si="3"/>
        <v>86</v>
      </c>
      <c r="BI63" s="111">
        <f t="shared" si="4"/>
        <v>57.532786885245905</v>
      </c>
      <c r="BJ63" s="129">
        <f>(G63-J63)+(M63-G63)</f>
        <v>0</v>
      </c>
      <c r="BK63" s="129">
        <f t="shared" si="5"/>
        <v>-80</v>
      </c>
      <c r="BL63" s="129" t="str">
        <f t="shared" si="6"/>
        <v>CONVICTION</v>
      </c>
      <c r="BM63" s="129" t="s">
        <v>76</v>
      </c>
      <c r="BN63" s="129" t="s">
        <v>88</v>
      </c>
      <c r="BP63" s="137" t="str">
        <f t="shared" si="14"/>
        <v>CONVICTION</v>
      </c>
      <c r="BQ63" s="128" t="str">
        <f t="shared" si="15"/>
        <v>Y</v>
      </c>
      <c r="BR63" s="129" t="s">
        <v>575</v>
      </c>
      <c r="BS63" s="129" t="str">
        <f t="shared" si="17"/>
        <v>DISPOSED</v>
      </c>
      <c r="BT63" s="129" t="str">
        <f t="shared" si="18"/>
        <v>Y</v>
      </c>
      <c r="BU63" s="109">
        <f t="shared" si="19"/>
        <v>0.31395348837209303</v>
      </c>
      <c r="BV63" s="109">
        <f t="shared" si="20"/>
        <v>5.8823529411764705E-2</v>
      </c>
      <c r="BW63" s="109">
        <f t="shared" si="21"/>
        <v>-0.25512995896032831</v>
      </c>
      <c r="BX63" s="111">
        <f t="shared" si="22"/>
        <v>0</v>
      </c>
      <c r="BY63" s="129">
        <f t="shared" si="23"/>
        <v>-5</v>
      </c>
      <c r="BZ63" s="111">
        <f t="shared" si="24"/>
        <v>22</v>
      </c>
      <c r="CA63" s="138">
        <f t="shared" si="25"/>
        <v>5</v>
      </c>
      <c r="CB63" s="111" t="e">
        <f t="shared" si="42"/>
        <v>#VALUE!</v>
      </c>
      <c r="CD63" s="129">
        <f t="shared" si="46"/>
        <v>80</v>
      </c>
      <c r="CE63" s="129">
        <f t="shared" si="28"/>
        <v>80</v>
      </c>
      <c r="CF63" s="129">
        <f>I63-J63</f>
        <v>-4</v>
      </c>
      <c r="CG63" s="129" t="str">
        <f t="shared" si="30"/>
        <v>Y</v>
      </c>
      <c r="CI63" s="129" t="str">
        <f t="shared" si="31"/>
        <v>11-30 DAYS</v>
      </c>
      <c r="CJ63" s="137">
        <f t="shared" si="32"/>
        <v>2</v>
      </c>
      <c r="CK63" s="129" t="str">
        <f t="shared" si="33"/>
        <v>Booked</v>
      </c>
    </row>
    <row r="64" spans="1:89" ht="15" customHeight="1" x14ac:dyDescent="0.25">
      <c r="A64" s="111">
        <v>588</v>
      </c>
      <c r="B64" s="128" t="str">
        <f t="shared" si="8"/>
        <v>N</v>
      </c>
      <c r="C64" s="128" t="str">
        <f t="shared" si="9"/>
        <v>N</v>
      </c>
      <c r="D64" s="117">
        <v>310256</v>
      </c>
      <c r="E64" s="135">
        <f t="shared" si="10"/>
        <v>1</v>
      </c>
      <c r="F64" s="124">
        <v>40932</v>
      </c>
      <c r="G64" s="125">
        <v>41176</v>
      </c>
      <c r="H64" s="117">
        <v>310256</v>
      </c>
      <c r="I64" s="124">
        <v>40932</v>
      </c>
      <c r="J64" s="124">
        <v>41176</v>
      </c>
      <c r="K64" s="126">
        <v>500000</v>
      </c>
      <c r="L64" s="129" t="s">
        <v>572</v>
      </c>
      <c r="N64" s="129" t="str">
        <f t="shared" si="45"/>
        <v>N</v>
      </c>
      <c r="O64" s="128" t="s">
        <v>917</v>
      </c>
      <c r="P64" s="129" t="s">
        <v>55</v>
      </c>
      <c r="Q64" s="111">
        <f t="shared" si="40"/>
        <v>245</v>
      </c>
      <c r="R64" s="111">
        <f t="shared" si="1"/>
        <v>245</v>
      </c>
      <c r="S64" s="129">
        <v>0</v>
      </c>
      <c r="T64" s="129">
        <v>2</v>
      </c>
      <c r="W64" s="111"/>
      <c r="AC64" s="130"/>
      <c r="AD64" s="130">
        <v>19969</v>
      </c>
      <c r="AE64" s="128" t="s">
        <v>46</v>
      </c>
      <c r="AF64" s="128" t="s">
        <v>33</v>
      </c>
      <c r="AG64" s="128" t="s">
        <v>872</v>
      </c>
      <c r="AH64" s="108" t="s">
        <v>58</v>
      </c>
      <c r="AI64" s="128" t="s">
        <v>47</v>
      </c>
      <c r="AJ64" s="129" t="s">
        <v>55</v>
      </c>
      <c r="AK64" s="129">
        <v>8</v>
      </c>
      <c r="AL64" s="3" t="s">
        <v>55</v>
      </c>
      <c r="AP64" s="129" t="s">
        <v>187</v>
      </c>
      <c r="AR64" s="128" t="s">
        <v>92</v>
      </c>
      <c r="AS64" s="129" t="s">
        <v>61</v>
      </c>
      <c r="AT64" s="129" t="s">
        <v>606</v>
      </c>
      <c r="BC64" s="129" t="s">
        <v>38</v>
      </c>
      <c r="BF64" s="111">
        <f t="shared" si="41"/>
        <v>245</v>
      </c>
      <c r="BG64" s="111">
        <f t="shared" si="39"/>
        <v>245</v>
      </c>
      <c r="BH64" s="111">
        <f t="shared" si="3"/>
        <v>245</v>
      </c>
      <c r="BI64" s="111">
        <f t="shared" si="4"/>
        <v>57.275956284153004</v>
      </c>
      <c r="BJ64" s="129">
        <f t="shared" si="12"/>
        <v>0</v>
      </c>
      <c r="BK64" s="129">
        <f t="shared" si="5"/>
        <v>0</v>
      </c>
      <c r="BL64" s="129" t="str">
        <f t="shared" si="6"/>
        <v>NO CONVICTION</v>
      </c>
      <c r="BM64" s="129" t="str">
        <f t="shared" si="13"/>
        <v>NONE</v>
      </c>
      <c r="BN64" s="129" t="s">
        <v>566</v>
      </c>
      <c r="BP64" s="137" t="str">
        <f t="shared" si="14"/>
        <v>NO CONVICTION</v>
      </c>
      <c r="BQ64" s="128" t="str">
        <f t="shared" si="15"/>
        <v>Y</v>
      </c>
      <c r="BR64" s="129" t="str">
        <f t="shared" si="16"/>
        <v>DETAINED</v>
      </c>
      <c r="BS64" s="129" t="str">
        <f t="shared" si="17"/>
        <v>DISPOSED</v>
      </c>
      <c r="BT64" s="129" t="str">
        <f t="shared" si="18"/>
        <v>N</v>
      </c>
      <c r="BU64" s="109">
        <f>IFERROR(Q64/R64,BR64)</f>
        <v>1</v>
      </c>
      <c r="BV64" s="109">
        <f t="shared" si="20"/>
        <v>1</v>
      </c>
      <c r="BW64" s="109">
        <f t="shared" si="21"/>
        <v>0</v>
      </c>
      <c r="BX64" s="111">
        <f t="shared" si="22"/>
        <v>0</v>
      </c>
      <c r="BY64" s="129">
        <f t="shared" si="23"/>
        <v>-245</v>
      </c>
      <c r="BZ64" s="111">
        <f t="shared" si="24"/>
        <v>0</v>
      </c>
      <c r="CA64" s="138">
        <f t="shared" si="25"/>
        <v>245</v>
      </c>
      <c r="CB64" s="111" t="e">
        <f t="shared" si="42"/>
        <v>#VALUE!</v>
      </c>
      <c r="CC64" s="129">
        <f>G64-I64+1</f>
        <v>245</v>
      </c>
      <c r="CD64" s="129">
        <f t="shared" si="46"/>
        <v>0</v>
      </c>
      <c r="CE64" s="129">
        <f t="shared" si="28"/>
        <v>0</v>
      </c>
      <c r="CF64" s="129">
        <f t="shared" ref="CF64:CF79" si="47">J64-I64</f>
        <v>244</v>
      </c>
      <c r="CG64" s="129" t="str">
        <f t="shared" si="30"/>
        <v>Y</v>
      </c>
      <c r="CI64" s="129" t="str">
        <f t="shared" si="31"/>
        <v>121-365 DAYS</v>
      </c>
      <c r="CJ64" s="137">
        <f t="shared" si="32"/>
        <v>6</v>
      </c>
      <c r="CK64" s="129" t="str">
        <f t="shared" si="33"/>
        <v>Booked</v>
      </c>
    </row>
    <row r="65" spans="1:89" ht="15" customHeight="1" x14ac:dyDescent="0.25">
      <c r="A65" s="111">
        <v>2916</v>
      </c>
      <c r="B65" s="128" t="str">
        <f t="shared" si="8"/>
        <v>N</v>
      </c>
      <c r="C65" s="128" t="str">
        <f t="shared" si="9"/>
        <v>N</v>
      </c>
      <c r="D65" s="117">
        <v>312284</v>
      </c>
      <c r="E65" s="135">
        <f t="shared" si="10"/>
        <v>5</v>
      </c>
      <c r="F65" s="124">
        <v>41016</v>
      </c>
      <c r="G65" s="125">
        <v>41019</v>
      </c>
      <c r="H65" s="117">
        <v>312284</v>
      </c>
      <c r="I65" s="124">
        <v>41017</v>
      </c>
      <c r="J65" s="124">
        <v>41019</v>
      </c>
      <c r="K65" s="126">
        <v>15000</v>
      </c>
      <c r="L65" s="127" t="s">
        <v>571</v>
      </c>
      <c r="N65" s="129" t="str">
        <f t="shared" si="45"/>
        <v>N</v>
      </c>
      <c r="O65" s="128" t="s">
        <v>917</v>
      </c>
      <c r="P65" s="129" t="s">
        <v>39</v>
      </c>
      <c r="Q65" s="111">
        <f t="shared" si="40"/>
        <v>3</v>
      </c>
      <c r="R65" s="111">
        <f t="shared" si="1"/>
        <v>4</v>
      </c>
      <c r="S65" s="129">
        <v>8</v>
      </c>
      <c r="T65" s="129">
        <v>5</v>
      </c>
      <c r="U65" s="129">
        <v>5</v>
      </c>
      <c r="V65" s="117">
        <v>1</v>
      </c>
      <c r="W65" s="111"/>
      <c r="AC65" s="130"/>
      <c r="AD65" s="130">
        <v>18653</v>
      </c>
      <c r="AE65" s="128" t="s">
        <v>32</v>
      </c>
      <c r="AF65" s="128" t="s">
        <v>33</v>
      </c>
      <c r="AG65" s="128" t="s">
        <v>872</v>
      </c>
      <c r="AH65" s="108" t="s">
        <v>58</v>
      </c>
      <c r="AI65" s="128" t="s">
        <v>114</v>
      </c>
      <c r="AJ65" s="129" t="s">
        <v>89</v>
      </c>
      <c r="AK65" s="129">
        <v>2</v>
      </c>
      <c r="AL65" s="3" t="s">
        <v>992</v>
      </c>
      <c r="AN65" s="117">
        <v>6</v>
      </c>
      <c r="AP65" s="129" t="s">
        <v>127</v>
      </c>
      <c r="AR65" s="128" t="s">
        <v>44</v>
      </c>
      <c r="AS65" s="129" t="s">
        <v>82</v>
      </c>
      <c r="AT65" s="129" t="s">
        <v>499</v>
      </c>
      <c r="BC65" s="129" t="s">
        <v>38</v>
      </c>
      <c r="BF65" s="111">
        <f t="shared" si="41"/>
        <v>3</v>
      </c>
      <c r="BG65" s="111">
        <f t="shared" si="39"/>
        <v>3</v>
      </c>
      <c r="BH65" s="111">
        <f t="shared" si="3"/>
        <v>4</v>
      </c>
      <c r="BI65" s="111">
        <f t="shared" si="4"/>
        <v>61.101092896174862</v>
      </c>
      <c r="BJ65" s="129">
        <f t="shared" si="12"/>
        <v>0</v>
      </c>
      <c r="BK65" s="129">
        <f t="shared" si="5"/>
        <v>0</v>
      </c>
      <c r="BL65" s="129" t="str">
        <f t="shared" si="6"/>
        <v>CONVICTION</v>
      </c>
      <c r="BM65" s="129" t="str">
        <f t="shared" si="13"/>
        <v>NONE</v>
      </c>
      <c r="BN65" s="129" t="s">
        <v>566</v>
      </c>
      <c r="BP65" s="137" t="str">
        <f t="shared" si="14"/>
        <v>CONVICTION</v>
      </c>
      <c r="BQ65" s="128" t="str">
        <f t="shared" si="15"/>
        <v>Y</v>
      </c>
      <c r="BR65" s="129" t="str">
        <f t="shared" si="16"/>
        <v>DETAINED</v>
      </c>
      <c r="BS65" s="129" t="str">
        <f t="shared" si="17"/>
        <v>DISPOSED</v>
      </c>
      <c r="BT65" s="129" t="str">
        <f t="shared" si="18"/>
        <v>Y</v>
      </c>
      <c r="BU65" s="109">
        <f t="shared" si="19"/>
        <v>0.75</v>
      </c>
      <c r="BV65" s="109">
        <f t="shared" si="20"/>
        <v>1</v>
      </c>
      <c r="BW65" s="109">
        <f t="shared" si="21"/>
        <v>0.25</v>
      </c>
      <c r="BX65" s="111">
        <f t="shared" si="22"/>
        <v>0</v>
      </c>
      <c r="BY65" s="129">
        <f t="shared" si="23"/>
        <v>-3</v>
      </c>
      <c r="BZ65" s="111">
        <f t="shared" si="24"/>
        <v>0</v>
      </c>
      <c r="CA65" s="138">
        <f t="shared" si="25"/>
        <v>3</v>
      </c>
      <c r="CB65" s="111" t="e">
        <f t="shared" si="42"/>
        <v>#VALUE!</v>
      </c>
      <c r="CC65" s="129">
        <f>G65-I65+1</f>
        <v>3</v>
      </c>
      <c r="CD65" s="129">
        <f t="shared" si="46"/>
        <v>0</v>
      </c>
      <c r="CE65" s="129">
        <f t="shared" si="28"/>
        <v>0</v>
      </c>
      <c r="CF65" s="129">
        <f t="shared" si="47"/>
        <v>2</v>
      </c>
      <c r="CG65" s="129" t="str">
        <f t="shared" si="30"/>
        <v>Y</v>
      </c>
      <c r="CI65" s="129" t="str">
        <f t="shared" si="31"/>
        <v>0-10 DAYS</v>
      </c>
      <c r="CJ65" s="137">
        <f t="shared" si="32"/>
        <v>1</v>
      </c>
      <c r="CK65" s="129" t="str">
        <f t="shared" si="33"/>
        <v>Booked</v>
      </c>
    </row>
    <row r="66" spans="1:89" ht="15.75" customHeight="1" x14ac:dyDescent="0.25">
      <c r="A66" s="111">
        <v>741</v>
      </c>
      <c r="B66" s="128" t="str">
        <f t="shared" si="8"/>
        <v>N</v>
      </c>
      <c r="C66" s="128" t="str">
        <f t="shared" si="9"/>
        <v>N</v>
      </c>
      <c r="D66" s="117">
        <v>318832</v>
      </c>
      <c r="E66" s="135">
        <f t="shared" si="10"/>
        <v>1</v>
      </c>
      <c r="F66" s="124">
        <v>40938</v>
      </c>
      <c r="G66" s="125">
        <v>40939</v>
      </c>
      <c r="H66" s="117">
        <v>318832</v>
      </c>
      <c r="I66" s="124">
        <v>40938</v>
      </c>
      <c r="J66" s="124">
        <v>40939</v>
      </c>
      <c r="K66" s="126">
        <v>15000</v>
      </c>
      <c r="L66" s="127" t="s">
        <v>571</v>
      </c>
      <c r="N66" s="129" t="str">
        <f t="shared" si="45"/>
        <v>N</v>
      </c>
      <c r="O66" s="128" t="s">
        <v>917</v>
      </c>
      <c r="P66" s="116" t="s">
        <v>55</v>
      </c>
      <c r="Q66" s="111">
        <f t="shared" si="40"/>
        <v>2</v>
      </c>
      <c r="R66" s="111">
        <f t="shared" ref="R66:R129" si="48">BH66</f>
        <v>2</v>
      </c>
      <c r="S66" s="129">
        <v>5</v>
      </c>
      <c r="T66" s="129">
        <v>6</v>
      </c>
      <c r="U66" s="129">
        <v>4</v>
      </c>
      <c r="W66" s="111"/>
      <c r="AC66" s="130"/>
      <c r="AD66" s="130">
        <v>19161</v>
      </c>
      <c r="AE66" s="128" t="s">
        <v>32</v>
      </c>
      <c r="AF66" s="128" t="s">
        <v>33</v>
      </c>
      <c r="AG66" s="128" t="s">
        <v>872</v>
      </c>
      <c r="AH66" s="108" t="s">
        <v>58</v>
      </c>
      <c r="AI66" s="128" t="s">
        <v>90</v>
      </c>
      <c r="AJ66" s="129" t="s">
        <v>55</v>
      </c>
      <c r="AK66" s="129">
        <v>1</v>
      </c>
      <c r="AL66" s="3" t="s">
        <v>55</v>
      </c>
      <c r="AP66" s="129" t="s">
        <v>43</v>
      </c>
      <c r="AR66" s="128" t="s">
        <v>44</v>
      </c>
      <c r="AS66" s="129" t="s">
        <v>45</v>
      </c>
      <c r="BC66" s="129" t="s">
        <v>79</v>
      </c>
      <c r="BF66" s="111">
        <f t="shared" si="41"/>
        <v>2</v>
      </c>
      <c r="BG66" s="111">
        <f t="shared" ref="BG66:BG84" si="49">IF(G66&gt;1/1/1900,((G66+1)-I66),"STILL OPEN")</f>
        <v>2</v>
      </c>
      <c r="BH66" s="111">
        <f t="shared" ref="BH66:BH129" si="50">IF(G66&gt;1/1/1900,((G66+1)-F66),"STILL OPEN")</f>
        <v>2</v>
      </c>
      <c r="BI66" s="111">
        <f t="shared" ref="BI66:BI129" si="51">(F66-AD66)/366</f>
        <v>59.5</v>
      </c>
      <c r="BJ66" s="129">
        <f t="shared" si="12"/>
        <v>0</v>
      </c>
      <c r="BK66" s="129">
        <f t="shared" ref="BK66:BK129" si="52">J66-G66</f>
        <v>0</v>
      </c>
      <c r="BL66" s="129" t="str">
        <f t="shared" ref="BL66:BL129" si="53">IF(OR(AL66="AQUITTAL",AL66="DISMISSED",AL66="FINE",AL66="NO BILL"),"NO CONVICTION",IF(OR(AL66="HCJ",AL66="MHH",AL66="PROBATION",AL66="STJ",AL66="TDC"),"CONVICTION",IF(AL66="DEFERRED","DEFERRED",0)))</f>
        <v>NO CONVICTION</v>
      </c>
      <c r="BM66" s="129" t="str">
        <f t="shared" si="13"/>
        <v>NONE</v>
      </c>
      <c r="BN66" s="129" t="s">
        <v>566</v>
      </c>
      <c r="BP66" s="137" t="str">
        <f t="shared" si="14"/>
        <v>NO CONVICTION</v>
      </c>
      <c r="BQ66" s="128" t="str">
        <f t="shared" si="15"/>
        <v>Y</v>
      </c>
      <c r="BR66" s="129" t="str">
        <f t="shared" si="16"/>
        <v>DETAINED</v>
      </c>
      <c r="BS66" s="129" t="str">
        <f t="shared" si="17"/>
        <v>DISPOSED</v>
      </c>
      <c r="BT66" s="129" t="str">
        <f t="shared" si="18"/>
        <v>Y</v>
      </c>
      <c r="BU66" s="109">
        <f>IFERROR(Q66/R66,BR66)</f>
        <v>1</v>
      </c>
      <c r="BV66" s="109">
        <f t="shared" si="20"/>
        <v>1</v>
      </c>
      <c r="BW66" s="109">
        <f t="shared" si="21"/>
        <v>0</v>
      </c>
      <c r="BX66" s="111">
        <f t="shared" si="22"/>
        <v>0</v>
      </c>
      <c r="BY66" s="129">
        <f t="shared" si="23"/>
        <v>-2</v>
      </c>
      <c r="BZ66" s="111">
        <f t="shared" si="24"/>
        <v>0</v>
      </c>
      <c r="CA66" s="138">
        <f t="shared" si="25"/>
        <v>2</v>
      </c>
      <c r="CB66" s="111" t="e">
        <f t="shared" si="42"/>
        <v>#VALUE!</v>
      </c>
      <c r="CC66" s="129">
        <f>G66-I66+1</f>
        <v>2</v>
      </c>
      <c r="CD66" s="129">
        <f t="shared" si="46"/>
        <v>0</v>
      </c>
      <c r="CE66" s="129">
        <f t="shared" si="28"/>
        <v>0</v>
      </c>
      <c r="CF66" s="129">
        <f t="shared" si="47"/>
        <v>1</v>
      </c>
      <c r="CG66" s="129" t="str">
        <f t="shared" si="30"/>
        <v>Y</v>
      </c>
      <c r="CI66" s="129" t="str">
        <f t="shared" si="31"/>
        <v>0-10 DAYS</v>
      </c>
      <c r="CJ66" s="137">
        <f t="shared" si="32"/>
        <v>1</v>
      </c>
      <c r="CK66" s="129" t="str">
        <f t="shared" si="33"/>
        <v>Booked</v>
      </c>
    </row>
    <row r="67" spans="1:89" ht="15.75" customHeight="1" x14ac:dyDescent="0.25">
      <c r="A67" s="111">
        <v>2373</v>
      </c>
      <c r="B67" s="128" t="str">
        <f t="shared" ref="B67:B130" si="54">IF(BD67&lt;&gt;"","Y","N")</f>
        <v>N</v>
      </c>
      <c r="C67" s="128" t="str">
        <f t="shared" ref="C67:C130" si="55">IF((AND(AV67="",AX67="",AY67="")),"N","Y")</f>
        <v>N</v>
      </c>
      <c r="D67" s="117">
        <v>319511</v>
      </c>
      <c r="E67" s="135">
        <f t="shared" ref="E67:E130" si="56">IF(OR(AL67="ACQUITTAL",AL67="ACQUIT",AL67="acq insane",AL67="DISMISSED",AL67="NO BILL"),1,IF(AL67="DEFERRED",2,IF(AL67="PROBATION",3,IF(OR(AL67="HCJ",AL67="fine"),4,IF(AL67="STJ",5,IF(AL67="TDC",6,""))))))</f>
        <v>6</v>
      </c>
      <c r="F67" s="124">
        <v>40998</v>
      </c>
      <c r="G67" s="125">
        <v>41642</v>
      </c>
      <c r="H67" s="117">
        <v>319511</v>
      </c>
      <c r="I67" s="124">
        <v>40999</v>
      </c>
      <c r="J67" s="124">
        <v>41006</v>
      </c>
      <c r="K67" s="126">
        <v>50000</v>
      </c>
      <c r="L67" s="129" t="s">
        <v>572</v>
      </c>
      <c r="M67" s="125">
        <v>41006</v>
      </c>
      <c r="N67" s="129" t="str">
        <f t="shared" si="45"/>
        <v>Y</v>
      </c>
      <c r="O67" s="128" t="s">
        <v>76</v>
      </c>
      <c r="P67" s="129" t="s">
        <v>39</v>
      </c>
      <c r="Q67" s="111">
        <f t="shared" si="40"/>
        <v>8</v>
      </c>
      <c r="R67" s="111">
        <f t="shared" si="48"/>
        <v>645</v>
      </c>
      <c r="S67" s="129">
        <v>0</v>
      </c>
      <c r="T67" s="129">
        <v>2</v>
      </c>
      <c r="W67" s="111"/>
      <c r="AC67" s="130"/>
      <c r="AD67" s="130">
        <v>21375</v>
      </c>
      <c r="AE67" s="128" t="s">
        <v>32</v>
      </c>
      <c r="AF67" s="128" t="s">
        <v>33</v>
      </c>
      <c r="AG67" s="128" t="s">
        <v>872</v>
      </c>
      <c r="AH67" s="108" t="s">
        <v>58</v>
      </c>
      <c r="AI67" s="128" t="s">
        <v>87</v>
      </c>
      <c r="AJ67" s="129" t="s">
        <v>89</v>
      </c>
      <c r="AK67" s="129">
        <v>16</v>
      </c>
      <c r="AL67" s="3" t="s">
        <v>362</v>
      </c>
      <c r="AM67" s="117">
        <v>35</v>
      </c>
      <c r="AP67" s="129" t="s">
        <v>179</v>
      </c>
      <c r="AR67" s="128" t="s">
        <v>92</v>
      </c>
      <c r="AS67" s="129" t="s">
        <v>180</v>
      </c>
      <c r="AT67" s="129" t="s">
        <v>1159</v>
      </c>
      <c r="BC67" s="129" t="s">
        <v>38</v>
      </c>
      <c r="BF67" s="111">
        <f t="shared" si="41"/>
        <v>8</v>
      </c>
      <c r="BG67" s="111">
        <f t="shared" si="49"/>
        <v>644</v>
      </c>
      <c r="BH67" s="111">
        <f t="shared" si="50"/>
        <v>645</v>
      </c>
      <c r="BI67" s="111">
        <f t="shared" si="51"/>
        <v>53.614754098360656</v>
      </c>
      <c r="BJ67" s="129">
        <f>(G67-J67)+(M67-G67)</f>
        <v>0</v>
      </c>
      <c r="BK67" s="129">
        <f t="shared" si="52"/>
        <v>-636</v>
      </c>
      <c r="BL67" s="129" t="str">
        <f t="shared" si="53"/>
        <v>CONVICTION</v>
      </c>
      <c r="BM67" s="129" t="s">
        <v>76</v>
      </c>
      <c r="BN67" s="129" t="s">
        <v>88</v>
      </c>
      <c r="BP67" s="137" t="str">
        <f t="shared" ref="BP67:BP130" si="57">IF(OR(AJ67="AQUITTAL",AJ67="DISMISSED",AJ67="FINE",AJ67="NO BILL"),"NO CONVICTION",IF(OR(AJ67="HCJ",AJ67="MHH",AJ67="PROBATION",AJ67="STJ",AJ67="TDC",AJ67="CONVICTED"),"CONVICTION",IF(AJ67="DEFERRED","DEFERRED","")))</f>
        <v>CONVICTION</v>
      </c>
      <c r="BQ67" s="128" t="str">
        <f t="shared" ref="BQ67:BQ130" si="58">IF(BF67&gt;0,"Y",BF67)</f>
        <v>Y</v>
      </c>
      <c r="BR67" s="129" t="str">
        <f t="shared" ref="BR67:BR130" si="59">IF(AND(J67="NOT BOOKED",M67&gt;1/1/1),"BONDED - BEFORE BOOKED",IF(BG67="STILL OPEN","STILL OPEN",IF(N67="Y","ON BOND",IF(J67&gt;=G67,"DETAINED","RELEASED"))))</f>
        <v>ON BOND</v>
      </c>
      <c r="BS67" s="129" t="str">
        <f t="shared" si="17"/>
        <v>DISPOSED</v>
      </c>
      <c r="BT67" s="129" t="str">
        <f t="shared" ref="BT67:BT130" si="60">IF(S67&gt;0,"Y","N")</f>
        <v>N</v>
      </c>
      <c r="BU67" s="109">
        <f>IFERROR(Q67/R67,BR67)</f>
        <v>1.2403100775193798E-2</v>
      </c>
      <c r="BV67" s="109">
        <f t="shared" ref="BV67:BV130" si="61">IF(I67&gt;F67,((J67-I67+1)/(G67-I67+1)),(J67-I67+1)/(G67-F67+1))</f>
        <v>1.2422360248447204E-2</v>
      </c>
      <c r="BW67" s="109">
        <f t="shared" ref="BW67:BW114" si="62">BV67-BU67</f>
        <v>1.9259473253405851E-5</v>
      </c>
      <c r="BX67" s="111">
        <f t="shared" ref="BX67:BX130" si="63">+Q67-BF67</f>
        <v>0</v>
      </c>
      <c r="BY67" s="129">
        <f t="shared" ref="BY67:BY130" si="64">I67-J67-1</f>
        <v>-8</v>
      </c>
      <c r="BZ67" s="111">
        <f t="shared" ref="BZ67:BZ130" si="65">BY67+BF67</f>
        <v>0</v>
      </c>
      <c r="CA67" s="138">
        <f t="shared" ref="CA67:CA130" si="66">IF(AND(BS67="DISPOSED",BR67="DETAINED"),G67-I67+1,IF(AND(BS67="DISPOSED",BR67="ON BOND"),M67-I67+1,IF(AND(BS67="STILL OPEN","STILL OPEN"),"NOT BOOKED")))</f>
        <v>8</v>
      </c>
      <c r="CB67" s="111" t="e">
        <f t="shared" si="42"/>
        <v>#VALUE!</v>
      </c>
      <c r="CC67" s="129">
        <f>M67-I67+1</f>
        <v>8</v>
      </c>
      <c r="CD67" s="111">
        <f>CC67-BF67</f>
        <v>0</v>
      </c>
      <c r="CE67" s="129">
        <f t="shared" ref="CE67:CE130" si="67">G67-J67</f>
        <v>636</v>
      </c>
      <c r="CF67" s="129">
        <f t="shared" si="47"/>
        <v>7</v>
      </c>
      <c r="CG67" s="129" t="str">
        <f t="shared" ref="CG67:CG130" si="68">IF((S67+T67+U67)&gt;0,"Y","N")</f>
        <v>Y</v>
      </c>
      <c r="CI67" s="129" t="str">
        <f t="shared" ref="CI67:CI130" si="69">IF(BF67&lt;11,"0-10 DAYS",IF(AND(BF67&gt;10,BF67&lt;31),"11-30 DAYS",IF((AND(BF67&gt;30,BF67&lt;61)),"31-60 DAYS",IF(AND(BF67&gt;60,BF67&lt;91),"61-90 DAYS",IF(AND(BF67&gt;90,BF67&lt;121),"91-120 DAYS",IF(AND(BF67&gt;120,BF67&lt;366),"121-365 DAYS",IF(AND(BF67&gt;365,BF67&lt;730)," &gt;1YRS&lt;2YRS",IF(AND(BF67&gt;729,BF67&lt;1095),"&gt;2YRS&lt;3YRS",IF(BF67&gt;1094,"&gt;3YRS")))))))))</f>
        <v>0-10 DAYS</v>
      </c>
      <c r="CJ67" s="137">
        <f t="shared" ref="CJ67:CJ130" si="70">IF(CI67="0-10 DAYS",1,IF(CI67="11-30 DAYS",2,IF(CI67="31-60 DAYS",3,IF(CI67="61-90 DAYS",4,IF(CK67="91-120 DAYS",5,IF(CI67="121-365 DAYS",6,IF(CI67="&gt;1YRS&lt;2YRS",7,IF(CI67="&gt;2YRS&lt;3YRS",8,IF(CI67="&gt;3YRS",9,0)))))))))</f>
        <v>1</v>
      </c>
      <c r="CK67" s="129" t="str">
        <f t="shared" ref="CK67:CK130" si="71">IF(I67="Not Booked","Not Booked","Booked")</f>
        <v>Booked</v>
      </c>
    </row>
    <row r="68" spans="1:89" ht="15" customHeight="1" x14ac:dyDescent="0.25">
      <c r="A68" s="111">
        <v>2814</v>
      </c>
      <c r="B68" s="128" t="str">
        <f t="shared" si="54"/>
        <v>N</v>
      </c>
      <c r="C68" s="128" t="str">
        <f t="shared" si="55"/>
        <v>N</v>
      </c>
      <c r="D68" s="117">
        <v>320097</v>
      </c>
      <c r="E68" s="135">
        <f t="shared" si="56"/>
        <v>6</v>
      </c>
      <c r="F68" s="124">
        <v>41012</v>
      </c>
      <c r="G68" s="125">
        <v>41395</v>
      </c>
      <c r="H68" s="117">
        <v>320097</v>
      </c>
      <c r="I68" s="124">
        <v>41013</v>
      </c>
      <c r="J68" s="125">
        <v>41395</v>
      </c>
      <c r="K68" s="126" t="s">
        <v>564</v>
      </c>
      <c r="L68" s="127" t="s">
        <v>564</v>
      </c>
      <c r="N68" s="129" t="s">
        <v>566</v>
      </c>
      <c r="O68" s="128" t="s">
        <v>917</v>
      </c>
      <c r="P68" s="129" t="s">
        <v>39</v>
      </c>
      <c r="Q68" s="111">
        <f t="shared" si="40"/>
        <v>383</v>
      </c>
      <c r="R68" s="111">
        <f t="shared" si="48"/>
        <v>384</v>
      </c>
      <c r="S68" s="129">
        <v>6</v>
      </c>
      <c r="T68" s="129">
        <v>4</v>
      </c>
      <c r="U68" s="129">
        <v>3</v>
      </c>
      <c r="W68" s="111"/>
      <c r="AC68" s="130"/>
      <c r="AD68" s="130">
        <v>22744</v>
      </c>
      <c r="AE68" s="128" t="s">
        <v>32</v>
      </c>
      <c r="AF68" s="128" t="s">
        <v>33</v>
      </c>
      <c r="AG68" s="128" t="s">
        <v>872</v>
      </c>
      <c r="AH68" s="108" t="s">
        <v>58</v>
      </c>
      <c r="AI68" s="128" t="s">
        <v>62</v>
      </c>
      <c r="AJ68" s="129" t="s">
        <v>89</v>
      </c>
      <c r="AK68" s="129">
        <v>14</v>
      </c>
      <c r="AL68" s="3" t="s">
        <v>362</v>
      </c>
      <c r="AM68" s="117">
        <v>2</v>
      </c>
      <c r="AP68" s="129" t="s">
        <v>101</v>
      </c>
      <c r="AR68" s="128" t="s">
        <v>67</v>
      </c>
      <c r="AS68" s="129" t="s">
        <v>64</v>
      </c>
      <c r="BC68" s="129" t="s">
        <v>38</v>
      </c>
      <c r="BF68" s="111">
        <f t="shared" si="41"/>
        <v>383</v>
      </c>
      <c r="BG68" s="111">
        <f t="shared" si="49"/>
        <v>383</v>
      </c>
      <c r="BH68" s="111">
        <f t="shared" si="50"/>
        <v>384</v>
      </c>
      <c r="BI68" s="111">
        <f t="shared" si="51"/>
        <v>49.912568306010932</v>
      </c>
      <c r="BJ68" s="129">
        <f t="shared" ref="BJ68:BJ130" si="72">G68-J68-M68</f>
        <v>0</v>
      </c>
      <c r="BK68" s="129">
        <f t="shared" si="52"/>
        <v>0</v>
      </c>
      <c r="BL68" s="129" t="str">
        <f t="shared" si="53"/>
        <v>CONVICTION</v>
      </c>
      <c r="BM68" s="129" t="str">
        <f t="shared" ref="BM68:BM130" si="73">O68</f>
        <v>NONE</v>
      </c>
      <c r="BN68" s="129" t="s">
        <v>88</v>
      </c>
      <c r="BP68" s="137" t="str">
        <f t="shared" si="57"/>
        <v>CONVICTION</v>
      </c>
      <c r="BQ68" s="128" t="str">
        <f t="shared" si="58"/>
        <v>Y</v>
      </c>
      <c r="BR68" s="129" t="str">
        <f t="shared" si="59"/>
        <v>DETAINED</v>
      </c>
      <c r="BS68" s="129" t="str">
        <f t="shared" ref="BS68:BS130" si="74">IF(G68&lt;&gt;"","DISPOSED","")</f>
        <v>DISPOSED</v>
      </c>
      <c r="BT68" s="129" t="str">
        <f t="shared" si="60"/>
        <v>Y</v>
      </c>
      <c r="BU68" s="109">
        <f t="shared" ref="BU68:BU129" si="75">Q68/R68</f>
        <v>0.99739583333333337</v>
      </c>
      <c r="BV68" s="109">
        <f t="shared" si="61"/>
        <v>1</v>
      </c>
      <c r="BW68" s="109">
        <f t="shared" si="62"/>
        <v>2.6041666666666297E-3</v>
      </c>
      <c r="BX68" s="111">
        <f t="shared" si="63"/>
        <v>0</v>
      </c>
      <c r="BY68" s="129">
        <f t="shared" si="64"/>
        <v>-383</v>
      </c>
      <c r="BZ68" s="111">
        <f t="shared" si="65"/>
        <v>0</v>
      </c>
      <c r="CA68" s="138">
        <f t="shared" si="66"/>
        <v>383</v>
      </c>
      <c r="CB68" s="111" t="e">
        <f t="shared" si="42"/>
        <v>#VALUE!</v>
      </c>
      <c r="CC68" s="129">
        <f t="shared" ref="CC68:CC80" si="76">G68-I68+1</f>
        <v>383</v>
      </c>
      <c r="CD68" s="129">
        <f t="shared" ref="CD68:CD80" si="77">G68-J68</f>
        <v>0</v>
      </c>
      <c r="CE68" s="129">
        <f t="shared" si="67"/>
        <v>0</v>
      </c>
      <c r="CF68" s="129">
        <f t="shared" si="47"/>
        <v>382</v>
      </c>
      <c r="CG68" s="129" t="str">
        <f t="shared" si="68"/>
        <v>Y</v>
      </c>
      <c r="CI68" s="129" t="str">
        <f t="shared" si="69"/>
        <v xml:space="preserve"> &gt;1YRS&lt;2YRS</v>
      </c>
      <c r="CJ68" s="137">
        <f t="shared" si="70"/>
        <v>0</v>
      </c>
      <c r="CK68" s="129" t="str">
        <f t="shared" si="71"/>
        <v>Booked</v>
      </c>
    </row>
    <row r="69" spans="1:89" ht="15" customHeight="1" x14ac:dyDescent="0.25">
      <c r="A69" s="111">
        <v>1363</v>
      </c>
      <c r="B69" s="128" t="str">
        <f t="shared" si="54"/>
        <v>N</v>
      </c>
      <c r="C69" s="128" t="str">
        <f t="shared" si="55"/>
        <v>N</v>
      </c>
      <c r="D69" s="117">
        <v>323681</v>
      </c>
      <c r="E69" s="135">
        <f t="shared" si="56"/>
        <v>6</v>
      </c>
      <c r="F69" s="124">
        <v>40957</v>
      </c>
      <c r="G69" s="125">
        <v>41122</v>
      </c>
      <c r="H69" s="117">
        <v>323681</v>
      </c>
      <c r="I69" s="124">
        <v>40958</v>
      </c>
      <c r="J69" s="124">
        <v>41122</v>
      </c>
      <c r="K69" s="126">
        <v>30000</v>
      </c>
      <c r="L69" s="129" t="s">
        <v>572</v>
      </c>
      <c r="N69" s="129" t="str">
        <f t="shared" ref="N69:N74" si="78">IF(M69&gt;1/1/1,"Y","N")</f>
        <v>N</v>
      </c>
      <c r="O69" s="128" t="s">
        <v>917</v>
      </c>
      <c r="P69" s="129" t="s">
        <v>39</v>
      </c>
      <c r="Q69" s="111">
        <f t="shared" si="40"/>
        <v>165</v>
      </c>
      <c r="R69" s="111">
        <f t="shared" si="48"/>
        <v>166</v>
      </c>
      <c r="S69" s="129">
        <v>10</v>
      </c>
      <c r="T69" s="129">
        <v>4</v>
      </c>
      <c r="U69" s="129">
        <v>6</v>
      </c>
      <c r="W69" s="111"/>
      <c r="AC69" s="130"/>
      <c r="AD69" s="130">
        <v>22588</v>
      </c>
      <c r="AE69" s="128" t="s">
        <v>32</v>
      </c>
      <c r="AF69" s="128" t="s">
        <v>33</v>
      </c>
      <c r="AG69" s="128" t="s">
        <v>872</v>
      </c>
      <c r="AH69" s="108" t="s">
        <v>58</v>
      </c>
      <c r="AI69" s="128" t="s">
        <v>80</v>
      </c>
      <c r="AJ69" s="129" t="s">
        <v>89</v>
      </c>
      <c r="AK69" s="129">
        <v>5</v>
      </c>
      <c r="AL69" s="3" t="s">
        <v>362</v>
      </c>
      <c r="AM69" s="117">
        <v>5</v>
      </c>
      <c r="AP69" s="129" t="s">
        <v>121</v>
      </c>
      <c r="AR69" s="128" t="s">
        <v>44</v>
      </c>
      <c r="AS69" s="129" t="s">
        <v>122</v>
      </c>
      <c r="BC69" s="129" t="s">
        <v>38</v>
      </c>
      <c r="BF69" s="111">
        <f t="shared" si="41"/>
        <v>165</v>
      </c>
      <c r="BG69" s="111">
        <f t="shared" si="49"/>
        <v>165</v>
      </c>
      <c r="BH69" s="111">
        <f t="shared" si="50"/>
        <v>166</v>
      </c>
      <c r="BI69" s="111">
        <f t="shared" si="51"/>
        <v>50.188524590163937</v>
      </c>
      <c r="BJ69" s="129">
        <f t="shared" si="72"/>
        <v>0</v>
      </c>
      <c r="BK69" s="129">
        <f t="shared" si="52"/>
        <v>0</v>
      </c>
      <c r="BL69" s="129" t="str">
        <f t="shared" si="53"/>
        <v>CONVICTION</v>
      </c>
      <c r="BM69" s="129" t="str">
        <f t="shared" si="73"/>
        <v>NONE</v>
      </c>
      <c r="BN69" s="129" t="s">
        <v>566</v>
      </c>
      <c r="BP69" s="137" t="str">
        <f t="shared" si="57"/>
        <v>CONVICTION</v>
      </c>
      <c r="BQ69" s="128" t="str">
        <f t="shared" si="58"/>
        <v>Y</v>
      </c>
      <c r="BR69" s="129" t="str">
        <f t="shared" si="59"/>
        <v>DETAINED</v>
      </c>
      <c r="BS69" s="129" t="str">
        <f t="shared" si="74"/>
        <v>DISPOSED</v>
      </c>
      <c r="BT69" s="129" t="str">
        <f t="shared" si="60"/>
        <v>Y</v>
      </c>
      <c r="BU69" s="109">
        <f t="shared" si="75"/>
        <v>0.99397590361445787</v>
      </c>
      <c r="BV69" s="109">
        <f t="shared" si="61"/>
        <v>1</v>
      </c>
      <c r="BW69" s="109">
        <f t="shared" si="62"/>
        <v>6.0240963855421326E-3</v>
      </c>
      <c r="BX69" s="111">
        <f t="shared" si="63"/>
        <v>0</v>
      </c>
      <c r="BY69" s="129">
        <f t="shared" si="64"/>
        <v>-165</v>
      </c>
      <c r="BZ69" s="111">
        <f t="shared" si="65"/>
        <v>0</v>
      </c>
      <c r="CA69" s="138">
        <f t="shared" si="66"/>
        <v>165</v>
      </c>
      <c r="CB69" s="111" t="e">
        <f t="shared" si="42"/>
        <v>#VALUE!</v>
      </c>
      <c r="CC69" s="129">
        <f t="shared" si="76"/>
        <v>165</v>
      </c>
      <c r="CD69" s="129">
        <f t="shared" si="77"/>
        <v>0</v>
      </c>
      <c r="CE69" s="129">
        <f t="shared" si="67"/>
        <v>0</v>
      </c>
      <c r="CF69" s="129">
        <f t="shared" si="47"/>
        <v>164</v>
      </c>
      <c r="CG69" s="129" t="str">
        <f t="shared" si="68"/>
        <v>Y</v>
      </c>
      <c r="CI69" s="129" t="str">
        <f t="shared" si="69"/>
        <v>121-365 DAYS</v>
      </c>
      <c r="CJ69" s="137">
        <f t="shared" si="70"/>
        <v>6</v>
      </c>
      <c r="CK69" s="129" t="str">
        <f t="shared" si="71"/>
        <v>Booked</v>
      </c>
    </row>
    <row r="70" spans="1:89" ht="15.75" customHeight="1" x14ac:dyDescent="0.25">
      <c r="A70" s="111">
        <v>78</v>
      </c>
      <c r="B70" s="128" t="str">
        <f t="shared" si="54"/>
        <v>N</v>
      </c>
      <c r="C70" s="128" t="str">
        <f t="shared" si="55"/>
        <v>N</v>
      </c>
      <c r="D70" s="117">
        <v>331476</v>
      </c>
      <c r="E70" s="135">
        <f t="shared" si="56"/>
        <v>5</v>
      </c>
      <c r="F70" s="124">
        <v>40912</v>
      </c>
      <c r="G70" s="125">
        <v>40914</v>
      </c>
      <c r="H70" s="117">
        <v>331476</v>
      </c>
      <c r="I70" s="124">
        <v>40913</v>
      </c>
      <c r="J70" s="124">
        <v>40914</v>
      </c>
      <c r="K70" s="126">
        <v>15000</v>
      </c>
      <c r="L70" s="127" t="s">
        <v>571</v>
      </c>
      <c r="N70" s="129" t="str">
        <f t="shared" si="78"/>
        <v>N</v>
      </c>
      <c r="O70" s="128" t="s">
        <v>917</v>
      </c>
      <c r="P70" s="129" t="s">
        <v>39</v>
      </c>
      <c r="Q70" s="111">
        <f t="shared" si="40"/>
        <v>2</v>
      </c>
      <c r="R70" s="111">
        <f t="shared" si="48"/>
        <v>3</v>
      </c>
      <c r="S70" s="129">
        <v>9</v>
      </c>
      <c r="T70" s="129">
        <v>6</v>
      </c>
      <c r="W70" s="111"/>
      <c r="AC70" s="130"/>
      <c r="AD70" s="130">
        <v>22313</v>
      </c>
      <c r="AE70" s="128" t="s">
        <v>32</v>
      </c>
      <c r="AF70" s="128" t="s">
        <v>33</v>
      </c>
      <c r="AG70" s="128" t="s">
        <v>872</v>
      </c>
      <c r="AH70" s="108" t="s">
        <v>31</v>
      </c>
      <c r="AI70" s="128" t="s">
        <v>90</v>
      </c>
      <c r="AJ70" s="129" t="s">
        <v>89</v>
      </c>
      <c r="AK70" s="129">
        <v>1</v>
      </c>
      <c r="AL70" s="3" t="s">
        <v>992</v>
      </c>
      <c r="AN70" s="117">
        <v>8</v>
      </c>
      <c r="AP70" s="129" t="s">
        <v>43</v>
      </c>
      <c r="AR70" s="128" t="s">
        <v>44</v>
      </c>
      <c r="AS70" s="129" t="s">
        <v>45</v>
      </c>
      <c r="BC70" s="129" t="s">
        <v>38</v>
      </c>
      <c r="BF70" s="111">
        <f t="shared" si="41"/>
        <v>2</v>
      </c>
      <c r="BG70" s="111">
        <f t="shared" si="49"/>
        <v>2</v>
      </c>
      <c r="BH70" s="111">
        <f t="shared" si="50"/>
        <v>3</v>
      </c>
      <c r="BI70" s="111">
        <f t="shared" si="51"/>
        <v>50.81693989071038</v>
      </c>
      <c r="BJ70" s="129">
        <f t="shared" si="72"/>
        <v>0</v>
      </c>
      <c r="BK70" s="129">
        <f t="shared" si="52"/>
        <v>0</v>
      </c>
      <c r="BL70" s="129" t="str">
        <f t="shared" si="53"/>
        <v>CONVICTION</v>
      </c>
      <c r="BM70" s="129" t="str">
        <f t="shared" si="73"/>
        <v>NONE</v>
      </c>
      <c r="BN70" s="129" t="s">
        <v>566</v>
      </c>
      <c r="BP70" s="137" t="str">
        <f t="shared" si="57"/>
        <v>CONVICTION</v>
      </c>
      <c r="BQ70" s="128" t="str">
        <f t="shared" si="58"/>
        <v>Y</v>
      </c>
      <c r="BR70" s="129" t="str">
        <f t="shared" si="59"/>
        <v>DETAINED</v>
      </c>
      <c r="BS70" s="129" t="str">
        <f t="shared" si="74"/>
        <v>DISPOSED</v>
      </c>
      <c r="BT70" s="129" t="str">
        <f t="shared" si="60"/>
        <v>Y</v>
      </c>
      <c r="BU70" s="109">
        <f t="shared" si="75"/>
        <v>0.66666666666666663</v>
      </c>
      <c r="BV70" s="109">
        <f t="shared" si="61"/>
        <v>1</v>
      </c>
      <c r="BW70" s="109">
        <f t="shared" si="62"/>
        <v>0.33333333333333337</v>
      </c>
      <c r="BX70" s="111">
        <f t="shared" si="63"/>
        <v>0</v>
      </c>
      <c r="BY70" s="129">
        <f t="shared" si="64"/>
        <v>-2</v>
      </c>
      <c r="BZ70" s="111">
        <f t="shared" si="65"/>
        <v>0</v>
      </c>
      <c r="CA70" s="138">
        <f t="shared" si="66"/>
        <v>2</v>
      </c>
      <c r="CB70" s="111" t="e">
        <f t="shared" si="42"/>
        <v>#VALUE!</v>
      </c>
      <c r="CC70" s="129">
        <f t="shared" si="76"/>
        <v>2</v>
      </c>
      <c r="CD70" s="129">
        <f t="shared" si="77"/>
        <v>0</v>
      </c>
      <c r="CE70" s="129">
        <f t="shared" si="67"/>
        <v>0</v>
      </c>
      <c r="CF70" s="129">
        <f t="shared" si="47"/>
        <v>1</v>
      </c>
      <c r="CG70" s="129" t="str">
        <f t="shared" si="68"/>
        <v>Y</v>
      </c>
      <c r="CI70" s="129" t="str">
        <f t="shared" si="69"/>
        <v>0-10 DAYS</v>
      </c>
      <c r="CJ70" s="137">
        <f t="shared" si="70"/>
        <v>1</v>
      </c>
      <c r="CK70" s="129" t="str">
        <f t="shared" si="71"/>
        <v>Booked</v>
      </c>
    </row>
    <row r="71" spans="1:89" ht="15.75" customHeight="1" x14ac:dyDescent="0.25">
      <c r="A71" s="111">
        <v>2905</v>
      </c>
      <c r="B71" s="128" t="str">
        <f t="shared" si="54"/>
        <v>N</v>
      </c>
      <c r="C71" s="128" t="str">
        <f t="shared" si="55"/>
        <v>N</v>
      </c>
      <c r="D71" s="117">
        <v>339148</v>
      </c>
      <c r="E71" s="135">
        <f t="shared" si="56"/>
        <v>6</v>
      </c>
      <c r="F71" s="124">
        <v>41016</v>
      </c>
      <c r="G71" s="125">
        <v>41211</v>
      </c>
      <c r="H71" s="117">
        <v>339148</v>
      </c>
      <c r="I71" s="124">
        <v>41017</v>
      </c>
      <c r="J71" s="125">
        <v>41211</v>
      </c>
      <c r="K71" s="126">
        <v>30000</v>
      </c>
      <c r="L71" s="129" t="s">
        <v>572</v>
      </c>
      <c r="N71" s="129" t="str">
        <f t="shared" si="78"/>
        <v>N</v>
      </c>
      <c r="O71" s="128" t="s">
        <v>917</v>
      </c>
      <c r="P71" s="129" t="s">
        <v>39</v>
      </c>
      <c r="Q71" s="111">
        <f t="shared" si="40"/>
        <v>195</v>
      </c>
      <c r="R71" s="111">
        <f t="shared" si="48"/>
        <v>196</v>
      </c>
      <c r="S71" s="129">
        <v>4</v>
      </c>
      <c r="T71" s="129">
        <v>2</v>
      </c>
      <c r="U71" s="129">
        <v>3</v>
      </c>
      <c r="W71" s="111"/>
      <c r="AC71" s="130"/>
      <c r="AD71" s="130">
        <v>20649</v>
      </c>
      <c r="AE71" s="128" t="s">
        <v>32</v>
      </c>
      <c r="AF71" s="128" t="s">
        <v>33</v>
      </c>
      <c r="AG71" s="128" t="s">
        <v>872</v>
      </c>
      <c r="AH71" s="108" t="s">
        <v>58</v>
      </c>
      <c r="AI71" s="128" t="s">
        <v>42</v>
      </c>
      <c r="AJ71" s="129" t="s">
        <v>89</v>
      </c>
      <c r="AK71" s="129">
        <v>7</v>
      </c>
      <c r="AL71" s="3" t="s">
        <v>362</v>
      </c>
      <c r="AM71" s="117">
        <v>2</v>
      </c>
      <c r="AP71" s="129" t="s">
        <v>81</v>
      </c>
      <c r="AR71" s="128" t="s">
        <v>50</v>
      </c>
      <c r="AS71" s="129" t="s">
        <v>82</v>
      </c>
      <c r="BC71" s="129" t="s">
        <v>38</v>
      </c>
      <c r="BF71" s="111">
        <f t="shared" si="41"/>
        <v>195</v>
      </c>
      <c r="BG71" s="111">
        <f t="shared" si="49"/>
        <v>195</v>
      </c>
      <c r="BH71" s="111">
        <f t="shared" si="50"/>
        <v>196</v>
      </c>
      <c r="BI71" s="111">
        <f t="shared" si="51"/>
        <v>55.647540983606561</v>
      </c>
      <c r="BJ71" s="129">
        <f t="shared" si="72"/>
        <v>0</v>
      </c>
      <c r="BK71" s="129">
        <f t="shared" si="52"/>
        <v>0</v>
      </c>
      <c r="BL71" s="129" t="str">
        <f t="shared" si="53"/>
        <v>CONVICTION</v>
      </c>
      <c r="BM71" s="129" t="str">
        <f t="shared" si="73"/>
        <v>NONE</v>
      </c>
      <c r="BN71" s="129" t="s">
        <v>566</v>
      </c>
      <c r="BP71" s="137" t="str">
        <f t="shared" si="57"/>
        <v>CONVICTION</v>
      </c>
      <c r="BQ71" s="128" t="str">
        <f t="shared" si="58"/>
        <v>Y</v>
      </c>
      <c r="BR71" s="129" t="str">
        <f t="shared" si="59"/>
        <v>DETAINED</v>
      </c>
      <c r="BS71" s="129" t="str">
        <f t="shared" si="74"/>
        <v>DISPOSED</v>
      </c>
      <c r="BT71" s="129" t="str">
        <f t="shared" si="60"/>
        <v>Y</v>
      </c>
      <c r="BU71" s="109">
        <f t="shared" si="75"/>
        <v>0.99489795918367352</v>
      </c>
      <c r="BV71" s="109">
        <f t="shared" si="61"/>
        <v>1</v>
      </c>
      <c r="BW71" s="109">
        <f t="shared" si="62"/>
        <v>5.1020408163264808E-3</v>
      </c>
      <c r="BX71" s="111">
        <f t="shared" si="63"/>
        <v>0</v>
      </c>
      <c r="BY71" s="129">
        <f t="shared" si="64"/>
        <v>-195</v>
      </c>
      <c r="BZ71" s="111">
        <f t="shared" si="65"/>
        <v>0</v>
      </c>
      <c r="CA71" s="138">
        <f t="shared" si="66"/>
        <v>195</v>
      </c>
      <c r="CB71" s="111" t="e">
        <f t="shared" si="42"/>
        <v>#VALUE!</v>
      </c>
      <c r="CC71" s="129">
        <f t="shared" si="76"/>
        <v>195</v>
      </c>
      <c r="CD71" s="129">
        <f t="shared" si="77"/>
        <v>0</v>
      </c>
      <c r="CE71" s="129">
        <f t="shared" si="67"/>
        <v>0</v>
      </c>
      <c r="CF71" s="129">
        <f t="shared" si="47"/>
        <v>194</v>
      </c>
      <c r="CG71" s="129" t="str">
        <f t="shared" si="68"/>
        <v>Y</v>
      </c>
      <c r="CI71" s="129" t="str">
        <f t="shared" si="69"/>
        <v>121-365 DAYS</v>
      </c>
      <c r="CJ71" s="137">
        <f t="shared" si="70"/>
        <v>6</v>
      </c>
      <c r="CK71" s="129" t="str">
        <f t="shared" si="71"/>
        <v>Booked</v>
      </c>
    </row>
    <row r="72" spans="1:89" ht="15.75" customHeight="1" x14ac:dyDescent="0.25">
      <c r="A72" s="111">
        <v>2279</v>
      </c>
      <c r="B72" s="128" t="str">
        <f t="shared" si="54"/>
        <v>N</v>
      </c>
      <c r="C72" s="128" t="str">
        <f t="shared" si="55"/>
        <v>N</v>
      </c>
      <c r="D72" s="117">
        <v>344287</v>
      </c>
      <c r="E72" s="135">
        <f t="shared" si="56"/>
        <v>1</v>
      </c>
      <c r="F72" s="124">
        <v>40995</v>
      </c>
      <c r="G72" s="125">
        <v>41002</v>
      </c>
      <c r="H72" s="117">
        <v>344287</v>
      </c>
      <c r="I72" s="124">
        <v>40997</v>
      </c>
      <c r="J72" s="124">
        <v>41002</v>
      </c>
      <c r="K72" s="126">
        <v>10000</v>
      </c>
      <c r="L72" s="127" t="s">
        <v>570</v>
      </c>
      <c r="N72" s="129" t="str">
        <f t="shared" si="78"/>
        <v>N</v>
      </c>
      <c r="O72" s="128" t="s">
        <v>917</v>
      </c>
      <c r="P72" s="129" t="s">
        <v>55</v>
      </c>
      <c r="Q72" s="111">
        <f t="shared" si="40"/>
        <v>6</v>
      </c>
      <c r="R72" s="111">
        <f t="shared" si="48"/>
        <v>8</v>
      </c>
      <c r="S72" s="129">
        <v>5</v>
      </c>
      <c r="T72" s="129">
        <v>1</v>
      </c>
      <c r="U72" s="129">
        <v>1</v>
      </c>
      <c r="W72" s="111"/>
      <c r="AC72" s="130"/>
      <c r="AD72" s="130">
        <v>20664</v>
      </c>
      <c r="AE72" s="128" t="s">
        <v>46</v>
      </c>
      <c r="AF72" s="128" t="s">
        <v>33</v>
      </c>
      <c r="AG72" s="128" t="s">
        <v>872</v>
      </c>
      <c r="AH72" s="108" t="s">
        <v>31</v>
      </c>
      <c r="AI72" s="128" t="s">
        <v>71</v>
      </c>
      <c r="AJ72" s="129" t="s">
        <v>55</v>
      </c>
      <c r="AK72" s="129">
        <v>2</v>
      </c>
      <c r="AL72" s="3" t="s">
        <v>55</v>
      </c>
      <c r="AP72" s="129" t="s">
        <v>56</v>
      </c>
      <c r="AR72" s="128" t="s">
        <v>50</v>
      </c>
      <c r="AS72" s="129" t="s">
        <v>57</v>
      </c>
      <c r="BC72" s="129" t="s">
        <v>38</v>
      </c>
      <c r="BF72" s="111">
        <f t="shared" si="41"/>
        <v>6</v>
      </c>
      <c r="BG72" s="111">
        <f t="shared" si="49"/>
        <v>6</v>
      </c>
      <c r="BH72" s="111">
        <f t="shared" si="50"/>
        <v>8</v>
      </c>
      <c r="BI72" s="111">
        <f t="shared" si="51"/>
        <v>55.549180327868854</v>
      </c>
      <c r="BJ72" s="129">
        <f t="shared" si="72"/>
        <v>0</v>
      </c>
      <c r="BK72" s="129">
        <f t="shared" si="52"/>
        <v>0</v>
      </c>
      <c r="BL72" s="129" t="str">
        <f t="shared" si="53"/>
        <v>NO CONVICTION</v>
      </c>
      <c r="BM72" s="129" t="str">
        <f t="shared" si="73"/>
        <v>NONE</v>
      </c>
      <c r="BN72" s="129" t="s">
        <v>566</v>
      </c>
      <c r="BP72" s="137" t="str">
        <f t="shared" si="57"/>
        <v>NO CONVICTION</v>
      </c>
      <c r="BQ72" s="128" t="str">
        <f t="shared" si="58"/>
        <v>Y</v>
      </c>
      <c r="BR72" s="129" t="str">
        <f t="shared" si="59"/>
        <v>DETAINED</v>
      </c>
      <c r="BS72" s="129" t="str">
        <f t="shared" si="74"/>
        <v>DISPOSED</v>
      </c>
      <c r="BT72" s="129" t="str">
        <f t="shared" si="60"/>
        <v>Y</v>
      </c>
      <c r="BU72" s="109">
        <f>IFERROR(Q72/R72,BR72)</f>
        <v>0.75</v>
      </c>
      <c r="BV72" s="109">
        <f t="shared" si="61"/>
        <v>1</v>
      </c>
      <c r="BW72" s="109">
        <f t="shared" si="62"/>
        <v>0.25</v>
      </c>
      <c r="BX72" s="111">
        <f t="shared" si="63"/>
        <v>0</v>
      </c>
      <c r="BY72" s="129">
        <f t="shared" si="64"/>
        <v>-6</v>
      </c>
      <c r="BZ72" s="111">
        <f t="shared" si="65"/>
        <v>0</v>
      </c>
      <c r="CA72" s="138">
        <f t="shared" si="66"/>
        <v>6</v>
      </c>
      <c r="CB72" s="111" t="e">
        <f t="shared" si="42"/>
        <v>#VALUE!</v>
      </c>
      <c r="CC72" s="129">
        <f t="shared" si="76"/>
        <v>6</v>
      </c>
      <c r="CD72" s="129">
        <f t="shared" si="77"/>
        <v>0</v>
      </c>
      <c r="CE72" s="129">
        <f t="shared" si="67"/>
        <v>0</v>
      </c>
      <c r="CF72" s="129">
        <f t="shared" si="47"/>
        <v>5</v>
      </c>
      <c r="CG72" s="129" t="str">
        <f t="shared" si="68"/>
        <v>Y</v>
      </c>
      <c r="CI72" s="129" t="str">
        <f t="shared" si="69"/>
        <v>0-10 DAYS</v>
      </c>
      <c r="CJ72" s="137">
        <f t="shared" si="70"/>
        <v>1</v>
      </c>
      <c r="CK72" s="129" t="str">
        <f t="shared" si="71"/>
        <v>Booked</v>
      </c>
    </row>
    <row r="73" spans="1:89" ht="15.75" customHeight="1" x14ac:dyDescent="0.25">
      <c r="A73" s="111">
        <v>2084</v>
      </c>
      <c r="B73" s="128" t="str">
        <f t="shared" si="54"/>
        <v>N</v>
      </c>
      <c r="C73" s="128" t="str">
        <f t="shared" si="55"/>
        <v>N</v>
      </c>
      <c r="D73" s="117">
        <v>345338</v>
      </c>
      <c r="E73" s="135">
        <f t="shared" si="56"/>
        <v>6</v>
      </c>
      <c r="F73" s="124">
        <v>40987</v>
      </c>
      <c r="G73" s="125">
        <v>41065</v>
      </c>
      <c r="H73" s="117">
        <v>345338</v>
      </c>
      <c r="I73" s="124">
        <v>41024</v>
      </c>
      <c r="J73" s="124">
        <v>41065</v>
      </c>
      <c r="K73" s="126">
        <v>30000</v>
      </c>
      <c r="L73" s="129" t="s">
        <v>572</v>
      </c>
      <c r="N73" s="129" t="str">
        <f t="shared" si="78"/>
        <v>N</v>
      </c>
      <c r="O73" s="128" t="s">
        <v>917</v>
      </c>
      <c r="P73" s="129" t="s">
        <v>39</v>
      </c>
      <c r="Q73" s="111">
        <f t="shared" si="40"/>
        <v>42</v>
      </c>
      <c r="R73" s="111">
        <f t="shared" si="48"/>
        <v>79</v>
      </c>
      <c r="S73" s="129">
        <v>6</v>
      </c>
      <c r="T73" s="129">
        <v>1</v>
      </c>
      <c r="U73" s="129">
        <v>4</v>
      </c>
      <c r="W73" s="111"/>
      <c r="AC73" s="130"/>
      <c r="AD73" s="130">
        <v>21545</v>
      </c>
      <c r="AE73" s="128" t="s">
        <v>32</v>
      </c>
      <c r="AF73" s="128" t="s">
        <v>33</v>
      </c>
      <c r="AG73" s="128" t="s">
        <v>872</v>
      </c>
      <c r="AH73" s="108" t="s">
        <v>58</v>
      </c>
      <c r="AI73" s="128" t="s">
        <v>83</v>
      </c>
      <c r="AJ73" s="129" t="s">
        <v>89</v>
      </c>
      <c r="AK73" s="129">
        <v>3</v>
      </c>
      <c r="AL73" s="3" t="s">
        <v>362</v>
      </c>
      <c r="AM73" s="117">
        <v>3</v>
      </c>
      <c r="AP73" s="129" t="s">
        <v>262</v>
      </c>
      <c r="AR73" s="128" t="s">
        <v>50</v>
      </c>
      <c r="AS73" s="129" t="s">
        <v>64</v>
      </c>
      <c r="BC73" s="129" t="s">
        <v>38</v>
      </c>
      <c r="BF73" s="111">
        <f t="shared" si="41"/>
        <v>42</v>
      </c>
      <c r="BG73" s="111">
        <f t="shared" si="49"/>
        <v>42</v>
      </c>
      <c r="BH73" s="111">
        <f t="shared" si="50"/>
        <v>79</v>
      </c>
      <c r="BI73" s="111">
        <f t="shared" si="51"/>
        <v>53.120218579234972</v>
      </c>
      <c r="BJ73" s="129">
        <f t="shared" si="72"/>
        <v>0</v>
      </c>
      <c r="BK73" s="129">
        <f t="shared" si="52"/>
        <v>0</v>
      </c>
      <c r="BL73" s="129" t="str">
        <f t="shared" si="53"/>
        <v>CONVICTION</v>
      </c>
      <c r="BM73" s="129" t="str">
        <f t="shared" si="73"/>
        <v>NONE</v>
      </c>
      <c r="BN73" s="129" t="s">
        <v>566</v>
      </c>
      <c r="BP73" s="137" t="str">
        <f t="shared" si="57"/>
        <v>CONVICTION</v>
      </c>
      <c r="BQ73" s="128" t="str">
        <f t="shared" si="58"/>
        <v>Y</v>
      </c>
      <c r="BR73" s="129" t="str">
        <f t="shared" si="59"/>
        <v>DETAINED</v>
      </c>
      <c r="BS73" s="129" t="str">
        <f t="shared" si="74"/>
        <v>DISPOSED</v>
      </c>
      <c r="BT73" s="129" t="str">
        <f t="shared" si="60"/>
        <v>Y</v>
      </c>
      <c r="BU73" s="109">
        <f t="shared" si="75"/>
        <v>0.53164556962025311</v>
      </c>
      <c r="BV73" s="109">
        <f t="shared" si="61"/>
        <v>1</v>
      </c>
      <c r="BW73" s="109">
        <f t="shared" si="62"/>
        <v>0.46835443037974689</v>
      </c>
      <c r="BX73" s="111">
        <f t="shared" si="63"/>
        <v>0</v>
      </c>
      <c r="BY73" s="129">
        <f t="shared" si="64"/>
        <v>-42</v>
      </c>
      <c r="BZ73" s="111">
        <f t="shared" si="65"/>
        <v>0</v>
      </c>
      <c r="CA73" s="138">
        <f t="shared" si="66"/>
        <v>42</v>
      </c>
      <c r="CB73" s="111" t="e">
        <f t="shared" si="42"/>
        <v>#VALUE!</v>
      </c>
      <c r="CC73" s="129">
        <f t="shared" si="76"/>
        <v>42</v>
      </c>
      <c r="CD73" s="129">
        <f t="shared" si="77"/>
        <v>0</v>
      </c>
      <c r="CE73" s="129">
        <f t="shared" si="67"/>
        <v>0</v>
      </c>
      <c r="CF73" s="129">
        <f t="shared" si="47"/>
        <v>41</v>
      </c>
      <c r="CG73" s="129" t="str">
        <f t="shared" si="68"/>
        <v>Y</v>
      </c>
      <c r="CI73" s="129" t="str">
        <f t="shared" si="69"/>
        <v>31-60 DAYS</v>
      </c>
      <c r="CJ73" s="137">
        <f t="shared" si="70"/>
        <v>3</v>
      </c>
      <c r="CK73" s="129" t="str">
        <f t="shared" si="71"/>
        <v>Booked</v>
      </c>
    </row>
    <row r="74" spans="1:89" ht="15" customHeight="1" x14ac:dyDescent="0.25">
      <c r="A74" s="111">
        <v>2027</v>
      </c>
      <c r="B74" s="128" t="str">
        <f t="shared" si="54"/>
        <v>N</v>
      </c>
      <c r="C74" s="128" t="str">
        <f t="shared" si="55"/>
        <v>N</v>
      </c>
      <c r="D74" s="117">
        <v>346144</v>
      </c>
      <c r="E74" s="135">
        <f t="shared" si="56"/>
        <v>5</v>
      </c>
      <c r="F74" s="124">
        <v>40985</v>
      </c>
      <c r="G74" s="125">
        <v>41033</v>
      </c>
      <c r="H74" s="117">
        <v>346144</v>
      </c>
      <c r="I74" s="124">
        <v>40985</v>
      </c>
      <c r="J74" s="124">
        <v>41033</v>
      </c>
      <c r="K74" s="126">
        <v>15000</v>
      </c>
      <c r="L74" s="127" t="s">
        <v>571</v>
      </c>
      <c r="N74" s="129" t="str">
        <f t="shared" si="78"/>
        <v>N</v>
      </c>
      <c r="O74" s="128" t="s">
        <v>917</v>
      </c>
      <c r="P74" s="129" t="s">
        <v>39</v>
      </c>
      <c r="Q74" s="111">
        <f t="shared" si="40"/>
        <v>49</v>
      </c>
      <c r="R74" s="111">
        <f t="shared" si="48"/>
        <v>49</v>
      </c>
      <c r="S74" s="129">
        <v>4</v>
      </c>
      <c r="T74" s="129">
        <v>4</v>
      </c>
      <c r="U74" s="129">
        <v>4</v>
      </c>
      <c r="W74" s="111"/>
      <c r="AC74" s="130"/>
      <c r="AD74" s="130">
        <v>18659</v>
      </c>
      <c r="AE74" s="128" t="s">
        <v>32</v>
      </c>
      <c r="AF74" s="128" t="s">
        <v>33</v>
      </c>
      <c r="AG74" s="128" t="s">
        <v>872</v>
      </c>
      <c r="AH74" s="108" t="s">
        <v>58</v>
      </c>
      <c r="AI74" s="128" t="s">
        <v>97</v>
      </c>
      <c r="AJ74" s="129" t="s">
        <v>89</v>
      </c>
      <c r="AK74" s="129">
        <v>3</v>
      </c>
      <c r="AL74" s="3" t="s">
        <v>992</v>
      </c>
      <c r="AN74" s="117">
        <v>8</v>
      </c>
      <c r="AP74" s="129" t="s">
        <v>43</v>
      </c>
      <c r="AR74" s="128" t="s">
        <v>44</v>
      </c>
      <c r="AS74" s="129" t="s">
        <v>45</v>
      </c>
      <c r="BC74" s="129" t="s">
        <v>38</v>
      </c>
      <c r="BF74" s="111">
        <f t="shared" si="41"/>
        <v>49</v>
      </c>
      <c r="BG74" s="111">
        <f t="shared" si="49"/>
        <v>49</v>
      </c>
      <c r="BH74" s="111">
        <f t="shared" si="50"/>
        <v>49</v>
      </c>
      <c r="BI74" s="111">
        <f t="shared" si="51"/>
        <v>61</v>
      </c>
      <c r="BJ74" s="129">
        <f t="shared" si="72"/>
        <v>0</v>
      </c>
      <c r="BK74" s="129">
        <f t="shared" si="52"/>
        <v>0</v>
      </c>
      <c r="BL74" s="129" t="str">
        <f t="shared" si="53"/>
        <v>CONVICTION</v>
      </c>
      <c r="BM74" s="129" t="str">
        <f t="shared" si="73"/>
        <v>NONE</v>
      </c>
      <c r="BN74" s="129" t="s">
        <v>566</v>
      </c>
      <c r="BP74" s="137" t="str">
        <f t="shared" si="57"/>
        <v>CONVICTION</v>
      </c>
      <c r="BQ74" s="128" t="str">
        <f t="shared" si="58"/>
        <v>Y</v>
      </c>
      <c r="BR74" s="129" t="str">
        <f t="shared" si="59"/>
        <v>DETAINED</v>
      </c>
      <c r="BS74" s="129" t="str">
        <f t="shared" si="74"/>
        <v>DISPOSED</v>
      </c>
      <c r="BT74" s="129" t="str">
        <f t="shared" si="60"/>
        <v>Y</v>
      </c>
      <c r="BU74" s="109">
        <f t="shared" si="75"/>
        <v>1</v>
      </c>
      <c r="BV74" s="109">
        <f t="shared" si="61"/>
        <v>1</v>
      </c>
      <c r="BW74" s="109">
        <f t="shared" si="62"/>
        <v>0</v>
      </c>
      <c r="BX74" s="111">
        <f t="shared" si="63"/>
        <v>0</v>
      </c>
      <c r="BY74" s="129">
        <f t="shared" si="64"/>
        <v>-49</v>
      </c>
      <c r="BZ74" s="111">
        <f t="shared" si="65"/>
        <v>0</v>
      </c>
      <c r="CA74" s="138">
        <f t="shared" si="66"/>
        <v>49</v>
      </c>
      <c r="CB74" s="111" t="e">
        <f t="shared" si="42"/>
        <v>#VALUE!</v>
      </c>
      <c r="CC74" s="129">
        <f t="shared" si="76"/>
        <v>49</v>
      </c>
      <c r="CD74" s="129">
        <f t="shared" si="77"/>
        <v>0</v>
      </c>
      <c r="CE74" s="129">
        <f t="shared" si="67"/>
        <v>0</v>
      </c>
      <c r="CF74" s="129">
        <f t="shared" si="47"/>
        <v>48</v>
      </c>
      <c r="CG74" s="129" t="str">
        <f t="shared" si="68"/>
        <v>Y</v>
      </c>
      <c r="CI74" s="129" t="str">
        <f t="shared" si="69"/>
        <v>31-60 DAYS</v>
      </c>
      <c r="CJ74" s="137">
        <f t="shared" si="70"/>
        <v>3</v>
      </c>
      <c r="CK74" s="129" t="str">
        <f t="shared" si="71"/>
        <v>Booked</v>
      </c>
    </row>
    <row r="75" spans="1:89" ht="15.75" customHeight="1" x14ac:dyDescent="0.25">
      <c r="A75" s="111">
        <v>3094</v>
      </c>
      <c r="B75" s="128" t="str">
        <f t="shared" si="54"/>
        <v>N</v>
      </c>
      <c r="C75" s="128" t="str">
        <f t="shared" si="55"/>
        <v>N</v>
      </c>
      <c r="D75" s="117">
        <v>346292</v>
      </c>
      <c r="E75" s="135">
        <f t="shared" si="56"/>
        <v>6</v>
      </c>
      <c r="F75" s="124">
        <v>41023</v>
      </c>
      <c r="G75" s="125">
        <v>41080</v>
      </c>
      <c r="H75" s="117">
        <v>346292</v>
      </c>
      <c r="I75" s="124">
        <v>41023</v>
      </c>
      <c r="J75" s="124">
        <v>41080</v>
      </c>
      <c r="K75" s="126" t="s">
        <v>564</v>
      </c>
      <c r="L75" s="127" t="s">
        <v>564</v>
      </c>
      <c r="N75" s="129" t="s">
        <v>566</v>
      </c>
      <c r="O75" s="128" t="s">
        <v>917</v>
      </c>
      <c r="P75" s="129" t="s">
        <v>39</v>
      </c>
      <c r="Q75" s="111">
        <f t="shared" si="40"/>
        <v>58</v>
      </c>
      <c r="R75" s="111">
        <f t="shared" si="48"/>
        <v>58</v>
      </c>
      <c r="S75" s="129">
        <v>4</v>
      </c>
      <c r="T75" s="129">
        <v>7</v>
      </c>
      <c r="U75" s="129">
        <v>3</v>
      </c>
      <c r="W75" s="111"/>
      <c r="AC75" s="130"/>
      <c r="AD75" s="130">
        <v>21161</v>
      </c>
      <c r="AE75" s="128" t="s">
        <v>32</v>
      </c>
      <c r="AF75" s="128" t="s">
        <v>33</v>
      </c>
      <c r="AG75" s="128" t="s">
        <v>872</v>
      </c>
      <c r="AH75" s="108" t="s">
        <v>58</v>
      </c>
      <c r="AI75" s="128" t="s">
        <v>72</v>
      </c>
      <c r="AJ75" s="129" t="s">
        <v>89</v>
      </c>
      <c r="AK75" s="129">
        <v>4</v>
      </c>
      <c r="AL75" s="3" t="s">
        <v>362</v>
      </c>
      <c r="AM75" s="117">
        <v>2</v>
      </c>
      <c r="AP75" s="129" t="s">
        <v>170</v>
      </c>
      <c r="AR75" s="128" t="s">
        <v>67</v>
      </c>
      <c r="AS75" s="129" t="s">
        <v>64</v>
      </c>
      <c r="BC75" s="129" t="s">
        <v>38</v>
      </c>
      <c r="BF75" s="111">
        <f t="shared" si="41"/>
        <v>58</v>
      </c>
      <c r="BG75" s="111">
        <f t="shared" si="49"/>
        <v>58</v>
      </c>
      <c r="BH75" s="111">
        <f t="shared" si="50"/>
        <v>58</v>
      </c>
      <c r="BI75" s="111">
        <f t="shared" si="51"/>
        <v>54.267759562841533</v>
      </c>
      <c r="BJ75" s="129">
        <f t="shared" si="72"/>
        <v>0</v>
      </c>
      <c r="BK75" s="129">
        <f t="shared" si="52"/>
        <v>0</v>
      </c>
      <c r="BL75" s="129" t="str">
        <f t="shared" si="53"/>
        <v>CONVICTION</v>
      </c>
      <c r="BM75" s="129" t="str">
        <f t="shared" si="73"/>
        <v>NONE</v>
      </c>
      <c r="BN75" s="129" t="s">
        <v>566</v>
      </c>
      <c r="BP75" s="137" t="str">
        <f t="shared" si="57"/>
        <v>CONVICTION</v>
      </c>
      <c r="BQ75" s="128" t="str">
        <f t="shared" si="58"/>
        <v>Y</v>
      </c>
      <c r="BR75" s="129" t="str">
        <f t="shared" si="59"/>
        <v>DETAINED</v>
      </c>
      <c r="BS75" s="129" t="str">
        <f t="shared" si="74"/>
        <v>DISPOSED</v>
      </c>
      <c r="BT75" s="129" t="str">
        <f t="shared" si="60"/>
        <v>Y</v>
      </c>
      <c r="BU75" s="109">
        <f t="shared" si="75"/>
        <v>1</v>
      </c>
      <c r="BV75" s="109">
        <f t="shared" si="61"/>
        <v>1</v>
      </c>
      <c r="BW75" s="109">
        <f t="shared" si="62"/>
        <v>0</v>
      </c>
      <c r="BX75" s="111">
        <f t="shared" si="63"/>
        <v>0</v>
      </c>
      <c r="BY75" s="129">
        <f t="shared" si="64"/>
        <v>-58</v>
      </c>
      <c r="BZ75" s="111">
        <f t="shared" si="65"/>
        <v>0</v>
      </c>
      <c r="CA75" s="138">
        <f t="shared" si="66"/>
        <v>58</v>
      </c>
      <c r="CB75" s="111" t="e">
        <f t="shared" si="42"/>
        <v>#VALUE!</v>
      </c>
      <c r="CC75" s="129">
        <f t="shared" si="76"/>
        <v>58</v>
      </c>
      <c r="CD75" s="129">
        <f t="shared" si="77"/>
        <v>0</v>
      </c>
      <c r="CE75" s="129">
        <f t="shared" si="67"/>
        <v>0</v>
      </c>
      <c r="CF75" s="129">
        <f t="shared" si="47"/>
        <v>57</v>
      </c>
      <c r="CG75" s="129" t="str">
        <f t="shared" si="68"/>
        <v>Y</v>
      </c>
      <c r="CI75" s="129" t="str">
        <f t="shared" si="69"/>
        <v>31-60 DAYS</v>
      </c>
      <c r="CJ75" s="137">
        <f t="shared" si="70"/>
        <v>3</v>
      </c>
      <c r="CK75" s="129" t="str">
        <f t="shared" si="71"/>
        <v>Booked</v>
      </c>
    </row>
    <row r="76" spans="1:89" ht="15.75" customHeight="1" x14ac:dyDescent="0.25">
      <c r="A76" s="111">
        <v>3128</v>
      </c>
      <c r="B76" s="128" t="str">
        <f t="shared" si="54"/>
        <v>N</v>
      </c>
      <c r="C76" s="128" t="str">
        <f t="shared" si="55"/>
        <v>N</v>
      </c>
      <c r="D76" s="117">
        <v>367627</v>
      </c>
      <c r="E76" s="135">
        <f t="shared" si="56"/>
        <v>5</v>
      </c>
      <c r="F76" s="124">
        <v>41024</v>
      </c>
      <c r="G76" s="125">
        <v>41199</v>
      </c>
      <c r="H76" s="117">
        <v>367627</v>
      </c>
      <c r="I76" s="124">
        <v>41103</v>
      </c>
      <c r="J76" s="124">
        <v>41199</v>
      </c>
      <c r="K76" s="126">
        <v>15000</v>
      </c>
      <c r="L76" s="127" t="s">
        <v>571</v>
      </c>
      <c r="N76" s="129" t="str">
        <f t="shared" ref="N76:N81" si="79">IF(M76&gt;1/1/1,"Y","N")</f>
        <v>N</v>
      </c>
      <c r="O76" s="128" t="s">
        <v>917</v>
      </c>
      <c r="P76" s="129" t="s">
        <v>39</v>
      </c>
      <c r="Q76" s="111">
        <f t="shared" si="40"/>
        <v>97</v>
      </c>
      <c r="R76" s="111">
        <f t="shared" si="48"/>
        <v>176</v>
      </c>
      <c r="S76" s="129">
        <v>5</v>
      </c>
      <c r="T76" s="129">
        <v>5</v>
      </c>
      <c r="U76" s="129">
        <v>3</v>
      </c>
      <c r="W76" s="111"/>
      <c r="AC76" s="130"/>
      <c r="AD76" s="130">
        <v>22146</v>
      </c>
      <c r="AE76" s="128" t="s">
        <v>32</v>
      </c>
      <c r="AF76" s="128" t="s">
        <v>33</v>
      </c>
      <c r="AG76" s="128" t="s">
        <v>872</v>
      </c>
      <c r="AH76" s="108" t="s">
        <v>58</v>
      </c>
      <c r="AI76" s="128" t="s">
        <v>53</v>
      </c>
      <c r="AJ76" s="129" t="s">
        <v>89</v>
      </c>
      <c r="AK76" s="129">
        <v>5</v>
      </c>
      <c r="AL76" s="3" t="s">
        <v>992</v>
      </c>
      <c r="AN76" s="117">
        <v>12</v>
      </c>
      <c r="AP76" s="129" t="s">
        <v>107</v>
      </c>
      <c r="AR76" s="128" t="s">
        <v>44</v>
      </c>
      <c r="AS76" s="129" t="s">
        <v>57</v>
      </c>
      <c r="BC76" s="129" t="s">
        <v>38</v>
      </c>
      <c r="BF76" s="111">
        <f t="shared" si="41"/>
        <v>97</v>
      </c>
      <c r="BG76" s="111">
        <f t="shared" si="49"/>
        <v>97</v>
      </c>
      <c r="BH76" s="111">
        <f t="shared" si="50"/>
        <v>176</v>
      </c>
      <c r="BI76" s="111">
        <f t="shared" si="51"/>
        <v>51.579234972677597</v>
      </c>
      <c r="BJ76" s="129">
        <f t="shared" si="72"/>
        <v>0</v>
      </c>
      <c r="BK76" s="129">
        <f t="shared" si="52"/>
        <v>0</v>
      </c>
      <c r="BL76" s="129" t="str">
        <f t="shared" si="53"/>
        <v>CONVICTION</v>
      </c>
      <c r="BM76" s="129" t="str">
        <f t="shared" si="73"/>
        <v>NONE</v>
      </c>
      <c r="BN76" s="129" t="s">
        <v>566</v>
      </c>
      <c r="BP76" s="137" t="str">
        <f t="shared" si="57"/>
        <v>CONVICTION</v>
      </c>
      <c r="BQ76" s="128" t="str">
        <f t="shared" si="58"/>
        <v>Y</v>
      </c>
      <c r="BR76" s="129" t="str">
        <f t="shared" si="59"/>
        <v>DETAINED</v>
      </c>
      <c r="BS76" s="129" t="str">
        <f t="shared" si="74"/>
        <v>DISPOSED</v>
      </c>
      <c r="BT76" s="129" t="str">
        <f t="shared" si="60"/>
        <v>Y</v>
      </c>
      <c r="BU76" s="109">
        <f t="shared" si="75"/>
        <v>0.55113636363636365</v>
      </c>
      <c r="BV76" s="109">
        <f t="shared" si="61"/>
        <v>1</v>
      </c>
      <c r="BW76" s="109">
        <f t="shared" si="62"/>
        <v>0.44886363636363635</v>
      </c>
      <c r="BX76" s="111">
        <f t="shared" si="63"/>
        <v>0</v>
      </c>
      <c r="BY76" s="129">
        <f t="shared" si="64"/>
        <v>-97</v>
      </c>
      <c r="BZ76" s="111">
        <f t="shared" si="65"/>
        <v>0</v>
      </c>
      <c r="CA76" s="138">
        <f t="shared" si="66"/>
        <v>97</v>
      </c>
      <c r="CB76" s="111" t="e">
        <f t="shared" si="42"/>
        <v>#VALUE!</v>
      </c>
      <c r="CC76" s="129">
        <f t="shared" si="76"/>
        <v>97</v>
      </c>
      <c r="CD76" s="129">
        <f t="shared" si="77"/>
        <v>0</v>
      </c>
      <c r="CE76" s="129">
        <f t="shared" si="67"/>
        <v>0</v>
      </c>
      <c r="CF76" s="129">
        <f t="shared" si="47"/>
        <v>96</v>
      </c>
      <c r="CG76" s="129" t="str">
        <f t="shared" si="68"/>
        <v>Y</v>
      </c>
      <c r="CI76" s="129" t="str">
        <f t="shared" si="69"/>
        <v>91-120 DAYS</v>
      </c>
      <c r="CJ76" s="137">
        <f t="shared" si="70"/>
        <v>0</v>
      </c>
      <c r="CK76" s="129" t="str">
        <f t="shared" si="71"/>
        <v>Booked</v>
      </c>
    </row>
    <row r="77" spans="1:89" ht="15" customHeight="1" x14ac:dyDescent="0.25">
      <c r="A77" s="111">
        <v>803</v>
      </c>
      <c r="B77" s="128" t="str">
        <f t="shared" si="54"/>
        <v>N</v>
      </c>
      <c r="C77" s="128" t="str">
        <f t="shared" si="55"/>
        <v>N</v>
      </c>
      <c r="D77" s="117">
        <v>371206</v>
      </c>
      <c r="E77" s="135">
        <f t="shared" si="56"/>
        <v>1</v>
      </c>
      <c r="F77" s="124">
        <v>40939</v>
      </c>
      <c r="G77" s="125">
        <v>40977</v>
      </c>
      <c r="H77" s="117">
        <v>371206</v>
      </c>
      <c r="I77" s="124">
        <v>40940</v>
      </c>
      <c r="J77" s="124">
        <v>40977</v>
      </c>
      <c r="K77" s="126">
        <v>20000</v>
      </c>
      <c r="L77" s="127" t="s">
        <v>571</v>
      </c>
      <c r="N77" s="129" t="str">
        <f t="shared" si="79"/>
        <v>N</v>
      </c>
      <c r="O77" s="128" t="s">
        <v>917</v>
      </c>
      <c r="P77" s="116" t="s">
        <v>55</v>
      </c>
      <c r="Q77" s="111">
        <f t="shared" si="40"/>
        <v>38</v>
      </c>
      <c r="R77" s="111">
        <f t="shared" si="48"/>
        <v>39</v>
      </c>
      <c r="S77" s="129">
        <v>3</v>
      </c>
      <c r="T77" s="129">
        <v>2</v>
      </c>
      <c r="U77" s="129">
        <v>2</v>
      </c>
      <c r="W77" s="111"/>
      <c r="AC77" s="130"/>
      <c r="AD77" s="130">
        <v>20103</v>
      </c>
      <c r="AE77" s="128" t="s">
        <v>32</v>
      </c>
      <c r="AF77" s="128" t="s">
        <v>33</v>
      </c>
      <c r="AG77" s="128" t="s">
        <v>872</v>
      </c>
      <c r="AH77" s="108" t="s">
        <v>58</v>
      </c>
      <c r="AI77" s="128" t="s">
        <v>97</v>
      </c>
      <c r="AJ77" s="129" t="s">
        <v>55</v>
      </c>
      <c r="AK77" s="129">
        <v>3</v>
      </c>
      <c r="AL77" s="3" t="s">
        <v>55</v>
      </c>
      <c r="AP77" s="129" t="s">
        <v>250</v>
      </c>
      <c r="AR77" s="128" t="s">
        <v>50</v>
      </c>
      <c r="AS77" s="129" t="s">
        <v>45</v>
      </c>
      <c r="BC77" s="129" t="s">
        <v>99</v>
      </c>
      <c r="BF77" s="111">
        <f t="shared" si="41"/>
        <v>38</v>
      </c>
      <c r="BG77" s="111">
        <f t="shared" si="49"/>
        <v>38</v>
      </c>
      <c r="BH77" s="111">
        <f t="shared" si="50"/>
        <v>39</v>
      </c>
      <c r="BI77" s="111">
        <f t="shared" si="51"/>
        <v>56.928961748633881</v>
      </c>
      <c r="BJ77" s="129">
        <f t="shared" si="72"/>
        <v>0</v>
      </c>
      <c r="BK77" s="129">
        <f t="shared" si="52"/>
        <v>0</v>
      </c>
      <c r="BL77" s="129" t="str">
        <f t="shared" si="53"/>
        <v>NO CONVICTION</v>
      </c>
      <c r="BM77" s="129" t="str">
        <f t="shared" si="73"/>
        <v>NONE</v>
      </c>
      <c r="BN77" s="129" t="s">
        <v>566</v>
      </c>
      <c r="BP77" s="137" t="str">
        <f t="shared" si="57"/>
        <v>NO CONVICTION</v>
      </c>
      <c r="BQ77" s="128" t="str">
        <f t="shared" si="58"/>
        <v>Y</v>
      </c>
      <c r="BR77" s="129" t="str">
        <f t="shared" si="59"/>
        <v>DETAINED</v>
      </c>
      <c r="BS77" s="129" t="str">
        <f t="shared" si="74"/>
        <v>DISPOSED</v>
      </c>
      <c r="BT77" s="129" t="str">
        <f t="shared" si="60"/>
        <v>Y</v>
      </c>
      <c r="BU77" s="109">
        <f>IFERROR(Q77/R77,BR77)</f>
        <v>0.97435897435897434</v>
      </c>
      <c r="BV77" s="109">
        <f t="shared" si="61"/>
        <v>1</v>
      </c>
      <c r="BW77" s="109">
        <f t="shared" si="62"/>
        <v>2.5641025641025661E-2</v>
      </c>
      <c r="BX77" s="111">
        <f t="shared" si="63"/>
        <v>0</v>
      </c>
      <c r="BY77" s="129">
        <f t="shared" si="64"/>
        <v>-38</v>
      </c>
      <c r="BZ77" s="111">
        <f t="shared" si="65"/>
        <v>0</v>
      </c>
      <c r="CA77" s="138">
        <f t="shared" si="66"/>
        <v>38</v>
      </c>
      <c r="CB77" s="111" t="e">
        <f t="shared" si="42"/>
        <v>#VALUE!</v>
      </c>
      <c r="CC77" s="129">
        <f t="shared" si="76"/>
        <v>38</v>
      </c>
      <c r="CD77" s="129">
        <f t="shared" si="77"/>
        <v>0</v>
      </c>
      <c r="CE77" s="129">
        <f t="shared" si="67"/>
        <v>0</v>
      </c>
      <c r="CF77" s="129">
        <f t="shared" si="47"/>
        <v>37</v>
      </c>
      <c r="CG77" s="129" t="str">
        <f t="shared" si="68"/>
        <v>Y</v>
      </c>
      <c r="CI77" s="129" t="str">
        <f t="shared" si="69"/>
        <v>31-60 DAYS</v>
      </c>
      <c r="CJ77" s="137">
        <f t="shared" si="70"/>
        <v>3</v>
      </c>
      <c r="CK77" s="129" t="str">
        <f t="shared" si="71"/>
        <v>Booked</v>
      </c>
    </row>
    <row r="78" spans="1:89" ht="15" customHeight="1" x14ac:dyDescent="0.25">
      <c r="A78" s="111">
        <v>1597</v>
      </c>
      <c r="B78" s="128" t="str">
        <f t="shared" si="54"/>
        <v>N</v>
      </c>
      <c r="C78" s="128" t="str">
        <f t="shared" si="55"/>
        <v>N</v>
      </c>
      <c r="D78" s="117">
        <v>374039</v>
      </c>
      <c r="E78" s="135">
        <f t="shared" si="56"/>
        <v>4</v>
      </c>
      <c r="F78" s="124">
        <v>40968</v>
      </c>
      <c r="G78" s="125">
        <v>40969</v>
      </c>
      <c r="H78" s="117">
        <v>374039</v>
      </c>
      <c r="I78" s="124">
        <v>40968</v>
      </c>
      <c r="J78" s="124">
        <v>40969</v>
      </c>
      <c r="K78" s="126">
        <v>15000</v>
      </c>
      <c r="L78" s="127" t="s">
        <v>571</v>
      </c>
      <c r="N78" s="129" t="str">
        <f t="shared" si="79"/>
        <v>N</v>
      </c>
      <c r="O78" s="128" t="s">
        <v>917</v>
      </c>
      <c r="P78" s="129" t="s">
        <v>39</v>
      </c>
      <c r="Q78" s="111">
        <f t="shared" si="40"/>
        <v>2</v>
      </c>
      <c r="R78" s="111">
        <f t="shared" si="48"/>
        <v>2</v>
      </c>
      <c r="S78" s="129">
        <v>3</v>
      </c>
      <c r="T78" s="129">
        <v>4</v>
      </c>
      <c r="U78" s="129">
        <v>2</v>
      </c>
      <c r="V78" s="117">
        <v>1</v>
      </c>
      <c r="W78" s="111"/>
      <c r="AC78" s="130"/>
      <c r="AD78" s="130">
        <v>22284</v>
      </c>
      <c r="AE78" s="128" t="s">
        <v>32</v>
      </c>
      <c r="AF78" s="128" t="s">
        <v>33</v>
      </c>
      <c r="AG78" s="128" t="s">
        <v>872</v>
      </c>
      <c r="AH78" s="108" t="s">
        <v>58</v>
      </c>
      <c r="AI78" s="128" t="s">
        <v>141</v>
      </c>
      <c r="AJ78" s="129" t="s">
        <v>89</v>
      </c>
      <c r="AK78" s="129">
        <v>1</v>
      </c>
      <c r="AL78" s="3" t="s">
        <v>991</v>
      </c>
      <c r="AO78" s="128">
        <v>180</v>
      </c>
      <c r="AP78" s="129" t="s">
        <v>43</v>
      </c>
      <c r="AR78" s="128" t="s">
        <v>44</v>
      </c>
      <c r="AS78" s="129" t="s">
        <v>45</v>
      </c>
      <c r="BC78" s="129" t="s">
        <v>38</v>
      </c>
      <c r="BF78" s="111">
        <f t="shared" si="41"/>
        <v>2</v>
      </c>
      <c r="BG78" s="111">
        <f t="shared" si="49"/>
        <v>2</v>
      </c>
      <c r="BH78" s="111">
        <f t="shared" si="50"/>
        <v>2</v>
      </c>
      <c r="BI78" s="111">
        <f t="shared" si="51"/>
        <v>51.049180327868854</v>
      </c>
      <c r="BJ78" s="129">
        <f t="shared" si="72"/>
        <v>0</v>
      </c>
      <c r="BK78" s="129">
        <f t="shared" si="52"/>
        <v>0</v>
      </c>
      <c r="BL78" s="129" t="str">
        <f t="shared" si="53"/>
        <v>CONVICTION</v>
      </c>
      <c r="BM78" s="129" t="str">
        <f t="shared" si="73"/>
        <v>NONE</v>
      </c>
      <c r="BN78" s="129" t="s">
        <v>566</v>
      </c>
      <c r="BP78" s="137" t="str">
        <f t="shared" si="57"/>
        <v>CONVICTION</v>
      </c>
      <c r="BQ78" s="128" t="str">
        <f t="shared" si="58"/>
        <v>Y</v>
      </c>
      <c r="BR78" s="129" t="str">
        <f t="shared" si="59"/>
        <v>DETAINED</v>
      </c>
      <c r="BS78" s="129" t="str">
        <f t="shared" si="74"/>
        <v>DISPOSED</v>
      </c>
      <c r="BT78" s="129" t="str">
        <f t="shared" si="60"/>
        <v>Y</v>
      </c>
      <c r="BU78" s="109">
        <f t="shared" si="75"/>
        <v>1</v>
      </c>
      <c r="BV78" s="109">
        <f t="shared" si="61"/>
        <v>1</v>
      </c>
      <c r="BW78" s="109">
        <f t="shared" si="62"/>
        <v>0</v>
      </c>
      <c r="BX78" s="111">
        <f t="shared" si="63"/>
        <v>0</v>
      </c>
      <c r="BY78" s="129">
        <f t="shared" si="64"/>
        <v>-2</v>
      </c>
      <c r="BZ78" s="111">
        <f t="shared" si="65"/>
        <v>0</v>
      </c>
      <c r="CA78" s="138">
        <f t="shared" si="66"/>
        <v>2</v>
      </c>
      <c r="CB78" s="111" t="e">
        <f t="shared" si="42"/>
        <v>#VALUE!</v>
      </c>
      <c r="CC78" s="129">
        <f t="shared" si="76"/>
        <v>2</v>
      </c>
      <c r="CD78" s="129">
        <f t="shared" si="77"/>
        <v>0</v>
      </c>
      <c r="CE78" s="129">
        <f t="shared" si="67"/>
        <v>0</v>
      </c>
      <c r="CF78" s="129">
        <f t="shared" si="47"/>
        <v>1</v>
      </c>
      <c r="CG78" s="129" t="str">
        <f t="shared" si="68"/>
        <v>Y</v>
      </c>
      <c r="CI78" s="129" t="str">
        <f t="shared" si="69"/>
        <v>0-10 DAYS</v>
      </c>
      <c r="CJ78" s="137">
        <f t="shared" si="70"/>
        <v>1</v>
      </c>
      <c r="CK78" s="129" t="str">
        <f t="shared" si="71"/>
        <v>Booked</v>
      </c>
    </row>
    <row r="79" spans="1:89" ht="15.75" customHeight="1" x14ac:dyDescent="0.25">
      <c r="A79" s="111">
        <v>90</v>
      </c>
      <c r="B79" s="128" t="str">
        <f t="shared" si="54"/>
        <v>N</v>
      </c>
      <c r="C79" s="128" t="str">
        <f t="shared" si="55"/>
        <v>N</v>
      </c>
      <c r="D79" s="117">
        <v>376472</v>
      </c>
      <c r="E79" s="135">
        <f t="shared" si="56"/>
        <v>6</v>
      </c>
      <c r="F79" s="124">
        <v>40913</v>
      </c>
      <c r="G79" s="125">
        <v>41037</v>
      </c>
      <c r="H79" s="117">
        <v>376472</v>
      </c>
      <c r="I79" s="124">
        <v>40919</v>
      </c>
      <c r="J79" s="124">
        <v>41037</v>
      </c>
      <c r="K79" s="126">
        <v>10000</v>
      </c>
      <c r="L79" s="127" t="s">
        <v>570</v>
      </c>
      <c r="N79" s="129" t="str">
        <f t="shared" si="79"/>
        <v>N</v>
      </c>
      <c r="O79" s="128" t="s">
        <v>917</v>
      </c>
      <c r="P79" s="129" t="s">
        <v>77</v>
      </c>
      <c r="Q79" s="111">
        <f t="shared" si="40"/>
        <v>119</v>
      </c>
      <c r="R79" s="111">
        <f t="shared" si="48"/>
        <v>125</v>
      </c>
      <c r="S79" s="129">
        <v>2</v>
      </c>
      <c r="T79" s="129">
        <v>6</v>
      </c>
      <c r="U79" s="129">
        <v>1</v>
      </c>
      <c r="W79" s="111"/>
      <c r="AC79" s="130"/>
      <c r="AD79" s="130">
        <v>23382</v>
      </c>
      <c r="AE79" s="128" t="s">
        <v>32</v>
      </c>
      <c r="AF79" s="128" t="s">
        <v>69</v>
      </c>
      <c r="AG79" s="128" t="s">
        <v>874</v>
      </c>
      <c r="AH79" s="108" t="s">
        <v>58</v>
      </c>
      <c r="AI79" s="128" t="s">
        <v>118</v>
      </c>
      <c r="AJ79" s="129" t="s">
        <v>89</v>
      </c>
      <c r="AK79" s="129">
        <v>8</v>
      </c>
      <c r="AL79" s="3" t="s">
        <v>362</v>
      </c>
      <c r="AM79" s="117">
        <v>4</v>
      </c>
      <c r="AP79" s="129" t="s">
        <v>93</v>
      </c>
      <c r="AR79" s="128" t="s">
        <v>67</v>
      </c>
      <c r="AS79" s="129" t="s">
        <v>45</v>
      </c>
      <c r="BC79" s="129" t="s">
        <v>52</v>
      </c>
      <c r="BF79" s="111">
        <f t="shared" si="41"/>
        <v>119</v>
      </c>
      <c r="BG79" s="111">
        <f t="shared" si="49"/>
        <v>119</v>
      </c>
      <c r="BH79" s="111">
        <f t="shared" si="50"/>
        <v>125</v>
      </c>
      <c r="BI79" s="111">
        <f t="shared" si="51"/>
        <v>47.898907103825138</v>
      </c>
      <c r="BJ79" s="129">
        <f t="shared" si="72"/>
        <v>0</v>
      </c>
      <c r="BK79" s="129">
        <f t="shared" si="52"/>
        <v>0</v>
      </c>
      <c r="BL79" s="129" t="str">
        <f t="shared" si="53"/>
        <v>CONVICTION</v>
      </c>
      <c r="BM79" s="129" t="str">
        <f t="shared" si="73"/>
        <v>NONE</v>
      </c>
      <c r="BN79" s="129" t="s">
        <v>566</v>
      </c>
      <c r="BP79" s="137" t="str">
        <f t="shared" si="57"/>
        <v>CONVICTION</v>
      </c>
      <c r="BQ79" s="128" t="str">
        <f t="shared" si="58"/>
        <v>Y</v>
      </c>
      <c r="BR79" s="129" t="str">
        <f t="shared" si="59"/>
        <v>DETAINED</v>
      </c>
      <c r="BS79" s="129" t="str">
        <f t="shared" si="74"/>
        <v>DISPOSED</v>
      </c>
      <c r="BT79" s="129" t="str">
        <f t="shared" si="60"/>
        <v>Y</v>
      </c>
      <c r="BU79" s="109">
        <f t="shared" si="75"/>
        <v>0.95199999999999996</v>
      </c>
      <c r="BV79" s="109">
        <f t="shared" si="61"/>
        <v>1</v>
      </c>
      <c r="BW79" s="109">
        <f t="shared" si="62"/>
        <v>4.8000000000000043E-2</v>
      </c>
      <c r="BX79" s="111">
        <f t="shared" si="63"/>
        <v>0</v>
      </c>
      <c r="BY79" s="129">
        <f t="shared" si="64"/>
        <v>-119</v>
      </c>
      <c r="BZ79" s="111">
        <f t="shared" si="65"/>
        <v>0</v>
      </c>
      <c r="CA79" s="138">
        <f t="shared" si="66"/>
        <v>119</v>
      </c>
      <c r="CB79" s="111" t="e">
        <f t="shared" si="42"/>
        <v>#VALUE!</v>
      </c>
      <c r="CC79" s="129">
        <f t="shared" si="76"/>
        <v>119</v>
      </c>
      <c r="CD79" s="129">
        <f t="shared" si="77"/>
        <v>0</v>
      </c>
      <c r="CE79" s="129">
        <f t="shared" si="67"/>
        <v>0</v>
      </c>
      <c r="CF79" s="129">
        <f t="shared" si="47"/>
        <v>118</v>
      </c>
      <c r="CG79" s="129" t="str">
        <f t="shared" si="68"/>
        <v>Y</v>
      </c>
      <c r="CI79" s="129" t="str">
        <f t="shared" si="69"/>
        <v>91-120 DAYS</v>
      </c>
      <c r="CJ79" s="137">
        <f t="shared" si="70"/>
        <v>0</v>
      </c>
      <c r="CK79" s="129" t="str">
        <f t="shared" si="71"/>
        <v>Booked</v>
      </c>
    </row>
    <row r="80" spans="1:89" ht="15.75" customHeight="1" x14ac:dyDescent="0.25">
      <c r="A80" s="111">
        <v>515</v>
      </c>
      <c r="B80" s="128" t="str">
        <f t="shared" si="54"/>
        <v>N</v>
      </c>
      <c r="C80" s="128" t="str">
        <f t="shared" si="55"/>
        <v>Y</v>
      </c>
      <c r="D80" s="117">
        <v>378339</v>
      </c>
      <c r="E80" s="135">
        <f t="shared" si="56"/>
        <v>4</v>
      </c>
      <c r="F80" s="124">
        <v>40929</v>
      </c>
      <c r="G80" s="125">
        <v>41515</v>
      </c>
      <c r="H80" s="117">
        <v>378339</v>
      </c>
      <c r="I80" s="124">
        <v>40929</v>
      </c>
      <c r="J80" s="124">
        <v>40931</v>
      </c>
      <c r="K80" s="126">
        <v>30000</v>
      </c>
      <c r="L80" s="129" t="s">
        <v>572</v>
      </c>
      <c r="M80" s="124">
        <v>40931</v>
      </c>
      <c r="N80" s="129" t="str">
        <f t="shared" si="79"/>
        <v>Y</v>
      </c>
      <c r="O80" s="128" t="s">
        <v>1407</v>
      </c>
      <c r="P80" s="129" t="s">
        <v>39</v>
      </c>
      <c r="Q80" s="111">
        <v>13</v>
      </c>
      <c r="R80" s="111">
        <f t="shared" si="48"/>
        <v>587</v>
      </c>
      <c r="S80" s="129">
        <v>0</v>
      </c>
      <c r="T80" s="129">
        <v>1</v>
      </c>
      <c r="W80" s="111"/>
      <c r="AC80" s="130"/>
      <c r="AD80" s="130">
        <v>22793</v>
      </c>
      <c r="AE80" s="128" t="s">
        <v>32</v>
      </c>
      <c r="AF80" s="128" t="s">
        <v>33</v>
      </c>
      <c r="AG80" s="128" t="s">
        <v>872</v>
      </c>
      <c r="AH80" s="108" t="s">
        <v>58</v>
      </c>
      <c r="AI80" s="128" t="s">
        <v>100</v>
      </c>
      <c r="AJ80" s="129" t="s">
        <v>89</v>
      </c>
      <c r="AK80" s="129">
        <v>12</v>
      </c>
      <c r="AL80" s="3" t="s">
        <v>991</v>
      </c>
      <c r="AO80" s="128">
        <v>60</v>
      </c>
      <c r="AP80" s="129" t="s">
        <v>49</v>
      </c>
      <c r="AR80" s="128" t="s">
        <v>50</v>
      </c>
      <c r="AS80" s="129" t="s">
        <v>45</v>
      </c>
      <c r="AT80" s="129" t="s">
        <v>1340</v>
      </c>
      <c r="AU80" s="3" t="s">
        <v>1131</v>
      </c>
      <c r="AX80" s="129" t="s">
        <v>88</v>
      </c>
      <c r="BC80" s="129" t="s">
        <v>52</v>
      </c>
      <c r="BF80" s="111">
        <v>13</v>
      </c>
      <c r="BG80" s="111">
        <f t="shared" si="49"/>
        <v>587</v>
      </c>
      <c r="BH80" s="111">
        <f t="shared" si="50"/>
        <v>587</v>
      </c>
      <c r="BI80" s="111">
        <f t="shared" si="51"/>
        <v>49.551912568306008</v>
      </c>
      <c r="BJ80" s="129">
        <f>(G80-J80)+(M80-G80)</f>
        <v>0</v>
      </c>
      <c r="BK80" s="129">
        <f t="shared" si="52"/>
        <v>-584</v>
      </c>
      <c r="BL80" s="129" t="str">
        <f t="shared" si="53"/>
        <v>CONVICTION</v>
      </c>
      <c r="BM80" s="129" t="s">
        <v>76</v>
      </c>
      <c r="BN80" s="129" t="s">
        <v>566</v>
      </c>
      <c r="BP80" s="137" t="str">
        <f t="shared" si="57"/>
        <v>CONVICTION</v>
      </c>
      <c r="BQ80" s="128" t="str">
        <f t="shared" si="58"/>
        <v>Y</v>
      </c>
      <c r="BR80" s="129" t="s">
        <v>574</v>
      </c>
      <c r="BS80" s="129" t="str">
        <f t="shared" si="74"/>
        <v>DISPOSED</v>
      </c>
      <c r="BT80" s="129" t="str">
        <f t="shared" si="60"/>
        <v>N</v>
      </c>
      <c r="BU80" s="109">
        <f t="shared" si="75"/>
        <v>2.2146507666098807E-2</v>
      </c>
      <c r="BV80" s="109">
        <f t="shared" si="61"/>
        <v>5.1107325383304937E-3</v>
      </c>
      <c r="BW80" s="109">
        <f t="shared" si="62"/>
        <v>-1.7035775127768313E-2</v>
      </c>
      <c r="BX80" s="111">
        <f t="shared" si="63"/>
        <v>0</v>
      </c>
      <c r="BY80" s="129">
        <f t="shared" si="64"/>
        <v>-3</v>
      </c>
      <c r="BZ80" s="111">
        <f t="shared" si="65"/>
        <v>10</v>
      </c>
      <c r="CA80" s="138">
        <f t="shared" si="66"/>
        <v>587</v>
      </c>
      <c r="CB80" s="111">
        <v>13</v>
      </c>
      <c r="CC80" s="129">
        <f t="shared" si="76"/>
        <v>587</v>
      </c>
      <c r="CD80" s="129">
        <f t="shared" si="77"/>
        <v>584</v>
      </c>
      <c r="CE80" s="129">
        <f t="shared" si="67"/>
        <v>584</v>
      </c>
      <c r="CF80" s="129">
        <f>I80-J80</f>
        <v>-2</v>
      </c>
      <c r="CG80" s="129" t="str">
        <f t="shared" si="68"/>
        <v>Y</v>
      </c>
      <c r="CI80" s="129" t="str">
        <f t="shared" si="69"/>
        <v>11-30 DAYS</v>
      </c>
      <c r="CJ80" s="137">
        <f t="shared" si="70"/>
        <v>2</v>
      </c>
      <c r="CK80" s="129" t="str">
        <f t="shared" si="71"/>
        <v>Booked</v>
      </c>
    </row>
    <row r="81" spans="1:89" ht="15.75" customHeight="1" x14ac:dyDescent="0.25">
      <c r="A81" s="111">
        <v>1646</v>
      </c>
      <c r="B81" s="128" t="str">
        <f t="shared" si="54"/>
        <v>N</v>
      </c>
      <c r="C81" s="128" t="str">
        <f t="shared" si="55"/>
        <v>N</v>
      </c>
      <c r="D81" s="117">
        <v>387207</v>
      </c>
      <c r="E81" s="135">
        <f t="shared" si="56"/>
        <v>4</v>
      </c>
      <c r="F81" s="124">
        <v>40969</v>
      </c>
      <c r="G81" s="125">
        <v>41039</v>
      </c>
      <c r="H81" s="117">
        <v>387207</v>
      </c>
      <c r="I81" s="124">
        <v>40970</v>
      </c>
      <c r="J81" s="124">
        <v>41002</v>
      </c>
      <c r="K81" s="126">
        <v>15000</v>
      </c>
      <c r="L81" s="127" t="s">
        <v>571</v>
      </c>
      <c r="M81" s="125">
        <v>41002</v>
      </c>
      <c r="N81" s="129" t="str">
        <f t="shared" si="79"/>
        <v>Y</v>
      </c>
      <c r="O81" s="128" t="s">
        <v>76</v>
      </c>
      <c r="P81" s="129" t="s">
        <v>39</v>
      </c>
      <c r="Q81" s="111">
        <f t="shared" ref="Q81:Q106" si="80">BF81</f>
        <v>33</v>
      </c>
      <c r="R81" s="111">
        <f t="shared" si="48"/>
        <v>71</v>
      </c>
      <c r="S81" s="129">
        <v>5</v>
      </c>
      <c r="T81" s="129">
        <v>5</v>
      </c>
      <c r="U81" s="129">
        <v>4</v>
      </c>
      <c r="V81" s="117">
        <v>1</v>
      </c>
      <c r="W81" s="111"/>
      <c r="AC81" s="130"/>
      <c r="AD81" s="130">
        <v>22112</v>
      </c>
      <c r="AE81" s="128" t="s">
        <v>32</v>
      </c>
      <c r="AF81" s="128" t="s">
        <v>69</v>
      </c>
      <c r="AG81" s="128" t="s">
        <v>874</v>
      </c>
      <c r="AH81" s="108" t="s">
        <v>58</v>
      </c>
      <c r="AI81" s="128" t="s">
        <v>141</v>
      </c>
      <c r="AJ81" s="129" t="s">
        <v>89</v>
      </c>
      <c r="AK81" s="129">
        <v>3</v>
      </c>
      <c r="AL81" s="3" t="s">
        <v>991</v>
      </c>
      <c r="AO81" s="128">
        <v>180</v>
      </c>
      <c r="AP81" s="129" t="s">
        <v>43</v>
      </c>
      <c r="AR81" s="128" t="s">
        <v>44</v>
      </c>
      <c r="AS81" s="129" t="s">
        <v>45</v>
      </c>
      <c r="BC81" s="129" t="s">
        <v>38</v>
      </c>
      <c r="BF81" s="111">
        <f t="shared" si="41"/>
        <v>33</v>
      </c>
      <c r="BG81" s="111">
        <f t="shared" si="49"/>
        <v>70</v>
      </c>
      <c r="BH81" s="111">
        <f t="shared" si="50"/>
        <v>71</v>
      </c>
      <c r="BI81" s="111">
        <f t="shared" si="51"/>
        <v>51.521857923497265</v>
      </c>
      <c r="BJ81" s="129">
        <f>(G81-J81)+(M81-G81)</f>
        <v>0</v>
      </c>
      <c r="BK81" s="129">
        <f t="shared" si="52"/>
        <v>-37</v>
      </c>
      <c r="BL81" s="129" t="str">
        <f t="shared" si="53"/>
        <v>CONVICTION</v>
      </c>
      <c r="BM81" s="129" t="s">
        <v>76</v>
      </c>
      <c r="BN81" s="129" t="s">
        <v>88</v>
      </c>
      <c r="BP81" s="137" t="str">
        <f t="shared" si="57"/>
        <v>CONVICTION</v>
      </c>
      <c r="BQ81" s="128" t="str">
        <f t="shared" si="58"/>
        <v>Y</v>
      </c>
      <c r="BR81" s="129" t="str">
        <f>IF(J81&lt;G81,"ON BOND",0)</f>
        <v>ON BOND</v>
      </c>
      <c r="BS81" s="129" t="str">
        <f t="shared" si="74"/>
        <v>DISPOSED</v>
      </c>
      <c r="BT81" s="129" t="str">
        <f t="shared" si="60"/>
        <v>Y</v>
      </c>
      <c r="BU81" s="109">
        <f t="shared" si="75"/>
        <v>0.46478873239436619</v>
      </c>
      <c r="BV81" s="109">
        <f t="shared" si="61"/>
        <v>0.47142857142857142</v>
      </c>
      <c r="BW81" s="109">
        <f t="shared" si="62"/>
        <v>6.6398390342052305E-3</v>
      </c>
      <c r="BX81" s="111">
        <f t="shared" si="63"/>
        <v>0</v>
      </c>
      <c r="BY81" s="129">
        <f t="shared" si="64"/>
        <v>-33</v>
      </c>
      <c r="BZ81" s="111">
        <f t="shared" si="65"/>
        <v>0</v>
      </c>
      <c r="CA81" s="138">
        <f t="shared" si="66"/>
        <v>33</v>
      </c>
      <c r="CB81" s="111" t="e">
        <f t="shared" si="42"/>
        <v>#VALUE!</v>
      </c>
      <c r="CC81" s="129">
        <f>M81-I81+1</f>
        <v>33</v>
      </c>
      <c r="CD81" s="111">
        <f>CC81-BF81</f>
        <v>0</v>
      </c>
      <c r="CE81" s="129">
        <f t="shared" si="67"/>
        <v>37</v>
      </c>
      <c r="CF81" s="129">
        <f t="shared" ref="CF81:CF106" si="81">J81-I81</f>
        <v>32</v>
      </c>
      <c r="CG81" s="129" t="str">
        <f t="shared" si="68"/>
        <v>Y</v>
      </c>
      <c r="CI81" s="129" t="str">
        <f t="shared" si="69"/>
        <v>31-60 DAYS</v>
      </c>
      <c r="CJ81" s="137">
        <f t="shared" si="70"/>
        <v>3</v>
      </c>
      <c r="CK81" s="129" t="str">
        <f t="shared" si="71"/>
        <v>Booked</v>
      </c>
    </row>
    <row r="82" spans="1:89" ht="15.75" customHeight="1" x14ac:dyDescent="0.25">
      <c r="A82" s="111">
        <v>1793</v>
      </c>
      <c r="B82" s="128" t="str">
        <f t="shared" si="54"/>
        <v>N</v>
      </c>
      <c r="C82" s="128" t="str">
        <f t="shared" si="55"/>
        <v>N</v>
      </c>
      <c r="D82" s="117">
        <v>387871</v>
      </c>
      <c r="E82" s="135">
        <f t="shared" si="56"/>
        <v>6</v>
      </c>
      <c r="F82" s="124">
        <v>40975</v>
      </c>
      <c r="G82" s="125">
        <v>40977</v>
      </c>
      <c r="H82" s="117">
        <v>387871</v>
      </c>
      <c r="I82" s="124">
        <v>40976</v>
      </c>
      <c r="J82" s="124">
        <v>40977</v>
      </c>
      <c r="K82" s="126" t="s">
        <v>564</v>
      </c>
      <c r="L82" s="127" t="s">
        <v>564</v>
      </c>
      <c r="N82" s="129" t="s">
        <v>566</v>
      </c>
      <c r="O82" s="128" t="s">
        <v>917</v>
      </c>
      <c r="P82" s="129" t="s">
        <v>39</v>
      </c>
      <c r="Q82" s="111">
        <f t="shared" si="80"/>
        <v>2</v>
      </c>
      <c r="R82" s="111">
        <f t="shared" si="48"/>
        <v>3</v>
      </c>
      <c r="S82" s="129">
        <v>8</v>
      </c>
      <c r="T82" s="129">
        <v>4</v>
      </c>
      <c r="U82" s="129">
        <v>7</v>
      </c>
      <c r="W82" s="111"/>
      <c r="AC82" s="130"/>
      <c r="AD82" s="130">
        <v>20339</v>
      </c>
      <c r="AE82" s="128" t="s">
        <v>32</v>
      </c>
      <c r="AF82" s="128" t="s">
        <v>40</v>
      </c>
      <c r="AG82" s="128" t="s">
        <v>41</v>
      </c>
      <c r="AH82" s="108" t="s">
        <v>41</v>
      </c>
      <c r="AI82" s="128" t="s">
        <v>100</v>
      </c>
      <c r="AJ82" s="129" t="s">
        <v>89</v>
      </c>
      <c r="AK82" s="129">
        <v>1</v>
      </c>
      <c r="AL82" s="3" t="s">
        <v>362</v>
      </c>
      <c r="AM82" s="117">
        <v>35</v>
      </c>
      <c r="AP82" s="129" t="s">
        <v>56</v>
      </c>
      <c r="AR82" s="128" t="s">
        <v>50</v>
      </c>
      <c r="AS82" s="129" t="s">
        <v>57</v>
      </c>
      <c r="BC82" s="129" t="s">
        <v>38</v>
      </c>
      <c r="BF82" s="111">
        <f t="shared" si="41"/>
        <v>2</v>
      </c>
      <c r="BG82" s="111">
        <f t="shared" si="49"/>
        <v>2</v>
      </c>
      <c r="BH82" s="111">
        <f t="shared" si="50"/>
        <v>3</v>
      </c>
      <c r="BI82" s="111">
        <f t="shared" si="51"/>
        <v>56.382513661202189</v>
      </c>
      <c r="BJ82" s="129">
        <f t="shared" si="72"/>
        <v>0</v>
      </c>
      <c r="BK82" s="129">
        <f t="shared" si="52"/>
        <v>0</v>
      </c>
      <c r="BL82" s="129" t="str">
        <f t="shared" si="53"/>
        <v>CONVICTION</v>
      </c>
      <c r="BM82" s="129" t="str">
        <f t="shared" si="73"/>
        <v>NONE</v>
      </c>
      <c r="BN82" s="129" t="s">
        <v>566</v>
      </c>
      <c r="BP82" s="137" t="str">
        <f t="shared" si="57"/>
        <v>CONVICTION</v>
      </c>
      <c r="BQ82" s="128" t="str">
        <f t="shared" si="58"/>
        <v>Y</v>
      </c>
      <c r="BR82" s="129" t="str">
        <f t="shared" si="59"/>
        <v>DETAINED</v>
      </c>
      <c r="BS82" s="129" t="str">
        <f t="shared" si="74"/>
        <v>DISPOSED</v>
      </c>
      <c r="BT82" s="129" t="str">
        <f t="shared" si="60"/>
        <v>Y</v>
      </c>
      <c r="BU82" s="109">
        <f t="shared" si="75"/>
        <v>0.66666666666666663</v>
      </c>
      <c r="BV82" s="109">
        <f t="shared" si="61"/>
        <v>1</v>
      </c>
      <c r="BW82" s="109">
        <f t="shared" si="62"/>
        <v>0.33333333333333337</v>
      </c>
      <c r="BX82" s="111">
        <f t="shared" si="63"/>
        <v>0</v>
      </c>
      <c r="BY82" s="129">
        <f t="shared" si="64"/>
        <v>-2</v>
      </c>
      <c r="BZ82" s="111">
        <f t="shared" si="65"/>
        <v>0</v>
      </c>
      <c r="CA82" s="138">
        <f t="shared" si="66"/>
        <v>2</v>
      </c>
      <c r="CB82" s="111" t="e">
        <f t="shared" si="42"/>
        <v>#VALUE!</v>
      </c>
      <c r="CC82" s="129">
        <f>G82-I82+1</f>
        <v>2</v>
      </c>
      <c r="CD82" s="129">
        <f>G82-J82</f>
        <v>0</v>
      </c>
      <c r="CE82" s="129">
        <f t="shared" si="67"/>
        <v>0</v>
      </c>
      <c r="CF82" s="129">
        <f t="shared" si="81"/>
        <v>1</v>
      </c>
      <c r="CG82" s="129" t="str">
        <f t="shared" si="68"/>
        <v>Y</v>
      </c>
      <c r="CI82" s="129" t="str">
        <f t="shared" si="69"/>
        <v>0-10 DAYS</v>
      </c>
      <c r="CJ82" s="137">
        <f t="shared" si="70"/>
        <v>1</v>
      </c>
      <c r="CK82" s="129" t="str">
        <f t="shared" si="71"/>
        <v>Booked</v>
      </c>
    </row>
    <row r="83" spans="1:89" ht="15" customHeight="1" x14ac:dyDescent="0.25">
      <c r="A83" s="111">
        <v>7</v>
      </c>
      <c r="B83" s="128" t="str">
        <f t="shared" si="54"/>
        <v>N</v>
      </c>
      <c r="C83" s="128" t="str">
        <f t="shared" si="55"/>
        <v>N</v>
      </c>
      <c r="D83" s="117">
        <v>390322</v>
      </c>
      <c r="E83" s="135">
        <f t="shared" si="56"/>
        <v>5</v>
      </c>
      <c r="F83" s="124">
        <v>40909</v>
      </c>
      <c r="G83" s="125">
        <v>40911</v>
      </c>
      <c r="H83" s="117">
        <v>390322</v>
      </c>
      <c r="I83" s="124">
        <v>40909</v>
      </c>
      <c r="J83" s="124">
        <v>40911</v>
      </c>
      <c r="K83" s="126">
        <v>15000</v>
      </c>
      <c r="L83" s="127" t="s">
        <v>571</v>
      </c>
      <c r="N83" s="129" t="str">
        <f>IF(M83&gt;1/1/1,"Y","N")</f>
        <v>N</v>
      </c>
      <c r="O83" s="128" t="s">
        <v>917</v>
      </c>
      <c r="P83" s="129" t="s">
        <v>39</v>
      </c>
      <c r="Q83" s="111">
        <f t="shared" si="80"/>
        <v>3</v>
      </c>
      <c r="R83" s="111">
        <f t="shared" si="48"/>
        <v>3</v>
      </c>
      <c r="S83" s="129">
        <v>10</v>
      </c>
      <c r="T83" s="129">
        <v>7</v>
      </c>
      <c r="U83" s="129">
        <v>8</v>
      </c>
      <c r="W83" s="111"/>
      <c r="AC83" s="130"/>
      <c r="AD83" s="130">
        <v>23063</v>
      </c>
      <c r="AE83" s="128" t="s">
        <v>32</v>
      </c>
      <c r="AF83" s="128" t="s">
        <v>69</v>
      </c>
      <c r="AG83" s="128" t="s">
        <v>874</v>
      </c>
      <c r="AH83" s="108" t="s">
        <v>58</v>
      </c>
      <c r="AI83" s="128" t="s">
        <v>59</v>
      </c>
      <c r="AJ83" s="129" t="s">
        <v>89</v>
      </c>
      <c r="AK83" s="129">
        <v>1</v>
      </c>
      <c r="AL83" s="3" t="s">
        <v>992</v>
      </c>
      <c r="AN83" s="117">
        <v>6</v>
      </c>
      <c r="AP83" s="129" t="s">
        <v>60</v>
      </c>
      <c r="AR83" s="128" t="s">
        <v>44</v>
      </c>
      <c r="AS83" s="129" t="s">
        <v>61</v>
      </c>
      <c r="BC83" s="129" t="s">
        <v>38</v>
      </c>
      <c r="BF83" s="111">
        <f t="shared" si="41"/>
        <v>3</v>
      </c>
      <c r="BG83" s="111">
        <f t="shared" si="49"/>
        <v>3</v>
      </c>
      <c r="BH83" s="111">
        <f t="shared" si="50"/>
        <v>3</v>
      </c>
      <c r="BI83" s="111">
        <f t="shared" si="51"/>
        <v>48.759562841530055</v>
      </c>
      <c r="BJ83" s="129">
        <f t="shared" si="72"/>
        <v>0</v>
      </c>
      <c r="BK83" s="129">
        <f t="shared" si="52"/>
        <v>0</v>
      </c>
      <c r="BL83" s="129" t="str">
        <f t="shared" si="53"/>
        <v>CONVICTION</v>
      </c>
      <c r="BM83" s="129" t="str">
        <f t="shared" si="73"/>
        <v>NONE</v>
      </c>
      <c r="BN83" s="129" t="s">
        <v>566</v>
      </c>
      <c r="BP83" s="137" t="str">
        <f t="shared" si="57"/>
        <v>CONVICTION</v>
      </c>
      <c r="BQ83" s="128" t="str">
        <f t="shared" si="58"/>
        <v>Y</v>
      </c>
      <c r="BR83" s="129" t="str">
        <f t="shared" si="59"/>
        <v>DETAINED</v>
      </c>
      <c r="BS83" s="129" t="str">
        <f t="shared" si="74"/>
        <v>DISPOSED</v>
      </c>
      <c r="BT83" s="129" t="str">
        <f t="shared" si="60"/>
        <v>Y</v>
      </c>
      <c r="BU83" s="109">
        <f t="shared" si="75"/>
        <v>1</v>
      </c>
      <c r="BV83" s="109">
        <f t="shared" si="61"/>
        <v>1</v>
      </c>
      <c r="BW83" s="109">
        <f t="shared" si="62"/>
        <v>0</v>
      </c>
      <c r="BX83" s="111">
        <f t="shared" si="63"/>
        <v>0</v>
      </c>
      <c r="BY83" s="129">
        <f t="shared" si="64"/>
        <v>-3</v>
      </c>
      <c r="BZ83" s="111">
        <f t="shared" si="65"/>
        <v>0</v>
      </c>
      <c r="CA83" s="138">
        <f t="shared" si="66"/>
        <v>3</v>
      </c>
      <c r="CB83" s="111" t="e">
        <f t="shared" si="42"/>
        <v>#VALUE!</v>
      </c>
      <c r="CC83" s="129">
        <f>G83-I83+1</f>
        <v>3</v>
      </c>
      <c r="CD83" s="129">
        <f>G83-J83</f>
        <v>0</v>
      </c>
      <c r="CE83" s="129">
        <f t="shared" si="67"/>
        <v>0</v>
      </c>
      <c r="CF83" s="129">
        <f t="shared" si="81"/>
        <v>2</v>
      </c>
      <c r="CG83" s="129" t="str">
        <f t="shared" si="68"/>
        <v>Y</v>
      </c>
      <c r="CI83" s="129" t="str">
        <f t="shared" si="69"/>
        <v>0-10 DAYS</v>
      </c>
      <c r="CJ83" s="137">
        <f t="shared" si="70"/>
        <v>1</v>
      </c>
      <c r="CK83" s="129" t="str">
        <f t="shared" si="71"/>
        <v>Booked</v>
      </c>
    </row>
    <row r="84" spans="1:89" ht="15.75" customHeight="1" x14ac:dyDescent="0.25">
      <c r="A84" s="111">
        <v>67</v>
      </c>
      <c r="B84" s="128" t="str">
        <f t="shared" si="54"/>
        <v>N</v>
      </c>
      <c r="C84" s="128" t="str">
        <f t="shared" si="55"/>
        <v>N</v>
      </c>
      <c r="D84" s="117">
        <v>390501</v>
      </c>
      <c r="E84" s="135">
        <f t="shared" si="56"/>
        <v>5</v>
      </c>
      <c r="F84" s="124">
        <v>40912</v>
      </c>
      <c r="G84" s="125">
        <v>41060</v>
      </c>
      <c r="H84" s="117">
        <v>390501</v>
      </c>
      <c r="I84" s="124">
        <v>40912</v>
      </c>
      <c r="J84" s="124">
        <v>40973</v>
      </c>
      <c r="K84" s="126">
        <v>15000</v>
      </c>
      <c r="L84" s="127" t="s">
        <v>571</v>
      </c>
      <c r="M84" s="125">
        <v>40973</v>
      </c>
      <c r="N84" s="129" t="str">
        <f>IF(M84&gt;1/1/1,"Y","N")</f>
        <v>Y</v>
      </c>
      <c r="O84" s="128" t="s">
        <v>76</v>
      </c>
      <c r="P84" s="129" t="s">
        <v>77</v>
      </c>
      <c r="Q84" s="111">
        <f t="shared" si="80"/>
        <v>62</v>
      </c>
      <c r="R84" s="111">
        <f t="shared" si="48"/>
        <v>149</v>
      </c>
      <c r="S84" s="129">
        <v>6</v>
      </c>
      <c r="T84" s="129">
        <v>10</v>
      </c>
      <c r="U84" s="129">
        <v>4</v>
      </c>
      <c r="W84" s="111"/>
      <c r="AC84" s="130"/>
      <c r="AD84" s="130">
        <v>22237</v>
      </c>
      <c r="AE84" s="128" t="s">
        <v>32</v>
      </c>
      <c r="AF84" s="128" t="s">
        <v>40</v>
      </c>
      <c r="AG84" s="128" t="s">
        <v>41</v>
      </c>
      <c r="AH84" s="108" t="s">
        <v>41</v>
      </c>
      <c r="AI84" s="128" t="s">
        <v>100</v>
      </c>
      <c r="AJ84" s="129" t="s">
        <v>89</v>
      </c>
      <c r="AK84" s="129">
        <v>1</v>
      </c>
      <c r="AL84" s="3" t="s">
        <v>992</v>
      </c>
      <c r="AN84" s="117">
        <v>9</v>
      </c>
      <c r="AP84" s="129" t="s">
        <v>121</v>
      </c>
      <c r="AR84" s="128" t="s">
        <v>44</v>
      </c>
      <c r="AS84" s="129" t="s">
        <v>122</v>
      </c>
      <c r="AT84" s="129" t="s">
        <v>128</v>
      </c>
      <c r="BC84" s="129" t="s">
        <v>52</v>
      </c>
      <c r="BF84" s="111">
        <f t="shared" si="41"/>
        <v>62</v>
      </c>
      <c r="BG84" s="111">
        <f t="shared" si="49"/>
        <v>149</v>
      </c>
      <c r="BH84" s="111">
        <f t="shared" si="50"/>
        <v>149</v>
      </c>
      <c r="BI84" s="111">
        <f t="shared" si="51"/>
        <v>51.024590163934427</v>
      </c>
      <c r="BJ84" s="129">
        <f>(G84-J84)+(M84-G84)</f>
        <v>0</v>
      </c>
      <c r="BK84" s="129">
        <f t="shared" si="52"/>
        <v>-87</v>
      </c>
      <c r="BL84" s="129" t="str">
        <f t="shared" si="53"/>
        <v>CONVICTION</v>
      </c>
      <c r="BM84" s="129" t="s">
        <v>76</v>
      </c>
      <c r="BN84" s="129" t="s">
        <v>88</v>
      </c>
      <c r="BP84" s="137" t="str">
        <f t="shared" si="57"/>
        <v>CONVICTION</v>
      </c>
      <c r="BQ84" s="128" t="str">
        <f t="shared" si="58"/>
        <v>Y</v>
      </c>
      <c r="BR84" s="129" t="str">
        <f t="shared" si="59"/>
        <v>ON BOND</v>
      </c>
      <c r="BS84" s="129" t="str">
        <f t="shared" si="74"/>
        <v>DISPOSED</v>
      </c>
      <c r="BT84" s="129" t="str">
        <f t="shared" si="60"/>
        <v>Y</v>
      </c>
      <c r="BU84" s="109">
        <f t="shared" si="75"/>
        <v>0.41610738255033558</v>
      </c>
      <c r="BV84" s="109">
        <f t="shared" si="61"/>
        <v>0.41610738255033558</v>
      </c>
      <c r="BW84" s="109">
        <f t="shared" si="62"/>
        <v>0</v>
      </c>
      <c r="BX84" s="111">
        <f t="shared" si="63"/>
        <v>0</v>
      </c>
      <c r="BY84" s="129">
        <f t="shared" si="64"/>
        <v>-62</v>
      </c>
      <c r="BZ84" s="111">
        <f t="shared" si="65"/>
        <v>0</v>
      </c>
      <c r="CA84" s="138">
        <f t="shared" si="66"/>
        <v>62</v>
      </c>
      <c r="CB84" s="111" t="e">
        <f t="shared" si="42"/>
        <v>#VALUE!</v>
      </c>
      <c r="CC84" s="129">
        <f>M84-I84+1</f>
        <v>62</v>
      </c>
      <c r="CD84" s="111">
        <f>CC84-BF84</f>
        <v>0</v>
      </c>
      <c r="CE84" s="129">
        <f t="shared" si="67"/>
        <v>87</v>
      </c>
      <c r="CF84" s="129">
        <f t="shared" si="81"/>
        <v>61</v>
      </c>
      <c r="CG84" s="129" t="str">
        <f t="shared" si="68"/>
        <v>Y</v>
      </c>
      <c r="CI84" s="129" t="str">
        <f t="shared" si="69"/>
        <v>61-90 DAYS</v>
      </c>
      <c r="CJ84" s="137">
        <f t="shared" si="70"/>
        <v>4</v>
      </c>
      <c r="CK84" s="129" t="str">
        <f t="shared" si="71"/>
        <v>Booked</v>
      </c>
    </row>
    <row r="85" spans="1:89" ht="15.75" customHeight="1" x14ac:dyDescent="0.25">
      <c r="A85" s="111">
        <v>2448</v>
      </c>
      <c r="B85" s="128" t="str">
        <f t="shared" si="54"/>
        <v>N</v>
      </c>
      <c r="C85" s="128" t="str">
        <f t="shared" si="55"/>
        <v>N</v>
      </c>
      <c r="D85" s="117">
        <v>393504</v>
      </c>
      <c r="E85" s="135">
        <f t="shared" si="56"/>
        <v>1</v>
      </c>
      <c r="F85" s="124">
        <v>41001</v>
      </c>
      <c r="G85" s="125">
        <v>41003</v>
      </c>
      <c r="H85" s="117">
        <v>393504</v>
      </c>
      <c r="I85" s="124" t="s">
        <v>562</v>
      </c>
      <c r="J85" s="124" t="s">
        <v>562</v>
      </c>
      <c r="K85" s="126">
        <v>10000</v>
      </c>
      <c r="L85" s="127" t="s">
        <v>570</v>
      </c>
      <c r="N85" s="124" t="s">
        <v>1343</v>
      </c>
      <c r="O85" s="128" t="s">
        <v>917</v>
      </c>
      <c r="P85" s="129" t="s">
        <v>55</v>
      </c>
      <c r="Q85" s="111">
        <f t="shared" si="80"/>
        <v>0</v>
      </c>
      <c r="R85" s="111">
        <f t="shared" si="48"/>
        <v>3</v>
      </c>
      <c r="S85" s="129">
        <v>1</v>
      </c>
      <c r="T85" s="129">
        <v>1</v>
      </c>
      <c r="V85" s="117">
        <v>1</v>
      </c>
      <c r="W85" s="111"/>
      <c r="AC85" s="130"/>
      <c r="AD85" s="130">
        <v>23505</v>
      </c>
      <c r="AE85" s="128" t="s">
        <v>46</v>
      </c>
      <c r="AF85" s="128" t="s">
        <v>40</v>
      </c>
      <c r="AG85" s="128" t="s">
        <v>41</v>
      </c>
      <c r="AH85" s="108" t="s">
        <v>41</v>
      </c>
      <c r="AI85" s="128" t="s">
        <v>65</v>
      </c>
      <c r="AJ85" s="129" t="s">
        <v>55</v>
      </c>
      <c r="AK85" s="129">
        <v>1</v>
      </c>
      <c r="AL85" s="3" t="s">
        <v>55</v>
      </c>
      <c r="AP85" s="129" t="s">
        <v>63</v>
      </c>
      <c r="AR85" s="128" t="s">
        <v>44</v>
      </c>
      <c r="AS85" s="129" t="s">
        <v>64</v>
      </c>
      <c r="BC85" s="129" t="s">
        <v>79</v>
      </c>
      <c r="BF85" s="111">
        <v>0</v>
      </c>
      <c r="BG85" s="111">
        <v>0</v>
      </c>
      <c r="BH85" s="111">
        <f t="shared" si="50"/>
        <v>3</v>
      </c>
      <c r="BI85" s="111">
        <f t="shared" si="51"/>
        <v>47.803278688524593</v>
      </c>
      <c r="BJ85" s="129" t="e">
        <f>(G85-J85)+(M85-G85)</f>
        <v>#VALUE!</v>
      </c>
      <c r="BK85" s="129" t="e">
        <f t="shared" si="52"/>
        <v>#VALUE!</v>
      </c>
      <c r="BL85" s="129" t="str">
        <f t="shared" si="53"/>
        <v>NO CONVICTION</v>
      </c>
      <c r="BM85" s="129" t="str">
        <f t="shared" si="73"/>
        <v>NONE</v>
      </c>
      <c r="BN85" s="129" t="s">
        <v>566</v>
      </c>
      <c r="BP85" s="137" t="str">
        <f t="shared" si="57"/>
        <v>NO CONVICTION</v>
      </c>
      <c r="BQ85" s="128">
        <f t="shared" si="58"/>
        <v>0</v>
      </c>
      <c r="BR85" s="129" t="s">
        <v>1345</v>
      </c>
      <c r="BS85" s="129" t="str">
        <f t="shared" si="74"/>
        <v>DISPOSED</v>
      </c>
      <c r="BT85" s="129" t="str">
        <f t="shared" si="60"/>
        <v>Y</v>
      </c>
      <c r="BU85" s="109">
        <f>IFERROR(Q85/R85,BR85)</f>
        <v>0</v>
      </c>
      <c r="BV85" s="109">
        <v>0</v>
      </c>
      <c r="BW85" s="109">
        <f t="shared" si="62"/>
        <v>0</v>
      </c>
      <c r="BX85" s="111">
        <f t="shared" si="63"/>
        <v>0</v>
      </c>
      <c r="BY85" s="129" t="e">
        <f t="shared" si="64"/>
        <v>#VALUE!</v>
      </c>
      <c r="BZ85" s="111" t="e">
        <f t="shared" si="65"/>
        <v>#VALUE!</v>
      </c>
      <c r="CA85" s="138" t="e">
        <f t="shared" si="66"/>
        <v>#VALUE!</v>
      </c>
      <c r="CB85" s="111">
        <v>0</v>
      </c>
      <c r="CC85" s="129">
        <v>0</v>
      </c>
      <c r="CE85" s="129" t="e">
        <f t="shared" si="67"/>
        <v>#VALUE!</v>
      </c>
      <c r="CF85" s="129" t="e">
        <f t="shared" si="81"/>
        <v>#VALUE!</v>
      </c>
      <c r="CG85" s="129" t="str">
        <f t="shared" si="68"/>
        <v>Y</v>
      </c>
      <c r="CI85" s="129" t="str">
        <f t="shared" si="69"/>
        <v>0-10 DAYS</v>
      </c>
      <c r="CJ85" s="137">
        <f t="shared" si="70"/>
        <v>1</v>
      </c>
      <c r="CK85" s="129" t="str">
        <f t="shared" si="71"/>
        <v>Not Booked</v>
      </c>
    </row>
    <row r="86" spans="1:89" ht="15.75" customHeight="1" x14ac:dyDescent="0.25">
      <c r="A86" s="111">
        <v>355</v>
      </c>
      <c r="B86" s="128" t="str">
        <f t="shared" si="54"/>
        <v>N</v>
      </c>
      <c r="C86" s="128" t="str">
        <f t="shared" si="55"/>
        <v>N</v>
      </c>
      <c r="D86" s="117">
        <v>394004</v>
      </c>
      <c r="E86" s="135">
        <f t="shared" si="56"/>
        <v>2</v>
      </c>
      <c r="F86" s="124">
        <v>40922</v>
      </c>
      <c r="G86" s="125">
        <v>40987</v>
      </c>
      <c r="H86" s="117">
        <v>394004</v>
      </c>
      <c r="I86" s="124">
        <v>40923</v>
      </c>
      <c r="J86" s="124">
        <v>40987</v>
      </c>
      <c r="K86" s="126">
        <v>30000</v>
      </c>
      <c r="L86" s="129" t="s">
        <v>572</v>
      </c>
      <c r="N86" s="129" t="str">
        <f>IF(M86&gt;1/1/1,"Y","N")</f>
        <v>N</v>
      </c>
      <c r="O86" s="128" t="s">
        <v>917</v>
      </c>
      <c r="P86" s="129" t="s">
        <v>589</v>
      </c>
      <c r="Q86" s="111">
        <f t="shared" si="80"/>
        <v>65</v>
      </c>
      <c r="R86" s="111">
        <f t="shared" si="48"/>
        <v>66</v>
      </c>
      <c r="S86" s="129">
        <v>0</v>
      </c>
      <c r="T86" s="129">
        <v>1</v>
      </c>
      <c r="W86" s="111"/>
      <c r="AC86" s="130"/>
      <c r="AD86" s="130">
        <v>13487</v>
      </c>
      <c r="AE86" s="128" t="s">
        <v>32</v>
      </c>
      <c r="AF86" s="128" t="s">
        <v>69</v>
      </c>
      <c r="AG86" s="128" t="s">
        <v>874</v>
      </c>
      <c r="AH86" s="108" t="s">
        <v>31</v>
      </c>
      <c r="AI86" s="128" t="s">
        <v>113</v>
      </c>
      <c r="AJ86" s="129" t="s">
        <v>48</v>
      </c>
      <c r="AK86" s="129">
        <v>4</v>
      </c>
      <c r="AL86" s="3" t="s">
        <v>48</v>
      </c>
      <c r="AP86" s="129" t="s">
        <v>73</v>
      </c>
      <c r="AR86" s="128" t="s">
        <v>50</v>
      </c>
      <c r="AS86" s="129" t="s">
        <v>74</v>
      </c>
      <c r="BC86" s="129" t="s">
        <v>38</v>
      </c>
      <c r="BF86" s="111">
        <f t="shared" ref="BF86:BF97" si="82">IF(J86&gt;1/1/1900,((J86+1)-I86),"STILL OPEN")</f>
        <v>65</v>
      </c>
      <c r="BG86" s="111">
        <f t="shared" ref="BG86:BG97" si="83">IF(G86&gt;1/1/1900,((G86+1)-I86),"STILL OPEN")</f>
        <v>65</v>
      </c>
      <c r="BH86" s="111">
        <f t="shared" si="50"/>
        <v>66</v>
      </c>
      <c r="BI86" s="111">
        <f t="shared" si="51"/>
        <v>74.959016393442624</v>
      </c>
      <c r="BJ86" s="129">
        <f t="shared" si="72"/>
        <v>0</v>
      </c>
      <c r="BK86" s="129">
        <f t="shared" si="52"/>
        <v>0</v>
      </c>
      <c r="BL86" s="129" t="str">
        <f t="shared" si="53"/>
        <v>DEFERRED</v>
      </c>
      <c r="BM86" s="129" t="str">
        <f t="shared" si="73"/>
        <v>NONE</v>
      </c>
      <c r="BN86" s="129" t="s">
        <v>566</v>
      </c>
      <c r="BP86" s="137" t="str">
        <f t="shared" si="57"/>
        <v>DEFERRED</v>
      </c>
      <c r="BQ86" s="128" t="str">
        <f t="shared" si="58"/>
        <v>Y</v>
      </c>
      <c r="BR86" s="129" t="str">
        <f t="shared" si="59"/>
        <v>DETAINED</v>
      </c>
      <c r="BS86" s="129" t="str">
        <f t="shared" si="74"/>
        <v>DISPOSED</v>
      </c>
      <c r="BT86" s="129" t="str">
        <f t="shared" si="60"/>
        <v>N</v>
      </c>
      <c r="BU86" s="109">
        <f t="shared" si="75"/>
        <v>0.98484848484848486</v>
      </c>
      <c r="BV86" s="109">
        <f t="shared" si="61"/>
        <v>1</v>
      </c>
      <c r="BW86" s="109">
        <f t="shared" si="62"/>
        <v>1.5151515151515138E-2</v>
      </c>
      <c r="BX86" s="111">
        <f t="shared" si="63"/>
        <v>0</v>
      </c>
      <c r="BY86" s="129">
        <f t="shared" si="64"/>
        <v>-65</v>
      </c>
      <c r="BZ86" s="111">
        <f t="shared" si="65"/>
        <v>0</v>
      </c>
      <c r="CA86" s="138">
        <f t="shared" si="66"/>
        <v>65</v>
      </c>
      <c r="CB86" s="111" t="e">
        <f t="shared" ref="CB86:CB97" si="84">IF(AF86&gt;1/1/1900,((AF86+1)-AE86),"STILL OPEN")</f>
        <v>#VALUE!</v>
      </c>
      <c r="CC86" s="129">
        <f t="shared" ref="CC86:CC91" si="85">G86-I86+1</f>
        <v>65</v>
      </c>
      <c r="CD86" s="129">
        <f t="shared" ref="CD86:CD91" si="86">G86-J86</f>
        <v>0</v>
      </c>
      <c r="CE86" s="129">
        <f t="shared" si="67"/>
        <v>0</v>
      </c>
      <c r="CF86" s="129">
        <f t="shared" si="81"/>
        <v>64</v>
      </c>
      <c r="CG86" s="129" t="str">
        <f t="shared" si="68"/>
        <v>Y</v>
      </c>
      <c r="CI86" s="129" t="str">
        <f t="shared" si="69"/>
        <v>61-90 DAYS</v>
      </c>
      <c r="CJ86" s="137">
        <f t="shared" si="70"/>
        <v>4</v>
      </c>
      <c r="CK86" s="129" t="str">
        <f t="shared" si="71"/>
        <v>Booked</v>
      </c>
    </row>
    <row r="87" spans="1:89" ht="15" customHeight="1" x14ac:dyDescent="0.25">
      <c r="A87" s="111">
        <v>3239</v>
      </c>
      <c r="B87" s="128" t="str">
        <f t="shared" si="54"/>
        <v>N</v>
      </c>
      <c r="C87" s="128" t="str">
        <f t="shared" si="55"/>
        <v>N</v>
      </c>
      <c r="D87" s="117">
        <v>396694</v>
      </c>
      <c r="E87" s="135">
        <f t="shared" si="56"/>
        <v>6</v>
      </c>
      <c r="F87" s="124">
        <v>41028</v>
      </c>
      <c r="G87" s="125">
        <v>41101</v>
      </c>
      <c r="H87" s="117">
        <v>396694</v>
      </c>
      <c r="I87" s="124">
        <v>41028</v>
      </c>
      <c r="J87" s="124">
        <v>41101</v>
      </c>
      <c r="K87" s="126" t="s">
        <v>564</v>
      </c>
      <c r="L87" s="127" t="s">
        <v>564</v>
      </c>
      <c r="N87" s="129" t="s">
        <v>566</v>
      </c>
      <c r="O87" s="128" t="s">
        <v>917</v>
      </c>
      <c r="P87" s="129" t="s">
        <v>39</v>
      </c>
      <c r="Q87" s="111">
        <f t="shared" si="80"/>
        <v>74</v>
      </c>
      <c r="R87" s="111">
        <f t="shared" si="48"/>
        <v>74</v>
      </c>
      <c r="S87" s="129">
        <v>7</v>
      </c>
      <c r="T87" s="129">
        <v>3</v>
      </c>
      <c r="U87" s="129">
        <v>4</v>
      </c>
      <c r="W87" s="111"/>
      <c r="AC87" s="130"/>
      <c r="AD87" s="130">
        <v>17143</v>
      </c>
      <c r="AE87" s="128" t="s">
        <v>32</v>
      </c>
      <c r="AF87" s="128" t="s">
        <v>33</v>
      </c>
      <c r="AG87" s="128" t="s">
        <v>872</v>
      </c>
      <c r="AH87" s="108" t="s">
        <v>58</v>
      </c>
      <c r="AI87" s="128" t="s">
        <v>70</v>
      </c>
      <c r="AJ87" s="129" t="s">
        <v>89</v>
      </c>
      <c r="AK87" s="129">
        <v>5</v>
      </c>
      <c r="AL87" s="3" t="s">
        <v>362</v>
      </c>
      <c r="AM87" s="117">
        <v>15</v>
      </c>
      <c r="AP87" s="129" t="s">
        <v>191</v>
      </c>
      <c r="AR87" s="128" t="s">
        <v>50</v>
      </c>
      <c r="AS87" s="129" t="s">
        <v>82</v>
      </c>
      <c r="BC87" s="129" t="s">
        <v>52</v>
      </c>
      <c r="BF87" s="111">
        <f t="shared" si="82"/>
        <v>74</v>
      </c>
      <c r="BG87" s="111">
        <f t="shared" si="83"/>
        <v>74</v>
      </c>
      <c r="BH87" s="111">
        <f t="shared" si="50"/>
        <v>74</v>
      </c>
      <c r="BI87" s="111">
        <f t="shared" si="51"/>
        <v>65.259562841530055</v>
      </c>
      <c r="BJ87" s="129">
        <f t="shared" si="72"/>
        <v>0</v>
      </c>
      <c r="BK87" s="129">
        <f t="shared" si="52"/>
        <v>0</v>
      </c>
      <c r="BL87" s="129" t="str">
        <f t="shared" si="53"/>
        <v>CONVICTION</v>
      </c>
      <c r="BM87" s="129" t="str">
        <f t="shared" si="73"/>
        <v>NONE</v>
      </c>
      <c r="BN87" s="129" t="s">
        <v>566</v>
      </c>
      <c r="BP87" s="137" t="str">
        <f t="shared" si="57"/>
        <v>CONVICTION</v>
      </c>
      <c r="BQ87" s="128" t="str">
        <f t="shared" si="58"/>
        <v>Y</v>
      </c>
      <c r="BR87" s="129" t="str">
        <f t="shared" si="59"/>
        <v>DETAINED</v>
      </c>
      <c r="BS87" s="129" t="str">
        <f t="shared" si="74"/>
        <v>DISPOSED</v>
      </c>
      <c r="BT87" s="129" t="str">
        <f t="shared" si="60"/>
        <v>Y</v>
      </c>
      <c r="BU87" s="109">
        <f t="shared" si="75"/>
        <v>1</v>
      </c>
      <c r="BV87" s="109">
        <f t="shared" si="61"/>
        <v>1</v>
      </c>
      <c r="BW87" s="109">
        <f t="shared" si="62"/>
        <v>0</v>
      </c>
      <c r="BX87" s="111">
        <f t="shared" si="63"/>
        <v>0</v>
      </c>
      <c r="BY87" s="129">
        <f t="shared" si="64"/>
        <v>-74</v>
      </c>
      <c r="BZ87" s="111">
        <f t="shared" si="65"/>
        <v>0</v>
      </c>
      <c r="CA87" s="138">
        <f t="shared" si="66"/>
        <v>74</v>
      </c>
      <c r="CB87" s="111" t="e">
        <f t="shared" si="84"/>
        <v>#VALUE!</v>
      </c>
      <c r="CC87" s="129">
        <f t="shared" si="85"/>
        <v>74</v>
      </c>
      <c r="CD87" s="129">
        <f t="shared" si="86"/>
        <v>0</v>
      </c>
      <c r="CE87" s="129">
        <f t="shared" si="67"/>
        <v>0</v>
      </c>
      <c r="CF87" s="129">
        <f t="shared" si="81"/>
        <v>73</v>
      </c>
      <c r="CG87" s="129" t="str">
        <f t="shared" si="68"/>
        <v>Y</v>
      </c>
      <c r="CI87" s="129" t="str">
        <f t="shared" si="69"/>
        <v>61-90 DAYS</v>
      </c>
      <c r="CJ87" s="137">
        <f t="shared" si="70"/>
        <v>4</v>
      </c>
      <c r="CK87" s="129" t="str">
        <f t="shared" si="71"/>
        <v>Booked</v>
      </c>
    </row>
    <row r="88" spans="1:89" ht="15.75" customHeight="1" x14ac:dyDescent="0.25">
      <c r="A88" s="111">
        <v>391</v>
      </c>
      <c r="B88" s="128" t="str">
        <f t="shared" si="54"/>
        <v>N</v>
      </c>
      <c r="C88" s="128" t="str">
        <f t="shared" si="55"/>
        <v>N</v>
      </c>
      <c r="D88" s="117">
        <v>402939</v>
      </c>
      <c r="E88" s="135">
        <f t="shared" si="56"/>
        <v>1</v>
      </c>
      <c r="F88" s="124">
        <v>40925</v>
      </c>
      <c r="G88" s="125">
        <v>40970</v>
      </c>
      <c r="H88" s="117">
        <v>402939</v>
      </c>
      <c r="I88" s="124">
        <v>40925</v>
      </c>
      <c r="J88" s="124">
        <v>40970</v>
      </c>
      <c r="K88" s="126">
        <v>15000</v>
      </c>
      <c r="L88" s="127" t="s">
        <v>571</v>
      </c>
      <c r="N88" s="129" t="str">
        <f>IF(M88&gt;1/1/1,"Y","N")</f>
        <v>N</v>
      </c>
      <c r="O88" s="128" t="s">
        <v>917</v>
      </c>
      <c r="P88" s="129" t="s">
        <v>55</v>
      </c>
      <c r="Q88" s="111">
        <f t="shared" si="80"/>
        <v>46</v>
      </c>
      <c r="R88" s="111">
        <f t="shared" si="48"/>
        <v>46</v>
      </c>
      <c r="S88" s="129">
        <v>7</v>
      </c>
      <c r="T88" s="129">
        <v>5</v>
      </c>
      <c r="U88" s="129">
        <v>4</v>
      </c>
      <c r="V88" s="117">
        <v>1</v>
      </c>
      <c r="W88" s="111"/>
      <c r="AC88" s="130"/>
      <c r="AD88" s="130">
        <v>22509</v>
      </c>
      <c r="AE88" s="128" t="s">
        <v>32</v>
      </c>
      <c r="AF88" s="128" t="s">
        <v>33</v>
      </c>
      <c r="AG88" s="128" t="s">
        <v>872</v>
      </c>
      <c r="AH88" s="108" t="s">
        <v>31</v>
      </c>
      <c r="AI88" s="128" t="s">
        <v>118</v>
      </c>
      <c r="AJ88" s="129" t="s">
        <v>55</v>
      </c>
      <c r="AK88" s="129">
        <v>3</v>
      </c>
      <c r="AL88" s="3" t="s">
        <v>55</v>
      </c>
      <c r="AP88" s="129" t="s">
        <v>43</v>
      </c>
      <c r="AR88" s="128" t="s">
        <v>44</v>
      </c>
      <c r="AS88" s="129" t="s">
        <v>45</v>
      </c>
      <c r="BC88" s="129" t="s">
        <v>38</v>
      </c>
      <c r="BF88" s="111">
        <f t="shared" si="82"/>
        <v>46</v>
      </c>
      <c r="BG88" s="111">
        <f t="shared" si="83"/>
        <v>46</v>
      </c>
      <c r="BH88" s="111">
        <f t="shared" si="50"/>
        <v>46</v>
      </c>
      <c r="BI88" s="111">
        <f t="shared" si="51"/>
        <v>50.31693989071038</v>
      </c>
      <c r="BJ88" s="129">
        <f t="shared" si="72"/>
        <v>0</v>
      </c>
      <c r="BK88" s="129">
        <f t="shared" si="52"/>
        <v>0</v>
      </c>
      <c r="BL88" s="129" t="str">
        <f t="shared" si="53"/>
        <v>NO CONVICTION</v>
      </c>
      <c r="BM88" s="129" t="str">
        <f t="shared" si="73"/>
        <v>NONE</v>
      </c>
      <c r="BN88" s="129" t="s">
        <v>566</v>
      </c>
      <c r="BP88" s="137" t="str">
        <f t="shared" si="57"/>
        <v>NO CONVICTION</v>
      </c>
      <c r="BQ88" s="128" t="str">
        <f t="shared" si="58"/>
        <v>Y</v>
      </c>
      <c r="BR88" s="129" t="str">
        <f t="shared" si="59"/>
        <v>DETAINED</v>
      </c>
      <c r="BS88" s="129" t="str">
        <f t="shared" si="74"/>
        <v>DISPOSED</v>
      </c>
      <c r="BT88" s="129" t="str">
        <f t="shared" si="60"/>
        <v>Y</v>
      </c>
      <c r="BU88" s="109">
        <f>IFERROR(Q88/R88,BR88)</f>
        <v>1</v>
      </c>
      <c r="BV88" s="109">
        <f t="shared" si="61"/>
        <v>1</v>
      </c>
      <c r="BW88" s="109">
        <f t="shared" si="62"/>
        <v>0</v>
      </c>
      <c r="BX88" s="111">
        <f t="shared" si="63"/>
        <v>0</v>
      </c>
      <c r="BY88" s="129">
        <f t="shared" si="64"/>
        <v>-46</v>
      </c>
      <c r="BZ88" s="111">
        <f t="shared" si="65"/>
        <v>0</v>
      </c>
      <c r="CA88" s="138">
        <f t="shared" si="66"/>
        <v>46</v>
      </c>
      <c r="CB88" s="111" t="e">
        <f t="shared" si="84"/>
        <v>#VALUE!</v>
      </c>
      <c r="CC88" s="129">
        <f t="shared" si="85"/>
        <v>46</v>
      </c>
      <c r="CD88" s="129">
        <f t="shared" si="86"/>
        <v>0</v>
      </c>
      <c r="CE88" s="129">
        <f t="shared" si="67"/>
        <v>0</v>
      </c>
      <c r="CF88" s="129">
        <f t="shared" si="81"/>
        <v>45</v>
      </c>
      <c r="CG88" s="129" t="str">
        <f t="shared" si="68"/>
        <v>Y</v>
      </c>
      <c r="CI88" s="129" t="str">
        <f t="shared" si="69"/>
        <v>31-60 DAYS</v>
      </c>
      <c r="CJ88" s="137">
        <f t="shared" si="70"/>
        <v>3</v>
      </c>
      <c r="CK88" s="129" t="str">
        <f t="shared" si="71"/>
        <v>Booked</v>
      </c>
    </row>
    <row r="89" spans="1:89" ht="15.75" customHeight="1" x14ac:dyDescent="0.25">
      <c r="A89" s="111">
        <v>2777</v>
      </c>
      <c r="B89" s="128" t="str">
        <f t="shared" si="54"/>
        <v>N</v>
      </c>
      <c r="C89" s="128" t="str">
        <f t="shared" si="55"/>
        <v>N</v>
      </c>
      <c r="D89" s="117">
        <v>403644</v>
      </c>
      <c r="E89" s="135">
        <f t="shared" si="56"/>
        <v>1</v>
      </c>
      <c r="F89" s="124">
        <v>41011</v>
      </c>
      <c r="G89" s="125">
        <v>41214</v>
      </c>
      <c r="H89" s="117">
        <v>403644</v>
      </c>
      <c r="I89" s="124">
        <v>41012</v>
      </c>
      <c r="J89" s="125">
        <v>41214</v>
      </c>
      <c r="K89" s="126" t="s">
        <v>564</v>
      </c>
      <c r="L89" s="127" t="s">
        <v>564</v>
      </c>
      <c r="N89" s="129" t="s">
        <v>566</v>
      </c>
      <c r="O89" s="128" t="s">
        <v>917</v>
      </c>
      <c r="P89" s="129" t="s">
        <v>55</v>
      </c>
      <c r="Q89" s="111">
        <f t="shared" si="80"/>
        <v>203</v>
      </c>
      <c r="R89" s="111">
        <f t="shared" si="48"/>
        <v>204</v>
      </c>
      <c r="S89" s="129">
        <v>4</v>
      </c>
      <c r="T89" s="129">
        <v>1</v>
      </c>
      <c r="U89" s="129">
        <v>3</v>
      </c>
      <c r="W89" s="111"/>
      <c r="AC89" s="130"/>
      <c r="AD89" s="130">
        <v>23130</v>
      </c>
      <c r="AE89" s="128" t="s">
        <v>32</v>
      </c>
      <c r="AF89" s="128" t="s">
        <v>40</v>
      </c>
      <c r="AG89" s="128" t="s">
        <v>41</v>
      </c>
      <c r="AH89" s="108" t="s">
        <v>41</v>
      </c>
      <c r="AI89" s="128" t="s">
        <v>83</v>
      </c>
      <c r="AJ89" s="129" t="s">
        <v>55</v>
      </c>
      <c r="AK89" s="129">
        <v>8</v>
      </c>
      <c r="AL89" s="3" t="s">
        <v>55</v>
      </c>
      <c r="AP89" s="129" t="s">
        <v>143</v>
      </c>
      <c r="AR89" s="128" t="s">
        <v>50</v>
      </c>
      <c r="AS89" s="129" t="s">
        <v>82</v>
      </c>
      <c r="BC89" s="129" t="s">
        <v>52</v>
      </c>
      <c r="BF89" s="111">
        <f t="shared" si="82"/>
        <v>203</v>
      </c>
      <c r="BG89" s="111">
        <f t="shared" si="83"/>
        <v>203</v>
      </c>
      <c r="BH89" s="111">
        <f t="shared" si="50"/>
        <v>204</v>
      </c>
      <c r="BI89" s="111">
        <f t="shared" si="51"/>
        <v>48.855191256830601</v>
      </c>
      <c r="BJ89" s="129">
        <f t="shared" si="72"/>
        <v>0</v>
      </c>
      <c r="BK89" s="129">
        <f t="shared" si="52"/>
        <v>0</v>
      </c>
      <c r="BL89" s="129" t="str">
        <f t="shared" si="53"/>
        <v>NO CONVICTION</v>
      </c>
      <c r="BM89" s="129" t="str">
        <f t="shared" si="73"/>
        <v>NONE</v>
      </c>
      <c r="BN89" s="129" t="s">
        <v>566</v>
      </c>
      <c r="BP89" s="137" t="str">
        <f t="shared" si="57"/>
        <v>NO CONVICTION</v>
      </c>
      <c r="BQ89" s="128" t="str">
        <f t="shared" si="58"/>
        <v>Y</v>
      </c>
      <c r="BR89" s="129" t="str">
        <f t="shared" si="59"/>
        <v>DETAINED</v>
      </c>
      <c r="BS89" s="129" t="str">
        <f t="shared" si="74"/>
        <v>DISPOSED</v>
      </c>
      <c r="BT89" s="129" t="str">
        <f t="shared" si="60"/>
        <v>Y</v>
      </c>
      <c r="BU89" s="109">
        <f>IFERROR(Q89/R89,BR89)</f>
        <v>0.99509803921568629</v>
      </c>
      <c r="BV89" s="109">
        <f t="shared" si="61"/>
        <v>1</v>
      </c>
      <c r="BW89" s="109">
        <f t="shared" si="62"/>
        <v>4.9019607843137081E-3</v>
      </c>
      <c r="BX89" s="111">
        <f t="shared" si="63"/>
        <v>0</v>
      </c>
      <c r="BY89" s="129">
        <f t="shared" si="64"/>
        <v>-203</v>
      </c>
      <c r="BZ89" s="111">
        <f t="shared" si="65"/>
        <v>0</v>
      </c>
      <c r="CA89" s="138">
        <f t="shared" si="66"/>
        <v>203</v>
      </c>
      <c r="CB89" s="111" t="e">
        <f t="shared" si="84"/>
        <v>#VALUE!</v>
      </c>
      <c r="CC89" s="129">
        <f t="shared" si="85"/>
        <v>203</v>
      </c>
      <c r="CD89" s="129">
        <f t="shared" si="86"/>
        <v>0</v>
      </c>
      <c r="CE89" s="129">
        <f t="shared" si="67"/>
        <v>0</v>
      </c>
      <c r="CF89" s="129">
        <f t="shared" si="81"/>
        <v>202</v>
      </c>
      <c r="CG89" s="129" t="str">
        <f t="shared" si="68"/>
        <v>Y</v>
      </c>
      <c r="CI89" s="129" t="str">
        <f t="shared" si="69"/>
        <v>121-365 DAYS</v>
      </c>
      <c r="CJ89" s="137">
        <f t="shared" si="70"/>
        <v>6</v>
      </c>
      <c r="CK89" s="129" t="str">
        <f t="shared" si="71"/>
        <v>Booked</v>
      </c>
    </row>
    <row r="90" spans="1:89" ht="15" customHeight="1" x14ac:dyDescent="0.25">
      <c r="A90" s="111">
        <v>788</v>
      </c>
      <c r="B90" s="128" t="str">
        <f t="shared" si="54"/>
        <v>N</v>
      </c>
      <c r="C90" s="128" t="str">
        <f t="shared" si="55"/>
        <v>N</v>
      </c>
      <c r="D90" s="117">
        <v>404402</v>
      </c>
      <c r="E90" s="135">
        <f t="shared" si="56"/>
        <v>6</v>
      </c>
      <c r="F90" s="124">
        <v>40939</v>
      </c>
      <c r="G90" s="125">
        <v>41053</v>
      </c>
      <c r="H90" s="117">
        <v>404402</v>
      </c>
      <c r="I90" s="124">
        <v>41051</v>
      </c>
      <c r="J90" s="124">
        <v>41053</v>
      </c>
      <c r="K90" s="126" t="s">
        <v>564</v>
      </c>
      <c r="L90" s="127" t="s">
        <v>564</v>
      </c>
      <c r="N90" s="129" t="s">
        <v>566</v>
      </c>
      <c r="O90" s="128" t="s">
        <v>917</v>
      </c>
      <c r="P90" s="129" t="s">
        <v>39</v>
      </c>
      <c r="Q90" s="111">
        <f t="shared" si="80"/>
        <v>3</v>
      </c>
      <c r="R90" s="111">
        <f t="shared" si="48"/>
        <v>115</v>
      </c>
      <c r="S90" s="129">
        <v>5</v>
      </c>
      <c r="T90" s="129">
        <v>2</v>
      </c>
      <c r="U90" s="129">
        <v>4</v>
      </c>
      <c r="W90" s="111"/>
      <c r="AC90" s="130"/>
      <c r="AD90" s="130">
        <v>21704</v>
      </c>
      <c r="AE90" s="128" t="s">
        <v>32</v>
      </c>
      <c r="AF90" s="128" t="s">
        <v>69</v>
      </c>
      <c r="AG90" s="128" t="s">
        <v>874</v>
      </c>
      <c r="AH90" s="108" t="s">
        <v>58</v>
      </c>
      <c r="AI90" s="128" t="s">
        <v>65</v>
      </c>
      <c r="AJ90" s="129" t="s">
        <v>89</v>
      </c>
      <c r="AK90" s="129">
        <v>2</v>
      </c>
      <c r="AL90" s="3" t="s">
        <v>362</v>
      </c>
      <c r="AM90" s="117">
        <v>4</v>
      </c>
      <c r="AP90" s="129" t="s">
        <v>170</v>
      </c>
      <c r="AR90" s="128" t="s">
        <v>67</v>
      </c>
      <c r="AS90" s="129" t="s">
        <v>64</v>
      </c>
      <c r="BC90" s="129" t="s">
        <v>38</v>
      </c>
      <c r="BF90" s="111">
        <f t="shared" si="82"/>
        <v>3</v>
      </c>
      <c r="BG90" s="111">
        <f t="shared" si="83"/>
        <v>3</v>
      </c>
      <c r="BH90" s="111">
        <f t="shared" si="50"/>
        <v>115</v>
      </c>
      <c r="BI90" s="111">
        <f t="shared" si="51"/>
        <v>52.55464480874317</v>
      </c>
      <c r="BJ90" s="129">
        <f t="shared" si="72"/>
        <v>0</v>
      </c>
      <c r="BK90" s="129">
        <f t="shared" si="52"/>
        <v>0</v>
      </c>
      <c r="BL90" s="129" t="str">
        <f t="shared" si="53"/>
        <v>CONVICTION</v>
      </c>
      <c r="BM90" s="129" t="str">
        <f t="shared" si="73"/>
        <v>NONE</v>
      </c>
      <c r="BN90" s="129" t="s">
        <v>566</v>
      </c>
      <c r="BP90" s="137" t="str">
        <f t="shared" si="57"/>
        <v>CONVICTION</v>
      </c>
      <c r="BQ90" s="128" t="str">
        <f t="shared" si="58"/>
        <v>Y</v>
      </c>
      <c r="BR90" s="129" t="str">
        <f t="shared" si="59"/>
        <v>DETAINED</v>
      </c>
      <c r="BS90" s="129" t="str">
        <f t="shared" si="74"/>
        <v>DISPOSED</v>
      </c>
      <c r="BT90" s="129" t="str">
        <f t="shared" si="60"/>
        <v>Y</v>
      </c>
      <c r="BU90" s="109">
        <f t="shared" si="75"/>
        <v>2.6086956521739129E-2</v>
      </c>
      <c r="BV90" s="109">
        <f t="shared" si="61"/>
        <v>1</v>
      </c>
      <c r="BW90" s="109">
        <f t="shared" si="62"/>
        <v>0.97391304347826091</v>
      </c>
      <c r="BX90" s="111">
        <f t="shared" si="63"/>
        <v>0</v>
      </c>
      <c r="BY90" s="129">
        <f t="shared" si="64"/>
        <v>-3</v>
      </c>
      <c r="BZ90" s="111">
        <f t="shared" si="65"/>
        <v>0</v>
      </c>
      <c r="CA90" s="138">
        <f t="shared" si="66"/>
        <v>3</v>
      </c>
      <c r="CB90" s="111" t="e">
        <f t="shared" si="84"/>
        <v>#VALUE!</v>
      </c>
      <c r="CC90" s="129">
        <f t="shared" si="85"/>
        <v>3</v>
      </c>
      <c r="CD90" s="129">
        <f t="shared" si="86"/>
        <v>0</v>
      </c>
      <c r="CE90" s="129">
        <f t="shared" si="67"/>
        <v>0</v>
      </c>
      <c r="CF90" s="129">
        <f t="shared" si="81"/>
        <v>2</v>
      </c>
      <c r="CG90" s="129" t="str">
        <f t="shared" si="68"/>
        <v>Y</v>
      </c>
      <c r="CI90" s="129" t="str">
        <f t="shared" si="69"/>
        <v>0-10 DAYS</v>
      </c>
      <c r="CJ90" s="137">
        <f t="shared" si="70"/>
        <v>1</v>
      </c>
      <c r="CK90" s="129" t="str">
        <f t="shared" si="71"/>
        <v>Booked</v>
      </c>
    </row>
    <row r="91" spans="1:89" ht="15" customHeight="1" x14ac:dyDescent="0.25">
      <c r="A91" s="111">
        <v>2450</v>
      </c>
      <c r="B91" s="128" t="str">
        <f t="shared" si="54"/>
        <v>N</v>
      </c>
      <c r="C91" s="128" t="str">
        <f t="shared" si="55"/>
        <v>N</v>
      </c>
      <c r="D91" s="117">
        <v>405757</v>
      </c>
      <c r="E91" s="135">
        <f t="shared" si="56"/>
        <v>5</v>
      </c>
      <c r="F91" s="124">
        <v>41001</v>
      </c>
      <c r="G91" s="125">
        <v>41003</v>
      </c>
      <c r="H91" s="117">
        <v>405757</v>
      </c>
      <c r="I91" s="124">
        <v>41002</v>
      </c>
      <c r="J91" s="124">
        <v>41003</v>
      </c>
      <c r="K91" s="126" t="s">
        <v>564</v>
      </c>
      <c r="L91" s="127" t="s">
        <v>564</v>
      </c>
      <c r="N91" s="129" t="s">
        <v>566</v>
      </c>
      <c r="O91" s="128" t="s">
        <v>917</v>
      </c>
      <c r="P91" s="129" t="s">
        <v>39</v>
      </c>
      <c r="Q91" s="111">
        <f t="shared" si="80"/>
        <v>2</v>
      </c>
      <c r="R91" s="111">
        <f t="shared" si="48"/>
        <v>3</v>
      </c>
      <c r="S91" s="129">
        <v>15</v>
      </c>
      <c r="T91" s="129">
        <v>4</v>
      </c>
      <c r="U91" s="129">
        <v>7</v>
      </c>
      <c r="W91" s="111"/>
      <c r="AC91" s="130"/>
      <c r="AD91" s="130">
        <v>23602</v>
      </c>
      <c r="AE91" s="128" t="s">
        <v>32</v>
      </c>
      <c r="AF91" s="128" t="s">
        <v>33</v>
      </c>
      <c r="AG91" s="128" t="s">
        <v>872</v>
      </c>
      <c r="AH91" s="108" t="s">
        <v>58</v>
      </c>
      <c r="AI91" s="128" t="s">
        <v>47</v>
      </c>
      <c r="AJ91" s="129" t="s">
        <v>89</v>
      </c>
      <c r="AK91" s="129">
        <v>1</v>
      </c>
      <c r="AL91" s="3" t="s">
        <v>992</v>
      </c>
      <c r="AN91" s="117">
        <v>12</v>
      </c>
      <c r="AP91" s="129" t="s">
        <v>43</v>
      </c>
      <c r="AR91" s="128" t="s">
        <v>44</v>
      </c>
      <c r="AS91" s="129" t="s">
        <v>45</v>
      </c>
      <c r="BC91" s="129" t="s">
        <v>38</v>
      </c>
      <c r="BF91" s="111">
        <f t="shared" si="82"/>
        <v>2</v>
      </c>
      <c r="BG91" s="111">
        <f t="shared" si="83"/>
        <v>2</v>
      </c>
      <c r="BH91" s="111">
        <f t="shared" si="50"/>
        <v>3</v>
      </c>
      <c r="BI91" s="111">
        <f t="shared" si="51"/>
        <v>47.538251366120221</v>
      </c>
      <c r="BJ91" s="129">
        <f t="shared" si="72"/>
        <v>0</v>
      </c>
      <c r="BK91" s="129">
        <f t="shared" si="52"/>
        <v>0</v>
      </c>
      <c r="BL91" s="129" t="str">
        <f t="shared" si="53"/>
        <v>CONVICTION</v>
      </c>
      <c r="BM91" s="129" t="str">
        <f t="shared" si="73"/>
        <v>NONE</v>
      </c>
      <c r="BN91" s="129" t="s">
        <v>566</v>
      </c>
      <c r="BP91" s="137" t="str">
        <f t="shared" si="57"/>
        <v>CONVICTION</v>
      </c>
      <c r="BQ91" s="128" t="str">
        <f t="shared" si="58"/>
        <v>Y</v>
      </c>
      <c r="BR91" s="129" t="str">
        <f t="shared" si="59"/>
        <v>DETAINED</v>
      </c>
      <c r="BS91" s="129" t="str">
        <f t="shared" si="74"/>
        <v>DISPOSED</v>
      </c>
      <c r="BT91" s="129" t="str">
        <f t="shared" si="60"/>
        <v>Y</v>
      </c>
      <c r="BU91" s="109">
        <f t="shared" si="75"/>
        <v>0.66666666666666663</v>
      </c>
      <c r="BV91" s="109">
        <f t="shared" si="61"/>
        <v>1</v>
      </c>
      <c r="BW91" s="109">
        <f t="shared" si="62"/>
        <v>0.33333333333333337</v>
      </c>
      <c r="BX91" s="111">
        <f t="shared" si="63"/>
        <v>0</v>
      </c>
      <c r="BY91" s="129">
        <f t="shared" si="64"/>
        <v>-2</v>
      </c>
      <c r="BZ91" s="111">
        <f t="shared" si="65"/>
        <v>0</v>
      </c>
      <c r="CA91" s="138">
        <f t="shared" si="66"/>
        <v>2</v>
      </c>
      <c r="CB91" s="111" t="e">
        <f t="shared" si="84"/>
        <v>#VALUE!</v>
      </c>
      <c r="CC91" s="129">
        <f t="shared" si="85"/>
        <v>2</v>
      </c>
      <c r="CD91" s="129">
        <f t="shared" si="86"/>
        <v>0</v>
      </c>
      <c r="CE91" s="129">
        <f t="shared" si="67"/>
        <v>0</v>
      </c>
      <c r="CF91" s="129">
        <f t="shared" si="81"/>
        <v>1</v>
      </c>
      <c r="CG91" s="129" t="str">
        <f t="shared" si="68"/>
        <v>Y</v>
      </c>
      <c r="CI91" s="129" t="str">
        <f t="shared" si="69"/>
        <v>0-10 DAYS</v>
      </c>
      <c r="CJ91" s="137">
        <f t="shared" si="70"/>
        <v>1</v>
      </c>
      <c r="CK91" s="129" t="str">
        <f t="shared" si="71"/>
        <v>Booked</v>
      </c>
    </row>
    <row r="92" spans="1:89" ht="15" customHeight="1" x14ac:dyDescent="0.25">
      <c r="A92" s="111">
        <v>3147</v>
      </c>
      <c r="B92" s="128" t="str">
        <f t="shared" si="54"/>
        <v>N</v>
      </c>
      <c r="C92" s="128" t="str">
        <f t="shared" si="55"/>
        <v>N</v>
      </c>
      <c r="D92" s="117">
        <v>410802</v>
      </c>
      <c r="E92" s="135">
        <f t="shared" si="56"/>
        <v>1</v>
      </c>
      <c r="F92" s="124">
        <v>41025</v>
      </c>
      <c r="G92" s="125">
        <v>41400</v>
      </c>
      <c r="H92" s="117">
        <v>410802</v>
      </c>
      <c r="I92" s="124">
        <v>41025</v>
      </c>
      <c r="J92" s="124">
        <v>41033</v>
      </c>
      <c r="K92" s="126">
        <v>5000</v>
      </c>
      <c r="L92" s="127" t="s">
        <v>569</v>
      </c>
      <c r="M92" s="125">
        <v>41033</v>
      </c>
      <c r="N92" s="129" t="str">
        <f>IF(M92&gt;1/1/1,"Y","N")</f>
        <v>Y</v>
      </c>
      <c r="O92" s="128" t="s">
        <v>76</v>
      </c>
      <c r="P92" s="129" t="s">
        <v>55</v>
      </c>
      <c r="Q92" s="111">
        <f t="shared" si="80"/>
        <v>9</v>
      </c>
      <c r="R92" s="111">
        <f t="shared" si="48"/>
        <v>376</v>
      </c>
      <c r="S92" s="129">
        <v>1</v>
      </c>
      <c r="T92" s="129">
        <v>12</v>
      </c>
      <c r="V92" s="117">
        <v>1</v>
      </c>
      <c r="W92" s="111"/>
      <c r="AC92" s="130"/>
      <c r="AD92" s="130">
        <v>22805</v>
      </c>
      <c r="AE92" s="128" t="s">
        <v>32</v>
      </c>
      <c r="AF92" s="128" t="s">
        <v>69</v>
      </c>
      <c r="AG92" s="128" t="s">
        <v>874</v>
      </c>
      <c r="AH92" s="108" t="s">
        <v>58</v>
      </c>
      <c r="AI92" s="128" t="s">
        <v>100</v>
      </c>
      <c r="AJ92" s="129" t="s">
        <v>55</v>
      </c>
      <c r="AK92" s="129">
        <v>12</v>
      </c>
      <c r="AL92" s="3" t="s">
        <v>55</v>
      </c>
      <c r="AP92" s="129" t="s">
        <v>43</v>
      </c>
      <c r="AR92" s="128" t="s">
        <v>44</v>
      </c>
      <c r="AS92" s="129" t="s">
        <v>45</v>
      </c>
      <c r="BC92" s="129" t="s">
        <v>99</v>
      </c>
      <c r="BF92" s="111">
        <f t="shared" si="82"/>
        <v>9</v>
      </c>
      <c r="BG92" s="111">
        <f t="shared" si="83"/>
        <v>376</v>
      </c>
      <c r="BH92" s="111">
        <f t="shared" si="50"/>
        <v>376</v>
      </c>
      <c r="BI92" s="111">
        <f t="shared" si="51"/>
        <v>49.78142076502732</v>
      </c>
      <c r="BJ92" s="129">
        <f>(G92-J92)+(M92-G92)</f>
        <v>0</v>
      </c>
      <c r="BK92" s="129">
        <f t="shared" si="52"/>
        <v>-367</v>
      </c>
      <c r="BL92" s="129" t="str">
        <f t="shared" si="53"/>
        <v>NO CONVICTION</v>
      </c>
      <c r="BM92" s="129" t="s">
        <v>76</v>
      </c>
      <c r="BN92" s="129" t="s">
        <v>88</v>
      </c>
      <c r="BP92" s="137" t="str">
        <f t="shared" si="57"/>
        <v>NO CONVICTION</v>
      </c>
      <c r="BQ92" s="128" t="str">
        <f t="shared" si="58"/>
        <v>Y</v>
      </c>
      <c r="BR92" s="129" t="str">
        <f t="shared" si="59"/>
        <v>ON BOND</v>
      </c>
      <c r="BS92" s="129" t="str">
        <f t="shared" si="74"/>
        <v>DISPOSED</v>
      </c>
      <c r="BT92" s="129" t="str">
        <f t="shared" si="60"/>
        <v>Y</v>
      </c>
      <c r="BU92" s="109">
        <f>IFERROR(Q92/R92,BR92)</f>
        <v>2.3936170212765957E-2</v>
      </c>
      <c r="BV92" s="109">
        <f t="shared" si="61"/>
        <v>2.3936170212765957E-2</v>
      </c>
      <c r="BW92" s="109">
        <f t="shared" si="62"/>
        <v>0</v>
      </c>
      <c r="BX92" s="111">
        <f t="shared" si="63"/>
        <v>0</v>
      </c>
      <c r="BY92" s="129">
        <f t="shared" si="64"/>
        <v>-9</v>
      </c>
      <c r="BZ92" s="111">
        <f t="shared" si="65"/>
        <v>0</v>
      </c>
      <c r="CA92" s="138">
        <f t="shared" si="66"/>
        <v>9</v>
      </c>
      <c r="CB92" s="111" t="e">
        <f t="shared" si="84"/>
        <v>#VALUE!</v>
      </c>
      <c r="CC92" s="129">
        <f>M92-I92+1</f>
        <v>9</v>
      </c>
      <c r="CD92" s="111">
        <f>CC92-BF92</f>
        <v>0</v>
      </c>
      <c r="CE92" s="129">
        <f t="shared" si="67"/>
        <v>367</v>
      </c>
      <c r="CF92" s="129">
        <f t="shared" si="81"/>
        <v>8</v>
      </c>
      <c r="CG92" s="129" t="str">
        <f t="shared" si="68"/>
        <v>Y</v>
      </c>
      <c r="CI92" s="129" t="str">
        <f t="shared" si="69"/>
        <v>0-10 DAYS</v>
      </c>
      <c r="CJ92" s="137">
        <f t="shared" si="70"/>
        <v>1</v>
      </c>
      <c r="CK92" s="129" t="str">
        <f t="shared" si="71"/>
        <v>Booked</v>
      </c>
    </row>
    <row r="93" spans="1:89" ht="15.75" customHeight="1" x14ac:dyDescent="0.25">
      <c r="A93" s="111">
        <v>2895</v>
      </c>
      <c r="B93" s="128" t="str">
        <f t="shared" si="54"/>
        <v>N</v>
      </c>
      <c r="C93" s="128" t="str">
        <f t="shared" si="55"/>
        <v>N</v>
      </c>
      <c r="D93" s="117">
        <v>411241</v>
      </c>
      <c r="E93" s="135">
        <f t="shared" si="56"/>
        <v>5</v>
      </c>
      <c r="F93" s="124">
        <v>41016</v>
      </c>
      <c r="G93" s="125">
        <v>41039</v>
      </c>
      <c r="H93" s="117">
        <v>411241</v>
      </c>
      <c r="I93" s="124">
        <v>41017</v>
      </c>
      <c r="J93" s="124">
        <v>41039</v>
      </c>
      <c r="K93" s="126">
        <v>15000</v>
      </c>
      <c r="L93" s="127" t="s">
        <v>571</v>
      </c>
      <c r="N93" s="129" t="str">
        <f>IF(M93&gt;1/1/1,"Y","N")</f>
        <v>N</v>
      </c>
      <c r="O93" s="128" t="s">
        <v>917</v>
      </c>
      <c r="P93" s="129" t="s">
        <v>39</v>
      </c>
      <c r="Q93" s="111">
        <f t="shared" si="80"/>
        <v>23</v>
      </c>
      <c r="R93" s="111">
        <f t="shared" si="48"/>
        <v>24</v>
      </c>
      <c r="S93" s="129">
        <v>8</v>
      </c>
      <c r="T93" s="129">
        <v>1</v>
      </c>
      <c r="U93" s="129">
        <v>5</v>
      </c>
      <c r="V93" s="117">
        <v>1</v>
      </c>
      <c r="W93" s="111"/>
      <c r="AC93" s="130"/>
      <c r="AD93" s="130">
        <v>22701</v>
      </c>
      <c r="AE93" s="128" t="s">
        <v>32</v>
      </c>
      <c r="AF93" s="128" t="s">
        <v>33</v>
      </c>
      <c r="AG93" s="128" t="s">
        <v>872</v>
      </c>
      <c r="AH93" s="108" t="s">
        <v>58</v>
      </c>
      <c r="AI93" s="128" t="s">
        <v>71</v>
      </c>
      <c r="AJ93" s="129" t="s">
        <v>89</v>
      </c>
      <c r="AK93" s="129">
        <v>2</v>
      </c>
      <c r="AL93" s="3" t="s">
        <v>992</v>
      </c>
      <c r="AN93" s="117">
        <v>6</v>
      </c>
      <c r="AP93" s="129" t="s">
        <v>43</v>
      </c>
      <c r="AR93" s="128" t="s">
        <v>44</v>
      </c>
      <c r="AS93" s="129" t="s">
        <v>45</v>
      </c>
      <c r="BC93" s="129" t="s">
        <v>38</v>
      </c>
      <c r="BF93" s="111">
        <f t="shared" si="82"/>
        <v>23</v>
      </c>
      <c r="BG93" s="111">
        <f t="shared" si="83"/>
        <v>23</v>
      </c>
      <c r="BH93" s="111">
        <f t="shared" si="50"/>
        <v>24</v>
      </c>
      <c r="BI93" s="111">
        <f t="shared" si="51"/>
        <v>50.040983606557376</v>
      </c>
      <c r="BJ93" s="129">
        <f t="shared" si="72"/>
        <v>0</v>
      </c>
      <c r="BK93" s="129">
        <f t="shared" si="52"/>
        <v>0</v>
      </c>
      <c r="BL93" s="129" t="str">
        <f t="shared" si="53"/>
        <v>CONVICTION</v>
      </c>
      <c r="BM93" s="129" t="str">
        <f t="shared" si="73"/>
        <v>NONE</v>
      </c>
      <c r="BN93" s="129" t="s">
        <v>566</v>
      </c>
      <c r="BP93" s="137" t="str">
        <f t="shared" si="57"/>
        <v>CONVICTION</v>
      </c>
      <c r="BQ93" s="128" t="str">
        <f t="shared" si="58"/>
        <v>Y</v>
      </c>
      <c r="BR93" s="129" t="str">
        <f t="shared" si="59"/>
        <v>DETAINED</v>
      </c>
      <c r="BS93" s="129" t="str">
        <f t="shared" si="74"/>
        <v>DISPOSED</v>
      </c>
      <c r="BT93" s="129" t="str">
        <f t="shared" si="60"/>
        <v>Y</v>
      </c>
      <c r="BU93" s="109">
        <f t="shared" si="75"/>
        <v>0.95833333333333337</v>
      </c>
      <c r="BV93" s="109">
        <f t="shared" si="61"/>
        <v>1</v>
      </c>
      <c r="BW93" s="109">
        <f t="shared" si="62"/>
        <v>4.166666666666663E-2</v>
      </c>
      <c r="BX93" s="111">
        <f t="shared" si="63"/>
        <v>0</v>
      </c>
      <c r="BY93" s="129">
        <f t="shared" si="64"/>
        <v>-23</v>
      </c>
      <c r="BZ93" s="111">
        <f t="shared" si="65"/>
        <v>0</v>
      </c>
      <c r="CA93" s="138">
        <f t="shared" si="66"/>
        <v>23</v>
      </c>
      <c r="CB93" s="111" t="e">
        <f t="shared" si="84"/>
        <v>#VALUE!</v>
      </c>
      <c r="CC93" s="129">
        <f>G93-I93+1</f>
        <v>23</v>
      </c>
      <c r="CD93" s="129">
        <f>G93-J93</f>
        <v>0</v>
      </c>
      <c r="CE93" s="129">
        <f t="shared" si="67"/>
        <v>0</v>
      </c>
      <c r="CF93" s="129">
        <f t="shared" si="81"/>
        <v>22</v>
      </c>
      <c r="CG93" s="129" t="str">
        <f t="shared" si="68"/>
        <v>Y</v>
      </c>
      <c r="CI93" s="129" t="str">
        <f t="shared" si="69"/>
        <v>11-30 DAYS</v>
      </c>
      <c r="CJ93" s="137">
        <f t="shared" si="70"/>
        <v>2</v>
      </c>
      <c r="CK93" s="129" t="str">
        <f t="shared" si="71"/>
        <v>Booked</v>
      </c>
    </row>
    <row r="94" spans="1:89" ht="15.75" customHeight="1" x14ac:dyDescent="0.25">
      <c r="A94" s="111">
        <v>1463</v>
      </c>
      <c r="B94" s="128" t="str">
        <f t="shared" si="54"/>
        <v>N</v>
      </c>
      <c r="C94" s="128" t="str">
        <f t="shared" si="55"/>
        <v>N</v>
      </c>
      <c r="D94" s="117">
        <v>412497</v>
      </c>
      <c r="E94" s="135">
        <f t="shared" si="56"/>
        <v>4</v>
      </c>
      <c r="F94" s="124">
        <v>40962</v>
      </c>
      <c r="G94" s="125">
        <v>40966</v>
      </c>
      <c r="H94" s="117">
        <v>412497</v>
      </c>
      <c r="I94" s="124">
        <v>40962</v>
      </c>
      <c r="J94" s="124">
        <v>40966</v>
      </c>
      <c r="K94" s="126">
        <v>15000</v>
      </c>
      <c r="L94" s="127" t="s">
        <v>571</v>
      </c>
      <c r="N94" s="129" t="str">
        <f>IF(M94&gt;1/1/1,"Y","N")</f>
        <v>N</v>
      </c>
      <c r="O94" s="128" t="s">
        <v>917</v>
      </c>
      <c r="P94" s="129" t="s">
        <v>39</v>
      </c>
      <c r="Q94" s="111">
        <f t="shared" si="80"/>
        <v>5</v>
      </c>
      <c r="R94" s="111">
        <f t="shared" si="48"/>
        <v>5</v>
      </c>
      <c r="S94" s="129">
        <v>3</v>
      </c>
      <c r="T94" s="129">
        <v>7</v>
      </c>
      <c r="U94" s="129">
        <v>2</v>
      </c>
      <c r="W94" s="111"/>
      <c r="AC94" s="130"/>
      <c r="AD94" s="130">
        <v>20421</v>
      </c>
      <c r="AE94" s="128" t="s">
        <v>32</v>
      </c>
      <c r="AF94" s="128" t="s">
        <v>69</v>
      </c>
      <c r="AG94" s="128" t="s">
        <v>874</v>
      </c>
      <c r="AH94" s="108" t="s">
        <v>31</v>
      </c>
      <c r="AI94" s="128" t="s">
        <v>62</v>
      </c>
      <c r="AJ94" s="129" t="s">
        <v>89</v>
      </c>
      <c r="AK94" s="129">
        <v>1</v>
      </c>
      <c r="AL94" s="3" t="s">
        <v>991</v>
      </c>
      <c r="AO94" s="128">
        <v>90</v>
      </c>
      <c r="AP94" s="129" t="s">
        <v>60</v>
      </c>
      <c r="AR94" s="128" t="s">
        <v>44</v>
      </c>
      <c r="AS94" s="129" t="s">
        <v>61</v>
      </c>
      <c r="BC94" s="129" t="s">
        <v>38</v>
      </c>
      <c r="BF94" s="111">
        <f t="shared" si="82"/>
        <v>5</v>
      </c>
      <c r="BG94" s="111">
        <f t="shared" si="83"/>
        <v>5</v>
      </c>
      <c r="BH94" s="111">
        <f t="shared" si="50"/>
        <v>5</v>
      </c>
      <c r="BI94" s="111">
        <f t="shared" si="51"/>
        <v>56.122950819672134</v>
      </c>
      <c r="BJ94" s="129">
        <f t="shared" si="72"/>
        <v>0</v>
      </c>
      <c r="BK94" s="129">
        <f t="shared" si="52"/>
        <v>0</v>
      </c>
      <c r="BL94" s="129" t="str">
        <f t="shared" si="53"/>
        <v>CONVICTION</v>
      </c>
      <c r="BM94" s="129" t="str">
        <f t="shared" si="73"/>
        <v>NONE</v>
      </c>
      <c r="BN94" s="129" t="s">
        <v>566</v>
      </c>
      <c r="BP94" s="137" t="str">
        <f t="shared" si="57"/>
        <v>CONVICTION</v>
      </c>
      <c r="BQ94" s="128" t="str">
        <f t="shared" si="58"/>
        <v>Y</v>
      </c>
      <c r="BR94" s="129" t="str">
        <f t="shared" si="59"/>
        <v>DETAINED</v>
      </c>
      <c r="BS94" s="129" t="str">
        <f t="shared" si="74"/>
        <v>DISPOSED</v>
      </c>
      <c r="BT94" s="129" t="str">
        <f t="shared" si="60"/>
        <v>Y</v>
      </c>
      <c r="BU94" s="109">
        <f t="shared" si="75"/>
        <v>1</v>
      </c>
      <c r="BV94" s="109">
        <f t="shared" si="61"/>
        <v>1</v>
      </c>
      <c r="BW94" s="109">
        <f t="shared" si="62"/>
        <v>0</v>
      </c>
      <c r="BX94" s="111">
        <f t="shared" si="63"/>
        <v>0</v>
      </c>
      <c r="BY94" s="129">
        <f t="shared" si="64"/>
        <v>-5</v>
      </c>
      <c r="BZ94" s="111">
        <f t="shared" si="65"/>
        <v>0</v>
      </c>
      <c r="CA94" s="138">
        <f t="shared" si="66"/>
        <v>5</v>
      </c>
      <c r="CB94" s="111" t="e">
        <f t="shared" si="84"/>
        <v>#VALUE!</v>
      </c>
      <c r="CC94" s="129">
        <f>G94-I94+1</f>
        <v>5</v>
      </c>
      <c r="CD94" s="129">
        <f>G94-J94</f>
        <v>0</v>
      </c>
      <c r="CE94" s="129">
        <f t="shared" si="67"/>
        <v>0</v>
      </c>
      <c r="CF94" s="129">
        <f t="shared" si="81"/>
        <v>4</v>
      </c>
      <c r="CG94" s="129" t="str">
        <f t="shared" si="68"/>
        <v>Y</v>
      </c>
      <c r="CI94" s="129" t="str">
        <f t="shared" si="69"/>
        <v>0-10 DAYS</v>
      </c>
      <c r="CJ94" s="137">
        <f t="shared" si="70"/>
        <v>1</v>
      </c>
      <c r="CK94" s="129" t="str">
        <f t="shared" si="71"/>
        <v>Booked</v>
      </c>
    </row>
    <row r="95" spans="1:89" ht="15.75" customHeight="1" x14ac:dyDescent="0.25">
      <c r="A95" s="111">
        <v>1392</v>
      </c>
      <c r="B95" s="128" t="str">
        <f t="shared" si="54"/>
        <v>N</v>
      </c>
      <c r="C95" s="128" t="str">
        <f t="shared" si="55"/>
        <v>N</v>
      </c>
      <c r="D95" s="117">
        <v>412963</v>
      </c>
      <c r="E95" s="135">
        <f t="shared" si="56"/>
        <v>6</v>
      </c>
      <c r="F95" s="124">
        <v>40960</v>
      </c>
      <c r="G95" s="125">
        <v>40963</v>
      </c>
      <c r="H95" s="117">
        <v>412963</v>
      </c>
      <c r="I95" s="124">
        <v>40961</v>
      </c>
      <c r="J95" s="125">
        <v>40963</v>
      </c>
      <c r="K95" s="126">
        <v>15000</v>
      </c>
      <c r="L95" s="127" t="s">
        <v>571</v>
      </c>
      <c r="N95" s="129" t="str">
        <f>IF(M95&gt;1/1/1,"Y","N")</f>
        <v>N</v>
      </c>
      <c r="O95" s="128" t="s">
        <v>917</v>
      </c>
      <c r="P95" s="129" t="s">
        <v>39</v>
      </c>
      <c r="Q95" s="111">
        <f t="shared" si="80"/>
        <v>3</v>
      </c>
      <c r="R95" s="111">
        <f t="shared" si="48"/>
        <v>4</v>
      </c>
      <c r="S95" s="129">
        <v>4</v>
      </c>
      <c r="T95" s="129">
        <v>1</v>
      </c>
      <c r="U95" s="129">
        <v>1</v>
      </c>
      <c r="W95" s="111"/>
      <c r="AC95" s="130"/>
      <c r="AD95" s="130">
        <v>23084</v>
      </c>
      <c r="AE95" s="128" t="s">
        <v>32</v>
      </c>
      <c r="AF95" s="128" t="s">
        <v>40</v>
      </c>
      <c r="AG95" s="128" t="s">
        <v>41</v>
      </c>
      <c r="AH95" s="108" t="s">
        <v>41</v>
      </c>
      <c r="AI95" s="128" t="s">
        <v>90</v>
      </c>
      <c r="AJ95" s="129" t="s">
        <v>89</v>
      </c>
      <c r="AK95" s="129">
        <v>2</v>
      </c>
      <c r="AL95" s="3" t="s">
        <v>362</v>
      </c>
      <c r="AM95" s="117">
        <v>10</v>
      </c>
      <c r="AP95" s="129" t="s">
        <v>108</v>
      </c>
      <c r="AR95" s="128" t="s">
        <v>44</v>
      </c>
      <c r="AS95" s="129" t="s">
        <v>61</v>
      </c>
      <c r="BC95" s="129" t="s">
        <v>38</v>
      </c>
      <c r="BF95" s="111">
        <f t="shared" si="82"/>
        <v>3</v>
      </c>
      <c r="BG95" s="111">
        <f t="shared" si="83"/>
        <v>3</v>
      </c>
      <c r="BH95" s="111">
        <f t="shared" si="50"/>
        <v>4</v>
      </c>
      <c r="BI95" s="111">
        <f t="shared" si="51"/>
        <v>48.841530054644807</v>
      </c>
      <c r="BJ95" s="129">
        <f t="shared" si="72"/>
        <v>0</v>
      </c>
      <c r="BK95" s="129">
        <f t="shared" si="52"/>
        <v>0</v>
      </c>
      <c r="BL95" s="129" t="str">
        <f t="shared" si="53"/>
        <v>CONVICTION</v>
      </c>
      <c r="BM95" s="129" t="str">
        <f t="shared" si="73"/>
        <v>NONE</v>
      </c>
      <c r="BN95" s="129" t="s">
        <v>566</v>
      </c>
      <c r="BP95" s="137" t="str">
        <f t="shared" si="57"/>
        <v>CONVICTION</v>
      </c>
      <c r="BQ95" s="128" t="str">
        <f t="shared" si="58"/>
        <v>Y</v>
      </c>
      <c r="BR95" s="129" t="str">
        <f t="shared" si="59"/>
        <v>DETAINED</v>
      </c>
      <c r="BS95" s="129" t="str">
        <f t="shared" si="74"/>
        <v>DISPOSED</v>
      </c>
      <c r="BT95" s="129" t="str">
        <f t="shared" si="60"/>
        <v>Y</v>
      </c>
      <c r="BU95" s="109">
        <f t="shared" si="75"/>
        <v>0.75</v>
      </c>
      <c r="BV95" s="109">
        <f t="shared" si="61"/>
        <v>1</v>
      </c>
      <c r="BW95" s="109">
        <f t="shared" si="62"/>
        <v>0.25</v>
      </c>
      <c r="BX95" s="111">
        <f t="shared" si="63"/>
        <v>0</v>
      </c>
      <c r="BY95" s="129">
        <f t="shared" si="64"/>
        <v>-3</v>
      </c>
      <c r="BZ95" s="111">
        <f t="shared" si="65"/>
        <v>0</v>
      </c>
      <c r="CA95" s="138">
        <f t="shared" si="66"/>
        <v>3</v>
      </c>
      <c r="CB95" s="111" t="e">
        <f t="shared" si="84"/>
        <v>#VALUE!</v>
      </c>
      <c r="CC95" s="129">
        <f>G95-I95+1</f>
        <v>3</v>
      </c>
      <c r="CD95" s="129">
        <f>G95-J95</f>
        <v>0</v>
      </c>
      <c r="CE95" s="129">
        <f t="shared" si="67"/>
        <v>0</v>
      </c>
      <c r="CF95" s="129">
        <f t="shared" si="81"/>
        <v>2</v>
      </c>
      <c r="CG95" s="129" t="str">
        <f t="shared" si="68"/>
        <v>Y</v>
      </c>
      <c r="CI95" s="129" t="str">
        <f t="shared" si="69"/>
        <v>0-10 DAYS</v>
      </c>
      <c r="CJ95" s="137">
        <f t="shared" si="70"/>
        <v>1</v>
      </c>
      <c r="CK95" s="129" t="str">
        <f t="shared" si="71"/>
        <v>Booked</v>
      </c>
    </row>
    <row r="96" spans="1:89" ht="15" customHeight="1" x14ac:dyDescent="0.25">
      <c r="A96" s="111">
        <v>1479</v>
      </c>
      <c r="B96" s="128" t="str">
        <f t="shared" si="54"/>
        <v>N</v>
      </c>
      <c r="C96" s="128" t="str">
        <f t="shared" si="55"/>
        <v>N</v>
      </c>
      <c r="D96" s="117">
        <v>413984</v>
      </c>
      <c r="E96" s="135">
        <f t="shared" si="56"/>
        <v>5</v>
      </c>
      <c r="F96" s="124">
        <v>40963</v>
      </c>
      <c r="G96" s="125">
        <v>40966</v>
      </c>
      <c r="H96" s="117">
        <v>413984</v>
      </c>
      <c r="I96" s="124">
        <v>40963</v>
      </c>
      <c r="J96" s="124">
        <v>40966</v>
      </c>
      <c r="K96" s="126">
        <v>15000</v>
      </c>
      <c r="L96" s="127" t="s">
        <v>571</v>
      </c>
      <c r="N96" s="129" t="str">
        <f>IF(M96&gt;1/1/1,"Y","N")</f>
        <v>N</v>
      </c>
      <c r="O96" s="128" t="s">
        <v>917</v>
      </c>
      <c r="P96" s="129" t="s">
        <v>39</v>
      </c>
      <c r="Q96" s="111">
        <f t="shared" si="80"/>
        <v>4</v>
      </c>
      <c r="R96" s="111">
        <f t="shared" si="48"/>
        <v>4</v>
      </c>
      <c r="S96" s="129">
        <v>5</v>
      </c>
      <c r="T96" s="129">
        <v>6</v>
      </c>
      <c r="U96" s="129">
        <v>2</v>
      </c>
      <c r="W96" s="111"/>
      <c r="AC96" s="130"/>
      <c r="AD96" s="130">
        <v>23052</v>
      </c>
      <c r="AE96" s="128" t="s">
        <v>32</v>
      </c>
      <c r="AF96" s="128" t="s">
        <v>33</v>
      </c>
      <c r="AG96" s="128" t="s">
        <v>872</v>
      </c>
      <c r="AH96" s="108" t="s">
        <v>31</v>
      </c>
      <c r="AI96" s="128" t="s">
        <v>83</v>
      </c>
      <c r="AJ96" s="129" t="s">
        <v>89</v>
      </c>
      <c r="AK96" s="129">
        <v>1</v>
      </c>
      <c r="AL96" s="3" t="s">
        <v>992</v>
      </c>
      <c r="AN96" s="117">
        <v>6</v>
      </c>
      <c r="AP96" s="129" t="s">
        <v>43</v>
      </c>
      <c r="AR96" s="128" t="s">
        <v>44</v>
      </c>
      <c r="AS96" s="129" t="s">
        <v>45</v>
      </c>
      <c r="BC96" s="129" t="s">
        <v>79</v>
      </c>
      <c r="BF96" s="111">
        <f t="shared" si="82"/>
        <v>4</v>
      </c>
      <c r="BG96" s="111">
        <f t="shared" si="83"/>
        <v>4</v>
      </c>
      <c r="BH96" s="111">
        <f t="shared" si="50"/>
        <v>4</v>
      </c>
      <c r="BI96" s="111">
        <f t="shared" si="51"/>
        <v>48.937158469945352</v>
      </c>
      <c r="BJ96" s="129">
        <f t="shared" si="72"/>
        <v>0</v>
      </c>
      <c r="BK96" s="129">
        <f t="shared" si="52"/>
        <v>0</v>
      </c>
      <c r="BL96" s="129" t="str">
        <f t="shared" si="53"/>
        <v>CONVICTION</v>
      </c>
      <c r="BM96" s="129" t="str">
        <f t="shared" si="73"/>
        <v>NONE</v>
      </c>
      <c r="BN96" s="129" t="s">
        <v>566</v>
      </c>
      <c r="BP96" s="137" t="str">
        <f t="shared" si="57"/>
        <v>CONVICTION</v>
      </c>
      <c r="BQ96" s="128" t="str">
        <f t="shared" si="58"/>
        <v>Y</v>
      </c>
      <c r="BR96" s="129" t="str">
        <f t="shared" si="59"/>
        <v>DETAINED</v>
      </c>
      <c r="BS96" s="129" t="str">
        <f t="shared" si="74"/>
        <v>DISPOSED</v>
      </c>
      <c r="BT96" s="129" t="str">
        <f t="shared" si="60"/>
        <v>Y</v>
      </c>
      <c r="BU96" s="109">
        <f t="shared" si="75"/>
        <v>1</v>
      </c>
      <c r="BV96" s="109">
        <f t="shared" si="61"/>
        <v>1</v>
      </c>
      <c r="BW96" s="109">
        <f t="shared" si="62"/>
        <v>0</v>
      </c>
      <c r="BX96" s="111">
        <f t="shared" si="63"/>
        <v>0</v>
      </c>
      <c r="BY96" s="129">
        <f t="shared" si="64"/>
        <v>-4</v>
      </c>
      <c r="BZ96" s="111">
        <f t="shared" si="65"/>
        <v>0</v>
      </c>
      <c r="CA96" s="138">
        <f t="shared" si="66"/>
        <v>4</v>
      </c>
      <c r="CB96" s="111" t="e">
        <f t="shared" si="84"/>
        <v>#VALUE!</v>
      </c>
      <c r="CC96" s="129">
        <f>G96-I96+1</f>
        <v>4</v>
      </c>
      <c r="CD96" s="129">
        <f>G96-J96</f>
        <v>0</v>
      </c>
      <c r="CE96" s="129">
        <f t="shared" si="67"/>
        <v>0</v>
      </c>
      <c r="CF96" s="129">
        <f t="shared" si="81"/>
        <v>3</v>
      </c>
      <c r="CG96" s="129" t="str">
        <f t="shared" si="68"/>
        <v>Y</v>
      </c>
      <c r="CI96" s="129" t="str">
        <f t="shared" si="69"/>
        <v>0-10 DAYS</v>
      </c>
      <c r="CJ96" s="137">
        <f t="shared" si="70"/>
        <v>1</v>
      </c>
      <c r="CK96" s="129" t="str">
        <f t="shared" si="71"/>
        <v>Booked</v>
      </c>
    </row>
    <row r="97" spans="1:89" ht="15.75" customHeight="1" x14ac:dyDescent="0.25">
      <c r="A97" s="111">
        <v>3155</v>
      </c>
      <c r="B97" s="128" t="str">
        <f t="shared" si="54"/>
        <v>N</v>
      </c>
      <c r="C97" s="128" t="str">
        <f t="shared" si="55"/>
        <v>N</v>
      </c>
      <c r="D97" s="117">
        <v>415067</v>
      </c>
      <c r="E97" s="135">
        <f t="shared" si="56"/>
        <v>6</v>
      </c>
      <c r="F97" s="124">
        <v>41025</v>
      </c>
      <c r="G97" s="125">
        <v>41401</v>
      </c>
      <c r="H97" s="117">
        <v>415067</v>
      </c>
      <c r="I97" s="124">
        <v>41026</v>
      </c>
      <c r="J97" s="125">
        <v>41401</v>
      </c>
      <c r="K97" s="126" t="s">
        <v>564</v>
      </c>
      <c r="L97" s="127" t="s">
        <v>564</v>
      </c>
      <c r="N97" s="129" t="s">
        <v>566</v>
      </c>
      <c r="O97" s="128" t="s">
        <v>917</v>
      </c>
      <c r="P97" s="129" t="s">
        <v>968</v>
      </c>
      <c r="Q97" s="111">
        <f t="shared" si="80"/>
        <v>376</v>
      </c>
      <c r="R97" s="111">
        <f t="shared" si="48"/>
        <v>377</v>
      </c>
      <c r="S97" s="129">
        <v>6</v>
      </c>
      <c r="T97" s="129">
        <v>3</v>
      </c>
      <c r="U97" s="129">
        <v>4</v>
      </c>
      <c r="W97" s="111"/>
      <c r="AC97" s="130"/>
      <c r="AD97" s="130">
        <v>23139</v>
      </c>
      <c r="AE97" s="128" t="s">
        <v>32</v>
      </c>
      <c r="AF97" s="128" t="s">
        <v>33</v>
      </c>
      <c r="AG97" s="128" t="s">
        <v>872</v>
      </c>
      <c r="AH97" s="108" t="s">
        <v>31</v>
      </c>
      <c r="AI97" s="128" t="s">
        <v>141</v>
      </c>
      <c r="AJ97" s="129" t="s">
        <v>89</v>
      </c>
      <c r="AK97" s="129">
        <v>17</v>
      </c>
      <c r="AL97" s="3" t="s">
        <v>362</v>
      </c>
      <c r="AM97" s="117">
        <v>40</v>
      </c>
      <c r="AP97" s="129" t="s">
        <v>110</v>
      </c>
      <c r="AR97" s="128" t="s">
        <v>50</v>
      </c>
      <c r="AS97" s="129" t="s">
        <v>74</v>
      </c>
      <c r="AT97" s="129" t="s">
        <v>1047</v>
      </c>
      <c r="BC97" s="129" t="s">
        <v>99</v>
      </c>
      <c r="BF97" s="111">
        <f t="shared" si="82"/>
        <v>376</v>
      </c>
      <c r="BG97" s="111">
        <f t="shared" si="83"/>
        <v>376</v>
      </c>
      <c r="BH97" s="111">
        <f t="shared" si="50"/>
        <v>377</v>
      </c>
      <c r="BI97" s="111">
        <f t="shared" si="51"/>
        <v>48.868852459016395</v>
      </c>
      <c r="BJ97" s="129">
        <f t="shared" si="72"/>
        <v>0</v>
      </c>
      <c r="BK97" s="129">
        <f t="shared" si="52"/>
        <v>0</v>
      </c>
      <c r="BL97" s="129" t="str">
        <f t="shared" si="53"/>
        <v>CONVICTION</v>
      </c>
      <c r="BM97" s="129" t="str">
        <f t="shared" si="73"/>
        <v>NONE</v>
      </c>
      <c r="BP97" s="137" t="str">
        <f t="shared" si="57"/>
        <v>CONVICTION</v>
      </c>
      <c r="BQ97" s="128" t="str">
        <f t="shared" si="58"/>
        <v>Y</v>
      </c>
      <c r="BR97" s="129" t="str">
        <f t="shared" si="59"/>
        <v>DETAINED</v>
      </c>
      <c r="BS97" s="129" t="str">
        <f t="shared" si="74"/>
        <v>DISPOSED</v>
      </c>
      <c r="BT97" s="129" t="str">
        <f t="shared" si="60"/>
        <v>Y</v>
      </c>
      <c r="BU97" s="109">
        <f t="shared" si="75"/>
        <v>0.99734748010610075</v>
      </c>
      <c r="BV97" s="109">
        <f t="shared" si="61"/>
        <v>1</v>
      </c>
      <c r="BW97" s="109">
        <f t="shared" si="62"/>
        <v>2.6525198938992522E-3</v>
      </c>
      <c r="BX97" s="111">
        <f t="shared" si="63"/>
        <v>0</v>
      </c>
      <c r="BY97" s="129">
        <f t="shared" si="64"/>
        <v>-376</v>
      </c>
      <c r="BZ97" s="111">
        <f t="shared" si="65"/>
        <v>0</v>
      </c>
      <c r="CA97" s="138">
        <f t="shared" si="66"/>
        <v>376</v>
      </c>
      <c r="CB97" s="111" t="e">
        <f t="shared" si="84"/>
        <v>#VALUE!</v>
      </c>
      <c r="CC97" s="129">
        <f>G97-I97+1</f>
        <v>376</v>
      </c>
      <c r="CD97" s="129">
        <f>G97-J97</f>
        <v>0</v>
      </c>
      <c r="CE97" s="129">
        <f t="shared" si="67"/>
        <v>0</v>
      </c>
      <c r="CF97" s="129">
        <f t="shared" si="81"/>
        <v>375</v>
      </c>
      <c r="CG97" s="129" t="str">
        <f t="shared" si="68"/>
        <v>Y</v>
      </c>
      <c r="CI97" s="129" t="str">
        <f t="shared" si="69"/>
        <v xml:space="preserve"> &gt;1YRS&lt;2YRS</v>
      </c>
      <c r="CJ97" s="137">
        <f t="shared" si="70"/>
        <v>0</v>
      </c>
      <c r="CK97" s="129" t="str">
        <f t="shared" si="71"/>
        <v>Booked</v>
      </c>
    </row>
    <row r="98" spans="1:89" ht="15.75" customHeight="1" x14ac:dyDescent="0.25">
      <c r="A98" s="111">
        <v>274</v>
      </c>
      <c r="B98" s="128" t="str">
        <f t="shared" si="54"/>
        <v>N</v>
      </c>
      <c r="C98" s="128" t="str">
        <f t="shared" si="55"/>
        <v>N</v>
      </c>
      <c r="D98" s="117">
        <v>415872</v>
      </c>
      <c r="E98" s="135">
        <f t="shared" si="56"/>
        <v>3</v>
      </c>
      <c r="F98" s="124">
        <v>40920</v>
      </c>
      <c r="G98" s="125">
        <v>41029</v>
      </c>
      <c r="H98" s="117">
        <v>415872</v>
      </c>
      <c r="I98" s="124" t="s">
        <v>562</v>
      </c>
      <c r="J98" s="124" t="s">
        <v>562</v>
      </c>
      <c r="K98" s="126">
        <v>10000</v>
      </c>
      <c r="L98" s="127" t="s">
        <v>570</v>
      </c>
      <c r="M98" s="125">
        <v>40920</v>
      </c>
      <c r="N98" s="129" t="str">
        <f>IF(M98&gt;1/1/1,"Y",IF(Q98="0","","N"))</f>
        <v>Y</v>
      </c>
      <c r="O98" s="128" t="s">
        <v>585</v>
      </c>
      <c r="P98" s="129" t="s">
        <v>39</v>
      </c>
      <c r="Q98" s="111">
        <f t="shared" si="80"/>
        <v>0</v>
      </c>
      <c r="R98" s="111">
        <f t="shared" si="48"/>
        <v>110</v>
      </c>
      <c r="S98" s="129">
        <v>0</v>
      </c>
      <c r="T98" s="129">
        <v>2</v>
      </c>
      <c r="W98" s="111"/>
      <c r="AC98" s="130"/>
      <c r="AD98" s="130">
        <v>15916</v>
      </c>
      <c r="AE98" s="128" t="s">
        <v>32</v>
      </c>
      <c r="AF98" s="128" t="s">
        <v>40</v>
      </c>
      <c r="AG98" s="128" t="s">
        <v>41</v>
      </c>
      <c r="AH98" s="108" t="s">
        <v>41</v>
      </c>
      <c r="AI98" s="128" t="s">
        <v>72</v>
      </c>
      <c r="AJ98" s="129" t="s">
        <v>89</v>
      </c>
      <c r="AK98" s="129">
        <v>5</v>
      </c>
      <c r="AL98" s="3" t="s">
        <v>185</v>
      </c>
      <c r="AP98" s="129" t="s">
        <v>66</v>
      </c>
      <c r="AR98" s="128" t="s">
        <v>67</v>
      </c>
      <c r="AS98" s="129" t="s">
        <v>68</v>
      </c>
      <c r="BC98" s="129" t="s">
        <v>52</v>
      </c>
      <c r="BF98" s="111">
        <v>0</v>
      </c>
      <c r="BG98" s="111">
        <v>0</v>
      </c>
      <c r="BH98" s="111">
        <f t="shared" si="50"/>
        <v>110</v>
      </c>
      <c r="BI98" s="111">
        <f t="shared" si="51"/>
        <v>68.316939890710387</v>
      </c>
      <c r="BJ98" s="129" t="e">
        <f>(G98-J98)+(M98-G98)</f>
        <v>#VALUE!</v>
      </c>
      <c r="BK98" s="129" t="e">
        <f t="shared" si="52"/>
        <v>#VALUE!</v>
      </c>
      <c r="BL98" s="129" t="str">
        <f t="shared" si="53"/>
        <v>CONVICTION</v>
      </c>
      <c r="BM98" s="129" t="s">
        <v>76</v>
      </c>
      <c r="BN98" s="129" t="s">
        <v>88</v>
      </c>
      <c r="BP98" s="137" t="str">
        <f t="shared" si="57"/>
        <v>CONVICTION</v>
      </c>
      <c r="BQ98" s="128">
        <f t="shared" si="58"/>
        <v>0</v>
      </c>
      <c r="BR98" s="129" t="s">
        <v>575</v>
      </c>
      <c r="BS98" s="129" t="str">
        <f t="shared" si="74"/>
        <v>DISPOSED</v>
      </c>
      <c r="BT98" s="129" t="str">
        <f t="shared" si="60"/>
        <v>N</v>
      </c>
      <c r="BU98" s="109">
        <f t="shared" si="75"/>
        <v>0</v>
      </c>
      <c r="BV98" s="109">
        <v>0</v>
      </c>
      <c r="BW98" s="109">
        <f t="shared" si="62"/>
        <v>0</v>
      </c>
      <c r="BX98" s="111">
        <f t="shared" si="63"/>
        <v>0</v>
      </c>
      <c r="BY98" s="129" t="e">
        <f t="shared" si="64"/>
        <v>#VALUE!</v>
      </c>
      <c r="BZ98" s="111" t="e">
        <f t="shared" si="65"/>
        <v>#VALUE!</v>
      </c>
      <c r="CA98" s="138" t="e">
        <f t="shared" si="66"/>
        <v>#VALUE!</v>
      </c>
      <c r="CB98" s="111">
        <v>0</v>
      </c>
      <c r="CC98" s="129">
        <v>0</v>
      </c>
      <c r="CD98" s="111">
        <f>CC98-BF98</f>
        <v>0</v>
      </c>
      <c r="CE98" s="129" t="e">
        <f t="shared" si="67"/>
        <v>#VALUE!</v>
      </c>
      <c r="CF98" s="129" t="e">
        <f t="shared" si="81"/>
        <v>#VALUE!</v>
      </c>
      <c r="CG98" s="129" t="str">
        <f t="shared" si="68"/>
        <v>Y</v>
      </c>
      <c r="CI98" s="129" t="str">
        <f t="shared" si="69"/>
        <v>0-10 DAYS</v>
      </c>
      <c r="CJ98" s="137">
        <f t="shared" si="70"/>
        <v>1</v>
      </c>
      <c r="CK98" s="129" t="str">
        <f t="shared" si="71"/>
        <v>Not Booked</v>
      </c>
    </row>
    <row r="99" spans="1:89" ht="15" customHeight="1" x14ac:dyDescent="0.25">
      <c r="A99" s="111">
        <v>1670</v>
      </c>
      <c r="B99" s="128" t="str">
        <f t="shared" si="54"/>
        <v>N</v>
      </c>
      <c r="C99" s="128" t="str">
        <f t="shared" si="55"/>
        <v>N</v>
      </c>
      <c r="D99" s="117">
        <v>424032</v>
      </c>
      <c r="E99" s="135">
        <f t="shared" si="56"/>
        <v>5</v>
      </c>
      <c r="F99" s="124">
        <v>40970</v>
      </c>
      <c r="G99" s="125">
        <v>40973</v>
      </c>
      <c r="H99" s="117">
        <v>424032</v>
      </c>
      <c r="I99" s="124">
        <v>40971</v>
      </c>
      <c r="J99" s="124">
        <v>40973</v>
      </c>
      <c r="K99" s="126">
        <v>15000</v>
      </c>
      <c r="L99" s="127" t="s">
        <v>571</v>
      </c>
      <c r="N99" s="129" t="str">
        <f>IF(M99&gt;1/1/1,"Y","N")</f>
        <v>N</v>
      </c>
      <c r="O99" s="128" t="s">
        <v>917</v>
      </c>
      <c r="P99" s="129" t="s">
        <v>39</v>
      </c>
      <c r="Q99" s="111">
        <f t="shared" si="80"/>
        <v>3</v>
      </c>
      <c r="R99" s="111">
        <f t="shared" si="48"/>
        <v>4</v>
      </c>
      <c r="S99" s="129">
        <v>11</v>
      </c>
      <c r="T99" s="129">
        <v>10</v>
      </c>
      <c r="U99" s="129">
        <v>6</v>
      </c>
      <c r="W99" s="111"/>
      <c r="AC99" s="130"/>
      <c r="AD99" s="130">
        <v>21121</v>
      </c>
      <c r="AE99" s="128" t="s">
        <v>32</v>
      </c>
      <c r="AF99" s="128" t="s">
        <v>33</v>
      </c>
      <c r="AG99" s="128" t="s">
        <v>872</v>
      </c>
      <c r="AH99" s="108" t="s">
        <v>58</v>
      </c>
      <c r="AI99" s="128" t="s">
        <v>80</v>
      </c>
      <c r="AJ99" s="129" t="s">
        <v>89</v>
      </c>
      <c r="AK99" s="129">
        <v>1</v>
      </c>
      <c r="AL99" s="3" t="s">
        <v>992</v>
      </c>
      <c r="AN99" s="117">
        <v>6</v>
      </c>
      <c r="AP99" s="129" t="s">
        <v>43</v>
      </c>
      <c r="AR99" s="128" t="s">
        <v>44</v>
      </c>
      <c r="AS99" s="129" t="s">
        <v>45</v>
      </c>
      <c r="AW99" s="125"/>
      <c r="AX99" s="125"/>
      <c r="BC99" s="129" t="s">
        <v>38</v>
      </c>
      <c r="BF99" s="111">
        <f t="shared" ref="BF99:BF106" si="87">IF(J99&gt;1/1/1900,((J99+1)-I99),"STILL OPEN")</f>
        <v>3</v>
      </c>
      <c r="BG99" s="111">
        <f t="shared" ref="BG99:BG130" si="88">IF(G99&gt;1/1/1900,((G99+1)-I99),"STILL OPEN")</f>
        <v>3</v>
      </c>
      <c r="BH99" s="111">
        <f t="shared" si="50"/>
        <v>4</v>
      </c>
      <c r="BI99" s="111">
        <f t="shared" si="51"/>
        <v>54.232240437158467</v>
      </c>
      <c r="BJ99" s="129">
        <f t="shared" si="72"/>
        <v>0</v>
      </c>
      <c r="BK99" s="129">
        <f t="shared" si="52"/>
        <v>0</v>
      </c>
      <c r="BL99" s="129" t="str">
        <f t="shared" si="53"/>
        <v>CONVICTION</v>
      </c>
      <c r="BM99" s="129" t="str">
        <f t="shared" si="73"/>
        <v>NONE</v>
      </c>
      <c r="BN99" s="129" t="s">
        <v>566</v>
      </c>
      <c r="BP99" s="137" t="str">
        <f t="shared" si="57"/>
        <v>CONVICTION</v>
      </c>
      <c r="BQ99" s="128" t="str">
        <f t="shared" si="58"/>
        <v>Y</v>
      </c>
      <c r="BR99" s="129" t="str">
        <f t="shared" si="59"/>
        <v>DETAINED</v>
      </c>
      <c r="BS99" s="129" t="str">
        <f t="shared" si="74"/>
        <v>DISPOSED</v>
      </c>
      <c r="BT99" s="129" t="str">
        <f t="shared" si="60"/>
        <v>Y</v>
      </c>
      <c r="BU99" s="109">
        <f t="shared" si="75"/>
        <v>0.75</v>
      </c>
      <c r="BV99" s="109">
        <f t="shared" si="61"/>
        <v>1</v>
      </c>
      <c r="BW99" s="109">
        <f t="shared" si="62"/>
        <v>0.25</v>
      </c>
      <c r="BX99" s="111">
        <f t="shared" si="63"/>
        <v>0</v>
      </c>
      <c r="BY99" s="129">
        <f t="shared" si="64"/>
        <v>-3</v>
      </c>
      <c r="BZ99" s="111">
        <f t="shared" si="65"/>
        <v>0</v>
      </c>
      <c r="CA99" s="138">
        <f t="shared" si="66"/>
        <v>3</v>
      </c>
      <c r="CB99" s="111" t="e">
        <f t="shared" ref="CB99:CB106" si="89">IF(AF99&gt;1/1/1900,((AF99+1)-AE99),"STILL OPEN")</f>
        <v>#VALUE!</v>
      </c>
      <c r="CC99" s="129">
        <f>G99-I99+1</f>
        <v>3</v>
      </c>
      <c r="CD99" s="129">
        <f>G99-J99</f>
        <v>0</v>
      </c>
      <c r="CE99" s="129">
        <f t="shared" si="67"/>
        <v>0</v>
      </c>
      <c r="CF99" s="129">
        <f t="shared" si="81"/>
        <v>2</v>
      </c>
      <c r="CG99" s="129" t="str">
        <f t="shared" si="68"/>
        <v>Y</v>
      </c>
      <c r="CI99" s="129" t="str">
        <f t="shared" si="69"/>
        <v>0-10 DAYS</v>
      </c>
      <c r="CJ99" s="137">
        <f t="shared" si="70"/>
        <v>1</v>
      </c>
      <c r="CK99" s="129" t="str">
        <f t="shared" si="71"/>
        <v>Booked</v>
      </c>
    </row>
    <row r="100" spans="1:89" ht="15.75" customHeight="1" x14ac:dyDescent="0.25">
      <c r="A100" s="111">
        <v>3180</v>
      </c>
      <c r="B100" s="128" t="str">
        <f t="shared" si="54"/>
        <v>N</v>
      </c>
      <c r="C100" s="128" t="str">
        <f t="shared" si="55"/>
        <v>N</v>
      </c>
      <c r="D100" s="117">
        <v>424647</v>
      </c>
      <c r="E100" s="135">
        <f t="shared" si="56"/>
        <v>1</v>
      </c>
      <c r="F100" s="124">
        <v>41026</v>
      </c>
      <c r="G100" s="125">
        <v>41228</v>
      </c>
      <c r="H100" s="117">
        <v>424647</v>
      </c>
      <c r="I100" s="124">
        <v>41026</v>
      </c>
      <c r="J100" s="124">
        <v>41030</v>
      </c>
      <c r="K100" s="126">
        <v>20000</v>
      </c>
      <c r="L100" s="127" t="s">
        <v>571</v>
      </c>
      <c r="M100" s="125">
        <v>41030</v>
      </c>
      <c r="N100" s="129" t="str">
        <f>IF(M100&gt;1/1/1,"Y","N")</f>
        <v>Y</v>
      </c>
      <c r="O100" s="128" t="s">
        <v>76</v>
      </c>
      <c r="P100" s="129" t="s">
        <v>55</v>
      </c>
      <c r="Q100" s="111">
        <f t="shared" si="80"/>
        <v>5</v>
      </c>
      <c r="R100" s="111">
        <f t="shared" si="48"/>
        <v>203</v>
      </c>
      <c r="S100" s="129">
        <v>5</v>
      </c>
      <c r="T100" s="129">
        <v>6</v>
      </c>
      <c r="U100" s="129">
        <v>2</v>
      </c>
      <c r="W100" s="111"/>
      <c r="AC100" s="130"/>
      <c r="AD100" s="130">
        <v>23551</v>
      </c>
      <c r="AE100" s="128" t="s">
        <v>32</v>
      </c>
      <c r="AF100" s="128" t="s">
        <v>33</v>
      </c>
      <c r="AG100" s="128" t="s">
        <v>872</v>
      </c>
      <c r="AH100" s="108" t="s">
        <v>58</v>
      </c>
      <c r="AI100" s="128" t="s">
        <v>87</v>
      </c>
      <c r="AJ100" s="129" t="s">
        <v>55</v>
      </c>
      <c r="AK100" s="129">
        <v>8</v>
      </c>
      <c r="AL100" s="3" t="s">
        <v>55</v>
      </c>
      <c r="AP100" s="129" t="s">
        <v>150</v>
      </c>
      <c r="AR100" s="128" t="s">
        <v>67</v>
      </c>
      <c r="AS100" s="129" t="s">
        <v>74</v>
      </c>
      <c r="BC100" s="129" t="s">
        <v>52</v>
      </c>
      <c r="BF100" s="111">
        <f t="shared" si="87"/>
        <v>5</v>
      </c>
      <c r="BG100" s="111">
        <f t="shared" si="88"/>
        <v>203</v>
      </c>
      <c r="BH100" s="111">
        <f t="shared" si="50"/>
        <v>203</v>
      </c>
      <c r="BI100" s="111">
        <f t="shared" si="51"/>
        <v>47.745901639344261</v>
      </c>
      <c r="BJ100" s="129">
        <f>(G100-J100)+(M100-G100)</f>
        <v>0</v>
      </c>
      <c r="BK100" s="129">
        <f t="shared" si="52"/>
        <v>-198</v>
      </c>
      <c r="BL100" s="129" t="str">
        <f t="shared" si="53"/>
        <v>NO CONVICTION</v>
      </c>
      <c r="BM100" s="129" t="s">
        <v>76</v>
      </c>
      <c r="BN100" s="129" t="s">
        <v>88</v>
      </c>
      <c r="BP100" s="137" t="str">
        <f t="shared" si="57"/>
        <v>NO CONVICTION</v>
      </c>
      <c r="BQ100" s="128" t="str">
        <f t="shared" si="58"/>
        <v>Y</v>
      </c>
      <c r="BR100" s="129" t="str">
        <f t="shared" si="59"/>
        <v>ON BOND</v>
      </c>
      <c r="BS100" s="129" t="str">
        <f t="shared" si="74"/>
        <v>DISPOSED</v>
      </c>
      <c r="BT100" s="129" t="str">
        <f t="shared" si="60"/>
        <v>Y</v>
      </c>
      <c r="BU100" s="109">
        <f>IFERROR(Q100/R100,BR100)</f>
        <v>2.4630541871921183E-2</v>
      </c>
      <c r="BV100" s="109">
        <f t="shared" si="61"/>
        <v>2.4630541871921183E-2</v>
      </c>
      <c r="BW100" s="109">
        <f t="shared" si="62"/>
        <v>0</v>
      </c>
      <c r="BX100" s="111">
        <f t="shared" si="63"/>
        <v>0</v>
      </c>
      <c r="BY100" s="129">
        <f t="shared" si="64"/>
        <v>-5</v>
      </c>
      <c r="BZ100" s="111">
        <f t="shared" si="65"/>
        <v>0</v>
      </c>
      <c r="CA100" s="138">
        <f t="shared" si="66"/>
        <v>5</v>
      </c>
      <c r="CB100" s="111" t="e">
        <f t="shared" si="89"/>
        <v>#VALUE!</v>
      </c>
      <c r="CC100" s="129">
        <f>M100-I100+1</f>
        <v>5</v>
      </c>
      <c r="CD100" s="111">
        <f>CC100-BF100</f>
        <v>0</v>
      </c>
      <c r="CE100" s="129">
        <f t="shared" si="67"/>
        <v>198</v>
      </c>
      <c r="CF100" s="129">
        <f t="shared" si="81"/>
        <v>4</v>
      </c>
      <c r="CG100" s="129" t="str">
        <f t="shared" si="68"/>
        <v>Y</v>
      </c>
      <c r="CI100" s="129" t="str">
        <f t="shared" si="69"/>
        <v>0-10 DAYS</v>
      </c>
      <c r="CJ100" s="137">
        <f t="shared" si="70"/>
        <v>1</v>
      </c>
      <c r="CK100" s="129" t="str">
        <f t="shared" si="71"/>
        <v>Booked</v>
      </c>
    </row>
    <row r="101" spans="1:89" ht="15.75" customHeight="1" x14ac:dyDescent="0.25">
      <c r="A101" s="111">
        <v>954</v>
      </c>
      <c r="B101" s="128" t="str">
        <f t="shared" si="54"/>
        <v>N</v>
      </c>
      <c r="C101" s="128" t="str">
        <f t="shared" si="55"/>
        <v>N</v>
      </c>
      <c r="D101" s="117">
        <v>428468</v>
      </c>
      <c r="E101" s="135">
        <f t="shared" si="56"/>
        <v>6</v>
      </c>
      <c r="F101" s="124">
        <v>40943</v>
      </c>
      <c r="G101" s="125">
        <v>41108</v>
      </c>
      <c r="H101" s="117">
        <v>428468</v>
      </c>
      <c r="I101" s="124">
        <v>40943</v>
      </c>
      <c r="J101" s="124">
        <v>41108</v>
      </c>
      <c r="K101" s="126" t="s">
        <v>564</v>
      </c>
      <c r="L101" s="127" t="s">
        <v>564</v>
      </c>
      <c r="N101" s="129" t="s">
        <v>566</v>
      </c>
      <c r="O101" s="128" t="s">
        <v>917</v>
      </c>
      <c r="P101" s="129" t="s">
        <v>39</v>
      </c>
      <c r="Q101" s="111">
        <f t="shared" si="80"/>
        <v>166</v>
      </c>
      <c r="R101" s="111">
        <f t="shared" si="48"/>
        <v>166</v>
      </c>
      <c r="S101" s="129">
        <v>4</v>
      </c>
      <c r="T101" s="129">
        <v>11</v>
      </c>
      <c r="U101" s="129">
        <v>4</v>
      </c>
      <c r="W101" s="111"/>
      <c r="AC101" s="130"/>
      <c r="AD101" s="130">
        <v>23480</v>
      </c>
      <c r="AE101" s="128" t="s">
        <v>32</v>
      </c>
      <c r="AF101" s="128" t="s">
        <v>40</v>
      </c>
      <c r="AG101" s="128" t="s">
        <v>41</v>
      </c>
      <c r="AH101" s="108" t="s">
        <v>41</v>
      </c>
      <c r="AI101" s="128" t="s">
        <v>83</v>
      </c>
      <c r="AJ101" s="129" t="s">
        <v>89</v>
      </c>
      <c r="AK101" s="129">
        <v>9</v>
      </c>
      <c r="AL101" s="3" t="s">
        <v>362</v>
      </c>
      <c r="AM101" s="117">
        <v>5</v>
      </c>
      <c r="AP101" s="129" t="s">
        <v>132</v>
      </c>
      <c r="AR101" s="128" t="s">
        <v>92</v>
      </c>
      <c r="AS101" s="129" t="s">
        <v>82</v>
      </c>
      <c r="BC101" s="129" t="s">
        <v>52</v>
      </c>
      <c r="BF101" s="111">
        <f t="shared" si="87"/>
        <v>166</v>
      </c>
      <c r="BG101" s="111">
        <f t="shared" si="88"/>
        <v>166</v>
      </c>
      <c r="BH101" s="111">
        <f t="shared" si="50"/>
        <v>166</v>
      </c>
      <c r="BI101" s="111">
        <f t="shared" si="51"/>
        <v>47.713114754098363</v>
      </c>
      <c r="BJ101" s="129">
        <f t="shared" si="72"/>
        <v>0</v>
      </c>
      <c r="BK101" s="129">
        <f t="shared" si="52"/>
        <v>0</v>
      </c>
      <c r="BL101" s="129" t="str">
        <f t="shared" si="53"/>
        <v>CONVICTION</v>
      </c>
      <c r="BM101" s="129" t="str">
        <f t="shared" si="73"/>
        <v>NONE</v>
      </c>
      <c r="BN101" s="129" t="s">
        <v>566</v>
      </c>
      <c r="BP101" s="137" t="str">
        <f t="shared" si="57"/>
        <v>CONVICTION</v>
      </c>
      <c r="BQ101" s="128" t="str">
        <f t="shared" si="58"/>
        <v>Y</v>
      </c>
      <c r="BR101" s="129" t="s">
        <v>574</v>
      </c>
      <c r="BS101" s="129" t="str">
        <f t="shared" si="74"/>
        <v>DISPOSED</v>
      </c>
      <c r="BT101" s="129" t="str">
        <f t="shared" si="60"/>
        <v>Y</v>
      </c>
      <c r="BU101" s="109">
        <f t="shared" si="75"/>
        <v>1</v>
      </c>
      <c r="BV101" s="109">
        <f t="shared" si="61"/>
        <v>1</v>
      </c>
      <c r="BW101" s="109">
        <f t="shared" si="62"/>
        <v>0</v>
      </c>
      <c r="BX101" s="111">
        <f t="shared" si="63"/>
        <v>0</v>
      </c>
      <c r="BY101" s="129">
        <f t="shared" si="64"/>
        <v>-166</v>
      </c>
      <c r="BZ101" s="111">
        <f t="shared" si="65"/>
        <v>0</v>
      </c>
      <c r="CA101" s="138">
        <f t="shared" si="66"/>
        <v>166</v>
      </c>
      <c r="CB101" s="111" t="e">
        <f t="shared" si="89"/>
        <v>#VALUE!</v>
      </c>
      <c r="CC101" s="129">
        <f>G101-I101+1</f>
        <v>166</v>
      </c>
      <c r="CD101" s="129">
        <f>G101-J101</f>
        <v>0</v>
      </c>
      <c r="CE101" s="129">
        <f t="shared" si="67"/>
        <v>0</v>
      </c>
      <c r="CF101" s="129">
        <f t="shared" si="81"/>
        <v>165</v>
      </c>
      <c r="CG101" s="129" t="str">
        <f t="shared" si="68"/>
        <v>Y</v>
      </c>
      <c r="CI101" s="129" t="str">
        <f t="shared" si="69"/>
        <v>121-365 DAYS</v>
      </c>
      <c r="CJ101" s="137">
        <f t="shared" si="70"/>
        <v>6</v>
      </c>
      <c r="CK101" s="129" t="str">
        <f t="shared" si="71"/>
        <v>Booked</v>
      </c>
    </row>
    <row r="102" spans="1:89" ht="15" customHeight="1" x14ac:dyDescent="0.25">
      <c r="A102" s="111">
        <v>2942</v>
      </c>
      <c r="B102" s="128" t="str">
        <f t="shared" si="54"/>
        <v>N</v>
      </c>
      <c r="C102" s="128" t="str">
        <f t="shared" si="55"/>
        <v>N</v>
      </c>
      <c r="D102" s="117">
        <v>432635</v>
      </c>
      <c r="E102" s="135">
        <f t="shared" si="56"/>
        <v>2</v>
      </c>
      <c r="F102" s="124">
        <v>41017</v>
      </c>
      <c r="G102" s="125">
        <v>41080</v>
      </c>
      <c r="H102" s="117">
        <v>432635</v>
      </c>
      <c r="I102" s="124">
        <v>41018</v>
      </c>
      <c r="J102" s="124">
        <v>41019</v>
      </c>
      <c r="K102" s="126">
        <v>30000</v>
      </c>
      <c r="L102" s="129" t="s">
        <v>572</v>
      </c>
      <c r="M102" s="125">
        <v>41019</v>
      </c>
      <c r="N102" s="129" t="str">
        <f t="shared" ref="N102:N114" si="90">IF(M102&gt;1/1/1,"Y","N")</f>
        <v>Y</v>
      </c>
      <c r="O102" s="128" t="s">
        <v>54</v>
      </c>
      <c r="P102" s="129" t="s">
        <v>589</v>
      </c>
      <c r="Q102" s="111">
        <f t="shared" si="80"/>
        <v>2</v>
      </c>
      <c r="R102" s="111">
        <f t="shared" si="48"/>
        <v>64</v>
      </c>
      <c r="S102" s="129">
        <v>0</v>
      </c>
      <c r="T102" s="129">
        <v>1</v>
      </c>
      <c r="W102" s="111"/>
      <c r="AC102" s="130"/>
      <c r="AD102" s="130">
        <v>20751</v>
      </c>
      <c r="AE102" s="128" t="s">
        <v>32</v>
      </c>
      <c r="AF102" s="128" t="s">
        <v>69</v>
      </c>
      <c r="AG102" s="128" t="s">
        <v>874</v>
      </c>
      <c r="AH102" s="108" t="s">
        <v>58</v>
      </c>
      <c r="AI102" s="128" t="s">
        <v>87</v>
      </c>
      <c r="AJ102" s="129" t="s">
        <v>48</v>
      </c>
      <c r="AK102" s="129">
        <v>3</v>
      </c>
      <c r="AL102" s="3" t="s">
        <v>48</v>
      </c>
      <c r="AP102" s="129" t="s">
        <v>73</v>
      </c>
      <c r="AR102" s="128" t="s">
        <v>50</v>
      </c>
      <c r="AS102" s="129" t="s">
        <v>74</v>
      </c>
      <c r="BC102" s="129" t="s">
        <v>38</v>
      </c>
      <c r="BF102" s="111">
        <f t="shared" si="87"/>
        <v>2</v>
      </c>
      <c r="BG102" s="111">
        <f t="shared" si="88"/>
        <v>63</v>
      </c>
      <c r="BH102" s="111">
        <f t="shared" si="50"/>
        <v>64</v>
      </c>
      <c r="BI102" s="111">
        <f t="shared" si="51"/>
        <v>55.37158469945355</v>
      </c>
      <c r="BJ102" s="129">
        <f>(G102-J102)+(M102-G102)</f>
        <v>0</v>
      </c>
      <c r="BK102" s="129">
        <f t="shared" si="52"/>
        <v>-61</v>
      </c>
      <c r="BL102" s="129" t="str">
        <f t="shared" si="53"/>
        <v>DEFERRED</v>
      </c>
      <c r="BM102" s="129" t="s">
        <v>160</v>
      </c>
      <c r="BN102" s="129" t="s">
        <v>88</v>
      </c>
      <c r="BP102" s="137" t="str">
        <f t="shared" si="57"/>
        <v>DEFERRED</v>
      </c>
      <c r="BQ102" s="128" t="str">
        <f t="shared" si="58"/>
        <v>Y</v>
      </c>
      <c r="BR102" s="129" t="str">
        <f t="shared" si="59"/>
        <v>ON BOND</v>
      </c>
      <c r="BS102" s="129" t="str">
        <f t="shared" si="74"/>
        <v>DISPOSED</v>
      </c>
      <c r="BT102" s="129" t="str">
        <f t="shared" si="60"/>
        <v>N</v>
      </c>
      <c r="BU102" s="109">
        <f t="shared" si="75"/>
        <v>3.125E-2</v>
      </c>
      <c r="BV102" s="109">
        <f t="shared" si="61"/>
        <v>3.1746031746031744E-2</v>
      </c>
      <c r="BW102" s="109">
        <f t="shared" si="62"/>
        <v>4.9603174603174427E-4</v>
      </c>
      <c r="BX102" s="111">
        <f t="shared" si="63"/>
        <v>0</v>
      </c>
      <c r="BY102" s="129">
        <f t="shared" si="64"/>
        <v>-2</v>
      </c>
      <c r="BZ102" s="111">
        <f t="shared" si="65"/>
        <v>0</v>
      </c>
      <c r="CA102" s="138">
        <f t="shared" si="66"/>
        <v>2</v>
      </c>
      <c r="CB102" s="111" t="e">
        <f t="shared" si="89"/>
        <v>#VALUE!</v>
      </c>
      <c r="CC102" s="129">
        <f>M102-I102+1</f>
        <v>2</v>
      </c>
      <c r="CD102" s="111">
        <f>CC102-BF102</f>
        <v>0</v>
      </c>
      <c r="CE102" s="129">
        <f t="shared" si="67"/>
        <v>61</v>
      </c>
      <c r="CF102" s="129">
        <f t="shared" si="81"/>
        <v>1</v>
      </c>
      <c r="CG102" s="129" t="str">
        <f t="shared" si="68"/>
        <v>Y</v>
      </c>
      <c r="CI102" s="129" t="str">
        <f t="shared" si="69"/>
        <v>0-10 DAYS</v>
      </c>
      <c r="CJ102" s="137">
        <f t="shared" si="70"/>
        <v>1</v>
      </c>
      <c r="CK102" s="129" t="str">
        <f t="shared" si="71"/>
        <v>Booked</v>
      </c>
    </row>
    <row r="103" spans="1:89" ht="15" customHeight="1" x14ac:dyDescent="0.25">
      <c r="A103" s="111">
        <v>920</v>
      </c>
      <c r="B103" s="128" t="str">
        <f t="shared" si="54"/>
        <v>N</v>
      </c>
      <c r="C103" s="128" t="str">
        <f t="shared" si="55"/>
        <v>N</v>
      </c>
      <c r="D103" s="117">
        <v>434723</v>
      </c>
      <c r="E103" s="135">
        <f t="shared" si="56"/>
        <v>6</v>
      </c>
      <c r="F103" s="124">
        <v>40942</v>
      </c>
      <c r="G103" s="125">
        <v>40975</v>
      </c>
      <c r="H103" s="117">
        <v>434723</v>
      </c>
      <c r="I103" s="124">
        <v>40942</v>
      </c>
      <c r="J103" s="124">
        <v>40975</v>
      </c>
      <c r="K103" s="126">
        <v>15000</v>
      </c>
      <c r="L103" s="127" t="s">
        <v>571</v>
      </c>
      <c r="N103" s="129" t="str">
        <f t="shared" si="90"/>
        <v>N</v>
      </c>
      <c r="O103" s="128" t="s">
        <v>917</v>
      </c>
      <c r="P103" s="129" t="s">
        <v>39</v>
      </c>
      <c r="Q103" s="111">
        <f t="shared" si="80"/>
        <v>34</v>
      </c>
      <c r="R103" s="111">
        <f t="shared" si="48"/>
        <v>34</v>
      </c>
      <c r="S103" s="129">
        <v>4</v>
      </c>
      <c r="T103" s="129">
        <v>15</v>
      </c>
      <c r="U103" s="129">
        <v>4</v>
      </c>
      <c r="W103" s="111"/>
      <c r="AC103" s="130"/>
      <c r="AD103" s="130">
        <v>21406</v>
      </c>
      <c r="AE103" s="128" t="s">
        <v>32</v>
      </c>
      <c r="AF103" s="128" t="s">
        <v>33</v>
      </c>
      <c r="AG103" s="128" t="s">
        <v>872</v>
      </c>
      <c r="AH103" s="108" t="s">
        <v>58</v>
      </c>
      <c r="AI103" s="128" t="s">
        <v>47</v>
      </c>
      <c r="AJ103" s="129" t="s">
        <v>89</v>
      </c>
      <c r="AK103" s="129">
        <v>2</v>
      </c>
      <c r="AL103" s="3" t="s">
        <v>362</v>
      </c>
      <c r="AM103" s="117">
        <v>3</v>
      </c>
      <c r="AP103" s="129" t="s">
        <v>107</v>
      </c>
      <c r="AR103" s="128" t="s">
        <v>44</v>
      </c>
      <c r="AS103" s="129" t="s">
        <v>57</v>
      </c>
      <c r="BC103" s="129" t="s">
        <v>38</v>
      </c>
      <c r="BF103" s="111">
        <f t="shared" si="87"/>
        <v>34</v>
      </c>
      <c r="BG103" s="111">
        <f t="shared" si="88"/>
        <v>34</v>
      </c>
      <c r="BH103" s="111">
        <f t="shared" si="50"/>
        <v>34</v>
      </c>
      <c r="BI103" s="111">
        <f t="shared" si="51"/>
        <v>53.377049180327866</v>
      </c>
      <c r="BJ103" s="129">
        <f t="shared" si="72"/>
        <v>0</v>
      </c>
      <c r="BK103" s="129">
        <f t="shared" si="52"/>
        <v>0</v>
      </c>
      <c r="BL103" s="129" t="str">
        <f t="shared" si="53"/>
        <v>CONVICTION</v>
      </c>
      <c r="BM103" s="129" t="str">
        <f t="shared" si="73"/>
        <v>NONE</v>
      </c>
      <c r="BN103" s="129" t="s">
        <v>566</v>
      </c>
      <c r="BP103" s="137" t="str">
        <f t="shared" si="57"/>
        <v>CONVICTION</v>
      </c>
      <c r="BQ103" s="128" t="str">
        <f t="shared" si="58"/>
        <v>Y</v>
      </c>
      <c r="BR103" s="129" t="str">
        <f t="shared" si="59"/>
        <v>DETAINED</v>
      </c>
      <c r="BS103" s="129" t="str">
        <f t="shared" si="74"/>
        <v>DISPOSED</v>
      </c>
      <c r="BT103" s="129" t="str">
        <f t="shared" si="60"/>
        <v>Y</v>
      </c>
      <c r="BU103" s="109">
        <f t="shared" si="75"/>
        <v>1</v>
      </c>
      <c r="BV103" s="109">
        <f t="shared" si="61"/>
        <v>1</v>
      </c>
      <c r="BW103" s="109">
        <f t="shared" si="62"/>
        <v>0</v>
      </c>
      <c r="BX103" s="111">
        <f t="shared" si="63"/>
        <v>0</v>
      </c>
      <c r="BY103" s="129">
        <f t="shared" si="64"/>
        <v>-34</v>
      </c>
      <c r="BZ103" s="111">
        <f t="shared" si="65"/>
        <v>0</v>
      </c>
      <c r="CA103" s="138">
        <f t="shared" si="66"/>
        <v>34</v>
      </c>
      <c r="CB103" s="111" t="e">
        <f t="shared" si="89"/>
        <v>#VALUE!</v>
      </c>
      <c r="CC103" s="129">
        <f>G103-I103+1</f>
        <v>34</v>
      </c>
      <c r="CD103" s="129">
        <f>G103-J103</f>
        <v>0</v>
      </c>
      <c r="CE103" s="129">
        <f t="shared" si="67"/>
        <v>0</v>
      </c>
      <c r="CF103" s="129">
        <f t="shared" si="81"/>
        <v>33</v>
      </c>
      <c r="CG103" s="129" t="str">
        <f t="shared" si="68"/>
        <v>Y</v>
      </c>
      <c r="CI103" s="129" t="str">
        <f t="shared" si="69"/>
        <v>31-60 DAYS</v>
      </c>
      <c r="CJ103" s="137">
        <f t="shared" si="70"/>
        <v>3</v>
      </c>
      <c r="CK103" s="129" t="str">
        <f t="shared" si="71"/>
        <v>Booked</v>
      </c>
    </row>
    <row r="104" spans="1:89" ht="15.75" customHeight="1" x14ac:dyDescent="0.25">
      <c r="A104" s="111">
        <v>785</v>
      </c>
      <c r="B104" s="128" t="str">
        <f t="shared" si="54"/>
        <v>N</v>
      </c>
      <c r="C104" s="128" t="str">
        <f t="shared" si="55"/>
        <v>N</v>
      </c>
      <c r="D104" s="117">
        <v>437536</v>
      </c>
      <c r="E104" s="135">
        <f t="shared" si="56"/>
        <v>4</v>
      </c>
      <c r="F104" s="124">
        <v>40939</v>
      </c>
      <c r="G104" s="125">
        <v>40941</v>
      </c>
      <c r="H104" s="117">
        <v>437536</v>
      </c>
      <c r="I104" s="124">
        <v>40939</v>
      </c>
      <c r="J104" s="124">
        <v>40941</v>
      </c>
      <c r="K104" s="126">
        <v>15000</v>
      </c>
      <c r="L104" s="127" t="s">
        <v>571</v>
      </c>
      <c r="N104" s="129" t="str">
        <f t="shared" si="90"/>
        <v>N</v>
      </c>
      <c r="O104" s="128" t="s">
        <v>917</v>
      </c>
      <c r="P104" s="129" t="s">
        <v>39</v>
      </c>
      <c r="Q104" s="111">
        <f t="shared" si="80"/>
        <v>3</v>
      </c>
      <c r="R104" s="111">
        <f t="shared" si="48"/>
        <v>3</v>
      </c>
      <c r="S104" s="129">
        <v>2</v>
      </c>
      <c r="T104" s="129">
        <v>5</v>
      </c>
      <c r="W104" s="111"/>
      <c r="AC104" s="130"/>
      <c r="AD104" s="130">
        <v>21319</v>
      </c>
      <c r="AE104" s="128" t="s">
        <v>32</v>
      </c>
      <c r="AF104" s="128" t="s">
        <v>33</v>
      </c>
      <c r="AG104" s="128" t="s">
        <v>872</v>
      </c>
      <c r="AH104" s="108" t="s">
        <v>31</v>
      </c>
      <c r="AI104" s="128" t="s">
        <v>42</v>
      </c>
      <c r="AJ104" s="129" t="s">
        <v>89</v>
      </c>
      <c r="AK104" s="129">
        <v>2</v>
      </c>
      <c r="AL104" s="3" t="s">
        <v>991</v>
      </c>
      <c r="AO104" s="128">
        <v>180</v>
      </c>
      <c r="AP104" s="129" t="s">
        <v>43</v>
      </c>
      <c r="AR104" s="128" t="s">
        <v>44</v>
      </c>
      <c r="AS104" s="129" t="s">
        <v>45</v>
      </c>
      <c r="BC104" s="129" t="s">
        <v>38</v>
      </c>
      <c r="BF104" s="111">
        <f t="shared" si="87"/>
        <v>3</v>
      </c>
      <c r="BG104" s="111">
        <f t="shared" si="88"/>
        <v>3</v>
      </c>
      <c r="BH104" s="111">
        <f t="shared" si="50"/>
        <v>3</v>
      </c>
      <c r="BI104" s="111">
        <f t="shared" si="51"/>
        <v>53.606557377049178</v>
      </c>
      <c r="BJ104" s="129">
        <f t="shared" si="72"/>
        <v>0</v>
      </c>
      <c r="BK104" s="129">
        <f t="shared" si="52"/>
        <v>0</v>
      </c>
      <c r="BL104" s="129" t="str">
        <f t="shared" si="53"/>
        <v>CONVICTION</v>
      </c>
      <c r="BM104" s="129" t="str">
        <f t="shared" si="73"/>
        <v>NONE</v>
      </c>
      <c r="BN104" s="129" t="s">
        <v>566</v>
      </c>
      <c r="BP104" s="137" t="str">
        <f t="shared" si="57"/>
        <v>CONVICTION</v>
      </c>
      <c r="BQ104" s="128" t="str">
        <f t="shared" si="58"/>
        <v>Y</v>
      </c>
      <c r="BR104" s="129" t="str">
        <f t="shared" si="59"/>
        <v>DETAINED</v>
      </c>
      <c r="BS104" s="129" t="str">
        <f t="shared" si="74"/>
        <v>DISPOSED</v>
      </c>
      <c r="BT104" s="129" t="str">
        <f t="shared" si="60"/>
        <v>Y</v>
      </c>
      <c r="BU104" s="109">
        <f t="shared" si="75"/>
        <v>1</v>
      </c>
      <c r="BV104" s="109">
        <f t="shared" si="61"/>
        <v>1</v>
      </c>
      <c r="BW104" s="109">
        <f t="shared" si="62"/>
        <v>0</v>
      </c>
      <c r="BX104" s="111">
        <f t="shared" si="63"/>
        <v>0</v>
      </c>
      <c r="BY104" s="129">
        <f t="shared" si="64"/>
        <v>-3</v>
      </c>
      <c r="BZ104" s="111">
        <f t="shared" si="65"/>
        <v>0</v>
      </c>
      <c r="CA104" s="138">
        <f t="shared" si="66"/>
        <v>3</v>
      </c>
      <c r="CB104" s="111" t="e">
        <f t="shared" si="89"/>
        <v>#VALUE!</v>
      </c>
      <c r="CC104" s="129">
        <f>G104-I104+1</f>
        <v>3</v>
      </c>
      <c r="CD104" s="129">
        <f>G104-J104</f>
        <v>0</v>
      </c>
      <c r="CE104" s="129">
        <f t="shared" si="67"/>
        <v>0</v>
      </c>
      <c r="CF104" s="129">
        <f t="shared" si="81"/>
        <v>2</v>
      </c>
      <c r="CG104" s="129" t="str">
        <f t="shared" si="68"/>
        <v>Y</v>
      </c>
      <c r="CI104" s="129" t="str">
        <f t="shared" si="69"/>
        <v>0-10 DAYS</v>
      </c>
      <c r="CJ104" s="137">
        <f t="shared" si="70"/>
        <v>1</v>
      </c>
      <c r="CK104" s="129" t="str">
        <f t="shared" si="71"/>
        <v>Booked</v>
      </c>
    </row>
    <row r="105" spans="1:89" ht="15.75" customHeight="1" x14ac:dyDescent="0.25">
      <c r="A105" s="111">
        <v>1698</v>
      </c>
      <c r="B105" s="128" t="str">
        <f t="shared" si="54"/>
        <v>N</v>
      </c>
      <c r="C105" s="128" t="str">
        <f t="shared" si="55"/>
        <v>N</v>
      </c>
      <c r="D105" s="117">
        <v>441971</v>
      </c>
      <c r="E105" s="135">
        <f t="shared" si="56"/>
        <v>6</v>
      </c>
      <c r="F105" s="124">
        <v>40971</v>
      </c>
      <c r="G105" s="125">
        <v>41030</v>
      </c>
      <c r="H105" s="117">
        <v>441971</v>
      </c>
      <c r="I105" s="124">
        <v>40972</v>
      </c>
      <c r="J105" s="124">
        <v>41030</v>
      </c>
      <c r="K105" s="126">
        <v>10000</v>
      </c>
      <c r="L105" s="127" t="s">
        <v>570</v>
      </c>
      <c r="N105" s="129" t="str">
        <f t="shared" si="90"/>
        <v>N</v>
      </c>
      <c r="O105" s="128" t="s">
        <v>917</v>
      </c>
      <c r="P105" s="129" t="s">
        <v>39</v>
      </c>
      <c r="Q105" s="111">
        <f t="shared" si="80"/>
        <v>59</v>
      </c>
      <c r="R105" s="111">
        <f t="shared" si="48"/>
        <v>60</v>
      </c>
      <c r="S105" s="129">
        <v>3</v>
      </c>
      <c r="T105" s="129">
        <v>10</v>
      </c>
      <c r="U105" s="129">
        <v>1</v>
      </c>
      <c r="W105" s="111"/>
      <c r="AC105" s="130"/>
      <c r="AD105" s="130">
        <v>23515</v>
      </c>
      <c r="AE105" s="128" t="s">
        <v>32</v>
      </c>
      <c r="AF105" s="128" t="s">
        <v>69</v>
      </c>
      <c r="AG105" s="128" t="s">
        <v>874</v>
      </c>
      <c r="AH105" s="108" t="s">
        <v>58</v>
      </c>
      <c r="AI105" s="128" t="s">
        <v>97</v>
      </c>
      <c r="AJ105" s="129" t="s">
        <v>89</v>
      </c>
      <c r="AK105" s="129">
        <v>3</v>
      </c>
      <c r="AL105" s="3" t="s">
        <v>362</v>
      </c>
      <c r="AM105" s="117">
        <v>3</v>
      </c>
      <c r="AP105" s="129" t="s">
        <v>66</v>
      </c>
      <c r="AR105" s="128" t="s">
        <v>67</v>
      </c>
      <c r="AS105" s="129" t="s">
        <v>68</v>
      </c>
      <c r="BC105" s="129" t="s">
        <v>38</v>
      </c>
      <c r="BF105" s="111">
        <f t="shared" si="87"/>
        <v>59</v>
      </c>
      <c r="BG105" s="111">
        <f t="shared" si="88"/>
        <v>59</v>
      </c>
      <c r="BH105" s="111">
        <f t="shared" si="50"/>
        <v>60</v>
      </c>
      <c r="BI105" s="111">
        <f t="shared" si="51"/>
        <v>47.693989071038253</v>
      </c>
      <c r="BJ105" s="129">
        <f t="shared" si="72"/>
        <v>0</v>
      </c>
      <c r="BK105" s="129">
        <f t="shared" si="52"/>
        <v>0</v>
      </c>
      <c r="BL105" s="129" t="str">
        <f t="shared" si="53"/>
        <v>CONVICTION</v>
      </c>
      <c r="BM105" s="129" t="str">
        <f t="shared" si="73"/>
        <v>NONE</v>
      </c>
      <c r="BN105" s="129" t="s">
        <v>566</v>
      </c>
      <c r="BP105" s="137" t="str">
        <f t="shared" si="57"/>
        <v>CONVICTION</v>
      </c>
      <c r="BQ105" s="128" t="str">
        <f t="shared" si="58"/>
        <v>Y</v>
      </c>
      <c r="BR105" s="129" t="str">
        <f t="shared" si="59"/>
        <v>DETAINED</v>
      </c>
      <c r="BS105" s="129" t="str">
        <f t="shared" si="74"/>
        <v>DISPOSED</v>
      </c>
      <c r="BT105" s="129" t="str">
        <f t="shared" si="60"/>
        <v>Y</v>
      </c>
      <c r="BU105" s="109">
        <f t="shared" si="75"/>
        <v>0.98333333333333328</v>
      </c>
      <c r="BV105" s="109">
        <f t="shared" si="61"/>
        <v>1</v>
      </c>
      <c r="BW105" s="109">
        <f t="shared" si="62"/>
        <v>1.6666666666666718E-2</v>
      </c>
      <c r="BX105" s="111">
        <f t="shared" si="63"/>
        <v>0</v>
      </c>
      <c r="BY105" s="129">
        <f t="shared" si="64"/>
        <v>-59</v>
      </c>
      <c r="BZ105" s="111">
        <f t="shared" si="65"/>
        <v>0</v>
      </c>
      <c r="CA105" s="138">
        <f t="shared" si="66"/>
        <v>59</v>
      </c>
      <c r="CB105" s="111" t="e">
        <f t="shared" si="89"/>
        <v>#VALUE!</v>
      </c>
      <c r="CC105" s="129">
        <f>G105-I105+1</f>
        <v>59</v>
      </c>
      <c r="CD105" s="129">
        <f>G105-J105</f>
        <v>0</v>
      </c>
      <c r="CE105" s="129">
        <f t="shared" si="67"/>
        <v>0</v>
      </c>
      <c r="CF105" s="129">
        <f t="shared" si="81"/>
        <v>58</v>
      </c>
      <c r="CG105" s="129" t="str">
        <f t="shared" si="68"/>
        <v>Y</v>
      </c>
      <c r="CI105" s="129" t="str">
        <f t="shared" si="69"/>
        <v>31-60 DAYS</v>
      </c>
      <c r="CJ105" s="137">
        <f t="shared" si="70"/>
        <v>3</v>
      </c>
      <c r="CK105" s="129" t="str">
        <f t="shared" si="71"/>
        <v>Booked</v>
      </c>
    </row>
    <row r="106" spans="1:89" ht="15" customHeight="1" x14ac:dyDescent="0.25">
      <c r="A106" s="111">
        <v>1549</v>
      </c>
      <c r="B106" s="128" t="str">
        <f t="shared" si="54"/>
        <v>N</v>
      </c>
      <c r="C106" s="128" t="str">
        <f t="shared" si="55"/>
        <v>N</v>
      </c>
      <c r="D106" s="117">
        <v>447050</v>
      </c>
      <c r="E106" s="135">
        <f t="shared" si="56"/>
        <v>2</v>
      </c>
      <c r="F106" s="124">
        <v>40966</v>
      </c>
      <c r="G106" s="125">
        <v>40984</v>
      </c>
      <c r="H106" s="117">
        <v>447050</v>
      </c>
      <c r="I106" s="124">
        <v>40982</v>
      </c>
      <c r="J106" s="124">
        <v>40983</v>
      </c>
      <c r="K106" s="126">
        <v>10000</v>
      </c>
      <c r="L106" s="127" t="s">
        <v>570</v>
      </c>
      <c r="M106" s="125">
        <v>40983</v>
      </c>
      <c r="N106" s="129" t="str">
        <f t="shared" si="90"/>
        <v>Y</v>
      </c>
      <c r="O106" s="128" t="s">
        <v>76</v>
      </c>
      <c r="P106" s="129" t="s">
        <v>589</v>
      </c>
      <c r="Q106" s="111">
        <f t="shared" si="80"/>
        <v>2</v>
      </c>
      <c r="R106" s="111">
        <f t="shared" si="48"/>
        <v>19</v>
      </c>
      <c r="S106" s="129">
        <v>2</v>
      </c>
      <c r="T106" s="129">
        <v>5</v>
      </c>
      <c r="U106" s="129">
        <v>1</v>
      </c>
      <c r="V106" s="117">
        <v>1</v>
      </c>
      <c r="W106" s="111"/>
      <c r="AC106" s="130"/>
      <c r="AD106" s="130">
        <v>23643</v>
      </c>
      <c r="AE106" s="128" t="s">
        <v>32</v>
      </c>
      <c r="AF106" s="128" t="s">
        <v>33</v>
      </c>
      <c r="AG106" s="128" t="s">
        <v>872</v>
      </c>
      <c r="AH106" s="108" t="s">
        <v>58</v>
      </c>
      <c r="AI106" s="128" t="s">
        <v>114</v>
      </c>
      <c r="AJ106" s="129" t="s">
        <v>48</v>
      </c>
      <c r="AK106" s="129">
        <v>3</v>
      </c>
      <c r="AL106" s="3" t="s">
        <v>48</v>
      </c>
      <c r="AP106" s="129" t="s">
        <v>60</v>
      </c>
      <c r="AR106" s="128" t="s">
        <v>44</v>
      </c>
      <c r="AS106" s="129" t="s">
        <v>61</v>
      </c>
      <c r="AW106" s="3"/>
      <c r="AX106" s="3"/>
      <c r="BC106" s="129" t="s">
        <v>38</v>
      </c>
      <c r="BF106" s="111">
        <f t="shared" si="87"/>
        <v>2</v>
      </c>
      <c r="BG106" s="111">
        <f t="shared" si="88"/>
        <v>3</v>
      </c>
      <c r="BH106" s="111">
        <f t="shared" si="50"/>
        <v>19</v>
      </c>
      <c r="BI106" s="111">
        <f t="shared" si="51"/>
        <v>47.330601092896174</v>
      </c>
      <c r="BJ106" s="129">
        <f>(G106-J106)+(M106-G106)</f>
        <v>0</v>
      </c>
      <c r="BK106" s="129">
        <f t="shared" si="52"/>
        <v>-1</v>
      </c>
      <c r="BL106" s="129" t="str">
        <f t="shared" si="53"/>
        <v>DEFERRED</v>
      </c>
      <c r="BM106" s="129" t="s">
        <v>76</v>
      </c>
      <c r="BN106" s="129" t="s">
        <v>88</v>
      </c>
      <c r="BP106" s="137" t="str">
        <f t="shared" si="57"/>
        <v>DEFERRED</v>
      </c>
      <c r="BQ106" s="128" t="str">
        <f t="shared" si="58"/>
        <v>Y</v>
      </c>
      <c r="BR106" s="129" t="str">
        <f t="shared" si="59"/>
        <v>ON BOND</v>
      </c>
      <c r="BS106" s="129" t="str">
        <f t="shared" si="74"/>
        <v>DISPOSED</v>
      </c>
      <c r="BT106" s="129" t="str">
        <f t="shared" si="60"/>
        <v>Y</v>
      </c>
      <c r="BU106" s="109">
        <f t="shared" si="75"/>
        <v>0.10526315789473684</v>
      </c>
      <c r="BV106" s="109">
        <f t="shared" si="61"/>
        <v>0.66666666666666663</v>
      </c>
      <c r="BW106" s="109">
        <f t="shared" si="62"/>
        <v>0.56140350877192979</v>
      </c>
      <c r="BX106" s="111">
        <f t="shared" si="63"/>
        <v>0</v>
      </c>
      <c r="BY106" s="129">
        <f t="shared" si="64"/>
        <v>-2</v>
      </c>
      <c r="BZ106" s="111">
        <f t="shared" si="65"/>
        <v>0</v>
      </c>
      <c r="CA106" s="138">
        <f t="shared" si="66"/>
        <v>2</v>
      </c>
      <c r="CB106" s="111" t="e">
        <f t="shared" si="89"/>
        <v>#VALUE!</v>
      </c>
      <c r="CC106" s="129">
        <f>M106-I106+1</f>
        <v>2</v>
      </c>
      <c r="CD106" s="111">
        <f>CC106-BF106</f>
        <v>0</v>
      </c>
      <c r="CE106" s="129">
        <f t="shared" si="67"/>
        <v>1</v>
      </c>
      <c r="CF106" s="129">
        <f t="shared" si="81"/>
        <v>1</v>
      </c>
      <c r="CG106" s="129" t="str">
        <f t="shared" si="68"/>
        <v>Y</v>
      </c>
      <c r="CI106" s="129" t="str">
        <f t="shared" si="69"/>
        <v>0-10 DAYS</v>
      </c>
      <c r="CJ106" s="137">
        <f t="shared" si="70"/>
        <v>1</v>
      </c>
      <c r="CK106" s="129" t="str">
        <f t="shared" si="71"/>
        <v>Booked</v>
      </c>
    </row>
    <row r="107" spans="1:89" ht="15.75" customHeight="1" x14ac:dyDescent="0.25">
      <c r="A107" s="111">
        <v>320</v>
      </c>
      <c r="B107" s="128" t="str">
        <f t="shared" si="54"/>
        <v>N</v>
      </c>
      <c r="C107" s="128" t="str">
        <f t="shared" si="55"/>
        <v>Y</v>
      </c>
      <c r="D107" s="117">
        <v>452198</v>
      </c>
      <c r="E107" s="135">
        <f t="shared" si="56"/>
        <v>5</v>
      </c>
      <c r="F107" s="124">
        <v>40921</v>
      </c>
      <c r="G107" s="125">
        <v>41508</v>
      </c>
      <c r="H107" s="117">
        <v>452198</v>
      </c>
      <c r="I107" s="124">
        <v>40947</v>
      </c>
      <c r="J107" s="124">
        <v>40948</v>
      </c>
      <c r="K107" s="126">
        <v>15000</v>
      </c>
      <c r="L107" s="127" t="s">
        <v>571</v>
      </c>
      <c r="M107" s="125">
        <v>40948</v>
      </c>
      <c r="N107" s="129" t="str">
        <f t="shared" si="90"/>
        <v>Y</v>
      </c>
      <c r="O107" s="128" t="s">
        <v>76</v>
      </c>
      <c r="P107" s="129" t="s">
        <v>39</v>
      </c>
      <c r="Q107" s="111">
        <v>212</v>
      </c>
      <c r="R107" s="111">
        <f t="shared" si="48"/>
        <v>588</v>
      </c>
      <c r="S107" s="129">
        <v>6</v>
      </c>
      <c r="T107" s="129">
        <v>2</v>
      </c>
      <c r="U107" s="129">
        <v>6</v>
      </c>
      <c r="W107" s="111"/>
      <c r="AC107" s="130"/>
      <c r="AD107" s="130">
        <v>22554</v>
      </c>
      <c r="AE107" s="128" t="s">
        <v>32</v>
      </c>
      <c r="AF107" s="128" t="s">
        <v>33</v>
      </c>
      <c r="AG107" s="128" t="s">
        <v>872</v>
      </c>
      <c r="AH107" s="108" t="s">
        <v>58</v>
      </c>
      <c r="AI107" s="128" t="s">
        <v>141</v>
      </c>
      <c r="AJ107" s="129" t="s">
        <v>89</v>
      </c>
      <c r="AK107" s="129">
        <v>17</v>
      </c>
      <c r="AL107" s="3" t="s">
        <v>992</v>
      </c>
      <c r="AN107" s="117">
        <v>18</v>
      </c>
      <c r="AP107" s="129" t="s">
        <v>108</v>
      </c>
      <c r="AR107" s="128" t="s">
        <v>44</v>
      </c>
      <c r="AS107" s="129" t="s">
        <v>61</v>
      </c>
      <c r="AT107" s="129" t="s">
        <v>1126</v>
      </c>
      <c r="AV107" s="129" t="s">
        <v>88</v>
      </c>
      <c r="AW107" s="121">
        <v>41282</v>
      </c>
      <c r="BA107" s="125">
        <v>41478</v>
      </c>
      <c r="BB107" s="129">
        <v>263</v>
      </c>
      <c r="BC107" s="129" t="s">
        <v>52</v>
      </c>
      <c r="BF107" s="111">
        <v>212</v>
      </c>
      <c r="BG107" s="111">
        <f t="shared" si="88"/>
        <v>562</v>
      </c>
      <c r="BH107" s="111">
        <f t="shared" si="50"/>
        <v>588</v>
      </c>
      <c r="BI107" s="111">
        <f t="shared" si="51"/>
        <v>50.18306010928962</v>
      </c>
      <c r="BJ107" s="129">
        <f>(G107-J107)+(M107-G107)</f>
        <v>0</v>
      </c>
      <c r="BK107" s="129">
        <f t="shared" si="52"/>
        <v>-560</v>
      </c>
      <c r="BL107" s="129" t="str">
        <f t="shared" si="53"/>
        <v>CONVICTION</v>
      </c>
      <c r="BM107" s="129" t="s">
        <v>76</v>
      </c>
      <c r="BN107" s="129" t="s">
        <v>566</v>
      </c>
      <c r="BP107" s="137" t="str">
        <f t="shared" si="57"/>
        <v>CONVICTION</v>
      </c>
      <c r="BQ107" s="128" t="str">
        <f t="shared" si="58"/>
        <v>Y</v>
      </c>
      <c r="BR107" s="129" t="s">
        <v>574</v>
      </c>
      <c r="BS107" s="129" t="str">
        <f t="shared" si="74"/>
        <v>DISPOSED</v>
      </c>
      <c r="BT107" s="129" t="str">
        <f t="shared" si="60"/>
        <v>Y</v>
      </c>
      <c r="BU107" s="109">
        <f t="shared" si="75"/>
        <v>0.36054421768707484</v>
      </c>
      <c r="BV107" s="109">
        <f t="shared" si="61"/>
        <v>3.5587188612099642E-3</v>
      </c>
      <c r="BW107" s="109">
        <f t="shared" si="62"/>
        <v>-0.35698549882586489</v>
      </c>
      <c r="BX107" s="111">
        <f t="shared" si="63"/>
        <v>0</v>
      </c>
      <c r="BY107" s="129">
        <f t="shared" si="64"/>
        <v>-2</v>
      </c>
      <c r="BZ107" s="111">
        <f t="shared" si="65"/>
        <v>210</v>
      </c>
      <c r="CA107" s="138">
        <f t="shared" si="66"/>
        <v>562</v>
      </c>
      <c r="CB107" s="111">
        <v>212</v>
      </c>
      <c r="CC107" s="129">
        <f>G107-I107+1</f>
        <v>562</v>
      </c>
      <c r="CD107" s="129">
        <f t="shared" ref="CD107:CD114" si="91">G107-J107</f>
        <v>560</v>
      </c>
      <c r="CE107" s="129">
        <f t="shared" si="67"/>
        <v>560</v>
      </c>
      <c r="CF107" s="129">
        <f>I107-J107</f>
        <v>-1</v>
      </c>
      <c r="CG107" s="129" t="str">
        <f t="shared" si="68"/>
        <v>Y</v>
      </c>
      <c r="CI107" s="129" t="str">
        <f t="shared" si="69"/>
        <v>121-365 DAYS</v>
      </c>
      <c r="CJ107" s="137">
        <f t="shared" si="70"/>
        <v>6</v>
      </c>
      <c r="CK107" s="129" t="str">
        <f t="shared" si="71"/>
        <v>Booked</v>
      </c>
    </row>
    <row r="108" spans="1:89" ht="15" customHeight="1" x14ac:dyDescent="0.25">
      <c r="A108" s="111">
        <v>3</v>
      </c>
      <c r="B108" s="128" t="str">
        <f t="shared" si="54"/>
        <v>N</v>
      </c>
      <c r="C108" s="128" t="str">
        <f t="shared" si="55"/>
        <v>N</v>
      </c>
      <c r="D108" s="117">
        <v>452818</v>
      </c>
      <c r="E108" s="135">
        <f t="shared" si="56"/>
        <v>5</v>
      </c>
      <c r="F108" s="124">
        <v>40909</v>
      </c>
      <c r="G108" s="125">
        <v>40941</v>
      </c>
      <c r="H108" s="117">
        <v>452818</v>
      </c>
      <c r="I108" s="124">
        <v>40909</v>
      </c>
      <c r="J108" s="124">
        <v>40941</v>
      </c>
      <c r="K108" s="126">
        <v>45000</v>
      </c>
      <c r="L108" s="129" t="s">
        <v>572</v>
      </c>
      <c r="N108" s="129" t="str">
        <f t="shared" si="90"/>
        <v>N</v>
      </c>
      <c r="O108" s="128" t="s">
        <v>917</v>
      </c>
      <c r="P108" s="129" t="s">
        <v>39</v>
      </c>
      <c r="Q108" s="111">
        <f t="shared" ref="Q108:Q139" si="92">BF108</f>
        <v>33</v>
      </c>
      <c r="R108" s="111">
        <f t="shared" si="48"/>
        <v>33</v>
      </c>
      <c r="S108" s="129">
        <v>3</v>
      </c>
      <c r="T108" s="129">
        <v>3</v>
      </c>
      <c r="U108" s="129">
        <v>3</v>
      </c>
      <c r="W108" s="111"/>
      <c r="AC108" s="130"/>
      <c r="AD108" s="130">
        <v>23447</v>
      </c>
      <c r="AE108" s="128" t="s">
        <v>32</v>
      </c>
      <c r="AF108" s="128" t="s">
        <v>40</v>
      </c>
      <c r="AG108" s="128" t="s">
        <v>41</v>
      </c>
      <c r="AH108" s="108" t="s">
        <v>41</v>
      </c>
      <c r="AI108" s="128" t="s">
        <v>42</v>
      </c>
      <c r="AJ108" s="129" t="s">
        <v>89</v>
      </c>
      <c r="AK108" s="129">
        <v>2</v>
      </c>
      <c r="AL108" s="3" t="s">
        <v>992</v>
      </c>
      <c r="AN108" s="117">
        <v>6</v>
      </c>
      <c r="AP108" s="129" t="s">
        <v>43</v>
      </c>
      <c r="AR108" s="128" t="s">
        <v>44</v>
      </c>
      <c r="AS108" s="129" t="s">
        <v>45</v>
      </c>
      <c r="BC108" s="129" t="s">
        <v>38</v>
      </c>
      <c r="BF108" s="111">
        <f t="shared" ref="BF108:BF114" si="93">IF(J108&gt;1/1/1900,((J108+1)-I108),"STILL OPEN")</f>
        <v>33</v>
      </c>
      <c r="BG108" s="111">
        <f t="shared" si="88"/>
        <v>33</v>
      </c>
      <c r="BH108" s="111">
        <f t="shared" si="50"/>
        <v>33</v>
      </c>
      <c r="BI108" s="111">
        <f t="shared" si="51"/>
        <v>47.710382513661202</v>
      </c>
      <c r="BJ108" s="129">
        <f t="shared" si="72"/>
        <v>0</v>
      </c>
      <c r="BK108" s="129">
        <f t="shared" si="52"/>
        <v>0</v>
      </c>
      <c r="BL108" s="129" t="str">
        <f t="shared" si="53"/>
        <v>CONVICTION</v>
      </c>
      <c r="BM108" s="129" t="str">
        <f t="shared" si="73"/>
        <v>NONE</v>
      </c>
      <c r="BN108" s="129" t="s">
        <v>566</v>
      </c>
      <c r="BP108" s="137" t="str">
        <f t="shared" si="57"/>
        <v>CONVICTION</v>
      </c>
      <c r="BQ108" s="128" t="str">
        <f t="shared" si="58"/>
        <v>Y</v>
      </c>
      <c r="BR108" s="129" t="str">
        <f t="shared" si="59"/>
        <v>DETAINED</v>
      </c>
      <c r="BS108" s="129" t="str">
        <f t="shared" si="74"/>
        <v>DISPOSED</v>
      </c>
      <c r="BT108" s="129" t="str">
        <f t="shared" si="60"/>
        <v>Y</v>
      </c>
      <c r="BU108" s="109">
        <f t="shared" si="75"/>
        <v>1</v>
      </c>
      <c r="BV108" s="109">
        <f t="shared" si="61"/>
        <v>1</v>
      </c>
      <c r="BW108" s="109">
        <f t="shared" si="62"/>
        <v>0</v>
      </c>
      <c r="BX108" s="111">
        <f t="shared" si="63"/>
        <v>0</v>
      </c>
      <c r="BY108" s="129">
        <f t="shared" si="64"/>
        <v>-33</v>
      </c>
      <c r="BZ108" s="111">
        <f t="shared" si="65"/>
        <v>0</v>
      </c>
      <c r="CA108" s="138">
        <f t="shared" si="66"/>
        <v>33</v>
      </c>
      <c r="CB108" s="111" t="e">
        <f t="shared" ref="CB108:CB114" si="94">IF(AF108&gt;1/1/1900,((AF108+1)-AE108),"STILL OPEN")</f>
        <v>#VALUE!</v>
      </c>
      <c r="CC108" s="129">
        <f>G108-I108+1</f>
        <v>33</v>
      </c>
      <c r="CD108" s="129">
        <f t="shared" si="91"/>
        <v>0</v>
      </c>
      <c r="CE108" s="129">
        <f t="shared" si="67"/>
        <v>0</v>
      </c>
      <c r="CF108" s="129">
        <f>J108-I108</f>
        <v>32</v>
      </c>
      <c r="CG108" s="129" t="str">
        <f t="shared" si="68"/>
        <v>Y</v>
      </c>
      <c r="CI108" s="129" t="str">
        <f t="shared" si="69"/>
        <v>31-60 DAYS</v>
      </c>
      <c r="CJ108" s="137">
        <f t="shared" si="70"/>
        <v>3</v>
      </c>
      <c r="CK108" s="129" t="str">
        <f t="shared" si="71"/>
        <v>Booked</v>
      </c>
    </row>
    <row r="109" spans="1:89" ht="15.75" customHeight="1" x14ac:dyDescent="0.25">
      <c r="A109" s="111">
        <v>626</v>
      </c>
      <c r="B109" s="128" t="str">
        <f t="shared" si="54"/>
        <v>N</v>
      </c>
      <c r="C109" s="128" t="str">
        <f t="shared" si="55"/>
        <v>N</v>
      </c>
      <c r="D109" s="117">
        <v>466786</v>
      </c>
      <c r="E109" s="135">
        <f t="shared" si="56"/>
        <v>5</v>
      </c>
      <c r="F109" s="124">
        <v>40933</v>
      </c>
      <c r="G109" s="125">
        <v>40938</v>
      </c>
      <c r="H109" s="117">
        <v>466786</v>
      </c>
      <c r="I109" s="124">
        <v>40935</v>
      </c>
      <c r="J109" s="124">
        <v>40938</v>
      </c>
      <c r="K109" s="126">
        <v>15000</v>
      </c>
      <c r="L109" s="127" t="s">
        <v>571</v>
      </c>
      <c r="N109" s="129" t="str">
        <f t="shared" si="90"/>
        <v>N</v>
      </c>
      <c r="O109" s="128" t="s">
        <v>917</v>
      </c>
      <c r="P109" s="129" t="s">
        <v>39</v>
      </c>
      <c r="Q109" s="111">
        <f t="shared" si="92"/>
        <v>4</v>
      </c>
      <c r="R109" s="111">
        <f t="shared" si="48"/>
        <v>6</v>
      </c>
      <c r="S109" s="129">
        <v>6</v>
      </c>
      <c r="T109" s="129">
        <v>4</v>
      </c>
      <c r="U109" s="129">
        <v>6</v>
      </c>
      <c r="W109" s="111"/>
      <c r="AC109" s="130"/>
      <c r="AD109" s="130">
        <v>21406</v>
      </c>
      <c r="AE109" s="128" t="s">
        <v>32</v>
      </c>
      <c r="AF109" s="128" t="s">
        <v>33</v>
      </c>
      <c r="AG109" s="128" t="s">
        <v>872</v>
      </c>
      <c r="AH109" s="108" t="s">
        <v>31</v>
      </c>
      <c r="AI109" s="128" t="s">
        <v>87</v>
      </c>
      <c r="AJ109" s="129" t="s">
        <v>89</v>
      </c>
      <c r="AK109" s="129">
        <v>2</v>
      </c>
      <c r="AL109" s="3" t="s">
        <v>992</v>
      </c>
      <c r="AN109" s="117">
        <v>10</v>
      </c>
      <c r="AP109" s="129" t="s">
        <v>60</v>
      </c>
      <c r="AR109" s="128" t="s">
        <v>44</v>
      </c>
      <c r="AS109" s="129" t="s">
        <v>61</v>
      </c>
      <c r="BC109" s="129" t="s">
        <v>38</v>
      </c>
      <c r="BF109" s="111">
        <f t="shared" si="93"/>
        <v>4</v>
      </c>
      <c r="BG109" s="111">
        <f t="shared" si="88"/>
        <v>4</v>
      </c>
      <c r="BH109" s="111">
        <f t="shared" si="50"/>
        <v>6</v>
      </c>
      <c r="BI109" s="111">
        <f t="shared" si="51"/>
        <v>53.352459016393439</v>
      </c>
      <c r="BJ109" s="129">
        <f t="shared" si="72"/>
        <v>0</v>
      </c>
      <c r="BK109" s="129">
        <f t="shared" si="52"/>
        <v>0</v>
      </c>
      <c r="BL109" s="129" t="str">
        <f t="shared" si="53"/>
        <v>CONVICTION</v>
      </c>
      <c r="BM109" s="129" t="str">
        <f t="shared" si="73"/>
        <v>NONE</v>
      </c>
      <c r="BN109" s="129" t="s">
        <v>566</v>
      </c>
      <c r="BP109" s="137" t="str">
        <f t="shared" si="57"/>
        <v>CONVICTION</v>
      </c>
      <c r="BQ109" s="128" t="str">
        <f t="shared" si="58"/>
        <v>Y</v>
      </c>
      <c r="BR109" s="129" t="str">
        <f t="shared" si="59"/>
        <v>DETAINED</v>
      </c>
      <c r="BS109" s="129" t="str">
        <f t="shared" si="74"/>
        <v>DISPOSED</v>
      </c>
      <c r="BT109" s="129" t="str">
        <f t="shared" si="60"/>
        <v>Y</v>
      </c>
      <c r="BU109" s="109">
        <f t="shared" si="75"/>
        <v>0.66666666666666663</v>
      </c>
      <c r="BV109" s="109">
        <f t="shared" si="61"/>
        <v>1</v>
      </c>
      <c r="BW109" s="109">
        <f t="shared" si="62"/>
        <v>0.33333333333333337</v>
      </c>
      <c r="BX109" s="111">
        <f t="shared" si="63"/>
        <v>0</v>
      </c>
      <c r="BY109" s="129">
        <f t="shared" si="64"/>
        <v>-4</v>
      </c>
      <c r="BZ109" s="111">
        <f t="shared" si="65"/>
        <v>0</v>
      </c>
      <c r="CA109" s="138">
        <f t="shared" si="66"/>
        <v>4</v>
      </c>
      <c r="CB109" s="111" t="e">
        <f t="shared" si="94"/>
        <v>#VALUE!</v>
      </c>
      <c r="CC109" s="129">
        <f>G109-I109+1</f>
        <v>4</v>
      </c>
      <c r="CD109" s="129">
        <f t="shared" si="91"/>
        <v>0</v>
      </c>
      <c r="CE109" s="129">
        <f t="shared" si="67"/>
        <v>0</v>
      </c>
      <c r="CF109" s="129">
        <f>J109-I109</f>
        <v>3</v>
      </c>
      <c r="CG109" s="129" t="str">
        <f t="shared" si="68"/>
        <v>Y</v>
      </c>
      <c r="CI109" s="129" t="str">
        <f t="shared" si="69"/>
        <v>0-10 DAYS</v>
      </c>
      <c r="CJ109" s="137">
        <f t="shared" si="70"/>
        <v>1</v>
      </c>
      <c r="CK109" s="129" t="str">
        <f t="shared" si="71"/>
        <v>Booked</v>
      </c>
    </row>
    <row r="110" spans="1:89" ht="15.75" customHeight="1" x14ac:dyDescent="0.25">
      <c r="A110" s="111">
        <v>662</v>
      </c>
      <c r="B110" s="128" t="str">
        <f t="shared" si="54"/>
        <v>N</v>
      </c>
      <c r="C110" s="128" t="str">
        <f t="shared" si="55"/>
        <v>N</v>
      </c>
      <c r="D110" s="117">
        <v>469117</v>
      </c>
      <c r="E110" s="135">
        <f t="shared" si="56"/>
        <v>5</v>
      </c>
      <c r="F110" s="124">
        <v>40935</v>
      </c>
      <c r="G110" s="125">
        <v>40938</v>
      </c>
      <c r="H110" s="117">
        <v>469117</v>
      </c>
      <c r="I110" s="124">
        <v>40935</v>
      </c>
      <c r="J110" s="124">
        <v>40938</v>
      </c>
      <c r="K110" s="126">
        <v>15000</v>
      </c>
      <c r="L110" s="127" t="s">
        <v>571</v>
      </c>
      <c r="N110" s="129" t="str">
        <f t="shared" si="90"/>
        <v>N</v>
      </c>
      <c r="O110" s="128" t="s">
        <v>917</v>
      </c>
      <c r="P110" s="129" t="s">
        <v>39</v>
      </c>
      <c r="Q110" s="111">
        <f t="shared" si="92"/>
        <v>4</v>
      </c>
      <c r="R110" s="111">
        <f t="shared" si="48"/>
        <v>4</v>
      </c>
      <c r="S110" s="129">
        <v>6</v>
      </c>
      <c r="T110" s="129">
        <v>1</v>
      </c>
      <c r="U110" s="129">
        <v>2</v>
      </c>
      <c r="V110" s="117">
        <v>2</v>
      </c>
      <c r="W110" s="111"/>
      <c r="AC110" s="130"/>
      <c r="AD110" s="130">
        <v>23793</v>
      </c>
      <c r="AE110" s="128" t="s">
        <v>32</v>
      </c>
      <c r="AF110" s="128" t="s">
        <v>69</v>
      </c>
      <c r="AG110" s="128" t="s">
        <v>874</v>
      </c>
      <c r="AH110" s="108" t="s">
        <v>31</v>
      </c>
      <c r="AI110" s="128" t="s">
        <v>34</v>
      </c>
      <c r="AJ110" s="129" t="s">
        <v>89</v>
      </c>
      <c r="AK110" s="129">
        <v>1</v>
      </c>
      <c r="AL110" s="3" t="s">
        <v>992</v>
      </c>
      <c r="AN110" s="117">
        <v>7</v>
      </c>
      <c r="AP110" s="129" t="s">
        <v>43</v>
      </c>
      <c r="AR110" s="128" t="s">
        <v>44</v>
      </c>
      <c r="AS110" s="129" t="s">
        <v>45</v>
      </c>
      <c r="BC110" s="129" t="s">
        <v>38</v>
      </c>
      <c r="BF110" s="111">
        <f t="shared" si="93"/>
        <v>4</v>
      </c>
      <c r="BG110" s="111">
        <f t="shared" si="88"/>
        <v>4</v>
      </c>
      <c r="BH110" s="111">
        <f t="shared" si="50"/>
        <v>4</v>
      </c>
      <c r="BI110" s="111">
        <f t="shared" si="51"/>
        <v>46.83606557377049</v>
      </c>
      <c r="BJ110" s="129">
        <f t="shared" si="72"/>
        <v>0</v>
      </c>
      <c r="BK110" s="129">
        <f t="shared" si="52"/>
        <v>0</v>
      </c>
      <c r="BL110" s="129" t="str">
        <f t="shared" si="53"/>
        <v>CONVICTION</v>
      </c>
      <c r="BM110" s="129" t="str">
        <f t="shared" si="73"/>
        <v>NONE</v>
      </c>
      <c r="BN110" s="129" t="s">
        <v>566</v>
      </c>
      <c r="BP110" s="137" t="str">
        <f t="shared" si="57"/>
        <v>CONVICTION</v>
      </c>
      <c r="BQ110" s="128" t="str">
        <f t="shared" si="58"/>
        <v>Y</v>
      </c>
      <c r="BR110" s="129" t="str">
        <f t="shared" si="59"/>
        <v>DETAINED</v>
      </c>
      <c r="BS110" s="129" t="str">
        <f t="shared" si="74"/>
        <v>DISPOSED</v>
      </c>
      <c r="BT110" s="129" t="str">
        <f t="shared" si="60"/>
        <v>Y</v>
      </c>
      <c r="BU110" s="109">
        <f t="shared" si="75"/>
        <v>1</v>
      </c>
      <c r="BV110" s="109">
        <f t="shared" si="61"/>
        <v>1</v>
      </c>
      <c r="BW110" s="109">
        <f t="shared" si="62"/>
        <v>0</v>
      </c>
      <c r="BX110" s="111">
        <f t="shared" si="63"/>
        <v>0</v>
      </c>
      <c r="BY110" s="129">
        <f t="shared" si="64"/>
        <v>-4</v>
      </c>
      <c r="BZ110" s="111">
        <f t="shared" si="65"/>
        <v>0</v>
      </c>
      <c r="CA110" s="138">
        <f t="shared" si="66"/>
        <v>4</v>
      </c>
      <c r="CB110" s="111" t="e">
        <f t="shared" si="94"/>
        <v>#VALUE!</v>
      </c>
      <c r="CC110" s="129">
        <f>G110-I110+1</f>
        <v>4</v>
      </c>
      <c r="CD110" s="129">
        <f t="shared" si="91"/>
        <v>0</v>
      </c>
      <c r="CE110" s="129">
        <f t="shared" si="67"/>
        <v>0</v>
      </c>
      <c r="CF110" s="129">
        <f>J110-I110</f>
        <v>3</v>
      </c>
      <c r="CG110" s="129" t="str">
        <f t="shared" si="68"/>
        <v>Y</v>
      </c>
      <c r="CI110" s="129" t="str">
        <f t="shared" si="69"/>
        <v>0-10 DAYS</v>
      </c>
      <c r="CJ110" s="137">
        <f t="shared" si="70"/>
        <v>1</v>
      </c>
      <c r="CK110" s="129" t="str">
        <f t="shared" si="71"/>
        <v>Booked</v>
      </c>
    </row>
    <row r="111" spans="1:89" ht="15" customHeight="1" x14ac:dyDescent="0.25">
      <c r="A111" s="111">
        <v>2442</v>
      </c>
      <c r="B111" s="128" t="str">
        <f t="shared" si="54"/>
        <v>N</v>
      </c>
      <c r="C111" s="128" t="str">
        <f t="shared" si="55"/>
        <v>N</v>
      </c>
      <c r="D111" s="117">
        <v>469191</v>
      </c>
      <c r="E111" s="135">
        <f t="shared" si="56"/>
        <v>3</v>
      </c>
      <c r="F111" s="124">
        <v>41001</v>
      </c>
      <c r="G111" s="125">
        <v>41198</v>
      </c>
      <c r="H111" s="117">
        <v>469191</v>
      </c>
      <c r="I111" s="124">
        <v>41001</v>
      </c>
      <c r="J111" s="124">
        <v>41002</v>
      </c>
      <c r="K111" s="126">
        <v>10000</v>
      </c>
      <c r="L111" s="127" t="s">
        <v>570</v>
      </c>
      <c r="M111" s="125">
        <v>41002</v>
      </c>
      <c r="N111" s="129" t="str">
        <f t="shared" si="90"/>
        <v>Y</v>
      </c>
      <c r="O111" s="128" t="s">
        <v>585</v>
      </c>
      <c r="P111" s="129" t="s">
        <v>39</v>
      </c>
      <c r="Q111" s="111">
        <f t="shared" si="92"/>
        <v>2</v>
      </c>
      <c r="R111" s="111">
        <f t="shared" si="48"/>
        <v>198</v>
      </c>
      <c r="S111" s="129">
        <v>0</v>
      </c>
      <c r="T111" s="129">
        <v>2</v>
      </c>
      <c r="W111" s="111"/>
      <c r="AC111" s="130"/>
      <c r="AD111" s="130">
        <v>23931</v>
      </c>
      <c r="AE111" s="128" t="s">
        <v>32</v>
      </c>
      <c r="AF111" s="128" t="s">
        <v>69</v>
      </c>
      <c r="AG111" s="128" t="s">
        <v>874</v>
      </c>
      <c r="AH111" s="108" t="s">
        <v>31</v>
      </c>
      <c r="AI111" s="128" t="s">
        <v>85</v>
      </c>
      <c r="AJ111" s="129" t="s">
        <v>89</v>
      </c>
      <c r="AK111" s="129">
        <v>8</v>
      </c>
      <c r="AL111" s="3" t="s">
        <v>185</v>
      </c>
      <c r="AP111" s="129" t="s">
        <v>66</v>
      </c>
      <c r="AR111" s="128" t="s">
        <v>67</v>
      </c>
      <c r="AS111" s="129" t="s">
        <v>68</v>
      </c>
      <c r="AU111" s="129" t="s">
        <v>1282</v>
      </c>
      <c r="AX111" s="32"/>
      <c r="BC111" s="129" t="s">
        <v>52</v>
      </c>
      <c r="BE111" s="129" t="s">
        <v>1283</v>
      </c>
      <c r="BF111" s="111">
        <v>2</v>
      </c>
      <c r="BG111" s="111">
        <f t="shared" si="88"/>
        <v>198</v>
      </c>
      <c r="BH111" s="111">
        <f t="shared" si="50"/>
        <v>198</v>
      </c>
      <c r="BI111" s="111">
        <f t="shared" si="51"/>
        <v>46.639344262295083</v>
      </c>
      <c r="BJ111" s="129">
        <f>(G111-J111)+(M111-G111)</f>
        <v>0</v>
      </c>
      <c r="BK111" s="129">
        <f t="shared" si="52"/>
        <v>-196</v>
      </c>
      <c r="BL111" s="129" t="str">
        <f t="shared" si="53"/>
        <v>CONVICTION</v>
      </c>
      <c r="BM111" s="129" t="s">
        <v>76</v>
      </c>
      <c r="BN111" s="129" t="s">
        <v>88</v>
      </c>
      <c r="BP111" s="137" t="str">
        <f t="shared" si="57"/>
        <v>CONVICTION</v>
      </c>
      <c r="BQ111" s="128" t="str">
        <f t="shared" si="58"/>
        <v>Y</v>
      </c>
      <c r="BR111" s="129" t="str">
        <f>IF(J111&lt;G111,"ON BOND",0)</f>
        <v>ON BOND</v>
      </c>
      <c r="BS111" s="129" t="str">
        <f t="shared" si="74"/>
        <v>DISPOSED</v>
      </c>
      <c r="BT111" s="129" t="str">
        <f t="shared" si="60"/>
        <v>N</v>
      </c>
      <c r="BU111" s="109">
        <f t="shared" si="75"/>
        <v>1.0101010101010102E-2</v>
      </c>
      <c r="BV111" s="109">
        <f t="shared" si="61"/>
        <v>1.0101010101010102E-2</v>
      </c>
      <c r="BW111" s="109">
        <f t="shared" si="62"/>
        <v>0</v>
      </c>
      <c r="BX111" s="111">
        <f t="shared" si="63"/>
        <v>0</v>
      </c>
      <c r="BY111" s="129">
        <f t="shared" si="64"/>
        <v>-2</v>
      </c>
      <c r="BZ111" s="111">
        <f t="shared" si="65"/>
        <v>0</v>
      </c>
      <c r="CA111" s="138">
        <f t="shared" si="66"/>
        <v>2</v>
      </c>
      <c r="CB111" s="111" t="e">
        <f t="shared" si="94"/>
        <v>#VALUE!</v>
      </c>
      <c r="CD111" s="129">
        <f t="shared" si="91"/>
        <v>196</v>
      </c>
      <c r="CE111" s="129">
        <f t="shared" si="67"/>
        <v>196</v>
      </c>
      <c r="CF111" s="129">
        <f>I111-J111</f>
        <v>-1</v>
      </c>
      <c r="CG111" s="129" t="str">
        <f t="shared" si="68"/>
        <v>Y</v>
      </c>
      <c r="CI111" s="129" t="str">
        <f t="shared" si="69"/>
        <v>0-10 DAYS</v>
      </c>
      <c r="CJ111" s="137">
        <f t="shared" si="70"/>
        <v>1</v>
      </c>
      <c r="CK111" s="129" t="str">
        <f t="shared" si="71"/>
        <v>Booked</v>
      </c>
    </row>
    <row r="112" spans="1:89" ht="15" customHeight="1" x14ac:dyDescent="0.25">
      <c r="A112" s="111">
        <v>1355</v>
      </c>
      <c r="B112" s="128" t="str">
        <f t="shared" si="54"/>
        <v>N</v>
      </c>
      <c r="C112" s="128" t="str">
        <f t="shared" si="55"/>
        <v>N</v>
      </c>
      <c r="D112" s="117">
        <v>473333</v>
      </c>
      <c r="E112" s="135">
        <f t="shared" si="56"/>
        <v>5</v>
      </c>
      <c r="F112" s="124">
        <v>40958</v>
      </c>
      <c r="G112" s="125">
        <v>41089</v>
      </c>
      <c r="H112" s="117">
        <v>473333</v>
      </c>
      <c r="I112" s="124">
        <v>40958</v>
      </c>
      <c r="J112" s="124">
        <v>41089</v>
      </c>
      <c r="K112" s="126">
        <v>15000</v>
      </c>
      <c r="L112" s="127" t="s">
        <v>571</v>
      </c>
      <c r="N112" s="129" t="str">
        <f t="shared" si="90"/>
        <v>N</v>
      </c>
      <c r="O112" s="128" t="s">
        <v>917</v>
      </c>
      <c r="P112" s="129" t="s">
        <v>39</v>
      </c>
      <c r="Q112" s="111">
        <f t="shared" si="92"/>
        <v>132</v>
      </c>
      <c r="R112" s="111">
        <f t="shared" si="48"/>
        <v>132</v>
      </c>
      <c r="S112" s="129">
        <v>2</v>
      </c>
      <c r="T112" s="129">
        <v>5</v>
      </c>
      <c r="U112" s="129">
        <v>2</v>
      </c>
      <c r="W112" s="111"/>
      <c r="AC112" s="130"/>
      <c r="AD112" s="130">
        <v>23802</v>
      </c>
      <c r="AE112" s="128" t="s">
        <v>32</v>
      </c>
      <c r="AF112" s="128" t="s">
        <v>33</v>
      </c>
      <c r="AG112" s="128" t="s">
        <v>872</v>
      </c>
      <c r="AH112" s="108" t="s">
        <v>58</v>
      </c>
      <c r="AI112" s="128" t="s">
        <v>141</v>
      </c>
      <c r="AJ112" s="129" t="s">
        <v>89</v>
      </c>
      <c r="AK112" s="129">
        <v>6</v>
      </c>
      <c r="AL112" s="3" t="s">
        <v>992</v>
      </c>
      <c r="AN112" s="117">
        <v>9</v>
      </c>
      <c r="AP112" s="129" t="s">
        <v>43</v>
      </c>
      <c r="AR112" s="128" t="s">
        <v>44</v>
      </c>
      <c r="AS112" s="129" t="s">
        <v>45</v>
      </c>
      <c r="BC112" s="129" t="s">
        <v>38</v>
      </c>
      <c r="BF112" s="111">
        <f t="shared" si="93"/>
        <v>132</v>
      </c>
      <c r="BG112" s="111">
        <f t="shared" si="88"/>
        <v>132</v>
      </c>
      <c r="BH112" s="111">
        <f t="shared" si="50"/>
        <v>132</v>
      </c>
      <c r="BI112" s="111">
        <f t="shared" si="51"/>
        <v>46.874316939890711</v>
      </c>
      <c r="BJ112" s="129">
        <f t="shared" si="72"/>
        <v>0</v>
      </c>
      <c r="BK112" s="129">
        <f t="shared" si="52"/>
        <v>0</v>
      </c>
      <c r="BL112" s="129" t="str">
        <f t="shared" si="53"/>
        <v>CONVICTION</v>
      </c>
      <c r="BM112" s="129" t="str">
        <f t="shared" si="73"/>
        <v>NONE</v>
      </c>
      <c r="BN112" s="129" t="s">
        <v>566</v>
      </c>
      <c r="BP112" s="137" t="str">
        <f t="shared" si="57"/>
        <v>CONVICTION</v>
      </c>
      <c r="BQ112" s="128" t="str">
        <f t="shared" si="58"/>
        <v>Y</v>
      </c>
      <c r="BR112" s="129" t="str">
        <f t="shared" si="59"/>
        <v>DETAINED</v>
      </c>
      <c r="BS112" s="129" t="str">
        <f t="shared" si="74"/>
        <v>DISPOSED</v>
      </c>
      <c r="BT112" s="129" t="str">
        <f t="shared" si="60"/>
        <v>Y</v>
      </c>
      <c r="BU112" s="109">
        <f t="shared" si="75"/>
        <v>1</v>
      </c>
      <c r="BV112" s="109">
        <f t="shared" si="61"/>
        <v>1</v>
      </c>
      <c r="BW112" s="109">
        <f t="shared" si="62"/>
        <v>0</v>
      </c>
      <c r="BX112" s="111">
        <f t="shared" si="63"/>
        <v>0</v>
      </c>
      <c r="BY112" s="129">
        <f t="shared" si="64"/>
        <v>-132</v>
      </c>
      <c r="BZ112" s="111">
        <f t="shared" si="65"/>
        <v>0</v>
      </c>
      <c r="CA112" s="138">
        <f t="shared" si="66"/>
        <v>132</v>
      </c>
      <c r="CB112" s="111" t="e">
        <f t="shared" si="94"/>
        <v>#VALUE!</v>
      </c>
      <c r="CC112" s="129">
        <f>G112-I112+1</f>
        <v>132</v>
      </c>
      <c r="CD112" s="129">
        <f t="shared" si="91"/>
        <v>0</v>
      </c>
      <c r="CE112" s="129">
        <f t="shared" si="67"/>
        <v>0</v>
      </c>
      <c r="CF112" s="129">
        <f t="shared" ref="CF112:CF131" si="95">J112-I112</f>
        <v>131</v>
      </c>
      <c r="CG112" s="129" t="str">
        <f t="shared" si="68"/>
        <v>Y</v>
      </c>
      <c r="CI112" s="129" t="str">
        <f t="shared" si="69"/>
        <v>121-365 DAYS</v>
      </c>
      <c r="CJ112" s="137">
        <f t="shared" si="70"/>
        <v>6</v>
      </c>
      <c r="CK112" s="129" t="str">
        <f t="shared" si="71"/>
        <v>Booked</v>
      </c>
    </row>
    <row r="113" spans="1:89" ht="15.75" customHeight="1" x14ac:dyDescent="0.25">
      <c r="A113" s="111">
        <v>2332</v>
      </c>
      <c r="B113" s="128" t="str">
        <f t="shared" si="54"/>
        <v>N</v>
      </c>
      <c r="C113" s="128" t="str">
        <f t="shared" si="55"/>
        <v>N</v>
      </c>
      <c r="D113" s="117">
        <v>477188</v>
      </c>
      <c r="E113" s="135">
        <f t="shared" si="56"/>
        <v>1</v>
      </c>
      <c r="F113" s="124">
        <v>40997</v>
      </c>
      <c r="G113" s="125">
        <v>41001</v>
      </c>
      <c r="H113" s="117">
        <v>477188</v>
      </c>
      <c r="I113" s="124">
        <v>40997</v>
      </c>
      <c r="J113" s="124">
        <v>41001</v>
      </c>
      <c r="K113" s="126">
        <v>15000</v>
      </c>
      <c r="L113" s="127" t="s">
        <v>571</v>
      </c>
      <c r="N113" s="129" t="str">
        <f t="shared" si="90"/>
        <v>N</v>
      </c>
      <c r="O113" s="128" t="s">
        <v>917</v>
      </c>
      <c r="P113" s="129" t="s">
        <v>55</v>
      </c>
      <c r="Q113" s="111">
        <f t="shared" si="92"/>
        <v>5</v>
      </c>
      <c r="R113" s="111">
        <f t="shared" si="48"/>
        <v>5</v>
      </c>
      <c r="S113" s="129">
        <v>3</v>
      </c>
      <c r="T113" s="129">
        <v>1</v>
      </c>
      <c r="U113" s="129">
        <v>2</v>
      </c>
      <c r="W113" s="111"/>
      <c r="AC113" s="130"/>
      <c r="AD113" s="130">
        <v>20523</v>
      </c>
      <c r="AE113" s="128" t="s">
        <v>32</v>
      </c>
      <c r="AF113" s="128" t="s">
        <v>40</v>
      </c>
      <c r="AG113" s="128" t="s">
        <v>41</v>
      </c>
      <c r="AH113" s="108" t="s">
        <v>41</v>
      </c>
      <c r="AI113" s="128" t="s">
        <v>85</v>
      </c>
      <c r="AJ113" s="129" t="s">
        <v>55</v>
      </c>
      <c r="AK113" s="129">
        <v>3</v>
      </c>
      <c r="AL113" s="3" t="s">
        <v>55</v>
      </c>
      <c r="AP113" s="129" t="s">
        <v>43</v>
      </c>
      <c r="AR113" s="128" t="s">
        <v>44</v>
      </c>
      <c r="AS113" s="129" t="s">
        <v>45</v>
      </c>
      <c r="BC113" s="129" t="s">
        <v>38</v>
      </c>
      <c r="BF113" s="111">
        <f t="shared" si="93"/>
        <v>5</v>
      </c>
      <c r="BG113" s="111">
        <f t="shared" si="88"/>
        <v>5</v>
      </c>
      <c r="BH113" s="111">
        <f t="shared" si="50"/>
        <v>5</v>
      </c>
      <c r="BI113" s="111">
        <f t="shared" si="51"/>
        <v>55.939890710382514</v>
      </c>
      <c r="BJ113" s="129">
        <f t="shared" si="72"/>
        <v>0</v>
      </c>
      <c r="BK113" s="129">
        <f t="shared" si="52"/>
        <v>0</v>
      </c>
      <c r="BL113" s="129" t="str">
        <f t="shared" si="53"/>
        <v>NO CONVICTION</v>
      </c>
      <c r="BM113" s="129" t="str">
        <f t="shared" si="73"/>
        <v>NONE</v>
      </c>
      <c r="BN113" s="129" t="s">
        <v>566</v>
      </c>
      <c r="BP113" s="137" t="str">
        <f t="shared" si="57"/>
        <v>NO CONVICTION</v>
      </c>
      <c r="BQ113" s="128" t="str">
        <f t="shared" si="58"/>
        <v>Y</v>
      </c>
      <c r="BR113" s="129" t="str">
        <f t="shared" si="59"/>
        <v>DETAINED</v>
      </c>
      <c r="BS113" s="129" t="str">
        <f t="shared" si="74"/>
        <v>DISPOSED</v>
      </c>
      <c r="BT113" s="129" t="str">
        <f t="shared" si="60"/>
        <v>Y</v>
      </c>
      <c r="BU113" s="109">
        <f>IFERROR(Q113/R113,BR113)</f>
        <v>1</v>
      </c>
      <c r="BV113" s="109">
        <f t="shared" si="61"/>
        <v>1</v>
      </c>
      <c r="BW113" s="109">
        <f t="shared" si="62"/>
        <v>0</v>
      </c>
      <c r="BX113" s="111">
        <f t="shared" si="63"/>
        <v>0</v>
      </c>
      <c r="BY113" s="129">
        <f t="shared" si="64"/>
        <v>-5</v>
      </c>
      <c r="BZ113" s="111">
        <f t="shared" si="65"/>
        <v>0</v>
      </c>
      <c r="CA113" s="138">
        <f t="shared" si="66"/>
        <v>5</v>
      </c>
      <c r="CB113" s="111" t="e">
        <f t="shared" si="94"/>
        <v>#VALUE!</v>
      </c>
      <c r="CC113" s="129">
        <f>G113-I113+1</f>
        <v>5</v>
      </c>
      <c r="CD113" s="129">
        <f t="shared" si="91"/>
        <v>0</v>
      </c>
      <c r="CE113" s="129">
        <f t="shared" si="67"/>
        <v>0</v>
      </c>
      <c r="CF113" s="129">
        <f t="shared" si="95"/>
        <v>4</v>
      </c>
      <c r="CG113" s="129" t="str">
        <f t="shared" si="68"/>
        <v>Y</v>
      </c>
      <c r="CI113" s="129" t="str">
        <f t="shared" si="69"/>
        <v>0-10 DAYS</v>
      </c>
      <c r="CJ113" s="137">
        <f t="shared" si="70"/>
        <v>1</v>
      </c>
      <c r="CK113" s="129" t="str">
        <f t="shared" si="71"/>
        <v>Booked</v>
      </c>
    </row>
    <row r="114" spans="1:89" ht="15" customHeight="1" x14ac:dyDescent="0.25">
      <c r="A114" s="111">
        <v>757</v>
      </c>
      <c r="B114" s="128" t="str">
        <f t="shared" si="54"/>
        <v>N</v>
      </c>
      <c r="C114" s="128" t="str">
        <f t="shared" si="55"/>
        <v>N</v>
      </c>
      <c r="D114" s="117">
        <v>484867</v>
      </c>
      <c r="E114" s="135">
        <f t="shared" si="56"/>
        <v>1</v>
      </c>
      <c r="F114" s="124">
        <v>40938</v>
      </c>
      <c r="G114" s="125">
        <v>40968</v>
      </c>
      <c r="H114" s="117">
        <v>484867</v>
      </c>
      <c r="I114" s="124">
        <v>40938</v>
      </c>
      <c r="J114" s="124">
        <v>40968</v>
      </c>
      <c r="K114" s="126">
        <v>10000</v>
      </c>
      <c r="L114" s="127" t="s">
        <v>570</v>
      </c>
      <c r="N114" s="129" t="str">
        <f t="shared" si="90"/>
        <v>N</v>
      </c>
      <c r="O114" s="128" t="s">
        <v>917</v>
      </c>
      <c r="P114" s="129" t="s">
        <v>123</v>
      </c>
      <c r="Q114" s="111">
        <f t="shared" si="92"/>
        <v>31</v>
      </c>
      <c r="R114" s="111">
        <f t="shared" si="48"/>
        <v>31</v>
      </c>
      <c r="S114" s="129">
        <v>0</v>
      </c>
      <c r="T114" s="129">
        <v>0</v>
      </c>
      <c r="W114" s="111"/>
      <c r="AC114" s="130"/>
      <c r="AD114" s="130">
        <v>21554</v>
      </c>
      <c r="AE114" s="128" t="s">
        <v>32</v>
      </c>
      <c r="AF114" s="128" t="s">
        <v>69</v>
      </c>
      <c r="AG114" s="128" t="s">
        <v>874</v>
      </c>
      <c r="AH114" s="108" t="s">
        <v>58</v>
      </c>
      <c r="AI114" s="128" t="s">
        <v>83</v>
      </c>
      <c r="AJ114" s="129" t="s">
        <v>123</v>
      </c>
      <c r="AK114" s="129">
        <v>2</v>
      </c>
      <c r="AL114" s="3" t="s">
        <v>123</v>
      </c>
      <c r="AP114" s="129" t="s">
        <v>245</v>
      </c>
      <c r="AR114" s="128" t="s">
        <v>67</v>
      </c>
      <c r="AS114" s="129" t="s">
        <v>64</v>
      </c>
      <c r="BC114" s="129" t="s">
        <v>38</v>
      </c>
      <c r="BF114" s="111">
        <f t="shared" si="93"/>
        <v>31</v>
      </c>
      <c r="BG114" s="111">
        <f t="shared" si="88"/>
        <v>31</v>
      </c>
      <c r="BH114" s="111">
        <f t="shared" si="50"/>
        <v>31</v>
      </c>
      <c r="BI114" s="111">
        <f t="shared" si="51"/>
        <v>52.961748633879779</v>
      </c>
      <c r="BJ114" s="129">
        <f t="shared" si="72"/>
        <v>0</v>
      </c>
      <c r="BK114" s="129">
        <f t="shared" si="52"/>
        <v>0</v>
      </c>
      <c r="BL114" s="129" t="str">
        <f t="shared" si="53"/>
        <v>NO CONVICTION</v>
      </c>
      <c r="BM114" s="129" t="str">
        <f t="shared" si="73"/>
        <v>NONE</v>
      </c>
      <c r="BN114" s="129" t="s">
        <v>566</v>
      </c>
      <c r="BP114" s="137" t="str">
        <f t="shared" si="57"/>
        <v>NO CONVICTION</v>
      </c>
      <c r="BQ114" s="128" t="str">
        <f t="shared" si="58"/>
        <v>Y</v>
      </c>
      <c r="BR114" s="129" t="str">
        <f t="shared" si="59"/>
        <v>DETAINED</v>
      </c>
      <c r="BS114" s="129" t="str">
        <f t="shared" si="74"/>
        <v>DISPOSED</v>
      </c>
      <c r="BT114" s="129" t="str">
        <f t="shared" si="60"/>
        <v>N</v>
      </c>
      <c r="BU114" s="109">
        <f>IFERROR(Q114/R114,BR114)</f>
        <v>1</v>
      </c>
      <c r="BV114" s="109">
        <f t="shared" si="61"/>
        <v>1</v>
      </c>
      <c r="BW114" s="109">
        <f t="shared" si="62"/>
        <v>0</v>
      </c>
      <c r="BX114" s="111">
        <f t="shared" si="63"/>
        <v>0</v>
      </c>
      <c r="BY114" s="129">
        <f t="shared" si="64"/>
        <v>-31</v>
      </c>
      <c r="BZ114" s="111">
        <f t="shared" si="65"/>
        <v>0</v>
      </c>
      <c r="CA114" s="138">
        <f t="shared" si="66"/>
        <v>31</v>
      </c>
      <c r="CB114" s="111" t="e">
        <f t="shared" si="94"/>
        <v>#VALUE!</v>
      </c>
      <c r="CC114" s="129">
        <f>G114-I114+1</f>
        <v>31</v>
      </c>
      <c r="CD114" s="129">
        <f t="shared" si="91"/>
        <v>0</v>
      </c>
      <c r="CE114" s="129">
        <f t="shared" si="67"/>
        <v>0</v>
      </c>
      <c r="CF114" s="129">
        <f t="shared" si="95"/>
        <v>30</v>
      </c>
      <c r="CG114" s="129" t="str">
        <f t="shared" si="68"/>
        <v>N</v>
      </c>
      <c r="CI114" s="129" t="str">
        <f t="shared" si="69"/>
        <v>31-60 DAYS</v>
      </c>
      <c r="CJ114" s="137">
        <f t="shared" si="70"/>
        <v>3</v>
      </c>
      <c r="CK114" s="129" t="str">
        <f t="shared" si="71"/>
        <v>Booked</v>
      </c>
    </row>
    <row r="115" spans="1:89" ht="15" customHeight="1" x14ac:dyDescent="0.25">
      <c r="A115" s="111">
        <v>2657</v>
      </c>
      <c r="B115" s="128" t="str">
        <f t="shared" si="54"/>
        <v>N</v>
      </c>
      <c r="C115" s="128" t="str">
        <f t="shared" si="55"/>
        <v>N</v>
      </c>
      <c r="D115" s="117">
        <v>487422</v>
      </c>
      <c r="E115" s="135">
        <f t="shared" si="56"/>
        <v>3</v>
      </c>
      <c r="F115" s="124">
        <v>41007</v>
      </c>
      <c r="G115" s="125">
        <v>41703</v>
      </c>
      <c r="H115" s="117">
        <v>487422</v>
      </c>
      <c r="I115" s="124" t="s">
        <v>562</v>
      </c>
      <c r="J115" s="124" t="s">
        <v>562</v>
      </c>
      <c r="K115" s="126">
        <v>5000</v>
      </c>
      <c r="L115" s="127" t="s">
        <v>569</v>
      </c>
      <c r="M115" s="125">
        <v>41009</v>
      </c>
      <c r="N115" s="129" t="str">
        <f>IF(M115&gt;1/1/1,"Y",IF(Q115="NOT BOOKED","","N"))</f>
        <v>Y</v>
      </c>
      <c r="O115" s="128" t="s">
        <v>76</v>
      </c>
      <c r="P115" s="129" t="s">
        <v>39</v>
      </c>
      <c r="Q115" s="111">
        <v>0</v>
      </c>
      <c r="R115" s="111">
        <f t="shared" si="48"/>
        <v>697</v>
      </c>
      <c r="S115" s="129">
        <v>1</v>
      </c>
      <c r="T115" s="129">
        <v>14</v>
      </c>
      <c r="W115" s="111">
        <v>7</v>
      </c>
      <c r="AC115" s="130"/>
      <c r="AD115" s="130">
        <v>22847</v>
      </c>
      <c r="AE115" s="128" t="s">
        <v>32</v>
      </c>
      <c r="AF115" s="128" t="s">
        <v>33</v>
      </c>
      <c r="AG115" s="128" t="s">
        <v>872</v>
      </c>
      <c r="AH115" s="108" t="s">
        <v>31</v>
      </c>
      <c r="AI115" s="128" t="s">
        <v>80</v>
      </c>
      <c r="AJ115" s="129" t="s">
        <v>89</v>
      </c>
      <c r="AK115" s="129">
        <v>16</v>
      </c>
      <c r="AL115" s="3" t="s">
        <v>185</v>
      </c>
      <c r="AP115" s="129" t="s">
        <v>151</v>
      </c>
      <c r="AR115" s="128" t="s">
        <v>67</v>
      </c>
      <c r="AS115" s="129" t="s">
        <v>64</v>
      </c>
      <c r="BC115" s="129" t="s">
        <v>52</v>
      </c>
      <c r="BF115" s="111">
        <v>0</v>
      </c>
      <c r="BG115" s="111">
        <v>0</v>
      </c>
      <c r="BH115" s="111">
        <f t="shared" si="50"/>
        <v>697</v>
      </c>
      <c r="BI115" s="111">
        <f t="shared" si="51"/>
        <v>49.617486338797811</v>
      </c>
      <c r="BJ115" s="129" t="e">
        <f>(G115-J115)+(M115-G115)</f>
        <v>#VALUE!</v>
      </c>
      <c r="BK115" s="129" t="e">
        <f t="shared" si="52"/>
        <v>#VALUE!</v>
      </c>
      <c r="BL115" s="129" t="str">
        <f t="shared" si="53"/>
        <v>CONVICTION</v>
      </c>
      <c r="BM115" s="129" t="s">
        <v>76</v>
      </c>
      <c r="BN115" s="129" t="s">
        <v>88</v>
      </c>
      <c r="BP115" s="137" t="str">
        <f t="shared" si="57"/>
        <v>CONVICTION</v>
      </c>
      <c r="BQ115" s="128">
        <f t="shared" si="58"/>
        <v>0</v>
      </c>
      <c r="BR115" s="129" t="s">
        <v>575</v>
      </c>
      <c r="BS115" s="129" t="s">
        <v>1259</v>
      </c>
      <c r="BT115" s="129" t="str">
        <f t="shared" si="60"/>
        <v>Y</v>
      </c>
      <c r="BU115" s="109">
        <f>IFERROR(Q115/R115,BR115)</f>
        <v>0</v>
      </c>
      <c r="BV115" s="139">
        <v>0</v>
      </c>
      <c r="BW115" s="109">
        <v>0</v>
      </c>
      <c r="BX115" s="111">
        <f t="shared" si="63"/>
        <v>0</v>
      </c>
      <c r="BY115" s="129" t="e">
        <f t="shared" si="64"/>
        <v>#VALUE!</v>
      </c>
      <c r="BZ115" s="111" t="e">
        <f t="shared" si="65"/>
        <v>#VALUE!</v>
      </c>
      <c r="CA115" s="138" t="e">
        <f t="shared" si="66"/>
        <v>#VALUE!</v>
      </c>
      <c r="CB115" s="111">
        <v>0</v>
      </c>
      <c r="CC115" s="129">
        <v>0</v>
      </c>
      <c r="CE115" s="129" t="e">
        <f t="shared" si="67"/>
        <v>#VALUE!</v>
      </c>
      <c r="CF115" s="129" t="e">
        <f t="shared" si="95"/>
        <v>#VALUE!</v>
      </c>
      <c r="CG115" s="129" t="str">
        <f t="shared" si="68"/>
        <v>Y</v>
      </c>
      <c r="CH115" s="129" t="e">
        <v>#N/A</v>
      </c>
      <c r="CI115" s="129" t="str">
        <f t="shared" si="69"/>
        <v>0-10 DAYS</v>
      </c>
      <c r="CJ115" s="137">
        <f t="shared" si="70"/>
        <v>1</v>
      </c>
      <c r="CK115" s="129" t="str">
        <f t="shared" si="71"/>
        <v>Not Booked</v>
      </c>
    </row>
    <row r="116" spans="1:89" ht="15" customHeight="1" x14ac:dyDescent="0.25">
      <c r="A116" s="111">
        <v>3035</v>
      </c>
      <c r="B116" s="128" t="str">
        <f t="shared" si="54"/>
        <v>N</v>
      </c>
      <c r="C116" s="128" t="str">
        <f t="shared" si="55"/>
        <v>N</v>
      </c>
      <c r="D116" s="117">
        <v>495787</v>
      </c>
      <c r="E116" s="135">
        <f t="shared" si="56"/>
        <v>6</v>
      </c>
      <c r="F116" s="124">
        <v>41021</v>
      </c>
      <c r="G116" s="125">
        <v>41022</v>
      </c>
      <c r="H116" s="117">
        <v>495787</v>
      </c>
      <c r="I116" s="124">
        <v>41021</v>
      </c>
      <c r="J116" s="124">
        <v>41022</v>
      </c>
      <c r="K116" s="126" t="s">
        <v>564</v>
      </c>
      <c r="L116" s="127" t="s">
        <v>564</v>
      </c>
      <c r="N116" s="129" t="s">
        <v>566</v>
      </c>
      <c r="O116" s="128" t="s">
        <v>917</v>
      </c>
      <c r="P116" s="129" t="s">
        <v>39</v>
      </c>
      <c r="Q116" s="111">
        <f t="shared" si="92"/>
        <v>2</v>
      </c>
      <c r="R116" s="111">
        <f t="shared" si="48"/>
        <v>2</v>
      </c>
      <c r="S116" s="129">
        <v>3</v>
      </c>
      <c r="T116" s="129">
        <v>5</v>
      </c>
      <c r="U116" s="129">
        <v>3</v>
      </c>
      <c r="W116" s="111"/>
      <c r="AC116" s="130"/>
      <c r="AD116" s="130">
        <v>22269</v>
      </c>
      <c r="AE116" s="128" t="s">
        <v>32</v>
      </c>
      <c r="AF116" s="128" t="s">
        <v>40</v>
      </c>
      <c r="AG116" s="128" t="s">
        <v>41</v>
      </c>
      <c r="AH116" s="108" t="s">
        <v>41</v>
      </c>
      <c r="AI116" s="128" t="s">
        <v>87</v>
      </c>
      <c r="AJ116" s="129" t="s">
        <v>89</v>
      </c>
      <c r="AK116" s="129">
        <v>1</v>
      </c>
      <c r="AL116" s="3" t="s">
        <v>362</v>
      </c>
      <c r="AM116" s="117">
        <v>10</v>
      </c>
      <c r="AP116" s="129" t="s">
        <v>66</v>
      </c>
      <c r="AR116" s="128" t="s">
        <v>67</v>
      </c>
      <c r="AS116" s="129" t="s">
        <v>68</v>
      </c>
      <c r="BC116" s="129" t="s">
        <v>38</v>
      </c>
      <c r="BF116" s="111">
        <f t="shared" ref="BF116:BF158" si="96">IF(J116&gt;1/1/1900,((J116+1)-I116),"STILL OPEN")</f>
        <v>2</v>
      </c>
      <c r="BG116" s="111">
        <f t="shared" si="88"/>
        <v>2</v>
      </c>
      <c r="BH116" s="111">
        <f t="shared" si="50"/>
        <v>2</v>
      </c>
      <c r="BI116" s="111">
        <f t="shared" si="51"/>
        <v>51.234972677595628</v>
      </c>
      <c r="BJ116" s="129">
        <f t="shared" si="72"/>
        <v>0</v>
      </c>
      <c r="BK116" s="129">
        <f t="shared" si="52"/>
        <v>0</v>
      </c>
      <c r="BL116" s="129" t="str">
        <f t="shared" si="53"/>
        <v>CONVICTION</v>
      </c>
      <c r="BM116" s="129" t="str">
        <f t="shared" si="73"/>
        <v>NONE</v>
      </c>
      <c r="BN116" s="129" t="s">
        <v>566</v>
      </c>
      <c r="BP116" s="137" t="str">
        <f t="shared" si="57"/>
        <v>CONVICTION</v>
      </c>
      <c r="BQ116" s="128" t="str">
        <f t="shared" si="58"/>
        <v>Y</v>
      </c>
      <c r="BR116" s="129" t="str">
        <f t="shared" si="59"/>
        <v>DETAINED</v>
      </c>
      <c r="BS116" s="129" t="str">
        <f t="shared" si="74"/>
        <v>DISPOSED</v>
      </c>
      <c r="BT116" s="129" t="str">
        <f t="shared" si="60"/>
        <v>Y</v>
      </c>
      <c r="BU116" s="109">
        <f t="shared" si="75"/>
        <v>1</v>
      </c>
      <c r="BV116" s="109">
        <f t="shared" si="61"/>
        <v>1</v>
      </c>
      <c r="BW116" s="109">
        <f t="shared" ref="BW116:BW179" si="97">BV116-BU116</f>
        <v>0</v>
      </c>
      <c r="BX116" s="111">
        <f t="shared" si="63"/>
        <v>0</v>
      </c>
      <c r="BY116" s="129">
        <f t="shared" si="64"/>
        <v>-2</v>
      </c>
      <c r="BZ116" s="111">
        <f t="shared" si="65"/>
        <v>0</v>
      </c>
      <c r="CA116" s="138">
        <f t="shared" si="66"/>
        <v>2</v>
      </c>
      <c r="CB116" s="111" t="e">
        <f t="shared" ref="CB116:CB158" si="98">IF(AF116&gt;1/1/1900,((AF116+1)-AE116),"STILL OPEN")</f>
        <v>#VALUE!</v>
      </c>
      <c r="CC116" s="129">
        <f>G116-I116+1</f>
        <v>2</v>
      </c>
      <c r="CD116" s="129">
        <f>G116-J116</f>
        <v>0</v>
      </c>
      <c r="CE116" s="129">
        <f t="shared" si="67"/>
        <v>0</v>
      </c>
      <c r="CF116" s="129">
        <f t="shared" si="95"/>
        <v>1</v>
      </c>
      <c r="CG116" s="129" t="str">
        <f t="shared" si="68"/>
        <v>Y</v>
      </c>
      <c r="CI116" s="129" t="str">
        <f t="shared" si="69"/>
        <v>0-10 DAYS</v>
      </c>
      <c r="CJ116" s="137">
        <f t="shared" si="70"/>
        <v>1</v>
      </c>
      <c r="CK116" s="129" t="str">
        <f t="shared" si="71"/>
        <v>Booked</v>
      </c>
    </row>
    <row r="117" spans="1:89" ht="15.75" customHeight="1" x14ac:dyDescent="0.25">
      <c r="A117" s="111">
        <v>1374</v>
      </c>
      <c r="B117" s="128" t="str">
        <f t="shared" si="54"/>
        <v>N</v>
      </c>
      <c r="C117" s="128" t="str">
        <f t="shared" si="55"/>
        <v>N</v>
      </c>
      <c r="D117" s="117">
        <v>497960</v>
      </c>
      <c r="E117" s="135">
        <f t="shared" si="56"/>
        <v>1</v>
      </c>
      <c r="F117" s="124">
        <v>40959</v>
      </c>
      <c r="G117" s="125">
        <v>41152</v>
      </c>
      <c r="H117" s="117">
        <v>497960</v>
      </c>
      <c r="I117" s="124">
        <v>41010</v>
      </c>
      <c r="J117" s="124">
        <v>41152</v>
      </c>
      <c r="K117" s="126" t="s">
        <v>564</v>
      </c>
      <c r="L117" s="127" t="s">
        <v>564</v>
      </c>
      <c r="N117" s="129" t="s">
        <v>566</v>
      </c>
      <c r="O117" s="128" t="s">
        <v>917</v>
      </c>
      <c r="P117" s="129" t="s">
        <v>55</v>
      </c>
      <c r="Q117" s="111">
        <f t="shared" si="92"/>
        <v>143</v>
      </c>
      <c r="R117" s="111">
        <f t="shared" si="48"/>
        <v>194</v>
      </c>
      <c r="S117" s="129">
        <v>6</v>
      </c>
      <c r="T117" s="129">
        <v>5</v>
      </c>
      <c r="U117" s="129">
        <v>3</v>
      </c>
      <c r="W117" s="111"/>
      <c r="AC117" s="130"/>
      <c r="AD117" s="130">
        <v>23971</v>
      </c>
      <c r="AE117" s="128" t="s">
        <v>32</v>
      </c>
      <c r="AF117" s="128" t="s">
        <v>33</v>
      </c>
      <c r="AG117" s="128" t="s">
        <v>872</v>
      </c>
      <c r="AH117" s="108" t="s">
        <v>58</v>
      </c>
      <c r="AI117" s="128" t="s">
        <v>83</v>
      </c>
      <c r="AJ117" s="129" t="s">
        <v>55</v>
      </c>
      <c r="AK117" s="129">
        <v>6</v>
      </c>
      <c r="AL117" s="3" t="s">
        <v>55</v>
      </c>
      <c r="AP117" s="129" t="s">
        <v>108</v>
      </c>
      <c r="AR117" s="128" t="s">
        <v>44</v>
      </c>
      <c r="AS117" s="129" t="s">
        <v>61</v>
      </c>
      <c r="AT117" s="129" t="s">
        <v>627</v>
      </c>
      <c r="BC117" s="129" t="s">
        <v>38</v>
      </c>
      <c r="BF117" s="111">
        <f t="shared" si="96"/>
        <v>143</v>
      </c>
      <c r="BG117" s="111">
        <f t="shared" si="88"/>
        <v>143</v>
      </c>
      <c r="BH117" s="111">
        <f t="shared" si="50"/>
        <v>194</v>
      </c>
      <c r="BI117" s="111">
        <f t="shared" si="51"/>
        <v>46.415300546448087</v>
      </c>
      <c r="BJ117" s="129">
        <f t="shared" si="72"/>
        <v>0</v>
      </c>
      <c r="BK117" s="129">
        <f t="shared" si="52"/>
        <v>0</v>
      </c>
      <c r="BL117" s="129" t="str">
        <f t="shared" si="53"/>
        <v>NO CONVICTION</v>
      </c>
      <c r="BM117" s="129" t="str">
        <f t="shared" si="73"/>
        <v>NONE</v>
      </c>
      <c r="BN117" s="129" t="s">
        <v>566</v>
      </c>
      <c r="BP117" s="137" t="str">
        <f t="shared" si="57"/>
        <v>NO CONVICTION</v>
      </c>
      <c r="BQ117" s="128" t="str">
        <f t="shared" si="58"/>
        <v>Y</v>
      </c>
      <c r="BR117" s="129" t="str">
        <f t="shared" si="59"/>
        <v>DETAINED</v>
      </c>
      <c r="BS117" s="129" t="str">
        <f t="shared" si="74"/>
        <v>DISPOSED</v>
      </c>
      <c r="BT117" s="129" t="str">
        <f t="shared" si="60"/>
        <v>Y</v>
      </c>
      <c r="BU117" s="109">
        <f>IFERROR(Q117/R117,BR117)</f>
        <v>0.73711340206185572</v>
      </c>
      <c r="BV117" s="109">
        <f t="shared" si="61"/>
        <v>1</v>
      </c>
      <c r="BW117" s="109">
        <f t="shared" si="97"/>
        <v>0.26288659793814428</v>
      </c>
      <c r="BX117" s="111">
        <f t="shared" si="63"/>
        <v>0</v>
      </c>
      <c r="BY117" s="129">
        <f t="shared" si="64"/>
        <v>-143</v>
      </c>
      <c r="BZ117" s="111">
        <f t="shared" si="65"/>
        <v>0</v>
      </c>
      <c r="CA117" s="138">
        <f t="shared" si="66"/>
        <v>143</v>
      </c>
      <c r="CB117" s="111" t="e">
        <f t="shared" si="98"/>
        <v>#VALUE!</v>
      </c>
      <c r="CC117" s="129">
        <f>G117-I117+1</f>
        <v>143</v>
      </c>
      <c r="CD117" s="129">
        <f>G117-J117</f>
        <v>0</v>
      </c>
      <c r="CE117" s="129">
        <f t="shared" si="67"/>
        <v>0</v>
      </c>
      <c r="CF117" s="129">
        <f t="shared" si="95"/>
        <v>142</v>
      </c>
      <c r="CG117" s="129" t="str">
        <f t="shared" si="68"/>
        <v>Y</v>
      </c>
      <c r="CI117" s="129" t="str">
        <f t="shared" si="69"/>
        <v>121-365 DAYS</v>
      </c>
      <c r="CJ117" s="137">
        <f t="shared" si="70"/>
        <v>6</v>
      </c>
      <c r="CK117" s="129" t="str">
        <f t="shared" si="71"/>
        <v>Booked</v>
      </c>
    </row>
    <row r="118" spans="1:89" ht="15.75" customHeight="1" x14ac:dyDescent="0.25">
      <c r="A118" s="111">
        <v>1206</v>
      </c>
      <c r="B118" s="128" t="str">
        <f t="shared" si="54"/>
        <v>N</v>
      </c>
      <c r="C118" s="128" t="str">
        <f t="shared" si="55"/>
        <v>N</v>
      </c>
      <c r="D118" s="117">
        <v>504575</v>
      </c>
      <c r="E118" s="135">
        <f t="shared" si="56"/>
        <v>5</v>
      </c>
      <c r="F118" s="124">
        <v>40953</v>
      </c>
      <c r="G118" s="125">
        <v>40956</v>
      </c>
      <c r="H118" s="117">
        <v>504575</v>
      </c>
      <c r="I118" s="124">
        <v>40953</v>
      </c>
      <c r="J118" s="124">
        <v>40956</v>
      </c>
      <c r="K118" s="126">
        <v>15000</v>
      </c>
      <c r="L118" s="127" t="s">
        <v>571</v>
      </c>
      <c r="N118" s="129" t="str">
        <f>IF(M118&gt;1/1/1,"Y","N")</f>
        <v>N</v>
      </c>
      <c r="O118" s="128" t="s">
        <v>917</v>
      </c>
      <c r="P118" s="129" t="s">
        <v>39</v>
      </c>
      <c r="Q118" s="111">
        <f t="shared" si="92"/>
        <v>4</v>
      </c>
      <c r="R118" s="111">
        <f t="shared" si="48"/>
        <v>4</v>
      </c>
      <c r="S118" s="129">
        <v>11</v>
      </c>
      <c r="T118" s="129">
        <v>9</v>
      </c>
      <c r="U118" s="129">
        <v>7</v>
      </c>
      <c r="W118" s="111"/>
      <c r="AC118" s="130"/>
      <c r="AD118" s="130">
        <v>24110</v>
      </c>
      <c r="AE118" s="128" t="s">
        <v>32</v>
      </c>
      <c r="AF118" s="128" t="s">
        <v>33</v>
      </c>
      <c r="AG118" s="128" t="s">
        <v>872</v>
      </c>
      <c r="AH118" s="108" t="s">
        <v>31</v>
      </c>
      <c r="AI118" s="128" t="s">
        <v>59</v>
      </c>
      <c r="AJ118" s="129" t="s">
        <v>89</v>
      </c>
      <c r="AK118" s="129">
        <v>2</v>
      </c>
      <c r="AL118" s="3" t="s">
        <v>992</v>
      </c>
      <c r="AN118" s="117">
        <v>6</v>
      </c>
      <c r="AP118" s="129" t="s">
        <v>127</v>
      </c>
      <c r="AR118" s="128" t="s">
        <v>44</v>
      </c>
      <c r="AS118" s="129" t="s">
        <v>82</v>
      </c>
      <c r="AX118" s="32"/>
      <c r="BC118" s="129" t="s">
        <v>38</v>
      </c>
      <c r="BF118" s="111">
        <f t="shared" si="96"/>
        <v>4</v>
      </c>
      <c r="BG118" s="111">
        <f t="shared" si="88"/>
        <v>4</v>
      </c>
      <c r="BH118" s="111">
        <f t="shared" si="50"/>
        <v>4</v>
      </c>
      <c r="BI118" s="111">
        <f t="shared" si="51"/>
        <v>46.019125683060111</v>
      </c>
      <c r="BJ118" s="129">
        <f t="shared" si="72"/>
        <v>0</v>
      </c>
      <c r="BK118" s="129">
        <f t="shared" si="52"/>
        <v>0</v>
      </c>
      <c r="BL118" s="129" t="str">
        <f t="shared" si="53"/>
        <v>CONVICTION</v>
      </c>
      <c r="BM118" s="129" t="str">
        <f t="shared" si="73"/>
        <v>NONE</v>
      </c>
      <c r="BN118" s="129" t="s">
        <v>566</v>
      </c>
      <c r="BP118" s="137" t="str">
        <f t="shared" si="57"/>
        <v>CONVICTION</v>
      </c>
      <c r="BQ118" s="128" t="str">
        <f t="shared" si="58"/>
        <v>Y</v>
      </c>
      <c r="BR118" s="129" t="str">
        <f t="shared" si="59"/>
        <v>DETAINED</v>
      </c>
      <c r="BS118" s="129" t="str">
        <f t="shared" si="74"/>
        <v>DISPOSED</v>
      </c>
      <c r="BT118" s="129" t="str">
        <f t="shared" si="60"/>
        <v>Y</v>
      </c>
      <c r="BU118" s="109">
        <f t="shared" si="75"/>
        <v>1</v>
      </c>
      <c r="BV118" s="109">
        <f t="shared" si="61"/>
        <v>1</v>
      </c>
      <c r="BW118" s="109">
        <f t="shared" si="97"/>
        <v>0</v>
      </c>
      <c r="BX118" s="111">
        <f t="shared" si="63"/>
        <v>0</v>
      </c>
      <c r="BY118" s="129">
        <f t="shared" si="64"/>
        <v>-4</v>
      </c>
      <c r="BZ118" s="111">
        <f t="shared" si="65"/>
        <v>0</v>
      </c>
      <c r="CA118" s="138">
        <f t="shared" si="66"/>
        <v>4</v>
      </c>
      <c r="CB118" s="111" t="e">
        <f t="shared" si="98"/>
        <v>#VALUE!</v>
      </c>
      <c r="CC118" s="129">
        <f>G118-I118+1</f>
        <v>4</v>
      </c>
      <c r="CD118" s="129">
        <f>G118-J118</f>
        <v>0</v>
      </c>
      <c r="CE118" s="129">
        <f t="shared" si="67"/>
        <v>0</v>
      </c>
      <c r="CF118" s="129">
        <f t="shared" si="95"/>
        <v>3</v>
      </c>
      <c r="CG118" s="129" t="str">
        <f t="shared" si="68"/>
        <v>Y</v>
      </c>
      <c r="CI118" s="129" t="str">
        <f t="shared" si="69"/>
        <v>0-10 DAYS</v>
      </c>
      <c r="CJ118" s="137">
        <f t="shared" si="70"/>
        <v>1</v>
      </c>
      <c r="CK118" s="129" t="str">
        <f t="shared" si="71"/>
        <v>Booked</v>
      </c>
    </row>
    <row r="119" spans="1:89" ht="15" customHeight="1" x14ac:dyDescent="0.25">
      <c r="A119" s="111">
        <v>1450</v>
      </c>
      <c r="B119" s="128" t="str">
        <f t="shared" si="54"/>
        <v>N</v>
      </c>
      <c r="C119" s="128" t="str">
        <f t="shared" si="55"/>
        <v>N</v>
      </c>
      <c r="D119" s="117">
        <v>506901</v>
      </c>
      <c r="E119" s="135">
        <f t="shared" si="56"/>
        <v>1</v>
      </c>
      <c r="F119" s="124">
        <v>40962</v>
      </c>
      <c r="G119" s="125">
        <v>41017</v>
      </c>
      <c r="H119" s="117">
        <v>506901</v>
      </c>
      <c r="I119" s="124">
        <v>40962</v>
      </c>
      <c r="J119" s="124">
        <v>40976</v>
      </c>
      <c r="K119" s="126">
        <v>40000</v>
      </c>
      <c r="L119" s="129" t="s">
        <v>572</v>
      </c>
      <c r="M119" s="125">
        <v>40976</v>
      </c>
      <c r="N119" s="129" t="str">
        <f>IF(M119&gt;1/1/1,"Y","N")</f>
        <v>Y</v>
      </c>
      <c r="O119" s="128" t="s">
        <v>76</v>
      </c>
      <c r="P119" s="129" t="s">
        <v>55</v>
      </c>
      <c r="Q119" s="111">
        <f t="shared" si="92"/>
        <v>15</v>
      </c>
      <c r="R119" s="111">
        <f t="shared" si="48"/>
        <v>56</v>
      </c>
      <c r="S119" s="129">
        <v>2</v>
      </c>
      <c r="T119" s="129">
        <v>5</v>
      </c>
      <c r="U119" s="129">
        <v>1</v>
      </c>
      <c r="W119" s="111"/>
      <c r="AC119" s="130"/>
      <c r="AD119" s="130">
        <v>23401</v>
      </c>
      <c r="AE119" s="128" t="s">
        <v>32</v>
      </c>
      <c r="AF119" s="128" t="s">
        <v>69</v>
      </c>
      <c r="AG119" s="128" t="s">
        <v>874</v>
      </c>
      <c r="AH119" s="108" t="s">
        <v>58</v>
      </c>
      <c r="AI119" s="128" t="s">
        <v>114</v>
      </c>
      <c r="AJ119" s="129" t="s">
        <v>55</v>
      </c>
      <c r="AK119" s="129">
        <v>3</v>
      </c>
      <c r="AL119" s="3" t="s">
        <v>55</v>
      </c>
      <c r="AP119" s="129" t="s">
        <v>73</v>
      </c>
      <c r="AR119" s="128" t="s">
        <v>50</v>
      </c>
      <c r="AS119" s="129" t="s">
        <v>74</v>
      </c>
      <c r="BC119" s="129" t="s">
        <v>52</v>
      </c>
      <c r="BF119" s="111">
        <f t="shared" si="96"/>
        <v>15</v>
      </c>
      <c r="BG119" s="111">
        <f t="shared" si="88"/>
        <v>56</v>
      </c>
      <c r="BH119" s="111">
        <f t="shared" si="50"/>
        <v>56</v>
      </c>
      <c r="BI119" s="111">
        <f t="shared" si="51"/>
        <v>47.980874316939889</v>
      </c>
      <c r="BJ119" s="129">
        <f>(G119-J119)+(M119-G119)</f>
        <v>0</v>
      </c>
      <c r="BK119" s="129">
        <f t="shared" si="52"/>
        <v>-41</v>
      </c>
      <c r="BL119" s="129" t="str">
        <f t="shared" si="53"/>
        <v>NO CONVICTION</v>
      </c>
      <c r="BM119" s="129" t="s">
        <v>76</v>
      </c>
      <c r="BN119" s="129" t="s">
        <v>88</v>
      </c>
      <c r="BP119" s="137" t="str">
        <f t="shared" si="57"/>
        <v>NO CONVICTION</v>
      </c>
      <c r="BQ119" s="128" t="str">
        <f t="shared" si="58"/>
        <v>Y</v>
      </c>
      <c r="BR119" s="129" t="str">
        <f t="shared" si="59"/>
        <v>ON BOND</v>
      </c>
      <c r="BS119" s="129" t="str">
        <f t="shared" si="74"/>
        <v>DISPOSED</v>
      </c>
      <c r="BT119" s="129" t="str">
        <f t="shared" si="60"/>
        <v>Y</v>
      </c>
      <c r="BU119" s="109">
        <f>IFERROR(Q119/R119,BR119)</f>
        <v>0.26785714285714285</v>
      </c>
      <c r="BV119" s="109">
        <f t="shared" si="61"/>
        <v>0.26785714285714285</v>
      </c>
      <c r="BW119" s="109">
        <f t="shared" si="97"/>
        <v>0</v>
      </c>
      <c r="BX119" s="111">
        <f t="shared" si="63"/>
        <v>0</v>
      </c>
      <c r="BY119" s="129">
        <f t="shared" si="64"/>
        <v>-15</v>
      </c>
      <c r="BZ119" s="111">
        <f t="shared" si="65"/>
        <v>0</v>
      </c>
      <c r="CA119" s="138">
        <f t="shared" si="66"/>
        <v>15</v>
      </c>
      <c r="CB119" s="111" t="e">
        <f t="shared" si="98"/>
        <v>#VALUE!</v>
      </c>
      <c r="CC119" s="129">
        <f>M119-I119+1</f>
        <v>15</v>
      </c>
      <c r="CD119" s="111">
        <f>CC119-BF119</f>
        <v>0</v>
      </c>
      <c r="CE119" s="129">
        <f t="shared" si="67"/>
        <v>41</v>
      </c>
      <c r="CF119" s="129">
        <f t="shared" si="95"/>
        <v>14</v>
      </c>
      <c r="CG119" s="129" t="str">
        <f t="shared" si="68"/>
        <v>Y</v>
      </c>
      <c r="CI119" s="129" t="str">
        <f t="shared" si="69"/>
        <v>11-30 DAYS</v>
      </c>
      <c r="CJ119" s="137">
        <f t="shared" si="70"/>
        <v>2</v>
      </c>
      <c r="CK119" s="129" t="str">
        <f t="shared" si="71"/>
        <v>Booked</v>
      </c>
    </row>
    <row r="120" spans="1:89" ht="15.75" customHeight="1" x14ac:dyDescent="0.25">
      <c r="A120" s="111">
        <v>176</v>
      </c>
      <c r="B120" s="128" t="str">
        <f t="shared" si="54"/>
        <v>N</v>
      </c>
      <c r="C120" s="128" t="str">
        <f t="shared" si="55"/>
        <v>N</v>
      </c>
      <c r="D120" s="117">
        <v>507657</v>
      </c>
      <c r="E120" s="135">
        <f t="shared" si="56"/>
        <v>1</v>
      </c>
      <c r="F120" s="124">
        <v>40916</v>
      </c>
      <c r="G120" s="125">
        <v>40956</v>
      </c>
      <c r="H120" s="117">
        <v>507657</v>
      </c>
      <c r="I120" s="124">
        <v>40916</v>
      </c>
      <c r="J120" s="124">
        <v>40956</v>
      </c>
      <c r="K120" s="126">
        <v>20000</v>
      </c>
      <c r="L120" s="127" t="s">
        <v>571</v>
      </c>
      <c r="N120" s="129" t="str">
        <f>IF(M120&gt;1/1/1,"Y","N")</f>
        <v>N</v>
      </c>
      <c r="O120" s="128" t="s">
        <v>917</v>
      </c>
      <c r="P120" s="129" t="s">
        <v>55</v>
      </c>
      <c r="Q120" s="111">
        <f t="shared" si="92"/>
        <v>41</v>
      </c>
      <c r="R120" s="111">
        <f t="shared" si="48"/>
        <v>41</v>
      </c>
      <c r="S120" s="129">
        <v>1</v>
      </c>
      <c r="T120" s="129">
        <v>1</v>
      </c>
      <c r="W120" s="111"/>
      <c r="AC120" s="130"/>
      <c r="AD120" s="130">
        <v>20931</v>
      </c>
      <c r="AE120" s="128" t="s">
        <v>32</v>
      </c>
      <c r="AF120" s="128" t="s">
        <v>33</v>
      </c>
      <c r="AG120" s="128" t="s">
        <v>872</v>
      </c>
      <c r="AH120" s="108" t="s">
        <v>58</v>
      </c>
      <c r="AI120" s="128" t="s">
        <v>90</v>
      </c>
      <c r="AJ120" s="129" t="s">
        <v>55</v>
      </c>
      <c r="AK120" s="129">
        <v>3</v>
      </c>
      <c r="AL120" s="3" t="s">
        <v>55</v>
      </c>
      <c r="AP120" s="129" t="s">
        <v>162</v>
      </c>
      <c r="AR120" s="128" t="s">
        <v>92</v>
      </c>
      <c r="AS120" s="129" t="s">
        <v>163</v>
      </c>
      <c r="BC120" s="129" t="s">
        <v>38</v>
      </c>
      <c r="BF120" s="111">
        <f t="shared" si="96"/>
        <v>41</v>
      </c>
      <c r="BG120" s="111">
        <f t="shared" si="88"/>
        <v>41</v>
      </c>
      <c r="BH120" s="111">
        <f t="shared" si="50"/>
        <v>41</v>
      </c>
      <c r="BI120" s="111">
        <f t="shared" si="51"/>
        <v>54.603825136612024</v>
      </c>
      <c r="BJ120" s="129">
        <f t="shared" si="72"/>
        <v>0</v>
      </c>
      <c r="BK120" s="129">
        <f t="shared" si="52"/>
        <v>0</v>
      </c>
      <c r="BL120" s="129" t="str">
        <f t="shared" si="53"/>
        <v>NO CONVICTION</v>
      </c>
      <c r="BM120" s="129" t="str">
        <f t="shared" si="73"/>
        <v>NONE</v>
      </c>
      <c r="BN120" s="129" t="s">
        <v>566</v>
      </c>
      <c r="BP120" s="137" t="str">
        <f t="shared" si="57"/>
        <v>NO CONVICTION</v>
      </c>
      <c r="BQ120" s="128" t="str">
        <f t="shared" si="58"/>
        <v>Y</v>
      </c>
      <c r="BR120" s="129" t="str">
        <f t="shared" si="59"/>
        <v>DETAINED</v>
      </c>
      <c r="BS120" s="129" t="str">
        <f t="shared" si="74"/>
        <v>DISPOSED</v>
      </c>
      <c r="BT120" s="129" t="str">
        <f t="shared" si="60"/>
        <v>Y</v>
      </c>
      <c r="BU120" s="109">
        <f>IFERROR(Q120/R120,BR120)</f>
        <v>1</v>
      </c>
      <c r="BV120" s="109">
        <f t="shared" si="61"/>
        <v>1</v>
      </c>
      <c r="BW120" s="109">
        <f t="shared" si="97"/>
        <v>0</v>
      </c>
      <c r="BX120" s="111">
        <f t="shared" si="63"/>
        <v>0</v>
      </c>
      <c r="BY120" s="129">
        <f t="shared" si="64"/>
        <v>-41</v>
      </c>
      <c r="BZ120" s="111">
        <f t="shared" si="65"/>
        <v>0</v>
      </c>
      <c r="CA120" s="138">
        <f t="shared" si="66"/>
        <v>41</v>
      </c>
      <c r="CB120" s="111" t="e">
        <f t="shared" si="98"/>
        <v>#VALUE!</v>
      </c>
      <c r="CC120" s="129">
        <f>G120-I120+1</f>
        <v>41</v>
      </c>
      <c r="CD120" s="129">
        <f>G120-J120</f>
        <v>0</v>
      </c>
      <c r="CE120" s="129">
        <f t="shared" si="67"/>
        <v>0</v>
      </c>
      <c r="CF120" s="129">
        <f t="shared" si="95"/>
        <v>40</v>
      </c>
      <c r="CG120" s="129" t="str">
        <f t="shared" si="68"/>
        <v>Y</v>
      </c>
      <c r="CI120" s="129" t="str">
        <f t="shared" si="69"/>
        <v>31-60 DAYS</v>
      </c>
      <c r="CJ120" s="137">
        <f t="shared" si="70"/>
        <v>3</v>
      </c>
      <c r="CK120" s="129" t="str">
        <f t="shared" si="71"/>
        <v>Booked</v>
      </c>
    </row>
    <row r="121" spans="1:89" ht="15" customHeight="1" x14ac:dyDescent="0.25">
      <c r="A121" s="111">
        <v>1393</v>
      </c>
      <c r="B121" s="128" t="str">
        <f t="shared" si="54"/>
        <v>N</v>
      </c>
      <c r="C121" s="128" t="str">
        <f t="shared" si="55"/>
        <v>N</v>
      </c>
      <c r="D121" s="117">
        <v>509488</v>
      </c>
      <c r="E121" s="135">
        <f t="shared" si="56"/>
        <v>1</v>
      </c>
      <c r="F121" s="124">
        <v>40960</v>
      </c>
      <c r="G121" s="125">
        <v>40963</v>
      </c>
      <c r="H121" s="117">
        <v>509488</v>
      </c>
      <c r="I121" s="124">
        <v>40961</v>
      </c>
      <c r="J121" s="124">
        <v>40963</v>
      </c>
      <c r="K121" s="126" t="s">
        <v>564</v>
      </c>
      <c r="L121" s="127" t="s">
        <v>564</v>
      </c>
      <c r="N121" s="129" t="s">
        <v>566</v>
      </c>
      <c r="O121" s="128" t="s">
        <v>917</v>
      </c>
      <c r="P121" s="129" t="s">
        <v>55</v>
      </c>
      <c r="Q121" s="111">
        <f t="shared" si="92"/>
        <v>3</v>
      </c>
      <c r="R121" s="111">
        <f t="shared" si="48"/>
        <v>4</v>
      </c>
      <c r="S121" s="129">
        <v>2</v>
      </c>
      <c r="T121" s="129">
        <v>4</v>
      </c>
      <c r="U121" s="129">
        <v>1</v>
      </c>
      <c r="W121" s="111"/>
      <c r="AC121" s="130"/>
      <c r="AD121" s="130">
        <v>23251</v>
      </c>
      <c r="AE121" s="128" t="s">
        <v>46</v>
      </c>
      <c r="AF121" s="128" t="s">
        <v>69</v>
      </c>
      <c r="AG121" s="128" t="s">
        <v>874</v>
      </c>
      <c r="AH121" s="108" t="s">
        <v>58</v>
      </c>
      <c r="AI121" s="128" t="s">
        <v>72</v>
      </c>
      <c r="AJ121" s="129" t="s">
        <v>55</v>
      </c>
      <c r="AK121" s="129">
        <v>2</v>
      </c>
      <c r="AL121" s="3" t="s">
        <v>55</v>
      </c>
      <c r="AP121" s="129" t="s">
        <v>331</v>
      </c>
      <c r="AR121" s="128" t="s">
        <v>50</v>
      </c>
      <c r="AS121" s="129" t="s">
        <v>331</v>
      </c>
      <c r="BC121" s="129" t="s">
        <v>38</v>
      </c>
      <c r="BF121" s="111">
        <f t="shared" si="96"/>
        <v>3</v>
      </c>
      <c r="BG121" s="111">
        <f t="shared" si="88"/>
        <v>3</v>
      </c>
      <c r="BH121" s="111">
        <f t="shared" si="50"/>
        <v>4</v>
      </c>
      <c r="BI121" s="111">
        <f t="shared" si="51"/>
        <v>48.385245901639344</v>
      </c>
      <c r="BJ121" s="129">
        <f t="shared" si="72"/>
        <v>0</v>
      </c>
      <c r="BK121" s="129">
        <f t="shared" si="52"/>
        <v>0</v>
      </c>
      <c r="BL121" s="129" t="str">
        <f t="shared" si="53"/>
        <v>NO CONVICTION</v>
      </c>
      <c r="BM121" s="129" t="str">
        <f t="shared" si="73"/>
        <v>NONE</v>
      </c>
      <c r="BN121" s="129" t="s">
        <v>566</v>
      </c>
      <c r="BP121" s="137" t="str">
        <f t="shared" si="57"/>
        <v>NO CONVICTION</v>
      </c>
      <c r="BQ121" s="128" t="str">
        <f t="shared" si="58"/>
        <v>Y</v>
      </c>
      <c r="BR121" s="129" t="str">
        <f t="shared" si="59"/>
        <v>DETAINED</v>
      </c>
      <c r="BS121" s="129" t="str">
        <f t="shared" si="74"/>
        <v>DISPOSED</v>
      </c>
      <c r="BT121" s="129" t="str">
        <f t="shared" si="60"/>
        <v>Y</v>
      </c>
      <c r="BU121" s="109">
        <f>IFERROR(Q121/R121,BR121)</f>
        <v>0.75</v>
      </c>
      <c r="BV121" s="109">
        <f t="shared" si="61"/>
        <v>1</v>
      </c>
      <c r="BW121" s="109">
        <f t="shared" si="97"/>
        <v>0.25</v>
      </c>
      <c r="BX121" s="111">
        <f t="shared" si="63"/>
        <v>0</v>
      </c>
      <c r="BY121" s="129">
        <f t="shared" si="64"/>
        <v>-3</v>
      </c>
      <c r="BZ121" s="111">
        <f t="shared" si="65"/>
        <v>0</v>
      </c>
      <c r="CA121" s="138">
        <f t="shared" si="66"/>
        <v>3</v>
      </c>
      <c r="CB121" s="111" t="e">
        <f t="shared" si="98"/>
        <v>#VALUE!</v>
      </c>
      <c r="CC121" s="129">
        <f>G121-I121+1</f>
        <v>3</v>
      </c>
      <c r="CD121" s="129">
        <f>G121-J121</f>
        <v>0</v>
      </c>
      <c r="CE121" s="129">
        <f t="shared" si="67"/>
        <v>0</v>
      </c>
      <c r="CF121" s="129">
        <f t="shared" si="95"/>
        <v>2</v>
      </c>
      <c r="CG121" s="129" t="str">
        <f t="shared" si="68"/>
        <v>Y</v>
      </c>
      <c r="CI121" s="129" t="str">
        <f t="shared" si="69"/>
        <v>0-10 DAYS</v>
      </c>
      <c r="CJ121" s="137">
        <f t="shared" si="70"/>
        <v>1</v>
      </c>
      <c r="CK121" s="129" t="str">
        <f t="shared" si="71"/>
        <v>Booked</v>
      </c>
    </row>
    <row r="122" spans="1:89" ht="15.75" customHeight="1" x14ac:dyDescent="0.25">
      <c r="A122" s="111">
        <v>829</v>
      </c>
      <c r="B122" s="128" t="str">
        <f t="shared" si="54"/>
        <v>N</v>
      </c>
      <c r="C122" s="128" t="str">
        <f t="shared" si="55"/>
        <v>N</v>
      </c>
      <c r="D122" s="117">
        <v>514513</v>
      </c>
      <c r="E122" s="135">
        <f t="shared" si="56"/>
        <v>5</v>
      </c>
      <c r="F122" s="124">
        <v>40940</v>
      </c>
      <c r="G122" s="125">
        <v>41242</v>
      </c>
      <c r="H122" s="117">
        <v>514513</v>
      </c>
      <c r="I122" s="124">
        <v>40941</v>
      </c>
      <c r="J122" s="124">
        <v>40944</v>
      </c>
      <c r="K122" s="126">
        <v>15000</v>
      </c>
      <c r="L122" s="127" t="s">
        <v>571</v>
      </c>
      <c r="M122" s="125">
        <v>40944</v>
      </c>
      <c r="N122" s="129" t="str">
        <f>IF(M122&gt;1/1/1,"Y","N")</f>
        <v>Y</v>
      </c>
      <c r="O122" s="128" t="s">
        <v>76</v>
      </c>
      <c r="P122" s="129" t="s">
        <v>39</v>
      </c>
      <c r="Q122" s="111">
        <f t="shared" si="92"/>
        <v>4</v>
      </c>
      <c r="R122" s="111">
        <f t="shared" si="48"/>
        <v>303</v>
      </c>
      <c r="S122" s="129">
        <v>4</v>
      </c>
      <c r="T122" s="129">
        <v>7</v>
      </c>
      <c r="U122" s="129">
        <v>4</v>
      </c>
      <c r="W122" s="111"/>
      <c r="AC122" s="130"/>
      <c r="AD122" s="130">
        <v>24043</v>
      </c>
      <c r="AE122" s="128" t="s">
        <v>32</v>
      </c>
      <c r="AF122" s="128" t="s">
        <v>40</v>
      </c>
      <c r="AG122" s="128" t="s">
        <v>41</v>
      </c>
      <c r="AH122" s="108" t="s">
        <v>41</v>
      </c>
      <c r="AI122" s="128" t="s">
        <v>47</v>
      </c>
      <c r="AJ122" s="129" t="s">
        <v>89</v>
      </c>
      <c r="AK122" s="129">
        <v>14</v>
      </c>
      <c r="AL122" s="3" t="s">
        <v>992</v>
      </c>
      <c r="AN122" s="117">
        <v>12</v>
      </c>
      <c r="AP122" s="129" t="s">
        <v>107</v>
      </c>
      <c r="AR122" s="128" t="s">
        <v>44</v>
      </c>
      <c r="AS122" s="129" t="s">
        <v>57</v>
      </c>
      <c r="BC122" s="129" t="s">
        <v>52</v>
      </c>
      <c r="BF122" s="111">
        <f t="shared" si="96"/>
        <v>4</v>
      </c>
      <c r="BG122" s="111">
        <f t="shared" si="88"/>
        <v>302</v>
      </c>
      <c r="BH122" s="111">
        <f t="shared" si="50"/>
        <v>303</v>
      </c>
      <c r="BI122" s="111">
        <f t="shared" si="51"/>
        <v>46.166666666666664</v>
      </c>
      <c r="BJ122" s="129">
        <f>(G122-J122)+(M122-G122)</f>
        <v>0</v>
      </c>
      <c r="BK122" s="129">
        <f t="shared" si="52"/>
        <v>-298</v>
      </c>
      <c r="BL122" s="129" t="str">
        <f t="shared" si="53"/>
        <v>CONVICTION</v>
      </c>
      <c r="BM122" s="129" t="s">
        <v>76</v>
      </c>
      <c r="BN122" s="129" t="s">
        <v>88</v>
      </c>
      <c r="BP122" s="137" t="str">
        <f t="shared" si="57"/>
        <v>CONVICTION</v>
      </c>
      <c r="BQ122" s="128" t="str">
        <f t="shared" si="58"/>
        <v>Y</v>
      </c>
      <c r="BR122" s="129" t="str">
        <f>IF(J122&lt;G122,"ON BOND",0)</f>
        <v>ON BOND</v>
      </c>
      <c r="BS122" s="129" t="str">
        <f t="shared" si="74"/>
        <v>DISPOSED</v>
      </c>
      <c r="BT122" s="129" t="str">
        <f t="shared" si="60"/>
        <v>Y</v>
      </c>
      <c r="BU122" s="109">
        <f t="shared" si="75"/>
        <v>1.3201320132013201E-2</v>
      </c>
      <c r="BV122" s="109">
        <f t="shared" si="61"/>
        <v>1.3245033112582781E-2</v>
      </c>
      <c r="BW122" s="109">
        <f t="shared" si="97"/>
        <v>4.3712980569579965E-5</v>
      </c>
      <c r="BX122" s="111">
        <f t="shared" si="63"/>
        <v>0</v>
      </c>
      <c r="BY122" s="129">
        <f t="shared" si="64"/>
        <v>-4</v>
      </c>
      <c r="BZ122" s="111">
        <f t="shared" si="65"/>
        <v>0</v>
      </c>
      <c r="CA122" s="138">
        <f t="shared" si="66"/>
        <v>4</v>
      </c>
      <c r="CB122" s="111" t="e">
        <f t="shared" si="98"/>
        <v>#VALUE!</v>
      </c>
      <c r="CC122" s="129">
        <f>M122-I122+1</f>
        <v>4</v>
      </c>
      <c r="CD122" s="111">
        <f>CC122-BF122</f>
        <v>0</v>
      </c>
      <c r="CE122" s="129">
        <f t="shared" si="67"/>
        <v>298</v>
      </c>
      <c r="CF122" s="129">
        <f t="shared" si="95"/>
        <v>3</v>
      </c>
      <c r="CG122" s="129" t="str">
        <f t="shared" si="68"/>
        <v>Y</v>
      </c>
      <c r="CI122" s="129" t="str">
        <f t="shared" si="69"/>
        <v>0-10 DAYS</v>
      </c>
      <c r="CJ122" s="137">
        <f t="shared" si="70"/>
        <v>1</v>
      </c>
      <c r="CK122" s="129" t="str">
        <f t="shared" si="71"/>
        <v>Booked</v>
      </c>
    </row>
    <row r="123" spans="1:89" ht="15.75" customHeight="1" x14ac:dyDescent="0.25">
      <c r="A123" s="111">
        <v>972</v>
      </c>
      <c r="B123" s="128" t="str">
        <f t="shared" si="54"/>
        <v>N</v>
      </c>
      <c r="C123" s="128" t="str">
        <f t="shared" si="55"/>
        <v>N</v>
      </c>
      <c r="D123" s="117">
        <v>516054</v>
      </c>
      <c r="E123" s="135">
        <f t="shared" si="56"/>
        <v>6</v>
      </c>
      <c r="F123" s="124">
        <v>40944</v>
      </c>
      <c r="G123" s="125">
        <v>40946</v>
      </c>
      <c r="H123" s="117">
        <v>516054</v>
      </c>
      <c r="I123" s="124">
        <v>40945</v>
      </c>
      <c r="J123" s="124">
        <v>40946</v>
      </c>
      <c r="K123" s="126" t="s">
        <v>564</v>
      </c>
      <c r="L123" s="127" t="s">
        <v>564</v>
      </c>
      <c r="N123" s="129" t="s">
        <v>566</v>
      </c>
      <c r="O123" s="128" t="s">
        <v>917</v>
      </c>
      <c r="P123" s="129" t="s">
        <v>39</v>
      </c>
      <c r="Q123" s="111">
        <f t="shared" si="92"/>
        <v>2</v>
      </c>
      <c r="R123" s="111">
        <f t="shared" si="48"/>
        <v>3</v>
      </c>
      <c r="S123" s="129">
        <v>14</v>
      </c>
      <c r="T123" s="129">
        <v>3</v>
      </c>
      <c r="U123" s="129">
        <v>10</v>
      </c>
      <c r="W123" s="111"/>
      <c r="AC123" s="130"/>
      <c r="AD123" s="130">
        <v>17394</v>
      </c>
      <c r="AE123" s="128" t="s">
        <v>32</v>
      </c>
      <c r="AF123" s="128" t="s">
        <v>33</v>
      </c>
      <c r="AG123" s="128" t="s">
        <v>872</v>
      </c>
      <c r="AH123" s="108" t="s">
        <v>58</v>
      </c>
      <c r="AI123" s="128" t="s">
        <v>47</v>
      </c>
      <c r="AJ123" s="129" t="s">
        <v>89</v>
      </c>
      <c r="AK123" s="129">
        <v>1</v>
      </c>
      <c r="AL123" s="3" t="s">
        <v>362</v>
      </c>
      <c r="AM123" s="117">
        <v>3</v>
      </c>
      <c r="AP123" s="129" t="s">
        <v>93</v>
      </c>
      <c r="AR123" s="128" t="s">
        <v>67</v>
      </c>
      <c r="AS123" s="129" t="s">
        <v>45</v>
      </c>
      <c r="BC123" s="129" t="s">
        <v>38</v>
      </c>
      <c r="BF123" s="111">
        <f t="shared" si="96"/>
        <v>2</v>
      </c>
      <c r="BG123" s="111">
        <f t="shared" si="88"/>
        <v>2</v>
      </c>
      <c r="BH123" s="111">
        <f t="shared" si="50"/>
        <v>3</v>
      </c>
      <c r="BI123" s="111">
        <f t="shared" si="51"/>
        <v>64.344262295081961</v>
      </c>
      <c r="BJ123" s="129">
        <f t="shared" si="72"/>
        <v>0</v>
      </c>
      <c r="BK123" s="129">
        <f t="shared" si="52"/>
        <v>0</v>
      </c>
      <c r="BL123" s="129" t="str">
        <f t="shared" si="53"/>
        <v>CONVICTION</v>
      </c>
      <c r="BM123" s="129" t="str">
        <f t="shared" si="73"/>
        <v>NONE</v>
      </c>
      <c r="BN123" s="129" t="s">
        <v>566</v>
      </c>
      <c r="BP123" s="137" t="str">
        <f t="shared" si="57"/>
        <v>CONVICTION</v>
      </c>
      <c r="BQ123" s="128" t="str">
        <f t="shared" si="58"/>
        <v>Y</v>
      </c>
      <c r="BR123" s="129" t="str">
        <f t="shared" si="59"/>
        <v>DETAINED</v>
      </c>
      <c r="BS123" s="129" t="str">
        <f t="shared" si="74"/>
        <v>DISPOSED</v>
      </c>
      <c r="BT123" s="129" t="str">
        <f t="shared" si="60"/>
        <v>Y</v>
      </c>
      <c r="BU123" s="109">
        <f t="shared" si="75"/>
        <v>0.66666666666666663</v>
      </c>
      <c r="BV123" s="109">
        <f t="shared" si="61"/>
        <v>1</v>
      </c>
      <c r="BW123" s="109">
        <f t="shared" si="97"/>
        <v>0.33333333333333337</v>
      </c>
      <c r="BX123" s="111">
        <f t="shared" si="63"/>
        <v>0</v>
      </c>
      <c r="BY123" s="129">
        <f t="shared" si="64"/>
        <v>-2</v>
      </c>
      <c r="BZ123" s="111">
        <f t="shared" si="65"/>
        <v>0</v>
      </c>
      <c r="CA123" s="138">
        <f t="shared" si="66"/>
        <v>2</v>
      </c>
      <c r="CB123" s="111" t="e">
        <f t="shared" si="98"/>
        <v>#VALUE!</v>
      </c>
      <c r="CC123" s="129">
        <f>G123-I123+1</f>
        <v>2</v>
      </c>
      <c r="CD123" s="129">
        <f>G123-J123</f>
        <v>0</v>
      </c>
      <c r="CE123" s="129">
        <f t="shared" si="67"/>
        <v>0</v>
      </c>
      <c r="CF123" s="129">
        <f t="shared" si="95"/>
        <v>1</v>
      </c>
      <c r="CG123" s="129" t="str">
        <f t="shared" si="68"/>
        <v>Y</v>
      </c>
      <c r="CI123" s="129" t="str">
        <f t="shared" si="69"/>
        <v>0-10 DAYS</v>
      </c>
      <c r="CJ123" s="137">
        <f t="shared" si="70"/>
        <v>1</v>
      </c>
      <c r="CK123" s="129" t="str">
        <f t="shared" si="71"/>
        <v>Booked</v>
      </c>
    </row>
    <row r="124" spans="1:89" ht="15" customHeight="1" x14ac:dyDescent="0.25">
      <c r="A124" s="111">
        <v>2989</v>
      </c>
      <c r="B124" s="128" t="str">
        <f t="shared" si="54"/>
        <v>N</v>
      </c>
      <c r="C124" s="128" t="str">
        <f t="shared" si="55"/>
        <v>N</v>
      </c>
      <c r="D124" s="117">
        <v>517662</v>
      </c>
      <c r="E124" s="135">
        <f t="shared" si="56"/>
        <v>4</v>
      </c>
      <c r="F124" s="124">
        <v>41019</v>
      </c>
      <c r="G124" s="125">
        <v>41046</v>
      </c>
      <c r="H124" s="117">
        <v>517662</v>
      </c>
      <c r="I124" s="124">
        <v>41019</v>
      </c>
      <c r="J124" s="124">
        <v>41046</v>
      </c>
      <c r="K124" s="126" t="s">
        <v>564</v>
      </c>
      <c r="L124" s="127" t="s">
        <v>564</v>
      </c>
      <c r="N124" s="129" t="s">
        <v>566</v>
      </c>
      <c r="O124" s="128" t="s">
        <v>917</v>
      </c>
      <c r="P124" s="129" t="s">
        <v>39</v>
      </c>
      <c r="Q124" s="111">
        <f t="shared" si="92"/>
        <v>28</v>
      </c>
      <c r="R124" s="111">
        <f t="shared" si="48"/>
        <v>28</v>
      </c>
      <c r="S124" s="129">
        <v>1</v>
      </c>
      <c r="T124" s="129">
        <v>1</v>
      </c>
      <c r="U124" s="129">
        <v>1</v>
      </c>
      <c r="W124" s="111"/>
      <c r="AC124" s="130"/>
      <c r="AD124" s="130">
        <v>23504</v>
      </c>
      <c r="AE124" s="128" t="s">
        <v>32</v>
      </c>
      <c r="AF124" s="128" t="s">
        <v>69</v>
      </c>
      <c r="AG124" s="128" t="s">
        <v>874</v>
      </c>
      <c r="AH124" s="108" t="s">
        <v>31</v>
      </c>
      <c r="AI124" s="128" t="s">
        <v>113</v>
      </c>
      <c r="AJ124" s="129" t="s">
        <v>89</v>
      </c>
      <c r="AK124" s="129">
        <v>3</v>
      </c>
      <c r="AL124" s="3" t="s">
        <v>991</v>
      </c>
      <c r="AO124" s="128">
        <v>180</v>
      </c>
      <c r="AP124" s="129" t="s">
        <v>43</v>
      </c>
      <c r="AR124" s="128" t="s">
        <v>44</v>
      </c>
      <c r="AS124" s="129" t="s">
        <v>45</v>
      </c>
      <c r="BC124" s="129" t="s">
        <v>38</v>
      </c>
      <c r="BF124" s="111">
        <f t="shared" si="96"/>
        <v>28</v>
      </c>
      <c r="BG124" s="111">
        <f t="shared" si="88"/>
        <v>28</v>
      </c>
      <c r="BH124" s="111">
        <f t="shared" si="50"/>
        <v>28</v>
      </c>
      <c r="BI124" s="111">
        <f t="shared" si="51"/>
        <v>47.855191256830601</v>
      </c>
      <c r="BJ124" s="129">
        <f t="shared" si="72"/>
        <v>0</v>
      </c>
      <c r="BK124" s="129">
        <f t="shared" si="52"/>
        <v>0</v>
      </c>
      <c r="BL124" s="129" t="str">
        <f t="shared" si="53"/>
        <v>CONVICTION</v>
      </c>
      <c r="BM124" s="129" t="str">
        <f t="shared" si="73"/>
        <v>NONE</v>
      </c>
      <c r="BN124" s="129" t="s">
        <v>566</v>
      </c>
      <c r="BP124" s="137" t="str">
        <f t="shared" si="57"/>
        <v>CONVICTION</v>
      </c>
      <c r="BQ124" s="128" t="str">
        <f t="shared" si="58"/>
        <v>Y</v>
      </c>
      <c r="BR124" s="129" t="str">
        <f t="shared" si="59"/>
        <v>DETAINED</v>
      </c>
      <c r="BS124" s="129" t="str">
        <f t="shared" si="74"/>
        <v>DISPOSED</v>
      </c>
      <c r="BT124" s="129" t="str">
        <f t="shared" si="60"/>
        <v>Y</v>
      </c>
      <c r="BU124" s="109">
        <f t="shared" si="75"/>
        <v>1</v>
      </c>
      <c r="BV124" s="109">
        <f t="shared" si="61"/>
        <v>1</v>
      </c>
      <c r="BW124" s="109">
        <f t="shared" si="97"/>
        <v>0</v>
      </c>
      <c r="BX124" s="111">
        <f t="shared" si="63"/>
        <v>0</v>
      </c>
      <c r="BY124" s="129">
        <f t="shared" si="64"/>
        <v>-28</v>
      </c>
      <c r="BZ124" s="111">
        <f t="shared" si="65"/>
        <v>0</v>
      </c>
      <c r="CA124" s="138">
        <f t="shared" si="66"/>
        <v>28</v>
      </c>
      <c r="CB124" s="111" t="e">
        <f t="shared" si="98"/>
        <v>#VALUE!</v>
      </c>
      <c r="CC124" s="129">
        <f>G124-I124+1</f>
        <v>28</v>
      </c>
      <c r="CD124" s="129">
        <f>G124-J124</f>
        <v>0</v>
      </c>
      <c r="CE124" s="129">
        <f t="shared" si="67"/>
        <v>0</v>
      </c>
      <c r="CF124" s="129">
        <f t="shared" si="95"/>
        <v>27</v>
      </c>
      <c r="CG124" s="129" t="str">
        <f t="shared" si="68"/>
        <v>Y</v>
      </c>
      <c r="CI124" s="129" t="str">
        <f t="shared" si="69"/>
        <v>11-30 DAYS</v>
      </c>
      <c r="CJ124" s="137">
        <f t="shared" si="70"/>
        <v>2</v>
      </c>
      <c r="CK124" s="129" t="str">
        <f t="shared" si="71"/>
        <v>Booked</v>
      </c>
    </row>
    <row r="125" spans="1:89" ht="15.75" customHeight="1" x14ac:dyDescent="0.25">
      <c r="A125" s="111">
        <v>1308</v>
      </c>
      <c r="B125" s="128" t="str">
        <f t="shared" si="54"/>
        <v>N</v>
      </c>
      <c r="C125" s="128" t="str">
        <f t="shared" si="55"/>
        <v>N</v>
      </c>
      <c r="D125" s="117">
        <v>517967</v>
      </c>
      <c r="E125" s="135">
        <f t="shared" si="56"/>
        <v>5</v>
      </c>
      <c r="F125" s="124">
        <v>40956</v>
      </c>
      <c r="G125" s="125">
        <v>41109</v>
      </c>
      <c r="H125" s="117">
        <v>517967</v>
      </c>
      <c r="I125" s="124">
        <v>40957</v>
      </c>
      <c r="J125" s="124">
        <v>41109</v>
      </c>
      <c r="K125" s="126">
        <v>15000</v>
      </c>
      <c r="L125" s="127" t="s">
        <v>571</v>
      </c>
      <c r="N125" s="129" t="str">
        <f>IF(M125&gt;1/1/1,"Y","N")</f>
        <v>N</v>
      </c>
      <c r="O125" s="128" t="s">
        <v>917</v>
      </c>
      <c r="P125" s="129" t="s">
        <v>39</v>
      </c>
      <c r="Q125" s="111">
        <f t="shared" si="92"/>
        <v>153</v>
      </c>
      <c r="R125" s="111">
        <f t="shared" si="48"/>
        <v>154</v>
      </c>
      <c r="S125" s="129">
        <v>10</v>
      </c>
      <c r="T125" s="129">
        <v>6</v>
      </c>
      <c r="U125" s="129">
        <v>7</v>
      </c>
      <c r="W125" s="111"/>
      <c r="AC125" s="130"/>
      <c r="AD125" s="130">
        <v>22538</v>
      </c>
      <c r="AE125" s="128" t="s">
        <v>32</v>
      </c>
      <c r="AF125" s="128" t="s">
        <v>33</v>
      </c>
      <c r="AG125" s="128" t="s">
        <v>872</v>
      </c>
      <c r="AH125" s="108" t="s">
        <v>58</v>
      </c>
      <c r="AI125" s="128" t="s">
        <v>72</v>
      </c>
      <c r="AJ125" s="129" t="s">
        <v>89</v>
      </c>
      <c r="AK125" s="129">
        <v>5</v>
      </c>
      <c r="AL125" s="3" t="s">
        <v>992</v>
      </c>
      <c r="AN125" s="117">
        <v>6</v>
      </c>
      <c r="AP125" s="129" t="s">
        <v>108</v>
      </c>
      <c r="AR125" s="128" t="s">
        <v>44</v>
      </c>
      <c r="AS125" s="129" t="s">
        <v>61</v>
      </c>
      <c r="BC125" s="129" t="s">
        <v>38</v>
      </c>
      <c r="BF125" s="111">
        <f t="shared" si="96"/>
        <v>153</v>
      </c>
      <c r="BG125" s="111">
        <f t="shared" si="88"/>
        <v>153</v>
      </c>
      <c r="BH125" s="111">
        <f t="shared" si="50"/>
        <v>154</v>
      </c>
      <c r="BI125" s="111">
        <f t="shared" si="51"/>
        <v>50.322404371584696</v>
      </c>
      <c r="BJ125" s="129">
        <f t="shared" si="72"/>
        <v>0</v>
      </c>
      <c r="BK125" s="129">
        <f t="shared" si="52"/>
        <v>0</v>
      </c>
      <c r="BL125" s="129" t="str">
        <f t="shared" si="53"/>
        <v>CONVICTION</v>
      </c>
      <c r="BM125" s="129" t="str">
        <f t="shared" si="73"/>
        <v>NONE</v>
      </c>
      <c r="BN125" s="129" t="s">
        <v>566</v>
      </c>
      <c r="BP125" s="137" t="str">
        <f t="shared" si="57"/>
        <v>CONVICTION</v>
      </c>
      <c r="BQ125" s="128" t="str">
        <f t="shared" si="58"/>
        <v>Y</v>
      </c>
      <c r="BR125" s="129" t="str">
        <f t="shared" si="59"/>
        <v>DETAINED</v>
      </c>
      <c r="BS125" s="129" t="str">
        <f t="shared" si="74"/>
        <v>DISPOSED</v>
      </c>
      <c r="BT125" s="129" t="str">
        <f t="shared" si="60"/>
        <v>Y</v>
      </c>
      <c r="BU125" s="109">
        <f t="shared" si="75"/>
        <v>0.99350649350649356</v>
      </c>
      <c r="BV125" s="109">
        <f t="shared" si="61"/>
        <v>1</v>
      </c>
      <c r="BW125" s="109">
        <f t="shared" si="97"/>
        <v>6.4935064935064402E-3</v>
      </c>
      <c r="BX125" s="111">
        <f t="shared" si="63"/>
        <v>0</v>
      </c>
      <c r="BY125" s="129">
        <f t="shared" si="64"/>
        <v>-153</v>
      </c>
      <c r="BZ125" s="111">
        <f t="shared" si="65"/>
        <v>0</v>
      </c>
      <c r="CA125" s="138">
        <f t="shared" si="66"/>
        <v>153</v>
      </c>
      <c r="CB125" s="111" t="e">
        <f t="shared" si="98"/>
        <v>#VALUE!</v>
      </c>
      <c r="CC125" s="129">
        <f>G125-I125+1</f>
        <v>153</v>
      </c>
      <c r="CD125" s="129">
        <f>G125-J125</f>
        <v>0</v>
      </c>
      <c r="CE125" s="129">
        <f t="shared" si="67"/>
        <v>0</v>
      </c>
      <c r="CF125" s="129">
        <f t="shared" si="95"/>
        <v>152</v>
      </c>
      <c r="CG125" s="129" t="str">
        <f t="shared" si="68"/>
        <v>Y</v>
      </c>
      <c r="CI125" s="129" t="str">
        <f t="shared" si="69"/>
        <v>121-365 DAYS</v>
      </c>
      <c r="CJ125" s="137">
        <f t="shared" si="70"/>
        <v>6</v>
      </c>
      <c r="CK125" s="129" t="str">
        <f t="shared" si="71"/>
        <v>Booked</v>
      </c>
    </row>
    <row r="126" spans="1:89" ht="15.75" customHeight="1" x14ac:dyDescent="0.25">
      <c r="A126" s="111">
        <v>243</v>
      </c>
      <c r="B126" s="128" t="str">
        <f t="shared" si="54"/>
        <v>N</v>
      </c>
      <c r="C126" s="128" t="str">
        <f t="shared" si="55"/>
        <v>N</v>
      </c>
      <c r="D126" s="117">
        <v>520045</v>
      </c>
      <c r="E126" s="135">
        <f t="shared" si="56"/>
        <v>4</v>
      </c>
      <c r="F126" s="124">
        <v>40919</v>
      </c>
      <c r="G126" s="125">
        <v>40920</v>
      </c>
      <c r="H126" s="117">
        <v>520045</v>
      </c>
      <c r="I126" s="124">
        <v>40919</v>
      </c>
      <c r="J126" s="124">
        <v>40920</v>
      </c>
      <c r="K126" s="126">
        <v>15000</v>
      </c>
      <c r="L126" s="127" t="s">
        <v>571</v>
      </c>
      <c r="N126" s="129" t="str">
        <f>IF(M126&gt;1/1/1,"Y","N")</f>
        <v>N</v>
      </c>
      <c r="O126" s="128" t="s">
        <v>917</v>
      </c>
      <c r="P126" s="129" t="s">
        <v>39</v>
      </c>
      <c r="Q126" s="111">
        <f t="shared" si="92"/>
        <v>2</v>
      </c>
      <c r="R126" s="111">
        <f t="shared" si="48"/>
        <v>2</v>
      </c>
      <c r="S126" s="129">
        <v>7</v>
      </c>
      <c r="T126" s="129">
        <v>2</v>
      </c>
      <c r="U126" s="129">
        <v>4</v>
      </c>
      <c r="W126" s="111"/>
      <c r="AC126" s="130"/>
      <c r="AD126" s="130">
        <v>22811</v>
      </c>
      <c r="AE126" s="128" t="s">
        <v>32</v>
      </c>
      <c r="AF126" s="128" t="s">
        <v>33</v>
      </c>
      <c r="AG126" s="128" t="s">
        <v>872</v>
      </c>
      <c r="AH126" s="108" t="s">
        <v>31</v>
      </c>
      <c r="AI126" s="128" t="s">
        <v>100</v>
      </c>
      <c r="AJ126" s="129" t="s">
        <v>89</v>
      </c>
      <c r="AK126" s="129">
        <v>1</v>
      </c>
      <c r="AL126" s="3" t="s">
        <v>991</v>
      </c>
      <c r="AO126" s="128">
        <v>180</v>
      </c>
      <c r="AP126" s="129" t="s">
        <v>43</v>
      </c>
      <c r="AR126" s="128" t="s">
        <v>44</v>
      </c>
      <c r="AS126" s="129" t="s">
        <v>45</v>
      </c>
      <c r="AT126" s="129" t="s">
        <v>177</v>
      </c>
      <c r="BC126" s="129" t="s">
        <v>38</v>
      </c>
      <c r="BF126" s="111">
        <f t="shared" si="96"/>
        <v>2</v>
      </c>
      <c r="BG126" s="111">
        <f t="shared" si="88"/>
        <v>2</v>
      </c>
      <c r="BH126" s="111">
        <f t="shared" si="50"/>
        <v>2</v>
      </c>
      <c r="BI126" s="111">
        <f t="shared" si="51"/>
        <v>49.475409836065573</v>
      </c>
      <c r="BJ126" s="129">
        <f t="shared" si="72"/>
        <v>0</v>
      </c>
      <c r="BK126" s="129">
        <f t="shared" si="52"/>
        <v>0</v>
      </c>
      <c r="BL126" s="129" t="str">
        <f t="shared" si="53"/>
        <v>CONVICTION</v>
      </c>
      <c r="BM126" s="129" t="str">
        <f t="shared" si="73"/>
        <v>NONE</v>
      </c>
      <c r="BN126" s="129" t="s">
        <v>566</v>
      </c>
      <c r="BP126" s="137" t="str">
        <f t="shared" si="57"/>
        <v>CONVICTION</v>
      </c>
      <c r="BQ126" s="128" t="str">
        <f t="shared" si="58"/>
        <v>Y</v>
      </c>
      <c r="BR126" s="129" t="str">
        <f t="shared" si="59"/>
        <v>DETAINED</v>
      </c>
      <c r="BS126" s="129" t="str">
        <f t="shared" si="74"/>
        <v>DISPOSED</v>
      </c>
      <c r="BT126" s="129" t="str">
        <f t="shared" si="60"/>
        <v>Y</v>
      </c>
      <c r="BU126" s="109">
        <f t="shared" si="75"/>
        <v>1</v>
      </c>
      <c r="BV126" s="109">
        <f t="shared" si="61"/>
        <v>1</v>
      </c>
      <c r="BW126" s="109">
        <f t="shared" si="97"/>
        <v>0</v>
      </c>
      <c r="BX126" s="111">
        <f t="shared" si="63"/>
        <v>0</v>
      </c>
      <c r="BY126" s="129">
        <f t="shared" si="64"/>
        <v>-2</v>
      </c>
      <c r="BZ126" s="111">
        <f t="shared" si="65"/>
        <v>0</v>
      </c>
      <c r="CA126" s="138">
        <f t="shared" si="66"/>
        <v>2</v>
      </c>
      <c r="CB126" s="111" t="e">
        <f t="shared" si="98"/>
        <v>#VALUE!</v>
      </c>
      <c r="CC126" s="129">
        <f>G126-I126+1</f>
        <v>2</v>
      </c>
      <c r="CD126" s="129">
        <f>G126-J126</f>
        <v>0</v>
      </c>
      <c r="CE126" s="129">
        <f t="shared" si="67"/>
        <v>0</v>
      </c>
      <c r="CF126" s="129">
        <f t="shared" si="95"/>
        <v>1</v>
      </c>
      <c r="CG126" s="129" t="str">
        <f t="shared" si="68"/>
        <v>Y</v>
      </c>
      <c r="CI126" s="129" t="str">
        <f t="shared" si="69"/>
        <v>0-10 DAYS</v>
      </c>
      <c r="CJ126" s="137">
        <f t="shared" si="70"/>
        <v>1</v>
      </c>
      <c r="CK126" s="129" t="str">
        <f t="shared" si="71"/>
        <v>Booked</v>
      </c>
    </row>
    <row r="127" spans="1:89" ht="15.75" customHeight="1" x14ac:dyDescent="0.25">
      <c r="A127" s="111">
        <v>1317</v>
      </c>
      <c r="B127" s="128" t="str">
        <f t="shared" si="54"/>
        <v>N</v>
      </c>
      <c r="C127" s="128" t="str">
        <f t="shared" si="55"/>
        <v>N</v>
      </c>
      <c r="D127" s="117">
        <v>528877</v>
      </c>
      <c r="E127" s="135">
        <f t="shared" si="56"/>
        <v>2</v>
      </c>
      <c r="F127" s="124">
        <v>40956</v>
      </c>
      <c r="G127" s="125">
        <v>41225</v>
      </c>
      <c r="H127" s="117">
        <v>528877</v>
      </c>
      <c r="I127" s="124">
        <v>40977</v>
      </c>
      <c r="J127" s="124">
        <v>40985</v>
      </c>
      <c r="K127" s="126">
        <v>100000</v>
      </c>
      <c r="L127" s="129" t="s">
        <v>572</v>
      </c>
      <c r="M127" s="125">
        <v>40985</v>
      </c>
      <c r="N127" s="129" t="str">
        <f>IF(M127&gt;1/1/1,"Y","N")</f>
        <v>Y</v>
      </c>
      <c r="O127" s="128" t="s">
        <v>76</v>
      </c>
      <c r="P127" s="129" t="s">
        <v>589</v>
      </c>
      <c r="Q127" s="111">
        <f t="shared" si="92"/>
        <v>9</v>
      </c>
      <c r="R127" s="111">
        <f t="shared" si="48"/>
        <v>270</v>
      </c>
      <c r="S127" s="129">
        <v>0</v>
      </c>
      <c r="T127" s="129">
        <v>1</v>
      </c>
      <c r="W127" s="111"/>
      <c r="AC127" s="130"/>
      <c r="AD127" s="130">
        <v>15487</v>
      </c>
      <c r="AE127" s="128" t="s">
        <v>32</v>
      </c>
      <c r="AF127" s="128" t="s">
        <v>33</v>
      </c>
      <c r="AG127" s="128" t="s">
        <v>872</v>
      </c>
      <c r="AH127" s="108" t="s">
        <v>31</v>
      </c>
      <c r="AI127" s="128" t="s">
        <v>83</v>
      </c>
      <c r="AJ127" s="129" t="s">
        <v>48</v>
      </c>
      <c r="AK127" s="129">
        <v>15</v>
      </c>
      <c r="AL127" s="3" t="s">
        <v>48</v>
      </c>
      <c r="AP127" s="129" t="s">
        <v>190</v>
      </c>
      <c r="AR127" s="128" t="s">
        <v>50</v>
      </c>
      <c r="AS127" s="129" t="s">
        <v>82</v>
      </c>
      <c r="BC127" s="129" t="s">
        <v>52</v>
      </c>
      <c r="BF127" s="111">
        <f t="shared" si="96"/>
        <v>9</v>
      </c>
      <c r="BG127" s="111">
        <f t="shared" si="88"/>
        <v>249</v>
      </c>
      <c r="BH127" s="111">
        <f t="shared" si="50"/>
        <v>270</v>
      </c>
      <c r="BI127" s="111">
        <f t="shared" si="51"/>
        <v>69.587431693989075</v>
      </c>
      <c r="BJ127" s="129">
        <f>(G127-J127)+(M127-G127)</f>
        <v>0</v>
      </c>
      <c r="BK127" s="129">
        <f t="shared" si="52"/>
        <v>-240</v>
      </c>
      <c r="BL127" s="129" t="str">
        <f t="shared" si="53"/>
        <v>DEFERRED</v>
      </c>
      <c r="BM127" s="129" t="s">
        <v>76</v>
      </c>
      <c r="BN127" s="129" t="s">
        <v>88</v>
      </c>
      <c r="BP127" s="137" t="str">
        <f t="shared" si="57"/>
        <v>DEFERRED</v>
      </c>
      <c r="BQ127" s="128" t="str">
        <f t="shared" si="58"/>
        <v>Y</v>
      </c>
      <c r="BR127" s="129" t="str">
        <f t="shared" si="59"/>
        <v>ON BOND</v>
      </c>
      <c r="BS127" s="129" t="str">
        <f t="shared" si="74"/>
        <v>DISPOSED</v>
      </c>
      <c r="BT127" s="129" t="str">
        <f t="shared" si="60"/>
        <v>N</v>
      </c>
      <c r="BU127" s="109">
        <f t="shared" si="75"/>
        <v>3.3333333333333333E-2</v>
      </c>
      <c r="BV127" s="109">
        <f t="shared" si="61"/>
        <v>3.614457831325301E-2</v>
      </c>
      <c r="BW127" s="109">
        <f t="shared" si="97"/>
        <v>2.8112449799196776E-3</v>
      </c>
      <c r="BX127" s="111">
        <f t="shared" si="63"/>
        <v>0</v>
      </c>
      <c r="BY127" s="129">
        <f t="shared" si="64"/>
        <v>-9</v>
      </c>
      <c r="BZ127" s="111">
        <f t="shared" si="65"/>
        <v>0</v>
      </c>
      <c r="CA127" s="138">
        <f t="shared" si="66"/>
        <v>9</v>
      </c>
      <c r="CB127" s="111" t="e">
        <f t="shared" si="98"/>
        <v>#VALUE!</v>
      </c>
      <c r="CC127" s="129">
        <f>M127-I127+1</f>
        <v>9</v>
      </c>
      <c r="CD127" s="111">
        <f>CC127-BF127</f>
        <v>0</v>
      </c>
      <c r="CE127" s="129">
        <f t="shared" si="67"/>
        <v>240</v>
      </c>
      <c r="CF127" s="129">
        <f t="shared" si="95"/>
        <v>8</v>
      </c>
      <c r="CG127" s="129" t="str">
        <f t="shared" si="68"/>
        <v>Y</v>
      </c>
      <c r="CI127" s="129" t="str">
        <f t="shared" si="69"/>
        <v>0-10 DAYS</v>
      </c>
      <c r="CJ127" s="137">
        <f t="shared" si="70"/>
        <v>1</v>
      </c>
      <c r="CK127" s="129" t="str">
        <f t="shared" si="71"/>
        <v>Booked</v>
      </c>
    </row>
    <row r="128" spans="1:89" ht="15.75" customHeight="1" x14ac:dyDescent="0.25">
      <c r="A128" s="111">
        <v>19</v>
      </c>
      <c r="B128" s="128" t="str">
        <f t="shared" si="54"/>
        <v>N</v>
      </c>
      <c r="C128" s="128" t="str">
        <f t="shared" si="55"/>
        <v>N</v>
      </c>
      <c r="D128" s="117">
        <v>531448</v>
      </c>
      <c r="E128" s="135">
        <f t="shared" si="56"/>
        <v>2</v>
      </c>
      <c r="F128" s="124">
        <v>40910</v>
      </c>
      <c r="G128" s="125">
        <v>41079</v>
      </c>
      <c r="H128" s="117">
        <v>531448</v>
      </c>
      <c r="I128" s="124">
        <v>40910</v>
      </c>
      <c r="J128" s="124">
        <v>40911</v>
      </c>
      <c r="K128" s="126">
        <v>4500</v>
      </c>
      <c r="L128" s="127" t="s">
        <v>569</v>
      </c>
      <c r="M128" s="125">
        <v>40911</v>
      </c>
      <c r="N128" s="129" t="str">
        <f>IF(M128&gt;1/1/1,"Y","N")</f>
        <v>Y</v>
      </c>
      <c r="O128" s="128" t="s">
        <v>76</v>
      </c>
      <c r="P128" s="129" t="s">
        <v>589</v>
      </c>
      <c r="Q128" s="111">
        <f t="shared" si="92"/>
        <v>2</v>
      </c>
      <c r="R128" s="111">
        <f t="shared" si="48"/>
        <v>170</v>
      </c>
      <c r="S128" s="129">
        <v>0</v>
      </c>
      <c r="T128" s="129">
        <v>1</v>
      </c>
      <c r="W128" s="111"/>
      <c r="AC128" s="130"/>
      <c r="AD128" s="130">
        <v>22189</v>
      </c>
      <c r="AE128" s="128" t="s">
        <v>32</v>
      </c>
      <c r="AF128" s="128" t="s">
        <v>40</v>
      </c>
      <c r="AG128" s="128" t="s">
        <v>41</v>
      </c>
      <c r="AH128" s="108" t="s">
        <v>41</v>
      </c>
      <c r="AI128" s="128" t="s">
        <v>47</v>
      </c>
      <c r="AJ128" s="129" t="s">
        <v>48</v>
      </c>
      <c r="AK128" s="129">
        <v>6</v>
      </c>
      <c r="AL128" s="3" t="s">
        <v>48</v>
      </c>
      <c r="AP128" s="129" t="s">
        <v>43</v>
      </c>
      <c r="AR128" s="128" t="s">
        <v>44</v>
      </c>
      <c r="AS128" s="129" t="s">
        <v>45</v>
      </c>
      <c r="BC128" s="129" t="s">
        <v>52</v>
      </c>
      <c r="BF128" s="111">
        <f t="shared" si="96"/>
        <v>2</v>
      </c>
      <c r="BG128" s="111">
        <f t="shared" si="88"/>
        <v>170</v>
      </c>
      <c r="BH128" s="111">
        <f t="shared" si="50"/>
        <v>170</v>
      </c>
      <c r="BI128" s="111">
        <f t="shared" si="51"/>
        <v>51.150273224043715</v>
      </c>
      <c r="BJ128" s="129">
        <f>(G128-J128)+(M128-G128)</f>
        <v>0</v>
      </c>
      <c r="BK128" s="129">
        <f t="shared" si="52"/>
        <v>-168</v>
      </c>
      <c r="BL128" s="129" t="str">
        <f t="shared" si="53"/>
        <v>DEFERRED</v>
      </c>
      <c r="BM128" s="129" t="s">
        <v>76</v>
      </c>
      <c r="BN128" s="129" t="s">
        <v>88</v>
      </c>
      <c r="BP128" s="137" t="str">
        <f t="shared" si="57"/>
        <v>DEFERRED</v>
      </c>
      <c r="BQ128" s="128" t="str">
        <f t="shared" si="58"/>
        <v>Y</v>
      </c>
      <c r="BR128" s="129" t="str">
        <f t="shared" si="59"/>
        <v>ON BOND</v>
      </c>
      <c r="BS128" s="129" t="str">
        <f t="shared" si="74"/>
        <v>DISPOSED</v>
      </c>
      <c r="BT128" s="129" t="str">
        <f t="shared" si="60"/>
        <v>N</v>
      </c>
      <c r="BU128" s="109">
        <f t="shared" si="75"/>
        <v>1.1764705882352941E-2</v>
      </c>
      <c r="BV128" s="109">
        <f t="shared" si="61"/>
        <v>1.1764705882352941E-2</v>
      </c>
      <c r="BW128" s="109">
        <f t="shared" si="97"/>
        <v>0</v>
      </c>
      <c r="BX128" s="111">
        <f t="shared" si="63"/>
        <v>0</v>
      </c>
      <c r="BY128" s="129">
        <f t="shared" si="64"/>
        <v>-2</v>
      </c>
      <c r="BZ128" s="111">
        <f t="shared" si="65"/>
        <v>0</v>
      </c>
      <c r="CA128" s="138">
        <f t="shared" si="66"/>
        <v>2</v>
      </c>
      <c r="CB128" s="111" t="e">
        <f t="shared" si="98"/>
        <v>#VALUE!</v>
      </c>
      <c r="CC128" s="129">
        <f>M128-I128+1</f>
        <v>2</v>
      </c>
      <c r="CD128" s="111">
        <f>CC128-BF128</f>
        <v>0</v>
      </c>
      <c r="CE128" s="129">
        <f t="shared" si="67"/>
        <v>168</v>
      </c>
      <c r="CF128" s="129">
        <f t="shared" si="95"/>
        <v>1</v>
      </c>
      <c r="CG128" s="129" t="str">
        <f t="shared" si="68"/>
        <v>Y</v>
      </c>
      <c r="CI128" s="129" t="str">
        <f t="shared" si="69"/>
        <v>0-10 DAYS</v>
      </c>
      <c r="CJ128" s="137">
        <f t="shared" si="70"/>
        <v>1</v>
      </c>
      <c r="CK128" s="129" t="str">
        <f t="shared" si="71"/>
        <v>Booked</v>
      </c>
    </row>
    <row r="129" spans="1:89" ht="15" customHeight="1" x14ac:dyDescent="0.25">
      <c r="A129" s="111">
        <v>2805</v>
      </c>
      <c r="B129" s="128" t="str">
        <f t="shared" si="54"/>
        <v>N</v>
      </c>
      <c r="C129" s="128" t="str">
        <f t="shared" si="55"/>
        <v>N</v>
      </c>
      <c r="D129" s="117">
        <v>533139</v>
      </c>
      <c r="E129" s="135">
        <f t="shared" si="56"/>
        <v>5</v>
      </c>
      <c r="F129" s="124">
        <v>41012</v>
      </c>
      <c r="G129" s="125">
        <v>41045</v>
      </c>
      <c r="H129" s="117">
        <v>533139</v>
      </c>
      <c r="I129" s="124">
        <v>41012</v>
      </c>
      <c r="J129" s="124">
        <v>41045</v>
      </c>
      <c r="K129" s="126">
        <v>15000</v>
      </c>
      <c r="L129" s="127" t="s">
        <v>571</v>
      </c>
      <c r="N129" s="129" t="str">
        <f>IF(M129&gt;1/1/1,"Y","N")</f>
        <v>N</v>
      </c>
      <c r="O129" s="128" t="s">
        <v>917</v>
      </c>
      <c r="P129" s="129" t="s">
        <v>39</v>
      </c>
      <c r="Q129" s="111">
        <f t="shared" si="92"/>
        <v>34</v>
      </c>
      <c r="R129" s="111">
        <f t="shared" si="48"/>
        <v>34</v>
      </c>
      <c r="S129" s="129">
        <v>7</v>
      </c>
      <c r="T129" s="129">
        <v>8</v>
      </c>
      <c r="U129" s="129">
        <v>3</v>
      </c>
      <c r="V129" s="117">
        <v>1</v>
      </c>
      <c r="W129" s="111"/>
      <c r="AC129" s="130"/>
      <c r="AD129" s="130">
        <v>21845</v>
      </c>
      <c r="AE129" s="128" t="s">
        <v>46</v>
      </c>
      <c r="AF129" s="128" t="s">
        <v>69</v>
      </c>
      <c r="AG129" s="128" t="s">
        <v>874</v>
      </c>
      <c r="AH129" s="108" t="s">
        <v>31</v>
      </c>
      <c r="AI129" s="128" t="s">
        <v>100</v>
      </c>
      <c r="AJ129" s="129" t="s">
        <v>89</v>
      </c>
      <c r="AK129" s="129">
        <v>2</v>
      </c>
      <c r="AL129" s="3" t="s">
        <v>992</v>
      </c>
      <c r="AN129" s="117">
        <v>6</v>
      </c>
      <c r="AP129" s="129" t="s">
        <v>60</v>
      </c>
      <c r="AR129" s="128" t="s">
        <v>44</v>
      </c>
      <c r="AS129" s="129" t="s">
        <v>61</v>
      </c>
      <c r="BC129" s="129" t="s">
        <v>38</v>
      </c>
      <c r="BF129" s="111">
        <f t="shared" si="96"/>
        <v>34</v>
      </c>
      <c r="BG129" s="111">
        <f t="shared" si="88"/>
        <v>34</v>
      </c>
      <c r="BH129" s="111">
        <f t="shared" si="50"/>
        <v>34</v>
      </c>
      <c r="BI129" s="111">
        <f t="shared" si="51"/>
        <v>52.368852459016395</v>
      </c>
      <c r="BJ129" s="129">
        <f t="shared" si="72"/>
        <v>0</v>
      </c>
      <c r="BK129" s="129">
        <f t="shared" si="52"/>
        <v>0</v>
      </c>
      <c r="BL129" s="129" t="str">
        <f t="shared" si="53"/>
        <v>CONVICTION</v>
      </c>
      <c r="BM129" s="129" t="str">
        <f t="shared" si="73"/>
        <v>NONE</v>
      </c>
      <c r="BN129" s="129" t="s">
        <v>566</v>
      </c>
      <c r="BP129" s="137" t="str">
        <f t="shared" si="57"/>
        <v>CONVICTION</v>
      </c>
      <c r="BQ129" s="128" t="str">
        <f t="shared" si="58"/>
        <v>Y</v>
      </c>
      <c r="BR129" s="129" t="str">
        <f t="shared" si="59"/>
        <v>DETAINED</v>
      </c>
      <c r="BS129" s="129" t="str">
        <f t="shared" si="74"/>
        <v>DISPOSED</v>
      </c>
      <c r="BT129" s="129" t="str">
        <f t="shared" si="60"/>
        <v>Y</v>
      </c>
      <c r="BU129" s="109">
        <f t="shared" si="75"/>
        <v>1</v>
      </c>
      <c r="BV129" s="109">
        <f t="shared" si="61"/>
        <v>1</v>
      </c>
      <c r="BW129" s="109">
        <f t="shared" si="97"/>
        <v>0</v>
      </c>
      <c r="BX129" s="111">
        <f t="shared" si="63"/>
        <v>0</v>
      </c>
      <c r="BY129" s="129">
        <f t="shared" si="64"/>
        <v>-34</v>
      </c>
      <c r="BZ129" s="111">
        <f t="shared" si="65"/>
        <v>0</v>
      </c>
      <c r="CA129" s="138">
        <f t="shared" si="66"/>
        <v>34</v>
      </c>
      <c r="CB129" s="111" t="e">
        <f t="shared" si="98"/>
        <v>#VALUE!</v>
      </c>
      <c r="CC129" s="129">
        <f>G129-I129+1</f>
        <v>34</v>
      </c>
      <c r="CD129" s="129">
        <f>G129-J129</f>
        <v>0</v>
      </c>
      <c r="CE129" s="129">
        <f t="shared" si="67"/>
        <v>0</v>
      </c>
      <c r="CF129" s="129">
        <f t="shared" si="95"/>
        <v>33</v>
      </c>
      <c r="CG129" s="129" t="str">
        <f t="shared" si="68"/>
        <v>Y</v>
      </c>
      <c r="CI129" s="129" t="str">
        <f t="shared" si="69"/>
        <v>31-60 DAYS</v>
      </c>
      <c r="CJ129" s="137">
        <f t="shared" si="70"/>
        <v>3</v>
      </c>
      <c r="CK129" s="129" t="str">
        <f t="shared" si="71"/>
        <v>Booked</v>
      </c>
    </row>
    <row r="130" spans="1:89" ht="15.75" customHeight="1" x14ac:dyDescent="0.25">
      <c r="A130" s="111">
        <v>189</v>
      </c>
      <c r="B130" s="128" t="str">
        <f t="shared" si="54"/>
        <v>N</v>
      </c>
      <c r="C130" s="128" t="str">
        <f t="shared" si="55"/>
        <v>N</v>
      </c>
      <c r="D130" s="117">
        <v>534225</v>
      </c>
      <c r="E130" s="135">
        <f t="shared" si="56"/>
        <v>1</v>
      </c>
      <c r="F130" s="124">
        <v>40917</v>
      </c>
      <c r="G130" s="125">
        <v>40918</v>
      </c>
      <c r="H130" s="117">
        <v>534225</v>
      </c>
      <c r="I130" s="124">
        <v>40917</v>
      </c>
      <c r="J130" s="124">
        <v>40918</v>
      </c>
      <c r="K130" s="126" t="s">
        <v>564</v>
      </c>
      <c r="L130" s="127" t="s">
        <v>564</v>
      </c>
      <c r="N130" s="129" t="s">
        <v>566</v>
      </c>
      <c r="O130" s="128" t="s">
        <v>917</v>
      </c>
      <c r="P130" s="129" t="s">
        <v>55</v>
      </c>
      <c r="Q130" s="111">
        <f t="shared" si="92"/>
        <v>2</v>
      </c>
      <c r="R130" s="111">
        <f t="shared" ref="R130:R193" si="99">BH130</f>
        <v>2</v>
      </c>
      <c r="S130" s="129">
        <v>3</v>
      </c>
      <c r="T130" s="129">
        <v>2</v>
      </c>
      <c r="U130" s="129">
        <v>2</v>
      </c>
      <c r="W130" s="111"/>
      <c r="AC130" s="130"/>
      <c r="AD130" s="130">
        <v>22223</v>
      </c>
      <c r="AE130" s="128" t="s">
        <v>32</v>
      </c>
      <c r="AF130" s="128" t="s">
        <v>33</v>
      </c>
      <c r="AG130" s="128" t="s">
        <v>872</v>
      </c>
      <c r="AH130" s="108" t="s">
        <v>58</v>
      </c>
      <c r="AI130" s="128" t="s">
        <v>97</v>
      </c>
      <c r="AJ130" s="129" t="s">
        <v>55</v>
      </c>
      <c r="AK130" s="129">
        <v>1</v>
      </c>
      <c r="AL130" s="3" t="s">
        <v>55</v>
      </c>
      <c r="AP130" s="129" t="s">
        <v>136</v>
      </c>
      <c r="AR130" s="128" t="s">
        <v>67</v>
      </c>
      <c r="AS130" s="129" t="s">
        <v>64</v>
      </c>
      <c r="BC130" s="129" t="s">
        <v>79</v>
      </c>
      <c r="BF130" s="111">
        <f t="shared" si="96"/>
        <v>2</v>
      </c>
      <c r="BG130" s="111">
        <f t="shared" si="88"/>
        <v>2</v>
      </c>
      <c r="BH130" s="111">
        <f t="shared" ref="BH130:BH193" si="100">IF(G130&gt;1/1/1900,((G130+1)-F130),"STILL OPEN")</f>
        <v>2</v>
      </c>
      <c r="BI130" s="111">
        <f t="shared" ref="BI130:BI193" si="101">(F130-AD130)/366</f>
        <v>51.076502732240435</v>
      </c>
      <c r="BJ130" s="129">
        <f t="shared" si="72"/>
        <v>0</v>
      </c>
      <c r="BK130" s="129">
        <f t="shared" ref="BK130:BK193" si="102">J130-G130</f>
        <v>0</v>
      </c>
      <c r="BL130" s="129" t="str">
        <f t="shared" ref="BL130:BL193" si="103">IF(OR(AL130="AQUITTAL",AL130="DISMISSED",AL130="FINE",AL130="NO BILL"),"NO CONVICTION",IF(OR(AL130="HCJ",AL130="MHH",AL130="PROBATION",AL130="STJ",AL130="TDC"),"CONVICTION",IF(AL130="DEFERRED","DEFERRED",0)))</f>
        <v>NO CONVICTION</v>
      </c>
      <c r="BM130" s="129" t="str">
        <f t="shared" si="73"/>
        <v>NONE</v>
      </c>
      <c r="BN130" s="129" t="s">
        <v>566</v>
      </c>
      <c r="BP130" s="137" t="str">
        <f t="shared" si="57"/>
        <v>NO CONVICTION</v>
      </c>
      <c r="BQ130" s="128" t="str">
        <f t="shared" si="58"/>
        <v>Y</v>
      </c>
      <c r="BR130" s="129" t="str">
        <f t="shared" si="59"/>
        <v>DETAINED</v>
      </c>
      <c r="BS130" s="129" t="str">
        <f t="shared" si="74"/>
        <v>DISPOSED</v>
      </c>
      <c r="BT130" s="129" t="str">
        <f t="shared" si="60"/>
        <v>Y</v>
      </c>
      <c r="BU130" s="109">
        <f>IFERROR(Q130/R130,BR130)</f>
        <v>1</v>
      </c>
      <c r="BV130" s="109">
        <f t="shared" si="61"/>
        <v>1</v>
      </c>
      <c r="BW130" s="109">
        <f t="shared" si="97"/>
        <v>0</v>
      </c>
      <c r="BX130" s="111">
        <f t="shared" si="63"/>
        <v>0</v>
      </c>
      <c r="BY130" s="129">
        <f t="shared" si="64"/>
        <v>-2</v>
      </c>
      <c r="BZ130" s="111">
        <f t="shared" si="65"/>
        <v>0</v>
      </c>
      <c r="CA130" s="138">
        <f t="shared" si="66"/>
        <v>2</v>
      </c>
      <c r="CB130" s="111" t="e">
        <f t="shared" si="98"/>
        <v>#VALUE!</v>
      </c>
      <c r="CC130" s="129">
        <f>G130-I130+1</f>
        <v>2</v>
      </c>
      <c r="CD130" s="129">
        <f>G130-J130</f>
        <v>0</v>
      </c>
      <c r="CE130" s="129">
        <f t="shared" si="67"/>
        <v>0</v>
      </c>
      <c r="CF130" s="129">
        <f t="shared" si="95"/>
        <v>1</v>
      </c>
      <c r="CG130" s="129" t="str">
        <f t="shared" si="68"/>
        <v>Y</v>
      </c>
      <c r="CI130" s="129" t="str">
        <f t="shared" si="69"/>
        <v>0-10 DAYS</v>
      </c>
      <c r="CJ130" s="137">
        <f t="shared" si="70"/>
        <v>1</v>
      </c>
      <c r="CK130" s="129" t="str">
        <f t="shared" si="71"/>
        <v>Booked</v>
      </c>
    </row>
    <row r="131" spans="1:89" ht="15" customHeight="1" x14ac:dyDescent="0.25">
      <c r="A131" s="111">
        <v>2839</v>
      </c>
      <c r="B131" s="128" t="str">
        <f t="shared" ref="B131:B194" si="104">IF(BD131&lt;&gt;"","Y","N")</f>
        <v>N</v>
      </c>
      <c r="C131" s="128" t="str">
        <f t="shared" ref="C131:C194" si="105">IF((AND(AV131="",AX131="",AY131="")),"N","Y")</f>
        <v>N</v>
      </c>
      <c r="D131" s="117">
        <v>535618</v>
      </c>
      <c r="E131" s="135">
        <f t="shared" ref="E131:E194" si="106">IF(OR(AL131="ACQUITTAL",AL131="ACQUIT",AL131="acq insane",AL131="DISMISSED",AL131="NO BILL"),1,IF(AL131="DEFERRED",2,IF(AL131="PROBATION",3,IF(OR(AL131="HCJ",AL131="fine"),4,IF(AL131="STJ",5,IF(AL131="TDC",6,""))))))</f>
        <v>4</v>
      </c>
      <c r="F131" s="124">
        <v>41013</v>
      </c>
      <c r="G131" s="125">
        <v>41015</v>
      </c>
      <c r="H131" s="117">
        <v>535618</v>
      </c>
      <c r="I131" s="124">
        <v>41014</v>
      </c>
      <c r="J131" s="124">
        <v>41015</v>
      </c>
      <c r="K131" s="126">
        <v>15000</v>
      </c>
      <c r="L131" s="127" t="s">
        <v>571</v>
      </c>
      <c r="N131" s="129" t="str">
        <f t="shared" ref="N131:N146" si="107">IF(M131&gt;1/1/1,"Y","N")</f>
        <v>N</v>
      </c>
      <c r="O131" s="128" t="s">
        <v>917</v>
      </c>
      <c r="P131" s="129" t="s">
        <v>39</v>
      </c>
      <c r="Q131" s="111">
        <f t="shared" si="92"/>
        <v>2</v>
      </c>
      <c r="R131" s="111">
        <f t="shared" si="99"/>
        <v>3</v>
      </c>
      <c r="S131" s="129">
        <v>3</v>
      </c>
      <c r="T131" s="129">
        <v>4</v>
      </c>
      <c r="U131" s="129">
        <v>2</v>
      </c>
      <c r="W131" s="111"/>
      <c r="AC131" s="130"/>
      <c r="AD131" s="130">
        <v>23765</v>
      </c>
      <c r="AE131" s="128" t="s">
        <v>32</v>
      </c>
      <c r="AF131" s="128" t="s">
        <v>40</v>
      </c>
      <c r="AG131" s="128" t="s">
        <v>41</v>
      </c>
      <c r="AH131" s="108" t="s">
        <v>41</v>
      </c>
      <c r="AI131" s="128" t="s">
        <v>47</v>
      </c>
      <c r="AJ131" s="129" t="s">
        <v>89</v>
      </c>
      <c r="AK131" s="129">
        <v>1</v>
      </c>
      <c r="AL131" s="3" t="s">
        <v>991</v>
      </c>
      <c r="AO131" s="128">
        <v>180</v>
      </c>
      <c r="AP131" s="129" t="s">
        <v>60</v>
      </c>
      <c r="AR131" s="128" t="s">
        <v>44</v>
      </c>
      <c r="AS131" s="129" t="s">
        <v>61</v>
      </c>
      <c r="BC131" s="129" t="s">
        <v>38</v>
      </c>
      <c r="BF131" s="111">
        <f t="shared" si="96"/>
        <v>2</v>
      </c>
      <c r="BG131" s="111">
        <f t="shared" ref="BG131:BG158" si="108">IF(G131&gt;1/1/1900,((G131+1)-I131),"STILL OPEN")</f>
        <v>2</v>
      </c>
      <c r="BH131" s="111">
        <f t="shared" si="100"/>
        <v>3</v>
      </c>
      <c r="BI131" s="111">
        <f t="shared" si="101"/>
        <v>47.125683060109289</v>
      </c>
      <c r="BJ131" s="129">
        <f t="shared" ref="BJ131:BJ194" si="109">G131-J131-M131</f>
        <v>0</v>
      </c>
      <c r="BK131" s="129">
        <f t="shared" si="102"/>
        <v>0</v>
      </c>
      <c r="BL131" s="129" t="str">
        <f t="shared" si="103"/>
        <v>CONVICTION</v>
      </c>
      <c r="BM131" s="129" t="str">
        <f t="shared" ref="BM131:BM194" si="110">O131</f>
        <v>NONE</v>
      </c>
      <c r="BN131" s="129" t="s">
        <v>566</v>
      </c>
      <c r="BP131" s="137" t="str">
        <f t="shared" ref="BP131:BP194" si="111">IF(OR(AJ131="AQUITTAL",AJ131="DISMISSED",AJ131="FINE",AJ131="NO BILL"),"NO CONVICTION",IF(OR(AJ131="HCJ",AJ131="MHH",AJ131="PROBATION",AJ131="STJ",AJ131="TDC",AJ131="CONVICTED"),"CONVICTION",IF(AJ131="DEFERRED","DEFERRED","")))</f>
        <v>CONVICTION</v>
      </c>
      <c r="BQ131" s="128" t="str">
        <f t="shared" ref="BQ131:BQ194" si="112">IF(BF131&gt;0,"Y",BF131)</f>
        <v>Y</v>
      </c>
      <c r="BR131" s="129" t="str">
        <f t="shared" ref="BR131:BR194" si="113">IF(AND(J131="NOT BOOKED",M131&gt;1/1/1),"BONDED - BEFORE BOOKED",IF(BG131="STILL OPEN","STILL OPEN",IF(N131="Y","ON BOND",IF(J131&gt;=G131,"DETAINED","RELEASED"))))</f>
        <v>DETAINED</v>
      </c>
      <c r="BS131" s="129" t="str">
        <f t="shared" ref="BS131:BS194" si="114">IF(G131&lt;&gt;"","DISPOSED","")</f>
        <v>DISPOSED</v>
      </c>
      <c r="BT131" s="129" t="str">
        <f t="shared" ref="BT131:BT194" si="115">IF(S131&gt;0,"Y","N")</f>
        <v>Y</v>
      </c>
      <c r="BU131" s="109">
        <f t="shared" ref="BU131:BU194" si="116">Q131/R131</f>
        <v>0.66666666666666663</v>
      </c>
      <c r="BV131" s="109">
        <f t="shared" ref="BV131:BV194" si="117">IF(I131&gt;F131,((J131-I131+1)/(G131-I131+1)),(J131-I131+1)/(G131-F131+1))</f>
        <v>1</v>
      </c>
      <c r="BW131" s="109">
        <f t="shared" si="97"/>
        <v>0.33333333333333337</v>
      </c>
      <c r="BX131" s="111">
        <f t="shared" ref="BX131:BX194" si="118">+Q131-BF131</f>
        <v>0</v>
      </c>
      <c r="BY131" s="129">
        <f t="shared" ref="BY131:BY194" si="119">I131-J131-1</f>
        <v>-2</v>
      </c>
      <c r="BZ131" s="111">
        <f t="shared" ref="BZ131:BZ194" si="120">BY131+BF131</f>
        <v>0</v>
      </c>
      <c r="CA131" s="138">
        <f t="shared" ref="CA131:CA194" si="121">IF(AND(BS131="DISPOSED",BR131="DETAINED"),G131-I131+1,IF(AND(BS131="DISPOSED",BR131="ON BOND"),M131-I131+1,IF(AND(BS131="STILL OPEN","STILL OPEN"),"NOT BOOKED")))</f>
        <v>2</v>
      </c>
      <c r="CB131" s="111" t="e">
        <f t="shared" si="98"/>
        <v>#VALUE!</v>
      </c>
      <c r="CC131" s="129">
        <f>G131-I131+1</f>
        <v>2</v>
      </c>
      <c r="CD131" s="129">
        <f>G131-J131</f>
        <v>0</v>
      </c>
      <c r="CE131" s="129">
        <f t="shared" ref="CE131:CE194" si="122">G131-J131</f>
        <v>0</v>
      </c>
      <c r="CF131" s="129">
        <f t="shared" si="95"/>
        <v>1</v>
      </c>
      <c r="CG131" s="129" t="str">
        <f t="shared" ref="CG131:CG194" si="123">IF((S131+T131+U131)&gt;0,"Y","N")</f>
        <v>Y</v>
      </c>
      <c r="CI131" s="129" t="str">
        <f t="shared" ref="CI131:CI194" si="124">IF(BF131&lt;11,"0-10 DAYS",IF(AND(BF131&gt;10,BF131&lt;31),"11-30 DAYS",IF((AND(BF131&gt;30,BF131&lt;61)),"31-60 DAYS",IF(AND(BF131&gt;60,BF131&lt;91),"61-90 DAYS",IF(AND(BF131&gt;90,BF131&lt;121),"91-120 DAYS",IF(AND(BF131&gt;120,BF131&lt;366),"121-365 DAYS",IF(AND(BF131&gt;365,BF131&lt;730)," &gt;1YRS&lt;2YRS",IF(AND(BF131&gt;729,BF131&lt;1095),"&gt;2YRS&lt;3YRS",IF(BF131&gt;1094,"&gt;3YRS")))))))))</f>
        <v>0-10 DAYS</v>
      </c>
      <c r="CJ131" s="137">
        <f t="shared" ref="CJ131:CJ194" si="125">IF(CI131="0-10 DAYS",1,IF(CI131="11-30 DAYS",2,IF(CI131="31-60 DAYS",3,IF(CI131="61-90 DAYS",4,IF(CK131="91-120 DAYS",5,IF(CI131="121-365 DAYS",6,IF(CI131="&gt;1YRS&lt;2YRS",7,IF(CI131="&gt;2YRS&lt;3YRS",8,IF(CI131="&gt;3YRS",9,0)))))))))</f>
        <v>1</v>
      </c>
      <c r="CK131" s="129" t="str">
        <f t="shared" ref="CK131:CK194" si="126">IF(I131="Not Booked","Not Booked","Booked")</f>
        <v>Booked</v>
      </c>
    </row>
    <row r="132" spans="1:89" ht="15.75" customHeight="1" x14ac:dyDescent="0.25">
      <c r="A132" s="111">
        <v>883</v>
      </c>
      <c r="B132" s="128" t="str">
        <f t="shared" si="104"/>
        <v>N</v>
      </c>
      <c r="C132" s="128" t="str">
        <f t="shared" si="105"/>
        <v>Y</v>
      </c>
      <c r="D132" s="117">
        <v>537137</v>
      </c>
      <c r="E132" s="135">
        <f t="shared" si="106"/>
        <v>1</v>
      </c>
      <c r="F132" s="124">
        <v>40941</v>
      </c>
      <c r="G132" s="125">
        <v>41017</v>
      </c>
      <c r="H132" s="117">
        <v>537137</v>
      </c>
      <c r="I132" s="124">
        <v>40942</v>
      </c>
      <c r="J132" s="124">
        <v>40944</v>
      </c>
      <c r="K132" s="126">
        <v>2000</v>
      </c>
      <c r="L132" s="127" t="s">
        <v>568</v>
      </c>
      <c r="M132" s="125">
        <v>40944</v>
      </c>
      <c r="N132" s="129" t="str">
        <f t="shared" si="107"/>
        <v>Y</v>
      </c>
      <c r="O132" s="128" t="s">
        <v>76</v>
      </c>
      <c r="P132" s="129" t="s">
        <v>55</v>
      </c>
      <c r="Q132" s="111">
        <f t="shared" si="92"/>
        <v>3</v>
      </c>
      <c r="R132" s="111">
        <f t="shared" si="99"/>
        <v>77</v>
      </c>
      <c r="S132" s="129">
        <v>0</v>
      </c>
      <c r="T132" s="129">
        <v>3</v>
      </c>
      <c r="W132" s="111"/>
      <c r="AC132" s="130"/>
      <c r="AD132" s="130">
        <v>20339</v>
      </c>
      <c r="AE132" s="128" t="s">
        <v>32</v>
      </c>
      <c r="AF132" s="128" t="s">
        <v>33</v>
      </c>
      <c r="AG132" s="128" t="s">
        <v>872</v>
      </c>
      <c r="AH132" s="108" t="s">
        <v>31</v>
      </c>
      <c r="AI132" s="128" t="s">
        <v>118</v>
      </c>
      <c r="AJ132" s="129" t="s">
        <v>55</v>
      </c>
      <c r="AK132" s="129">
        <v>5</v>
      </c>
      <c r="AL132" s="3" t="s">
        <v>55</v>
      </c>
      <c r="AP132" s="129" t="s">
        <v>43</v>
      </c>
      <c r="AR132" s="128" t="s">
        <v>44</v>
      </c>
      <c r="AS132" s="129" t="s">
        <v>45</v>
      </c>
      <c r="AV132" s="3" t="s">
        <v>88</v>
      </c>
      <c r="AW132" s="3" t="s">
        <v>699</v>
      </c>
      <c r="BA132" s="125">
        <v>41170</v>
      </c>
      <c r="BB132" s="129">
        <v>271</v>
      </c>
      <c r="BC132" s="129" t="s">
        <v>52</v>
      </c>
      <c r="BF132" s="111">
        <v>3</v>
      </c>
      <c r="BG132" s="111">
        <f t="shared" si="108"/>
        <v>76</v>
      </c>
      <c r="BH132" s="111">
        <f t="shared" si="100"/>
        <v>77</v>
      </c>
      <c r="BI132" s="111">
        <f t="shared" si="101"/>
        <v>56.289617486338798</v>
      </c>
      <c r="BJ132" s="129">
        <f>(G132-J132)+(M132-G132)</f>
        <v>0</v>
      </c>
      <c r="BK132" s="129">
        <f t="shared" si="102"/>
        <v>-73</v>
      </c>
      <c r="BL132" s="129" t="str">
        <f t="shared" si="103"/>
        <v>NO CONVICTION</v>
      </c>
      <c r="BM132" s="129" t="s">
        <v>76</v>
      </c>
      <c r="BN132" s="129" t="s">
        <v>88</v>
      </c>
      <c r="BP132" s="137" t="str">
        <f t="shared" si="111"/>
        <v>NO CONVICTION</v>
      </c>
      <c r="BQ132" s="128" t="str">
        <f t="shared" si="112"/>
        <v>Y</v>
      </c>
      <c r="BR132" s="129" t="str">
        <f t="shared" si="113"/>
        <v>ON BOND</v>
      </c>
      <c r="BS132" s="129" t="str">
        <f t="shared" si="114"/>
        <v>DISPOSED</v>
      </c>
      <c r="BT132" s="129" t="str">
        <f t="shared" si="115"/>
        <v>N</v>
      </c>
      <c r="BU132" s="109">
        <f>IFERROR(Q132/R132,BR132)</f>
        <v>3.896103896103896E-2</v>
      </c>
      <c r="BV132" s="109">
        <f t="shared" si="117"/>
        <v>3.9473684210526314E-2</v>
      </c>
      <c r="BW132" s="109">
        <f t="shared" si="97"/>
        <v>5.1264524948735346E-4</v>
      </c>
      <c r="BX132" s="111">
        <f t="shared" si="118"/>
        <v>0</v>
      </c>
      <c r="BY132" s="129">
        <f t="shared" si="119"/>
        <v>-3</v>
      </c>
      <c r="BZ132" s="111">
        <f t="shared" si="120"/>
        <v>0</v>
      </c>
      <c r="CA132" s="138">
        <f t="shared" si="121"/>
        <v>3</v>
      </c>
      <c r="CB132" s="111" t="e">
        <f t="shared" si="98"/>
        <v>#VALUE!</v>
      </c>
      <c r="CD132" s="129">
        <f>G132-J132</f>
        <v>73</v>
      </c>
      <c r="CE132" s="129">
        <f t="shared" si="122"/>
        <v>73</v>
      </c>
      <c r="CF132" s="129">
        <f>I132-J132</f>
        <v>-2</v>
      </c>
      <c r="CG132" s="129" t="str">
        <f t="shared" si="123"/>
        <v>Y</v>
      </c>
      <c r="CI132" s="129" t="str">
        <f t="shared" si="124"/>
        <v>0-10 DAYS</v>
      </c>
      <c r="CJ132" s="137">
        <f t="shared" si="125"/>
        <v>1</v>
      </c>
      <c r="CK132" s="129" t="str">
        <f t="shared" si="126"/>
        <v>Booked</v>
      </c>
    </row>
    <row r="133" spans="1:89" ht="15" customHeight="1" x14ac:dyDescent="0.25">
      <c r="A133" s="111">
        <v>284</v>
      </c>
      <c r="B133" s="128" t="str">
        <f t="shared" si="104"/>
        <v>N</v>
      </c>
      <c r="C133" s="128" t="str">
        <f t="shared" si="105"/>
        <v>N</v>
      </c>
      <c r="D133" s="117">
        <v>538992</v>
      </c>
      <c r="E133" s="135">
        <f t="shared" si="106"/>
        <v>6</v>
      </c>
      <c r="F133" s="124">
        <v>40920</v>
      </c>
      <c r="G133" s="125">
        <v>40966</v>
      </c>
      <c r="H133" s="117">
        <v>538992</v>
      </c>
      <c r="I133" s="124">
        <v>40929</v>
      </c>
      <c r="J133" s="124">
        <v>40966</v>
      </c>
      <c r="K133" s="126">
        <v>30000</v>
      </c>
      <c r="L133" s="129" t="s">
        <v>572</v>
      </c>
      <c r="N133" s="129" t="str">
        <f t="shared" si="107"/>
        <v>N</v>
      </c>
      <c r="O133" s="128" t="s">
        <v>917</v>
      </c>
      <c r="P133" s="129" t="s">
        <v>39</v>
      </c>
      <c r="Q133" s="111">
        <f t="shared" si="92"/>
        <v>38</v>
      </c>
      <c r="R133" s="111">
        <f t="shared" si="99"/>
        <v>47</v>
      </c>
      <c r="S133" s="129">
        <v>7</v>
      </c>
      <c r="T133" s="129">
        <v>9</v>
      </c>
      <c r="U133" s="129">
        <v>3</v>
      </c>
      <c r="W133" s="111"/>
      <c r="AC133" s="130"/>
      <c r="AD133" s="130">
        <v>23978</v>
      </c>
      <c r="AE133" s="128" t="s">
        <v>32</v>
      </c>
      <c r="AF133" s="128" t="s">
        <v>33</v>
      </c>
      <c r="AG133" s="128" t="s">
        <v>872</v>
      </c>
      <c r="AH133" s="108" t="s">
        <v>58</v>
      </c>
      <c r="AI133" s="128" t="s">
        <v>141</v>
      </c>
      <c r="AJ133" s="129" t="s">
        <v>89</v>
      </c>
      <c r="AK133" s="129">
        <v>3</v>
      </c>
      <c r="AL133" s="3" t="s">
        <v>362</v>
      </c>
      <c r="AM133" s="117">
        <v>5</v>
      </c>
      <c r="AP133" s="129" t="s">
        <v>107</v>
      </c>
      <c r="AR133" s="128" t="s">
        <v>44</v>
      </c>
      <c r="AS133" s="129" t="s">
        <v>57</v>
      </c>
      <c r="BC133" s="129" t="s">
        <v>38</v>
      </c>
      <c r="BF133" s="111">
        <f t="shared" si="96"/>
        <v>38</v>
      </c>
      <c r="BG133" s="111">
        <f t="shared" si="108"/>
        <v>38</v>
      </c>
      <c r="BH133" s="111">
        <f t="shared" si="100"/>
        <v>47</v>
      </c>
      <c r="BI133" s="111">
        <f t="shared" si="101"/>
        <v>46.289617486338798</v>
      </c>
      <c r="BJ133" s="129">
        <f t="shared" si="109"/>
        <v>0</v>
      </c>
      <c r="BK133" s="129">
        <f t="shared" si="102"/>
        <v>0</v>
      </c>
      <c r="BL133" s="129" t="str">
        <f t="shared" si="103"/>
        <v>CONVICTION</v>
      </c>
      <c r="BM133" s="129" t="str">
        <f t="shared" si="110"/>
        <v>NONE</v>
      </c>
      <c r="BN133" s="129" t="s">
        <v>566</v>
      </c>
      <c r="BP133" s="137" t="str">
        <f t="shared" si="111"/>
        <v>CONVICTION</v>
      </c>
      <c r="BQ133" s="128" t="str">
        <f t="shared" si="112"/>
        <v>Y</v>
      </c>
      <c r="BR133" s="129" t="str">
        <f t="shared" si="113"/>
        <v>DETAINED</v>
      </c>
      <c r="BS133" s="129" t="str">
        <f t="shared" si="114"/>
        <v>DISPOSED</v>
      </c>
      <c r="BT133" s="129" t="str">
        <f t="shared" si="115"/>
        <v>Y</v>
      </c>
      <c r="BU133" s="109">
        <f t="shared" si="116"/>
        <v>0.80851063829787229</v>
      </c>
      <c r="BV133" s="109">
        <f t="shared" si="117"/>
        <v>1</v>
      </c>
      <c r="BW133" s="109">
        <f t="shared" si="97"/>
        <v>0.19148936170212771</v>
      </c>
      <c r="BX133" s="111">
        <f t="shared" si="118"/>
        <v>0</v>
      </c>
      <c r="BY133" s="129">
        <f t="shared" si="119"/>
        <v>-38</v>
      </c>
      <c r="BZ133" s="111">
        <f t="shared" si="120"/>
        <v>0</v>
      </c>
      <c r="CA133" s="138">
        <f t="shared" si="121"/>
        <v>38</v>
      </c>
      <c r="CB133" s="111" t="e">
        <f t="shared" si="98"/>
        <v>#VALUE!</v>
      </c>
      <c r="CC133" s="129">
        <f t="shared" ref="CC133:CC142" si="127">G133-I133+1</f>
        <v>38</v>
      </c>
      <c r="CD133" s="129">
        <f t="shared" ref="CD133:CD142" si="128">G133-J133</f>
        <v>0</v>
      </c>
      <c r="CE133" s="129">
        <f t="shared" si="122"/>
        <v>0</v>
      </c>
      <c r="CF133" s="129">
        <f t="shared" ref="CF133:CF169" si="129">J133-I133</f>
        <v>37</v>
      </c>
      <c r="CG133" s="129" t="str">
        <f t="shared" si="123"/>
        <v>Y</v>
      </c>
      <c r="CI133" s="129" t="str">
        <f t="shared" si="124"/>
        <v>31-60 DAYS</v>
      </c>
      <c r="CJ133" s="137">
        <f t="shared" si="125"/>
        <v>3</v>
      </c>
      <c r="CK133" s="129" t="str">
        <f t="shared" si="126"/>
        <v>Booked</v>
      </c>
    </row>
    <row r="134" spans="1:89" ht="15.75" customHeight="1" x14ac:dyDescent="0.25">
      <c r="A134" s="111">
        <v>603</v>
      </c>
      <c r="B134" s="128" t="str">
        <f t="shared" si="104"/>
        <v>N</v>
      </c>
      <c r="C134" s="128" t="str">
        <f t="shared" si="105"/>
        <v>N</v>
      </c>
      <c r="D134" s="117">
        <v>541928</v>
      </c>
      <c r="E134" s="135">
        <f t="shared" si="106"/>
        <v>5</v>
      </c>
      <c r="F134" s="124">
        <v>40932</v>
      </c>
      <c r="G134" s="125">
        <v>40995</v>
      </c>
      <c r="H134" s="117">
        <v>541928</v>
      </c>
      <c r="I134" s="124">
        <v>40933</v>
      </c>
      <c r="J134" s="124">
        <v>40995</v>
      </c>
      <c r="K134" s="126">
        <v>15000</v>
      </c>
      <c r="L134" s="127" t="s">
        <v>571</v>
      </c>
      <c r="N134" s="129" t="str">
        <f t="shared" si="107"/>
        <v>N</v>
      </c>
      <c r="O134" s="128" t="s">
        <v>917</v>
      </c>
      <c r="P134" s="129" t="s">
        <v>39</v>
      </c>
      <c r="Q134" s="111">
        <f t="shared" si="92"/>
        <v>63</v>
      </c>
      <c r="R134" s="111">
        <f t="shared" si="99"/>
        <v>64</v>
      </c>
      <c r="S134" s="129">
        <v>7</v>
      </c>
      <c r="T134" s="129">
        <v>3</v>
      </c>
      <c r="U134" s="129">
        <v>6</v>
      </c>
      <c r="W134" s="111"/>
      <c r="AC134" s="130"/>
      <c r="AD134" s="130">
        <v>24049</v>
      </c>
      <c r="AE134" s="128" t="s">
        <v>32</v>
      </c>
      <c r="AF134" s="128" t="s">
        <v>69</v>
      </c>
      <c r="AG134" s="128" t="s">
        <v>874</v>
      </c>
      <c r="AH134" s="108" t="s">
        <v>58</v>
      </c>
      <c r="AI134" s="128" t="s">
        <v>87</v>
      </c>
      <c r="AJ134" s="129" t="s">
        <v>89</v>
      </c>
      <c r="AK134" s="129">
        <v>3</v>
      </c>
      <c r="AL134" s="3" t="s">
        <v>992</v>
      </c>
      <c r="AN134" s="117">
        <v>6</v>
      </c>
      <c r="AP134" s="129" t="s">
        <v>60</v>
      </c>
      <c r="AR134" s="128" t="s">
        <v>44</v>
      </c>
      <c r="AS134" s="129" t="s">
        <v>61</v>
      </c>
      <c r="BC134" s="129" t="s">
        <v>38</v>
      </c>
      <c r="BF134" s="111">
        <f t="shared" si="96"/>
        <v>63</v>
      </c>
      <c r="BG134" s="111">
        <f t="shared" si="108"/>
        <v>63</v>
      </c>
      <c r="BH134" s="111">
        <f t="shared" si="100"/>
        <v>64</v>
      </c>
      <c r="BI134" s="111">
        <f t="shared" si="101"/>
        <v>46.12841530054645</v>
      </c>
      <c r="BJ134" s="129">
        <f t="shared" si="109"/>
        <v>0</v>
      </c>
      <c r="BK134" s="129">
        <f t="shared" si="102"/>
        <v>0</v>
      </c>
      <c r="BL134" s="129" t="str">
        <f t="shared" si="103"/>
        <v>CONVICTION</v>
      </c>
      <c r="BM134" s="129" t="str">
        <f t="shared" si="110"/>
        <v>NONE</v>
      </c>
      <c r="BN134" s="129" t="s">
        <v>566</v>
      </c>
      <c r="BP134" s="137" t="str">
        <f t="shared" si="111"/>
        <v>CONVICTION</v>
      </c>
      <c r="BQ134" s="128" t="str">
        <f t="shared" si="112"/>
        <v>Y</v>
      </c>
      <c r="BR134" s="129" t="str">
        <f t="shared" si="113"/>
        <v>DETAINED</v>
      </c>
      <c r="BS134" s="129" t="str">
        <f t="shared" si="114"/>
        <v>DISPOSED</v>
      </c>
      <c r="BT134" s="129" t="str">
        <f t="shared" si="115"/>
        <v>Y</v>
      </c>
      <c r="BU134" s="109">
        <f t="shared" si="116"/>
        <v>0.984375</v>
      </c>
      <c r="BV134" s="109">
        <f t="shared" si="117"/>
        <v>1</v>
      </c>
      <c r="BW134" s="109">
        <f t="shared" si="97"/>
        <v>1.5625E-2</v>
      </c>
      <c r="BX134" s="111">
        <f t="shared" si="118"/>
        <v>0</v>
      </c>
      <c r="BY134" s="129">
        <f t="shared" si="119"/>
        <v>-63</v>
      </c>
      <c r="BZ134" s="111">
        <f t="shared" si="120"/>
        <v>0</v>
      </c>
      <c r="CA134" s="138">
        <f t="shared" si="121"/>
        <v>63</v>
      </c>
      <c r="CB134" s="111" t="e">
        <f t="shared" si="98"/>
        <v>#VALUE!</v>
      </c>
      <c r="CC134" s="129">
        <f t="shared" si="127"/>
        <v>63</v>
      </c>
      <c r="CD134" s="129">
        <f t="shared" si="128"/>
        <v>0</v>
      </c>
      <c r="CE134" s="129">
        <f t="shared" si="122"/>
        <v>0</v>
      </c>
      <c r="CF134" s="129">
        <f t="shared" si="129"/>
        <v>62</v>
      </c>
      <c r="CG134" s="129" t="str">
        <f t="shared" si="123"/>
        <v>Y</v>
      </c>
      <c r="CI134" s="129" t="str">
        <f t="shared" si="124"/>
        <v>61-90 DAYS</v>
      </c>
      <c r="CJ134" s="137">
        <f t="shared" si="125"/>
        <v>4</v>
      </c>
      <c r="CK134" s="129" t="str">
        <f t="shared" si="126"/>
        <v>Booked</v>
      </c>
    </row>
    <row r="135" spans="1:89" ht="15.75" customHeight="1" x14ac:dyDescent="0.25">
      <c r="A135" s="111">
        <v>2317</v>
      </c>
      <c r="B135" s="128" t="str">
        <f t="shared" si="104"/>
        <v>N</v>
      </c>
      <c r="C135" s="128" t="str">
        <f t="shared" si="105"/>
        <v>N</v>
      </c>
      <c r="D135" s="117">
        <v>545360</v>
      </c>
      <c r="E135" s="135">
        <f t="shared" si="106"/>
        <v>1</v>
      </c>
      <c r="F135" s="124">
        <v>40996</v>
      </c>
      <c r="G135" s="125">
        <v>41150</v>
      </c>
      <c r="H135" s="117">
        <v>545360</v>
      </c>
      <c r="I135" s="124">
        <v>40997</v>
      </c>
      <c r="J135" s="124">
        <v>41150</v>
      </c>
      <c r="K135" s="126">
        <v>15000</v>
      </c>
      <c r="L135" s="127" t="s">
        <v>571</v>
      </c>
      <c r="N135" s="129" t="str">
        <f t="shared" si="107"/>
        <v>N</v>
      </c>
      <c r="O135" s="128" t="s">
        <v>917</v>
      </c>
      <c r="P135" s="129" t="s">
        <v>55</v>
      </c>
      <c r="Q135" s="111">
        <f t="shared" si="92"/>
        <v>154</v>
      </c>
      <c r="R135" s="111">
        <f t="shared" si="99"/>
        <v>155</v>
      </c>
      <c r="S135" s="129">
        <v>3</v>
      </c>
      <c r="T135" s="129">
        <v>1</v>
      </c>
      <c r="U135" s="129">
        <v>3</v>
      </c>
      <c r="W135" s="111"/>
      <c r="AC135" s="130"/>
      <c r="AD135" s="130">
        <v>19097</v>
      </c>
      <c r="AE135" s="128" t="s">
        <v>46</v>
      </c>
      <c r="AF135" s="128" t="s">
        <v>33</v>
      </c>
      <c r="AG135" s="128" t="s">
        <v>872</v>
      </c>
      <c r="AH135" s="108" t="s">
        <v>58</v>
      </c>
      <c r="AI135" s="128" t="s">
        <v>85</v>
      </c>
      <c r="AJ135" s="129" t="s">
        <v>55</v>
      </c>
      <c r="AK135" s="129">
        <v>3</v>
      </c>
      <c r="AL135" s="3" t="s">
        <v>55</v>
      </c>
      <c r="AP135" s="129" t="s">
        <v>43</v>
      </c>
      <c r="AR135" s="128" t="s">
        <v>44</v>
      </c>
      <c r="AS135" s="129" t="s">
        <v>45</v>
      </c>
      <c r="BC135" s="129" t="s">
        <v>38</v>
      </c>
      <c r="BF135" s="111">
        <f t="shared" si="96"/>
        <v>154</v>
      </c>
      <c r="BG135" s="111">
        <f t="shared" si="108"/>
        <v>154</v>
      </c>
      <c r="BH135" s="111">
        <f t="shared" si="100"/>
        <v>155</v>
      </c>
      <c r="BI135" s="111">
        <f t="shared" si="101"/>
        <v>59.833333333333336</v>
      </c>
      <c r="BJ135" s="129">
        <f t="shared" si="109"/>
        <v>0</v>
      </c>
      <c r="BK135" s="129">
        <f t="shared" si="102"/>
        <v>0</v>
      </c>
      <c r="BL135" s="129" t="str">
        <f t="shared" si="103"/>
        <v>NO CONVICTION</v>
      </c>
      <c r="BM135" s="129" t="str">
        <f t="shared" si="110"/>
        <v>NONE</v>
      </c>
      <c r="BN135" s="129" t="s">
        <v>566</v>
      </c>
      <c r="BP135" s="137" t="str">
        <f t="shared" si="111"/>
        <v>NO CONVICTION</v>
      </c>
      <c r="BQ135" s="128" t="str">
        <f t="shared" si="112"/>
        <v>Y</v>
      </c>
      <c r="BR135" s="129" t="str">
        <f t="shared" si="113"/>
        <v>DETAINED</v>
      </c>
      <c r="BS135" s="129" t="str">
        <f t="shared" si="114"/>
        <v>DISPOSED</v>
      </c>
      <c r="BT135" s="129" t="str">
        <f t="shared" si="115"/>
        <v>Y</v>
      </c>
      <c r="BU135" s="109">
        <f>IFERROR(Q135/R135,BR135)</f>
        <v>0.99354838709677418</v>
      </c>
      <c r="BV135" s="109">
        <f t="shared" si="117"/>
        <v>1</v>
      </c>
      <c r="BW135" s="109">
        <f t="shared" si="97"/>
        <v>6.4516129032258229E-3</v>
      </c>
      <c r="BX135" s="111">
        <f t="shared" si="118"/>
        <v>0</v>
      </c>
      <c r="BY135" s="129">
        <f t="shared" si="119"/>
        <v>-154</v>
      </c>
      <c r="BZ135" s="111">
        <f t="shared" si="120"/>
        <v>0</v>
      </c>
      <c r="CA135" s="138">
        <f t="shared" si="121"/>
        <v>154</v>
      </c>
      <c r="CB135" s="111" t="e">
        <f t="shared" si="98"/>
        <v>#VALUE!</v>
      </c>
      <c r="CC135" s="129">
        <f t="shared" si="127"/>
        <v>154</v>
      </c>
      <c r="CD135" s="129">
        <f t="shared" si="128"/>
        <v>0</v>
      </c>
      <c r="CE135" s="129">
        <f t="shared" si="122"/>
        <v>0</v>
      </c>
      <c r="CF135" s="129">
        <f t="shared" si="129"/>
        <v>153</v>
      </c>
      <c r="CG135" s="129" t="str">
        <f t="shared" si="123"/>
        <v>Y</v>
      </c>
      <c r="CI135" s="129" t="str">
        <f t="shared" si="124"/>
        <v>121-365 DAYS</v>
      </c>
      <c r="CJ135" s="137">
        <f t="shared" si="125"/>
        <v>6</v>
      </c>
      <c r="CK135" s="129" t="str">
        <f t="shared" si="126"/>
        <v>Booked</v>
      </c>
    </row>
    <row r="136" spans="1:89" ht="15.75" customHeight="1" x14ac:dyDescent="0.25">
      <c r="A136" s="111">
        <v>963</v>
      </c>
      <c r="B136" s="128" t="str">
        <f t="shared" si="104"/>
        <v>N</v>
      </c>
      <c r="C136" s="128" t="str">
        <f t="shared" si="105"/>
        <v>N</v>
      </c>
      <c r="D136" s="117">
        <v>549379</v>
      </c>
      <c r="E136" s="135">
        <f t="shared" si="106"/>
        <v>1</v>
      </c>
      <c r="F136" s="124">
        <v>40944</v>
      </c>
      <c r="G136" s="125">
        <v>40995</v>
      </c>
      <c r="H136" s="117">
        <v>549379</v>
      </c>
      <c r="I136" s="124">
        <v>40944</v>
      </c>
      <c r="J136" s="124">
        <v>40995</v>
      </c>
      <c r="K136" s="126">
        <v>10000</v>
      </c>
      <c r="L136" s="127" t="s">
        <v>570</v>
      </c>
      <c r="N136" s="129" t="str">
        <f t="shared" si="107"/>
        <v>N</v>
      </c>
      <c r="O136" s="128" t="s">
        <v>917</v>
      </c>
      <c r="P136" s="129" t="s">
        <v>55</v>
      </c>
      <c r="Q136" s="111">
        <f t="shared" si="92"/>
        <v>52</v>
      </c>
      <c r="R136" s="111">
        <f t="shared" si="99"/>
        <v>52</v>
      </c>
      <c r="S136" s="129">
        <v>7</v>
      </c>
      <c r="T136" s="129">
        <v>3</v>
      </c>
      <c r="U136" s="129">
        <v>6</v>
      </c>
      <c r="W136" s="111"/>
      <c r="AC136" s="130"/>
      <c r="AD136" s="130">
        <v>22702</v>
      </c>
      <c r="AE136" s="128" t="s">
        <v>32</v>
      </c>
      <c r="AF136" s="128" t="s">
        <v>33</v>
      </c>
      <c r="AG136" s="128" t="s">
        <v>872</v>
      </c>
      <c r="AH136" s="108" t="s">
        <v>58</v>
      </c>
      <c r="AI136" s="128" t="s">
        <v>97</v>
      </c>
      <c r="AJ136" s="129" t="s">
        <v>55</v>
      </c>
      <c r="AK136" s="129">
        <v>4</v>
      </c>
      <c r="AL136" s="3" t="s">
        <v>55</v>
      </c>
      <c r="AP136" s="129" t="s">
        <v>93</v>
      </c>
      <c r="AR136" s="128" t="s">
        <v>67</v>
      </c>
      <c r="AS136" s="129" t="s">
        <v>45</v>
      </c>
      <c r="BC136" s="129" t="s">
        <v>99</v>
      </c>
      <c r="BF136" s="111">
        <f t="shared" si="96"/>
        <v>52</v>
      </c>
      <c r="BG136" s="111">
        <f t="shared" si="108"/>
        <v>52</v>
      </c>
      <c r="BH136" s="111">
        <f t="shared" si="100"/>
        <v>52</v>
      </c>
      <c r="BI136" s="111">
        <f t="shared" si="101"/>
        <v>49.841530054644807</v>
      </c>
      <c r="BJ136" s="129">
        <f t="shared" si="109"/>
        <v>0</v>
      </c>
      <c r="BK136" s="129">
        <f t="shared" si="102"/>
        <v>0</v>
      </c>
      <c r="BL136" s="129" t="str">
        <f t="shared" si="103"/>
        <v>NO CONVICTION</v>
      </c>
      <c r="BM136" s="129" t="str">
        <f t="shared" si="110"/>
        <v>NONE</v>
      </c>
      <c r="BN136" s="129" t="s">
        <v>566</v>
      </c>
      <c r="BP136" s="137" t="str">
        <f t="shared" si="111"/>
        <v>NO CONVICTION</v>
      </c>
      <c r="BQ136" s="128" t="str">
        <f t="shared" si="112"/>
        <v>Y</v>
      </c>
      <c r="BR136" s="129" t="str">
        <f t="shared" si="113"/>
        <v>DETAINED</v>
      </c>
      <c r="BS136" s="129" t="str">
        <f t="shared" si="114"/>
        <v>DISPOSED</v>
      </c>
      <c r="BT136" s="129" t="str">
        <f t="shared" si="115"/>
        <v>Y</v>
      </c>
      <c r="BU136" s="109">
        <f>IFERROR(Q136/R136,BR136)</f>
        <v>1</v>
      </c>
      <c r="BV136" s="109">
        <f t="shared" si="117"/>
        <v>1</v>
      </c>
      <c r="BW136" s="109">
        <f t="shared" si="97"/>
        <v>0</v>
      </c>
      <c r="BX136" s="111">
        <f t="shared" si="118"/>
        <v>0</v>
      </c>
      <c r="BY136" s="129">
        <f t="shared" si="119"/>
        <v>-52</v>
      </c>
      <c r="BZ136" s="111">
        <f t="shared" si="120"/>
        <v>0</v>
      </c>
      <c r="CA136" s="138">
        <f t="shared" si="121"/>
        <v>52</v>
      </c>
      <c r="CB136" s="111" t="e">
        <f t="shared" si="98"/>
        <v>#VALUE!</v>
      </c>
      <c r="CC136" s="129">
        <f t="shared" si="127"/>
        <v>52</v>
      </c>
      <c r="CD136" s="129">
        <f t="shared" si="128"/>
        <v>0</v>
      </c>
      <c r="CE136" s="129">
        <f t="shared" si="122"/>
        <v>0</v>
      </c>
      <c r="CF136" s="129">
        <f t="shared" si="129"/>
        <v>51</v>
      </c>
      <c r="CG136" s="129" t="str">
        <f t="shared" si="123"/>
        <v>Y</v>
      </c>
      <c r="CI136" s="129" t="str">
        <f t="shared" si="124"/>
        <v>31-60 DAYS</v>
      </c>
      <c r="CJ136" s="137">
        <f t="shared" si="125"/>
        <v>3</v>
      </c>
      <c r="CK136" s="129" t="str">
        <f t="shared" si="126"/>
        <v>Booked</v>
      </c>
    </row>
    <row r="137" spans="1:89" ht="15" customHeight="1" x14ac:dyDescent="0.25">
      <c r="A137" s="111">
        <v>1838</v>
      </c>
      <c r="B137" s="128" t="str">
        <f t="shared" si="104"/>
        <v>N</v>
      </c>
      <c r="C137" s="128" t="str">
        <f t="shared" si="105"/>
        <v>N</v>
      </c>
      <c r="D137" s="117">
        <v>550310</v>
      </c>
      <c r="E137" s="135" t="str">
        <f t="shared" si="106"/>
        <v/>
      </c>
      <c r="F137" s="124">
        <v>40977</v>
      </c>
      <c r="G137" s="124"/>
      <c r="H137" s="117">
        <v>550310</v>
      </c>
      <c r="I137" s="124">
        <v>40977</v>
      </c>
      <c r="J137" s="124"/>
      <c r="K137" s="126">
        <v>90000</v>
      </c>
      <c r="L137" s="129" t="s">
        <v>572</v>
      </c>
      <c r="N137" s="129" t="str">
        <f t="shared" si="107"/>
        <v>N</v>
      </c>
      <c r="O137" s="128" t="s">
        <v>917</v>
      </c>
      <c r="P137" s="32" t="s">
        <v>1350</v>
      </c>
      <c r="Q137" s="111" t="str">
        <f t="shared" si="92"/>
        <v>STILL OPEN</v>
      </c>
      <c r="R137" s="111" t="str">
        <f t="shared" si="99"/>
        <v>STILL OPEN</v>
      </c>
      <c r="S137" s="129">
        <v>3</v>
      </c>
      <c r="T137" s="129">
        <v>4</v>
      </c>
      <c r="U137" s="129">
        <v>3</v>
      </c>
      <c r="W137" s="111"/>
      <c r="AC137" s="130"/>
      <c r="AD137" s="130">
        <v>21010</v>
      </c>
      <c r="AE137" s="128" t="s">
        <v>32</v>
      </c>
      <c r="AF137" s="128" t="s">
        <v>33</v>
      </c>
      <c r="AG137" s="128" t="s">
        <v>872</v>
      </c>
      <c r="AH137" s="108" t="s">
        <v>58</v>
      </c>
      <c r="AI137" s="128" t="s">
        <v>141</v>
      </c>
      <c r="AJ137" s="32" t="s">
        <v>1277</v>
      </c>
      <c r="AP137" s="129" t="s">
        <v>84</v>
      </c>
      <c r="AR137" s="128" t="s">
        <v>67</v>
      </c>
      <c r="AS137" s="129" t="s">
        <v>74</v>
      </c>
      <c r="BC137" s="129" t="s">
        <v>38</v>
      </c>
      <c r="BF137" s="111" t="str">
        <f t="shared" si="96"/>
        <v>STILL OPEN</v>
      </c>
      <c r="BG137" s="111" t="str">
        <f t="shared" si="108"/>
        <v>STILL OPEN</v>
      </c>
      <c r="BH137" s="111" t="str">
        <f t="shared" si="100"/>
        <v>STILL OPEN</v>
      </c>
      <c r="BI137" s="111">
        <f t="shared" si="101"/>
        <v>54.55464480874317</v>
      </c>
      <c r="BJ137" s="129">
        <f t="shared" si="109"/>
        <v>0</v>
      </c>
      <c r="BK137" s="129">
        <f t="shared" si="102"/>
        <v>0</v>
      </c>
      <c r="BL137" s="129">
        <f t="shared" si="103"/>
        <v>0</v>
      </c>
      <c r="BM137" s="129" t="str">
        <f t="shared" si="110"/>
        <v>NONE</v>
      </c>
      <c r="BN137" s="129" t="s">
        <v>566</v>
      </c>
      <c r="BP137" s="137" t="str">
        <f t="shared" si="111"/>
        <v/>
      </c>
      <c r="BQ137" s="128" t="str">
        <f t="shared" si="112"/>
        <v>Y</v>
      </c>
      <c r="BR137" s="129" t="str">
        <f t="shared" si="113"/>
        <v>STILL OPEN</v>
      </c>
      <c r="BS137" s="129" t="s">
        <v>588</v>
      </c>
      <c r="BT137" s="129" t="str">
        <f t="shared" si="115"/>
        <v>Y</v>
      </c>
      <c r="BU137" s="109" t="e">
        <f t="shared" ref="BU137" si="130">Q137/R137</f>
        <v>#VALUE!</v>
      </c>
      <c r="BV137" s="109">
        <f t="shared" si="117"/>
        <v>1</v>
      </c>
      <c r="BW137" s="109" t="e">
        <f t="shared" si="97"/>
        <v>#VALUE!</v>
      </c>
      <c r="BX137" s="111" t="e">
        <f t="shared" si="118"/>
        <v>#VALUE!</v>
      </c>
      <c r="BY137" s="129">
        <f t="shared" si="119"/>
        <v>40976</v>
      </c>
      <c r="BZ137" s="111" t="e">
        <f t="shared" si="120"/>
        <v>#VALUE!</v>
      </c>
      <c r="CA137" s="138" t="e">
        <f t="shared" si="121"/>
        <v>#VALUE!</v>
      </c>
      <c r="CB137" s="111" t="e">
        <f t="shared" si="98"/>
        <v>#VALUE!</v>
      </c>
      <c r="CC137" s="129">
        <f t="shared" si="127"/>
        <v>-40976</v>
      </c>
      <c r="CD137" s="129">
        <f t="shared" si="128"/>
        <v>0</v>
      </c>
      <c r="CE137" s="129">
        <f t="shared" si="122"/>
        <v>0</v>
      </c>
      <c r="CF137" s="129">
        <f t="shared" si="129"/>
        <v>-40977</v>
      </c>
      <c r="CG137" s="129" t="str">
        <f t="shared" si="123"/>
        <v>Y</v>
      </c>
      <c r="CH137" s="129" t="e">
        <v>#N/A</v>
      </c>
      <c r="CI137" s="129" t="str">
        <f t="shared" si="124"/>
        <v>&gt;3YRS</v>
      </c>
      <c r="CJ137" s="137">
        <f t="shared" si="125"/>
        <v>9</v>
      </c>
      <c r="CK137" s="129" t="str">
        <f t="shared" si="126"/>
        <v>Booked</v>
      </c>
    </row>
    <row r="138" spans="1:89" ht="15.75" customHeight="1" x14ac:dyDescent="0.25">
      <c r="A138" s="111">
        <v>2117</v>
      </c>
      <c r="B138" s="128" t="str">
        <f t="shared" si="104"/>
        <v>N</v>
      </c>
      <c r="C138" s="128" t="str">
        <f t="shared" si="105"/>
        <v>N</v>
      </c>
      <c r="D138" s="117">
        <v>552564</v>
      </c>
      <c r="E138" s="135">
        <f t="shared" si="106"/>
        <v>5</v>
      </c>
      <c r="F138" s="124">
        <v>40988</v>
      </c>
      <c r="G138" s="125">
        <v>40989</v>
      </c>
      <c r="H138" s="117">
        <v>552564</v>
      </c>
      <c r="I138" s="124">
        <v>40988</v>
      </c>
      <c r="J138" s="124">
        <v>40989</v>
      </c>
      <c r="K138" s="126">
        <v>15000</v>
      </c>
      <c r="L138" s="127" t="s">
        <v>571</v>
      </c>
      <c r="N138" s="129" t="str">
        <f t="shared" si="107"/>
        <v>N</v>
      </c>
      <c r="O138" s="128" t="s">
        <v>917</v>
      </c>
      <c r="P138" s="129" t="s">
        <v>39</v>
      </c>
      <c r="Q138" s="111">
        <f t="shared" si="92"/>
        <v>2</v>
      </c>
      <c r="R138" s="111">
        <f t="shared" si="99"/>
        <v>2</v>
      </c>
      <c r="S138" s="129">
        <v>11</v>
      </c>
      <c r="T138" s="129">
        <v>4</v>
      </c>
      <c r="U138" s="129">
        <v>9</v>
      </c>
      <c r="W138" s="111"/>
      <c r="AC138" s="130"/>
      <c r="AD138" s="130">
        <v>22367</v>
      </c>
      <c r="AE138" s="128" t="s">
        <v>32</v>
      </c>
      <c r="AF138" s="128" t="s">
        <v>33</v>
      </c>
      <c r="AG138" s="128" t="s">
        <v>872</v>
      </c>
      <c r="AH138" s="108" t="s">
        <v>58</v>
      </c>
      <c r="AI138" s="128" t="s">
        <v>85</v>
      </c>
      <c r="AJ138" s="129" t="s">
        <v>89</v>
      </c>
      <c r="AK138" s="129">
        <v>1</v>
      </c>
      <c r="AL138" s="3" t="s">
        <v>992</v>
      </c>
      <c r="AN138" s="117">
        <v>6</v>
      </c>
      <c r="AP138" s="129" t="s">
        <v>60</v>
      </c>
      <c r="AR138" s="128" t="s">
        <v>44</v>
      </c>
      <c r="AS138" s="129" t="s">
        <v>61</v>
      </c>
      <c r="BC138" s="129" t="s">
        <v>38</v>
      </c>
      <c r="BF138" s="111">
        <f t="shared" si="96"/>
        <v>2</v>
      </c>
      <c r="BG138" s="111">
        <f t="shared" si="108"/>
        <v>2</v>
      </c>
      <c r="BH138" s="111">
        <f t="shared" si="100"/>
        <v>2</v>
      </c>
      <c r="BI138" s="111">
        <f t="shared" si="101"/>
        <v>50.877049180327866</v>
      </c>
      <c r="BJ138" s="129">
        <f t="shared" si="109"/>
        <v>0</v>
      </c>
      <c r="BK138" s="129">
        <f t="shared" si="102"/>
        <v>0</v>
      </c>
      <c r="BL138" s="129" t="str">
        <f t="shared" si="103"/>
        <v>CONVICTION</v>
      </c>
      <c r="BM138" s="129" t="str">
        <f t="shared" si="110"/>
        <v>NONE</v>
      </c>
      <c r="BN138" s="129" t="s">
        <v>566</v>
      </c>
      <c r="BP138" s="137" t="str">
        <f t="shared" si="111"/>
        <v>CONVICTION</v>
      </c>
      <c r="BQ138" s="128" t="str">
        <f t="shared" si="112"/>
        <v>Y</v>
      </c>
      <c r="BR138" s="129" t="str">
        <f t="shared" si="113"/>
        <v>DETAINED</v>
      </c>
      <c r="BS138" s="129" t="str">
        <f t="shared" si="114"/>
        <v>DISPOSED</v>
      </c>
      <c r="BT138" s="129" t="str">
        <f t="shared" si="115"/>
        <v>Y</v>
      </c>
      <c r="BU138" s="109">
        <f t="shared" si="116"/>
        <v>1</v>
      </c>
      <c r="BV138" s="109">
        <f t="shared" si="117"/>
        <v>1</v>
      </c>
      <c r="BW138" s="109">
        <f t="shared" si="97"/>
        <v>0</v>
      </c>
      <c r="BX138" s="111">
        <f t="shared" si="118"/>
        <v>0</v>
      </c>
      <c r="BY138" s="129">
        <f t="shared" si="119"/>
        <v>-2</v>
      </c>
      <c r="BZ138" s="111">
        <f t="shared" si="120"/>
        <v>0</v>
      </c>
      <c r="CA138" s="138">
        <f t="shared" si="121"/>
        <v>2</v>
      </c>
      <c r="CB138" s="111" t="e">
        <f t="shared" si="98"/>
        <v>#VALUE!</v>
      </c>
      <c r="CC138" s="129">
        <f t="shared" si="127"/>
        <v>2</v>
      </c>
      <c r="CD138" s="129">
        <f t="shared" si="128"/>
        <v>0</v>
      </c>
      <c r="CE138" s="129">
        <f t="shared" si="122"/>
        <v>0</v>
      </c>
      <c r="CF138" s="129">
        <f t="shared" si="129"/>
        <v>1</v>
      </c>
      <c r="CG138" s="129" t="str">
        <f t="shared" si="123"/>
        <v>Y</v>
      </c>
      <c r="CI138" s="129" t="str">
        <f t="shared" si="124"/>
        <v>0-10 DAYS</v>
      </c>
      <c r="CJ138" s="137">
        <f t="shared" si="125"/>
        <v>1</v>
      </c>
      <c r="CK138" s="129" t="str">
        <f t="shared" si="126"/>
        <v>Booked</v>
      </c>
    </row>
    <row r="139" spans="1:89" ht="15" customHeight="1" x14ac:dyDescent="0.25">
      <c r="A139" s="111">
        <v>124</v>
      </c>
      <c r="B139" s="128" t="str">
        <f t="shared" si="104"/>
        <v>N</v>
      </c>
      <c r="C139" s="128" t="str">
        <f t="shared" si="105"/>
        <v>N</v>
      </c>
      <c r="D139" s="117">
        <v>553187</v>
      </c>
      <c r="E139" s="135">
        <f t="shared" si="106"/>
        <v>1</v>
      </c>
      <c r="F139" s="124">
        <v>40914</v>
      </c>
      <c r="G139" s="125">
        <v>40934</v>
      </c>
      <c r="H139" s="117">
        <v>553187</v>
      </c>
      <c r="I139" s="124">
        <v>40914</v>
      </c>
      <c r="J139" s="124">
        <v>40934</v>
      </c>
      <c r="K139" s="126">
        <v>15000</v>
      </c>
      <c r="L139" s="127" t="s">
        <v>571</v>
      </c>
      <c r="N139" s="129" t="str">
        <f t="shared" si="107"/>
        <v>N</v>
      </c>
      <c r="O139" s="128" t="s">
        <v>917</v>
      </c>
      <c r="P139" s="129" t="s">
        <v>55</v>
      </c>
      <c r="Q139" s="111">
        <f t="shared" si="92"/>
        <v>21</v>
      </c>
      <c r="R139" s="111">
        <f t="shared" si="99"/>
        <v>21</v>
      </c>
      <c r="S139" s="129">
        <v>3</v>
      </c>
      <c r="T139" s="129">
        <v>0</v>
      </c>
      <c r="U139" s="129">
        <v>3</v>
      </c>
      <c r="W139" s="111"/>
      <c r="AC139" s="130"/>
      <c r="AD139" s="130">
        <v>20060</v>
      </c>
      <c r="AE139" s="128" t="s">
        <v>32</v>
      </c>
      <c r="AF139" s="128" t="s">
        <v>69</v>
      </c>
      <c r="AG139" s="128" t="s">
        <v>874</v>
      </c>
      <c r="AH139" s="108" t="s">
        <v>58</v>
      </c>
      <c r="AI139" s="128" t="s">
        <v>42</v>
      </c>
      <c r="AJ139" s="129" t="s">
        <v>55</v>
      </c>
      <c r="AK139" s="129">
        <v>2</v>
      </c>
      <c r="AL139" s="3" t="s">
        <v>55</v>
      </c>
      <c r="AP139" s="129" t="s">
        <v>103</v>
      </c>
      <c r="AR139" s="128" t="s">
        <v>44</v>
      </c>
      <c r="AS139" s="129" t="s">
        <v>45</v>
      </c>
      <c r="BC139" s="129" t="s">
        <v>38</v>
      </c>
      <c r="BF139" s="111">
        <f t="shared" si="96"/>
        <v>21</v>
      </c>
      <c r="BG139" s="111">
        <f t="shared" si="108"/>
        <v>21</v>
      </c>
      <c r="BH139" s="111">
        <f t="shared" si="100"/>
        <v>21</v>
      </c>
      <c r="BI139" s="111">
        <f t="shared" si="101"/>
        <v>56.978142076502735</v>
      </c>
      <c r="BJ139" s="129">
        <f t="shared" si="109"/>
        <v>0</v>
      </c>
      <c r="BK139" s="129">
        <f t="shared" si="102"/>
        <v>0</v>
      </c>
      <c r="BL139" s="129" t="str">
        <f t="shared" si="103"/>
        <v>NO CONVICTION</v>
      </c>
      <c r="BM139" s="129" t="str">
        <f t="shared" si="110"/>
        <v>NONE</v>
      </c>
      <c r="BN139" s="129" t="s">
        <v>566</v>
      </c>
      <c r="BP139" s="137" t="str">
        <f t="shared" si="111"/>
        <v>NO CONVICTION</v>
      </c>
      <c r="BQ139" s="128" t="str">
        <f t="shared" si="112"/>
        <v>Y</v>
      </c>
      <c r="BR139" s="129" t="str">
        <f t="shared" si="113"/>
        <v>DETAINED</v>
      </c>
      <c r="BS139" s="129" t="str">
        <f t="shared" si="114"/>
        <v>DISPOSED</v>
      </c>
      <c r="BT139" s="129" t="str">
        <f t="shared" si="115"/>
        <v>Y</v>
      </c>
      <c r="BU139" s="109">
        <f>IFERROR(Q139/R139,BR139)</f>
        <v>1</v>
      </c>
      <c r="BV139" s="109">
        <f t="shared" si="117"/>
        <v>1</v>
      </c>
      <c r="BW139" s="109">
        <f t="shared" si="97"/>
        <v>0</v>
      </c>
      <c r="BX139" s="111">
        <f t="shared" si="118"/>
        <v>0</v>
      </c>
      <c r="BY139" s="129">
        <f t="shared" si="119"/>
        <v>-21</v>
      </c>
      <c r="BZ139" s="111">
        <f t="shared" si="120"/>
        <v>0</v>
      </c>
      <c r="CA139" s="138">
        <f t="shared" si="121"/>
        <v>21</v>
      </c>
      <c r="CB139" s="111" t="e">
        <f t="shared" si="98"/>
        <v>#VALUE!</v>
      </c>
      <c r="CC139" s="129">
        <f t="shared" si="127"/>
        <v>21</v>
      </c>
      <c r="CD139" s="129">
        <f t="shared" si="128"/>
        <v>0</v>
      </c>
      <c r="CE139" s="129">
        <f t="shared" si="122"/>
        <v>0</v>
      </c>
      <c r="CF139" s="129">
        <f t="shared" si="129"/>
        <v>20</v>
      </c>
      <c r="CG139" s="129" t="str">
        <f t="shared" si="123"/>
        <v>Y</v>
      </c>
      <c r="CI139" s="129" t="str">
        <f t="shared" si="124"/>
        <v>11-30 DAYS</v>
      </c>
      <c r="CJ139" s="137">
        <f t="shared" si="125"/>
        <v>2</v>
      </c>
      <c r="CK139" s="129" t="str">
        <f t="shared" si="126"/>
        <v>Booked</v>
      </c>
    </row>
    <row r="140" spans="1:89" ht="15.75" customHeight="1" x14ac:dyDescent="0.25">
      <c r="A140" s="111">
        <v>896</v>
      </c>
      <c r="B140" s="128" t="str">
        <f t="shared" si="104"/>
        <v>N</v>
      </c>
      <c r="C140" s="128" t="str">
        <f t="shared" si="105"/>
        <v>N</v>
      </c>
      <c r="D140" s="117">
        <v>553570</v>
      </c>
      <c r="E140" s="135">
        <f t="shared" si="106"/>
        <v>5</v>
      </c>
      <c r="F140" s="124">
        <v>40942</v>
      </c>
      <c r="G140" s="125">
        <v>40945</v>
      </c>
      <c r="H140" s="117">
        <v>553570</v>
      </c>
      <c r="I140" s="124">
        <v>40942</v>
      </c>
      <c r="J140" s="124">
        <v>40945</v>
      </c>
      <c r="K140" s="126">
        <v>15000</v>
      </c>
      <c r="L140" s="127" t="s">
        <v>571</v>
      </c>
      <c r="N140" s="129" t="str">
        <f t="shared" si="107"/>
        <v>N</v>
      </c>
      <c r="O140" s="128" t="s">
        <v>917</v>
      </c>
      <c r="P140" s="129" t="s">
        <v>39</v>
      </c>
      <c r="Q140" s="111">
        <f t="shared" ref="Q140:Q171" si="131">BF140</f>
        <v>4</v>
      </c>
      <c r="R140" s="111">
        <f t="shared" si="99"/>
        <v>4</v>
      </c>
      <c r="S140" s="129">
        <v>6</v>
      </c>
      <c r="T140" s="129">
        <v>10</v>
      </c>
      <c r="U140" s="129">
        <v>2</v>
      </c>
      <c r="W140" s="111"/>
      <c r="AC140" s="130"/>
      <c r="AD140" s="130">
        <v>23013</v>
      </c>
      <c r="AE140" s="128" t="s">
        <v>32</v>
      </c>
      <c r="AF140" s="128" t="s">
        <v>69</v>
      </c>
      <c r="AG140" s="128" t="s">
        <v>874</v>
      </c>
      <c r="AH140" s="108" t="s">
        <v>58</v>
      </c>
      <c r="AI140" s="128" t="s">
        <v>59</v>
      </c>
      <c r="AJ140" s="129" t="s">
        <v>89</v>
      </c>
      <c r="AK140" s="129">
        <v>1</v>
      </c>
      <c r="AL140" s="3" t="s">
        <v>992</v>
      </c>
      <c r="AN140" s="117">
        <v>6</v>
      </c>
      <c r="AP140" s="129" t="s">
        <v>127</v>
      </c>
      <c r="AR140" s="128" t="s">
        <v>44</v>
      </c>
      <c r="AS140" s="129" t="s">
        <v>82</v>
      </c>
      <c r="BC140" s="129" t="s">
        <v>38</v>
      </c>
      <c r="BF140" s="111">
        <f t="shared" si="96"/>
        <v>4</v>
      </c>
      <c r="BG140" s="111">
        <f t="shared" si="108"/>
        <v>4</v>
      </c>
      <c r="BH140" s="111">
        <f t="shared" si="100"/>
        <v>4</v>
      </c>
      <c r="BI140" s="111">
        <f t="shared" si="101"/>
        <v>48.986338797814206</v>
      </c>
      <c r="BJ140" s="129">
        <f t="shared" si="109"/>
        <v>0</v>
      </c>
      <c r="BK140" s="129">
        <f t="shared" si="102"/>
        <v>0</v>
      </c>
      <c r="BL140" s="129" t="str">
        <f t="shared" si="103"/>
        <v>CONVICTION</v>
      </c>
      <c r="BM140" s="129" t="str">
        <f t="shared" si="110"/>
        <v>NONE</v>
      </c>
      <c r="BN140" s="129" t="s">
        <v>566</v>
      </c>
      <c r="BP140" s="137" t="str">
        <f t="shared" si="111"/>
        <v>CONVICTION</v>
      </c>
      <c r="BQ140" s="128" t="str">
        <f t="shared" si="112"/>
        <v>Y</v>
      </c>
      <c r="BR140" s="129" t="str">
        <f t="shared" si="113"/>
        <v>DETAINED</v>
      </c>
      <c r="BS140" s="129" t="str">
        <f t="shared" si="114"/>
        <v>DISPOSED</v>
      </c>
      <c r="BT140" s="129" t="str">
        <f t="shared" si="115"/>
        <v>Y</v>
      </c>
      <c r="BU140" s="109">
        <f t="shared" si="116"/>
        <v>1</v>
      </c>
      <c r="BV140" s="109">
        <f t="shared" si="117"/>
        <v>1</v>
      </c>
      <c r="BW140" s="109">
        <f t="shared" si="97"/>
        <v>0</v>
      </c>
      <c r="BX140" s="111">
        <f t="shared" si="118"/>
        <v>0</v>
      </c>
      <c r="BY140" s="129">
        <f t="shared" si="119"/>
        <v>-4</v>
      </c>
      <c r="BZ140" s="111">
        <f t="shared" si="120"/>
        <v>0</v>
      </c>
      <c r="CA140" s="138">
        <f t="shared" si="121"/>
        <v>4</v>
      </c>
      <c r="CB140" s="111" t="e">
        <f t="shared" si="98"/>
        <v>#VALUE!</v>
      </c>
      <c r="CC140" s="129">
        <f t="shared" si="127"/>
        <v>4</v>
      </c>
      <c r="CD140" s="129">
        <f t="shared" si="128"/>
        <v>0</v>
      </c>
      <c r="CE140" s="129">
        <f t="shared" si="122"/>
        <v>0</v>
      </c>
      <c r="CF140" s="129">
        <f t="shared" si="129"/>
        <v>3</v>
      </c>
      <c r="CG140" s="129" t="str">
        <f t="shared" si="123"/>
        <v>Y</v>
      </c>
      <c r="CI140" s="129" t="str">
        <f t="shared" si="124"/>
        <v>0-10 DAYS</v>
      </c>
      <c r="CJ140" s="137">
        <f t="shared" si="125"/>
        <v>1</v>
      </c>
      <c r="CK140" s="129" t="str">
        <f t="shared" si="126"/>
        <v>Booked</v>
      </c>
    </row>
    <row r="141" spans="1:89" ht="15" customHeight="1" x14ac:dyDescent="0.25">
      <c r="A141" s="111">
        <v>1152</v>
      </c>
      <c r="B141" s="128" t="str">
        <f t="shared" si="104"/>
        <v>N</v>
      </c>
      <c r="C141" s="128" t="str">
        <f t="shared" si="105"/>
        <v>N</v>
      </c>
      <c r="D141" s="117">
        <v>555487</v>
      </c>
      <c r="E141" s="135">
        <f t="shared" si="106"/>
        <v>5</v>
      </c>
      <c r="F141" s="124">
        <v>40950</v>
      </c>
      <c r="G141" s="125">
        <v>40977</v>
      </c>
      <c r="H141" s="117">
        <v>555487</v>
      </c>
      <c r="I141" s="124">
        <v>40950</v>
      </c>
      <c r="J141" s="124">
        <v>40977</v>
      </c>
      <c r="K141" s="126">
        <v>25000</v>
      </c>
      <c r="L141" s="129" t="s">
        <v>572</v>
      </c>
      <c r="N141" s="129" t="str">
        <f t="shared" si="107"/>
        <v>N</v>
      </c>
      <c r="O141" s="128" t="s">
        <v>917</v>
      </c>
      <c r="P141" s="129" t="s">
        <v>39</v>
      </c>
      <c r="Q141" s="111">
        <f t="shared" si="131"/>
        <v>28</v>
      </c>
      <c r="R141" s="111">
        <f t="shared" si="99"/>
        <v>28</v>
      </c>
      <c r="S141" s="129">
        <v>5</v>
      </c>
      <c r="T141" s="129">
        <v>2</v>
      </c>
      <c r="U141" s="129">
        <v>5</v>
      </c>
      <c r="W141" s="111"/>
      <c r="AC141" s="130"/>
      <c r="AD141" s="130">
        <v>19614</v>
      </c>
      <c r="AE141" s="128" t="s">
        <v>32</v>
      </c>
      <c r="AF141" s="128" t="s">
        <v>69</v>
      </c>
      <c r="AG141" s="128" t="s">
        <v>874</v>
      </c>
      <c r="AH141" s="108" t="s">
        <v>31</v>
      </c>
      <c r="AI141" s="128" t="s">
        <v>42</v>
      </c>
      <c r="AJ141" s="129" t="s">
        <v>89</v>
      </c>
      <c r="AK141" s="129">
        <v>2</v>
      </c>
      <c r="AL141" s="3" t="s">
        <v>992</v>
      </c>
      <c r="AN141" s="117">
        <v>6</v>
      </c>
      <c r="AP141" s="129" t="s">
        <v>43</v>
      </c>
      <c r="AR141" s="128" t="s">
        <v>44</v>
      </c>
      <c r="AS141" s="129" t="s">
        <v>45</v>
      </c>
      <c r="BC141" s="129" t="s">
        <v>38</v>
      </c>
      <c r="BD141" s="3"/>
      <c r="BF141" s="111">
        <f t="shared" si="96"/>
        <v>28</v>
      </c>
      <c r="BG141" s="111">
        <f t="shared" si="108"/>
        <v>28</v>
      </c>
      <c r="BH141" s="111">
        <f t="shared" si="100"/>
        <v>28</v>
      </c>
      <c r="BI141" s="111">
        <f t="shared" si="101"/>
        <v>58.295081967213115</v>
      </c>
      <c r="BJ141" s="129">
        <f t="shared" si="109"/>
        <v>0</v>
      </c>
      <c r="BK141" s="129">
        <f t="shared" si="102"/>
        <v>0</v>
      </c>
      <c r="BL141" s="129" t="str">
        <f t="shared" si="103"/>
        <v>CONVICTION</v>
      </c>
      <c r="BM141" s="129" t="str">
        <f t="shared" si="110"/>
        <v>NONE</v>
      </c>
      <c r="BN141" s="129" t="s">
        <v>566</v>
      </c>
      <c r="BP141" s="137" t="str">
        <f t="shared" si="111"/>
        <v>CONVICTION</v>
      </c>
      <c r="BQ141" s="128" t="str">
        <f t="shared" si="112"/>
        <v>Y</v>
      </c>
      <c r="BR141" s="129" t="str">
        <f t="shared" si="113"/>
        <v>DETAINED</v>
      </c>
      <c r="BS141" s="129" t="str">
        <f t="shared" si="114"/>
        <v>DISPOSED</v>
      </c>
      <c r="BT141" s="129" t="str">
        <f t="shared" si="115"/>
        <v>Y</v>
      </c>
      <c r="BU141" s="109">
        <f t="shared" si="116"/>
        <v>1</v>
      </c>
      <c r="BV141" s="109">
        <f t="shared" si="117"/>
        <v>1</v>
      </c>
      <c r="BW141" s="109">
        <f t="shared" si="97"/>
        <v>0</v>
      </c>
      <c r="BX141" s="111">
        <f t="shared" si="118"/>
        <v>0</v>
      </c>
      <c r="BY141" s="129">
        <f t="shared" si="119"/>
        <v>-28</v>
      </c>
      <c r="BZ141" s="111">
        <f t="shared" si="120"/>
        <v>0</v>
      </c>
      <c r="CA141" s="138">
        <f t="shared" si="121"/>
        <v>28</v>
      </c>
      <c r="CB141" s="111" t="e">
        <f t="shared" si="98"/>
        <v>#VALUE!</v>
      </c>
      <c r="CC141" s="129">
        <f t="shared" si="127"/>
        <v>28</v>
      </c>
      <c r="CD141" s="129">
        <f t="shared" si="128"/>
        <v>0</v>
      </c>
      <c r="CE141" s="129">
        <f t="shared" si="122"/>
        <v>0</v>
      </c>
      <c r="CF141" s="129">
        <f t="shared" si="129"/>
        <v>27</v>
      </c>
      <c r="CG141" s="129" t="str">
        <f t="shared" si="123"/>
        <v>Y</v>
      </c>
      <c r="CI141" s="129" t="str">
        <f t="shared" si="124"/>
        <v>11-30 DAYS</v>
      </c>
      <c r="CJ141" s="137">
        <f t="shared" si="125"/>
        <v>2</v>
      </c>
      <c r="CK141" s="129" t="str">
        <f t="shared" si="126"/>
        <v>Booked</v>
      </c>
    </row>
    <row r="142" spans="1:89" ht="15" customHeight="1" x14ac:dyDescent="0.25">
      <c r="A142" s="111">
        <v>1208</v>
      </c>
      <c r="B142" s="128" t="str">
        <f t="shared" si="104"/>
        <v>N</v>
      </c>
      <c r="C142" s="128" t="str">
        <f t="shared" si="105"/>
        <v>N</v>
      </c>
      <c r="D142" s="117">
        <v>555552</v>
      </c>
      <c r="E142" s="135">
        <f t="shared" si="106"/>
        <v>3</v>
      </c>
      <c r="F142" s="124">
        <v>40953</v>
      </c>
      <c r="G142" s="125">
        <v>40954</v>
      </c>
      <c r="H142" s="117">
        <v>555552</v>
      </c>
      <c r="I142" s="124">
        <v>40953</v>
      </c>
      <c r="J142" s="124">
        <v>40954</v>
      </c>
      <c r="K142" s="126">
        <v>5000</v>
      </c>
      <c r="L142" s="127" t="s">
        <v>569</v>
      </c>
      <c r="N142" s="129" t="str">
        <f t="shared" si="107"/>
        <v>N</v>
      </c>
      <c r="O142" s="128" t="s">
        <v>917</v>
      </c>
      <c r="P142" s="129" t="s">
        <v>39</v>
      </c>
      <c r="Q142" s="111">
        <f t="shared" si="131"/>
        <v>2</v>
      </c>
      <c r="R142" s="111">
        <f t="shared" si="99"/>
        <v>2</v>
      </c>
      <c r="S142" s="129">
        <v>2</v>
      </c>
      <c r="T142" s="129">
        <v>0</v>
      </c>
      <c r="V142" s="117">
        <v>2</v>
      </c>
      <c r="W142" s="111"/>
      <c r="AC142" s="130"/>
      <c r="AD142" s="130">
        <v>18935</v>
      </c>
      <c r="AE142" s="128" t="s">
        <v>32</v>
      </c>
      <c r="AF142" s="128" t="s">
        <v>69</v>
      </c>
      <c r="AG142" s="128" t="s">
        <v>874</v>
      </c>
      <c r="AH142" s="108" t="s">
        <v>58</v>
      </c>
      <c r="AI142" s="128" t="s">
        <v>47</v>
      </c>
      <c r="AJ142" s="129" t="s">
        <v>89</v>
      </c>
      <c r="AK142" s="129">
        <v>1</v>
      </c>
      <c r="AL142" s="3" t="s">
        <v>185</v>
      </c>
      <c r="AP142" s="129" t="s">
        <v>93</v>
      </c>
      <c r="AR142" s="128" t="s">
        <v>67</v>
      </c>
      <c r="AS142" s="129" t="s">
        <v>45</v>
      </c>
      <c r="BC142" s="129" t="s">
        <v>38</v>
      </c>
      <c r="BF142" s="111">
        <f t="shared" si="96"/>
        <v>2</v>
      </c>
      <c r="BG142" s="111">
        <f t="shared" si="108"/>
        <v>2</v>
      </c>
      <c r="BH142" s="111">
        <f t="shared" si="100"/>
        <v>2</v>
      </c>
      <c r="BI142" s="111">
        <f t="shared" si="101"/>
        <v>60.158469945355193</v>
      </c>
      <c r="BJ142" s="129">
        <f t="shared" si="109"/>
        <v>0</v>
      </c>
      <c r="BK142" s="129">
        <f t="shared" si="102"/>
        <v>0</v>
      </c>
      <c r="BL142" s="129" t="str">
        <f t="shared" si="103"/>
        <v>CONVICTION</v>
      </c>
      <c r="BM142" s="129" t="str">
        <f t="shared" si="110"/>
        <v>NONE</v>
      </c>
      <c r="BN142" s="129" t="s">
        <v>566</v>
      </c>
      <c r="BP142" s="137" t="str">
        <f t="shared" si="111"/>
        <v>CONVICTION</v>
      </c>
      <c r="BQ142" s="128" t="str">
        <f t="shared" si="112"/>
        <v>Y</v>
      </c>
      <c r="BR142" s="129" t="str">
        <f t="shared" si="113"/>
        <v>DETAINED</v>
      </c>
      <c r="BS142" s="129" t="str">
        <f t="shared" si="114"/>
        <v>DISPOSED</v>
      </c>
      <c r="BT142" s="129" t="str">
        <f t="shared" si="115"/>
        <v>Y</v>
      </c>
      <c r="BU142" s="109">
        <f t="shared" si="116"/>
        <v>1</v>
      </c>
      <c r="BV142" s="109">
        <f t="shared" si="117"/>
        <v>1</v>
      </c>
      <c r="BW142" s="109">
        <f t="shared" si="97"/>
        <v>0</v>
      </c>
      <c r="BX142" s="111">
        <f t="shared" si="118"/>
        <v>0</v>
      </c>
      <c r="BY142" s="129">
        <f t="shared" si="119"/>
        <v>-2</v>
      </c>
      <c r="BZ142" s="111">
        <f t="shared" si="120"/>
        <v>0</v>
      </c>
      <c r="CA142" s="138">
        <f t="shared" si="121"/>
        <v>2</v>
      </c>
      <c r="CB142" s="111" t="e">
        <f t="shared" si="98"/>
        <v>#VALUE!</v>
      </c>
      <c r="CC142" s="129">
        <f t="shared" si="127"/>
        <v>2</v>
      </c>
      <c r="CD142" s="129">
        <f t="shared" si="128"/>
        <v>0</v>
      </c>
      <c r="CE142" s="129">
        <f t="shared" si="122"/>
        <v>0</v>
      </c>
      <c r="CF142" s="129">
        <f t="shared" si="129"/>
        <v>1</v>
      </c>
      <c r="CG142" s="129" t="str">
        <f t="shared" si="123"/>
        <v>Y</v>
      </c>
      <c r="CI142" s="129" t="str">
        <f t="shared" si="124"/>
        <v>0-10 DAYS</v>
      </c>
      <c r="CJ142" s="137">
        <f t="shared" si="125"/>
        <v>1</v>
      </c>
      <c r="CK142" s="129" t="str">
        <f t="shared" si="126"/>
        <v>Booked</v>
      </c>
    </row>
    <row r="143" spans="1:89" ht="15.75" customHeight="1" x14ac:dyDescent="0.25">
      <c r="A143" s="111">
        <v>713</v>
      </c>
      <c r="B143" s="128" t="str">
        <f t="shared" si="104"/>
        <v>N</v>
      </c>
      <c r="C143" s="128" t="str">
        <f t="shared" si="105"/>
        <v>N</v>
      </c>
      <c r="D143" s="117">
        <v>564794</v>
      </c>
      <c r="E143" s="135">
        <f t="shared" si="106"/>
        <v>2</v>
      </c>
      <c r="F143" s="124">
        <v>40936</v>
      </c>
      <c r="G143" s="125">
        <v>41382</v>
      </c>
      <c r="H143" s="117">
        <v>564794</v>
      </c>
      <c r="I143" s="124">
        <v>40974</v>
      </c>
      <c r="J143" s="124">
        <v>40981</v>
      </c>
      <c r="K143" s="126">
        <v>10000</v>
      </c>
      <c r="L143" s="127" t="s">
        <v>570</v>
      </c>
      <c r="M143" s="125">
        <v>40981</v>
      </c>
      <c r="N143" s="129" t="str">
        <f t="shared" si="107"/>
        <v>Y</v>
      </c>
      <c r="O143" s="128" t="s">
        <v>76</v>
      </c>
      <c r="P143" s="129" t="s">
        <v>589</v>
      </c>
      <c r="Q143" s="111">
        <f t="shared" si="131"/>
        <v>8</v>
      </c>
      <c r="R143" s="111">
        <f t="shared" si="99"/>
        <v>447</v>
      </c>
      <c r="S143" s="129">
        <v>1</v>
      </c>
      <c r="T143" s="129">
        <v>1</v>
      </c>
      <c r="V143" s="117">
        <v>1</v>
      </c>
      <c r="W143" s="111"/>
      <c r="AC143" s="130"/>
      <c r="AD143" s="130">
        <v>22786</v>
      </c>
      <c r="AE143" s="128" t="s">
        <v>32</v>
      </c>
      <c r="AF143" s="128" t="s">
        <v>40</v>
      </c>
      <c r="AG143" s="128" t="s">
        <v>41</v>
      </c>
      <c r="AH143" s="108" t="s">
        <v>41</v>
      </c>
      <c r="AI143" s="128" t="s">
        <v>80</v>
      </c>
      <c r="AJ143" s="129" t="s">
        <v>31</v>
      </c>
      <c r="AK143" s="129">
        <v>12</v>
      </c>
      <c r="AL143" s="3" t="s">
        <v>48</v>
      </c>
      <c r="AP143" s="129" t="s">
        <v>110</v>
      </c>
      <c r="AR143" s="128" t="s">
        <v>50</v>
      </c>
      <c r="AS143" s="129" t="s">
        <v>74</v>
      </c>
      <c r="AT143" s="129" t="s">
        <v>1139</v>
      </c>
      <c r="BC143" s="129" t="s">
        <v>38</v>
      </c>
      <c r="BF143" s="111">
        <f t="shared" si="96"/>
        <v>8</v>
      </c>
      <c r="BG143" s="111">
        <f t="shared" si="108"/>
        <v>409</v>
      </c>
      <c r="BH143" s="111">
        <f t="shared" si="100"/>
        <v>447</v>
      </c>
      <c r="BI143" s="111">
        <f t="shared" si="101"/>
        <v>49.590163934426229</v>
      </c>
      <c r="BJ143" s="129">
        <f>(G143-J143)+(M143-G143)</f>
        <v>0</v>
      </c>
      <c r="BK143" s="129">
        <f t="shared" si="102"/>
        <v>-401</v>
      </c>
      <c r="BL143" s="129" t="str">
        <f t="shared" si="103"/>
        <v>DEFERRED</v>
      </c>
      <c r="BM143" s="129" t="s">
        <v>76</v>
      </c>
      <c r="BN143" s="129" t="s">
        <v>88</v>
      </c>
      <c r="BP143" s="137" t="str">
        <f t="shared" si="111"/>
        <v/>
      </c>
      <c r="BQ143" s="128" t="str">
        <f t="shared" si="112"/>
        <v>Y</v>
      </c>
      <c r="BR143" s="129" t="str">
        <f t="shared" si="113"/>
        <v>ON BOND</v>
      </c>
      <c r="BS143" s="129" t="str">
        <f t="shared" si="114"/>
        <v>DISPOSED</v>
      </c>
      <c r="BT143" s="129" t="str">
        <f t="shared" si="115"/>
        <v>Y</v>
      </c>
      <c r="BU143" s="109">
        <f>IFERROR(Q143/R143,BR143)</f>
        <v>1.7897091722595078E-2</v>
      </c>
      <c r="BV143" s="109">
        <f t="shared" si="117"/>
        <v>1.9559902200488997E-2</v>
      </c>
      <c r="BW143" s="109">
        <f t="shared" si="97"/>
        <v>1.6628104778939196E-3</v>
      </c>
      <c r="BX143" s="111">
        <f t="shared" si="118"/>
        <v>0</v>
      </c>
      <c r="BY143" s="129">
        <f t="shared" si="119"/>
        <v>-8</v>
      </c>
      <c r="BZ143" s="111">
        <f t="shared" si="120"/>
        <v>0</v>
      </c>
      <c r="CA143" s="138">
        <f t="shared" si="121"/>
        <v>8</v>
      </c>
      <c r="CB143" s="111" t="e">
        <f t="shared" si="98"/>
        <v>#VALUE!</v>
      </c>
      <c r="CC143" s="129">
        <f>M143-I143+1</f>
        <v>8</v>
      </c>
      <c r="CD143" s="111">
        <f>CC143-BF143</f>
        <v>0</v>
      </c>
      <c r="CE143" s="129">
        <f t="shared" si="122"/>
        <v>401</v>
      </c>
      <c r="CF143" s="129">
        <f t="shared" si="129"/>
        <v>7</v>
      </c>
      <c r="CG143" s="129" t="str">
        <f t="shared" si="123"/>
        <v>Y</v>
      </c>
      <c r="CI143" s="129" t="str">
        <f t="shared" si="124"/>
        <v>0-10 DAYS</v>
      </c>
      <c r="CJ143" s="137">
        <f t="shared" si="125"/>
        <v>1</v>
      </c>
      <c r="CK143" s="129" t="str">
        <f t="shared" si="126"/>
        <v>Booked</v>
      </c>
    </row>
    <row r="144" spans="1:89" ht="15" customHeight="1" x14ac:dyDescent="0.25">
      <c r="A144" s="111">
        <v>1694</v>
      </c>
      <c r="B144" s="128" t="str">
        <f t="shared" si="104"/>
        <v>N</v>
      </c>
      <c r="C144" s="128" t="str">
        <f t="shared" si="105"/>
        <v>N</v>
      </c>
      <c r="D144" s="117">
        <v>581736</v>
      </c>
      <c r="E144" s="135">
        <f t="shared" si="106"/>
        <v>2</v>
      </c>
      <c r="F144" s="124">
        <v>40971</v>
      </c>
      <c r="G144" s="125">
        <v>41115</v>
      </c>
      <c r="H144" s="117">
        <v>581736</v>
      </c>
      <c r="I144" s="124">
        <v>40971</v>
      </c>
      <c r="J144" s="124">
        <v>40974</v>
      </c>
      <c r="K144" s="126">
        <v>15000</v>
      </c>
      <c r="L144" s="127" t="s">
        <v>571</v>
      </c>
      <c r="M144" s="125">
        <v>40974</v>
      </c>
      <c r="N144" s="129" t="str">
        <f t="shared" si="107"/>
        <v>Y</v>
      </c>
      <c r="O144" s="128" t="s">
        <v>76</v>
      </c>
      <c r="P144" s="129" t="s">
        <v>589</v>
      </c>
      <c r="Q144" s="111">
        <f t="shared" si="131"/>
        <v>4</v>
      </c>
      <c r="R144" s="111">
        <f t="shared" si="99"/>
        <v>145</v>
      </c>
      <c r="S144" s="129">
        <v>9</v>
      </c>
      <c r="T144" s="129">
        <v>4</v>
      </c>
      <c r="U144" s="129">
        <v>1</v>
      </c>
      <c r="V144" s="117">
        <v>1</v>
      </c>
      <c r="W144" s="111"/>
      <c r="AC144" s="130"/>
      <c r="AD144" s="130">
        <v>20494</v>
      </c>
      <c r="AE144" s="128" t="s">
        <v>46</v>
      </c>
      <c r="AF144" s="128" t="s">
        <v>33</v>
      </c>
      <c r="AG144" s="128" t="s">
        <v>872</v>
      </c>
      <c r="AH144" s="108" t="s">
        <v>31</v>
      </c>
      <c r="AI144" s="128" t="s">
        <v>59</v>
      </c>
      <c r="AJ144" s="129" t="s">
        <v>48</v>
      </c>
      <c r="AK144" s="129">
        <v>7</v>
      </c>
      <c r="AL144" s="3" t="s">
        <v>48</v>
      </c>
      <c r="AP144" s="129" t="s">
        <v>60</v>
      </c>
      <c r="AR144" s="128" t="s">
        <v>44</v>
      </c>
      <c r="AS144" s="129" t="s">
        <v>61</v>
      </c>
      <c r="AT144" s="129" t="s">
        <v>364</v>
      </c>
      <c r="BC144" s="129" t="s">
        <v>52</v>
      </c>
      <c r="BF144" s="111">
        <f t="shared" si="96"/>
        <v>4</v>
      </c>
      <c r="BG144" s="111">
        <f t="shared" si="108"/>
        <v>145</v>
      </c>
      <c r="BH144" s="111">
        <f t="shared" si="100"/>
        <v>145</v>
      </c>
      <c r="BI144" s="111">
        <f t="shared" si="101"/>
        <v>55.948087431693992</v>
      </c>
      <c r="BJ144" s="129">
        <f>(G144-J144)+(M144-G144)</f>
        <v>0</v>
      </c>
      <c r="BK144" s="129">
        <f t="shared" si="102"/>
        <v>-141</v>
      </c>
      <c r="BL144" s="129" t="str">
        <f t="shared" si="103"/>
        <v>DEFERRED</v>
      </c>
      <c r="BM144" s="129" t="s">
        <v>76</v>
      </c>
      <c r="BN144" s="129" t="s">
        <v>88</v>
      </c>
      <c r="BP144" s="137" t="str">
        <f t="shared" si="111"/>
        <v>DEFERRED</v>
      </c>
      <c r="BQ144" s="128" t="str">
        <f t="shared" si="112"/>
        <v>Y</v>
      </c>
      <c r="BR144" s="129" t="str">
        <f t="shared" si="113"/>
        <v>ON BOND</v>
      </c>
      <c r="BS144" s="129" t="str">
        <f t="shared" si="114"/>
        <v>DISPOSED</v>
      </c>
      <c r="BT144" s="129" t="str">
        <f t="shared" si="115"/>
        <v>Y</v>
      </c>
      <c r="BU144" s="109">
        <f t="shared" si="116"/>
        <v>2.7586206896551724E-2</v>
      </c>
      <c r="BV144" s="109">
        <f t="shared" si="117"/>
        <v>2.7586206896551724E-2</v>
      </c>
      <c r="BW144" s="109">
        <f t="shared" si="97"/>
        <v>0</v>
      </c>
      <c r="BX144" s="111">
        <f t="shared" si="118"/>
        <v>0</v>
      </c>
      <c r="BY144" s="129">
        <f t="shared" si="119"/>
        <v>-4</v>
      </c>
      <c r="BZ144" s="111">
        <f t="shared" si="120"/>
        <v>0</v>
      </c>
      <c r="CA144" s="138">
        <f t="shared" si="121"/>
        <v>4</v>
      </c>
      <c r="CB144" s="111" t="e">
        <f t="shared" si="98"/>
        <v>#VALUE!</v>
      </c>
      <c r="CC144" s="129">
        <f>M144-I144+1</f>
        <v>4</v>
      </c>
      <c r="CD144" s="111">
        <f>CC144-BF144</f>
        <v>0</v>
      </c>
      <c r="CE144" s="129">
        <f t="shared" si="122"/>
        <v>141</v>
      </c>
      <c r="CF144" s="129">
        <f t="shared" si="129"/>
        <v>3</v>
      </c>
      <c r="CG144" s="129" t="str">
        <f t="shared" si="123"/>
        <v>Y</v>
      </c>
      <c r="CI144" s="129" t="str">
        <f t="shared" si="124"/>
        <v>0-10 DAYS</v>
      </c>
      <c r="CJ144" s="137">
        <f t="shared" si="125"/>
        <v>1</v>
      </c>
      <c r="CK144" s="129" t="str">
        <f t="shared" si="126"/>
        <v>Booked</v>
      </c>
    </row>
    <row r="145" spans="1:89" ht="15.75" customHeight="1" x14ac:dyDescent="0.25">
      <c r="A145" s="111">
        <v>1956</v>
      </c>
      <c r="B145" s="128" t="str">
        <f t="shared" si="104"/>
        <v>N</v>
      </c>
      <c r="C145" s="128" t="str">
        <f t="shared" si="105"/>
        <v>N</v>
      </c>
      <c r="D145" s="117">
        <v>585262</v>
      </c>
      <c r="E145" s="135">
        <f t="shared" si="106"/>
        <v>4</v>
      </c>
      <c r="F145" s="124">
        <v>40982</v>
      </c>
      <c r="G145" s="125">
        <v>40987</v>
      </c>
      <c r="H145" s="117">
        <v>585262</v>
      </c>
      <c r="I145" s="124">
        <v>40982</v>
      </c>
      <c r="J145" s="124">
        <v>40987</v>
      </c>
      <c r="K145" s="126">
        <v>15000</v>
      </c>
      <c r="L145" s="127" t="s">
        <v>571</v>
      </c>
      <c r="N145" s="129" t="str">
        <f t="shared" si="107"/>
        <v>N</v>
      </c>
      <c r="O145" s="128" t="s">
        <v>917</v>
      </c>
      <c r="P145" s="129" t="s">
        <v>39</v>
      </c>
      <c r="Q145" s="111">
        <f t="shared" si="131"/>
        <v>6</v>
      </c>
      <c r="R145" s="111">
        <f t="shared" si="99"/>
        <v>6</v>
      </c>
      <c r="S145" s="129">
        <v>6</v>
      </c>
      <c r="T145" s="129">
        <v>3</v>
      </c>
      <c r="U145" s="129">
        <v>2</v>
      </c>
      <c r="W145" s="111"/>
      <c r="AC145" s="130"/>
      <c r="AD145" s="130">
        <v>20929</v>
      </c>
      <c r="AE145" s="128" t="s">
        <v>32</v>
      </c>
      <c r="AF145" s="128" t="s">
        <v>40</v>
      </c>
      <c r="AG145" s="128" t="s">
        <v>41</v>
      </c>
      <c r="AH145" s="108" t="s">
        <v>41</v>
      </c>
      <c r="AI145" s="128" t="s">
        <v>85</v>
      </c>
      <c r="AJ145" s="129" t="s">
        <v>89</v>
      </c>
      <c r="AK145" s="129">
        <v>1</v>
      </c>
      <c r="AL145" s="3" t="s">
        <v>991</v>
      </c>
      <c r="AO145" s="128">
        <v>365</v>
      </c>
      <c r="AP145" s="129" t="s">
        <v>43</v>
      </c>
      <c r="AR145" s="128" t="s">
        <v>44</v>
      </c>
      <c r="AS145" s="129" t="s">
        <v>45</v>
      </c>
      <c r="BC145" s="129" t="s">
        <v>38</v>
      </c>
      <c r="BF145" s="111">
        <f t="shared" si="96"/>
        <v>6</v>
      </c>
      <c r="BG145" s="111">
        <f t="shared" si="108"/>
        <v>6</v>
      </c>
      <c r="BH145" s="111">
        <f t="shared" si="100"/>
        <v>6</v>
      </c>
      <c r="BI145" s="111">
        <f t="shared" si="101"/>
        <v>54.789617486338798</v>
      </c>
      <c r="BJ145" s="129">
        <f t="shared" si="109"/>
        <v>0</v>
      </c>
      <c r="BK145" s="129">
        <f t="shared" si="102"/>
        <v>0</v>
      </c>
      <c r="BL145" s="129" t="str">
        <f t="shared" si="103"/>
        <v>CONVICTION</v>
      </c>
      <c r="BM145" s="129" t="str">
        <f t="shared" si="110"/>
        <v>NONE</v>
      </c>
      <c r="BN145" s="129" t="s">
        <v>566</v>
      </c>
      <c r="BP145" s="137" t="str">
        <f t="shared" si="111"/>
        <v>CONVICTION</v>
      </c>
      <c r="BQ145" s="128" t="str">
        <f t="shared" si="112"/>
        <v>Y</v>
      </c>
      <c r="BR145" s="129" t="str">
        <f t="shared" si="113"/>
        <v>DETAINED</v>
      </c>
      <c r="BS145" s="129" t="str">
        <f t="shared" si="114"/>
        <v>DISPOSED</v>
      </c>
      <c r="BT145" s="129" t="str">
        <f t="shared" si="115"/>
        <v>Y</v>
      </c>
      <c r="BU145" s="109">
        <f t="shared" si="116"/>
        <v>1</v>
      </c>
      <c r="BV145" s="109">
        <f t="shared" si="117"/>
        <v>1</v>
      </c>
      <c r="BW145" s="109">
        <f t="shared" si="97"/>
        <v>0</v>
      </c>
      <c r="BX145" s="111">
        <f t="shared" si="118"/>
        <v>0</v>
      </c>
      <c r="BY145" s="129">
        <f t="shared" si="119"/>
        <v>-6</v>
      </c>
      <c r="BZ145" s="111">
        <f t="shared" si="120"/>
        <v>0</v>
      </c>
      <c r="CA145" s="138">
        <f t="shared" si="121"/>
        <v>6</v>
      </c>
      <c r="CB145" s="111" t="e">
        <f t="shared" si="98"/>
        <v>#VALUE!</v>
      </c>
      <c r="CC145" s="129">
        <f t="shared" ref="CC145:CC150" si="132">G145-I145+1</f>
        <v>6</v>
      </c>
      <c r="CD145" s="129">
        <f t="shared" ref="CD145:CD150" si="133">G145-J145</f>
        <v>0</v>
      </c>
      <c r="CE145" s="129">
        <f t="shared" si="122"/>
        <v>0</v>
      </c>
      <c r="CF145" s="129">
        <f t="shared" si="129"/>
        <v>5</v>
      </c>
      <c r="CG145" s="129" t="str">
        <f t="shared" si="123"/>
        <v>Y</v>
      </c>
      <c r="CI145" s="129" t="str">
        <f t="shared" si="124"/>
        <v>0-10 DAYS</v>
      </c>
      <c r="CJ145" s="137">
        <f t="shared" si="125"/>
        <v>1</v>
      </c>
      <c r="CK145" s="129" t="str">
        <f t="shared" si="126"/>
        <v>Booked</v>
      </c>
    </row>
    <row r="146" spans="1:89" ht="15" customHeight="1" x14ac:dyDescent="0.25">
      <c r="A146" s="111">
        <v>2977</v>
      </c>
      <c r="B146" s="128" t="str">
        <f t="shared" si="104"/>
        <v>N</v>
      </c>
      <c r="C146" s="128" t="str">
        <f t="shared" si="105"/>
        <v>N</v>
      </c>
      <c r="D146" s="117">
        <v>586496</v>
      </c>
      <c r="E146" s="135">
        <f t="shared" si="106"/>
        <v>5</v>
      </c>
      <c r="F146" s="124">
        <v>41018</v>
      </c>
      <c r="G146" s="125">
        <v>41022</v>
      </c>
      <c r="H146" s="117">
        <v>586496</v>
      </c>
      <c r="I146" s="124">
        <v>41019</v>
      </c>
      <c r="J146" s="124">
        <v>41022</v>
      </c>
      <c r="K146" s="126">
        <v>15000</v>
      </c>
      <c r="L146" s="127" t="s">
        <v>571</v>
      </c>
      <c r="N146" s="129" t="str">
        <f t="shared" si="107"/>
        <v>N</v>
      </c>
      <c r="O146" s="128" t="s">
        <v>917</v>
      </c>
      <c r="P146" s="129" t="s">
        <v>39</v>
      </c>
      <c r="Q146" s="111">
        <f t="shared" si="131"/>
        <v>4</v>
      </c>
      <c r="R146" s="111">
        <f t="shared" si="99"/>
        <v>5</v>
      </c>
      <c r="S146" s="129">
        <v>3</v>
      </c>
      <c r="T146" s="129">
        <v>1</v>
      </c>
      <c r="U146" s="129">
        <v>1</v>
      </c>
      <c r="W146" s="111"/>
      <c r="AC146" s="130"/>
      <c r="AD146" s="130">
        <v>24467</v>
      </c>
      <c r="AE146" s="128" t="s">
        <v>32</v>
      </c>
      <c r="AF146" s="128" t="s">
        <v>33</v>
      </c>
      <c r="AG146" s="128" t="s">
        <v>872</v>
      </c>
      <c r="AH146" s="108" t="s">
        <v>31</v>
      </c>
      <c r="AI146" s="128" t="s">
        <v>42</v>
      </c>
      <c r="AJ146" s="129" t="s">
        <v>89</v>
      </c>
      <c r="AK146" s="129">
        <v>1</v>
      </c>
      <c r="AL146" s="3" t="s">
        <v>992</v>
      </c>
      <c r="AN146" s="117">
        <v>12</v>
      </c>
      <c r="AP146" s="129" t="s">
        <v>43</v>
      </c>
      <c r="AR146" s="128" t="s">
        <v>44</v>
      </c>
      <c r="AS146" s="129" t="s">
        <v>45</v>
      </c>
      <c r="BC146" s="129" t="s">
        <v>38</v>
      </c>
      <c r="BF146" s="111">
        <f t="shared" si="96"/>
        <v>4</v>
      </c>
      <c r="BG146" s="111">
        <f t="shared" si="108"/>
        <v>4</v>
      </c>
      <c r="BH146" s="111">
        <f t="shared" si="100"/>
        <v>5</v>
      </c>
      <c r="BI146" s="111">
        <f t="shared" si="101"/>
        <v>45.221311475409834</v>
      </c>
      <c r="BJ146" s="129">
        <f t="shared" si="109"/>
        <v>0</v>
      </c>
      <c r="BK146" s="129">
        <f t="shared" si="102"/>
        <v>0</v>
      </c>
      <c r="BL146" s="129" t="str">
        <f t="shared" si="103"/>
        <v>CONVICTION</v>
      </c>
      <c r="BM146" s="129" t="str">
        <f t="shared" si="110"/>
        <v>NONE</v>
      </c>
      <c r="BN146" s="129" t="s">
        <v>566</v>
      </c>
      <c r="BP146" s="137" t="str">
        <f t="shared" si="111"/>
        <v>CONVICTION</v>
      </c>
      <c r="BQ146" s="128" t="str">
        <f t="shared" si="112"/>
        <v>Y</v>
      </c>
      <c r="BR146" s="129" t="str">
        <f t="shared" si="113"/>
        <v>DETAINED</v>
      </c>
      <c r="BS146" s="129" t="str">
        <f t="shared" si="114"/>
        <v>DISPOSED</v>
      </c>
      <c r="BT146" s="129" t="str">
        <f t="shared" si="115"/>
        <v>Y</v>
      </c>
      <c r="BU146" s="109">
        <f t="shared" si="116"/>
        <v>0.8</v>
      </c>
      <c r="BV146" s="109">
        <f t="shared" si="117"/>
        <v>1</v>
      </c>
      <c r="BW146" s="109">
        <f t="shared" si="97"/>
        <v>0.19999999999999996</v>
      </c>
      <c r="BX146" s="111">
        <f t="shared" si="118"/>
        <v>0</v>
      </c>
      <c r="BY146" s="129">
        <f t="shared" si="119"/>
        <v>-4</v>
      </c>
      <c r="BZ146" s="111">
        <f t="shared" si="120"/>
        <v>0</v>
      </c>
      <c r="CA146" s="138">
        <f t="shared" si="121"/>
        <v>4</v>
      </c>
      <c r="CB146" s="111" t="e">
        <f t="shared" si="98"/>
        <v>#VALUE!</v>
      </c>
      <c r="CC146" s="129">
        <f t="shared" si="132"/>
        <v>4</v>
      </c>
      <c r="CD146" s="129">
        <f t="shared" si="133"/>
        <v>0</v>
      </c>
      <c r="CE146" s="129">
        <f t="shared" si="122"/>
        <v>0</v>
      </c>
      <c r="CF146" s="129">
        <f t="shared" si="129"/>
        <v>3</v>
      </c>
      <c r="CG146" s="129" t="str">
        <f t="shared" si="123"/>
        <v>Y</v>
      </c>
      <c r="CI146" s="129" t="str">
        <f t="shared" si="124"/>
        <v>0-10 DAYS</v>
      </c>
      <c r="CJ146" s="137">
        <f t="shared" si="125"/>
        <v>1</v>
      </c>
      <c r="CK146" s="129" t="str">
        <f t="shared" si="126"/>
        <v>Booked</v>
      </c>
    </row>
    <row r="147" spans="1:89" ht="15.75" customHeight="1" x14ac:dyDescent="0.25">
      <c r="A147" s="111">
        <v>2757</v>
      </c>
      <c r="B147" s="128" t="str">
        <f t="shared" si="104"/>
        <v>N</v>
      </c>
      <c r="C147" s="128" t="str">
        <f t="shared" si="105"/>
        <v>N</v>
      </c>
      <c r="D147" s="117">
        <v>587039</v>
      </c>
      <c r="E147" s="135">
        <f t="shared" si="106"/>
        <v>6</v>
      </c>
      <c r="F147" s="124">
        <v>41011</v>
      </c>
      <c r="G147" s="125">
        <v>41240</v>
      </c>
      <c r="H147" s="117">
        <v>587039</v>
      </c>
      <c r="I147" s="124">
        <v>41011</v>
      </c>
      <c r="J147" s="125">
        <v>41240</v>
      </c>
      <c r="K147" s="126" t="s">
        <v>564</v>
      </c>
      <c r="L147" s="127" t="s">
        <v>564</v>
      </c>
      <c r="N147" s="129" t="s">
        <v>566</v>
      </c>
      <c r="O147" s="128" t="s">
        <v>917</v>
      </c>
      <c r="P147" s="129" t="s">
        <v>39</v>
      </c>
      <c r="Q147" s="111">
        <f t="shared" si="131"/>
        <v>230</v>
      </c>
      <c r="R147" s="111">
        <f t="shared" si="99"/>
        <v>230</v>
      </c>
      <c r="S147" s="129">
        <v>7</v>
      </c>
      <c r="T147" s="129">
        <v>7</v>
      </c>
      <c r="U147" s="129">
        <v>7</v>
      </c>
      <c r="W147" s="111"/>
      <c r="AC147" s="130"/>
      <c r="AD147" s="130">
        <v>21230</v>
      </c>
      <c r="AE147" s="128" t="s">
        <v>32</v>
      </c>
      <c r="AF147" s="128" t="s">
        <v>33</v>
      </c>
      <c r="AG147" s="128" t="s">
        <v>872</v>
      </c>
      <c r="AH147" s="108" t="s">
        <v>58</v>
      </c>
      <c r="AI147" s="128" t="s">
        <v>59</v>
      </c>
      <c r="AJ147" s="32" t="s">
        <v>89</v>
      </c>
      <c r="AK147" s="129">
        <v>11</v>
      </c>
      <c r="AL147" s="3" t="s">
        <v>362</v>
      </c>
      <c r="AM147" s="117">
        <v>2</v>
      </c>
      <c r="AP147" s="129" t="s">
        <v>93</v>
      </c>
      <c r="AR147" s="128" t="s">
        <v>67</v>
      </c>
      <c r="AS147" s="129" t="s">
        <v>45</v>
      </c>
      <c r="AT147" s="129" t="s">
        <v>1278</v>
      </c>
      <c r="BC147" s="129" t="s">
        <v>38</v>
      </c>
      <c r="BF147" s="111">
        <f t="shared" si="96"/>
        <v>230</v>
      </c>
      <c r="BG147" s="111">
        <f t="shared" si="108"/>
        <v>230</v>
      </c>
      <c r="BH147" s="111">
        <f t="shared" si="100"/>
        <v>230</v>
      </c>
      <c r="BI147" s="111">
        <f t="shared" si="101"/>
        <v>54.046448087431692</v>
      </c>
      <c r="BJ147" s="129">
        <f t="shared" si="109"/>
        <v>0</v>
      </c>
      <c r="BK147" s="129">
        <f t="shared" si="102"/>
        <v>0</v>
      </c>
      <c r="BL147" s="129" t="str">
        <f t="shared" si="103"/>
        <v>CONVICTION</v>
      </c>
      <c r="BM147" s="129" t="str">
        <f t="shared" si="110"/>
        <v>NONE</v>
      </c>
      <c r="BN147" s="129" t="s">
        <v>566</v>
      </c>
      <c r="BP147" s="137" t="str">
        <f t="shared" si="111"/>
        <v>CONVICTION</v>
      </c>
      <c r="BQ147" s="128" t="str">
        <f t="shared" si="112"/>
        <v>Y</v>
      </c>
      <c r="BR147" s="129" t="s">
        <v>574</v>
      </c>
      <c r="BS147" s="129" t="str">
        <f t="shared" si="114"/>
        <v>DISPOSED</v>
      </c>
      <c r="BT147" s="129" t="str">
        <f t="shared" si="115"/>
        <v>Y</v>
      </c>
      <c r="BU147" s="109">
        <f t="shared" si="116"/>
        <v>1</v>
      </c>
      <c r="BV147" s="109">
        <f t="shared" si="117"/>
        <v>1</v>
      </c>
      <c r="BW147" s="109">
        <f t="shared" si="97"/>
        <v>0</v>
      </c>
      <c r="BX147" s="111">
        <f t="shared" si="118"/>
        <v>0</v>
      </c>
      <c r="BY147" s="129">
        <f t="shared" si="119"/>
        <v>-230</v>
      </c>
      <c r="BZ147" s="111">
        <f t="shared" si="120"/>
        <v>0</v>
      </c>
      <c r="CA147" s="138">
        <f t="shared" si="121"/>
        <v>230</v>
      </c>
      <c r="CB147" s="111" t="e">
        <f t="shared" si="98"/>
        <v>#VALUE!</v>
      </c>
      <c r="CC147" s="129">
        <f t="shared" si="132"/>
        <v>230</v>
      </c>
      <c r="CD147" s="129">
        <f t="shared" si="133"/>
        <v>0</v>
      </c>
      <c r="CE147" s="129">
        <f t="shared" si="122"/>
        <v>0</v>
      </c>
      <c r="CF147" s="129">
        <f t="shared" si="129"/>
        <v>229</v>
      </c>
      <c r="CG147" s="129" t="str">
        <f t="shared" si="123"/>
        <v>Y</v>
      </c>
      <c r="CI147" s="129" t="str">
        <f t="shared" si="124"/>
        <v>121-365 DAYS</v>
      </c>
      <c r="CJ147" s="137">
        <f t="shared" si="125"/>
        <v>6</v>
      </c>
      <c r="CK147" s="129" t="str">
        <f t="shared" si="126"/>
        <v>Booked</v>
      </c>
    </row>
    <row r="148" spans="1:89" ht="15" customHeight="1" x14ac:dyDescent="0.25">
      <c r="A148" s="111">
        <v>127</v>
      </c>
      <c r="B148" s="128" t="str">
        <f t="shared" si="104"/>
        <v>N</v>
      </c>
      <c r="C148" s="128" t="str">
        <f t="shared" si="105"/>
        <v>N</v>
      </c>
      <c r="D148" s="117">
        <v>591758</v>
      </c>
      <c r="E148" s="135">
        <f t="shared" si="106"/>
        <v>5</v>
      </c>
      <c r="F148" s="124">
        <v>40914</v>
      </c>
      <c r="G148" s="125">
        <v>40917</v>
      </c>
      <c r="H148" s="117">
        <v>591758</v>
      </c>
      <c r="I148" s="124">
        <v>40914</v>
      </c>
      <c r="J148" s="124">
        <v>40917</v>
      </c>
      <c r="K148" s="126">
        <v>15000</v>
      </c>
      <c r="L148" s="127" t="s">
        <v>571</v>
      </c>
      <c r="N148" s="129" t="str">
        <f t="shared" ref="N148:N156" si="134">IF(M148&gt;1/1/1,"Y","N")</f>
        <v>N</v>
      </c>
      <c r="O148" s="128" t="s">
        <v>917</v>
      </c>
      <c r="P148" s="129" t="s">
        <v>39</v>
      </c>
      <c r="Q148" s="111">
        <f t="shared" si="131"/>
        <v>4</v>
      </c>
      <c r="R148" s="111">
        <f t="shared" si="99"/>
        <v>4</v>
      </c>
      <c r="S148" s="129">
        <v>3</v>
      </c>
      <c r="T148" s="129">
        <v>0</v>
      </c>
      <c r="U148" s="129">
        <v>1</v>
      </c>
      <c r="W148" s="111"/>
      <c r="AC148" s="130"/>
      <c r="AD148" s="130">
        <v>22628</v>
      </c>
      <c r="AE148" s="128" t="s">
        <v>32</v>
      </c>
      <c r="AF148" s="128" t="s">
        <v>33</v>
      </c>
      <c r="AG148" s="128" t="s">
        <v>872</v>
      </c>
      <c r="AH148" s="108" t="s">
        <v>58</v>
      </c>
      <c r="AI148" s="128" t="s">
        <v>141</v>
      </c>
      <c r="AJ148" s="129" t="s">
        <v>89</v>
      </c>
      <c r="AK148" s="129">
        <v>1</v>
      </c>
      <c r="AL148" s="3" t="s">
        <v>992</v>
      </c>
      <c r="AN148" s="117">
        <v>8</v>
      </c>
      <c r="AP148" s="129" t="s">
        <v>43</v>
      </c>
      <c r="AR148" s="128" t="s">
        <v>44</v>
      </c>
      <c r="AS148" s="129" t="s">
        <v>45</v>
      </c>
      <c r="BC148" s="129" t="s">
        <v>38</v>
      </c>
      <c r="BF148" s="111">
        <f t="shared" si="96"/>
        <v>4</v>
      </c>
      <c r="BG148" s="111">
        <f t="shared" si="108"/>
        <v>4</v>
      </c>
      <c r="BH148" s="111">
        <f t="shared" si="100"/>
        <v>4</v>
      </c>
      <c r="BI148" s="111">
        <f t="shared" si="101"/>
        <v>49.961748633879779</v>
      </c>
      <c r="BJ148" s="129">
        <f t="shared" si="109"/>
        <v>0</v>
      </c>
      <c r="BK148" s="129">
        <f t="shared" si="102"/>
        <v>0</v>
      </c>
      <c r="BL148" s="129" t="str">
        <f t="shared" si="103"/>
        <v>CONVICTION</v>
      </c>
      <c r="BM148" s="129" t="str">
        <f t="shared" si="110"/>
        <v>NONE</v>
      </c>
      <c r="BN148" s="129" t="s">
        <v>566</v>
      </c>
      <c r="BP148" s="137" t="str">
        <f t="shared" si="111"/>
        <v>CONVICTION</v>
      </c>
      <c r="BQ148" s="128" t="str">
        <f t="shared" si="112"/>
        <v>Y</v>
      </c>
      <c r="BR148" s="129" t="str">
        <f t="shared" si="113"/>
        <v>DETAINED</v>
      </c>
      <c r="BS148" s="129" t="str">
        <f t="shared" si="114"/>
        <v>DISPOSED</v>
      </c>
      <c r="BT148" s="129" t="str">
        <f t="shared" si="115"/>
        <v>Y</v>
      </c>
      <c r="BU148" s="109">
        <f t="shared" si="116"/>
        <v>1</v>
      </c>
      <c r="BV148" s="109">
        <f t="shared" si="117"/>
        <v>1</v>
      </c>
      <c r="BW148" s="109">
        <f t="shared" si="97"/>
        <v>0</v>
      </c>
      <c r="BX148" s="111">
        <f t="shared" si="118"/>
        <v>0</v>
      </c>
      <c r="BY148" s="129">
        <f t="shared" si="119"/>
        <v>-4</v>
      </c>
      <c r="BZ148" s="111">
        <f t="shared" si="120"/>
        <v>0</v>
      </c>
      <c r="CA148" s="138">
        <f t="shared" si="121"/>
        <v>4</v>
      </c>
      <c r="CB148" s="111" t="e">
        <f t="shared" si="98"/>
        <v>#VALUE!</v>
      </c>
      <c r="CC148" s="129">
        <f t="shared" si="132"/>
        <v>4</v>
      </c>
      <c r="CD148" s="129">
        <f t="shared" si="133"/>
        <v>0</v>
      </c>
      <c r="CE148" s="129">
        <f t="shared" si="122"/>
        <v>0</v>
      </c>
      <c r="CF148" s="129">
        <f t="shared" si="129"/>
        <v>3</v>
      </c>
      <c r="CG148" s="129" t="str">
        <f t="shared" si="123"/>
        <v>Y</v>
      </c>
      <c r="CI148" s="129" t="str">
        <f t="shared" si="124"/>
        <v>0-10 DAYS</v>
      </c>
      <c r="CJ148" s="137">
        <f t="shared" si="125"/>
        <v>1</v>
      </c>
      <c r="CK148" s="129" t="str">
        <f t="shared" si="126"/>
        <v>Booked</v>
      </c>
    </row>
    <row r="149" spans="1:89" ht="15" customHeight="1" x14ac:dyDescent="0.25">
      <c r="A149" s="111">
        <v>2632</v>
      </c>
      <c r="B149" s="128" t="str">
        <f t="shared" si="104"/>
        <v>N</v>
      </c>
      <c r="C149" s="128" t="str">
        <f t="shared" si="105"/>
        <v>N</v>
      </c>
      <c r="D149" s="117">
        <v>592419</v>
      </c>
      <c r="E149" s="135">
        <f t="shared" si="106"/>
        <v>6</v>
      </c>
      <c r="F149" s="124">
        <v>41006</v>
      </c>
      <c r="G149" s="125">
        <v>41079</v>
      </c>
      <c r="H149" s="117">
        <v>592419</v>
      </c>
      <c r="I149" s="124">
        <v>41007</v>
      </c>
      <c r="J149" s="124">
        <v>41079</v>
      </c>
      <c r="K149" s="126">
        <v>30000</v>
      </c>
      <c r="L149" s="129" t="s">
        <v>572</v>
      </c>
      <c r="N149" s="129" t="str">
        <f t="shared" si="134"/>
        <v>N</v>
      </c>
      <c r="O149" s="128" t="s">
        <v>917</v>
      </c>
      <c r="P149" s="129" t="s">
        <v>39</v>
      </c>
      <c r="Q149" s="111">
        <f t="shared" si="131"/>
        <v>73</v>
      </c>
      <c r="R149" s="111">
        <f t="shared" si="99"/>
        <v>74</v>
      </c>
      <c r="S149" s="129">
        <v>7</v>
      </c>
      <c r="T149" s="129">
        <v>7</v>
      </c>
      <c r="U149" s="129">
        <v>5</v>
      </c>
      <c r="W149" s="111"/>
      <c r="AC149" s="130"/>
      <c r="AD149" s="130">
        <v>24328</v>
      </c>
      <c r="AE149" s="128" t="s">
        <v>32</v>
      </c>
      <c r="AF149" s="128" t="s">
        <v>69</v>
      </c>
      <c r="AG149" s="128" t="s">
        <v>874</v>
      </c>
      <c r="AH149" s="108" t="s">
        <v>58</v>
      </c>
      <c r="AI149" s="128" t="s">
        <v>100</v>
      </c>
      <c r="AJ149" s="129" t="s">
        <v>89</v>
      </c>
      <c r="AK149" s="129">
        <v>3</v>
      </c>
      <c r="AL149" s="3" t="s">
        <v>362</v>
      </c>
      <c r="AM149" s="117">
        <v>10</v>
      </c>
      <c r="AP149" s="129" t="s">
        <v>221</v>
      </c>
      <c r="AR149" s="128" t="s">
        <v>67</v>
      </c>
      <c r="AS149" s="129" t="s">
        <v>64</v>
      </c>
      <c r="BC149" s="129" t="s">
        <v>38</v>
      </c>
      <c r="BF149" s="111">
        <f t="shared" si="96"/>
        <v>73</v>
      </c>
      <c r="BG149" s="111">
        <f t="shared" si="108"/>
        <v>73</v>
      </c>
      <c r="BH149" s="111">
        <f t="shared" si="100"/>
        <v>74</v>
      </c>
      <c r="BI149" s="111">
        <f t="shared" si="101"/>
        <v>45.568306010928964</v>
      </c>
      <c r="BJ149" s="129">
        <f t="shared" si="109"/>
        <v>0</v>
      </c>
      <c r="BK149" s="129">
        <f t="shared" si="102"/>
        <v>0</v>
      </c>
      <c r="BL149" s="129" t="str">
        <f t="shared" si="103"/>
        <v>CONVICTION</v>
      </c>
      <c r="BM149" s="129" t="str">
        <f t="shared" si="110"/>
        <v>NONE</v>
      </c>
      <c r="BN149" s="129" t="s">
        <v>566</v>
      </c>
      <c r="BP149" s="137" t="str">
        <f t="shared" si="111"/>
        <v>CONVICTION</v>
      </c>
      <c r="BQ149" s="128" t="str">
        <f t="shared" si="112"/>
        <v>Y</v>
      </c>
      <c r="BR149" s="129" t="str">
        <f t="shared" si="113"/>
        <v>DETAINED</v>
      </c>
      <c r="BS149" s="129" t="str">
        <f t="shared" si="114"/>
        <v>DISPOSED</v>
      </c>
      <c r="BT149" s="129" t="str">
        <f t="shared" si="115"/>
        <v>Y</v>
      </c>
      <c r="BU149" s="109">
        <f t="shared" si="116"/>
        <v>0.98648648648648651</v>
      </c>
      <c r="BV149" s="109">
        <f t="shared" si="117"/>
        <v>1</v>
      </c>
      <c r="BW149" s="109">
        <f t="shared" si="97"/>
        <v>1.3513513513513487E-2</v>
      </c>
      <c r="BX149" s="111">
        <f t="shared" si="118"/>
        <v>0</v>
      </c>
      <c r="BY149" s="129">
        <f t="shared" si="119"/>
        <v>-73</v>
      </c>
      <c r="BZ149" s="111">
        <f t="shared" si="120"/>
        <v>0</v>
      </c>
      <c r="CA149" s="138">
        <f t="shared" si="121"/>
        <v>73</v>
      </c>
      <c r="CB149" s="111" t="e">
        <f t="shared" si="98"/>
        <v>#VALUE!</v>
      </c>
      <c r="CC149" s="129">
        <f t="shared" si="132"/>
        <v>73</v>
      </c>
      <c r="CD149" s="129">
        <f t="shared" si="133"/>
        <v>0</v>
      </c>
      <c r="CE149" s="129">
        <f t="shared" si="122"/>
        <v>0</v>
      </c>
      <c r="CF149" s="129">
        <f t="shared" si="129"/>
        <v>72</v>
      </c>
      <c r="CG149" s="129" t="str">
        <f t="shared" si="123"/>
        <v>Y</v>
      </c>
      <c r="CI149" s="129" t="str">
        <f t="shared" si="124"/>
        <v>61-90 DAYS</v>
      </c>
      <c r="CJ149" s="137">
        <f t="shared" si="125"/>
        <v>4</v>
      </c>
      <c r="CK149" s="129" t="str">
        <f t="shared" si="126"/>
        <v>Booked</v>
      </c>
    </row>
    <row r="150" spans="1:89" ht="15" customHeight="1" x14ac:dyDescent="0.25">
      <c r="A150" s="111">
        <v>926</v>
      </c>
      <c r="B150" s="128" t="str">
        <f t="shared" si="104"/>
        <v>N</v>
      </c>
      <c r="C150" s="128" t="str">
        <f t="shared" si="105"/>
        <v>N</v>
      </c>
      <c r="D150" s="117">
        <v>592943</v>
      </c>
      <c r="E150" s="135">
        <f t="shared" si="106"/>
        <v>6</v>
      </c>
      <c r="F150" s="124">
        <v>40943</v>
      </c>
      <c r="G150" s="125">
        <v>41024</v>
      </c>
      <c r="H150" s="117">
        <v>592943</v>
      </c>
      <c r="I150" s="124">
        <v>40943</v>
      </c>
      <c r="J150" s="124">
        <v>41024</v>
      </c>
      <c r="K150" s="126">
        <v>10000</v>
      </c>
      <c r="L150" s="127" t="s">
        <v>570</v>
      </c>
      <c r="N150" s="129" t="str">
        <f t="shared" si="134"/>
        <v>N</v>
      </c>
      <c r="O150" s="128" t="s">
        <v>917</v>
      </c>
      <c r="P150" s="129" t="s">
        <v>39</v>
      </c>
      <c r="Q150" s="111">
        <f t="shared" si="131"/>
        <v>82</v>
      </c>
      <c r="R150" s="111">
        <f t="shared" si="99"/>
        <v>82</v>
      </c>
      <c r="S150" s="129">
        <v>2</v>
      </c>
      <c r="T150" s="129">
        <v>6</v>
      </c>
      <c r="U150" s="129">
        <v>1</v>
      </c>
      <c r="W150" s="111"/>
      <c r="AC150" s="130"/>
      <c r="AD150" s="130">
        <v>24043</v>
      </c>
      <c r="AE150" s="128" t="s">
        <v>32</v>
      </c>
      <c r="AF150" s="128" t="s">
        <v>40</v>
      </c>
      <c r="AG150" s="128" t="s">
        <v>41</v>
      </c>
      <c r="AH150" s="108" t="s">
        <v>41</v>
      </c>
      <c r="AI150" s="128" t="s">
        <v>87</v>
      </c>
      <c r="AJ150" s="129" t="s">
        <v>89</v>
      </c>
      <c r="AK150" s="129">
        <v>4</v>
      </c>
      <c r="AL150" s="3" t="s">
        <v>362</v>
      </c>
      <c r="AM150" s="117">
        <v>2</v>
      </c>
      <c r="AP150" s="129" t="s">
        <v>93</v>
      </c>
      <c r="AR150" s="128" t="s">
        <v>67</v>
      </c>
      <c r="AS150" s="129" t="s">
        <v>45</v>
      </c>
      <c r="AT150" s="129" t="s">
        <v>266</v>
      </c>
      <c r="BC150" s="129" t="s">
        <v>38</v>
      </c>
      <c r="BF150" s="111">
        <f t="shared" si="96"/>
        <v>82</v>
      </c>
      <c r="BG150" s="111">
        <f t="shared" si="108"/>
        <v>82</v>
      </c>
      <c r="BH150" s="111">
        <f t="shared" si="100"/>
        <v>82</v>
      </c>
      <c r="BI150" s="111">
        <f t="shared" si="101"/>
        <v>46.174863387978142</v>
      </c>
      <c r="BJ150" s="129">
        <f t="shared" si="109"/>
        <v>0</v>
      </c>
      <c r="BK150" s="129">
        <f t="shared" si="102"/>
        <v>0</v>
      </c>
      <c r="BL150" s="129" t="str">
        <f t="shared" si="103"/>
        <v>CONVICTION</v>
      </c>
      <c r="BM150" s="129" t="str">
        <f t="shared" si="110"/>
        <v>NONE</v>
      </c>
      <c r="BN150" s="129" t="s">
        <v>566</v>
      </c>
      <c r="BP150" s="137" t="str">
        <f t="shared" si="111"/>
        <v>CONVICTION</v>
      </c>
      <c r="BQ150" s="128" t="str">
        <f t="shared" si="112"/>
        <v>Y</v>
      </c>
      <c r="BR150" s="129" t="str">
        <f t="shared" si="113"/>
        <v>DETAINED</v>
      </c>
      <c r="BS150" s="129" t="str">
        <f t="shared" si="114"/>
        <v>DISPOSED</v>
      </c>
      <c r="BT150" s="129" t="str">
        <f t="shared" si="115"/>
        <v>Y</v>
      </c>
      <c r="BU150" s="109">
        <f t="shared" si="116"/>
        <v>1</v>
      </c>
      <c r="BV150" s="109">
        <f t="shared" si="117"/>
        <v>1</v>
      </c>
      <c r="BW150" s="109">
        <f t="shared" si="97"/>
        <v>0</v>
      </c>
      <c r="BX150" s="111">
        <f t="shared" si="118"/>
        <v>0</v>
      </c>
      <c r="BY150" s="129">
        <f t="shared" si="119"/>
        <v>-82</v>
      </c>
      <c r="BZ150" s="111">
        <f t="shared" si="120"/>
        <v>0</v>
      </c>
      <c r="CA150" s="138">
        <f t="shared" si="121"/>
        <v>82</v>
      </c>
      <c r="CB150" s="111" t="e">
        <f t="shared" si="98"/>
        <v>#VALUE!</v>
      </c>
      <c r="CC150" s="129">
        <f t="shared" si="132"/>
        <v>82</v>
      </c>
      <c r="CD150" s="129">
        <f t="shared" si="133"/>
        <v>0</v>
      </c>
      <c r="CE150" s="129">
        <f t="shared" si="122"/>
        <v>0</v>
      </c>
      <c r="CF150" s="129">
        <f t="shared" si="129"/>
        <v>81</v>
      </c>
      <c r="CG150" s="129" t="str">
        <f t="shared" si="123"/>
        <v>Y</v>
      </c>
      <c r="CI150" s="129" t="str">
        <f t="shared" si="124"/>
        <v>61-90 DAYS</v>
      </c>
      <c r="CJ150" s="137">
        <f t="shared" si="125"/>
        <v>4</v>
      </c>
      <c r="CK150" s="129" t="str">
        <f t="shared" si="126"/>
        <v>Booked</v>
      </c>
    </row>
    <row r="151" spans="1:89" ht="15" customHeight="1" x14ac:dyDescent="0.25">
      <c r="A151" s="111">
        <v>543</v>
      </c>
      <c r="B151" s="128" t="str">
        <f t="shared" si="104"/>
        <v>N</v>
      </c>
      <c r="C151" s="128" t="str">
        <f t="shared" si="105"/>
        <v>N</v>
      </c>
      <c r="D151" s="117">
        <v>594059</v>
      </c>
      <c r="E151" s="135">
        <f t="shared" si="106"/>
        <v>1</v>
      </c>
      <c r="F151" s="124">
        <v>40930</v>
      </c>
      <c r="G151" s="125">
        <v>40980</v>
      </c>
      <c r="H151" s="117">
        <v>594059</v>
      </c>
      <c r="I151" s="124">
        <v>40932</v>
      </c>
      <c r="J151" s="124">
        <v>40942</v>
      </c>
      <c r="K151" s="126">
        <v>60000</v>
      </c>
      <c r="L151" s="129" t="s">
        <v>572</v>
      </c>
      <c r="M151" s="125">
        <v>40942</v>
      </c>
      <c r="N151" s="129" t="str">
        <f t="shared" si="134"/>
        <v>Y</v>
      </c>
      <c r="O151" s="128" t="s">
        <v>585</v>
      </c>
      <c r="P151" s="129" t="s">
        <v>55</v>
      </c>
      <c r="Q151" s="111">
        <f t="shared" si="131"/>
        <v>11</v>
      </c>
      <c r="R151" s="111">
        <f t="shared" si="99"/>
        <v>51</v>
      </c>
      <c r="S151" s="129">
        <v>3</v>
      </c>
      <c r="T151" s="129">
        <v>1</v>
      </c>
      <c r="U151" s="129">
        <v>3</v>
      </c>
      <c r="W151" s="111"/>
      <c r="AC151" s="130"/>
      <c r="AD151" s="130">
        <v>24044</v>
      </c>
      <c r="AE151" s="128" t="s">
        <v>32</v>
      </c>
      <c r="AF151" s="128" t="s">
        <v>33</v>
      </c>
      <c r="AG151" s="128" t="s">
        <v>872</v>
      </c>
      <c r="AH151" s="108" t="s">
        <v>31</v>
      </c>
      <c r="AI151" s="128" t="s">
        <v>87</v>
      </c>
      <c r="AJ151" s="129" t="s">
        <v>55</v>
      </c>
      <c r="AK151" s="129">
        <v>6</v>
      </c>
      <c r="AL151" s="3" t="s">
        <v>55</v>
      </c>
      <c r="AP151" s="129" t="s">
        <v>186</v>
      </c>
      <c r="AR151" s="128" t="s">
        <v>50</v>
      </c>
      <c r="AS151" s="129" t="s">
        <v>106</v>
      </c>
      <c r="BC151" s="129" t="s">
        <v>52</v>
      </c>
      <c r="BF151" s="111">
        <f t="shared" si="96"/>
        <v>11</v>
      </c>
      <c r="BG151" s="111">
        <f t="shared" si="108"/>
        <v>49</v>
      </c>
      <c r="BH151" s="111">
        <f t="shared" si="100"/>
        <v>51</v>
      </c>
      <c r="BI151" s="111">
        <f t="shared" si="101"/>
        <v>46.136612021857921</v>
      </c>
      <c r="BJ151" s="129">
        <f>(G151-J151)+(M151-G151)</f>
        <v>0</v>
      </c>
      <c r="BK151" s="129">
        <f t="shared" si="102"/>
        <v>-38</v>
      </c>
      <c r="BL151" s="129" t="str">
        <f t="shared" si="103"/>
        <v>NO CONVICTION</v>
      </c>
      <c r="BM151" s="129" t="s">
        <v>76</v>
      </c>
      <c r="BN151" s="129" t="s">
        <v>88</v>
      </c>
      <c r="BP151" s="137" t="str">
        <f t="shared" si="111"/>
        <v>NO CONVICTION</v>
      </c>
      <c r="BQ151" s="128" t="str">
        <f t="shared" si="112"/>
        <v>Y</v>
      </c>
      <c r="BR151" s="129" t="str">
        <f t="shared" si="113"/>
        <v>ON BOND</v>
      </c>
      <c r="BS151" s="129" t="str">
        <f t="shared" si="114"/>
        <v>DISPOSED</v>
      </c>
      <c r="BT151" s="129" t="str">
        <f t="shared" si="115"/>
        <v>Y</v>
      </c>
      <c r="BU151" s="109">
        <f>IFERROR(Q151/R151,BR151)</f>
        <v>0.21568627450980393</v>
      </c>
      <c r="BV151" s="109">
        <f t="shared" si="117"/>
        <v>0.22448979591836735</v>
      </c>
      <c r="BW151" s="109">
        <f t="shared" si="97"/>
        <v>8.8035214085634139E-3</v>
      </c>
      <c r="BX151" s="111">
        <f t="shared" si="118"/>
        <v>0</v>
      </c>
      <c r="BY151" s="129">
        <f t="shared" si="119"/>
        <v>-11</v>
      </c>
      <c r="BZ151" s="111">
        <f t="shared" si="120"/>
        <v>0</v>
      </c>
      <c r="CA151" s="138">
        <f t="shared" si="121"/>
        <v>11</v>
      </c>
      <c r="CB151" s="111" t="e">
        <f t="shared" si="98"/>
        <v>#VALUE!</v>
      </c>
      <c r="CC151" s="129">
        <f>M151-I151+1</f>
        <v>11</v>
      </c>
      <c r="CD151" s="111">
        <f>CC151-BF151</f>
        <v>0</v>
      </c>
      <c r="CE151" s="129">
        <f t="shared" si="122"/>
        <v>38</v>
      </c>
      <c r="CF151" s="129">
        <f t="shared" si="129"/>
        <v>10</v>
      </c>
      <c r="CG151" s="129" t="str">
        <f t="shared" si="123"/>
        <v>Y</v>
      </c>
      <c r="CI151" s="129" t="str">
        <f t="shared" si="124"/>
        <v>11-30 DAYS</v>
      </c>
      <c r="CJ151" s="137">
        <f t="shared" si="125"/>
        <v>2</v>
      </c>
      <c r="CK151" s="129" t="str">
        <f t="shared" si="126"/>
        <v>Booked</v>
      </c>
    </row>
    <row r="152" spans="1:89" ht="15.75" customHeight="1" x14ac:dyDescent="0.25">
      <c r="A152" s="111">
        <v>2024</v>
      </c>
      <c r="B152" s="128" t="str">
        <f t="shared" si="104"/>
        <v>N</v>
      </c>
      <c r="C152" s="128" t="str">
        <f t="shared" si="105"/>
        <v>N</v>
      </c>
      <c r="D152" s="117">
        <v>594479</v>
      </c>
      <c r="E152" s="135">
        <f t="shared" si="106"/>
        <v>4</v>
      </c>
      <c r="F152" s="124">
        <v>40985</v>
      </c>
      <c r="G152" s="125">
        <v>41044</v>
      </c>
      <c r="H152" s="117">
        <v>594479</v>
      </c>
      <c r="I152" s="124">
        <v>40985</v>
      </c>
      <c r="J152" s="124">
        <v>41044</v>
      </c>
      <c r="K152" s="126">
        <v>5000</v>
      </c>
      <c r="L152" s="127" t="s">
        <v>569</v>
      </c>
      <c r="N152" s="129" t="str">
        <f t="shared" si="134"/>
        <v>N</v>
      </c>
      <c r="O152" s="128" t="s">
        <v>917</v>
      </c>
      <c r="P152" s="129" t="s">
        <v>39</v>
      </c>
      <c r="Q152" s="111">
        <f t="shared" si="131"/>
        <v>60</v>
      </c>
      <c r="R152" s="111">
        <f t="shared" si="99"/>
        <v>60</v>
      </c>
      <c r="S152" s="129">
        <v>3</v>
      </c>
      <c r="T152" s="129">
        <v>11</v>
      </c>
      <c r="U152" s="129">
        <v>1</v>
      </c>
      <c r="W152" s="111"/>
      <c r="AC152" s="130"/>
      <c r="AD152" s="130">
        <v>22308</v>
      </c>
      <c r="AE152" s="128" t="s">
        <v>32</v>
      </c>
      <c r="AF152" s="128" t="s">
        <v>40</v>
      </c>
      <c r="AG152" s="128" t="s">
        <v>41</v>
      </c>
      <c r="AH152" s="108" t="s">
        <v>41</v>
      </c>
      <c r="AI152" s="128" t="s">
        <v>71</v>
      </c>
      <c r="AJ152" s="129" t="s">
        <v>89</v>
      </c>
      <c r="AK152" s="129">
        <v>3</v>
      </c>
      <c r="AL152" s="3" t="s">
        <v>991</v>
      </c>
      <c r="AO152" s="128">
        <v>120</v>
      </c>
      <c r="AP152" s="129" t="s">
        <v>60</v>
      </c>
      <c r="AR152" s="128" t="s">
        <v>44</v>
      </c>
      <c r="AS152" s="129" t="s">
        <v>61</v>
      </c>
      <c r="BC152" s="129" t="s">
        <v>38</v>
      </c>
      <c r="BF152" s="111">
        <f t="shared" si="96"/>
        <v>60</v>
      </c>
      <c r="BG152" s="111">
        <f t="shared" si="108"/>
        <v>60</v>
      </c>
      <c r="BH152" s="111">
        <f t="shared" si="100"/>
        <v>60</v>
      </c>
      <c r="BI152" s="111">
        <f t="shared" si="101"/>
        <v>51.030054644808743</v>
      </c>
      <c r="BJ152" s="129">
        <f t="shared" si="109"/>
        <v>0</v>
      </c>
      <c r="BK152" s="129">
        <f t="shared" si="102"/>
        <v>0</v>
      </c>
      <c r="BL152" s="129" t="str">
        <f t="shared" si="103"/>
        <v>CONVICTION</v>
      </c>
      <c r="BM152" s="129" t="str">
        <f t="shared" si="110"/>
        <v>NONE</v>
      </c>
      <c r="BN152" s="129" t="s">
        <v>566</v>
      </c>
      <c r="BP152" s="137" t="str">
        <f t="shared" si="111"/>
        <v>CONVICTION</v>
      </c>
      <c r="BQ152" s="128" t="str">
        <f t="shared" si="112"/>
        <v>Y</v>
      </c>
      <c r="BR152" s="129" t="str">
        <f t="shared" si="113"/>
        <v>DETAINED</v>
      </c>
      <c r="BS152" s="129" t="str">
        <f t="shared" si="114"/>
        <v>DISPOSED</v>
      </c>
      <c r="BT152" s="129" t="str">
        <f t="shared" si="115"/>
        <v>Y</v>
      </c>
      <c r="BU152" s="109">
        <f t="shared" si="116"/>
        <v>1</v>
      </c>
      <c r="BV152" s="109">
        <f t="shared" si="117"/>
        <v>1</v>
      </c>
      <c r="BW152" s="109">
        <f t="shared" si="97"/>
        <v>0</v>
      </c>
      <c r="BX152" s="111">
        <f t="shared" si="118"/>
        <v>0</v>
      </c>
      <c r="BY152" s="129">
        <f t="shared" si="119"/>
        <v>-60</v>
      </c>
      <c r="BZ152" s="111">
        <f t="shared" si="120"/>
        <v>0</v>
      </c>
      <c r="CA152" s="138">
        <f t="shared" si="121"/>
        <v>60</v>
      </c>
      <c r="CB152" s="111" t="e">
        <f t="shared" si="98"/>
        <v>#VALUE!</v>
      </c>
      <c r="CC152" s="129">
        <f t="shared" ref="CC152:CC158" si="135">G152-I152+1</f>
        <v>60</v>
      </c>
      <c r="CD152" s="129">
        <f t="shared" ref="CD152:CD158" si="136">G152-J152</f>
        <v>0</v>
      </c>
      <c r="CE152" s="129">
        <f t="shared" si="122"/>
        <v>0</v>
      </c>
      <c r="CF152" s="129">
        <f t="shared" si="129"/>
        <v>59</v>
      </c>
      <c r="CG152" s="129" t="str">
        <f t="shared" si="123"/>
        <v>Y</v>
      </c>
      <c r="CI152" s="129" t="str">
        <f t="shared" si="124"/>
        <v>31-60 DAYS</v>
      </c>
      <c r="CJ152" s="137">
        <f t="shared" si="125"/>
        <v>3</v>
      </c>
      <c r="CK152" s="129" t="str">
        <f t="shared" si="126"/>
        <v>Booked</v>
      </c>
    </row>
    <row r="153" spans="1:89" ht="15.75" customHeight="1" x14ac:dyDescent="0.25">
      <c r="A153" s="111">
        <v>1352</v>
      </c>
      <c r="B153" s="128" t="str">
        <f t="shared" si="104"/>
        <v>N</v>
      </c>
      <c r="C153" s="128" t="str">
        <f t="shared" si="105"/>
        <v>N</v>
      </c>
      <c r="D153" s="117">
        <v>601169</v>
      </c>
      <c r="E153" s="135">
        <f t="shared" si="106"/>
        <v>5</v>
      </c>
      <c r="F153" s="124">
        <v>40958</v>
      </c>
      <c r="G153" s="125">
        <v>40960</v>
      </c>
      <c r="H153" s="117">
        <v>601169</v>
      </c>
      <c r="I153" s="124">
        <v>40959</v>
      </c>
      <c r="J153" s="124">
        <v>40960</v>
      </c>
      <c r="K153" s="126">
        <v>15000</v>
      </c>
      <c r="L153" s="127" t="s">
        <v>571</v>
      </c>
      <c r="N153" s="129" t="str">
        <f t="shared" si="134"/>
        <v>N</v>
      </c>
      <c r="O153" s="128" t="s">
        <v>917</v>
      </c>
      <c r="P153" s="129" t="s">
        <v>39</v>
      </c>
      <c r="Q153" s="111">
        <f t="shared" si="131"/>
        <v>2</v>
      </c>
      <c r="R153" s="111">
        <f t="shared" si="99"/>
        <v>3</v>
      </c>
      <c r="S153" s="129">
        <v>6</v>
      </c>
      <c r="T153" s="129">
        <v>3</v>
      </c>
      <c r="U153" s="129">
        <v>5</v>
      </c>
      <c r="W153" s="111"/>
      <c r="AC153" s="130"/>
      <c r="AD153" s="130">
        <v>20304</v>
      </c>
      <c r="AE153" s="128" t="s">
        <v>32</v>
      </c>
      <c r="AF153" s="128" t="s">
        <v>33</v>
      </c>
      <c r="AG153" s="128" t="s">
        <v>872</v>
      </c>
      <c r="AH153" s="108" t="s">
        <v>58</v>
      </c>
      <c r="AI153" s="128" t="s">
        <v>62</v>
      </c>
      <c r="AJ153" s="129" t="s">
        <v>89</v>
      </c>
      <c r="AK153" s="129">
        <v>2</v>
      </c>
      <c r="AL153" s="3" t="s">
        <v>992</v>
      </c>
      <c r="AN153" s="117">
        <v>6</v>
      </c>
      <c r="AP153" s="129" t="s">
        <v>43</v>
      </c>
      <c r="AR153" s="128" t="s">
        <v>44</v>
      </c>
      <c r="AS153" s="129" t="s">
        <v>45</v>
      </c>
      <c r="BC153" s="129" t="s">
        <v>38</v>
      </c>
      <c r="BF153" s="111">
        <f t="shared" si="96"/>
        <v>2</v>
      </c>
      <c r="BG153" s="111">
        <f t="shared" si="108"/>
        <v>2</v>
      </c>
      <c r="BH153" s="111">
        <f t="shared" si="100"/>
        <v>3</v>
      </c>
      <c r="BI153" s="111">
        <f t="shared" si="101"/>
        <v>56.431693989071036</v>
      </c>
      <c r="BJ153" s="129">
        <f t="shared" si="109"/>
        <v>0</v>
      </c>
      <c r="BK153" s="129">
        <f t="shared" si="102"/>
        <v>0</v>
      </c>
      <c r="BL153" s="129" t="str">
        <f t="shared" si="103"/>
        <v>CONVICTION</v>
      </c>
      <c r="BM153" s="129" t="str">
        <f t="shared" si="110"/>
        <v>NONE</v>
      </c>
      <c r="BN153" s="129" t="s">
        <v>566</v>
      </c>
      <c r="BP153" s="137" t="str">
        <f t="shared" si="111"/>
        <v>CONVICTION</v>
      </c>
      <c r="BQ153" s="128" t="str">
        <f t="shared" si="112"/>
        <v>Y</v>
      </c>
      <c r="BR153" s="129" t="str">
        <f t="shared" si="113"/>
        <v>DETAINED</v>
      </c>
      <c r="BS153" s="129" t="str">
        <f t="shared" si="114"/>
        <v>DISPOSED</v>
      </c>
      <c r="BT153" s="129" t="str">
        <f t="shared" si="115"/>
        <v>Y</v>
      </c>
      <c r="BU153" s="109">
        <f t="shared" si="116"/>
        <v>0.66666666666666663</v>
      </c>
      <c r="BV153" s="109">
        <f t="shared" si="117"/>
        <v>1</v>
      </c>
      <c r="BW153" s="109">
        <f t="shared" si="97"/>
        <v>0.33333333333333337</v>
      </c>
      <c r="BX153" s="111">
        <f t="shared" si="118"/>
        <v>0</v>
      </c>
      <c r="BY153" s="129">
        <f t="shared" si="119"/>
        <v>-2</v>
      </c>
      <c r="BZ153" s="111">
        <f t="shared" si="120"/>
        <v>0</v>
      </c>
      <c r="CA153" s="138">
        <f t="shared" si="121"/>
        <v>2</v>
      </c>
      <c r="CB153" s="111" t="e">
        <f t="shared" si="98"/>
        <v>#VALUE!</v>
      </c>
      <c r="CC153" s="129">
        <f t="shared" si="135"/>
        <v>2</v>
      </c>
      <c r="CD153" s="129">
        <f t="shared" si="136"/>
        <v>0</v>
      </c>
      <c r="CE153" s="129">
        <f t="shared" si="122"/>
        <v>0</v>
      </c>
      <c r="CF153" s="129">
        <f t="shared" si="129"/>
        <v>1</v>
      </c>
      <c r="CG153" s="129" t="str">
        <f t="shared" si="123"/>
        <v>Y</v>
      </c>
      <c r="CI153" s="129" t="str">
        <f t="shared" si="124"/>
        <v>0-10 DAYS</v>
      </c>
      <c r="CJ153" s="137">
        <f t="shared" si="125"/>
        <v>1</v>
      </c>
      <c r="CK153" s="129" t="str">
        <f t="shared" si="126"/>
        <v>Booked</v>
      </c>
    </row>
    <row r="154" spans="1:89" ht="15.75" customHeight="1" x14ac:dyDescent="0.25">
      <c r="A154" s="111">
        <v>3203</v>
      </c>
      <c r="B154" s="128" t="str">
        <f t="shared" si="104"/>
        <v>N</v>
      </c>
      <c r="C154" s="128" t="str">
        <f t="shared" si="105"/>
        <v>N</v>
      </c>
      <c r="D154" s="117">
        <v>605069</v>
      </c>
      <c r="E154" s="135">
        <f t="shared" si="106"/>
        <v>4</v>
      </c>
      <c r="F154" s="124">
        <v>41026</v>
      </c>
      <c r="G154" s="125">
        <v>41029</v>
      </c>
      <c r="H154" s="117">
        <v>605069</v>
      </c>
      <c r="I154" s="124">
        <v>41027</v>
      </c>
      <c r="J154" s="124">
        <v>41029</v>
      </c>
      <c r="K154" s="126">
        <v>5000</v>
      </c>
      <c r="L154" s="127" t="s">
        <v>569</v>
      </c>
      <c r="N154" s="129" t="str">
        <f t="shared" si="134"/>
        <v>N</v>
      </c>
      <c r="O154" s="128" t="s">
        <v>917</v>
      </c>
      <c r="P154" s="129" t="s">
        <v>39</v>
      </c>
      <c r="Q154" s="111">
        <f t="shared" si="131"/>
        <v>3</v>
      </c>
      <c r="R154" s="111">
        <f t="shared" si="99"/>
        <v>4</v>
      </c>
      <c r="S154" s="129">
        <v>2</v>
      </c>
      <c r="T154" s="129">
        <v>1</v>
      </c>
      <c r="U154" s="129">
        <v>1</v>
      </c>
      <c r="W154" s="111"/>
      <c r="AC154" s="130"/>
      <c r="AD154" s="130">
        <v>19111</v>
      </c>
      <c r="AE154" s="128" t="s">
        <v>32</v>
      </c>
      <c r="AF154" s="128" t="s">
        <v>33</v>
      </c>
      <c r="AG154" s="128" t="s">
        <v>872</v>
      </c>
      <c r="AH154" s="108" t="s">
        <v>58</v>
      </c>
      <c r="AI154" s="128" t="s">
        <v>65</v>
      </c>
      <c r="AJ154" s="129" t="s">
        <v>89</v>
      </c>
      <c r="AK154" s="129">
        <v>1</v>
      </c>
      <c r="AL154" s="3" t="s">
        <v>991</v>
      </c>
      <c r="AO154" s="128">
        <v>180</v>
      </c>
      <c r="AP154" s="129" t="s">
        <v>43</v>
      </c>
      <c r="AR154" s="128" t="s">
        <v>44</v>
      </c>
      <c r="AS154" s="129" t="s">
        <v>45</v>
      </c>
      <c r="BC154" s="129" t="s">
        <v>38</v>
      </c>
      <c r="BF154" s="111">
        <f t="shared" si="96"/>
        <v>3</v>
      </c>
      <c r="BG154" s="111">
        <f t="shared" si="108"/>
        <v>3</v>
      </c>
      <c r="BH154" s="111">
        <f t="shared" si="100"/>
        <v>4</v>
      </c>
      <c r="BI154" s="111">
        <f t="shared" si="101"/>
        <v>59.877049180327866</v>
      </c>
      <c r="BJ154" s="129">
        <f t="shared" si="109"/>
        <v>0</v>
      </c>
      <c r="BK154" s="129">
        <f t="shared" si="102"/>
        <v>0</v>
      </c>
      <c r="BL154" s="129" t="str">
        <f t="shared" si="103"/>
        <v>CONVICTION</v>
      </c>
      <c r="BM154" s="129" t="str">
        <f t="shared" si="110"/>
        <v>NONE</v>
      </c>
      <c r="BN154" s="129" t="s">
        <v>566</v>
      </c>
      <c r="BP154" s="137" t="str">
        <f t="shared" si="111"/>
        <v>CONVICTION</v>
      </c>
      <c r="BQ154" s="128" t="str">
        <f t="shared" si="112"/>
        <v>Y</v>
      </c>
      <c r="BR154" s="129" t="str">
        <f t="shared" si="113"/>
        <v>DETAINED</v>
      </c>
      <c r="BS154" s="129" t="str">
        <f t="shared" si="114"/>
        <v>DISPOSED</v>
      </c>
      <c r="BT154" s="129" t="str">
        <f t="shared" si="115"/>
        <v>Y</v>
      </c>
      <c r="BU154" s="109">
        <f t="shared" si="116"/>
        <v>0.75</v>
      </c>
      <c r="BV154" s="109">
        <f t="shared" si="117"/>
        <v>1</v>
      </c>
      <c r="BW154" s="109">
        <f t="shared" si="97"/>
        <v>0.25</v>
      </c>
      <c r="BX154" s="111">
        <f t="shared" si="118"/>
        <v>0</v>
      </c>
      <c r="BY154" s="129">
        <f t="shared" si="119"/>
        <v>-3</v>
      </c>
      <c r="BZ154" s="111">
        <f t="shared" si="120"/>
        <v>0</v>
      </c>
      <c r="CA154" s="138">
        <f t="shared" si="121"/>
        <v>3</v>
      </c>
      <c r="CB154" s="111" t="e">
        <f t="shared" si="98"/>
        <v>#VALUE!</v>
      </c>
      <c r="CC154" s="129">
        <f t="shared" si="135"/>
        <v>3</v>
      </c>
      <c r="CD154" s="129">
        <f t="shared" si="136"/>
        <v>0</v>
      </c>
      <c r="CE154" s="129">
        <f t="shared" si="122"/>
        <v>0</v>
      </c>
      <c r="CF154" s="129">
        <f t="shared" si="129"/>
        <v>2</v>
      </c>
      <c r="CG154" s="129" t="str">
        <f t="shared" si="123"/>
        <v>Y</v>
      </c>
      <c r="CI154" s="129" t="str">
        <f t="shared" si="124"/>
        <v>0-10 DAYS</v>
      </c>
      <c r="CJ154" s="137">
        <f t="shared" si="125"/>
        <v>1</v>
      </c>
      <c r="CK154" s="129" t="str">
        <f t="shared" si="126"/>
        <v>Booked</v>
      </c>
    </row>
    <row r="155" spans="1:89" ht="15" customHeight="1" x14ac:dyDescent="0.25">
      <c r="A155" s="111">
        <v>1602</v>
      </c>
      <c r="B155" s="128" t="str">
        <f t="shared" si="104"/>
        <v>N</v>
      </c>
      <c r="C155" s="128" t="str">
        <f t="shared" si="105"/>
        <v>N</v>
      </c>
      <c r="D155" s="117">
        <v>606579</v>
      </c>
      <c r="E155" s="135">
        <f t="shared" si="106"/>
        <v>5</v>
      </c>
      <c r="F155" s="124">
        <v>40968</v>
      </c>
      <c r="G155" s="125">
        <v>41222</v>
      </c>
      <c r="H155" s="117">
        <v>606579</v>
      </c>
      <c r="I155" s="124">
        <v>41104</v>
      </c>
      <c r="J155" s="125">
        <v>41222</v>
      </c>
      <c r="K155" s="126">
        <v>40000</v>
      </c>
      <c r="L155" s="129" t="s">
        <v>572</v>
      </c>
      <c r="N155" s="129" t="str">
        <f t="shared" si="134"/>
        <v>N</v>
      </c>
      <c r="O155" s="128" t="s">
        <v>917</v>
      </c>
      <c r="P155" s="129" t="s">
        <v>39</v>
      </c>
      <c r="Q155" s="111">
        <f t="shared" si="131"/>
        <v>119</v>
      </c>
      <c r="R155" s="111">
        <f t="shared" si="99"/>
        <v>255</v>
      </c>
      <c r="S155" s="129">
        <v>4</v>
      </c>
      <c r="T155" s="129">
        <v>0</v>
      </c>
      <c r="W155" s="111"/>
      <c r="AC155" s="130"/>
      <c r="AD155" s="130">
        <v>19876</v>
      </c>
      <c r="AE155" s="128" t="s">
        <v>46</v>
      </c>
      <c r="AF155" s="128" t="s">
        <v>33</v>
      </c>
      <c r="AG155" s="128" t="s">
        <v>872</v>
      </c>
      <c r="AH155" s="108" t="s">
        <v>58</v>
      </c>
      <c r="AI155" s="128" t="s">
        <v>71</v>
      </c>
      <c r="AJ155" s="129" t="s">
        <v>89</v>
      </c>
      <c r="AK155" s="129">
        <v>6</v>
      </c>
      <c r="AL155" s="3" t="s">
        <v>992</v>
      </c>
      <c r="AN155" s="117">
        <v>8</v>
      </c>
      <c r="AP155" s="129" t="s">
        <v>191</v>
      </c>
      <c r="AR155" s="128" t="s">
        <v>50</v>
      </c>
      <c r="AS155" s="129" t="s">
        <v>82</v>
      </c>
      <c r="BC155" s="129" t="s">
        <v>38</v>
      </c>
      <c r="BF155" s="111">
        <f t="shared" si="96"/>
        <v>119</v>
      </c>
      <c r="BG155" s="111">
        <f t="shared" si="108"/>
        <v>119</v>
      </c>
      <c r="BH155" s="111">
        <f t="shared" si="100"/>
        <v>255</v>
      </c>
      <c r="BI155" s="111">
        <f t="shared" si="101"/>
        <v>57.62841530054645</v>
      </c>
      <c r="BJ155" s="129">
        <f t="shared" si="109"/>
        <v>0</v>
      </c>
      <c r="BK155" s="129">
        <f t="shared" si="102"/>
        <v>0</v>
      </c>
      <c r="BL155" s="129" t="str">
        <f t="shared" si="103"/>
        <v>CONVICTION</v>
      </c>
      <c r="BM155" s="129" t="str">
        <f t="shared" si="110"/>
        <v>NONE</v>
      </c>
      <c r="BN155" s="129" t="s">
        <v>566</v>
      </c>
      <c r="BP155" s="137" t="str">
        <f t="shared" si="111"/>
        <v>CONVICTION</v>
      </c>
      <c r="BQ155" s="128" t="str">
        <f t="shared" si="112"/>
        <v>Y</v>
      </c>
      <c r="BR155" s="129" t="str">
        <f t="shared" si="113"/>
        <v>DETAINED</v>
      </c>
      <c r="BS155" s="129" t="str">
        <f t="shared" si="114"/>
        <v>DISPOSED</v>
      </c>
      <c r="BT155" s="129" t="str">
        <f t="shared" si="115"/>
        <v>Y</v>
      </c>
      <c r="BU155" s="109">
        <f t="shared" si="116"/>
        <v>0.46666666666666667</v>
      </c>
      <c r="BV155" s="109">
        <f t="shared" si="117"/>
        <v>1</v>
      </c>
      <c r="BW155" s="109">
        <f t="shared" si="97"/>
        <v>0.53333333333333333</v>
      </c>
      <c r="BX155" s="111">
        <f t="shared" si="118"/>
        <v>0</v>
      </c>
      <c r="BY155" s="129">
        <f t="shared" si="119"/>
        <v>-119</v>
      </c>
      <c r="BZ155" s="111">
        <f t="shared" si="120"/>
        <v>0</v>
      </c>
      <c r="CA155" s="138">
        <f t="shared" si="121"/>
        <v>119</v>
      </c>
      <c r="CB155" s="111" t="e">
        <f t="shared" si="98"/>
        <v>#VALUE!</v>
      </c>
      <c r="CC155" s="129">
        <f t="shared" si="135"/>
        <v>119</v>
      </c>
      <c r="CD155" s="129">
        <f t="shared" si="136"/>
        <v>0</v>
      </c>
      <c r="CE155" s="129">
        <f t="shared" si="122"/>
        <v>0</v>
      </c>
      <c r="CF155" s="129">
        <f t="shared" si="129"/>
        <v>118</v>
      </c>
      <c r="CG155" s="129" t="str">
        <f t="shared" si="123"/>
        <v>Y</v>
      </c>
      <c r="CI155" s="129" t="str">
        <f t="shared" si="124"/>
        <v>91-120 DAYS</v>
      </c>
      <c r="CJ155" s="137">
        <f t="shared" si="125"/>
        <v>0</v>
      </c>
      <c r="CK155" s="129" t="str">
        <f t="shared" si="126"/>
        <v>Booked</v>
      </c>
    </row>
    <row r="156" spans="1:89" ht="15.75" customHeight="1" x14ac:dyDescent="0.25">
      <c r="A156" s="111">
        <v>2902</v>
      </c>
      <c r="B156" s="128" t="str">
        <f t="shared" si="104"/>
        <v>N</v>
      </c>
      <c r="C156" s="128" t="str">
        <f t="shared" si="105"/>
        <v>N</v>
      </c>
      <c r="D156" s="117">
        <v>609541</v>
      </c>
      <c r="E156" s="135">
        <f t="shared" si="106"/>
        <v>5</v>
      </c>
      <c r="F156" s="124">
        <v>41016</v>
      </c>
      <c r="G156" s="125">
        <v>41131</v>
      </c>
      <c r="H156" s="117">
        <v>609541</v>
      </c>
      <c r="I156" s="124">
        <v>41017</v>
      </c>
      <c r="J156" s="124">
        <v>41131</v>
      </c>
      <c r="K156" s="126">
        <v>15000</v>
      </c>
      <c r="L156" s="127" t="s">
        <v>571</v>
      </c>
      <c r="N156" s="129" t="str">
        <f t="shared" si="134"/>
        <v>N</v>
      </c>
      <c r="O156" s="128" t="s">
        <v>917</v>
      </c>
      <c r="P156" s="129" t="s">
        <v>39</v>
      </c>
      <c r="Q156" s="111">
        <f t="shared" si="131"/>
        <v>115</v>
      </c>
      <c r="R156" s="111">
        <f t="shared" si="99"/>
        <v>116</v>
      </c>
      <c r="S156" s="129">
        <v>13</v>
      </c>
      <c r="T156" s="129">
        <v>8</v>
      </c>
      <c r="U156" s="129">
        <v>4</v>
      </c>
      <c r="V156" s="117">
        <v>1</v>
      </c>
      <c r="W156" s="111"/>
      <c r="AC156" s="130"/>
      <c r="AD156" s="130">
        <v>23374</v>
      </c>
      <c r="AE156" s="128" t="s">
        <v>46</v>
      </c>
      <c r="AF156" s="128" t="s">
        <v>33</v>
      </c>
      <c r="AG156" s="128" t="s">
        <v>872</v>
      </c>
      <c r="AH156" s="108" t="s">
        <v>58</v>
      </c>
      <c r="AI156" s="128" t="s">
        <v>113</v>
      </c>
      <c r="AJ156" s="129" t="s">
        <v>89</v>
      </c>
      <c r="AK156" s="129">
        <v>6</v>
      </c>
      <c r="AL156" s="3" t="s">
        <v>992</v>
      </c>
      <c r="AN156" s="117">
        <v>7</v>
      </c>
      <c r="AP156" s="129" t="s">
        <v>43</v>
      </c>
      <c r="AR156" s="128" t="s">
        <v>44</v>
      </c>
      <c r="AS156" s="129" t="s">
        <v>45</v>
      </c>
      <c r="BC156" s="129" t="s">
        <v>38</v>
      </c>
      <c r="BF156" s="111">
        <f t="shared" si="96"/>
        <v>115</v>
      </c>
      <c r="BG156" s="111">
        <f t="shared" si="108"/>
        <v>115</v>
      </c>
      <c r="BH156" s="111">
        <f t="shared" si="100"/>
        <v>116</v>
      </c>
      <c r="BI156" s="111">
        <f t="shared" si="101"/>
        <v>48.202185792349724</v>
      </c>
      <c r="BJ156" s="129">
        <f t="shared" si="109"/>
        <v>0</v>
      </c>
      <c r="BK156" s="129">
        <f t="shared" si="102"/>
        <v>0</v>
      </c>
      <c r="BL156" s="129" t="str">
        <f t="shared" si="103"/>
        <v>CONVICTION</v>
      </c>
      <c r="BM156" s="129" t="str">
        <f t="shared" si="110"/>
        <v>NONE</v>
      </c>
      <c r="BN156" s="129" t="s">
        <v>566</v>
      </c>
      <c r="BP156" s="137" t="str">
        <f t="shared" si="111"/>
        <v>CONVICTION</v>
      </c>
      <c r="BQ156" s="128" t="str">
        <f t="shared" si="112"/>
        <v>Y</v>
      </c>
      <c r="BR156" s="129" t="str">
        <f t="shared" si="113"/>
        <v>DETAINED</v>
      </c>
      <c r="BS156" s="129" t="str">
        <f t="shared" si="114"/>
        <v>DISPOSED</v>
      </c>
      <c r="BT156" s="129" t="str">
        <f t="shared" si="115"/>
        <v>Y</v>
      </c>
      <c r="BU156" s="109">
        <f t="shared" si="116"/>
        <v>0.99137931034482762</v>
      </c>
      <c r="BV156" s="109">
        <f t="shared" si="117"/>
        <v>1</v>
      </c>
      <c r="BW156" s="109">
        <f t="shared" si="97"/>
        <v>8.6206896551723755E-3</v>
      </c>
      <c r="BX156" s="111">
        <f t="shared" si="118"/>
        <v>0</v>
      </c>
      <c r="BY156" s="129">
        <f t="shared" si="119"/>
        <v>-115</v>
      </c>
      <c r="BZ156" s="111">
        <f t="shared" si="120"/>
        <v>0</v>
      </c>
      <c r="CA156" s="138">
        <f t="shared" si="121"/>
        <v>115</v>
      </c>
      <c r="CB156" s="111" t="e">
        <f t="shared" si="98"/>
        <v>#VALUE!</v>
      </c>
      <c r="CC156" s="129">
        <f t="shared" si="135"/>
        <v>115</v>
      </c>
      <c r="CD156" s="129">
        <f t="shared" si="136"/>
        <v>0</v>
      </c>
      <c r="CE156" s="129">
        <f t="shared" si="122"/>
        <v>0</v>
      </c>
      <c r="CF156" s="129">
        <f t="shared" si="129"/>
        <v>114</v>
      </c>
      <c r="CG156" s="129" t="str">
        <f t="shared" si="123"/>
        <v>Y</v>
      </c>
      <c r="CI156" s="129" t="str">
        <f t="shared" si="124"/>
        <v>91-120 DAYS</v>
      </c>
      <c r="CJ156" s="137">
        <f t="shared" si="125"/>
        <v>0</v>
      </c>
      <c r="CK156" s="129" t="str">
        <f t="shared" si="126"/>
        <v>Booked</v>
      </c>
    </row>
    <row r="157" spans="1:89" ht="15" customHeight="1" x14ac:dyDescent="0.25">
      <c r="A157" s="111">
        <v>2495</v>
      </c>
      <c r="B157" s="128" t="str">
        <f t="shared" si="104"/>
        <v>N</v>
      </c>
      <c r="C157" s="128" t="str">
        <f t="shared" si="105"/>
        <v>N</v>
      </c>
      <c r="D157" s="117">
        <v>610775</v>
      </c>
      <c r="E157" s="135">
        <f t="shared" si="106"/>
        <v>6</v>
      </c>
      <c r="F157" s="124">
        <v>41003</v>
      </c>
      <c r="G157" s="125">
        <v>41240</v>
      </c>
      <c r="H157" s="117">
        <v>610775</v>
      </c>
      <c r="I157" s="124">
        <v>41003</v>
      </c>
      <c r="J157" s="125">
        <v>41240</v>
      </c>
      <c r="K157" s="126" t="s">
        <v>564</v>
      </c>
      <c r="L157" s="127" t="s">
        <v>564</v>
      </c>
      <c r="N157" s="129" t="s">
        <v>566</v>
      </c>
      <c r="O157" s="128" t="s">
        <v>917</v>
      </c>
      <c r="P157" s="129" t="s">
        <v>39</v>
      </c>
      <c r="Q157" s="111">
        <f t="shared" si="131"/>
        <v>238</v>
      </c>
      <c r="R157" s="111">
        <f t="shared" si="99"/>
        <v>238</v>
      </c>
      <c r="S157" s="129">
        <v>11</v>
      </c>
      <c r="T157" s="129">
        <v>2</v>
      </c>
      <c r="U157" s="129">
        <v>5</v>
      </c>
      <c r="W157" s="111"/>
      <c r="AC157" s="130"/>
      <c r="AD157" s="130">
        <v>23050</v>
      </c>
      <c r="AE157" s="128" t="s">
        <v>32</v>
      </c>
      <c r="AF157" s="128" t="s">
        <v>33</v>
      </c>
      <c r="AG157" s="128" t="s">
        <v>872</v>
      </c>
      <c r="AH157" s="108" t="s">
        <v>31</v>
      </c>
      <c r="AI157" s="128" t="s">
        <v>83</v>
      </c>
      <c r="AJ157" s="129" t="s">
        <v>89</v>
      </c>
      <c r="AK157" s="129">
        <v>11</v>
      </c>
      <c r="AL157" s="3" t="s">
        <v>362</v>
      </c>
      <c r="AM157" s="117">
        <v>11</v>
      </c>
      <c r="AP157" s="129" t="s">
        <v>81</v>
      </c>
      <c r="AR157" s="128" t="s">
        <v>50</v>
      </c>
      <c r="AS157" s="129" t="s">
        <v>82</v>
      </c>
      <c r="BC157" s="129" t="s">
        <v>52</v>
      </c>
      <c r="BF157" s="111">
        <f t="shared" si="96"/>
        <v>238</v>
      </c>
      <c r="BG157" s="111">
        <f t="shared" si="108"/>
        <v>238</v>
      </c>
      <c r="BH157" s="111">
        <f t="shared" si="100"/>
        <v>238</v>
      </c>
      <c r="BI157" s="111">
        <f t="shared" si="101"/>
        <v>49.051912568306008</v>
      </c>
      <c r="BJ157" s="129">
        <f t="shared" si="109"/>
        <v>0</v>
      </c>
      <c r="BK157" s="129">
        <f t="shared" si="102"/>
        <v>0</v>
      </c>
      <c r="BL157" s="129" t="str">
        <f t="shared" si="103"/>
        <v>CONVICTION</v>
      </c>
      <c r="BM157" s="129" t="str">
        <f t="shared" si="110"/>
        <v>NONE</v>
      </c>
      <c r="BN157" s="129" t="s">
        <v>566</v>
      </c>
      <c r="BP157" s="137" t="str">
        <f t="shared" si="111"/>
        <v>CONVICTION</v>
      </c>
      <c r="BQ157" s="128" t="str">
        <f t="shared" si="112"/>
        <v>Y</v>
      </c>
      <c r="BR157" s="129" t="str">
        <f t="shared" si="113"/>
        <v>DETAINED</v>
      </c>
      <c r="BS157" s="129" t="str">
        <f t="shared" si="114"/>
        <v>DISPOSED</v>
      </c>
      <c r="BT157" s="129" t="str">
        <f t="shared" si="115"/>
        <v>Y</v>
      </c>
      <c r="BU157" s="109">
        <f t="shared" si="116"/>
        <v>1</v>
      </c>
      <c r="BV157" s="109">
        <f t="shared" si="117"/>
        <v>1</v>
      </c>
      <c r="BW157" s="109">
        <f t="shared" si="97"/>
        <v>0</v>
      </c>
      <c r="BX157" s="111">
        <f t="shared" si="118"/>
        <v>0</v>
      </c>
      <c r="BY157" s="129">
        <f t="shared" si="119"/>
        <v>-238</v>
      </c>
      <c r="BZ157" s="111">
        <f t="shared" si="120"/>
        <v>0</v>
      </c>
      <c r="CA157" s="138">
        <f t="shared" si="121"/>
        <v>238</v>
      </c>
      <c r="CB157" s="111" t="e">
        <f t="shared" si="98"/>
        <v>#VALUE!</v>
      </c>
      <c r="CC157" s="129">
        <f t="shared" si="135"/>
        <v>238</v>
      </c>
      <c r="CD157" s="129">
        <f t="shared" si="136"/>
        <v>0</v>
      </c>
      <c r="CE157" s="129">
        <f t="shared" si="122"/>
        <v>0</v>
      </c>
      <c r="CF157" s="129">
        <f t="shared" si="129"/>
        <v>237</v>
      </c>
      <c r="CG157" s="129" t="str">
        <f t="shared" si="123"/>
        <v>Y</v>
      </c>
      <c r="CI157" s="129" t="str">
        <f t="shared" si="124"/>
        <v>121-365 DAYS</v>
      </c>
      <c r="CJ157" s="137">
        <f t="shared" si="125"/>
        <v>6</v>
      </c>
      <c r="CK157" s="129" t="str">
        <f t="shared" si="126"/>
        <v>Booked</v>
      </c>
    </row>
    <row r="158" spans="1:89" ht="15" customHeight="1" x14ac:dyDescent="0.25">
      <c r="A158" s="111">
        <v>2465</v>
      </c>
      <c r="B158" s="128" t="str">
        <f t="shared" si="104"/>
        <v>N</v>
      </c>
      <c r="C158" s="128" t="str">
        <f t="shared" si="105"/>
        <v>N</v>
      </c>
      <c r="D158" s="117">
        <v>619916</v>
      </c>
      <c r="E158" s="135">
        <f t="shared" si="106"/>
        <v>6</v>
      </c>
      <c r="F158" s="124">
        <v>41002</v>
      </c>
      <c r="G158" s="125">
        <v>41040</v>
      </c>
      <c r="H158" s="117">
        <v>619916</v>
      </c>
      <c r="I158" s="124">
        <v>41002</v>
      </c>
      <c r="J158" s="124">
        <v>41040</v>
      </c>
      <c r="K158" s="126">
        <v>15000</v>
      </c>
      <c r="L158" s="127" t="s">
        <v>571</v>
      </c>
      <c r="N158" s="129" t="str">
        <f>IF(M158&gt;1/1/1,"Y","N")</f>
        <v>N</v>
      </c>
      <c r="O158" s="128" t="s">
        <v>917</v>
      </c>
      <c r="P158" s="129" t="s">
        <v>39</v>
      </c>
      <c r="Q158" s="111">
        <f t="shared" si="131"/>
        <v>39</v>
      </c>
      <c r="R158" s="111">
        <f t="shared" si="99"/>
        <v>39</v>
      </c>
      <c r="S158" s="129">
        <v>11</v>
      </c>
      <c r="T158" s="129">
        <v>4</v>
      </c>
      <c r="U158" s="129">
        <v>9</v>
      </c>
      <c r="W158" s="111"/>
      <c r="AC158" s="130"/>
      <c r="AD158" s="130">
        <v>20106</v>
      </c>
      <c r="AE158" s="128" t="s">
        <v>32</v>
      </c>
      <c r="AF158" s="128" t="s">
        <v>33</v>
      </c>
      <c r="AG158" s="128" t="s">
        <v>872</v>
      </c>
      <c r="AH158" s="108" t="s">
        <v>58</v>
      </c>
      <c r="AI158" s="128" t="s">
        <v>118</v>
      </c>
      <c r="AJ158" s="129" t="s">
        <v>89</v>
      </c>
      <c r="AK158" s="129">
        <v>2</v>
      </c>
      <c r="AL158" s="3" t="s">
        <v>362</v>
      </c>
      <c r="AM158" s="117">
        <v>2</v>
      </c>
      <c r="AP158" s="129" t="s">
        <v>127</v>
      </c>
      <c r="AR158" s="128" t="s">
        <v>44</v>
      </c>
      <c r="AS158" s="129" t="s">
        <v>82</v>
      </c>
      <c r="BC158" s="129" t="s">
        <v>38</v>
      </c>
      <c r="BF158" s="111">
        <f t="shared" si="96"/>
        <v>39</v>
      </c>
      <c r="BG158" s="111">
        <f t="shared" si="108"/>
        <v>39</v>
      </c>
      <c r="BH158" s="111">
        <f t="shared" si="100"/>
        <v>39</v>
      </c>
      <c r="BI158" s="111">
        <f t="shared" si="101"/>
        <v>57.092896174863391</v>
      </c>
      <c r="BJ158" s="129">
        <f t="shared" si="109"/>
        <v>0</v>
      </c>
      <c r="BK158" s="129">
        <f t="shared" si="102"/>
        <v>0</v>
      </c>
      <c r="BL158" s="129" t="str">
        <f t="shared" si="103"/>
        <v>CONVICTION</v>
      </c>
      <c r="BM158" s="129" t="str">
        <f t="shared" si="110"/>
        <v>NONE</v>
      </c>
      <c r="BN158" s="129" t="s">
        <v>566</v>
      </c>
      <c r="BP158" s="137" t="str">
        <f t="shared" si="111"/>
        <v>CONVICTION</v>
      </c>
      <c r="BQ158" s="128" t="str">
        <f t="shared" si="112"/>
        <v>Y</v>
      </c>
      <c r="BR158" s="129" t="str">
        <f t="shared" si="113"/>
        <v>DETAINED</v>
      </c>
      <c r="BS158" s="129" t="str">
        <f t="shared" si="114"/>
        <v>DISPOSED</v>
      </c>
      <c r="BT158" s="129" t="str">
        <f t="shared" si="115"/>
        <v>Y</v>
      </c>
      <c r="BU158" s="109">
        <f t="shared" si="116"/>
        <v>1</v>
      </c>
      <c r="BV158" s="109">
        <f t="shared" si="117"/>
        <v>1</v>
      </c>
      <c r="BW158" s="109">
        <f t="shared" si="97"/>
        <v>0</v>
      </c>
      <c r="BX158" s="111">
        <f t="shared" si="118"/>
        <v>0</v>
      </c>
      <c r="BY158" s="129">
        <f t="shared" si="119"/>
        <v>-39</v>
      </c>
      <c r="BZ158" s="111">
        <f t="shared" si="120"/>
        <v>0</v>
      </c>
      <c r="CA158" s="138">
        <f t="shared" si="121"/>
        <v>39</v>
      </c>
      <c r="CB158" s="111" t="e">
        <f t="shared" si="98"/>
        <v>#VALUE!</v>
      </c>
      <c r="CC158" s="129">
        <f t="shared" si="135"/>
        <v>39</v>
      </c>
      <c r="CD158" s="129">
        <f t="shared" si="136"/>
        <v>0</v>
      </c>
      <c r="CE158" s="129">
        <f t="shared" si="122"/>
        <v>0</v>
      </c>
      <c r="CF158" s="129">
        <f t="shared" si="129"/>
        <v>38</v>
      </c>
      <c r="CG158" s="129" t="str">
        <f t="shared" si="123"/>
        <v>Y</v>
      </c>
      <c r="CI158" s="129" t="str">
        <f t="shared" si="124"/>
        <v>31-60 DAYS</v>
      </c>
      <c r="CJ158" s="137">
        <f t="shared" si="125"/>
        <v>3</v>
      </c>
      <c r="CK158" s="129" t="str">
        <f t="shared" si="126"/>
        <v>Booked</v>
      </c>
    </row>
    <row r="159" spans="1:89" ht="15" customHeight="1" x14ac:dyDescent="0.25">
      <c r="A159" s="111">
        <v>2400</v>
      </c>
      <c r="B159" s="128" t="str">
        <f t="shared" si="104"/>
        <v>N</v>
      </c>
      <c r="C159" s="128" t="str">
        <f t="shared" si="105"/>
        <v>N</v>
      </c>
      <c r="D159" s="117">
        <v>622909</v>
      </c>
      <c r="E159" s="135">
        <f t="shared" si="106"/>
        <v>3</v>
      </c>
      <c r="F159" s="124">
        <v>40999</v>
      </c>
      <c r="G159" s="125">
        <v>41240</v>
      </c>
      <c r="H159" s="117">
        <v>622909</v>
      </c>
      <c r="I159" s="124" t="s">
        <v>562</v>
      </c>
      <c r="J159" s="124" t="s">
        <v>562</v>
      </c>
      <c r="K159" s="126">
        <v>10000</v>
      </c>
      <c r="L159" s="127" t="s">
        <v>570</v>
      </c>
      <c r="M159" s="125">
        <v>41000</v>
      </c>
      <c r="N159" s="129" t="str">
        <f>IF(M159&gt;1/1/1,"Y",IF(Q159="0","","N"))</f>
        <v>Y</v>
      </c>
      <c r="O159" s="128" t="s">
        <v>585</v>
      </c>
      <c r="P159" s="129" t="s">
        <v>39</v>
      </c>
      <c r="Q159" s="111">
        <f t="shared" si="131"/>
        <v>0</v>
      </c>
      <c r="R159" s="111">
        <f t="shared" si="99"/>
        <v>242</v>
      </c>
      <c r="S159" s="129">
        <v>0</v>
      </c>
      <c r="T159" s="129">
        <v>2</v>
      </c>
      <c r="W159" s="111"/>
      <c r="AC159" s="130"/>
      <c r="AD159" s="130">
        <v>17358</v>
      </c>
      <c r="AE159" s="128" t="s">
        <v>32</v>
      </c>
      <c r="AF159" s="128" t="s">
        <v>40</v>
      </c>
      <c r="AG159" s="128" t="s">
        <v>41</v>
      </c>
      <c r="AH159" s="108" t="s">
        <v>41</v>
      </c>
      <c r="AI159" s="128" t="s">
        <v>141</v>
      </c>
      <c r="AJ159" s="129" t="s">
        <v>89</v>
      </c>
      <c r="AK159" s="129">
        <v>10</v>
      </c>
      <c r="AL159" s="3" t="s">
        <v>185</v>
      </c>
      <c r="AO159" s="128">
        <v>10</v>
      </c>
      <c r="AP159" s="129" t="s">
        <v>66</v>
      </c>
      <c r="AR159" s="128" t="s">
        <v>67</v>
      </c>
      <c r="AS159" s="129" t="s">
        <v>68</v>
      </c>
      <c r="BC159" s="129" t="s">
        <v>52</v>
      </c>
      <c r="BF159" s="111">
        <v>0</v>
      </c>
      <c r="BG159" s="111">
        <v>0</v>
      </c>
      <c r="BH159" s="111">
        <f t="shared" si="100"/>
        <v>242</v>
      </c>
      <c r="BI159" s="111">
        <f t="shared" si="101"/>
        <v>64.592896174863384</v>
      </c>
      <c r="BJ159" s="129" t="e">
        <f>(G159-J159)+(M159-G159)</f>
        <v>#VALUE!</v>
      </c>
      <c r="BK159" s="129" t="e">
        <f t="shared" si="102"/>
        <v>#VALUE!</v>
      </c>
      <c r="BL159" s="129" t="str">
        <f t="shared" si="103"/>
        <v>CONVICTION</v>
      </c>
      <c r="BM159" s="129" t="s">
        <v>76</v>
      </c>
      <c r="BN159" s="129" t="s">
        <v>88</v>
      </c>
      <c r="BP159" s="137" t="str">
        <f t="shared" si="111"/>
        <v>CONVICTION</v>
      </c>
      <c r="BQ159" s="128">
        <f t="shared" si="112"/>
        <v>0</v>
      </c>
      <c r="BR159" s="129" t="s">
        <v>575</v>
      </c>
      <c r="BS159" s="129" t="str">
        <f t="shared" si="114"/>
        <v>DISPOSED</v>
      </c>
      <c r="BT159" s="129" t="str">
        <f t="shared" si="115"/>
        <v>N</v>
      </c>
      <c r="BU159" s="109">
        <f t="shared" si="116"/>
        <v>0</v>
      </c>
      <c r="BV159" s="109">
        <v>0</v>
      </c>
      <c r="BW159" s="109">
        <f t="shared" si="97"/>
        <v>0</v>
      </c>
      <c r="BX159" s="111">
        <f t="shared" si="118"/>
        <v>0</v>
      </c>
      <c r="BY159" s="129" t="e">
        <f t="shared" si="119"/>
        <v>#VALUE!</v>
      </c>
      <c r="BZ159" s="111" t="e">
        <f t="shared" si="120"/>
        <v>#VALUE!</v>
      </c>
      <c r="CA159" s="138" t="e">
        <f t="shared" si="121"/>
        <v>#VALUE!</v>
      </c>
      <c r="CB159" s="111">
        <v>0</v>
      </c>
      <c r="CC159" s="129">
        <v>0</v>
      </c>
      <c r="CD159" s="111">
        <f>CC159-BF159</f>
        <v>0</v>
      </c>
      <c r="CE159" s="129" t="e">
        <f t="shared" si="122"/>
        <v>#VALUE!</v>
      </c>
      <c r="CF159" s="129" t="e">
        <f t="shared" si="129"/>
        <v>#VALUE!</v>
      </c>
      <c r="CG159" s="129" t="str">
        <f t="shared" si="123"/>
        <v>Y</v>
      </c>
      <c r="CI159" s="129" t="str">
        <f t="shared" si="124"/>
        <v>0-10 DAYS</v>
      </c>
      <c r="CJ159" s="137">
        <f t="shared" si="125"/>
        <v>1</v>
      </c>
      <c r="CK159" s="129" t="str">
        <f t="shared" si="126"/>
        <v>Not Booked</v>
      </c>
    </row>
    <row r="160" spans="1:89" ht="15.75" customHeight="1" x14ac:dyDescent="0.25">
      <c r="A160" s="111">
        <v>932</v>
      </c>
      <c r="B160" s="128" t="str">
        <f t="shared" si="104"/>
        <v>N</v>
      </c>
      <c r="C160" s="128" t="str">
        <f t="shared" si="105"/>
        <v>N</v>
      </c>
      <c r="D160" s="117">
        <v>623556</v>
      </c>
      <c r="E160" s="135">
        <f t="shared" si="106"/>
        <v>5</v>
      </c>
      <c r="F160" s="124">
        <v>40943</v>
      </c>
      <c r="G160" s="125">
        <v>40974</v>
      </c>
      <c r="H160" s="117">
        <v>623556</v>
      </c>
      <c r="I160" s="124">
        <v>40943</v>
      </c>
      <c r="J160" s="124">
        <v>40974</v>
      </c>
      <c r="K160" s="126">
        <v>15000</v>
      </c>
      <c r="L160" s="127" t="s">
        <v>571</v>
      </c>
      <c r="N160" s="129" t="str">
        <f t="shared" ref="N160:N165" si="137">IF(M160&gt;1/1/1,"Y","N")</f>
        <v>N</v>
      </c>
      <c r="O160" s="128" t="s">
        <v>917</v>
      </c>
      <c r="P160" s="129" t="s">
        <v>39</v>
      </c>
      <c r="Q160" s="111">
        <f t="shared" si="131"/>
        <v>32</v>
      </c>
      <c r="R160" s="111">
        <f t="shared" si="99"/>
        <v>32</v>
      </c>
      <c r="S160" s="129">
        <v>5</v>
      </c>
      <c r="T160" s="129">
        <v>1</v>
      </c>
      <c r="U160" s="129">
        <v>5</v>
      </c>
      <c r="W160" s="111"/>
      <c r="AC160" s="130"/>
      <c r="AD160" s="130">
        <v>23175</v>
      </c>
      <c r="AE160" s="128" t="s">
        <v>32</v>
      </c>
      <c r="AF160" s="128" t="s">
        <v>33</v>
      </c>
      <c r="AG160" s="128" t="s">
        <v>872</v>
      </c>
      <c r="AH160" s="108" t="s">
        <v>58</v>
      </c>
      <c r="AI160" s="128" t="s">
        <v>141</v>
      </c>
      <c r="AJ160" s="129" t="s">
        <v>89</v>
      </c>
      <c r="AK160" s="129">
        <v>2</v>
      </c>
      <c r="AL160" s="3" t="s">
        <v>992</v>
      </c>
      <c r="AN160" s="117">
        <v>7</v>
      </c>
      <c r="AP160" s="129" t="s">
        <v>43</v>
      </c>
      <c r="AR160" s="128" t="s">
        <v>44</v>
      </c>
      <c r="AS160" s="129" t="s">
        <v>45</v>
      </c>
      <c r="BC160" s="129" t="s">
        <v>38</v>
      </c>
      <c r="BF160" s="111">
        <f t="shared" ref="BF160:BF178" si="138">IF(J160&gt;1/1/1900,((J160+1)-I160),"STILL OPEN")</f>
        <v>32</v>
      </c>
      <c r="BG160" s="111">
        <f t="shared" ref="BG160:BG178" si="139">IF(G160&gt;1/1/1900,((G160+1)-I160),"STILL OPEN")</f>
        <v>32</v>
      </c>
      <c r="BH160" s="111">
        <f t="shared" si="100"/>
        <v>32</v>
      </c>
      <c r="BI160" s="111">
        <f t="shared" si="101"/>
        <v>48.546448087431692</v>
      </c>
      <c r="BJ160" s="129">
        <f t="shared" si="109"/>
        <v>0</v>
      </c>
      <c r="BK160" s="129">
        <f t="shared" si="102"/>
        <v>0</v>
      </c>
      <c r="BL160" s="129" t="str">
        <f t="shared" si="103"/>
        <v>CONVICTION</v>
      </c>
      <c r="BM160" s="129" t="str">
        <f t="shared" si="110"/>
        <v>NONE</v>
      </c>
      <c r="BN160" s="129" t="s">
        <v>566</v>
      </c>
      <c r="BP160" s="137" t="str">
        <f t="shared" si="111"/>
        <v>CONVICTION</v>
      </c>
      <c r="BQ160" s="128" t="str">
        <f t="shared" si="112"/>
        <v>Y</v>
      </c>
      <c r="BR160" s="129" t="str">
        <f t="shared" si="113"/>
        <v>DETAINED</v>
      </c>
      <c r="BS160" s="129" t="str">
        <f t="shared" si="114"/>
        <v>DISPOSED</v>
      </c>
      <c r="BT160" s="129" t="str">
        <f t="shared" si="115"/>
        <v>Y</v>
      </c>
      <c r="BU160" s="109">
        <f t="shared" si="116"/>
        <v>1</v>
      </c>
      <c r="BV160" s="109">
        <f t="shared" si="117"/>
        <v>1</v>
      </c>
      <c r="BW160" s="109">
        <f t="shared" si="97"/>
        <v>0</v>
      </c>
      <c r="BX160" s="111">
        <f t="shared" si="118"/>
        <v>0</v>
      </c>
      <c r="BY160" s="129">
        <f t="shared" si="119"/>
        <v>-32</v>
      </c>
      <c r="BZ160" s="111">
        <f t="shared" si="120"/>
        <v>0</v>
      </c>
      <c r="CA160" s="138">
        <f t="shared" si="121"/>
        <v>32</v>
      </c>
      <c r="CB160" s="111" t="e">
        <f t="shared" ref="CB160:CB178" si="140">IF(AF160&gt;1/1/1900,((AF160+1)-AE160),"STILL OPEN")</f>
        <v>#VALUE!</v>
      </c>
      <c r="CC160" s="129">
        <f>G160-I160+1</f>
        <v>32</v>
      </c>
      <c r="CD160" s="129">
        <f>G160-J160</f>
        <v>0</v>
      </c>
      <c r="CE160" s="129">
        <f t="shared" si="122"/>
        <v>0</v>
      </c>
      <c r="CF160" s="129">
        <f t="shared" si="129"/>
        <v>31</v>
      </c>
      <c r="CG160" s="129" t="str">
        <f t="shared" si="123"/>
        <v>Y</v>
      </c>
      <c r="CI160" s="129" t="str">
        <f t="shared" si="124"/>
        <v>31-60 DAYS</v>
      </c>
      <c r="CJ160" s="137">
        <f t="shared" si="125"/>
        <v>3</v>
      </c>
      <c r="CK160" s="129" t="str">
        <f t="shared" si="126"/>
        <v>Booked</v>
      </c>
    </row>
    <row r="161" spans="1:89" ht="15.75" customHeight="1" x14ac:dyDescent="0.25">
      <c r="A161" s="111">
        <v>2480</v>
      </c>
      <c r="B161" s="128" t="str">
        <f t="shared" si="104"/>
        <v>N</v>
      </c>
      <c r="C161" s="128" t="str">
        <f t="shared" si="105"/>
        <v>N</v>
      </c>
      <c r="D161" s="117">
        <v>625891</v>
      </c>
      <c r="E161" s="135">
        <f t="shared" si="106"/>
        <v>6</v>
      </c>
      <c r="F161" s="124">
        <v>41002</v>
      </c>
      <c r="G161" s="125">
        <v>41114</v>
      </c>
      <c r="H161" s="117">
        <v>625891</v>
      </c>
      <c r="I161" s="124">
        <v>41093</v>
      </c>
      <c r="J161" s="124">
        <v>41114</v>
      </c>
      <c r="K161" s="126">
        <v>10000</v>
      </c>
      <c r="L161" s="127" t="s">
        <v>570</v>
      </c>
      <c r="N161" s="129" t="str">
        <f t="shared" si="137"/>
        <v>N</v>
      </c>
      <c r="O161" s="128" t="s">
        <v>917</v>
      </c>
      <c r="P161" s="129" t="s">
        <v>39</v>
      </c>
      <c r="Q161" s="111">
        <f t="shared" si="131"/>
        <v>22</v>
      </c>
      <c r="R161" s="111">
        <f t="shared" si="99"/>
        <v>113</v>
      </c>
      <c r="S161" s="129">
        <v>4</v>
      </c>
      <c r="T161" s="129">
        <v>5</v>
      </c>
      <c r="U161" s="129">
        <v>3</v>
      </c>
      <c r="W161" s="111"/>
      <c r="AC161" s="130"/>
      <c r="AD161" s="130">
        <v>24391</v>
      </c>
      <c r="AE161" s="128" t="s">
        <v>32</v>
      </c>
      <c r="AF161" s="128" t="s">
        <v>40</v>
      </c>
      <c r="AG161" s="128" t="s">
        <v>41</v>
      </c>
      <c r="AH161" s="108" t="s">
        <v>41</v>
      </c>
      <c r="AI161" s="128" t="s">
        <v>85</v>
      </c>
      <c r="AJ161" s="129" t="s">
        <v>89</v>
      </c>
      <c r="AK161" s="129">
        <v>2</v>
      </c>
      <c r="AL161" s="3" t="s">
        <v>362</v>
      </c>
      <c r="AM161" s="117">
        <v>2</v>
      </c>
      <c r="AP161" s="129" t="s">
        <v>170</v>
      </c>
      <c r="AR161" s="128" t="s">
        <v>67</v>
      </c>
      <c r="AS161" s="129" t="s">
        <v>64</v>
      </c>
      <c r="BC161" s="129" t="s">
        <v>38</v>
      </c>
      <c r="BF161" s="111">
        <f t="shared" si="138"/>
        <v>22</v>
      </c>
      <c r="BG161" s="111">
        <f t="shared" si="139"/>
        <v>22</v>
      </c>
      <c r="BH161" s="111">
        <f t="shared" si="100"/>
        <v>113</v>
      </c>
      <c r="BI161" s="111">
        <f t="shared" si="101"/>
        <v>45.385245901639344</v>
      </c>
      <c r="BJ161" s="129">
        <f t="shared" si="109"/>
        <v>0</v>
      </c>
      <c r="BK161" s="129">
        <f t="shared" si="102"/>
        <v>0</v>
      </c>
      <c r="BL161" s="129" t="str">
        <f t="shared" si="103"/>
        <v>CONVICTION</v>
      </c>
      <c r="BM161" s="129" t="str">
        <f t="shared" si="110"/>
        <v>NONE</v>
      </c>
      <c r="BN161" s="129" t="s">
        <v>566</v>
      </c>
      <c r="BP161" s="137" t="str">
        <f t="shared" si="111"/>
        <v>CONVICTION</v>
      </c>
      <c r="BQ161" s="128" t="str">
        <f t="shared" si="112"/>
        <v>Y</v>
      </c>
      <c r="BR161" s="129" t="str">
        <f t="shared" si="113"/>
        <v>DETAINED</v>
      </c>
      <c r="BS161" s="129" t="str">
        <f t="shared" si="114"/>
        <v>DISPOSED</v>
      </c>
      <c r="BT161" s="129" t="str">
        <f t="shared" si="115"/>
        <v>Y</v>
      </c>
      <c r="BU161" s="109">
        <f t="shared" si="116"/>
        <v>0.19469026548672566</v>
      </c>
      <c r="BV161" s="109">
        <f t="shared" si="117"/>
        <v>1</v>
      </c>
      <c r="BW161" s="109">
        <f t="shared" si="97"/>
        <v>0.80530973451327437</v>
      </c>
      <c r="BX161" s="111">
        <f t="shared" si="118"/>
        <v>0</v>
      </c>
      <c r="BY161" s="129">
        <f t="shared" si="119"/>
        <v>-22</v>
      </c>
      <c r="BZ161" s="111">
        <f t="shared" si="120"/>
        <v>0</v>
      </c>
      <c r="CA161" s="138">
        <f t="shared" si="121"/>
        <v>22</v>
      </c>
      <c r="CB161" s="111" t="e">
        <f t="shared" si="140"/>
        <v>#VALUE!</v>
      </c>
      <c r="CC161" s="129">
        <f>G161-I161+1</f>
        <v>22</v>
      </c>
      <c r="CD161" s="129">
        <f>G161-J161</f>
        <v>0</v>
      </c>
      <c r="CE161" s="129">
        <f t="shared" si="122"/>
        <v>0</v>
      </c>
      <c r="CF161" s="129">
        <f t="shared" si="129"/>
        <v>21</v>
      </c>
      <c r="CG161" s="129" t="str">
        <f t="shared" si="123"/>
        <v>Y</v>
      </c>
      <c r="CI161" s="129" t="str">
        <f t="shared" si="124"/>
        <v>11-30 DAYS</v>
      </c>
      <c r="CJ161" s="137">
        <f t="shared" si="125"/>
        <v>2</v>
      </c>
      <c r="CK161" s="129" t="str">
        <f t="shared" si="126"/>
        <v>Booked</v>
      </c>
    </row>
    <row r="162" spans="1:89" ht="15.75" customHeight="1" x14ac:dyDescent="0.25">
      <c r="A162" s="111">
        <v>1907</v>
      </c>
      <c r="B162" s="128" t="str">
        <f t="shared" si="104"/>
        <v>N</v>
      </c>
      <c r="C162" s="128" t="str">
        <f t="shared" si="105"/>
        <v>N</v>
      </c>
      <c r="D162" s="117">
        <v>626507</v>
      </c>
      <c r="E162" s="135">
        <f t="shared" si="106"/>
        <v>4</v>
      </c>
      <c r="F162" s="124">
        <v>40979</v>
      </c>
      <c r="G162" s="125">
        <v>41177</v>
      </c>
      <c r="H162" s="117">
        <v>626507</v>
      </c>
      <c r="I162" s="124">
        <v>41045</v>
      </c>
      <c r="J162" s="124">
        <v>41110</v>
      </c>
      <c r="K162" s="126">
        <v>10000</v>
      </c>
      <c r="L162" s="127" t="s">
        <v>570</v>
      </c>
      <c r="M162" s="125">
        <v>41110</v>
      </c>
      <c r="N162" s="129" t="str">
        <f t="shared" si="137"/>
        <v>Y</v>
      </c>
      <c r="O162" s="128" t="s">
        <v>585</v>
      </c>
      <c r="P162" s="129" t="s">
        <v>39</v>
      </c>
      <c r="Q162" s="111">
        <f t="shared" si="131"/>
        <v>66</v>
      </c>
      <c r="R162" s="111">
        <f t="shared" si="99"/>
        <v>199</v>
      </c>
      <c r="S162" s="129">
        <v>0</v>
      </c>
      <c r="T162" s="129">
        <v>4</v>
      </c>
      <c r="W162" s="111"/>
      <c r="AC162" s="130"/>
      <c r="AD162" s="130">
        <v>24114</v>
      </c>
      <c r="AE162" s="128" t="s">
        <v>32</v>
      </c>
      <c r="AF162" s="128" t="s">
        <v>69</v>
      </c>
      <c r="AG162" s="128" t="s">
        <v>874</v>
      </c>
      <c r="AH162" s="108" t="s">
        <v>31</v>
      </c>
      <c r="AI162" s="128" t="s">
        <v>90</v>
      </c>
      <c r="AJ162" s="129" t="s">
        <v>89</v>
      </c>
      <c r="AK162" s="129">
        <v>8</v>
      </c>
      <c r="AL162" s="3" t="s">
        <v>991</v>
      </c>
      <c r="AO162" s="128">
        <v>60</v>
      </c>
      <c r="AP162" s="129" t="s">
        <v>56</v>
      </c>
      <c r="AR162" s="128" t="s">
        <v>50</v>
      </c>
      <c r="AS162" s="129" t="s">
        <v>57</v>
      </c>
      <c r="BC162" s="129" t="s">
        <v>38</v>
      </c>
      <c r="BF162" s="111">
        <f t="shared" si="138"/>
        <v>66</v>
      </c>
      <c r="BG162" s="111">
        <f t="shared" si="139"/>
        <v>133</v>
      </c>
      <c r="BH162" s="111">
        <f t="shared" si="100"/>
        <v>199</v>
      </c>
      <c r="BI162" s="111">
        <f t="shared" si="101"/>
        <v>46.079234972677597</v>
      </c>
      <c r="BJ162" s="129">
        <f>(G162-J162)+(M162-G162)</f>
        <v>0</v>
      </c>
      <c r="BK162" s="129">
        <f t="shared" si="102"/>
        <v>-67</v>
      </c>
      <c r="BL162" s="129" t="str">
        <f t="shared" si="103"/>
        <v>CONVICTION</v>
      </c>
      <c r="BM162" s="129" t="s">
        <v>76</v>
      </c>
      <c r="BN162" s="129" t="s">
        <v>88</v>
      </c>
      <c r="BP162" s="137" t="str">
        <f t="shared" si="111"/>
        <v>CONVICTION</v>
      </c>
      <c r="BQ162" s="128" t="str">
        <f t="shared" si="112"/>
        <v>Y</v>
      </c>
      <c r="BR162" s="129" t="str">
        <f>IF(J162&lt;G162,"ON BOND",0)</f>
        <v>ON BOND</v>
      </c>
      <c r="BS162" s="129" t="str">
        <f t="shared" si="114"/>
        <v>DISPOSED</v>
      </c>
      <c r="BT162" s="129" t="str">
        <f t="shared" si="115"/>
        <v>N</v>
      </c>
      <c r="BU162" s="109">
        <f t="shared" si="116"/>
        <v>0.33165829145728642</v>
      </c>
      <c r="BV162" s="109">
        <f t="shared" si="117"/>
        <v>0.49624060150375937</v>
      </c>
      <c r="BW162" s="109">
        <f t="shared" si="97"/>
        <v>0.16458231004647295</v>
      </c>
      <c r="BX162" s="111">
        <f t="shared" si="118"/>
        <v>0</v>
      </c>
      <c r="BY162" s="129">
        <f t="shared" si="119"/>
        <v>-66</v>
      </c>
      <c r="BZ162" s="111">
        <f t="shared" si="120"/>
        <v>0</v>
      </c>
      <c r="CA162" s="138">
        <f t="shared" si="121"/>
        <v>66</v>
      </c>
      <c r="CB162" s="111" t="e">
        <f t="shared" si="140"/>
        <v>#VALUE!</v>
      </c>
      <c r="CC162" s="129">
        <f>M162-I162+1</f>
        <v>66</v>
      </c>
      <c r="CD162" s="111">
        <f>CC162-BF162</f>
        <v>0</v>
      </c>
      <c r="CE162" s="129">
        <f t="shared" si="122"/>
        <v>67</v>
      </c>
      <c r="CF162" s="129">
        <f t="shared" si="129"/>
        <v>65</v>
      </c>
      <c r="CG162" s="129" t="str">
        <f t="shared" si="123"/>
        <v>Y</v>
      </c>
      <c r="CI162" s="129" t="str">
        <f t="shared" si="124"/>
        <v>61-90 DAYS</v>
      </c>
      <c r="CJ162" s="137">
        <f t="shared" si="125"/>
        <v>4</v>
      </c>
      <c r="CK162" s="129" t="str">
        <f t="shared" si="126"/>
        <v>Booked</v>
      </c>
    </row>
    <row r="163" spans="1:89" ht="15.75" customHeight="1" x14ac:dyDescent="0.25">
      <c r="A163" s="111">
        <v>65</v>
      </c>
      <c r="B163" s="128" t="str">
        <f t="shared" si="104"/>
        <v>N</v>
      </c>
      <c r="C163" s="128" t="str">
        <f t="shared" si="105"/>
        <v>N</v>
      </c>
      <c r="D163" s="117">
        <v>631030</v>
      </c>
      <c r="E163" s="135">
        <f t="shared" si="106"/>
        <v>5</v>
      </c>
      <c r="F163" s="124">
        <v>40912</v>
      </c>
      <c r="G163" s="125">
        <v>40913</v>
      </c>
      <c r="H163" s="117">
        <v>631030</v>
      </c>
      <c r="I163" s="124">
        <v>40912</v>
      </c>
      <c r="J163" s="124">
        <v>40913</v>
      </c>
      <c r="K163" s="126">
        <v>15000</v>
      </c>
      <c r="L163" s="127" t="s">
        <v>571</v>
      </c>
      <c r="N163" s="129" t="str">
        <f t="shared" si="137"/>
        <v>N</v>
      </c>
      <c r="O163" s="128" t="s">
        <v>917</v>
      </c>
      <c r="P163" s="129" t="s">
        <v>39</v>
      </c>
      <c r="Q163" s="111">
        <f t="shared" si="131"/>
        <v>2</v>
      </c>
      <c r="R163" s="111">
        <f t="shared" si="99"/>
        <v>2</v>
      </c>
      <c r="S163" s="129">
        <v>4</v>
      </c>
      <c r="T163" s="129">
        <v>1</v>
      </c>
      <c r="U163" s="129">
        <v>3</v>
      </c>
      <c r="W163" s="111"/>
      <c r="AC163" s="130"/>
      <c r="AD163" s="130">
        <v>23665</v>
      </c>
      <c r="AE163" s="128" t="s">
        <v>32</v>
      </c>
      <c r="AF163" s="128" t="s">
        <v>33</v>
      </c>
      <c r="AG163" s="128" t="s">
        <v>872</v>
      </c>
      <c r="AH163" s="108" t="s">
        <v>58</v>
      </c>
      <c r="AI163" s="128" t="s">
        <v>90</v>
      </c>
      <c r="AJ163" s="129" t="s">
        <v>89</v>
      </c>
      <c r="AK163" s="129">
        <v>1</v>
      </c>
      <c r="AL163" s="3" t="s">
        <v>992</v>
      </c>
      <c r="AN163" s="117">
        <v>8</v>
      </c>
      <c r="AP163" s="129" t="s">
        <v>127</v>
      </c>
      <c r="AR163" s="128" t="s">
        <v>44</v>
      </c>
      <c r="AS163" s="129" t="s">
        <v>82</v>
      </c>
      <c r="BC163" s="129" t="s">
        <v>38</v>
      </c>
      <c r="BF163" s="111">
        <f t="shared" si="138"/>
        <v>2</v>
      </c>
      <c r="BG163" s="111">
        <f t="shared" si="139"/>
        <v>2</v>
      </c>
      <c r="BH163" s="111">
        <f t="shared" si="100"/>
        <v>2</v>
      </c>
      <c r="BI163" s="111">
        <f t="shared" si="101"/>
        <v>47.122950819672134</v>
      </c>
      <c r="BJ163" s="129">
        <f t="shared" si="109"/>
        <v>0</v>
      </c>
      <c r="BK163" s="129">
        <f t="shared" si="102"/>
        <v>0</v>
      </c>
      <c r="BL163" s="129" t="str">
        <f t="shared" si="103"/>
        <v>CONVICTION</v>
      </c>
      <c r="BM163" s="129" t="str">
        <f t="shared" si="110"/>
        <v>NONE</v>
      </c>
      <c r="BN163" s="129" t="s">
        <v>566</v>
      </c>
      <c r="BP163" s="137" t="str">
        <f t="shared" si="111"/>
        <v>CONVICTION</v>
      </c>
      <c r="BQ163" s="128" t="str">
        <f t="shared" si="112"/>
        <v>Y</v>
      </c>
      <c r="BR163" s="129" t="str">
        <f t="shared" si="113"/>
        <v>DETAINED</v>
      </c>
      <c r="BS163" s="129" t="str">
        <f t="shared" si="114"/>
        <v>DISPOSED</v>
      </c>
      <c r="BT163" s="129" t="str">
        <f t="shared" si="115"/>
        <v>Y</v>
      </c>
      <c r="BU163" s="109">
        <f t="shared" si="116"/>
        <v>1</v>
      </c>
      <c r="BV163" s="109">
        <f t="shared" si="117"/>
        <v>1</v>
      </c>
      <c r="BW163" s="109">
        <f t="shared" si="97"/>
        <v>0</v>
      </c>
      <c r="BX163" s="111">
        <f t="shared" si="118"/>
        <v>0</v>
      </c>
      <c r="BY163" s="129">
        <f t="shared" si="119"/>
        <v>-2</v>
      </c>
      <c r="BZ163" s="111">
        <f t="shared" si="120"/>
        <v>0</v>
      </c>
      <c r="CA163" s="138">
        <f t="shared" si="121"/>
        <v>2</v>
      </c>
      <c r="CB163" s="111" t="e">
        <f t="shared" si="140"/>
        <v>#VALUE!</v>
      </c>
      <c r="CC163" s="129">
        <f>G163-I163+1</f>
        <v>2</v>
      </c>
      <c r="CD163" s="129">
        <f>G163-J163</f>
        <v>0</v>
      </c>
      <c r="CE163" s="129">
        <f t="shared" si="122"/>
        <v>0</v>
      </c>
      <c r="CF163" s="129">
        <f t="shared" si="129"/>
        <v>1</v>
      </c>
      <c r="CG163" s="129" t="str">
        <f t="shared" si="123"/>
        <v>Y</v>
      </c>
      <c r="CI163" s="129" t="str">
        <f t="shared" si="124"/>
        <v>0-10 DAYS</v>
      </c>
      <c r="CJ163" s="137">
        <f t="shared" si="125"/>
        <v>1</v>
      </c>
      <c r="CK163" s="129" t="str">
        <f t="shared" si="126"/>
        <v>Booked</v>
      </c>
    </row>
    <row r="164" spans="1:89" ht="15.75" customHeight="1" x14ac:dyDescent="0.25">
      <c r="A164" s="111">
        <v>814</v>
      </c>
      <c r="B164" s="128" t="str">
        <f t="shared" si="104"/>
        <v>N</v>
      </c>
      <c r="C164" s="128" t="str">
        <f t="shared" si="105"/>
        <v>N</v>
      </c>
      <c r="D164" s="117">
        <v>634518</v>
      </c>
      <c r="E164" s="135">
        <f t="shared" si="106"/>
        <v>4</v>
      </c>
      <c r="F164" s="124">
        <v>40940</v>
      </c>
      <c r="G164" s="125">
        <v>40981</v>
      </c>
      <c r="H164" s="117">
        <v>634518</v>
      </c>
      <c r="I164" s="124">
        <v>40975</v>
      </c>
      <c r="J164" s="124">
        <v>40981</v>
      </c>
      <c r="K164" s="126">
        <v>2000</v>
      </c>
      <c r="L164" s="127" t="s">
        <v>568</v>
      </c>
      <c r="N164" s="129" t="str">
        <f t="shared" si="137"/>
        <v>N</v>
      </c>
      <c r="O164" s="128" t="s">
        <v>917</v>
      </c>
      <c r="P164" s="129" t="s">
        <v>39</v>
      </c>
      <c r="Q164" s="111">
        <f t="shared" si="131"/>
        <v>7</v>
      </c>
      <c r="R164" s="111">
        <f t="shared" si="99"/>
        <v>42</v>
      </c>
      <c r="S164" s="129">
        <v>1</v>
      </c>
      <c r="T164" s="129">
        <v>1</v>
      </c>
      <c r="W164" s="111"/>
      <c r="AC164" s="130"/>
      <c r="AD164" s="130">
        <v>19031</v>
      </c>
      <c r="AE164" s="128" t="s">
        <v>32</v>
      </c>
      <c r="AF164" s="128" t="s">
        <v>33</v>
      </c>
      <c r="AG164" s="128" t="s">
        <v>872</v>
      </c>
      <c r="AH164" s="108" t="s">
        <v>58</v>
      </c>
      <c r="AI164" s="128" t="s">
        <v>114</v>
      </c>
      <c r="AJ164" s="129" t="s">
        <v>89</v>
      </c>
      <c r="AK164" s="129">
        <v>2</v>
      </c>
      <c r="AL164" s="3" t="s">
        <v>991</v>
      </c>
      <c r="AO164" s="128">
        <v>60</v>
      </c>
      <c r="AP164" s="129" t="s">
        <v>43</v>
      </c>
      <c r="AR164" s="128" t="s">
        <v>44</v>
      </c>
      <c r="AS164" s="129" t="s">
        <v>45</v>
      </c>
      <c r="BC164" s="129" t="s">
        <v>38</v>
      </c>
      <c r="BF164" s="111">
        <f t="shared" si="138"/>
        <v>7</v>
      </c>
      <c r="BG164" s="111">
        <f t="shared" si="139"/>
        <v>7</v>
      </c>
      <c r="BH164" s="111">
        <f t="shared" si="100"/>
        <v>42</v>
      </c>
      <c r="BI164" s="111">
        <f t="shared" si="101"/>
        <v>59.860655737704917</v>
      </c>
      <c r="BJ164" s="129">
        <f t="shared" si="109"/>
        <v>0</v>
      </c>
      <c r="BK164" s="129">
        <f t="shared" si="102"/>
        <v>0</v>
      </c>
      <c r="BL164" s="129" t="str">
        <f t="shared" si="103"/>
        <v>CONVICTION</v>
      </c>
      <c r="BM164" s="129" t="str">
        <f t="shared" si="110"/>
        <v>NONE</v>
      </c>
      <c r="BN164" s="129" t="s">
        <v>566</v>
      </c>
      <c r="BP164" s="137" t="str">
        <f t="shared" si="111"/>
        <v>CONVICTION</v>
      </c>
      <c r="BQ164" s="128" t="str">
        <f t="shared" si="112"/>
        <v>Y</v>
      </c>
      <c r="BR164" s="129" t="str">
        <f t="shared" si="113"/>
        <v>DETAINED</v>
      </c>
      <c r="BS164" s="129" t="str">
        <f t="shared" si="114"/>
        <v>DISPOSED</v>
      </c>
      <c r="BT164" s="129" t="str">
        <f t="shared" si="115"/>
        <v>Y</v>
      </c>
      <c r="BU164" s="109">
        <f t="shared" si="116"/>
        <v>0.16666666666666666</v>
      </c>
      <c r="BV164" s="109">
        <f t="shared" si="117"/>
        <v>1</v>
      </c>
      <c r="BW164" s="109">
        <f t="shared" si="97"/>
        <v>0.83333333333333337</v>
      </c>
      <c r="BX164" s="111">
        <f t="shared" si="118"/>
        <v>0</v>
      </c>
      <c r="BY164" s="129">
        <f t="shared" si="119"/>
        <v>-7</v>
      </c>
      <c r="BZ164" s="111">
        <f t="shared" si="120"/>
        <v>0</v>
      </c>
      <c r="CA164" s="138">
        <f t="shared" si="121"/>
        <v>7</v>
      </c>
      <c r="CB164" s="111" t="e">
        <f t="shared" si="140"/>
        <v>#VALUE!</v>
      </c>
      <c r="CC164" s="129">
        <f>G164-I164+1</f>
        <v>7</v>
      </c>
      <c r="CD164" s="129">
        <f>G164-J164</f>
        <v>0</v>
      </c>
      <c r="CE164" s="129">
        <f t="shared" si="122"/>
        <v>0</v>
      </c>
      <c r="CF164" s="129">
        <f t="shared" si="129"/>
        <v>6</v>
      </c>
      <c r="CG164" s="129" t="str">
        <f t="shared" si="123"/>
        <v>Y</v>
      </c>
      <c r="CI164" s="129" t="str">
        <f t="shared" si="124"/>
        <v>0-10 DAYS</v>
      </c>
      <c r="CJ164" s="137">
        <f t="shared" si="125"/>
        <v>1</v>
      </c>
      <c r="CK164" s="129" t="str">
        <f t="shared" si="126"/>
        <v>Booked</v>
      </c>
    </row>
    <row r="165" spans="1:89" ht="15.75" customHeight="1" x14ac:dyDescent="0.25">
      <c r="A165" s="111">
        <v>3077</v>
      </c>
      <c r="B165" s="128" t="str">
        <f t="shared" si="104"/>
        <v>N</v>
      </c>
      <c r="C165" s="128" t="str">
        <f t="shared" si="105"/>
        <v>N</v>
      </c>
      <c r="D165" s="117">
        <v>635008</v>
      </c>
      <c r="E165" s="135">
        <f t="shared" si="106"/>
        <v>5</v>
      </c>
      <c r="F165" s="124">
        <v>41023</v>
      </c>
      <c r="G165" s="125">
        <v>41026</v>
      </c>
      <c r="H165" s="117">
        <v>635008</v>
      </c>
      <c r="I165" s="124">
        <v>41023</v>
      </c>
      <c r="J165" s="124">
        <v>41026</v>
      </c>
      <c r="K165" s="126">
        <v>15000</v>
      </c>
      <c r="L165" s="127" t="s">
        <v>571</v>
      </c>
      <c r="N165" s="129" t="str">
        <f t="shared" si="137"/>
        <v>N</v>
      </c>
      <c r="O165" s="128" t="s">
        <v>917</v>
      </c>
      <c r="P165" s="129" t="s">
        <v>39</v>
      </c>
      <c r="Q165" s="111">
        <f t="shared" si="131"/>
        <v>4</v>
      </c>
      <c r="R165" s="111">
        <f t="shared" si="99"/>
        <v>4</v>
      </c>
      <c r="S165" s="129">
        <v>3</v>
      </c>
      <c r="T165" s="129">
        <v>5</v>
      </c>
      <c r="U165" s="129">
        <v>2</v>
      </c>
      <c r="W165" s="111"/>
      <c r="AC165" s="130"/>
      <c r="AD165" s="130">
        <v>22447</v>
      </c>
      <c r="AE165" s="128" t="s">
        <v>32</v>
      </c>
      <c r="AF165" s="128" t="s">
        <v>40</v>
      </c>
      <c r="AG165" s="128" t="s">
        <v>41</v>
      </c>
      <c r="AH165" s="108" t="s">
        <v>41</v>
      </c>
      <c r="AI165" s="128" t="s">
        <v>71</v>
      </c>
      <c r="AJ165" s="129" t="s">
        <v>89</v>
      </c>
      <c r="AK165" s="129">
        <v>3</v>
      </c>
      <c r="AL165" s="3" t="s">
        <v>992</v>
      </c>
      <c r="AN165" s="117">
        <v>8</v>
      </c>
      <c r="AP165" s="129" t="s">
        <v>43</v>
      </c>
      <c r="AR165" s="128" t="s">
        <v>44</v>
      </c>
      <c r="AS165" s="129" t="s">
        <v>45</v>
      </c>
      <c r="BC165" s="129" t="s">
        <v>38</v>
      </c>
      <c r="BF165" s="111">
        <f t="shared" si="138"/>
        <v>4</v>
      </c>
      <c r="BG165" s="111">
        <f t="shared" si="139"/>
        <v>4</v>
      </c>
      <c r="BH165" s="111">
        <f t="shared" si="100"/>
        <v>4</v>
      </c>
      <c r="BI165" s="111">
        <f t="shared" si="101"/>
        <v>50.754098360655739</v>
      </c>
      <c r="BJ165" s="129">
        <f t="shared" si="109"/>
        <v>0</v>
      </c>
      <c r="BK165" s="129">
        <f t="shared" si="102"/>
        <v>0</v>
      </c>
      <c r="BL165" s="129" t="str">
        <f t="shared" si="103"/>
        <v>CONVICTION</v>
      </c>
      <c r="BM165" s="129" t="str">
        <f t="shared" si="110"/>
        <v>NONE</v>
      </c>
      <c r="BN165" s="129" t="s">
        <v>566</v>
      </c>
      <c r="BP165" s="137" t="str">
        <f t="shared" si="111"/>
        <v>CONVICTION</v>
      </c>
      <c r="BQ165" s="128" t="str">
        <f t="shared" si="112"/>
        <v>Y</v>
      </c>
      <c r="BR165" s="129" t="str">
        <f t="shared" si="113"/>
        <v>DETAINED</v>
      </c>
      <c r="BS165" s="129" t="str">
        <f t="shared" si="114"/>
        <v>DISPOSED</v>
      </c>
      <c r="BT165" s="129" t="str">
        <f t="shared" si="115"/>
        <v>Y</v>
      </c>
      <c r="BU165" s="109">
        <f t="shared" si="116"/>
        <v>1</v>
      </c>
      <c r="BV165" s="109">
        <f t="shared" si="117"/>
        <v>1</v>
      </c>
      <c r="BW165" s="109">
        <f t="shared" si="97"/>
        <v>0</v>
      </c>
      <c r="BX165" s="111">
        <f t="shared" si="118"/>
        <v>0</v>
      </c>
      <c r="BY165" s="129">
        <f t="shared" si="119"/>
        <v>-4</v>
      </c>
      <c r="BZ165" s="111">
        <f t="shared" si="120"/>
        <v>0</v>
      </c>
      <c r="CA165" s="138">
        <f t="shared" si="121"/>
        <v>4</v>
      </c>
      <c r="CB165" s="111" t="e">
        <f t="shared" si="140"/>
        <v>#VALUE!</v>
      </c>
      <c r="CC165" s="129">
        <f>G165-I165+1</f>
        <v>4</v>
      </c>
      <c r="CD165" s="129">
        <f>G165-J165</f>
        <v>0</v>
      </c>
      <c r="CE165" s="129">
        <f t="shared" si="122"/>
        <v>0</v>
      </c>
      <c r="CF165" s="129">
        <f t="shared" si="129"/>
        <v>3</v>
      </c>
      <c r="CG165" s="129" t="str">
        <f t="shared" si="123"/>
        <v>Y</v>
      </c>
      <c r="CI165" s="129" t="str">
        <f t="shared" si="124"/>
        <v>0-10 DAYS</v>
      </c>
      <c r="CJ165" s="137">
        <f t="shared" si="125"/>
        <v>1</v>
      </c>
      <c r="CK165" s="129" t="str">
        <f t="shared" si="126"/>
        <v>Booked</v>
      </c>
    </row>
    <row r="166" spans="1:89" ht="15.75" customHeight="1" x14ac:dyDescent="0.25">
      <c r="A166" s="111">
        <v>3032</v>
      </c>
      <c r="B166" s="128" t="str">
        <f t="shared" si="104"/>
        <v>N</v>
      </c>
      <c r="C166" s="128" t="str">
        <f t="shared" si="105"/>
        <v>N</v>
      </c>
      <c r="D166" s="117">
        <v>636243</v>
      </c>
      <c r="E166" s="135">
        <f t="shared" si="106"/>
        <v>1</v>
      </c>
      <c r="F166" s="124">
        <v>41021</v>
      </c>
      <c r="G166" s="125">
        <v>41135</v>
      </c>
      <c r="H166" s="117">
        <v>636243</v>
      </c>
      <c r="I166" s="124">
        <v>41021</v>
      </c>
      <c r="J166" s="124">
        <v>41135</v>
      </c>
      <c r="K166" s="126" t="s">
        <v>564</v>
      </c>
      <c r="L166" s="127" t="s">
        <v>564</v>
      </c>
      <c r="N166" s="129" t="s">
        <v>566</v>
      </c>
      <c r="O166" s="128" t="s">
        <v>917</v>
      </c>
      <c r="P166" s="129" t="s">
        <v>55</v>
      </c>
      <c r="Q166" s="111">
        <f t="shared" si="131"/>
        <v>115</v>
      </c>
      <c r="R166" s="111">
        <f t="shared" si="99"/>
        <v>115</v>
      </c>
      <c r="S166" s="32">
        <v>5</v>
      </c>
      <c r="T166" s="32">
        <v>5</v>
      </c>
      <c r="U166" s="32">
        <v>4</v>
      </c>
      <c r="V166" s="114"/>
      <c r="W166" s="111"/>
      <c r="AC166" s="130"/>
      <c r="AD166" s="130">
        <v>17481</v>
      </c>
      <c r="AE166" s="128" t="s">
        <v>32</v>
      </c>
      <c r="AF166" s="128" t="s">
        <v>33</v>
      </c>
      <c r="AG166" s="128" t="s">
        <v>872</v>
      </c>
      <c r="AH166" s="108" t="s">
        <v>31</v>
      </c>
      <c r="AI166" s="128" t="s">
        <v>70</v>
      </c>
      <c r="AJ166" s="129" t="s">
        <v>55</v>
      </c>
      <c r="AK166" s="129">
        <v>11</v>
      </c>
      <c r="AL166" s="3" t="s">
        <v>55</v>
      </c>
      <c r="AP166" s="129" t="s">
        <v>73</v>
      </c>
      <c r="AR166" s="128" t="s">
        <v>50</v>
      </c>
      <c r="AS166" s="129" t="s">
        <v>74</v>
      </c>
      <c r="AT166" s="129" t="s">
        <v>514</v>
      </c>
      <c r="BC166" s="129" t="s">
        <v>99</v>
      </c>
      <c r="BF166" s="111">
        <f t="shared" si="138"/>
        <v>115</v>
      </c>
      <c r="BG166" s="111">
        <f t="shared" si="139"/>
        <v>115</v>
      </c>
      <c r="BH166" s="111">
        <f t="shared" si="100"/>
        <v>115</v>
      </c>
      <c r="BI166" s="111">
        <f t="shared" si="101"/>
        <v>64.316939890710387</v>
      </c>
      <c r="BJ166" s="129">
        <f t="shared" si="109"/>
        <v>0</v>
      </c>
      <c r="BK166" s="129">
        <f t="shared" si="102"/>
        <v>0</v>
      </c>
      <c r="BL166" s="129" t="str">
        <f t="shared" si="103"/>
        <v>NO CONVICTION</v>
      </c>
      <c r="BM166" s="129" t="str">
        <f t="shared" si="110"/>
        <v>NONE</v>
      </c>
      <c r="BN166" s="129" t="s">
        <v>566</v>
      </c>
      <c r="BP166" s="137" t="str">
        <f t="shared" si="111"/>
        <v>NO CONVICTION</v>
      </c>
      <c r="BQ166" s="128" t="str">
        <f t="shared" si="112"/>
        <v>Y</v>
      </c>
      <c r="BR166" s="129" t="str">
        <f t="shared" si="113"/>
        <v>DETAINED</v>
      </c>
      <c r="BS166" s="129" t="str">
        <f t="shared" si="114"/>
        <v>DISPOSED</v>
      </c>
      <c r="BT166" s="129" t="str">
        <f t="shared" si="115"/>
        <v>Y</v>
      </c>
      <c r="BU166" s="109">
        <f>IFERROR(Q166/R166,BR166)</f>
        <v>1</v>
      </c>
      <c r="BV166" s="109">
        <f t="shared" si="117"/>
        <v>1</v>
      </c>
      <c r="BW166" s="109">
        <f t="shared" si="97"/>
        <v>0</v>
      </c>
      <c r="BX166" s="111">
        <f t="shared" si="118"/>
        <v>0</v>
      </c>
      <c r="BY166" s="129">
        <f t="shared" si="119"/>
        <v>-115</v>
      </c>
      <c r="BZ166" s="111">
        <f t="shared" si="120"/>
        <v>0</v>
      </c>
      <c r="CA166" s="138">
        <f t="shared" si="121"/>
        <v>115</v>
      </c>
      <c r="CB166" s="111" t="e">
        <f t="shared" si="140"/>
        <v>#VALUE!</v>
      </c>
      <c r="CC166" s="129">
        <f>G166-I166+1</f>
        <v>115</v>
      </c>
      <c r="CD166" s="129">
        <f>G166-J166</f>
        <v>0</v>
      </c>
      <c r="CE166" s="129">
        <f t="shared" si="122"/>
        <v>0</v>
      </c>
      <c r="CF166" s="129">
        <f t="shared" si="129"/>
        <v>114</v>
      </c>
      <c r="CG166" s="129" t="str">
        <f t="shared" si="123"/>
        <v>Y</v>
      </c>
      <c r="CI166" s="129" t="str">
        <f t="shared" si="124"/>
        <v>91-120 DAYS</v>
      </c>
      <c r="CJ166" s="137">
        <f t="shared" si="125"/>
        <v>0</v>
      </c>
      <c r="CK166" s="129" t="str">
        <f t="shared" si="126"/>
        <v>Booked</v>
      </c>
    </row>
    <row r="167" spans="1:89" ht="15" customHeight="1" x14ac:dyDescent="0.25">
      <c r="A167" s="111">
        <v>1831</v>
      </c>
      <c r="B167" s="128" t="str">
        <f t="shared" si="104"/>
        <v>N</v>
      </c>
      <c r="C167" s="128" t="str">
        <f t="shared" si="105"/>
        <v>N</v>
      </c>
      <c r="D167" s="117">
        <v>636779</v>
      </c>
      <c r="E167" s="135">
        <f t="shared" si="106"/>
        <v>2</v>
      </c>
      <c r="F167" s="124">
        <v>40976</v>
      </c>
      <c r="G167" s="125">
        <v>41158</v>
      </c>
      <c r="H167" s="117">
        <v>636779</v>
      </c>
      <c r="I167" s="124">
        <v>40977</v>
      </c>
      <c r="J167" s="124">
        <v>40978</v>
      </c>
      <c r="K167" s="126">
        <v>20000</v>
      </c>
      <c r="L167" s="127" t="s">
        <v>571</v>
      </c>
      <c r="M167" s="125">
        <v>40978</v>
      </c>
      <c r="N167" s="129" t="str">
        <f>IF(M167&gt;1/1/1,"Y","N")</f>
        <v>Y</v>
      </c>
      <c r="O167" s="128" t="s">
        <v>585</v>
      </c>
      <c r="P167" s="129" t="s">
        <v>589</v>
      </c>
      <c r="Q167" s="111">
        <f t="shared" si="131"/>
        <v>2</v>
      </c>
      <c r="R167" s="111">
        <f t="shared" si="99"/>
        <v>183</v>
      </c>
      <c r="S167" s="129">
        <v>0</v>
      </c>
      <c r="T167" s="129">
        <v>3</v>
      </c>
      <c r="W167" s="111"/>
      <c r="AC167" s="130"/>
      <c r="AD167" s="130">
        <v>18838</v>
      </c>
      <c r="AE167" s="128" t="s">
        <v>46</v>
      </c>
      <c r="AF167" s="128" t="s">
        <v>69</v>
      </c>
      <c r="AG167" s="128" t="s">
        <v>874</v>
      </c>
      <c r="AH167" s="108" t="s">
        <v>31</v>
      </c>
      <c r="AI167" s="128" t="s">
        <v>71</v>
      </c>
      <c r="AJ167" s="129" t="s">
        <v>48</v>
      </c>
      <c r="AK167" s="129">
        <v>6</v>
      </c>
      <c r="AL167" s="3" t="s">
        <v>48</v>
      </c>
      <c r="AP167" s="129" t="s">
        <v>254</v>
      </c>
      <c r="AR167" s="128" t="s">
        <v>92</v>
      </c>
      <c r="AS167" s="129" t="s">
        <v>82</v>
      </c>
      <c r="AW167" s="123"/>
      <c r="AX167" s="123"/>
      <c r="AY167" s="123"/>
      <c r="BC167" s="129" t="s">
        <v>52</v>
      </c>
      <c r="BF167" s="111">
        <f t="shared" si="138"/>
        <v>2</v>
      </c>
      <c r="BG167" s="111">
        <f t="shared" si="139"/>
        <v>182</v>
      </c>
      <c r="BH167" s="111">
        <f t="shared" si="100"/>
        <v>183</v>
      </c>
      <c r="BI167" s="111">
        <f t="shared" si="101"/>
        <v>60.486338797814206</v>
      </c>
      <c r="BJ167" s="129">
        <f>(G167-J167)+(M167-G167)</f>
        <v>0</v>
      </c>
      <c r="BK167" s="129">
        <f t="shared" si="102"/>
        <v>-180</v>
      </c>
      <c r="BL167" s="129" t="str">
        <f t="shared" si="103"/>
        <v>DEFERRED</v>
      </c>
      <c r="BM167" s="129" t="s">
        <v>76</v>
      </c>
      <c r="BN167" s="129" t="s">
        <v>88</v>
      </c>
      <c r="BP167" s="137" t="str">
        <f t="shared" si="111"/>
        <v>DEFERRED</v>
      </c>
      <c r="BQ167" s="128" t="str">
        <f t="shared" si="112"/>
        <v>Y</v>
      </c>
      <c r="BR167" s="129" t="str">
        <f t="shared" si="113"/>
        <v>ON BOND</v>
      </c>
      <c r="BS167" s="129" t="str">
        <f t="shared" si="114"/>
        <v>DISPOSED</v>
      </c>
      <c r="BT167" s="129" t="str">
        <f t="shared" si="115"/>
        <v>N</v>
      </c>
      <c r="BU167" s="109">
        <f t="shared" si="116"/>
        <v>1.092896174863388E-2</v>
      </c>
      <c r="BV167" s="109">
        <f t="shared" si="117"/>
        <v>1.098901098901099E-2</v>
      </c>
      <c r="BW167" s="109">
        <f t="shared" si="97"/>
        <v>6.0049240377110097E-5</v>
      </c>
      <c r="BX167" s="111">
        <f t="shared" si="118"/>
        <v>0</v>
      </c>
      <c r="BY167" s="129">
        <f t="shared" si="119"/>
        <v>-2</v>
      </c>
      <c r="BZ167" s="111">
        <f t="shared" si="120"/>
        <v>0</v>
      </c>
      <c r="CA167" s="138">
        <f t="shared" si="121"/>
        <v>2</v>
      </c>
      <c r="CB167" s="111" t="e">
        <f t="shared" si="140"/>
        <v>#VALUE!</v>
      </c>
      <c r="CC167" s="129">
        <f>M167-I167+1</f>
        <v>2</v>
      </c>
      <c r="CD167" s="111">
        <f>CC167-BF167</f>
        <v>0</v>
      </c>
      <c r="CE167" s="129">
        <f t="shared" si="122"/>
        <v>180</v>
      </c>
      <c r="CF167" s="129">
        <f t="shared" si="129"/>
        <v>1</v>
      </c>
      <c r="CG167" s="129" t="str">
        <f t="shared" si="123"/>
        <v>Y</v>
      </c>
      <c r="CI167" s="129" t="str">
        <f t="shared" si="124"/>
        <v>0-10 DAYS</v>
      </c>
      <c r="CJ167" s="137">
        <f t="shared" si="125"/>
        <v>1</v>
      </c>
      <c r="CK167" s="129" t="str">
        <f t="shared" si="126"/>
        <v>Booked</v>
      </c>
    </row>
    <row r="168" spans="1:89" ht="15.75" customHeight="1" x14ac:dyDescent="0.25">
      <c r="A168" s="111">
        <v>3045</v>
      </c>
      <c r="B168" s="128" t="str">
        <f t="shared" si="104"/>
        <v>N</v>
      </c>
      <c r="C168" s="128" t="str">
        <f t="shared" si="105"/>
        <v>N</v>
      </c>
      <c r="D168" s="117">
        <v>640047</v>
      </c>
      <c r="E168" s="135">
        <f t="shared" si="106"/>
        <v>1</v>
      </c>
      <c r="F168" s="124">
        <v>41022</v>
      </c>
      <c r="G168" s="125">
        <v>41180</v>
      </c>
      <c r="H168" s="117">
        <v>640047</v>
      </c>
      <c r="I168" s="124">
        <v>41022</v>
      </c>
      <c r="J168" s="124">
        <v>41180</v>
      </c>
      <c r="K168" s="126" t="s">
        <v>564</v>
      </c>
      <c r="L168" s="127" t="s">
        <v>564</v>
      </c>
      <c r="N168" s="129" t="s">
        <v>566</v>
      </c>
      <c r="O168" s="128" t="s">
        <v>917</v>
      </c>
      <c r="P168" s="129" t="s">
        <v>55</v>
      </c>
      <c r="Q168" s="111">
        <f t="shared" si="131"/>
        <v>159</v>
      </c>
      <c r="R168" s="111">
        <f t="shared" si="99"/>
        <v>159</v>
      </c>
      <c r="S168" s="129">
        <v>2</v>
      </c>
      <c r="T168" s="129">
        <v>4</v>
      </c>
      <c r="W168" s="111"/>
      <c r="AC168" s="130"/>
      <c r="AD168" s="130">
        <v>20512</v>
      </c>
      <c r="AE168" s="128" t="s">
        <v>46</v>
      </c>
      <c r="AF168" s="128" t="s">
        <v>69</v>
      </c>
      <c r="AG168" s="128" t="s">
        <v>874</v>
      </c>
      <c r="AH168" s="108" t="s">
        <v>31</v>
      </c>
      <c r="AI168" s="128" t="s">
        <v>59</v>
      </c>
      <c r="AJ168" s="129" t="s">
        <v>55</v>
      </c>
      <c r="AK168" s="129">
        <v>8</v>
      </c>
      <c r="AL168" s="3" t="s">
        <v>55</v>
      </c>
      <c r="AP168" s="129" t="s">
        <v>93</v>
      </c>
      <c r="AR168" s="128" t="s">
        <v>67</v>
      </c>
      <c r="AS168" s="129" t="s">
        <v>45</v>
      </c>
      <c r="AT168" s="129" t="s">
        <v>517</v>
      </c>
      <c r="BC168" s="129" t="s">
        <v>38</v>
      </c>
      <c r="BF168" s="111">
        <f t="shared" si="138"/>
        <v>159</v>
      </c>
      <c r="BG168" s="111">
        <f t="shared" si="139"/>
        <v>159</v>
      </c>
      <c r="BH168" s="111">
        <f t="shared" si="100"/>
        <v>159</v>
      </c>
      <c r="BI168" s="111">
        <f t="shared" si="101"/>
        <v>56.038251366120221</v>
      </c>
      <c r="BJ168" s="129">
        <f t="shared" si="109"/>
        <v>0</v>
      </c>
      <c r="BK168" s="129">
        <f t="shared" si="102"/>
        <v>0</v>
      </c>
      <c r="BL168" s="129" t="str">
        <f t="shared" si="103"/>
        <v>NO CONVICTION</v>
      </c>
      <c r="BM168" s="129" t="str">
        <f t="shared" si="110"/>
        <v>NONE</v>
      </c>
      <c r="BN168" s="129" t="s">
        <v>566</v>
      </c>
      <c r="BP168" s="137" t="str">
        <f t="shared" si="111"/>
        <v>NO CONVICTION</v>
      </c>
      <c r="BQ168" s="128" t="str">
        <f t="shared" si="112"/>
        <v>Y</v>
      </c>
      <c r="BR168" s="129" t="str">
        <f t="shared" si="113"/>
        <v>DETAINED</v>
      </c>
      <c r="BS168" s="129" t="str">
        <f t="shared" si="114"/>
        <v>DISPOSED</v>
      </c>
      <c r="BT168" s="129" t="str">
        <f t="shared" si="115"/>
        <v>Y</v>
      </c>
      <c r="BU168" s="109">
        <f>IFERROR(Q168/R168,BR168)</f>
        <v>1</v>
      </c>
      <c r="BV168" s="109">
        <f t="shared" si="117"/>
        <v>1</v>
      </c>
      <c r="BW168" s="109">
        <f t="shared" si="97"/>
        <v>0</v>
      </c>
      <c r="BX168" s="111">
        <f t="shared" si="118"/>
        <v>0</v>
      </c>
      <c r="BY168" s="129">
        <f t="shared" si="119"/>
        <v>-159</v>
      </c>
      <c r="BZ168" s="111">
        <f t="shared" si="120"/>
        <v>0</v>
      </c>
      <c r="CA168" s="138">
        <f t="shared" si="121"/>
        <v>159</v>
      </c>
      <c r="CB168" s="111" t="e">
        <f t="shared" si="140"/>
        <v>#VALUE!</v>
      </c>
      <c r="CC168" s="129">
        <f t="shared" ref="CC168:CC178" si="141">G168-I168+1</f>
        <v>159</v>
      </c>
      <c r="CD168" s="129">
        <f t="shared" ref="CD168:CD178" si="142">G168-J168</f>
        <v>0</v>
      </c>
      <c r="CE168" s="129">
        <f t="shared" si="122"/>
        <v>0</v>
      </c>
      <c r="CF168" s="129">
        <f t="shared" si="129"/>
        <v>158</v>
      </c>
      <c r="CG168" s="129" t="str">
        <f t="shared" si="123"/>
        <v>Y</v>
      </c>
      <c r="CI168" s="129" t="str">
        <f t="shared" si="124"/>
        <v>121-365 DAYS</v>
      </c>
      <c r="CJ168" s="137">
        <f t="shared" si="125"/>
        <v>6</v>
      </c>
      <c r="CK168" s="129" t="str">
        <f t="shared" si="126"/>
        <v>Booked</v>
      </c>
    </row>
    <row r="169" spans="1:89" ht="15.75" customHeight="1" x14ac:dyDescent="0.25">
      <c r="A169" s="111">
        <v>441</v>
      </c>
      <c r="B169" s="128" t="str">
        <f t="shared" si="104"/>
        <v>N</v>
      </c>
      <c r="C169" s="128" t="str">
        <f t="shared" si="105"/>
        <v>N</v>
      </c>
      <c r="D169" s="117">
        <v>645780</v>
      </c>
      <c r="E169" s="135">
        <f t="shared" si="106"/>
        <v>6</v>
      </c>
      <c r="F169" s="124">
        <v>40927</v>
      </c>
      <c r="G169" s="125">
        <v>41113</v>
      </c>
      <c r="H169" s="117">
        <v>645780</v>
      </c>
      <c r="I169" s="124">
        <v>41083</v>
      </c>
      <c r="J169" s="124">
        <v>41113</v>
      </c>
      <c r="K169" s="126">
        <v>10000</v>
      </c>
      <c r="L169" s="127" t="s">
        <v>570</v>
      </c>
      <c r="N169" s="129" t="str">
        <f t="shared" ref="N169:N176" si="143">IF(M169&gt;1/1/1,"Y","N")</f>
        <v>N</v>
      </c>
      <c r="O169" s="128" t="s">
        <v>917</v>
      </c>
      <c r="P169" s="129" t="s">
        <v>39</v>
      </c>
      <c r="Q169" s="111">
        <f t="shared" si="131"/>
        <v>31</v>
      </c>
      <c r="R169" s="111">
        <f t="shared" si="99"/>
        <v>187</v>
      </c>
      <c r="S169" s="129">
        <v>4</v>
      </c>
      <c r="T169" s="129">
        <v>4</v>
      </c>
      <c r="U169" s="129">
        <v>4</v>
      </c>
      <c r="W169" s="111"/>
      <c r="AC169" s="130"/>
      <c r="AD169" s="130">
        <v>24621</v>
      </c>
      <c r="AE169" s="128" t="s">
        <v>32</v>
      </c>
      <c r="AF169" s="128" t="s">
        <v>33</v>
      </c>
      <c r="AG169" s="128" t="s">
        <v>872</v>
      </c>
      <c r="AH169" s="108" t="s">
        <v>58</v>
      </c>
      <c r="AI169" s="128" t="s">
        <v>53</v>
      </c>
      <c r="AJ169" s="129" t="s">
        <v>89</v>
      </c>
      <c r="AK169" s="129">
        <v>3</v>
      </c>
      <c r="AL169" s="3" t="s">
        <v>362</v>
      </c>
      <c r="AM169" s="117">
        <v>5</v>
      </c>
      <c r="AP169" s="129" t="s">
        <v>108</v>
      </c>
      <c r="AR169" s="128" t="s">
        <v>44</v>
      </c>
      <c r="AS169" s="129" t="s">
        <v>61</v>
      </c>
      <c r="BC169" s="129" t="s">
        <v>38</v>
      </c>
      <c r="BF169" s="111">
        <f t="shared" si="138"/>
        <v>31</v>
      </c>
      <c r="BG169" s="111">
        <f t="shared" si="139"/>
        <v>31</v>
      </c>
      <c r="BH169" s="111">
        <f t="shared" si="100"/>
        <v>187</v>
      </c>
      <c r="BI169" s="111">
        <f t="shared" si="101"/>
        <v>44.551912568306008</v>
      </c>
      <c r="BJ169" s="129">
        <f t="shared" si="109"/>
        <v>0</v>
      </c>
      <c r="BK169" s="129">
        <f t="shared" si="102"/>
        <v>0</v>
      </c>
      <c r="BL169" s="129" t="str">
        <f t="shared" si="103"/>
        <v>CONVICTION</v>
      </c>
      <c r="BM169" s="129" t="str">
        <f t="shared" si="110"/>
        <v>NONE</v>
      </c>
      <c r="BN169" s="129" t="s">
        <v>566</v>
      </c>
      <c r="BP169" s="137" t="str">
        <f t="shared" si="111"/>
        <v>CONVICTION</v>
      </c>
      <c r="BQ169" s="128" t="str">
        <f t="shared" si="112"/>
        <v>Y</v>
      </c>
      <c r="BR169" s="129" t="str">
        <f t="shared" si="113"/>
        <v>DETAINED</v>
      </c>
      <c r="BS169" s="129" t="str">
        <f t="shared" si="114"/>
        <v>DISPOSED</v>
      </c>
      <c r="BT169" s="129" t="str">
        <f t="shared" si="115"/>
        <v>Y</v>
      </c>
      <c r="BU169" s="109">
        <f t="shared" si="116"/>
        <v>0.16577540106951871</v>
      </c>
      <c r="BV169" s="109">
        <f t="shared" si="117"/>
        <v>1</v>
      </c>
      <c r="BW169" s="109">
        <f t="shared" si="97"/>
        <v>0.83422459893048129</v>
      </c>
      <c r="BX169" s="111">
        <f t="shared" si="118"/>
        <v>0</v>
      </c>
      <c r="BY169" s="129">
        <f t="shared" si="119"/>
        <v>-31</v>
      </c>
      <c r="BZ169" s="111">
        <f t="shared" si="120"/>
        <v>0</v>
      </c>
      <c r="CA169" s="138">
        <f t="shared" si="121"/>
        <v>31</v>
      </c>
      <c r="CB169" s="111" t="e">
        <f t="shared" si="140"/>
        <v>#VALUE!</v>
      </c>
      <c r="CC169" s="129">
        <f t="shared" si="141"/>
        <v>31</v>
      </c>
      <c r="CD169" s="129">
        <f t="shared" si="142"/>
        <v>0</v>
      </c>
      <c r="CE169" s="129">
        <f t="shared" si="122"/>
        <v>0</v>
      </c>
      <c r="CF169" s="129">
        <f t="shared" si="129"/>
        <v>30</v>
      </c>
      <c r="CG169" s="129" t="str">
        <f t="shared" si="123"/>
        <v>Y</v>
      </c>
      <c r="CI169" s="129" t="str">
        <f t="shared" si="124"/>
        <v>31-60 DAYS</v>
      </c>
      <c r="CJ169" s="137">
        <f t="shared" si="125"/>
        <v>3</v>
      </c>
      <c r="CK169" s="129" t="str">
        <f t="shared" si="126"/>
        <v>Booked</v>
      </c>
    </row>
    <row r="170" spans="1:89" ht="15" customHeight="1" x14ac:dyDescent="0.25">
      <c r="A170" s="111">
        <v>2208</v>
      </c>
      <c r="B170" s="128" t="str">
        <f t="shared" si="104"/>
        <v>N</v>
      </c>
      <c r="C170" s="128" t="str">
        <f t="shared" si="105"/>
        <v>Y</v>
      </c>
      <c r="D170" s="117">
        <v>646800</v>
      </c>
      <c r="E170" s="135">
        <f t="shared" si="106"/>
        <v>2</v>
      </c>
      <c r="F170" s="124">
        <v>40991</v>
      </c>
      <c r="G170" s="125">
        <v>41037</v>
      </c>
      <c r="H170" s="117">
        <v>646800</v>
      </c>
      <c r="I170" s="124">
        <v>40992</v>
      </c>
      <c r="J170" s="124">
        <v>40994</v>
      </c>
      <c r="K170" s="126">
        <v>5000</v>
      </c>
      <c r="L170" s="127" t="s">
        <v>569</v>
      </c>
      <c r="M170" s="125">
        <v>40994</v>
      </c>
      <c r="N170" s="129" t="str">
        <f t="shared" si="143"/>
        <v>Y</v>
      </c>
      <c r="O170" s="112" t="s">
        <v>160</v>
      </c>
      <c r="P170" s="129" t="s">
        <v>589</v>
      </c>
      <c r="Q170" s="111">
        <v>19</v>
      </c>
      <c r="R170" s="111">
        <f t="shared" si="99"/>
        <v>47</v>
      </c>
      <c r="S170" s="129">
        <v>0</v>
      </c>
      <c r="T170" s="129">
        <v>3</v>
      </c>
      <c r="W170" s="111"/>
      <c r="AC170" s="130"/>
      <c r="AD170" s="130">
        <v>21165</v>
      </c>
      <c r="AE170" s="128" t="s">
        <v>32</v>
      </c>
      <c r="AF170" s="128" t="s">
        <v>33</v>
      </c>
      <c r="AG170" s="128" t="s">
        <v>872</v>
      </c>
      <c r="AH170" s="108" t="s">
        <v>58</v>
      </c>
      <c r="AI170" s="128" t="s">
        <v>83</v>
      </c>
      <c r="AJ170" s="129" t="s">
        <v>48</v>
      </c>
      <c r="AK170" s="129">
        <v>5</v>
      </c>
      <c r="AL170" s="3" t="s">
        <v>48</v>
      </c>
      <c r="AP170" s="129" t="s">
        <v>43</v>
      </c>
      <c r="AR170" s="128" t="s">
        <v>44</v>
      </c>
      <c r="AS170" s="129" t="s">
        <v>45</v>
      </c>
      <c r="AU170" s="3" t="s">
        <v>759</v>
      </c>
      <c r="AX170" s="32" t="s">
        <v>88</v>
      </c>
      <c r="BC170" s="129" t="s">
        <v>38</v>
      </c>
      <c r="BF170" s="111">
        <v>19</v>
      </c>
      <c r="BG170" s="111">
        <f t="shared" si="139"/>
        <v>46</v>
      </c>
      <c r="BH170" s="111">
        <f t="shared" si="100"/>
        <v>47</v>
      </c>
      <c r="BI170" s="111">
        <f t="shared" si="101"/>
        <v>54.169398907103826</v>
      </c>
      <c r="BJ170" s="129">
        <f>(G170-J170)+(M170-G170)</f>
        <v>0</v>
      </c>
      <c r="BK170" s="129">
        <f t="shared" si="102"/>
        <v>-43</v>
      </c>
      <c r="BL170" s="129" t="str">
        <f t="shared" si="103"/>
        <v>DEFERRED</v>
      </c>
      <c r="BM170" s="129" t="s">
        <v>160</v>
      </c>
      <c r="BN170" s="129" t="s">
        <v>88</v>
      </c>
      <c r="BP170" s="137" t="str">
        <f t="shared" si="111"/>
        <v>DEFERRED</v>
      </c>
      <c r="BQ170" s="128" t="str">
        <f t="shared" si="112"/>
        <v>Y</v>
      </c>
      <c r="BR170" s="129" t="s">
        <v>574</v>
      </c>
      <c r="BS170" s="129" t="str">
        <f t="shared" si="114"/>
        <v>DISPOSED</v>
      </c>
      <c r="BT170" s="129" t="str">
        <f t="shared" si="115"/>
        <v>N</v>
      </c>
      <c r="BU170" s="109">
        <f t="shared" si="116"/>
        <v>0.40425531914893614</v>
      </c>
      <c r="BV170" s="109">
        <f t="shared" si="117"/>
        <v>6.5217391304347824E-2</v>
      </c>
      <c r="BW170" s="109">
        <f t="shared" si="97"/>
        <v>-0.3390379278445883</v>
      </c>
      <c r="BX170" s="111">
        <f t="shared" si="118"/>
        <v>0</v>
      </c>
      <c r="BY170" s="129">
        <f t="shared" si="119"/>
        <v>-3</v>
      </c>
      <c r="BZ170" s="111">
        <f t="shared" si="120"/>
        <v>16</v>
      </c>
      <c r="CA170" s="138">
        <f t="shared" si="121"/>
        <v>46</v>
      </c>
      <c r="CB170" s="111">
        <v>19</v>
      </c>
      <c r="CC170" s="129">
        <f t="shared" si="141"/>
        <v>46</v>
      </c>
      <c r="CD170" s="129">
        <f t="shared" si="142"/>
        <v>43</v>
      </c>
      <c r="CE170" s="129">
        <f t="shared" si="122"/>
        <v>43</v>
      </c>
      <c r="CF170" s="129">
        <f>I170-J170</f>
        <v>-2</v>
      </c>
      <c r="CG170" s="129" t="str">
        <f t="shared" si="123"/>
        <v>Y</v>
      </c>
      <c r="CI170" s="129" t="str">
        <f t="shared" si="124"/>
        <v>11-30 DAYS</v>
      </c>
      <c r="CJ170" s="137">
        <f t="shared" si="125"/>
        <v>2</v>
      </c>
      <c r="CK170" s="129" t="str">
        <f t="shared" si="126"/>
        <v>Booked</v>
      </c>
    </row>
    <row r="171" spans="1:89" ht="15.75" customHeight="1" x14ac:dyDescent="0.25">
      <c r="A171" s="111">
        <v>1789</v>
      </c>
      <c r="B171" s="128" t="str">
        <f t="shared" si="104"/>
        <v>N</v>
      </c>
      <c r="C171" s="128" t="str">
        <f t="shared" si="105"/>
        <v>N</v>
      </c>
      <c r="D171" s="117">
        <v>646949</v>
      </c>
      <c r="E171" s="135">
        <f t="shared" si="106"/>
        <v>5</v>
      </c>
      <c r="F171" s="124">
        <v>40975</v>
      </c>
      <c r="G171" s="125">
        <v>40984</v>
      </c>
      <c r="H171" s="117">
        <v>646949</v>
      </c>
      <c r="I171" s="124">
        <v>40982</v>
      </c>
      <c r="J171" s="124">
        <v>40984</v>
      </c>
      <c r="K171" s="126">
        <v>5000</v>
      </c>
      <c r="L171" s="127" t="s">
        <v>569</v>
      </c>
      <c r="N171" s="129" t="str">
        <f t="shared" si="143"/>
        <v>N</v>
      </c>
      <c r="O171" s="128" t="s">
        <v>917</v>
      </c>
      <c r="P171" s="129" t="s">
        <v>39</v>
      </c>
      <c r="Q171" s="111">
        <f t="shared" si="131"/>
        <v>3</v>
      </c>
      <c r="R171" s="111">
        <f t="shared" si="99"/>
        <v>10</v>
      </c>
      <c r="S171" s="129">
        <v>4</v>
      </c>
      <c r="T171" s="129">
        <v>3</v>
      </c>
      <c r="U171" s="129">
        <v>1</v>
      </c>
      <c r="V171" s="117">
        <v>1</v>
      </c>
      <c r="W171" s="111"/>
      <c r="AC171" s="130"/>
      <c r="AD171" s="130">
        <v>24007</v>
      </c>
      <c r="AE171" s="128" t="s">
        <v>32</v>
      </c>
      <c r="AF171" s="128" t="s">
        <v>33</v>
      </c>
      <c r="AG171" s="128" t="s">
        <v>872</v>
      </c>
      <c r="AH171" s="108" t="s">
        <v>58</v>
      </c>
      <c r="AI171" s="128" t="s">
        <v>65</v>
      </c>
      <c r="AJ171" s="129" t="s">
        <v>89</v>
      </c>
      <c r="AK171" s="129">
        <v>3</v>
      </c>
      <c r="AL171" s="3" t="s">
        <v>992</v>
      </c>
      <c r="AN171" s="117">
        <v>10</v>
      </c>
      <c r="AP171" s="129" t="s">
        <v>212</v>
      </c>
      <c r="AR171" s="128" t="s">
        <v>67</v>
      </c>
      <c r="AS171" s="129" t="s">
        <v>82</v>
      </c>
      <c r="BC171" s="129" t="s">
        <v>38</v>
      </c>
      <c r="BF171" s="111">
        <f t="shared" si="138"/>
        <v>3</v>
      </c>
      <c r="BG171" s="111">
        <f t="shared" si="139"/>
        <v>3</v>
      </c>
      <c r="BH171" s="111">
        <f t="shared" si="100"/>
        <v>10</v>
      </c>
      <c r="BI171" s="111">
        <f t="shared" si="101"/>
        <v>46.360655737704917</v>
      </c>
      <c r="BJ171" s="129">
        <f t="shared" si="109"/>
        <v>0</v>
      </c>
      <c r="BK171" s="129">
        <f t="shared" si="102"/>
        <v>0</v>
      </c>
      <c r="BL171" s="129" t="str">
        <f t="shared" si="103"/>
        <v>CONVICTION</v>
      </c>
      <c r="BM171" s="129" t="str">
        <f t="shared" si="110"/>
        <v>NONE</v>
      </c>
      <c r="BN171" s="129" t="s">
        <v>566</v>
      </c>
      <c r="BP171" s="137" t="str">
        <f t="shared" si="111"/>
        <v>CONVICTION</v>
      </c>
      <c r="BQ171" s="128" t="str">
        <f t="shared" si="112"/>
        <v>Y</v>
      </c>
      <c r="BR171" s="129" t="str">
        <f t="shared" si="113"/>
        <v>DETAINED</v>
      </c>
      <c r="BS171" s="129" t="str">
        <f t="shared" si="114"/>
        <v>DISPOSED</v>
      </c>
      <c r="BT171" s="129" t="str">
        <f t="shared" si="115"/>
        <v>Y</v>
      </c>
      <c r="BU171" s="109">
        <f t="shared" si="116"/>
        <v>0.3</v>
      </c>
      <c r="BV171" s="109">
        <f t="shared" si="117"/>
        <v>1</v>
      </c>
      <c r="BW171" s="109">
        <f t="shared" si="97"/>
        <v>0.7</v>
      </c>
      <c r="BX171" s="111">
        <f t="shared" si="118"/>
        <v>0</v>
      </c>
      <c r="BY171" s="129">
        <f t="shared" si="119"/>
        <v>-3</v>
      </c>
      <c r="BZ171" s="111">
        <f t="shared" si="120"/>
        <v>0</v>
      </c>
      <c r="CA171" s="138">
        <f t="shared" si="121"/>
        <v>3</v>
      </c>
      <c r="CB171" s="111" t="e">
        <f t="shared" si="140"/>
        <v>#VALUE!</v>
      </c>
      <c r="CC171" s="129">
        <f t="shared" si="141"/>
        <v>3</v>
      </c>
      <c r="CD171" s="129">
        <f t="shared" si="142"/>
        <v>0</v>
      </c>
      <c r="CE171" s="129">
        <f t="shared" si="122"/>
        <v>0</v>
      </c>
      <c r="CF171" s="129">
        <f t="shared" ref="CF171:CF182" si="144">J171-I171</f>
        <v>2</v>
      </c>
      <c r="CG171" s="129" t="str">
        <f t="shared" si="123"/>
        <v>Y</v>
      </c>
      <c r="CI171" s="129" t="str">
        <f t="shared" si="124"/>
        <v>0-10 DAYS</v>
      </c>
      <c r="CJ171" s="137">
        <f t="shared" si="125"/>
        <v>1</v>
      </c>
      <c r="CK171" s="129" t="str">
        <f t="shared" si="126"/>
        <v>Booked</v>
      </c>
    </row>
    <row r="172" spans="1:89" ht="15.75" customHeight="1" x14ac:dyDescent="0.25">
      <c r="A172" s="111">
        <v>1024</v>
      </c>
      <c r="B172" s="128" t="str">
        <f t="shared" si="104"/>
        <v>N</v>
      </c>
      <c r="C172" s="128" t="str">
        <f t="shared" si="105"/>
        <v>N</v>
      </c>
      <c r="D172" s="117">
        <v>651447</v>
      </c>
      <c r="E172" s="135">
        <f t="shared" si="106"/>
        <v>2</v>
      </c>
      <c r="F172" s="124">
        <v>40947</v>
      </c>
      <c r="G172" s="125">
        <v>41039</v>
      </c>
      <c r="H172" s="117">
        <v>651447</v>
      </c>
      <c r="I172" s="124">
        <v>40947</v>
      </c>
      <c r="J172" s="124">
        <v>41039</v>
      </c>
      <c r="K172" s="126">
        <v>15000</v>
      </c>
      <c r="L172" s="127" t="s">
        <v>571</v>
      </c>
      <c r="N172" s="129" t="str">
        <f t="shared" si="143"/>
        <v>N</v>
      </c>
      <c r="O172" s="128" t="s">
        <v>917</v>
      </c>
      <c r="P172" s="129" t="s">
        <v>589</v>
      </c>
      <c r="Q172" s="111">
        <f t="shared" ref="Q172:Q203" si="145">BF172</f>
        <v>93</v>
      </c>
      <c r="R172" s="111">
        <f t="shared" si="99"/>
        <v>93</v>
      </c>
      <c r="S172" s="129">
        <v>4</v>
      </c>
      <c r="T172" s="129">
        <v>3</v>
      </c>
      <c r="U172" s="129">
        <v>2</v>
      </c>
      <c r="W172" s="111"/>
      <c r="AC172" s="130"/>
      <c r="AD172" s="130">
        <v>20004</v>
      </c>
      <c r="AE172" s="128" t="s">
        <v>32</v>
      </c>
      <c r="AF172" s="128" t="s">
        <v>33</v>
      </c>
      <c r="AG172" s="128" t="s">
        <v>872</v>
      </c>
      <c r="AH172" s="108" t="s">
        <v>31</v>
      </c>
      <c r="AI172" s="128" t="s">
        <v>70</v>
      </c>
      <c r="AJ172" s="129" t="s">
        <v>48</v>
      </c>
      <c r="AK172" s="129">
        <v>10</v>
      </c>
      <c r="AL172" s="3" t="s">
        <v>48</v>
      </c>
      <c r="AP172" s="129" t="s">
        <v>43</v>
      </c>
      <c r="AR172" s="128" t="s">
        <v>44</v>
      </c>
      <c r="AS172" s="129" t="s">
        <v>45</v>
      </c>
      <c r="BC172" s="129" t="s">
        <v>38</v>
      </c>
      <c r="BF172" s="111">
        <f t="shared" si="138"/>
        <v>93</v>
      </c>
      <c r="BG172" s="111">
        <f t="shared" si="139"/>
        <v>93</v>
      </c>
      <c r="BH172" s="111">
        <f t="shared" si="100"/>
        <v>93</v>
      </c>
      <c r="BI172" s="111">
        <f t="shared" si="101"/>
        <v>57.221311475409834</v>
      </c>
      <c r="BJ172" s="129">
        <f t="shared" si="109"/>
        <v>0</v>
      </c>
      <c r="BK172" s="129">
        <f t="shared" si="102"/>
        <v>0</v>
      </c>
      <c r="BL172" s="129" t="str">
        <f t="shared" si="103"/>
        <v>DEFERRED</v>
      </c>
      <c r="BM172" s="129" t="str">
        <f t="shared" si="110"/>
        <v>NONE</v>
      </c>
      <c r="BN172" s="129" t="s">
        <v>566</v>
      </c>
      <c r="BP172" s="137" t="str">
        <f t="shared" si="111"/>
        <v>DEFERRED</v>
      </c>
      <c r="BQ172" s="128" t="str">
        <f t="shared" si="112"/>
        <v>Y</v>
      </c>
      <c r="BR172" s="129" t="str">
        <f t="shared" si="113"/>
        <v>DETAINED</v>
      </c>
      <c r="BS172" s="129" t="str">
        <f t="shared" si="114"/>
        <v>DISPOSED</v>
      </c>
      <c r="BT172" s="129" t="str">
        <f t="shared" si="115"/>
        <v>Y</v>
      </c>
      <c r="BU172" s="109">
        <f t="shared" si="116"/>
        <v>1</v>
      </c>
      <c r="BV172" s="109">
        <f t="shared" si="117"/>
        <v>1</v>
      </c>
      <c r="BW172" s="109">
        <f t="shared" si="97"/>
        <v>0</v>
      </c>
      <c r="BX172" s="111">
        <f t="shared" si="118"/>
        <v>0</v>
      </c>
      <c r="BY172" s="129">
        <f t="shared" si="119"/>
        <v>-93</v>
      </c>
      <c r="BZ172" s="111">
        <f t="shared" si="120"/>
        <v>0</v>
      </c>
      <c r="CA172" s="138">
        <f t="shared" si="121"/>
        <v>93</v>
      </c>
      <c r="CB172" s="111" t="e">
        <f t="shared" si="140"/>
        <v>#VALUE!</v>
      </c>
      <c r="CC172" s="129">
        <f t="shared" si="141"/>
        <v>93</v>
      </c>
      <c r="CD172" s="129">
        <f t="shared" si="142"/>
        <v>0</v>
      </c>
      <c r="CE172" s="129">
        <f t="shared" si="122"/>
        <v>0</v>
      </c>
      <c r="CF172" s="129">
        <f t="shared" si="144"/>
        <v>92</v>
      </c>
      <c r="CG172" s="129" t="str">
        <f t="shared" si="123"/>
        <v>Y</v>
      </c>
      <c r="CI172" s="129" t="str">
        <f t="shared" si="124"/>
        <v>91-120 DAYS</v>
      </c>
      <c r="CJ172" s="137">
        <f t="shared" si="125"/>
        <v>0</v>
      </c>
      <c r="CK172" s="129" t="str">
        <f t="shared" si="126"/>
        <v>Booked</v>
      </c>
    </row>
    <row r="173" spans="1:89" ht="15" customHeight="1" x14ac:dyDescent="0.25">
      <c r="A173" s="111">
        <v>2956</v>
      </c>
      <c r="B173" s="128" t="str">
        <f t="shared" si="104"/>
        <v>N</v>
      </c>
      <c r="C173" s="128" t="str">
        <f t="shared" si="105"/>
        <v>N</v>
      </c>
      <c r="D173" s="117">
        <v>655707</v>
      </c>
      <c r="E173" s="135">
        <f t="shared" si="106"/>
        <v>5</v>
      </c>
      <c r="F173" s="124">
        <v>41018</v>
      </c>
      <c r="G173" s="125">
        <v>41050</v>
      </c>
      <c r="H173" s="117">
        <v>655707</v>
      </c>
      <c r="I173" s="124">
        <v>41018</v>
      </c>
      <c r="J173" s="124">
        <v>41050</v>
      </c>
      <c r="K173" s="126">
        <v>15000</v>
      </c>
      <c r="L173" s="127" t="s">
        <v>571</v>
      </c>
      <c r="N173" s="129" t="str">
        <f t="shared" si="143"/>
        <v>N</v>
      </c>
      <c r="O173" s="128" t="s">
        <v>917</v>
      </c>
      <c r="P173" s="129" t="s">
        <v>39</v>
      </c>
      <c r="Q173" s="111">
        <f t="shared" si="145"/>
        <v>33</v>
      </c>
      <c r="R173" s="111">
        <f t="shared" si="99"/>
        <v>33</v>
      </c>
      <c r="S173" s="32">
        <v>9</v>
      </c>
      <c r="T173" s="32">
        <v>7</v>
      </c>
      <c r="U173" s="32">
        <v>7</v>
      </c>
      <c r="V173" s="114"/>
      <c r="W173" s="111"/>
      <c r="AC173" s="130"/>
      <c r="AD173" s="130">
        <v>23051</v>
      </c>
      <c r="AE173" s="128" t="s">
        <v>32</v>
      </c>
      <c r="AF173" s="128" t="s">
        <v>69</v>
      </c>
      <c r="AG173" s="128" t="s">
        <v>874</v>
      </c>
      <c r="AH173" s="108" t="s">
        <v>58</v>
      </c>
      <c r="AI173" s="128" t="s">
        <v>87</v>
      </c>
      <c r="AJ173" s="129" t="s">
        <v>89</v>
      </c>
      <c r="AK173" s="129">
        <v>4</v>
      </c>
      <c r="AL173" s="3" t="s">
        <v>992</v>
      </c>
      <c r="AN173" s="117">
        <v>7</v>
      </c>
      <c r="AP173" s="129" t="s">
        <v>43</v>
      </c>
      <c r="AR173" s="128" t="s">
        <v>44</v>
      </c>
      <c r="AS173" s="129" t="s">
        <v>45</v>
      </c>
      <c r="BC173" s="129" t="s">
        <v>38</v>
      </c>
      <c r="BF173" s="111">
        <f t="shared" si="138"/>
        <v>33</v>
      </c>
      <c r="BG173" s="111">
        <f t="shared" si="139"/>
        <v>33</v>
      </c>
      <c r="BH173" s="111">
        <f t="shared" si="100"/>
        <v>33</v>
      </c>
      <c r="BI173" s="111">
        <f t="shared" si="101"/>
        <v>49.090163934426229</v>
      </c>
      <c r="BJ173" s="129">
        <f t="shared" si="109"/>
        <v>0</v>
      </c>
      <c r="BK173" s="129">
        <f t="shared" si="102"/>
        <v>0</v>
      </c>
      <c r="BL173" s="129" t="str">
        <f t="shared" si="103"/>
        <v>CONVICTION</v>
      </c>
      <c r="BM173" s="129" t="str">
        <f t="shared" si="110"/>
        <v>NONE</v>
      </c>
      <c r="BN173" s="129" t="s">
        <v>566</v>
      </c>
      <c r="BP173" s="137" t="str">
        <f t="shared" si="111"/>
        <v>CONVICTION</v>
      </c>
      <c r="BQ173" s="128" t="str">
        <f t="shared" si="112"/>
        <v>Y</v>
      </c>
      <c r="BR173" s="129" t="str">
        <f t="shared" si="113"/>
        <v>DETAINED</v>
      </c>
      <c r="BS173" s="129" t="str">
        <f t="shared" si="114"/>
        <v>DISPOSED</v>
      </c>
      <c r="BT173" s="129" t="str">
        <f t="shared" si="115"/>
        <v>Y</v>
      </c>
      <c r="BU173" s="109">
        <f t="shared" si="116"/>
        <v>1</v>
      </c>
      <c r="BV173" s="109">
        <f t="shared" si="117"/>
        <v>1</v>
      </c>
      <c r="BW173" s="109">
        <f t="shared" si="97"/>
        <v>0</v>
      </c>
      <c r="BX173" s="111">
        <f t="shared" si="118"/>
        <v>0</v>
      </c>
      <c r="BY173" s="129">
        <f t="shared" si="119"/>
        <v>-33</v>
      </c>
      <c r="BZ173" s="111">
        <f t="shared" si="120"/>
        <v>0</v>
      </c>
      <c r="CA173" s="138">
        <f t="shared" si="121"/>
        <v>33</v>
      </c>
      <c r="CB173" s="111" t="e">
        <f t="shared" si="140"/>
        <v>#VALUE!</v>
      </c>
      <c r="CC173" s="129">
        <f t="shared" si="141"/>
        <v>33</v>
      </c>
      <c r="CD173" s="129">
        <f t="shared" si="142"/>
        <v>0</v>
      </c>
      <c r="CE173" s="129">
        <f t="shared" si="122"/>
        <v>0</v>
      </c>
      <c r="CF173" s="129">
        <f t="shared" si="144"/>
        <v>32</v>
      </c>
      <c r="CG173" s="129" t="str">
        <f t="shared" si="123"/>
        <v>Y</v>
      </c>
      <c r="CI173" s="129" t="str">
        <f t="shared" si="124"/>
        <v>31-60 DAYS</v>
      </c>
      <c r="CJ173" s="137">
        <f t="shared" si="125"/>
        <v>3</v>
      </c>
      <c r="CK173" s="129" t="str">
        <f t="shared" si="126"/>
        <v>Booked</v>
      </c>
    </row>
    <row r="174" spans="1:89" ht="15.75" customHeight="1" x14ac:dyDescent="0.25">
      <c r="A174" s="111">
        <v>1181</v>
      </c>
      <c r="B174" s="128" t="str">
        <f t="shared" si="104"/>
        <v>N</v>
      </c>
      <c r="C174" s="128" t="str">
        <f t="shared" si="105"/>
        <v>N</v>
      </c>
      <c r="D174" s="117">
        <v>656870</v>
      </c>
      <c r="E174" s="135">
        <f t="shared" si="106"/>
        <v>5</v>
      </c>
      <c r="F174" s="124">
        <v>40952</v>
      </c>
      <c r="G174" s="125">
        <v>40953</v>
      </c>
      <c r="H174" s="117">
        <v>656870</v>
      </c>
      <c r="I174" s="124">
        <v>40952</v>
      </c>
      <c r="J174" s="124">
        <v>40953</v>
      </c>
      <c r="K174" s="126">
        <v>15000</v>
      </c>
      <c r="L174" s="127" t="s">
        <v>571</v>
      </c>
      <c r="N174" s="129" t="str">
        <f t="shared" si="143"/>
        <v>N</v>
      </c>
      <c r="O174" s="128" t="s">
        <v>917</v>
      </c>
      <c r="P174" s="129" t="s">
        <v>39</v>
      </c>
      <c r="Q174" s="111">
        <f t="shared" si="145"/>
        <v>2</v>
      </c>
      <c r="R174" s="111">
        <f t="shared" si="99"/>
        <v>2</v>
      </c>
      <c r="S174" s="129">
        <v>2</v>
      </c>
      <c r="T174" s="129">
        <v>4</v>
      </c>
      <c r="U174" s="129">
        <v>2</v>
      </c>
      <c r="W174" s="111"/>
      <c r="AC174" s="130"/>
      <c r="AD174" s="130">
        <v>24160</v>
      </c>
      <c r="AE174" s="128" t="s">
        <v>32</v>
      </c>
      <c r="AF174" s="128" t="s">
        <v>33</v>
      </c>
      <c r="AG174" s="128" t="s">
        <v>872</v>
      </c>
      <c r="AH174" s="108" t="s">
        <v>31</v>
      </c>
      <c r="AI174" s="128" t="s">
        <v>95</v>
      </c>
      <c r="AJ174" s="129" t="s">
        <v>89</v>
      </c>
      <c r="AK174" s="129">
        <v>1</v>
      </c>
      <c r="AL174" s="3" t="s">
        <v>992</v>
      </c>
      <c r="AN174" s="117">
        <v>6</v>
      </c>
      <c r="AP174" s="129" t="s">
        <v>43</v>
      </c>
      <c r="AR174" s="128" t="s">
        <v>44</v>
      </c>
      <c r="AS174" s="129" t="s">
        <v>45</v>
      </c>
      <c r="BC174" s="129" t="s">
        <v>38</v>
      </c>
      <c r="BF174" s="111">
        <f t="shared" si="138"/>
        <v>2</v>
      </c>
      <c r="BG174" s="111">
        <f t="shared" si="139"/>
        <v>2</v>
      </c>
      <c r="BH174" s="111">
        <f t="shared" si="100"/>
        <v>2</v>
      </c>
      <c r="BI174" s="111">
        <f t="shared" si="101"/>
        <v>45.879781420765028</v>
      </c>
      <c r="BJ174" s="129">
        <f t="shared" si="109"/>
        <v>0</v>
      </c>
      <c r="BK174" s="129">
        <f t="shared" si="102"/>
        <v>0</v>
      </c>
      <c r="BL174" s="129" t="str">
        <f t="shared" si="103"/>
        <v>CONVICTION</v>
      </c>
      <c r="BM174" s="129" t="str">
        <f t="shared" si="110"/>
        <v>NONE</v>
      </c>
      <c r="BN174" s="129" t="s">
        <v>566</v>
      </c>
      <c r="BP174" s="137" t="str">
        <f t="shared" si="111"/>
        <v>CONVICTION</v>
      </c>
      <c r="BQ174" s="128" t="str">
        <f t="shared" si="112"/>
        <v>Y</v>
      </c>
      <c r="BR174" s="129" t="str">
        <f t="shared" si="113"/>
        <v>DETAINED</v>
      </c>
      <c r="BS174" s="129" t="str">
        <f t="shared" si="114"/>
        <v>DISPOSED</v>
      </c>
      <c r="BT174" s="129" t="str">
        <f t="shared" si="115"/>
        <v>Y</v>
      </c>
      <c r="BU174" s="109">
        <f t="shared" si="116"/>
        <v>1</v>
      </c>
      <c r="BV174" s="109">
        <f t="shared" si="117"/>
        <v>1</v>
      </c>
      <c r="BW174" s="109">
        <f t="shared" si="97"/>
        <v>0</v>
      </c>
      <c r="BX174" s="111">
        <f t="shared" si="118"/>
        <v>0</v>
      </c>
      <c r="BY174" s="129">
        <f t="shared" si="119"/>
        <v>-2</v>
      </c>
      <c r="BZ174" s="111">
        <f t="shared" si="120"/>
        <v>0</v>
      </c>
      <c r="CA174" s="138">
        <f t="shared" si="121"/>
        <v>2</v>
      </c>
      <c r="CB174" s="111" t="e">
        <f t="shared" si="140"/>
        <v>#VALUE!</v>
      </c>
      <c r="CC174" s="129">
        <f t="shared" si="141"/>
        <v>2</v>
      </c>
      <c r="CD174" s="129">
        <f t="shared" si="142"/>
        <v>0</v>
      </c>
      <c r="CE174" s="129">
        <f t="shared" si="122"/>
        <v>0</v>
      </c>
      <c r="CF174" s="129">
        <f t="shared" si="144"/>
        <v>1</v>
      </c>
      <c r="CG174" s="129" t="str">
        <f t="shared" si="123"/>
        <v>Y</v>
      </c>
      <c r="CI174" s="129" t="str">
        <f t="shared" si="124"/>
        <v>0-10 DAYS</v>
      </c>
      <c r="CJ174" s="137">
        <f t="shared" si="125"/>
        <v>1</v>
      </c>
      <c r="CK174" s="129" t="str">
        <f t="shared" si="126"/>
        <v>Booked</v>
      </c>
    </row>
    <row r="175" spans="1:89" ht="15.75" customHeight="1" x14ac:dyDescent="0.25">
      <c r="A175" s="111">
        <v>1527</v>
      </c>
      <c r="B175" s="128" t="str">
        <f t="shared" si="104"/>
        <v>N</v>
      </c>
      <c r="C175" s="128" t="str">
        <f t="shared" si="105"/>
        <v>N</v>
      </c>
      <c r="D175" s="117">
        <v>657428</v>
      </c>
      <c r="E175" s="135">
        <f t="shared" si="106"/>
        <v>5</v>
      </c>
      <c r="F175" s="124">
        <v>40965</v>
      </c>
      <c r="G175" s="125">
        <v>41012</v>
      </c>
      <c r="H175" s="117">
        <v>657428</v>
      </c>
      <c r="I175" s="124">
        <v>40965</v>
      </c>
      <c r="J175" s="124">
        <v>41012</v>
      </c>
      <c r="K175" s="126">
        <v>15000</v>
      </c>
      <c r="L175" s="127" t="s">
        <v>571</v>
      </c>
      <c r="N175" s="129" t="str">
        <f t="shared" si="143"/>
        <v>N</v>
      </c>
      <c r="O175" s="128" t="s">
        <v>917</v>
      </c>
      <c r="P175" s="129" t="s">
        <v>39</v>
      </c>
      <c r="Q175" s="111">
        <f t="shared" si="145"/>
        <v>48</v>
      </c>
      <c r="R175" s="111">
        <f t="shared" si="99"/>
        <v>48</v>
      </c>
      <c r="S175" s="129">
        <v>7</v>
      </c>
      <c r="T175" s="129">
        <v>4</v>
      </c>
      <c r="U175" s="129">
        <v>2</v>
      </c>
      <c r="W175" s="111"/>
      <c r="AC175" s="130"/>
      <c r="AD175" s="130">
        <v>22909</v>
      </c>
      <c r="AE175" s="128" t="s">
        <v>46</v>
      </c>
      <c r="AF175" s="128" t="s">
        <v>33</v>
      </c>
      <c r="AG175" s="128" t="s">
        <v>872</v>
      </c>
      <c r="AH175" s="108" t="s">
        <v>58</v>
      </c>
      <c r="AI175" s="128" t="s">
        <v>53</v>
      </c>
      <c r="AJ175" s="129" t="s">
        <v>89</v>
      </c>
      <c r="AK175" s="129">
        <v>3</v>
      </c>
      <c r="AL175" s="3" t="s">
        <v>992</v>
      </c>
      <c r="AN175" s="117">
        <v>9</v>
      </c>
      <c r="AP175" s="129" t="s">
        <v>60</v>
      </c>
      <c r="AR175" s="128" t="s">
        <v>44</v>
      </c>
      <c r="AS175" s="129" t="s">
        <v>61</v>
      </c>
      <c r="BC175" s="129" t="s">
        <v>52</v>
      </c>
      <c r="BF175" s="111">
        <f t="shared" si="138"/>
        <v>48</v>
      </c>
      <c r="BG175" s="111">
        <f t="shared" si="139"/>
        <v>48</v>
      </c>
      <c r="BH175" s="111">
        <f t="shared" si="100"/>
        <v>48</v>
      </c>
      <c r="BI175" s="111">
        <f t="shared" si="101"/>
        <v>49.333333333333336</v>
      </c>
      <c r="BJ175" s="129">
        <f t="shared" si="109"/>
        <v>0</v>
      </c>
      <c r="BK175" s="129">
        <f t="shared" si="102"/>
        <v>0</v>
      </c>
      <c r="BL175" s="129" t="str">
        <f t="shared" si="103"/>
        <v>CONVICTION</v>
      </c>
      <c r="BM175" s="129" t="str">
        <f t="shared" si="110"/>
        <v>NONE</v>
      </c>
      <c r="BN175" s="129" t="s">
        <v>566</v>
      </c>
      <c r="BP175" s="137" t="str">
        <f t="shared" si="111"/>
        <v>CONVICTION</v>
      </c>
      <c r="BQ175" s="128" t="str">
        <f t="shared" si="112"/>
        <v>Y</v>
      </c>
      <c r="BR175" s="129" t="str">
        <f t="shared" si="113"/>
        <v>DETAINED</v>
      </c>
      <c r="BS175" s="129" t="str">
        <f t="shared" si="114"/>
        <v>DISPOSED</v>
      </c>
      <c r="BT175" s="129" t="str">
        <f t="shared" si="115"/>
        <v>Y</v>
      </c>
      <c r="BU175" s="109">
        <f t="shared" si="116"/>
        <v>1</v>
      </c>
      <c r="BV175" s="109">
        <f t="shared" si="117"/>
        <v>1</v>
      </c>
      <c r="BW175" s="109">
        <f t="shared" si="97"/>
        <v>0</v>
      </c>
      <c r="BX175" s="111">
        <f t="shared" si="118"/>
        <v>0</v>
      </c>
      <c r="BY175" s="129">
        <f t="shared" si="119"/>
        <v>-48</v>
      </c>
      <c r="BZ175" s="111">
        <f t="shared" si="120"/>
        <v>0</v>
      </c>
      <c r="CA175" s="138">
        <f t="shared" si="121"/>
        <v>48</v>
      </c>
      <c r="CB175" s="111" t="e">
        <f t="shared" si="140"/>
        <v>#VALUE!</v>
      </c>
      <c r="CC175" s="129">
        <f t="shared" si="141"/>
        <v>48</v>
      </c>
      <c r="CD175" s="129">
        <f t="shared" si="142"/>
        <v>0</v>
      </c>
      <c r="CE175" s="129">
        <f t="shared" si="122"/>
        <v>0</v>
      </c>
      <c r="CF175" s="129">
        <f t="shared" si="144"/>
        <v>47</v>
      </c>
      <c r="CG175" s="129" t="str">
        <f t="shared" si="123"/>
        <v>Y</v>
      </c>
      <c r="CI175" s="129" t="str">
        <f t="shared" si="124"/>
        <v>31-60 DAYS</v>
      </c>
      <c r="CJ175" s="137">
        <f t="shared" si="125"/>
        <v>3</v>
      </c>
      <c r="CK175" s="129" t="str">
        <f t="shared" si="126"/>
        <v>Booked</v>
      </c>
    </row>
    <row r="176" spans="1:89" ht="15.75" customHeight="1" x14ac:dyDescent="0.25">
      <c r="A176" s="111">
        <v>2366</v>
      </c>
      <c r="B176" s="128" t="str">
        <f t="shared" si="104"/>
        <v>N</v>
      </c>
      <c r="C176" s="128" t="str">
        <f t="shared" si="105"/>
        <v>N</v>
      </c>
      <c r="D176" s="117">
        <v>661628</v>
      </c>
      <c r="E176" s="135">
        <f t="shared" si="106"/>
        <v>4</v>
      </c>
      <c r="F176" s="124">
        <v>40998</v>
      </c>
      <c r="G176" s="125">
        <v>41001</v>
      </c>
      <c r="H176" s="117">
        <v>661628</v>
      </c>
      <c r="I176" s="124">
        <v>40998</v>
      </c>
      <c r="J176" s="124">
        <v>41001</v>
      </c>
      <c r="K176" s="126">
        <v>15000</v>
      </c>
      <c r="L176" s="127" t="s">
        <v>571</v>
      </c>
      <c r="N176" s="129" t="str">
        <f t="shared" si="143"/>
        <v>N</v>
      </c>
      <c r="O176" s="128" t="s">
        <v>917</v>
      </c>
      <c r="P176" s="129" t="s">
        <v>39</v>
      </c>
      <c r="Q176" s="111">
        <f t="shared" si="145"/>
        <v>4</v>
      </c>
      <c r="R176" s="111">
        <f t="shared" si="99"/>
        <v>4</v>
      </c>
      <c r="S176" s="129">
        <v>10</v>
      </c>
      <c r="T176" s="129">
        <v>6</v>
      </c>
      <c r="U176" s="129">
        <v>7</v>
      </c>
      <c r="W176" s="111"/>
      <c r="AC176" s="130"/>
      <c r="AD176" s="130">
        <v>21491</v>
      </c>
      <c r="AE176" s="128" t="s">
        <v>32</v>
      </c>
      <c r="AF176" s="128" t="s">
        <v>33</v>
      </c>
      <c r="AG176" s="128" t="s">
        <v>872</v>
      </c>
      <c r="AH176" s="108" t="s">
        <v>58</v>
      </c>
      <c r="AI176" s="128" t="s">
        <v>42</v>
      </c>
      <c r="AJ176" s="129" t="s">
        <v>89</v>
      </c>
      <c r="AK176" s="129">
        <v>1</v>
      </c>
      <c r="AL176" s="3" t="s">
        <v>991</v>
      </c>
      <c r="AO176" s="128">
        <v>75</v>
      </c>
      <c r="AP176" s="129" t="s">
        <v>43</v>
      </c>
      <c r="AR176" s="128" t="s">
        <v>44</v>
      </c>
      <c r="AS176" s="129" t="s">
        <v>45</v>
      </c>
      <c r="BC176" s="129" t="s">
        <v>38</v>
      </c>
      <c r="BF176" s="111">
        <f t="shared" si="138"/>
        <v>4</v>
      </c>
      <c r="BG176" s="111">
        <f t="shared" si="139"/>
        <v>4</v>
      </c>
      <c r="BH176" s="111">
        <f t="shared" si="100"/>
        <v>4</v>
      </c>
      <c r="BI176" s="111">
        <f t="shared" si="101"/>
        <v>53.297814207650276</v>
      </c>
      <c r="BJ176" s="129">
        <f t="shared" si="109"/>
        <v>0</v>
      </c>
      <c r="BK176" s="129">
        <f t="shared" si="102"/>
        <v>0</v>
      </c>
      <c r="BL176" s="129" t="str">
        <f t="shared" si="103"/>
        <v>CONVICTION</v>
      </c>
      <c r="BM176" s="129" t="str">
        <f t="shared" si="110"/>
        <v>NONE</v>
      </c>
      <c r="BN176" s="129" t="s">
        <v>566</v>
      </c>
      <c r="BP176" s="137" t="str">
        <f t="shared" si="111"/>
        <v>CONVICTION</v>
      </c>
      <c r="BQ176" s="128" t="str">
        <f t="shared" si="112"/>
        <v>Y</v>
      </c>
      <c r="BR176" s="129" t="str">
        <f t="shared" si="113"/>
        <v>DETAINED</v>
      </c>
      <c r="BS176" s="129" t="str">
        <f t="shared" si="114"/>
        <v>DISPOSED</v>
      </c>
      <c r="BT176" s="129" t="str">
        <f t="shared" si="115"/>
        <v>Y</v>
      </c>
      <c r="BU176" s="109">
        <f t="shared" si="116"/>
        <v>1</v>
      </c>
      <c r="BV176" s="109">
        <f t="shared" si="117"/>
        <v>1</v>
      </c>
      <c r="BW176" s="109">
        <f t="shared" si="97"/>
        <v>0</v>
      </c>
      <c r="BX176" s="111">
        <f t="shared" si="118"/>
        <v>0</v>
      </c>
      <c r="BY176" s="129">
        <f t="shared" si="119"/>
        <v>-4</v>
      </c>
      <c r="BZ176" s="111">
        <f t="shared" si="120"/>
        <v>0</v>
      </c>
      <c r="CA176" s="138">
        <f t="shared" si="121"/>
        <v>4</v>
      </c>
      <c r="CB176" s="111" t="e">
        <f t="shared" si="140"/>
        <v>#VALUE!</v>
      </c>
      <c r="CC176" s="129">
        <f t="shared" si="141"/>
        <v>4</v>
      </c>
      <c r="CD176" s="129">
        <f t="shared" si="142"/>
        <v>0</v>
      </c>
      <c r="CE176" s="129">
        <f t="shared" si="122"/>
        <v>0</v>
      </c>
      <c r="CF176" s="129">
        <f t="shared" si="144"/>
        <v>3</v>
      </c>
      <c r="CG176" s="129" t="str">
        <f t="shared" si="123"/>
        <v>Y</v>
      </c>
      <c r="CI176" s="129" t="str">
        <f t="shared" si="124"/>
        <v>0-10 DAYS</v>
      </c>
      <c r="CJ176" s="137">
        <f t="shared" si="125"/>
        <v>1</v>
      </c>
      <c r="CK176" s="129" t="str">
        <f t="shared" si="126"/>
        <v>Booked</v>
      </c>
    </row>
    <row r="177" spans="1:89" ht="15.75" customHeight="1" x14ac:dyDescent="0.25">
      <c r="A177" s="111">
        <v>364</v>
      </c>
      <c r="B177" s="128" t="str">
        <f t="shared" si="104"/>
        <v>N</v>
      </c>
      <c r="C177" s="128" t="str">
        <f t="shared" si="105"/>
        <v>N</v>
      </c>
      <c r="D177" s="117">
        <v>663668</v>
      </c>
      <c r="E177" s="135">
        <f t="shared" si="106"/>
        <v>6</v>
      </c>
      <c r="F177" s="124">
        <v>40923</v>
      </c>
      <c r="G177" s="125">
        <v>40998</v>
      </c>
      <c r="H177" s="117">
        <v>663668</v>
      </c>
      <c r="I177" s="124">
        <v>40923</v>
      </c>
      <c r="J177" s="124">
        <v>40998</v>
      </c>
      <c r="K177" s="126" t="s">
        <v>564</v>
      </c>
      <c r="L177" s="127" t="s">
        <v>564</v>
      </c>
      <c r="N177" s="129" t="s">
        <v>566</v>
      </c>
      <c r="O177" s="128" t="s">
        <v>917</v>
      </c>
      <c r="P177" s="129" t="s">
        <v>39</v>
      </c>
      <c r="Q177" s="111">
        <f t="shared" si="145"/>
        <v>76</v>
      </c>
      <c r="R177" s="111">
        <f t="shared" si="99"/>
        <v>76</v>
      </c>
      <c r="S177" s="129">
        <v>4</v>
      </c>
      <c r="T177" s="129">
        <v>5</v>
      </c>
      <c r="U177" s="129">
        <v>2</v>
      </c>
      <c r="W177" s="111"/>
      <c r="AC177" s="130"/>
      <c r="AD177" s="130">
        <v>23547</v>
      </c>
      <c r="AE177" s="128" t="s">
        <v>32</v>
      </c>
      <c r="AF177" s="128" t="s">
        <v>40</v>
      </c>
      <c r="AG177" s="128" t="s">
        <v>41</v>
      </c>
      <c r="AH177" s="108" t="s">
        <v>41</v>
      </c>
      <c r="AI177" s="128" t="s">
        <v>118</v>
      </c>
      <c r="AJ177" s="129" t="s">
        <v>89</v>
      </c>
      <c r="AK177" s="129">
        <v>3</v>
      </c>
      <c r="AL177" s="3" t="s">
        <v>362</v>
      </c>
      <c r="AM177" s="117">
        <v>6</v>
      </c>
      <c r="AP177" s="129" t="s">
        <v>66</v>
      </c>
      <c r="AR177" s="128" t="s">
        <v>67</v>
      </c>
      <c r="AS177" s="129" t="s">
        <v>68</v>
      </c>
      <c r="BC177" s="129" t="s">
        <v>38</v>
      </c>
      <c r="BF177" s="111">
        <f t="shared" si="138"/>
        <v>76</v>
      </c>
      <c r="BG177" s="111">
        <f t="shared" si="139"/>
        <v>76</v>
      </c>
      <c r="BH177" s="111">
        <f t="shared" si="100"/>
        <v>76</v>
      </c>
      <c r="BI177" s="111">
        <f t="shared" si="101"/>
        <v>47.475409836065573</v>
      </c>
      <c r="BJ177" s="129">
        <f t="shared" si="109"/>
        <v>0</v>
      </c>
      <c r="BK177" s="129">
        <f t="shared" si="102"/>
        <v>0</v>
      </c>
      <c r="BL177" s="129" t="str">
        <f t="shared" si="103"/>
        <v>CONVICTION</v>
      </c>
      <c r="BM177" s="129" t="str">
        <f t="shared" si="110"/>
        <v>NONE</v>
      </c>
      <c r="BN177" s="129" t="s">
        <v>566</v>
      </c>
      <c r="BP177" s="137" t="str">
        <f t="shared" si="111"/>
        <v>CONVICTION</v>
      </c>
      <c r="BQ177" s="128" t="str">
        <f t="shared" si="112"/>
        <v>Y</v>
      </c>
      <c r="BR177" s="129" t="str">
        <f t="shared" si="113"/>
        <v>DETAINED</v>
      </c>
      <c r="BS177" s="129" t="str">
        <f t="shared" si="114"/>
        <v>DISPOSED</v>
      </c>
      <c r="BT177" s="129" t="str">
        <f t="shared" si="115"/>
        <v>Y</v>
      </c>
      <c r="BU177" s="109">
        <f t="shared" si="116"/>
        <v>1</v>
      </c>
      <c r="BV177" s="109">
        <f t="shared" si="117"/>
        <v>1</v>
      </c>
      <c r="BW177" s="109">
        <f t="shared" si="97"/>
        <v>0</v>
      </c>
      <c r="BX177" s="111">
        <f t="shared" si="118"/>
        <v>0</v>
      </c>
      <c r="BY177" s="129">
        <f t="shared" si="119"/>
        <v>-76</v>
      </c>
      <c r="BZ177" s="111">
        <f t="shared" si="120"/>
        <v>0</v>
      </c>
      <c r="CA177" s="138">
        <f t="shared" si="121"/>
        <v>76</v>
      </c>
      <c r="CB177" s="111" t="e">
        <f t="shared" si="140"/>
        <v>#VALUE!</v>
      </c>
      <c r="CC177" s="129">
        <f t="shared" si="141"/>
        <v>76</v>
      </c>
      <c r="CD177" s="129">
        <f t="shared" si="142"/>
        <v>0</v>
      </c>
      <c r="CE177" s="129">
        <f t="shared" si="122"/>
        <v>0</v>
      </c>
      <c r="CF177" s="129">
        <f t="shared" si="144"/>
        <v>75</v>
      </c>
      <c r="CG177" s="129" t="str">
        <f t="shared" si="123"/>
        <v>Y</v>
      </c>
      <c r="CI177" s="129" t="str">
        <f t="shared" si="124"/>
        <v>61-90 DAYS</v>
      </c>
      <c r="CJ177" s="137">
        <f t="shared" si="125"/>
        <v>4</v>
      </c>
      <c r="CK177" s="129" t="str">
        <f t="shared" si="126"/>
        <v>Booked</v>
      </c>
    </row>
    <row r="178" spans="1:89" ht="15.75" customHeight="1" x14ac:dyDescent="0.25">
      <c r="A178" s="111">
        <v>1298</v>
      </c>
      <c r="B178" s="128" t="str">
        <f t="shared" si="104"/>
        <v>N</v>
      </c>
      <c r="C178" s="128" t="str">
        <f t="shared" si="105"/>
        <v>N</v>
      </c>
      <c r="D178" s="117">
        <v>665017</v>
      </c>
      <c r="E178" s="135">
        <f t="shared" si="106"/>
        <v>5</v>
      </c>
      <c r="F178" s="124">
        <v>40956</v>
      </c>
      <c r="G178" s="125">
        <v>40959</v>
      </c>
      <c r="H178" s="117">
        <v>665017</v>
      </c>
      <c r="I178" s="124">
        <v>40956</v>
      </c>
      <c r="J178" s="124">
        <v>40959</v>
      </c>
      <c r="K178" s="126">
        <v>15000</v>
      </c>
      <c r="L178" s="127" t="s">
        <v>571</v>
      </c>
      <c r="N178" s="129" t="str">
        <f>IF(M178&gt;1/1/1,"Y","N")</f>
        <v>N</v>
      </c>
      <c r="O178" s="128" t="s">
        <v>917</v>
      </c>
      <c r="P178" s="129" t="s">
        <v>39</v>
      </c>
      <c r="Q178" s="111">
        <f t="shared" si="145"/>
        <v>4</v>
      </c>
      <c r="R178" s="111">
        <f t="shared" si="99"/>
        <v>4</v>
      </c>
      <c r="S178" s="129">
        <v>5</v>
      </c>
      <c r="T178" s="129">
        <v>7</v>
      </c>
      <c r="U178" s="129">
        <v>4</v>
      </c>
      <c r="W178" s="111"/>
      <c r="AC178" s="130"/>
      <c r="AD178" s="130">
        <v>23389</v>
      </c>
      <c r="AE178" s="128" t="s">
        <v>32</v>
      </c>
      <c r="AF178" s="128" t="s">
        <v>33</v>
      </c>
      <c r="AG178" s="128" t="s">
        <v>872</v>
      </c>
      <c r="AH178" s="108" t="s">
        <v>58</v>
      </c>
      <c r="AI178" s="128" t="s">
        <v>83</v>
      </c>
      <c r="AJ178" s="129" t="s">
        <v>89</v>
      </c>
      <c r="AK178" s="129">
        <v>1</v>
      </c>
      <c r="AL178" s="3" t="s">
        <v>992</v>
      </c>
      <c r="AN178" s="117">
        <v>6</v>
      </c>
      <c r="AP178" s="129" t="s">
        <v>43</v>
      </c>
      <c r="AR178" s="128" t="s">
        <v>44</v>
      </c>
      <c r="AS178" s="129" t="s">
        <v>45</v>
      </c>
      <c r="BC178" s="129" t="s">
        <v>38</v>
      </c>
      <c r="BF178" s="111">
        <f t="shared" si="138"/>
        <v>4</v>
      </c>
      <c r="BG178" s="111">
        <f t="shared" si="139"/>
        <v>4</v>
      </c>
      <c r="BH178" s="111">
        <f t="shared" si="100"/>
        <v>4</v>
      </c>
      <c r="BI178" s="111">
        <f t="shared" si="101"/>
        <v>47.997267759562838</v>
      </c>
      <c r="BJ178" s="129">
        <f t="shared" si="109"/>
        <v>0</v>
      </c>
      <c r="BK178" s="129">
        <f t="shared" si="102"/>
        <v>0</v>
      </c>
      <c r="BL178" s="129" t="str">
        <f t="shared" si="103"/>
        <v>CONVICTION</v>
      </c>
      <c r="BM178" s="129" t="str">
        <f t="shared" si="110"/>
        <v>NONE</v>
      </c>
      <c r="BN178" s="129" t="s">
        <v>566</v>
      </c>
      <c r="BP178" s="137" t="str">
        <f t="shared" si="111"/>
        <v>CONVICTION</v>
      </c>
      <c r="BQ178" s="128" t="str">
        <f t="shared" si="112"/>
        <v>Y</v>
      </c>
      <c r="BR178" s="129" t="str">
        <f t="shared" si="113"/>
        <v>DETAINED</v>
      </c>
      <c r="BS178" s="129" t="str">
        <f t="shared" si="114"/>
        <v>DISPOSED</v>
      </c>
      <c r="BT178" s="129" t="str">
        <f t="shared" si="115"/>
        <v>Y</v>
      </c>
      <c r="BU178" s="109">
        <f t="shared" si="116"/>
        <v>1</v>
      </c>
      <c r="BV178" s="109">
        <f t="shared" si="117"/>
        <v>1</v>
      </c>
      <c r="BW178" s="109">
        <f t="shared" si="97"/>
        <v>0</v>
      </c>
      <c r="BX178" s="111">
        <f t="shared" si="118"/>
        <v>0</v>
      </c>
      <c r="BY178" s="129">
        <f t="shared" si="119"/>
        <v>-4</v>
      </c>
      <c r="BZ178" s="111">
        <f t="shared" si="120"/>
        <v>0</v>
      </c>
      <c r="CA178" s="138">
        <f t="shared" si="121"/>
        <v>4</v>
      </c>
      <c r="CB178" s="111" t="e">
        <f t="shared" si="140"/>
        <v>#VALUE!</v>
      </c>
      <c r="CC178" s="129">
        <f t="shared" si="141"/>
        <v>4</v>
      </c>
      <c r="CD178" s="129">
        <f t="shared" si="142"/>
        <v>0</v>
      </c>
      <c r="CE178" s="129">
        <f t="shared" si="122"/>
        <v>0</v>
      </c>
      <c r="CF178" s="129">
        <f t="shared" si="144"/>
        <v>3</v>
      </c>
      <c r="CG178" s="129" t="str">
        <f t="shared" si="123"/>
        <v>Y</v>
      </c>
      <c r="CI178" s="129" t="str">
        <f t="shared" si="124"/>
        <v>0-10 DAYS</v>
      </c>
      <c r="CJ178" s="137">
        <f t="shared" si="125"/>
        <v>1</v>
      </c>
      <c r="CK178" s="129" t="str">
        <f t="shared" si="126"/>
        <v>Booked</v>
      </c>
    </row>
    <row r="179" spans="1:89" ht="15.75" customHeight="1" x14ac:dyDescent="0.25">
      <c r="A179" s="111">
        <v>564</v>
      </c>
      <c r="B179" s="128" t="str">
        <f t="shared" si="104"/>
        <v>N</v>
      </c>
      <c r="C179" s="128" t="str">
        <f t="shared" si="105"/>
        <v>N</v>
      </c>
      <c r="D179" s="117">
        <v>665600</v>
      </c>
      <c r="E179" s="135">
        <f t="shared" si="106"/>
        <v>1</v>
      </c>
      <c r="F179" s="124">
        <v>40931</v>
      </c>
      <c r="G179" s="125">
        <v>41240</v>
      </c>
      <c r="H179" s="117">
        <v>665600</v>
      </c>
      <c r="I179" s="124" t="s">
        <v>562</v>
      </c>
      <c r="J179" s="124" t="s">
        <v>562</v>
      </c>
      <c r="K179" s="126">
        <v>15000</v>
      </c>
      <c r="L179" s="127" t="s">
        <v>571</v>
      </c>
      <c r="M179" s="125">
        <v>40948</v>
      </c>
      <c r="N179" s="129" t="str">
        <f>IF(M179&gt;1/1/1,"Y",IF(Q179="0","","N"))</f>
        <v>Y</v>
      </c>
      <c r="O179" s="128" t="s">
        <v>76</v>
      </c>
      <c r="P179" s="129" t="s">
        <v>55</v>
      </c>
      <c r="Q179" s="111">
        <f t="shared" si="145"/>
        <v>0</v>
      </c>
      <c r="R179" s="111">
        <f t="shared" si="99"/>
        <v>310</v>
      </c>
      <c r="S179" s="129">
        <v>2</v>
      </c>
      <c r="T179" s="129">
        <v>1</v>
      </c>
      <c r="U179" s="129">
        <v>2</v>
      </c>
      <c r="W179" s="111"/>
      <c r="AC179" s="130"/>
      <c r="AD179" s="130">
        <v>24960</v>
      </c>
      <c r="AE179" s="128" t="s">
        <v>46</v>
      </c>
      <c r="AF179" s="128" t="s">
        <v>33</v>
      </c>
      <c r="AG179" s="128" t="s">
        <v>872</v>
      </c>
      <c r="AH179" s="108" t="s">
        <v>31</v>
      </c>
      <c r="AI179" s="128" t="s">
        <v>85</v>
      </c>
      <c r="AJ179" s="129" t="s">
        <v>55</v>
      </c>
      <c r="AK179" s="129">
        <v>13</v>
      </c>
      <c r="AL179" s="3" t="s">
        <v>55</v>
      </c>
      <c r="AP179" s="129" t="s">
        <v>108</v>
      </c>
      <c r="AR179" s="128" t="s">
        <v>44</v>
      </c>
      <c r="AS179" s="129" t="s">
        <v>61</v>
      </c>
      <c r="BC179" s="129" t="s">
        <v>52</v>
      </c>
      <c r="BF179" s="111">
        <v>0</v>
      </c>
      <c r="BG179" s="111">
        <v>0</v>
      </c>
      <c r="BH179" s="111">
        <f t="shared" si="100"/>
        <v>310</v>
      </c>
      <c r="BI179" s="111">
        <f t="shared" si="101"/>
        <v>43.636612021857921</v>
      </c>
      <c r="BJ179" s="129" t="e">
        <f>(G179-J179)+(M179-G179)</f>
        <v>#VALUE!</v>
      </c>
      <c r="BK179" s="129" t="e">
        <f t="shared" si="102"/>
        <v>#VALUE!</v>
      </c>
      <c r="BL179" s="129" t="str">
        <f t="shared" si="103"/>
        <v>NO CONVICTION</v>
      </c>
      <c r="BM179" s="129" t="s">
        <v>76</v>
      </c>
      <c r="BN179" s="129" t="s">
        <v>88</v>
      </c>
      <c r="BP179" s="137" t="str">
        <f t="shared" si="111"/>
        <v>NO CONVICTION</v>
      </c>
      <c r="BQ179" s="128">
        <f t="shared" si="112"/>
        <v>0</v>
      </c>
      <c r="BR179" s="129" t="s">
        <v>575</v>
      </c>
      <c r="BS179" s="129" t="str">
        <f t="shared" si="114"/>
        <v>DISPOSED</v>
      </c>
      <c r="BT179" s="129" t="str">
        <f t="shared" si="115"/>
        <v>Y</v>
      </c>
      <c r="BU179" s="109">
        <f>IFERROR(Q179/R179,BR179)</f>
        <v>0</v>
      </c>
      <c r="BV179" s="109">
        <v>0</v>
      </c>
      <c r="BW179" s="109">
        <f t="shared" si="97"/>
        <v>0</v>
      </c>
      <c r="BX179" s="111">
        <f t="shared" si="118"/>
        <v>0</v>
      </c>
      <c r="BY179" s="129" t="e">
        <f t="shared" si="119"/>
        <v>#VALUE!</v>
      </c>
      <c r="BZ179" s="111" t="e">
        <f t="shared" si="120"/>
        <v>#VALUE!</v>
      </c>
      <c r="CA179" s="138" t="e">
        <f t="shared" si="121"/>
        <v>#VALUE!</v>
      </c>
      <c r="CB179" s="111">
        <v>0</v>
      </c>
      <c r="CC179" s="129">
        <v>0</v>
      </c>
      <c r="CD179" s="111">
        <f>CC179-BF179</f>
        <v>0</v>
      </c>
      <c r="CE179" s="129" t="e">
        <f t="shared" si="122"/>
        <v>#VALUE!</v>
      </c>
      <c r="CF179" s="129" t="e">
        <f t="shared" si="144"/>
        <v>#VALUE!</v>
      </c>
      <c r="CG179" s="129" t="str">
        <f t="shared" si="123"/>
        <v>Y</v>
      </c>
      <c r="CI179" s="129" t="str">
        <f t="shared" si="124"/>
        <v>0-10 DAYS</v>
      </c>
      <c r="CJ179" s="137">
        <f t="shared" si="125"/>
        <v>1</v>
      </c>
      <c r="CK179" s="129" t="str">
        <f t="shared" si="126"/>
        <v>Not Booked</v>
      </c>
    </row>
    <row r="180" spans="1:89" ht="15" customHeight="1" x14ac:dyDescent="0.25">
      <c r="A180" s="111">
        <v>1566</v>
      </c>
      <c r="B180" s="128" t="str">
        <f t="shared" si="104"/>
        <v>N</v>
      </c>
      <c r="C180" s="128" t="str">
        <f t="shared" si="105"/>
        <v>N</v>
      </c>
      <c r="D180" s="117">
        <v>665751</v>
      </c>
      <c r="E180" s="135">
        <f t="shared" si="106"/>
        <v>1</v>
      </c>
      <c r="F180" s="124">
        <v>40967</v>
      </c>
      <c r="G180" s="125">
        <v>40989</v>
      </c>
      <c r="H180" s="117">
        <v>665751</v>
      </c>
      <c r="I180" s="124">
        <v>40967</v>
      </c>
      <c r="J180" s="124">
        <v>40968</v>
      </c>
      <c r="K180" s="126">
        <v>2000</v>
      </c>
      <c r="L180" s="127" t="s">
        <v>568</v>
      </c>
      <c r="M180" s="125">
        <v>40968</v>
      </c>
      <c r="N180" s="129" t="str">
        <f>IF(M180&gt;1/1/1,"Y","N")</f>
        <v>Y</v>
      </c>
      <c r="O180" s="112" t="s">
        <v>160</v>
      </c>
      <c r="P180" s="129" t="s">
        <v>55</v>
      </c>
      <c r="Q180" s="111">
        <f t="shared" si="145"/>
        <v>2</v>
      </c>
      <c r="R180" s="111">
        <f t="shared" si="99"/>
        <v>23</v>
      </c>
      <c r="S180" s="129">
        <v>0</v>
      </c>
      <c r="T180" s="129">
        <v>1</v>
      </c>
      <c r="W180" s="111"/>
      <c r="AC180" s="130"/>
      <c r="AD180" s="130">
        <v>22660</v>
      </c>
      <c r="AE180" s="128" t="s">
        <v>46</v>
      </c>
      <c r="AF180" s="128" t="s">
        <v>69</v>
      </c>
      <c r="AG180" s="128" t="s">
        <v>874</v>
      </c>
      <c r="AH180" s="108" t="s">
        <v>31</v>
      </c>
      <c r="AI180" s="128" t="s">
        <v>97</v>
      </c>
      <c r="AJ180" s="129" t="s">
        <v>55</v>
      </c>
      <c r="AK180" s="129">
        <v>2</v>
      </c>
      <c r="AL180" s="3" t="s">
        <v>55</v>
      </c>
      <c r="AP180" s="129" t="s">
        <v>43</v>
      </c>
      <c r="AR180" s="128" t="s">
        <v>44</v>
      </c>
      <c r="AS180" s="129" t="s">
        <v>45</v>
      </c>
      <c r="BC180" s="129" t="s">
        <v>99</v>
      </c>
      <c r="BF180" s="111">
        <f t="shared" ref="BF180:BF194" si="146">IF(J180&gt;1/1/1900,((J180+1)-I180),"STILL OPEN")</f>
        <v>2</v>
      </c>
      <c r="BG180" s="111">
        <f t="shared" ref="BG180:BG203" si="147">IF(G180&gt;1/1/1900,((G180+1)-I180),"STILL OPEN")</f>
        <v>23</v>
      </c>
      <c r="BH180" s="111">
        <f t="shared" si="100"/>
        <v>23</v>
      </c>
      <c r="BI180" s="111">
        <f t="shared" si="101"/>
        <v>50.019125683060111</v>
      </c>
      <c r="BJ180" s="129">
        <f>(G180-J180)+(M180-G180)</f>
        <v>0</v>
      </c>
      <c r="BK180" s="129">
        <f t="shared" si="102"/>
        <v>-21</v>
      </c>
      <c r="BL180" s="129" t="str">
        <f t="shared" si="103"/>
        <v>NO CONVICTION</v>
      </c>
      <c r="BM180" s="129" t="s">
        <v>160</v>
      </c>
      <c r="BN180" s="129" t="s">
        <v>88</v>
      </c>
      <c r="BP180" s="137" t="str">
        <f t="shared" si="111"/>
        <v>NO CONVICTION</v>
      </c>
      <c r="BQ180" s="128" t="str">
        <f t="shared" si="112"/>
        <v>Y</v>
      </c>
      <c r="BR180" s="129" t="str">
        <f t="shared" si="113"/>
        <v>ON BOND</v>
      </c>
      <c r="BS180" s="129" t="str">
        <f t="shared" si="114"/>
        <v>DISPOSED</v>
      </c>
      <c r="BT180" s="129" t="str">
        <f t="shared" si="115"/>
        <v>N</v>
      </c>
      <c r="BU180" s="109">
        <f>IFERROR(Q180/R180,BR180)</f>
        <v>8.6956521739130432E-2</v>
      </c>
      <c r="BV180" s="109">
        <f t="shared" si="117"/>
        <v>8.6956521739130432E-2</v>
      </c>
      <c r="BW180" s="109">
        <f t="shared" ref="BW180:BW206" si="148">BV180-BU180</f>
        <v>0</v>
      </c>
      <c r="BX180" s="111">
        <f t="shared" si="118"/>
        <v>0</v>
      </c>
      <c r="BY180" s="129">
        <f t="shared" si="119"/>
        <v>-2</v>
      </c>
      <c r="BZ180" s="111">
        <f t="shared" si="120"/>
        <v>0</v>
      </c>
      <c r="CA180" s="138">
        <f t="shared" si="121"/>
        <v>2</v>
      </c>
      <c r="CB180" s="111" t="e">
        <f t="shared" ref="CB180:CB194" si="149">IF(AF180&gt;1/1/1900,((AF180+1)-AE180),"STILL OPEN")</f>
        <v>#VALUE!</v>
      </c>
      <c r="CC180" s="129">
        <f>M180-I180+1</f>
        <v>2</v>
      </c>
      <c r="CD180" s="111">
        <f>CC180-BF180</f>
        <v>0</v>
      </c>
      <c r="CE180" s="129">
        <f t="shared" si="122"/>
        <v>21</v>
      </c>
      <c r="CF180" s="129">
        <f t="shared" si="144"/>
        <v>1</v>
      </c>
      <c r="CG180" s="129" t="str">
        <f t="shared" si="123"/>
        <v>Y</v>
      </c>
      <c r="CI180" s="129" t="str">
        <f t="shared" si="124"/>
        <v>0-10 DAYS</v>
      </c>
      <c r="CJ180" s="137">
        <f t="shared" si="125"/>
        <v>1</v>
      </c>
      <c r="CK180" s="129" t="str">
        <f t="shared" si="126"/>
        <v>Booked</v>
      </c>
    </row>
    <row r="181" spans="1:89" ht="15.75" customHeight="1" x14ac:dyDescent="0.25">
      <c r="A181" s="111">
        <v>1367</v>
      </c>
      <c r="B181" s="128" t="str">
        <f t="shared" si="104"/>
        <v>N</v>
      </c>
      <c r="C181" s="128" t="str">
        <f t="shared" si="105"/>
        <v>N</v>
      </c>
      <c r="D181" s="117">
        <v>677607</v>
      </c>
      <c r="E181" s="135">
        <f t="shared" si="106"/>
        <v>4</v>
      </c>
      <c r="F181" s="124">
        <v>40959</v>
      </c>
      <c r="G181" s="125">
        <v>41067</v>
      </c>
      <c r="H181" s="117">
        <v>677607</v>
      </c>
      <c r="I181" s="124">
        <v>40959</v>
      </c>
      <c r="J181" s="124">
        <v>41067</v>
      </c>
      <c r="K181" s="126">
        <v>15000</v>
      </c>
      <c r="L181" s="127" t="s">
        <v>571</v>
      </c>
      <c r="N181" s="129" t="str">
        <f>IF(M181&gt;1/1/1,"Y","N")</f>
        <v>N</v>
      </c>
      <c r="O181" s="128" t="s">
        <v>917</v>
      </c>
      <c r="P181" s="129" t="s">
        <v>39</v>
      </c>
      <c r="Q181" s="111">
        <f t="shared" si="145"/>
        <v>109</v>
      </c>
      <c r="R181" s="111">
        <f t="shared" si="99"/>
        <v>109</v>
      </c>
      <c r="S181" s="129">
        <v>5</v>
      </c>
      <c r="T181" s="129">
        <v>3</v>
      </c>
      <c r="U181" s="129">
        <v>3</v>
      </c>
      <c r="W181" s="111"/>
      <c r="AC181" s="130"/>
      <c r="AD181" s="130">
        <v>22410</v>
      </c>
      <c r="AE181" s="128" t="s">
        <v>32</v>
      </c>
      <c r="AF181" s="128" t="s">
        <v>33</v>
      </c>
      <c r="AG181" s="128" t="s">
        <v>872</v>
      </c>
      <c r="AH181" s="108" t="s">
        <v>58</v>
      </c>
      <c r="AI181" s="128" t="s">
        <v>100</v>
      </c>
      <c r="AJ181" s="129" t="s">
        <v>89</v>
      </c>
      <c r="AK181" s="129">
        <v>6</v>
      </c>
      <c r="AL181" s="3" t="s">
        <v>991</v>
      </c>
      <c r="AO181" s="128">
        <v>240</v>
      </c>
      <c r="AP181" s="129" t="s">
        <v>43</v>
      </c>
      <c r="AR181" s="128" t="s">
        <v>44</v>
      </c>
      <c r="AS181" s="129" t="s">
        <v>45</v>
      </c>
      <c r="BC181" s="129" t="s">
        <v>38</v>
      </c>
      <c r="BF181" s="111">
        <f t="shared" si="146"/>
        <v>109</v>
      </c>
      <c r="BG181" s="111">
        <f t="shared" si="147"/>
        <v>109</v>
      </c>
      <c r="BH181" s="111">
        <f t="shared" si="100"/>
        <v>109</v>
      </c>
      <c r="BI181" s="111">
        <f t="shared" si="101"/>
        <v>50.680327868852459</v>
      </c>
      <c r="BJ181" s="129">
        <f t="shared" si="109"/>
        <v>0</v>
      </c>
      <c r="BK181" s="129">
        <f t="shared" si="102"/>
        <v>0</v>
      </c>
      <c r="BL181" s="129" t="str">
        <f t="shared" si="103"/>
        <v>CONVICTION</v>
      </c>
      <c r="BM181" s="129" t="str">
        <f t="shared" si="110"/>
        <v>NONE</v>
      </c>
      <c r="BN181" s="129" t="s">
        <v>566</v>
      </c>
      <c r="BP181" s="137" t="str">
        <f t="shared" si="111"/>
        <v>CONVICTION</v>
      </c>
      <c r="BQ181" s="128" t="str">
        <f t="shared" si="112"/>
        <v>Y</v>
      </c>
      <c r="BR181" s="129" t="str">
        <f t="shared" si="113"/>
        <v>DETAINED</v>
      </c>
      <c r="BS181" s="129" t="str">
        <f t="shared" si="114"/>
        <v>DISPOSED</v>
      </c>
      <c r="BT181" s="129" t="str">
        <f t="shared" si="115"/>
        <v>Y</v>
      </c>
      <c r="BU181" s="109">
        <f t="shared" si="116"/>
        <v>1</v>
      </c>
      <c r="BV181" s="109">
        <f t="shared" si="117"/>
        <v>1</v>
      </c>
      <c r="BW181" s="109">
        <f t="shared" si="148"/>
        <v>0</v>
      </c>
      <c r="BX181" s="111">
        <f t="shared" si="118"/>
        <v>0</v>
      </c>
      <c r="BY181" s="129">
        <f t="shared" si="119"/>
        <v>-109</v>
      </c>
      <c r="BZ181" s="111">
        <f t="shared" si="120"/>
        <v>0</v>
      </c>
      <c r="CA181" s="138">
        <f t="shared" si="121"/>
        <v>109</v>
      </c>
      <c r="CB181" s="111" t="e">
        <f t="shared" si="149"/>
        <v>#VALUE!</v>
      </c>
      <c r="CC181" s="129">
        <f t="shared" ref="CC181:CC188" si="150">G181-I181+1</f>
        <v>109</v>
      </c>
      <c r="CD181" s="129">
        <f t="shared" ref="CD181:CD188" si="151">G181-J181</f>
        <v>0</v>
      </c>
      <c r="CE181" s="129">
        <f t="shared" si="122"/>
        <v>0</v>
      </c>
      <c r="CF181" s="129">
        <f t="shared" si="144"/>
        <v>108</v>
      </c>
      <c r="CG181" s="129" t="str">
        <f t="shared" si="123"/>
        <v>Y</v>
      </c>
      <c r="CI181" s="129" t="str">
        <f t="shared" si="124"/>
        <v>91-120 DAYS</v>
      </c>
      <c r="CJ181" s="137">
        <f t="shared" si="125"/>
        <v>0</v>
      </c>
      <c r="CK181" s="129" t="str">
        <f t="shared" si="126"/>
        <v>Booked</v>
      </c>
    </row>
    <row r="182" spans="1:89" ht="15" customHeight="1" x14ac:dyDescent="0.25">
      <c r="A182" s="111">
        <v>1799</v>
      </c>
      <c r="B182" s="128" t="str">
        <f t="shared" si="104"/>
        <v>N</v>
      </c>
      <c r="C182" s="128" t="str">
        <f t="shared" si="105"/>
        <v>N</v>
      </c>
      <c r="D182" s="117">
        <v>679715</v>
      </c>
      <c r="E182" s="135">
        <f t="shared" si="106"/>
        <v>4</v>
      </c>
      <c r="F182" s="124">
        <v>40975</v>
      </c>
      <c r="G182" s="125">
        <v>40981</v>
      </c>
      <c r="H182" s="117">
        <v>679715</v>
      </c>
      <c r="I182" s="124">
        <v>40976</v>
      </c>
      <c r="J182" s="124">
        <v>40981</v>
      </c>
      <c r="K182" s="126">
        <v>15000</v>
      </c>
      <c r="L182" s="127" t="s">
        <v>571</v>
      </c>
      <c r="N182" s="129" t="str">
        <f>IF(M182&gt;1/1/1,"Y","N")</f>
        <v>N</v>
      </c>
      <c r="O182" s="128" t="s">
        <v>917</v>
      </c>
      <c r="P182" s="129" t="s">
        <v>39</v>
      </c>
      <c r="Q182" s="111">
        <f t="shared" si="145"/>
        <v>6</v>
      </c>
      <c r="R182" s="111">
        <f t="shared" si="99"/>
        <v>7</v>
      </c>
      <c r="S182" s="129">
        <v>6</v>
      </c>
      <c r="T182" s="129">
        <v>6</v>
      </c>
      <c r="U182" s="129">
        <v>4</v>
      </c>
      <c r="W182" s="111"/>
      <c r="AC182" s="130"/>
      <c r="AD182" s="130">
        <v>23554</v>
      </c>
      <c r="AE182" s="128" t="s">
        <v>32</v>
      </c>
      <c r="AF182" s="128" t="s">
        <v>33</v>
      </c>
      <c r="AG182" s="128" t="s">
        <v>872</v>
      </c>
      <c r="AH182" s="108" t="s">
        <v>58</v>
      </c>
      <c r="AI182" s="128" t="s">
        <v>85</v>
      </c>
      <c r="AJ182" s="129" t="s">
        <v>89</v>
      </c>
      <c r="AK182" s="129">
        <v>2</v>
      </c>
      <c r="AL182" s="3" t="s">
        <v>991</v>
      </c>
      <c r="AO182" s="128">
        <v>17</v>
      </c>
      <c r="AP182" s="129" t="s">
        <v>60</v>
      </c>
      <c r="AR182" s="128" t="s">
        <v>44</v>
      </c>
      <c r="AS182" s="129" t="s">
        <v>61</v>
      </c>
      <c r="BC182" s="129" t="s">
        <v>38</v>
      </c>
      <c r="BF182" s="111">
        <f t="shared" si="146"/>
        <v>6</v>
      </c>
      <c r="BG182" s="111">
        <f t="shared" si="147"/>
        <v>6</v>
      </c>
      <c r="BH182" s="111">
        <f t="shared" si="100"/>
        <v>7</v>
      </c>
      <c r="BI182" s="111">
        <f t="shared" si="101"/>
        <v>47.598360655737707</v>
      </c>
      <c r="BJ182" s="129">
        <f t="shared" si="109"/>
        <v>0</v>
      </c>
      <c r="BK182" s="129">
        <f t="shared" si="102"/>
        <v>0</v>
      </c>
      <c r="BL182" s="129" t="str">
        <f t="shared" si="103"/>
        <v>CONVICTION</v>
      </c>
      <c r="BM182" s="129" t="str">
        <f t="shared" si="110"/>
        <v>NONE</v>
      </c>
      <c r="BN182" s="129" t="s">
        <v>566</v>
      </c>
      <c r="BP182" s="137" t="str">
        <f t="shared" si="111"/>
        <v>CONVICTION</v>
      </c>
      <c r="BQ182" s="128" t="str">
        <f t="shared" si="112"/>
        <v>Y</v>
      </c>
      <c r="BR182" s="129" t="str">
        <f t="shared" si="113"/>
        <v>DETAINED</v>
      </c>
      <c r="BS182" s="129" t="str">
        <f t="shared" si="114"/>
        <v>DISPOSED</v>
      </c>
      <c r="BT182" s="129" t="str">
        <f t="shared" si="115"/>
        <v>Y</v>
      </c>
      <c r="BU182" s="109">
        <f t="shared" si="116"/>
        <v>0.8571428571428571</v>
      </c>
      <c r="BV182" s="109">
        <f t="shared" si="117"/>
        <v>1</v>
      </c>
      <c r="BW182" s="109">
        <f t="shared" si="148"/>
        <v>0.1428571428571429</v>
      </c>
      <c r="BX182" s="111">
        <f t="shared" si="118"/>
        <v>0</v>
      </c>
      <c r="BY182" s="129">
        <f t="shared" si="119"/>
        <v>-6</v>
      </c>
      <c r="BZ182" s="111">
        <f t="shared" si="120"/>
        <v>0</v>
      </c>
      <c r="CA182" s="138">
        <f t="shared" si="121"/>
        <v>6</v>
      </c>
      <c r="CB182" s="111" t="e">
        <f t="shared" si="149"/>
        <v>#VALUE!</v>
      </c>
      <c r="CC182" s="129">
        <f t="shared" si="150"/>
        <v>6</v>
      </c>
      <c r="CD182" s="129">
        <f t="shared" si="151"/>
        <v>0</v>
      </c>
      <c r="CE182" s="129">
        <f t="shared" si="122"/>
        <v>0</v>
      </c>
      <c r="CF182" s="129">
        <f t="shared" si="144"/>
        <v>5</v>
      </c>
      <c r="CG182" s="129" t="str">
        <f t="shared" si="123"/>
        <v>Y</v>
      </c>
      <c r="CI182" s="129" t="str">
        <f t="shared" si="124"/>
        <v>0-10 DAYS</v>
      </c>
      <c r="CJ182" s="137">
        <f t="shared" si="125"/>
        <v>1</v>
      </c>
      <c r="CK182" s="129" t="str">
        <f t="shared" si="126"/>
        <v>Booked</v>
      </c>
    </row>
    <row r="183" spans="1:89" ht="15" customHeight="1" x14ac:dyDescent="0.25">
      <c r="A183" s="111">
        <v>1079</v>
      </c>
      <c r="B183" s="128" t="str">
        <f t="shared" si="104"/>
        <v>N</v>
      </c>
      <c r="C183" s="128" t="str">
        <f t="shared" si="105"/>
        <v>Y</v>
      </c>
      <c r="D183" s="114">
        <v>682570</v>
      </c>
      <c r="E183" s="135">
        <f t="shared" si="106"/>
        <v>6</v>
      </c>
      <c r="F183" s="124">
        <v>40948</v>
      </c>
      <c r="G183" s="125">
        <v>41283</v>
      </c>
      <c r="H183" s="114">
        <v>682570</v>
      </c>
      <c r="I183" s="124">
        <v>40999</v>
      </c>
      <c r="J183" s="124">
        <v>41031</v>
      </c>
      <c r="K183" s="126">
        <v>30000</v>
      </c>
      <c r="L183" s="129" t="s">
        <v>572</v>
      </c>
      <c r="M183" s="125">
        <v>41031</v>
      </c>
      <c r="N183" s="129" t="str">
        <f>IF(M183&gt;1/1/1,"Y","N")</f>
        <v>Y</v>
      </c>
      <c r="O183" s="128" t="s">
        <v>76</v>
      </c>
      <c r="P183" s="129" t="s">
        <v>39</v>
      </c>
      <c r="Q183" s="111">
        <v>68</v>
      </c>
      <c r="R183" s="111">
        <f t="shared" si="99"/>
        <v>336</v>
      </c>
      <c r="S183" s="129">
        <v>15</v>
      </c>
      <c r="T183" s="129">
        <v>7</v>
      </c>
      <c r="U183" s="129">
        <v>6</v>
      </c>
      <c r="V183" s="117">
        <v>1</v>
      </c>
      <c r="W183" s="111"/>
      <c r="AC183" s="130"/>
      <c r="AD183" s="130">
        <v>24088</v>
      </c>
      <c r="AE183" s="128" t="s">
        <v>32</v>
      </c>
      <c r="AF183" s="128" t="s">
        <v>33</v>
      </c>
      <c r="AG183" s="128" t="s">
        <v>872</v>
      </c>
      <c r="AH183" s="108" t="s">
        <v>58</v>
      </c>
      <c r="AI183" s="128" t="s">
        <v>95</v>
      </c>
      <c r="AJ183" s="129" t="s">
        <v>89</v>
      </c>
      <c r="AK183" s="129">
        <v>4</v>
      </c>
      <c r="AL183" s="3" t="s">
        <v>362</v>
      </c>
      <c r="AM183" s="117">
        <v>3</v>
      </c>
      <c r="AP183" s="129" t="s">
        <v>105</v>
      </c>
      <c r="AR183" s="128" t="s">
        <v>92</v>
      </c>
      <c r="AS183" s="129" t="s">
        <v>106</v>
      </c>
      <c r="AT183" s="129" t="s">
        <v>1075</v>
      </c>
      <c r="AU183" s="3" t="s">
        <v>817</v>
      </c>
      <c r="AV183" s="3" t="s">
        <v>88</v>
      </c>
      <c r="AW183" s="123">
        <v>41116</v>
      </c>
      <c r="AX183" s="3"/>
      <c r="AZ183" s="140">
        <v>41217</v>
      </c>
      <c r="BA183" s="125">
        <v>41226</v>
      </c>
      <c r="BB183" s="129">
        <v>433</v>
      </c>
      <c r="BC183" s="129" t="s">
        <v>38</v>
      </c>
      <c r="BF183" s="111">
        <v>68</v>
      </c>
      <c r="BG183" s="111">
        <f t="shared" si="147"/>
        <v>285</v>
      </c>
      <c r="BH183" s="111">
        <f t="shared" si="100"/>
        <v>336</v>
      </c>
      <c r="BI183" s="111">
        <f t="shared" si="101"/>
        <v>46.065573770491802</v>
      </c>
      <c r="BJ183" s="129">
        <f>(G183-J183)+(M183-G183)</f>
        <v>0</v>
      </c>
      <c r="BK183" s="129">
        <f t="shared" si="102"/>
        <v>-252</v>
      </c>
      <c r="BL183" s="129" t="str">
        <f t="shared" si="103"/>
        <v>CONVICTION</v>
      </c>
      <c r="BM183" s="129" t="s">
        <v>76</v>
      </c>
      <c r="BN183" s="129" t="s">
        <v>88</v>
      </c>
      <c r="BO183" s="110"/>
      <c r="BP183" s="137" t="str">
        <f t="shared" si="111"/>
        <v>CONVICTION</v>
      </c>
      <c r="BQ183" s="128" t="str">
        <f t="shared" si="112"/>
        <v>Y</v>
      </c>
      <c r="BR183" s="129" t="s">
        <v>574</v>
      </c>
      <c r="BS183" s="129" t="str">
        <f t="shared" si="114"/>
        <v>DISPOSED</v>
      </c>
      <c r="BT183" s="129" t="str">
        <f t="shared" si="115"/>
        <v>Y</v>
      </c>
      <c r="BU183" s="109">
        <f t="shared" si="116"/>
        <v>0.20238095238095238</v>
      </c>
      <c r="BV183" s="109">
        <f t="shared" si="117"/>
        <v>0.11578947368421053</v>
      </c>
      <c r="BW183" s="109">
        <f t="shared" si="148"/>
        <v>-8.6591478696741858E-2</v>
      </c>
      <c r="BX183" s="111">
        <f t="shared" si="118"/>
        <v>0</v>
      </c>
      <c r="BY183" s="129">
        <f t="shared" si="119"/>
        <v>-33</v>
      </c>
      <c r="BZ183" s="111">
        <f t="shared" si="120"/>
        <v>35</v>
      </c>
      <c r="CA183" s="138">
        <f t="shared" si="121"/>
        <v>285</v>
      </c>
      <c r="CB183" s="111">
        <v>68</v>
      </c>
      <c r="CC183" s="129">
        <f t="shared" si="150"/>
        <v>285</v>
      </c>
      <c r="CD183" s="129">
        <f t="shared" si="151"/>
        <v>252</v>
      </c>
      <c r="CE183" s="129">
        <f t="shared" si="122"/>
        <v>252</v>
      </c>
      <c r="CF183" s="129">
        <f>I183-J183</f>
        <v>-32</v>
      </c>
      <c r="CG183" s="129" t="str">
        <f t="shared" si="123"/>
        <v>Y</v>
      </c>
      <c r="CI183" s="129" t="str">
        <f t="shared" si="124"/>
        <v>61-90 DAYS</v>
      </c>
      <c r="CJ183" s="137">
        <f t="shared" si="125"/>
        <v>4</v>
      </c>
      <c r="CK183" s="129" t="str">
        <f t="shared" si="126"/>
        <v>Booked</v>
      </c>
    </row>
    <row r="184" spans="1:89" ht="15" customHeight="1" x14ac:dyDescent="0.25">
      <c r="A184" s="111">
        <v>1388</v>
      </c>
      <c r="B184" s="128" t="str">
        <f t="shared" si="104"/>
        <v>N</v>
      </c>
      <c r="C184" s="128" t="str">
        <f t="shared" si="105"/>
        <v>N</v>
      </c>
      <c r="D184" s="117">
        <v>684804</v>
      </c>
      <c r="E184" s="135">
        <f t="shared" si="106"/>
        <v>5</v>
      </c>
      <c r="F184" s="124">
        <v>40960</v>
      </c>
      <c r="G184" s="125">
        <v>40963</v>
      </c>
      <c r="H184" s="117">
        <v>684804</v>
      </c>
      <c r="I184" s="124">
        <v>40962</v>
      </c>
      <c r="J184" s="124">
        <v>40963</v>
      </c>
      <c r="K184" s="126">
        <v>15000</v>
      </c>
      <c r="L184" s="127" t="s">
        <v>571</v>
      </c>
      <c r="N184" s="129" t="str">
        <f>IF(M184&gt;1/1/1,"Y","N")</f>
        <v>N</v>
      </c>
      <c r="O184" s="128" t="s">
        <v>917</v>
      </c>
      <c r="P184" s="129" t="s">
        <v>39</v>
      </c>
      <c r="Q184" s="111">
        <f t="shared" si="145"/>
        <v>2</v>
      </c>
      <c r="R184" s="111">
        <f t="shared" si="99"/>
        <v>4</v>
      </c>
      <c r="S184" s="129">
        <v>5</v>
      </c>
      <c r="T184" s="129">
        <v>8</v>
      </c>
      <c r="U184" s="129">
        <v>3</v>
      </c>
      <c r="W184" s="111"/>
      <c r="AC184" s="130"/>
      <c r="AD184" s="130">
        <v>24873</v>
      </c>
      <c r="AE184" s="128" t="s">
        <v>32</v>
      </c>
      <c r="AF184" s="128" t="s">
        <v>33</v>
      </c>
      <c r="AG184" s="128" t="s">
        <v>872</v>
      </c>
      <c r="AH184" s="108" t="s">
        <v>58</v>
      </c>
      <c r="AI184" s="128" t="s">
        <v>70</v>
      </c>
      <c r="AJ184" s="129" t="s">
        <v>89</v>
      </c>
      <c r="AK184" s="129">
        <v>2</v>
      </c>
      <c r="AL184" s="3" t="s">
        <v>992</v>
      </c>
      <c r="AN184" s="117">
        <v>9</v>
      </c>
      <c r="AP184" s="129" t="s">
        <v>60</v>
      </c>
      <c r="AR184" s="128" t="s">
        <v>44</v>
      </c>
      <c r="AS184" s="129" t="s">
        <v>61</v>
      </c>
      <c r="BC184" s="129" t="s">
        <v>38</v>
      </c>
      <c r="BF184" s="111">
        <f t="shared" si="146"/>
        <v>2</v>
      </c>
      <c r="BG184" s="111">
        <f t="shared" si="147"/>
        <v>2</v>
      </c>
      <c r="BH184" s="111">
        <f t="shared" si="100"/>
        <v>4</v>
      </c>
      <c r="BI184" s="111">
        <f t="shared" si="101"/>
        <v>43.953551912568308</v>
      </c>
      <c r="BJ184" s="129">
        <f t="shared" si="109"/>
        <v>0</v>
      </c>
      <c r="BK184" s="129">
        <f t="shared" si="102"/>
        <v>0</v>
      </c>
      <c r="BL184" s="129" t="str">
        <f t="shared" si="103"/>
        <v>CONVICTION</v>
      </c>
      <c r="BM184" s="129" t="str">
        <f t="shared" si="110"/>
        <v>NONE</v>
      </c>
      <c r="BN184" s="129" t="s">
        <v>566</v>
      </c>
      <c r="BP184" s="137" t="str">
        <f t="shared" si="111"/>
        <v>CONVICTION</v>
      </c>
      <c r="BQ184" s="128" t="str">
        <f t="shared" si="112"/>
        <v>Y</v>
      </c>
      <c r="BR184" s="129" t="str">
        <f t="shared" si="113"/>
        <v>DETAINED</v>
      </c>
      <c r="BS184" s="129" t="str">
        <f t="shared" si="114"/>
        <v>DISPOSED</v>
      </c>
      <c r="BT184" s="129" t="str">
        <f t="shared" si="115"/>
        <v>Y</v>
      </c>
      <c r="BU184" s="109">
        <f t="shared" si="116"/>
        <v>0.5</v>
      </c>
      <c r="BV184" s="109">
        <f t="shared" si="117"/>
        <v>1</v>
      </c>
      <c r="BW184" s="109">
        <f t="shared" si="148"/>
        <v>0.5</v>
      </c>
      <c r="BX184" s="111">
        <f t="shared" si="118"/>
        <v>0</v>
      </c>
      <c r="BY184" s="129">
        <f t="shared" si="119"/>
        <v>-2</v>
      </c>
      <c r="BZ184" s="111">
        <f t="shared" si="120"/>
        <v>0</v>
      </c>
      <c r="CA184" s="138">
        <f t="shared" si="121"/>
        <v>2</v>
      </c>
      <c r="CB184" s="111" t="e">
        <f t="shared" si="149"/>
        <v>#VALUE!</v>
      </c>
      <c r="CC184" s="129">
        <f t="shared" si="150"/>
        <v>2</v>
      </c>
      <c r="CD184" s="129">
        <f t="shared" si="151"/>
        <v>0</v>
      </c>
      <c r="CE184" s="129">
        <f t="shared" si="122"/>
        <v>0</v>
      </c>
      <c r="CF184" s="129">
        <f t="shared" ref="CF184:CF206" si="152">J184-I184</f>
        <v>1</v>
      </c>
      <c r="CG184" s="129" t="str">
        <f t="shared" si="123"/>
        <v>Y</v>
      </c>
      <c r="CI184" s="129" t="str">
        <f t="shared" si="124"/>
        <v>0-10 DAYS</v>
      </c>
      <c r="CJ184" s="137">
        <f t="shared" si="125"/>
        <v>1</v>
      </c>
      <c r="CK184" s="129" t="str">
        <f t="shared" si="126"/>
        <v>Booked</v>
      </c>
    </row>
    <row r="185" spans="1:89" ht="15.75" customHeight="1" x14ac:dyDescent="0.25">
      <c r="A185" s="111">
        <v>3125</v>
      </c>
      <c r="B185" s="128" t="str">
        <f t="shared" si="104"/>
        <v>N</v>
      </c>
      <c r="C185" s="128" t="str">
        <f t="shared" si="105"/>
        <v>N</v>
      </c>
      <c r="D185" s="117">
        <v>687443</v>
      </c>
      <c r="E185" s="135">
        <f t="shared" si="106"/>
        <v>5</v>
      </c>
      <c r="F185" s="124">
        <v>41024</v>
      </c>
      <c r="G185" s="125">
        <v>41064</v>
      </c>
      <c r="H185" s="117">
        <v>687443</v>
      </c>
      <c r="I185" s="124">
        <v>41025</v>
      </c>
      <c r="J185" s="124">
        <v>41064</v>
      </c>
      <c r="K185" s="126" t="s">
        <v>564</v>
      </c>
      <c r="L185" s="127" t="s">
        <v>564</v>
      </c>
      <c r="N185" s="129" t="s">
        <v>566</v>
      </c>
      <c r="O185" s="128" t="s">
        <v>917</v>
      </c>
      <c r="P185" s="129" t="s">
        <v>39</v>
      </c>
      <c r="Q185" s="111">
        <f t="shared" si="145"/>
        <v>40</v>
      </c>
      <c r="R185" s="111">
        <f t="shared" si="99"/>
        <v>41</v>
      </c>
      <c r="S185" s="129">
        <v>0</v>
      </c>
      <c r="T185" s="129">
        <v>1</v>
      </c>
      <c r="W185" s="111"/>
      <c r="AC185" s="130"/>
      <c r="AD185" s="130">
        <v>20977</v>
      </c>
      <c r="AE185" s="128" t="s">
        <v>32</v>
      </c>
      <c r="AF185" s="128" t="s">
        <v>33</v>
      </c>
      <c r="AG185" s="128" t="s">
        <v>872</v>
      </c>
      <c r="AH185" s="108" t="s">
        <v>58</v>
      </c>
      <c r="AI185" s="128" t="s">
        <v>34</v>
      </c>
      <c r="AJ185" s="129" t="s">
        <v>89</v>
      </c>
      <c r="AK185" s="129">
        <v>2</v>
      </c>
      <c r="AL185" s="3" t="s">
        <v>992</v>
      </c>
      <c r="AN185" s="117">
        <v>6</v>
      </c>
      <c r="AP185" s="129" t="s">
        <v>107</v>
      </c>
      <c r="AR185" s="128" t="s">
        <v>44</v>
      </c>
      <c r="AS185" s="129" t="s">
        <v>57</v>
      </c>
      <c r="BC185" s="129" t="s">
        <v>38</v>
      </c>
      <c r="BF185" s="111">
        <f t="shared" si="146"/>
        <v>40</v>
      </c>
      <c r="BG185" s="111">
        <f t="shared" si="147"/>
        <v>40</v>
      </c>
      <c r="BH185" s="111">
        <f t="shared" si="100"/>
        <v>41</v>
      </c>
      <c r="BI185" s="111">
        <f t="shared" si="101"/>
        <v>54.77322404371585</v>
      </c>
      <c r="BJ185" s="129">
        <f t="shared" si="109"/>
        <v>0</v>
      </c>
      <c r="BK185" s="129">
        <f t="shared" si="102"/>
        <v>0</v>
      </c>
      <c r="BL185" s="129" t="str">
        <f t="shared" si="103"/>
        <v>CONVICTION</v>
      </c>
      <c r="BM185" s="129" t="str">
        <f t="shared" si="110"/>
        <v>NONE</v>
      </c>
      <c r="BN185" s="129" t="s">
        <v>566</v>
      </c>
      <c r="BP185" s="137" t="str">
        <f t="shared" si="111"/>
        <v>CONVICTION</v>
      </c>
      <c r="BQ185" s="128" t="str">
        <f t="shared" si="112"/>
        <v>Y</v>
      </c>
      <c r="BR185" s="129" t="str">
        <f t="shared" si="113"/>
        <v>DETAINED</v>
      </c>
      <c r="BS185" s="129" t="str">
        <f t="shared" si="114"/>
        <v>DISPOSED</v>
      </c>
      <c r="BT185" s="129" t="str">
        <f t="shared" si="115"/>
        <v>N</v>
      </c>
      <c r="BU185" s="109">
        <f t="shared" si="116"/>
        <v>0.97560975609756095</v>
      </c>
      <c r="BV185" s="109">
        <f t="shared" si="117"/>
        <v>1</v>
      </c>
      <c r="BW185" s="109">
        <f t="shared" si="148"/>
        <v>2.4390243902439046E-2</v>
      </c>
      <c r="BX185" s="111">
        <f t="shared" si="118"/>
        <v>0</v>
      </c>
      <c r="BY185" s="129">
        <f t="shared" si="119"/>
        <v>-40</v>
      </c>
      <c r="BZ185" s="111">
        <f t="shared" si="120"/>
        <v>0</v>
      </c>
      <c r="CA185" s="138">
        <f t="shared" si="121"/>
        <v>40</v>
      </c>
      <c r="CB185" s="111" t="e">
        <f t="shared" si="149"/>
        <v>#VALUE!</v>
      </c>
      <c r="CC185" s="129">
        <f t="shared" si="150"/>
        <v>40</v>
      </c>
      <c r="CD185" s="129">
        <f t="shared" si="151"/>
        <v>0</v>
      </c>
      <c r="CE185" s="129">
        <f t="shared" si="122"/>
        <v>0</v>
      </c>
      <c r="CF185" s="129">
        <f t="shared" si="152"/>
        <v>39</v>
      </c>
      <c r="CG185" s="129" t="str">
        <f t="shared" si="123"/>
        <v>Y</v>
      </c>
      <c r="CI185" s="129" t="str">
        <f t="shared" si="124"/>
        <v>31-60 DAYS</v>
      </c>
      <c r="CJ185" s="137">
        <f t="shared" si="125"/>
        <v>3</v>
      </c>
      <c r="CK185" s="129" t="str">
        <f t="shared" si="126"/>
        <v>Booked</v>
      </c>
    </row>
    <row r="186" spans="1:89" ht="15" customHeight="1" x14ac:dyDescent="0.25">
      <c r="A186" s="111">
        <v>145</v>
      </c>
      <c r="B186" s="128" t="str">
        <f t="shared" si="104"/>
        <v>N</v>
      </c>
      <c r="C186" s="128" t="str">
        <f t="shared" si="105"/>
        <v>N</v>
      </c>
      <c r="D186" s="117">
        <v>688282</v>
      </c>
      <c r="E186" s="135">
        <f t="shared" si="106"/>
        <v>6</v>
      </c>
      <c r="F186" s="124">
        <v>40915</v>
      </c>
      <c r="G186" s="125">
        <v>40990</v>
      </c>
      <c r="H186" s="117">
        <v>688282</v>
      </c>
      <c r="I186" s="124">
        <v>40915</v>
      </c>
      <c r="J186" s="124">
        <v>40990</v>
      </c>
      <c r="K186" s="126">
        <v>20000</v>
      </c>
      <c r="L186" s="127" t="s">
        <v>571</v>
      </c>
      <c r="N186" s="129" t="str">
        <f>IF(M186&gt;1/1/1,"Y","N")</f>
        <v>N</v>
      </c>
      <c r="O186" s="128" t="s">
        <v>917</v>
      </c>
      <c r="P186" s="129" t="s">
        <v>39</v>
      </c>
      <c r="Q186" s="111">
        <f t="shared" si="145"/>
        <v>76</v>
      </c>
      <c r="R186" s="111">
        <f t="shared" si="99"/>
        <v>76</v>
      </c>
      <c r="S186" s="129">
        <v>6</v>
      </c>
      <c r="T186" s="129">
        <v>8</v>
      </c>
      <c r="U186" s="129">
        <v>3</v>
      </c>
      <c r="W186" s="111"/>
      <c r="AC186" s="130"/>
      <c r="AD186" s="130">
        <v>24517</v>
      </c>
      <c r="AE186" s="128" t="s">
        <v>32</v>
      </c>
      <c r="AF186" s="128" t="s">
        <v>33</v>
      </c>
      <c r="AG186" s="128" t="s">
        <v>872</v>
      </c>
      <c r="AH186" s="108" t="s">
        <v>58</v>
      </c>
      <c r="AI186" s="128" t="s">
        <v>53</v>
      </c>
      <c r="AJ186" s="129" t="s">
        <v>89</v>
      </c>
      <c r="AK186" s="129">
        <v>6</v>
      </c>
      <c r="AL186" s="3" t="s">
        <v>362</v>
      </c>
      <c r="AM186" s="117">
        <v>8</v>
      </c>
      <c r="AP186" s="129" t="s">
        <v>66</v>
      </c>
      <c r="AR186" s="128" t="s">
        <v>67</v>
      </c>
      <c r="AS186" s="129" t="s">
        <v>68</v>
      </c>
      <c r="BC186" s="129" t="s">
        <v>52</v>
      </c>
      <c r="BE186" s="141"/>
      <c r="BF186" s="111">
        <f t="shared" si="146"/>
        <v>76</v>
      </c>
      <c r="BG186" s="111">
        <f t="shared" si="147"/>
        <v>76</v>
      </c>
      <c r="BH186" s="111">
        <f t="shared" si="100"/>
        <v>76</v>
      </c>
      <c r="BI186" s="111">
        <f t="shared" si="101"/>
        <v>44.803278688524593</v>
      </c>
      <c r="BJ186" s="129">
        <f t="shared" si="109"/>
        <v>0</v>
      </c>
      <c r="BK186" s="129">
        <f t="shared" si="102"/>
        <v>0</v>
      </c>
      <c r="BL186" s="129" t="str">
        <f t="shared" si="103"/>
        <v>CONVICTION</v>
      </c>
      <c r="BM186" s="129" t="str">
        <f t="shared" si="110"/>
        <v>NONE</v>
      </c>
      <c r="BN186" s="129" t="s">
        <v>566</v>
      </c>
      <c r="BP186" s="137" t="str">
        <f t="shared" si="111"/>
        <v>CONVICTION</v>
      </c>
      <c r="BQ186" s="128" t="str">
        <f t="shared" si="112"/>
        <v>Y</v>
      </c>
      <c r="BR186" s="129" t="str">
        <f t="shared" si="113"/>
        <v>DETAINED</v>
      </c>
      <c r="BS186" s="129" t="str">
        <f t="shared" si="114"/>
        <v>DISPOSED</v>
      </c>
      <c r="BT186" s="129" t="str">
        <f t="shared" si="115"/>
        <v>Y</v>
      </c>
      <c r="BU186" s="109">
        <f t="shared" si="116"/>
        <v>1</v>
      </c>
      <c r="BV186" s="109">
        <f t="shared" si="117"/>
        <v>1</v>
      </c>
      <c r="BW186" s="109">
        <f t="shared" si="148"/>
        <v>0</v>
      </c>
      <c r="BX186" s="111">
        <f t="shared" si="118"/>
        <v>0</v>
      </c>
      <c r="BY186" s="129">
        <f t="shared" si="119"/>
        <v>-76</v>
      </c>
      <c r="BZ186" s="111">
        <f t="shared" si="120"/>
        <v>0</v>
      </c>
      <c r="CA186" s="138">
        <f t="shared" si="121"/>
        <v>76</v>
      </c>
      <c r="CB186" s="111" t="e">
        <f t="shared" si="149"/>
        <v>#VALUE!</v>
      </c>
      <c r="CC186" s="129">
        <f t="shared" si="150"/>
        <v>76</v>
      </c>
      <c r="CD186" s="129">
        <f t="shared" si="151"/>
        <v>0</v>
      </c>
      <c r="CE186" s="129">
        <f t="shared" si="122"/>
        <v>0</v>
      </c>
      <c r="CF186" s="129">
        <f t="shared" si="152"/>
        <v>75</v>
      </c>
      <c r="CG186" s="129" t="str">
        <f t="shared" si="123"/>
        <v>Y</v>
      </c>
      <c r="CI186" s="129" t="str">
        <f t="shared" si="124"/>
        <v>61-90 DAYS</v>
      </c>
      <c r="CJ186" s="137">
        <f t="shared" si="125"/>
        <v>4</v>
      </c>
      <c r="CK186" s="129" t="str">
        <f t="shared" si="126"/>
        <v>Booked</v>
      </c>
    </row>
    <row r="187" spans="1:89" ht="15" customHeight="1" x14ac:dyDescent="0.25">
      <c r="A187" s="111">
        <v>118</v>
      </c>
      <c r="B187" s="128" t="str">
        <f t="shared" si="104"/>
        <v>N</v>
      </c>
      <c r="C187" s="128" t="str">
        <f t="shared" si="105"/>
        <v>N</v>
      </c>
      <c r="D187" s="117">
        <v>690356</v>
      </c>
      <c r="E187" s="135">
        <f t="shared" si="106"/>
        <v>6</v>
      </c>
      <c r="F187" s="124">
        <v>40914</v>
      </c>
      <c r="G187" s="125">
        <v>40955</v>
      </c>
      <c r="H187" s="117">
        <v>690356</v>
      </c>
      <c r="I187" s="124">
        <v>40914</v>
      </c>
      <c r="J187" s="124">
        <v>40955</v>
      </c>
      <c r="K187" s="126" t="s">
        <v>564</v>
      </c>
      <c r="L187" s="127" t="s">
        <v>564</v>
      </c>
      <c r="N187" s="129" t="s">
        <v>566</v>
      </c>
      <c r="O187" s="128" t="s">
        <v>917</v>
      </c>
      <c r="P187" s="129" t="s">
        <v>39</v>
      </c>
      <c r="Q187" s="111">
        <f t="shared" si="145"/>
        <v>42</v>
      </c>
      <c r="R187" s="111">
        <f t="shared" si="99"/>
        <v>42</v>
      </c>
      <c r="S187" s="129">
        <v>6</v>
      </c>
      <c r="T187" s="129">
        <v>7</v>
      </c>
      <c r="U187" s="129">
        <v>1</v>
      </c>
      <c r="W187" s="111"/>
      <c r="AC187" s="130"/>
      <c r="AD187" s="130">
        <v>24656</v>
      </c>
      <c r="AE187" s="128" t="s">
        <v>32</v>
      </c>
      <c r="AF187" s="128" t="s">
        <v>69</v>
      </c>
      <c r="AG187" s="128" t="s">
        <v>874</v>
      </c>
      <c r="AH187" s="108" t="s">
        <v>58</v>
      </c>
      <c r="AI187" s="128" t="s">
        <v>70</v>
      </c>
      <c r="AJ187" s="129" t="s">
        <v>89</v>
      </c>
      <c r="AK187" s="129">
        <v>3</v>
      </c>
      <c r="AL187" s="3" t="s">
        <v>362</v>
      </c>
      <c r="AM187" s="117">
        <v>3</v>
      </c>
      <c r="AP187" s="129" t="s">
        <v>121</v>
      </c>
      <c r="AR187" s="128" t="s">
        <v>44</v>
      </c>
      <c r="AS187" s="129" t="s">
        <v>122</v>
      </c>
      <c r="BC187" s="129" t="s">
        <v>38</v>
      </c>
      <c r="BF187" s="111">
        <f t="shared" si="146"/>
        <v>42</v>
      </c>
      <c r="BG187" s="111">
        <f t="shared" si="147"/>
        <v>42</v>
      </c>
      <c r="BH187" s="111">
        <f t="shared" si="100"/>
        <v>42</v>
      </c>
      <c r="BI187" s="111">
        <f t="shared" si="101"/>
        <v>44.420765027322403</v>
      </c>
      <c r="BJ187" s="129">
        <f t="shared" si="109"/>
        <v>0</v>
      </c>
      <c r="BK187" s="129">
        <f t="shared" si="102"/>
        <v>0</v>
      </c>
      <c r="BL187" s="129" t="str">
        <f t="shared" si="103"/>
        <v>CONVICTION</v>
      </c>
      <c r="BM187" s="129" t="str">
        <f t="shared" si="110"/>
        <v>NONE</v>
      </c>
      <c r="BN187" s="129" t="s">
        <v>566</v>
      </c>
      <c r="BP187" s="137" t="str">
        <f t="shared" si="111"/>
        <v>CONVICTION</v>
      </c>
      <c r="BQ187" s="128" t="str">
        <f t="shared" si="112"/>
        <v>Y</v>
      </c>
      <c r="BR187" s="129" t="str">
        <f t="shared" si="113"/>
        <v>DETAINED</v>
      </c>
      <c r="BS187" s="129" t="str">
        <f t="shared" si="114"/>
        <v>DISPOSED</v>
      </c>
      <c r="BT187" s="129" t="str">
        <f t="shared" si="115"/>
        <v>Y</v>
      </c>
      <c r="BU187" s="109">
        <f t="shared" si="116"/>
        <v>1</v>
      </c>
      <c r="BV187" s="109">
        <f t="shared" si="117"/>
        <v>1</v>
      </c>
      <c r="BW187" s="109">
        <f t="shared" si="148"/>
        <v>0</v>
      </c>
      <c r="BX187" s="111">
        <f t="shared" si="118"/>
        <v>0</v>
      </c>
      <c r="BY187" s="129">
        <f t="shared" si="119"/>
        <v>-42</v>
      </c>
      <c r="BZ187" s="111">
        <f t="shared" si="120"/>
        <v>0</v>
      </c>
      <c r="CA187" s="138">
        <f t="shared" si="121"/>
        <v>42</v>
      </c>
      <c r="CB187" s="111" t="e">
        <f t="shared" si="149"/>
        <v>#VALUE!</v>
      </c>
      <c r="CC187" s="129">
        <f t="shared" si="150"/>
        <v>42</v>
      </c>
      <c r="CD187" s="129">
        <f t="shared" si="151"/>
        <v>0</v>
      </c>
      <c r="CE187" s="129">
        <f t="shared" si="122"/>
        <v>0</v>
      </c>
      <c r="CF187" s="129">
        <f t="shared" si="152"/>
        <v>41</v>
      </c>
      <c r="CG187" s="129" t="str">
        <f t="shared" si="123"/>
        <v>Y</v>
      </c>
      <c r="CI187" s="129" t="str">
        <f t="shared" si="124"/>
        <v>31-60 DAYS</v>
      </c>
      <c r="CJ187" s="137">
        <f t="shared" si="125"/>
        <v>3</v>
      </c>
      <c r="CK187" s="129" t="str">
        <f t="shared" si="126"/>
        <v>Booked</v>
      </c>
    </row>
    <row r="188" spans="1:89" ht="15.75" customHeight="1" x14ac:dyDescent="0.25">
      <c r="A188" s="111">
        <v>1689</v>
      </c>
      <c r="B188" s="128" t="str">
        <f t="shared" si="104"/>
        <v>N</v>
      </c>
      <c r="C188" s="128" t="str">
        <f t="shared" si="105"/>
        <v>N</v>
      </c>
      <c r="D188" s="117">
        <v>690924</v>
      </c>
      <c r="E188" s="135">
        <f t="shared" si="106"/>
        <v>5</v>
      </c>
      <c r="F188" s="124">
        <v>40971</v>
      </c>
      <c r="G188" s="125">
        <v>40973</v>
      </c>
      <c r="H188" s="117">
        <v>690924</v>
      </c>
      <c r="I188" s="124">
        <v>40971</v>
      </c>
      <c r="J188" s="124">
        <v>40973</v>
      </c>
      <c r="K188" s="126">
        <v>15000</v>
      </c>
      <c r="L188" s="127" t="s">
        <v>571</v>
      </c>
      <c r="N188" s="129" t="str">
        <f t="shared" ref="N188:N193" si="153">IF(M188&gt;1/1/1,"Y","N")</f>
        <v>N</v>
      </c>
      <c r="O188" s="128" t="s">
        <v>917</v>
      </c>
      <c r="P188" s="129" t="s">
        <v>39</v>
      </c>
      <c r="Q188" s="111">
        <f t="shared" si="145"/>
        <v>3</v>
      </c>
      <c r="R188" s="111">
        <f t="shared" si="99"/>
        <v>3</v>
      </c>
      <c r="S188" s="129">
        <v>6</v>
      </c>
      <c r="T188" s="129">
        <v>0</v>
      </c>
      <c r="U188" s="129">
        <v>3</v>
      </c>
      <c r="W188" s="111"/>
      <c r="AC188" s="130"/>
      <c r="AD188" s="130">
        <v>24858</v>
      </c>
      <c r="AE188" s="128" t="s">
        <v>32</v>
      </c>
      <c r="AF188" s="128" t="s">
        <v>33</v>
      </c>
      <c r="AG188" s="128" t="s">
        <v>872</v>
      </c>
      <c r="AH188" s="108" t="s">
        <v>58</v>
      </c>
      <c r="AI188" s="128" t="s">
        <v>83</v>
      </c>
      <c r="AJ188" s="129" t="s">
        <v>89</v>
      </c>
      <c r="AK188" s="129">
        <v>1</v>
      </c>
      <c r="AL188" s="3" t="s">
        <v>992</v>
      </c>
      <c r="AN188" s="117">
        <v>6</v>
      </c>
      <c r="AP188" s="129" t="s">
        <v>43</v>
      </c>
      <c r="AR188" s="128" t="s">
        <v>44</v>
      </c>
      <c r="AS188" s="129" t="s">
        <v>45</v>
      </c>
      <c r="BC188" s="129" t="s">
        <v>38</v>
      </c>
      <c r="BF188" s="111">
        <f t="shared" si="146"/>
        <v>3</v>
      </c>
      <c r="BG188" s="111">
        <f t="shared" si="147"/>
        <v>3</v>
      </c>
      <c r="BH188" s="111">
        <f t="shared" si="100"/>
        <v>3</v>
      </c>
      <c r="BI188" s="111">
        <f t="shared" si="101"/>
        <v>44.024590163934427</v>
      </c>
      <c r="BJ188" s="129">
        <f t="shared" si="109"/>
        <v>0</v>
      </c>
      <c r="BK188" s="129">
        <f t="shared" si="102"/>
        <v>0</v>
      </c>
      <c r="BL188" s="129" t="str">
        <f t="shared" si="103"/>
        <v>CONVICTION</v>
      </c>
      <c r="BM188" s="129" t="str">
        <f t="shared" si="110"/>
        <v>NONE</v>
      </c>
      <c r="BN188" s="129" t="s">
        <v>566</v>
      </c>
      <c r="BP188" s="137" t="str">
        <f t="shared" si="111"/>
        <v>CONVICTION</v>
      </c>
      <c r="BQ188" s="128" t="str">
        <f t="shared" si="112"/>
        <v>Y</v>
      </c>
      <c r="BR188" s="129" t="str">
        <f t="shared" si="113"/>
        <v>DETAINED</v>
      </c>
      <c r="BS188" s="129" t="str">
        <f t="shared" si="114"/>
        <v>DISPOSED</v>
      </c>
      <c r="BT188" s="129" t="str">
        <f t="shared" si="115"/>
        <v>Y</v>
      </c>
      <c r="BU188" s="109">
        <f t="shared" si="116"/>
        <v>1</v>
      </c>
      <c r="BV188" s="109">
        <f t="shared" si="117"/>
        <v>1</v>
      </c>
      <c r="BW188" s="109">
        <f t="shared" si="148"/>
        <v>0</v>
      </c>
      <c r="BX188" s="111">
        <f t="shared" si="118"/>
        <v>0</v>
      </c>
      <c r="BY188" s="129">
        <f t="shared" si="119"/>
        <v>-3</v>
      </c>
      <c r="BZ188" s="111">
        <f t="shared" si="120"/>
        <v>0</v>
      </c>
      <c r="CA188" s="138">
        <f t="shared" si="121"/>
        <v>3</v>
      </c>
      <c r="CB188" s="111" t="e">
        <f t="shared" si="149"/>
        <v>#VALUE!</v>
      </c>
      <c r="CC188" s="129">
        <f t="shared" si="150"/>
        <v>3</v>
      </c>
      <c r="CD188" s="129">
        <f t="shared" si="151"/>
        <v>0</v>
      </c>
      <c r="CE188" s="129">
        <f t="shared" si="122"/>
        <v>0</v>
      </c>
      <c r="CF188" s="129">
        <f t="shared" si="152"/>
        <v>2</v>
      </c>
      <c r="CG188" s="129" t="str">
        <f t="shared" si="123"/>
        <v>Y</v>
      </c>
      <c r="CI188" s="129" t="str">
        <f t="shared" si="124"/>
        <v>0-10 DAYS</v>
      </c>
      <c r="CJ188" s="137">
        <f t="shared" si="125"/>
        <v>1</v>
      </c>
      <c r="CK188" s="129" t="str">
        <f t="shared" si="126"/>
        <v>Booked</v>
      </c>
    </row>
    <row r="189" spans="1:89" ht="15.75" customHeight="1" x14ac:dyDescent="0.25">
      <c r="A189" s="111">
        <v>1445</v>
      </c>
      <c r="B189" s="128" t="str">
        <f t="shared" si="104"/>
        <v>N</v>
      </c>
      <c r="C189" s="128" t="str">
        <f t="shared" si="105"/>
        <v>N</v>
      </c>
      <c r="D189" s="117">
        <v>692542</v>
      </c>
      <c r="E189" s="135">
        <f t="shared" si="106"/>
        <v>2</v>
      </c>
      <c r="F189" s="124">
        <v>40962</v>
      </c>
      <c r="G189" s="125">
        <v>41292</v>
      </c>
      <c r="H189" s="117">
        <v>692542</v>
      </c>
      <c r="I189" s="124">
        <v>40967</v>
      </c>
      <c r="J189" s="124">
        <v>40976</v>
      </c>
      <c r="K189" s="126">
        <v>5000</v>
      </c>
      <c r="L189" s="127" t="s">
        <v>569</v>
      </c>
      <c r="M189" s="125">
        <v>40976</v>
      </c>
      <c r="N189" s="129" t="str">
        <f t="shared" si="153"/>
        <v>Y</v>
      </c>
      <c r="O189" s="128" t="s">
        <v>76</v>
      </c>
      <c r="P189" s="129" t="s">
        <v>589</v>
      </c>
      <c r="Q189" s="111">
        <f t="shared" si="145"/>
        <v>10</v>
      </c>
      <c r="R189" s="111">
        <f t="shared" si="99"/>
        <v>331</v>
      </c>
      <c r="S189" s="129">
        <v>1</v>
      </c>
      <c r="T189" s="129">
        <v>2</v>
      </c>
      <c r="W189" s="111"/>
      <c r="AC189" s="130"/>
      <c r="AD189" s="130">
        <v>21834</v>
      </c>
      <c r="AE189" s="128" t="s">
        <v>32</v>
      </c>
      <c r="AF189" s="128" t="s">
        <v>69</v>
      </c>
      <c r="AG189" s="128" t="s">
        <v>874</v>
      </c>
      <c r="AH189" s="108" t="s">
        <v>58</v>
      </c>
      <c r="AI189" s="128" t="s">
        <v>65</v>
      </c>
      <c r="AJ189" s="129" t="s">
        <v>48</v>
      </c>
      <c r="AK189" s="129">
        <v>13</v>
      </c>
      <c r="AL189" s="3" t="s">
        <v>48</v>
      </c>
      <c r="AP189" s="129" t="s">
        <v>60</v>
      </c>
      <c r="AR189" s="128" t="s">
        <v>44</v>
      </c>
      <c r="AS189" s="129" t="s">
        <v>61</v>
      </c>
      <c r="BC189" s="129" t="s">
        <v>52</v>
      </c>
      <c r="BF189" s="111">
        <f t="shared" si="146"/>
        <v>10</v>
      </c>
      <c r="BG189" s="111">
        <f t="shared" si="147"/>
        <v>326</v>
      </c>
      <c r="BH189" s="111">
        <f t="shared" si="100"/>
        <v>331</v>
      </c>
      <c r="BI189" s="111">
        <f t="shared" si="101"/>
        <v>52.26229508196721</v>
      </c>
      <c r="BJ189" s="129">
        <f>(G189-J189)+(M189-G189)</f>
        <v>0</v>
      </c>
      <c r="BK189" s="129">
        <f t="shared" si="102"/>
        <v>-316</v>
      </c>
      <c r="BL189" s="129" t="str">
        <f t="shared" si="103"/>
        <v>DEFERRED</v>
      </c>
      <c r="BM189" s="129" t="s">
        <v>76</v>
      </c>
      <c r="BN189" s="129" t="s">
        <v>88</v>
      </c>
      <c r="BP189" s="137" t="str">
        <f t="shared" si="111"/>
        <v>DEFERRED</v>
      </c>
      <c r="BQ189" s="128" t="str">
        <f t="shared" si="112"/>
        <v>Y</v>
      </c>
      <c r="BR189" s="129" t="str">
        <f t="shared" si="113"/>
        <v>ON BOND</v>
      </c>
      <c r="BS189" s="129" t="str">
        <f t="shared" si="114"/>
        <v>DISPOSED</v>
      </c>
      <c r="BT189" s="129" t="str">
        <f t="shared" si="115"/>
        <v>Y</v>
      </c>
      <c r="BU189" s="109">
        <f t="shared" si="116"/>
        <v>3.0211480362537766E-2</v>
      </c>
      <c r="BV189" s="109">
        <f t="shared" si="117"/>
        <v>3.0674846625766871E-2</v>
      </c>
      <c r="BW189" s="109">
        <f t="shared" si="148"/>
        <v>4.6336626322910496E-4</v>
      </c>
      <c r="BX189" s="111">
        <f t="shared" si="118"/>
        <v>0</v>
      </c>
      <c r="BY189" s="129">
        <f t="shared" si="119"/>
        <v>-10</v>
      </c>
      <c r="BZ189" s="111">
        <f t="shared" si="120"/>
        <v>0</v>
      </c>
      <c r="CA189" s="138">
        <f t="shared" si="121"/>
        <v>10</v>
      </c>
      <c r="CB189" s="111" t="e">
        <f t="shared" si="149"/>
        <v>#VALUE!</v>
      </c>
      <c r="CC189" s="129">
        <f>M189-I189+1</f>
        <v>10</v>
      </c>
      <c r="CD189" s="111">
        <f>CC189-BF189</f>
        <v>0</v>
      </c>
      <c r="CE189" s="129">
        <f t="shared" si="122"/>
        <v>316</v>
      </c>
      <c r="CF189" s="129">
        <f t="shared" si="152"/>
        <v>9</v>
      </c>
      <c r="CG189" s="129" t="str">
        <f t="shared" si="123"/>
        <v>Y</v>
      </c>
      <c r="CI189" s="129" t="str">
        <f t="shared" si="124"/>
        <v>0-10 DAYS</v>
      </c>
      <c r="CJ189" s="137">
        <f t="shared" si="125"/>
        <v>1</v>
      </c>
      <c r="CK189" s="129" t="str">
        <f t="shared" si="126"/>
        <v>Booked</v>
      </c>
    </row>
    <row r="190" spans="1:89" ht="15" customHeight="1" x14ac:dyDescent="0.25">
      <c r="A190" s="111">
        <v>3177</v>
      </c>
      <c r="B190" s="128" t="str">
        <f t="shared" si="104"/>
        <v>N</v>
      </c>
      <c r="C190" s="128" t="str">
        <f t="shared" si="105"/>
        <v>N</v>
      </c>
      <c r="D190" s="117">
        <v>694052</v>
      </c>
      <c r="E190" s="135">
        <f t="shared" si="106"/>
        <v>5</v>
      </c>
      <c r="F190" s="124">
        <v>41025</v>
      </c>
      <c r="G190" s="125">
        <v>41138</v>
      </c>
      <c r="H190" s="117">
        <v>694052</v>
      </c>
      <c r="I190" s="124">
        <v>41026</v>
      </c>
      <c r="J190" s="124">
        <v>41138</v>
      </c>
      <c r="K190" s="126">
        <v>15000</v>
      </c>
      <c r="L190" s="127" t="s">
        <v>571</v>
      </c>
      <c r="N190" s="129" t="str">
        <f t="shared" si="153"/>
        <v>N</v>
      </c>
      <c r="O190" s="128" t="s">
        <v>917</v>
      </c>
      <c r="P190" s="129" t="s">
        <v>39</v>
      </c>
      <c r="Q190" s="111">
        <f t="shared" si="145"/>
        <v>113</v>
      </c>
      <c r="R190" s="111">
        <f t="shared" si="99"/>
        <v>114</v>
      </c>
      <c r="S190" s="129">
        <v>6</v>
      </c>
      <c r="T190" s="129">
        <v>2</v>
      </c>
      <c r="U190" s="129">
        <v>5</v>
      </c>
      <c r="W190" s="111"/>
      <c r="AC190" s="130"/>
      <c r="AD190" s="130">
        <v>23394</v>
      </c>
      <c r="AE190" s="128" t="s">
        <v>32</v>
      </c>
      <c r="AF190" s="128" t="s">
        <v>33</v>
      </c>
      <c r="AG190" s="128" t="s">
        <v>872</v>
      </c>
      <c r="AH190" s="108" t="s">
        <v>58</v>
      </c>
      <c r="AI190" s="128" t="s">
        <v>118</v>
      </c>
      <c r="AJ190" s="129" t="s">
        <v>89</v>
      </c>
      <c r="AK190" s="129">
        <v>4</v>
      </c>
      <c r="AL190" s="3" t="s">
        <v>992</v>
      </c>
      <c r="AN190" s="117">
        <v>6</v>
      </c>
      <c r="AP190" s="129" t="s">
        <v>136</v>
      </c>
      <c r="AR190" s="128" t="s">
        <v>67</v>
      </c>
      <c r="AS190" s="129" t="s">
        <v>64</v>
      </c>
      <c r="BC190" s="129" t="s">
        <v>38</v>
      </c>
      <c r="BF190" s="111">
        <f t="shared" si="146"/>
        <v>113</v>
      </c>
      <c r="BG190" s="111">
        <f t="shared" si="147"/>
        <v>113</v>
      </c>
      <c r="BH190" s="111">
        <f t="shared" si="100"/>
        <v>114</v>
      </c>
      <c r="BI190" s="111">
        <f t="shared" si="101"/>
        <v>48.172131147540981</v>
      </c>
      <c r="BJ190" s="129">
        <f t="shared" si="109"/>
        <v>0</v>
      </c>
      <c r="BK190" s="129">
        <f t="shared" si="102"/>
        <v>0</v>
      </c>
      <c r="BL190" s="129" t="str">
        <f t="shared" si="103"/>
        <v>CONVICTION</v>
      </c>
      <c r="BM190" s="129" t="str">
        <f t="shared" si="110"/>
        <v>NONE</v>
      </c>
      <c r="BN190" s="129" t="s">
        <v>566</v>
      </c>
      <c r="BP190" s="137" t="str">
        <f t="shared" si="111"/>
        <v>CONVICTION</v>
      </c>
      <c r="BQ190" s="128" t="str">
        <f t="shared" si="112"/>
        <v>Y</v>
      </c>
      <c r="BR190" s="129" t="str">
        <f t="shared" si="113"/>
        <v>DETAINED</v>
      </c>
      <c r="BS190" s="129" t="str">
        <f t="shared" si="114"/>
        <v>DISPOSED</v>
      </c>
      <c r="BT190" s="129" t="str">
        <f t="shared" si="115"/>
        <v>Y</v>
      </c>
      <c r="BU190" s="109">
        <f t="shared" si="116"/>
        <v>0.99122807017543857</v>
      </c>
      <c r="BV190" s="109">
        <f t="shared" si="117"/>
        <v>1</v>
      </c>
      <c r="BW190" s="109">
        <f t="shared" si="148"/>
        <v>8.7719298245614308E-3</v>
      </c>
      <c r="BX190" s="111">
        <f t="shared" si="118"/>
        <v>0</v>
      </c>
      <c r="BY190" s="129">
        <f t="shared" si="119"/>
        <v>-113</v>
      </c>
      <c r="BZ190" s="111">
        <f t="shared" si="120"/>
        <v>0</v>
      </c>
      <c r="CA190" s="138">
        <f t="shared" si="121"/>
        <v>113</v>
      </c>
      <c r="CB190" s="111" t="e">
        <f t="shared" si="149"/>
        <v>#VALUE!</v>
      </c>
      <c r="CC190" s="129">
        <f>G190-I190+1</f>
        <v>113</v>
      </c>
      <c r="CD190" s="129">
        <f>G190-J190</f>
        <v>0</v>
      </c>
      <c r="CE190" s="129">
        <f t="shared" si="122"/>
        <v>0</v>
      </c>
      <c r="CF190" s="129">
        <f t="shared" si="152"/>
        <v>112</v>
      </c>
      <c r="CG190" s="129" t="str">
        <f t="shared" si="123"/>
        <v>Y</v>
      </c>
      <c r="CI190" s="129" t="str">
        <f t="shared" si="124"/>
        <v>91-120 DAYS</v>
      </c>
      <c r="CJ190" s="137">
        <f t="shared" si="125"/>
        <v>0</v>
      </c>
      <c r="CK190" s="129" t="str">
        <f t="shared" si="126"/>
        <v>Booked</v>
      </c>
    </row>
    <row r="191" spans="1:89" ht="15" customHeight="1" x14ac:dyDescent="0.25">
      <c r="A191" s="111">
        <v>3065</v>
      </c>
      <c r="B191" s="128" t="str">
        <f t="shared" si="104"/>
        <v>N</v>
      </c>
      <c r="C191" s="128" t="str">
        <f t="shared" si="105"/>
        <v>N</v>
      </c>
      <c r="D191" s="117">
        <v>694596</v>
      </c>
      <c r="E191" s="135">
        <f t="shared" si="106"/>
        <v>5</v>
      </c>
      <c r="F191" s="124">
        <v>41022</v>
      </c>
      <c r="G191" s="125">
        <v>41045</v>
      </c>
      <c r="H191" s="117">
        <v>694596</v>
      </c>
      <c r="I191" s="124">
        <v>41023</v>
      </c>
      <c r="J191" s="124">
        <v>41045</v>
      </c>
      <c r="K191" s="126">
        <v>15000</v>
      </c>
      <c r="L191" s="127" t="s">
        <v>571</v>
      </c>
      <c r="N191" s="129" t="str">
        <f t="shared" si="153"/>
        <v>N</v>
      </c>
      <c r="O191" s="128" t="s">
        <v>917</v>
      </c>
      <c r="P191" s="129" t="s">
        <v>39</v>
      </c>
      <c r="Q191" s="111">
        <f t="shared" si="145"/>
        <v>23</v>
      </c>
      <c r="R191" s="111">
        <f t="shared" si="99"/>
        <v>24</v>
      </c>
      <c r="S191" s="129">
        <v>5</v>
      </c>
      <c r="T191" s="129">
        <v>4</v>
      </c>
      <c r="U191" s="129">
        <v>3</v>
      </c>
      <c r="W191" s="111"/>
      <c r="AC191" s="130"/>
      <c r="AD191" s="130">
        <v>23984</v>
      </c>
      <c r="AE191" s="128" t="s">
        <v>32</v>
      </c>
      <c r="AF191" s="128" t="s">
        <v>33</v>
      </c>
      <c r="AG191" s="128" t="s">
        <v>872</v>
      </c>
      <c r="AH191" s="108" t="s">
        <v>58</v>
      </c>
      <c r="AI191" s="128" t="s">
        <v>71</v>
      </c>
      <c r="AJ191" s="129" t="s">
        <v>89</v>
      </c>
      <c r="AK191" s="129">
        <v>2</v>
      </c>
      <c r="AL191" s="3" t="s">
        <v>992</v>
      </c>
      <c r="AN191" s="117">
        <v>6</v>
      </c>
      <c r="AP191" s="129" t="s">
        <v>60</v>
      </c>
      <c r="AR191" s="128" t="s">
        <v>44</v>
      </c>
      <c r="AS191" s="129" t="s">
        <v>61</v>
      </c>
      <c r="BC191" s="129" t="s">
        <v>38</v>
      </c>
      <c r="BF191" s="111">
        <f t="shared" si="146"/>
        <v>23</v>
      </c>
      <c r="BG191" s="111">
        <f t="shared" si="147"/>
        <v>23</v>
      </c>
      <c r="BH191" s="111">
        <f t="shared" si="100"/>
        <v>24</v>
      </c>
      <c r="BI191" s="111">
        <f t="shared" si="101"/>
        <v>46.551912568306008</v>
      </c>
      <c r="BJ191" s="129">
        <f t="shared" si="109"/>
        <v>0</v>
      </c>
      <c r="BK191" s="129">
        <f t="shared" si="102"/>
        <v>0</v>
      </c>
      <c r="BL191" s="129" t="str">
        <f t="shared" si="103"/>
        <v>CONVICTION</v>
      </c>
      <c r="BM191" s="129" t="str">
        <f t="shared" si="110"/>
        <v>NONE</v>
      </c>
      <c r="BN191" s="129" t="s">
        <v>566</v>
      </c>
      <c r="BP191" s="137" t="str">
        <f t="shared" si="111"/>
        <v>CONVICTION</v>
      </c>
      <c r="BQ191" s="128" t="str">
        <f t="shared" si="112"/>
        <v>Y</v>
      </c>
      <c r="BR191" s="129" t="str">
        <f t="shared" si="113"/>
        <v>DETAINED</v>
      </c>
      <c r="BS191" s="129" t="str">
        <f t="shared" si="114"/>
        <v>DISPOSED</v>
      </c>
      <c r="BT191" s="129" t="str">
        <f t="shared" si="115"/>
        <v>Y</v>
      </c>
      <c r="BU191" s="109">
        <f t="shared" si="116"/>
        <v>0.95833333333333337</v>
      </c>
      <c r="BV191" s="109">
        <f t="shared" si="117"/>
        <v>1</v>
      </c>
      <c r="BW191" s="109">
        <f t="shared" si="148"/>
        <v>4.166666666666663E-2</v>
      </c>
      <c r="BX191" s="111">
        <f t="shared" si="118"/>
        <v>0</v>
      </c>
      <c r="BY191" s="129">
        <f t="shared" si="119"/>
        <v>-23</v>
      </c>
      <c r="BZ191" s="111">
        <f t="shared" si="120"/>
        <v>0</v>
      </c>
      <c r="CA191" s="138">
        <f t="shared" si="121"/>
        <v>23</v>
      </c>
      <c r="CB191" s="111" t="e">
        <f t="shared" si="149"/>
        <v>#VALUE!</v>
      </c>
      <c r="CC191" s="129">
        <f>G191-I191+1</f>
        <v>23</v>
      </c>
      <c r="CD191" s="129">
        <f>G191-J191</f>
        <v>0</v>
      </c>
      <c r="CE191" s="129">
        <f t="shared" si="122"/>
        <v>0</v>
      </c>
      <c r="CF191" s="129">
        <f t="shared" si="152"/>
        <v>22</v>
      </c>
      <c r="CG191" s="129" t="str">
        <f t="shared" si="123"/>
        <v>Y</v>
      </c>
      <c r="CI191" s="129" t="str">
        <f t="shared" si="124"/>
        <v>11-30 DAYS</v>
      </c>
      <c r="CJ191" s="137">
        <f t="shared" si="125"/>
        <v>2</v>
      </c>
      <c r="CK191" s="129" t="str">
        <f t="shared" si="126"/>
        <v>Booked</v>
      </c>
    </row>
    <row r="192" spans="1:89" ht="15" customHeight="1" x14ac:dyDescent="0.25">
      <c r="A192" s="111">
        <v>2033</v>
      </c>
      <c r="B192" s="128" t="str">
        <f t="shared" si="104"/>
        <v>N</v>
      </c>
      <c r="C192" s="128" t="str">
        <f t="shared" si="105"/>
        <v>N</v>
      </c>
      <c r="D192" s="117">
        <v>695175</v>
      </c>
      <c r="E192" s="135">
        <f t="shared" si="106"/>
        <v>3</v>
      </c>
      <c r="F192" s="124">
        <v>40985</v>
      </c>
      <c r="G192" s="125">
        <v>41205</v>
      </c>
      <c r="H192" s="117">
        <v>695175</v>
      </c>
      <c r="I192" s="124">
        <v>40985</v>
      </c>
      <c r="J192" s="124">
        <v>40986</v>
      </c>
      <c r="K192" s="126">
        <v>20000</v>
      </c>
      <c r="L192" s="127" t="s">
        <v>571</v>
      </c>
      <c r="M192" s="125">
        <v>40986</v>
      </c>
      <c r="N192" s="129" t="str">
        <f t="shared" si="153"/>
        <v>Y</v>
      </c>
      <c r="O192" s="128" t="s">
        <v>585</v>
      </c>
      <c r="P192" s="129" t="s">
        <v>39</v>
      </c>
      <c r="Q192" s="111">
        <f t="shared" si="145"/>
        <v>2</v>
      </c>
      <c r="R192" s="111">
        <f t="shared" si="99"/>
        <v>221</v>
      </c>
      <c r="S192" s="129">
        <v>1</v>
      </c>
      <c r="T192" s="129">
        <v>7</v>
      </c>
      <c r="W192" s="111"/>
      <c r="AC192" s="130"/>
      <c r="AD192" s="130">
        <v>24626</v>
      </c>
      <c r="AE192" s="128" t="s">
        <v>32</v>
      </c>
      <c r="AF192" s="128" t="s">
        <v>40</v>
      </c>
      <c r="AG192" s="128" t="s">
        <v>41</v>
      </c>
      <c r="AH192" s="108" t="s">
        <v>41</v>
      </c>
      <c r="AI192" s="128" t="s">
        <v>34</v>
      </c>
      <c r="AJ192" s="129" t="s">
        <v>89</v>
      </c>
      <c r="AK192" s="129">
        <v>11</v>
      </c>
      <c r="AL192" s="3" t="s">
        <v>185</v>
      </c>
      <c r="AO192" s="128">
        <v>15</v>
      </c>
      <c r="AP192" s="129" t="s">
        <v>66</v>
      </c>
      <c r="AR192" s="128" t="s">
        <v>67</v>
      </c>
      <c r="AS192" s="129" t="s">
        <v>68</v>
      </c>
      <c r="BC192" s="129" t="s">
        <v>52</v>
      </c>
      <c r="BF192" s="111">
        <f t="shared" si="146"/>
        <v>2</v>
      </c>
      <c r="BG192" s="111">
        <f t="shared" si="147"/>
        <v>221</v>
      </c>
      <c r="BH192" s="111">
        <f t="shared" si="100"/>
        <v>221</v>
      </c>
      <c r="BI192" s="111">
        <f t="shared" si="101"/>
        <v>44.696721311475407</v>
      </c>
      <c r="BJ192" s="129">
        <f>(G192-J192)+(M192-G192)</f>
        <v>0</v>
      </c>
      <c r="BK192" s="129">
        <f t="shared" si="102"/>
        <v>-219</v>
      </c>
      <c r="BL192" s="129" t="str">
        <f t="shared" si="103"/>
        <v>CONVICTION</v>
      </c>
      <c r="BM192" s="129" t="s">
        <v>76</v>
      </c>
      <c r="BN192" s="129" t="s">
        <v>88</v>
      </c>
      <c r="BP192" s="137" t="str">
        <f t="shared" si="111"/>
        <v>CONVICTION</v>
      </c>
      <c r="BQ192" s="128" t="str">
        <f t="shared" si="112"/>
        <v>Y</v>
      </c>
      <c r="BR192" s="129" t="str">
        <f>IF(J192&lt;G192,"ON BOND",0)</f>
        <v>ON BOND</v>
      </c>
      <c r="BS192" s="129" t="str">
        <f t="shared" si="114"/>
        <v>DISPOSED</v>
      </c>
      <c r="BT192" s="129" t="str">
        <f t="shared" si="115"/>
        <v>Y</v>
      </c>
      <c r="BU192" s="109">
        <f t="shared" si="116"/>
        <v>9.0497737556561094E-3</v>
      </c>
      <c r="BV192" s="109">
        <f t="shared" si="117"/>
        <v>9.0497737556561094E-3</v>
      </c>
      <c r="BW192" s="109">
        <f t="shared" si="148"/>
        <v>0</v>
      </c>
      <c r="BX192" s="111">
        <f t="shared" si="118"/>
        <v>0</v>
      </c>
      <c r="BY192" s="129">
        <f t="shared" si="119"/>
        <v>-2</v>
      </c>
      <c r="BZ192" s="111">
        <f t="shared" si="120"/>
        <v>0</v>
      </c>
      <c r="CA192" s="138">
        <f t="shared" si="121"/>
        <v>2</v>
      </c>
      <c r="CB192" s="111" t="e">
        <f t="shared" si="149"/>
        <v>#VALUE!</v>
      </c>
      <c r="CC192" s="129">
        <f>M192-I192+1</f>
        <v>2</v>
      </c>
      <c r="CD192" s="111">
        <f>CC192-BF192</f>
        <v>0</v>
      </c>
      <c r="CE192" s="129">
        <f t="shared" si="122"/>
        <v>219</v>
      </c>
      <c r="CF192" s="129">
        <f t="shared" si="152"/>
        <v>1</v>
      </c>
      <c r="CG192" s="129" t="str">
        <f t="shared" si="123"/>
        <v>Y</v>
      </c>
      <c r="CI192" s="129" t="str">
        <f t="shared" si="124"/>
        <v>0-10 DAYS</v>
      </c>
      <c r="CJ192" s="137">
        <f t="shared" si="125"/>
        <v>1</v>
      </c>
      <c r="CK192" s="129" t="str">
        <f t="shared" si="126"/>
        <v>Booked</v>
      </c>
    </row>
    <row r="193" spans="1:89" ht="15" customHeight="1" x14ac:dyDescent="0.25">
      <c r="A193" s="111">
        <v>801</v>
      </c>
      <c r="B193" s="128" t="str">
        <f t="shared" si="104"/>
        <v>N</v>
      </c>
      <c r="C193" s="128" t="str">
        <f t="shared" si="105"/>
        <v>N</v>
      </c>
      <c r="D193" s="117">
        <v>695643</v>
      </c>
      <c r="E193" s="135">
        <f t="shared" si="106"/>
        <v>6</v>
      </c>
      <c r="F193" s="124">
        <v>40939</v>
      </c>
      <c r="G193" s="125">
        <v>41138</v>
      </c>
      <c r="H193" s="117">
        <v>695643</v>
      </c>
      <c r="I193" s="124">
        <v>40948</v>
      </c>
      <c r="J193" s="124">
        <v>40995</v>
      </c>
      <c r="K193" s="126">
        <v>50000</v>
      </c>
      <c r="L193" s="129" t="s">
        <v>572</v>
      </c>
      <c r="M193" s="125">
        <v>40995</v>
      </c>
      <c r="N193" s="129" t="str">
        <f t="shared" si="153"/>
        <v>Y</v>
      </c>
      <c r="O193" s="128" t="s">
        <v>76</v>
      </c>
      <c r="P193" s="129" t="s">
        <v>39</v>
      </c>
      <c r="Q193" s="111">
        <f t="shared" si="145"/>
        <v>48</v>
      </c>
      <c r="R193" s="111">
        <f t="shared" si="99"/>
        <v>200</v>
      </c>
      <c r="S193" s="129">
        <v>5</v>
      </c>
      <c r="T193" s="129">
        <v>6</v>
      </c>
      <c r="U193" s="129">
        <v>4</v>
      </c>
      <c r="W193" s="111"/>
      <c r="AC193" s="130"/>
      <c r="AD193" s="130">
        <v>23572</v>
      </c>
      <c r="AE193" s="128" t="s">
        <v>32</v>
      </c>
      <c r="AF193" s="128" t="s">
        <v>33</v>
      </c>
      <c r="AG193" s="128" t="s">
        <v>872</v>
      </c>
      <c r="AH193" s="108" t="s">
        <v>58</v>
      </c>
      <c r="AI193" s="128" t="s">
        <v>83</v>
      </c>
      <c r="AJ193" s="129" t="s">
        <v>89</v>
      </c>
      <c r="AK193" s="129">
        <v>11</v>
      </c>
      <c r="AL193" s="3" t="s">
        <v>362</v>
      </c>
      <c r="AM193" s="117">
        <v>3</v>
      </c>
      <c r="AP193" s="129" t="s">
        <v>73</v>
      </c>
      <c r="AR193" s="128" t="s">
        <v>50</v>
      </c>
      <c r="AS193" s="129" t="s">
        <v>74</v>
      </c>
      <c r="BC193" s="129" t="s">
        <v>38</v>
      </c>
      <c r="BF193" s="111">
        <f t="shared" si="146"/>
        <v>48</v>
      </c>
      <c r="BG193" s="111">
        <f t="shared" si="147"/>
        <v>191</v>
      </c>
      <c r="BH193" s="111">
        <f t="shared" si="100"/>
        <v>200</v>
      </c>
      <c r="BI193" s="111">
        <f t="shared" si="101"/>
        <v>47.450819672131146</v>
      </c>
      <c r="BJ193" s="129">
        <f>(G193-J193)+(M193-G193)</f>
        <v>0</v>
      </c>
      <c r="BK193" s="129">
        <f t="shared" si="102"/>
        <v>-143</v>
      </c>
      <c r="BL193" s="129" t="str">
        <f t="shared" si="103"/>
        <v>CONVICTION</v>
      </c>
      <c r="BM193" s="129" t="s">
        <v>76</v>
      </c>
      <c r="BN193" s="129" t="s">
        <v>88</v>
      </c>
      <c r="BP193" s="137" t="str">
        <f t="shared" si="111"/>
        <v>CONVICTION</v>
      </c>
      <c r="BQ193" s="128" t="str">
        <f t="shared" si="112"/>
        <v>Y</v>
      </c>
      <c r="BR193" s="129" t="str">
        <f>IF(J193&lt;G193,"ON BOND",0)</f>
        <v>ON BOND</v>
      </c>
      <c r="BS193" s="129" t="str">
        <f t="shared" si="114"/>
        <v>DISPOSED</v>
      </c>
      <c r="BT193" s="129" t="str">
        <f t="shared" si="115"/>
        <v>Y</v>
      </c>
      <c r="BU193" s="109">
        <f t="shared" si="116"/>
        <v>0.24</v>
      </c>
      <c r="BV193" s="109">
        <f t="shared" si="117"/>
        <v>0.2513089005235602</v>
      </c>
      <c r="BW193" s="109">
        <f t="shared" si="148"/>
        <v>1.1308900523560206E-2</v>
      </c>
      <c r="BX193" s="111">
        <f t="shared" si="118"/>
        <v>0</v>
      </c>
      <c r="BY193" s="129">
        <f t="shared" si="119"/>
        <v>-48</v>
      </c>
      <c r="BZ193" s="111">
        <f t="shared" si="120"/>
        <v>0</v>
      </c>
      <c r="CA193" s="138">
        <f t="shared" si="121"/>
        <v>48</v>
      </c>
      <c r="CB193" s="111" t="e">
        <f t="shared" si="149"/>
        <v>#VALUE!</v>
      </c>
      <c r="CC193" s="129">
        <f>M193-I193+1</f>
        <v>48</v>
      </c>
      <c r="CD193" s="111">
        <f>CC193-BF193</f>
        <v>0</v>
      </c>
      <c r="CE193" s="129">
        <f t="shared" si="122"/>
        <v>143</v>
      </c>
      <c r="CF193" s="129">
        <f t="shared" si="152"/>
        <v>47</v>
      </c>
      <c r="CG193" s="129" t="str">
        <f t="shared" si="123"/>
        <v>Y</v>
      </c>
      <c r="CI193" s="129" t="str">
        <f t="shared" si="124"/>
        <v>31-60 DAYS</v>
      </c>
      <c r="CJ193" s="137">
        <f t="shared" si="125"/>
        <v>3</v>
      </c>
      <c r="CK193" s="129" t="str">
        <f t="shared" si="126"/>
        <v>Booked</v>
      </c>
    </row>
    <row r="194" spans="1:89" ht="15.75" customHeight="1" x14ac:dyDescent="0.25">
      <c r="A194" s="111">
        <v>1830</v>
      </c>
      <c r="B194" s="128" t="str">
        <f t="shared" si="104"/>
        <v>N</v>
      </c>
      <c r="C194" s="128" t="str">
        <f t="shared" si="105"/>
        <v>N</v>
      </c>
      <c r="D194" s="117">
        <v>698582</v>
      </c>
      <c r="E194" s="135">
        <f t="shared" si="106"/>
        <v>5</v>
      </c>
      <c r="F194" s="124">
        <v>40976</v>
      </c>
      <c r="G194" s="125">
        <v>41145</v>
      </c>
      <c r="H194" s="117">
        <v>698582</v>
      </c>
      <c r="I194" s="124">
        <v>41069</v>
      </c>
      <c r="J194" s="124">
        <v>41145</v>
      </c>
      <c r="K194" s="126" t="s">
        <v>564</v>
      </c>
      <c r="L194" s="127" t="s">
        <v>564</v>
      </c>
      <c r="N194" s="129" t="s">
        <v>566</v>
      </c>
      <c r="O194" s="128" t="s">
        <v>917</v>
      </c>
      <c r="P194" s="129" t="s">
        <v>39</v>
      </c>
      <c r="Q194" s="111">
        <f t="shared" si="145"/>
        <v>77</v>
      </c>
      <c r="R194" s="111">
        <f t="shared" ref="R194:R257" si="154">BH194</f>
        <v>170</v>
      </c>
      <c r="S194" s="129">
        <v>7</v>
      </c>
      <c r="T194" s="129">
        <v>2</v>
      </c>
      <c r="U194" s="129">
        <v>6</v>
      </c>
      <c r="W194" s="111"/>
      <c r="AC194" s="130"/>
      <c r="AD194" s="130">
        <v>20448</v>
      </c>
      <c r="AE194" s="128" t="s">
        <v>32</v>
      </c>
      <c r="AF194" s="128" t="s">
        <v>33</v>
      </c>
      <c r="AG194" s="128" t="s">
        <v>872</v>
      </c>
      <c r="AH194" s="108" t="s">
        <v>58</v>
      </c>
      <c r="AI194" s="128" t="s">
        <v>97</v>
      </c>
      <c r="AJ194" s="129" t="s">
        <v>89</v>
      </c>
      <c r="AK194" s="129">
        <v>6</v>
      </c>
      <c r="AL194" s="3" t="s">
        <v>992</v>
      </c>
      <c r="AN194" s="117">
        <v>9</v>
      </c>
      <c r="AP194" s="129" t="s">
        <v>63</v>
      </c>
      <c r="AR194" s="128" t="s">
        <v>44</v>
      </c>
      <c r="AS194" s="129" t="s">
        <v>64</v>
      </c>
      <c r="BC194" s="129" t="s">
        <v>99</v>
      </c>
      <c r="BF194" s="111">
        <f t="shared" si="146"/>
        <v>77</v>
      </c>
      <c r="BG194" s="111">
        <f t="shared" si="147"/>
        <v>77</v>
      </c>
      <c r="BH194" s="111">
        <f t="shared" ref="BH194:BH257" si="155">IF(G194&gt;1/1/1900,((G194+1)-F194),"STILL OPEN")</f>
        <v>170</v>
      </c>
      <c r="BI194" s="111">
        <f t="shared" ref="BI194:BI257" si="156">(F194-AD194)/366</f>
        <v>56.087431693989068</v>
      </c>
      <c r="BJ194" s="129">
        <f t="shared" si="109"/>
        <v>0</v>
      </c>
      <c r="BK194" s="129">
        <f t="shared" ref="BK194:BK257" si="157">J194-G194</f>
        <v>0</v>
      </c>
      <c r="BL194" s="129" t="str">
        <f t="shared" ref="BL194:BL257" si="158">IF(OR(AL194="AQUITTAL",AL194="DISMISSED",AL194="FINE",AL194="NO BILL"),"NO CONVICTION",IF(OR(AL194="HCJ",AL194="MHH",AL194="PROBATION",AL194="STJ",AL194="TDC"),"CONVICTION",IF(AL194="DEFERRED","DEFERRED",0)))</f>
        <v>CONVICTION</v>
      </c>
      <c r="BM194" s="129" t="str">
        <f t="shared" si="110"/>
        <v>NONE</v>
      </c>
      <c r="BN194" s="129" t="s">
        <v>566</v>
      </c>
      <c r="BP194" s="137" t="str">
        <f t="shared" si="111"/>
        <v>CONVICTION</v>
      </c>
      <c r="BQ194" s="128" t="str">
        <f t="shared" si="112"/>
        <v>Y</v>
      </c>
      <c r="BR194" s="129" t="str">
        <f t="shared" si="113"/>
        <v>DETAINED</v>
      </c>
      <c r="BS194" s="129" t="str">
        <f t="shared" si="114"/>
        <v>DISPOSED</v>
      </c>
      <c r="BT194" s="129" t="str">
        <f t="shared" si="115"/>
        <v>Y</v>
      </c>
      <c r="BU194" s="109">
        <f t="shared" si="116"/>
        <v>0.45294117647058824</v>
      </c>
      <c r="BV194" s="109">
        <f t="shared" si="117"/>
        <v>1</v>
      </c>
      <c r="BW194" s="109">
        <f t="shared" si="148"/>
        <v>0.54705882352941182</v>
      </c>
      <c r="BX194" s="111">
        <f t="shared" si="118"/>
        <v>0</v>
      </c>
      <c r="BY194" s="129">
        <f t="shared" si="119"/>
        <v>-77</v>
      </c>
      <c r="BZ194" s="111">
        <f t="shared" si="120"/>
        <v>0</v>
      </c>
      <c r="CA194" s="138">
        <f t="shared" si="121"/>
        <v>77</v>
      </c>
      <c r="CB194" s="111" t="e">
        <f t="shared" si="149"/>
        <v>#VALUE!</v>
      </c>
      <c r="CC194" s="129">
        <f>G194-I194+1</f>
        <v>77</v>
      </c>
      <c r="CD194" s="129">
        <f>G194-J194</f>
        <v>0</v>
      </c>
      <c r="CE194" s="129">
        <f t="shared" si="122"/>
        <v>0</v>
      </c>
      <c r="CF194" s="129">
        <f t="shared" si="152"/>
        <v>76</v>
      </c>
      <c r="CG194" s="129" t="str">
        <f t="shared" si="123"/>
        <v>Y</v>
      </c>
      <c r="CI194" s="129" t="str">
        <f t="shared" si="124"/>
        <v>61-90 DAYS</v>
      </c>
      <c r="CJ194" s="137">
        <f t="shared" si="125"/>
        <v>4</v>
      </c>
      <c r="CK194" s="129" t="str">
        <f t="shared" si="126"/>
        <v>Booked</v>
      </c>
    </row>
    <row r="195" spans="1:89" ht="15" customHeight="1" x14ac:dyDescent="0.25">
      <c r="A195" s="111">
        <v>2923</v>
      </c>
      <c r="B195" s="128" t="str">
        <f t="shared" ref="B195:B258" si="159">IF(BD195&lt;&gt;"","Y","N")</f>
        <v>N</v>
      </c>
      <c r="C195" s="128" t="str">
        <f t="shared" ref="C195:C258" si="160">IF((AND(AV195="",AX195="",AY195="")),"N","Y")</f>
        <v>N</v>
      </c>
      <c r="D195" s="117">
        <v>698802</v>
      </c>
      <c r="E195" s="135">
        <f t="shared" ref="E195:E258" si="161">IF(OR(AL195="ACQUITTAL",AL195="ACQUIT",AL195="acq insane",AL195="DISMISSED",AL195="NO BILL"),1,IF(AL195="DEFERRED",2,IF(AL195="PROBATION",3,IF(OR(AL195="HCJ",AL195="fine"),4,IF(AL195="STJ",5,IF(AL195="TDC",6,""))))))</f>
        <v>2</v>
      </c>
      <c r="F195" s="124">
        <v>41017</v>
      </c>
      <c r="G195" s="125">
        <v>41358</v>
      </c>
      <c r="H195" s="117">
        <v>698802</v>
      </c>
      <c r="I195" s="124" t="s">
        <v>562</v>
      </c>
      <c r="J195" s="124" t="s">
        <v>562</v>
      </c>
      <c r="K195" s="126">
        <v>35000</v>
      </c>
      <c r="L195" s="129" t="s">
        <v>572</v>
      </c>
      <c r="M195" s="125">
        <v>41018</v>
      </c>
      <c r="N195" s="129" t="str">
        <f>IF(M195&gt;1/1/1,"Y",IF(Q195="NOT BOOKED","","N"))</f>
        <v>Y</v>
      </c>
      <c r="O195" s="128" t="s">
        <v>76</v>
      </c>
      <c r="P195" s="129" t="s">
        <v>589</v>
      </c>
      <c r="Q195" s="111">
        <f t="shared" si="145"/>
        <v>0</v>
      </c>
      <c r="R195" s="111">
        <f t="shared" si="154"/>
        <v>342</v>
      </c>
      <c r="S195" s="129">
        <v>0</v>
      </c>
      <c r="T195" s="129">
        <v>0</v>
      </c>
      <c r="W195" s="111"/>
      <c r="AC195" s="130"/>
      <c r="AD195" s="130">
        <v>21285</v>
      </c>
      <c r="AE195" s="128" t="s">
        <v>32</v>
      </c>
      <c r="AF195" s="128" t="s">
        <v>33</v>
      </c>
      <c r="AG195" s="128" t="s">
        <v>872</v>
      </c>
      <c r="AH195" s="108" t="s">
        <v>31</v>
      </c>
      <c r="AI195" s="128" t="s">
        <v>83</v>
      </c>
      <c r="AJ195" s="129" t="s">
        <v>48</v>
      </c>
      <c r="AK195" s="129">
        <v>13</v>
      </c>
      <c r="AL195" s="3" t="s">
        <v>48</v>
      </c>
      <c r="AP195" s="129" t="s">
        <v>315</v>
      </c>
      <c r="AR195" s="128" t="s">
        <v>92</v>
      </c>
      <c r="AS195" s="129" t="s">
        <v>82</v>
      </c>
      <c r="BC195" s="129" t="s">
        <v>52</v>
      </c>
      <c r="BF195" s="111">
        <v>0</v>
      </c>
      <c r="BG195" s="111" t="e">
        <f t="shared" si="147"/>
        <v>#VALUE!</v>
      </c>
      <c r="BH195" s="111">
        <f t="shared" si="155"/>
        <v>342</v>
      </c>
      <c r="BI195" s="111">
        <f t="shared" si="156"/>
        <v>53.912568306010932</v>
      </c>
      <c r="BJ195" s="129" t="e">
        <f>(G195-J195)+(M195-G195)</f>
        <v>#VALUE!</v>
      </c>
      <c r="BK195" s="129" t="e">
        <f t="shared" si="157"/>
        <v>#VALUE!</v>
      </c>
      <c r="BL195" s="129" t="str">
        <f t="shared" si="158"/>
        <v>DEFERRED</v>
      </c>
      <c r="BM195" s="129" t="s">
        <v>76</v>
      </c>
      <c r="BN195" s="129" t="s">
        <v>88</v>
      </c>
      <c r="BP195" s="137" t="str">
        <f t="shared" ref="BP195:BP258" si="162">IF(OR(AJ195="AQUITTAL",AJ195="DISMISSED",AJ195="FINE",AJ195="NO BILL"),"NO CONVICTION",IF(OR(AJ195="HCJ",AJ195="MHH",AJ195="PROBATION",AJ195="STJ",AJ195="TDC",AJ195="CONVICTED"),"CONVICTION",IF(AJ195="DEFERRED","DEFERRED","")))</f>
        <v>DEFERRED</v>
      </c>
      <c r="BQ195" s="128">
        <f t="shared" ref="BQ195:BQ258" si="163">IF(BF195&gt;0,"Y",BF195)</f>
        <v>0</v>
      </c>
      <c r="BR195" s="129" t="s">
        <v>575</v>
      </c>
      <c r="BS195" s="129" t="str">
        <f t="shared" ref="BS195:BS258" si="164">IF(G195&lt;&gt;"","DISPOSED","")</f>
        <v>DISPOSED</v>
      </c>
      <c r="BT195" s="129" t="str">
        <f t="shared" ref="BT195:BT258" si="165">IF(S195&gt;0,"Y","N")</f>
        <v>N</v>
      </c>
      <c r="BU195" s="109">
        <f t="shared" ref="BU195:BU258" si="166">Q195/R195</f>
        <v>0</v>
      </c>
      <c r="BV195" s="109">
        <v>0</v>
      </c>
      <c r="BW195" s="109">
        <f t="shared" si="148"/>
        <v>0</v>
      </c>
      <c r="BX195" s="111">
        <f t="shared" ref="BX195:BX258" si="167">+Q195-BF195</f>
        <v>0</v>
      </c>
      <c r="BY195" s="129" t="e">
        <f t="shared" ref="BY195:BY258" si="168">I195-J195-1</f>
        <v>#VALUE!</v>
      </c>
      <c r="BZ195" s="111" t="e">
        <f t="shared" ref="BZ195:BZ258" si="169">BY195+BF195</f>
        <v>#VALUE!</v>
      </c>
      <c r="CA195" s="138" t="e">
        <f t="shared" ref="CA195:CA258" si="170">IF(AND(BS195="DISPOSED",BR195="DETAINED"),G195-I195+1,IF(AND(BS195="DISPOSED",BR195="ON BOND"),M195-I195+1,IF(AND(BS195="STILL OPEN","STILL OPEN"),"NOT BOOKED")))</f>
        <v>#VALUE!</v>
      </c>
      <c r="CB195" s="111">
        <v>0</v>
      </c>
      <c r="CC195" s="129">
        <v>0</v>
      </c>
      <c r="CD195" s="111">
        <f>CC195-BF195</f>
        <v>0</v>
      </c>
      <c r="CE195" s="129" t="e">
        <f t="shared" ref="CE195:CE258" si="171">G195-J195</f>
        <v>#VALUE!</v>
      </c>
      <c r="CF195" s="129" t="e">
        <f t="shared" si="152"/>
        <v>#VALUE!</v>
      </c>
      <c r="CG195" s="129" t="str">
        <f t="shared" ref="CG195:CG258" si="172">IF((S195+T195+U195)&gt;0,"Y","N")</f>
        <v>N</v>
      </c>
      <c r="CI195" s="129" t="str">
        <f t="shared" ref="CI195:CI258" si="173">IF(BF195&lt;11,"0-10 DAYS",IF(AND(BF195&gt;10,BF195&lt;31),"11-30 DAYS",IF((AND(BF195&gt;30,BF195&lt;61)),"31-60 DAYS",IF(AND(BF195&gt;60,BF195&lt;91),"61-90 DAYS",IF(AND(BF195&gt;90,BF195&lt;121),"91-120 DAYS",IF(AND(BF195&gt;120,BF195&lt;366),"121-365 DAYS",IF(AND(BF195&gt;365,BF195&lt;730)," &gt;1YRS&lt;2YRS",IF(AND(BF195&gt;729,BF195&lt;1095),"&gt;2YRS&lt;3YRS",IF(BF195&gt;1094,"&gt;3YRS")))))))))</f>
        <v>0-10 DAYS</v>
      </c>
      <c r="CJ195" s="137">
        <f t="shared" ref="CJ195:CJ258" si="174">IF(CI195="0-10 DAYS",1,IF(CI195="11-30 DAYS",2,IF(CI195="31-60 DAYS",3,IF(CI195="61-90 DAYS",4,IF(CK195="91-120 DAYS",5,IF(CI195="121-365 DAYS",6,IF(CI195="&gt;1YRS&lt;2YRS",7,IF(CI195="&gt;2YRS&lt;3YRS",8,IF(CI195="&gt;3YRS",9,0)))))))))</f>
        <v>1</v>
      </c>
      <c r="CK195" s="129" t="str">
        <f t="shared" ref="CK195:CK258" si="175">IF(I195="Not Booked","Not Booked","Booked")</f>
        <v>Not Booked</v>
      </c>
    </row>
    <row r="196" spans="1:89" ht="15" customHeight="1" x14ac:dyDescent="0.25">
      <c r="A196" s="111">
        <v>1626</v>
      </c>
      <c r="B196" s="128" t="str">
        <f t="shared" si="159"/>
        <v>N</v>
      </c>
      <c r="C196" s="128" t="str">
        <f t="shared" si="160"/>
        <v>N</v>
      </c>
      <c r="D196" s="117">
        <v>703514</v>
      </c>
      <c r="E196" s="135">
        <f t="shared" si="161"/>
        <v>4</v>
      </c>
      <c r="F196" s="124">
        <v>40969</v>
      </c>
      <c r="G196" s="125">
        <v>41065</v>
      </c>
      <c r="H196" s="117">
        <v>703514</v>
      </c>
      <c r="I196" s="124">
        <v>40969</v>
      </c>
      <c r="J196" s="124">
        <v>41065</v>
      </c>
      <c r="K196" s="126">
        <v>15000</v>
      </c>
      <c r="L196" s="127" t="s">
        <v>571</v>
      </c>
      <c r="N196" s="129" t="str">
        <f>IF(M196&gt;1/1/1,"Y","N")</f>
        <v>N</v>
      </c>
      <c r="O196" s="128" t="s">
        <v>917</v>
      </c>
      <c r="P196" s="129" t="s">
        <v>39</v>
      </c>
      <c r="Q196" s="111">
        <f t="shared" si="145"/>
        <v>97</v>
      </c>
      <c r="R196" s="111">
        <f t="shared" si="154"/>
        <v>97</v>
      </c>
      <c r="S196" s="129">
        <v>4</v>
      </c>
      <c r="T196" s="129">
        <v>5</v>
      </c>
      <c r="U196" s="129">
        <v>2</v>
      </c>
      <c r="W196" s="111"/>
      <c r="AC196" s="130"/>
      <c r="AD196" s="130">
        <v>21187</v>
      </c>
      <c r="AE196" s="128" t="s">
        <v>32</v>
      </c>
      <c r="AF196" s="128" t="s">
        <v>33</v>
      </c>
      <c r="AG196" s="128" t="s">
        <v>872</v>
      </c>
      <c r="AH196" s="108" t="s">
        <v>58</v>
      </c>
      <c r="AI196" s="128" t="s">
        <v>97</v>
      </c>
      <c r="AJ196" s="129" t="s">
        <v>89</v>
      </c>
      <c r="AK196" s="129">
        <v>6</v>
      </c>
      <c r="AL196" s="3" t="s">
        <v>991</v>
      </c>
      <c r="AO196" s="128">
        <v>120</v>
      </c>
      <c r="AP196" s="129" t="s">
        <v>43</v>
      </c>
      <c r="AR196" s="128" t="s">
        <v>44</v>
      </c>
      <c r="AS196" s="129" t="s">
        <v>45</v>
      </c>
      <c r="BC196" s="129" t="s">
        <v>99</v>
      </c>
      <c r="BF196" s="111">
        <f t="shared" ref="BF196:BF203" si="176">IF(J196&gt;1/1/1900,((J196+1)-I196),"STILL OPEN")</f>
        <v>97</v>
      </c>
      <c r="BG196" s="111">
        <f t="shared" si="147"/>
        <v>97</v>
      </c>
      <c r="BH196" s="111">
        <f t="shared" si="155"/>
        <v>97</v>
      </c>
      <c r="BI196" s="111">
        <f t="shared" si="156"/>
        <v>54.049180327868854</v>
      </c>
      <c r="BJ196" s="129">
        <f t="shared" ref="BJ196:BJ258" si="177">G196-J196-M196</f>
        <v>0</v>
      </c>
      <c r="BK196" s="129">
        <f t="shared" si="157"/>
        <v>0</v>
      </c>
      <c r="BL196" s="129" t="str">
        <f t="shared" si="158"/>
        <v>CONVICTION</v>
      </c>
      <c r="BM196" s="129" t="str">
        <f t="shared" ref="BM196:BM258" si="178">O196</f>
        <v>NONE</v>
      </c>
      <c r="BN196" s="129" t="s">
        <v>566</v>
      </c>
      <c r="BP196" s="137" t="str">
        <f t="shared" si="162"/>
        <v>CONVICTION</v>
      </c>
      <c r="BQ196" s="128" t="str">
        <f t="shared" si="163"/>
        <v>Y</v>
      </c>
      <c r="BR196" s="129" t="str">
        <f t="shared" ref="BR196:BR258" si="179">IF(AND(J196="NOT BOOKED",M196&gt;1/1/1),"BONDED - BEFORE BOOKED",IF(BG196="STILL OPEN","STILL OPEN",IF(N196="Y","ON BOND",IF(J196&gt;=G196,"DETAINED","RELEASED"))))</f>
        <v>DETAINED</v>
      </c>
      <c r="BS196" s="129" t="str">
        <f t="shared" si="164"/>
        <v>DISPOSED</v>
      </c>
      <c r="BT196" s="129" t="str">
        <f t="shared" si="165"/>
        <v>Y</v>
      </c>
      <c r="BU196" s="109">
        <f t="shared" si="166"/>
        <v>1</v>
      </c>
      <c r="BV196" s="109">
        <f t="shared" ref="BV196:BV258" si="180">IF(I196&gt;F196,((J196-I196+1)/(G196-I196+1)),(J196-I196+1)/(G196-F196+1))</f>
        <v>1</v>
      </c>
      <c r="BW196" s="109">
        <f t="shared" si="148"/>
        <v>0</v>
      </c>
      <c r="BX196" s="111">
        <f t="shared" si="167"/>
        <v>0</v>
      </c>
      <c r="BY196" s="129">
        <f t="shared" si="168"/>
        <v>-97</v>
      </c>
      <c r="BZ196" s="111">
        <f t="shared" si="169"/>
        <v>0</v>
      </c>
      <c r="CA196" s="138">
        <f t="shared" si="170"/>
        <v>97</v>
      </c>
      <c r="CB196" s="111" t="e">
        <f t="shared" ref="CB196:CB203" si="181">IF(AF196&gt;1/1/1900,((AF196+1)-AE196),"STILL OPEN")</f>
        <v>#VALUE!</v>
      </c>
      <c r="CC196" s="129">
        <f t="shared" ref="CC196:CC203" si="182">G196-I196+1</f>
        <v>97</v>
      </c>
      <c r="CD196" s="129">
        <f t="shared" ref="CD196:CD203" si="183">G196-J196</f>
        <v>0</v>
      </c>
      <c r="CE196" s="129">
        <f t="shared" si="171"/>
        <v>0</v>
      </c>
      <c r="CF196" s="129">
        <f t="shared" si="152"/>
        <v>96</v>
      </c>
      <c r="CG196" s="129" t="str">
        <f t="shared" si="172"/>
        <v>Y</v>
      </c>
      <c r="CI196" s="129" t="str">
        <f t="shared" si="173"/>
        <v>91-120 DAYS</v>
      </c>
      <c r="CJ196" s="137">
        <f t="shared" si="174"/>
        <v>0</v>
      </c>
      <c r="CK196" s="129" t="str">
        <f t="shared" si="175"/>
        <v>Booked</v>
      </c>
    </row>
    <row r="197" spans="1:89" ht="15.75" customHeight="1" x14ac:dyDescent="0.25">
      <c r="A197" s="111">
        <v>378</v>
      </c>
      <c r="B197" s="128" t="str">
        <f t="shared" si="159"/>
        <v>N</v>
      </c>
      <c r="C197" s="128" t="str">
        <f t="shared" si="160"/>
        <v>N</v>
      </c>
      <c r="D197" s="117">
        <v>704131</v>
      </c>
      <c r="E197" s="135">
        <f t="shared" si="161"/>
        <v>6</v>
      </c>
      <c r="F197" s="124">
        <v>40924</v>
      </c>
      <c r="G197" s="125">
        <v>40956</v>
      </c>
      <c r="H197" s="117">
        <v>704131</v>
      </c>
      <c r="I197" s="124">
        <v>40954</v>
      </c>
      <c r="J197" s="124">
        <v>40956</v>
      </c>
      <c r="K197" s="126" t="s">
        <v>564</v>
      </c>
      <c r="L197" s="127" t="s">
        <v>564</v>
      </c>
      <c r="N197" s="129" t="s">
        <v>566</v>
      </c>
      <c r="O197" s="128" t="s">
        <v>917</v>
      </c>
      <c r="P197" s="129" t="s">
        <v>39</v>
      </c>
      <c r="Q197" s="111">
        <f t="shared" si="145"/>
        <v>3</v>
      </c>
      <c r="R197" s="111">
        <f t="shared" si="154"/>
        <v>33</v>
      </c>
      <c r="S197" s="129">
        <v>8</v>
      </c>
      <c r="T197" s="129">
        <v>1</v>
      </c>
      <c r="U197" s="129">
        <v>7</v>
      </c>
      <c r="W197" s="111"/>
      <c r="AC197" s="130"/>
      <c r="AD197" s="130">
        <v>23936</v>
      </c>
      <c r="AE197" s="128" t="s">
        <v>32</v>
      </c>
      <c r="AF197" s="128" t="s">
        <v>33</v>
      </c>
      <c r="AG197" s="128" t="s">
        <v>872</v>
      </c>
      <c r="AH197" s="108" t="s">
        <v>31</v>
      </c>
      <c r="AI197" s="128" t="s">
        <v>114</v>
      </c>
      <c r="AJ197" s="129" t="s">
        <v>89</v>
      </c>
      <c r="AK197" s="129">
        <v>2</v>
      </c>
      <c r="AL197" s="3" t="s">
        <v>362</v>
      </c>
      <c r="AM197" s="117">
        <v>3</v>
      </c>
      <c r="AP197" s="129" t="s">
        <v>109</v>
      </c>
      <c r="AR197" s="128" t="s">
        <v>67</v>
      </c>
      <c r="AS197" s="129" t="s">
        <v>61</v>
      </c>
      <c r="BC197" s="129" t="s">
        <v>38</v>
      </c>
      <c r="BF197" s="111">
        <f t="shared" si="176"/>
        <v>3</v>
      </c>
      <c r="BG197" s="111">
        <f t="shared" si="147"/>
        <v>3</v>
      </c>
      <c r="BH197" s="111">
        <f t="shared" si="155"/>
        <v>33</v>
      </c>
      <c r="BI197" s="111">
        <f t="shared" si="156"/>
        <v>46.415300546448087</v>
      </c>
      <c r="BJ197" s="129">
        <f t="shared" si="177"/>
        <v>0</v>
      </c>
      <c r="BK197" s="129">
        <f t="shared" si="157"/>
        <v>0</v>
      </c>
      <c r="BL197" s="129" t="str">
        <f t="shared" si="158"/>
        <v>CONVICTION</v>
      </c>
      <c r="BM197" s="129" t="str">
        <f t="shared" si="178"/>
        <v>NONE</v>
      </c>
      <c r="BN197" s="129" t="s">
        <v>566</v>
      </c>
      <c r="BP197" s="137" t="str">
        <f t="shared" si="162"/>
        <v>CONVICTION</v>
      </c>
      <c r="BQ197" s="128" t="str">
        <f t="shared" si="163"/>
        <v>Y</v>
      </c>
      <c r="BR197" s="129" t="str">
        <f t="shared" si="179"/>
        <v>DETAINED</v>
      </c>
      <c r="BS197" s="129" t="str">
        <f t="shared" si="164"/>
        <v>DISPOSED</v>
      </c>
      <c r="BT197" s="129" t="str">
        <f t="shared" si="165"/>
        <v>Y</v>
      </c>
      <c r="BU197" s="109">
        <f t="shared" si="166"/>
        <v>9.0909090909090912E-2</v>
      </c>
      <c r="BV197" s="109">
        <f t="shared" si="180"/>
        <v>1</v>
      </c>
      <c r="BW197" s="109">
        <f t="shared" si="148"/>
        <v>0.90909090909090906</v>
      </c>
      <c r="BX197" s="111">
        <f t="shared" si="167"/>
        <v>0</v>
      </c>
      <c r="BY197" s="129">
        <f t="shared" si="168"/>
        <v>-3</v>
      </c>
      <c r="BZ197" s="111">
        <f t="shared" si="169"/>
        <v>0</v>
      </c>
      <c r="CA197" s="138">
        <f t="shared" si="170"/>
        <v>3</v>
      </c>
      <c r="CB197" s="111" t="e">
        <f t="shared" si="181"/>
        <v>#VALUE!</v>
      </c>
      <c r="CC197" s="129">
        <f t="shared" si="182"/>
        <v>3</v>
      </c>
      <c r="CD197" s="129">
        <f t="shared" si="183"/>
        <v>0</v>
      </c>
      <c r="CE197" s="129">
        <f t="shared" si="171"/>
        <v>0</v>
      </c>
      <c r="CF197" s="129">
        <f t="shared" si="152"/>
        <v>2</v>
      </c>
      <c r="CG197" s="129" t="str">
        <f t="shared" si="172"/>
        <v>Y</v>
      </c>
      <c r="CI197" s="129" t="str">
        <f t="shared" si="173"/>
        <v>0-10 DAYS</v>
      </c>
      <c r="CJ197" s="137">
        <f t="shared" si="174"/>
        <v>1</v>
      </c>
      <c r="CK197" s="129" t="str">
        <f t="shared" si="175"/>
        <v>Booked</v>
      </c>
    </row>
    <row r="198" spans="1:89" ht="15" customHeight="1" x14ac:dyDescent="0.25">
      <c r="A198" s="111">
        <v>2928</v>
      </c>
      <c r="B198" s="128" t="str">
        <f t="shared" si="159"/>
        <v>N</v>
      </c>
      <c r="C198" s="128" t="str">
        <f t="shared" si="160"/>
        <v>N</v>
      </c>
      <c r="D198" s="117">
        <v>705238</v>
      </c>
      <c r="E198" s="135">
        <f t="shared" si="161"/>
        <v>5</v>
      </c>
      <c r="F198" s="124">
        <v>41017</v>
      </c>
      <c r="G198" s="125">
        <v>41102</v>
      </c>
      <c r="H198" s="117">
        <v>705238</v>
      </c>
      <c r="I198" s="124">
        <v>41017</v>
      </c>
      <c r="J198" s="124">
        <v>41102</v>
      </c>
      <c r="K198" s="126">
        <v>15000</v>
      </c>
      <c r="L198" s="127" t="s">
        <v>571</v>
      </c>
      <c r="N198" s="129" t="str">
        <f>IF(M198&gt;1/1/1,"Y","N")</f>
        <v>N</v>
      </c>
      <c r="O198" s="128" t="s">
        <v>917</v>
      </c>
      <c r="P198" s="129" t="s">
        <v>39</v>
      </c>
      <c r="Q198" s="111">
        <f t="shared" si="145"/>
        <v>86</v>
      </c>
      <c r="R198" s="111">
        <f t="shared" si="154"/>
        <v>86</v>
      </c>
      <c r="S198" s="129">
        <v>2</v>
      </c>
      <c r="T198" s="129">
        <v>0</v>
      </c>
      <c r="U198" s="129">
        <v>1</v>
      </c>
      <c r="V198" s="117">
        <v>1</v>
      </c>
      <c r="W198" s="111"/>
      <c r="AC198" s="130"/>
      <c r="AD198" s="130">
        <v>20621</v>
      </c>
      <c r="AE198" s="128" t="s">
        <v>32</v>
      </c>
      <c r="AF198" s="128" t="s">
        <v>33</v>
      </c>
      <c r="AG198" s="128" t="s">
        <v>872</v>
      </c>
      <c r="AH198" s="108" t="s">
        <v>31</v>
      </c>
      <c r="AI198" s="128" t="s">
        <v>59</v>
      </c>
      <c r="AJ198" s="129" t="s">
        <v>89</v>
      </c>
      <c r="AK198" s="129">
        <v>7</v>
      </c>
      <c r="AL198" s="3" t="s">
        <v>992</v>
      </c>
      <c r="AN198" s="117">
        <v>6</v>
      </c>
      <c r="AP198" s="129" t="s">
        <v>43</v>
      </c>
      <c r="AR198" s="128" t="s">
        <v>44</v>
      </c>
      <c r="AS198" s="129" t="s">
        <v>45</v>
      </c>
      <c r="BC198" s="129" t="s">
        <v>99</v>
      </c>
      <c r="BF198" s="111">
        <f t="shared" si="176"/>
        <v>86</v>
      </c>
      <c r="BG198" s="111">
        <f t="shared" si="147"/>
        <v>86</v>
      </c>
      <c r="BH198" s="111">
        <f t="shared" si="155"/>
        <v>86</v>
      </c>
      <c r="BI198" s="111">
        <f t="shared" si="156"/>
        <v>55.72677595628415</v>
      </c>
      <c r="BJ198" s="129">
        <f t="shared" si="177"/>
        <v>0</v>
      </c>
      <c r="BK198" s="129">
        <f t="shared" si="157"/>
        <v>0</v>
      </c>
      <c r="BL198" s="129" t="str">
        <f t="shared" si="158"/>
        <v>CONVICTION</v>
      </c>
      <c r="BM198" s="129" t="str">
        <f t="shared" si="178"/>
        <v>NONE</v>
      </c>
      <c r="BN198" s="129" t="s">
        <v>566</v>
      </c>
      <c r="BP198" s="137" t="str">
        <f t="shared" si="162"/>
        <v>CONVICTION</v>
      </c>
      <c r="BQ198" s="128" t="str">
        <f t="shared" si="163"/>
        <v>Y</v>
      </c>
      <c r="BR198" s="129" t="str">
        <f t="shared" si="179"/>
        <v>DETAINED</v>
      </c>
      <c r="BS198" s="129" t="str">
        <f t="shared" si="164"/>
        <v>DISPOSED</v>
      </c>
      <c r="BT198" s="129" t="str">
        <f t="shared" si="165"/>
        <v>Y</v>
      </c>
      <c r="BU198" s="109">
        <f t="shared" si="166"/>
        <v>1</v>
      </c>
      <c r="BV198" s="109">
        <f t="shared" si="180"/>
        <v>1</v>
      </c>
      <c r="BW198" s="109">
        <f t="shared" si="148"/>
        <v>0</v>
      </c>
      <c r="BX198" s="111">
        <f t="shared" si="167"/>
        <v>0</v>
      </c>
      <c r="BY198" s="129">
        <f t="shared" si="168"/>
        <v>-86</v>
      </c>
      <c r="BZ198" s="111">
        <f t="shared" si="169"/>
        <v>0</v>
      </c>
      <c r="CA198" s="138">
        <f t="shared" si="170"/>
        <v>86</v>
      </c>
      <c r="CB198" s="111" t="e">
        <f t="shared" si="181"/>
        <v>#VALUE!</v>
      </c>
      <c r="CC198" s="129">
        <f t="shared" si="182"/>
        <v>86</v>
      </c>
      <c r="CD198" s="129">
        <f t="shared" si="183"/>
        <v>0</v>
      </c>
      <c r="CE198" s="129">
        <f t="shared" si="171"/>
        <v>0</v>
      </c>
      <c r="CF198" s="129">
        <f t="shared" si="152"/>
        <v>85</v>
      </c>
      <c r="CG198" s="129" t="str">
        <f t="shared" si="172"/>
        <v>Y</v>
      </c>
      <c r="CI198" s="129" t="str">
        <f t="shared" si="173"/>
        <v>61-90 DAYS</v>
      </c>
      <c r="CJ198" s="137">
        <f t="shared" si="174"/>
        <v>4</v>
      </c>
      <c r="CK198" s="129" t="str">
        <f t="shared" si="175"/>
        <v>Booked</v>
      </c>
    </row>
    <row r="199" spans="1:89" ht="15.75" customHeight="1" x14ac:dyDescent="0.25">
      <c r="A199" s="111">
        <v>3025</v>
      </c>
      <c r="B199" s="128" t="str">
        <f t="shared" si="159"/>
        <v>N</v>
      </c>
      <c r="C199" s="128" t="str">
        <f t="shared" si="160"/>
        <v>N</v>
      </c>
      <c r="D199" s="117">
        <v>707803</v>
      </c>
      <c r="E199" s="135">
        <f t="shared" si="161"/>
        <v>6</v>
      </c>
      <c r="F199" s="124">
        <v>41020</v>
      </c>
      <c r="G199" s="125">
        <v>41149</v>
      </c>
      <c r="H199" s="117">
        <v>707803</v>
      </c>
      <c r="I199" s="124">
        <v>41021</v>
      </c>
      <c r="J199" s="124">
        <v>41149</v>
      </c>
      <c r="K199" s="126" t="s">
        <v>564</v>
      </c>
      <c r="L199" s="127" t="s">
        <v>564</v>
      </c>
      <c r="N199" s="129" t="s">
        <v>566</v>
      </c>
      <c r="O199" s="128" t="s">
        <v>917</v>
      </c>
      <c r="P199" s="129" t="s">
        <v>39</v>
      </c>
      <c r="Q199" s="111">
        <f t="shared" si="145"/>
        <v>129</v>
      </c>
      <c r="R199" s="111">
        <f t="shared" si="154"/>
        <v>130</v>
      </c>
      <c r="S199" s="129">
        <v>9</v>
      </c>
      <c r="T199" s="129">
        <v>8</v>
      </c>
      <c r="U199" s="129">
        <v>4</v>
      </c>
      <c r="W199" s="111"/>
      <c r="AC199" s="130"/>
      <c r="AD199" s="130">
        <v>25002</v>
      </c>
      <c r="AE199" s="128" t="s">
        <v>46</v>
      </c>
      <c r="AF199" s="128" t="s">
        <v>33</v>
      </c>
      <c r="AG199" s="128" t="s">
        <v>872</v>
      </c>
      <c r="AH199" s="108" t="s">
        <v>58</v>
      </c>
      <c r="AI199" s="128" t="s">
        <v>113</v>
      </c>
      <c r="AJ199" s="129" t="s">
        <v>89</v>
      </c>
      <c r="AK199" s="129">
        <v>8</v>
      </c>
      <c r="AL199" s="3" t="s">
        <v>362</v>
      </c>
      <c r="AM199" s="117">
        <v>8</v>
      </c>
      <c r="AP199" s="129" t="s">
        <v>427</v>
      </c>
      <c r="AR199" s="128" t="s">
        <v>67</v>
      </c>
      <c r="AS199" s="129" t="s">
        <v>64</v>
      </c>
      <c r="BC199" s="129" t="s">
        <v>38</v>
      </c>
      <c r="BF199" s="111">
        <f t="shared" si="176"/>
        <v>129</v>
      </c>
      <c r="BG199" s="111">
        <f t="shared" si="147"/>
        <v>129</v>
      </c>
      <c r="BH199" s="111">
        <f t="shared" si="155"/>
        <v>130</v>
      </c>
      <c r="BI199" s="111">
        <f t="shared" si="156"/>
        <v>43.765027322404372</v>
      </c>
      <c r="BJ199" s="129">
        <f t="shared" si="177"/>
        <v>0</v>
      </c>
      <c r="BK199" s="129">
        <f t="shared" si="157"/>
        <v>0</v>
      </c>
      <c r="BL199" s="129" t="str">
        <f t="shared" si="158"/>
        <v>CONVICTION</v>
      </c>
      <c r="BM199" s="129" t="str">
        <f t="shared" si="178"/>
        <v>NONE</v>
      </c>
      <c r="BN199" s="129" t="s">
        <v>566</v>
      </c>
      <c r="BP199" s="137" t="str">
        <f t="shared" si="162"/>
        <v>CONVICTION</v>
      </c>
      <c r="BQ199" s="128" t="str">
        <f t="shared" si="163"/>
        <v>Y</v>
      </c>
      <c r="BR199" s="129" t="str">
        <f t="shared" si="179"/>
        <v>DETAINED</v>
      </c>
      <c r="BS199" s="129" t="str">
        <f t="shared" si="164"/>
        <v>DISPOSED</v>
      </c>
      <c r="BT199" s="129" t="str">
        <f t="shared" si="165"/>
        <v>Y</v>
      </c>
      <c r="BU199" s="109">
        <f t="shared" si="166"/>
        <v>0.99230769230769234</v>
      </c>
      <c r="BV199" s="109">
        <f t="shared" si="180"/>
        <v>1</v>
      </c>
      <c r="BW199" s="109">
        <f t="shared" si="148"/>
        <v>7.692307692307665E-3</v>
      </c>
      <c r="BX199" s="111">
        <f t="shared" si="167"/>
        <v>0</v>
      </c>
      <c r="BY199" s="129">
        <f t="shared" si="168"/>
        <v>-129</v>
      </c>
      <c r="BZ199" s="111">
        <f t="shared" si="169"/>
        <v>0</v>
      </c>
      <c r="CA199" s="138">
        <f t="shared" si="170"/>
        <v>129</v>
      </c>
      <c r="CB199" s="111" t="e">
        <f t="shared" si="181"/>
        <v>#VALUE!</v>
      </c>
      <c r="CC199" s="129">
        <f t="shared" si="182"/>
        <v>129</v>
      </c>
      <c r="CD199" s="129">
        <f t="shared" si="183"/>
        <v>0</v>
      </c>
      <c r="CE199" s="129">
        <f t="shared" si="171"/>
        <v>0</v>
      </c>
      <c r="CF199" s="129">
        <f t="shared" si="152"/>
        <v>128</v>
      </c>
      <c r="CG199" s="129" t="str">
        <f t="shared" si="172"/>
        <v>Y</v>
      </c>
      <c r="CI199" s="129" t="str">
        <f t="shared" si="173"/>
        <v>121-365 DAYS</v>
      </c>
      <c r="CJ199" s="137">
        <f t="shared" si="174"/>
        <v>6</v>
      </c>
      <c r="CK199" s="129" t="str">
        <f t="shared" si="175"/>
        <v>Booked</v>
      </c>
    </row>
    <row r="200" spans="1:89" ht="15.75" customHeight="1" x14ac:dyDescent="0.25">
      <c r="A200" s="111">
        <v>1800</v>
      </c>
      <c r="B200" s="128" t="str">
        <f t="shared" si="159"/>
        <v>N</v>
      </c>
      <c r="C200" s="128" t="str">
        <f t="shared" si="160"/>
        <v>N</v>
      </c>
      <c r="D200" s="117">
        <v>709427</v>
      </c>
      <c r="E200" s="135">
        <f t="shared" si="161"/>
        <v>5</v>
      </c>
      <c r="F200" s="124">
        <v>40976</v>
      </c>
      <c r="G200" s="125">
        <v>40977</v>
      </c>
      <c r="H200" s="117">
        <v>709427</v>
      </c>
      <c r="I200" s="124">
        <v>40976</v>
      </c>
      <c r="J200" s="124">
        <v>40977</v>
      </c>
      <c r="K200" s="126">
        <v>5000</v>
      </c>
      <c r="L200" s="127" t="s">
        <v>569</v>
      </c>
      <c r="N200" s="129" t="str">
        <f>IF(M200&gt;1/1/1,"Y","N")</f>
        <v>N</v>
      </c>
      <c r="O200" s="128" t="s">
        <v>917</v>
      </c>
      <c r="P200" s="129" t="s">
        <v>39</v>
      </c>
      <c r="Q200" s="111">
        <f t="shared" si="145"/>
        <v>2</v>
      </c>
      <c r="R200" s="111">
        <f t="shared" si="154"/>
        <v>2</v>
      </c>
      <c r="S200" s="129">
        <v>2</v>
      </c>
      <c r="T200" s="129">
        <v>2</v>
      </c>
      <c r="U200" s="129">
        <v>1</v>
      </c>
      <c r="V200" s="117">
        <v>1</v>
      </c>
      <c r="W200" s="111"/>
      <c r="AC200" s="130"/>
      <c r="AD200" s="130">
        <v>24179</v>
      </c>
      <c r="AE200" s="128" t="s">
        <v>32</v>
      </c>
      <c r="AF200" s="128" t="s">
        <v>69</v>
      </c>
      <c r="AG200" s="128" t="s">
        <v>874</v>
      </c>
      <c r="AH200" s="108" t="s">
        <v>31</v>
      </c>
      <c r="AI200" s="128" t="s">
        <v>118</v>
      </c>
      <c r="AJ200" s="129" t="s">
        <v>89</v>
      </c>
      <c r="AK200" s="129">
        <v>1</v>
      </c>
      <c r="AL200" s="3" t="s">
        <v>992</v>
      </c>
      <c r="AN200" s="117">
        <v>6</v>
      </c>
      <c r="AP200" s="129" t="s">
        <v>127</v>
      </c>
      <c r="AR200" s="128" t="s">
        <v>44</v>
      </c>
      <c r="AS200" s="129" t="s">
        <v>82</v>
      </c>
      <c r="BC200" s="129" t="s">
        <v>38</v>
      </c>
      <c r="BF200" s="111">
        <f t="shared" si="176"/>
        <v>2</v>
      </c>
      <c r="BG200" s="111">
        <f t="shared" si="147"/>
        <v>2</v>
      </c>
      <c r="BH200" s="111">
        <f t="shared" si="155"/>
        <v>2</v>
      </c>
      <c r="BI200" s="111">
        <f t="shared" si="156"/>
        <v>45.893442622950822</v>
      </c>
      <c r="BJ200" s="129">
        <f t="shared" si="177"/>
        <v>0</v>
      </c>
      <c r="BK200" s="129">
        <f t="shared" si="157"/>
        <v>0</v>
      </c>
      <c r="BL200" s="129" t="str">
        <f t="shared" si="158"/>
        <v>CONVICTION</v>
      </c>
      <c r="BM200" s="129" t="str">
        <f t="shared" si="178"/>
        <v>NONE</v>
      </c>
      <c r="BN200" s="129" t="s">
        <v>566</v>
      </c>
      <c r="BP200" s="137" t="str">
        <f t="shared" si="162"/>
        <v>CONVICTION</v>
      </c>
      <c r="BQ200" s="128" t="str">
        <f t="shared" si="163"/>
        <v>Y</v>
      </c>
      <c r="BR200" s="129" t="str">
        <f t="shared" si="179"/>
        <v>DETAINED</v>
      </c>
      <c r="BS200" s="129" t="str">
        <f t="shared" si="164"/>
        <v>DISPOSED</v>
      </c>
      <c r="BT200" s="129" t="str">
        <f t="shared" si="165"/>
        <v>Y</v>
      </c>
      <c r="BU200" s="109">
        <f t="shared" si="166"/>
        <v>1</v>
      </c>
      <c r="BV200" s="109">
        <f t="shared" si="180"/>
        <v>1</v>
      </c>
      <c r="BW200" s="109">
        <f t="shared" si="148"/>
        <v>0</v>
      </c>
      <c r="BX200" s="111">
        <f t="shared" si="167"/>
        <v>0</v>
      </c>
      <c r="BY200" s="129">
        <f t="shared" si="168"/>
        <v>-2</v>
      </c>
      <c r="BZ200" s="111">
        <f t="shared" si="169"/>
        <v>0</v>
      </c>
      <c r="CA200" s="138">
        <f t="shared" si="170"/>
        <v>2</v>
      </c>
      <c r="CB200" s="111" t="e">
        <f t="shared" si="181"/>
        <v>#VALUE!</v>
      </c>
      <c r="CC200" s="129">
        <f t="shared" si="182"/>
        <v>2</v>
      </c>
      <c r="CD200" s="129">
        <f t="shared" si="183"/>
        <v>0</v>
      </c>
      <c r="CE200" s="129">
        <f t="shared" si="171"/>
        <v>0</v>
      </c>
      <c r="CF200" s="129">
        <f t="shared" si="152"/>
        <v>1</v>
      </c>
      <c r="CG200" s="129" t="str">
        <f t="shared" si="172"/>
        <v>Y</v>
      </c>
      <c r="CI200" s="129" t="str">
        <f t="shared" si="173"/>
        <v>0-10 DAYS</v>
      </c>
      <c r="CJ200" s="137">
        <f t="shared" si="174"/>
        <v>1</v>
      </c>
      <c r="CK200" s="129" t="str">
        <f t="shared" si="175"/>
        <v>Booked</v>
      </c>
    </row>
    <row r="201" spans="1:89" ht="15.75" customHeight="1" x14ac:dyDescent="0.25">
      <c r="A201" s="111">
        <v>1027</v>
      </c>
      <c r="B201" s="128" t="str">
        <f t="shared" si="159"/>
        <v>N</v>
      </c>
      <c r="C201" s="128" t="str">
        <f t="shared" si="160"/>
        <v>N</v>
      </c>
      <c r="D201" s="117">
        <v>714546</v>
      </c>
      <c r="E201" s="135">
        <f t="shared" si="161"/>
        <v>5</v>
      </c>
      <c r="F201" s="124">
        <v>40947</v>
      </c>
      <c r="G201" s="125">
        <v>41081</v>
      </c>
      <c r="H201" s="117">
        <v>714546</v>
      </c>
      <c r="I201" s="124">
        <v>40947</v>
      </c>
      <c r="J201" s="124">
        <v>41081</v>
      </c>
      <c r="K201" s="126">
        <v>15000</v>
      </c>
      <c r="L201" s="127" t="s">
        <v>571</v>
      </c>
      <c r="N201" s="129" t="str">
        <f>IF(M201&gt;1/1/1,"Y","N")</f>
        <v>N</v>
      </c>
      <c r="O201" s="128" t="s">
        <v>917</v>
      </c>
      <c r="P201" s="129" t="s">
        <v>39</v>
      </c>
      <c r="Q201" s="111">
        <f t="shared" si="145"/>
        <v>135</v>
      </c>
      <c r="R201" s="111">
        <f t="shared" si="154"/>
        <v>135</v>
      </c>
      <c r="S201" s="129">
        <v>8</v>
      </c>
      <c r="T201" s="129">
        <v>1</v>
      </c>
      <c r="U201" s="129">
        <v>4</v>
      </c>
      <c r="W201" s="111"/>
      <c r="AC201" s="130"/>
      <c r="AD201" s="130">
        <v>20700</v>
      </c>
      <c r="AE201" s="128" t="s">
        <v>32</v>
      </c>
      <c r="AF201" s="128" t="s">
        <v>33</v>
      </c>
      <c r="AG201" s="128" t="s">
        <v>872</v>
      </c>
      <c r="AH201" s="108" t="s">
        <v>58</v>
      </c>
      <c r="AI201" s="128" t="s">
        <v>113</v>
      </c>
      <c r="AJ201" s="129" t="s">
        <v>89</v>
      </c>
      <c r="AK201" s="129">
        <v>6</v>
      </c>
      <c r="AL201" s="3" t="s">
        <v>992</v>
      </c>
      <c r="AN201" s="117">
        <v>6</v>
      </c>
      <c r="AP201" s="129" t="s">
        <v>127</v>
      </c>
      <c r="AR201" s="128" t="s">
        <v>44</v>
      </c>
      <c r="AS201" s="129" t="s">
        <v>82</v>
      </c>
      <c r="BC201" s="129" t="s">
        <v>38</v>
      </c>
      <c r="BF201" s="111">
        <f t="shared" si="176"/>
        <v>135</v>
      </c>
      <c r="BG201" s="111">
        <f t="shared" si="147"/>
        <v>135</v>
      </c>
      <c r="BH201" s="111">
        <f t="shared" si="155"/>
        <v>135</v>
      </c>
      <c r="BI201" s="111">
        <f t="shared" si="156"/>
        <v>55.319672131147541</v>
      </c>
      <c r="BJ201" s="129">
        <f t="shared" si="177"/>
        <v>0</v>
      </c>
      <c r="BK201" s="129">
        <f t="shared" si="157"/>
        <v>0</v>
      </c>
      <c r="BL201" s="129" t="str">
        <f t="shared" si="158"/>
        <v>CONVICTION</v>
      </c>
      <c r="BM201" s="129" t="str">
        <f t="shared" si="178"/>
        <v>NONE</v>
      </c>
      <c r="BN201" s="129" t="s">
        <v>566</v>
      </c>
      <c r="BP201" s="137" t="str">
        <f t="shared" si="162"/>
        <v>CONVICTION</v>
      </c>
      <c r="BQ201" s="128" t="str">
        <f t="shared" si="163"/>
        <v>Y</v>
      </c>
      <c r="BR201" s="129" t="str">
        <f t="shared" si="179"/>
        <v>DETAINED</v>
      </c>
      <c r="BS201" s="129" t="str">
        <f t="shared" si="164"/>
        <v>DISPOSED</v>
      </c>
      <c r="BT201" s="129" t="str">
        <f t="shared" si="165"/>
        <v>Y</v>
      </c>
      <c r="BU201" s="109">
        <f t="shared" si="166"/>
        <v>1</v>
      </c>
      <c r="BV201" s="109">
        <f t="shared" si="180"/>
        <v>1</v>
      </c>
      <c r="BW201" s="109">
        <f t="shared" si="148"/>
        <v>0</v>
      </c>
      <c r="BX201" s="111">
        <f t="shared" si="167"/>
        <v>0</v>
      </c>
      <c r="BY201" s="129">
        <f t="shared" si="168"/>
        <v>-135</v>
      </c>
      <c r="BZ201" s="111">
        <f t="shared" si="169"/>
        <v>0</v>
      </c>
      <c r="CA201" s="138">
        <f t="shared" si="170"/>
        <v>135</v>
      </c>
      <c r="CB201" s="111" t="e">
        <f t="shared" si="181"/>
        <v>#VALUE!</v>
      </c>
      <c r="CC201" s="129">
        <f t="shared" si="182"/>
        <v>135</v>
      </c>
      <c r="CD201" s="129">
        <f t="shared" si="183"/>
        <v>0</v>
      </c>
      <c r="CE201" s="129">
        <f t="shared" si="171"/>
        <v>0</v>
      </c>
      <c r="CF201" s="129">
        <f t="shared" si="152"/>
        <v>134</v>
      </c>
      <c r="CG201" s="129" t="str">
        <f t="shared" si="172"/>
        <v>Y</v>
      </c>
      <c r="CI201" s="129" t="str">
        <f t="shared" si="173"/>
        <v>121-365 DAYS</v>
      </c>
      <c r="CJ201" s="137">
        <f t="shared" si="174"/>
        <v>6</v>
      </c>
      <c r="CK201" s="129" t="str">
        <f t="shared" si="175"/>
        <v>Booked</v>
      </c>
    </row>
    <row r="202" spans="1:89" ht="15" customHeight="1" x14ac:dyDescent="0.25">
      <c r="A202" s="111">
        <v>1638</v>
      </c>
      <c r="B202" s="128" t="str">
        <f t="shared" si="159"/>
        <v>N</v>
      </c>
      <c r="C202" s="128" t="str">
        <f t="shared" si="160"/>
        <v>N</v>
      </c>
      <c r="D202" s="117">
        <v>720311</v>
      </c>
      <c r="E202" s="135">
        <f t="shared" si="161"/>
        <v>5</v>
      </c>
      <c r="F202" s="124">
        <v>40969</v>
      </c>
      <c r="G202" s="125">
        <v>40973</v>
      </c>
      <c r="H202" s="117">
        <v>720311</v>
      </c>
      <c r="I202" s="124">
        <v>40969</v>
      </c>
      <c r="J202" s="124">
        <v>40973</v>
      </c>
      <c r="K202" s="126">
        <v>15000</v>
      </c>
      <c r="L202" s="127" t="s">
        <v>571</v>
      </c>
      <c r="N202" s="129" t="str">
        <f>IF(M202&gt;1/1/1,"Y","N")</f>
        <v>N</v>
      </c>
      <c r="O202" s="128" t="s">
        <v>917</v>
      </c>
      <c r="P202" s="129" t="s">
        <v>39</v>
      </c>
      <c r="Q202" s="111">
        <f t="shared" si="145"/>
        <v>5</v>
      </c>
      <c r="R202" s="111">
        <f t="shared" si="154"/>
        <v>5</v>
      </c>
      <c r="S202" s="129">
        <v>10</v>
      </c>
      <c r="T202" s="129">
        <v>5</v>
      </c>
      <c r="U202" s="129">
        <v>7</v>
      </c>
      <c r="W202" s="111"/>
      <c r="AC202" s="130"/>
      <c r="AD202" s="130">
        <v>23144</v>
      </c>
      <c r="AE202" s="128" t="s">
        <v>32</v>
      </c>
      <c r="AF202" s="128" t="s">
        <v>33</v>
      </c>
      <c r="AG202" s="128" t="s">
        <v>872</v>
      </c>
      <c r="AH202" s="108" t="s">
        <v>58</v>
      </c>
      <c r="AI202" s="128" t="s">
        <v>47</v>
      </c>
      <c r="AJ202" s="129" t="s">
        <v>89</v>
      </c>
      <c r="AK202" s="129">
        <v>1</v>
      </c>
      <c r="AL202" s="3" t="s">
        <v>992</v>
      </c>
      <c r="AN202" s="117">
        <v>6</v>
      </c>
      <c r="AP202" s="129" t="s">
        <v>43</v>
      </c>
      <c r="AR202" s="128" t="s">
        <v>44</v>
      </c>
      <c r="AS202" s="129" t="s">
        <v>45</v>
      </c>
      <c r="BC202" s="129" t="s">
        <v>38</v>
      </c>
      <c r="BF202" s="111">
        <f t="shared" si="176"/>
        <v>5</v>
      </c>
      <c r="BG202" s="111">
        <f t="shared" si="147"/>
        <v>5</v>
      </c>
      <c r="BH202" s="111">
        <f t="shared" si="155"/>
        <v>5</v>
      </c>
      <c r="BI202" s="111">
        <f t="shared" si="156"/>
        <v>48.702185792349724</v>
      </c>
      <c r="BJ202" s="129">
        <f t="shared" si="177"/>
        <v>0</v>
      </c>
      <c r="BK202" s="129">
        <f t="shared" si="157"/>
        <v>0</v>
      </c>
      <c r="BL202" s="129" t="str">
        <f t="shared" si="158"/>
        <v>CONVICTION</v>
      </c>
      <c r="BM202" s="129" t="str">
        <f t="shared" si="178"/>
        <v>NONE</v>
      </c>
      <c r="BN202" s="129" t="s">
        <v>566</v>
      </c>
      <c r="BP202" s="137" t="str">
        <f t="shared" si="162"/>
        <v>CONVICTION</v>
      </c>
      <c r="BQ202" s="128" t="str">
        <f t="shared" si="163"/>
        <v>Y</v>
      </c>
      <c r="BR202" s="129" t="str">
        <f t="shared" si="179"/>
        <v>DETAINED</v>
      </c>
      <c r="BS202" s="129" t="str">
        <f t="shared" si="164"/>
        <v>DISPOSED</v>
      </c>
      <c r="BT202" s="129" t="str">
        <f t="shared" si="165"/>
        <v>Y</v>
      </c>
      <c r="BU202" s="109">
        <f t="shared" si="166"/>
        <v>1</v>
      </c>
      <c r="BV202" s="109">
        <f t="shared" si="180"/>
        <v>1</v>
      </c>
      <c r="BW202" s="109">
        <f t="shared" si="148"/>
        <v>0</v>
      </c>
      <c r="BX202" s="111">
        <f t="shared" si="167"/>
        <v>0</v>
      </c>
      <c r="BY202" s="129">
        <f t="shared" si="168"/>
        <v>-5</v>
      </c>
      <c r="BZ202" s="111">
        <f t="shared" si="169"/>
        <v>0</v>
      </c>
      <c r="CA202" s="138">
        <f t="shared" si="170"/>
        <v>5</v>
      </c>
      <c r="CB202" s="111" t="e">
        <f t="shared" si="181"/>
        <v>#VALUE!</v>
      </c>
      <c r="CC202" s="129">
        <f t="shared" si="182"/>
        <v>5</v>
      </c>
      <c r="CD202" s="129">
        <f t="shared" si="183"/>
        <v>0</v>
      </c>
      <c r="CE202" s="129">
        <f t="shared" si="171"/>
        <v>0</v>
      </c>
      <c r="CF202" s="129">
        <f t="shared" si="152"/>
        <v>4</v>
      </c>
      <c r="CG202" s="129" t="str">
        <f t="shared" si="172"/>
        <v>Y</v>
      </c>
      <c r="CI202" s="129" t="str">
        <f t="shared" si="173"/>
        <v>0-10 DAYS</v>
      </c>
      <c r="CJ202" s="137">
        <f t="shared" si="174"/>
        <v>1</v>
      </c>
      <c r="CK202" s="129" t="str">
        <f t="shared" si="175"/>
        <v>Booked</v>
      </c>
    </row>
    <row r="203" spans="1:89" ht="15" customHeight="1" x14ac:dyDescent="0.25">
      <c r="A203" s="111">
        <v>1480</v>
      </c>
      <c r="B203" s="128" t="str">
        <f t="shared" si="159"/>
        <v>N</v>
      </c>
      <c r="C203" s="128" t="str">
        <f t="shared" si="160"/>
        <v>N</v>
      </c>
      <c r="D203" s="117">
        <v>724312</v>
      </c>
      <c r="E203" s="135">
        <f t="shared" si="161"/>
        <v>6</v>
      </c>
      <c r="F203" s="124">
        <v>40963</v>
      </c>
      <c r="G203" s="125">
        <v>40966</v>
      </c>
      <c r="H203" s="117">
        <v>724312</v>
      </c>
      <c r="I203" s="124">
        <v>40964</v>
      </c>
      <c r="J203" s="124">
        <v>40966</v>
      </c>
      <c r="K203" s="126" t="s">
        <v>564</v>
      </c>
      <c r="L203" s="127" t="s">
        <v>564</v>
      </c>
      <c r="N203" s="129" t="s">
        <v>566</v>
      </c>
      <c r="O203" s="128" t="s">
        <v>917</v>
      </c>
      <c r="P203" s="129" t="s">
        <v>39</v>
      </c>
      <c r="Q203" s="111">
        <f t="shared" si="145"/>
        <v>3</v>
      </c>
      <c r="R203" s="111">
        <f t="shared" si="154"/>
        <v>4</v>
      </c>
      <c r="S203" s="129">
        <v>6</v>
      </c>
      <c r="T203" s="129">
        <v>3</v>
      </c>
      <c r="U203" s="129">
        <v>5</v>
      </c>
      <c r="W203" s="111"/>
      <c r="AC203" s="130"/>
      <c r="AD203" s="130">
        <v>23816</v>
      </c>
      <c r="AE203" s="128" t="s">
        <v>32</v>
      </c>
      <c r="AF203" s="128" t="s">
        <v>33</v>
      </c>
      <c r="AG203" s="128" t="s">
        <v>872</v>
      </c>
      <c r="AH203" s="108" t="s">
        <v>58</v>
      </c>
      <c r="AI203" s="128" t="s">
        <v>62</v>
      </c>
      <c r="AJ203" s="129" t="s">
        <v>89</v>
      </c>
      <c r="AK203" s="129">
        <v>1</v>
      </c>
      <c r="AL203" s="3" t="s">
        <v>362</v>
      </c>
      <c r="AM203" s="117">
        <v>5</v>
      </c>
      <c r="AP203" s="129" t="s">
        <v>131</v>
      </c>
      <c r="AR203" s="128" t="s">
        <v>50</v>
      </c>
      <c r="AS203" s="129" t="s">
        <v>106</v>
      </c>
      <c r="BC203" s="129" t="s">
        <v>38</v>
      </c>
      <c r="BF203" s="111">
        <f t="shared" si="176"/>
        <v>3</v>
      </c>
      <c r="BG203" s="111">
        <f t="shared" si="147"/>
        <v>3</v>
      </c>
      <c r="BH203" s="111">
        <f t="shared" si="155"/>
        <v>4</v>
      </c>
      <c r="BI203" s="111">
        <f t="shared" si="156"/>
        <v>46.849726775956285</v>
      </c>
      <c r="BJ203" s="129">
        <f t="shared" si="177"/>
        <v>0</v>
      </c>
      <c r="BK203" s="129">
        <f t="shared" si="157"/>
        <v>0</v>
      </c>
      <c r="BL203" s="129" t="str">
        <f t="shared" si="158"/>
        <v>CONVICTION</v>
      </c>
      <c r="BM203" s="129" t="str">
        <f t="shared" si="178"/>
        <v>NONE</v>
      </c>
      <c r="BN203" s="129" t="s">
        <v>566</v>
      </c>
      <c r="BP203" s="137" t="str">
        <f t="shared" si="162"/>
        <v>CONVICTION</v>
      </c>
      <c r="BQ203" s="128" t="str">
        <f t="shared" si="163"/>
        <v>Y</v>
      </c>
      <c r="BR203" s="129" t="str">
        <f t="shared" si="179"/>
        <v>DETAINED</v>
      </c>
      <c r="BS203" s="129" t="str">
        <f t="shared" si="164"/>
        <v>DISPOSED</v>
      </c>
      <c r="BT203" s="129" t="str">
        <f t="shared" si="165"/>
        <v>Y</v>
      </c>
      <c r="BU203" s="109">
        <f t="shared" si="166"/>
        <v>0.75</v>
      </c>
      <c r="BV203" s="109">
        <f t="shared" si="180"/>
        <v>1</v>
      </c>
      <c r="BW203" s="109">
        <f t="shared" si="148"/>
        <v>0.25</v>
      </c>
      <c r="BX203" s="111">
        <f t="shared" si="167"/>
        <v>0</v>
      </c>
      <c r="BY203" s="129">
        <f t="shared" si="168"/>
        <v>-3</v>
      </c>
      <c r="BZ203" s="111">
        <f t="shared" si="169"/>
        <v>0</v>
      </c>
      <c r="CA203" s="138">
        <f t="shared" si="170"/>
        <v>3</v>
      </c>
      <c r="CB203" s="111" t="e">
        <f t="shared" si="181"/>
        <v>#VALUE!</v>
      </c>
      <c r="CC203" s="129">
        <f t="shared" si="182"/>
        <v>3</v>
      </c>
      <c r="CD203" s="129">
        <f t="shared" si="183"/>
        <v>0</v>
      </c>
      <c r="CE203" s="129">
        <f t="shared" si="171"/>
        <v>0</v>
      </c>
      <c r="CF203" s="129">
        <f t="shared" si="152"/>
        <v>2</v>
      </c>
      <c r="CG203" s="129" t="str">
        <f t="shared" si="172"/>
        <v>Y</v>
      </c>
      <c r="CI203" s="129" t="str">
        <f t="shared" si="173"/>
        <v>0-10 DAYS</v>
      </c>
      <c r="CJ203" s="137">
        <f t="shared" si="174"/>
        <v>1</v>
      </c>
      <c r="CK203" s="129" t="str">
        <f t="shared" si="175"/>
        <v>Booked</v>
      </c>
    </row>
    <row r="204" spans="1:89" ht="15" customHeight="1" x14ac:dyDescent="0.25">
      <c r="A204" s="111">
        <v>1395</v>
      </c>
      <c r="B204" s="128" t="str">
        <f t="shared" si="159"/>
        <v>N</v>
      </c>
      <c r="C204" s="128" t="str">
        <f t="shared" si="160"/>
        <v>N</v>
      </c>
      <c r="D204" s="117">
        <v>728093</v>
      </c>
      <c r="E204" s="135">
        <f t="shared" si="161"/>
        <v>4</v>
      </c>
      <c r="F204" s="124">
        <v>40960</v>
      </c>
      <c r="G204" s="125">
        <v>41151</v>
      </c>
      <c r="H204" s="117">
        <v>728093</v>
      </c>
      <c r="I204" s="124" t="s">
        <v>562</v>
      </c>
      <c r="J204" s="124" t="s">
        <v>562</v>
      </c>
      <c r="K204" s="126">
        <v>2000</v>
      </c>
      <c r="L204" s="127" t="s">
        <v>568</v>
      </c>
      <c r="M204" s="125">
        <v>40961</v>
      </c>
      <c r="N204" s="129" t="str">
        <f>IF(M204&gt;1/1/1,"Y",IF(Q204="0","","N"))</f>
        <v>Y</v>
      </c>
      <c r="O204" s="128" t="s">
        <v>76</v>
      </c>
      <c r="P204" s="129" t="s">
        <v>39</v>
      </c>
      <c r="Q204" s="111">
        <f t="shared" ref="Q204:Q236" si="184">BF204</f>
        <v>0</v>
      </c>
      <c r="R204" s="111">
        <f t="shared" si="154"/>
        <v>192</v>
      </c>
      <c r="S204" s="129">
        <v>0</v>
      </c>
      <c r="T204" s="129">
        <v>2</v>
      </c>
      <c r="W204" s="111"/>
      <c r="AB204" s="131" t="s">
        <v>112</v>
      </c>
      <c r="AC204" s="130"/>
      <c r="AD204" s="130">
        <v>23172</v>
      </c>
      <c r="AE204" s="128" t="s">
        <v>32</v>
      </c>
      <c r="AF204" s="128" t="s">
        <v>40</v>
      </c>
      <c r="AG204" s="128" t="s">
        <v>41</v>
      </c>
      <c r="AH204" s="108" t="s">
        <v>31</v>
      </c>
      <c r="AI204" s="128" t="s">
        <v>118</v>
      </c>
      <c r="AJ204" s="129" t="s">
        <v>89</v>
      </c>
      <c r="AK204" s="129">
        <v>8</v>
      </c>
      <c r="AL204" s="3" t="s">
        <v>991</v>
      </c>
      <c r="AO204" s="128">
        <v>8</v>
      </c>
      <c r="AP204" s="129" t="s">
        <v>63</v>
      </c>
      <c r="AR204" s="128" t="s">
        <v>44</v>
      </c>
      <c r="AS204" s="129" t="s">
        <v>64</v>
      </c>
      <c r="BC204" s="129" t="s">
        <v>52</v>
      </c>
      <c r="BF204" s="111">
        <v>0</v>
      </c>
      <c r="BG204" s="111">
        <v>0</v>
      </c>
      <c r="BH204" s="111">
        <f t="shared" si="155"/>
        <v>192</v>
      </c>
      <c r="BI204" s="111">
        <f t="shared" si="156"/>
        <v>48.601092896174862</v>
      </c>
      <c r="BJ204" s="129" t="e">
        <f>(G204-J204)+(M204-G204)</f>
        <v>#VALUE!</v>
      </c>
      <c r="BK204" s="129" t="e">
        <f t="shared" si="157"/>
        <v>#VALUE!</v>
      </c>
      <c r="BL204" s="129" t="str">
        <f t="shared" si="158"/>
        <v>CONVICTION</v>
      </c>
      <c r="BM204" s="129" t="s">
        <v>76</v>
      </c>
      <c r="BN204" s="129" t="s">
        <v>88</v>
      </c>
      <c r="BP204" s="137" t="str">
        <f t="shared" si="162"/>
        <v>CONVICTION</v>
      </c>
      <c r="BQ204" s="128">
        <f t="shared" si="163"/>
        <v>0</v>
      </c>
      <c r="BR204" s="129" t="s">
        <v>575</v>
      </c>
      <c r="BS204" s="129" t="str">
        <f t="shared" si="164"/>
        <v>DISPOSED</v>
      </c>
      <c r="BT204" s="129" t="str">
        <f t="shared" si="165"/>
        <v>N</v>
      </c>
      <c r="BU204" s="109">
        <f t="shared" si="166"/>
        <v>0</v>
      </c>
      <c r="BV204" s="109">
        <v>0</v>
      </c>
      <c r="BW204" s="109">
        <f t="shared" si="148"/>
        <v>0</v>
      </c>
      <c r="BX204" s="111">
        <f t="shared" si="167"/>
        <v>0</v>
      </c>
      <c r="BY204" s="129" t="e">
        <f t="shared" si="168"/>
        <v>#VALUE!</v>
      </c>
      <c r="BZ204" s="111" t="e">
        <f t="shared" si="169"/>
        <v>#VALUE!</v>
      </c>
      <c r="CA204" s="138" t="e">
        <f t="shared" si="170"/>
        <v>#VALUE!</v>
      </c>
      <c r="CB204" s="111">
        <v>0</v>
      </c>
      <c r="CC204" s="129">
        <v>0</v>
      </c>
      <c r="CD204" s="111">
        <f>CC204-BF204</f>
        <v>0</v>
      </c>
      <c r="CE204" s="129" t="e">
        <f t="shared" si="171"/>
        <v>#VALUE!</v>
      </c>
      <c r="CF204" s="129" t="e">
        <f t="shared" si="152"/>
        <v>#VALUE!</v>
      </c>
      <c r="CG204" s="129" t="str">
        <f t="shared" si="172"/>
        <v>Y</v>
      </c>
      <c r="CI204" s="129" t="str">
        <f t="shared" si="173"/>
        <v>0-10 DAYS</v>
      </c>
      <c r="CJ204" s="137">
        <f t="shared" si="174"/>
        <v>1</v>
      </c>
      <c r="CK204" s="129" t="str">
        <f t="shared" si="175"/>
        <v>Not Booked</v>
      </c>
    </row>
    <row r="205" spans="1:89" ht="15.75" customHeight="1" x14ac:dyDescent="0.25">
      <c r="A205" s="111">
        <v>2938</v>
      </c>
      <c r="B205" s="128" t="str">
        <f t="shared" si="159"/>
        <v>N</v>
      </c>
      <c r="C205" s="128" t="str">
        <f t="shared" si="160"/>
        <v>N</v>
      </c>
      <c r="D205" s="117">
        <v>730440</v>
      </c>
      <c r="E205" s="135">
        <f t="shared" si="161"/>
        <v>5</v>
      </c>
      <c r="F205" s="124">
        <v>41017</v>
      </c>
      <c r="G205" s="125">
        <v>41024</v>
      </c>
      <c r="H205" s="117">
        <v>730440</v>
      </c>
      <c r="I205" s="124">
        <v>41019</v>
      </c>
      <c r="J205" s="124">
        <v>41024</v>
      </c>
      <c r="K205" s="126">
        <v>15000</v>
      </c>
      <c r="L205" s="127" t="s">
        <v>571</v>
      </c>
      <c r="N205" s="129" t="str">
        <f>IF(M205&gt;1/1/1,"Y","N")</f>
        <v>N</v>
      </c>
      <c r="O205" s="128" t="s">
        <v>917</v>
      </c>
      <c r="P205" s="129" t="s">
        <v>39</v>
      </c>
      <c r="Q205" s="111">
        <f t="shared" si="184"/>
        <v>6</v>
      </c>
      <c r="R205" s="111">
        <f t="shared" si="154"/>
        <v>8</v>
      </c>
      <c r="S205" s="129">
        <v>9</v>
      </c>
      <c r="T205" s="129">
        <v>5</v>
      </c>
      <c r="U205" s="129">
        <v>6</v>
      </c>
      <c r="V205" s="117">
        <v>1</v>
      </c>
      <c r="W205" s="111"/>
      <c r="AC205" s="130"/>
      <c r="AD205" s="130">
        <v>24269</v>
      </c>
      <c r="AE205" s="128" t="s">
        <v>32</v>
      </c>
      <c r="AF205" s="128" t="s">
        <v>69</v>
      </c>
      <c r="AG205" s="128" t="s">
        <v>874</v>
      </c>
      <c r="AH205" s="108" t="s">
        <v>58</v>
      </c>
      <c r="AI205" s="128" t="s">
        <v>62</v>
      </c>
      <c r="AJ205" s="129" t="s">
        <v>89</v>
      </c>
      <c r="AK205" s="129">
        <v>2</v>
      </c>
      <c r="AL205" s="3" t="s">
        <v>992</v>
      </c>
      <c r="AN205" s="117">
        <v>12</v>
      </c>
      <c r="AP205" s="129" t="s">
        <v>60</v>
      </c>
      <c r="AR205" s="128" t="s">
        <v>44</v>
      </c>
      <c r="AS205" s="129" t="s">
        <v>61</v>
      </c>
      <c r="BC205" s="129" t="s">
        <v>38</v>
      </c>
      <c r="BF205" s="111">
        <f t="shared" ref="BF205:BF212" si="185">IF(J205&gt;1/1/1900,((J205+1)-I205),"STILL OPEN")</f>
        <v>6</v>
      </c>
      <c r="BG205" s="111">
        <f t="shared" ref="BG205:BG212" si="186">IF(G205&gt;1/1/1900,((G205+1)-I205),"STILL OPEN")</f>
        <v>6</v>
      </c>
      <c r="BH205" s="111">
        <f t="shared" si="155"/>
        <v>8</v>
      </c>
      <c r="BI205" s="111">
        <f t="shared" si="156"/>
        <v>45.759562841530055</v>
      </c>
      <c r="BJ205" s="129">
        <f t="shared" si="177"/>
        <v>0</v>
      </c>
      <c r="BK205" s="129">
        <f t="shared" si="157"/>
        <v>0</v>
      </c>
      <c r="BL205" s="129" t="str">
        <f t="shared" si="158"/>
        <v>CONVICTION</v>
      </c>
      <c r="BM205" s="129" t="str">
        <f t="shared" si="178"/>
        <v>NONE</v>
      </c>
      <c r="BN205" s="129" t="s">
        <v>566</v>
      </c>
      <c r="BP205" s="137" t="str">
        <f t="shared" si="162"/>
        <v>CONVICTION</v>
      </c>
      <c r="BQ205" s="128" t="str">
        <f t="shared" si="163"/>
        <v>Y</v>
      </c>
      <c r="BR205" s="129" t="str">
        <f t="shared" si="179"/>
        <v>DETAINED</v>
      </c>
      <c r="BS205" s="129" t="str">
        <f t="shared" si="164"/>
        <v>DISPOSED</v>
      </c>
      <c r="BT205" s="129" t="str">
        <f t="shared" si="165"/>
        <v>Y</v>
      </c>
      <c r="BU205" s="109">
        <f t="shared" si="166"/>
        <v>0.75</v>
      </c>
      <c r="BV205" s="109">
        <f t="shared" si="180"/>
        <v>1</v>
      </c>
      <c r="BW205" s="109">
        <f t="shared" si="148"/>
        <v>0.25</v>
      </c>
      <c r="BX205" s="111">
        <f t="shared" si="167"/>
        <v>0</v>
      </c>
      <c r="BY205" s="129">
        <f t="shared" si="168"/>
        <v>-6</v>
      </c>
      <c r="BZ205" s="111">
        <f t="shared" si="169"/>
        <v>0</v>
      </c>
      <c r="CA205" s="138">
        <f t="shared" si="170"/>
        <v>6</v>
      </c>
      <c r="CB205" s="111" t="e">
        <f t="shared" ref="CB205:CB212" si="187">IF(AF205&gt;1/1/1900,((AF205+1)-AE205),"STILL OPEN")</f>
        <v>#VALUE!</v>
      </c>
      <c r="CC205" s="129">
        <f>G205-I205+1</f>
        <v>6</v>
      </c>
      <c r="CD205" s="129">
        <f>G205-J205</f>
        <v>0</v>
      </c>
      <c r="CE205" s="129">
        <f t="shared" si="171"/>
        <v>0</v>
      </c>
      <c r="CF205" s="129">
        <f t="shared" si="152"/>
        <v>5</v>
      </c>
      <c r="CG205" s="129" t="str">
        <f t="shared" si="172"/>
        <v>Y</v>
      </c>
      <c r="CI205" s="129" t="str">
        <f t="shared" si="173"/>
        <v>0-10 DAYS</v>
      </c>
      <c r="CJ205" s="137">
        <f t="shared" si="174"/>
        <v>1</v>
      </c>
      <c r="CK205" s="129" t="str">
        <f t="shared" si="175"/>
        <v>Booked</v>
      </c>
    </row>
    <row r="206" spans="1:89" ht="15.75" customHeight="1" x14ac:dyDescent="0.25">
      <c r="A206" s="111">
        <v>778</v>
      </c>
      <c r="B206" s="128" t="str">
        <f t="shared" si="159"/>
        <v>N</v>
      </c>
      <c r="C206" s="128" t="str">
        <f t="shared" si="160"/>
        <v>N</v>
      </c>
      <c r="D206" s="117">
        <v>731980</v>
      </c>
      <c r="E206" s="135">
        <f t="shared" si="161"/>
        <v>5</v>
      </c>
      <c r="F206" s="124">
        <v>40939</v>
      </c>
      <c r="G206" s="125">
        <v>41039</v>
      </c>
      <c r="H206" s="117">
        <v>731980</v>
      </c>
      <c r="I206" s="124">
        <v>40939</v>
      </c>
      <c r="J206" s="124">
        <v>41039</v>
      </c>
      <c r="K206" s="126">
        <v>15000</v>
      </c>
      <c r="L206" s="127" t="s">
        <v>571</v>
      </c>
      <c r="N206" s="129" t="str">
        <f>IF(M206&gt;1/1/1,"Y","N")</f>
        <v>N</v>
      </c>
      <c r="O206" s="128" t="s">
        <v>917</v>
      </c>
      <c r="P206" s="129" t="s">
        <v>39</v>
      </c>
      <c r="Q206" s="111">
        <f t="shared" si="184"/>
        <v>101</v>
      </c>
      <c r="R206" s="111">
        <f t="shared" si="154"/>
        <v>101</v>
      </c>
      <c r="S206" s="129">
        <v>6</v>
      </c>
      <c r="T206" s="129">
        <v>11</v>
      </c>
      <c r="U206" s="129">
        <v>5</v>
      </c>
      <c r="W206" s="111"/>
      <c r="AC206" s="130"/>
      <c r="AD206" s="130">
        <v>22477</v>
      </c>
      <c r="AE206" s="128" t="s">
        <v>32</v>
      </c>
      <c r="AF206" s="128" t="s">
        <v>69</v>
      </c>
      <c r="AG206" s="128" t="s">
        <v>874</v>
      </c>
      <c r="AH206" s="108" t="s">
        <v>58</v>
      </c>
      <c r="AI206" s="128" t="s">
        <v>59</v>
      </c>
      <c r="AJ206" s="129" t="s">
        <v>89</v>
      </c>
      <c r="AK206" s="129">
        <v>5</v>
      </c>
      <c r="AL206" s="3" t="s">
        <v>992</v>
      </c>
      <c r="AN206" s="117">
        <v>6</v>
      </c>
      <c r="AP206" s="129" t="s">
        <v>121</v>
      </c>
      <c r="AR206" s="128" t="s">
        <v>44</v>
      </c>
      <c r="AS206" s="129" t="s">
        <v>122</v>
      </c>
      <c r="BC206" s="129" t="s">
        <v>38</v>
      </c>
      <c r="BF206" s="111">
        <f t="shared" si="185"/>
        <v>101</v>
      </c>
      <c r="BG206" s="111">
        <f t="shared" si="186"/>
        <v>101</v>
      </c>
      <c r="BH206" s="111">
        <f t="shared" si="155"/>
        <v>101</v>
      </c>
      <c r="BI206" s="111">
        <f t="shared" si="156"/>
        <v>50.442622950819676</v>
      </c>
      <c r="BJ206" s="129">
        <f t="shared" si="177"/>
        <v>0</v>
      </c>
      <c r="BK206" s="129">
        <f t="shared" si="157"/>
        <v>0</v>
      </c>
      <c r="BL206" s="129" t="str">
        <f t="shared" si="158"/>
        <v>CONVICTION</v>
      </c>
      <c r="BM206" s="129" t="str">
        <f t="shared" si="178"/>
        <v>NONE</v>
      </c>
      <c r="BN206" s="129" t="s">
        <v>566</v>
      </c>
      <c r="BP206" s="137" t="str">
        <f t="shared" si="162"/>
        <v>CONVICTION</v>
      </c>
      <c r="BQ206" s="128" t="str">
        <f t="shared" si="163"/>
        <v>Y</v>
      </c>
      <c r="BR206" s="129" t="str">
        <f t="shared" si="179"/>
        <v>DETAINED</v>
      </c>
      <c r="BS206" s="129" t="str">
        <f t="shared" si="164"/>
        <v>DISPOSED</v>
      </c>
      <c r="BT206" s="129" t="str">
        <f t="shared" si="165"/>
        <v>Y</v>
      </c>
      <c r="BU206" s="109">
        <f t="shared" si="166"/>
        <v>1</v>
      </c>
      <c r="BV206" s="109">
        <f t="shared" si="180"/>
        <v>1</v>
      </c>
      <c r="BW206" s="109">
        <f t="shared" si="148"/>
        <v>0</v>
      </c>
      <c r="BX206" s="111">
        <f t="shared" si="167"/>
        <v>0</v>
      </c>
      <c r="BY206" s="129">
        <f t="shared" si="168"/>
        <v>-101</v>
      </c>
      <c r="BZ206" s="111">
        <f t="shared" si="169"/>
        <v>0</v>
      </c>
      <c r="CA206" s="138">
        <f t="shared" si="170"/>
        <v>101</v>
      </c>
      <c r="CB206" s="111" t="e">
        <f t="shared" si="187"/>
        <v>#VALUE!</v>
      </c>
      <c r="CC206" s="129">
        <f>G206-I206+1</f>
        <v>101</v>
      </c>
      <c r="CD206" s="129">
        <f>G206-J206</f>
        <v>0</v>
      </c>
      <c r="CE206" s="129">
        <f t="shared" si="171"/>
        <v>0</v>
      </c>
      <c r="CF206" s="129">
        <f t="shared" si="152"/>
        <v>100</v>
      </c>
      <c r="CG206" s="129" t="str">
        <f t="shared" si="172"/>
        <v>Y</v>
      </c>
      <c r="CI206" s="129" t="str">
        <f t="shared" si="173"/>
        <v>91-120 DAYS</v>
      </c>
      <c r="CJ206" s="137">
        <f t="shared" si="174"/>
        <v>0</v>
      </c>
      <c r="CK206" s="129" t="str">
        <f t="shared" si="175"/>
        <v>Booked</v>
      </c>
    </row>
    <row r="207" spans="1:89" ht="15" customHeight="1" x14ac:dyDescent="0.25">
      <c r="A207" s="111">
        <v>1630</v>
      </c>
      <c r="B207" s="128" t="str">
        <f t="shared" si="159"/>
        <v>Y</v>
      </c>
      <c r="C207" s="128" t="str">
        <f t="shared" si="160"/>
        <v>Y</v>
      </c>
      <c r="D207" s="142">
        <v>734485</v>
      </c>
      <c r="E207" s="135">
        <f t="shared" si="161"/>
        <v>2</v>
      </c>
      <c r="F207" s="124">
        <v>40969</v>
      </c>
      <c r="G207" s="125">
        <v>41745</v>
      </c>
      <c r="H207" s="142">
        <v>734485</v>
      </c>
      <c r="I207" s="124">
        <v>40969</v>
      </c>
      <c r="J207" s="124">
        <v>40971</v>
      </c>
      <c r="K207" s="126">
        <v>2000</v>
      </c>
      <c r="L207" s="127" t="s">
        <v>568</v>
      </c>
      <c r="M207" s="125">
        <v>40971</v>
      </c>
      <c r="N207" s="129" t="str">
        <f>IF(M207&gt;1/1/1,"Y","N")</f>
        <v>Y</v>
      </c>
      <c r="O207" s="128" t="s">
        <v>76</v>
      </c>
      <c r="P207" s="129" t="s">
        <v>589</v>
      </c>
      <c r="Q207" s="111">
        <v>6</v>
      </c>
      <c r="R207" s="111">
        <f t="shared" si="154"/>
        <v>777</v>
      </c>
      <c r="S207" s="129">
        <v>0</v>
      </c>
      <c r="T207" s="129">
        <v>1</v>
      </c>
      <c r="W207" s="111"/>
      <c r="AC207" s="130"/>
      <c r="AD207" s="130">
        <v>24713</v>
      </c>
      <c r="AE207" s="128" t="s">
        <v>32</v>
      </c>
      <c r="AF207" s="128" t="s">
        <v>40</v>
      </c>
      <c r="AG207" s="128" t="s">
        <v>41</v>
      </c>
      <c r="AH207" s="108" t="s">
        <v>41</v>
      </c>
      <c r="AI207" s="128" t="s">
        <v>80</v>
      </c>
      <c r="AJ207" s="129" t="s">
        <v>48</v>
      </c>
      <c r="AK207" s="129">
        <v>24</v>
      </c>
      <c r="AL207" s="3" t="s">
        <v>48</v>
      </c>
      <c r="AP207" s="129" t="s">
        <v>43</v>
      </c>
      <c r="AR207" s="128" t="s">
        <v>44</v>
      </c>
      <c r="AS207" s="129" t="s">
        <v>45</v>
      </c>
      <c r="AT207" s="32" t="s">
        <v>1125</v>
      </c>
      <c r="AV207" s="3" t="s">
        <v>88</v>
      </c>
      <c r="AW207" s="32" t="s">
        <v>867</v>
      </c>
      <c r="BA207" s="125">
        <v>41499</v>
      </c>
      <c r="BB207" s="129">
        <v>238</v>
      </c>
      <c r="BC207" s="129" t="s">
        <v>52</v>
      </c>
      <c r="BD207" s="129" t="s">
        <v>1351</v>
      </c>
      <c r="BF207" s="111">
        <v>6</v>
      </c>
      <c r="BG207" s="111">
        <f t="shared" si="186"/>
        <v>777</v>
      </c>
      <c r="BH207" s="111">
        <f t="shared" si="155"/>
        <v>777</v>
      </c>
      <c r="BI207" s="111">
        <f t="shared" si="156"/>
        <v>44.415300546448087</v>
      </c>
      <c r="BJ207" s="129">
        <f>(G207-J207)+(M207-G207)</f>
        <v>0</v>
      </c>
      <c r="BK207" s="129">
        <f t="shared" si="157"/>
        <v>-774</v>
      </c>
      <c r="BL207" s="129" t="str">
        <f t="shared" si="158"/>
        <v>DEFERRED</v>
      </c>
      <c r="BM207" s="129" t="s">
        <v>76</v>
      </c>
      <c r="BN207" s="129" t="s">
        <v>566</v>
      </c>
      <c r="BO207" s="122"/>
      <c r="BP207" s="137" t="str">
        <f t="shared" si="162"/>
        <v>DEFERRED</v>
      </c>
      <c r="BQ207" s="128" t="str">
        <f t="shared" si="163"/>
        <v>Y</v>
      </c>
      <c r="BR207" s="129" t="str">
        <f t="shared" si="179"/>
        <v>ON BOND</v>
      </c>
      <c r="BS207" s="129" t="str">
        <f t="shared" si="164"/>
        <v>DISPOSED</v>
      </c>
      <c r="BT207" s="129" t="str">
        <f t="shared" si="165"/>
        <v>N</v>
      </c>
      <c r="BU207" s="109">
        <f>IFERROR(Q207/R207,BR207)</f>
        <v>7.7220077220077222E-3</v>
      </c>
      <c r="BV207" s="129" t="s">
        <v>588</v>
      </c>
      <c r="BW207" s="109">
        <v>0</v>
      </c>
      <c r="BX207" s="111">
        <f t="shared" si="167"/>
        <v>0</v>
      </c>
      <c r="BY207" s="129">
        <f t="shared" si="168"/>
        <v>-3</v>
      </c>
      <c r="BZ207" s="111">
        <f t="shared" si="169"/>
        <v>3</v>
      </c>
      <c r="CA207" s="138">
        <f t="shared" si="170"/>
        <v>3</v>
      </c>
      <c r="CB207" s="111" t="e">
        <f t="shared" si="187"/>
        <v>#VALUE!</v>
      </c>
      <c r="CC207" s="129">
        <v>6</v>
      </c>
      <c r="CE207" s="129">
        <f t="shared" si="171"/>
        <v>774</v>
      </c>
      <c r="CF207" s="129">
        <f>I207-J207</f>
        <v>-2</v>
      </c>
      <c r="CG207" s="129" t="str">
        <f t="shared" si="172"/>
        <v>Y</v>
      </c>
      <c r="CH207" s="129" t="e">
        <v>#N/A</v>
      </c>
      <c r="CI207" s="129" t="str">
        <f t="shared" si="173"/>
        <v>0-10 DAYS</v>
      </c>
      <c r="CJ207" s="137">
        <f t="shared" si="174"/>
        <v>1</v>
      </c>
      <c r="CK207" s="129" t="str">
        <f t="shared" si="175"/>
        <v>Booked</v>
      </c>
    </row>
    <row r="208" spans="1:89" ht="15.75" customHeight="1" x14ac:dyDescent="0.25">
      <c r="A208" s="111">
        <v>1453</v>
      </c>
      <c r="B208" s="128" t="str">
        <f t="shared" si="159"/>
        <v>N</v>
      </c>
      <c r="C208" s="128" t="str">
        <f t="shared" si="160"/>
        <v>N</v>
      </c>
      <c r="D208" s="117">
        <v>734546</v>
      </c>
      <c r="E208" s="135">
        <f t="shared" si="161"/>
        <v>5</v>
      </c>
      <c r="F208" s="124">
        <v>40962</v>
      </c>
      <c r="G208" s="125">
        <v>41050</v>
      </c>
      <c r="H208" s="117">
        <v>734546</v>
      </c>
      <c r="I208" s="124">
        <v>40963</v>
      </c>
      <c r="J208" s="124">
        <v>41050</v>
      </c>
      <c r="K208" s="126">
        <v>15000</v>
      </c>
      <c r="L208" s="127" t="s">
        <v>571</v>
      </c>
      <c r="N208" s="129" t="str">
        <f>IF(M208&gt;1/1/1,"Y","N")</f>
        <v>N</v>
      </c>
      <c r="O208" s="128" t="s">
        <v>917</v>
      </c>
      <c r="P208" s="129" t="s">
        <v>39</v>
      </c>
      <c r="Q208" s="111">
        <f t="shared" si="184"/>
        <v>88</v>
      </c>
      <c r="R208" s="111">
        <f t="shared" si="154"/>
        <v>89</v>
      </c>
      <c r="S208" s="129">
        <v>5</v>
      </c>
      <c r="T208" s="129">
        <v>3</v>
      </c>
      <c r="U208" s="129">
        <v>3</v>
      </c>
      <c r="W208" s="111"/>
      <c r="AC208" s="130"/>
      <c r="AD208" s="130">
        <v>24468</v>
      </c>
      <c r="AE208" s="128" t="s">
        <v>32</v>
      </c>
      <c r="AF208" s="128" t="s">
        <v>33</v>
      </c>
      <c r="AG208" s="128" t="s">
        <v>872</v>
      </c>
      <c r="AH208" s="108" t="s">
        <v>58</v>
      </c>
      <c r="AI208" s="128" t="s">
        <v>47</v>
      </c>
      <c r="AJ208" s="129" t="s">
        <v>89</v>
      </c>
      <c r="AK208" s="129">
        <v>4</v>
      </c>
      <c r="AL208" s="3" t="s">
        <v>992</v>
      </c>
      <c r="AN208" s="117">
        <v>6</v>
      </c>
      <c r="AP208" s="129" t="s">
        <v>108</v>
      </c>
      <c r="AR208" s="128" t="s">
        <v>44</v>
      </c>
      <c r="AS208" s="129" t="s">
        <v>61</v>
      </c>
      <c r="BC208" s="129" t="s">
        <v>38</v>
      </c>
      <c r="BF208" s="111">
        <f t="shared" si="185"/>
        <v>88</v>
      </c>
      <c r="BG208" s="111">
        <f t="shared" si="186"/>
        <v>88</v>
      </c>
      <c r="BH208" s="111">
        <f t="shared" si="155"/>
        <v>89</v>
      </c>
      <c r="BI208" s="111">
        <f t="shared" si="156"/>
        <v>45.065573770491802</v>
      </c>
      <c r="BJ208" s="129">
        <f t="shared" si="177"/>
        <v>0</v>
      </c>
      <c r="BK208" s="129">
        <f t="shared" si="157"/>
        <v>0</v>
      </c>
      <c r="BL208" s="129" t="str">
        <f t="shared" si="158"/>
        <v>CONVICTION</v>
      </c>
      <c r="BM208" s="129" t="str">
        <f t="shared" si="178"/>
        <v>NONE</v>
      </c>
      <c r="BN208" s="129" t="s">
        <v>566</v>
      </c>
      <c r="BP208" s="137" t="str">
        <f t="shared" si="162"/>
        <v>CONVICTION</v>
      </c>
      <c r="BQ208" s="128" t="str">
        <f t="shared" si="163"/>
        <v>Y</v>
      </c>
      <c r="BR208" s="129" t="str">
        <f t="shared" si="179"/>
        <v>DETAINED</v>
      </c>
      <c r="BS208" s="129" t="str">
        <f t="shared" si="164"/>
        <v>DISPOSED</v>
      </c>
      <c r="BT208" s="129" t="str">
        <f t="shared" si="165"/>
        <v>Y</v>
      </c>
      <c r="BU208" s="109">
        <f t="shared" si="166"/>
        <v>0.9887640449438202</v>
      </c>
      <c r="BV208" s="109">
        <f t="shared" si="180"/>
        <v>1</v>
      </c>
      <c r="BW208" s="109">
        <f t="shared" ref="BW208:BW229" si="188">BV208-BU208</f>
        <v>1.1235955056179803E-2</v>
      </c>
      <c r="BX208" s="111">
        <f t="shared" si="167"/>
        <v>0</v>
      </c>
      <c r="BY208" s="129">
        <f t="shared" si="168"/>
        <v>-88</v>
      </c>
      <c r="BZ208" s="111">
        <f t="shared" si="169"/>
        <v>0</v>
      </c>
      <c r="CA208" s="138">
        <f t="shared" si="170"/>
        <v>88</v>
      </c>
      <c r="CB208" s="111" t="e">
        <f t="shared" si="187"/>
        <v>#VALUE!</v>
      </c>
      <c r="CC208" s="129">
        <f>G208-I208+1</f>
        <v>88</v>
      </c>
      <c r="CD208" s="129">
        <f>G208-J208</f>
        <v>0</v>
      </c>
      <c r="CE208" s="129">
        <f t="shared" si="171"/>
        <v>0</v>
      </c>
      <c r="CF208" s="129">
        <f t="shared" ref="CF208:CF226" si="189">J208-I208</f>
        <v>87</v>
      </c>
      <c r="CG208" s="129" t="str">
        <f t="shared" si="172"/>
        <v>Y</v>
      </c>
      <c r="CI208" s="129" t="str">
        <f t="shared" si="173"/>
        <v>61-90 DAYS</v>
      </c>
      <c r="CJ208" s="137">
        <f t="shared" si="174"/>
        <v>4</v>
      </c>
      <c r="CK208" s="129" t="str">
        <f t="shared" si="175"/>
        <v>Booked</v>
      </c>
    </row>
    <row r="209" spans="1:89" ht="15" customHeight="1" x14ac:dyDescent="0.25">
      <c r="A209" s="111">
        <v>2246</v>
      </c>
      <c r="B209" s="128" t="str">
        <f t="shared" si="159"/>
        <v>N</v>
      </c>
      <c r="C209" s="128" t="str">
        <f t="shared" si="160"/>
        <v>N</v>
      </c>
      <c r="D209" s="117">
        <v>741821</v>
      </c>
      <c r="E209" s="135">
        <f t="shared" si="161"/>
        <v>5</v>
      </c>
      <c r="F209" s="124">
        <v>40994</v>
      </c>
      <c r="G209" s="125">
        <v>40995</v>
      </c>
      <c r="H209" s="117">
        <v>741821</v>
      </c>
      <c r="I209" s="124">
        <v>40994</v>
      </c>
      <c r="J209" s="124">
        <v>40995</v>
      </c>
      <c r="K209" s="126">
        <v>15000</v>
      </c>
      <c r="L209" s="127" t="s">
        <v>571</v>
      </c>
      <c r="N209" s="129" t="str">
        <f>IF(M209&gt;1/1/1,"Y","N")</f>
        <v>N</v>
      </c>
      <c r="O209" s="128" t="s">
        <v>917</v>
      </c>
      <c r="P209" s="129" t="s">
        <v>39</v>
      </c>
      <c r="Q209" s="111">
        <f t="shared" si="184"/>
        <v>2</v>
      </c>
      <c r="R209" s="111">
        <f t="shared" si="154"/>
        <v>2</v>
      </c>
      <c r="S209" s="129">
        <v>9</v>
      </c>
      <c r="T209" s="129">
        <v>1</v>
      </c>
      <c r="U209" s="129">
        <v>7</v>
      </c>
      <c r="W209" s="111"/>
      <c r="AC209" s="130"/>
      <c r="AD209" s="130">
        <v>19004</v>
      </c>
      <c r="AE209" s="128" t="s">
        <v>32</v>
      </c>
      <c r="AF209" s="128" t="s">
        <v>33</v>
      </c>
      <c r="AG209" s="128" t="s">
        <v>872</v>
      </c>
      <c r="AH209" s="108" t="s">
        <v>58</v>
      </c>
      <c r="AI209" s="128" t="s">
        <v>65</v>
      </c>
      <c r="AJ209" s="129" t="s">
        <v>89</v>
      </c>
      <c r="AK209" s="129">
        <v>1</v>
      </c>
      <c r="AL209" s="3" t="s">
        <v>992</v>
      </c>
      <c r="AN209" s="117">
        <v>7</v>
      </c>
      <c r="AP209" s="129" t="s">
        <v>43</v>
      </c>
      <c r="AR209" s="128" t="s">
        <v>44</v>
      </c>
      <c r="AS209" s="129" t="s">
        <v>45</v>
      </c>
      <c r="BC209" s="129" t="s">
        <v>38</v>
      </c>
      <c r="BF209" s="111">
        <f t="shared" si="185"/>
        <v>2</v>
      </c>
      <c r="BG209" s="111">
        <f t="shared" si="186"/>
        <v>2</v>
      </c>
      <c r="BH209" s="111">
        <f t="shared" si="155"/>
        <v>2</v>
      </c>
      <c r="BI209" s="111">
        <f t="shared" si="156"/>
        <v>60.081967213114751</v>
      </c>
      <c r="BJ209" s="129">
        <f t="shared" si="177"/>
        <v>0</v>
      </c>
      <c r="BK209" s="129">
        <f t="shared" si="157"/>
        <v>0</v>
      </c>
      <c r="BL209" s="129" t="str">
        <f t="shared" si="158"/>
        <v>CONVICTION</v>
      </c>
      <c r="BM209" s="129" t="str">
        <f t="shared" si="178"/>
        <v>NONE</v>
      </c>
      <c r="BN209" s="129" t="s">
        <v>566</v>
      </c>
      <c r="BP209" s="137" t="str">
        <f t="shared" si="162"/>
        <v>CONVICTION</v>
      </c>
      <c r="BQ209" s="128" t="str">
        <f t="shared" si="163"/>
        <v>Y</v>
      </c>
      <c r="BR209" s="129" t="str">
        <f t="shared" si="179"/>
        <v>DETAINED</v>
      </c>
      <c r="BS209" s="129" t="str">
        <f t="shared" si="164"/>
        <v>DISPOSED</v>
      </c>
      <c r="BT209" s="129" t="str">
        <f t="shared" si="165"/>
        <v>Y</v>
      </c>
      <c r="BU209" s="109">
        <f t="shared" si="166"/>
        <v>1</v>
      </c>
      <c r="BV209" s="109">
        <f t="shared" si="180"/>
        <v>1</v>
      </c>
      <c r="BW209" s="109">
        <f t="shared" si="188"/>
        <v>0</v>
      </c>
      <c r="BX209" s="111">
        <f t="shared" si="167"/>
        <v>0</v>
      </c>
      <c r="BY209" s="129">
        <f t="shared" si="168"/>
        <v>-2</v>
      </c>
      <c r="BZ209" s="111">
        <f t="shared" si="169"/>
        <v>0</v>
      </c>
      <c r="CA209" s="138">
        <f t="shared" si="170"/>
        <v>2</v>
      </c>
      <c r="CB209" s="111" t="e">
        <f t="shared" si="187"/>
        <v>#VALUE!</v>
      </c>
      <c r="CC209" s="129">
        <f>G209-I209+1</f>
        <v>2</v>
      </c>
      <c r="CD209" s="129">
        <f>G209-J209</f>
        <v>0</v>
      </c>
      <c r="CE209" s="129">
        <f t="shared" si="171"/>
        <v>0</v>
      </c>
      <c r="CF209" s="129">
        <f t="shared" si="189"/>
        <v>1</v>
      </c>
      <c r="CG209" s="129" t="str">
        <f t="shared" si="172"/>
        <v>Y</v>
      </c>
      <c r="CI209" s="129" t="str">
        <f t="shared" si="173"/>
        <v>0-10 DAYS</v>
      </c>
      <c r="CJ209" s="137">
        <f t="shared" si="174"/>
        <v>1</v>
      </c>
      <c r="CK209" s="129" t="str">
        <f t="shared" si="175"/>
        <v>Booked</v>
      </c>
    </row>
    <row r="210" spans="1:89" ht="15" customHeight="1" x14ac:dyDescent="0.25">
      <c r="A210" s="111">
        <v>2440</v>
      </c>
      <c r="B210" s="128" t="str">
        <f t="shared" si="159"/>
        <v>N</v>
      </c>
      <c r="C210" s="128" t="str">
        <f t="shared" si="160"/>
        <v>N</v>
      </c>
      <c r="D210" s="117">
        <v>743342</v>
      </c>
      <c r="E210" s="135">
        <f t="shared" si="161"/>
        <v>5</v>
      </c>
      <c r="F210" s="124">
        <v>41001</v>
      </c>
      <c r="G210" s="125">
        <v>41010</v>
      </c>
      <c r="H210" s="117">
        <v>743342</v>
      </c>
      <c r="I210" s="124">
        <v>41001</v>
      </c>
      <c r="J210" s="124">
        <v>41010</v>
      </c>
      <c r="K210" s="126" t="s">
        <v>564</v>
      </c>
      <c r="L210" s="127" t="s">
        <v>564</v>
      </c>
      <c r="N210" s="129" t="s">
        <v>566</v>
      </c>
      <c r="O210" s="128" t="s">
        <v>917</v>
      </c>
      <c r="P210" s="129" t="s">
        <v>39</v>
      </c>
      <c r="Q210" s="111">
        <f t="shared" si="184"/>
        <v>10</v>
      </c>
      <c r="R210" s="111">
        <f t="shared" si="154"/>
        <v>10</v>
      </c>
      <c r="S210" s="129">
        <v>7</v>
      </c>
      <c r="T210" s="129">
        <v>4</v>
      </c>
      <c r="U210" s="129">
        <v>46</v>
      </c>
      <c r="W210" s="111"/>
      <c r="AC210" s="130"/>
      <c r="AD210" s="130">
        <v>24202</v>
      </c>
      <c r="AE210" s="128" t="s">
        <v>32</v>
      </c>
      <c r="AF210" s="128" t="s">
        <v>33</v>
      </c>
      <c r="AG210" s="128" t="s">
        <v>872</v>
      </c>
      <c r="AH210" s="108" t="s">
        <v>58</v>
      </c>
      <c r="AI210" s="128" t="s">
        <v>47</v>
      </c>
      <c r="AJ210" s="129" t="s">
        <v>89</v>
      </c>
      <c r="AK210" s="129">
        <v>2</v>
      </c>
      <c r="AL210" s="3" t="s">
        <v>992</v>
      </c>
      <c r="AN210" s="117">
        <v>10</v>
      </c>
      <c r="AP210" s="129" t="s">
        <v>43</v>
      </c>
      <c r="AR210" s="128" t="s">
        <v>44</v>
      </c>
      <c r="AS210" s="129" t="s">
        <v>45</v>
      </c>
      <c r="BC210" s="129" t="s">
        <v>38</v>
      </c>
      <c r="BF210" s="111">
        <f t="shared" si="185"/>
        <v>10</v>
      </c>
      <c r="BG210" s="111">
        <f t="shared" si="186"/>
        <v>10</v>
      </c>
      <c r="BH210" s="111">
        <f t="shared" si="155"/>
        <v>10</v>
      </c>
      <c r="BI210" s="111">
        <f t="shared" si="156"/>
        <v>45.898907103825138</v>
      </c>
      <c r="BJ210" s="129">
        <f t="shared" si="177"/>
        <v>0</v>
      </c>
      <c r="BK210" s="129">
        <f t="shared" si="157"/>
        <v>0</v>
      </c>
      <c r="BL210" s="129" t="str">
        <f t="shared" si="158"/>
        <v>CONVICTION</v>
      </c>
      <c r="BM210" s="129" t="str">
        <f t="shared" si="178"/>
        <v>NONE</v>
      </c>
      <c r="BN210" s="129" t="s">
        <v>566</v>
      </c>
      <c r="BP210" s="137" t="str">
        <f t="shared" si="162"/>
        <v>CONVICTION</v>
      </c>
      <c r="BQ210" s="128" t="str">
        <f t="shared" si="163"/>
        <v>Y</v>
      </c>
      <c r="BR210" s="129" t="str">
        <f t="shared" si="179"/>
        <v>DETAINED</v>
      </c>
      <c r="BS210" s="129" t="str">
        <f t="shared" si="164"/>
        <v>DISPOSED</v>
      </c>
      <c r="BT210" s="129" t="str">
        <f t="shared" si="165"/>
        <v>Y</v>
      </c>
      <c r="BU210" s="109">
        <f t="shared" si="166"/>
        <v>1</v>
      </c>
      <c r="BV210" s="109">
        <f t="shared" si="180"/>
        <v>1</v>
      </c>
      <c r="BW210" s="109">
        <f t="shared" si="188"/>
        <v>0</v>
      </c>
      <c r="BX210" s="111">
        <f t="shared" si="167"/>
        <v>0</v>
      </c>
      <c r="BY210" s="129">
        <f t="shared" si="168"/>
        <v>-10</v>
      </c>
      <c r="BZ210" s="111">
        <f t="shared" si="169"/>
        <v>0</v>
      </c>
      <c r="CA210" s="138">
        <f t="shared" si="170"/>
        <v>10</v>
      </c>
      <c r="CB210" s="111" t="e">
        <f t="shared" si="187"/>
        <v>#VALUE!</v>
      </c>
      <c r="CC210" s="129">
        <f>G210-I210+1</f>
        <v>10</v>
      </c>
      <c r="CD210" s="129">
        <f>G210-J210</f>
        <v>0</v>
      </c>
      <c r="CE210" s="129">
        <f t="shared" si="171"/>
        <v>0</v>
      </c>
      <c r="CF210" s="129">
        <f t="shared" si="189"/>
        <v>9</v>
      </c>
      <c r="CG210" s="129" t="str">
        <f t="shared" si="172"/>
        <v>Y</v>
      </c>
      <c r="CI210" s="129" t="str">
        <f t="shared" si="173"/>
        <v>0-10 DAYS</v>
      </c>
      <c r="CJ210" s="137">
        <f t="shared" si="174"/>
        <v>1</v>
      </c>
      <c r="CK210" s="129" t="str">
        <f t="shared" si="175"/>
        <v>Booked</v>
      </c>
    </row>
    <row r="211" spans="1:89" ht="15.75" customHeight="1" x14ac:dyDescent="0.25">
      <c r="A211" s="111">
        <v>2941</v>
      </c>
      <c r="B211" s="128" t="str">
        <f t="shared" si="159"/>
        <v>N</v>
      </c>
      <c r="C211" s="128" t="str">
        <f t="shared" si="160"/>
        <v>N</v>
      </c>
      <c r="D211" s="117">
        <v>745249</v>
      </c>
      <c r="E211" s="135">
        <f t="shared" si="161"/>
        <v>5</v>
      </c>
      <c r="F211" s="124">
        <v>41017</v>
      </c>
      <c r="G211" s="125">
        <v>41127</v>
      </c>
      <c r="H211" s="117">
        <v>745249</v>
      </c>
      <c r="I211" s="124">
        <v>41017</v>
      </c>
      <c r="J211" s="124">
        <v>41127</v>
      </c>
      <c r="K211" s="126">
        <v>15000</v>
      </c>
      <c r="L211" s="127" t="s">
        <v>571</v>
      </c>
      <c r="N211" s="129" t="str">
        <f>IF(M211&gt;1/1/1,"Y","N")</f>
        <v>N</v>
      </c>
      <c r="O211" s="128" t="s">
        <v>917</v>
      </c>
      <c r="P211" s="129" t="s">
        <v>39</v>
      </c>
      <c r="Q211" s="111">
        <f t="shared" si="184"/>
        <v>111</v>
      </c>
      <c r="R211" s="111">
        <f t="shared" si="154"/>
        <v>111</v>
      </c>
      <c r="S211" s="129">
        <v>10</v>
      </c>
      <c r="T211" s="129">
        <v>6</v>
      </c>
      <c r="U211" s="129">
        <v>6</v>
      </c>
      <c r="W211" s="111"/>
      <c r="AC211" s="130"/>
      <c r="AD211" s="130">
        <v>25079</v>
      </c>
      <c r="AE211" s="128" t="s">
        <v>32</v>
      </c>
      <c r="AF211" s="128" t="s">
        <v>69</v>
      </c>
      <c r="AG211" s="128" t="s">
        <v>874</v>
      </c>
      <c r="AH211" s="108" t="s">
        <v>58</v>
      </c>
      <c r="AI211" s="128" t="s">
        <v>90</v>
      </c>
      <c r="AJ211" s="129" t="s">
        <v>89</v>
      </c>
      <c r="AK211" s="129">
        <v>5</v>
      </c>
      <c r="AL211" s="3" t="s">
        <v>992</v>
      </c>
      <c r="AN211" s="117">
        <v>12</v>
      </c>
      <c r="AP211" s="129" t="s">
        <v>43</v>
      </c>
      <c r="AR211" s="128" t="s">
        <v>44</v>
      </c>
      <c r="AS211" s="129" t="s">
        <v>45</v>
      </c>
      <c r="BC211" s="129" t="s">
        <v>38</v>
      </c>
      <c r="BF211" s="111">
        <f t="shared" si="185"/>
        <v>111</v>
      </c>
      <c r="BG211" s="111">
        <f t="shared" si="186"/>
        <v>111</v>
      </c>
      <c r="BH211" s="111">
        <f t="shared" si="155"/>
        <v>111</v>
      </c>
      <c r="BI211" s="111">
        <f t="shared" si="156"/>
        <v>43.546448087431692</v>
      </c>
      <c r="BJ211" s="129">
        <f t="shared" si="177"/>
        <v>0</v>
      </c>
      <c r="BK211" s="129">
        <f t="shared" si="157"/>
        <v>0</v>
      </c>
      <c r="BL211" s="129" t="str">
        <f t="shared" si="158"/>
        <v>CONVICTION</v>
      </c>
      <c r="BM211" s="129" t="str">
        <f t="shared" si="178"/>
        <v>NONE</v>
      </c>
      <c r="BN211" s="129" t="s">
        <v>566</v>
      </c>
      <c r="BP211" s="137" t="str">
        <f t="shared" si="162"/>
        <v>CONVICTION</v>
      </c>
      <c r="BQ211" s="128" t="str">
        <f t="shared" si="163"/>
        <v>Y</v>
      </c>
      <c r="BR211" s="129" t="str">
        <f t="shared" si="179"/>
        <v>DETAINED</v>
      </c>
      <c r="BS211" s="129" t="str">
        <f t="shared" si="164"/>
        <v>DISPOSED</v>
      </c>
      <c r="BT211" s="129" t="str">
        <f t="shared" si="165"/>
        <v>Y</v>
      </c>
      <c r="BU211" s="109">
        <f t="shared" si="166"/>
        <v>1</v>
      </c>
      <c r="BV211" s="109">
        <f t="shared" si="180"/>
        <v>1</v>
      </c>
      <c r="BW211" s="109">
        <f t="shared" si="188"/>
        <v>0</v>
      </c>
      <c r="BX211" s="111">
        <f t="shared" si="167"/>
        <v>0</v>
      </c>
      <c r="BY211" s="129">
        <f t="shared" si="168"/>
        <v>-111</v>
      </c>
      <c r="BZ211" s="111">
        <f t="shared" si="169"/>
        <v>0</v>
      </c>
      <c r="CA211" s="138">
        <f t="shared" si="170"/>
        <v>111</v>
      </c>
      <c r="CB211" s="111" t="e">
        <f t="shared" si="187"/>
        <v>#VALUE!</v>
      </c>
      <c r="CC211" s="129">
        <f>G211-I211+1</f>
        <v>111</v>
      </c>
      <c r="CD211" s="129">
        <f>G211-J211</f>
        <v>0</v>
      </c>
      <c r="CE211" s="129">
        <f t="shared" si="171"/>
        <v>0</v>
      </c>
      <c r="CF211" s="129">
        <f t="shared" si="189"/>
        <v>110</v>
      </c>
      <c r="CG211" s="129" t="str">
        <f t="shared" si="172"/>
        <v>Y</v>
      </c>
      <c r="CI211" s="129" t="str">
        <f t="shared" si="173"/>
        <v>91-120 DAYS</v>
      </c>
      <c r="CJ211" s="137">
        <f t="shared" si="174"/>
        <v>0</v>
      </c>
      <c r="CK211" s="129" t="str">
        <f t="shared" si="175"/>
        <v>Booked</v>
      </c>
    </row>
    <row r="212" spans="1:89" ht="15" customHeight="1" x14ac:dyDescent="0.25">
      <c r="A212" s="111">
        <v>2046</v>
      </c>
      <c r="B212" s="128" t="str">
        <f t="shared" si="159"/>
        <v>N</v>
      </c>
      <c r="C212" s="128" t="str">
        <f t="shared" si="160"/>
        <v>N</v>
      </c>
      <c r="D212" s="117">
        <v>747962</v>
      </c>
      <c r="E212" s="135">
        <f t="shared" si="161"/>
        <v>5</v>
      </c>
      <c r="F212" s="124">
        <v>40985</v>
      </c>
      <c r="G212" s="125">
        <v>40987</v>
      </c>
      <c r="H212" s="117">
        <v>747962</v>
      </c>
      <c r="I212" s="124">
        <v>40986</v>
      </c>
      <c r="J212" s="124">
        <v>40987</v>
      </c>
      <c r="K212" s="126">
        <v>15000</v>
      </c>
      <c r="L212" s="127" t="s">
        <v>571</v>
      </c>
      <c r="N212" s="129" t="str">
        <f>IF(M212&gt;1/1/1,"Y","N")</f>
        <v>N</v>
      </c>
      <c r="O212" s="128" t="s">
        <v>917</v>
      </c>
      <c r="P212" s="129" t="s">
        <v>39</v>
      </c>
      <c r="Q212" s="111">
        <f t="shared" si="184"/>
        <v>2</v>
      </c>
      <c r="R212" s="111">
        <f t="shared" si="154"/>
        <v>3</v>
      </c>
      <c r="S212" s="129">
        <v>5</v>
      </c>
      <c r="T212" s="129">
        <v>6</v>
      </c>
      <c r="U212" s="129">
        <v>3</v>
      </c>
      <c r="W212" s="111"/>
      <c r="AC212" s="130"/>
      <c r="AD212" s="130">
        <v>24127</v>
      </c>
      <c r="AE212" s="128" t="s">
        <v>46</v>
      </c>
      <c r="AF212" s="128" t="s">
        <v>33</v>
      </c>
      <c r="AG212" s="128" t="s">
        <v>872</v>
      </c>
      <c r="AH212" s="108" t="s">
        <v>58</v>
      </c>
      <c r="AI212" s="128" t="s">
        <v>113</v>
      </c>
      <c r="AJ212" s="129" t="s">
        <v>89</v>
      </c>
      <c r="AK212" s="129">
        <v>1</v>
      </c>
      <c r="AL212" s="3" t="s">
        <v>992</v>
      </c>
      <c r="AN212" s="117">
        <v>9</v>
      </c>
      <c r="AP212" s="129" t="s">
        <v>60</v>
      </c>
      <c r="AR212" s="128" t="s">
        <v>44</v>
      </c>
      <c r="AS212" s="129" t="s">
        <v>61</v>
      </c>
      <c r="BC212" s="129" t="s">
        <v>38</v>
      </c>
      <c r="BF212" s="111">
        <f t="shared" si="185"/>
        <v>2</v>
      </c>
      <c r="BG212" s="111">
        <f t="shared" si="186"/>
        <v>2</v>
      </c>
      <c r="BH212" s="111">
        <f t="shared" si="155"/>
        <v>3</v>
      </c>
      <c r="BI212" s="111">
        <f t="shared" si="156"/>
        <v>46.060109289617486</v>
      </c>
      <c r="BJ212" s="129">
        <f t="shared" si="177"/>
        <v>0</v>
      </c>
      <c r="BK212" s="129">
        <f t="shared" si="157"/>
        <v>0</v>
      </c>
      <c r="BL212" s="129" t="str">
        <f t="shared" si="158"/>
        <v>CONVICTION</v>
      </c>
      <c r="BM212" s="129" t="str">
        <f t="shared" si="178"/>
        <v>NONE</v>
      </c>
      <c r="BN212" s="129" t="s">
        <v>566</v>
      </c>
      <c r="BP212" s="137" t="str">
        <f t="shared" si="162"/>
        <v>CONVICTION</v>
      </c>
      <c r="BQ212" s="128" t="str">
        <f t="shared" si="163"/>
        <v>Y</v>
      </c>
      <c r="BR212" s="129" t="str">
        <f t="shared" si="179"/>
        <v>DETAINED</v>
      </c>
      <c r="BS212" s="129" t="str">
        <f t="shared" si="164"/>
        <v>DISPOSED</v>
      </c>
      <c r="BT212" s="129" t="str">
        <f t="shared" si="165"/>
        <v>Y</v>
      </c>
      <c r="BU212" s="109">
        <f t="shared" si="166"/>
        <v>0.66666666666666663</v>
      </c>
      <c r="BV212" s="109">
        <f t="shared" si="180"/>
        <v>1</v>
      </c>
      <c r="BW212" s="109">
        <f t="shared" si="188"/>
        <v>0.33333333333333337</v>
      </c>
      <c r="BX212" s="111">
        <f t="shared" si="167"/>
        <v>0</v>
      </c>
      <c r="BY212" s="129">
        <f t="shared" si="168"/>
        <v>-2</v>
      </c>
      <c r="BZ212" s="111">
        <f t="shared" si="169"/>
        <v>0</v>
      </c>
      <c r="CA212" s="138">
        <f t="shared" si="170"/>
        <v>2</v>
      </c>
      <c r="CB212" s="111" t="e">
        <f t="shared" si="187"/>
        <v>#VALUE!</v>
      </c>
      <c r="CC212" s="129">
        <f>G212-I212+1</f>
        <v>2</v>
      </c>
      <c r="CD212" s="129">
        <f>G212-J212</f>
        <v>0</v>
      </c>
      <c r="CE212" s="129">
        <f t="shared" si="171"/>
        <v>0</v>
      </c>
      <c r="CF212" s="129">
        <f t="shared" si="189"/>
        <v>1</v>
      </c>
      <c r="CG212" s="129" t="str">
        <f t="shared" si="172"/>
        <v>Y</v>
      </c>
      <c r="CI212" s="129" t="str">
        <f t="shared" si="173"/>
        <v>0-10 DAYS</v>
      </c>
      <c r="CJ212" s="137">
        <f t="shared" si="174"/>
        <v>1</v>
      </c>
      <c r="CK212" s="129" t="str">
        <f t="shared" si="175"/>
        <v>Booked</v>
      </c>
    </row>
    <row r="213" spans="1:89" ht="15" customHeight="1" x14ac:dyDescent="0.25">
      <c r="A213" s="111">
        <v>2163</v>
      </c>
      <c r="B213" s="128" t="str">
        <f t="shared" si="159"/>
        <v>N</v>
      </c>
      <c r="C213" s="128" t="str">
        <f t="shared" si="160"/>
        <v>N</v>
      </c>
      <c r="D213" s="117">
        <v>749020</v>
      </c>
      <c r="E213" s="135">
        <f t="shared" si="161"/>
        <v>2</v>
      </c>
      <c r="F213" s="124">
        <v>40990</v>
      </c>
      <c r="G213" s="125">
        <v>40991</v>
      </c>
      <c r="H213" s="117">
        <v>749020</v>
      </c>
      <c r="I213" s="124" t="s">
        <v>562</v>
      </c>
      <c r="J213" s="124" t="s">
        <v>562</v>
      </c>
      <c r="K213" s="126">
        <v>2000</v>
      </c>
      <c r="L213" s="127" t="s">
        <v>568</v>
      </c>
      <c r="M213" s="125">
        <v>40990</v>
      </c>
      <c r="N213" s="129" t="str">
        <f>IF(M213&gt;1/1/1,"Y",IF(Q213="0","","N"))</f>
        <v>Y</v>
      </c>
      <c r="O213" s="128" t="s">
        <v>76</v>
      </c>
      <c r="P213" s="129" t="s">
        <v>589</v>
      </c>
      <c r="Q213" s="111">
        <f t="shared" si="184"/>
        <v>0</v>
      </c>
      <c r="R213" s="111">
        <f t="shared" si="154"/>
        <v>2</v>
      </c>
      <c r="S213" s="129">
        <v>0</v>
      </c>
      <c r="T213" s="129">
        <v>2</v>
      </c>
      <c r="W213" s="111"/>
      <c r="AC213" s="130"/>
      <c r="AD213" s="130">
        <v>22114</v>
      </c>
      <c r="AE213" s="128" t="s">
        <v>32</v>
      </c>
      <c r="AF213" s="128" t="s">
        <v>69</v>
      </c>
      <c r="AG213" s="128" t="s">
        <v>874</v>
      </c>
      <c r="AH213" s="108" t="s">
        <v>31</v>
      </c>
      <c r="AI213" s="128" t="s">
        <v>85</v>
      </c>
      <c r="AJ213" s="129" t="s">
        <v>48</v>
      </c>
      <c r="AK213" s="129">
        <v>1</v>
      </c>
      <c r="AL213" s="3" t="s">
        <v>48</v>
      </c>
      <c r="AP213" s="129" t="s">
        <v>43</v>
      </c>
      <c r="AR213" s="128" t="s">
        <v>44</v>
      </c>
      <c r="AS213" s="129" t="s">
        <v>45</v>
      </c>
      <c r="BC213" s="129" t="s">
        <v>38</v>
      </c>
      <c r="BF213" s="111">
        <v>0</v>
      </c>
      <c r="BG213" s="111">
        <v>0</v>
      </c>
      <c r="BH213" s="111">
        <f t="shared" si="155"/>
        <v>2</v>
      </c>
      <c r="BI213" s="111">
        <f t="shared" si="156"/>
        <v>51.57377049180328</v>
      </c>
      <c r="BJ213" s="129" t="e">
        <f>(G213-J213)+(M213-G213)</f>
        <v>#VALUE!</v>
      </c>
      <c r="BK213" s="129" t="e">
        <f t="shared" si="157"/>
        <v>#VALUE!</v>
      </c>
      <c r="BL213" s="129" t="str">
        <f t="shared" si="158"/>
        <v>DEFERRED</v>
      </c>
      <c r="BM213" s="129" t="s">
        <v>76</v>
      </c>
      <c r="BN213" s="129" t="s">
        <v>88</v>
      </c>
      <c r="BP213" s="137" t="str">
        <f t="shared" si="162"/>
        <v>DEFERRED</v>
      </c>
      <c r="BQ213" s="128">
        <f t="shared" si="163"/>
        <v>0</v>
      </c>
      <c r="BR213" s="129" t="s">
        <v>575</v>
      </c>
      <c r="BS213" s="129" t="str">
        <f t="shared" si="164"/>
        <v>DISPOSED</v>
      </c>
      <c r="BT213" s="129" t="str">
        <f t="shared" si="165"/>
        <v>N</v>
      </c>
      <c r="BU213" s="109">
        <f t="shared" si="166"/>
        <v>0</v>
      </c>
      <c r="BV213" s="109">
        <v>0</v>
      </c>
      <c r="BW213" s="109">
        <f t="shared" si="188"/>
        <v>0</v>
      </c>
      <c r="BX213" s="111">
        <f t="shared" si="167"/>
        <v>0</v>
      </c>
      <c r="BY213" s="129" t="e">
        <f t="shared" si="168"/>
        <v>#VALUE!</v>
      </c>
      <c r="BZ213" s="111" t="e">
        <f t="shared" si="169"/>
        <v>#VALUE!</v>
      </c>
      <c r="CA213" s="138" t="e">
        <f t="shared" si="170"/>
        <v>#VALUE!</v>
      </c>
      <c r="CB213" s="111">
        <v>0</v>
      </c>
      <c r="CC213" s="129">
        <v>0</v>
      </c>
      <c r="CD213" s="111">
        <f>CC213-BF213</f>
        <v>0</v>
      </c>
      <c r="CE213" s="129" t="e">
        <f t="shared" si="171"/>
        <v>#VALUE!</v>
      </c>
      <c r="CF213" s="129" t="e">
        <f t="shared" si="189"/>
        <v>#VALUE!</v>
      </c>
      <c r="CG213" s="129" t="str">
        <f t="shared" si="172"/>
        <v>Y</v>
      </c>
      <c r="CI213" s="129" t="str">
        <f t="shared" si="173"/>
        <v>0-10 DAYS</v>
      </c>
      <c r="CJ213" s="137">
        <f t="shared" si="174"/>
        <v>1</v>
      </c>
      <c r="CK213" s="129" t="str">
        <f t="shared" si="175"/>
        <v>Not Booked</v>
      </c>
    </row>
    <row r="214" spans="1:89" ht="15.75" customHeight="1" x14ac:dyDescent="0.25">
      <c r="A214" s="111">
        <v>615</v>
      </c>
      <c r="B214" s="128" t="str">
        <f t="shared" si="159"/>
        <v>N</v>
      </c>
      <c r="C214" s="128" t="str">
        <f t="shared" si="160"/>
        <v>N</v>
      </c>
      <c r="D214" s="117">
        <v>751107</v>
      </c>
      <c r="E214" s="135">
        <f t="shared" si="161"/>
        <v>5</v>
      </c>
      <c r="F214" s="124">
        <v>40933</v>
      </c>
      <c r="G214" s="125">
        <v>41109</v>
      </c>
      <c r="H214" s="117">
        <v>751107</v>
      </c>
      <c r="I214" s="124">
        <v>40933</v>
      </c>
      <c r="J214" s="124">
        <v>40968</v>
      </c>
      <c r="K214" s="126">
        <v>7500</v>
      </c>
      <c r="L214" s="127" t="s">
        <v>570</v>
      </c>
      <c r="M214" s="125">
        <v>40968</v>
      </c>
      <c r="N214" s="129" t="str">
        <f>IF(M214&gt;1/1/1,"Y","N")</f>
        <v>Y</v>
      </c>
      <c r="O214" s="128" t="s">
        <v>76</v>
      </c>
      <c r="P214" s="129" t="s">
        <v>39</v>
      </c>
      <c r="Q214" s="111">
        <f t="shared" si="184"/>
        <v>36</v>
      </c>
      <c r="R214" s="111">
        <f t="shared" si="154"/>
        <v>177</v>
      </c>
      <c r="S214" s="129">
        <v>1</v>
      </c>
      <c r="T214" s="129">
        <v>1</v>
      </c>
      <c r="U214" s="129">
        <v>1</v>
      </c>
      <c r="W214" s="111"/>
      <c r="AC214" s="130"/>
      <c r="AD214" s="130">
        <v>23569</v>
      </c>
      <c r="AE214" s="128" t="s">
        <v>32</v>
      </c>
      <c r="AF214" s="128" t="s">
        <v>69</v>
      </c>
      <c r="AG214" s="128" t="s">
        <v>874</v>
      </c>
      <c r="AH214" s="108" t="s">
        <v>58</v>
      </c>
      <c r="AI214" s="128" t="s">
        <v>59</v>
      </c>
      <c r="AJ214" s="129" t="s">
        <v>89</v>
      </c>
      <c r="AK214" s="129">
        <v>6</v>
      </c>
      <c r="AL214" s="3" t="s">
        <v>992</v>
      </c>
      <c r="AN214" s="117">
        <v>10</v>
      </c>
      <c r="AP214" s="129" t="s">
        <v>121</v>
      </c>
      <c r="AR214" s="128" t="s">
        <v>44</v>
      </c>
      <c r="AS214" s="129" t="s">
        <v>122</v>
      </c>
      <c r="BC214" s="129" t="s">
        <v>38</v>
      </c>
      <c r="BF214" s="111">
        <f t="shared" ref="BF214:BF247" si="190">IF(J214&gt;1/1/1900,((J214+1)-I214),"STILL OPEN")</f>
        <v>36</v>
      </c>
      <c r="BG214" s="111">
        <f t="shared" ref="BG214:BG245" si="191">IF(G214&gt;1/1/1900,((G214+1)-I214),"STILL OPEN")</f>
        <v>177</v>
      </c>
      <c r="BH214" s="111">
        <f t="shared" si="155"/>
        <v>177</v>
      </c>
      <c r="BI214" s="111">
        <f t="shared" si="156"/>
        <v>47.442622950819676</v>
      </c>
      <c r="BJ214" s="129">
        <f>(G214-J214)+(M214-G214)</f>
        <v>0</v>
      </c>
      <c r="BK214" s="129">
        <f t="shared" si="157"/>
        <v>-141</v>
      </c>
      <c r="BL214" s="129" t="str">
        <f t="shared" si="158"/>
        <v>CONVICTION</v>
      </c>
      <c r="BM214" s="129" t="s">
        <v>76</v>
      </c>
      <c r="BN214" s="129" t="s">
        <v>88</v>
      </c>
      <c r="BP214" s="137" t="str">
        <f t="shared" si="162"/>
        <v>CONVICTION</v>
      </c>
      <c r="BQ214" s="128" t="str">
        <f t="shared" si="163"/>
        <v>Y</v>
      </c>
      <c r="BR214" s="129" t="str">
        <f>IF(J214&lt;G214,"ON BOND",0)</f>
        <v>ON BOND</v>
      </c>
      <c r="BS214" s="129" t="str">
        <f t="shared" si="164"/>
        <v>DISPOSED</v>
      </c>
      <c r="BT214" s="129" t="str">
        <f t="shared" si="165"/>
        <v>Y</v>
      </c>
      <c r="BU214" s="109">
        <f t="shared" si="166"/>
        <v>0.20338983050847459</v>
      </c>
      <c r="BV214" s="109">
        <f t="shared" si="180"/>
        <v>0.20338983050847459</v>
      </c>
      <c r="BW214" s="109">
        <f t="shared" si="188"/>
        <v>0</v>
      </c>
      <c r="BX214" s="111">
        <f t="shared" si="167"/>
        <v>0</v>
      </c>
      <c r="BY214" s="129">
        <f t="shared" si="168"/>
        <v>-36</v>
      </c>
      <c r="BZ214" s="111">
        <f t="shared" si="169"/>
        <v>0</v>
      </c>
      <c r="CA214" s="138">
        <f t="shared" si="170"/>
        <v>36</v>
      </c>
      <c r="CB214" s="111" t="e">
        <f t="shared" ref="CB214:CB247" si="192">IF(AF214&gt;1/1/1900,((AF214+1)-AE214),"STILL OPEN")</f>
        <v>#VALUE!</v>
      </c>
      <c r="CC214" s="129">
        <f>M214-I214+1</f>
        <v>36</v>
      </c>
      <c r="CD214" s="111">
        <f>CC214-BF214</f>
        <v>0</v>
      </c>
      <c r="CE214" s="129">
        <f t="shared" si="171"/>
        <v>141</v>
      </c>
      <c r="CF214" s="129">
        <f t="shared" si="189"/>
        <v>35</v>
      </c>
      <c r="CG214" s="129" t="str">
        <f t="shared" si="172"/>
        <v>Y</v>
      </c>
      <c r="CI214" s="129" t="str">
        <f t="shared" si="173"/>
        <v>31-60 DAYS</v>
      </c>
      <c r="CJ214" s="137">
        <f t="shared" si="174"/>
        <v>3</v>
      </c>
      <c r="CK214" s="129" t="str">
        <f t="shared" si="175"/>
        <v>Booked</v>
      </c>
    </row>
    <row r="215" spans="1:89" ht="15" customHeight="1" x14ac:dyDescent="0.25">
      <c r="A215" s="111">
        <v>2218</v>
      </c>
      <c r="B215" s="128" t="str">
        <f t="shared" si="159"/>
        <v>N</v>
      </c>
      <c r="C215" s="128" t="str">
        <f t="shared" si="160"/>
        <v>N</v>
      </c>
      <c r="D215" s="117">
        <v>751239</v>
      </c>
      <c r="E215" s="135">
        <f t="shared" si="161"/>
        <v>6</v>
      </c>
      <c r="F215" s="124">
        <v>40992</v>
      </c>
      <c r="G215" s="125">
        <v>41092</v>
      </c>
      <c r="H215" s="117">
        <v>751239</v>
      </c>
      <c r="I215" s="124">
        <v>40992</v>
      </c>
      <c r="J215" s="124">
        <v>41092</v>
      </c>
      <c r="K215" s="126" t="s">
        <v>564</v>
      </c>
      <c r="L215" s="127" t="s">
        <v>564</v>
      </c>
      <c r="N215" s="129" t="s">
        <v>566</v>
      </c>
      <c r="O215" s="128" t="s">
        <v>917</v>
      </c>
      <c r="P215" s="129" t="s">
        <v>39</v>
      </c>
      <c r="Q215" s="111">
        <f t="shared" si="184"/>
        <v>101</v>
      </c>
      <c r="R215" s="111">
        <f t="shared" si="154"/>
        <v>101</v>
      </c>
      <c r="S215" s="129">
        <v>3</v>
      </c>
      <c r="T215" s="129">
        <v>1</v>
      </c>
      <c r="U215" s="129">
        <v>37</v>
      </c>
      <c r="W215" s="111"/>
      <c r="AC215" s="130"/>
      <c r="AD215" s="130">
        <v>21938</v>
      </c>
      <c r="AE215" s="128" t="s">
        <v>32</v>
      </c>
      <c r="AF215" s="128" t="s">
        <v>33</v>
      </c>
      <c r="AG215" s="128" t="s">
        <v>872</v>
      </c>
      <c r="AH215" s="108" t="s">
        <v>58</v>
      </c>
      <c r="AI215" s="128" t="s">
        <v>47</v>
      </c>
      <c r="AJ215" s="129" t="s">
        <v>89</v>
      </c>
      <c r="AK215" s="129">
        <v>5</v>
      </c>
      <c r="AL215" s="3" t="s">
        <v>362</v>
      </c>
      <c r="AM215" s="117">
        <v>11</v>
      </c>
      <c r="AP215" s="129" t="s">
        <v>43</v>
      </c>
      <c r="AR215" s="128" t="s">
        <v>44</v>
      </c>
      <c r="AS215" s="129" t="s">
        <v>45</v>
      </c>
      <c r="BC215" s="129" t="s">
        <v>52</v>
      </c>
      <c r="BF215" s="111">
        <f t="shared" si="190"/>
        <v>101</v>
      </c>
      <c r="BG215" s="111">
        <f t="shared" si="191"/>
        <v>101</v>
      </c>
      <c r="BH215" s="111">
        <f t="shared" si="155"/>
        <v>101</v>
      </c>
      <c r="BI215" s="111">
        <f t="shared" si="156"/>
        <v>52.060109289617486</v>
      </c>
      <c r="BJ215" s="129">
        <f t="shared" si="177"/>
        <v>0</v>
      </c>
      <c r="BK215" s="129">
        <f t="shared" si="157"/>
        <v>0</v>
      </c>
      <c r="BL215" s="129" t="str">
        <f t="shared" si="158"/>
        <v>CONVICTION</v>
      </c>
      <c r="BM215" s="129" t="str">
        <f t="shared" si="178"/>
        <v>NONE</v>
      </c>
      <c r="BN215" s="129" t="s">
        <v>566</v>
      </c>
      <c r="BP215" s="137" t="str">
        <f t="shared" si="162"/>
        <v>CONVICTION</v>
      </c>
      <c r="BQ215" s="128" t="str">
        <f t="shared" si="163"/>
        <v>Y</v>
      </c>
      <c r="BR215" s="129" t="str">
        <f t="shared" si="179"/>
        <v>DETAINED</v>
      </c>
      <c r="BS215" s="129" t="str">
        <f t="shared" si="164"/>
        <v>DISPOSED</v>
      </c>
      <c r="BT215" s="129" t="str">
        <f t="shared" si="165"/>
        <v>Y</v>
      </c>
      <c r="BU215" s="109">
        <f t="shared" si="166"/>
        <v>1</v>
      </c>
      <c r="BV215" s="109">
        <f t="shared" si="180"/>
        <v>1</v>
      </c>
      <c r="BW215" s="109">
        <f t="shared" si="188"/>
        <v>0</v>
      </c>
      <c r="BX215" s="111">
        <f t="shared" si="167"/>
        <v>0</v>
      </c>
      <c r="BY215" s="129">
        <f t="shared" si="168"/>
        <v>-101</v>
      </c>
      <c r="BZ215" s="111">
        <f t="shared" si="169"/>
        <v>0</v>
      </c>
      <c r="CA215" s="138">
        <f t="shared" si="170"/>
        <v>101</v>
      </c>
      <c r="CB215" s="111" t="e">
        <f t="shared" si="192"/>
        <v>#VALUE!</v>
      </c>
      <c r="CC215" s="129">
        <f>G215-I215+1</f>
        <v>101</v>
      </c>
      <c r="CD215" s="129">
        <f>G215-J215</f>
        <v>0</v>
      </c>
      <c r="CE215" s="129">
        <f t="shared" si="171"/>
        <v>0</v>
      </c>
      <c r="CF215" s="129">
        <f t="shared" si="189"/>
        <v>100</v>
      </c>
      <c r="CG215" s="129" t="str">
        <f t="shared" si="172"/>
        <v>Y</v>
      </c>
      <c r="CI215" s="129" t="str">
        <f t="shared" si="173"/>
        <v>91-120 DAYS</v>
      </c>
      <c r="CJ215" s="137">
        <f t="shared" si="174"/>
        <v>0</v>
      </c>
      <c r="CK215" s="129" t="str">
        <f t="shared" si="175"/>
        <v>Booked</v>
      </c>
    </row>
    <row r="216" spans="1:89" ht="15.75" customHeight="1" x14ac:dyDescent="0.25">
      <c r="A216" s="111">
        <v>1562</v>
      </c>
      <c r="B216" s="128" t="str">
        <f t="shared" si="159"/>
        <v>N</v>
      </c>
      <c r="C216" s="128" t="str">
        <f t="shared" si="160"/>
        <v>N</v>
      </c>
      <c r="D216" s="117">
        <v>751260</v>
      </c>
      <c r="E216" s="135">
        <f t="shared" si="161"/>
        <v>5</v>
      </c>
      <c r="F216" s="124">
        <v>40967</v>
      </c>
      <c r="G216" s="125">
        <v>41009</v>
      </c>
      <c r="H216" s="117">
        <v>751260</v>
      </c>
      <c r="I216" s="124">
        <v>40967</v>
      </c>
      <c r="J216" s="124">
        <v>41009</v>
      </c>
      <c r="K216" s="126">
        <v>15000</v>
      </c>
      <c r="L216" s="127" t="s">
        <v>571</v>
      </c>
      <c r="N216" s="129" t="str">
        <f>IF(M216&gt;1/1/1,"Y","N")</f>
        <v>N</v>
      </c>
      <c r="O216" s="128" t="s">
        <v>917</v>
      </c>
      <c r="P216" s="129" t="s">
        <v>39</v>
      </c>
      <c r="Q216" s="111">
        <f t="shared" si="184"/>
        <v>43</v>
      </c>
      <c r="R216" s="111">
        <f t="shared" si="154"/>
        <v>43</v>
      </c>
      <c r="S216" s="129">
        <v>6</v>
      </c>
      <c r="T216" s="129">
        <v>3</v>
      </c>
      <c r="U216" s="129">
        <v>5</v>
      </c>
      <c r="W216" s="111"/>
      <c r="AC216" s="130"/>
      <c r="AD216" s="130">
        <v>22459</v>
      </c>
      <c r="AE216" s="128" t="s">
        <v>32</v>
      </c>
      <c r="AF216" s="128" t="s">
        <v>33</v>
      </c>
      <c r="AG216" s="128" t="s">
        <v>872</v>
      </c>
      <c r="AH216" s="108" t="s">
        <v>58</v>
      </c>
      <c r="AI216" s="128" t="s">
        <v>72</v>
      </c>
      <c r="AJ216" s="129" t="s">
        <v>89</v>
      </c>
      <c r="AK216" s="129">
        <v>3</v>
      </c>
      <c r="AL216" s="3" t="s">
        <v>992</v>
      </c>
      <c r="AN216" s="117">
        <v>7</v>
      </c>
      <c r="AP216" s="129" t="s">
        <v>43</v>
      </c>
      <c r="AR216" s="128" t="s">
        <v>44</v>
      </c>
      <c r="AS216" s="129" t="s">
        <v>45</v>
      </c>
      <c r="BC216" s="129" t="s">
        <v>38</v>
      </c>
      <c r="BF216" s="111">
        <f t="shared" si="190"/>
        <v>43</v>
      </c>
      <c r="BG216" s="111">
        <f t="shared" si="191"/>
        <v>43</v>
      </c>
      <c r="BH216" s="111">
        <f t="shared" si="155"/>
        <v>43</v>
      </c>
      <c r="BI216" s="111">
        <f t="shared" si="156"/>
        <v>50.568306010928964</v>
      </c>
      <c r="BJ216" s="129">
        <f t="shared" si="177"/>
        <v>0</v>
      </c>
      <c r="BK216" s="129">
        <f t="shared" si="157"/>
        <v>0</v>
      </c>
      <c r="BL216" s="129" t="str">
        <f t="shared" si="158"/>
        <v>CONVICTION</v>
      </c>
      <c r="BM216" s="129" t="str">
        <f t="shared" si="178"/>
        <v>NONE</v>
      </c>
      <c r="BN216" s="129" t="s">
        <v>566</v>
      </c>
      <c r="BP216" s="137" t="str">
        <f t="shared" si="162"/>
        <v>CONVICTION</v>
      </c>
      <c r="BQ216" s="128" t="str">
        <f t="shared" si="163"/>
        <v>Y</v>
      </c>
      <c r="BR216" s="129" t="str">
        <f t="shared" si="179"/>
        <v>DETAINED</v>
      </c>
      <c r="BS216" s="129" t="str">
        <f t="shared" si="164"/>
        <v>DISPOSED</v>
      </c>
      <c r="BT216" s="129" t="str">
        <f t="shared" si="165"/>
        <v>Y</v>
      </c>
      <c r="BU216" s="109">
        <f t="shared" si="166"/>
        <v>1</v>
      </c>
      <c r="BV216" s="109">
        <f t="shared" si="180"/>
        <v>1</v>
      </c>
      <c r="BW216" s="109">
        <f t="shared" si="188"/>
        <v>0</v>
      </c>
      <c r="BX216" s="111">
        <f t="shared" si="167"/>
        <v>0</v>
      </c>
      <c r="BY216" s="129">
        <f t="shared" si="168"/>
        <v>-43</v>
      </c>
      <c r="BZ216" s="111">
        <f t="shared" si="169"/>
        <v>0</v>
      </c>
      <c r="CA216" s="138">
        <f t="shared" si="170"/>
        <v>43</v>
      </c>
      <c r="CB216" s="111" t="e">
        <f t="shared" si="192"/>
        <v>#VALUE!</v>
      </c>
      <c r="CC216" s="129">
        <f>G216-I216+1</f>
        <v>43</v>
      </c>
      <c r="CD216" s="129">
        <f>G216-J216</f>
        <v>0</v>
      </c>
      <c r="CE216" s="129">
        <f t="shared" si="171"/>
        <v>0</v>
      </c>
      <c r="CF216" s="129">
        <f t="shared" si="189"/>
        <v>42</v>
      </c>
      <c r="CG216" s="129" t="str">
        <f t="shared" si="172"/>
        <v>Y</v>
      </c>
      <c r="CI216" s="129" t="str">
        <f t="shared" si="173"/>
        <v>31-60 DAYS</v>
      </c>
      <c r="CJ216" s="137">
        <f t="shared" si="174"/>
        <v>3</v>
      </c>
      <c r="CK216" s="129" t="str">
        <f t="shared" si="175"/>
        <v>Booked</v>
      </c>
    </row>
    <row r="217" spans="1:89" ht="15.75" customHeight="1" x14ac:dyDescent="0.25">
      <c r="A217" s="111">
        <v>1667</v>
      </c>
      <c r="B217" s="128" t="str">
        <f t="shared" si="159"/>
        <v>N</v>
      </c>
      <c r="C217" s="128" t="str">
        <f t="shared" si="160"/>
        <v>N</v>
      </c>
      <c r="D217" s="117">
        <v>752558</v>
      </c>
      <c r="E217" s="135">
        <f t="shared" si="161"/>
        <v>6</v>
      </c>
      <c r="F217" s="124">
        <v>40970</v>
      </c>
      <c r="G217" s="125">
        <v>41095</v>
      </c>
      <c r="H217" s="117">
        <v>752558</v>
      </c>
      <c r="I217" s="124">
        <v>41092</v>
      </c>
      <c r="J217" s="124">
        <v>41095</v>
      </c>
      <c r="K217" s="126">
        <v>15000</v>
      </c>
      <c r="L217" s="127" t="s">
        <v>571</v>
      </c>
      <c r="N217" s="129" t="str">
        <f>IF(M217&gt;1/1/1,"Y","N")</f>
        <v>N</v>
      </c>
      <c r="O217" s="128" t="s">
        <v>917</v>
      </c>
      <c r="P217" s="129" t="s">
        <v>39</v>
      </c>
      <c r="Q217" s="111">
        <f t="shared" si="184"/>
        <v>4</v>
      </c>
      <c r="R217" s="111">
        <f t="shared" si="154"/>
        <v>126</v>
      </c>
      <c r="S217" s="129">
        <v>4</v>
      </c>
      <c r="T217" s="129">
        <v>3</v>
      </c>
      <c r="U217" s="129">
        <v>2</v>
      </c>
      <c r="V217" s="117">
        <v>1</v>
      </c>
      <c r="W217" s="111"/>
      <c r="AC217" s="130"/>
      <c r="AD217" s="130">
        <v>24355</v>
      </c>
      <c r="AE217" s="128" t="s">
        <v>32</v>
      </c>
      <c r="AF217" s="128" t="s">
        <v>69</v>
      </c>
      <c r="AG217" s="128" t="s">
        <v>874</v>
      </c>
      <c r="AH217" s="108" t="s">
        <v>31</v>
      </c>
      <c r="AI217" s="128" t="s">
        <v>114</v>
      </c>
      <c r="AJ217" s="129" t="s">
        <v>89</v>
      </c>
      <c r="AK217" s="129">
        <v>2</v>
      </c>
      <c r="AL217" s="3" t="s">
        <v>362</v>
      </c>
      <c r="AM217" s="117">
        <v>2</v>
      </c>
      <c r="AP217" s="129" t="s">
        <v>98</v>
      </c>
      <c r="AR217" s="128" t="s">
        <v>44</v>
      </c>
      <c r="AS217" s="129" t="s">
        <v>64</v>
      </c>
      <c r="BC217" s="129" t="s">
        <v>38</v>
      </c>
      <c r="BF217" s="111">
        <f t="shared" si="190"/>
        <v>4</v>
      </c>
      <c r="BG217" s="111">
        <f t="shared" si="191"/>
        <v>4</v>
      </c>
      <c r="BH217" s="111">
        <f t="shared" si="155"/>
        <v>126</v>
      </c>
      <c r="BI217" s="111">
        <f t="shared" si="156"/>
        <v>45.396174863387976</v>
      </c>
      <c r="BJ217" s="129">
        <f t="shared" si="177"/>
        <v>0</v>
      </c>
      <c r="BK217" s="129">
        <f t="shared" si="157"/>
        <v>0</v>
      </c>
      <c r="BL217" s="129" t="str">
        <f t="shared" si="158"/>
        <v>CONVICTION</v>
      </c>
      <c r="BM217" s="129" t="str">
        <f t="shared" si="178"/>
        <v>NONE</v>
      </c>
      <c r="BN217" s="129" t="s">
        <v>566</v>
      </c>
      <c r="BP217" s="137" t="str">
        <f t="shared" si="162"/>
        <v>CONVICTION</v>
      </c>
      <c r="BQ217" s="128" t="str">
        <f t="shared" si="163"/>
        <v>Y</v>
      </c>
      <c r="BR217" s="129" t="str">
        <f t="shared" si="179"/>
        <v>DETAINED</v>
      </c>
      <c r="BS217" s="129" t="str">
        <f t="shared" si="164"/>
        <v>DISPOSED</v>
      </c>
      <c r="BT217" s="129" t="str">
        <f t="shared" si="165"/>
        <v>Y</v>
      </c>
      <c r="BU217" s="109">
        <f t="shared" si="166"/>
        <v>3.1746031746031744E-2</v>
      </c>
      <c r="BV217" s="109">
        <f t="shared" si="180"/>
        <v>1</v>
      </c>
      <c r="BW217" s="109">
        <f t="shared" si="188"/>
        <v>0.96825396825396826</v>
      </c>
      <c r="BX217" s="111">
        <f t="shared" si="167"/>
        <v>0</v>
      </c>
      <c r="BY217" s="129">
        <f t="shared" si="168"/>
        <v>-4</v>
      </c>
      <c r="BZ217" s="111">
        <f t="shared" si="169"/>
        <v>0</v>
      </c>
      <c r="CA217" s="138">
        <f t="shared" si="170"/>
        <v>4</v>
      </c>
      <c r="CB217" s="111" t="e">
        <f t="shared" si="192"/>
        <v>#VALUE!</v>
      </c>
      <c r="CC217" s="129">
        <f>G217-I217+1</f>
        <v>4</v>
      </c>
      <c r="CD217" s="129">
        <f>G217-J217</f>
        <v>0</v>
      </c>
      <c r="CE217" s="129">
        <f t="shared" si="171"/>
        <v>0</v>
      </c>
      <c r="CF217" s="129">
        <f t="shared" si="189"/>
        <v>3</v>
      </c>
      <c r="CG217" s="129" t="str">
        <f t="shared" si="172"/>
        <v>Y</v>
      </c>
      <c r="CI217" s="129" t="str">
        <f t="shared" si="173"/>
        <v>0-10 DAYS</v>
      </c>
      <c r="CJ217" s="137">
        <f t="shared" si="174"/>
        <v>1</v>
      </c>
      <c r="CK217" s="129" t="str">
        <f t="shared" si="175"/>
        <v>Booked</v>
      </c>
    </row>
    <row r="218" spans="1:89" ht="15.75" customHeight="1" x14ac:dyDescent="0.25">
      <c r="A218" s="111">
        <v>1537</v>
      </c>
      <c r="B218" s="128" t="str">
        <f t="shared" si="159"/>
        <v>N</v>
      </c>
      <c r="C218" s="128" t="str">
        <f t="shared" si="160"/>
        <v>N</v>
      </c>
      <c r="D218" s="117">
        <v>753825</v>
      </c>
      <c r="E218" s="135">
        <f t="shared" si="161"/>
        <v>6</v>
      </c>
      <c r="F218" s="124">
        <v>40966</v>
      </c>
      <c r="G218" s="125">
        <v>41165</v>
      </c>
      <c r="H218" s="117">
        <v>753825</v>
      </c>
      <c r="I218" s="124">
        <v>40966</v>
      </c>
      <c r="J218" s="124">
        <v>41165</v>
      </c>
      <c r="K218" s="126" t="s">
        <v>564</v>
      </c>
      <c r="L218" s="127" t="s">
        <v>564</v>
      </c>
      <c r="N218" s="129" t="s">
        <v>566</v>
      </c>
      <c r="O218" s="128" t="s">
        <v>917</v>
      </c>
      <c r="P218" s="129" t="s">
        <v>548</v>
      </c>
      <c r="Q218" s="111">
        <f t="shared" si="184"/>
        <v>200</v>
      </c>
      <c r="R218" s="111">
        <f t="shared" si="154"/>
        <v>200</v>
      </c>
      <c r="S218" s="129">
        <v>3</v>
      </c>
      <c r="T218" s="129">
        <v>6</v>
      </c>
      <c r="U218" s="129">
        <v>3</v>
      </c>
      <c r="W218" s="111"/>
      <c r="AC218" s="130"/>
      <c r="AD218" s="130">
        <v>20211</v>
      </c>
      <c r="AE218" s="128" t="s">
        <v>32</v>
      </c>
      <c r="AF218" s="128" t="s">
        <v>33</v>
      </c>
      <c r="AG218" s="128" t="s">
        <v>872</v>
      </c>
      <c r="AH218" s="108" t="s">
        <v>58</v>
      </c>
      <c r="AI218" s="128" t="s">
        <v>87</v>
      </c>
      <c r="AJ218" s="129" t="s">
        <v>89</v>
      </c>
      <c r="AK218" s="129">
        <v>13</v>
      </c>
      <c r="AL218" s="3" t="s">
        <v>362</v>
      </c>
      <c r="AM218" s="117">
        <v>12</v>
      </c>
      <c r="AP218" s="129" t="s">
        <v>110</v>
      </c>
      <c r="AR218" s="128" t="s">
        <v>50</v>
      </c>
      <c r="AS218" s="129" t="s">
        <v>74</v>
      </c>
      <c r="BC218" s="129" t="s">
        <v>38</v>
      </c>
      <c r="BF218" s="111">
        <f t="shared" si="190"/>
        <v>200</v>
      </c>
      <c r="BG218" s="111">
        <f t="shared" si="191"/>
        <v>200</v>
      </c>
      <c r="BH218" s="111">
        <f t="shared" si="155"/>
        <v>200</v>
      </c>
      <c r="BI218" s="111">
        <f t="shared" si="156"/>
        <v>56.707650273224047</v>
      </c>
      <c r="BJ218" s="129">
        <f t="shared" si="177"/>
        <v>0</v>
      </c>
      <c r="BK218" s="129">
        <f t="shared" si="157"/>
        <v>0</v>
      </c>
      <c r="BL218" s="129" t="str">
        <f t="shared" si="158"/>
        <v>CONVICTION</v>
      </c>
      <c r="BM218" s="129" t="str">
        <f t="shared" si="178"/>
        <v>NONE</v>
      </c>
      <c r="BN218" s="129" t="s">
        <v>566</v>
      </c>
      <c r="BP218" s="137" t="str">
        <f t="shared" si="162"/>
        <v>CONVICTION</v>
      </c>
      <c r="BQ218" s="128" t="str">
        <f t="shared" si="163"/>
        <v>Y</v>
      </c>
      <c r="BR218" s="129" t="str">
        <f t="shared" si="179"/>
        <v>DETAINED</v>
      </c>
      <c r="BS218" s="129" t="str">
        <f t="shared" si="164"/>
        <v>DISPOSED</v>
      </c>
      <c r="BT218" s="129" t="str">
        <f t="shared" si="165"/>
        <v>Y</v>
      </c>
      <c r="BU218" s="109">
        <f t="shared" si="166"/>
        <v>1</v>
      </c>
      <c r="BV218" s="109">
        <f t="shared" si="180"/>
        <v>1</v>
      </c>
      <c r="BW218" s="109">
        <f t="shared" si="188"/>
        <v>0</v>
      </c>
      <c r="BX218" s="111">
        <f t="shared" si="167"/>
        <v>0</v>
      </c>
      <c r="BY218" s="129">
        <f t="shared" si="168"/>
        <v>-200</v>
      </c>
      <c r="BZ218" s="111">
        <f t="shared" si="169"/>
        <v>0</v>
      </c>
      <c r="CA218" s="138">
        <f t="shared" si="170"/>
        <v>200</v>
      </c>
      <c r="CB218" s="111" t="e">
        <f t="shared" si="192"/>
        <v>#VALUE!</v>
      </c>
      <c r="CC218" s="129">
        <f>G218-I218+1</f>
        <v>200</v>
      </c>
      <c r="CD218" s="129">
        <f>G218-J218</f>
        <v>0</v>
      </c>
      <c r="CE218" s="129">
        <f t="shared" si="171"/>
        <v>0</v>
      </c>
      <c r="CF218" s="129">
        <f t="shared" si="189"/>
        <v>199</v>
      </c>
      <c r="CG218" s="129" t="str">
        <f t="shared" si="172"/>
        <v>Y</v>
      </c>
      <c r="CI218" s="129" t="str">
        <f t="shared" si="173"/>
        <v>121-365 DAYS</v>
      </c>
      <c r="CJ218" s="137">
        <f t="shared" si="174"/>
        <v>6</v>
      </c>
      <c r="CK218" s="129" t="str">
        <f t="shared" si="175"/>
        <v>Booked</v>
      </c>
    </row>
    <row r="219" spans="1:89" ht="15.75" customHeight="1" x14ac:dyDescent="0.25">
      <c r="A219" s="111">
        <v>108</v>
      </c>
      <c r="B219" s="128" t="str">
        <f t="shared" si="159"/>
        <v>N</v>
      </c>
      <c r="C219" s="128" t="str">
        <f t="shared" si="160"/>
        <v>N</v>
      </c>
      <c r="D219" s="117">
        <v>754144</v>
      </c>
      <c r="E219" s="135">
        <f t="shared" si="161"/>
        <v>1</v>
      </c>
      <c r="F219" s="124">
        <v>40913</v>
      </c>
      <c r="G219" s="125">
        <v>40995</v>
      </c>
      <c r="H219" s="117">
        <v>754144</v>
      </c>
      <c r="I219" s="124">
        <v>40914</v>
      </c>
      <c r="J219" s="124">
        <v>40923</v>
      </c>
      <c r="K219" s="126">
        <v>2000</v>
      </c>
      <c r="L219" s="127" t="s">
        <v>568</v>
      </c>
      <c r="M219" s="125">
        <v>40923</v>
      </c>
      <c r="N219" s="129" t="str">
        <f>IF(M219&gt;1/1/1,"Y","N")</f>
        <v>Y</v>
      </c>
      <c r="O219" s="128" t="s">
        <v>76</v>
      </c>
      <c r="P219" s="129" t="s">
        <v>55</v>
      </c>
      <c r="Q219" s="111">
        <f t="shared" si="184"/>
        <v>10</v>
      </c>
      <c r="R219" s="111">
        <f t="shared" si="154"/>
        <v>83</v>
      </c>
      <c r="S219" s="129">
        <v>0</v>
      </c>
      <c r="T219" s="129">
        <v>3</v>
      </c>
      <c r="W219" s="111"/>
      <c r="AC219" s="130"/>
      <c r="AD219" s="130">
        <v>19564</v>
      </c>
      <c r="AE219" s="128" t="s">
        <v>46</v>
      </c>
      <c r="AF219" s="128" t="s">
        <v>33</v>
      </c>
      <c r="AG219" s="128" t="s">
        <v>872</v>
      </c>
      <c r="AH219" s="108" t="s">
        <v>58</v>
      </c>
      <c r="AI219" s="128" t="s">
        <v>100</v>
      </c>
      <c r="AJ219" s="129" t="s">
        <v>55</v>
      </c>
      <c r="AK219" s="129">
        <v>5</v>
      </c>
      <c r="AL219" s="3" t="s">
        <v>55</v>
      </c>
      <c r="AP219" s="129" t="s">
        <v>127</v>
      </c>
      <c r="AR219" s="128" t="s">
        <v>44</v>
      </c>
      <c r="AS219" s="129" t="s">
        <v>82</v>
      </c>
      <c r="BC219" s="129" t="s">
        <v>38</v>
      </c>
      <c r="BF219" s="111">
        <f t="shared" si="190"/>
        <v>10</v>
      </c>
      <c r="BG219" s="111">
        <f t="shared" si="191"/>
        <v>82</v>
      </c>
      <c r="BH219" s="111">
        <f t="shared" si="155"/>
        <v>83</v>
      </c>
      <c r="BI219" s="111">
        <f t="shared" si="156"/>
        <v>58.330601092896174</v>
      </c>
      <c r="BJ219" s="129">
        <f>(G219-J219)+(M219-G219)</f>
        <v>0</v>
      </c>
      <c r="BK219" s="129">
        <f t="shared" si="157"/>
        <v>-72</v>
      </c>
      <c r="BL219" s="129" t="str">
        <f t="shared" si="158"/>
        <v>NO CONVICTION</v>
      </c>
      <c r="BM219" s="129" t="s">
        <v>76</v>
      </c>
      <c r="BN219" s="129" t="s">
        <v>88</v>
      </c>
      <c r="BP219" s="137" t="str">
        <f t="shared" si="162"/>
        <v>NO CONVICTION</v>
      </c>
      <c r="BQ219" s="128" t="str">
        <f t="shared" si="163"/>
        <v>Y</v>
      </c>
      <c r="BR219" s="129" t="str">
        <f t="shared" si="179"/>
        <v>ON BOND</v>
      </c>
      <c r="BS219" s="129" t="str">
        <f t="shared" si="164"/>
        <v>DISPOSED</v>
      </c>
      <c r="BT219" s="129" t="str">
        <f t="shared" si="165"/>
        <v>N</v>
      </c>
      <c r="BU219" s="109">
        <f>IFERROR(Q219/R219,BR219)</f>
        <v>0.12048192771084337</v>
      </c>
      <c r="BV219" s="109">
        <f t="shared" si="180"/>
        <v>0.12195121951219512</v>
      </c>
      <c r="BW219" s="109">
        <f t="shared" si="188"/>
        <v>1.4692918013517464E-3</v>
      </c>
      <c r="BX219" s="111">
        <f t="shared" si="167"/>
        <v>0</v>
      </c>
      <c r="BY219" s="129">
        <f t="shared" si="168"/>
        <v>-10</v>
      </c>
      <c r="BZ219" s="111">
        <f t="shared" si="169"/>
        <v>0</v>
      </c>
      <c r="CA219" s="138">
        <f t="shared" si="170"/>
        <v>10</v>
      </c>
      <c r="CB219" s="111" t="e">
        <f t="shared" si="192"/>
        <v>#VALUE!</v>
      </c>
      <c r="CC219" s="129">
        <f>M219-I219+1</f>
        <v>10</v>
      </c>
      <c r="CD219" s="111">
        <f>CC219-BF219</f>
        <v>0</v>
      </c>
      <c r="CE219" s="129">
        <f t="shared" si="171"/>
        <v>72</v>
      </c>
      <c r="CF219" s="129">
        <f t="shared" si="189"/>
        <v>9</v>
      </c>
      <c r="CG219" s="129" t="str">
        <f t="shared" si="172"/>
        <v>Y</v>
      </c>
      <c r="CI219" s="129" t="str">
        <f t="shared" si="173"/>
        <v>0-10 DAYS</v>
      </c>
      <c r="CJ219" s="137">
        <f t="shared" si="174"/>
        <v>1</v>
      </c>
      <c r="CK219" s="129" t="str">
        <f t="shared" si="175"/>
        <v>Booked</v>
      </c>
    </row>
    <row r="220" spans="1:89" ht="15.75" customHeight="1" x14ac:dyDescent="0.25">
      <c r="A220" s="111">
        <v>2514</v>
      </c>
      <c r="B220" s="128" t="str">
        <f t="shared" si="159"/>
        <v>N</v>
      </c>
      <c r="C220" s="128" t="str">
        <f t="shared" si="160"/>
        <v>N</v>
      </c>
      <c r="D220" s="117">
        <v>755226</v>
      </c>
      <c r="E220" s="135">
        <f t="shared" si="161"/>
        <v>5</v>
      </c>
      <c r="F220" s="124">
        <v>41003</v>
      </c>
      <c r="G220" s="125">
        <v>41061</v>
      </c>
      <c r="H220" s="117">
        <v>755226</v>
      </c>
      <c r="I220" s="124">
        <v>41004</v>
      </c>
      <c r="J220" s="124">
        <f>G220</f>
        <v>41061</v>
      </c>
      <c r="K220" s="126" t="s">
        <v>564</v>
      </c>
      <c r="L220" s="127" t="s">
        <v>564</v>
      </c>
      <c r="N220" s="129" t="s">
        <v>566</v>
      </c>
      <c r="O220" s="128" t="s">
        <v>917</v>
      </c>
      <c r="P220" s="129" t="s">
        <v>39</v>
      </c>
      <c r="Q220" s="111">
        <f t="shared" si="184"/>
        <v>58</v>
      </c>
      <c r="R220" s="111">
        <f t="shared" si="154"/>
        <v>59</v>
      </c>
      <c r="S220" s="32">
        <v>8</v>
      </c>
      <c r="T220" s="32">
        <v>3</v>
      </c>
      <c r="U220" s="32">
        <v>6</v>
      </c>
      <c r="W220" s="111"/>
      <c r="AC220" s="130"/>
      <c r="AD220" s="130">
        <v>22203</v>
      </c>
      <c r="AE220" s="128" t="s">
        <v>32</v>
      </c>
      <c r="AF220" s="128" t="s">
        <v>33</v>
      </c>
      <c r="AG220" s="128" t="s">
        <v>872</v>
      </c>
      <c r="AH220" s="108" t="s">
        <v>31</v>
      </c>
      <c r="AI220" s="128" t="s">
        <v>70</v>
      </c>
      <c r="AJ220" s="129" t="s">
        <v>89</v>
      </c>
      <c r="AK220" s="129">
        <v>3</v>
      </c>
      <c r="AL220" s="3" t="s">
        <v>992</v>
      </c>
      <c r="AN220" s="117">
        <v>12</v>
      </c>
      <c r="AP220" s="129" t="s">
        <v>63</v>
      </c>
      <c r="AR220" s="128" t="s">
        <v>44</v>
      </c>
      <c r="AS220" s="129" t="s">
        <v>64</v>
      </c>
      <c r="BC220" s="129" t="s">
        <v>38</v>
      </c>
      <c r="BF220" s="111">
        <f t="shared" si="190"/>
        <v>58</v>
      </c>
      <c r="BG220" s="111">
        <f t="shared" si="191"/>
        <v>58</v>
      </c>
      <c r="BH220" s="111">
        <f t="shared" si="155"/>
        <v>59</v>
      </c>
      <c r="BI220" s="111">
        <f t="shared" si="156"/>
        <v>51.366120218579233</v>
      </c>
      <c r="BJ220" s="129">
        <f t="shared" si="177"/>
        <v>0</v>
      </c>
      <c r="BK220" s="129">
        <f t="shared" si="157"/>
        <v>0</v>
      </c>
      <c r="BL220" s="129" t="str">
        <f t="shared" si="158"/>
        <v>CONVICTION</v>
      </c>
      <c r="BM220" s="129" t="str">
        <f t="shared" si="178"/>
        <v>NONE</v>
      </c>
      <c r="BN220" s="129" t="s">
        <v>566</v>
      </c>
      <c r="BP220" s="137" t="str">
        <f t="shared" si="162"/>
        <v>CONVICTION</v>
      </c>
      <c r="BQ220" s="128" t="str">
        <f t="shared" si="163"/>
        <v>Y</v>
      </c>
      <c r="BR220" s="129" t="str">
        <f t="shared" si="179"/>
        <v>DETAINED</v>
      </c>
      <c r="BS220" s="129" t="str">
        <f t="shared" si="164"/>
        <v>DISPOSED</v>
      </c>
      <c r="BT220" s="129" t="str">
        <f t="shared" si="165"/>
        <v>Y</v>
      </c>
      <c r="BU220" s="109">
        <f t="shared" si="166"/>
        <v>0.98305084745762716</v>
      </c>
      <c r="BV220" s="109">
        <f t="shared" si="180"/>
        <v>1</v>
      </c>
      <c r="BW220" s="109">
        <f t="shared" si="188"/>
        <v>1.6949152542372836E-2</v>
      </c>
      <c r="BX220" s="111">
        <f t="shared" si="167"/>
        <v>0</v>
      </c>
      <c r="BY220" s="129">
        <f t="shared" si="168"/>
        <v>-58</v>
      </c>
      <c r="BZ220" s="111">
        <f t="shared" si="169"/>
        <v>0</v>
      </c>
      <c r="CA220" s="138">
        <f t="shared" si="170"/>
        <v>58</v>
      </c>
      <c r="CB220" s="111" t="e">
        <f t="shared" si="192"/>
        <v>#VALUE!</v>
      </c>
      <c r="CC220" s="129">
        <f t="shared" ref="CC220:CC226" si="193">G220-I220+1</f>
        <v>58</v>
      </c>
      <c r="CD220" s="129">
        <f t="shared" ref="CD220:CD226" si="194">G220-J220</f>
        <v>0</v>
      </c>
      <c r="CE220" s="129">
        <f t="shared" si="171"/>
        <v>0</v>
      </c>
      <c r="CF220" s="129">
        <f t="shared" si="189"/>
        <v>57</v>
      </c>
      <c r="CG220" s="129" t="str">
        <f t="shared" si="172"/>
        <v>Y</v>
      </c>
      <c r="CI220" s="129" t="str">
        <f t="shared" si="173"/>
        <v>31-60 DAYS</v>
      </c>
      <c r="CJ220" s="137">
        <f t="shared" si="174"/>
        <v>3</v>
      </c>
      <c r="CK220" s="129" t="str">
        <f t="shared" si="175"/>
        <v>Booked</v>
      </c>
    </row>
    <row r="221" spans="1:89" ht="15.75" customHeight="1" x14ac:dyDescent="0.25">
      <c r="A221" s="111">
        <v>1640</v>
      </c>
      <c r="B221" s="128" t="str">
        <f t="shared" si="159"/>
        <v>N</v>
      </c>
      <c r="C221" s="128" t="str">
        <f t="shared" si="160"/>
        <v>N</v>
      </c>
      <c r="D221" s="117">
        <v>755895</v>
      </c>
      <c r="E221" s="135">
        <f t="shared" si="161"/>
        <v>5</v>
      </c>
      <c r="F221" s="124">
        <v>40969</v>
      </c>
      <c r="G221" s="125">
        <v>41025</v>
      </c>
      <c r="H221" s="117">
        <v>755895</v>
      </c>
      <c r="I221" s="124">
        <v>40969</v>
      </c>
      <c r="J221" s="124">
        <v>41025</v>
      </c>
      <c r="K221" s="126">
        <v>15000</v>
      </c>
      <c r="L221" s="127" t="s">
        <v>571</v>
      </c>
      <c r="N221" s="129" t="str">
        <f>IF(M221&gt;1/1/1,"Y","N")</f>
        <v>N</v>
      </c>
      <c r="O221" s="128" t="s">
        <v>917</v>
      </c>
      <c r="P221" s="129" t="s">
        <v>39</v>
      </c>
      <c r="Q221" s="111">
        <f t="shared" si="184"/>
        <v>57</v>
      </c>
      <c r="R221" s="111">
        <f t="shared" si="154"/>
        <v>57</v>
      </c>
      <c r="S221" s="129">
        <v>4</v>
      </c>
      <c r="T221" s="129">
        <v>5</v>
      </c>
      <c r="U221" s="129">
        <v>3</v>
      </c>
      <c r="W221" s="111"/>
      <c r="AC221" s="130"/>
      <c r="AD221" s="130">
        <v>23812</v>
      </c>
      <c r="AE221" s="128" t="s">
        <v>46</v>
      </c>
      <c r="AF221" s="128" t="s">
        <v>33</v>
      </c>
      <c r="AG221" s="128" t="s">
        <v>872</v>
      </c>
      <c r="AH221" s="108" t="s">
        <v>58</v>
      </c>
      <c r="AI221" s="128" t="s">
        <v>71</v>
      </c>
      <c r="AJ221" s="129" t="s">
        <v>89</v>
      </c>
      <c r="AK221" s="129">
        <v>4</v>
      </c>
      <c r="AL221" s="3" t="s">
        <v>992</v>
      </c>
      <c r="AN221" s="117">
        <v>6</v>
      </c>
      <c r="AP221" s="129" t="s">
        <v>43</v>
      </c>
      <c r="AR221" s="128" t="s">
        <v>44</v>
      </c>
      <c r="AS221" s="129" t="s">
        <v>45</v>
      </c>
      <c r="BC221" s="129" t="s">
        <v>99</v>
      </c>
      <c r="BF221" s="111">
        <f t="shared" si="190"/>
        <v>57</v>
      </c>
      <c r="BG221" s="111">
        <f t="shared" si="191"/>
        <v>57</v>
      </c>
      <c r="BH221" s="111">
        <f t="shared" si="155"/>
        <v>57</v>
      </c>
      <c r="BI221" s="111">
        <f t="shared" si="156"/>
        <v>46.877049180327866</v>
      </c>
      <c r="BJ221" s="129">
        <f t="shared" si="177"/>
        <v>0</v>
      </c>
      <c r="BK221" s="129">
        <f t="shared" si="157"/>
        <v>0</v>
      </c>
      <c r="BL221" s="129" t="str">
        <f t="shared" si="158"/>
        <v>CONVICTION</v>
      </c>
      <c r="BM221" s="129" t="str">
        <f t="shared" si="178"/>
        <v>NONE</v>
      </c>
      <c r="BN221" s="129" t="s">
        <v>566</v>
      </c>
      <c r="BP221" s="137" t="str">
        <f t="shared" si="162"/>
        <v>CONVICTION</v>
      </c>
      <c r="BQ221" s="128" t="str">
        <f t="shared" si="163"/>
        <v>Y</v>
      </c>
      <c r="BR221" s="129" t="str">
        <f t="shared" si="179"/>
        <v>DETAINED</v>
      </c>
      <c r="BS221" s="129" t="str">
        <f t="shared" si="164"/>
        <v>DISPOSED</v>
      </c>
      <c r="BT221" s="129" t="str">
        <f t="shared" si="165"/>
        <v>Y</v>
      </c>
      <c r="BU221" s="109">
        <f t="shared" si="166"/>
        <v>1</v>
      </c>
      <c r="BV221" s="109">
        <f t="shared" si="180"/>
        <v>1</v>
      </c>
      <c r="BW221" s="109">
        <f t="shared" si="188"/>
        <v>0</v>
      </c>
      <c r="BX221" s="111">
        <f t="shared" si="167"/>
        <v>0</v>
      </c>
      <c r="BY221" s="129">
        <f t="shared" si="168"/>
        <v>-57</v>
      </c>
      <c r="BZ221" s="111">
        <f t="shared" si="169"/>
        <v>0</v>
      </c>
      <c r="CA221" s="138">
        <f t="shared" si="170"/>
        <v>57</v>
      </c>
      <c r="CB221" s="111" t="e">
        <f t="shared" si="192"/>
        <v>#VALUE!</v>
      </c>
      <c r="CC221" s="129">
        <f t="shared" si="193"/>
        <v>57</v>
      </c>
      <c r="CD221" s="129">
        <f t="shared" si="194"/>
        <v>0</v>
      </c>
      <c r="CE221" s="129">
        <f t="shared" si="171"/>
        <v>0</v>
      </c>
      <c r="CF221" s="129">
        <f t="shared" si="189"/>
        <v>56</v>
      </c>
      <c r="CG221" s="129" t="str">
        <f t="shared" si="172"/>
        <v>Y</v>
      </c>
      <c r="CI221" s="129" t="str">
        <f t="shared" si="173"/>
        <v>31-60 DAYS</v>
      </c>
      <c r="CJ221" s="137">
        <f t="shared" si="174"/>
        <v>3</v>
      </c>
      <c r="CK221" s="129" t="str">
        <f t="shared" si="175"/>
        <v>Booked</v>
      </c>
    </row>
    <row r="222" spans="1:89" ht="15.75" customHeight="1" x14ac:dyDescent="0.25">
      <c r="A222" s="111">
        <v>935</v>
      </c>
      <c r="B222" s="128" t="str">
        <f t="shared" si="159"/>
        <v>N</v>
      </c>
      <c r="C222" s="128" t="str">
        <f t="shared" si="160"/>
        <v>N</v>
      </c>
      <c r="D222" s="117">
        <v>759413</v>
      </c>
      <c r="E222" s="135">
        <f t="shared" si="161"/>
        <v>5</v>
      </c>
      <c r="F222" s="124">
        <v>40943</v>
      </c>
      <c r="G222" s="125">
        <v>40946</v>
      </c>
      <c r="H222" s="117">
        <v>759413</v>
      </c>
      <c r="I222" s="124">
        <v>40943</v>
      </c>
      <c r="J222" s="124">
        <v>40946</v>
      </c>
      <c r="K222" s="126">
        <v>15000</v>
      </c>
      <c r="L222" s="127" t="s">
        <v>571</v>
      </c>
      <c r="N222" s="129" t="str">
        <f>IF(M222&gt;1/1/1,"Y","N")</f>
        <v>N</v>
      </c>
      <c r="O222" s="128" t="s">
        <v>917</v>
      </c>
      <c r="P222" s="129" t="s">
        <v>39</v>
      </c>
      <c r="Q222" s="111">
        <f t="shared" si="184"/>
        <v>4</v>
      </c>
      <c r="R222" s="111">
        <f t="shared" si="154"/>
        <v>4</v>
      </c>
      <c r="S222" s="129">
        <v>3</v>
      </c>
      <c r="T222" s="129">
        <v>0</v>
      </c>
      <c r="U222" s="129">
        <v>3</v>
      </c>
      <c r="W222" s="111"/>
      <c r="AC222" s="130"/>
      <c r="AD222" s="130">
        <v>22611</v>
      </c>
      <c r="AE222" s="128" t="s">
        <v>32</v>
      </c>
      <c r="AF222" s="128" t="s">
        <v>33</v>
      </c>
      <c r="AG222" s="128" t="s">
        <v>872</v>
      </c>
      <c r="AH222" s="108" t="s">
        <v>31</v>
      </c>
      <c r="AI222" s="128" t="s">
        <v>47</v>
      </c>
      <c r="AJ222" s="129" t="s">
        <v>89</v>
      </c>
      <c r="AK222" s="129">
        <v>2</v>
      </c>
      <c r="AL222" s="3" t="s">
        <v>992</v>
      </c>
      <c r="AN222" s="117">
        <v>9</v>
      </c>
      <c r="AP222" s="129" t="s">
        <v>43</v>
      </c>
      <c r="AR222" s="128" t="s">
        <v>44</v>
      </c>
      <c r="AS222" s="129" t="s">
        <v>45</v>
      </c>
      <c r="BC222" s="129" t="s">
        <v>38</v>
      </c>
      <c r="BF222" s="111">
        <f t="shared" si="190"/>
        <v>4</v>
      </c>
      <c r="BG222" s="111">
        <f t="shared" si="191"/>
        <v>4</v>
      </c>
      <c r="BH222" s="111">
        <f t="shared" si="155"/>
        <v>4</v>
      </c>
      <c r="BI222" s="111">
        <f t="shared" si="156"/>
        <v>50.087431693989068</v>
      </c>
      <c r="BJ222" s="129">
        <f t="shared" si="177"/>
        <v>0</v>
      </c>
      <c r="BK222" s="129">
        <f t="shared" si="157"/>
        <v>0</v>
      </c>
      <c r="BL222" s="129" t="str">
        <f t="shared" si="158"/>
        <v>CONVICTION</v>
      </c>
      <c r="BM222" s="129" t="str">
        <f t="shared" si="178"/>
        <v>NONE</v>
      </c>
      <c r="BN222" s="129" t="s">
        <v>566</v>
      </c>
      <c r="BP222" s="137" t="str">
        <f t="shared" si="162"/>
        <v>CONVICTION</v>
      </c>
      <c r="BQ222" s="128" t="str">
        <f t="shared" si="163"/>
        <v>Y</v>
      </c>
      <c r="BR222" s="129" t="str">
        <f t="shared" si="179"/>
        <v>DETAINED</v>
      </c>
      <c r="BS222" s="129" t="str">
        <f t="shared" si="164"/>
        <v>DISPOSED</v>
      </c>
      <c r="BT222" s="129" t="str">
        <f t="shared" si="165"/>
        <v>Y</v>
      </c>
      <c r="BU222" s="109">
        <f t="shared" si="166"/>
        <v>1</v>
      </c>
      <c r="BV222" s="109">
        <f t="shared" si="180"/>
        <v>1</v>
      </c>
      <c r="BW222" s="109">
        <f t="shared" si="188"/>
        <v>0</v>
      </c>
      <c r="BX222" s="111">
        <f t="shared" si="167"/>
        <v>0</v>
      </c>
      <c r="BY222" s="129">
        <f t="shared" si="168"/>
        <v>-4</v>
      </c>
      <c r="BZ222" s="111">
        <f t="shared" si="169"/>
        <v>0</v>
      </c>
      <c r="CA222" s="138">
        <f t="shared" si="170"/>
        <v>4</v>
      </c>
      <c r="CB222" s="111" t="e">
        <f t="shared" si="192"/>
        <v>#VALUE!</v>
      </c>
      <c r="CC222" s="129">
        <f t="shared" si="193"/>
        <v>4</v>
      </c>
      <c r="CD222" s="129">
        <f t="shared" si="194"/>
        <v>0</v>
      </c>
      <c r="CE222" s="129">
        <f t="shared" si="171"/>
        <v>0</v>
      </c>
      <c r="CF222" s="129">
        <f t="shared" si="189"/>
        <v>3</v>
      </c>
      <c r="CG222" s="129" t="str">
        <f t="shared" si="172"/>
        <v>Y</v>
      </c>
      <c r="CI222" s="129" t="str">
        <f t="shared" si="173"/>
        <v>0-10 DAYS</v>
      </c>
      <c r="CJ222" s="137">
        <f t="shared" si="174"/>
        <v>1</v>
      </c>
      <c r="CK222" s="129" t="str">
        <f t="shared" si="175"/>
        <v>Booked</v>
      </c>
    </row>
    <row r="223" spans="1:89" ht="15.75" customHeight="1" x14ac:dyDescent="0.25">
      <c r="A223" s="111">
        <v>1730</v>
      </c>
      <c r="B223" s="128" t="str">
        <f t="shared" si="159"/>
        <v>N</v>
      </c>
      <c r="C223" s="128" t="str">
        <f t="shared" si="160"/>
        <v>N</v>
      </c>
      <c r="D223" s="117">
        <v>769441</v>
      </c>
      <c r="E223" s="135">
        <f t="shared" si="161"/>
        <v>6</v>
      </c>
      <c r="F223" s="124">
        <v>40973</v>
      </c>
      <c r="G223" s="125">
        <v>40974</v>
      </c>
      <c r="H223" s="117">
        <v>769441</v>
      </c>
      <c r="I223" s="124">
        <v>40973</v>
      </c>
      <c r="J223" s="124">
        <v>40974</v>
      </c>
      <c r="K223" s="126">
        <v>10000</v>
      </c>
      <c r="L223" s="127" t="s">
        <v>570</v>
      </c>
      <c r="N223" s="129" t="str">
        <f>IF(M223&gt;1/1/1,"Y","N")</f>
        <v>N</v>
      </c>
      <c r="O223" s="128" t="s">
        <v>917</v>
      </c>
      <c r="P223" s="129" t="s">
        <v>39</v>
      </c>
      <c r="Q223" s="111">
        <f t="shared" si="184"/>
        <v>2</v>
      </c>
      <c r="R223" s="111">
        <f t="shared" si="154"/>
        <v>2</v>
      </c>
      <c r="S223" s="129">
        <v>0</v>
      </c>
      <c r="T223" s="129">
        <v>3</v>
      </c>
      <c r="W223" s="111"/>
      <c r="AC223" s="130"/>
      <c r="AD223" s="130">
        <v>25035</v>
      </c>
      <c r="AE223" s="128" t="s">
        <v>32</v>
      </c>
      <c r="AF223" s="128" t="s">
        <v>33</v>
      </c>
      <c r="AG223" s="128" t="s">
        <v>872</v>
      </c>
      <c r="AH223" s="108" t="s">
        <v>58</v>
      </c>
      <c r="AI223" s="128" t="s">
        <v>62</v>
      </c>
      <c r="AJ223" s="129" t="s">
        <v>89</v>
      </c>
      <c r="AK223" s="129">
        <v>1</v>
      </c>
      <c r="AL223" s="3" t="s">
        <v>362</v>
      </c>
      <c r="AM223" s="117">
        <v>2</v>
      </c>
      <c r="AP223" s="129" t="s">
        <v>66</v>
      </c>
      <c r="AR223" s="128" t="s">
        <v>67</v>
      </c>
      <c r="AS223" s="129" t="s">
        <v>68</v>
      </c>
      <c r="BC223" s="129" t="s">
        <v>38</v>
      </c>
      <c r="BF223" s="111">
        <f t="shared" si="190"/>
        <v>2</v>
      </c>
      <c r="BG223" s="111">
        <f t="shared" si="191"/>
        <v>2</v>
      </c>
      <c r="BH223" s="111">
        <f t="shared" si="155"/>
        <v>2</v>
      </c>
      <c r="BI223" s="111">
        <f t="shared" si="156"/>
        <v>43.546448087431692</v>
      </c>
      <c r="BJ223" s="129">
        <f t="shared" si="177"/>
        <v>0</v>
      </c>
      <c r="BK223" s="129">
        <f t="shared" si="157"/>
        <v>0</v>
      </c>
      <c r="BL223" s="129" t="str">
        <f t="shared" si="158"/>
        <v>CONVICTION</v>
      </c>
      <c r="BM223" s="129" t="str">
        <f t="shared" si="178"/>
        <v>NONE</v>
      </c>
      <c r="BN223" s="129" t="s">
        <v>566</v>
      </c>
      <c r="BP223" s="137" t="str">
        <f t="shared" si="162"/>
        <v>CONVICTION</v>
      </c>
      <c r="BQ223" s="128" t="str">
        <f t="shared" si="163"/>
        <v>Y</v>
      </c>
      <c r="BR223" s="129" t="str">
        <f t="shared" si="179"/>
        <v>DETAINED</v>
      </c>
      <c r="BS223" s="129" t="str">
        <f t="shared" si="164"/>
        <v>DISPOSED</v>
      </c>
      <c r="BT223" s="129" t="str">
        <f t="shared" si="165"/>
        <v>N</v>
      </c>
      <c r="BU223" s="109">
        <f t="shared" si="166"/>
        <v>1</v>
      </c>
      <c r="BV223" s="109">
        <f t="shared" si="180"/>
        <v>1</v>
      </c>
      <c r="BW223" s="109">
        <f t="shared" si="188"/>
        <v>0</v>
      </c>
      <c r="BX223" s="111">
        <f t="shared" si="167"/>
        <v>0</v>
      </c>
      <c r="BY223" s="129">
        <f t="shared" si="168"/>
        <v>-2</v>
      </c>
      <c r="BZ223" s="111">
        <f t="shared" si="169"/>
        <v>0</v>
      </c>
      <c r="CA223" s="138">
        <f t="shared" si="170"/>
        <v>2</v>
      </c>
      <c r="CB223" s="111" t="e">
        <f t="shared" si="192"/>
        <v>#VALUE!</v>
      </c>
      <c r="CC223" s="129">
        <f t="shared" si="193"/>
        <v>2</v>
      </c>
      <c r="CD223" s="129">
        <f t="shared" si="194"/>
        <v>0</v>
      </c>
      <c r="CE223" s="129">
        <f t="shared" si="171"/>
        <v>0</v>
      </c>
      <c r="CF223" s="129">
        <f t="shared" si="189"/>
        <v>1</v>
      </c>
      <c r="CG223" s="129" t="str">
        <f t="shared" si="172"/>
        <v>Y</v>
      </c>
      <c r="CI223" s="129" t="str">
        <f t="shared" si="173"/>
        <v>0-10 DAYS</v>
      </c>
      <c r="CJ223" s="137">
        <f t="shared" si="174"/>
        <v>1</v>
      </c>
      <c r="CK223" s="129" t="str">
        <f t="shared" si="175"/>
        <v>Booked</v>
      </c>
    </row>
    <row r="224" spans="1:89" ht="15" customHeight="1" x14ac:dyDescent="0.25">
      <c r="A224" s="111">
        <v>706</v>
      </c>
      <c r="B224" s="128" t="str">
        <f t="shared" si="159"/>
        <v>N</v>
      </c>
      <c r="C224" s="128" t="str">
        <f t="shared" si="160"/>
        <v>N</v>
      </c>
      <c r="D224" s="117">
        <v>774151</v>
      </c>
      <c r="E224" s="135">
        <f t="shared" si="161"/>
        <v>6</v>
      </c>
      <c r="F224" s="124">
        <v>40936</v>
      </c>
      <c r="G224" s="125">
        <v>41128</v>
      </c>
      <c r="H224" s="117">
        <v>774151</v>
      </c>
      <c r="I224" s="124">
        <v>40936</v>
      </c>
      <c r="J224" s="124">
        <v>41128</v>
      </c>
      <c r="K224" s="126">
        <v>15000</v>
      </c>
      <c r="L224" s="127" t="s">
        <v>571</v>
      </c>
      <c r="N224" s="129" t="str">
        <f>IF(M224&gt;1/1/1,"Y","N")</f>
        <v>N</v>
      </c>
      <c r="O224" s="128" t="s">
        <v>917</v>
      </c>
      <c r="P224" s="129" t="s">
        <v>39</v>
      </c>
      <c r="Q224" s="111">
        <f t="shared" si="184"/>
        <v>193</v>
      </c>
      <c r="R224" s="111">
        <f t="shared" si="154"/>
        <v>193</v>
      </c>
      <c r="S224" s="129">
        <v>6</v>
      </c>
      <c r="T224" s="129">
        <v>8</v>
      </c>
      <c r="U224" s="129">
        <v>5</v>
      </c>
      <c r="W224" s="111"/>
      <c r="AC224" s="130"/>
      <c r="AD224" s="130">
        <v>24529</v>
      </c>
      <c r="AE224" s="128" t="s">
        <v>32</v>
      </c>
      <c r="AF224" s="128" t="s">
        <v>33</v>
      </c>
      <c r="AG224" s="128" t="s">
        <v>872</v>
      </c>
      <c r="AH224" s="108" t="s">
        <v>31</v>
      </c>
      <c r="AI224" s="128" t="s">
        <v>65</v>
      </c>
      <c r="AJ224" s="129" t="s">
        <v>89</v>
      </c>
      <c r="AK224" s="129">
        <v>8</v>
      </c>
      <c r="AL224" s="3" t="s">
        <v>362</v>
      </c>
      <c r="AM224" s="117">
        <v>1</v>
      </c>
      <c r="AP224" s="129" t="s">
        <v>107</v>
      </c>
      <c r="AR224" s="128" t="s">
        <v>44</v>
      </c>
      <c r="AS224" s="129" t="s">
        <v>57</v>
      </c>
      <c r="BC224" s="129" t="s">
        <v>38</v>
      </c>
      <c r="BF224" s="111">
        <f t="shared" si="190"/>
        <v>193</v>
      </c>
      <c r="BG224" s="111">
        <f t="shared" si="191"/>
        <v>193</v>
      </c>
      <c r="BH224" s="111">
        <f t="shared" si="155"/>
        <v>193</v>
      </c>
      <c r="BI224" s="111">
        <f t="shared" si="156"/>
        <v>44.827868852459019</v>
      </c>
      <c r="BJ224" s="129">
        <f t="shared" si="177"/>
        <v>0</v>
      </c>
      <c r="BK224" s="129">
        <f t="shared" si="157"/>
        <v>0</v>
      </c>
      <c r="BL224" s="129" t="str">
        <f t="shared" si="158"/>
        <v>CONVICTION</v>
      </c>
      <c r="BM224" s="129" t="str">
        <f t="shared" si="178"/>
        <v>NONE</v>
      </c>
      <c r="BN224" s="129" t="s">
        <v>566</v>
      </c>
      <c r="BP224" s="137" t="str">
        <f t="shared" si="162"/>
        <v>CONVICTION</v>
      </c>
      <c r="BQ224" s="128" t="str">
        <f t="shared" si="163"/>
        <v>Y</v>
      </c>
      <c r="BR224" s="129" t="str">
        <f t="shared" si="179"/>
        <v>DETAINED</v>
      </c>
      <c r="BS224" s="129" t="str">
        <f t="shared" si="164"/>
        <v>DISPOSED</v>
      </c>
      <c r="BT224" s="129" t="str">
        <f t="shared" si="165"/>
        <v>Y</v>
      </c>
      <c r="BU224" s="109">
        <f t="shared" si="166"/>
        <v>1</v>
      </c>
      <c r="BV224" s="109">
        <f t="shared" si="180"/>
        <v>1</v>
      </c>
      <c r="BW224" s="109">
        <f t="shared" si="188"/>
        <v>0</v>
      </c>
      <c r="BX224" s="111">
        <f t="shared" si="167"/>
        <v>0</v>
      </c>
      <c r="BY224" s="129">
        <f t="shared" si="168"/>
        <v>-193</v>
      </c>
      <c r="BZ224" s="111">
        <f t="shared" si="169"/>
        <v>0</v>
      </c>
      <c r="CA224" s="138">
        <f t="shared" si="170"/>
        <v>193</v>
      </c>
      <c r="CB224" s="111" t="e">
        <f t="shared" si="192"/>
        <v>#VALUE!</v>
      </c>
      <c r="CC224" s="129">
        <f t="shared" si="193"/>
        <v>193</v>
      </c>
      <c r="CD224" s="129">
        <f t="shared" si="194"/>
        <v>0</v>
      </c>
      <c r="CE224" s="129">
        <f t="shared" si="171"/>
        <v>0</v>
      </c>
      <c r="CF224" s="129">
        <f t="shared" si="189"/>
        <v>192</v>
      </c>
      <c r="CG224" s="129" t="str">
        <f t="shared" si="172"/>
        <v>Y</v>
      </c>
      <c r="CI224" s="129" t="str">
        <f t="shared" si="173"/>
        <v>121-365 DAYS</v>
      </c>
      <c r="CJ224" s="137">
        <f t="shared" si="174"/>
        <v>6</v>
      </c>
      <c r="CK224" s="129" t="str">
        <f t="shared" si="175"/>
        <v>Booked</v>
      </c>
    </row>
    <row r="225" spans="1:89" ht="15.75" customHeight="1" x14ac:dyDescent="0.25">
      <c r="A225" s="111">
        <v>1898</v>
      </c>
      <c r="B225" s="128" t="str">
        <f t="shared" si="159"/>
        <v>N</v>
      </c>
      <c r="C225" s="128" t="str">
        <f t="shared" si="160"/>
        <v>N</v>
      </c>
      <c r="D225" s="117">
        <v>776679</v>
      </c>
      <c r="E225" s="135">
        <f t="shared" si="161"/>
        <v>2</v>
      </c>
      <c r="F225" s="124">
        <v>40979</v>
      </c>
      <c r="G225" s="125">
        <v>40980</v>
      </c>
      <c r="H225" s="117">
        <v>776679</v>
      </c>
      <c r="I225" s="124">
        <v>40979</v>
      </c>
      <c r="J225" s="124">
        <v>40980</v>
      </c>
      <c r="K225" s="126">
        <v>2000</v>
      </c>
      <c r="L225" s="127" t="s">
        <v>568</v>
      </c>
      <c r="N225" s="129" t="str">
        <f>IF(M225&gt;1/1/1,"Y","N")</f>
        <v>N</v>
      </c>
      <c r="O225" s="128" t="s">
        <v>917</v>
      </c>
      <c r="P225" s="129" t="s">
        <v>589</v>
      </c>
      <c r="Q225" s="111">
        <f t="shared" si="184"/>
        <v>2</v>
      </c>
      <c r="R225" s="111">
        <f t="shared" si="154"/>
        <v>2</v>
      </c>
      <c r="S225" s="129">
        <v>0</v>
      </c>
      <c r="T225" s="129">
        <v>2</v>
      </c>
      <c r="W225" s="111"/>
      <c r="AC225" s="130"/>
      <c r="AD225" s="130">
        <v>21748</v>
      </c>
      <c r="AE225" s="128" t="s">
        <v>32</v>
      </c>
      <c r="AF225" s="128" t="s">
        <v>33</v>
      </c>
      <c r="AG225" s="128" t="s">
        <v>872</v>
      </c>
      <c r="AH225" s="108" t="s">
        <v>58</v>
      </c>
      <c r="AI225" s="128" t="s">
        <v>59</v>
      </c>
      <c r="AJ225" s="129" t="s">
        <v>48</v>
      </c>
      <c r="AK225" s="129">
        <v>1</v>
      </c>
      <c r="AL225" s="3" t="s">
        <v>48</v>
      </c>
      <c r="AP225" s="129" t="s">
        <v>43</v>
      </c>
      <c r="AR225" s="128" t="s">
        <v>44</v>
      </c>
      <c r="AS225" s="129" t="s">
        <v>45</v>
      </c>
      <c r="AT225" s="129" t="s">
        <v>386</v>
      </c>
      <c r="BC225" s="129" t="s">
        <v>38</v>
      </c>
      <c r="BF225" s="111">
        <f t="shared" si="190"/>
        <v>2</v>
      </c>
      <c r="BG225" s="111">
        <f t="shared" si="191"/>
        <v>2</v>
      </c>
      <c r="BH225" s="111">
        <f t="shared" si="155"/>
        <v>2</v>
      </c>
      <c r="BI225" s="111">
        <f t="shared" si="156"/>
        <v>52.543715846994537</v>
      </c>
      <c r="BJ225" s="129">
        <f t="shared" si="177"/>
        <v>0</v>
      </c>
      <c r="BK225" s="129">
        <f t="shared" si="157"/>
        <v>0</v>
      </c>
      <c r="BL225" s="129" t="str">
        <f t="shared" si="158"/>
        <v>DEFERRED</v>
      </c>
      <c r="BM225" s="129" t="str">
        <f t="shared" si="178"/>
        <v>NONE</v>
      </c>
      <c r="BN225" s="129" t="s">
        <v>566</v>
      </c>
      <c r="BP225" s="137" t="str">
        <f t="shared" si="162"/>
        <v>DEFERRED</v>
      </c>
      <c r="BQ225" s="128" t="str">
        <f t="shared" si="163"/>
        <v>Y</v>
      </c>
      <c r="BR225" s="129" t="str">
        <f t="shared" si="179"/>
        <v>DETAINED</v>
      </c>
      <c r="BS225" s="129" t="str">
        <f t="shared" si="164"/>
        <v>DISPOSED</v>
      </c>
      <c r="BT225" s="129" t="str">
        <f t="shared" si="165"/>
        <v>N</v>
      </c>
      <c r="BU225" s="109">
        <f t="shared" si="166"/>
        <v>1</v>
      </c>
      <c r="BV225" s="109">
        <f t="shared" si="180"/>
        <v>1</v>
      </c>
      <c r="BW225" s="109">
        <f t="shared" si="188"/>
        <v>0</v>
      </c>
      <c r="BX225" s="111">
        <f t="shared" si="167"/>
        <v>0</v>
      </c>
      <c r="BY225" s="129">
        <f t="shared" si="168"/>
        <v>-2</v>
      </c>
      <c r="BZ225" s="111">
        <f t="shared" si="169"/>
        <v>0</v>
      </c>
      <c r="CA225" s="138">
        <f t="shared" si="170"/>
        <v>2</v>
      </c>
      <c r="CB225" s="111" t="e">
        <f t="shared" si="192"/>
        <v>#VALUE!</v>
      </c>
      <c r="CC225" s="129">
        <f t="shared" si="193"/>
        <v>2</v>
      </c>
      <c r="CD225" s="129">
        <f t="shared" si="194"/>
        <v>0</v>
      </c>
      <c r="CE225" s="129">
        <f t="shared" si="171"/>
        <v>0</v>
      </c>
      <c r="CF225" s="129">
        <f t="shared" si="189"/>
        <v>1</v>
      </c>
      <c r="CG225" s="129" t="str">
        <f t="shared" si="172"/>
        <v>Y</v>
      </c>
      <c r="CI225" s="129" t="str">
        <f t="shared" si="173"/>
        <v>0-10 DAYS</v>
      </c>
      <c r="CJ225" s="137">
        <f t="shared" si="174"/>
        <v>1</v>
      </c>
      <c r="CK225" s="129" t="str">
        <f t="shared" si="175"/>
        <v>Booked</v>
      </c>
    </row>
    <row r="226" spans="1:89" ht="15.75" customHeight="1" x14ac:dyDescent="0.25">
      <c r="A226" s="111">
        <v>8</v>
      </c>
      <c r="B226" s="128" t="str">
        <f t="shared" si="159"/>
        <v>N</v>
      </c>
      <c r="C226" s="128" t="str">
        <f t="shared" si="160"/>
        <v>N</v>
      </c>
      <c r="D226" s="117">
        <v>778190</v>
      </c>
      <c r="E226" s="135">
        <f t="shared" si="161"/>
        <v>1</v>
      </c>
      <c r="F226" s="124">
        <v>40909</v>
      </c>
      <c r="G226" s="125">
        <v>40973</v>
      </c>
      <c r="H226" s="117">
        <v>778190</v>
      </c>
      <c r="I226" s="124">
        <v>40913</v>
      </c>
      <c r="J226" s="124">
        <v>40973</v>
      </c>
      <c r="K226" s="126" t="s">
        <v>564</v>
      </c>
      <c r="L226" s="127" t="s">
        <v>564</v>
      </c>
      <c r="N226" s="129" t="s">
        <v>566</v>
      </c>
      <c r="O226" s="128" t="s">
        <v>917</v>
      </c>
      <c r="P226" s="129" t="s">
        <v>55</v>
      </c>
      <c r="Q226" s="111">
        <f t="shared" si="184"/>
        <v>61</v>
      </c>
      <c r="R226" s="111">
        <f t="shared" si="154"/>
        <v>65</v>
      </c>
      <c r="S226" s="129">
        <v>8</v>
      </c>
      <c r="T226" s="129">
        <v>3</v>
      </c>
      <c r="U226" s="129">
        <v>6</v>
      </c>
      <c r="V226" s="117">
        <v>1</v>
      </c>
      <c r="W226" s="111"/>
      <c r="AC226" s="130"/>
      <c r="AD226" s="130">
        <v>25193</v>
      </c>
      <c r="AE226" s="128" t="s">
        <v>32</v>
      </c>
      <c r="AF226" s="128" t="s">
        <v>33</v>
      </c>
      <c r="AG226" s="128" t="s">
        <v>872</v>
      </c>
      <c r="AH226" s="108" t="s">
        <v>58</v>
      </c>
      <c r="AI226" s="128" t="s">
        <v>62</v>
      </c>
      <c r="AJ226" s="129" t="s">
        <v>55</v>
      </c>
      <c r="AK226" s="129">
        <v>7</v>
      </c>
      <c r="AL226" s="3" t="s">
        <v>55</v>
      </c>
      <c r="AP226" s="129" t="s">
        <v>63</v>
      </c>
      <c r="AR226" s="128" t="s">
        <v>44</v>
      </c>
      <c r="AS226" s="129" t="s">
        <v>64</v>
      </c>
      <c r="BC226" s="129" t="s">
        <v>52</v>
      </c>
      <c r="BF226" s="111">
        <f t="shared" si="190"/>
        <v>61</v>
      </c>
      <c r="BG226" s="111">
        <f t="shared" si="191"/>
        <v>61</v>
      </c>
      <c r="BH226" s="111">
        <f t="shared" si="155"/>
        <v>65</v>
      </c>
      <c r="BI226" s="111">
        <f t="shared" si="156"/>
        <v>42.939890710382514</v>
      </c>
      <c r="BJ226" s="129">
        <f t="shared" si="177"/>
        <v>0</v>
      </c>
      <c r="BK226" s="129">
        <f t="shared" si="157"/>
        <v>0</v>
      </c>
      <c r="BL226" s="129" t="str">
        <f t="shared" si="158"/>
        <v>NO CONVICTION</v>
      </c>
      <c r="BM226" s="129" t="str">
        <f t="shared" si="178"/>
        <v>NONE</v>
      </c>
      <c r="BN226" s="129" t="s">
        <v>566</v>
      </c>
      <c r="BP226" s="137" t="str">
        <f t="shared" si="162"/>
        <v>NO CONVICTION</v>
      </c>
      <c r="BQ226" s="128" t="str">
        <f t="shared" si="163"/>
        <v>Y</v>
      </c>
      <c r="BR226" s="129" t="str">
        <f t="shared" si="179"/>
        <v>DETAINED</v>
      </c>
      <c r="BS226" s="129" t="str">
        <f t="shared" si="164"/>
        <v>DISPOSED</v>
      </c>
      <c r="BT226" s="129" t="str">
        <f t="shared" si="165"/>
        <v>Y</v>
      </c>
      <c r="BU226" s="109">
        <f>IFERROR(Q226/R226,BR226)</f>
        <v>0.93846153846153846</v>
      </c>
      <c r="BV226" s="109">
        <f t="shared" si="180"/>
        <v>1</v>
      </c>
      <c r="BW226" s="109">
        <f t="shared" si="188"/>
        <v>6.1538461538461542E-2</v>
      </c>
      <c r="BX226" s="111">
        <f t="shared" si="167"/>
        <v>0</v>
      </c>
      <c r="BY226" s="129">
        <f t="shared" si="168"/>
        <v>-61</v>
      </c>
      <c r="BZ226" s="111">
        <f t="shared" si="169"/>
        <v>0</v>
      </c>
      <c r="CA226" s="138">
        <f t="shared" si="170"/>
        <v>61</v>
      </c>
      <c r="CB226" s="111" t="e">
        <f t="shared" si="192"/>
        <v>#VALUE!</v>
      </c>
      <c r="CC226" s="129">
        <f t="shared" si="193"/>
        <v>61</v>
      </c>
      <c r="CD226" s="129">
        <f t="shared" si="194"/>
        <v>0</v>
      </c>
      <c r="CE226" s="129">
        <f t="shared" si="171"/>
        <v>0</v>
      </c>
      <c r="CF226" s="129">
        <f t="shared" si="189"/>
        <v>60</v>
      </c>
      <c r="CG226" s="129" t="str">
        <f t="shared" si="172"/>
        <v>Y</v>
      </c>
      <c r="CI226" s="129" t="str">
        <f t="shared" si="173"/>
        <v>61-90 DAYS</v>
      </c>
      <c r="CJ226" s="137">
        <f t="shared" si="174"/>
        <v>4</v>
      </c>
      <c r="CK226" s="129" t="str">
        <f t="shared" si="175"/>
        <v>Booked</v>
      </c>
    </row>
    <row r="227" spans="1:89" ht="15" customHeight="1" x14ac:dyDescent="0.25">
      <c r="A227" s="111">
        <v>1311</v>
      </c>
      <c r="B227" s="128" t="str">
        <f t="shared" si="159"/>
        <v>N</v>
      </c>
      <c r="C227" s="128" t="str">
        <f t="shared" si="160"/>
        <v>Y</v>
      </c>
      <c r="D227" s="114">
        <v>779388</v>
      </c>
      <c r="E227" s="135">
        <f t="shared" si="161"/>
        <v>4</v>
      </c>
      <c r="F227" s="124">
        <v>40956</v>
      </c>
      <c r="G227" s="125">
        <v>41598</v>
      </c>
      <c r="H227" s="114">
        <v>779388</v>
      </c>
      <c r="I227" s="124">
        <v>40956</v>
      </c>
      <c r="J227" s="124">
        <v>41014</v>
      </c>
      <c r="K227" s="126">
        <v>10000</v>
      </c>
      <c r="L227" s="127" t="s">
        <v>570</v>
      </c>
      <c r="M227" s="125">
        <v>41014</v>
      </c>
      <c r="N227" s="129" t="str">
        <f>IF(M227&gt;1/1/1,"Y","N")</f>
        <v>Y</v>
      </c>
      <c r="O227" s="128" t="s">
        <v>76</v>
      </c>
      <c r="P227" s="129" t="s">
        <v>39</v>
      </c>
      <c r="Q227" s="111">
        <v>101</v>
      </c>
      <c r="R227" s="111">
        <f t="shared" si="154"/>
        <v>643</v>
      </c>
      <c r="S227" s="129">
        <v>8</v>
      </c>
      <c r="T227" s="129">
        <v>6</v>
      </c>
      <c r="U227" s="129">
        <v>4</v>
      </c>
      <c r="W227" s="111"/>
      <c r="AC227" s="130"/>
      <c r="AD227" s="130">
        <v>22107</v>
      </c>
      <c r="AE227" s="128" t="s">
        <v>46</v>
      </c>
      <c r="AF227" s="128" t="s">
        <v>69</v>
      </c>
      <c r="AG227" s="128" t="s">
        <v>874</v>
      </c>
      <c r="AH227" s="108" t="s">
        <v>58</v>
      </c>
      <c r="AI227" s="128" t="s">
        <v>62</v>
      </c>
      <c r="AJ227" s="129" t="s">
        <v>89</v>
      </c>
      <c r="AK227" s="129">
        <v>17</v>
      </c>
      <c r="AL227" s="3" t="s">
        <v>991</v>
      </c>
      <c r="AO227" s="128">
        <v>104</v>
      </c>
      <c r="AP227" s="129" t="s">
        <v>60</v>
      </c>
      <c r="AR227" s="128" t="s">
        <v>44</v>
      </c>
      <c r="AS227" s="129" t="s">
        <v>61</v>
      </c>
      <c r="AT227" s="129" t="s">
        <v>1080</v>
      </c>
      <c r="AU227" s="3" t="s">
        <v>831</v>
      </c>
      <c r="AV227" s="3" t="s">
        <v>51</v>
      </c>
      <c r="AW227" s="125">
        <v>41480</v>
      </c>
      <c r="AX227" s="123" t="s">
        <v>88</v>
      </c>
      <c r="AY227" s="123"/>
      <c r="BA227" s="125">
        <v>41530</v>
      </c>
      <c r="BB227" s="129">
        <v>259</v>
      </c>
      <c r="BC227" s="129" t="s">
        <v>38</v>
      </c>
      <c r="BF227" s="111">
        <v>101</v>
      </c>
      <c r="BG227" s="111">
        <f t="shared" si="191"/>
        <v>643</v>
      </c>
      <c r="BH227" s="111">
        <f t="shared" si="155"/>
        <v>643</v>
      </c>
      <c r="BI227" s="111">
        <f t="shared" si="156"/>
        <v>51.5</v>
      </c>
      <c r="BJ227" s="129">
        <f>(G227-J227)+(M227-G227)</f>
        <v>0</v>
      </c>
      <c r="BK227" s="129">
        <f t="shared" si="157"/>
        <v>-584</v>
      </c>
      <c r="BL227" s="129" t="str">
        <f t="shared" si="158"/>
        <v>CONVICTION</v>
      </c>
      <c r="BM227" s="129" t="s">
        <v>76</v>
      </c>
      <c r="BN227" s="129" t="s">
        <v>566</v>
      </c>
      <c r="BO227" s="110"/>
      <c r="BP227" s="137" t="str">
        <f t="shared" si="162"/>
        <v>CONVICTION</v>
      </c>
      <c r="BQ227" s="128" t="str">
        <f t="shared" si="163"/>
        <v>Y</v>
      </c>
      <c r="BR227" s="129" t="str">
        <f>IF(J227&lt;G227,"ON BOND",0)</f>
        <v>ON BOND</v>
      </c>
      <c r="BS227" s="129" t="str">
        <f t="shared" si="164"/>
        <v>DISPOSED</v>
      </c>
      <c r="BT227" s="129" t="str">
        <f t="shared" si="165"/>
        <v>Y</v>
      </c>
      <c r="BU227" s="109">
        <f>IFERROR(Q227/R227,BR227)</f>
        <v>0.15707620528771385</v>
      </c>
      <c r="BV227" s="109">
        <f t="shared" si="180"/>
        <v>9.1757387247278388E-2</v>
      </c>
      <c r="BW227" s="109">
        <f t="shared" si="188"/>
        <v>-6.5318818040435461E-2</v>
      </c>
      <c r="BX227" s="111">
        <f t="shared" si="167"/>
        <v>0</v>
      </c>
      <c r="BY227" s="129">
        <f t="shared" si="168"/>
        <v>-59</v>
      </c>
      <c r="BZ227" s="111">
        <f t="shared" si="169"/>
        <v>42</v>
      </c>
      <c r="CA227" s="138">
        <f t="shared" si="170"/>
        <v>59</v>
      </c>
      <c r="CB227" s="111">
        <v>101</v>
      </c>
      <c r="CD227" s="129">
        <f>G227-J227</f>
        <v>584</v>
      </c>
      <c r="CE227" s="129">
        <f t="shared" si="171"/>
        <v>584</v>
      </c>
      <c r="CF227" s="129">
        <f>I227-J227</f>
        <v>-58</v>
      </c>
      <c r="CG227" s="129" t="str">
        <f t="shared" si="172"/>
        <v>Y</v>
      </c>
      <c r="CI227" s="129" t="str">
        <f t="shared" si="173"/>
        <v>91-120 DAYS</v>
      </c>
      <c r="CJ227" s="137">
        <f t="shared" si="174"/>
        <v>0</v>
      </c>
      <c r="CK227" s="129" t="str">
        <f t="shared" si="175"/>
        <v>Booked</v>
      </c>
    </row>
    <row r="228" spans="1:89" ht="15.75" customHeight="1" x14ac:dyDescent="0.25">
      <c r="A228" s="111">
        <v>2229</v>
      </c>
      <c r="B228" s="128" t="str">
        <f t="shared" si="159"/>
        <v>N</v>
      </c>
      <c r="C228" s="128" t="str">
        <f t="shared" si="160"/>
        <v>N</v>
      </c>
      <c r="D228" s="117">
        <v>779984</v>
      </c>
      <c r="E228" s="135">
        <f t="shared" si="161"/>
        <v>4</v>
      </c>
      <c r="F228" s="124">
        <v>40992</v>
      </c>
      <c r="G228" s="125">
        <v>40994</v>
      </c>
      <c r="H228" s="117">
        <v>779984</v>
      </c>
      <c r="I228" s="124">
        <v>40993</v>
      </c>
      <c r="J228" s="124">
        <v>40994</v>
      </c>
      <c r="K228" s="126">
        <v>15000</v>
      </c>
      <c r="L228" s="127" t="s">
        <v>571</v>
      </c>
      <c r="N228" s="129" t="str">
        <f>IF(M228&gt;1/1/1,"Y","N")</f>
        <v>N</v>
      </c>
      <c r="O228" s="128" t="s">
        <v>917</v>
      </c>
      <c r="P228" s="129" t="s">
        <v>39</v>
      </c>
      <c r="Q228" s="111">
        <f t="shared" si="184"/>
        <v>2</v>
      </c>
      <c r="R228" s="111">
        <f t="shared" si="154"/>
        <v>3</v>
      </c>
      <c r="S228" s="129">
        <v>5</v>
      </c>
      <c r="T228" s="129">
        <v>7</v>
      </c>
      <c r="U228" s="129">
        <v>3</v>
      </c>
      <c r="W228" s="111"/>
      <c r="AC228" s="130"/>
      <c r="AD228" s="130">
        <v>23609</v>
      </c>
      <c r="AE228" s="128" t="s">
        <v>32</v>
      </c>
      <c r="AF228" s="128" t="s">
        <v>33</v>
      </c>
      <c r="AG228" s="128" t="s">
        <v>872</v>
      </c>
      <c r="AH228" s="108" t="s">
        <v>58</v>
      </c>
      <c r="AI228" s="128" t="s">
        <v>59</v>
      </c>
      <c r="AJ228" s="129" t="s">
        <v>89</v>
      </c>
      <c r="AK228" s="129">
        <v>1</v>
      </c>
      <c r="AL228" s="3" t="s">
        <v>991</v>
      </c>
      <c r="AO228" s="128">
        <v>240</v>
      </c>
      <c r="AP228" s="129" t="s">
        <v>60</v>
      </c>
      <c r="AR228" s="128" t="s">
        <v>44</v>
      </c>
      <c r="AS228" s="129" t="s">
        <v>61</v>
      </c>
      <c r="AT228" s="129" t="s">
        <v>419</v>
      </c>
      <c r="BC228" s="129" t="s">
        <v>38</v>
      </c>
      <c r="BF228" s="111">
        <f t="shared" si="190"/>
        <v>2</v>
      </c>
      <c r="BG228" s="111">
        <f t="shared" si="191"/>
        <v>2</v>
      </c>
      <c r="BH228" s="111">
        <f t="shared" si="155"/>
        <v>3</v>
      </c>
      <c r="BI228" s="111">
        <f t="shared" si="156"/>
        <v>47.494535519125684</v>
      </c>
      <c r="BJ228" s="129">
        <f t="shared" si="177"/>
        <v>0</v>
      </c>
      <c r="BK228" s="129">
        <f t="shared" si="157"/>
        <v>0</v>
      </c>
      <c r="BL228" s="129" t="str">
        <f t="shared" si="158"/>
        <v>CONVICTION</v>
      </c>
      <c r="BM228" s="129" t="str">
        <f t="shared" si="178"/>
        <v>NONE</v>
      </c>
      <c r="BN228" s="129" t="s">
        <v>566</v>
      </c>
      <c r="BP228" s="137" t="str">
        <f t="shared" si="162"/>
        <v>CONVICTION</v>
      </c>
      <c r="BQ228" s="128" t="str">
        <f t="shared" si="163"/>
        <v>Y</v>
      </c>
      <c r="BR228" s="129" t="str">
        <f t="shared" si="179"/>
        <v>DETAINED</v>
      </c>
      <c r="BS228" s="129" t="str">
        <f t="shared" si="164"/>
        <v>DISPOSED</v>
      </c>
      <c r="BT228" s="129" t="str">
        <f t="shared" si="165"/>
        <v>Y</v>
      </c>
      <c r="BU228" s="109">
        <f t="shared" si="166"/>
        <v>0.66666666666666663</v>
      </c>
      <c r="BV228" s="109">
        <f t="shared" si="180"/>
        <v>1</v>
      </c>
      <c r="BW228" s="109">
        <f t="shared" si="188"/>
        <v>0.33333333333333337</v>
      </c>
      <c r="BX228" s="111">
        <f t="shared" si="167"/>
        <v>0</v>
      </c>
      <c r="BY228" s="129">
        <f t="shared" si="168"/>
        <v>-2</v>
      </c>
      <c r="BZ228" s="111">
        <f t="shared" si="169"/>
        <v>0</v>
      </c>
      <c r="CA228" s="138">
        <f t="shared" si="170"/>
        <v>2</v>
      </c>
      <c r="CB228" s="111" t="e">
        <f t="shared" si="192"/>
        <v>#VALUE!</v>
      </c>
      <c r="CC228" s="129">
        <f>G228-I228+1</f>
        <v>2</v>
      </c>
      <c r="CD228" s="129">
        <f>G228-J228</f>
        <v>0</v>
      </c>
      <c r="CE228" s="129">
        <f t="shared" si="171"/>
        <v>0</v>
      </c>
      <c r="CF228" s="129">
        <f t="shared" ref="CF228:CF235" si="195">J228-I228</f>
        <v>1</v>
      </c>
      <c r="CG228" s="129" t="str">
        <f t="shared" si="172"/>
        <v>Y</v>
      </c>
      <c r="CI228" s="129" t="str">
        <f t="shared" si="173"/>
        <v>0-10 DAYS</v>
      </c>
      <c r="CJ228" s="137">
        <f t="shared" si="174"/>
        <v>1</v>
      </c>
      <c r="CK228" s="129" t="str">
        <f t="shared" si="175"/>
        <v>Booked</v>
      </c>
    </row>
    <row r="229" spans="1:89" ht="15" customHeight="1" x14ac:dyDescent="0.25">
      <c r="A229" s="111">
        <v>1539</v>
      </c>
      <c r="B229" s="128" t="str">
        <f t="shared" si="159"/>
        <v>N</v>
      </c>
      <c r="C229" s="128" t="str">
        <f t="shared" si="160"/>
        <v>N</v>
      </c>
      <c r="D229" s="117">
        <v>780535</v>
      </c>
      <c r="E229" s="135">
        <f t="shared" si="161"/>
        <v>5</v>
      </c>
      <c r="F229" s="124">
        <v>40966</v>
      </c>
      <c r="G229" s="125">
        <v>40967</v>
      </c>
      <c r="H229" s="117">
        <v>780535</v>
      </c>
      <c r="I229" s="124">
        <v>40966</v>
      </c>
      <c r="J229" s="124">
        <v>40967</v>
      </c>
      <c r="K229" s="126">
        <v>15000</v>
      </c>
      <c r="L229" s="127" t="s">
        <v>571</v>
      </c>
      <c r="N229" s="129" t="str">
        <f>IF(M229&gt;1/1/1,"Y","N")</f>
        <v>N</v>
      </c>
      <c r="O229" s="128" t="s">
        <v>917</v>
      </c>
      <c r="P229" s="129" t="s">
        <v>39</v>
      </c>
      <c r="Q229" s="111">
        <f t="shared" si="184"/>
        <v>2</v>
      </c>
      <c r="R229" s="111">
        <f t="shared" si="154"/>
        <v>2</v>
      </c>
      <c r="S229" s="129">
        <v>8</v>
      </c>
      <c r="T229" s="129">
        <v>6</v>
      </c>
      <c r="U229" s="129">
        <v>6</v>
      </c>
      <c r="W229" s="111"/>
      <c r="AC229" s="130"/>
      <c r="AD229" s="130">
        <v>23619</v>
      </c>
      <c r="AE229" s="128" t="s">
        <v>46</v>
      </c>
      <c r="AF229" s="128" t="s">
        <v>69</v>
      </c>
      <c r="AG229" s="128" t="s">
        <v>874</v>
      </c>
      <c r="AH229" s="108" t="s">
        <v>58</v>
      </c>
      <c r="AI229" s="128" t="s">
        <v>62</v>
      </c>
      <c r="AJ229" s="129" t="s">
        <v>89</v>
      </c>
      <c r="AK229" s="129">
        <v>1</v>
      </c>
      <c r="AL229" s="3" t="s">
        <v>992</v>
      </c>
      <c r="AN229" s="117">
        <v>10</v>
      </c>
      <c r="AP229" s="129" t="s">
        <v>43</v>
      </c>
      <c r="AR229" s="128" t="s">
        <v>44</v>
      </c>
      <c r="AS229" s="129" t="s">
        <v>45</v>
      </c>
      <c r="BC229" s="129" t="s">
        <v>38</v>
      </c>
      <c r="BF229" s="111">
        <f t="shared" si="190"/>
        <v>2</v>
      </c>
      <c r="BG229" s="111">
        <f t="shared" si="191"/>
        <v>2</v>
      </c>
      <c r="BH229" s="111">
        <f t="shared" si="155"/>
        <v>2</v>
      </c>
      <c r="BI229" s="111">
        <f t="shared" si="156"/>
        <v>47.396174863387976</v>
      </c>
      <c r="BJ229" s="129">
        <f t="shared" si="177"/>
        <v>0</v>
      </c>
      <c r="BK229" s="129">
        <f t="shared" si="157"/>
        <v>0</v>
      </c>
      <c r="BL229" s="129" t="str">
        <f t="shared" si="158"/>
        <v>CONVICTION</v>
      </c>
      <c r="BM229" s="129" t="str">
        <f t="shared" si="178"/>
        <v>NONE</v>
      </c>
      <c r="BN229" s="129" t="s">
        <v>566</v>
      </c>
      <c r="BP229" s="137" t="str">
        <f t="shared" si="162"/>
        <v>CONVICTION</v>
      </c>
      <c r="BQ229" s="128" t="str">
        <f t="shared" si="163"/>
        <v>Y</v>
      </c>
      <c r="BR229" s="129" t="str">
        <f t="shared" si="179"/>
        <v>DETAINED</v>
      </c>
      <c r="BS229" s="129" t="str">
        <f t="shared" si="164"/>
        <v>DISPOSED</v>
      </c>
      <c r="BT229" s="129" t="str">
        <f t="shared" si="165"/>
        <v>Y</v>
      </c>
      <c r="BU229" s="109">
        <f t="shared" si="166"/>
        <v>1</v>
      </c>
      <c r="BV229" s="109">
        <f t="shared" si="180"/>
        <v>1</v>
      </c>
      <c r="BW229" s="109">
        <f t="shared" si="188"/>
        <v>0</v>
      </c>
      <c r="BX229" s="111">
        <f t="shared" si="167"/>
        <v>0</v>
      </c>
      <c r="BY229" s="129">
        <f t="shared" si="168"/>
        <v>-2</v>
      </c>
      <c r="BZ229" s="111">
        <f t="shared" si="169"/>
        <v>0</v>
      </c>
      <c r="CA229" s="138">
        <f t="shared" si="170"/>
        <v>2</v>
      </c>
      <c r="CB229" s="111" t="e">
        <f t="shared" si="192"/>
        <v>#VALUE!</v>
      </c>
      <c r="CC229" s="129">
        <f>G229-I229+1</f>
        <v>2</v>
      </c>
      <c r="CD229" s="129">
        <f>G229-J229</f>
        <v>0</v>
      </c>
      <c r="CE229" s="129">
        <f t="shared" si="171"/>
        <v>0</v>
      </c>
      <c r="CF229" s="129">
        <f t="shared" si="195"/>
        <v>1</v>
      </c>
      <c r="CG229" s="129" t="str">
        <f t="shared" si="172"/>
        <v>Y</v>
      </c>
      <c r="CI229" s="129" t="str">
        <f t="shared" si="173"/>
        <v>0-10 DAYS</v>
      </c>
      <c r="CJ229" s="137">
        <f t="shared" si="174"/>
        <v>1</v>
      </c>
      <c r="CK229" s="129" t="str">
        <f t="shared" si="175"/>
        <v>Booked</v>
      </c>
    </row>
    <row r="230" spans="1:89" ht="15.75" customHeight="1" x14ac:dyDescent="0.25">
      <c r="A230" s="111">
        <v>1470</v>
      </c>
      <c r="B230" s="128" t="str">
        <f t="shared" si="159"/>
        <v>N</v>
      </c>
      <c r="C230" s="128" t="str">
        <f t="shared" si="160"/>
        <v>N</v>
      </c>
      <c r="D230" s="117">
        <v>787915</v>
      </c>
      <c r="E230" s="135">
        <f t="shared" si="161"/>
        <v>6</v>
      </c>
      <c r="F230" s="124">
        <v>40962</v>
      </c>
      <c r="G230" s="125">
        <v>41723</v>
      </c>
      <c r="H230" s="117">
        <v>787915</v>
      </c>
      <c r="I230" s="124">
        <v>40963</v>
      </c>
      <c r="J230" s="124"/>
      <c r="K230" s="126" t="s">
        <v>564</v>
      </c>
      <c r="L230" s="127" t="s">
        <v>564</v>
      </c>
      <c r="N230" s="129" t="s">
        <v>566</v>
      </c>
      <c r="O230" s="128" t="s">
        <v>917</v>
      </c>
      <c r="P230" s="129" t="s">
        <v>39</v>
      </c>
      <c r="Q230" s="111">
        <v>761</v>
      </c>
      <c r="R230" s="111">
        <f t="shared" si="154"/>
        <v>762</v>
      </c>
      <c r="S230" s="129">
        <v>8</v>
      </c>
      <c r="T230" s="129">
        <v>6</v>
      </c>
      <c r="U230" s="129">
        <v>7</v>
      </c>
      <c r="W230" s="111"/>
      <c r="AC230" s="130"/>
      <c r="AD230" s="130">
        <v>24705</v>
      </c>
      <c r="AE230" s="128" t="s">
        <v>32</v>
      </c>
      <c r="AF230" s="128" t="s">
        <v>33</v>
      </c>
      <c r="AG230" s="128" t="s">
        <v>872</v>
      </c>
      <c r="AH230" s="108" t="s">
        <v>58</v>
      </c>
      <c r="AI230" s="128" t="s">
        <v>80</v>
      </c>
      <c r="AJ230" s="129" t="s">
        <v>89</v>
      </c>
      <c r="AK230" s="129">
        <v>19</v>
      </c>
      <c r="AL230" s="3" t="s">
        <v>362</v>
      </c>
      <c r="AM230" s="117">
        <v>4</v>
      </c>
      <c r="AP230" s="129" t="s">
        <v>145</v>
      </c>
      <c r="AR230" s="128" t="s">
        <v>50</v>
      </c>
      <c r="AS230" s="129" t="s">
        <v>126</v>
      </c>
      <c r="AW230" s="32"/>
      <c r="AX230" s="32"/>
      <c r="BC230" s="129" t="s">
        <v>38</v>
      </c>
      <c r="BF230" s="111">
        <v>761</v>
      </c>
      <c r="BG230" s="111">
        <f t="shared" si="191"/>
        <v>761</v>
      </c>
      <c r="BH230" s="111">
        <f t="shared" si="155"/>
        <v>762</v>
      </c>
      <c r="BI230" s="111">
        <f t="shared" si="156"/>
        <v>44.418032786885249</v>
      </c>
      <c r="BJ230" s="129">
        <f t="shared" si="177"/>
        <v>41723</v>
      </c>
      <c r="BK230" s="129">
        <f t="shared" si="157"/>
        <v>-41723</v>
      </c>
      <c r="BL230" s="129" t="str">
        <f t="shared" si="158"/>
        <v>CONVICTION</v>
      </c>
      <c r="BM230" s="129" t="str">
        <f t="shared" si="178"/>
        <v>NONE</v>
      </c>
      <c r="BN230" s="129" t="s">
        <v>566</v>
      </c>
      <c r="BP230" s="137" t="str">
        <f t="shared" si="162"/>
        <v>CONVICTION</v>
      </c>
      <c r="BQ230" s="128" t="str">
        <f t="shared" si="163"/>
        <v>Y</v>
      </c>
      <c r="BR230" s="129" t="s">
        <v>574</v>
      </c>
      <c r="BS230" s="129" t="str">
        <f t="shared" si="164"/>
        <v>DISPOSED</v>
      </c>
      <c r="BT230" s="129" t="str">
        <f t="shared" si="165"/>
        <v>Y</v>
      </c>
      <c r="BU230" s="109">
        <f>IFERROR(Q230/R230,BR230)</f>
        <v>0.99868766404199472</v>
      </c>
      <c r="BV230" s="139">
        <v>0.99870000000000003</v>
      </c>
      <c r="BW230" s="109">
        <v>0</v>
      </c>
      <c r="BX230" s="111">
        <f t="shared" si="167"/>
        <v>0</v>
      </c>
      <c r="BY230" s="129">
        <f t="shared" si="168"/>
        <v>40962</v>
      </c>
      <c r="BZ230" s="111">
        <f t="shared" si="169"/>
        <v>41723</v>
      </c>
      <c r="CA230" s="138">
        <f t="shared" si="170"/>
        <v>761</v>
      </c>
      <c r="CB230" s="111" t="e">
        <f t="shared" si="192"/>
        <v>#VALUE!</v>
      </c>
      <c r="CC230" s="129">
        <v>761</v>
      </c>
      <c r="CE230" s="129">
        <f t="shared" si="171"/>
        <v>41723</v>
      </c>
      <c r="CF230" s="129">
        <f t="shared" si="195"/>
        <v>-40963</v>
      </c>
      <c r="CG230" s="129" t="str">
        <f t="shared" si="172"/>
        <v>Y</v>
      </c>
      <c r="CH230" s="129" t="e">
        <v>#N/A</v>
      </c>
      <c r="CI230" s="129" t="str">
        <f t="shared" si="173"/>
        <v>&gt;2YRS&lt;3YRS</v>
      </c>
      <c r="CJ230" s="137">
        <f t="shared" si="174"/>
        <v>8</v>
      </c>
      <c r="CK230" s="129" t="str">
        <f t="shared" si="175"/>
        <v>Booked</v>
      </c>
    </row>
    <row r="231" spans="1:89" ht="15" customHeight="1" x14ac:dyDescent="0.25">
      <c r="A231" s="111">
        <v>2891</v>
      </c>
      <c r="B231" s="128" t="str">
        <f t="shared" si="159"/>
        <v>N</v>
      </c>
      <c r="C231" s="128" t="str">
        <f t="shared" si="160"/>
        <v>N</v>
      </c>
      <c r="D231" s="117">
        <v>792069</v>
      </c>
      <c r="E231" s="135">
        <f t="shared" si="161"/>
        <v>6</v>
      </c>
      <c r="F231" s="124">
        <v>41016</v>
      </c>
      <c r="G231" s="125">
        <v>41067</v>
      </c>
      <c r="H231" s="117">
        <v>792069</v>
      </c>
      <c r="I231" s="124">
        <v>41016</v>
      </c>
      <c r="J231" s="124">
        <v>41067</v>
      </c>
      <c r="K231" s="126">
        <v>10000</v>
      </c>
      <c r="L231" s="127" t="s">
        <v>570</v>
      </c>
      <c r="N231" s="129" t="str">
        <f t="shared" ref="N231:N237" si="196">IF(M231&gt;1/1/1,"Y","N")</f>
        <v>N</v>
      </c>
      <c r="O231" s="128" t="s">
        <v>917</v>
      </c>
      <c r="P231" s="129" t="s">
        <v>39</v>
      </c>
      <c r="Q231" s="111">
        <f t="shared" si="184"/>
        <v>52</v>
      </c>
      <c r="R231" s="111">
        <f t="shared" si="154"/>
        <v>52</v>
      </c>
      <c r="S231" s="129">
        <v>2</v>
      </c>
      <c r="T231" s="129">
        <v>4</v>
      </c>
      <c r="U231" s="129">
        <v>2</v>
      </c>
      <c r="W231" s="111"/>
      <c r="AC231" s="130"/>
      <c r="AD231" s="130">
        <v>17839</v>
      </c>
      <c r="AE231" s="128" t="s">
        <v>32</v>
      </c>
      <c r="AF231" s="128" t="s">
        <v>69</v>
      </c>
      <c r="AG231" s="128" t="s">
        <v>874</v>
      </c>
      <c r="AH231" s="108" t="s">
        <v>58</v>
      </c>
      <c r="AI231" s="128" t="s">
        <v>59</v>
      </c>
      <c r="AJ231" s="129" t="s">
        <v>89</v>
      </c>
      <c r="AK231" s="129">
        <v>3</v>
      </c>
      <c r="AL231" s="3" t="s">
        <v>362</v>
      </c>
      <c r="AM231" s="117">
        <v>2</v>
      </c>
      <c r="AP231" s="129" t="s">
        <v>170</v>
      </c>
      <c r="AR231" s="128" t="s">
        <v>67</v>
      </c>
      <c r="AS231" s="129" t="s">
        <v>64</v>
      </c>
      <c r="BC231" s="129" t="s">
        <v>38</v>
      </c>
      <c r="BF231" s="111">
        <f t="shared" si="190"/>
        <v>52</v>
      </c>
      <c r="BG231" s="111">
        <f t="shared" si="191"/>
        <v>52</v>
      </c>
      <c r="BH231" s="111">
        <f t="shared" si="155"/>
        <v>52</v>
      </c>
      <c r="BI231" s="111">
        <f t="shared" si="156"/>
        <v>63.325136612021858</v>
      </c>
      <c r="BJ231" s="129">
        <f t="shared" si="177"/>
        <v>0</v>
      </c>
      <c r="BK231" s="129">
        <f t="shared" si="157"/>
        <v>0</v>
      </c>
      <c r="BL231" s="129" t="str">
        <f t="shared" si="158"/>
        <v>CONVICTION</v>
      </c>
      <c r="BM231" s="129" t="str">
        <f t="shared" si="178"/>
        <v>NONE</v>
      </c>
      <c r="BN231" s="129" t="s">
        <v>566</v>
      </c>
      <c r="BP231" s="137" t="str">
        <f t="shared" si="162"/>
        <v>CONVICTION</v>
      </c>
      <c r="BQ231" s="128" t="str">
        <f t="shared" si="163"/>
        <v>Y</v>
      </c>
      <c r="BR231" s="129" t="str">
        <f t="shared" si="179"/>
        <v>DETAINED</v>
      </c>
      <c r="BS231" s="129" t="str">
        <f t="shared" si="164"/>
        <v>DISPOSED</v>
      </c>
      <c r="BT231" s="129" t="str">
        <f t="shared" si="165"/>
        <v>Y</v>
      </c>
      <c r="BU231" s="109">
        <f t="shared" si="166"/>
        <v>1</v>
      </c>
      <c r="BV231" s="109">
        <f t="shared" si="180"/>
        <v>1</v>
      </c>
      <c r="BW231" s="109">
        <f t="shared" ref="BW231:BW262" si="197">BV231-BU231</f>
        <v>0</v>
      </c>
      <c r="BX231" s="111">
        <f t="shared" si="167"/>
        <v>0</v>
      </c>
      <c r="BY231" s="129">
        <f t="shared" si="168"/>
        <v>-52</v>
      </c>
      <c r="BZ231" s="111">
        <f t="shared" si="169"/>
        <v>0</v>
      </c>
      <c r="CA231" s="138">
        <f t="shared" si="170"/>
        <v>52</v>
      </c>
      <c r="CB231" s="111" t="e">
        <f t="shared" si="192"/>
        <v>#VALUE!</v>
      </c>
      <c r="CC231" s="129">
        <f>G231-I231+1</f>
        <v>52</v>
      </c>
      <c r="CD231" s="129">
        <f>G231-J231</f>
        <v>0</v>
      </c>
      <c r="CE231" s="129">
        <f t="shared" si="171"/>
        <v>0</v>
      </c>
      <c r="CF231" s="129">
        <f t="shared" si="195"/>
        <v>51</v>
      </c>
      <c r="CG231" s="129" t="str">
        <f t="shared" si="172"/>
        <v>Y</v>
      </c>
      <c r="CI231" s="129" t="str">
        <f t="shared" si="173"/>
        <v>31-60 DAYS</v>
      </c>
      <c r="CJ231" s="137">
        <f t="shared" si="174"/>
        <v>3</v>
      </c>
      <c r="CK231" s="129" t="str">
        <f t="shared" si="175"/>
        <v>Booked</v>
      </c>
    </row>
    <row r="232" spans="1:89" ht="15" customHeight="1" x14ac:dyDescent="0.25">
      <c r="A232" s="111">
        <v>759</v>
      </c>
      <c r="B232" s="128" t="str">
        <f t="shared" si="159"/>
        <v>N</v>
      </c>
      <c r="C232" s="128" t="str">
        <f t="shared" si="160"/>
        <v>N</v>
      </c>
      <c r="D232" s="117">
        <v>793569</v>
      </c>
      <c r="E232" s="135">
        <f t="shared" si="161"/>
        <v>4</v>
      </c>
      <c r="F232" s="124">
        <v>40938</v>
      </c>
      <c r="G232" s="125">
        <v>41144</v>
      </c>
      <c r="H232" s="117">
        <v>793569</v>
      </c>
      <c r="I232" s="124">
        <v>40939</v>
      </c>
      <c r="J232" s="124">
        <v>40946</v>
      </c>
      <c r="K232" s="126">
        <v>15000</v>
      </c>
      <c r="L232" s="127" t="s">
        <v>571</v>
      </c>
      <c r="M232" s="125">
        <v>40946</v>
      </c>
      <c r="N232" s="129" t="str">
        <f t="shared" si="196"/>
        <v>Y</v>
      </c>
      <c r="O232" s="128" t="s">
        <v>76</v>
      </c>
      <c r="P232" s="129" t="s">
        <v>39</v>
      </c>
      <c r="Q232" s="111">
        <f t="shared" si="184"/>
        <v>8</v>
      </c>
      <c r="R232" s="111">
        <f t="shared" si="154"/>
        <v>207</v>
      </c>
      <c r="S232" s="129">
        <v>3</v>
      </c>
      <c r="T232" s="129">
        <v>1</v>
      </c>
      <c r="U232" s="129">
        <v>3</v>
      </c>
      <c r="W232" s="111"/>
      <c r="AC232" s="130"/>
      <c r="AD232" s="130">
        <v>15541</v>
      </c>
      <c r="AE232" s="128" t="s">
        <v>32</v>
      </c>
      <c r="AF232" s="128" t="s">
        <v>33</v>
      </c>
      <c r="AG232" s="128" t="s">
        <v>872</v>
      </c>
      <c r="AH232" s="108" t="s">
        <v>31</v>
      </c>
      <c r="AI232" s="128" t="s">
        <v>65</v>
      </c>
      <c r="AJ232" s="129" t="s">
        <v>89</v>
      </c>
      <c r="AK232" s="129">
        <v>8</v>
      </c>
      <c r="AL232" s="3" t="s">
        <v>991</v>
      </c>
      <c r="AO232" s="128">
        <v>15</v>
      </c>
      <c r="AP232" s="129" t="s">
        <v>107</v>
      </c>
      <c r="AR232" s="128" t="s">
        <v>44</v>
      </c>
      <c r="AS232" s="129" t="s">
        <v>57</v>
      </c>
      <c r="BC232" s="129" t="s">
        <v>52</v>
      </c>
      <c r="BF232" s="111">
        <f t="shared" si="190"/>
        <v>8</v>
      </c>
      <c r="BG232" s="111">
        <f t="shared" si="191"/>
        <v>206</v>
      </c>
      <c r="BH232" s="111">
        <f t="shared" si="155"/>
        <v>207</v>
      </c>
      <c r="BI232" s="111">
        <f t="shared" si="156"/>
        <v>69.39071038251366</v>
      </c>
      <c r="BJ232" s="129">
        <f>(G232-J232)+(M232-G232)</f>
        <v>0</v>
      </c>
      <c r="BK232" s="129">
        <f t="shared" si="157"/>
        <v>-198</v>
      </c>
      <c r="BL232" s="129" t="str">
        <f t="shared" si="158"/>
        <v>CONVICTION</v>
      </c>
      <c r="BM232" s="129" t="s">
        <v>76</v>
      </c>
      <c r="BN232" s="129" t="s">
        <v>88</v>
      </c>
      <c r="BP232" s="137" t="str">
        <f t="shared" si="162"/>
        <v>CONVICTION</v>
      </c>
      <c r="BQ232" s="128" t="str">
        <f t="shared" si="163"/>
        <v>Y</v>
      </c>
      <c r="BR232" s="129" t="str">
        <f>IF(J232&lt;G232,"ON BOND",0)</f>
        <v>ON BOND</v>
      </c>
      <c r="BS232" s="129" t="str">
        <f t="shared" si="164"/>
        <v>DISPOSED</v>
      </c>
      <c r="BT232" s="129" t="str">
        <f t="shared" si="165"/>
        <v>Y</v>
      </c>
      <c r="BU232" s="109">
        <f t="shared" si="166"/>
        <v>3.864734299516908E-2</v>
      </c>
      <c r="BV232" s="109">
        <f t="shared" si="180"/>
        <v>3.8834951456310676E-2</v>
      </c>
      <c r="BW232" s="109">
        <f t="shared" si="197"/>
        <v>1.8760846114159596E-4</v>
      </c>
      <c r="BX232" s="111">
        <f t="shared" si="167"/>
        <v>0</v>
      </c>
      <c r="BY232" s="129">
        <f t="shared" si="168"/>
        <v>-8</v>
      </c>
      <c r="BZ232" s="111">
        <f t="shared" si="169"/>
        <v>0</v>
      </c>
      <c r="CA232" s="138">
        <f t="shared" si="170"/>
        <v>8</v>
      </c>
      <c r="CB232" s="111" t="e">
        <f t="shared" si="192"/>
        <v>#VALUE!</v>
      </c>
      <c r="CC232" s="129">
        <f>M232-I232+1</f>
        <v>8</v>
      </c>
      <c r="CD232" s="111">
        <f>CC232-BF232</f>
        <v>0</v>
      </c>
      <c r="CE232" s="129">
        <f t="shared" si="171"/>
        <v>198</v>
      </c>
      <c r="CF232" s="129">
        <f t="shared" si="195"/>
        <v>7</v>
      </c>
      <c r="CG232" s="129" t="str">
        <f t="shared" si="172"/>
        <v>Y</v>
      </c>
      <c r="CI232" s="129" t="str">
        <f t="shared" si="173"/>
        <v>0-10 DAYS</v>
      </c>
      <c r="CJ232" s="137">
        <f t="shared" si="174"/>
        <v>1</v>
      </c>
      <c r="CK232" s="129" t="str">
        <f t="shared" si="175"/>
        <v>Booked</v>
      </c>
    </row>
    <row r="233" spans="1:89" ht="15" customHeight="1" x14ac:dyDescent="0.25">
      <c r="A233" s="111">
        <v>2970</v>
      </c>
      <c r="B233" s="128" t="str">
        <f t="shared" si="159"/>
        <v>N</v>
      </c>
      <c r="C233" s="128" t="str">
        <f t="shared" si="160"/>
        <v>N</v>
      </c>
      <c r="D233" s="117">
        <v>794207</v>
      </c>
      <c r="E233" s="135">
        <f t="shared" si="161"/>
        <v>5</v>
      </c>
      <c r="F233" s="124">
        <v>41018</v>
      </c>
      <c r="G233" s="125">
        <v>41157</v>
      </c>
      <c r="H233" s="117">
        <v>794207</v>
      </c>
      <c r="I233" s="124">
        <v>41027</v>
      </c>
      <c r="J233" s="124">
        <v>41157</v>
      </c>
      <c r="K233" s="126">
        <v>15000</v>
      </c>
      <c r="L233" s="127" t="s">
        <v>571</v>
      </c>
      <c r="N233" s="129" t="str">
        <f t="shared" si="196"/>
        <v>N</v>
      </c>
      <c r="O233" s="128" t="s">
        <v>917</v>
      </c>
      <c r="P233" s="129" t="s">
        <v>39</v>
      </c>
      <c r="Q233" s="111">
        <f t="shared" si="184"/>
        <v>131</v>
      </c>
      <c r="R233" s="111">
        <f t="shared" si="154"/>
        <v>140</v>
      </c>
      <c r="S233" s="129">
        <v>4</v>
      </c>
      <c r="T233" s="129">
        <v>14</v>
      </c>
      <c r="U233" s="129">
        <v>4</v>
      </c>
      <c r="W233" s="111"/>
      <c r="AC233" s="130"/>
      <c r="AD233" s="130">
        <v>24723</v>
      </c>
      <c r="AE233" s="128" t="s">
        <v>32</v>
      </c>
      <c r="AF233" s="128" t="s">
        <v>69</v>
      </c>
      <c r="AG233" s="128" t="s">
        <v>874</v>
      </c>
      <c r="AH233" s="108" t="s">
        <v>58</v>
      </c>
      <c r="AI233" s="128" t="s">
        <v>72</v>
      </c>
      <c r="AJ233" s="129" t="s">
        <v>89</v>
      </c>
      <c r="AK233" s="129">
        <v>6</v>
      </c>
      <c r="AL233" s="3" t="s">
        <v>992</v>
      </c>
      <c r="AN233" s="117">
        <v>6</v>
      </c>
      <c r="AP233" s="129" t="s">
        <v>142</v>
      </c>
      <c r="AR233" s="128" t="s">
        <v>44</v>
      </c>
      <c r="AS233" s="129" t="s">
        <v>64</v>
      </c>
      <c r="BC233" s="129" t="s">
        <v>38</v>
      </c>
      <c r="BF233" s="111">
        <f t="shared" si="190"/>
        <v>131</v>
      </c>
      <c r="BG233" s="111">
        <f t="shared" si="191"/>
        <v>131</v>
      </c>
      <c r="BH233" s="111">
        <f t="shared" si="155"/>
        <v>140</v>
      </c>
      <c r="BI233" s="111">
        <f t="shared" si="156"/>
        <v>44.521857923497265</v>
      </c>
      <c r="BJ233" s="129">
        <f t="shared" si="177"/>
        <v>0</v>
      </c>
      <c r="BK233" s="129">
        <f t="shared" si="157"/>
        <v>0</v>
      </c>
      <c r="BL233" s="129" t="str">
        <f t="shared" si="158"/>
        <v>CONVICTION</v>
      </c>
      <c r="BM233" s="129" t="str">
        <f t="shared" si="178"/>
        <v>NONE</v>
      </c>
      <c r="BN233" s="129" t="s">
        <v>566</v>
      </c>
      <c r="BP233" s="137" t="str">
        <f t="shared" si="162"/>
        <v>CONVICTION</v>
      </c>
      <c r="BQ233" s="128" t="str">
        <f t="shared" si="163"/>
        <v>Y</v>
      </c>
      <c r="BR233" s="129" t="str">
        <f t="shared" si="179"/>
        <v>DETAINED</v>
      </c>
      <c r="BS233" s="129" t="str">
        <f t="shared" si="164"/>
        <v>DISPOSED</v>
      </c>
      <c r="BT233" s="129" t="str">
        <f t="shared" si="165"/>
        <v>Y</v>
      </c>
      <c r="BU233" s="109">
        <f t="shared" si="166"/>
        <v>0.93571428571428572</v>
      </c>
      <c r="BV233" s="109">
        <f t="shared" si="180"/>
        <v>1</v>
      </c>
      <c r="BW233" s="109">
        <f t="shared" si="197"/>
        <v>6.4285714285714279E-2</v>
      </c>
      <c r="BX233" s="111">
        <f t="shared" si="167"/>
        <v>0</v>
      </c>
      <c r="BY233" s="129">
        <f t="shared" si="168"/>
        <v>-131</v>
      </c>
      <c r="BZ233" s="111">
        <f t="shared" si="169"/>
        <v>0</v>
      </c>
      <c r="CA233" s="138">
        <f t="shared" si="170"/>
        <v>131</v>
      </c>
      <c r="CB233" s="111" t="e">
        <f t="shared" si="192"/>
        <v>#VALUE!</v>
      </c>
      <c r="CC233" s="129">
        <f>G233-I233+1</f>
        <v>131</v>
      </c>
      <c r="CD233" s="129">
        <f>G233-J233</f>
        <v>0</v>
      </c>
      <c r="CE233" s="129">
        <f t="shared" si="171"/>
        <v>0</v>
      </c>
      <c r="CF233" s="129">
        <f t="shared" si="195"/>
        <v>130</v>
      </c>
      <c r="CG233" s="129" t="str">
        <f t="shared" si="172"/>
        <v>Y</v>
      </c>
      <c r="CI233" s="129" t="str">
        <f t="shared" si="173"/>
        <v>121-365 DAYS</v>
      </c>
      <c r="CJ233" s="137">
        <f t="shared" si="174"/>
        <v>6</v>
      </c>
      <c r="CK233" s="129" t="str">
        <f t="shared" si="175"/>
        <v>Booked</v>
      </c>
    </row>
    <row r="234" spans="1:89" ht="15.75" customHeight="1" x14ac:dyDescent="0.25">
      <c r="A234" s="111">
        <v>1371</v>
      </c>
      <c r="B234" s="128" t="str">
        <f t="shared" si="159"/>
        <v>N</v>
      </c>
      <c r="C234" s="128" t="str">
        <f t="shared" si="160"/>
        <v>N</v>
      </c>
      <c r="D234" s="117">
        <v>794876</v>
      </c>
      <c r="E234" s="135">
        <f t="shared" si="161"/>
        <v>2</v>
      </c>
      <c r="F234" s="124">
        <v>40959</v>
      </c>
      <c r="G234" s="125">
        <v>41001</v>
      </c>
      <c r="H234" s="117">
        <v>794876</v>
      </c>
      <c r="I234" s="124">
        <v>40959</v>
      </c>
      <c r="J234" s="124">
        <v>41001</v>
      </c>
      <c r="K234" s="126">
        <v>20000</v>
      </c>
      <c r="L234" s="127" t="s">
        <v>571</v>
      </c>
      <c r="N234" s="129" t="str">
        <f t="shared" si="196"/>
        <v>N</v>
      </c>
      <c r="O234" s="128" t="s">
        <v>917</v>
      </c>
      <c r="P234" s="129" t="s">
        <v>589</v>
      </c>
      <c r="Q234" s="111">
        <f t="shared" si="184"/>
        <v>43</v>
      </c>
      <c r="R234" s="111">
        <f t="shared" si="154"/>
        <v>43</v>
      </c>
      <c r="S234" s="129">
        <v>2</v>
      </c>
      <c r="T234" s="129">
        <v>4</v>
      </c>
      <c r="U234" s="129">
        <v>1</v>
      </c>
      <c r="W234" s="111"/>
      <c r="AC234" s="130"/>
      <c r="AD234" s="130">
        <v>24919</v>
      </c>
      <c r="AE234" s="128" t="s">
        <v>32</v>
      </c>
      <c r="AF234" s="128" t="s">
        <v>33</v>
      </c>
      <c r="AG234" s="128" t="s">
        <v>872</v>
      </c>
      <c r="AH234" s="108" t="s">
        <v>58</v>
      </c>
      <c r="AI234" s="128" t="s">
        <v>100</v>
      </c>
      <c r="AJ234" s="129" t="s">
        <v>48</v>
      </c>
      <c r="AK234" s="129">
        <v>3</v>
      </c>
      <c r="AL234" s="3" t="s">
        <v>48</v>
      </c>
      <c r="AP234" s="129" t="s">
        <v>150</v>
      </c>
      <c r="AR234" s="128" t="s">
        <v>67</v>
      </c>
      <c r="AS234" s="129" t="s">
        <v>74</v>
      </c>
      <c r="BC234" s="129" t="s">
        <v>38</v>
      </c>
      <c r="BF234" s="111">
        <f t="shared" si="190"/>
        <v>43</v>
      </c>
      <c r="BG234" s="111">
        <f t="shared" si="191"/>
        <v>43</v>
      </c>
      <c r="BH234" s="111">
        <f t="shared" si="155"/>
        <v>43</v>
      </c>
      <c r="BI234" s="111">
        <f t="shared" si="156"/>
        <v>43.825136612021858</v>
      </c>
      <c r="BJ234" s="129">
        <f t="shared" si="177"/>
        <v>0</v>
      </c>
      <c r="BK234" s="129">
        <f t="shared" si="157"/>
        <v>0</v>
      </c>
      <c r="BL234" s="129" t="str">
        <f t="shared" si="158"/>
        <v>DEFERRED</v>
      </c>
      <c r="BM234" s="129" t="str">
        <f t="shared" si="178"/>
        <v>NONE</v>
      </c>
      <c r="BN234" s="129" t="s">
        <v>566</v>
      </c>
      <c r="BP234" s="137" t="str">
        <f t="shared" si="162"/>
        <v>DEFERRED</v>
      </c>
      <c r="BQ234" s="128" t="str">
        <f t="shared" si="163"/>
        <v>Y</v>
      </c>
      <c r="BR234" s="129" t="str">
        <f t="shared" si="179"/>
        <v>DETAINED</v>
      </c>
      <c r="BS234" s="129" t="str">
        <f t="shared" si="164"/>
        <v>DISPOSED</v>
      </c>
      <c r="BT234" s="129" t="str">
        <f t="shared" si="165"/>
        <v>Y</v>
      </c>
      <c r="BU234" s="109">
        <f t="shared" si="166"/>
        <v>1</v>
      </c>
      <c r="BV234" s="109">
        <f t="shared" si="180"/>
        <v>1</v>
      </c>
      <c r="BW234" s="109">
        <f t="shared" si="197"/>
        <v>0</v>
      </c>
      <c r="BX234" s="111">
        <f t="shared" si="167"/>
        <v>0</v>
      </c>
      <c r="BY234" s="129">
        <f t="shared" si="168"/>
        <v>-43</v>
      </c>
      <c r="BZ234" s="111">
        <f t="shared" si="169"/>
        <v>0</v>
      </c>
      <c r="CA234" s="138">
        <f t="shared" si="170"/>
        <v>43</v>
      </c>
      <c r="CB234" s="111" t="e">
        <f t="shared" si="192"/>
        <v>#VALUE!</v>
      </c>
      <c r="CC234" s="129">
        <f>G234-I234+1</f>
        <v>43</v>
      </c>
      <c r="CD234" s="129">
        <f>G234-J234</f>
        <v>0</v>
      </c>
      <c r="CE234" s="129">
        <f t="shared" si="171"/>
        <v>0</v>
      </c>
      <c r="CF234" s="129">
        <f t="shared" si="195"/>
        <v>42</v>
      </c>
      <c r="CG234" s="129" t="str">
        <f t="shared" si="172"/>
        <v>Y</v>
      </c>
      <c r="CI234" s="129" t="str">
        <f t="shared" si="173"/>
        <v>31-60 DAYS</v>
      </c>
      <c r="CJ234" s="137">
        <f t="shared" si="174"/>
        <v>3</v>
      </c>
      <c r="CK234" s="129" t="str">
        <f t="shared" si="175"/>
        <v>Booked</v>
      </c>
    </row>
    <row r="235" spans="1:89" ht="15.75" customHeight="1" x14ac:dyDescent="0.25">
      <c r="A235" s="111">
        <v>948</v>
      </c>
      <c r="B235" s="128" t="str">
        <f t="shared" si="159"/>
        <v>N</v>
      </c>
      <c r="C235" s="128" t="str">
        <f t="shared" si="160"/>
        <v>N</v>
      </c>
      <c r="D235" s="117">
        <v>796534</v>
      </c>
      <c r="E235" s="135">
        <f t="shared" si="161"/>
        <v>5</v>
      </c>
      <c r="F235" s="124">
        <v>40943</v>
      </c>
      <c r="G235" s="125">
        <v>40945</v>
      </c>
      <c r="H235" s="117">
        <v>796534</v>
      </c>
      <c r="I235" s="124">
        <v>40944</v>
      </c>
      <c r="J235" s="124">
        <v>40945</v>
      </c>
      <c r="K235" s="126">
        <v>15000</v>
      </c>
      <c r="L235" s="127" t="s">
        <v>571</v>
      </c>
      <c r="N235" s="129" t="str">
        <f t="shared" si="196"/>
        <v>N</v>
      </c>
      <c r="O235" s="128" t="s">
        <v>917</v>
      </c>
      <c r="P235" s="129" t="s">
        <v>39</v>
      </c>
      <c r="Q235" s="111">
        <f t="shared" si="184"/>
        <v>2</v>
      </c>
      <c r="R235" s="111">
        <f t="shared" si="154"/>
        <v>3</v>
      </c>
      <c r="S235" s="129">
        <v>9</v>
      </c>
      <c r="T235" s="129">
        <v>6</v>
      </c>
      <c r="U235" s="129">
        <v>8</v>
      </c>
      <c r="W235" s="111"/>
      <c r="AC235" s="130"/>
      <c r="AD235" s="130">
        <v>24029</v>
      </c>
      <c r="AE235" s="128" t="s">
        <v>32</v>
      </c>
      <c r="AF235" s="128" t="s">
        <v>33</v>
      </c>
      <c r="AG235" s="128" t="s">
        <v>872</v>
      </c>
      <c r="AH235" s="108" t="s">
        <v>58</v>
      </c>
      <c r="AI235" s="128" t="s">
        <v>62</v>
      </c>
      <c r="AJ235" s="129" t="s">
        <v>89</v>
      </c>
      <c r="AK235" s="129">
        <v>1</v>
      </c>
      <c r="AL235" s="3" t="s">
        <v>992</v>
      </c>
      <c r="AN235" s="117">
        <v>6</v>
      </c>
      <c r="AP235" s="129" t="s">
        <v>60</v>
      </c>
      <c r="AR235" s="128" t="s">
        <v>44</v>
      </c>
      <c r="AS235" s="129" t="s">
        <v>61</v>
      </c>
      <c r="BC235" s="129" t="s">
        <v>38</v>
      </c>
      <c r="BF235" s="111">
        <f t="shared" si="190"/>
        <v>2</v>
      </c>
      <c r="BG235" s="111">
        <f t="shared" si="191"/>
        <v>2</v>
      </c>
      <c r="BH235" s="111">
        <f t="shared" si="155"/>
        <v>3</v>
      </c>
      <c r="BI235" s="111">
        <f t="shared" si="156"/>
        <v>46.213114754098363</v>
      </c>
      <c r="BJ235" s="129">
        <f t="shared" si="177"/>
        <v>0</v>
      </c>
      <c r="BK235" s="129">
        <f t="shared" si="157"/>
        <v>0</v>
      </c>
      <c r="BL235" s="129" t="str">
        <f t="shared" si="158"/>
        <v>CONVICTION</v>
      </c>
      <c r="BM235" s="129" t="str">
        <f t="shared" si="178"/>
        <v>NONE</v>
      </c>
      <c r="BN235" s="129" t="s">
        <v>566</v>
      </c>
      <c r="BP235" s="137" t="str">
        <f t="shared" si="162"/>
        <v>CONVICTION</v>
      </c>
      <c r="BQ235" s="128" t="str">
        <f t="shared" si="163"/>
        <v>Y</v>
      </c>
      <c r="BR235" s="129" t="str">
        <f t="shared" si="179"/>
        <v>DETAINED</v>
      </c>
      <c r="BS235" s="129" t="str">
        <f t="shared" si="164"/>
        <v>DISPOSED</v>
      </c>
      <c r="BT235" s="129" t="str">
        <f t="shared" si="165"/>
        <v>Y</v>
      </c>
      <c r="BU235" s="109">
        <f t="shared" si="166"/>
        <v>0.66666666666666663</v>
      </c>
      <c r="BV235" s="109">
        <f t="shared" si="180"/>
        <v>1</v>
      </c>
      <c r="BW235" s="109">
        <f t="shared" si="197"/>
        <v>0.33333333333333337</v>
      </c>
      <c r="BX235" s="111">
        <f t="shared" si="167"/>
        <v>0</v>
      </c>
      <c r="BY235" s="129">
        <f t="shared" si="168"/>
        <v>-2</v>
      </c>
      <c r="BZ235" s="111">
        <f t="shared" si="169"/>
        <v>0</v>
      </c>
      <c r="CA235" s="138">
        <f t="shared" si="170"/>
        <v>2</v>
      </c>
      <c r="CB235" s="111" t="e">
        <f t="shared" si="192"/>
        <v>#VALUE!</v>
      </c>
      <c r="CC235" s="129">
        <f>G235-I235+1</f>
        <v>2</v>
      </c>
      <c r="CD235" s="129">
        <f>G235-J235</f>
        <v>0</v>
      </c>
      <c r="CE235" s="129">
        <f t="shared" si="171"/>
        <v>0</v>
      </c>
      <c r="CF235" s="129">
        <f t="shared" si="195"/>
        <v>1</v>
      </c>
      <c r="CG235" s="129" t="str">
        <f t="shared" si="172"/>
        <v>Y</v>
      </c>
      <c r="CI235" s="129" t="str">
        <f t="shared" si="173"/>
        <v>0-10 DAYS</v>
      </c>
      <c r="CJ235" s="137">
        <f t="shared" si="174"/>
        <v>1</v>
      </c>
      <c r="CK235" s="129" t="str">
        <f t="shared" si="175"/>
        <v>Booked</v>
      </c>
    </row>
    <row r="236" spans="1:89" ht="15.75" customHeight="1" x14ac:dyDescent="0.25">
      <c r="A236" s="111">
        <v>971</v>
      </c>
      <c r="B236" s="128" t="str">
        <f t="shared" si="159"/>
        <v>N</v>
      </c>
      <c r="C236" s="128" t="str">
        <f t="shared" si="160"/>
        <v>Y</v>
      </c>
      <c r="D236" s="117">
        <v>799361</v>
      </c>
      <c r="E236" s="135">
        <f t="shared" si="161"/>
        <v>2</v>
      </c>
      <c r="F236" s="124">
        <v>40944</v>
      </c>
      <c r="G236" s="125">
        <v>41148</v>
      </c>
      <c r="H236" s="117">
        <v>799361</v>
      </c>
      <c r="I236" s="124">
        <v>40944</v>
      </c>
      <c r="J236" s="124">
        <v>40945</v>
      </c>
      <c r="K236" s="126">
        <v>30000</v>
      </c>
      <c r="L236" s="129" t="s">
        <v>572</v>
      </c>
      <c r="M236" s="125">
        <v>40945</v>
      </c>
      <c r="N236" s="129" t="str">
        <f t="shared" si="196"/>
        <v>Y</v>
      </c>
      <c r="O236" s="112" t="s">
        <v>585</v>
      </c>
      <c r="P236" s="129" t="s">
        <v>589</v>
      </c>
      <c r="Q236" s="111">
        <f t="shared" si="184"/>
        <v>2</v>
      </c>
      <c r="R236" s="111">
        <f t="shared" si="154"/>
        <v>205</v>
      </c>
      <c r="S236" s="129">
        <v>0</v>
      </c>
      <c r="T236" s="129">
        <v>3</v>
      </c>
      <c r="W236" s="111"/>
      <c r="AC236" s="130"/>
      <c r="AD236" s="130">
        <v>24756</v>
      </c>
      <c r="AE236" s="128" t="s">
        <v>32</v>
      </c>
      <c r="AF236" s="128" t="s">
        <v>40</v>
      </c>
      <c r="AG236" s="128" t="s">
        <v>41</v>
      </c>
      <c r="AH236" s="108" t="s">
        <v>41</v>
      </c>
      <c r="AI236" s="128" t="s">
        <v>70</v>
      </c>
      <c r="AJ236" s="129" t="s">
        <v>48</v>
      </c>
      <c r="AK236" s="129">
        <v>9</v>
      </c>
      <c r="AL236" s="3" t="s">
        <v>48</v>
      </c>
      <c r="AP236" s="129" t="s">
        <v>110</v>
      </c>
      <c r="AR236" s="128" t="s">
        <v>50</v>
      </c>
      <c r="AS236" s="129" t="s">
        <v>74</v>
      </c>
      <c r="AU236" s="3" t="s">
        <v>811</v>
      </c>
      <c r="AX236" s="32" t="s">
        <v>88</v>
      </c>
      <c r="BC236" s="129" t="s">
        <v>52</v>
      </c>
      <c r="BF236" s="111">
        <v>2</v>
      </c>
      <c r="BG236" s="111">
        <f t="shared" si="191"/>
        <v>205</v>
      </c>
      <c r="BH236" s="111">
        <f t="shared" si="155"/>
        <v>205</v>
      </c>
      <c r="BI236" s="111">
        <f t="shared" si="156"/>
        <v>44.229508196721312</v>
      </c>
      <c r="BJ236" s="129">
        <f>(G236-J236)+(M236-G236)</f>
        <v>0</v>
      </c>
      <c r="BK236" s="129">
        <f t="shared" si="157"/>
        <v>-203</v>
      </c>
      <c r="BL236" s="129" t="str">
        <f t="shared" si="158"/>
        <v>DEFERRED</v>
      </c>
      <c r="BM236" s="129" t="s">
        <v>76</v>
      </c>
      <c r="BN236" s="129" t="s">
        <v>88</v>
      </c>
      <c r="BO236" s="110"/>
      <c r="BP236" s="137" t="str">
        <f t="shared" si="162"/>
        <v>DEFERRED</v>
      </c>
      <c r="BQ236" s="128" t="str">
        <f t="shared" si="163"/>
        <v>Y</v>
      </c>
      <c r="BR236" s="129" t="str">
        <f t="shared" si="179"/>
        <v>ON BOND</v>
      </c>
      <c r="BS236" s="129" t="str">
        <f t="shared" si="164"/>
        <v>DISPOSED</v>
      </c>
      <c r="BT236" s="129" t="str">
        <f t="shared" si="165"/>
        <v>N</v>
      </c>
      <c r="BU236" s="109">
        <f t="shared" si="166"/>
        <v>9.7560975609756097E-3</v>
      </c>
      <c r="BV236" s="109">
        <f t="shared" si="180"/>
        <v>9.7560975609756097E-3</v>
      </c>
      <c r="BW236" s="109">
        <f t="shared" si="197"/>
        <v>0</v>
      </c>
      <c r="BX236" s="111">
        <f t="shared" si="167"/>
        <v>0</v>
      </c>
      <c r="BY236" s="129">
        <f t="shared" si="168"/>
        <v>-2</v>
      </c>
      <c r="BZ236" s="111">
        <f t="shared" si="169"/>
        <v>0</v>
      </c>
      <c r="CA236" s="138">
        <f t="shared" si="170"/>
        <v>2</v>
      </c>
      <c r="CB236" s="111" t="e">
        <f t="shared" si="192"/>
        <v>#VALUE!</v>
      </c>
      <c r="CD236" s="129">
        <f>G236-J236</f>
        <v>203</v>
      </c>
      <c r="CE236" s="129">
        <f t="shared" si="171"/>
        <v>203</v>
      </c>
      <c r="CF236" s="129">
        <f>I236-J236</f>
        <v>-1</v>
      </c>
      <c r="CG236" s="129" t="str">
        <f t="shared" si="172"/>
        <v>Y</v>
      </c>
      <c r="CI236" s="129" t="str">
        <f t="shared" si="173"/>
        <v>0-10 DAYS</v>
      </c>
      <c r="CJ236" s="137">
        <f t="shared" si="174"/>
        <v>1</v>
      </c>
      <c r="CK236" s="129" t="str">
        <f t="shared" si="175"/>
        <v>Booked</v>
      </c>
    </row>
    <row r="237" spans="1:89" ht="15" customHeight="1" x14ac:dyDescent="0.25">
      <c r="A237" s="111">
        <v>1792</v>
      </c>
      <c r="B237" s="128" t="str">
        <f t="shared" si="159"/>
        <v>N</v>
      </c>
      <c r="C237" s="128" t="str">
        <f t="shared" si="160"/>
        <v>N</v>
      </c>
      <c r="D237" s="117">
        <v>809343</v>
      </c>
      <c r="E237" s="135">
        <f t="shared" si="161"/>
        <v>4</v>
      </c>
      <c r="F237" s="124">
        <v>40975</v>
      </c>
      <c r="G237" s="125">
        <v>40977</v>
      </c>
      <c r="H237" s="117">
        <v>809343</v>
      </c>
      <c r="I237" s="124">
        <v>40976</v>
      </c>
      <c r="J237" s="124">
        <v>40977</v>
      </c>
      <c r="K237" s="126">
        <v>15000</v>
      </c>
      <c r="L237" s="127" t="s">
        <v>571</v>
      </c>
      <c r="N237" s="129" t="str">
        <f t="shared" si="196"/>
        <v>N</v>
      </c>
      <c r="O237" s="128" t="s">
        <v>917</v>
      </c>
      <c r="P237" s="129" t="s">
        <v>39</v>
      </c>
      <c r="Q237" s="111">
        <f t="shared" ref="Q237:Q247" si="198">BF237</f>
        <v>2</v>
      </c>
      <c r="R237" s="111">
        <f t="shared" si="154"/>
        <v>3</v>
      </c>
      <c r="S237" s="129">
        <v>12</v>
      </c>
      <c r="T237" s="129">
        <v>13</v>
      </c>
      <c r="U237" s="129">
        <v>8</v>
      </c>
      <c r="W237" s="111"/>
      <c r="AC237" s="130"/>
      <c r="AD237" s="130">
        <v>24243</v>
      </c>
      <c r="AE237" s="128" t="s">
        <v>46</v>
      </c>
      <c r="AF237" s="128" t="s">
        <v>33</v>
      </c>
      <c r="AG237" s="128" t="s">
        <v>872</v>
      </c>
      <c r="AH237" s="108" t="s">
        <v>58</v>
      </c>
      <c r="AI237" s="128" t="s">
        <v>90</v>
      </c>
      <c r="AJ237" s="129" t="s">
        <v>89</v>
      </c>
      <c r="AK237" s="129">
        <v>1</v>
      </c>
      <c r="AL237" s="3" t="s">
        <v>991</v>
      </c>
      <c r="AO237" s="128">
        <v>300</v>
      </c>
      <c r="AP237" s="129" t="s">
        <v>43</v>
      </c>
      <c r="AR237" s="128" t="s">
        <v>44</v>
      </c>
      <c r="AS237" s="129" t="s">
        <v>45</v>
      </c>
      <c r="BC237" s="129" t="s">
        <v>38</v>
      </c>
      <c r="BF237" s="111">
        <f t="shared" si="190"/>
        <v>2</v>
      </c>
      <c r="BG237" s="111">
        <f t="shared" si="191"/>
        <v>2</v>
      </c>
      <c r="BH237" s="111">
        <f t="shared" si="155"/>
        <v>3</v>
      </c>
      <c r="BI237" s="111">
        <f t="shared" si="156"/>
        <v>45.715846994535518</v>
      </c>
      <c r="BJ237" s="129">
        <f t="shared" si="177"/>
        <v>0</v>
      </c>
      <c r="BK237" s="129">
        <f t="shared" si="157"/>
        <v>0</v>
      </c>
      <c r="BL237" s="129" t="str">
        <f t="shared" si="158"/>
        <v>CONVICTION</v>
      </c>
      <c r="BM237" s="129" t="str">
        <f t="shared" si="178"/>
        <v>NONE</v>
      </c>
      <c r="BN237" s="129" t="s">
        <v>566</v>
      </c>
      <c r="BP237" s="137" t="str">
        <f t="shared" si="162"/>
        <v>CONVICTION</v>
      </c>
      <c r="BQ237" s="128" t="str">
        <f t="shared" si="163"/>
        <v>Y</v>
      </c>
      <c r="BR237" s="129" t="str">
        <f t="shared" si="179"/>
        <v>DETAINED</v>
      </c>
      <c r="BS237" s="129" t="str">
        <f t="shared" si="164"/>
        <v>DISPOSED</v>
      </c>
      <c r="BT237" s="129" t="str">
        <f t="shared" si="165"/>
        <v>Y</v>
      </c>
      <c r="BU237" s="109">
        <f t="shared" si="166"/>
        <v>0.66666666666666663</v>
      </c>
      <c r="BV237" s="109">
        <f t="shared" si="180"/>
        <v>1</v>
      </c>
      <c r="BW237" s="109">
        <f t="shared" si="197"/>
        <v>0.33333333333333337</v>
      </c>
      <c r="BX237" s="111">
        <f t="shared" si="167"/>
        <v>0</v>
      </c>
      <c r="BY237" s="129">
        <f t="shared" si="168"/>
        <v>-2</v>
      </c>
      <c r="BZ237" s="111">
        <f t="shared" si="169"/>
        <v>0</v>
      </c>
      <c r="CA237" s="138">
        <f t="shared" si="170"/>
        <v>2</v>
      </c>
      <c r="CB237" s="111" t="e">
        <f t="shared" si="192"/>
        <v>#VALUE!</v>
      </c>
      <c r="CC237" s="129">
        <f t="shared" ref="CC237:CC246" si="199">G237-I237+1</f>
        <v>2</v>
      </c>
      <c r="CD237" s="129">
        <f t="shared" ref="CD237:CD246" si="200">G237-J237</f>
        <v>0</v>
      </c>
      <c r="CE237" s="129">
        <f t="shared" si="171"/>
        <v>0</v>
      </c>
      <c r="CF237" s="129">
        <f t="shared" ref="CF237:CF247" si="201">J237-I237</f>
        <v>1</v>
      </c>
      <c r="CG237" s="129" t="str">
        <f t="shared" si="172"/>
        <v>Y</v>
      </c>
      <c r="CI237" s="129" t="str">
        <f t="shared" si="173"/>
        <v>0-10 DAYS</v>
      </c>
      <c r="CJ237" s="137">
        <f t="shared" si="174"/>
        <v>1</v>
      </c>
      <c r="CK237" s="129" t="str">
        <f t="shared" si="175"/>
        <v>Booked</v>
      </c>
    </row>
    <row r="238" spans="1:89" ht="15" customHeight="1" x14ac:dyDescent="0.25">
      <c r="A238" s="111">
        <v>1515</v>
      </c>
      <c r="B238" s="128" t="str">
        <f t="shared" si="159"/>
        <v>N</v>
      </c>
      <c r="C238" s="128" t="str">
        <f t="shared" si="160"/>
        <v>N</v>
      </c>
      <c r="D238" s="117">
        <v>812192</v>
      </c>
      <c r="E238" s="135">
        <f t="shared" si="161"/>
        <v>6</v>
      </c>
      <c r="F238" s="124">
        <v>40964</v>
      </c>
      <c r="G238" s="125">
        <v>41088</v>
      </c>
      <c r="H238" s="117">
        <v>812192</v>
      </c>
      <c r="I238" s="124">
        <v>40965</v>
      </c>
      <c r="J238" s="124">
        <v>41088</v>
      </c>
      <c r="K238" s="126" t="s">
        <v>564</v>
      </c>
      <c r="L238" s="127" t="s">
        <v>564</v>
      </c>
      <c r="N238" s="129" t="s">
        <v>566</v>
      </c>
      <c r="O238" s="128" t="s">
        <v>917</v>
      </c>
      <c r="P238" s="129" t="s">
        <v>39</v>
      </c>
      <c r="Q238" s="111">
        <f t="shared" si="198"/>
        <v>124</v>
      </c>
      <c r="R238" s="111">
        <f t="shared" si="154"/>
        <v>125</v>
      </c>
      <c r="S238" s="129">
        <v>10</v>
      </c>
      <c r="T238" s="129">
        <v>3</v>
      </c>
      <c r="U238" s="129">
        <v>8</v>
      </c>
      <c r="W238" s="111"/>
      <c r="AC238" s="130"/>
      <c r="AD238" s="130">
        <v>25270</v>
      </c>
      <c r="AE238" s="128" t="s">
        <v>32</v>
      </c>
      <c r="AF238" s="128" t="s">
        <v>33</v>
      </c>
      <c r="AG238" s="128" t="s">
        <v>872</v>
      </c>
      <c r="AH238" s="108" t="s">
        <v>58</v>
      </c>
      <c r="AI238" s="128" t="s">
        <v>34</v>
      </c>
      <c r="AJ238" s="129" t="s">
        <v>89</v>
      </c>
      <c r="AK238" s="129">
        <v>6</v>
      </c>
      <c r="AL238" s="3" t="s">
        <v>362</v>
      </c>
      <c r="AM238" s="117">
        <v>7</v>
      </c>
      <c r="AP238" s="129" t="s">
        <v>93</v>
      </c>
      <c r="AR238" s="128" t="s">
        <v>67</v>
      </c>
      <c r="AS238" s="129" t="s">
        <v>45</v>
      </c>
      <c r="BC238" s="129" t="s">
        <v>52</v>
      </c>
      <c r="BF238" s="111">
        <f t="shared" si="190"/>
        <v>124</v>
      </c>
      <c r="BG238" s="111">
        <f t="shared" si="191"/>
        <v>124</v>
      </c>
      <c r="BH238" s="111">
        <f t="shared" si="155"/>
        <v>125</v>
      </c>
      <c r="BI238" s="111">
        <f t="shared" si="156"/>
        <v>42.879781420765028</v>
      </c>
      <c r="BJ238" s="129">
        <f t="shared" si="177"/>
        <v>0</v>
      </c>
      <c r="BK238" s="129">
        <f t="shared" si="157"/>
        <v>0</v>
      </c>
      <c r="BL238" s="129" t="str">
        <f t="shared" si="158"/>
        <v>CONVICTION</v>
      </c>
      <c r="BM238" s="129" t="str">
        <f t="shared" si="178"/>
        <v>NONE</v>
      </c>
      <c r="BN238" s="129" t="s">
        <v>566</v>
      </c>
      <c r="BP238" s="137" t="str">
        <f t="shared" si="162"/>
        <v>CONVICTION</v>
      </c>
      <c r="BQ238" s="128" t="str">
        <f t="shared" si="163"/>
        <v>Y</v>
      </c>
      <c r="BR238" s="129" t="str">
        <f t="shared" si="179"/>
        <v>DETAINED</v>
      </c>
      <c r="BS238" s="129" t="str">
        <f t="shared" si="164"/>
        <v>DISPOSED</v>
      </c>
      <c r="BT238" s="129" t="str">
        <f t="shared" si="165"/>
        <v>Y</v>
      </c>
      <c r="BU238" s="109">
        <f t="shared" si="166"/>
        <v>0.99199999999999999</v>
      </c>
      <c r="BV238" s="109">
        <f t="shared" si="180"/>
        <v>1</v>
      </c>
      <c r="BW238" s="109">
        <f t="shared" si="197"/>
        <v>8.0000000000000071E-3</v>
      </c>
      <c r="BX238" s="111">
        <f t="shared" si="167"/>
        <v>0</v>
      </c>
      <c r="BY238" s="129">
        <f t="shared" si="168"/>
        <v>-124</v>
      </c>
      <c r="BZ238" s="111">
        <f t="shared" si="169"/>
        <v>0</v>
      </c>
      <c r="CA238" s="138">
        <f t="shared" si="170"/>
        <v>124</v>
      </c>
      <c r="CB238" s="111" t="e">
        <f t="shared" si="192"/>
        <v>#VALUE!</v>
      </c>
      <c r="CC238" s="129">
        <f t="shared" si="199"/>
        <v>124</v>
      </c>
      <c r="CD238" s="129">
        <f t="shared" si="200"/>
        <v>0</v>
      </c>
      <c r="CE238" s="129">
        <f t="shared" si="171"/>
        <v>0</v>
      </c>
      <c r="CF238" s="129">
        <f t="shared" si="201"/>
        <v>123</v>
      </c>
      <c r="CG238" s="129" t="str">
        <f t="shared" si="172"/>
        <v>Y</v>
      </c>
      <c r="CI238" s="129" t="str">
        <f t="shared" si="173"/>
        <v>121-365 DAYS</v>
      </c>
      <c r="CJ238" s="137">
        <f t="shared" si="174"/>
        <v>6</v>
      </c>
      <c r="CK238" s="129" t="str">
        <f t="shared" si="175"/>
        <v>Booked</v>
      </c>
    </row>
    <row r="239" spans="1:89" ht="15" customHeight="1" x14ac:dyDescent="0.25">
      <c r="A239" s="111">
        <v>403</v>
      </c>
      <c r="B239" s="128" t="str">
        <f t="shared" si="159"/>
        <v>N</v>
      </c>
      <c r="C239" s="128" t="str">
        <f t="shared" si="160"/>
        <v>N</v>
      </c>
      <c r="D239" s="117">
        <v>813286</v>
      </c>
      <c r="E239" s="135">
        <f t="shared" si="161"/>
        <v>5</v>
      </c>
      <c r="F239" s="124">
        <v>40925</v>
      </c>
      <c r="G239" s="125">
        <v>40927</v>
      </c>
      <c r="H239" s="117">
        <v>813286</v>
      </c>
      <c r="I239" s="124">
        <v>40925</v>
      </c>
      <c r="J239" s="124">
        <v>40927</v>
      </c>
      <c r="K239" s="126">
        <v>15000</v>
      </c>
      <c r="L239" s="127" t="s">
        <v>571</v>
      </c>
      <c r="N239" s="129" t="str">
        <f>IF(M239&gt;1/1/1,"Y","N")</f>
        <v>N</v>
      </c>
      <c r="O239" s="128" t="s">
        <v>917</v>
      </c>
      <c r="P239" s="129" t="s">
        <v>39</v>
      </c>
      <c r="Q239" s="111">
        <f t="shared" si="198"/>
        <v>3</v>
      </c>
      <c r="R239" s="111">
        <f t="shared" si="154"/>
        <v>3</v>
      </c>
      <c r="S239" s="129">
        <v>12</v>
      </c>
      <c r="T239" s="129">
        <v>4</v>
      </c>
      <c r="U239" s="129">
        <v>10</v>
      </c>
      <c r="W239" s="111"/>
      <c r="AC239" s="130"/>
      <c r="AD239" s="130">
        <v>24199</v>
      </c>
      <c r="AE239" s="128" t="s">
        <v>46</v>
      </c>
      <c r="AF239" s="128" t="s">
        <v>33</v>
      </c>
      <c r="AG239" s="128" t="s">
        <v>872</v>
      </c>
      <c r="AH239" s="108" t="s">
        <v>31</v>
      </c>
      <c r="AI239" s="128" t="s">
        <v>65</v>
      </c>
      <c r="AJ239" s="129" t="s">
        <v>89</v>
      </c>
      <c r="AK239" s="129">
        <v>1</v>
      </c>
      <c r="AL239" s="3" t="s">
        <v>992</v>
      </c>
      <c r="AN239" s="117">
        <v>7</v>
      </c>
      <c r="AP239" s="129" t="s">
        <v>43</v>
      </c>
      <c r="AR239" s="128" t="s">
        <v>44</v>
      </c>
      <c r="AS239" s="129" t="s">
        <v>45</v>
      </c>
      <c r="BC239" s="129" t="s">
        <v>38</v>
      </c>
      <c r="BF239" s="111">
        <f t="shared" si="190"/>
        <v>3</v>
      </c>
      <c r="BG239" s="111">
        <f t="shared" si="191"/>
        <v>3</v>
      </c>
      <c r="BH239" s="111">
        <f t="shared" si="155"/>
        <v>3</v>
      </c>
      <c r="BI239" s="111">
        <f t="shared" si="156"/>
        <v>45.699453551912569</v>
      </c>
      <c r="BJ239" s="129">
        <f t="shared" si="177"/>
        <v>0</v>
      </c>
      <c r="BK239" s="129">
        <f t="shared" si="157"/>
        <v>0</v>
      </c>
      <c r="BL239" s="129" t="str">
        <f t="shared" si="158"/>
        <v>CONVICTION</v>
      </c>
      <c r="BM239" s="129" t="str">
        <f t="shared" si="178"/>
        <v>NONE</v>
      </c>
      <c r="BN239" s="129" t="s">
        <v>566</v>
      </c>
      <c r="BP239" s="137" t="str">
        <f t="shared" si="162"/>
        <v>CONVICTION</v>
      </c>
      <c r="BQ239" s="128" t="str">
        <f t="shared" si="163"/>
        <v>Y</v>
      </c>
      <c r="BR239" s="129" t="str">
        <f t="shared" si="179"/>
        <v>DETAINED</v>
      </c>
      <c r="BS239" s="129" t="str">
        <f t="shared" si="164"/>
        <v>DISPOSED</v>
      </c>
      <c r="BT239" s="129" t="str">
        <f t="shared" si="165"/>
        <v>Y</v>
      </c>
      <c r="BU239" s="109">
        <f t="shared" si="166"/>
        <v>1</v>
      </c>
      <c r="BV239" s="109">
        <f t="shared" si="180"/>
        <v>1</v>
      </c>
      <c r="BW239" s="109">
        <f t="shared" si="197"/>
        <v>0</v>
      </c>
      <c r="BX239" s="111">
        <f t="shared" si="167"/>
        <v>0</v>
      </c>
      <c r="BY239" s="129">
        <f t="shared" si="168"/>
        <v>-3</v>
      </c>
      <c r="BZ239" s="111">
        <f t="shared" si="169"/>
        <v>0</v>
      </c>
      <c r="CA239" s="138">
        <f t="shared" si="170"/>
        <v>3</v>
      </c>
      <c r="CB239" s="111" t="e">
        <f t="shared" si="192"/>
        <v>#VALUE!</v>
      </c>
      <c r="CC239" s="129">
        <f t="shared" si="199"/>
        <v>3</v>
      </c>
      <c r="CD239" s="129">
        <f t="shared" si="200"/>
        <v>0</v>
      </c>
      <c r="CE239" s="129">
        <f t="shared" si="171"/>
        <v>0</v>
      </c>
      <c r="CF239" s="129">
        <f t="shared" si="201"/>
        <v>2</v>
      </c>
      <c r="CG239" s="129" t="str">
        <f t="shared" si="172"/>
        <v>Y</v>
      </c>
      <c r="CI239" s="129" t="str">
        <f t="shared" si="173"/>
        <v>0-10 DAYS</v>
      </c>
      <c r="CJ239" s="137">
        <f t="shared" si="174"/>
        <v>1</v>
      </c>
      <c r="CK239" s="129" t="str">
        <f t="shared" si="175"/>
        <v>Booked</v>
      </c>
    </row>
    <row r="240" spans="1:89" ht="15.75" customHeight="1" x14ac:dyDescent="0.25">
      <c r="A240" s="111">
        <v>2974</v>
      </c>
      <c r="B240" s="128" t="str">
        <f t="shared" si="159"/>
        <v>N</v>
      </c>
      <c r="C240" s="128" t="str">
        <f t="shared" si="160"/>
        <v>N</v>
      </c>
      <c r="D240" s="117">
        <v>816065</v>
      </c>
      <c r="E240" s="135">
        <f t="shared" si="161"/>
        <v>5</v>
      </c>
      <c r="F240" s="124">
        <v>41018</v>
      </c>
      <c r="G240" s="125">
        <v>41337</v>
      </c>
      <c r="H240" s="117">
        <v>816065</v>
      </c>
      <c r="I240" s="124">
        <v>41043</v>
      </c>
      <c r="J240" s="125">
        <v>41337</v>
      </c>
      <c r="K240" s="126">
        <v>15000</v>
      </c>
      <c r="L240" s="127" t="s">
        <v>571</v>
      </c>
      <c r="N240" s="129" t="str">
        <f>IF(M240&gt;1/1/1,"Y","N")</f>
        <v>N</v>
      </c>
      <c r="O240" s="128" t="s">
        <v>917</v>
      </c>
      <c r="P240" s="129" t="s">
        <v>39</v>
      </c>
      <c r="Q240" s="111">
        <f t="shared" si="198"/>
        <v>295</v>
      </c>
      <c r="R240" s="111">
        <f t="shared" si="154"/>
        <v>320</v>
      </c>
      <c r="S240" s="129">
        <v>14</v>
      </c>
      <c r="T240" s="129">
        <v>3</v>
      </c>
      <c r="U240" s="129">
        <v>8</v>
      </c>
      <c r="W240" s="111"/>
      <c r="AC240" s="130"/>
      <c r="AD240" s="130">
        <v>25047</v>
      </c>
      <c r="AE240" s="128" t="s">
        <v>32</v>
      </c>
      <c r="AF240" s="128" t="s">
        <v>33</v>
      </c>
      <c r="AG240" s="128" t="s">
        <v>872</v>
      </c>
      <c r="AH240" s="108" t="s">
        <v>41</v>
      </c>
      <c r="AI240" s="128" t="s">
        <v>118</v>
      </c>
      <c r="AJ240" s="129" t="s">
        <v>89</v>
      </c>
      <c r="AK240" s="129">
        <v>8</v>
      </c>
      <c r="AL240" s="3" t="s">
        <v>992</v>
      </c>
      <c r="AN240" s="117">
        <v>6</v>
      </c>
      <c r="AP240" s="129" t="s">
        <v>121</v>
      </c>
      <c r="AR240" s="128" t="s">
        <v>44</v>
      </c>
      <c r="AS240" s="129" t="s">
        <v>122</v>
      </c>
      <c r="BC240" s="129" t="s">
        <v>38</v>
      </c>
      <c r="BF240" s="111">
        <f t="shared" si="190"/>
        <v>295</v>
      </c>
      <c r="BG240" s="111">
        <f t="shared" si="191"/>
        <v>295</v>
      </c>
      <c r="BH240" s="111">
        <f t="shared" si="155"/>
        <v>320</v>
      </c>
      <c r="BI240" s="111">
        <f t="shared" si="156"/>
        <v>43.636612021857921</v>
      </c>
      <c r="BJ240" s="129">
        <f t="shared" si="177"/>
        <v>0</v>
      </c>
      <c r="BK240" s="129">
        <f t="shared" si="157"/>
        <v>0</v>
      </c>
      <c r="BL240" s="129" t="str">
        <f t="shared" si="158"/>
        <v>CONVICTION</v>
      </c>
      <c r="BM240" s="129" t="str">
        <f t="shared" si="178"/>
        <v>NONE</v>
      </c>
      <c r="BN240" s="129" t="s">
        <v>566</v>
      </c>
      <c r="BP240" s="137" t="str">
        <f t="shared" si="162"/>
        <v>CONVICTION</v>
      </c>
      <c r="BQ240" s="128" t="str">
        <f t="shared" si="163"/>
        <v>Y</v>
      </c>
      <c r="BR240" s="129" t="str">
        <f t="shared" si="179"/>
        <v>DETAINED</v>
      </c>
      <c r="BS240" s="129" t="str">
        <f t="shared" si="164"/>
        <v>DISPOSED</v>
      </c>
      <c r="BT240" s="129" t="str">
        <f t="shared" si="165"/>
        <v>Y</v>
      </c>
      <c r="BU240" s="109">
        <f t="shared" si="166"/>
        <v>0.921875</v>
      </c>
      <c r="BV240" s="109">
        <f t="shared" si="180"/>
        <v>1</v>
      </c>
      <c r="BW240" s="109">
        <f t="shared" si="197"/>
        <v>7.8125E-2</v>
      </c>
      <c r="BX240" s="111">
        <f t="shared" si="167"/>
        <v>0</v>
      </c>
      <c r="BY240" s="129">
        <f t="shared" si="168"/>
        <v>-295</v>
      </c>
      <c r="BZ240" s="111">
        <f t="shared" si="169"/>
        <v>0</v>
      </c>
      <c r="CA240" s="138">
        <f t="shared" si="170"/>
        <v>295</v>
      </c>
      <c r="CB240" s="111" t="e">
        <f t="shared" si="192"/>
        <v>#VALUE!</v>
      </c>
      <c r="CC240" s="129">
        <f t="shared" si="199"/>
        <v>295</v>
      </c>
      <c r="CD240" s="129">
        <f t="shared" si="200"/>
        <v>0</v>
      </c>
      <c r="CE240" s="129">
        <f t="shared" si="171"/>
        <v>0</v>
      </c>
      <c r="CF240" s="129">
        <f t="shared" si="201"/>
        <v>294</v>
      </c>
      <c r="CG240" s="129" t="str">
        <f t="shared" si="172"/>
        <v>Y</v>
      </c>
      <c r="CI240" s="129" t="str">
        <f t="shared" si="173"/>
        <v>121-365 DAYS</v>
      </c>
      <c r="CJ240" s="137">
        <f t="shared" si="174"/>
        <v>6</v>
      </c>
      <c r="CK240" s="129" t="str">
        <f t="shared" si="175"/>
        <v>Booked</v>
      </c>
    </row>
    <row r="241" spans="1:89" ht="15.75" customHeight="1" x14ac:dyDescent="0.25">
      <c r="A241" s="111">
        <v>743</v>
      </c>
      <c r="B241" s="128" t="str">
        <f t="shared" si="159"/>
        <v>N</v>
      </c>
      <c r="C241" s="128" t="str">
        <f t="shared" si="160"/>
        <v>N</v>
      </c>
      <c r="D241" s="117">
        <v>816267</v>
      </c>
      <c r="E241" s="135">
        <f t="shared" si="161"/>
        <v>6</v>
      </c>
      <c r="F241" s="124">
        <v>40938</v>
      </c>
      <c r="G241" s="125">
        <v>41366</v>
      </c>
      <c r="H241" s="117">
        <v>816267</v>
      </c>
      <c r="I241" s="124">
        <v>40938</v>
      </c>
      <c r="J241" s="125">
        <v>41366</v>
      </c>
      <c r="K241" s="126" t="s">
        <v>564</v>
      </c>
      <c r="L241" s="127" t="s">
        <v>564</v>
      </c>
      <c r="N241" s="129" t="s">
        <v>566</v>
      </c>
      <c r="O241" s="128" t="s">
        <v>917</v>
      </c>
      <c r="P241" s="129" t="s">
        <v>39</v>
      </c>
      <c r="Q241" s="111">
        <f t="shared" si="198"/>
        <v>429</v>
      </c>
      <c r="R241" s="111">
        <f t="shared" si="154"/>
        <v>429</v>
      </c>
      <c r="S241" s="129">
        <v>9</v>
      </c>
      <c r="T241" s="129">
        <v>9</v>
      </c>
      <c r="U241" s="129">
        <v>7</v>
      </c>
      <c r="W241" s="111"/>
      <c r="AC241" s="130"/>
      <c r="AD241" s="130">
        <v>25242</v>
      </c>
      <c r="AE241" s="128" t="s">
        <v>32</v>
      </c>
      <c r="AF241" s="128" t="s">
        <v>69</v>
      </c>
      <c r="AG241" s="128" t="s">
        <v>874</v>
      </c>
      <c r="AH241" s="108" t="s">
        <v>58</v>
      </c>
      <c r="AI241" s="128" t="s">
        <v>100</v>
      </c>
      <c r="AJ241" s="129" t="s">
        <v>89</v>
      </c>
      <c r="AK241" s="129">
        <v>13</v>
      </c>
      <c r="AL241" s="3" t="s">
        <v>362</v>
      </c>
      <c r="AM241" s="117">
        <v>5</v>
      </c>
      <c r="AP241" s="129" t="s">
        <v>66</v>
      </c>
      <c r="AR241" s="128" t="s">
        <v>67</v>
      </c>
      <c r="AS241" s="129" t="s">
        <v>68</v>
      </c>
      <c r="BC241" s="129" t="s">
        <v>38</v>
      </c>
      <c r="BF241" s="111">
        <f t="shared" si="190"/>
        <v>429</v>
      </c>
      <c r="BG241" s="111">
        <f t="shared" si="191"/>
        <v>429</v>
      </c>
      <c r="BH241" s="111">
        <f t="shared" si="155"/>
        <v>429</v>
      </c>
      <c r="BI241" s="111">
        <f t="shared" si="156"/>
        <v>42.885245901639344</v>
      </c>
      <c r="BJ241" s="129">
        <f t="shared" si="177"/>
        <v>0</v>
      </c>
      <c r="BK241" s="129">
        <f t="shared" si="157"/>
        <v>0</v>
      </c>
      <c r="BL241" s="129" t="str">
        <f t="shared" si="158"/>
        <v>CONVICTION</v>
      </c>
      <c r="BM241" s="129" t="str">
        <f t="shared" si="178"/>
        <v>NONE</v>
      </c>
      <c r="BN241" s="129" t="s">
        <v>566</v>
      </c>
      <c r="BP241" s="137" t="str">
        <f t="shared" si="162"/>
        <v>CONVICTION</v>
      </c>
      <c r="BQ241" s="128" t="str">
        <f t="shared" si="163"/>
        <v>Y</v>
      </c>
      <c r="BR241" s="129" t="str">
        <f t="shared" si="179"/>
        <v>DETAINED</v>
      </c>
      <c r="BS241" s="129" t="str">
        <f t="shared" si="164"/>
        <v>DISPOSED</v>
      </c>
      <c r="BT241" s="129" t="str">
        <f t="shared" si="165"/>
        <v>Y</v>
      </c>
      <c r="BU241" s="109">
        <f t="shared" si="166"/>
        <v>1</v>
      </c>
      <c r="BV241" s="109">
        <f t="shared" si="180"/>
        <v>1</v>
      </c>
      <c r="BW241" s="109">
        <f t="shared" si="197"/>
        <v>0</v>
      </c>
      <c r="BX241" s="111">
        <f t="shared" si="167"/>
        <v>0</v>
      </c>
      <c r="BY241" s="129">
        <f t="shared" si="168"/>
        <v>-429</v>
      </c>
      <c r="BZ241" s="111">
        <f t="shared" si="169"/>
        <v>0</v>
      </c>
      <c r="CA241" s="138">
        <f t="shared" si="170"/>
        <v>429</v>
      </c>
      <c r="CB241" s="111" t="e">
        <f t="shared" si="192"/>
        <v>#VALUE!</v>
      </c>
      <c r="CC241" s="129">
        <f t="shared" si="199"/>
        <v>429</v>
      </c>
      <c r="CD241" s="129">
        <f t="shared" si="200"/>
        <v>0</v>
      </c>
      <c r="CE241" s="129">
        <f t="shared" si="171"/>
        <v>0</v>
      </c>
      <c r="CF241" s="129">
        <f t="shared" si="201"/>
        <v>428</v>
      </c>
      <c r="CG241" s="129" t="str">
        <f t="shared" si="172"/>
        <v>Y</v>
      </c>
      <c r="CI241" s="129" t="str">
        <f t="shared" si="173"/>
        <v xml:space="preserve"> &gt;1YRS&lt;2YRS</v>
      </c>
      <c r="CJ241" s="137">
        <f t="shared" si="174"/>
        <v>0</v>
      </c>
      <c r="CK241" s="129" t="str">
        <f t="shared" si="175"/>
        <v>Booked</v>
      </c>
    </row>
    <row r="242" spans="1:89" ht="15" customHeight="1" x14ac:dyDescent="0.25">
      <c r="A242" s="111">
        <v>2322</v>
      </c>
      <c r="B242" s="128" t="str">
        <f t="shared" si="159"/>
        <v>N</v>
      </c>
      <c r="C242" s="128" t="str">
        <f t="shared" si="160"/>
        <v>N</v>
      </c>
      <c r="D242" s="117">
        <v>816934</v>
      </c>
      <c r="E242" s="135">
        <f t="shared" si="161"/>
        <v>6</v>
      </c>
      <c r="F242" s="124">
        <v>40996</v>
      </c>
      <c r="G242" s="125">
        <v>41121</v>
      </c>
      <c r="H242" s="117">
        <v>816934</v>
      </c>
      <c r="I242" s="124">
        <v>40996</v>
      </c>
      <c r="J242" s="124">
        <v>41121</v>
      </c>
      <c r="K242" s="126">
        <v>110000</v>
      </c>
      <c r="L242" s="129" t="s">
        <v>572</v>
      </c>
      <c r="N242" s="129" t="str">
        <f>IF(M242&gt;1/1/1,"Y","N")</f>
        <v>N</v>
      </c>
      <c r="O242" s="128" t="s">
        <v>917</v>
      </c>
      <c r="P242" s="129" t="s">
        <v>39</v>
      </c>
      <c r="Q242" s="111">
        <f t="shared" si="198"/>
        <v>126</v>
      </c>
      <c r="R242" s="111">
        <f t="shared" si="154"/>
        <v>126</v>
      </c>
      <c r="S242" s="129">
        <v>5</v>
      </c>
      <c r="T242" s="129">
        <v>1</v>
      </c>
      <c r="U242" s="129">
        <v>2</v>
      </c>
      <c r="W242" s="111"/>
      <c r="AC242" s="130"/>
      <c r="AD242" s="130">
        <v>23119</v>
      </c>
      <c r="AE242" s="128" t="s">
        <v>32</v>
      </c>
      <c r="AF242" s="128" t="s">
        <v>69</v>
      </c>
      <c r="AG242" s="128" t="s">
        <v>874</v>
      </c>
      <c r="AH242" s="108" t="s">
        <v>58</v>
      </c>
      <c r="AI242" s="128" t="s">
        <v>95</v>
      </c>
      <c r="AJ242" s="129" t="s">
        <v>89</v>
      </c>
      <c r="AK242" s="129">
        <v>6</v>
      </c>
      <c r="AL242" s="3" t="s">
        <v>362</v>
      </c>
      <c r="AM242" s="114">
        <v>12</v>
      </c>
      <c r="AN242" s="114"/>
      <c r="AP242" s="129" t="s">
        <v>91</v>
      </c>
      <c r="AR242" s="128" t="s">
        <v>92</v>
      </c>
      <c r="AS242" s="129" t="s">
        <v>74</v>
      </c>
      <c r="BC242" s="129" t="s">
        <v>99</v>
      </c>
      <c r="BF242" s="111">
        <f t="shared" si="190"/>
        <v>126</v>
      </c>
      <c r="BG242" s="111">
        <f t="shared" si="191"/>
        <v>126</v>
      </c>
      <c r="BH242" s="111">
        <f t="shared" si="155"/>
        <v>126</v>
      </c>
      <c r="BI242" s="111">
        <f t="shared" si="156"/>
        <v>48.844262295081968</v>
      </c>
      <c r="BJ242" s="129">
        <f t="shared" si="177"/>
        <v>0</v>
      </c>
      <c r="BK242" s="129">
        <f t="shared" si="157"/>
        <v>0</v>
      </c>
      <c r="BL242" s="129" t="str">
        <f t="shared" si="158"/>
        <v>CONVICTION</v>
      </c>
      <c r="BM242" s="129" t="str">
        <f t="shared" si="178"/>
        <v>NONE</v>
      </c>
      <c r="BN242" s="129" t="s">
        <v>566</v>
      </c>
      <c r="BP242" s="137" t="str">
        <f t="shared" si="162"/>
        <v>CONVICTION</v>
      </c>
      <c r="BQ242" s="128" t="str">
        <f t="shared" si="163"/>
        <v>Y</v>
      </c>
      <c r="BR242" s="129" t="str">
        <f t="shared" si="179"/>
        <v>DETAINED</v>
      </c>
      <c r="BS242" s="129" t="str">
        <f t="shared" si="164"/>
        <v>DISPOSED</v>
      </c>
      <c r="BT242" s="129" t="str">
        <f t="shared" si="165"/>
        <v>Y</v>
      </c>
      <c r="BU242" s="109">
        <f t="shared" si="166"/>
        <v>1</v>
      </c>
      <c r="BV242" s="109">
        <f t="shared" si="180"/>
        <v>1</v>
      </c>
      <c r="BW242" s="109">
        <f t="shared" si="197"/>
        <v>0</v>
      </c>
      <c r="BX242" s="111">
        <f t="shared" si="167"/>
        <v>0</v>
      </c>
      <c r="BY242" s="129">
        <f t="shared" si="168"/>
        <v>-126</v>
      </c>
      <c r="BZ242" s="111">
        <f t="shared" si="169"/>
        <v>0</v>
      </c>
      <c r="CA242" s="138">
        <f t="shared" si="170"/>
        <v>126</v>
      </c>
      <c r="CB242" s="111" t="e">
        <f t="shared" si="192"/>
        <v>#VALUE!</v>
      </c>
      <c r="CC242" s="129">
        <f t="shared" si="199"/>
        <v>126</v>
      </c>
      <c r="CD242" s="129">
        <f t="shared" si="200"/>
        <v>0</v>
      </c>
      <c r="CE242" s="129">
        <f t="shared" si="171"/>
        <v>0</v>
      </c>
      <c r="CF242" s="129">
        <f t="shared" si="201"/>
        <v>125</v>
      </c>
      <c r="CG242" s="129" t="str">
        <f t="shared" si="172"/>
        <v>Y</v>
      </c>
      <c r="CI242" s="129" t="str">
        <f t="shared" si="173"/>
        <v>121-365 DAYS</v>
      </c>
      <c r="CJ242" s="137">
        <f t="shared" si="174"/>
        <v>6</v>
      </c>
      <c r="CK242" s="129" t="str">
        <f t="shared" si="175"/>
        <v>Booked</v>
      </c>
    </row>
    <row r="243" spans="1:89" ht="15" customHeight="1" x14ac:dyDescent="0.25">
      <c r="A243" s="111">
        <v>2795</v>
      </c>
      <c r="B243" s="128" t="str">
        <f t="shared" si="159"/>
        <v>N</v>
      </c>
      <c r="C243" s="128" t="str">
        <f t="shared" si="160"/>
        <v>N</v>
      </c>
      <c r="D243" s="117">
        <v>817860</v>
      </c>
      <c r="E243" s="135">
        <f t="shared" si="161"/>
        <v>6</v>
      </c>
      <c r="F243" s="124">
        <v>41012</v>
      </c>
      <c r="G243" s="125">
        <v>41215</v>
      </c>
      <c r="H243" s="117">
        <v>817860</v>
      </c>
      <c r="I243" s="124">
        <v>41012</v>
      </c>
      <c r="J243" s="125">
        <v>41215</v>
      </c>
      <c r="K243" s="126" t="s">
        <v>564</v>
      </c>
      <c r="L243" s="127" t="s">
        <v>564</v>
      </c>
      <c r="N243" s="129" t="s">
        <v>566</v>
      </c>
      <c r="O243" s="128" t="s">
        <v>917</v>
      </c>
      <c r="P243" s="129" t="s">
        <v>39</v>
      </c>
      <c r="Q243" s="111">
        <f t="shared" si="198"/>
        <v>204</v>
      </c>
      <c r="R243" s="111">
        <f t="shared" si="154"/>
        <v>204</v>
      </c>
      <c r="S243" s="129">
        <v>4</v>
      </c>
      <c r="T243" s="129">
        <v>2</v>
      </c>
      <c r="U243" s="129">
        <v>4</v>
      </c>
      <c r="W243" s="111"/>
      <c r="AC243" s="130"/>
      <c r="AD243" s="130">
        <v>24675</v>
      </c>
      <c r="AE243" s="128" t="s">
        <v>32</v>
      </c>
      <c r="AF243" s="128" t="s">
        <v>33</v>
      </c>
      <c r="AG243" s="128" t="s">
        <v>872</v>
      </c>
      <c r="AH243" s="108" t="s">
        <v>31</v>
      </c>
      <c r="AI243" s="128" t="s">
        <v>83</v>
      </c>
      <c r="AJ243" s="129" t="s">
        <v>89</v>
      </c>
      <c r="AK243" s="129">
        <v>10</v>
      </c>
      <c r="AL243" s="3" t="s">
        <v>362</v>
      </c>
      <c r="AM243" s="117">
        <v>15</v>
      </c>
      <c r="AP243" s="129" t="s">
        <v>81</v>
      </c>
      <c r="AR243" s="128" t="s">
        <v>50</v>
      </c>
      <c r="AS243" s="129" t="s">
        <v>82</v>
      </c>
      <c r="BC243" s="129" t="s">
        <v>52</v>
      </c>
      <c r="BF243" s="111">
        <f t="shared" si="190"/>
        <v>204</v>
      </c>
      <c r="BG243" s="111">
        <f t="shared" si="191"/>
        <v>204</v>
      </c>
      <c r="BH243" s="111">
        <f t="shared" si="155"/>
        <v>204</v>
      </c>
      <c r="BI243" s="111">
        <f t="shared" si="156"/>
        <v>44.636612021857921</v>
      </c>
      <c r="BJ243" s="129">
        <f t="shared" si="177"/>
        <v>0</v>
      </c>
      <c r="BK243" s="129">
        <f t="shared" si="157"/>
        <v>0</v>
      </c>
      <c r="BL243" s="129" t="str">
        <f t="shared" si="158"/>
        <v>CONVICTION</v>
      </c>
      <c r="BM243" s="129" t="str">
        <f t="shared" si="178"/>
        <v>NONE</v>
      </c>
      <c r="BN243" s="129" t="s">
        <v>566</v>
      </c>
      <c r="BP243" s="137" t="str">
        <f t="shared" si="162"/>
        <v>CONVICTION</v>
      </c>
      <c r="BQ243" s="128" t="str">
        <f t="shared" si="163"/>
        <v>Y</v>
      </c>
      <c r="BR243" s="129" t="str">
        <f t="shared" si="179"/>
        <v>DETAINED</v>
      </c>
      <c r="BS243" s="129" t="str">
        <f t="shared" si="164"/>
        <v>DISPOSED</v>
      </c>
      <c r="BT243" s="129" t="str">
        <f t="shared" si="165"/>
        <v>Y</v>
      </c>
      <c r="BU243" s="109">
        <f t="shared" si="166"/>
        <v>1</v>
      </c>
      <c r="BV243" s="109">
        <f t="shared" si="180"/>
        <v>1</v>
      </c>
      <c r="BW243" s="109">
        <f t="shared" si="197"/>
        <v>0</v>
      </c>
      <c r="BX243" s="111">
        <f t="shared" si="167"/>
        <v>0</v>
      </c>
      <c r="BY243" s="129">
        <f t="shared" si="168"/>
        <v>-204</v>
      </c>
      <c r="BZ243" s="111">
        <f t="shared" si="169"/>
        <v>0</v>
      </c>
      <c r="CA243" s="138">
        <f t="shared" si="170"/>
        <v>204</v>
      </c>
      <c r="CB243" s="111" t="e">
        <f t="shared" si="192"/>
        <v>#VALUE!</v>
      </c>
      <c r="CC243" s="129">
        <f t="shared" si="199"/>
        <v>204</v>
      </c>
      <c r="CD243" s="129">
        <f t="shared" si="200"/>
        <v>0</v>
      </c>
      <c r="CE243" s="129">
        <f t="shared" si="171"/>
        <v>0</v>
      </c>
      <c r="CF243" s="129">
        <f t="shared" si="201"/>
        <v>203</v>
      </c>
      <c r="CG243" s="129" t="str">
        <f t="shared" si="172"/>
        <v>Y</v>
      </c>
      <c r="CI243" s="129" t="str">
        <f t="shared" si="173"/>
        <v>121-365 DAYS</v>
      </c>
      <c r="CJ243" s="137">
        <f t="shared" si="174"/>
        <v>6</v>
      </c>
      <c r="CK243" s="129" t="str">
        <f t="shared" si="175"/>
        <v>Booked</v>
      </c>
    </row>
    <row r="244" spans="1:89" ht="15" customHeight="1" x14ac:dyDescent="0.25">
      <c r="A244" s="111">
        <v>2482</v>
      </c>
      <c r="B244" s="128" t="str">
        <f t="shared" si="159"/>
        <v>N</v>
      </c>
      <c r="C244" s="128" t="str">
        <f t="shared" si="160"/>
        <v>N</v>
      </c>
      <c r="D244" s="117">
        <v>818852</v>
      </c>
      <c r="E244" s="135">
        <f t="shared" si="161"/>
        <v>6</v>
      </c>
      <c r="F244" s="124">
        <v>41002</v>
      </c>
      <c r="G244" s="125">
        <v>41543</v>
      </c>
      <c r="H244" s="117">
        <v>818852</v>
      </c>
      <c r="I244" s="124">
        <v>41120</v>
      </c>
      <c r="J244" s="125">
        <v>41543</v>
      </c>
      <c r="K244" s="126" t="s">
        <v>564</v>
      </c>
      <c r="L244" s="127" t="s">
        <v>564</v>
      </c>
      <c r="N244" s="129" t="s">
        <v>566</v>
      </c>
      <c r="O244" s="128" t="s">
        <v>917</v>
      </c>
      <c r="P244" s="129" t="s">
        <v>39</v>
      </c>
      <c r="Q244" s="111">
        <f t="shared" si="198"/>
        <v>424</v>
      </c>
      <c r="R244" s="111">
        <f t="shared" si="154"/>
        <v>542</v>
      </c>
      <c r="S244" s="129">
        <v>0</v>
      </c>
      <c r="T244" s="129">
        <v>2</v>
      </c>
      <c r="W244" s="111"/>
      <c r="AC244" s="130"/>
      <c r="AD244" s="130">
        <v>21756</v>
      </c>
      <c r="AE244" s="128" t="s">
        <v>32</v>
      </c>
      <c r="AF244" s="128" t="s">
        <v>69</v>
      </c>
      <c r="AG244" s="128" t="s">
        <v>874</v>
      </c>
      <c r="AH244" s="108" t="s">
        <v>31</v>
      </c>
      <c r="AI244" s="128" t="s">
        <v>118</v>
      </c>
      <c r="AJ244" s="129" t="s">
        <v>89</v>
      </c>
      <c r="AK244" s="129">
        <v>7</v>
      </c>
      <c r="AL244" s="3" t="s">
        <v>362</v>
      </c>
      <c r="AM244" s="117">
        <v>40</v>
      </c>
      <c r="AP244" s="32" t="s">
        <v>35</v>
      </c>
      <c r="AR244" s="128" t="s">
        <v>36</v>
      </c>
      <c r="AS244" s="129" t="s">
        <v>37</v>
      </c>
      <c r="BC244" s="129" t="s">
        <v>38</v>
      </c>
      <c r="BF244" s="111">
        <f t="shared" si="190"/>
        <v>424</v>
      </c>
      <c r="BG244" s="111">
        <f t="shared" si="191"/>
        <v>424</v>
      </c>
      <c r="BH244" s="111">
        <f t="shared" si="155"/>
        <v>542</v>
      </c>
      <c r="BI244" s="111">
        <f t="shared" si="156"/>
        <v>52.584699453551913</v>
      </c>
      <c r="BJ244" s="129">
        <f t="shared" si="177"/>
        <v>0</v>
      </c>
      <c r="BK244" s="129">
        <f t="shared" si="157"/>
        <v>0</v>
      </c>
      <c r="BL244" s="129" t="str">
        <f t="shared" si="158"/>
        <v>CONVICTION</v>
      </c>
      <c r="BM244" s="129" t="str">
        <f t="shared" si="178"/>
        <v>NONE</v>
      </c>
      <c r="BN244" s="129" t="s">
        <v>566</v>
      </c>
      <c r="BP244" s="137" t="str">
        <f t="shared" si="162"/>
        <v>CONVICTION</v>
      </c>
      <c r="BQ244" s="128" t="str">
        <f t="shared" si="163"/>
        <v>Y</v>
      </c>
      <c r="BR244" s="129" t="str">
        <f t="shared" si="179"/>
        <v>DETAINED</v>
      </c>
      <c r="BS244" s="129" t="str">
        <f t="shared" si="164"/>
        <v>DISPOSED</v>
      </c>
      <c r="BT244" s="129" t="str">
        <f t="shared" si="165"/>
        <v>N</v>
      </c>
      <c r="BU244" s="109">
        <f t="shared" si="166"/>
        <v>0.78228782287822873</v>
      </c>
      <c r="BV244" s="109">
        <f t="shared" si="180"/>
        <v>1</v>
      </c>
      <c r="BW244" s="109">
        <f t="shared" si="197"/>
        <v>0.21771217712177127</v>
      </c>
      <c r="BX244" s="111">
        <f t="shared" si="167"/>
        <v>0</v>
      </c>
      <c r="BY244" s="129">
        <f t="shared" si="168"/>
        <v>-424</v>
      </c>
      <c r="BZ244" s="111">
        <f t="shared" si="169"/>
        <v>0</v>
      </c>
      <c r="CA244" s="138">
        <f t="shared" si="170"/>
        <v>424</v>
      </c>
      <c r="CB244" s="111" t="e">
        <f t="shared" si="192"/>
        <v>#VALUE!</v>
      </c>
      <c r="CC244" s="129">
        <f t="shared" si="199"/>
        <v>424</v>
      </c>
      <c r="CD244" s="129">
        <f t="shared" si="200"/>
        <v>0</v>
      </c>
      <c r="CE244" s="129">
        <f t="shared" si="171"/>
        <v>0</v>
      </c>
      <c r="CF244" s="129">
        <f t="shared" si="201"/>
        <v>423</v>
      </c>
      <c r="CG244" s="129" t="str">
        <f t="shared" si="172"/>
        <v>Y</v>
      </c>
      <c r="CI244" s="129" t="str">
        <f t="shared" si="173"/>
        <v xml:space="preserve"> &gt;1YRS&lt;2YRS</v>
      </c>
      <c r="CJ244" s="137">
        <f t="shared" si="174"/>
        <v>0</v>
      </c>
      <c r="CK244" s="129" t="str">
        <f t="shared" si="175"/>
        <v>Booked</v>
      </c>
    </row>
    <row r="245" spans="1:89" ht="15.75" customHeight="1" x14ac:dyDescent="0.25">
      <c r="A245" s="111">
        <v>2478</v>
      </c>
      <c r="B245" s="128" t="str">
        <f t="shared" si="159"/>
        <v>N</v>
      </c>
      <c r="C245" s="128" t="str">
        <f t="shared" si="160"/>
        <v>N</v>
      </c>
      <c r="D245" s="117">
        <v>818911</v>
      </c>
      <c r="E245" s="135">
        <f t="shared" si="161"/>
        <v>4</v>
      </c>
      <c r="F245" s="124">
        <v>41002</v>
      </c>
      <c r="G245" s="125">
        <v>41032</v>
      </c>
      <c r="H245" s="117">
        <v>818911</v>
      </c>
      <c r="I245" s="124">
        <v>41002</v>
      </c>
      <c r="J245" s="124">
        <v>41032</v>
      </c>
      <c r="K245" s="126">
        <v>5000</v>
      </c>
      <c r="L245" s="127" t="s">
        <v>569</v>
      </c>
      <c r="N245" s="129" t="str">
        <f>IF(M245&gt;1/1/1,"Y","N")</f>
        <v>N</v>
      </c>
      <c r="O245" s="128" t="s">
        <v>917</v>
      </c>
      <c r="P245" s="129" t="s">
        <v>39</v>
      </c>
      <c r="Q245" s="111">
        <f t="shared" si="198"/>
        <v>31</v>
      </c>
      <c r="R245" s="111">
        <f t="shared" si="154"/>
        <v>31</v>
      </c>
      <c r="S245" s="129">
        <v>1</v>
      </c>
      <c r="T245" s="129">
        <v>2</v>
      </c>
      <c r="U245" s="129">
        <v>1</v>
      </c>
      <c r="W245" s="111"/>
      <c r="AC245" s="130"/>
      <c r="AD245" s="130">
        <v>20395</v>
      </c>
      <c r="AE245" s="128" t="s">
        <v>32</v>
      </c>
      <c r="AF245" s="128" t="s">
        <v>33</v>
      </c>
      <c r="AG245" s="128" t="s">
        <v>872</v>
      </c>
      <c r="AH245" s="108" t="s">
        <v>58</v>
      </c>
      <c r="AI245" s="128" t="s">
        <v>71</v>
      </c>
      <c r="AJ245" s="129" t="s">
        <v>89</v>
      </c>
      <c r="AK245" s="129">
        <v>2</v>
      </c>
      <c r="AL245" s="3" t="s">
        <v>991</v>
      </c>
      <c r="AO245" s="128">
        <v>60</v>
      </c>
      <c r="AP245" s="129" t="s">
        <v>43</v>
      </c>
      <c r="AR245" s="128" t="s">
        <v>44</v>
      </c>
      <c r="AS245" s="129" t="s">
        <v>45</v>
      </c>
      <c r="BC245" s="129" t="s">
        <v>38</v>
      </c>
      <c r="BF245" s="111">
        <f t="shared" si="190"/>
        <v>31</v>
      </c>
      <c r="BG245" s="111">
        <f t="shared" si="191"/>
        <v>31</v>
      </c>
      <c r="BH245" s="111">
        <f t="shared" si="155"/>
        <v>31</v>
      </c>
      <c r="BI245" s="111">
        <f t="shared" si="156"/>
        <v>56.303278688524593</v>
      </c>
      <c r="BJ245" s="129">
        <f t="shared" si="177"/>
        <v>0</v>
      </c>
      <c r="BK245" s="129">
        <f t="shared" si="157"/>
        <v>0</v>
      </c>
      <c r="BL245" s="129" t="str">
        <f t="shared" si="158"/>
        <v>CONVICTION</v>
      </c>
      <c r="BM245" s="129" t="str">
        <f t="shared" si="178"/>
        <v>NONE</v>
      </c>
      <c r="BN245" s="129" t="s">
        <v>566</v>
      </c>
      <c r="BP245" s="137" t="str">
        <f t="shared" si="162"/>
        <v>CONVICTION</v>
      </c>
      <c r="BQ245" s="128" t="str">
        <f t="shared" si="163"/>
        <v>Y</v>
      </c>
      <c r="BR245" s="129" t="str">
        <f t="shared" si="179"/>
        <v>DETAINED</v>
      </c>
      <c r="BS245" s="129" t="str">
        <f t="shared" si="164"/>
        <v>DISPOSED</v>
      </c>
      <c r="BT245" s="129" t="str">
        <f t="shared" si="165"/>
        <v>Y</v>
      </c>
      <c r="BU245" s="109">
        <f t="shared" si="166"/>
        <v>1</v>
      </c>
      <c r="BV245" s="109">
        <f t="shared" si="180"/>
        <v>1</v>
      </c>
      <c r="BW245" s="109">
        <f t="shared" si="197"/>
        <v>0</v>
      </c>
      <c r="BX245" s="111">
        <f t="shared" si="167"/>
        <v>0</v>
      </c>
      <c r="BY245" s="129">
        <f t="shared" si="168"/>
        <v>-31</v>
      </c>
      <c r="BZ245" s="111">
        <f t="shared" si="169"/>
        <v>0</v>
      </c>
      <c r="CA245" s="138">
        <f t="shared" si="170"/>
        <v>31</v>
      </c>
      <c r="CB245" s="111" t="e">
        <f t="shared" si="192"/>
        <v>#VALUE!</v>
      </c>
      <c r="CC245" s="129">
        <f t="shared" si="199"/>
        <v>31</v>
      </c>
      <c r="CD245" s="129">
        <f t="shared" si="200"/>
        <v>0</v>
      </c>
      <c r="CE245" s="129">
        <f t="shared" si="171"/>
        <v>0</v>
      </c>
      <c r="CF245" s="129">
        <f t="shared" si="201"/>
        <v>30</v>
      </c>
      <c r="CG245" s="129" t="str">
        <f t="shared" si="172"/>
        <v>Y</v>
      </c>
      <c r="CI245" s="129" t="str">
        <f t="shared" si="173"/>
        <v>31-60 DAYS</v>
      </c>
      <c r="CJ245" s="137">
        <f t="shared" si="174"/>
        <v>3</v>
      </c>
      <c r="CK245" s="129" t="str">
        <f t="shared" si="175"/>
        <v>Booked</v>
      </c>
    </row>
    <row r="246" spans="1:89" ht="15.75" customHeight="1" x14ac:dyDescent="0.25">
      <c r="A246" s="111">
        <v>2876</v>
      </c>
      <c r="B246" s="128" t="str">
        <f t="shared" si="159"/>
        <v>N</v>
      </c>
      <c r="C246" s="128" t="str">
        <f t="shared" si="160"/>
        <v>N</v>
      </c>
      <c r="D246" s="117">
        <v>829760</v>
      </c>
      <c r="E246" s="135">
        <f t="shared" si="161"/>
        <v>6</v>
      </c>
      <c r="F246" s="124">
        <v>41016</v>
      </c>
      <c r="G246" s="125">
        <v>41316</v>
      </c>
      <c r="H246" s="117">
        <v>829760</v>
      </c>
      <c r="I246" s="124">
        <v>41016</v>
      </c>
      <c r="J246" s="125">
        <v>41316</v>
      </c>
      <c r="K246" s="126" t="s">
        <v>564</v>
      </c>
      <c r="L246" s="127" t="s">
        <v>564</v>
      </c>
      <c r="N246" s="129" t="s">
        <v>566</v>
      </c>
      <c r="O246" s="128" t="s">
        <v>917</v>
      </c>
      <c r="P246" s="129" t="s">
        <v>39</v>
      </c>
      <c r="Q246" s="111">
        <f t="shared" si="198"/>
        <v>301</v>
      </c>
      <c r="R246" s="111">
        <f t="shared" si="154"/>
        <v>301</v>
      </c>
      <c r="S246" s="32">
        <v>9</v>
      </c>
      <c r="T246" s="32">
        <v>11</v>
      </c>
      <c r="U246" s="32">
        <v>6</v>
      </c>
      <c r="V246" s="114"/>
      <c r="W246" s="111"/>
      <c r="AC246" s="130"/>
      <c r="AD246" s="130">
        <v>22859</v>
      </c>
      <c r="AE246" s="128" t="s">
        <v>32</v>
      </c>
      <c r="AF246" s="128" t="s">
        <v>69</v>
      </c>
      <c r="AG246" s="128" t="s">
        <v>874</v>
      </c>
      <c r="AH246" s="108" t="s">
        <v>31</v>
      </c>
      <c r="AI246" s="128" t="s">
        <v>97</v>
      </c>
      <c r="AJ246" s="129" t="s">
        <v>89</v>
      </c>
      <c r="AK246" s="129">
        <v>11</v>
      </c>
      <c r="AL246" s="3" t="s">
        <v>362</v>
      </c>
      <c r="AM246" s="117">
        <v>35</v>
      </c>
      <c r="AP246" s="129" t="s">
        <v>105</v>
      </c>
      <c r="AR246" s="128" t="s">
        <v>67</v>
      </c>
      <c r="AS246" s="129" t="s">
        <v>106</v>
      </c>
      <c r="BC246" s="129" t="s">
        <v>38</v>
      </c>
      <c r="BF246" s="111">
        <f t="shared" si="190"/>
        <v>301</v>
      </c>
      <c r="BG246" s="111">
        <f t="shared" ref="BG246:BG278" si="202">IF(G246&gt;1/1/1900,((G246+1)-I246),"STILL OPEN")</f>
        <v>301</v>
      </c>
      <c r="BH246" s="111">
        <f t="shared" si="155"/>
        <v>301</v>
      </c>
      <c r="BI246" s="111">
        <f t="shared" si="156"/>
        <v>49.60928961748634</v>
      </c>
      <c r="BJ246" s="129">
        <f t="shared" si="177"/>
        <v>0</v>
      </c>
      <c r="BK246" s="129">
        <f t="shared" si="157"/>
        <v>0</v>
      </c>
      <c r="BL246" s="129" t="str">
        <f t="shared" si="158"/>
        <v>CONVICTION</v>
      </c>
      <c r="BM246" s="129" t="str">
        <f t="shared" si="178"/>
        <v>NONE</v>
      </c>
      <c r="BN246" s="129" t="s">
        <v>566</v>
      </c>
      <c r="BP246" s="137" t="str">
        <f t="shared" si="162"/>
        <v>CONVICTION</v>
      </c>
      <c r="BQ246" s="128" t="str">
        <f t="shared" si="163"/>
        <v>Y</v>
      </c>
      <c r="BR246" s="129" t="str">
        <f t="shared" si="179"/>
        <v>DETAINED</v>
      </c>
      <c r="BS246" s="129" t="str">
        <f t="shared" si="164"/>
        <v>DISPOSED</v>
      </c>
      <c r="BT246" s="129" t="str">
        <f t="shared" si="165"/>
        <v>Y</v>
      </c>
      <c r="BU246" s="109">
        <f t="shared" si="166"/>
        <v>1</v>
      </c>
      <c r="BV246" s="109">
        <f t="shared" si="180"/>
        <v>1</v>
      </c>
      <c r="BW246" s="109">
        <f t="shared" si="197"/>
        <v>0</v>
      </c>
      <c r="BX246" s="111">
        <f t="shared" si="167"/>
        <v>0</v>
      </c>
      <c r="BY246" s="129">
        <f t="shared" si="168"/>
        <v>-301</v>
      </c>
      <c r="BZ246" s="111">
        <f t="shared" si="169"/>
        <v>0</v>
      </c>
      <c r="CA246" s="138">
        <f t="shared" si="170"/>
        <v>301</v>
      </c>
      <c r="CB246" s="111" t="e">
        <f t="shared" si="192"/>
        <v>#VALUE!</v>
      </c>
      <c r="CC246" s="129">
        <f t="shared" si="199"/>
        <v>301</v>
      </c>
      <c r="CD246" s="129">
        <f t="shared" si="200"/>
        <v>0</v>
      </c>
      <c r="CE246" s="129">
        <f t="shared" si="171"/>
        <v>0</v>
      </c>
      <c r="CF246" s="129">
        <f t="shared" si="201"/>
        <v>300</v>
      </c>
      <c r="CG246" s="129" t="str">
        <f t="shared" si="172"/>
        <v>Y</v>
      </c>
      <c r="CI246" s="129" t="str">
        <f t="shared" si="173"/>
        <v>121-365 DAYS</v>
      </c>
      <c r="CJ246" s="137">
        <f t="shared" si="174"/>
        <v>6</v>
      </c>
      <c r="CK246" s="129" t="str">
        <f t="shared" si="175"/>
        <v>Booked</v>
      </c>
    </row>
    <row r="247" spans="1:89" ht="15" customHeight="1" x14ac:dyDescent="0.25">
      <c r="A247" s="111">
        <v>1755</v>
      </c>
      <c r="B247" s="128" t="str">
        <f t="shared" si="159"/>
        <v>N</v>
      </c>
      <c r="C247" s="128" t="str">
        <f t="shared" si="160"/>
        <v>N</v>
      </c>
      <c r="D247" s="117">
        <v>835934</v>
      </c>
      <c r="E247" s="135">
        <f t="shared" si="161"/>
        <v>1</v>
      </c>
      <c r="F247" s="124">
        <v>40974</v>
      </c>
      <c r="G247" s="125">
        <v>41087</v>
      </c>
      <c r="H247" s="117">
        <v>835934</v>
      </c>
      <c r="I247" s="124">
        <v>40974</v>
      </c>
      <c r="J247" s="124">
        <v>41003</v>
      </c>
      <c r="K247" s="126">
        <v>15000</v>
      </c>
      <c r="L247" s="127" t="s">
        <v>571</v>
      </c>
      <c r="M247" s="125">
        <v>41003</v>
      </c>
      <c r="N247" s="129" t="str">
        <f>IF(M247&gt;1/1/1,"Y","N")</f>
        <v>Y</v>
      </c>
      <c r="O247" s="128" t="s">
        <v>585</v>
      </c>
      <c r="P247" s="129" t="s">
        <v>55</v>
      </c>
      <c r="Q247" s="111">
        <f t="shared" si="198"/>
        <v>30</v>
      </c>
      <c r="R247" s="111">
        <f t="shared" si="154"/>
        <v>114</v>
      </c>
      <c r="S247" s="129">
        <v>5</v>
      </c>
      <c r="T247" s="129">
        <v>4</v>
      </c>
      <c r="U247" s="129">
        <v>2</v>
      </c>
      <c r="W247" s="111"/>
      <c r="AC247" s="130"/>
      <c r="AD247" s="130">
        <v>18981</v>
      </c>
      <c r="AE247" s="128" t="s">
        <v>32</v>
      </c>
      <c r="AF247" s="128" t="s">
        <v>40</v>
      </c>
      <c r="AG247" s="128" t="s">
        <v>41</v>
      </c>
      <c r="AH247" s="108" t="s">
        <v>41</v>
      </c>
      <c r="AI247" s="128" t="s">
        <v>70</v>
      </c>
      <c r="AJ247" s="129" t="s">
        <v>55</v>
      </c>
      <c r="AK247" s="129">
        <v>6</v>
      </c>
      <c r="AL247" s="3" t="s">
        <v>55</v>
      </c>
      <c r="AP247" s="129" t="s">
        <v>43</v>
      </c>
      <c r="AR247" s="128" t="s">
        <v>44</v>
      </c>
      <c r="AS247" s="129" t="s">
        <v>45</v>
      </c>
      <c r="BC247" s="129" t="s">
        <v>52</v>
      </c>
      <c r="BF247" s="111">
        <f t="shared" si="190"/>
        <v>30</v>
      </c>
      <c r="BG247" s="111">
        <f t="shared" si="202"/>
        <v>114</v>
      </c>
      <c r="BH247" s="111">
        <f t="shared" si="155"/>
        <v>114</v>
      </c>
      <c r="BI247" s="111">
        <f t="shared" si="156"/>
        <v>60.090163934426229</v>
      </c>
      <c r="BJ247" s="129">
        <f>(G247-J247)+(M247-G247)</f>
        <v>0</v>
      </c>
      <c r="BK247" s="129">
        <f t="shared" si="157"/>
        <v>-84</v>
      </c>
      <c r="BL247" s="129" t="str">
        <f t="shared" si="158"/>
        <v>NO CONVICTION</v>
      </c>
      <c r="BM247" s="129" t="s">
        <v>76</v>
      </c>
      <c r="BN247" s="129" t="s">
        <v>88</v>
      </c>
      <c r="BP247" s="137" t="str">
        <f t="shared" si="162"/>
        <v>NO CONVICTION</v>
      </c>
      <c r="BQ247" s="128" t="str">
        <f t="shared" si="163"/>
        <v>Y</v>
      </c>
      <c r="BR247" s="129" t="str">
        <f t="shared" si="179"/>
        <v>ON BOND</v>
      </c>
      <c r="BS247" s="129" t="str">
        <f t="shared" si="164"/>
        <v>DISPOSED</v>
      </c>
      <c r="BT247" s="129" t="str">
        <f t="shared" si="165"/>
        <v>Y</v>
      </c>
      <c r="BU247" s="109">
        <f>IFERROR(Q247/R247,BR247)</f>
        <v>0.26315789473684209</v>
      </c>
      <c r="BV247" s="109">
        <f t="shared" si="180"/>
        <v>0.26315789473684209</v>
      </c>
      <c r="BW247" s="109">
        <f t="shared" si="197"/>
        <v>0</v>
      </c>
      <c r="BX247" s="111">
        <f t="shared" si="167"/>
        <v>0</v>
      </c>
      <c r="BY247" s="129">
        <f t="shared" si="168"/>
        <v>-30</v>
      </c>
      <c r="BZ247" s="111">
        <f t="shared" si="169"/>
        <v>0</v>
      </c>
      <c r="CA247" s="138">
        <f t="shared" si="170"/>
        <v>30</v>
      </c>
      <c r="CB247" s="111" t="e">
        <f t="shared" si="192"/>
        <v>#VALUE!</v>
      </c>
      <c r="CC247" s="129">
        <f>M247-I247+1</f>
        <v>30</v>
      </c>
      <c r="CD247" s="111">
        <f>CC247-BF247</f>
        <v>0</v>
      </c>
      <c r="CE247" s="129">
        <f t="shared" si="171"/>
        <v>84</v>
      </c>
      <c r="CF247" s="129">
        <f t="shared" si="201"/>
        <v>29</v>
      </c>
      <c r="CG247" s="129" t="str">
        <f t="shared" si="172"/>
        <v>Y</v>
      </c>
      <c r="CI247" s="129" t="str">
        <f t="shared" si="173"/>
        <v>11-30 DAYS</v>
      </c>
      <c r="CJ247" s="137">
        <f t="shared" si="174"/>
        <v>2</v>
      </c>
      <c r="CK247" s="129" t="str">
        <f t="shared" si="175"/>
        <v>Booked</v>
      </c>
    </row>
    <row r="248" spans="1:89" ht="15.75" customHeight="1" x14ac:dyDescent="0.25">
      <c r="A248" s="111">
        <v>400</v>
      </c>
      <c r="B248" s="128" t="str">
        <f t="shared" si="159"/>
        <v>N</v>
      </c>
      <c r="C248" s="128" t="str">
        <f t="shared" si="160"/>
        <v>Y</v>
      </c>
      <c r="D248" s="117">
        <v>841951</v>
      </c>
      <c r="E248" s="135">
        <f t="shared" si="161"/>
        <v>6</v>
      </c>
      <c r="F248" s="124">
        <v>40925</v>
      </c>
      <c r="G248" s="125">
        <v>41530</v>
      </c>
      <c r="H248" s="117">
        <v>841951</v>
      </c>
      <c r="I248" s="124">
        <v>41410</v>
      </c>
      <c r="J248" s="125">
        <v>40926</v>
      </c>
      <c r="K248" s="126">
        <v>60000</v>
      </c>
      <c r="L248" s="129" t="s">
        <v>572</v>
      </c>
      <c r="M248" s="125">
        <v>40926</v>
      </c>
      <c r="N248" s="129" t="str">
        <f>IF(M248&gt;1/1/1,"Y",IF(Q248="NOT BOOKED","","N"))</f>
        <v>Y</v>
      </c>
      <c r="O248" s="128" t="s">
        <v>76</v>
      </c>
      <c r="P248" s="129" t="s">
        <v>39</v>
      </c>
      <c r="Q248" s="111">
        <v>111</v>
      </c>
      <c r="R248" s="111">
        <f t="shared" si="154"/>
        <v>606</v>
      </c>
      <c r="S248" s="129">
        <v>0</v>
      </c>
      <c r="T248" s="129">
        <v>0</v>
      </c>
      <c r="W248" s="111"/>
      <c r="AC248" s="130"/>
      <c r="AD248" s="130">
        <v>20302</v>
      </c>
      <c r="AE248" s="128" t="s">
        <v>32</v>
      </c>
      <c r="AF248" s="128" t="s">
        <v>69</v>
      </c>
      <c r="AG248" s="128" t="s">
        <v>874</v>
      </c>
      <c r="AH248" s="108" t="s">
        <v>31</v>
      </c>
      <c r="AI248" s="128" t="s">
        <v>72</v>
      </c>
      <c r="AJ248" s="129" t="s">
        <v>89</v>
      </c>
      <c r="AK248" s="129">
        <v>15</v>
      </c>
      <c r="AL248" s="3" t="s">
        <v>362</v>
      </c>
      <c r="AM248" s="117">
        <v>7</v>
      </c>
      <c r="AP248" s="129" t="s">
        <v>188</v>
      </c>
      <c r="AR248" s="128" t="s">
        <v>67</v>
      </c>
      <c r="AS248" s="129" t="s">
        <v>64</v>
      </c>
      <c r="AT248" s="129" t="s">
        <v>1128</v>
      </c>
      <c r="AV248" s="3" t="s">
        <v>88</v>
      </c>
      <c r="AW248" s="125">
        <v>41397</v>
      </c>
      <c r="BC248" s="129" t="s">
        <v>52</v>
      </c>
      <c r="BF248" s="111">
        <v>111</v>
      </c>
      <c r="BG248" s="111">
        <f t="shared" si="202"/>
        <v>121</v>
      </c>
      <c r="BH248" s="111">
        <f t="shared" si="155"/>
        <v>606</v>
      </c>
      <c r="BI248" s="111">
        <f t="shared" si="156"/>
        <v>56.346994535519123</v>
      </c>
      <c r="BJ248" s="129">
        <f>G248-J248</f>
        <v>604</v>
      </c>
      <c r="BK248" s="129">
        <f t="shared" si="157"/>
        <v>-604</v>
      </c>
      <c r="BL248" s="129" t="str">
        <f t="shared" si="158"/>
        <v>CONVICTION</v>
      </c>
      <c r="BM248" s="129" t="s">
        <v>76</v>
      </c>
      <c r="BN248" s="129" t="s">
        <v>88</v>
      </c>
      <c r="BO248" s="110"/>
      <c r="BP248" s="137" t="str">
        <f t="shared" si="162"/>
        <v>CONVICTION</v>
      </c>
      <c r="BQ248" s="128" t="str">
        <f t="shared" si="163"/>
        <v>Y</v>
      </c>
      <c r="BR248" s="129" t="s">
        <v>574</v>
      </c>
      <c r="BS248" s="129" t="str">
        <f t="shared" si="164"/>
        <v>DISPOSED</v>
      </c>
      <c r="BT248" s="129" t="str">
        <f t="shared" si="165"/>
        <v>N</v>
      </c>
      <c r="BU248" s="109">
        <f t="shared" si="166"/>
        <v>0.18316831683168316</v>
      </c>
      <c r="BV248" s="109">
        <f t="shared" si="180"/>
        <v>-3.9917355371900825</v>
      </c>
      <c r="BW248" s="109">
        <f t="shared" si="197"/>
        <v>-4.1749038540217658</v>
      </c>
      <c r="BX248" s="111">
        <f t="shared" si="167"/>
        <v>0</v>
      </c>
      <c r="BY248" s="129">
        <f t="shared" si="168"/>
        <v>483</v>
      </c>
      <c r="BZ248" s="111">
        <f t="shared" si="169"/>
        <v>594</v>
      </c>
      <c r="CA248" s="138">
        <f t="shared" si="170"/>
        <v>121</v>
      </c>
      <c r="CB248" s="111">
        <v>111</v>
      </c>
      <c r="CC248" s="129">
        <f t="shared" ref="CC248:CC253" si="203">G248-I248+1</f>
        <v>121</v>
      </c>
      <c r="CD248" s="129">
        <f t="shared" ref="CD248:CD253" si="204">G248-J248</f>
        <v>604</v>
      </c>
      <c r="CE248" s="129">
        <f t="shared" si="171"/>
        <v>604</v>
      </c>
      <c r="CF248" s="129" t="s">
        <v>1337</v>
      </c>
      <c r="CG248" s="129" t="str">
        <f t="shared" si="172"/>
        <v>N</v>
      </c>
      <c r="CI248" s="129" t="str">
        <f t="shared" si="173"/>
        <v>91-120 DAYS</v>
      </c>
      <c r="CJ248" s="137">
        <f t="shared" si="174"/>
        <v>0</v>
      </c>
      <c r="CK248" s="129" t="str">
        <f t="shared" si="175"/>
        <v>Booked</v>
      </c>
    </row>
    <row r="249" spans="1:89" ht="15" customHeight="1" x14ac:dyDescent="0.25">
      <c r="A249" s="111">
        <v>107</v>
      </c>
      <c r="B249" s="128" t="str">
        <f t="shared" si="159"/>
        <v>N</v>
      </c>
      <c r="C249" s="128" t="str">
        <f t="shared" si="160"/>
        <v>N</v>
      </c>
      <c r="D249" s="117">
        <v>841986</v>
      </c>
      <c r="E249" s="135">
        <f t="shared" si="161"/>
        <v>5</v>
      </c>
      <c r="F249" s="124">
        <v>40913</v>
      </c>
      <c r="G249" s="125">
        <v>41100</v>
      </c>
      <c r="H249" s="117">
        <v>841986</v>
      </c>
      <c r="I249" s="124">
        <v>40914</v>
      </c>
      <c r="J249" s="124">
        <v>41100</v>
      </c>
      <c r="K249" s="126">
        <v>45000</v>
      </c>
      <c r="L249" s="129" t="s">
        <v>572</v>
      </c>
      <c r="N249" s="129" t="str">
        <f t="shared" ref="N249:N255" si="205">IF(M249&gt;1/1/1,"Y","N")</f>
        <v>N</v>
      </c>
      <c r="O249" s="128" t="s">
        <v>917</v>
      </c>
      <c r="P249" s="129" t="s">
        <v>39</v>
      </c>
      <c r="Q249" s="111">
        <f t="shared" ref="Q249:Q296" si="206">BF249</f>
        <v>187</v>
      </c>
      <c r="R249" s="111">
        <f t="shared" si="154"/>
        <v>188</v>
      </c>
      <c r="S249" s="129">
        <v>14</v>
      </c>
      <c r="T249" s="129">
        <v>1</v>
      </c>
      <c r="U249" s="129">
        <v>9</v>
      </c>
      <c r="V249" s="129"/>
      <c r="W249" s="117"/>
      <c r="X249" s="129"/>
      <c r="AC249" s="130"/>
      <c r="AD249" s="130">
        <v>22624</v>
      </c>
      <c r="AE249" s="128" t="s">
        <v>32</v>
      </c>
      <c r="AF249" s="128" t="s">
        <v>33</v>
      </c>
      <c r="AG249" s="128" t="s">
        <v>872</v>
      </c>
      <c r="AH249" s="108" t="s">
        <v>31</v>
      </c>
      <c r="AI249" s="128" t="s">
        <v>141</v>
      </c>
      <c r="AJ249" s="129" t="s">
        <v>89</v>
      </c>
      <c r="AK249" s="129">
        <v>9</v>
      </c>
      <c r="AL249" s="3" t="s">
        <v>992</v>
      </c>
      <c r="AN249" s="117">
        <v>6</v>
      </c>
      <c r="AP249" s="129" t="s">
        <v>121</v>
      </c>
      <c r="AR249" s="128" t="s">
        <v>44</v>
      </c>
      <c r="AS249" s="129" t="s">
        <v>122</v>
      </c>
      <c r="BC249" s="129" t="s">
        <v>38</v>
      </c>
      <c r="BF249" s="111">
        <f t="shared" ref="BF249:BF278" si="207">IF(J249&gt;1/1/1900,((J249+1)-I249),"STILL OPEN")</f>
        <v>187</v>
      </c>
      <c r="BG249" s="111">
        <f t="shared" si="202"/>
        <v>187</v>
      </c>
      <c r="BH249" s="111">
        <f t="shared" si="155"/>
        <v>188</v>
      </c>
      <c r="BI249" s="111">
        <f t="shared" si="156"/>
        <v>49.969945355191257</v>
      </c>
      <c r="BJ249" s="129">
        <f t="shared" si="177"/>
        <v>0</v>
      </c>
      <c r="BK249" s="129">
        <f t="shared" si="157"/>
        <v>0</v>
      </c>
      <c r="BL249" s="129" t="str">
        <f t="shared" si="158"/>
        <v>CONVICTION</v>
      </c>
      <c r="BM249" s="129" t="str">
        <f t="shared" si="178"/>
        <v>NONE</v>
      </c>
      <c r="BN249" s="129" t="s">
        <v>566</v>
      </c>
      <c r="BP249" s="137" t="str">
        <f t="shared" si="162"/>
        <v>CONVICTION</v>
      </c>
      <c r="BQ249" s="128" t="str">
        <f t="shared" si="163"/>
        <v>Y</v>
      </c>
      <c r="BR249" s="129" t="str">
        <f t="shared" si="179"/>
        <v>DETAINED</v>
      </c>
      <c r="BS249" s="129" t="str">
        <f t="shared" si="164"/>
        <v>DISPOSED</v>
      </c>
      <c r="BT249" s="129" t="str">
        <f t="shared" si="165"/>
        <v>Y</v>
      </c>
      <c r="BU249" s="109">
        <f t="shared" si="166"/>
        <v>0.99468085106382975</v>
      </c>
      <c r="BV249" s="109">
        <f t="shared" si="180"/>
        <v>1</v>
      </c>
      <c r="BW249" s="109">
        <f t="shared" si="197"/>
        <v>5.3191489361702482E-3</v>
      </c>
      <c r="BX249" s="111">
        <f t="shared" si="167"/>
        <v>0</v>
      </c>
      <c r="BY249" s="129">
        <f t="shared" si="168"/>
        <v>-187</v>
      </c>
      <c r="BZ249" s="111">
        <f t="shared" si="169"/>
        <v>0</v>
      </c>
      <c r="CA249" s="138">
        <f t="shared" si="170"/>
        <v>187</v>
      </c>
      <c r="CB249" s="111" t="e">
        <f t="shared" ref="CB249:CB278" si="208">IF(AF249&gt;1/1/1900,((AF249+1)-AE249),"STILL OPEN")</f>
        <v>#VALUE!</v>
      </c>
      <c r="CC249" s="129">
        <f t="shared" si="203"/>
        <v>187</v>
      </c>
      <c r="CD249" s="129">
        <f t="shared" si="204"/>
        <v>0</v>
      </c>
      <c r="CE249" s="129">
        <f t="shared" si="171"/>
        <v>0</v>
      </c>
      <c r="CG249" s="129" t="str">
        <f t="shared" si="172"/>
        <v>Y</v>
      </c>
      <c r="CI249" s="129" t="str">
        <f t="shared" si="173"/>
        <v>121-365 DAYS</v>
      </c>
      <c r="CJ249" s="137">
        <f t="shared" si="174"/>
        <v>6</v>
      </c>
      <c r="CK249" s="129" t="str">
        <f t="shared" si="175"/>
        <v>Booked</v>
      </c>
    </row>
    <row r="250" spans="1:89" ht="15" customHeight="1" x14ac:dyDescent="0.25">
      <c r="A250" s="111">
        <v>1659</v>
      </c>
      <c r="B250" s="128" t="str">
        <f t="shared" si="159"/>
        <v>N</v>
      </c>
      <c r="C250" s="128" t="str">
        <f t="shared" si="160"/>
        <v>N</v>
      </c>
      <c r="D250" s="117">
        <v>842272</v>
      </c>
      <c r="E250" s="135">
        <f t="shared" si="161"/>
        <v>4</v>
      </c>
      <c r="F250" s="124">
        <v>40970</v>
      </c>
      <c r="G250" s="125">
        <v>40973</v>
      </c>
      <c r="H250" s="117">
        <v>842272</v>
      </c>
      <c r="I250" s="124">
        <v>40970</v>
      </c>
      <c r="J250" s="124">
        <v>40973</v>
      </c>
      <c r="K250" s="126">
        <v>5000</v>
      </c>
      <c r="L250" s="127" t="s">
        <v>569</v>
      </c>
      <c r="N250" s="129" t="str">
        <f t="shared" si="205"/>
        <v>N</v>
      </c>
      <c r="O250" s="128" t="s">
        <v>917</v>
      </c>
      <c r="P250" s="129" t="s">
        <v>39</v>
      </c>
      <c r="Q250" s="111">
        <f t="shared" si="206"/>
        <v>4</v>
      </c>
      <c r="R250" s="111">
        <f t="shared" si="154"/>
        <v>4</v>
      </c>
      <c r="S250" s="129">
        <v>0</v>
      </c>
      <c r="T250" s="129">
        <v>3</v>
      </c>
      <c r="W250" s="111"/>
      <c r="AC250" s="130"/>
      <c r="AD250" s="130">
        <v>21862</v>
      </c>
      <c r="AE250" s="128" t="s">
        <v>32</v>
      </c>
      <c r="AF250" s="128" t="s">
        <v>33</v>
      </c>
      <c r="AG250" s="128" t="s">
        <v>872</v>
      </c>
      <c r="AH250" s="108" t="s">
        <v>31</v>
      </c>
      <c r="AI250" s="128" t="s">
        <v>62</v>
      </c>
      <c r="AJ250" s="129" t="s">
        <v>89</v>
      </c>
      <c r="AK250" s="129">
        <v>1</v>
      </c>
      <c r="AL250" s="3" t="s">
        <v>991</v>
      </c>
      <c r="AO250" s="128">
        <v>60</v>
      </c>
      <c r="AP250" s="129" t="s">
        <v>43</v>
      </c>
      <c r="AR250" s="128" t="s">
        <v>44</v>
      </c>
      <c r="AS250" s="129" t="s">
        <v>45</v>
      </c>
      <c r="BC250" s="129" t="s">
        <v>38</v>
      </c>
      <c r="BF250" s="111">
        <f t="shared" si="207"/>
        <v>4</v>
      </c>
      <c r="BG250" s="111">
        <f t="shared" si="202"/>
        <v>4</v>
      </c>
      <c r="BH250" s="111">
        <f t="shared" si="155"/>
        <v>4</v>
      </c>
      <c r="BI250" s="111">
        <f t="shared" si="156"/>
        <v>52.207650273224047</v>
      </c>
      <c r="BJ250" s="129">
        <f t="shared" si="177"/>
        <v>0</v>
      </c>
      <c r="BK250" s="129">
        <f t="shared" si="157"/>
        <v>0</v>
      </c>
      <c r="BL250" s="129" t="str">
        <f t="shared" si="158"/>
        <v>CONVICTION</v>
      </c>
      <c r="BM250" s="129" t="str">
        <f t="shared" si="178"/>
        <v>NONE</v>
      </c>
      <c r="BN250" s="129" t="s">
        <v>566</v>
      </c>
      <c r="BP250" s="137" t="str">
        <f t="shared" si="162"/>
        <v>CONVICTION</v>
      </c>
      <c r="BQ250" s="128" t="str">
        <f t="shared" si="163"/>
        <v>Y</v>
      </c>
      <c r="BR250" s="129" t="str">
        <f t="shared" si="179"/>
        <v>DETAINED</v>
      </c>
      <c r="BS250" s="129" t="str">
        <f t="shared" si="164"/>
        <v>DISPOSED</v>
      </c>
      <c r="BT250" s="129" t="str">
        <f t="shared" si="165"/>
        <v>N</v>
      </c>
      <c r="BU250" s="109">
        <f t="shared" si="166"/>
        <v>1</v>
      </c>
      <c r="BV250" s="109">
        <f t="shared" si="180"/>
        <v>1</v>
      </c>
      <c r="BW250" s="109">
        <f t="shared" si="197"/>
        <v>0</v>
      </c>
      <c r="BX250" s="111">
        <f t="shared" si="167"/>
        <v>0</v>
      </c>
      <c r="BY250" s="129">
        <f t="shared" si="168"/>
        <v>-4</v>
      </c>
      <c r="BZ250" s="111">
        <f t="shared" si="169"/>
        <v>0</v>
      </c>
      <c r="CA250" s="138">
        <f t="shared" si="170"/>
        <v>4</v>
      </c>
      <c r="CB250" s="111" t="e">
        <f t="shared" si="208"/>
        <v>#VALUE!</v>
      </c>
      <c r="CC250" s="129">
        <f t="shared" si="203"/>
        <v>4</v>
      </c>
      <c r="CD250" s="129">
        <f t="shared" si="204"/>
        <v>0</v>
      </c>
      <c r="CE250" s="129">
        <f t="shared" si="171"/>
        <v>0</v>
      </c>
      <c r="CG250" s="129" t="str">
        <f t="shared" si="172"/>
        <v>Y</v>
      </c>
      <c r="CI250" s="129" t="str">
        <f t="shared" si="173"/>
        <v>0-10 DAYS</v>
      </c>
      <c r="CJ250" s="137">
        <f t="shared" si="174"/>
        <v>1</v>
      </c>
      <c r="CK250" s="129" t="str">
        <f t="shared" si="175"/>
        <v>Booked</v>
      </c>
    </row>
    <row r="251" spans="1:89" ht="15.75" customHeight="1" x14ac:dyDescent="0.25">
      <c r="A251" s="111">
        <v>2361</v>
      </c>
      <c r="B251" s="128" t="str">
        <f t="shared" si="159"/>
        <v>N</v>
      </c>
      <c r="C251" s="128" t="str">
        <f t="shared" si="160"/>
        <v>N</v>
      </c>
      <c r="D251" s="117">
        <v>845625</v>
      </c>
      <c r="E251" s="135">
        <f t="shared" si="161"/>
        <v>5</v>
      </c>
      <c r="F251" s="124">
        <v>40998</v>
      </c>
      <c r="G251" s="125">
        <v>41031</v>
      </c>
      <c r="H251" s="117">
        <v>845625</v>
      </c>
      <c r="I251" s="124">
        <v>40998</v>
      </c>
      <c r="J251" s="124">
        <v>41031</v>
      </c>
      <c r="K251" s="126">
        <v>15000</v>
      </c>
      <c r="L251" s="127" t="s">
        <v>571</v>
      </c>
      <c r="N251" s="129" t="str">
        <f t="shared" si="205"/>
        <v>N</v>
      </c>
      <c r="O251" s="128" t="s">
        <v>917</v>
      </c>
      <c r="P251" s="129" t="s">
        <v>39</v>
      </c>
      <c r="Q251" s="111">
        <f t="shared" si="206"/>
        <v>34</v>
      </c>
      <c r="R251" s="111">
        <f t="shared" si="154"/>
        <v>34</v>
      </c>
      <c r="S251" s="32">
        <v>18</v>
      </c>
      <c r="T251" s="32">
        <v>17</v>
      </c>
      <c r="U251" s="32">
        <v>9</v>
      </c>
      <c r="V251" s="114"/>
      <c r="W251" s="111"/>
      <c r="AC251" s="130"/>
      <c r="AD251" s="130">
        <v>21065</v>
      </c>
      <c r="AE251" s="128" t="s">
        <v>32</v>
      </c>
      <c r="AF251" s="128" t="s">
        <v>33</v>
      </c>
      <c r="AG251" s="128" t="s">
        <v>872</v>
      </c>
      <c r="AH251" s="108" t="s">
        <v>58</v>
      </c>
      <c r="AI251" s="128" t="s">
        <v>97</v>
      </c>
      <c r="AJ251" s="129" t="s">
        <v>89</v>
      </c>
      <c r="AK251" s="129">
        <v>4</v>
      </c>
      <c r="AL251" s="3" t="s">
        <v>992</v>
      </c>
      <c r="AN251" s="117">
        <v>8</v>
      </c>
      <c r="AP251" s="129" t="s">
        <v>60</v>
      </c>
      <c r="AR251" s="128" t="s">
        <v>44</v>
      </c>
      <c r="AS251" s="129" t="s">
        <v>61</v>
      </c>
      <c r="BC251" s="129" t="s">
        <v>38</v>
      </c>
      <c r="BF251" s="111">
        <f t="shared" si="207"/>
        <v>34</v>
      </c>
      <c r="BG251" s="111">
        <f t="shared" si="202"/>
        <v>34</v>
      </c>
      <c r="BH251" s="111">
        <f t="shared" si="155"/>
        <v>34</v>
      </c>
      <c r="BI251" s="111">
        <f t="shared" si="156"/>
        <v>54.461748633879779</v>
      </c>
      <c r="BJ251" s="129">
        <f t="shared" si="177"/>
        <v>0</v>
      </c>
      <c r="BK251" s="129">
        <f t="shared" si="157"/>
        <v>0</v>
      </c>
      <c r="BL251" s="129" t="str">
        <f t="shared" si="158"/>
        <v>CONVICTION</v>
      </c>
      <c r="BM251" s="129" t="str">
        <f t="shared" si="178"/>
        <v>NONE</v>
      </c>
      <c r="BN251" s="129" t="s">
        <v>566</v>
      </c>
      <c r="BP251" s="137" t="str">
        <f t="shared" si="162"/>
        <v>CONVICTION</v>
      </c>
      <c r="BQ251" s="128" t="str">
        <f t="shared" si="163"/>
        <v>Y</v>
      </c>
      <c r="BR251" s="129" t="str">
        <f t="shared" si="179"/>
        <v>DETAINED</v>
      </c>
      <c r="BS251" s="129" t="str">
        <f t="shared" si="164"/>
        <v>DISPOSED</v>
      </c>
      <c r="BT251" s="129" t="str">
        <f t="shared" si="165"/>
        <v>Y</v>
      </c>
      <c r="BU251" s="109">
        <f t="shared" si="166"/>
        <v>1</v>
      </c>
      <c r="BV251" s="109">
        <f t="shared" si="180"/>
        <v>1</v>
      </c>
      <c r="BW251" s="109">
        <f t="shared" si="197"/>
        <v>0</v>
      </c>
      <c r="BX251" s="111">
        <f t="shared" si="167"/>
        <v>0</v>
      </c>
      <c r="BY251" s="129">
        <f t="shared" si="168"/>
        <v>-34</v>
      </c>
      <c r="BZ251" s="111">
        <f t="shared" si="169"/>
        <v>0</v>
      </c>
      <c r="CA251" s="138">
        <f t="shared" si="170"/>
        <v>34</v>
      </c>
      <c r="CB251" s="111" t="e">
        <f t="shared" si="208"/>
        <v>#VALUE!</v>
      </c>
      <c r="CC251" s="129">
        <f t="shared" si="203"/>
        <v>34</v>
      </c>
      <c r="CD251" s="129">
        <f t="shared" si="204"/>
        <v>0</v>
      </c>
      <c r="CE251" s="129">
        <f t="shared" si="171"/>
        <v>0</v>
      </c>
      <c r="CG251" s="129" t="str">
        <f t="shared" si="172"/>
        <v>Y</v>
      </c>
      <c r="CI251" s="129" t="str">
        <f t="shared" si="173"/>
        <v>31-60 DAYS</v>
      </c>
      <c r="CJ251" s="137">
        <f t="shared" si="174"/>
        <v>3</v>
      </c>
      <c r="CK251" s="129" t="str">
        <f t="shared" si="175"/>
        <v>Booked</v>
      </c>
    </row>
    <row r="252" spans="1:89" ht="15.75" customHeight="1" x14ac:dyDescent="0.25">
      <c r="A252" s="111">
        <v>2787</v>
      </c>
      <c r="B252" s="128" t="str">
        <f t="shared" si="159"/>
        <v>N</v>
      </c>
      <c r="C252" s="128" t="str">
        <f t="shared" si="160"/>
        <v>N</v>
      </c>
      <c r="D252" s="117">
        <v>846800</v>
      </c>
      <c r="E252" s="135">
        <f t="shared" si="161"/>
        <v>6</v>
      </c>
      <c r="F252" s="124">
        <v>41012</v>
      </c>
      <c r="G252" s="125">
        <v>41040</v>
      </c>
      <c r="H252" s="117">
        <v>846800</v>
      </c>
      <c r="I252" s="124">
        <v>41012</v>
      </c>
      <c r="J252" s="124">
        <v>41040</v>
      </c>
      <c r="K252" s="126">
        <v>20000</v>
      </c>
      <c r="L252" s="127" t="s">
        <v>571</v>
      </c>
      <c r="N252" s="129" t="str">
        <f t="shared" si="205"/>
        <v>N</v>
      </c>
      <c r="O252" s="128" t="s">
        <v>917</v>
      </c>
      <c r="P252" s="129" t="s">
        <v>39</v>
      </c>
      <c r="Q252" s="111">
        <f t="shared" si="206"/>
        <v>29</v>
      </c>
      <c r="R252" s="111">
        <f t="shared" si="154"/>
        <v>29</v>
      </c>
      <c r="S252" s="129">
        <v>3</v>
      </c>
      <c r="T252" s="129">
        <v>6</v>
      </c>
      <c r="U252" s="129">
        <v>2</v>
      </c>
      <c r="V252" s="117">
        <v>1</v>
      </c>
      <c r="W252" s="111"/>
      <c r="AC252" s="130"/>
      <c r="AD252" s="130">
        <v>23704</v>
      </c>
      <c r="AE252" s="128" t="s">
        <v>32</v>
      </c>
      <c r="AF252" s="128" t="s">
        <v>69</v>
      </c>
      <c r="AG252" s="128" t="s">
        <v>874</v>
      </c>
      <c r="AH252" s="108" t="s">
        <v>58</v>
      </c>
      <c r="AI252" s="128" t="s">
        <v>53</v>
      </c>
      <c r="AJ252" s="129" t="s">
        <v>89</v>
      </c>
      <c r="AK252" s="129">
        <v>3</v>
      </c>
      <c r="AL252" s="3" t="s">
        <v>362</v>
      </c>
      <c r="AM252" s="117">
        <v>3</v>
      </c>
      <c r="AP252" s="129" t="s">
        <v>66</v>
      </c>
      <c r="AR252" s="128" t="s">
        <v>67</v>
      </c>
      <c r="AS252" s="129" t="s">
        <v>68</v>
      </c>
      <c r="BC252" s="129" t="s">
        <v>38</v>
      </c>
      <c r="BF252" s="111">
        <f t="shared" si="207"/>
        <v>29</v>
      </c>
      <c r="BG252" s="111">
        <f t="shared" si="202"/>
        <v>29</v>
      </c>
      <c r="BH252" s="111">
        <f t="shared" si="155"/>
        <v>29</v>
      </c>
      <c r="BI252" s="111">
        <f t="shared" si="156"/>
        <v>47.289617486338798</v>
      </c>
      <c r="BJ252" s="129">
        <f t="shared" si="177"/>
        <v>0</v>
      </c>
      <c r="BK252" s="129">
        <f t="shared" si="157"/>
        <v>0</v>
      </c>
      <c r="BL252" s="129" t="str">
        <f t="shared" si="158"/>
        <v>CONVICTION</v>
      </c>
      <c r="BM252" s="129" t="str">
        <f t="shared" si="178"/>
        <v>NONE</v>
      </c>
      <c r="BN252" s="129" t="s">
        <v>566</v>
      </c>
      <c r="BP252" s="137" t="str">
        <f t="shared" si="162"/>
        <v>CONVICTION</v>
      </c>
      <c r="BQ252" s="128" t="str">
        <f t="shared" si="163"/>
        <v>Y</v>
      </c>
      <c r="BR252" s="129" t="str">
        <f t="shared" si="179"/>
        <v>DETAINED</v>
      </c>
      <c r="BS252" s="129" t="str">
        <f t="shared" si="164"/>
        <v>DISPOSED</v>
      </c>
      <c r="BT252" s="129" t="str">
        <f t="shared" si="165"/>
        <v>Y</v>
      </c>
      <c r="BU252" s="109">
        <f t="shared" si="166"/>
        <v>1</v>
      </c>
      <c r="BV252" s="109">
        <f t="shared" si="180"/>
        <v>1</v>
      </c>
      <c r="BW252" s="109">
        <f t="shared" si="197"/>
        <v>0</v>
      </c>
      <c r="BX252" s="111">
        <f t="shared" si="167"/>
        <v>0</v>
      </c>
      <c r="BY252" s="129">
        <f t="shared" si="168"/>
        <v>-29</v>
      </c>
      <c r="BZ252" s="111">
        <f t="shared" si="169"/>
        <v>0</v>
      </c>
      <c r="CA252" s="138">
        <f t="shared" si="170"/>
        <v>29</v>
      </c>
      <c r="CB252" s="111" t="e">
        <f t="shared" si="208"/>
        <v>#VALUE!</v>
      </c>
      <c r="CC252" s="129">
        <f t="shared" si="203"/>
        <v>29</v>
      </c>
      <c r="CD252" s="129">
        <f t="shared" si="204"/>
        <v>0</v>
      </c>
      <c r="CE252" s="129">
        <f t="shared" si="171"/>
        <v>0</v>
      </c>
      <c r="CG252" s="129" t="str">
        <f t="shared" si="172"/>
        <v>Y</v>
      </c>
      <c r="CI252" s="129" t="str">
        <f t="shared" si="173"/>
        <v>11-30 DAYS</v>
      </c>
      <c r="CJ252" s="137">
        <f t="shared" si="174"/>
        <v>2</v>
      </c>
      <c r="CK252" s="129" t="str">
        <f t="shared" si="175"/>
        <v>Booked</v>
      </c>
    </row>
    <row r="253" spans="1:89" ht="15.75" customHeight="1" x14ac:dyDescent="0.25">
      <c r="A253" s="111">
        <v>249</v>
      </c>
      <c r="B253" s="128" t="str">
        <f t="shared" si="159"/>
        <v>N</v>
      </c>
      <c r="C253" s="128" t="str">
        <f t="shared" si="160"/>
        <v>N</v>
      </c>
      <c r="D253" s="117">
        <v>848371</v>
      </c>
      <c r="E253" s="135">
        <f t="shared" si="161"/>
        <v>5</v>
      </c>
      <c r="F253" s="124">
        <v>40919</v>
      </c>
      <c r="G253" s="125">
        <v>40967</v>
      </c>
      <c r="H253" s="117">
        <v>848371</v>
      </c>
      <c r="I253" s="124">
        <v>40929</v>
      </c>
      <c r="J253" s="124">
        <v>40967</v>
      </c>
      <c r="K253" s="126">
        <v>15000</v>
      </c>
      <c r="L253" s="127" t="s">
        <v>571</v>
      </c>
      <c r="N253" s="129" t="str">
        <f t="shared" si="205"/>
        <v>N</v>
      </c>
      <c r="O253" s="128" t="s">
        <v>917</v>
      </c>
      <c r="P253" s="129" t="s">
        <v>39</v>
      </c>
      <c r="Q253" s="111">
        <f t="shared" si="206"/>
        <v>39</v>
      </c>
      <c r="R253" s="111">
        <f t="shared" si="154"/>
        <v>49</v>
      </c>
      <c r="S253" s="129">
        <v>7</v>
      </c>
      <c r="T253" s="129">
        <v>11</v>
      </c>
      <c r="U253" s="129">
        <v>7</v>
      </c>
      <c r="W253" s="111"/>
      <c r="AC253" s="130"/>
      <c r="AD253" s="130">
        <v>24040</v>
      </c>
      <c r="AE253" s="128" t="s">
        <v>32</v>
      </c>
      <c r="AF253" s="128" t="s">
        <v>33</v>
      </c>
      <c r="AG253" s="128" t="s">
        <v>872</v>
      </c>
      <c r="AH253" s="108" t="s">
        <v>31</v>
      </c>
      <c r="AI253" s="128" t="s">
        <v>113</v>
      </c>
      <c r="AJ253" s="129" t="s">
        <v>89</v>
      </c>
      <c r="AK253" s="129">
        <v>3</v>
      </c>
      <c r="AL253" s="3" t="s">
        <v>992</v>
      </c>
      <c r="AN253" s="117">
        <v>15</v>
      </c>
      <c r="AP253" s="129" t="s">
        <v>108</v>
      </c>
      <c r="AR253" s="128" t="s">
        <v>44</v>
      </c>
      <c r="AS253" s="129" t="s">
        <v>61</v>
      </c>
      <c r="BC253" s="129" t="s">
        <v>38</v>
      </c>
      <c r="BF253" s="111">
        <f t="shared" si="207"/>
        <v>39</v>
      </c>
      <c r="BG253" s="111">
        <f t="shared" si="202"/>
        <v>39</v>
      </c>
      <c r="BH253" s="111">
        <f t="shared" si="155"/>
        <v>49</v>
      </c>
      <c r="BI253" s="111">
        <f t="shared" si="156"/>
        <v>46.117486338797811</v>
      </c>
      <c r="BJ253" s="129">
        <f t="shared" si="177"/>
        <v>0</v>
      </c>
      <c r="BK253" s="129">
        <f t="shared" si="157"/>
        <v>0</v>
      </c>
      <c r="BL253" s="129" t="str">
        <f t="shared" si="158"/>
        <v>CONVICTION</v>
      </c>
      <c r="BM253" s="129" t="str">
        <f t="shared" si="178"/>
        <v>NONE</v>
      </c>
      <c r="BN253" s="129" t="s">
        <v>566</v>
      </c>
      <c r="BP253" s="137" t="str">
        <f t="shared" si="162"/>
        <v>CONVICTION</v>
      </c>
      <c r="BQ253" s="128" t="str">
        <f t="shared" si="163"/>
        <v>Y</v>
      </c>
      <c r="BR253" s="129" t="str">
        <f t="shared" si="179"/>
        <v>DETAINED</v>
      </c>
      <c r="BS253" s="129" t="str">
        <f t="shared" si="164"/>
        <v>DISPOSED</v>
      </c>
      <c r="BT253" s="129" t="str">
        <f t="shared" si="165"/>
        <v>Y</v>
      </c>
      <c r="BU253" s="109">
        <f t="shared" si="166"/>
        <v>0.79591836734693877</v>
      </c>
      <c r="BV253" s="109">
        <f t="shared" si="180"/>
        <v>1</v>
      </c>
      <c r="BW253" s="109">
        <f t="shared" si="197"/>
        <v>0.20408163265306123</v>
      </c>
      <c r="BX253" s="111">
        <f t="shared" si="167"/>
        <v>0</v>
      </c>
      <c r="BY253" s="129">
        <f t="shared" si="168"/>
        <v>-39</v>
      </c>
      <c r="BZ253" s="111">
        <f t="shared" si="169"/>
        <v>0</v>
      </c>
      <c r="CA253" s="138">
        <f t="shared" si="170"/>
        <v>39</v>
      </c>
      <c r="CB253" s="111" t="e">
        <f t="shared" si="208"/>
        <v>#VALUE!</v>
      </c>
      <c r="CC253" s="129">
        <f t="shared" si="203"/>
        <v>39</v>
      </c>
      <c r="CD253" s="129">
        <f t="shared" si="204"/>
        <v>0</v>
      </c>
      <c r="CE253" s="129">
        <f t="shared" si="171"/>
        <v>0</v>
      </c>
      <c r="CG253" s="129" t="str">
        <f t="shared" si="172"/>
        <v>Y</v>
      </c>
      <c r="CI253" s="129" t="str">
        <f t="shared" si="173"/>
        <v>31-60 DAYS</v>
      </c>
      <c r="CJ253" s="137">
        <f t="shared" si="174"/>
        <v>3</v>
      </c>
      <c r="CK253" s="129" t="str">
        <f t="shared" si="175"/>
        <v>Booked</v>
      </c>
    </row>
    <row r="254" spans="1:89" ht="15" customHeight="1" x14ac:dyDescent="0.25">
      <c r="A254" s="111">
        <v>135</v>
      </c>
      <c r="B254" s="128" t="str">
        <f t="shared" si="159"/>
        <v>N</v>
      </c>
      <c r="C254" s="128" t="str">
        <f t="shared" si="160"/>
        <v>N</v>
      </c>
      <c r="D254" s="117">
        <v>852028</v>
      </c>
      <c r="E254" s="135">
        <f t="shared" si="161"/>
        <v>2</v>
      </c>
      <c r="F254" s="124">
        <v>40914</v>
      </c>
      <c r="G254" s="125">
        <v>41114</v>
      </c>
      <c r="H254" s="117">
        <v>852028</v>
      </c>
      <c r="I254" s="124">
        <v>40915</v>
      </c>
      <c r="J254" s="124">
        <v>40916</v>
      </c>
      <c r="K254" s="126">
        <v>30000</v>
      </c>
      <c r="L254" s="129" t="s">
        <v>572</v>
      </c>
      <c r="M254" s="125">
        <v>40916</v>
      </c>
      <c r="N254" s="129" t="str">
        <f t="shared" si="205"/>
        <v>Y</v>
      </c>
      <c r="O254" s="128" t="s">
        <v>76</v>
      </c>
      <c r="P254" s="129" t="s">
        <v>589</v>
      </c>
      <c r="Q254" s="111">
        <f t="shared" si="206"/>
        <v>2</v>
      </c>
      <c r="R254" s="111">
        <f t="shared" si="154"/>
        <v>201</v>
      </c>
      <c r="S254" s="129">
        <v>0</v>
      </c>
      <c r="T254" s="129">
        <v>0</v>
      </c>
      <c r="W254" s="111"/>
      <c r="AC254" s="130"/>
      <c r="AD254" s="130">
        <v>24593</v>
      </c>
      <c r="AE254" s="128" t="s">
        <v>32</v>
      </c>
      <c r="AF254" s="128" t="s">
        <v>69</v>
      </c>
      <c r="AG254" s="128" t="s">
        <v>874</v>
      </c>
      <c r="AH254" s="108" t="s">
        <v>58</v>
      </c>
      <c r="AI254" s="128" t="s">
        <v>100</v>
      </c>
      <c r="AJ254" s="129" t="s">
        <v>48</v>
      </c>
      <c r="AK254" s="129">
        <v>7</v>
      </c>
      <c r="AL254" s="3" t="s">
        <v>48</v>
      </c>
      <c r="AP254" s="129" t="s">
        <v>152</v>
      </c>
      <c r="AR254" s="128" t="s">
        <v>67</v>
      </c>
      <c r="AS254" s="129" t="s">
        <v>126</v>
      </c>
      <c r="BC254" s="129" t="s">
        <v>52</v>
      </c>
      <c r="BF254" s="111">
        <f t="shared" si="207"/>
        <v>2</v>
      </c>
      <c r="BG254" s="111">
        <f t="shared" si="202"/>
        <v>200</v>
      </c>
      <c r="BH254" s="111">
        <f t="shared" si="155"/>
        <v>201</v>
      </c>
      <c r="BI254" s="111">
        <f t="shared" si="156"/>
        <v>44.592896174863391</v>
      </c>
      <c r="BJ254" s="129">
        <f>(G254-J254)+(M254-G254)</f>
        <v>0</v>
      </c>
      <c r="BK254" s="129">
        <f t="shared" si="157"/>
        <v>-198</v>
      </c>
      <c r="BL254" s="129" t="str">
        <f t="shared" si="158"/>
        <v>DEFERRED</v>
      </c>
      <c r="BM254" s="129" t="s">
        <v>76</v>
      </c>
      <c r="BN254" s="129" t="s">
        <v>88</v>
      </c>
      <c r="BP254" s="137" t="str">
        <f t="shared" si="162"/>
        <v>DEFERRED</v>
      </c>
      <c r="BQ254" s="128" t="str">
        <f t="shared" si="163"/>
        <v>Y</v>
      </c>
      <c r="BR254" s="129" t="str">
        <f t="shared" si="179"/>
        <v>ON BOND</v>
      </c>
      <c r="BS254" s="129" t="str">
        <f t="shared" si="164"/>
        <v>DISPOSED</v>
      </c>
      <c r="BT254" s="129" t="str">
        <f t="shared" si="165"/>
        <v>N</v>
      </c>
      <c r="BU254" s="109">
        <f t="shared" si="166"/>
        <v>9.9502487562189053E-3</v>
      </c>
      <c r="BV254" s="109">
        <f t="shared" si="180"/>
        <v>0.01</v>
      </c>
      <c r="BW254" s="109">
        <f t="shared" si="197"/>
        <v>4.9751243781094925E-5</v>
      </c>
      <c r="BX254" s="111">
        <f t="shared" si="167"/>
        <v>0</v>
      </c>
      <c r="BY254" s="129">
        <f t="shared" si="168"/>
        <v>-2</v>
      </c>
      <c r="BZ254" s="111">
        <f t="shared" si="169"/>
        <v>0</v>
      </c>
      <c r="CA254" s="138">
        <f t="shared" si="170"/>
        <v>2</v>
      </c>
      <c r="CB254" s="111" t="e">
        <f t="shared" si="208"/>
        <v>#VALUE!</v>
      </c>
      <c r="CC254" s="129">
        <f>M254-I254+1</f>
        <v>2</v>
      </c>
      <c r="CD254" s="111">
        <f>CC254-BF254</f>
        <v>0</v>
      </c>
      <c r="CE254" s="129">
        <f t="shared" si="171"/>
        <v>198</v>
      </c>
      <c r="CG254" s="129" t="str">
        <f t="shared" si="172"/>
        <v>N</v>
      </c>
      <c r="CI254" s="129" t="str">
        <f t="shared" si="173"/>
        <v>0-10 DAYS</v>
      </c>
      <c r="CJ254" s="137">
        <f t="shared" si="174"/>
        <v>1</v>
      </c>
      <c r="CK254" s="129" t="str">
        <f t="shared" si="175"/>
        <v>Booked</v>
      </c>
    </row>
    <row r="255" spans="1:89" ht="15" customHeight="1" x14ac:dyDescent="0.25">
      <c r="A255" s="111">
        <v>1955</v>
      </c>
      <c r="B255" s="128" t="str">
        <f t="shared" si="159"/>
        <v>N</v>
      </c>
      <c r="C255" s="128" t="str">
        <f t="shared" si="160"/>
        <v>N</v>
      </c>
      <c r="D255" s="117">
        <v>852400</v>
      </c>
      <c r="E255" s="135">
        <f t="shared" si="161"/>
        <v>6</v>
      </c>
      <c r="F255" s="124">
        <v>40982</v>
      </c>
      <c r="G255" s="125">
        <v>40983</v>
      </c>
      <c r="H255" s="117">
        <v>852400</v>
      </c>
      <c r="I255" s="124">
        <v>40982</v>
      </c>
      <c r="J255" s="124">
        <v>40983</v>
      </c>
      <c r="K255" s="126">
        <v>15000</v>
      </c>
      <c r="L255" s="127" t="s">
        <v>571</v>
      </c>
      <c r="N255" s="129" t="str">
        <f t="shared" si="205"/>
        <v>N</v>
      </c>
      <c r="O255" s="128" t="s">
        <v>917</v>
      </c>
      <c r="P255" s="129" t="s">
        <v>39</v>
      </c>
      <c r="Q255" s="111">
        <f t="shared" si="206"/>
        <v>2</v>
      </c>
      <c r="R255" s="111">
        <f t="shared" si="154"/>
        <v>2</v>
      </c>
      <c r="S255" s="129">
        <v>4</v>
      </c>
      <c r="T255" s="129">
        <v>0</v>
      </c>
      <c r="U255" s="129">
        <v>2</v>
      </c>
      <c r="W255" s="111"/>
      <c r="AC255" s="130"/>
      <c r="AD255" s="130">
        <v>24902</v>
      </c>
      <c r="AE255" s="128" t="s">
        <v>32</v>
      </c>
      <c r="AF255" s="128" t="s">
        <v>33</v>
      </c>
      <c r="AG255" s="128" t="s">
        <v>872</v>
      </c>
      <c r="AH255" s="108" t="s">
        <v>58</v>
      </c>
      <c r="AI255" s="128" t="s">
        <v>83</v>
      </c>
      <c r="AJ255" s="129" t="s">
        <v>89</v>
      </c>
      <c r="AK255" s="129">
        <v>1</v>
      </c>
      <c r="AL255" s="3" t="s">
        <v>362</v>
      </c>
      <c r="AM255" s="117">
        <v>2</v>
      </c>
      <c r="AP255" s="129" t="s">
        <v>43</v>
      </c>
      <c r="AR255" s="128" t="s">
        <v>44</v>
      </c>
      <c r="AS255" s="129" t="s">
        <v>45</v>
      </c>
      <c r="BC255" s="129" t="s">
        <v>38</v>
      </c>
      <c r="BF255" s="111">
        <f t="shared" si="207"/>
        <v>2</v>
      </c>
      <c r="BG255" s="111">
        <f t="shared" si="202"/>
        <v>2</v>
      </c>
      <c r="BH255" s="111">
        <f t="shared" si="155"/>
        <v>2</v>
      </c>
      <c r="BI255" s="111">
        <f t="shared" si="156"/>
        <v>43.934426229508198</v>
      </c>
      <c r="BJ255" s="129">
        <f t="shared" si="177"/>
        <v>0</v>
      </c>
      <c r="BK255" s="129">
        <f t="shared" si="157"/>
        <v>0</v>
      </c>
      <c r="BL255" s="129" t="str">
        <f t="shared" si="158"/>
        <v>CONVICTION</v>
      </c>
      <c r="BM255" s="129" t="str">
        <f t="shared" si="178"/>
        <v>NONE</v>
      </c>
      <c r="BN255" s="129" t="s">
        <v>566</v>
      </c>
      <c r="BP255" s="137" t="str">
        <f t="shared" si="162"/>
        <v>CONVICTION</v>
      </c>
      <c r="BQ255" s="128" t="str">
        <f t="shared" si="163"/>
        <v>Y</v>
      </c>
      <c r="BR255" s="129" t="str">
        <f t="shared" si="179"/>
        <v>DETAINED</v>
      </c>
      <c r="BS255" s="129" t="str">
        <f t="shared" si="164"/>
        <v>DISPOSED</v>
      </c>
      <c r="BT255" s="129" t="str">
        <f t="shared" si="165"/>
        <v>Y</v>
      </c>
      <c r="BU255" s="109">
        <f t="shared" si="166"/>
        <v>1</v>
      </c>
      <c r="BV255" s="109">
        <f t="shared" si="180"/>
        <v>1</v>
      </c>
      <c r="BW255" s="109">
        <f t="shared" si="197"/>
        <v>0</v>
      </c>
      <c r="BX255" s="111">
        <f t="shared" si="167"/>
        <v>0</v>
      </c>
      <c r="BY255" s="129">
        <f t="shared" si="168"/>
        <v>-2</v>
      </c>
      <c r="BZ255" s="111">
        <f t="shared" si="169"/>
        <v>0</v>
      </c>
      <c r="CA255" s="138">
        <f t="shared" si="170"/>
        <v>2</v>
      </c>
      <c r="CB255" s="111" t="e">
        <f t="shared" si="208"/>
        <v>#VALUE!</v>
      </c>
      <c r="CC255" s="129">
        <f t="shared" ref="CC255:CC262" si="209">G255-I255+1</f>
        <v>2</v>
      </c>
      <c r="CD255" s="129">
        <f t="shared" ref="CD255:CD262" si="210">G255-J255</f>
        <v>0</v>
      </c>
      <c r="CE255" s="129">
        <f t="shared" si="171"/>
        <v>0</v>
      </c>
      <c r="CG255" s="129" t="str">
        <f t="shared" si="172"/>
        <v>Y</v>
      </c>
      <c r="CI255" s="129" t="str">
        <f t="shared" si="173"/>
        <v>0-10 DAYS</v>
      </c>
      <c r="CJ255" s="137">
        <f t="shared" si="174"/>
        <v>1</v>
      </c>
      <c r="CK255" s="129" t="str">
        <f t="shared" si="175"/>
        <v>Booked</v>
      </c>
    </row>
    <row r="256" spans="1:89" ht="15" customHeight="1" x14ac:dyDescent="0.25">
      <c r="A256" s="111">
        <v>1237</v>
      </c>
      <c r="B256" s="128" t="str">
        <f t="shared" si="159"/>
        <v>N</v>
      </c>
      <c r="C256" s="128" t="str">
        <f t="shared" si="160"/>
        <v>N</v>
      </c>
      <c r="D256" s="117">
        <v>854555</v>
      </c>
      <c r="E256" s="135">
        <f t="shared" si="161"/>
        <v>6</v>
      </c>
      <c r="F256" s="124">
        <v>40954</v>
      </c>
      <c r="G256" s="125">
        <v>40955</v>
      </c>
      <c r="H256" s="117">
        <v>854555</v>
      </c>
      <c r="I256" s="124">
        <v>40954</v>
      </c>
      <c r="J256" s="124">
        <v>40955</v>
      </c>
      <c r="K256" s="126" t="s">
        <v>564</v>
      </c>
      <c r="L256" s="127" t="s">
        <v>564</v>
      </c>
      <c r="N256" s="129" t="s">
        <v>566</v>
      </c>
      <c r="O256" s="128" t="s">
        <v>917</v>
      </c>
      <c r="P256" s="129" t="s">
        <v>39</v>
      </c>
      <c r="Q256" s="111">
        <f t="shared" si="206"/>
        <v>2</v>
      </c>
      <c r="R256" s="111">
        <f t="shared" si="154"/>
        <v>2</v>
      </c>
      <c r="S256" s="129">
        <v>7</v>
      </c>
      <c r="T256" s="129">
        <v>3</v>
      </c>
      <c r="U256" s="129">
        <v>4</v>
      </c>
      <c r="W256" s="111"/>
      <c r="AC256" s="130"/>
      <c r="AD256" s="130">
        <v>25413</v>
      </c>
      <c r="AE256" s="128" t="s">
        <v>32</v>
      </c>
      <c r="AF256" s="128" t="s">
        <v>33</v>
      </c>
      <c r="AG256" s="128" t="s">
        <v>872</v>
      </c>
      <c r="AH256" s="108" t="s">
        <v>58</v>
      </c>
      <c r="AI256" s="128" t="s">
        <v>47</v>
      </c>
      <c r="AJ256" s="129" t="s">
        <v>89</v>
      </c>
      <c r="AK256" s="129">
        <v>1</v>
      </c>
      <c r="AL256" s="3" t="s">
        <v>362</v>
      </c>
      <c r="AM256" s="117">
        <v>4</v>
      </c>
      <c r="AP256" s="129" t="s">
        <v>93</v>
      </c>
      <c r="AR256" s="128" t="s">
        <v>67</v>
      </c>
      <c r="AS256" s="129" t="s">
        <v>45</v>
      </c>
      <c r="BC256" s="129" t="s">
        <v>38</v>
      </c>
      <c r="BF256" s="111">
        <f t="shared" si="207"/>
        <v>2</v>
      </c>
      <c r="BG256" s="111">
        <f t="shared" si="202"/>
        <v>2</v>
      </c>
      <c r="BH256" s="111">
        <f t="shared" si="155"/>
        <v>2</v>
      </c>
      <c r="BI256" s="111">
        <f t="shared" si="156"/>
        <v>42.461748633879779</v>
      </c>
      <c r="BJ256" s="129">
        <f t="shared" si="177"/>
        <v>0</v>
      </c>
      <c r="BK256" s="129">
        <f t="shared" si="157"/>
        <v>0</v>
      </c>
      <c r="BL256" s="129" t="str">
        <f t="shared" si="158"/>
        <v>CONVICTION</v>
      </c>
      <c r="BM256" s="129" t="str">
        <f t="shared" si="178"/>
        <v>NONE</v>
      </c>
      <c r="BN256" s="129" t="s">
        <v>566</v>
      </c>
      <c r="BP256" s="137" t="str">
        <f t="shared" si="162"/>
        <v>CONVICTION</v>
      </c>
      <c r="BQ256" s="128" t="str">
        <f t="shared" si="163"/>
        <v>Y</v>
      </c>
      <c r="BR256" s="129" t="str">
        <f t="shared" si="179"/>
        <v>DETAINED</v>
      </c>
      <c r="BS256" s="129" t="str">
        <f t="shared" si="164"/>
        <v>DISPOSED</v>
      </c>
      <c r="BT256" s="129" t="str">
        <f t="shared" si="165"/>
        <v>Y</v>
      </c>
      <c r="BU256" s="109">
        <f t="shared" si="166"/>
        <v>1</v>
      </c>
      <c r="BV256" s="109">
        <f t="shared" si="180"/>
        <v>1</v>
      </c>
      <c r="BW256" s="109">
        <f t="shared" si="197"/>
        <v>0</v>
      </c>
      <c r="BX256" s="111">
        <f t="shared" si="167"/>
        <v>0</v>
      </c>
      <c r="BY256" s="129">
        <f t="shared" si="168"/>
        <v>-2</v>
      </c>
      <c r="BZ256" s="111">
        <f t="shared" si="169"/>
        <v>0</v>
      </c>
      <c r="CA256" s="138">
        <f t="shared" si="170"/>
        <v>2</v>
      </c>
      <c r="CB256" s="111" t="e">
        <f t="shared" si="208"/>
        <v>#VALUE!</v>
      </c>
      <c r="CC256" s="129">
        <f t="shared" si="209"/>
        <v>2</v>
      </c>
      <c r="CD256" s="129">
        <f t="shared" si="210"/>
        <v>0</v>
      </c>
      <c r="CE256" s="129">
        <f t="shared" si="171"/>
        <v>0</v>
      </c>
      <c r="CG256" s="129" t="str">
        <f t="shared" si="172"/>
        <v>Y</v>
      </c>
      <c r="CI256" s="129" t="str">
        <f t="shared" si="173"/>
        <v>0-10 DAYS</v>
      </c>
      <c r="CJ256" s="137">
        <f t="shared" si="174"/>
        <v>1</v>
      </c>
      <c r="CK256" s="129" t="str">
        <f t="shared" si="175"/>
        <v>Booked</v>
      </c>
    </row>
    <row r="257" spans="1:89" ht="15" customHeight="1" x14ac:dyDescent="0.25">
      <c r="A257" s="111">
        <v>970</v>
      </c>
      <c r="B257" s="128" t="str">
        <f t="shared" si="159"/>
        <v>N</v>
      </c>
      <c r="C257" s="128" t="str">
        <f t="shared" si="160"/>
        <v>N</v>
      </c>
      <c r="D257" s="117">
        <v>855081</v>
      </c>
      <c r="E257" s="135">
        <f t="shared" si="161"/>
        <v>6</v>
      </c>
      <c r="F257" s="124">
        <v>40944</v>
      </c>
      <c r="G257" s="125">
        <v>40960</v>
      </c>
      <c r="H257" s="117">
        <v>855081</v>
      </c>
      <c r="I257" s="124">
        <v>40945</v>
      </c>
      <c r="J257" s="124">
        <v>40960</v>
      </c>
      <c r="K257" s="126">
        <v>5000</v>
      </c>
      <c r="L257" s="127" t="s">
        <v>569</v>
      </c>
      <c r="N257" s="129" t="str">
        <f>IF(M257&gt;1/1/1,"Y","N")</f>
        <v>N</v>
      </c>
      <c r="O257" s="128" t="s">
        <v>917</v>
      </c>
      <c r="P257" s="129" t="s">
        <v>39</v>
      </c>
      <c r="Q257" s="111">
        <f t="shared" si="206"/>
        <v>16</v>
      </c>
      <c r="R257" s="111">
        <f t="shared" si="154"/>
        <v>17</v>
      </c>
      <c r="S257" s="129">
        <v>1</v>
      </c>
      <c r="T257" s="129">
        <v>3</v>
      </c>
      <c r="W257" s="111"/>
      <c r="AC257" s="130"/>
      <c r="AD257" s="130">
        <v>21375</v>
      </c>
      <c r="AE257" s="128" t="s">
        <v>32</v>
      </c>
      <c r="AF257" s="128" t="s">
        <v>40</v>
      </c>
      <c r="AG257" s="128" t="s">
        <v>41</v>
      </c>
      <c r="AH257" s="108" t="s">
        <v>41</v>
      </c>
      <c r="AI257" s="128" t="s">
        <v>59</v>
      </c>
      <c r="AJ257" s="129" t="s">
        <v>89</v>
      </c>
      <c r="AK257" s="129">
        <v>2</v>
      </c>
      <c r="AL257" s="3" t="s">
        <v>362</v>
      </c>
      <c r="AM257" s="117">
        <v>2</v>
      </c>
      <c r="AP257" s="129" t="s">
        <v>66</v>
      </c>
      <c r="AR257" s="128" t="s">
        <v>67</v>
      </c>
      <c r="AS257" s="129" t="s">
        <v>68</v>
      </c>
      <c r="BC257" s="129" t="s">
        <v>38</v>
      </c>
      <c r="BF257" s="111">
        <f t="shared" si="207"/>
        <v>16</v>
      </c>
      <c r="BG257" s="111">
        <f t="shared" si="202"/>
        <v>16</v>
      </c>
      <c r="BH257" s="111">
        <f t="shared" si="155"/>
        <v>17</v>
      </c>
      <c r="BI257" s="111">
        <f t="shared" si="156"/>
        <v>53.467213114754095</v>
      </c>
      <c r="BJ257" s="129">
        <f t="shared" si="177"/>
        <v>0</v>
      </c>
      <c r="BK257" s="129">
        <f t="shared" si="157"/>
        <v>0</v>
      </c>
      <c r="BL257" s="129" t="str">
        <f t="shared" si="158"/>
        <v>CONVICTION</v>
      </c>
      <c r="BM257" s="129" t="str">
        <f t="shared" si="178"/>
        <v>NONE</v>
      </c>
      <c r="BN257" s="129" t="s">
        <v>566</v>
      </c>
      <c r="BP257" s="137" t="str">
        <f t="shared" si="162"/>
        <v>CONVICTION</v>
      </c>
      <c r="BQ257" s="128" t="str">
        <f t="shared" si="163"/>
        <v>Y</v>
      </c>
      <c r="BR257" s="129" t="str">
        <f t="shared" si="179"/>
        <v>DETAINED</v>
      </c>
      <c r="BS257" s="129" t="str">
        <f t="shared" si="164"/>
        <v>DISPOSED</v>
      </c>
      <c r="BT257" s="129" t="str">
        <f t="shared" si="165"/>
        <v>Y</v>
      </c>
      <c r="BU257" s="109">
        <f t="shared" si="166"/>
        <v>0.94117647058823528</v>
      </c>
      <c r="BV257" s="109">
        <f t="shared" si="180"/>
        <v>1</v>
      </c>
      <c r="BW257" s="109">
        <f t="shared" si="197"/>
        <v>5.8823529411764719E-2</v>
      </c>
      <c r="BX257" s="111">
        <f t="shared" si="167"/>
        <v>0</v>
      </c>
      <c r="BY257" s="129">
        <f t="shared" si="168"/>
        <v>-16</v>
      </c>
      <c r="BZ257" s="111">
        <f t="shared" si="169"/>
        <v>0</v>
      </c>
      <c r="CA257" s="138">
        <f t="shared" si="170"/>
        <v>16</v>
      </c>
      <c r="CB257" s="111" t="e">
        <f t="shared" si="208"/>
        <v>#VALUE!</v>
      </c>
      <c r="CC257" s="129">
        <f t="shared" si="209"/>
        <v>16</v>
      </c>
      <c r="CD257" s="129">
        <f t="shared" si="210"/>
        <v>0</v>
      </c>
      <c r="CE257" s="129">
        <f t="shared" si="171"/>
        <v>0</v>
      </c>
      <c r="CG257" s="129" t="str">
        <f t="shared" si="172"/>
        <v>Y</v>
      </c>
      <c r="CI257" s="129" t="str">
        <f t="shared" si="173"/>
        <v>11-30 DAYS</v>
      </c>
      <c r="CJ257" s="137">
        <f t="shared" si="174"/>
        <v>2</v>
      </c>
      <c r="CK257" s="129" t="str">
        <f t="shared" si="175"/>
        <v>Booked</v>
      </c>
    </row>
    <row r="258" spans="1:89" ht="15.75" customHeight="1" x14ac:dyDescent="0.25">
      <c r="A258" s="111">
        <v>495</v>
      </c>
      <c r="B258" s="128" t="str">
        <f t="shared" si="159"/>
        <v>N</v>
      </c>
      <c r="C258" s="128" t="str">
        <f t="shared" si="160"/>
        <v>N</v>
      </c>
      <c r="D258" s="117">
        <v>856366</v>
      </c>
      <c r="E258" s="135">
        <f t="shared" si="161"/>
        <v>5</v>
      </c>
      <c r="F258" s="124">
        <v>40928</v>
      </c>
      <c r="G258" s="125">
        <v>40967</v>
      </c>
      <c r="H258" s="117">
        <v>856366</v>
      </c>
      <c r="I258" s="124">
        <v>40928</v>
      </c>
      <c r="J258" s="124">
        <v>40967</v>
      </c>
      <c r="K258" s="126">
        <v>5000</v>
      </c>
      <c r="L258" s="127" t="s">
        <v>569</v>
      </c>
      <c r="N258" s="129" t="str">
        <f>IF(M258&gt;1/1/1,"Y","N")</f>
        <v>N</v>
      </c>
      <c r="O258" s="128" t="s">
        <v>917</v>
      </c>
      <c r="P258" s="129" t="s">
        <v>39</v>
      </c>
      <c r="Q258" s="111">
        <f t="shared" si="206"/>
        <v>40</v>
      </c>
      <c r="R258" s="111">
        <f t="shared" ref="R258:R321" si="211">BH258</f>
        <v>40</v>
      </c>
      <c r="S258" s="129">
        <v>7</v>
      </c>
      <c r="T258" s="129">
        <v>2</v>
      </c>
      <c r="U258" s="129">
        <v>6</v>
      </c>
      <c r="W258" s="111"/>
      <c r="AC258" s="130"/>
      <c r="AD258" s="130">
        <v>24493</v>
      </c>
      <c r="AE258" s="128" t="s">
        <v>32</v>
      </c>
      <c r="AF258" s="128" t="s">
        <v>33</v>
      </c>
      <c r="AG258" s="128" t="s">
        <v>872</v>
      </c>
      <c r="AH258" s="108" t="s">
        <v>58</v>
      </c>
      <c r="AI258" s="128" t="s">
        <v>87</v>
      </c>
      <c r="AJ258" s="129" t="s">
        <v>89</v>
      </c>
      <c r="AK258" s="129">
        <v>3</v>
      </c>
      <c r="AL258" s="3" t="s">
        <v>992</v>
      </c>
      <c r="AN258" s="117">
        <v>6</v>
      </c>
      <c r="AP258" s="129" t="s">
        <v>60</v>
      </c>
      <c r="AR258" s="128" t="s">
        <v>44</v>
      </c>
      <c r="AS258" s="129" t="s">
        <v>61</v>
      </c>
      <c r="BC258" s="129" t="s">
        <v>38</v>
      </c>
      <c r="BF258" s="111">
        <f t="shared" si="207"/>
        <v>40</v>
      </c>
      <c r="BG258" s="111">
        <f t="shared" si="202"/>
        <v>40</v>
      </c>
      <c r="BH258" s="111">
        <f t="shared" ref="BH258:BH321" si="212">IF(G258&gt;1/1/1900,((G258+1)-F258),"STILL OPEN")</f>
        <v>40</v>
      </c>
      <c r="BI258" s="111">
        <f t="shared" ref="BI258:BI321" si="213">(F258-AD258)/366</f>
        <v>44.904371584699454</v>
      </c>
      <c r="BJ258" s="129">
        <f t="shared" si="177"/>
        <v>0</v>
      </c>
      <c r="BK258" s="129">
        <f t="shared" ref="BK258:BK321" si="214">J258-G258</f>
        <v>0</v>
      </c>
      <c r="BL258" s="129" t="str">
        <f t="shared" ref="BL258:BL321" si="215">IF(OR(AL258="AQUITTAL",AL258="DISMISSED",AL258="FINE",AL258="NO BILL"),"NO CONVICTION",IF(OR(AL258="HCJ",AL258="MHH",AL258="PROBATION",AL258="STJ",AL258="TDC"),"CONVICTION",IF(AL258="DEFERRED","DEFERRED",0)))</f>
        <v>CONVICTION</v>
      </c>
      <c r="BM258" s="129" t="str">
        <f t="shared" si="178"/>
        <v>NONE</v>
      </c>
      <c r="BN258" s="129" t="s">
        <v>566</v>
      </c>
      <c r="BP258" s="137" t="str">
        <f t="shared" si="162"/>
        <v>CONVICTION</v>
      </c>
      <c r="BQ258" s="128" t="str">
        <f t="shared" si="163"/>
        <v>Y</v>
      </c>
      <c r="BR258" s="129" t="str">
        <f t="shared" si="179"/>
        <v>DETAINED</v>
      </c>
      <c r="BS258" s="129" t="str">
        <f t="shared" si="164"/>
        <v>DISPOSED</v>
      </c>
      <c r="BT258" s="129" t="str">
        <f t="shared" si="165"/>
        <v>Y</v>
      </c>
      <c r="BU258" s="109">
        <f t="shared" si="166"/>
        <v>1</v>
      </c>
      <c r="BV258" s="109">
        <f t="shared" si="180"/>
        <v>1</v>
      </c>
      <c r="BW258" s="109">
        <f t="shared" si="197"/>
        <v>0</v>
      </c>
      <c r="BX258" s="111">
        <f t="shared" si="167"/>
        <v>0</v>
      </c>
      <c r="BY258" s="129">
        <f t="shared" si="168"/>
        <v>-40</v>
      </c>
      <c r="BZ258" s="111">
        <f t="shared" si="169"/>
        <v>0</v>
      </c>
      <c r="CA258" s="138">
        <f t="shared" si="170"/>
        <v>40</v>
      </c>
      <c r="CB258" s="111" t="e">
        <f t="shared" si="208"/>
        <v>#VALUE!</v>
      </c>
      <c r="CC258" s="129">
        <f t="shared" si="209"/>
        <v>40</v>
      </c>
      <c r="CD258" s="129">
        <f t="shared" si="210"/>
        <v>0</v>
      </c>
      <c r="CE258" s="129">
        <f t="shared" si="171"/>
        <v>0</v>
      </c>
      <c r="CG258" s="129" t="str">
        <f t="shared" si="172"/>
        <v>Y</v>
      </c>
      <c r="CI258" s="129" t="str">
        <f t="shared" si="173"/>
        <v>31-60 DAYS</v>
      </c>
      <c r="CJ258" s="137">
        <f t="shared" si="174"/>
        <v>3</v>
      </c>
      <c r="CK258" s="129" t="str">
        <f t="shared" si="175"/>
        <v>Booked</v>
      </c>
    </row>
    <row r="259" spans="1:89" ht="15" customHeight="1" x14ac:dyDescent="0.25">
      <c r="A259" s="111">
        <v>1554</v>
      </c>
      <c r="B259" s="128" t="str">
        <f t="shared" ref="B259:B322" si="216">IF(BD259&lt;&gt;"","Y","N")</f>
        <v>N</v>
      </c>
      <c r="C259" s="128" t="str">
        <f t="shared" ref="C259:C322" si="217">IF((AND(AV259="",AX259="",AY259="")),"N","Y")</f>
        <v>N</v>
      </c>
      <c r="D259" s="117">
        <v>857348</v>
      </c>
      <c r="E259" s="135">
        <f t="shared" ref="E259:E322" si="218">IF(OR(AL259="ACQUITTAL",AL259="ACQUIT",AL259="acq insane",AL259="DISMISSED",AL259="NO BILL"),1,IF(AL259="DEFERRED",2,IF(AL259="PROBATION",3,IF(OR(AL259="HCJ",AL259="fine"),4,IF(AL259="STJ",5,IF(AL259="TDC",6,""))))))</f>
        <v>6</v>
      </c>
      <c r="F259" s="124">
        <v>40966</v>
      </c>
      <c r="G259" s="125">
        <v>41009</v>
      </c>
      <c r="H259" s="117">
        <v>857348</v>
      </c>
      <c r="I259" s="124">
        <v>40967</v>
      </c>
      <c r="J259" s="124">
        <v>41009</v>
      </c>
      <c r="K259" s="126" t="s">
        <v>564</v>
      </c>
      <c r="L259" s="127" t="s">
        <v>564</v>
      </c>
      <c r="N259" s="129" t="s">
        <v>566</v>
      </c>
      <c r="O259" s="128" t="s">
        <v>917</v>
      </c>
      <c r="P259" s="129" t="s">
        <v>39</v>
      </c>
      <c r="Q259" s="111">
        <f t="shared" si="206"/>
        <v>43</v>
      </c>
      <c r="R259" s="111">
        <f t="shared" si="211"/>
        <v>44</v>
      </c>
      <c r="S259" s="129">
        <v>0</v>
      </c>
      <c r="T259" s="129">
        <v>2</v>
      </c>
      <c r="W259" s="111"/>
      <c r="AC259" s="130"/>
      <c r="AD259" s="130">
        <v>20688</v>
      </c>
      <c r="AE259" s="128" t="s">
        <v>46</v>
      </c>
      <c r="AF259" s="128" t="s">
        <v>33</v>
      </c>
      <c r="AG259" s="128" t="s">
        <v>872</v>
      </c>
      <c r="AH259" s="108" t="s">
        <v>58</v>
      </c>
      <c r="AI259" s="128" t="s">
        <v>53</v>
      </c>
      <c r="AJ259" s="129" t="s">
        <v>89</v>
      </c>
      <c r="AK259" s="129">
        <v>3</v>
      </c>
      <c r="AL259" s="3" t="s">
        <v>362</v>
      </c>
      <c r="AM259" s="117">
        <v>2</v>
      </c>
      <c r="AP259" s="129" t="s">
        <v>111</v>
      </c>
      <c r="AR259" s="128" t="s">
        <v>67</v>
      </c>
      <c r="AS259" s="129" t="s">
        <v>45</v>
      </c>
      <c r="AX259" s="32"/>
      <c r="BC259" s="129" t="s">
        <v>38</v>
      </c>
      <c r="BF259" s="111">
        <f t="shared" si="207"/>
        <v>43</v>
      </c>
      <c r="BG259" s="111">
        <f t="shared" si="202"/>
        <v>43</v>
      </c>
      <c r="BH259" s="111">
        <f t="shared" si="212"/>
        <v>44</v>
      </c>
      <c r="BI259" s="111">
        <f t="shared" si="213"/>
        <v>55.404371584699454</v>
      </c>
      <c r="BJ259" s="129">
        <f t="shared" ref="BJ259:BJ322" si="219">G259-J259-M259</f>
        <v>0</v>
      </c>
      <c r="BK259" s="129">
        <f t="shared" si="214"/>
        <v>0</v>
      </c>
      <c r="BL259" s="129" t="str">
        <f t="shared" si="215"/>
        <v>CONVICTION</v>
      </c>
      <c r="BM259" s="129" t="str">
        <f t="shared" ref="BM259:BM322" si="220">O259</f>
        <v>NONE</v>
      </c>
      <c r="BN259" s="129" t="s">
        <v>566</v>
      </c>
      <c r="BP259" s="137" t="str">
        <f t="shared" ref="BP259:BP322" si="221">IF(OR(AJ259="AQUITTAL",AJ259="DISMISSED",AJ259="FINE",AJ259="NO BILL"),"NO CONVICTION",IF(OR(AJ259="HCJ",AJ259="MHH",AJ259="PROBATION",AJ259="STJ",AJ259="TDC",AJ259="CONVICTED"),"CONVICTION",IF(AJ259="DEFERRED","DEFERRED","")))</f>
        <v>CONVICTION</v>
      </c>
      <c r="BQ259" s="128" t="str">
        <f t="shared" ref="BQ259:BQ322" si="222">IF(BF259&gt;0,"Y",BF259)</f>
        <v>Y</v>
      </c>
      <c r="BR259" s="129" t="str">
        <f t="shared" ref="BR259:BR322" si="223">IF(AND(J259="NOT BOOKED",M259&gt;1/1/1),"BONDED - BEFORE BOOKED",IF(BG259="STILL OPEN","STILL OPEN",IF(N259="Y","ON BOND",IF(J259&gt;=G259,"DETAINED","RELEASED"))))</f>
        <v>DETAINED</v>
      </c>
      <c r="BS259" s="129" t="str">
        <f t="shared" ref="BS259:BS322" si="224">IF(G259&lt;&gt;"","DISPOSED","")</f>
        <v>DISPOSED</v>
      </c>
      <c r="BT259" s="129" t="str">
        <f t="shared" ref="BT259:BT322" si="225">IF(S259&gt;0,"Y","N")</f>
        <v>N</v>
      </c>
      <c r="BU259" s="109">
        <f t="shared" ref="BU259:BU322" si="226">Q259/R259</f>
        <v>0.97727272727272729</v>
      </c>
      <c r="BV259" s="109">
        <f t="shared" ref="BV259:BV322" si="227">IF(I259&gt;F259,((J259-I259+1)/(G259-I259+1)),(J259-I259+1)/(G259-F259+1))</f>
        <v>1</v>
      </c>
      <c r="BW259" s="109">
        <f t="shared" si="197"/>
        <v>2.2727272727272707E-2</v>
      </c>
      <c r="BX259" s="111">
        <f t="shared" ref="BX259:BX322" si="228">+Q259-BF259</f>
        <v>0</v>
      </c>
      <c r="BY259" s="129">
        <f t="shared" ref="BY259:BY322" si="229">I259-J259-1</f>
        <v>-43</v>
      </c>
      <c r="BZ259" s="111">
        <f t="shared" ref="BZ259:BZ322" si="230">BY259+BF259</f>
        <v>0</v>
      </c>
      <c r="CA259" s="138">
        <f t="shared" ref="CA259:CA322" si="231">IF(AND(BS259="DISPOSED",BR259="DETAINED"),G259-I259+1,IF(AND(BS259="DISPOSED",BR259="ON BOND"),M259-I259+1,IF(AND(BS259="STILL OPEN","STILL OPEN"),"NOT BOOKED")))</f>
        <v>43</v>
      </c>
      <c r="CB259" s="111" t="e">
        <f t="shared" si="208"/>
        <v>#VALUE!</v>
      </c>
      <c r="CC259" s="129">
        <f t="shared" si="209"/>
        <v>43</v>
      </c>
      <c r="CD259" s="129">
        <f t="shared" si="210"/>
        <v>0</v>
      </c>
      <c r="CE259" s="129">
        <f t="shared" ref="CE259:CE322" si="232">G259-J259</f>
        <v>0</v>
      </c>
      <c r="CG259" s="129" t="str">
        <f t="shared" ref="CG259:CG322" si="233">IF((S259+T259+U259)&gt;0,"Y","N")</f>
        <v>Y</v>
      </c>
      <c r="CI259" s="129" t="str">
        <f t="shared" ref="CI259:CI322" si="234">IF(BF259&lt;11,"0-10 DAYS",IF(AND(BF259&gt;10,BF259&lt;31),"11-30 DAYS",IF((AND(BF259&gt;30,BF259&lt;61)),"31-60 DAYS",IF(AND(BF259&gt;60,BF259&lt;91),"61-90 DAYS",IF(AND(BF259&gt;90,BF259&lt;121),"91-120 DAYS",IF(AND(BF259&gt;120,BF259&lt;366),"121-365 DAYS",IF(AND(BF259&gt;365,BF259&lt;730)," &gt;1YRS&lt;2YRS",IF(AND(BF259&gt;729,BF259&lt;1095),"&gt;2YRS&lt;3YRS",IF(BF259&gt;1094,"&gt;3YRS")))))))))</f>
        <v>31-60 DAYS</v>
      </c>
      <c r="CJ259" s="137">
        <f t="shared" ref="CJ259:CJ322" si="235">IF(CI259="0-10 DAYS",1,IF(CI259="11-30 DAYS",2,IF(CI259="31-60 DAYS",3,IF(CI259="61-90 DAYS",4,IF(CK259="91-120 DAYS",5,IF(CI259="121-365 DAYS",6,IF(CI259="&gt;1YRS&lt;2YRS",7,IF(CI259="&gt;2YRS&lt;3YRS",8,IF(CI259="&gt;3YRS",9,0)))))))))</f>
        <v>3</v>
      </c>
      <c r="CK259" s="129" t="str">
        <f t="shared" ref="CK259:CK322" si="236">IF(I259="Not Booked","Not Booked","Booked")</f>
        <v>Booked</v>
      </c>
    </row>
    <row r="260" spans="1:89" ht="15.75" customHeight="1" x14ac:dyDescent="0.25">
      <c r="A260" s="111">
        <v>3261</v>
      </c>
      <c r="B260" s="128" t="str">
        <f t="shared" si="216"/>
        <v>N</v>
      </c>
      <c r="C260" s="128" t="str">
        <f t="shared" si="217"/>
        <v>N</v>
      </c>
      <c r="D260" s="117">
        <v>857762</v>
      </c>
      <c r="E260" s="135">
        <f t="shared" si="218"/>
        <v>6</v>
      </c>
      <c r="F260" s="124">
        <v>41029</v>
      </c>
      <c r="G260" s="125">
        <v>41233</v>
      </c>
      <c r="H260" s="117">
        <v>857762</v>
      </c>
      <c r="I260" s="124">
        <v>41029</v>
      </c>
      <c r="J260" s="125">
        <v>41233</v>
      </c>
      <c r="K260" s="126" t="s">
        <v>564</v>
      </c>
      <c r="L260" s="127" t="s">
        <v>564</v>
      </c>
      <c r="N260" s="129" t="s">
        <v>566</v>
      </c>
      <c r="O260" s="128" t="s">
        <v>917</v>
      </c>
      <c r="P260" s="129" t="s">
        <v>39</v>
      </c>
      <c r="Q260" s="111">
        <f t="shared" si="206"/>
        <v>205</v>
      </c>
      <c r="R260" s="111">
        <f t="shared" si="211"/>
        <v>205</v>
      </c>
      <c r="S260" s="129">
        <v>5</v>
      </c>
      <c r="T260" s="129">
        <v>0</v>
      </c>
      <c r="U260" s="129">
        <v>3</v>
      </c>
      <c r="V260" s="117">
        <v>1</v>
      </c>
      <c r="W260" s="111"/>
      <c r="AC260" s="130"/>
      <c r="AD260" s="130">
        <v>23232</v>
      </c>
      <c r="AE260" s="128" t="s">
        <v>32</v>
      </c>
      <c r="AF260" s="128" t="s">
        <v>192</v>
      </c>
      <c r="AG260" s="128" t="s">
        <v>873</v>
      </c>
      <c r="AH260" s="108" t="s">
        <v>58</v>
      </c>
      <c r="AI260" s="128" t="s">
        <v>71</v>
      </c>
      <c r="AJ260" s="129" t="s">
        <v>89</v>
      </c>
      <c r="AK260" s="129">
        <v>8</v>
      </c>
      <c r="AL260" s="3" t="s">
        <v>362</v>
      </c>
      <c r="AM260" s="114">
        <v>27</v>
      </c>
      <c r="AP260" s="129" t="s">
        <v>131</v>
      </c>
      <c r="AR260" s="128" t="s">
        <v>50</v>
      </c>
      <c r="AS260" s="129" t="s">
        <v>106</v>
      </c>
      <c r="BC260" s="129" t="s">
        <v>38</v>
      </c>
      <c r="BF260" s="111">
        <f t="shared" si="207"/>
        <v>205</v>
      </c>
      <c r="BG260" s="111">
        <f t="shared" si="202"/>
        <v>205</v>
      </c>
      <c r="BH260" s="111">
        <f t="shared" si="212"/>
        <v>205</v>
      </c>
      <c r="BI260" s="111">
        <f t="shared" si="213"/>
        <v>48.625683060109289</v>
      </c>
      <c r="BJ260" s="129">
        <f t="shared" si="219"/>
        <v>0</v>
      </c>
      <c r="BK260" s="129">
        <f t="shared" si="214"/>
        <v>0</v>
      </c>
      <c r="BL260" s="129" t="str">
        <f t="shared" si="215"/>
        <v>CONVICTION</v>
      </c>
      <c r="BM260" s="129" t="str">
        <f t="shared" si="220"/>
        <v>NONE</v>
      </c>
      <c r="BN260" s="129" t="s">
        <v>566</v>
      </c>
      <c r="BP260" s="137" t="str">
        <f t="shared" si="221"/>
        <v>CONVICTION</v>
      </c>
      <c r="BQ260" s="128" t="str">
        <f t="shared" si="222"/>
        <v>Y</v>
      </c>
      <c r="BR260" s="129" t="str">
        <f t="shared" si="223"/>
        <v>DETAINED</v>
      </c>
      <c r="BS260" s="129" t="str">
        <f t="shared" si="224"/>
        <v>DISPOSED</v>
      </c>
      <c r="BT260" s="129" t="str">
        <f t="shared" si="225"/>
        <v>Y</v>
      </c>
      <c r="BU260" s="109">
        <f t="shared" si="226"/>
        <v>1</v>
      </c>
      <c r="BV260" s="109">
        <f t="shared" si="227"/>
        <v>1</v>
      </c>
      <c r="BW260" s="109">
        <f t="shared" si="197"/>
        <v>0</v>
      </c>
      <c r="BX260" s="111">
        <f t="shared" si="228"/>
        <v>0</v>
      </c>
      <c r="BY260" s="129">
        <f t="shared" si="229"/>
        <v>-205</v>
      </c>
      <c r="BZ260" s="111">
        <f t="shared" si="230"/>
        <v>0</v>
      </c>
      <c r="CA260" s="138">
        <f t="shared" si="231"/>
        <v>205</v>
      </c>
      <c r="CB260" s="111" t="e">
        <f t="shared" si="208"/>
        <v>#VALUE!</v>
      </c>
      <c r="CC260" s="129">
        <f t="shared" si="209"/>
        <v>205</v>
      </c>
      <c r="CD260" s="129">
        <f t="shared" si="210"/>
        <v>0</v>
      </c>
      <c r="CE260" s="129">
        <f t="shared" si="232"/>
        <v>0</v>
      </c>
      <c r="CG260" s="129" t="str">
        <f t="shared" si="233"/>
        <v>Y</v>
      </c>
      <c r="CI260" s="129" t="str">
        <f t="shared" si="234"/>
        <v>121-365 DAYS</v>
      </c>
      <c r="CJ260" s="137">
        <f t="shared" si="235"/>
        <v>6</v>
      </c>
      <c r="CK260" s="129" t="str">
        <f t="shared" si="236"/>
        <v>Booked</v>
      </c>
    </row>
    <row r="261" spans="1:89" ht="15.75" customHeight="1" x14ac:dyDescent="0.25">
      <c r="A261" s="111">
        <v>1916</v>
      </c>
      <c r="B261" s="128" t="str">
        <f t="shared" si="216"/>
        <v>N</v>
      </c>
      <c r="C261" s="128" t="str">
        <f t="shared" si="217"/>
        <v>N</v>
      </c>
      <c r="D261" s="117">
        <v>858463</v>
      </c>
      <c r="E261" s="135">
        <f t="shared" si="218"/>
        <v>3</v>
      </c>
      <c r="F261" s="124">
        <v>40980</v>
      </c>
      <c r="G261" s="125">
        <v>40990</v>
      </c>
      <c r="H261" s="117">
        <v>858463</v>
      </c>
      <c r="I261" s="124">
        <v>40980</v>
      </c>
      <c r="J261" s="124">
        <v>40990</v>
      </c>
      <c r="K261" s="126">
        <v>30000</v>
      </c>
      <c r="L261" s="129" t="s">
        <v>572</v>
      </c>
      <c r="N261" s="129" t="str">
        <f>IF(M261&gt;1/1/1,"Y","N")</f>
        <v>N</v>
      </c>
      <c r="O261" s="128" t="s">
        <v>917</v>
      </c>
      <c r="P261" s="129" t="s">
        <v>39</v>
      </c>
      <c r="Q261" s="111">
        <f t="shared" si="206"/>
        <v>11</v>
      </c>
      <c r="R261" s="111">
        <f t="shared" si="211"/>
        <v>11</v>
      </c>
      <c r="S261" s="129">
        <v>2</v>
      </c>
      <c r="T261" s="129">
        <v>2</v>
      </c>
      <c r="U261" s="129">
        <v>1</v>
      </c>
      <c r="W261" s="111"/>
      <c r="AC261" s="130"/>
      <c r="AD261" s="130">
        <v>25445</v>
      </c>
      <c r="AE261" s="128" t="s">
        <v>32</v>
      </c>
      <c r="AF261" s="128" t="s">
        <v>69</v>
      </c>
      <c r="AG261" s="128" t="s">
        <v>874</v>
      </c>
      <c r="AH261" s="108" t="s">
        <v>58</v>
      </c>
      <c r="AI261" s="128" t="s">
        <v>53</v>
      </c>
      <c r="AJ261" s="129" t="s">
        <v>89</v>
      </c>
      <c r="AK261" s="129">
        <v>1</v>
      </c>
      <c r="AL261" s="3" t="s">
        <v>185</v>
      </c>
      <c r="AP261" s="129" t="s">
        <v>150</v>
      </c>
      <c r="AR261" s="128" t="s">
        <v>67</v>
      </c>
      <c r="AS261" s="129" t="s">
        <v>74</v>
      </c>
      <c r="BC261" s="129" t="s">
        <v>52</v>
      </c>
      <c r="BF261" s="111">
        <f t="shared" si="207"/>
        <v>11</v>
      </c>
      <c r="BG261" s="111">
        <f t="shared" si="202"/>
        <v>11</v>
      </c>
      <c r="BH261" s="111">
        <f t="shared" si="212"/>
        <v>11</v>
      </c>
      <c r="BI261" s="111">
        <f t="shared" si="213"/>
        <v>42.44535519125683</v>
      </c>
      <c r="BJ261" s="129">
        <f t="shared" si="219"/>
        <v>0</v>
      </c>
      <c r="BK261" s="129">
        <f t="shared" si="214"/>
        <v>0</v>
      </c>
      <c r="BL261" s="129" t="str">
        <f t="shared" si="215"/>
        <v>CONVICTION</v>
      </c>
      <c r="BM261" s="129" t="str">
        <f t="shared" si="220"/>
        <v>NONE</v>
      </c>
      <c r="BN261" s="129" t="s">
        <v>566</v>
      </c>
      <c r="BP261" s="137" t="str">
        <f t="shared" si="221"/>
        <v>CONVICTION</v>
      </c>
      <c r="BQ261" s="128" t="str">
        <f t="shared" si="222"/>
        <v>Y</v>
      </c>
      <c r="BR261" s="129" t="str">
        <f t="shared" si="223"/>
        <v>DETAINED</v>
      </c>
      <c r="BS261" s="129" t="str">
        <f t="shared" si="224"/>
        <v>DISPOSED</v>
      </c>
      <c r="BT261" s="129" t="str">
        <f t="shared" si="225"/>
        <v>Y</v>
      </c>
      <c r="BU261" s="109">
        <f t="shared" si="226"/>
        <v>1</v>
      </c>
      <c r="BV261" s="109">
        <f t="shared" si="227"/>
        <v>1</v>
      </c>
      <c r="BW261" s="109">
        <f t="shared" si="197"/>
        <v>0</v>
      </c>
      <c r="BX261" s="111">
        <f t="shared" si="228"/>
        <v>0</v>
      </c>
      <c r="BY261" s="129">
        <f t="shared" si="229"/>
        <v>-11</v>
      </c>
      <c r="BZ261" s="111">
        <f t="shared" si="230"/>
        <v>0</v>
      </c>
      <c r="CA261" s="138">
        <f t="shared" si="231"/>
        <v>11</v>
      </c>
      <c r="CB261" s="111" t="e">
        <f t="shared" si="208"/>
        <v>#VALUE!</v>
      </c>
      <c r="CC261" s="129">
        <f t="shared" si="209"/>
        <v>11</v>
      </c>
      <c r="CD261" s="129">
        <f t="shared" si="210"/>
        <v>0</v>
      </c>
      <c r="CE261" s="129">
        <f t="shared" si="232"/>
        <v>0</v>
      </c>
      <c r="CG261" s="129" t="str">
        <f t="shared" si="233"/>
        <v>Y</v>
      </c>
      <c r="CI261" s="129" t="str">
        <f t="shared" si="234"/>
        <v>11-30 DAYS</v>
      </c>
      <c r="CJ261" s="137">
        <f t="shared" si="235"/>
        <v>2</v>
      </c>
      <c r="CK261" s="129" t="str">
        <f t="shared" si="236"/>
        <v>Booked</v>
      </c>
    </row>
    <row r="262" spans="1:89" ht="15.75" customHeight="1" x14ac:dyDescent="0.25">
      <c r="A262" s="111">
        <v>2865</v>
      </c>
      <c r="B262" s="128" t="str">
        <f t="shared" si="216"/>
        <v>N</v>
      </c>
      <c r="C262" s="128" t="str">
        <f t="shared" si="217"/>
        <v>N</v>
      </c>
      <c r="D262" s="117">
        <v>861498</v>
      </c>
      <c r="E262" s="135">
        <f t="shared" si="218"/>
        <v>5</v>
      </c>
      <c r="F262" s="124">
        <v>41014</v>
      </c>
      <c r="G262" s="125">
        <v>41040</v>
      </c>
      <c r="H262" s="117">
        <v>861498</v>
      </c>
      <c r="I262" s="124">
        <v>41015</v>
      </c>
      <c r="J262" s="124">
        <v>41040</v>
      </c>
      <c r="K262" s="126">
        <v>15000</v>
      </c>
      <c r="L262" s="127" t="s">
        <v>571</v>
      </c>
      <c r="N262" s="129" t="str">
        <f>IF(M262&gt;1/1/1,"Y","N")</f>
        <v>N</v>
      </c>
      <c r="O262" s="128" t="s">
        <v>917</v>
      </c>
      <c r="P262" s="129" t="s">
        <v>39</v>
      </c>
      <c r="Q262" s="111">
        <f t="shared" si="206"/>
        <v>26</v>
      </c>
      <c r="R262" s="111">
        <f t="shared" si="211"/>
        <v>27</v>
      </c>
      <c r="S262" s="129">
        <v>5</v>
      </c>
      <c r="T262" s="129">
        <v>2</v>
      </c>
      <c r="U262" s="129">
        <v>4</v>
      </c>
      <c r="W262" s="111"/>
      <c r="AC262" s="130"/>
      <c r="AD262" s="130">
        <v>19492</v>
      </c>
      <c r="AE262" s="128" t="s">
        <v>32</v>
      </c>
      <c r="AF262" s="128" t="s">
        <v>33</v>
      </c>
      <c r="AG262" s="128" t="s">
        <v>872</v>
      </c>
      <c r="AH262" s="108" t="s">
        <v>31</v>
      </c>
      <c r="AI262" s="128" t="s">
        <v>70</v>
      </c>
      <c r="AJ262" s="129" t="s">
        <v>89</v>
      </c>
      <c r="AK262" s="129">
        <v>2</v>
      </c>
      <c r="AL262" s="3" t="s">
        <v>992</v>
      </c>
      <c r="AN262" s="117">
        <v>7</v>
      </c>
      <c r="AP262" s="129" t="s">
        <v>43</v>
      </c>
      <c r="AR262" s="128" t="s">
        <v>44</v>
      </c>
      <c r="AS262" s="129" t="s">
        <v>45</v>
      </c>
      <c r="BC262" s="129" t="s">
        <v>38</v>
      </c>
      <c r="BF262" s="111">
        <f t="shared" si="207"/>
        <v>26</v>
      </c>
      <c r="BG262" s="111">
        <f t="shared" si="202"/>
        <v>26</v>
      </c>
      <c r="BH262" s="111">
        <f t="shared" si="212"/>
        <v>27</v>
      </c>
      <c r="BI262" s="111">
        <f t="shared" si="213"/>
        <v>58.803278688524593</v>
      </c>
      <c r="BJ262" s="129">
        <f t="shared" si="219"/>
        <v>0</v>
      </c>
      <c r="BK262" s="129">
        <f t="shared" si="214"/>
        <v>0</v>
      </c>
      <c r="BL262" s="129" t="str">
        <f t="shared" si="215"/>
        <v>CONVICTION</v>
      </c>
      <c r="BM262" s="129" t="str">
        <f t="shared" si="220"/>
        <v>NONE</v>
      </c>
      <c r="BN262" s="129" t="s">
        <v>566</v>
      </c>
      <c r="BP262" s="137" t="str">
        <f t="shared" si="221"/>
        <v>CONVICTION</v>
      </c>
      <c r="BQ262" s="128" t="str">
        <f t="shared" si="222"/>
        <v>Y</v>
      </c>
      <c r="BR262" s="129" t="str">
        <f t="shared" si="223"/>
        <v>DETAINED</v>
      </c>
      <c r="BS262" s="129" t="str">
        <f t="shared" si="224"/>
        <v>DISPOSED</v>
      </c>
      <c r="BT262" s="129" t="str">
        <f t="shared" si="225"/>
        <v>Y</v>
      </c>
      <c r="BU262" s="109">
        <f t="shared" si="226"/>
        <v>0.96296296296296291</v>
      </c>
      <c r="BV262" s="109">
        <f t="shared" si="227"/>
        <v>1</v>
      </c>
      <c r="BW262" s="109">
        <f t="shared" si="197"/>
        <v>3.703703703703709E-2</v>
      </c>
      <c r="BX262" s="111">
        <f t="shared" si="228"/>
        <v>0</v>
      </c>
      <c r="BY262" s="129">
        <f t="shared" si="229"/>
        <v>-26</v>
      </c>
      <c r="BZ262" s="111">
        <f t="shared" si="230"/>
        <v>0</v>
      </c>
      <c r="CA262" s="138">
        <f t="shared" si="231"/>
        <v>26</v>
      </c>
      <c r="CB262" s="111" t="e">
        <f t="shared" si="208"/>
        <v>#VALUE!</v>
      </c>
      <c r="CC262" s="129">
        <f t="shared" si="209"/>
        <v>26</v>
      </c>
      <c r="CD262" s="129">
        <f t="shared" si="210"/>
        <v>0</v>
      </c>
      <c r="CE262" s="129">
        <f t="shared" si="232"/>
        <v>0</v>
      </c>
      <c r="CG262" s="129" t="str">
        <f t="shared" si="233"/>
        <v>Y</v>
      </c>
      <c r="CI262" s="129" t="str">
        <f t="shared" si="234"/>
        <v>11-30 DAYS</v>
      </c>
      <c r="CJ262" s="137">
        <f t="shared" si="235"/>
        <v>2</v>
      </c>
      <c r="CK262" s="129" t="str">
        <f t="shared" si="236"/>
        <v>Booked</v>
      </c>
    </row>
    <row r="263" spans="1:89" ht="15.75" customHeight="1" x14ac:dyDescent="0.25">
      <c r="A263" s="111">
        <v>2801</v>
      </c>
      <c r="B263" s="128" t="str">
        <f t="shared" si="216"/>
        <v>N</v>
      </c>
      <c r="C263" s="128" t="str">
        <f t="shared" si="217"/>
        <v>N</v>
      </c>
      <c r="D263" s="117">
        <v>862811</v>
      </c>
      <c r="E263" s="135">
        <f t="shared" si="218"/>
        <v>6</v>
      </c>
      <c r="F263" s="124">
        <v>41012</v>
      </c>
      <c r="G263" s="125">
        <v>41681</v>
      </c>
      <c r="H263" s="117">
        <v>862811</v>
      </c>
      <c r="I263" s="124">
        <v>41051</v>
      </c>
      <c r="J263" s="124"/>
      <c r="K263" s="126" t="s">
        <v>564</v>
      </c>
      <c r="L263" s="127" t="s">
        <v>564</v>
      </c>
      <c r="N263" s="129" t="s">
        <v>566</v>
      </c>
      <c r="O263" s="128" t="s">
        <v>917</v>
      </c>
      <c r="P263" s="129" t="s">
        <v>39</v>
      </c>
      <c r="Q263" s="111">
        <f>BF263</f>
        <v>39</v>
      </c>
      <c r="R263" s="111">
        <f t="shared" si="211"/>
        <v>670</v>
      </c>
      <c r="S263" s="129">
        <v>4</v>
      </c>
      <c r="T263" s="129">
        <v>0</v>
      </c>
      <c r="U263" s="129">
        <v>2</v>
      </c>
      <c r="V263" s="117">
        <v>8</v>
      </c>
      <c r="W263" s="111"/>
      <c r="AC263" s="130"/>
      <c r="AD263" s="130">
        <v>25570</v>
      </c>
      <c r="AE263" s="128" t="s">
        <v>32</v>
      </c>
      <c r="AF263" s="128" t="s">
        <v>33</v>
      </c>
      <c r="AG263" s="128" t="s">
        <v>872</v>
      </c>
      <c r="AH263" s="108" t="s">
        <v>31</v>
      </c>
      <c r="AI263" s="128" t="s">
        <v>87</v>
      </c>
      <c r="AJ263" s="129" t="s">
        <v>89</v>
      </c>
      <c r="AK263" s="129">
        <v>20</v>
      </c>
      <c r="AL263" s="3" t="s">
        <v>362</v>
      </c>
      <c r="AM263" s="117">
        <v>30</v>
      </c>
      <c r="AP263" s="129" t="s">
        <v>170</v>
      </c>
      <c r="AR263" s="128" t="s">
        <v>67</v>
      </c>
      <c r="AS263" s="129" t="s">
        <v>64</v>
      </c>
      <c r="AX263" s="32"/>
      <c r="BC263" s="129" t="s">
        <v>38</v>
      </c>
      <c r="BF263" s="111">
        <v>39</v>
      </c>
      <c r="BG263" s="111">
        <f t="shared" si="202"/>
        <v>631</v>
      </c>
      <c r="BH263" s="111">
        <f t="shared" si="212"/>
        <v>670</v>
      </c>
      <c r="BI263" s="111">
        <f t="shared" si="213"/>
        <v>42.191256830601091</v>
      </c>
      <c r="BJ263" s="129">
        <f t="shared" si="219"/>
        <v>41681</v>
      </c>
      <c r="BK263" s="129">
        <f t="shared" si="214"/>
        <v>-41681</v>
      </c>
      <c r="BL263" s="129" t="str">
        <f t="shared" si="215"/>
        <v>CONVICTION</v>
      </c>
      <c r="BM263" s="129" t="str">
        <f t="shared" si="220"/>
        <v>NONE</v>
      </c>
      <c r="BN263" s="129" t="s">
        <v>566</v>
      </c>
      <c r="BP263" s="137" t="str">
        <f t="shared" si="221"/>
        <v>CONVICTION</v>
      </c>
      <c r="BQ263" s="128" t="str">
        <f t="shared" si="222"/>
        <v>Y</v>
      </c>
      <c r="BR263" s="129" t="s">
        <v>574</v>
      </c>
      <c r="BS263" s="129" t="s">
        <v>1259</v>
      </c>
      <c r="BT263" s="129" t="str">
        <f t="shared" si="225"/>
        <v>Y</v>
      </c>
      <c r="BU263" s="109">
        <v>0.94199999999999995</v>
      </c>
      <c r="BV263" s="139">
        <v>0.94199999999999995</v>
      </c>
      <c r="BW263" s="109">
        <v>0</v>
      </c>
      <c r="BX263" s="111">
        <f t="shared" si="228"/>
        <v>0</v>
      </c>
      <c r="BY263" s="129">
        <f t="shared" si="229"/>
        <v>41050</v>
      </c>
      <c r="BZ263" s="111">
        <f t="shared" si="230"/>
        <v>41089</v>
      </c>
      <c r="CA263" s="138">
        <f t="shared" si="231"/>
        <v>631</v>
      </c>
      <c r="CB263" s="111" t="e">
        <f t="shared" si="208"/>
        <v>#VALUE!</v>
      </c>
      <c r="CC263" s="129">
        <v>39</v>
      </c>
      <c r="CE263" s="129">
        <f t="shared" si="232"/>
        <v>41681</v>
      </c>
      <c r="CG263" s="129" t="str">
        <f t="shared" si="233"/>
        <v>Y</v>
      </c>
      <c r="CH263" s="129" t="e">
        <v>#N/A</v>
      </c>
      <c r="CI263" s="129" t="str">
        <f t="shared" si="234"/>
        <v>31-60 DAYS</v>
      </c>
      <c r="CJ263" s="137">
        <f t="shared" si="235"/>
        <v>3</v>
      </c>
      <c r="CK263" s="129" t="str">
        <f t="shared" si="236"/>
        <v>Booked</v>
      </c>
    </row>
    <row r="264" spans="1:89" ht="15.75" customHeight="1" x14ac:dyDescent="0.25">
      <c r="A264" s="111">
        <v>2169</v>
      </c>
      <c r="B264" s="128" t="str">
        <f t="shared" si="216"/>
        <v>N</v>
      </c>
      <c r="C264" s="128" t="str">
        <f t="shared" si="217"/>
        <v>N</v>
      </c>
      <c r="D264" s="117">
        <v>865441</v>
      </c>
      <c r="E264" s="135">
        <f t="shared" si="218"/>
        <v>6</v>
      </c>
      <c r="F264" s="124">
        <v>40990</v>
      </c>
      <c r="G264" s="125">
        <v>41045</v>
      </c>
      <c r="H264" s="117">
        <v>865441</v>
      </c>
      <c r="I264" s="124">
        <v>40990</v>
      </c>
      <c r="J264" s="124">
        <v>41045</v>
      </c>
      <c r="K264" s="126" t="s">
        <v>564</v>
      </c>
      <c r="L264" s="127" t="s">
        <v>564</v>
      </c>
      <c r="N264" s="129" t="s">
        <v>566</v>
      </c>
      <c r="O264" s="128" t="s">
        <v>917</v>
      </c>
      <c r="P264" s="129" t="s">
        <v>39</v>
      </c>
      <c r="Q264" s="111">
        <f t="shared" si="206"/>
        <v>56</v>
      </c>
      <c r="R264" s="111">
        <f t="shared" si="211"/>
        <v>56</v>
      </c>
      <c r="S264" s="129">
        <v>2</v>
      </c>
      <c r="T264" s="129">
        <v>1</v>
      </c>
      <c r="U264" s="129">
        <v>2</v>
      </c>
      <c r="W264" s="111"/>
      <c r="AC264" s="130"/>
      <c r="AD264" s="130">
        <v>25521</v>
      </c>
      <c r="AE264" s="128" t="s">
        <v>32</v>
      </c>
      <c r="AF264" s="128" t="s">
        <v>33</v>
      </c>
      <c r="AG264" s="128" t="s">
        <v>872</v>
      </c>
      <c r="AH264" s="108" t="s">
        <v>31</v>
      </c>
      <c r="AI264" s="128" t="s">
        <v>90</v>
      </c>
      <c r="AJ264" s="129" t="s">
        <v>89</v>
      </c>
      <c r="AK264" s="129">
        <v>4</v>
      </c>
      <c r="AL264" s="3" t="s">
        <v>362</v>
      </c>
      <c r="AM264" s="117">
        <v>8</v>
      </c>
      <c r="AP264" s="129" t="s">
        <v>208</v>
      </c>
      <c r="AR264" s="128" t="s">
        <v>67</v>
      </c>
      <c r="AS264" s="129" t="s">
        <v>57</v>
      </c>
      <c r="BC264" s="129" t="s">
        <v>38</v>
      </c>
      <c r="BF264" s="111">
        <f t="shared" si="207"/>
        <v>56</v>
      </c>
      <c r="BG264" s="111">
        <f t="shared" si="202"/>
        <v>56</v>
      </c>
      <c r="BH264" s="111">
        <f t="shared" si="212"/>
        <v>56</v>
      </c>
      <c r="BI264" s="111">
        <f t="shared" si="213"/>
        <v>42.265027322404372</v>
      </c>
      <c r="BJ264" s="129">
        <f t="shared" si="219"/>
        <v>0</v>
      </c>
      <c r="BK264" s="129">
        <f t="shared" si="214"/>
        <v>0</v>
      </c>
      <c r="BL264" s="129" t="str">
        <f t="shared" si="215"/>
        <v>CONVICTION</v>
      </c>
      <c r="BM264" s="129" t="str">
        <f t="shared" si="220"/>
        <v>NONE</v>
      </c>
      <c r="BN264" s="129" t="s">
        <v>566</v>
      </c>
      <c r="BP264" s="137" t="str">
        <f t="shared" si="221"/>
        <v>CONVICTION</v>
      </c>
      <c r="BQ264" s="128" t="str">
        <f t="shared" si="222"/>
        <v>Y</v>
      </c>
      <c r="BR264" s="129" t="str">
        <f t="shared" si="223"/>
        <v>DETAINED</v>
      </c>
      <c r="BS264" s="129" t="str">
        <f t="shared" si="224"/>
        <v>DISPOSED</v>
      </c>
      <c r="BT264" s="129" t="str">
        <f t="shared" si="225"/>
        <v>Y</v>
      </c>
      <c r="BU264" s="109">
        <f t="shared" si="226"/>
        <v>1</v>
      </c>
      <c r="BV264" s="109">
        <f t="shared" si="227"/>
        <v>1</v>
      </c>
      <c r="BW264" s="109">
        <f t="shared" ref="BW264:BW327" si="237">BV264-BU264</f>
        <v>0</v>
      </c>
      <c r="BX264" s="111">
        <f t="shared" si="228"/>
        <v>0</v>
      </c>
      <c r="BY264" s="129">
        <f t="shared" si="229"/>
        <v>-56</v>
      </c>
      <c r="BZ264" s="111">
        <f t="shared" si="230"/>
        <v>0</v>
      </c>
      <c r="CA264" s="138">
        <f t="shared" si="231"/>
        <v>56</v>
      </c>
      <c r="CB264" s="111" t="e">
        <f t="shared" si="208"/>
        <v>#VALUE!</v>
      </c>
      <c r="CC264" s="129">
        <f>G264-I264+1</f>
        <v>56</v>
      </c>
      <c r="CD264" s="129">
        <f>G264-J264</f>
        <v>0</v>
      </c>
      <c r="CE264" s="129">
        <f t="shared" si="232"/>
        <v>0</v>
      </c>
      <c r="CG264" s="129" t="str">
        <f t="shared" si="233"/>
        <v>Y</v>
      </c>
      <c r="CI264" s="129" t="str">
        <f t="shared" si="234"/>
        <v>31-60 DAYS</v>
      </c>
      <c r="CJ264" s="137">
        <f t="shared" si="235"/>
        <v>3</v>
      </c>
      <c r="CK264" s="129" t="str">
        <f t="shared" si="236"/>
        <v>Booked</v>
      </c>
    </row>
    <row r="265" spans="1:89" ht="15" customHeight="1" x14ac:dyDescent="0.25">
      <c r="A265" s="111">
        <v>878</v>
      </c>
      <c r="B265" s="128" t="str">
        <f t="shared" si="216"/>
        <v>N</v>
      </c>
      <c r="C265" s="128" t="str">
        <f t="shared" si="217"/>
        <v>N</v>
      </c>
      <c r="D265" s="117">
        <v>867397</v>
      </c>
      <c r="E265" s="135">
        <f t="shared" si="218"/>
        <v>1</v>
      </c>
      <c r="F265" s="124">
        <v>40941</v>
      </c>
      <c r="G265" s="125">
        <v>40996</v>
      </c>
      <c r="H265" s="117">
        <v>867397</v>
      </c>
      <c r="I265" s="124">
        <v>40941</v>
      </c>
      <c r="J265" s="124">
        <v>40943</v>
      </c>
      <c r="K265" s="126">
        <v>2000</v>
      </c>
      <c r="L265" s="127" t="s">
        <v>568</v>
      </c>
      <c r="M265" s="125">
        <v>40943</v>
      </c>
      <c r="N265" s="129" t="str">
        <f t="shared" ref="N265:N274" si="238">IF(M265&gt;1/1/1,"Y","N")</f>
        <v>Y</v>
      </c>
      <c r="O265" s="128" t="s">
        <v>76</v>
      </c>
      <c r="P265" s="129" t="s">
        <v>55</v>
      </c>
      <c r="Q265" s="111">
        <f t="shared" si="206"/>
        <v>3</v>
      </c>
      <c r="R265" s="111">
        <f t="shared" si="211"/>
        <v>56</v>
      </c>
      <c r="S265" s="129">
        <v>0</v>
      </c>
      <c r="T265" s="129">
        <v>0</v>
      </c>
      <c r="W265" s="111"/>
      <c r="AC265" s="130"/>
      <c r="AD265" s="130">
        <v>22301</v>
      </c>
      <c r="AE265" s="128" t="s">
        <v>46</v>
      </c>
      <c r="AF265" s="128" t="s">
        <v>40</v>
      </c>
      <c r="AG265" s="128" t="s">
        <v>41</v>
      </c>
      <c r="AH265" s="108" t="s">
        <v>41</v>
      </c>
      <c r="AI265" s="128" t="s">
        <v>70</v>
      </c>
      <c r="AJ265" s="129" t="s">
        <v>55</v>
      </c>
      <c r="AK265" s="129">
        <v>3</v>
      </c>
      <c r="AL265" s="3" t="s">
        <v>55</v>
      </c>
      <c r="AP265" s="129" t="s">
        <v>104</v>
      </c>
      <c r="AR265" s="128" t="s">
        <v>44</v>
      </c>
      <c r="AS265" s="129" t="s">
        <v>64</v>
      </c>
      <c r="BC265" s="129" t="s">
        <v>52</v>
      </c>
      <c r="BF265" s="111">
        <f t="shared" si="207"/>
        <v>3</v>
      </c>
      <c r="BG265" s="111">
        <f t="shared" si="202"/>
        <v>56</v>
      </c>
      <c r="BH265" s="111">
        <f t="shared" si="212"/>
        <v>56</v>
      </c>
      <c r="BI265" s="111">
        <f t="shared" si="213"/>
        <v>50.928961748633881</v>
      </c>
      <c r="BJ265" s="129">
        <f>(G265-J265)+(M265-G265)</f>
        <v>0</v>
      </c>
      <c r="BK265" s="129">
        <f t="shared" si="214"/>
        <v>-53</v>
      </c>
      <c r="BL265" s="129" t="str">
        <f t="shared" si="215"/>
        <v>NO CONVICTION</v>
      </c>
      <c r="BM265" s="129" t="s">
        <v>76</v>
      </c>
      <c r="BN265" s="129" t="s">
        <v>88</v>
      </c>
      <c r="BP265" s="137" t="str">
        <f t="shared" si="221"/>
        <v>NO CONVICTION</v>
      </c>
      <c r="BQ265" s="128" t="str">
        <f t="shared" si="222"/>
        <v>Y</v>
      </c>
      <c r="BR265" s="129" t="str">
        <f t="shared" si="223"/>
        <v>ON BOND</v>
      </c>
      <c r="BS265" s="129" t="str">
        <f t="shared" si="224"/>
        <v>DISPOSED</v>
      </c>
      <c r="BT265" s="129" t="str">
        <f t="shared" si="225"/>
        <v>N</v>
      </c>
      <c r="BU265" s="109">
        <f>IFERROR(Q265/R265,BR265)</f>
        <v>5.3571428571428568E-2</v>
      </c>
      <c r="BV265" s="109">
        <f t="shared" si="227"/>
        <v>5.3571428571428568E-2</v>
      </c>
      <c r="BW265" s="109">
        <f t="shared" si="237"/>
        <v>0</v>
      </c>
      <c r="BX265" s="111">
        <f t="shared" si="228"/>
        <v>0</v>
      </c>
      <c r="BY265" s="129">
        <f t="shared" si="229"/>
        <v>-3</v>
      </c>
      <c r="BZ265" s="111">
        <f t="shared" si="230"/>
        <v>0</v>
      </c>
      <c r="CA265" s="138">
        <f t="shared" si="231"/>
        <v>3</v>
      </c>
      <c r="CB265" s="111" t="e">
        <f t="shared" si="208"/>
        <v>#VALUE!</v>
      </c>
      <c r="CC265" s="129">
        <f>M265-I265+1</f>
        <v>3</v>
      </c>
      <c r="CD265" s="111">
        <f>CC265-BF265</f>
        <v>0</v>
      </c>
      <c r="CE265" s="129">
        <f t="shared" si="232"/>
        <v>53</v>
      </c>
      <c r="CG265" s="129" t="str">
        <f t="shared" si="233"/>
        <v>N</v>
      </c>
      <c r="CI265" s="129" t="str">
        <f t="shared" si="234"/>
        <v>0-10 DAYS</v>
      </c>
      <c r="CJ265" s="137">
        <f t="shared" si="235"/>
        <v>1</v>
      </c>
      <c r="CK265" s="129" t="str">
        <f t="shared" si="236"/>
        <v>Booked</v>
      </c>
    </row>
    <row r="266" spans="1:89" ht="15" customHeight="1" x14ac:dyDescent="0.25">
      <c r="A266" s="111">
        <v>2180</v>
      </c>
      <c r="B266" s="128" t="str">
        <f t="shared" si="216"/>
        <v>N</v>
      </c>
      <c r="C266" s="128" t="str">
        <f t="shared" si="217"/>
        <v>N</v>
      </c>
      <c r="D266" s="117">
        <v>867473</v>
      </c>
      <c r="E266" s="135">
        <f t="shared" si="218"/>
        <v>1</v>
      </c>
      <c r="F266" s="124">
        <v>40990</v>
      </c>
      <c r="G266" s="125">
        <v>40994</v>
      </c>
      <c r="H266" s="117">
        <v>867473</v>
      </c>
      <c r="I266" s="124">
        <v>40991</v>
      </c>
      <c r="J266" s="124">
        <v>40994</v>
      </c>
      <c r="K266" s="126">
        <v>15000</v>
      </c>
      <c r="L266" s="127" t="s">
        <v>571</v>
      </c>
      <c r="N266" s="129" t="str">
        <f t="shared" si="238"/>
        <v>N</v>
      </c>
      <c r="O266" s="128" t="s">
        <v>917</v>
      </c>
      <c r="P266" s="129" t="s">
        <v>55</v>
      </c>
      <c r="Q266" s="111">
        <f t="shared" si="206"/>
        <v>4</v>
      </c>
      <c r="R266" s="111">
        <f t="shared" si="211"/>
        <v>5</v>
      </c>
      <c r="S266" s="129">
        <v>2</v>
      </c>
      <c r="T266" s="129">
        <v>2</v>
      </c>
      <c r="U266" s="129">
        <v>2</v>
      </c>
      <c r="W266" s="111"/>
      <c r="AC266" s="130"/>
      <c r="AD266" s="130">
        <v>25449</v>
      </c>
      <c r="AE266" s="128" t="s">
        <v>32</v>
      </c>
      <c r="AF266" s="128" t="s">
        <v>69</v>
      </c>
      <c r="AG266" s="128" t="s">
        <v>874</v>
      </c>
      <c r="AH266" s="108" t="s">
        <v>58</v>
      </c>
      <c r="AI266" s="128" t="s">
        <v>70</v>
      </c>
      <c r="AJ266" s="129" t="s">
        <v>55</v>
      </c>
      <c r="AK266" s="129">
        <v>1</v>
      </c>
      <c r="AL266" s="3" t="s">
        <v>55</v>
      </c>
      <c r="AP266" s="129" t="s">
        <v>43</v>
      </c>
      <c r="AR266" s="128" t="s">
        <v>44</v>
      </c>
      <c r="AS266" s="129" t="s">
        <v>45</v>
      </c>
      <c r="BC266" s="129" t="s">
        <v>38</v>
      </c>
      <c r="BF266" s="111">
        <f t="shared" si="207"/>
        <v>4</v>
      </c>
      <c r="BG266" s="111">
        <f t="shared" si="202"/>
        <v>4</v>
      </c>
      <c r="BH266" s="111">
        <f t="shared" si="212"/>
        <v>5</v>
      </c>
      <c r="BI266" s="111">
        <f t="shared" si="213"/>
        <v>42.461748633879779</v>
      </c>
      <c r="BJ266" s="129">
        <f t="shared" si="219"/>
        <v>0</v>
      </c>
      <c r="BK266" s="129">
        <f t="shared" si="214"/>
        <v>0</v>
      </c>
      <c r="BL266" s="129" t="str">
        <f t="shared" si="215"/>
        <v>NO CONVICTION</v>
      </c>
      <c r="BM266" s="129" t="str">
        <f t="shared" si="220"/>
        <v>NONE</v>
      </c>
      <c r="BN266" s="129" t="s">
        <v>566</v>
      </c>
      <c r="BP266" s="137" t="str">
        <f t="shared" si="221"/>
        <v>NO CONVICTION</v>
      </c>
      <c r="BQ266" s="128" t="str">
        <f t="shared" si="222"/>
        <v>Y</v>
      </c>
      <c r="BR266" s="129" t="str">
        <f t="shared" si="223"/>
        <v>DETAINED</v>
      </c>
      <c r="BS266" s="129" t="str">
        <f t="shared" si="224"/>
        <v>DISPOSED</v>
      </c>
      <c r="BT266" s="129" t="str">
        <f t="shared" si="225"/>
        <v>Y</v>
      </c>
      <c r="BU266" s="109">
        <f>IFERROR(Q266/R266,BR266)</f>
        <v>0.8</v>
      </c>
      <c r="BV266" s="109">
        <f t="shared" si="227"/>
        <v>1</v>
      </c>
      <c r="BW266" s="109">
        <f t="shared" si="237"/>
        <v>0.19999999999999996</v>
      </c>
      <c r="BX266" s="111">
        <f t="shared" si="228"/>
        <v>0</v>
      </c>
      <c r="BY266" s="129">
        <f t="shared" si="229"/>
        <v>-4</v>
      </c>
      <c r="BZ266" s="111">
        <f t="shared" si="230"/>
        <v>0</v>
      </c>
      <c r="CA266" s="138">
        <f t="shared" si="231"/>
        <v>4</v>
      </c>
      <c r="CB266" s="111" t="e">
        <f t="shared" si="208"/>
        <v>#VALUE!</v>
      </c>
      <c r="CC266" s="129">
        <f>G266-I266+1</f>
        <v>4</v>
      </c>
      <c r="CD266" s="129">
        <f>G266-J266</f>
        <v>0</v>
      </c>
      <c r="CE266" s="129">
        <f t="shared" si="232"/>
        <v>0</v>
      </c>
      <c r="CG266" s="129" t="str">
        <f t="shared" si="233"/>
        <v>Y</v>
      </c>
      <c r="CI266" s="129" t="str">
        <f t="shared" si="234"/>
        <v>0-10 DAYS</v>
      </c>
      <c r="CJ266" s="137">
        <f t="shared" si="235"/>
        <v>1</v>
      </c>
      <c r="CK266" s="129" t="str">
        <f t="shared" si="236"/>
        <v>Booked</v>
      </c>
    </row>
    <row r="267" spans="1:89" ht="15" customHeight="1" x14ac:dyDescent="0.25">
      <c r="A267" s="111">
        <v>974</v>
      </c>
      <c r="B267" s="128" t="str">
        <f t="shared" si="216"/>
        <v>N</v>
      </c>
      <c r="C267" s="128" t="str">
        <f t="shared" si="217"/>
        <v>N</v>
      </c>
      <c r="D267" s="117">
        <v>868348</v>
      </c>
      <c r="E267" s="135">
        <f t="shared" si="218"/>
        <v>6</v>
      </c>
      <c r="F267" s="124">
        <v>40945</v>
      </c>
      <c r="G267" s="125">
        <v>41152</v>
      </c>
      <c r="H267" s="117">
        <v>868348</v>
      </c>
      <c r="I267" s="124">
        <v>40945</v>
      </c>
      <c r="J267" s="124">
        <v>41152</v>
      </c>
      <c r="K267" s="126">
        <v>30000</v>
      </c>
      <c r="L267" s="129" t="s">
        <v>572</v>
      </c>
      <c r="N267" s="129" t="str">
        <f t="shared" si="238"/>
        <v>N</v>
      </c>
      <c r="O267" s="128" t="s">
        <v>917</v>
      </c>
      <c r="P267" s="129" t="s">
        <v>39</v>
      </c>
      <c r="Q267" s="111">
        <f t="shared" si="206"/>
        <v>208</v>
      </c>
      <c r="R267" s="111">
        <f t="shared" si="211"/>
        <v>208</v>
      </c>
      <c r="S267" s="129">
        <v>5</v>
      </c>
      <c r="T267" s="129">
        <v>6</v>
      </c>
      <c r="U267" s="129">
        <v>4</v>
      </c>
      <c r="W267" s="111"/>
      <c r="AC267" s="130"/>
      <c r="AD267" s="130">
        <v>25536</v>
      </c>
      <c r="AE267" s="128" t="s">
        <v>32</v>
      </c>
      <c r="AF267" s="128" t="s">
        <v>33</v>
      </c>
      <c r="AG267" s="128" t="s">
        <v>872</v>
      </c>
      <c r="AH267" s="108" t="s">
        <v>31</v>
      </c>
      <c r="AI267" s="128" t="s">
        <v>70</v>
      </c>
      <c r="AJ267" s="129" t="s">
        <v>89</v>
      </c>
      <c r="AK267" s="129">
        <v>10</v>
      </c>
      <c r="AL267" s="3" t="s">
        <v>362</v>
      </c>
      <c r="AM267" s="117">
        <v>5</v>
      </c>
      <c r="AP267" s="129" t="s">
        <v>148</v>
      </c>
      <c r="AR267" s="128" t="s">
        <v>67</v>
      </c>
      <c r="AS267" s="129" t="s">
        <v>45</v>
      </c>
      <c r="BC267" s="129" t="s">
        <v>52</v>
      </c>
      <c r="BF267" s="111">
        <f t="shared" si="207"/>
        <v>208</v>
      </c>
      <c r="BG267" s="111">
        <f t="shared" si="202"/>
        <v>208</v>
      </c>
      <c r="BH267" s="111">
        <f t="shared" si="212"/>
        <v>208</v>
      </c>
      <c r="BI267" s="111">
        <f t="shared" si="213"/>
        <v>42.101092896174862</v>
      </c>
      <c r="BJ267" s="129">
        <f t="shared" si="219"/>
        <v>0</v>
      </c>
      <c r="BK267" s="129">
        <f t="shared" si="214"/>
        <v>0</v>
      </c>
      <c r="BL267" s="129" t="str">
        <f t="shared" si="215"/>
        <v>CONVICTION</v>
      </c>
      <c r="BM267" s="129" t="str">
        <f t="shared" si="220"/>
        <v>NONE</v>
      </c>
      <c r="BN267" s="129" t="s">
        <v>566</v>
      </c>
      <c r="BP267" s="137" t="str">
        <f t="shared" si="221"/>
        <v>CONVICTION</v>
      </c>
      <c r="BQ267" s="128" t="str">
        <f t="shared" si="222"/>
        <v>Y</v>
      </c>
      <c r="BR267" s="129" t="str">
        <f t="shared" si="223"/>
        <v>DETAINED</v>
      </c>
      <c r="BS267" s="129" t="str">
        <f t="shared" si="224"/>
        <v>DISPOSED</v>
      </c>
      <c r="BT267" s="129" t="str">
        <f t="shared" si="225"/>
        <v>Y</v>
      </c>
      <c r="BU267" s="109">
        <f t="shared" si="226"/>
        <v>1</v>
      </c>
      <c r="BV267" s="109">
        <f t="shared" si="227"/>
        <v>1</v>
      </c>
      <c r="BW267" s="109">
        <f t="shared" si="237"/>
        <v>0</v>
      </c>
      <c r="BX267" s="111">
        <f t="shared" si="228"/>
        <v>0</v>
      </c>
      <c r="BY267" s="129">
        <f t="shared" si="229"/>
        <v>-208</v>
      </c>
      <c r="BZ267" s="111">
        <f t="shared" si="230"/>
        <v>0</v>
      </c>
      <c r="CA267" s="138">
        <f t="shared" si="231"/>
        <v>208</v>
      </c>
      <c r="CB267" s="111" t="e">
        <f t="shared" si="208"/>
        <v>#VALUE!</v>
      </c>
      <c r="CC267" s="129">
        <f>G267-I267+1</f>
        <v>208</v>
      </c>
      <c r="CD267" s="129">
        <f>G267-J267</f>
        <v>0</v>
      </c>
      <c r="CE267" s="129">
        <f t="shared" si="232"/>
        <v>0</v>
      </c>
      <c r="CG267" s="129" t="str">
        <f t="shared" si="233"/>
        <v>Y</v>
      </c>
      <c r="CI267" s="129" t="str">
        <f t="shared" si="234"/>
        <v>121-365 DAYS</v>
      </c>
      <c r="CJ267" s="137">
        <f t="shared" si="235"/>
        <v>6</v>
      </c>
      <c r="CK267" s="129" t="str">
        <f t="shared" si="236"/>
        <v>Booked</v>
      </c>
    </row>
    <row r="268" spans="1:89" ht="15" customHeight="1" x14ac:dyDescent="0.25">
      <c r="A268" s="111">
        <v>349</v>
      </c>
      <c r="B268" s="128" t="str">
        <f t="shared" si="216"/>
        <v>N</v>
      </c>
      <c r="C268" s="128" t="str">
        <f t="shared" si="217"/>
        <v>N</v>
      </c>
      <c r="D268" s="117">
        <v>869523</v>
      </c>
      <c r="E268" s="135">
        <f t="shared" si="218"/>
        <v>5</v>
      </c>
      <c r="F268" s="124">
        <v>40922</v>
      </c>
      <c r="G268" s="125">
        <v>40925</v>
      </c>
      <c r="H268" s="117">
        <v>869523</v>
      </c>
      <c r="I268" s="124">
        <v>40922</v>
      </c>
      <c r="J268" s="124">
        <v>40925</v>
      </c>
      <c r="K268" s="126">
        <v>15000</v>
      </c>
      <c r="L268" s="127" t="s">
        <v>571</v>
      </c>
      <c r="N268" s="129" t="str">
        <f t="shared" si="238"/>
        <v>N</v>
      </c>
      <c r="O268" s="128" t="s">
        <v>917</v>
      </c>
      <c r="P268" s="129" t="s">
        <v>39</v>
      </c>
      <c r="Q268" s="111">
        <f t="shared" si="206"/>
        <v>4</v>
      </c>
      <c r="R268" s="111">
        <f t="shared" si="211"/>
        <v>4</v>
      </c>
      <c r="S268" s="129">
        <v>19</v>
      </c>
      <c r="T268" s="129">
        <v>4</v>
      </c>
      <c r="U268" s="129">
        <v>13</v>
      </c>
      <c r="W268" s="111"/>
      <c r="AC268" s="130"/>
      <c r="AD268" s="130">
        <v>24328</v>
      </c>
      <c r="AE268" s="128" t="s">
        <v>32</v>
      </c>
      <c r="AF268" s="128" t="s">
        <v>69</v>
      </c>
      <c r="AG268" s="128" t="s">
        <v>874</v>
      </c>
      <c r="AH268" s="108" t="s">
        <v>58</v>
      </c>
      <c r="AI268" s="128" t="s">
        <v>53</v>
      </c>
      <c r="AJ268" s="129" t="s">
        <v>89</v>
      </c>
      <c r="AK268" s="129">
        <v>1</v>
      </c>
      <c r="AL268" s="3" t="s">
        <v>992</v>
      </c>
      <c r="AN268" s="117">
        <v>7</v>
      </c>
      <c r="AP268" s="129" t="s">
        <v>60</v>
      </c>
      <c r="AR268" s="128" t="s">
        <v>44</v>
      </c>
      <c r="AS268" s="129" t="s">
        <v>61</v>
      </c>
      <c r="AY268" s="123"/>
      <c r="BC268" s="129" t="s">
        <v>38</v>
      </c>
      <c r="BF268" s="111">
        <f t="shared" si="207"/>
        <v>4</v>
      </c>
      <c r="BG268" s="111">
        <f t="shared" si="202"/>
        <v>4</v>
      </c>
      <c r="BH268" s="111">
        <f t="shared" si="212"/>
        <v>4</v>
      </c>
      <c r="BI268" s="111">
        <f t="shared" si="213"/>
        <v>45.338797814207652</v>
      </c>
      <c r="BJ268" s="129">
        <f t="shared" si="219"/>
        <v>0</v>
      </c>
      <c r="BK268" s="129">
        <f t="shared" si="214"/>
        <v>0</v>
      </c>
      <c r="BL268" s="129" t="str">
        <f t="shared" si="215"/>
        <v>CONVICTION</v>
      </c>
      <c r="BM268" s="129" t="str">
        <f t="shared" si="220"/>
        <v>NONE</v>
      </c>
      <c r="BN268" s="129" t="s">
        <v>566</v>
      </c>
      <c r="BP268" s="137" t="str">
        <f t="shared" si="221"/>
        <v>CONVICTION</v>
      </c>
      <c r="BQ268" s="128" t="str">
        <f t="shared" si="222"/>
        <v>Y</v>
      </c>
      <c r="BR268" s="129" t="str">
        <f t="shared" si="223"/>
        <v>DETAINED</v>
      </c>
      <c r="BS268" s="129" t="str">
        <f t="shared" si="224"/>
        <v>DISPOSED</v>
      </c>
      <c r="BT268" s="129" t="str">
        <f t="shared" si="225"/>
        <v>Y</v>
      </c>
      <c r="BU268" s="109">
        <f t="shared" si="226"/>
        <v>1</v>
      </c>
      <c r="BV268" s="109">
        <f t="shared" si="227"/>
        <v>1</v>
      </c>
      <c r="BW268" s="109">
        <f t="shared" si="237"/>
        <v>0</v>
      </c>
      <c r="BX268" s="111">
        <f t="shared" si="228"/>
        <v>0</v>
      </c>
      <c r="BY268" s="129">
        <f t="shared" si="229"/>
        <v>-4</v>
      </c>
      <c r="BZ268" s="111">
        <f t="shared" si="230"/>
        <v>0</v>
      </c>
      <c r="CA268" s="138">
        <f t="shared" si="231"/>
        <v>4</v>
      </c>
      <c r="CB268" s="111" t="e">
        <f t="shared" si="208"/>
        <v>#VALUE!</v>
      </c>
      <c r="CC268" s="129">
        <f>G268-I268+1</f>
        <v>4</v>
      </c>
      <c r="CD268" s="129">
        <f>G268-J268</f>
        <v>0</v>
      </c>
      <c r="CE268" s="129">
        <f t="shared" si="232"/>
        <v>0</v>
      </c>
      <c r="CG268" s="129" t="str">
        <f t="shared" si="233"/>
        <v>Y</v>
      </c>
      <c r="CI268" s="129" t="str">
        <f t="shared" si="234"/>
        <v>0-10 DAYS</v>
      </c>
      <c r="CJ268" s="137">
        <f t="shared" si="235"/>
        <v>1</v>
      </c>
      <c r="CK268" s="129" t="str">
        <f t="shared" si="236"/>
        <v>Booked</v>
      </c>
    </row>
    <row r="269" spans="1:89" ht="15" customHeight="1" x14ac:dyDescent="0.25">
      <c r="A269" s="111">
        <v>1281</v>
      </c>
      <c r="B269" s="128" t="str">
        <f t="shared" si="216"/>
        <v>N</v>
      </c>
      <c r="C269" s="128" t="str">
        <f t="shared" si="217"/>
        <v>N</v>
      </c>
      <c r="D269" s="117">
        <v>870706</v>
      </c>
      <c r="E269" s="135">
        <f t="shared" si="218"/>
        <v>5</v>
      </c>
      <c r="F269" s="124">
        <v>40955</v>
      </c>
      <c r="G269" s="125">
        <v>41033</v>
      </c>
      <c r="H269" s="117">
        <v>870706</v>
      </c>
      <c r="I269" s="124">
        <v>40956</v>
      </c>
      <c r="J269" s="124">
        <v>41033</v>
      </c>
      <c r="K269" s="126">
        <v>10000</v>
      </c>
      <c r="L269" s="127" t="s">
        <v>570</v>
      </c>
      <c r="N269" s="129" t="str">
        <f t="shared" si="238"/>
        <v>N</v>
      </c>
      <c r="O269" s="128" t="s">
        <v>917</v>
      </c>
      <c r="P269" s="129" t="s">
        <v>39</v>
      </c>
      <c r="Q269" s="111">
        <f t="shared" si="206"/>
        <v>78</v>
      </c>
      <c r="R269" s="111">
        <f t="shared" si="211"/>
        <v>79</v>
      </c>
      <c r="S269" s="129">
        <v>3</v>
      </c>
      <c r="T269" s="129">
        <v>4</v>
      </c>
      <c r="U269" s="129">
        <v>1</v>
      </c>
      <c r="W269" s="111"/>
      <c r="AC269" s="130"/>
      <c r="AD269" s="130">
        <v>23258</v>
      </c>
      <c r="AE269" s="128" t="s">
        <v>46</v>
      </c>
      <c r="AF269" s="128" t="s">
        <v>33</v>
      </c>
      <c r="AG269" s="128" t="s">
        <v>872</v>
      </c>
      <c r="AH269" s="108" t="s">
        <v>58</v>
      </c>
      <c r="AI269" s="128" t="s">
        <v>97</v>
      </c>
      <c r="AJ269" s="129" t="s">
        <v>89</v>
      </c>
      <c r="AK269" s="129">
        <v>4</v>
      </c>
      <c r="AL269" s="3" t="s">
        <v>992</v>
      </c>
      <c r="AN269" s="117">
        <v>6</v>
      </c>
      <c r="AP269" s="129" t="s">
        <v>60</v>
      </c>
      <c r="AR269" s="128" t="s">
        <v>44</v>
      </c>
      <c r="AS269" s="129" t="s">
        <v>61</v>
      </c>
      <c r="AW269" s="123"/>
      <c r="AX269" s="123"/>
      <c r="AY269" s="123"/>
      <c r="BC269" s="129" t="s">
        <v>38</v>
      </c>
      <c r="BF269" s="111">
        <f t="shared" si="207"/>
        <v>78</v>
      </c>
      <c r="BG269" s="111">
        <f t="shared" si="202"/>
        <v>78</v>
      </c>
      <c r="BH269" s="111">
        <f t="shared" si="212"/>
        <v>79</v>
      </c>
      <c r="BI269" s="111">
        <f t="shared" si="213"/>
        <v>48.352459016393439</v>
      </c>
      <c r="BJ269" s="129">
        <f t="shared" si="219"/>
        <v>0</v>
      </c>
      <c r="BK269" s="129">
        <f t="shared" si="214"/>
        <v>0</v>
      </c>
      <c r="BL269" s="129" t="str">
        <f t="shared" si="215"/>
        <v>CONVICTION</v>
      </c>
      <c r="BM269" s="129" t="str">
        <f t="shared" si="220"/>
        <v>NONE</v>
      </c>
      <c r="BN269" s="129" t="s">
        <v>566</v>
      </c>
      <c r="BP269" s="137" t="str">
        <f t="shared" si="221"/>
        <v>CONVICTION</v>
      </c>
      <c r="BQ269" s="128" t="str">
        <f t="shared" si="222"/>
        <v>Y</v>
      </c>
      <c r="BR269" s="129" t="str">
        <f t="shared" si="223"/>
        <v>DETAINED</v>
      </c>
      <c r="BS269" s="129" t="str">
        <f t="shared" si="224"/>
        <v>DISPOSED</v>
      </c>
      <c r="BT269" s="129" t="str">
        <f t="shared" si="225"/>
        <v>Y</v>
      </c>
      <c r="BU269" s="109">
        <f t="shared" si="226"/>
        <v>0.98734177215189878</v>
      </c>
      <c r="BV269" s="109">
        <f t="shared" si="227"/>
        <v>1</v>
      </c>
      <c r="BW269" s="109">
        <f t="shared" si="237"/>
        <v>1.2658227848101222E-2</v>
      </c>
      <c r="BX269" s="111">
        <f t="shared" si="228"/>
        <v>0</v>
      </c>
      <c r="BY269" s="129">
        <f t="shared" si="229"/>
        <v>-78</v>
      </c>
      <c r="BZ269" s="111">
        <f t="shared" si="230"/>
        <v>0</v>
      </c>
      <c r="CA269" s="138">
        <f t="shared" si="231"/>
        <v>78</v>
      </c>
      <c r="CB269" s="111" t="e">
        <f t="shared" si="208"/>
        <v>#VALUE!</v>
      </c>
      <c r="CC269" s="129">
        <f>G269-I269+1</f>
        <v>78</v>
      </c>
      <c r="CD269" s="129">
        <f>G269-J269</f>
        <v>0</v>
      </c>
      <c r="CE269" s="129">
        <f t="shared" si="232"/>
        <v>0</v>
      </c>
      <c r="CG269" s="129" t="str">
        <f t="shared" si="233"/>
        <v>Y</v>
      </c>
      <c r="CI269" s="129" t="str">
        <f t="shared" si="234"/>
        <v>61-90 DAYS</v>
      </c>
      <c r="CJ269" s="137">
        <f t="shared" si="235"/>
        <v>4</v>
      </c>
      <c r="CK269" s="129" t="str">
        <f t="shared" si="236"/>
        <v>Booked</v>
      </c>
    </row>
    <row r="270" spans="1:89" ht="15" customHeight="1" x14ac:dyDescent="0.25">
      <c r="A270" s="111">
        <v>2429</v>
      </c>
      <c r="B270" s="128" t="str">
        <f t="shared" si="216"/>
        <v>N</v>
      </c>
      <c r="C270" s="128" t="str">
        <f t="shared" si="217"/>
        <v>N</v>
      </c>
      <c r="D270" s="117">
        <v>875680</v>
      </c>
      <c r="E270" s="135">
        <f t="shared" si="218"/>
        <v>1</v>
      </c>
      <c r="F270" s="124">
        <v>41000</v>
      </c>
      <c r="G270" s="125">
        <v>41064</v>
      </c>
      <c r="H270" s="117">
        <v>875680</v>
      </c>
      <c r="I270" s="124">
        <v>41001</v>
      </c>
      <c r="J270" s="124">
        <v>41020</v>
      </c>
      <c r="K270" s="126">
        <v>100000</v>
      </c>
      <c r="L270" s="129" t="s">
        <v>572</v>
      </c>
      <c r="M270" s="125">
        <v>41020</v>
      </c>
      <c r="N270" s="129" t="str">
        <f t="shared" si="238"/>
        <v>Y</v>
      </c>
      <c r="O270" s="128" t="s">
        <v>76</v>
      </c>
      <c r="P270" s="129" t="s">
        <v>123</v>
      </c>
      <c r="Q270" s="111">
        <f t="shared" si="206"/>
        <v>20</v>
      </c>
      <c r="R270" s="111">
        <f t="shared" si="211"/>
        <v>65</v>
      </c>
      <c r="S270" s="129">
        <v>0</v>
      </c>
      <c r="T270" s="129">
        <v>3</v>
      </c>
      <c r="W270" s="111"/>
      <c r="AC270" s="130"/>
      <c r="AD270" s="130">
        <v>25490</v>
      </c>
      <c r="AE270" s="128" t="s">
        <v>32</v>
      </c>
      <c r="AF270" s="128" t="s">
        <v>33</v>
      </c>
      <c r="AG270" s="128" t="s">
        <v>872</v>
      </c>
      <c r="AH270" s="108" t="s">
        <v>58</v>
      </c>
      <c r="AI270" s="128" t="s">
        <v>53</v>
      </c>
      <c r="AJ270" s="129" t="s">
        <v>123</v>
      </c>
      <c r="AK270" s="129">
        <v>6</v>
      </c>
      <c r="AL270" s="3" t="s">
        <v>123</v>
      </c>
      <c r="AP270" s="129" t="s">
        <v>110</v>
      </c>
      <c r="AR270" s="128" t="s">
        <v>50</v>
      </c>
      <c r="AS270" s="129" t="s">
        <v>74</v>
      </c>
      <c r="BC270" s="129" t="s">
        <v>52</v>
      </c>
      <c r="BF270" s="111">
        <f t="shared" si="207"/>
        <v>20</v>
      </c>
      <c r="BG270" s="111">
        <f t="shared" si="202"/>
        <v>64</v>
      </c>
      <c r="BH270" s="111">
        <f t="shared" si="212"/>
        <v>65</v>
      </c>
      <c r="BI270" s="111">
        <f t="shared" si="213"/>
        <v>42.377049180327866</v>
      </c>
      <c r="BJ270" s="129">
        <f>(G270-J270)+(M270-G270)</f>
        <v>0</v>
      </c>
      <c r="BK270" s="129">
        <f t="shared" si="214"/>
        <v>-44</v>
      </c>
      <c r="BL270" s="129" t="str">
        <f t="shared" si="215"/>
        <v>NO CONVICTION</v>
      </c>
      <c r="BM270" s="129" t="s">
        <v>76</v>
      </c>
      <c r="BN270" s="129" t="s">
        <v>88</v>
      </c>
      <c r="BP270" s="137" t="str">
        <f t="shared" si="221"/>
        <v>NO CONVICTION</v>
      </c>
      <c r="BQ270" s="128" t="str">
        <f t="shared" si="222"/>
        <v>Y</v>
      </c>
      <c r="BR270" s="129" t="str">
        <f t="shared" si="223"/>
        <v>ON BOND</v>
      </c>
      <c r="BS270" s="129" t="str">
        <f t="shared" si="224"/>
        <v>DISPOSED</v>
      </c>
      <c r="BT270" s="129" t="str">
        <f t="shared" si="225"/>
        <v>N</v>
      </c>
      <c r="BU270" s="109">
        <f>IFERROR(Q270/R270,BR270)</f>
        <v>0.30769230769230771</v>
      </c>
      <c r="BV270" s="109">
        <f t="shared" si="227"/>
        <v>0.3125</v>
      </c>
      <c r="BW270" s="109">
        <f t="shared" si="237"/>
        <v>4.8076923076922906E-3</v>
      </c>
      <c r="BX270" s="111">
        <f t="shared" si="228"/>
        <v>0</v>
      </c>
      <c r="BY270" s="129">
        <f t="shared" si="229"/>
        <v>-20</v>
      </c>
      <c r="BZ270" s="111">
        <f t="shared" si="230"/>
        <v>0</v>
      </c>
      <c r="CA270" s="138">
        <f t="shared" si="231"/>
        <v>20</v>
      </c>
      <c r="CB270" s="111" t="e">
        <f t="shared" si="208"/>
        <v>#VALUE!</v>
      </c>
      <c r="CC270" s="129">
        <f>M270-I270+1</f>
        <v>20</v>
      </c>
      <c r="CD270" s="111">
        <f>CC270-BF270</f>
        <v>0</v>
      </c>
      <c r="CE270" s="129">
        <f t="shared" si="232"/>
        <v>44</v>
      </c>
      <c r="CG270" s="129" t="str">
        <f t="shared" si="233"/>
        <v>Y</v>
      </c>
      <c r="CI270" s="129" t="str">
        <f t="shared" si="234"/>
        <v>11-30 DAYS</v>
      </c>
      <c r="CJ270" s="137">
        <f t="shared" si="235"/>
        <v>2</v>
      </c>
      <c r="CK270" s="129" t="str">
        <f t="shared" si="236"/>
        <v>Booked</v>
      </c>
    </row>
    <row r="271" spans="1:89" ht="15" customHeight="1" x14ac:dyDescent="0.25">
      <c r="A271" s="111">
        <v>1018</v>
      </c>
      <c r="B271" s="128" t="str">
        <f t="shared" si="216"/>
        <v>N</v>
      </c>
      <c r="C271" s="128" t="str">
        <f t="shared" si="217"/>
        <v>N</v>
      </c>
      <c r="D271" s="117">
        <v>875747</v>
      </c>
      <c r="E271" s="135">
        <f t="shared" si="218"/>
        <v>4</v>
      </c>
      <c r="F271" s="124">
        <v>40947</v>
      </c>
      <c r="G271" s="125">
        <v>41165</v>
      </c>
      <c r="H271" s="117">
        <v>875747</v>
      </c>
      <c r="I271" s="124">
        <v>40947</v>
      </c>
      <c r="J271" s="124">
        <v>41165</v>
      </c>
      <c r="K271" s="126">
        <v>20000</v>
      </c>
      <c r="L271" s="127" t="s">
        <v>571</v>
      </c>
      <c r="N271" s="129" t="str">
        <f t="shared" si="238"/>
        <v>N</v>
      </c>
      <c r="O271" s="128" t="s">
        <v>917</v>
      </c>
      <c r="P271" s="129" t="s">
        <v>39</v>
      </c>
      <c r="Q271" s="111">
        <f t="shared" si="206"/>
        <v>219</v>
      </c>
      <c r="R271" s="111">
        <f t="shared" si="211"/>
        <v>219</v>
      </c>
      <c r="S271" s="129">
        <v>1</v>
      </c>
      <c r="T271" s="129">
        <v>3</v>
      </c>
      <c r="V271" s="117">
        <v>1</v>
      </c>
      <c r="W271" s="111"/>
      <c r="AC271" s="130"/>
      <c r="AD271" s="130">
        <v>19843</v>
      </c>
      <c r="AE271" s="128" t="s">
        <v>32</v>
      </c>
      <c r="AF271" s="128" t="s">
        <v>33</v>
      </c>
      <c r="AG271" s="128" t="s">
        <v>872</v>
      </c>
      <c r="AH271" s="108" t="s">
        <v>58</v>
      </c>
      <c r="AI271" s="128" t="s">
        <v>47</v>
      </c>
      <c r="AJ271" s="129" t="s">
        <v>89</v>
      </c>
      <c r="AK271" s="129">
        <v>8</v>
      </c>
      <c r="AL271" s="3" t="s">
        <v>991</v>
      </c>
      <c r="AO271" s="128">
        <v>365</v>
      </c>
      <c r="AP271" s="129" t="s">
        <v>73</v>
      </c>
      <c r="AR271" s="128" t="s">
        <v>50</v>
      </c>
      <c r="AS271" s="129" t="s">
        <v>74</v>
      </c>
      <c r="BC271" s="129" t="s">
        <v>38</v>
      </c>
      <c r="BF271" s="111">
        <f t="shared" si="207"/>
        <v>219</v>
      </c>
      <c r="BG271" s="111">
        <f t="shared" si="202"/>
        <v>219</v>
      </c>
      <c r="BH271" s="111">
        <f t="shared" si="212"/>
        <v>219</v>
      </c>
      <c r="BI271" s="111">
        <f t="shared" si="213"/>
        <v>57.661202185792348</v>
      </c>
      <c r="BJ271" s="129">
        <f t="shared" si="219"/>
        <v>0</v>
      </c>
      <c r="BK271" s="129">
        <f t="shared" si="214"/>
        <v>0</v>
      </c>
      <c r="BL271" s="129" t="str">
        <f t="shared" si="215"/>
        <v>CONVICTION</v>
      </c>
      <c r="BM271" s="129" t="str">
        <f t="shared" si="220"/>
        <v>NONE</v>
      </c>
      <c r="BN271" s="129" t="s">
        <v>566</v>
      </c>
      <c r="BP271" s="137" t="str">
        <f t="shared" si="221"/>
        <v>CONVICTION</v>
      </c>
      <c r="BQ271" s="128" t="str">
        <f t="shared" si="222"/>
        <v>Y</v>
      </c>
      <c r="BR271" s="129" t="str">
        <f t="shared" si="223"/>
        <v>DETAINED</v>
      </c>
      <c r="BS271" s="129" t="str">
        <f t="shared" si="224"/>
        <v>DISPOSED</v>
      </c>
      <c r="BT271" s="129" t="str">
        <f t="shared" si="225"/>
        <v>Y</v>
      </c>
      <c r="BU271" s="109">
        <f t="shared" si="226"/>
        <v>1</v>
      </c>
      <c r="BV271" s="109">
        <f t="shared" si="227"/>
        <v>1</v>
      </c>
      <c r="BW271" s="109">
        <f t="shared" si="237"/>
        <v>0</v>
      </c>
      <c r="BX271" s="111">
        <f t="shared" si="228"/>
        <v>0</v>
      </c>
      <c r="BY271" s="129">
        <f t="shared" si="229"/>
        <v>-219</v>
      </c>
      <c r="BZ271" s="111">
        <f t="shared" si="230"/>
        <v>0</v>
      </c>
      <c r="CA271" s="138">
        <f t="shared" si="231"/>
        <v>219</v>
      </c>
      <c r="CB271" s="111" t="e">
        <f t="shared" si="208"/>
        <v>#VALUE!</v>
      </c>
      <c r="CC271" s="129">
        <f>G271-I271+1</f>
        <v>219</v>
      </c>
      <c r="CD271" s="129">
        <f>G271-J271</f>
        <v>0</v>
      </c>
      <c r="CE271" s="129">
        <f t="shared" si="232"/>
        <v>0</v>
      </c>
      <c r="CG271" s="129" t="str">
        <f t="shared" si="233"/>
        <v>Y</v>
      </c>
      <c r="CI271" s="129" t="str">
        <f t="shared" si="234"/>
        <v>121-365 DAYS</v>
      </c>
      <c r="CJ271" s="137">
        <f t="shared" si="235"/>
        <v>6</v>
      </c>
      <c r="CK271" s="129" t="str">
        <f t="shared" si="236"/>
        <v>Booked</v>
      </c>
    </row>
    <row r="272" spans="1:89" ht="15.75" customHeight="1" x14ac:dyDescent="0.25">
      <c r="A272" s="111">
        <v>1533</v>
      </c>
      <c r="B272" s="128" t="str">
        <f t="shared" si="216"/>
        <v>N</v>
      </c>
      <c r="C272" s="128" t="str">
        <f t="shared" si="217"/>
        <v>N</v>
      </c>
      <c r="D272" s="117">
        <v>880133</v>
      </c>
      <c r="E272" s="135">
        <f t="shared" si="218"/>
        <v>2</v>
      </c>
      <c r="F272" s="124">
        <v>40965</v>
      </c>
      <c r="G272" s="125">
        <v>41130</v>
      </c>
      <c r="H272" s="117">
        <v>880133</v>
      </c>
      <c r="I272" s="124">
        <v>40966</v>
      </c>
      <c r="J272" s="124">
        <v>40967</v>
      </c>
      <c r="K272" s="126">
        <v>5000</v>
      </c>
      <c r="L272" s="127" t="s">
        <v>569</v>
      </c>
      <c r="M272" s="125">
        <v>40967</v>
      </c>
      <c r="N272" s="129" t="str">
        <f t="shared" si="238"/>
        <v>Y</v>
      </c>
      <c r="O272" s="128" t="s">
        <v>76</v>
      </c>
      <c r="P272" s="129" t="s">
        <v>589</v>
      </c>
      <c r="Q272" s="111">
        <f t="shared" si="206"/>
        <v>2</v>
      </c>
      <c r="R272" s="111">
        <f t="shared" si="211"/>
        <v>166</v>
      </c>
      <c r="S272" s="129">
        <v>1</v>
      </c>
      <c r="T272" s="129">
        <v>0</v>
      </c>
      <c r="V272" s="117">
        <v>1</v>
      </c>
      <c r="W272" s="111"/>
      <c r="AC272" s="130"/>
      <c r="AD272" s="130">
        <v>25416</v>
      </c>
      <c r="AE272" s="128" t="s">
        <v>46</v>
      </c>
      <c r="AF272" s="128" t="s">
        <v>69</v>
      </c>
      <c r="AG272" s="128" t="s">
        <v>874</v>
      </c>
      <c r="AH272" s="108" t="s">
        <v>31</v>
      </c>
      <c r="AI272" s="128" t="s">
        <v>34</v>
      </c>
      <c r="AJ272" s="129" t="s">
        <v>48</v>
      </c>
      <c r="AK272" s="129">
        <v>7</v>
      </c>
      <c r="AL272" s="3" t="s">
        <v>48</v>
      </c>
      <c r="AP272" s="129" t="s">
        <v>93</v>
      </c>
      <c r="AR272" s="128" t="s">
        <v>67</v>
      </c>
      <c r="AS272" s="129" t="s">
        <v>45</v>
      </c>
      <c r="BC272" s="129" t="s">
        <v>52</v>
      </c>
      <c r="BF272" s="111">
        <f t="shared" si="207"/>
        <v>2</v>
      </c>
      <c r="BG272" s="111">
        <f t="shared" si="202"/>
        <v>165</v>
      </c>
      <c r="BH272" s="111">
        <f t="shared" si="212"/>
        <v>166</v>
      </c>
      <c r="BI272" s="111">
        <f t="shared" si="213"/>
        <v>42.483606557377051</v>
      </c>
      <c r="BJ272" s="129">
        <f>(G272-J272)+(M272-G272)</f>
        <v>0</v>
      </c>
      <c r="BK272" s="129">
        <f t="shared" si="214"/>
        <v>-163</v>
      </c>
      <c r="BL272" s="129" t="str">
        <f t="shared" si="215"/>
        <v>DEFERRED</v>
      </c>
      <c r="BM272" s="129" t="s">
        <v>76</v>
      </c>
      <c r="BN272" s="129" t="s">
        <v>88</v>
      </c>
      <c r="BP272" s="137" t="str">
        <f t="shared" si="221"/>
        <v>DEFERRED</v>
      </c>
      <c r="BQ272" s="128" t="str">
        <f t="shared" si="222"/>
        <v>Y</v>
      </c>
      <c r="BR272" s="129" t="str">
        <f t="shared" si="223"/>
        <v>ON BOND</v>
      </c>
      <c r="BS272" s="129" t="str">
        <f t="shared" si="224"/>
        <v>DISPOSED</v>
      </c>
      <c r="BT272" s="129" t="str">
        <f t="shared" si="225"/>
        <v>Y</v>
      </c>
      <c r="BU272" s="109">
        <f t="shared" si="226"/>
        <v>1.2048192771084338E-2</v>
      </c>
      <c r="BV272" s="109">
        <f t="shared" si="227"/>
        <v>1.2121212121212121E-2</v>
      </c>
      <c r="BW272" s="109">
        <f t="shared" si="237"/>
        <v>7.3019350127783225E-5</v>
      </c>
      <c r="BX272" s="111">
        <f t="shared" si="228"/>
        <v>0</v>
      </c>
      <c r="BY272" s="129">
        <f t="shared" si="229"/>
        <v>-2</v>
      </c>
      <c r="BZ272" s="111">
        <f t="shared" si="230"/>
        <v>0</v>
      </c>
      <c r="CA272" s="138">
        <f t="shared" si="231"/>
        <v>2</v>
      </c>
      <c r="CB272" s="111" t="e">
        <f t="shared" si="208"/>
        <v>#VALUE!</v>
      </c>
      <c r="CC272" s="129">
        <f>M272-I272+1</f>
        <v>2</v>
      </c>
      <c r="CD272" s="111">
        <f>CC272-BF272</f>
        <v>0</v>
      </c>
      <c r="CE272" s="129">
        <f t="shared" si="232"/>
        <v>163</v>
      </c>
      <c r="CG272" s="129" t="str">
        <f t="shared" si="233"/>
        <v>Y</v>
      </c>
      <c r="CI272" s="129" t="str">
        <f t="shared" si="234"/>
        <v>0-10 DAYS</v>
      </c>
      <c r="CJ272" s="137">
        <f t="shared" si="235"/>
        <v>1</v>
      </c>
      <c r="CK272" s="129" t="str">
        <f t="shared" si="236"/>
        <v>Booked</v>
      </c>
    </row>
    <row r="273" spans="1:89" ht="15.75" customHeight="1" x14ac:dyDescent="0.25">
      <c r="A273" s="111">
        <v>1136</v>
      </c>
      <c r="B273" s="128" t="str">
        <f t="shared" si="216"/>
        <v>N</v>
      </c>
      <c r="C273" s="128" t="str">
        <f t="shared" si="217"/>
        <v>N</v>
      </c>
      <c r="D273" s="117">
        <v>885062</v>
      </c>
      <c r="E273" s="135">
        <f t="shared" si="218"/>
        <v>4</v>
      </c>
      <c r="F273" s="124">
        <v>40949</v>
      </c>
      <c r="G273" s="125">
        <v>41410</v>
      </c>
      <c r="H273" s="117">
        <v>885062</v>
      </c>
      <c r="I273" s="124">
        <v>40970</v>
      </c>
      <c r="J273" s="125">
        <v>41410</v>
      </c>
      <c r="K273" s="126">
        <v>30000</v>
      </c>
      <c r="L273" s="129" t="s">
        <v>572</v>
      </c>
      <c r="N273" s="129" t="str">
        <f t="shared" si="238"/>
        <v>N</v>
      </c>
      <c r="O273" s="128" t="s">
        <v>917</v>
      </c>
      <c r="P273" s="129" t="s">
        <v>39</v>
      </c>
      <c r="Q273" s="111">
        <f t="shared" si="206"/>
        <v>441</v>
      </c>
      <c r="R273" s="111">
        <f t="shared" si="211"/>
        <v>462</v>
      </c>
      <c r="S273" s="129">
        <v>3</v>
      </c>
      <c r="T273" s="129">
        <v>7</v>
      </c>
      <c r="U273" s="129">
        <v>1</v>
      </c>
      <c r="V273" s="117">
        <v>1</v>
      </c>
      <c r="W273" s="111"/>
      <c r="AC273" s="130"/>
      <c r="AD273" s="130">
        <v>24333</v>
      </c>
      <c r="AE273" s="128" t="s">
        <v>32</v>
      </c>
      <c r="AF273" s="128" t="s">
        <v>33</v>
      </c>
      <c r="AG273" s="128" t="s">
        <v>872</v>
      </c>
      <c r="AH273" s="108" t="s">
        <v>58</v>
      </c>
      <c r="AI273" s="128" t="s">
        <v>42</v>
      </c>
      <c r="AJ273" s="129" t="s">
        <v>89</v>
      </c>
      <c r="AK273" s="129">
        <v>14</v>
      </c>
      <c r="AL273" s="3" t="s">
        <v>991</v>
      </c>
      <c r="AO273" s="128">
        <v>365</v>
      </c>
      <c r="AP273" s="129" t="s">
        <v>150</v>
      </c>
      <c r="AR273" s="128" t="s">
        <v>67</v>
      </c>
      <c r="AS273" s="129" t="s">
        <v>74</v>
      </c>
      <c r="BC273" s="129" t="s">
        <v>38</v>
      </c>
      <c r="BF273" s="111">
        <f t="shared" si="207"/>
        <v>441</v>
      </c>
      <c r="BG273" s="111">
        <f t="shared" si="202"/>
        <v>441</v>
      </c>
      <c r="BH273" s="111">
        <f t="shared" si="212"/>
        <v>462</v>
      </c>
      <c r="BI273" s="111">
        <f t="shared" si="213"/>
        <v>45.398907103825138</v>
      </c>
      <c r="BJ273" s="129">
        <f t="shared" si="219"/>
        <v>0</v>
      </c>
      <c r="BK273" s="129">
        <f t="shared" si="214"/>
        <v>0</v>
      </c>
      <c r="BL273" s="129" t="str">
        <f t="shared" si="215"/>
        <v>CONVICTION</v>
      </c>
      <c r="BM273" s="129" t="str">
        <f t="shared" si="220"/>
        <v>NONE</v>
      </c>
      <c r="BN273" s="129" t="s">
        <v>566</v>
      </c>
      <c r="BP273" s="137" t="str">
        <f t="shared" si="221"/>
        <v>CONVICTION</v>
      </c>
      <c r="BQ273" s="128" t="str">
        <f t="shared" si="222"/>
        <v>Y</v>
      </c>
      <c r="BR273" s="129" t="str">
        <f t="shared" si="223"/>
        <v>DETAINED</v>
      </c>
      <c r="BS273" s="129" t="str">
        <f t="shared" si="224"/>
        <v>DISPOSED</v>
      </c>
      <c r="BT273" s="129" t="str">
        <f t="shared" si="225"/>
        <v>Y</v>
      </c>
      <c r="BU273" s="109">
        <f t="shared" si="226"/>
        <v>0.95454545454545459</v>
      </c>
      <c r="BV273" s="109">
        <f t="shared" si="227"/>
        <v>1</v>
      </c>
      <c r="BW273" s="109">
        <f t="shared" si="237"/>
        <v>4.5454545454545414E-2</v>
      </c>
      <c r="BX273" s="111">
        <f t="shared" si="228"/>
        <v>0</v>
      </c>
      <c r="BY273" s="129">
        <f t="shared" si="229"/>
        <v>-441</v>
      </c>
      <c r="BZ273" s="111">
        <f t="shared" si="230"/>
        <v>0</v>
      </c>
      <c r="CA273" s="138">
        <f t="shared" si="231"/>
        <v>441</v>
      </c>
      <c r="CB273" s="111" t="e">
        <f t="shared" si="208"/>
        <v>#VALUE!</v>
      </c>
      <c r="CC273" s="129">
        <f t="shared" ref="CC273:CC278" si="239">G273-I273+1</f>
        <v>441</v>
      </c>
      <c r="CD273" s="129">
        <f t="shared" ref="CD273:CD278" si="240">G273-J273</f>
        <v>0</v>
      </c>
      <c r="CE273" s="129">
        <f t="shared" si="232"/>
        <v>0</v>
      </c>
      <c r="CG273" s="129" t="str">
        <f t="shared" si="233"/>
        <v>Y</v>
      </c>
      <c r="CI273" s="129" t="str">
        <f t="shared" si="234"/>
        <v xml:space="preserve"> &gt;1YRS&lt;2YRS</v>
      </c>
      <c r="CJ273" s="137">
        <f t="shared" si="235"/>
        <v>0</v>
      </c>
      <c r="CK273" s="129" t="str">
        <f t="shared" si="236"/>
        <v>Booked</v>
      </c>
    </row>
    <row r="274" spans="1:89" ht="15" customHeight="1" x14ac:dyDescent="0.25">
      <c r="A274" s="111">
        <v>2385</v>
      </c>
      <c r="B274" s="128" t="str">
        <f t="shared" si="216"/>
        <v>N</v>
      </c>
      <c r="C274" s="128" t="str">
        <f t="shared" si="217"/>
        <v>N</v>
      </c>
      <c r="D274" s="117">
        <v>891246</v>
      </c>
      <c r="E274" s="135">
        <f t="shared" si="218"/>
        <v>5</v>
      </c>
      <c r="F274" s="124">
        <v>40998</v>
      </c>
      <c r="G274" s="125">
        <v>41032</v>
      </c>
      <c r="H274" s="117">
        <v>891246</v>
      </c>
      <c r="I274" s="124">
        <v>40999</v>
      </c>
      <c r="J274" s="124">
        <v>41032</v>
      </c>
      <c r="K274" s="126">
        <v>15000</v>
      </c>
      <c r="L274" s="127" t="s">
        <v>571</v>
      </c>
      <c r="N274" s="129" t="str">
        <f t="shared" si="238"/>
        <v>N</v>
      </c>
      <c r="O274" s="128" t="s">
        <v>917</v>
      </c>
      <c r="P274" s="129" t="s">
        <v>39</v>
      </c>
      <c r="Q274" s="111">
        <f t="shared" si="206"/>
        <v>34</v>
      </c>
      <c r="R274" s="111">
        <f t="shared" si="211"/>
        <v>35</v>
      </c>
      <c r="S274" s="129">
        <v>1</v>
      </c>
      <c r="T274" s="129">
        <v>8</v>
      </c>
      <c r="W274" s="111"/>
      <c r="AC274" s="130"/>
      <c r="AD274" s="130">
        <v>25533</v>
      </c>
      <c r="AE274" s="128" t="s">
        <v>32</v>
      </c>
      <c r="AF274" s="128" t="s">
        <v>40</v>
      </c>
      <c r="AG274" s="128" t="s">
        <v>41</v>
      </c>
      <c r="AH274" s="108" t="s">
        <v>41</v>
      </c>
      <c r="AI274" s="128" t="s">
        <v>62</v>
      </c>
      <c r="AJ274" s="129" t="s">
        <v>89</v>
      </c>
      <c r="AK274" s="129">
        <v>3</v>
      </c>
      <c r="AL274" s="3" t="s">
        <v>992</v>
      </c>
      <c r="AN274" s="117">
        <v>6</v>
      </c>
      <c r="AP274" s="129" t="s">
        <v>43</v>
      </c>
      <c r="AR274" s="128" t="s">
        <v>44</v>
      </c>
      <c r="AS274" s="129" t="s">
        <v>45</v>
      </c>
      <c r="BC274" s="129" t="s">
        <v>38</v>
      </c>
      <c r="BF274" s="111">
        <f t="shared" si="207"/>
        <v>34</v>
      </c>
      <c r="BG274" s="111">
        <f t="shared" si="202"/>
        <v>34</v>
      </c>
      <c r="BH274" s="111">
        <f t="shared" si="212"/>
        <v>35</v>
      </c>
      <c r="BI274" s="111">
        <f t="shared" si="213"/>
        <v>42.254098360655739</v>
      </c>
      <c r="BJ274" s="129">
        <f t="shared" si="219"/>
        <v>0</v>
      </c>
      <c r="BK274" s="129">
        <f t="shared" si="214"/>
        <v>0</v>
      </c>
      <c r="BL274" s="129" t="str">
        <f t="shared" si="215"/>
        <v>CONVICTION</v>
      </c>
      <c r="BM274" s="129" t="str">
        <f t="shared" si="220"/>
        <v>NONE</v>
      </c>
      <c r="BN274" s="129" t="s">
        <v>566</v>
      </c>
      <c r="BP274" s="137" t="str">
        <f t="shared" si="221"/>
        <v>CONVICTION</v>
      </c>
      <c r="BQ274" s="128" t="str">
        <f t="shared" si="222"/>
        <v>Y</v>
      </c>
      <c r="BR274" s="129" t="str">
        <f t="shared" si="223"/>
        <v>DETAINED</v>
      </c>
      <c r="BS274" s="129" t="str">
        <f t="shared" si="224"/>
        <v>DISPOSED</v>
      </c>
      <c r="BT274" s="129" t="str">
        <f t="shared" si="225"/>
        <v>Y</v>
      </c>
      <c r="BU274" s="109">
        <f t="shared" si="226"/>
        <v>0.97142857142857142</v>
      </c>
      <c r="BV274" s="109">
        <f t="shared" si="227"/>
        <v>1</v>
      </c>
      <c r="BW274" s="109">
        <f t="shared" si="237"/>
        <v>2.8571428571428581E-2</v>
      </c>
      <c r="BX274" s="111">
        <f t="shared" si="228"/>
        <v>0</v>
      </c>
      <c r="BY274" s="129">
        <f t="shared" si="229"/>
        <v>-34</v>
      </c>
      <c r="BZ274" s="111">
        <f t="shared" si="230"/>
        <v>0</v>
      </c>
      <c r="CA274" s="138">
        <f t="shared" si="231"/>
        <v>34</v>
      </c>
      <c r="CB274" s="111" t="e">
        <f t="shared" si="208"/>
        <v>#VALUE!</v>
      </c>
      <c r="CC274" s="129">
        <f t="shared" si="239"/>
        <v>34</v>
      </c>
      <c r="CD274" s="129">
        <f t="shared" si="240"/>
        <v>0</v>
      </c>
      <c r="CE274" s="129">
        <f t="shared" si="232"/>
        <v>0</v>
      </c>
      <c r="CG274" s="129" t="str">
        <f t="shared" si="233"/>
        <v>Y</v>
      </c>
      <c r="CI274" s="129" t="str">
        <f t="shared" si="234"/>
        <v>31-60 DAYS</v>
      </c>
      <c r="CJ274" s="137">
        <f t="shared" si="235"/>
        <v>3</v>
      </c>
      <c r="CK274" s="129" t="str">
        <f t="shared" si="236"/>
        <v>Booked</v>
      </c>
    </row>
    <row r="275" spans="1:89" ht="15" customHeight="1" x14ac:dyDescent="0.25">
      <c r="A275" s="111">
        <v>1748</v>
      </c>
      <c r="B275" s="128" t="str">
        <f t="shared" si="216"/>
        <v>N</v>
      </c>
      <c r="C275" s="128" t="str">
        <f t="shared" si="217"/>
        <v>N</v>
      </c>
      <c r="D275" s="117">
        <v>892044</v>
      </c>
      <c r="E275" s="135">
        <f t="shared" si="218"/>
        <v>5</v>
      </c>
      <c r="F275" s="124">
        <v>40974</v>
      </c>
      <c r="G275" s="125">
        <v>41031</v>
      </c>
      <c r="H275" s="117">
        <v>892044</v>
      </c>
      <c r="I275" s="124">
        <v>40974</v>
      </c>
      <c r="J275" s="124">
        <v>41031</v>
      </c>
      <c r="K275" s="126" t="s">
        <v>564</v>
      </c>
      <c r="L275" s="127" t="s">
        <v>564</v>
      </c>
      <c r="N275" s="129" t="s">
        <v>566</v>
      </c>
      <c r="O275" s="128" t="s">
        <v>917</v>
      </c>
      <c r="P275" s="129" t="s">
        <v>39</v>
      </c>
      <c r="Q275" s="111">
        <f t="shared" si="206"/>
        <v>58</v>
      </c>
      <c r="R275" s="111">
        <f t="shared" si="211"/>
        <v>58</v>
      </c>
      <c r="S275" s="129">
        <v>5</v>
      </c>
      <c r="T275" s="129">
        <v>8</v>
      </c>
      <c r="U275" s="129">
        <v>4</v>
      </c>
      <c r="W275" s="111"/>
      <c r="AC275" s="130"/>
      <c r="AD275" s="130">
        <v>24619</v>
      </c>
      <c r="AE275" s="128" t="s">
        <v>32</v>
      </c>
      <c r="AF275" s="128" t="s">
        <v>33</v>
      </c>
      <c r="AG275" s="128" t="s">
        <v>872</v>
      </c>
      <c r="AH275" s="108" t="s">
        <v>58</v>
      </c>
      <c r="AI275" s="128" t="s">
        <v>113</v>
      </c>
      <c r="AJ275" s="129" t="s">
        <v>89</v>
      </c>
      <c r="AK275" s="129">
        <v>4</v>
      </c>
      <c r="AL275" s="3" t="s">
        <v>992</v>
      </c>
      <c r="AN275" s="117">
        <v>9</v>
      </c>
      <c r="AP275" s="129" t="s">
        <v>60</v>
      </c>
      <c r="AR275" s="128" t="s">
        <v>44</v>
      </c>
      <c r="AS275" s="129" t="s">
        <v>61</v>
      </c>
      <c r="BC275" s="129" t="s">
        <v>38</v>
      </c>
      <c r="BF275" s="111">
        <f t="shared" si="207"/>
        <v>58</v>
      </c>
      <c r="BG275" s="111">
        <f t="shared" si="202"/>
        <v>58</v>
      </c>
      <c r="BH275" s="111">
        <f t="shared" si="212"/>
        <v>58</v>
      </c>
      <c r="BI275" s="111">
        <f t="shared" si="213"/>
        <v>44.685792349726775</v>
      </c>
      <c r="BJ275" s="129">
        <f t="shared" si="219"/>
        <v>0</v>
      </c>
      <c r="BK275" s="129">
        <f t="shared" si="214"/>
        <v>0</v>
      </c>
      <c r="BL275" s="129" t="str">
        <f t="shared" si="215"/>
        <v>CONVICTION</v>
      </c>
      <c r="BM275" s="129" t="str">
        <f t="shared" si="220"/>
        <v>NONE</v>
      </c>
      <c r="BN275" s="129" t="s">
        <v>566</v>
      </c>
      <c r="BP275" s="137" t="str">
        <f t="shared" si="221"/>
        <v>CONVICTION</v>
      </c>
      <c r="BQ275" s="128" t="str">
        <f t="shared" si="222"/>
        <v>Y</v>
      </c>
      <c r="BR275" s="129" t="str">
        <f t="shared" si="223"/>
        <v>DETAINED</v>
      </c>
      <c r="BS275" s="129" t="str">
        <f t="shared" si="224"/>
        <v>DISPOSED</v>
      </c>
      <c r="BT275" s="129" t="str">
        <f t="shared" si="225"/>
        <v>Y</v>
      </c>
      <c r="BU275" s="109">
        <f t="shared" si="226"/>
        <v>1</v>
      </c>
      <c r="BV275" s="109">
        <f t="shared" si="227"/>
        <v>1</v>
      </c>
      <c r="BW275" s="109">
        <f t="shared" si="237"/>
        <v>0</v>
      </c>
      <c r="BX275" s="111">
        <f t="shared" si="228"/>
        <v>0</v>
      </c>
      <c r="BY275" s="129">
        <f t="shared" si="229"/>
        <v>-58</v>
      </c>
      <c r="BZ275" s="111">
        <f t="shared" si="230"/>
        <v>0</v>
      </c>
      <c r="CA275" s="138">
        <f t="shared" si="231"/>
        <v>58</v>
      </c>
      <c r="CB275" s="111" t="e">
        <f t="shared" si="208"/>
        <v>#VALUE!</v>
      </c>
      <c r="CC275" s="129">
        <f t="shared" si="239"/>
        <v>58</v>
      </c>
      <c r="CD275" s="129">
        <f t="shared" si="240"/>
        <v>0</v>
      </c>
      <c r="CE275" s="129">
        <f t="shared" si="232"/>
        <v>0</v>
      </c>
      <c r="CG275" s="129" t="str">
        <f t="shared" si="233"/>
        <v>Y</v>
      </c>
      <c r="CI275" s="129" t="str">
        <f t="shared" si="234"/>
        <v>31-60 DAYS</v>
      </c>
      <c r="CJ275" s="137">
        <f t="shared" si="235"/>
        <v>3</v>
      </c>
      <c r="CK275" s="129" t="str">
        <f t="shared" si="236"/>
        <v>Booked</v>
      </c>
    </row>
    <row r="276" spans="1:89" ht="15.75" customHeight="1" x14ac:dyDescent="0.25">
      <c r="A276" s="111">
        <v>2749</v>
      </c>
      <c r="B276" s="128" t="str">
        <f t="shared" si="216"/>
        <v>N</v>
      </c>
      <c r="C276" s="128" t="str">
        <f t="shared" si="217"/>
        <v>N</v>
      </c>
      <c r="D276" s="117">
        <v>892765</v>
      </c>
      <c r="E276" s="135">
        <f t="shared" si="218"/>
        <v>6</v>
      </c>
      <c r="F276" s="124">
        <v>41011</v>
      </c>
      <c r="G276" s="125">
        <v>41136</v>
      </c>
      <c r="H276" s="117">
        <v>892765</v>
      </c>
      <c r="I276" s="124">
        <v>41011</v>
      </c>
      <c r="J276" s="124">
        <v>41136</v>
      </c>
      <c r="K276" s="126" t="s">
        <v>564</v>
      </c>
      <c r="L276" s="127" t="s">
        <v>564</v>
      </c>
      <c r="N276" s="129" t="s">
        <v>566</v>
      </c>
      <c r="O276" s="128" t="s">
        <v>917</v>
      </c>
      <c r="P276" s="129" t="s">
        <v>39</v>
      </c>
      <c r="Q276" s="111">
        <f t="shared" si="206"/>
        <v>126</v>
      </c>
      <c r="R276" s="111">
        <f t="shared" si="211"/>
        <v>126</v>
      </c>
      <c r="S276" s="129">
        <v>3</v>
      </c>
      <c r="T276" s="129">
        <v>2</v>
      </c>
      <c r="U276" s="129">
        <v>2</v>
      </c>
      <c r="W276" s="111"/>
      <c r="AC276" s="130"/>
      <c r="AD276" s="130">
        <v>23879</v>
      </c>
      <c r="AE276" s="128" t="s">
        <v>32</v>
      </c>
      <c r="AF276" s="128" t="s">
        <v>69</v>
      </c>
      <c r="AG276" s="128" t="s">
        <v>874</v>
      </c>
      <c r="AH276" s="108" t="s">
        <v>31</v>
      </c>
      <c r="AI276" s="128" t="s">
        <v>118</v>
      </c>
      <c r="AJ276" s="129" t="s">
        <v>89</v>
      </c>
      <c r="AK276" s="129">
        <v>5</v>
      </c>
      <c r="AL276" s="3" t="s">
        <v>362</v>
      </c>
      <c r="AM276" s="117">
        <v>4</v>
      </c>
      <c r="AP276" s="129" t="s">
        <v>150</v>
      </c>
      <c r="AR276" s="128" t="s">
        <v>67</v>
      </c>
      <c r="AS276" s="129" t="s">
        <v>74</v>
      </c>
      <c r="BC276" s="129" t="s">
        <v>38</v>
      </c>
      <c r="BF276" s="111">
        <f t="shared" si="207"/>
        <v>126</v>
      </c>
      <c r="BG276" s="111">
        <f t="shared" si="202"/>
        <v>126</v>
      </c>
      <c r="BH276" s="111">
        <f t="shared" si="212"/>
        <v>126</v>
      </c>
      <c r="BI276" s="111">
        <f t="shared" si="213"/>
        <v>46.808743169398909</v>
      </c>
      <c r="BJ276" s="129">
        <f t="shared" si="219"/>
        <v>0</v>
      </c>
      <c r="BK276" s="129">
        <f t="shared" si="214"/>
        <v>0</v>
      </c>
      <c r="BL276" s="129" t="str">
        <f t="shared" si="215"/>
        <v>CONVICTION</v>
      </c>
      <c r="BM276" s="129" t="str">
        <f t="shared" si="220"/>
        <v>NONE</v>
      </c>
      <c r="BN276" s="129" t="s">
        <v>566</v>
      </c>
      <c r="BP276" s="137" t="str">
        <f t="shared" si="221"/>
        <v>CONVICTION</v>
      </c>
      <c r="BQ276" s="128" t="str">
        <f t="shared" si="222"/>
        <v>Y</v>
      </c>
      <c r="BR276" s="129" t="str">
        <f t="shared" si="223"/>
        <v>DETAINED</v>
      </c>
      <c r="BS276" s="129" t="str">
        <f t="shared" si="224"/>
        <v>DISPOSED</v>
      </c>
      <c r="BT276" s="129" t="str">
        <f t="shared" si="225"/>
        <v>Y</v>
      </c>
      <c r="BU276" s="109">
        <f t="shared" si="226"/>
        <v>1</v>
      </c>
      <c r="BV276" s="109">
        <f t="shared" si="227"/>
        <v>1</v>
      </c>
      <c r="BW276" s="109">
        <f t="shared" si="237"/>
        <v>0</v>
      </c>
      <c r="BX276" s="111">
        <f t="shared" si="228"/>
        <v>0</v>
      </c>
      <c r="BY276" s="129">
        <f t="shared" si="229"/>
        <v>-126</v>
      </c>
      <c r="BZ276" s="111">
        <f t="shared" si="230"/>
        <v>0</v>
      </c>
      <c r="CA276" s="138">
        <f t="shared" si="231"/>
        <v>126</v>
      </c>
      <c r="CB276" s="111" t="e">
        <f t="shared" si="208"/>
        <v>#VALUE!</v>
      </c>
      <c r="CC276" s="129">
        <f t="shared" si="239"/>
        <v>126</v>
      </c>
      <c r="CD276" s="129">
        <f t="shared" si="240"/>
        <v>0</v>
      </c>
      <c r="CE276" s="129">
        <f t="shared" si="232"/>
        <v>0</v>
      </c>
      <c r="CG276" s="129" t="str">
        <f t="shared" si="233"/>
        <v>Y</v>
      </c>
      <c r="CI276" s="129" t="str">
        <f t="shared" si="234"/>
        <v>121-365 DAYS</v>
      </c>
      <c r="CJ276" s="137">
        <f t="shared" si="235"/>
        <v>6</v>
      </c>
      <c r="CK276" s="129" t="str">
        <f t="shared" si="236"/>
        <v>Booked</v>
      </c>
    </row>
    <row r="277" spans="1:89" ht="15" customHeight="1" x14ac:dyDescent="0.25">
      <c r="A277" s="111">
        <v>1330</v>
      </c>
      <c r="B277" s="128" t="str">
        <f t="shared" si="216"/>
        <v>N</v>
      </c>
      <c r="C277" s="128" t="str">
        <f t="shared" si="217"/>
        <v>N</v>
      </c>
      <c r="D277" s="117">
        <v>893183</v>
      </c>
      <c r="E277" s="135">
        <f t="shared" si="218"/>
        <v>6</v>
      </c>
      <c r="F277" s="124">
        <v>40956</v>
      </c>
      <c r="G277" s="125">
        <v>41354</v>
      </c>
      <c r="H277" s="117">
        <v>893183</v>
      </c>
      <c r="I277" s="124">
        <v>40957</v>
      </c>
      <c r="J277" s="125">
        <v>41354</v>
      </c>
      <c r="K277" s="126" t="s">
        <v>564</v>
      </c>
      <c r="L277" s="127" t="s">
        <v>564</v>
      </c>
      <c r="N277" s="129" t="s">
        <v>566</v>
      </c>
      <c r="O277" s="128" t="s">
        <v>917</v>
      </c>
      <c r="P277" s="129" t="s">
        <v>39</v>
      </c>
      <c r="Q277" s="111">
        <f t="shared" si="206"/>
        <v>398</v>
      </c>
      <c r="R277" s="111">
        <f t="shared" si="211"/>
        <v>399</v>
      </c>
      <c r="S277" s="129">
        <v>4</v>
      </c>
      <c r="T277" s="129">
        <v>2</v>
      </c>
      <c r="U277" s="129">
        <v>2</v>
      </c>
      <c r="V277" s="117">
        <v>1</v>
      </c>
      <c r="W277" s="111"/>
      <c r="AC277" s="130"/>
      <c r="AD277" s="130">
        <v>23643</v>
      </c>
      <c r="AE277" s="128" t="s">
        <v>32</v>
      </c>
      <c r="AF277" s="128" t="s">
        <v>69</v>
      </c>
      <c r="AG277" s="128" t="s">
        <v>874</v>
      </c>
      <c r="AH277" s="108" t="s">
        <v>31</v>
      </c>
      <c r="AI277" s="128" t="s">
        <v>47</v>
      </c>
      <c r="AJ277" s="129" t="s">
        <v>89</v>
      </c>
      <c r="AK277" s="129">
        <v>13</v>
      </c>
      <c r="AL277" s="3" t="s">
        <v>362</v>
      </c>
      <c r="AM277" s="117">
        <v>2</v>
      </c>
      <c r="AP277" s="129" t="s">
        <v>84</v>
      </c>
      <c r="AR277" s="128" t="s">
        <v>67</v>
      </c>
      <c r="AS277" s="129" t="s">
        <v>74</v>
      </c>
      <c r="AT277" s="32" t="s">
        <v>951</v>
      </c>
      <c r="BC277" s="129" t="s">
        <v>38</v>
      </c>
      <c r="BF277" s="111">
        <f t="shared" si="207"/>
        <v>398</v>
      </c>
      <c r="BG277" s="111">
        <f t="shared" si="202"/>
        <v>398</v>
      </c>
      <c r="BH277" s="111">
        <f t="shared" si="212"/>
        <v>399</v>
      </c>
      <c r="BI277" s="111">
        <f t="shared" si="213"/>
        <v>47.303278688524593</v>
      </c>
      <c r="BJ277" s="129">
        <f t="shared" si="219"/>
        <v>0</v>
      </c>
      <c r="BK277" s="129">
        <f t="shared" si="214"/>
        <v>0</v>
      </c>
      <c r="BL277" s="129" t="str">
        <f t="shared" si="215"/>
        <v>CONVICTION</v>
      </c>
      <c r="BM277" s="129" t="str">
        <f t="shared" si="220"/>
        <v>NONE</v>
      </c>
      <c r="BN277" s="129" t="s">
        <v>566</v>
      </c>
      <c r="BP277" s="137" t="str">
        <f t="shared" si="221"/>
        <v>CONVICTION</v>
      </c>
      <c r="BQ277" s="128" t="str">
        <f t="shared" si="222"/>
        <v>Y</v>
      </c>
      <c r="BR277" s="129" t="str">
        <f t="shared" si="223"/>
        <v>DETAINED</v>
      </c>
      <c r="BS277" s="129" t="str">
        <f t="shared" si="224"/>
        <v>DISPOSED</v>
      </c>
      <c r="BT277" s="129" t="str">
        <f t="shared" si="225"/>
        <v>Y</v>
      </c>
      <c r="BU277" s="109">
        <f t="shared" si="226"/>
        <v>0.99749373433583954</v>
      </c>
      <c r="BV277" s="109">
        <f t="shared" si="227"/>
        <v>1</v>
      </c>
      <c r="BW277" s="109">
        <f t="shared" si="237"/>
        <v>2.5062656641604564E-3</v>
      </c>
      <c r="BX277" s="111">
        <f t="shared" si="228"/>
        <v>0</v>
      </c>
      <c r="BY277" s="129">
        <f t="shared" si="229"/>
        <v>-398</v>
      </c>
      <c r="BZ277" s="111">
        <f t="shared" si="230"/>
        <v>0</v>
      </c>
      <c r="CA277" s="138">
        <f t="shared" si="231"/>
        <v>398</v>
      </c>
      <c r="CB277" s="111" t="e">
        <f t="shared" si="208"/>
        <v>#VALUE!</v>
      </c>
      <c r="CC277" s="129">
        <f t="shared" si="239"/>
        <v>398</v>
      </c>
      <c r="CD277" s="129">
        <f t="shared" si="240"/>
        <v>0</v>
      </c>
      <c r="CE277" s="129">
        <f t="shared" si="232"/>
        <v>0</v>
      </c>
      <c r="CG277" s="129" t="str">
        <f t="shared" si="233"/>
        <v>Y</v>
      </c>
      <c r="CI277" s="129" t="str">
        <f t="shared" si="234"/>
        <v xml:space="preserve"> &gt;1YRS&lt;2YRS</v>
      </c>
      <c r="CJ277" s="137">
        <f t="shared" si="235"/>
        <v>0</v>
      </c>
      <c r="CK277" s="129" t="str">
        <f t="shared" si="236"/>
        <v>Booked</v>
      </c>
    </row>
    <row r="278" spans="1:89" ht="15.75" customHeight="1" x14ac:dyDescent="0.25">
      <c r="A278" s="111">
        <v>3002</v>
      </c>
      <c r="B278" s="128" t="str">
        <f t="shared" si="216"/>
        <v>N</v>
      </c>
      <c r="C278" s="128" t="str">
        <f t="shared" si="217"/>
        <v>N</v>
      </c>
      <c r="D278" s="117">
        <v>897389</v>
      </c>
      <c r="E278" s="135">
        <f t="shared" si="218"/>
        <v>4</v>
      </c>
      <c r="F278" s="124">
        <v>41019</v>
      </c>
      <c r="G278" s="125">
        <v>41066</v>
      </c>
      <c r="H278" s="117">
        <v>897389</v>
      </c>
      <c r="I278" s="124">
        <v>41058</v>
      </c>
      <c r="J278" s="124">
        <v>41066</v>
      </c>
      <c r="K278" s="126">
        <v>15000</v>
      </c>
      <c r="L278" s="127" t="s">
        <v>571</v>
      </c>
      <c r="N278" s="129" t="str">
        <f>IF(M278&gt;1/1/1,"Y","N")</f>
        <v>N</v>
      </c>
      <c r="O278" s="128" t="s">
        <v>917</v>
      </c>
      <c r="P278" s="129" t="s">
        <v>39</v>
      </c>
      <c r="Q278" s="111">
        <f t="shared" si="206"/>
        <v>9</v>
      </c>
      <c r="R278" s="111">
        <f t="shared" si="211"/>
        <v>48</v>
      </c>
      <c r="S278" s="129">
        <v>5</v>
      </c>
      <c r="T278" s="129">
        <v>4</v>
      </c>
      <c r="U278" s="129">
        <v>3</v>
      </c>
      <c r="W278" s="111"/>
      <c r="AC278" s="130"/>
      <c r="AD278" s="130">
        <v>24310</v>
      </c>
      <c r="AE278" s="128" t="s">
        <v>46</v>
      </c>
      <c r="AF278" s="128" t="s">
        <v>33</v>
      </c>
      <c r="AG278" s="128" t="s">
        <v>872</v>
      </c>
      <c r="AH278" s="108" t="s">
        <v>31</v>
      </c>
      <c r="AI278" s="128" t="s">
        <v>72</v>
      </c>
      <c r="AJ278" s="129" t="s">
        <v>89</v>
      </c>
      <c r="AK278" s="129">
        <v>2</v>
      </c>
      <c r="AL278" s="3" t="s">
        <v>991</v>
      </c>
      <c r="AO278" s="128">
        <v>180</v>
      </c>
      <c r="AP278" s="129" t="s">
        <v>60</v>
      </c>
      <c r="AR278" s="128" t="s">
        <v>44</v>
      </c>
      <c r="AS278" s="129" t="s">
        <v>61</v>
      </c>
      <c r="BC278" s="129" t="s">
        <v>38</v>
      </c>
      <c r="BF278" s="111">
        <f t="shared" si="207"/>
        <v>9</v>
      </c>
      <c r="BG278" s="111">
        <f t="shared" si="202"/>
        <v>9</v>
      </c>
      <c r="BH278" s="111">
        <f t="shared" si="212"/>
        <v>48</v>
      </c>
      <c r="BI278" s="111">
        <f t="shared" si="213"/>
        <v>45.653005464480877</v>
      </c>
      <c r="BJ278" s="129">
        <f t="shared" si="219"/>
        <v>0</v>
      </c>
      <c r="BK278" s="129">
        <f t="shared" si="214"/>
        <v>0</v>
      </c>
      <c r="BL278" s="129" t="str">
        <f t="shared" si="215"/>
        <v>CONVICTION</v>
      </c>
      <c r="BM278" s="129" t="str">
        <f t="shared" si="220"/>
        <v>NONE</v>
      </c>
      <c r="BN278" s="129" t="s">
        <v>566</v>
      </c>
      <c r="BP278" s="137" t="str">
        <f t="shared" si="221"/>
        <v>CONVICTION</v>
      </c>
      <c r="BQ278" s="128" t="str">
        <f t="shared" si="222"/>
        <v>Y</v>
      </c>
      <c r="BR278" s="129" t="str">
        <f t="shared" si="223"/>
        <v>DETAINED</v>
      </c>
      <c r="BS278" s="129" t="str">
        <f t="shared" si="224"/>
        <v>DISPOSED</v>
      </c>
      <c r="BT278" s="129" t="str">
        <f t="shared" si="225"/>
        <v>Y</v>
      </c>
      <c r="BU278" s="109">
        <f t="shared" si="226"/>
        <v>0.1875</v>
      </c>
      <c r="BV278" s="109">
        <f t="shared" si="227"/>
        <v>1</v>
      </c>
      <c r="BW278" s="109">
        <f t="shared" si="237"/>
        <v>0.8125</v>
      </c>
      <c r="BX278" s="111">
        <f t="shared" si="228"/>
        <v>0</v>
      </c>
      <c r="BY278" s="129">
        <f t="shared" si="229"/>
        <v>-9</v>
      </c>
      <c r="BZ278" s="111">
        <f t="shared" si="230"/>
        <v>0</v>
      </c>
      <c r="CA278" s="138">
        <f t="shared" si="231"/>
        <v>9</v>
      </c>
      <c r="CB278" s="111" t="e">
        <f t="shared" si="208"/>
        <v>#VALUE!</v>
      </c>
      <c r="CC278" s="129">
        <f t="shared" si="239"/>
        <v>9</v>
      </c>
      <c r="CD278" s="129">
        <f t="shared" si="240"/>
        <v>0</v>
      </c>
      <c r="CE278" s="129">
        <f t="shared" si="232"/>
        <v>0</v>
      </c>
      <c r="CG278" s="129" t="str">
        <f t="shared" si="233"/>
        <v>Y</v>
      </c>
      <c r="CI278" s="129" t="str">
        <f t="shared" si="234"/>
        <v>0-10 DAYS</v>
      </c>
      <c r="CJ278" s="137">
        <f t="shared" si="235"/>
        <v>1</v>
      </c>
      <c r="CK278" s="129" t="str">
        <f t="shared" si="236"/>
        <v>Booked</v>
      </c>
    </row>
    <row r="279" spans="1:89" ht="15" customHeight="1" x14ac:dyDescent="0.25">
      <c r="A279" s="111">
        <v>163</v>
      </c>
      <c r="B279" s="128" t="str">
        <f t="shared" si="216"/>
        <v>N</v>
      </c>
      <c r="C279" s="128" t="str">
        <f t="shared" si="217"/>
        <v>N</v>
      </c>
      <c r="D279" s="117">
        <v>900638</v>
      </c>
      <c r="E279" s="135">
        <f t="shared" si="218"/>
        <v>2</v>
      </c>
      <c r="F279" s="124">
        <v>40915</v>
      </c>
      <c r="G279" s="125">
        <v>41346</v>
      </c>
      <c r="H279" s="117">
        <v>900638</v>
      </c>
      <c r="I279" s="124" t="s">
        <v>562</v>
      </c>
      <c r="J279" s="124" t="s">
        <v>562</v>
      </c>
      <c r="K279" s="126">
        <v>15000</v>
      </c>
      <c r="L279" s="127" t="s">
        <v>571</v>
      </c>
      <c r="M279" s="125">
        <v>40916</v>
      </c>
      <c r="N279" s="129" t="str">
        <f>IF(M279&gt;1/1/1,"Y",IF(Q279="0","","N"))</f>
        <v>Y</v>
      </c>
      <c r="O279" s="128" t="s">
        <v>76</v>
      </c>
      <c r="P279" s="129" t="s">
        <v>589</v>
      </c>
      <c r="Q279" s="111">
        <f t="shared" si="206"/>
        <v>0</v>
      </c>
      <c r="R279" s="111">
        <f t="shared" si="211"/>
        <v>432</v>
      </c>
      <c r="S279" s="129">
        <v>5</v>
      </c>
      <c r="T279" s="129">
        <v>6</v>
      </c>
      <c r="U279" s="129">
        <v>4</v>
      </c>
      <c r="W279" s="111"/>
      <c r="AC279" s="130"/>
      <c r="AD279" s="130">
        <v>22559</v>
      </c>
      <c r="AE279" s="128" t="s">
        <v>32</v>
      </c>
      <c r="AF279" s="128" t="s">
        <v>33</v>
      </c>
      <c r="AG279" s="128" t="s">
        <v>872</v>
      </c>
      <c r="AH279" s="108" t="s">
        <v>58</v>
      </c>
      <c r="AI279" s="128" t="s">
        <v>72</v>
      </c>
      <c r="AJ279" s="129" t="s">
        <v>48</v>
      </c>
      <c r="AK279" s="129">
        <v>10</v>
      </c>
      <c r="AL279" s="3" t="s">
        <v>48</v>
      </c>
      <c r="AP279" s="129" t="s">
        <v>60</v>
      </c>
      <c r="AR279" s="128" t="s">
        <v>44</v>
      </c>
      <c r="AS279" s="129" t="s">
        <v>61</v>
      </c>
      <c r="BC279" s="129" t="s">
        <v>52</v>
      </c>
      <c r="BF279" s="111">
        <v>0</v>
      </c>
      <c r="BG279" s="111">
        <v>0</v>
      </c>
      <c r="BH279" s="111">
        <f t="shared" si="212"/>
        <v>432</v>
      </c>
      <c r="BI279" s="111">
        <f t="shared" si="213"/>
        <v>50.153005464480877</v>
      </c>
      <c r="BJ279" s="129" t="e">
        <f>(G279-J279)+(M279-G279)</f>
        <v>#VALUE!</v>
      </c>
      <c r="BK279" s="129" t="e">
        <f t="shared" si="214"/>
        <v>#VALUE!</v>
      </c>
      <c r="BL279" s="129" t="str">
        <f t="shared" si="215"/>
        <v>DEFERRED</v>
      </c>
      <c r="BM279" s="129" t="s">
        <v>76</v>
      </c>
      <c r="BN279" s="129" t="s">
        <v>88</v>
      </c>
      <c r="BP279" s="137" t="str">
        <f t="shared" si="221"/>
        <v>DEFERRED</v>
      </c>
      <c r="BQ279" s="128">
        <f t="shared" si="222"/>
        <v>0</v>
      </c>
      <c r="BR279" s="129" t="s">
        <v>575</v>
      </c>
      <c r="BS279" s="129" t="str">
        <f t="shared" si="224"/>
        <v>DISPOSED</v>
      </c>
      <c r="BT279" s="129" t="str">
        <f t="shared" si="225"/>
        <v>Y</v>
      </c>
      <c r="BU279" s="109">
        <f t="shared" si="226"/>
        <v>0</v>
      </c>
      <c r="BV279" s="109">
        <v>0</v>
      </c>
      <c r="BW279" s="109">
        <f t="shared" si="237"/>
        <v>0</v>
      </c>
      <c r="BX279" s="111">
        <f t="shared" si="228"/>
        <v>0</v>
      </c>
      <c r="BY279" s="129" t="e">
        <f t="shared" si="229"/>
        <v>#VALUE!</v>
      </c>
      <c r="BZ279" s="111" t="e">
        <f t="shared" si="230"/>
        <v>#VALUE!</v>
      </c>
      <c r="CA279" s="138" t="e">
        <f t="shared" si="231"/>
        <v>#VALUE!</v>
      </c>
      <c r="CB279" s="111">
        <v>0</v>
      </c>
      <c r="CC279" s="129">
        <v>0</v>
      </c>
      <c r="CD279" s="111">
        <f>CC279-BF279</f>
        <v>0</v>
      </c>
      <c r="CE279" s="129" t="e">
        <f t="shared" si="232"/>
        <v>#VALUE!</v>
      </c>
      <c r="CG279" s="129" t="str">
        <f t="shared" si="233"/>
        <v>Y</v>
      </c>
      <c r="CI279" s="129" t="str">
        <f t="shared" si="234"/>
        <v>0-10 DAYS</v>
      </c>
      <c r="CJ279" s="137">
        <f t="shared" si="235"/>
        <v>1</v>
      </c>
      <c r="CK279" s="129" t="str">
        <f t="shared" si="236"/>
        <v>Not Booked</v>
      </c>
    </row>
    <row r="280" spans="1:89" ht="15.75" customHeight="1" x14ac:dyDescent="0.25">
      <c r="A280" s="111">
        <v>1795</v>
      </c>
      <c r="B280" s="128" t="str">
        <f t="shared" si="216"/>
        <v>N</v>
      </c>
      <c r="C280" s="128" t="str">
        <f t="shared" si="217"/>
        <v>N</v>
      </c>
      <c r="D280" s="117">
        <v>900735</v>
      </c>
      <c r="E280" s="135">
        <f t="shared" si="218"/>
        <v>5</v>
      </c>
      <c r="F280" s="124">
        <v>40975</v>
      </c>
      <c r="G280" s="125">
        <v>41003</v>
      </c>
      <c r="H280" s="117">
        <v>900735</v>
      </c>
      <c r="I280" s="124">
        <v>40976</v>
      </c>
      <c r="J280" s="124">
        <v>41003</v>
      </c>
      <c r="K280" s="126">
        <v>15000</v>
      </c>
      <c r="L280" s="127" t="s">
        <v>571</v>
      </c>
      <c r="N280" s="129" t="str">
        <f>IF(M280&gt;1/1/1,"Y","N")</f>
        <v>N</v>
      </c>
      <c r="O280" s="128" t="s">
        <v>917</v>
      </c>
      <c r="P280" s="129" t="s">
        <v>39</v>
      </c>
      <c r="Q280" s="111">
        <f t="shared" si="206"/>
        <v>28</v>
      </c>
      <c r="R280" s="111">
        <f t="shared" si="211"/>
        <v>29</v>
      </c>
      <c r="S280" s="129">
        <v>3</v>
      </c>
      <c r="T280" s="129">
        <v>1</v>
      </c>
      <c r="U280" s="129">
        <v>1</v>
      </c>
      <c r="W280" s="111"/>
      <c r="AC280" s="130"/>
      <c r="AD280" s="130">
        <v>23760</v>
      </c>
      <c r="AE280" s="128" t="s">
        <v>32</v>
      </c>
      <c r="AF280" s="128" t="s">
        <v>40</v>
      </c>
      <c r="AG280" s="128" t="s">
        <v>41</v>
      </c>
      <c r="AH280" s="108" t="s">
        <v>41</v>
      </c>
      <c r="AI280" s="128" t="s">
        <v>53</v>
      </c>
      <c r="AJ280" s="129" t="s">
        <v>89</v>
      </c>
      <c r="AK280" s="129">
        <v>3</v>
      </c>
      <c r="AL280" s="3" t="s">
        <v>992</v>
      </c>
      <c r="AN280" s="117">
        <v>6</v>
      </c>
      <c r="AP280" s="129" t="s">
        <v>127</v>
      </c>
      <c r="AR280" s="128" t="s">
        <v>44</v>
      </c>
      <c r="AS280" s="129" t="s">
        <v>82</v>
      </c>
      <c r="BC280" s="129" t="s">
        <v>38</v>
      </c>
      <c r="BF280" s="111">
        <f t="shared" ref="BF280:BF296" si="241">IF(J280&gt;1/1/1900,((J280+1)-I280),"STILL OPEN")</f>
        <v>28</v>
      </c>
      <c r="BG280" s="111">
        <f t="shared" ref="BG280:BG313" si="242">IF(G280&gt;1/1/1900,((G280+1)-I280),"STILL OPEN")</f>
        <v>28</v>
      </c>
      <c r="BH280" s="111">
        <f t="shared" si="212"/>
        <v>29</v>
      </c>
      <c r="BI280" s="111">
        <f t="shared" si="213"/>
        <v>47.035519125683059</v>
      </c>
      <c r="BJ280" s="129">
        <f t="shared" si="219"/>
        <v>0</v>
      </c>
      <c r="BK280" s="129">
        <f t="shared" si="214"/>
        <v>0</v>
      </c>
      <c r="BL280" s="129" t="str">
        <f t="shared" si="215"/>
        <v>CONVICTION</v>
      </c>
      <c r="BM280" s="129" t="str">
        <f t="shared" si="220"/>
        <v>NONE</v>
      </c>
      <c r="BN280" s="129" t="s">
        <v>566</v>
      </c>
      <c r="BP280" s="137" t="str">
        <f t="shared" si="221"/>
        <v>CONVICTION</v>
      </c>
      <c r="BQ280" s="128" t="str">
        <f t="shared" si="222"/>
        <v>Y</v>
      </c>
      <c r="BR280" s="129" t="str">
        <f t="shared" si="223"/>
        <v>DETAINED</v>
      </c>
      <c r="BS280" s="129" t="str">
        <f t="shared" si="224"/>
        <v>DISPOSED</v>
      </c>
      <c r="BT280" s="129" t="str">
        <f t="shared" si="225"/>
        <v>Y</v>
      </c>
      <c r="BU280" s="109">
        <f t="shared" si="226"/>
        <v>0.96551724137931039</v>
      </c>
      <c r="BV280" s="109">
        <f t="shared" si="227"/>
        <v>1</v>
      </c>
      <c r="BW280" s="109">
        <f t="shared" si="237"/>
        <v>3.4482758620689613E-2</v>
      </c>
      <c r="BX280" s="111">
        <f t="shared" si="228"/>
        <v>0</v>
      </c>
      <c r="BY280" s="129">
        <f t="shared" si="229"/>
        <v>-28</v>
      </c>
      <c r="BZ280" s="111">
        <f t="shared" si="230"/>
        <v>0</v>
      </c>
      <c r="CA280" s="138">
        <f t="shared" si="231"/>
        <v>28</v>
      </c>
      <c r="CB280" s="111" t="e">
        <f t="shared" ref="CB280:CB296" si="243">IF(AF280&gt;1/1/1900,((AF280+1)-AE280),"STILL OPEN")</f>
        <v>#VALUE!</v>
      </c>
      <c r="CC280" s="129">
        <f>G280-I280+1</f>
        <v>28</v>
      </c>
      <c r="CD280" s="129">
        <f>G280-J280</f>
        <v>0</v>
      </c>
      <c r="CE280" s="129">
        <f t="shared" si="232"/>
        <v>0</v>
      </c>
      <c r="CG280" s="129" t="str">
        <f t="shared" si="233"/>
        <v>Y</v>
      </c>
      <c r="CI280" s="129" t="str">
        <f t="shared" si="234"/>
        <v>11-30 DAYS</v>
      </c>
      <c r="CJ280" s="137">
        <f t="shared" si="235"/>
        <v>2</v>
      </c>
      <c r="CK280" s="129" t="str">
        <f t="shared" si="236"/>
        <v>Booked</v>
      </c>
    </row>
    <row r="281" spans="1:89" ht="15" customHeight="1" x14ac:dyDescent="0.25">
      <c r="A281" s="111">
        <v>1359</v>
      </c>
      <c r="B281" s="128" t="str">
        <f t="shared" si="216"/>
        <v>N</v>
      </c>
      <c r="C281" s="128" t="str">
        <f t="shared" si="217"/>
        <v>N</v>
      </c>
      <c r="D281" s="117">
        <v>901214</v>
      </c>
      <c r="E281" s="135">
        <f t="shared" si="218"/>
        <v>5</v>
      </c>
      <c r="F281" s="124">
        <v>40958</v>
      </c>
      <c r="G281" s="125">
        <v>41011</v>
      </c>
      <c r="H281" s="117">
        <v>901214</v>
      </c>
      <c r="I281" s="124">
        <v>40958</v>
      </c>
      <c r="J281" s="124">
        <v>41011</v>
      </c>
      <c r="K281" s="126">
        <v>15000</v>
      </c>
      <c r="L281" s="127" t="s">
        <v>571</v>
      </c>
      <c r="N281" s="129" t="str">
        <f>IF(M281&gt;1/1/1,"Y","N")</f>
        <v>N</v>
      </c>
      <c r="O281" s="128" t="s">
        <v>917</v>
      </c>
      <c r="P281" s="129" t="s">
        <v>39</v>
      </c>
      <c r="Q281" s="111">
        <f t="shared" si="206"/>
        <v>54</v>
      </c>
      <c r="R281" s="111">
        <f t="shared" si="211"/>
        <v>54</v>
      </c>
      <c r="S281" s="129">
        <v>9</v>
      </c>
      <c r="T281" s="129">
        <v>8</v>
      </c>
      <c r="U281" s="129">
        <v>8</v>
      </c>
      <c r="W281" s="111"/>
      <c r="AC281" s="130"/>
      <c r="AD281" s="130">
        <v>23809</v>
      </c>
      <c r="AE281" s="128" t="s">
        <v>46</v>
      </c>
      <c r="AF281" s="128" t="s">
        <v>40</v>
      </c>
      <c r="AG281" s="128" t="s">
        <v>41</v>
      </c>
      <c r="AH281" s="108" t="s">
        <v>41</v>
      </c>
      <c r="AI281" s="128" t="s">
        <v>118</v>
      </c>
      <c r="AJ281" s="129" t="s">
        <v>89</v>
      </c>
      <c r="AK281" s="129">
        <v>3</v>
      </c>
      <c r="AL281" s="3" t="s">
        <v>992</v>
      </c>
      <c r="AN281" s="117">
        <v>7</v>
      </c>
      <c r="AP281" s="129" t="s">
        <v>60</v>
      </c>
      <c r="AR281" s="128" t="s">
        <v>44</v>
      </c>
      <c r="AS281" s="129" t="s">
        <v>61</v>
      </c>
      <c r="BC281" s="129" t="s">
        <v>38</v>
      </c>
      <c r="BF281" s="111">
        <f t="shared" si="241"/>
        <v>54</v>
      </c>
      <c r="BG281" s="111">
        <f t="shared" si="242"/>
        <v>54</v>
      </c>
      <c r="BH281" s="111">
        <f t="shared" si="212"/>
        <v>54</v>
      </c>
      <c r="BI281" s="111">
        <f t="shared" si="213"/>
        <v>46.855191256830601</v>
      </c>
      <c r="BJ281" s="129">
        <f t="shared" si="219"/>
        <v>0</v>
      </c>
      <c r="BK281" s="129">
        <f t="shared" si="214"/>
        <v>0</v>
      </c>
      <c r="BL281" s="129" t="str">
        <f t="shared" si="215"/>
        <v>CONVICTION</v>
      </c>
      <c r="BM281" s="129" t="str">
        <f t="shared" si="220"/>
        <v>NONE</v>
      </c>
      <c r="BN281" s="129" t="s">
        <v>566</v>
      </c>
      <c r="BP281" s="137" t="str">
        <f t="shared" si="221"/>
        <v>CONVICTION</v>
      </c>
      <c r="BQ281" s="128" t="str">
        <f t="shared" si="222"/>
        <v>Y</v>
      </c>
      <c r="BR281" s="129" t="str">
        <f t="shared" si="223"/>
        <v>DETAINED</v>
      </c>
      <c r="BS281" s="129" t="str">
        <f t="shared" si="224"/>
        <v>DISPOSED</v>
      </c>
      <c r="BT281" s="129" t="str">
        <f t="shared" si="225"/>
        <v>Y</v>
      </c>
      <c r="BU281" s="109">
        <f t="shared" si="226"/>
        <v>1</v>
      </c>
      <c r="BV281" s="109">
        <f t="shared" si="227"/>
        <v>1</v>
      </c>
      <c r="BW281" s="109">
        <f t="shared" si="237"/>
        <v>0</v>
      </c>
      <c r="BX281" s="111">
        <f t="shared" si="228"/>
        <v>0</v>
      </c>
      <c r="BY281" s="129">
        <f t="shared" si="229"/>
        <v>-54</v>
      </c>
      <c r="BZ281" s="111">
        <f t="shared" si="230"/>
        <v>0</v>
      </c>
      <c r="CA281" s="138">
        <f t="shared" si="231"/>
        <v>54</v>
      </c>
      <c r="CB281" s="111" t="e">
        <f t="shared" si="243"/>
        <v>#VALUE!</v>
      </c>
      <c r="CC281" s="129">
        <f>G281-I281+1</f>
        <v>54</v>
      </c>
      <c r="CD281" s="129">
        <f>G281-J281</f>
        <v>0</v>
      </c>
      <c r="CE281" s="129">
        <f t="shared" si="232"/>
        <v>0</v>
      </c>
      <c r="CG281" s="129" t="str">
        <f t="shared" si="233"/>
        <v>Y</v>
      </c>
      <c r="CI281" s="129" t="str">
        <f t="shared" si="234"/>
        <v>31-60 DAYS</v>
      </c>
      <c r="CJ281" s="137">
        <f t="shared" si="235"/>
        <v>3</v>
      </c>
      <c r="CK281" s="129" t="str">
        <f t="shared" si="236"/>
        <v>Booked</v>
      </c>
    </row>
    <row r="282" spans="1:89" ht="15.75" customHeight="1" x14ac:dyDescent="0.25">
      <c r="A282" s="111">
        <v>2396</v>
      </c>
      <c r="B282" s="128" t="str">
        <f t="shared" si="216"/>
        <v>N</v>
      </c>
      <c r="C282" s="128" t="str">
        <f t="shared" si="217"/>
        <v>N</v>
      </c>
      <c r="D282" s="117">
        <v>901873</v>
      </c>
      <c r="E282" s="135">
        <f t="shared" si="218"/>
        <v>5</v>
      </c>
      <c r="F282" s="124">
        <v>40999</v>
      </c>
      <c r="G282" s="125">
        <v>41001</v>
      </c>
      <c r="H282" s="117">
        <v>901873</v>
      </c>
      <c r="I282" s="124">
        <v>40999</v>
      </c>
      <c r="J282" s="124">
        <v>41001</v>
      </c>
      <c r="K282" s="126">
        <v>15000</v>
      </c>
      <c r="L282" s="127" t="s">
        <v>571</v>
      </c>
      <c r="N282" s="129" t="str">
        <f>IF(M282&gt;1/1/1,"Y","N")</f>
        <v>N</v>
      </c>
      <c r="O282" s="128" t="s">
        <v>917</v>
      </c>
      <c r="P282" s="129" t="s">
        <v>39</v>
      </c>
      <c r="Q282" s="111">
        <f t="shared" si="206"/>
        <v>3</v>
      </c>
      <c r="R282" s="111">
        <f t="shared" si="211"/>
        <v>3</v>
      </c>
      <c r="S282" s="129">
        <v>1</v>
      </c>
      <c r="T282" s="129">
        <v>0</v>
      </c>
      <c r="U282" s="129">
        <v>1</v>
      </c>
      <c r="W282" s="111"/>
      <c r="AC282" s="130"/>
      <c r="AD282" s="130">
        <v>23390</v>
      </c>
      <c r="AE282" s="128" t="s">
        <v>32</v>
      </c>
      <c r="AF282" s="128" t="s">
        <v>69</v>
      </c>
      <c r="AG282" s="128" t="s">
        <v>874</v>
      </c>
      <c r="AH282" s="108" t="s">
        <v>58</v>
      </c>
      <c r="AI282" s="128" t="s">
        <v>114</v>
      </c>
      <c r="AJ282" s="129" t="s">
        <v>89</v>
      </c>
      <c r="AK282" s="129">
        <v>1</v>
      </c>
      <c r="AL282" s="3" t="s">
        <v>992</v>
      </c>
      <c r="AN282" s="117">
        <v>6</v>
      </c>
      <c r="AP282" s="129" t="s">
        <v>43</v>
      </c>
      <c r="AR282" s="128" t="s">
        <v>44</v>
      </c>
      <c r="AS282" s="129" t="s">
        <v>45</v>
      </c>
      <c r="BC282" s="129" t="s">
        <v>38</v>
      </c>
      <c r="BF282" s="111">
        <f t="shared" si="241"/>
        <v>3</v>
      </c>
      <c r="BG282" s="111">
        <f t="shared" si="242"/>
        <v>3</v>
      </c>
      <c r="BH282" s="111">
        <f t="shared" si="212"/>
        <v>3</v>
      </c>
      <c r="BI282" s="111">
        <f t="shared" si="213"/>
        <v>48.112021857923494</v>
      </c>
      <c r="BJ282" s="129">
        <f t="shared" si="219"/>
        <v>0</v>
      </c>
      <c r="BK282" s="129">
        <f t="shared" si="214"/>
        <v>0</v>
      </c>
      <c r="BL282" s="129" t="str">
        <f t="shared" si="215"/>
        <v>CONVICTION</v>
      </c>
      <c r="BM282" s="129" t="str">
        <f t="shared" si="220"/>
        <v>NONE</v>
      </c>
      <c r="BN282" s="129" t="s">
        <v>566</v>
      </c>
      <c r="BP282" s="137" t="str">
        <f t="shared" si="221"/>
        <v>CONVICTION</v>
      </c>
      <c r="BQ282" s="128" t="str">
        <f t="shared" si="222"/>
        <v>Y</v>
      </c>
      <c r="BR282" s="129" t="str">
        <f t="shared" si="223"/>
        <v>DETAINED</v>
      </c>
      <c r="BS282" s="129" t="str">
        <f t="shared" si="224"/>
        <v>DISPOSED</v>
      </c>
      <c r="BT282" s="129" t="str">
        <f t="shared" si="225"/>
        <v>Y</v>
      </c>
      <c r="BU282" s="109">
        <f t="shared" si="226"/>
        <v>1</v>
      </c>
      <c r="BV282" s="109">
        <f t="shared" si="227"/>
        <v>1</v>
      </c>
      <c r="BW282" s="109">
        <f t="shared" si="237"/>
        <v>0</v>
      </c>
      <c r="BX282" s="111">
        <f t="shared" si="228"/>
        <v>0</v>
      </c>
      <c r="BY282" s="129">
        <f t="shared" si="229"/>
        <v>-3</v>
      </c>
      <c r="BZ282" s="111">
        <f t="shared" si="230"/>
        <v>0</v>
      </c>
      <c r="CA282" s="138">
        <f t="shared" si="231"/>
        <v>3</v>
      </c>
      <c r="CB282" s="111" t="e">
        <f t="shared" si="243"/>
        <v>#VALUE!</v>
      </c>
      <c r="CC282" s="129">
        <f>G282-I282+1</f>
        <v>3</v>
      </c>
      <c r="CD282" s="129">
        <f>G282-J282</f>
        <v>0</v>
      </c>
      <c r="CE282" s="129">
        <f t="shared" si="232"/>
        <v>0</v>
      </c>
      <c r="CG282" s="129" t="str">
        <f t="shared" si="233"/>
        <v>Y</v>
      </c>
      <c r="CI282" s="129" t="str">
        <f t="shared" si="234"/>
        <v>0-10 DAYS</v>
      </c>
      <c r="CJ282" s="137">
        <f t="shared" si="235"/>
        <v>1</v>
      </c>
      <c r="CK282" s="129" t="str">
        <f t="shared" si="236"/>
        <v>Booked</v>
      </c>
    </row>
    <row r="283" spans="1:89" ht="15.75" customHeight="1" x14ac:dyDescent="0.25">
      <c r="A283" s="111">
        <v>658</v>
      </c>
      <c r="B283" s="128" t="str">
        <f t="shared" si="216"/>
        <v>N</v>
      </c>
      <c r="C283" s="128" t="str">
        <f t="shared" si="217"/>
        <v>N</v>
      </c>
      <c r="D283" s="117">
        <v>905040</v>
      </c>
      <c r="E283" s="135">
        <f t="shared" si="218"/>
        <v>4</v>
      </c>
      <c r="F283" s="124">
        <v>40935</v>
      </c>
      <c r="G283" s="125">
        <v>41058</v>
      </c>
      <c r="H283" s="117">
        <v>905040</v>
      </c>
      <c r="I283" s="124">
        <v>40935</v>
      </c>
      <c r="J283" s="124">
        <v>40936</v>
      </c>
      <c r="K283" s="126">
        <v>20000</v>
      </c>
      <c r="L283" s="127" t="s">
        <v>571</v>
      </c>
      <c r="M283" s="125">
        <v>40936</v>
      </c>
      <c r="N283" s="129" t="str">
        <f>IF(M283&gt;1/1/1,"Y","N")</f>
        <v>Y</v>
      </c>
      <c r="O283" s="128" t="s">
        <v>585</v>
      </c>
      <c r="P283" s="129" t="s">
        <v>39</v>
      </c>
      <c r="Q283" s="111">
        <f t="shared" si="206"/>
        <v>2</v>
      </c>
      <c r="R283" s="111">
        <f t="shared" si="211"/>
        <v>124</v>
      </c>
      <c r="S283" s="129">
        <v>6</v>
      </c>
      <c r="T283" s="129">
        <v>3</v>
      </c>
      <c r="U283" s="129">
        <v>6</v>
      </c>
      <c r="W283" s="111"/>
      <c r="AC283" s="130"/>
      <c r="AD283" s="130">
        <v>23647</v>
      </c>
      <c r="AE283" s="128" t="s">
        <v>32</v>
      </c>
      <c r="AF283" s="128" t="s">
        <v>33</v>
      </c>
      <c r="AG283" s="128" t="s">
        <v>872</v>
      </c>
      <c r="AH283" s="108" t="s">
        <v>31</v>
      </c>
      <c r="AI283" s="128" t="s">
        <v>113</v>
      </c>
      <c r="AJ283" s="129" t="s">
        <v>89</v>
      </c>
      <c r="AK283" s="129">
        <v>7</v>
      </c>
      <c r="AL283" s="3" t="s">
        <v>991</v>
      </c>
      <c r="AO283" s="128">
        <v>365</v>
      </c>
      <c r="AP283" s="129" t="s">
        <v>43</v>
      </c>
      <c r="AR283" s="128" t="s">
        <v>44</v>
      </c>
      <c r="AS283" s="129" t="s">
        <v>45</v>
      </c>
      <c r="BC283" s="129" t="s">
        <v>52</v>
      </c>
      <c r="BF283" s="111">
        <f t="shared" si="241"/>
        <v>2</v>
      </c>
      <c r="BG283" s="111">
        <f t="shared" si="242"/>
        <v>124</v>
      </c>
      <c r="BH283" s="111">
        <f t="shared" si="212"/>
        <v>124</v>
      </c>
      <c r="BI283" s="111">
        <f t="shared" si="213"/>
        <v>47.234972677595628</v>
      </c>
      <c r="BJ283" s="129">
        <f>(G283-J283)+(M283-G283)</f>
        <v>0</v>
      </c>
      <c r="BK283" s="129">
        <f t="shared" si="214"/>
        <v>-122</v>
      </c>
      <c r="BL283" s="129" t="str">
        <f t="shared" si="215"/>
        <v>CONVICTION</v>
      </c>
      <c r="BM283" s="129" t="s">
        <v>76</v>
      </c>
      <c r="BN283" s="129" t="s">
        <v>88</v>
      </c>
      <c r="BP283" s="137" t="str">
        <f t="shared" si="221"/>
        <v>CONVICTION</v>
      </c>
      <c r="BQ283" s="128" t="str">
        <f t="shared" si="222"/>
        <v>Y</v>
      </c>
      <c r="BR283" s="129" t="str">
        <f>IF(J283&lt;G283,"ON BOND",0)</f>
        <v>ON BOND</v>
      </c>
      <c r="BS283" s="129" t="str">
        <f t="shared" si="224"/>
        <v>DISPOSED</v>
      </c>
      <c r="BT283" s="129" t="str">
        <f t="shared" si="225"/>
        <v>Y</v>
      </c>
      <c r="BU283" s="109">
        <f t="shared" si="226"/>
        <v>1.6129032258064516E-2</v>
      </c>
      <c r="BV283" s="109">
        <f t="shared" si="227"/>
        <v>1.6129032258064516E-2</v>
      </c>
      <c r="BW283" s="109">
        <f t="shared" si="237"/>
        <v>0</v>
      </c>
      <c r="BX283" s="111">
        <f t="shared" si="228"/>
        <v>0</v>
      </c>
      <c r="BY283" s="129">
        <f t="shared" si="229"/>
        <v>-2</v>
      </c>
      <c r="BZ283" s="111">
        <f t="shared" si="230"/>
        <v>0</v>
      </c>
      <c r="CA283" s="138">
        <f t="shared" si="231"/>
        <v>2</v>
      </c>
      <c r="CB283" s="111" t="e">
        <f t="shared" si="243"/>
        <v>#VALUE!</v>
      </c>
      <c r="CC283" s="129">
        <f>M283-I283+1</f>
        <v>2</v>
      </c>
      <c r="CD283" s="111">
        <f>CC283-BF283</f>
        <v>0</v>
      </c>
      <c r="CE283" s="129">
        <f t="shared" si="232"/>
        <v>122</v>
      </c>
      <c r="CG283" s="129" t="str">
        <f t="shared" si="233"/>
        <v>Y</v>
      </c>
      <c r="CI283" s="129" t="str">
        <f t="shared" si="234"/>
        <v>0-10 DAYS</v>
      </c>
      <c r="CJ283" s="137">
        <f t="shared" si="235"/>
        <v>1</v>
      </c>
      <c r="CK283" s="129" t="str">
        <f t="shared" si="236"/>
        <v>Booked</v>
      </c>
    </row>
    <row r="284" spans="1:89" ht="15.75" customHeight="1" x14ac:dyDescent="0.25">
      <c r="A284" s="111">
        <v>311</v>
      </c>
      <c r="B284" s="128" t="str">
        <f t="shared" si="216"/>
        <v>N</v>
      </c>
      <c r="C284" s="128" t="str">
        <f t="shared" si="217"/>
        <v>N</v>
      </c>
      <c r="D284" s="117">
        <v>905377</v>
      </c>
      <c r="E284" s="135">
        <f t="shared" si="218"/>
        <v>4</v>
      </c>
      <c r="F284" s="124">
        <v>40921</v>
      </c>
      <c r="G284" s="125">
        <v>40956</v>
      </c>
      <c r="H284" s="117">
        <v>905377</v>
      </c>
      <c r="I284" s="124">
        <v>40921</v>
      </c>
      <c r="J284" s="124">
        <v>40956</v>
      </c>
      <c r="K284" s="126">
        <v>25000</v>
      </c>
      <c r="L284" s="129" t="s">
        <v>572</v>
      </c>
      <c r="N284" s="129" t="str">
        <f>IF(M284&gt;1/1/1,"Y","N")</f>
        <v>N</v>
      </c>
      <c r="O284" s="128" t="s">
        <v>917</v>
      </c>
      <c r="P284" s="129" t="s">
        <v>39</v>
      </c>
      <c r="Q284" s="111">
        <f t="shared" si="206"/>
        <v>36</v>
      </c>
      <c r="R284" s="111">
        <f t="shared" si="211"/>
        <v>36</v>
      </c>
      <c r="S284" s="129">
        <v>3</v>
      </c>
      <c r="T284" s="129">
        <v>1</v>
      </c>
      <c r="U284" s="129">
        <v>3</v>
      </c>
      <c r="W284" s="111"/>
      <c r="AC284" s="130"/>
      <c r="AD284" s="130">
        <v>21101</v>
      </c>
      <c r="AE284" s="128" t="s">
        <v>32</v>
      </c>
      <c r="AF284" s="128" t="s">
        <v>33</v>
      </c>
      <c r="AG284" s="128" t="s">
        <v>872</v>
      </c>
      <c r="AH284" s="108" t="s">
        <v>58</v>
      </c>
      <c r="AI284" s="128" t="s">
        <v>42</v>
      </c>
      <c r="AJ284" s="129" t="s">
        <v>89</v>
      </c>
      <c r="AK284" s="129">
        <v>2</v>
      </c>
      <c r="AL284" s="3" t="s">
        <v>991</v>
      </c>
      <c r="AO284" s="128">
        <v>180</v>
      </c>
      <c r="AP284" s="129" t="s">
        <v>43</v>
      </c>
      <c r="AR284" s="128" t="s">
        <v>44</v>
      </c>
      <c r="AS284" s="129" t="s">
        <v>45</v>
      </c>
      <c r="BC284" s="129" t="s">
        <v>38</v>
      </c>
      <c r="BF284" s="111">
        <f t="shared" si="241"/>
        <v>36</v>
      </c>
      <c r="BG284" s="111">
        <f t="shared" si="242"/>
        <v>36</v>
      </c>
      <c r="BH284" s="111">
        <f t="shared" si="212"/>
        <v>36</v>
      </c>
      <c r="BI284" s="111">
        <f t="shared" si="213"/>
        <v>54.153005464480877</v>
      </c>
      <c r="BJ284" s="129">
        <f t="shared" si="219"/>
        <v>0</v>
      </c>
      <c r="BK284" s="129">
        <f t="shared" si="214"/>
        <v>0</v>
      </c>
      <c r="BL284" s="129" t="str">
        <f t="shared" si="215"/>
        <v>CONVICTION</v>
      </c>
      <c r="BM284" s="129" t="str">
        <f t="shared" si="220"/>
        <v>NONE</v>
      </c>
      <c r="BN284" s="129" t="s">
        <v>566</v>
      </c>
      <c r="BP284" s="137" t="str">
        <f t="shared" si="221"/>
        <v>CONVICTION</v>
      </c>
      <c r="BQ284" s="128" t="str">
        <f t="shared" si="222"/>
        <v>Y</v>
      </c>
      <c r="BR284" s="129" t="str">
        <f t="shared" si="223"/>
        <v>DETAINED</v>
      </c>
      <c r="BS284" s="129" t="str">
        <f t="shared" si="224"/>
        <v>DISPOSED</v>
      </c>
      <c r="BT284" s="129" t="str">
        <f t="shared" si="225"/>
        <v>Y</v>
      </c>
      <c r="BU284" s="109">
        <f t="shared" si="226"/>
        <v>1</v>
      </c>
      <c r="BV284" s="109">
        <f t="shared" si="227"/>
        <v>1</v>
      </c>
      <c r="BW284" s="109">
        <f t="shared" si="237"/>
        <v>0</v>
      </c>
      <c r="BX284" s="111">
        <f t="shared" si="228"/>
        <v>0</v>
      </c>
      <c r="BY284" s="129">
        <f t="shared" si="229"/>
        <v>-36</v>
      </c>
      <c r="BZ284" s="111">
        <f t="shared" si="230"/>
        <v>0</v>
      </c>
      <c r="CA284" s="138">
        <f t="shared" si="231"/>
        <v>36</v>
      </c>
      <c r="CB284" s="111" t="e">
        <f t="shared" si="243"/>
        <v>#VALUE!</v>
      </c>
      <c r="CC284" s="129">
        <f t="shared" ref="CC284:CC290" si="244">G284-I284+1</f>
        <v>36</v>
      </c>
      <c r="CD284" s="129">
        <f t="shared" ref="CD284:CD290" si="245">G284-J284</f>
        <v>0</v>
      </c>
      <c r="CE284" s="129">
        <f t="shared" si="232"/>
        <v>0</v>
      </c>
      <c r="CG284" s="129" t="str">
        <f t="shared" si="233"/>
        <v>Y</v>
      </c>
      <c r="CI284" s="129" t="str">
        <f t="shared" si="234"/>
        <v>31-60 DAYS</v>
      </c>
      <c r="CJ284" s="137">
        <f t="shared" si="235"/>
        <v>3</v>
      </c>
      <c r="CK284" s="129" t="str">
        <f t="shared" si="236"/>
        <v>Booked</v>
      </c>
    </row>
    <row r="285" spans="1:89" ht="15.75" customHeight="1" x14ac:dyDescent="0.25">
      <c r="A285" s="111">
        <v>907</v>
      </c>
      <c r="B285" s="128" t="str">
        <f t="shared" si="216"/>
        <v>N</v>
      </c>
      <c r="C285" s="128" t="str">
        <f t="shared" si="217"/>
        <v>N</v>
      </c>
      <c r="D285" s="117">
        <v>905995</v>
      </c>
      <c r="E285" s="135">
        <f t="shared" si="218"/>
        <v>5</v>
      </c>
      <c r="F285" s="124">
        <v>40942</v>
      </c>
      <c r="G285" s="125">
        <v>41150</v>
      </c>
      <c r="H285" s="117">
        <v>905995</v>
      </c>
      <c r="I285" s="124">
        <v>40967</v>
      </c>
      <c r="J285" s="125">
        <v>41150</v>
      </c>
      <c r="K285" s="126" t="s">
        <v>564</v>
      </c>
      <c r="L285" s="127" t="s">
        <v>564</v>
      </c>
      <c r="N285" s="129" t="s">
        <v>566</v>
      </c>
      <c r="O285" s="128" t="s">
        <v>917</v>
      </c>
      <c r="P285" s="129" t="s">
        <v>39</v>
      </c>
      <c r="Q285" s="111">
        <f t="shared" si="206"/>
        <v>184</v>
      </c>
      <c r="R285" s="111">
        <f t="shared" si="211"/>
        <v>209</v>
      </c>
      <c r="S285" s="129">
        <v>4</v>
      </c>
      <c r="T285" s="129">
        <v>4</v>
      </c>
      <c r="U285" s="129">
        <v>3</v>
      </c>
      <c r="W285" s="111"/>
      <c r="AC285" s="130"/>
      <c r="AD285" s="130">
        <v>25199</v>
      </c>
      <c r="AE285" s="128" t="s">
        <v>32</v>
      </c>
      <c r="AF285" s="128" t="s">
        <v>69</v>
      </c>
      <c r="AG285" s="128" t="s">
        <v>874</v>
      </c>
      <c r="AH285" s="108" t="s">
        <v>58</v>
      </c>
      <c r="AI285" s="128" t="s">
        <v>83</v>
      </c>
      <c r="AJ285" s="129" t="s">
        <v>89</v>
      </c>
      <c r="AK285" s="129">
        <v>7</v>
      </c>
      <c r="AL285" s="3" t="s">
        <v>992</v>
      </c>
      <c r="AN285" s="117">
        <v>6</v>
      </c>
      <c r="AP285" s="129" t="s">
        <v>170</v>
      </c>
      <c r="AR285" s="128" t="s">
        <v>67</v>
      </c>
      <c r="AS285" s="129" t="s">
        <v>64</v>
      </c>
      <c r="AT285" s="129" t="s">
        <v>610</v>
      </c>
      <c r="BC285" s="129" t="s">
        <v>38</v>
      </c>
      <c r="BF285" s="111">
        <f t="shared" si="241"/>
        <v>184</v>
      </c>
      <c r="BG285" s="111">
        <f t="shared" si="242"/>
        <v>184</v>
      </c>
      <c r="BH285" s="111">
        <f t="shared" si="212"/>
        <v>209</v>
      </c>
      <c r="BI285" s="111">
        <f t="shared" si="213"/>
        <v>43.013661202185794</v>
      </c>
      <c r="BJ285" s="129">
        <f t="shared" si="219"/>
        <v>0</v>
      </c>
      <c r="BK285" s="129">
        <f t="shared" si="214"/>
        <v>0</v>
      </c>
      <c r="BL285" s="129" t="str">
        <f t="shared" si="215"/>
        <v>CONVICTION</v>
      </c>
      <c r="BM285" s="129" t="str">
        <f t="shared" si="220"/>
        <v>NONE</v>
      </c>
      <c r="BN285" s="129" t="s">
        <v>566</v>
      </c>
      <c r="BP285" s="137" t="str">
        <f t="shared" si="221"/>
        <v>CONVICTION</v>
      </c>
      <c r="BQ285" s="128" t="str">
        <f t="shared" si="222"/>
        <v>Y</v>
      </c>
      <c r="BR285" s="129" t="str">
        <f t="shared" si="223"/>
        <v>DETAINED</v>
      </c>
      <c r="BS285" s="129" t="str">
        <f t="shared" si="224"/>
        <v>DISPOSED</v>
      </c>
      <c r="BT285" s="129" t="str">
        <f t="shared" si="225"/>
        <v>Y</v>
      </c>
      <c r="BU285" s="109">
        <f t="shared" si="226"/>
        <v>0.88038277511961727</v>
      </c>
      <c r="BV285" s="109">
        <f t="shared" si="227"/>
        <v>1</v>
      </c>
      <c r="BW285" s="109">
        <f t="shared" si="237"/>
        <v>0.11961722488038273</v>
      </c>
      <c r="BX285" s="111">
        <f t="shared" si="228"/>
        <v>0</v>
      </c>
      <c r="BY285" s="129">
        <f t="shared" si="229"/>
        <v>-184</v>
      </c>
      <c r="BZ285" s="111">
        <f t="shared" si="230"/>
        <v>0</v>
      </c>
      <c r="CA285" s="138">
        <f t="shared" si="231"/>
        <v>184</v>
      </c>
      <c r="CB285" s="111" t="e">
        <f t="shared" si="243"/>
        <v>#VALUE!</v>
      </c>
      <c r="CC285" s="129">
        <f t="shared" si="244"/>
        <v>184</v>
      </c>
      <c r="CD285" s="129">
        <f t="shared" si="245"/>
        <v>0</v>
      </c>
      <c r="CE285" s="129">
        <f t="shared" si="232"/>
        <v>0</v>
      </c>
      <c r="CG285" s="129" t="str">
        <f t="shared" si="233"/>
        <v>Y</v>
      </c>
      <c r="CI285" s="129" t="str">
        <f t="shared" si="234"/>
        <v>121-365 DAYS</v>
      </c>
      <c r="CJ285" s="137">
        <f t="shared" si="235"/>
        <v>6</v>
      </c>
      <c r="CK285" s="129" t="str">
        <f t="shared" si="236"/>
        <v>Booked</v>
      </c>
    </row>
    <row r="286" spans="1:89" ht="15.75" customHeight="1" x14ac:dyDescent="0.25">
      <c r="A286" s="111">
        <v>870</v>
      </c>
      <c r="B286" s="128" t="str">
        <f t="shared" si="216"/>
        <v>N</v>
      </c>
      <c r="C286" s="128" t="str">
        <f t="shared" si="217"/>
        <v>N</v>
      </c>
      <c r="D286" s="117">
        <v>908154</v>
      </c>
      <c r="E286" s="135">
        <f t="shared" si="218"/>
        <v>4</v>
      </c>
      <c r="F286" s="124">
        <v>40941</v>
      </c>
      <c r="G286" s="125">
        <v>40945</v>
      </c>
      <c r="H286" s="117">
        <v>908154</v>
      </c>
      <c r="I286" s="124">
        <v>40941</v>
      </c>
      <c r="J286" s="124">
        <v>40945</v>
      </c>
      <c r="K286" s="126">
        <v>15000</v>
      </c>
      <c r="L286" s="127" t="s">
        <v>571</v>
      </c>
      <c r="N286" s="129" t="str">
        <f>IF(M286&gt;1/1/1,"Y","N")</f>
        <v>N</v>
      </c>
      <c r="O286" s="128" t="s">
        <v>917</v>
      </c>
      <c r="P286" s="129" t="s">
        <v>39</v>
      </c>
      <c r="Q286" s="111">
        <f t="shared" si="206"/>
        <v>5</v>
      </c>
      <c r="R286" s="111">
        <f t="shared" si="211"/>
        <v>5</v>
      </c>
      <c r="S286" s="129">
        <v>2</v>
      </c>
      <c r="T286" s="129">
        <v>0</v>
      </c>
      <c r="U286" s="129">
        <v>2</v>
      </c>
      <c r="W286" s="111"/>
      <c r="AC286" s="130"/>
      <c r="AD286" s="130">
        <v>23444</v>
      </c>
      <c r="AE286" s="128" t="s">
        <v>32</v>
      </c>
      <c r="AF286" s="128" t="s">
        <v>33</v>
      </c>
      <c r="AG286" s="128" t="s">
        <v>872</v>
      </c>
      <c r="AH286" s="108" t="s">
        <v>31</v>
      </c>
      <c r="AI286" s="128" t="s">
        <v>53</v>
      </c>
      <c r="AJ286" s="129" t="s">
        <v>89</v>
      </c>
      <c r="AK286" s="129">
        <v>1</v>
      </c>
      <c r="AL286" s="3" t="s">
        <v>991</v>
      </c>
      <c r="AO286" s="128">
        <v>180</v>
      </c>
      <c r="AP286" s="129" t="s">
        <v>43</v>
      </c>
      <c r="AR286" s="128" t="s">
        <v>44</v>
      </c>
      <c r="AS286" s="129" t="s">
        <v>45</v>
      </c>
      <c r="BC286" s="129" t="s">
        <v>99</v>
      </c>
      <c r="BF286" s="111">
        <f t="shared" si="241"/>
        <v>5</v>
      </c>
      <c r="BG286" s="111">
        <f t="shared" si="242"/>
        <v>5</v>
      </c>
      <c r="BH286" s="111">
        <f t="shared" si="212"/>
        <v>5</v>
      </c>
      <c r="BI286" s="111">
        <f t="shared" si="213"/>
        <v>47.806010928961747</v>
      </c>
      <c r="BJ286" s="129">
        <f t="shared" si="219"/>
        <v>0</v>
      </c>
      <c r="BK286" s="129">
        <f t="shared" si="214"/>
        <v>0</v>
      </c>
      <c r="BL286" s="129" t="str">
        <f t="shared" si="215"/>
        <v>CONVICTION</v>
      </c>
      <c r="BM286" s="129" t="str">
        <f t="shared" si="220"/>
        <v>NONE</v>
      </c>
      <c r="BN286" s="129" t="s">
        <v>566</v>
      </c>
      <c r="BP286" s="137" t="str">
        <f t="shared" si="221"/>
        <v>CONVICTION</v>
      </c>
      <c r="BQ286" s="128" t="str">
        <f t="shared" si="222"/>
        <v>Y</v>
      </c>
      <c r="BR286" s="129" t="str">
        <f t="shared" si="223"/>
        <v>DETAINED</v>
      </c>
      <c r="BS286" s="129" t="str">
        <f t="shared" si="224"/>
        <v>DISPOSED</v>
      </c>
      <c r="BT286" s="129" t="str">
        <f t="shared" si="225"/>
        <v>Y</v>
      </c>
      <c r="BU286" s="109">
        <f t="shared" si="226"/>
        <v>1</v>
      </c>
      <c r="BV286" s="109">
        <f t="shared" si="227"/>
        <v>1</v>
      </c>
      <c r="BW286" s="109">
        <f t="shared" si="237"/>
        <v>0</v>
      </c>
      <c r="BX286" s="111">
        <f t="shared" si="228"/>
        <v>0</v>
      </c>
      <c r="BY286" s="129">
        <f t="shared" si="229"/>
        <v>-5</v>
      </c>
      <c r="BZ286" s="111">
        <f t="shared" si="230"/>
        <v>0</v>
      </c>
      <c r="CA286" s="138">
        <f t="shared" si="231"/>
        <v>5</v>
      </c>
      <c r="CB286" s="111" t="e">
        <f t="shared" si="243"/>
        <v>#VALUE!</v>
      </c>
      <c r="CC286" s="129">
        <f t="shared" si="244"/>
        <v>5</v>
      </c>
      <c r="CD286" s="129">
        <f t="shared" si="245"/>
        <v>0</v>
      </c>
      <c r="CE286" s="129">
        <f t="shared" si="232"/>
        <v>0</v>
      </c>
      <c r="CG286" s="129" t="str">
        <f t="shared" si="233"/>
        <v>Y</v>
      </c>
      <c r="CI286" s="129" t="str">
        <f t="shared" si="234"/>
        <v>0-10 DAYS</v>
      </c>
      <c r="CJ286" s="137">
        <f t="shared" si="235"/>
        <v>1</v>
      </c>
      <c r="CK286" s="129" t="str">
        <f t="shared" si="236"/>
        <v>Booked</v>
      </c>
    </row>
    <row r="287" spans="1:89" ht="15" customHeight="1" x14ac:dyDescent="0.25">
      <c r="A287" s="111">
        <v>1688</v>
      </c>
      <c r="B287" s="128" t="str">
        <f t="shared" si="216"/>
        <v>N</v>
      </c>
      <c r="C287" s="128" t="str">
        <f t="shared" si="217"/>
        <v>N</v>
      </c>
      <c r="D287" s="117">
        <v>909453</v>
      </c>
      <c r="E287" s="135">
        <f t="shared" si="218"/>
        <v>5</v>
      </c>
      <c r="F287" s="124">
        <v>40971</v>
      </c>
      <c r="G287" s="125">
        <v>41054</v>
      </c>
      <c r="H287" s="117">
        <v>909453</v>
      </c>
      <c r="I287" s="124">
        <v>40971</v>
      </c>
      <c r="J287" s="124">
        <v>41054</v>
      </c>
      <c r="K287" s="126">
        <v>15000</v>
      </c>
      <c r="L287" s="127" t="s">
        <v>571</v>
      </c>
      <c r="N287" s="129" t="str">
        <f>IF(M287&gt;1/1/1,"Y","N")</f>
        <v>N</v>
      </c>
      <c r="O287" s="128" t="s">
        <v>917</v>
      </c>
      <c r="P287" s="129" t="s">
        <v>39</v>
      </c>
      <c r="Q287" s="111">
        <f t="shared" si="206"/>
        <v>84</v>
      </c>
      <c r="R287" s="111">
        <f t="shared" si="211"/>
        <v>84</v>
      </c>
      <c r="S287" s="129">
        <v>5</v>
      </c>
      <c r="T287" s="129">
        <v>4</v>
      </c>
      <c r="U287" s="129">
        <v>3</v>
      </c>
      <c r="V287" s="117">
        <v>1</v>
      </c>
      <c r="W287" s="111"/>
      <c r="AC287" s="130"/>
      <c r="AD287" s="130">
        <v>25735</v>
      </c>
      <c r="AE287" s="128" t="s">
        <v>32</v>
      </c>
      <c r="AF287" s="128" t="s">
        <v>69</v>
      </c>
      <c r="AG287" s="128" t="s">
        <v>874</v>
      </c>
      <c r="AH287" s="108" t="s">
        <v>58</v>
      </c>
      <c r="AI287" s="128" t="s">
        <v>42</v>
      </c>
      <c r="AJ287" s="129" t="s">
        <v>89</v>
      </c>
      <c r="AK287" s="129">
        <v>5</v>
      </c>
      <c r="AL287" s="3" t="s">
        <v>992</v>
      </c>
      <c r="AN287" s="117">
        <v>6</v>
      </c>
      <c r="AP287" s="129" t="s">
        <v>43</v>
      </c>
      <c r="AR287" s="128" t="s">
        <v>44</v>
      </c>
      <c r="AS287" s="129" t="s">
        <v>45</v>
      </c>
      <c r="BC287" s="129" t="s">
        <v>38</v>
      </c>
      <c r="BF287" s="111">
        <f t="shared" si="241"/>
        <v>84</v>
      </c>
      <c r="BG287" s="111">
        <f t="shared" si="242"/>
        <v>84</v>
      </c>
      <c r="BH287" s="111">
        <f t="shared" si="212"/>
        <v>84</v>
      </c>
      <c r="BI287" s="111">
        <f t="shared" si="213"/>
        <v>41.62841530054645</v>
      </c>
      <c r="BJ287" s="129">
        <f t="shared" si="219"/>
        <v>0</v>
      </c>
      <c r="BK287" s="129">
        <f t="shared" si="214"/>
        <v>0</v>
      </c>
      <c r="BL287" s="129" t="str">
        <f t="shared" si="215"/>
        <v>CONVICTION</v>
      </c>
      <c r="BM287" s="129" t="str">
        <f t="shared" si="220"/>
        <v>NONE</v>
      </c>
      <c r="BN287" s="129" t="s">
        <v>566</v>
      </c>
      <c r="BP287" s="137" t="str">
        <f t="shared" si="221"/>
        <v>CONVICTION</v>
      </c>
      <c r="BQ287" s="128" t="str">
        <f t="shared" si="222"/>
        <v>Y</v>
      </c>
      <c r="BR287" s="129" t="str">
        <f t="shared" si="223"/>
        <v>DETAINED</v>
      </c>
      <c r="BS287" s="129" t="str">
        <f t="shared" si="224"/>
        <v>DISPOSED</v>
      </c>
      <c r="BT287" s="129" t="str">
        <f t="shared" si="225"/>
        <v>Y</v>
      </c>
      <c r="BU287" s="109">
        <f t="shared" si="226"/>
        <v>1</v>
      </c>
      <c r="BV287" s="109">
        <f t="shared" si="227"/>
        <v>1</v>
      </c>
      <c r="BW287" s="109">
        <f t="shared" si="237"/>
        <v>0</v>
      </c>
      <c r="BX287" s="111">
        <f t="shared" si="228"/>
        <v>0</v>
      </c>
      <c r="BY287" s="129">
        <f t="shared" si="229"/>
        <v>-84</v>
      </c>
      <c r="BZ287" s="111">
        <f t="shared" si="230"/>
        <v>0</v>
      </c>
      <c r="CA287" s="138">
        <f t="shared" si="231"/>
        <v>84</v>
      </c>
      <c r="CB287" s="111" t="e">
        <f t="shared" si="243"/>
        <v>#VALUE!</v>
      </c>
      <c r="CC287" s="129">
        <f t="shared" si="244"/>
        <v>84</v>
      </c>
      <c r="CD287" s="129">
        <f t="shared" si="245"/>
        <v>0</v>
      </c>
      <c r="CE287" s="129">
        <f t="shared" si="232"/>
        <v>0</v>
      </c>
      <c r="CG287" s="129" t="str">
        <f t="shared" si="233"/>
        <v>Y</v>
      </c>
      <c r="CI287" s="129" t="str">
        <f t="shared" si="234"/>
        <v>61-90 DAYS</v>
      </c>
      <c r="CJ287" s="137">
        <f t="shared" si="235"/>
        <v>4</v>
      </c>
      <c r="CK287" s="129" t="str">
        <f t="shared" si="236"/>
        <v>Booked</v>
      </c>
    </row>
    <row r="288" spans="1:89" ht="15" customHeight="1" x14ac:dyDescent="0.25">
      <c r="A288" s="111">
        <v>2920</v>
      </c>
      <c r="B288" s="128" t="str">
        <f t="shared" si="216"/>
        <v>N</v>
      </c>
      <c r="C288" s="128" t="str">
        <f t="shared" si="217"/>
        <v>N</v>
      </c>
      <c r="D288" s="117">
        <v>910427</v>
      </c>
      <c r="E288" s="135">
        <f t="shared" si="218"/>
        <v>2</v>
      </c>
      <c r="F288" s="124">
        <v>41017</v>
      </c>
      <c r="G288" s="125">
        <v>41256</v>
      </c>
      <c r="H288" s="117">
        <v>910427</v>
      </c>
      <c r="I288" s="124">
        <v>41017</v>
      </c>
      <c r="J288" s="125">
        <v>41256</v>
      </c>
      <c r="K288" s="126" t="s">
        <v>564</v>
      </c>
      <c r="L288" s="127" t="s">
        <v>564</v>
      </c>
      <c r="N288" s="129" t="s">
        <v>566</v>
      </c>
      <c r="O288" s="128" t="s">
        <v>917</v>
      </c>
      <c r="P288" s="129" t="s">
        <v>589</v>
      </c>
      <c r="Q288" s="111">
        <f t="shared" si="206"/>
        <v>240</v>
      </c>
      <c r="R288" s="111">
        <f t="shared" si="211"/>
        <v>240</v>
      </c>
      <c r="S288" s="129">
        <v>5</v>
      </c>
      <c r="T288" s="129">
        <v>0</v>
      </c>
      <c r="U288" s="129">
        <v>4</v>
      </c>
      <c r="W288" s="111"/>
      <c r="AC288" s="130"/>
      <c r="AD288" s="130">
        <v>25368</v>
      </c>
      <c r="AE288" s="128" t="s">
        <v>32</v>
      </c>
      <c r="AF288" s="128" t="s">
        <v>33</v>
      </c>
      <c r="AG288" s="128" t="s">
        <v>872</v>
      </c>
      <c r="AH288" s="108" t="s">
        <v>31</v>
      </c>
      <c r="AI288" s="128" t="s">
        <v>34</v>
      </c>
      <c r="AJ288" s="129" t="s">
        <v>48</v>
      </c>
      <c r="AK288" s="129">
        <v>13</v>
      </c>
      <c r="AL288" s="3" t="s">
        <v>48</v>
      </c>
      <c r="AP288" s="129" t="s">
        <v>305</v>
      </c>
      <c r="AR288" s="128" t="s">
        <v>67</v>
      </c>
      <c r="AS288" s="129" t="s">
        <v>74</v>
      </c>
      <c r="AT288" s="129" t="s">
        <v>661</v>
      </c>
      <c r="BC288" s="129" t="s">
        <v>38</v>
      </c>
      <c r="BF288" s="111">
        <f t="shared" si="241"/>
        <v>240</v>
      </c>
      <c r="BG288" s="111">
        <f t="shared" si="242"/>
        <v>240</v>
      </c>
      <c r="BH288" s="111">
        <f t="shared" si="212"/>
        <v>240</v>
      </c>
      <c r="BI288" s="111">
        <f t="shared" si="213"/>
        <v>42.756830601092894</v>
      </c>
      <c r="BJ288" s="129">
        <f t="shared" si="219"/>
        <v>0</v>
      </c>
      <c r="BK288" s="129">
        <f t="shared" si="214"/>
        <v>0</v>
      </c>
      <c r="BL288" s="129" t="str">
        <f t="shared" si="215"/>
        <v>DEFERRED</v>
      </c>
      <c r="BM288" s="129" t="str">
        <f t="shared" si="220"/>
        <v>NONE</v>
      </c>
      <c r="BN288" s="129" t="s">
        <v>566</v>
      </c>
      <c r="BP288" s="137" t="str">
        <f t="shared" si="221"/>
        <v>DEFERRED</v>
      </c>
      <c r="BQ288" s="128" t="str">
        <f t="shared" si="222"/>
        <v>Y</v>
      </c>
      <c r="BR288" s="129" t="str">
        <f t="shared" si="223"/>
        <v>DETAINED</v>
      </c>
      <c r="BS288" s="129" t="str">
        <f t="shared" si="224"/>
        <v>DISPOSED</v>
      </c>
      <c r="BT288" s="129" t="str">
        <f t="shared" si="225"/>
        <v>Y</v>
      </c>
      <c r="BU288" s="109">
        <f t="shared" si="226"/>
        <v>1</v>
      </c>
      <c r="BV288" s="109">
        <f t="shared" si="227"/>
        <v>1</v>
      </c>
      <c r="BW288" s="109">
        <f t="shared" si="237"/>
        <v>0</v>
      </c>
      <c r="BX288" s="111">
        <f t="shared" si="228"/>
        <v>0</v>
      </c>
      <c r="BY288" s="129">
        <f t="shared" si="229"/>
        <v>-240</v>
      </c>
      <c r="BZ288" s="111">
        <f t="shared" si="230"/>
        <v>0</v>
      </c>
      <c r="CA288" s="138">
        <f t="shared" si="231"/>
        <v>240</v>
      </c>
      <c r="CB288" s="111" t="e">
        <f t="shared" si="243"/>
        <v>#VALUE!</v>
      </c>
      <c r="CC288" s="129">
        <f t="shared" si="244"/>
        <v>240</v>
      </c>
      <c r="CD288" s="129">
        <f t="shared" si="245"/>
        <v>0</v>
      </c>
      <c r="CE288" s="129">
        <f t="shared" si="232"/>
        <v>0</v>
      </c>
      <c r="CG288" s="129" t="str">
        <f t="shared" si="233"/>
        <v>Y</v>
      </c>
      <c r="CI288" s="129" t="str">
        <f t="shared" si="234"/>
        <v>121-365 DAYS</v>
      </c>
      <c r="CJ288" s="137">
        <f t="shared" si="235"/>
        <v>6</v>
      </c>
      <c r="CK288" s="129" t="str">
        <f t="shared" si="236"/>
        <v>Booked</v>
      </c>
    </row>
    <row r="289" spans="1:89" ht="15.75" customHeight="1" x14ac:dyDescent="0.25">
      <c r="A289" s="111">
        <v>1256</v>
      </c>
      <c r="B289" s="128" t="str">
        <f t="shared" si="216"/>
        <v>N</v>
      </c>
      <c r="C289" s="128" t="str">
        <f t="shared" si="217"/>
        <v>N</v>
      </c>
      <c r="D289" s="117">
        <v>910571</v>
      </c>
      <c r="E289" s="135">
        <f t="shared" si="218"/>
        <v>6</v>
      </c>
      <c r="F289" s="124">
        <v>40954</v>
      </c>
      <c r="G289" s="125">
        <v>40956</v>
      </c>
      <c r="H289" s="117">
        <v>910571</v>
      </c>
      <c r="I289" s="124">
        <v>40955</v>
      </c>
      <c r="J289" s="124">
        <v>40956</v>
      </c>
      <c r="K289" s="126">
        <v>15000</v>
      </c>
      <c r="L289" s="127" t="s">
        <v>571</v>
      </c>
      <c r="N289" s="129" t="str">
        <f>IF(M289&gt;1/1/1,"Y","N")</f>
        <v>N</v>
      </c>
      <c r="O289" s="128" t="s">
        <v>917</v>
      </c>
      <c r="P289" s="129" t="s">
        <v>39</v>
      </c>
      <c r="Q289" s="111">
        <f t="shared" si="206"/>
        <v>2</v>
      </c>
      <c r="R289" s="111">
        <f t="shared" si="211"/>
        <v>3</v>
      </c>
      <c r="S289" s="129">
        <v>5</v>
      </c>
      <c r="T289" s="129">
        <v>4</v>
      </c>
      <c r="U289" s="129">
        <v>4</v>
      </c>
      <c r="W289" s="111"/>
      <c r="AC289" s="130"/>
      <c r="AD289" s="130">
        <v>24908</v>
      </c>
      <c r="AE289" s="128" t="s">
        <v>32</v>
      </c>
      <c r="AF289" s="128" t="s">
        <v>33</v>
      </c>
      <c r="AG289" s="128" t="s">
        <v>872</v>
      </c>
      <c r="AH289" s="108" t="s">
        <v>58</v>
      </c>
      <c r="AI289" s="128" t="s">
        <v>70</v>
      </c>
      <c r="AJ289" s="129" t="s">
        <v>89</v>
      </c>
      <c r="AK289" s="129">
        <v>1</v>
      </c>
      <c r="AL289" s="3" t="s">
        <v>362</v>
      </c>
      <c r="AM289" s="117">
        <v>2</v>
      </c>
      <c r="AP289" s="129" t="s">
        <v>43</v>
      </c>
      <c r="AR289" s="128" t="s">
        <v>44</v>
      </c>
      <c r="AS289" s="129" t="s">
        <v>45</v>
      </c>
      <c r="BC289" s="129" t="s">
        <v>38</v>
      </c>
      <c r="BF289" s="111">
        <f t="shared" si="241"/>
        <v>2</v>
      </c>
      <c r="BG289" s="111">
        <f t="shared" si="242"/>
        <v>2</v>
      </c>
      <c r="BH289" s="111">
        <f t="shared" si="212"/>
        <v>3</v>
      </c>
      <c r="BI289" s="111">
        <f t="shared" si="213"/>
        <v>43.841530054644807</v>
      </c>
      <c r="BJ289" s="129">
        <f t="shared" si="219"/>
        <v>0</v>
      </c>
      <c r="BK289" s="129">
        <f t="shared" si="214"/>
        <v>0</v>
      </c>
      <c r="BL289" s="129" t="str">
        <f t="shared" si="215"/>
        <v>CONVICTION</v>
      </c>
      <c r="BM289" s="129" t="str">
        <f t="shared" si="220"/>
        <v>NONE</v>
      </c>
      <c r="BN289" s="129" t="s">
        <v>566</v>
      </c>
      <c r="BP289" s="137" t="str">
        <f t="shared" si="221"/>
        <v>CONVICTION</v>
      </c>
      <c r="BQ289" s="128" t="str">
        <f t="shared" si="222"/>
        <v>Y</v>
      </c>
      <c r="BR289" s="129" t="str">
        <f t="shared" si="223"/>
        <v>DETAINED</v>
      </c>
      <c r="BS289" s="129" t="str">
        <f t="shared" si="224"/>
        <v>DISPOSED</v>
      </c>
      <c r="BT289" s="129" t="str">
        <f t="shared" si="225"/>
        <v>Y</v>
      </c>
      <c r="BU289" s="109">
        <f t="shared" si="226"/>
        <v>0.66666666666666663</v>
      </c>
      <c r="BV289" s="109">
        <f t="shared" si="227"/>
        <v>1</v>
      </c>
      <c r="BW289" s="109">
        <f t="shared" si="237"/>
        <v>0.33333333333333337</v>
      </c>
      <c r="BX289" s="111">
        <f t="shared" si="228"/>
        <v>0</v>
      </c>
      <c r="BY289" s="129">
        <f t="shared" si="229"/>
        <v>-2</v>
      </c>
      <c r="BZ289" s="111">
        <f t="shared" si="230"/>
        <v>0</v>
      </c>
      <c r="CA289" s="138">
        <f t="shared" si="231"/>
        <v>2</v>
      </c>
      <c r="CB289" s="111" t="e">
        <f t="shared" si="243"/>
        <v>#VALUE!</v>
      </c>
      <c r="CC289" s="129">
        <f t="shared" si="244"/>
        <v>2</v>
      </c>
      <c r="CD289" s="129">
        <f t="shared" si="245"/>
        <v>0</v>
      </c>
      <c r="CE289" s="129">
        <f t="shared" si="232"/>
        <v>0</v>
      </c>
      <c r="CG289" s="129" t="str">
        <f t="shared" si="233"/>
        <v>Y</v>
      </c>
      <c r="CI289" s="129" t="str">
        <f t="shared" si="234"/>
        <v>0-10 DAYS</v>
      </c>
      <c r="CJ289" s="137">
        <f t="shared" si="235"/>
        <v>1</v>
      </c>
      <c r="CK289" s="129" t="str">
        <f t="shared" si="236"/>
        <v>Booked</v>
      </c>
    </row>
    <row r="290" spans="1:89" ht="15.75" customHeight="1" x14ac:dyDescent="0.25">
      <c r="A290" s="111">
        <v>2706</v>
      </c>
      <c r="B290" s="128" t="str">
        <f t="shared" si="216"/>
        <v>N</v>
      </c>
      <c r="C290" s="128" t="str">
        <f t="shared" si="217"/>
        <v>N</v>
      </c>
      <c r="D290" s="117">
        <v>910840</v>
      </c>
      <c r="E290" s="135">
        <f t="shared" si="218"/>
        <v>5</v>
      </c>
      <c r="F290" s="124">
        <v>41009</v>
      </c>
      <c r="G290" s="125">
        <v>41011</v>
      </c>
      <c r="H290" s="117">
        <v>910840</v>
      </c>
      <c r="I290" s="124">
        <v>41009</v>
      </c>
      <c r="J290" s="124">
        <v>41011</v>
      </c>
      <c r="K290" s="126">
        <v>15000</v>
      </c>
      <c r="L290" s="127" t="s">
        <v>571</v>
      </c>
      <c r="N290" s="129" t="str">
        <f>IF(M290&gt;1/1/1,"Y","N")</f>
        <v>N</v>
      </c>
      <c r="O290" s="128" t="s">
        <v>917</v>
      </c>
      <c r="P290" s="129" t="s">
        <v>39</v>
      </c>
      <c r="Q290" s="111">
        <f t="shared" si="206"/>
        <v>3</v>
      </c>
      <c r="R290" s="111">
        <f t="shared" si="211"/>
        <v>3</v>
      </c>
      <c r="S290" s="129">
        <v>10</v>
      </c>
      <c r="T290" s="129">
        <v>5</v>
      </c>
      <c r="U290" s="129">
        <v>8</v>
      </c>
      <c r="W290" s="111"/>
      <c r="AC290" s="130"/>
      <c r="AD290" s="130">
        <v>25163</v>
      </c>
      <c r="AE290" s="128" t="s">
        <v>32</v>
      </c>
      <c r="AF290" s="128" t="s">
        <v>33</v>
      </c>
      <c r="AG290" s="128" t="s">
        <v>872</v>
      </c>
      <c r="AH290" s="108" t="s">
        <v>58</v>
      </c>
      <c r="AI290" s="128" t="s">
        <v>65</v>
      </c>
      <c r="AJ290" s="129" t="s">
        <v>89</v>
      </c>
      <c r="AK290" s="129">
        <v>1</v>
      </c>
      <c r="AL290" s="3" t="s">
        <v>992</v>
      </c>
      <c r="AN290" s="117">
        <v>10</v>
      </c>
      <c r="AP290" s="129" t="s">
        <v>60</v>
      </c>
      <c r="AR290" s="128" t="s">
        <v>44</v>
      </c>
      <c r="AS290" s="129" t="s">
        <v>61</v>
      </c>
      <c r="AX290" s="32"/>
      <c r="BC290" s="129" t="s">
        <v>38</v>
      </c>
      <c r="BF290" s="111">
        <f t="shared" si="241"/>
        <v>3</v>
      </c>
      <c r="BG290" s="111">
        <f t="shared" si="242"/>
        <v>3</v>
      </c>
      <c r="BH290" s="111">
        <f t="shared" si="212"/>
        <v>3</v>
      </c>
      <c r="BI290" s="111">
        <f t="shared" si="213"/>
        <v>43.295081967213115</v>
      </c>
      <c r="BJ290" s="129">
        <f t="shared" si="219"/>
        <v>0</v>
      </c>
      <c r="BK290" s="129">
        <f t="shared" si="214"/>
        <v>0</v>
      </c>
      <c r="BL290" s="129" t="str">
        <f t="shared" si="215"/>
        <v>CONVICTION</v>
      </c>
      <c r="BM290" s="129" t="str">
        <f t="shared" si="220"/>
        <v>NONE</v>
      </c>
      <c r="BN290" s="129" t="s">
        <v>566</v>
      </c>
      <c r="BP290" s="137" t="str">
        <f t="shared" si="221"/>
        <v>CONVICTION</v>
      </c>
      <c r="BQ290" s="128" t="str">
        <f t="shared" si="222"/>
        <v>Y</v>
      </c>
      <c r="BR290" s="129" t="str">
        <f t="shared" si="223"/>
        <v>DETAINED</v>
      </c>
      <c r="BS290" s="129" t="str">
        <f t="shared" si="224"/>
        <v>DISPOSED</v>
      </c>
      <c r="BT290" s="129" t="str">
        <f t="shared" si="225"/>
        <v>Y</v>
      </c>
      <c r="BU290" s="109">
        <f t="shared" si="226"/>
        <v>1</v>
      </c>
      <c r="BV290" s="109">
        <f t="shared" si="227"/>
        <v>1</v>
      </c>
      <c r="BW290" s="109">
        <f t="shared" si="237"/>
        <v>0</v>
      </c>
      <c r="BX290" s="111">
        <f t="shared" si="228"/>
        <v>0</v>
      </c>
      <c r="BY290" s="129">
        <f t="shared" si="229"/>
        <v>-3</v>
      </c>
      <c r="BZ290" s="111">
        <f t="shared" si="230"/>
        <v>0</v>
      </c>
      <c r="CA290" s="138">
        <f t="shared" si="231"/>
        <v>3</v>
      </c>
      <c r="CB290" s="111" t="e">
        <f t="shared" si="243"/>
        <v>#VALUE!</v>
      </c>
      <c r="CC290" s="129">
        <f t="shared" si="244"/>
        <v>3</v>
      </c>
      <c r="CD290" s="129">
        <f t="shared" si="245"/>
        <v>0</v>
      </c>
      <c r="CE290" s="129">
        <f t="shared" si="232"/>
        <v>0</v>
      </c>
      <c r="CG290" s="129" t="str">
        <f t="shared" si="233"/>
        <v>Y</v>
      </c>
      <c r="CI290" s="129" t="str">
        <f t="shared" si="234"/>
        <v>0-10 DAYS</v>
      </c>
      <c r="CJ290" s="137">
        <f t="shared" si="235"/>
        <v>1</v>
      </c>
      <c r="CK290" s="129" t="str">
        <f t="shared" si="236"/>
        <v>Booked</v>
      </c>
    </row>
    <row r="291" spans="1:89" ht="15" customHeight="1" x14ac:dyDescent="0.25">
      <c r="A291" s="111">
        <v>360</v>
      </c>
      <c r="B291" s="128" t="str">
        <f t="shared" si="216"/>
        <v>N</v>
      </c>
      <c r="C291" s="128" t="str">
        <f t="shared" si="217"/>
        <v>N</v>
      </c>
      <c r="D291" s="117">
        <v>910954</v>
      </c>
      <c r="E291" s="135">
        <f t="shared" si="218"/>
        <v>2</v>
      </c>
      <c r="F291" s="124">
        <v>40923</v>
      </c>
      <c r="G291" s="125">
        <v>41024</v>
      </c>
      <c r="H291" s="117">
        <v>910954</v>
      </c>
      <c r="I291" s="124">
        <v>40923</v>
      </c>
      <c r="J291" s="124">
        <v>40927</v>
      </c>
      <c r="K291" s="126">
        <v>5000</v>
      </c>
      <c r="L291" s="127" t="s">
        <v>569</v>
      </c>
      <c r="M291" s="125">
        <v>40927</v>
      </c>
      <c r="N291" s="129" t="str">
        <f>IF(M291&gt;1/1/1,"Y","N")</f>
        <v>Y</v>
      </c>
      <c r="O291" s="128" t="s">
        <v>76</v>
      </c>
      <c r="P291" s="129" t="s">
        <v>589</v>
      </c>
      <c r="Q291" s="111">
        <f t="shared" si="206"/>
        <v>5</v>
      </c>
      <c r="R291" s="111">
        <f t="shared" si="211"/>
        <v>102</v>
      </c>
      <c r="S291" s="129">
        <v>0</v>
      </c>
      <c r="T291" s="129">
        <v>4</v>
      </c>
      <c r="W291" s="111"/>
      <c r="AC291" s="130"/>
      <c r="AD291" s="130">
        <v>23410</v>
      </c>
      <c r="AE291" s="128" t="s">
        <v>32</v>
      </c>
      <c r="AF291" s="128" t="s">
        <v>33</v>
      </c>
      <c r="AG291" s="128" t="s">
        <v>872</v>
      </c>
      <c r="AH291" s="108" t="s">
        <v>31</v>
      </c>
      <c r="AI291" s="128" t="s">
        <v>90</v>
      </c>
      <c r="AJ291" s="129" t="s">
        <v>48</v>
      </c>
      <c r="AK291" s="129">
        <v>6</v>
      </c>
      <c r="AL291" s="3" t="s">
        <v>48</v>
      </c>
      <c r="AP291" s="129" t="s">
        <v>136</v>
      </c>
      <c r="AR291" s="128" t="s">
        <v>67</v>
      </c>
      <c r="AS291" s="129" t="s">
        <v>64</v>
      </c>
      <c r="BC291" s="129" t="s">
        <v>52</v>
      </c>
      <c r="BF291" s="111">
        <f t="shared" si="241"/>
        <v>5</v>
      </c>
      <c r="BG291" s="111">
        <f t="shared" si="242"/>
        <v>102</v>
      </c>
      <c r="BH291" s="111">
        <f t="shared" si="212"/>
        <v>102</v>
      </c>
      <c r="BI291" s="111">
        <f t="shared" si="213"/>
        <v>47.849726775956285</v>
      </c>
      <c r="BJ291" s="129">
        <f>(G291-J291)+(M291-G291)</f>
        <v>0</v>
      </c>
      <c r="BK291" s="129">
        <f t="shared" si="214"/>
        <v>-97</v>
      </c>
      <c r="BL291" s="129" t="str">
        <f t="shared" si="215"/>
        <v>DEFERRED</v>
      </c>
      <c r="BM291" s="129" t="s">
        <v>76</v>
      </c>
      <c r="BN291" s="129" t="s">
        <v>88</v>
      </c>
      <c r="BP291" s="137" t="str">
        <f t="shared" si="221"/>
        <v>DEFERRED</v>
      </c>
      <c r="BQ291" s="128" t="str">
        <f t="shared" si="222"/>
        <v>Y</v>
      </c>
      <c r="BR291" s="129" t="str">
        <f t="shared" si="223"/>
        <v>ON BOND</v>
      </c>
      <c r="BS291" s="129" t="str">
        <f t="shared" si="224"/>
        <v>DISPOSED</v>
      </c>
      <c r="BT291" s="129" t="str">
        <f t="shared" si="225"/>
        <v>N</v>
      </c>
      <c r="BU291" s="109">
        <f t="shared" si="226"/>
        <v>4.9019607843137254E-2</v>
      </c>
      <c r="BV291" s="109">
        <f t="shared" si="227"/>
        <v>4.9019607843137254E-2</v>
      </c>
      <c r="BW291" s="109">
        <f t="shared" si="237"/>
        <v>0</v>
      </c>
      <c r="BX291" s="111">
        <f t="shared" si="228"/>
        <v>0</v>
      </c>
      <c r="BY291" s="129">
        <f t="shared" si="229"/>
        <v>-5</v>
      </c>
      <c r="BZ291" s="111">
        <f t="shared" si="230"/>
        <v>0</v>
      </c>
      <c r="CA291" s="138">
        <f t="shared" si="231"/>
        <v>5</v>
      </c>
      <c r="CB291" s="111" t="e">
        <f t="shared" si="243"/>
        <v>#VALUE!</v>
      </c>
      <c r="CC291" s="129">
        <f>M291-I291+1</f>
        <v>5</v>
      </c>
      <c r="CD291" s="111">
        <f>CC291-BF291</f>
        <v>0</v>
      </c>
      <c r="CE291" s="129">
        <f t="shared" si="232"/>
        <v>97</v>
      </c>
      <c r="CG291" s="129" t="str">
        <f t="shared" si="233"/>
        <v>Y</v>
      </c>
      <c r="CI291" s="129" t="str">
        <f t="shared" si="234"/>
        <v>0-10 DAYS</v>
      </c>
      <c r="CJ291" s="137">
        <f t="shared" si="235"/>
        <v>1</v>
      </c>
      <c r="CK291" s="129" t="str">
        <f t="shared" si="236"/>
        <v>Booked</v>
      </c>
    </row>
    <row r="292" spans="1:89" ht="15.75" customHeight="1" x14ac:dyDescent="0.25">
      <c r="A292" s="111">
        <v>1874</v>
      </c>
      <c r="B292" s="128" t="str">
        <f t="shared" si="216"/>
        <v>N</v>
      </c>
      <c r="C292" s="128" t="str">
        <f t="shared" si="217"/>
        <v>N</v>
      </c>
      <c r="D292" s="117">
        <v>911510</v>
      </c>
      <c r="E292" s="135">
        <f t="shared" si="218"/>
        <v>2</v>
      </c>
      <c r="F292" s="124">
        <v>40978</v>
      </c>
      <c r="G292" s="125">
        <v>41213</v>
      </c>
      <c r="H292" s="117">
        <v>911510</v>
      </c>
      <c r="I292" s="124">
        <v>40978</v>
      </c>
      <c r="J292" s="124">
        <v>40979</v>
      </c>
      <c r="K292" s="126">
        <v>2000</v>
      </c>
      <c r="L292" s="127" t="s">
        <v>568</v>
      </c>
      <c r="M292" s="125">
        <v>40979</v>
      </c>
      <c r="N292" s="129" t="str">
        <f>IF(M292&gt;1/1/1,"Y","N")</f>
        <v>Y</v>
      </c>
      <c r="O292" s="128" t="s">
        <v>76</v>
      </c>
      <c r="P292" s="129" t="s">
        <v>589</v>
      </c>
      <c r="Q292" s="111">
        <f t="shared" si="206"/>
        <v>2</v>
      </c>
      <c r="R292" s="111">
        <f t="shared" si="211"/>
        <v>236</v>
      </c>
      <c r="S292" s="129">
        <v>0</v>
      </c>
      <c r="T292" s="129">
        <v>5</v>
      </c>
      <c r="W292" s="111"/>
      <c r="AC292" s="130"/>
      <c r="AD292" s="130">
        <v>24026</v>
      </c>
      <c r="AE292" s="128" t="s">
        <v>46</v>
      </c>
      <c r="AF292" s="128" t="s">
        <v>33</v>
      </c>
      <c r="AG292" s="128" t="s">
        <v>872</v>
      </c>
      <c r="AH292" s="108" t="s">
        <v>58</v>
      </c>
      <c r="AI292" s="128" t="s">
        <v>47</v>
      </c>
      <c r="AJ292" s="129" t="s">
        <v>48</v>
      </c>
      <c r="AK292" s="129">
        <v>10</v>
      </c>
      <c r="AL292" s="3" t="s">
        <v>48</v>
      </c>
      <c r="AP292" s="129" t="s">
        <v>43</v>
      </c>
      <c r="AR292" s="128" t="s">
        <v>44</v>
      </c>
      <c r="AS292" s="129" t="s">
        <v>45</v>
      </c>
      <c r="BC292" s="129" t="s">
        <v>52</v>
      </c>
      <c r="BF292" s="111">
        <f t="shared" si="241"/>
        <v>2</v>
      </c>
      <c r="BG292" s="111">
        <f t="shared" si="242"/>
        <v>236</v>
      </c>
      <c r="BH292" s="111">
        <f t="shared" si="212"/>
        <v>236</v>
      </c>
      <c r="BI292" s="111">
        <f t="shared" si="213"/>
        <v>46.31693989071038</v>
      </c>
      <c r="BJ292" s="129">
        <f>(G292-J292)+(M292-G292)</f>
        <v>0</v>
      </c>
      <c r="BK292" s="129">
        <f t="shared" si="214"/>
        <v>-234</v>
      </c>
      <c r="BL292" s="129" t="str">
        <f t="shared" si="215"/>
        <v>DEFERRED</v>
      </c>
      <c r="BM292" s="129" t="s">
        <v>76</v>
      </c>
      <c r="BN292" s="129" t="s">
        <v>88</v>
      </c>
      <c r="BP292" s="137" t="str">
        <f t="shared" si="221"/>
        <v>DEFERRED</v>
      </c>
      <c r="BQ292" s="128" t="str">
        <f t="shared" si="222"/>
        <v>Y</v>
      </c>
      <c r="BR292" s="129" t="str">
        <f t="shared" si="223"/>
        <v>ON BOND</v>
      </c>
      <c r="BS292" s="129" t="str">
        <f t="shared" si="224"/>
        <v>DISPOSED</v>
      </c>
      <c r="BT292" s="129" t="str">
        <f t="shared" si="225"/>
        <v>N</v>
      </c>
      <c r="BU292" s="109">
        <f t="shared" si="226"/>
        <v>8.4745762711864406E-3</v>
      </c>
      <c r="BV292" s="109">
        <f t="shared" si="227"/>
        <v>8.4745762711864406E-3</v>
      </c>
      <c r="BW292" s="109">
        <f t="shared" si="237"/>
        <v>0</v>
      </c>
      <c r="BX292" s="111">
        <f t="shared" si="228"/>
        <v>0</v>
      </c>
      <c r="BY292" s="129">
        <f t="shared" si="229"/>
        <v>-2</v>
      </c>
      <c r="BZ292" s="111">
        <f t="shared" si="230"/>
        <v>0</v>
      </c>
      <c r="CA292" s="138">
        <f t="shared" si="231"/>
        <v>2</v>
      </c>
      <c r="CB292" s="111" t="e">
        <f t="shared" si="243"/>
        <v>#VALUE!</v>
      </c>
      <c r="CC292" s="129">
        <f>M292-I292+1</f>
        <v>2</v>
      </c>
      <c r="CD292" s="111">
        <f>CC292-BF292</f>
        <v>0</v>
      </c>
      <c r="CE292" s="129">
        <f t="shared" si="232"/>
        <v>234</v>
      </c>
      <c r="CG292" s="129" t="str">
        <f t="shared" si="233"/>
        <v>Y</v>
      </c>
      <c r="CI292" s="129" t="str">
        <f t="shared" si="234"/>
        <v>0-10 DAYS</v>
      </c>
      <c r="CJ292" s="137">
        <f t="shared" si="235"/>
        <v>1</v>
      </c>
      <c r="CK292" s="129" t="str">
        <f t="shared" si="236"/>
        <v>Booked</v>
      </c>
    </row>
    <row r="293" spans="1:89" ht="15" customHeight="1" x14ac:dyDescent="0.25">
      <c r="A293" s="111">
        <v>2248</v>
      </c>
      <c r="B293" s="128" t="str">
        <f t="shared" si="216"/>
        <v>N</v>
      </c>
      <c r="C293" s="128" t="str">
        <f t="shared" si="217"/>
        <v>N</v>
      </c>
      <c r="D293" s="117">
        <v>912955</v>
      </c>
      <c r="E293" s="135">
        <f t="shared" si="218"/>
        <v>1</v>
      </c>
      <c r="F293" s="124">
        <v>40994</v>
      </c>
      <c r="G293" s="125">
        <v>41621</v>
      </c>
      <c r="H293" s="117">
        <v>912955</v>
      </c>
      <c r="I293" s="124">
        <v>40994</v>
      </c>
      <c r="J293" s="124">
        <v>40996</v>
      </c>
      <c r="K293" s="126">
        <v>40000</v>
      </c>
      <c r="L293" s="129" t="s">
        <v>572</v>
      </c>
      <c r="M293" s="125">
        <v>40996</v>
      </c>
      <c r="N293" s="129" t="str">
        <f>IF(M293&gt;1/1/1,"Y","N")</f>
        <v>Y</v>
      </c>
      <c r="O293" s="128" t="s">
        <v>585</v>
      </c>
      <c r="P293" s="129" t="s">
        <v>55</v>
      </c>
      <c r="Q293" s="111">
        <f t="shared" si="206"/>
        <v>3</v>
      </c>
      <c r="R293" s="111">
        <f t="shared" si="211"/>
        <v>628</v>
      </c>
      <c r="S293" s="129">
        <v>1</v>
      </c>
      <c r="T293" s="129">
        <v>2</v>
      </c>
      <c r="U293" s="129">
        <v>1</v>
      </c>
      <c r="W293" s="111"/>
      <c r="AC293" s="130"/>
      <c r="AD293" s="130">
        <v>23538</v>
      </c>
      <c r="AE293" s="128" t="s">
        <v>32</v>
      </c>
      <c r="AF293" s="128" t="s">
        <v>40</v>
      </c>
      <c r="AG293" s="128" t="s">
        <v>41</v>
      </c>
      <c r="AH293" s="108" t="s">
        <v>41</v>
      </c>
      <c r="AI293" s="128" t="s">
        <v>87</v>
      </c>
      <c r="AJ293" s="129" t="s">
        <v>55</v>
      </c>
      <c r="AK293" s="129">
        <v>17</v>
      </c>
      <c r="AL293" s="3" t="s">
        <v>55</v>
      </c>
      <c r="AP293" s="129" t="s">
        <v>91</v>
      </c>
      <c r="AR293" s="128" t="s">
        <v>92</v>
      </c>
      <c r="AS293" s="129" t="s">
        <v>74</v>
      </c>
      <c r="BC293" s="129" t="s">
        <v>99</v>
      </c>
      <c r="BF293" s="111">
        <f t="shared" si="241"/>
        <v>3</v>
      </c>
      <c r="BG293" s="111">
        <f t="shared" si="242"/>
        <v>628</v>
      </c>
      <c r="BH293" s="111">
        <f t="shared" si="212"/>
        <v>628</v>
      </c>
      <c r="BI293" s="111">
        <f t="shared" si="213"/>
        <v>47.693989071038253</v>
      </c>
      <c r="BJ293" s="129">
        <f>(G293-J293)+(M293-G293)</f>
        <v>0</v>
      </c>
      <c r="BK293" s="129">
        <f t="shared" si="214"/>
        <v>-625</v>
      </c>
      <c r="BL293" s="129" t="str">
        <f t="shared" si="215"/>
        <v>NO CONVICTION</v>
      </c>
      <c r="BM293" s="129" t="s">
        <v>76</v>
      </c>
      <c r="BN293" s="129" t="s">
        <v>88</v>
      </c>
      <c r="BP293" s="137" t="str">
        <f t="shared" si="221"/>
        <v>NO CONVICTION</v>
      </c>
      <c r="BQ293" s="128" t="str">
        <f t="shared" si="222"/>
        <v>Y</v>
      </c>
      <c r="BR293" s="129" t="str">
        <f t="shared" si="223"/>
        <v>ON BOND</v>
      </c>
      <c r="BS293" s="129" t="str">
        <f t="shared" si="224"/>
        <v>DISPOSED</v>
      </c>
      <c r="BT293" s="129" t="str">
        <f t="shared" si="225"/>
        <v>Y</v>
      </c>
      <c r="BU293" s="109">
        <f>IFERROR(Q293/R293,BR293)</f>
        <v>4.7770700636942673E-3</v>
      </c>
      <c r="BV293" s="109">
        <f t="shared" si="227"/>
        <v>4.7770700636942673E-3</v>
      </c>
      <c r="BW293" s="109">
        <f t="shared" si="237"/>
        <v>0</v>
      </c>
      <c r="BX293" s="111">
        <f t="shared" si="228"/>
        <v>0</v>
      </c>
      <c r="BY293" s="129">
        <f t="shared" si="229"/>
        <v>-3</v>
      </c>
      <c r="BZ293" s="111">
        <f t="shared" si="230"/>
        <v>0</v>
      </c>
      <c r="CA293" s="138">
        <f t="shared" si="231"/>
        <v>3</v>
      </c>
      <c r="CB293" s="111" t="e">
        <f t="shared" si="243"/>
        <v>#VALUE!</v>
      </c>
      <c r="CC293" s="129">
        <f>M293-I293+1</f>
        <v>3</v>
      </c>
      <c r="CD293" s="111">
        <f>CC293-BF293</f>
        <v>0</v>
      </c>
      <c r="CE293" s="129">
        <f t="shared" si="232"/>
        <v>625</v>
      </c>
      <c r="CG293" s="129" t="str">
        <f t="shared" si="233"/>
        <v>Y</v>
      </c>
      <c r="CI293" s="129" t="str">
        <f t="shared" si="234"/>
        <v>0-10 DAYS</v>
      </c>
      <c r="CJ293" s="137">
        <f t="shared" si="235"/>
        <v>1</v>
      </c>
      <c r="CK293" s="129" t="str">
        <f t="shared" si="236"/>
        <v>Booked</v>
      </c>
    </row>
    <row r="294" spans="1:89" ht="15.75" customHeight="1" x14ac:dyDescent="0.25">
      <c r="A294" s="111">
        <v>1652</v>
      </c>
      <c r="B294" s="128" t="str">
        <f t="shared" si="216"/>
        <v>N</v>
      </c>
      <c r="C294" s="128" t="str">
        <f t="shared" si="217"/>
        <v>N</v>
      </c>
      <c r="D294" s="117">
        <v>913106</v>
      </c>
      <c r="E294" s="135">
        <f t="shared" si="218"/>
        <v>6</v>
      </c>
      <c r="F294" s="124">
        <v>40969</v>
      </c>
      <c r="G294" s="125">
        <v>40973</v>
      </c>
      <c r="H294" s="117">
        <v>913106</v>
      </c>
      <c r="I294" s="124">
        <v>40970</v>
      </c>
      <c r="J294" s="124">
        <v>40973</v>
      </c>
      <c r="K294" s="126" t="s">
        <v>564</v>
      </c>
      <c r="L294" s="127" t="s">
        <v>564</v>
      </c>
      <c r="N294" s="129" t="s">
        <v>566</v>
      </c>
      <c r="O294" s="128" t="s">
        <v>917</v>
      </c>
      <c r="P294" s="129" t="s">
        <v>39</v>
      </c>
      <c r="Q294" s="111">
        <f t="shared" si="206"/>
        <v>4</v>
      </c>
      <c r="R294" s="111">
        <f t="shared" si="211"/>
        <v>5</v>
      </c>
      <c r="S294" s="129">
        <v>5</v>
      </c>
      <c r="T294" s="129">
        <v>2</v>
      </c>
      <c r="U294" s="129">
        <v>3</v>
      </c>
      <c r="W294" s="111"/>
      <c r="AC294" s="130"/>
      <c r="AD294" s="130">
        <v>25687</v>
      </c>
      <c r="AE294" s="128" t="s">
        <v>32</v>
      </c>
      <c r="AF294" s="128" t="s">
        <v>33</v>
      </c>
      <c r="AG294" s="128" t="s">
        <v>872</v>
      </c>
      <c r="AH294" s="108" t="s">
        <v>58</v>
      </c>
      <c r="AI294" s="128" t="s">
        <v>95</v>
      </c>
      <c r="AJ294" s="129" t="s">
        <v>89</v>
      </c>
      <c r="AK294" s="129">
        <v>1</v>
      </c>
      <c r="AL294" s="3" t="s">
        <v>362</v>
      </c>
      <c r="AM294" s="117">
        <v>11</v>
      </c>
      <c r="AP294" s="129" t="s">
        <v>359</v>
      </c>
      <c r="AR294" s="128" t="s">
        <v>67</v>
      </c>
      <c r="AS294" s="129" t="s">
        <v>82</v>
      </c>
      <c r="BC294" s="129" t="s">
        <v>38</v>
      </c>
      <c r="BF294" s="111">
        <f t="shared" si="241"/>
        <v>4</v>
      </c>
      <c r="BG294" s="111">
        <f t="shared" si="242"/>
        <v>4</v>
      </c>
      <c r="BH294" s="111">
        <f t="shared" si="212"/>
        <v>5</v>
      </c>
      <c r="BI294" s="111">
        <f t="shared" si="213"/>
        <v>41.754098360655739</v>
      </c>
      <c r="BJ294" s="129">
        <f t="shared" si="219"/>
        <v>0</v>
      </c>
      <c r="BK294" s="129">
        <f t="shared" si="214"/>
        <v>0</v>
      </c>
      <c r="BL294" s="129" t="str">
        <f t="shared" si="215"/>
        <v>CONVICTION</v>
      </c>
      <c r="BM294" s="129" t="str">
        <f t="shared" si="220"/>
        <v>NONE</v>
      </c>
      <c r="BN294" s="129" t="s">
        <v>566</v>
      </c>
      <c r="BP294" s="137" t="str">
        <f t="shared" si="221"/>
        <v>CONVICTION</v>
      </c>
      <c r="BQ294" s="128" t="str">
        <f t="shared" si="222"/>
        <v>Y</v>
      </c>
      <c r="BR294" s="129" t="str">
        <f t="shared" si="223"/>
        <v>DETAINED</v>
      </c>
      <c r="BS294" s="129" t="str">
        <f t="shared" si="224"/>
        <v>DISPOSED</v>
      </c>
      <c r="BT294" s="129" t="str">
        <f t="shared" si="225"/>
        <v>Y</v>
      </c>
      <c r="BU294" s="109">
        <f t="shared" si="226"/>
        <v>0.8</v>
      </c>
      <c r="BV294" s="109">
        <f t="shared" si="227"/>
        <v>1</v>
      </c>
      <c r="BW294" s="109">
        <f t="shared" si="237"/>
        <v>0.19999999999999996</v>
      </c>
      <c r="BX294" s="111">
        <f t="shared" si="228"/>
        <v>0</v>
      </c>
      <c r="BY294" s="129">
        <f t="shared" si="229"/>
        <v>-4</v>
      </c>
      <c r="BZ294" s="111">
        <f t="shared" si="230"/>
        <v>0</v>
      </c>
      <c r="CA294" s="138">
        <f t="shared" si="231"/>
        <v>4</v>
      </c>
      <c r="CB294" s="111" t="e">
        <f t="shared" si="243"/>
        <v>#VALUE!</v>
      </c>
      <c r="CC294" s="129">
        <f>G294-I294+1</f>
        <v>4</v>
      </c>
      <c r="CD294" s="129">
        <f>G294-J294</f>
        <v>0</v>
      </c>
      <c r="CE294" s="129">
        <f t="shared" si="232"/>
        <v>0</v>
      </c>
      <c r="CG294" s="129" t="str">
        <f t="shared" si="233"/>
        <v>Y</v>
      </c>
      <c r="CI294" s="129" t="str">
        <f t="shared" si="234"/>
        <v>0-10 DAYS</v>
      </c>
      <c r="CJ294" s="137">
        <f t="shared" si="235"/>
        <v>1</v>
      </c>
      <c r="CK294" s="129" t="str">
        <f t="shared" si="236"/>
        <v>Booked</v>
      </c>
    </row>
    <row r="295" spans="1:89" ht="15" customHeight="1" x14ac:dyDescent="0.25">
      <c r="A295" s="111">
        <v>1021</v>
      </c>
      <c r="B295" s="128" t="str">
        <f t="shared" si="216"/>
        <v>N</v>
      </c>
      <c r="C295" s="128" t="str">
        <f t="shared" si="217"/>
        <v>N</v>
      </c>
      <c r="D295" s="117">
        <v>915536</v>
      </c>
      <c r="E295" s="135">
        <f t="shared" si="218"/>
        <v>2</v>
      </c>
      <c r="F295" s="124">
        <v>40947</v>
      </c>
      <c r="G295" s="125">
        <v>41022</v>
      </c>
      <c r="H295" s="117">
        <v>915536</v>
      </c>
      <c r="I295" s="124">
        <v>40947</v>
      </c>
      <c r="J295" s="124">
        <v>41022</v>
      </c>
      <c r="K295" s="126">
        <v>20000</v>
      </c>
      <c r="L295" s="127" t="s">
        <v>571</v>
      </c>
      <c r="N295" s="129" t="str">
        <f t="shared" ref="N295:N301" si="246">IF(M295&gt;1/1/1,"Y","N")</f>
        <v>N</v>
      </c>
      <c r="O295" s="128" t="s">
        <v>917</v>
      </c>
      <c r="P295" s="129" t="s">
        <v>589</v>
      </c>
      <c r="Q295" s="111">
        <f t="shared" si="206"/>
        <v>76</v>
      </c>
      <c r="R295" s="111">
        <f t="shared" si="211"/>
        <v>76</v>
      </c>
      <c r="S295" s="129">
        <v>1</v>
      </c>
      <c r="T295" s="129">
        <v>5</v>
      </c>
      <c r="V295" s="117">
        <v>1</v>
      </c>
      <c r="W295" s="111"/>
      <c r="AC295" s="130"/>
      <c r="AD295" s="130">
        <v>24981</v>
      </c>
      <c r="AE295" s="128" t="s">
        <v>32</v>
      </c>
      <c r="AF295" s="128" t="s">
        <v>69</v>
      </c>
      <c r="AG295" s="128" t="s">
        <v>874</v>
      </c>
      <c r="AH295" s="108" t="s">
        <v>58</v>
      </c>
      <c r="AI295" s="128" t="s">
        <v>90</v>
      </c>
      <c r="AJ295" s="129" t="s">
        <v>48</v>
      </c>
      <c r="AK295" s="129">
        <v>6</v>
      </c>
      <c r="AL295" s="3" t="s">
        <v>48</v>
      </c>
      <c r="AP295" s="129" t="s">
        <v>73</v>
      </c>
      <c r="AR295" s="128" t="s">
        <v>50</v>
      </c>
      <c r="AS295" s="129" t="s">
        <v>74</v>
      </c>
      <c r="BC295" s="129" t="s">
        <v>38</v>
      </c>
      <c r="BF295" s="111">
        <f t="shared" si="241"/>
        <v>76</v>
      </c>
      <c r="BG295" s="111">
        <f t="shared" si="242"/>
        <v>76</v>
      </c>
      <c r="BH295" s="111">
        <f t="shared" si="212"/>
        <v>76</v>
      </c>
      <c r="BI295" s="111">
        <f t="shared" si="213"/>
        <v>43.622950819672134</v>
      </c>
      <c r="BJ295" s="129">
        <f t="shared" si="219"/>
        <v>0</v>
      </c>
      <c r="BK295" s="129">
        <f t="shared" si="214"/>
        <v>0</v>
      </c>
      <c r="BL295" s="129" t="str">
        <f t="shared" si="215"/>
        <v>DEFERRED</v>
      </c>
      <c r="BM295" s="129" t="str">
        <f t="shared" si="220"/>
        <v>NONE</v>
      </c>
      <c r="BN295" s="129" t="s">
        <v>566</v>
      </c>
      <c r="BP295" s="137" t="str">
        <f t="shared" si="221"/>
        <v>DEFERRED</v>
      </c>
      <c r="BQ295" s="128" t="str">
        <f t="shared" si="222"/>
        <v>Y</v>
      </c>
      <c r="BR295" s="129" t="str">
        <f t="shared" si="223"/>
        <v>DETAINED</v>
      </c>
      <c r="BS295" s="129" t="str">
        <f t="shared" si="224"/>
        <v>DISPOSED</v>
      </c>
      <c r="BT295" s="129" t="str">
        <f t="shared" si="225"/>
        <v>Y</v>
      </c>
      <c r="BU295" s="109">
        <f t="shared" si="226"/>
        <v>1</v>
      </c>
      <c r="BV295" s="109">
        <f t="shared" si="227"/>
        <v>1</v>
      </c>
      <c r="BW295" s="109">
        <f t="shared" si="237"/>
        <v>0</v>
      </c>
      <c r="BX295" s="111">
        <f t="shared" si="228"/>
        <v>0</v>
      </c>
      <c r="BY295" s="129">
        <f t="shared" si="229"/>
        <v>-76</v>
      </c>
      <c r="BZ295" s="111">
        <f t="shared" si="230"/>
        <v>0</v>
      </c>
      <c r="CA295" s="138">
        <f t="shared" si="231"/>
        <v>76</v>
      </c>
      <c r="CB295" s="111" t="e">
        <f t="shared" si="243"/>
        <v>#VALUE!</v>
      </c>
      <c r="CC295" s="129">
        <f>G295-I295+1</f>
        <v>76</v>
      </c>
      <c r="CD295" s="129">
        <f>G295-J295</f>
        <v>0</v>
      </c>
      <c r="CE295" s="129">
        <f t="shared" si="232"/>
        <v>0</v>
      </c>
      <c r="CG295" s="129" t="str">
        <f t="shared" si="233"/>
        <v>Y</v>
      </c>
      <c r="CI295" s="129" t="str">
        <f t="shared" si="234"/>
        <v>61-90 DAYS</v>
      </c>
      <c r="CJ295" s="137">
        <f t="shared" si="235"/>
        <v>4</v>
      </c>
      <c r="CK295" s="129" t="str">
        <f t="shared" si="236"/>
        <v>Booked</v>
      </c>
    </row>
    <row r="296" spans="1:89" ht="15" customHeight="1" x14ac:dyDescent="0.25">
      <c r="A296" s="111">
        <v>2458</v>
      </c>
      <c r="B296" s="128" t="str">
        <f t="shared" si="216"/>
        <v>N</v>
      </c>
      <c r="C296" s="128" t="str">
        <f t="shared" si="217"/>
        <v>N</v>
      </c>
      <c r="D296" s="117">
        <v>917228</v>
      </c>
      <c r="E296" s="135">
        <f t="shared" si="218"/>
        <v>5</v>
      </c>
      <c r="F296" s="124">
        <v>41001</v>
      </c>
      <c r="G296" s="125">
        <v>41060</v>
      </c>
      <c r="H296" s="117">
        <v>917228</v>
      </c>
      <c r="I296" s="124">
        <v>41002</v>
      </c>
      <c r="J296" s="124">
        <v>41060</v>
      </c>
      <c r="K296" s="126">
        <v>15000</v>
      </c>
      <c r="L296" s="127" t="s">
        <v>571</v>
      </c>
      <c r="N296" s="129" t="str">
        <f t="shared" si="246"/>
        <v>N</v>
      </c>
      <c r="O296" s="128" t="s">
        <v>917</v>
      </c>
      <c r="P296" s="129" t="s">
        <v>39</v>
      </c>
      <c r="Q296" s="111">
        <f t="shared" si="206"/>
        <v>59</v>
      </c>
      <c r="R296" s="111">
        <f t="shared" si="211"/>
        <v>60</v>
      </c>
      <c r="S296" s="129">
        <v>5</v>
      </c>
      <c r="T296" s="129">
        <v>8</v>
      </c>
      <c r="U296" s="129">
        <v>3</v>
      </c>
      <c r="W296" s="111"/>
      <c r="AC296" s="130"/>
      <c r="AD296" s="130">
        <v>25348</v>
      </c>
      <c r="AE296" s="128" t="s">
        <v>32</v>
      </c>
      <c r="AF296" s="128" t="s">
        <v>33</v>
      </c>
      <c r="AG296" s="128" t="s">
        <v>872</v>
      </c>
      <c r="AH296" s="108" t="s">
        <v>58</v>
      </c>
      <c r="AI296" s="128" t="s">
        <v>42</v>
      </c>
      <c r="AJ296" s="129" t="s">
        <v>89</v>
      </c>
      <c r="AK296" s="129">
        <v>3</v>
      </c>
      <c r="AL296" s="3" t="s">
        <v>992</v>
      </c>
      <c r="AN296" s="117">
        <v>8</v>
      </c>
      <c r="AP296" s="129" t="s">
        <v>108</v>
      </c>
      <c r="AR296" s="128" t="s">
        <v>44</v>
      </c>
      <c r="AS296" s="129" t="s">
        <v>61</v>
      </c>
      <c r="BC296" s="129" t="s">
        <v>38</v>
      </c>
      <c r="BF296" s="111">
        <f t="shared" si="241"/>
        <v>59</v>
      </c>
      <c r="BG296" s="111">
        <f t="shared" si="242"/>
        <v>59</v>
      </c>
      <c r="BH296" s="111">
        <f t="shared" si="212"/>
        <v>60</v>
      </c>
      <c r="BI296" s="111">
        <f t="shared" si="213"/>
        <v>42.767759562841533</v>
      </c>
      <c r="BJ296" s="129">
        <f t="shared" si="219"/>
        <v>0</v>
      </c>
      <c r="BK296" s="129">
        <f t="shared" si="214"/>
        <v>0</v>
      </c>
      <c r="BL296" s="129" t="str">
        <f t="shared" si="215"/>
        <v>CONVICTION</v>
      </c>
      <c r="BM296" s="129" t="str">
        <f t="shared" si="220"/>
        <v>NONE</v>
      </c>
      <c r="BN296" s="129" t="s">
        <v>566</v>
      </c>
      <c r="BP296" s="137" t="str">
        <f t="shared" si="221"/>
        <v>CONVICTION</v>
      </c>
      <c r="BQ296" s="128" t="str">
        <f t="shared" si="222"/>
        <v>Y</v>
      </c>
      <c r="BR296" s="129" t="str">
        <f t="shared" si="223"/>
        <v>DETAINED</v>
      </c>
      <c r="BS296" s="129" t="str">
        <f t="shared" si="224"/>
        <v>DISPOSED</v>
      </c>
      <c r="BT296" s="129" t="str">
        <f t="shared" si="225"/>
        <v>Y</v>
      </c>
      <c r="BU296" s="109">
        <f t="shared" si="226"/>
        <v>0.98333333333333328</v>
      </c>
      <c r="BV296" s="109">
        <f t="shared" si="227"/>
        <v>1</v>
      </c>
      <c r="BW296" s="109">
        <f t="shared" si="237"/>
        <v>1.6666666666666718E-2</v>
      </c>
      <c r="BX296" s="111">
        <f t="shared" si="228"/>
        <v>0</v>
      </c>
      <c r="BY296" s="129">
        <f t="shared" si="229"/>
        <v>-59</v>
      </c>
      <c r="BZ296" s="111">
        <f t="shared" si="230"/>
        <v>0</v>
      </c>
      <c r="CA296" s="138">
        <f t="shared" si="231"/>
        <v>59</v>
      </c>
      <c r="CB296" s="111" t="e">
        <f t="shared" si="243"/>
        <v>#VALUE!</v>
      </c>
      <c r="CC296" s="129">
        <f>G296-I296+1</f>
        <v>59</v>
      </c>
      <c r="CD296" s="129">
        <f>G296-J296</f>
        <v>0</v>
      </c>
      <c r="CE296" s="129">
        <f t="shared" si="232"/>
        <v>0</v>
      </c>
      <c r="CG296" s="129" t="str">
        <f t="shared" si="233"/>
        <v>Y</v>
      </c>
      <c r="CI296" s="129" t="str">
        <f t="shared" si="234"/>
        <v>31-60 DAYS</v>
      </c>
      <c r="CJ296" s="137">
        <f t="shared" si="235"/>
        <v>3</v>
      </c>
      <c r="CK296" s="129" t="str">
        <f t="shared" si="236"/>
        <v>Booked</v>
      </c>
    </row>
    <row r="297" spans="1:89" ht="15" customHeight="1" x14ac:dyDescent="0.25">
      <c r="A297" s="111">
        <v>2175</v>
      </c>
      <c r="B297" s="128" t="str">
        <f t="shared" si="216"/>
        <v>Y</v>
      </c>
      <c r="C297" s="128" t="str">
        <f t="shared" si="217"/>
        <v>Y</v>
      </c>
      <c r="D297" s="117">
        <v>917979</v>
      </c>
      <c r="E297" s="135">
        <f t="shared" si="218"/>
        <v>1</v>
      </c>
      <c r="F297" s="124">
        <v>40990</v>
      </c>
      <c r="G297" s="125">
        <v>41513</v>
      </c>
      <c r="H297" s="117">
        <v>917979</v>
      </c>
      <c r="I297" s="124">
        <v>40996</v>
      </c>
      <c r="J297" s="124">
        <v>40997</v>
      </c>
      <c r="K297" s="126">
        <v>5000</v>
      </c>
      <c r="L297" s="127" t="s">
        <v>569</v>
      </c>
      <c r="M297" s="125">
        <v>40997</v>
      </c>
      <c r="N297" s="129" t="str">
        <f t="shared" si="246"/>
        <v>Y</v>
      </c>
      <c r="O297" s="128" t="s">
        <v>76</v>
      </c>
      <c r="P297" s="129" t="s">
        <v>55</v>
      </c>
      <c r="Q297" s="111">
        <v>27</v>
      </c>
      <c r="R297" s="111">
        <f t="shared" si="211"/>
        <v>524</v>
      </c>
      <c r="S297" s="129">
        <v>0</v>
      </c>
      <c r="T297" s="129">
        <v>2</v>
      </c>
      <c r="W297" s="111"/>
      <c r="AC297" s="130"/>
      <c r="AD297" s="130">
        <v>25606</v>
      </c>
      <c r="AE297" s="128" t="s">
        <v>32</v>
      </c>
      <c r="AF297" s="128" t="s">
        <v>33</v>
      </c>
      <c r="AG297" s="128" t="s">
        <v>872</v>
      </c>
      <c r="AH297" s="108" t="s">
        <v>58</v>
      </c>
      <c r="AI297" s="128" t="s">
        <v>113</v>
      </c>
      <c r="AJ297" s="129" t="s">
        <v>31</v>
      </c>
      <c r="AK297" s="129">
        <v>17</v>
      </c>
      <c r="AL297" s="3" t="s">
        <v>55</v>
      </c>
      <c r="AP297" s="129" t="s">
        <v>410</v>
      </c>
      <c r="AR297" s="128" t="s">
        <v>67</v>
      </c>
      <c r="AS297" s="129" t="s">
        <v>64</v>
      </c>
      <c r="AU297" s="3" t="s">
        <v>958</v>
      </c>
      <c r="AX297" s="32" t="s">
        <v>88</v>
      </c>
      <c r="BC297" s="129" t="s">
        <v>52</v>
      </c>
      <c r="BD297" s="129" t="s">
        <v>1165</v>
      </c>
      <c r="BF297" s="111">
        <v>27</v>
      </c>
      <c r="BG297" s="111">
        <f t="shared" si="242"/>
        <v>518</v>
      </c>
      <c r="BH297" s="111">
        <f t="shared" si="212"/>
        <v>524</v>
      </c>
      <c r="BI297" s="111">
        <f t="shared" si="213"/>
        <v>42.032786885245905</v>
      </c>
      <c r="BJ297" s="129">
        <f>(G297-J297)+(M297-G297)</f>
        <v>0</v>
      </c>
      <c r="BK297" s="129">
        <f t="shared" si="214"/>
        <v>-516</v>
      </c>
      <c r="BL297" s="129" t="str">
        <f t="shared" si="215"/>
        <v>NO CONVICTION</v>
      </c>
      <c r="BM297" s="129" t="s">
        <v>76</v>
      </c>
      <c r="BN297" s="129" t="s">
        <v>88</v>
      </c>
      <c r="BO297" s="110"/>
      <c r="BP297" s="137" t="s">
        <v>1058</v>
      </c>
      <c r="BQ297" s="128" t="str">
        <f t="shared" si="222"/>
        <v>Y</v>
      </c>
      <c r="BR297" s="129" t="str">
        <f t="shared" si="223"/>
        <v>ON BOND</v>
      </c>
      <c r="BS297" s="129" t="str">
        <f t="shared" si="224"/>
        <v>DISPOSED</v>
      </c>
      <c r="BT297" s="129" t="str">
        <f t="shared" si="225"/>
        <v>N</v>
      </c>
      <c r="BU297" s="109">
        <f>IFERROR(Q297/R297,BR297)</f>
        <v>5.1526717557251911E-2</v>
      </c>
      <c r="BV297" s="109">
        <f t="shared" si="227"/>
        <v>3.8610038610038611E-3</v>
      </c>
      <c r="BW297" s="109">
        <f t="shared" si="237"/>
        <v>-4.7665713696248051E-2</v>
      </c>
      <c r="BX297" s="111">
        <f t="shared" si="228"/>
        <v>0</v>
      </c>
      <c r="BY297" s="129">
        <f t="shared" si="229"/>
        <v>-2</v>
      </c>
      <c r="BZ297" s="111">
        <f t="shared" si="230"/>
        <v>25</v>
      </c>
      <c r="CA297" s="138">
        <f t="shared" si="231"/>
        <v>2</v>
      </c>
      <c r="CB297" s="111">
        <v>27</v>
      </c>
      <c r="CD297" s="129">
        <f>G297-J297</f>
        <v>516</v>
      </c>
      <c r="CE297" s="129">
        <f t="shared" si="232"/>
        <v>516</v>
      </c>
      <c r="CG297" s="129" t="str">
        <f t="shared" si="233"/>
        <v>Y</v>
      </c>
      <c r="CI297" s="129" t="str">
        <f t="shared" si="234"/>
        <v>11-30 DAYS</v>
      </c>
      <c r="CJ297" s="137">
        <f t="shared" si="235"/>
        <v>2</v>
      </c>
      <c r="CK297" s="129" t="str">
        <f t="shared" si="236"/>
        <v>Booked</v>
      </c>
    </row>
    <row r="298" spans="1:89" ht="15.75" customHeight="1" x14ac:dyDescent="0.25">
      <c r="A298" s="111">
        <v>2302</v>
      </c>
      <c r="B298" s="128" t="str">
        <f t="shared" si="216"/>
        <v>N</v>
      </c>
      <c r="C298" s="128" t="str">
        <f t="shared" si="217"/>
        <v>N</v>
      </c>
      <c r="D298" s="117">
        <v>918538</v>
      </c>
      <c r="E298" s="135">
        <f t="shared" si="218"/>
        <v>6</v>
      </c>
      <c r="F298" s="124">
        <v>40996</v>
      </c>
      <c r="G298" s="125">
        <v>41239</v>
      </c>
      <c r="H298" s="117">
        <v>918538</v>
      </c>
      <c r="I298" s="124">
        <v>40996</v>
      </c>
      <c r="J298" s="124">
        <v>40998</v>
      </c>
      <c r="K298" s="126">
        <v>15000</v>
      </c>
      <c r="L298" s="127" t="s">
        <v>571</v>
      </c>
      <c r="M298" s="125">
        <v>40998</v>
      </c>
      <c r="N298" s="129" t="str">
        <f t="shared" si="246"/>
        <v>Y</v>
      </c>
      <c r="O298" s="128" t="s">
        <v>76</v>
      </c>
      <c r="P298" s="129" t="s">
        <v>39</v>
      </c>
      <c r="Q298" s="111">
        <f t="shared" ref="Q298:Q361" si="247">BF298</f>
        <v>3</v>
      </c>
      <c r="R298" s="111">
        <f t="shared" si="211"/>
        <v>244</v>
      </c>
      <c r="S298" s="129">
        <v>9</v>
      </c>
      <c r="T298" s="129">
        <v>8</v>
      </c>
      <c r="U298" s="129">
        <v>5</v>
      </c>
      <c r="W298" s="111"/>
      <c r="AC298" s="130"/>
      <c r="AD298" s="130">
        <v>25587</v>
      </c>
      <c r="AE298" s="128" t="s">
        <v>32</v>
      </c>
      <c r="AF298" s="128" t="s">
        <v>33</v>
      </c>
      <c r="AG298" s="128" t="s">
        <v>872</v>
      </c>
      <c r="AH298" s="108" t="s">
        <v>58</v>
      </c>
      <c r="AI298" s="128" t="s">
        <v>113</v>
      </c>
      <c r="AJ298" s="129" t="s">
        <v>89</v>
      </c>
      <c r="AK298" s="129">
        <v>12</v>
      </c>
      <c r="AL298" s="3" t="s">
        <v>362</v>
      </c>
      <c r="AM298" s="117">
        <v>4</v>
      </c>
      <c r="AP298" s="129" t="s">
        <v>60</v>
      </c>
      <c r="AR298" s="128" t="s">
        <v>44</v>
      </c>
      <c r="AS298" s="129" t="s">
        <v>61</v>
      </c>
      <c r="BC298" s="129" t="s">
        <v>52</v>
      </c>
      <c r="BF298" s="111">
        <f t="shared" ref="BF298:BF313" si="248">IF(J298&gt;1/1/1900,((J298+1)-I298),"STILL OPEN")</f>
        <v>3</v>
      </c>
      <c r="BG298" s="111">
        <f t="shared" si="242"/>
        <v>244</v>
      </c>
      <c r="BH298" s="111">
        <f t="shared" si="212"/>
        <v>244</v>
      </c>
      <c r="BI298" s="111">
        <f t="shared" si="213"/>
        <v>42.101092896174862</v>
      </c>
      <c r="BJ298" s="129">
        <f>(G298-J298)+(M298-G298)</f>
        <v>0</v>
      </c>
      <c r="BK298" s="129">
        <f t="shared" si="214"/>
        <v>-241</v>
      </c>
      <c r="BL298" s="129" t="str">
        <f t="shared" si="215"/>
        <v>CONVICTION</v>
      </c>
      <c r="BM298" s="129" t="s">
        <v>76</v>
      </c>
      <c r="BN298" s="129" t="s">
        <v>88</v>
      </c>
      <c r="BP298" s="137" t="str">
        <f t="shared" si="221"/>
        <v>CONVICTION</v>
      </c>
      <c r="BQ298" s="128" t="str">
        <f t="shared" si="222"/>
        <v>Y</v>
      </c>
      <c r="BR298" s="129" t="str">
        <f>IF(J298&lt;G298,"ON BOND",0)</f>
        <v>ON BOND</v>
      </c>
      <c r="BS298" s="129" t="str">
        <f t="shared" si="224"/>
        <v>DISPOSED</v>
      </c>
      <c r="BT298" s="129" t="str">
        <f t="shared" si="225"/>
        <v>Y</v>
      </c>
      <c r="BU298" s="109">
        <f t="shared" si="226"/>
        <v>1.2295081967213115E-2</v>
      </c>
      <c r="BV298" s="109">
        <f t="shared" si="227"/>
        <v>1.2295081967213115E-2</v>
      </c>
      <c r="BW298" s="109">
        <f t="shared" si="237"/>
        <v>0</v>
      </c>
      <c r="BX298" s="111">
        <f t="shared" si="228"/>
        <v>0</v>
      </c>
      <c r="BY298" s="129">
        <f t="shared" si="229"/>
        <v>-3</v>
      </c>
      <c r="BZ298" s="111">
        <f t="shared" si="230"/>
        <v>0</v>
      </c>
      <c r="CA298" s="138">
        <f t="shared" si="231"/>
        <v>3</v>
      </c>
      <c r="CB298" s="111" t="e">
        <f t="shared" ref="CB298:CB313" si="249">IF(AF298&gt;1/1/1900,((AF298+1)-AE298),"STILL OPEN")</f>
        <v>#VALUE!</v>
      </c>
      <c r="CC298" s="129">
        <f>M298-I298+1</f>
        <v>3</v>
      </c>
      <c r="CD298" s="111">
        <f>CC298-BF298</f>
        <v>0</v>
      </c>
      <c r="CE298" s="129">
        <f t="shared" si="232"/>
        <v>241</v>
      </c>
      <c r="CG298" s="129" t="str">
        <f t="shared" si="233"/>
        <v>Y</v>
      </c>
      <c r="CI298" s="129" t="str">
        <f t="shared" si="234"/>
        <v>0-10 DAYS</v>
      </c>
      <c r="CJ298" s="137">
        <f t="shared" si="235"/>
        <v>1</v>
      </c>
      <c r="CK298" s="129" t="str">
        <f t="shared" si="236"/>
        <v>Booked</v>
      </c>
    </row>
    <row r="299" spans="1:89" ht="15" customHeight="1" x14ac:dyDescent="0.25">
      <c r="A299" s="111">
        <v>2039</v>
      </c>
      <c r="B299" s="128" t="str">
        <f t="shared" si="216"/>
        <v>N</v>
      </c>
      <c r="C299" s="128" t="str">
        <f t="shared" si="217"/>
        <v>N</v>
      </c>
      <c r="D299" s="117">
        <v>918740</v>
      </c>
      <c r="E299" s="135">
        <f t="shared" si="218"/>
        <v>5</v>
      </c>
      <c r="F299" s="124">
        <v>40985</v>
      </c>
      <c r="G299" s="125">
        <v>40987</v>
      </c>
      <c r="H299" s="117">
        <v>918740</v>
      </c>
      <c r="I299" s="124">
        <v>40986</v>
      </c>
      <c r="J299" s="124">
        <v>40987</v>
      </c>
      <c r="K299" s="126">
        <v>15000</v>
      </c>
      <c r="L299" s="127" t="s">
        <v>571</v>
      </c>
      <c r="N299" s="129" t="str">
        <f t="shared" si="246"/>
        <v>N</v>
      </c>
      <c r="O299" s="128" t="s">
        <v>917</v>
      </c>
      <c r="P299" s="129" t="s">
        <v>39</v>
      </c>
      <c r="Q299" s="111">
        <f t="shared" si="247"/>
        <v>2</v>
      </c>
      <c r="R299" s="111">
        <f t="shared" si="211"/>
        <v>3</v>
      </c>
      <c r="S299" s="129">
        <v>3</v>
      </c>
      <c r="T299" s="129">
        <v>12</v>
      </c>
      <c r="U299" s="129">
        <v>1</v>
      </c>
      <c r="W299" s="111"/>
      <c r="AC299" s="130"/>
      <c r="AD299" s="130">
        <v>22857</v>
      </c>
      <c r="AE299" s="128" t="s">
        <v>32</v>
      </c>
      <c r="AF299" s="128" t="s">
        <v>33</v>
      </c>
      <c r="AG299" s="128" t="s">
        <v>872</v>
      </c>
      <c r="AH299" s="108" t="s">
        <v>58</v>
      </c>
      <c r="AI299" s="128" t="s">
        <v>83</v>
      </c>
      <c r="AJ299" s="129" t="s">
        <v>89</v>
      </c>
      <c r="AK299" s="129">
        <v>1</v>
      </c>
      <c r="AL299" s="3" t="s">
        <v>992</v>
      </c>
      <c r="AN299" s="117">
        <v>6</v>
      </c>
      <c r="AP299" s="129" t="s">
        <v>60</v>
      </c>
      <c r="AR299" s="128" t="s">
        <v>44</v>
      </c>
      <c r="AS299" s="129" t="s">
        <v>61</v>
      </c>
      <c r="BC299" s="129" t="s">
        <v>38</v>
      </c>
      <c r="BF299" s="111">
        <f t="shared" si="248"/>
        <v>2</v>
      </c>
      <c r="BG299" s="111">
        <f t="shared" si="242"/>
        <v>2</v>
      </c>
      <c r="BH299" s="111">
        <f t="shared" si="212"/>
        <v>3</v>
      </c>
      <c r="BI299" s="111">
        <f t="shared" si="213"/>
        <v>49.530054644808743</v>
      </c>
      <c r="BJ299" s="129">
        <f t="shared" si="219"/>
        <v>0</v>
      </c>
      <c r="BK299" s="129">
        <f t="shared" si="214"/>
        <v>0</v>
      </c>
      <c r="BL299" s="129" t="str">
        <f t="shared" si="215"/>
        <v>CONVICTION</v>
      </c>
      <c r="BM299" s="129" t="str">
        <f t="shared" si="220"/>
        <v>NONE</v>
      </c>
      <c r="BN299" s="129" t="s">
        <v>566</v>
      </c>
      <c r="BP299" s="137" t="str">
        <f t="shared" si="221"/>
        <v>CONVICTION</v>
      </c>
      <c r="BQ299" s="128" t="str">
        <f t="shared" si="222"/>
        <v>Y</v>
      </c>
      <c r="BR299" s="129" t="str">
        <f t="shared" si="223"/>
        <v>DETAINED</v>
      </c>
      <c r="BS299" s="129" t="str">
        <f t="shared" si="224"/>
        <v>DISPOSED</v>
      </c>
      <c r="BT299" s="129" t="str">
        <f t="shared" si="225"/>
        <v>Y</v>
      </c>
      <c r="BU299" s="109">
        <f t="shared" si="226"/>
        <v>0.66666666666666663</v>
      </c>
      <c r="BV299" s="109">
        <f t="shared" si="227"/>
        <v>1</v>
      </c>
      <c r="BW299" s="109">
        <f t="shared" si="237"/>
        <v>0.33333333333333337</v>
      </c>
      <c r="BX299" s="111">
        <f t="shared" si="228"/>
        <v>0</v>
      </c>
      <c r="BY299" s="129">
        <f t="shared" si="229"/>
        <v>-2</v>
      </c>
      <c r="BZ299" s="111">
        <f t="shared" si="230"/>
        <v>0</v>
      </c>
      <c r="CA299" s="138">
        <f t="shared" si="231"/>
        <v>2</v>
      </c>
      <c r="CB299" s="111" t="e">
        <f t="shared" si="249"/>
        <v>#VALUE!</v>
      </c>
      <c r="CC299" s="129">
        <f t="shared" ref="CC299:CC306" si="250">G299-I299+1</f>
        <v>2</v>
      </c>
      <c r="CD299" s="129">
        <f t="shared" ref="CD299:CD306" si="251">G299-J299</f>
        <v>0</v>
      </c>
      <c r="CE299" s="129">
        <f t="shared" si="232"/>
        <v>0</v>
      </c>
      <c r="CG299" s="129" t="str">
        <f t="shared" si="233"/>
        <v>Y</v>
      </c>
      <c r="CI299" s="129" t="str">
        <f t="shared" si="234"/>
        <v>0-10 DAYS</v>
      </c>
      <c r="CJ299" s="137">
        <f t="shared" si="235"/>
        <v>1</v>
      </c>
      <c r="CK299" s="129" t="str">
        <f t="shared" si="236"/>
        <v>Booked</v>
      </c>
    </row>
    <row r="300" spans="1:89" ht="15" customHeight="1" x14ac:dyDescent="0.25">
      <c r="A300" s="111">
        <v>2815</v>
      </c>
      <c r="B300" s="128" t="str">
        <f t="shared" si="216"/>
        <v>N</v>
      </c>
      <c r="C300" s="128" t="str">
        <f t="shared" si="217"/>
        <v>N</v>
      </c>
      <c r="D300" s="117">
        <v>922188</v>
      </c>
      <c r="E300" s="135">
        <f t="shared" si="218"/>
        <v>1</v>
      </c>
      <c r="F300" s="124">
        <v>41012</v>
      </c>
      <c r="G300" s="125">
        <v>41395</v>
      </c>
      <c r="H300" s="117">
        <v>922188</v>
      </c>
      <c r="I300" s="124">
        <v>41013</v>
      </c>
      <c r="J300" s="125">
        <v>41395</v>
      </c>
      <c r="K300" s="126">
        <v>35000</v>
      </c>
      <c r="L300" s="129" t="s">
        <v>572</v>
      </c>
      <c r="N300" s="129" t="str">
        <f t="shared" si="246"/>
        <v>N</v>
      </c>
      <c r="O300" s="128" t="s">
        <v>917</v>
      </c>
      <c r="P300" s="129" t="s">
        <v>55</v>
      </c>
      <c r="Q300" s="111">
        <f t="shared" si="247"/>
        <v>383</v>
      </c>
      <c r="R300" s="111">
        <f t="shared" si="211"/>
        <v>384</v>
      </c>
      <c r="S300" s="129">
        <v>5</v>
      </c>
      <c r="T300" s="129">
        <v>0</v>
      </c>
      <c r="U300" s="129">
        <v>3</v>
      </c>
      <c r="W300" s="111"/>
      <c r="AC300" s="130"/>
      <c r="AD300" s="130">
        <v>24850</v>
      </c>
      <c r="AE300" s="128" t="s">
        <v>32</v>
      </c>
      <c r="AF300" s="128" t="s">
        <v>33</v>
      </c>
      <c r="AG300" s="128" t="s">
        <v>872</v>
      </c>
      <c r="AH300" s="108" t="s">
        <v>31</v>
      </c>
      <c r="AI300" s="128" t="s">
        <v>62</v>
      </c>
      <c r="AJ300" s="129" t="s">
        <v>55</v>
      </c>
      <c r="AK300" s="129">
        <v>11</v>
      </c>
      <c r="AL300" s="3" t="s">
        <v>55</v>
      </c>
      <c r="AP300" s="129" t="s">
        <v>132</v>
      </c>
      <c r="AR300" s="128" t="s">
        <v>92</v>
      </c>
      <c r="AS300" s="129" t="s">
        <v>82</v>
      </c>
      <c r="BC300" s="129" t="s">
        <v>38</v>
      </c>
      <c r="BF300" s="111">
        <f t="shared" si="248"/>
        <v>383</v>
      </c>
      <c r="BG300" s="111">
        <f t="shared" si="242"/>
        <v>383</v>
      </c>
      <c r="BH300" s="111">
        <f t="shared" si="212"/>
        <v>384</v>
      </c>
      <c r="BI300" s="111">
        <f t="shared" si="213"/>
        <v>44.158469945355193</v>
      </c>
      <c r="BJ300" s="129">
        <f t="shared" si="219"/>
        <v>0</v>
      </c>
      <c r="BK300" s="129">
        <f t="shared" si="214"/>
        <v>0</v>
      </c>
      <c r="BL300" s="129" t="str">
        <f t="shared" si="215"/>
        <v>NO CONVICTION</v>
      </c>
      <c r="BM300" s="129" t="str">
        <f t="shared" si="220"/>
        <v>NONE</v>
      </c>
      <c r="BN300" s="129" t="s">
        <v>566</v>
      </c>
      <c r="BP300" s="137" t="str">
        <f t="shared" si="221"/>
        <v>NO CONVICTION</v>
      </c>
      <c r="BQ300" s="128" t="str">
        <f t="shared" si="222"/>
        <v>Y</v>
      </c>
      <c r="BR300" s="129" t="str">
        <f t="shared" si="223"/>
        <v>DETAINED</v>
      </c>
      <c r="BS300" s="129" t="str">
        <f t="shared" si="224"/>
        <v>DISPOSED</v>
      </c>
      <c r="BT300" s="129" t="str">
        <f t="shared" si="225"/>
        <v>Y</v>
      </c>
      <c r="BU300" s="109">
        <f>IFERROR(Q300/R300,BR300)</f>
        <v>0.99739583333333337</v>
      </c>
      <c r="BV300" s="109">
        <f t="shared" si="227"/>
        <v>1</v>
      </c>
      <c r="BW300" s="109">
        <f t="shared" si="237"/>
        <v>2.6041666666666297E-3</v>
      </c>
      <c r="BX300" s="111">
        <f t="shared" si="228"/>
        <v>0</v>
      </c>
      <c r="BY300" s="129">
        <f t="shared" si="229"/>
        <v>-383</v>
      </c>
      <c r="BZ300" s="111">
        <f t="shared" si="230"/>
        <v>0</v>
      </c>
      <c r="CA300" s="138">
        <f t="shared" si="231"/>
        <v>383</v>
      </c>
      <c r="CB300" s="111" t="e">
        <f t="shared" si="249"/>
        <v>#VALUE!</v>
      </c>
      <c r="CC300" s="129">
        <f t="shared" si="250"/>
        <v>383</v>
      </c>
      <c r="CD300" s="129">
        <f t="shared" si="251"/>
        <v>0</v>
      </c>
      <c r="CE300" s="129">
        <f t="shared" si="232"/>
        <v>0</v>
      </c>
      <c r="CG300" s="129" t="str">
        <f t="shared" si="233"/>
        <v>Y</v>
      </c>
      <c r="CI300" s="129" t="str">
        <f t="shared" si="234"/>
        <v xml:space="preserve"> &gt;1YRS&lt;2YRS</v>
      </c>
      <c r="CJ300" s="137">
        <f t="shared" si="235"/>
        <v>0</v>
      </c>
      <c r="CK300" s="129" t="str">
        <f t="shared" si="236"/>
        <v>Booked</v>
      </c>
    </row>
    <row r="301" spans="1:89" ht="15.75" customHeight="1" x14ac:dyDescent="0.25">
      <c r="A301" s="111">
        <v>1014</v>
      </c>
      <c r="B301" s="128" t="str">
        <f t="shared" si="216"/>
        <v>N</v>
      </c>
      <c r="C301" s="128" t="str">
        <f t="shared" si="217"/>
        <v>N</v>
      </c>
      <c r="D301" s="117">
        <v>922619</v>
      </c>
      <c r="E301" s="135">
        <f t="shared" si="218"/>
        <v>6</v>
      </c>
      <c r="F301" s="124">
        <v>40946</v>
      </c>
      <c r="G301" s="125">
        <v>41234</v>
      </c>
      <c r="H301" s="117">
        <v>922619</v>
      </c>
      <c r="I301" s="124">
        <v>40947</v>
      </c>
      <c r="J301" s="125">
        <v>41234</v>
      </c>
      <c r="K301" s="126">
        <v>30000</v>
      </c>
      <c r="L301" s="129" t="s">
        <v>572</v>
      </c>
      <c r="N301" s="129" t="str">
        <f t="shared" si="246"/>
        <v>N</v>
      </c>
      <c r="O301" s="128" t="s">
        <v>917</v>
      </c>
      <c r="P301" s="129" t="s">
        <v>39</v>
      </c>
      <c r="Q301" s="111">
        <f t="shared" si="247"/>
        <v>288</v>
      </c>
      <c r="R301" s="111">
        <f t="shared" si="211"/>
        <v>289</v>
      </c>
      <c r="S301" s="129">
        <v>5</v>
      </c>
      <c r="T301" s="129">
        <v>6</v>
      </c>
      <c r="U301" s="129">
        <v>2</v>
      </c>
      <c r="W301" s="111"/>
      <c r="AC301" s="130"/>
      <c r="AD301" s="130">
        <v>21166</v>
      </c>
      <c r="AE301" s="128" t="s">
        <v>32</v>
      </c>
      <c r="AF301" s="128" t="s">
        <v>33</v>
      </c>
      <c r="AG301" s="128" t="s">
        <v>872</v>
      </c>
      <c r="AH301" s="108" t="s">
        <v>58</v>
      </c>
      <c r="AI301" s="128" t="s">
        <v>80</v>
      </c>
      <c r="AJ301" s="129" t="s">
        <v>89</v>
      </c>
      <c r="AK301" s="129">
        <v>7</v>
      </c>
      <c r="AL301" s="3" t="s">
        <v>362</v>
      </c>
      <c r="AM301" s="117">
        <v>5</v>
      </c>
      <c r="AP301" s="129" t="s">
        <v>153</v>
      </c>
      <c r="AR301" s="128" t="s">
        <v>92</v>
      </c>
      <c r="AS301" s="129" t="s">
        <v>45</v>
      </c>
      <c r="BC301" s="129" t="s">
        <v>38</v>
      </c>
      <c r="BF301" s="111">
        <f t="shared" si="248"/>
        <v>288</v>
      </c>
      <c r="BG301" s="111">
        <f t="shared" si="242"/>
        <v>288</v>
      </c>
      <c r="BH301" s="111">
        <f t="shared" si="212"/>
        <v>289</v>
      </c>
      <c r="BI301" s="111">
        <f t="shared" si="213"/>
        <v>54.043715846994537</v>
      </c>
      <c r="BJ301" s="129">
        <f t="shared" si="219"/>
        <v>0</v>
      </c>
      <c r="BK301" s="129">
        <f t="shared" si="214"/>
        <v>0</v>
      </c>
      <c r="BL301" s="129" t="str">
        <f t="shared" si="215"/>
        <v>CONVICTION</v>
      </c>
      <c r="BM301" s="129" t="str">
        <f t="shared" si="220"/>
        <v>NONE</v>
      </c>
      <c r="BN301" s="129" t="s">
        <v>566</v>
      </c>
      <c r="BP301" s="137" t="str">
        <f t="shared" si="221"/>
        <v>CONVICTION</v>
      </c>
      <c r="BQ301" s="128" t="str">
        <f t="shared" si="222"/>
        <v>Y</v>
      </c>
      <c r="BR301" s="129" t="str">
        <f t="shared" si="223"/>
        <v>DETAINED</v>
      </c>
      <c r="BS301" s="129" t="str">
        <f t="shared" si="224"/>
        <v>DISPOSED</v>
      </c>
      <c r="BT301" s="129" t="str">
        <f t="shared" si="225"/>
        <v>Y</v>
      </c>
      <c r="BU301" s="109">
        <f t="shared" si="226"/>
        <v>0.9965397923875432</v>
      </c>
      <c r="BV301" s="109">
        <f t="shared" si="227"/>
        <v>1</v>
      </c>
      <c r="BW301" s="109">
        <f t="shared" si="237"/>
        <v>3.4602076124568004E-3</v>
      </c>
      <c r="BX301" s="111">
        <f t="shared" si="228"/>
        <v>0</v>
      </c>
      <c r="BY301" s="129">
        <f t="shared" si="229"/>
        <v>-288</v>
      </c>
      <c r="BZ301" s="111">
        <f t="shared" si="230"/>
        <v>0</v>
      </c>
      <c r="CA301" s="138">
        <f t="shared" si="231"/>
        <v>288</v>
      </c>
      <c r="CB301" s="111" t="e">
        <f t="shared" si="249"/>
        <v>#VALUE!</v>
      </c>
      <c r="CC301" s="129">
        <f t="shared" si="250"/>
        <v>288</v>
      </c>
      <c r="CD301" s="129">
        <f t="shared" si="251"/>
        <v>0</v>
      </c>
      <c r="CE301" s="129">
        <f t="shared" si="232"/>
        <v>0</v>
      </c>
      <c r="CG301" s="129" t="str">
        <f t="shared" si="233"/>
        <v>Y</v>
      </c>
      <c r="CI301" s="129" t="str">
        <f t="shared" si="234"/>
        <v>121-365 DAYS</v>
      </c>
      <c r="CJ301" s="137">
        <f t="shared" si="235"/>
        <v>6</v>
      </c>
      <c r="CK301" s="129" t="str">
        <f t="shared" si="236"/>
        <v>Booked</v>
      </c>
    </row>
    <row r="302" spans="1:89" ht="15" customHeight="1" x14ac:dyDescent="0.25">
      <c r="A302" s="111">
        <v>831</v>
      </c>
      <c r="B302" s="128" t="str">
        <f t="shared" si="216"/>
        <v>N</v>
      </c>
      <c r="C302" s="128" t="str">
        <f t="shared" si="217"/>
        <v>N</v>
      </c>
      <c r="D302" s="117">
        <v>923126</v>
      </c>
      <c r="E302" s="135">
        <f t="shared" si="218"/>
        <v>6</v>
      </c>
      <c r="F302" s="124">
        <v>40940</v>
      </c>
      <c r="G302" s="125">
        <v>40975</v>
      </c>
      <c r="H302" s="117">
        <v>923126</v>
      </c>
      <c r="I302" s="124">
        <v>40941</v>
      </c>
      <c r="J302" s="124">
        <v>40975</v>
      </c>
      <c r="K302" s="126" t="s">
        <v>564</v>
      </c>
      <c r="L302" s="127" t="s">
        <v>564</v>
      </c>
      <c r="N302" s="129" t="s">
        <v>566</v>
      </c>
      <c r="O302" s="128" t="s">
        <v>917</v>
      </c>
      <c r="P302" s="129" t="s">
        <v>39</v>
      </c>
      <c r="Q302" s="111">
        <f t="shared" si="247"/>
        <v>35</v>
      </c>
      <c r="R302" s="111">
        <f t="shared" si="211"/>
        <v>36</v>
      </c>
      <c r="S302" s="129">
        <v>6</v>
      </c>
      <c r="T302" s="129">
        <v>3</v>
      </c>
      <c r="U302" s="129">
        <v>6</v>
      </c>
      <c r="W302" s="111"/>
      <c r="AC302" s="130"/>
      <c r="AD302" s="130">
        <v>25794</v>
      </c>
      <c r="AE302" s="128" t="s">
        <v>32</v>
      </c>
      <c r="AF302" s="128" t="s">
        <v>33</v>
      </c>
      <c r="AG302" s="128" t="s">
        <v>872</v>
      </c>
      <c r="AH302" s="108" t="s">
        <v>58</v>
      </c>
      <c r="AI302" s="128" t="s">
        <v>87</v>
      </c>
      <c r="AJ302" s="129" t="s">
        <v>89</v>
      </c>
      <c r="AK302" s="129">
        <v>2</v>
      </c>
      <c r="AL302" s="3" t="s">
        <v>362</v>
      </c>
      <c r="AM302" s="117">
        <v>12</v>
      </c>
      <c r="AP302" s="129" t="s">
        <v>66</v>
      </c>
      <c r="AR302" s="128" t="s">
        <v>67</v>
      </c>
      <c r="AS302" s="129" t="s">
        <v>68</v>
      </c>
      <c r="BC302" s="129" t="s">
        <v>38</v>
      </c>
      <c r="BF302" s="111">
        <f t="shared" si="248"/>
        <v>35</v>
      </c>
      <c r="BG302" s="111">
        <f t="shared" si="242"/>
        <v>35</v>
      </c>
      <c r="BH302" s="111">
        <f t="shared" si="212"/>
        <v>36</v>
      </c>
      <c r="BI302" s="111">
        <f t="shared" si="213"/>
        <v>41.382513661202189</v>
      </c>
      <c r="BJ302" s="129">
        <f t="shared" si="219"/>
        <v>0</v>
      </c>
      <c r="BK302" s="129">
        <f t="shared" si="214"/>
        <v>0</v>
      </c>
      <c r="BL302" s="129" t="str">
        <f t="shared" si="215"/>
        <v>CONVICTION</v>
      </c>
      <c r="BM302" s="129" t="str">
        <f t="shared" si="220"/>
        <v>NONE</v>
      </c>
      <c r="BN302" s="129" t="s">
        <v>566</v>
      </c>
      <c r="BP302" s="137" t="str">
        <f t="shared" si="221"/>
        <v>CONVICTION</v>
      </c>
      <c r="BQ302" s="128" t="str">
        <f t="shared" si="222"/>
        <v>Y</v>
      </c>
      <c r="BR302" s="129" t="str">
        <f t="shared" si="223"/>
        <v>DETAINED</v>
      </c>
      <c r="BS302" s="129" t="str">
        <f t="shared" si="224"/>
        <v>DISPOSED</v>
      </c>
      <c r="BT302" s="129" t="str">
        <f t="shared" si="225"/>
        <v>Y</v>
      </c>
      <c r="BU302" s="109">
        <f t="shared" si="226"/>
        <v>0.97222222222222221</v>
      </c>
      <c r="BV302" s="109">
        <f t="shared" si="227"/>
        <v>1</v>
      </c>
      <c r="BW302" s="109">
        <f t="shared" si="237"/>
        <v>2.777777777777779E-2</v>
      </c>
      <c r="BX302" s="111">
        <f t="shared" si="228"/>
        <v>0</v>
      </c>
      <c r="BY302" s="129">
        <f t="shared" si="229"/>
        <v>-35</v>
      </c>
      <c r="BZ302" s="111">
        <f t="shared" si="230"/>
        <v>0</v>
      </c>
      <c r="CA302" s="138">
        <f t="shared" si="231"/>
        <v>35</v>
      </c>
      <c r="CB302" s="111" t="e">
        <f t="shared" si="249"/>
        <v>#VALUE!</v>
      </c>
      <c r="CC302" s="129">
        <f t="shared" si="250"/>
        <v>35</v>
      </c>
      <c r="CD302" s="129">
        <f t="shared" si="251"/>
        <v>0</v>
      </c>
      <c r="CE302" s="129">
        <f t="shared" si="232"/>
        <v>0</v>
      </c>
      <c r="CG302" s="129" t="str">
        <f t="shared" si="233"/>
        <v>Y</v>
      </c>
      <c r="CI302" s="129" t="str">
        <f t="shared" si="234"/>
        <v>31-60 DAYS</v>
      </c>
      <c r="CJ302" s="137">
        <f t="shared" si="235"/>
        <v>3</v>
      </c>
      <c r="CK302" s="129" t="str">
        <f t="shared" si="236"/>
        <v>Booked</v>
      </c>
    </row>
    <row r="303" spans="1:89" ht="15" customHeight="1" x14ac:dyDescent="0.25">
      <c r="A303" s="111">
        <v>3259</v>
      </c>
      <c r="B303" s="128" t="str">
        <f t="shared" si="216"/>
        <v>N</v>
      </c>
      <c r="C303" s="128" t="str">
        <f t="shared" si="217"/>
        <v>N</v>
      </c>
      <c r="D303" s="117">
        <v>926707</v>
      </c>
      <c r="E303" s="135">
        <f t="shared" si="218"/>
        <v>6</v>
      </c>
      <c r="F303" s="124">
        <v>41029</v>
      </c>
      <c r="G303" s="125">
        <v>41064</v>
      </c>
      <c r="H303" s="117">
        <v>926707</v>
      </c>
      <c r="I303" s="124">
        <v>41030</v>
      </c>
      <c r="J303" s="124">
        <v>41064</v>
      </c>
      <c r="K303" s="126">
        <v>15000</v>
      </c>
      <c r="L303" s="127" t="s">
        <v>571</v>
      </c>
      <c r="N303" s="129" t="str">
        <f>IF(M303&gt;1/1/1,"Y","N")</f>
        <v>N</v>
      </c>
      <c r="O303" s="128" t="s">
        <v>917</v>
      </c>
      <c r="P303" s="129" t="s">
        <v>39</v>
      </c>
      <c r="Q303" s="111">
        <f t="shared" si="247"/>
        <v>35</v>
      </c>
      <c r="R303" s="111">
        <f t="shared" si="211"/>
        <v>36</v>
      </c>
      <c r="S303" s="129">
        <v>5</v>
      </c>
      <c r="T303" s="129">
        <v>6</v>
      </c>
      <c r="U303" s="129">
        <v>3</v>
      </c>
      <c r="W303" s="111"/>
      <c r="AC303" s="130"/>
      <c r="AD303" s="130">
        <v>25862</v>
      </c>
      <c r="AE303" s="128" t="s">
        <v>32</v>
      </c>
      <c r="AF303" s="128" t="s">
        <v>40</v>
      </c>
      <c r="AG303" s="128" t="s">
        <v>41</v>
      </c>
      <c r="AH303" s="108" t="s">
        <v>41</v>
      </c>
      <c r="AI303" s="128" t="s">
        <v>113</v>
      </c>
      <c r="AJ303" s="129" t="s">
        <v>89</v>
      </c>
      <c r="AK303" s="129">
        <v>3</v>
      </c>
      <c r="AL303" s="3" t="s">
        <v>362</v>
      </c>
      <c r="AM303" s="117">
        <v>2</v>
      </c>
      <c r="AP303" s="129" t="s">
        <v>107</v>
      </c>
      <c r="AR303" s="128" t="s">
        <v>44</v>
      </c>
      <c r="AS303" s="129" t="s">
        <v>57</v>
      </c>
      <c r="AX303" s="32"/>
      <c r="BC303" s="129" t="s">
        <v>38</v>
      </c>
      <c r="BF303" s="111">
        <f t="shared" si="248"/>
        <v>35</v>
      </c>
      <c r="BG303" s="111">
        <f t="shared" si="242"/>
        <v>35</v>
      </c>
      <c r="BH303" s="111">
        <f t="shared" si="212"/>
        <v>36</v>
      </c>
      <c r="BI303" s="111">
        <f t="shared" si="213"/>
        <v>41.439890710382514</v>
      </c>
      <c r="BJ303" s="129">
        <f t="shared" si="219"/>
        <v>0</v>
      </c>
      <c r="BK303" s="129">
        <f t="shared" si="214"/>
        <v>0</v>
      </c>
      <c r="BL303" s="129" t="str">
        <f t="shared" si="215"/>
        <v>CONVICTION</v>
      </c>
      <c r="BM303" s="129" t="str">
        <f t="shared" si="220"/>
        <v>NONE</v>
      </c>
      <c r="BN303" s="129" t="s">
        <v>566</v>
      </c>
      <c r="BP303" s="137" t="str">
        <f t="shared" si="221"/>
        <v>CONVICTION</v>
      </c>
      <c r="BQ303" s="128" t="str">
        <f t="shared" si="222"/>
        <v>Y</v>
      </c>
      <c r="BR303" s="129" t="str">
        <f t="shared" si="223"/>
        <v>DETAINED</v>
      </c>
      <c r="BS303" s="129" t="str">
        <f t="shared" si="224"/>
        <v>DISPOSED</v>
      </c>
      <c r="BT303" s="129" t="str">
        <f t="shared" si="225"/>
        <v>Y</v>
      </c>
      <c r="BU303" s="109">
        <f t="shared" si="226"/>
        <v>0.97222222222222221</v>
      </c>
      <c r="BV303" s="109">
        <f t="shared" si="227"/>
        <v>1</v>
      </c>
      <c r="BW303" s="109">
        <f t="shared" si="237"/>
        <v>2.777777777777779E-2</v>
      </c>
      <c r="BX303" s="111">
        <f t="shared" si="228"/>
        <v>0</v>
      </c>
      <c r="BY303" s="129">
        <f t="shared" si="229"/>
        <v>-35</v>
      </c>
      <c r="BZ303" s="111">
        <f t="shared" si="230"/>
        <v>0</v>
      </c>
      <c r="CA303" s="138">
        <f t="shared" si="231"/>
        <v>35</v>
      </c>
      <c r="CB303" s="111" t="e">
        <f t="shared" si="249"/>
        <v>#VALUE!</v>
      </c>
      <c r="CC303" s="129">
        <f t="shared" si="250"/>
        <v>35</v>
      </c>
      <c r="CD303" s="129">
        <f t="shared" si="251"/>
        <v>0</v>
      </c>
      <c r="CE303" s="129">
        <f t="shared" si="232"/>
        <v>0</v>
      </c>
      <c r="CG303" s="129" t="str">
        <f t="shared" si="233"/>
        <v>Y</v>
      </c>
      <c r="CI303" s="129" t="str">
        <f t="shared" si="234"/>
        <v>31-60 DAYS</v>
      </c>
      <c r="CJ303" s="137">
        <f t="shared" si="235"/>
        <v>3</v>
      </c>
      <c r="CK303" s="129" t="str">
        <f t="shared" si="236"/>
        <v>Booked</v>
      </c>
    </row>
    <row r="304" spans="1:89" ht="15" customHeight="1" x14ac:dyDescent="0.25">
      <c r="A304" s="111">
        <v>1941</v>
      </c>
      <c r="B304" s="128" t="str">
        <f t="shared" si="216"/>
        <v>N</v>
      </c>
      <c r="C304" s="128" t="str">
        <f t="shared" si="217"/>
        <v>N</v>
      </c>
      <c r="D304" s="117">
        <v>928210</v>
      </c>
      <c r="E304" s="135">
        <f t="shared" si="218"/>
        <v>6</v>
      </c>
      <c r="F304" s="124">
        <v>40981</v>
      </c>
      <c r="G304" s="125">
        <v>41262</v>
      </c>
      <c r="H304" s="117">
        <v>928210</v>
      </c>
      <c r="I304" s="124">
        <v>40982</v>
      </c>
      <c r="J304" s="125">
        <v>41262</v>
      </c>
      <c r="K304" s="126">
        <v>2000000</v>
      </c>
      <c r="L304" s="129" t="s">
        <v>572</v>
      </c>
      <c r="N304" s="129" t="str">
        <f>IF(M304&gt;1/1/1,"Y","N")</f>
        <v>N</v>
      </c>
      <c r="O304" s="128" t="s">
        <v>917</v>
      </c>
      <c r="P304" s="129" t="s">
        <v>39</v>
      </c>
      <c r="Q304" s="111">
        <f t="shared" si="247"/>
        <v>281</v>
      </c>
      <c r="R304" s="111">
        <f t="shared" si="211"/>
        <v>282</v>
      </c>
      <c r="S304" s="129">
        <v>3</v>
      </c>
      <c r="T304" s="129">
        <v>4</v>
      </c>
      <c r="U304" s="129">
        <v>3</v>
      </c>
      <c r="W304" s="111"/>
      <c r="AC304" s="130"/>
      <c r="AD304" s="130">
        <v>24702</v>
      </c>
      <c r="AE304" s="128" t="s">
        <v>32</v>
      </c>
      <c r="AF304" s="128" t="s">
        <v>40</v>
      </c>
      <c r="AG304" s="128" t="s">
        <v>41</v>
      </c>
      <c r="AH304" s="108" t="s">
        <v>41</v>
      </c>
      <c r="AI304" s="128" t="s">
        <v>62</v>
      </c>
      <c r="AJ304" s="129" t="s">
        <v>89</v>
      </c>
      <c r="AK304" s="129">
        <v>10</v>
      </c>
      <c r="AL304" s="3" t="s">
        <v>362</v>
      </c>
      <c r="AM304" s="117">
        <v>20</v>
      </c>
      <c r="AP304" s="129" t="s">
        <v>149</v>
      </c>
      <c r="AR304" s="128" t="s">
        <v>92</v>
      </c>
      <c r="AS304" s="129" t="s">
        <v>82</v>
      </c>
      <c r="BC304" s="129" t="s">
        <v>99</v>
      </c>
      <c r="BF304" s="111">
        <f t="shared" si="248"/>
        <v>281</v>
      </c>
      <c r="BG304" s="111">
        <f t="shared" si="242"/>
        <v>281</v>
      </c>
      <c r="BH304" s="111">
        <f t="shared" si="212"/>
        <v>282</v>
      </c>
      <c r="BI304" s="111">
        <f t="shared" si="213"/>
        <v>44.478142076502735</v>
      </c>
      <c r="BJ304" s="129">
        <f t="shared" si="219"/>
        <v>0</v>
      </c>
      <c r="BK304" s="129">
        <f t="shared" si="214"/>
        <v>0</v>
      </c>
      <c r="BL304" s="129" t="str">
        <f t="shared" si="215"/>
        <v>CONVICTION</v>
      </c>
      <c r="BM304" s="129" t="str">
        <f t="shared" si="220"/>
        <v>NONE</v>
      </c>
      <c r="BN304" s="129" t="s">
        <v>566</v>
      </c>
      <c r="BP304" s="137" t="str">
        <f t="shared" si="221"/>
        <v>CONVICTION</v>
      </c>
      <c r="BQ304" s="128" t="str">
        <f t="shared" si="222"/>
        <v>Y</v>
      </c>
      <c r="BR304" s="129" t="str">
        <f t="shared" si="223"/>
        <v>DETAINED</v>
      </c>
      <c r="BS304" s="129" t="str">
        <f t="shared" si="224"/>
        <v>DISPOSED</v>
      </c>
      <c r="BT304" s="129" t="str">
        <f t="shared" si="225"/>
        <v>Y</v>
      </c>
      <c r="BU304" s="109">
        <f t="shared" si="226"/>
        <v>0.99645390070921991</v>
      </c>
      <c r="BV304" s="109">
        <f t="shared" si="227"/>
        <v>1</v>
      </c>
      <c r="BW304" s="109">
        <f t="shared" si="237"/>
        <v>3.5460992907800915E-3</v>
      </c>
      <c r="BX304" s="111">
        <f t="shared" si="228"/>
        <v>0</v>
      </c>
      <c r="BY304" s="129">
        <f t="shared" si="229"/>
        <v>-281</v>
      </c>
      <c r="BZ304" s="111">
        <f t="shared" si="230"/>
        <v>0</v>
      </c>
      <c r="CA304" s="138">
        <f t="shared" si="231"/>
        <v>281</v>
      </c>
      <c r="CB304" s="111" t="e">
        <f t="shared" si="249"/>
        <v>#VALUE!</v>
      </c>
      <c r="CC304" s="129">
        <f t="shared" si="250"/>
        <v>281</v>
      </c>
      <c r="CD304" s="129">
        <f t="shared" si="251"/>
        <v>0</v>
      </c>
      <c r="CE304" s="129">
        <f t="shared" si="232"/>
        <v>0</v>
      </c>
      <c r="CG304" s="129" t="str">
        <f t="shared" si="233"/>
        <v>Y</v>
      </c>
      <c r="CI304" s="129" t="str">
        <f t="shared" si="234"/>
        <v>121-365 DAYS</v>
      </c>
      <c r="CJ304" s="137">
        <f t="shared" si="235"/>
        <v>6</v>
      </c>
      <c r="CK304" s="129" t="str">
        <f t="shared" si="236"/>
        <v>Booked</v>
      </c>
    </row>
    <row r="305" spans="1:89" ht="15.75" customHeight="1" x14ac:dyDescent="0.25">
      <c r="A305" s="111">
        <v>2191</v>
      </c>
      <c r="B305" s="128" t="str">
        <f t="shared" si="216"/>
        <v>N</v>
      </c>
      <c r="C305" s="128" t="str">
        <f t="shared" si="217"/>
        <v>N</v>
      </c>
      <c r="D305" s="117">
        <v>935572</v>
      </c>
      <c r="E305" s="135">
        <f t="shared" si="218"/>
        <v>6</v>
      </c>
      <c r="F305" s="124">
        <v>40990</v>
      </c>
      <c r="G305" s="125">
        <v>41108</v>
      </c>
      <c r="H305" s="117">
        <v>935572</v>
      </c>
      <c r="I305" s="124">
        <v>40991</v>
      </c>
      <c r="J305" s="124">
        <v>41108</v>
      </c>
      <c r="K305" s="126" t="s">
        <v>564</v>
      </c>
      <c r="L305" s="127" t="s">
        <v>564</v>
      </c>
      <c r="N305" s="129" t="s">
        <v>566</v>
      </c>
      <c r="O305" s="128" t="s">
        <v>917</v>
      </c>
      <c r="P305" s="129" t="s">
        <v>39</v>
      </c>
      <c r="Q305" s="111">
        <f t="shared" si="247"/>
        <v>118</v>
      </c>
      <c r="R305" s="111">
        <f t="shared" si="211"/>
        <v>119</v>
      </c>
      <c r="S305" s="129">
        <v>6</v>
      </c>
      <c r="T305" s="129">
        <v>3</v>
      </c>
      <c r="U305" s="129">
        <v>5</v>
      </c>
      <c r="W305" s="111"/>
      <c r="AC305" s="130"/>
      <c r="AD305" s="130">
        <v>23408</v>
      </c>
      <c r="AE305" s="128" t="s">
        <v>32</v>
      </c>
      <c r="AF305" s="128" t="s">
        <v>33</v>
      </c>
      <c r="AG305" s="128" t="s">
        <v>872</v>
      </c>
      <c r="AH305" s="108" t="s">
        <v>31</v>
      </c>
      <c r="AI305" s="128" t="s">
        <v>118</v>
      </c>
      <c r="AJ305" s="129" t="s">
        <v>89</v>
      </c>
      <c r="AK305" s="129">
        <v>4</v>
      </c>
      <c r="AL305" s="3" t="s">
        <v>362</v>
      </c>
      <c r="AM305" s="117">
        <v>2</v>
      </c>
      <c r="AP305" s="129" t="s">
        <v>150</v>
      </c>
      <c r="AR305" s="128" t="s">
        <v>67</v>
      </c>
      <c r="AS305" s="129" t="s">
        <v>74</v>
      </c>
      <c r="BC305" s="129" t="s">
        <v>38</v>
      </c>
      <c r="BF305" s="111">
        <f t="shared" si="248"/>
        <v>118</v>
      </c>
      <c r="BG305" s="111">
        <f t="shared" si="242"/>
        <v>118</v>
      </c>
      <c r="BH305" s="111">
        <f t="shared" si="212"/>
        <v>119</v>
      </c>
      <c r="BI305" s="111">
        <f t="shared" si="213"/>
        <v>48.038251366120221</v>
      </c>
      <c r="BJ305" s="129">
        <f t="shared" si="219"/>
        <v>0</v>
      </c>
      <c r="BK305" s="129">
        <f t="shared" si="214"/>
        <v>0</v>
      </c>
      <c r="BL305" s="129" t="str">
        <f t="shared" si="215"/>
        <v>CONVICTION</v>
      </c>
      <c r="BM305" s="129" t="str">
        <f t="shared" si="220"/>
        <v>NONE</v>
      </c>
      <c r="BN305" s="129" t="s">
        <v>566</v>
      </c>
      <c r="BP305" s="137" t="str">
        <f t="shared" si="221"/>
        <v>CONVICTION</v>
      </c>
      <c r="BQ305" s="128" t="str">
        <f t="shared" si="222"/>
        <v>Y</v>
      </c>
      <c r="BR305" s="129" t="str">
        <f t="shared" si="223"/>
        <v>DETAINED</v>
      </c>
      <c r="BS305" s="129" t="str">
        <f t="shared" si="224"/>
        <v>DISPOSED</v>
      </c>
      <c r="BT305" s="129" t="str">
        <f t="shared" si="225"/>
        <v>Y</v>
      </c>
      <c r="BU305" s="109">
        <f t="shared" si="226"/>
        <v>0.99159663865546221</v>
      </c>
      <c r="BV305" s="109">
        <f t="shared" si="227"/>
        <v>1</v>
      </c>
      <c r="BW305" s="109">
        <f t="shared" si="237"/>
        <v>8.4033613445377853E-3</v>
      </c>
      <c r="BX305" s="111">
        <f t="shared" si="228"/>
        <v>0</v>
      </c>
      <c r="BY305" s="129">
        <f t="shared" si="229"/>
        <v>-118</v>
      </c>
      <c r="BZ305" s="111">
        <f t="shared" si="230"/>
        <v>0</v>
      </c>
      <c r="CA305" s="138">
        <f t="shared" si="231"/>
        <v>118</v>
      </c>
      <c r="CB305" s="111" t="e">
        <f t="shared" si="249"/>
        <v>#VALUE!</v>
      </c>
      <c r="CC305" s="129">
        <f t="shared" si="250"/>
        <v>118</v>
      </c>
      <c r="CD305" s="129">
        <f t="shared" si="251"/>
        <v>0</v>
      </c>
      <c r="CE305" s="129">
        <f t="shared" si="232"/>
        <v>0</v>
      </c>
      <c r="CG305" s="129" t="str">
        <f t="shared" si="233"/>
        <v>Y</v>
      </c>
      <c r="CI305" s="129" t="str">
        <f t="shared" si="234"/>
        <v>91-120 DAYS</v>
      </c>
      <c r="CJ305" s="137">
        <f t="shared" si="235"/>
        <v>0</v>
      </c>
      <c r="CK305" s="129" t="str">
        <f t="shared" si="236"/>
        <v>Booked</v>
      </c>
    </row>
    <row r="306" spans="1:89" ht="15" customHeight="1" x14ac:dyDescent="0.25">
      <c r="A306" s="111">
        <v>2775</v>
      </c>
      <c r="B306" s="128" t="str">
        <f t="shared" si="216"/>
        <v>N</v>
      </c>
      <c r="C306" s="128" t="str">
        <f t="shared" si="217"/>
        <v>N</v>
      </c>
      <c r="D306" s="117">
        <v>936269</v>
      </c>
      <c r="E306" s="135">
        <f t="shared" si="218"/>
        <v>6</v>
      </c>
      <c r="F306" s="124">
        <v>41011</v>
      </c>
      <c r="G306" s="125">
        <v>41089</v>
      </c>
      <c r="H306" s="117">
        <v>936269</v>
      </c>
      <c r="I306" s="124">
        <v>41011</v>
      </c>
      <c r="J306" s="124">
        <v>41089</v>
      </c>
      <c r="K306" s="126">
        <v>10000</v>
      </c>
      <c r="L306" s="127" t="s">
        <v>570</v>
      </c>
      <c r="N306" s="129" t="str">
        <f>IF(M306&gt;1/1/1,"Y","N")</f>
        <v>N</v>
      </c>
      <c r="O306" s="128" t="s">
        <v>917</v>
      </c>
      <c r="P306" s="129" t="s">
        <v>39</v>
      </c>
      <c r="Q306" s="111">
        <f t="shared" si="247"/>
        <v>79</v>
      </c>
      <c r="R306" s="111">
        <f t="shared" si="211"/>
        <v>79</v>
      </c>
      <c r="S306" s="129">
        <v>2</v>
      </c>
      <c r="T306" s="129">
        <v>4</v>
      </c>
      <c r="U306" s="129">
        <v>1</v>
      </c>
      <c r="V306" s="117">
        <v>1</v>
      </c>
      <c r="W306" s="111"/>
      <c r="AC306" s="130"/>
      <c r="AD306" s="130">
        <v>25801</v>
      </c>
      <c r="AE306" s="128" t="s">
        <v>46</v>
      </c>
      <c r="AF306" s="128" t="s">
        <v>33</v>
      </c>
      <c r="AG306" s="128" t="s">
        <v>872</v>
      </c>
      <c r="AH306" s="108" t="s">
        <v>58</v>
      </c>
      <c r="AI306" s="128" t="s">
        <v>59</v>
      </c>
      <c r="AJ306" s="129" t="s">
        <v>89</v>
      </c>
      <c r="AK306" s="129">
        <v>5</v>
      </c>
      <c r="AL306" s="3" t="s">
        <v>362</v>
      </c>
      <c r="AM306" s="117">
        <v>2</v>
      </c>
      <c r="AP306" s="129" t="s">
        <v>305</v>
      </c>
      <c r="AR306" s="128" t="s">
        <v>67</v>
      </c>
      <c r="AS306" s="129" t="s">
        <v>74</v>
      </c>
      <c r="BC306" s="129" t="s">
        <v>38</v>
      </c>
      <c r="BF306" s="111">
        <f t="shared" si="248"/>
        <v>79</v>
      </c>
      <c r="BG306" s="111">
        <f t="shared" si="242"/>
        <v>79</v>
      </c>
      <c r="BH306" s="111">
        <f t="shared" si="212"/>
        <v>79</v>
      </c>
      <c r="BI306" s="111">
        <f t="shared" si="213"/>
        <v>41.557377049180324</v>
      </c>
      <c r="BJ306" s="129">
        <f t="shared" si="219"/>
        <v>0</v>
      </c>
      <c r="BK306" s="129">
        <f t="shared" si="214"/>
        <v>0</v>
      </c>
      <c r="BL306" s="129" t="str">
        <f t="shared" si="215"/>
        <v>CONVICTION</v>
      </c>
      <c r="BM306" s="129" t="str">
        <f t="shared" si="220"/>
        <v>NONE</v>
      </c>
      <c r="BN306" s="129" t="s">
        <v>566</v>
      </c>
      <c r="BP306" s="137" t="str">
        <f t="shared" si="221"/>
        <v>CONVICTION</v>
      </c>
      <c r="BQ306" s="128" t="str">
        <f t="shared" si="222"/>
        <v>Y</v>
      </c>
      <c r="BR306" s="129" t="str">
        <f t="shared" si="223"/>
        <v>DETAINED</v>
      </c>
      <c r="BS306" s="129" t="str">
        <f t="shared" si="224"/>
        <v>DISPOSED</v>
      </c>
      <c r="BT306" s="129" t="str">
        <f t="shared" si="225"/>
        <v>Y</v>
      </c>
      <c r="BU306" s="109">
        <f t="shared" si="226"/>
        <v>1</v>
      </c>
      <c r="BV306" s="109">
        <f t="shared" si="227"/>
        <v>1</v>
      </c>
      <c r="BW306" s="109">
        <f t="shared" si="237"/>
        <v>0</v>
      </c>
      <c r="BX306" s="111">
        <f t="shared" si="228"/>
        <v>0</v>
      </c>
      <c r="BY306" s="129">
        <f t="shared" si="229"/>
        <v>-79</v>
      </c>
      <c r="BZ306" s="111">
        <f t="shared" si="230"/>
        <v>0</v>
      </c>
      <c r="CA306" s="138">
        <f t="shared" si="231"/>
        <v>79</v>
      </c>
      <c r="CB306" s="111" t="e">
        <f t="shared" si="249"/>
        <v>#VALUE!</v>
      </c>
      <c r="CC306" s="129">
        <f t="shared" si="250"/>
        <v>79</v>
      </c>
      <c r="CD306" s="129">
        <f t="shared" si="251"/>
        <v>0</v>
      </c>
      <c r="CE306" s="129">
        <f t="shared" si="232"/>
        <v>0</v>
      </c>
      <c r="CG306" s="129" t="str">
        <f t="shared" si="233"/>
        <v>Y</v>
      </c>
      <c r="CI306" s="129" t="str">
        <f t="shared" si="234"/>
        <v>61-90 DAYS</v>
      </c>
      <c r="CJ306" s="137">
        <f t="shared" si="235"/>
        <v>4</v>
      </c>
      <c r="CK306" s="129" t="str">
        <f t="shared" si="236"/>
        <v>Booked</v>
      </c>
    </row>
    <row r="307" spans="1:89" ht="15.75" customHeight="1" x14ac:dyDescent="0.25">
      <c r="A307" s="111">
        <v>1673</v>
      </c>
      <c r="B307" s="128" t="str">
        <f t="shared" si="216"/>
        <v>N</v>
      </c>
      <c r="C307" s="128" t="str">
        <f t="shared" si="217"/>
        <v>N</v>
      </c>
      <c r="D307" s="117">
        <v>936709</v>
      </c>
      <c r="E307" s="135">
        <f t="shared" si="218"/>
        <v>1</v>
      </c>
      <c r="F307" s="124">
        <v>40970</v>
      </c>
      <c r="G307" s="125">
        <v>41509</v>
      </c>
      <c r="H307" s="117">
        <v>936709</v>
      </c>
      <c r="I307" s="124">
        <v>40970</v>
      </c>
      <c r="J307" s="124">
        <v>40972</v>
      </c>
      <c r="K307" s="126">
        <v>10000</v>
      </c>
      <c r="L307" s="127" t="s">
        <v>570</v>
      </c>
      <c r="M307" s="125">
        <v>40972</v>
      </c>
      <c r="N307" s="129" t="str">
        <f>IF(M307&gt;1/1/1,"Y","N")</f>
        <v>Y</v>
      </c>
      <c r="O307" s="128" t="s">
        <v>76</v>
      </c>
      <c r="P307" s="116" t="s">
        <v>55</v>
      </c>
      <c r="Q307" s="111">
        <f t="shared" si="247"/>
        <v>3</v>
      </c>
      <c r="R307" s="111">
        <f t="shared" si="211"/>
        <v>540</v>
      </c>
      <c r="S307" s="129">
        <v>0</v>
      </c>
      <c r="T307" s="129">
        <v>0</v>
      </c>
      <c r="W307" s="111"/>
      <c r="AC307" s="130"/>
      <c r="AD307" s="130">
        <v>25969</v>
      </c>
      <c r="AE307" s="128" t="s">
        <v>32</v>
      </c>
      <c r="AF307" s="128" t="s">
        <v>69</v>
      </c>
      <c r="AG307" s="128" t="s">
        <v>874</v>
      </c>
      <c r="AH307" s="108" t="s">
        <v>31</v>
      </c>
      <c r="AI307" s="128" t="s">
        <v>65</v>
      </c>
      <c r="AJ307" s="116" t="s">
        <v>55</v>
      </c>
      <c r="AK307" s="129">
        <v>15</v>
      </c>
      <c r="AL307" s="3" t="s">
        <v>55</v>
      </c>
      <c r="AP307" s="129" t="s">
        <v>191</v>
      </c>
      <c r="AR307" s="128" t="s">
        <v>50</v>
      </c>
      <c r="AS307" s="129" t="s">
        <v>82</v>
      </c>
      <c r="BC307" s="129" t="s">
        <v>52</v>
      </c>
      <c r="BF307" s="111">
        <f t="shared" si="248"/>
        <v>3</v>
      </c>
      <c r="BG307" s="111">
        <f t="shared" si="242"/>
        <v>540</v>
      </c>
      <c r="BH307" s="111">
        <f t="shared" si="212"/>
        <v>540</v>
      </c>
      <c r="BI307" s="111">
        <f t="shared" si="213"/>
        <v>40.986338797814206</v>
      </c>
      <c r="BJ307" s="129">
        <f>(G307-J307)+(M307-G307)</f>
        <v>0</v>
      </c>
      <c r="BK307" s="129">
        <f t="shared" si="214"/>
        <v>-537</v>
      </c>
      <c r="BL307" s="129" t="str">
        <f t="shared" si="215"/>
        <v>NO CONVICTION</v>
      </c>
      <c r="BM307" s="129" t="s">
        <v>76</v>
      </c>
      <c r="BN307" s="129" t="s">
        <v>566</v>
      </c>
      <c r="BP307" s="137" t="str">
        <f t="shared" si="221"/>
        <v>NO CONVICTION</v>
      </c>
      <c r="BQ307" s="128" t="str">
        <f t="shared" si="222"/>
        <v>Y</v>
      </c>
      <c r="BR307" s="129" t="str">
        <f t="shared" si="223"/>
        <v>ON BOND</v>
      </c>
      <c r="BS307" s="129" t="str">
        <f t="shared" si="224"/>
        <v>DISPOSED</v>
      </c>
      <c r="BT307" s="129" t="str">
        <f t="shared" si="225"/>
        <v>N</v>
      </c>
      <c r="BU307" s="109">
        <f>IFERROR(Q307/R307,BR307)</f>
        <v>5.5555555555555558E-3</v>
      </c>
      <c r="BV307" s="109">
        <f t="shared" si="227"/>
        <v>5.5555555555555558E-3</v>
      </c>
      <c r="BW307" s="109">
        <f t="shared" si="237"/>
        <v>0</v>
      </c>
      <c r="BX307" s="111">
        <f t="shared" si="228"/>
        <v>0</v>
      </c>
      <c r="BY307" s="129">
        <f t="shared" si="229"/>
        <v>-3</v>
      </c>
      <c r="BZ307" s="111">
        <f t="shared" si="230"/>
        <v>0</v>
      </c>
      <c r="CA307" s="138">
        <f t="shared" si="231"/>
        <v>3</v>
      </c>
      <c r="CB307" s="111" t="e">
        <f t="shared" si="249"/>
        <v>#VALUE!</v>
      </c>
      <c r="CC307" s="129">
        <f>M307-I307+1</f>
        <v>3</v>
      </c>
      <c r="CD307" s="111">
        <f>CC307-BF307</f>
        <v>0</v>
      </c>
      <c r="CE307" s="129">
        <f t="shared" si="232"/>
        <v>537</v>
      </c>
      <c r="CG307" s="129" t="str">
        <f t="shared" si="233"/>
        <v>N</v>
      </c>
      <c r="CI307" s="129" t="str">
        <f t="shared" si="234"/>
        <v>0-10 DAYS</v>
      </c>
      <c r="CJ307" s="137">
        <f t="shared" si="235"/>
        <v>1</v>
      </c>
      <c r="CK307" s="129" t="str">
        <f t="shared" si="236"/>
        <v>Booked</v>
      </c>
    </row>
    <row r="308" spans="1:89" ht="15.75" customHeight="1" x14ac:dyDescent="0.25">
      <c r="A308" s="111">
        <v>162</v>
      </c>
      <c r="B308" s="128" t="str">
        <f t="shared" si="216"/>
        <v>N</v>
      </c>
      <c r="C308" s="128" t="str">
        <f t="shared" si="217"/>
        <v>N</v>
      </c>
      <c r="D308" s="117">
        <v>937809</v>
      </c>
      <c r="E308" s="135">
        <f t="shared" si="218"/>
        <v>6</v>
      </c>
      <c r="F308" s="124">
        <v>40915</v>
      </c>
      <c r="G308" s="125">
        <v>40920</v>
      </c>
      <c r="H308" s="117">
        <v>937809</v>
      </c>
      <c r="I308" s="124">
        <v>40916</v>
      </c>
      <c r="J308" s="124">
        <v>40920</v>
      </c>
      <c r="K308" s="126">
        <v>20000</v>
      </c>
      <c r="L308" s="127" t="s">
        <v>571</v>
      </c>
      <c r="N308" s="129" t="str">
        <f>IF(M308&gt;1/1/1,"Y","N")</f>
        <v>N</v>
      </c>
      <c r="O308" s="128" t="s">
        <v>917</v>
      </c>
      <c r="P308" s="129" t="s">
        <v>39</v>
      </c>
      <c r="Q308" s="111">
        <f t="shared" si="247"/>
        <v>5</v>
      </c>
      <c r="R308" s="111">
        <f t="shared" si="211"/>
        <v>6</v>
      </c>
      <c r="S308" s="129">
        <v>2</v>
      </c>
      <c r="T308" s="129">
        <v>1</v>
      </c>
      <c r="U308" s="129">
        <v>2</v>
      </c>
      <c r="W308" s="111"/>
      <c r="AC308" s="130"/>
      <c r="AD308" s="130">
        <v>21928</v>
      </c>
      <c r="AE308" s="128" t="s">
        <v>32</v>
      </c>
      <c r="AF308" s="128" t="s">
        <v>33</v>
      </c>
      <c r="AG308" s="128" t="s">
        <v>872</v>
      </c>
      <c r="AH308" s="108" t="s">
        <v>58</v>
      </c>
      <c r="AI308" s="128" t="s">
        <v>100</v>
      </c>
      <c r="AJ308" s="129" t="s">
        <v>89</v>
      </c>
      <c r="AK308" s="129">
        <v>2</v>
      </c>
      <c r="AL308" s="3" t="s">
        <v>362</v>
      </c>
      <c r="AM308" s="117">
        <v>10</v>
      </c>
      <c r="AP308" s="129" t="s">
        <v>131</v>
      </c>
      <c r="AR308" s="128" t="s">
        <v>50</v>
      </c>
      <c r="AS308" s="129" t="s">
        <v>106</v>
      </c>
      <c r="BC308" s="129" t="s">
        <v>38</v>
      </c>
      <c r="BF308" s="111">
        <f t="shared" si="248"/>
        <v>5</v>
      </c>
      <c r="BG308" s="111">
        <f t="shared" si="242"/>
        <v>5</v>
      </c>
      <c r="BH308" s="111">
        <f t="shared" si="212"/>
        <v>6</v>
      </c>
      <c r="BI308" s="111">
        <f t="shared" si="213"/>
        <v>51.877049180327866</v>
      </c>
      <c r="BJ308" s="129">
        <f t="shared" si="219"/>
        <v>0</v>
      </c>
      <c r="BK308" s="129">
        <f t="shared" si="214"/>
        <v>0</v>
      </c>
      <c r="BL308" s="129" t="str">
        <f t="shared" si="215"/>
        <v>CONVICTION</v>
      </c>
      <c r="BM308" s="129" t="str">
        <f t="shared" si="220"/>
        <v>NONE</v>
      </c>
      <c r="BN308" s="129" t="s">
        <v>566</v>
      </c>
      <c r="BP308" s="137" t="str">
        <f t="shared" si="221"/>
        <v>CONVICTION</v>
      </c>
      <c r="BQ308" s="128" t="str">
        <f t="shared" si="222"/>
        <v>Y</v>
      </c>
      <c r="BR308" s="129" t="str">
        <f t="shared" si="223"/>
        <v>DETAINED</v>
      </c>
      <c r="BS308" s="129" t="str">
        <f t="shared" si="224"/>
        <v>DISPOSED</v>
      </c>
      <c r="BT308" s="129" t="str">
        <f t="shared" si="225"/>
        <v>Y</v>
      </c>
      <c r="BU308" s="109">
        <f t="shared" si="226"/>
        <v>0.83333333333333337</v>
      </c>
      <c r="BV308" s="109">
        <f t="shared" si="227"/>
        <v>1</v>
      </c>
      <c r="BW308" s="109">
        <f t="shared" si="237"/>
        <v>0.16666666666666663</v>
      </c>
      <c r="BX308" s="111">
        <f t="shared" si="228"/>
        <v>0</v>
      </c>
      <c r="BY308" s="129">
        <f t="shared" si="229"/>
        <v>-5</v>
      </c>
      <c r="BZ308" s="111">
        <f t="shared" si="230"/>
        <v>0</v>
      </c>
      <c r="CA308" s="138">
        <f t="shared" si="231"/>
        <v>5</v>
      </c>
      <c r="CB308" s="111" t="e">
        <f t="shared" si="249"/>
        <v>#VALUE!</v>
      </c>
      <c r="CC308" s="129">
        <f t="shared" ref="CC308:CC313" si="252">G308-I308+1</f>
        <v>5</v>
      </c>
      <c r="CD308" s="129">
        <f t="shared" ref="CD308:CD313" si="253">G308-J308</f>
        <v>0</v>
      </c>
      <c r="CE308" s="129">
        <f t="shared" si="232"/>
        <v>0</v>
      </c>
      <c r="CG308" s="129" t="str">
        <f t="shared" si="233"/>
        <v>Y</v>
      </c>
      <c r="CI308" s="129" t="str">
        <f t="shared" si="234"/>
        <v>0-10 DAYS</v>
      </c>
      <c r="CJ308" s="137">
        <f t="shared" si="235"/>
        <v>1</v>
      </c>
      <c r="CK308" s="129" t="str">
        <f t="shared" si="236"/>
        <v>Booked</v>
      </c>
    </row>
    <row r="309" spans="1:89" ht="15" customHeight="1" x14ac:dyDescent="0.25">
      <c r="A309" s="111">
        <v>1781</v>
      </c>
      <c r="B309" s="128" t="str">
        <f t="shared" si="216"/>
        <v>N</v>
      </c>
      <c r="C309" s="128" t="str">
        <f t="shared" si="217"/>
        <v>N</v>
      </c>
      <c r="D309" s="117">
        <v>938158</v>
      </c>
      <c r="E309" s="135">
        <f t="shared" si="218"/>
        <v>1</v>
      </c>
      <c r="F309" s="124">
        <v>40975</v>
      </c>
      <c r="G309" s="125">
        <v>40977</v>
      </c>
      <c r="H309" s="117">
        <v>938158</v>
      </c>
      <c r="I309" s="124">
        <v>40975</v>
      </c>
      <c r="J309" s="124">
        <v>40977</v>
      </c>
      <c r="K309" s="126">
        <v>10000</v>
      </c>
      <c r="L309" s="127" t="s">
        <v>570</v>
      </c>
      <c r="N309" s="129" t="str">
        <f>IF(M309&gt;1/1/1,"Y","N")</f>
        <v>N</v>
      </c>
      <c r="O309" s="128" t="s">
        <v>917</v>
      </c>
      <c r="P309" s="129" t="s">
        <v>55</v>
      </c>
      <c r="Q309" s="111">
        <f t="shared" si="247"/>
        <v>3</v>
      </c>
      <c r="R309" s="111">
        <f t="shared" si="211"/>
        <v>3</v>
      </c>
      <c r="S309" s="129">
        <v>3</v>
      </c>
      <c r="T309" s="129">
        <v>2</v>
      </c>
      <c r="U309" s="129">
        <v>2</v>
      </c>
      <c r="W309" s="111"/>
      <c r="AC309" s="130"/>
      <c r="AD309" s="130">
        <v>22603</v>
      </c>
      <c r="AE309" s="128" t="s">
        <v>46</v>
      </c>
      <c r="AF309" s="128" t="s">
        <v>33</v>
      </c>
      <c r="AG309" s="128" t="s">
        <v>872</v>
      </c>
      <c r="AH309" s="108" t="s">
        <v>31</v>
      </c>
      <c r="AI309" s="128" t="s">
        <v>90</v>
      </c>
      <c r="AJ309" s="129" t="s">
        <v>55</v>
      </c>
      <c r="AK309" s="129">
        <v>1</v>
      </c>
      <c r="AL309" s="3" t="s">
        <v>55</v>
      </c>
      <c r="AP309" s="129" t="s">
        <v>136</v>
      </c>
      <c r="AR309" s="128" t="s">
        <v>67</v>
      </c>
      <c r="AS309" s="129" t="s">
        <v>64</v>
      </c>
      <c r="BC309" s="129" t="s">
        <v>38</v>
      </c>
      <c r="BF309" s="111">
        <f t="shared" si="248"/>
        <v>3</v>
      </c>
      <c r="BG309" s="111">
        <f t="shared" si="242"/>
        <v>3</v>
      </c>
      <c r="BH309" s="111">
        <f t="shared" si="212"/>
        <v>3</v>
      </c>
      <c r="BI309" s="111">
        <f t="shared" si="213"/>
        <v>50.196721311475407</v>
      </c>
      <c r="BJ309" s="129">
        <f t="shared" si="219"/>
        <v>0</v>
      </c>
      <c r="BK309" s="129">
        <f t="shared" si="214"/>
        <v>0</v>
      </c>
      <c r="BL309" s="129" t="str">
        <f t="shared" si="215"/>
        <v>NO CONVICTION</v>
      </c>
      <c r="BM309" s="129" t="str">
        <f t="shared" si="220"/>
        <v>NONE</v>
      </c>
      <c r="BN309" s="129" t="s">
        <v>566</v>
      </c>
      <c r="BP309" s="137" t="str">
        <f t="shared" si="221"/>
        <v>NO CONVICTION</v>
      </c>
      <c r="BQ309" s="128" t="str">
        <f t="shared" si="222"/>
        <v>Y</v>
      </c>
      <c r="BR309" s="129" t="str">
        <f t="shared" si="223"/>
        <v>DETAINED</v>
      </c>
      <c r="BS309" s="129" t="str">
        <f t="shared" si="224"/>
        <v>DISPOSED</v>
      </c>
      <c r="BT309" s="129" t="str">
        <f t="shared" si="225"/>
        <v>Y</v>
      </c>
      <c r="BU309" s="109">
        <f>IFERROR(Q309/R309,BR309)</f>
        <v>1</v>
      </c>
      <c r="BV309" s="109">
        <f t="shared" si="227"/>
        <v>1</v>
      </c>
      <c r="BW309" s="109">
        <f t="shared" si="237"/>
        <v>0</v>
      </c>
      <c r="BX309" s="111">
        <f t="shared" si="228"/>
        <v>0</v>
      </c>
      <c r="BY309" s="129">
        <f t="shared" si="229"/>
        <v>-3</v>
      </c>
      <c r="BZ309" s="111">
        <f t="shared" si="230"/>
        <v>0</v>
      </c>
      <c r="CA309" s="138">
        <f t="shared" si="231"/>
        <v>3</v>
      </c>
      <c r="CB309" s="111" t="e">
        <f t="shared" si="249"/>
        <v>#VALUE!</v>
      </c>
      <c r="CC309" s="129">
        <f t="shared" si="252"/>
        <v>3</v>
      </c>
      <c r="CD309" s="129">
        <f t="shared" si="253"/>
        <v>0</v>
      </c>
      <c r="CE309" s="129">
        <f t="shared" si="232"/>
        <v>0</v>
      </c>
      <c r="CG309" s="129" t="str">
        <f t="shared" si="233"/>
        <v>Y</v>
      </c>
      <c r="CI309" s="129" t="str">
        <f t="shared" si="234"/>
        <v>0-10 DAYS</v>
      </c>
      <c r="CJ309" s="137">
        <f t="shared" si="235"/>
        <v>1</v>
      </c>
      <c r="CK309" s="129" t="str">
        <f t="shared" si="236"/>
        <v>Booked</v>
      </c>
    </row>
    <row r="310" spans="1:89" ht="15.75" customHeight="1" x14ac:dyDescent="0.25">
      <c r="A310" s="111">
        <v>738</v>
      </c>
      <c r="B310" s="128" t="str">
        <f t="shared" si="216"/>
        <v>N</v>
      </c>
      <c r="C310" s="128" t="str">
        <f t="shared" si="217"/>
        <v>N</v>
      </c>
      <c r="D310" s="117">
        <v>938963</v>
      </c>
      <c r="E310" s="135">
        <f t="shared" si="218"/>
        <v>5</v>
      </c>
      <c r="F310" s="124">
        <v>40927</v>
      </c>
      <c r="G310" s="125">
        <v>41009</v>
      </c>
      <c r="H310" s="117">
        <v>938963</v>
      </c>
      <c r="I310" s="124">
        <v>40953</v>
      </c>
      <c r="J310" s="124">
        <v>41009</v>
      </c>
      <c r="K310" s="126" t="s">
        <v>564</v>
      </c>
      <c r="L310" s="127" t="s">
        <v>564</v>
      </c>
      <c r="N310" s="129" t="s">
        <v>566</v>
      </c>
      <c r="O310" s="128" t="s">
        <v>917</v>
      </c>
      <c r="P310" s="129" t="s">
        <v>39</v>
      </c>
      <c r="Q310" s="111">
        <f t="shared" si="247"/>
        <v>57</v>
      </c>
      <c r="R310" s="111">
        <f t="shared" si="211"/>
        <v>83</v>
      </c>
      <c r="S310" s="129">
        <v>13</v>
      </c>
      <c r="T310" s="129">
        <v>24</v>
      </c>
      <c r="U310" s="129">
        <v>10</v>
      </c>
      <c r="W310" s="111"/>
      <c r="AC310" s="130"/>
      <c r="AD310" s="130">
        <v>20713</v>
      </c>
      <c r="AE310" s="128" t="s">
        <v>32</v>
      </c>
      <c r="AF310" s="128" t="s">
        <v>33</v>
      </c>
      <c r="AG310" s="128" t="s">
        <v>872</v>
      </c>
      <c r="AH310" s="108" t="s">
        <v>31</v>
      </c>
      <c r="AI310" s="128" t="s">
        <v>83</v>
      </c>
      <c r="AJ310" s="129" t="s">
        <v>89</v>
      </c>
      <c r="AK310" s="129">
        <v>4</v>
      </c>
      <c r="AL310" s="3" t="s">
        <v>992</v>
      </c>
      <c r="AN310" s="117">
        <v>9</v>
      </c>
      <c r="AP310" s="129" t="s">
        <v>60</v>
      </c>
      <c r="AR310" s="128" t="s">
        <v>44</v>
      </c>
      <c r="AS310" s="129" t="s">
        <v>61</v>
      </c>
      <c r="BC310" s="129" t="s">
        <v>38</v>
      </c>
      <c r="BF310" s="111">
        <f t="shared" si="248"/>
        <v>57</v>
      </c>
      <c r="BG310" s="111">
        <f t="shared" si="242"/>
        <v>57</v>
      </c>
      <c r="BH310" s="111">
        <f t="shared" si="212"/>
        <v>83</v>
      </c>
      <c r="BI310" s="111">
        <f t="shared" si="213"/>
        <v>55.229508196721312</v>
      </c>
      <c r="BJ310" s="129">
        <f t="shared" si="219"/>
        <v>0</v>
      </c>
      <c r="BK310" s="129">
        <f t="shared" si="214"/>
        <v>0</v>
      </c>
      <c r="BL310" s="129" t="str">
        <f t="shared" si="215"/>
        <v>CONVICTION</v>
      </c>
      <c r="BM310" s="129" t="str">
        <f t="shared" si="220"/>
        <v>NONE</v>
      </c>
      <c r="BN310" s="129" t="s">
        <v>566</v>
      </c>
      <c r="BP310" s="137" t="str">
        <f t="shared" si="221"/>
        <v>CONVICTION</v>
      </c>
      <c r="BQ310" s="128" t="str">
        <f t="shared" si="222"/>
        <v>Y</v>
      </c>
      <c r="BR310" s="129" t="str">
        <f t="shared" si="223"/>
        <v>DETAINED</v>
      </c>
      <c r="BS310" s="129" t="str">
        <f t="shared" si="224"/>
        <v>DISPOSED</v>
      </c>
      <c r="BT310" s="129" t="str">
        <f t="shared" si="225"/>
        <v>Y</v>
      </c>
      <c r="BU310" s="109">
        <f t="shared" si="226"/>
        <v>0.68674698795180722</v>
      </c>
      <c r="BV310" s="109">
        <f t="shared" si="227"/>
        <v>1</v>
      </c>
      <c r="BW310" s="109">
        <f t="shared" si="237"/>
        <v>0.31325301204819278</v>
      </c>
      <c r="BX310" s="111">
        <f t="shared" si="228"/>
        <v>0</v>
      </c>
      <c r="BY310" s="129">
        <f t="shared" si="229"/>
        <v>-57</v>
      </c>
      <c r="BZ310" s="111">
        <f t="shared" si="230"/>
        <v>0</v>
      </c>
      <c r="CA310" s="138">
        <f t="shared" si="231"/>
        <v>57</v>
      </c>
      <c r="CB310" s="111" t="e">
        <f t="shared" si="249"/>
        <v>#VALUE!</v>
      </c>
      <c r="CC310" s="129">
        <f t="shared" si="252"/>
        <v>57</v>
      </c>
      <c r="CD310" s="129">
        <f t="shared" si="253"/>
        <v>0</v>
      </c>
      <c r="CE310" s="129">
        <f t="shared" si="232"/>
        <v>0</v>
      </c>
      <c r="CG310" s="129" t="str">
        <f t="shared" si="233"/>
        <v>Y</v>
      </c>
      <c r="CI310" s="129" t="str">
        <f t="shared" si="234"/>
        <v>31-60 DAYS</v>
      </c>
      <c r="CJ310" s="137">
        <f t="shared" si="235"/>
        <v>3</v>
      </c>
      <c r="CK310" s="129" t="str">
        <f t="shared" si="236"/>
        <v>Booked</v>
      </c>
    </row>
    <row r="311" spans="1:89" ht="15" customHeight="1" x14ac:dyDescent="0.25">
      <c r="A311" s="111">
        <v>398</v>
      </c>
      <c r="B311" s="128" t="str">
        <f t="shared" si="216"/>
        <v>N</v>
      </c>
      <c r="C311" s="128" t="str">
        <f t="shared" si="217"/>
        <v>N</v>
      </c>
      <c r="D311" s="117">
        <v>945291</v>
      </c>
      <c r="E311" s="135">
        <f t="shared" si="218"/>
        <v>6</v>
      </c>
      <c r="F311" s="124">
        <v>40925</v>
      </c>
      <c r="G311" s="125">
        <v>41291</v>
      </c>
      <c r="H311" s="117">
        <v>945291</v>
      </c>
      <c r="I311" s="124">
        <v>40926</v>
      </c>
      <c r="J311" s="125">
        <v>41291</v>
      </c>
      <c r="K311" s="126" t="s">
        <v>564</v>
      </c>
      <c r="L311" s="127" t="s">
        <v>564</v>
      </c>
      <c r="N311" s="129" t="s">
        <v>566</v>
      </c>
      <c r="O311" s="128" t="s">
        <v>917</v>
      </c>
      <c r="P311" s="129" t="s">
        <v>39</v>
      </c>
      <c r="Q311" s="111">
        <f t="shared" si="247"/>
        <v>366</v>
      </c>
      <c r="R311" s="111">
        <f t="shared" si="211"/>
        <v>367</v>
      </c>
      <c r="S311" s="129">
        <v>3</v>
      </c>
      <c r="T311" s="129">
        <v>4</v>
      </c>
      <c r="U311" s="129">
        <v>2</v>
      </c>
      <c r="W311" s="111"/>
      <c r="AC311" s="130"/>
      <c r="AD311" s="130">
        <v>24982</v>
      </c>
      <c r="AE311" s="128" t="s">
        <v>32</v>
      </c>
      <c r="AF311" s="128" t="s">
        <v>33</v>
      </c>
      <c r="AG311" s="128" t="s">
        <v>872</v>
      </c>
      <c r="AH311" s="108" t="s">
        <v>58</v>
      </c>
      <c r="AI311" s="128" t="s">
        <v>47</v>
      </c>
      <c r="AJ311" s="129" t="s">
        <v>89</v>
      </c>
      <c r="AK311" s="129">
        <v>14</v>
      </c>
      <c r="AL311" s="3" t="s">
        <v>362</v>
      </c>
      <c r="AM311" s="117">
        <v>2</v>
      </c>
      <c r="AP311" s="129" t="s">
        <v>109</v>
      </c>
      <c r="AR311" s="128" t="s">
        <v>67</v>
      </c>
      <c r="AS311" s="129" t="s">
        <v>61</v>
      </c>
      <c r="BC311" s="129" t="s">
        <v>52</v>
      </c>
      <c r="BF311" s="111">
        <f t="shared" si="248"/>
        <v>366</v>
      </c>
      <c r="BG311" s="111">
        <f t="shared" si="242"/>
        <v>366</v>
      </c>
      <c r="BH311" s="111">
        <f t="shared" si="212"/>
        <v>367</v>
      </c>
      <c r="BI311" s="111">
        <f t="shared" si="213"/>
        <v>43.560109289617486</v>
      </c>
      <c r="BJ311" s="129">
        <f t="shared" si="219"/>
        <v>0</v>
      </c>
      <c r="BK311" s="129">
        <f t="shared" si="214"/>
        <v>0</v>
      </c>
      <c r="BL311" s="129" t="str">
        <f t="shared" si="215"/>
        <v>CONVICTION</v>
      </c>
      <c r="BM311" s="129" t="str">
        <f t="shared" si="220"/>
        <v>NONE</v>
      </c>
      <c r="BN311" s="129" t="s">
        <v>566</v>
      </c>
      <c r="BP311" s="137" t="str">
        <f t="shared" si="221"/>
        <v>CONVICTION</v>
      </c>
      <c r="BQ311" s="128" t="str">
        <f t="shared" si="222"/>
        <v>Y</v>
      </c>
      <c r="BR311" s="129" t="str">
        <f t="shared" si="223"/>
        <v>DETAINED</v>
      </c>
      <c r="BS311" s="129" t="str">
        <f t="shared" si="224"/>
        <v>DISPOSED</v>
      </c>
      <c r="BT311" s="129" t="str">
        <f t="shared" si="225"/>
        <v>Y</v>
      </c>
      <c r="BU311" s="109">
        <f t="shared" si="226"/>
        <v>0.99727520435967298</v>
      </c>
      <c r="BV311" s="109">
        <f t="shared" si="227"/>
        <v>1</v>
      </c>
      <c r="BW311" s="109">
        <f t="shared" si="237"/>
        <v>2.7247956403270157E-3</v>
      </c>
      <c r="BX311" s="111">
        <f t="shared" si="228"/>
        <v>0</v>
      </c>
      <c r="BY311" s="129">
        <f t="shared" si="229"/>
        <v>-366</v>
      </c>
      <c r="BZ311" s="111">
        <f t="shared" si="230"/>
        <v>0</v>
      </c>
      <c r="CA311" s="138">
        <f t="shared" si="231"/>
        <v>366</v>
      </c>
      <c r="CB311" s="111" t="e">
        <f t="shared" si="249"/>
        <v>#VALUE!</v>
      </c>
      <c r="CC311" s="129">
        <f t="shared" si="252"/>
        <v>366</v>
      </c>
      <c r="CD311" s="129">
        <f t="shared" si="253"/>
        <v>0</v>
      </c>
      <c r="CE311" s="129">
        <f t="shared" si="232"/>
        <v>0</v>
      </c>
      <c r="CG311" s="129" t="str">
        <f t="shared" si="233"/>
        <v>Y</v>
      </c>
      <c r="CI311" s="129" t="str">
        <f t="shared" si="234"/>
        <v xml:space="preserve"> &gt;1YRS&lt;2YRS</v>
      </c>
      <c r="CJ311" s="137">
        <f t="shared" si="235"/>
        <v>0</v>
      </c>
      <c r="CK311" s="129" t="str">
        <f t="shared" si="236"/>
        <v>Booked</v>
      </c>
    </row>
    <row r="312" spans="1:89" ht="15.75" customHeight="1" x14ac:dyDescent="0.25">
      <c r="A312" s="111">
        <v>44</v>
      </c>
      <c r="B312" s="128" t="str">
        <f t="shared" si="216"/>
        <v>N</v>
      </c>
      <c r="C312" s="128" t="str">
        <f t="shared" si="217"/>
        <v>N</v>
      </c>
      <c r="D312" s="117">
        <v>945332</v>
      </c>
      <c r="E312" s="135">
        <f t="shared" si="218"/>
        <v>6</v>
      </c>
      <c r="F312" s="124">
        <v>40911</v>
      </c>
      <c r="G312" s="125">
        <v>40913</v>
      </c>
      <c r="H312" s="117">
        <v>945332</v>
      </c>
      <c r="I312" s="124">
        <v>40911</v>
      </c>
      <c r="J312" s="124">
        <v>40913</v>
      </c>
      <c r="K312" s="126" t="s">
        <v>564</v>
      </c>
      <c r="L312" s="127" t="s">
        <v>564</v>
      </c>
      <c r="N312" s="129" t="s">
        <v>566</v>
      </c>
      <c r="O312" s="128" t="s">
        <v>917</v>
      </c>
      <c r="P312" s="129" t="s">
        <v>39</v>
      </c>
      <c r="Q312" s="111">
        <f t="shared" si="247"/>
        <v>3</v>
      </c>
      <c r="R312" s="111">
        <f t="shared" si="211"/>
        <v>3</v>
      </c>
      <c r="S312" s="129">
        <v>7</v>
      </c>
      <c r="T312" s="129">
        <v>1</v>
      </c>
      <c r="W312" s="111"/>
      <c r="AC312" s="130"/>
      <c r="AD312" s="130">
        <v>23681</v>
      </c>
      <c r="AE312" s="128" t="s">
        <v>32</v>
      </c>
      <c r="AF312" s="128" t="s">
        <v>69</v>
      </c>
      <c r="AG312" s="128" t="s">
        <v>874</v>
      </c>
      <c r="AH312" s="108" t="s">
        <v>58</v>
      </c>
      <c r="AI312" s="128" t="s">
        <v>59</v>
      </c>
      <c r="AJ312" s="129" t="s">
        <v>89</v>
      </c>
      <c r="AK312" s="129">
        <v>1</v>
      </c>
      <c r="AL312" s="3" t="s">
        <v>362</v>
      </c>
      <c r="AM312" s="117">
        <v>1</v>
      </c>
      <c r="AP312" s="129" t="s">
        <v>60</v>
      </c>
      <c r="AR312" s="128" t="s">
        <v>44</v>
      </c>
      <c r="AS312" s="129" t="s">
        <v>61</v>
      </c>
      <c r="BC312" s="129" t="s">
        <v>38</v>
      </c>
      <c r="BF312" s="111">
        <f t="shared" si="248"/>
        <v>3</v>
      </c>
      <c r="BG312" s="111">
        <f t="shared" si="242"/>
        <v>3</v>
      </c>
      <c r="BH312" s="111">
        <f t="shared" si="212"/>
        <v>3</v>
      </c>
      <c r="BI312" s="111">
        <f t="shared" si="213"/>
        <v>47.076502732240435</v>
      </c>
      <c r="BJ312" s="129">
        <f t="shared" si="219"/>
        <v>0</v>
      </c>
      <c r="BK312" s="129">
        <f t="shared" si="214"/>
        <v>0</v>
      </c>
      <c r="BL312" s="129" t="str">
        <f t="shared" si="215"/>
        <v>CONVICTION</v>
      </c>
      <c r="BM312" s="129" t="str">
        <f t="shared" si="220"/>
        <v>NONE</v>
      </c>
      <c r="BN312" s="129" t="s">
        <v>566</v>
      </c>
      <c r="BP312" s="137" t="str">
        <f t="shared" si="221"/>
        <v>CONVICTION</v>
      </c>
      <c r="BQ312" s="128" t="str">
        <f t="shared" si="222"/>
        <v>Y</v>
      </c>
      <c r="BR312" s="129" t="str">
        <f t="shared" si="223"/>
        <v>DETAINED</v>
      </c>
      <c r="BS312" s="129" t="str">
        <f t="shared" si="224"/>
        <v>DISPOSED</v>
      </c>
      <c r="BT312" s="129" t="str">
        <f t="shared" si="225"/>
        <v>Y</v>
      </c>
      <c r="BU312" s="109">
        <f t="shared" si="226"/>
        <v>1</v>
      </c>
      <c r="BV312" s="109">
        <f t="shared" si="227"/>
        <v>1</v>
      </c>
      <c r="BW312" s="109">
        <f t="shared" si="237"/>
        <v>0</v>
      </c>
      <c r="BX312" s="111">
        <f t="shared" si="228"/>
        <v>0</v>
      </c>
      <c r="BY312" s="129">
        <f t="shared" si="229"/>
        <v>-3</v>
      </c>
      <c r="BZ312" s="111">
        <f t="shared" si="230"/>
        <v>0</v>
      </c>
      <c r="CA312" s="138">
        <f t="shared" si="231"/>
        <v>3</v>
      </c>
      <c r="CB312" s="111" t="e">
        <f t="shared" si="249"/>
        <v>#VALUE!</v>
      </c>
      <c r="CC312" s="129">
        <f t="shared" si="252"/>
        <v>3</v>
      </c>
      <c r="CD312" s="129">
        <f t="shared" si="253"/>
        <v>0</v>
      </c>
      <c r="CE312" s="129">
        <f t="shared" si="232"/>
        <v>0</v>
      </c>
      <c r="CG312" s="129" t="str">
        <f t="shared" si="233"/>
        <v>Y</v>
      </c>
      <c r="CI312" s="129" t="str">
        <f t="shared" si="234"/>
        <v>0-10 DAYS</v>
      </c>
      <c r="CJ312" s="137">
        <f t="shared" si="235"/>
        <v>1</v>
      </c>
      <c r="CK312" s="129" t="str">
        <f t="shared" si="236"/>
        <v>Booked</v>
      </c>
    </row>
    <row r="313" spans="1:89" ht="15.75" customHeight="1" x14ac:dyDescent="0.25">
      <c r="A313" s="111">
        <v>16</v>
      </c>
      <c r="B313" s="128" t="str">
        <f t="shared" si="216"/>
        <v>N</v>
      </c>
      <c r="C313" s="128" t="str">
        <f t="shared" si="217"/>
        <v>N</v>
      </c>
      <c r="D313" s="117">
        <v>947602</v>
      </c>
      <c r="E313" s="135">
        <f t="shared" si="218"/>
        <v>5</v>
      </c>
      <c r="F313" s="124">
        <v>40910</v>
      </c>
      <c r="G313" s="125">
        <v>40913</v>
      </c>
      <c r="H313" s="117">
        <v>947602</v>
      </c>
      <c r="I313" s="124">
        <v>40910</v>
      </c>
      <c r="J313" s="124">
        <v>40913</v>
      </c>
      <c r="K313" s="126">
        <v>20000</v>
      </c>
      <c r="L313" s="127" t="s">
        <v>571</v>
      </c>
      <c r="N313" s="129" t="str">
        <f>IF(M313&gt;1/1/1,"Y","N")</f>
        <v>N</v>
      </c>
      <c r="O313" s="128" t="s">
        <v>917</v>
      </c>
      <c r="P313" s="129" t="s">
        <v>39</v>
      </c>
      <c r="Q313" s="111">
        <f t="shared" si="247"/>
        <v>4</v>
      </c>
      <c r="R313" s="111">
        <f t="shared" si="211"/>
        <v>4</v>
      </c>
      <c r="S313" s="129">
        <v>7</v>
      </c>
      <c r="T313" s="129">
        <v>8</v>
      </c>
      <c r="U313" s="129">
        <v>3</v>
      </c>
      <c r="W313" s="111"/>
      <c r="AC313" s="130"/>
      <c r="AD313" s="130">
        <v>22601</v>
      </c>
      <c r="AE313" s="128" t="s">
        <v>46</v>
      </c>
      <c r="AF313" s="128" t="s">
        <v>69</v>
      </c>
      <c r="AG313" s="128" t="s">
        <v>874</v>
      </c>
      <c r="AH313" s="108" t="s">
        <v>58</v>
      </c>
      <c r="AI313" s="128" t="s">
        <v>85</v>
      </c>
      <c r="AJ313" s="129" t="s">
        <v>89</v>
      </c>
      <c r="AK313" s="129">
        <v>1</v>
      </c>
      <c r="AL313" s="3" t="s">
        <v>992</v>
      </c>
      <c r="AN313" s="117">
        <v>6</v>
      </c>
      <c r="AP313" s="129" t="s">
        <v>60</v>
      </c>
      <c r="AR313" s="128" t="s">
        <v>44</v>
      </c>
      <c r="AS313" s="129" t="s">
        <v>61</v>
      </c>
      <c r="AT313" s="125" t="s">
        <v>86</v>
      </c>
      <c r="BC313" s="129" t="s">
        <v>38</v>
      </c>
      <c r="BD313" s="125"/>
      <c r="BF313" s="111">
        <f t="shared" si="248"/>
        <v>4</v>
      </c>
      <c r="BG313" s="111">
        <f t="shared" si="242"/>
        <v>4</v>
      </c>
      <c r="BH313" s="111">
        <f t="shared" si="212"/>
        <v>4</v>
      </c>
      <c r="BI313" s="111">
        <f t="shared" si="213"/>
        <v>50.024590163934427</v>
      </c>
      <c r="BJ313" s="129">
        <f t="shared" si="219"/>
        <v>0</v>
      </c>
      <c r="BK313" s="129">
        <f t="shared" si="214"/>
        <v>0</v>
      </c>
      <c r="BL313" s="129" t="str">
        <f t="shared" si="215"/>
        <v>CONVICTION</v>
      </c>
      <c r="BM313" s="129" t="str">
        <f t="shared" si="220"/>
        <v>NONE</v>
      </c>
      <c r="BN313" s="129" t="s">
        <v>566</v>
      </c>
      <c r="BP313" s="137" t="str">
        <f t="shared" si="221"/>
        <v>CONVICTION</v>
      </c>
      <c r="BQ313" s="128" t="str">
        <f t="shared" si="222"/>
        <v>Y</v>
      </c>
      <c r="BR313" s="129" t="str">
        <f t="shared" si="223"/>
        <v>DETAINED</v>
      </c>
      <c r="BS313" s="129" t="str">
        <f t="shared" si="224"/>
        <v>DISPOSED</v>
      </c>
      <c r="BT313" s="129" t="str">
        <f t="shared" si="225"/>
        <v>Y</v>
      </c>
      <c r="BU313" s="109">
        <f t="shared" si="226"/>
        <v>1</v>
      </c>
      <c r="BV313" s="109">
        <f t="shared" si="227"/>
        <v>1</v>
      </c>
      <c r="BW313" s="109">
        <f t="shared" si="237"/>
        <v>0</v>
      </c>
      <c r="BX313" s="111">
        <f t="shared" si="228"/>
        <v>0</v>
      </c>
      <c r="BY313" s="129">
        <f t="shared" si="229"/>
        <v>-4</v>
      </c>
      <c r="BZ313" s="111">
        <f t="shared" si="230"/>
        <v>0</v>
      </c>
      <c r="CA313" s="138">
        <f t="shared" si="231"/>
        <v>4</v>
      </c>
      <c r="CB313" s="111" t="e">
        <f t="shared" si="249"/>
        <v>#VALUE!</v>
      </c>
      <c r="CC313" s="129">
        <f t="shared" si="252"/>
        <v>4</v>
      </c>
      <c r="CD313" s="129">
        <f t="shared" si="253"/>
        <v>0</v>
      </c>
      <c r="CE313" s="129">
        <f t="shared" si="232"/>
        <v>0</v>
      </c>
      <c r="CG313" s="129" t="str">
        <f t="shared" si="233"/>
        <v>Y</v>
      </c>
      <c r="CI313" s="129" t="str">
        <f t="shared" si="234"/>
        <v>0-10 DAYS</v>
      </c>
      <c r="CJ313" s="137">
        <f t="shared" si="235"/>
        <v>1</v>
      </c>
      <c r="CK313" s="129" t="str">
        <f t="shared" si="236"/>
        <v>Booked</v>
      </c>
    </row>
    <row r="314" spans="1:89" ht="15" customHeight="1" x14ac:dyDescent="0.25">
      <c r="A314" s="111">
        <v>587</v>
      </c>
      <c r="B314" s="128" t="str">
        <f t="shared" si="216"/>
        <v>N</v>
      </c>
      <c r="C314" s="128" t="str">
        <f t="shared" si="217"/>
        <v>N</v>
      </c>
      <c r="D314" s="117">
        <v>950869</v>
      </c>
      <c r="E314" s="135">
        <f t="shared" si="218"/>
        <v>6</v>
      </c>
      <c r="F314" s="124">
        <v>40932</v>
      </c>
      <c r="G314" s="125">
        <v>41127</v>
      </c>
      <c r="H314" s="117">
        <v>950869</v>
      </c>
      <c r="I314" s="124" t="s">
        <v>562</v>
      </c>
      <c r="J314" s="124" t="s">
        <v>562</v>
      </c>
      <c r="K314" s="126">
        <v>15000</v>
      </c>
      <c r="L314" s="127" t="s">
        <v>571</v>
      </c>
      <c r="M314" s="125">
        <v>40939</v>
      </c>
      <c r="N314" s="129" t="str">
        <f>IF(M314&gt;1/1/1,"Y",IF(Q314="0","","N"))</f>
        <v>Y</v>
      </c>
      <c r="O314" s="128" t="s">
        <v>585</v>
      </c>
      <c r="P314" s="129" t="s">
        <v>39</v>
      </c>
      <c r="Q314" s="111">
        <f t="shared" si="247"/>
        <v>0</v>
      </c>
      <c r="R314" s="111">
        <f t="shared" si="211"/>
        <v>196</v>
      </c>
      <c r="S314" s="129">
        <v>7</v>
      </c>
      <c r="T314" s="129">
        <v>2</v>
      </c>
      <c r="U314" s="129">
        <v>7</v>
      </c>
      <c r="W314" s="111"/>
      <c r="AC314" s="130"/>
      <c r="AD314" s="130">
        <v>26027</v>
      </c>
      <c r="AE314" s="128" t="s">
        <v>32</v>
      </c>
      <c r="AF314" s="128" t="s">
        <v>33</v>
      </c>
      <c r="AG314" s="128" t="s">
        <v>872</v>
      </c>
      <c r="AH314" s="108" t="s">
        <v>31</v>
      </c>
      <c r="AI314" s="128" t="s">
        <v>70</v>
      </c>
      <c r="AJ314" s="129" t="s">
        <v>89</v>
      </c>
      <c r="AK314" s="129">
        <v>11</v>
      </c>
      <c r="AL314" s="3" t="s">
        <v>362</v>
      </c>
      <c r="AM314" s="117">
        <v>3</v>
      </c>
      <c r="AP314" s="129" t="s">
        <v>211</v>
      </c>
      <c r="AR314" s="128" t="s">
        <v>44</v>
      </c>
      <c r="AS314" s="129" t="s">
        <v>82</v>
      </c>
      <c r="BC314" s="129" t="s">
        <v>52</v>
      </c>
      <c r="BF314" s="111">
        <v>0</v>
      </c>
      <c r="BG314" s="111">
        <v>0</v>
      </c>
      <c r="BH314" s="111">
        <f t="shared" si="212"/>
        <v>196</v>
      </c>
      <c r="BI314" s="111">
        <f t="shared" si="213"/>
        <v>40.724043715846996</v>
      </c>
      <c r="BJ314" s="129" t="e">
        <f>(G314-J314)+(M314-G314)</f>
        <v>#VALUE!</v>
      </c>
      <c r="BK314" s="129" t="e">
        <f t="shared" si="214"/>
        <v>#VALUE!</v>
      </c>
      <c r="BL314" s="129" t="str">
        <f t="shared" si="215"/>
        <v>CONVICTION</v>
      </c>
      <c r="BM314" s="129" t="s">
        <v>76</v>
      </c>
      <c r="BN314" s="129" t="s">
        <v>88</v>
      </c>
      <c r="BP314" s="137" t="str">
        <f t="shared" si="221"/>
        <v>CONVICTION</v>
      </c>
      <c r="BQ314" s="128">
        <f t="shared" si="222"/>
        <v>0</v>
      </c>
      <c r="BR314" s="129" t="s">
        <v>575</v>
      </c>
      <c r="BS314" s="129" t="str">
        <f t="shared" si="224"/>
        <v>DISPOSED</v>
      </c>
      <c r="BT314" s="129" t="str">
        <f t="shared" si="225"/>
        <v>Y</v>
      </c>
      <c r="BU314" s="109">
        <f t="shared" si="226"/>
        <v>0</v>
      </c>
      <c r="BV314" s="109">
        <v>0</v>
      </c>
      <c r="BW314" s="109">
        <f t="shared" si="237"/>
        <v>0</v>
      </c>
      <c r="BX314" s="111">
        <f t="shared" si="228"/>
        <v>0</v>
      </c>
      <c r="BY314" s="129" t="e">
        <f t="shared" si="229"/>
        <v>#VALUE!</v>
      </c>
      <c r="BZ314" s="111" t="e">
        <f t="shared" si="230"/>
        <v>#VALUE!</v>
      </c>
      <c r="CA314" s="138" t="e">
        <f t="shared" si="231"/>
        <v>#VALUE!</v>
      </c>
      <c r="CB314" s="111">
        <v>0</v>
      </c>
      <c r="CC314" s="129">
        <v>0</v>
      </c>
      <c r="CD314" s="111">
        <f>CC314-BF314</f>
        <v>0</v>
      </c>
      <c r="CE314" s="129" t="e">
        <f t="shared" si="232"/>
        <v>#VALUE!</v>
      </c>
      <c r="CG314" s="129" t="str">
        <f t="shared" si="233"/>
        <v>Y</v>
      </c>
      <c r="CI314" s="129" t="str">
        <f t="shared" si="234"/>
        <v>0-10 DAYS</v>
      </c>
      <c r="CJ314" s="137">
        <f t="shared" si="235"/>
        <v>1</v>
      </c>
      <c r="CK314" s="129" t="str">
        <f t="shared" si="236"/>
        <v>Not Booked</v>
      </c>
    </row>
    <row r="315" spans="1:89" ht="15.75" customHeight="1" x14ac:dyDescent="0.25">
      <c r="A315" s="111">
        <v>468</v>
      </c>
      <c r="B315" s="128" t="str">
        <f t="shared" si="216"/>
        <v>N</v>
      </c>
      <c r="C315" s="128" t="str">
        <f t="shared" si="217"/>
        <v>N</v>
      </c>
      <c r="D315" s="117">
        <v>952023</v>
      </c>
      <c r="E315" s="135">
        <f t="shared" si="218"/>
        <v>6</v>
      </c>
      <c r="F315" s="124">
        <v>40927</v>
      </c>
      <c r="G315" s="125">
        <v>40997</v>
      </c>
      <c r="H315" s="117">
        <v>952023</v>
      </c>
      <c r="I315" s="124">
        <v>40928</v>
      </c>
      <c r="J315" s="124">
        <v>40997</v>
      </c>
      <c r="K315" s="126">
        <v>20000</v>
      </c>
      <c r="L315" s="127" t="s">
        <v>571</v>
      </c>
      <c r="N315" s="129" t="str">
        <f>IF(M315&gt;1/1/1,"Y","N")</f>
        <v>N</v>
      </c>
      <c r="O315" s="128" t="s">
        <v>917</v>
      </c>
      <c r="P315" s="129" t="s">
        <v>39</v>
      </c>
      <c r="Q315" s="111">
        <f t="shared" si="247"/>
        <v>70</v>
      </c>
      <c r="R315" s="111">
        <f t="shared" si="211"/>
        <v>71</v>
      </c>
      <c r="S315" s="129">
        <v>2</v>
      </c>
      <c r="T315" s="129">
        <v>1</v>
      </c>
      <c r="V315" s="117">
        <v>2</v>
      </c>
      <c r="W315" s="111"/>
      <c r="AC315" s="130"/>
      <c r="AD315" s="130">
        <v>22406</v>
      </c>
      <c r="AE315" s="128" t="s">
        <v>32</v>
      </c>
      <c r="AF315" s="128" t="s">
        <v>69</v>
      </c>
      <c r="AG315" s="128" t="s">
        <v>874</v>
      </c>
      <c r="AH315" s="108" t="s">
        <v>31</v>
      </c>
      <c r="AI315" s="128" t="s">
        <v>118</v>
      </c>
      <c r="AJ315" s="129" t="s">
        <v>89</v>
      </c>
      <c r="AK315" s="129">
        <v>3</v>
      </c>
      <c r="AL315" s="3" t="s">
        <v>362</v>
      </c>
      <c r="AM315" s="117">
        <v>2</v>
      </c>
      <c r="AP315" s="129" t="s">
        <v>49</v>
      </c>
      <c r="AR315" s="128" t="s">
        <v>50</v>
      </c>
      <c r="AS315" s="129" t="s">
        <v>45</v>
      </c>
      <c r="BC315" s="129" t="s">
        <v>38</v>
      </c>
      <c r="BF315" s="111">
        <f t="shared" ref="BF315:BF328" si="254">IF(J315&gt;1/1/1900,((J315+1)-I315),"STILL OPEN")</f>
        <v>70</v>
      </c>
      <c r="BG315" s="111">
        <f t="shared" ref="BG315:BG328" si="255">IF(G315&gt;1/1/1900,((G315+1)-I315),"STILL OPEN")</f>
        <v>70</v>
      </c>
      <c r="BH315" s="111">
        <f t="shared" si="212"/>
        <v>71</v>
      </c>
      <c r="BI315" s="111">
        <f t="shared" si="213"/>
        <v>50.603825136612024</v>
      </c>
      <c r="BJ315" s="129">
        <f t="shared" si="219"/>
        <v>0</v>
      </c>
      <c r="BK315" s="129">
        <f t="shared" si="214"/>
        <v>0</v>
      </c>
      <c r="BL315" s="129" t="str">
        <f t="shared" si="215"/>
        <v>CONVICTION</v>
      </c>
      <c r="BM315" s="129" t="str">
        <f t="shared" si="220"/>
        <v>NONE</v>
      </c>
      <c r="BN315" s="129" t="s">
        <v>566</v>
      </c>
      <c r="BP315" s="137" t="str">
        <f t="shared" si="221"/>
        <v>CONVICTION</v>
      </c>
      <c r="BQ315" s="128" t="str">
        <f t="shared" si="222"/>
        <v>Y</v>
      </c>
      <c r="BR315" s="129" t="str">
        <f t="shared" si="223"/>
        <v>DETAINED</v>
      </c>
      <c r="BS315" s="129" t="str">
        <f t="shared" si="224"/>
        <v>DISPOSED</v>
      </c>
      <c r="BT315" s="129" t="str">
        <f t="shared" si="225"/>
        <v>Y</v>
      </c>
      <c r="BU315" s="109">
        <f t="shared" si="226"/>
        <v>0.9859154929577465</v>
      </c>
      <c r="BV315" s="109">
        <f t="shared" si="227"/>
        <v>1</v>
      </c>
      <c r="BW315" s="109">
        <f t="shared" si="237"/>
        <v>1.4084507042253502E-2</v>
      </c>
      <c r="BX315" s="111">
        <f t="shared" si="228"/>
        <v>0</v>
      </c>
      <c r="BY315" s="129">
        <f t="shared" si="229"/>
        <v>-70</v>
      </c>
      <c r="BZ315" s="111">
        <f t="shared" si="230"/>
        <v>0</v>
      </c>
      <c r="CA315" s="138">
        <f t="shared" si="231"/>
        <v>70</v>
      </c>
      <c r="CB315" s="111" t="e">
        <f t="shared" ref="CB315:CB328" si="256">IF(AF315&gt;1/1/1900,((AF315+1)-AE315),"STILL OPEN")</f>
        <v>#VALUE!</v>
      </c>
      <c r="CC315" s="129">
        <f>G315-I315+1</f>
        <v>70</v>
      </c>
      <c r="CD315" s="129">
        <f>G315-J315</f>
        <v>0</v>
      </c>
      <c r="CE315" s="129">
        <f t="shared" si="232"/>
        <v>0</v>
      </c>
      <c r="CG315" s="129" t="str">
        <f t="shared" si="233"/>
        <v>Y</v>
      </c>
      <c r="CI315" s="129" t="str">
        <f t="shared" si="234"/>
        <v>61-90 DAYS</v>
      </c>
      <c r="CJ315" s="137">
        <f t="shared" si="235"/>
        <v>4</v>
      </c>
      <c r="CK315" s="129" t="str">
        <f t="shared" si="236"/>
        <v>Booked</v>
      </c>
    </row>
    <row r="316" spans="1:89" ht="15" customHeight="1" x14ac:dyDescent="0.25">
      <c r="A316" s="111">
        <v>450</v>
      </c>
      <c r="B316" s="128" t="str">
        <f t="shared" si="216"/>
        <v>N</v>
      </c>
      <c r="C316" s="128" t="str">
        <f t="shared" si="217"/>
        <v>N</v>
      </c>
      <c r="D316" s="117">
        <v>953736</v>
      </c>
      <c r="E316" s="135">
        <f t="shared" si="218"/>
        <v>6</v>
      </c>
      <c r="F316" s="124">
        <v>40927</v>
      </c>
      <c r="G316" s="125">
        <v>40988</v>
      </c>
      <c r="H316" s="117">
        <v>953736</v>
      </c>
      <c r="I316" s="124">
        <v>40988</v>
      </c>
      <c r="J316" s="124">
        <v>40988</v>
      </c>
      <c r="K316" s="126">
        <v>15000</v>
      </c>
      <c r="L316" s="127" t="s">
        <v>571</v>
      </c>
      <c r="M316" s="125">
        <v>40928</v>
      </c>
      <c r="N316" s="129" t="str">
        <f>IF(M316&gt;1/1/1,"Y","N")</f>
        <v>Y</v>
      </c>
      <c r="O316" s="128" t="s">
        <v>585</v>
      </c>
      <c r="P316" s="129" t="s">
        <v>39</v>
      </c>
      <c r="Q316" s="111">
        <f t="shared" si="247"/>
        <v>1</v>
      </c>
      <c r="R316" s="111">
        <f t="shared" si="211"/>
        <v>62</v>
      </c>
      <c r="S316" s="129">
        <v>5</v>
      </c>
      <c r="T316" s="129">
        <v>0</v>
      </c>
      <c r="U316" s="129">
        <v>5</v>
      </c>
      <c r="W316" s="111"/>
      <c r="AC316" s="130"/>
      <c r="AD316" s="130">
        <v>24748</v>
      </c>
      <c r="AE316" s="128" t="s">
        <v>32</v>
      </c>
      <c r="AF316" s="128" t="s">
        <v>33</v>
      </c>
      <c r="AG316" s="128" t="s">
        <v>872</v>
      </c>
      <c r="AH316" s="108" t="s">
        <v>58</v>
      </c>
      <c r="AI316" s="128" t="s">
        <v>53</v>
      </c>
      <c r="AJ316" s="129" t="s">
        <v>89</v>
      </c>
      <c r="AK316" s="129">
        <v>4</v>
      </c>
      <c r="AL316" s="3" t="s">
        <v>362</v>
      </c>
      <c r="AM316" s="117">
        <v>2</v>
      </c>
      <c r="AP316" s="129" t="s">
        <v>43</v>
      </c>
      <c r="AR316" s="128" t="s">
        <v>44</v>
      </c>
      <c r="AS316" s="129" t="s">
        <v>45</v>
      </c>
      <c r="BC316" s="129" t="s">
        <v>52</v>
      </c>
      <c r="BF316" s="111">
        <f t="shared" si="254"/>
        <v>1</v>
      </c>
      <c r="BG316" s="111">
        <f t="shared" si="255"/>
        <v>1</v>
      </c>
      <c r="BH316" s="111">
        <f t="shared" si="212"/>
        <v>62</v>
      </c>
      <c r="BI316" s="111">
        <f t="shared" si="213"/>
        <v>44.204918032786885</v>
      </c>
      <c r="BJ316" s="129">
        <f>G316-J316</f>
        <v>0</v>
      </c>
      <c r="BK316" s="129">
        <f t="shared" si="214"/>
        <v>0</v>
      </c>
      <c r="BL316" s="129" t="str">
        <f t="shared" si="215"/>
        <v>CONVICTION</v>
      </c>
      <c r="BM316" s="129" t="s">
        <v>76</v>
      </c>
      <c r="BN316" s="129" t="s">
        <v>88</v>
      </c>
      <c r="BP316" s="137" t="str">
        <f t="shared" si="221"/>
        <v>CONVICTION</v>
      </c>
      <c r="BQ316" s="128" t="str">
        <f t="shared" si="222"/>
        <v>Y</v>
      </c>
      <c r="BR316" s="129" t="s">
        <v>575</v>
      </c>
      <c r="BS316" s="129" t="str">
        <f t="shared" si="224"/>
        <v>DISPOSED</v>
      </c>
      <c r="BT316" s="129" t="str">
        <f t="shared" si="225"/>
        <v>Y</v>
      </c>
      <c r="BU316" s="109">
        <f t="shared" si="226"/>
        <v>1.6129032258064516E-2</v>
      </c>
      <c r="BV316" s="109">
        <f t="shared" si="227"/>
        <v>1</v>
      </c>
      <c r="BW316" s="109">
        <f t="shared" si="237"/>
        <v>0.9838709677419355</v>
      </c>
      <c r="BX316" s="111">
        <f t="shared" si="228"/>
        <v>0</v>
      </c>
      <c r="BY316" s="129">
        <f t="shared" si="229"/>
        <v>-1</v>
      </c>
      <c r="BZ316" s="111">
        <f t="shared" si="230"/>
        <v>0</v>
      </c>
      <c r="CA316" s="138">
        <f t="shared" si="231"/>
        <v>-59</v>
      </c>
      <c r="CB316" s="111" t="e">
        <f t="shared" si="256"/>
        <v>#VALUE!</v>
      </c>
      <c r="CC316" s="129">
        <f>M316-I316+1</f>
        <v>-59</v>
      </c>
      <c r="CD316" s="111">
        <f>CC316-BF316</f>
        <v>-60</v>
      </c>
      <c r="CE316" s="129">
        <f t="shared" si="232"/>
        <v>0</v>
      </c>
      <c r="CG316" s="129" t="str">
        <f t="shared" si="233"/>
        <v>Y</v>
      </c>
      <c r="CI316" s="129" t="str">
        <f t="shared" si="234"/>
        <v>0-10 DAYS</v>
      </c>
      <c r="CJ316" s="137">
        <f t="shared" si="235"/>
        <v>1</v>
      </c>
      <c r="CK316" s="129" t="str">
        <f t="shared" si="236"/>
        <v>Booked</v>
      </c>
    </row>
    <row r="317" spans="1:89" ht="15.75" customHeight="1" x14ac:dyDescent="0.25">
      <c r="A317" s="111">
        <v>2288</v>
      </c>
      <c r="B317" s="128" t="str">
        <f t="shared" si="216"/>
        <v>N</v>
      </c>
      <c r="C317" s="128" t="str">
        <f t="shared" si="217"/>
        <v>N</v>
      </c>
      <c r="D317" s="117">
        <v>956225</v>
      </c>
      <c r="E317" s="135">
        <f t="shared" si="218"/>
        <v>6</v>
      </c>
      <c r="F317" s="124">
        <v>40995</v>
      </c>
      <c r="G317" s="125">
        <v>40998</v>
      </c>
      <c r="H317" s="117">
        <v>956225</v>
      </c>
      <c r="I317" s="124">
        <v>40996</v>
      </c>
      <c r="J317" s="124">
        <v>40998</v>
      </c>
      <c r="K317" s="126">
        <v>30000</v>
      </c>
      <c r="L317" s="129" t="s">
        <v>572</v>
      </c>
      <c r="N317" s="129" t="str">
        <f>IF(M317&gt;1/1/1,"Y","N")</f>
        <v>N</v>
      </c>
      <c r="O317" s="128" t="s">
        <v>917</v>
      </c>
      <c r="P317" s="129" t="s">
        <v>39</v>
      </c>
      <c r="Q317" s="111">
        <f t="shared" si="247"/>
        <v>3</v>
      </c>
      <c r="R317" s="111">
        <f t="shared" si="211"/>
        <v>4</v>
      </c>
      <c r="S317" s="32">
        <v>17</v>
      </c>
      <c r="T317" s="32">
        <v>9</v>
      </c>
      <c r="U317" s="32">
        <v>8</v>
      </c>
      <c r="V317" s="114"/>
      <c r="W317" s="111"/>
      <c r="AC317" s="130"/>
      <c r="AD317" s="130">
        <v>25182</v>
      </c>
      <c r="AE317" s="128" t="s">
        <v>32</v>
      </c>
      <c r="AF317" s="128" t="s">
        <v>69</v>
      </c>
      <c r="AG317" s="128" t="s">
        <v>874</v>
      </c>
      <c r="AH317" s="108" t="s">
        <v>58</v>
      </c>
      <c r="AI317" s="128" t="s">
        <v>71</v>
      </c>
      <c r="AJ317" s="129" t="s">
        <v>89</v>
      </c>
      <c r="AK317" s="129">
        <v>2</v>
      </c>
      <c r="AL317" s="3" t="s">
        <v>362</v>
      </c>
      <c r="AM317" s="117">
        <v>2</v>
      </c>
      <c r="AP317" s="129" t="s">
        <v>60</v>
      </c>
      <c r="AR317" s="128" t="s">
        <v>44</v>
      </c>
      <c r="AS317" s="129" t="s">
        <v>61</v>
      </c>
      <c r="BC317" s="129" t="s">
        <v>38</v>
      </c>
      <c r="BF317" s="111">
        <f t="shared" si="254"/>
        <v>3</v>
      </c>
      <c r="BG317" s="111">
        <f t="shared" si="255"/>
        <v>3</v>
      </c>
      <c r="BH317" s="111">
        <f t="shared" si="212"/>
        <v>4</v>
      </c>
      <c r="BI317" s="111">
        <f t="shared" si="213"/>
        <v>43.204918032786885</v>
      </c>
      <c r="BJ317" s="129">
        <f t="shared" si="219"/>
        <v>0</v>
      </c>
      <c r="BK317" s="129">
        <f t="shared" si="214"/>
        <v>0</v>
      </c>
      <c r="BL317" s="129" t="str">
        <f t="shared" si="215"/>
        <v>CONVICTION</v>
      </c>
      <c r="BM317" s="129" t="str">
        <f t="shared" si="220"/>
        <v>NONE</v>
      </c>
      <c r="BN317" s="129" t="s">
        <v>566</v>
      </c>
      <c r="BP317" s="137" t="str">
        <f t="shared" si="221"/>
        <v>CONVICTION</v>
      </c>
      <c r="BQ317" s="128" t="str">
        <f t="shared" si="222"/>
        <v>Y</v>
      </c>
      <c r="BR317" s="129" t="str">
        <f t="shared" si="223"/>
        <v>DETAINED</v>
      </c>
      <c r="BS317" s="129" t="str">
        <f t="shared" si="224"/>
        <v>DISPOSED</v>
      </c>
      <c r="BT317" s="129" t="str">
        <f t="shared" si="225"/>
        <v>Y</v>
      </c>
      <c r="BU317" s="109">
        <f t="shared" si="226"/>
        <v>0.75</v>
      </c>
      <c r="BV317" s="109">
        <f t="shared" si="227"/>
        <v>1</v>
      </c>
      <c r="BW317" s="109">
        <f t="shared" si="237"/>
        <v>0.25</v>
      </c>
      <c r="BX317" s="111">
        <f t="shared" si="228"/>
        <v>0</v>
      </c>
      <c r="BY317" s="129">
        <f t="shared" si="229"/>
        <v>-3</v>
      </c>
      <c r="BZ317" s="111">
        <f t="shared" si="230"/>
        <v>0</v>
      </c>
      <c r="CA317" s="138">
        <f t="shared" si="231"/>
        <v>3</v>
      </c>
      <c r="CB317" s="111" t="e">
        <f t="shared" si="256"/>
        <v>#VALUE!</v>
      </c>
      <c r="CC317" s="129">
        <f>G317-I317+1</f>
        <v>3</v>
      </c>
      <c r="CD317" s="129">
        <f>G317-J317</f>
        <v>0</v>
      </c>
      <c r="CE317" s="129">
        <f t="shared" si="232"/>
        <v>0</v>
      </c>
      <c r="CG317" s="129" t="str">
        <f t="shared" si="233"/>
        <v>Y</v>
      </c>
      <c r="CI317" s="129" t="str">
        <f t="shared" si="234"/>
        <v>0-10 DAYS</v>
      </c>
      <c r="CJ317" s="137">
        <f t="shared" si="235"/>
        <v>1</v>
      </c>
      <c r="CK317" s="129" t="str">
        <f t="shared" si="236"/>
        <v>Booked</v>
      </c>
    </row>
    <row r="318" spans="1:89" ht="15" customHeight="1" x14ac:dyDescent="0.25">
      <c r="A318" s="111">
        <v>2719</v>
      </c>
      <c r="B318" s="128" t="str">
        <f t="shared" si="216"/>
        <v>N</v>
      </c>
      <c r="C318" s="128" t="str">
        <f t="shared" si="217"/>
        <v>N</v>
      </c>
      <c r="D318" s="117">
        <v>960036</v>
      </c>
      <c r="E318" s="135">
        <f t="shared" si="218"/>
        <v>5</v>
      </c>
      <c r="F318" s="124">
        <v>41010</v>
      </c>
      <c r="G318" s="125">
        <v>41142</v>
      </c>
      <c r="H318" s="117">
        <v>960036</v>
      </c>
      <c r="I318" s="124">
        <v>41010</v>
      </c>
      <c r="J318" s="124">
        <v>41016</v>
      </c>
      <c r="K318" s="126">
        <v>15000</v>
      </c>
      <c r="L318" s="127" t="s">
        <v>571</v>
      </c>
      <c r="M318" s="125">
        <v>41011</v>
      </c>
      <c r="N318" s="129" t="str">
        <f>IF(M318&gt;1/1/1,"Y","N")</f>
        <v>Y</v>
      </c>
      <c r="O318" s="128" t="s">
        <v>585</v>
      </c>
      <c r="P318" s="129" t="s">
        <v>39</v>
      </c>
      <c r="Q318" s="111">
        <f t="shared" si="247"/>
        <v>7</v>
      </c>
      <c r="R318" s="111">
        <f t="shared" si="211"/>
        <v>133</v>
      </c>
      <c r="S318" s="129">
        <v>4</v>
      </c>
      <c r="T318" s="129">
        <v>2</v>
      </c>
      <c r="U318" s="129">
        <v>2</v>
      </c>
      <c r="V318" s="117">
        <v>1</v>
      </c>
      <c r="W318" s="111"/>
      <c r="AC318" s="130"/>
      <c r="AD318" s="130">
        <v>26482</v>
      </c>
      <c r="AE318" s="128" t="s">
        <v>32</v>
      </c>
      <c r="AF318" s="128" t="s">
        <v>33</v>
      </c>
      <c r="AG318" s="128" t="s">
        <v>872</v>
      </c>
      <c r="AH318" s="108" t="s">
        <v>58</v>
      </c>
      <c r="AI318" s="128" t="s">
        <v>72</v>
      </c>
      <c r="AJ318" s="129" t="s">
        <v>89</v>
      </c>
      <c r="AK318" s="129">
        <v>6</v>
      </c>
      <c r="AL318" s="3" t="s">
        <v>992</v>
      </c>
      <c r="AN318" s="117">
        <v>6</v>
      </c>
      <c r="AP318" s="129" t="s">
        <v>43</v>
      </c>
      <c r="AR318" s="128" t="s">
        <v>44</v>
      </c>
      <c r="AS318" s="129" t="s">
        <v>45</v>
      </c>
      <c r="BC318" s="129" t="s">
        <v>52</v>
      </c>
      <c r="BF318" s="111">
        <f t="shared" si="254"/>
        <v>7</v>
      </c>
      <c r="BG318" s="111">
        <f t="shared" si="255"/>
        <v>133</v>
      </c>
      <c r="BH318" s="111">
        <f t="shared" si="212"/>
        <v>133</v>
      </c>
      <c r="BI318" s="111">
        <f t="shared" si="213"/>
        <v>39.693989071038253</v>
      </c>
      <c r="BJ318" s="129">
        <f>(G318-J318)+(M318-G318)</f>
        <v>-5</v>
      </c>
      <c r="BK318" s="129">
        <f t="shared" si="214"/>
        <v>-126</v>
      </c>
      <c r="BL318" s="129" t="str">
        <f t="shared" si="215"/>
        <v>CONVICTION</v>
      </c>
      <c r="BM318" s="129" t="s">
        <v>76</v>
      </c>
      <c r="BN318" s="129" t="s">
        <v>88</v>
      </c>
      <c r="BP318" s="137" t="str">
        <f t="shared" si="221"/>
        <v>CONVICTION</v>
      </c>
      <c r="BQ318" s="128" t="str">
        <f t="shared" si="222"/>
        <v>Y</v>
      </c>
      <c r="BR318" s="129" t="str">
        <f>IF(J318&lt;G318,"ON BOND",0)</f>
        <v>ON BOND</v>
      </c>
      <c r="BS318" s="129" t="str">
        <f t="shared" si="224"/>
        <v>DISPOSED</v>
      </c>
      <c r="BT318" s="129" t="str">
        <f t="shared" si="225"/>
        <v>Y</v>
      </c>
      <c r="BU318" s="109">
        <f t="shared" si="226"/>
        <v>5.2631578947368418E-2</v>
      </c>
      <c r="BV318" s="109">
        <f t="shared" si="227"/>
        <v>5.2631578947368418E-2</v>
      </c>
      <c r="BW318" s="109">
        <f t="shared" si="237"/>
        <v>0</v>
      </c>
      <c r="BX318" s="111">
        <f t="shared" si="228"/>
        <v>0</v>
      </c>
      <c r="BY318" s="129">
        <f t="shared" si="229"/>
        <v>-7</v>
      </c>
      <c r="BZ318" s="111">
        <f t="shared" si="230"/>
        <v>0</v>
      </c>
      <c r="CA318" s="138">
        <f t="shared" si="231"/>
        <v>2</v>
      </c>
      <c r="CB318" s="111" t="e">
        <f t="shared" si="256"/>
        <v>#VALUE!</v>
      </c>
      <c r="CC318" s="129">
        <f>M318-I318+1</f>
        <v>2</v>
      </c>
      <c r="CD318" s="111">
        <f>CC318-BF318</f>
        <v>-5</v>
      </c>
      <c r="CE318" s="129">
        <f t="shared" si="232"/>
        <v>126</v>
      </c>
      <c r="CG318" s="129" t="str">
        <f t="shared" si="233"/>
        <v>Y</v>
      </c>
      <c r="CI318" s="129" t="str">
        <f t="shared" si="234"/>
        <v>0-10 DAYS</v>
      </c>
      <c r="CJ318" s="137">
        <f t="shared" si="235"/>
        <v>1</v>
      </c>
      <c r="CK318" s="129" t="str">
        <f t="shared" si="236"/>
        <v>Booked</v>
      </c>
    </row>
    <row r="319" spans="1:89" ht="15.75" customHeight="1" x14ac:dyDescent="0.25">
      <c r="A319" s="111">
        <v>276</v>
      </c>
      <c r="B319" s="128" t="str">
        <f t="shared" si="216"/>
        <v>N</v>
      </c>
      <c r="C319" s="128" t="str">
        <f t="shared" si="217"/>
        <v>N</v>
      </c>
      <c r="D319" s="117">
        <v>964457</v>
      </c>
      <c r="E319" s="135">
        <f t="shared" si="218"/>
        <v>4</v>
      </c>
      <c r="F319" s="124">
        <v>40920</v>
      </c>
      <c r="G319" s="125">
        <v>41036</v>
      </c>
      <c r="H319" s="117">
        <v>964457</v>
      </c>
      <c r="I319" s="124">
        <v>40920</v>
      </c>
      <c r="J319" s="124">
        <v>41036</v>
      </c>
      <c r="K319" s="126">
        <v>15000</v>
      </c>
      <c r="L319" s="127" t="s">
        <v>571</v>
      </c>
      <c r="N319" s="129" t="str">
        <f>IF(M319&gt;1/1/1,"Y","N")</f>
        <v>N</v>
      </c>
      <c r="O319" s="128" t="s">
        <v>917</v>
      </c>
      <c r="P319" s="129" t="s">
        <v>39</v>
      </c>
      <c r="Q319" s="111">
        <f t="shared" si="247"/>
        <v>117</v>
      </c>
      <c r="R319" s="111">
        <f t="shared" si="211"/>
        <v>117</v>
      </c>
      <c r="S319" s="129">
        <v>2</v>
      </c>
      <c r="T319" s="129">
        <v>4</v>
      </c>
      <c r="U319" s="129">
        <v>2</v>
      </c>
      <c r="W319" s="111"/>
      <c r="AC319" s="130"/>
      <c r="AD319" s="130">
        <v>21477</v>
      </c>
      <c r="AE319" s="128" t="s">
        <v>32</v>
      </c>
      <c r="AF319" s="128" t="s">
        <v>33</v>
      </c>
      <c r="AG319" s="128" t="s">
        <v>872</v>
      </c>
      <c r="AH319" s="108" t="s">
        <v>58</v>
      </c>
      <c r="AI319" s="128" t="s">
        <v>65</v>
      </c>
      <c r="AJ319" s="129" t="s">
        <v>89</v>
      </c>
      <c r="AK319" s="129">
        <v>6</v>
      </c>
      <c r="AL319" s="3" t="s">
        <v>991</v>
      </c>
      <c r="AO319" s="128">
        <v>240</v>
      </c>
      <c r="AP319" s="129" t="s">
        <v>43</v>
      </c>
      <c r="AR319" s="128" t="s">
        <v>44</v>
      </c>
      <c r="AS319" s="129" t="s">
        <v>45</v>
      </c>
      <c r="BC319" s="129" t="s">
        <v>38</v>
      </c>
      <c r="BF319" s="111">
        <f t="shared" si="254"/>
        <v>117</v>
      </c>
      <c r="BG319" s="111">
        <f t="shared" si="255"/>
        <v>117</v>
      </c>
      <c r="BH319" s="111">
        <f t="shared" si="212"/>
        <v>117</v>
      </c>
      <c r="BI319" s="111">
        <f t="shared" si="213"/>
        <v>53.122950819672134</v>
      </c>
      <c r="BJ319" s="129">
        <f t="shared" si="219"/>
        <v>0</v>
      </c>
      <c r="BK319" s="129">
        <f t="shared" si="214"/>
        <v>0</v>
      </c>
      <c r="BL319" s="129" t="str">
        <f t="shared" si="215"/>
        <v>CONVICTION</v>
      </c>
      <c r="BM319" s="129" t="str">
        <f t="shared" si="220"/>
        <v>NONE</v>
      </c>
      <c r="BN319" s="129" t="s">
        <v>566</v>
      </c>
      <c r="BP319" s="137" t="str">
        <f t="shared" si="221"/>
        <v>CONVICTION</v>
      </c>
      <c r="BQ319" s="128" t="str">
        <f t="shared" si="222"/>
        <v>Y</v>
      </c>
      <c r="BR319" s="129" t="str">
        <f t="shared" si="223"/>
        <v>DETAINED</v>
      </c>
      <c r="BS319" s="129" t="str">
        <f t="shared" si="224"/>
        <v>DISPOSED</v>
      </c>
      <c r="BT319" s="129" t="str">
        <f t="shared" si="225"/>
        <v>Y</v>
      </c>
      <c r="BU319" s="109">
        <f t="shared" si="226"/>
        <v>1</v>
      </c>
      <c r="BV319" s="109">
        <f t="shared" si="227"/>
        <v>1</v>
      </c>
      <c r="BW319" s="109">
        <f t="shared" si="237"/>
        <v>0</v>
      </c>
      <c r="BX319" s="111">
        <f t="shared" si="228"/>
        <v>0</v>
      </c>
      <c r="BY319" s="129">
        <f t="shared" si="229"/>
        <v>-117</v>
      </c>
      <c r="BZ319" s="111">
        <f t="shared" si="230"/>
        <v>0</v>
      </c>
      <c r="CA319" s="138">
        <f t="shared" si="231"/>
        <v>117</v>
      </c>
      <c r="CB319" s="111" t="e">
        <f t="shared" si="256"/>
        <v>#VALUE!</v>
      </c>
      <c r="CC319" s="129">
        <f t="shared" ref="CC319:CC326" si="257">G319-I319+1</f>
        <v>117</v>
      </c>
      <c r="CD319" s="129">
        <f t="shared" ref="CD319:CD326" si="258">G319-J319</f>
        <v>0</v>
      </c>
      <c r="CE319" s="129">
        <f t="shared" si="232"/>
        <v>0</v>
      </c>
      <c r="CG319" s="129" t="str">
        <f t="shared" si="233"/>
        <v>Y</v>
      </c>
      <c r="CI319" s="129" t="str">
        <f t="shared" si="234"/>
        <v>91-120 DAYS</v>
      </c>
      <c r="CJ319" s="137">
        <f t="shared" si="235"/>
        <v>0</v>
      </c>
      <c r="CK319" s="129" t="str">
        <f t="shared" si="236"/>
        <v>Booked</v>
      </c>
    </row>
    <row r="320" spans="1:89" ht="15.75" customHeight="1" x14ac:dyDescent="0.25">
      <c r="A320" s="111">
        <v>2568</v>
      </c>
      <c r="B320" s="128" t="str">
        <f t="shared" si="216"/>
        <v>N</v>
      </c>
      <c r="C320" s="128" t="str">
        <f t="shared" si="217"/>
        <v>N</v>
      </c>
      <c r="D320" s="117">
        <v>968674</v>
      </c>
      <c r="E320" s="135">
        <f t="shared" si="218"/>
        <v>2</v>
      </c>
      <c r="F320" s="124">
        <v>41004</v>
      </c>
      <c r="G320" s="125">
        <v>41082</v>
      </c>
      <c r="H320" s="117">
        <v>968674</v>
      </c>
      <c r="I320" s="124">
        <v>41005</v>
      </c>
      <c r="J320" s="124">
        <v>41082</v>
      </c>
      <c r="K320" s="126" t="s">
        <v>564</v>
      </c>
      <c r="L320" s="127" t="s">
        <v>564</v>
      </c>
      <c r="N320" s="129" t="s">
        <v>566</v>
      </c>
      <c r="O320" s="128" t="s">
        <v>917</v>
      </c>
      <c r="P320" s="129" t="s">
        <v>589</v>
      </c>
      <c r="Q320" s="111">
        <f t="shared" si="247"/>
        <v>78</v>
      </c>
      <c r="R320" s="111">
        <f t="shared" si="211"/>
        <v>79</v>
      </c>
      <c r="S320" s="129">
        <v>14</v>
      </c>
      <c r="T320" s="129">
        <v>12</v>
      </c>
      <c r="U320" s="129">
        <v>7</v>
      </c>
      <c r="W320" s="111"/>
      <c r="AC320" s="130"/>
      <c r="AD320" s="130">
        <v>25837</v>
      </c>
      <c r="AE320" s="128" t="s">
        <v>32</v>
      </c>
      <c r="AF320" s="128" t="s">
        <v>69</v>
      </c>
      <c r="AG320" s="128" t="s">
        <v>874</v>
      </c>
      <c r="AH320" s="108" t="s">
        <v>58</v>
      </c>
      <c r="AI320" s="128" t="s">
        <v>53</v>
      </c>
      <c r="AJ320" s="129" t="s">
        <v>48</v>
      </c>
      <c r="AK320" s="129">
        <v>5</v>
      </c>
      <c r="AL320" s="3" t="s">
        <v>48</v>
      </c>
      <c r="AP320" s="129" t="s">
        <v>144</v>
      </c>
      <c r="AR320" s="128" t="s">
        <v>67</v>
      </c>
      <c r="AS320" s="129" t="s">
        <v>74</v>
      </c>
      <c r="BC320" s="129" t="s">
        <v>38</v>
      </c>
      <c r="BF320" s="111">
        <f t="shared" si="254"/>
        <v>78</v>
      </c>
      <c r="BG320" s="111">
        <f t="shared" si="255"/>
        <v>78</v>
      </c>
      <c r="BH320" s="111">
        <f t="shared" si="212"/>
        <v>79</v>
      </c>
      <c r="BI320" s="111">
        <f t="shared" si="213"/>
        <v>41.439890710382514</v>
      </c>
      <c r="BJ320" s="129">
        <f t="shared" si="219"/>
        <v>0</v>
      </c>
      <c r="BK320" s="129">
        <f t="shared" si="214"/>
        <v>0</v>
      </c>
      <c r="BL320" s="129" t="str">
        <f t="shared" si="215"/>
        <v>DEFERRED</v>
      </c>
      <c r="BM320" s="129" t="str">
        <f t="shared" si="220"/>
        <v>NONE</v>
      </c>
      <c r="BN320" s="129" t="s">
        <v>566</v>
      </c>
      <c r="BP320" s="137" t="str">
        <f t="shared" si="221"/>
        <v>DEFERRED</v>
      </c>
      <c r="BQ320" s="128" t="str">
        <f t="shared" si="222"/>
        <v>Y</v>
      </c>
      <c r="BR320" s="129" t="str">
        <f t="shared" si="223"/>
        <v>DETAINED</v>
      </c>
      <c r="BS320" s="129" t="str">
        <f t="shared" si="224"/>
        <v>DISPOSED</v>
      </c>
      <c r="BT320" s="129" t="str">
        <f t="shared" si="225"/>
        <v>Y</v>
      </c>
      <c r="BU320" s="109">
        <f t="shared" si="226"/>
        <v>0.98734177215189878</v>
      </c>
      <c r="BV320" s="109">
        <f t="shared" si="227"/>
        <v>1</v>
      </c>
      <c r="BW320" s="109">
        <f t="shared" si="237"/>
        <v>1.2658227848101222E-2</v>
      </c>
      <c r="BX320" s="111">
        <f t="shared" si="228"/>
        <v>0</v>
      </c>
      <c r="BY320" s="129">
        <f t="shared" si="229"/>
        <v>-78</v>
      </c>
      <c r="BZ320" s="111">
        <f t="shared" si="230"/>
        <v>0</v>
      </c>
      <c r="CA320" s="138">
        <f t="shared" si="231"/>
        <v>78</v>
      </c>
      <c r="CB320" s="111" t="e">
        <f t="shared" si="256"/>
        <v>#VALUE!</v>
      </c>
      <c r="CC320" s="129">
        <f t="shared" si="257"/>
        <v>78</v>
      </c>
      <c r="CD320" s="129">
        <f t="shared" si="258"/>
        <v>0</v>
      </c>
      <c r="CE320" s="129">
        <f t="shared" si="232"/>
        <v>0</v>
      </c>
      <c r="CG320" s="129" t="str">
        <f t="shared" si="233"/>
        <v>Y</v>
      </c>
      <c r="CI320" s="129" t="str">
        <f t="shared" si="234"/>
        <v>61-90 DAYS</v>
      </c>
      <c r="CJ320" s="137">
        <f t="shared" si="235"/>
        <v>4</v>
      </c>
      <c r="CK320" s="129" t="str">
        <f t="shared" si="236"/>
        <v>Booked</v>
      </c>
    </row>
    <row r="321" spans="1:89" ht="15.75" customHeight="1" x14ac:dyDescent="0.25">
      <c r="A321" s="111">
        <v>1442</v>
      </c>
      <c r="B321" s="128" t="str">
        <f t="shared" si="216"/>
        <v>N</v>
      </c>
      <c r="C321" s="128" t="str">
        <f t="shared" si="217"/>
        <v>N</v>
      </c>
      <c r="D321" s="117">
        <v>972336</v>
      </c>
      <c r="E321" s="135">
        <f t="shared" si="218"/>
        <v>6</v>
      </c>
      <c r="F321" s="124">
        <v>40962</v>
      </c>
      <c r="G321" s="125">
        <v>41191</v>
      </c>
      <c r="H321" s="117">
        <v>972336</v>
      </c>
      <c r="I321" s="124">
        <v>40962</v>
      </c>
      <c r="J321" s="124">
        <v>41191</v>
      </c>
      <c r="K321" s="126" t="s">
        <v>564</v>
      </c>
      <c r="L321" s="127" t="s">
        <v>564</v>
      </c>
      <c r="N321" s="129" t="s">
        <v>566</v>
      </c>
      <c r="O321" s="128" t="s">
        <v>917</v>
      </c>
      <c r="P321" s="129" t="s">
        <v>39</v>
      </c>
      <c r="Q321" s="111">
        <f t="shared" si="247"/>
        <v>230</v>
      </c>
      <c r="R321" s="111">
        <f t="shared" si="211"/>
        <v>230</v>
      </c>
      <c r="S321" s="129">
        <v>3</v>
      </c>
      <c r="T321" s="129">
        <v>2</v>
      </c>
      <c r="U321" s="129">
        <v>3</v>
      </c>
      <c r="W321" s="111"/>
      <c r="AC321" s="130"/>
      <c r="AD321" s="130">
        <v>20997</v>
      </c>
      <c r="AE321" s="128" t="s">
        <v>46</v>
      </c>
      <c r="AF321" s="128" t="s">
        <v>40</v>
      </c>
      <c r="AG321" s="128" t="s">
        <v>41</v>
      </c>
      <c r="AH321" s="108" t="s">
        <v>41</v>
      </c>
      <c r="AI321" s="128" t="s">
        <v>83</v>
      </c>
      <c r="AJ321" s="129" t="s">
        <v>89</v>
      </c>
      <c r="AK321" s="129">
        <v>11</v>
      </c>
      <c r="AL321" s="3" t="s">
        <v>362</v>
      </c>
      <c r="AM321" s="114">
        <v>15</v>
      </c>
      <c r="AP321" s="129" t="s">
        <v>66</v>
      </c>
      <c r="AR321" s="128" t="s">
        <v>67</v>
      </c>
      <c r="AS321" s="129" t="s">
        <v>68</v>
      </c>
      <c r="BC321" s="129" t="s">
        <v>38</v>
      </c>
      <c r="BF321" s="111">
        <f t="shared" si="254"/>
        <v>230</v>
      </c>
      <c r="BG321" s="111">
        <f t="shared" si="255"/>
        <v>230</v>
      </c>
      <c r="BH321" s="111">
        <f t="shared" si="212"/>
        <v>230</v>
      </c>
      <c r="BI321" s="111">
        <f t="shared" si="213"/>
        <v>54.549180327868854</v>
      </c>
      <c r="BJ321" s="129">
        <f t="shared" si="219"/>
        <v>0</v>
      </c>
      <c r="BK321" s="129">
        <f t="shared" si="214"/>
        <v>0</v>
      </c>
      <c r="BL321" s="129" t="str">
        <f t="shared" si="215"/>
        <v>CONVICTION</v>
      </c>
      <c r="BM321" s="129" t="str">
        <f t="shared" si="220"/>
        <v>NONE</v>
      </c>
      <c r="BN321" s="129" t="s">
        <v>566</v>
      </c>
      <c r="BP321" s="137" t="str">
        <f t="shared" si="221"/>
        <v>CONVICTION</v>
      </c>
      <c r="BQ321" s="128" t="str">
        <f t="shared" si="222"/>
        <v>Y</v>
      </c>
      <c r="BR321" s="129" t="str">
        <f t="shared" si="223"/>
        <v>DETAINED</v>
      </c>
      <c r="BS321" s="129" t="str">
        <f t="shared" si="224"/>
        <v>DISPOSED</v>
      </c>
      <c r="BT321" s="129" t="str">
        <f t="shared" si="225"/>
        <v>Y</v>
      </c>
      <c r="BU321" s="109">
        <f t="shared" si="226"/>
        <v>1</v>
      </c>
      <c r="BV321" s="109">
        <f t="shared" si="227"/>
        <v>1</v>
      </c>
      <c r="BW321" s="109">
        <f t="shared" si="237"/>
        <v>0</v>
      </c>
      <c r="BX321" s="111">
        <f t="shared" si="228"/>
        <v>0</v>
      </c>
      <c r="BY321" s="129">
        <f t="shared" si="229"/>
        <v>-230</v>
      </c>
      <c r="BZ321" s="111">
        <f t="shared" si="230"/>
        <v>0</v>
      </c>
      <c r="CA321" s="138">
        <f t="shared" si="231"/>
        <v>230</v>
      </c>
      <c r="CB321" s="111" t="e">
        <f t="shared" si="256"/>
        <v>#VALUE!</v>
      </c>
      <c r="CC321" s="129">
        <f t="shared" si="257"/>
        <v>230</v>
      </c>
      <c r="CD321" s="129">
        <f t="shared" si="258"/>
        <v>0</v>
      </c>
      <c r="CE321" s="129">
        <f t="shared" si="232"/>
        <v>0</v>
      </c>
      <c r="CG321" s="129" t="str">
        <f t="shared" si="233"/>
        <v>Y</v>
      </c>
      <c r="CI321" s="129" t="str">
        <f t="shared" si="234"/>
        <v>121-365 DAYS</v>
      </c>
      <c r="CJ321" s="137">
        <f t="shared" si="235"/>
        <v>6</v>
      </c>
      <c r="CK321" s="129" t="str">
        <f t="shared" si="236"/>
        <v>Booked</v>
      </c>
    </row>
    <row r="322" spans="1:89" ht="15" customHeight="1" x14ac:dyDescent="0.25">
      <c r="A322" s="111">
        <v>374</v>
      </c>
      <c r="B322" s="128" t="str">
        <f t="shared" si="216"/>
        <v>N</v>
      </c>
      <c r="C322" s="128" t="str">
        <f t="shared" si="217"/>
        <v>N</v>
      </c>
      <c r="D322" s="117">
        <v>975166</v>
      </c>
      <c r="E322" s="135">
        <f t="shared" si="218"/>
        <v>6</v>
      </c>
      <c r="F322" s="124">
        <v>40924</v>
      </c>
      <c r="G322" s="125">
        <v>40926</v>
      </c>
      <c r="H322" s="117">
        <v>975166</v>
      </c>
      <c r="I322" s="124">
        <v>40924</v>
      </c>
      <c r="J322" s="124">
        <v>40926</v>
      </c>
      <c r="K322" s="126">
        <v>15000</v>
      </c>
      <c r="L322" s="127" t="s">
        <v>571</v>
      </c>
      <c r="N322" s="129" t="str">
        <f>IF(M322&gt;1/1/1,"Y","N")</f>
        <v>N</v>
      </c>
      <c r="O322" s="128" t="s">
        <v>917</v>
      </c>
      <c r="P322" s="129" t="s">
        <v>39</v>
      </c>
      <c r="Q322" s="111">
        <f t="shared" si="247"/>
        <v>3</v>
      </c>
      <c r="R322" s="111">
        <f t="shared" ref="R322:R385" si="259">BH322</f>
        <v>3</v>
      </c>
      <c r="S322" s="129">
        <v>6</v>
      </c>
      <c r="T322" s="129">
        <v>4</v>
      </c>
      <c r="U322" s="129">
        <v>3</v>
      </c>
      <c r="W322" s="111"/>
      <c r="AC322" s="130"/>
      <c r="AD322" s="130">
        <v>23360</v>
      </c>
      <c r="AE322" s="128" t="s">
        <v>32</v>
      </c>
      <c r="AF322" s="128" t="s">
        <v>33</v>
      </c>
      <c r="AG322" s="128" t="s">
        <v>872</v>
      </c>
      <c r="AH322" s="108" t="s">
        <v>31</v>
      </c>
      <c r="AI322" s="128" t="s">
        <v>95</v>
      </c>
      <c r="AJ322" s="129" t="s">
        <v>89</v>
      </c>
      <c r="AK322" s="129">
        <v>1</v>
      </c>
      <c r="AL322" s="3" t="s">
        <v>362</v>
      </c>
      <c r="AM322" s="117">
        <v>1</v>
      </c>
      <c r="AP322" s="129" t="s">
        <v>121</v>
      </c>
      <c r="AR322" s="128" t="s">
        <v>44</v>
      </c>
      <c r="AS322" s="129" t="s">
        <v>122</v>
      </c>
      <c r="BC322" s="129" t="s">
        <v>38</v>
      </c>
      <c r="BD322" s="143"/>
      <c r="BF322" s="111">
        <f t="shared" si="254"/>
        <v>3</v>
      </c>
      <c r="BG322" s="111">
        <f t="shared" si="255"/>
        <v>3</v>
      </c>
      <c r="BH322" s="111">
        <f t="shared" ref="BH322:BH385" si="260">IF(G322&gt;1/1/1900,((G322+1)-F322),"STILL OPEN")</f>
        <v>3</v>
      </c>
      <c r="BI322" s="111">
        <f t="shared" ref="BI322:BI385" si="261">(F322-AD322)/366</f>
        <v>47.989071038251367</v>
      </c>
      <c r="BJ322" s="129">
        <f t="shared" si="219"/>
        <v>0</v>
      </c>
      <c r="BK322" s="129">
        <f t="shared" ref="BK322:BK385" si="262">J322-G322</f>
        <v>0</v>
      </c>
      <c r="BL322" s="129" t="str">
        <f t="shared" ref="BL322:BL385" si="263">IF(OR(AL322="AQUITTAL",AL322="DISMISSED",AL322="FINE",AL322="NO BILL"),"NO CONVICTION",IF(OR(AL322="HCJ",AL322="MHH",AL322="PROBATION",AL322="STJ",AL322="TDC"),"CONVICTION",IF(AL322="DEFERRED","DEFERRED",0)))</f>
        <v>CONVICTION</v>
      </c>
      <c r="BM322" s="129" t="str">
        <f t="shared" si="220"/>
        <v>NONE</v>
      </c>
      <c r="BN322" s="129" t="s">
        <v>566</v>
      </c>
      <c r="BP322" s="137" t="str">
        <f t="shared" si="221"/>
        <v>CONVICTION</v>
      </c>
      <c r="BQ322" s="128" t="str">
        <f t="shared" si="222"/>
        <v>Y</v>
      </c>
      <c r="BR322" s="129" t="str">
        <f t="shared" si="223"/>
        <v>DETAINED</v>
      </c>
      <c r="BS322" s="129" t="str">
        <f t="shared" si="224"/>
        <v>DISPOSED</v>
      </c>
      <c r="BT322" s="129" t="str">
        <f t="shared" si="225"/>
        <v>Y</v>
      </c>
      <c r="BU322" s="109">
        <f t="shared" si="226"/>
        <v>1</v>
      </c>
      <c r="BV322" s="109">
        <f t="shared" si="227"/>
        <v>1</v>
      </c>
      <c r="BW322" s="109">
        <f t="shared" si="237"/>
        <v>0</v>
      </c>
      <c r="BX322" s="111">
        <f t="shared" si="228"/>
        <v>0</v>
      </c>
      <c r="BY322" s="129">
        <f t="shared" si="229"/>
        <v>-3</v>
      </c>
      <c r="BZ322" s="111">
        <f t="shared" si="230"/>
        <v>0</v>
      </c>
      <c r="CA322" s="138">
        <f t="shared" si="231"/>
        <v>3</v>
      </c>
      <c r="CB322" s="111" t="e">
        <f t="shared" si="256"/>
        <v>#VALUE!</v>
      </c>
      <c r="CC322" s="129">
        <f t="shared" si="257"/>
        <v>3</v>
      </c>
      <c r="CD322" s="129">
        <f t="shared" si="258"/>
        <v>0</v>
      </c>
      <c r="CE322" s="129">
        <f t="shared" si="232"/>
        <v>0</v>
      </c>
      <c r="CG322" s="129" t="str">
        <f t="shared" si="233"/>
        <v>Y</v>
      </c>
      <c r="CI322" s="129" t="str">
        <f t="shared" si="234"/>
        <v>0-10 DAYS</v>
      </c>
      <c r="CJ322" s="137">
        <f t="shared" si="235"/>
        <v>1</v>
      </c>
      <c r="CK322" s="129" t="str">
        <f t="shared" si="236"/>
        <v>Booked</v>
      </c>
    </row>
    <row r="323" spans="1:89" ht="15.75" customHeight="1" x14ac:dyDescent="0.25">
      <c r="A323" s="111">
        <v>1998</v>
      </c>
      <c r="B323" s="128" t="str">
        <f t="shared" ref="B323:B386" si="264">IF(BD323&lt;&gt;"","Y","N")</f>
        <v>N</v>
      </c>
      <c r="C323" s="128" t="str">
        <f t="shared" ref="C323:C386" si="265">IF((AND(AV323="",AX323="",AY323="")),"N","Y")</f>
        <v>N</v>
      </c>
      <c r="D323" s="117">
        <v>977560</v>
      </c>
      <c r="E323" s="135">
        <f t="shared" ref="E323:E386" si="266">IF(OR(AL323="ACQUITTAL",AL323="ACQUIT",AL323="acq insane",AL323="DISMISSED",AL323="NO BILL"),1,IF(AL323="DEFERRED",2,IF(AL323="PROBATION",3,IF(OR(AL323="HCJ",AL323="fine"),4,IF(AL323="STJ",5,IF(AL323="TDC",6,""))))))</f>
        <v>6</v>
      </c>
      <c r="F323" s="124">
        <v>40983</v>
      </c>
      <c r="G323" s="125">
        <v>40989</v>
      </c>
      <c r="H323" s="117">
        <v>977560</v>
      </c>
      <c r="I323" s="124">
        <v>40984</v>
      </c>
      <c r="J323" s="124">
        <v>40989</v>
      </c>
      <c r="K323" s="126" t="s">
        <v>564</v>
      </c>
      <c r="L323" s="127" t="s">
        <v>564</v>
      </c>
      <c r="N323" s="129" t="s">
        <v>566</v>
      </c>
      <c r="O323" s="128" t="s">
        <v>917</v>
      </c>
      <c r="P323" s="129" t="s">
        <v>39</v>
      </c>
      <c r="Q323" s="111">
        <f t="shared" si="247"/>
        <v>6</v>
      </c>
      <c r="R323" s="111">
        <f t="shared" si="259"/>
        <v>7</v>
      </c>
      <c r="S323" s="129">
        <v>7</v>
      </c>
      <c r="T323" s="129">
        <v>4</v>
      </c>
      <c r="U323" s="129">
        <v>6</v>
      </c>
      <c r="W323" s="111"/>
      <c r="AC323" s="130"/>
      <c r="AD323" s="130">
        <v>24275</v>
      </c>
      <c r="AE323" s="128" t="s">
        <v>32</v>
      </c>
      <c r="AF323" s="128" t="s">
        <v>33</v>
      </c>
      <c r="AG323" s="128" t="s">
        <v>872</v>
      </c>
      <c r="AH323" s="108" t="s">
        <v>31</v>
      </c>
      <c r="AI323" s="128" t="s">
        <v>34</v>
      </c>
      <c r="AJ323" s="129" t="s">
        <v>89</v>
      </c>
      <c r="AK323" s="129">
        <v>2</v>
      </c>
      <c r="AL323" s="3" t="s">
        <v>362</v>
      </c>
      <c r="AM323" s="142">
        <v>10</v>
      </c>
      <c r="AN323" s="142"/>
      <c r="AP323" s="129" t="s">
        <v>84</v>
      </c>
      <c r="AR323" s="128" t="s">
        <v>67</v>
      </c>
      <c r="AS323" s="129" t="s">
        <v>74</v>
      </c>
      <c r="AX323" s="32"/>
      <c r="BC323" s="129" t="s">
        <v>99</v>
      </c>
      <c r="BF323" s="111">
        <f t="shared" si="254"/>
        <v>6</v>
      </c>
      <c r="BG323" s="111">
        <f t="shared" si="255"/>
        <v>6</v>
      </c>
      <c r="BH323" s="111">
        <f t="shared" si="260"/>
        <v>7</v>
      </c>
      <c r="BI323" s="111">
        <f t="shared" si="261"/>
        <v>45.650273224043715</v>
      </c>
      <c r="BJ323" s="129">
        <f t="shared" ref="BJ323:BJ386" si="267">G323-J323-M323</f>
        <v>0</v>
      </c>
      <c r="BK323" s="129">
        <f t="shared" si="262"/>
        <v>0</v>
      </c>
      <c r="BL323" s="129" t="str">
        <f t="shared" si="263"/>
        <v>CONVICTION</v>
      </c>
      <c r="BM323" s="129" t="str">
        <f t="shared" ref="BM323:BM386" si="268">O323</f>
        <v>NONE</v>
      </c>
      <c r="BN323" s="129" t="s">
        <v>566</v>
      </c>
      <c r="BP323" s="137" t="str">
        <f t="shared" ref="BP323:BP386" si="269">IF(OR(AJ323="AQUITTAL",AJ323="DISMISSED",AJ323="FINE",AJ323="NO BILL"),"NO CONVICTION",IF(OR(AJ323="HCJ",AJ323="MHH",AJ323="PROBATION",AJ323="STJ",AJ323="TDC",AJ323="CONVICTED"),"CONVICTION",IF(AJ323="DEFERRED","DEFERRED","")))</f>
        <v>CONVICTION</v>
      </c>
      <c r="BQ323" s="128" t="str">
        <f t="shared" ref="BQ323:BQ386" si="270">IF(BF323&gt;0,"Y",BF323)</f>
        <v>Y</v>
      </c>
      <c r="BR323" s="129" t="str">
        <f t="shared" ref="BR323:BR386" si="271">IF(AND(J323="NOT BOOKED",M323&gt;1/1/1),"BONDED - BEFORE BOOKED",IF(BG323="STILL OPEN","STILL OPEN",IF(N323="Y","ON BOND",IF(J323&gt;=G323,"DETAINED","RELEASED"))))</f>
        <v>DETAINED</v>
      </c>
      <c r="BS323" s="129" t="str">
        <f t="shared" ref="BS323:BS386" si="272">IF(G323&lt;&gt;"","DISPOSED","")</f>
        <v>DISPOSED</v>
      </c>
      <c r="BT323" s="129" t="str">
        <f t="shared" ref="BT323:BT386" si="273">IF(S323&gt;0,"Y","N")</f>
        <v>Y</v>
      </c>
      <c r="BU323" s="109">
        <f t="shared" ref="BU323:BU386" si="274">Q323/R323</f>
        <v>0.8571428571428571</v>
      </c>
      <c r="BV323" s="109">
        <f t="shared" ref="BV323:BV386" si="275">IF(I323&gt;F323,((J323-I323+1)/(G323-I323+1)),(J323-I323+1)/(G323-F323+1))</f>
        <v>1</v>
      </c>
      <c r="BW323" s="109">
        <f t="shared" si="237"/>
        <v>0.1428571428571429</v>
      </c>
      <c r="BX323" s="111">
        <f t="shared" ref="BX323:BX386" si="276">+Q323-BF323</f>
        <v>0</v>
      </c>
      <c r="BY323" s="129">
        <f t="shared" ref="BY323:BY386" si="277">I323-J323-1</f>
        <v>-6</v>
      </c>
      <c r="BZ323" s="111">
        <f t="shared" ref="BZ323:BZ386" si="278">BY323+BF323</f>
        <v>0</v>
      </c>
      <c r="CA323" s="138">
        <f t="shared" ref="CA323:CA386" si="279">IF(AND(BS323="DISPOSED",BR323="DETAINED"),G323-I323+1,IF(AND(BS323="DISPOSED",BR323="ON BOND"),M323-I323+1,IF(AND(BS323="STILL OPEN","STILL OPEN"),"NOT BOOKED")))</f>
        <v>6</v>
      </c>
      <c r="CB323" s="111" t="e">
        <f t="shared" si="256"/>
        <v>#VALUE!</v>
      </c>
      <c r="CC323" s="129">
        <f t="shared" si="257"/>
        <v>6</v>
      </c>
      <c r="CD323" s="129">
        <f t="shared" si="258"/>
        <v>0</v>
      </c>
      <c r="CE323" s="129">
        <f t="shared" ref="CE323:CE386" si="280">G323-J323</f>
        <v>0</v>
      </c>
      <c r="CG323" s="129" t="str">
        <f t="shared" ref="CG323:CG386" si="281">IF((S323+T323+U323)&gt;0,"Y","N")</f>
        <v>Y</v>
      </c>
      <c r="CI323" s="129" t="str">
        <f t="shared" ref="CI323:CI386" si="282">IF(BF323&lt;11,"0-10 DAYS",IF(AND(BF323&gt;10,BF323&lt;31),"11-30 DAYS",IF((AND(BF323&gt;30,BF323&lt;61)),"31-60 DAYS",IF(AND(BF323&gt;60,BF323&lt;91),"61-90 DAYS",IF(AND(BF323&gt;90,BF323&lt;121),"91-120 DAYS",IF(AND(BF323&gt;120,BF323&lt;366),"121-365 DAYS",IF(AND(BF323&gt;365,BF323&lt;730)," &gt;1YRS&lt;2YRS",IF(AND(BF323&gt;729,BF323&lt;1095),"&gt;2YRS&lt;3YRS",IF(BF323&gt;1094,"&gt;3YRS")))))))))</f>
        <v>0-10 DAYS</v>
      </c>
      <c r="CJ323" s="137">
        <f t="shared" ref="CJ323:CJ386" si="283">IF(CI323="0-10 DAYS",1,IF(CI323="11-30 DAYS",2,IF(CI323="31-60 DAYS",3,IF(CI323="61-90 DAYS",4,IF(CK323="91-120 DAYS",5,IF(CI323="121-365 DAYS",6,IF(CI323="&gt;1YRS&lt;2YRS",7,IF(CI323="&gt;2YRS&lt;3YRS",8,IF(CI323="&gt;3YRS",9,0)))))))))</f>
        <v>1</v>
      </c>
      <c r="CK323" s="129" t="str">
        <f t="shared" ref="CK323:CK386" si="284">IF(I323="Not Booked","Not Booked","Booked")</f>
        <v>Booked</v>
      </c>
    </row>
    <row r="324" spans="1:89" ht="15.75" customHeight="1" x14ac:dyDescent="0.25">
      <c r="A324" s="111">
        <v>202</v>
      </c>
      <c r="B324" s="128" t="str">
        <f t="shared" si="264"/>
        <v>N</v>
      </c>
      <c r="C324" s="128" t="str">
        <f t="shared" si="265"/>
        <v>N</v>
      </c>
      <c r="D324" s="117">
        <v>980986</v>
      </c>
      <c r="E324" s="135">
        <f t="shared" si="266"/>
        <v>6</v>
      </c>
      <c r="F324" s="124">
        <v>40917</v>
      </c>
      <c r="G324" s="125">
        <v>41017</v>
      </c>
      <c r="H324" s="117">
        <v>980986</v>
      </c>
      <c r="I324" s="124">
        <v>40918</v>
      </c>
      <c r="J324" s="124">
        <v>41017</v>
      </c>
      <c r="K324" s="126">
        <v>15000</v>
      </c>
      <c r="L324" s="127" t="s">
        <v>571</v>
      </c>
      <c r="N324" s="129" t="str">
        <f>IF(M324&gt;1/1/1,"Y","N")</f>
        <v>N</v>
      </c>
      <c r="O324" s="128" t="s">
        <v>917</v>
      </c>
      <c r="P324" s="129" t="s">
        <v>39</v>
      </c>
      <c r="Q324" s="111">
        <f t="shared" si="247"/>
        <v>100</v>
      </c>
      <c r="R324" s="111">
        <f t="shared" si="259"/>
        <v>101</v>
      </c>
      <c r="S324" s="129">
        <v>8</v>
      </c>
      <c r="T324" s="129">
        <v>11</v>
      </c>
      <c r="U324" s="129">
        <v>8</v>
      </c>
      <c r="W324" s="111"/>
      <c r="AC324" s="130"/>
      <c r="AD324" s="130">
        <v>26194</v>
      </c>
      <c r="AE324" s="128" t="s">
        <v>32</v>
      </c>
      <c r="AF324" s="128" t="s">
        <v>33</v>
      </c>
      <c r="AG324" s="128" t="s">
        <v>872</v>
      </c>
      <c r="AH324" s="108" t="s">
        <v>31</v>
      </c>
      <c r="AI324" s="128" t="s">
        <v>87</v>
      </c>
      <c r="AJ324" s="129" t="s">
        <v>89</v>
      </c>
      <c r="AK324" s="129">
        <v>5</v>
      </c>
      <c r="AL324" s="3" t="s">
        <v>362</v>
      </c>
      <c r="AM324" s="117">
        <v>2</v>
      </c>
      <c r="AP324" s="129" t="s">
        <v>107</v>
      </c>
      <c r="AR324" s="128" t="s">
        <v>44</v>
      </c>
      <c r="AS324" s="129" t="s">
        <v>57</v>
      </c>
      <c r="BC324" s="129" t="s">
        <v>38</v>
      </c>
      <c r="BF324" s="111">
        <f t="shared" si="254"/>
        <v>100</v>
      </c>
      <c r="BG324" s="111">
        <f t="shared" si="255"/>
        <v>100</v>
      </c>
      <c r="BH324" s="111">
        <f t="shared" si="260"/>
        <v>101</v>
      </c>
      <c r="BI324" s="111">
        <f t="shared" si="261"/>
        <v>40.22677595628415</v>
      </c>
      <c r="BJ324" s="129">
        <f t="shared" si="267"/>
        <v>0</v>
      </c>
      <c r="BK324" s="129">
        <f t="shared" si="262"/>
        <v>0</v>
      </c>
      <c r="BL324" s="129" t="str">
        <f t="shared" si="263"/>
        <v>CONVICTION</v>
      </c>
      <c r="BM324" s="129" t="str">
        <f t="shared" si="268"/>
        <v>NONE</v>
      </c>
      <c r="BN324" s="129" t="s">
        <v>566</v>
      </c>
      <c r="BP324" s="137" t="str">
        <f t="shared" si="269"/>
        <v>CONVICTION</v>
      </c>
      <c r="BQ324" s="128" t="str">
        <f t="shared" si="270"/>
        <v>Y</v>
      </c>
      <c r="BR324" s="129" t="str">
        <f t="shared" si="271"/>
        <v>DETAINED</v>
      </c>
      <c r="BS324" s="129" t="str">
        <f t="shared" si="272"/>
        <v>DISPOSED</v>
      </c>
      <c r="BT324" s="129" t="str">
        <f t="shared" si="273"/>
        <v>Y</v>
      </c>
      <c r="BU324" s="109">
        <f t="shared" si="274"/>
        <v>0.99009900990099009</v>
      </c>
      <c r="BV324" s="109">
        <f t="shared" si="275"/>
        <v>1</v>
      </c>
      <c r="BW324" s="109">
        <f t="shared" si="237"/>
        <v>9.9009900990099098E-3</v>
      </c>
      <c r="BX324" s="111">
        <f t="shared" si="276"/>
        <v>0</v>
      </c>
      <c r="BY324" s="129">
        <f t="shared" si="277"/>
        <v>-100</v>
      </c>
      <c r="BZ324" s="111">
        <f t="shared" si="278"/>
        <v>0</v>
      </c>
      <c r="CA324" s="138">
        <f t="shared" si="279"/>
        <v>100</v>
      </c>
      <c r="CB324" s="111" t="e">
        <f t="shared" si="256"/>
        <v>#VALUE!</v>
      </c>
      <c r="CC324" s="129">
        <f t="shared" si="257"/>
        <v>100</v>
      </c>
      <c r="CD324" s="129">
        <f t="shared" si="258"/>
        <v>0</v>
      </c>
      <c r="CE324" s="129">
        <f t="shared" si="280"/>
        <v>0</v>
      </c>
      <c r="CG324" s="129" t="str">
        <f t="shared" si="281"/>
        <v>Y</v>
      </c>
      <c r="CI324" s="129" t="str">
        <f t="shared" si="282"/>
        <v>91-120 DAYS</v>
      </c>
      <c r="CJ324" s="137">
        <f t="shared" si="283"/>
        <v>0</v>
      </c>
      <c r="CK324" s="129" t="str">
        <f t="shared" si="284"/>
        <v>Booked</v>
      </c>
    </row>
    <row r="325" spans="1:89" ht="15" customHeight="1" x14ac:dyDescent="0.25">
      <c r="A325" s="111">
        <v>3210</v>
      </c>
      <c r="B325" s="128" t="str">
        <f t="shared" si="264"/>
        <v>N</v>
      </c>
      <c r="C325" s="128" t="str">
        <f t="shared" si="265"/>
        <v>N</v>
      </c>
      <c r="D325" s="117">
        <v>981401</v>
      </c>
      <c r="E325" s="135">
        <f t="shared" si="266"/>
        <v>5</v>
      </c>
      <c r="F325" s="124">
        <v>41027</v>
      </c>
      <c r="G325" s="125">
        <v>41029</v>
      </c>
      <c r="H325" s="117">
        <v>981401</v>
      </c>
      <c r="I325" s="124">
        <v>41027</v>
      </c>
      <c r="J325" s="124">
        <v>41029</v>
      </c>
      <c r="K325" s="126">
        <v>5000</v>
      </c>
      <c r="L325" s="127" t="s">
        <v>569</v>
      </c>
      <c r="N325" s="129" t="str">
        <f>IF(M325&gt;1/1/1,"Y","N")</f>
        <v>N</v>
      </c>
      <c r="O325" s="128" t="s">
        <v>917</v>
      </c>
      <c r="P325" s="129" t="s">
        <v>39</v>
      </c>
      <c r="Q325" s="111">
        <f t="shared" si="247"/>
        <v>3</v>
      </c>
      <c r="R325" s="111">
        <f t="shared" si="259"/>
        <v>3</v>
      </c>
      <c r="S325" s="129">
        <v>3</v>
      </c>
      <c r="T325" s="129">
        <v>2</v>
      </c>
      <c r="V325" s="117">
        <v>1</v>
      </c>
      <c r="W325" s="111"/>
      <c r="AC325" s="130"/>
      <c r="AD325" s="130">
        <v>22168</v>
      </c>
      <c r="AE325" s="128" t="s">
        <v>46</v>
      </c>
      <c r="AF325" s="128" t="s">
        <v>40</v>
      </c>
      <c r="AG325" s="128" t="s">
        <v>41</v>
      </c>
      <c r="AH325" s="108" t="s">
        <v>41</v>
      </c>
      <c r="AI325" s="128" t="s">
        <v>53</v>
      </c>
      <c r="AJ325" s="129" t="s">
        <v>89</v>
      </c>
      <c r="AK325" s="129">
        <v>1</v>
      </c>
      <c r="AL325" s="3" t="s">
        <v>992</v>
      </c>
      <c r="AN325" s="117">
        <v>6</v>
      </c>
      <c r="AP325" s="129" t="s">
        <v>60</v>
      </c>
      <c r="AR325" s="128" t="s">
        <v>44</v>
      </c>
      <c r="AS325" s="129" t="s">
        <v>61</v>
      </c>
      <c r="BC325" s="129" t="s">
        <v>38</v>
      </c>
      <c r="BF325" s="111">
        <f t="shared" si="254"/>
        <v>3</v>
      </c>
      <c r="BG325" s="111">
        <f t="shared" si="255"/>
        <v>3</v>
      </c>
      <c r="BH325" s="111">
        <f t="shared" si="260"/>
        <v>3</v>
      </c>
      <c r="BI325" s="111">
        <f t="shared" si="261"/>
        <v>51.527322404371581</v>
      </c>
      <c r="BJ325" s="129">
        <f t="shared" si="267"/>
        <v>0</v>
      </c>
      <c r="BK325" s="129">
        <f t="shared" si="262"/>
        <v>0</v>
      </c>
      <c r="BL325" s="129" t="str">
        <f t="shared" si="263"/>
        <v>CONVICTION</v>
      </c>
      <c r="BM325" s="129" t="str">
        <f t="shared" si="268"/>
        <v>NONE</v>
      </c>
      <c r="BN325" s="129" t="s">
        <v>566</v>
      </c>
      <c r="BP325" s="137" t="str">
        <f t="shared" si="269"/>
        <v>CONVICTION</v>
      </c>
      <c r="BQ325" s="128" t="str">
        <f t="shared" si="270"/>
        <v>Y</v>
      </c>
      <c r="BR325" s="129" t="str">
        <f t="shared" si="271"/>
        <v>DETAINED</v>
      </c>
      <c r="BS325" s="129" t="str">
        <f t="shared" si="272"/>
        <v>DISPOSED</v>
      </c>
      <c r="BT325" s="129" t="str">
        <f t="shared" si="273"/>
        <v>Y</v>
      </c>
      <c r="BU325" s="109">
        <f t="shared" si="274"/>
        <v>1</v>
      </c>
      <c r="BV325" s="109">
        <f t="shared" si="275"/>
        <v>1</v>
      </c>
      <c r="BW325" s="109">
        <f t="shared" si="237"/>
        <v>0</v>
      </c>
      <c r="BX325" s="111">
        <f t="shared" si="276"/>
        <v>0</v>
      </c>
      <c r="BY325" s="129">
        <f t="shared" si="277"/>
        <v>-3</v>
      </c>
      <c r="BZ325" s="111">
        <f t="shared" si="278"/>
        <v>0</v>
      </c>
      <c r="CA325" s="138">
        <f t="shared" si="279"/>
        <v>3</v>
      </c>
      <c r="CB325" s="111" t="e">
        <f t="shared" si="256"/>
        <v>#VALUE!</v>
      </c>
      <c r="CC325" s="129">
        <f t="shared" si="257"/>
        <v>3</v>
      </c>
      <c r="CD325" s="129">
        <f t="shared" si="258"/>
        <v>0</v>
      </c>
      <c r="CE325" s="129">
        <f t="shared" si="280"/>
        <v>0</v>
      </c>
      <c r="CG325" s="129" t="str">
        <f t="shared" si="281"/>
        <v>Y</v>
      </c>
      <c r="CI325" s="129" t="str">
        <f t="shared" si="282"/>
        <v>0-10 DAYS</v>
      </c>
      <c r="CJ325" s="137">
        <f t="shared" si="283"/>
        <v>1</v>
      </c>
      <c r="CK325" s="129" t="str">
        <f t="shared" si="284"/>
        <v>Booked</v>
      </c>
    </row>
    <row r="326" spans="1:89" ht="15.75" customHeight="1" x14ac:dyDescent="0.25">
      <c r="A326" s="111">
        <v>1088</v>
      </c>
      <c r="B326" s="128" t="str">
        <f t="shared" si="264"/>
        <v>N</v>
      </c>
      <c r="C326" s="128" t="str">
        <f t="shared" si="265"/>
        <v>N</v>
      </c>
      <c r="D326" s="117">
        <v>982399</v>
      </c>
      <c r="E326" s="135">
        <f t="shared" si="266"/>
        <v>5</v>
      </c>
      <c r="F326" s="124">
        <v>40948</v>
      </c>
      <c r="G326" s="125">
        <v>40952</v>
      </c>
      <c r="H326" s="117">
        <v>982399</v>
      </c>
      <c r="I326" s="124">
        <v>40949</v>
      </c>
      <c r="J326" s="124">
        <v>40952</v>
      </c>
      <c r="K326" s="126">
        <v>15000</v>
      </c>
      <c r="L326" s="127" t="s">
        <v>571</v>
      </c>
      <c r="N326" s="129" t="str">
        <f>IF(M326&gt;1/1/1,"Y","N")</f>
        <v>N</v>
      </c>
      <c r="O326" s="128" t="s">
        <v>917</v>
      </c>
      <c r="P326" s="129" t="s">
        <v>39</v>
      </c>
      <c r="Q326" s="111">
        <f t="shared" si="247"/>
        <v>4</v>
      </c>
      <c r="R326" s="111">
        <f t="shared" si="259"/>
        <v>5</v>
      </c>
      <c r="S326" s="129">
        <v>7</v>
      </c>
      <c r="T326" s="129">
        <v>5</v>
      </c>
      <c r="U326" s="129">
        <v>5</v>
      </c>
      <c r="V326" s="117">
        <v>1</v>
      </c>
      <c r="W326" s="111"/>
      <c r="AC326" s="130"/>
      <c r="AD326" s="130">
        <v>15980</v>
      </c>
      <c r="AE326" s="128" t="s">
        <v>32</v>
      </c>
      <c r="AF326" s="128" t="s">
        <v>33</v>
      </c>
      <c r="AG326" s="128" t="s">
        <v>872</v>
      </c>
      <c r="AH326" s="108" t="s">
        <v>58</v>
      </c>
      <c r="AI326" s="128" t="s">
        <v>83</v>
      </c>
      <c r="AJ326" s="129" t="s">
        <v>89</v>
      </c>
      <c r="AK326" s="129">
        <v>1</v>
      </c>
      <c r="AL326" s="3" t="s">
        <v>992</v>
      </c>
      <c r="AN326" s="117">
        <v>6</v>
      </c>
      <c r="AP326" s="129" t="s">
        <v>60</v>
      </c>
      <c r="AR326" s="128" t="s">
        <v>44</v>
      </c>
      <c r="AS326" s="129" t="s">
        <v>61</v>
      </c>
      <c r="BC326" s="129" t="s">
        <v>38</v>
      </c>
      <c r="BF326" s="111">
        <f t="shared" si="254"/>
        <v>4</v>
      </c>
      <c r="BG326" s="111">
        <f t="shared" si="255"/>
        <v>4</v>
      </c>
      <c r="BH326" s="111">
        <f t="shared" si="260"/>
        <v>5</v>
      </c>
      <c r="BI326" s="111">
        <f t="shared" si="261"/>
        <v>68.21857923497268</v>
      </c>
      <c r="BJ326" s="129">
        <f t="shared" si="267"/>
        <v>0</v>
      </c>
      <c r="BK326" s="129">
        <f t="shared" si="262"/>
        <v>0</v>
      </c>
      <c r="BL326" s="129" t="str">
        <f t="shared" si="263"/>
        <v>CONVICTION</v>
      </c>
      <c r="BM326" s="129" t="str">
        <f t="shared" si="268"/>
        <v>NONE</v>
      </c>
      <c r="BN326" s="129" t="s">
        <v>566</v>
      </c>
      <c r="BP326" s="137" t="str">
        <f t="shared" si="269"/>
        <v>CONVICTION</v>
      </c>
      <c r="BQ326" s="128" t="str">
        <f t="shared" si="270"/>
        <v>Y</v>
      </c>
      <c r="BR326" s="129" t="str">
        <f t="shared" si="271"/>
        <v>DETAINED</v>
      </c>
      <c r="BS326" s="129" t="str">
        <f t="shared" si="272"/>
        <v>DISPOSED</v>
      </c>
      <c r="BT326" s="129" t="str">
        <f t="shared" si="273"/>
        <v>Y</v>
      </c>
      <c r="BU326" s="109">
        <f t="shared" si="274"/>
        <v>0.8</v>
      </c>
      <c r="BV326" s="109">
        <f t="shared" si="275"/>
        <v>1</v>
      </c>
      <c r="BW326" s="109">
        <f t="shared" si="237"/>
        <v>0.19999999999999996</v>
      </c>
      <c r="BX326" s="111">
        <f t="shared" si="276"/>
        <v>0</v>
      </c>
      <c r="BY326" s="129">
        <f t="shared" si="277"/>
        <v>-4</v>
      </c>
      <c r="BZ326" s="111">
        <f t="shared" si="278"/>
        <v>0</v>
      </c>
      <c r="CA326" s="138">
        <f t="shared" si="279"/>
        <v>4</v>
      </c>
      <c r="CB326" s="111" t="e">
        <f t="shared" si="256"/>
        <v>#VALUE!</v>
      </c>
      <c r="CC326" s="129">
        <f t="shared" si="257"/>
        <v>4</v>
      </c>
      <c r="CD326" s="129">
        <f t="shared" si="258"/>
        <v>0</v>
      </c>
      <c r="CE326" s="129">
        <f t="shared" si="280"/>
        <v>0</v>
      </c>
      <c r="CG326" s="129" t="str">
        <f t="shared" si="281"/>
        <v>Y</v>
      </c>
      <c r="CI326" s="129" t="str">
        <f t="shared" si="282"/>
        <v>0-10 DAYS</v>
      </c>
      <c r="CJ326" s="137">
        <f t="shared" si="283"/>
        <v>1</v>
      </c>
      <c r="CK326" s="129" t="str">
        <f t="shared" si="284"/>
        <v>Booked</v>
      </c>
    </row>
    <row r="327" spans="1:89" ht="15" customHeight="1" x14ac:dyDescent="0.25">
      <c r="A327" s="111">
        <v>2813</v>
      </c>
      <c r="B327" s="128" t="str">
        <f t="shared" si="264"/>
        <v>N</v>
      </c>
      <c r="C327" s="128" t="str">
        <f t="shared" si="265"/>
        <v>N</v>
      </c>
      <c r="D327" s="117">
        <v>983576</v>
      </c>
      <c r="E327" s="135">
        <f t="shared" si="266"/>
        <v>5</v>
      </c>
      <c r="F327" s="124">
        <v>41012</v>
      </c>
      <c r="G327" s="125">
        <v>41124</v>
      </c>
      <c r="H327" s="117">
        <v>983576</v>
      </c>
      <c r="I327" s="124">
        <v>41013</v>
      </c>
      <c r="J327" s="124">
        <v>41014</v>
      </c>
      <c r="K327" s="126">
        <v>15000</v>
      </c>
      <c r="L327" s="127" t="s">
        <v>571</v>
      </c>
      <c r="M327" s="125">
        <v>41014</v>
      </c>
      <c r="N327" s="129" t="str">
        <f>IF(M327&gt;1/1/1,"Y","N")</f>
        <v>Y</v>
      </c>
      <c r="O327" s="128" t="s">
        <v>76</v>
      </c>
      <c r="P327" s="129" t="s">
        <v>39</v>
      </c>
      <c r="Q327" s="111">
        <f t="shared" si="247"/>
        <v>2</v>
      </c>
      <c r="R327" s="111">
        <f t="shared" si="259"/>
        <v>113</v>
      </c>
      <c r="S327" s="129">
        <v>4</v>
      </c>
      <c r="T327" s="129">
        <v>3</v>
      </c>
      <c r="U327" s="129">
        <v>3</v>
      </c>
      <c r="W327" s="111"/>
      <c r="AC327" s="130"/>
      <c r="AD327" s="130">
        <v>21404</v>
      </c>
      <c r="AE327" s="128" t="s">
        <v>32</v>
      </c>
      <c r="AF327" s="128" t="s">
        <v>33</v>
      </c>
      <c r="AG327" s="128" t="s">
        <v>872</v>
      </c>
      <c r="AH327" s="108" t="s">
        <v>58</v>
      </c>
      <c r="AI327" s="128" t="s">
        <v>53</v>
      </c>
      <c r="AJ327" s="129" t="s">
        <v>89</v>
      </c>
      <c r="AK327" s="129">
        <v>6</v>
      </c>
      <c r="AL327" s="3" t="s">
        <v>992</v>
      </c>
      <c r="AN327" s="117">
        <v>6</v>
      </c>
      <c r="AP327" s="129" t="s">
        <v>60</v>
      </c>
      <c r="AR327" s="128" t="s">
        <v>44</v>
      </c>
      <c r="AS327" s="129" t="s">
        <v>61</v>
      </c>
      <c r="BC327" s="129" t="s">
        <v>52</v>
      </c>
      <c r="BF327" s="111">
        <f t="shared" si="254"/>
        <v>2</v>
      </c>
      <c r="BG327" s="111">
        <f t="shared" si="255"/>
        <v>112</v>
      </c>
      <c r="BH327" s="111">
        <f t="shared" si="260"/>
        <v>113</v>
      </c>
      <c r="BI327" s="111">
        <f t="shared" si="261"/>
        <v>53.57377049180328</v>
      </c>
      <c r="BJ327" s="129">
        <f>(G327-J327)+(M327-G327)</f>
        <v>0</v>
      </c>
      <c r="BK327" s="129">
        <f t="shared" si="262"/>
        <v>-110</v>
      </c>
      <c r="BL327" s="129" t="str">
        <f t="shared" si="263"/>
        <v>CONVICTION</v>
      </c>
      <c r="BM327" s="129" t="s">
        <v>76</v>
      </c>
      <c r="BN327" s="129" t="s">
        <v>88</v>
      </c>
      <c r="BP327" s="137" t="str">
        <f t="shared" si="269"/>
        <v>CONVICTION</v>
      </c>
      <c r="BQ327" s="128" t="str">
        <f t="shared" si="270"/>
        <v>Y</v>
      </c>
      <c r="BR327" s="129" t="str">
        <f>IF(J327&lt;G327,"ON BOND",0)</f>
        <v>ON BOND</v>
      </c>
      <c r="BS327" s="129" t="str">
        <f t="shared" si="272"/>
        <v>DISPOSED</v>
      </c>
      <c r="BT327" s="129" t="str">
        <f t="shared" si="273"/>
        <v>Y</v>
      </c>
      <c r="BU327" s="109">
        <f t="shared" si="274"/>
        <v>1.7699115044247787E-2</v>
      </c>
      <c r="BV327" s="109">
        <f t="shared" si="275"/>
        <v>1.7857142857142856E-2</v>
      </c>
      <c r="BW327" s="109">
        <f t="shared" si="237"/>
        <v>1.5802781289506879E-4</v>
      </c>
      <c r="BX327" s="111">
        <f t="shared" si="276"/>
        <v>0</v>
      </c>
      <c r="BY327" s="129">
        <f t="shared" si="277"/>
        <v>-2</v>
      </c>
      <c r="BZ327" s="111">
        <f t="shared" si="278"/>
        <v>0</v>
      </c>
      <c r="CA327" s="138">
        <f t="shared" si="279"/>
        <v>2</v>
      </c>
      <c r="CB327" s="111" t="e">
        <f t="shared" si="256"/>
        <v>#VALUE!</v>
      </c>
      <c r="CC327" s="129">
        <f>M327-I327+1</f>
        <v>2</v>
      </c>
      <c r="CD327" s="111">
        <f>CC327-BF327</f>
        <v>0</v>
      </c>
      <c r="CE327" s="129">
        <f t="shared" si="280"/>
        <v>110</v>
      </c>
      <c r="CG327" s="129" t="str">
        <f t="shared" si="281"/>
        <v>Y</v>
      </c>
      <c r="CI327" s="129" t="str">
        <f t="shared" si="282"/>
        <v>0-10 DAYS</v>
      </c>
      <c r="CJ327" s="137">
        <f t="shared" si="283"/>
        <v>1</v>
      </c>
      <c r="CK327" s="129" t="str">
        <f t="shared" si="284"/>
        <v>Booked</v>
      </c>
    </row>
    <row r="328" spans="1:89" ht="15.75" customHeight="1" x14ac:dyDescent="0.25">
      <c r="A328" s="111">
        <v>551</v>
      </c>
      <c r="B328" s="128" t="str">
        <f t="shared" si="264"/>
        <v>N</v>
      </c>
      <c r="C328" s="128" t="str">
        <f t="shared" si="265"/>
        <v>N</v>
      </c>
      <c r="D328" s="117">
        <v>985888</v>
      </c>
      <c r="E328" s="135">
        <f t="shared" si="266"/>
        <v>4</v>
      </c>
      <c r="F328" s="124">
        <v>40931</v>
      </c>
      <c r="G328" s="125">
        <v>40939</v>
      </c>
      <c r="H328" s="117">
        <v>985888</v>
      </c>
      <c r="I328" s="124">
        <v>40931</v>
      </c>
      <c r="J328" s="124">
        <v>40939</v>
      </c>
      <c r="K328" s="126">
        <v>15000</v>
      </c>
      <c r="L328" s="127" t="s">
        <v>571</v>
      </c>
      <c r="N328" s="129" t="str">
        <f>IF(M328&gt;1/1/1,"Y","N")</f>
        <v>N</v>
      </c>
      <c r="O328" s="128" t="s">
        <v>917</v>
      </c>
      <c r="P328" s="129" t="s">
        <v>39</v>
      </c>
      <c r="Q328" s="111">
        <f t="shared" si="247"/>
        <v>9</v>
      </c>
      <c r="R328" s="111">
        <f t="shared" si="259"/>
        <v>9</v>
      </c>
      <c r="S328" s="129">
        <v>4</v>
      </c>
      <c r="T328" s="129">
        <v>2</v>
      </c>
      <c r="U328" s="129">
        <v>1</v>
      </c>
      <c r="V328" s="117">
        <v>1</v>
      </c>
      <c r="W328" s="111"/>
      <c r="AC328" s="130"/>
      <c r="AD328" s="130">
        <v>22447</v>
      </c>
      <c r="AE328" s="128" t="s">
        <v>32</v>
      </c>
      <c r="AF328" s="128" t="s">
        <v>33</v>
      </c>
      <c r="AG328" s="128" t="s">
        <v>872</v>
      </c>
      <c r="AH328" s="108" t="s">
        <v>58</v>
      </c>
      <c r="AI328" s="128" t="s">
        <v>62</v>
      </c>
      <c r="AJ328" s="129" t="s">
        <v>89</v>
      </c>
      <c r="AK328" s="129">
        <v>3</v>
      </c>
      <c r="AL328" s="3" t="s">
        <v>991</v>
      </c>
      <c r="AO328" s="128">
        <v>120</v>
      </c>
      <c r="AP328" s="129" t="s">
        <v>43</v>
      </c>
      <c r="AR328" s="128" t="s">
        <v>44</v>
      </c>
      <c r="AS328" s="129" t="s">
        <v>45</v>
      </c>
      <c r="BC328" s="129" t="s">
        <v>38</v>
      </c>
      <c r="BF328" s="111">
        <f t="shared" si="254"/>
        <v>9</v>
      </c>
      <c r="BG328" s="111">
        <f t="shared" si="255"/>
        <v>9</v>
      </c>
      <c r="BH328" s="111">
        <f t="shared" si="260"/>
        <v>9</v>
      </c>
      <c r="BI328" s="111">
        <f t="shared" si="261"/>
        <v>50.502732240437162</v>
      </c>
      <c r="BJ328" s="129">
        <f t="shared" si="267"/>
        <v>0</v>
      </c>
      <c r="BK328" s="129">
        <f t="shared" si="262"/>
        <v>0</v>
      </c>
      <c r="BL328" s="129" t="str">
        <f t="shared" si="263"/>
        <v>CONVICTION</v>
      </c>
      <c r="BM328" s="129" t="str">
        <f t="shared" si="268"/>
        <v>NONE</v>
      </c>
      <c r="BN328" s="129" t="s">
        <v>566</v>
      </c>
      <c r="BP328" s="137" t="str">
        <f t="shared" si="269"/>
        <v>CONVICTION</v>
      </c>
      <c r="BQ328" s="128" t="str">
        <f t="shared" si="270"/>
        <v>Y</v>
      </c>
      <c r="BR328" s="129" t="str">
        <f t="shared" si="271"/>
        <v>DETAINED</v>
      </c>
      <c r="BS328" s="129" t="str">
        <f t="shared" si="272"/>
        <v>DISPOSED</v>
      </c>
      <c r="BT328" s="129" t="str">
        <f t="shared" si="273"/>
        <v>Y</v>
      </c>
      <c r="BU328" s="109">
        <f t="shared" si="274"/>
        <v>1</v>
      </c>
      <c r="BV328" s="109">
        <f t="shared" si="275"/>
        <v>1</v>
      </c>
      <c r="BW328" s="109">
        <f t="shared" ref="BW328:BW339" si="285">BV328-BU328</f>
        <v>0</v>
      </c>
      <c r="BX328" s="111">
        <f t="shared" si="276"/>
        <v>0</v>
      </c>
      <c r="BY328" s="129">
        <f t="shared" si="277"/>
        <v>-9</v>
      </c>
      <c r="BZ328" s="111">
        <f t="shared" si="278"/>
        <v>0</v>
      </c>
      <c r="CA328" s="138">
        <f t="shared" si="279"/>
        <v>9</v>
      </c>
      <c r="CB328" s="111" t="e">
        <f t="shared" si="256"/>
        <v>#VALUE!</v>
      </c>
      <c r="CC328" s="129">
        <f>G328-I328+1</f>
        <v>9</v>
      </c>
      <c r="CD328" s="129">
        <f>G328-J328</f>
        <v>0</v>
      </c>
      <c r="CE328" s="129">
        <f t="shared" si="280"/>
        <v>0</v>
      </c>
      <c r="CG328" s="129" t="str">
        <f t="shared" si="281"/>
        <v>Y</v>
      </c>
      <c r="CI328" s="129" t="str">
        <f t="shared" si="282"/>
        <v>0-10 DAYS</v>
      </c>
      <c r="CJ328" s="137">
        <f t="shared" si="283"/>
        <v>1</v>
      </c>
      <c r="CK328" s="129" t="str">
        <f t="shared" si="284"/>
        <v>Booked</v>
      </c>
    </row>
    <row r="329" spans="1:89" ht="15.75" customHeight="1" x14ac:dyDescent="0.25">
      <c r="A329" s="111">
        <v>2355</v>
      </c>
      <c r="B329" s="128" t="str">
        <f t="shared" si="264"/>
        <v>N</v>
      </c>
      <c r="C329" s="128" t="str">
        <f t="shared" si="265"/>
        <v>N</v>
      </c>
      <c r="D329" s="117">
        <v>986260</v>
      </c>
      <c r="E329" s="135">
        <f t="shared" si="266"/>
        <v>2</v>
      </c>
      <c r="F329" s="124">
        <v>40997</v>
      </c>
      <c r="G329" s="125">
        <v>41190</v>
      </c>
      <c r="H329" s="117">
        <v>986260</v>
      </c>
      <c r="I329" s="124" t="s">
        <v>562</v>
      </c>
      <c r="J329" s="124" t="s">
        <v>562</v>
      </c>
      <c r="K329" s="126">
        <v>10000</v>
      </c>
      <c r="L329" s="127" t="s">
        <v>570</v>
      </c>
      <c r="M329" s="125">
        <v>40998</v>
      </c>
      <c r="N329" s="129" t="str">
        <f>IF(M329&gt;1/1/1,"Y",IF(Q329="0","","N"))</f>
        <v>Y</v>
      </c>
      <c r="O329" s="128" t="s">
        <v>585</v>
      </c>
      <c r="P329" s="129" t="s">
        <v>77</v>
      </c>
      <c r="Q329" s="111">
        <f t="shared" si="247"/>
        <v>0</v>
      </c>
      <c r="R329" s="111">
        <f t="shared" si="259"/>
        <v>194</v>
      </c>
      <c r="S329" s="129">
        <v>1</v>
      </c>
      <c r="T329" s="129">
        <v>10</v>
      </c>
      <c r="W329" s="111"/>
      <c r="AC329" s="130"/>
      <c r="AD329" s="130">
        <v>22105</v>
      </c>
      <c r="AE329" s="128" t="s">
        <v>32</v>
      </c>
      <c r="AF329" s="128" t="s">
        <v>69</v>
      </c>
      <c r="AG329" s="128" t="s">
        <v>874</v>
      </c>
      <c r="AH329" s="108" t="s">
        <v>58</v>
      </c>
      <c r="AI329" s="128" t="s">
        <v>53</v>
      </c>
      <c r="AJ329" s="129" t="s">
        <v>48</v>
      </c>
      <c r="AK329" s="129">
        <v>10</v>
      </c>
      <c r="AL329" s="3" t="s">
        <v>48</v>
      </c>
      <c r="AP329" s="129" t="s">
        <v>124</v>
      </c>
      <c r="AR329" s="128" t="s">
        <v>67</v>
      </c>
      <c r="AS329" s="129" t="s">
        <v>45</v>
      </c>
      <c r="BC329" s="129" t="s">
        <v>52</v>
      </c>
      <c r="BF329" s="111">
        <v>0</v>
      </c>
      <c r="BG329" s="111">
        <v>0</v>
      </c>
      <c r="BH329" s="111">
        <f t="shared" si="260"/>
        <v>194</v>
      </c>
      <c r="BI329" s="111">
        <f t="shared" si="261"/>
        <v>51.617486338797811</v>
      </c>
      <c r="BJ329" s="129" t="e">
        <f>(G329-J329)+(M329-G329)</f>
        <v>#VALUE!</v>
      </c>
      <c r="BK329" s="129" t="e">
        <f t="shared" si="262"/>
        <v>#VALUE!</v>
      </c>
      <c r="BL329" s="129" t="str">
        <f t="shared" si="263"/>
        <v>DEFERRED</v>
      </c>
      <c r="BM329" s="129" t="s">
        <v>76</v>
      </c>
      <c r="BN329" s="129" t="s">
        <v>88</v>
      </c>
      <c r="BP329" s="137" t="str">
        <f t="shared" si="269"/>
        <v>DEFERRED</v>
      </c>
      <c r="BQ329" s="128">
        <f t="shared" si="270"/>
        <v>0</v>
      </c>
      <c r="BR329" s="129" t="s">
        <v>575</v>
      </c>
      <c r="BS329" s="129" t="str">
        <f t="shared" si="272"/>
        <v>DISPOSED</v>
      </c>
      <c r="BT329" s="129" t="str">
        <f t="shared" si="273"/>
        <v>Y</v>
      </c>
      <c r="BU329" s="109">
        <f t="shared" si="274"/>
        <v>0</v>
      </c>
      <c r="BV329" s="109">
        <v>0</v>
      </c>
      <c r="BW329" s="109">
        <f t="shared" si="285"/>
        <v>0</v>
      </c>
      <c r="BX329" s="111">
        <f t="shared" si="276"/>
        <v>0</v>
      </c>
      <c r="BY329" s="129" t="e">
        <f t="shared" si="277"/>
        <v>#VALUE!</v>
      </c>
      <c r="BZ329" s="111" t="e">
        <f t="shared" si="278"/>
        <v>#VALUE!</v>
      </c>
      <c r="CA329" s="138" t="e">
        <f t="shared" si="279"/>
        <v>#VALUE!</v>
      </c>
      <c r="CB329" s="111">
        <v>0</v>
      </c>
      <c r="CC329" s="129">
        <v>0</v>
      </c>
      <c r="CD329" s="111">
        <f>CC329-BF329</f>
        <v>0</v>
      </c>
      <c r="CE329" s="129" t="e">
        <f t="shared" si="280"/>
        <v>#VALUE!</v>
      </c>
      <c r="CG329" s="129" t="str">
        <f t="shared" si="281"/>
        <v>Y</v>
      </c>
      <c r="CI329" s="129" t="str">
        <f t="shared" si="282"/>
        <v>0-10 DAYS</v>
      </c>
      <c r="CJ329" s="137">
        <f t="shared" si="283"/>
        <v>1</v>
      </c>
      <c r="CK329" s="129" t="str">
        <f t="shared" si="284"/>
        <v>Not Booked</v>
      </c>
    </row>
    <row r="330" spans="1:89" ht="15.75" customHeight="1" x14ac:dyDescent="0.25">
      <c r="A330" s="111">
        <v>754</v>
      </c>
      <c r="B330" s="128" t="str">
        <f t="shared" si="264"/>
        <v>N</v>
      </c>
      <c r="C330" s="128" t="str">
        <f t="shared" si="265"/>
        <v>N</v>
      </c>
      <c r="D330" s="117">
        <v>986910</v>
      </c>
      <c r="E330" s="135">
        <f t="shared" si="266"/>
        <v>1</v>
      </c>
      <c r="F330" s="124">
        <v>40938</v>
      </c>
      <c r="G330" s="125">
        <v>40940</v>
      </c>
      <c r="H330" s="117">
        <v>986910</v>
      </c>
      <c r="I330" s="124">
        <v>40938</v>
      </c>
      <c r="J330" s="124">
        <v>40940</v>
      </c>
      <c r="K330" s="126">
        <v>5000</v>
      </c>
      <c r="L330" s="127" t="s">
        <v>569</v>
      </c>
      <c r="N330" s="129" t="str">
        <f>IF(M330&gt;1/1/1,"Y","N")</f>
        <v>N</v>
      </c>
      <c r="O330" s="128" t="s">
        <v>917</v>
      </c>
      <c r="P330" s="116" t="s">
        <v>55</v>
      </c>
      <c r="Q330" s="111">
        <f t="shared" si="247"/>
        <v>3</v>
      </c>
      <c r="R330" s="111">
        <f t="shared" si="259"/>
        <v>3</v>
      </c>
      <c r="S330" s="129">
        <v>1</v>
      </c>
      <c r="T330" s="129">
        <v>3</v>
      </c>
      <c r="W330" s="111"/>
      <c r="AC330" s="130"/>
      <c r="AD330" s="130">
        <v>20433</v>
      </c>
      <c r="AE330" s="128" t="s">
        <v>32</v>
      </c>
      <c r="AF330" s="128" t="s">
        <v>33</v>
      </c>
      <c r="AG330" s="128" t="s">
        <v>872</v>
      </c>
      <c r="AH330" s="108" t="s">
        <v>58</v>
      </c>
      <c r="AI330" s="128" t="s">
        <v>114</v>
      </c>
      <c r="AJ330" s="129" t="s">
        <v>55</v>
      </c>
      <c r="AK330" s="129">
        <v>1</v>
      </c>
      <c r="AL330" s="3" t="s">
        <v>55</v>
      </c>
      <c r="AP330" s="129" t="s">
        <v>43</v>
      </c>
      <c r="AR330" s="128" t="s">
        <v>44</v>
      </c>
      <c r="AS330" s="129" t="s">
        <v>45</v>
      </c>
      <c r="BC330" s="129" t="s">
        <v>79</v>
      </c>
      <c r="BF330" s="111">
        <f>IF(J330&gt;1/1/1900,((J330+1)-I330),"STILL OPEN")</f>
        <v>3</v>
      </c>
      <c r="BG330" s="111">
        <f>IF(G330&gt;1/1/1900,((G330+1)-I330),"STILL OPEN")</f>
        <v>3</v>
      </c>
      <c r="BH330" s="111">
        <f t="shared" si="260"/>
        <v>3</v>
      </c>
      <c r="BI330" s="111">
        <f t="shared" si="261"/>
        <v>56.024590163934427</v>
      </c>
      <c r="BJ330" s="129">
        <f t="shared" si="267"/>
        <v>0</v>
      </c>
      <c r="BK330" s="129">
        <f t="shared" si="262"/>
        <v>0</v>
      </c>
      <c r="BL330" s="129" t="str">
        <f t="shared" si="263"/>
        <v>NO CONVICTION</v>
      </c>
      <c r="BM330" s="129" t="str">
        <f t="shared" si="268"/>
        <v>NONE</v>
      </c>
      <c r="BN330" s="129" t="s">
        <v>566</v>
      </c>
      <c r="BP330" s="137" t="str">
        <f t="shared" si="269"/>
        <v>NO CONVICTION</v>
      </c>
      <c r="BQ330" s="128" t="str">
        <f t="shared" si="270"/>
        <v>Y</v>
      </c>
      <c r="BR330" s="129" t="str">
        <f t="shared" si="271"/>
        <v>DETAINED</v>
      </c>
      <c r="BS330" s="129" t="str">
        <f t="shared" si="272"/>
        <v>DISPOSED</v>
      </c>
      <c r="BT330" s="129" t="str">
        <f t="shared" si="273"/>
        <v>Y</v>
      </c>
      <c r="BU330" s="109">
        <f>IFERROR(Q330/R330,BR330)</f>
        <v>1</v>
      </c>
      <c r="BV330" s="109">
        <f t="shared" si="275"/>
        <v>1</v>
      </c>
      <c r="BW330" s="109">
        <f t="shared" si="285"/>
        <v>0</v>
      </c>
      <c r="BX330" s="111">
        <f t="shared" si="276"/>
        <v>0</v>
      </c>
      <c r="BY330" s="129">
        <f t="shared" si="277"/>
        <v>-3</v>
      </c>
      <c r="BZ330" s="111">
        <f t="shared" si="278"/>
        <v>0</v>
      </c>
      <c r="CA330" s="138">
        <f t="shared" si="279"/>
        <v>3</v>
      </c>
      <c r="CB330" s="111" t="e">
        <f>IF(AF330&gt;1/1/1900,((AF330+1)-AE330),"STILL OPEN")</f>
        <v>#VALUE!</v>
      </c>
      <c r="CC330" s="129">
        <f>G330-I330+1</f>
        <v>3</v>
      </c>
      <c r="CD330" s="129">
        <f>G330-J330</f>
        <v>0</v>
      </c>
      <c r="CE330" s="129">
        <f t="shared" si="280"/>
        <v>0</v>
      </c>
      <c r="CG330" s="129" t="str">
        <f t="shared" si="281"/>
        <v>Y</v>
      </c>
      <c r="CI330" s="129" t="str">
        <f t="shared" si="282"/>
        <v>0-10 DAYS</v>
      </c>
      <c r="CJ330" s="137">
        <f t="shared" si="283"/>
        <v>1</v>
      </c>
      <c r="CK330" s="129" t="str">
        <f t="shared" si="284"/>
        <v>Booked</v>
      </c>
    </row>
    <row r="331" spans="1:89" ht="15.75" customHeight="1" x14ac:dyDescent="0.25">
      <c r="A331" s="111">
        <v>2767</v>
      </c>
      <c r="B331" s="128" t="str">
        <f t="shared" si="264"/>
        <v>N</v>
      </c>
      <c r="C331" s="128" t="str">
        <f t="shared" si="265"/>
        <v>N</v>
      </c>
      <c r="D331" s="117">
        <v>986977</v>
      </c>
      <c r="E331" s="135">
        <f t="shared" si="266"/>
        <v>4</v>
      </c>
      <c r="F331" s="124">
        <v>41011</v>
      </c>
      <c r="G331" s="125">
        <v>41298</v>
      </c>
      <c r="H331" s="117">
        <v>986977</v>
      </c>
      <c r="I331" s="124" t="s">
        <v>562</v>
      </c>
      <c r="J331" s="124" t="s">
        <v>562</v>
      </c>
      <c r="K331" s="126">
        <v>2000</v>
      </c>
      <c r="L331" s="127" t="s">
        <v>568</v>
      </c>
      <c r="M331" s="125">
        <v>41089</v>
      </c>
      <c r="N331" s="129" t="str">
        <f>IF(M331&gt;1/1/1,"Y",IF(Q331="0","","N"))</f>
        <v>Y</v>
      </c>
      <c r="O331" s="128" t="s">
        <v>76</v>
      </c>
      <c r="P331" s="129" t="s">
        <v>39</v>
      </c>
      <c r="Q331" s="111">
        <f t="shared" si="247"/>
        <v>0</v>
      </c>
      <c r="R331" s="111">
        <f t="shared" si="259"/>
        <v>288</v>
      </c>
      <c r="S331" s="129">
        <v>1</v>
      </c>
      <c r="T331" s="129">
        <v>2</v>
      </c>
      <c r="V331" s="117">
        <v>1</v>
      </c>
      <c r="W331" s="111"/>
      <c r="AC331" s="130"/>
      <c r="AD331" s="130">
        <v>25257</v>
      </c>
      <c r="AE331" s="128" t="s">
        <v>46</v>
      </c>
      <c r="AF331" s="128" t="s">
        <v>33</v>
      </c>
      <c r="AG331" s="128" t="s">
        <v>872</v>
      </c>
      <c r="AH331" s="108" t="s">
        <v>31</v>
      </c>
      <c r="AI331" s="128" t="s">
        <v>97</v>
      </c>
      <c r="AJ331" s="129" t="s">
        <v>89</v>
      </c>
      <c r="AK331" s="129">
        <v>9</v>
      </c>
      <c r="AL331" s="3" t="s">
        <v>1204</v>
      </c>
      <c r="AP331" s="129" t="s">
        <v>94</v>
      </c>
      <c r="AR331" s="128" t="s">
        <v>67</v>
      </c>
      <c r="AS331" s="129" t="s">
        <v>82</v>
      </c>
      <c r="AT331" s="129" t="s">
        <v>1205</v>
      </c>
      <c r="BC331" s="129" t="s">
        <v>52</v>
      </c>
      <c r="BF331" s="111">
        <v>0</v>
      </c>
      <c r="BG331" s="111">
        <v>0</v>
      </c>
      <c r="BH331" s="111">
        <f t="shared" si="260"/>
        <v>288</v>
      </c>
      <c r="BI331" s="111">
        <f t="shared" si="261"/>
        <v>43.043715846994537</v>
      </c>
      <c r="BJ331" s="129" t="e">
        <f>(G331-J331)+(M331-G331)</f>
        <v>#VALUE!</v>
      </c>
      <c r="BK331" s="129" t="e">
        <f t="shared" si="262"/>
        <v>#VALUE!</v>
      </c>
      <c r="BL331" s="129" t="str">
        <f t="shared" si="263"/>
        <v>NO CONVICTION</v>
      </c>
      <c r="BM331" s="129" t="s">
        <v>76</v>
      </c>
      <c r="BN331" s="129" t="s">
        <v>88</v>
      </c>
      <c r="BP331" s="137" t="str">
        <f t="shared" si="269"/>
        <v>CONVICTION</v>
      </c>
      <c r="BQ331" s="128">
        <f t="shared" si="270"/>
        <v>0</v>
      </c>
      <c r="BR331" s="129" t="s">
        <v>575</v>
      </c>
      <c r="BS331" s="129" t="str">
        <f t="shared" si="272"/>
        <v>DISPOSED</v>
      </c>
      <c r="BT331" s="129" t="str">
        <f t="shared" si="273"/>
        <v>Y</v>
      </c>
      <c r="BU331" s="109">
        <f t="shared" si="274"/>
        <v>0</v>
      </c>
      <c r="BV331" s="109">
        <v>0</v>
      </c>
      <c r="BW331" s="109">
        <f t="shared" si="285"/>
        <v>0</v>
      </c>
      <c r="BX331" s="111">
        <f t="shared" si="276"/>
        <v>0</v>
      </c>
      <c r="BY331" s="129" t="e">
        <f t="shared" si="277"/>
        <v>#VALUE!</v>
      </c>
      <c r="BZ331" s="111" t="e">
        <f t="shared" si="278"/>
        <v>#VALUE!</v>
      </c>
      <c r="CA331" s="138" t="e">
        <f t="shared" si="279"/>
        <v>#VALUE!</v>
      </c>
      <c r="CB331" s="111">
        <v>0</v>
      </c>
      <c r="CC331" s="129">
        <v>0</v>
      </c>
      <c r="CD331" s="111">
        <f>CC331-BF331</f>
        <v>0</v>
      </c>
      <c r="CE331" s="129" t="e">
        <f t="shared" si="280"/>
        <v>#VALUE!</v>
      </c>
      <c r="CG331" s="129" t="str">
        <f t="shared" si="281"/>
        <v>Y</v>
      </c>
      <c r="CI331" s="129" t="str">
        <f t="shared" si="282"/>
        <v>0-10 DAYS</v>
      </c>
      <c r="CJ331" s="137">
        <f t="shared" si="283"/>
        <v>1</v>
      </c>
      <c r="CK331" s="129" t="str">
        <f t="shared" si="284"/>
        <v>Not Booked</v>
      </c>
    </row>
    <row r="332" spans="1:89" ht="15.75" customHeight="1" x14ac:dyDescent="0.25">
      <c r="A332" s="111">
        <v>2204</v>
      </c>
      <c r="B332" s="128" t="str">
        <f t="shared" si="264"/>
        <v>N</v>
      </c>
      <c r="C332" s="128" t="str">
        <f t="shared" si="265"/>
        <v>N</v>
      </c>
      <c r="D332" s="117">
        <v>988465</v>
      </c>
      <c r="E332" s="135">
        <f t="shared" si="266"/>
        <v>1</v>
      </c>
      <c r="F332" s="124">
        <v>40991</v>
      </c>
      <c r="G332" s="125">
        <v>41011</v>
      </c>
      <c r="H332" s="117">
        <v>988465</v>
      </c>
      <c r="I332" s="124" t="s">
        <v>562</v>
      </c>
      <c r="J332" s="124" t="s">
        <v>562</v>
      </c>
      <c r="K332" s="126">
        <v>5000</v>
      </c>
      <c r="L332" s="127" t="s">
        <v>569</v>
      </c>
      <c r="M332" s="125">
        <v>40992</v>
      </c>
      <c r="N332" s="129" t="str">
        <f>IF(M332&gt;1/1/1,"Y",IF(Q332="0","","N"))</f>
        <v>Y</v>
      </c>
      <c r="O332" s="128" t="s">
        <v>76</v>
      </c>
      <c r="P332" s="129" t="s">
        <v>55</v>
      </c>
      <c r="Q332" s="111">
        <f t="shared" si="247"/>
        <v>0</v>
      </c>
      <c r="R332" s="111">
        <f t="shared" si="259"/>
        <v>21</v>
      </c>
      <c r="S332" s="129">
        <v>1</v>
      </c>
      <c r="T332" s="129">
        <v>0</v>
      </c>
      <c r="V332" s="117">
        <v>1</v>
      </c>
      <c r="W332" s="111"/>
      <c r="AC332" s="130"/>
      <c r="AD332" s="130">
        <v>22015</v>
      </c>
      <c r="AE332" s="128" t="s">
        <v>32</v>
      </c>
      <c r="AF332" s="128" t="s">
        <v>69</v>
      </c>
      <c r="AG332" s="128" t="s">
        <v>874</v>
      </c>
      <c r="AH332" s="108" t="s">
        <v>31</v>
      </c>
      <c r="AI332" s="128" t="s">
        <v>85</v>
      </c>
      <c r="AJ332" s="129" t="s">
        <v>55</v>
      </c>
      <c r="AK332" s="129">
        <v>2</v>
      </c>
      <c r="AL332" s="3" t="s">
        <v>55</v>
      </c>
      <c r="AP332" s="129" t="s">
        <v>104</v>
      </c>
      <c r="AR332" s="128" t="s">
        <v>44</v>
      </c>
      <c r="AS332" s="129" t="s">
        <v>64</v>
      </c>
      <c r="BC332" s="129" t="s">
        <v>52</v>
      </c>
      <c r="BF332" s="111">
        <v>0</v>
      </c>
      <c r="BG332" s="111">
        <v>0</v>
      </c>
      <c r="BH332" s="111">
        <f t="shared" si="260"/>
        <v>21</v>
      </c>
      <c r="BI332" s="111">
        <f t="shared" si="261"/>
        <v>51.846994535519123</v>
      </c>
      <c r="BJ332" s="129" t="e">
        <f>(G332-J332)+(M332-G332)</f>
        <v>#VALUE!</v>
      </c>
      <c r="BK332" s="129" t="e">
        <f t="shared" si="262"/>
        <v>#VALUE!</v>
      </c>
      <c r="BL332" s="129" t="str">
        <f t="shared" si="263"/>
        <v>NO CONVICTION</v>
      </c>
      <c r="BM332" s="129" t="s">
        <v>76</v>
      </c>
      <c r="BN332" s="129" t="s">
        <v>88</v>
      </c>
      <c r="BP332" s="137" t="str">
        <f t="shared" si="269"/>
        <v>NO CONVICTION</v>
      </c>
      <c r="BQ332" s="128">
        <f t="shared" si="270"/>
        <v>0</v>
      </c>
      <c r="BR332" s="129" t="s">
        <v>575</v>
      </c>
      <c r="BS332" s="129" t="str">
        <f t="shared" si="272"/>
        <v>DISPOSED</v>
      </c>
      <c r="BT332" s="129" t="str">
        <f t="shared" si="273"/>
        <v>Y</v>
      </c>
      <c r="BU332" s="109">
        <f>IFERROR(Q332/R332,BR332)</f>
        <v>0</v>
      </c>
      <c r="BV332" s="109">
        <v>0</v>
      </c>
      <c r="BW332" s="109">
        <f t="shared" si="285"/>
        <v>0</v>
      </c>
      <c r="BX332" s="111">
        <f t="shared" si="276"/>
        <v>0</v>
      </c>
      <c r="BY332" s="129" t="e">
        <f t="shared" si="277"/>
        <v>#VALUE!</v>
      </c>
      <c r="BZ332" s="111" t="e">
        <f t="shared" si="278"/>
        <v>#VALUE!</v>
      </c>
      <c r="CA332" s="138" t="e">
        <f t="shared" si="279"/>
        <v>#VALUE!</v>
      </c>
      <c r="CB332" s="111">
        <v>0</v>
      </c>
      <c r="CC332" s="129">
        <v>0</v>
      </c>
      <c r="CD332" s="111">
        <f>CC332-BF332</f>
        <v>0</v>
      </c>
      <c r="CE332" s="129" t="e">
        <f t="shared" si="280"/>
        <v>#VALUE!</v>
      </c>
      <c r="CG332" s="129" t="str">
        <f t="shared" si="281"/>
        <v>Y</v>
      </c>
      <c r="CI332" s="129" t="str">
        <f t="shared" si="282"/>
        <v>0-10 DAYS</v>
      </c>
      <c r="CJ332" s="137">
        <f t="shared" si="283"/>
        <v>1</v>
      </c>
      <c r="CK332" s="129" t="str">
        <f t="shared" si="284"/>
        <v>Not Booked</v>
      </c>
    </row>
    <row r="333" spans="1:89" ht="15.75" customHeight="1" x14ac:dyDescent="0.25">
      <c r="A333" s="111">
        <v>2351</v>
      </c>
      <c r="B333" s="128" t="str">
        <f t="shared" si="264"/>
        <v>N</v>
      </c>
      <c r="C333" s="128" t="str">
        <f t="shared" si="265"/>
        <v>N</v>
      </c>
      <c r="D333" s="117">
        <v>990513</v>
      </c>
      <c r="E333" s="135">
        <f t="shared" si="266"/>
        <v>6</v>
      </c>
      <c r="F333" s="124">
        <v>40997</v>
      </c>
      <c r="G333" s="125">
        <v>41123</v>
      </c>
      <c r="H333" s="117">
        <v>990513</v>
      </c>
      <c r="I333" s="124">
        <v>40998</v>
      </c>
      <c r="J333" s="124">
        <v>41123</v>
      </c>
      <c r="K333" s="126" t="s">
        <v>564</v>
      </c>
      <c r="L333" s="127" t="s">
        <v>564</v>
      </c>
      <c r="N333" s="129" t="s">
        <v>566</v>
      </c>
      <c r="O333" s="128" t="s">
        <v>917</v>
      </c>
      <c r="P333" s="129" t="s">
        <v>39</v>
      </c>
      <c r="Q333" s="111">
        <f t="shared" si="247"/>
        <v>126</v>
      </c>
      <c r="R333" s="111">
        <f t="shared" si="259"/>
        <v>127</v>
      </c>
      <c r="S333" s="129">
        <v>3</v>
      </c>
      <c r="T333" s="129">
        <v>3</v>
      </c>
      <c r="U333" s="129">
        <v>2</v>
      </c>
      <c r="W333" s="111"/>
      <c r="AC333" s="130"/>
      <c r="AD333" s="130">
        <v>26131</v>
      </c>
      <c r="AE333" s="128" t="s">
        <v>32</v>
      </c>
      <c r="AF333" s="128" t="s">
        <v>40</v>
      </c>
      <c r="AG333" s="128" t="s">
        <v>41</v>
      </c>
      <c r="AH333" s="108" t="s">
        <v>41</v>
      </c>
      <c r="AI333" s="128" t="s">
        <v>80</v>
      </c>
      <c r="AJ333" s="129" t="s">
        <v>89</v>
      </c>
      <c r="AK333" s="129">
        <v>4</v>
      </c>
      <c r="AL333" s="3" t="s">
        <v>362</v>
      </c>
      <c r="AM333" s="117">
        <v>10</v>
      </c>
      <c r="AP333" s="129" t="s">
        <v>101</v>
      </c>
      <c r="AR333" s="128" t="s">
        <v>67</v>
      </c>
      <c r="AS333" s="129" t="s">
        <v>64</v>
      </c>
      <c r="BC333" s="129" t="s">
        <v>38</v>
      </c>
      <c r="BF333" s="111">
        <f t="shared" ref="BF333:BF364" si="286">IF(J333&gt;1/1/1900,((J333+1)-I333),"STILL OPEN")</f>
        <v>126</v>
      </c>
      <c r="BG333" s="111">
        <f t="shared" ref="BG333:BG364" si="287">IF(G333&gt;1/1/1900,((G333+1)-I333),"STILL OPEN")</f>
        <v>126</v>
      </c>
      <c r="BH333" s="111">
        <f t="shared" si="260"/>
        <v>127</v>
      </c>
      <c r="BI333" s="111">
        <f t="shared" si="261"/>
        <v>40.617486338797811</v>
      </c>
      <c r="BJ333" s="129">
        <f t="shared" si="267"/>
        <v>0</v>
      </c>
      <c r="BK333" s="129">
        <f t="shared" si="262"/>
        <v>0</v>
      </c>
      <c r="BL333" s="129" t="str">
        <f t="shared" si="263"/>
        <v>CONVICTION</v>
      </c>
      <c r="BM333" s="129" t="str">
        <f t="shared" si="268"/>
        <v>NONE</v>
      </c>
      <c r="BN333" s="129" t="s">
        <v>566</v>
      </c>
      <c r="BP333" s="137" t="str">
        <f t="shared" si="269"/>
        <v>CONVICTION</v>
      </c>
      <c r="BQ333" s="128" t="str">
        <f t="shared" si="270"/>
        <v>Y</v>
      </c>
      <c r="BR333" s="129" t="str">
        <f t="shared" si="271"/>
        <v>DETAINED</v>
      </c>
      <c r="BS333" s="129" t="str">
        <f t="shared" si="272"/>
        <v>DISPOSED</v>
      </c>
      <c r="BT333" s="129" t="str">
        <f t="shared" si="273"/>
        <v>Y</v>
      </c>
      <c r="BU333" s="109">
        <f t="shared" si="274"/>
        <v>0.99212598425196852</v>
      </c>
      <c r="BV333" s="109">
        <f t="shared" si="275"/>
        <v>1</v>
      </c>
      <c r="BW333" s="109">
        <f t="shared" si="285"/>
        <v>7.8740157480314821E-3</v>
      </c>
      <c r="BX333" s="111">
        <f t="shared" si="276"/>
        <v>0</v>
      </c>
      <c r="BY333" s="129">
        <f t="shared" si="277"/>
        <v>-126</v>
      </c>
      <c r="BZ333" s="111">
        <f t="shared" si="278"/>
        <v>0</v>
      </c>
      <c r="CA333" s="138">
        <f t="shared" si="279"/>
        <v>126</v>
      </c>
      <c r="CB333" s="111" t="e">
        <f t="shared" ref="CB333:CB390" si="288">IF(AF333&gt;1/1/1900,((AF333+1)-AE333),"STILL OPEN")</f>
        <v>#VALUE!</v>
      </c>
      <c r="CC333" s="129">
        <f t="shared" ref="CC333:CC338" si="289">G333-I333+1</f>
        <v>126</v>
      </c>
      <c r="CD333" s="129">
        <f t="shared" ref="CD333:CD338" si="290">G333-J333</f>
        <v>0</v>
      </c>
      <c r="CE333" s="129">
        <f t="shared" si="280"/>
        <v>0</v>
      </c>
      <c r="CG333" s="129" t="str">
        <f t="shared" si="281"/>
        <v>Y</v>
      </c>
      <c r="CI333" s="129" t="str">
        <f t="shared" si="282"/>
        <v>121-365 DAYS</v>
      </c>
      <c r="CJ333" s="137">
        <f t="shared" si="283"/>
        <v>6</v>
      </c>
      <c r="CK333" s="129" t="str">
        <f t="shared" si="284"/>
        <v>Booked</v>
      </c>
    </row>
    <row r="334" spans="1:89" ht="15.75" customHeight="1" x14ac:dyDescent="0.25">
      <c r="A334" s="111">
        <v>914</v>
      </c>
      <c r="B334" s="128" t="str">
        <f t="shared" si="264"/>
        <v>N</v>
      </c>
      <c r="C334" s="128" t="str">
        <f t="shared" si="265"/>
        <v>N</v>
      </c>
      <c r="D334" s="117">
        <v>991172</v>
      </c>
      <c r="E334" s="135">
        <f t="shared" si="266"/>
        <v>6</v>
      </c>
      <c r="F334" s="124">
        <v>40942</v>
      </c>
      <c r="G334" s="125">
        <v>41135</v>
      </c>
      <c r="H334" s="117">
        <v>991172</v>
      </c>
      <c r="I334" s="124">
        <v>40947</v>
      </c>
      <c r="J334" s="124">
        <v>41135</v>
      </c>
      <c r="K334" s="126">
        <v>10000</v>
      </c>
      <c r="L334" s="127" t="s">
        <v>570</v>
      </c>
      <c r="N334" s="129" t="str">
        <f t="shared" ref="N334:N344" si="291">IF(M334&gt;1/1/1,"Y","N")</f>
        <v>N</v>
      </c>
      <c r="O334" s="128" t="s">
        <v>917</v>
      </c>
      <c r="P334" s="129" t="s">
        <v>39</v>
      </c>
      <c r="Q334" s="111">
        <f t="shared" si="247"/>
        <v>189</v>
      </c>
      <c r="R334" s="111">
        <f t="shared" si="259"/>
        <v>194</v>
      </c>
      <c r="S334" s="129">
        <v>3</v>
      </c>
      <c r="T334" s="129">
        <v>3</v>
      </c>
      <c r="U334" s="129">
        <v>3</v>
      </c>
      <c r="W334" s="111"/>
      <c r="AC334" s="130"/>
      <c r="AD334" s="130">
        <v>19089</v>
      </c>
      <c r="AE334" s="128" t="s">
        <v>32</v>
      </c>
      <c r="AF334" s="128" t="s">
        <v>33</v>
      </c>
      <c r="AG334" s="128" t="s">
        <v>872</v>
      </c>
      <c r="AH334" s="108" t="s">
        <v>31</v>
      </c>
      <c r="AI334" s="128" t="s">
        <v>87</v>
      </c>
      <c r="AJ334" s="129" t="s">
        <v>89</v>
      </c>
      <c r="AK334" s="129">
        <v>9</v>
      </c>
      <c r="AL334" s="3" t="s">
        <v>362</v>
      </c>
      <c r="AM334" s="117">
        <v>1</v>
      </c>
      <c r="AP334" s="129" t="s">
        <v>170</v>
      </c>
      <c r="AR334" s="128" t="s">
        <v>67</v>
      </c>
      <c r="AS334" s="129" t="s">
        <v>64</v>
      </c>
      <c r="BC334" s="129" t="s">
        <v>38</v>
      </c>
      <c r="BF334" s="111">
        <f t="shared" si="286"/>
        <v>189</v>
      </c>
      <c r="BG334" s="111">
        <f t="shared" si="287"/>
        <v>189</v>
      </c>
      <c r="BH334" s="111">
        <f t="shared" si="260"/>
        <v>194</v>
      </c>
      <c r="BI334" s="111">
        <f t="shared" si="261"/>
        <v>59.707650273224047</v>
      </c>
      <c r="BJ334" s="129">
        <f t="shared" si="267"/>
        <v>0</v>
      </c>
      <c r="BK334" s="129">
        <f t="shared" si="262"/>
        <v>0</v>
      </c>
      <c r="BL334" s="129" t="str">
        <f t="shared" si="263"/>
        <v>CONVICTION</v>
      </c>
      <c r="BM334" s="129" t="str">
        <f t="shared" si="268"/>
        <v>NONE</v>
      </c>
      <c r="BN334" s="129" t="s">
        <v>566</v>
      </c>
      <c r="BP334" s="137" t="str">
        <f t="shared" si="269"/>
        <v>CONVICTION</v>
      </c>
      <c r="BQ334" s="128" t="str">
        <f t="shared" si="270"/>
        <v>Y</v>
      </c>
      <c r="BR334" s="129" t="str">
        <f t="shared" si="271"/>
        <v>DETAINED</v>
      </c>
      <c r="BS334" s="129" t="str">
        <f t="shared" si="272"/>
        <v>DISPOSED</v>
      </c>
      <c r="BT334" s="129" t="str">
        <f t="shared" si="273"/>
        <v>Y</v>
      </c>
      <c r="BU334" s="109">
        <f t="shared" si="274"/>
        <v>0.97422680412371132</v>
      </c>
      <c r="BV334" s="109">
        <f t="shared" si="275"/>
        <v>1</v>
      </c>
      <c r="BW334" s="109">
        <f t="shared" si="285"/>
        <v>2.5773195876288679E-2</v>
      </c>
      <c r="BX334" s="111">
        <f t="shared" si="276"/>
        <v>0</v>
      </c>
      <c r="BY334" s="129">
        <f t="shared" si="277"/>
        <v>-189</v>
      </c>
      <c r="BZ334" s="111">
        <f t="shared" si="278"/>
        <v>0</v>
      </c>
      <c r="CA334" s="138">
        <f t="shared" si="279"/>
        <v>189</v>
      </c>
      <c r="CB334" s="111" t="e">
        <f t="shared" si="288"/>
        <v>#VALUE!</v>
      </c>
      <c r="CC334" s="129">
        <f t="shared" si="289"/>
        <v>189</v>
      </c>
      <c r="CD334" s="129">
        <f t="shared" si="290"/>
        <v>0</v>
      </c>
      <c r="CE334" s="129">
        <f t="shared" si="280"/>
        <v>0</v>
      </c>
      <c r="CG334" s="129" t="str">
        <f t="shared" si="281"/>
        <v>Y</v>
      </c>
      <c r="CI334" s="129" t="str">
        <f t="shared" si="282"/>
        <v>121-365 DAYS</v>
      </c>
      <c r="CJ334" s="137">
        <f t="shared" si="283"/>
        <v>6</v>
      </c>
      <c r="CK334" s="129" t="str">
        <f t="shared" si="284"/>
        <v>Booked</v>
      </c>
    </row>
    <row r="335" spans="1:89" ht="15" customHeight="1" x14ac:dyDescent="0.25">
      <c r="A335" s="111">
        <v>3266</v>
      </c>
      <c r="B335" s="128" t="str">
        <f t="shared" si="264"/>
        <v>N</v>
      </c>
      <c r="C335" s="128" t="str">
        <f t="shared" si="265"/>
        <v>N</v>
      </c>
      <c r="D335" s="117">
        <v>991194</v>
      </c>
      <c r="E335" s="135">
        <f t="shared" si="266"/>
        <v>4</v>
      </c>
      <c r="F335" s="124">
        <v>41029</v>
      </c>
      <c r="G335" s="125">
        <v>41149</v>
      </c>
      <c r="H335" s="117">
        <v>991194</v>
      </c>
      <c r="I335" s="124">
        <v>41029</v>
      </c>
      <c r="J335" s="124">
        <v>41149</v>
      </c>
      <c r="K335" s="126">
        <v>5000</v>
      </c>
      <c r="L335" s="127" t="s">
        <v>569</v>
      </c>
      <c r="N335" s="129" t="str">
        <f t="shared" si="291"/>
        <v>N</v>
      </c>
      <c r="O335" s="128" t="s">
        <v>917</v>
      </c>
      <c r="P335" s="129" t="s">
        <v>39</v>
      </c>
      <c r="Q335" s="111">
        <f t="shared" si="247"/>
        <v>121</v>
      </c>
      <c r="R335" s="111">
        <f t="shared" si="259"/>
        <v>121</v>
      </c>
      <c r="S335" s="129">
        <v>3</v>
      </c>
      <c r="T335" s="129">
        <v>3</v>
      </c>
      <c r="U335" s="129">
        <v>1</v>
      </c>
      <c r="W335" s="111"/>
      <c r="AC335" s="130"/>
      <c r="AD335" s="130">
        <v>22850</v>
      </c>
      <c r="AE335" s="128" t="s">
        <v>32</v>
      </c>
      <c r="AF335" s="128" t="s">
        <v>33</v>
      </c>
      <c r="AG335" s="128" t="s">
        <v>872</v>
      </c>
      <c r="AH335" s="108" t="s">
        <v>58</v>
      </c>
      <c r="AI335" s="128" t="s">
        <v>53</v>
      </c>
      <c r="AJ335" s="129" t="s">
        <v>89</v>
      </c>
      <c r="AK335" s="129">
        <v>6</v>
      </c>
      <c r="AL335" s="3" t="s">
        <v>991</v>
      </c>
      <c r="AO335" s="128">
        <v>180</v>
      </c>
      <c r="AP335" s="129" t="s">
        <v>60</v>
      </c>
      <c r="AR335" s="128" t="s">
        <v>44</v>
      </c>
      <c r="AS335" s="129" t="s">
        <v>61</v>
      </c>
      <c r="BC335" s="129" t="s">
        <v>38</v>
      </c>
      <c r="BF335" s="111">
        <f t="shared" si="286"/>
        <v>121</v>
      </c>
      <c r="BG335" s="111">
        <f t="shared" si="287"/>
        <v>121</v>
      </c>
      <c r="BH335" s="111">
        <f t="shared" si="260"/>
        <v>121</v>
      </c>
      <c r="BI335" s="111">
        <f t="shared" si="261"/>
        <v>49.669398907103826</v>
      </c>
      <c r="BJ335" s="129">
        <f t="shared" si="267"/>
        <v>0</v>
      </c>
      <c r="BK335" s="129">
        <f t="shared" si="262"/>
        <v>0</v>
      </c>
      <c r="BL335" s="129" t="str">
        <f t="shared" si="263"/>
        <v>CONVICTION</v>
      </c>
      <c r="BM335" s="129" t="str">
        <f t="shared" si="268"/>
        <v>NONE</v>
      </c>
      <c r="BN335" s="129" t="s">
        <v>566</v>
      </c>
      <c r="BP335" s="137" t="str">
        <f t="shared" si="269"/>
        <v>CONVICTION</v>
      </c>
      <c r="BQ335" s="128" t="str">
        <f t="shared" si="270"/>
        <v>Y</v>
      </c>
      <c r="BR335" s="129" t="str">
        <f t="shared" si="271"/>
        <v>DETAINED</v>
      </c>
      <c r="BS335" s="129" t="str">
        <f t="shared" si="272"/>
        <v>DISPOSED</v>
      </c>
      <c r="BT335" s="129" t="str">
        <f t="shared" si="273"/>
        <v>Y</v>
      </c>
      <c r="BU335" s="109">
        <f t="shared" si="274"/>
        <v>1</v>
      </c>
      <c r="BV335" s="109">
        <f t="shared" si="275"/>
        <v>1</v>
      </c>
      <c r="BW335" s="109">
        <f t="shared" si="285"/>
        <v>0</v>
      </c>
      <c r="BX335" s="111">
        <f t="shared" si="276"/>
        <v>0</v>
      </c>
      <c r="BY335" s="129">
        <f t="shared" si="277"/>
        <v>-121</v>
      </c>
      <c r="BZ335" s="111">
        <f t="shared" si="278"/>
        <v>0</v>
      </c>
      <c r="CA335" s="138">
        <f t="shared" si="279"/>
        <v>121</v>
      </c>
      <c r="CB335" s="111" t="e">
        <f t="shared" si="288"/>
        <v>#VALUE!</v>
      </c>
      <c r="CC335" s="129">
        <f t="shared" si="289"/>
        <v>121</v>
      </c>
      <c r="CD335" s="129">
        <f t="shared" si="290"/>
        <v>0</v>
      </c>
      <c r="CE335" s="129">
        <f t="shared" si="280"/>
        <v>0</v>
      </c>
      <c r="CG335" s="129" t="str">
        <f t="shared" si="281"/>
        <v>Y</v>
      </c>
      <c r="CI335" s="129" t="str">
        <f t="shared" si="282"/>
        <v>121-365 DAYS</v>
      </c>
      <c r="CJ335" s="137">
        <f t="shared" si="283"/>
        <v>6</v>
      </c>
      <c r="CK335" s="129" t="str">
        <f t="shared" si="284"/>
        <v>Booked</v>
      </c>
    </row>
    <row r="336" spans="1:89" ht="15" customHeight="1" x14ac:dyDescent="0.25">
      <c r="A336" s="111">
        <v>1779</v>
      </c>
      <c r="B336" s="128" t="str">
        <f t="shared" si="264"/>
        <v>N</v>
      </c>
      <c r="C336" s="128" t="str">
        <f t="shared" si="265"/>
        <v>N</v>
      </c>
      <c r="D336" s="117">
        <v>993302</v>
      </c>
      <c r="E336" s="135">
        <f t="shared" si="266"/>
        <v>5</v>
      </c>
      <c r="F336" s="124">
        <v>40975</v>
      </c>
      <c r="G336" s="125">
        <v>40977</v>
      </c>
      <c r="H336" s="117">
        <v>993302</v>
      </c>
      <c r="I336" s="124">
        <v>40975</v>
      </c>
      <c r="J336" s="124">
        <v>40977</v>
      </c>
      <c r="K336" s="126">
        <v>20000</v>
      </c>
      <c r="L336" s="127" t="s">
        <v>571</v>
      </c>
      <c r="N336" s="129" t="str">
        <f t="shared" si="291"/>
        <v>N</v>
      </c>
      <c r="O336" s="128" t="s">
        <v>917</v>
      </c>
      <c r="P336" s="129" t="s">
        <v>39</v>
      </c>
      <c r="Q336" s="111">
        <f t="shared" si="247"/>
        <v>3</v>
      </c>
      <c r="R336" s="111">
        <f t="shared" si="259"/>
        <v>3</v>
      </c>
      <c r="S336" s="129">
        <v>7</v>
      </c>
      <c r="T336" s="129">
        <v>1</v>
      </c>
      <c r="W336" s="111"/>
      <c r="AC336" s="130"/>
      <c r="AD336" s="130">
        <v>25866</v>
      </c>
      <c r="AE336" s="128" t="s">
        <v>32</v>
      </c>
      <c r="AF336" s="128" t="s">
        <v>33</v>
      </c>
      <c r="AG336" s="128" t="s">
        <v>872</v>
      </c>
      <c r="AH336" s="108" t="s">
        <v>58</v>
      </c>
      <c r="AI336" s="128" t="s">
        <v>97</v>
      </c>
      <c r="AJ336" s="129" t="s">
        <v>89</v>
      </c>
      <c r="AK336" s="129">
        <v>2</v>
      </c>
      <c r="AL336" s="3" t="s">
        <v>992</v>
      </c>
      <c r="AN336" s="117">
        <v>6</v>
      </c>
      <c r="AP336" s="129" t="s">
        <v>259</v>
      </c>
      <c r="AR336" s="128" t="s">
        <v>44</v>
      </c>
      <c r="AS336" s="129" t="s">
        <v>82</v>
      </c>
      <c r="BC336" s="129" t="s">
        <v>38</v>
      </c>
      <c r="BF336" s="111">
        <f t="shared" si="286"/>
        <v>3</v>
      </c>
      <c r="BG336" s="111">
        <f t="shared" si="287"/>
        <v>3</v>
      </c>
      <c r="BH336" s="111">
        <f t="shared" si="260"/>
        <v>3</v>
      </c>
      <c r="BI336" s="111">
        <f t="shared" si="261"/>
        <v>41.28142076502732</v>
      </c>
      <c r="BJ336" s="129">
        <f t="shared" si="267"/>
        <v>0</v>
      </c>
      <c r="BK336" s="129">
        <f t="shared" si="262"/>
        <v>0</v>
      </c>
      <c r="BL336" s="129" t="str">
        <f t="shared" si="263"/>
        <v>CONVICTION</v>
      </c>
      <c r="BM336" s="129" t="str">
        <f t="shared" si="268"/>
        <v>NONE</v>
      </c>
      <c r="BN336" s="129" t="s">
        <v>566</v>
      </c>
      <c r="BP336" s="137" t="str">
        <f t="shared" si="269"/>
        <v>CONVICTION</v>
      </c>
      <c r="BQ336" s="128" t="str">
        <f t="shared" si="270"/>
        <v>Y</v>
      </c>
      <c r="BR336" s="129" t="str">
        <f t="shared" si="271"/>
        <v>DETAINED</v>
      </c>
      <c r="BS336" s="129" t="str">
        <f t="shared" si="272"/>
        <v>DISPOSED</v>
      </c>
      <c r="BT336" s="129" t="str">
        <f t="shared" si="273"/>
        <v>Y</v>
      </c>
      <c r="BU336" s="109">
        <f t="shared" si="274"/>
        <v>1</v>
      </c>
      <c r="BV336" s="109">
        <f t="shared" si="275"/>
        <v>1</v>
      </c>
      <c r="BW336" s="109">
        <f t="shared" si="285"/>
        <v>0</v>
      </c>
      <c r="BX336" s="111">
        <f t="shared" si="276"/>
        <v>0</v>
      </c>
      <c r="BY336" s="129">
        <f t="shared" si="277"/>
        <v>-3</v>
      </c>
      <c r="BZ336" s="111">
        <f t="shared" si="278"/>
        <v>0</v>
      </c>
      <c r="CA336" s="138">
        <f t="shared" si="279"/>
        <v>3</v>
      </c>
      <c r="CB336" s="111" t="e">
        <f t="shared" si="288"/>
        <v>#VALUE!</v>
      </c>
      <c r="CC336" s="129">
        <f t="shared" si="289"/>
        <v>3</v>
      </c>
      <c r="CD336" s="129">
        <f t="shared" si="290"/>
        <v>0</v>
      </c>
      <c r="CE336" s="129">
        <f t="shared" si="280"/>
        <v>0</v>
      </c>
      <c r="CG336" s="129" t="str">
        <f t="shared" si="281"/>
        <v>Y</v>
      </c>
      <c r="CI336" s="129" t="str">
        <f t="shared" si="282"/>
        <v>0-10 DAYS</v>
      </c>
      <c r="CJ336" s="137">
        <f t="shared" si="283"/>
        <v>1</v>
      </c>
      <c r="CK336" s="129" t="str">
        <f t="shared" si="284"/>
        <v>Booked</v>
      </c>
    </row>
    <row r="337" spans="1:89" ht="15" customHeight="1" x14ac:dyDescent="0.25">
      <c r="A337" s="111">
        <v>532</v>
      </c>
      <c r="B337" s="128" t="str">
        <f t="shared" si="264"/>
        <v>N</v>
      </c>
      <c r="C337" s="128" t="str">
        <f t="shared" si="265"/>
        <v>N</v>
      </c>
      <c r="D337" s="117">
        <v>993662</v>
      </c>
      <c r="E337" s="135">
        <f t="shared" si="266"/>
        <v>5</v>
      </c>
      <c r="F337" s="124">
        <v>40929</v>
      </c>
      <c r="G337" s="125">
        <v>40932</v>
      </c>
      <c r="H337" s="117">
        <v>993662</v>
      </c>
      <c r="I337" s="124">
        <v>40930</v>
      </c>
      <c r="J337" s="124">
        <v>40932</v>
      </c>
      <c r="K337" s="126">
        <v>15000</v>
      </c>
      <c r="L337" s="127" t="s">
        <v>571</v>
      </c>
      <c r="N337" s="129" t="str">
        <f t="shared" si="291"/>
        <v>N</v>
      </c>
      <c r="O337" s="128" t="s">
        <v>917</v>
      </c>
      <c r="P337" s="129" t="s">
        <v>39</v>
      </c>
      <c r="Q337" s="111">
        <f t="shared" si="247"/>
        <v>3</v>
      </c>
      <c r="R337" s="111">
        <f t="shared" si="259"/>
        <v>4</v>
      </c>
      <c r="S337" s="129">
        <v>4</v>
      </c>
      <c r="T337" s="129">
        <v>4</v>
      </c>
      <c r="U337" s="129">
        <v>3</v>
      </c>
      <c r="W337" s="111"/>
      <c r="AC337" s="130"/>
      <c r="AD337" s="130">
        <v>19619</v>
      </c>
      <c r="AE337" s="128" t="s">
        <v>32</v>
      </c>
      <c r="AF337" s="128" t="s">
        <v>69</v>
      </c>
      <c r="AG337" s="128" t="s">
        <v>874</v>
      </c>
      <c r="AH337" s="108" t="s">
        <v>58</v>
      </c>
      <c r="AI337" s="128" t="s">
        <v>90</v>
      </c>
      <c r="AJ337" s="129" t="s">
        <v>89</v>
      </c>
      <c r="AK337" s="129">
        <v>2</v>
      </c>
      <c r="AL337" s="3" t="s">
        <v>992</v>
      </c>
      <c r="AN337" s="117">
        <v>6</v>
      </c>
      <c r="AP337" s="129" t="s">
        <v>43</v>
      </c>
      <c r="AR337" s="128" t="s">
        <v>44</v>
      </c>
      <c r="AS337" s="129" t="s">
        <v>45</v>
      </c>
      <c r="BC337" s="129" t="s">
        <v>38</v>
      </c>
      <c r="BF337" s="111">
        <f t="shared" si="286"/>
        <v>3</v>
      </c>
      <c r="BG337" s="111">
        <f t="shared" si="287"/>
        <v>3</v>
      </c>
      <c r="BH337" s="111">
        <f t="shared" si="260"/>
        <v>4</v>
      </c>
      <c r="BI337" s="111">
        <f t="shared" si="261"/>
        <v>58.224043715846996</v>
      </c>
      <c r="BJ337" s="129">
        <f t="shared" si="267"/>
        <v>0</v>
      </c>
      <c r="BK337" s="129">
        <f t="shared" si="262"/>
        <v>0</v>
      </c>
      <c r="BL337" s="129" t="str">
        <f t="shared" si="263"/>
        <v>CONVICTION</v>
      </c>
      <c r="BM337" s="129" t="str">
        <f t="shared" si="268"/>
        <v>NONE</v>
      </c>
      <c r="BN337" s="129" t="s">
        <v>566</v>
      </c>
      <c r="BP337" s="137" t="str">
        <f t="shared" si="269"/>
        <v>CONVICTION</v>
      </c>
      <c r="BQ337" s="128" t="str">
        <f t="shared" si="270"/>
        <v>Y</v>
      </c>
      <c r="BR337" s="129" t="str">
        <f t="shared" si="271"/>
        <v>DETAINED</v>
      </c>
      <c r="BS337" s="129" t="str">
        <f t="shared" si="272"/>
        <v>DISPOSED</v>
      </c>
      <c r="BT337" s="129" t="str">
        <f t="shared" si="273"/>
        <v>Y</v>
      </c>
      <c r="BU337" s="109">
        <f t="shared" si="274"/>
        <v>0.75</v>
      </c>
      <c r="BV337" s="109">
        <f t="shared" si="275"/>
        <v>1</v>
      </c>
      <c r="BW337" s="109">
        <f t="shared" si="285"/>
        <v>0.25</v>
      </c>
      <c r="BX337" s="111">
        <f t="shared" si="276"/>
        <v>0</v>
      </c>
      <c r="BY337" s="129">
        <f t="shared" si="277"/>
        <v>-3</v>
      </c>
      <c r="BZ337" s="111">
        <f t="shared" si="278"/>
        <v>0</v>
      </c>
      <c r="CA337" s="138">
        <f t="shared" si="279"/>
        <v>3</v>
      </c>
      <c r="CB337" s="111" t="e">
        <f t="shared" si="288"/>
        <v>#VALUE!</v>
      </c>
      <c r="CC337" s="129">
        <f t="shared" si="289"/>
        <v>3</v>
      </c>
      <c r="CD337" s="129">
        <f t="shared" si="290"/>
        <v>0</v>
      </c>
      <c r="CE337" s="129">
        <f t="shared" si="280"/>
        <v>0</v>
      </c>
      <c r="CG337" s="129" t="str">
        <f t="shared" si="281"/>
        <v>Y</v>
      </c>
      <c r="CI337" s="129" t="str">
        <f t="shared" si="282"/>
        <v>0-10 DAYS</v>
      </c>
      <c r="CJ337" s="137">
        <f t="shared" si="283"/>
        <v>1</v>
      </c>
      <c r="CK337" s="129" t="str">
        <f t="shared" si="284"/>
        <v>Booked</v>
      </c>
    </row>
    <row r="338" spans="1:89" ht="15" customHeight="1" x14ac:dyDescent="0.25">
      <c r="A338" s="111">
        <v>354</v>
      </c>
      <c r="B338" s="128" t="str">
        <f t="shared" si="264"/>
        <v>N</v>
      </c>
      <c r="C338" s="128" t="str">
        <f t="shared" si="265"/>
        <v>N</v>
      </c>
      <c r="D338" s="117">
        <v>994106</v>
      </c>
      <c r="E338" s="135">
        <f t="shared" si="266"/>
        <v>2</v>
      </c>
      <c r="F338" s="124">
        <v>40922</v>
      </c>
      <c r="G338" s="125">
        <v>40969</v>
      </c>
      <c r="H338" s="117">
        <v>994106</v>
      </c>
      <c r="I338" s="124">
        <v>40923</v>
      </c>
      <c r="J338" s="124">
        <v>40969</v>
      </c>
      <c r="K338" s="126">
        <v>5000</v>
      </c>
      <c r="L338" s="127" t="s">
        <v>569</v>
      </c>
      <c r="N338" s="129" t="str">
        <f t="shared" si="291"/>
        <v>N</v>
      </c>
      <c r="O338" s="128" t="s">
        <v>917</v>
      </c>
      <c r="P338" s="129" t="s">
        <v>589</v>
      </c>
      <c r="Q338" s="111">
        <f t="shared" si="247"/>
        <v>47</v>
      </c>
      <c r="R338" s="111">
        <f t="shared" si="259"/>
        <v>48</v>
      </c>
      <c r="S338" s="129">
        <v>0</v>
      </c>
      <c r="T338" s="129">
        <v>8</v>
      </c>
      <c r="W338" s="111"/>
      <c r="AC338" s="130"/>
      <c r="AD338" s="130">
        <v>26280</v>
      </c>
      <c r="AE338" s="128" t="s">
        <v>32</v>
      </c>
      <c r="AF338" s="128" t="s">
        <v>33</v>
      </c>
      <c r="AG338" s="128" t="s">
        <v>872</v>
      </c>
      <c r="AH338" s="108" t="s">
        <v>58</v>
      </c>
      <c r="AI338" s="128" t="s">
        <v>59</v>
      </c>
      <c r="AJ338" s="129" t="s">
        <v>48</v>
      </c>
      <c r="AK338" s="129">
        <v>3</v>
      </c>
      <c r="AL338" s="3" t="s">
        <v>48</v>
      </c>
      <c r="AP338" s="129" t="s">
        <v>150</v>
      </c>
      <c r="AR338" s="128" t="s">
        <v>67</v>
      </c>
      <c r="AS338" s="129" t="s">
        <v>74</v>
      </c>
      <c r="BC338" s="129" t="s">
        <v>38</v>
      </c>
      <c r="BF338" s="111">
        <f t="shared" si="286"/>
        <v>47</v>
      </c>
      <c r="BG338" s="111">
        <f t="shared" si="287"/>
        <v>47</v>
      </c>
      <c r="BH338" s="111">
        <f t="shared" si="260"/>
        <v>48</v>
      </c>
      <c r="BI338" s="111">
        <f t="shared" si="261"/>
        <v>40.005464480874316</v>
      </c>
      <c r="BJ338" s="129">
        <f t="shared" si="267"/>
        <v>0</v>
      </c>
      <c r="BK338" s="129">
        <f t="shared" si="262"/>
        <v>0</v>
      </c>
      <c r="BL338" s="129" t="str">
        <f t="shared" si="263"/>
        <v>DEFERRED</v>
      </c>
      <c r="BM338" s="129" t="str">
        <f t="shared" si="268"/>
        <v>NONE</v>
      </c>
      <c r="BN338" s="129" t="s">
        <v>566</v>
      </c>
      <c r="BP338" s="137" t="str">
        <f t="shared" si="269"/>
        <v>DEFERRED</v>
      </c>
      <c r="BQ338" s="128" t="str">
        <f t="shared" si="270"/>
        <v>Y</v>
      </c>
      <c r="BR338" s="129" t="str">
        <f t="shared" si="271"/>
        <v>DETAINED</v>
      </c>
      <c r="BS338" s="129" t="str">
        <f t="shared" si="272"/>
        <v>DISPOSED</v>
      </c>
      <c r="BT338" s="129" t="str">
        <f t="shared" si="273"/>
        <v>N</v>
      </c>
      <c r="BU338" s="109">
        <f t="shared" si="274"/>
        <v>0.97916666666666663</v>
      </c>
      <c r="BV338" s="109">
        <f t="shared" si="275"/>
        <v>1</v>
      </c>
      <c r="BW338" s="109">
        <f t="shared" si="285"/>
        <v>2.083333333333337E-2</v>
      </c>
      <c r="BX338" s="111">
        <f t="shared" si="276"/>
        <v>0</v>
      </c>
      <c r="BY338" s="129">
        <f t="shared" si="277"/>
        <v>-47</v>
      </c>
      <c r="BZ338" s="111">
        <f t="shared" si="278"/>
        <v>0</v>
      </c>
      <c r="CA338" s="138">
        <f t="shared" si="279"/>
        <v>47</v>
      </c>
      <c r="CB338" s="111" t="e">
        <f t="shared" si="288"/>
        <v>#VALUE!</v>
      </c>
      <c r="CC338" s="129">
        <f t="shared" si="289"/>
        <v>47</v>
      </c>
      <c r="CD338" s="129">
        <f t="shared" si="290"/>
        <v>0</v>
      </c>
      <c r="CE338" s="129">
        <f t="shared" si="280"/>
        <v>0</v>
      </c>
      <c r="CG338" s="129" t="str">
        <f t="shared" si="281"/>
        <v>Y</v>
      </c>
      <c r="CI338" s="129" t="str">
        <f t="shared" si="282"/>
        <v>31-60 DAYS</v>
      </c>
      <c r="CJ338" s="137">
        <f t="shared" si="283"/>
        <v>3</v>
      </c>
      <c r="CK338" s="129" t="str">
        <f t="shared" si="284"/>
        <v>Booked</v>
      </c>
    </row>
    <row r="339" spans="1:89" ht="15" customHeight="1" x14ac:dyDescent="0.25">
      <c r="A339" s="111">
        <v>2593</v>
      </c>
      <c r="B339" s="128" t="str">
        <f t="shared" si="264"/>
        <v>N</v>
      </c>
      <c r="C339" s="128" t="str">
        <f t="shared" si="265"/>
        <v>N</v>
      </c>
      <c r="D339" s="117">
        <v>996573</v>
      </c>
      <c r="E339" s="135">
        <f t="shared" si="266"/>
        <v>1</v>
      </c>
      <c r="F339" s="124">
        <v>41005</v>
      </c>
      <c r="G339" s="125">
        <v>41379</v>
      </c>
      <c r="H339" s="117">
        <v>996573</v>
      </c>
      <c r="I339" s="124">
        <v>41005</v>
      </c>
      <c r="J339" s="124">
        <v>41011</v>
      </c>
      <c r="K339" s="126">
        <v>100000</v>
      </c>
      <c r="L339" s="129" t="s">
        <v>572</v>
      </c>
      <c r="M339" s="125">
        <v>41011</v>
      </c>
      <c r="N339" s="129" t="str">
        <f t="shared" si="291"/>
        <v>Y</v>
      </c>
      <c r="O339" s="128" t="s">
        <v>76</v>
      </c>
      <c r="P339" s="129" t="s">
        <v>31</v>
      </c>
      <c r="Q339" s="111">
        <f t="shared" si="247"/>
        <v>7</v>
      </c>
      <c r="R339" s="111">
        <f t="shared" si="259"/>
        <v>375</v>
      </c>
      <c r="S339" s="129">
        <v>1</v>
      </c>
      <c r="T339" s="129">
        <v>3</v>
      </c>
      <c r="V339" s="117">
        <v>1</v>
      </c>
      <c r="W339" s="111"/>
      <c r="AC339" s="130"/>
      <c r="AD339" s="130">
        <v>23866</v>
      </c>
      <c r="AE339" s="128" t="s">
        <v>32</v>
      </c>
      <c r="AF339" s="128" t="s">
        <v>40</v>
      </c>
      <c r="AG339" s="128" t="s">
        <v>41</v>
      </c>
      <c r="AH339" s="108" t="s">
        <v>41</v>
      </c>
      <c r="AI339" s="128" t="s">
        <v>65</v>
      </c>
      <c r="AJ339" s="129" t="s">
        <v>55</v>
      </c>
      <c r="AK339" s="129">
        <v>11</v>
      </c>
      <c r="AL339" s="3" t="s">
        <v>55</v>
      </c>
      <c r="AP339" s="129" t="s">
        <v>287</v>
      </c>
      <c r="AR339" s="128" t="s">
        <v>50</v>
      </c>
      <c r="AS339" s="129" t="s">
        <v>45</v>
      </c>
      <c r="BC339" s="129" t="s">
        <v>52</v>
      </c>
      <c r="BF339" s="111">
        <f t="shared" si="286"/>
        <v>7</v>
      </c>
      <c r="BG339" s="111">
        <f t="shared" si="287"/>
        <v>375</v>
      </c>
      <c r="BH339" s="111">
        <f t="shared" si="260"/>
        <v>375</v>
      </c>
      <c r="BI339" s="111">
        <f t="shared" si="261"/>
        <v>46.827868852459019</v>
      </c>
      <c r="BJ339" s="129">
        <f>(G339-J339)+(M339-G339)</f>
        <v>0</v>
      </c>
      <c r="BK339" s="129">
        <f t="shared" si="262"/>
        <v>-368</v>
      </c>
      <c r="BL339" s="129" t="str">
        <f t="shared" si="263"/>
        <v>NO CONVICTION</v>
      </c>
      <c r="BM339" s="129" t="s">
        <v>76</v>
      </c>
      <c r="BN339" s="129" t="s">
        <v>88</v>
      </c>
      <c r="BP339" s="137" t="str">
        <f t="shared" si="269"/>
        <v>NO CONVICTION</v>
      </c>
      <c r="BQ339" s="128" t="str">
        <f t="shared" si="270"/>
        <v>Y</v>
      </c>
      <c r="BR339" s="129" t="str">
        <f t="shared" si="271"/>
        <v>ON BOND</v>
      </c>
      <c r="BS339" s="129" t="str">
        <f t="shared" si="272"/>
        <v>DISPOSED</v>
      </c>
      <c r="BT339" s="129" t="str">
        <f t="shared" si="273"/>
        <v>Y</v>
      </c>
      <c r="BU339" s="109">
        <f>IFERROR(Q339/R339,BR339)</f>
        <v>1.8666666666666668E-2</v>
      </c>
      <c r="BV339" s="109">
        <f t="shared" si="275"/>
        <v>1.8666666666666668E-2</v>
      </c>
      <c r="BW339" s="109">
        <f t="shared" si="285"/>
        <v>0</v>
      </c>
      <c r="BX339" s="111">
        <f t="shared" si="276"/>
        <v>0</v>
      </c>
      <c r="BY339" s="129">
        <f t="shared" si="277"/>
        <v>-7</v>
      </c>
      <c r="BZ339" s="111">
        <f t="shared" si="278"/>
        <v>0</v>
      </c>
      <c r="CA339" s="138">
        <f t="shared" si="279"/>
        <v>7</v>
      </c>
      <c r="CB339" s="111" t="e">
        <f t="shared" si="288"/>
        <v>#VALUE!</v>
      </c>
      <c r="CC339" s="129">
        <f>M339-I339+1</f>
        <v>7</v>
      </c>
      <c r="CD339" s="111">
        <f>CC339-BF339</f>
        <v>0</v>
      </c>
      <c r="CE339" s="129">
        <f t="shared" si="280"/>
        <v>368</v>
      </c>
      <c r="CG339" s="129" t="str">
        <f t="shared" si="281"/>
        <v>Y</v>
      </c>
      <c r="CI339" s="129" t="str">
        <f t="shared" si="282"/>
        <v>0-10 DAYS</v>
      </c>
      <c r="CJ339" s="137">
        <f t="shared" si="283"/>
        <v>1</v>
      </c>
      <c r="CK339" s="129" t="str">
        <f t="shared" si="284"/>
        <v>Booked</v>
      </c>
    </row>
    <row r="340" spans="1:89" ht="15" customHeight="1" x14ac:dyDescent="0.25">
      <c r="A340" s="111">
        <v>1732</v>
      </c>
      <c r="B340" s="128" t="str">
        <f t="shared" si="264"/>
        <v>N</v>
      </c>
      <c r="C340" s="128" t="str">
        <f t="shared" si="265"/>
        <v>N</v>
      </c>
      <c r="D340" s="117">
        <v>997247</v>
      </c>
      <c r="E340" s="135" t="str">
        <f t="shared" si="266"/>
        <v/>
      </c>
      <c r="F340" s="124">
        <v>40973</v>
      </c>
      <c r="G340" s="125"/>
      <c r="H340" s="117">
        <v>997247</v>
      </c>
      <c r="I340" s="124">
        <v>40975</v>
      </c>
      <c r="J340" s="124"/>
      <c r="K340" s="126">
        <v>60000</v>
      </c>
      <c r="L340" s="129" t="s">
        <v>572</v>
      </c>
      <c r="N340" s="129" t="str">
        <f t="shared" si="291"/>
        <v>N</v>
      </c>
      <c r="O340" s="128" t="s">
        <v>917</v>
      </c>
      <c r="P340" s="129" t="s">
        <v>31</v>
      </c>
      <c r="Q340" s="111" t="str">
        <f>BF340</f>
        <v>STILL OPEN</v>
      </c>
      <c r="R340" s="111" t="str">
        <f t="shared" si="259"/>
        <v>STILL OPEN</v>
      </c>
      <c r="S340" s="129">
        <v>3</v>
      </c>
      <c r="T340" s="129">
        <v>3</v>
      </c>
      <c r="U340" s="129">
        <v>2</v>
      </c>
      <c r="W340" s="111"/>
      <c r="AC340" s="130"/>
      <c r="AD340" s="130">
        <v>23400</v>
      </c>
      <c r="AE340" s="128" t="s">
        <v>32</v>
      </c>
      <c r="AF340" s="128" t="s">
        <v>33</v>
      </c>
      <c r="AG340" s="128" t="s">
        <v>872</v>
      </c>
      <c r="AH340" s="108" t="s">
        <v>58</v>
      </c>
      <c r="AI340" s="128" t="s">
        <v>100</v>
      </c>
      <c r="AJ340" s="129" t="s">
        <v>31</v>
      </c>
      <c r="AP340" s="129" t="s">
        <v>129</v>
      </c>
      <c r="AR340" s="128" t="s">
        <v>92</v>
      </c>
      <c r="AS340" s="129" t="s">
        <v>126</v>
      </c>
      <c r="BC340" s="129" t="s">
        <v>38</v>
      </c>
      <c r="BF340" s="111" t="s">
        <v>588</v>
      </c>
      <c r="BG340" s="111" t="str">
        <f t="shared" si="287"/>
        <v>STILL OPEN</v>
      </c>
      <c r="BH340" s="111" t="str">
        <f t="shared" si="260"/>
        <v>STILL OPEN</v>
      </c>
      <c r="BI340" s="111">
        <f t="shared" si="261"/>
        <v>48.013661202185794</v>
      </c>
      <c r="BJ340" s="129">
        <f t="shared" ref="BJ340" si="292">G340-J340-M340</f>
        <v>0</v>
      </c>
      <c r="BK340" s="129">
        <f t="shared" si="262"/>
        <v>0</v>
      </c>
      <c r="BL340" s="129">
        <f t="shared" si="263"/>
        <v>0</v>
      </c>
      <c r="BM340" s="129" t="str">
        <f t="shared" ref="BM340" si="293">O340</f>
        <v>NONE</v>
      </c>
      <c r="BN340" s="129" t="s">
        <v>566</v>
      </c>
      <c r="BP340" s="137" t="str">
        <f t="shared" si="269"/>
        <v/>
      </c>
      <c r="BQ340" s="128" t="str">
        <f t="shared" si="270"/>
        <v>Y</v>
      </c>
      <c r="BR340" s="129" t="s">
        <v>588</v>
      </c>
      <c r="BS340" s="129" t="s">
        <v>588</v>
      </c>
      <c r="BT340" s="129" t="str">
        <f t="shared" si="273"/>
        <v>Y</v>
      </c>
      <c r="BU340" s="109" t="str">
        <f>IFERROR(Q340/R340,BR340)</f>
        <v>STILL OPEN</v>
      </c>
      <c r="BV340" s="129" t="s">
        <v>588</v>
      </c>
      <c r="BW340" s="109">
        <v>0</v>
      </c>
      <c r="BX340" s="111" t="e">
        <f t="shared" si="276"/>
        <v>#VALUE!</v>
      </c>
      <c r="BY340" s="129">
        <f t="shared" si="277"/>
        <v>40974</v>
      </c>
      <c r="BZ340" s="111" t="e">
        <f t="shared" si="278"/>
        <v>#VALUE!</v>
      </c>
      <c r="CA340" s="138" t="e">
        <f t="shared" si="279"/>
        <v>#VALUE!</v>
      </c>
      <c r="CB340" s="111" t="s">
        <v>588</v>
      </c>
      <c r="CC340" s="129" t="s">
        <v>588</v>
      </c>
      <c r="CE340" s="129">
        <f t="shared" si="280"/>
        <v>0</v>
      </c>
      <c r="CG340" s="129" t="str">
        <f t="shared" si="281"/>
        <v>Y</v>
      </c>
      <c r="CH340" s="129" t="e">
        <v>#N/A</v>
      </c>
      <c r="CI340" s="129" t="str">
        <f t="shared" si="282"/>
        <v>&gt;3YRS</v>
      </c>
      <c r="CJ340" s="137">
        <f t="shared" si="283"/>
        <v>9</v>
      </c>
      <c r="CK340" s="129" t="str">
        <f t="shared" si="284"/>
        <v>Booked</v>
      </c>
    </row>
    <row r="341" spans="1:89" ht="15.75" customHeight="1" x14ac:dyDescent="0.25">
      <c r="A341" s="111">
        <v>361</v>
      </c>
      <c r="B341" s="128" t="str">
        <f t="shared" si="264"/>
        <v>N</v>
      </c>
      <c r="C341" s="128" t="str">
        <f t="shared" si="265"/>
        <v>N</v>
      </c>
      <c r="D341" s="144">
        <v>997408</v>
      </c>
      <c r="E341" s="135">
        <f t="shared" si="266"/>
        <v>5</v>
      </c>
      <c r="F341" s="124">
        <v>40917</v>
      </c>
      <c r="G341" s="125">
        <v>40919</v>
      </c>
      <c r="H341" s="144">
        <v>997408</v>
      </c>
      <c r="I341" s="124">
        <v>40918</v>
      </c>
      <c r="J341" s="124">
        <v>40919</v>
      </c>
      <c r="K341" s="126">
        <v>10000</v>
      </c>
      <c r="L341" s="127" t="s">
        <v>570</v>
      </c>
      <c r="N341" s="129" t="str">
        <f t="shared" si="291"/>
        <v>N</v>
      </c>
      <c r="O341" s="128" t="s">
        <v>917</v>
      </c>
      <c r="P341" s="129" t="s">
        <v>39</v>
      </c>
      <c r="Q341" s="111">
        <f t="shared" si="247"/>
        <v>2</v>
      </c>
      <c r="R341" s="111">
        <f t="shared" si="259"/>
        <v>3</v>
      </c>
      <c r="S341" s="129">
        <v>9</v>
      </c>
      <c r="T341" s="129">
        <v>5</v>
      </c>
      <c r="U341" s="129">
        <v>5</v>
      </c>
      <c r="W341" s="111"/>
      <c r="AC341" s="130"/>
      <c r="AD341" s="130">
        <v>25231</v>
      </c>
      <c r="AE341" s="128" t="s">
        <v>32</v>
      </c>
      <c r="AF341" s="128" t="s">
        <v>33</v>
      </c>
      <c r="AG341" s="128" t="s">
        <v>872</v>
      </c>
      <c r="AH341" s="108" t="s">
        <v>58</v>
      </c>
      <c r="AI341" s="128" t="s">
        <v>85</v>
      </c>
      <c r="AJ341" s="129" t="s">
        <v>89</v>
      </c>
      <c r="AK341" s="129">
        <v>1</v>
      </c>
      <c r="AL341" s="3" t="s">
        <v>992</v>
      </c>
      <c r="AN341" s="117">
        <v>8</v>
      </c>
      <c r="AP341" s="129" t="s">
        <v>43</v>
      </c>
      <c r="AR341" s="128" t="s">
        <v>44</v>
      </c>
      <c r="AS341" s="129" t="s">
        <v>45</v>
      </c>
      <c r="BC341" s="129" t="s">
        <v>38</v>
      </c>
      <c r="BF341" s="111">
        <f t="shared" si="286"/>
        <v>2</v>
      </c>
      <c r="BG341" s="111">
        <f t="shared" si="287"/>
        <v>2</v>
      </c>
      <c r="BH341" s="111">
        <f t="shared" si="260"/>
        <v>3</v>
      </c>
      <c r="BI341" s="111">
        <f t="shared" si="261"/>
        <v>42.857923497267763</v>
      </c>
      <c r="BJ341" s="129">
        <f t="shared" si="267"/>
        <v>0</v>
      </c>
      <c r="BK341" s="129">
        <f t="shared" si="262"/>
        <v>0</v>
      </c>
      <c r="BL341" s="129" t="str">
        <f t="shared" si="263"/>
        <v>CONVICTION</v>
      </c>
      <c r="BM341" s="129" t="str">
        <f t="shared" si="268"/>
        <v>NONE</v>
      </c>
      <c r="BN341" s="129" t="s">
        <v>566</v>
      </c>
      <c r="BP341" s="137" t="str">
        <f t="shared" si="269"/>
        <v>CONVICTION</v>
      </c>
      <c r="BQ341" s="128" t="str">
        <f t="shared" si="270"/>
        <v>Y</v>
      </c>
      <c r="BR341" s="129" t="str">
        <f t="shared" si="271"/>
        <v>DETAINED</v>
      </c>
      <c r="BS341" s="129" t="str">
        <f t="shared" si="272"/>
        <v>DISPOSED</v>
      </c>
      <c r="BT341" s="129" t="str">
        <f t="shared" si="273"/>
        <v>Y</v>
      </c>
      <c r="BU341" s="109">
        <f t="shared" si="274"/>
        <v>0.66666666666666663</v>
      </c>
      <c r="BV341" s="109">
        <f t="shared" si="275"/>
        <v>1</v>
      </c>
      <c r="BW341" s="109">
        <f t="shared" ref="BW341:BW404" si="294">BV341-BU341</f>
        <v>0.33333333333333337</v>
      </c>
      <c r="BX341" s="111">
        <f t="shared" si="276"/>
        <v>0</v>
      </c>
      <c r="BY341" s="129">
        <f t="shared" si="277"/>
        <v>-2</v>
      </c>
      <c r="BZ341" s="111">
        <f t="shared" si="278"/>
        <v>0</v>
      </c>
      <c r="CA341" s="138">
        <f t="shared" si="279"/>
        <v>2</v>
      </c>
      <c r="CB341" s="111" t="e">
        <f t="shared" si="288"/>
        <v>#VALUE!</v>
      </c>
      <c r="CC341" s="129">
        <f t="shared" ref="CC341:CC347" si="295">G341-I341+1</f>
        <v>2</v>
      </c>
      <c r="CD341" s="129">
        <f t="shared" ref="CD341:CD347" si="296">G341-J341</f>
        <v>0</v>
      </c>
      <c r="CE341" s="129">
        <f t="shared" si="280"/>
        <v>0</v>
      </c>
      <c r="CG341" s="129" t="str">
        <f t="shared" si="281"/>
        <v>Y</v>
      </c>
      <c r="CI341" s="129" t="str">
        <f t="shared" si="282"/>
        <v>0-10 DAYS</v>
      </c>
      <c r="CJ341" s="137">
        <f t="shared" si="283"/>
        <v>1</v>
      </c>
      <c r="CK341" s="129" t="str">
        <f t="shared" si="284"/>
        <v>Booked</v>
      </c>
    </row>
    <row r="342" spans="1:89" ht="15.75" customHeight="1" x14ac:dyDescent="0.25">
      <c r="A342" s="111">
        <v>1040</v>
      </c>
      <c r="B342" s="128" t="str">
        <f t="shared" si="264"/>
        <v>N</v>
      </c>
      <c r="C342" s="128" t="str">
        <f t="shared" si="265"/>
        <v>N</v>
      </c>
      <c r="D342" s="117">
        <v>1000132</v>
      </c>
      <c r="E342" s="135">
        <f t="shared" si="266"/>
        <v>4</v>
      </c>
      <c r="F342" s="124">
        <v>40947</v>
      </c>
      <c r="G342" s="125">
        <v>40949</v>
      </c>
      <c r="H342" s="117">
        <v>1000132</v>
      </c>
      <c r="I342" s="124">
        <v>40947</v>
      </c>
      <c r="J342" s="124">
        <v>40949</v>
      </c>
      <c r="K342" s="126">
        <v>5000</v>
      </c>
      <c r="L342" s="127" t="s">
        <v>569</v>
      </c>
      <c r="N342" s="129" t="str">
        <f t="shared" si="291"/>
        <v>N</v>
      </c>
      <c r="O342" s="128" t="s">
        <v>917</v>
      </c>
      <c r="P342" s="129" t="s">
        <v>39</v>
      </c>
      <c r="Q342" s="111">
        <f t="shared" si="247"/>
        <v>3</v>
      </c>
      <c r="R342" s="111">
        <f t="shared" si="259"/>
        <v>3</v>
      </c>
      <c r="S342" s="129">
        <v>2</v>
      </c>
      <c r="T342" s="129">
        <v>1</v>
      </c>
      <c r="U342" s="129">
        <v>1</v>
      </c>
      <c r="V342" s="117">
        <v>1</v>
      </c>
      <c r="W342" s="111"/>
      <c r="AC342" s="130"/>
      <c r="AD342" s="130">
        <v>25138</v>
      </c>
      <c r="AE342" s="128" t="s">
        <v>46</v>
      </c>
      <c r="AF342" s="128" t="s">
        <v>69</v>
      </c>
      <c r="AG342" s="128" t="s">
        <v>874</v>
      </c>
      <c r="AH342" s="108" t="s">
        <v>58</v>
      </c>
      <c r="AI342" s="128" t="s">
        <v>59</v>
      </c>
      <c r="AJ342" s="129" t="s">
        <v>89</v>
      </c>
      <c r="AK342" s="129">
        <v>1</v>
      </c>
      <c r="AL342" s="3" t="s">
        <v>991</v>
      </c>
      <c r="AO342" s="128">
        <v>180</v>
      </c>
      <c r="AP342" s="129" t="s">
        <v>43</v>
      </c>
      <c r="AR342" s="128" t="s">
        <v>44</v>
      </c>
      <c r="AS342" s="129" t="s">
        <v>45</v>
      </c>
      <c r="BC342" s="129" t="s">
        <v>38</v>
      </c>
      <c r="BF342" s="111">
        <f t="shared" si="286"/>
        <v>3</v>
      </c>
      <c r="BG342" s="111">
        <f t="shared" si="287"/>
        <v>3</v>
      </c>
      <c r="BH342" s="111">
        <f t="shared" si="260"/>
        <v>3</v>
      </c>
      <c r="BI342" s="111">
        <f t="shared" si="261"/>
        <v>43.193989071038253</v>
      </c>
      <c r="BJ342" s="129">
        <f t="shared" si="267"/>
        <v>0</v>
      </c>
      <c r="BK342" s="129">
        <f t="shared" si="262"/>
        <v>0</v>
      </c>
      <c r="BL342" s="129" t="str">
        <f t="shared" si="263"/>
        <v>CONVICTION</v>
      </c>
      <c r="BM342" s="129" t="str">
        <f t="shared" si="268"/>
        <v>NONE</v>
      </c>
      <c r="BN342" s="129" t="s">
        <v>566</v>
      </c>
      <c r="BP342" s="137" t="str">
        <f t="shared" si="269"/>
        <v>CONVICTION</v>
      </c>
      <c r="BQ342" s="128" t="str">
        <f t="shared" si="270"/>
        <v>Y</v>
      </c>
      <c r="BR342" s="129" t="str">
        <f t="shared" si="271"/>
        <v>DETAINED</v>
      </c>
      <c r="BS342" s="129" t="str">
        <f t="shared" si="272"/>
        <v>DISPOSED</v>
      </c>
      <c r="BT342" s="129" t="str">
        <f t="shared" si="273"/>
        <v>Y</v>
      </c>
      <c r="BU342" s="109">
        <f t="shared" si="274"/>
        <v>1</v>
      </c>
      <c r="BV342" s="109">
        <f t="shared" si="275"/>
        <v>1</v>
      </c>
      <c r="BW342" s="109">
        <f t="shared" si="294"/>
        <v>0</v>
      </c>
      <c r="BX342" s="111">
        <f t="shared" si="276"/>
        <v>0</v>
      </c>
      <c r="BY342" s="129">
        <f t="shared" si="277"/>
        <v>-3</v>
      </c>
      <c r="BZ342" s="111">
        <f t="shared" si="278"/>
        <v>0</v>
      </c>
      <c r="CA342" s="138">
        <f t="shared" si="279"/>
        <v>3</v>
      </c>
      <c r="CB342" s="111" t="e">
        <f t="shared" si="288"/>
        <v>#VALUE!</v>
      </c>
      <c r="CC342" s="129">
        <f t="shared" si="295"/>
        <v>3</v>
      </c>
      <c r="CD342" s="129">
        <f t="shared" si="296"/>
        <v>0</v>
      </c>
      <c r="CE342" s="129">
        <f t="shared" si="280"/>
        <v>0</v>
      </c>
      <c r="CG342" s="129" t="str">
        <f t="shared" si="281"/>
        <v>Y</v>
      </c>
      <c r="CI342" s="129" t="str">
        <f t="shared" si="282"/>
        <v>0-10 DAYS</v>
      </c>
      <c r="CJ342" s="137">
        <f t="shared" si="283"/>
        <v>1</v>
      </c>
      <c r="CK342" s="129" t="str">
        <f t="shared" si="284"/>
        <v>Booked</v>
      </c>
    </row>
    <row r="343" spans="1:89" ht="15" customHeight="1" x14ac:dyDescent="0.25">
      <c r="A343" s="111">
        <v>2590</v>
      </c>
      <c r="B343" s="128" t="str">
        <f t="shared" si="264"/>
        <v>N</v>
      </c>
      <c r="C343" s="128" t="str">
        <f t="shared" si="265"/>
        <v>N</v>
      </c>
      <c r="D343" s="117">
        <v>1001673</v>
      </c>
      <c r="E343" s="135">
        <f t="shared" si="266"/>
        <v>5</v>
      </c>
      <c r="F343" s="124">
        <v>41005</v>
      </c>
      <c r="G343" s="125">
        <v>41073</v>
      </c>
      <c r="H343" s="117">
        <v>1001673</v>
      </c>
      <c r="I343" s="124">
        <v>41005</v>
      </c>
      <c r="J343" s="124">
        <v>41073</v>
      </c>
      <c r="K343" s="126">
        <v>30000</v>
      </c>
      <c r="L343" s="129" t="s">
        <v>572</v>
      </c>
      <c r="N343" s="129" t="str">
        <f t="shared" si="291"/>
        <v>N</v>
      </c>
      <c r="O343" s="128" t="s">
        <v>917</v>
      </c>
      <c r="P343" s="129" t="s">
        <v>39</v>
      </c>
      <c r="Q343" s="111">
        <f t="shared" si="247"/>
        <v>69</v>
      </c>
      <c r="R343" s="111">
        <f t="shared" si="259"/>
        <v>69</v>
      </c>
      <c r="S343" s="129">
        <v>3</v>
      </c>
      <c r="T343" s="129">
        <v>5</v>
      </c>
      <c r="U343" s="129">
        <v>1</v>
      </c>
      <c r="W343" s="111"/>
      <c r="AC343" s="130"/>
      <c r="AD343" s="130">
        <v>25959</v>
      </c>
      <c r="AE343" s="128" t="s">
        <v>32</v>
      </c>
      <c r="AF343" s="128" t="s">
        <v>40</v>
      </c>
      <c r="AG343" s="128" t="s">
        <v>41</v>
      </c>
      <c r="AH343" s="108" t="s">
        <v>41</v>
      </c>
      <c r="AI343" s="128" t="s">
        <v>72</v>
      </c>
      <c r="AJ343" s="129" t="s">
        <v>89</v>
      </c>
      <c r="AK343" s="129">
        <v>3</v>
      </c>
      <c r="AL343" s="3" t="s">
        <v>992</v>
      </c>
      <c r="AN343" s="117">
        <v>6</v>
      </c>
      <c r="AP343" s="129" t="s">
        <v>60</v>
      </c>
      <c r="AR343" s="128" t="s">
        <v>44</v>
      </c>
      <c r="AS343" s="129" t="s">
        <v>61</v>
      </c>
      <c r="BC343" s="129" t="s">
        <v>38</v>
      </c>
      <c r="BF343" s="111">
        <f t="shared" si="286"/>
        <v>69</v>
      </c>
      <c r="BG343" s="111">
        <f t="shared" si="287"/>
        <v>69</v>
      </c>
      <c r="BH343" s="111">
        <f t="shared" si="260"/>
        <v>69</v>
      </c>
      <c r="BI343" s="111">
        <f t="shared" si="261"/>
        <v>41.10928961748634</v>
      </c>
      <c r="BJ343" s="129">
        <f t="shared" si="267"/>
        <v>0</v>
      </c>
      <c r="BK343" s="129">
        <f t="shared" si="262"/>
        <v>0</v>
      </c>
      <c r="BL343" s="129" t="str">
        <f t="shared" si="263"/>
        <v>CONVICTION</v>
      </c>
      <c r="BM343" s="129" t="str">
        <f t="shared" si="268"/>
        <v>NONE</v>
      </c>
      <c r="BN343" s="129" t="s">
        <v>566</v>
      </c>
      <c r="BP343" s="137" t="str">
        <f t="shared" si="269"/>
        <v>CONVICTION</v>
      </c>
      <c r="BQ343" s="128" t="str">
        <f t="shared" si="270"/>
        <v>Y</v>
      </c>
      <c r="BR343" s="129" t="str">
        <f t="shared" si="271"/>
        <v>DETAINED</v>
      </c>
      <c r="BS343" s="129" t="str">
        <f t="shared" si="272"/>
        <v>DISPOSED</v>
      </c>
      <c r="BT343" s="129" t="str">
        <f t="shared" si="273"/>
        <v>Y</v>
      </c>
      <c r="BU343" s="109">
        <f t="shared" si="274"/>
        <v>1</v>
      </c>
      <c r="BV343" s="109">
        <f t="shared" si="275"/>
        <v>1</v>
      </c>
      <c r="BW343" s="109">
        <f t="shared" si="294"/>
        <v>0</v>
      </c>
      <c r="BX343" s="111">
        <f t="shared" si="276"/>
        <v>0</v>
      </c>
      <c r="BY343" s="129">
        <f t="shared" si="277"/>
        <v>-69</v>
      </c>
      <c r="BZ343" s="111">
        <f t="shared" si="278"/>
        <v>0</v>
      </c>
      <c r="CA343" s="138">
        <f t="shared" si="279"/>
        <v>69</v>
      </c>
      <c r="CB343" s="111" t="e">
        <f t="shared" si="288"/>
        <v>#VALUE!</v>
      </c>
      <c r="CC343" s="129">
        <f t="shared" si="295"/>
        <v>69</v>
      </c>
      <c r="CD343" s="129">
        <f t="shared" si="296"/>
        <v>0</v>
      </c>
      <c r="CE343" s="129">
        <f t="shared" si="280"/>
        <v>0</v>
      </c>
      <c r="CG343" s="129" t="str">
        <f t="shared" si="281"/>
        <v>Y</v>
      </c>
      <c r="CI343" s="129" t="str">
        <f t="shared" si="282"/>
        <v>61-90 DAYS</v>
      </c>
      <c r="CJ343" s="137">
        <f t="shared" si="283"/>
        <v>4</v>
      </c>
      <c r="CK343" s="129" t="str">
        <f t="shared" si="284"/>
        <v>Booked</v>
      </c>
    </row>
    <row r="344" spans="1:89" ht="15" customHeight="1" x14ac:dyDescent="0.25">
      <c r="A344" s="111">
        <v>1893</v>
      </c>
      <c r="B344" s="128" t="str">
        <f t="shared" si="264"/>
        <v>N</v>
      </c>
      <c r="C344" s="128" t="str">
        <f t="shared" si="265"/>
        <v>N</v>
      </c>
      <c r="D344" s="117">
        <v>1001976</v>
      </c>
      <c r="E344" s="135">
        <f t="shared" si="266"/>
        <v>2</v>
      </c>
      <c r="F344" s="124">
        <v>40979</v>
      </c>
      <c r="G344" s="125">
        <v>41165</v>
      </c>
      <c r="H344" s="117">
        <v>1001976</v>
      </c>
      <c r="I344" s="124">
        <v>41162</v>
      </c>
      <c r="J344" s="124">
        <v>41165</v>
      </c>
      <c r="K344" s="126">
        <v>5000</v>
      </c>
      <c r="L344" s="127" t="s">
        <v>569</v>
      </c>
      <c r="N344" s="129" t="str">
        <f t="shared" si="291"/>
        <v>N</v>
      </c>
      <c r="O344" s="128" t="s">
        <v>917</v>
      </c>
      <c r="P344" s="129" t="s">
        <v>589</v>
      </c>
      <c r="Q344" s="111">
        <f t="shared" si="247"/>
        <v>4</v>
      </c>
      <c r="R344" s="111">
        <f t="shared" si="259"/>
        <v>187</v>
      </c>
      <c r="S344" s="129">
        <v>0</v>
      </c>
      <c r="T344" s="129">
        <v>4</v>
      </c>
      <c r="W344" s="111"/>
      <c r="AC344" s="130"/>
      <c r="AD344" s="130">
        <v>23872</v>
      </c>
      <c r="AE344" s="128" t="s">
        <v>32</v>
      </c>
      <c r="AF344" s="128" t="s">
        <v>33</v>
      </c>
      <c r="AG344" s="128" t="s">
        <v>872</v>
      </c>
      <c r="AH344" s="108" t="s">
        <v>31</v>
      </c>
      <c r="AI344" s="128" t="s">
        <v>72</v>
      </c>
      <c r="AJ344" s="129" t="s">
        <v>48</v>
      </c>
      <c r="AK344" s="129">
        <v>2</v>
      </c>
      <c r="AL344" s="3" t="s">
        <v>48</v>
      </c>
      <c r="AP344" s="129" t="s">
        <v>43</v>
      </c>
      <c r="AR344" s="128" t="s">
        <v>44</v>
      </c>
      <c r="AS344" s="129" t="s">
        <v>45</v>
      </c>
      <c r="BC344" s="129" t="s">
        <v>38</v>
      </c>
      <c r="BF344" s="111">
        <f t="shared" si="286"/>
        <v>4</v>
      </c>
      <c r="BG344" s="111">
        <f t="shared" si="287"/>
        <v>4</v>
      </c>
      <c r="BH344" s="111">
        <f t="shared" si="260"/>
        <v>187</v>
      </c>
      <c r="BI344" s="111">
        <f t="shared" si="261"/>
        <v>46.740437158469945</v>
      </c>
      <c r="BJ344" s="129">
        <f t="shared" si="267"/>
        <v>0</v>
      </c>
      <c r="BK344" s="129">
        <f t="shared" si="262"/>
        <v>0</v>
      </c>
      <c r="BL344" s="129" t="str">
        <f t="shared" si="263"/>
        <v>DEFERRED</v>
      </c>
      <c r="BM344" s="129" t="str">
        <f t="shared" si="268"/>
        <v>NONE</v>
      </c>
      <c r="BN344" s="129" t="s">
        <v>566</v>
      </c>
      <c r="BP344" s="137" t="str">
        <f t="shared" si="269"/>
        <v>DEFERRED</v>
      </c>
      <c r="BQ344" s="128" t="str">
        <f t="shared" si="270"/>
        <v>Y</v>
      </c>
      <c r="BR344" s="129" t="str">
        <f t="shared" si="271"/>
        <v>DETAINED</v>
      </c>
      <c r="BS344" s="129" t="str">
        <f t="shared" si="272"/>
        <v>DISPOSED</v>
      </c>
      <c r="BT344" s="129" t="str">
        <f t="shared" si="273"/>
        <v>N</v>
      </c>
      <c r="BU344" s="109">
        <f t="shared" si="274"/>
        <v>2.1390374331550801E-2</v>
      </c>
      <c r="BV344" s="109">
        <f t="shared" si="275"/>
        <v>1</v>
      </c>
      <c r="BW344" s="109">
        <f t="shared" si="294"/>
        <v>0.97860962566844922</v>
      </c>
      <c r="BX344" s="111">
        <f t="shared" si="276"/>
        <v>0</v>
      </c>
      <c r="BY344" s="129">
        <f t="shared" si="277"/>
        <v>-4</v>
      </c>
      <c r="BZ344" s="111">
        <f t="shared" si="278"/>
        <v>0</v>
      </c>
      <c r="CA344" s="138">
        <f t="shared" si="279"/>
        <v>4</v>
      </c>
      <c r="CB344" s="111" t="e">
        <f t="shared" si="288"/>
        <v>#VALUE!</v>
      </c>
      <c r="CC344" s="129">
        <f t="shared" si="295"/>
        <v>4</v>
      </c>
      <c r="CD344" s="129">
        <f t="shared" si="296"/>
        <v>0</v>
      </c>
      <c r="CE344" s="129">
        <f t="shared" si="280"/>
        <v>0</v>
      </c>
      <c r="CG344" s="129" t="str">
        <f t="shared" si="281"/>
        <v>Y</v>
      </c>
      <c r="CI344" s="129" t="str">
        <f t="shared" si="282"/>
        <v>0-10 DAYS</v>
      </c>
      <c r="CJ344" s="137">
        <f t="shared" si="283"/>
        <v>1</v>
      </c>
      <c r="CK344" s="129" t="str">
        <f t="shared" si="284"/>
        <v>Booked</v>
      </c>
    </row>
    <row r="345" spans="1:89" ht="15.75" customHeight="1" x14ac:dyDescent="0.25">
      <c r="A345" s="111">
        <v>2050</v>
      </c>
      <c r="B345" s="128" t="str">
        <f t="shared" si="264"/>
        <v>N</v>
      </c>
      <c r="C345" s="128" t="str">
        <f t="shared" si="265"/>
        <v>N</v>
      </c>
      <c r="D345" s="117">
        <v>1002058</v>
      </c>
      <c r="E345" s="135">
        <f t="shared" si="266"/>
        <v>1</v>
      </c>
      <c r="F345" s="124">
        <v>40986</v>
      </c>
      <c r="G345" s="125">
        <v>41198</v>
      </c>
      <c r="H345" s="117">
        <v>1002058</v>
      </c>
      <c r="I345" s="124">
        <v>40986</v>
      </c>
      <c r="J345" s="124">
        <v>41198</v>
      </c>
      <c r="K345" s="126" t="s">
        <v>564</v>
      </c>
      <c r="L345" s="127" t="s">
        <v>564</v>
      </c>
      <c r="N345" s="129" t="s">
        <v>566</v>
      </c>
      <c r="O345" s="128" t="s">
        <v>917</v>
      </c>
      <c r="P345" s="129" t="s">
        <v>55</v>
      </c>
      <c r="Q345" s="111">
        <f t="shared" si="247"/>
        <v>213</v>
      </c>
      <c r="R345" s="111">
        <f t="shared" si="259"/>
        <v>213</v>
      </c>
      <c r="S345" s="129">
        <v>12</v>
      </c>
      <c r="T345" s="129">
        <v>12</v>
      </c>
      <c r="U345" s="129">
        <v>9</v>
      </c>
      <c r="W345" s="111"/>
      <c r="AC345" s="130"/>
      <c r="AD345" s="130">
        <v>23796</v>
      </c>
      <c r="AE345" s="128" t="s">
        <v>32</v>
      </c>
      <c r="AF345" s="128" t="s">
        <v>33</v>
      </c>
      <c r="AG345" s="128" t="s">
        <v>872</v>
      </c>
      <c r="AH345" s="108" t="s">
        <v>31</v>
      </c>
      <c r="AI345" s="128" t="s">
        <v>118</v>
      </c>
      <c r="AJ345" s="129" t="s">
        <v>55</v>
      </c>
      <c r="AK345" s="129">
        <v>7</v>
      </c>
      <c r="AL345" s="3" t="s">
        <v>55</v>
      </c>
      <c r="AP345" s="129" t="s">
        <v>84</v>
      </c>
      <c r="AR345" s="128" t="s">
        <v>67</v>
      </c>
      <c r="AS345" s="129" t="s">
        <v>74</v>
      </c>
      <c r="AT345" s="32" t="s">
        <v>647</v>
      </c>
      <c r="BC345" s="129" t="s">
        <v>38</v>
      </c>
      <c r="BF345" s="111">
        <f t="shared" si="286"/>
        <v>213</v>
      </c>
      <c r="BG345" s="111">
        <f t="shared" si="287"/>
        <v>213</v>
      </c>
      <c r="BH345" s="111">
        <f t="shared" si="260"/>
        <v>213</v>
      </c>
      <c r="BI345" s="111">
        <f t="shared" si="261"/>
        <v>46.967213114754095</v>
      </c>
      <c r="BJ345" s="129">
        <f t="shared" si="267"/>
        <v>0</v>
      </c>
      <c r="BK345" s="129">
        <f t="shared" si="262"/>
        <v>0</v>
      </c>
      <c r="BL345" s="129" t="str">
        <f t="shared" si="263"/>
        <v>NO CONVICTION</v>
      </c>
      <c r="BM345" s="129" t="str">
        <f t="shared" si="268"/>
        <v>NONE</v>
      </c>
      <c r="BN345" s="129" t="s">
        <v>566</v>
      </c>
      <c r="BP345" s="137" t="str">
        <f t="shared" si="269"/>
        <v>NO CONVICTION</v>
      </c>
      <c r="BQ345" s="128" t="str">
        <f t="shared" si="270"/>
        <v>Y</v>
      </c>
      <c r="BR345" s="129" t="str">
        <f t="shared" si="271"/>
        <v>DETAINED</v>
      </c>
      <c r="BS345" s="129" t="str">
        <f t="shared" si="272"/>
        <v>DISPOSED</v>
      </c>
      <c r="BT345" s="129" t="str">
        <f t="shared" si="273"/>
        <v>Y</v>
      </c>
      <c r="BU345" s="109">
        <f>IFERROR(Q345/R345,BR345)</f>
        <v>1</v>
      </c>
      <c r="BV345" s="109">
        <f t="shared" si="275"/>
        <v>1</v>
      </c>
      <c r="BW345" s="109">
        <f t="shared" si="294"/>
        <v>0</v>
      </c>
      <c r="BX345" s="111">
        <f t="shared" si="276"/>
        <v>0</v>
      </c>
      <c r="BY345" s="129">
        <f t="shared" si="277"/>
        <v>-213</v>
      </c>
      <c r="BZ345" s="111">
        <f t="shared" si="278"/>
        <v>0</v>
      </c>
      <c r="CA345" s="138">
        <f t="shared" si="279"/>
        <v>213</v>
      </c>
      <c r="CB345" s="111" t="e">
        <f t="shared" si="288"/>
        <v>#VALUE!</v>
      </c>
      <c r="CC345" s="129">
        <f t="shared" si="295"/>
        <v>213</v>
      </c>
      <c r="CD345" s="129">
        <f t="shared" si="296"/>
        <v>0</v>
      </c>
      <c r="CE345" s="129">
        <f t="shared" si="280"/>
        <v>0</v>
      </c>
      <c r="CG345" s="129" t="str">
        <f t="shared" si="281"/>
        <v>Y</v>
      </c>
      <c r="CI345" s="129" t="str">
        <f t="shared" si="282"/>
        <v>121-365 DAYS</v>
      </c>
      <c r="CJ345" s="137">
        <f t="shared" si="283"/>
        <v>6</v>
      </c>
      <c r="CK345" s="129" t="str">
        <f t="shared" si="284"/>
        <v>Booked</v>
      </c>
    </row>
    <row r="346" spans="1:89" ht="15.75" customHeight="1" x14ac:dyDescent="0.25">
      <c r="A346" s="111">
        <v>2712</v>
      </c>
      <c r="B346" s="128" t="str">
        <f t="shared" si="264"/>
        <v>N</v>
      </c>
      <c r="C346" s="128" t="str">
        <f t="shared" si="265"/>
        <v>N</v>
      </c>
      <c r="D346" s="117">
        <v>1002249</v>
      </c>
      <c r="E346" s="135">
        <f t="shared" si="266"/>
        <v>4</v>
      </c>
      <c r="F346" s="124">
        <v>41009</v>
      </c>
      <c r="G346" s="125">
        <v>41011</v>
      </c>
      <c r="H346" s="117">
        <v>1002249</v>
      </c>
      <c r="I346" s="124">
        <v>41010</v>
      </c>
      <c r="J346" s="124">
        <v>41011</v>
      </c>
      <c r="K346" s="126">
        <v>15000</v>
      </c>
      <c r="L346" s="127" t="s">
        <v>571</v>
      </c>
      <c r="N346" s="129" t="str">
        <f>IF(M346&gt;1/1/1,"Y","N")</f>
        <v>N</v>
      </c>
      <c r="O346" s="128" t="s">
        <v>917</v>
      </c>
      <c r="P346" s="129" t="s">
        <v>39</v>
      </c>
      <c r="Q346" s="111">
        <f t="shared" si="247"/>
        <v>2</v>
      </c>
      <c r="R346" s="111">
        <f t="shared" si="259"/>
        <v>3</v>
      </c>
      <c r="S346" s="129">
        <v>2</v>
      </c>
      <c r="T346" s="129">
        <v>0</v>
      </c>
      <c r="U346" s="129">
        <v>1</v>
      </c>
      <c r="W346" s="111"/>
      <c r="AC346" s="130"/>
      <c r="AD346" s="130">
        <v>22479</v>
      </c>
      <c r="AE346" s="128" t="s">
        <v>32</v>
      </c>
      <c r="AF346" s="128" t="s">
        <v>33</v>
      </c>
      <c r="AG346" s="128" t="s">
        <v>872</v>
      </c>
      <c r="AH346" s="108" t="s">
        <v>58</v>
      </c>
      <c r="AI346" s="128" t="s">
        <v>113</v>
      </c>
      <c r="AJ346" s="129" t="s">
        <v>89</v>
      </c>
      <c r="AK346" s="129">
        <v>1</v>
      </c>
      <c r="AL346" s="3" t="s">
        <v>991</v>
      </c>
      <c r="AO346" s="128">
        <v>180</v>
      </c>
      <c r="AP346" s="129" t="s">
        <v>43</v>
      </c>
      <c r="AR346" s="128" t="s">
        <v>44</v>
      </c>
      <c r="AS346" s="129" t="s">
        <v>45</v>
      </c>
      <c r="BC346" s="129" t="s">
        <v>38</v>
      </c>
      <c r="BF346" s="111">
        <f t="shared" si="286"/>
        <v>2</v>
      </c>
      <c r="BG346" s="111">
        <f t="shared" si="287"/>
        <v>2</v>
      </c>
      <c r="BH346" s="111">
        <f t="shared" si="260"/>
        <v>3</v>
      </c>
      <c r="BI346" s="111">
        <f t="shared" si="261"/>
        <v>50.62841530054645</v>
      </c>
      <c r="BJ346" s="129">
        <f t="shared" si="267"/>
        <v>0</v>
      </c>
      <c r="BK346" s="129">
        <f t="shared" si="262"/>
        <v>0</v>
      </c>
      <c r="BL346" s="129" t="str">
        <f t="shared" si="263"/>
        <v>CONVICTION</v>
      </c>
      <c r="BM346" s="129" t="str">
        <f t="shared" si="268"/>
        <v>NONE</v>
      </c>
      <c r="BN346" s="129" t="s">
        <v>566</v>
      </c>
      <c r="BP346" s="137" t="str">
        <f t="shared" si="269"/>
        <v>CONVICTION</v>
      </c>
      <c r="BQ346" s="128" t="str">
        <f t="shared" si="270"/>
        <v>Y</v>
      </c>
      <c r="BR346" s="129" t="str">
        <f t="shared" si="271"/>
        <v>DETAINED</v>
      </c>
      <c r="BS346" s="129" t="str">
        <f t="shared" si="272"/>
        <v>DISPOSED</v>
      </c>
      <c r="BT346" s="129" t="str">
        <f t="shared" si="273"/>
        <v>Y</v>
      </c>
      <c r="BU346" s="109">
        <f t="shared" si="274"/>
        <v>0.66666666666666663</v>
      </c>
      <c r="BV346" s="109">
        <f t="shared" si="275"/>
        <v>1</v>
      </c>
      <c r="BW346" s="109">
        <f t="shared" si="294"/>
        <v>0.33333333333333337</v>
      </c>
      <c r="BX346" s="111">
        <f t="shared" si="276"/>
        <v>0</v>
      </c>
      <c r="BY346" s="129">
        <f t="shared" si="277"/>
        <v>-2</v>
      </c>
      <c r="BZ346" s="111">
        <f t="shared" si="278"/>
        <v>0</v>
      </c>
      <c r="CA346" s="138">
        <f t="shared" si="279"/>
        <v>2</v>
      </c>
      <c r="CB346" s="111" t="e">
        <f t="shared" si="288"/>
        <v>#VALUE!</v>
      </c>
      <c r="CC346" s="129">
        <f t="shared" si="295"/>
        <v>2</v>
      </c>
      <c r="CD346" s="129">
        <f t="shared" si="296"/>
        <v>0</v>
      </c>
      <c r="CE346" s="129">
        <f t="shared" si="280"/>
        <v>0</v>
      </c>
      <c r="CG346" s="129" t="str">
        <f t="shared" si="281"/>
        <v>Y</v>
      </c>
      <c r="CI346" s="129" t="str">
        <f t="shared" si="282"/>
        <v>0-10 DAYS</v>
      </c>
      <c r="CJ346" s="137">
        <f t="shared" si="283"/>
        <v>1</v>
      </c>
      <c r="CK346" s="129" t="str">
        <f t="shared" si="284"/>
        <v>Booked</v>
      </c>
    </row>
    <row r="347" spans="1:89" ht="15.75" customHeight="1" x14ac:dyDescent="0.25">
      <c r="A347" s="111">
        <v>507</v>
      </c>
      <c r="B347" s="128" t="str">
        <f t="shared" si="264"/>
        <v>N</v>
      </c>
      <c r="C347" s="128" t="str">
        <f t="shared" si="265"/>
        <v>N</v>
      </c>
      <c r="D347" s="117">
        <v>1002326</v>
      </c>
      <c r="E347" s="135">
        <f t="shared" si="266"/>
        <v>4</v>
      </c>
      <c r="F347" s="124">
        <v>40929</v>
      </c>
      <c r="G347" s="125">
        <v>40931</v>
      </c>
      <c r="H347" s="117">
        <v>1002326</v>
      </c>
      <c r="I347" s="124">
        <v>40929</v>
      </c>
      <c r="J347" s="124">
        <v>40931</v>
      </c>
      <c r="K347" s="126">
        <v>15000</v>
      </c>
      <c r="L347" s="127" t="s">
        <v>571</v>
      </c>
      <c r="N347" s="129" t="str">
        <f>IF(M347&gt;1/1/1,"Y","N")</f>
        <v>N</v>
      </c>
      <c r="O347" s="128" t="s">
        <v>917</v>
      </c>
      <c r="P347" s="129" t="s">
        <v>39</v>
      </c>
      <c r="Q347" s="111">
        <f t="shared" si="247"/>
        <v>3</v>
      </c>
      <c r="R347" s="111">
        <f t="shared" si="259"/>
        <v>3</v>
      </c>
      <c r="S347" s="129">
        <v>3</v>
      </c>
      <c r="T347" s="129">
        <v>1</v>
      </c>
      <c r="U347" s="129">
        <v>3</v>
      </c>
      <c r="W347" s="111"/>
      <c r="AC347" s="130"/>
      <c r="AD347" s="130">
        <v>22695</v>
      </c>
      <c r="AE347" s="128" t="s">
        <v>32</v>
      </c>
      <c r="AF347" s="128" t="s">
        <v>33</v>
      </c>
      <c r="AG347" s="128" t="s">
        <v>872</v>
      </c>
      <c r="AH347" s="108" t="s">
        <v>58</v>
      </c>
      <c r="AI347" s="128" t="s">
        <v>113</v>
      </c>
      <c r="AJ347" s="129" t="s">
        <v>89</v>
      </c>
      <c r="AK347" s="129">
        <v>1</v>
      </c>
      <c r="AL347" s="3" t="s">
        <v>991</v>
      </c>
      <c r="AO347" s="128">
        <v>180</v>
      </c>
      <c r="AP347" s="129" t="s">
        <v>43</v>
      </c>
      <c r="AR347" s="128" t="s">
        <v>44</v>
      </c>
      <c r="AS347" s="129" t="s">
        <v>45</v>
      </c>
      <c r="BC347" s="129" t="s">
        <v>38</v>
      </c>
      <c r="BF347" s="111">
        <f t="shared" si="286"/>
        <v>3</v>
      </c>
      <c r="BG347" s="111">
        <f t="shared" si="287"/>
        <v>3</v>
      </c>
      <c r="BH347" s="111">
        <f t="shared" si="260"/>
        <v>3</v>
      </c>
      <c r="BI347" s="111">
        <f t="shared" si="261"/>
        <v>49.819672131147541</v>
      </c>
      <c r="BJ347" s="129">
        <f t="shared" si="267"/>
        <v>0</v>
      </c>
      <c r="BK347" s="129">
        <f t="shared" si="262"/>
        <v>0</v>
      </c>
      <c r="BL347" s="129" t="str">
        <f t="shared" si="263"/>
        <v>CONVICTION</v>
      </c>
      <c r="BM347" s="129" t="str">
        <f t="shared" si="268"/>
        <v>NONE</v>
      </c>
      <c r="BN347" s="129" t="s">
        <v>566</v>
      </c>
      <c r="BP347" s="137" t="str">
        <f t="shared" si="269"/>
        <v>CONVICTION</v>
      </c>
      <c r="BQ347" s="128" t="str">
        <f t="shared" si="270"/>
        <v>Y</v>
      </c>
      <c r="BR347" s="129" t="str">
        <f t="shared" si="271"/>
        <v>DETAINED</v>
      </c>
      <c r="BS347" s="129" t="str">
        <f t="shared" si="272"/>
        <v>DISPOSED</v>
      </c>
      <c r="BT347" s="129" t="str">
        <f t="shared" si="273"/>
        <v>Y</v>
      </c>
      <c r="BU347" s="109">
        <f t="shared" si="274"/>
        <v>1</v>
      </c>
      <c r="BV347" s="109">
        <f t="shared" si="275"/>
        <v>1</v>
      </c>
      <c r="BW347" s="109">
        <f t="shared" si="294"/>
        <v>0</v>
      </c>
      <c r="BX347" s="111">
        <f t="shared" si="276"/>
        <v>0</v>
      </c>
      <c r="BY347" s="129">
        <f t="shared" si="277"/>
        <v>-3</v>
      </c>
      <c r="BZ347" s="111">
        <f t="shared" si="278"/>
        <v>0</v>
      </c>
      <c r="CA347" s="138">
        <f t="shared" si="279"/>
        <v>3</v>
      </c>
      <c r="CB347" s="111" t="e">
        <f t="shared" si="288"/>
        <v>#VALUE!</v>
      </c>
      <c r="CC347" s="129">
        <f t="shared" si="295"/>
        <v>3</v>
      </c>
      <c r="CD347" s="129">
        <f t="shared" si="296"/>
        <v>0</v>
      </c>
      <c r="CE347" s="129">
        <f t="shared" si="280"/>
        <v>0</v>
      </c>
      <c r="CG347" s="129" t="str">
        <f t="shared" si="281"/>
        <v>Y</v>
      </c>
      <c r="CI347" s="129" t="str">
        <f t="shared" si="282"/>
        <v>0-10 DAYS</v>
      </c>
      <c r="CJ347" s="137">
        <f t="shared" si="283"/>
        <v>1</v>
      </c>
      <c r="CK347" s="129" t="str">
        <f t="shared" si="284"/>
        <v>Booked</v>
      </c>
    </row>
    <row r="348" spans="1:89" ht="15" customHeight="1" x14ac:dyDescent="0.25">
      <c r="A348" s="111">
        <v>1548</v>
      </c>
      <c r="B348" s="128" t="str">
        <f t="shared" si="264"/>
        <v>N</v>
      </c>
      <c r="C348" s="128" t="str">
        <f t="shared" si="265"/>
        <v>N</v>
      </c>
      <c r="D348" s="117">
        <v>1003289</v>
      </c>
      <c r="E348" s="135">
        <f t="shared" si="266"/>
        <v>2</v>
      </c>
      <c r="F348" s="124">
        <v>40966</v>
      </c>
      <c r="G348" s="125">
        <v>41108</v>
      </c>
      <c r="H348" s="117">
        <v>1003289</v>
      </c>
      <c r="I348" s="124">
        <v>40967</v>
      </c>
      <c r="J348" s="124">
        <v>41009</v>
      </c>
      <c r="K348" s="126">
        <v>10000</v>
      </c>
      <c r="L348" s="127" t="s">
        <v>570</v>
      </c>
      <c r="M348" s="125">
        <v>41009</v>
      </c>
      <c r="N348" s="129" t="str">
        <f>IF(M348&gt;1/1/1,"Y","N")</f>
        <v>Y</v>
      </c>
      <c r="O348" s="128" t="s">
        <v>76</v>
      </c>
      <c r="P348" s="129" t="s">
        <v>589</v>
      </c>
      <c r="Q348" s="111">
        <f t="shared" si="247"/>
        <v>43</v>
      </c>
      <c r="R348" s="111">
        <f t="shared" si="259"/>
        <v>143</v>
      </c>
      <c r="S348" s="129">
        <v>0</v>
      </c>
      <c r="T348" s="129">
        <v>2</v>
      </c>
      <c r="W348" s="111"/>
      <c r="AC348" s="130"/>
      <c r="AD348" s="130">
        <v>22349</v>
      </c>
      <c r="AE348" s="128" t="s">
        <v>32</v>
      </c>
      <c r="AF348" s="128" t="s">
        <v>33</v>
      </c>
      <c r="AG348" s="128" t="s">
        <v>872</v>
      </c>
      <c r="AH348" s="108" t="s">
        <v>31</v>
      </c>
      <c r="AI348" s="128" t="s">
        <v>83</v>
      </c>
      <c r="AJ348" s="129" t="s">
        <v>48</v>
      </c>
      <c r="AK348" s="129">
        <v>5</v>
      </c>
      <c r="AL348" s="3" t="s">
        <v>48</v>
      </c>
      <c r="AP348" s="129" t="s">
        <v>186</v>
      </c>
      <c r="AR348" s="128" t="s">
        <v>50</v>
      </c>
      <c r="AS348" s="129" t="s">
        <v>106</v>
      </c>
      <c r="BC348" s="129" t="s">
        <v>38</v>
      </c>
      <c r="BF348" s="111">
        <f t="shared" si="286"/>
        <v>43</v>
      </c>
      <c r="BG348" s="111">
        <f t="shared" si="287"/>
        <v>142</v>
      </c>
      <c r="BH348" s="111">
        <f t="shared" si="260"/>
        <v>143</v>
      </c>
      <c r="BI348" s="111">
        <f t="shared" si="261"/>
        <v>50.866120218579233</v>
      </c>
      <c r="BJ348" s="129">
        <f>(G348-J348)+(M348-G348)</f>
        <v>0</v>
      </c>
      <c r="BK348" s="129">
        <f t="shared" si="262"/>
        <v>-99</v>
      </c>
      <c r="BL348" s="129" t="str">
        <f t="shared" si="263"/>
        <v>DEFERRED</v>
      </c>
      <c r="BM348" s="129" t="s">
        <v>76</v>
      </c>
      <c r="BN348" s="129" t="s">
        <v>88</v>
      </c>
      <c r="BP348" s="137" t="str">
        <f t="shared" si="269"/>
        <v>DEFERRED</v>
      </c>
      <c r="BQ348" s="128" t="str">
        <f t="shared" si="270"/>
        <v>Y</v>
      </c>
      <c r="BR348" s="129" t="str">
        <f t="shared" si="271"/>
        <v>ON BOND</v>
      </c>
      <c r="BS348" s="129" t="str">
        <f t="shared" si="272"/>
        <v>DISPOSED</v>
      </c>
      <c r="BT348" s="129" t="str">
        <f t="shared" si="273"/>
        <v>N</v>
      </c>
      <c r="BU348" s="109">
        <f t="shared" si="274"/>
        <v>0.30069930069930068</v>
      </c>
      <c r="BV348" s="109">
        <f t="shared" si="275"/>
        <v>0.30281690140845069</v>
      </c>
      <c r="BW348" s="109">
        <f t="shared" si="294"/>
        <v>2.1176007091500137E-3</v>
      </c>
      <c r="BX348" s="111">
        <f t="shared" si="276"/>
        <v>0</v>
      </c>
      <c r="BY348" s="129">
        <f t="shared" si="277"/>
        <v>-43</v>
      </c>
      <c r="BZ348" s="111">
        <f t="shared" si="278"/>
        <v>0</v>
      </c>
      <c r="CA348" s="138">
        <f t="shared" si="279"/>
        <v>43</v>
      </c>
      <c r="CB348" s="111" t="e">
        <f t="shared" si="288"/>
        <v>#VALUE!</v>
      </c>
      <c r="CC348" s="129">
        <f>M348-I348+1</f>
        <v>43</v>
      </c>
      <c r="CD348" s="111">
        <f>CC348-BF348</f>
        <v>0</v>
      </c>
      <c r="CE348" s="129">
        <f t="shared" si="280"/>
        <v>99</v>
      </c>
      <c r="CG348" s="129" t="str">
        <f t="shared" si="281"/>
        <v>Y</v>
      </c>
      <c r="CI348" s="129" t="str">
        <f t="shared" si="282"/>
        <v>31-60 DAYS</v>
      </c>
      <c r="CJ348" s="137">
        <f t="shared" si="283"/>
        <v>3</v>
      </c>
      <c r="CK348" s="129" t="str">
        <f t="shared" si="284"/>
        <v>Booked</v>
      </c>
    </row>
    <row r="349" spans="1:89" ht="15.75" customHeight="1" x14ac:dyDescent="0.25">
      <c r="A349" s="111">
        <v>2955</v>
      </c>
      <c r="B349" s="128" t="str">
        <f t="shared" si="264"/>
        <v>N</v>
      </c>
      <c r="C349" s="128" t="str">
        <f t="shared" si="265"/>
        <v>Y</v>
      </c>
      <c r="D349" s="117">
        <v>1004490</v>
      </c>
      <c r="E349" s="135">
        <f t="shared" si="266"/>
        <v>1</v>
      </c>
      <c r="F349" s="124">
        <v>41017</v>
      </c>
      <c r="G349" s="125">
        <v>41215</v>
      </c>
      <c r="H349" s="117">
        <v>1004490</v>
      </c>
      <c r="I349" s="124">
        <v>41018</v>
      </c>
      <c r="J349" s="124">
        <v>41019</v>
      </c>
      <c r="K349" s="126">
        <v>10000</v>
      </c>
      <c r="L349" s="127" t="s">
        <v>570</v>
      </c>
      <c r="M349" s="125">
        <v>41019</v>
      </c>
      <c r="N349" s="129" t="str">
        <f>IF(M349&gt;1/1/1,"Y","N")</f>
        <v>Y</v>
      </c>
      <c r="O349" s="128" t="s">
        <v>76</v>
      </c>
      <c r="P349" s="129" t="s">
        <v>55</v>
      </c>
      <c r="Q349" s="111">
        <f t="shared" si="247"/>
        <v>13</v>
      </c>
      <c r="R349" s="111">
        <f t="shared" si="259"/>
        <v>199</v>
      </c>
      <c r="S349" s="129">
        <v>1</v>
      </c>
      <c r="T349" s="129">
        <v>5</v>
      </c>
      <c r="U349" s="129">
        <v>1</v>
      </c>
      <c r="W349" s="111"/>
      <c r="AC349" s="130"/>
      <c r="AD349" s="130">
        <v>23667</v>
      </c>
      <c r="AE349" s="128" t="s">
        <v>32</v>
      </c>
      <c r="AF349" s="128" t="s">
        <v>40</v>
      </c>
      <c r="AG349" s="128" t="s">
        <v>41</v>
      </c>
      <c r="AH349" s="108" t="s">
        <v>41</v>
      </c>
      <c r="AI349" s="128" t="s">
        <v>53</v>
      </c>
      <c r="AJ349" s="129" t="s">
        <v>55</v>
      </c>
      <c r="AK349" s="129">
        <v>14</v>
      </c>
      <c r="AL349" s="3" t="s">
        <v>55</v>
      </c>
      <c r="AP349" s="129" t="s">
        <v>96</v>
      </c>
      <c r="AR349" s="128" t="s">
        <v>67</v>
      </c>
      <c r="AS349" s="129" t="s">
        <v>64</v>
      </c>
      <c r="AU349" s="3" t="s">
        <v>787</v>
      </c>
      <c r="AX349" s="32" t="s">
        <v>88</v>
      </c>
      <c r="BC349" s="129" t="s">
        <v>52</v>
      </c>
      <c r="BF349" s="111">
        <v>13</v>
      </c>
      <c r="BG349" s="111">
        <f t="shared" si="287"/>
        <v>198</v>
      </c>
      <c r="BH349" s="111">
        <f t="shared" si="260"/>
        <v>199</v>
      </c>
      <c r="BI349" s="111">
        <f t="shared" si="261"/>
        <v>47.404371584699454</v>
      </c>
      <c r="BJ349" s="129">
        <f>(G349-J349)+(M349-G349)</f>
        <v>0</v>
      </c>
      <c r="BK349" s="129">
        <f t="shared" si="262"/>
        <v>-196</v>
      </c>
      <c r="BL349" s="129" t="str">
        <f t="shared" si="263"/>
        <v>NO CONVICTION</v>
      </c>
      <c r="BM349" s="129" t="s">
        <v>76</v>
      </c>
      <c r="BN349" s="129" t="s">
        <v>88</v>
      </c>
      <c r="BP349" s="137" t="str">
        <f t="shared" si="269"/>
        <v>NO CONVICTION</v>
      </c>
      <c r="BQ349" s="128" t="str">
        <f t="shared" si="270"/>
        <v>Y</v>
      </c>
      <c r="BR349" s="129" t="str">
        <f t="shared" si="271"/>
        <v>ON BOND</v>
      </c>
      <c r="BS349" s="129" t="str">
        <f t="shared" si="272"/>
        <v>DISPOSED</v>
      </c>
      <c r="BT349" s="129" t="str">
        <f t="shared" si="273"/>
        <v>Y</v>
      </c>
      <c r="BU349" s="109">
        <f>IFERROR(Q349/R349,BR349)</f>
        <v>6.5326633165829151E-2</v>
      </c>
      <c r="BV349" s="109">
        <f t="shared" si="275"/>
        <v>1.0101010101010102E-2</v>
      </c>
      <c r="BW349" s="109">
        <f t="shared" si="294"/>
        <v>-5.5225623064819047E-2</v>
      </c>
      <c r="BX349" s="111">
        <f t="shared" si="276"/>
        <v>0</v>
      </c>
      <c r="BY349" s="129">
        <f t="shared" si="277"/>
        <v>-2</v>
      </c>
      <c r="BZ349" s="111">
        <f t="shared" si="278"/>
        <v>11</v>
      </c>
      <c r="CA349" s="138">
        <f t="shared" si="279"/>
        <v>2</v>
      </c>
      <c r="CB349" s="111" t="e">
        <f t="shared" si="288"/>
        <v>#VALUE!</v>
      </c>
      <c r="CD349" s="129">
        <f>G349-J349</f>
        <v>196</v>
      </c>
      <c r="CE349" s="129">
        <f t="shared" si="280"/>
        <v>196</v>
      </c>
      <c r="CG349" s="129" t="str">
        <f t="shared" si="281"/>
        <v>Y</v>
      </c>
      <c r="CI349" s="129" t="str">
        <f t="shared" si="282"/>
        <v>11-30 DAYS</v>
      </c>
      <c r="CJ349" s="137">
        <f t="shared" si="283"/>
        <v>2</v>
      </c>
      <c r="CK349" s="129" t="str">
        <f t="shared" si="284"/>
        <v>Booked</v>
      </c>
    </row>
    <row r="350" spans="1:89" ht="15.75" customHeight="1" x14ac:dyDescent="0.25">
      <c r="A350" s="111">
        <v>843</v>
      </c>
      <c r="B350" s="128" t="str">
        <f t="shared" si="264"/>
        <v>N</v>
      </c>
      <c r="C350" s="128" t="str">
        <f t="shared" si="265"/>
        <v>N</v>
      </c>
      <c r="D350" s="117">
        <v>1011357</v>
      </c>
      <c r="E350" s="135">
        <f t="shared" si="266"/>
        <v>1</v>
      </c>
      <c r="F350" s="124">
        <v>40940</v>
      </c>
      <c r="G350" s="125">
        <v>41148</v>
      </c>
      <c r="H350" s="117">
        <v>1011357</v>
      </c>
      <c r="I350" s="124">
        <v>40983</v>
      </c>
      <c r="J350" s="124">
        <v>41148</v>
      </c>
      <c r="K350" s="126" t="s">
        <v>564</v>
      </c>
      <c r="L350" s="127" t="s">
        <v>564</v>
      </c>
      <c r="N350" s="129" t="s">
        <v>566</v>
      </c>
      <c r="O350" s="128" t="s">
        <v>917</v>
      </c>
      <c r="P350" s="129" t="s">
        <v>55</v>
      </c>
      <c r="Q350" s="111">
        <f t="shared" si="247"/>
        <v>166</v>
      </c>
      <c r="R350" s="111">
        <f t="shared" si="259"/>
        <v>209</v>
      </c>
      <c r="S350" s="129">
        <v>3</v>
      </c>
      <c r="T350" s="129">
        <v>3</v>
      </c>
      <c r="U350" s="129">
        <v>2</v>
      </c>
      <c r="V350" s="117">
        <v>1</v>
      </c>
      <c r="W350" s="111"/>
      <c r="AC350" s="130"/>
      <c r="AD350" s="130">
        <v>26086</v>
      </c>
      <c r="AE350" s="128" t="s">
        <v>32</v>
      </c>
      <c r="AF350" s="128" t="s">
        <v>33</v>
      </c>
      <c r="AG350" s="128" t="s">
        <v>872</v>
      </c>
      <c r="AH350" s="108" t="s">
        <v>31</v>
      </c>
      <c r="AI350" s="128" t="s">
        <v>97</v>
      </c>
      <c r="AJ350" s="129" t="s">
        <v>55</v>
      </c>
      <c r="AK350" s="129">
        <v>6</v>
      </c>
      <c r="AL350" s="3" t="s">
        <v>55</v>
      </c>
      <c r="AP350" s="129" t="s">
        <v>56</v>
      </c>
      <c r="AR350" s="128" t="s">
        <v>50</v>
      </c>
      <c r="AS350" s="129" t="s">
        <v>57</v>
      </c>
      <c r="BC350" s="129" t="s">
        <v>38</v>
      </c>
      <c r="BF350" s="111">
        <f t="shared" si="286"/>
        <v>166</v>
      </c>
      <c r="BG350" s="111">
        <f t="shared" si="287"/>
        <v>166</v>
      </c>
      <c r="BH350" s="111">
        <f t="shared" si="260"/>
        <v>209</v>
      </c>
      <c r="BI350" s="111">
        <f t="shared" si="261"/>
        <v>40.584699453551913</v>
      </c>
      <c r="BJ350" s="129">
        <f t="shared" si="267"/>
        <v>0</v>
      </c>
      <c r="BK350" s="129">
        <f t="shared" si="262"/>
        <v>0</v>
      </c>
      <c r="BL350" s="129" t="str">
        <f t="shared" si="263"/>
        <v>NO CONVICTION</v>
      </c>
      <c r="BM350" s="129" t="str">
        <f t="shared" si="268"/>
        <v>NONE</v>
      </c>
      <c r="BN350" s="129" t="s">
        <v>566</v>
      </c>
      <c r="BP350" s="137" t="str">
        <f t="shared" si="269"/>
        <v>NO CONVICTION</v>
      </c>
      <c r="BQ350" s="128" t="str">
        <f t="shared" si="270"/>
        <v>Y</v>
      </c>
      <c r="BR350" s="129" t="str">
        <f t="shared" si="271"/>
        <v>DETAINED</v>
      </c>
      <c r="BS350" s="129" t="str">
        <f t="shared" si="272"/>
        <v>DISPOSED</v>
      </c>
      <c r="BT350" s="129" t="str">
        <f t="shared" si="273"/>
        <v>Y</v>
      </c>
      <c r="BU350" s="109">
        <f>IFERROR(Q350/R350,BR350)</f>
        <v>0.79425837320574166</v>
      </c>
      <c r="BV350" s="109">
        <f t="shared" si="275"/>
        <v>1</v>
      </c>
      <c r="BW350" s="109">
        <f t="shared" si="294"/>
        <v>0.20574162679425834</v>
      </c>
      <c r="BX350" s="111">
        <f t="shared" si="276"/>
        <v>0</v>
      </c>
      <c r="BY350" s="129">
        <f t="shared" si="277"/>
        <v>-166</v>
      </c>
      <c r="BZ350" s="111">
        <f t="shared" si="278"/>
        <v>0</v>
      </c>
      <c r="CA350" s="138">
        <f t="shared" si="279"/>
        <v>166</v>
      </c>
      <c r="CB350" s="111" t="e">
        <f t="shared" si="288"/>
        <v>#VALUE!</v>
      </c>
      <c r="CC350" s="129">
        <f>G350-I350+1</f>
        <v>166</v>
      </c>
      <c r="CD350" s="129">
        <f>G350-J350</f>
        <v>0</v>
      </c>
      <c r="CE350" s="129">
        <f t="shared" si="280"/>
        <v>0</v>
      </c>
      <c r="CG350" s="129" t="str">
        <f t="shared" si="281"/>
        <v>Y</v>
      </c>
      <c r="CI350" s="129" t="str">
        <f t="shared" si="282"/>
        <v>121-365 DAYS</v>
      </c>
      <c r="CJ350" s="137">
        <f t="shared" si="283"/>
        <v>6</v>
      </c>
      <c r="CK350" s="129" t="str">
        <f t="shared" si="284"/>
        <v>Booked</v>
      </c>
    </row>
    <row r="351" spans="1:89" ht="15.75" customHeight="1" x14ac:dyDescent="0.25">
      <c r="A351" s="111">
        <v>1471</v>
      </c>
      <c r="B351" s="128" t="str">
        <f t="shared" si="264"/>
        <v>N</v>
      </c>
      <c r="C351" s="128" t="str">
        <f t="shared" si="265"/>
        <v>N</v>
      </c>
      <c r="D351" s="117">
        <v>1011620</v>
      </c>
      <c r="E351" s="135">
        <f t="shared" si="266"/>
        <v>6</v>
      </c>
      <c r="F351" s="124">
        <v>40962</v>
      </c>
      <c r="G351" s="125">
        <v>41208</v>
      </c>
      <c r="H351" s="117">
        <v>1011620</v>
      </c>
      <c r="I351" s="124">
        <v>41094</v>
      </c>
      <c r="J351" s="125">
        <v>41208</v>
      </c>
      <c r="K351" s="126" t="s">
        <v>564</v>
      </c>
      <c r="L351" s="127" t="s">
        <v>564</v>
      </c>
      <c r="N351" s="129" t="s">
        <v>566</v>
      </c>
      <c r="O351" s="128" t="s">
        <v>917</v>
      </c>
      <c r="P351" s="129" t="s">
        <v>39</v>
      </c>
      <c r="Q351" s="111">
        <f t="shared" si="247"/>
        <v>115</v>
      </c>
      <c r="R351" s="111">
        <f t="shared" si="259"/>
        <v>247</v>
      </c>
      <c r="S351" s="129">
        <v>3</v>
      </c>
      <c r="T351" s="129">
        <v>2</v>
      </c>
      <c r="U351" s="129">
        <v>1</v>
      </c>
      <c r="W351" s="111"/>
      <c r="AC351" s="130"/>
      <c r="AD351" s="130">
        <v>22759</v>
      </c>
      <c r="AE351" s="128" t="s">
        <v>32</v>
      </c>
      <c r="AF351" s="128" t="s">
        <v>33</v>
      </c>
      <c r="AG351" s="128" t="s">
        <v>872</v>
      </c>
      <c r="AH351" s="108" t="s">
        <v>58</v>
      </c>
      <c r="AI351" s="128" t="s">
        <v>100</v>
      </c>
      <c r="AJ351" s="129" t="s">
        <v>89</v>
      </c>
      <c r="AK351" s="129">
        <v>5</v>
      </c>
      <c r="AL351" s="3" t="s">
        <v>362</v>
      </c>
      <c r="AM351" s="117">
        <v>5</v>
      </c>
      <c r="AP351" s="129" t="s">
        <v>203</v>
      </c>
      <c r="AR351" s="128" t="s">
        <v>92</v>
      </c>
      <c r="AS351" s="129" t="s">
        <v>74</v>
      </c>
      <c r="BC351" s="129" t="s">
        <v>38</v>
      </c>
      <c r="BF351" s="111">
        <f t="shared" si="286"/>
        <v>115</v>
      </c>
      <c r="BG351" s="111">
        <f t="shared" si="287"/>
        <v>115</v>
      </c>
      <c r="BH351" s="111">
        <f t="shared" si="260"/>
        <v>247</v>
      </c>
      <c r="BI351" s="111">
        <f t="shared" si="261"/>
        <v>49.734972677595628</v>
      </c>
      <c r="BJ351" s="129">
        <f t="shared" si="267"/>
        <v>0</v>
      </c>
      <c r="BK351" s="129">
        <f t="shared" si="262"/>
        <v>0</v>
      </c>
      <c r="BL351" s="129" t="str">
        <f t="shared" si="263"/>
        <v>CONVICTION</v>
      </c>
      <c r="BM351" s="129" t="str">
        <f t="shared" si="268"/>
        <v>NONE</v>
      </c>
      <c r="BN351" s="129" t="s">
        <v>566</v>
      </c>
      <c r="BP351" s="137" t="str">
        <f t="shared" si="269"/>
        <v>CONVICTION</v>
      </c>
      <c r="BQ351" s="128" t="str">
        <f t="shared" si="270"/>
        <v>Y</v>
      </c>
      <c r="BR351" s="129" t="str">
        <f t="shared" si="271"/>
        <v>DETAINED</v>
      </c>
      <c r="BS351" s="129" t="str">
        <f t="shared" si="272"/>
        <v>DISPOSED</v>
      </c>
      <c r="BT351" s="129" t="str">
        <f t="shared" si="273"/>
        <v>Y</v>
      </c>
      <c r="BU351" s="109">
        <f t="shared" si="274"/>
        <v>0.46558704453441296</v>
      </c>
      <c r="BV351" s="109">
        <f t="shared" si="275"/>
        <v>1</v>
      </c>
      <c r="BW351" s="109">
        <f t="shared" si="294"/>
        <v>0.53441295546558698</v>
      </c>
      <c r="BX351" s="111">
        <f t="shared" si="276"/>
        <v>0</v>
      </c>
      <c r="BY351" s="129">
        <f t="shared" si="277"/>
        <v>-115</v>
      </c>
      <c r="BZ351" s="111">
        <f t="shared" si="278"/>
        <v>0</v>
      </c>
      <c r="CA351" s="138">
        <f t="shared" si="279"/>
        <v>115</v>
      </c>
      <c r="CB351" s="111" t="e">
        <f t="shared" si="288"/>
        <v>#VALUE!</v>
      </c>
      <c r="CC351" s="129">
        <f>G351-I351+1</f>
        <v>115</v>
      </c>
      <c r="CD351" s="129">
        <f>G351-J351</f>
        <v>0</v>
      </c>
      <c r="CE351" s="129">
        <f t="shared" si="280"/>
        <v>0</v>
      </c>
      <c r="CG351" s="129" t="str">
        <f t="shared" si="281"/>
        <v>Y</v>
      </c>
      <c r="CI351" s="129" t="str">
        <f t="shared" si="282"/>
        <v>91-120 DAYS</v>
      </c>
      <c r="CJ351" s="137">
        <f t="shared" si="283"/>
        <v>0</v>
      </c>
      <c r="CK351" s="129" t="str">
        <f t="shared" si="284"/>
        <v>Booked</v>
      </c>
    </row>
    <row r="352" spans="1:89" ht="15" customHeight="1" x14ac:dyDescent="0.25">
      <c r="A352" s="111">
        <v>1651</v>
      </c>
      <c r="B352" s="128" t="str">
        <f t="shared" si="264"/>
        <v>N</v>
      </c>
      <c r="C352" s="128" t="str">
        <f t="shared" si="265"/>
        <v>N</v>
      </c>
      <c r="D352" s="117">
        <v>1014338</v>
      </c>
      <c r="E352" s="135">
        <f t="shared" si="266"/>
        <v>4</v>
      </c>
      <c r="F352" s="124">
        <v>40969</v>
      </c>
      <c r="G352" s="125">
        <v>40973</v>
      </c>
      <c r="H352" s="117">
        <v>1014338</v>
      </c>
      <c r="I352" s="124">
        <v>40970</v>
      </c>
      <c r="J352" s="124">
        <v>40973</v>
      </c>
      <c r="K352" s="126">
        <v>15000</v>
      </c>
      <c r="L352" s="127" t="s">
        <v>571</v>
      </c>
      <c r="N352" s="129" t="str">
        <f>IF(M352&gt;1/1/1,"Y","N")</f>
        <v>N</v>
      </c>
      <c r="O352" s="128" t="s">
        <v>917</v>
      </c>
      <c r="P352" s="129" t="s">
        <v>39</v>
      </c>
      <c r="Q352" s="111">
        <f t="shared" si="247"/>
        <v>4</v>
      </c>
      <c r="R352" s="111">
        <f t="shared" si="259"/>
        <v>5</v>
      </c>
      <c r="S352" s="129">
        <v>4</v>
      </c>
      <c r="T352" s="129">
        <v>3</v>
      </c>
      <c r="U352" s="129">
        <v>3</v>
      </c>
      <c r="W352" s="111"/>
      <c r="AC352" s="130"/>
      <c r="AD352" s="130">
        <v>25881</v>
      </c>
      <c r="AE352" s="128" t="s">
        <v>32</v>
      </c>
      <c r="AF352" s="128" t="s">
        <v>69</v>
      </c>
      <c r="AG352" s="128" t="s">
        <v>874</v>
      </c>
      <c r="AH352" s="108" t="s">
        <v>58</v>
      </c>
      <c r="AI352" s="128" t="s">
        <v>72</v>
      </c>
      <c r="AJ352" s="129" t="s">
        <v>89</v>
      </c>
      <c r="AK352" s="129">
        <v>1</v>
      </c>
      <c r="AL352" s="3" t="s">
        <v>991</v>
      </c>
      <c r="AO352" s="128">
        <v>180</v>
      </c>
      <c r="AP352" s="129" t="s">
        <v>60</v>
      </c>
      <c r="AR352" s="128" t="s">
        <v>44</v>
      </c>
      <c r="AS352" s="129" t="s">
        <v>61</v>
      </c>
      <c r="BC352" s="129" t="s">
        <v>38</v>
      </c>
      <c r="BF352" s="111">
        <f t="shared" si="286"/>
        <v>4</v>
      </c>
      <c r="BG352" s="111">
        <f t="shared" si="287"/>
        <v>4</v>
      </c>
      <c r="BH352" s="111">
        <f t="shared" si="260"/>
        <v>5</v>
      </c>
      <c r="BI352" s="111">
        <f t="shared" si="261"/>
        <v>41.224043715846996</v>
      </c>
      <c r="BJ352" s="129">
        <f t="shared" si="267"/>
        <v>0</v>
      </c>
      <c r="BK352" s="129">
        <f t="shared" si="262"/>
        <v>0</v>
      </c>
      <c r="BL352" s="129" t="str">
        <f t="shared" si="263"/>
        <v>CONVICTION</v>
      </c>
      <c r="BM352" s="129" t="str">
        <f t="shared" si="268"/>
        <v>NONE</v>
      </c>
      <c r="BN352" s="129" t="s">
        <v>566</v>
      </c>
      <c r="BP352" s="137" t="str">
        <f t="shared" si="269"/>
        <v>CONVICTION</v>
      </c>
      <c r="BQ352" s="128" t="str">
        <f t="shared" si="270"/>
        <v>Y</v>
      </c>
      <c r="BR352" s="129" t="str">
        <f t="shared" si="271"/>
        <v>DETAINED</v>
      </c>
      <c r="BS352" s="129" t="str">
        <f t="shared" si="272"/>
        <v>DISPOSED</v>
      </c>
      <c r="BT352" s="129" t="str">
        <f t="shared" si="273"/>
        <v>Y</v>
      </c>
      <c r="BU352" s="109">
        <f t="shared" si="274"/>
        <v>0.8</v>
      </c>
      <c r="BV352" s="109">
        <f t="shared" si="275"/>
        <v>1</v>
      </c>
      <c r="BW352" s="109">
        <f t="shared" si="294"/>
        <v>0.19999999999999996</v>
      </c>
      <c r="BX352" s="111">
        <f t="shared" si="276"/>
        <v>0</v>
      </c>
      <c r="BY352" s="129">
        <f t="shared" si="277"/>
        <v>-4</v>
      </c>
      <c r="BZ352" s="111">
        <f t="shared" si="278"/>
        <v>0</v>
      </c>
      <c r="CA352" s="138">
        <f t="shared" si="279"/>
        <v>4</v>
      </c>
      <c r="CB352" s="111" t="e">
        <f t="shared" si="288"/>
        <v>#VALUE!</v>
      </c>
      <c r="CC352" s="129">
        <f>G352-I352+1</f>
        <v>4</v>
      </c>
      <c r="CD352" s="129">
        <f>G352-J352</f>
        <v>0</v>
      </c>
      <c r="CE352" s="129">
        <f t="shared" si="280"/>
        <v>0</v>
      </c>
      <c r="CG352" s="129" t="str">
        <f t="shared" si="281"/>
        <v>Y</v>
      </c>
      <c r="CI352" s="129" t="str">
        <f t="shared" si="282"/>
        <v>0-10 DAYS</v>
      </c>
      <c r="CJ352" s="137">
        <f t="shared" si="283"/>
        <v>1</v>
      </c>
      <c r="CK352" s="129" t="str">
        <f t="shared" si="284"/>
        <v>Booked</v>
      </c>
    </row>
    <row r="353" spans="1:89" ht="15" customHeight="1" x14ac:dyDescent="0.25">
      <c r="A353" s="111">
        <v>1821</v>
      </c>
      <c r="B353" s="128" t="str">
        <f t="shared" si="264"/>
        <v>N</v>
      </c>
      <c r="C353" s="128" t="str">
        <f t="shared" si="265"/>
        <v>N</v>
      </c>
      <c r="D353" s="117">
        <v>1019500</v>
      </c>
      <c r="E353" s="135">
        <f t="shared" si="266"/>
        <v>5</v>
      </c>
      <c r="F353" s="124">
        <v>40976</v>
      </c>
      <c r="G353" s="125">
        <v>40980</v>
      </c>
      <c r="H353" s="117">
        <v>1019500</v>
      </c>
      <c r="I353" s="124">
        <v>40977</v>
      </c>
      <c r="J353" s="124">
        <v>40980</v>
      </c>
      <c r="K353" s="126">
        <v>15000</v>
      </c>
      <c r="L353" s="127" t="s">
        <v>571</v>
      </c>
      <c r="N353" s="129" t="str">
        <f>IF(M353&gt;1/1/1,"Y","N")</f>
        <v>N</v>
      </c>
      <c r="O353" s="128" t="s">
        <v>917</v>
      </c>
      <c r="P353" s="129" t="s">
        <v>39</v>
      </c>
      <c r="Q353" s="111">
        <f t="shared" si="247"/>
        <v>4</v>
      </c>
      <c r="R353" s="111">
        <f t="shared" si="259"/>
        <v>5</v>
      </c>
      <c r="S353" s="129">
        <v>13</v>
      </c>
      <c r="T353" s="129">
        <v>4</v>
      </c>
      <c r="U353" s="129">
        <v>7</v>
      </c>
      <c r="W353" s="111"/>
      <c r="AC353" s="130"/>
      <c r="AD353" s="130">
        <v>23566</v>
      </c>
      <c r="AE353" s="128" t="s">
        <v>46</v>
      </c>
      <c r="AF353" s="128" t="s">
        <v>33</v>
      </c>
      <c r="AG353" s="128" t="s">
        <v>872</v>
      </c>
      <c r="AH353" s="108" t="s">
        <v>58</v>
      </c>
      <c r="AI353" s="128" t="s">
        <v>83</v>
      </c>
      <c r="AJ353" s="129" t="s">
        <v>89</v>
      </c>
      <c r="AK353" s="129">
        <v>1</v>
      </c>
      <c r="AL353" s="3" t="s">
        <v>992</v>
      </c>
      <c r="AN353" s="117">
        <v>6</v>
      </c>
      <c r="AP353" s="129" t="s">
        <v>127</v>
      </c>
      <c r="AR353" s="128" t="s">
        <v>44</v>
      </c>
      <c r="AS353" s="129" t="s">
        <v>82</v>
      </c>
      <c r="AX353" s="32"/>
      <c r="BC353" s="129" t="s">
        <v>38</v>
      </c>
      <c r="BF353" s="111">
        <f t="shared" si="286"/>
        <v>4</v>
      </c>
      <c r="BG353" s="111">
        <f t="shared" si="287"/>
        <v>4</v>
      </c>
      <c r="BH353" s="111">
        <f t="shared" si="260"/>
        <v>5</v>
      </c>
      <c r="BI353" s="111">
        <f t="shared" si="261"/>
        <v>47.568306010928964</v>
      </c>
      <c r="BJ353" s="129">
        <f t="shared" si="267"/>
        <v>0</v>
      </c>
      <c r="BK353" s="129">
        <f t="shared" si="262"/>
        <v>0</v>
      </c>
      <c r="BL353" s="129" t="str">
        <f t="shared" si="263"/>
        <v>CONVICTION</v>
      </c>
      <c r="BM353" s="129" t="str">
        <f t="shared" si="268"/>
        <v>NONE</v>
      </c>
      <c r="BN353" s="129" t="s">
        <v>566</v>
      </c>
      <c r="BP353" s="137" t="str">
        <f t="shared" si="269"/>
        <v>CONVICTION</v>
      </c>
      <c r="BQ353" s="128" t="str">
        <f t="shared" si="270"/>
        <v>Y</v>
      </c>
      <c r="BR353" s="129" t="str">
        <f t="shared" si="271"/>
        <v>DETAINED</v>
      </c>
      <c r="BS353" s="129" t="str">
        <f t="shared" si="272"/>
        <v>DISPOSED</v>
      </c>
      <c r="BT353" s="129" t="str">
        <f t="shared" si="273"/>
        <v>Y</v>
      </c>
      <c r="BU353" s="109">
        <f t="shared" si="274"/>
        <v>0.8</v>
      </c>
      <c r="BV353" s="109">
        <f t="shared" si="275"/>
        <v>1</v>
      </c>
      <c r="BW353" s="109">
        <f t="shared" si="294"/>
        <v>0.19999999999999996</v>
      </c>
      <c r="BX353" s="111">
        <f t="shared" si="276"/>
        <v>0</v>
      </c>
      <c r="BY353" s="129">
        <f t="shared" si="277"/>
        <v>-4</v>
      </c>
      <c r="BZ353" s="111">
        <f t="shared" si="278"/>
        <v>0</v>
      </c>
      <c r="CA353" s="138">
        <f t="shared" si="279"/>
        <v>4</v>
      </c>
      <c r="CB353" s="111" t="e">
        <f t="shared" si="288"/>
        <v>#VALUE!</v>
      </c>
      <c r="CC353" s="129">
        <f>G353-I353+1</f>
        <v>4</v>
      </c>
      <c r="CD353" s="129">
        <f>G353-J353</f>
        <v>0</v>
      </c>
      <c r="CE353" s="129">
        <f t="shared" si="280"/>
        <v>0</v>
      </c>
      <c r="CG353" s="129" t="str">
        <f t="shared" si="281"/>
        <v>Y</v>
      </c>
      <c r="CI353" s="129" t="str">
        <f t="shared" si="282"/>
        <v>0-10 DAYS</v>
      </c>
      <c r="CJ353" s="137">
        <f t="shared" si="283"/>
        <v>1</v>
      </c>
      <c r="CK353" s="129" t="str">
        <f t="shared" si="284"/>
        <v>Booked</v>
      </c>
    </row>
    <row r="354" spans="1:89" ht="15" customHeight="1" x14ac:dyDescent="0.25">
      <c r="A354" s="111">
        <v>353</v>
      </c>
      <c r="B354" s="128" t="str">
        <f t="shared" si="264"/>
        <v>N</v>
      </c>
      <c r="C354" s="128" t="str">
        <f t="shared" si="265"/>
        <v>N</v>
      </c>
      <c r="D354" s="117">
        <v>1025837</v>
      </c>
      <c r="E354" s="135">
        <f t="shared" si="266"/>
        <v>6</v>
      </c>
      <c r="F354" s="124">
        <v>40922</v>
      </c>
      <c r="G354" s="125">
        <v>41156</v>
      </c>
      <c r="H354" s="117">
        <v>1025837</v>
      </c>
      <c r="I354" s="124">
        <v>40923</v>
      </c>
      <c r="J354" s="124">
        <v>41034</v>
      </c>
      <c r="K354" s="126">
        <v>60000</v>
      </c>
      <c r="L354" s="129" t="s">
        <v>572</v>
      </c>
      <c r="M354" s="125">
        <v>41034</v>
      </c>
      <c r="N354" s="129" t="str">
        <f>IF(M354&gt;1/1/1,"Y","N")</f>
        <v>Y</v>
      </c>
      <c r="O354" s="128" t="s">
        <v>585</v>
      </c>
      <c r="P354" s="129" t="s">
        <v>39</v>
      </c>
      <c r="Q354" s="111">
        <f t="shared" si="247"/>
        <v>112</v>
      </c>
      <c r="R354" s="111">
        <f t="shared" si="259"/>
        <v>235</v>
      </c>
      <c r="S354" s="129">
        <v>4</v>
      </c>
      <c r="T354" s="129">
        <v>4</v>
      </c>
      <c r="U354" s="129">
        <v>4</v>
      </c>
      <c r="V354" s="117">
        <v>1</v>
      </c>
      <c r="W354" s="111"/>
      <c r="AC354" s="130"/>
      <c r="AD354" s="130">
        <v>26312</v>
      </c>
      <c r="AE354" s="128" t="s">
        <v>32</v>
      </c>
      <c r="AF354" s="128" t="s">
        <v>33</v>
      </c>
      <c r="AG354" s="128" t="s">
        <v>872</v>
      </c>
      <c r="AH354" s="108" t="s">
        <v>58</v>
      </c>
      <c r="AI354" s="128" t="s">
        <v>42</v>
      </c>
      <c r="AJ354" s="129" t="s">
        <v>89</v>
      </c>
      <c r="AK354" s="129">
        <v>8</v>
      </c>
      <c r="AL354" s="3" t="s">
        <v>362</v>
      </c>
      <c r="AM354" s="117">
        <v>3</v>
      </c>
      <c r="AP354" s="129" t="s">
        <v>110</v>
      </c>
      <c r="AR354" s="128" t="s">
        <v>50</v>
      </c>
      <c r="AS354" s="129" t="s">
        <v>74</v>
      </c>
      <c r="BC354" s="129" t="s">
        <v>52</v>
      </c>
      <c r="BF354" s="111">
        <f t="shared" si="286"/>
        <v>112</v>
      </c>
      <c r="BG354" s="111">
        <f t="shared" si="287"/>
        <v>234</v>
      </c>
      <c r="BH354" s="111">
        <f t="shared" si="260"/>
        <v>235</v>
      </c>
      <c r="BI354" s="111">
        <f t="shared" si="261"/>
        <v>39.918032786885249</v>
      </c>
      <c r="BJ354" s="129">
        <f>(G354-J354)+(M354-G354)</f>
        <v>0</v>
      </c>
      <c r="BK354" s="129">
        <f t="shared" si="262"/>
        <v>-122</v>
      </c>
      <c r="BL354" s="129" t="str">
        <f t="shared" si="263"/>
        <v>CONVICTION</v>
      </c>
      <c r="BM354" s="129" t="s">
        <v>76</v>
      </c>
      <c r="BN354" s="129" t="s">
        <v>88</v>
      </c>
      <c r="BP354" s="137" t="str">
        <f t="shared" si="269"/>
        <v>CONVICTION</v>
      </c>
      <c r="BQ354" s="128" t="str">
        <f t="shared" si="270"/>
        <v>Y</v>
      </c>
      <c r="BR354" s="129" t="str">
        <f>IF(J354&lt;G354,"ON BOND",0)</f>
        <v>ON BOND</v>
      </c>
      <c r="BS354" s="129" t="str">
        <f t="shared" si="272"/>
        <v>DISPOSED</v>
      </c>
      <c r="BT354" s="129" t="str">
        <f t="shared" si="273"/>
        <v>Y</v>
      </c>
      <c r="BU354" s="109">
        <f t="shared" si="274"/>
        <v>0.47659574468085109</v>
      </c>
      <c r="BV354" s="109">
        <f t="shared" si="275"/>
        <v>0.47863247863247865</v>
      </c>
      <c r="BW354" s="109">
        <f t="shared" si="294"/>
        <v>2.0367339516275673E-3</v>
      </c>
      <c r="BX354" s="111">
        <f t="shared" si="276"/>
        <v>0</v>
      </c>
      <c r="BY354" s="129">
        <f t="shared" si="277"/>
        <v>-112</v>
      </c>
      <c r="BZ354" s="111">
        <f t="shared" si="278"/>
        <v>0</v>
      </c>
      <c r="CA354" s="138">
        <f t="shared" si="279"/>
        <v>112</v>
      </c>
      <c r="CB354" s="111" t="e">
        <f t="shared" si="288"/>
        <v>#VALUE!</v>
      </c>
      <c r="CC354" s="129">
        <f>M354-I354+1</f>
        <v>112</v>
      </c>
      <c r="CD354" s="111">
        <f>CC354-BF354</f>
        <v>0</v>
      </c>
      <c r="CE354" s="129">
        <f t="shared" si="280"/>
        <v>122</v>
      </c>
      <c r="CG354" s="129" t="str">
        <f t="shared" si="281"/>
        <v>Y</v>
      </c>
      <c r="CI354" s="129" t="str">
        <f t="shared" si="282"/>
        <v>91-120 DAYS</v>
      </c>
      <c r="CJ354" s="137">
        <f t="shared" si="283"/>
        <v>0</v>
      </c>
      <c r="CK354" s="129" t="str">
        <f t="shared" si="284"/>
        <v>Booked</v>
      </c>
    </row>
    <row r="355" spans="1:89" ht="15.75" customHeight="1" x14ac:dyDescent="0.25">
      <c r="A355" s="111">
        <v>1462</v>
      </c>
      <c r="B355" s="128" t="str">
        <f t="shared" si="264"/>
        <v>N</v>
      </c>
      <c r="C355" s="128" t="str">
        <f t="shared" si="265"/>
        <v>N</v>
      </c>
      <c r="D355" s="117">
        <v>1026153</v>
      </c>
      <c r="E355" s="135">
        <f t="shared" si="266"/>
        <v>5</v>
      </c>
      <c r="F355" s="124">
        <v>40962</v>
      </c>
      <c r="G355" s="125">
        <v>41101</v>
      </c>
      <c r="H355" s="117">
        <v>1026153</v>
      </c>
      <c r="I355" s="124">
        <v>40963</v>
      </c>
      <c r="J355" s="124">
        <v>41101</v>
      </c>
      <c r="K355" s="126" t="s">
        <v>564</v>
      </c>
      <c r="L355" s="127" t="s">
        <v>564</v>
      </c>
      <c r="N355" s="129" t="s">
        <v>566</v>
      </c>
      <c r="O355" s="128" t="s">
        <v>917</v>
      </c>
      <c r="P355" s="129" t="s">
        <v>39</v>
      </c>
      <c r="Q355" s="111">
        <f t="shared" si="247"/>
        <v>139</v>
      </c>
      <c r="R355" s="111">
        <f t="shared" si="259"/>
        <v>140</v>
      </c>
      <c r="S355" s="129">
        <v>7</v>
      </c>
      <c r="T355" s="129">
        <v>5</v>
      </c>
      <c r="U355" s="129">
        <v>4</v>
      </c>
      <c r="W355" s="111"/>
      <c r="AC355" s="130"/>
      <c r="AD355" s="130">
        <v>25512</v>
      </c>
      <c r="AE355" s="128" t="s">
        <v>32</v>
      </c>
      <c r="AF355" s="128" t="s">
        <v>33</v>
      </c>
      <c r="AG355" s="128" t="s">
        <v>872</v>
      </c>
      <c r="AH355" s="108" t="s">
        <v>31</v>
      </c>
      <c r="AI355" s="128" t="s">
        <v>42</v>
      </c>
      <c r="AJ355" s="129" t="s">
        <v>89</v>
      </c>
      <c r="AK355" s="129">
        <v>6</v>
      </c>
      <c r="AL355" s="3" t="s">
        <v>992</v>
      </c>
      <c r="AN355" s="117">
        <v>8</v>
      </c>
      <c r="AP355" s="129" t="s">
        <v>136</v>
      </c>
      <c r="AR355" s="128" t="s">
        <v>67</v>
      </c>
      <c r="AS355" s="129" t="s">
        <v>64</v>
      </c>
      <c r="BC355" s="129" t="s">
        <v>38</v>
      </c>
      <c r="BF355" s="111">
        <f t="shared" si="286"/>
        <v>139</v>
      </c>
      <c r="BG355" s="111">
        <f t="shared" si="287"/>
        <v>139</v>
      </c>
      <c r="BH355" s="111">
        <f t="shared" si="260"/>
        <v>140</v>
      </c>
      <c r="BI355" s="111">
        <f t="shared" si="261"/>
        <v>42.213114754098363</v>
      </c>
      <c r="BJ355" s="129">
        <f t="shared" si="267"/>
        <v>0</v>
      </c>
      <c r="BK355" s="129">
        <f t="shared" si="262"/>
        <v>0</v>
      </c>
      <c r="BL355" s="129" t="str">
        <f t="shared" si="263"/>
        <v>CONVICTION</v>
      </c>
      <c r="BM355" s="129" t="str">
        <f t="shared" si="268"/>
        <v>NONE</v>
      </c>
      <c r="BN355" s="129" t="s">
        <v>566</v>
      </c>
      <c r="BP355" s="137" t="str">
        <f t="shared" si="269"/>
        <v>CONVICTION</v>
      </c>
      <c r="BQ355" s="128" t="str">
        <f t="shared" si="270"/>
        <v>Y</v>
      </c>
      <c r="BR355" s="129" t="str">
        <f t="shared" si="271"/>
        <v>DETAINED</v>
      </c>
      <c r="BS355" s="129" t="str">
        <f t="shared" si="272"/>
        <v>DISPOSED</v>
      </c>
      <c r="BT355" s="129" t="str">
        <f t="shared" si="273"/>
        <v>Y</v>
      </c>
      <c r="BU355" s="109">
        <f t="shared" si="274"/>
        <v>0.99285714285714288</v>
      </c>
      <c r="BV355" s="109">
        <f t="shared" si="275"/>
        <v>1</v>
      </c>
      <c r="BW355" s="109">
        <f t="shared" si="294"/>
        <v>7.1428571428571175E-3</v>
      </c>
      <c r="BX355" s="111">
        <f t="shared" si="276"/>
        <v>0</v>
      </c>
      <c r="BY355" s="129">
        <f t="shared" si="277"/>
        <v>-139</v>
      </c>
      <c r="BZ355" s="111">
        <f t="shared" si="278"/>
        <v>0</v>
      </c>
      <c r="CA355" s="138">
        <f t="shared" si="279"/>
        <v>139</v>
      </c>
      <c r="CB355" s="111" t="e">
        <f t="shared" si="288"/>
        <v>#VALUE!</v>
      </c>
      <c r="CC355" s="129">
        <f>G355-I355+1</f>
        <v>139</v>
      </c>
      <c r="CD355" s="129">
        <f>G355-J355</f>
        <v>0</v>
      </c>
      <c r="CE355" s="129">
        <f t="shared" si="280"/>
        <v>0</v>
      </c>
      <c r="CG355" s="129" t="str">
        <f t="shared" si="281"/>
        <v>Y</v>
      </c>
      <c r="CI355" s="129" t="str">
        <f t="shared" si="282"/>
        <v>121-365 DAYS</v>
      </c>
      <c r="CJ355" s="137">
        <f t="shared" si="283"/>
        <v>6</v>
      </c>
      <c r="CK355" s="129" t="str">
        <f t="shared" si="284"/>
        <v>Booked</v>
      </c>
    </row>
    <row r="356" spans="1:89" ht="15" customHeight="1" x14ac:dyDescent="0.25">
      <c r="A356" s="111">
        <v>634</v>
      </c>
      <c r="B356" s="128" t="str">
        <f t="shared" si="264"/>
        <v>N</v>
      </c>
      <c r="C356" s="128" t="str">
        <f t="shared" si="265"/>
        <v>N</v>
      </c>
      <c r="D356" s="117">
        <v>1026954</v>
      </c>
      <c r="E356" s="135">
        <f t="shared" si="266"/>
        <v>1</v>
      </c>
      <c r="F356" s="124">
        <v>40933</v>
      </c>
      <c r="G356" s="125">
        <v>40948</v>
      </c>
      <c r="H356" s="117">
        <v>1026954</v>
      </c>
      <c r="I356" s="124">
        <v>40934</v>
      </c>
      <c r="J356" s="124">
        <v>40939</v>
      </c>
      <c r="K356" s="126">
        <v>40000</v>
      </c>
      <c r="L356" s="129" t="s">
        <v>572</v>
      </c>
      <c r="M356" s="125">
        <v>40939</v>
      </c>
      <c r="N356" s="129" t="str">
        <f t="shared" ref="N356:N367" si="297">IF(M356&gt;1/1/1,"Y","N")</f>
        <v>Y</v>
      </c>
      <c r="O356" s="112" t="s">
        <v>160</v>
      </c>
      <c r="P356" s="129" t="s">
        <v>55</v>
      </c>
      <c r="Q356" s="111">
        <f t="shared" si="247"/>
        <v>6</v>
      </c>
      <c r="R356" s="111">
        <f t="shared" si="259"/>
        <v>16</v>
      </c>
      <c r="S356" s="129">
        <v>3</v>
      </c>
      <c r="T356" s="129">
        <v>1</v>
      </c>
      <c r="U356" s="129">
        <v>3</v>
      </c>
      <c r="W356" s="111"/>
      <c r="AC356" s="130"/>
      <c r="AD356" s="130">
        <v>13808</v>
      </c>
      <c r="AE356" s="128" t="s">
        <v>46</v>
      </c>
      <c r="AF356" s="128" t="s">
        <v>33</v>
      </c>
      <c r="AG356" s="128" t="s">
        <v>872</v>
      </c>
      <c r="AH356" s="108" t="s">
        <v>58</v>
      </c>
      <c r="AI356" s="128" t="s">
        <v>97</v>
      </c>
      <c r="AJ356" s="129" t="s">
        <v>55</v>
      </c>
      <c r="AK356" s="129">
        <v>2</v>
      </c>
      <c r="AL356" s="3" t="s">
        <v>55</v>
      </c>
      <c r="AP356" s="129" t="s">
        <v>73</v>
      </c>
      <c r="AR356" s="128" t="s">
        <v>50</v>
      </c>
      <c r="AS356" s="129" t="s">
        <v>74</v>
      </c>
      <c r="BC356" s="129" t="s">
        <v>99</v>
      </c>
      <c r="BF356" s="111">
        <f t="shared" si="286"/>
        <v>6</v>
      </c>
      <c r="BG356" s="111">
        <f t="shared" si="287"/>
        <v>15</v>
      </c>
      <c r="BH356" s="111">
        <f t="shared" si="260"/>
        <v>16</v>
      </c>
      <c r="BI356" s="111">
        <f t="shared" si="261"/>
        <v>74.112021857923494</v>
      </c>
      <c r="BJ356" s="129">
        <f>(G356-J356)+(M356-G356)</f>
        <v>0</v>
      </c>
      <c r="BK356" s="129">
        <f t="shared" si="262"/>
        <v>-9</v>
      </c>
      <c r="BL356" s="129" t="str">
        <f t="shared" si="263"/>
        <v>NO CONVICTION</v>
      </c>
      <c r="BM356" s="129" t="s">
        <v>160</v>
      </c>
      <c r="BN356" s="129" t="s">
        <v>88</v>
      </c>
      <c r="BP356" s="137" t="str">
        <f t="shared" si="269"/>
        <v>NO CONVICTION</v>
      </c>
      <c r="BQ356" s="128" t="str">
        <f t="shared" si="270"/>
        <v>Y</v>
      </c>
      <c r="BR356" s="129" t="str">
        <f t="shared" si="271"/>
        <v>ON BOND</v>
      </c>
      <c r="BS356" s="129" t="str">
        <f t="shared" si="272"/>
        <v>DISPOSED</v>
      </c>
      <c r="BT356" s="129" t="str">
        <f t="shared" si="273"/>
        <v>Y</v>
      </c>
      <c r="BU356" s="109">
        <f>IFERROR(Q356/R356,BR356)</f>
        <v>0.375</v>
      </c>
      <c r="BV356" s="109">
        <f t="shared" si="275"/>
        <v>0.4</v>
      </c>
      <c r="BW356" s="109">
        <f t="shared" si="294"/>
        <v>2.5000000000000022E-2</v>
      </c>
      <c r="BX356" s="111">
        <f t="shared" si="276"/>
        <v>0</v>
      </c>
      <c r="BY356" s="129">
        <f t="shared" si="277"/>
        <v>-6</v>
      </c>
      <c r="BZ356" s="111">
        <f t="shared" si="278"/>
        <v>0</v>
      </c>
      <c r="CA356" s="138">
        <f t="shared" si="279"/>
        <v>6</v>
      </c>
      <c r="CB356" s="111" t="e">
        <f t="shared" si="288"/>
        <v>#VALUE!</v>
      </c>
      <c r="CC356" s="129">
        <f>M356-I356+1</f>
        <v>6</v>
      </c>
      <c r="CD356" s="111">
        <f>CC356-BF356</f>
        <v>0</v>
      </c>
      <c r="CE356" s="129">
        <f t="shared" si="280"/>
        <v>9</v>
      </c>
      <c r="CG356" s="129" t="str">
        <f t="shared" si="281"/>
        <v>Y</v>
      </c>
      <c r="CI356" s="129" t="str">
        <f t="shared" si="282"/>
        <v>0-10 DAYS</v>
      </c>
      <c r="CJ356" s="137">
        <f t="shared" si="283"/>
        <v>1</v>
      </c>
      <c r="CK356" s="129" t="str">
        <f t="shared" si="284"/>
        <v>Booked</v>
      </c>
    </row>
    <row r="357" spans="1:89" ht="15" customHeight="1" x14ac:dyDescent="0.25">
      <c r="A357" s="111">
        <v>617</v>
      </c>
      <c r="B357" s="128" t="str">
        <f t="shared" si="264"/>
        <v>N</v>
      </c>
      <c r="C357" s="128" t="str">
        <f t="shared" si="265"/>
        <v>N</v>
      </c>
      <c r="D357" s="117">
        <v>1028336</v>
      </c>
      <c r="E357" s="135">
        <f t="shared" si="266"/>
        <v>5</v>
      </c>
      <c r="F357" s="124">
        <v>40933</v>
      </c>
      <c r="G357" s="125">
        <v>40935</v>
      </c>
      <c r="H357" s="117">
        <v>1028336</v>
      </c>
      <c r="I357" s="124">
        <v>40933</v>
      </c>
      <c r="J357" s="124">
        <v>40935</v>
      </c>
      <c r="K357" s="126">
        <v>15000</v>
      </c>
      <c r="L357" s="127" t="s">
        <v>571</v>
      </c>
      <c r="N357" s="129" t="str">
        <f t="shared" si="297"/>
        <v>N</v>
      </c>
      <c r="O357" s="128" t="s">
        <v>917</v>
      </c>
      <c r="P357" s="129" t="s">
        <v>39</v>
      </c>
      <c r="Q357" s="111">
        <f t="shared" si="247"/>
        <v>3</v>
      </c>
      <c r="R357" s="111">
        <f t="shared" si="259"/>
        <v>3</v>
      </c>
      <c r="S357" s="129">
        <v>7</v>
      </c>
      <c r="T357" s="129">
        <v>9</v>
      </c>
      <c r="U357" s="129">
        <v>7</v>
      </c>
      <c r="W357" s="111"/>
      <c r="AC357" s="130"/>
      <c r="AD357" s="130">
        <v>25836</v>
      </c>
      <c r="AE357" s="128" t="s">
        <v>32</v>
      </c>
      <c r="AF357" s="128" t="s">
        <v>33</v>
      </c>
      <c r="AG357" s="128" t="s">
        <v>872</v>
      </c>
      <c r="AH357" s="108" t="s">
        <v>58</v>
      </c>
      <c r="AI357" s="128" t="s">
        <v>53</v>
      </c>
      <c r="AJ357" s="129" t="s">
        <v>89</v>
      </c>
      <c r="AK357" s="129">
        <v>2</v>
      </c>
      <c r="AL357" s="3" t="s">
        <v>992</v>
      </c>
      <c r="AN357" s="117">
        <v>6</v>
      </c>
      <c r="AP357" s="129" t="s">
        <v>43</v>
      </c>
      <c r="AR357" s="128" t="s">
        <v>44</v>
      </c>
      <c r="AS357" s="129" t="s">
        <v>45</v>
      </c>
      <c r="BC357" s="129" t="s">
        <v>38</v>
      </c>
      <c r="BF357" s="111">
        <f t="shared" si="286"/>
        <v>3</v>
      </c>
      <c r="BG357" s="111">
        <f t="shared" si="287"/>
        <v>3</v>
      </c>
      <c r="BH357" s="111">
        <f t="shared" si="260"/>
        <v>3</v>
      </c>
      <c r="BI357" s="111">
        <f t="shared" si="261"/>
        <v>41.248633879781423</v>
      </c>
      <c r="BJ357" s="129">
        <f t="shared" si="267"/>
        <v>0</v>
      </c>
      <c r="BK357" s="129">
        <f t="shared" si="262"/>
        <v>0</v>
      </c>
      <c r="BL357" s="129" t="str">
        <f t="shared" si="263"/>
        <v>CONVICTION</v>
      </c>
      <c r="BM357" s="129" t="str">
        <f t="shared" si="268"/>
        <v>NONE</v>
      </c>
      <c r="BN357" s="129" t="s">
        <v>566</v>
      </c>
      <c r="BP357" s="137" t="str">
        <f t="shared" si="269"/>
        <v>CONVICTION</v>
      </c>
      <c r="BQ357" s="128" t="str">
        <f t="shared" si="270"/>
        <v>Y</v>
      </c>
      <c r="BR357" s="129" t="str">
        <f t="shared" si="271"/>
        <v>DETAINED</v>
      </c>
      <c r="BS357" s="129" t="str">
        <f t="shared" si="272"/>
        <v>DISPOSED</v>
      </c>
      <c r="BT357" s="129" t="str">
        <f t="shared" si="273"/>
        <v>Y</v>
      </c>
      <c r="BU357" s="109">
        <f t="shared" si="274"/>
        <v>1</v>
      </c>
      <c r="BV357" s="109">
        <f t="shared" si="275"/>
        <v>1</v>
      </c>
      <c r="BW357" s="109">
        <f t="shared" si="294"/>
        <v>0</v>
      </c>
      <c r="BX357" s="111">
        <f t="shared" si="276"/>
        <v>0</v>
      </c>
      <c r="BY357" s="129">
        <f t="shared" si="277"/>
        <v>-3</v>
      </c>
      <c r="BZ357" s="111">
        <f t="shared" si="278"/>
        <v>0</v>
      </c>
      <c r="CA357" s="138">
        <f t="shared" si="279"/>
        <v>3</v>
      </c>
      <c r="CB357" s="111" t="e">
        <f t="shared" si="288"/>
        <v>#VALUE!</v>
      </c>
      <c r="CC357" s="129">
        <f>G357-I357+1</f>
        <v>3</v>
      </c>
      <c r="CD357" s="129">
        <f>G357-J357</f>
        <v>0</v>
      </c>
      <c r="CE357" s="129">
        <f t="shared" si="280"/>
        <v>0</v>
      </c>
      <c r="CG357" s="129" t="str">
        <f t="shared" si="281"/>
        <v>Y</v>
      </c>
      <c r="CI357" s="129" t="str">
        <f t="shared" si="282"/>
        <v>0-10 DAYS</v>
      </c>
      <c r="CJ357" s="137">
        <f t="shared" si="283"/>
        <v>1</v>
      </c>
      <c r="CK357" s="129" t="str">
        <f t="shared" si="284"/>
        <v>Booked</v>
      </c>
    </row>
    <row r="358" spans="1:89" ht="15.75" customHeight="1" x14ac:dyDescent="0.25">
      <c r="A358" s="111">
        <v>1644</v>
      </c>
      <c r="B358" s="128" t="str">
        <f t="shared" si="264"/>
        <v>N</v>
      </c>
      <c r="C358" s="128" t="str">
        <f t="shared" si="265"/>
        <v>N</v>
      </c>
      <c r="D358" s="117">
        <v>1028829</v>
      </c>
      <c r="E358" s="135">
        <f t="shared" si="266"/>
        <v>2</v>
      </c>
      <c r="F358" s="124">
        <v>40969</v>
      </c>
      <c r="G358" s="125">
        <v>41044</v>
      </c>
      <c r="H358" s="117">
        <v>1028829</v>
      </c>
      <c r="I358" s="124">
        <v>40971</v>
      </c>
      <c r="J358" s="124">
        <v>41044</v>
      </c>
      <c r="K358" s="126">
        <v>30000</v>
      </c>
      <c r="L358" s="129" t="s">
        <v>572</v>
      </c>
      <c r="N358" s="129" t="str">
        <f t="shared" si="297"/>
        <v>N</v>
      </c>
      <c r="O358" s="128" t="s">
        <v>917</v>
      </c>
      <c r="P358" s="129" t="s">
        <v>589</v>
      </c>
      <c r="Q358" s="111">
        <f t="shared" si="247"/>
        <v>74</v>
      </c>
      <c r="R358" s="111">
        <f t="shared" si="259"/>
        <v>76</v>
      </c>
      <c r="S358" s="129">
        <v>2</v>
      </c>
      <c r="T358" s="129">
        <v>2</v>
      </c>
      <c r="U358" s="129">
        <v>1</v>
      </c>
      <c r="W358" s="111"/>
      <c r="AC358" s="130"/>
      <c r="AD358" s="130">
        <v>24816</v>
      </c>
      <c r="AE358" s="128" t="s">
        <v>32</v>
      </c>
      <c r="AF358" s="128" t="s">
        <v>40</v>
      </c>
      <c r="AG358" s="128" t="s">
        <v>41</v>
      </c>
      <c r="AH358" s="108" t="s">
        <v>41</v>
      </c>
      <c r="AI358" s="128" t="s">
        <v>42</v>
      </c>
      <c r="AJ358" s="129" t="s">
        <v>48</v>
      </c>
      <c r="AK358" s="129">
        <v>4</v>
      </c>
      <c r="AL358" s="3" t="s">
        <v>48</v>
      </c>
      <c r="AP358" s="129" t="s">
        <v>73</v>
      </c>
      <c r="AR358" s="128" t="s">
        <v>50</v>
      </c>
      <c r="AS358" s="129" t="s">
        <v>74</v>
      </c>
      <c r="BC358" s="129" t="s">
        <v>38</v>
      </c>
      <c r="BF358" s="111">
        <f t="shared" si="286"/>
        <v>74</v>
      </c>
      <c r="BG358" s="111">
        <f t="shared" si="287"/>
        <v>74</v>
      </c>
      <c r="BH358" s="111">
        <f t="shared" si="260"/>
        <v>76</v>
      </c>
      <c r="BI358" s="111">
        <f t="shared" si="261"/>
        <v>44.133879781420767</v>
      </c>
      <c r="BJ358" s="129">
        <f t="shared" si="267"/>
        <v>0</v>
      </c>
      <c r="BK358" s="129">
        <f t="shared" si="262"/>
        <v>0</v>
      </c>
      <c r="BL358" s="129" t="str">
        <f t="shared" si="263"/>
        <v>DEFERRED</v>
      </c>
      <c r="BM358" s="129" t="str">
        <f t="shared" si="268"/>
        <v>NONE</v>
      </c>
      <c r="BN358" s="129" t="s">
        <v>566</v>
      </c>
      <c r="BP358" s="137" t="str">
        <f t="shared" si="269"/>
        <v>DEFERRED</v>
      </c>
      <c r="BQ358" s="128" t="str">
        <f t="shared" si="270"/>
        <v>Y</v>
      </c>
      <c r="BR358" s="129" t="str">
        <f t="shared" si="271"/>
        <v>DETAINED</v>
      </c>
      <c r="BS358" s="129" t="str">
        <f t="shared" si="272"/>
        <v>DISPOSED</v>
      </c>
      <c r="BT358" s="129" t="str">
        <f t="shared" si="273"/>
        <v>Y</v>
      </c>
      <c r="BU358" s="109">
        <f t="shared" si="274"/>
        <v>0.97368421052631582</v>
      </c>
      <c r="BV358" s="109">
        <f t="shared" si="275"/>
        <v>1</v>
      </c>
      <c r="BW358" s="109">
        <f t="shared" si="294"/>
        <v>2.6315789473684181E-2</v>
      </c>
      <c r="BX358" s="111">
        <f t="shared" si="276"/>
        <v>0</v>
      </c>
      <c r="BY358" s="129">
        <f t="shared" si="277"/>
        <v>-74</v>
      </c>
      <c r="BZ358" s="111">
        <f t="shared" si="278"/>
        <v>0</v>
      </c>
      <c r="CA358" s="138">
        <f t="shared" si="279"/>
        <v>74</v>
      </c>
      <c r="CB358" s="111" t="e">
        <f t="shared" si="288"/>
        <v>#VALUE!</v>
      </c>
      <c r="CC358" s="129">
        <f>G358-I358+1</f>
        <v>74</v>
      </c>
      <c r="CD358" s="129">
        <f>G358-J358</f>
        <v>0</v>
      </c>
      <c r="CE358" s="129">
        <f t="shared" si="280"/>
        <v>0</v>
      </c>
      <c r="CG358" s="129" t="str">
        <f t="shared" si="281"/>
        <v>Y</v>
      </c>
      <c r="CI358" s="129" t="str">
        <f t="shared" si="282"/>
        <v>61-90 DAYS</v>
      </c>
      <c r="CJ358" s="137">
        <f t="shared" si="283"/>
        <v>4</v>
      </c>
      <c r="CK358" s="129" t="str">
        <f t="shared" si="284"/>
        <v>Booked</v>
      </c>
    </row>
    <row r="359" spans="1:89" ht="15" customHeight="1" x14ac:dyDescent="0.25">
      <c r="A359" s="111">
        <v>1354</v>
      </c>
      <c r="B359" s="128" t="str">
        <f t="shared" si="264"/>
        <v>N</v>
      </c>
      <c r="C359" s="128" t="str">
        <f t="shared" si="265"/>
        <v>N</v>
      </c>
      <c r="D359" s="117">
        <v>1028975</v>
      </c>
      <c r="E359" s="135">
        <f t="shared" si="266"/>
        <v>2</v>
      </c>
      <c r="F359" s="124">
        <v>40958</v>
      </c>
      <c r="G359" s="125">
        <v>41032</v>
      </c>
      <c r="H359" s="117">
        <v>1028975</v>
      </c>
      <c r="I359" s="124">
        <v>40958</v>
      </c>
      <c r="J359" s="124">
        <v>40959</v>
      </c>
      <c r="K359" s="126">
        <v>5000</v>
      </c>
      <c r="L359" s="127" t="s">
        <v>569</v>
      </c>
      <c r="M359" s="125">
        <v>40959</v>
      </c>
      <c r="N359" s="129" t="str">
        <f t="shared" si="297"/>
        <v>Y</v>
      </c>
      <c r="O359" s="128" t="s">
        <v>76</v>
      </c>
      <c r="P359" s="129" t="s">
        <v>589</v>
      </c>
      <c r="Q359" s="111">
        <f t="shared" si="247"/>
        <v>2</v>
      </c>
      <c r="R359" s="111">
        <f t="shared" si="259"/>
        <v>75</v>
      </c>
      <c r="S359" s="129">
        <v>1</v>
      </c>
      <c r="T359" s="129">
        <v>1</v>
      </c>
      <c r="V359" s="117">
        <v>1</v>
      </c>
      <c r="W359" s="111"/>
      <c r="AC359" s="130"/>
      <c r="AD359" s="130">
        <v>26344</v>
      </c>
      <c r="AE359" s="128" t="s">
        <v>32</v>
      </c>
      <c r="AF359" s="128" t="s">
        <v>40</v>
      </c>
      <c r="AG359" s="128" t="s">
        <v>41</v>
      </c>
      <c r="AH359" s="108" t="s">
        <v>41</v>
      </c>
      <c r="AI359" s="128" t="s">
        <v>65</v>
      </c>
      <c r="AJ359" s="129" t="s">
        <v>48</v>
      </c>
      <c r="AK359" s="129">
        <v>4</v>
      </c>
      <c r="AL359" s="3" t="s">
        <v>48</v>
      </c>
      <c r="AP359" s="129" t="s">
        <v>93</v>
      </c>
      <c r="AR359" s="128" t="s">
        <v>67</v>
      </c>
      <c r="AS359" s="129" t="s">
        <v>45</v>
      </c>
      <c r="BC359" s="129" t="s">
        <v>52</v>
      </c>
      <c r="BF359" s="111">
        <f t="shared" si="286"/>
        <v>2</v>
      </c>
      <c r="BG359" s="111">
        <f t="shared" si="287"/>
        <v>75</v>
      </c>
      <c r="BH359" s="111">
        <f t="shared" si="260"/>
        <v>75</v>
      </c>
      <c r="BI359" s="111">
        <f t="shared" si="261"/>
        <v>39.928961748633881</v>
      </c>
      <c r="BJ359" s="129">
        <f>(G359-J359)+(M359-G359)</f>
        <v>0</v>
      </c>
      <c r="BK359" s="129">
        <f t="shared" si="262"/>
        <v>-73</v>
      </c>
      <c r="BL359" s="129" t="str">
        <f t="shared" si="263"/>
        <v>DEFERRED</v>
      </c>
      <c r="BM359" s="129" t="s">
        <v>76</v>
      </c>
      <c r="BN359" s="129" t="s">
        <v>88</v>
      </c>
      <c r="BP359" s="137" t="str">
        <f t="shared" si="269"/>
        <v>DEFERRED</v>
      </c>
      <c r="BQ359" s="128" t="str">
        <f t="shared" si="270"/>
        <v>Y</v>
      </c>
      <c r="BR359" s="129" t="str">
        <f t="shared" si="271"/>
        <v>ON BOND</v>
      </c>
      <c r="BS359" s="129" t="str">
        <f t="shared" si="272"/>
        <v>DISPOSED</v>
      </c>
      <c r="BT359" s="129" t="str">
        <f t="shared" si="273"/>
        <v>Y</v>
      </c>
      <c r="BU359" s="109">
        <f t="shared" si="274"/>
        <v>2.6666666666666668E-2</v>
      </c>
      <c r="BV359" s="109">
        <f t="shared" si="275"/>
        <v>2.6666666666666668E-2</v>
      </c>
      <c r="BW359" s="109">
        <f t="shared" si="294"/>
        <v>0</v>
      </c>
      <c r="BX359" s="111">
        <f t="shared" si="276"/>
        <v>0</v>
      </c>
      <c r="BY359" s="129">
        <f t="shared" si="277"/>
        <v>-2</v>
      </c>
      <c r="BZ359" s="111">
        <f t="shared" si="278"/>
        <v>0</v>
      </c>
      <c r="CA359" s="138">
        <f t="shared" si="279"/>
        <v>2</v>
      </c>
      <c r="CB359" s="111" t="e">
        <f t="shared" si="288"/>
        <v>#VALUE!</v>
      </c>
      <c r="CC359" s="129">
        <f>M359-I359+1</f>
        <v>2</v>
      </c>
      <c r="CD359" s="111">
        <f>CC359-BF359</f>
        <v>0</v>
      </c>
      <c r="CE359" s="129">
        <f t="shared" si="280"/>
        <v>73</v>
      </c>
      <c r="CG359" s="129" t="str">
        <f t="shared" si="281"/>
        <v>Y</v>
      </c>
      <c r="CI359" s="129" t="str">
        <f t="shared" si="282"/>
        <v>0-10 DAYS</v>
      </c>
      <c r="CJ359" s="137">
        <f t="shared" si="283"/>
        <v>1</v>
      </c>
      <c r="CK359" s="129" t="str">
        <f t="shared" si="284"/>
        <v>Booked</v>
      </c>
    </row>
    <row r="360" spans="1:89" ht="15" customHeight="1" x14ac:dyDescent="0.25">
      <c r="A360" s="111">
        <v>695</v>
      </c>
      <c r="B360" s="128" t="str">
        <f t="shared" si="264"/>
        <v>N</v>
      </c>
      <c r="C360" s="128" t="str">
        <f t="shared" si="265"/>
        <v>N</v>
      </c>
      <c r="D360" s="117">
        <v>1029771</v>
      </c>
      <c r="E360" s="135">
        <f t="shared" si="266"/>
        <v>5</v>
      </c>
      <c r="F360" s="124">
        <v>40936</v>
      </c>
      <c r="G360" s="125">
        <v>41067</v>
      </c>
      <c r="H360" s="117">
        <v>1029771</v>
      </c>
      <c r="I360" s="124">
        <v>40936</v>
      </c>
      <c r="J360" s="124">
        <v>40957</v>
      </c>
      <c r="K360" s="126">
        <v>15000</v>
      </c>
      <c r="L360" s="127" t="s">
        <v>571</v>
      </c>
      <c r="M360" s="125">
        <v>40957</v>
      </c>
      <c r="N360" s="129" t="str">
        <f t="shared" si="297"/>
        <v>Y</v>
      </c>
      <c r="O360" s="128" t="s">
        <v>76</v>
      </c>
      <c r="P360" s="129" t="s">
        <v>39</v>
      </c>
      <c r="Q360" s="111">
        <f t="shared" si="247"/>
        <v>22</v>
      </c>
      <c r="R360" s="111">
        <f t="shared" si="259"/>
        <v>132</v>
      </c>
      <c r="S360" s="129">
        <v>3</v>
      </c>
      <c r="T360" s="129">
        <v>2</v>
      </c>
      <c r="U360" s="129">
        <v>1</v>
      </c>
      <c r="V360" s="117">
        <v>1</v>
      </c>
      <c r="W360" s="111"/>
      <c r="AC360" s="130"/>
      <c r="AD360" s="130">
        <v>24135</v>
      </c>
      <c r="AE360" s="128" t="s">
        <v>32</v>
      </c>
      <c r="AF360" s="128" t="s">
        <v>33</v>
      </c>
      <c r="AG360" s="128" t="s">
        <v>872</v>
      </c>
      <c r="AH360" s="108" t="s">
        <v>58</v>
      </c>
      <c r="AI360" s="128" t="s">
        <v>100</v>
      </c>
      <c r="AJ360" s="129" t="s">
        <v>89</v>
      </c>
      <c r="AK360" s="129">
        <v>8</v>
      </c>
      <c r="AL360" s="3" t="s">
        <v>992</v>
      </c>
      <c r="AN360" s="117">
        <v>9</v>
      </c>
      <c r="AP360" s="129" t="s">
        <v>43</v>
      </c>
      <c r="AR360" s="128" t="s">
        <v>44</v>
      </c>
      <c r="AS360" s="129" t="s">
        <v>45</v>
      </c>
      <c r="BC360" s="129" t="s">
        <v>52</v>
      </c>
      <c r="BF360" s="111">
        <f t="shared" si="286"/>
        <v>22</v>
      </c>
      <c r="BG360" s="111">
        <f t="shared" si="287"/>
        <v>132</v>
      </c>
      <c r="BH360" s="111">
        <f t="shared" si="260"/>
        <v>132</v>
      </c>
      <c r="BI360" s="111">
        <f t="shared" si="261"/>
        <v>45.904371584699454</v>
      </c>
      <c r="BJ360" s="129">
        <f>(G360-J360)+(M360-G360)</f>
        <v>0</v>
      </c>
      <c r="BK360" s="129">
        <f t="shared" si="262"/>
        <v>-110</v>
      </c>
      <c r="BL360" s="129" t="str">
        <f t="shared" si="263"/>
        <v>CONVICTION</v>
      </c>
      <c r="BM360" s="129" t="s">
        <v>76</v>
      </c>
      <c r="BN360" s="129" t="s">
        <v>88</v>
      </c>
      <c r="BP360" s="137" t="str">
        <f t="shared" si="269"/>
        <v>CONVICTION</v>
      </c>
      <c r="BQ360" s="128" t="str">
        <f t="shared" si="270"/>
        <v>Y</v>
      </c>
      <c r="BR360" s="129" t="str">
        <f>IF(J360&lt;G360,"ON BOND",0)</f>
        <v>ON BOND</v>
      </c>
      <c r="BS360" s="129" t="str">
        <f t="shared" si="272"/>
        <v>DISPOSED</v>
      </c>
      <c r="BT360" s="129" t="str">
        <f t="shared" si="273"/>
        <v>Y</v>
      </c>
      <c r="BU360" s="109">
        <f t="shared" si="274"/>
        <v>0.16666666666666666</v>
      </c>
      <c r="BV360" s="109">
        <f t="shared" si="275"/>
        <v>0.16666666666666666</v>
      </c>
      <c r="BW360" s="109">
        <f t="shared" si="294"/>
        <v>0</v>
      </c>
      <c r="BX360" s="111">
        <f t="shared" si="276"/>
        <v>0</v>
      </c>
      <c r="BY360" s="129">
        <f t="shared" si="277"/>
        <v>-22</v>
      </c>
      <c r="BZ360" s="111">
        <f t="shared" si="278"/>
        <v>0</v>
      </c>
      <c r="CA360" s="138">
        <f t="shared" si="279"/>
        <v>22</v>
      </c>
      <c r="CB360" s="111" t="e">
        <f t="shared" si="288"/>
        <v>#VALUE!</v>
      </c>
      <c r="CC360" s="129">
        <f>M360-I360+1</f>
        <v>22</v>
      </c>
      <c r="CD360" s="111">
        <f>CC360-BF360</f>
        <v>0</v>
      </c>
      <c r="CE360" s="129">
        <f t="shared" si="280"/>
        <v>110</v>
      </c>
      <c r="CG360" s="129" t="str">
        <f t="shared" si="281"/>
        <v>Y</v>
      </c>
      <c r="CI360" s="129" t="str">
        <f t="shared" si="282"/>
        <v>11-30 DAYS</v>
      </c>
      <c r="CJ360" s="137">
        <f t="shared" si="283"/>
        <v>2</v>
      </c>
      <c r="CK360" s="129" t="str">
        <f t="shared" si="284"/>
        <v>Booked</v>
      </c>
    </row>
    <row r="361" spans="1:89" ht="15" customHeight="1" x14ac:dyDescent="0.25">
      <c r="A361" s="111">
        <v>3174</v>
      </c>
      <c r="B361" s="128" t="str">
        <f t="shared" si="264"/>
        <v>N</v>
      </c>
      <c r="C361" s="128" t="str">
        <f t="shared" si="265"/>
        <v>N</v>
      </c>
      <c r="D361" s="117">
        <v>1030231</v>
      </c>
      <c r="E361" s="135">
        <f t="shared" si="266"/>
        <v>4</v>
      </c>
      <c r="F361" s="124">
        <v>41025</v>
      </c>
      <c r="G361" s="125">
        <v>41029</v>
      </c>
      <c r="H361" s="117">
        <v>1030231</v>
      </c>
      <c r="I361" s="124">
        <v>41026</v>
      </c>
      <c r="J361" s="124">
        <v>41029</v>
      </c>
      <c r="K361" s="126">
        <v>15000</v>
      </c>
      <c r="L361" s="127" t="s">
        <v>571</v>
      </c>
      <c r="N361" s="129" t="str">
        <f t="shared" si="297"/>
        <v>N</v>
      </c>
      <c r="O361" s="128" t="s">
        <v>917</v>
      </c>
      <c r="P361" s="129" t="s">
        <v>39</v>
      </c>
      <c r="Q361" s="111">
        <f t="shared" si="247"/>
        <v>4</v>
      </c>
      <c r="R361" s="111">
        <f t="shared" si="259"/>
        <v>5</v>
      </c>
      <c r="S361" s="129">
        <v>5</v>
      </c>
      <c r="T361" s="129">
        <v>1</v>
      </c>
      <c r="V361" s="117">
        <v>2</v>
      </c>
      <c r="W361" s="111"/>
      <c r="AC361" s="130"/>
      <c r="AD361" s="130">
        <v>19904</v>
      </c>
      <c r="AE361" s="128" t="s">
        <v>32</v>
      </c>
      <c r="AF361" s="128" t="s">
        <v>33</v>
      </c>
      <c r="AG361" s="128" t="s">
        <v>872</v>
      </c>
      <c r="AH361" s="108" t="s">
        <v>31</v>
      </c>
      <c r="AI361" s="128" t="s">
        <v>47</v>
      </c>
      <c r="AJ361" s="129" t="s">
        <v>89</v>
      </c>
      <c r="AK361" s="129">
        <v>1</v>
      </c>
      <c r="AL361" s="3" t="s">
        <v>991</v>
      </c>
      <c r="AO361" s="128">
        <v>90</v>
      </c>
      <c r="AP361" s="129" t="s">
        <v>60</v>
      </c>
      <c r="AR361" s="128" t="s">
        <v>44</v>
      </c>
      <c r="AS361" s="129" t="s">
        <v>61</v>
      </c>
      <c r="BC361" s="129" t="s">
        <v>38</v>
      </c>
      <c r="BF361" s="111">
        <f t="shared" si="286"/>
        <v>4</v>
      </c>
      <c r="BG361" s="111">
        <f t="shared" si="287"/>
        <v>4</v>
      </c>
      <c r="BH361" s="111">
        <f t="shared" si="260"/>
        <v>5</v>
      </c>
      <c r="BI361" s="111">
        <f t="shared" si="261"/>
        <v>57.707650273224047</v>
      </c>
      <c r="BJ361" s="129">
        <f t="shared" si="267"/>
        <v>0</v>
      </c>
      <c r="BK361" s="129">
        <f t="shared" si="262"/>
        <v>0</v>
      </c>
      <c r="BL361" s="129" t="str">
        <f t="shared" si="263"/>
        <v>CONVICTION</v>
      </c>
      <c r="BM361" s="129" t="str">
        <f t="shared" si="268"/>
        <v>NONE</v>
      </c>
      <c r="BN361" s="129" t="s">
        <v>566</v>
      </c>
      <c r="BP361" s="137" t="str">
        <f t="shared" si="269"/>
        <v>CONVICTION</v>
      </c>
      <c r="BQ361" s="128" t="str">
        <f t="shared" si="270"/>
        <v>Y</v>
      </c>
      <c r="BR361" s="129" t="str">
        <f t="shared" si="271"/>
        <v>DETAINED</v>
      </c>
      <c r="BS361" s="129" t="str">
        <f t="shared" si="272"/>
        <v>DISPOSED</v>
      </c>
      <c r="BT361" s="129" t="str">
        <f t="shared" si="273"/>
        <v>Y</v>
      </c>
      <c r="BU361" s="109">
        <f t="shared" si="274"/>
        <v>0.8</v>
      </c>
      <c r="BV361" s="109">
        <f t="shared" si="275"/>
        <v>1</v>
      </c>
      <c r="BW361" s="109">
        <f t="shared" si="294"/>
        <v>0.19999999999999996</v>
      </c>
      <c r="BX361" s="111">
        <f t="shared" si="276"/>
        <v>0</v>
      </c>
      <c r="BY361" s="129">
        <f t="shared" si="277"/>
        <v>-4</v>
      </c>
      <c r="BZ361" s="111">
        <f t="shared" si="278"/>
        <v>0</v>
      </c>
      <c r="CA361" s="138">
        <f t="shared" si="279"/>
        <v>4</v>
      </c>
      <c r="CB361" s="111" t="e">
        <f t="shared" si="288"/>
        <v>#VALUE!</v>
      </c>
      <c r="CC361" s="129">
        <f>G361-I361+1</f>
        <v>4</v>
      </c>
      <c r="CD361" s="129">
        <f>G361-J361</f>
        <v>0</v>
      </c>
      <c r="CE361" s="129">
        <f t="shared" si="280"/>
        <v>0</v>
      </c>
      <c r="CG361" s="129" t="str">
        <f t="shared" si="281"/>
        <v>Y</v>
      </c>
      <c r="CI361" s="129" t="str">
        <f t="shared" si="282"/>
        <v>0-10 DAYS</v>
      </c>
      <c r="CJ361" s="137">
        <f t="shared" si="283"/>
        <v>1</v>
      </c>
      <c r="CK361" s="129" t="str">
        <f t="shared" si="284"/>
        <v>Booked</v>
      </c>
    </row>
    <row r="362" spans="1:89" ht="15" customHeight="1" x14ac:dyDescent="0.25">
      <c r="A362" s="111">
        <v>1474</v>
      </c>
      <c r="B362" s="128" t="str">
        <f t="shared" si="264"/>
        <v>N</v>
      </c>
      <c r="C362" s="128" t="str">
        <f t="shared" si="265"/>
        <v>N</v>
      </c>
      <c r="D362" s="117">
        <v>1033903</v>
      </c>
      <c r="E362" s="135">
        <f t="shared" si="266"/>
        <v>1</v>
      </c>
      <c r="F362" s="124">
        <v>40962</v>
      </c>
      <c r="G362" s="125">
        <v>41114</v>
      </c>
      <c r="H362" s="117">
        <v>1033903</v>
      </c>
      <c r="I362" s="124">
        <v>40963</v>
      </c>
      <c r="J362" s="124">
        <v>40965</v>
      </c>
      <c r="K362" s="126">
        <v>30000</v>
      </c>
      <c r="L362" s="129" t="s">
        <v>572</v>
      </c>
      <c r="M362" s="125">
        <v>40965</v>
      </c>
      <c r="N362" s="129" t="str">
        <f t="shared" si="297"/>
        <v>Y</v>
      </c>
      <c r="O362" s="128" t="s">
        <v>76</v>
      </c>
      <c r="P362" s="129" t="s">
        <v>55</v>
      </c>
      <c r="Q362" s="111">
        <f t="shared" ref="Q362:Q425" si="298">BF362</f>
        <v>3</v>
      </c>
      <c r="R362" s="111">
        <f t="shared" si="259"/>
        <v>153</v>
      </c>
      <c r="S362" s="129">
        <v>1</v>
      </c>
      <c r="T362" s="129">
        <v>4</v>
      </c>
      <c r="V362" s="117">
        <v>1</v>
      </c>
      <c r="W362" s="111"/>
      <c r="AC362" s="130"/>
      <c r="AD362" s="130">
        <v>24899</v>
      </c>
      <c r="AE362" s="128" t="s">
        <v>32</v>
      </c>
      <c r="AF362" s="128" t="s">
        <v>33</v>
      </c>
      <c r="AG362" s="128" t="s">
        <v>872</v>
      </c>
      <c r="AH362" s="108" t="s">
        <v>58</v>
      </c>
      <c r="AI362" s="128" t="s">
        <v>72</v>
      </c>
      <c r="AJ362" s="129" t="s">
        <v>55</v>
      </c>
      <c r="AK362" s="129">
        <v>6</v>
      </c>
      <c r="AL362" s="3" t="s">
        <v>55</v>
      </c>
      <c r="AP362" s="129" t="s">
        <v>73</v>
      </c>
      <c r="AR362" s="128" t="s">
        <v>50</v>
      </c>
      <c r="AS362" s="129" t="s">
        <v>74</v>
      </c>
      <c r="BC362" s="129" t="s">
        <v>38</v>
      </c>
      <c r="BF362" s="111">
        <f t="shared" si="286"/>
        <v>3</v>
      </c>
      <c r="BG362" s="111">
        <f t="shared" si="287"/>
        <v>152</v>
      </c>
      <c r="BH362" s="111">
        <f t="shared" si="260"/>
        <v>153</v>
      </c>
      <c r="BI362" s="111">
        <f t="shared" si="261"/>
        <v>43.887978142076506</v>
      </c>
      <c r="BJ362" s="129">
        <f>(G362-J362)+(M362-G362)</f>
        <v>0</v>
      </c>
      <c r="BK362" s="129">
        <f t="shared" si="262"/>
        <v>-149</v>
      </c>
      <c r="BL362" s="129" t="str">
        <f t="shared" si="263"/>
        <v>NO CONVICTION</v>
      </c>
      <c r="BM362" s="129" t="s">
        <v>76</v>
      </c>
      <c r="BN362" s="129" t="s">
        <v>88</v>
      </c>
      <c r="BP362" s="137" t="str">
        <f t="shared" si="269"/>
        <v>NO CONVICTION</v>
      </c>
      <c r="BQ362" s="128" t="str">
        <f t="shared" si="270"/>
        <v>Y</v>
      </c>
      <c r="BR362" s="129" t="str">
        <f t="shared" si="271"/>
        <v>ON BOND</v>
      </c>
      <c r="BS362" s="129" t="str">
        <f t="shared" si="272"/>
        <v>DISPOSED</v>
      </c>
      <c r="BT362" s="129" t="str">
        <f t="shared" si="273"/>
        <v>Y</v>
      </c>
      <c r="BU362" s="109">
        <f>IFERROR(Q362/R362,BR362)</f>
        <v>1.9607843137254902E-2</v>
      </c>
      <c r="BV362" s="109">
        <f t="shared" si="275"/>
        <v>1.9736842105263157E-2</v>
      </c>
      <c r="BW362" s="109">
        <f t="shared" si="294"/>
        <v>1.2899896800825511E-4</v>
      </c>
      <c r="BX362" s="111">
        <f t="shared" si="276"/>
        <v>0</v>
      </c>
      <c r="BY362" s="129">
        <f t="shared" si="277"/>
        <v>-3</v>
      </c>
      <c r="BZ362" s="111">
        <f t="shared" si="278"/>
        <v>0</v>
      </c>
      <c r="CA362" s="138">
        <f t="shared" si="279"/>
        <v>3</v>
      </c>
      <c r="CB362" s="111" t="e">
        <f t="shared" si="288"/>
        <v>#VALUE!</v>
      </c>
      <c r="CC362" s="129">
        <f>M362-I362+1</f>
        <v>3</v>
      </c>
      <c r="CD362" s="111">
        <f>CC362-BF362</f>
        <v>0</v>
      </c>
      <c r="CE362" s="129">
        <f t="shared" si="280"/>
        <v>149</v>
      </c>
      <c r="CG362" s="129" t="str">
        <f t="shared" si="281"/>
        <v>Y</v>
      </c>
      <c r="CI362" s="129" t="str">
        <f t="shared" si="282"/>
        <v>0-10 DAYS</v>
      </c>
      <c r="CJ362" s="137">
        <f t="shared" si="283"/>
        <v>1</v>
      </c>
      <c r="CK362" s="129" t="str">
        <f t="shared" si="284"/>
        <v>Booked</v>
      </c>
    </row>
    <row r="363" spans="1:89" ht="15" customHeight="1" x14ac:dyDescent="0.25">
      <c r="A363" s="111">
        <v>2873</v>
      </c>
      <c r="B363" s="128" t="str">
        <f t="shared" si="264"/>
        <v>N</v>
      </c>
      <c r="C363" s="128" t="str">
        <f t="shared" si="265"/>
        <v>N</v>
      </c>
      <c r="D363" s="117">
        <v>1036022</v>
      </c>
      <c r="E363" s="135">
        <f t="shared" si="266"/>
        <v>5</v>
      </c>
      <c r="F363" s="124">
        <v>41015</v>
      </c>
      <c r="G363" s="125">
        <v>41017</v>
      </c>
      <c r="H363" s="117">
        <v>1036022</v>
      </c>
      <c r="I363" s="124">
        <v>41015</v>
      </c>
      <c r="J363" s="124">
        <v>41017</v>
      </c>
      <c r="K363" s="126">
        <v>15000</v>
      </c>
      <c r="L363" s="127" t="s">
        <v>571</v>
      </c>
      <c r="N363" s="129" t="str">
        <f t="shared" si="297"/>
        <v>N</v>
      </c>
      <c r="O363" s="128" t="s">
        <v>917</v>
      </c>
      <c r="P363" s="129" t="s">
        <v>39</v>
      </c>
      <c r="Q363" s="111">
        <f t="shared" si="298"/>
        <v>3</v>
      </c>
      <c r="R363" s="111">
        <f t="shared" si="259"/>
        <v>3</v>
      </c>
      <c r="S363" s="129">
        <v>1</v>
      </c>
      <c r="T363" s="129">
        <v>4</v>
      </c>
      <c r="W363" s="111"/>
      <c r="AC363" s="130"/>
      <c r="AD363" s="130">
        <v>24427</v>
      </c>
      <c r="AE363" s="128" t="s">
        <v>32</v>
      </c>
      <c r="AF363" s="128" t="s">
        <v>33</v>
      </c>
      <c r="AG363" s="128" t="s">
        <v>872</v>
      </c>
      <c r="AH363" s="108" t="s">
        <v>58</v>
      </c>
      <c r="AI363" s="128" t="s">
        <v>53</v>
      </c>
      <c r="AJ363" s="129" t="s">
        <v>89</v>
      </c>
      <c r="AK363" s="129">
        <v>1</v>
      </c>
      <c r="AL363" s="3" t="s">
        <v>992</v>
      </c>
      <c r="AN363" s="117">
        <v>6</v>
      </c>
      <c r="AP363" s="129" t="s">
        <v>60</v>
      </c>
      <c r="AR363" s="128" t="s">
        <v>44</v>
      </c>
      <c r="AS363" s="129" t="s">
        <v>61</v>
      </c>
      <c r="BC363" s="129" t="s">
        <v>38</v>
      </c>
      <c r="BF363" s="111">
        <f t="shared" si="286"/>
        <v>3</v>
      </c>
      <c r="BG363" s="111">
        <f t="shared" si="287"/>
        <v>3</v>
      </c>
      <c r="BH363" s="111">
        <f t="shared" si="260"/>
        <v>3</v>
      </c>
      <c r="BI363" s="111">
        <f t="shared" si="261"/>
        <v>45.322404371584696</v>
      </c>
      <c r="BJ363" s="129">
        <f t="shared" si="267"/>
        <v>0</v>
      </c>
      <c r="BK363" s="129">
        <f t="shared" si="262"/>
        <v>0</v>
      </c>
      <c r="BL363" s="129" t="str">
        <f t="shared" si="263"/>
        <v>CONVICTION</v>
      </c>
      <c r="BM363" s="129" t="str">
        <f t="shared" si="268"/>
        <v>NONE</v>
      </c>
      <c r="BN363" s="129" t="s">
        <v>566</v>
      </c>
      <c r="BP363" s="137" t="str">
        <f t="shared" si="269"/>
        <v>CONVICTION</v>
      </c>
      <c r="BQ363" s="128" t="str">
        <f t="shared" si="270"/>
        <v>Y</v>
      </c>
      <c r="BR363" s="129" t="str">
        <f t="shared" si="271"/>
        <v>DETAINED</v>
      </c>
      <c r="BS363" s="129" t="str">
        <f t="shared" si="272"/>
        <v>DISPOSED</v>
      </c>
      <c r="BT363" s="129" t="str">
        <f t="shared" si="273"/>
        <v>Y</v>
      </c>
      <c r="BU363" s="109">
        <f t="shared" si="274"/>
        <v>1</v>
      </c>
      <c r="BV363" s="109">
        <f t="shared" si="275"/>
        <v>1</v>
      </c>
      <c r="BW363" s="109">
        <f t="shared" si="294"/>
        <v>0</v>
      </c>
      <c r="BX363" s="111">
        <f t="shared" si="276"/>
        <v>0</v>
      </c>
      <c r="BY363" s="129">
        <f t="shared" si="277"/>
        <v>-3</v>
      </c>
      <c r="BZ363" s="111">
        <f t="shared" si="278"/>
        <v>0</v>
      </c>
      <c r="CA363" s="138">
        <f t="shared" si="279"/>
        <v>3</v>
      </c>
      <c r="CB363" s="111" t="e">
        <f t="shared" si="288"/>
        <v>#VALUE!</v>
      </c>
      <c r="CC363" s="129">
        <f>G363-I363+1</f>
        <v>3</v>
      </c>
      <c r="CD363" s="129">
        <f>G363-J363</f>
        <v>0</v>
      </c>
      <c r="CE363" s="129">
        <f t="shared" si="280"/>
        <v>0</v>
      </c>
      <c r="CG363" s="129" t="str">
        <f t="shared" si="281"/>
        <v>Y</v>
      </c>
      <c r="CI363" s="129" t="str">
        <f t="shared" si="282"/>
        <v>0-10 DAYS</v>
      </c>
      <c r="CJ363" s="137">
        <f t="shared" si="283"/>
        <v>1</v>
      </c>
      <c r="CK363" s="129" t="str">
        <f t="shared" si="284"/>
        <v>Booked</v>
      </c>
    </row>
    <row r="364" spans="1:89" ht="15" customHeight="1" x14ac:dyDescent="0.25">
      <c r="A364" s="111">
        <v>1095</v>
      </c>
      <c r="B364" s="128" t="str">
        <f t="shared" si="264"/>
        <v>N</v>
      </c>
      <c r="C364" s="128" t="str">
        <f t="shared" si="265"/>
        <v>N</v>
      </c>
      <c r="D364" s="117">
        <v>1036059</v>
      </c>
      <c r="E364" s="135">
        <f t="shared" si="266"/>
        <v>6</v>
      </c>
      <c r="F364" s="124">
        <v>40948</v>
      </c>
      <c r="G364" s="125">
        <v>41082</v>
      </c>
      <c r="H364" s="117">
        <v>1036059</v>
      </c>
      <c r="I364" s="124">
        <v>40949</v>
      </c>
      <c r="J364" s="124">
        <v>40954</v>
      </c>
      <c r="K364" s="126">
        <v>30000</v>
      </c>
      <c r="L364" s="129" t="s">
        <v>572</v>
      </c>
      <c r="M364" s="125">
        <v>40954</v>
      </c>
      <c r="N364" s="129" t="str">
        <f t="shared" si="297"/>
        <v>Y</v>
      </c>
      <c r="O364" s="128" t="s">
        <v>76</v>
      </c>
      <c r="P364" s="129" t="s">
        <v>39</v>
      </c>
      <c r="Q364" s="111">
        <f t="shared" si="298"/>
        <v>6</v>
      </c>
      <c r="R364" s="111">
        <f t="shared" si="259"/>
        <v>135</v>
      </c>
      <c r="S364" s="129">
        <v>4</v>
      </c>
      <c r="T364" s="129">
        <v>13</v>
      </c>
      <c r="U364" s="129">
        <v>4</v>
      </c>
      <c r="W364" s="111"/>
      <c r="AC364" s="130"/>
      <c r="AD364" s="130">
        <v>26380</v>
      </c>
      <c r="AE364" s="128" t="s">
        <v>32</v>
      </c>
      <c r="AF364" s="128" t="s">
        <v>33</v>
      </c>
      <c r="AG364" s="128" t="s">
        <v>872</v>
      </c>
      <c r="AH364" s="108" t="s">
        <v>58</v>
      </c>
      <c r="AI364" s="128" t="s">
        <v>114</v>
      </c>
      <c r="AJ364" s="129" t="s">
        <v>89</v>
      </c>
      <c r="AK364" s="129">
        <v>7</v>
      </c>
      <c r="AL364" s="3" t="s">
        <v>362</v>
      </c>
      <c r="AM364" s="117">
        <v>5</v>
      </c>
      <c r="AP364" s="129" t="s">
        <v>49</v>
      </c>
      <c r="AR364" s="128" t="s">
        <v>50</v>
      </c>
      <c r="AS364" s="129" t="s">
        <v>45</v>
      </c>
      <c r="AT364" s="129" t="s">
        <v>285</v>
      </c>
      <c r="BC364" s="129" t="s">
        <v>52</v>
      </c>
      <c r="BF364" s="111">
        <f t="shared" si="286"/>
        <v>6</v>
      </c>
      <c r="BG364" s="111">
        <f t="shared" si="287"/>
        <v>134</v>
      </c>
      <c r="BH364" s="111">
        <f t="shared" si="260"/>
        <v>135</v>
      </c>
      <c r="BI364" s="111">
        <f t="shared" si="261"/>
        <v>39.803278688524593</v>
      </c>
      <c r="BJ364" s="129">
        <f>(G364-J364)+(M364-G364)</f>
        <v>0</v>
      </c>
      <c r="BK364" s="129">
        <f t="shared" si="262"/>
        <v>-128</v>
      </c>
      <c r="BL364" s="129" t="str">
        <f t="shared" si="263"/>
        <v>CONVICTION</v>
      </c>
      <c r="BM364" s="129" t="s">
        <v>76</v>
      </c>
      <c r="BN364" s="129" t="s">
        <v>88</v>
      </c>
      <c r="BP364" s="137" t="str">
        <f t="shared" si="269"/>
        <v>CONVICTION</v>
      </c>
      <c r="BQ364" s="128" t="str">
        <f t="shared" si="270"/>
        <v>Y</v>
      </c>
      <c r="BR364" s="129" t="str">
        <f>IF(J364&lt;G364,"ON BOND",0)</f>
        <v>ON BOND</v>
      </c>
      <c r="BS364" s="129" t="str">
        <f t="shared" si="272"/>
        <v>DISPOSED</v>
      </c>
      <c r="BT364" s="129" t="str">
        <f t="shared" si="273"/>
        <v>Y</v>
      </c>
      <c r="BU364" s="109">
        <f t="shared" si="274"/>
        <v>4.4444444444444446E-2</v>
      </c>
      <c r="BV364" s="109">
        <f t="shared" si="275"/>
        <v>4.4776119402985072E-2</v>
      </c>
      <c r="BW364" s="109">
        <f t="shared" si="294"/>
        <v>3.316749585406259E-4</v>
      </c>
      <c r="BX364" s="111">
        <f t="shared" si="276"/>
        <v>0</v>
      </c>
      <c r="BY364" s="129">
        <f t="shared" si="277"/>
        <v>-6</v>
      </c>
      <c r="BZ364" s="111">
        <f t="shared" si="278"/>
        <v>0</v>
      </c>
      <c r="CA364" s="138">
        <f t="shared" si="279"/>
        <v>6</v>
      </c>
      <c r="CB364" s="111" t="e">
        <f t="shared" si="288"/>
        <v>#VALUE!</v>
      </c>
      <c r="CC364" s="129">
        <f>M364-I364+1</f>
        <v>6</v>
      </c>
      <c r="CD364" s="111">
        <f>CC364-BF364</f>
        <v>0</v>
      </c>
      <c r="CE364" s="129">
        <f t="shared" si="280"/>
        <v>128</v>
      </c>
      <c r="CG364" s="129" t="str">
        <f t="shared" si="281"/>
        <v>Y</v>
      </c>
      <c r="CI364" s="129" t="str">
        <f t="shared" si="282"/>
        <v>0-10 DAYS</v>
      </c>
      <c r="CJ364" s="137">
        <f t="shared" si="283"/>
        <v>1</v>
      </c>
      <c r="CK364" s="129" t="str">
        <f t="shared" si="284"/>
        <v>Booked</v>
      </c>
    </row>
    <row r="365" spans="1:89" ht="15.75" customHeight="1" x14ac:dyDescent="0.25">
      <c r="A365" s="111">
        <v>820</v>
      </c>
      <c r="B365" s="128" t="str">
        <f t="shared" si="264"/>
        <v>N</v>
      </c>
      <c r="C365" s="128" t="str">
        <f t="shared" si="265"/>
        <v>N</v>
      </c>
      <c r="D365" s="117">
        <v>1036824</v>
      </c>
      <c r="E365" s="135">
        <f t="shared" si="266"/>
        <v>6</v>
      </c>
      <c r="F365" s="124">
        <v>40940</v>
      </c>
      <c r="G365" s="125">
        <v>41040</v>
      </c>
      <c r="H365" s="117">
        <v>1036824</v>
      </c>
      <c r="I365" s="124">
        <v>40941</v>
      </c>
      <c r="J365" s="124">
        <v>41040</v>
      </c>
      <c r="K365" s="126">
        <v>60000</v>
      </c>
      <c r="L365" s="129" t="s">
        <v>572</v>
      </c>
      <c r="N365" s="129" t="str">
        <f t="shared" si="297"/>
        <v>N</v>
      </c>
      <c r="O365" s="128" t="s">
        <v>917</v>
      </c>
      <c r="P365" s="129" t="s">
        <v>39</v>
      </c>
      <c r="Q365" s="111">
        <f t="shared" si="298"/>
        <v>100</v>
      </c>
      <c r="R365" s="111">
        <f t="shared" si="259"/>
        <v>101</v>
      </c>
      <c r="S365" s="129">
        <v>5</v>
      </c>
      <c r="T365" s="129">
        <v>0</v>
      </c>
      <c r="U365" s="129">
        <v>5</v>
      </c>
      <c r="W365" s="111"/>
      <c r="AC365" s="130"/>
      <c r="AD365" s="130">
        <v>25191</v>
      </c>
      <c r="AE365" s="128" t="s">
        <v>32</v>
      </c>
      <c r="AF365" s="128" t="s">
        <v>33</v>
      </c>
      <c r="AG365" s="128" t="s">
        <v>872</v>
      </c>
      <c r="AH365" s="108" t="s">
        <v>58</v>
      </c>
      <c r="AI365" s="128" t="s">
        <v>87</v>
      </c>
      <c r="AJ365" s="129" t="s">
        <v>89</v>
      </c>
      <c r="AK365" s="129">
        <v>6</v>
      </c>
      <c r="AL365" s="3" t="s">
        <v>362</v>
      </c>
      <c r="AM365" s="117">
        <v>12</v>
      </c>
      <c r="AP365" s="129" t="s">
        <v>125</v>
      </c>
      <c r="AR365" s="128" t="s">
        <v>50</v>
      </c>
      <c r="AS365" s="129" t="s">
        <v>126</v>
      </c>
      <c r="AW365" s="123"/>
      <c r="AX365" s="123"/>
      <c r="BC365" s="129" t="s">
        <v>38</v>
      </c>
      <c r="BF365" s="111">
        <f t="shared" ref="BF365:BF390" si="299">IF(J365&gt;1/1/1900,((J365+1)-I365),"STILL OPEN")</f>
        <v>100</v>
      </c>
      <c r="BG365" s="111">
        <f t="shared" ref="BG365:BG390" si="300">IF(G365&gt;1/1/1900,((G365+1)-I365),"STILL OPEN")</f>
        <v>100</v>
      </c>
      <c r="BH365" s="111">
        <f t="shared" si="260"/>
        <v>101</v>
      </c>
      <c r="BI365" s="111">
        <f t="shared" si="261"/>
        <v>43.030054644808743</v>
      </c>
      <c r="BJ365" s="129">
        <f t="shared" si="267"/>
        <v>0</v>
      </c>
      <c r="BK365" s="129">
        <f t="shared" si="262"/>
        <v>0</v>
      </c>
      <c r="BL365" s="129" t="str">
        <f t="shared" si="263"/>
        <v>CONVICTION</v>
      </c>
      <c r="BM365" s="129" t="str">
        <f t="shared" si="268"/>
        <v>NONE</v>
      </c>
      <c r="BN365" s="129" t="s">
        <v>566</v>
      </c>
      <c r="BP365" s="137" t="str">
        <f t="shared" si="269"/>
        <v>CONVICTION</v>
      </c>
      <c r="BQ365" s="128" t="str">
        <f t="shared" si="270"/>
        <v>Y</v>
      </c>
      <c r="BR365" s="129" t="str">
        <f t="shared" si="271"/>
        <v>DETAINED</v>
      </c>
      <c r="BS365" s="129" t="str">
        <f t="shared" si="272"/>
        <v>DISPOSED</v>
      </c>
      <c r="BT365" s="129" t="str">
        <f t="shared" si="273"/>
        <v>Y</v>
      </c>
      <c r="BU365" s="109">
        <f t="shared" si="274"/>
        <v>0.99009900990099009</v>
      </c>
      <c r="BV365" s="109">
        <f t="shared" si="275"/>
        <v>1</v>
      </c>
      <c r="BW365" s="109">
        <f t="shared" si="294"/>
        <v>9.9009900990099098E-3</v>
      </c>
      <c r="BX365" s="111">
        <f t="shared" si="276"/>
        <v>0</v>
      </c>
      <c r="BY365" s="129">
        <f t="shared" si="277"/>
        <v>-100</v>
      </c>
      <c r="BZ365" s="111">
        <f t="shared" si="278"/>
        <v>0</v>
      </c>
      <c r="CA365" s="138">
        <f t="shared" si="279"/>
        <v>100</v>
      </c>
      <c r="CB365" s="111" t="e">
        <f t="shared" si="288"/>
        <v>#VALUE!</v>
      </c>
      <c r="CC365" s="129">
        <f>G365-I365+1</f>
        <v>100</v>
      </c>
      <c r="CD365" s="129">
        <f>G365-J365</f>
        <v>0</v>
      </c>
      <c r="CE365" s="129">
        <f t="shared" si="280"/>
        <v>0</v>
      </c>
      <c r="CG365" s="129" t="str">
        <f t="shared" si="281"/>
        <v>Y</v>
      </c>
      <c r="CI365" s="129" t="str">
        <f t="shared" si="282"/>
        <v>91-120 DAYS</v>
      </c>
      <c r="CJ365" s="137">
        <f t="shared" si="283"/>
        <v>0</v>
      </c>
      <c r="CK365" s="129" t="str">
        <f t="shared" si="284"/>
        <v>Booked</v>
      </c>
    </row>
    <row r="366" spans="1:89" ht="15" customHeight="1" x14ac:dyDescent="0.25">
      <c r="A366" s="111">
        <v>1192</v>
      </c>
      <c r="B366" s="128" t="str">
        <f t="shared" si="264"/>
        <v>N</v>
      </c>
      <c r="C366" s="128" t="str">
        <f t="shared" si="265"/>
        <v>N</v>
      </c>
      <c r="D366" s="117">
        <v>1038161</v>
      </c>
      <c r="E366" s="135">
        <f t="shared" si="266"/>
        <v>1</v>
      </c>
      <c r="F366" s="124">
        <v>40952</v>
      </c>
      <c r="G366" s="125">
        <v>41368</v>
      </c>
      <c r="H366" s="117">
        <v>1038161</v>
      </c>
      <c r="I366" s="124">
        <v>40953</v>
      </c>
      <c r="J366" s="124">
        <v>40955</v>
      </c>
      <c r="K366" s="126">
        <v>10000</v>
      </c>
      <c r="L366" s="127" t="s">
        <v>570</v>
      </c>
      <c r="M366" s="125">
        <v>40955</v>
      </c>
      <c r="N366" s="129" t="str">
        <f t="shared" si="297"/>
        <v>Y</v>
      </c>
      <c r="O366" s="128" t="s">
        <v>76</v>
      </c>
      <c r="P366" s="129" t="s">
        <v>55</v>
      </c>
      <c r="Q366" s="111">
        <f t="shared" si="298"/>
        <v>3</v>
      </c>
      <c r="R366" s="111">
        <f t="shared" si="259"/>
        <v>417</v>
      </c>
      <c r="S366" s="129">
        <v>0</v>
      </c>
      <c r="T366" s="129">
        <v>0</v>
      </c>
      <c r="W366" s="111"/>
      <c r="AC366" s="130"/>
      <c r="AD366" s="130">
        <v>26020</v>
      </c>
      <c r="AE366" s="128" t="s">
        <v>32</v>
      </c>
      <c r="AF366" s="128" t="s">
        <v>33</v>
      </c>
      <c r="AG366" s="128" t="s">
        <v>872</v>
      </c>
      <c r="AH366" s="108" t="s">
        <v>31</v>
      </c>
      <c r="AI366" s="128" t="s">
        <v>34</v>
      </c>
      <c r="AJ366" s="129" t="s">
        <v>55</v>
      </c>
      <c r="AK366" s="129">
        <v>14</v>
      </c>
      <c r="AL366" s="3" t="s">
        <v>55</v>
      </c>
      <c r="AP366" s="129" t="s">
        <v>110</v>
      </c>
      <c r="AR366" s="128" t="s">
        <v>50</v>
      </c>
      <c r="AS366" s="129" t="s">
        <v>74</v>
      </c>
      <c r="BC366" s="129" t="s">
        <v>52</v>
      </c>
      <c r="BF366" s="111">
        <f t="shared" si="299"/>
        <v>3</v>
      </c>
      <c r="BG366" s="111">
        <f t="shared" si="300"/>
        <v>416</v>
      </c>
      <c r="BH366" s="111">
        <f t="shared" si="260"/>
        <v>417</v>
      </c>
      <c r="BI366" s="111">
        <f t="shared" si="261"/>
        <v>40.797814207650276</v>
      </c>
      <c r="BJ366" s="129">
        <f>(G366-J366)+(M366-G366)</f>
        <v>0</v>
      </c>
      <c r="BK366" s="129">
        <f t="shared" si="262"/>
        <v>-413</v>
      </c>
      <c r="BL366" s="129" t="str">
        <f t="shared" si="263"/>
        <v>NO CONVICTION</v>
      </c>
      <c r="BM366" s="129" t="s">
        <v>76</v>
      </c>
      <c r="BN366" s="129" t="s">
        <v>88</v>
      </c>
      <c r="BP366" s="137" t="str">
        <f t="shared" si="269"/>
        <v>NO CONVICTION</v>
      </c>
      <c r="BQ366" s="128" t="str">
        <f t="shared" si="270"/>
        <v>Y</v>
      </c>
      <c r="BR366" s="129" t="str">
        <f t="shared" si="271"/>
        <v>ON BOND</v>
      </c>
      <c r="BS366" s="129" t="str">
        <f t="shared" si="272"/>
        <v>DISPOSED</v>
      </c>
      <c r="BT366" s="129" t="str">
        <f t="shared" si="273"/>
        <v>N</v>
      </c>
      <c r="BU366" s="109">
        <f>IFERROR(Q366/R366,BR366)</f>
        <v>7.1942446043165471E-3</v>
      </c>
      <c r="BV366" s="109">
        <f t="shared" si="275"/>
        <v>7.2115384615384619E-3</v>
      </c>
      <c r="BW366" s="109">
        <f t="shared" si="294"/>
        <v>1.7293857221914802E-5</v>
      </c>
      <c r="BX366" s="111">
        <f t="shared" si="276"/>
        <v>0</v>
      </c>
      <c r="BY366" s="129">
        <f t="shared" si="277"/>
        <v>-3</v>
      </c>
      <c r="BZ366" s="111">
        <f t="shared" si="278"/>
        <v>0</v>
      </c>
      <c r="CA366" s="138">
        <f t="shared" si="279"/>
        <v>3</v>
      </c>
      <c r="CB366" s="111" t="e">
        <f t="shared" si="288"/>
        <v>#VALUE!</v>
      </c>
      <c r="CC366" s="129">
        <f>M366-I366+1</f>
        <v>3</v>
      </c>
      <c r="CD366" s="111">
        <f>CC366-BF366</f>
        <v>0</v>
      </c>
      <c r="CE366" s="129">
        <f t="shared" si="280"/>
        <v>413</v>
      </c>
      <c r="CG366" s="129" t="str">
        <f t="shared" si="281"/>
        <v>N</v>
      </c>
      <c r="CI366" s="129" t="str">
        <f t="shared" si="282"/>
        <v>0-10 DAYS</v>
      </c>
      <c r="CJ366" s="137">
        <f t="shared" si="283"/>
        <v>1</v>
      </c>
      <c r="CK366" s="129" t="str">
        <f t="shared" si="284"/>
        <v>Booked</v>
      </c>
    </row>
    <row r="367" spans="1:89" ht="15.75" customHeight="1" x14ac:dyDescent="0.25">
      <c r="A367" s="111">
        <v>1546</v>
      </c>
      <c r="B367" s="128" t="str">
        <f t="shared" si="264"/>
        <v>N</v>
      </c>
      <c r="C367" s="128" t="str">
        <f t="shared" si="265"/>
        <v>Y</v>
      </c>
      <c r="D367" s="117">
        <v>1040747</v>
      </c>
      <c r="E367" s="135">
        <f t="shared" si="266"/>
        <v>5</v>
      </c>
      <c r="F367" s="124">
        <v>40966</v>
      </c>
      <c r="G367" s="125">
        <v>41079</v>
      </c>
      <c r="H367" s="117">
        <v>1040747</v>
      </c>
      <c r="I367" s="124">
        <v>40966</v>
      </c>
      <c r="J367" s="124">
        <v>40982</v>
      </c>
      <c r="K367" s="126">
        <v>15000</v>
      </c>
      <c r="L367" s="127" t="s">
        <v>571</v>
      </c>
      <c r="M367" s="125">
        <v>40982</v>
      </c>
      <c r="N367" s="129" t="str">
        <f t="shared" si="297"/>
        <v>Y</v>
      </c>
      <c r="O367" s="128" t="s">
        <v>76</v>
      </c>
      <c r="P367" s="129" t="s">
        <v>39</v>
      </c>
      <c r="Q367" s="111">
        <v>39</v>
      </c>
      <c r="R367" s="111">
        <f t="shared" si="259"/>
        <v>114</v>
      </c>
      <c r="S367" s="129">
        <v>8</v>
      </c>
      <c r="T367" s="129">
        <v>5</v>
      </c>
      <c r="W367" s="111"/>
      <c r="AC367" s="130"/>
      <c r="AD367" s="130">
        <v>25458</v>
      </c>
      <c r="AE367" s="128" t="s">
        <v>32</v>
      </c>
      <c r="AF367" s="128" t="s">
        <v>69</v>
      </c>
      <c r="AG367" s="128" t="s">
        <v>874</v>
      </c>
      <c r="AH367" s="108" t="s">
        <v>58</v>
      </c>
      <c r="AI367" s="128" t="s">
        <v>53</v>
      </c>
      <c r="AJ367" s="129" t="s">
        <v>89</v>
      </c>
      <c r="AK367" s="129">
        <v>8</v>
      </c>
      <c r="AL367" s="3" t="s">
        <v>992</v>
      </c>
      <c r="AN367" s="117">
        <v>6</v>
      </c>
      <c r="AP367" s="129" t="s">
        <v>43</v>
      </c>
      <c r="AR367" s="128" t="s">
        <v>44</v>
      </c>
      <c r="AS367" s="129" t="s">
        <v>45</v>
      </c>
      <c r="AU367" s="3" t="s">
        <v>730</v>
      </c>
      <c r="AX367" s="32" t="s">
        <v>88</v>
      </c>
      <c r="BC367" s="129" t="s">
        <v>99</v>
      </c>
      <c r="BF367" s="111">
        <v>39</v>
      </c>
      <c r="BG367" s="111">
        <f t="shared" si="300"/>
        <v>114</v>
      </c>
      <c r="BH367" s="111">
        <f t="shared" si="260"/>
        <v>114</v>
      </c>
      <c r="BI367" s="111">
        <f t="shared" si="261"/>
        <v>42.37158469945355</v>
      </c>
      <c r="BJ367" s="129">
        <f>(G367-J367)+(M367-G367)</f>
        <v>0</v>
      </c>
      <c r="BK367" s="129">
        <f t="shared" si="262"/>
        <v>-97</v>
      </c>
      <c r="BL367" s="129" t="str">
        <f t="shared" si="263"/>
        <v>CONVICTION</v>
      </c>
      <c r="BM367" s="129" t="s">
        <v>76</v>
      </c>
      <c r="BN367" s="129" t="s">
        <v>88</v>
      </c>
      <c r="BP367" s="137" t="str">
        <f t="shared" si="269"/>
        <v>CONVICTION</v>
      </c>
      <c r="BQ367" s="128" t="str">
        <f t="shared" si="270"/>
        <v>Y</v>
      </c>
      <c r="BR367" s="129" t="s">
        <v>574</v>
      </c>
      <c r="BS367" s="129" t="str">
        <f t="shared" si="272"/>
        <v>DISPOSED</v>
      </c>
      <c r="BT367" s="129" t="str">
        <f t="shared" si="273"/>
        <v>Y</v>
      </c>
      <c r="BU367" s="109">
        <f t="shared" si="274"/>
        <v>0.34210526315789475</v>
      </c>
      <c r="BV367" s="109">
        <f t="shared" si="275"/>
        <v>0.14912280701754385</v>
      </c>
      <c r="BW367" s="109">
        <f t="shared" si="294"/>
        <v>-0.19298245614035089</v>
      </c>
      <c r="BX367" s="111">
        <f t="shared" si="276"/>
        <v>0</v>
      </c>
      <c r="BY367" s="129">
        <f t="shared" si="277"/>
        <v>-17</v>
      </c>
      <c r="BZ367" s="111">
        <f t="shared" si="278"/>
        <v>22</v>
      </c>
      <c r="CA367" s="138">
        <f t="shared" si="279"/>
        <v>114</v>
      </c>
      <c r="CB367" s="111">
        <v>39</v>
      </c>
      <c r="CC367" s="129">
        <f>G367-I367+1</f>
        <v>114</v>
      </c>
      <c r="CD367" s="129">
        <f>G367-J367</f>
        <v>97</v>
      </c>
      <c r="CE367" s="129">
        <f t="shared" si="280"/>
        <v>97</v>
      </c>
      <c r="CG367" s="129" t="str">
        <f t="shared" si="281"/>
        <v>Y</v>
      </c>
      <c r="CI367" s="129" t="str">
        <f t="shared" si="282"/>
        <v>31-60 DAYS</v>
      </c>
      <c r="CJ367" s="137">
        <f t="shared" si="283"/>
        <v>3</v>
      </c>
      <c r="CK367" s="129" t="str">
        <f t="shared" si="284"/>
        <v>Booked</v>
      </c>
    </row>
    <row r="368" spans="1:89" ht="15.75" customHeight="1" x14ac:dyDescent="0.25">
      <c r="A368" s="111">
        <v>1775</v>
      </c>
      <c r="B368" s="128" t="str">
        <f t="shared" si="264"/>
        <v>N</v>
      </c>
      <c r="C368" s="128" t="str">
        <f t="shared" si="265"/>
        <v>N</v>
      </c>
      <c r="D368" s="117">
        <v>1040883</v>
      </c>
      <c r="E368" s="135">
        <f t="shared" si="266"/>
        <v>6</v>
      </c>
      <c r="F368" s="124">
        <v>40975</v>
      </c>
      <c r="G368" s="125">
        <v>41085</v>
      </c>
      <c r="H368" s="117">
        <v>1040883</v>
      </c>
      <c r="I368" s="124">
        <v>40975</v>
      </c>
      <c r="J368" s="124">
        <v>40976</v>
      </c>
      <c r="K368" s="126">
        <v>20000</v>
      </c>
      <c r="L368" s="127" t="s">
        <v>571</v>
      </c>
      <c r="M368" s="125">
        <v>40976</v>
      </c>
      <c r="N368" s="129" t="s">
        <v>88</v>
      </c>
      <c r="O368" s="128" t="s">
        <v>585</v>
      </c>
      <c r="P368" s="129" t="s">
        <v>39</v>
      </c>
      <c r="Q368" s="111">
        <f t="shared" si="298"/>
        <v>2</v>
      </c>
      <c r="R368" s="111">
        <f t="shared" si="259"/>
        <v>111</v>
      </c>
      <c r="S368" s="129">
        <v>2</v>
      </c>
      <c r="T368" s="129">
        <v>3</v>
      </c>
      <c r="U368" s="129">
        <v>1</v>
      </c>
      <c r="W368" s="111"/>
      <c r="AC368" s="130"/>
      <c r="AD368" s="130">
        <v>24325</v>
      </c>
      <c r="AE368" s="128" t="s">
        <v>32</v>
      </c>
      <c r="AF368" s="128" t="s">
        <v>33</v>
      </c>
      <c r="AG368" s="128" t="s">
        <v>872</v>
      </c>
      <c r="AH368" s="108" t="s">
        <v>31</v>
      </c>
      <c r="AI368" s="128" t="s">
        <v>141</v>
      </c>
      <c r="AJ368" s="129" t="s">
        <v>89</v>
      </c>
      <c r="AK368" s="129">
        <v>5</v>
      </c>
      <c r="AL368" s="3" t="s">
        <v>362</v>
      </c>
      <c r="AM368" s="117">
        <v>2</v>
      </c>
      <c r="AP368" s="129" t="s">
        <v>66</v>
      </c>
      <c r="AR368" s="128" t="s">
        <v>67</v>
      </c>
      <c r="AS368" s="129" t="s">
        <v>68</v>
      </c>
      <c r="BC368" s="129" t="s">
        <v>52</v>
      </c>
      <c r="BF368" s="111">
        <f t="shared" si="299"/>
        <v>2</v>
      </c>
      <c r="BG368" s="111">
        <f t="shared" si="300"/>
        <v>111</v>
      </c>
      <c r="BH368" s="111">
        <f t="shared" si="260"/>
        <v>111</v>
      </c>
      <c r="BI368" s="111">
        <f t="shared" si="261"/>
        <v>45.491803278688522</v>
      </c>
      <c r="BJ368" s="129">
        <f>(G368-J368)+(M368-G368)</f>
        <v>0</v>
      </c>
      <c r="BK368" s="129">
        <f t="shared" si="262"/>
        <v>-109</v>
      </c>
      <c r="BL368" s="129" t="str">
        <f t="shared" si="263"/>
        <v>CONVICTION</v>
      </c>
      <c r="BM368" s="129" t="s">
        <v>76</v>
      </c>
      <c r="BN368" s="129" t="s">
        <v>88</v>
      </c>
      <c r="BP368" s="137" t="str">
        <f t="shared" si="269"/>
        <v>CONVICTION</v>
      </c>
      <c r="BQ368" s="128" t="str">
        <f t="shared" si="270"/>
        <v>Y</v>
      </c>
      <c r="BR368" s="129" t="str">
        <f>IF(J368&lt;G368,"ON BOND",0)</f>
        <v>ON BOND</v>
      </c>
      <c r="BS368" s="129" t="str">
        <f t="shared" si="272"/>
        <v>DISPOSED</v>
      </c>
      <c r="BT368" s="129" t="str">
        <f t="shared" si="273"/>
        <v>Y</v>
      </c>
      <c r="BU368" s="109">
        <f t="shared" si="274"/>
        <v>1.8018018018018018E-2</v>
      </c>
      <c r="BV368" s="109">
        <f t="shared" si="275"/>
        <v>1.8018018018018018E-2</v>
      </c>
      <c r="BW368" s="109">
        <f t="shared" si="294"/>
        <v>0</v>
      </c>
      <c r="BX368" s="111">
        <f t="shared" si="276"/>
        <v>0</v>
      </c>
      <c r="BY368" s="129">
        <f t="shared" si="277"/>
        <v>-2</v>
      </c>
      <c r="BZ368" s="111">
        <f t="shared" si="278"/>
        <v>0</v>
      </c>
      <c r="CA368" s="138">
        <f t="shared" si="279"/>
        <v>2</v>
      </c>
      <c r="CB368" s="111" t="e">
        <f t="shared" si="288"/>
        <v>#VALUE!</v>
      </c>
      <c r="CC368" s="129">
        <f>M368-I368+1</f>
        <v>2</v>
      </c>
      <c r="CD368" s="111">
        <f>CC368-BF368</f>
        <v>0</v>
      </c>
      <c r="CE368" s="129">
        <f t="shared" si="280"/>
        <v>109</v>
      </c>
      <c r="CG368" s="129" t="str">
        <f t="shared" si="281"/>
        <v>Y</v>
      </c>
      <c r="CI368" s="129" t="str">
        <f t="shared" si="282"/>
        <v>0-10 DAYS</v>
      </c>
      <c r="CJ368" s="137">
        <f t="shared" si="283"/>
        <v>1</v>
      </c>
      <c r="CK368" s="129" t="str">
        <f t="shared" si="284"/>
        <v>Booked</v>
      </c>
    </row>
    <row r="369" spans="1:89" ht="15" customHeight="1" x14ac:dyDescent="0.25">
      <c r="A369" s="111">
        <v>104</v>
      </c>
      <c r="B369" s="128" t="str">
        <f t="shared" si="264"/>
        <v>N</v>
      </c>
      <c r="C369" s="128" t="str">
        <f t="shared" si="265"/>
        <v>N</v>
      </c>
      <c r="D369" s="117">
        <v>1041292</v>
      </c>
      <c r="E369" s="135">
        <f t="shared" si="266"/>
        <v>6</v>
      </c>
      <c r="F369" s="124">
        <v>40913</v>
      </c>
      <c r="G369" s="125">
        <v>41185</v>
      </c>
      <c r="H369" s="117">
        <v>1041292</v>
      </c>
      <c r="I369" s="124">
        <v>40913</v>
      </c>
      <c r="J369" s="124">
        <v>41185</v>
      </c>
      <c r="K369" s="126" t="s">
        <v>564</v>
      </c>
      <c r="L369" s="127" t="s">
        <v>564</v>
      </c>
      <c r="N369" s="129" t="s">
        <v>566</v>
      </c>
      <c r="O369" s="128" t="s">
        <v>917</v>
      </c>
      <c r="P369" s="129" t="s">
        <v>39</v>
      </c>
      <c r="Q369" s="111">
        <f t="shared" si="298"/>
        <v>273</v>
      </c>
      <c r="R369" s="111">
        <f t="shared" si="259"/>
        <v>273</v>
      </c>
      <c r="S369" s="129">
        <v>3</v>
      </c>
      <c r="T369" s="129">
        <v>1</v>
      </c>
      <c r="W369" s="111"/>
      <c r="AC369" s="130"/>
      <c r="AD369" s="130">
        <v>26439</v>
      </c>
      <c r="AE369" s="128" t="s">
        <v>32</v>
      </c>
      <c r="AF369" s="128" t="s">
        <v>33</v>
      </c>
      <c r="AG369" s="128" t="s">
        <v>872</v>
      </c>
      <c r="AH369" s="108" t="s">
        <v>31</v>
      </c>
      <c r="AI369" s="128" t="s">
        <v>53</v>
      </c>
      <c r="AJ369" s="129" t="s">
        <v>89</v>
      </c>
      <c r="AK369" s="129">
        <v>13</v>
      </c>
      <c r="AL369" s="3" t="s">
        <v>362</v>
      </c>
      <c r="AM369" s="117">
        <v>13</v>
      </c>
      <c r="AP369" s="129" t="s">
        <v>144</v>
      </c>
      <c r="AR369" s="128" t="s">
        <v>67</v>
      </c>
      <c r="AS369" s="129" t="s">
        <v>74</v>
      </c>
      <c r="BC369" s="129" t="s">
        <v>38</v>
      </c>
      <c r="BF369" s="111">
        <f t="shared" si="299"/>
        <v>273</v>
      </c>
      <c r="BG369" s="111">
        <f t="shared" si="300"/>
        <v>273</v>
      </c>
      <c r="BH369" s="111">
        <f t="shared" si="260"/>
        <v>273</v>
      </c>
      <c r="BI369" s="111">
        <f t="shared" si="261"/>
        <v>39.546448087431692</v>
      </c>
      <c r="BJ369" s="129">
        <f t="shared" si="267"/>
        <v>0</v>
      </c>
      <c r="BK369" s="129">
        <f t="shared" si="262"/>
        <v>0</v>
      </c>
      <c r="BL369" s="129" t="str">
        <f t="shared" si="263"/>
        <v>CONVICTION</v>
      </c>
      <c r="BM369" s="129" t="str">
        <f t="shared" si="268"/>
        <v>NONE</v>
      </c>
      <c r="BN369" s="129" t="s">
        <v>566</v>
      </c>
      <c r="BP369" s="137" t="str">
        <f t="shared" si="269"/>
        <v>CONVICTION</v>
      </c>
      <c r="BQ369" s="128" t="str">
        <f t="shared" si="270"/>
        <v>Y</v>
      </c>
      <c r="BR369" s="129" t="str">
        <f t="shared" si="271"/>
        <v>DETAINED</v>
      </c>
      <c r="BS369" s="129" t="str">
        <f t="shared" si="272"/>
        <v>DISPOSED</v>
      </c>
      <c r="BT369" s="129" t="str">
        <f t="shared" si="273"/>
        <v>Y</v>
      </c>
      <c r="BU369" s="109">
        <f t="shared" si="274"/>
        <v>1</v>
      </c>
      <c r="BV369" s="109">
        <f t="shared" si="275"/>
        <v>1</v>
      </c>
      <c r="BW369" s="109">
        <f t="shared" si="294"/>
        <v>0</v>
      </c>
      <c r="BX369" s="111">
        <f t="shared" si="276"/>
        <v>0</v>
      </c>
      <c r="BY369" s="129">
        <f t="shared" si="277"/>
        <v>-273</v>
      </c>
      <c r="BZ369" s="111">
        <f t="shared" si="278"/>
        <v>0</v>
      </c>
      <c r="CA369" s="138">
        <f t="shared" si="279"/>
        <v>273</v>
      </c>
      <c r="CB369" s="111" t="e">
        <f t="shared" si="288"/>
        <v>#VALUE!</v>
      </c>
      <c r="CC369" s="129">
        <f>G369-I369+1</f>
        <v>273</v>
      </c>
      <c r="CD369" s="129">
        <f>G369-J369</f>
        <v>0</v>
      </c>
      <c r="CE369" s="129">
        <f t="shared" si="280"/>
        <v>0</v>
      </c>
      <c r="CG369" s="129" t="str">
        <f t="shared" si="281"/>
        <v>Y</v>
      </c>
      <c r="CI369" s="129" t="str">
        <f t="shared" si="282"/>
        <v>121-365 DAYS</v>
      </c>
      <c r="CJ369" s="137">
        <f t="shared" si="283"/>
        <v>6</v>
      </c>
      <c r="CK369" s="129" t="str">
        <f t="shared" si="284"/>
        <v>Booked</v>
      </c>
    </row>
    <row r="370" spans="1:89" ht="15.75" customHeight="1" x14ac:dyDescent="0.25">
      <c r="A370" s="111">
        <v>2468</v>
      </c>
      <c r="B370" s="128" t="str">
        <f t="shared" si="264"/>
        <v>N</v>
      </c>
      <c r="C370" s="128" t="str">
        <f t="shared" si="265"/>
        <v>N</v>
      </c>
      <c r="D370" s="117">
        <v>1041654</v>
      </c>
      <c r="E370" s="135">
        <f t="shared" si="266"/>
        <v>4</v>
      </c>
      <c r="F370" s="124">
        <v>41002</v>
      </c>
      <c r="G370" s="125">
        <v>41003</v>
      </c>
      <c r="H370" s="117">
        <v>1041654</v>
      </c>
      <c r="I370" s="124">
        <v>41002</v>
      </c>
      <c r="J370" s="124">
        <v>41003</v>
      </c>
      <c r="K370" s="126">
        <v>15000</v>
      </c>
      <c r="L370" s="127" t="s">
        <v>571</v>
      </c>
      <c r="N370" s="129" t="str">
        <f t="shared" ref="N370:N386" si="301">IF(M370&gt;1/1/1,"Y","N")</f>
        <v>N</v>
      </c>
      <c r="O370" s="128" t="s">
        <v>917</v>
      </c>
      <c r="P370" s="129" t="s">
        <v>39</v>
      </c>
      <c r="Q370" s="111">
        <f t="shared" si="298"/>
        <v>2</v>
      </c>
      <c r="R370" s="111">
        <f t="shared" si="259"/>
        <v>2</v>
      </c>
      <c r="S370" s="129">
        <v>3</v>
      </c>
      <c r="T370" s="129">
        <v>4</v>
      </c>
      <c r="U370" s="129">
        <v>2</v>
      </c>
      <c r="W370" s="111"/>
      <c r="AC370" s="130"/>
      <c r="AD370" s="130">
        <v>20778</v>
      </c>
      <c r="AE370" s="128" t="s">
        <v>46</v>
      </c>
      <c r="AF370" s="128" t="s">
        <v>33</v>
      </c>
      <c r="AG370" s="128" t="s">
        <v>872</v>
      </c>
      <c r="AH370" s="108" t="s">
        <v>31</v>
      </c>
      <c r="AI370" s="128" t="s">
        <v>70</v>
      </c>
      <c r="AJ370" s="129" t="s">
        <v>89</v>
      </c>
      <c r="AK370" s="129">
        <v>1</v>
      </c>
      <c r="AL370" s="3" t="s">
        <v>991</v>
      </c>
      <c r="AO370" s="128">
        <v>120</v>
      </c>
      <c r="AP370" s="129" t="s">
        <v>43</v>
      </c>
      <c r="AR370" s="128" t="s">
        <v>44</v>
      </c>
      <c r="AS370" s="129" t="s">
        <v>45</v>
      </c>
      <c r="BC370" s="129" t="s">
        <v>38</v>
      </c>
      <c r="BF370" s="111">
        <f t="shared" si="299"/>
        <v>2</v>
      </c>
      <c r="BG370" s="111">
        <f t="shared" si="300"/>
        <v>2</v>
      </c>
      <c r="BH370" s="111">
        <f t="shared" si="260"/>
        <v>2</v>
      </c>
      <c r="BI370" s="111">
        <f t="shared" si="261"/>
        <v>55.256830601092894</v>
      </c>
      <c r="BJ370" s="129">
        <f t="shared" si="267"/>
        <v>0</v>
      </c>
      <c r="BK370" s="129">
        <f t="shared" si="262"/>
        <v>0</v>
      </c>
      <c r="BL370" s="129" t="str">
        <f t="shared" si="263"/>
        <v>CONVICTION</v>
      </c>
      <c r="BM370" s="129" t="str">
        <f t="shared" si="268"/>
        <v>NONE</v>
      </c>
      <c r="BN370" s="129" t="s">
        <v>566</v>
      </c>
      <c r="BP370" s="137" t="str">
        <f t="shared" si="269"/>
        <v>CONVICTION</v>
      </c>
      <c r="BQ370" s="128" t="str">
        <f t="shared" si="270"/>
        <v>Y</v>
      </c>
      <c r="BR370" s="129" t="str">
        <f t="shared" si="271"/>
        <v>DETAINED</v>
      </c>
      <c r="BS370" s="129" t="str">
        <f t="shared" si="272"/>
        <v>DISPOSED</v>
      </c>
      <c r="BT370" s="129" t="str">
        <f t="shared" si="273"/>
        <v>Y</v>
      </c>
      <c r="BU370" s="109">
        <f t="shared" si="274"/>
        <v>1</v>
      </c>
      <c r="BV370" s="109">
        <f t="shared" si="275"/>
        <v>1</v>
      </c>
      <c r="BW370" s="109">
        <f t="shared" si="294"/>
        <v>0</v>
      </c>
      <c r="BX370" s="111">
        <f t="shared" si="276"/>
        <v>0</v>
      </c>
      <c r="BY370" s="129">
        <f t="shared" si="277"/>
        <v>-2</v>
      </c>
      <c r="BZ370" s="111">
        <f t="shared" si="278"/>
        <v>0</v>
      </c>
      <c r="CA370" s="138">
        <f t="shared" si="279"/>
        <v>2</v>
      </c>
      <c r="CB370" s="111" t="e">
        <f t="shared" si="288"/>
        <v>#VALUE!</v>
      </c>
      <c r="CC370" s="129">
        <f>G370-I370+1</f>
        <v>2</v>
      </c>
      <c r="CD370" s="129">
        <f>G370-J370</f>
        <v>0</v>
      </c>
      <c r="CE370" s="129">
        <f t="shared" si="280"/>
        <v>0</v>
      </c>
      <c r="CG370" s="129" t="str">
        <f t="shared" si="281"/>
        <v>Y</v>
      </c>
      <c r="CI370" s="129" t="str">
        <f t="shared" si="282"/>
        <v>0-10 DAYS</v>
      </c>
      <c r="CJ370" s="137">
        <f t="shared" si="283"/>
        <v>1</v>
      </c>
      <c r="CK370" s="129" t="str">
        <f t="shared" si="284"/>
        <v>Booked</v>
      </c>
    </row>
    <row r="371" spans="1:89" ht="15.75" customHeight="1" x14ac:dyDescent="0.25">
      <c r="A371" s="111">
        <v>1516</v>
      </c>
      <c r="B371" s="128" t="str">
        <f t="shared" si="264"/>
        <v>N</v>
      </c>
      <c r="C371" s="128" t="str">
        <f t="shared" si="265"/>
        <v>N</v>
      </c>
      <c r="D371" s="117">
        <v>1042344</v>
      </c>
      <c r="E371" s="135">
        <f t="shared" si="266"/>
        <v>5</v>
      </c>
      <c r="F371" s="124">
        <v>40964</v>
      </c>
      <c r="G371" s="125">
        <v>40966</v>
      </c>
      <c r="H371" s="117">
        <v>1042344</v>
      </c>
      <c r="I371" s="124">
        <v>40965</v>
      </c>
      <c r="J371" s="124">
        <v>40966</v>
      </c>
      <c r="K371" s="126">
        <v>30000</v>
      </c>
      <c r="L371" s="129" t="s">
        <v>572</v>
      </c>
      <c r="N371" s="129" t="str">
        <f t="shared" si="301"/>
        <v>N</v>
      </c>
      <c r="O371" s="128" t="s">
        <v>917</v>
      </c>
      <c r="P371" s="129" t="s">
        <v>39</v>
      </c>
      <c r="Q371" s="111">
        <f t="shared" si="298"/>
        <v>2</v>
      </c>
      <c r="R371" s="111">
        <f t="shared" si="259"/>
        <v>3</v>
      </c>
      <c r="S371" s="129">
        <v>3</v>
      </c>
      <c r="T371" s="129">
        <v>4</v>
      </c>
      <c r="U371" s="129">
        <v>2</v>
      </c>
      <c r="W371" s="111"/>
      <c r="AC371" s="130"/>
      <c r="AD371" s="130">
        <v>26004</v>
      </c>
      <c r="AE371" s="128" t="s">
        <v>32</v>
      </c>
      <c r="AF371" s="128" t="s">
        <v>138</v>
      </c>
      <c r="AG371" s="128" t="s">
        <v>873</v>
      </c>
      <c r="AH371" s="108" t="s">
        <v>58</v>
      </c>
      <c r="AI371" s="128" t="s">
        <v>42</v>
      </c>
      <c r="AJ371" s="129" t="s">
        <v>89</v>
      </c>
      <c r="AK371" s="129">
        <v>1</v>
      </c>
      <c r="AL371" s="3" t="s">
        <v>992</v>
      </c>
      <c r="AN371" s="117">
        <v>6</v>
      </c>
      <c r="AP371" s="129" t="s">
        <v>60</v>
      </c>
      <c r="AR371" s="128" t="s">
        <v>44</v>
      </c>
      <c r="AS371" s="129" t="s">
        <v>61</v>
      </c>
      <c r="BC371" s="129" t="s">
        <v>38</v>
      </c>
      <c r="BF371" s="111">
        <f t="shared" si="299"/>
        <v>2</v>
      </c>
      <c r="BG371" s="111">
        <f t="shared" si="300"/>
        <v>2</v>
      </c>
      <c r="BH371" s="111">
        <f t="shared" si="260"/>
        <v>3</v>
      </c>
      <c r="BI371" s="111">
        <f t="shared" si="261"/>
        <v>40.874316939890711</v>
      </c>
      <c r="BJ371" s="129">
        <f t="shared" si="267"/>
        <v>0</v>
      </c>
      <c r="BK371" s="129">
        <f t="shared" si="262"/>
        <v>0</v>
      </c>
      <c r="BL371" s="129" t="str">
        <f t="shared" si="263"/>
        <v>CONVICTION</v>
      </c>
      <c r="BM371" s="129" t="str">
        <f t="shared" si="268"/>
        <v>NONE</v>
      </c>
      <c r="BN371" s="129" t="s">
        <v>566</v>
      </c>
      <c r="BP371" s="137" t="str">
        <f t="shared" si="269"/>
        <v>CONVICTION</v>
      </c>
      <c r="BQ371" s="128" t="str">
        <f t="shared" si="270"/>
        <v>Y</v>
      </c>
      <c r="BR371" s="129" t="str">
        <f t="shared" si="271"/>
        <v>DETAINED</v>
      </c>
      <c r="BS371" s="129" t="str">
        <f t="shared" si="272"/>
        <v>DISPOSED</v>
      </c>
      <c r="BT371" s="129" t="str">
        <f t="shared" si="273"/>
        <v>Y</v>
      </c>
      <c r="BU371" s="109">
        <f t="shared" si="274"/>
        <v>0.66666666666666663</v>
      </c>
      <c r="BV371" s="109">
        <f t="shared" si="275"/>
        <v>1</v>
      </c>
      <c r="BW371" s="109">
        <f t="shared" si="294"/>
        <v>0.33333333333333337</v>
      </c>
      <c r="BX371" s="111">
        <f t="shared" si="276"/>
        <v>0</v>
      </c>
      <c r="BY371" s="129">
        <f t="shared" si="277"/>
        <v>-2</v>
      </c>
      <c r="BZ371" s="111">
        <f t="shared" si="278"/>
        <v>0</v>
      </c>
      <c r="CA371" s="138">
        <f t="shared" si="279"/>
        <v>2</v>
      </c>
      <c r="CB371" s="111" t="e">
        <f t="shared" si="288"/>
        <v>#VALUE!</v>
      </c>
      <c r="CC371" s="129">
        <f>G371-I371+1</f>
        <v>2</v>
      </c>
      <c r="CD371" s="129">
        <f>G371-J371</f>
        <v>0</v>
      </c>
      <c r="CE371" s="129">
        <f t="shared" si="280"/>
        <v>0</v>
      </c>
      <c r="CG371" s="129" t="str">
        <f t="shared" si="281"/>
        <v>Y</v>
      </c>
      <c r="CI371" s="129" t="str">
        <f t="shared" si="282"/>
        <v>0-10 DAYS</v>
      </c>
      <c r="CJ371" s="137">
        <f t="shared" si="283"/>
        <v>1</v>
      </c>
      <c r="CK371" s="129" t="str">
        <f t="shared" si="284"/>
        <v>Booked</v>
      </c>
    </row>
    <row r="372" spans="1:89" ht="15" customHeight="1" x14ac:dyDescent="0.25">
      <c r="A372" s="111">
        <v>1593</v>
      </c>
      <c r="B372" s="128" t="str">
        <f t="shared" si="264"/>
        <v>N</v>
      </c>
      <c r="C372" s="128" t="str">
        <f t="shared" si="265"/>
        <v>N</v>
      </c>
      <c r="D372" s="117">
        <v>1042468</v>
      </c>
      <c r="E372" s="135">
        <f t="shared" si="266"/>
        <v>5</v>
      </c>
      <c r="F372" s="124">
        <v>40968</v>
      </c>
      <c r="G372" s="125">
        <v>41141</v>
      </c>
      <c r="H372" s="117">
        <v>1042468</v>
      </c>
      <c r="I372" s="124">
        <v>40968</v>
      </c>
      <c r="J372" s="124">
        <v>40970</v>
      </c>
      <c r="K372" s="126">
        <v>15000</v>
      </c>
      <c r="L372" s="127" t="s">
        <v>571</v>
      </c>
      <c r="M372" s="125">
        <v>40970</v>
      </c>
      <c r="N372" s="129" t="str">
        <f t="shared" si="301"/>
        <v>Y</v>
      </c>
      <c r="O372" s="128" t="s">
        <v>76</v>
      </c>
      <c r="P372" s="129" t="s">
        <v>39</v>
      </c>
      <c r="Q372" s="111">
        <f t="shared" si="298"/>
        <v>3</v>
      </c>
      <c r="R372" s="111">
        <f t="shared" si="259"/>
        <v>174</v>
      </c>
      <c r="S372" s="129">
        <v>6</v>
      </c>
      <c r="T372" s="129">
        <v>5</v>
      </c>
      <c r="U372" s="129">
        <v>5</v>
      </c>
      <c r="W372" s="111"/>
      <c r="AC372" s="130"/>
      <c r="AD372" s="130">
        <v>25642</v>
      </c>
      <c r="AE372" s="128" t="s">
        <v>32</v>
      </c>
      <c r="AF372" s="128" t="s">
        <v>40</v>
      </c>
      <c r="AG372" s="128" t="s">
        <v>41</v>
      </c>
      <c r="AH372" s="108" t="s">
        <v>41</v>
      </c>
      <c r="AI372" s="128" t="s">
        <v>87</v>
      </c>
      <c r="AJ372" s="129" t="s">
        <v>89</v>
      </c>
      <c r="AK372" s="129">
        <v>8</v>
      </c>
      <c r="AL372" s="3" t="s">
        <v>992</v>
      </c>
      <c r="AN372" s="117">
        <v>6</v>
      </c>
      <c r="AP372" s="129" t="s">
        <v>43</v>
      </c>
      <c r="AR372" s="128" t="s">
        <v>44</v>
      </c>
      <c r="AS372" s="129" t="s">
        <v>45</v>
      </c>
      <c r="BC372" s="129" t="s">
        <v>52</v>
      </c>
      <c r="BF372" s="111">
        <f t="shared" si="299"/>
        <v>3</v>
      </c>
      <c r="BG372" s="111">
        <f t="shared" si="300"/>
        <v>174</v>
      </c>
      <c r="BH372" s="111">
        <f t="shared" si="260"/>
        <v>174</v>
      </c>
      <c r="BI372" s="111">
        <f t="shared" si="261"/>
        <v>41.874316939890711</v>
      </c>
      <c r="BJ372" s="129">
        <f>(G372-J372)+(M372-G372)</f>
        <v>0</v>
      </c>
      <c r="BK372" s="129">
        <f t="shared" si="262"/>
        <v>-171</v>
      </c>
      <c r="BL372" s="129" t="str">
        <f t="shared" si="263"/>
        <v>CONVICTION</v>
      </c>
      <c r="BM372" s="129" t="s">
        <v>76</v>
      </c>
      <c r="BN372" s="129" t="s">
        <v>88</v>
      </c>
      <c r="BP372" s="137" t="str">
        <f t="shared" si="269"/>
        <v>CONVICTION</v>
      </c>
      <c r="BQ372" s="128" t="str">
        <f t="shared" si="270"/>
        <v>Y</v>
      </c>
      <c r="BR372" s="129" t="str">
        <f>IF(J372&lt;G372,"ON BOND",0)</f>
        <v>ON BOND</v>
      </c>
      <c r="BS372" s="129" t="str">
        <f t="shared" si="272"/>
        <v>DISPOSED</v>
      </c>
      <c r="BT372" s="129" t="str">
        <f t="shared" si="273"/>
        <v>Y</v>
      </c>
      <c r="BU372" s="109">
        <f t="shared" si="274"/>
        <v>1.7241379310344827E-2</v>
      </c>
      <c r="BV372" s="109">
        <f t="shared" si="275"/>
        <v>1.7241379310344827E-2</v>
      </c>
      <c r="BW372" s="109">
        <f t="shared" si="294"/>
        <v>0</v>
      </c>
      <c r="BX372" s="111">
        <f t="shared" si="276"/>
        <v>0</v>
      </c>
      <c r="BY372" s="129">
        <f t="shared" si="277"/>
        <v>-3</v>
      </c>
      <c r="BZ372" s="111">
        <f t="shared" si="278"/>
        <v>0</v>
      </c>
      <c r="CA372" s="138">
        <f t="shared" si="279"/>
        <v>3</v>
      </c>
      <c r="CB372" s="111" t="e">
        <f t="shared" si="288"/>
        <v>#VALUE!</v>
      </c>
      <c r="CC372" s="129">
        <f>M372-I372+1</f>
        <v>3</v>
      </c>
      <c r="CD372" s="111">
        <f>CC372-BF372</f>
        <v>0</v>
      </c>
      <c r="CE372" s="129">
        <f t="shared" si="280"/>
        <v>171</v>
      </c>
      <c r="CG372" s="129" t="str">
        <f t="shared" si="281"/>
        <v>Y</v>
      </c>
      <c r="CI372" s="129" t="str">
        <f t="shared" si="282"/>
        <v>0-10 DAYS</v>
      </c>
      <c r="CJ372" s="137">
        <f t="shared" si="283"/>
        <v>1</v>
      </c>
      <c r="CK372" s="129" t="str">
        <f t="shared" si="284"/>
        <v>Booked</v>
      </c>
    </row>
    <row r="373" spans="1:89" ht="15" customHeight="1" x14ac:dyDescent="0.25">
      <c r="A373" s="111">
        <v>1810</v>
      </c>
      <c r="B373" s="128" t="str">
        <f t="shared" si="264"/>
        <v>Y</v>
      </c>
      <c r="C373" s="128" t="str">
        <f t="shared" si="265"/>
        <v>Y</v>
      </c>
      <c r="D373" s="117">
        <v>1042556</v>
      </c>
      <c r="E373" s="135">
        <f t="shared" si="266"/>
        <v>2</v>
      </c>
      <c r="F373" s="124">
        <v>40976</v>
      </c>
      <c r="G373" s="125">
        <v>41157</v>
      </c>
      <c r="H373" s="117">
        <v>1042556</v>
      </c>
      <c r="I373" s="124">
        <v>40976</v>
      </c>
      <c r="J373" s="124">
        <v>41140</v>
      </c>
      <c r="K373" s="126">
        <v>2000</v>
      </c>
      <c r="L373" s="127" t="s">
        <v>568</v>
      </c>
      <c r="M373" s="125">
        <v>41140</v>
      </c>
      <c r="N373" s="129" t="str">
        <f t="shared" si="301"/>
        <v>Y</v>
      </c>
      <c r="O373" s="128" t="s">
        <v>1408</v>
      </c>
      <c r="P373" s="129" t="s">
        <v>589</v>
      </c>
      <c r="Q373" s="111">
        <f t="shared" si="298"/>
        <v>165</v>
      </c>
      <c r="R373" s="111">
        <f t="shared" si="259"/>
        <v>182</v>
      </c>
      <c r="S373" s="129">
        <v>0</v>
      </c>
      <c r="T373" s="129">
        <v>8</v>
      </c>
      <c r="W373" s="111"/>
      <c r="AC373" s="130"/>
      <c r="AD373" s="130">
        <v>24529</v>
      </c>
      <c r="AE373" s="128" t="s">
        <v>32</v>
      </c>
      <c r="AF373" s="128" t="s">
        <v>69</v>
      </c>
      <c r="AG373" s="128" t="s">
        <v>874</v>
      </c>
      <c r="AH373" s="108" t="s">
        <v>58</v>
      </c>
      <c r="AI373" s="128" t="s">
        <v>53</v>
      </c>
      <c r="AJ373" s="129" t="s">
        <v>48</v>
      </c>
      <c r="AK373" s="129">
        <v>6</v>
      </c>
      <c r="AL373" s="3" t="s">
        <v>48</v>
      </c>
      <c r="AP373" s="129" t="s">
        <v>43</v>
      </c>
      <c r="AR373" s="128" t="s">
        <v>44</v>
      </c>
      <c r="AS373" s="129" t="s">
        <v>45</v>
      </c>
      <c r="AU373" s="3" t="s">
        <v>742</v>
      </c>
      <c r="AX373" s="32" t="s">
        <v>88</v>
      </c>
      <c r="BC373" s="129" t="s">
        <v>38</v>
      </c>
      <c r="BD373" s="129" t="s">
        <v>1284</v>
      </c>
      <c r="BF373" s="111">
        <v>165</v>
      </c>
      <c r="BG373" s="111">
        <f t="shared" si="300"/>
        <v>182</v>
      </c>
      <c r="BH373" s="111">
        <f t="shared" si="260"/>
        <v>182</v>
      </c>
      <c r="BI373" s="111">
        <f t="shared" si="261"/>
        <v>44.937158469945352</v>
      </c>
      <c r="BJ373" s="129">
        <f>(G373-J373)+(M373-G373)</f>
        <v>0</v>
      </c>
      <c r="BK373" s="129">
        <f t="shared" si="262"/>
        <v>-17</v>
      </c>
      <c r="BL373" s="129" t="str">
        <f t="shared" si="263"/>
        <v>DEFERRED</v>
      </c>
      <c r="BM373" s="129" t="s">
        <v>76</v>
      </c>
      <c r="BN373" s="129" t="s">
        <v>88</v>
      </c>
      <c r="BP373" s="137" t="str">
        <f t="shared" si="269"/>
        <v>DEFERRED</v>
      </c>
      <c r="BQ373" s="128" t="str">
        <f t="shared" si="270"/>
        <v>Y</v>
      </c>
      <c r="BR373" s="129" t="s">
        <v>575</v>
      </c>
      <c r="BS373" s="129" t="str">
        <f t="shared" si="272"/>
        <v>DISPOSED</v>
      </c>
      <c r="BT373" s="129" t="str">
        <f t="shared" si="273"/>
        <v>N</v>
      </c>
      <c r="BU373" s="109">
        <f t="shared" si="274"/>
        <v>0.90659340659340659</v>
      </c>
      <c r="BV373" s="109">
        <f t="shared" si="275"/>
        <v>0.90659340659340659</v>
      </c>
      <c r="BW373" s="109">
        <f t="shared" si="294"/>
        <v>0</v>
      </c>
      <c r="BX373" s="111">
        <f t="shared" si="276"/>
        <v>0</v>
      </c>
      <c r="BY373" s="129">
        <f t="shared" si="277"/>
        <v>-165</v>
      </c>
      <c r="BZ373" s="111">
        <f t="shared" si="278"/>
        <v>0</v>
      </c>
      <c r="CA373" s="138">
        <f t="shared" si="279"/>
        <v>165</v>
      </c>
      <c r="CB373" s="111" t="e">
        <f t="shared" si="288"/>
        <v>#VALUE!</v>
      </c>
      <c r="CD373" s="129">
        <f>G373-J373</f>
        <v>17</v>
      </c>
      <c r="CE373" s="129">
        <f t="shared" si="280"/>
        <v>17</v>
      </c>
      <c r="CG373" s="129" t="str">
        <f t="shared" si="281"/>
        <v>Y</v>
      </c>
      <c r="CI373" s="129" t="str">
        <f t="shared" si="282"/>
        <v>121-365 DAYS</v>
      </c>
      <c r="CJ373" s="137">
        <f t="shared" si="283"/>
        <v>6</v>
      </c>
      <c r="CK373" s="129" t="str">
        <f t="shared" si="284"/>
        <v>Booked</v>
      </c>
    </row>
    <row r="374" spans="1:89" ht="15.75" customHeight="1" x14ac:dyDescent="0.25">
      <c r="A374" s="111">
        <v>153</v>
      </c>
      <c r="B374" s="128" t="str">
        <f t="shared" si="264"/>
        <v>N</v>
      </c>
      <c r="C374" s="128" t="str">
        <f t="shared" si="265"/>
        <v>N</v>
      </c>
      <c r="D374" s="117">
        <v>1043185</v>
      </c>
      <c r="E374" s="135">
        <f t="shared" si="266"/>
        <v>3</v>
      </c>
      <c r="F374" s="124">
        <v>40915</v>
      </c>
      <c r="G374" s="125">
        <v>41163</v>
      </c>
      <c r="H374" s="117">
        <v>1043185</v>
      </c>
      <c r="I374" s="124">
        <v>41158</v>
      </c>
      <c r="J374" s="124">
        <v>41163</v>
      </c>
      <c r="K374" s="126">
        <v>10000</v>
      </c>
      <c r="L374" s="127" t="s">
        <v>570</v>
      </c>
      <c r="M374" s="125">
        <v>40940</v>
      </c>
      <c r="N374" s="129" t="str">
        <f t="shared" si="301"/>
        <v>Y</v>
      </c>
      <c r="O374" s="128" t="s">
        <v>585</v>
      </c>
      <c r="P374" s="129" t="s">
        <v>39</v>
      </c>
      <c r="Q374" s="111">
        <f t="shared" si="298"/>
        <v>6</v>
      </c>
      <c r="R374" s="111">
        <f t="shared" si="259"/>
        <v>249</v>
      </c>
      <c r="S374" s="129">
        <v>0</v>
      </c>
      <c r="T374" s="129">
        <v>5</v>
      </c>
      <c r="W374" s="111"/>
      <c r="AC374" s="130"/>
      <c r="AD374" s="130">
        <v>26287</v>
      </c>
      <c r="AE374" s="128" t="s">
        <v>32</v>
      </c>
      <c r="AF374" s="128" t="s">
        <v>69</v>
      </c>
      <c r="AG374" s="128" t="s">
        <v>874</v>
      </c>
      <c r="AH374" s="108" t="s">
        <v>58</v>
      </c>
      <c r="AI374" s="128" t="s">
        <v>141</v>
      </c>
      <c r="AJ374" s="129" t="s">
        <v>89</v>
      </c>
      <c r="AK374" s="129">
        <v>11</v>
      </c>
      <c r="AL374" s="3" t="s">
        <v>185</v>
      </c>
      <c r="AP374" s="129" t="s">
        <v>66</v>
      </c>
      <c r="AR374" s="128" t="s">
        <v>67</v>
      </c>
      <c r="AS374" s="129" t="s">
        <v>68</v>
      </c>
      <c r="BC374" s="129" t="s">
        <v>52</v>
      </c>
      <c r="BF374" s="111">
        <f t="shared" si="299"/>
        <v>6</v>
      </c>
      <c r="BG374" s="111">
        <f t="shared" si="300"/>
        <v>6</v>
      </c>
      <c r="BH374" s="111">
        <f t="shared" si="260"/>
        <v>249</v>
      </c>
      <c r="BI374" s="111">
        <f t="shared" si="261"/>
        <v>39.967213114754095</v>
      </c>
      <c r="BJ374" s="129">
        <f>G374-J374</f>
        <v>0</v>
      </c>
      <c r="BK374" s="129">
        <f t="shared" si="262"/>
        <v>0</v>
      </c>
      <c r="BL374" s="129" t="str">
        <f t="shared" si="263"/>
        <v>CONVICTION</v>
      </c>
      <c r="BM374" s="129" t="s">
        <v>76</v>
      </c>
      <c r="BN374" s="129" t="s">
        <v>88</v>
      </c>
      <c r="BP374" s="137" t="str">
        <f t="shared" si="269"/>
        <v>CONVICTION</v>
      </c>
      <c r="BQ374" s="128" t="str">
        <f t="shared" si="270"/>
        <v>Y</v>
      </c>
      <c r="BR374" s="129" t="s">
        <v>575</v>
      </c>
      <c r="BS374" s="129" t="str">
        <f t="shared" si="272"/>
        <v>DISPOSED</v>
      </c>
      <c r="BT374" s="129" t="str">
        <f t="shared" si="273"/>
        <v>N</v>
      </c>
      <c r="BU374" s="109">
        <f t="shared" si="274"/>
        <v>2.4096385542168676E-2</v>
      </c>
      <c r="BV374" s="109">
        <f t="shared" si="275"/>
        <v>1</v>
      </c>
      <c r="BW374" s="109">
        <f t="shared" si="294"/>
        <v>0.97590361445783136</v>
      </c>
      <c r="BX374" s="111">
        <f t="shared" si="276"/>
        <v>0</v>
      </c>
      <c r="BY374" s="129">
        <f t="shared" si="277"/>
        <v>-6</v>
      </c>
      <c r="BZ374" s="111">
        <f t="shared" si="278"/>
        <v>0</v>
      </c>
      <c r="CA374" s="138">
        <f t="shared" si="279"/>
        <v>-217</v>
      </c>
      <c r="CB374" s="111" t="e">
        <f t="shared" si="288"/>
        <v>#VALUE!</v>
      </c>
      <c r="CC374" s="129">
        <f>M374-I374+1</f>
        <v>-217</v>
      </c>
      <c r="CD374" s="111">
        <f>CC374-BF374</f>
        <v>-223</v>
      </c>
      <c r="CE374" s="129">
        <f t="shared" si="280"/>
        <v>0</v>
      </c>
      <c r="CG374" s="129" t="str">
        <f t="shared" si="281"/>
        <v>Y</v>
      </c>
      <c r="CI374" s="129" t="str">
        <f t="shared" si="282"/>
        <v>0-10 DAYS</v>
      </c>
      <c r="CJ374" s="137">
        <f t="shared" si="283"/>
        <v>1</v>
      </c>
      <c r="CK374" s="129" t="str">
        <f t="shared" si="284"/>
        <v>Booked</v>
      </c>
    </row>
    <row r="375" spans="1:89" ht="15.75" customHeight="1" x14ac:dyDescent="0.25">
      <c r="A375" s="111">
        <v>2586</v>
      </c>
      <c r="B375" s="128" t="str">
        <f t="shared" si="264"/>
        <v>N</v>
      </c>
      <c r="C375" s="128" t="str">
        <f t="shared" si="265"/>
        <v>N</v>
      </c>
      <c r="D375" s="117">
        <v>1045403</v>
      </c>
      <c r="E375" s="135">
        <f t="shared" si="266"/>
        <v>5</v>
      </c>
      <c r="F375" s="124">
        <v>41005</v>
      </c>
      <c r="G375" s="125">
        <v>41029</v>
      </c>
      <c r="H375" s="117">
        <v>1045403</v>
      </c>
      <c r="I375" s="124">
        <v>41005</v>
      </c>
      <c r="J375" s="124">
        <v>41029</v>
      </c>
      <c r="K375" s="126">
        <v>15000</v>
      </c>
      <c r="L375" s="127" t="s">
        <v>571</v>
      </c>
      <c r="N375" s="129" t="str">
        <f t="shared" si="301"/>
        <v>N</v>
      </c>
      <c r="O375" s="128" t="s">
        <v>917</v>
      </c>
      <c r="P375" s="129" t="s">
        <v>39</v>
      </c>
      <c r="Q375" s="111">
        <f t="shared" si="298"/>
        <v>25</v>
      </c>
      <c r="R375" s="111">
        <f t="shared" si="259"/>
        <v>25</v>
      </c>
      <c r="S375" s="129">
        <v>9</v>
      </c>
      <c r="T375" s="129">
        <v>5</v>
      </c>
      <c r="U375" s="129">
        <v>8</v>
      </c>
      <c r="W375" s="111"/>
      <c r="AC375" s="130"/>
      <c r="AD375" s="130">
        <v>26048</v>
      </c>
      <c r="AE375" s="128" t="s">
        <v>32</v>
      </c>
      <c r="AF375" s="128" t="s">
        <v>33</v>
      </c>
      <c r="AG375" s="128" t="s">
        <v>872</v>
      </c>
      <c r="AH375" s="108" t="s">
        <v>58</v>
      </c>
      <c r="AI375" s="128" t="s">
        <v>42</v>
      </c>
      <c r="AJ375" s="129" t="s">
        <v>89</v>
      </c>
      <c r="AK375" s="129">
        <v>3</v>
      </c>
      <c r="AL375" s="3" t="s">
        <v>992</v>
      </c>
      <c r="AN375" s="117">
        <v>7</v>
      </c>
      <c r="AP375" s="129" t="s">
        <v>43</v>
      </c>
      <c r="AR375" s="128" t="s">
        <v>44</v>
      </c>
      <c r="AS375" s="129" t="s">
        <v>45</v>
      </c>
      <c r="BC375" s="129" t="s">
        <v>38</v>
      </c>
      <c r="BF375" s="111">
        <f t="shared" si="299"/>
        <v>25</v>
      </c>
      <c r="BG375" s="111">
        <f t="shared" si="300"/>
        <v>25</v>
      </c>
      <c r="BH375" s="111">
        <f t="shared" si="260"/>
        <v>25</v>
      </c>
      <c r="BI375" s="111">
        <f t="shared" si="261"/>
        <v>40.866120218579233</v>
      </c>
      <c r="BJ375" s="129">
        <f t="shared" si="267"/>
        <v>0</v>
      </c>
      <c r="BK375" s="129">
        <f t="shared" si="262"/>
        <v>0</v>
      </c>
      <c r="BL375" s="129" t="str">
        <f t="shared" si="263"/>
        <v>CONVICTION</v>
      </c>
      <c r="BM375" s="129" t="str">
        <f t="shared" si="268"/>
        <v>NONE</v>
      </c>
      <c r="BN375" s="129" t="s">
        <v>566</v>
      </c>
      <c r="BP375" s="137" t="str">
        <f t="shared" si="269"/>
        <v>CONVICTION</v>
      </c>
      <c r="BQ375" s="128" t="str">
        <f t="shared" si="270"/>
        <v>Y</v>
      </c>
      <c r="BR375" s="129" t="str">
        <f t="shared" si="271"/>
        <v>DETAINED</v>
      </c>
      <c r="BS375" s="129" t="str">
        <f t="shared" si="272"/>
        <v>DISPOSED</v>
      </c>
      <c r="BT375" s="129" t="str">
        <f t="shared" si="273"/>
        <v>Y</v>
      </c>
      <c r="BU375" s="109">
        <f t="shared" si="274"/>
        <v>1</v>
      </c>
      <c r="BV375" s="109">
        <f t="shared" si="275"/>
        <v>1</v>
      </c>
      <c r="BW375" s="109">
        <f t="shared" si="294"/>
        <v>0</v>
      </c>
      <c r="BX375" s="111">
        <f t="shared" si="276"/>
        <v>0</v>
      </c>
      <c r="BY375" s="129">
        <f t="shared" si="277"/>
        <v>-25</v>
      </c>
      <c r="BZ375" s="111">
        <f t="shared" si="278"/>
        <v>0</v>
      </c>
      <c r="CA375" s="138">
        <f t="shared" si="279"/>
        <v>25</v>
      </c>
      <c r="CB375" s="111" t="e">
        <f t="shared" si="288"/>
        <v>#VALUE!</v>
      </c>
      <c r="CC375" s="129">
        <f>G375-I375+1</f>
        <v>25</v>
      </c>
      <c r="CD375" s="129">
        <f>G375-J375</f>
        <v>0</v>
      </c>
      <c r="CE375" s="129">
        <f t="shared" si="280"/>
        <v>0</v>
      </c>
      <c r="CG375" s="129" t="str">
        <f t="shared" si="281"/>
        <v>Y</v>
      </c>
      <c r="CI375" s="129" t="str">
        <f t="shared" si="282"/>
        <v>11-30 DAYS</v>
      </c>
      <c r="CJ375" s="137">
        <f t="shared" si="283"/>
        <v>2</v>
      </c>
      <c r="CK375" s="129" t="str">
        <f t="shared" si="284"/>
        <v>Booked</v>
      </c>
    </row>
    <row r="376" spans="1:89" ht="15.75" customHeight="1" x14ac:dyDescent="0.25">
      <c r="A376" s="111">
        <v>2539</v>
      </c>
      <c r="B376" s="128" t="str">
        <f t="shared" si="264"/>
        <v>N</v>
      </c>
      <c r="C376" s="128" t="str">
        <f t="shared" si="265"/>
        <v>N</v>
      </c>
      <c r="D376" s="117">
        <v>1046234</v>
      </c>
      <c r="E376" s="135">
        <f t="shared" si="266"/>
        <v>4</v>
      </c>
      <c r="F376" s="124">
        <v>41003</v>
      </c>
      <c r="G376" s="125">
        <v>41092</v>
      </c>
      <c r="H376" s="117">
        <v>1046234</v>
      </c>
      <c r="I376" s="124">
        <v>41004</v>
      </c>
      <c r="J376" s="124">
        <v>41092</v>
      </c>
      <c r="K376" s="126">
        <v>15000</v>
      </c>
      <c r="L376" s="127" t="s">
        <v>571</v>
      </c>
      <c r="N376" s="129" t="str">
        <f t="shared" si="301"/>
        <v>N</v>
      </c>
      <c r="O376" s="128" t="s">
        <v>917</v>
      </c>
      <c r="P376" s="129" t="s">
        <v>39</v>
      </c>
      <c r="Q376" s="111">
        <f t="shared" si="298"/>
        <v>89</v>
      </c>
      <c r="R376" s="111">
        <f t="shared" si="259"/>
        <v>90</v>
      </c>
      <c r="S376" s="129">
        <v>14</v>
      </c>
      <c r="T376" s="129">
        <v>6</v>
      </c>
      <c r="U376" s="129">
        <v>10</v>
      </c>
      <c r="V376" s="117">
        <v>1</v>
      </c>
      <c r="W376" s="111"/>
      <c r="AC376" s="130"/>
      <c r="AD376" s="130">
        <v>19687</v>
      </c>
      <c r="AE376" s="128" t="s">
        <v>32</v>
      </c>
      <c r="AF376" s="128" t="s">
        <v>33</v>
      </c>
      <c r="AG376" s="128" t="s">
        <v>872</v>
      </c>
      <c r="AH376" s="108" t="s">
        <v>58</v>
      </c>
      <c r="AI376" s="128" t="s">
        <v>53</v>
      </c>
      <c r="AJ376" s="129" t="s">
        <v>89</v>
      </c>
      <c r="AK376" s="129">
        <v>4</v>
      </c>
      <c r="AL376" s="3" t="s">
        <v>991</v>
      </c>
      <c r="AO376" s="128">
        <v>180</v>
      </c>
      <c r="AP376" s="129" t="s">
        <v>60</v>
      </c>
      <c r="AR376" s="128" t="s">
        <v>44</v>
      </c>
      <c r="AS376" s="129" t="s">
        <v>61</v>
      </c>
      <c r="AT376" s="129" t="s">
        <v>453</v>
      </c>
      <c r="BC376" s="129" t="s">
        <v>38</v>
      </c>
      <c r="BF376" s="111">
        <f t="shared" si="299"/>
        <v>89</v>
      </c>
      <c r="BG376" s="111">
        <f t="shared" si="300"/>
        <v>89</v>
      </c>
      <c r="BH376" s="111">
        <f t="shared" si="260"/>
        <v>90</v>
      </c>
      <c r="BI376" s="111">
        <f t="shared" si="261"/>
        <v>58.240437158469945</v>
      </c>
      <c r="BJ376" s="129">
        <f t="shared" si="267"/>
        <v>0</v>
      </c>
      <c r="BK376" s="129">
        <f t="shared" si="262"/>
        <v>0</v>
      </c>
      <c r="BL376" s="129" t="str">
        <f t="shared" si="263"/>
        <v>CONVICTION</v>
      </c>
      <c r="BM376" s="129" t="str">
        <f t="shared" si="268"/>
        <v>NONE</v>
      </c>
      <c r="BN376" s="129" t="s">
        <v>566</v>
      </c>
      <c r="BP376" s="137" t="str">
        <f t="shared" si="269"/>
        <v>CONVICTION</v>
      </c>
      <c r="BQ376" s="128" t="str">
        <f t="shared" si="270"/>
        <v>Y</v>
      </c>
      <c r="BR376" s="129" t="str">
        <f t="shared" si="271"/>
        <v>DETAINED</v>
      </c>
      <c r="BS376" s="129" t="str">
        <f t="shared" si="272"/>
        <v>DISPOSED</v>
      </c>
      <c r="BT376" s="129" t="str">
        <f t="shared" si="273"/>
        <v>Y</v>
      </c>
      <c r="BU376" s="109">
        <f t="shared" si="274"/>
        <v>0.98888888888888893</v>
      </c>
      <c r="BV376" s="109">
        <f t="shared" si="275"/>
        <v>1</v>
      </c>
      <c r="BW376" s="109">
        <f t="shared" si="294"/>
        <v>1.1111111111111072E-2</v>
      </c>
      <c r="BX376" s="111">
        <f t="shared" si="276"/>
        <v>0</v>
      </c>
      <c r="BY376" s="129">
        <f t="shared" si="277"/>
        <v>-89</v>
      </c>
      <c r="BZ376" s="111">
        <f t="shared" si="278"/>
        <v>0</v>
      </c>
      <c r="CA376" s="138">
        <f t="shared" si="279"/>
        <v>89</v>
      </c>
      <c r="CB376" s="111" t="e">
        <f t="shared" si="288"/>
        <v>#VALUE!</v>
      </c>
      <c r="CC376" s="129">
        <f>G376-I376+1</f>
        <v>89</v>
      </c>
      <c r="CD376" s="129">
        <f>G376-J376</f>
        <v>0</v>
      </c>
      <c r="CE376" s="129">
        <f t="shared" si="280"/>
        <v>0</v>
      </c>
      <c r="CG376" s="129" t="str">
        <f t="shared" si="281"/>
        <v>Y</v>
      </c>
      <c r="CI376" s="129" t="str">
        <f t="shared" si="282"/>
        <v>61-90 DAYS</v>
      </c>
      <c r="CJ376" s="137">
        <f t="shared" si="283"/>
        <v>4</v>
      </c>
      <c r="CK376" s="129" t="str">
        <f t="shared" si="284"/>
        <v>Booked</v>
      </c>
    </row>
    <row r="377" spans="1:89" ht="15.75" customHeight="1" x14ac:dyDescent="0.25">
      <c r="A377" s="111">
        <v>1275</v>
      </c>
      <c r="B377" s="128" t="str">
        <f t="shared" si="264"/>
        <v>N</v>
      </c>
      <c r="C377" s="128" t="str">
        <f t="shared" si="265"/>
        <v>N</v>
      </c>
      <c r="D377" s="117">
        <v>1048991</v>
      </c>
      <c r="E377" s="135">
        <f t="shared" si="266"/>
        <v>2</v>
      </c>
      <c r="F377" s="124">
        <v>40955</v>
      </c>
      <c r="G377" s="125">
        <v>41031</v>
      </c>
      <c r="H377" s="117">
        <v>1048991</v>
      </c>
      <c r="I377" s="124">
        <v>40956</v>
      </c>
      <c r="J377" s="124">
        <v>40957</v>
      </c>
      <c r="K377" s="126">
        <v>15000</v>
      </c>
      <c r="L377" s="127" t="s">
        <v>571</v>
      </c>
      <c r="M377" s="125">
        <v>40957</v>
      </c>
      <c r="N377" s="129" t="str">
        <f t="shared" si="301"/>
        <v>Y</v>
      </c>
      <c r="O377" s="128" t="s">
        <v>76</v>
      </c>
      <c r="P377" s="129" t="s">
        <v>589</v>
      </c>
      <c r="Q377" s="111">
        <f t="shared" si="298"/>
        <v>2</v>
      </c>
      <c r="R377" s="111">
        <f t="shared" si="259"/>
        <v>77</v>
      </c>
      <c r="S377" s="129">
        <v>5</v>
      </c>
      <c r="T377" s="129">
        <v>1</v>
      </c>
      <c r="U377" s="129">
        <v>1</v>
      </c>
      <c r="W377" s="111"/>
      <c r="AC377" s="130"/>
      <c r="AD377" s="130">
        <v>21768</v>
      </c>
      <c r="AE377" s="128" t="s">
        <v>46</v>
      </c>
      <c r="AF377" s="128" t="s">
        <v>40</v>
      </c>
      <c r="AG377" s="128" t="s">
        <v>41</v>
      </c>
      <c r="AH377" s="108" t="s">
        <v>41</v>
      </c>
      <c r="AI377" s="128" t="s">
        <v>65</v>
      </c>
      <c r="AJ377" s="129" t="s">
        <v>48</v>
      </c>
      <c r="AK377" s="129">
        <v>4</v>
      </c>
      <c r="AL377" s="3" t="s">
        <v>48</v>
      </c>
      <c r="AP377" s="129" t="s">
        <v>43</v>
      </c>
      <c r="AR377" s="128" t="s">
        <v>44</v>
      </c>
      <c r="AS377" s="129" t="s">
        <v>45</v>
      </c>
      <c r="BC377" s="129" t="s">
        <v>52</v>
      </c>
      <c r="BF377" s="111">
        <f t="shared" si="299"/>
        <v>2</v>
      </c>
      <c r="BG377" s="111">
        <f t="shared" si="300"/>
        <v>76</v>
      </c>
      <c r="BH377" s="111">
        <f t="shared" si="260"/>
        <v>77</v>
      </c>
      <c r="BI377" s="111">
        <f t="shared" si="261"/>
        <v>52.423497267759565</v>
      </c>
      <c r="BJ377" s="129">
        <f>(G377-J377)+(M377-G377)</f>
        <v>0</v>
      </c>
      <c r="BK377" s="129">
        <f t="shared" si="262"/>
        <v>-74</v>
      </c>
      <c r="BL377" s="129" t="str">
        <f t="shared" si="263"/>
        <v>DEFERRED</v>
      </c>
      <c r="BM377" s="129" t="s">
        <v>76</v>
      </c>
      <c r="BN377" s="129" t="s">
        <v>88</v>
      </c>
      <c r="BP377" s="137" t="str">
        <f t="shared" si="269"/>
        <v>DEFERRED</v>
      </c>
      <c r="BQ377" s="128" t="str">
        <f t="shared" si="270"/>
        <v>Y</v>
      </c>
      <c r="BR377" s="129" t="str">
        <f t="shared" si="271"/>
        <v>ON BOND</v>
      </c>
      <c r="BS377" s="129" t="str">
        <f t="shared" si="272"/>
        <v>DISPOSED</v>
      </c>
      <c r="BT377" s="129" t="str">
        <f t="shared" si="273"/>
        <v>Y</v>
      </c>
      <c r="BU377" s="109">
        <f t="shared" si="274"/>
        <v>2.5974025974025976E-2</v>
      </c>
      <c r="BV377" s="109">
        <f t="shared" si="275"/>
        <v>2.6315789473684209E-2</v>
      </c>
      <c r="BW377" s="109">
        <f t="shared" si="294"/>
        <v>3.4176349965823333E-4</v>
      </c>
      <c r="BX377" s="111">
        <f t="shared" si="276"/>
        <v>0</v>
      </c>
      <c r="BY377" s="129">
        <f t="shared" si="277"/>
        <v>-2</v>
      </c>
      <c r="BZ377" s="111">
        <f t="shared" si="278"/>
        <v>0</v>
      </c>
      <c r="CA377" s="138">
        <f t="shared" si="279"/>
        <v>2</v>
      </c>
      <c r="CB377" s="111" t="e">
        <f t="shared" si="288"/>
        <v>#VALUE!</v>
      </c>
      <c r="CC377" s="129">
        <f>M377-I377+1</f>
        <v>2</v>
      </c>
      <c r="CD377" s="111">
        <f>CC377-BF377</f>
        <v>0</v>
      </c>
      <c r="CE377" s="129">
        <f t="shared" si="280"/>
        <v>74</v>
      </c>
      <c r="CG377" s="129" t="str">
        <f t="shared" si="281"/>
        <v>Y</v>
      </c>
      <c r="CI377" s="129" t="str">
        <f t="shared" si="282"/>
        <v>0-10 DAYS</v>
      </c>
      <c r="CJ377" s="137">
        <f t="shared" si="283"/>
        <v>1</v>
      </c>
      <c r="CK377" s="129" t="str">
        <f t="shared" si="284"/>
        <v>Booked</v>
      </c>
    </row>
    <row r="378" spans="1:89" ht="15" customHeight="1" x14ac:dyDescent="0.25">
      <c r="A378" s="111">
        <v>41</v>
      </c>
      <c r="B378" s="128" t="str">
        <f t="shared" si="264"/>
        <v>N</v>
      </c>
      <c r="C378" s="128" t="str">
        <f t="shared" si="265"/>
        <v>N</v>
      </c>
      <c r="D378" s="117">
        <v>1049429</v>
      </c>
      <c r="E378" s="135">
        <f t="shared" si="266"/>
        <v>4</v>
      </c>
      <c r="F378" s="124">
        <v>40911</v>
      </c>
      <c r="G378" s="125">
        <v>41129</v>
      </c>
      <c r="H378" s="117">
        <v>1049429</v>
      </c>
      <c r="I378" s="124">
        <v>41106</v>
      </c>
      <c r="J378" s="124">
        <v>41129</v>
      </c>
      <c r="K378" s="126">
        <v>5000</v>
      </c>
      <c r="L378" s="127" t="s">
        <v>569</v>
      </c>
      <c r="N378" s="129" t="str">
        <f t="shared" si="301"/>
        <v>N</v>
      </c>
      <c r="O378" s="128" t="s">
        <v>917</v>
      </c>
      <c r="P378" s="129" t="s">
        <v>39</v>
      </c>
      <c r="Q378" s="111">
        <f t="shared" si="298"/>
        <v>24</v>
      </c>
      <c r="R378" s="111">
        <f t="shared" si="259"/>
        <v>219</v>
      </c>
      <c r="S378" s="129">
        <v>2</v>
      </c>
      <c r="T378" s="129">
        <v>5</v>
      </c>
      <c r="U378" s="129">
        <v>2</v>
      </c>
      <c r="W378" s="111"/>
      <c r="AC378" s="130"/>
      <c r="AD378" s="130">
        <v>24149</v>
      </c>
      <c r="AE378" s="128" t="s">
        <v>32</v>
      </c>
      <c r="AF378" s="128" t="s">
        <v>33</v>
      </c>
      <c r="AG378" s="128" t="s">
        <v>872</v>
      </c>
      <c r="AH378" s="108" t="s">
        <v>31</v>
      </c>
      <c r="AI378" s="128" t="s">
        <v>87</v>
      </c>
      <c r="AJ378" s="129" t="s">
        <v>89</v>
      </c>
      <c r="AK378" s="129">
        <v>3</v>
      </c>
      <c r="AL378" s="3" t="s">
        <v>991</v>
      </c>
      <c r="AO378" s="128">
        <v>40</v>
      </c>
      <c r="AP378" s="129" t="s">
        <v>108</v>
      </c>
      <c r="AR378" s="128" t="s">
        <v>44</v>
      </c>
      <c r="AS378" s="129" t="s">
        <v>61</v>
      </c>
      <c r="BC378" s="129" t="s">
        <v>38</v>
      </c>
      <c r="BF378" s="111">
        <f t="shared" si="299"/>
        <v>24</v>
      </c>
      <c r="BG378" s="111">
        <f t="shared" si="300"/>
        <v>24</v>
      </c>
      <c r="BH378" s="111">
        <f t="shared" si="260"/>
        <v>219</v>
      </c>
      <c r="BI378" s="111">
        <f t="shared" si="261"/>
        <v>45.797814207650276</v>
      </c>
      <c r="BJ378" s="129">
        <f t="shared" si="267"/>
        <v>0</v>
      </c>
      <c r="BK378" s="129">
        <f t="shared" si="262"/>
        <v>0</v>
      </c>
      <c r="BL378" s="129" t="str">
        <f t="shared" si="263"/>
        <v>CONVICTION</v>
      </c>
      <c r="BM378" s="129" t="str">
        <f t="shared" si="268"/>
        <v>NONE</v>
      </c>
      <c r="BN378" s="129" t="s">
        <v>566</v>
      </c>
      <c r="BP378" s="137" t="str">
        <f t="shared" si="269"/>
        <v>CONVICTION</v>
      </c>
      <c r="BQ378" s="128" t="str">
        <f t="shared" si="270"/>
        <v>Y</v>
      </c>
      <c r="BR378" s="129" t="str">
        <f t="shared" si="271"/>
        <v>DETAINED</v>
      </c>
      <c r="BS378" s="129" t="str">
        <f t="shared" si="272"/>
        <v>DISPOSED</v>
      </c>
      <c r="BT378" s="129" t="str">
        <f t="shared" si="273"/>
        <v>Y</v>
      </c>
      <c r="BU378" s="109">
        <f t="shared" si="274"/>
        <v>0.1095890410958904</v>
      </c>
      <c r="BV378" s="109">
        <f t="shared" si="275"/>
        <v>1</v>
      </c>
      <c r="BW378" s="109">
        <f t="shared" si="294"/>
        <v>0.8904109589041096</v>
      </c>
      <c r="BX378" s="111">
        <f t="shared" si="276"/>
        <v>0</v>
      </c>
      <c r="BY378" s="129">
        <f t="shared" si="277"/>
        <v>-24</v>
      </c>
      <c r="BZ378" s="111">
        <f t="shared" si="278"/>
        <v>0</v>
      </c>
      <c r="CA378" s="138">
        <f t="shared" si="279"/>
        <v>24</v>
      </c>
      <c r="CB378" s="111" t="e">
        <f t="shared" si="288"/>
        <v>#VALUE!</v>
      </c>
      <c r="CC378" s="129">
        <f>G378-I378+1</f>
        <v>24</v>
      </c>
      <c r="CD378" s="129">
        <f>G378-J378</f>
        <v>0</v>
      </c>
      <c r="CE378" s="129">
        <f t="shared" si="280"/>
        <v>0</v>
      </c>
      <c r="CG378" s="129" t="str">
        <f t="shared" si="281"/>
        <v>Y</v>
      </c>
      <c r="CI378" s="129" t="str">
        <f t="shared" si="282"/>
        <v>11-30 DAYS</v>
      </c>
      <c r="CJ378" s="137">
        <f t="shared" si="283"/>
        <v>2</v>
      </c>
      <c r="CK378" s="129" t="str">
        <f t="shared" si="284"/>
        <v>Booked</v>
      </c>
    </row>
    <row r="379" spans="1:89" ht="15" customHeight="1" x14ac:dyDescent="0.25">
      <c r="A379" s="111">
        <v>509</v>
      </c>
      <c r="B379" s="128" t="str">
        <f t="shared" si="264"/>
        <v>N</v>
      </c>
      <c r="C379" s="128" t="str">
        <f t="shared" si="265"/>
        <v>N</v>
      </c>
      <c r="D379" s="117">
        <v>1053364</v>
      </c>
      <c r="E379" s="135">
        <f t="shared" si="266"/>
        <v>4</v>
      </c>
      <c r="F379" s="124">
        <v>40929</v>
      </c>
      <c r="G379" s="125">
        <v>41106</v>
      </c>
      <c r="H379" s="117">
        <v>1053364</v>
      </c>
      <c r="I379" s="124">
        <v>41079</v>
      </c>
      <c r="J379" s="124">
        <v>41106</v>
      </c>
      <c r="K379" s="126">
        <v>5000</v>
      </c>
      <c r="L379" s="127" t="s">
        <v>569</v>
      </c>
      <c r="M379" s="125">
        <v>40930</v>
      </c>
      <c r="N379" s="129" t="str">
        <f t="shared" si="301"/>
        <v>Y</v>
      </c>
      <c r="O379" s="128" t="s">
        <v>76</v>
      </c>
      <c r="P379" s="129" t="s">
        <v>39</v>
      </c>
      <c r="Q379" s="111">
        <f t="shared" si="298"/>
        <v>28</v>
      </c>
      <c r="R379" s="111">
        <f t="shared" si="259"/>
        <v>178</v>
      </c>
      <c r="S379" s="129">
        <v>1</v>
      </c>
      <c r="T379" s="129">
        <v>1</v>
      </c>
      <c r="W379" s="111"/>
      <c r="AC379" s="130"/>
      <c r="AD379" s="130">
        <v>26442</v>
      </c>
      <c r="AE379" s="128" t="s">
        <v>32</v>
      </c>
      <c r="AF379" s="128" t="s">
        <v>69</v>
      </c>
      <c r="AG379" s="128" t="s">
        <v>874</v>
      </c>
      <c r="AH379" s="108" t="s">
        <v>31</v>
      </c>
      <c r="AI379" s="128" t="s">
        <v>118</v>
      </c>
      <c r="AJ379" s="129" t="s">
        <v>89</v>
      </c>
      <c r="AK379" s="129">
        <v>8</v>
      </c>
      <c r="AL379" s="3" t="s">
        <v>991</v>
      </c>
      <c r="AO379" s="128">
        <v>180</v>
      </c>
      <c r="AP379" s="129" t="s">
        <v>43</v>
      </c>
      <c r="AR379" s="128" t="s">
        <v>44</v>
      </c>
      <c r="AS379" s="129" t="s">
        <v>45</v>
      </c>
      <c r="BC379" s="129" t="s">
        <v>38</v>
      </c>
      <c r="BF379" s="111">
        <f t="shared" si="299"/>
        <v>28</v>
      </c>
      <c r="BG379" s="111">
        <f t="shared" si="300"/>
        <v>28</v>
      </c>
      <c r="BH379" s="111">
        <f t="shared" si="260"/>
        <v>178</v>
      </c>
      <c r="BI379" s="111">
        <f t="shared" si="261"/>
        <v>39.581967213114751</v>
      </c>
      <c r="BJ379" s="129">
        <f>G379-J379</f>
        <v>0</v>
      </c>
      <c r="BK379" s="129">
        <f t="shared" si="262"/>
        <v>0</v>
      </c>
      <c r="BL379" s="129" t="str">
        <f t="shared" si="263"/>
        <v>CONVICTION</v>
      </c>
      <c r="BM379" s="129" t="s">
        <v>76</v>
      </c>
      <c r="BN379" s="129" t="s">
        <v>88</v>
      </c>
      <c r="BP379" s="137" t="str">
        <f t="shared" si="269"/>
        <v>CONVICTION</v>
      </c>
      <c r="BQ379" s="128" t="str">
        <f t="shared" si="270"/>
        <v>Y</v>
      </c>
      <c r="BR379" s="129" t="s">
        <v>575</v>
      </c>
      <c r="BS379" s="129" t="str">
        <f t="shared" si="272"/>
        <v>DISPOSED</v>
      </c>
      <c r="BT379" s="129" t="str">
        <f t="shared" si="273"/>
        <v>Y</v>
      </c>
      <c r="BU379" s="109">
        <f t="shared" si="274"/>
        <v>0.15730337078651685</v>
      </c>
      <c r="BV379" s="109">
        <f t="shared" si="275"/>
        <v>1</v>
      </c>
      <c r="BW379" s="109">
        <f t="shared" si="294"/>
        <v>0.84269662921348321</v>
      </c>
      <c r="BX379" s="111">
        <f t="shared" si="276"/>
        <v>0</v>
      </c>
      <c r="BY379" s="129">
        <f t="shared" si="277"/>
        <v>-28</v>
      </c>
      <c r="BZ379" s="111">
        <f t="shared" si="278"/>
        <v>0</v>
      </c>
      <c r="CA379" s="138">
        <f t="shared" si="279"/>
        <v>-148</v>
      </c>
      <c r="CB379" s="111" t="e">
        <f t="shared" si="288"/>
        <v>#VALUE!</v>
      </c>
      <c r="CC379" s="129">
        <f>M379-I379+1</f>
        <v>-148</v>
      </c>
      <c r="CD379" s="111">
        <f>CC379-BF379</f>
        <v>-176</v>
      </c>
      <c r="CE379" s="129">
        <f t="shared" si="280"/>
        <v>0</v>
      </c>
      <c r="CG379" s="129" t="str">
        <f t="shared" si="281"/>
        <v>Y</v>
      </c>
      <c r="CI379" s="129" t="str">
        <f t="shared" si="282"/>
        <v>11-30 DAYS</v>
      </c>
      <c r="CJ379" s="137">
        <f t="shared" si="283"/>
        <v>2</v>
      </c>
      <c r="CK379" s="129" t="str">
        <f t="shared" si="284"/>
        <v>Booked</v>
      </c>
    </row>
    <row r="380" spans="1:89" ht="15.75" customHeight="1" x14ac:dyDescent="0.25">
      <c r="A380" s="111">
        <v>939</v>
      </c>
      <c r="B380" s="128" t="str">
        <f t="shared" si="264"/>
        <v>N</v>
      </c>
      <c r="C380" s="128" t="str">
        <f t="shared" si="265"/>
        <v>N</v>
      </c>
      <c r="D380" s="117">
        <v>1057996</v>
      </c>
      <c r="E380" s="135">
        <f t="shared" si="266"/>
        <v>5</v>
      </c>
      <c r="F380" s="124">
        <v>40943</v>
      </c>
      <c r="G380" s="125">
        <v>40945</v>
      </c>
      <c r="H380" s="117">
        <v>1057996</v>
      </c>
      <c r="I380" s="124">
        <v>40943</v>
      </c>
      <c r="J380" s="124">
        <v>40945</v>
      </c>
      <c r="K380" s="126">
        <v>15000</v>
      </c>
      <c r="L380" s="127" t="s">
        <v>571</v>
      </c>
      <c r="N380" s="129" t="str">
        <f t="shared" si="301"/>
        <v>N</v>
      </c>
      <c r="O380" s="128" t="s">
        <v>917</v>
      </c>
      <c r="P380" s="129" t="s">
        <v>39</v>
      </c>
      <c r="Q380" s="111">
        <f t="shared" si="298"/>
        <v>3</v>
      </c>
      <c r="R380" s="111">
        <f t="shared" si="259"/>
        <v>3</v>
      </c>
      <c r="S380" s="129">
        <v>9</v>
      </c>
      <c r="T380" s="129">
        <v>4</v>
      </c>
      <c r="U380" s="129">
        <v>4</v>
      </c>
      <c r="W380" s="111"/>
      <c r="AC380" s="130"/>
      <c r="AD380" s="130">
        <v>23703</v>
      </c>
      <c r="AE380" s="128" t="s">
        <v>46</v>
      </c>
      <c r="AF380" s="128" t="s">
        <v>33</v>
      </c>
      <c r="AG380" s="128" t="s">
        <v>872</v>
      </c>
      <c r="AH380" s="108" t="s">
        <v>58</v>
      </c>
      <c r="AI380" s="128" t="s">
        <v>85</v>
      </c>
      <c r="AJ380" s="129" t="s">
        <v>89</v>
      </c>
      <c r="AK380" s="129">
        <v>1</v>
      </c>
      <c r="AL380" s="3" t="s">
        <v>992</v>
      </c>
      <c r="AN380" s="117">
        <v>6</v>
      </c>
      <c r="AP380" s="129" t="s">
        <v>43</v>
      </c>
      <c r="AR380" s="128" t="s">
        <v>44</v>
      </c>
      <c r="AS380" s="129" t="s">
        <v>45</v>
      </c>
      <c r="BC380" s="129" t="s">
        <v>38</v>
      </c>
      <c r="BF380" s="111">
        <f t="shared" si="299"/>
        <v>3</v>
      </c>
      <c r="BG380" s="111">
        <f t="shared" si="300"/>
        <v>3</v>
      </c>
      <c r="BH380" s="111">
        <f t="shared" si="260"/>
        <v>3</v>
      </c>
      <c r="BI380" s="111">
        <f t="shared" si="261"/>
        <v>47.103825136612024</v>
      </c>
      <c r="BJ380" s="129">
        <f t="shared" si="267"/>
        <v>0</v>
      </c>
      <c r="BK380" s="129">
        <f t="shared" si="262"/>
        <v>0</v>
      </c>
      <c r="BL380" s="129" t="str">
        <f t="shared" si="263"/>
        <v>CONVICTION</v>
      </c>
      <c r="BM380" s="129" t="str">
        <f t="shared" si="268"/>
        <v>NONE</v>
      </c>
      <c r="BN380" s="129" t="s">
        <v>566</v>
      </c>
      <c r="BP380" s="137" t="str">
        <f t="shared" si="269"/>
        <v>CONVICTION</v>
      </c>
      <c r="BQ380" s="128" t="str">
        <f t="shared" si="270"/>
        <v>Y</v>
      </c>
      <c r="BR380" s="129" t="str">
        <f t="shared" si="271"/>
        <v>DETAINED</v>
      </c>
      <c r="BS380" s="129" t="str">
        <f t="shared" si="272"/>
        <v>DISPOSED</v>
      </c>
      <c r="BT380" s="129" t="str">
        <f t="shared" si="273"/>
        <v>Y</v>
      </c>
      <c r="BU380" s="109">
        <f t="shared" si="274"/>
        <v>1</v>
      </c>
      <c r="BV380" s="109">
        <f t="shared" si="275"/>
        <v>1</v>
      </c>
      <c r="BW380" s="109">
        <f t="shared" si="294"/>
        <v>0</v>
      </c>
      <c r="BX380" s="111">
        <f t="shared" si="276"/>
        <v>0</v>
      </c>
      <c r="BY380" s="129">
        <f t="shared" si="277"/>
        <v>-3</v>
      </c>
      <c r="BZ380" s="111">
        <f t="shared" si="278"/>
        <v>0</v>
      </c>
      <c r="CA380" s="138">
        <f t="shared" si="279"/>
        <v>3</v>
      </c>
      <c r="CB380" s="111" t="e">
        <f t="shared" si="288"/>
        <v>#VALUE!</v>
      </c>
      <c r="CC380" s="129">
        <f t="shared" ref="CC380:CC390" si="302">G380-I380+1</f>
        <v>3</v>
      </c>
      <c r="CD380" s="129">
        <f t="shared" ref="CD380:CD390" si="303">G380-J380</f>
        <v>0</v>
      </c>
      <c r="CE380" s="129">
        <f t="shared" si="280"/>
        <v>0</v>
      </c>
      <c r="CG380" s="129" t="str">
        <f t="shared" si="281"/>
        <v>Y</v>
      </c>
      <c r="CI380" s="129" t="str">
        <f t="shared" si="282"/>
        <v>0-10 DAYS</v>
      </c>
      <c r="CJ380" s="137">
        <f t="shared" si="283"/>
        <v>1</v>
      </c>
      <c r="CK380" s="129" t="str">
        <f t="shared" si="284"/>
        <v>Booked</v>
      </c>
    </row>
    <row r="381" spans="1:89" ht="15" customHeight="1" x14ac:dyDescent="0.25">
      <c r="A381" s="111">
        <v>1263</v>
      </c>
      <c r="B381" s="128" t="str">
        <f t="shared" si="264"/>
        <v>N</v>
      </c>
      <c r="C381" s="128" t="str">
        <f t="shared" si="265"/>
        <v>N</v>
      </c>
      <c r="D381" s="117">
        <v>1059071</v>
      </c>
      <c r="E381" s="135">
        <f t="shared" si="266"/>
        <v>4</v>
      </c>
      <c r="F381" s="124">
        <v>40955</v>
      </c>
      <c r="G381" s="125">
        <v>41024</v>
      </c>
      <c r="H381" s="117">
        <v>1059071</v>
      </c>
      <c r="I381" s="124">
        <v>40955</v>
      </c>
      <c r="J381" s="124">
        <v>41024</v>
      </c>
      <c r="K381" s="126">
        <v>20000</v>
      </c>
      <c r="L381" s="127" t="s">
        <v>571</v>
      </c>
      <c r="N381" s="129" t="str">
        <f t="shared" si="301"/>
        <v>N</v>
      </c>
      <c r="O381" s="128" t="s">
        <v>917</v>
      </c>
      <c r="P381" s="129" t="s">
        <v>39</v>
      </c>
      <c r="Q381" s="111">
        <f t="shared" si="298"/>
        <v>70</v>
      </c>
      <c r="R381" s="111">
        <f t="shared" si="259"/>
        <v>70</v>
      </c>
      <c r="S381" s="129">
        <v>1</v>
      </c>
      <c r="T381" s="129">
        <v>5</v>
      </c>
      <c r="U381" s="129">
        <v>1</v>
      </c>
      <c r="W381" s="111"/>
      <c r="AC381" s="130"/>
      <c r="AD381" s="130">
        <v>24877</v>
      </c>
      <c r="AE381" s="128" t="s">
        <v>32</v>
      </c>
      <c r="AF381" s="128" t="s">
        <v>69</v>
      </c>
      <c r="AG381" s="128" t="s">
        <v>874</v>
      </c>
      <c r="AH381" s="108" t="s">
        <v>58</v>
      </c>
      <c r="AI381" s="128" t="s">
        <v>85</v>
      </c>
      <c r="AJ381" s="129" t="s">
        <v>89</v>
      </c>
      <c r="AK381" s="129">
        <v>4</v>
      </c>
      <c r="AL381" s="3" t="s">
        <v>991</v>
      </c>
      <c r="AO381" s="128">
        <v>120</v>
      </c>
      <c r="AP381" s="129" t="s">
        <v>197</v>
      </c>
      <c r="AR381" s="128" t="s">
        <v>44</v>
      </c>
      <c r="AS381" s="129" t="s">
        <v>61</v>
      </c>
      <c r="BC381" s="129" t="s">
        <v>52</v>
      </c>
      <c r="BF381" s="111">
        <f t="shared" si="299"/>
        <v>70</v>
      </c>
      <c r="BG381" s="111">
        <f t="shared" si="300"/>
        <v>70</v>
      </c>
      <c r="BH381" s="111">
        <f t="shared" si="260"/>
        <v>70</v>
      </c>
      <c r="BI381" s="111">
        <f t="shared" si="261"/>
        <v>43.928961748633881</v>
      </c>
      <c r="BJ381" s="129">
        <f t="shared" si="267"/>
        <v>0</v>
      </c>
      <c r="BK381" s="129">
        <f t="shared" si="262"/>
        <v>0</v>
      </c>
      <c r="BL381" s="129" t="str">
        <f t="shared" si="263"/>
        <v>CONVICTION</v>
      </c>
      <c r="BM381" s="129" t="str">
        <f t="shared" si="268"/>
        <v>NONE</v>
      </c>
      <c r="BN381" s="129" t="s">
        <v>566</v>
      </c>
      <c r="BP381" s="137" t="str">
        <f t="shared" si="269"/>
        <v>CONVICTION</v>
      </c>
      <c r="BQ381" s="128" t="str">
        <f t="shared" si="270"/>
        <v>Y</v>
      </c>
      <c r="BR381" s="129" t="str">
        <f t="shared" si="271"/>
        <v>DETAINED</v>
      </c>
      <c r="BS381" s="129" t="str">
        <f t="shared" si="272"/>
        <v>DISPOSED</v>
      </c>
      <c r="BT381" s="129" t="str">
        <f t="shared" si="273"/>
        <v>Y</v>
      </c>
      <c r="BU381" s="109">
        <f t="shared" si="274"/>
        <v>1</v>
      </c>
      <c r="BV381" s="109">
        <f t="shared" si="275"/>
        <v>1</v>
      </c>
      <c r="BW381" s="109">
        <f t="shared" si="294"/>
        <v>0</v>
      </c>
      <c r="BX381" s="111">
        <f t="shared" si="276"/>
        <v>0</v>
      </c>
      <c r="BY381" s="129">
        <f t="shared" si="277"/>
        <v>-70</v>
      </c>
      <c r="BZ381" s="111">
        <f t="shared" si="278"/>
        <v>0</v>
      </c>
      <c r="CA381" s="138">
        <f t="shared" si="279"/>
        <v>70</v>
      </c>
      <c r="CB381" s="111" t="e">
        <f t="shared" si="288"/>
        <v>#VALUE!</v>
      </c>
      <c r="CC381" s="129">
        <f t="shared" si="302"/>
        <v>70</v>
      </c>
      <c r="CD381" s="129">
        <f t="shared" si="303"/>
        <v>0</v>
      </c>
      <c r="CE381" s="129">
        <f t="shared" si="280"/>
        <v>0</v>
      </c>
      <c r="CG381" s="129" t="str">
        <f t="shared" si="281"/>
        <v>Y</v>
      </c>
      <c r="CI381" s="129" t="str">
        <f t="shared" si="282"/>
        <v>61-90 DAYS</v>
      </c>
      <c r="CJ381" s="137">
        <f t="shared" si="283"/>
        <v>4</v>
      </c>
      <c r="CK381" s="129" t="str">
        <f t="shared" si="284"/>
        <v>Booked</v>
      </c>
    </row>
    <row r="382" spans="1:89" ht="15" customHeight="1" x14ac:dyDescent="0.25">
      <c r="A382" s="111">
        <v>2900</v>
      </c>
      <c r="B382" s="128" t="str">
        <f t="shared" si="264"/>
        <v>N</v>
      </c>
      <c r="C382" s="128" t="str">
        <f t="shared" si="265"/>
        <v>N</v>
      </c>
      <c r="D382" s="117">
        <v>1060030</v>
      </c>
      <c r="E382" s="135">
        <f t="shared" si="266"/>
        <v>5</v>
      </c>
      <c r="F382" s="124">
        <v>41016</v>
      </c>
      <c r="G382" s="125">
        <v>41108</v>
      </c>
      <c r="H382" s="117">
        <v>1060030</v>
      </c>
      <c r="I382" s="124">
        <v>41016</v>
      </c>
      <c r="J382" s="124">
        <v>41108</v>
      </c>
      <c r="K382" s="126">
        <v>15000</v>
      </c>
      <c r="L382" s="127" t="s">
        <v>571</v>
      </c>
      <c r="N382" s="129" t="str">
        <f t="shared" si="301"/>
        <v>N</v>
      </c>
      <c r="O382" s="128" t="s">
        <v>917</v>
      </c>
      <c r="P382" s="129" t="s">
        <v>39</v>
      </c>
      <c r="Q382" s="111">
        <f t="shared" si="298"/>
        <v>93</v>
      </c>
      <c r="R382" s="111">
        <f t="shared" si="259"/>
        <v>93</v>
      </c>
      <c r="S382" s="129">
        <v>4</v>
      </c>
      <c r="T382" s="129">
        <v>4</v>
      </c>
      <c r="U382" s="129">
        <v>1</v>
      </c>
      <c r="V382" s="117">
        <v>1</v>
      </c>
      <c r="W382" s="111"/>
      <c r="AC382" s="130"/>
      <c r="AD382" s="130">
        <v>20588</v>
      </c>
      <c r="AE382" s="128" t="s">
        <v>32</v>
      </c>
      <c r="AF382" s="128" t="s">
        <v>69</v>
      </c>
      <c r="AG382" s="128" t="s">
        <v>874</v>
      </c>
      <c r="AH382" s="108" t="s">
        <v>31</v>
      </c>
      <c r="AI382" s="128" t="s">
        <v>34</v>
      </c>
      <c r="AJ382" s="129" t="s">
        <v>89</v>
      </c>
      <c r="AK382" s="129">
        <v>4</v>
      </c>
      <c r="AL382" s="3" t="s">
        <v>992</v>
      </c>
      <c r="AN382" s="117">
        <v>6</v>
      </c>
      <c r="AP382" s="129" t="s">
        <v>43</v>
      </c>
      <c r="AR382" s="128" t="s">
        <v>44</v>
      </c>
      <c r="AS382" s="129" t="s">
        <v>45</v>
      </c>
      <c r="BC382" s="129" t="s">
        <v>38</v>
      </c>
      <c r="BF382" s="111">
        <f t="shared" si="299"/>
        <v>93</v>
      </c>
      <c r="BG382" s="111">
        <f t="shared" si="300"/>
        <v>93</v>
      </c>
      <c r="BH382" s="111">
        <f t="shared" si="260"/>
        <v>93</v>
      </c>
      <c r="BI382" s="111">
        <f t="shared" si="261"/>
        <v>55.814207650273225</v>
      </c>
      <c r="BJ382" s="129">
        <f t="shared" si="267"/>
        <v>0</v>
      </c>
      <c r="BK382" s="129">
        <f t="shared" si="262"/>
        <v>0</v>
      </c>
      <c r="BL382" s="129" t="str">
        <f t="shared" si="263"/>
        <v>CONVICTION</v>
      </c>
      <c r="BM382" s="129" t="str">
        <f t="shared" si="268"/>
        <v>NONE</v>
      </c>
      <c r="BN382" s="129" t="s">
        <v>566</v>
      </c>
      <c r="BP382" s="137" t="str">
        <f t="shared" si="269"/>
        <v>CONVICTION</v>
      </c>
      <c r="BQ382" s="128" t="str">
        <f t="shared" si="270"/>
        <v>Y</v>
      </c>
      <c r="BR382" s="129" t="str">
        <f t="shared" si="271"/>
        <v>DETAINED</v>
      </c>
      <c r="BS382" s="129" t="str">
        <f t="shared" si="272"/>
        <v>DISPOSED</v>
      </c>
      <c r="BT382" s="129" t="str">
        <f t="shared" si="273"/>
        <v>Y</v>
      </c>
      <c r="BU382" s="109">
        <f t="shared" si="274"/>
        <v>1</v>
      </c>
      <c r="BV382" s="109">
        <f t="shared" si="275"/>
        <v>1</v>
      </c>
      <c r="BW382" s="109">
        <f t="shared" si="294"/>
        <v>0</v>
      </c>
      <c r="BX382" s="111">
        <f t="shared" si="276"/>
        <v>0</v>
      </c>
      <c r="BY382" s="129">
        <f t="shared" si="277"/>
        <v>-93</v>
      </c>
      <c r="BZ382" s="111">
        <f t="shared" si="278"/>
        <v>0</v>
      </c>
      <c r="CA382" s="138">
        <f t="shared" si="279"/>
        <v>93</v>
      </c>
      <c r="CB382" s="111" t="e">
        <f t="shared" si="288"/>
        <v>#VALUE!</v>
      </c>
      <c r="CC382" s="129">
        <f t="shared" si="302"/>
        <v>93</v>
      </c>
      <c r="CD382" s="129">
        <f t="shared" si="303"/>
        <v>0</v>
      </c>
      <c r="CE382" s="129">
        <f t="shared" si="280"/>
        <v>0</v>
      </c>
      <c r="CG382" s="129" t="str">
        <f t="shared" si="281"/>
        <v>Y</v>
      </c>
      <c r="CI382" s="129" t="str">
        <f t="shared" si="282"/>
        <v>91-120 DAYS</v>
      </c>
      <c r="CJ382" s="137">
        <f t="shared" si="283"/>
        <v>0</v>
      </c>
      <c r="CK382" s="129" t="str">
        <f t="shared" si="284"/>
        <v>Booked</v>
      </c>
    </row>
    <row r="383" spans="1:89" ht="15.75" customHeight="1" x14ac:dyDescent="0.25">
      <c r="A383" s="111">
        <v>721</v>
      </c>
      <c r="B383" s="128" t="str">
        <f t="shared" si="264"/>
        <v>N</v>
      </c>
      <c r="C383" s="128" t="str">
        <f t="shared" si="265"/>
        <v>N</v>
      </c>
      <c r="D383" s="117">
        <v>1060695</v>
      </c>
      <c r="E383" s="135">
        <f t="shared" si="266"/>
        <v>5</v>
      </c>
      <c r="F383" s="124">
        <v>40937</v>
      </c>
      <c r="G383" s="125">
        <v>40938</v>
      </c>
      <c r="H383" s="117">
        <v>1060695</v>
      </c>
      <c r="I383" s="124">
        <v>40937</v>
      </c>
      <c r="J383" s="124">
        <v>40938</v>
      </c>
      <c r="K383" s="126">
        <v>15000</v>
      </c>
      <c r="L383" s="127" t="s">
        <v>571</v>
      </c>
      <c r="N383" s="129" t="str">
        <f t="shared" si="301"/>
        <v>N</v>
      </c>
      <c r="O383" s="128" t="s">
        <v>917</v>
      </c>
      <c r="P383" s="129" t="s">
        <v>39</v>
      </c>
      <c r="Q383" s="111">
        <f t="shared" si="298"/>
        <v>2</v>
      </c>
      <c r="R383" s="111">
        <f t="shared" si="259"/>
        <v>2</v>
      </c>
      <c r="S383" s="129">
        <v>3</v>
      </c>
      <c r="T383" s="129">
        <v>1</v>
      </c>
      <c r="U383" s="129">
        <v>3</v>
      </c>
      <c r="W383" s="111"/>
      <c r="AC383" s="130"/>
      <c r="AD383" s="130">
        <v>26258</v>
      </c>
      <c r="AE383" s="128" t="s">
        <v>32</v>
      </c>
      <c r="AF383" s="128" t="s">
        <v>33</v>
      </c>
      <c r="AG383" s="128" t="s">
        <v>872</v>
      </c>
      <c r="AH383" s="108" t="s">
        <v>58</v>
      </c>
      <c r="AI383" s="128" t="s">
        <v>47</v>
      </c>
      <c r="AJ383" s="129" t="s">
        <v>89</v>
      </c>
      <c r="AK383" s="129">
        <v>1</v>
      </c>
      <c r="AL383" s="3" t="s">
        <v>992</v>
      </c>
      <c r="AN383" s="117">
        <v>7</v>
      </c>
      <c r="AP383" s="129" t="s">
        <v>43</v>
      </c>
      <c r="AR383" s="128" t="s">
        <v>44</v>
      </c>
      <c r="AS383" s="129" t="s">
        <v>45</v>
      </c>
      <c r="BC383" s="129" t="s">
        <v>38</v>
      </c>
      <c r="BF383" s="111">
        <f t="shared" si="299"/>
        <v>2</v>
      </c>
      <c r="BG383" s="111">
        <f t="shared" si="300"/>
        <v>2</v>
      </c>
      <c r="BH383" s="111">
        <f t="shared" si="260"/>
        <v>2</v>
      </c>
      <c r="BI383" s="111">
        <f t="shared" si="261"/>
        <v>40.106557377049178</v>
      </c>
      <c r="BJ383" s="129">
        <f t="shared" si="267"/>
        <v>0</v>
      </c>
      <c r="BK383" s="129">
        <f t="shared" si="262"/>
        <v>0</v>
      </c>
      <c r="BL383" s="129" t="str">
        <f t="shared" si="263"/>
        <v>CONVICTION</v>
      </c>
      <c r="BM383" s="129" t="str">
        <f t="shared" si="268"/>
        <v>NONE</v>
      </c>
      <c r="BN383" s="129" t="s">
        <v>566</v>
      </c>
      <c r="BP383" s="137" t="str">
        <f t="shared" si="269"/>
        <v>CONVICTION</v>
      </c>
      <c r="BQ383" s="128" t="str">
        <f t="shared" si="270"/>
        <v>Y</v>
      </c>
      <c r="BR383" s="129" t="str">
        <f t="shared" si="271"/>
        <v>DETAINED</v>
      </c>
      <c r="BS383" s="129" t="str">
        <f t="shared" si="272"/>
        <v>DISPOSED</v>
      </c>
      <c r="BT383" s="129" t="str">
        <f t="shared" si="273"/>
        <v>Y</v>
      </c>
      <c r="BU383" s="109">
        <f t="shared" si="274"/>
        <v>1</v>
      </c>
      <c r="BV383" s="109">
        <f t="shared" si="275"/>
        <v>1</v>
      </c>
      <c r="BW383" s="109">
        <f t="shared" si="294"/>
        <v>0</v>
      </c>
      <c r="BX383" s="111">
        <f t="shared" si="276"/>
        <v>0</v>
      </c>
      <c r="BY383" s="129">
        <f t="shared" si="277"/>
        <v>-2</v>
      </c>
      <c r="BZ383" s="111">
        <f t="shared" si="278"/>
        <v>0</v>
      </c>
      <c r="CA383" s="138">
        <f t="shared" si="279"/>
        <v>2</v>
      </c>
      <c r="CB383" s="111" t="e">
        <f t="shared" si="288"/>
        <v>#VALUE!</v>
      </c>
      <c r="CC383" s="129">
        <f t="shared" si="302"/>
        <v>2</v>
      </c>
      <c r="CD383" s="129">
        <f t="shared" si="303"/>
        <v>0</v>
      </c>
      <c r="CE383" s="129">
        <f t="shared" si="280"/>
        <v>0</v>
      </c>
      <c r="CG383" s="129" t="str">
        <f t="shared" si="281"/>
        <v>Y</v>
      </c>
      <c r="CI383" s="129" t="str">
        <f t="shared" si="282"/>
        <v>0-10 DAYS</v>
      </c>
      <c r="CJ383" s="137">
        <f t="shared" si="283"/>
        <v>1</v>
      </c>
      <c r="CK383" s="129" t="str">
        <f t="shared" si="284"/>
        <v>Booked</v>
      </c>
    </row>
    <row r="384" spans="1:89" ht="15" customHeight="1" x14ac:dyDescent="0.25">
      <c r="A384" s="111">
        <v>1622</v>
      </c>
      <c r="B384" s="128" t="str">
        <f t="shared" si="264"/>
        <v>N</v>
      </c>
      <c r="C384" s="128" t="str">
        <f t="shared" si="265"/>
        <v>N</v>
      </c>
      <c r="D384" s="117">
        <v>1062061</v>
      </c>
      <c r="E384" s="135">
        <f t="shared" si="266"/>
        <v>5</v>
      </c>
      <c r="F384" s="124">
        <v>40969</v>
      </c>
      <c r="G384" s="125">
        <v>41024</v>
      </c>
      <c r="H384" s="117">
        <v>1062061</v>
      </c>
      <c r="I384" s="124">
        <v>40969</v>
      </c>
      <c r="J384" s="124">
        <v>41024</v>
      </c>
      <c r="K384" s="126">
        <v>15000</v>
      </c>
      <c r="L384" s="127" t="s">
        <v>571</v>
      </c>
      <c r="N384" s="129" t="str">
        <f t="shared" si="301"/>
        <v>N</v>
      </c>
      <c r="O384" s="128" t="s">
        <v>917</v>
      </c>
      <c r="P384" s="129" t="s">
        <v>39</v>
      </c>
      <c r="Q384" s="111">
        <f t="shared" si="298"/>
        <v>56</v>
      </c>
      <c r="R384" s="111">
        <f t="shared" si="259"/>
        <v>56</v>
      </c>
      <c r="S384" s="129">
        <v>5</v>
      </c>
      <c r="T384" s="129">
        <v>12</v>
      </c>
      <c r="U384" s="129">
        <v>3</v>
      </c>
      <c r="W384" s="111"/>
      <c r="AC384" s="130"/>
      <c r="AD384" s="130">
        <v>26597</v>
      </c>
      <c r="AE384" s="128" t="s">
        <v>32</v>
      </c>
      <c r="AF384" s="128" t="s">
        <v>33</v>
      </c>
      <c r="AG384" s="128" t="s">
        <v>872</v>
      </c>
      <c r="AH384" s="108" t="s">
        <v>58</v>
      </c>
      <c r="AI384" s="128" t="s">
        <v>113</v>
      </c>
      <c r="AJ384" s="129" t="s">
        <v>89</v>
      </c>
      <c r="AK384" s="129">
        <v>5</v>
      </c>
      <c r="AL384" s="3" t="s">
        <v>992</v>
      </c>
      <c r="AN384" s="117">
        <v>9</v>
      </c>
      <c r="AP384" s="129" t="s">
        <v>127</v>
      </c>
      <c r="AR384" s="128" t="s">
        <v>44</v>
      </c>
      <c r="AS384" s="129" t="s">
        <v>82</v>
      </c>
      <c r="BC384" s="129" t="s">
        <v>38</v>
      </c>
      <c r="BF384" s="111">
        <f t="shared" si="299"/>
        <v>56</v>
      </c>
      <c r="BG384" s="111">
        <f t="shared" si="300"/>
        <v>56</v>
      </c>
      <c r="BH384" s="111">
        <f t="shared" si="260"/>
        <v>56</v>
      </c>
      <c r="BI384" s="111">
        <f t="shared" si="261"/>
        <v>39.267759562841533</v>
      </c>
      <c r="BJ384" s="129">
        <f t="shared" si="267"/>
        <v>0</v>
      </c>
      <c r="BK384" s="129">
        <f t="shared" si="262"/>
        <v>0</v>
      </c>
      <c r="BL384" s="129" t="str">
        <f t="shared" si="263"/>
        <v>CONVICTION</v>
      </c>
      <c r="BM384" s="129" t="str">
        <f t="shared" si="268"/>
        <v>NONE</v>
      </c>
      <c r="BN384" s="129" t="s">
        <v>566</v>
      </c>
      <c r="BP384" s="137" t="str">
        <f t="shared" si="269"/>
        <v>CONVICTION</v>
      </c>
      <c r="BQ384" s="128" t="str">
        <f t="shared" si="270"/>
        <v>Y</v>
      </c>
      <c r="BR384" s="129" t="str">
        <f t="shared" si="271"/>
        <v>DETAINED</v>
      </c>
      <c r="BS384" s="129" t="str">
        <f t="shared" si="272"/>
        <v>DISPOSED</v>
      </c>
      <c r="BT384" s="129" t="str">
        <f t="shared" si="273"/>
        <v>Y</v>
      </c>
      <c r="BU384" s="109">
        <f t="shared" si="274"/>
        <v>1</v>
      </c>
      <c r="BV384" s="109">
        <f t="shared" si="275"/>
        <v>1</v>
      </c>
      <c r="BW384" s="109">
        <f t="shared" si="294"/>
        <v>0</v>
      </c>
      <c r="BX384" s="111">
        <f t="shared" si="276"/>
        <v>0</v>
      </c>
      <c r="BY384" s="129">
        <f t="shared" si="277"/>
        <v>-56</v>
      </c>
      <c r="BZ384" s="111">
        <f t="shared" si="278"/>
        <v>0</v>
      </c>
      <c r="CA384" s="138">
        <f t="shared" si="279"/>
        <v>56</v>
      </c>
      <c r="CB384" s="111" t="e">
        <f t="shared" si="288"/>
        <v>#VALUE!</v>
      </c>
      <c r="CC384" s="129">
        <f t="shared" si="302"/>
        <v>56</v>
      </c>
      <c r="CD384" s="129">
        <f t="shared" si="303"/>
        <v>0</v>
      </c>
      <c r="CE384" s="129">
        <f t="shared" si="280"/>
        <v>0</v>
      </c>
      <c r="CG384" s="129" t="str">
        <f t="shared" si="281"/>
        <v>Y</v>
      </c>
      <c r="CI384" s="129" t="str">
        <f t="shared" si="282"/>
        <v>31-60 DAYS</v>
      </c>
      <c r="CJ384" s="137">
        <f t="shared" si="283"/>
        <v>3</v>
      </c>
      <c r="CK384" s="129" t="str">
        <f t="shared" si="284"/>
        <v>Booked</v>
      </c>
    </row>
    <row r="385" spans="1:89" ht="15.75" customHeight="1" x14ac:dyDescent="0.25">
      <c r="A385" s="111">
        <v>2348</v>
      </c>
      <c r="B385" s="128" t="str">
        <f t="shared" si="264"/>
        <v>N</v>
      </c>
      <c r="C385" s="128" t="str">
        <f t="shared" si="265"/>
        <v>N</v>
      </c>
      <c r="D385" s="117">
        <v>1062089</v>
      </c>
      <c r="E385" s="135">
        <f t="shared" si="266"/>
        <v>6</v>
      </c>
      <c r="F385" s="124">
        <v>40997</v>
      </c>
      <c r="G385" s="125">
        <v>41001</v>
      </c>
      <c r="H385" s="117">
        <v>1062089</v>
      </c>
      <c r="I385" s="124">
        <v>40997</v>
      </c>
      <c r="J385" s="124">
        <v>41001</v>
      </c>
      <c r="K385" s="126">
        <v>15000</v>
      </c>
      <c r="L385" s="127" t="s">
        <v>571</v>
      </c>
      <c r="N385" s="129" t="str">
        <f t="shared" si="301"/>
        <v>N</v>
      </c>
      <c r="O385" s="128" t="s">
        <v>917</v>
      </c>
      <c r="P385" s="129" t="s">
        <v>39</v>
      </c>
      <c r="Q385" s="111">
        <f t="shared" si="298"/>
        <v>5</v>
      </c>
      <c r="R385" s="111">
        <f t="shared" si="259"/>
        <v>5</v>
      </c>
      <c r="S385" s="129">
        <v>5</v>
      </c>
      <c r="T385" s="129">
        <v>2</v>
      </c>
      <c r="U385" s="129">
        <v>3</v>
      </c>
      <c r="W385" s="111"/>
      <c r="AC385" s="130"/>
      <c r="AD385" s="130">
        <v>26595</v>
      </c>
      <c r="AE385" s="128" t="s">
        <v>32</v>
      </c>
      <c r="AF385" s="128" t="s">
        <v>40</v>
      </c>
      <c r="AG385" s="128" t="s">
        <v>41</v>
      </c>
      <c r="AH385" s="108" t="s">
        <v>41</v>
      </c>
      <c r="AI385" s="128" t="s">
        <v>72</v>
      </c>
      <c r="AJ385" s="129" t="s">
        <v>89</v>
      </c>
      <c r="AK385" s="129">
        <v>1</v>
      </c>
      <c r="AL385" s="3" t="s">
        <v>362</v>
      </c>
      <c r="AM385" s="117">
        <v>3</v>
      </c>
      <c r="AP385" s="129" t="s">
        <v>107</v>
      </c>
      <c r="AR385" s="128" t="s">
        <v>44</v>
      </c>
      <c r="AS385" s="129" t="s">
        <v>57</v>
      </c>
      <c r="BC385" s="129" t="s">
        <v>38</v>
      </c>
      <c r="BF385" s="111">
        <f t="shared" si="299"/>
        <v>5</v>
      </c>
      <c r="BG385" s="111">
        <f t="shared" si="300"/>
        <v>5</v>
      </c>
      <c r="BH385" s="111">
        <f t="shared" si="260"/>
        <v>5</v>
      </c>
      <c r="BI385" s="111">
        <f t="shared" si="261"/>
        <v>39.349726775956285</v>
      </c>
      <c r="BJ385" s="129">
        <f t="shared" si="267"/>
        <v>0</v>
      </c>
      <c r="BK385" s="129">
        <f t="shared" si="262"/>
        <v>0</v>
      </c>
      <c r="BL385" s="129" t="str">
        <f t="shared" si="263"/>
        <v>CONVICTION</v>
      </c>
      <c r="BM385" s="129" t="str">
        <f t="shared" si="268"/>
        <v>NONE</v>
      </c>
      <c r="BN385" s="129" t="s">
        <v>566</v>
      </c>
      <c r="BP385" s="137" t="str">
        <f t="shared" si="269"/>
        <v>CONVICTION</v>
      </c>
      <c r="BQ385" s="128" t="str">
        <f t="shared" si="270"/>
        <v>Y</v>
      </c>
      <c r="BR385" s="129" t="str">
        <f t="shared" si="271"/>
        <v>DETAINED</v>
      </c>
      <c r="BS385" s="129" t="str">
        <f t="shared" si="272"/>
        <v>DISPOSED</v>
      </c>
      <c r="BT385" s="129" t="str">
        <f t="shared" si="273"/>
        <v>Y</v>
      </c>
      <c r="BU385" s="109">
        <f t="shared" si="274"/>
        <v>1</v>
      </c>
      <c r="BV385" s="109">
        <f t="shared" si="275"/>
        <v>1</v>
      </c>
      <c r="BW385" s="109">
        <f t="shared" si="294"/>
        <v>0</v>
      </c>
      <c r="BX385" s="111">
        <f t="shared" si="276"/>
        <v>0</v>
      </c>
      <c r="BY385" s="129">
        <f t="shared" si="277"/>
        <v>-5</v>
      </c>
      <c r="BZ385" s="111">
        <f t="shared" si="278"/>
        <v>0</v>
      </c>
      <c r="CA385" s="138">
        <f t="shared" si="279"/>
        <v>5</v>
      </c>
      <c r="CB385" s="111" t="e">
        <f t="shared" si="288"/>
        <v>#VALUE!</v>
      </c>
      <c r="CC385" s="129">
        <f t="shared" si="302"/>
        <v>5</v>
      </c>
      <c r="CD385" s="129">
        <f t="shared" si="303"/>
        <v>0</v>
      </c>
      <c r="CE385" s="129">
        <f t="shared" si="280"/>
        <v>0</v>
      </c>
      <c r="CG385" s="129" t="str">
        <f t="shared" si="281"/>
        <v>Y</v>
      </c>
      <c r="CI385" s="129" t="str">
        <f t="shared" si="282"/>
        <v>0-10 DAYS</v>
      </c>
      <c r="CJ385" s="137">
        <f t="shared" si="283"/>
        <v>1</v>
      </c>
      <c r="CK385" s="129" t="str">
        <f t="shared" si="284"/>
        <v>Booked</v>
      </c>
    </row>
    <row r="386" spans="1:89" ht="15.75" customHeight="1" x14ac:dyDescent="0.25">
      <c r="A386" s="111">
        <v>1409</v>
      </c>
      <c r="B386" s="128" t="str">
        <f t="shared" si="264"/>
        <v>N</v>
      </c>
      <c r="C386" s="128" t="str">
        <f t="shared" si="265"/>
        <v>N</v>
      </c>
      <c r="D386" s="117">
        <v>1064177</v>
      </c>
      <c r="E386" s="135">
        <f t="shared" si="266"/>
        <v>5</v>
      </c>
      <c r="F386" s="124">
        <v>40960</v>
      </c>
      <c r="G386" s="125">
        <v>41101</v>
      </c>
      <c r="H386" s="117">
        <v>1064177</v>
      </c>
      <c r="I386" s="124">
        <v>40961</v>
      </c>
      <c r="J386" s="124">
        <v>41101</v>
      </c>
      <c r="K386" s="126">
        <v>15000</v>
      </c>
      <c r="L386" s="127" t="s">
        <v>571</v>
      </c>
      <c r="N386" s="129" t="str">
        <f t="shared" si="301"/>
        <v>N</v>
      </c>
      <c r="O386" s="128" t="s">
        <v>917</v>
      </c>
      <c r="P386" s="129" t="s">
        <v>665</v>
      </c>
      <c r="Q386" s="111">
        <f t="shared" si="298"/>
        <v>141</v>
      </c>
      <c r="R386" s="111">
        <f t="shared" ref="R386:R449" si="304">BH386</f>
        <v>142</v>
      </c>
      <c r="S386" s="129">
        <v>5</v>
      </c>
      <c r="T386" s="129">
        <v>4</v>
      </c>
      <c r="U386" s="129">
        <v>2</v>
      </c>
      <c r="W386" s="111"/>
      <c r="AC386" s="130"/>
      <c r="AD386" s="130">
        <v>22112</v>
      </c>
      <c r="AE386" s="128" t="s">
        <v>32</v>
      </c>
      <c r="AF386" s="128" t="s">
        <v>33</v>
      </c>
      <c r="AG386" s="128" t="s">
        <v>872</v>
      </c>
      <c r="AH386" s="108" t="s">
        <v>58</v>
      </c>
      <c r="AI386" s="128" t="s">
        <v>141</v>
      </c>
      <c r="AJ386" s="129" t="s">
        <v>89</v>
      </c>
      <c r="AK386" s="129">
        <v>5</v>
      </c>
      <c r="AL386" s="3" t="s">
        <v>992</v>
      </c>
      <c r="AN386" s="117">
        <v>6</v>
      </c>
      <c r="AP386" s="129" t="s">
        <v>43</v>
      </c>
      <c r="AR386" s="128" t="s">
        <v>44</v>
      </c>
      <c r="AS386" s="129" t="s">
        <v>45</v>
      </c>
      <c r="BC386" s="129" t="s">
        <v>38</v>
      </c>
      <c r="BF386" s="111">
        <f t="shared" si="299"/>
        <v>141</v>
      </c>
      <c r="BG386" s="111">
        <f t="shared" si="300"/>
        <v>141</v>
      </c>
      <c r="BH386" s="111">
        <f t="shared" ref="BH386:BH449" si="305">IF(G386&gt;1/1/1900,((G386+1)-F386),"STILL OPEN")</f>
        <v>142</v>
      </c>
      <c r="BI386" s="111">
        <f t="shared" ref="BI386:BI449" si="306">(F386-AD386)/366</f>
        <v>51.497267759562838</v>
      </c>
      <c r="BJ386" s="129">
        <f t="shared" si="267"/>
        <v>0</v>
      </c>
      <c r="BK386" s="129">
        <f t="shared" ref="BK386:BK449" si="307">J386-G386</f>
        <v>0</v>
      </c>
      <c r="BL386" s="129" t="str">
        <f t="shared" ref="BL386:BL449" si="308">IF(OR(AL386="AQUITTAL",AL386="DISMISSED",AL386="FINE",AL386="NO BILL"),"NO CONVICTION",IF(OR(AL386="HCJ",AL386="MHH",AL386="PROBATION",AL386="STJ",AL386="TDC"),"CONVICTION",IF(AL386="DEFERRED","DEFERRED",0)))</f>
        <v>CONVICTION</v>
      </c>
      <c r="BM386" s="129" t="str">
        <f t="shared" si="268"/>
        <v>NONE</v>
      </c>
      <c r="BN386" s="129" t="s">
        <v>566</v>
      </c>
      <c r="BP386" s="137" t="str">
        <f t="shared" si="269"/>
        <v>CONVICTION</v>
      </c>
      <c r="BQ386" s="128" t="str">
        <f t="shared" si="270"/>
        <v>Y</v>
      </c>
      <c r="BR386" s="129" t="str">
        <f t="shared" si="271"/>
        <v>DETAINED</v>
      </c>
      <c r="BS386" s="129" t="str">
        <f t="shared" si="272"/>
        <v>DISPOSED</v>
      </c>
      <c r="BT386" s="129" t="str">
        <f t="shared" si="273"/>
        <v>Y</v>
      </c>
      <c r="BU386" s="109">
        <f t="shared" si="274"/>
        <v>0.99295774647887325</v>
      </c>
      <c r="BV386" s="109">
        <f t="shared" si="275"/>
        <v>1</v>
      </c>
      <c r="BW386" s="109">
        <f t="shared" si="294"/>
        <v>7.0422535211267512E-3</v>
      </c>
      <c r="BX386" s="111">
        <f t="shared" si="276"/>
        <v>0</v>
      </c>
      <c r="BY386" s="129">
        <f t="shared" si="277"/>
        <v>-141</v>
      </c>
      <c r="BZ386" s="111">
        <f t="shared" si="278"/>
        <v>0</v>
      </c>
      <c r="CA386" s="138">
        <f t="shared" si="279"/>
        <v>141</v>
      </c>
      <c r="CB386" s="111" t="e">
        <f t="shared" si="288"/>
        <v>#VALUE!</v>
      </c>
      <c r="CC386" s="129">
        <f t="shared" si="302"/>
        <v>141</v>
      </c>
      <c r="CD386" s="129">
        <f t="shared" si="303"/>
        <v>0</v>
      </c>
      <c r="CE386" s="129">
        <f t="shared" si="280"/>
        <v>0</v>
      </c>
      <c r="CG386" s="129" t="str">
        <f t="shared" si="281"/>
        <v>Y</v>
      </c>
      <c r="CI386" s="129" t="str">
        <f t="shared" si="282"/>
        <v>121-365 DAYS</v>
      </c>
      <c r="CJ386" s="137">
        <f t="shared" si="283"/>
        <v>6</v>
      </c>
      <c r="CK386" s="129" t="str">
        <f t="shared" si="284"/>
        <v>Booked</v>
      </c>
    </row>
    <row r="387" spans="1:89" ht="15" customHeight="1" x14ac:dyDescent="0.25">
      <c r="A387" s="111">
        <v>3212</v>
      </c>
      <c r="B387" s="128" t="str">
        <f t="shared" ref="B387:B450" si="309">IF(BD387&lt;&gt;"","Y","N")</f>
        <v>N</v>
      </c>
      <c r="C387" s="128" t="str">
        <f t="shared" ref="C387:C450" si="310">IF((AND(AV387="",AX387="",AY387="")),"N","Y")</f>
        <v>N</v>
      </c>
      <c r="D387" s="117">
        <v>1066309</v>
      </c>
      <c r="E387" s="135">
        <f t="shared" ref="E387:E450" si="311">IF(OR(AL387="ACQUITTAL",AL387="ACQUIT",AL387="acq insane",AL387="DISMISSED",AL387="NO BILL"),1,IF(AL387="DEFERRED",2,IF(AL387="PROBATION",3,IF(OR(AL387="HCJ",AL387="fine"),4,IF(AL387="STJ",5,IF(AL387="TDC",6,""))))))</f>
        <v>1</v>
      </c>
      <c r="F387" s="124">
        <v>41027</v>
      </c>
      <c r="G387" s="125">
        <v>41101</v>
      </c>
      <c r="H387" s="117">
        <v>1066309</v>
      </c>
      <c r="I387" s="124">
        <v>41027</v>
      </c>
      <c r="J387" s="124">
        <v>41101</v>
      </c>
      <c r="K387" s="126" t="s">
        <v>564</v>
      </c>
      <c r="L387" s="127" t="s">
        <v>564</v>
      </c>
      <c r="N387" s="129" t="s">
        <v>566</v>
      </c>
      <c r="O387" s="128" t="s">
        <v>917</v>
      </c>
      <c r="P387" s="129" t="s">
        <v>55</v>
      </c>
      <c r="Q387" s="111">
        <f t="shared" si="298"/>
        <v>75</v>
      </c>
      <c r="R387" s="111">
        <f t="shared" si="304"/>
        <v>75</v>
      </c>
      <c r="S387" s="129">
        <v>2</v>
      </c>
      <c r="T387" s="129">
        <v>0</v>
      </c>
      <c r="U387" s="129">
        <v>2</v>
      </c>
      <c r="W387" s="111"/>
      <c r="AC387" s="130"/>
      <c r="AD387" s="130">
        <v>21903</v>
      </c>
      <c r="AE387" s="128" t="s">
        <v>32</v>
      </c>
      <c r="AF387" s="128" t="s">
        <v>40</v>
      </c>
      <c r="AG387" s="128" t="s">
        <v>41</v>
      </c>
      <c r="AH387" s="108" t="s">
        <v>41</v>
      </c>
      <c r="AI387" s="128" t="s">
        <v>113</v>
      </c>
      <c r="AJ387" s="129" t="s">
        <v>55</v>
      </c>
      <c r="AK387" s="129">
        <v>4</v>
      </c>
      <c r="AL387" s="3" t="s">
        <v>55</v>
      </c>
      <c r="AP387" s="129" t="s">
        <v>73</v>
      </c>
      <c r="AR387" s="128" t="s">
        <v>50</v>
      </c>
      <c r="AS387" s="129" t="s">
        <v>74</v>
      </c>
      <c r="BC387" s="129" t="s">
        <v>52</v>
      </c>
      <c r="BF387" s="111">
        <f t="shared" si="299"/>
        <v>75</v>
      </c>
      <c r="BG387" s="111">
        <f t="shared" si="300"/>
        <v>75</v>
      </c>
      <c r="BH387" s="111">
        <f t="shared" si="305"/>
        <v>75</v>
      </c>
      <c r="BI387" s="111">
        <f t="shared" si="306"/>
        <v>52.251366120218577</v>
      </c>
      <c r="BJ387" s="129">
        <f t="shared" ref="BJ387:BJ449" si="312">G387-J387-M387</f>
        <v>0</v>
      </c>
      <c r="BK387" s="129">
        <f t="shared" si="307"/>
        <v>0</v>
      </c>
      <c r="BL387" s="129" t="str">
        <f t="shared" si="308"/>
        <v>NO CONVICTION</v>
      </c>
      <c r="BM387" s="129" t="str">
        <f t="shared" ref="BM387:BM449" si="313">O387</f>
        <v>NONE</v>
      </c>
      <c r="BN387" s="129" t="s">
        <v>566</v>
      </c>
      <c r="BP387" s="137" t="str">
        <f t="shared" ref="BP387:BP450" si="314">IF(OR(AJ387="AQUITTAL",AJ387="DISMISSED",AJ387="FINE",AJ387="NO BILL"),"NO CONVICTION",IF(OR(AJ387="HCJ",AJ387="MHH",AJ387="PROBATION",AJ387="STJ",AJ387="TDC",AJ387="CONVICTED"),"CONVICTION",IF(AJ387="DEFERRED","DEFERRED","")))</f>
        <v>NO CONVICTION</v>
      </c>
      <c r="BQ387" s="128" t="str">
        <f t="shared" ref="BQ387:BQ450" si="315">IF(BF387&gt;0,"Y",BF387)</f>
        <v>Y</v>
      </c>
      <c r="BR387" s="129" t="str">
        <f t="shared" ref="BR387:BR450" si="316">IF(AND(J387="NOT BOOKED",M387&gt;1/1/1),"BONDED - BEFORE BOOKED",IF(BG387="STILL OPEN","STILL OPEN",IF(N387="Y","ON BOND",IF(J387&gt;=G387,"DETAINED","RELEASED"))))</f>
        <v>DETAINED</v>
      </c>
      <c r="BS387" s="129" t="str">
        <f t="shared" ref="BS387:BS450" si="317">IF(G387&lt;&gt;"","DISPOSED","")</f>
        <v>DISPOSED</v>
      </c>
      <c r="BT387" s="129" t="str">
        <f t="shared" ref="BT387:BT450" si="318">IF(S387&gt;0,"Y","N")</f>
        <v>Y</v>
      </c>
      <c r="BU387" s="109">
        <f>IFERROR(Q387/R387,BR387)</f>
        <v>1</v>
      </c>
      <c r="BV387" s="109">
        <f t="shared" ref="BV387:BV450" si="319">IF(I387&gt;F387,((J387-I387+1)/(G387-I387+1)),(J387-I387+1)/(G387-F387+1))</f>
        <v>1</v>
      </c>
      <c r="BW387" s="109">
        <f t="shared" si="294"/>
        <v>0</v>
      </c>
      <c r="BX387" s="111">
        <f t="shared" ref="BX387:BX450" si="320">+Q387-BF387</f>
        <v>0</v>
      </c>
      <c r="BY387" s="129">
        <f t="shared" ref="BY387:BY450" si="321">I387-J387-1</f>
        <v>-75</v>
      </c>
      <c r="BZ387" s="111">
        <f t="shared" ref="BZ387:BZ450" si="322">BY387+BF387</f>
        <v>0</v>
      </c>
      <c r="CA387" s="138">
        <f t="shared" ref="CA387:CA450" si="323">IF(AND(BS387="DISPOSED",BR387="DETAINED"),G387-I387+1,IF(AND(BS387="DISPOSED",BR387="ON BOND"),M387-I387+1,IF(AND(BS387="STILL OPEN","STILL OPEN"),"NOT BOOKED")))</f>
        <v>75</v>
      </c>
      <c r="CB387" s="111" t="e">
        <f t="shared" si="288"/>
        <v>#VALUE!</v>
      </c>
      <c r="CC387" s="129">
        <f t="shared" si="302"/>
        <v>75</v>
      </c>
      <c r="CD387" s="129">
        <f t="shared" si="303"/>
        <v>0</v>
      </c>
      <c r="CE387" s="129">
        <f t="shared" ref="CE387:CE450" si="324">G387-J387</f>
        <v>0</v>
      </c>
      <c r="CG387" s="129" t="str">
        <f t="shared" ref="CG387:CG450" si="325">IF((S387+T387+U387)&gt;0,"Y","N")</f>
        <v>Y</v>
      </c>
      <c r="CI387" s="129" t="str">
        <f t="shared" ref="CI387:CI450" si="326">IF(BF387&lt;11,"0-10 DAYS",IF(AND(BF387&gt;10,BF387&lt;31),"11-30 DAYS",IF((AND(BF387&gt;30,BF387&lt;61)),"31-60 DAYS",IF(AND(BF387&gt;60,BF387&lt;91),"61-90 DAYS",IF(AND(BF387&gt;90,BF387&lt;121),"91-120 DAYS",IF(AND(BF387&gt;120,BF387&lt;366),"121-365 DAYS",IF(AND(BF387&gt;365,BF387&lt;730)," &gt;1YRS&lt;2YRS",IF(AND(BF387&gt;729,BF387&lt;1095),"&gt;2YRS&lt;3YRS",IF(BF387&gt;1094,"&gt;3YRS")))))))))</f>
        <v>61-90 DAYS</v>
      </c>
      <c r="CJ387" s="137">
        <f t="shared" ref="CJ387:CJ450" si="327">IF(CI387="0-10 DAYS",1,IF(CI387="11-30 DAYS",2,IF(CI387="31-60 DAYS",3,IF(CI387="61-90 DAYS",4,IF(CK387="91-120 DAYS",5,IF(CI387="121-365 DAYS",6,IF(CI387="&gt;1YRS&lt;2YRS",7,IF(CI387="&gt;2YRS&lt;3YRS",8,IF(CI387="&gt;3YRS",9,0)))))))))</f>
        <v>4</v>
      </c>
      <c r="CK387" s="129" t="str">
        <f t="shared" ref="CK387:CK450" si="328">IF(I387="Not Booked","Not Booked","Booked")</f>
        <v>Booked</v>
      </c>
    </row>
    <row r="388" spans="1:89" ht="15.75" customHeight="1" x14ac:dyDescent="0.25">
      <c r="A388" s="111">
        <v>2944</v>
      </c>
      <c r="B388" s="128" t="str">
        <f t="shared" si="309"/>
        <v>N</v>
      </c>
      <c r="C388" s="128" t="str">
        <f t="shared" si="310"/>
        <v>N</v>
      </c>
      <c r="D388" s="117">
        <v>1067638</v>
      </c>
      <c r="E388" s="135">
        <f t="shared" si="311"/>
        <v>5</v>
      </c>
      <c r="F388" s="124">
        <v>41017</v>
      </c>
      <c r="G388" s="125">
        <v>41095</v>
      </c>
      <c r="H388" s="117">
        <v>1067638</v>
      </c>
      <c r="I388" s="124">
        <v>41024</v>
      </c>
      <c r="J388" s="124">
        <v>41095</v>
      </c>
      <c r="K388" s="126">
        <v>20000</v>
      </c>
      <c r="L388" s="127" t="s">
        <v>571</v>
      </c>
      <c r="N388" s="129" t="str">
        <f>IF(M388&gt;1/1/1,"Y","N")</f>
        <v>N</v>
      </c>
      <c r="O388" s="128" t="s">
        <v>917</v>
      </c>
      <c r="P388" s="129" t="s">
        <v>39</v>
      </c>
      <c r="Q388" s="111">
        <f t="shared" si="298"/>
        <v>72</v>
      </c>
      <c r="R388" s="111">
        <f t="shared" si="304"/>
        <v>79</v>
      </c>
      <c r="S388" s="129">
        <v>8</v>
      </c>
      <c r="T388" s="129">
        <v>7</v>
      </c>
      <c r="U388" s="129">
        <v>5</v>
      </c>
      <c r="W388" s="111"/>
      <c r="AC388" s="130"/>
      <c r="AD388" s="130">
        <v>25728</v>
      </c>
      <c r="AE388" s="128" t="s">
        <v>32</v>
      </c>
      <c r="AF388" s="128" t="s">
        <v>33</v>
      </c>
      <c r="AG388" s="128" t="s">
        <v>872</v>
      </c>
      <c r="AH388" s="108" t="s">
        <v>58</v>
      </c>
      <c r="AI388" s="128" t="s">
        <v>59</v>
      </c>
      <c r="AJ388" s="129" t="s">
        <v>89</v>
      </c>
      <c r="AK388" s="129">
        <v>4</v>
      </c>
      <c r="AL388" s="3" t="s">
        <v>992</v>
      </c>
      <c r="AN388" s="117">
        <v>6</v>
      </c>
      <c r="AP388" s="129" t="s">
        <v>60</v>
      </c>
      <c r="AR388" s="128" t="s">
        <v>44</v>
      </c>
      <c r="AS388" s="129" t="s">
        <v>61</v>
      </c>
      <c r="BC388" s="129" t="s">
        <v>38</v>
      </c>
      <c r="BF388" s="111">
        <f t="shared" si="299"/>
        <v>72</v>
      </c>
      <c r="BG388" s="111">
        <f t="shared" si="300"/>
        <v>72</v>
      </c>
      <c r="BH388" s="111">
        <f t="shared" si="305"/>
        <v>79</v>
      </c>
      <c r="BI388" s="111">
        <f t="shared" si="306"/>
        <v>41.77322404371585</v>
      </c>
      <c r="BJ388" s="129">
        <f t="shared" si="312"/>
        <v>0</v>
      </c>
      <c r="BK388" s="129">
        <f t="shared" si="307"/>
        <v>0</v>
      </c>
      <c r="BL388" s="129" t="str">
        <f t="shared" si="308"/>
        <v>CONVICTION</v>
      </c>
      <c r="BM388" s="129" t="str">
        <f t="shared" si="313"/>
        <v>NONE</v>
      </c>
      <c r="BN388" s="129" t="s">
        <v>566</v>
      </c>
      <c r="BP388" s="137" t="str">
        <f t="shared" si="314"/>
        <v>CONVICTION</v>
      </c>
      <c r="BQ388" s="128" t="str">
        <f t="shared" si="315"/>
        <v>Y</v>
      </c>
      <c r="BR388" s="129" t="str">
        <f t="shared" si="316"/>
        <v>DETAINED</v>
      </c>
      <c r="BS388" s="129" t="str">
        <f t="shared" si="317"/>
        <v>DISPOSED</v>
      </c>
      <c r="BT388" s="129" t="str">
        <f t="shared" si="318"/>
        <v>Y</v>
      </c>
      <c r="BU388" s="109">
        <f t="shared" ref="BU388:BU449" si="329">Q388/R388</f>
        <v>0.91139240506329111</v>
      </c>
      <c r="BV388" s="109">
        <f t="shared" si="319"/>
        <v>1</v>
      </c>
      <c r="BW388" s="109">
        <f t="shared" si="294"/>
        <v>8.8607594936708889E-2</v>
      </c>
      <c r="BX388" s="111">
        <f t="shared" si="320"/>
        <v>0</v>
      </c>
      <c r="BY388" s="129">
        <f t="shared" si="321"/>
        <v>-72</v>
      </c>
      <c r="BZ388" s="111">
        <f t="shared" si="322"/>
        <v>0</v>
      </c>
      <c r="CA388" s="138">
        <f t="shared" si="323"/>
        <v>72</v>
      </c>
      <c r="CB388" s="111" t="e">
        <f t="shared" si="288"/>
        <v>#VALUE!</v>
      </c>
      <c r="CC388" s="129">
        <f t="shared" si="302"/>
        <v>72</v>
      </c>
      <c r="CD388" s="129">
        <f t="shared" si="303"/>
        <v>0</v>
      </c>
      <c r="CE388" s="129">
        <f t="shared" si="324"/>
        <v>0</v>
      </c>
      <c r="CG388" s="129" t="str">
        <f t="shared" si="325"/>
        <v>Y</v>
      </c>
      <c r="CI388" s="129" t="str">
        <f t="shared" si="326"/>
        <v>61-90 DAYS</v>
      </c>
      <c r="CJ388" s="137">
        <f t="shared" si="327"/>
        <v>4</v>
      </c>
      <c r="CK388" s="129" t="str">
        <f t="shared" si="328"/>
        <v>Booked</v>
      </c>
    </row>
    <row r="389" spans="1:89" ht="15.75" customHeight="1" x14ac:dyDescent="0.25">
      <c r="A389" s="111">
        <v>789</v>
      </c>
      <c r="B389" s="128" t="str">
        <f t="shared" si="309"/>
        <v>N</v>
      </c>
      <c r="C389" s="128" t="str">
        <f t="shared" si="310"/>
        <v>N</v>
      </c>
      <c r="D389" s="117">
        <v>1070599</v>
      </c>
      <c r="E389" s="135">
        <f t="shared" si="311"/>
        <v>6</v>
      </c>
      <c r="F389" s="124">
        <v>40939</v>
      </c>
      <c r="G389" s="125">
        <v>40949</v>
      </c>
      <c r="H389" s="117">
        <v>1070599</v>
      </c>
      <c r="I389" s="124">
        <v>40940</v>
      </c>
      <c r="J389" s="124">
        <v>40949</v>
      </c>
      <c r="K389" s="126">
        <v>10000</v>
      </c>
      <c r="L389" s="127" t="s">
        <v>570</v>
      </c>
      <c r="N389" s="129" t="str">
        <f>IF(M389&gt;1/1/1,"Y","N")</f>
        <v>N</v>
      </c>
      <c r="O389" s="128" t="s">
        <v>917</v>
      </c>
      <c r="P389" s="129" t="s">
        <v>39</v>
      </c>
      <c r="Q389" s="111">
        <f t="shared" si="298"/>
        <v>10</v>
      </c>
      <c r="R389" s="111">
        <f t="shared" si="304"/>
        <v>11</v>
      </c>
      <c r="S389" s="129">
        <v>2</v>
      </c>
      <c r="T389" s="129">
        <v>4</v>
      </c>
      <c r="U389" s="129">
        <v>2</v>
      </c>
      <c r="W389" s="111"/>
      <c r="AC389" s="130"/>
      <c r="AD389" s="130">
        <v>25493</v>
      </c>
      <c r="AE389" s="128" t="s">
        <v>32</v>
      </c>
      <c r="AF389" s="128" t="s">
        <v>33</v>
      </c>
      <c r="AG389" s="128" t="s">
        <v>872</v>
      </c>
      <c r="AH389" s="108" t="s">
        <v>58</v>
      </c>
      <c r="AI389" s="128" t="s">
        <v>53</v>
      </c>
      <c r="AJ389" s="129" t="s">
        <v>89</v>
      </c>
      <c r="AK389" s="129">
        <v>3</v>
      </c>
      <c r="AL389" s="3" t="s">
        <v>362</v>
      </c>
      <c r="AM389" s="117">
        <v>2</v>
      </c>
      <c r="AP389" s="129" t="s">
        <v>170</v>
      </c>
      <c r="AR389" s="128" t="s">
        <v>67</v>
      </c>
      <c r="AS389" s="129" t="s">
        <v>64</v>
      </c>
      <c r="AX389" s="32"/>
      <c r="BC389" s="129" t="s">
        <v>38</v>
      </c>
      <c r="BF389" s="111">
        <f t="shared" si="299"/>
        <v>10</v>
      </c>
      <c r="BG389" s="111">
        <f t="shared" si="300"/>
        <v>10</v>
      </c>
      <c r="BH389" s="111">
        <f t="shared" si="305"/>
        <v>11</v>
      </c>
      <c r="BI389" s="111">
        <f t="shared" si="306"/>
        <v>42.202185792349724</v>
      </c>
      <c r="BJ389" s="129">
        <f t="shared" si="312"/>
        <v>0</v>
      </c>
      <c r="BK389" s="129">
        <f t="shared" si="307"/>
        <v>0</v>
      </c>
      <c r="BL389" s="129" t="str">
        <f t="shared" si="308"/>
        <v>CONVICTION</v>
      </c>
      <c r="BM389" s="129" t="str">
        <f t="shared" si="313"/>
        <v>NONE</v>
      </c>
      <c r="BN389" s="129" t="s">
        <v>566</v>
      </c>
      <c r="BP389" s="137" t="str">
        <f t="shared" si="314"/>
        <v>CONVICTION</v>
      </c>
      <c r="BQ389" s="128" t="str">
        <f t="shared" si="315"/>
        <v>Y</v>
      </c>
      <c r="BR389" s="129" t="str">
        <f t="shared" si="316"/>
        <v>DETAINED</v>
      </c>
      <c r="BS389" s="129" t="str">
        <f t="shared" si="317"/>
        <v>DISPOSED</v>
      </c>
      <c r="BT389" s="129" t="str">
        <f t="shared" si="318"/>
        <v>Y</v>
      </c>
      <c r="BU389" s="109">
        <f t="shared" si="329"/>
        <v>0.90909090909090906</v>
      </c>
      <c r="BV389" s="109">
        <f t="shared" si="319"/>
        <v>1</v>
      </c>
      <c r="BW389" s="109">
        <f t="shared" si="294"/>
        <v>9.0909090909090939E-2</v>
      </c>
      <c r="BX389" s="111">
        <f t="shared" si="320"/>
        <v>0</v>
      </c>
      <c r="BY389" s="129">
        <f t="shared" si="321"/>
        <v>-10</v>
      </c>
      <c r="BZ389" s="111">
        <f t="shared" si="322"/>
        <v>0</v>
      </c>
      <c r="CA389" s="138">
        <f t="shared" si="323"/>
        <v>10</v>
      </c>
      <c r="CB389" s="111" t="e">
        <f t="shared" si="288"/>
        <v>#VALUE!</v>
      </c>
      <c r="CC389" s="129">
        <f t="shared" si="302"/>
        <v>10</v>
      </c>
      <c r="CD389" s="129">
        <f t="shared" si="303"/>
        <v>0</v>
      </c>
      <c r="CE389" s="129">
        <f t="shared" si="324"/>
        <v>0</v>
      </c>
      <c r="CG389" s="129" t="str">
        <f t="shared" si="325"/>
        <v>Y</v>
      </c>
      <c r="CI389" s="129" t="str">
        <f t="shared" si="326"/>
        <v>0-10 DAYS</v>
      </c>
      <c r="CJ389" s="137">
        <f t="shared" si="327"/>
        <v>1</v>
      </c>
      <c r="CK389" s="129" t="str">
        <f t="shared" si="328"/>
        <v>Booked</v>
      </c>
    </row>
    <row r="390" spans="1:89" ht="15.75" customHeight="1" x14ac:dyDescent="0.25">
      <c r="A390" s="111">
        <v>1210</v>
      </c>
      <c r="B390" s="128" t="str">
        <f t="shared" si="309"/>
        <v>N</v>
      </c>
      <c r="C390" s="128" t="str">
        <f t="shared" si="310"/>
        <v>N</v>
      </c>
      <c r="D390" s="117">
        <v>1072704</v>
      </c>
      <c r="E390" s="135">
        <f t="shared" si="311"/>
        <v>6</v>
      </c>
      <c r="F390" s="124">
        <v>40953</v>
      </c>
      <c r="G390" s="125">
        <v>41130</v>
      </c>
      <c r="H390" s="117">
        <v>1072704</v>
      </c>
      <c r="I390" s="124">
        <v>40953</v>
      </c>
      <c r="J390" s="124">
        <v>41130</v>
      </c>
      <c r="K390" s="126" t="s">
        <v>564</v>
      </c>
      <c r="L390" s="127" t="s">
        <v>564</v>
      </c>
      <c r="N390" s="129" t="s">
        <v>566</v>
      </c>
      <c r="O390" s="128" t="s">
        <v>917</v>
      </c>
      <c r="P390" s="129" t="s">
        <v>39</v>
      </c>
      <c r="Q390" s="111">
        <f t="shared" si="298"/>
        <v>178</v>
      </c>
      <c r="R390" s="111">
        <f t="shared" si="304"/>
        <v>178</v>
      </c>
      <c r="S390" s="129">
        <v>8</v>
      </c>
      <c r="T390" s="129">
        <v>14</v>
      </c>
      <c r="U390" s="129">
        <v>5</v>
      </c>
      <c r="W390" s="111"/>
      <c r="AC390" s="130"/>
      <c r="AD390" s="130">
        <v>26285</v>
      </c>
      <c r="AE390" s="128" t="s">
        <v>32</v>
      </c>
      <c r="AF390" s="128" t="s">
        <v>33</v>
      </c>
      <c r="AG390" s="128" t="s">
        <v>872</v>
      </c>
      <c r="AH390" s="108" t="s">
        <v>31</v>
      </c>
      <c r="AI390" s="128" t="s">
        <v>80</v>
      </c>
      <c r="AJ390" s="129" t="s">
        <v>89</v>
      </c>
      <c r="AK390" s="129">
        <v>5</v>
      </c>
      <c r="AL390" s="3" t="s">
        <v>362</v>
      </c>
      <c r="AM390" s="117">
        <v>2</v>
      </c>
      <c r="AP390" s="129" t="s">
        <v>84</v>
      </c>
      <c r="AR390" s="128" t="s">
        <v>67</v>
      </c>
      <c r="AS390" s="129" t="s">
        <v>74</v>
      </c>
      <c r="BC390" s="129" t="s">
        <v>52</v>
      </c>
      <c r="BF390" s="111">
        <f t="shared" si="299"/>
        <v>178</v>
      </c>
      <c r="BG390" s="111">
        <f t="shared" si="300"/>
        <v>178</v>
      </c>
      <c r="BH390" s="111">
        <f t="shared" si="305"/>
        <v>178</v>
      </c>
      <c r="BI390" s="111">
        <f t="shared" si="306"/>
        <v>40.076502732240435</v>
      </c>
      <c r="BJ390" s="129">
        <f t="shared" si="312"/>
        <v>0</v>
      </c>
      <c r="BK390" s="129">
        <f t="shared" si="307"/>
        <v>0</v>
      </c>
      <c r="BL390" s="129" t="str">
        <f t="shared" si="308"/>
        <v>CONVICTION</v>
      </c>
      <c r="BM390" s="129" t="str">
        <f t="shared" si="313"/>
        <v>NONE</v>
      </c>
      <c r="BN390" s="129" t="s">
        <v>566</v>
      </c>
      <c r="BP390" s="137" t="str">
        <f t="shared" si="314"/>
        <v>CONVICTION</v>
      </c>
      <c r="BQ390" s="128" t="str">
        <f t="shared" si="315"/>
        <v>Y</v>
      </c>
      <c r="BR390" s="129" t="str">
        <f t="shared" si="316"/>
        <v>DETAINED</v>
      </c>
      <c r="BS390" s="129" t="str">
        <f t="shared" si="317"/>
        <v>DISPOSED</v>
      </c>
      <c r="BT390" s="129" t="str">
        <f t="shared" si="318"/>
        <v>Y</v>
      </c>
      <c r="BU390" s="109">
        <f t="shared" si="329"/>
        <v>1</v>
      </c>
      <c r="BV390" s="109">
        <f t="shared" si="319"/>
        <v>1</v>
      </c>
      <c r="BW390" s="109">
        <f t="shared" si="294"/>
        <v>0</v>
      </c>
      <c r="BX390" s="111">
        <f t="shared" si="320"/>
        <v>0</v>
      </c>
      <c r="BY390" s="129">
        <f t="shared" si="321"/>
        <v>-178</v>
      </c>
      <c r="BZ390" s="111">
        <f t="shared" si="322"/>
        <v>0</v>
      </c>
      <c r="CA390" s="138">
        <f t="shared" si="323"/>
        <v>178</v>
      </c>
      <c r="CB390" s="111" t="e">
        <f t="shared" si="288"/>
        <v>#VALUE!</v>
      </c>
      <c r="CC390" s="129">
        <f t="shared" si="302"/>
        <v>178</v>
      </c>
      <c r="CD390" s="129">
        <f t="shared" si="303"/>
        <v>0</v>
      </c>
      <c r="CE390" s="129">
        <f t="shared" si="324"/>
        <v>0</v>
      </c>
      <c r="CG390" s="129" t="str">
        <f t="shared" si="325"/>
        <v>Y</v>
      </c>
      <c r="CI390" s="129" t="str">
        <f t="shared" si="326"/>
        <v>121-365 DAYS</v>
      </c>
      <c r="CJ390" s="137">
        <f t="shared" si="327"/>
        <v>6</v>
      </c>
      <c r="CK390" s="129" t="str">
        <f t="shared" si="328"/>
        <v>Booked</v>
      </c>
    </row>
    <row r="391" spans="1:89" ht="15.75" customHeight="1" x14ac:dyDescent="0.25">
      <c r="A391" s="111">
        <v>694</v>
      </c>
      <c r="B391" s="128" t="str">
        <f t="shared" si="309"/>
        <v>N</v>
      </c>
      <c r="C391" s="128" t="str">
        <f t="shared" si="310"/>
        <v>N</v>
      </c>
      <c r="D391" s="117">
        <v>1073569</v>
      </c>
      <c r="E391" s="135">
        <f t="shared" si="311"/>
        <v>3</v>
      </c>
      <c r="F391" s="124">
        <v>40936</v>
      </c>
      <c r="G391" s="125">
        <v>41073</v>
      </c>
      <c r="H391" s="117">
        <v>1073569</v>
      </c>
      <c r="I391" s="124" t="s">
        <v>562</v>
      </c>
      <c r="J391" s="124" t="s">
        <v>562</v>
      </c>
      <c r="K391" s="126">
        <v>10000</v>
      </c>
      <c r="L391" s="127" t="s">
        <v>570</v>
      </c>
      <c r="M391" s="125">
        <v>40937</v>
      </c>
      <c r="N391" s="129" t="str">
        <f>IF(M391&gt;1/1/1,"Y",IF(Q391="0","","N"))</f>
        <v>Y</v>
      </c>
      <c r="O391" s="128" t="s">
        <v>585</v>
      </c>
      <c r="P391" s="129" t="s">
        <v>39</v>
      </c>
      <c r="Q391" s="111">
        <f t="shared" si="298"/>
        <v>0</v>
      </c>
      <c r="R391" s="111">
        <f t="shared" si="304"/>
        <v>138</v>
      </c>
      <c r="S391" s="129">
        <v>0</v>
      </c>
      <c r="T391" s="129">
        <v>3</v>
      </c>
      <c r="W391" s="111"/>
      <c r="AC391" s="130"/>
      <c r="AD391" s="130">
        <v>25179</v>
      </c>
      <c r="AE391" s="128" t="s">
        <v>46</v>
      </c>
      <c r="AF391" s="128" t="s">
        <v>69</v>
      </c>
      <c r="AG391" s="128" t="s">
        <v>874</v>
      </c>
      <c r="AH391" s="108" t="s">
        <v>31</v>
      </c>
      <c r="AI391" s="128" t="s">
        <v>53</v>
      </c>
      <c r="AJ391" s="129" t="s">
        <v>89</v>
      </c>
      <c r="AK391" s="129">
        <v>8</v>
      </c>
      <c r="AL391" s="3" t="s">
        <v>185</v>
      </c>
      <c r="AP391" s="129" t="s">
        <v>66</v>
      </c>
      <c r="AR391" s="128" t="s">
        <v>67</v>
      </c>
      <c r="AS391" s="129" t="s">
        <v>68</v>
      </c>
      <c r="BC391" s="129" t="s">
        <v>52</v>
      </c>
      <c r="BF391" s="111">
        <v>0</v>
      </c>
      <c r="BG391" s="111">
        <v>0</v>
      </c>
      <c r="BH391" s="111">
        <f t="shared" si="305"/>
        <v>138</v>
      </c>
      <c r="BI391" s="111">
        <f t="shared" si="306"/>
        <v>43.051912568306008</v>
      </c>
      <c r="BJ391" s="129" t="e">
        <f>(G391-J391)+(M391-G391)</f>
        <v>#VALUE!</v>
      </c>
      <c r="BK391" s="129" t="e">
        <f t="shared" si="307"/>
        <v>#VALUE!</v>
      </c>
      <c r="BL391" s="129" t="str">
        <f t="shared" si="308"/>
        <v>CONVICTION</v>
      </c>
      <c r="BM391" s="129" t="s">
        <v>76</v>
      </c>
      <c r="BN391" s="129" t="s">
        <v>88</v>
      </c>
      <c r="BP391" s="137" t="str">
        <f t="shared" si="314"/>
        <v>CONVICTION</v>
      </c>
      <c r="BQ391" s="128">
        <f t="shared" si="315"/>
        <v>0</v>
      </c>
      <c r="BR391" s="129" t="s">
        <v>575</v>
      </c>
      <c r="BS391" s="129" t="str">
        <f t="shared" si="317"/>
        <v>DISPOSED</v>
      </c>
      <c r="BT391" s="129" t="str">
        <f t="shared" si="318"/>
        <v>N</v>
      </c>
      <c r="BU391" s="109">
        <f t="shared" si="329"/>
        <v>0</v>
      </c>
      <c r="BV391" s="109">
        <v>0</v>
      </c>
      <c r="BW391" s="109">
        <f t="shared" si="294"/>
        <v>0</v>
      </c>
      <c r="BX391" s="111">
        <f t="shared" si="320"/>
        <v>0</v>
      </c>
      <c r="BY391" s="129" t="e">
        <f t="shared" si="321"/>
        <v>#VALUE!</v>
      </c>
      <c r="BZ391" s="111" t="e">
        <f t="shared" si="322"/>
        <v>#VALUE!</v>
      </c>
      <c r="CA391" s="138" t="e">
        <f t="shared" si="323"/>
        <v>#VALUE!</v>
      </c>
      <c r="CB391" s="111">
        <v>0</v>
      </c>
      <c r="CC391" s="129">
        <v>0</v>
      </c>
      <c r="CD391" s="111">
        <f>CC391-BF391</f>
        <v>0</v>
      </c>
      <c r="CE391" s="129" t="e">
        <f t="shared" si="324"/>
        <v>#VALUE!</v>
      </c>
      <c r="CG391" s="129" t="str">
        <f t="shared" si="325"/>
        <v>Y</v>
      </c>
      <c r="CI391" s="129" t="str">
        <f t="shared" si="326"/>
        <v>0-10 DAYS</v>
      </c>
      <c r="CJ391" s="137">
        <f t="shared" si="327"/>
        <v>1</v>
      </c>
      <c r="CK391" s="129" t="str">
        <f t="shared" si="328"/>
        <v>Not Booked</v>
      </c>
    </row>
    <row r="392" spans="1:89" ht="15" customHeight="1" x14ac:dyDescent="0.25">
      <c r="A392" s="111">
        <v>2419</v>
      </c>
      <c r="B392" s="128" t="str">
        <f t="shared" si="309"/>
        <v>N</v>
      </c>
      <c r="C392" s="128" t="str">
        <f t="shared" si="310"/>
        <v>N</v>
      </c>
      <c r="D392" s="117">
        <v>1077321</v>
      </c>
      <c r="E392" s="135">
        <f t="shared" si="311"/>
        <v>3</v>
      </c>
      <c r="F392" s="124">
        <v>41000</v>
      </c>
      <c r="G392" s="125">
        <v>41103</v>
      </c>
      <c r="H392" s="117">
        <v>1077321</v>
      </c>
      <c r="I392" s="124">
        <v>41000</v>
      </c>
      <c r="J392" s="124">
        <v>41001</v>
      </c>
      <c r="K392" s="126">
        <v>10000</v>
      </c>
      <c r="L392" s="127" t="s">
        <v>570</v>
      </c>
      <c r="M392" s="125">
        <v>41001</v>
      </c>
      <c r="N392" s="129" t="str">
        <f>IF(M392&gt;1/1/1,"Y","N")</f>
        <v>Y</v>
      </c>
      <c r="O392" s="128" t="s">
        <v>585</v>
      </c>
      <c r="P392" s="129" t="s">
        <v>39</v>
      </c>
      <c r="Q392" s="111">
        <f t="shared" si="298"/>
        <v>2</v>
      </c>
      <c r="R392" s="111">
        <f t="shared" si="304"/>
        <v>104</v>
      </c>
      <c r="S392" s="129">
        <v>1</v>
      </c>
      <c r="T392" s="129">
        <v>7</v>
      </c>
      <c r="V392" s="117">
        <v>1</v>
      </c>
      <c r="W392" s="111"/>
      <c r="AC392" s="130"/>
      <c r="AD392" s="130">
        <v>26308</v>
      </c>
      <c r="AE392" s="128" t="s">
        <v>32</v>
      </c>
      <c r="AF392" s="128" t="s">
        <v>33</v>
      </c>
      <c r="AG392" s="128" t="s">
        <v>872</v>
      </c>
      <c r="AH392" s="108" t="s">
        <v>31</v>
      </c>
      <c r="AI392" s="128" t="s">
        <v>71</v>
      </c>
      <c r="AJ392" s="129" t="s">
        <v>89</v>
      </c>
      <c r="AK392" s="129">
        <v>4</v>
      </c>
      <c r="AL392" s="3" t="s">
        <v>185</v>
      </c>
      <c r="AP392" s="129" t="s">
        <v>66</v>
      </c>
      <c r="AR392" s="128" t="s">
        <v>67</v>
      </c>
      <c r="AS392" s="129" t="s">
        <v>68</v>
      </c>
      <c r="BC392" s="129" t="s">
        <v>52</v>
      </c>
      <c r="BF392" s="111">
        <f t="shared" ref="BF392:BF423" si="330">IF(J392&gt;1/1/1900,((J392+1)-I392),"STILL OPEN")</f>
        <v>2</v>
      </c>
      <c r="BG392" s="111">
        <f t="shared" ref="BG392:BG423" si="331">IF(G392&gt;1/1/1900,((G392+1)-I392),"STILL OPEN")</f>
        <v>104</v>
      </c>
      <c r="BH392" s="111">
        <f t="shared" si="305"/>
        <v>104</v>
      </c>
      <c r="BI392" s="111">
        <f t="shared" si="306"/>
        <v>40.142076502732237</v>
      </c>
      <c r="BJ392" s="129">
        <f>(G392-J392)+(M392-G392)</f>
        <v>0</v>
      </c>
      <c r="BK392" s="129">
        <f t="shared" si="307"/>
        <v>-102</v>
      </c>
      <c r="BL392" s="129" t="str">
        <f t="shared" si="308"/>
        <v>CONVICTION</v>
      </c>
      <c r="BM392" s="129" t="s">
        <v>76</v>
      </c>
      <c r="BN392" s="129" t="s">
        <v>88</v>
      </c>
      <c r="BP392" s="137" t="str">
        <f t="shared" si="314"/>
        <v>CONVICTION</v>
      </c>
      <c r="BQ392" s="128" t="str">
        <f t="shared" si="315"/>
        <v>Y</v>
      </c>
      <c r="BR392" s="129" t="str">
        <f>IF(J392&lt;G392,"ON BOND",0)</f>
        <v>ON BOND</v>
      </c>
      <c r="BS392" s="129" t="str">
        <f t="shared" si="317"/>
        <v>DISPOSED</v>
      </c>
      <c r="BT392" s="129" t="str">
        <f t="shared" si="318"/>
        <v>Y</v>
      </c>
      <c r="BU392" s="109">
        <f t="shared" si="329"/>
        <v>1.9230769230769232E-2</v>
      </c>
      <c r="BV392" s="109">
        <f t="shared" si="319"/>
        <v>1.9230769230769232E-2</v>
      </c>
      <c r="BW392" s="109">
        <f t="shared" si="294"/>
        <v>0</v>
      </c>
      <c r="BX392" s="111">
        <f t="shared" si="320"/>
        <v>0</v>
      </c>
      <c r="BY392" s="129">
        <f t="shared" si="321"/>
        <v>-2</v>
      </c>
      <c r="BZ392" s="111">
        <f t="shared" si="322"/>
        <v>0</v>
      </c>
      <c r="CA392" s="138">
        <f t="shared" si="323"/>
        <v>2</v>
      </c>
      <c r="CB392" s="111" t="e">
        <f t="shared" ref="CB392:CB444" si="332">IF(AF392&gt;1/1/1900,((AF392+1)-AE392),"STILL OPEN")</f>
        <v>#VALUE!</v>
      </c>
      <c r="CC392" s="129">
        <f>M392-I392+1</f>
        <v>2</v>
      </c>
      <c r="CD392" s="111">
        <f>CC392-BF392</f>
        <v>0</v>
      </c>
      <c r="CE392" s="129">
        <f t="shared" si="324"/>
        <v>102</v>
      </c>
      <c r="CG392" s="129" t="str">
        <f t="shared" si="325"/>
        <v>Y</v>
      </c>
      <c r="CI392" s="129" t="str">
        <f t="shared" si="326"/>
        <v>0-10 DAYS</v>
      </c>
      <c r="CJ392" s="137">
        <f t="shared" si="327"/>
        <v>1</v>
      </c>
      <c r="CK392" s="129" t="str">
        <f t="shared" si="328"/>
        <v>Booked</v>
      </c>
    </row>
    <row r="393" spans="1:89" ht="15.75" customHeight="1" x14ac:dyDescent="0.25">
      <c r="A393" s="111">
        <v>660</v>
      </c>
      <c r="B393" s="128" t="str">
        <f t="shared" si="309"/>
        <v>N</v>
      </c>
      <c r="C393" s="128" t="str">
        <f t="shared" si="310"/>
        <v>N</v>
      </c>
      <c r="D393" s="117">
        <v>1078196</v>
      </c>
      <c r="E393" s="135">
        <f t="shared" si="311"/>
        <v>5</v>
      </c>
      <c r="F393" s="124">
        <v>40935</v>
      </c>
      <c r="G393" s="125">
        <v>41078</v>
      </c>
      <c r="H393" s="117">
        <v>1078196</v>
      </c>
      <c r="I393" s="124">
        <v>40935</v>
      </c>
      <c r="J393" s="124">
        <v>40941</v>
      </c>
      <c r="K393" s="126">
        <v>15000</v>
      </c>
      <c r="L393" s="127" t="s">
        <v>571</v>
      </c>
      <c r="M393" s="125">
        <v>40941</v>
      </c>
      <c r="N393" s="129" t="str">
        <f>IF(M393&gt;1/1/1,"Y","N")</f>
        <v>Y</v>
      </c>
      <c r="O393" s="128" t="s">
        <v>585</v>
      </c>
      <c r="P393" s="129" t="s">
        <v>39</v>
      </c>
      <c r="Q393" s="111">
        <f t="shared" si="298"/>
        <v>7</v>
      </c>
      <c r="R393" s="111">
        <f t="shared" si="304"/>
        <v>144</v>
      </c>
      <c r="S393" s="129">
        <v>3</v>
      </c>
      <c r="T393" s="129">
        <v>7</v>
      </c>
      <c r="U393" s="129">
        <v>2</v>
      </c>
      <c r="W393" s="111"/>
      <c r="AC393" s="130"/>
      <c r="AD393" s="130">
        <v>24303</v>
      </c>
      <c r="AE393" s="128" t="s">
        <v>32</v>
      </c>
      <c r="AF393" s="128" t="s">
        <v>40</v>
      </c>
      <c r="AG393" s="128" t="s">
        <v>41</v>
      </c>
      <c r="AH393" s="108" t="s">
        <v>41</v>
      </c>
      <c r="AI393" s="128" t="s">
        <v>53</v>
      </c>
      <c r="AJ393" s="129" t="s">
        <v>89</v>
      </c>
      <c r="AK393" s="129">
        <v>10</v>
      </c>
      <c r="AL393" s="3" t="s">
        <v>992</v>
      </c>
      <c r="AN393" s="117">
        <v>6</v>
      </c>
      <c r="AP393" s="129" t="s">
        <v>43</v>
      </c>
      <c r="AR393" s="128" t="s">
        <v>44</v>
      </c>
      <c r="AS393" s="129" t="s">
        <v>45</v>
      </c>
      <c r="BC393" s="129" t="s">
        <v>52</v>
      </c>
      <c r="BF393" s="111">
        <f t="shared" si="330"/>
        <v>7</v>
      </c>
      <c r="BG393" s="111">
        <f t="shared" si="331"/>
        <v>144</v>
      </c>
      <c r="BH393" s="111">
        <f t="shared" si="305"/>
        <v>144</v>
      </c>
      <c r="BI393" s="111">
        <f t="shared" si="306"/>
        <v>45.442622950819676</v>
      </c>
      <c r="BJ393" s="129">
        <f>(G393-J393)+(M393-G393)</f>
        <v>0</v>
      </c>
      <c r="BK393" s="129">
        <f t="shared" si="307"/>
        <v>-137</v>
      </c>
      <c r="BL393" s="129" t="str">
        <f t="shared" si="308"/>
        <v>CONVICTION</v>
      </c>
      <c r="BM393" s="129" t="s">
        <v>76</v>
      </c>
      <c r="BN393" s="129" t="s">
        <v>88</v>
      </c>
      <c r="BP393" s="137" t="str">
        <f t="shared" si="314"/>
        <v>CONVICTION</v>
      </c>
      <c r="BQ393" s="128" t="str">
        <f t="shared" si="315"/>
        <v>Y</v>
      </c>
      <c r="BR393" s="129" t="str">
        <f>IF(J393&lt;G393,"ON BOND",0)</f>
        <v>ON BOND</v>
      </c>
      <c r="BS393" s="129" t="str">
        <f t="shared" si="317"/>
        <v>DISPOSED</v>
      </c>
      <c r="BT393" s="129" t="str">
        <f t="shared" si="318"/>
        <v>Y</v>
      </c>
      <c r="BU393" s="109">
        <f t="shared" si="329"/>
        <v>4.8611111111111112E-2</v>
      </c>
      <c r="BV393" s="109">
        <f t="shared" si="319"/>
        <v>4.8611111111111112E-2</v>
      </c>
      <c r="BW393" s="109">
        <f t="shared" si="294"/>
        <v>0</v>
      </c>
      <c r="BX393" s="111">
        <f t="shared" si="320"/>
        <v>0</v>
      </c>
      <c r="BY393" s="129">
        <f t="shared" si="321"/>
        <v>-7</v>
      </c>
      <c r="BZ393" s="111">
        <f t="shared" si="322"/>
        <v>0</v>
      </c>
      <c r="CA393" s="138">
        <f t="shared" si="323"/>
        <v>7</v>
      </c>
      <c r="CB393" s="111" t="e">
        <f t="shared" si="332"/>
        <v>#VALUE!</v>
      </c>
      <c r="CC393" s="129">
        <f>M393-I393+1</f>
        <v>7</v>
      </c>
      <c r="CD393" s="111">
        <f>CC393-BF393</f>
        <v>0</v>
      </c>
      <c r="CE393" s="129">
        <f t="shared" si="324"/>
        <v>137</v>
      </c>
      <c r="CG393" s="129" t="str">
        <f t="shared" si="325"/>
        <v>Y</v>
      </c>
      <c r="CI393" s="129" t="str">
        <f t="shared" si="326"/>
        <v>0-10 DAYS</v>
      </c>
      <c r="CJ393" s="137">
        <f t="shared" si="327"/>
        <v>1</v>
      </c>
      <c r="CK393" s="129" t="str">
        <f t="shared" si="328"/>
        <v>Booked</v>
      </c>
    </row>
    <row r="394" spans="1:89" ht="15" customHeight="1" x14ac:dyDescent="0.25">
      <c r="A394" s="111">
        <v>2515</v>
      </c>
      <c r="B394" s="128" t="str">
        <f t="shared" si="309"/>
        <v>N</v>
      </c>
      <c r="C394" s="128" t="str">
        <f t="shared" si="310"/>
        <v>N</v>
      </c>
      <c r="D394" s="117">
        <v>1079885</v>
      </c>
      <c r="E394" s="135">
        <f t="shared" si="311"/>
        <v>5</v>
      </c>
      <c r="F394" s="124">
        <v>41003</v>
      </c>
      <c r="G394" s="125">
        <v>41101</v>
      </c>
      <c r="H394" s="117">
        <v>1079885</v>
      </c>
      <c r="I394" s="124">
        <v>41003</v>
      </c>
      <c r="J394" s="124">
        <v>41101</v>
      </c>
      <c r="K394" s="126">
        <v>15000</v>
      </c>
      <c r="L394" s="127" t="s">
        <v>571</v>
      </c>
      <c r="N394" s="129" t="str">
        <f>IF(M394&gt;1/1/1,"Y","N")</f>
        <v>N</v>
      </c>
      <c r="O394" s="128" t="s">
        <v>917</v>
      </c>
      <c r="P394" s="129" t="s">
        <v>39</v>
      </c>
      <c r="Q394" s="111">
        <f t="shared" si="298"/>
        <v>99</v>
      </c>
      <c r="R394" s="111">
        <f t="shared" si="304"/>
        <v>99</v>
      </c>
      <c r="S394" s="129">
        <v>2</v>
      </c>
      <c r="T394" s="129">
        <v>4</v>
      </c>
      <c r="U394" s="129">
        <v>2</v>
      </c>
      <c r="W394" s="111"/>
      <c r="AC394" s="130"/>
      <c r="AD394" s="130">
        <v>26628</v>
      </c>
      <c r="AE394" s="128" t="s">
        <v>32</v>
      </c>
      <c r="AF394" s="128" t="s">
        <v>40</v>
      </c>
      <c r="AG394" s="128" t="s">
        <v>41</v>
      </c>
      <c r="AH394" s="108" t="s">
        <v>41</v>
      </c>
      <c r="AI394" s="128" t="s">
        <v>100</v>
      </c>
      <c r="AJ394" s="129" t="s">
        <v>89</v>
      </c>
      <c r="AK394" s="129">
        <v>5</v>
      </c>
      <c r="AL394" s="3" t="s">
        <v>992</v>
      </c>
      <c r="AN394" s="117">
        <v>9</v>
      </c>
      <c r="AP394" s="129" t="s">
        <v>60</v>
      </c>
      <c r="AR394" s="128" t="s">
        <v>44</v>
      </c>
      <c r="AS394" s="129" t="s">
        <v>61</v>
      </c>
      <c r="BC394" s="129" t="s">
        <v>52</v>
      </c>
      <c r="BF394" s="111">
        <f t="shared" si="330"/>
        <v>99</v>
      </c>
      <c r="BG394" s="111">
        <f t="shared" si="331"/>
        <v>99</v>
      </c>
      <c r="BH394" s="111">
        <f t="shared" si="305"/>
        <v>99</v>
      </c>
      <c r="BI394" s="111">
        <f t="shared" si="306"/>
        <v>39.275956284153004</v>
      </c>
      <c r="BJ394" s="129">
        <f t="shared" si="312"/>
        <v>0</v>
      </c>
      <c r="BK394" s="129">
        <f t="shared" si="307"/>
        <v>0</v>
      </c>
      <c r="BL394" s="129" t="str">
        <f t="shared" si="308"/>
        <v>CONVICTION</v>
      </c>
      <c r="BM394" s="129" t="str">
        <f t="shared" si="313"/>
        <v>NONE</v>
      </c>
      <c r="BN394" s="129" t="s">
        <v>566</v>
      </c>
      <c r="BP394" s="137" t="str">
        <f t="shared" si="314"/>
        <v>CONVICTION</v>
      </c>
      <c r="BQ394" s="128" t="str">
        <f t="shared" si="315"/>
        <v>Y</v>
      </c>
      <c r="BR394" s="129" t="str">
        <f t="shared" si="316"/>
        <v>DETAINED</v>
      </c>
      <c r="BS394" s="129" t="str">
        <f t="shared" si="317"/>
        <v>DISPOSED</v>
      </c>
      <c r="BT394" s="129" t="str">
        <f t="shared" si="318"/>
        <v>Y</v>
      </c>
      <c r="BU394" s="109">
        <f t="shared" si="329"/>
        <v>1</v>
      </c>
      <c r="BV394" s="109">
        <f t="shared" si="319"/>
        <v>1</v>
      </c>
      <c r="BW394" s="109">
        <f t="shared" si="294"/>
        <v>0</v>
      </c>
      <c r="BX394" s="111">
        <f t="shared" si="320"/>
        <v>0</v>
      </c>
      <c r="BY394" s="129">
        <f t="shared" si="321"/>
        <v>-99</v>
      </c>
      <c r="BZ394" s="111">
        <f t="shared" si="322"/>
        <v>0</v>
      </c>
      <c r="CA394" s="138">
        <f t="shared" si="323"/>
        <v>99</v>
      </c>
      <c r="CB394" s="111" t="e">
        <f t="shared" si="332"/>
        <v>#VALUE!</v>
      </c>
      <c r="CC394" s="129">
        <f>G394-I394+1</f>
        <v>99</v>
      </c>
      <c r="CD394" s="129">
        <f>G394-J394</f>
        <v>0</v>
      </c>
      <c r="CE394" s="129">
        <f t="shared" si="324"/>
        <v>0</v>
      </c>
      <c r="CG394" s="129" t="str">
        <f t="shared" si="325"/>
        <v>Y</v>
      </c>
      <c r="CI394" s="129" t="str">
        <f t="shared" si="326"/>
        <v>91-120 DAYS</v>
      </c>
      <c r="CJ394" s="137">
        <f t="shared" si="327"/>
        <v>0</v>
      </c>
      <c r="CK394" s="129" t="str">
        <f t="shared" si="328"/>
        <v>Booked</v>
      </c>
    </row>
    <row r="395" spans="1:89" ht="15.75" customHeight="1" x14ac:dyDescent="0.25">
      <c r="A395" s="111">
        <v>1972</v>
      </c>
      <c r="B395" s="128" t="str">
        <f t="shared" si="309"/>
        <v>N</v>
      </c>
      <c r="C395" s="128" t="str">
        <f t="shared" si="310"/>
        <v>N</v>
      </c>
      <c r="D395" s="117">
        <v>1080170</v>
      </c>
      <c r="E395" s="135">
        <f t="shared" si="311"/>
        <v>6</v>
      </c>
      <c r="F395" s="124">
        <v>40982</v>
      </c>
      <c r="G395" s="125">
        <v>41103</v>
      </c>
      <c r="H395" s="117">
        <v>1080170</v>
      </c>
      <c r="I395" s="124">
        <v>40983</v>
      </c>
      <c r="J395" s="124">
        <v>41103</v>
      </c>
      <c r="K395" s="126" t="s">
        <v>564</v>
      </c>
      <c r="L395" s="127" t="s">
        <v>564</v>
      </c>
      <c r="N395" s="129" t="s">
        <v>566</v>
      </c>
      <c r="O395" s="128" t="s">
        <v>917</v>
      </c>
      <c r="P395" s="129" t="s">
        <v>39</v>
      </c>
      <c r="Q395" s="111">
        <f t="shared" si="298"/>
        <v>121</v>
      </c>
      <c r="R395" s="111">
        <f t="shared" si="304"/>
        <v>122</v>
      </c>
      <c r="S395" s="129">
        <v>7</v>
      </c>
      <c r="T395" s="129">
        <v>0</v>
      </c>
      <c r="U395" s="129">
        <v>4</v>
      </c>
      <c r="W395" s="111"/>
      <c r="AC395" s="130"/>
      <c r="AD395" s="130">
        <v>21309</v>
      </c>
      <c r="AE395" s="128" t="s">
        <v>32</v>
      </c>
      <c r="AF395" s="128" t="s">
        <v>33</v>
      </c>
      <c r="AG395" s="128" t="s">
        <v>872</v>
      </c>
      <c r="AH395" s="108" t="s">
        <v>58</v>
      </c>
      <c r="AI395" s="128" t="s">
        <v>100</v>
      </c>
      <c r="AJ395" s="129" t="s">
        <v>89</v>
      </c>
      <c r="AK395" s="129">
        <v>5</v>
      </c>
      <c r="AL395" s="3" t="s">
        <v>362</v>
      </c>
      <c r="AM395" s="142">
        <v>10</v>
      </c>
      <c r="AN395" s="142"/>
      <c r="AP395" s="129" t="s">
        <v>93</v>
      </c>
      <c r="AR395" s="128" t="s">
        <v>67</v>
      </c>
      <c r="AS395" s="129" t="s">
        <v>45</v>
      </c>
      <c r="BC395" s="129" t="s">
        <v>99</v>
      </c>
      <c r="BF395" s="111">
        <f t="shared" si="330"/>
        <v>121</v>
      </c>
      <c r="BG395" s="111">
        <f t="shared" si="331"/>
        <v>121</v>
      </c>
      <c r="BH395" s="111">
        <f t="shared" si="305"/>
        <v>122</v>
      </c>
      <c r="BI395" s="111">
        <f t="shared" si="306"/>
        <v>53.751366120218577</v>
      </c>
      <c r="BJ395" s="129">
        <f t="shared" si="312"/>
        <v>0</v>
      </c>
      <c r="BK395" s="129">
        <f t="shared" si="307"/>
        <v>0</v>
      </c>
      <c r="BL395" s="129" t="str">
        <f t="shared" si="308"/>
        <v>CONVICTION</v>
      </c>
      <c r="BM395" s="129" t="str">
        <f t="shared" si="313"/>
        <v>NONE</v>
      </c>
      <c r="BN395" s="129" t="s">
        <v>566</v>
      </c>
      <c r="BP395" s="137" t="str">
        <f t="shared" si="314"/>
        <v>CONVICTION</v>
      </c>
      <c r="BQ395" s="128" t="str">
        <f t="shared" si="315"/>
        <v>Y</v>
      </c>
      <c r="BR395" s="129" t="str">
        <f t="shared" si="316"/>
        <v>DETAINED</v>
      </c>
      <c r="BS395" s="129" t="str">
        <f t="shared" si="317"/>
        <v>DISPOSED</v>
      </c>
      <c r="BT395" s="129" t="str">
        <f t="shared" si="318"/>
        <v>Y</v>
      </c>
      <c r="BU395" s="109">
        <f t="shared" si="329"/>
        <v>0.99180327868852458</v>
      </c>
      <c r="BV395" s="109">
        <f t="shared" si="319"/>
        <v>1</v>
      </c>
      <c r="BW395" s="109">
        <f t="shared" si="294"/>
        <v>8.1967213114754189E-3</v>
      </c>
      <c r="BX395" s="111">
        <f t="shared" si="320"/>
        <v>0</v>
      </c>
      <c r="BY395" s="129">
        <f t="shared" si="321"/>
        <v>-121</v>
      </c>
      <c r="BZ395" s="111">
        <f t="shared" si="322"/>
        <v>0</v>
      </c>
      <c r="CA395" s="138">
        <f t="shared" si="323"/>
        <v>121</v>
      </c>
      <c r="CB395" s="111" t="e">
        <f t="shared" si="332"/>
        <v>#VALUE!</v>
      </c>
      <c r="CC395" s="129">
        <f>G395-I395+1</f>
        <v>121</v>
      </c>
      <c r="CD395" s="129">
        <f>G395-J395</f>
        <v>0</v>
      </c>
      <c r="CE395" s="129">
        <f t="shared" si="324"/>
        <v>0</v>
      </c>
      <c r="CG395" s="129" t="str">
        <f t="shared" si="325"/>
        <v>Y</v>
      </c>
      <c r="CI395" s="129" t="str">
        <f t="shared" si="326"/>
        <v>121-365 DAYS</v>
      </c>
      <c r="CJ395" s="137">
        <f t="shared" si="327"/>
        <v>6</v>
      </c>
      <c r="CK395" s="129" t="str">
        <f t="shared" si="328"/>
        <v>Booked</v>
      </c>
    </row>
    <row r="396" spans="1:89" ht="15" customHeight="1" x14ac:dyDescent="0.25">
      <c r="A396" s="111">
        <v>2506</v>
      </c>
      <c r="B396" s="128" t="str">
        <f t="shared" si="309"/>
        <v>N</v>
      </c>
      <c r="C396" s="128" t="str">
        <f t="shared" si="310"/>
        <v>N</v>
      </c>
      <c r="D396" s="117">
        <v>1080191</v>
      </c>
      <c r="E396" s="135">
        <f t="shared" si="311"/>
        <v>5</v>
      </c>
      <c r="F396" s="124">
        <v>41003</v>
      </c>
      <c r="G396" s="125">
        <v>41004</v>
      </c>
      <c r="H396" s="117">
        <v>1080191</v>
      </c>
      <c r="I396" s="124">
        <v>41003</v>
      </c>
      <c r="J396" s="124">
        <v>41004</v>
      </c>
      <c r="K396" s="126">
        <v>15000</v>
      </c>
      <c r="L396" s="127" t="s">
        <v>571</v>
      </c>
      <c r="N396" s="129" t="str">
        <f>IF(M396&gt;1/1/1,"Y","N")</f>
        <v>N</v>
      </c>
      <c r="O396" s="128" t="s">
        <v>917</v>
      </c>
      <c r="P396" s="129" t="s">
        <v>39</v>
      </c>
      <c r="Q396" s="111">
        <f t="shared" si="298"/>
        <v>2</v>
      </c>
      <c r="R396" s="111">
        <f t="shared" si="304"/>
        <v>2</v>
      </c>
      <c r="S396" s="129">
        <v>5</v>
      </c>
      <c r="T396" s="129">
        <v>8</v>
      </c>
      <c r="U396" s="129">
        <v>4</v>
      </c>
      <c r="W396" s="111"/>
      <c r="AC396" s="130"/>
      <c r="AD396" s="130">
        <v>24249</v>
      </c>
      <c r="AE396" s="128" t="s">
        <v>32</v>
      </c>
      <c r="AF396" s="128" t="s">
        <v>33</v>
      </c>
      <c r="AG396" s="128" t="s">
        <v>872</v>
      </c>
      <c r="AH396" s="108" t="s">
        <v>31</v>
      </c>
      <c r="AI396" s="128" t="s">
        <v>47</v>
      </c>
      <c r="AJ396" s="129" t="s">
        <v>89</v>
      </c>
      <c r="AK396" s="129">
        <v>1</v>
      </c>
      <c r="AL396" s="3" t="s">
        <v>992</v>
      </c>
      <c r="AN396" s="117">
        <v>6</v>
      </c>
      <c r="AP396" s="129" t="s">
        <v>121</v>
      </c>
      <c r="AR396" s="128" t="s">
        <v>44</v>
      </c>
      <c r="AS396" s="129" t="s">
        <v>122</v>
      </c>
      <c r="BC396" s="129" t="s">
        <v>38</v>
      </c>
      <c r="BF396" s="111">
        <f t="shared" si="330"/>
        <v>2</v>
      </c>
      <c r="BG396" s="111">
        <f t="shared" si="331"/>
        <v>2</v>
      </c>
      <c r="BH396" s="111">
        <f t="shared" si="305"/>
        <v>2</v>
      </c>
      <c r="BI396" s="111">
        <f t="shared" si="306"/>
        <v>45.775956284153004</v>
      </c>
      <c r="BJ396" s="129">
        <f t="shared" si="312"/>
        <v>0</v>
      </c>
      <c r="BK396" s="129">
        <f t="shared" si="307"/>
        <v>0</v>
      </c>
      <c r="BL396" s="129" t="str">
        <f t="shared" si="308"/>
        <v>CONVICTION</v>
      </c>
      <c r="BM396" s="129" t="str">
        <f t="shared" si="313"/>
        <v>NONE</v>
      </c>
      <c r="BN396" s="129" t="s">
        <v>566</v>
      </c>
      <c r="BP396" s="137" t="str">
        <f t="shared" si="314"/>
        <v>CONVICTION</v>
      </c>
      <c r="BQ396" s="128" t="str">
        <f t="shared" si="315"/>
        <v>Y</v>
      </c>
      <c r="BR396" s="129" t="str">
        <f t="shared" si="316"/>
        <v>DETAINED</v>
      </c>
      <c r="BS396" s="129" t="str">
        <f t="shared" si="317"/>
        <v>DISPOSED</v>
      </c>
      <c r="BT396" s="129" t="str">
        <f t="shared" si="318"/>
        <v>Y</v>
      </c>
      <c r="BU396" s="109">
        <f t="shared" si="329"/>
        <v>1</v>
      </c>
      <c r="BV396" s="109">
        <f t="shared" si="319"/>
        <v>1</v>
      </c>
      <c r="BW396" s="109">
        <f t="shared" si="294"/>
        <v>0</v>
      </c>
      <c r="BX396" s="111">
        <f t="shared" si="320"/>
        <v>0</v>
      </c>
      <c r="BY396" s="129">
        <f t="shared" si="321"/>
        <v>-2</v>
      </c>
      <c r="BZ396" s="111">
        <f t="shared" si="322"/>
        <v>0</v>
      </c>
      <c r="CA396" s="138">
        <f t="shared" si="323"/>
        <v>2</v>
      </c>
      <c r="CB396" s="111" t="e">
        <f t="shared" si="332"/>
        <v>#VALUE!</v>
      </c>
      <c r="CC396" s="129">
        <f>G396-I396+1</f>
        <v>2</v>
      </c>
      <c r="CD396" s="129">
        <f>G396-J396</f>
        <v>0</v>
      </c>
      <c r="CE396" s="129">
        <f t="shared" si="324"/>
        <v>0</v>
      </c>
      <c r="CG396" s="129" t="str">
        <f t="shared" si="325"/>
        <v>Y</v>
      </c>
      <c r="CI396" s="129" t="str">
        <f t="shared" si="326"/>
        <v>0-10 DAYS</v>
      </c>
      <c r="CJ396" s="137">
        <f t="shared" si="327"/>
        <v>1</v>
      </c>
      <c r="CK396" s="129" t="str">
        <f t="shared" si="328"/>
        <v>Booked</v>
      </c>
    </row>
    <row r="397" spans="1:89" ht="15.75" customHeight="1" x14ac:dyDescent="0.25">
      <c r="A397" s="111">
        <v>3145</v>
      </c>
      <c r="B397" s="128" t="str">
        <f t="shared" si="309"/>
        <v>N</v>
      </c>
      <c r="C397" s="128" t="str">
        <f t="shared" si="310"/>
        <v>N</v>
      </c>
      <c r="D397" s="117">
        <v>1081120</v>
      </c>
      <c r="E397" s="135">
        <f t="shared" si="311"/>
        <v>1</v>
      </c>
      <c r="F397" s="124">
        <v>41025</v>
      </c>
      <c r="G397" s="125">
        <v>41108</v>
      </c>
      <c r="H397" s="117">
        <v>1081120</v>
      </c>
      <c r="I397" s="124">
        <v>41025</v>
      </c>
      <c r="J397" s="124">
        <v>41108</v>
      </c>
      <c r="K397" s="126">
        <v>15000</v>
      </c>
      <c r="L397" s="127" t="s">
        <v>571</v>
      </c>
      <c r="N397" s="129" t="str">
        <f>IF(M397&gt;1/1/1,"Y","N")</f>
        <v>N</v>
      </c>
      <c r="O397" s="128" t="s">
        <v>917</v>
      </c>
      <c r="P397" s="129" t="s">
        <v>123</v>
      </c>
      <c r="Q397" s="111">
        <f t="shared" si="298"/>
        <v>84</v>
      </c>
      <c r="R397" s="111">
        <f t="shared" si="304"/>
        <v>84</v>
      </c>
      <c r="S397" s="129">
        <v>5</v>
      </c>
      <c r="T397" s="129">
        <v>2</v>
      </c>
      <c r="U397" s="129">
        <v>2</v>
      </c>
      <c r="W397" s="111"/>
      <c r="AB397" s="131" t="s">
        <v>112</v>
      </c>
      <c r="AC397" s="130"/>
      <c r="AD397" s="130">
        <v>26246</v>
      </c>
      <c r="AE397" s="128" t="s">
        <v>32</v>
      </c>
      <c r="AF397" s="128" t="s">
        <v>40</v>
      </c>
      <c r="AG397" s="128" t="s">
        <v>41</v>
      </c>
      <c r="AH397" s="108" t="s">
        <v>58</v>
      </c>
      <c r="AI397" s="128" t="s">
        <v>118</v>
      </c>
      <c r="AJ397" s="129" t="s">
        <v>123</v>
      </c>
      <c r="AK397" s="129">
        <v>6</v>
      </c>
      <c r="AL397" s="3" t="s">
        <v>123</v>
      </c>
      <c r="AP397" s="129" t="s">
        <v>43</v>
      </c>
      <c r="AR397" s="128" t="s">
        <v>44</v>
      </c>
      <c r="AS397" s="129" t="s">
        <v>45</v>
      </c>
      <c r="BC397" s="129" t="s">
        <v>52</v>
      </c>
      <c r="BF397" s="111">
        <f t="shared" si="330"/>
        <v>84</v>
      </c>
      <c r="BG397" s="111">
        <f t="shared" si="331"/>
        <v>84</v>
      </c>
      <c r="BH397" s="111">
        <f t="shared" si="305"/>
        <v>84</v>
      </c>
      <c r="BI397" s="111">
        <f t="shared" si="306"/>
        <v>40.379781420765028</v>
      </c>
      <c r="BJ397" s="129">
        <f t="shared" si="312"/>
        <v>0</v>
      </c>
      <c r="BK397" s="129">
        <f t="shared" si="307"/>
        <v>0</v>
      </c>
      <c r="BL397" s="129" t="str">
        <f t="shared" si="308"/>
        <v>NO CONVICTION</v>
      </c>
      <c r="BM397" s="129" t="str">
        <f t="shared" si="313"/>
        <v>NONE</v>
      </c>
      <c r="BN397" s="129" t="s">
        <v>566</v>
      </c>
      <c r="BP397" s="137" t="str">
        <f t="shared" si="314"/>
        <v>NO CONVICTION</v>
      </c>
      <c r="BQ397" s="128" t="str">
        <f t="shared" si="315"/>
        <v>Y</v>
      </c>
      <c r="BR397" s="129" t="str">
        <f t="shared" si="316"/>
        <v>DETAINED</v>
      </c>
      <c r="BS397" s="129" t="str">
        <f t="shared" si="317"/>
        <v>DISPOSED</v>
      </c>
      <c r="BT397" s="129" t="str">
        <f t="shared" si="318"/>
        <v>Y</v>
      </c>
      <c r="BU397" s="109">
        <f>IFERROR(Q397/R397,BR397)</f>
        <v>1</v>
      </c>
      <c r="BV397" s="109">
        <f t="shared" si="319"/>
        <v>1</v>
      </c>
      <c r="BW397" s="109">
        <f t="shared" si="294"/>
        <v>0</v>
      </c>
      <c r="BX397" s="111">
        <f t="shared" si="320"/>
        <v>0</v>
      </c>
      <c r="BY397" s="129">
        <f t="shared" si="321"/>
        <v>-84</v>
      </c>
      <c r="BZ397" s="111">
        <f t="shared" si="322"/>
        <v>0</v>
      </c>
      <c r="CA397" s="138">
        <f t="shared" si="323"/>
        <v>84</v>
      </c>
      <c r="CB397" s="111" t="e">
        <f t="shared" si="332"/>
        <v>#VALUE!</v>
      </c>
      <c r="CC397" s="129">
        <f>G397-I397+1</f>
        <v>84</v>
      </c>
      <c r="CD397" s="129">
        <f>G397-J397</f>
        <v>0</v>
      </c>
      <c r="CE397" s="129">
        <f t="shared" si="324"/>
        <v>0</v>
      </c>
      <c r="CG397" s="129" t="str">
        <f t="shared" si="325"/>
        <v>Y</v>
      </c>
      <c r="CI397" s="129" t="str">
        <f t="shared" si="326"/>
        <v>61-90 DAYS</v>
      </c>
      <c r="CJ397" s="137">
        <f t="shared" si="327"/>
        <v>4</v>
      </c>
      <c r="CK397" s="129" t="str">
        <f t="shared" si="328"/>
        <v>Booked</v>
      </c>
    </row>
    <row r="398" spans="1:89" ht="15" customHeight="1" x14ac:dyDescent="0.25">
      <c r="A398" s="111">
        <v>1110</v>
      </c>
      <c r="B398" s="128" t="str">
        <f t="shared" si="309"/>
        <v>N</v>
      </c>
      <c r="C398" s="128" t="str">
        <f t="shared" si="310"/>
        <v>N</v>
      </c>
      <c r="D398" s="117">
        <v>1084073</v>
      </c>
      <c r="E398" s="135">
        <f t="shared" si="311"/>
        <v>1</v>
      </c>
      <c r="F398" s="124">
        <v>40949</v>
      </c>
      <c r="G398" s="125">
        <v>41144</v>
      </c>
      <c r="H398" s="117">
        <v>1084073</v>
      </c>
      <c r="I398" s="124">
        <v>40949</v>
      </c>
      <c r="J398" s="124">
        <v>40951</v>
      </c>
      <c r="K398" s="126">
        <v>30000</v>
      </c>
      <c r="L398" s="129" t="s">
        <v>572</v>
      </c>
      <c r="M398" s="125">
        <v>40951</v>
      </c>
      <c r="N398" s="129" t="str">
        <f>IF(M398&gt;1/1/1,"Y","N")</f>
        <v>Y</v>
      </c>
      <c r="O398" s="128" t="s">
        <v>76</v>
      </c>
      <c r="P398" s="129" t="s">
        <v>55</v>
      </c>
      <c r="Q398" s="111">
        <f t="shared" si="298"/>
        <v>3</v>
      </c>
      <c r="R398" s="111">
        <f t="shared" si="304"/>
        <v>196</v>
      </c>
      <c r="S398" s="129">
        <v>0</v>
      </c>
      <c r="T398" s="129">
        <v>0</v>
      </c>
      <c r="W398" s="111"/>
      <c r="AC398" s="130"/>
      <c r="AD398" s="130">
        <v>25070</v>
      </c>
      <c r="AE398" s="128" t="s">
        <v>32</v>
      </c>
      <c r="AF398" s="128" t="s">
        <v>69</v>
      </c>
      <c r="AG398" s="128" t="s">
        <v>874</v>
      </c>
      <c r="AH398" s="108" t="s">
        <v>31</v>
      </c>
      <c r="AI398" s="128" t="s">
        <v>80</v>
      </c>
      <c r="AJ398" s="129" t="s">
        <v>55</v>
      </c>
      <c r="AK398" s="129">
        <v>6</v>
      </c>
      <c r="AL398" s="3" t="s">
        <v>55</v>
      </c>
      <c r="AP398" s="129" t="s">
        <v>110</v>
      </c>
      <c r="AR398" s="128" t="s">
        <v>50</v>
      </c>
      <c r="AS398" s="129" t="s">
        <v>74</v>
      </c>
      <c r="BC398" s="129" t="s">
        <v>52</v>
      </c>
      <c r="BF398" s="111">
        <f t="shared" si="330"/>
        <v>3</v>
      </c>
      <c r="BG398" s="111">
        <f t="shared" si="331"/>
        <v>196</v>
      </c>
      <c r="BH398" s="111">
        <f t="shared" si="305"/>
        <v>196</v>
      </c>
      <c r="BI398" s="111">
        <f t="shared" si="306"/>
        <v>43.385245901639344</v>
      </c>
      <c r="BJ398" s="129">
        <f>(G398-J398)+(M398-G398)</f>
        <v>0</v>
      </c>
      <c r="BK398" s="129">
        <f t="shared" si="307"/>
        <v>-193</v>
      </c>
      <c r="BL398" s="129" t="str">
        <f t="shared" si="308"/>
        <v>NO CONVICTION</v>
      </c>
      <c r="BM398" s="129" t="s">
        <v>76</v>
      </c>
      <c r="BN398" s="129" t="s">
        <v>88</v>
      </c>
      <c r="BP398" s="137" t="str">
        <f t="shared" si="314"/>
        <v>NO CONVICTION</v>
      </c>
      <c r="BQ398" s="128" t="str">
        <f t="shared" si="315"/>
        <v>Y</v>
      </c>
      <c r="BR398" s="129" t="str">
        <f t="shared" si="316"/>
        <v>ON BOND</v>
      </c>
      <c r="BS398" s="129" t="str">
        <f t="shared" si="317"/>
        <v>DISPOSED</v>
      </c>
      <c r="BT398" s="129" t="str">
        <f t="shared" si="318"/>
        <v>N</v>
      </c>
      <c r="BU398" s="109">
        <f>IFERROR(Q398/R398,BR398)</f>
        <v>1.5306122448979591E-2</v>
      </c>
      <c r="BV398" s="109">
        <f t="shared" si="319"/>
        <v>1.5306122448979591E-2</v>
      </c>
      <c r="BW398" s="109">
        <f t="shared" si="294"/>
        <v>0</v>
      </c>
      <c r="BX398" s="111">
        <f t="shared" si="320"/>
        <v>0</v>
      </c>
      <c r="BY398" s="129">
        <f t="shared" si="321"/>
        <v>-3</v>
      </c>
      <c r="BZ398" s="111">
        <f t="shared" si="322"/>
        <v>0</v>
      </c>
      <c r="CA398" s="138">
        <f t="shared" si="323"/>
        <v>3</v>
      </c>
      <c r="CB398" s="111" t="e">
        <f t="shared" si="332"/>
        <v>#VALUE!</v>
      </c>
      <c r="CC398" s="129">
        <f>M398-I398+1</f>
        <v>3</v>
      </c>
      <c r="CD398" s="111">
        <f>CC398-BF398</f>
        <v>0</v>
      </c>
      <c r="CE398" s="129">
        <f t="shared" si="324"/>
        <v>193</v>
      </c>
      <c r="CG398" s="129" t="str">
        <f t="shared" si="325"/>
        <v>N</v>
      </c>
      <c r="CI398" s="129" t="str">
        <f t="shared" si="326"/>
        <v>0-10 DAYS</v>
      </c>
      <c r="CJ398" s="137">
        <f t="shared" si="327"/>
        <v>1</v>
      </c>
      <c r="CK398" s="129" t="str">
        <f t="shared" si="328"/>
        <v>Booked</v>
      </c>
    </row>
    <row r="399" spans="1:89" ht="15.75" customHeight="1" x14ac:dyDescent="0.25">
      <c r="A399" s="111">
        <v>267</v>
      </c>
      <c r="B399" s="128" t="str">
        <f t="shared" si="309"/>
        <v>N</v>
      </c>
      <c r="C399" s="128" t="str">
        <f t="shared" si="310"/>
        <v>N</v>
      </c>
      <c r="D399" s="117">
        <v>1085099</v>
      </c>
      <c r="E399" s="135">
        <f t="shared" si="311"/>
        <v>2</v>
      </c>
      <c r="F399" s="124">
        <v>40920</v>
      </c>
      <c r="G399" s="125">
        <v>40953</v>
      </c>
      <c r="H399" s="117">
        <v>1085099</v>
      </c>
      <c r="I399" s="124">
        <v>40950</v>
      </c>
      <c r="J399" s="124">
        <v>40953</v>
      </c>
      <c r="K399" s="126" t="s">
        <v>564</v>
      </c>
      <c r="L399" s="127" t="s">
        <v>564</v>
      </c>
      <c r="N399" s="129" t="s">
        <v>566</v>
      </c>
      <c r="O399" s="128" t="s">
        <v>917</v>
      </c>
      <c r="P399" s="129" t="s">
        <v>589</v>
      </c>
      <c r="Q399" s="111">
        <f t="shared" si="298"/>
        <v>4</v>
      </c>
      <c r="R399" s="111">
        <f t="shared" si="304"/>
        <v>34</v>
      </c>
      <c r="S399" s="129">
        <v>0</v>
      </c>
      <c r="T399" s="129">
        <v>5</v>
      </c>
      <c r="W399" s="111"/>
      <c r="AC399" s="130"/>
      <c r="AD399" s="130">
        <v>25346</v>
      </c>
      <c r="AE399" s="128" t="s">
        <v>32</v>
      </c>
      <c r="AF399" s="128" t="s">
        <v>33</v>
      </c>
      <c r="AG399" s="128" t="s">
        <v>872</v>
      </c>
      <c r="AH399" s="108" t="s">
        <v>58</v>
      </c>
      <c r="AI399" s="128" t="s">
        <v>100</v>
      </c>
      <c r="AJ399" s="129" t="s">
        <v>48</v>
      </c>
      <c r="AK399" s="129">
        <v>2</v>
      </c>
      <c r="AL399" s="3" t="s">
        <v>48</v>
      </c>
      <c r="AP399" s="129" t="s">
        <v>150</v>
      </c>
      <c r="AR399" s="128" t="s">
        <v>67</v>
      </c>
      <c r="AS399" s="129" t="s">
        <v>74</v>
      </c>
      <c r="BC399" s="129" t="s">
        <v>38</v>
      </c>
      <c r="BF399" s="111">
        <f t="shared" si="330"/>
        <v>4</v>
      </c>
      <c r="BG399" s="111">
        <f t="shared" si="331"/>
        <v>4</v>
      </c>
      <c r="BH399" s="111">
        <f t="shared" si="305"/>
        <v>34</v>
      </c>
      <c r="BI399" s="111">
        <f t="shared" si="306"/>
        <v>42.551912568306008</v>
      </c>
      <c r="BJ399" s="129">
        <f t="shared" si="312"/>
        <v>0</v>
      </c>
      <c r="BK399" s="129">
        <f t="shared" si="307"/>
        <v>0</v>
      </c>
      <c r="BL399" s="129" t="str">
        <f t="shared" si="308"/>
        <v>DEFERRED</v>
      </c>
      <c r="BM399" s="129" t="str">
        <f t="shared" si="313"/>
        <v>NONE</v>
      </c>
      <c r="BN399" s="129" t="s">
        <v>566</v>
      </c>
      <c r="BP399" s="137" t="str">
        <f t="shared" si="314"/>
        <v>DEFERRED</v>
      </c>
      <c r="BQ399" s="128" t="str">
        <f t="shared" si="315"/>
        <v>Y</v>
      </c>
      <c r="BR399" s="129" t="str">
        <f t="shared" si="316"/>
        <v>DETAINED</v>
      </c>
      <c r="BS399" s="129" t="str">
        <f t="shared" si="317"/>
        <v>DISPOSED</v>
      </c>
      <c r="BT399" s="129" t="str">
        <f t="shared" si="318"/>
        <v>N</v>
      </c>
      <c r="BU399" s="109">
        <f t="shared" si="329"/>
        <v>0.11764705882352941</v>
      </c>
      <c r="BV399" s="109">
        <f t="shared" si="319"/>
        <v>1</v>
      </c>
      <c r="BW399" s="109">
        <f t="shared" si="294"/>
        <v>0.88235294117647056</v>
      </c>
      <c r="BX399" s="111">
        <f t="shared" si="320"/>
        <v>0</v>
      </c>
      <c r="BY399" s="129">
        <f t="shared" si="321"/>
        <v>-4</v>
      </c>
      <c r="BZ399" s="111">
        <f t="shared" si="322"/>
        <v>0</v>
      </c>
      <c r="CA399" s="138">
        <f t="shared" si="323"/>
        <v>4</v>
      </c>
      <c r="CB399" s="111" t="e">
        <f t="shared" si="332"/>
        <v>#VALUE!</v>
      </c>
      <c r="CC399" s="129">
        <f t="shared" ref="CC399:CC413" si="333">G399-I399+1</f>
        <v>4</v>
      </c>
      <c r="CD399" s="129">
        <f t="shared" ref="CD399:CD413" si="334">G399-J399</f>
        <v>0</v>
      </c>
      <c r="CE399" s="129">
        <f t="shared" si="324"/>
        <v>0</v>
      </c>
      <c r="CG399" s="129" t="str">
        <f t="shared" si="325"/>
        <v>Y</v>
      </c>
      <c r="CI399" s="129" t="str">
        <f t="shared" si="326"/>
        <v>0-10 DAYS</v>
      </c>
      <c r="CJ399" s="137">
        <f t="shared" si="327"/>
        <v>1</v>
      </c>
      <c r="CK399" s="129" t="str">
        <f t="shared" si="328"/>
        <v>Booked</v>
      </c>
    </row>
    <row r="400" spans="1:89" ht="15.75" customHeight="1" x14ac:dyDescent="0.25">
      <c r="A400" s="111">
        <v>861</v>
      </c>
      <c r="B400" s="128" t="str">
        <f t="shared" si="309"/>
        <v>N</v>
      </c>
      <c r="C400" s="128" t="str">
        <f t="shared" si="310"/>
        <v>N</v>
      </c>
      <c r="D400" s="117">
        <v>1085257</v>
      </c>
      <c r="E400" s="135">
        <f t="shared" si="311"/>
        <v>6</v>
      </c>
      <c r="F400" s="124">
        <v>40941</v>
      </c>
      <c r="G400" s="125">
        <v>40945</v>
      </c>
      <c r="H400" s="117">
        <v>1085257</v>
      </c>
      <c r="I400" s="124">
        <v>40941</v>
      </c>
      <c r="J400" s="124">
        <v>40945</v>
      </c>
      <c r="K400" s="126">
        <v>20000</v>
      </c>
      <c r="L400" s="127" t="s">
        <v>571</v>
      </c>
      <c r="N400" s="129" t="str">
        <f>IF(M400&gt;1/1/1,"Y","N")</f>
        <v>N</v>
      </c>
      <c r="O400" s="128" t="s">
        <v>917</v>
      </c>
      <c r="P400" s="129" t="s">
        <v>39</v>
      </c>
      <c r="Q400" s="111">
        <f t="shared" si="298"/>
        <v>5</v>
      </c>
      <c r="R400" s="111">
        <f t="shared" si="304"/>
        <v>5</v>
      </c>
      <c r="S400" s="129">
        <v>1</v>
      </c>
      <c r="T400" s="129">
        <v>0</v>
      </c>
      <c r="U400" s="129">
        <v>1</v>
      </c>
      <c r="W400" s="111"/>
      <c r="AC400" s="130"/>
      <c r="AD400" s="130">
        <v>16265</v>
      </c>
      <c r="AE400" s="128" t="s">
        <v>32</v>
      </c>
      <c r="AF400" s="128" t="s">
        <v>69</v>
      </c>
      <c r="AG400" s="128" t="s">
        <v>874</v>
      </c>
      <c r="AH400" s="108" t="s">
        <v>58</v>
      </c>
      <c r="AI400" s="128" t="s">
        <v>34</v>
      </c>
      <c r="AJ400" s="129" t="s">
        <v>89</v>
      </c>
      <c r="AK400" s="129">
        <v>2</v>
      </c>
      <c r="AL400" s="3" t="s">
        <v>362</v>
      </c>
      <c r="AM400" s="117">
        <v>2</v>
      </c>
      <c r="AP400" s="129" t="s">
        <v>66</v>
      </c>
      <c r="AR400" s="128" t="s">
        <v>67</v>
      </c>
      <c r="AS400" s="129" t="s">
        <v>68</v>
      </c>
      <c r="BC400" s="129" t="s">
        <v>38</v>
      </c>
      <c r="BF400" s="111">
        <f t="shared" si="330"/>
        <v>5</v>
      </c>
      <c r="BG400" s="111">
        <f t="shared" si="331"/>
        <v>5</v>
      </c>
      <c r="BH400" s="111">
        <f t="shared" si="305"/>
        <v>5</v>
      </c>
      <c r="BI400" s="111">
        <f t="shared" si="306"/>
        <v>67.420765027322403</v>
      </c>
      <c r="BJ400" s="129">
        <f t="shared" si="312"/>
        <v>0</v>
      </c>
      <c r="BK400" s="129">
        <f t="shared" si="307"/>
        <v>0</v>
      </c>
      <c r="BL400" s="129" t="str">
        <f t="shared" si="308"/>
        <v>CONVICTION</v>
      </c>
      <c r="BM400" s="129" t="str">
        <f t="shared" si="313"/>
        <v>NONE</v>
      </c>
      <c r="BN400" s="129" t="s">
        <v>566</v>
      </c>
      <c r="BP400" s="137" t="str">
        <f t="shared" si="314"/>
        <v>CONVICTION</v>
      </c>
      <c r="BQ400" s="128" t="str">
        <f t="shared" si="315"/>
        <v>Y</v>
      </c>
      <c r="BR400" s="129" t="str">
        <f t="shared" si="316"/>
        <v>DETAINED</v>
      </c>
      <c r="BS400" s="129" t="str">
        <f t="shared" si="317"/>
        <v>DISPOSED</v>
      </c>
      <c r="BT400" s="129" t="str">
        <f t="shared" si="318"/>
        <v>Y</v>
      </c>
      <c r="BU400" s="109">
        <f t="shared" si="329"/>
        <v>1</v>
      </c>
      <c r="BV400" s="109">
        <f t="shared" si="319"/>
        <v>1</v>
      </c>
      <c r="BW400" s="109">
        <f t="shared" si="294"/>
        <v>0</v>
      </c>
      <c r="BX400" s="111">
        <f t="shared" si="320"/>
        <v>0</v>
      </c>
      <c r="BY400" s="129">
        <f t="shared" si="321"/>
        <v>-5</v>
      </c>
      <c r="BZ400" s="111">
        <f t="shared" si="322"/>
        <v>0</v>
      </c>
      <c r="CA400" s="138">
        <f t="shared" si="323"/>
        <v>5</v>
      </c>
      <c r="CB400" s="111" t="e">
        <f t="shared" si="332"/>
        <v>#VALUE!</v>
      </c>
      <c r="CC400" s="129">
        <f t="shared" si="333"/>
        <v>5</v>
      </c>
      <c r="CD400" s="129">
        <f t="shared" si="334"/>
        <v>0</v>
      </c>
      <c r="CE400" s="129">
        <f t="shared" si="324"/>
        <v>0</v>
      </c>
      <c r="CG400" s="129" t="str">
        <f t="shared" si="325"/>
        <v>Y</v>
      </c>
      <c r="CI400" s="129" t="str">
        <f t="shared" si="326"/>
        <v>0-10 DAYS</v>
      </c>
      <c r="CJ400" s="137">
        <f t="shared" si="327"/>
        <v>1</v>
      </c>
      <c r="CK400" s="129" t="str">
        <f t="shared" si="328"/>
        <v>Booked</v>
      </c>
    </row>
    <row r="401" spans="1:89" ht="15" customHeight="1" x14ac:dyDescent="0.25">
      <c r="A401" s="111">
        <v>2013</v>
      </c>
      <c r="B401" s="128" t="str">
        <f t="shared" si="309"/>
        <v>N</v>
      </c>
      <c r="C401" s="128" t="str">
        <f t="shared" si="310"/>
        <v>N</v>
      </c>
      <c r="D401" s="117">
        <v>1087523</v>
      </c>
      <c r="E401" s="135">
        <f t="shared" si="311"/>
        <v>6</v>
      </c>
      <c r="F401" s="124">
        <v>40984</v>
      </c>
      <c r="G401" s="125">
        <v>41043</v>
      </c>
      <c r="H401" s="117">
        <v>1087523</v>
      </c>
      <c r="I401" s="124">
        <v>40984</v>
      </c>
      <c r="J401" s="124">
        <v>41043</v>
      </c>
      <c r="K401" s="126" t="s">
        <v>564</v>
      </c>
      <c r="L401" s="127" t="s">
        <v>564</v>
      </c>
      <c r="N401" s="129" t="s">
        <v>566</v>
      </c>
      <c r="O401" s="128" t="s">
        <v>917</v>
      </c>
      <c r="P401" s="129" t="s">
        <v>39</v>
      </c>
      <c r="Q401" s="111">
        <f t="shared" si="298"/>
        <v>60</v>
      </c>
      <c r="R401" s="111">
        <f t="shared" si="304"/>
        <v>60</v>
      </c>
      <c r="S401" s="129">
        <v>3</v>
      </c>
      <c r="T401" s="129">
        <v>1</v>
      </c>
      <c r="U401" s="129">
        <v>3</v>
      </c>
      <c r="W401" s="111"/>
      <c r="AC401" s="130"/>
      <c r="AD401" s="130">
        <v>24993</v>
      </c>
      <c r="AE401" s="128" t="s">
        <v>32</v>
      </c>
      <c r="AF401" s="128" t="s">
        <v>33</v>
      </c>
      <c r="AG401" s="128" t="s">
        <v>872</v>
      </c>
      <c r="AH401" s="108" t="s">
        <v>58</v>
      </c>
      <c r="AI401" s="128" t="s">
        <v>85</v>
      </c>
      <c r="AJ401" s="129" t="s">
        <v>89</v>
      </c>
      <c r="AK401" s="129">
        <v>3</v>
      </c>
      <c r="AL401" s="3" t="s">
        <v>362</v>
      </c>
      <c r="AM401" s="145">
        <v>12</v>
      </c>
      <c r="AN401" s="145"/>
      <c r="AP401" s="129" t="s">
        <v>81</v>
      </c>
      <c r="AR401" s="128" t="s">
        <v>50</v>
      </c>
      <c r="AS401" s="129" t="s">
        <v>82</v>
      </c>
      <c r="BC401" s="129" t="s">
        <v>52</v>
      </c>
      <c r="BF401" s="111">
        <f t="shared" si="330"/>
        <v>60</v>
      </c>
      <c r="BG401" s="111">
        <f t="shared" si="331"/>
        <v>60</v>
      </c>
      <c r="BH401" s="111">
        <f t="shared" si="305"/>
        <v>60</v>
      </c>
      <c r="BI401" s="111">
        <f t="shared" si="306"/>
        <v>43.691256830601091</v>
      </c>
      <c r="BJ401" s="129">
        <f t="shared" si="312"/>
        <v>0</v>
      </c>
      <c r="BK401" s="129">
        <f t="shared" si="307"/>
        <v>0</v>
      </c>
      <c r="BL401" s="129" t="str">
        <f t="shared" si="308"/>
        <v>CONVICTION</v>
      </c>
      <c r="BM401" s="129" t="str">
        <f t="shared" si="313"/>
        <v>NONE</v>
      </c>
      <c r="BN401" s="129" t="s">
        <v>566</v>
      </c>
      <c r="BP401" s="137" t="str">
        <f t="shared" si="314"/>
        <v>CONVICTION</v>
      </c>
      <c r="BQ401" s="128" t="str">
        <f t="shared" si="315"/>
        <v>Y</v>
      </c>
      <c r="BR401" s="129" t="str">
        <f t="shared" si="316"/>
        <v>DETAINED</v>
      </c>
      <c r="BS401" s="129" t="str">
        <f t="shared" si="317"/>
        <v>DISPOSED</v>
      </c>
      <c r="BT401" s="129" t="str">
        <f t="shared" si="318"/>
        <v>Y</v>
      </c>
      <c r="BU401" s="109">
        <f t="shared" si="329"/>
        <v>1</v>
      </c>
      <c r="BV401" s="109">
        <f t="shared" si="319"/>
        <v>1</v>
      </c>
      <c r="BW401" s="109">
        <f t="shared" si="294"/>
        <v>0</v>
      </c>
      <c r="BX401" s="111">
        <f t="shared" si="320"/>
        <v>0</v>
      </c>
      <c r="BY401" s="129">
        <f t="shared" si="321"/>
        <v>-60</v>
      </c>
      <c r="BZ401" s="111">
        <f t="shared" si="322"/>
        <v>0</v>
      </c>
      <c r="CA401" s="138">
        <f t="shared" si="323"/>
        <v>60</v>
      </c>
      <c r="CB401" s="111" t="e">
        <f t="shared" si="332"/>
        <v>#VALUE!</v>
      </c>
      <c r="CC401" s="129">
        <f t="shared" si="333"/>
        <v>60</v>
      </c>
      <c r="CD401" s="129">
        <f t="shared" si="334"/>
        <v>0</v>
      </c>
      <c r="CE401" s="129">
        <f t="shared" si="324"/>
        <v>0</v>
      </c>
      <c r="CG401" s="129" t="str">
        <f t="shared" si="325"/>
        <v>Y</v>
      </c>
      <c r="CI401" s="129" t="str">
        <f t="shared" si="326"/>
        <v>31-60 DAYS</v>
      </c>
      <c r="CJ401" s="137">
        <f t="shared" si="327"/>
        <v>3</v>
      </c>
      <c r="CK401" s="129" t="str">
        <f t="shared" si="328"/>
        <v>Booked</v>
      </c>
    </row>
    <row r="402" spans="1:89" ht="15" customHeight="1" x14ac:dyDescent="0.25">
      <c r="A402" s="111">
        <v>2192</v>
      </c>
      <c r="B402" s="128" t="str">
        <f t="shared" si="309"/>
        <v>N</v>
      </c>
      <c r="C402" s="128" t="str">
        <f t="shared" si="310"/>
        <v>N</v>
      </c>
      <c r="D402" s="117">
        <v>1090286</v>
      </c>
      <c r="E402" s="135">
        <f t="shared" si="311"/>
        <v>5</v>
      </c>
      <c r="F402" s="124">
        <v>40991</v>
      </c>
      <c r="G402" s="125">
        <v>41115</v>
      </c>
      <c r="H402" s="117">
        <v>1090286</v>
      </c>
      <c r="I402" s="124">
        <v>40991</v>
      </c>
      <c r="J402" s="124">
        <v>41115</v>
      </c>
      <c r="K402" s="126">
        <v>30000</v>
      </c>
      <c r="L402" s="129" t="s">
        <v>572</v>
      </c>
      <c r="N402" s="129" t="str">
        <f>IF(M402&gt;1/1/1,"Y","N")</f>
        <v>N</v>
      </c>
      <c r="O402" s="128" t="s">
        <v>917</v>
      </c>
      <c r="P402" s="129" t="s">
        <v>39</v>
      </c>
      <c r="Q402" s="111">
        <f t="shared" si="298"/>
        <v>125</v>
      </c>
      <c r="R402" s="111">
        <f t="shared" si="304"/>
        <v>125</v>
      </c>
      <c r="S402" s="129">
        <v>3</v>
      </c>
      <c r="T402" s="129">
        <v>16</v>
      </c>
      <c r="U402" s="129">
        <v>1</v>
      </c>
      <c r="W402" s="111"/>
      <c r="AC402" s="130"/>
      <c r="AD402" s="130">
        <v>25198</v>
      </c>
      <c r="AE402" s="128" t="s">
        <v>32</v>
      </c>
      <c r="AF402" s="128" t="s">
        <v>69</v>
      </c>
      <c r="AG402" s="128" t="s">
        <v>874</v>
      </c>
      <c r="AH402" s="108" t="s">
        <v>31</v>
      </c>
      <c r="AI402" s="128" t="s">
        <v>47</v>
      </c>
      <c r="AJ402" s="129" t="s">
        <v>89</v>
      </c>
      <c r="AK402" s="129">
        <v>6</v>
      </c>
      <c r="AL402" s="3" t="s">
        <v>992</v>
      </c>
      <c r="AN402" s="117">
        <v>10</v>
      </c>
      <c r="AP402" s="129" t="s">
        <v>107</v>
      </c>
      <c r="AR402" s="128" t="s">
        <v>44</v>
      </c>
      <c r="AS402" s="129" t="s">
        <v>57</v>
      </c>
      <c r="BC402" s="129" t="s">
        <v>38</v>
      </c>
      <c r="BF402" s="111">
        <f t="shared" si="330"/>
        <v>125</v>
      </c>
      <c r="BG402" s="111">
        <f t="shared" si="331"/>
        <v>125</v>
      </c>
      <c r="BH402" s="111">
        <f t="shared" si="305"/>
        <v>125</v>
      </c>
      <c r="BI402" s="111">
        <f t="shared" si="306"/>
        <v>43.150273224043715</v>
      </c>
      <c r="BJ402" s="129">
        <f t="shared" si="312"/>
        <v>0</v>
      </c>
      <c r="BK402" s="129">
        <f t="shared" si="307"/>
        <v>0</v>
      </c>
      <c r="BL402" s="129" t="str">
        <f t="shared" si="308"/>
        <v>CONVICTION</v>
      </c>
      <c r="BM402" s="129" t="str">
        <f t="shared" si="313"/>
        <v>NONE</v>
      </c>
      <c r="BN402" s="129" t="s">
        <v>566</v>
      </c>
      <c r="BP402" s="137" t="str">
        <f t="shared" si="314"/>
        <v>CONVICTION</v>
      </c>
      <c r="BQ402" s="128" t="str">
        <f t="shared" si="315"/>
        <v>Y</v>
      </c>
      <c r="BR402" s="129" t="str">
        <f t="shared" si="316"/>
        <v>DETAINED</v>
      </c>
      <c r="BS402" s="129" t="str">
        <f t="shared" si="317"/>
        <v>DISPOSED</v>
      </c>
      <c r="BT402" s="129" t="str">
        <f t="shared" si="318"/>
        <v>Y</v>
      </c>
      <c r="BU402" s="109">
        <f t="shared" si="329"/>
        <v>1</v>
      </c>
      <c r="BV402" s="109">
        <f t="shared" si="319"/>
        <v>1</v>
      </c>
      <c r="BW402" s="109">
        <f t="shared" si="294"/>
        <v>0</v>
      </c>
      <c r="BX402" s="111">
        <f t="shared" si="320"/>
        <v>0</v>
      </c>
      <c r="BY402" s="129">
        <f t="shared" si="321"/>
        <v>-125</v>
      </c>
      <c r="BZ402" s="111">
        <f t="shared" si="322"/>
        <v>0</v>
      </c>
      <c r="CA402" s="138">
        <f t="shared" si="323"/>
        <v>125</v>
      </c>
      <c r="CB402" s="111" t="e">
        <f t="shared" si="332"/>
        <v>#VALUE!</v>
      </c>
      <c r="CC402" s="129">
        <f t="shared" si="333"/>
        <v>125</v>
      </c>
      <c r="CD402" s="129">
        <f t="shared" si="334"/>
        <v>0</v>
      </c>
      <c r="CE402" s="129">
        <f t="shared" si="324"/>
        <v>0</v>
      </c>
      <c r="CG402" s="129" t="str">
        <f t="shared" si="325"/>
        <v>Y</v>
      </c>
      <c r="CI402" s="129" t="str">
        <f t="shared" si="326"/>
        <v>121-365 DAYS</v>
      </c>
      <c r="CJ402" s="137">
        <f t="shared" si="327"/>
        <v>6</v>
      </c>
      <c r="CK402" s="129" t="str">
        <f t="shared" si="328"/>
        <v>Booked</v>
      </c>
    </row>
    <row r="403" spans="1:89" ht="15.75" customHeight="1" x14ac:dyDescent="0.25">
      <c r="A403" s="111">
        <v>197</v>
      </c>
      <c r="B403" s="128" t="str">
        <f t="shared" si="309"/>
        <v>N</v>
      </c>
      <c r="C403" s="128" t="str">
        <f t="shared" si="310"/>
        <v>N</v>
      </c>
      <c r="D403" s="117">
        <v>1091126</v>
      </c>
      <c r="E403" s="135">
        <f t="shared" si="311"/>
        <v>6</v>
      </c>
      <c r="F403" s="124">
        <v>40917</v>
      </c>
      <c r="G403" s="125">
        <v>40968</v>
      </c>
      <c r="H403" s="117">
        <v>1091126</v>
      </c>
      <c r="I403" s="124">
        <v>40917</v>
      </c>
      <c r="J403" s="124">
        <v>40968</v>
      </c>
      <c r="K403" s="126" t="s">
        <v>564</v>
      </c>
      <c r="L403" s="127" t="s">
        <v>564</v>
      </c>
      <c r="N403" s="129" t="s">
        <v>566</v>
      </c>
      <c r="O403" s="128" t="s">
        <v>917</v>
      </c>
      <c r="P403" s="129" t="s">
        <v>39</v>
      </c>
      <c r="Q403" s="111">
        <f t="shared" si="298"/>
        <v>52</v>
      </c>
      <c r="R403" s="111">
        <f t="shared" si="304"/>
        <v>52</v>
      </c>
      <c r="S403" s="129">
        <v>8</v>
      </c>
      <c r="T403" s="129">
        <v>4</v>
      </c>
      <c r="U403" s="129">
        <v>7</v>
      </c>
      <c r="W403" s="111"/>
      <c r="AC403" s="130"/>
      <c r="AD403" s="130">
        <v>21237</v>
      </c>
      <c r="AE403" s="128" t="s">
        <v>32</v>
      </c>
      <c r="AF403" s="128" t="s">
        <v>33</v>
      </c>
      <c r="AG403" s="128" t="s">
        <v>872</v>
      </c>
      <c r="AH403" s="108" t="s">
        <v>58</v>
      </c>
      <c r="AI403" s="128" t="s">
        <v>97</v>
      </c>
      <c r="AJ403" s="129" t="s">
        <v>89</v>
      </c>
      <c r="AK403" s="129">
        <v>3</v>
      </c>
      <c r="AL403" s="3" t="s">
        <v>362</v>
      </c>
      <c r="AM403" s="117">
        <v>5</v>
      </c>
      <c r="AP403" s="129" t="s">
        <v>93</v>
      </c>
      <c r="AR403" s="128" t="s">
        <v>67</v>
      </c>
      <c r="AS403" s="129" t="s">
        <v>45</v>
      </c>
      <c r="BC403" s="129" t="s">
        <v>99</v>
      </c>
      <c r="BF403" s="111">
        <f t="shared" si="330"/>
        <v>52</v>
      </c>
      <c r="BG403" s="111">
        <f t="shared" si="331"/>
        <v>52</v>
      </c>
      <c r="BH403" s="111">
        <f t="shared" si="305"/>
        <v>52</v>
      </c>
      <c r="BI403" s="111">
        <f t="shared" si="306"/>
        <v>53.770491803278688</v>
      </c>
      <c r="BJ403" s="129">
        <f t="shared" si="312"/>
        <v>0</v>
      </c>
      <c r="BK403" s="129">
        <f t="shared" si="307"/>
        <v>0</v>
      </c>
      <c r="BL403" s="129" t="str">
        <f t="shared" si="308"/>
        <v>CONVICTION</v>
      </c>
      <c r="BM403" s="129" t="str">
        <f t="shared" si="313"/>
        <v>NONE</v>
      </c>
      <c r="BN403" s="129" t="s">
        <v>566</v>
      </c>
      <c r="BP403" s="137" t="str">
        <f t="shared" si="314"/>
        <v>CONVICTION</v>
      </c>
      <c r="BQ403" s="128" t="str">
        <f t="shared" si="315"/>
        <v>Y</v>
      </c>
      <c r="BR403" s="129" t="str">
        <f t="shared" si="316"/>
        <v>DETAINED</v>
      </c>
      <c r="BS403" s="129" t="str">
        <f t="shared" si="317"/>
        <v>DISPOSED</v>
      </c>
      <c r="BT403" s="129" t="str">
        <f t="shared" si="318"/>
        <v>Y</v>
      </c>
      <c r="BU403" s="109">
        <f t="shared" si="329"/>
        <v>1</v>
      </c>
      <c r="BV403" s="109">
        <f t="shared" si="319"/>
        <v>1</v>
      </c>
      <c r="BW403" s="109">
        <f t="shared" si="294"/>
        <v>0</v>
      </c>
      <c r="BX403" s="111">
        <f t="shared" si="320"/>
        <v>0</v>
      </c>
      <c r="BY403" s="129">
        <f t="shared" si="321"/>
        <v>-52</v>
      </c>
      <c r="BZ403" s="111">
        <f t="shared" si="322"/>
        <v>0</v>
      </c>
      <c r="CA403" s="138">
        <f t="shared" si="323"/>
        <v>52</v>
      </c>
      <c r="CB403" s="111" t="e">
        <f t="shared" si="332"/>
        <v>#VALUE!</v>
      </c>
      <c r="CC403" s="129">
        <f t="shared" si="333"/>
        <v>52</v>
      </c>
      <c r="CD403" s="129">
        <f t="shared" si="334"/>
        <v>0</v>
      </c>
      <c r="CE403" s="129">
        <f t="shared" si="324"/>
        <v>0</v>
      </c>
      <c r="CG403" s="129" t="str">
        <f t="shared" si="325"/>
        <v>Y</v>
      </c>
      <c r="CI403" s="129" t="str">
        <f t="shared" si="326"/>
        <v>31-60 DAYS</v>
      </c>
      <c r="CJ403" s="137">
        <f t="shared" si="327"/>
        <v>3</v>
      </c>
      <c r="CK403" s="129" t="str">
        <f t="shared" si="328"/>
        <v>Booked</v>
      </c>
    </row>
    <row r="404" spans="1:89" ht="15.75" customHeight="1" x14ac:dyDescent="0.25">
      <c r="A404" s="111">
        <v>2794</v>
      </c>
      <c r="B404" s="128" t="str">
        <f t="shared" si="309"/>
        <v>N</v>
      </c>
      <c r="C404" s="128" t="str">
        <f t="shared" si="310"/>
        <v>N</v>
      </c>
      <c r="D404" s="117">
        <v>1091857</v>
      </c>
      <c r="E404" s="135">
        <f t="shared" si="311"/>
        <v>4</v>
      </c>
      <c r="F404" s="124">
        <v>41012</v>
      </c>
      <c r="G404" s="125">
        <v>41045</v>
      </c>
      <c r="H404" s="117">
        <v>1091857</v>
      </c>
      <c r="I404" s="124">
        <v>41012</v>
      </c>
      <c r="J404" s="124">
        <v>41045</v>
      </c>
      <c r="K404" s="126">
        <v>35000</v>
      </c>
      <c r="L404" s="129" t="s">
        <v>572</v>
      </c>
      <c r="N404" s="129" t="str">
        <f>IF(M404&gt;1/1/1,"Y","N")</f>
        <v>N</v>
      </c>
      <c r="O404" s="128" t="s">
        <v>917</v>
      </c>
      <c r="P404" s="129" t="s">
        <v>39</v>
      </c>
      <c r="Q404" s="111">
        <f t="shared" si="298"/>
        <v>34</v>
      </c>
      <c r="R404" s="111">
        <f t="shared" si="304"/>
        <v>34</v>
      </c>
      <c r="S404" s="129">
        <v>5</v>
      </c>
      <c r="T404" s="129">
        <v>4</v>
      </c>
      <c r="U404" s="129">
        <v>3</v>
      </c>
      <c r="W404" s="111"/>
      <c r="AC404" s="130"/>
      <c r="AD404" s="130">
        <v>25751</v>
      </c>
      <c r="AE404" s="128" t="s">
        <v>32</v>
      </c>
      <c r="AF404" s="128" t="s">
        <v>33</v>
      </c>
      <c r="AG404" s="128" t="s">
        <v>872</v>
      </c>
      <c r="AH404" s="108" t="s">
        <v>58</v>
      </c>
      <c r="AI404" s="128" t="s">
        <v>113</v>
      </c>
      <c r="AJ404" s="129" t="s">
        <v>89</v>
      </c>
      <c r="AK404" s="129">
        <v>4</v>
      </c>
      <c r="AL404" s="3" t="s">
        <v>991</v>
      </c>
      <c r="AO404" s="128">
        <v>180</v>
      </c>
      <c r="AP404" s="129" t="s">
        <v>490</v>
      </c>
      <c r="AR404" s="128" t="s">
        <v>44</v>
      </c>
      <c r="AS404" s="129" t="s">
        <v>45</v>
      </c>
      <c r="BC404" s="129" t="s">
        <v>38</v>
      </c>
      <c r="BF404" s="111">
        <f t="shared" si="330"/>
        <v>34</v>
      </c>
      <c r="BG404" s="111">
        <f t="shared" si="331"/>
        <v>34</v>
      </c>
      <c r="BH404" s="111">
        <f t="shared" si="305"/>
        <v>34</v>
      </c>
      <c r="BI404" s="111">
        <f t="shared" si="306"/>
        <v>41.696721311475407</v>
      </c>
      <c r="BJ404" s="129">
        <f t="shared" si="312"/>
        <v>0</v>
      </c>
      <c r="BK404" s="129">
        <f t="shared" si="307"/>
        <v>0</v>
      </c>
      <c r="BL404" s="129" t="str">
        <f t="shared" si="308"/>
        <v>CONVICTION</v>
      </c>
      <c r="BM404" s="129" t="str">
        <f t="shared" si="313"/>
        <v>NONE</v>
      </c>
      <c r="BN404" s="129" t="s">
        <v>566</v>
      </c>
      <c r="BP404" s="137" t="str">
        <f t="shared" si="314"/>
        <v>CONVICTION</v>
      </c>
      <c r="BQ404" s="128" t="str">
        <f t="shared" si="315"/>
        <v>Y</v>
      </c>
      <c r="BR404" s="129" t="str">
        <f t="shared" si="316"/>
        <v>DETAINED</v>
      </c>
      <c r="BS404" s="129" t="str">
        <f t="shared" si="317"/>
        <v>DISPOSED</v>
      </c>
      <c r="BT404" s="129" t="str">
        <f t="shared" si="318"/>
        <v>Y</v>
      </c>
      <c r="BU404" s="109">
        <f t="shared" si="329"/>
        <v>1</v>
      </c>
      <c r="BV404" s="109">
        <f t="shared" si="319"/>
        <v>1</v>
      </c>
      <c r="BW404" s="109">
        <f t="shared" si="294"/>
        <v>0</v>
      </c>
      <c r="BX404" s="111">
        <f t="shared" si="320"/>
        <v>0</v>
      </c>
      <c r="BY404" s="129">
        <f t="shared" si="321"/>
        <v>-34</v>
      </c>
      <c r="BZ404" s="111">
        <f t="shared" si="322"/>
        <v>0</v>
      </c>
      <c r="CA404" s="138">
        <f t="shared" si="323"/>
        <v>34</v>
      </c>
      <c r="CB404" s="111" t="e">
        <f t="shared" si="332"/>
        <v>#VALUE!</v>
      </c>
      <c r="CC404" s="129">
        <f t="shared" si="333"/>
        <v>34</v>
      </c>
      <c r="CD404" s="129">
        <f t="shared" si="334"/>
        <v>0</v>
      </c>
      <c r="CE404" s="129">
        <f t="shared" si="324"/>
        <v>0</v>
      </c>
      <c r="CG404" s="129" t="str">
        <f t="shared" si="325"/>
        <v>Y</v>
      </c>
      <c r="CI404" s="129" t="str">
        <f t="shared" si="326"/>
        <v>31-60 DAYS</v>
      </c>
      <c r="CJ404" s="137">
        <f t="shared" si="327"/>
        <v>3</v>
      </c>
      <c r="CK404" s="129" t="str">
        <f t="shared" si="328"/>
        <v>Booked</v>
      </c>
    </row>
    <row r="405" spans="1:89" ht="15.75" customHeight="1" x14ac:dyDescent="0.25">
      <c r="A405" s="111">
        <v>1782</v>
      </c>
      <c r="B405" s="128" t="str">
        <f t="shared" si="309"/>
        <v>N</v>
      </c>
      <c r="C405" s="128" t="str">
        <f t="shared" si="310"/>
        <v>N</v>
      </c>
      <c r="D405" s="117">
        <v>1092255</v>
      </c>
      <c r="E405" s="135">
        <f t="shared" si="311"/>
        <v>5</v>
      </c>
      <c r="F405" s="124">
        <v>40975</v>
      </c>
      <c r="G405" s="125">
        <v>41010</v>
      </c>
      <c r="H405" s="117">
        <v>1092255</v>
      </c>
      <c r="I405" s="124">
        <v>40975</v>
      </c>
      <c r="J405" s="124">
        <v>41010</v>
      </c>
      <c r="K405" s="126">
        <v>10000</v>
      </c>
      <c r="L405" s="127" t="s">
        <v>570</v>
      </c>
      <c r="N405" s="129" t="str">
        <f>IF(M405&gt;1/1/1,"Y","N")</f>
        <v>N</v>
      </c>
      <c r="O405" s="128" t="s">
        <v>917</v>
      </c>
      <c r="P405" s="129" t="s">
        <v>39</v>
      </c>
      <c r="Q405" s="111">
        <f t="shared" si="298"/>
        <v>36</v>
      </c>
      <c r="R405" s="111">
        <f t="shared" si="304"/>
        <v>36</v>
      </c>
      <c r="S405" s="129">
        <v>2</v>
      </c>
      <c r="T405" s="129">
        <v>2</v>
      </c>
      <c r="U405" s="129">
        <v>2</v>
      </c>
      <c r="W405" s="111"/>
      <c r="AC405" s="130"/>
      <c r="AD405" s="130">
        <v>25421</v>
      </c>
      <c r="AE405" s="128" t="s">
        <v>32</v>
      </c>
      <c r="AF405" s="128" t="s">
        <v>69</v>
      </c>
      <c r="AG405" s="128" t="s">
        <v>874</v>
      </c>
      <c r="AH405" s="108" t="s">
        <v>58</v>
      </c>
      <c r="AI405" s="128" t="s">
        <v>90</v>
      </c>
      <c r="AJ405" s="129" t="s">
        <v>89</v>
      </c>
      <c r="AK405" s="129">
        <v>3</v>
      </c>
      <c r="AL405" s="3" t="s">
        <v>992</v>
      </c>
      <c r="AN405" s="117">
        <v>6</v>
      </c>
      <c r="AP405" s="129" t="s">
        <v>43</v>
      </c>
      <c r="AR405" s="128" t="s">
        <v>44</v>
      </c>
      <c r="AS405" s="129" t="s">
        <v>45</v>
      </c>
      <c r="BC405" s="129" t="s">
        <v>38</v>
      </c>
      <c r="BF405" s="111">
        <f t="shared" si="330"/>
        <v>36</v>
      </c>
      <c r="BG405" s="111">
        <f t="shared" si="331"/>
        <v>36</v>
      </c>
      <c r="BH405" s="111">
        <f t="shared" si="305"/>
        <v>36</v>
      </c>
      <c r="BI405" s="111">
        <f t="shared" si="306"/>
        <v>42.497267759562838</v>
      </c>
      <c r="BJ405" s="129">
        <f t="shared" si="312"/>
        <v>0</v>
      </c>
      <c r="BK405" s="129">
        <f t="shared" si="307"/>
        <v>0</v>
      </c>
      <c r="BL405" s="129" t="str">
        <f t="shared" si="308"/>
        <v>CONVICTION</v>
      </c>
      <c r="BM405" s="129" t="str">
        <f t="shared" si="313"/>
        <v>NONE</v>
      </c>
      <c r="BN405" s="129" t="s">
        <v>566</v>
      </c>
      <c r="BP405" s="137" t="str">
        <f t="shared" si="314"/>
        <v>CONVICTION</v>
      </c>
      <c r="BQ405" s="128" t="str">
        <f t="shared" si="315"/>
        <v>Y</v>
      </c>
      <c r="BR405" s="129" t="str">
        <f t="shared" si="316"/>
        <v>DETAINED</v>
      </c>
      <c r="BS405" s="129" t="str">
        <f t="shared" si="317"/>
        <v>DISPOSED</v>
      </c>
      <c r="BT405" s="129" t="str">
        <f t="shared" si="318"/>
        <v>Y</v>
      </c>
      <c r="BU405" s="109">
        <f t="shared" si="329"/>
        <v>1</v>
      </c>
      <c r="BV405" s="109">
        <f t="shared" si="319"/>
        <v>1</v>
      </c>
      <c r="BW405" s="109">
        <f t="shared" ref="BW405:BW463" si="335">BV405-BU405</f>
        <v>0</v>
      </c>
      <c r="BX405" s="111">
        <f t="shared" si="320"/>
        <v>0</v>
      </c>
      <c r="BY405" s="129">
        <f t="shared" si="321"/>
        <v>-36</v>
      </c>
      <c r="BZ405" s="111">
        <f t="shared" si="322"/>
        <v>0</v>
      </c>
      <c r="CA405" s="138">
        <f t="shared" si="323"/>
        <v>36</v>
      </c>
      <c r="CB405" s="111" t="e">
        <f t="shared" si="332"/>
        <v>#VALUE!</v>
      </c>
      <c r="CC405" s="129">
        <f t="shared" si="333"/>
        <v>36</v>
      </c>
      <c r="CD405" s="129">
        <f t="shared" si="334"/>
        <v>0</v>
      </c>
      <c r="CE405" s="129">
        <f t="shared" si="324"/>
        <v>0</v>
      </c>
      <c r="CG405" s="129" t="str">
        <f t="shared" si="325"/>
        <v>Y</v>
      </c>
      <c r="CI405" s="129" t="str">
        <f t="shared" si="326"/>
        <v>31-60 DAYS</v>
      </c>
      <c r="CJ405" s="137">
        <f t="shared" si="327"/>
        <v>3</v>
      </c>
      <c r="CK405" s="129" t="str">
        <f t="shared" si="328"/>
        <v>Booked</v>
      </c>
    </row>
    <row r="406" spans="1:89" ht="15.75" customHeight="1" x14ac:dyDescent="0.25">
      <c r="A406" s="111">
        <v>1405</v>
      </c>
      <c r="B406" s="128" t="str">
        <f t="shared" si="309"/>
        <v>N</v>
      </c>
      <c r="C406" s="128" t="str">
        <f t="shared" si="310"/>
        <v>N</v>
      </c>
      <c r="D406" s="117">
        <v>1096477</v>
      </c>
      <c r="E406" s="135">
        <f t="shared" si="311"/>
        <v>5</v>
      </c>
      <c r="F406" s="124">
        <v>40960</v>
      </c>
      <c r="G406" s="125">
        <v>40977</v>
      </c>
      <c r="H406" s="117">
        <v>1096477</v>
      </c>
      <c r="I406" s="124">
        <v>40961</v>
      </c>
      <c r="J406" s="124">
        <v>40977</v>
      </c>
      <c r="K406" s="126">
        <v>15000</v>
      </c>
      <c r="L406" s="127" t="s">
        <v>571</v>
      </c>
      <c r="N406" s="129" t="str">
        <f>IF(M406&gt;1/1/1,"Y","N")</f>
        <v>N</v>
      </c>
      <c r="O406" s="128" t="s">
        <v>917</v>
      </c>
      <c r="P406" s="129" t="s">
        <v>39</v>
      </c>
      <c r="Q406" s="111">
        <f t="shared" si="298"/>
        <v>17</v>
      </c>
      <c r="R406" s="111">
        <f t="shared" si="304"/>
        <v>18</v>
      </c>
      <c r="S406" s="129">
        <v>4</v>
      </c>
      <c r="T406" s="129">
        <v>6</v>
      </c>
      <c r="U406" s="129">
        <v>3</v>
      </c>
      <c r="W406" s="111"/>
      <c r="AC406" s="130"/>
      <c r="AD406" s="130">
        <v>25277</v>
      </c>
      <c r="AE406" s="128" t="s">
        <v>32</v>
      </c>
      <c r="AF406" s="128" t="s">
        <v>33</v>
      </c>
      <c r="AG406" s="128" t="s">
        <v>872</v>
      </c>
      <c r="AH406" s="108" t="s">
        <v>58</v>
      </c>
      <c r="AI406" s="128" t="s">
        <v>34</v>
      </c>
      <c r="AJ406" s="129" t="s">
        <v>89</v>
      </c>
      <c r="AK406" s="129">
        <v>2</v>
      </c>
      <c r="AL406" s="3" t="s">
        <v>992</v>
      </c>
      <c r="AN406" s="117">
        <v>6</v>
      </c>
      <c r="AP406" s="129" t="s">
        <v>60</v>
      </c>
      <c r="AR406" s="128" t="s">
        <v>44</v>
      </c>
      <c r="AS406" s="129" t="s">
        <v>61</v>
      </c>
      <c r="BC406" s="129" t="s">
        <v>38</v>
      </c>
      <c r="BF406" s="111">
        <f t="shared" si="330"/>
        <v>17</v>
      </c>
      <c r="BG406" s="111">
        <f t="shared" si="331"/>
        <v>17</v>
      </c>
      <c r="BH406" s="111">
        <f t="shared" si="305"/>
        <v>18</v>
      </c>
      <c r="BI406" s="111">
        <f t="shared" si="306"/>
        <v>42.849726775956285</v>
      </c>
      <c r="BJ406" s="129">
        <f t="shared" si="312"/>
        <v>0</v>
      </c>
      <c r="BK406" s="129">
        <f t="shared" si="307"/>
        <v>0</v>
      </c>
      <c r="BL406" s="129" t="str">
        <f t="shared" si="308"/>
        <v>CONVICTION</v>
      </c>
      <c r="BM406" s="129" t="str">
        <f t="shared" si="313"/>
        <v>NONE</v>
      </c>
      <c r="BN406" s="129" t="s">
        <v>566</v>
      </c>
      <c r="BP406" s="137" t="str">
        <f t="shared" si="314"/>
        <v>CONVICTION</v>
      </c>
      <c r="BQ406" s="128" t="str">
        <f t="shared" si="315"/>
        <v>Y</v>
      </c>
      <c r="BR406" s="129" t="str">
        <f t="shared" si="316"/>
        <v>DETAINED</v>
      </c>
      <c r="BS406" s="129" t="str">
        <f t="shared" si="317"/>
        <v>DISPOSED</v>
      </c>
      <c r="BT406" s="129" t="str">
        <f t="shared" si="318"/>
        <v>Y</v>
      </c>
      <c r="BU406" s="109">
        <f t="shared" si="329"/>
        <v>0.94444444444444442</v>
      </c>
      <c r="BV406" s="109">
        <f t="shared" si="319"/>
        <v>1</v>
      </c>
      <c r="BW406" s="109">
        <f t="shared" si="335"/>
        <v>5.555555555555558E-2</v>
      </c>
      <c r="BX406" s="111">
        <f t="shared" si="320"/>
        <v>0</v>
      </c>
      <c r="BY406" s="129">
        <f t="shared" si="321"/>
        <v>-17</v>
      </c>
      <c r="BZ406" s="111">
        <f t="shared" si="322"/>
        <v>0</v>
      </c>
      <c r="CA406" s="138">
        <f t="shared" si="323"/>
        <v>17</v>
      </c>
      <c r="CB406" s="111" t="e">
        <f t="shared" si="332"/>
        <v>#VALUE!</v>
      </c>
      <c r="CC406" s="129">
        <f t="shared" si="333"/>
        <v>17</v>
      </c>
      <c r="CD406" s="129">
        <f t="shared" si="334"/>
        <v>0</v>
      </c>
      <c r="CE406" s="129">
        <f t="shared" si="324"/>
        <v>0</v>
      </c>
      <c r="CG406" s="129" t="str">
        <f t="shared" si="325"/>
        <v>Y</v>
      </c>
      <c r="CI406" s="129" t="str">
        <f t="shared" si="326"/>
        <v>11-30 DAYS</v>
      </c>
      <c r="CJ406" s="137">
        <f t="shared" si="327"/>
        <v>2</v>
      </c>
      <c r="CK406" s="129" t="str">
        <f t="shared" si="328"/>
        <v>Booked</v>
      </c>
    </row>
    <row r="407" spans="1:89" ht="15" customHeight="1" x14ac:dyDescent="0.25">
      <c r="A407" s="111">
        <v>2840</v>
      </c>
      <c r="B407" s="128" t="str">
        <f t="shared" si="309"/>
        <v>N</v>
      </c>
      <c r="C407" s="128" t="str">
        <f t="shared" si="310"/>
        <v>Y</v>
      </c>
      <c r="D407" s="117">
        <v>1099064</v>
      </c>
      <c r="E407" s="135">
        <f t="shared" si="311"/>
        <v>6</v>
      </c>
      <c r="F407" s="124">
        <v>41013</v>
      </c>
      <c r="G407" s="125">
        <v>41638</v>
      </c>
      <c r="H407" s="117">
        <v>1099064</v>
      </c>
      <c r="I407" s="124">
        <v>41054</v>
      </c>
      <c r="J407" s="124">
        <v>41128</v>
      </c>
      <c r="K407" s="126">
        <v>50000</v>
      </c>
      <c r="L407" s="129" t="s">
        <v>572</v>
      </c>
      <c r="M407" s="125">
        <v>41128</v>
      </c>
      <c r="N407" s="129" t="str">
        <f>IF(M407&gt;1/1/1,"Y","N")</f>
        <v>Y</v>
      </c>
      <c r="O407" s="128" t="s">
        <v>76</v>
      </c>
      <c r="P407" s="129" t="s">
        <v>39</v>
      </c>
      <c r="Q407" s="111">
        <v>205</v>
      </c>
      <c r="R407" s="111">
        <f t="shared" si="304"/>
        <v>626</v>
      </c>
      <c r="S407" s="129">
        <v>5</v>
      </c>
      <c r="T407" s="129">
        <v>9</v>
      </c>
      <c r="U407" s="129">
        <v>3</v>
      </c>
      <c r="W407" s="111"/>
      <c r="AC407" s="130"/>
      <c r="AD407" s="130">
        <v>26881</v>
      </c>
      <c r="AE407" s="128" t="s">
        <v>32</v>
      </c>
      <c r="AF407" s="128" t="s">
        <v>69</v>
      </c>
      <c r="AG407" s="128" t="s">
        <v>874</v>
      </c>
      <c r="AH407" s="108" t="s">
        <v>31</v>
      </c>
      <c r="AI407" s="128" t="s">
        <v>100</v>
      </c>
      <c r="AJ407" s="129" t="s">
        <v>89</v>
      </c>
      <c r="AK407" s="129">
        <v>26</v>
      </c>
      <c r="AL407" s="3" t="s">
        <v>362</v>
      </c>
      <c r="AM407" s="117">
        <v>5</v>
      </c>
      <c r="AP407" s="129" t="s">
        <v>105</v>
      </c>
      <c r="AR407" s="128" t="s">
        <v>92</v>
      </c>
      <c r="AS407" s="129" t="s">
        <v>106</v>
      </c>
      <c r="AT407" s="129" t="s">
        <v>1249</v>
      </c>
      <c r="AV407" s="3" t="s">
        <v>88</v>
      </c>
      <c r="AW407" s="125">
        <v>41495</v>
      </c>
      <c r="BA407" s="125">
        <v>41547</v>
      </c>
      <c r="BB407" s="129">
        <v>289</v>
      </c>
      <c r="BC407" s="129" t="s">
        <v>38</v>
      </c>
      <c r="BF407" s="111">
        <v>205</v>
      </c>
      <c r="BG407" s="111">
        <f t="shared" si="331"/>
        <v>585</v>
      </c>
      <c r="BH407" s="111">
        <f t="shared" si="305"/>
        <v>626</v>
      </c>
      <c r="BI407" s="111">
        <f t="shared" si="306"/>
        <v>38.612021857923494</v>
      </c>
      <c r="BJ407" s="129">
        <f>(G407-J407)+(M407-G407)</f>
        <v>0</v>
      </c>
      <c r="BK407" s="129">
        <f t="shared" si="307"/>
        <v>-510</v>
      </c>
      <c r="BL407" s="129" t="str">
        <f t="shared" si="308"/>
        <v>CONVICTION</v>
      </c>
      <c r="BM407" s="129" t="s">
        <v>76</v>
      </c>
      <c r="BN407" s="129" t="s">
        <v>566</v>
      </c>
      <c r="BP407" s="137" t="str">
        <f t="shared" si="314"/>
        <v>CONVICTION</v>
      </c>
      <c r="BQ407" s="128" t="str">
        <f t="shared" si="315"/>
        <v>Y</v>
      </c>
      <c r="BR407" s="129" t="s">
        <v>574</v>
      </c>
      <c r="BS407" s="129" t="s">
        <v>1259</v>
      </c>
      <c r="BT407" s="129" t="str">
        <f t="shared" si="318"/>
        <v>Y</v>
      </c>
      <c r="BU407" s="109">
        <f>IFERROR(Q407/R407,BR407)</f>
        <v>0.32747603833865813</v>
      </c>
      <c r="BV407" s="109">
        <f t="shared" si="319"/>
        <v>0.12820512820512819</v>
      </c>
      <c r="BW407" s="109">
        <f t="shared" si="335"/>
        <v>-0.19927091013352993</v>
      </c>
      <c r="BX407" s="111">
        <f t="shared" si="320"/>
        <v>0</v>
      </c>
      <c r="BY407" s="129">
        <f t="shared" si="321"/>
        <v>-75</v>
      </c>
      <c r="BZ407" s="111">
        <f t="shared" si="322"/>
        <v>130</v>
      </c>
      <c r="CA407" s="138">
        <f t="shared" si="323"/>
        <v>585</v>
      </c>
      <c r="CB407" s="111">
        <v>205</v>
      </c>
      <c r="CC407" s="129">
        <f t="shared" si="333"/>
        <v>585</v>
      </c>
      <c r="CD407" s="129">
        <f t="shared" si="334"/>
        <v>510</v>
      </c>
      <c r="CE407" s="129">
        <f t="shared" si="324"/>
        <v>510</v>
      </c>
      <c r="CG407" s="129" t="str">
        <f t="shared" si="325"/>
        <v>Y</v>
      </c>
      <c r="CI407" s="129" t="str">
        <f t="shared" si="326"/>
        <v>121-365 DAYS</v>
      </c>
      <c r="CJ407" s="137">
        <f t="shared" si="327"/>
        <v>6</v>
      </c>
      <c r="CK407" s="129" t="str">
        <f t="shared" si="328"/>
        <v>Booked</v>
      </c>
    </row>
    <row r="408" spans="1:89" ht="15.75" customHeight="1" x14ac:dyDescent="0.25">
      <c r="A408" s="111">
        <v>1871</v>
      </c>
      <c r="B408" s="128" t="str">
        <f t="shared" si="309"/>
        <v>N</v>
      </c>
      <c r="C408" s="128" t="str">
        <f t="shared" si="310"/>
        <v>N</v>
      </c>
      <c r="D408" s="117">
        <v>1101158</v>
      </c>
      <c r="E408" s="135">
        <f t="shared" si="311"/>
        <v>5</v>
      </c>
      <c r="F408" s="124">
        <v>40978</v>
      </c>
      <c r="G408" s="125">
        <v>40980</v>
      </c>
      <c r="H408" s="117">
        <v>1101158</v>
      </c>
      <c r="I408" s="124">
        <v>40978</v>
      </c>
      <c r="J408" s="124">
        <v>40980</v>
      </c>
      <c r="K408" s="126">
        <v>15000</v>
      </c>
      <c r="L408" s="127" t="s">
        <v>571</v>
      </c>
      <c r="N408" s="129" t="str">
        <f>IF(M408&gt;1/1/1,"Y","N")</f>
        <v>N</v>
      </c>
      <c r="O408" s="128" t="s">
        <v>917</v>
      </c>
      <c r="P408" s="129" t="s">
        <v>39</v>
      </c>
      <c r="Q408" s="111">
        <f t="shared" si="298"/>
        <v>3</v>
      </c>
      <c r="R408" s="111">
        <f t="shared" si="304"/>
        <v>3</v>
      </c>
      <c r="S408" s="129">
        <v>6</v>
      </c>
      <c r="T408" s="129">
        <v>4</v>
      </c>
      <c r="U408" s="129">
        <v>5</v>
      </c>
      <c r="W408" s="111"/>
      <c r="AC408" s="130"/>
      <c r="AD408" s="130">
        <v>26190</v>
      </c>
      <c r="AE408" s="128" t="s">
        <v>32</v>
      </c>
      <c r="AF408" s="128" t="s">
        <v>69</v>
      </c>
      <c r="AG408" s="128" t="s">
        <v>874</v>
      </c>
      <c r="AH408" s="108" t="s">
        <v>31</v>
      </c>
      <c r="AI408" s="128" t="s">
        <v>83</v>
      </c>
      <c r="AJ408" s="129" t="s">
        <v>89</v>
      </c>
      <c r="AK408" s="129">
        <v>1</v>
      </c>
      <c r="AL408" s="3" t="s">
        <v>992</v>
      </c>
      <c r="AN408" s="117">
        <v>6</v>
      </c>
      <c r="AP408" s="129" t="s">
        <v>60</v>
      </c>
      <c r="AR408" s="128" t="s">
        <v>44</v>
      </c>
      <c r="AS408" s="129" t="s">
        <v>61</v>
      </c>
      <c r="BC408" s="129" t="s">
        <v>38</v>
      </c>
      <c r="BF408" s="111">
        <f t="shared" si="330"/>
        <v>3</v>
      </c>
      <c r="BG408" s="111">
        <f t="shared" si="331"/>
        <v>3</v>
      </c>
      <c r="BH408" s="111">
        <f t="shared" si="305"/>
        <v>3</v>
      </c>
      <c r="BI408" s="111">
        <f t="shared" si="306"/>
        <v>40.404371584699454</v>
      </c>
      <c r="BJ408" s="129">
        <f t="shared" si="312"/>
        <v>0</v>
      </c>
      <c r="BK408" s="129">
        <f t="shared" si="307"/>
        <v>0</v>
      </c>
      <c r="BL408" s="129" t="str">
        <f t="shared" si="308"/>
        <v>CONVICTION</v>
      </c>
      <c r="BM408" s="129" t="str">
        <f t="shared" si="313"/>
        <v>NONE</v>
      </c>
      <c r="BN408" s="129" t="s">
        <v>566</v>
      </c>
      <c r="BP408" s="137" t="str">
        <f t="shared" si="314"/>
        <v>CONVICTION</v>
      </c>
      <c r="BQ408" s="128" t="str">
        <f t="shared" si="315"/>
        <v>Y</v>
      </c>
      <c r="BR408" s="129" t="str">
        <f t="shared" si="316"/>
        <v>DETAINED</v>
      </c>
      <c r="BS408" s="129" t="str">
        <f t="shared" si="317"/>
        <v>DISPOSED</v>
      </c>
      <c r="BT408" s="129" t="str">
        <f t="shared" si="318"/>
        <v>Y</v>
      </c>
      <c r="BU408" s="109">
        <f t="shared" si="329"/>
        <v>1</v>
      </c>
      <c r="BV408" s="109">
        <f t="shared" si="319"/>
        <v>1</v>
      </c>
      <c r="BW408" s="109">
        <f t="shared" si="335"/>
        <v>0</v>
      </c>
      <c r="BX408" s="111">
        <f t="shared" si="320"/>
        <v>0</v>
      </c>
      <c r="BY408" s="129">
        <f t="shared" si="321"/>
        <v>-3</v>
      </c>
      <c r="BZ408" s="111">
        <f t="shared" si="322"/>
        <v>0</v>
      </c>
      <c r="CA408" s="138">
        <f t="shared" si="323"/>
        <v>3</v>
      </c>
      <c r="CB408" s="111" t="e">
        <f t="shared" si="332"/>
        <v>#VALUE!</v>
      </c>
      <c r="CC408" s="129">
        <f t="shared" si="333"/>
        <v>3</v>
      </c>
      <c r="CD408" s="129">
        <f t="shared" si="334"/>
        <v>0</v>
      </c>
      <c r="CE408" s="129">
        <f t="shared" si="324"/>
        <v>0</v>
      </c>
      <c r="CG408" s="129" t="str">
        <f t="shared" si="325"/>
        <v>Y</v>
      </c>
      <c r="CI408" s="129" t="str">
        <f t="shared" si="326"/>
        <v>0-10 DAYS</v>
      </c>
      <c r="CJ408" s="137">
        <f t="shared" si="327"/>
        <v>1</v>
      </c>
      <c r="CK408" s="129" t="str">
        <f t="shared" si="328"/>
        <v>Booked</v>
      </c>
    </row>
    <row r="409" spans="1:89" ht="15.75" customHeight="1" x14ac:dyDescent="0.25">
      <c r="A409" s="111">
        <v>213</v>
      </c>
      <c r="B409" s="128" t="str">
        <f t="shared" si="309"/>
        <v>N</v>
      </c>
      <c r="C409" s="128" t="str">
        <f t="shared" si="310"/>
        <v>N</v>
      </c>
      <c r="D409" s="117">
        <v>1101506</v>
      </c>
      <c r="E409" s="135">
        <f t="shared" si="311"/>
        <v>6</v>
      </c>
      <c r="F409" s="124">
        <v>40915</v>
      </c>
      <c r="G409" s="125">
        <v>41047</v>
      </c>
      <c r="H409" s="117">
        <v>1101506</v>
      </c>
      <c r="I409" s="124">
        <v>40915</v>
      </c>
      <c r="J409" s="125">
        <v>41047</v>
      </c>
      <c r="K409" s="126" t="s">
        <v>564</v>
      </c>
      <c r="L409" s="127" t="s">
        <v>564</v>
      </c>
      <c r="N409" s="129" t="s">
        <v>566</v>
      </c>
      <c r="O409" s="128" t="s">
        <v>917</v>
      </c>
      <c r="P409" s="129" t="s">
        <v>39</v>
      </c>
      <c r="Q409" s="111">
        <f t="shared" si="298"/>
        <v>133</v>
      </c>
      <c r="R409" s="111">
        <f t="shared" si="304"/>
        <v>133</v>
      </c>
      <c r="S409" s="129">
        <v>1</v>
      </c>
      <c r="T409" s="129">
        <v>2</v>
      </c>
      <c r="U409" s="129">
        <v>2</v>
      </c>
      <c r="W409" s="111"/>
      <c r="AC409" s="130"/>
      <c r="AD409" s="130">
        <v>25547</v>
      </c>
      <c r="AE409" s="128" t="s">
        <v>32</v>
      </c>
      <c r="AF409" s="128" t="s">
        <v>40</v>
      </c>
      <c r="AG409" s="128" t="s">
        <v>41</v>
      </c>
      <c r="AH409" s="108" t="s">
        <v>41</v>
      </c>
      <c r="AI409" s="128" t="s">
        <v>95</v>
      </c>
      <c r="AJ409" s="129" t="s">
        <v>89</v>
      </c>
      <c r="AK409" s="129">
        <v>5</v>
      </c>
      <c r="AL409" s="3" t="s">
        <v>362</v>
      </c>
      <c r="AM409" s="117">
        <v>5</v>
      </c>
      <c r="AP409" s="129" t="s">
        <v>105</v>
      </c>
      <c r="AR409" s="128" t="s">
        <v>92</v>
      </c>
      <c r="AS409" s="129" t="s">
        <v>106</v>
      </c>
      <c r="BC409" s="129" t="s">
        <v>38</v>
      </c>
      <c r="BF409" s="111">
        <f t="shared" si="330"/>
        <v>133</v>
      </c>
      <c r="BG409" s="111">
        <f t="shared" si="331"/>
        <v>133</v>
      </c>
      <c r="BH409" s="111">
        <f t="shared" si="305"/>
        <v>133</v>
      </c>
      <c r="BI409" s="111">
        <f t="shared" si="306"/>
        <v>41.989071038251367</v>
      </c>
      <c r="BJ409" s="129">
        <f t="shared" si="312"/>
        <v>0</v>
      </c>
      <c r="BK409" s="129">
        <f t="shared" si="307"/>
        <v>0</v>
      </c>
      <c r="BL409" s="129" t="str">
        <f t="shared" si="308"/>
        <v>CONVICTION</v>
      </c>
      <c r="BM409" s="129" t="str">
        <f t="shared" si="313"/>
        <v>NONE</v>
      </c>
      <c r="BN409" s="129" t="s">
        <v>566</v>
      </c>
      <c r="BP409" s="137" t="str">
        <f t="shared" si="314"/>
        <v>CONVICTION</v>
      </c>
      <c r="BQ409" s="128" t="str">
        <f t="shared" si="315"/>
        <v>Y</v>
      </c>
      <c r="BR409" s="129" t="str">
        <f t="shared" si="316"/>
        <v>DETAINED</v>
      </c>
      <c r="BS409" s="129" t="str">
        <f t="shared" si="317"/>
        <v>DISPOSED</v>
      </c>
      <c r="BT409" s="129" t="str">
        <f t="shared" si="318"/>
        <v>Y</v>
      </c>
      <c r="BU409" s="109">
        <f t="shared" si="329"/>
        <v>1</v>
      </c>
      <c r="BV409" s="109">
        <f t="shared" si="319"/>
        <v>1</v>
      </c>
      <c r="BW409" s="109">
        <f t="shared" si="335"/>
        <v>0</v>
      </c>
      <c r="BX409" s="111">
        <f t="shared" si="320"/>
        <v>0</v>
      </c>
      <c r="BY409" s="129">
        <f t="shared" si="321"/>
        <v>-133</v>
      </c>
      <c r="BZ409" s="111">
        <f t="shared" si="322"/>
        <v>0</v>
      </c>
      <c r="CA409" s="138">
        <f t="shared" si="323"/>
        <v>133</v>
      </c>
      <c r="CB409" s="111" t="e">
        <f t="shared" si="332"/>
        <v>#VALUE!</v>
      </c>
      <c r="CC409" s="129">
        <f t="shared" si="333"/>
        <v>133</v>
      </c>
      <c r="CD409" s="129">
        <f t="shared" si="334"/>
        <v>0</v>
      </c>
      <c r="CE409" s="129">
        <f t="shared" si="324"/>
        <v>0</v>
      </c>
      <c r="CG409" s="129" t="str">
        <f t="shared" si="325"/>
        <v>Y</v>
      </c>
      <c r="CI409" s="129" t="str">
        <f t="shared" si="326"/>
        <v>121-365 DAYS</v>
      </c>
      <c r="CJ409" s="137">
        <f t="shared" si="327"/>
        <v>6</v>
      </c>
      <c r="CK409" s="129" t="str">
        <f t="shared" si="328"/>
        <v>Booked</v>
      </c>
    </row>
    <row r="410" spans="1:89" ht="15" customHeight="1" x14ac:dyDescent="0.25">
      <c r="A410" s="111">
        <v>1096</v>
      </c>
      <c r="B410" s="128" t="str">
        <f t="shared" si="309"/>
        <v>N</v>
      </c>
      <c r="C410" s="128" t="str">
        <f t="shared" si="310"/>
        <v>N</v>
      </c>
      <c r="D410" s="117">
        <v>1103218</v>
      </c>
      <c r="E410" s="135">
        <f t="shared" si="311"/>
        <v>6</v>
      </c>
      <c r="F410" s="124">
        <v>40948</v>
      </c>
      <c r="G410" s="125">
        <v>40952</v>
      </c>
      <c r="H410" s="117">
        <v>1103218</v>
      </c>
      <c r="I410" s="124">
        <v>40949</v>
      </c>
      <c r="J410" s="124">
        <v>40952</v>
      </c>
      <c r="K410" s="126" t="s">
        <v>564</v>
      </c>
      <c r="L410" s="127" t="s">
        <v>564</v>
      </c>
      <c r="N410" s="129" t="s">
        <v>566</v>
      </c>
      <c r="O410" s="128" t="s">
        <v>917</v>
      </c>
      <c r="P410" s="129" t="s">
        <v>39</v>
      </c>
      <c r="Q410" s="111">
        <f t="shared" si="298"/>
        <v>4</v>
      </c>
      <c r="R410" s="111">
        <f t="shared" si="304"/>
        <v>5</v>
      </c>
      <c r="S410" s="129">
        <v>2</v>
      </c>
      <c r="T410" s="129">
        <v>2</v>
      </c>
      <c r="U410" s="129">
        <v>2</v>
      </c>
      <c r="W410" s="111"/>
      <c r="AC410" s="130"/>
      <c r="AD410" s="130">
        <v>21504</v>
      </c>
      <c r="AE410" s="128" t="s">
        <v>32</v>
      </c>
      <c r="AF410" s="128" t="s">
        <v>33</v>
      </c>
      <c r="AG410" s="128" t="s">
        <v>872</v>
      </c>
      <c r="AH410" s="108" t="s">
        <v>31</v>
      </c>
      <c r="AI410" s="128" t="s">
        <v>72</v>
      </c>
      <c r="AJ410" s="129" t="s">
        <v>89</v>
      </c>
      <c r="AK410" s="129">
        <v>1</v>
      </c>
      <c r="AL410" s="3" t="s">
        <v>362</v>
      </c>
      <c r="AM410" s="117">
        <v>3</v>
      </c>
      <c r="AP410" s="129" t="s">
        <v>136</v>
      </c>
      <c r="AR410" s="128" t="s">
        <v>67</v>
      </c>
      <c r="AS410" s="129" t="s">
        <v>64</v>
      </c>
      <c r="BC410" s="129" t="s">
        <v>38</v>
      </c>
      <c r="BF410" s="111">
        <f t="shared" si="330"/>
        <v>4</v>
      </c>
      <c r="BG410" s="111">
        <f t="shared" si="331"/>
        <v>4</v>
      </c>
      <c r="BH410" s="111">
        <f t="shared" si="305"/>
        <v>5</v>
      </c>
      <c r="BI410" s="111">
        <f t="shared" si="306"/>
        <v>53.125683060109289</v>
      </c>
      <c r="BJ410" s="129">
        <f t="shared" si="312"/>
        <v>0</v>
      </c>
      <c r="BK410" s="129">
        <f t="shared" si="307"/>
        <v>0</v>
      </c>
      <c r="BL410" s="129" t="str">
        <f t="shared" si="308"/>
        <v>CONVICTION</v>
      </c>
      <c r="BM410" s="129" t="str">
        <f t="shared" si="313"/>
        <v>NONE</v>
      </c>
      <c r="BN410" s="129" t="s">
        <v>566</v>
      </c>
      <c r="BP410" s="137" t="str">
        <f t="shared" si="314"/>
        <v>CONVICTION</v>
      </c>
      <c r="BQ410" s="128" t="str">
        <f t="shared" si="315"/>
        <v>Y</v>
      </c>
      <c r="BR410" s="129" t="str">
        <f t="shared" si="316"/>
        <v>DETAINED</v>
      </c>
      <c r="BS410" s="129" t="str">
        <f t="shared" si="317"/>
        <v>DISPOSED</v>
      </c>
      <c r="BT410" s="129" t="str">
        <f t="shared" si="318"/>
        <v>Y</v>
      </c>
      <c r="BU410" s="109">
        <f t="shared" si="329"/>
        <v>0.8</v>
      </c>
      <c r="BV410" s="109">
        <f t="shared" si="319"/>
        <v>1</v>
      </c>
      <c r="BW410" s="109">
        <f t="shared" si="335"/>
        <v>0.19999999999999996</v>
      </c>
      <c r="BX410" s="111">
        <f t="shared" si="320"/>
        <v>0</v>
      </c>
      <c r="BY410" s="129">
        <f t="shared" si="321"/>
        <v>-4</v>
      </c>
      <c r="BZ410" s="111">
        <f t="shared" si="322"/>
        <v>0</v>
      </c>
      <c r="CA410" s="138">
        <f t="shared" si="323"/>
        <v>4</v>
      </c>
      <c r="CB410" s="111" t="e">
        <f t="shared" si="332"/>
        <v>#VALUE!</v>
      </c>
      <c r="CC410" s="129">
        <f t="shared" si="333"/>
        <v>4</v>
      </c>
      <c r="CD410" s="129">
        <f t="shared" si="334"/>
        <v>0</v>
      </c>
      <c r="CE410" s="129">
        <f t="shared" si="324"/>
        <v>0</v>
      </c>
      <c r="CG410" s="129" t="str">
        <f t="shared" si="325"/>
        <v>Y</v>
      </c>
      <c r="CI410" s="129" t="str">
        <f t="shared" si="326"/>
        <v>0-10 DAYS</v>
      </c>
      <c r="CJ410" s="137">
        <f t="shared" si="327"/>
        <v>1</v>
      </c>
      <c r="CK410" s="129" t="str">
        <f t="shared" si="328"/>
        <v>Booked</v>
      </c>
    </row>
    <row r="411" spans="1:89" ht="15.75" customHeight="1" x14ac:dyDescent="0.25">
      <c r="A411" s="111">
        <v>3080</v>
      </c>
      <c r="B411" s="128" t="str">
        <f t="shared" si="309"/>
        <v>N</v>
      </c>
      <c r="C411" s="128" t="str">
        <f t="shared" si="310"/>
        <v>N</v>
      </c>
      <c r="D411" s="117">
        <v>1106952</v>
      </c>
      <c r="E411" s="135">
        <f t="shared" si="311"/>
        <v>1</v>
      </c>
      <c r="F411" s="124">
        <v>41023</v>
      </c>
      <c r="G411" s="125">
        <v>41080</v>
      </c>
      <c r="H411" s="117">
        <v>1106952</v>
      </c>
      <c r="I411" s="124">
        <v>41023</v>
      </c>
      <c r="J411" s="124">
        <v>41080</v>
      </c>
      <c r="K411" s="126">
        <v>30000</v>
      </c>
      <c r="L411" s="129" t="s">
        <v>572</v>
      </c>
      <c r="N411" s="129" t="str">
        <f>IF(M411&gt;1/1/1,"Y","N")</f>
        <v>N</v>
      </c>
      <c r="O411" s="128" t="s">
        <v>917</v>
      </c>
      <c r="P411" s="129" t="s">
        <v>55</v>
      </c>
      <c r="Q411" s="111">
        <f t="shared" si="298"/>
        <v>58</v>
      </c>
      <c r="R411" s="111">
        <f t="shared" si="304"/>
        <v>58</v>
      </c>
      <c r="S411" s="129">
        <v>2</v>
      </c>
      <c r="T411" s="129">
        <v>2</v>
      </c>
      <c r="U411" s="129">
        <v>1</v>
      </c>
      <c r="W411" s="111"/>
      <c r="AC411" s="130"/>
      <c r="AD411" s="130">
        <v>23403</v>
      </c>
      <c r="AE411" s="128" t="s">
        <v>32</v>
      </c>
      <c r="AF411" s="128" t="s">
        <v>33</v>
      </c>
      <c r="AG411" s="128" t="s">
        <v>872</v>
      </c>
      <c r="AH411" s="108" t="s">
        <v>58</v>
      </c>
      <c r="AI411" s="128" t="s">
        <v>83</v>
      </c>
      <c r="AJ411" s="129" t="s">
        <v>55</v>
      </c>
      <c r="AK411" s="129">
        <v>3</v>
      </c>
      <c r="AL411" s="3" t="s">
        <v>55</v>
      </c>
      <c r="AP411" s="129" t="s">
        <v>73</v>
      </c>
      <c r="AR411" s="128" t="s">
        <v>50</v>
      </c>
      <c r="AS411" s="129" t="s">
        <v>74</v>
      </c>
      <c r="BC411" s="129" t="s">
        <v>38</v>
      </c>
      <c r="BF411" s="111">
        <f t="shared" si="330"/>
        <v>58</v>
      </c>
      <c r="BG411" s="111">
        <f t="shared" si="331"/>
        <v>58</v>
      </c>
      <c r="BH411" s="111">
        <f t="shared" si="305"/>
        <v>58</v>
      </c>
      <c r="BI411" s="111">
        <f t="shared" si="306"/>
        <v>48.142076502732237</v>
      </c>
      <c r="BJ411" s="129">
        <f t="shared" si="312"/>
        <v>0</v>
      </c>
      <c r="BK411" s="129">
        <f t="shared" si="307"/>
        <v>0</v>
      </c>
      <c r="BL411" s="129" t="str">
        <f t="shared" si="308"/>
        <v>NO CONVICTION</v>
      </c>
      <c r="BM411" s="129" t="str">
        <f t="shared" si="313"/>
        <v>NONE</v>
      </c>
      <c r="BN411" s="129" t="s">
        <v>566</v>
      </c>
      <c r="BP411" s="137" t="str">
        <f t="shared" si="314"/>
        <v>NO CONVICTION</v>
      </c>
      <c r="BQ411" s="128" t="str">
        <f t="shared" si="315"/>
        <v>Y</v>
      </c>
      <c r="BR411" s="129" t="str">
        <f t="shared" si="316"/>
        <v>DETAINED</v>
      </c>
      <c r="BS411" s="129" t="str">
        <f t="shared" si="317"/>
        <v>DISPOSED</v>
      </c>
      <c r="BT411" s="129" t="str">
        <f t="shared" si="318"/>
        <v>Y</v>
      </c>
      <c r="BU411" s="109">
        <f>IFERROR(Q411/R411,BR411)</f>
        <v>1</v>
      </c>
      <c r="BV411" s="109">
        <f t="shared" si="319"/>
        <v>1</v>
      </c>
      <c r="BW411" s="109">
        <f t="shared" si="335"/>
        <v>0</v>
      </c>
      <c r="BX411" s="111">
        <f t="shared" si="320"/>
        <v>0</v>
      </c>
      <c r="BY411" s="129">
        <f t="shared" si="321"/>
        <v>-58</v>
      </c>
      <c r="BZ411" s="111">
        <f t="shared" si="322"/>
        <v>0</v>
      </c>
      <c r="CA411" s="138">
        <f t="shared" si="323"/>
        <v>58</v>
      </c>
      <c r="CB411" s="111" t="e">
        <f t="shared" si="332"/>
        <v>#VALUE!</v>
      </c>
      <c r="CC411" s="129">
        <f t="shared" si="333"/>
        <v>58</v>
      </c>
      <c r="CD411" s="129">
        <f t="shared" si="334"/>
        <v>0</v>
      </c>
      <c r="CE411" s="129">
        <f t="shared" si="324"/>
        <v>0</v>
      </c>
      <c r="CG411" s="129" t="str">
        <f t="shared" si="325"/>
        <v>Y</v>
      </c>
      <c r="CI411" s="129" t="str">
        <f t="shared" si="326"/>
        <v>31-60 DAYS</v>
      </c>
      <c r="CJ411" s="137">
        <f t="shared" si="327"/>
        <v>3</v>
      </c>
      <c r="CK411" s="129" t="str">
        <f t="shared" si="328"/>
        <v>Booked</v>
      </c>
    </row>
    <row r="412" spans="1:89" ht="15" customHeight="1" x14ac:dyDescent="0.25">
      <c r="A412" s="111">
        <v>323</v>
      </c>
      <c r="B412" s="128" t="str">
        <f t="shared" si="309"/>
        <v>N</v>
      </c>
      <c r="C412" s="128" t="str">
        <f t="shared" si="310"/>
        <v>N</v>
      </c>
      <c r="D412" s="117">
        <v>1111148</v>
      </c>
      <c r="E412" s="135">
        <f t="shared" si="311"/>
        <v>6</v>
      </c>
      <c r="F412" s="124">
        <v>40921</v>
      </c>
      <c r="G412" s="125">
        <v>41087</v>
      </c>
      <c r="H412" s="117">
        <v>1111148</v>
      </c>
      <c r="I412" s="124">
        <v>40942</v>
      </c>
      <c r="J412" s="124">
        <v>41087</v>
      </c>
      <c r="K412" s="126" t="s">
        <v>564</v>
      </c>
      <c r="L412" s="127" t="s">
        <v>564</v>
      </c>
      <c r="N412" s="129" t="s">
        <v>566</v>
      </c>
      <c r="O412" s="128" t="s">
        <v>917</v>
      </c>
      <c r="P412" s="129" t="s">
        <v>39</v>
      </c>
      <c r="Q412" s="111">
        <f t="shared" si="298"/>
        <v>146</v>
      </c>
      <c r="R412" s="111">
        <f t="shared" si="304"/>
        <v>167</v>
      </c>
      <c r="S412" s="129">
        <v>11</v>
      </c>
      <c r="T412" s="129">
        <v>11</v>
      </c>
      <c r="U412" s="129">
        <v>9</v>
      </c>
      <c r="W412" s="111"/>
      <c r="AC412" s="130"/>
      <c r="AD412" s="130">
        <v>25502</v>
      </c>
      <c r="AE412" s="128" t="s">
        <v>32</v>
      </c>
      <c r="AF412" s="128" t="s">
        <v>33</v>
      </c>
      <c r="AG412" s="128" t="s">
        <v>872</v>
      </c>
      <c r="AH412" s="108" t="s">
        <v>31</v>
      </c>
      <c r="AI412" s="128" t="s">
        <v>118</v>
      </c>
      <c r="AJ412" s="129" t="s">
        <v>89</v>
      </c>
      <c r="AK412" s="129">
        <v>6</v>
      </c>
      <c r="AL412" s="3" t="s">
        <v>362</v>
      </c>
      <c r="AM412" s="117">
        <v>2</v>
      </c>
      <c r="AP412" s="129" t="s">
        <v>193</v>
      </c>
      <c r="AR412" s="128" t="s">
        <v>67</v>
      </c>
      <c r="AS412" s="129" t="s">
        <v>64</v>
      </c>
      <c r="BC412" s="129" t="s">
        <v>38</v>
      </c>
      <c r="BF412" s="111">
        <f t="shared" si="330"/>
        <v>146</v>
      </c>
      <c r="BG412" s="111">
        <f t="shared" si="331"/>
        <v>146</v>
      </c>
      <c r="BH412" s="111">
        <f t="shared" si="305"/>
        <v>167</v>
      </c>
      <c r="BI412" s="111">
        <f t="shared" si="306"/>
        <v>42.12841530054645</v>
      </c>
      <c r="BJ412" s="129">
        <f t="shared" si="312"/>
        <v>0</v>
      </c>
      <c r="BK412" s="129">
        <f t="shared" si="307"/>
        <v>0</v>
      </c>
      <c r="BL412" s="129" t="str">
        <f t="shared" si="308"/>
        <v>CONVICTION</v>
      </c>
      <c r="BM412" s="129" t="str">
        <f t="shared" si="313"/>
        <v>NONE</v>
      </c>
      <c r="BN412" s="129" t="s">
        <v>566</v>
      </c>
      <c r="BP412" s="137" t="str">
        <f t="shared" si="314"/>
        <v>CONVICTION</v>
      </c>
      <c r="BQ412" s="128" t="str">
        <f t="shared" si="315"/>
        <v>Y</v>
      </c>
      <c r="BR412" s="129" t="str">
        <f t="shared" si="316"/>
        <v>DETAINED</v>
      </c>
      <c r="BS412" s="129" t="str">
        <f t="shared" si="317"/>
        <v>DISPOSED</v>
      </c>
      <c r="BT412" s="129" t="str">
        <f t="shared" si="318"/>
        <v>Y</v>
      </c>
      <c r="BU412" s="109">
        <f t="shared" si="329"/>
        <v>0.87425149700598803</v>
      </c>
      <c r="BV412" s="109">
        <f t="shared" si="319"/>
        <v>1</v>
      </c>
      <c r="BW412" s="109">
        <f t="shared" si="335"/>
        <v>0.12574850299401197</v>
      </c>
      <c r="BX412" s="111">
        <f t="shared" si="320"/>
        <v>0</v>
      </c>
      <c r="BY412" s="129">
        <f t="shared" si="321"/>
        <v>-146</v>
      </c>
      <c r="BZ412" s="111">
        <f t="shared" si="322"/>
        <v>0</v>
      </c>
      <c r="CA412" s="138">
        <f t="shared" si="323"/>
        <v>146</v>
      </c>
      <c r="CB412" s="111" t="e">
        <f t="shared" si="332"/>
        <v>#VALUE!</v>
      </c>
      <c r="CC412" s="129">
        <f t="shared" si="333"/>
        <v>146</v>
      </c>
      <c r="CD412" s="129">
        <f t="shared" si="334"/>
        <v>0</v>
      </c>
      <c r="CE412" s="129">
        <f t="shared" si="324"/>
        <v>0</v>
      </c>
      <c r="CG412" s="129" t="str">
        <f t="shared" si="325"/>
        <v>Y</v>
      </c>
      <c r="CI412" s="129" t="str">
        <f t="shared" si="326"/>
        <v>121-365 DAYS</v>
      </c>
      <c r="CJ412" s="137">
        <f t="shared" si="327"/>
        <v>6</v>
      </c>
      <c r="CK412" s="129" t="str">
        <f t="shared" si="328"/>
        <v>Booked</v>
      </c>
    </row>
    <row r="413" spans="1:89" ht="15.75" customHeight="1" x14ac:dyDescent="0.25">
      <c r="A413" s="111">
        <v>1231</v>
      </c>
      <c r="B413" s="128" t="str">
        <f t="shared" si="309"/>
        <v>N</v>
      </c>
      <c r="C413" s="128" t="str">
        <f t="shared" si="310"/>
        <v>N</v>
      </c>
      <c r="D413" s="117">
        <v>1111567</v>
      </c>
      <c r="E413" s="135">
        <f t="shared" si="311"/>
        <v>4</v>
      </c>
      <c r="F413" s="124">
        <v>40953</v>
      </c>
      <c r="G413" s="125">
        <v>40955</v>
      </c>
      <c r="H413" s="117">
        <v>1111567</v>
      </c>
      <c r="I413" s="124">
        <v>40954</v>
      </c>
      <c r="J413" s="124">
        <v>40955</v>
      </c>
      <c r="K413" s="126">
        <v>25000</v>
      </c>
      <c r="L413" s="129" t="s">
        <v>572</v>
      </c>
      <c r="N413" s="129" t="str">
        <f>IF(M413&gt;1/1/1,"Y","N")</f>
        <v>N</v>
      </c>
      <c r="O413" s="128" t="s">
        <v>917</v>
      </c>
      <c r="P413" s="129" t="s">
        <v>39</v>
      </c>
      <c r="Q413" s="111">
        <f t="shared" si="298"/>
        <v>2</v>
      </c>
      <c r="R413" s="111">
        <f t="shared" si="304"/>
        <v>3</v>
      </c>
      <c r="S413" s="129">
        <v>5</v>
      </c>
      <c r="T413" s="129">
        <v>3</v>
      </c>
      <c r="U413" s="129">
        <v>2</v>
      </c>
      <c r="W413" s="111"/>
      <c r="AC413" s="130"/>
      <c r="AD413" s="130">
        <v>20418</v>
      </c>
      <c r="AE413" s="128" t="s">
        <v>32</v>
      </c>
      <c r="AF413" s="128" t="s">
        <v>33</v>
      </c>
      <c r="AG413" s="128" t="s">
        <v>872</v>
      </c>
      <c r="AH413" s="108" t="s">
        <v>58</v>
      </c>
      <c r="AI413" s="128" t="s">
        <v>80</v>
      </c>
      <c r="AJ413" s="129" t="s">
        <v>89</v>
      </c>
      <c r="AK413" s="129">
        <v>1</v>
      </c>
      <c r="AL413" s="3" t="s">
        <v>991</v>
      </c>
      <c r="AO413" s="128">
        <v>30</v>
      </c>
      <c r="AP413" s="129" t="s">
        <v>43</v>
      </c>
      <c r="AR413" s="128" t="s">
        <v>44</v>
      </c>
      <c r="AS413" s="129" t="s">
        <v>45</v>
      </c>
      <c r="AW413" s="123"/>
      <c r="AX413" s="123"/>
      <c r="BC413" s="129" t="s">
        <v>38</v>
      </c>
      <c r="BF413" s="111">
        <f t="shared" si="330"/>
        <v>2</v>
      </c>
      <c r="BG413" s="111">
        <f t="shared" si="331"/>
        <v>2</v>
      </c>
      <c r="BH413" s="111">
        <f t="shared" si="305"/>
        <v>3</v>
      </c>
      <c r="BI413" s="111">
        <f t="shared" si="306"/>
        <v>56.106557377049178</v>
      </c>
      <c r="BJ413" s="129">
        <f t="shared" si="312"/>
        <v>0</v>
      </c>
      <c r="BK413" s="129">
        <f t="shared" si="307"/>
        <v>0</v>
      </c>
      <c r="BL413" s="129" t="str">
        <f t="shared" si="308"/>
        <v>CONVICTION</v>
      </c>
      <c r="BM413" s="129" t="str">
        <f t="shared" si="313"/>
        <v>NONE</v>
      </c>
      <c r="BN413" s="129" t="s">
        <v>566</v>
      </c>
      <c r="BP413" s="137" t="str">
        <f t="shared" si="314"/>
        <v>CONVICTION</v>
      </c>
      <c r="BQ413" s="128" t="str">
        <f t="shared" si="315"/>
        <v>Y</v>
      </c>
      <c r="BR413" s="129" t="str">
        <f t="shared" si="316"/>
        <v>DETAINED</v>
      </c>
      <c r="BS413" s="129" t="str">
        <f t="shared" si="317"/>
        <v>DISPOSED</v>
      </c>
      <c r="BT413" s="129" t="str">
        <f t="shared" si="318"/>
        <v>Y</v>
      </c>
      <c r="BU413" s="109">
        <f t="shared" si="329"/>
        <v>0.66666666666666663</v>
      </c>
      <c r="BV413" s="109">
        <f t="shared" si="319"/>
        <v>1</v>
      </c>
      <c r="BW413" s="109">
        <f t="shared" si="335"/>
        <v>0.33333333333333337</v>
      </c>
      <c r="BX413" s="111">
        <f t="shared" si="320"/>
        <v>0</v>
      </c>
      <c r="BY413" s="129">
        <f t="shared" si="321"/>
        <v>-2</v>
      </c>
      <c r="BZ413" s="111">
        <f t="shared" si="322"/>
        <v>0</v>
      </c>
      <c r="CA413" s="138">
        <f t="shared" si="323"/>
        <v>2</v>
      </c>
      <c r="CB413" s="111" t="e">
        <f t="shared" si="332"/>
        <v>#VALUE!</v>
      </c>
      <c r="CC413" s="129">
        <f t="shared" si="333"/>
        <v>2</v>
      </c>
      <c r="CD413" s="129">
        <f t="shared" si="334"/>
        <v>0</v>
      </c>
      <c r="CE413" s="129">
        <f t="shared" si="324"/>
        <v>0</v>
      </c>
      <c r="CG413" s="129" t="str">
        <f t="shared" si="325"/>
        <v>Y</v>
      </c>
      <c r="CI413" s="129" t="str">
        <f t="shared" si="326"/>
        <v>0-10 DAYS</v>
      </c>
      <c r="CJ413" s="137">
        <f t="shared" si="327"/>
        <v>1</v>
      </c>
      <c r="CK413" s="129" t="str">
        <f t="shared" si="328"/>
        <v>Booked</v>
      </c>
    </row>
    <row r="414" spans="1:89" ht="15.75" customHeight="1" x14ac:dyDescent="0.25">
      <c r="A414" s="111">
        <v>1927</v>
      </c>
      <c r="B414" s="128" t="str">
        <f t="shared" si="309"/>
        <v>N</v>
      </c>
      <c r="C414" s="128" t="str">
        <f t="shared" si="310"/>
        <v>N</v>
      </c>
      <c r="D414" s="117">
        <v>1112085</v>
      </c>
      <c r="E414" s="135">
        <f t="shared" si="311"/>
        <v>2</v>
      </c>
      <c r="F414" s="124">
        <v>40981</v>
      </c>
      <c r="G414" s="125">
        <v>41096</v>
      </c>
      <c r="H414" s="117">
        <v>1112085</v>
      </c>
      <c r="I414" s="124">
        <v>40981</v>
      </c>
      <c r="J414" s="124">
        <v>40981</v>
      </c>
      <c r="K414" s="126">
        <v>2000</v>
      </c>
      <c r="L414" s="127" t="s">
        <v>568</v>
      </c>
      <c r="M414" s="125">
        <v>40981</v>
      </c>
      <c r="N414" s="129" t="str">
        <f>IF(M414&gt;1/1/1,"Y","N")</f>
        <v>Y</v>
      </c>
      <c r="O414" s="112" t="s">
        <v>160</v>
      </c>
      <c r="P414" s="129" t="s">
        <v>589</v>
      </c>
      <c r="Q414" s="111">
        <f t="shared" si="298"/>
        <v>1</v>
      </c>
      <c r="R414" s="111">
        <f t="shared" si="304"/>
        <v>116</v>
      </c>
      <c r="S414" s="129">
        <v>0</v>
      </c>
      <c r="T414" s="129">
        <v>0</v>
      </c>
      <c r="W414" s="111"/>
      <c r="AC414" s="130"/>
      <c r="AD414" s="130">
        <v>20626</v>
      </c>
      <c r="AE414" s="128" t="s">
        <v>32</v>
      </c>
      <c r="AF414" s="128" t="s">
        <v>33</v>
      </c>
      <c r="AG414" s="128" t="s">
        <v>872</v>
      </c>
      <c r="AH414" s="108" t="s">
        <v>31</v>
      </c>
      <c r="AI414" s="128" t="s">
        <v>59</v>
      </c>
      <c r="AJ414" s="129" t="s">
        <v>48</v>
      </c>
      <c r="AK414" s="129">
        <v>5</v>
      </c>
      <c r="AL414" s="3" t="s">
        <v>48</v>
      </c>
      <c r="AP414" s="129" t="s">
        <v>43</v>
      </c>
      <c r="AR414" s="128" t="s">
        <v>44</v>
      </c>
      <c r="AS414" s="129" t="s">
        <v>45</v>
      </c>
      <c r="BC414" s="129" t="s">
        <v>52</v>
      </c>
      <c r="BF414" s="111">
        <f t="shared" si="330"/>
        <v>1</v>
      </c>
      <c r="BG414" s="111">
        <f t="shared" si="331"/>
        <v>116</v>
      </c>
      <c r="BH414" s="111">
        <f t="shared" si="305"/>
        <v>116</v>
      </c>
      <c r="BI414" s="111">
        <f t="shared" si="306"/>
        <v>55.614754098360656</v>
      </c>
      <c r="BJ414" s="129">
        <f>(G414-J414)+(M414-G414)</f>
        <v>0</v>
      </c>
      <c r="BK414" s="129">
        <f t="shared" si="307"/>
        <v>-115</v>
      </c>
      <c r="BL414" s="129" t="str">
        <f t="shared" si="308"/>
        <v>DEFERRED</v>
      </c>
      <c r="BM414" s="129" t="s">
        <v>160</v>
      </c>
      <c r="BN414" s="129" t="s">
        <v>88</v>
      </c>
      <c r="BP414" s="137" t="str">
        <f t="shared" si="314"/>
        <v>DEFERRED</v>
      </c>
      <c r="BQ414" s="128" t="str">
        <f t="shared" si="315"/>
        <v>Y</v>
      </c>
      <c r="BR414" s="129" t="str">
        <f t="shared" si="316"/>
        <v>ON BOND</v>
      </c>
      <c r="BS414" s="129" t="str">
        <f t="shared" si="317"/>
        <v>DISPOSED</v>
      </c>
      <c r="BT414" s="129" t="str">
        <f t="shared" si="318"/>
        <v>N</v>
      </c>
      <c r="BU414" s="109">
        <f t="shared" si="329"/>
        <v>8.6206896551724137E-3</v>
      </c>
      <c r="BV414" s="109">
        <f t="shared" si="319"/>
        <v>8.6206896551724137E-3</v>
      </c>
      <c r="BW414" s="109">
        <f t="shared" si="335"/>
        <v>0</v>
      </c>
      <c r="BX414" s="111">
        <f t="shared" si="320"/>
        <v>0</v>
      </c>
      <c r="BY414" s="129">
        <f t="shared" si="321"/>
        <v>-1</v>
      </c>
      <c r="BZ414" s="111">
        <f t="shared" si="322"/>
        <v>0</v>
      </c>
      <c r="CA414" s="138">
        <f t="shared" si="323"/>
        <v>1</v>
      </c>
      <c r="CB414" s="111" t="e">
        <f t="shared" si="332"/>
        <v>#VALUE!</v>
      </c>
      <c r="CC414" s="129">
        <f>M414-I414+1</f>
        <v>1</v>
      </c>
      <c r="CD414" s="111">
        <f>CC414-BF414</f>
        <v>0</v>
      </c>
      <c r="CE414" s="129">
        <f t="shared" si="324"/>
        <v>115</v>
      </c>
      <c r="CG414" s="129" t="str">
        <f t="shared" si="325"/>
        <v>N</v>
      </c>
      <c r="CI414" s="129" t="str">
        <f t="shared" si="326"/>
        <v>0-10 DAYS</v>
      </c>
      <c r="CJ414" s="137">
        <f t="shared" si="327"/>
        <v>1</v>
      </c>
      <c r="CK414" s="129" t="str">
        <f t="shared" si="328"/>
        <v>Booked</v>
      </c>
    </row>
    <row r="415" spans="1:89" ht="15" customHeight="1" x14ac:dyDescent="0.25">
      <c r="A415" s="111">
        <v>3064</v>
      </c>
      <c r="B415" s="128" t="str">
        <f t="shared" si="309"/>
        <v>N</v>
      </c>
      <c r="C415" s="128" t="str">
        <f t="shared" si="310"/>
        <v>N</v>
      </c>
      <c r="D415" s="117">
        <v>1112495</v>
      </c>
      <c r="E415" s="135">
        <f t="shared" si="311"/>
        <v>5</v>
      </c>
      <c r="F415" s="124">
        <v>41022</v>
      </c>
      <c r="G415" s="125">
        <v>41024</v>
      </c>
      <c r="H415" s="117">
        <v>1112495</v>
      </c>
      <c r="I415" s="124">
        <v>41022</v>
      </c>
      <c r="J415" s="124">
        <v>41024</v>
      </c>
      <c r="K415" s="126">
        <v>15000</v>
      </c>
      <c r="L415" s="127" t="s">
        <v>571</v>
      </c>
      <c r="N415" s="129" t="str">
        <f>IF(M415&gt;1/1/1,"Y","N")</f>
        <v>N</v>
      </c>
      <c r="O415" s="128" t="s">
        <v>917</v>
      </c>
      <c r="P415" s="129" t="s">
        <v>39</v>
      </c>
      <c r="Q415" s="111">
        <f t="shared" si="298"/>
        <v>3</v>
      </c>
      <c r="R415" s="111">
        <f t="shared" si="304"/>
        <v>3</v>
      </c>
      <c r="S415" s="129">
        <v>9</v>
      </c>
      <c r="T415" s="129">
        <v>5</v>
      </c>
      <c r="U415" s="129">
        <v>9</v>
      </c>
      <c r="W415" s="111"/>
      <c r="AC415" s="130"/>
      <c r="AD415" s="130">
        <v>24350</v>
      </c>
      <c r="AE415" s="128" t="s">
        <v>32</v>
      </c>
      <c r="AF415" s="128" t="s">
        <v>33</v>
      </c>
      <c r="AG415" s="128" t="s">
        <v>872</v>
      </c>
      <c r="AH415" s="108" t="s">
        <v>58</v>
      </c>
      <c r="AI415" s="128" t="s">
        <v>97</v>
      </c>
      <c r="AJ415" s="129" t="s">
        <v>89</v>
      </c>
      <c r="AK415" s="129">
        <v>1</v>
      </c>
      <c r="AL415" s="3" t="s">
        <v>992</v>
      </c>
      <c r="AN415" s="117">
        <v>6</v>
      </c>
      <c r="AP415" s="129" t="s">
        <v>60</v>
      </c>
      <c r="AR415" s="128" t="s">
        <v>44</v>
      </c>
      <c r="AS415" s="129" t="s">
        <v>61</v>
      </c>
      <c r="BC415" s="129" t="s">
        <v>38</v>
      </c>
      <c r="BF415" s="111">
        <f t="shared" si="330"/>
        <v>3</v>
      </c>
      <c r="BG415" s="111">
        <f t="shared" si="331"/>
        <v>3</v>
      </c>
      <c r="BH415" s="111">
        <f t="shared" si="305"/>
        <v>3</v>
      </c>
      <c r="BI415" s="111">
        <f t="shared" si="306"/>
        <v>45.551912568306008</v>
      </c>
      <c r="BJ415" s="129">
        <f t="shared" si="312"/>
        <v>0</v>
      </c>
      <c r="BK415" s="129">
        <f t="shared" si="307"/>
        <v>0</v>
      </c>
      <c r="BL415" s="129" t="str">
        <f t="shared" si="308"/>
        <v>CONVICTION</v>
      </c>
      <c r="BM415" s="129" t="str">
        <f t="shared" si="313"/>
        <v>NONE</v>
      </c>
      <c r="BN415" s="129" t="s">
        <v>566</v>
      </c>
      <c r="BP415" s="137" t="str">
        <f t="shared" si="314"/>
        <v>CONVICTION</v>
      </c>
      <c r="BQ415" s="128" t="str">
        <f t="shared" si="315"/>
        <v>Y</v>
      </c>
      <c r="BR415" s="129" t="str">
        <f t="shared" si="316"/>
        <v>DETAINED</v>
      </c>
      <c r="BS415" s="129" t="str">
        <f t="shared" si="317"/>
        <v>DISPOSED</v>
      </c>
      <c r="BT415" s="129" t="str">
        <f t="shared" si="318"/>
        <v>Y</v>
      </c>
      <c r="BU415" s="109">
        <f t="shared" si="329"/>
        <v>1</v>
      </c>
      <c r="BV415" s="109">
        <f t="shared" si="319"/>
        <v>1</v>
      </c>
      <c r="BW415" s="109">
        <f t="shared" si="335"/>
        <v>0</v>
      </c>
      <c r="BX415" s="111">
        <f t="shared" si="320"/>
        <v>0</v>
      </c>
      <c r="BY415" s="129">
        <f t="shared" si="321"/>
        <v>-3</v>
      </c>
      <c r="BZ415" s="111">
        <f t="shared" si="322"/>
        <v>0</v>
      </c>
      <c r="CA415" s="138">
        <f t="shared" si="323"/>
        <v>3</v>
      </c>
      <c r="CB415" s="111" t="e">
        <f t="shared" si="332"/>
        <v>#VALUE!</v>
      </c>
      <c r="CC415" s="129">
        <f t="shared" ref="CC415:CC427" si="336">G415-I415+1</f>
        <v>3</v>
      </c>
      <c r="CD415" s="129">
        <f t="shared" ref="CD415:CD427" si="337">G415-J415</f>
        <v>0</v>
      </c>
      <c r="CE415" s="129">
        <f t="shared" si="324"/>
        <v>0</v>
      </c>
      <c r="CG415" s="129" t="str">
        <f t="shared" si="325"/>
        <v>Y</v>
      </c>
      <c r="CI415" s="129" t="str">
        <f t="shared" si="326"/>
        <v>0-10 DAYS</v>
      </c>
      <c r="CJ415" s="137">
        <f t="shared" si="327"/>
        <v>1</v>
      </c>
      <c r="CK415" s="129" t="str">
        <f t="shared" si="328"/>
        <v>Booked</v>
      </c>
    </row>
    <row r="416" spans="1:89" ht="15.75" customHeight="1" x14ac:dyDescent="0.25">
      <c r="A416" s="111">
        <v>1475</v>
      </c>
      <c r="B416" s="128" t="str">
        <f t="shared" si="309"/>
        <v>N</v>
      </c>
      <c r="C416" s="128" t="str">
        <f t="shared" si="310"/>
        <v>N</v>
      </c>
      <c r="D416" s="114">
        <v>1116553</v>
      </c>
      <c r="E416" s="135">
        <f t="shared" si="311"/>
        <v>2</v>
      </c>
      <c r="F416" s="124">
        <v>40963</v>
      </c>
      <c r="G416" s="125">
        <v>40966</v>
      </c>
      <c r="H416" s="114">
        <v>1116553</v>
      </c>
      <c r="I416" s="124">
        <v>40963</v>
      </c>
      <c r="J416" s="124">
        <v>40966</v>
      </c>
      <c r="K416" s="126">
        <v>2000</v>
      </c>
      <c r="L416" s="127" t="s">
        <v>568</v>
      </c>
      <c r="N416" s="129" t="str">
        <f>IF(M416&gt;1/1/1,"Y","N")</f>
        <v>N</v>
      </c>
      <c r="O416" s="128" t="s">
        <v>917</v>
      </c>
      <c r="P416" s="129" t="s">
        <v>589</v>
      </c>
      <c r="Q416" s="111">
        <f t="shared" si="298"/>
        <v>4</v>
      </c>
      <c r="R416" s="111">
        <f t="shared" si="304"/>
        <v>4</v>
      </c>
      <c r="S416" s="129">
        <v>0</v>
      </c>
      <c r="T416" s="129">
        <v>4</v>
      </c>
      <c r="W416" s="111"/>
      <c r="AC416" s="130"/>
      <c r="AD416" s="130">
        <v>20273</v>
      </c>
      <c r="AE416" s="128" t="s">
        <v>32</v>
      </c>
      <c r="AF416" s="128" t="s">
        <v>33</v>
      </c>
      <c r="AG416" s="128" t="s">
        <v>872</v>
      </c>
      <c r="AH416" s="108" t="s">
        <v>31</v>
      </c>
      <c r="AI416" s="128" t="s">
        <v>34</v>
      </c>
      <c r="AJ416" s="129" t="s">
        <v>48</v>
      </c>
      <c r="AK416" s="129">
        <v>2</v>
      </c>
      <c r="AL416" s="3" t="s">
        <v>48</v>
      </c>
      <c r="AP416" s="129" t="s">
        <v>43</v>
      </c>
      <c r="AR416" s="128" t="s">
        <v>44</v>
      </c>
      <c r="AS416" s="129" t="s">
        <v>45</v>
      </c>
      <c r="AT416" s="129" t="s">
        <v>631</v>
      </c>
      <c r="BC416" s="129" t="s">
        <v>38</v>
      </c>
      <c r="BF416" s="111">
        <f t="shared" si="330"/>
        <v>4</v>
      </c>
      <c r="BG416" s="111">
        <f t="shared" si="331"/>
        <v>4</v>
      </c>
      <c r="BH416" s="111">
        <f t="shared" si="305"/>
        <v>4</v>
      </c>
      <c r="BI416" s="111">
        <f t="shared" si="306"/>
        <v>56.530054644808743</v>
      </c>
      <c r="BJ416" s="129">
        <f t="shared" si="312"/>
        <v>0</v>
      </c>
      <c r="BK416" s="129">
        <f t="shared" si="307"/>
        <v>0</v>
      </c>
      <c r="BL416" s="129" t="str">
        <f t="shared" si="308"/>
        <v>DEFERRED</v>
      </c>
      <c r="BM416" s="129" t="str">
        <f t="shared" si="313"/>
        <v>NONE</v>
      </c>
      <c r="BN416" s="129" t="s">
        <v>566</v>
      </c>
      <c r="BP416" s="137" t="str">
        <f t="shared" si="314"/>
        <v>DEFERRED</v>
      </c>
      <c r="BQ416" s="128" t="str">
        <f t="shared" si="315"/>
        <v>Y</v>
      </c>
      <c r="BR416" s="129" t="str">
        <f t="shared" si="316"/>
        <v>DETAINED</v>
      </c>
      <c r="BS416" s="129" t="str">
        <f t="shared" si="317"/>
        <v>DISPOSED</v>
      </c>
      <c r="BT416" s="129" t="str">
        <f t="shared" si="318"/>
        <v>N</v>
      </c>
      <c r="BU416" s="109">
        <f t="shared" si="329"/>
        <v>1</v>
      </c>
      <c r="BV416" s="109">
        <f t="shared" si="319"/>
        <v>1</v>
      </c>
      <c r="BW416" s="109">
        <f t="shared" si="335"/>
        <v>0</v>
      </c>
      <c r="BX416" s="111">
        <f t="shared" si="320"/>
        <v>0</v>
      </c>
      <c r="BY416" s="129">
        <f t="shared" si="321"/>
        <v>-4</v>
      </c>
      <c r="BZ416" s="111">
        <f t="shared" si="322"/>
        <v>0</v>
      </c>
      <c r="CA416" s="138">
        <f t="shared" si="323"/>
        <v>4</v>
      </c>
      <c r="CB416" s="111" t="e">
        <f t="shared" si="332"/>
        <v>#VALUE!</v>
      </c>
      <c r="CC416" s="129">
        <f t="shared" si="336"/>
        <v>4</v>
      </c>
      <c r="CD416" s="129">
        <f t="shared" si="337"/>
        <v>0</v>
      </c>
      <c r="CE416" s="129">
        <f t="shared" si="324"/>
        <v>0</v>
      </c>
      <c r="CG416" s="129" t="str">
        <f t="shared" si="325"/>
        <v>Y</v>
      </c>
      <c r="CI416" s="129" t="str">
        <f t="shared" si="326"/>
        <v>0-10 DAYS</v>
      </c>
      <c r="CJ416" s="137">
        <f t="shared" si="327"/>
        <v>1</v>
      </c>
      <c r="CK416" s="129" t="str">
        <f t="shared" si="328"/>
        <v>Booked</v>
      </c>
    </row>
    <row r="417" spans="1:89" ht="15.75" customHeight="1" x14ac:dyDescent="0.25">
      <c r="A417" s="111">
        <v>181</v>
      </c>
      <c r="B417" s="128" t="str">
        <f t="shared" si="309"/>
        <v>N</v>
      </c>
      <c r="C417" s="128" t="str">
        <f t="shared" si="310"/>
        <v>N</v>
      </c>
      <c r="D417" s="117">
        <v>1118629</v>
      </c>
      <c r="E417" s="135">
        <f t="shared" si="311"/>
        <v>1</v>
      </c>
      <c r="F417" s="124">
        <v>40916</v>
      </c>
      <c r="G417" s="125">
        <v>41344</v>
      </c>
      <c r="H417" s="117">
        <v>1118629</v>
      </c>
      <c r="I417" s="124">
        <v>40917</v>
      </c>
      <c r="J417" s="125">
        <v>41344</v>
      </c>
      <c r="K417" s="126">
        <v>100000</v>
      </c>
      <c r="L417" s="129" t="s">
        <v>572</v>
      </c>
      <c r="N417" s="129" t="str">
        <f>IF(M417&gt;1/1/1,"Y","N")</f>
        <v>N</v>
      </c>
      <c r="O417" s="128" t="s">
        <v>917</v>
      </c>
      <c r="P417" s="129" t="s">
        <v>55</v>
      </c>
      <c r="Q417" s="111">
        <f t="shared" si="298"/>
        <v>428</v>
      </c>
      <c r="R417" s="111">
        <f t="shared" si="304"/>
        <v>429</v>
      </c>
      <c r="S417" s="129">
        <v>1</v>
      </c>
      <c r="T417" s="129">
        <v>2</v>
      </c>
      <c r="U417" s="129">
        <v>1</v>
      </c>
      <c r="W417" s="111"/>
      <c r="AC417" s="130"/>
      <c r="AD417" s="130">
        <v>25944</v>
      </c>
      <c r="AE417" s="128" t="s">
        <v>32</v>
      </c>
      <c r="AF417" s="128" t="s">
        <v>33</v>
      </c>
      <c r="AG417" s="128" t="s">
        <v>872</v>
      </c>
      <c r="AH417" s="108" t="s">
        <v>31</v>
      </c>
      <c r="AI417" s="128" t="s">
        <v>141</v>
      </c>
      <c r="AJ417" s="129" t="s">
        <v>55</v>
      </c>
      <c r="AK417" s="129">
        <v>2</v>
      </c>
      <c r="AL417" s="3" t="s">
        <v>55</v>
      </c>
      <c r="AP417" s="129" t="s">
        <v>1003</v>
      </c>
      <c r="AR417" s="128" t="s">
        <v>67</v>
      </c>
      <c r="AS417" s="129" t="s">
        <v>45</v>
      </c>
      <c r="BC417" s="129" t="s">
        <v>52</v>
      </c>
      <c r="BF417" s="111">
        <f t="shared" si="330"/>
        <v>428</v>
      </c>
      <c r="BG417" s="111">
        <f t="shared" si="331"/>
        <v>428</v>
      </c>
      <c r="BH417" s="111">
        <f t="shared" si="305"/>
        <v>429</v>
      </c>
      <c r="BI417" s="111">
        <f t="shared" si="306"/>
        <v>40.907103825136609</v>
      </c>
      <c r="BJ417" s="129">
        <f t="shared" si="312"/>
        <v>0</v>
      </c>
      <c r="BK417" s="129">
        <f t="shared" si="307"/>
        <v>0</v>
      </c>
      <c r="BL417" s="129" t="str">
        <f t="shared" si="308"/>
        <v>NO CONVICTION</v>
      </c>
      <c r="BM417" s="129" t="str">
        <f t="shared" si="313"/>
        <v>NONE</v>
      </c>
      <c r="BN417" s="129" t="s">
        <v>566</v>
      </c>
      <c r="BP417" s="137" t="str">
        <f t="shared" si="314"/>
        <v>NO CONVICTION</v>
      </c>
      <c r="BQ417" s="128" t="str">
        <f t="shared" si="315"/>
        <v>Y</v>
      </c>
      <c r="BR417" s="129" t="str">
        <f t="shared" si="316"/>
        <v>DETAINED</v>
      </c>
      <c r="BS417" s="129" t="str">
        <f t="shared" si="317"/>
        <v>DISPOSED</v>
      </c>
      <c r="BT417" s="129" t="str">
        <f t="shared" si="318"/>
        <v>Y</v>
      </c>
      <c r="BU417" s="109">
        <f>IFERROR(Q417/R417,BR417)</f>
        <v>0.99766899766899764</v>
      </c>
      <c r="BV417" s="109">
        <f t="shared" si="319"/>
        <v>1</v>
      </c>
      <c r="BW417" s="109">
        <f t="shared" si="335"/>
        <v>2.3310023310023631E-3</v>
      </c>
      <c r="BX417" s="111">
        <f t="shared" si="320"/>
        <v>0</v>
      </c>
      <c r="BY417" s="129">
        <f t="shared" si="321"/>
        <v>-428</v>
      </c>
      <c r="BZ417" s="111">
        <f t="shared" si="322"/>
        <v>0</v>
      </c>
      <c r="CA417" s="138">
        <f t="shared" si="323"/>
        <v>428</v>
      </c>
      <c r="CB417" s="111" t="e">
        <f t="shared" si="332"/>
        <v>#VALUE!</v>
      </c>
      <c r="CC417" s="129">
        <f t="shared" si="336"/>
        <v>428</v>
      </c>
      <c r="CD417" s="129">
        <f t="shared" si="337"/>
        <v>0</v>
      </c>
      <c r="CE417" s="129">
        <f t="shared" si="324"/>
        <v>0</v>
      </c>
      <c r="CG417" s="129" t="str">
        <f t="shared" si="325"/>
        <v>Y</v>
      </c>
      <c r="CI417" s="129" t="str">
        <f t="shared" si="326"/>
        <v xml:space="preserve"> &gt;1YRS&lt;2YRS</v>
      </c>
      <c r="CJ417" s="137">
        <f t="shared" si="327"/>
        <v>0</v>
      </c>
      <c r="CK417" s="129" t="str">
        <f t="shared" si="328"/>
        <v>Booked</v>
      </c>
    </row>
    <row r="418" spans="1:89" ht="15.75" customHeight="1" x14ac:dyDescent="0.25">
      <c r="A418" s="111">
        <v>3256</v>
      </c>
      <c r="B418" s="128" t="str">
        <f t="shared" si="309"/>
        <v>N</v>
      </c>
      <c r="C418" s="128" t="str">
        <f t="shared" si="310"/>
        <v>N</v>
      </c>
      <c r="D418" s="117">
        <v>1118920</v>
      </c>
      <c r="E418" s="135">
        <f t="shared" si="311"/>
        <v>6</v>
      </c>
      <c r="F418" s="124">
        <v>41029</v>
      </c>
      <c r="G418" s="125">
        <v>41337</v>
      </c>
      <c r="H418" s="117">
        <v>1118920</v>
      </c>
      <c r="I418" s="124">
        <v>41029</v>
      </c>
      <c r="J418" s="125">
        <v>41337</v>
      </c>
      <c r="K418" s="126" t="s">
        <v>564</v>
      </c>
      <c r="L418" s="127" t="s">
        <v>564</v>
      </c>
      <c r="N418" s="129" t="s">
        <v>566</v>
      </c>
      <c r="O418" s="128" t="s">
        <v>917</v>
      </c>
      <c r="P418" s="129" t="s">
        <v>39</v>
      </c>
      <c r="Q418" s="111">
        <f t="shared" si="298"/>
        <v>309</v>
      </c>
      <c r="R418" s="111">
        <f t="shared" si="304"/>
        <v>309</v>
      </c>
      <c r="S418" s="129">
        <v>6</v>
      </c>
      <c r="T418" s="129">
        <v>5</v>
      </c>
      <c r="U418" s="129">
        <v>4</v>
      </c>
      <c r="W418" s="111"/>
      <c r="AC418" s="130"/>
      <c r="AD418" s="130">
        <v>25959</v>
      </c>
      <c r="AE418" s="128" t="s">
        <v>32</v>
      </c>
      <c r="AF418" s="128" t="s">
        <v>33</v>
      </c>
      <c r="AG418" s="128" t="s">
        <v>872</v>
      </c>
      <c r="AH418" s="108" t="s">
        <v>58</v>
      </c>
      <c r="AI418" s="128" t="s">
        <v>87</v>
      </c>
      <c r="AJ418" s="129" t="s">
        <v>89</v>
      </c>
      <c r="AK418" s="129">
        <v>10</v>
      </c>
      <c r="AL418" s="3" t="s">
        <v>362</v>
      </c>
      <c r="AM418" s="117">
        <v>17</v>
      </c>
      <c r="AP418" s="129" t="s">
        <v>105</v>
      </c>
      <c r="AR418" s="128" t="s">
        <v>92</v>
      </c>
      <c r="AS418" s="129" t="s">
        <v>106</v>
      </c>
      <c r="BC418" s="129" t="s">
        <v>52</v>
      </c>
      <c r="BF418" s="111">
        <f t="shared" si="330"/>
        <v>309</v>
      </c>
      <c r="BG418" s="111">
        <f t="shared" si="331"/>
        <v>309</v>
      </c>
      <c r="BH418" s="111">
        <f t="shared" si="305"/>
        <v>309</v>
      </c>
      <c r="BI418" s="111">
        <f t="shared" si="306"/>
        <v>41.174863387978142</v>
      </c>
      <c r="BJ418" s="129">
        <f t="shared" si="312"/>
        <v>0</v>
      </c>
      <c r="BK418" s="129">
        <f t="shared" si="307"/>
        <v>0</v>
      </c>
      <c r="BL418" s="129" t="str">
        <f t="shared" si="308"/>
        <v>CONVICTION</v>
      </c>
      <c r="BM418" s="129" t="str">
        <f t="shared" si="313"/>
        <v>NONE</v>
      </c>
      <c r="BN418" s="129" t="s">
        <v>566</v>
      </c>
      <c r="BP418" s="137" t="str">
        <f t="shared" si="314"/>
        <v>CONVICTION</v>
      </c>
      <c r="BQ418" s="128" t="str">
        <f t="shared" si="315"/>
        <v>Y</v>
      </c>
      <c r="BR418" s="129" t="str">
        <f t="shared" si="316"/>
        <v>DETAINED</v>
      </c>
      <c r="BS418" s="129" t="str">
        <f t="shared" si="317"/>
        <v>DISPOSED</v>
      </c>
      <c r="BT418" s="129" t="str">
        <f t="shared" si="318"/>
        <v>Y</v>
      </c>
      <c r="BU418" s="109">
        <f t="shared" si="329"/>
        <v>1</v>
      </c>
      <c r="BV418" s="109">
        <f t="shared" si="319"/>
        <v>1</v>
      </c>
      <c r="BW418" s="109">
        <f t="shared" si="335"/>
        <v>0</v>
      </c>
      <c r="BX418" s="111">
        <f t="shared" si="320"/>
        <v>0</v>
      </c>
      <c r="BY418" s="129">
        <f t="shared" si="321"/>
        <v>-309</v>
      </c>
      <c r="BZ418" s="111">
        <f t="shared" si="322"/>
        <v>0</v>
      </c>
      <c r="CA418" s="138">
        <f t="shared" si="323"/>
        <v>309</v>
      </c>
      <c r="CB418" s="111" t="e">
        <f t="shared" si="332"/>
        <v>#VALUE!</v>
      </c>
      <c r="CC418" s="129">
        <f t="shared" si="336"/>
        <v>309</v>
      </c>
      <c r="CD418" s="129">
        <f t="shared" si="337"/>
        <v>0</v>
      </c>
      <c r="CE418" s="129">
        <f t="shared" si="324"/>
        <v>0</v>
      </c>
      <c r="CG418" s="129" t="str">
        <f t="shared" si="325"/>
        <v>Y</v>
      </c>
      <c r="CI418" s="129" t="str">
        <f t="shared" si="326"/>
        <v>121-365 DAYS</v>
      </c>
      <c r="CJ418" s="137">
        <f t="shared" si="327"/>
        <v>6</v>
      </c>
      <c r="CK418" s="129" t="str">
        <f t="shared" si="328"/>
        <v>Booked</v>
      </c>
    </row>
    <row r="419" spans="1:89" ht="15.75" customHeight="1" x14ac:dyDescent="0.25">
      <c r="A419" s="111">
        <v>415</v>
      </c>
      <c r="B419" s="128" t="str">
        <f t="shared" si="309"/>
        <v>N</v>
      </c>
      <c r="C419" s="128" t="str">
        <f t="shared" si="310"/>
        <v>N</v>
      </c>
      <c r="D419" s="117">
        <v>1121305</v>
      </c>
      <c r="E419" s="135">
        <f t="shared" si="311"/>
        <v>4</v>
      </c>
      <c r="F419" s="124">
        <v>40926</v>
      </c>
      <c r="G419" s="125">
        <v>40928</v>
      </c>
      <c r="H419" s="117">
        <v>1121305</v>
      </c>
      <c r="I419" s="124">
        <v>40926</v>
      </c>
      <c r="J419" s="124">
        <v>40928</v>
      </c>
      <c r="K419" s="126">
        <v>15000</v>
      </c>
      <c r="L419" s="127" t="s">
        <v>571</v>
      </c>
      <c r="N419" s="129" t="str">
        <f>IF(M419&gt;1/1/1,"Y","N")</f>
        <v>N</v>
      </c>
      <c r="O419" s="128" t="s">
        <v>917</v>
      </c>
      <c r="P419" s="129" t="s">
        <v>39</v>
      </c>
      <c r="Q419" s="111">
        <f t="shared" si="298"/>
        <v>3</v>
      </c>
      <c r="R419" s="111">
        <f t="shared" si="304"/>
        <v>3</v>
      </c>
      <c r="S419" s="129">
        <v>2</v>
      </c>
      <c r="T419" s="129">
        <v>0</v>
      </c>
      <c r="U419" s="129">
        <v>1</v>
      </c>
      <c r="W419" s="111"/>
      <c r="AC419" s="130"/>
      <c r="AD419" s="130">
        <v>23486</v>
      </c>
      <c r="AE419" s="128" t="s">
        <v>32</v>
      </c>
      <c r="AF419" s="128" t="s">
        <v>33</v>
      </c>
      <c r="AG419" s="128" t="s">
        <v>872</v>
      </c>
      <c r="AH419" s="108" t="s">
        <v>31</v>
      </c>
      <c r="AI419" s="128" t="s">
        <v>118</v>
      </c>
      <c r="AJ419" s="129" t="s">
        <v>89</v>
      </c>
      <c r="AK419" s="129">
        <v>1</v>
      </c>
      <c r="AL419" s="3" t="s">
        <v>991</v>
      </c>
      <c r="AO419" s="128">
        <v>180</v>
      </c>
      <c r="AP419" s="129" t="s">
        <v>43</v>
      </c>
      <c r="AR419" s="128" t="s">
        <v>44</v>
      </c>
      <c r="AS419" s="129" t="s">
        <v>45</v>
      </c>
      <c r="BC419" s="129" t="s">
        <v>38</v>
      </c>
      <c r="BF419" s="111">
        <f t="shared" si="330"/>
        <v>3</v>
      </c>
      <c r="BG419" s="111">
        <f t="shared" si="331"/>
        <v>3</v>
      </c>
      <c r="BH419" s="111">
        <f t="shared" si="305"/>
        <v>3</v>
      </c>
      <c r="BI419" s="111">
        <f t="shared" si="306"/>
        <v>47.650273224043715</v>
      </c>
      <c r="BJ419" s="129">
        <f t="shared" si="312"/>
        <v>0</v>
      </c>
      <c r="BK419" s="129">
        <f t="shared" si="307"/>
        <v>0</v>
      </c>
      <c r="BL419" s="129" t="str">
        <f t="shared" si="308"/>
        <v>CONVICTION</v>
      </c>
      <c r="BM419" s="129" t="str">
        <f t="shared" si="313"/>
        <v>NONE</v>
      </c>
      <c r="BN419" s="129" t="s">
        <v>566</v>
      </c>
      <c r="BP419" s="137" t="str">
        <f t="shared" si="314"/>
        <v>CONVICTION</v>
      </c>
      <c r="BQ419" s="128" t="str">
        <f t="shared" si="315"/>
        <v>Y</v>
      </c>
      <c r="BR419" s="129" t="str">
        <f t="shared" si="316"/>
        <v>DETAINED</v>
      </c>
      <c r="BS419" s="129" t="str">
        <f t="shared" si="317"/>
        <v>DISPOSED</v>
      </c>
      <c r="BT419" s="129" t="str">
        <f t="shared" si="318"/>
        <v>Y</v>
      </c>
      <c r="BU419" s="109">
        <f t="shared" si="329"/>
        <v>1</v>
      </c>
      <c r="BV419" s="109">
        <f t="shared" si="319"/>
        <v>1</v>
      </c>
      <c r="BW419" s="109">
        <f t="shared" si="335"/>
        <v>0</v>
      </c>
      <c r="BX419" s="111">
        <f t="shared" si="320"/>
        <v>0</v>
      </c>
      <c r="BY419" s="129">
        <f t="shared" si="321"/>
        <v>-3</v>
      </c>
      <c r="BZ419" s="111">
        <f t="shared" si="322"/>
        <v>0</v>
      </c>
      <c r="CA419" s="138">
        <f t="shared" si="323"/>
        <v>3</v>
      </c>
      <c r="CB419" s="111" t="e">
        <f t="shared" si="332"/>
        <v>#VALUE!</v>
      </c>
      <c r="CC419" s="129">
        <f t="shared" si="336"/>
        <v>3</v>
      </c>
      <c r="CD419" s="129">
        <f t="shared" si="337"/>
        <v>0</v>
      </c>
      <c r="CE419" s="129">
        <f t="shared" si="324"/>
        <v>0</v>
      </c>
      <c r="CG419" s="129" t="str">
        <f t="shared" si="325"/>
        <v>Y</v>
      </c>
      <c r="CI419" s="129" t="str">
        <f t="shared" si="326"/>
        <v>0-10 DAYS</v>
      </c>
      <c r="CJ419" s="137">
        <f t="shared" si="327"/>
        <v>1</v>
      </c>
      <c r="CK419" s="129" t="str">
        <f t="shared" si="328"/>
        <v>Booked</v>
      </c>
    </row>
    <row r="420" spans="1:89" ht="15.75" customHeight="1" x14ac:dyDescent="0.25">
      <c r="A420" s="111">
        <v>2875</v>
      </c>
      <c r="B420" s="128" t="str">
        <f t="shared" si="309"/>
        <v>N</v>
      </c>
      <c r="C420" s="128" t="str">
        <f t="shared" si="310"/>
        <v>N</v>
      </c>
      <c r="D420" s="117">
        <v>1124850</v>
      </c>
      <c r="E420" s="135">
        <f t="shared" si="311"/>
        <v>5</v>
      </c>
      <c r="F420" s="124">
        <v>41015</v>
      </c>
      <c r="G420" s="125">
        <v>41017</v>
      </c>
      <c r="H420" s="117">
        <v>1124850</v>
      </c>
      <c r="I420" s="124">
        <v>41016</v>
      </c>
      <c r="J420" s="124">
        <v>41017</v>
      </c>
      <c r="K420" s="126">
        <v>5000</v>
      </c>
      <c r="L420" s="127" t="s">
        <v>569</v>
      </c>
      <c r="N420" s="129" t="str">
        <f>IF(M420&gt;1/1/1,"Y","N")</f>
        <v>N</v>
      </c>
      <c r="O420" s="128" t="s">
        <v>917</v>
      </c>
      <c r="P420" s="129" t="s">
        <v>39</v>
      </c>
      <c r="Q420" s="111">
        <f t="shared" si="298"/>
        <v>2</v>
      </c>
      <c r="R420" s="111">
        <f t="shared" si="304"/>
        <v>3</v>
      </c>
      <c r="S420" s="129">
        <v>3</v>
      </c>
      <c r="T420" s="129">
        <v>5</v>
      </c>
      <c r="U420" s="129">
        <v>1</v>
      </c>
      <c r="V420" s="117">
        <v>1</v>
      </c>
      <c r="W420" s="111"/>
      <c r="AC420" s="130"/>
      <c r="AD420" s="130">
        <v>26662</v>
      </c>
      <c r="AE420" s="128" t="s">
        <v>32</v>
      </c>
      <c r="AF420" s="128" t="s">
        <v>69</v>
      </c>
      <c r="AG420" s="128" t="s">
        <v>874</v>
      </c>
      <c r="AH420" s="108" t="s">
        <v>58</v>
      </c>
      <c r="AI420" s="128" t="s">
        <v>114</v>
      </c>
      <c r="AJ420" s="129" t="s">
        <v>89</v>
      </c>
      <c r="AK420" s="129">
        <v>1</v>
      </c>
      <c r="AL420" s="3" t="s">
        <v>992</v>
      </c>
      <c r="AN420" s="117">
        <v>9</v>
      </c>
      <c r="AP420" s="129" t="s">
        <v>121</v>
      </c>
      <c r="AR420" s="128" t="s">
        <v>44</v>
      </c>
      <c r="AS420" s="129" t="s">
        <v>122</v>
      </c>
      <c r="BC420" s="129" t="s">
        <v>38</v>
      </c>
      <c r="BF420" s="111">
        <f t="shared" si="330"/>
        <v>2</v>
      </c>
      <c r="BG420" s="111">
        <f t="shared" si="331"/>
        <v>2</v>
      </c>
      <c r="BH420" s="111">
        <f t="shared" si="305"/>
        <v>3</v>
      </c>
      <c r="BI420" s="111">
        <f t="shared" si="306"/>
        <v>39.215846994535518</v>
      </c>
      <c r="BJ420" s="129">
        <f t="shared" si="312"/>
        <v>0</v>
      </c>
      <c r="BK420" s="129">
        <f t="shared" si="307"/>
        <v>0</v>
      </c>
      <c r="BL420" s="129" t="str">
        <f t="shared" si="308"/>
        <v>CONVICTION</v>
      </c>
      <c r="BM420" s="129" t="str">
        <f t="shared" si="313"/>
        <v>NONE</v>
      </c>
      <c r="BN420" s="129" t="s">
        <v>566</v>
      </c>
      <c r="BP420" s="137" t="str">
        <f t="shared" si="314"/>
        <v>CONVICTION</v>
      </c>
      <c r="BQ420" s="128" t="str">
        <f t="shared" si="315"/>
        <v>Y</v>
      </c>
      <c r="BR420" s="129" t="str">
        <f t="shared" si="316"/>
        <v>DETAINED</v>
      </c>
      <c r="BS420" s="129" t="str">
        <f t="shared" si="317"/>
        <v>DISPOSED</v>
      </c>
      <c r="BT420" s="129" t="str">
        <f t="shared" si="318"/>
        <v>Y</v>
      </c>
      <c r="BU420" s="109">
        <f t="shared" si="329"/>
        <v>0.66666666666666663</v>
      </c>
      <c r="BV420" s="109">
        <f t="shared" si="319"/>
        <v>1</v>
      </c>
      <c r="BW420" s="109">
        <f t="shared" si="335"/>
        <v>0.33333333333333337</v>
      </c>
      <c r="BX420" s="111">
        <f t="shared" si="320"/>
        <v>0</v>
      </c>
      <c r="BY420" s="129">
        <f t="shared" si="321"/>
        <v>-2</v>
      </c>
      <c r="BZ420" s="111">
        <f t="shared" si="322"/>
        <v>0</v>
      </c>
      <c r="CA420" s="138">
        <f t="shared" si="323"/>
        <v>2</v>
      </c>
      <c r="CB420" s="111" t="e">
        <f t="shared" si="332"/>
        <v>#VALUE!</v>
      </c>
      <c r="CC420" s="129">
        <f t="shared" si="336"/>
        <v>2</v>
      </c>
      <c r="CD420" s="129">
        <f t="shared" si="337"/>
        <v>0</v>
      </c>
      <c r="CE420" s="129">
        <f t="shared" si="324"/>
        <v>0</v>
      </c>
      <c r="CG420" s="129" t="str">
        <f t="shared" si="325"/>
        <v>Y</v>
      </c>
      <c r="CI420" s="129" t="str">
        <f t="shared" si="326"/>
        <v>0-10 DAYS</v>
      </c>
      <c r="CJ420" s="137">
        <f t="shared" si="327"/>
        <v>1</v>
      </c>
      <c r="CK420" s="129" t="str">
        <f t="shared" si="328"/>
        <v>Booked</v>
      </c>
    </row>
    <row r="421" spans="1:89" ht="15" customHeight="1" x14ac:dyDescent="0.25">
      <c r="A421" s="111">
        <v>3059</v>
      </c>
      <c r="B421" s="128" t="str">
        <f t="shared" si="309"/>
        <v>N</v>
      </c>
      <c r="C421" s="128" t="str">
        <f t="shared" si="310"/>
        <v>N</v>
      </c>
      <c r="D421" s="117">
        <v>1124911</v>
      </c>
      <c r="E421" s="135">
        <f t="shared" si="311"/>
        <v>6</v>
      </c>
      <c r="F421" s="124">
        <v>41022</v>
      </c>
      <c r="G421" s="125">
        <v>41306</v>
      </c>
      <c r="H421" s="117">
        <v>1124911</v>
      </c>
      <c r="I421" s="124">
        <v>41029</v>
      </c>
      <c r="J421" s="125">
        <v>41306</v>
      </c>
      <c r="K421" s="126" t="s">
        <v>564</v>
      </c>
      <c r="L421" s="127" t="s">
        <v>564</v>
      </c>
      <c r="N421" s="129" t="s">
        <v>566</v>
      </c>
      <c r="O421" s="128" t="s">
        <v>917</v>
      </c>
      <c r="P421" s="129" t="s">
        <v>39</v>
      </c>
      <c r="Q421" s="111">
        <f t="shared" si="298"/>
        <v>278</v>
      </c>
      <c r="R421" s="111">
        <f t="shared" si="304"/>
        <v>285</v>
      </c>
      <c r="S421" s="129">
        <v>6</v>
      </c>
      <c r="T421" s="129">
        <v>2</v>
      </c>
      <c r="U421" s="129">
        <v>5</v>
      </c>
      <c r="W421" s="111"/>
      <c r="AC421" s="130"/>
      <c r="AD421" s="130">
        <v>25088</v>
      </c>
      <c r="AE421" s="128" t="s">
        <v>32</v>
      </c>
      <c r="AF421" s="128" t="s">
        <v>33</v>
      </c>
      <c r="AG421" s="128" t="s">
        <v>872</v>
      </c>
      <c r="AH421" s="108" t="s">
        <v>58</v>
      </c>
      <c r="AI421" s="128" t="s">
        <v>95</v>
      </c>
      <c r="AJ421" s="129" t="s">
        <v>89</v>
      </c>
      <c r="AK421" s="129">
        <v>8</v>
      </c>
      <c r="AL421" s="3" t="s">
        <v>362</v>
      </c>
      <c r="AM421" s="117">
        <v>12</v>
      </c>
      <c r="AP421" s="129" t="s">
        <v>152</v>
      </c>
      <c r="AR421" s="128" t="s">
        <v>67</v>
      </c>
      <c r="AS421" s="129" t="s">
        <v>126</v>
      </c>
      <c r="BC421" s="129" t="s">
        <v>38</v>
      </c>
      <c r="BF421" s="111">
        <f t="shared" si="330"/>
        <v>278</v>
      </c>
      <c r="BG421" s="111">
        <f t="shared" si="331"/>
        <v>278</v>
      </c>
      <c r="BH421" s="111">
        <f t="shared" si="305"/>
        <v>285</v>
      </c>
      <c r="BI421" s="111">
        <f t="shared" si="306"/>
        <v>43.535519125683059</v>
      </c>
      <c r="BJ421" s="129">
        <f t="shared" si="312"/>
        <v>0</v>
      </c>
      <c r="BK421" s="129">
        <f t="shared" si="307"/>
        <v>0</v>
      </c>
      <c r="BL421" s="129" t="str">
        <f t="shared" si="308"/>
        <v>CONVICTION</v>
      </c>
      <c r="BM421" s="129" t="str">
        <f t="shared" si="313"/>
        <v>NONE</v>
      </c>
      <c r="BN421" s="129" t="s">
        <v>566</v>
      </c>
      <c r="BP421" s="137" t="str">
        <f t="shared" si="314"/>
        <v>CONVICTION</v>
      </c>
      <c r="BQ421" s="128" t="str">
        <f t="shared" si="315"/>
        <v>Y</v>
      </c>
      <c r="BR421" s="129" t="str">
        <f t="shared" si="316"/>
        <v>DETAINED</v>
      </c>
      <c r="BS421" s="129" t="str">
        <f t="shared" si="317"/>
        <v>DISPOSED</v>
      </c>
      <c r="BT421" s="129" t="str">
        <f t="shared" si="318"/>
        <v>Y</v>
      </c>
      <c r="BU421" s="109">
        <f t="shared" si="329"/>
        <v>0.9754385964912281</v>
      </c>
      <c r="BV421" s="109">
        <f t="shared" si="319"/>
        <v>1</v>
      </c>
      <c r="BW421" s="109">
        <f t="shared" si="335"/>
        <v>2.4561403508771895E-2</v>
      </c>
      <c r="BX421" s="111">
        <f t="shared" si="320"/>
        <v>0</v>
      </c>
      <c r="BY421" s="129">
        <f t="shared" si="321"/>
        <v>-278</v>
      </c>
      <c r="BZ421" s="111">
        <f t="shared" si="322"/>
        <v>0</v>
      </c>
      <c r="CA421" s="138">
        <f t="shared" si="323"/>
        <v>278</v>
      </c>
      <c r="CB421" s="111" t="e">
        <f t="shared" si="332"/>
        <v>#VALUE!</v>
      </c>
      <c r="CC421" s="129">
        <f t="shared" si="336"/>
        <v>278</v>
      </c>
      <c r="CD421" s="129">
        <f t="shared" si="337"/>
        <v>0</v>
      </c>
      <c r="CE421" s="129">
        <f t="shared" si="324"/>
        <v>0</v>
      </c>
      <c r="CG421" s="129" t="str">
        <f t="shared" si="325"/>
        <v>Y</v>
      </c>
      <c r="CI421" s="129" t="str">
        <f t="shared" si="326"/>
        <v>121-365 DAYS</v>
      </c>
      <c r="CJ421" s="137">
        <f t="shared" si="327"/>
        <v>6</v>
      </c>
      <c r="CK421" s="129" t="str">
        <f t="shared" si="328"/>
        <v>Booked</v>
      </c>
    </row>
    <row r="422" spans="1:89" ht="15.75" customHeight="1" x14ac:dyDescent="0.25">
      <c r="A422" s="111">
        <v>807</v>
      </c>
      <c r="B422" s="128" t="str">
        <f t="shared" si="309"/>
        <v>N</v>
      </c>
      <c r="C422" s="128" t="str">
        <f t="shared" si="310"/>
        <v>N</v>
      </c>
      <c r="D422" s="117">
        <v>1127650</v>
      </c>
      <c r="E422" s="135">
        <f t="shared" si="311"/>
        <v>5</v>
      </c>
      <c r="F422" s="124">
        <v>40939</v>
      </c>
      <c r="G422" s="125">
        <v>41116</v>
      </c>
      <c r="H422" s="117">
        <v>1127650</v>
      </c>
      <c r="I422" s="124">
        <v>40997</v>
      </c>
      <c r="J422" s="124">
        <v>41116</v>
      </c>
      <c r="K422" s="126">
        <v>15000</v>
      </c>
      <c r="L422" s="127" t="s">
        <v>571</v>
      </c>
      <c r="N422" s="129" t="str">
        <f>IF(M422&gt;1/1/1,"Y","N")</f>
        <v>N</v>
      </c>
      <c r="O422" s="128" t="s">
        <v>917</v>
      </c>
      <c r="P422" s="129" t="s">
        <v>39</v>
      </c>
      <c r="Q422" s="111">
        <f t="shared" si="298"/>
        <v>120</v>
      </c>
      <c r="R422" s="111">
        <f t="shared" si="304"/>
        <v>178</v>
      </c>
      <c r="S422" s="129">
        <v>5</v>
      </c>
      <c r="T422" s="129">
        <v>3</v>
      </c>
      <c r="U422" s="129">
        <v>4</v>
      </c>
      <c r="W422" s="111"/>
      <c r="AC422" s="130"/>
      <c r="AD422" s="130">
        <v>24563</v>
      </c>
      <c r="AE422" s="128" t="s">
        <v>46</v>
      </c>
      <c r="AF422" s="128" t="s">
        <v>33</v>
      </c>
      <c r="AG422" s="128" t="s">
        <v>872</v>
      </c>
      <c r="AH422" s="108" t="s">
        <v>58</v>
      </c>
      <c r="AI422" s="128" t="s">
        <v>42</v>
      </c>
      <c r="AJ422" s="129" t="s">
        <v>89</v>
      </c>
      <c r="AK422" s="129">
        <v>7</v>
      </c>
      <c r="AL422" s="3" t="s">
        <v>992</v>
      </c>
      <c r="AN422" s="117">
        <v>6</v>
      </c>
      <c r="AP422" s="129" t="s">
        <v>63</v>
      </c>
      <c r="AR422" s="128" t="s">
        <v>44</v>
      </c>
      <c r="AS422" s="129" t="s">
        <v>64</v>
      </c>
      <c r="BC422" s="129" t="s">
        <v>38</v>
      </c>
      <c r="BF422" s="111">
        <f t="shared" si="330"/>
        <v>120</v>
      </c>
      <c r="BG422" s="111">
        <f t="shared" si="331"/>
        <v>120</v>
      </c>
      <c r="BH422" s="111">
        <f t="shared" si="305"/>
        <v>178</v>
      </c>
      <c r="BI422" s="111">
        <f t="shared" si="306"/>
        <v>44.743169398907106</v>
      </c>
      <c r="BJ422" s="129">
        <f t="shared" si="312"/>
        <v>0</v>
      </c>
      <c r="BK422" s="129">
        <f t="shared" si="307"/>
        <v>0</v>
      </c>
      <c r="BL422" s="129" t="str">
        <f t="shared" si="308"/>
        <v>CONVICTION</v>
      </c>
      <c r="BM422" s="129" t="str">
        <f t="shared" si="313"/>
        <v>NONE</v>
      </c>
      <c r="BN422" s="129" t="s">
        <v>566</v>
      </c>
      <c r="BP422" s="137" t="str">
        <f t="shared" si="314"/>
        <v>CONVICTION</v>
      </c>
      <c r="BQ422" s="128" t="str">
        <f t="shared" si="315"/>
        <v>Y</v>
      </c>
      <c r="BR422" s="129" t="str">
        <f t="shared" si="316"/>
        <v>DETAINED</v>
      </c>
      <c r="BS422" s="129" t="str">
        <f t="shared" si="317"/>
        <v>DISPOSED</v>
      </c>
      <c r="BT422" s="129" t="str">
        <f t="shared" si="318"/>
        <v>Y</v>
      </c>
      <c r="BU422" s="109">
        <f t="shared" si="329"/>
        <v>0.6741573033707865</v>
      </c>
      <c r="BV422" s="109">
        <f t="shared" si="319"/>
        <v>1</v>
      </c>
      <c r="BW422" s="109">
        <f t="shared" si="335"/>
        <v>0.3258426966292135</v>
      </c>
      <c r="BX422" s="111">
        <f t="shared" si="320"/>
        <v>0</v>
      </c>
      <c r="BY422" s="129">
        <f t="shared" si="321"/>
        <v>-120</v>
      </c>
      <c r="BZ422" s="111">
        <f t="shared" si="322"/>
        <v>0</v>
      </c>
      <c r="CA422" s="138">
        <f t="shared" si="323"/>
        <v>120</v>
      </c>
      <c r="CB422" s="111" t="e">
        <f t="shared" si="332"/>
        <v>#VALUE!</v>
      </c>
      <c r="CC422" s="129">
        <f t="shared" si="336"/>
        <v>120</v>
      </c>
      <c r="CD422" s="129">
        <f t="shared" si="337"/>
        <v>0</v>
      </c>
      <c r="CE422" s="129">
        <f t="shared" si="324"/>
        <v>0</v>
      </c>
      <c r="CG422" s="129" t="str">
        <f t="shared" si="325"/>
        <v>Y</v>
      </c>
      <c r="CI422" s="129" t="str">
        <f t="shared" si="326"/>
        <v>91-120 DAYS</v>
      </c>
      <c r="CJ422" s="137">
        <f t="shared" si="327"/>
        <v>0</v>
      </c>
      <c r="CK422" s="129" t="str">
        <f t="shared" si="328"/>
        <v>Booked</v>
      </c>
    </row>
    <row r="423" spans="1:89" ht="15" customHeight="1" x14ac:dyDescent="0.25">
      <c r="A423" s="111">
        <v>3028</v>
      </c>
      <c r="B423" s="128" t="str">
        <f t="shared" si="309"/>
        <v>N</v>
      </c>
      <c r="C423" s="128" t="str">
        <f t="shared" si="310"/>
        <v>N</v>
      </c>
      <c r="D423" s="117">
        <v>1127908</v>
      </c>
      <c r="E423" s="135">
        <f t="shared" si="311"/>
        <v>2</v>
      </c>
      <c r="F423" s="124">
        <v>41021</v>
      </c>
      <c r="G423" s="125">
        <v>41059</v>
      </c>
      <c r="H423" s="117">
        <v>1127908</v>
      </c>
      <c r="I423" s="124">
        <v>41021</v>
      </c>
      <c r="J423" s="124">
        <v>41059</v>
      </c>
      <c r="K423" s="126">
        <v>15000</v>
      </c>
      <c r="L423" s="127" t="s">
        <v>571</v>
      </c>
      <c r="N423" s="129" t="str">
        <f>IF(M423&gt;1/1/1,"Y","N")</f>
        <v>N</v>
      </c>
      <c r="O423" s="128" t="s">
        <v>917</v>
      </c>
      <c r="P423" s="129" t="s">
        <v>589</v>
      </c>
      <c r="Q423" s="111">
        <f t="shared" si="298"/>
        <v>39</v>
      </c>
      <c r="R423" s="111">
        <f t="shared" si="304"/>
        <v>39</v>
      </c>
      <c r="S423" s="129">
        <v>7</v>
      </c>
      <c r="T423" s="129">
        <v>8</v>
      </c>
      <c r="U423" s="129">
        <v>3</v>
      </c>
      <c r="W423" s="111"/>
      <c r="AC423" s="130"/>
      <c r="AD423" s="130">
        <v>26732</v>
      </c>
      <c r="AE423" s="128" t="s">
        <v>46</v>
      </c>
      <c r="AF423" s="128" t="s">
        <v>69</v>
      </c>
      <c r="AG423" s="128" t="s">
        <v>874</v>
      </c>
      <c r="AH423" s="108" t="s">
        <v>58</v>
      </c>
      <c r="AI423" s="128" t="s">
        <v>114</v>
      </c>
      <c r="AJ423" s="129" t="s">
        <v>48</v>
      </c>
      <c r="AK423" s="129">
        <v>3</v>
      </c>
      <c r="AL423" s="3" t="s">
        <v>48</v>
      </c>
      <c r="AP423" s="129" t="s">
        <v>43</v>
      </c>
      <c r="AR423" s="128" t="s">
        <v>44</v>
      </c>
      <c r="AS423" s="129" t="s">
        <v>45</v>
      </c>
      <c r="BC423" s="129" t="s">
        <v>38</v>
      </c>
      <c r="BF423" s="111">
        <f t="shared" si="330"/>
        <v>39</v>
      </c>
      <c r="BG423" s="111">
        <f t="shared" si="331"/>
        <v>39</v>
      </c>
      <c r="BH423" s="111">
        <f t="shared" si="305"/>
        <v>39</v>
      </c>
      <c r="BI423" s="111">
        <f t="shared" si="306"/>
        <v>39.040983606557376</v>
      </c>
      <c r="BJ423" s="129">
        <f t="shared" si="312"/>
        <v>0</v>
      </c>
      <c r="BK423" s="129">
        <f t="shared" si="307"/>
        <v>0</v>
      </c>
      <c r="BL423" s="129" t="str">
        <f t="shared" si="308"/>
        <v>DEFERRED</v>
      </c>
      <c r="BM423" s="129" t="str">
        <f t="shared" si="313"/>
        <v>NONE</v>
      </c>
      <c r="BN423" s="129" t="s">
        <v>566</v>
      </c>
      <c r="BP423" s="137" t="str">
        <f t="shared" si="314"/>
        <v>DEFERRED</v>
      </c>
      <c r="BQ423" s="128" t="str">
        <f t="shared" si="315"/>
        <v>Y</v>
      </c>
      <c r="BR423" s="129" t="str">
        <f t="shared" si="316"/>
        <v>DETAINED</v>
      </c>
      <c r="BS423" s="129" t="str">
        <f t="shared" si="317"/>
        <v>DISPOSED</v>
      </c>
      <c r="BT423" s="129" t="str">
        <f t="shared" si="318"/>
        <v>Y</v>
      </c>
      <c r="BU423" s="109">
        <f t="shared" si="329"/>
        <v>1</v>
      </c>
      <c r="BV423" s="109">
        <f t="shared" si="319"/>
        <v>1</v>
      </c>
      <c r="BW423" s="109">
        <f t="shared" si="335"/>
        <v>0</v>
      </c>
      <c r="BX423" s="111">
        <f t="shared" si="320"/>
        <v>0</v>
      </c>
      <c r="BY423" s="129">
        <f t="shared" si="321"/>
        <v>-39</v>
      </c>
      <c r="BZ423" s="111">
        <f t="shared" si="322"/>
        <v>0</v>
      </c>
      <c r="CA423" s="138">
        <f t="shared" si="323"/>
        <v>39</v>
      </c>
      <c r="CB423" s="111" t="e">
        <f t="shared" si="332"/>
        <v>#VALUE!</v>
      </c>
      <c r="CC423" s="129">
        <f t="shared" si="336"/>
        <v>39</v>
      </c>
      <c r="CD423" s="129">
        <f t="shared" si="337"/>
        <v>0</v>
      </c>
      <c r="CE423" s="129">
        <f t="shared" si="324"/>
        <v>0</v>
      </c>
      <c r="CG423" s="129" t="str">
        <f t="shared" si="325"/>
        <v>Y</v>
      </c>
      <c r="CI423" s="129" t="str">
        <f t="shared" si="326"/>
        <v>31-60 DAYS</v>
      </c>
      <c r="CJ423" s="137">
        <f t="shared" si="327"/>
        <v>3</v>
      </c>
      <c r="CK423" s="129" t="str">
        <f t="shared" si="328"/>
        <v>Booked</v>
      </c>
    </row>
    <row r="424" spans="1:89" ht="15.75" customHeight="1" x14ac:dyDescent="0.25">
      <c r="A424" s="111">
        <v>682</v>
      </c>
      <c r="B424" s="128" t="str">
        <f t="shared" si="309"/>
        <v>N</v>
      </c>
      <c r="C424" s="128" t="str">
        <f t="shared" si="310"/>
        <v>N</v>
      </c>
      <c r="D424" s="117">
        <v>1128707</v>
      </c>
      <c r="E424" s="135">
        <f t="shared" si="311"/>
        <v>2</v>
      </c>
      <c r="F424" s="124">
        <v>40935</v>
      </c>
      <c r="G424" s="125">
        <v>41030</v>
      </c>
      <c r="H424" s="117">
        <v>1128707</v>
      </c>
      <c r="I424" s="124">
        <v>40973</v>
      </c>
      <c r="J424" s="124">
        <v>41030</v>
      </c>
      <c r="K424" s="126" t="s">
        <v>564</v>
      </c>
      <c r="L424" s="127" t="s">
        <v>564</v>
      </c>
      <c r="N424" s="129" t="s">
        <v>566</v>
      </c>
      <c r="O424" s="128" t="s">
        <v>917</v>
      </c>
      <c r="P424" s="129" t="s">
        <v>589</v>
      </c>
      <c r="Q424" s="111">
        <f t="shared" si="298"/>
        <v>58</v>
      </c>
      <c r="R424" s="111">
        <f t="shared" si="304"/>
        <v>96</v>
      </c>
      <c r="S424" s="129">
        <v>3</v>
      </c>
      <c r="T424" s="129">
        <v>1</v>
      </c>
      <c r="U424" s="129">
        <v>1</v>
      </c>
      <c r="W424" s="111"/>
      <c r="AC424" s="130"/>
      <c r="AD424" s="130">
        <v>26491</v>
      </c>
      <c r="AE424" s="128" t="s">
        <v>32</v>
      </c>
      <c r="AF424" s="128" t="s">
        <v>33</v>
      </c>
      <c r="AG424" s="128" t="s">
        <v>872</v>
      </c>
      <c r="AH424" s="108" t="s">
        <v>58</v>
      </c>
      <c r="AI424" s="128" t="s">
        <v>83</v>
      </c>
      <c r="AJ424" s="129" t="s">
        <v>48</v>
      </c>
      <c r="AK424" s="129">
        <v>4</v>
      </c>
      <c r="AL424" s="3" t="s">
        <v>48</v>
      </c>
      <c r="AP424" s="129" t="s">
        <v>150</v>
      </c>
      <c r="AR424" s="128" t="s">
        <v>67</v>
      </c>
      <c r="AS424" s="129" t="s">
        <v>74</v>
      </c>
      <c r="BC424" s="129" t="s">
        <v>99</v>
      </c>
      <c r="BF424" s="111">
        <f t="shared" ref="BF424:BF444" si="338">IF(J424&gt;1/1/1900,((J424+1)-I424),"STILL OPEN")</f>
        <v>58</v>
      </c>
      <c r="BG424" s="111">
        <f t="shared" ref="BG424:BG444" si="339">IF(G424&gt;1/1/1900,((G424+1)-I424),"STILL OPEN")</f>
        <v>58</v>
      </c>
      <c r="BH424" s="111">
        <f t="shared" si="305"/>
        <v>96</v>
      </c>
      <c r="BI424" s="111">
        <f t="shared" si="306"/>
        <v>39.464480874316941</v>
      </c>
      <c r="BJ424" s="129">
        <f t="shared" si="312"/>
        <v>0</v>
      </c>
      <c r="BK424" s="129">
        <f t="shared" si="307"/>
        <v>0</v>
      </c>
      <c r="BL424" s="129" t="str">
        <f t="shared" si="308"/>
        <v>DEFERRED</v>
      </c>
      <c r="BM424" s="129" t="str">
        <f t="shared" si="313"/>
        <v>NONE</v>
      </c>
      <c r="BN424" s="129" t="s">
        <v>566</v>
      </c>
      <c r="BP424" s="137" t="str">
        <f t="shared" si="314"/>
        <v>DEFERRED</v>
      </c>
      <c r="BQ424" s="128" t="str">
        <f t="shared" si="315"/>
        <v>Y</v>
      </c>
      <c r="BR424" s="129" t="str">
        <f t="shared" si="316"/>
        <v>DETAINED</v>
      </c>
      <c r="BS424" s="129" t="str">
        <f t="shared" si="317"/>
        <v>DISPOSED</v>
      </c>
      <c r="BT424" s="129" t="str">
        <f t="shared" si="318"/>
        <v>Y</v>
      </c>
      <c r="BU424" s="109">
        <f t="shared" si="329"/>
        <v>0.60416666666666663</v>
      </c>
      <c r="BV424" s="109">
        <f t="shared" si="319"/>
        <v>1</v>
      </c>
      <c r="BW424" s="109">
        <f t="shared" si="335"/>
        <v>0.39583333333333337</v>
      </c>
      <c r="BX424" s="111">
        <f t="shared" si="320"/>
        <v>0</v>
      </c>
      <c r="BY424" s="129">
        <f t="shared" si="321"/>
        <v>-58</v>
      </c>
      <c r="BZ424" s="111">
        <f t="shared" si="322"/>
        <v>0</v>
      </c>
      <c r="CA424" s="138">
        <f t="shared" si="323"/>
        <v>58</v>
      </c>
      <c r="CB424" s="111" t="e">
        <f t="shared" si="332"/>
        <v>#VALUE!</v>
      </c>
      <c r="CC424" s="129">
        <f t="shared" si="336"/>
        <v>58</v>
      </c>
      <c r="CD424" s="129">
        <f t="shared" si="337"/>
        <v>0</v>
      </c>
      <c r="CE424" s="129">
        <f t="shared" si="324"/>
        <v>0</v>
      </c>
      <c r="CG424" s="129" t="str">
        <f t="shared" si="325"/>
        <v>Y</v>
      </c>
      <c r="CI424" s="129" t="str">
        <f t="shared" si="326"/>
        <v>31-60 DAYS</v>
      </c>
      <c r="CJ424" s="137">
        <f t="shared" si="327"/>
        <v>3</v>
      </c>
      <c r="CK424" s="129" t="str">
        <f t="shared" si="328"/>
        <v>Booked</v>
      </c>
    </row>
    <row r="425" spans="1:89" ht="15.75" customHeight="1" x14ac:dyDescent="0.25">
      <c r="A425" s="111">
        <v>2198</v>
      </c>
      <c r="B425" s="128" t="str">
        <f t="shared" si="309"/>
        <v>N</v>
      </c>
      <c r="C425" s="128" t="str">
        <f t="shared" si="310"/>
        <v>N</v>
      </c>
      <c r="D425" s="117">
        <v>1129253</v>
      </c>
      <c r="E425" s="135">
        <f t="shared" si="311"/>
        <v>5</v>
      </c>
      <c r="F425" s="124">
        <v>40991</v>
      </c>
      <c r="G425" s="125">
        <v>40994</v>
      </c>
      <c r="H425" s="117">
        <v>1129253</v>
      </c>
      <c r="I425" s="124">
        <v>40992</v>
      </c>
      <c r="J425" s="124">
        <v>40994</v>
      </c>
      <c r="K425" s="126">
        <v>15000</v>
      </c>
      <c r="L425" s="127" t="s">
        <v>571</v>
      </c>
      <c r="N425" s="129" t="str">
        <f>IF(M425&gt;1/1/1,"Y","N")</f>
        <v>N</v>
      </c>
      <c r="O425" s="128" t="s">
        <v>917</v>
      </c>
      <c r="P425" s="129" t="s">
        <v>39</v>
      </c>
      <c r="Q425" s="111">
        <f t="shared" si="298"/>
        <v>3</v>
      </c>
      <c r="R425" s="111">
        <f t="shared" si="304"/>
        <v>4</v>
      </c>
      <c r="S425" s="129">
        <v>13</v>
      </c>
      <c r="T425" s="129">
        <v>3</v>
      </c>
      <c r="U425" s="129">
        <v>6</v>
      </c>
      <c r="W425" s="111"/>
      <c r="AC425" s="130"/>
      <c r="AD425" s="130">
        <v>24872</v>
      </c>
      <c r="AE425" s="128" t="s">
        <v>46</v>
      </c>
      <c r="AF425" s="128" t="s">
        <v>33</v>
      </c>
      <c r="AG425" s="128" t="s">
        <v>872</v>
      </c>
      <c r="AH425" s="108" t="s">
        <v>58</v>
      </c>
      <c r="AI425" s="128" t="s">
        <v>47</v>
      </c>
      <c r="AJ425" s="129" t="s">
        <v>89</v>
      </c>
      <c r="AK425" s="129">
        <v>2</v>
      </c>
      <c r="AL425" s="3" t="s">
        <v>992</v>
      </c>
      <c r="AN425" s="117">
        <v>12</v>
      </c>
      <c r="AP425" s="129" t="s">
        <v>127</v>
      </c>
      <c r="AR425" s="128" t="s">
        <v>44</v>
      </c>
      <c r="AS425" s="129" t="s">
        <v>82</v>
      </c>
      <c r="BC425" s="129" t="s">
        <v>38</v>
      </c>
      <c r="BF425" s="111">
        <f t="shared" si="338"/>
        <v>3</v>
      </c>
      <c r="BG425" s="111">
        <f t="shared" si="339"/>
        <v>3</v>
      </c>
      <c r="BH425" s="111">
        <f t="shared" si="305"/>
        <v>4</v>
      </c>
      <c r="BI425" s="111">
        <f t="shared" si="306"/>
        <v>44.040983606557376</v>
      </c>
      <c r="BJ425" s="129">
        <f t="shared" si="312"/>
        <v>0</v>
      </c>
      <c r="BK425" s="129">
        <f t="shared" si="307"/>
        <v>0</v>
      </c>
      <c r="BL425" s="129" t="str">
        <f t="shared" si="308"/>
        <v>CONVICTION</v>
      </c>
      <c r="BM425" s="129" t="str">
        <f t="shared" si="313"/>
        <v>NONE</v>
      </c>
      <c r="BN425" s="129" t="s">
        <v>566</v>
      </c>
      <c r="BP425" s="137" t="str">
        <f t="shared" si="314"/>
        <v>CONVICTION</v>
      </c>
      <c r="BQ425" s="128" t="str">
        <f t="shared" si="315"/>
        <v>Y</v>
      </c>
      <c r="BR425" s="129" t="str">
        <f t="shared" si="316"/>
        <v>DETAINED</v>
      </c>
      <c r="BS425" s="129" t="str">
        <f t="shared" si="317"/>
        <v>DISPOSED</v>
      </c>
      <c r="BT425" s="129" t="str">
        <f t="shared" si="318"/>
        <v>Y</v>
      </c>
      <c r="BU425" s="109">
        <f t="shared" si="329"/>
        <v>0.75</v>
      </c>
      <c r="BV425" s="109">
        <f t="shared" si="319"/>
        <v>1</v>
      </c>
      <c r="BW425" s="109">
        <f t="shared" si="335"/>
        <v>0.25</v>
      </c>
      <c r="BX425" s="111">
        <f t="shared" si="320"/>
        <v>0</v>
      </c>
      <c r="BY425" s="129">
        <f t="shared" si="321"/>
        <v>-3</v>
      </c>
      <c r="BZ425" s="111">
        <f t="shared" si="322"/>
        <v>0</v>
      </c>
      <c r="CA425" s="138">
        <f t="shared" si="323"/>
        <v>3</v>
      </c>
      <c r="CB425" s="111" t="e">
        <f t="shared" si="332"/>
        <v>#VALUE!</v>
      </c>
      <c r="CC425" s="129">
        <f t="shared" si="336"/>
        <v>3</v>
      </c>
      <c r="CD425" s="129">
        <f t="shared" si="337"/>
        <v>0</v>
      </c>
      <c r="CE425" s="129">
        <f t="shared" si="324"/>
        <v>0</v>
      </c>
      <c r="CG425" s="129" t="str">
        <f t="shared" si="325"/>
        <v>Y</v>
      </c>
      <c r="CI425" s="129" t="str">
        <f t="shared" si="326"/>
        <v>0-10 DAYS</v>
      </c>
      <c r="CJ425" s="137">
        <f t="shared" si="327"/>
        <v>1</v>
      </c>
      <c r="CK425" s="129" t="str">
        <f t="shared" si="328"/>
        <v>Booked</v>
      </c>
    </row>
    <row r="426" spans="1:89" ht="15.75" customHeight="1" x14ac:dyDescent="0.25">
      <c r="A426" s="111">
        <v>651</v>
      </c>
      <c r="B426" s="128" t="str">
        <f t="shared" si="309"/>
        <v>N</v>
      </c>
      <c r="C426" s="128" t="str">
        <f t="shared" si="310"/>
        <v>N</v>
      </c>
      <c r="D426" s="117">
        <v>1130030</v>
      </c>
      <c r="E426" s="135">
        <f t="shared" si="311"/>
        <v>1</v>
      </c>
      <c r="F426" s="124">
        <v>40934</v>
      </c>
      <c r="G426" s="125">
        <v>40970</v>
      </c>
      <c r="H426" s="117">
        <v>1130030</v>
      </c>
      <c r="I426" s="124">
        <v>40962</v>
      </c>
      <c r="J426" s="124">
        <v>40970</v>
      </c>
      <c r="K426" s="126" t="s">
        <v>564</v>
      </c>
      <c r="L426" s="127" t="s">
        <v>564</v>
      </c>
      <c r="N426" s="129" t="s">
        <v>566</v>
      </c>
      <c r="O426" s="128" t="s">
        <v>917</v>
      </c>
      <c r="P426" s="129" t="s">
        <v>55</v>
      </c>
      <c r="Q426" s="111">
        <f t="shared" ref="Q426:Q489" si="340">BF426</f>
        <v>9</v>
      </c>
      <c r="R426" s="111">
        <f t="shared" si="304"/>
        <v>37</v>
      </c>
      <c r="S426" s="129">
        <v>3</v>
      </c>
      <c r="T426" s="129">
        <v>3</v>
      </c>
      <c r="U426" s="129">
        <v>2</v>
      </c>
      <c r="V426" s="117">
        <v>1</v>
      </c>
      <c r="W426" s="111"/>
      <c r="AC426" s="130"/>
      <c r="AD426" s="130">
        <v>24794</v>
      </c>
      <c r="AE426" s="128" t="s">
        <v>46</v>
      </c>
      <c r="AF426" s="128" t="s">
        <v>33</v>
      </c>
      <c r="AG426" s="128" t="s">
        <v>872</v>
      </c>
      <c r="AH426" s="108" t="s">
        <v>58</v>
      </c>
      <c r="AI426" s="128" t="s">
        <v>85</v>
      </c>
      <c r="AJ426" s="129" t="s">
        <v>55</v>
      </c>
      <c r="AK426" s="129">
        <v>2</v>
      </c>
      <c r="AL426" s="3" t="s">
        <v>55</v>
      </c>
      <c r="AP426" s="129" t="s">
        <v>43</v>
      </c>
      <c r="AR426" s="128" t="s">
        <v>44</v>
      </c>
      <c r="AS426" s="129" t="s">
        <v>45</v>
      </c>
      <c r="BC426" s="129" t="s">
        <v>38</v>
      </c>
      <c r="BF426" s="111">
        <f t="shared" si="338"/>
        <v>9</v>
      </c>
      <c r="BG426" s="111">
        <f t="shared" si="339"/>
        <v>9</v>
      </c>
      <c r="BH426" s="111">
        <f t="shared" si="305"/>
        <v>37</v>
      </c>
      <c r="BI426" s="111">
        <f t="shared" si="306"/>
        <v>44.098360655737707</v>
      </c>
      <c r="BJ426" s="129">
        <f t="shared" si="312"/>
        <v>0</v>
      </c>
      <c r="BK426" s="129">
        <f t="shared" si="307"/>
        <v>0</v>
      </c>
      <c r="BL426" s="129" t="str">
        <f t="shared" si="308"/>
        <v>NO CONVICTION</v>
      </c>
      <c r="BM426" s="129" t="str">
        <f t="shared" si="313"/>
        <v>NONE</v>
      </c>
      <c r="BN426" s="129" t="s">
        <v>566</v>
      </c>
      <c r="BP426" s="137" t="str">
        <f t="shared" si="314"/>
        <v>NO CONVICTION</v>
      </c>
      <c r="BQ426" s="128" t="str">
        <f t="shared" si="315"/>
        <v>Y</v>
      </c>
      <c r="BR426" s="129" t="str">
        <f t="shared" si="316"/>
        <v>DETAINED</v>
      </c>
      <c r="BS426" s="129" t="str">
        <f t="shared" si="317"/>
        <v>DISPOSED</v>
      </c>
      <c r="BT426" s="129" t="str">
        <f t="shared" si="318"/>
        <v>Y</v>
      </c>
      <c r="BU426" s="109">
        <f>IFERROR(Q426/R426,BR426)</f>
        <v>0.24324324324324326</v>
      </c>
      <c r="BV426" s="109">
        <f t="shared" si="319"/>
        <v>1</v>
      </c>
      <c r="BW426" s="109">
        <f t="shared" si="335"/>
        <v>0.7567567567567568</v>
      </c>
      <c r="BX426" s="111">
        <f t="shared" si="320"/>
        <v>0</v>
      </c>
      <c r="BY426" s="129">
        <f t="shared" si="321"/>
        <v>-9</v>
      </c>
      <c r="BZ426" s="111">
        <f t="shared" si="322"/>
        <v>0</v>
      </c>
      <c r="CA426" s="138">
        <f t="shared" si="323"/>
        <v>9</v>
      </c>
      <c r="CB426" s="111" t="e">
        <f t="shared" si="332"/>
        <v>#VALUE!</v>
      </c>
      <c r="CC426" s="129">
        <f t="shared" si="336"/>
        <v>9</v>
      </c>
      <c r="CD426" s="129">
        <f t="shared" si="337"/>
        <v>0</v>
      </c>
      <c r="CE426" s="129">
        <f t="shared" si="324"/>
        <v>0</v>
      </c>
      <c r="CG426" s="129" t="str">
        <f t="shared" si="325"/>
        <v>Y</v>
      </c>
      <c r="CI426" s="129" t="str">
        <f t="shared" si="326"/>
        <v>0-10 DAYS</v>
      </c>
      <c r="CJ426" s="137">
        <f t="shared" si="327"/>
        <v>1</v>
      </c>
      <c r="CK426" s="129" t="str">
        <f t="shared" si="328"/>
        <v>Booked</v>
      </c>
    </row>
    <row r="427" spans="1:89" ht="15" customHeight="1" x14ac:dyDescent="0.25">
      <c r="A427" s="111">
        <v>341</v>
      </c>
      <c r="B427" s="128" t="str">
        <f t="shared" si="309"/>
        <v>N</v>
      </c>
      <c r="C427" s="128" t="str">
        <f t="shared" si="310"/>
        <v>N</v>
      </c>
      <c r="D427" s="117">
        <v>1130351</v>
      </c>
      <c r="E427" s="135">
        <f t="shared" si="311"/>
        <v>5</v>
      </c>
      <c r="F427" s="124">
        <v>40922</v>
      </c>
      <c r="G427" s="125">
        <v>40925</v>
      </c>
      <c r="H427" s="117">
        <v>1130351</v>
      </c>
      <c r="I427" s="124">
        <v>40922</v>
      </c>
      <c r="J427" s="124">
        <v>40925</v>
      </c>
      <c r="K427" s="126">
        <v>15000</v>
      </c>
      <c r="L427" s="127" t="s">
        <v>571</v>
      </c>
      <c r="N427" s="129" t="str">
        <f>IF(M427&gt;1/1/1,"Y","N")</f>
        <v>N</v>
      </c>
      <c r="O427" s="128" t="s">
        <v>917</v>
      </c>
      <c r="P427" s="129" t="s">
        <v>39</v>
      </c>
      <c r="Q427" s="111">
        <f t="shared" si="340"/>
        <v>4</v>
      </c>
      <c r="R427" s="111">
        <f t="shared" si="304"/>
        <v>4</v>
      </c>
      <c r="S427" s="129">
        <v>4</v>
      </c>
      <c r="T427" s="129">
        <v>6</v>
      </c>
      <c r="U427" s="129">
        <v>4</v>
      </c>
      <c r="W427" s="111"/>
      <c r="AC427" s="130"/>
      <c r="AD427" s="130">
        <v>26215</v>
      </c>
      <c r="AE427" s="128" t="s">
        <v>32</v>
      </c>
      <c r="AF427" s="128" t="s">
        <v>40</v>
      </c>
      <c r="AG427" s="128" t="s">
        <v>41</v>
      </c>
      <c r="AH427" s="108" t="s">
        <v>41</v>
      </c>
      <c r="AI427" s="128" t="s">
        <v>42</v>
      </c>
      <c r="AJ427" s="129" t="s">
        <v>89</v>
      </c>
      <c r="AK427" s="129">
        <v>1</v>
      </c>
      <c r="AL427" s="3" t="s">
        <v>992</v>
      </c>
      <c r="AN427" s="117">
        <v>6</v>
      </c>
      <c r="AP427" s="129" t="s">
        <v>43</v>
      </c>
      <c r="AR427" s="128" t="s">
        <v>44</v>
      </c>
      <c r="AS427" s="129" t="s">
        <v>45</v>
      </c>
      <c r="BC427" s="129" t="s">
        <v>38</v>
      </c>
      <c r="BF427" s="111">
        <f t="shared" si="338"/>
        <v>4</v>
      </c>
      <c r="BG427" s="111">
        <f t="shared" si="339"/>
        <v>4</v>
      </c>
      <c r="BH427" s="111">
        <f t="shared" si="305"/>
        <v>4</v>
      </c>
      <c r="BI427" s="111">
        <f t="shared" si="306"/>
        <v>40.18306010928962</v>
      </c>
      <c r="BJ427" s="129">
        <f t="shared" si="312"/>
        <v>0</v>
      </c>
      <c r="BK427" s="129">
        <f t="shared" si="307"/>
        <v>0</v>
      </c>
      <c r="BL427" s="129" t="str">
        <f t="shared" si="308"/>
        <v>CONVICTION</v>
      </c>
      <c r="BM427" s="129" t="str">
        <f t="shared" si="313"/>
        <v>NONE</v>
      </c>
      <c r="BN427" s="129" t="s">
        <v>566</v>
      </c>
      <c r="BP427" s="137" t="str">
        <f t="shared" si="314"/>
        <v>CONVICTION</v>
      </c>
      <c r="BQ427" s="128" t="str">
        <f t="shared" si="315"/>
        <v>Y</v>
      </c>
      <c r="BR427" s="129" t="str">
        <f t="shared" si="316"/>
        <v>DETAINED</v>
      </c>
      <c r="BS427" s="129" t="str">
        <f t="shared" si="317"/>
        <v>DISPOSED</v>
      </c>
      <c r="BT427" s="129" t="str">
        <f t="shared" si="318"/>
        <v>Y</v>
      </c>
      <c r="BU427" s="109">
        <f t="shared" si="329"/>
        <v>1</v>
      </c>
      <c r="BV427" s="109">
        <f t="shared" si="319"/>
        <v>1</v>
      </c>
      <c r="BW427" s="109">
        <f t="shared" si="335"/>
        <v>0</v>
      </c>
      <c r="BX427" s="111">
        <f t="shared" si="320"/>
        <v>0</v>
      </c>
      <c r="BY427" s="129">
        <f t="shared" si="321"/>
        <v>-4</v>
      </c>
      <c r="BZ427" s="111">
        <f t="shared" si="322"/>
        <v>0</v>
      </c>
      <c r="CA427" s="138">
        <f t="shared" si="323"/>
        <v>4</v>
      </c>
      <c r="CB427" s="111" t="e">
        <f t="shared" si="332"/>
        <v>#VALUE!</v>
      </c>
      <c r="CC427" s="129">
        <f t="shared" si="336"/>
        <v>4</v>
      </c>
      <c r="CD427" s="129">
        <f t="shared" si="337"/>
        <v>0</v>
      </c>
      <c r="CE427" s="129">
        <f t="shared" si="324"/>
        <v>0</v>
      </c>
      <c r="CG427" s="129" t="str">
        <f t="shared" si="325"/>
        <v>Y</v>
      </c>
      <c r="CI427" s="129" t="str">
        <f t="shared" si="326"/>
        <v>0-10 DAYS</v>
      </c>
      <c r="CJ427" s="137">
        <f t="shared" si="327"/>
        <v>1</v>
      </c>
      <c r="CK427" s="129" t="str">
        <f t="shared" si="328"/>
        <v>Booked</v>
      </c>
    </row>
    <row r="428" spans="1:89" ht="15.75" customHeight="1" x14ac:dyDescent="0.25">
      <c r="A428" s="111">
        <v>2638</v>
      </c>
      <c r="B428" s="128" t="str">
        <f t="shared" si="309"/>
        <v>N</v>
      </c>
      <c r="C428" s="128" t="str">
        <f t="shared" si="310"/>
        <v>N</v>
      </c>
      <c r="D428" s="117">
        <v>1130429</v>
      </c>
      <c r="E428" s="135">
        <f t="shared" si="311"/>
        <v>4</v>
      </c>
      <c r="F428" s="124">
        <v>41006</v>
      </c>
      <c r="G428" s="125">
        <v>41241</v>
      </c>
      <c r="H428" s="117">
        <v>1130429</v>
      </c>
      <c r="I428" s="124">
        <v>41006</v>
      </c>
      <c r="J428" s="124">
        <v>41007</v>
      </c>
      <c r="K428" s="126">
        <v>15000</v>
      </c>
      <c r="L428" s="127" t="s">
        <v>571</v>
      </c>
      <c r="M428" s="125">
        <v>41007</v>
      </c>
      <c r="N428" s="129" t="str">
        <f>IF(M428&gt;1/1/1,"Y","N")</f>
        <v>Y</v>
      </c>
      <c r="O428" s="128" t="s">
        <v>76</v>
      </c>
      <c r="P428" s="129" t="s">
        <v>39</v>
      </c>
      <c r="Q428" s="111">
        <f t="shared" si="340"/>
        <v>2</v>
      </c>
      <c r="R428" s="111">
        <f t="shared" si="304"/>
        <v>236</v>
      </c>
      <c r="S428" s="129">
        <v>7</v>
      </c>
      <c r="T428" s="129">
        <v>4</v>
      </c>
      <c r="U428" s="129">
        <v>7</v>
      </c>
      <c r="W428" s="111"/>
      <c r="AC428" s="130"/>
      <c r="AD428" s="130">
        <v>21425</v>
      </c>
      <c r="AE428" s="128" t="s">
        <v>32</v>
      </c>
      <c r="AF428" s="128" t="s">
        <v>33</v>
      </c>
      <c r="AG428" s="128" t="s">
        <v>872</v>
      </c>
      <c r="AH428" s="108" t="s">
        <v>58</v>
      </c>
      <c r="AI428" s="128" t="s">
        <v>34</v>
      </c>
      <c r="AJ428" s="129" t="s">
        <v>89</v>
      </c>
      <c r="AK428" s="129">
        <v>9</v>
      </c>
      <c r="AL428" s="3" t="s">
        <v>991</v>
      </c>
      <c r="AO428" s="128">
        <v>88</v>
      </c>
      <c r="AP428" s="129" t="s">
        <v>175</v>
      </c>
      <c r="AR428" s="128" t="s">
        <v>44</v>
      </c>
      <c r="AS428" s="129" t="s">
        <v>45</v>
      </c>
      <c r="BC428" s="129" t="s">
        <v>52</v>
      </c>
      <c r="BF428" s="111">
        <f t="shared" si="338"/>
        <v>2</v>
      </c>
      <c r="BG428" s="111">
        <f t="shared" si="339"/>
        <v>236</v>
      </c>
      <c r="BH428" s="111">
        <f t="shared" si="305"/>
        <v>236</v>
      </c>
      <c r="BI428" s="111">
        <f t="shared" si="306"/>
        <v>53.5</v>
      </c>
      <c r="BJ428" s="129">
        <f>(G428-J428)+(M428-G428)</f>
        <v>0</v>
      </c>
      <c r="BK428" s="129">
        <f t="shared" si="307"/>
        <v>-234</v>
      </c>
      <c r="BL428" s="129" t="str">
        <f t="shared" si="308"/>
        <v>CONVICTION</v>
      </c>
      <c r="BM428" s="129" t="s">
        <v>76</v>
      </c>
      <c r="BN428" s="129" t="s">
        <v>88</v>
      </c>
      <c r="BP428" s="137" t="str">
        <f t="shared" si="314"/>
        <v>CONVICTION</v>
      </c>
      <c r="BQ428" s="128" t="str">
        <f t="shared" si="315"/>
        <v>Y</v>
      </c>
      <c r="BR428" s="129" t="str">
        <f>IF(J428&lt;G428,"ON BOND",0)</f>
        <v>ON BOND</v>
      </c>
      <c r="BS428" s="129" t="str">
        <f t="shared" si="317"/>
        <v>DISPOSED</v>
      </c>
      <c r="BT428" s="129" t="str">
        <f t="shared" si="318"/>
        <v>Y</v>
      </c>
      <c r="BU428" s="109">
        <f t="shared" si="329"/>
        <v>8.4745762711864406E-3</v>
      </c>
      <c r="BV428" s="109">
        <f t="shared" si="319"/>
        <v>8.4745762711864406E-3</v>
      </c>
      <c r="BW428" s="109">
        <f t="shared" si="335"/>
        <v>0</v>
      </c>
      <c r="BX428" s="111">
        <f t="shared" si="320"/>
        <v>0</v>
      </c>
      <c r="BY428" s="129">
        <f t="shared" si="321"/>
        <v>-2</v>
      </c>
      <c r="BZ428" s="111">
        <f t="shared" si="322"/>
        <v>0</v>
      </c>
      <c r="CA428" s="138">
        <f t="shared" si="323"/>
        <v>2</v>
      </c>
      <c r="CB428" s="111" t="e">
        <f t="shared" si="332"/>
        <v>#VALUE!</v>
      </c>
      <c r="CC428" s="129">
        <f>M428-I428+1</f>
        <v>2</v>
      </c>
      <c r="CD428" s="111">
        <f>CC428-BF428</f>
        <v>0</v>
      </c>
      <c r="CE428" s="129">
        <f t="shared" si="324"/>
        <v>234</v>
      </c>
      <c r="CG428" s="129" t="str">
        <f t="shared" si="325"/>
        <v>Y</v>
      </c>
      <c r="CI428" s="129" t="str">
        <f t="shared" si="326"/>
        <v>0-10 DAYS</v>
      </c>
      <c r="CJ428" s="137">
        <f t="shared" si="327"/>
        <v>1</v>
      </c>
      <c r="CK428" s="129" t="str">
        <f t="shared" si="328"/>
        <v>Booked</v>
      </c>
    </row>
    <row r="429" spans="1:89" ht="15.75" customHeight="1" x14ac:dyDescent="0.25">
      <c r="A429" s="111">
        <v>3049</v>
      </c>
      <c r="B429" s="128" t="str">
        <f t="shared" si="309"/>
        <v>N</v>
      </c>
      <c r="C429" s="128" t="str">
        <f t="shared" si="310"/>
        <v>N</v>
      </c>
      <c r="D429" s="117">
        <v>1132846</v>
      </c>
      <c r="E429" s="135">
        <f t="shared" si="311"/>
        <v>1</v>
      </c>
      <c r="F429" s="124">
        <v>41022</v>
      </c>
      <c r="G429" s="125">
        <v>41298</v>
      </c>
      <c r="H429" s="117">
        <v>1132846</v>
      </c>
      <c r="I429" s="124">
        <v>41022</v>
      </c>
      <c r="J429" s="124">
        <v>41023</v>
      </c>
      <c r="K429" s="126">
        <v>2000</v>
      </c>
      <c r="L429" s="127" t="s">
        <v>568</v>
      </c>
      <c r="M429" s="125">
        <v>41023</v>
      </c>
      <c r="N429" s="129" t="str">
        <f>IF(M429&gt;1/1/1,"Y","N")</f>
        <v>Y</v>
      </c>
      <c r="O429" s="128" t="s">
        <v>585</v>
      </c>
      <c r="P429" s="129" t="s">
        <v>55</v>
      </c>
      <c r="Q429" s="111">
        <f t="shared" si="340"/>
        <v>2</v>
      </c>
      <c r="R429" s="111">
        <f t="shared" si="304"/>
        <v>277</v>
      </c>
      <c r="S429" s="129">
        <v>0</v>
      </c>
      <c r="T429" s="129">
        <v>2</v>
      </c>
      <c r="W429" s="111"/>
      <c r="AC429" s="130"/>
      <c r="AD429" s="130">
        <v>24837</v>
      </c>
      <c r="AE429" s="128" t="s">
        <v>32</v>
      </c>
      <c r="AF429" s="128" t="s">
        <v>40</v>
      </c>
      <c r="AG429" s="128" t="s">
        <v>41</v>
      </c>
      <c r="AH429" s="108" t="s">
        <v>41</v>
      </c>
      <c r="AI429" s="128" t="s">
        <v>70</v>
      </c>
      <c r="AJ429" s="129" t="s">
        <v>55</v>
      </c>
      <c r="AK429" s="129">
        <v>11</v>
      </c>
      <c r="AL429" s="3" t="s">
        <v>55</v>
      </c>
      <c r="AP429" s="129" t="s">
        <v>43</v>
      </c>
      <c r="AR429" s="128" t="s">
        <v>44</v>
      </c>
      <c r="AS429" s="129" t="s">
        <v>45</v>
      </c>
      <c r="AT429" s="129" t="s">
        <v>663</v>
      </c>
      <c r="BC429" s="129" t="s">
        <v>52</v>
      </c>
      <c r="BF429" s="111">
        <f t="shared" si="338"/>
        <v>2</v>
      </c>
      <c r="BG429" s="111">
        <f t="shared" si="339"/>
        <v>277</v>
      </c>
      <c r="BH429" s="111">
        <f t="shared" si="305"/>
        <v>277</v>
      </c>
      <c r="BI429" s="111">
        <f t="shared" si="306"/>
        <v>44.221311475409834</v>
      </c>
      <c r="BJ429" s="129">
        <f>(G429-J429)+(M429-G429)</f>
        <v>0</v>
      </c>
      <c r="BK429" s="129">
        <f t="shared" si="307"/>
        <v>-275</v>
      </c>
      <c r="BL429" s="129" t="str">
        <f t="shared" si="308"/>
        <v>NO CONVICTION</v>
      </c>
      <c r="BM429" s="129" t="s">
        <v>76</v>
      </c>
      <c r="BN429" s="129" t="s">
        <v>88</v>
      </c>
      <c r="BP429" s="137" t="str">
        <f t="shared" si="314"/>
        <v>NO CONVICTION</v>
      </c>
      <c r="BQ429" s="128" t="str">
        <f t="shared" si="315"/>
        <v>Y</v>
      </c>
      <c r="BR429" s="129" t="str">
        <f t="shared" si="316"/>
        <v>ON BOND</v>
      </c>
      <c r="BS429" s="129" t="str">
        <f t="shared" si="317"/>
        <v>DISPOSED</v>
      </c>
      <c r="BT429" s="129" t="str">
        <f t="shared" si="318"/>
        <v>N</v>
      </c>
      <c r="BU429" s="109">
        <f>IFERROR(Q429/R429,BR429)</f>
        <v>7.2202166064981952E-3</v>
      </c>
      <c r="BV429" s="109">
        <f t="shared" si="319"/>
        <v>7.2202166064981952E-3</v>
      </c>
      <c r="BW429" s="109">
        <f t="shared" si="335"/>
        <v>0</v>
      </c>
      <c r="BX429" s="111">
        <f t="shared" si="320"/>
        <v>0</v>
      </c>
      <c r="BY429" s="129">
        <f t="shared" si="321"/>
        <v>-2</v>
      </c>
      <c r="BZ429" s="111">
        <f t="shared" si="322"/>
        <v>0</v>
      </c>
      <c r="CA429" s="138">
        <f t="shared" si="323"/>
        <v>2</v>
      </c>
      <c r="CB429" s="111" t="e">
        <f t="shared" si="332"/>
        <v>#VALUE!</v>
      </c>
      <c r="CC429" s="129">
        <f>M429-I429+1</f>
        <v>2</v>
      </c>
      <c r="CD429" s="111">
        <f>CC429-BF429</f>
        <v>0</v>
      </c>
      <c r="CE429" s="129">
        <f t="shared" si="324"/>
        <v>275</v>
      </c>
      <c r="CG429" s="129" t="str">
        <f t="shared" si="325"/>
        <v>Y</v>
      </c>
      <c r="CI429" s="129" t="str">
        <f t="shared" si="326"/>
        <v>0-10 DAYS</v>
      </c>
      <c r="CJ429" s="137">
        <f t="shared" si="327"/>
        <v>1</v>
      </c>
      <c r="CK429" s="129" t="str">
        <f t="shared" si="328"/>
        <v>Booked</v>
      </c>
    </row>
    <row r="430" spans="1:89" ht="15" customHeight="1" x14ac:dyDescent="0.25">
      <c r="A430" s="111">
        <v>3078</v>
      </c>
      <c r="B430" s="128" t="str">
        <f t="shared" si="309"/>
        <v>N</v>
      </c>
      <c r="C430" s="128" t="str">
        <f t="shared" si="310"/>
        <v>N</v>
      </c>
      <c r="D430" s="117">
        <v>1134866</v>
      </c>
      <c r="E430" s="135">
        <f t="shared" si="311"/>
        <v>2</v>
      </c>
      <c r="F430" s="124">
        <v>41023</v>
      </c>
      <c r="G430" s="125">
        <v>41025</v>
      </c>
      <c r="H430" s="117">
        <v>1134866</v>
      </c>
      <c r="I430" s="124">
        <v>41023</v>
      </c>
      <c r="J430" s="124">
        <v>41025</v>
      </c>
      <c r="K430" s="126">
        <v>2000</v>
      </c>
      <c r="L430" s="127" t="s">
        <v>568</v>
      </c>
      <c r="N430" s="129" t="str">
        <f>IF(M430&gt;1/1/1,"Y","N")</f>
        <v>N</v>
      </c>
      <c r="O430" s="128" t="s">
        <v>917</v>
      </c>
      <c r="P430" s="129" t="s">
        <v>589</v>
      </c>
      <c r="Q430" s="111">
        <f t="shared" si="340"/>
        <v>3</v>
      </c>
      <c r="R430" s="111">
        <f t="shared" si="304"/>
        <v>3</v>
      </c>
      <c r="S430" s="129">
        <v>0</v>
      </c>
      <c r="T430" s="129">
        <v>3</v>
      </c>
      <c r="W430" s="111"/>
      <c r="AC430" s="130"/>
      <c r="AD430" s="130">
        <v>23538</v>
      </c>
      <c r="AE430" s="128" t="s">
        <v>32</v>
      </c>
      <c r="AF430" s="128" t="s">
        <v>33</v>
      </c>
      <c r="AG430" s="128" t="s">
        <v>872</v>
      </c>
      <c r="AH430" s="108" t="s">
        <v>58</v>
      </c>
      <c r="AI430" s="128" t="s">
        <v>53</v>
      </c>
      <c r="AJ430" s="129" t="s">
        <v>48</v>
      </c>
      <c r="AL430" s="3" t="s">
        <v>48</v>
      </c>
      <c r="AP430" s="129" t="s">
        <v>43</v>
      </c>
      <c r="AR430" s="128" t="s">
        <v>44</v>
      </c>
      <c r="AS430" s="129" t="s">
        <v>45</v>
      </c>
      <c r="AT430" s="129" t="s">
        <v>520</v>
      </c>
      <c r="AX430" s="32"/>
      <c r="BC430" s="129" t="s">
        <v>38</v>
      </c>
      <c r="BF430" s="111">
        <f t="shared" si="338"/>
        <v>3</v>
      </c>
      <c r="BG430" s="111">
        <f t="shared" si="339"/>
        <v>3</v>
      </c>
      <c r="BH430" s="111">
        <f t="shared" si="305"/>
        <v>3</v>
      </c>
      <c r="BI430" s="111">
        <f t="shared" si="306"/>
        <v>47.77322404371585</v>
      </c>
      <c r="BJ430" s="129">
        <f t="shared" si="312"/>
        <v>0</v>
      </c>
      <c r="BK430" s="129">
        <f t="shared" si="307"/>
        <v>0</v>
      </c>
      <c r="BL430" s="129" t="str">
        <f t="shared" si="308"/>
        <v>DEFERRED</v>
      </c>
      <c r="BM430" s="129" t="str">
        <f t="shared" si="313"/>
        <v>NONE</v>
      </c>
      <c r="BN430" s="129" t="s">
        <v>566</v>
      </c>
      <c r="BP430" s="137" t="str">
        <f t="shared" si="314"/>
        <v>DEFERRED</v>
      </c>
      <c r="BQ430" s="128" t="str">
        <f t="shared" si="315"/>
        <v>Y</v>
      </c>
      <c r="BR430" s="129" t="str">
        <f t="shared" si="316"/>
        <v>DETAINED</v>
      </c>
      <c r="BS430" s="129" t="str">
        <f t="shared" si="317"/>
        <v>DISPOSED</v>
      </c>
      <c r="BT430" s="129" t="str">
        <f t="shared" si="318"/>
        <v>N</v>
      </c>
      <c r="BU430" s="109">
        <f t="shared" si="329"/>
        <v>1</v>
      </c>
      <c r="BV430" s="109">
        <f t="shared" si="319"/>
        <v>1</v>
      </c>
      <c r="BW430" s="109">
        <f t="shared" si="335"/>
        <v>0</v>
      </c>
      <c r="BX430" s="111">
        <f t="shared" si="320"/>
        <v>0</v>
      </c>
      <c r="BY430" s="129">
        <f t="shared" si="321"/>
        <v>-3</v>
      </c>
      <c r="BZ430" s="111">
        <f t="shared" si="322"/>
        <v>0</v>
      </c>
      <c r="CA430" s="138">
        <f t="shared" si="323"/>
        <v>3</v>
      </c>
      <c r="CB430" s="111" t="e">
        <f t="shared" si="332"/>
        <v>#VALUE!</v>
      </c>
      <c r="CC430" s="129">
        <f>G430-I430+1</f>
        <v>3</v>
      </c>
      <c r="CD430" s="129">
        <f>G430-J430</f>
        <v>0</v>
      </c>
      <c r="CE430" s="129">
        <f t="shared" si="324"/>
        <v>0</v>
      </c>
      <c r="CG430" s="129" t="str">
        <f t="shared" si="325"/>
        <v>Y</v>
      </c>
      <c r="CI430" s="129" t="str">
        <f t="shared" si="326"/>
        <v>0-10 DAYS</v>
      </c>
      <c r="CJ430" s="137">
        <f t="shared" si="327"/>
        <v>1</v>
      </c>
      <c r="CK430" s="129" t="str">
        <f t="shared" si="328"/>
        <v>Booked</v>
      </c>
    </row>
    <row r="431" spans="1:89" ht="15.75" customHeight="1" x14ac:dyDescent="0.25">
      <c r="A431" s="111">
        <v>1039</v>
      </c>
      <c r="B431" s="128" t="str">
        <f t="shared" si="309"/>
        <v>N</v>
      </c>
      <c r="C431" s="128" t="str">
        <f t="shared" si="310"/>
        <v>N</v>
      </c>
      <c r="D431" s="117">
        <v>1135261</v>
      </c>
      <c r="E431" s="135">
        <f t="shared" si="311"/>
        <v>5</v>
      </c>
      <c r="F431" s="124">
        <v>40947</v>
      </c>
      <c r="G431" s="125">
        <v>40949</v>
      </c>
      <c r="H431" s="117">
        <v>1135261</v>
      </c>
      <c r="I431" s="124">
        <v>40948</v>
      </c>
      <c r="J431" s="124">
        <v>40949</v>
      </c>
      <c r="K431" s="126">
        <v>15000</v>
      </c>
      <c r="L431" s="127" t="s">
        <v>571</v>
      </c>
      <c r="N431" s="129" t="str">
        <f>IF(M431&gt;1/1/1,"Y","N")</f>
        <v>N</v>
      </c>
      <c r="O431" s="128" t="s">
        <v>917</v>
      </c>
      <c r="P431" s="129" t="s">
        <v>39</v>
      </c>
      <c r="Q431" s="111">
        <f t="shared" si="340"/>
        <v>2</v>
      </c>
      <c r="R431" s="111">
        <f t="shared" si="304"/>
        <v>3</v>
      </c>
      <c r="S431" s="129">
        <v>10</v>
      </c>
      <c r="T431" s="129">
        <v>3</v>
      </c>
      <c r="U431" s="129">
        <v>6</v>
      </c>
      <c r="V431" s="117">
        <v>1</v>
      </c>
      <c r="W431" s="111"/>
      <c r="AC431" s="130"/>
      <c r="AD431" s="130">
        <v>24953</v>
      </c>
      <c r="AE431" s="128" t="s">
        <v>32</v>
      </c>
      <c r="AF431" s="128" t="s">
        <v>33</v>
      </c>
      <c r="AG431" s="128" t="s">
        <v>872</v>
      </c>
      <c r="AH431" s="108" t="s">
        <v>31</v>
      </c>
      <c r="AI431" s="128" t="s">
        <v>95</v>
      </c>
      <c r="AJ431" s="129" t="s">
        <v>89</v>
      </c>
      <c r="AK431" s="129">
        <v>1</v>
      </c>
      <c r="AL431" s="3" t="s">
        <v>992</v>
      </c>
      <c r="AN431" s="117">
        <v>7</v>
      </c>
      <c r="AP431" s="129" t="s">
        <v>43</v>
      </c>
      <c r="AR431" s="128" t="s">
        <v>44</v>
      </c>
      <c r="AS431" s="129" t="s">
        <v>45</v>
      </c>
      <c r="BC431" s="129" t="s">
        <v>38</v>
      </c>
      <c r="BF431" s="111">
        <f t="shared" si="338"/>
        <v>2</v>
      </c>
      <c r="BG431" s="111">
        <f t="shared" si="339"/>
        <v>2</v>
      </c>
      <c r="BH431" s="111">
        <f t="shared" si="305"/>
        <v>3</v>
      </c>
      <c r="BI431" s="111">
        <f t="shared" si="306"/>
        <v>43.699453551912569</v>
      </c>
      <c r="BJ431" s="129">
        <f t="shared" si="312"/>
        <v>0</v>
      </c>
      <c r="BK431" s="129">
        <f t="shared" si="307"/>
        <v>0</v>
      </c>
      <c r="BL431" s="129" t="str">
        <f t="shared" si="308"/>
        <v>CONVICTION</v>
      </c>
      <c r="BM431" s="129" t="str">
        <f t="shared" si="313"/>
        <v>NONE</v>
      </c>
      <c r="BN431" s="129" t="s">
        <v>566</v>
      </c>
      <c r="BP431" s="137" t="str">
        <f t="shared" si="314"/>
        <v>CONVICTION</v>
      </c>
      <c r="BQ431" s="128" t="str">
        <f t="shared" si="315"/>
        <v>Y</v>
      </c>
      <c r="BR431" s="129" t="str">
        <f t="shared" si="316"/>
        <v>DETAINED</v>
      </c>
      <c r="BS431" s="129" t="str">
        <f t="shared" si="317"/>
        <v>DISPOSED</v>
      </c>
      <c r="BT431" s="129" t="str">
        <f t="shared" si="318"/>
        <v>Y</v>
      </c>
      <c r="BU431" s="109">
        <f t="shared" si="329"/>
        <v>0.66666666666666663</v>
      </c>
      <c r="BV431" s="109">
        <f t="shared" si="319"/>
        <v>1</v>
      </c>
      <c r="BW431" s="109">
        <f t="shared" si="335"/>
        <v>0.33333333333333337</v>
      </c>
      <c r="BX431" s="111">
        <f t="shared" si="320"/>
        <v>0</v>
      </c>
      <c r="BY431" s="129">
        <f t="shared" si="321"/>
        <v>-2</v>
      </c>
      <c r="BZ431" s="111">
        <f t="shared" si="322"/>
        <v>0</v>
      </c>
      <c r="CA431" s="138">
        <f t="shared" si="323"/>
        <v>2</v>
      </c>
      <c r="CB431" s="111" t="e">
        <f t="shared" si="332"/>
        <v>#VALUE!</v>
      </c>
      <c r="CC431" s="129">
        <f>G431-I431+1</f>
        <v>2</v>
      </c>
      <c r="CD431" s="129">
        <f>G431-J431</f>
        <v>0</v>
      </c>
      <c r="CE431" s="129">
        <f t="shared" si="324"/>
        <v>0</v>
      </c>
      <c r="CG431" s="129" t="str">
        <f t="shared" si="325"/>
        <v>Y</v>
      </c>
      <c r="CI431" s="129" t="str">
        <f t="shared" si="326"/>
        <v>0-10 DAYS</v>
      </c>
      <c r="CJ431" s="137">
        <f t="shared" si="327"/>
        <v>1</v>
      </c>
      <c r="CK431" s="129" t="str">
        <f t="shared" si="328"/>
        <v>Booked</v>
      </c>
    </row>
    <row r="432" spans="1:89" ht="15.75" customHeight="1" x14ac:dyDescent="0.25">
      <c r="A432" s="111">
        <v>1836</v>
      </c>
      <c r="B432" s="128" t="str">
        <f t="shared" si="309"/>
        <v>N</v>
      </c>
      <c r="C432" s="128" t="str">
        <f t="shared" si="310"/>
        <v>N</v>
      </c>
      <c r="D432" s="117">
        <v>1136929</v>
      </c>
      <c r="E432" s="135">
        <f t="shared" si="311"/>
        <v>6</v>
      </c>
      <c r="F432" s="124">
        <v>40977</v>
      </c>
      <c r="G432" s="125">
        <v>41046</v>
      </c>
      <c r="H432" s="117">
        <v>1136929</v>
      </c>
      <c r="I432" s="124">
        <v>40982</v>
      </c>
      <c r="J432" s="124">
        <v>41046</v>
      </c>
      <c r="K432" s="126" t="s">
        <v>564</v>
      </c>
      <c r="L432" s="127" t="s">
        <v>564</v>
      </c>
      <c r="N432" s="129" t="s">
        <v>566</v>
      </c>
      <c r="O432" s="128" t="s">
        <v>917</v>
      </c>
      <c r="P432" s="129" t="s">
        <v>39</v>
      </c>
      <c r="Q432" s="111">
        <f t="shared" si="340"/>
        <v>65</v>
      </c>
      <c r="R432" s="111">
        <f t="shared" si="304"/>
        <v>70</v>
      </c>
      <c r="S432" s="129">
        <v>13</v>
      </c>
      <c r="T432" s="129">
        <v>9</v>
      </c>
      <c r="U432" s="129">
        <v>4</v>
      </c>
      <c r="V432" s="117">
        <v>1</v>
      </c>
      <c r="W432" s="111"/>
      <c r="AC432" s="130"/>
      <c r="AD432" s="130">
        <v>20766</v>
      </c>
      <c r="AE432" s="128" t="s">
        <v>32</v>
      </c>
      <c r="AF432" s="128" t="s">
        <v>33</v>
      </c>
      <c r="AG432" s="128" t="s">
        <v>872</v>
      </c>
      <c r="AH432" s="108" t="s">
        <v>31</v>
      </c>
      <c r="AI432" s="128" t="s">
        <v>53</v>
      </c>
      <c r="AJ432" s="129" t="s">
        <v>89</v>
      </c>
      <c r="AK432" s="129">
        <v>5</v>
      </c>
      <c r="AL432" s="3" t="s">
        <v>362</v>
      </c>
      <c r="AM432" s="117">
        <v>8</v>
      </c>
      <c r="AP432" s="129" t="s">
        <v>379</v>
      </c>
      <c r="AR432" s="128" t="s">
        <v>44</v>
      </c>
      <c r="AS432" s="129" t="s">
        <v>64</v>
      </c>
      <c r="BC432" s="129" t="s">
        <v>52</v>
      </c>
      <c r="BF432" s="111">
        <f t="shared" si="338"/>
        <v>65</v>
      </c>
      <c r="BG432" s="111">
        <f t="shared" si="339"/>
        <v>65</v>
      </c>
      <c r="BH432" s="111">
        <f t="shared" si="305"/>
        <v>70</v>
      </c>
      <c r="BI432" s="111">
        <f t="shared" si="306"/>
        <v>55.221311475409834</v>
      </c>
      <c r="BJ432" s="129">
        <f t="shared" si="312"/>
        <v>0</v>
      </c>
      <c r="BK432" s="129">
        <f t="shared" si="307"/>
        <v>0</v>
      </c>
      <c r="BL432" s="129" t="str">
        <f t="shared" si="308"/>
        <v>CONVICTION</v>
      </c>
      <c r="BM432" s="129" t="str">
        <f t="shared" si="313"/>
        <v>NONE</v>
      </c>
      <c r="BN432" s="129" t="s">
        <v>566</v>
      </c>
      <c r="BP432" s="137" t="str">
        <f t="shared" si="314"/>
        <v>CONVICTION</v>
      </c>
      <c r="BQ432" s="128" t="str">
        <f t="shared" si="315"/>
        <v>Y</v>
      </c>
      <c r="BR432" s="129" t="str">
        <f t="shared" si="316"/>
        <v>DETAINED</v>
      </c>
      <c r="BS432" s="129" t="str">
        <f t="shared" si="317"/>
        <v>DISPOSED</v>
      </c>
      <c r="BT432" s="129" t="str">
        <f t="shared" si="318"/>
        <v>Y</v>
      </c>
      <c r="BU432" s="109">
        <f t="shared" si="329"/>
        <v>0.9285714285714286</v>
      </c>
      <c r="BV432" s="109">
        <f t="shared" si="319"/>
        <v>1</v>
      </c>
      <c r="BW432" s="109">
        <f t="shared" si="335"/>
        <v>7.1428571428571397E-2</v>
      </c>
      <c r="BX432" s="111">
        <f t="shared" si="320"/>
        <v>0</v>
      </c>
      <c r="BY432" s="129">
        <f t="shared" si="321"/>
        <v>-65</v>
      </c>
      <c r="BZ432" s="111">
        <f t="shared" si="322"/>
        <v>0</v>
      </c>
      <c r="CA432" s="138">
        <f t="shared" si="323"/>
        <v>65</v>
      </c>
      <c r="CB432" s="111" t="e">
        <f t="shared" si="332"/>
        <v>#VALUE!</v>
      </c>
      <c r="CC432" s="129">
        <f>G432-I432+1</f>
        <v>65</v>
      </c>
      <c r="CD432" s="129">
        <f>G432-J432</f>
        <v>0</v>
      </c>
      <c r="CE432" s="129">
        <f t="shared" si="324"/>
        <v>0</v>
      </c>
      <c r="CG432" s="129" t="str">
        <f t="shared" si="325"/>
        <v>Y</v>
      </c>
      <c r="CI432" s="129" t="str">
        <f t="shared" si="326"/>
        <v>61-90 DAYS</v>
      </c>
      <c r="CJ432" s="137">
        <f t="shared" si="327"/>
        <v>4</v>
      </c>
      <c r="CK432" s="129" t="str">
        <f t="shared" si="328"/>
        <v>Booked</v>
      </c>
    </row>
    <row r="433" spans="1:89" ht="15" customHeight="1" x14ac:dyDescent="0.25">
      <c r="A433" s="111">
        <v>1525</v>
      </c>
      <c r="B433" s="128" t="str">
        <f t="shared" si="309"/>
        <v>N</v>
      </c>
      <c r="C433" s="128" t="str">
        <f t="shared" si="310"/>
        <v>N</v>
      </c>
      <c r="D433" s="117">
        <v>1139624</v>
      </c>
      <c r="E433" s="135">
        <f t="shared" si="311"/>
        <v>6</v>
      </c>
      <c r="F433" s="124">
        <v>40965</v>
      </c>
      <c r="G433" s="125">
        <v>41226</v>
      </c>
      <c r="H433" s="117">
        <v>1139624</v>
      </c>
      <c r="I433" s="124">
        <v>40965</v>
      </c>
      <c r="J433" s="124">
        <v>41041</v>
      </c>
      <c r="K433" s="126">
        <v>55000</v>
      </c>
      <c r="L433" s="129" t="s">
        <v>572</v>
      </c>
      <c r="M433" s="125">
        <v>41041</v>
      </c>
      <c r="N433" s="129" t="str">
        <f>IF(M433&gt;1/1/1,"Y","N")</f>
        <v>Y</v>
      </c>
      <c r="O433" s="128" t="s">
        <v>76</v>
      </c>
      <c r="P433" s="129" t="s">
        <v>39</v>
      </c>
      <c r="Q433" s="111">
        <f t="shared" si="340"/>
        <v>77</v>
      </c>
      <c r="R433" s="111">
        <f t="shared" si="304"/>
        <v>262</v>
      </c>
      <c r="S433" s="129">
        <v>2</v>
      </c>
      <c r="T433" s="129">
        <v>7</v>
      </c>
      <c r="W433" s="111"/>
      <c r="AC433" s="130"/>
      <c r="AD433" s="130">
        <v>25971</v>
      </c>
      <c r="AE433" s="128" t="s">
        <v>32</v>
      </c>
      <c r="AF433" s="128" t="s">
        <v>33</v>
      </c>
      <c r="AG433" s="128" t="s">
        <v>872</v>
      </c>
      <c r="AH433" s="108" t="s">
        <v>31</v>
      </c>
      <c r="AI433" s="128" t="s">
        <v>59</v>
      </c>
      <c r="AJ433" s="129" t="s">
        <v>89</v>
      </c>
      <c r="AK433" s="129">
        <v>12</v>
      </c>
      <c r="AL433" s="3" t="s">
        <v>362</v>
      </c>
      <c r="AM433" s="117">
        <v>2</v>
      </c>
      <c r="AP433" s="129" t="s">
        <v>91</v>
      </c>
      <c r="AR433" s="128" t="s">
        <v>92</v>
      </c>
      <c r="AS433" s="129" t="s">
        <v>74</v>
      </c>
      <c r="BC433" s="129" t="s">
        <v>52</v>
      </c>
      <c r="BF433" s="111">
        <f t="shared" si="338"/>
        <v>77</v>
      </c>
      <c r="BG433" s="111">
        <f t="shared" si="339"/>
        <v>262</v>
      </c>
      <c r="BH433" s="111">
        <f t="shared" si="305"/>
        <v>262</v>
      </c>
      <c r="BI433" s="111">
        <f t="shared" si="306"/>
        <v>40.967213114754095</v>
      </c>
      <c r="BJ433" s="129">
        <f>(G433-J433)+(M433-G433)</f>
        <v>0</v>
      </c>
      <c r="BK433" s="129">
        <f t="shared" si="307"/>
        <v>-185</v>
      </c>
      <c r="BL433" s="129" t="str">
        <f t="shared" si="308"/>
        <v>CONVICTION</v>
      </c>
      <c r="BM433" s="129" t="s">
        <v>76</v>
      </c>
      <c r="BN433" s="129" t="s">
        <v>88</v>
      </c>
      <c r="BP433" s="137" t="str">
        <f t="shared" si="314"/>
        <v>CONVICTION</v>
      </c>
      <c r="BQ433" s="128" t="str">
        <f t="shared" si="315"/>
        <v>Y</v>
      </c>
      <c r="BR433" s="129" t="str">
        <f>IF(J433&lt;G433,"ON BOND",0)</f>
        <v>ON BOND</v>
      </c>
      <c r="BS433" s="129" t="str">
        <f t="shared" si="317"/>
        <v>DISPOSED</v>
      </c>
      <c r="BT433" s="129" t="str">
        <f t="shared" si="318"/>
        <v>Y</v>
      </c>
      <c r="BU433" s="109">
        <f t="shared" si="329"/>
        <v>0.29389312977099236</v>
      </c>
      <c r="BV433" s="109">
        <f t="shared" si="319"/>
        <v>0.29389312977099236</v>
      </c>
      <c r="BW433" s="109">
        <f t="shared" si="335"/>
        <v>0</v>
      </c>
      <c r="BX433" s="111">
        <f t="shared" si="320"/>
        <v>0</v>
      </c>
      <c r="BY433" s="129">
        <f t="shared" si="321"/>
        <v>-77</v>
      </c>
      <c r="BZ433" s="111">
        <f t="shared" si="322"/>
        <v>0</v>
      </c>
      <c r="CA433" s="138">
        <f t="shared" si="323"/>
        <v>77</v>
      </c>
      <c r="CB433" s="111" t="e">
        <f t="shared" si="332"/>
        <v>#VALUE!</v>
      </c>
      <c r="CC433" s="129">
        <f>M433-I433+1</f>
        <v>77</v>
      </c>
      <c r="CD433" s="111">
        <f>CC433-BF433</f>
        <v>0</v>
      </c>
      <c r="CE433" s="129">
        <f t="shared" si="324"/>
        <v>185</v>
      </c>
      <c r="CG433" s="129" t="str">
        <f t="shared" si="325"/>
        <v>Y</v>
      </c>
      <c r="CI433" s="129" t="str">
        <f t="shared" si="326"/>
        <v>61-90 DAYS</v>
      </c>
      <c r="CJ433" s="137">
        <f t="shared" si="327"/>
        <v>4</v>
      </c>
      <c r="CK433" s="129" t="str">
        <f t="shared" si="328"/>
        <v>Booked</v>
      </c>
    </row>
    <row r="434" spans="1:89" ht="15.75" customHeight="1" x14ac:dyDescent="0.25">
      <c r="A434" s="111">
        <v>1201</v>
      </c>
      <c r="B434" s="128" t="str">
        <f t="shared" si="309"/>
        <v>N</v>
      </c>
      <c r="C434" s="128" t="str">
        <f t="shared" si="310"/>
        <v>N</v>
      </c>
      <c r="D434" s="117">
        <v>1141530</v>
      </c>
      <c r="E434" s="135">
        <f t="shared" si="311"/>
        <v>6</v>
      </c>
      <c r="F434" s="124">
        <v>40953</v>
      </c>
      <c r="G434" s="125">
        <v>41046</v>
      </c>
      <c r="H434" s="117">
        <v>1141530</v>
      </c>
      <c r="I434" s="124">
        <v>40953</v>
      </c>
      <c r="J434" s="124">
        <v>41046</v>
      </c>
      <c r="K434" s="126" t="s">
        <v>564</v>
      </c>
      <c r="L434" s="127" t="s">
        <v>564</v>
      </c>
      <c r="N434" s="129" t="s">
        <v>566</v>
      </c>
      <c r="O434" s="128" t="s">
        <v>917</v>
      </c>
      <c r="P434" s="129" t="s">
        <v>39</v>
      </c>
      <c r="Q434" s="111">
        <f t="shared" si="340"/>
        <v>94</v>
      </c>
      <c r="R434" s="111">
        <f t="shared" si="304"/>
        <v>94</v>
      </c>
      <c r="S434" s="129">
        <v>4</v>
      </c>
      <c r="T434" s="129">
        <v>2</v>
      </c>
      <c r="U434" s="129">
        <v>2</v>
      </c>
      <c r="W434" s="111"/>
      <c r="AC434" s="130"/>
      <c r="AD434" s="130">
        <v>26535</v>
      </c>
      <c r="AE434" s="128" t="s">
        <v>46</v>
      </c>
      <c r="AF434" s="128" t="s">
        <v>33</v>
      </c>
      <c r="AG434" s="128" t="s">
        <v>872</v>
      </c>
      <c r="AH434" s="108" t="s">
        <v>58</v>
      </c>
      <c r="AI434" s="128" t="s">
        <v>87</v>
      </c>
      <c r="AJ434" s="129" t="s">
        <v>89</v>
      </c>
      <c r="AK434" s="129">
        <v>4</v>
      </c>
      <c r="AL434" s="3" t="s">
        <v>362</v>
      </c>
      <c r="AM434" s="117">
        <v>5</v>
      </c>
      <c r="AP434" s="129" t="s">
        <v>305</v>
      </c>
      <c r="AR434" s="128" t="s">
        <v>67</v>
      </c>
      <c r="AS434" s="129" t="s">
        <v>74</v>
      </c>
      <c r="BC434" s="129" t="s">
        <v>38</v>
      </c>
      <c r="BF434" s="111">
        <f t="shared" si="338"/>
        <v>94</v>
      </c>
      <c r="BG434" s="111">
        <f t="shared" si="339"/>
        <v>94</v>
      </c>
      <c r="BH434" s="111">
        <f t="shared" si="305"/>
        <v>94</v>
      </c>
      <c r="BI434" s="111">
        <f t="shared" si="306"/>
        <v>39.393442622950822</v>
      </c>
      <c r="BJ434" s="129">
        <f t="shared" si="312"/>
        <v>0</v>
      </c>
      <c r="BK434" s="129">
        <f t="shared" si="307"/>
        <v>0</v>
      </c>
      <c r="BL434" s="129" t="str">
        <f t="shared" si="308"/>
        <v>CONVICTION</v>
      </c>
      <c r="BM434" s="129" t="str">
        <f t="shared" si="313"/>
        <v>NONE</v>
      </c>
      <c r="BN434" s="129" t="s">
        <v>566</v>
      </c>
      <c r="BP434" s="137" t="str">
        <f t="shared" si="314"/>
        <v>CONVICTION</v>
      </c>
      <c r="BQ434" s="128" t="str">
        <f t="shared" si="315"/>
        <v>Y</v>
      </c>
      <c r="BR434" s="129" t="str">
        <f t="shared" si="316"/>
        <v>DETAINED</v>
      </c>
      <c r="BS434" s="129" t="str">
        <f t="shared" si="317"/>
        <v>DISPOSED</v>
      </c>
      <c r="BT434" s="129" t="str">
        <f t="shared" si="318"/>
        <v>Y</v>
      </c>
      <c r="BU434" s="109">
        <f t="shared" si="329"/>
        <v>1</v>
      </c>
      <c r="BV434" s="109">
        <f t="shared" si="319"/>
        <v>1</v>
      </c>
      <c r="BW434" s="109">
        <f t="shared" si="335"/>
        <v>0</v>
      </c>
      <c r="BX434" s="111">
        <f t="shared" si="320"/>
        <v>0</v>
      </c>
      <c r="BY434" s="129">
        <f t="shared" si="321"/>
        <v>-94</v>
      </c>
      <c r="BZ434" s="111">
        <f t="shared" si="322"/>
        <v>0</v>
      </c>
      <c r="CA434" s="138">
        <f t="shared" si="323"/>
        <v>94</v>
      </c>
      <c r="CB434" s="111" t="e">
        <f t="shared" si="332"/>
        <v>#VALUE!</v>
      </c>
      <c r="CC434" s="129">
        <f>G434-I434+1</f>
        <v>94</v>
      </c>
      <c r="CD434" s="129">
        <f>G434-J434</f>
        <v>0</v>
      </c>
      <c r="CE434" s="129">
        <f t="shared" si="324"/>
        <v>0</v>
      </c>
      <c r="CG434" s="129" t="str">
        <f t="shared" si="325"/>
        <v>Y</v>
      </c>
      <c r="CI434" s="129" t="str">
        <f t="shared" si="326"/>
        <v>91-120 DAYS</v>
      </c>
      <c r="CJ434" s="137">
        <f t="shared" si="327"/>
        <v>0</v>
      </c>
      <c r="CK434" s="129" t="str">
        <f t="shared" si="328"/>
        <v>Booked</v>
      </c>
    </row>
    <row r="435" spans="1:89" ht="15" customHeight="1" x14ac:dyDescent="0.25">
      <c r="A435" s="111">
        <v>417</v>
      </c>
      <c r="B435" s="128" t="str">
        <f t="shared" si="309"/>
        <v>N</v>
      </c>
      <c r="C435" s="128" t="str">
        <f t="shared" si="310"/>
        <v>N</v>
      </c>
      <c r="D435" s="117">
        <v>1142010</v>
      </c>
      <c r="E435" s="135">
        <f t="shared" si="311"/>
        <v>5</v>
      </c>
      <c r="F435" s="124">
        <v>40926</v>
      </c>
      <c r="G435" s="125">
        <v>40928</v>
      </c>
      <c r="H435" s="117">
        <v>1142010</v>
      </c>
      <c r="I435" s="124">
        <v>40927</v>
      </c>
      <c r="J435" s="124">
        <v>40928</v>
      </c>
      <c r="K435" s="126">
        <v>5000</v>
      </c>
      <c r="L435" s="127" t="s">
        <v>569</v>
      </c>
      <c r="N435" s="129" t="str">
        <f t="shared" ref="N435:N440" si="341">IF(M435&gt;1/1/1,"Y","N")</f>
        <v>N</v>
      </c>
      <c r="O435" s="128" t="s">
        <v>917</v>
      </c>
      <c r="P435" s="129" t="s">
        <v>39</v>
      </c>
      <c r="Q435" s="111">
        <f t="shared" si="340"/>
        <v>2</v>
      </c>
      <c r="R435" s="111">
        <f t="shared" si="304"/>
        <v>3</v>
      </c>
      <c r="S435" s="129">
        <v>2</v>
      </c>
      <c r="T435" s="129">
        <v>1</v>
      </c>
      <c r="U435" s="129">
        <v>1</v>
      </c>
      <c r="W435" s="111"/>
      <c r="AC435" s="130"/>
      <c r="AD435" s="130">
        <v>24592</v>
      </c>
      <c r="AE435" s="128" t="s">
        <v>32</v>
      </c>
      <c r="AF435" s="128" t="s">
        <v>33</v>
      </c>
      <c r="AG435" s="128" t="s">
        <v>872</v>
      </c>
      <c r="AH435" s="108" t="s">
        <v>58</v>
      </c>
      <c r="AI435" s="128" t="s">
        <v>90</v>
      </c>
      <c r="AJ435" s="129" t="s">
        <v>89</v>
      </c>
      <c r="AK435" s="129">
        <v>1</v>
      </c>
      <c r="AL435" s="3" t="s">
        <v>992</v>
      </c>
      <c r="AN435" s="117">
        <v>6</v>
      </c>
      <c r="AP435" s="129" t="s">
        <v>43</v>
      </c>
      <c r="AR435" s="128" t="s">
        <v>44</v>
      </c>
      <c r="AS435" s="129" t="s">
        <v>45</v>
      </c>
      <c r="BC435" s="129" t="s">
        <v>38</v>
      </c>
      <c r="BF435" s="111">
        <f t="shared" si="338"/>
        <v>2</v>
      </c>
      <c r="BG435" s="111">
        <f t="shared" si="339"/>
        <v>2</v>
      </c>
      <c r="BH435" s="111">
        <f t="shared" si="305"/>
        <v>3</v>
      </c>
      <c r="BI435" s="111">
        <f t="shared" si="306"/>
        <v>44.62841530054645</v>
      </c>
      <c r="BJ435" s="129">
        <f t="shared" si="312"/>
        <v>0</v>
      </c>
      <c r="BK435" s="129">
        <f t="shared" si="307"/>
        <v>0</v>
      </c>
      <c r="BL435" s="129" t="str">
        <f t="shared" si="308"/>
        <v>CONVICTION</v>
      </c>
      <c r="BM435" s="129" t="str">
        <f t="shared" si="313"/>
        <v>NONE</v>
      </c>
      <c r="BN435" s="129" t="s">
        <v>566</v>
      </c>
      <c r="BP435" s="137" t="str">
        <f t="shared" si="314"/>
        <v>CONVICTION</v>
      </c>
      <c r="BQ435" s="128" t="str">
        <f t="shared" si="315"/>
        <v>Y</v>
      </c>
      <c r="BR435" s="129" t="str">
        <f t="shared" si="316"/>
        <v>DETAINED</v>
      </c>
      <c r="BS435" s="129" t="str">
        <f t="shared" si="317"/>
        <v>DISPOSED</v>
      </c>
      <c r="BT435" s="129" t="str">
        <f t="shared" si="318"/>
        <v>Y</v>
      </c>
      <c r="BU435" s="109">
        <f t="shared" si="329"/>
        <v>0.66666666666666663</v>
      </c>
      <c r="BV435" s="109">
        <f t="shared" si="319"/>
        <v>1</v>
      </c>
      <c r="BW435" s="109">
        <f t="shared" si="335"/>
        <v>0.33333333333333337</v>
      </c>
      <c r="BX435" s="111">
        <f t="shared" si="320"/>
        <v>0</v>
      </c>
      <c r="BY435" s="129">
        <f t="shared" si="321"/>
        <v>-2</v>
      </c>
      <c r="BZ435" s="111">
        <f t="shared" si="322"/>
        <v>0</v>
      </c>
      <c r="CA435" s="138">
        <f t="shared" si="323"/>
        <v>2</v>
      </c>
      <c r="CB435" s="111" t="e">
        <f t="shared" si="332"/>
        <v>#VALUE!</v>
      </c>
      <c r="CC435" s="129">
        <f>G435-I435+1</f>
        <v>2</v>
      </c>
      <c r="CD435" s="129">
        <f>G435-J435</f>
        <v>0</v>
      </c>
      <c r="CE435" s="129">
        <f t="shared" si="324"/>
        <v>0</v>
      </c>
      <c r="CG435" s="129" t="str">
        <f t="shared" si="325"/>
        <v>Y</v>
      </c>
      <c r="CI435" s="129" t="str">
        <f t="shared" si="326"/>
        <v>0-10 DAYS</v>
      </c>
      <c r="CJ435" s="137">
        <f t="shared" si="327"/>
        <v>1</v>
      </c>
      <c r="CK435" s="129" t="str">
        <f t="shared" si="328"/>
        <v>Booked</v>
      </c>
    </row>
    <row r="436" spans="1:89" ht="15" customHeight="1" x14ac:dyDescent="0.25">
      <c r="A436" s="111">
        <v>3228</v>
      </c>
      <c r="B436" s="128" t="str">
        <f t="shared" si="309"/>
        <v>N</v>
      </c>
      <c r="C436" s="128" t="str">
        <f t="shared" si="310"/>
        <v>N</v>
      </c>
      <c r="D436" s="117">
        <v>1143618</v>
      </c>
      <c r="E436" s="135">
        <f t="shared" si="311"/>
        <v>4</v>
      </c>
      <c r="F436" s="124">
        <v>41028</v>
      </c>
      <c r="G436" s="125">
        <v>41030</v>
      </c>
      <c r="H436" s="117">
        <v>1143618</v>
      </c>
      <c r="I436" s="124">
        <v>41028</v>
      </c>
      <c r="J436" s="124">
        <v>41030</v>
      </c>
      <c r="K436" s="126">
        <v>15000</v>
      </c>
      <c r="L436" s="127" t="s">
        <v>571</v>
      </c>
      <c r="N436" s="129" t="str">
        <f t="shared" si="341"/>
        <v>N</v>
      </c>
      <c r="O436" s="128" t="s">
        <v>917</v>
      </c>
      <c r="P436" s="129" t="s">
        <v>39</v>
      </c>
      <c r="Q436" s="111">
        <f t="shared" si="340"/>
        <v>3</v>
      </c>
      <c r="R436" s="111">
        <f t="shared" si="304"/>
        <v>3</v>
      </c>
      <c r="S436" s="129">
        <v>6</v>
      </c>
      <c r="T436" s="129">
        <v>9</v>
      </c>
      <c r="U436" s="129">
        <v>5</v>
      </c>
      <c r="V436" s="117">
        <v>1</v>
      </c>
      <c r="W436" s="111"/>
      <c r="AC436" s="130"/>
      <c r="AD436" s="130">
        <v>24361</v>
      </c>
      <c r="AE436" s="128" t="s">
        <v>32</v>
      </c>
      <c r="AF436" s="128" t="s">
        <v>33</v>
      </c>
      <c r="AG436" s="128" t="s">
        <v>872</v>
      </c>
      <c r="AH436" s="108" t="s">
        <v>58</v>
      </c>
      <c r="AI436" s="128" t="s">
        <v>83</v>
      </c>
      <c r="AJ436" s="129" t="s">
        <v>89</v>
      </c>
      <c r="AK436" s="129">
        <v>2</v>
      </c>
      <c r="AL436" s="3" t="s">
        <v>991</v>
      </c>
      <c r="AO436" s="128">
        <v>270</v>
      </c>
      <c r="AP436" s="129" t="s">
        <v>43</v>
      </c>
      <c r="AR436" s="128" t="s">
        <v>44</v>
      </c>
      <c r="AS436" s="129" t="s">
        <v>45</v>
      </c>
      <c r="AT436" s="129" t="s">
        <v>536</v>
      </c>
      <c r="BC436" s="129" t="s">
        <v>38</v>
      </c>
      <c r="BF436" s="111">
        <f t="shared" si="338"/>
        <v>3</v>
      </c>
      <c r="BG436" s="111">
        <f t="shared" si="339"/>
        <v>3</v>
      </c>
      <c r="BH436" s="111">
        <f t="shared" si="305"/>
        <v>3</v>
      </c>
      <c r="BI436" s="111">
        <f t="shared" si="306"/>
        <v>45.538251366120221</v>
      </c>
      <c r="BJ436" s="129">
        <f t="shared" si="312"/>
        <v>0</v>
      </c>
      <c r="BK436" s="129">
        <f t="shared" si="307"/>
        <v>0</v>
      </c>
      <c r="BL436" s="129" t="str">
        <f t="shared" si="308"/>
        <v>CONVICTION</v>
      </c>
      <c r="BM436" s="129" t="str">
        <f t="shared" si="313"/>
        <v>NONE</v>
      </c>
      <c r="BN436" s="129" t="s">
        <v>566</v>
      </c>
      <c r="BP436" s="137" t="str">
        <f t="shared" si="314"/>
        <v>CONVICTION</v>
      </c>
      <c r="BQ436" s="128" t="str">
        <f t="shared" si="315"/>
        <v>Y</v>
      </c>
      <c r="BR436" s="129" t="str">
        <f t="shared" si="316"/>
        <v>DETAINED</v>
      </c>
      <c r="BS436" s="129" t="str">
        <f t="shared" si="317"/>
        <v>DISPOSED</v>
      </c>
      <c r="BT436" s="129" t="str">
        <f t="shared" si="318"/>
        <v>Y</v>
      </c>
      <c r="BU436" s="109">
        <f t="shared" si="329"/>
        <v>1</v>
      </c>
      <c r="BV436" s="109">
        <f t="shared" si="319"/>
        <v>1</v>
      </c>
      <c r="BW436" s="109">
        <f t="shared" si="335"/>
        <v>0</v>
      </c>
      <c r="BX436" s="111">
        <f t="shared" si="320"/>
        <v>0</v>
      </c>
      <c r="BY436" s="129">
        <f t="shared" si="321"/>
        <v>-3</v>
      </c>
      <c r="BZ436" s="111">
        <f t="shared" si="322"/>
        <v>0</v>
      </c>
      <c r="CA436" s="138">
        <f t="shared" si="323"/>
        <v>3</v>
      </c>
      <c r="CB436" s="111" t="e">
        <f t="shared" si="332"/>
        <v>#VALUE!</v>
      </c>
      <c r="CC436" s="129">
        <f>G436-I436+1</f>
        <v>3</v>
      </c>
      <c r="CD436" s="129">
        <f>G436-J436</f>
        <v>0</v>
      </c>
      <c r="CE436" s="129">
        <f t="shared" si="324"/>
        <v>0</v>
      </c>
      <c r="CG436" s="129" t="str">
        <f t="shared" si="325"/>
        <v>Y</v>
      </c>
      <c r="CI436" s="129" t="str">
        <f t="shared" si="326"/>
        <v>0-10 DAYS</v>
      </c>
      <c r="CJ436" s="137">
        <f t="shared" si="327"/>
        <v>1</v>
      </c>
      <c r="CK436" s="129" t="str">
        <f t="shared" si="328"/>
        <v>Booked</v>
      </c>
    </row>
    <row r="437" spans="1:89" ht="15.75" customHeight="1" x14ac:dyDescent="0.25">
      <c r="A437" s="111">
        <v>1447</v>
      </c>
      <c r="B437" s="128" t="str">
        <f t="shared" si="309"/>
        <v>N</v>
      </c>
      <c r="C437" s="128" t="str">
        <f t="shared" si="310"/>
        <v>N</v>
      </c>
      <c r="D437" s="117">
        <v>1144151</v>
      </c>
      <c r="E437" s="135">
        <f t="shared" si="311"/>
        <v>1</v>
      </c>
      <c r="F437" s="124">
        <v>40962</v>
      </c>
      <c r="G437" s="125">
        <v>41004</v>
      </c>
      <c r="H437" s="117">
        <v>1144151</v>
      </c>
      <c r="I437" s="124">
        <v>40962</v>
      </c>
      <c r="J437" s="124">
        <v>40967</v>
      </c>
      <c r="K437" s="126">
        <v>5000</v>
      </c>
      <c r="L437" s="127" t="s">
        <v>569</v>
      </c>
      <c r="M437" s="125">
        <v>40967</v>
      </c>
      <c r="N437" s="129" t="str">
        <f t="shared" si="341"/>
        <v>Y</v>
      </c>
      <c r="O437" s="128" t="s">
        <v>76</v>
      </c>
      <c r="P437" s="129" t="s">
        <v>55</v>
      </c>
      <c r="Q437" s="111">
        <f t="shared" si="340"/>
        <v>6</v>
      </c>
      <c r="R437" s="111">
        <f t="shared" si="304"/>
        <v>43</v>
      </c>
      <c r="S437" s="129">
        <v>1</v>
      </c>
      <c r="T437" s="129">
        <v>2</v>
      </c>
      <c r="U437" s="129">
        <v>1</v>
      </c>
      <c r="W437" s="111"/>
      <c r="AC437" s="130"/>
      <c r="AD437" s="130">
        <v>24039</v>
      </c>
      <c r="AE437" s="128" t="s">
        <v>46</v>
      </c>
      <c r="AF437" s="128" t="s">
        <v>33</v>
      </c>
      <c r="AG437" s="128" t="s">
        <v>872</v>
      </c>
      <c r="AH437" s="108" t="s">
        <v>58</v>
      </c>
      <c r="AI437" s="128" t="s">
        <v>72</v>
      </c>
      <c r="AJ437" s="129" t="s">
        <v>55</v>
      </c>
      <c r="AK437" s="129">
        <v>3</v>
      </c>
      <c r="AL437" s="3" t="s">
        <v>55</v>
      </c>
      <c r="AP437" s="129" t="s">
        <v>43</v>
      </c>
      <c r="AR437" s="128" t="s">
        <v>44</v>
      </c>
      <c r="AS437" s="129" t="s">
        <v>45</v>
      </c>
      <c r="AX437" s="32"/>
      <c r="BC437" s="129" t="s">
        <v>52</v>
      </c>
      <c r="BF437" s="111">
        <f t="shared" si="338"/>
        <v>6</v>
      </c>
      <c r="BG437" s="111">
        <f t="shared" si="339"/>
        <v>43</v>
      </c>
      <c r="BH437" s="111">
        <f t="shared" si="305"/>
        <v>43</v>
      </c>
      <c r="BI437" s="111">
        <f t="shared" si="306"/>
        <v>46.23770491803279</v>
      </c>
      <c r="BJ437" s="129">
        <f>(G437-J437)+(M437-G437)</f>
        <v>0</v>
      </c>
      <c r="BK437" s="129">
        <f t="shared" si="307"/>
        <v>-37</v>
      </c>
      <c r="BL437" s="129" t="str">
        <f t="shared" si="308"/>
        <v>NO CONVICTION</v>
      </c>
      <c r="BM437" s="129" t="s">
        <v>76</v>
      </c>
      <c r="BN437" s="129" t="s">
        <v>88</v>
      </c>
      <c r="BP437" s="137" t="str">
        <f t="shared" si="314"/>
        <v>NO CONVICTION</v>
      </c>
      <c r="BQ437" s="128" t="str">
        <f t="shared" si="315"/>
        <v>Y</v>
      </c>
      <c r="BR437" s="129" t="str">
        <f t="shared" si="316"/>
        <v>ON BOND</v>
      </c>
      <c r="BS437" s="129" t="str">
        <f t="shared" si="317"/>
        <v>DISPOSED</v>
      </c>
      <c r="BT437" s="129" t="str">
        <f t="shared" si="318"/>
        <v>Y</v>
      </c>
      <c r="BU437" s="109">
        <f>IFERROR(Q437/R437,BR437)</f>
        <v>0.13953488372093023</v>
      </c>
      <c r="BV437" s="109">
        <f t="shared" si="319"/>
        <v>0.13953488372093023</v>
      </c>
      <c r="BW437" s="109">
        <f t="shared" si="335"/>
        <v>0</v>
      </c>
      <c r="BX437" s="111">
        <f t="shared" si="320"/>
        <v>0</v>
      </c>
      <c r="BY437" s="129">
        <f t="shared" si="321"/>
        <v>-6</v>
      </c>
      <c r="BZ437" s="111">
        <f t="shared" si="322"/>
        <v>0</v>
      </c>
      <c r="CA437" s="138">
        <f t="shared" si="323"/>
        <v>6</v>
      </c>
      <c r="CB437" s="111" t="e">
        <f t="shared" si="332"/>
        <v>#VALUE!</v>
      </c>
      <c r="CC437" s="129">
        <f>M437-I437+1</f>
        <v>6</v>
      </c>
      <c r="CD437" s="111">
        <f>CC437-BF437</f>
        <v>0</v>
      </c>
      <c r="CE437" s="129">
        <f t="shared" si="324"/>
        <v>37</v>
      </c>
      <c r="CG437" s="129" t="str">
        <f t="shared" si="325"/>
        <v>Y</v>
      </c>
      <c r="CI437" s="129" t="str">
        <f t="shared" si="326"/>
        <v>0-10 DAYS</v>
      </c>
      <c r="CJ437" s="137">
        <f t="shared" si="327"/>
        <v>1</v>
      </c>
      <c r="CK437" s="129" t="str">
        <f t="shared" si="328"/>
        <v>Booked</v>
      </c>
    </row>
    <row r="438" spans="1:89" ht="15.75" customHeight="1" x14ac:dyDescent="0.25">
      <c r="A438" s="111">
        <v>2333</v>
      </c>
      <c r="B438" s="128" t="str">
        <f t="shared" si="309"/>
        <v>N</v>
      </c>
      <c r="C438" s="128" t="str">
        <f t="shared" si="310"/>
        <v>N</v>
      </c>
      <c r="D438" s="117">
        <v>1144190</v>
      </c>
      <c r="E438" s="135">
        <f t="shared" si="311"/>
        <v>6</v>
      </c>
      <c r="F438" s="124">
        <v>40997</v>
      </c>
      <c r="G438" s="125">
        <v>41304</v>
      </c>
      <c r="H438" s="117">
        <v>1144190</v>
      </c>
      <c r="I438" s="124">
        <v>40997</v>
      </c>
      <c r="J438" s="124">
        <v>41074</v>
      </c>
      <c r="K438" s="126">
        <v>20000</v>
      </c>
      <c r="L438" s="127" t="s">
        <v>571</v>
      </c>
      <c r="M438" s="125">
        <v>41074</v>
      </c>
      <c r="N438" s="129" t="str">
        <f t="shared" si="341"/>
        <v>Y</v>
      </c>
      <c r="O438" s="128" t="s">
        <v>585</v>
      </c>
      <c r="P438" s="129" t="s">
        <v>39</v>
      </c>
      <c r="Q438" s="111">
        <f t="shared" si="340"/>
        <v>78</v>
      </c>
      <c r="R438" s="111">
        <f t="shared" si="304"/>
        <v>308</v>
      </c>
      <c r="S438" s="129">
        <v>0</v>
      </c>
      <c r="T438" s="129">
        <v>3</v>
      </c>
      <c r="W438" s="111"/>
      <c r="AC438" s="130"/>
      <c r="AD438" s="130">
        <v>25735</v>
      </c>
      <c r="AE438" s="128" t="s">
        <v>46</v>
      </c>
      <c r="AF438" s="128" t="s">
        <v>69</v>
      </c>
      <c r="AG438" s="128" t="s">
        <v>874</v>
      </c>
      <c r="AH438" s="108" t="s">
        <v>31</v>
      </c>
      <c r="AI438" s="128" t="s">
        <v>70</v>
      </c>
      <c r="AJ438" s="129" t="s">
        <v>31</v>
      </c>
      <c r="AK438" s="129">
        <v>13</v>
      </c>
      <c r="AL438" s="3" t="s">
        <v>362</v>
      </c>
      <c r="AM438" s="117">
        <v>2</v>
      </c>
      <c r="AP438" s="129" t="s">
        <v>66</v>
      </c>
      <c r="AR438" s="128" t="s">
        <v>67</v>
      </c>
      <c r="AS438" s="129" t="s">
        <v>68</v>
      </c>
      <c r="BC438" s="129" t="s">
        <v>38</v>
      </c>
      <c r="BF438" s="111">
        <f t="shared" si="338"/>
        <v>78</v>
      </c>
      <c r="BG438" s="111">
        <f t="shared" si="339"/>
        <v>308</v>
      </c>
      <c r="BH438" s="111">
        <f t="shared" si="305"/>
        <v>308</v>
      </c>
      <c r="BI438" s="111">
        <f t="shared" si="306"/>
        <v>41.699453551912569</v>
      </c>
      <c r="BJ438" s="129">
        <f>(G438-J438)+(M438-G438)</f>
        <v>0</v>
      </c>
      <c r="BK438" s="129">
        <f t="shared" si="307"/>
        <v>-230</v>
      </c>
      <c r="BL438" s="129" t="str">
        <f t="shared" si="308"/>
        <v>CONVICTION</v>
      </c>
      <c r="BM438" s="129" t="s">
        <v>76</v>
      </c>
      <c r="BN438" s="129" t="s">
        <v>88</v>
      </c>
      <c r="BP438" s="137" t="str">
        <f t="shared" si="314"/>
        <v/>
      </c>
      <c r="BQ438" s="128" t="str">
        <f t="shared" si="315"/>
        <v>Y</v>
      </c>
      <c r="BR438" s="129" t="str">
        <f>IF(J438&lt;G438,"ON BOND",0)</f>
        <v>ON BOND</v>
      </c>
      <c r="BS438" s="129" t="str">
        <f t="shared" si="317"/>
        <v>DISPOSED</v>
      </c>
      <c r="BT438" s="129" t="str">
        <f t="shared" si="318"/>
        <v>N</v>
      </c>
      <c r="BU438" s="109">
        <f>IFERROR(Q438/R438,BR438)</f>
        <v>0.25324675324675322</v>
      </c>
      <c r="BV438" s="109">
        <f t="shared" si="319"/>
        <v>0.25324675324675322</v>
      </c>
      <c r="BW438" s="109">
        <f t="shared" si="335"/>
        <v>0</v>
      </c>
      <c r="BX438" s="111">
        <f t="shared" si="320"/>
        <v>0</v>
      </c>
      <c r="BY438" s="129">
        <f t="shared" si="321"/>
        <v>-78</v>
      </c>
      <c r="BZ438" s="111">
        <f t="shared" si="322"/>
        <v>0</v>
      </c>
      <c r="CA438" s="138">
        <f t="shared" si="323"/>
        <v>78</v>
      </c>
      <c r="CB438" s="111" t="e">
        <f t="shared" si="332"/>
        <v>#VALUE!</v>
      </c>
      <c r="CC438" s="129">
        <f>M438-I438+1</f>
        <v>78</v>
      </c>
      <c r="CD438" s="111">
        <f>CC438-BF438</f>
        <v>0</v>
      </c>
      <c r="CE438" s="129">
        <f t="shared" si="324"/>
        <v>230</v>
      </c>
      <c r="CG438" s="129" t="str">
        <f t="shared" si="325"/>
        <v>Y</v>
      </c>
      <c r="CI438" s="129" t="str">
        <f t="shared" si="326"/>
        <v>61-90 DAYS</v>
      </c>
      <c r="CJ438" s="137">
        <f t="shared" si="327"/>
        <v>4</v>
      </c>
      <c r="CK438" s="129" t="str">
        <f t="shared" si="328"/>
        <v>Booked</v>
      </c>
    </row>
    <row r="439" spans="1:89" ht="15.75" customHeight="1" x14ac:dyDescent="0.25">
      <c r="A439" s="111">
        <v>1332</v>
      </c>
      <c r="B439" s="128" t="str">
        <f t="shared" si="309"/>
        <v>N</v>
      </c>
      <c r="C439" s="128" t="str">
        <f t="shared" si="310"/>
        <v>N</v>
      </c>
      <c r="D439" s="117">
        <v>1146280</v>
      </c>
      <c r="E439" s="135">
        <f t="shared" si="311"/>
        <v>5</v>
      </c>
      <c r="F439" s="124">
        <v>40957</v>
      </c>
      <c r="G439" s="125">
        <v>40959</v>
      </c>
      <c r="H439" s="117">
        <v>1146280</v>
      </c>
      <c r="I439" s="124">
        <v>40957</v>
      </c>
      <c r="J439" s="124">
        <v>40959</v>
      </c>
      <c r="K439" s="126">
        <v>15000</v>
      </c>
      <c r="L439" s="127" t="s">
        <v>571</v>
      </c>
      <c r="N439" s="129" t="str">
        <f t="shared" si="341"/>
        <v>N</v>
      </c>
      <c r="O439" s="128" t="s">
        <v>917</v>
      </c>
      <c r="P439" s="129" t="s">
        <v>39</v>
      </c>
      <c r="Q439" s="111">
        <f t="shared" si="340"/>
        <v>3</v>
      </c>
      <c r="R439" s="111">
        <f t="shared" si="304"/>
        <v>3</v>
      </c>
      <c r="S439" s="129">
        <v>5</v>
      </c>
      <c r="T439" s="129">
        <v>1</v>
      </c>
      <c r="U439" s="129">
        <v>5</v>
      </c>
      <c r="W439" s="111"/>
      <c r="AC439" s="130"/>
      <c r="AD439" s="130">
        <v>26586</v>
      </c>
      <c r="AE439" s="128" t="s">
        <v>32</v>
      </c>
      <c r="AF439" s="128" t="s">
        <v>33</v>
      </c>
      <c r="AG439" s="128" t="s">
        <v>872</v>
      </c>
      <c r="AH439" s="108" t="s">
        <v>31</v>
      </c>
      <c r="AI439" s="128" t="s">
        <v>62</v>
      </c>
      <c r="AJ439" s="129" t="s">
        <v>89</v>
      </c>
      <c r="AK439" s="129">
        <v>1</v>
      </c>
      <c r="AL439" s="3" t="s">
        <v>992</v>
      </c>
      <c r="AN439" s="117">
        <v>9</v>
      </c>
      <c r="AP439" s="129" t="s">
        <v>43</v>
      </c>
      <c r="AR439" s="128" t="s">
        <v>44</v>
      </c>
      <c r="AS439" s="129" t="s">
        <v>45</v>
      </c>
      <c r="BC439" s="129" t="s">
        <v>38</v>
      </c>
      <c r="BF439" s="111">
        <f t="shared" si="338"/>
        <v>3</v>
      </c>
      <c r="BG439" s="111">
        <f t="shared" si="339"/>
        <v>3</v>
      </c>
      <c r="BH439" s="111">
        <f t="shared" si="305"/>
        <v>3</v>
      </c>
      <c r="BI439" s="111">
        <f t="shared" si="306"/>
        <v>39.265027322404372</v>
      </c>
      <c r="BJ439" s="129">
        <f t="shared" si="312"/>
        <v>0</v>
      </c>
      <c r="BK439" s="129">
        <f t="shared" si="307"/>
        <v>0</v>
      </c>
      <c r="BL439" s="129" t="str">
        <f t="shared" si="308"/>
        <v>CONVICTION</v>
      </c>
      <c r="BM439" s="129" t="str">
        <f t="shared" si="313"/>
        <v>NONE</v>
      </c>
      <c r="BN439" s="129" t="s">
        <v>566</v>
      </c>
      <c r="BP439" s="137" t="str">
        <f t="shared" si="314"/>
        <v>CONVICTION</v>
      </c>
      <c r="BQ439" s="128" t="str">
        <f t="shared" si="315"/>
        <v>Y</v>
      </c>
      <c r="BR439" s="129" t="str">
        <f t="shared" si="316"/>
        <v>DETAINED</v>
      </c>
      <c r="BS439" s="129" t="str">
        <f t="shared" si="317"/>
        <v>DISPOSED</v>
      </c>
      <c r="BT439" s="129" t="str">
        <f t="shared" si="318"/>
        <v>Y</v>
      </c>
      <c r="BU439" s="109">
        <f t="shared" si="329"/>
        <v>1</v>
      </c>
      <c r="BV439" s="109">
        <f t="shared" si="319"/>
        <v>1</v>
      </c>
      <c r="BW439" s="109">
        <f t="shared" si="335"/>
        <v>0</v>
      </c>
      <c r="BX439" s="111">
        <f t="shared" si="320"/>
        <v>0</v>
      </c>
      <c r="BY439" s="129">
        <f t="shared" si="321"/>
        <v>-3</v>
      </c>
      <c r="BZ439" s="111">
        <f t="shared" si="322"/>
        <v>0</v>
      </c>
      <c r="CA439" s="138">
        <f t="shared" si="323"/>
        <v>3</v>
      </c>
      <c r="CB439" s="111" t="e">
        <f t="shared" si="332"/>
        <v>#VALUE!</v>
      </c>
      <c r="CC439" s="129">
        <f t="shared" ref="CC439:CC444" si="342">G439-I439+1</f>
        <v>3</v>
      </c>
      <c r="CD439" s="129">
        <f t="shared" ref="CD439:CD444" si="343">G439-J439</f>
        <v>0</v>
      </c>
      <c r="CE439" s="129">
        <f t="shared" si="324"/>
        <v>0</v>
      </c>
      <c r="CG439" s="129" t="str">
        <f t="shared" si="325"/>
        <v>Y</v>
      </c>
      <c r="CI439" s="129" t="str">
        <f t="shared" si="326"/>
        <v>0-10 DAYS</v>
      </c>
      <c r="CJ439" s="137">
        <f t="shared" si="327"/>
        <v>1</v>
      </c>
      <c r="CK439" s="129" t="str">
        <f t="shared" si="328"/>
        <v>Booked</v>
      </c>
    </row>
    <row r="440" spans="1:89" ht="15.75" customHeight="1" x14ac:dyDescent="0.25">
      <c r="A440" s="111">
        <v>1186</v>
      </c>
      <c r="B440" s="128" t="str">
        <f t="shared" si="309"/>
        <v>N</v>
      </c>
      <c r="C440" s="128" t="str">
        <f t="shared" si="310"/>
        <v>N</v>
      </c>
      <c r="D440" s="117">
        <v>1150175</v>
      </c>
      <c r="E440" s="135">
        <f t="shared" si="311"/>
        <v>6</v>
      </c>
      <c r="F440" s="124">
        <v>40952</v>
      </c>
      <c r="G440" s="125">
        <v>40955</v>
      </c>
      <c r="H440" s="117">
        <v>1150175</v>
      </c>
      <c r="I440" s="124">
        <v>40954</v>
      </c>
      <c r="J440" s="124">
        <v>40955</v>
      </c>
      <c r="K440" s="126">
        <v>30000</v>
      </c>
      <c r="L440" s="129" t="s">
        <v>572</v>
      </c>
      <c r="N440" s="129" t="str">
        <f t="shared" si="341"/>
        <v>N</v>
      </c>
      <c r="O440" s="128" t="s">
        <v>917</v>
      </c>
      <c r="P440" s="129" t="s">
        <v>39</v>
      </c>
      <c r="Q440" s="111">
        <f t="shared" si="340"/>
        <v>2</v>
      </c>
      <c r="R440" s="111">
        <f t="shared" si="304"/>
        <v>4</v>
      </c>
      <c r="S440" s="129">
        <v>7</v>
      </c>
      <c r="T440" s="129">
        <v>8</v>
      </c>
      <c r="U440" s="129">
        <v>6</v>
      </c>
      <c r="W440" s="111"/>
      <c r="AC440" s="130"/>
      <c r="AD440" s="130">
        <v>26306</v>
      </c>
      <c r="AE440" s="128" t="s">
        <v>32</v>
      </c>
      <c r="AF440" s="128" t="s">
        <v>69</v>
      </c>
      <c r="AG440" s="128" t="s">
        <v>874</v>
      </c>
      <c r="AH440" s="108" t="s">
        <v>31</v>
      </c>
      <c r="AI440" s="128" t="s">
        <v>47</v>
      </c>
      <c r="AJ440" s="129" t="s">
        <v>89</v>
      </c>
      <c r="AK440" s="129">
        <v>2</v>
      </c>
      <c r="AL440" s="3" t="s">
        <v>362</v>
      </c>
      <c r="AM440" s="117">
        <v>7</v>
      </c>
      <c r="AP440" s="129" t="s">
        <v>107</v>
      </c>
      <c r="AR440" s="128" t="s">
        <v>44</v>
      </c>
      <c r="AS440" s="129" t="s">
        <v>57</v>
      </c>
      <c r="BC440" s="129" t="s">
        <v>38</v>
      </c>
      <c r="BF440" s="111">
        <f t="shared" si="338"/>
        <v>2</v>
      </c>
      <c r="BG440" s="111">
        <f t="shared" si="339"/>
        <v>2</v>
      </c>
      <c r="BH440" s="111">
        <f t="shared" si="305"/>
        <v>4</v>
      </c>
      <c r="BI440" s="111">
        <f t="shared" si="306"/>
        <v>40.016393442622949</v>
      </c>
      <c r="BJ440" s="129">
        <f t="shared" si="312"/>
        <v>0</v>
      </c>
      <c r="BK440" s="129">
        <f t="shared" si="307"/>
        <v>0</v>
      </c>
      <c r="BL440" s="129" t="str">
        <f t="shared" si="308"/>
        <v>CONVICTION</v>
      </c>
      <c r="BM440" s="129" t="str">
        <f t="shared" si="313"/>
        <v>NONE</v>
      </c>
      <c r="BN440" s="129" t="s">
        <v>566</v>
      </c>
      <c r="BP440" s="137" t="str">
        <f t="shared" si="314"/>
        <v>CONVICTION</v>
      </c>
      <c r="BQ440" s="128" t="str">
        <f t="shared" si="315"/>
        <v>Y</v>
      </c>
      <c r="BR440" s="129" t="str">
        <f t="shared" si="316"/>
        <v>DETAINED</v>
      </c>
      <c r="BS440" s="129" t="str">
        <f t="shared" si="317"/>
        <v>DISPOSED</v>
      </c>
      <c r="BT440" s="129" t="str">
        <f t="shared" si="318"/>
        <v>Y</v>
      </c>
      <c r="BU440" s="109">
        <f t="shared" si="329"/>
        <v>0.5</v>
      </c>
      <c r="BV440" s="109">
        <f t="shared" si="319"/>
        <v>1</v>
      </c>
      <c r="BW440" s="109">
        <f t="shared" si="335"/>
        <v>0.5</v>
      </c>
      <c r="BX440" s="111">
        <f t="shared" si="320"/>
        <v>0</v>
      </c>
      <c r="BY440" s="129">
        <f t="shared" si="321"/>
        <v>-2</v>
      </c>
      <c r="BZ440" s="111">
        <f t="shared" si="322"/>
        <v>0</v>
      </c>
      <c r="CA440" s="138">
        <f t="shared" si="323"/>
        <v>2</v>
      </c>
      <c r="CB440" s="111" t="e">
        <f t="shared" si="332"/>
        <v>#VALUE!</v>
      </c>
      <c r="CC440" s="129">
        <f t="shared" si="342"/>
        <v>2</v>
      </c>
      <c r="CD440" s="129">
        <f t="shared" si="343"/>
        <v>0</v>
      </c>
      <c r="CE440" s="129">
        <f t="shared" si="324"/>
        <v>0</v>
      </c>
      <c r="CG440" s="129" t="str">
        <f t="shared" si="325"/>
        <v>Y</v>
      </c>
      <c r="CI440" s="129" t="str">
        <f t="shared" si="326"/>
        <v>0-10 DAYS</v>
      </c>
      <c r="CJ440" s="137">
        <f t="shared" si="327"/>
        <v>1</v>
      </c>
      <c r="CK440" s="129" t="str">
        <f t="shared" si="328"/>
        <v>Booked</v>
      </c>
    </row>
    <row r="441" spans="1:89" ht="15" customHeight="1" x14ac:dyDescent="0.25">
      <c r="A441" s="111">
        <v>2136</v>
      </c>
      <c r="B441" s="128" t="str">
        <f t="shared" si="309"/>
        <v>N</v>
      </c>
      <c r="C441" s="128" t="str">
        <f t="shared" si="310"/>
        <v>N</v>
      </c>
      <c r="D441" s="117">
        <v>1150549</v>
      </c>
      <c r="E441" s="135">
        <f t="shared" si="311"/>
        <v>6</v>
      </c>
      <c r="F441" s="124">
        <v>40989</v>
      </c>
      <c r="G441" s="125">
        <v>41052</v>
      </c>
      <c r="H441" s="117">
        <v>1150549</v>
      </c>
      <c r="I441" s="124">
        <v>40989</v>
      </c>
      <c r="J441" s="124">
        <v>41052</v>
      </c>
      <c r="K441" s="126" t="s">
        <v>564</v>
      </c>
      <c r="L441" s="127" t="s">
        <v>564</v>
      </c>
      <c r="N441" s="129" t="s">
        <v>566</v>
      </c>
      <c r="O441" s="128" t="s">
        <v>917</v>
      </c>
      <c r="P441" s="129" t="s">
        <v>39</v>
      </c>
      <c r="Q441" s="111">
        <f t="shared" si="340"/>
        <v>64</v>
      </c>
      <c r="R441" s="111">
        <f t="shared" si="304"/>
        <v>64</v>
      </c>
      <c r="S441" s="129">
        <v>4</v>
      </c>
      <c r="T441" s="129">
        <v>6</v>
      </c>
      <c r="U441" s="129">
        <v>3</v>
      </c>
      <c r="W441" s="111"/>
      <c r="AC441" s="130"/>
      <c r="AD441" s="130">
        <v>27381</v>
      </c>
      <c r="AE441" s="128" t="s">
        <v>32</v>
      </c>
      <c r="AF441" s="128" t="s">
        <v>33</v>
      </c>
      <c r="AG441" s="128" t="s">
        <v>872</v>
      </c>
      <c r="AH441" s="108" t="s">
        <v>58</v>
      </c>
      <c r="AI441" s="128" t="s">
        <v>34</v>
      </c>
      <c r="AJ441" s="129" t="s">
        <v>89</v>
      </c>
      <c r="AK441" s="129">
        <v>6</v>
      </c>
      <c r="AL441" s="3" t="s">
        <v>362</v>
      </c>
      <c r="AM441" s="117">
        <v>2</v>
      </c>
      <c r="AP441" s="129" t="s">
        <v>101</v>
      </c>
      <c r="AR441" s="128" t="s">
        <v>67</v>
      </c>
      <c r="AS441" s="129" t="s">
        <v>64</v>
      </c>
      <c r="BC441" s="129" t="s">
        <v>52</v>
      </c>
      <c r="BF441" s="111">
        <f t="shared" si="338"/>
        <v>64</v>
      </c>
      <c r="BG441" s="111">
        <f t="shared" si="339"/>
        <v>64</v>
      </c>
      <c r="BH441" s="111">
        <f t="shared" si="305"/>
        <v>64</v>
      </c>
      <c r="BI441" s="111">
        <f t="shared" si="306"/>
        <v>37.180327868852459</v>
      </c>
      <c r="BJ441" s="129">
        <f t="shared" si="312"/>
        <v>0</v>
      </c>
      <c r="BK441" s="129">
        <f t="shared" si="307"/>
        <v>0</v>
      </c>
      <c r="BL441" s="129" t="str">
        <f t="shared" si="308"/>
        <v>CONVICTION</v>
      </c>
      <c r="BM441" s="129" t="str">
        <f t="shared" si="313"/>
        <v>NONE</v>
      </c>
      <c r="BN441" s="129" t="s">
        <v>566</v>
      </c>
      <c r="BP441" s="137" t="str">
        <f t="shared" si="314"/>
        <v>CONVICTION</v>
      </c>
      <c r="BQ441" s="128" t="str">
        <f t="shared" si="315"/>
        <v>Y</v>
      </c>
      <c r="BR441" s="129" t="str">
        <f t="shared" si="316"/>
        <v>DETAINED</v>
      </c>
      <c r="BS441" s="129" t="str">
        <f t="shared" si="317"/>
        <v>DISPOSED</v>
      </c>
      <c r="BT441" s="129" t="str">
        <f t="shared" si="318"/>
        <v>Y</v>
      </c>
      <c r="BU441" s="109">
        <f t="shared" si="329"/>
        <v>1</v>
      </c>
      <c r="BV441" s="109">
        <f t="shared" si="319"/>
        <v>1</v>
      </c>
      <c r="BW441" s="109">
        <f t="shared" si="335"/>
        <v>0</v>
      </c>
      <c r="BX441" s="111">
        <f t="shared" si="320"/>
        <v>0</v>
      </c>
      <c r="BY441" s="129">
        <f t="shared" si="321"/>
        <v>-64</v>
      </c>
      <c r="BZ441" s="111">
        <f t="shared" si="322"/>
        <v>0</v>
      </c>
      <c r="CA441" s="138">
        <f t="shared" si="323"/>
        <v>64</v>
      </c>
      <c r="CB441" s="111" t="e">
        <f t="shared" si="332"/>
        <v>#VALUE!</v>
      </c>
      <c r="CC441" s="129">
        <f t="shared" si="342"/>
        <v>64</v>
      </c>
      <c r="CD441" s="129">
        <f t="shared" si="343"/>
        <v>0</v>
      </c>
      <c r="CE441" s="129">
        <f t="shared" si="324"/>
        <v>0</v>
      </c>
      <c r="CG441" s="129" t="str">
        <f t="shared" si="325"/>
        <v>Y</v>
      </c>
      <c r="CI441" s="129" t="str">
        <f t="shared" si="326"/>
        <v>61-90 DAYS</v>
      </c>
      <c r="CJ441" s="137">
        <f t="shared" si="327"/>
        <v>4</v>
      </c>
      <c r="CK441" s="129" t="str">
        <f t="shared" si="328"/>
        <v>Booked</v>
      </c>
    </row>
    <row r="442" spans="1:89" ht="15" customHeight="1" x14ac:dyDescent="0.25">
      <c r="A442" s="111">
        <v>664</v>
      </c>
      <c r="B442" s="128" t="str">
        <f t="shared" si="309"/>
        <v>N</v>
      </c>
      <c r="C442" s="128" t="str">
        <f t="shared" si="310"/>
        <v>N</v>
      </c>
      <c r="D442" s="117">
        <v>1150903</v>
      </c>
      <c r="E442" s="135">
        <f t="shared" si="311"/>
        <v>5</v>
      </c>
      <c r="F442" s="124">
        <v>40935</v>
      </c>
      <c r="G442" s="125">
        <v>40938</v>
      </c>
      <c r="H442" s="117">
        <v>1150903</v>
      </c>
      <c r="I442" s="124">
        <v>40935</v>
      </c>
      <c r="J442" s="124">
        <v>40938</v>
      </c>
      <c r="K442" s="126">
        <v>15000</v>
      </c>
      <c r="L442" s="127" t="s">
        <v>571</v>
      </c>
      <c r="N442" s="129" t="str">
        <f>IF(M442&gt;1/1/1,"Y","N")</f>
        <v>N</v>
      </c>
      <c r="O442" s="128" t="s">
        <v>917</v>
      </c>
      <c r="P442" s="129" t="s">
        <v>39</v>
      </c>
      <c r="Q442" s="111">
        <f t="shared" si="340"/>
        <v>4</v>
      </c>
      <c r="R442" s="111">
        <f t="shared" si="304"/>
        <v>4</v>
      </c>
      <c r="S442" s="129">
        <v>2</v>
      </c>
      <c r="T442" s="129">
        <v>3</v>
      </c>
      <c r="U442" s="129">
        <v>2</v>
      </c>
      <c r="W442" s="111"/>
      <c r="AC442" s="130"/>
      <c r="AD442" s="130">
        <v>25818</v>
      </c>
      <c r="AE442" s="128" t="s">
        <v>32</v>
      </c>
      <c r="AF442" s="128" t="s">
        <v>33</v>
      </c>
      <c r="AG442" s="128" t="s">
        <v>872</v>
      </c>
      <c r="AH442" s="108" t="s">
        <v>58</v>
      </c>
      <c r="AI442" s="128" t="s">
        <v>47</v>
      </c>
      <c r="AJ442" s="129" t="s">
        <v>89</v>
      </c>
      <c r="AK442" s="129">
        <v>1</v>
      </c>
      <c r="AL442" s="3" t="s">
        <v>992</v>
      </c>
      <c r="AN442" s="117">
        <v>6</v>
      </c>
      <c r="AP442" s="129" t="s">
        <v>43</v>
      </c>
      <c r="AR442" s="128" t="s">
        <v>44</v>
      </c>
      <c r="AS442" s="129" t="s">
        <v>45</v>
      </c>
      <c r="BC442" s="129" t="s">
        <v>38</v>
      </c>
      <c r="BF442" s="111">
        <f t="shared" si="338"/>
        <v>4</v>
      </c>
      <c r="BG442" s="111">
        <f t="shared" si="339"/>
        <v>4</v>
      </c>
      <c r="BH442" s="111">
        <f t="shared" si="305"/>
        <v>4</v>
      </c>
      <c r="BI442" s="111">
        <f t="shared" si="306"/>
        <v>41.303278688524593</v>
      </c>
      <c r="BJ442" s="129">
        <f t="shared" si="312"/>
        <v>0</v>
      </c>
      <c r="BK442" s="129">
        <f t="shared" si="307"/>
        <v>0</v>
      </c>
      <c r="BL442" s="129" t="str">
        <f t="shared" si="308"/>
        <v>CONVICTION</v>
      </c>
      <c r="BM442" s="129" t="str">
        <f t="shared" si="313"/>
        <v>NONE</v>
      </c>
      <c r="BN442" s="129" t="s">
        <v>566</v>
      </c>
      <c r="BP442" s="137" t="str">
        <f t="shared" si="314"/>
        <v>CONVICTION</v>
      </c>
      <c r="BQ442" s="128" t="str">
        <f t="shared" si="315"/>
        <v>Y</v>
      </c>
      <c r="BR442" s="129" t="str">
        <f t="shared" si="316"/>
        <v>DETAINED</v>
      </c>
      <c r="BS442" s="129" t="str">
        <f t="shared" si="317"/>
        <v>DISPOSED</v>
      </c>
      <c r="BT442" s="129" t="str">
        <f t="shared" si="318"/>
        <v>Y</v>
      </c>
      <c r="BU442" s="109">
        <f t="shared" si="329"/>
        <v>1</v>
      </c>
      <c r="BV442" s="109">
        <f t="shared" si="319"/>
        <v>1</v>
      </c>
      <c r="BW442" s="109">
        <f t="shared" si="335"/>
        <v>0</v>
      </c>
      <c r="BX442" s="111">
        <f t="shared" si="320"/>
        <v>0</v>
      </c>
      <c r="BY442" s="129">
        <f t="shared" si="321"/>
        <v>-4</v>
      </c>
      <c r="BZ442" s="111">
        <f t="shared" si="322"/>
        <v>0</v>
      </c>
      <c r="CA442" s="138">
        <f t="shared" si="323"/>
        <v>4</v>
      </c>
      <c r="CB442" s="111" t="e">
        <f t="shared" si="332"/>
        <v>#VALUE!</v>
      </c>
      <c r="CC442" s="129">
        <f t="shared" si="342"/>
        <v>4</v>
      </c>
      <c r="CD442" s="129">
        <f t="shared" si="343"/>
        <v>0</v>
      </c>
      <c r="CE442" s="129">
        <f t="shared" si="324"/>
        <v>0</v>
      </c>
      <c r="CG442" s="129" t="str">
        <f t="shared" si="325"/>
        <v>Y</v>
      </c>
      <c r="CI442" s="129" t="str">
        <f t="shared" si="326"/>
        <v>0-10 DAYS</v>
      </c>
      <c r="CJ442" s="137">
        <f t="shared" si="327"/>
        <v>1</v>
      </c>
      <c r="CK442" s="129" t="str">
        <f t="shared" si="328"/>
        <v>Booked</v>
      </c>
    </row>
    <row r="443" spans="1:89" ht="15" customHeight="1" x14ac:dyDescent="0.25">
      <c r="A443" s="111">
        <v>1205</v>
      </c>
      <c r="B443" s="128" t="str">
        <f t="shared" si="309"/>
        <v>N</v>
      </c>
      <c r="C443" s="128" t="str">
        <f t="shared" si="310"/>
        <v>N</v>
      </c>
      <c r="D443" s="117">
        <v>1151758</v>
      </c>
      <c r="E443" s="135">
        <f t="shared" si="311"/>
        <v>5</v>
      </c>
      <c r="F443" s="124">
        <v>40953</v>
      </c>
      <c r="G443" s="125">
        <v>40961</v>
      </c>
      <c r="H443" s="117">
        <v>1151758</v>
      </c>
      <c r="I443" s="124">
        <v>40953</v>
      </c>
      <c r="J443" s="124">
        <v>40961</v>
      </c>
      <c r="K443" s="126">
        <v>15000</v>
      </c>
      <c r="L443" s="127" t="s">
        <v>571</v>
      </c>
      <c r="N443" s="129" t="str">
        <f>IF(M443&gt;1/1/1,"Y","N")</f>
        <v>N</v>
      </c>
      <c r="O443" s="128" t="s">
        <v>917</v>
      </c>
      <c r="P443" s="129" t="s">
        <v>39</v>
      </c>
      <c r="Q443" s="111">
        <f t="shared" si="340"/>
        <v>9</v>
      </c>
      <c r="R443" s="111">
        <f t="shared" si="304"/>
        <v>9</v>
      </c>
      <c r="S443" s="129">
        <v>3</v>
      </c>
      <c r="T443" s="129">
        <v>1</v>
      </c>
      <c r="U443" s="129">
        <v>2</v>
      </c>
      <c r="W443" s="111"/>
      <c r="AC443" s="130"/>
      <c r="AD443" s="130">
        <v>21451</v>
      </c>
      <c r="AE443" s="128" t="s">
        <v>32</v>
      </c>
      <c r="AF443" s="128" t="s">
        <v>33</v>
      </c>
      <c r="AG443" s="128" t="s">
        <v>872</v>
      </c>
      <c r="AH443" s="108" t="s">
        <v>31</v>
      </c>
      <c r="AI443" s="128" t="s">
        <v>95</v>
      </c>
      <c r="AJ443" s="129" t="s">
        <v>89</v>
      </c>
      <c r="AK443" s="129">
        <v>2</v>
      </c>
      <c r="AL443" s="3" t="s">
        <v>992</v>
      </c>
      <c r="AN443" s="117">
        <v>8</v>
      </c>
      <c r="AP443" s="129" t="s">
        <v>127</v>
      </c>
      <c r="AR443" s="128" t="s">
        <v>44</v>
      </c>
      <c r="AS443" s="129" t="s">
        <v>82</v>
      </c>
      <c r="BC443" s="129" t="s">
        <v>38</v>
      </c>
      <c r="BF443" s="111">
        <f t="shared" si="338"/>
        <v>9</v>
      </c>
      <c r="BG443" s="111">
        <f t="shared" si="339"/>
        <v>9</v>
      </c>
      <c r="BH443" s="111">
        <f t="shared" si="305"/>
        <v>9</v>
      </c>
      <c r="BI443" s="111">
        <f t="shared" si="306"/>
        <v>53.284153005464482</v>
      </c>
      <c r="BJ443" s="129">
        <f t="shared" si="312"/>
        <v>0</v>
      </c>
      <c r="BK443" s="129">
        <f t="shared" si="307"/>
        <v>0</v>
      </c>
      <c r="BL443" s="129" t="str">
        <f t="shared" si="308"/>
        <v>CONVICTION</v>
      </c>
      <c r="BM443" s="129" t="str">
        <f t="shared" si="313"/>
        <v>NONE</v>
      </c>
      <c r="BN443" s="129" t="s">
        <v>566</v>
      </c>
      <c r="BP443" s="137" t="str">
        <f t="shared" si="314"/>
        <v>CONVICTION</v>
      </c>
      <c r="BQ443" s="128" t="str">
        <f t="shared" si="315"/>
        <v>Y</v>
      </c>
      <c r="BR443" s="129" t="str">
        <f t="shared" si="316"/>
        <v>DETAINED</v>
      </c>
      <c r="BS443" s="129" t="str">
        <f t="shared" si="317"/>
        <v>DISPOSED</v>
      </c>
      <c r="BT443" s="129" t="str">
        <f t="shared" si="318"/>
        <v>Y</v>
      </c>
      <c r="BU443" s="109">
        <f t="shared" si="329"/>
        <v>1</v>
      </c>
      <c r="BV443" s="109">
        <f t="shared" si="319"/>
        <v>1</v>
      </c>
      <c r="BW443" s="109">
        <f t="shared" si="335"/>
        <v>0</v>
      </c>
      <c r="BX443" s="111">
        <f t="shared" si="320"/>
        <v>0</v>
      </c>
      <c r="BY443" s="129">
        <f t="shared" si="321"/>
        <v>-9</v>
      </c>
      <c r="BZ443" s="111">
        <f t="shared" si="322"/>
        <v>0</v>
      </c>
      <c r="CA443" s="138">
        <f t="shared" si="323"/>
        <v>9</v>
      </c>
      <c r="CB443" s="111" t="e">
        <f t="shared" si="332"/>
        <v>#VALUE!</v>
      </c>
      <c r="CC443" s="129">
        <f t="shared" si="342"/>
        <v>9</v>
      </c>
      <c r="CD443" s="129">
        <f t="shared" si="343"/>
        <v>0</v>
      </c>
      <c r="CE443" s="129">
        <f t="shared" si="324"/>
        <v>0</v>
      </c>
      <c r="CG443" s="129" t="str">
        <f t="shared" si="325"/>
        <v>Y</v>
      </c>
      <c r="CI443" s="129" t="str">
        <f t="shared" si="326"/>
        <v>0-10 DAYS</v>
      </c>
      <c r="CJ443" s="137">
        <f t="shared" si="327"/>
        <v>1</v>
      </c>
      <c r="CK443" s="129" t="str">
        <f t="shared" si="328"/>
        <v>Booked</v>
      </c>
    </row>
    <row r="444" spans="1:89" ht="15.75" customHeight="1" x14ac:dyDescent="0.25">
      <c r="A444" s="111">
        <v>1932</v>
      </c>
      <c r="B444" s="128" t="str">
        <f t="shared" si="309"/>
        <v>N</v>
      </c>
      <c r="C444" s="128" t="str">
        <f t="shared" si="310"/>
        <v>N</v>
      </c>
      <c r="D444" s="117">
        <v>1152798</v>
      </c>
      <c r="E444" s="135">
        <f t="shared" si="311"/>
        <v>6</v>
      </c>
      <c r="F444" s="124">
        <v>40981</v>
      </c>
      <c r="G444" s="125">
        <v>40983</v>
      </c>
      <c r="H444" s="117">
        <v>1152798</v>
      </c>
      <c r="I444" s="124">
        <v>40982</v>
      </c>
      <c r="J444" s="124">
        <v>40983</v>
      </c>
      <c r="K444" s="126">
        <v>10000</v>
      </c>
      <c r="L444" s="127" t="s">
        <v>570</v>
      </c>
      <c r="N444" s="129" t="str">
        <f>IF(M444&gt;1/1/1,"Y","N")</f>
        <v>N</v>
      </c>
      <c r="O444" s="128" t="s">
        <v>917</v>
      </c>
      <c r="P444" s="129" t="s">
        <v>39</v>
      </c>
      <c r="Q444" s="111">
        <f t="shared" si="340"/>
        <v>2</v>
      </c>
      <c r="R444" s="111">
        <f t="shared" si="304"/>
        <v>3</v>
      </c>
      <c r="S444" s="129">
        <v>11</v>
      </c>
      <c r="T444" s="129">
        <v>6</v>
      </c>
      <c r="U444" s="129">
        <v>7</v>
      </c>
      <c r="W444" s="111"/>
      <c r="AC444" s="130"/>
      <c r="AD444" s="130">
        <v>25190</v>
      </c>
      <c r="AE444" s="128" t="s">
        <v>32</v>
      </c>
      <c r="AF444" s="128" t="s">
        <v>33</v>
      </c>
      <c r="AG444" s="128" t="s">
        <v>872</v>
      </c>
      <c r="AH444" s="108" t="s">
        <v>58</v>
      </c>
      <c r="AI444" s="128" t="s">
        <v>114</v>
      </c>
      <c r="AJ444" s="129" t="s">
        <v>89</v>
      </c>
      <c r="AK444" s="129">
        <v>1</v>
      </c>
      <c r="AL444" s="3" t="s">
        <v>362</v>
      </c>
      <c r="AM444" s="117">
        <v>6</v>
      </c>
      <c r="AP444" s="129" t="s">
        <v>109</v>
      </c>
      <c r="AR444" s="128" t="s">
        <v>67</v>
      </c>
      <c r="AS444" s="129" t="s">
        <v>61</v>
      </c>
      <c r="BC444" s="129" t="s">
        <v>99</v>
      </c>
      <c r="BF444" s="111">
        <f t="shared" si="338"/>
        <v>2</v>
      </c>
      <c r="BG444" s="111">
        <f t="shared" si="339"/>
        <v>2</v>
      </c>
      <c r="BH444" s="111">
        <f t="shared" si="305"/>
        <v>3</v>
      </c>
      <c r="BI444" s="111">
        <f t="shared" si="306"/>
        <v>43.144808743169399</v>
      </c>
      <c r="BJ444" s="129">
        <f t="shared" si="312"/>
        <v>0</v>
      </c>
      <c r="BK444" s="129">
        <f t="shared" si="307"/>
        <v>0</v>
      </c>
      <c r="BL444" s="129" t="str">
        <f t="shared" si="308"/>
        <v>CONVICTION</v>
      </c>
      <c r="BM444" s="129" t="str">
        <f t="shared" si="313"/>
        <v>NONE</v>
      </c>
      <c r="BN444" s="129" t="s">
        <v>566</v>
      </c>
      <c r="BP444" s="137" t="str">
        <f t="shared" si="314"/>
        <v>CONVICTION</v>
      </c>
      <c r="BQ444" s="128" t="str">
        <f t="shared" si="315"/>
        <v>Y</v>
      </c>
      <c r="BR444" s="129" t="str">
        <f t="shared" si="316"/>
        <v>DETAINED</v>
      </c>
      <c r="BS444" s="129" t="str">
        <f t="shared" si="317"/>
        <v>DISPOSED</v>
      </c>
      <c r="BT444" s="129" t="str">
        <f t="shared" si="318"/>
        <v>Y</v>
      </c>
      <c r="BU444" s="109">
        <f t="shared" si="329"/>
        <v>0.66666666666666663</v>
      </c>
      <c r="BV444" s="109">
        <f t="shared" si="319"/>
        <v>1</v>
      </c>
      <c r="BW444" s="109">
        <f t="shared" si="335"/>
        <v>0.33333333333333337</v>
      </c>
      <c r="BX444" s="111">
        <f t="shared" si="320"/>
        <v>0</v>
      </c>
      <c r="BY444" s="129">
        <f t="shared" si="321"/>
        <v>-2</v>
      </c>
      <c r="BZ444" s="111">
        <f t="shared" si="322"/>
        <v>0</v>
      </c>
      <c r="CA444" s="138">
        <f t="shared" si="323"/>
        <v>2</v>
      </c>
      <c r="CB444" s="111" t="e">
        <f t="shared" si="332"/>
        <v>#VALUE!</v>
      </c>
      <c r="CC444" s="129">
        <f t="shared" si="342"/>
        <v>2</v>
      </c>
      <c r="CD444" s="129">
        <f t="shared" si="343"/>
        <v>0</v>
      </c>
      <c r="CE444" s="129">
        <f t="shared" si="324"/>
        <v>0</v>
      </c>
      <c r="CG444" s="129" t="str">
        <f t="shared" si="325"/>
        <v>Y</v>
      </c>
      <c r="CI444" s="129" t="str">
        <f t="shared" si="326"/>
        <v>0-10 DAYS</v>
      </c>
      <c r="CJ444" s="137">
        <f t="shared" si="327"/>
        <v>1</v>
      </c>
      <c r="CK444" s="129" t="str">
        <f t="shared" si="328"/>
        <v>Booked</v>
      </c>
    </row>
    <row r="445" spans="1:89" ht="15" customHeight="1" x14ac:dyDescent="0.25">
      <c r="A445" s="111">
        <v>2816</v>
      </c>
      <c r="B445" s="128" t="str">
        <f t="shared" si="309"/>
        <v>N</v>
      </c>
      <c r="C445" s="128" t="str">
        <f t="shared" si="310"/>
        <v>N</v>
      </c>
      <c r="D445" s="117">
        <v>1155637</v>
      </c>
      <c r="E445" s="135">
        <f t="shared" si="311"/>
        <v>1</v>
      </c>
      <c r="F445" s="124">
        <v>41012</v>
      </c>
      <c r="G445" s="125">
        <v>41221</v>
      </c>
      <c r="H445" s="117">
        <v>1155637</v>
      </c>
      <c r="I445" s="124" t="s">
        <v>562</v>
      </c>
      <c r="J445" s="124" t="s">
        <v>562</v>
      </c>
      <c r="K445" s="126">
        <v>5000</v>
      </c>
      <c r="L445" s="127" t="s">
        <v>569</v>
      </c>
      <c r="M445" s="125">
        <v>41013</v>
      </c>
      <c r="N445" s="129" t="str">
        <f>IF(M445&gt;1/1/1,"Y",IF(Q445="0","","N"))</f>
        <v>Y</v>
      </c>
      <c r="O445" s="128" t="s">
        <v>76</v>
      </c>
      <c r="P445" s="129" t="s">
        <v>55</v>
      </c>
      <c r="Q445" s="111">
        <f t="shared" si="340"/>
        <v>0</v>
      </c>
      <c r="R445" s="111">
        <f t="shared" si="304"/>
        <v>210</v>
      </c>
      <c r="S445" s="129">
        <v>1</v>
      </c>
      <c r="T445" s="129">
        <v>6</v>
      </c>
      <c r="W445" s="111"/>
      <c r="AC445" s="130"/>
      <c r="AD445" s="130">
        <v>26553</v>
      </c>
      <c r="AE445" s="128" t="s">
        <v>32</v>
      </c>
      <c r="AF445" s="128" t="s">
        <v>69</v>
      </c>
      <c r="AG445" s="128" t="s">
        <v>874</v>
      </c>
      <c r="AH445" s="108" t="s">
        <v>31</v>
      </c>
      <c r="AI445" s="128" t="s">
        <v>83</v>
      </c>
      <c r="AJ445" s="129" t="s">
        <v>55</v>
      </c>
      <c r="AK445" s="129">
        <v>9</v>
      </c>
      <c r="AL445" s="3" t="s">
        <v>55</v>
      </c>
      <c r="AP445" s="129" t="s">
        <v>109</v>
      </c>
      <c r="AR445" s="128" t="s">
        <v>67</v>
      </c>
      <c r="AS445" s="129" t="s">
        <v>61</v>
      </c>
      <c r="BC445" s="129" t="s">
        <v>52</v>
      </c>
      <c r="BF445" s="111">
        <v>0</v>
      </c>
      <c r="BG445" s="111">
        <v>0</v>
      </c>
      <c r="BH445" s="111">
        <f t="shared" si="305"/>
        <v>210</v>
      </c>
      <c r="BI445" s="111">
        <f t="shared" si="306"/>
        <v>39.505464480874316</v>
      </c>
      <c r="BJ445" s="129" t="e">
        <f>(G445-J445)+(M445-G445)</f>
        <v>#VALUE!</v>
      </c>
      <c r="BK445" s="129" t="e">
        <f t="shared" si="307"/>
        <v>#VALUE!</v>
      </c>
      <c r="BL445" s="129" t="str">
        <f t="shared" si="308"/>
        <v>NO CONVICTION</v>
      </c>
      <c r="BM445" s="129" t="s">
        <v>76</v>
      </c>
      <c r="BN445" s="129" t="s">
        <v>88</v>
      </c>
      <c r="BP445" s="137" t="str">
        <f t="shared" si="314"/>
        <v>NO CONVICTION</v>
      </c>
      <c r="BQ445" s="128">
        <f t="shared" si="315"/>
        <v>0</v>
      </c>
      <c r="BR445" s="129" t="s">
        <v>575</v>
      </c>
      <c r="BS445" s="129" t="str">
        <f t="shared" si="317"/>
        <v>DISPOSED</v>
      </c>
      <c r="BT445" s="129" t="str">
        <f t="shared" si="318"/>
        <v>Y</v>
      </c>
      <c r="BU445" s="109">
        <f>IFERROR(Q445/R445,BR445)</f>
        <v>0</v>
      </c>
      <c r="BV445" s="109">
        <v>0</v>
      </c>
      <c r="BW445" s="109">
        <f t="shared" si="335"/>
        <v>0</v>
      </c>
      <c r="BX445" s="111">
        <f t="shared" si="320"/>
        <v>0</v>
      </c>
      <c r="BY445" s="129" t="e">
        <f t="shared" si="321"/>
        <v>#VALUE!</v>
      </c>
      <c r="BZ445" s="111" t="e">
        <f t="shared" si="322"/>
        <v>#VALUE!</v>
      </c>
      <c r="CA445" s="138" t="e">
        <f t="shared" si="323"/>
        <v>#VALUE!</v>
      </c>
      <c r="CB445" s="111">
        <v>0</v>
      </c>
      <c r="CC445" s="129">
        <v>0</v>
      </c>
      <c r="CD445" s="111">
        <f>CC445-BF445</f>
        <v>0</v>
      </c>
      <c r="CE445" s="129" t="e">
        <f t="shared" si="324"/>
        <v>#VALUE!</v>
      </c>
      <c r="CG445" s="129" t="str">
        <f t="shared" si="325"/>
        <v>Y</v>
      </c>
      <c r="CI445" s="129" t="str">
        <f t="shared" si="326"/>
        <v>0-10 DAYS</v>
      </c>
      <c r="CJ445" s="137">
        <f t="shared" si="327"/>
        <v>1</v>
      </c>
      <c r="CK445" s="129" t="str">
        <f t="shared" si="328"/>
        <v>Not Booked</v>
      </c>
    </row>
    <row r="446" spans="1:89" ht="15.75" customHeight="1" x14ac:dyDescent="0.25">
      <c r="A446" s="111">
        <v>614</v>
      </c>
      <c r="B446" s="128" t="str">
        <f t="shared" si="309"/>
        <v>N</v>
      </c>
      <c r="C446" s="128" t="str">
        <f t="shared" si="310"/>
        <v>N</v>
      </c>
      <c r="D446" s="117">
        <v>1156075</v>
      </c>
      <c r="E446" s="135">
        <f t="shared" si="311"/>
        <v>3</v>
      </c>
      <c r="F446" s="124">
        <v>40933</v>
      </c>
      <c r="G446" s="125">
        <v>41141</v>
      </c>
      <c r="H446" s="117">
        <v>1156075</v>
      </c>
      <c r="I446" s="124" t="s">
        <v>562</v>
      </c>
      <c r="J446" s="124" t="s">
        <v>562</v>
      </c>
      <c r="K446" s="126">
        <v>10000</v>
      </c>
      <c r="L446" s="127" t="s">
        <v>570</v>
      </c>
      <c r="M446" s="125">
        <v>40934</v>
      </c>
      <c r="N446" s="129" t="str">
        <f>IF(M446&gt;1/1/1,"Y",IF(Q446="0","","N"))</f>
        <v>Y</v>
      </c>
      <c r="O446" s="128" t="s">
        <v>585</v>
      </c>
      <c r="P446" s="129" t="s">
        <v>39</v>
      </c>
      <c r="Q446" s="111">
        <f t="shared" si="340"/>
        <v>0</v>
      </c>
      <c r="R446" s="111">
        <f t="shared" si="304"/>
        <v>209</v>
      </c>
      <c r="S446" s="129">
        <v>0</v>
      </c>
      <c r="T446" s="129">
        <v>3</v>
      </c>
      <c r="W446" s="111"/>
      <c r="AC446" s="130"/>
      <c r="AD446" s="130">
        <v>23389</v>
      </c>
      <c r="AE446" s="128" t="s">
        <v>32</v>
      </c>
      <c r="AF446" s="128" t="s">
        <v>69</v>
      </c>
      <c r="AG446" s="128" t="s">
        <v>874</v>
      </c>
      <c r="AH446" s="108" t="s">
        <v>31</v>
      </c>
      <c r="AI446" s="128" t="s">
        <v>42</v>
      </c>
      <c r="AJ446" s="129" t="s">
        <v>89</v>
      </c>
      <c r="AK446" s="129">
        <v>8</v>
      </c>
      <c r="AL446" s="3" t="s">
        <v>185</v>
      </c>
      <c r="AO446" s="128">
        <v>10</v>
      </c>
      <c r="AP446" s="129" t="s">
        <v>66</v>
      </c>
      <c r="AR446" s="128" t="s">
        <v>67</v>
      </c>
      <c r="AS446" s="129" t="s">
        <v>68</v>
      </c>
      <c r="BC446" s="129" t="s">
        <v>52</v>
      </c>
      <c r="BF446" s="111">
        <v>0</v>
      </c>
      <c r="BG446" s="111">
        <v>0</v>
      </c>
      <c r="BH446" s="111">
        <f t="shared" si="305"/>
        <v>209</v>
      </c>
      <c r="BI446" s="111">
        <f t="shared" si="306"/>
        <v>47.934426229508198</v>
      </c>
      <c r="BJ446" s="129" t="e">
        <f>(G446-J446)+(M446-G446)</f>
        <v>#VALUE!</v>
      </c>
      <c r="BK446" s="129" t="e">
        <f t="shared" si="307"/>
        <v>#VALUE!</v>
      </c>
      <c r="BL446" s="129" t="str">
        <f t="shared" si="308"/>
        <v>CONVICTION</v>
      </c>
      <c r="BM446" s="129" t="s">
        <v>76</v>
      </c>
      <c r="BN446" s="129" t="s">
        <v>88</v>
      </c>
      <c r="BP446" s="137" t="str">
        <f t="shared" si="314"/>
        <v>CONVICTION</v>
      </c>
      <c r="BQ446" s="128">
        <f t="shared" si="315"/>
        <v>0</v>
      </c>
      <c r="BR446" s="129" t="s">
        <v>575</v>
      </c>
      <c r="BS446" s="129" t="str">
        <f t="shared" si="317"/>
        <v>DISPOSED</v>
      </c>
      <c r="BT446" s="129" t="str">
        <f t="shared" si="318"/>
        <v>N</v>
      </c>
      <c r="BU446" s="109">
        <f t="shared" si="329"/>
        <v>0</v>
      </c>
      <c r="BV446" s="109">
        <v>0</v>
      </c>
      <c r="BW446" s="109">
        <f t="shared" si="335"/>
        <v>0</v>
      </c>
      <c r="BX446" s="111">
        <f t="shared" si="320"/>
        <v>0</v>
      </c>
      <c r="BY446" s="129" t="e">
        <f t="shared" si="321"/>
        <v>#VALUE!</v>
      </c>
      <c r="BZ446" s="111" t="e">
        <f t="shared" si="322"/>
        <v>#VALUE!</v>
      </c>
      <c r="CA446" s="138" t="e">
        <f t="shared" si="323"/>
        <v>#VALUE!</v>
      </c>
      <c r="CB446" s="111">
        <v>0</v>
      </c>
      <c r="CC446" s="129">
        <v>0</v>
      </c>
      <c r="CD446" s="111">
        <f>CC446-BF446</f>
        <v>0</v>
      </c>
      <c r="CE446" s="129" t="e">
        <f t="shared" si="324"/>
        <v>#VALUE!</v>
      </c>
      <c r="CG446" s="129" t="str">
        <f t="shared" si="325"/>
        <v>Y</v>
      </c>
      <c r="CI446" s="129" t="str">
        <f t="shared" si="326"/>
        <v>0-10 DAYS</v>
      </c>
      <c r="CJ446" s="137">
        <f t="shared" si="327"/>
        <v>1</v>
      </c>
      <c r="CK446" s="129" t="str">
        <f t="shared" si="328"/>
        <v>Not Booked</v>
      </c>
    </row>
    <row r="447" spans="1:89" ht="15" customHeight="1" x14ac:dyDescent="0.25">
      <c r="A447" s="111">
        <v>1302</v>
      </c>
      <c r="B447" s="128" t="str">
        <f t="shared" si="309"/>
        <v>N</v>
      </c>
      <c r="C447" s="128" t="str">
        <f t="shared" si="310"/>
        <v>N</v>
      </c>
      <c r="D447" s="117">
        <v>1156158</v>
      </c>
      <c r="E447" s="135">
        <f t="shared" si="311"/>
        <v>5</v>
      </c>
      <c r="F447" s="124">
        <v>40956</v>
      </c>
      <c r="G447" s="125">
        <v>41046</v>
      </c>
      <c r="H447" s="117">
        <v>1156158</v>
      </c>
      <c r="I447" s="124">
        <v>40956</v>
      </c>
      <c r="J447" s="124">
        <v>41046</v>
      </c>
      <c r="K447" s="126">
        <v>10000</v>
      </c>
      <c r="L447" s="127" t="s">
        <v>570</v>
      </c>
      <c r="N447" s="129" t="str">
        <f>IF(M447&gt;1/1/1,"Y","N")</f>
        <v>N</v>
      </c>
      <c r="O447" s="128" t="s">
        <v>917</v>
      </c>
      <c r="P447" s="129" t="s">
        <v>39</v>
      </c>
      <c r="Q447" s="111">
        <f t="shared" si="340"/>
        <v>91</v>
      </c>
      <c r="R447" s="111">
        <f t="shared" si="304"/>
        <v>91</v>
      </c>
      <c r="S447" s="129">
        <v>11</v>
      </c>
      <c r="T447" s="129">
        <v>8</v>
      </c>
      <c r="U447" s="129">
        <v>7</v>
      </c>
      <c r="W447" s="111"/>
      <c r="AC447" s="130"/>
      <c r="AD447" s="130">
        <v>25227</v>
      </c>
      <c r="AE447" s="128" t="s">
        <v>46</v>
      </c>
      <c r="AF447" s="128" t="s">
        <v>69</v>
      </c>
      <c r="AG447" s="128" t="s">
        <v>874</v>
      </c>
      <c r="AH447" s="108" t="s">
        <v>31</v>
      </c>
      <c r="AI447" s="128" t="s">
        <v>97</v>
      </c>
      <c r="AJ447" s="129" t="s">
        <v>89</v>
      </c>
      <c r="AK447" s="129">
        <v>4</v>
      </c>
      <c r="AL447" s="3" t="s">
        <v>992</v>
      </c>
      <c r="AN447" s="117">
        <v>10</v>
      </c>
      <c r="AP447" s="129" t="s">
        <v>43</v>
      </c>
      <c r="AR447" s="128" t="s">
        <v>44</v>
      </c>
      <c r="AS447" s="129" t="s">
        <v>45</v>
      </c>
      <c r="BC447" s="129" t="s">
        <v>38</v>
      </c>
      <c r="BF447" s="111">
        <f t="shared" ref="BF447:BF458" si="344">IF(J447&gt;1/1/1900,((J447+1)-I447),"STILL OPEN")</f>
        <v>91</v>
      </c>
      <c r="BG447" s="111">
        <f t="shared" ref="BG447:BG458" si="345">IF(G447&gt;1/1/1900,((G447+1)-I447),"STILL OPEN")</f>
        <v>91</v>
      </c>
      <c r="BH447" s="111">
        <f t="shared" si="305"/>
        <v>91</v>
      </c>
      <c r="BI447" s="111">
        <f t="shared" si="306"/>
        <v>42.975409836065573</v>
      </c>
      <c r="BJ447" s="129">
        <f t="shared" si="312"/>
        <v>0</v>
      </c>
      <c r="BK447" s="129">
        <f t="shared" si="307"/>
        <v>0</v>
      </c>
      <c r="BL447" s="129" t="str">
        <f t="shared" si="308"/>
        <v>CONVICTION</v>
      </c>
      <c r="BM447" s="129" t="str">
        <f t="shared" si="313"/>
        <v>NONE</v>
      </c>
      <c r="BN447" s="129" t="s">
        <v>566</v>
      </c>
      <c r="BP447" s="137" t="str">
        <f t="shared" si="314"/>
        <v>CONVICTION</v>
      </c>
      <c r="BQ447" s="128" t="str">
        <f t="shared" si="315"/>
        <v>Y</v>
      </c>
      <c r="BR447" s="129" t="str">
        <f t="shared" si="316"/>
        <v>DETAINED</v>
      </c>
      <c r="BS447" s="129" t="str">
        <f t="shared" si="317"/>
        <v>DISPOSED</v>
      </c>
      <c r="BT447" s="129" t="str">
        <f t="shared" si="318"/>
        <v>Y</v>
      </c>
      <c r="BU447" s="109">
        <f t="shared" si="329"/>
        <v>1</v>
      </c>
      <c r="BV447" s="109">
        <f t="shared" si="319"/>
        <v>1</v>
      </c>
      <c r="BW447" s="109">
        <f t="shared" si="335"/>
        <v>0</v>
      </c>
      <c r="BX447" s="111">
        <f t="shared" si="320"/>
        <v>0</v>
      </c>
      <c r="BY447" s="129">
        <f t="shared" si="321"/>
        <v>-91</v>
      </c>
      <c r="BZ447" s="111">
        <f t="shared" si="322"/>
        <v>0</v>
      </c>
      <c r="CA447" s="138">
        <f t="shared" si="323"/>
        <v>91</v>
      </c>
      <c r="CB447" s="111" t="e">
        <f t="shared" ref="CB447:CB458" si="346">IF(AF447&gt;1/1/1900,((AF447+1)-AE447),"STILL OPEN")</f>
        <v>#VALUE!</v>
      </c>
      <c r="CC447" s="129">
        <f>G447-I447+1</f>
        <v>91</v>
      </c>
      <c r="CD447" s="129">
        <f>G447-J447</f>
        <v>0</v>
      </c>
      <c r="CE447" s="129">
        <f t="shared" si="324"/>
        <v>0</v>
      </c>
      <c r="CG447" s="129" t="str">
        <f t="shared" si="325"/>
        <v>Y</v>
      </c>
      <c r="CI447" s="129" t="str">
        <f t="shared" si="326"/>
        <v>91-120 DAYS</v>
      </c>
      <c r="CJ447" s="137">
        <f t="shared" si="327"/>
        <v>0</v>
      </c>
      <c r="CK447" s="129" t="str">
        <f t="shared" si="328"/>
        <v>Booked</v>
      </c>
    </row>
    <row r="448" spans="1:89" ht="15.75" customHeight="1" x14ac:dyDescent="0.25">
      <c r="A448" s="111">
        <v>1464</v>
      </c>
      <c r="B448" s="128" t="str">
        <f t="shared" si="309"/>
        <v>N</v>
      </c>
      <c r="C448" s="128" t="str">
        <f t="shared" si="310"/>
        <v>Y</v>
      </c>
      <c r="D448" s="117">
        <v>1156910</v>
      </c>
      <c r="E448" s="135">
        <f t="shared" si="311"/>
        <v>5</v>
      </c>
      <c r="F448" s="124">
        <v>40962</v>
      </c>
      <c r="G448" s="125">
        <v>41047</v>
      </c>
      <c r="H448" s="117">
        <v>1156910</v>
      </c>
      <c r="I448" s="124">
        <v>40962</v>
      </c>
      <c r="J448" s="124">
        <v>40972</v>
      </c>
      <c r="K448" s="126">
        <v>3500</v>
      </c>
      <c r="L448" s="127" t="s">
        <v>569</v>
      </c>
      <c r="M448" s="125">
        <v>40972</v>
      </c>
      <c r="N448" s="129" t="str">
        <f>IF(M448&gt;1/1/1,"Y","N")</f>
        <v>Y</v>
      </c>
      <c r="O448" s="128" t="s">
        <v>76</v>
      </c>
      <c r="P448" s="129" t="s">
        <v>39</v>
      </c>
      <c r="Q448" s="111">
        <v>18</v>
      </c>
      <c r="R448" s="111">
        <f t="shared" si="304"/>
        <v>86</v>
      </c>
      <c r="S448" s="129">
        <v>2</v>
      </c>
      <c r="T448" s="129">
        <v>1</v>
      </c>
      <c r="V448" s="117">
        <v>1</v>
      </c>
      <c r="W448" s="111"/>
      <c r="AC448" s="130"/>
      <c r="AD448" s="130">
        <v>27021</v>
      </c>
      <c r="AE448" s="128" t="s">
        <v>32</v>
      </c>
      <c r="AF448" s="128" t="s">
        <v>69</v>
      </c>
      <c r="AG448" s="128" t="s">
        <v>874</v>
      </c>
      <c r="AH448" s="108" t="s">
        <v>58</v>
      </c>
      <c r="AI448" s="128" t="s">
        <v>97</v>
      </c>
      <c r="AJ448" s="129" t="s">
        <v>89</v>
      </c>
      <c r="AK448" s="129">
        <v>5</v>
      </c>
      <c r="AL448" s="3" t="s">
        <v>992</v>
      </c>
      <c r="AN448" s="117">
        <v>6</v>
      </c>
      <c r="AP448" s="129" t="s">
        <v>107</v>
      </c>
      <c r="AR448" s="128" t="s">
        <v>44</v>
      </c>
      <c r="AS448" s="129" t="s">
        <v>57</v>
      </c>
      <c r="AT448" s="129" t="s">
        <v>1123</v>
      </c>
      <c r="AV448" s="3" t="s">
        <v>88</v>
      </c>
      <c r="AW448" s="32" t="s">
        <v>726</v>
      </c>
      <c r="BC448" s="129" t="s">
        <v>99</v>
      </c>
      <c r="BF448" s="111">
        <v>18</v>
      </c>
      <c r="BG448" s="111">
        <f t="shared" si="345"/>
        <v>86</v>
      </c>
      <c r="BH448" s="111">
        <f t="shared" si="305"/>
        <v>86</v>
      </c>
      <c r="BI448" s="111">
        <f t="shared" si="306"/>
        <v>38.090163934426229</v>
      </c>
      <c r="BJ448" s="129">
        <f>(G448-J448)+(M448-G448)</f>
        <v>0</v>
      </c>
      <c r="BK448" s="129">
        <f t="shared" si="307"/>
        <v>-75</v>
      </c>
      <c r="BL448" s="129" t="str">
        <f t="shared" si="308"/>
        <v>CONVICTION</v>
      </c>
      <c r="BM448" s="129" t="s">
        <v>76</v>
      </c>
      <c r="BN448" s="129" t="s">
        <v>88</v>
      </c>
      <c r="BP448" s="137" t="str">
        <f t="shared" si="314"/>
        <v>CONVICTION</v>
      </c>
      <c r="BQ448" s="128" t="str">
        <f t="shared" si="315"/>
        <v>Y</v>
      </c>
      <c r="BR448" s="129" t="s">
        <v>574</v>
      </c>
      <c r="BS448" s="129" t="str">
        <f t="shared" si="317"/>
        <v>DISPOSED</v>
      </c>
      <c r="BT448" s="129" t="str">
        <f t="shared" si="318"/>
        <v>Y</v>
      </c>
      <c r="BU448" s="109">
        <f t="shared" si="329"/>
        <v>0.20930232558139536</v>
      </c>
      <c r="BV448" s="109">
        <f t="shared" si="319"/>
        <v>0.12790697674418605</v>
      </c>
      <c r="BW448" s="109">
        <f t="shared" si="335"/>
        <v>-8.1395348837209308E-2</v>
      </c>
      <c r="BX448" s="111">
        <f t="shared" si="320"/>
        <v>0</v>
      </c>
      <c r="BY448" s="129">
        <f t="shared" si="321"/>
        <v>-11</v>
      </c>
      <c r="BZ448" s="111">
        <f t="shared" si="322"/>
        <v>7</v>
      </c>
      <c r="CA448" s="138">
        <f t="shared" si="323"/>
        <v>86</v>
      </c>
      <c r="CB448" s="111">
        <v>18</v>
      </c>
      <c r="CC448" s="129">
        <f>G448-I448+1</f>
        <v>86</v>
      </c>
      <c r="CD448" s="129">
        <f>G448-J448</f>
        <v>75</v>
      </c>
      <c r="CE448" s="129">
        <f t="shared" si="324"/>
        <v>75</v>
      </c>
      <c r="CG448" s="129" t="str">
        <f t="shared" si="325"/>
        <v>Y</v>
      </c>
      <c r="CI448" s="129" t="str">
        <f t="shared" si="326"/>
        <v>11-30 DAYS</v>
      </c>
      <c r="CJ448" s="137">
        <f t="shared" si="327"/>
        <v>2</v>
      </c>
      <c r="CK448" s="129" t="str">
        <f t="shared" si="328"/>
        <v>Booked</v>
      </c>
    </row>
    <row r="449" spans="1:89" ht="15.75" customHeight="1" x14ac:dyDescent="0.25">
      <c r="A449" s="111">
        <v>1798</v>
      </c>
      <c r="B449" s="128" t="str">
        <f t="shared" si="309"/>
        <v>N</v>
      </c>
      <c r="C449" s="128" t="str">
        <f t="shared" si="310"/>
        <v>N</v>
      </c>
      <c r="D449" s="117">
        <v>1157028</v>
      </c>
      <c r="E449" s="135">
        <f t="shared" si="311"/>
        <v>5</v>
      </c>
      <c r="F449" s="124">
        <v>40975</v>
      </c>
      <c r="G449" s="125">
        <v>40977</v>
      </c>
      <c r="H449" s="117">
        <v>1157028</v>
      </c>
      <c r="I449" s="124">
        <v>40976</v>
      </c>
      <c r="J449" s="124">
        <v>40977</v>
      </c>
      <c r="K449" s="126">
        <v>15000</v>
      </c>
      <c r="L449" s="127" t="s">
        <v>571</v>
      </c>
      <c r="N449" s="129" t="str">
        <f>IF(M449&gt;1/1/1,"Y","N")</f>
        <v>N</v>
      </c>
      <c r="O449" s="128" t="s">
        <v>917</v>
      </c>
      <c r="P449" s="129" t="s">
        <v>39</v>
      </c>
      <c r="Q449" s="111">
        <f t="shared" si="340"/>
        <v>2</v>
      </c>
      <c r="R449" s="111">
        <f t="shared" si="304"/>
        <v>3</v>
      </c>
      <c r="S449" s="129">
        <v>9</v>
      </c>
      <c r="T449" s="129">
        <v>5</v>
      </c>
      <c r="U449" s="129">
        <v>6</v>
      </c>
      <c r="W449" s="111"/>
      <c r="AC449" s="130"/>
      <c r="AD449" s="130">
        <v>26911</v>
      </c>
      <c r="AE449" s="128" t="s">
        <v>32</v>
      </c>
      <c r="AF449" s="128" t="s">
        <v>33</v>
      </c>
      <c r="AG449" s="128" t="s">
        <v>872</v>
      </c>
      <c r="AH449" s="108" t="s">
        <v>58</v>
      </c>
      <c r="AI449" s="128" t="s">
        <v>114</v>
      </c>
      <c r="AJ449" s="129" t="s">
        <v>89</v>
      </c>
      <c r="AK449" s="129">
        <v>1</v>
      </c>
      <c r="AL449" s="3" t="s">
        <v>992</v>
      </c>
      <c r="AN449" s="117">
        <v>6</v>
      </c>
      <c r="AP449" s="129" t="s">
        <v>60</v>
      </c>
      <c r="AR449" s="128" t="s">
        <v>44</v>
      </c>
      <c r="AS449" s="129" t="s">
        <v>61</v>
      </c>
      <c r="BC449" s="129" t="s">
        <v>38</v>
      </c>
      <c r="BF449" s="111">
        <f t="shared" si="344"/>
        <v>2</v>
      </c>
      <c r="BG449" s="111">
        <f t="shared" si="345"/>
        <v>2</v>
      </c>
      <c r="BH449" s="111">
        <f t="shared" si="305"/>
        <v>3</v>
      </c>
      <c r="BI449" s="111">
        <f t="shared" si="306"/>
        <v>38.42622950819672</v>
      </c>
      <c r="BJ449" s="129">
        <f t="shared" si="312"/>
        <v>0</v>
      </c>
      <c r="BK449" s="129">
        <f t="shared" si="307"/>
        <v>0</v>
      </c>
      <c r="BL449" s="129" t="str">
        <f t="shared" si="308"/>
        <v>CONVICTION</v>
      </c>
      <c r="BM449" s="129" t="str">
        <f t="shared" si="313"/>
        <v>NONE</v>
      </c>
      <c r="BN449" s="129" t="s">
        <v>566</v>
      </c>
      <c r="BP449" s="137" t="str">
        <f t="shared" si="314"/>
        <v>CONVICTION</v>
      </c>
      <c r="BQ449" s="128" t="str">
        <f t="shared" si="315"/>
        <v>Y</v>
      </c>
      <c r="BR449" s="129" t="str">
        <f t="shared" si="316"/>
        <v>DETAINED</v>
      </c>
      <c r="BS449" s="129" t="str">
        <f t="shared" si="317"/>
        <v>DISPOSED</v>
      </c>
      <c r="BT449" s="129" t="str">
        <f t="shared" si="318"/>
        <v>Y</v>
      </c>
      <c r="BU449" s="109">
        <f t="shared" si="329"/>
        <v>0.66666666666666663</v>
      </c>
      <c r="BV449" s="109">
        <f t="shared" si="319"/>
        <v>1</v>
      </c>
      <c r="BW449" s="109">
        <f t="shared" si="335"/>
        <v>0.33333333333333337</v>
      </c>
      <c r="BX449" s="111">
        <f t="shared" si="320"/>
        <v>0</v>
      </c>
      <c r="BY449" s="129">
        <f t="shared" si="321"/>
        <v>-2</v>
      </c>
      <c r="BZ449" s="111">
        <f t="shared" si="322"/>
        <v>0</v>
      </c>
      <c r="CA449" s="138">
        <f t="shared" si="323"/>
        <v>2</v>
      </c>
      <c r="CB449" s="111" t="e">
        <f t="shared" si="346"/>
        <v>#VALUE!</v>
      </c>
      <c r="CC449" s="129">
        <f>G449-I449+1</f>
        <v>2</v>
      </c>
      <c r="CD449" s="129">
        <f>G449-J449</f>
        <v>0</v>
      </c>
      <c r="CE449" s="129">
        <f t="shared" si="324"/>
        <v>0</v>
      </c>
      <c r="CG449" s="129" t="str">
        <f t="shared" si="325"/>
        <v>Y</v>
      </c>
      <c r="CI449" s="129" t="str">
        <f t="shared" si="326"/>
        <v>0-10 DAYS</v>
      </c>
      <c r="CJ449" s="137">
        <f t="shared" si="327"/>
        <v>1</v>
      </c>
      <c r="CK449" s="129" t="str">
        <f t="shared" si="328"/>
        <v>Booked</v>
      </c>
    </row>
    <row r="450" spans="1:89" ht="15.75" customHeight="1" x14ac:dyDescent="0.25">
      <c r="A450" s="111">
        <v>1090</v>
      </c>
      <c r="B450" s="128" t="str">
        <f t="shared" si="309"/>
        <v>N</v>
      </c>
      <c r="C450" s="128" t="str">
        <f t="shared" si="310"/>
        <v>N</v>
      </c>
      <c r="D450" s="117">
        <v>1157590</v>
      </c>
      <c r="E450" s="135">
        <f t="shared" si="311"/>
        <v>1</v>
      </c>
      <c r="F450" s="124">
        <v>40948</v>
      </c>
      <c r="G450" s="125">
        <v>41487</v>
      </c>
      <c r="H450" s="117">
        <v>1157590</v>
      </c>
      <c r="I450" s="124">
        <v>40949</v>
      </c>
      <c r="J450" s="124">
        <v>40953</v>
      </c>
      <c r="K450" s="126">
        <v>30000</v>
      </c>
      <c r="L450" s="129" t="s">
        <v>572</v>
      </c>
      <c r="M450" s="125">
        <v>40953</v>
      </c>
      <c r="N450" s="129" t="str">
        <f>IF(M450&gt;1/1/1,"Y","N")</f>
        <v>Y</v>
      </c>
      <c r="O450" s="128" t="s">
        <v>76</v>
      </c>
      <c r="P450" s="129" t="s">
        <v>55</v>
      </c>
      <c r="Q450" s="111">
        <f t="shared" si="340"/>
        <v>5</v>
      </c>
      <c r="R450" s="111">
        <f t="shared" ref="R450:R513" si="347">BH450</f>
        <v>540</v>
      </c>
      <c r="S450" s="129">
        <v>4</v>
      </c>
      <c r="T450" s="129">
        <v>2</v>
      </c>
      <c r="U450" s="129">
        <v>2</v>
      </c>
      <c r="W450" s="111"/>
      <c r="AC450" s="130"/>
      <c r="AD450" s="130">
        <v>26943</v>
      </c>
      <c r="AE450" s="128" t="s">
        <v>32</v>
      </c>
      <c r="AF450" s="128" t="s">
        <v>33</v>
      </c>
      <c r="AG450" s="128" t="s">
        <v>872</v>
      </c>
      <c r="AH450" s="108" t="s">
        <v>58</v>
      </c>
      <c r="AI450" s="128" t="s">
        <v>95</v>
      </c>
      <c r="AJ450" s="129" t="s">
        <v>55</v>
      </c>
      <c r="AK450" s="129">
        <v>16</v>
      </c>
      <c r="AL450" s="3" t="s">
        <v>55</v>
      </c>
      <c r="AP450" s="129" t="s">
        <v>132</v>
      </c>
      <c r="AR450" s="128" t="s">
        <v>92</v>
      </c>
      <c r="AS450" s="129" t="s">
        <v>82</v>
      </c>
      <c r="AW450" s="32"/>
      <c r="AX450" s="32"/>
      <c r="BC450" s="129" t="s">
        <v>52</v>
      </c>
      <c r="BF450" s="111">
        <f t="shared" si="344"/>
        <v>5</v>
      </c>
      <c r="BG450" s="111">
        <f t="shared" si="345"/>
        <v>539</v>
      </c>
      <c r="BH450" s="111">
        <f t="shared" ref="BH450:BH513" si="348">IF(G450&gt;1/1/1900,((G450+1)-F450),"STILL OPEN")</f>
        <v>540</v>
      </c>
      <c r="BI450" s="111">
        <f t="shared" ref="BI450:BI513" si="349">(F450-AD450)/366</f>
        <v>38.265027322404372</v>
      </c>
      <c r="BJ450" s="129">
        <f>(G450-J450)+(M450-G450)</f>
        <v>0</v>
      </c>
      <c r="BK450" s="129">
        <f t="shared" ref="BK450:BK513" si="350">J450-G450</f>
        <v>-534</v>
      </c>
      <c r="BL450" s="129" t="str">
        <f t="shared" ref="BL450:BL513" si="351">IF(OR(AL450="AQUITTAL",AL450="DISMISSED",AL450="FINE",AL450="NO BILL"),"NO CONVICTION",IF(OR(AL450="HCJ",AL450="MHH",AL450="PROBATION",AL450="STJ",AL450="TDC"),"CONVICTION",IF(AL450="DEFERRED","DEFERRED",0)))</f>
        <v>NO CONVICTION</v>
      </c>
      <c r="BM450" s="129" t="s">
        <v>76</v>
      </c>
      <c r="BN450" s="129" t="s">
        <v>566</v>
      </c>
      <c r="BP450" s="137" t="str">
        <f t="shared" si="314"/>
        <v>NO CONVICTION</v>
      </c>
      <c r="BQ450" s="128" t="str">
        <f t="shared" si="315"/>
        <v>Y</v>
      </c>
      <c r="BR450" s="129" t="str">
        <f t="shared" si="316"/>
        <v>ON BOND</v>
      </c>
      <c r="BS450" s="129" t="str">
        <f t="shared" si="317"/>
        <v>DISPOSED</v>
      </c>
      <c r="BT450" s="129" t="str">
        <f t="shared" si="318"/>
        <v>Y</v>
      </c>
      <c r="BU450" s="109">
        <f>IFERROR(Q450/R450,BR450)</f>
        <v>9.2592592592592587E-3</v>
      </c>
      <c r="BV450" s="109">
        <f t="shared" si="319"/>
        <v>9.2764378478664197E-3</v>
      </c>
      <c r="BW450" s="109">
        <f t="shared" si="335"/>
        <v>1.7178588607160913E-5</v>
      </c>
      <c r="BX450" s="111">
        <f t="shared" si="320"/>
        <v>0</v>
      </c>
      <c r="BY450" s="129">
        <f t="shared" si="321"/>
        <v>-5</v>
      </c>
      <c r="BZ450" s="111">
        <f t="shared" si="322"/>
        <v>0</v>
      </c>
      <c r="CA450" s="138">
        <f t="shared" si="323"/>
        <v>5</v>
      </c>
      <c r="CB450" s="111" t="e">
        <f t="shared" si="346"/>
        <v>#VALUE!</v>
      </c>
      <c r="CC450" s="129">
        <f>M450-I450+1</f>
        <v>5</v>
      </c>
      <c r="CD450" s="111">
        <f>CC450-BF450</f>
        <v>0</v>
      </c>
      <c r="CE450" s="129">
        <f t="shared" si="324"/>
        <v>534</v>
      </c>
      <c r="CG450" s="129" t="str">
        <f t="shared" si="325"/>
        <v>Y</v>
      </c>
      <c r="CI450" s="129" t="str">
        <f t="shared" si="326"/>
        <v>0-10 DAYS</v>
      </c>
      <c r="CJ450" s="137">
        <f t="shared" si="327"/>
        <v>1</v>
      </c>
      <c r="CK450" s="129" t="str">
        <f t="shared" si="328"/>
        <v>Booked</v>
      </c>
    </row>
    <row r="451" spans="1:89" ht="15.75" customHeight="1" x14ac:dyDescent="0.25">
      <c r="A451" s="111">
        <v>258</v>
      </c>
      <c r="B451" s="128" t="str">
        <f t="shared" ref="B451:B514" si="352">IF(BD451&lt;&gt;"","Y","N")</f>
        <v>N</v>
      </c>
      <c r="C451" s="128" t="str">
        <f t="shared" ref="C451:C514" si="353">IF((AND(AV451="",AX451="",AY451="")),"N","Y")</f>
        <v>N</v>
      </c>
      <c r="D451" s="117">
        <v>1158049</v>
      </c>
      <c r="E451" s="135">
        <f t="shared" ref="E451:E514" si="354">IF(OR(AL451="ACQUITTAL",AL451="ACQUIT",AL451="acq insane",AL451="DISMISSED",AL451="NO BILL"),1,IF(AL451="DEFERRED",2,IF(AL451="PROBATION",3,IF(OR(AL451="HCJ",AL451="fine"),4,IF(AL451="STJ",5,IF(AL451="TDC",6,""))))))</f>
        <v>2</v>
      </c>
      <c r="F451" s="124">
        <v>40919</v>
      </c>
      <c r="G451" s="125">
        <v>40921</v>
      </c>
      <c r="H451" s="117">
        <v>1158049</v>
      </c>
      <c r="I451" s="124">
        <v>40920</v>
      </c>
      <c r="J451" s="124">
        <v>40921</v>
      </c>
      <c r="K451" s="126">
        <v>5000</v>
      </c>
      <c r="L451" s="127" t="s">
        <v>569</v>
      </c>
      <c r="N451" s="129" t="str">
        <f>IF(M451&gt;1/1/1,"Y","N")</f>
        <v>N</v>
      </c>
      <c r="O451" s="128" t="s">
        <v>917</v>
      </c>
      <c r="P451" s="129" t="s">
        <v>589</v>
      </c>
      <c r="Q451" s="111">
        <f t="shared" si="340"/>
        <v>2</v>
      </c>
      <c r="R451" s="111">
        <f t="shared" si="347"/>
        <v>3</v>
      </c>
      <c r="S451" s="129">
        <v>0</v>
      </c>
      <c r="T451" s="129">
        <v>2</v>
      </c>
      <c r="W451" s="111"/>
      <c r="AC451" s="130"/>
      <c r="AD451" s="130">
        <v>26140</v>
      </c>
      <c r="AE451" s="128" t="s">
        <v>46</v>
      </c>
      <c r="AF451" s="128" t="s">
        <v>69</v>
      </c>
      <c r="AG451" s="128" t="s">
        <v>874</v>
      </c>
      <c r="AH451" s="108" t="s">
        <v>58</v>
      </c>
      <c r="AI451" s="128" t="s">
        <v>113</v>
      </c>
      <c r="AJ451" s="129" t="s">
        <v>48</v>
      </c>
      <c r="AK451" s="129">
        <v>3</v>
      </c>
      <c r="AL451" s="3" t="s">
        <v>48</v>
      </c>
      <c r="AP451" s="129" t="s">
        <v>43</v>
      </c>
      <c r="AR451" s="128" t="s">
        <v>44</v>
      </c>
      <c r="AS451" s="129" t="s">
        <v>45</v>
      </c>
      <c r="AT451" s="129" t="s">
        <v>183</v>
      </c>
      <c r="BC451" s="129" t="s">
        <v>38</v>
      </c>
      <c r="BF451" s="111">
        <f t="shared" si="344"/>
        <v>2</v>
      </c>
      <c r="BG451" s="111">
        <f t="shared" si="345"/>
        <v>2</v>
      </c>
      <c r="BH451" s="111">
        <f t="shared" si="348"/>
        <v>3</v>
      </c>
      <c r="BI451" s="111">
        <f t="shared" si="349"/>
        <v>40.379781420765028</v>
      </c>
      <c r="BJ451" s="129">
        <f t="shared" ref="BJ451:BJ513" si="355">G451-J451-M451</f>
        <v>0</v>
      </c>
      <c r="BK451" s="129">
        <f t="shared" si="350"/>
        <v>0</v>
      </c>
      <c r="BL451" s="129" t="str">
        <f t="shared" si="351"/>
        <v>DEFERRED</v>
      </c>
      <c r="BM451" s="129" t="str">
        <f t="shared" ref="BM451:BM514" si="356">O451</f>
        <v>NONE</v>
      </c>
      <c r="BN451" s="129" t="s">
        <v>566</v>
      </c>
      <c r="BP451" s="137" t="str">
        <f t="shared" ref="BP451:BP513" si="357">IF(OR(AJ451="AQUITTAL",AJ451="DISMISSED",AJ451="FINE",AJ451="NO BILL"),"NO CONVICTION",IF(OR(AJ451="HCJ",AJ451="MHH",AJ451="PROBATION",AJ451="STJ",AJ451="TDC",AJ451="CONVICTED"),"CONVICTION",IF(AJ451="DEFERRED","DEFERRED","")))</f>
        <v>DEFERRED</v>
      </c>
      <c r="BQ451" s="128" t="str">
        <f t="shared" ref="BQ451:BQ514" si="358">IF(BF451&gt;0,"Y",BF451)</f>
        <v>Y</v>
      </c>
      <c r="BR451" s="129" t="str">
        <f t="shared" ref="BR451:BR514" si="359">IF(AND(J451="NOT BOOKED",M451&gt;1/1/1),"BONDED - BEFORE BOOKED",IF(BG451="STILL OPEN","STILL OPEN",IF(N451="Y","ON BOND",IF(J451&gt;=G451,"DETAINED","RELEASED"))))</f>
        <v>DETAINED</v>
      </c>
      <c r="BS451" s="129" t="str">
        <f t="shared" ref="BS451:BS513" si="360">IF(G451&lt;&gt;"","DISPOSED","")</f>
        <v>DISPOSED</v>
      </c>
      <c r="BT451" s="129" t="str">
        <f t="shared" ref="BT451:BT514" si="361">IF(S451&gt;0,"Y","N")</f>
        <v>N</v>
      </c>
      <c r="BU451" s="109">
        <f t="shared" ref="BU451:BU513" si="362">Q451/R451</f>
        <v>0.66666666666666663</v>
      </c>
      <c r="BV451" s="109">
        <f t="shared" ref="BV451:BV513" si="363">IF(I451&gt;F451,((J451-I451+1)/(G451-I451+1)),(J451-I451+1)/(G451-F451+1))</f>
        <v>1</v>
      </c>
      <c r="BW451" s="109">
        <f t="shared" si="335"/>
        <v>0.33333333333333337</v>
      </c>
      <c r="BX451" s="111">
        <f t="shared" ref="BX451:BX514" si="364">+Q451-BF451</f>
        <v>0</v>
      </c>
      <c r="BY451" s="129">
        <f t="shared" ref="BY451:BY514" si="365">I451-J451-1</f>
        <v>-2</v>
      </c>
      <c r="BZ451" s="111">
        <f t="shared" ref="BZ451:BZ514" si="366">BY451+BF451</f>
        <v>0</v>
      </c>
      <c r="CA451" s="138">
        <f t="shared" ref="CA451:CA514" si="367">IF(AND(BS451="DISPOSED",BR451="DETAINED"),G451-I451+1,IF(AND(BS451="DISPOSED",BR451="ON BOND"),M451-I451+1,IF(AND(BS451="STILL OPEN","STILL OPEN"),"NOT BOOKED")))</f>
        <v>2</v>
      </c>
      <c r="CB451" s="111" t="e">
        <f t="shared" si="346"/>
        <v>#VALUE!</v>
      </c>
      <c r="CC451" s="129">
        <f>G451-I451+1</f>
        <v>2</v>
      </c>
      <c r="CD451" s="129">
        <f>G451-J451</f>
        <v>0</v>
      </c>
      <c r="CE451" s="129">
        <f t="shared" ref="CE451:CE514" si="368">G451-J451</f>
        <v>0</v>
      </c>
      <c r="CG451" s="129" t="str">
        <f t="shared" ref="CG451:CG514" si="369">IF((S451+T451+U451)&gt;0,"Y","N")</f>
        <v>Y</v>
      </c>
      <c r="CI451" s="129" t="str">
        <f t="shared" ref="CI451:CI514" si="370">IF(BF451&lt;11,"0-10 DAYS",IF(AND(BF451&gt;10,BF451&lt;31),"11-30 DAYS",IF((AND(BF451&gt;30,BF451&lt;61)),"31-60 DAYS",IF(AND(BF451&gt;60,BF451&lt;91),"61-90 DAYS",IF(AND(BF451&gt;90,BF451&lt;121),"91-120 DAYS",IF(AND(BF451&gt;120,BF451&lt;366),"121-365 DAYS",IF(AND(BF451&gt;365,BF451&lt;730)," &gt;1YRS&lt;2YRS",IF(AND(BF451&gt;729,BF451&lt;1095),"&gt;2YRS&lt;3YRS",IF(BF451&gt;1094,"&gt;3YRS")))))))))</f>
        <v>0-10 DAYS</v>
      </c>
      <c r="CJ451" s="137">
        <f t="shared" ref="CJ451:CJ514" si="371">IF(CI451="0-10 DAYS",1,IF(CI451="11-30 DAYS",2,IF(CI451="31-60 DAYS",3,IF(CI451="61-90 DAYS",4,IF(CK451="91-120 DAYS",5,IF(CI451="121-365 DAYS",6,IF(CI451="&gt;1YRS&lt;2YRS",7,IF(CI451="&gt;2YRS&lt;3YRS",8,IF(CI451="&gt;3YRS",9,0)))))))))</f>
        <v>1</v>
      </c>
      <c r="CK451" s="129" t="str">
        <f t="shared" ref="CK451:CK514" si="372">IF(I451="Not Booked","Not Booked","Booked")</f>
        <v>Booked</v>
      </c>
    </row>
    <row r="452" spans="1:89" ht="15.75" customHeight="1" x14ac:dyDescent="0.25">
      <c r="A452" s="111">
        <v>3068</v>
      </c>
      <c r="B452" s="128" t="str">
        <f t="shared" si="352"/>
        <v>N</v>
      </c>
      <c r="C452" s="128" t="str">
        <f t="shared" si="353"/>
        <v>N</v>
      </c>
      <c r="D452" s="117">
        <v>1158098</v>
      </c>
      <c r="E452" s="135">
        <f t="shared" si="354"/>
        <v>4</v>
      </c>
      <c r="F452" s="124">
        <v>41022</v>
      </c>
      <c r="G452" s="125">
        <v>41086</v>
      </c>
      <c r="H452" s="117">
        <v>1158098</v>
      </c>
      <c r="I452" s="124">
        <v>41023</v>
      </c>
      <c r="J452" s="124">
        <v>41086</v>
      </c>
      <c r="K452" s="126" t="s">
        <v>564</v>
      </c>
      <c r="L452" s="127" t="s">
        <v>564</v>
      </c>
      <c r="N452" s="129" t="s">
        <v>566</v>
      </c>
      <c r="O452" s="128" t="s">
        <v>917</v>
      </c>
      <c r="P452" s="129" t="s">
        <v>39</v>
      </c>
      <c r="Q452" s="111">
        <f t="shared" si="340"/>
        <v>64</v>
      </c>
      <c r="R452" s="111">
        <f t="shared" si="347"/>
        <v>65</v>
      </c>
      <c r="S452" s="129">
        <v>7</v>
      </c>
      <c r="T452" s="129">
        <v>7</v>
      </c>
      <c r="U452" s="129">
        <v>5</v>
      </c>
      <c r="V452" s="117">
        <v>1</v>
      </c>
      <c r="W452" s="111"/>
      <c r="AC452" s="130"/>
      <c r="AD452" s="130">
        <v>25047</v>
      </c>
      <c r="AE452" s="128" t="s">
        <v>32</v>
      </c>
      <c r="AF452" s="128" t="s">
        <v>33</v>
      </c>
      <c r="AG452" s="128" t="s">
        <v>872</v>
      </c>
      <c r="AH452" s="108" t="s">
        <v>31</v>
      </c>
      <c r="AI452" s="128" t="s">
        <v>97</v>
      </c>
      <c r="AJ452" s="129" t="s">
        <v>89</v>
      </c>
      <c r="AK452" s="129">
        <v>6</v>
      </c>
      <c r="AL452" s="3" t="s">
        <v>991</v>
      </c>
      <c r="AO452" s="128">
        <v>365</v>
      </c>
      <c r="AP452" s="129" t="s">
        <v>73</v>
      </c>
      <c r="AR452" s="128" t="s">
        <v>50</v>
      </c>
      <c r="AS452" s="129" t="s">
        <v>74</v>
      </c>
      <c r="BC452" s="129" t="s">
        <v>99</v>
      </c>
      <c r="BF452" s="111">
        <f t="shared" si="344"/>
        <v>64</v>
      </c>
      <c r="BG452" s="111">
        <f t="shared" si="345"/>
        <v>64</v>
      </c>
      <c r="BH452" s="111">
        <f t="shared" si="348"/>
        <v>65</v>
      </c>
      <c r="BI452" s="111">
        <f t="shared" si="349"/>
        <v>43.647540983606561</v>
      </c>
      <c r="BJ452" s="129">
        <f t="shared" si="355"/>
        <v>0</v>
      </c>
      <c r="BK452" s="129">
        <f t="shared" si="350"/>
        <v>0</v>
      </c>
      <c r="BL452" s="129" t="str">
        <f t="shared" si="351"/>
        <v>CONVICTION</v>
      </c>
      <c r="BM452" s="129" t="str">
        <f t="shared" si="356"/>
        <v>NONE</v>
      </c>
      <c r="BN452" s="129" t="s">
        <v>566</v>
      </c>
      <c r="BP452" s="137" t="str">
        <f t="shared" si="357"/>
        <v>CONVICTION</v>
      </c>
      <c r="BQ452" s="128" t="str">
        <f t="shared" si="358"/>
        <v>Y</v>
      </c>
      <c r="BR452" s="129" t="str">
        <f t="shared" si="359"/>
        <v>DETAINED</v>
      </c>
      <c r="BS452" s="129" t="str">
        <f t="shared" si="360"/>
        <v>DISPOSED</v>
      </c>
      <c r="BT452" s="129" t="str">
        <f t="shared" si="361"/>
        <v>Y</v>
      </c>
      <c r="BU452" s="109">
        <f t="shared" si="362"/>
        <v>0.98461538461538467</v>
      </c>
      <c r="BV452" s="109">
        <f t="shared" si="363"/>
        <v>1</v>
      </c>
      <c r="BW452" s="109">
        <f t="shared" si="335"/>
        <v>1.538461538461533E-2</v>
      </c>
      <c r="BX452" s="111">
        <f t="shared" si="364"/>
        <v>0</v>
      </c>
      <c r="BY452" s="129">
        <f t="shared" si="365"/>
        <v>-64</v>
      </c>
      <c r="BZ452" s="111">
        <f t="shared" si="366"/>
        <v>0</v>
      </c>
      <c r="CA452" s="138">
        <f t="shared" si="367"/>
        <v>64</v>
      </c>
      <c r="CB452" s="111" t="e">
        <f t="shared" si="346"/>
        <v>#VALUE!</v>
      </c>
      <c r="CC452" s="129">
        <f>G452-I452+1</f>
        <v>64</v>
      </c>
      <c r="CD452" s="129">
        <f>G452-J452</f>
        <v>0</v>
      </c>
      <c r="CE452" s="129">
        <f t="shared" si="368"/>
        <v>0</v>
      </c>
      <c r="CG452" s="129" t="str">
        <f t="shared" si="369"/>
        <v>Y</v>
      </c>
      <c r="CI452" s="129" t="str">
        <f t="shared" si="370"/>
        <v>61-90 DAYS</v>
      </c>
      <c r="CJ452" s="137">
        <f t="shared" si="371"/>
        <v>4</v>
      </c>
      <c r="CK452" s="129" t="str">
        <f t="shared" si="372"/>
        <v>Booked</v>
      </c>
    </row>
    <row r="453" spans="1:89" ht="15.75" customHeight="1" x14ac:dyDescent="0.25">
      <c r="A453" s="111">
        <v>142</v>
      </c>
      <c r="B453" s="128" t="str">
        <f t="shared" si="352"/>
        <v>N</v>
      </c>
      <c r="C453" s="128" t="str">
        <f t="shared" si="353"/>
        <v>N</v>
      </c>
      <c r="D453" s="117">
        <v>1158283</v>
      </c>
      <c r="E453" s="135">
        <f t="shared" si="354"/>
        <v>6</v>
      </c>
      <c r="F453" s="124">
        <v>40915</v>
      </c>
      <c r="G453" s="125">
        <v>41109</v>
      </c>
      <c r="H453" s="117">
        <v>1158283</v>
      </c>
      <c r="I453" s="124">
        <v>40915</v>
      </c>
      <c r="J453" s="124">
        <v>41109</v>
      </c>
      <c r="K453" s="126" t="s">
        <v>564</v>
      </c>
      <c r="L453" s="127" t="s">
        <v>564</v>
      </c>
      <c r="N453" s="129" t="s">
        <v>566</v>
      </c>
      <c r="O453" s="128" t="s">
        <v>917</v>
      </c>
      <c r="P453" s="129" t="s">
        <v>39</v>
      </c>
      <c r="Q453" s="111">
        <f t="shared" si="340"/>
        <v>195</v>
      </c>
      <c r="R453" s="111">
        <f t="shared" si="347"/>
        <v>195</v>
      </c>
      <c r="S453" s="129">
        <v>5</v>
      </c>
      <c r="T453" s="129">
        <v>4</v>
      </c>
      <c r="U453" s="129">
        <v>5</v>
      </c>
      <c r="W453" s="111"/>
      <c r="AC453" s="130"/>
      <c r="AD453" s="130">
        <v>24365</v>
      </c>
      <c r="AE453" s="128" t="s">
        <v>32</v>
      </c>
      <c r="AF453" s="128" t="s">
        <v>33</v>
      </c>
      <c r="AG453" s="128" t="s">
        <v>872</v>
      </c>
      <c r="AH453" s="108" t="s">
        <v>58</v>
      </c>
      <c r="AI453" s="128" t="s">
        <v>87</v>
      </c>
      <c r="AJ453" s="129" t="s">
        <v>89</v>
      </c>
      <c r="AK453" s="129">
        <v>6</v>
      </c>
      <c r="AL453" s="3" t="s">
        <v>362</v>
      </c>
      <c r="AM453" s="117">
        <v>10</v>
      </c>
      <c r="AP453" s="129" t="s">
        <v>66</v>
      </c>
      <c r="AR453" s="128" t="s">
        <v>67</v>
      </c>
      <c r="AS453" s="129" t="s">
        <v>68</v>
      </c>
      <c r="BC453" s="129" t="s">
        <v>52</v>
      </c>
      <c r="BF453" s="111">
        <f t="shared" si="344"/>
        <v>195</v>
      </c>
      <c r="BG453" s="111">
        <f t="shared" si="345"/>
        <v>195</v>
      </c>
      <c r="BH453" s="111">
        <f t="shared" si="348"/>
        <v>195</v>
      </c>
      <c r="BI453" s="111">
        <f t="shared" si="349"/>
        <v>45.21857923497268</v>
      </c>
      <c r="BJ453" s="129">
        <f t="shared" si="355"/>
        <v>0</v>
      </c>
      <c r="BK453" s="129">
        <f t="shared" si="350"/>
        <v>0</v>
      </c>
      <c r="BL453" s="129" t="str">
        <f t="shared" si="351"/>
        <v>CONVICTION</v>
      </c>
      <c r="BM453" s="129" t="str">
        <f t="shared" si="356"/>
        <v>NONE</v>
      </c>
      <c r="BN453" s="129" t="s">
        <v>566</v>
      </c>
      <c r="BP453" s="137" t="str">
        <f t="shared" si="357"/>
        <v>CONVICTION</v>
      </c>
      <c r="BQ453" s="128" t="str">
        <f t="shared" si="358"/>
        <v>Y</v>
      </c>
      <c r="BR453" s="129" t="str">
        <f t="shared" si="359"/>
        <v>DETAINED</v>
      </c>
      <c r="BS453" s="129" t="str">
        <f t="shared" si="360"/>
        <v>DISPOSED</v>
      </c>
      <c r="BT453" s="129" t="str">
        <f t="shared" si="361"/>
        <v>Y</v>
      </c>
      <c r="BU453" s="109">
        <f t="shared" si="362"/>
        <v>1</v>
      </c>
      <c r="BV453" s="109">
        <f t="shared" si="363"/>
        <v>1</v>
      </c>
      <c r="BW453" s="109">
        <f t="shared" si="335"/>
        <v>0</v>
      </c>
      <c r="BX453" s="111">
        <f t="shared" si="364"/>
        <v>0</v>
      </c>
      <c r="BY453" s="129">
        <f t="shared" si="365"/>
        <v>-195</v>
      </c>
      <c r="BZ453" s="111">
        <f t="shared" si="366"/>
        <v>0</v>
      </c>
      <c r="CA453" s="138">
        <f t="shared" si="367"/>
        <v>195</v>
      </c>
      <c r="CB453" s="111" t="e">
        <f t="shared" si="346"/>
        <v>#VALUE!</v>
      </c>
      <c r="CC453" s="129">
        <f>G453-I453+1</f>
        <v>195</v>
      </c>
      <c r="CD453" s="129">
        <f>G453-J453</f>
        <v>0</v>
      </c>
      <c r="CE453" s="129">
        <f t="shared" si="368"/>
        <v>0</v>
      </c>
      <c r="CG453" s="129" t="str">
        <f t="shared" si="369"/>
        <v>Y</v>
      </c>
      <c r="CI453" s="129" t="str">
        <f t="shared" si="370"/>
        <v>121-365 DAYS</v>
      </c>
      <c r="CJ453" s="137">
        <f t="shared" si="371"/>
        <v>6</v>
      </c>
      <c r="CK453" s="129" t="str">
        <f t="shared" si="372"/>
        <v>Booked</v>
      </c>
    </row>
    <row r="454" spans="1:89" ht="15" customHeight="1" x14ac:dyDescent="0.25">
      <c r="A454" s="111">
        <v>782</v>
      </c>
      <c r="B454" s="128" t="str">
        <f t="shared" si="352"/>
        <v>N</v>
      </c>
      <c r="C454" s="128" t="str">
        <f t="shared" si="353"/>
        <v>N</v>
      </c>
      <c r="D454" s="117">
        <v>1158630</v>
      </c>
      <c r="E454" s="135">
        <f t="shared" si="354"/>
        <v>1</v>
      </c>
      <c r="F454" s="124">
        <v>40939</v>
      </c>
      <c r="G454" s="125">
        <v>41008</v>
      </c>
      <c r="H454" s="117">
        <v>1158630</v>
      </c>
      <c r="I454" s="124">
        <v>40939</v>
      </c>
      <c r="J454" s="124">
        <v>40985</v>
      </c>
      <c r="K454" s="126">
        <v>40000</v>
      </c>
      <c r="L454" s="129" t="s">
        <v>572</v>
      </c>
      <c r="M454" s="125">
        <v>40985</v>
      </c>
      <c r="N454" s="129" t="str">
        <f>IF(M454&gt;1/1/1,"Y","N")</f>
        <v>Y</v>
      </c>
      <c r="O454" s="128" t="s">
        <v>76</v>
      </c>
      <c r="P454" s="129" t="s">
        <v>123</v>
      </c>
      <c r="Q454" s="111">
        <f t="shared" si="340"/>
        <v>47</v>
      </c>
      <c r="R454" s="111">
        <f t="shared" si="347"/>
        <v>70</v>
      </c>
      <c r="S454" s="129">
        <v>5</v>
      </c>
      <c r="T454" s="129">
        <v>2</v>
      </c>
      <c r="U454" s="129">
        <v>4</v>
      </c>
      <c r="W454" s="111"/>
      <c r="AC454" s="130"/>
      <c r="AD454" s="130">
        <v>21261</v>
      </c>
      <c r="AE454" s="128" t="s">
        <v>32</v>
      </c>
      <c r="AF454" s="128" t="s">
        <v>33</v>
      </c>
      <c r="AG454" s="128" t="s">
        <v>872</v>
      </c>
      <c r="AH454" s="108" t="s">
        <v>31</v>
      </c>
      <c r="AI454" s="128" t="s">
        <v>47</v>
      </c>
      <c r="AJ454" s="129" t="s">
        <v>123</v>
      </c>
      <c r="AK454" s="129">
        <v>4</v>
      </c>
      <c r="AL454" s="3" t="s">
        <v>123</v>
      </c>
      <c r="AP454" s="129" t="s">
        <v>150</v>
      </c>
      <c r="AR454" s="128" t="s">
        <v>67</v>
      </c>
      <c r="AS454" s="129" t="s">
        <v>74</v>
      </c>
      <c r="BC454" s="129" t="s">
        <v>52</v>
      </c>
      <c r="BF454" s="111">
        <f t="shared" si="344"/>
        <v>47</v>
      </c>
      <c r="BG454" s="111">
        <f t="shared" si="345"/>
        <v>70</v>
      </c>
      <c r="BH454" s="111">
        <f t="shared" si="348"/>
        <v>70</v>
      </c>
      <c r="BI454" s="111">
        <f t="shared" si="349"/>
        <v>53.765027322404372</v>
      </c>
      <c r="BJ454" s="129">
        <f>(G454-J454)+(M454-G454)</f>
        <v>0</v>
      </c>
      <c r="BK454" s="129">
        <f t="shared" si="350"/>
        <v>-23</v>
      </c>
      <c r="BL454" s="129" t="str">
        <f t="shared" si="351"/>
        <v>NO CONVICTION</v>
      </c>
      <c r="BM454" s="129" t="s">
        <v>76</v>
      </c>
      <c r="BN454" s="129" t="s">
        <v>88</v>
      </c>
      <c r="BP454" s="137" t="str">
        <f t="shared" si="357"/>
        <v>NO CONVICTION</v>
      </c>
      <c r="BQ454" s="128" t="str">
        <f t="shared" si="358"/>
        <v>Y</v>
      </c>
      <c r="BR454" s="129" t="str">
        <f t="shared" si="359"/>
        <v>ON BOND</v>
      </c>
      <c r="BS454" s="129" t="str">
        <f t="shared" si="360"/>
        <v>DISPOSED</v>
      </c>
      <c r="BT454" s="129" t="str">
        <f t="shared" si="361"/>
        <v>Y</v>
      </c>
      <c r="BU454" s="109">
        <f>IFERROR(Q454/R454,BR454)</f>
        <v>0.67142857142857137</v>
      </c>
      <c r="BV454" s="109">
        <f t="shared" si="363"/>
        <v>0.67142857142857137</v>
      </c>
      <c r="BW454" s="109">
        <f t="shared" si="335"/>
        <v>0</v>
      </c>
      <c r="BX454" s="111">
        <f t="shared" si="364"/>
        <v>0</v>
      </c>
      <c r="BY454" s="129">
        <f t="shared" si="365"/>
        <v>-47</v>
      </c>
      <c r="BZ454" s="111">
        <f t="shared" si="366"/>
        <v>0</v>
      </c>
      <c r="CA454" s="138">
        <f t="shared" si="367"/>
        <v>47</v>
      </c>
      <c r="CB454" s="111" t="e">
        <f t="shared" si="346"/>
        <v>#VALUE!</v>
      </c>
      <c r="CC454" s="129">
        <f>M454-I454+1</f>
        <v>47</v>
      </c>
      <c r="CD454" s="111">
        <f>CC454-BF454</f>
        <v>0</v>
      </c>
      <c r="CE454" s="129">
        <f t="shared" si="368"/>
        <v>23</v>
      </c>
      <c r="CG454" s="129" t="str">
        <f t="shared" si="369"/>
        <v>Y</v>
      </c>
      <c r="CI454" s="129" t="str">
        <f t="shared" si="370"/>
        <v>31-60 DAYS</v>
      </c>
      <c r="CJ454" s="137">
        <f t="shared" si="371"/>
        <v>3</v>
      </c>
      <c r="CK454" s="129" t="str">
        <f t="shared" si="372"/>
        <v>Booked</v>
      </c>
    </row>
    <row r="455" spans="1:89" ht="15.75" customHeight="1" x14ac:dyDescent="0.25">
      <c r="A455" s="111">
        <v>1605</v>
      </c>
      <c r="B455" s="128" t="str">
        <f t="shared" si="352"/>
        <v>N</v>
      </c>
      <c r="C455" s="128" t="str">
        <f t="shared" si="353"/>
        <v>N</v>
      </c>
      <c r="D455" s="117">
        <v>1161585</v>
      </c>
      <c r="E455" s="135">
        <f t="shared" si="354"/>
        <v>5</v>
      </c>
      <c r="F455" s="124">
        <v>40968</v>
      </c>
      <c r="G455" s="125">
        <v>40970</v>
      </c>
      <c r="H455" s="117">
        <v>1161585</v>
      </c>
      <c r="I455" s="124">
        <v>40968</v>
      </c>
      <c r="J455" s="124">
        <v>40970</v>
      </c>
      <c r="K455" s="126">
        <v>5000</v>
      </c>
      <c r="L455" s="127" t="s">
        <v>569</v>
      </c>
      <c r="N455" s="129" t="str">
        <f>IF(M455&gt;1/1/1,"Y","N")</f>
        <v>N</v>
      </c>
      <c r="O455" s="128" t="s">
        <v>917</v>
      </c>
      <c r="P455" s="129" t="s">
        <v>39</v>
      </c>
      <c r="Q455" s="111">
        <f t="shared" si="340"/>
        <v>3</v>
      </c>
      <c r="R455" s="111">
        <f t="shared" si="347"/>
        <v>3</v>
      </c>
      <c r="S455" s="129">
        <v>3</v>
      </c>
      <c r="T455" s="129">
        <v>4</v>
      </c>
      <c r="U455" s="129">
        <v>1</v>
      </c>
      <c r="W455" s="111"/>
      <c r="AC455" s="130"/>
      <c r="AD455" s="130">
        <v>26224</v>
      </c>
      <c r="AE455" s="128" t="s">
        <v>32</v>
      </c>
      <c r="AF455" s="128" t="s">
        <v>33</v>
      </c>
      <c r="AG455" s="128" t="s">
        <v>872</v>
      </c>
      <c r="AH455" s="108" t="s">
        <v>31</v>
      </c>
      <c r="AI455" s="128" t="s">
        <v>34</v>
      </c>
      <c r="AJ455" s="129" t="s">
        <v>89</v>
      </c>
      <c r="AK455" s="129">
        <v>1</v>
      </c>
      <c r="AL455" s="3" t="s">
        <v>992</v>
      </c>
      <c r="AN455" s="117">
        <v>6</v>
      </c>
      <c r="AP455" s="129" t="s">
        <v>43</v>
      </c>
      <c r="AR455" s="128" t="s">
        <v>44</v>
      </c>
      <c r="AS455" s="129" t="s">
        <v>45</v>
      </c>
      <c r="BC455" s="129" t="s">
        <v>38</v>
      </c>
      <c r="BF455" s="111">
        <f t="shared" si="344"/>
        <v>3</v>
      </c>
      <c r="BG455" s="111">
        <f t="shared" si="345"/>
        <v>3</v>
      </c>
      <c r="BH455" s="111">
        <f t="shared" si="348"/>
        <v>3</v>
      </c>
      <c r="BI455" s="111">
        <f t="shared" si="349"/>
        <v>40.284153005464482</v>
      </c>
      <c r="BJ455" s="129">
        <f t="shared" si="355"/>
        <v>0</v>
      </c>
      <c r="BK455" s="129">
        <f t="shared" si="350"/>
        <v>0</v>
      </c>
      <c r="BL455" s="129" t="str">
        <f t="shared" si="351"/>
        <v>CONVICTION</v>
      </c>
      <c r="BM455" s="129" t="str">
        <f t="shared" si="356"/>
        <v>NONE</v>
      </c>
      <c r="BN455" s="129" t="s">
        <v>566</v>
      </c>
      <c r="BP455" s="137" t="str">
        <f t="shared" si="357"/>
        <v>CONVICTION</v>
      </c>
      <c r="BQ455" s="128" t="str">
        <f t="shared" si="358"/>
        <v>Y</v>
      </c>
      <c r="BR455" s="129" t="str">
        <f t="shared" si="359"/>
        <v>DETAINED</v>
      </c>
      <c r="BS455" s="129" t="str">
        <f t="shared" si="360"/>
        <v>DISPOSED</v>
      </c>
      <c r="BT455" s="129" t="str">
        <f t="shared" si="361"/>
        <v>Y</v>
      </c>
      <c r="BU455" s="109">
        <f t="shared" si="362"/>
        <v>1</v>
      </c>
      <c r="BV455" s="109">
        <f t="shared" si="363"/>
        <v>1</v>
      </c>
      <c r="BW455" s="109">
        <f t="shared" si="335"/>
        <v>0</v>
      </c>
      <c r="BX455" s="111">
        <f t="shared" si="364"/>
        <v>0</v>
      </c>
      <c r="BY455" s="129">
        <f t="shared" si="365"/>
        <v>-3</v>
      </c>
      <c r="BZ455" s="111">
        <f t="shared" si="366"/>
        <v>0</v>
      </c>
      <c r="CA455" s="138">
        <f t="shared" si="367"/>
        <v>3</v>
      </c>
      <c r="CB455" s="111" t="e">
        <f t="shared" si="346"/>
        <v>#VALUE!</v>
      </c>
      <c r="CC455" s="129">
        <f>G455-I455+1</f>
        <v>3</v>
      </c>
      <c r="CD455" s="129">
        <f>G455-J455</f>
        <v>0</v>
      </c>
      <c r="CE455" s="129">
        <f t="shared" si="368"/>
        <v>0</v>
      </c>
      <c r="CG455" s="129" t="str">
        <f t="shared" si="369"/>
        <v>Y</v>
      </c>
      <c r="CI455" s="129" t="str">
        <f t="shared" si="370"/>
        <v>0-10 DAYS</v>
      </c>
      <c r="CJ455" s="137">
        <f t="shared" si="371"/>
        <v>1</v>
      </c>
      <c r="CK455" s="129" t="str">
        <f t="shared" si="372"/>
        <v>Booked</v>
      </c>
    </row>
    <row r="456" spans="1:89" ht="15.75" customHeight="1" x14ac:dyDescent="0.25">
      <c r="A456" s="111">
        <v>3017</v>
      </c>
      <c r="B456" s="128" t="str">
        <f t="shared" si="352"/>
        <v>N</v>
      </c>
      <c r="C456" s="128" t="str">
        <f t="shared" si="353"/>
        <v>N</v>
      </c>
      <c r="D456" s="117">
        <v>1163601</v>
      </c>
      <c r="E456" s="135">
        <f t="shared" si="354"/>
        <v>5</v>
      </c>
      <c r="F456" s="124">
        <v>41020</v>
      </c>
      <c r="G456" s="125">
        <v>41022</v>
      </c>
      <c r="H456" s="117">
        <v>1163601</v>
      </c>
      <c r="I456" s="124">
        <v>41020</v>
      </c>
      <c r="J456" s="124">
        <v>41022</v>
      </c>
      <c r="K456" s="126" t="s">
        <v>564</v>
      </c>
      <c r="L456" s="127" t="s">
        <v>564</v>
      </c>
      <c r="N456" s="129" t="s">
        <v>566</v>
      </c>
      <c r="O456" s="128" t="s">
        <v>917</v>
      </c>
      <c r="P456" s="129" t="s">
        <v>39</v>
      </c>
      <c r="Q456" s="111">
        <f t="shared" si="340"/>
        <v>3</v>
      </c>
      <c r="R456" s="111">
        <f t="shared" si="347"/>
        <v>3</v>
      </c>
      <c r="S456" s="129">
        <v>4</v>
      </c>
      <c r="T456" s="129">
        <v>1</v>
      </c>
      <c r="U456" s="129">
        <v>3</v>
      </c>
      <c r="W456" s="111"/>
      <c r="AC456" s="130"/>
      <c r="AD456" s="130">
        <v>26382</v>
      </c>
      <c r="AE456" s="128" t="s">
        <v>32</v>
      </c>
      <c r="AF456" s="128" t="s">
        <v>33</v>
      </c>
      <c r="AG456" s="128" t="s">
        <v>872</v>
      </c>
      <c r="AH456" s="108" t="s">
        <v>31</v>
      </c>
      <c r="AI456" s="128" t="s">
        <v>113</v>
      </c>
      <c r="AJ456" s="129" t="s">
        <v>89</v>
      </c>
      <c r="AK456" s="129">
        <v>1</v>
      </c>
      <c r="AL456" s="3" t="s">
        <v>992</v>
      </c>
      <c r="AN456" s="117">
        <v>6</v>
      </c>
      <c r="AP456" s="129" t="s">
        <v>43</v>
      </c>
      <c r="AR456" s="128" t="s">
        <v>44</v>
      </c>
      <c r="AS456" s="129" t="s">
        <v>45</v>
      </c>
      <c r="BC456" s="129" t="s">
        <v>38</v>
      </c>
      <c r="BF456" s="111">
        <f t="shared" si="344"/>
        <v>3</v>
      </c>
      <c r="BG456" s="111">
        <f t="shared" si="345"/>
        <v>3</v>
      </c>
      <c r="BH456" s="111">
        <f t="shared" si="348"/>
        <v>3</v>
      </c>
      <c r="BI456" s="111">
        <f t="shared" si="349"/>
        <v>39.994535519125684</v>
      </c>
      <c r="BJ456" s="129">
        <f t="shared" si="355"/>
        <v>0</v>
      </c>
      <c r="BK456" s="129">
        <f t="shared" si="350"/>
        <v>0</v>
      </c>
      <c r="BL456" s="129" t="str">
        <f t="shared" si="351"/>
        <v>CONVICTION</v>
      </c>
      <c r="BM456" s="129" t="str">
        <f t="shared" si="356"/>
        <v>NONE</v>
      </c>
      <c r="BN456" s="129" t="s">
        <v>566</v>
      </c>
      <c r="BP456" s="137" t="str">
        <f t="shared" si="357"/>
        <v>CONVICTION</v>
      </c>
      <c r="BQ456" s="128" t="str">
        <f t="shared" si="358"/>
        <v>Y</v>
      </c>
      <c r="BR456" s="129" t="str">
        <f t="shared" si="359"/>
        <v>DETAINED</v>
      </c>
      <c r="BS456" s="129" t="str">
        <f t="shared" si="360"/>
        <v>DISPOSED</v>
      </c>
      <c r="BT456" s="129" t="str">
        <f t="shared" si="361"/>
        <v>Y</v>
      </c>
      <c r="BU456" s="109">
        <f t="shared" si="362"/>
        <v>1</v>
      </c>
      <c r="BV456" s="109">
        <f t="shared" si="363"/>
        <v>1</v>
      </c>
      <c r="BW456" s="109">
        <f t="shared" si="335"/>
        <v>0</v>
      </c>
      <c r="BX456" s="111">
        <f t="shared" si="364"/>
        <v>0</v>
      </c>
      <c r="BY456" s="129">
        <f t="shared" si="365"/>
        <v>-3</v>
      </c>
      <c r="BZ456" s="111">
        <f t="shared" si="366"/>
        <v>0</v>
      </c>
      <c r="CA456" s="138">
        <f t="shared" si="367"/>
        <v>3</v>
      </c>
      <c r="CB456" s="111" t="e">
        <f t="shared" si="346"/>
        <v>#VALUE!</v>
      </c>
      <c r="CC456" s="129">
        <f>G456-I456+1</f>
        <v>3</v>
      </c>
      <c r="CD456" s="129">
        <f>G456-J456</f>
        <v>0</v>
      </c>
      <c r="CE456" s="129">
        <f t="shared" si="368"/>
        <v>0</v>
      </c>
      <c r="CG456" s="129" t="str">
        <f t="shared" si="369"/>
        <v>Y</v>
      </c>
      <c r="CI456" s="129" t="str">
        <f t="shared" si="370"/>
        <v>0-10 DAYS</v>
      </c>
      <c r="CJ456" s="137">
        <f t="shared" si="371"/>
        <v>1</v>
      </c>
      <c r="CK456" s="129" t="str">
        <f t="shared" si="372"/>
        <v>Booked</v>
      </c>
    </row>
    <row r="457" spans="1:89" ht="15.75" customHeight="1" x14ac:dyDescent="0.25">
      <c r="A457" s="111">
        <v>1215</v>
      </c>
      <c r="B457" s="128" t="str">
        <f t="shared" si="352"/>
        <v>N</v>
      </c>
      <c r="C457" s="128" t="str">
        <f t="shared" si="353"/>
        <v>N</v>
      </c>
      <c r="D457" s="117">
        <v>1164305</v>
      </c>
      <c r="E457" s="135">
        <f t="shared" si="354"/>
        <v>5</v>
      </c>
      <c r="F457" s="124">
        <v>40953</v>
      </c>
      <c r="G457" s="125">
        <v>40982</v>
      </c>
      <c r="H457" s="117">
        <v>1164305</v>
      </c>
      <c r="I457" s="124">
        <v>40976</v>
      </c>
      <c r="J457" s="124">
        <v>40982</v>
      </c>
      <c r="K457" s="126">
        <v>30000</v>
      </c>
      <c r="L457" s="129" t="s">
        <v>572</v>
      </c>
      <c r="N457" s="129" t="str">
        <f>IF(M457&gt;1/1/1,"Y","N")</f>
        <v>N</v>
      </c>
      <c r="O457" s="128" t="s">
        <v>917</v>
      </c>
      <c r="P457" s="129" t="s">
        <v>39</v>
      </c>
      <c r="Q457" s="111">
        <f t="shared" si="340"/>
        <v>7</v>
      </c>
      <c r="R457" s="111">
        <f t="shared" si="347"/>
        <v>30</v>
      </c>
      <c r="S457" s="129">
        <v>3</v>
      </c>
      <c r="T457" s="129">
        <v>0</v>
      </c>
      <c r="U457" s="129">
        <v>3</v>
      </c>
      <c r="W457" s="111"/>
      <c r="AC457" s="130"/>
      <c r="AD457" s="130">
        <v>21554</v>
      </c>
      <c r="AE457" s="128" t="s">
        <v>32</v>
      </c>
      <c r="AF457" s="128" t="s">
        <v>69</v>
      </c>
      <c r="AG457" s="128" t="s">
        <v>874</v>
      </c>
      <c r="AH457" s="108" t="s">
        <v>58</v>
      </c>
      <c r="AI457" s="128" t="s">
        <v>53</v>
      </c>
      <c r="AJ457" s="129" t="s">
        <v>89</v>
      </c>
      <c r="AK457" s="129">
        <v>4</v>
      </c>
      <c r="AL457" s="3" t="s">
        <v>992</v>
      </c>
      <c r="AN457" s="117">
        <v>18</v>
      </c>
      <c r="AP457" s="129" t="s">
        <v>306</v>
      </c>
      <c r="AR457" s="128" t="s">
        <v>44</v>
      </c>
      <c r="AS457" s="129" t="s">
        <v>64</v>
      </c>
      <c r="BC457" s="129" t="s">
        <v>38</v>
      </c>
      <c r="BF457" s="111">
        <f t="shared" si="344"/>
        <v>7</v>
      </c>
      <c r="BG457" s="111">
        <f t="shared" si="345"/>
        <v>7</v>
      </c>
      <c r="BH457" s="111">
        <f t="shared" si="348"/>
        <v>30</v>
      </c>
      <c r="BI457" s="111">
        <f t="shared" si="349"/>
        <v>53.002732240437162</v>
      </c>
      <c r="BJ457" s="129">
        <f t="shared" si="355"/>
        <v>0</v>
      </c>
      <c r="BK457" s="129">
        <f t="shared" si="350"/>
        <v>0</v>
      </c>
      <c r="BL457" s="129" t="str">
        <f t="shared" si="351"/>
        <v>CONVICTION</v>
      </c>
      <c r="BM457" s="129" t="str">
        <f t="shared" si="356"/>
        <v>NONE</v>
      </c>
      <c r="BN457" s="129" t="s">
        <v>566</v>
      </c>
      <c r="BP457" s="137" t="str">
        <f t="shared" si="357"/>
        <v>CONVICTION</v>
      </c>
      <c r="BQ457" s="128" t="str">
        <f t="shared" si="358"/>
        <v>Y</v>
      </c>
      <c r="BR457" s="129" t="str">
        <f t="shared" si="359"/>
        <v>DETAINED</v>
      </c>
      <c r="BS457" s="129" t="str">
        <f t="shared" si="360"/>
        <v>DISPOSED</v>
      </c>
      <c r="BT457" s="129" t="str">
        <f t="shared" si="361"/>
        <v>Y</v>
      </c>
      <c r="BU457" s="109">
        <f t="shared" si="362"/>
        <v>0.23333333333333334</v>
      </c>
      <c r="BV457" s="109">
        <f t="shared" si="363"/>
        <v>1</v>
      </c>
      <c r="BW457" s="109">
        <f t="shared" si="335"/>
        <v>0.76666666666666661</v>
      </c>
      <c r="BX457" s="111">
        <f t="shared" si="364"/>
        <v>0</v>
      </c>
      <c r="BY457" s="129">
        <f t="shared" si="365"/>
        <v>-7</v>
      </c>
      <c r="BZ457" s="111">
        <f t="shared" si="366"/>
        <v>0</v>
      </c>
      <c r="CA457" s="138">
        <f t="shared" si="367"/>
        <v>7</v>
      </c>
      <c r="CB457" s="111" t="e">
        <f t="shared" si="346"/>
        <v>#VALUE!</v>
      </c>
      <c r="CC457" s="129">
        <f>G457-I457+1</f>
        <v>7</v>
      </c>
      <c r="CD457" s="129">
        <f>G457-J457</f>
        <v>0</v>
      </c>
      <c r="CE457" s="129">
        <f t="shared" si="368"/>
        <v>0</v>
      </c>
      <c r="CG457" s="129" t="str">
        <f t="shared" si="369"/>
        <v>Y</v>
      </c>
      <c r="CI457" s="129" t="str">
        <f t="shared" si="370"/>
        <v>0-10 DAYS</v>
      </c>
      <c r="CJ457" s="137">
        <f t="shared" si="371"/>
        <v>1</v>
      </c>
      <c r="CK457" s="129" t="str">
        <f t="shared" si="372"/>
        <v>Booked</v>
      </c>
    </row>
    <row r="458" spans="1:89" ht="15.75" customHeight="1" x14ac:dyDescent="0.25">
      <c r="A458" s="111">
        <v>196</v>
      </c>
      <c r="B458" s="128" t="str">
        <f t="shared" si="352"/>
        <v>N</v>
      </c>
      <c r="C458" s="128" t="str">
        <f t="shared" si="353"/>
        <v>N</v>
      </c>
      <c r="D458" s="117">
        <v>1172234</v>
      </c>
      <c r="E458" s="135">
        <f t="shared" si="354"/>
        <v>6</v>
      </c>
      <c r="F458" s="124">
        <v>40917</v>
      </c>
      <c r="G458" s="125">
        <v>41101</v>
      </c>
      <c r="H458" s="117">
        <v>1172234</v>
      </c>
      <c r="I458" s="124">
        <v>40917</v>
      </c>
      <c r="J458" s="124">
        <v>41101</v>
      </c>
      <c r="K458" s="126">
        <v>15000</v>
      </c>
      <c r="L458" s="127" t="s">
        <v>571</v>
      </c>
      <c r="N458" s="129" t="str">
        <f>IF(M458&gt;1/1/1,"Y","N")</f>
        <v>N</v>
      </c>
      <c r="O458" s="128" t="s">
        <v>917</v>
      </c>
      <c r="P458" s="129" t="s">
        <v>39</v>
      </c>
      <c r="Q458" s="111">
        <f t="shared" si="340"/>
        <v>185</v>
      </c>
      <c r="R458" s="111">
        <f t="shared" si="347"/>
        <v>185</v>
      </c>
      <c r="S458" s="129">
        <v>13</v>
      </c>
      <c r="T458" s="129">
        <v>8</v>
      </c>
      <c r="U458" s="129">
        <v>7</v>
      </c>
      <c r="W458" s="111"/>
      <c r="AC458" s="130"/>
      <c r="AD458" s="130">
        <v>25463</v>
      </c>
      <c r="AE458" s="128" t="s">
        <v>32</v>
      </c>
      <c r="AF458" s="128" t="s">
        <v>33</v>
      </c>
      <c r="AG458" s="128" t="s">
        <v>872</v>
      </c>
      <c r="AH458" s="108" t="s">
        <v>58</v>
      </c>
      <c r="AI458" s="128" t="s">
        <v>59</v>
      </c>
      <c r="AJ458" s="129" t="s">
        <v>89</v>
      </c>
      <c r="AK458" s="129">
        <v>6</v>
      </c>
      <c r="AL458" s="3" t="s">
        <v>362</v>
      </c>
      <c r="AM458" s="117">
        <v>6</v>
      </c>
      <c r="AP458" s="129" t="s">
        <v>60</v>
      </c>
      <c r="AR458" s="128" t="s">
        <v>44</v>
      </c>
      <c r="AS458" s="129" t="s">
        <v>61</v>
      </c>
      <c r="BC458" s="129" t="s">
        <v>38</v>
      </c>
      <c r="BF458" s="111">
        <f t="shared" si="344"/>
        <v>185</v>
      </c>
      <c r="BG458" s="111">
        <f t="shared" si="345"/>
        <v>185</v>
      </c>
      <c r="BH458" s="111">
        <f t="shared" si="348"/>
        <v>185</v>
      </c>
      <c r="BI458" s="111">
        <f t="shared" si="349"/>
        <v>42.224043715846996</v>
      </c>
      <c r="BJ458" s="129">
        <f t="shared" si="355"/>
        <v>0</v>
      </c>
      <c r="BK458" s="129">
        <f t="shared" si="350"/>
        <v>0</v>
      </c>
      <c r="BL458" s="129" t="str">
        <f t="shared" si="351"/>
        <v>CONVICTION</v>
      </c>
      <c r="BM458" s="129" t="str">
        <f t="shared" si="356"/>
        <v>NONE</v>
      </c>
      <c r="BN458" s="129" t="s">
        <v>566</v>
      </c>
      <c r="BP458" s="137" t="str">
        <f t="shared" si="357"/>
        <v>CONVICTION</v>
      </c>
      <c r="BQ458" s="128" t="str">
        <f t="shared" si="358"/>
        <v>Y</v>
      </c>
      <c r="BR458" s="129" t="str">
        <f t="shared" si="359"/>
        <v>DETAINED</v>
      </c>
      <c r="BS458" s="129" t="str">
        <f t="shared" si="360"/>
        <v>DISPOSED</v>
      </c>
      <c r="BT458" s="129" t="str">
        <f t="shared" si="361"/>
        <v>Y</v>
      </c>
      <c r="BU458" s="109">
        <f t="shared" si="362"/>
        <v>1</v>
      </c>
      <c r="BV458" s="109">
        <f t="shared" si="363"/>
        <v>1</v>
      </c>
      <c r="BW458" s="109">
        <f t="shared" si="335"/>
        <v>0</v>
      </c>
      <c r="BX458" s="111">
        <f t="shared" si="364"/>
        <v>0</v>
      </c>
      <c r="BY458" s="129">
        <f t="shared" si="365"/>
        <v>-185</v>
      </c>
      <c r="BZ458" s="111">
        <f t="shared" si="366"/>
        <v>0</v>
      </c>
      <c r="CA458" s="138">
        <f t="shared" si="367"/>
        <v>185</v>
      </c>
      <c r="CB458" s="111" t="e">
        <f t="shared" si="346"/>
        <v>#VALUE!</v>
      </c>
      <c r="CC458" s="129">
        <f>G458-I458+1</f>
        <v>185</v>
      </c>
      <c r="CD458" s="129">
        <f>G458-J458</f>
        <v>0</v>
      </c>
      <c r="CE458" s="129">
        <f t="shared" si="368"/>
        <v>0</v>
      </c>
      <c r="CG458" s="129" t="str">
        <f t="shared" si="369"/>
        <v>Y</v>
      </c>
      <c r="CI458" s="129" t="str">
        <f t="shared" si="370"/>
        <v>121-365 DAYS</v>
      </c>
      <c r="CJ458" s="137">
        <f t="shared" si="371"/>
        <v>6</v>
      </c>
      <c r="CK458" s="129" t="str">
        <f t="shared" si="372"/>
        <v>Booked</v>
      </c>
    </row>
    <row r="459" spans="1:89" ht="15.75" customHeight="1" x14ac:dyDescent="0.25">
      <c r="A459" s="111">
        <v>3003</v>
      </c>
      <c r="B459" s="128" t="str">
        <f t="shared" si="352"/>
        <v>N</v>
      </c>
      <c r="C459" s="128" t="str">
        <f t="shared" si="353"/>
        <v>N</v>
      </c>
      <c r="D459" s="117">
        <v>1174558</v>
      </c>
      <c r="E459" s="135">
        <f t="shared" si="354"/>
        <v>1</v>
      </c>
      <c r="F459" s="124">
        <v>41019</v>
      </c>
      <c r="G459" s="125">
        <v>41149</v>
      </c>
      <c r="H459" s="117">
        <v>1174558</v>
      </c>
      <c r="I459" s="124" t="s">
        <v>562</v>
      </c>
      <c r="J459" s="124" t="s">
        <v>562</v>
      </c>
      <c r="K459" s="126">
        <v>2000</v>
      </c>
      <c r="L459" s="127" t="s">
        <v>568</v>
      </c>
      <c r="M459" s="125">
        <v>41045</v>
      </c>
      <c r="N459" s="129" t="str">
        <f>IF(M459&gt;1/1/1,"Y",IF(Q459="0","","N"))</f>
        <v>Y</v>
      </c>
      <c r="O459" s="128" t="s">
        <v>583</v>
      </c>
      <c r="P459" s="129" t="s">
        <v>55</v>
      </c>
      <c r="Q459" s="111">
        <f t="shared" si="340"/>
        <v>0</v>
      </c>
      <c r="R459" s="111">
        <f t="shared" si="347"/>
        <v>131</v>
      </c>
      <c r="S459" s="129">
        <v>1</v>
      </c>
      <c r="T459" s="129">
        <v>2</v>
      </c>
      <c r="V459" s="117">
        <v>1</v>
      </c>
      <c r="W459" s="111"/>
      <c r="AC459" s="130"/>
      <c r="AD459" s="130">
        <v>26240</v>
      </c>
      <c r="AE459" s="128" t="s">
        <v>32</v>
      </c>
      <c r="AF459" s="128" t="s">
        <v>40</v>
      </c>
      <c r="AG459" s="128" t="s">
        <v>41</v>
      </c>
      <c r="AH459" s="108" t="s">
        <v>41</v>
      </c>
      <c r="AI459" s="128" t="s">
        <v>87</v>
      </c>
      <c r="AJ459" s="129" t="s">
        <v>55</v>
      </c>
      <c r="AK459" s="129">
        <v>6</v>
      </c>
      <c r="AL459" s="3" t="s">
        <v>55</v>
      </c>
      <c r="AP459" s="129" t="s">
        <v>63</v>
      </c>
      <c r="AR459" s="128" t="s">
        <v>44</v>
      </c>
      <c r="AS459" s="129" t="s">
        <v>64</v>
      </c>
      <c r="BC459" s="129" t="s">
        <v>52</v>
      </c>
      <c r="BF459" s="111">
        <v>0</v>
      </c>
      <c r="BG459" s="111">
        <v>0</v>
      </c>
      <c r="BH459" s="111">
        <f t="shared" si="348"/>
        <v>131</v>
      </c>
      <c r="BI459" s="111">
        <f t="shared" si="349"/>
        <v>40.379781420765028</v>
      </c>
      <c r="BJ459" s="129" t="e">
        <f>(G459-J459)+(M459-G459)</f>
        <v>#VALUE!</v>
      </c>
      <c r="BK459" s="129" t="e">
        <f t="shared" si="350"/>
        <v>#VALUE!</v>
      </c>
      <c r="BL459" s="129" t="str">
        <f t="shared" si="351"/>
        <v>NO CONVICTION</v>
      </c>
      <c r="BM459" s="129" t="s">
        <v>583</v>
      </c>
      <c r="BN459" s="129" t="s">
        <v>88</v>
      </c>
      <c r="BP459" s="137" t="str">
        <f t="shared" si="357"/>
        <v>NO CONVICTION</v>
      </c>
      <c r="BQ459" s="128">
        <f t="shared" si="358"/>
        <v>0</v>
      </c>
      <c r="BR459" s="129" t="s">
        <v>575</v>
      </c>
      <c r="BS459" s="129" t="str">
        <f t="shared" si="360"/>
        <v>DISPOSED</v>
      </c>
      <c r="BT459" s="129" t="str">
        <f t="shared" si="361"/>
        <v>Y</v>
      </c>
      <c r="BU459" s="109">
        <f>IFERROR(Q459/R459,BR459)</f>
        <v>0</v>
      </c>
      <c r="BV459" s="109">
        <v>0</v>
      </c>
      <c r="BW459" s="109">
        <f t="shared" si="335"/>
        <v>0</v>
      </c>
      <c r="BX459" s="111">
        <f t="shared" si="364"/>
        <v>0</v>
      </c>
      <c r="BY459" s="129" t="e">
        <f t="shared" si="365"/>
        <v>#VALUE!</v>
      </c>
      <c r="BZ459" s="111" t="e">
        <f t="shared" si="366"/>
        <v>#VALUE!</v>
      </c>
      <c r="CA459" s="138" t="e">
        <f t="shared" si="367"/>
        <v>#VALUE!</v>
      </c>
      <c r="CB459" s="111">
        <v>0</v>
      </c>
      <c r="CC459" s="129">
        <v>0</v>
      </c>
      <c r="CD459" s="111">
        <f>CC459-BF459</f>
        <v>0</v>
      </c>
      <c r="CE459" s="129" t="e">
        <f t="shared" si="368"/>
        <v>#VALUE!</v>
      </c>
      <c r="CG459" s="129" t="str">
        <f t="shared" si="369"/>
        <v>Y</v>
      </c>
      <c r="CI459" s="129" t="str">
        <f t="shared" si="370"/>
        <v>0-10 DAYS</v>
      </c>
      <c r="CJ459" s="137">
        <f t="shared" si="371"/>
        <v>1</v>
      </c>
      <c r="CK459" s="129" t="str">
        <f t="shared" si="372"/>
        <v>Not Booked</v>
      </c>
    </row>
    <row r="460" spans="1:89" ht="15.75" customHeight="1" x14ac:dyDescent="0.25">
      <c r="A460" s="111">
        <v>985</v>
      </c>
      <c r="B460" s="128" t="str">
        <f t="shared" si="352"/>
        <v>N</v>
      </c>
      <c r="C460" s="128" t="str">
        <f t="shared" si="353"/>
        <v>N</v>
      </c>
      <c r="D460" s="117">
        <v>1176678</v>
      </c>
      <c r="E460" s="135">
        <f t="shared" si="354"/>
        <v>1</v>
      </c>
      <c r="F460" s="124">
        <v>40945</v>
      </c>
      <c r="G460" s="125">
        <v>40991</v>
      </c>
      <c r="H460" s="117">
        <v>1176678</v>
      </c>
      <c r="I460" s="124">
        <v>40946</v>
      </c>
      <c r="J460" s="124">
        <v>40991</v>
      </c>
      <c r="K460" s="126">
        <v>15000</v>
      </c>
      <c r="L460" s="127" t="s">
        <v>571</v>
      </c>
      <c r="N460" s="129" t="str">
        <f>IF(M460&gt;1/1/1,"Y","N")</f>
        <v>N</v>
      </c>
      <c r="O460" s="128" t="s">
        <v>917</v>
      </c>
      <c r="P460" s="129" t="s">
        <v>123</v>
      </c>
      <c r="Q460" s="111">
        <f t="shared" si="340"/>
        <v>46</v>
      </c>
      <c r="R460" s="111">
        <f t="shared" si="347"/>
        <v>47</v>
      </c>
      <c r="S460" s="129">
        <v>4</v>
      </c>
      <c r="T460" s="129">
        <v>1</v>
      </c>
      <c r="W460" s="111"/>
      <c r="AC460" s="130"/>
      <c r="AD460" s="130">
        <v>27077</v>
      </c>
      <c r="AE460" s="128" t="s">
        <v>32</v>
      </c>
      <c r="AF460" s="128" t="s">
        <v>40</v>
      </c>
      <c r="AG460" s="128" t="s">
        <v>41</v>
      </c>
      <c r="AH460" s="108" t="s">
        <v>41</v>
      </c>
      <c r="AI460" s="128" t="s">
        <v>53</v>
      </c>
      <c r="AJ460" s="129" t="s">
        <v>123</v>
      </c>
      <c r="AK460" s="129">
        <v>5</v>
      </c>
      <c r="AL460" s="3" t="s">
        <v>123</v>
      </c>
      <c r="AP460" s="129" t="s">
        <v>107</v>
      </c>
      <c r="AR460" s="128" t="s">
        <v>44</v>
      </c>
      <c r="AS460" s="129" t="s">
        <v>57</v>
      </c>
      <c r="BC460" s="129" t="s">
        <v>38</v>
      </c>
      <c r="BF460" s="111">
        <f>IF(J460&gt;1/1/1900,((J460+1)-I460),"STILL OPEN")</f>
        <v>46</v>
      </c>
      <c r="BG460" s="111">
        <f>IF(G460&gt;1/1/1900,((G460+1)-I460),"STILL OPEN")</f>
        <v>46</v>
      </c>
      <c r="BH460" s="111">
        <f t="shared" si="348"/>
        <v>47</v>
      </c>
      <c r="BI460" s="111">
        <f t="shared" si="349"/>
        <v>37.89071038251366</v>
      </c>
      <c r="BJ460" s="129">
        <f t="shared" si="355"/>
        <v>0</v>
      </c>
      <c r="BK460" s="129">
        <f t="shared" si="350"/>
        <v>0</v>
      </c>
      <c r="BL460" s="129" t="str">
        <f t="shared" si="351"/>
        <v>NO CONVICTION</v>
      </c>
      <c r="BM460" s="129" t="str">
        <f t="shared" si="356"/>
        <v>NONE</v>
      </c>
      <c r="BN460" s="129" t="s">
        <v>566</v>
      </c>
      <c r="BP460" s="137" t="str">
        <f t="shared" si="357"/>
        <v>NO CONVICTION</v>
      </c>
      <c r="BQ460" s="128" t="str">
        <f t="shared" si="358"/>
        <v>Y</v>
      </c>
      <c r="BR460" s="129" t="str">
        <f t="shared" si="359"/>
        <v>DETAINED</v>
      </c>
      <c r="BS460" s="129" t="str">
        <f t="shared" si="360"/>
        <v>DISPOSED</v>
      </c>
      <c r="BT460" s="129" t="str">
        <f t="shared" si="361"/>
        <v>Y</v>
      </c>
      <c r="BU460" s="109">
        <f>IFERROR(Q460/R460,BR460)</f>
        <v>0.97872340425531912</v>
      </c>
      <c r="BV460" s="109">
        <f t="shared" si="363"/>
        <v>1</v>
      </c>
      <c r="BW460" s="109">
        <f t="shared" si="335"/>
        <v>2.1276595744680882E-2</v>
      </c>
      <c r="BX460" s="111">
        <f t="shared" si="364"/>
        <v>0</v>
      </c>
      <c r="BY460" s="129">
        <f t="shared" si="365"/>
        <v>-46</v>
      </c>
      <c r="BZ460" s="111">
        <f t="shared" si="366"/>
        <v>0</v>
      </c>
      <c r="CA460" s="138">
        <f t="shared" si="367"/>
        <v>46</v>
      </c>
      <c r="CB460" s="111" t="e">
        <f>IF(AF460&gt;1/1/1900,((AF460+1)-AE460),"STILL OPEN")</f>
        <v>#VALUE!</v>
      </c>
      <c r="CC460" s="129">
        <f>G460-I460+1</f>
        <v>46</v>
      </c>
      <c r="CD460" s="129">
        <f>G460-J460</f>
        <v>0</v>
      </c>
      <c r="CE460" s="129">
        <f t="shared" si="368"/>
        <v>0</v>
      </c>
      <c r="CG460" s="129" t="str">
        <f t="shared" si="369"/>
        <v>Y</v>
      </c>
      <c r="CI460" s="129" t="str">
        <f t="shared" si="370"/>
        <v>31-60 DAYS</v>
      </c>
      <c r="CJ460" s="137">
        <f t="shared" si="371"/>
        <v>3</v>
      </c>
      <c r="CK460" s="129" t="str">
        <f t="shared" si="372"/>
        <v>Booked</v>
      </c>
    </row>
    <row r="461" spans="1:89" ht="15" customHeight="1" x14ac:dyDescent="0.25">
      <c r="A461" s="111">
        <v>1116</v>
      </c>
      <c r="B461" s="128" t="str">
        <f t="shared" si="352"/>
        <v>N</v>
      </c>
      <c r="C461" s="128" t="str">
        <f t="shared" si="353"/>
        <v>N</v>
      </c>
      <c r="D461" s="117">
        <v>1176922</v>
      </c>
      <c r="E461" s="135">
        <f t="shared" si="354"/>
        <v>6</v>
      </c>
      <c r="F461" s="124">
        <v>40949</v>
      </c>
      <c r="G461" s="125">
        <v>41004</v>
      </c>
      <c r="H461" s="117">
        <v>1176922</v>
      </c>
      <c r="I461" s="124">
        <v>40949</v>
      </c>
      <c r="J461" s="124">
        <v>41004</v>
      </c>
      <c r="K461" s="126">
        <v>5000</v>
      </c>
      <c r="L461" s="127" t="s">
        <v>569</v>
      </c>
      <c r="N461" s="129" t="str">
        <f>IF(M461&gt;1/1/1,"Y","N")</f>
        <v>N</v>
      </c>
      <c r="O461" s="128" t="s">
        <v>917</v>
      </c>
      <c r="P461" s="129" t="s">
        <v>39</v>
      </c>
      <c r="Q461" s="111">
        <f t="shared" si="340"/>
        <v>56</v>
      </c>
      <c r="R461" s="111">
        <f t="shared" si="347"/>
        <v>56</v>
      </c>
      <c r="S461" s="129">
        <v>1</v>
      </c>
      <c r="T461" s="129">
        <v>8</v>
      </c>
      <c r="U461" s="129">
        <v>1</v>
      </c>
      <c r="W461" s="111"/>
      <c r="AC461" s="130"/>
      <c r="AD461" s="130">
        <v>25274</v>
      </c>
      <c r="AE461" s="128" t="s">
        <v>32</v>
      </c>
      <c r="AF461" s="128" t="s">
        <v>40</v>
      </c>
      <c r="AG461" s="128" t="s">
        <v>41</v>
      </c>
      <c r="AH461" s="108" t="s">
        <v>41</v>
      </c>
      <c r="AI461" s="128" t="s">
        <v>85</v>
      </c>
      <c r="AJ461" s="129" t="s">
        <v>89</v>
      </c>
      <c r="AK461" s="129">
        <v>3</v>
      </c>
      <c r="AL461" s="3" t="s">
        <v>362</v>
      </c>
      <c r="AM461" s="117">
        <v>2</v>
      </c>
      <c r="AP461" s="129" t="s">
        <v>101</v>
      </c>
      <c r="AR461" s="128" t="s">
        <v>67</v>
      </c>
      <c r="AS461" s="129" t="s">
        <v>64</v>
      </c>
      <c r="BC461" s="129" t="s">
        <v>52</v>
      </c>
      <c r="BF461" s="111">
        <f>IF(J461&gt;1/1/1900,((J461+1)-I461),"STILL OPEN")</f>
        <v>56</v>
      </c>
      <c r="BG461" s="111">
        <f>IF(G461&gt;1/1/1900,((G461+1)-I461),"STILL OPEN")</f>
        <v>56</v>
      </c>
      <c r="BH461" s="111">
        <f t="shared" si="348"/>
        <v>56</v>
      </c>
      <c r="BI461" s="111">
        <f t="shared" si="349"/>
        <v>42.827868852459019</v>
      </c>
      <c r="BJ461" s="129">
        <f t="shared" si="355"/>
        <v>0</v>
      </c>
      <c r="BK461" s="129">
        <f t="shared" si="350"/>
        <v>0</v>
      </c>
      <c r="BL461" s="129" t="str">
        <f t="shared" si="351"/>
        <v>CONVICTION</v>
      </c>
      <c r="BM461" s="129" t="str">
        <f t="shared" si="356"/>
        <v>NONE</v>
      </c>
      <c r="BN461" s="129" t="s">
        <v>566</v>
      </c>
      <c r="BP461" s="137" t="str">
        <f t="shared" si="357"/>
        <v>CONVICTION</v>
      </c>
      <c r="BQ461" s="128" t="str">
        <f t="shared" si="358"/>
        <v>Y</v>
      </c>
      <c r="BR461" s="129" t="str">
        <f t="shared" si="359"/>
        <v>DETAINED</v>
      </c>
      <c r="BS461" s="129" t="str">
        <f t="shared" si="360"/>
        <v>DISPOSED</v>
      </c>
      <c r="BT461" s="129" t="str">
        <f t="shared" si="361"/>
        <v>Y</v>
      </c>
      <c r="BU461" s="109">
        <f t="shared" si="362"/>
        <v>1</v>
      </c>
      <c r="BV461" s="109">
        <f t="shared" si="363"/>
        <v>1</v>
      </c>
      <c r="BW461" s="109">
        <f t="shared" si="335"/>
        <v>0</v>
      </c>
      <c r="BX461" s="111">
        <f t="shared" si="364"/>
        <v>0</v>
      </c>
      <c r="BY461" s="129">
        <f t="shared" si="365"/>
        <v>-56</v>
      </c>
      <c r="BZ461" s="111">
        <f t="shared" si="366"/>
        <v>0</v>
      </c>
      <c r="CA461" s="138">
        <f t="shared" si="367"/>
        <v>56</v>
      </c>
      <c r="CB461" s="111" t="e">
        <f>IF(AF461&gt;1/1/1900,((AF461+1)-AE461),"STILL OPEN")</f>
        <v>#VALUE!</v>
      </c>
      <c r="CC461" s="129">
        <f>G461-I461+1</f>
        <v>56</v>
      </c>
      <c r="CD461" s="129">
        <f>G461-J461</f>
        <v>0</v>
      </c>
      <c r="CE461" s="129">
        <f t="shared" si="368"/>
        <v>0</v>
      </c>
      <c r="CG461" s="129" t="str">
        <f t="shared" si="369"/>
        <v>Y</v>
      </c>
      <c r="CI461" s="129" t="str">
        <f t="shared" si="370"/>
        <v>31-60 DAYS</v>
      </c>
      <c r="CJ461" s="137">
        <f t="shared" si="371"/>
        <v>3</v>
      </c>
      <c r="CK461" s="129" t="str">
        <f t="shared" si="372"/>
        <v>Booked</v>
      </c>
    </row>
    <row r="462" spans="1:89" ht="15.75" customHeight="1" x14ac:dyDescent="0.25">
      <c r="A462" s="111">
        <v>740</v>
      </c>
      <c r="B462" s="128" t="str">
        <f t="shared" si="352"/>
        <v>N</v>
      </c>
      <c r="C462" s="128" t="str">
        <f t="shared" si="353"/>
        <v>N</v>
      </c>
      <c r="D462" s="117">
        <v>1177925</v>
      </c>
      <c r="E462" s="135">
        <f t="shared" si="354"/>
        <v>5</v>
      </c>
      <c r="F462" s="124">
        <v>40938</v>
      </c>
      <c r="G462" s="125">
        <v>40939</v>
      </c>
      <c r="H462" s="117">
        <v>1177925</v>
      </c>
      <c r="I462" s="124">
        <v>40938</v>
      </c>
      <c r="J462" s="124">
        <v>40939</v>
      </c>
      <c r="K462" s="126">
        <v>5000</v>
      </c>
      <c r="L462" s="127" t="s">
        <v>569</v>
      </c>
      <c r="N462" s="129" t="str">
        <f>IF(M462&gt;1/1/1,"Y","N")</f>
        <v>N</v>
      </c>
      <c r="O462" s="128" t="s">
        <v>917</v>
      </c>
      <c r="P462" s="129" t="s">
        <v>39</v>
      </c>
      <c r="Q462" s="111">
        <f t="shared" si="340"/>
        <v>2</v>
      </c>
      <c r="R462" s="111">
        <f t="shared" si="347"/>
        <v>2</v>
      </c>
      <c r="S462" s="129">
        <v>1</v>
      </c>
      <c r="T462" s="129">
        <v>0</v>
      </c>
      <c r="U462" s="129">
        <v>1</v>
      </c>
      <c r="W462" s="111"/>
      <c r="AC462" s="130"/>
      <c r="AD462" s="130">
        <v>20594</v>
      </c>
      <c r="AE462" s="128" t="s">
        <v>46</v>
      </c>
      <c r="AF462" s="128" t="s">
        <v>33</v>
      </c>
      <c r="AG462" s="128" t="s">
        <v>872</v>
      </c>
      <c r="AH462" s="108" t="s">
        <v>31</v>
      </c>
      <c r="AI462" s="128" t="s">
        <v>53</v>
      </c>
      <c r="AJ462" s="129" t="s">
        <v>89</v>
      </c>
      <c r="AK462" s="129">
        <v>1</v>
      </c>
      <c r="AL462" s="3" t="s">
        <v>992</v>
      </c>
      <c r="AN462" s="117">
        <v>6</v>
      </c>
      <c r="AP462" s="129" t="s">
        <v>43</v>
      </c>
      <c r="AR462" s="128" t="s">
        <v>44</v>
      </c>
      <c r="AS462" s="129" t="s">
        <v>45</v>
      </c>
      <c r="BC462" s="129" t="s">
        <v>38</v>
      </c>
      <c r="BF462" s="111">
        <f>IF(J462&gt;1/1/1900,((J462+1)-I462),"STILL OPEN")</f>
        <v>2</v>
      </c>
      <c r="BG462" s="111">
        <f>IF(G462&gt;1/1/1900,((G462+1)-I462),"STILL OPEN")</f>
        <v>2</v>
      </c>
      <c r="BH462" s="111">
        <f t="shared" si="348"/>
        <v>2</v>
      </c>
      <c r="BI462" s="111">
        <f t="shared" si="349"/>
        <v>55.584699453551913</v>
      </c>
      <c r="BJ462" s="129">
        <f t="shared" si="355"/>
        <v>0</v>
      </c>
      <c r="BK462" s="129">
        <f t="shared" si="350"/>
        <v>0</v>
      </c>
      <c r="BL462" s="129" t="str">
        <f t="shared" si="351"/>
        <v>CONVICTION</v>
      </c>
      <c r="BM462" s="129" t="str">
        <f t="shared" si="356"/>
        <v>NONE</v>
      </c>
      <c r="BN462" s="129" t="s">
        <v>566</v>
      </c>
      <c r="BP462" s="137" t="str">
        <f t="shared" si="357"/>
        <v>CONVICTION</v>
      </c>
      <c r="BQ462" s="128" t="str">
        <f t="shared" si="358"/>
        <v>Y</v>
      </c>
      <c r="BR462" s="129" t="str">
        <f t="shared" si="359"/>
        <v>DETAINED</v>
      </c>
      <c r="BS462" s="129" t="str">
        <f t="shared" si="360"/>
        <v>DISPOSED</v>
      </c>
      <c r="BT462" s="129" t="str">
        <f t="shared" si="361"/>
        <v>Y</v>
      </c>
      <c r="BU462" s="109">
        <f t="shared" si="362"/>
        <v>1</v>
      </c>
      <c r="BV462" s="109">
        <f t="shared" si="363"/>
        <v>1</v>
      </c>
      <c r="BW462" s="109">
        <f t="shared" si="335"/>
        <v>0</v>
      </c>
      <c r="BX462" s="111">
        <f t="shared" si="364"/>
        <v>0</v>
      </c>
      <c r="BY462" s="129">
        <f t="shared" si="365"/>
        <v>-2</v>
      </c>
      <c r="BZ462" s="111">
        <f t="shared" si="366"/>
        <v>0</v>
      </c>
      <c r="CA462" s="138">
        <f t="shared" si="367"/>
        <v>2</v>
      </c>
      <c r="CB462" s="111" t="e">
        <f>IF(AF462&gt;1/1/1900,((AF462+1)-AE462),"STILL OPEN")</f>
        <v>#VALUE!</v>
      </c>
      <c r="CC462" s="129">
        <f>G462-I462+1</f>
        <v>2</v>
      </c>
      <c r="CD462" s="129">
        <f>G462-J462</f>
        <v>0</v>
      </c>
      <c r="CE462" s="129">
        <f t="shared" si="368"/>
        <v>0</v>
      </c>
      <c r="CG462" s="129" t="str">
        <f t="shared" si="369"/>
        <v>Y</v>
      </c>
      <c r="CI462" s="129" t="str">
        <f t="shared" si="370"/>
        <v>0-10 DAYS</v>
      </c>
      <c r="CJ462" s="137">
        <f t="shared" si="371"/>
        <v>1</v>
      </c>
      <c r="CK462" s="129" t="str">
        <f t="shared" si="372"/>
        <v>Booked</v>
      </c>
    </row>
    <row r="463" spans="1:89" ht="15" customHeight="1" x14ac:dyDescent="0.25">
      <c r="A463" s="111">
        <v>60</v>
      </c>
      <c r="B463" s="128" t="str">
        <f t="shared" si="352"/>
        <v>N</v>
      </c>
      <c r="C463" s="128" t="str">
        <f t="shared" si="353"/>
        <v>N</v>
      </c>
      <c r="D463" s="117">
        <v>1178606</v>
      </c>
      <c r="E463" s="135">
        <f t="shared" si="354"/>
        <v>1</v>
      </c>
      <c r="F463" s="124">
        <v>40912</v>
      </c>
      <c r="G463" s="125">
        <v>40961</v>
      </c>
      <c r="H463" s="117">
        <v>1178606</v>
      </c>
      <c r="I463" s="124">
        <v>40912</v>
      </c>
      <c r="J463" s="124">
        <v>40961</v>
      </c>
      <c r="K463" s="126">
        <v>5000</v>
      </c>
      <c r="L463" s="127" t="s">
        <v>569</v>
      </c>
      <c r="N463" s="129" t="str">
        <f>IF(M463&gt;1/1/1,"Y","N")</f>
        <v>N</v>
      </c>
      <c r="O463" s="128" t="s">
        <v>917</v>
      </c>
      <c r="P463" s="129" t="s">
        <v>123</v>
      </c>
      <c r="Q463" s="111">
        <f t="shared" si="340"/>
        <v>50</v>
      </c>
      <c r="R463" s="111">
        <f t="shared" si="347"/>
        <v>50</v>
      </c>
      <c r="S463" s="129">
        <v>1</v>
      </c>
      <c r="T463" s="129">
        <v>3</v>
      </c>
      <c r="U463" s="129">
        <v>1</v>
      </c>
      <c r="W463" s="111"/>
      <c r="AC463" s="130"/>
      <c r="AD463" s="130">
        <v>21599</v>
      </c>
      <c r="AE463" s="128" t="s">
        <v>32</v>
      </c>
      <c r="AF463" s="128" t="s">
        <v>33</v>
      </c>
      <c r="AG463" s="128" t="s">
        <v>872</v>
      </c>
      <c r="AH463" s="108" t="s">
        <v>31</v>
      </c>
      <c r="AI463" s="128" t="s">
        <v>118</v>
      </c>
      <c r="AJ463" s="129" t="s">
        <v>123</v>
      </c>
      <c r="AK463" s="129">
        <v>3</v>
      </c>
      <c r="AL463" s="3" t="s">
        <v>123</v>
      </c>
      <c r="AP463" s="129" t="s">
        <v>43</v>
      </c>
      <c r="AR463" s="128" t="s">
        <v>44</v>
      </c>
      <c r="AS463" s="129" t="s">
        <v>45</v>
      </c>
      <c r="BC463" s="129" t="s">
        <v>38</v>
      </c>
      <c r="BF463" s="111">
        <f>IF(J463&gt;1/1/1900,((J463+1)-I463),"STILL OPEN")</f>
        <v>50</v>
      </c>
      <c r="BG463" s="111">
        <f>IF(G463&gt;1/1/1900,((G463+1)-I463),"STILL OPEN")</f>
        <v>50</v>
      </c>
      <c r="BH463" s="111">
        <f t="shared" si="348"/>
        <v>50</v>
      </c>
      <c r="BI463" s="111">
        <f t="shared" si="349"/>
        <v>52.767759562841533</v>
      </c>
      <c r="BJ463" s="129">
        <f t="shared" si="355"/>
        <v>0</v>
      </c>
      <c r="BK463" s="129">
        <f t="shared" si="350"/>
        <v>0</v>
      </c>
      <c r="BL463" s="129" t="str">
        <f t="shared" si="351"/>
        <v>NO CONVICTION</v>
      </c>
      <c r="BM463" s="129" t="str">
        <f t="shared" si="356"/>
        <v>NONE</v>
      </c>
      <c r="BN463" s="129" t="s">
        <v>566</v>
      </c>
      <c r="BP463" s="137" t="str">
        <f t="shared" si="357"/>
        <v>NO CONVICTION</v>
      </c>
      <c r="BQ463" s="128" t="str">
        <f t="shared" si="358"/>
        <v>Y</v>
      </c>
      <c r="BR463" s="129" t="str">
        <f t="shared" si="359"/>
        <v>DETAINED</v>
      </c>
      <c r="BS463" s="129" t="str">
        <f t="shared" si="360"/>
        <v>DISPOSED</v>
      </c>
      <c r="BT463" s="129" t="str">
        <f t="shared" si="361"/>
        <v>Y</v>
      </c>
      <c r="BU463" s="109">
        <f>IFERROR(Q463/R463,BR463)</f>
        <v>1</v>
      </c>
      <c r="BV463" s="109">
        <f t="shared" si="363"/>
        <v>1</v>
      </c>
      <c r="BW463" s="109">
        <f t="shared" si="335"/>
        <v>0</v>
      </c>
      <c r="BX463" s="111">
        <f t="shared" si="364"/>
        <v>0</v>
      </c>
      <c r="BY463" s="129">
        <f t="shared" si="365"/>
        <v>-50</v>
      </c>
      <c r="BZ463" s="111">
        <f t="shared" si="366"/>
        <v>0</v>
      </c>
      <c r="CA463" s="138">
        <f t="shared" si="367"/>
        <v>50</v>
      </c>
      <c r="CB463" s="111" t="e">
        <f>IF(AF463&gt;1/1/1900,((AF463+1)-AE463),"STILL OPEN")</f>
        <v>#VALUE!</v>
      </c>
      <c r="CC463" s="129">
        <f>G463-I463+1</f>
        <v>50</v>
      </c>
      <c r="CD463" s="129">
        <f>G463-J463</f>
        <v>0</v>
      </c>
      <c r="CE463" s="129">
        <f t="shared" si="368"/>
        <v>0</v>
      </c>
      <c r="CG463" s="129" t="str">
        <f t="shared" si="369"/>
        <v>Y</v>
      </c>
      <c r="CI463" s="129" t="str">
        <f t="shared" si="370"/>
        <v>31-60 DAYS</v>
      </c>
      <c r="CJ463" s="137">
        <f t="shared" si="371"/>
        <v>3</v>
      </c>
      <c r="CK463" s="129" t="str">
        <f t="shared" si="372"/>
        <v>Booked</v>
      </c>
    </row>
    <row r="464" spans="1:89" ht="15.75" customHeight="1" x14ac:dyDescent="0.25">
      <c r="A464" s="111">
        <v>2518</v>
      </c>
      <c r="B464" s="128" t="str">
        <f t="shared" si="352"/>
        <v>N</v>
      </c>
      <c r="C464" s="128" t="str">
        <f t="shared" si="353"/>
        <v>N</v>
      </c>
      <c r="D464" s="117">
        <v>1179169</v>
      </c>
      <c r="E464" s="135">
        <f t="shared" si="354"/>
        <v>6</v>
      </c>
      <c r="F464" s="124">
        <v>41003</v>
      </c>
      <c r="G464" s="125">
        <v>41691</v>
      </c>
      <c r="H464" s="117">
        <v>1179169</v>
      </c>
      <c r="I464" s="124">
        <v>41186</v>
      </c>
      <c r="J464" s="124">
        <v>41382</v>
      </c>
      <c r="K464" s="126">
        <v>35000</v>
      </c>
      <c r="L464" s="129" t="s">
        <v>572</v>
      </c>
      <c r="M464" s="125">
        <v>41382</v>
      </c>
      <c r="N464" s="129" t="s">
        <v>88</v>
      </c>
      <c r="O464" s="128" t="s">
        <v>76</v>
      </c>
      <c r="P464" s="129" t="s">
        <v>1352</v>
      </c>
      <c r="Q464" s="111">
        <v>196</v>
      </c>
      <c r="R464" s="111">
        <f t="shared" si="347"/>
        <v>689</v>
      </c>
      <c r="S464" s="129">
        <v>2</v>
      </c>
      <c r="T464" s="129">
        <v>2</v>
      </c>
      <c r="U464" s="129">
        <v>1</v>
      </c>
      <c r="W464" s="111"/>
      <c r="AC464" s="130"/>
      <c r="AD464" s="130">
        <v>26002</v>
      </c>
      <c r="AE464" s="128" t="s">
        <v>32</v>
      </c>
      <c r="AF464" s="128" t="s">
        <v>33</v>
      </c>
      <c r="AG464" s="128" t="s">
        <v>872</v>
      </c>
      <c r="AH464" s="108" t="s">
        <v>58</v>
      </c>
      <c r="AI464" s="128" t="s">
        <v>118</v>
      </c>
      <c r="AJ464" s="129" t="s">
        <v>89</v>
      </c>
      <c r="AK464" s="129">
        <v>23</v>
      </c>
      <c r="AL464" s="3" t="s">
        <v>362</v>
      </c>
      <c r="AM464" s="117">
        <v>6</v>
      </c>
      <c r="AP464" s="129" t="s">
        <v>110</v>
      </c>
      <c r="AR464" s="128" t="s">
        <v>50</v>
      </c>
      <c r="AS464" s="129" t="s">
        <v>74</v>
      </c>
      <c r="BC464" s="129" t="s">
        <v>52</v>
      </c>
      <c r="BF464" s="111">
        <v>196</v>
      </c>
      <c r="BG464" s="111">
        <f>IF(G464&gt;1/1/1900,((G464+1)-I464),"STILL OPEN")</f>
        <v>506</v>
      </c>
      <c r="BH464" s="111">
        <f t="shared" si="348"/>
        <v>689</v>
      </c>
      <c r="BI464" s="111">
        <f t="shared" si="349"/>
        <v>40.986338797814206</v>
      </c>
      <c r="BJ464" s="129">
        <f>(G464-J464)+(M464-G464)</f>
        <v>0</v>
      </c>
      <c r="BK464" s="129">
        <f t="shared" si="350"/>
        <v>-309</v>
      </c>
      <c r="BL464" s="129" t="str">
        <f t="shared" si="351"/>
        <v>CONVICTION</v>
      </c>
      <c r="BM464" s="129" t="str">
        <f t="shared" si="356"/>
        <v>SURETY</v>
      </c>
      <c r="BN464" s="129" t="s">
        <v>566</v>
      </c>
      <c r="BP464" s="137" t="str">
        <f t="shared" si="357"/>
        <v>CONVICTION</v>
      </c>
      <c r="BQ464" s="128" t="str">
        <f t="shared" si="358"/>
        <v>Y</v>
      </c>
      <c r="BR464" s="129" t="s">
        <v>575</v>
      </c>
      <c r="BS464" s="129" t="s">
        <v>1259</v>
      </c>
      <c r="BT464" s="129" t="str">
        <f t="shared" si="361"/>
        <v>Y</v>
      </c>
      <c r="BU464" s="109">
        <f>IFERROR(Q464/R464,BR464)</f>
        <v>0.28447024673439769</v>
      </c>
      <c r="BV464" s="109">
        <v>0.28449999999999998</v>
      </c>
      <c r="BW464" s="109">
        <v>0</v>
      </c>
      <c r="BX464" s="111">
        <f t="shared" si="364"/>
        <v>0</v>
      </c>
      <c r="BY464" s="129">
        <f t="shared" si="365"/>
        <v>-197</v>
      </c>
      <c r="BZ464" s="111">
        <f t="shared" si="366"/>
        <v>-1</v>
      </c>
      <c r="CA464" s="138">
        <f t="shared" si="367"/>
        <v>197</v>
      </c>
      <c r="CB464" s="111" t="e">
        <f>IF(AF464&gt;1/1/1900,((AF464+1)-AE464),"STILL OPEN")</f>
        <v>#VALUE!</v>
      </c>
      <c r="CC464" s="129">
        <v>196</v>
      </c>
      <c r="CE464" s="129">
        <f t="shared" si="368"/>
        <v>309</v>
      </c>
      <c r="CG464" s="129" t="str">
        <f t="shared" si="369"/>
        <v>Y</v>
      </c>
      <c r="CH464" s="129" t="e">
        <v>#N/A</v>
      </c>
      <c r="CI464" s="129" t="str">
        <f t="shared" si="370"/>
        <v>121-365 DAYS</v>
      </c>
      <c r="CJ464" s="137">
        <f t="shared" si="371"/>
        <v>6</v>
      </c>
      <c r="CK464" s="129" t="str">
        <f t="shared" si="372"/>
        <v>Booked</v>
      </c>
    </row>
    <row r="465" spans="1:89" ht="15.75" customHeight="1" x14ac:dyDescent="0.25">
      <c r="A465" s="111">
        <v>2303</v>
      </c>
      <c r="B465" s="128" t="str">
        <f t="shared" si="352"/>
        <v>N</v>
      </c>
      <c r="C465" s="128" t="str">
        <f t="shared" si="353"/>
        <v>N</v>
      </c>
      <c r="D465" s="117">
        <v>1179851</v>
      </c>
      <c r="E465" s="135">
        <f t="shared" si="354"/>
        <v>5</v>
      </c>
      <c r="F465" s="124">
        <v>40996</v>
      </c>
      <c r="G465" s="125">
        <v>41176</v>
      </c>
      <c r="H465" s="117">
        <v>1179851</v>
      </c>
      <c r="I465" s="124" t="s">
        <v>562</v>
      </c>
      <c r="J465" s="124" t="s">
        <v>562</v>
      </c>
      <c r="K465" s="126">
        <v>5000</v>
      </c>
      <c r="L465" s="127" t="s">
        <v>569</v>
      </c>
      <c r="M465" s="125">
        <v>40997</v>
      </c>
      <c r="N465" s="129" t="str">
        <f>IF(M465&gt;1/1/1,"Y",IF(Q465="0","","N"))</f>
        <v>Y</v>
      </c>
      <c r="O465" s="128" t="s">
        <v>76</v>
      </c>
      <c r="P465" s="129" t="s">
        <v>39</v>
      </c>
      <c r="Q465" s="111">
        <f t="shared" si="340"/>
        <v>0</v>
      </c>
      <c r="R465" s="111">
        <f t="shared" si="347"/>
        <v>181</v>
      </c>
      <c r="S465" s="129">
        <v>4</v>
      </c>
      <c r="T465" s="129">
        <v>5</v>
      </c>
      <c r="U465" s="129">
        <v>2</v>
      </c>
      <c r="W465" s="111"/>
      <c r="AC465" s="130"/>
      <c r="AD465" s="130">
        <v>27084</v>
      </c>
      <c r="AE465" s="128" t="s">
        <v>46</v>
      </c>
      <c r="AF465" s="128" t="s">
        <v>33</v>
      </c>
      <c r="AG465" s="128" t="s">
        <v>872</v>
      </c>
      <c r="AH465" s="108" t="s">
        <v>31</v>
      </c>
      <c r="AI465" s="128" t="s">
        <v>141</v>
      </c>
      <c r="AJ465" s="129" t="s">
        <v>89</v>
      </c>
      <c r="AK465" s="129">
        <v>8</v>
      </c>
      <c r="AL465" s="3" t="s">
        <v>992</v>
      </c>
      <c r="AN465" s="117">
        <v>11</v>
      </c>
      <c r="AP465" s="129" t="s">
        <v>175</v>
      </c>
      <c r="AR465" s="128" t="s">
        <v>44</v>
      </c>
      <c r="AS465" s="129" t="s">
        <v>45</v>
      </c>
      <c r="BC465" s="129" t="s">
        <v>52</v>
      </c>
      <c r="BF465" s="111">
        <v>0</v>
      </c>
      <c r="BG465" s="111">
        <v>0</v>
      </c>
      <c r="BH465" s="111">
        <f t="shared" si="348"/>
        <v>181</v>
      </c>
      <c r="BI465" s="111">
        <f t="shared" si="349"/>
        <v>38.010928961748633</v>
      </c>
      <c r="BJ465" s="129" t="e">
        <f>(G465-J465)+(M465-G465)</f>
        <v>#VALUE!</v>
      </c>
      <c r="BK465" s="129" t="e">
        <f t="shared" si="350"/>
        <v>#VALUE!</v>
      </c>
      <c r="BL465" s="129" t="str">
        <f t="shared" si="351"/>
        <v>CONVICTION</v>
      </c>
      <c r="BM465" s="129" t="s">
        <v>76</v>
      </c>
      <c r="BN465" s="129" t="s">
        <v>88</v>
      </c>
      <c r="BP465" s="137" t="str">
        <f t="shared" si="357"/>
        <v>CONVICTION</v>
      </c>
      <c r="BQ465" s="128">
        <f t="shared" si="358"/>
        <v>0</v>
      </c>
      <c r="BR465" s="129" t="s">
        <v>575</v>
      </c>
      <c r="BS465" s="129" t="str">
        <f t="shared" si="360"/>
        <v>DISPOSED</v>
      </c>
      <c r="BT465" s="129" t="str">
        <f t="shared" si="361"/>
        <v>Y</v>
      </c>
      <c r="BU465" s="109">
        <f t="shared" si="362"/>
        <v>0</v>
      </c>
      <c r="BV465" s="109">
        <v>0</v>
      </c>
      <c r="BW465" s="109">
        <f t="shared" ref="BW465:BW477" si="373">BV465-BU465</f>
        <v>0</v>
      </c>
      <c r="BX465" s="111">
        <f t="shared" si="364"/>
        <v>0</v>
      </c>
      <c r="BY465" s="129" t="e">
        <f t="shared" si="365"/>
        <v>#VALUE!</v>
      </c>
      <c r="BZ465" s="111" t="e">
        <f t="shared" si="366"/>
        <v>#VALUE!</v>
      </c>
      <c r="CA465" s="138" t="e">
        <f t="shared" si="367"/>
        <v>#VALUE!</v>
      </c>
      <c r="CB465" s="111">
        <v>0</v>
      </c>
      <c r="CC465" s="129">
        <v>0</v>
      </c>
      <c r="CD465" s="111">
        <f>CC465-BF465</f>
        <v>0</v>
      </c>
      <c r="CE465" s="129" t="e">
        <f t="shared" si="368"/>
        <v>#VALUE!</v>
      </c>
      <c r="CG465" s="129" t="str">
        <f t="shared" si="369"/>
        <v>Y</v>
      </c>
      <c r="CI465" s="129" t="str">
        <f t="shared" si="370"/>
        <v>0-10 DAYS</v>
      </c>
      <c r="CJ465" s="137">
        <f t="shared" si="371"/>
        <v>1</v>
      </c>
      <c r="CK465" s="129" t="str">
        <f t="shared" si="372"/>
        <v>Not Booked</v>
      </c>
    </row>
    <row r="466" spans="1:89" ht="15.75" customHeight="1" x14ac:dyDescent="0.25">
      <c r="A466" s="111">
        <v>2474</v>
      </c>
      <c r="B466" s="128" t="str">
        <f t="shared" si="352"/>
        <v>N</v>
      </c>
      <c r="C466" s="128" t="str">
        <f t="shared" si="353"/>
        <v>N</v>
      </c>
      <c r="D466" s="117">
        <v>1179885</v>
      </c>
      <c r="E466" s="135">
        <f t="shared" si="354"/>
        <v>3</v>
      </c>
      <c r="F466" s="124">
        <v>41002</v>
      </c>
      <c r="G466" s="125">
        <v>41025</v>
      </c>
      <c r="H466" s="117">
        <v>1179885</v>
      </c>
      <c r="I466" s="124">
        <v>41002</v>
      </c>
      <c r="J466" s="124">
        <v>41025</v>
      </c>
      <c r="K466" s="126">
        <v>10000</v>
      </c>
      <c r="L466" s="127" t="s">
        <v>570</v>
      </c>
      <c r="N466" s="129" t="str">
        <f t="shared" ref="N466:N472" si="374">IF(M466&gt;1/1/1,"Y","N")</f>
        <v>N</v>
      </c>
      <c r="O466" s="128" t="s">
        <v>917</v>
      </c>
      <c r="P466" s="129" t="s">
        <v>39</v>
      </c>
      <c r="Q466" s="111">
        <f t="shared" si="340"/>
        <v>24</v>
      </c>
      <c r="R466" s="111">
        <f t="shared" si="347"/>
        <v>24</v>
      </c>
      <c r="S466" s="129">
        <v>0</v>
      </c>
      <c r="T466" s="129">
        <v>3</v>
      </c>
      <c r="W466" s="111"/>
      <c r="AC466" s="130"/>
      <c r="AD466" s="130">
        <v>25448</v>
      </c>
      <c r="AE466" s="128" t="s">
        <v>32</v>
      </c>
      <c r="AF466" s="128" t="s">
        <v>40</v>
      </c>
      <c r="AG466" s="128" t="s">
        <v>41</v>
      </c>
      <c r="AH466" s="108" t="s">
        <v>41</v>
      </c>
      <c r="AI466" s="128" t="s">
        <v>42</v>
      </c>
      <c r="AJ466" s="129" t="s">
        <v>89</v>
      </c>
      <c r="AK466" s="129">
        <v>3</v>
      </c>
      <c r="AL466" s="3" t="s">
        <v>185</v>
      </c>
      <c r="AP466" s="129" t="s">
        <v>66</v>
      </c>
      <c r="AR466" s="128" t="s">
        <v>67</v>
      </c>
      <c r="AS466" s="129" t="s">
        <v>68</v>
      </c>
      <c r="BC466" s="129" t="s">
        <v>38</v>
      </c>
      <c r="BF466" s="111">
        <f t="shared" ref="BF466:BF475" si="375">IF(J466&gt;1/1/1900,((J466+1)-I466),"STILL OPEN")</f>
        <v>24</v>
      </c>
      <c r="BG466" s="111">
        <f t="shared" ref="BG466:BG475" si="376">IF(G466&gt;1/1/1900,((G466+1)-I466),"STILL OPEN")</f>
        <v>24</v>
      </c>
      <c r="BH466" s="111">
        <f t="shared" si="348"/>
        <v>24</v>
      </c>
      <c r="BI466" s="111">
        <f t="shared" si="349"/>
        <v>42.497267759562838</v>
      </c>
      <c r="BJ466" s="129">
        <f t="shared" si="355"/>
        <v>0</v>
      </c>
      <c r="BK466" s="129">
        <f t="shared" si="350"/>
        <v>0</v>
      </c>
      <c r="BL466" s="129" t="str">
        <f t="shared" si="351"/>
        <v>CONVICTION</v>
      </c>
      <c r="BM466" s="129" t="str">
        <f t="shared" si="356"/>
        <v>NONE</v>
      </c>
      <c r="BN466" s="129" t="s">
        <v>566</v>
      </c>
      <c r="BP466" s="137" t="str">
        <f t="shared" si="357"/>
        <v>CONVICTION</v>
      </c>
      <c r="BQ466" s="128" t="str">
        <f t="shared" si="358"/>
        <v>Y</v>
      </c>
      <c r="BR466" s="129" t="str">
        <f t="shared" si="359"/>
        <v>DETAINED</v>
      </c>
      <c r="BS466" s="129" t="str">
        <f t="shared" si="360"/>
        <v>DISPOSED</v>
      </c>
      <c r="BT466" s="129" t="str">
        <f t="shared" si="361"/>
        <v>N</v>
      </c>
      <c r="BU466" s="109">
        <f t="shared" si="362"/>
        <v>1</v>
      </c>
      <c r="BV466" s="109">
        <f t="shared" si="363"/>
        <v>1</v>
      </c>
      <c r="BW466" s="109">
        <f t="shared" si="373"/>
        <v>0</v>
      </c>
      <c r="BX466" s="111">
        <f t="shared" si="364"/>
        <v>0</v>
      </c>
      <c r="BY466" s="129">
        <f t="shared" si="365"/>
        <v>-24</v>
      </c>
      <c r="BZ466" s="111">
        <f t="shared" si="366"/>
        <v>0</v>
      </c>
      <c r="CA466" s="138">
        <f t="shared" si="367"/>
        <v>24</v>
      </c>
      <c r="CB466" s="111" t="e">
        <f t="shared" ref="CB466:CB475" si="377">IF(AF466&gt;1/1/1900,((AF466+1)-AE466),"STILL OPEN")</f>
        <v>#VALUE!</v>
      </c>
      <c r="CC466" s="129">
        <f>G466-I466+1</f>
        <v>24</v>
      </c>
      <c r="CD466" s="129">
        <f>G466-J466</f>
        <v>0</v>
      </c>
      <c r="CE466" s="129">
        <f t="shared" si="368"/>
        <v>0</v>
      </c>
      <c r="CG466" s="129" t="str">
        <f t="shared" si="369"/>
        <v>Y</v>
      </c>
      <c r="CI466" s="129" t="str">
        <f t="shared" si="370"/>
        <v>11-30 DAYS</v>
      </c>
      <c r="CJ466" s="137">
        <f t="shared" si="371"/>
        <v>2</v>
      </c>
      <c r="CK466" s="129" t="str">
        <f t="shared" si="372"/>
        <v>Booked</v>
      </c>
    </row>
    <row r="467" spans="1:89" ht="15.75" customHeight="1" x14ac:dyDescent="0.25">
      <c r="A467" s="111">
        <v>1628</v>
      </c>
      <c r="B467" s="128" t="str">
        <f t="shared" si="352"/>
        <v>N</v>
      </c>
      <c r="C467" s="128" t="str">
        <f t="shared" si="353"/>
        <v>N</v>
      </c>
      <c r="D467" s="117">
        <v>1180659</v>
      </c>
      <c r="E467" s="135">
        <f t="shared" si="354"/>
        <v>1</v>
      </c>
      <c r="F467" s="124">
        <v>40969</v>
      </c>
      <c r="G467" s="125">
        <v>40970</v>
      </c>
      <c r="H467" s="117">
        <v>1180659</v>
      </c>
      <c r="I467" s="124">
        <v>40969</v>
      </c>
      <c r="J467" s="124">
        <v>40970</v>
      </c>
      <c r="K467" s="126">
        <v>15000</v>
      </c>
      <c r="L467" s="127" t="s">
        <v>571</v>
      </c>
      <c r="N467" s="129" t="str">
        <f t="shared" si="374"/>
        <v>N</v>
      </c>
      <c r="O467" s="128" t="s">
        <v>917</v>
      </c>
      <c r="P467" s="129" t="s">
        <v>55</v>
      </c>
      <c r="Q467" s="111">
        <f t="shared" si="340"/>
        <v>2</v>
      </c>
      <c r="R467" s="111">
        <f t="shared" si="347"/>
        <v>2</v>
      </c>
      <c r="S467" s="129">
        <v>12</v>
      </c>
      <c r="T467" s="129">
        <v>3</v>
      </c>
      <c r="U467" s="129">
        <v>5</v>
      </c>
      <c r="W467" s="111"/>
      <c r="AC467" s="130"/>
      <c r="AD467" s="130">
        <v>24360</v>
      </c>
      <c r="AE467" s="128" t="s">
        <v>32</v>
      </c>
      <c r="AF467" s="128" t="s">
        <v>69</v>
      </c>
      <c r="AG467" s="128" t="s">
        <v>874</v>
      </c>
      <c r="AH467" s="108" t="s">
        <v>58</v>
      </c>
      <c r="AI467" s="128" t="s">
        <v>71</v>
      </c>
      <c r="AJ467" s="129" t="s">
        <v>55</v>
      </c>
      <c r="AK467" s="129">
        <v>1</v>
      </c>
      <c r="AL467" s="3" t="s">
        <v>55</v>
      </c>
      <c r="AP467" s="129" t="s">
        <v>121</v>
      </c>
      <c r="AR467" s="128" t="s">
        <v>44</v>
      </c>
      <c r="AS467" s="129" t="s">
        <v>122</v>
      </c>
      <c r="BC467" s="129" t="s">
        <v>79</v>
      </c>
      <c r="BF467" s="111">
        <f t="shared" si="375"/>
        <v>2</v>
      </c>
      <c r="BG467" s="111">
        <f t="shared" si="376"/>
        <v>2</v>
      </c>
      <c r="BH467" s="111">
        <f t="shared" si="348"/>
        <v>2</v>
      </c>
      <c r="BI467" s="111">
        <f t="shared" si="349"/>
        <v>45.379781420765028</v>
      </c>
      <c r="BJ467" s="129">
        <f t="shared" si="355"/>
        <v>0</v>
      </c>
      <c r="BK467" s="129">
        <f t="shared" si="350"/>
        <v>0</v>
      </c>
      <c r="BL467" s="129" t="str">
        <f t="shared" si="351"/>
        <v>NO CONVICTION</v>
      </c>
      <c r="BM467" s="129" t="str">
        <f t="shared" si="356"/>
        <v>NONE</v>
      </c>
      <c r="BN467" s="129" t="s">
        <v>566</v>
      </c>
      <c r="BP467" s="137" t="str">
        <f t="shared" si="357"/>
        <v>NO CONVICTION</v>
      </c>
      <c r="BQ467" s="128" t="str">
        <f t="shared" si="358"/>
        <v>Y</v>
      </c>
      <c r="BR467" s="129" t="str">
        <f t="shared" si="359"/>
        <v>DETAINED</v>
      </c>
      <c r="BS467" s="129" t="str">
        <f t="shared" si="360"/>
        <v>DISPOSED</v>
      </c>
      <c r="BT467" s="129" t="str">
        <f t="shared" si="361"/>
        <v>Y</v>
      </c>
      <c r="BU467" s="109">
        <f>IFERROR(Q467/R467,BR467)</f>
        <v>1</v>
      </c>
      <c r="BV467" s="109">
        <f t="shared" si="363"/>
        <v>1</v>
      </c>
      <c r="BW467" s="109">
        <f t="shared" si="373"/>
        <v>0</v>
      </c>
      <c r="BX467" s="111">
        <f t="shared" si="364"/>
        <v>0</v>
      </c>
      <c r="BY467" s="129">
        <f t="shared" si="365"/>
        <v>-2</v>
      </c>
      <c r="BZ467" s="111">
        <f t="shared" si="366"/>
        <v>0</v>
      </c>
      <c r="CA467" s="138">
        <f t="shared" si="367"/>
        <v>2</v>
      </c>
      <c r="CB467" s="111" t="e">
        <f t="shared" si="377"/>
        <v>#VALUE!</v>
      </c>
      <c r="CC467" s="129">
        <f>G467-I467+1</f>
        <v>2</v>
      </c>
      <c r="CD467" s="129">
        <f>G467-J467</f>
        <v>0</v>
      </c>
      <c r="CE467" s="129">
        <f t="shared" si="368"/>
        <v>0</v>
      </c>
      <c r="CG467" s="129" t="str">
        <f t="shared" si="369"/>
        <v>Y</v>
      </c>
      <c r="CI467" s="129" t="str">
        <f t="shared" si="370"/>
        <v>0-10 DAYS</v>
      </c>
      <c r="CJ467" s="137">
        <f t="shared" si="371"/>
        <v>1</v>
      </c>
      <c r="CK467" s="129" t="str">
        <f t="shared" si="372"/>
        <v>Booked</v>
      </c>
    </row>
    <row r="468" spans="1:89" ht="15" customHeight="1" x14ac:dyDescent="0.25">
      <c r="A468" s="111">
        <v>934</v>
      </c>
      <c r="B468" s="128" t="str">
        <f t="shared" si="352"/>
        <v>N</v>
      </c>
      <c r="C468" s="128" t="str">
        <f t="shared" si="353"/>
        <v>N</v>
      </c>
      <c r="D468" s="117">
        <v>1185451</v>
      </c>
      <c r="E468" s="135">
        <f t="shared" si="354"/>
        <v>4</v>
      </c>
      <c r="F468" s="124">
        <v>40943</v>
      </c>
      <c r="G468" s="125">
        <v>40973</v>
      </c>
      <c r="H468" s="117">
        <v>1185451</v>
      </c>
      <c r="I468" s="124">
        <v>40943</v>
      </c>
      <c r="J468" s="124">
        <v>40973</v>
      </c>
      <c r="K468" s="126">
        <v>15000</v>
      </c>
      <c r="L468" s="127" t="s">
        <v>571</v>
      </c>
      <c r="N468" s="129" t="str">
        <f t="shared" si="374"/>
        <v>N</v>
      </c>
      <c r="O468" s="128" t="s">
        <v>917</v>
      </c>
      <c r="P468" s="129" t="s">
        <v>39</v>
      </c>
      <c r="Q468" s="111">
        <f t="shared" si="340"/>
        <v>31</v>
      </c>
      <c r="R468" s="111">
        <f t="shared" si="347"/>
        <v>31</v>
      </c>
      <c r="S468" s="129">
        <v>3</v>
      </c>
      <c r="T468" s="129">
        <v>3</v>
      </c>
      <c r="U468" s="129">
        <v>1</v>
      </c>
      <c r="W468" s="111"/>
      <c r="AC468" s="130"/>
      <c r="AD468" s="130">
        <v>26749</v>
      </c>
      <c r="AE468" s="128" t="s">
        <v>46</v>
      </c>
      <c r="AF468" s="128" t="s">
        <v>69</v>
      </c>
      <c r="AG468" s="128" t="s">
        <v>874</v>
      </c>
      <c r="AH468" s="108" t="s">
        <v>58</v>
      </c>
      <c r="AI468" s="128" t="s">
        <v>65</v>
      </c>
      <c r="AJ468" s="129" t="s">
        <v>89</v>
      </c>
      <c r="AK468" s="129">
        <v>3</v>
      </c>
      <c r="AL468" s="3" t="s">
        <v>991</v>
      </c>
      <c r="AO468" s="128">
        <v>30</v>
      </c>
      <c r="AP468" s="129" t="s">
        <v>43</v>
      </c>
      <c r="AR468" s="128" t="s">
        <v>44</v>
      </c>
      <c r="AS468" s="129" t="s">
        <v>45</v>
      </c>
      <c r="AT468" s="129" t="s">
        <v>267</v>
      </c>
      <c r="BC468" s="129" t="s">
        <v>38</v>
      </c>
      <c r="BF468" s="111">
        <f t="shared" si="375"/>
        <v>31</v>
      </c>
      <c r="BG468" s="111">
        <f t="shared" si="376"/>
        <v>31</v>
      </c>
      <c r="BH468" s="111">
        <f t="shared" si="348"/>
        <v>31</v>
      </c>
      <c r="BI468" s="111">
        <f t="shared" si="349"/>
        <v>38.78142076502732</v>
      </c>
      <c r="BJ468" s="129">
        <f t="shared" si="355"/>
        <v>0</v>
      </c>
      <c r="BK468" s="129">
        <f t="shared" si="350"/>
        <v>0</v>
      </c>
      <c r="BL468" s="129" t="str">
        <f t="shared" si="351"/>
        <v>CONVICTION</v>
      </c>
      <c r="BM468" s="129" t="str">
        <f t="shared" si="356"/>
        <v>NONE</v>
      </c>
      <c r="BN468" s="129" t="s">
        <v>566</v>
      </c>
      <c r="BP468" s="137" t="str">
        <f t="shared" si="357"/>
        <v>CONVICTION</v>
      </c>
      <c r="BQ468" s="128" t="str">
        <f t="shared" si="358"/>
        <v>Y</v>
      </c>
      <c r="BR468" s="129" t="str">
        <f t="shared" si="359"/>
        <v>DETAINED</v>
      </c>
      <c r="BS468" s="129" t="str">
        <f t="shared" si="360"/>
        <v>DISPOSED</v>
      </c>
      <c r="BT468" s="129" t="str">
        <f t="shared" si="361"/>
        <v>Y</v>
      </c>
      <c r="BU468" s="109">
        <f t="shared" si="362"/>
        <v>1</v>
      </c>
      <c r="BV468" s="109">
        <f t="shared" si="363"/>
        <v>1</v>
      </c>
      <c r="BW468" s="109">
        <f t="shared" si="373"/>
        <v>0</v>
      </c>
      <c r="BX468" s="111">
        <f t="shared" si="364"/>
        <v>0</v>
      </c>
      <c r="BY468" s="129">
        <f t="shared" si="365"/>
        <v>-31</v>
      </c>
      <c r="BZ468" s="111">
        <f t="shared" si="366"/>
        <v>0</v>
      </c>
      <c r="CA468" s="138">
        <f t="shared" si="367"/>
        <v>31</v>
      </c>
      <c r="CB468" s="111" t="e">
        <f t="shared" si="377"/>
        <v>#VALUE!</v>
      </c>
      <c r="CC468" s="129">
        <f>G468-I468+1</f>
        <v>31</v>
      </c>
      <c r="CD468" s="129">
        <f>G468-J468</f>
        <v>0</v>
      </c>
      <c r="CE468" s="129">
        <f t="shared" si="368"/>
        <v>0</v>
      </c>
      <c r="CG468" s="129" t="str">
        <f t="shared" si="369"/>
        <v>Y</v>
      </c>
      <c r="CI468" s="129" t="str">
        <f t="shared" si="370"/>
        <v>31-60 DAYS</v>
      </c>
      <c r="CJ468" s="137">
        <f t="shared" si="371"/>
        <v>3</v>
      </c>
      <c r="CK468" s="129" t="str">
        <f t="shared" si="372"/>
        <v>Booked</v>
      </c>
    </row>
    <row r="469" spans="1:89" ht="15" customHeight="1" x14ac:dyDescent="0.25">
      <c r="A469" s="111">
        <v>1645</v>
      </c>
      <c r="B469" s="128" t="str">
        <f t="shared" si="352"/>
        <v>N</v>
      </c>
      <c r="C469" s="128" t="str">
        <f t="shared" si="353"/>
        <v>N</v>
      </c>
      <c r="D469" s="117">
        <v>1186095</v>
      </c>
      <c r="E469" s="135">
        <f t="shared" si="354"/>
        <v>4</v>
      </c>
      <c r="F469" s="124">
        <v>40969</v>
      </c>
      <c r="G469" s="125">
        <v>41100</v>
      </c>
      <c r="H469" s="117">
        <v>1186095</v>
      </c>
      <c r="I469" s="124">
        <v>41010</v>
      </c>
      <c r="J469" s="124">
        <v>41100</v>
      </c>
      <c r="K469" s="126">
        <v>30000</v>
      </c>
      <c r="L469" s="129" t="s">
        <v>572</v>
      </c>
      <c r="N469" s="129" t="str">
        <f t="shared" si="374"/>
        <v>N</v>
      </c>
      <c r="O469" s="128" t="s">
        <v>917</v>
      </c>
      <c r="P469" s="129" t="s">
        <v>39</v>
      </c>
      <c r="Q469" s="111">
        <f t="shared" si="340"/>
        <v>91</v>
      </c>
      <c r="R469" s="111">
        <f t="shared" si="347"/>
        <v>132</v>
      </c>
      <c r="S469" s="129">
        <v>3</v>
      </c>
      <c r="T469" s="129">
        <v>7</v>
      </c>
      <c r="U469" s="129">
        <v>1</v>
      </c>
      <c r="W469" s="111"/>
      <c r="AC469" s="130"/>
      <c r="AD469" s="130">
        <v>25931</v>
      </c>
      <c r="AE469" s="128" t="s">
        <v>32</v>
      </c>
      <c r="AF469" s="128" t="s">
        <v>69</v>
      </c>
      <c r="AG469" s="128" t="s">
        <v>874</v>
      </c>
      <c r="AH469" s="108" t="s">
        <v>31</v>
      </c>
      <c r="AI469" s="128" t="s">
        <v>97</v>
      </c>
      <c r="AJ469" s="129" t="s">
        <v>89</v>
      </c>
      <c r="AK469" s="129">
        <v>5</v>
      </c>
      <c r="AL469" s="3" t="s">
        <v>991</v>
      </c>
      <c r="AO469" s="128">
        <v>180</v>
      </c>
      <c r="AP469" s="129" t="s">
        <v>73</v>
      </c>
      <c r="AR469" s="128" t="s">
        <v>50</v>
      </c>
      <c r="AS469" s="129" t="s">
        <v>74</v>
      </c>
      <c r="BC469" s="129" t="s">
        <v>38</v>
      </c>
      <c r="BF469" s="111">
        <f t="shared" si="375"/>
        <v>91</v>
      </c>
      <c r="BG469" s="111">
        <f t="shared" si="376"/>
        <v>91</v>
      </c>
      <c r="BH469" s="111">
        <f t="shared" si="348"/>
        <v>132</v>
      </c>
      <c r="BI469" s="111">
        <f t="shared" si="349"/>
        <v>41.087431693989068</v>
      </c>
      <c r="BJ469" s="129">
        <f t="shared" si="355"/>
        <v>0</v>
      </c>
      <c r="BK469" s="129">
        <f t="shared" si="350"/>
        <v>0</v>
      </c>
      <c r="BL469" s="129" t="str">
        <f t="shared" si="351"/>
        <v>CONVICTION</v>
      </c>
      <c r="BM469" s="129" t="str">
        <f t="shared" si="356"/>
        <v>NONE</v>
      </c>
      <c r="BN469" s="129" t="s">
        <v>566</v>
      </c>
      <c r="BP469" s="137" t="str">
        <f t="shared" si="357"/>
        <v>CONVICTION</v>
      </c>
      <c r="BQ469" s="128" t="str">
        <f t="shared" si="358"/>
        <v>Y</v>
      </c>
      <c r="BR469" s="129" t="str">
        <f t="shared" si="359"/>
        <v>DETAINED</v>
      </c>
      <c r="BS469" s="129" t="str">
        <f t="shared" si="360"/>
        <v>DISPOSED</v>
      </c>
      <c r="BT469" s="129" t="str">
        <f t="shared" si="361"/>
        <v>Y</v>
      </c>
      <c r="BU469" s="109">
        <f t="shared" si="362"/>
        <v>0.68939393939393945</v>
      </c>
      <c r="BV469" s="109">
        <f t="shared" si="363"/>
        <v>1</v>
      </c>
      <c r="BW469" s="109">
        <f t="shared" si="373"/>
        <v>0.31060606060606055</v>
      </c>
      <c r="BX469" s="111">
        <f t="shared" si="364"/>
        <v>0</v>
      </c>
      <c r="BY469" s="129">
        <f t="shared" si="365"/>
        <v>-91</v>
      </c>
      <c r="BZ469" s="111">
        <f t="shared" si="366"/>
        <v>0</v>
      </c>
      <c r="CA469" s="138">
        <f t="shared" si="367"/>
        <v>91</v>
      </c>
      <c r="CB469" s="111" t="e">
        <f t="shared" si="377"/>
        <v>#VALUE!</v>
      </c>
      <c r="CC469" s="129">
        <f>G469-I469+1</f>
        <v>91</v>
      </c>
      <c r="CD469" s="129">
        <f>G469-J469</f>
        <v>0</v>
      </c>
      <c r="CE469" s="129">
        <f t="shared" si="368"/>
        <v>0</v>
      </c>
      <c r="CG469" s="129" t="str">
        <f t="shared" si="369"/>
        <v>Y</v>
      </c>
      <c r="CI469" s="129" t="str">
        <f t="shared" si="370"/>
        <v>91-120 DAYS</v>
      </c>
      <c r="CJ469" s="137">
        <f t="shared" si="371"/>
        <v>0</v>
      </c>
      <c r="CK469" s="129" t="str">
        <f t="shared" si="372"/>
        <v>Booked</v>
      </c>
    </row>
    <row r="470" spans="1:89" ht="15" customHeight="1" x14ac:dyDescent="0.25">
      <c r="A470" s="111">
        <v>2457</v>
      </c>
      <c r="B470" s="128" t="str">
        <f t="shared" si="352"/>
        <v>N</v>
      </c>
      <c r="C470" s="128" t="str">
        <f t="shared" si="353"/>
        <v>N</v>
      </c>
      <c r="D470" s="117">
        <v>1187773</v>
      </c>
      <c r="E470" s="135">
        <f t="shared" si="354"/>
        <v>1</v>
      </c>
      <c r="F470" s="124">
        <v>41001</v>
      </c>
      <c r="G470" s="125">
        <v>41193</v>
      </c>
      <c r="H470" s="117">
        <v>1187773</v>
      </c>
      <c r="I470" s="124">
        <v>41002</v>
      </c>
      <c r="J470" s="124">
        <v>41009</v>
      </c>
      <c r="K470" s="126">
        <v>50000</v>
      </c>
      <c r="L470" s="129" t="s">
        <v>572</v>
      </c>
      <c r="M470" s="125">
        <v>41009</v>
      </c>
      <c r="N470" s="129" t="str">
        <f t="shared" si="374"/>
        <v>Y</v>
      </c>
      <c r="O470" s="128" t="s">
        <v>76</v>
      </c>
      <c r="P470" s="129" t="s">
        <v>55</v>
      </c>
      <c r="Q470" s="111">
        <f t="shared" si="340"/>
        <v>8</v>
      </c>
      <c r="R470" s="111">
        <f t="shared" si="347"/>
        <v>193</v>
      </c>
      <c r="S470" s="129">
        <v>7</v>
      </c>
      <c r="T470" s="129">
        <v>5</v>
      </c>
      <c r="U470" s="129">
        <v>1</v>
      </c>
      <c r="V470" s="117">
        <v>1</v>
      </c>
      <c r="W470" s="111"/>
      <c r="AC470" s="130"/>
      <c r="AD470" s="130">
        <v>27015</v>
      </c>
      <c r="AE470" s="128" t="s">
        <v>32</v>
      </c>
      <c r="AF470" s="128" t="s">
        <v>33</v>
      </c>
      <c r="AG470" s="128" t="s">
        <v>872</v>
      </c>
      <c r="AH470" s="108" t="s">
        <v>31</v>
      </c>
      <c r="AI470" s="128" t="s">
        <v>72</v>
      </c>
      <c r="AJ470" s="129" t="s">
        <v>55</v>
      </c>
      <c r="AK470" s="129">
        <v>9</v>
      </c>
      <c r="AL470" s="3" t="s">
        <v>55</v>
      </c>
      <c r="AP470" s="129" t="s">
        <v>150</v>
      </c>
      <c r="AR470" s="128" t="s">
        <v>67</v>
      </c>
      <c r="AS470" s="129" t="s">
        <v>74</v>
      </c>
      <c r="BC470" s="129" t="s">
        <v>52</v>
      </c>
      <c r="BF470" s="111">
        <f t="shared" si="375"/>
        <v>8</v>
      </c>
      <c r="BG470" s="111">
        <f t="shared" si="376"/>
        <v>192</v>
      </c>
      <c r="BH470" s="111">
        <f t="shared" si="348"/>
        <v>193</v>
      </c>
      <c r="BI470" s="111">
        <f t="shared" si="349"/>
        <v>38.213114754098363</v>
      </c>
      <c r="BJ470" s="129">
        <f>(G470-J470)+(M470-G470)</f>
        <v>0</v>
      </c>
      <c r="BK470" s="129">
        <f t="shared" si="350"/>
        <v>-184</v>
      </c>
      <c r="BL470" s="129" t="str">
        <f t="shared" si="351"/>
        <v>NO CONVICTION</v>
      </c>
      <c r="BM470" s="129" t="s">
        <v>76</v>
      </c>
      <c r="BN470" s="129" t="s">
        <v>88</v>
      </c>
      <c r="BP470" s="137" t="str">
        <f t="shared" si="357"/>
        <v>NO CONVICTION</v>
      </c>
      <c r="BQ470" s="128" t="str">
        <f t="shared" si="358"/>
        <v>Y</v>
      </c>
      <c r="BR470" s="129" t="str">
        <f t="shared" si="359"/>
        <v>ON BOND</v>
      </c>
      <c r="BS470" s="129" t="str">
        <f t="shared" si="360"/>
        <v>DISPOSED</v>
      </c>
      <c r="BT470" s="129" t="str">
        <f t="shared" si="361"/>
        <v>Y</v>
      </c>
      <c r="BU470" s="109">
        <f>IFERROR(Q470/R470,BR470)</f>
        <v>4.145077720207254E-2</v>
      </c>
      <c r="BV470" s="109">
        <f t="shared" si="363"/>
        <v>4.1666666666666664E-2</v>
      </c>
      <c r="BW470" s="109">
        <f t="shared" si="373"/>
        <v>2.1588946459412395E-4</v>
      </c>
      <c r="BX470" s="111">
        <f t="shared" si="364"/>
        <v>0</v>
      </c>
      <c r="BY470" s="129">
        <f t="shared" si="365"/>
        <v>-8</v>
      </c>
      <c r="BZ470" s="111">
        <f t="shared" si="366"/>
        <v>0</v>
      </c>
      <c r="CA470" s="138">
        <f t="shared" si="367"/>
        <v>8</v>
      </c>
      <c r="CB470" s="111" t="e">
        <f t="shared" si="377"/>
        <v>#VALUE!</v>
      </c>
      <c r="CC470" s="129">
        <f>M470-I470+1</f>
        <v>8</v>
      </c>
      <c r="CD470" s="111">
        <f>CC470-BF470</f>
        <v>0</v>
      </c>
      <c r="CE470" s="129">
        <f t="shared" si="368"/>
        <v>184</v>
      </c>
      <c r="CG470" s="129" t="str">
        <f t="shared" si="369"/>
        <v>Y</v>
      </c>
      <c r="CI470" s="129" t="str">
        <f t="shared" si="370"/>
        <v>0-10 DAYS</v>
      </c>
      <c r="CJ470" s="137">
        <f t="shared" si="371"/>
        <v>1</v>
      </c>
      <c r="CK470" s="129" t="str">
        <f t="shared" si="372"/>
        <v>Booked</v>
      </c>
    </row>
    <row r="471" spans="1:89" ht="15.75" customHeight="1" x14ac:dyDescent="0.25">
      <c r="A471" s="111">
        <v>11</v>
      </c>
      <c r="B471" s="128" t="str">
        <f t="shared" si="352"/>
        <v>N</v>
      </c>
      <c r="C471" s="128" t="str">
        <f t="shared" si="353"/>
        <v>N</v>
      </c>
      <c r="D471" s="117">
        <v>1190181</v>
      </c>
      <c r="E471" s="135">
        <f t="shared" si="354"/>
        <v>3</v>
      </c>
      <c r="F471" s="124">
        <v>40909</v>
      </c>
      <c r="G471" s="125">
        <v>41080</v>
      </c>
      <c r="H471" s="117">
        <v>1190181</v>
      </c>
      <c r="I471" s="124">
        <v>40910</v>
      </c>
      <c r="J471" s="124">
        <v>40912</v>
      </c>
      <c r="K471" s="126">
        <v>10000</v>
      </c>
      <c r="L471" s="127" t="s">
        <v>570</v>
      </c>
      <c r="M471" s="125">
        <v>40912</v>
      </c>
      <c r="N471" s="129" t="str">
        <f t="shared" si="374"/>
        <v>Y</v>
      </c>
      <c r="O471" s="128" t="s">
        <v>76</v>
      </c>
      <c r="P471" s="129" t="s">
        <v>39</v>
      </c>
      <c r="Q471" s="111">
        <f t="shared" si="340"/>
        <v>3</v>
      </c>
      <c r="R471" s="111">
        <f t="shared" si="347"/>
        <v>172</v>
      </c>
      <c r="S471" s="129">
        <v>0</v>
      </c>
      <c r="T471" s="129">
        <v>0</v>
      </c>
      <c r="W471" s="111"/>
      <c r="AC471" s="130"/>
      <c r="AD471" s="130">
        <v>20072</v>
      </c>
      <c r="AE471" s="128" t="s">
        <v>32</v>
      </c>
      <c r="AF471" s="128" t="s">
        <v>40</v>
      </c>
      <c r="AG471" s="128" t="s">
        <v>41</v>
      </c>
      <c r="AH471" s="108" t="s">
        <v>41</v>
      </c>
      <c r="AI471" s="128" t="s">
        <v>71</v>
      </c>
      <c r="AJ471" s="129" t="s">
        <v>89</v>
      </c>
      <c r="AK471" s="129">
        <v>7</v>
      </c>
      <c r="AL471" s="3" t="s">
        <v>185</v>
      </c>
      <c r="AO471" s="128">
        <v>10</v>
      </c>
      <c r="AP471" s="129" t="s">
        <v>66</v>
      </c>
      <c r="AR471" s="128" t="s">
        <v>67</v>
      </c>
      <c r="AS471" s="129" t="s">
        <v>68</v>
      </c>
      <c r="BC471" s="129" t="s">
        <v>52</v>
      </c>
      <c r="BF471" s="111">
        <f t="shared" si="375"/>
        <v>3</v>
      </c>
      <c r="BG471" s="111">
        <f t="shared" si="376"/>
        <v>171</v>
      </c>
      <c r="BH471" s="111">
        <f t="shared" si="348"/>
        <v>172</v>
      </c>
      <c r="BI471" s="111">
        <f t="shared" si="349"/>
        <v>56.931693989071036</v>
      </c>
      <c r="BJ471" s="129">
        <f>(G471-J471)+(M471-G471)</f>
        <v>0</v>
      </c>
      <c r="BK471" s="129">
        <f t="shared" si="350"/>
        <v>-168</v>
      </c>
      <c r="BL471" s="129" t="str">
        <f t="shared" si="351"/>
        <v>CONVICTION</v>
      </c>
      <c r="BM471" s="129" t="s">
        <v>76</v>
      </c>
      <c r="BN471" s="129" t="s">
        <v>88</v>
      </c>
      <c r="BP471" s="137" t="str">
        <f t="shared" si="357"/>
        <v>CONVICTION</v>
      </c>
      <c r="BQ471" s="128" t="str">
        <f t="shared" si="358"/>
        <v>Y</v>
      </c>
      <c r="BR471" s="129" t="str">
        <f>IF(J471&lt;G471,"ON BOND",0)</f>
        <v>ON BOND</v>
      </c>
      <c r="BS471" s="129" t="str">
        <f t="shared" si="360"/>
        <v>DISPOSED</v>
      </c>
      <c r="BT471" s="129" t="str">
        <f t="shared" si="361"/>
        <v>N</v>
      </c>
      <c r="BU471" s="109">
        <f t="shared" si="362"/>
        <v>1.7441860465116279E-2</v>
      </c>
      <c r="BV471" s="109">
        <f t="shared" si="363"/>
        <v>1.7543859649122806E-2</v>
      </c>
      <c r="BW471" s="109">
        <f t="shared" si="373"/>
        <v>1.0199918400652722E-4</v>
      </c>
      <c r="BX471" s="111">
        <f t="shared" si="364"/>
        <v>0</v>
      </c>
      <c r="BY471" s="129">
        <f t="shared" si="365"/>
        <v>-3</v>
      </c>
      <c r="BZ471" s="111">
        <f t="shared" si="366"/>
        <v>0</v>
      </c>
      <c r="CA471" s="138">
        <f t="shared" si="367"/>
        <v>3</v>
      </c>
      <c r="CB471" s="111" t="e">
        <f t="shared" si="377"/>
        <v>#VALUE!</v>
      </c>
      <c r="CC471" s="129">
        <f>M471-I471+1</f>
        <v>3</v>
      </c>
      <c r="CD471" s="111">
        <f>CC471-BF471</f>
        <v>0</v>
      </c>
      <c r="CE471" s="129">
        <f t="shared" si="368"/>
        <v>168</v>
      </c>
      <c r="CG471" s="129" t="str">
        <f t="shared" si="369"/>
        <v>N</v>
      </c>
      <c r="CI471" s="129" t="str">
        <f t="shared" si="370"/>
        <v>0-10 DAYS</v>
      </c>
      <c r="CJ471" s="137">
        <f t="shared" si="371"/>
        <v>1</v>
      </c>
      <c r="CK471" s="129" t="str">
        <f t="shared" si="372"/>
        <v>Booked</v>
      </c>
    </row>
    <row r="472" spans="1:89" ht="15" customHeight="1" x14ac:dyDescent="0.25">
      <c r="A472" s="111">
        <v>1766</v>
      </c>
      <c r="B472" s="128" t="str">
        <f t="shared" si="352"/>
        <v>N</v>
      </c>
      <c r="C472" s="128" t="str">
        <f t="shared" si="353"/>
        <v>N</v>
      </c>
      <c r="D472" s="117">
        <v>1190258</v>
      </c>
      <c r="E472" s="135">
        <f t="shared" si="354"/>
        <v>5</v>
      </c>
      <c r="F472" s="124">
        <v>40974</v>
      </c>
      <c r="G472" s="125">
        <v>41026</v>
      </c>
      <c r="H472" s="117">
        <v>1190258</v>
      </c>
      <c r="I472" s="124">
        <v>40975</v>
      </c>
      <c r="J472" s="124">
        <v>41026</v>
      </c>
      <c r="K472" s="126">
        <v>15000</v>
      </c>
      <c r="L472" s="127" t="s">
        <v>571</v>
      </c>
      <c r="N472" s="129" t="str">
        <f t="shared" si="374"/>
        <v>N</v>
      </c>
      <c r="O472" s="128" t="s">
        <v>917</v>
      </c>
      <c r="P472" s="129" t="s">
        <v>39</v>
      </c>
      <c r="Q472" s="111">
        <f t="shared" si="340"/>
        <v>52</v>
      </c>
      <c r="R472" s="111">
        <f t="shared" si="347"/>
        <v>53</v>
      </c>
      <c r="S472" s="129">
        <v>10</v>
      </c>
      <c r="T472" s="129">
        <v>7</v>
      </c>
      <c r="U472" s="129">
        <v>5</v>
      </c>
      <c r="W472" s="111"/>
      <c r="AC472" s="130"/>
      <c r="AD472" s="130">
        <v>24774</v>
      </c>
      <c r="AE472" s="128" t="s">
        <v>32</v>
      </c>
      <c r="AF472" s="128" t="s">
        <v>33</v>
      </c>
      <c r="AG472" s="128" t="s">
        <v>872</v>
      </c>
      <c r="AH472" s="108" t="s">
        <v>31</v>
      </c>
      <c r="AI472" s="128" t="s">
        <v>118</v>
      </c>
      <c r="AJ472" s="129" t="s">
        <v>89</v>
      </c>
      <c r="AK472" s="129">
        <v>3</v>
      </c>
      <c r="AL472" s="3" t="s">
        <v>992</v>
      </c>
      <c r="AN472" s="117">
        <v>7</v>
      </c>
      <c r="AP472" s="129" t="s">
        <v>43</v>
      </c>
      <c r="AR472" s="128" t="s">
        <v>44</v>
      </c>
      <c r="AS472" s="129" t="s">
        <v>45</v>
      </c>
      <c r="BC472" s="129" t="s">
        <v>38</v>
      </c>
      <c r="BF472" s="111">
        <f t="shared" si="375"/>
        <v>52</v>
      </c>
      <c r="BG472" s="111">
        <f t="shared" si="376"/>
        <v>52</v>
      </c>
      <c r="BH472" s="111">
        <f t="shared" si="348"/>
        <v>53</v>
      </c>
      <c r="BI472" s="111">
        <f t="shared" si="349"/>
        <v>44.26229508196721</v>
      </c>
      <c r="BJ472" s="129">
        <f t="shared" si="355"/>
        <v>0</v>
      </c>
      <c r="BK472" s="129">
        <f t="shared" si="350"/>
        <v>0</v>
      </c>
      <c r="BL472" s="129" t="str">
        <f t="shared" si="351"/>
        <v>CONVICTION</v>
      </c>
      <c r="BM472" s="129" t="str">
        <f t="shared" si="356"/>
        <v>NONE</v>
      </c>
      <c r="BN472" s="129" t="s">
        <v>566</v>
      </c>
      <c r="BP472" s="137" t="str">
        <f t="shared" si="357"/>
        <v>CONVICTION</v>
      </c>
      <c r="BQ472" s="128" t="str">
        <f t="shared" si="358"/>
        <v>Y</v>
      </c>
      <c r="BR472" s="129" t="str">
        <f t="shared" si="359"/>
        <v>DETAINED</v>
      </c>
      <c r="BS472" s="129" t="str">
        <f t="shared" si="360"/>
        <v>DISPOSED</v>
      </c>
      <c r="BT472" s="129" t="str">
        <f t="shared" si="361"/>
        <v>Y</v>
      </c>
      <c r="BU472" s="109">
        <f t="shared" si="362"/>
        <v>0.98113207547169812</v>
      </c>
      <c r="BV472" s="109">
        <f t="shared" si="363"/>
        <v>1</v>
      </c>
      <c r="BW472" s="109">
        <f t="shared" si="373"/>
        <v>1.8867924528301883E-2</v>
      </c>
      <c r="BX472" s="111">
        <f t="shared" si="364"/>
        <v>0</v>
      </c>
      <c r="BY472" s="129">
        <f t="shared" si="365"/>
        <v>-52</v>
      </c>
      <c r="BZ472" s="111">
        <f t="shared" si="366"/>
        <v>0</v>
      </c>
      <c r="CA472" s="138">
        <f t="shared" si="367"/>
        <v>52</v>
      </c>
      <c r="CB472" s="111" t="e">
        <f t="shared" si="377"/>
        <v>#VALUE!</v>
      </c>
      <c r="CC472" s="129">
        <f>G472-I472+1</f>
        <v>52</v>
      </c>
      <c r="CD472" s="129">
        <f>G472-J472</f>
        <v>0</v>
      </c>
      <c r="CE472" s="129">
        <f t="shared" si="368"/>
        <v>0</v>
      </c>
      <c r="CG472" s="129" t="str">
        <f t="shared" si="369"/>
        <v>Y</v>
      </c>
      <c r="CI472" s="129" t="str">
        <f t="shared" si="370"/>
        <v>31-60 DAYS</v>
      </c>
      <c r="CJ472" s="137">
        <f t="shared" si="371"/>
        <v>3</v>
      </c>
      <c r="CK472" s="129" t="str">
        <f t="shared" si="372"/>
        <v>Booked</v>
      </c>
    </row>
    <row r="473" spans="1:89" ht="15" customHeight="1" x14ac:dyDescent="0.25">
      <c r="A473" s="111">
        <v>746</v>
      </c>
      <c r="B473" s="128" t="str">
        <f t="shared" si="352"/>
        <v>N</v>
      </c>
      <c r="C473" s="128" t="str">
        <f t="shared" si="353"/>
        <v>N</v>
      </c>
      <c r="D473" s="117">
        <v>1191468</v>
      </c>
      <c r="E473" s="135">
        <f t="shared" si="354"/>
        <v>4</v>
      </c>
      <c r="F473" s="124">
        <v>40938</v>
      </c>
      <c r="G473" s="125">
        <v>40940</v>
      </c>
      <c r="H473" s="117">
        <v>1191468</v>
      </c>
      <c r="I473" s="124">
        <v>40938</v>
      </c>
      <c r="J473" s="124">
        <v>40940</v>
      </c>
      <c r="K473" s="126" t="s">
        <v>564</v>
      </c>
      <c r="L473" s="127" t="s">
        <v>564</v>
      </c>
      <c r="N473" s="129" t="s">
        <v>566</v>
      </c>
      <c r="O473" s="128" t="s">
        <v>917</v>
      </c>
      <c r="P473" s="129" t="s">
        <v>39</v>
      </c>
      <c r="Q473" s="111">
        <f t="shared" si="340"/>
        <v>3</v>
      </c>
      <c r="R473" s="111">
        <f t="shared" si="347"/>
        <v>3</v>
      </c>
      <c r="S473" s="129">
        <v>8</v>
      </c>
      <c r="T473" s="129">
        <v>8</v>
      </c>
      <c r="U473" s="129">
        <v>7</v>
      </c>
      <c r="V473" s="117">
        <v>1</v>
      </c>
      <c r="W473" s="111"/>
      <c r="AC473" s="130"/>
      <c r="AD473" s="130">
        <v>26916</v>
      </c>
      <c r="AE473" s="128" t="s">
        <v>32</v>
      </c>
      <c r="AF473" s="128" t="s">
        <v>33</v>
      </c>
      <c r="AG473" s="128" t="s">
        <v>872</v>
      </c>
      <c r="AH473" s="108" t="s">
        <v>58</v>
      </c>
      <c r="AI473" s="128" t="s">
        <v>97</v>
      </c>
      <c r="AJ473" s="129" t="s">
        <v>89</v>
      </c>
      <c r="AK473" s="129">
        <v>2</v>
      </c>
      <c r="AL473" s="3" t="s">
        <v>991</v>
      </c>
      <c r="AO473" s="128">
        <v>120</v>
      </c>
      <c r="AP473" s="129" t="s">
        <v>43</v>
      </c>
      <c r="AR473" s="128" t="s">
        <v>44</v>
      </c>
      <c r="AS473" s="129" t="s">
        <v>45</v>
      </c>
      <c r="BC473" s="129" t="s">
        <v>99</v>
      </c>
      <c r="BF473" s="111">
        <f t="shared" si="375"/>
        <v>3</v>
      </c>
      <c r="BG473" s="111">
        <f t="shared" si="376"/>
        <v>3</v>
      </c>
      <c r="BH473" s="111">
        <f t="shared" si="348"/>
        <v>3</v>
      </c>
      <c r="BI473" s="111">
        <f t="shared" si="349"/>
        <v>38.311475409836063</v>
      </c>
      <c r="BJ473" s="129">
        <f t="shared" si="355"/>
        <v>0</v>
      </c>
      <c r="BK473" s="129">
        <f t="shared" si="350"/>
        <v>0</v>
      </c>
      <c r="BL473" s="129" t="str">
        <f t="shared" si="351"/>
        <v>CONVICTION</v>
      </c>
      <c r="BM473" s="129" t="str">
        <f t="shared" si="356"/>
        <v>NONE</v>
      </c>
      <c r="BN473" s="129" t="s">
        <v>566</v>
      </c>
      <c r="BP473" s="137" t="str">
        <f t="shared" si="357"/>
        <v>CONVICTION</v>
      </c>
      <c r="BQ473" s="128" t="str">
        <f t="shared" si="358"/>
        <v>Y</v>
      </c>
      <c r="BR473" s="129" t="str">
        <f t="shared" si="359"/>
        <v>DETAINED</v>
      </c>
      <c r="BS473" s="129" t="str">
        <f t="shared" si="360"/>
        <v>DISPOSED</v>
      </c>
      <c r="BT473" s="129" t="str">
        <f t="shared" si="361"/>
        <v>Y</v>
      </c>
      <c r="BU473" s="109">
        <f t="shared" si="362"/>
        <v>1</v>
      </c>
      <c r="BV473" s="109">
        <f t="shared" si="363"/>
        <v>1</v>
      </c>
      <c r="BW473" s="109">
        <f t="shared" si="373"/>
        <v>0</v>
      </c>
      <c r="BX473" s="111">
        <f t="shared" si="364"/>
        <v>0</v>
      </c>
      <c r="BY473" s="129">
        <f t="shared" si="365"/>
        <v>-3</v>
      </c>
      <c r="BZ473" s="111">
        <f t="shared" si="366"/>
        <v>0</v>
      </c>
      <c r="CA473" s="138">
        <f t="shared" si="367"/>
        <v>3</v>
      </c>
      <c r="CB473" s="111" t="e">
        <f t="shared" si="377"/>
        <v>#VALUE!</v>
      </c>
      <c r="CC473" s="129">
        <f>G473-I473+1</f>
        <v>3</v>
      </c>
      <c r="CD473" s="129">
        <f>G473-J473</f>
        <v>0</v>
      </c>
      <c r="CE473" s="129">
        <f t="shared" si="368"/>
        <v>0</v>
      </c>
      <c r="CG473" s="129" t="str">
        <f t="shared" si="369"/>
        <v>Y</v>
      </c>
      <c r="CI473" s="129" t="str">
        <f t="shared" si="370"/>
        <v>0-10 DAYS</v>
      </c>
      <c r="CJ473" s="137">
        <f t="shared" si="371"/>
        <v>1</v>
      </c>
      <c r="CK473" s="129" t="str">
        <f t="shared" si="372"/>
        <v>Booked</v>
      </c>
    </row>
    <row r="474" spans="1:89" ht="15" customHeight="1" x14ac:dyDescent="0.25">
      <c r="A474" s="111">
        <v>143</v>
      </c>
      <c r="B474" s="128" t="str">
        <f t="shared" si="352"/>
        <v>N</v>
      </c>
      <c r="C474" s="128" t="str">
        <f t="shared" si="353"/>
        <v>N</v>
      </c>
      <c r="D474" s="117">
        <v>1191783</v>
      </c>
      <c r="E474" s="135">
        <f t="shared" si="354"/>
        <v>6</v>
      </c>
      <c r="F474" s="124">
        <v>40915</v>
      </c>
      <c r="G474" s="125">
        <v>41225</v>
      </c>
      <c r="H474" s="117">
        <v>1191783</v>
      </c>
      <c r="I474" s="124">
        <v>40915</v>
      </c>
      <c r="J474" s="125">
        <v>41225</v>
      </c>
      <c r="K474" s="126" t="s">
        <v>564</v>
      </c>
      <c r="L474" s="127" t="s">
        <v>564</v>
      </c>
      <c r="N474" s="129" t="s">
        <v>566</v>
      </c>
      <c r="O474" s="128" t="s">
        <v>917</v>
      </c>
      <c r="P474" s="129" t="s">
        <v>39</v>
      </c>
      <c r="Q474" s="111">
        <f t="shared" si="340"/>
        <v>311</v>
      </c>
      <c r="R474" s="111">
        <f t="shared" si="347"/>
        <v>311</v>
      </c>
      <c r="S474" s="129">
        <v>2</v>
      </c>
      <c r="T474" s="129">
        <v>1</v>
      </c>
      <c r="W474" s="111"/>
      <c r="AC474" s="130"/>
      <c r="AD474" s="130">
        <v>20968</v>
      </c>
      <c r="AE474" s="128" t="s">
        <v>32</v>
      </c>
      <c r="AF474" s="128" t="s">
        <v>33</v>
      </c>
      <c r="AG474" s="128" t="s">
        <v>872</v>
      </c>
      <c r="AH474" s="108" t="s">
        <v>31</v>
      </c>
      <c r="AI474" s="128" t="s">
        <v>118</v>
      </c>
      <c r="AJ474" s="129" t="s">
        <v>89</v>
      </c>
      <c r="AK474" s="129">
        <v>9</v>
      </c>
      <c r="AL474" s="3" t="s">
        <v>362</v>
      </c>
      <c r="AM474" s="117">
        <v>6</v>
      </c>
      <c r="AP474" s="129" t="s">
        <v>73</v>
      </c>
      <c r="AR474" s="128" t="s">
        <v>50</v>
      </c>
      <c r="AS474" s="129" t="s">
        <v>74</v>
      </c>
      <c r="AT474" s="111"/>
      <c r="BC474" s="129" t="s">
        <v>38</v>
      </c>
      <c r="BD474" s="111"/>
      <c r="BF474" s="111">
        <f t="shared" si="375"/>
        <v>311</v>
      </c>
      <c r="BG474" s="111">
        <f t="shared" si="376"/>
        <v>311</v>
      </c>
      <c r="BH474" s="111">
        <f t="shared" si="348"/>
        <v>311</v>
      </c>
      <c r="BI474" s="111">
        <f t="shared" si="349"/>
        <v>54.5</v>
      </c>
      <c r="BJ474" s="129">
        <f t="shared" si="355"/>
        <v>0</v>
      </c>
      <c r="BK474" s="129">
        <f t="shared" si="350"/>
        <v>0</v>
      </c>
      <c r="BL474" s="129" t="str">
        <f t="shared" si="351"/>
        <v>CONVICTION</v>
      </c>
      <c r="BM474" s="129" t="str">
        <f t="shared" si="356"/>
        <v>NONE</v>
      </c>
      <c r="BN474" s="129" t="s">
        <v>566</v>
      </c>
      <c r="BP474" s="137" t="str">
        <f t="shared" si="357"/>
        <v>CONVICTION</v>
      </c>
      <c r="BQ474" s="128" t="str">
        <f t="shared" si="358"/>
        <v>Y</v>
      </c>
      <c r="BR474" s="129" t="str">
        <f t="shared" si="359"/>
        <v>DETAINED</v>
      </c>
      <c r="BS474" s="129" t="str">
        <f t="shared" si="360"/>
        <v>DISPOSED</v>
      </c>
      <c r="BT474" s="129" t="str">
        <f t="shared" si="361"/>
        <v>Y</v>
      </c>
      <c r="BU474" s="109">
        <f t="shared" si="362"/>
        <v>1</v>
      </c>
      <c r="BV474" s="109">
        <f t="shared" si="363"/>
        <v>1</v>
      </c>
      <c r="BW474" s="109">
        <f t="shared" si="373"/>
        <v>0</v>
      </c>
      <c r="BX474" s="111">
        <f t="shared" si="364"/>
        <v>0</v>
      </c>
      <c r="BY474" s="129">
        <f t="shared" si="365"/>
        <v>-311</v>
      </c>
      <c r="BZ474" s="111">
        <f t="shared" si="366"/>
        <v>0</v>
      </c>
      <c r="CA474" s="138">
        <f t="shared" si="367"/>
        <v>311</v>
      </c>
      <c r="CB474" s="111" t="e">
        <f t="shared" si="377"/>
        <v>#VALUE!</v>
      </c>
      <c r="CC474" s="129">
        <f>G474-I474+1</f>
        <v>311</v>
      </c>
      <c r="CD474" s="129">
        <f>G474-J474</f>
        <v>0</v>
      </c>
      <c r="CE474" s="129">
        <f t="shared" si="368"/>
        <v>0</v>
      </c>
      <c r="CG474" s="129" t="str">
        <f t="shared" si="369"/>
        <v>Y</v>
      </c>
      <c r="CI474" s="129" t="str">
        <f t="shared" si="370"/>
        <v>121-365 DAYS</v>
      </c>
      <c r="CJ474" s="137">
        <f t="shared" si="371"/>
        <v>6</v>
      </c>
      <c r="CK474" s="129" t="str">
        <f t="shared" si="372"/>
        <v>Booked</v>
      </c>
    </row>
    <row r="475" spans="1:89" ht="15.75" customHeight="1" x14ac:dyDescent="0.25">
      <c r="A475" s="111">
        <v>2642</v>
      </c>
      <c r="B475" s="128" t="str">
        <f t="shared" si="352"/>
        <v>N</v>
      </c>
      <c r="C475" s="128" t="str">
        <f t="shared" si="353"/>
        <v>N</v>
      </c>
      <c r="D475" s="117">
        <v>1192048</v>
      </c>
      <c r="E475" s="135">
        <f t="shared" si="354"/>
        <v>5</v>
      </c>
      <c r="F475" s="124">
        <v>41007</v>
      </c>
      <c r="G475" s="125">
        <v>41037</v>
      </c>
      <c r="H475" s="117">
        <v>1192048</v>
      </c>
      <c r="I475" s="124">
        <v>41007</v>
      </c>
      <c r="J475" s="124">
        <v>41037</v>
      </c>
      <c r="K475" s="126">
        <v>12000</v>
      </c>
      <c r="L475" s="127" t="s">
        <v>571</v>
      </c>
      <c r="N475" s="129" t="str">
        <f>IF(M475&gt;1/1/1,"Y","N")</f>
        <v>N</v>
      </c>
      <c r="O475" s="128" t="s">
        <v>917</v>
      </c>
      <c r="P475" s="129" t="s">
        <v>39</v>
      </c>
      <c r="Q475" s="111">
        <f t="shared" si="340"/>
        <v>31</v>
      </c>
      <c r="R475" s="111">
        <f t="shared" si="347"/>
        <v>31</v>
      </c>
      <c r="S475" s="129">
        <v>1</v>
      </c>
      <c r="T475" s="129">
        <v>1</v>
      </c>
      <c r="W475" s="111"/>
      <c r="AC475" s="130"/>
      <c r="AD475" s="130">
        <v>26053</v>
      </c>
      <c r="AE475" s="128" t="s">
        <v>32</v>
      </c>
      <c r="AF475" s="128" t="s">
        <v>40</v>
      </c>
      <c r="AG475" s="128" t="s">
        <v>41</v>
      </c>
      <c r="AH475" s="108" t="s">
        <v>41</v>
      </c>
      <c r="AI475" s="128" t="s">
        <v>85</v>
      </c>
      <c r="AJ475" s="129" t="s">
        <v>89</v>
      </c>
      <c r="AK475" s="129">
        <v>2</v>
      </c>
      <c r="AL475" s="3" t="s">
        <v>992</v>
      </c>
      <c r="AN475" s="117">
        <v>10</v>
      </c>
      <c r="AP475" s="129" t="s">
        <v>167</v>
      </c>
      <c r="AR475" s="128" t="s">
        <v>44</v>
      </c>
      <c r="AS475" s="129" t="s">
        <v>64</v>
      </c>
      <c r="BC475" s="129" t="s">
        <v>38</v>
      </c>
      <c r="BF475" s="111">
        <f t="shared" si="375"/>
        <v>31</v>
      </c>
      <c r="BG475" s="111">
        <f t="shared" si="376"/>
        <v>31</v>
      </c>
      <c r="BH475" s="111">
        <f t="shared" si="348"/>
        <v>31</v>
      </c>
      <c r="BI475" s="111">
        <f t="shared" si="349"/>
        <v>40.857923497267763</v>
      </c>
      <c r="BJ475" s="129">
        <f t="shared" si="355"/>
        <v>0</v>
      </c>
      <c r="BK475" s="129">
        <f t="shared" si="350"/>
        <v>0</v>
      </c>
      <c r="BL475" s="129" t="str">
        <f t="shared" si="351"/>
        <v>CONVICTION</v>
      </c>
      <c r="BM475" s="129" t="str">
        <f t="shared" si="356"/>
        <v>NONE</v>
      </c>
      <c r="BN475" s="129" t="s">
        <v>566</v>
      </c>
      <c r="BP475" s="137" t="str">
        <f t="shared" si="357"/>
        <v>CONVICTION</v>
      </c>
      <c r="BQ475" s="128" t="str">
        <f t="shared" si="358"/>
        <v>Y</v>
      </c>
      <c r="BR475" s="129" t="str">
        <f t="shared" si="359"/>
        <v>DETAINED</v>
      </c>
      <c r="BS475" s="129" t="str">
        <f t="shared" si="360"/>
        <v>DISPOSED</v>
      </c>
      <c r="BT475" s="129" t="str">
        <f t="shared" si="361"/>
        <v>Y</v>
      </c>
      <c r="BU475" s="109">
        <f t="shared" si="362"/>
        <v>1</v>
      </c>
      <c r="BV475" s="109">
        <f t="shared" si="363"/>
        <v>1</v>
      </c>
      <c r="BW475" s="109">
        <f t="shared" si="373"/>
        <v>0</v>
      </c>
      <c r="BX475" s="111">
        <f t="shared" si="364"/>
        <v>0</v>
      </c>
      <c r="BY475" s="129">
        <f t="shared" si="365"/>
        <v>-31</v>
      </c>
      <c r="BZ475" s="111">
        <f t="shared" si="366"/>
        <v>0</v>
      </c>
      <c r="CA475" s="138">
        <f t="shared" si="367"/>
        <v>31</v>
      </c>
      <c r="CB475" s="111" t="e">
        <f t="shared" si="377"/>
        <v>#VALUE!</v>
      </c>
      <c r="CC475" s="129">
        <f>G475-I475+1</f>
        <v>31</v>
      </c>
      <c r="CD475" s="129">
        <f>G475-J475</f>
        <v>0</v>
      </c>
      <c r="CE475" s="129">
        <f t="shared" si="368"/>
        <v>0</v>
      </c>
      <c r="CG475" s="129" t="str">
        <f t="shared" si="369"/>
        <v>Y</v>
      </c>
      <c r="CI475" s="129" t="str">
        <f t="shared" si="370"/>
        <v>31-60 DAYS</v>
      </c>
      <c r="CJ475" s="137">
        <f t="shared" si="371"/>
        <v>3</v>
      </c>
      <c r="CK475" s="129" t="str">
        <f t="shared" si="372"/>
        <v>Booked</v>
      </c>
    </row>
    <row r="476" spans="1:89" ht="15.75" customHeight="1" x14ac:dyDescent="0.25">
      <c r="A476" s="111">
        <v>1693</v>
      </c>
      <c r="B476" s="128" t="str">
        <f t="shared" si="352"/>
        <v>N</v>
      </c>
      <c r="C476" s="128" t="str">
        <f t="shared" si="353"/>
        <v>N</v>
      </c>
      <c r="D476" s="117">
        <v>1192318</v>
      </c>
      <c r="E476" s="135">
        <f t="shared" si="354"/>
        <v>4</v>
      </c>
      <c r="F476" s="124">
        <v>40971</v>
      </c>
      <c r="G476" s="125">
        <v>41344</v>
      </c>
      <c r="H476" s="117">
        <v>1192318</v>
      </c>
      <c r="I476" s="124" t="s">
        <v>562</v>
      </c>
      <c r="J476" s="124" t="s">
        <v>562</v>
      </c>
      <c r="K476" s="126">
        <v>2000</v>
      </c>
      <c r="L476" s="127" t="s">
        <v>568</v>
      </c>
      <c r="M476" s="125">
        <v>40973</v>
      </c>
      <c r="N476" s="129" t="str">
        <f>IF(M476&gt;1/1/1,"Y",IF(Q476="0","","N"))</f>
        <v>Y</v>
      </c>
      <c r="O476" s="128" t="s">
        <v>76</v>
      </c>
      <c r="P476" s="129" t="s">
        <v>39</v>
      </c>
      <c r="Q476" s="111">
        <f t="shared" si="340"/>
        <v>0</v>
      </c>
      <c r="R476" s="111">
        <f t="shared" si="347"/>
        <v>374</v>
      </c>
      <c r="S476" s="129">
        <v>0</v>
      </c>
      <c r="T476" s="129">
        <v>2</v>
      </c>
      <c r="W476" s="111"/>
      <c r="AB476" s="131" t="s">
        <v>112</v>
      </c>
      <c r="AC476" s="130"/>
      <c r="AD476" s="130">
        <v>23438</v>
      </c>
      <c r="AE476" s="128" t="s">
        <v>32</v>
      </c>
      <c r="AF476" s="128" t="s">
        <v>40</v>
      </c>
      <c r="AG476" s="128" t="s">
        <v>41</v>
      </c>
      <c r="AH476" s="108" t="s">
        <v>31</v>
      </c>
      <c r="AI476" s="128" t="s">
        <v>34</v>
      </c>
      <c r="AJ476" s="129" t="s">
        <v>89</v>
      </c>
      <c r="AK476" s="129">
        <v>10</v>
      </c>
      <c r="AL476" s="3" t="s">
        <v>991</v>
      </c>
      <c r="AO476" s="128">
        <v>2</v>
      </c>
      <c r="AP476" s="129" t="s">
        <v>78</v>
      </c>
      <c r="AR476" s="128" t="s">
        <v>44</v>
      </c>
      <c r="AS476" s="129" t="s">
        <v>64</v>
      </c>
      <c r="BC476" s="129" t="s">
        <v>52</v>
      </c>
      <c r="BF476" s="111">
        <v>0</v>
      </c>
      <c r="BG476" s="111">
        <v>0</v>
      </c>
      <c r="BH476" s="111">
        <f t="shared" si="348"/>
        <v>374</v>
      </c>
      <c r="BI476" s="111">
        <f t="shared" si="349"/>
        <v>47.904371584699454</v>
      </c>
      <c r="BJ476" s="129" t="e">
        <f>(G476-J476)+(M476-G476)</f>
        <v>#VALUE!</v>
      </c>
      <c r="BK476" s="129" t="e">
        <f t="shared" si="350"/>
        <v>#VALUE!</v>
      </c>
      <c r="BL476" s="129" t="str">
        <f t="shared" si="351"/>
        <v>CONVICTION</v>
      </c>
      <c r="BM476" s="129" t="s">
        <v>76</v>
      </c>
      <c r="BN476" s="129" t="s">
        <v>88</v>
      </c>
      <c r="BP476" s="137" t="str">
        <f t="shared" si="357"/>
        <v>CONVICTION</v>
      </c>
      <c r="BQ476" s="128">
        <f t="shared" si="358"/>
        <v>0</v>
      </c>
      <c r="BR476" s="129" t="s">
        <v>575</v>
      </c>
      <c r="BS476" s="129" t="str">
        <f t="shared" si="360"/>
        <v>DISPOSED</v>
      </c>
      <c r="BT476" s="129" t="str">
        <f t="shared" si="361"/>
        <v>N</v>
      </c>
      <c r="BU476" s="109">
        <f t="shared" si="362"/>
        <v>0</v>
      </c>
      <c r="BV476" s="109">
        <v>0</v>
      </c>
      <c r="BW476" s="109">
        <f t="shared" si="373"/>
        <v>0</v>
      </c>
      <c r="BX476" s="111">
        <f t="shared" si="364"/>
        <v>0</v>
      </c>
      <c r="BY476" s="129" t="e">
        <f t="shared" si="365"/>
        <v>#VALUE!</v>
      </c>
      <c r="BZ476" s="111" t="e">
        <f t="shared" si="366"/>
        <v>#VALUE!</v>
      </c>
      <c r="CA476" s="138" t="e">
        <f t="shared" si="367"/>
        <v>#VALUE!</v>
      </c>
      <c r="CB476" s="111">
        <v>0</v>
      </c>
      <c r="CC476" s="129">
        <v>0</v>
      </c>
      <c r="CD476" s="111">
        <f>CC476-BF476</f>
        <v>0</v>
      </c>
      <c r="CE476" s="129" t="e">
        <f t="shared" si="368"/>
        <v>#VALUE!</v>
      </c>
      <c r="CG476" s="129" t="str">
        <f t="shared" si="369"/>
        <v>Y</v>
      </c>
      <c r="CI476" s="129" t="str">
        <f t="shared" si="370"/>
        <v>0-10 DAYS</v>
      </c>
      <c r="CJ476" s="137">
        <f t="shared" si="371"/>
        <v>1</v>
      </c>
      <c r="CK476" s="129" t="str">
        <f t="shared" si="372"/>
        <v>Not Booked</v>
      </c>
    </row>
    <row r="477" spans="1:89" ht="15" customHeight="1" x14ac:dyDescent="0.25">
      <c r="A477" s="111">
        <v>1738</v>
      </c>
      <c r="B477" s="128" t="str">
        <f t="shared" si="352"/>
        <v>N</v>
      </c>
      <c r="C477" s="128" t="str">
        <f t="shared" si="353"/>
        <v>N</v>
      </c>
      <c r="D477" s="117">
        <v>1192467</v>
      </c>
      <c r="E477" s="135">
        <f t="shared" si="354"/>
        <v>1</v>
      </c>
      <c r="F477" s="124">
        <v>40973</v>
      </c>
      <c r="G477" s="125">
        <v>41054</v>
      </c>
      <c r="H477" s="117">
        <v>1192467</v>
      </c>
      <c r="I477" s="124">
        <v>40974</v>
      </c>
      <c r="J477" s="124">
        <v>41054</v>
      </c>
      <c r="K477" s="126">
        <v>15000</v>
      </c>
      <c r="L477" s="127" t="s">
        <v>571</v>
      </c>
      <c r="N477" s="129" t="str">
        <f>IF(M477&gt;1/1/1,"Y","N")</f>
        <v>N</v>
      </c>
      <c r="O477" s="128" t="s">
        <v>917</v>
      </c>
      <c r="P477" s="129" t="s">
        <v>55</v>
      </c>
      <c r="Q477" s="111">
        <f t="shared" si="340"/>
        <v>81</v>
      </c>
      <c r="R477" s="111">
        <f t="shared" si="347"/>
        <v>82</v>
      </c>
      <c r="S477" s="129">
        <v>9</v>
      </c>
      <c r="T477" s="129">
        <v>9</v>
      </c>
      <c r="U477" s="129">
        <v>6</v>
      </c>
      <c r="W477" s="111"/>
      <c r="AC477" s="130"/>
      <c r="AD477" s="130">
        <v>24243</v>
      </c>
      <c r="AE477" s="128" t="s">
        <v>32</v>
      </c>
      <c r="AF477" s="128" t="s">
        <v>33</v>
      </c>
      <c r="AG477" s="128" t="s">
        <v>872</v>
      </c>
      <c r="AH477" s="108" t="s">
        <v>58</v>
      </c>
      <c r="AI477" s="128" t="s">
        <v>80</v>
      </c>
      <c r="AJ477" s="129" t="s">
        <v>55</v>
      </c>
      <c r="AK477" s="129">
        <v>4</v>
      </c>
      <c r="AL477" s="3" t="s">
        <v>55</v>
      </c>
      <c r="AP477" s="129" t="s">
        <v>107</v>
      </c>
      <c r="AR477" s="128" t="s">
        <v>44</v>
      </c>
      <c r="AS477" s="129" t="s">
        <v>57</v>
      </c>
      <c r="BC477" s="129" t="s">
        <v>38</v>
      </c>
      <c r="BF477" s="111">
        <f t="shared" ref="BF477:BF486" si="378">IF(J477&gt;1/1/1900,((J477+1)-I477),"STILL OPEN")</f>
        <v>81</v>
      </c>
      <c r="BG477" s="111">
        <f t="shared" ref="BG477:BG492" si="379">IF(G477&gt;1/1/1900,((G477+1)-I477),"STILL OPEN")</f>
        <v>81</v>
      </c>
      <c r="BH477" s="111">
        <f t="shared" si="348"/>
        <v>82</v>
      </c>
      <c r="BI477" s="111">
        <f t="shared" si="349"/>
        <v>45.710382513661202</v>
      </c>
      <c r="BJ477" s="129">
        <f t="shared" si="355"/>
        <v>0</v>
      </c>
      <c r="BK477" s="129">
        <f t="shared" si="350"/>
        <v>0</v>
      </c>
      <c r="BL477" s="129" t="str">
        <f t="shared" si="351"/>
        <v>NO CONVICTION</v>
      </c>
      <c r="BM477" s="129" t="str">
        <f t="shared" si="356"/>
        <v>NONE</v>
      </c>
      <c r="BN477" s="129" t="s">
        <v>566</v>
      </c>
      <c r="BP477" s="137" t="str">
        <f t="shared" si="357"/>
        <v>NO CONVICTION</v>
      </c>
      <c r="BQ477" s="128" t="str">
        <f t="shared" si="358"/>
        <v>Y</v>
      </c>
      <c r="BR477" s="129" t="str">
        <f t="shared" si="359"/>
        <v>DETAINED</v>
      </c>
      <c r="BS477" s="129" t="str">
        <f t="shared" si="360"/>
        <v>DISPOSED</v>
      </c>
      <c r="BT477" s="129" t="str">
        <f t="shared" si="361"/>
        <v>Y</v>
      </c>
      <c r="BU477" s="109">
        <f>IFERROR(Q477/R477,BR477)</f>
        <v>0.98780487804878048</v>
      </c>
      <c r="BV477" s="109">
        <f t="shared" si="363"/>
        <v>1</v>
      </c>
      <c r="BW477" s="109">
        <f t="shared" si="373"/>
        <v>1.2195121951219523E-2</v>
      </c>
      <c r="BX477" s="111">
        <f t="shared" si="364"/>
        <v>0</v>
      </c>
      <c r="BY477" s="129">
        <f t="shared" si="365"/>
        <v>-81</v>
      </c>
      <c r="BZ477" s="111">
        <f t="shared" si="366"/>
        <v>0</v>
      </c>
      <c r="CA477" s="138">
        <f t="shared" si="367"/>
        <v>81</v>
      </c>
      <c r="CB477" s="111" t="e">
        <f t="shared" ref="CB477:CB486" si="380">IF(AF477&gt;1/1/1900,((AF477+1)-AE477),"STILL OPEN")</f>
        <v>#VALUE!</v>
      </c>
      <c r="CC477" s="129">
        <f>G477-I477+1</f>
        <v>81</v>
      </c>
      <c r="CD477" s="129">
        <f>G477-J477</f>
        <v>0</v>
      </c>
      <c r="CE477" s="129">
        <f t="shared" si="368"/>
        <v>0</v>
      </c>
      <c r="CG477" s="129" t="str">
        <f t="shared" si="369"/>
        <v>Y</v>
      </c>
      <c r="CI477" s="129" t="str">
        <f t="shared" si="370"/>
        <v>61-90 DAYS</v>
      </c>
      <c r="CJ477" s="137">
        <f t="shared" si="371"/>
        <v>4</v>
      </c>
      <c r="CK477" s="129" t="str">
        <f t="shared" si="372"/>
        <v>Booked</v>
      </c>
    </row>
    <row r="478" spans="1:89" ht="15.75" customHeight="1" x14ac:dyDescent="0.25">
      <c r="A478" s="111">
        <v>3076</v>
      </c>
      <c r="B478" s="128" t="str">
        <f t="shared" si="352"/>
        <v>N</v>
      </c>
      <c r="C478" s="128" t="str">
        <f t="shared" si="353"/>
        <v>Y</v>
      </c>
      <c r="D478" s="117">
        <v>1192795</v>
      </c>
      <c r="E478" s="135">
        <f t="shared" si="354"/>
        <v>4</v>
      </c>
      <c r="F478" s="124">
        <v>41023</v>
      </c>
      <c r="G478" s="125">
        <v>41695</v>
      </c>
      <c r="H478" s="117">
        <v>1192795</v>
      </c>
      <c r="I478" s="124">
        <v>41023</v>
      </c>
      <c r="J478" s="124">
        <v>41024</v>
      </c>
      <c r="K478" s="126">
        <v>10000</v>
      </c>
      <c r="L478" s="127" t="s">
        <v>570</v>
      </c>
      <c r="M478" s="125">
        <v>41024</v>
      </c>
      <c r="N478" s="129" t="str">
        <f>IF(M478&gt;1/1/1,"Y","N")</f>
        <v>Y</v>
      </c>
      <c r="O478" s="128" t="s">
        <v>76</v>
      </c>
      <c r="P478" s="129" t="s">
        <v>39</v>
      </c>
      <c r="Q478" s="111">
        <v>4</v>
      </c>
      <c r="R478" s="111">
        <f t="shared" si="347"/>
        <v>673</v>
      </c>
      <c r="S478" s="129">
        <v>1</v>
      </c>
      <c r="T478" s="129">
        <v>4</v>
      </c>
      <c r="U478" s="129">
        <v>1</v>
      </c>
      <c r="W478" s="111"/>
      <c r="AC478" s="130"/>
      <c r="AD478" s="130">
        <v>26894</v>
      </c>
      <c r="AE478" s="128" t="s">
        <v>32</v>
      </c>
      <c r="AF478" s="128" t="s">
        <v>69</v>
      </c>
      <c r="AG478" s="128" t="s">
        <v>874</v>
      </c>
      <c r="AH478" s="108" t="s">
        <v>58</v>
      </c>
      <c r="AI478" s="128" t="s">
        <v>95</v>
      </c>
      <c r="AJ478" s="129" t="s">
        <v>89</v>
      </c>
      <c r="AK478" s="129">
        <v>18</v>
      </c>
      <c r="AL478" s="3" t="s">
        <v>991</v>
      </c>
      <c r="AO478" s="128">
        <v>6</v>
      </c>
      <c r="AP478" s="129" t="s">
        <v>84</v>
      </c>
      <c r="AR478" s="128" t="s">
        <v>67</v>
      </c>
      <c r="AS478" s="129" t="s">
        <v>74</v>
      </c>
      <c r="AT478" s="129" t="s">
        <v>1353</v>
      </c>
      <c r="AV478" s="3" t="s">
        <v>88</v>
      </c>
      <c r="AW478" s="125">
        <v>41561</v>
      </c>
      <c r="BA478" s="125">
        <v>41603</v>
      </c>
      <c r="BB478" s="129">
        <v>255</v>
      </c>
      <c r="BC478" s="129" t="s">
        <v>52</v>
      </c>
      <c r="BF478" s="111">
        <v>6</v>
      </c>
      <c r="BG478" s="111">
        <f t="shared" si="379"/>
        <v>673</v>
      </c>
      <c r="BH478" s="111">
        <f t="shared" si="348"/>
        <v>673</v>
      </c>
      <c r="BI478" s="111">
        <f t="shared" si="349"/>
        <v>38.603825136612024</v>
      </c>
      <c r="BJ478" s="129">
        <f>(G478-J478)+(M478-G478)</f>
        <v>0</v>
      </c>
      <c r="BK478" s="129">
        <f t="shared" si="350"/>
        <v>-671</v>
      </c>
      <c r="BL478" s="129" t="str">
        <f t="shared" si="351"/>
        <v>CONVICTION</v>
      </c>
      <c r="BM478" s="129" t="s">
        <v>76</v>
      </c>
      <c r="BN478" s="129" t="s">
        <v>88</v>
      </c>
      <c r="BP478" s="137" t="str">
        <f t="shared" si="357"/>
        <v>CONVICTION</v>
      </c>
      <c r="BQ478" s="128" t="str">
        <f t="shared" si="358"/>
        <v>Y</v>
      </c>
      <c r="BR478" s="129" t="str">
        <f t="shared" si="359"/>
        <v>ON BOND</v>
      </c>
      <c r="BS478" s="129" t="s">
        <v>1259</v>
      </c>
      <c r="BT478" s="129" t="str">
        <f t="shared" si="361"/>
        <v>Y</v>
      </c>
      <c r="BU478" s="109">
        <f>IFERROR(Q478/R478,BR478)</f>
        <v>5.9435364041604752E-3</v>
      </c>
      <c r="BV478" s="139">
        <v>5.8999999999999999E-3</v>
      </c>
      <c r="BW478" s="109">
        <v>0</v>
      </c>
      <c r="BX478" s="111">
        <f t="shared" si="364"/>
        <v>-2</v>
      </c>
      <c r="BY478" s="129">
        <f t="shared" si="365"/>
        <v>-2</v>
      </c>
      <c r="BZ478" s="111">
        <f t="shared" si="366"/>
        <v>4</v>
      </c>
      <c r="CA478" s="138">
        <f t="shared" si="367"/>
        <v>2</v>
      </c>
      <c r="CB478" s="111" t="e">
        <f t="shared" si="380"/>
        <v>#VALUE!</v>
      </c>
      <c r="CC478" s="129">
        <v>6</v>
      </c>
      <c r="CE478" s="129">
        <f t="shared" si="368"/>
        <v>671</v>
      </c>
      <c r="CG478" s="129" t="str">
        <f t="shared" si="369"/>
        <v>Y</v>
      </c>
      <c r="CH478" s="129" t="e">
        <v>#N/A</v>
      </c>
      <c r="CI478" s="129" t="str">
        <f t="shared" si="370"/>
        <v>0-10 DAYS</v>
      </c>
      <c r="CJ478" s="137">
        <f t="shared" si="371"/>
        <v>1</v>
      </c>
      <c r="CK478" s="129" t="str">
        <f t="shared" si="372"/>
        <v>Booked</v>
      </c>
    </row>
    <row r="479" spans="1:89" ht="15.75" customHeight="1" x14ac:dyDescent="0.25">
      <c r="A479" s="111">
        <v>2068</v>
      </c>
      <c r="B479" s="128" t="str">
        <f t="shared" si="352"/>
        <v>N</v>
      </c>
      <c r="C479" s="128" t="str">
        <f t="shared" si="353"/>
        <v>N</v>
      </c>
      <c r="D479" s="117">
        <v>1193542</v>
      </c>
      <c r="E479" s="135">
        <f t="shared" si="354"/>
        <v>5</v>
      </c>
      <c r="F479" s="124">
        <v>40986</v>
      </c>
      <c r="G479" s="125">
        <v>40998</v>
      </c>
      <c r="H479" s="117">
        <v>1193542</v>
      </c>
      <c r="I479" s="124">
        <v>40987</v>
      </c>
      <c r="J479" s="124">
        <v>40998</v>
      </c>
      <c r="K479" s="126">
        <v>30000</v>
      </c>
      <c r="L479" s="129" t="s">
        <v>572</v>
      </c>
      <c r="N479" s="129" t="str">
        <f>IF(M479&gt;1/1/1,"Y","N")</f>
        <v>N</v>
      </c>
      <c r="O479" s="128" t="s">
        <v>917</v>
      </c>
      <c r="P479" s="129" t="s">
        <v>39</v>
      </c>
      <c r="Q479" s="111">
        <f t="shared" si="340"/>
        <v>12</v>
      </c>
      <c r="R479" s="111">
        <f t="shared" si="347"/>
        <v>13</v>
      </c>
      <c r="S479" s="129">
        <v>6</v>
      </c>
      <c r="T479" s="129">
        <v>16</v>
      </c>
      <c r="U479" s="129">
        <v>5</v>
      </c>
      <c r="W479" s="111"/>
      <c r="AC479" s="130"/>
      <c r="AD479" s="130">
        <v>25979</v>
      </c>
      <c r="AE479" s="128" t="s">
        <v>32</v>
      </c>
      <c r="AF479" s="128" t="s">
        <v>33</v>
      </c>
      <c r="AG479" s="128" t="s">
        <v>872</v>
      </c>
      <c r="AH479" s="108" t="s">
        <v>58</v>
      </c>
      <c r="AI479" s="128" t="s">
        <v>118</v>
      </c>
      <c r="AJ479" s="129" t="s">
        <v>89</v>
      </c>
      <c r="AK479" s="129">
        <v>2</v>
      </c>
      <c r="AL479" s="3" t="s">
        <v>992</v>
      </c>
      <c r="AN479" s="117">
        <v>8</v>
      </c>
      <c r="AP479" s="129" t="s">
        <v>60</v>
      </c>
      <c r="AR479" s="128" t="s">
        <v>44</v>
      </c>
      <c r="AS479" s="129" t="s">
        <v>61</v>
      </c>
      <c r="BC479" s="129" t="s">
        <v>38</v>
      </c>
      <c r="BF479" s="111">
        <f t="shared" si="378"/>
        <v>12</v>
      </c>
      <c r="BG479" s="111">
        <f t="shared" si="379"/>
        <v>12</v>
      </c>
      <c r="BH479" s="111">
        <f t="shared" si="348"/>
        <v>13</v>
      </c>
      <c r="BI479" s="111">
        <f t="shared" si="349"/>
        <v>41.002732240437162</v>
      </c>
      <c r="BJ479" s="129">
        <f t="shared" si="355"/>
        <v>0</v>
      </c>
      <c r="BK479" s="129">
        <f t="shared" si="350"/>
        <v>0</v>
      </c>
      <c r="BL479" s="129" t="str">
        <f t="shared" si="351"/>
        <v>CONVICTION</v>
      </c>
      <c r="BM479" s="129" t="str">
        <f t="shared" si="356"/>
        <v>NONE</v>
      </c>
      <c r="BN479" s="129" t="s">
        <v>566</v>
      </c>
      <c r="BP479" s="137" t="str">
        <f t="shared" si="357"/>
        <v>CONVICTION</v>
      </c>
      <c r="BQ479" s="128" t="str">
        <f t="shared" si="358"/>
        <v>Y</v>
      </c>
      <c r="BR479" s="129" t="str">
        <f t="shared" si="359"/>
        <v>DETAINED</v>
      </c>
      <c r="BS479" s="129" t="str">
        <f t="shared" si="360"/>
        <v>DISPOSED</v>
      </c>
      <c r="BT479" s="129" t="str">
        <f t="shared" si="361"/>
        <v>Y</v>
      </c>
      <c r="BU479" s="109">
        <f t="shared" si="362"/>
        <v>0.92307692307692313</v>
      </c>
      <c r="BV479" s="109">
        <f t="shared" si="363"/>
        <v>1</v>
      </c>
      <c r="BW479" s="109">
        <f t="shared" ref="BW479:BW513" si="381">BV479-BU479</f>
        <v>7.6923076923076872E-2</v>
      </c>
      <c r="BX479" s="111">
        <f t="shared" si="364"/>
        <v>0</v>
      </c>
      <c r="BY479" s="129">
        <f t="shared" si="365"/>
        <v>-12</v>
      </c>
      <c r="BZ479" s="111">
        <f t="shared" si="366"/>
        <v>0</v>
      </c>
      <c r="CA479" s="138">
        <f t="shared" si="367"/>
        <v>12</v>
      </c>
      <c r="CB479" s="111" t="e">
        <f t="shared" si="380"/>
        <v>#VALUE!</v>
      </c>
      <c r="CC479" s="129">
        <f>G479-I479+1</f>
        <v>12</v>
      </c>
      <c r="CD479" s="129">
        <f>G479-J479</f>
        <v>0</v>
      </c>
      <c r="CE479" s="129">
        <f t="shared" si="368"/>
        <v>0</v>
      </c>
      <c r="CG479" s="129" t="str">
        <f t="shared" si="369"/>
        <v>Y</v>
      </c>
      <c r="CI479" s="129" t="str">
        <f t="shared" si="370"/>
        <v>11-30 DAYS</v>
      </c>
      <c r="CJ479" s="137">
        <f t="shared" si="371"/>
        <v>2</v>
      </c>
      <c r="CK479" s="129" t="str">
        <f t="shared" si="372"/>
        <v>Booked</v>
      </c>
    </row>
    <row r="480" spans="1:89" ht="15.75" customHeight="1" x14ac:dyDescent="0.25">
      <c r="A480" s="111">
        <v>1950</v>
      </c>
      <c r="B480" s="128" t="str">
        <f t="shared" si="352"/>
        <v>N</v>
      </c>
      <c r="C480" s="128" t="str">
        <f t="shared" si="353"/>
        <v>N</v>
      </c>
      <c r="D480" s="117">
        <v>1195104</v>
      </c>
      <c r="E480" s="135">
        <f t="shared" si="354"/>
        <v>6</v>
      </c>
      <c r="F480" s="124">
        <v>40982</v>
      </c>
      <c r="G480" s="125">
        <v>41232</v>
      </c>
      <c r="H480" s="117">
        <v>1195104</v>
      </c>
      <c r="I480" s="124">
        <v>40983</v>
      </c>
      <c r="J480" s="125">
        <v>41232</v>
      </c>
      <c r="K480" s="126" t="s">
        <v>564</v>
      </c>
      <c r="L480" s="127" t="s">
        <v>564</v>
      </c>
      <c r="N480" s="129" t="s">
        <v>566</v>
      </c>
      <c r="O480" s="128" t="s">
        <v>917</v>
      </c>
      <c r="P480" s="129" t="s">
        <v>39</v>
      </c>
      <c r="Q480" s="111">
        <f t="shared" si="340"/>
        <v>250</v>
      </c>
      <c r="R480" s="111">
        <f t="shared" si="347"/>
        <v>251</v>
      </c>
      <c r="S480" s="129">
        <v>6</v>
      </c>
      <c r="T480" s="129">
        <v>5</v>
      </c>
      <c r="U480" s="129">
        <v>2</v>
      </c>
      <c r="W480" s="111"/>
      <c r="AC480" s="130"/>
      <c r="AD480" s="130">
        <v>26355</v>
      </c>
      <c r="AE480" s="128" t="s">
        <v>32</v>
      </c>
      <c r="AF480" s="128" t="s">
        <v>33</v>
      </c>
      <c r="AG480" s="128" t="s">
        <v>872</v>
      </c>
      <c r="AH480" s="108" t="s">
        <v>58</v>
      </c>
      <c r="AI480" s="128" t="s">
        <v>34</v>
      </c>
      <c r="AJ480" s="129" t="s">
        <v>89</v>
      </c>
      <c r="AK480" s="129">
        <v>11</v>
      </c>
      <c r="AL480" s="3" t="s">
        <v>362</v>
      </c>
      <c r="AM480" s="117">
        <v>10</v>
      </c>
      <c r="AP480" s="129" t="s">
        <v>93</v>
      </c>
      <c r="AR480" s="128" t="s">
        <v>67</v>
      </c>
      <c r="AS480" s="129" t="s">
        <v>45</v>
      </c>
      <c r="BC480" s="129" t="s">
        <v>99</v>
      </c>
      <c r="BF480" s="111">
        <f t="shared" si="378"/>
        <v>250</v>
      </c>
      <c r="BG480" s="111">
        <f t="shared" si="379"/>
        <v>250</v>
      </c>
      <c r="BH480" s="111">
        <f t="shared" si="348"/>
        <v>251</v>
      </c>
      <c r="BI480" s="111">
        <f t="shared" si="349"/>
        <v>39.964480874316941</v>
      </c>
      <c r="BJ480" s="129">
        <f t="shared" si="355"/>
        <v>0</v>
      </c>
      <c r="BK480" s="129">
        <f t="shared" si="350"/>
        <v>0</v>
      </c>
      <c r="BL480" s="129" t="str">
        <f t="shared" si="351"/>
        <v>CONVICTION</v>
      </c>
      <c r="BM480" s="129" t="str">
        <f t="shared" si="356"/>
        <v>NONE</v>
      </c>
      <c r="BN480" s="129" t="s">
        <v>566</v>
      </c>
      <c r="BP480" s="137" t="str">
        <f t="shared" si="357"/>
        <v>CONVICTION</v>
      </c>
      <c r="BQ480" s="128" t="str">
        <f t="shared" si="358"/>
        <v>Y</v>
      </c>
      <c r="BR480" s="129" t="str">
        <f t="shared" si="359"/>
        <v>DETAINED</v>
      </c>
      <c r="BS480" s="129" t="str">
        <f t="shared" si="360"/>
        <v>DISPOSED</v>
      </c>
      <c r="BT480" s="129" t="str">
        <f t="shared" si="361"/>
        <v>Y</v>
      </c>
      <c r="BU480" s="109">
        <f t="shared" si="362"/>
        <v>0.99601593625498008</v>
      </c>
      <c r="BV480" s="109">
        <f t="shared" si="363"/>
        <v>1</v>
      </c>
      <c r="BW480" s="109">
        <f t="shared" si="381"/>
        <v>3.9840637450199168E-3</v>
      </c>
      <c r="BX480" s="111">
        <f t="shared" si="364"/>
        <v>0</v>
      </c>
      <c r="BY480" s="129">
        <f t="shared" si="365"/>
        <v>-250</v>
      </c>
      <c r="BZ480" s="111">
        <f t="shared" si="366"/>
        <v>0</v>
      </c>
      <c r="CA480" s="138">
        <f t="shared" si="367"/>
        <v>250</v>
      </c>
      <c r="CB480" s="111" t="e">
        <f t="shared" si="380"/>
        <v>#VALUE!</v>
      </c>
      <c r="CC480" s="129">
        <f>G480-I480+1</f>
        <v>250</v>
      </c>
      <c r="CD480" s="129">
        <f>G480-J480</f>
        <v>0</v>
      </c>
      <c r="CE480" s="129">
        <f t="shared" si="368"/>
        <v>0</v>
      </c>
      <c r="CG480" s="129" t="str">
        <f t="shared" si="369"/>
        <v>Y</v>
      </c>
      <c r="CI480" s="129" t="str">
        <f t="shared" si="370"/>
        <v>121-365 DAYS</v>
      </c>
      <c r="CJ480" s="137">
        <f t="shared" si="371"/>
        <v>6</v>
      </c>
      <c r="CK480" s="129" t="str">
        <f t="shared" si="372"/>
        <v>Booked</v>
      </c>
    </row>
    <row r="481" spans="1:89" ht="15.75" customHeight="1" x14ac:dyDescent="0.25">
      <c r="A481" s="111">
        <v>15</v>
      </c>
      <c r="B481" s="128" t="str">
        <f t="shared" si="352"/>
        <v>N</v>
      </c>
      <c r="C481" s="128" t="str">
        <f t="shared" si="353"/>
        <v>N</v>
      </c>
      <c r="D481" s="117">
        <v>1198282</v>
      </c>
      <c r="E481" s="135">
        <f t="shared" si="354"/>
        <v>5</v>
      </c>
      <c r="F481" s="124">
        <v>40910</v>
      </c>
      <c r="G481" s="125">
        <v>41148</v>
      </c>
      <c r="H481" s="117">
        <v>1198282</v>
      </c>
      <c r="I481" s="124">
        <v>40910</v>
      </c>
      <c r="J481" s="124">
        <v>41148</v>
      </c>
      <c r="K481" s="126">
        <v>10000</v>
      </c>
      <c r="L481" s="127" t="s">
        <v>570</v>
      </c>
      <c r="N481" s="129" t="str">
        <f t="shared" ref="N481:N486" si="382">IF(M481&gt;1/1/1,"Y","N")</f>
        <v>N</v>
      </c>
      <c r="O481" s="128" t="s">
        <v>917</v>
      </c>
      <c r="P481" s="129" t="s">
        <v>39</v>
      </c>
      <c r="Q481" s="111">
        <f t="shared" si="340"/>
        <v>239</v>
      </c>
      <c r="R481" s="111">
        <f t="shared" si="347"/>
        <v>239</v>
      </c>
      <c r="S481" s="129">
        <v>3</v>
      </c>
      <c r="T481" s="129">
        <v>2</v>
      </c>
      <c r="U481" s="129">
        <v>3</v>
      </c>
      <c r="W481" s="111"/>
      <c r="AC481" s="130"/>
      <c r="AD481" s="130">
        <v>26822</v>
      </c>
      <c r="AE481" s="128" t="s">
        <v>32</v>
      </c>
      <c r="AF481" s="128" t="s">
        <v>69</v>
      </c>
      <c r="AG481" s="128" t="s">
        <v>874</v>
      </c>
      <c r="AH481" s="108" t="s">
        <v>58</v>
      </c>
      <c r="AI481" s="128" t="s">
        <v>83</v>
      </c>
      <c r="AJ481" s="129" t="s">
        <v>89</v>
      </c>
      <c r="AK481" s="129">
        <v>8</v>
      </c>
      <c r="AL481" s="3" t="s">
        <v>992</v>
      </c>
      <c r="AN481" s="117">
        <v>9</v>
      </c>
      <c r="AP481" s="129" t="s">
        <v>84</v>
      </c>
      <c r="AR481" s="128" t="s">
        <v>67</v>
      </c>
      <c r="AS481" s="129" t="s">
        <v>74</v>
      </c>
      <c r="BC481" s="129" t="s">
        <v>38</v>
      </c>
      <c r="BF481" s="111">
        <f t="shared" si="378"/>
        <v>239</v>
      </c>
      <c r="BG481" s="111">
        <f t="shared" si="379"/>
        <v>239</v>
      </c>
      <c r="BH481" s="111">
        <f t="shared" si="348"/>
        <v>239</v>
      </c>
      <c r="BI481" s="111">
        <f t="shared" si="349"/>
        <v>38.491803278688522</v>
      </c>
      <c r="BJ481" s="129">
        <f t="shared" si="355"/>
        <v>0</v>
      </c>
      <c r="BK481" s="129">
        <f t="shared" si="350"/>
        <v>0</v>
      </c>
      <c r="BL481" s="129" t="str">
        <f t="shared" si="351"/>
        <v>CONVICTION</v>
      </c>
      <c r="BM481" s="129" t="str">
        <f t="shared" si="356"/>
        <v>NONE</v>
      </c>
      <c r="BN481" s="129" t="s">
        <v>566</v>
      </c>
      <c r="BP481" s="137" t="str">
        <f t="shared" si="357"/>
        <v>CONVICTION</v>
      </c>
      <c r="BQ481" s="128" t="str">
        <f t="shared" si="358"/>
        <v>Y</v>
      </c>
      <c r="BR481" s="129" t="str">
        <f t="shared" si="359"/>
        <v>DETAINED</v>
      </c>
      <c r="BS481" s="129" t="str">
        <f t="shared" si="360"/>
        <v>DISPOSED</v>
      </c>
      <c r="BT481" s="129" t="str">
        <f t="shared" si="361"/>
        <v>Y</v>
      </c>
      <c r="BU481" s="109">
        <f t="shared" si="362"/>
        <v>1</v>
      </c>
      <c r="BV481" s="109">
        <f t="shared" si="363"/>
        <v>1</v>
      </c>
      <c r="BW481" s="109">
        <f t="shared" si="381"/>
        <v>0</v>
      </c>
      <c r="BX481" s="111">
        <f t="shared" si="364"/>
        <v>0</v>
      </c>
      <c r="BY481" s="129">
        <f t="shared" si="365"/>
        <v>-239</v>
      </c>
      <c r="BZ481" s="111">
        <f t="shared" si="366"/>
        <v>0</v>
      </c>
      <c r="CA481" s="138">
        <f t="shared" si="367"/>
        <v>239</v>
      </c>
      <c r="CB481" s="111" t="e">
        <f t="shared" si="380"/>
        <v>#VALUE!</v>
      </c>
      <c r="CC481" s="129">
        <f>G481-I481+1</f>
        <v>239</v>
      </c>
      <c r="CD481" s="129">
        <f>G481-J481</f>
        <v>0</v>
      </c>
      <c r="CE481" s="129">
        <f t="shared" si="368"/>
        <v>0</v>
      </c>
      <c r="CG481" s="129" t="str">
        <f t="shared" si="369"/>
        <v>Y</v>
      </c>
      <c r="CI481" s="129" t="str">
        <f t="shared" si="370"/>
        <v>121-365 DAYS</v>
      </c>
      <c r="CJ481" s="137">
        <f t="shared" si="371"/>
        <v>6</v>
      </c>
      <c r="CK481" s="129" t="str">
        <f t="shared" si="372"/>
        <v>Booked</v>
      </c>
    </row>
    <row r="482" spans="1:89" ht="15.75" customHeight="1" x14ac:dyDescent="0.25">
      <c r="A482" s="111">
        <v>1882</v>
      </c>
      <c r="B482" s="128" t="str">
        <f t="shared" si="352"/>
        <v>N</v>
      </c>
      <c r="C482" s="128" t="str">
        <f t="shared" si="353"/>
        <v>N</v>
      </c>
      <c r="D482" s="117">
        <v>1199484</v>
      </c>
      <c r="E482" s="135">
        <f t="shared" si="354"/>
        <v>5</v>
      </c>
      <c r="F482" s="124">
        <v>40978</v>
      </c>
      <c r="G482" s="125">
        <v>41067</v>
      </c>
      <c r="H482" s="117">
        <v>1199484</v>
      </c>
      <c r="I482" s="124">
        <v>40978</v>
      </c>
      <c r="J482" s="124">
        <v>41067</v>
      </c>
      <c r="K482" s="126">
        <v>15000</v>
      </c>
      <c r="L482" s="127" t="s">
        <v>571</v>
      </c>
      <c r="N482" s="129" t="str">
        <f t="shared" si="382"/>
        <v>N</v>
      </c>
      <c r="O482" s="128" t="s">
        <v>917</v>
      </c>
      <c r="P482" s="129" t="s">
        <v>39</v>
      </c>
      <c r="Q482" s="111">
        <f t="shared" si="340"/>
        <v>90</v>
      </c>
      <c r="R482" s="111">
        <f t="shared" si="347"/>
        <v>90</v>
      </c>
      <c r="S482" s="129">
        <v>8</v>
      </c>
      <c r="T482" s="129">
        <v>8</v>
      </c>
      <c r="U482" s="129">
        <v>5</v>
      </c>
      <c r="W482" s="111"/>
      <c r="AC482" s="130"/>
      <c r="AD482" s="130">
        <v>26809</v>
      </c>
      <c r="AE482" s="128" t="s">
        <v>32</v>
      </c>
      <c r="AF482" s="128" t="s">
        <v>69</v>
      </c>
      <c r="AG482" s="128" t="s">
        <v>874</v>
      </c>
      <c r="AH482" s="108" t="s">
        <v>58</v>
      </c>
      <c r="AI482" s="128" t="s">
        <v>85</v>
      </c>
      <c r="AJ482" s="129" t="s">
        <v>89</v>
      </c>
      <c r="AK482" s="129">
        <v>6</v>
      </c>
      <c r="AL482" s="3" t="s">
        <v>992</v>
      </c>
      <c r="AN482" s="117">
        <v>8</v>
      </c>
      <c r="AP482" s="129" t="s">
        <v>121</v>
      </c>
      <c r="AR482" s="128" t="s">
        <v>44</v>
      </c>
      <c r="AS482" s="129" t="s">
        <v>122</v>
      </c>
      <c r="BC482" s="129" t="s">
        <v>99</v>
      </c>
      <c r="BF482" s="111">
        <f t="shared" si="378"/>
        <v>90</v>
      </c>
      <c r="BG482" s="111">
        <f t="shared" si="379"/>
        <v>90</v>
      </c>
      <c r="BH482" s="111">
        <f t="shared" si="348"/>
        <v>90</v>
      </c>
      <c r="BI482" s="111">
        <f t="shared" si="349"/>
        <v>38.713114754098363</v>
      </c>
      <c r="BJ482" s="129">
        <f t="shared" si="355"/>
        <v>0</v>
      </c>
      <c r="BK482" s="129">
        <f t="shared" si="350"/>
        <v>0</v>
      </c>
      <c r="BL482" s="129" t="str">
        <f t="shared" si="351"/>
        <v>CONVICTION</v>
      </c>
      <c r="BM482" s="129" t="str">
        <f t="shared" si="356"/>
        <v>NONE</v>
      </c>
      <c r="BN482" s="129" t="s">
        <v>566</v>
      </c>
      <c r="BP482" s="137" t="str">
        <f t="shared" si="357"/>
        <v>CONVICTION</v>
      </c>
      <c r="BQ482" s="128" t="str">
        <f t="shared" si="358"/>
        <v>Y</v>
      </c>
      <c r="BR482" s="129" t="str">
        <f t="shared" si="359"/>
        <v>DETAINED</v>
      </c>
      <c r="BS482" s="129" t="str">
        <f t="shared" si="360"/>
        <v>DISPOSED</v>
      </c>
      <c r="BT482" s="129" t="str">
        <f t="shared" si="361"/>
        <v>Y</v>
      </c>
      <c r="BU482" s="109">
        <f t="shared" si="362"/>
        <v>1</v>
      </c>
      <c r="BV482" s="109">
        <f t="shared" si="363"/>
        <v>1</v>
      </c>
      <c r="BW482" s="109">
        <f t="shared" si="381"/>
        <v>0</v>
      </c>
      <c r="BX482" s="111">
        <f t="shared" si="364"/>
        <v>0</v>
      </c>
      <c r="BY482" s="129">
        <f t="shared" si="365"/>
        <v>-90</v>
      </c>
      <c r="BZ482" s="111">
        <f t="shared" si="366"/>
        <v>0</v>
      </c>
      <c r="CA482" s="138">
        <f t="shared" si="367"/>
        <v>90</v>
      </c>
      <c r="CB482" s="111" t="e">
        <f t="shared" si="380"/>
        <v>#VALUE!</v>
      </c>
      <c r="CC482" s="129">
        <f>G482-I482+1</f>
        <v>90</v>
      </c>
      <c r="CD482" s="129">
        <f>G482-J482</f>
        <v>0</v>
      </c>
      <c r="CE482" s="129">
        <f t="shared" si="368"/>
        <v>0</v>
      </c>
      <c r="CG482" s="129" t="str">
        <f t="shared" si="369"/>
        <v>Y</v>
      </c>
      <c r="CI482" s="129" t="str">
        <f t="shared" si="370"/>
        <v>61-90 DAYS</v>
      </c>
      <c r="CJ482" s="137">
        <f t="shared" si="371"/>
        <v>4</v>
      </c>
      <c r="CK482" s="129" t="str">
        <f t="shared" si="372"/>
        <v>Booked</v>
      </c>
    </row>
    <row r="483" spans="1:89" ht="15.75" customHeight="1" x14ac:dyDescent="0.25">
      <c r="A483" s="111">
        <v>36</v>
      </c>
      <c r="B483" s="128" t="str">
        <f t="shared" si="352"/>
        <v>N</v>
      </c>
      <c r="C483" s="128" t="str">
        <f t="shared" si="353"/>
        <v>N</v>
      </c>
      <c r="D483" s="117">
        <v>1199593</v>
      </c>
      <c r="E483" s="135">
        <f t="shared" si="354"/>
        <v>1</v>
      </c>
      <c r="F483" s="124">
        <v>40911</v>
      </c>
      <c r="G483" s="125">
        <v>40966</v>
      </c>
      <c r="H483" s="117">
        <v>1199593</v>
      </c>
      <c r="I483" s="124">
        <v>40911</v>
      </c>
      <c r="J483" s="124">
        <v>40916</v>
      </c>
      <c r="K483" s="126">
        <v>2000</v>
      </c>
      <c r="L483" s="127" t="s">
        <v>568</v>
      </c>
      <c r="M483" s="125">
        <v>40916</v>
      </c>
      <c r="N483" s="129" t="str">
        <f t="shared" si="382"/>
        <v>Y</v>
      </c>
      <c r="O483" s="128" t="s">
        <v>76</v>
      </c>
      <c r="P483" s="129" t="s">
        <v>55</v>
      </c>
      <c r="Q483" s="111">
        <f t="shared" si="340"/>
        <v>6</v>
      </c>
      <c r="R483" s="111">
        <f t="shared" si="347"/>
        <v>56</v>
      </c>
      <c r="S483" s="129">
        <v>0</v>
      </c>
      <c r="T483" s="129">
        <v>2</v>
      </c>
      <c r="W483" s="111"/>
      <c r="AC483" s="130"/>
      <c r="AD483" s="130">
        <v>25859</v>
      </c>
      <c r="AE483" s="128" t="s">
        <v>32</v>
      </c>
      <c r="AF483" s="128" t="s">
        <v>33</v>
      </c>
      <c r="AG483" s="128" t="s">
        <v>872</v>
      </c>
      <c r="AH483" s="108" t="s">
        <v>58</v>
      </c>
      <c r="AI483" s="128" t="s">
        <v>100</v>
      </c>
      <c r="AJ483" s="129" t="s">
        <v>55</v>
      </c>
      <c r="AK483" s="129">
        <v>4</v>
      </c>
      <c r="AL483" s="3" t="s">
        <v>55</v>
      </c>
      <c r="AP483" s="129" t="s">
        <v>103</v>
      </c>
      <c r="AR483" s="128" t="s">
        <v>44</v>
      </c>
      <c r="AS483" s="129" t="s">
        <v>45</v>
      </c>
      <c r="BC483" s="129" t="s">
        <v>52</v>
      </c>
      <c r="BF483" s="111">
        <f t="shared" si="378"/>
        <v>6</v>
      </c>
      <c r="BG483" s="111">
        <f t="shared" si="379"/>
        <v>56</v>
      </c>
      <c r="BH483" s="111">
        <f t="shared" si="348"/>
        <v>56</v>
      </c>
      <c r="BI483" s="111">
        <f t="shared" si="349"/>
        <v>41.125683060109289</v>
      </c>
      <c r="BJ483" s="129">
        <f>(G483-J483)+(M483-G483)</f>
        <v>0</v>
      </c>
      <c r="BK483" s="129">
        <f t="shared" si="350"/>
        <v>-50</v>
      </c>
      <c r="BL483" s="129" t="str">
        <f t="shared" si="351"/>
        <v>NO CONVICTION</v>
      </c>
      <c r="BM483" s="129" t="s">
        <v>76</v>
      </c>
      <c r="BN483" s="129" t="s">
        <v>88</v>
      </c>
      <c r="BP483" s="137" t="str">
        <f t="shared" si="357"/>
        <v>NO CONVICTION</v>
      </c>
      <c r="BQ483" s="128" t="str">
        <f t="shared" si="358"/>
        <v>Y</v>
      </c>
      <c r="BR483" s="129" t="str">
        <f t="shared" si="359"/>
        <v>ON BOND</v>
      </c>
      <c r="BS483" s="129" t="str">
        <f t="shared" si="360"/>
        <v>DISPOSED</v>
      </c>
      <c r="BT483" s="129" t="str">
        <f t="shared" si="361"/>
        <v>N</v>
      </c>
      <c r="BU483" s="109">
        <f>IFERROR(Q483/R483,BR483)</f>
        <v>0.10714285714285714</v>
      </c>
      <c r="BV483" s="109">
        <f t="shared" si="363"/>
        <v>0.10714285714285714</v>
      </c>
      <c r="BW483" s="109">
        <f t="shared" si="381"/>
        <v>0</v>
      </c>
      <c r="BX483" s="111">
        <f t="shared" si="364"/>
        <v>0</v>
      </c>
      <c r="BY483" s="129">
        <f t="shared" si="365"/>
        <v>-6</v>
      </c>
      <c r="BZ483" s="111">
        <f t="shared" si="366"/>
        <v>0</v>
      </c>
      <c r="CA483" s="138">
        <f t="shared" si="367"/>
        <v>6</v>
      </c>
      <c r="CB483" s="111" t="e">
        <f t="shared" si="380"/>
        <v>#VALUE!</v>
      </c>
      <c r="CC483" s="129">
        <f>M483-I483+1</f>
        <v>6</v>
      </c>
      <c r="CD483" s="111">
        <f>CC483-BF483</f>
        <v>0</v>
      </c>
      <c r="CE483" s="129">
        <f t="shared" si="368"/>
        <v>50</v>
      </c>
      <c r="CG483" s="129" t="str">
        <f t="shared" si="369"/>
        <v>Y</v>
      </c>
      <c r="CI483" s="129" t="str">
        <f t="shared" si="370"/>
        <v>0-10 DAYS</v>
      </c>
      <c r="CJ483" s="137">
        <f t="shared" si="371"/>
        <v>1</v>
      </c>
      <c r="CK483" s="129" t="str">
        <f t="shared" si="372"/>
        <v>Booked</v>
      </c>
    </row>
    <row r="484" spans="1:89" ht="15.75" customHeight="1" x14ac:dyDescent="0.25">
      <c r="A484" s="111">
        <v>1770</v>
      </c>
      <c r="B484" s="128" t="str">
        <f t="shared" si="352"/>
        <v>N</v>
      </c>
      <c r="C484" s="128" t="str">
        <f t="shared" si="353"/>
        <v>N</v>
      </c>
      <c r="D484" s="117">
        <v>1199946</v>
      </c>
      <c r="E484" s="135">
        <f t="shared" si="354"/>
        <v>1</v>
      </c>
      <c r="F484" s="124">
        <v>40974</v>
      </c>
      <c r="G484" s="125">
        <v>40980</v>
      </c>
      <c r="H484" s="117">
        <v>1199946</v>
      </c>
      <c r="I484" s="124">
        <v>40975</v>
      </c>
      <c r="J484" s="124">
        <v>40980</v>
      </c>
      <c r="K484" s="126">
        <v>30000</v>
      </c>
      <c r="L484" s="129" t="s">
        <v>572</v>
      </c>
      <c r="N484" s="129" t="str">
        <f t="shared" si="382"/>
        <v>N</v>
      </c>
      <c r="O484" s="128" t="s">
        <v>917</v>
      </c>
      <c r="P484" s="129" t="s">
        <v>55</v>
      </c>
      <c r="Q484" s="111">
        <f t="shared" si="340"/>
        <v>6</v>
      </c>
      <c r="R484" s="111">
        <f t="shared" si="347"/>
        <v>7</v>
      </c>
      <c r="S484" s="129">
        <v>3</v>
      </c>
      <c r="T484" s="129">
        <v>1</v>
      </c>
      <c r="U484" s="129">
        <v>2</v>
      </c>
      <c r="W484" s="111"/>
      <c r="AC484" s="130"/>
      <c r="AD484" s="130">
        <v>25111</v>
      </c>
      <c r="AE484" s="128" t="s">
        <v>32</v>
      </c>
      <c r="AF484" s="128" t="s">
        <v>33</v>
      </c>
      <c r="AG484" s="128" t="s">
        <v>872</v>
      </c>
      <c r="AH484" s="108" t="s">
        <v>58</v>
      </c>
      <c r="AI484" s="128" t="s">
        <v>70</v>
      </c>
      <c r="AJ484" s="129" t="s">
        <v>55</v>
      </c>
      <c r="AK484" s="129">
        <v>2</v>
      </c>
      <c r="AL484" s="3" t="s">
        <v>55</v>
      </c>
      <c r="AP484" s="129" t="s">
        <v>132</v>
      </c>
      <c r="AR484" s="128" t="s">
        <v>92</v>
      </c>
      <c r="AS484" s="129" t="s">
        <v>82</v>
      </c>
      <c r="BC484" s="129" t="s">
        <v>38</v>
      </c>
      <c r="BF484" s="111">
        <f t="shared" si="378"/>
        <v>6</v>
      </c>
      <c r="BG484" s="111">
        <f t="shared" si="379"/>
        <v>6</v>
      </c>
      <c r="BH484" s="111">
        <f t="shared" si="348"/>
        <v>7</v>
      </c>
      <c r="BI484" s="111">
        <f t="shared" si="349"/>
        <v>43.341530054644807</v>
      </c>
      <c r="BJ484" s="129">
        <f t="shared" si="355"/>
        <v>0</v>
      </c>
      <c r="BK484" s="129">
        <f t="shared" si="350"/>
        <v>0</v>
      </c>
      <c r="BL484" s="129" t="str">
        <f t="shared" si="351"/>
        <v>NO CONVICTION</v>
      </c>
      <c r="BM484" s="129" t="str">
        <f t="shared" si="356"/>
        <v>NONE</v>
      </c>
      <c r="BN484" s="129" t="s">
        <v>566</v>
      </c>
      <c r="BP484" s="137" t="str">
        <f t="shared" si="357"/>
        <v>NO CONVICTION</v>
      </c>
      <c r="BQ484" s="128" t="str">
        <f t="shared" si="358"/>
        <v>Y</v>
      </c>
      <c r="BR484" s="129" t="str">
        <f t="shared" si="359"/>
        <v>DETAINED</v>
      </c>
      <c r="BS484" s="129" t="str">
        <f t="shared" si="360"/>
        <v>DISPOSED</v>
      </c>
      <c r="BT484" s="129" t="str">
        <f t="shared" si="361"/>
        <v>Y</v>
      </c>
      <c r="BU484" s="109">
        <f>IFERROR(Q484/R484,BR484)</f>
        <v>0.8571428571428571</v>
      </c>
      <c r="BV484" s="109">
        <f t="shared" si="363"/>
        <v>1</v>
      </c>
      <c r="BW484" s="109">
        <f t="shared" si="381"/>
        <v>0.1428571428571429</v>
      </c>
      <c r="BX484" s="111">
        <f t="shared" si="364"/>
        <v>0</v>
      </c>
      <c r="BY484" s="129">
        <f t="shared" si="365"/>
        <v>-6</v>
      </c>
      <c r="BZ484" s="111">
        <f t="shared" si="366"/>
        <v>0</v>
      </c>
      <c r="CA484" s="138">
        <f t="shared" si="367"/>
        <v>6</v>
      </c>
      <c r="CB484" s="111" t="e">
        <f t="shared" si="380"/>
        <v>#VALUE!</v>
      </c>
      <c r="CC484" s="129">
        <f>G484-I484+1</f>
        <v>6</v>
      </c>
      <c r="CD484" s="129">
        <f>G484-J484</f>
        <v>0</v>
      </c>
      <c r="CE484" s="129">
        <f t="shared" si="368"/>
        <v>0</v>
      </c>
      <c r="CG484" s="129" t="str">
        <f t="shared" si="369"/>
        <v>Y</v>
      </c>
      <c r="CI484" s="129" t="str">
        <f t="shared" si="370"/>
        <v>0-10 DAYS</v>
      </c>
      <c r="CJ484" s="137">
        <f t="shared" si="371"/>
        <v>1</v>
      </c>
      <c r="CK484" s="129" t="str">
        <f t="shared" si="372"/>
        <v>Booked</v>
      </c>
    </row>
    <row r="485" spans="1:89" ht="15.75" customHeight="1" x14ac:dyDescent="0.25">
      <c r="A485" s="111">
        <v>2126</v>
      </c>
      <c r="B485" s="128" t="str">
        <f t="shared" si="352"/>
        <v>N</v>
      </c>
      <c r="C485" s="128" t="str">
        <f t="shared" si="353"/>
        <v>N</v>
      </c>
      <c r="D485" s="117">
        <v>1201209</v>
      </c>
      <c r="E485" s="135">
        <f t="shared" si="354"/>
        <v>5</v>
      </c>
      <c r="F485" s="124">
        <v>40988</v>
      </c>
      <c r="G485" s="125">
        <v>40990</v>
      </c>
      <c r="H485" s="117">
        <v>1201209</v>
      </c>
      <c r="I485" s="124">
        <v>40989</v>
      </c>
      <c r="J485" s="124">
        <v>40990</v>
      </c>
      <c r="K485" s="126">
        <v>15000</v>
      </c>
      <c r="L485" s="127" t="s">
        <v>571</v>
      </c>
      <c r="N485" s="129" t="str">
        <f t="shared" si="382"/>
        <v>N</v>
      </c>
      <c r="O485" s="128" t="s">
        <v>917</v>
      </c>
      <c r="P485" s="129" t="s">
        <v>39</v>
      </c>
      <c r="Q485" s="111">
        <f t="shared" si="340"/>
        <v>2</v>
      </c>
      <c r="R485" s="111">
        <f t="shared" si="347"/>
        <v>3</v>
      </c>
      <c r="S485" s="129">
        <v>6</v>
      </c>
      <c r="T485" s="129">
        <v>2</v>
      </c>
      <c r="U485" s="129">
        <v>4</v>
      </c>
      <c r="V485" s="117">
        <v>1</v>
      </c>
      <c r="W485" s="111"/>
      <c r="AC485" s="130"/>
      <c r="AD485" s="130">
        <v>23722</v>
      </c>
      <c r="AE485" s="128" t="s">
        <v>32</v>
      </c>
      <c r="AF485" s="128" t="s">
        <v>69</v>
      </c>
      <c r="AG485" s="128" t="s">
        <v>874</v>
      </c>
      <c r="AH485" s="108" t="s">
        <v>31</v>
      </c>
      <c r="AI485" s="128" t="s">
        <v>83</v>
      </c>
      <c r="AJ485" s="129" t="s">
        <v>89</v>
      </c>
      <c r="AK485" s="129">
        <v>1</v>
      </c>
      <c r="AL485" s="3" t="s">
        <v>992</v>
      </c>
      <c r="AN485" s="117">
        <v>7</v>
      </c>
      <c r="AP485" s="129" t="s">
        <v>60</v>
      </c>
      <c r="AR485" s="128" t="s">
        <v>44</v>
      </c>
      <c r="AS485" s="129" t="s">
        <v>61</v>
      </c>
      <c r="BC485" s="129" t="s">
        <v>38</v>
      </c>
      <c r="BF485" s="111">
        <f t="shared" si="378"/>
        <v>2</v>
      </c>
      <c r="BG485" s="111">
        <f t="shared" si="379"/>
        <v>2</v>
      </c>
      <c r="BH485" s="111">
        <f t="shared" si="348"/>
        <v>3</v>
      </c>
      <c r="BI485" s="111">
        <f t="shared" si="349"/>
        <v>47.174863387978142</v>
      </c>
      <c r="BJ485" s="129">
        <f t="shared" si="355"/>
        <v>0</v>
      </c>
      <c r="BK485" s="129">
        <f t="shared" si="350"/>
        <v>0</v>
      </c>
      <c r="BL485" s="129" t="str">
        <f t="shared" si="351"/>
        <v>CONVICTION</v>
      </c>
      <c r="BM485" s="129" t="str">
        <f t="shared" si="356"/>
        <v>NONE</v>
      </c>
      <c r="BN485" s="129" t="s">
        <v>566</v>
      </c>
      <c r="BP485" s="137" t="str">
        <f t="shared" si="357"/>
        <v>CONVICTION</v>
      </c>
      <c r="BQ485" s="128" t="str">
        <f t="shared" si="358"/>
        <v>Y</v>
      </c>
      <c r="BR485" s="129" t="str">
        <f t="shared" si="359"/>
        <v>DETAINED</v>
      </c>
      <c r="BS485" s="129" t="str">
        <f t="shared" si="360"/>
        <v>DISPOSED</v>
      </c>
      <c r="BT485" s="129" t="str">
        <f t="shared" si="361"/>
        <v>Y</v>
      </c>
      <c r="BU485" s="109">
        <f t="shared" si="362"/>
        <v>0.66666666666666663</v>
      </c>
      <c r="BV485" s="109">
        <f t="shared" si="363"/>
        <v>1</v>
      </c>
      <c r="BW485" s="109">
        <f t="shared" si="381"/>
        <v>0.33333333333333337</v>
      </c>
      <c r="BX485" s="111">
        <f t="shared" si="364"/>
        <v>0</v>
      </c>
      <c r="BY485" s="129">
        <f t="shared" si="365"/>
        <v>-2</v>
      </c>
      <c r="BZ485" s="111">
        <f t="shared" si="366"/>
        <v>0</v>
      </c>
      <c r="CA485" s="138">
        <f t="shared" si="367"/>
        <v>2</v>
      </c>
      <c r="CB485" s="111" t="e">
        <f t="shared" si="380"/>
        <v>#VALUE!</v>
      </c>
      <c r="CC485" s="129">
        <f>G485-I485+1</f>
        <v>2</v>
      </c>
      <c r="CD485" s="129">
        <f>G485-J485</f>
        <v>0</v>
      </c>
      <c r="CE485" s="129">
        <f t="shared" si="368"/>
        <v>0</v>
      </c>
      <c r="CG485" s="129" t="str">
        <f t="shared" si="369"/>
        <v>Y</v>
      </c>
      <c r="CI485" s="129" t="str">
        <f t="shared" si="370"/>
        <v>0-10 DAYS</v>
      </c>
      <c r="CJ485" s="137">
        <f t="shared" si="371"/>
        <v>1</v>
      </c>
      <c r="CK485" s="129" t="str">
        <f t="shared" si="372"/>
        <v>Booked</v>
      </c>
    </row>
    <row r="486" spans="1:89" ht="15.75" customHeight="1" x14ac:dyDescent="0.25">
      <c r="A486" s="111">
        <v>2431</v>
      </c>
      <c r="B486" s="128" t="str">
        <f t="shared" si="352"/>
        <v>N</v>
      </c>
      <c r="C486" s="128" t="str">
        <f t="shared" si="353"/>
        <v>N</v>
      </c>
      <c r="D486" s="117">
        <v>1201965</v>
      </c>
      <c r="E486" s="135">
        <f t="shared" si="354"/>
        <v>1</v>
      </c>
      <c r="F486" s="124">
        <v>41000</v>
      </c>
      <c r="G486" s="125">
        <v>41010</v>
      </c>
      <c r="H486" s="117">
        <v>1201965</v>
      </c>
      <c r="I486" s="124">
        <v>41000</v>
      </c>
      <c r="J486" s="124">
        <v>41010</v>
      </c>
      <c r="K486" s="126">
        <v>15000</v>
      </c>
      <c r="L486" s="127" t="s">
        <v>571</v>
      </c>
      <c r="N486" s="129" t="str">
        <f t="shared" si="382"/>
        <v>N</v>
      </c>
      <c r="O486" s="128" t="s">
        <v>917</v>
      </c>
      <c r="P486" s="129" t="s">
        <v>55</v>
      </c>
      <c r="Q486" s="111">
        <f t="shared" si="340"/>
        <v>11</v>
      </c>
      <c r="R486" s="111">
        <f t="shared" si="347"/>
        <v>11</v>
      </c>
      <c r="S486" s="129">
        <v>2</v>
      </c>
      <c r="T486" s="129">
        <v>7</v>
      </c>
      <c r="U486" s="129">
        <v>1</v>
      </c>
      <c r="W486" s="111"/>
      <c r="AC486" s="130"/>
      <c r="AD486" s="130">
        <v>25016</v>
      </c>
      <c r="AE486" s="128" t="s">
        <v>32</v>
      </c>
      <c r="AF486" s="128" t="s">
        <v>33</v>
      </c>
      <c r="AG486" s="128" t="s">
        <v>872</v>
      </c>
      <c r="AH486" s="108" t="s">
        <v>58</v>
      </c>
      <c r="AI486" s="128" t="s">
        <v>62</v>
      </c>
      <c r="AJ486" s="129" t="s">
        <v>55</v>
      </c>
      <c r="AK486" s="129">
        <v>4</v>
      </c>
      <c r="AL486" s="3" t="s">
        <v>55</v>
      </c>
      <c r="AP486" s="129" t="s">
        <v>121</v>
      </c>
      <c r="AR486" s="128" t="s">
        <v>44</v>
      </c>
      <c r="AS486" s="129" t="s">
        <v>122</v>
      </c>
      <c r="AT486" s="129" t="s">
        <v>438</v>
      </c>
      <c r="BC486" s="129" t="s">
        <v>38</v>
      </c>
      <c r="BF486" s="111">
        <f t="shared" si="378"/>
        <v>11</v>
      </c>
      <c r="BG486" s="111">
        <f t="shared" si="379"/>
        <v>11</v>
      </c>
      <c r="BH486" s="111">
        <f t="shared" si="348"/>
        <v>11</v>
      </c>
      <c r="BI486" s="111">
        <f t="shared" si="349"/>
        <v>43.672131147540981</v>
      </c>
      <c r="BJ486" s="129">
        <f t="shared" si="355"/>
        <v>0</v>
      </c>
      <c r="BK486" s="129">
        <f t="shared" si="350"/>
        <v>0</v>
      </c>
      <c r="BL486" s="129" t="str">
        <f t="shared" si="351"/>
        <v>NO CONVICTION</v>
      </c>
      <c r="BM486" s="129" t="str">
        <f t="shared" si="356"/>
        <v>NONE</v>
      </c>
      <c r="BN486" s="129" t="s">
        <v>566</v>
      </c>
      <c r="BP486" s="137" t="str">
        <f t="shared" si="357"/>
        <v>NO CONVICTION</v>
      </c>
      <c r="BQ486" s="128" t="str">
        <f t="shared" si="358"/>
        <v>Y</v>
      </c>
      <c r="BR486" s="129" t="str">
        <f t="shared" si="359"/>
        <v>DETAINED</v>
      </c>
      <c r="BS486" s="129" t="str">
        <f t="shared" si="360"/>
        <v>DISPOSED</v>
      </c>
      <c r="BT486" s="129" t="str">
        <f t="shared" si="361"/>
        <v>Y</v>
      </c>
      <c r="BU486" s="109">
        <f>IFERROR(Q486/R486,BR486)</f>
        <v>1</v>
      </c>
      <c r="BV486" s="109">
        <f t="shared" si="363"/>
        <v>1</v>
      </c>
      <c r="BW486" s="109">
        <f t="shared" si="381"/>
        <v>0</v>
      </c>
      <c r="BX486" s="111">
        <f t="shared" si="364"/>
        <v>0</v>
      </c>
      <c r="BY486" s="129">
        <f t="shared" si="365"/>
        <v>-11</v>
      </c>
      <c r="BZ486" s="111">
        <f t="shared" si="366"/>
        <v>0</v>
      </c>
      <c r="CA486" s="138">
        <f t="shared" si="367"/>
        <v>11</v>
      </c>
      <c r="CB486" s="111" t="e">
        <f t="shared" si="380"/>
        <v>#VALUE!</v>
      </c>
      <c r="CC486" s="129">
        <f>G486-I486+1</f>
        <v>11</v>
      </c>
      <c r="CD486" s="129">
        <f>G486-J486</f>
        <v>0</v>
      </c>
      <c r="CE486" s="129">
        <f t="shared" si="368"/>
        <v>0</v>
      </c>
      <c r="CG486" s="129" t="str">
        <f t="shared" si="369"/>
        <v>Y</v>
      </c>
      <c r="CI486" s="129" t="str">
        <f t="shared" si="370"/>
        <v>11-30 DAYS</v>
      </c>
      <c r="CJ486" s="137">
        <f t="shared" si="371"/>
        <v>2</v>
      </c>
      <c r="CK486" s="129" t="str">
        <f t="shared" si="372"/>
        <v>Booked</v>
      </c>
    </row>
    <row r="487" spans="1:89" ht="15.75" customHeight="1" x14ac:dyDescent="0.25">
      <c r="A487" s="111">
        <v>864</v>
      </c>
      <c r="B487" s="128" t="str">
        <f t="shared" si="352"/>
        <v>N</v>
      </c>
      <c r="C487" s="128" t="str">
        <f t="shared" si="353"/>
        <v>N</v>
      </c>
      <c r="D487" s="117">
        <v>1202074</v>
      </c>
      <c r="E487" s="135">
        <f t="shared" si="354"/>
        <v>6</v>
      </c>
      <c r="F487" s="124">
        <v>40941</v>
      </c>
      <c r="G487" s="125">
        <v>41411</v>
      </c>
      <c r="H487" s="117">
        <v>1202074</v>
      </c>
      <c r="I487" s="124" t="s">
        <v>562</v>
      </c>
      <c r="J487" s="124" t="s">
        <v>562</v>
      </c>
      <c r="K487" s="126">
        <v>120000</v>
      </c>
      <c r="L487" s="129" t="s">
        <v>572</v>
      </c>
      <c r="M487" s="125">
        <v>40944</v>
      </c>
      <c r="N487" s="129" t="str">
        <f>IF(M487&gt;1/1/1,"Y",IF(Q487="NOT BOOKED","","N"))</f>
        <v>Y</v>
      </c>
      <c r="O487" s="128" t="s">
        <v>76</v>
      </c>
      <c r="P487" s="129" t="s">
        <v>39</v>
      </c>
      <c r="Q487" s="111">
        <v>0</v>
      </c>
      <c r="R487" s="111">
        <f t="shared" si="347"/>
        <v>471</v>
      </c>
      <c r="S487" s="129">
        <v>0</v>
      </c>
      <c r="T487" s="129">
        <v>2</v>
      </c>
      <c r="W487" s="111"/>
      <c r="AC487" s="130"/>
      <c r="AD487" s="130">
        <v>26829</v>
      </c>
      <c r="AE487" s="128" t="s">
        <v>32</v>
      </c>
      <c r="AF487" s="128" t="s">
        <v>69</v>
      </c>
      <c r="AG487" s="128" t="s">
        <v>874</v>
      </c>
      <c r="AH487" s="108" t="s">
        <v>31</v>
      </c>
      <c r="AI487" s="128" t="s">
        <v>47</v>
      </c>
      <c r="AJ487" s="129" t="s">
        <v>89</v>
      </c>
      <c r="AK487" s="129">
        <v>17</v>
      </c>
      <c r="AL487" s="3" t="s">
        <v>362</v>
      </c>
      <c r="AM487" s="117">
        <v>3</v>
      </c>
      <c r="AP487" s="129" t="s">
        <v>194</v>
      </c>
      <c r="AR487" s="128" t="s">
        <v>50</v>
      </c>
      <c r="AS487" s="129" t="s">
        <v>64</v>
      </c>
      <c r="BC487" s="129" t="s">
        <v>52</v>
      </c>
      <c r="BF487" s="111">
        <v>0</v>
      </c>
      <c r="BG487" s="111" t="e">
        <f t="shared" si="379"/>
        <v>#VALUE!</v>
      </c>
      <c r="BH487" s="111">
        <f t="shared" si="348"/>
        <v>471</v>
      </c>
      <c r="BI487" s="111">
        <f t="shared" si="349"/>
        <v>38.557377049180324</v>
      </c>
      <c r="BJ487" s="129" t="e">
        <f>(G487-J487)+(M487-G487)</f>
        <v>#VALUE!</v>
      </c>
      <c r="BK487" s="129" t="e">
        <f t="shared" si="350"/>
        <v>#VALUE!</v>
      </c>
      <c r="BL487" s="129" t="str">
        <f t="shared" si="351"/>
        <v>CONVICTION</v>
      </c>
      <c r="BM487" s="129" t="s">
        <v>76</v>
      </c>
      <c r="BN487" s="129" t="s">
        <v>88</v>
      </c>
      <c r="BP487" s="137" t="str">
        <f t="shared" si="357"/>
        <v>CONVICTION</v>
      </c>
      <c r="BQ487" s="128">
        <f t="shared" si="358"/>
        <v>0</v>
      </c>
      <c r="BR487" s="129" t="s">
        <v>575</v>
      </c>
      <c r="BS487" s="129" t="str">
        <f t="shared" si="360"/>
        <v>DISPOSED</v>
      </c>
      <c r="BT487" s="129" t="str">
        <f t="shared" si="361"/>
        <v>N</v>
      </c>
      <c r="BU487" s="109">
        <f t="shared" si="362"/>
        <v>0</v>
      </c>
      <c r="BV487" s="109">
        <v>0</v>
      </c>
      <c r="BW487" s="109">
        <f t="shared" si="381"/>
        <v>0</v>
      </c>
      <c r="BX487" s="111">
        <f t="shared" si="364"/>
        <v>0</v>
      </c>
      <c r="BY487" s="129" t="e">
        <f t="shared" si="365"/>
        <v>#VALUE!</v>
      </c>
      <c r="BZ487" s="111" t="e">
        <f t="shared" si="366"/>
        <v>#VALUE!</v>
      </c>
      <c r="CA487" s="138" t="e">
        <f t="shared" si="367"/>
        <v>#VALUE!</v>
      </c>
      <c r="CB487" s="111" t="s">
        <v>562</v>
      </c>
      <c r="CC487" s="129">
        <v>0</v>
      </c>
      <c r="CD487" s="111">
        <f>CC487-BF487</f>
        <v>0</v>
      </c>
      <c r="CE487" s="129" t="e">
        <f t="shared" si="368"/>
        <v>#VALUE!</v>
      </c>
      <c r="CG487" s="129" t="str">
        <f t="shared" si="369"/>
        <v>Y</v>
      </c>
      <c r="CI487" s="129" t="str">
        <f t="shared" si="370"/>
        <v>0-10 DAYS</v>
      </c>
      <c r="CJ487" s="137">
        <f t="shared" si="371"/>
        <v>1</v>
      </c>
      <c r="CK487" s="129" t="str">
        <f t="shared" si="372"/>
        <v>Not Booked</v>
      </c>
    </row>
    <row r="488" spans="1:89" ht="15.75" customHeight="1" x14ac:dyDescent="0.25">
      <c r="A488" s="111">
        <v>1223</v>
      </c>
      <c r="B488" s="128" t="str">
        <f t="shared" si="352"/>
        <v>N</v>
      </c>
      <c r="C488" s="128" t="str">
        <f t="shared" si="353"/>
        <v>N</v>
      </c>
      <c r="D488" s="117">
        <v>1202870</v>
      </c>
      <c r="E488" s="135">
        <f t="shared" si="354"/>
        <v>5</v>
      </c>
      <c r="F488" s="124">
        <v>40953</v>
      </c>
      <c r="G488" s="125">
        <v>41134</v>
      </c>
      <c r="H488" s="117">
        <v>1202870</v>
      </c>
      <c r="I488" s="124">
        <v>40954</v>
      </c>
      <c r="J488" s="124">
        <v>41134</v>
      </c>
      <c r="K488" s="126">
        <v>15000</v>
      </c>
      <c r="L488" s="127" t="s">
        <v>571</v>
      </c>
      <c r="N488" s="129" t="str">
        <f>IF(M488&gt;1/1/1,"Y","N")</f>
        <v>N</v>
      </c>
      <c r="O488" s="128" t="s">
        <v>917</v>
      </c>
      <c r="P488" s="129" t="s">
        <v>39</v>
      </c>
      <c r="Q488" s="111">
        <f t="shared" si="340"/>
        <v>181</v>
      </c>
      <c r="R488" s="111">
        <f t="shared" si="347"/>
        <v>182</v>
      </c>
      <c r="S488" s="129">
        <v>4</v>
      </c>
      <c r="T488" s="129">
        <v>7</v>
      </c>
      <c r="V488" s="117">
        <v>1</v>
      </c>
      <c r="W488" s="111"/>
      <c r="AC488" s="130"/>
      <c r="AD488" s="130">
        <v>26913</v>
      </c>
      <c r="AE488" s="128" t="s">
        <v>32</v>
      </c>
      <c r="AF488" s="128" t="s">
        <v>40</v>
      </c>
      <c r="AG488" s="128" t="s">
        <v>41</v>
      </c>
      <c r="AH488" s="108" t="s">
        <v>41</v>
      </c>
      <c r="AI488" s="128" t="s">
        <v>62</v>
      </c>
      <c r="AJ488" s="129" t="s">
        <v>89</v>
      </c>
      <c r="AK488" s="129">
        <v>8</v>
      </c>
      <c r="AL488" s="3" t="s">
        <v>992</v>
      </c>
      <c r="AN488" s="117">
        <v>6</v>
      </c>
      <c r="AP488" s="129" t="s">
        <v>43</v>
      </c>
      <c r="AR488" s="128" t="s">
        <v>44</v>
      </c>
      <c r="AS488" s="129" t="s">
        <v>45</v>
      </c>
      <c r="BC488" s="129" t="s">
        <v>38</v>
      </c>
      <c r="BF488" s="111">
        <f>IF(J488&gt;1/1/1900,((J488+1)-I488),"STILL OPEN")</f>
        <v>181</v>
      </c>
      <c r="BG488" s="111">
        <f t="shared" si="379"/>
        <v>181</v>
      </c>
      <c r="BH488" s="111">
        <f t="shared" si="348"/>
        <v>182</v>
      </c>
      <c r="BI488" s="111">
        <f t="shared" si="349"/>
        <v>38.360655737704917</v>
      </c>
      <c r="BJ488" s="129">
        <f t="shared" si="355"/>
        <v>0</v>
      </c>
      <c r="BK488" s="129">
        <f t="shared" si="350"/>
        <v>0</v>
      </c>
      <c r="BL488" s="129" t="str">
        <f t="shared" si="351"/>
        <v>CONVICTION</v>
      </c>
      <c r="BM488" s="129" t="str">
        <f t="shared" si="356"/>
        <v>NONE</v>
      </c>
      <c r="BN488" s="129" t="s">
        <v>566</v>
      </c>
      <c r="BP488" s="137" t="str">
        <f t="shared" si="357"/>
        <v>CONVICTION</v>
      </c>
      <c r="BQ488" s="128" t="str">
        <f t="shared" si="358"/>
        <v>Y</v>
      </c>
      <c r="BR488" s="129" t="str">
        <f t="shared" si="359"/>
        <v>DETAINED</v>
      </c>
      <c r="BS488" s="129" t="str">
        <f t="shared" si="360"/>
        <v>DISPOSED</v>
      </c>
      <c r="BT488" s="129" t="str">
        <f t="shared" si="361"/>
        <v>Y</v>
      </c>
      <c r="BU488" s="109">
        <f t="shared" si="362"/>
        <v>0.99450549450549453</v>
      </c>
      <c r="BV488" s="109">
        <f t="shared" si="363"/>
        <v>1</v>
      </c>
      <c r="BW488" s="109">
        <f t="shared" si="381"/>
        <v>5.494505494505475E-3</v>
      </c>
      <c r="BX488" s="111">
        <f t="shared" si="364"/>
        <v>0</v>
      </c>
      <c r="BY488" s="129">
        <f t="shared" si="365"/>
        <v>-181</v>
      </c>
      <c r="BZ488" s="111">
        <f t="shared" si="366"/>
        <v>0</v>
      </c>
      <c r="CA488" s="138">
        <f t="shared" si="367"/>
        <v>181</v>
      </c>
      <c r="CB488" s="111" t="e">
        <f>IF(AF488&gt;1/1/1900,((AF488+1)-AE488),"STILL OPEN")</f>
        <v>#VALUE!</v>
      </c>
      <c r="CC488" s="129">
        <f>G488-I488+1</f>
        <v>181</v>
      </c>
      <c r="CD488" s="129">
        <f>G488-J488</f>
        <v>0</v>
      </c>
      <c r="CE488" s="129">
        <f t="shared" si="368"/>
        <v>0</v>
      </c>
      <c r="CG488" s="129" t="str">
        <f t="shared" si="369"/>
        <v>Y</v>
      </c>
      <c r="CI488" s="129" t="str">
        <f t="shared" si="370"/>
        <v>121-365 DAYS</v>
      </c>
      <c r="CJ488" s="137">
        <f t="shared" si="371"/>
        <v>6</v>
      </c>
      <c r="CK488" s="129" t="str">
        <f t="shared" si="372"/>
        <v>Booked</v>
      </c>
    </row>
    <row r="489" spans="1:89" ht="15" customHeight="1" x14ac:dyDescent="0.25">
      <c r="A489" s="111">
        <v>3140</v>
      </c>
      <c r="B489" s="128" t="str">
        <f t="shared" si="352"/>
        <v>N</v>
      </c>
      <c r="C489" s="128" t="str">
        <f t="shared" si="353"/>
        <v>N</v>
      </c>
      <c r="D489" s="117">
        <v>1203370</v>
      </c>
      <c r="E489" s="135">
        <f t="shared" si="354"/>
        <v>2</v>
      </c>
      <c r="F489" s="124">
        <v>41024</v>
      </c>
      <c r="G489" s="125">
        <v>41026</v>
      </c>
      <c r="H489" s="117">
        <v>1203370</v>
      </c>
      <c r="I489" s="124">
        <v>41025</v>
      </c>
      <c r="J489" s="124">
        <v>41026</v>
      </c>
      <c r="K489" s="126">
        <v>2000</v>
      </c>
      <c r="L489" s="127" t="s">
        <v>568</v>
      </c>
      <c r="M489" s="125">
        <v>41026</v>
      </c>
      <c r="N489" s="129" t="str">
        <f>IF(M489&gt;1/1/1,"Y","N")</f>
        <v>Y</v>
      </c>
      <c r="O489" s="128" t="s">
        <v>76</v>
      </c>
      <c r="P489" s="129" t="s">
        <v>589</v>
      </c>
      <c r="Q489" s="111">
        <f t="shared" si="340"/>
        <v>2</v>
      </c>
      <c r="R489" s="111">
        <f t="shared" si="347"/>
        <v>3</v>
      </c>
      <c r="S489" s="129">
        <v>0</v>
      </c>
      <c r="T489" s="129">
        <v>2</v>
      </c>
      <c r="W489" s="111"/>
      <c r="AC489" s="130"/>
      <c r="AD489" s="130">
        <v>24311</v>
      </c>
      <c r="AE489" s="128" t="s">
        <v>32</v>
      </c>
      <c r="AF489" s="128" t="s">
        <v>33</v>
      </c>
      <c r="AG489" s="128" t="s">
        <v>872</v>
      </c>
      <c r="AH489" s="108" t="s">
        <v>58</v>
      </c>
      <c r="AI489" s="128" t="s">
        <v>113</v>
      </c>
      <c r="AJ489" s="129" t="s">
        <v>48</v>
      </c>
      <c r="AK489" s="129">
        <v>1</v>
      </c>
      <c r="AL489" s="3" t="s">
        <v>48</v>
      </c>
      <c r="AP489" s="129" t="s">
        <v>43</v>
      </c>
      <c r="AR489" s="128" t="s">
        <v>44</v>
      </c>
      <c r="AS489" s="129" t="s">
        <v>45</v>
      </c>
      <c r="BC489" s="129" t="s">
        <v>38</v>
      </c>
      <c r="BF489" s="111">
        <f>IF(J489&gt;1/1/1900,((J489+1)-I489),"STILL OPEN")</f>
        <v>2</v>
      </c>
      <c r="BG489" s="111">
        <f t="shared" si="379"/>
        <v>2</v>
      </c>
      <c r="BH489" s="111">
        <f t="shared" si="348"/>
        <v>3</v>
      </c>
      <c r="BI489" s="111">
        <f t="shared" si="349"/>
        <v>45.66393442622951</v>
      </c>
      <c r="BJ489" s="129">
        <f>G489-J489</f>
        <v>0</v>
      </c>
      <c r="BK489" s="129">
        <f t="shared" si="350"/>
        <v>0</v>
      </c>
      <c r="BL489" s="129" t="str">
        <f t="shared" si="351"/>
        <v>DEFERRED</v>
      </c>
      <c r="BM489" s="129" t="s">
        <v>76</v>
      </c>
      <c r="BN489" s="129" t="s">
        <v>88</v>
      </c>
      <c r="BP489" s="137" t="str">
        <f t="shared" si="357"/>
        <v>DEFERRED</v>
      </c>
      <c r="BQ489" s="128" t="str">
        <f t="shared" si="358"/>
        <v>Y</v>
      </c>
      <c r="BR489" s="129" t="str">
        <f t="shared" si="359"/>
        <v>ON BOND</v>
      </c>
      <c r="BS489" s="129" t="str">
        <f t="shared" si="360"/>
        <v>DISPOSED</v>
      </c>
      <c r="BT489" s="129" t="str">
        <f t="shared" si="361"/>
        <v>N</v>
      </c>
      <c r="BU489" s="109">
        <f t="shared" si="362"/>
        <v>0.66666666666666663</v>
      </c>
      <c r="BV489" s="109">
        <f t="shared" si="363"/>
        <v>1</v>
      </c>
      <c r="BW489" s="109">
        <f t="shared" si="381"/>
        <v>0.33333333333333337</v>
      </c>
      <c r="BX489" s="111">
        <f t="shared" si="364"/>
        <v>0</v>
      </c>
      <c r="BY489" s="129">
        <f t="shared" si="365"/>
        <v>-2</v>
      </c>
      <c r="BZ489" s="111">
        <f t="shared" si="366"/>
        <v>0</v>
      </c>
      <c r="CA489" s="138">
        <f t="shared" si="367"/>
        <v>2</v>
      </c>
      <c r="CB489" s="111" t="e">
        <f>IF(AF489&gt;1/1/1900,((AF489+1)-AE489),"STILL OPEN")</f>
        <v>#VALUE!</v>
      </c>
      <c r="CC489" s="129">
        <f>M489-I489+1</f>
        <v>2</v>
      </c>
      <c r="CD489" s="111">
        <f>CC489-BF489</f>
        <v>0</v>
      </c>
      <c r="CE489" s="129">
        <f t="shared" si="368"/>
        <v>0</v>
      </c>
      <c r="CG489" s="129" t="str">
        <f t="shared" si="369"/>
        <v>Y</v>
      </c>
      <c r="CI489" s="129" t="str">
        <f t="shared" si="370"/>
        <v>0-10 DAYS</v>
      </c>
      <c r="CJ489" s="137">
        <f t="shared" si="371"/>
        <v>1</v>
      </c>
      <c r="CK489" s="129" t="str">
        <f t="shared" si="372"/>
        <v>Booked</v>
      </c>
    </row>
    <row r="490" spans="1:89" ht="15.75" customHeight="1" x14ac:dyDescent="0.25">
      <c r="A490" s="111">
        <v>2108</v>
      </c>
      <c r="B490" s="128" t="str">
        <f t="shared" si="352"/>
        <v>N</v>
      </c>
      <c r="C490" s="128" t="str">
        <f t="shared" si="353"/>
        <v>N</v>
      </c>
      <c r="D490" s="117">
        <v>1203874</v>
      </c>
      <c r="E490" s="135">
        <f t="shared" si="354"/>
        <v>5</v>
      </c>
      <c r="F490" s="124">
        <v>40988</v>
      </c>
      <c r="G490" s="125">
        <v>41015</v>
      </c>
      <c r="H490" s="117">
        <v>1203874</v>
      </c>
      <c r="I490" s="124">
        <v>40988</v>
      </c>
      <c r="J490" s="124">
        <v>41015</v>
      </c>
      <c r="K490" s="126">
        <v>15000</v>
      </c>
      <c r="L490" s="127" t="s">
        <v>571</v>
      </c>
      <c r="N490" s="129" t="str">
        <f>IF(M490&gt;1/1/1,"Y","N")</f>
        <v>N</v>
      </c>
      <c r="O490" s="128" t="s">
        <v>917</v>
      </c>
      <c r="P490" s="129" t="s">
        <v>39</v>
      </c>
      <c r="Q490" s="111">
        <f t="shared" ref="Q490:Q534" si="383">BF490</f>
        <v>28</v>
      </c>
      <c r="R490" s="111">
        <f t="shared" si="347"/>
        <v>28</v>
      </c>
      <c r="S490" s="129">
        <v>3</v>
      </c>
      <c r="T490" s="129">
        <v>2</v>
      </c>
      <c r="U490" s="129">
        <v>1</v>
      </c>
      <c r="W490" s="111"/>
      <c r="AC490" s="130"/>
      <c r="AD490" s="130">
        <v>27165</v>
      </c>
      <c r="AE490" s="128" t="s">
        <v>32</v>
      </c>
      <c r="AF490" s="128" t="s">
        <v>33</v>
      </c>
      <c r="AG490" s="128" t="s">
        <v>872</v>
      </c>
      <c r="AH490" s="108" t="s">
        <v>58</v>
      </c>
      <c r="AI490" s="128" t="s">
        <v>72</v>
      </c>
      <c r="AJ490" s="129" t="s">
        <v>89</v>
      </c>
      <c r="AK490" s="129">
        <v>3</v>
      </c>
      <c r="AL490" s="3" t="s">
        <v>992</v>
      </c>
      <c r="AN490" s="117">
        <v>6</v>
      </c>
      <c r="AP490" s="129" t="s">
        <v>43</v>
      </c>
      <c r="AR490" s="128" t="s">
        <v>44</v>
      </c>
      <c r="AS490" s="129" t="s">
        <v>45</v>
      </c>
      <c r="BC490" s="129" t="s">
        <v>52</v>
      </c>
      <c r="BF490" s="111">
        <f>IF(J490&gt;1/1/1900,((J490+1)-I490),"STILL OPEN")</f>
        <v>28</v>
      </c>
      <c r="BG490" s="111">
        <f t="shared" si="379"/>
        <v>28</v>
      </c>
      <c r="BH490" s="111">
        <f t="shared" si="348"/>
        <v>28</v>
      </c>
      <c r="BI490" s="111">
        <f t="shared" si="349"/>
        <v>37.767759562841533</v>
      </c>
      <c r="BJ490" s="129">
        <f t="shared" si="355"/>
        <v>0</v>
      </c>
      <c r="BK490" s="129">
        <f t="shared" si="350"/>
        <v>0</v>
      </c>
      <c r="BL490" s="129" t="str">
        <f t="shared" si="351"/>
        <v>CONVICTION</v>
      </c>
      <c r="BM490" s="129" t="str">
        <f t="shared" si="356"/>
        <v>NONE</v>
      </c>
      <c r="BN490" s="129" t="s">
        <v>566</v>
      </c>
      <c r="BP490" s="137" t="str">
        <f t="shared" si="357"/>
        <v>CONVICTION</v>
      </c>
      <c r="BQ490" s="128" t="str">
        <f t="shared" si="358"/>
        <v>Y</v>
      </c>
      <c r="BR490" s="129" t="str">
        <f t="shared" si="359"/>
        <v>DETAINED</v>
      </c>
      <c r="BS490" s="129" t="str">
        <f t="shared" si="360"/>
        <v>DISPOSED</v>
      </c>
      <c r="BT490" s="129" t="str">
        <f t="shared" si="361"/>
        <v>Y</v>
      </c>
      <c r="BU490" s="109">
        <f t="shared" si="362"/>
        <v>1</v>
      </c>
      <c r="BV490" s="109">
        <f t="shared" si="363"/>
        <v>1</v>
      </c>
      <c r="BW490" s="109">
        <f t="shared" si="381"/>
        <v>0</v>
      </c>
      <c r="BX490" s="111">
        <f t="shared" si="364"/>
        <v>0</v>
      </c>
      <c r="BY490" s="129">
        <f t="shared" si="365"/>
        <v>-28</v>
      </c>
      <c r="BZ490" s="111">
        <f t="shared" si="366"/>
        <v>0</v>
      </c>
      <c r="CA490" s="138">
        <f t="shared" si="367"/>
        <v>28</v>
      </c>
      <c r="CB490" s="111" t="e">
        <f>IF(AF490&gt;1/1/1900,((AF490+1)-AE490),"STILL OPEN")</f>
        <v>#VALUE!</v>
      </c>
      <c r="CC490" s="129">
        <f>G490-I490+1</f>
        <v>28</v>
      </c>
      <c r="CD490" s="129">
        <f>G490-J490</f>
        <v>0</v>
      </c>
      <c r="CE490" s="129">
        <f t="shared" si="368"/>
        <v>0</v>
      </c>
      <c r="CG490" s="129" t="str">
        <f t="shared" si="369"/>
        <v>Y</v>
      </c>
      <c r="CI490" s="129" t="str">
        <f t="shared" si="370"/>
        <v>11-30 DAYS</v>
      </c>
      <c r="CJ490" s="137">
        <f t="shared" si="371"/>
        <v>2</v>
      </c>
      <c r="CK490" s="129" t="str">
        <f t="shared" si="372"/>
        <v>Booked</v>
      </c>
    </row>
    <row r="491" spans="1:89" ht="15.75" customHeight="1" x14ac:dyDescent="0.25">
      <c r="A491" s="111">
        <v>31</v>
      </c>
      <c r="B491" s="128" t="str">
        <f t="shared" si="352"/>
        <v>Y</v>
      </c>
      <c r="C491" s="128" t="str">
        <f t="shared" si="353"/>
        <v>N</v>
      </c>
      <c r="D491" s="117">
        <v>1204664</v>
      </c>
      <c r="E491" s="135">
        <f t="shared" si="354"/>
        <v>5</v>
      </c>
      <c r="F491" s="124">
        <v>40911</v>
      </c>
      <c r="G491" s="125">
        <v>41001</v>
      </c>
      <c r="H491" s="117">
        <v>1204664</v>
      </c>
      <c r="I491" s="124">
        <v>40911</v>
      </c>
      <c r="J491" s="125">
        <v>41001</v>
      </c>
      <c r="K491" s="126">
        <v>30000</v>
      </c>
      <c r="L491" s="129" t="s">
        <v>572</v>
      </c>
      <c r="N491" s="129" t="str">
        <f>IF(M491&gt;1/1/1,"Y","N")</f>
        <v>N</v>
      </c>
      <c r="O491" s="128" t="s">
        <v>917</v>
      </c>
      <c r="P491" s="129" t="s">
        <v>39</v>
      </c>
      <c r="Q491" s="111">
        <f t="shared" si="383"/>
        <v>91</v>
      </c>
      <c r="R491" s="111">
        <f t="shared" si="347"/>
        <v>91</v>
      </c>
      <c r="S491" s="129">
        <v>4</v>
      </c>
      <c r="T491" s="129">
        <v>1</v>
      </c>
      <c r="U491" s="129">
        <v>3</v>
      </c>
      <c r="W491" s="111"/>
      <c r="AC491" s="130"/>
      <c r="AD491" s="130">
        <v>21348</v>
      </c>
      <c r="AE491" s="128" t="s">
        <v>32</v>
      </c>
      <c r="AF491" s="128" t="s">
        <v>69</v>
      </c>
      <c r="AG491" s="128" t="s">
        <v>874</v>
      </c>
      <c r="AH491" s="108" t="s">
        <v>31</v>
      </c>
      <c r="AI491" s="128" t="s">
        <v>87</v>
      </c>
      <c r="AJ491" s="129" t="s">
        <v>89</v>
      </c>
      <c r="AK491" s="129">
        <v>4</v>
      </c>
      <c r="AL491" s="3" t="s">
        <v>992</v>
      </c>
      <c r="AN491" s="117">
        <v>6</v>
      </c>
      <c r="AP491" s="129" t="s">
        <v>43</v>
      </c>
      <c r="AR491" s="128" t="s">
        <v>44</v>
      </c>
      <c r="AS491" s="129" t="s">
        <v>45</v>
      </c>
      <c r="BC491" s="129" t="s">
        <v>38</v>
      </c>
      <c r="BD491" s="129" t="s">
        <v>1184</v>
      </c>
      <c r="BF491" s="111">
        <f>IF(J491&gt;1/1/1900,((J491+1)-I491),"STILL OPEN")</f>
        <v>91</v>
      </c>
      <c r="BG491" s="111">
        <f t="shared" si="379"/>
        <v>91</v>
      </c>
      <c r="BH491" s="111">
        <f t="shared" si="348"/>
        <v>91</v>
      </c>
      <c r="BI491" s="111">
        <f t="shared" si="349"/>
        <v>53.450819672131146</v>
      </c>
      <c r="BJ491" s="129">
        <f t="shared" si="355"/>
        <v>0</v>
      </c>
      <c r="BK491" s="129">
        <f t="shared" si="350"/>
        <v>0</v>
      </c>
      <c r="BL491" s="129" t="str">
        <f t="shared" si="351"/>
        <v>CONVICTION</v>
      </c>
      <c r="BM491" s="129" t="str">
        <f t="shared" si="356"/>
        <v>NONE</v>
      </c>
      <c r="BN491" s="129" t="s">
        <v>566</v>
      </c>
      <c r="BP491" s="137" t="str">
        <f t="shared" si="357"/>
        <v>CONVICTION</v>
      </c>
      <c r="BQ491" s="128" t="str">
        <f t="shared" si="358"/>
        <v>Y</v>
      </c>
      <c r="BR491" s="129" t="str">
        <f t="shared" si="359"/>
        <v>DETAINED</v>
      </c>
      <c r="BS491" s="129" t="str">
        <f t="shared" si="360"/>
        <v>DISPOSED</v>
      </c>
      <c r="BT491" s="129" t="str">
        <f t="shared" si="361"/>
        <v>Y</v>
      </c>
      <c r="BU491" s="109">
        <f t="shared" si="362"/>
        <v>1</v>
      </c>
      <c r="BV491" s="109">
        <f t="shared" si="363"/>
        <v>1</v>
      </c>
      <c r="BW491" s="109">
        <f t="shared" si="381"/>
        <v>0</v>
      </c>
      <c r="BX491" s="111">
        <f t="shared" si="364"/>
        <v>0</v>
      </c>
      <c r="BY491" s="129">
        <f t="shared" si="365"/>
        <v>-91</v>
      </c>
      <c r="BZ491" s="111">
        <f t="shared" si="366"/>
        <v>0</v>
      </c>
      <c r="CA491" s="138">
        <f t="shared" si="367"/>
        <v>91</v>
      </c>
      <c r="CB491" s="111" t="e">
        <f>IF(AF491&gt;1/1/1900,((AF491+1)-AE491),"STILL OPEN")</f>
        <v>#VALUE!</v>
      </c>
      <c r="CC491" s="129">
        <f>G491-I491+1</f>
        <v>91</v>
      </c>
      <c r="CD491" s="129">
        <f>G491-J491</f>
        <v>0</v>
      </c>
      <c r="CE491" s="129">
        <f t="shared" si="368"/>
        <v>0</v>
      </c>
      <c r="CG491" s="129" t="str">
        <f t="shared" si="369"/>
        <v>Y</v>
      </c>
      <c r="CI491" s="129" t="str">
        <f t="shared" si="370"/>
        <v>91-120 DAYS</v>
      </c>
      <c r="CJ491" s="137">
        <f t="shared" si="371"/>
        <v>0</v>
      </c>
      <c r="CK491" s="129" t="str">
        <f t="shared" si="372"/>
        <v>Booked</v>
      </c>
    </row>
    <row r="492" spans="1:89" ht="15.75" customHeight="1" x14ac:dyDescent="0.25">
      <c r="A492" s="111">
        <v>3232</v>
      </c>
      <c r="B492" s="128" t="str">
        <f t="shared" si="352"/>
        <v>N</v>
      </c>
      <c r="C492" s="128" t="str">
        <f t="shared" si="353"/>
        <v>N</v>
      </c>
      <c r="D492" s="117">
        <v>1204716</v>
      </c>
      <c r="E492" s="135">
        <f t="shared" si="354"/>
        <v>5</v>
      </c>
      <c r="F492" s="124">
        <v>41028</v>
      </c>
      <c r="G492" s="125">
        <v>41121</v>
      </c>
      <c r="H492" s="117">
        <v>1204716</v>
      </c>
      <c r="I492" s="124">
        <v>41028</v>
      </c>
      <c r="J492" s="124">
        <v>41121</v>
      </c>
      <c r="K492" s="126">
        <v>15000</v>
      </c>
      <c r="L492" s="127" t="s">
        <v>571</v>
      </c>
      <c r="N492" s="129" t="str">
        <f>IF(M492&gt;1/1/1,"Y","N")</f>
        <v>N</v>
      </c>
      <c r="O492" s="128" t="s">
        <v>917</v>
      </c>
      <c r="P492" s="129" t="s">
        <v>39</v>
      </c>
      <c r="Q492" s="111">
        <f t="shared" si="383"/>
        <v>94</v>
      </c>
      <c r="R492" s="111">
        <f t="shared" si="347"/>
        <v>94</v>
      </c>
      <c r="S492" s="129">
        <v>7</v>
      </c>
      <c r="T492" s="129">
        <v>8</v>
      </c>
      <c r="U492" s="129">
        <v>2</v>
      </c>
      <c r="W492" s="111"/>
      <c r="AC492" s="130"/>
      <c r="AD492" s="130">
        <v>20250</v>
      </c>
      <c r="AE492" s="128" t="s">
        <v>32</v>
      </c>
      <c r="AF492" s="128" t="s">
        <v>33</v>
      </c>
      <c r="AG492" s="128" t="s">
        <v>872</v>
      </c>
      <c r="AH492" s="108" t="s">
        <v>58</v>
      </c>
      <c r="AI492" s="128" t="s">
        <v>42</v>
      </c>
      <c r="AJ492" s="129" t="s">
        <v>89</v>
      </c>
      <c r="AK492" s="129">
        <v>5</v>
      </c>
      <c r="AL492" s="3" t="s">
        <v>992</v>
      </c>
      <c r="AN492" s="117">
        <v>7</v>
      </c>
      <c r="AP492" s="129" t="s">
        <v>98</v>
      </c>
      <c r="AR492" s="128" t="s">
        <v>44</v>
      </c>
      <c r="AS492" s="129" t="s">
        <v>64</v>
      </c>
      <c r="BC492" s="129" t="s">
        <v>38</v>
      </c>
      <c r="BF492" s="111">
        <f>IF(J492&gt;1/1/1900,((J492+1)-I492),"STILL OPEN")</f>
        <v>94</v>
      </c>
      <c r="BG492" s="111">
        <f t="shared" si="379"/>
        <v>94</v>
      </c>
      <c r="BH492" s="111">
        <f t="shared" si="348"/>
        <v>94</v>
      </c>
      <c r="BI492" s="111">
        <f t="shared" si="349"/>
        <v>56.770491803278688</v>
      </c>
      <c r="BJ492" s="129">
        <f t="shared" si="355"/>
        <v>0</v>
      </c>
      <c r="BK492" s="129">
        <f t="shared" si="350"/>
        <v>0</v>
      </c>
      <c r="BL492" s="129" t="str">
        <f t="shared" si="351"/>
        <v>CONVICTION</v>
      </c>
      <c r="BM492" s="129" t="str">
        <f t="shared" si="356"/>
        <v>NONE</v>
      </c>
      <c r="BN492" s="129" t="s">
        <v>566</v>
      </c>
      <c r="BP492" s="137" t="str">
        <f t="shared" si="357"/>
        <v>CONVICTION</v>
      </c>
      <c r="BQ492" s="128" t="str">
        <f t="shared" si="358"/>
        <v>Y</v>
      </c>
      <c r="BR492" s="129" t="str">
        <f t="shared" si="359"/>
        <v>DETAINED</v>
      </c>
      <c r="BS492" s="129" t="str">
        <f t="shared" si="360"/>
        <v>DISPOSED</v>
      </c>
      <c r="BT492" s="129" t="str">
        <f t="shared" si="361"/>
        <v>Y</v>
      </c>
      <c r="BU492" s="109">
        <f t="shared" si="362"/>
        <v>1</v>
      </c>
      <c r="BV492" s="109">
        <f t="shared" si="363"/>
        <v>1</v>
      </c>
      <c r="BW492" s="109">
        <f t="shared" si="381"/>
        <v>0</v>
      </c>
      <c r="BX492" s="111">
        <f t="shared" si="364"/>
        <v>0</v>
      </c>
      <c r="BY492" s="129">
        <f t="shared" si="365"/>
        <v>-94</v>
      </c>
      <c r="BZ492" s="111">
        <f t="shared" si="366"/>
        <v>0</v>
      </c>
      <c r="CA492" s="138">
        <f t="shared" si="367"/>
        <v>94</v>
      </c>
      <c r="CB492" s="111" t="e">
        <f>IF(AF492&gt;1/1/1900,((AF492+1)-AE492),"STILL OPEN")</f>
        <v>#VALUE!</v>
      </c>
      <c r="CC492" s="129">
        <f>G492-I492+1</f>
        <v>94</v>
      </c>
      <c r="CD492" s="129">
        <f>G492-J492</f>
        <v>0</v>
      </c>
      <c r="CE492" s="129">
        <f t="shared" si="368"/>
        <v>0</v>
      </c>
      <c r="CG492" s="129" t="str">
        <f t="shared" si="369"/>
        <v>Y</v>
      </c>
      <c r="CI492" s="129" t="str">
        <f t="shared" si="370"/>
        <v>91-120 DAYS</v>
      </c>
      <c r="CJ492" s="137">
        <f t="shared" si="371"/>
        <v>0</v>
      </c>
      <c r="CK492" s="129" t="str">
        <f t="shared" si="372"/>
        <v>Booked</v>
      </c>
    </row>
    <row r="493" spans="1:89" ht="15.75" customHeight="1" x14ac:dyDescent="0.25">
      <c r="A493" s="111">
        <v>351</v>
      </c>
      <c r="B493" s="128" t="str">
        <f t="shared" si="352"/>
        <v>Y</v>
      </c>
      <c r="C493" s="128" t="str">
        <f t="shared" si="353"/>
        <v>N</v>
      </c>
      <c r="D493" s="117">
        <v>1204838</v>
      </c>
      <c r="E493" s="135">
        <f t="shared" si="354"/>
        <v>1</v>
      </c>
      <c r="F493" s="124">
        <v>40922</v>
      </c>
      <c r="G493" s="125">
        <v>40931</v>
      </c>
      <c r="H493" s="117">
        <v>1204838</v>
      </c>
      <c r="I493" s="124" t="s">
        <v>562</v>
      </c>
      <c r="J493" s="124" t="s">
        <v>562</v>
      </c>
      <c r="K493" s="126">
        <v>2000</v>
      </c>
      <c r="L493" s="127" t="s">
        <v>568</v>
      </c>
      <c r="M493" s="125">
        <v>40929</v>
      </c>
      <c r="N493" s="129" t="str">
        <f>IF(M493&gt;1/1/1,"Y",IF(Q493="0","","N"))</f>
        <v>Y</v>
      </c>
      <c r="O493" s="128" t="s">
        <v>76</v>
      </c>
      <c r="P493" s="129" t="s">
        <v>55</v>
      </c>
      <c r="Q493" s="111">
        <f t="shared" si="383"/>
        <v>0</v>
      </c>
      <c r="R493" s="111">
        <f t="shared" si="347"/>
        <v>10</v>
      </c>
      <c r="S493" s="129">
        <v>3</v>
      </c>
      <c r="T493" s="129">
        <v>5</v>
      </c>
      <c r="V493" s="117">
        <v>2</v>
      </c>
      <c r="W493" s="111"/>
      <c r="AC493" s="130"/>
      <c r="AD493" s="130">
        <v>26798</v>
      </c>
      <c r="AE493" s="128" t="s">
        <v>46</v>
      </c>
      <c r="AF493" s="128" t="s">
        <v>33</v>
      </c>
      <c r="AG493" s="128" t="s">
        <v>872</v>
      </c>
      <c r="AH493" s="108" t="s">
        <v>58</v>
      </c>
      <c r="AI493" s="128" t="s">
        <v>87</v>
      </c>
      <c r="AJ493" s="129" t="s">
        <v>55</v>
      </c>
      <c r="AK493" s="129">
        <v>2</v>
      </c>
      <c r="AL493" s="3" t="s">
        <v>55</v>
      </c>
      <c r="AP493" s="129" t="s">
        <v>63</v>
      </c>
      <c r="AR493" s="128" t="s">
        <v>44</v>
      </c>
      <c r="AS493" s="129" t="s">
        <v>64</v>
      </c>
      <c r="BC493" s="129" t="s">
        <v>79</v>
      </c>
      <c r="BD493" s="129" t="s">
        <v>1206</v>
      </c>
      <c r="BF493" s="111">
        <v>0</v>
      </c>
      <c r="BG493" s="111">
        <v>0</v>
      </c>
      <c r="BH493" s="111">
        <f t="shared" si="348"/>
        <v>10</v>
      </c>
      <c r="BI493" s="111">
        <f t="shared" si="349"/>
        <v>38.590163934426229</v>
      </c>
      <c r="BJ493" s="129" t="e">
        <f>(G493-J493)+(M493-G493)</f>
        <v>#VALUE!</v>
      </c>
      <c r="BK493" s="129" t="e">
        <f t="shared" si="350"/>
        <v>#VALUE!</v>
      </c>
      <c r="BL493" s="129" t="str">
        <f t="shared" si="351"/>
        <v>NO CONVICTION</v>
      </c>
      <c r="BM493" s="129" t="s">
        <v>76</v>
      </c>
      <c r="BN493" s="129" t="s">
        <v>88</v>
      </c>
      <c r="BP493" s="137" t="str">
        <f t="shared" si="357"/>
        <v>NO CONVICTION</v>
      </c>
      <c r="BQ493" s="128">
        <f t="shared" si="358"/>
        <v>0</v>
      </c>
      <c r="BR493" s="129" t="s">
        <v>575</v>
      </c>
      <c r="BS493" s="129" t="str">
        <f t="shared" si="360"/>
        <v>DISPOSED</v>
      </c>
      <c r="BT493" s="129" t="str">
        <f t="shared" si="361"/>
        <v>Y</v>
      </c>
      <c r="BU493" s="109">
        <f>IFERROR(Q493/R493,BR493)</f>
        <v>0</v>
      </c>
      <c r="BV493" s="109">
        <v>0</v>
      </c>
      <c r="BW493" s="109">
        <f t="shared" si="381"/>
        <v>0</v>
      </c>
      <c r="BX493" s="111">
        <f t="shared" si="364"/>
        <v>0</v>
      </c>
      <c r="BY493" s="129" t="e">
        <f t="shared" si="365"/>
        <v>#VALUE!</v>
      </c>
      <c r="BZ493" s="111" t="e">
        <f t="shared" si="366"/>
        <v>#VALUE!</v>
      </c>
      <c r="CA493" s="138" t="e">
        <f t="shared" si="367"/>
        <v>#VALUE!</v>
      </c>
      <c r="CB493" s="111">
        <v>0</v>
      </c>
      <c r="CC493" s="129">
        <v>0</v>
      </c>
      <c r="CD493" s="111">
        <f>CC493-BF493</f>
        <v>0</v>
      </c>
      <c r="CE493" s="129" t="e">
        <f t="shared" si="368"/>
        <v>#VALUE!</v>
      </c>
      <c r="CG493" s="129" t="str">
        <f t="shared" si="369"/>
        <v>Y</v>
      </c>
      <c r="CI493" s="129" t="str">
        <f t="shared" si="370"/>
        <v>0-10 DAYS</v>
      </c>
      <c r="CJ493" s="137">
        <f t="shared" si="371"/>
        <v>1</v>
      </c>
      <c r="CK493" s="129" t="str">
        <f t="shared" si="372"/>
        <v>Not Booked</v>
      </c>
    </row>
    <row r="494" spans="1:89" ht="15" customHeight="1" x14ac:dyDescent="0.25">
      <c r="A494" s="111">
        <v>946</v>
      </c>
      <c r="B494" s="128" t="str">
        <f t="shared" si="352"/>
        <v>N</v>
      </c>
      <c r="C494" s="128" t="str">
        <f t="shared" si="353"/>
        <v>N</v>
      </c>
      <c r="D494" s="117">
        <v>1204971</v>
      </c>
      <c r="E494" s="135">
        <f t="shared" si="354"/>
        <v>5</v>
      </c>
      <c r="F494" s="124">
        <v>40943</v>
      </c>
      <c r="G494" s="125">
        <v>40945</v>
      </c>
      <c r="H494" s="117">
        <v>1204971</v>
      </c>
      <c r="I494" s="124">
        <v>40944</v>
      </c>
      <c r="J494" s="124">
        <v>40945</v>
      </c>
      <c r="K494" s="126">
        <v>15000</v>
      </c>
      <c r="L494" s="127" t="s">
        <v>571</v>
      </c>
      <c r="N494" s="129" t="str">
        <f>IF(M494&gt;1/1/1,"Y","N")</f>
        <v>N</v>
      </c>
      <c r="O494" s="128" t="s">
        <v>917</v>
      </c>
      <c r="P494" s="129" t="s">
        <v>39</v>
      </c>
      <c r="Q494" s="111">
        <f t="shared" si="383"/>
        <v>2</v>
      </c>
      <c r="R494" s="111">
        <f t="shared" si="347"/>
        <v>3</v>
      </c>
      <c r="S494" s="129">
        <v>4</v>
      </c>
      <c r="T494" s="129">
        <v>4</v>
      </c>
      <c r="U494" s="129">
        <v>4</v>
      </c>
      <c r="W494" s="111"/>
      <c r="AC494" s="130"/>
      <c r="AD494" s="130">
        <v>26014</v>
      </c>
      <c r="AE494" s="128" t="s">
        <v>32</v>
      </c>
      <c r="AF494" s="128" t="s">
        <v>33</v>
      </c>
      <c r="AG494" s="128" t="s">
        <v>872</v>
      </c>
      <c r="AH494" s="108" t="s">
        <v>31</v>
      </c>
      <c r="AI494" s="128" t="s">
        <v>114</v>
      </c>
      <c r="AJ494" s="129" t="s">
        <v>89</v>
      </c>
      <c r="AK494" s="129">
        <v>1</v>
      </c>
      <c r="AL494" s="3" t="s">
        <v>992</v>
      </c>
      <c r="AN494" s="117">
        <v>9</v>
      </c>
      <c r="AP494" s="129" t="s">
        <v>43</v>
      </c>
      <c r="AR494" s="128" t="s">
        <v>44</v>
      </c>
      <c r="AS494" s="129" t="s">
        <v>45</v>
      </c>
      <c r="AX494" s="32"/>
      <c r="BC494" s="129" t="s">
        <v>38</v>
      </c>
      <c r="BF494" s="111">
        <f t="shared" ref="BF494:BF503" si="384">IF(J494&gt;1/1/1900,((J494+1)-I494),"STILL OPEN")</f>
        <v>2</v>
      </c>
      <c r="BG494" s="111">
        <f t="shared" ref="BG494:BG503" si="385">IF(G494&gt;1/1/1900,((G494+1)-I494),"STILL OPEN")</f>
        <v>2</v>
      </c>
      <c r="BH494" s="111">
        <f t="shared" si="348"/>
        <v>3</v>
      </c>
      <c r="BI494" s="111">
        <f t="shared" si="349"/>
        <v>40.789617486338798</v>
      </c>
      <c r="BJ494" s="129">
        <f t="shared" si="355"/>
        <v>0</v>
      </c>
      <c r="BK494" s="129">
        <f t="shared" si="350"/>
        <v>0</v>
      </c>
      <c r="BL494" s="129" t="str">
        <f t="shared" si="351"/>
        <v>CONVICTION</v>
      </c>
      <c r="BM494" s="129" t="str">
        <f t="shared" si="356"/>
        <v>NONE</v>
      </c>
      <c r="BN494" s="129" t="s">
        <v>566</v>
      </c>
      <c r="BP494" s="137" t="str">
        <f t="shared" si="357"/>
        <v>CONVICTION</v>
      </c>
      <c r="BQ494" s="128" t="str">
        <f t="shared" si="358"/>
        <v>Y</v>
      </c>
      <c r="BR494" s="129" t="str">
        <f t="shared" si="359"/>
        <v>DETAINED</v>
      </c>
      <c r="BS494" s="129" t="str">
        <f t="shared" si="360"/>
        <v>DISPOSED</v>
      </c>
      <c r="BT494" s="129" t="str">
        <f t="shared" si="361"/>
        <v>Y</v>
      </c>
      <c r="BU494" s="109">
        <f t="shared" si="362"/>
        <v>0.66666666666666663</v>
      </c>
      <c r="BV494" s="109">
        <f t="shared" si="363"/>
        <v>1</v>
      </c>
      <c r="BW494" s="109">
        <f t="shared" si="381"/>
        <v>0.33333333333333337</v>
      </c>
      <c r="BX494" s="111">
        <f t="shared" si="364"/>
        <v>0</v>
      </c>
      <c r="BY494" s="129">
        <f t="shared" si="365"/>
        <v>-2</v>
      </c>
      <c r="BZ494" s="111">
        <f t="shared" si="366"/>
        <v>0</v>
      </c>
      <c r="CA494" s="138">
        <f t="shared" si="367"/>
        <v>2</v>
      </c>
      <c r="CB494" s="111" t="e">
        <f t="shared" ref="CB494:CB503" si="386">IF(AF494&gt;1/1/1900,((AF494+1)-AE494),"STILL OPEN")</f>
        <v>#VALUE!</v>
      </c>
      <c r="CC494" s="129">
        <f>G494-I494+1</f>
        <v>2</v>
      </c>
      <c r="CD494" s="129">
        <f>G494-J494</f>
        <v>0</v>
      </c>
      <c r="CE494" s="129">
        <f t="shared" si="368"/>
        <v>0</v>
      </c>
      <c r="CG494" s="129" t="str">
        <f t="shared" si="369"/>
        <v>Y</v>
      </c>
      <c r="CI494" s="129" t="str">
        <f t="shared" si="370"/>
        <v>0-10 DAYS</v>
      </c>
      <c r="CJ494" s="137">
        <f t="shared" si="371"/>
        <v>1</v>
      </c>
      <c r="CK494" s="129" t="str">
        <f t="shared" si="372"/>
        <v>Booked</v>
      </c>
    </row>
    <row r="495" spans="1:89" ht="15" customHeight="1" x14ac:dyDescent="0.25">
      <c r="A495" s="111">
        <v>1737</v>
      </c>
      <c r="B495" s="128" t="str">
        <f t="shared" si="352"/>
        <v>N</v>
      </c>
      <c r="C495" s="128" t="str">
        <f t="shared" si="353"/>
        <v>N</v>
      </c>
      <c r="D495" s="117">
        <v>1205460</v>
      </c>
      <c r="E495" s="135">
        <f t="shared" si="354"/>
        <v>5</v>
      </c>
      <c r="F495" s="124">
        <v>40973</v>
      </c>
      <c r="G495" s="125">
        <v>40975</v>
      </c>
      <c r="H495" s="117">
        <v>1205460</v>
      </c>
      <c r="I495" s="124">
        <v>40973</v>
      </c>
      <c r="J495" s="124">
        <v>40975</v>
      </c>
      <c r="K495" s="126">
        <v>15000</v>
      </c>
      <c r="L495" s="127" t="s">
        <v>571</v>
      </c>
      <c r="N495" s="129" t="str">
        <f>IF(M495&gt;1/1/1,"Y","N")</f>
        <v>N</v>
      </c>
      <c r="O495" s="128" t="s">
        <v>917</v>
      </c>
      <c r="P495" s="129" t="s">
        <v>39</v>
      </c>
      <c r="Q495" s="111">
        <f t="shared" si="383"/>
        <v>3</v>
      </c>
      <c r="R495" s="111">
        <f t="shared" si="347"/>
        <v>3</v>
      </c>
      <c r="S495" s="129">
        <v>2</v>
      </c>
      <c r="T495" s="129">
        <v>7</v>
      </c>
      <c r="U495" s="129">
        <v>1</v>
      </c>
      <c r="W495" s="111"/>
      <c r="AB495" s="131" t="s">
        <v>112</v>
      </c>
      <c r="AC495" s="130"/>
      <c r="AD495" s="130">
        <v>26829</v>
      </c>
      <c r="AE495" s="128" t="s">
        <v>32</v>
      </c>
      <c r="AF495" s="128" t="s">
        <v>40</v>
      </c>
      <c r="AG495" s="128" t="s">
        <v>41</v>
      </c>
      <c r="AH495" s="108" t="s">
        <v>58</v>
      </c>
      <c r="AI495" s="128" t="s">
        <v>97</v>
      </c>
      <c r="AJ495" s="129" t="s">
        <v>89</v>
      </c>
      <c r="AK495" s="129">
        <v>1</v>
      </c>
      <c r="AL495" s="3" t="s">
        <v>992</v>
      </c>
      <c r="AN495" s="117">
        <v>6</v>
      </c>
      <c r="AP495" s="129" t="s">
        <v>43</v>
      </c>
      <c r="AR495" s="128" t="s">
        <v>44</v>
      </c>
      <c r="AS495" s="129" t="s">
        <v>45</v>
      </c>
      <c r="BC495" s="129" t="s">
        <v>38</v>
      </c>
      <c r="BF495" s="111">
        <f t="shared" si="384"/>
        <v>3</v>
      </c>
      <c r="BG495" s="111">
        <f t="shared" si="385"/>
        <v>3</v>
      </c>
      <c r="BH495" s="111">
        <f t="shared" si="348"/>
        <v>3</v>
      </c>
      <c r="BI495" s="111">
        <f t="shared" si="349"/>
        <v>38.644808743169399</v>
      </c>
      <c r="BJ495" s="129">
        <f t="shared" si="355"/>
        <v>0</v>
      </c>
      <c r="BK495" s="129">
        <f t="shared" si="350"/>
        <v>0</v>
      </c>
      <c r="BL495" s="129" t="str">
        <f t="shared" si="351"/>
        <v>CONVICTION</v>
      </c>
      <c r="BM495" s="129" t="str">
        <f t="shared" si="356"/>
        <v>NONE</v>
      </c>
      <c r="BN495" s="129" t="s">
        <v>566</v>
      </c>
      <c r="BP495" s="137" t="str">
        <f t="shared" si="357"/>
        <v>CONVICTION</v>
      </c>
      <c r="BQ495" s="128" t="str">
        <f t="shared" si="358"/>
        <v>Y</v>
      </c>
      <c r="BR495" s="129" t="str">
        <f t="shared" si="359"/>
        <v>DETAINED</v>
      </c>
      <c r="BS495" s="129" t="str">
        <f t="shared" si="360"/>
        <v>DISPOSED</v>
      </c>
      <c r="BT495" s="129" t="str">
        <f t="shared" si="361"/>
        <v>Y</v>
      </c>
      <c r="BU495" s="109">
        <f t="shared" si="362"/>
        <v>1</v>
      </c>
      <c r="BV495" s="109">
        <f t="shared" si="363"/>
        <v>1</v>
      </c>
      <c r="BW495" s="109">
        <f t="shared" si="381"/>
        <v>0</v>
      </c>
      <c r="BX495" s="111">
        <f t="shared" si="364"/>
        <v>0</v>
      </c>
      <c r="BY495" s="129">
        <f t="shared" si="365"/>
        <v>-3</v>
      </c>
      <c r="BZ495" s="111">
        <f t="shared" si="366"/>
        <v>0</v>
      </c>
      <c r="CA495" s="138">
        <f t="shared" si="367"/>
        <v>3</v>
      </c>
      <c r="CB495" s="111" t="e">
        <f t="shared" si="386"/>
        <v>#VALUE!</v>
      </c>
      <c r="CC495" s="129">
        <f>G495-I495+1</f>
        <v>3</v>
      </c>
      <c r="CD495" s="129">
        <f>G495-J495</f>
        <v>0</v>
      </c>
      <c r="CE495" s="129">
        <f t="shared" si="368"/>
        <v>0</v>
      </c>
      <c r="CG495" s="129" t="str">
        <f t="shared" si="369"/>
        <v>Y</v>
      </c>
      <c r="CI495" s="129" t="str">
        <f t="shared" si="370"/>
        <v>0-10 DAYS</v>
      </c>
      <c r="CJ495" s="137">
        <f t="shared" si="371"/>
        <v>1</v>
      </c>
      <c r="CK495" s="129" t="str">
        <f t="shared" si="372"/>
        <v>Booked</v>
      </c>
    </row>
    <row r="496" spans="1:89" ht="15.75" customHeight="1" x14ac:dyDescent="0.25">
      <c r="A496" s="111">
        <v>3176</v>
      </c>
      <c r="B496" s="128" t="str">
        <f t="shared" si="352"/>
        <v>N</v>
      </c>
      <c r="C496" s="128" t="str">
        <f t="shared" si="353"/>
        <v>N</v>
      </c>
      <c r="D496" s="117">
        <v>1206457</v>
      </c>
      <c r="E496" s="135">
        <f t="shared" si="354"/>
        <v>5</v>
      </c>
      <c r="F496" s="124">
        <v>41025</v>
      </c>
      <c r="G496" s="125">
        <v>41029</v>
      </c>
      <c r="H496" s="117">
        <v>1206457</v>
      </c>
      <c r="I496" s="124">
        <v>41026</v>
      </c>
      <c r="J496" s="124">
        <v>41029</v>
      </c>
      <c r="K496" s="126">
        <v>10000</v>
      </c>
      <c r="L496" s="127" t="s">
        <v>570</v>
      </c>
      <c r="N496" s="129" t="str">
        <f>IF(M496&gt;1/1/1,"Y","N")</f>
        <v>N</v>
      </c>
      <c r="O496" s="128" t="s">
        <v>917</v>
      </c>
      <c r="P496" s="129" t="s">
        <v>39</v>
      </c>
      <c r="Q496" s="111">
        <f t="shared" si="383"/>
        <v>4</v>
      </c>
      <c r="R496" s="111">
        <f t="shared" si="347"/>
        <v>5</v>
      </c>
      <c r="S496" s="129">
        <v>3</v>
      </c>
      <c r="T496" s="129">
        <v>0</v>
      </c>
      <c r="U496" s="129">
        <v>3</v>
      </c>
      <c r="W496" s="111"/>
      <c r="AC496" s="130"/>
      <c r="AD496" s="130">
        <v>24918</v>
      </c>
      <c r="AE496" s="128" t="s">
        <v>32</v>
      </c>
      <c r="AF496" s="128" t="s">
        <v>33</v>
      </c>
      <c r="AG496" s="128" t="s">
        <v>872</v>
      </c>
      <c r="AH496" s="108" t="s">
        <v>31</v>
      </c>
      <c r="AI496" s="128" t="s">
        <v>34</v>
      </c>
      <c r="AJ496" s="129" t="s">
        <v>89</v>
      </c>
      <c r="AK496" s="129">
        <v>1</v>
      </c>
      <c r="AL496" s="3" t="s">
        <v>992</v>
      </c>
      <c r="AN496" s="117">
        <v>10</v>
      </c>
      <c r="AP496" s="129" t="s">
        <v>43</v>
      </c>
      <c r="AR496" s="128" t="s">
        <v>44</v>
      </c>
      <c r="AS496" s="129" t="s">
        <v>45</v>
      </c>
      <c r="BC496" s="129" t="s">
        <v>38</v>
      </c>
      <c r="BF496" s="111">
        <f t="shared" si="384"/>
        <v>4</v>
      </c>
      <c r="BG496" s="111">
        <f t="shared" si="385"/>
        <v>4</v>
      </c>
      <c r="BH496" s="111">
        <f t="shared" si="348"/>
        <v>5</v>
      </c>
      <c r="BI496" s="111">
        <f t="shared" si="349"/>
        <v>44.008196721311478</v>
      </c>
      <c r="BJ496" s="129">
        <f t="shared" si="355"/>
        <v>0</v>
      </c>
      <c r="BK496" s="129">
        <f t="shared" si="350"/>
        <v>0</v>
      </c>
      <c r="BL496" s="129" t="str">
        <f t="shared" si="351"/>
        <v>CONVICTION</v>
      </c>
      <c r="BM496" s="129" t="str">
        <f t="shared" si="356"/>
        <v>NONE</v>
      </c>
      <c r="BN496" s="129" t="s">
        <v>566</v>
      </c>
      <c r="BP496" s="137" t="str">
        <f t="shared" si="357"/>
        <v>CONVICTION</v>
      </c>
      <c r="BQ496" s="128" t="str">
        <f t="shared" si="358"/>
        <v>Y</v>
      </c>
      <c r="BR496" s="129" t="str">
        <f t="shared" si="359"/>
        <v>DETAINED</v>
      </c>
      <c r="BS496" s="129" t="str">
        <f t="shared" si="360"/>
        <v>DISPOSED</v>
      </c>
      <c r="BT496" s="129" t="str">
        <f t="shared" si="361"/>
        <v>Y</v>
      </c>
      <c r="BU496" s="109">
        <f t="shared" si="362"/>
        <v>0.8</v>
      </c>
      <c r="BV496" s="109">
        <f t="shared" si="363"/>
        <v>1</v>
      </c>
      <c r="BW496" s="109">
        <f t="shared" si="381"/>
        <v>0.19999999999999996</v>
      </c>
      <c r="BX496" s="111">
        <f t="shared" si="364"/>
        <v>0</v>
      </c>
      <c r="BY496" s="129">
        <f t="shared" si="365"/>
        <v>-4</v>
      </c>
      <c r="BZ496" s="111">
        <f t="shared" si="366"/>
        <v>0</v>
      </c>
      <c r="CA496" s="138">
        <f t="shared" si="367"/>
        <v>4</v>
      </c>
      <c r="CB496" s="111" t="e">
        <f t="shared" si="386"/>
        <v>#VALUE!</v>
      </c>
      <c r="CC496" s="129">
        <f>G496-I496+1</f>
        <v>4</v>
      </c>
      <c r="CD496" s="129">
        <f>G496-J496</f>
        <v>0</v>
      </c>
      <c r="CE496" s="129">
        <f t="shared" si="368"/>
        <v>0</v>
      </c>
      <c r="CG496" s="129" t="str">
        <f t="shared" si="369"/>
        <v>Y</v>
      </c>
      <c r="CI496" s="129" t="str">
        <f t="shared" si="370"/>
        <v>0-10 DAYS</v>
      </c>
      <c r="CJ496" s="137">
        <f t="shared" si="371"/>
        <v>1</v>
      </c>
      <c r="CK496" s="129" t="str">
        <f t="shared" si="372"/>
        <v>Booked</v>
      </c>
    </row>
    <row r="497" spans="1:89" ht="15.75" customHeight="1" x14ac:dyDescent="0.25">
      <c r="A497" s="111">
        <v>86</v>
      </c>
      <c r="B497" s="128" t="str">
        <f t="shared" si="352"/>
        <v>N</v>
      </c>
      <c r="C497" s="128" t="str">
        <f t="shared" si="353"/>
        <v>N</v>
      </c>
      <c r="D497" s="117">
        <v>1209482</v>
      </c>
      <c r="E497" s="135">
        <f t="shared" si="354"/>
        <v>1</v>
      </c>
      <c r="F497" s="124">
        <v>40913</v>
      </c>
      <c r="G497" s="125">
        <v>40970</v>
      </c>
      <c r="H497" s="117">
        <v>1209482</v>
      </c>
      <c r="I497" s="124">
        <v>40913</v>
      </c>
      <c r="J497" s="124">
        <v>40915</v>
      </c>
      <c r="K497" s="126">
        <v>2000</v>
      </c>
      <c r="L497" s="127" t="s">
        <v>568</v>
      </c>
      <c r="M497" s="125">
        <v>40915</v>
      </c>
      <c r="N497" s="129" t="str">
        <f>IF(M497&gt;1/1/1,"Y","N")</f>
        <v>Y</v>
      </c>
      <c r="O497" s="128" t="s">
        <v>76</v>
      </c>
      <c r="P497" s="129" t="s">
        <v>123</v>
      </c>
      <c r="Q497" s="111">
        <f t="shared" si="383"/>
        <v>3</v>
      </c>
      <c r="R497" s="111">
        <f t="shared" si="347"/>
        <v>58</v>
      </c>
      <c r="S497" s="129">
        <v>0</v>
      </c>
      <c r="T497" s="129">
        <v>10</v>
      </c>
      <c r="W497" s="111"/>
      <c r="AC497" s="130"/>
      <c r="AD497" s="130">
        <v>26851</v>
      </c>
      <c r="AE497" s="128" t="s">
        <v>32</v>
      </c>
      <c r="AF497" s="128" t="s">
        <v>69</v>
      </c>
      <c r="AG497" s="128" t="s">
        <v>874</v>
      </c>
      <c r="AH497" s="108" t="s">
        <v>31</v>
      </c>
      <c r="AI497" s="128" t="s">
        <v>62</v>
      </c>
      <c r="AJ497" s="129" t="s">
        <v>123</v>
      </c>
      <c r="AK497" s="129">
        <v>4</v>
      </c>
      <c r="AL497" s="3" t="s">
        <v>123</v>
      </c>
      <c r="AP497" s="129" t="s">
        <v>43</v>
      </c>
      <c r="AR497" s="128" t="s">
        <v>44</v>
      </c>
      <c r="AS497" s="129" t="s">
        <v>45</v>
      </c>
      <c r="BC497" s="129" t="s">
        <v>38</v>
      </c>
      <c r="BF497" s="111">
        <f t="shared" si="384"/>
        <v>3</v>
      </c>
      <c r="BG497" s="111">
        <f t="shared" si="385"/>
        <v>58</v>
      </c>
      <c r="BH497" s="111">
        <f t="shared" si="348"/>
        <v>58</v>
      </c>
      <c r="BI497" s="111">
        <f t="shared" si="349"/>
        <v>38.420765027322403</v>
      </c>
      <c r="BJ497" s="129">
        <f>(G497-J497)+(M497-G497)</f>
        <v>0</v>
      </c>
      <c r="BK497" s="129">
        <f t="shared" si="350"/>
        <v>-55</v>
      </c>
      <c r="BL497" s="129" t="str">
        <f t="shared" si="351"/>
        <v>NO CONVICTION</v>
      </c>
      <c r="BM497" s="129" t="s">
        <v>76</v>
      </c>
      <c r="BN497" s="129" t="s">
        <v>88</v>
      </c>
      <c r="BP497" s="137" t="str">
        <f t="shared" si="357"/>
        <v>NO CONVICTION</v>
      </c>
      <c r="BQ497" s="128" t="str">
        <f t="shared" si="358"/>
        <v>Y</v>
      </c>
      <c r="BR497" s="129" t="str">
        <f t="shared" si="359"/>
        <v>ON BOND</v>
      </c>
      <c r="BS497" s="129" t="str">
        <f t="shared" si="360"/>
        <v>DISPOSED</v>
      </c>
      <c r="BT497" s="129" t="str">
        <f t="shared" si="361"/>
        <v>N</v>
      </c>
      <c r="BU497" s="109">
        <f>IFERROR(Q497/R497,BR497)</f>
        <v>5.1724137931034482E-2</v>
      </c>
      <c r="BV497" s="109">
        <f t="shared" si="363"/>
        <v>5.1724137931034482E-2</v>
      </c>
      <c r="BW497" s="109">
        <f t="shared" si="381"/>
        <v>0</v>
      </c>
      <c r="BX497" s="111">
        <f t="shared" si="364"/>
        <v>0</v>
      </c>
      <c r="BY497" s="129">
        <f t="shared" si="365"/>
        <v>-3</v>
      </c>
      <c r="BZ497" s="111">
        <f t="shared" si="366"/>
        <v>0</v>
      </c>
      <c r="CA497" s="138">
        <f t="shared" si="367"/>
        <v>3</v>
      </c>
      <c r="CB497" s="111" t="e">
        <f t="shared" si="386"/>
        <v>#VALUE!</v>
      </c>
      <c r="CC497" s="129">
        <f>M497-I497+1</f>
        <v>3</v>
      </c>
      <c r="CD497" s="111">
        <f>CC497-BF497</f>
        <v>0</v>
      </c>
      <c r="CE497" s="129">
        <f t="shared" si="368"/>
        <v>55</v>
      </c>
      <c r="CG497" s="129" t="str">
        <f t="shared" si="369"/>
        <v>Y</v>
      </c>
      <c r="CI497" s="129" t="str">
        <f t="shared" si="370"/>
        <v>0-10 DAYS</v>
      </c>
      <c r="CJ497" s="137">
        <f t="shared" si="371"/>
        <v>1</v>
      </c>
      <c r="CK497" s="129" t="str">
        <f t="shared" si="372"/>
        <v>Booked</v>
      </c>
    </row>
    <row r="498" spans="1:89" ht="15.75" customHeight="1" x14ac:dyDescent="0.25">
      <c r="A498" s="111">
        <v>2950</v>
      </c>
      <c r="B498" s="128" t="str">
        <f t="shared" si="352"/>
        <v>N</v>
      </c>
      <c r="C498" s="128" t="str">
        <f t="shared" si="353"/>
        <v>N</v>
      </c>
      <c r="D498" s="117">
        <v>1210104</v>
      </c>
      <c r="E498" s="135">
        <f t="shared" si="354"/>
        <v>1</v>
      </c>
      <c r="F498" s="124">
        <v>41017</v>
      </c>
      <c r="G498" s="125">
        <v>41019</v>
      </c>
      <c r="H498" s="117">
        <v>1210104</v>
      </c>
      <c r="I498" s="124">
        <v>41018</v>
      </c>
      <c r="J498" s="124">
        <v>41019</v>
      </c>
      <c r="K498" s="126">
        <v>15000</v>
      </c>
      <c r="L498" s="127" t="s">
        <v>571</v>
      </c>
      <c r="N498" s="129" t="str">
        <f>IF(M498&gt;1/1/1,"Y","N")</f>
        <v>N</v>
      </c>
      <c r="O498" s="128" t="s">
        <v>917</v>
      </c>
      <c r="P498" s="129" t="s">
        <v>55</v>
      </c>
      <c r="Q498" s="111">
        <f t="shared" si="383"/>
        <v>2</v>
      </c>
      <c r="R498" s="111">
        <f t="shared" si="347"/>
        <v>3</v>
      </c>
      <c r="S498" s="129">
        <v>3</v>
      </c>
      <c r="T498" s="129">
        <v>2</v>
      </c>
      <c r="U498" s="129">
        <v>1</v>
      </c>
      <c r="W498" s="111"/>
      <c r="AC498" s="130"/>
      <c r="AD498" s="130">
        <v>24435</v>
      </c>
      <c r="AE498" s="128" t="s">
        <v>32</v>
      </c>
      <c r="AF498" s="128" t="s">
        <v>33</v>
      </c>
      <c r="AG498" s="128" t="s">
        <v>872</v>
      </c>
      <c r="AH498" s="108" t="s">
        <v>58</v>
      </c>
      <c r="AI498" s="128" t="s">
        <v>62</v>
      </c>
      <c r="AJ498" s="129" t="s">
        <v>55</v>
      </c>
      <c r="AK498" s="129">
        <v>1</v>
      </c>
      <c r="AL498" s="3" t="s">
        <v>55</v>
      </c>
      <c r="AP498" s="129" t="s">
        <v>43</v>
      </c>
      <c r="AR498" s="128" t="s">
        <v>44</v>
      </c>
      <c r="AS498" s="129" t="s">
        <v>45</v>
      </c>
      <c r="BC498" s="129" t="s">
        <v>38</v>
      </c>
      <c r="BF498" s="111">
        <f t="shared" si="384"/>
        <v>2</v>
      </c>
      <c r="BG498" s="111">
        <f t="shared" si="385"/>
        <v>2</v>
      </c>
      <c r="BH498" s="111">
        <f t="shared" si="348"/>
        <v>3</v>
      </c>
      <c r="BI498" s="111">
        <f t="shared" si="349"/>
        <v>45.306010928961747</v>
      </c>
      <c r="BJ498" s="129">
        <f t="shared" si="355"/>
        <v>0</v>
      </c>
      <c r="BK498" s="129">
        <f t="shared" si="350"/>
        <v>0</v>
      </c>
      <c r="BL498" s="129" t="str">
        <f t="shared" si="351"/>
        <v>NO CONVICTION</v>
      </c>
      <c r="BM498" s="129" t="str">
        <f t="shared" si="356"/>
        <v>NONE</v>
      </c>
      <c r="BN498" s="129" t="s">
        <v>566</v>
      </c>
      <c r="BP498" s="137" t="str">
        <f t="shared" si="357"/>
        <v>NO CONVICTION</v>
      </c>
      <c r="BQ498" s="128" t="str">
        <f t="shared" si="358"/>
        <v>Y</v>
      </c>
      <c r="BR498" s="129" t="str">
        <f t="shared" si="359"/>
        <v>DETAINED</v>
      </c>
      <c r="BS498" s="129" t="str">
        <f t="shared" si="360"/>
        <v>DISPOSED</v>
      </c>
      <c r="BT498" s="129" t="str">
        <f t="shared" si="361"/>
        <v>Y</v>
      </c>
      <c r="BU498" s="109">
        <f>IFERROR(Q498/R498,BR498)</f>
        <v>0.66666666666666663</v>
      </c>
      <c r="BV498" s="109">
        <f t="shared" si="363"/>
        <v>1</v>
      </c>
      <c r="BW498" s="109">
        <f t="shared" si="381"/>
        <v>0.33333333333333337</v>
      </c>
      <c r="BX498" s="111">
        <f t="shared" si="364"/>
        <v>0</v>
      </c>
      <c r="BY498" s="129">
        <f t="shared" si="365"/>
        <v>-2</v>
      </c>
      <c r="BZ498" s="111">
        <f t="shared" si="366"/>
        <v>0</v>
      </c>
      <c r="CA498" s="138">
        <f t="shared" si="367"/>
        <v>2</v>
      </c>
      <c r="CB498" s="111" t="e">
        <f t="shared" si="386"/>
        <v>#VALUE!</v>
      </c>
      <c r="CC498" s="129">
        <f>G498-I498+1</f>
        <v>2</v>
      </c>
      <c r="CD498" s="129">
        <f>G498-J498</f>
        <v>0</v>
      </c>
      <c r="CE498" s="129">
        <f t="shared" si="368"/>
        <v>0</v>
      </c>
      <c r="CG498" s="129" t="str">
        <f t="shared" si="369"/>
        <v>Y</v>
      </c>
      <c r="CI498" s="129" t="str">
        <f t="shared" si="370"/>
        <v>0-10 DAYS</v>
      </c>
      <c r="CJ498" s="137">
        <f t="shared" si="371"/>
        <v>1</v>
      </c>
      <c r="CK498" s="129" t="str">
        <f t="shared" si="372"/>
        <v>Booked</v>
      </c>
    </row>
    <row r="499" spans="1:89" ht="15.75" customHeight="1" x14ac:dyDescent="0.25">
      <c r="A499" s="111">
        <v>2121</v>
      </c>
      <c r="B499" s="128" t="str">
        <f t="shared" si="352"/>
        <v>N</v>
      </c>
      <c r="C499" s="128" t="str">
        <f t="shared" si="353"/>
        <v>N</v>
      </c>
      <c r="D499" s="117">
        <v>1210466</v>
      </c>
      <c r="E499" s="135">
        <f t="shared" si="354"/>
        <v>6</v>
      </c>
      <c r="F499" s="124">
        <v>40988</v>
      </c>
      <c r="G499" s="125">
        <v>41026</v>
      </c>
      <c r="H499" s="117">
        <v>1210466</v>
      </c>
      <c r="I499" s="124">
        <v>40990</v>
      </c>
      <c r="J499" s="124">
        <v>41026</v>
      </c>
      <c r="K499" s="126" t="s">
        <v>564</v>
      </c>
      <c r="L499" s="127" t="s">
        <v>564</v>
      </c>
      <c r="N499" s="129" t="s">
        <v>566</v>
      </c>
      <c r="O499" s="128" t="s">
        <v>917</v>
      </c>
      <c r="P499" s="129" t="s">
        <v>39</v>
      </c>
      <c r="Q499" s="111">
        <f t="shared" si="383"/>
        <v>37</v>
      </c>
      <c r="R499" s="111">
        <f t="shared" si="347"/>
        <v>39</v>
      </c>
      <c r="S499" s="129">
        <v>4</v>
      </c>
      <c r="T499" s="129">
        <v>4</v>
      </c>
      <c r="U499" s="129">
        <v>3</v>
      </c>
      <c r="W499" s="111"/>
      <c r="AB499" s="131" t="s">
        <v>112</v>
      </c>
      <c r="AC499" s="130"/>
      <c r="AD499" s="130">
        <v>26631</v>
      </c>
      <c r="AE499" s="128" t="s">
        <v>32</v>
      </c>
      <c r="AF499" s="128" t="s">
        <v>40</v>
      </c>
      <c r="AG499" s="128" t="s">
        <v>41</v>
      </c>
      <c r="AH499" s="108" t="s">
        <v>31</v>
      </c>
      <c r="AI499" s="128" t="s">
        <v>141</v>
      </c>
      <c r="AJ499" s="129" t="s">
        <v>89</v>
      </c>
      <c r="AK499" s="129">
        <v>4</v>
      </c>
      <c r="AL499" s="3" t="s">
        <v>362</v>
      </c>
      <c r="AM499" s="117">
        <v>4</v>
      </c>
      <c r="AP499" s="129" t="s">
        <v>101</v>
      </c>
      <c r="AR499" s="128" t="s">
        <v>67</v>
      </c>
      <c r="AS499" s="129" t="s">
        <v>64</v>
      </c>
      <c r="BC499" s="129" t="s">
        <v>52</v>
      </c>
      <c r="BF499" s="111">
        <f t="shared" si="384"/>
        <v>37</v>
      </c>
      <c r="BG499" s="111">
        <f t="shared" si="385"/>
        <v>37</v>
      </c>
      <c r="BH499" s="111">
        <f t="shared" si="348"/>
        <v>39</v>
      </c>
      <c r="BI499" s="111">
        <f t="shared" si="349"/>
        <v>39.22677595628415</v>
      </c>
      <c r="BJ499" s="129">
        <f t="shared" si="355"/>
        <v>0</v>
      </c>
      <c r="BK499" s="129">
        <f t="shared" si="350"/>
        <v>0</v>
      </c>
      <c r="BL499" s="129" t="str">
        <f t="shared" si="351"/>
        <v>CONVICTION</v>
      </c>
      <c r="BM499" s="129" t="str">
        <f t="shared" si="356"/>
        <v>NONE</v>
      </c>
      <c r="BN499" s="129" t="s">
        <v>566</v>
      </c>
      <c r="BP499" s="137" t="str">
        <f t="shared" si="357"/>
        <v>CONVICTION</v>
      </c>
      <c r="BQ499" s="128" t="str">
        <f t="shared" si="358"/>
        <v>Y</v>
      </c>
      <c r="BR499" s="129" t="str">
        <f t="shared" si="359"/>
        <v>DETAINED</v>
      </c>
      <c r="BS499" s="129" t="str">
        <f t="shared" si="360"/>
        <v>DISPOSED</v>
      </c>
      <c r="BT499" s="129" t="str">
        <f t="shared" si="361"/>
        <v>Y</v>
      </c>
      <c r="BU499" s="109">
        <f t="shared" si="362"/>
        <v>0.94871794871794868</v>
      </c>
      <c r="BV499" s="109">
        <f t="shared" si="363"/>
        <v>1</v>
      </c>
      <c r="BW499" s="109">
        <f t="shared" si="381"/>
        <v>5.1282051282051322E-2</v>
      </c>
      <c r="BX499" s="111">
        <f t="shared" si="364"/>
        <v>0</v>
      </c>
      <c r="BY499" s="129">
        <f t="shared" si="365"/>
        <v>-37</v>
      </c>
      <c r="BZ499" s="111">
        <f t="shared" si="366"/>
        <v>0</v>
      </c>
      <c r="CA499" s="138">
        <f t="shared" si="367"/>
        <v>37</v>
      </c>
      <c r="CB499" s="111" t="e">
        <f t="shared" si="386"/>
        <v>#VALUE!</v>
      </c>
      <c r="CC499" s="129">
        <f>G499-I499+1</f>
        <v>37</v>
      </c>
      <c r="CD499" s="129">
        <f>G499-J499</f>
        <v>0</v>
      </c>
      <c r="CE499" s="129">
        <f t="shared" si="368"/>
        <v>0</v>
      </c>
      <c r="CG499" s="129" t="str">
        <f t="shared" si="369"/>
        <v>Y</v>
      </c>
      <c r="CI499" s="129" t="str">
        <f t="shared" si="370"/>
        <v>31-60 DAYS</v>
      </c>
      <c r="CJ499" s="137">
        <f t="shared" si="371"/>
        <v>3</v>
      </c>
      <c r="CK499" s="129" t="str">
        <f t="shared" si="372"/>
        <v>Booked</v>
      </c>
    </row>
    <row r="500" spans="1:89" ht="15" customHeight="1" x14ac:dyDescent="0.25">
      <c r="A500" s="111">
        <v>2890</v>
      </c>
      <c r="B500" s="128" t="str">
        <f t="shared" si="352"/>
        <v>N</v>
      </c>
      <c r="C500" s="128" t="str">
        <f t="shared" si="353"/>
        <v>N</v>
      </c>
      <c r="D500" s="117">
        <v>1214012</v>
      </c>
      <c r="E500" s="135">
        <f t="shared" si="354"/>
        <v>1</v>
      </c>
      <c r="F500" s="124">
        <v>41016</v>
      </c>
      <c r="G500" s="125">
        <v>41368</v>
      </c>
      <c r="H500" s="117">
        <v>1214012</v>
      </c>
      <c r="I500" s="124">
        <v>41025</v>
      </c>
      <c r="J500" s="125">
        <v>41368</v>
      </c>
      <c r="K500" s="126">
        <v>20000</v>
      </c>
      <c r="L500" s="127" t="s">
        <v>571</v>
      </c>
      <c r="N500" s="129" t="str">
        <f t="shared" ref="N500:N508" si="387">IF(M500&gt;1/1/1,"Y","N")</f>
        <v>N</v>
      </c>
      <c r="O500" s="128" t="s">
        <v>917</v>
      </c>
      <c r="P500" s="129" t="s">
        <v>55</v>
      </c>
      <c r="Q500" s="111">
        <f t="shared" si="383"/>
        <v>344</v>
      </c>
      <c r="R500" s="111">
        <f t="shared" si="347"/>
        <v>353</v>
      </c>
      <c r="S500" s="129">
        <v>1</v>
      </c>
      <c r="T500" s="129">
        <v>0</v>
      </c>
      <c r="U500" s="129">
        <v>1</v>
      </c>
      <c r="W500" s="111"/>
      <c r="AC500" s="130"/>
      <c r="AD500" s="130">
        <v>24786</v>
      </c>
      <c r="AE500" s="128" t="s">
        <v>32</v>
      </c>
      <c r="AF500" s="128" t="s">
        <v>33</v>
      </c>
      <c r="AG500" s="128" t="s">
        <v>872</v>
      </c>
      <c r="AH500" s="108" t="s">
        <v>58</v>
      </c>
      <c r="AI500" s="128" t="s">
        <v>118</v>
      </c>
      <c r="AJ500" s="129" t="s">
        <v>55</v>
      </c>
      <c r="AK500" s="129">
        <v>10</v>
      </c>
      <c r="AL500" s="3" t="s">
        <v>55</v>
      </c>
      <c r="AP500" s="129" t="s">
        <v>262</v>
      </c>
      <c r="AR500" s="128" t="s">
        <v>50</v>
      </c>
      <c r="AS500" s="129" t="s">
        <v>64</v>
      </c>
      <c r="BC500" s="129" t="s">
        <v>38</v>
      </c>
      <c r="BF500" s="111">
        <f t="shared" si="384"/>
        <v>344</v>
      </c>
      <c r="BG500" s="111">
        <f t="shared" si="385"/>
        <v>344</v>
      </c>
      <c r="BH500" s="111">
        <f t="shared" si="348"/>
        <v>353</v>
      </c>
      <c r="BI500" s="111">
        <f t="shared" si="349"/>
        <v>44.344262295081968</v>
      </c>
      <c r="BJ500" s="129">
        <f t="shared" si="355"/>
        <v>0</v>
      </c>
      <c r="BK500" s="129">
        <f t="shared" si="350"/>
        <v>0</v>
      </c>
      <c r="BL500" s="129" t="str">
        <f t="shared" si="351"/>
        <v>NO CONVICTION</v>
      </c>
      <c r="BM500" s="129" t="str">
        <f t="shared" si="356"/>
        <v>NONE</v>
      </c>
      <c r="BN500" s="129" t="s">
        <v>566</v>
      </c>
      <c r="BP500" s="137" t="str">
        <f t="shared" si="357"/>
        <v>NO CONVICTION</v>
      </c>
      <c r="BQ500" s="128" t="str">
        <f t="shared" si="358"/>
        <v>Y</v>
      </c>
      <c r="BR500" s="129" t="str">
        <f t="shared" si="359"/>
        <v>DETAINED</v>
      </c>
      <c r="BS500" s="129" t="str">
        <f t="shared" si="360"/>
        <v>DISPOSED</v>
      </c>
      <c r="BT500" s="129" t="str">
        <f t="shared" si="361"/>
        <v>Y</v>
      </c>
      <c r="BU500" s="109">
        <f>IFERROR(Q500/R500,BR500)</f>
        <v>0.9745042492917847</v>
      </c>
      <c r="BV500" s="109">
        <f t="shared" si="363"/>
        <v>1</v>
      </c>
      <c r="BW500" s="109">
        <f t="shared" si="381"/>
        <v>2.5495750708215303E-2</v>
      </c>
      <c r="BX500" s="111">
        <f t="shared" si="364"/>
        <v>0</v>
      </c>
      <c r="BY500" s="129">
        <f t="shared" si="365"/>
        <v>-344</v>
      </c>
      <c r="BZ500" s="111">
        <f t="shared" si="366"/>
        <v>0</v>
      </c>
      <c r="CA500" s="138">
        <f t="shared" si="367"/>
        <v>344</v>
      </c>
      <c r="CB500" s="111" t="e">
        <f t="shared" si="386"/>
        <v>#VALUE!</v>
      </c>
      <c r="CC500" s="129">
        <f>G500-I500+1</f>
        <v>344</v>
      </c>
      <c r="CD500" s="129">
        <f>G500-J500</f>
        <v>0</v>
      </c>
      <c r="CE500" s="129">
        <f t="shared" si="368"/>
        <v>0</v>
      </c>
      <c r="CG500" s="129" t="str">
        <f t="shared" si="369"/>
        <v>Y</v>
      </c>
      <c r="CI500" s="129" t="str">
        <f t="shared" si="370"/>
        <v>121-365 DAYS</v>
      </c>
      <c r="CJ500" s="137">
        <f t="shared" si="371"/>
        <v>6</v>
      </c>
      <c r="CK500" s="129" t="str">
        <f t="shared" si="372"/>
        <v>Booked</v>
      </c>
    </row>
    <row r="501" spans="1:89" ht="15" customHeight="1" x14ac:dyDescent="0.25">
      <c r="A501" s="111">
        <v>240</v>
      </c>
      <c r="B501" s="128" t="str">
        <f t="shared" si="352"/>
        <v>N</v>
      </c>
      <c r="C501" s="128" t="str">
        <f t="shared" si="353"/>
        <v>N</v>
      </c>
      <c r="D501" s="117">
        <v>1214903</v>
      </c>
      <c r="E501" s="135">
        <f t="shared" si="354"/>
        <v>1</v>
      </c>
      <c r="F501" s="124">
        <v>40919</v>
      </c>
      <c r="G501" s="125">
        <v>40959</v>
      </c>
      <c r="H501" s="117">
        <v>1214903</v>
      </c>
      <c r="I501" s="124">
        <v>40919</v>
      </c>
      <c r="J501" s="125">
        <v>40959</v>
      </c>
      <c r="K501" s="126">
        <v>20000</v>
      </c>
      <c r="L501" s="127" t="s">
        <v>571</v>
      </c>
      <c r="M501" s="125"/>
      <c r="N501" s="129" t="str">
        <f t="shared" si="387"/>
        <v>N</v>
      </c>
      <c r="O501" s="128" t="s">
        <v>917</v>
      </c>
      <c r="P501" s="129" t="s">
        <v>123</v>
      </c>
      <c r="Q501" s="111">
        <f t="shared" si="383"/>
        <v>41</v>
      </c>
      <c r="R501" s="111">
        <f t="shared" si="347"/>
        <v>41</v>
      </c>
      <c r="S501" s="129">
        <v>8</v>
      </c>
      <c r="T501" s="129">
        <v>2</v>
      </c>
      <c r="U501" s="129">
        <v>7</v>
      </c>
      <c r="W501" s="111"/>
      <c r="AC501" s="130"/>
      <c r="AD501" s="130">
        <v>26914</v>
      </c>
      <c r="AE501" s="128" t="s">
        <v>32</v>
      </c>
      <c r="AF501" s="128" t="s">
        <v>33</v>
      </c>
      <c r="AG501" s="128" t="s">
        <v>872</v>
      </c>
      <c r="AH501" s="108" t="s">
        <v>58</v>
      </c>
      <c r="AI501" s="128" t="s">
        <v>70</v>
      </c>
      <c r="AJ501" s="129" t="s">
        <v>123</v>
      </c>
      <c r="AK501" s="129">
        <v>3</v>
      </c>
      <c r="AL501" s="3" t="s">
        <v>123</v>
      </c>
      <c r="AP501" s="129" t="s">
        <v>101</v>
      </c>
      <c r="AR501" s="128" t="s">
        <v>67</v>
      </c>
      <c r="AS501" s="129" t="s">
        <v>64</v>
      </c>
      <c r="BC501" s="129" t="s">
        <v>38</v>
      </c>
      <c r="BF501" s="111">
        <f t="shared" si="384"/>
        <v>41</v>
      </c>
      <c r="BG501" s="111">
        <f t="shared" si="385"/>
        <v>41</v>
      </c>
      <c r="BH501" s="111">
        <f t="shared" si="348"/>
        <v>41</v>
      </c>
      <c r="BI501" s="111">
        <f t="shared" si="349"/>
        <v>38.265027322404372</v>
      </c>
      <c r="BJ501" s="129">
        <f t="shared" si="355"/>
        <v>0</v>
      </c>
      <c r="BK501" s="129">
        <f t="shared" si="350"/>
        <v>0</v>
      </c>
      <c r="BL501" s="129" t="str">
        <f t="shared" si="351"/>
        <v>NO CONVICTION</v>
      </c>
      <c r="BM501" s="129" t="str">
        <f t="shared" si="356"/>
        <v>NONE</v>
      </c>
      <c r="BN501" s="129" t="s">
        <v>566</v>
      </c>
      <c r="BP501" s="137" t="str">
        <f t="shared" si="357"/>
        <v>NO CONVICTION</v>
      </c>
      <c r="BQ501" s="128" t="str">
        <f t="shared" si="358"/>
        <v>Y</v>
      </c>
      <c r="BR501" s="129" t="str">
        <f t="shared" si="359"/>
        <v>DETAINED</v>
      </c>
      <c r="BS501" s="129" t="str">
        <f t="shared" si="360"/>
        <v>DISPOSED</v>
      </c>
      <c r="BT501" s="129" t="str">
        <f t="shared" si="361"/>
        <v>Y</v>
      </c>
      <c r="BU501" s="109">
        <f>IFERROR(Q501/R501,BR501)</f>
        <v>1</v>
      </c>
      <c r="BV501" s="109">
        <f t="shared" si="363"/>
        <v>1</v>
      </c>
      <c r="BW501" s="109">
        <f t="shared" si="381"/>
        <v>0</v>
      </c>
      <c r="BX501" s="111">
        <f t="shared" si="364"/>
        <v>0</v>
      </c>
      <c r="BY501" s="129">
        <f t="shared" si="365"/>
        <v>-41</v>
      </c>
      <c r="BZ501" s="111">
        <f t="shared" si="366"/>
        <v>0</v>
      </c>
      <c r="CA501" s="138">
        <f t="shared" si="367"/>
        <v>41</v>
      </c>
      <c r="CB501" s="111" t="e">
        <f t="shared" si="386"/>
        <v>#VALUE!</v>
      </c>
      <c r="CC501" s="129">
        <f>G501-I501+1</f>
        <v>41</v>
      </c>
      <c r="CD501" s="129">
        <f>G501-J501</f>
        <v>0</v>
      </c>
      <c r="CE501" s="129">
        <f t="shared" si="368"/>
        <v>0</v>
      </c>
      <c r="CG501" s="129" t="str">
        <f t="shared" si="369"/>
        <v>Y</v>
      </c>
      <c r="CI501" s="129" t="str">
        <f t="shared" si="370"/>
        <v>31-60 DAYS</v>
      </c>
      <c r="CJ501" s="137">
        <f t="shared" si="371"/>
        <v>3</v>
      </c>
      <c r="CK501" s="129" t="str">
        <f t="shared" si="372"/>
        <v>Booked</v>
      </c>
    </row>
    <row r="502" spans="1:89" ht="15" customHeight="1" x14ac:dyDescent="0.25">
      <c r="A502" s="111">
        <v>83</v>
      </c>
      <c r="B502" s="128" t="str">
        <f t="shared" si="352"/>
        <v>N</v>
      </c>
      <c r="C502" s="128" t="str">
        <f t="shared" si="353"/>
        <v>N</v>
      </c>
      <c r="D502" s="117">
        <v>1216061</v>
      </c>
      <c r="E502" s="135">
        <f t="shared" si="354"/>
        <v>5</v>
      </c>
      <c r="F502" s="124">
        <v>40913</v>
      </c>
      <c r="G502" s="125">
        <v>40917</v>
      </c>
      <c r="H502" s="117">
        <v>1216061</v>
      </c>
      <c r="I502" s="124">
        <v>40913</v>
      </c>
      <c r="J502" s="124">
        <v>40917</v>
      </c>
      <c r="K502" s="126">
        <v>15000</v>
      </c>
      <c r="L502" s="127" t="s">
        <v>571</v>
      </c>
      <c r="N502" s="129" t="str">
        <f t="shared" si="387"/>
        <v>N</v>
      </c>
      <c r="O502" s="128" t="s">
        <v>917</v>
      </c>
      <c r="P502" s="129" t="s">
        <v>39</v>
      </c>
      <c r="Q502" s="111">
        <f t="shared" si="383"/>
        <v>5</v>
      </c>
      <c r="R502" s="111">
        <f t="shared" si="347"/>
        <v>5</v>
      </c>
      <c r="S502" s="129">
        <v>2</v>
      </c>
      <c r="T502" s="129">
        <v>8</v>
      </c>
      <c r="U502" s="129">
        <v>1</v>
      </c>
      <c r="W502" s="111"/>
      <c r="AC502" s="130"/>
      <c r="AD502" s="130">
        <v>24906</v>
      </c>
      <c r="AE502" s="128" t="s">
        <v>32</v>
      </c>
      <c r="AF502" s="128" t="s">
        <v>40</v>
      </c>
      <c r="AG502" s="128" t="s">
        <v>41</v>
      </c>
      <c r="AH502" s="108" t="s">
        <v>41</v>
      </c>
      <c r="AI502" s="128" t="s">
        <v>85</v>
      </c>
      <c r="AJ502" s="129" t="s">
        <v>89</v>
      </c>
      <c r="AK502" s="129">
        <v>2</v>
      </c>
      <c r="AL502" s="3" t="s">
        <v>992</v>
      </c>
      <c r="AN502" s="117">
        <v>7</v>
      </c>
      <c r="AP502" s="129" t="s">
        <v>60</v>
      </c>
      <c r="AR502" s="128" t="s">
        <v>44</v>
      </c>
      <c r="AS502" s="129" t="s">
        <v>61</v>
      </c>
      <c r="BC502" s="129" t="s">
        <v>38</v>
      </c>
      <c r="BF502" s="111">
        <f t="shared" si="384"/>
        <v>5</v>
      </c>
      <c r="BG502" s="111">
        <f t="shared" si="385"/>
        <v>5</v>
      </c>
      <c r="BH502" s="111">
        <f t="shared" si="348"/>
        <v>5</v>
      </c>
      <c r="BI502" s="111">
        <f t="shared" si="349"/>
        <v>43.734972677595628</v>
      </c>
      <c r="BJ502" s="129">
        <f t="shared" si="355"/>
        <v>0</v>
      </c>
      <c r="BK502" s="129">
        <f t="shared" si="350"/>
        <v>0</v>
      </c>
      <c r="BL502" s="129" t="str">
        <f t="shared" si="351"/>
        <v>CONVICTION</v>
      </c>
      <c r="BM502" s="129" t="str">
        <f t="shared" si="356"/>
        <v>NONE</v>
      </c>
      <c r="BN502" s="129" t="s">
        <v>566</v>
      </c>
      <c r="BP502" s="137" t="str">
        <f t="shared" si="357"/>
        <v>CONVICTION</v>
      </c>
      <c r="BQ502" s="128" t="str">
        <f t="shared" si="358"/>
        <v>Y</v>
      </c>
      <c r="BR502" s="129" t="str">
        <f t="shared" si="359"/>
        <v>DETAINED</v>
      </c>
      <c r="BS502" s="129" t="str">
        <f t="shared" si="360"/>
        <v>DISPOSED</v>
      </c>
      <c r="BT502" s="129" t="str">
        <f t="shared" si="361"/>
        <v>Y</v>
      </c>
      <c r="BU502" s="109">
        <f t="shared" si="362"/>
        <v>1</v>
      </c>
      <c r="BV502" s="109">
        <f t="shared" si="363"/>
        <v>1</v>
      </c>
      <c r="BW502" s="109">
        <f t="shared" si="381"/>
        <v>0</v>
      </c>
      <c r="BX502" s="111">
        <f t="shared" si="364"/>
        <v>0</v>
      </c>
      <c r="BY502" s="129">
        <f t="shared" si="365"/>
        <v>-5</v>
      </c>
      <c r="BZ502" s="111">
        <f t="shared" si="366"/>
        <v>0</v>
      </c>
      <c r="CA502" s="138">
        <f t="shared" si="367"/>
        <v>5</v>
      </c>
      <c r="CB502" s="111" t="e">
        <f t="shared" si="386"/>
        <v>#VALUE!</v>
      </c>
      <c r="CC502" s="129">
        <f>G502-I502+1</f>
        <v>5</v>
      </c>
      <c r="CD502" s="129">
        <f>G502-J502</f>
        <v>0</v>
      </c>
      <c r="CE502" s="129">
        <f t="shared" si="368"/>
        <v>0</v>
      </c>
      <c r="CG502" s="129" t="str">
        <f t="shared" si="369"/>
        <v>Y</v>
      </c>
      <c r="CI502" s="129" t="str">
        <f t="shared" si="370"/>
        <v>0-10 DAYS</v>
      </c>
      <c r="CJ502" s="137">
        <f t="shared" si="371"/>
        <v>1</v>
      </c>
      <c r="CK502" s="129" t="str">
        <f t="shared" si="372"/>
        <v>Booked</v>
      </c>
    </row>
    <row r="503" spans="1:89" ht="15" customHeight="1" x14ac:dyDescent="0.25">
      <c r="A503" s="111">
        <v>1022</v>
      </c>
      <c r="B503" s="128" t="str">
        <f t="shared" si="352"/>
        <v>N</v>
      </c>
      <c r="C503" s="128" t="str">
        <f t="shared" si="353"/>
        <v>N</v>
      </c>
      <c r="D503" s="117">
        <v>1216552</v>
      </c>
      <c r="E503" s="135">
        <f t="shared" si="354"/>
        <v>5</v>
      </c>
      <c r="F503" s="124">
        <v>40947</v>
      </c>
      <c r="G503" s="125">
        <v>41008</v>
      </c>
      <c r="H503" s="117">
        <v>1216552</v>
      </c>
      <c r="I503" s="124">
        <v>40947</v>
      </c>
      <c r="J503" s="124">
        <v>40950</v>
      </c>
      <c r="K503" s="126">
        <v>5000</v>
      </c>
      <c r="L503" s="127" t="s">
        <v>569</v>
      </c>
      <c r="M503" s="125">
        <v>40950</v>
      </c>
      <c r="N503" s="129" t="str">
        <f t="shared" si="387"/>
        <v>Y</v>
      </c>
      <c r="O503" s="128" t="s">
        <v>76</v>
      </c>
      <c r="P503" s="129" t="s">
        <v>39</v>
      </c>
      <c r="Q503" s="111">
        <f t="shared" si="383"/>
        <v>4</v>
      </c>
      <c r="R503" s="111">
        <f t="shared" si="347"/>
        <v>62</v>
      </c>
      <c r="S503" s="129">
        <v>1</v>
      </c>
      <c r="T503" s="129">
        <v>3</v>
      </c>
      <c r="U503" s="129">
        <v>1</v>
      </c>
      <c r="V503" s="117">
        <v>1</v>
      </c>
      <c r="W503" s="111"/>
      <c r="AC503" s="130"/>
      <c r="AD503" s="130">
        <v>27194</v>
      </c>
      <c r="AE503" s="128" t="s">
        <v>32</v>
      </c>
      <c r="AF503" s="128" t="s">
        <v>33</v>
      </c>
      <c r="AG503" s="128" t="s">
        <v>872</v>
      </c>
      <c r="AH503" s="108" t="s">
        <v>58</v>
      </c>
      <c r="AI503" s="128" t="s">
        <v>97</v>
      </c>
      <c r="AJ503" s="129" t="s">
        <v>89</v>
      </c>
      <c r="AK503" s="129">
        <v>4</v>
      </c>
      <c r="AL503" s="3" t="s">
        <v>992</v>
      </c>
      <c r="AN503" s="117">
        <v>6</v>
      </c>
      <c r="AP503" s="129" t="s">
        <v>43</v>
      </c>
      <c r="AR503" s="128" t="s">
        <v>44</v>
      </c>
      <c r="AS503" s="129" t="s">
        <v>45</v>
      </c>
      <c r="BC503" s="129" t="s">
        <v>99</v>
      </c>
      <c r="BF503" s="111">
        <f t="shared" si="384"/>
        <v>4</v>
      </c>
      <c r="BG503" s="111">
        <f t="shared" si="385"/>
        <v>62</v>
      </c>
      <c r="BH503" s="111">
        <f t="shared" si="348"/>
        <v>62</v>
      </c>
      <c r="BI503" s="111">
        <f t="shared" si="349"/>
        <v>37.576502732240435</v>
      </c>
      <c r="BJ503" s="129">
        <f>(G503-J503)+(M503-G503)</f>
        <v>0</v>
      </c>
      <c r="BK503" s="129">
        <f t="shared" si="350"/>
        <v>-58</v>
      </c>
      <c r="BL503" s="129" t="str">
        <f t="shared" si="351"/>
        <v>CONVICTION</v>
      </c>
      <c r="BM503" s="129" t="s">
        <v>76</v>
      </c>
      <c r="BN503" s="129" t="s">
        <v>88</v>
      </c>
      <c r="BP503" s="137" t="str">
        <f t="shared" si="357"/>
        <v>CONVICTION</v>
      </c>
      <c r="BQ503" s="128" t="str">
        <f t="shared" si="358"/>
        <v>Y</v>
      </c>
      <c r="BR503" s="129" t="str">
        <f>IF(J503&lt;G503,"ON BOND",0)</f>
        <v>ON BOND</v>
      </c>
      <c r="BS503" s="129" t="str">
        <f t="shared" si="360"/>
        <v>DISPOSED</v>
      </c>
      <c r="BT503" s="129" t="str">
        <f t="shared" si="361"/>
        <v>Y</v>
      </c>
      <c r="BU503" s="109">
        <f t="shared" si="362"/>
        <v>6.4516129032258063E-2</v>
      </c>
      <c r="BV503" s="109">
        <f t="shared" si="363"/>
        <v>6.4516129032258063E-2</v>
      </c>
      <c r="BW503" s="109">
        <f t="shared" si="381"/>
        <v>0</v>
      </c>
      <c r="BX503" s="111">
        <f t="shared" si="364"/>
        <v>0</v>
      </c>
      <c r="BY503" s="129">
        <f t="shared" si="365"/>
        <v>-4</v>
      </c>
      <c r="BZ503" s="111">
        <f t="shared" si="366"/>
        <v>0</v>
      </c>
      <c r="CA503" s="138">
        <f t="shared" si="367"/>
        <v>4</v>
      </c>
      <c r="CB503" s="111" t="e">
        <f t="shared" si="386"/>
        <v>#VALUE!</v>
      </c>
      <c r="CC503" s="129">
        <f>M503-I503+1</f>
        <v>4</v>
      </c>
      <c r="CD503" s="111">
        <f>CC503-BF503</f>
        <v>0</v>
      </c>
      <c r="CE503" s="129">
        <f t="shared" si="368"/>
        <v>58</v>
      </c>
      <c r="CG503" s="129" t="str">
        <f t="shared" si="369"/>
        <v>Y</v>
      </c>
      <c r="CI503" s="129" t="str">
        <f t="shared" si="370"/>
        <v>0-10 DAYS</v>
      </c>
      <c r="CJ503" s="137">
        <f t="shared" si="371"/>
        <v>1</v>
      </c>
      <c r="CK503" s="129" t="str">
        <f t="shared" si="372"/>
        <v>Booked</v>
      </c>
    </row>
    <row r="504" spans="1:89" ht="15.75" customHeight="1" x14ac:dyDescent="0.25">
      <c r="A504" s="111">
        <v>2994</v>
      </c>
      <c r="B504" s="128" t="str">
        <f t="shared" si="352"/>
        <v>Y</v>
      </c>
      <c r="C504" s="128" t="str">
        <f t="shared" si="353"/>
        <v>N</v>
      </c>
      <c r="D504" s="117">
        <v>1216950</v>
      </c>
      <c r="E504" s="135">
        <f t="shared" si="354"/>
        <v>5</v>
      </c>
      <c r="F504" s="124">
        <v>41019</v>
      </c>
      <c r="G504" s="125">
        <v>41022</v>
      </c>
      <c r="H504" s="117">
        <v>1216950</v>
      </c>
      <c r="I504" s="124">
        <v>41019</v>
      </c>
      <c r="J504" s="125">
        <v>41022</v>
      </c>
      <c r="K504" s="126">
        <v>15000</v>
      </c>
      <c r="L504" s="127" t="s">
        <v>571</v>
      </c>
      <c r="N504" s="129" t="str">
        <f t="shared" si="387"/>
        <v>N</v>
      </c>
      <c r="O504" s="128" t="s">
        <v>917</v>
      </c>
      <c r="P504" s="129" t="s">
        <v>39</v>
      </c>
      <c r="Q504" s="111">
        <v>4</v>
      </c>
      <c r="R504" s="111">
        <f t="shared" si="347"/>
        <v>4</v>
      </c>
      <c r="S504" s="129">
        <v>2</v>
      </c>
      <c r="T504" s="129">
        <v>11</v>
      </c>
      <c r="U504" s="129">
        <v>2</v>
      </c>
      <c r="W504" s="111"/>
      <c r="AC504" s="130"/>
      <c r="AD504" s="130">
        <v>23394</v>
      </c>
      <c r="AE504" s="128" t="s">
        <v>32</v>
      </c>
      <c r="AF504" s="128" t="s">
        <v>33</v>
      </c>
      <c r="AG504" s="128" t="s">
        <v>872</v>
      </c>
      <c r="AH504" s="108" t="s">
        <v>58</v>
      </c>
      <c r="AI504" s="128" t="s">
        <v>90</v>
      </c>
      <c r="AJ504" s="129" t="s">
        <v>89</v>
      </c>
      <c r="AK504" s="129">
        <v>1</v>
      </c>
      <c r="AL504" s="3" t="s">
        <v>992</v>
      </c>
      <c r="AN504" s="117">
        <v>6</v>
      </c>
      <c r="AP504" s="129" t="s">
        <v>43</v>
      </c>
      <c r="AR504" s="128" t="s">
        <v>44</v>
      </c>
      <c r="AS504" s="129" t="s">
        <v>45</v>
      </c>
      <c r="BC504" s="129" t="s">
        <v>79</v>
      </c>
      <c r="BD504" s="129" t="s">
        <v>1207</v>
      </c>
      <c r="BF504" s="111">
        <v>3</v>
      </c>
      <c r="BG504" s="111">
        <v>0</v>
      </c>
      <c r="BH504" s="111">
        <f t="shared" si="348"/>
        <v>4</v>
      </c>
      <c r="BI504" s="111">
        <f t="shared" si="349"/>
        <v>48.155737704918032</v>
      </c>
      <c r="BJ504" s="129">
        <f t="shared" si="355"/>
        <v>0</v>
      </c>
      <c r="BK504" s="129">
        <f t="shared" si="350"/>
        <v>0</v>
      </c>
      <c r="BL504" s="129" t="str">
        <f t="shared" si="351"/>
        <v>CONVICTION</v>
      </c>
      <c r="BM504" s="129" t="str">
        <f t="shared" si="356"/>
        <v>NONE</v>
      </c>
      <c r="BN504" s="129" t="s">
        <v>566</v>
      </c>
      <c r="BP504" s="137" t="str">
        <f t="shared" si="357"/>
        <v>CONVICTION</v>
      </c>
      <c r="BQ504" s="128" t="str">
        <f t="shared" si="358"/>
        <v>Y</v>
      </c>
      <c r="BR504" s="129" t="s">
        <v>574</v>
      </c>
      <c r="BS504" s="129" t="str">
        <f t="shared" si="360"/>
        <v>DISPOSED</v>
      </c>
      <c r="BT504" s="129" t="str">
        <f t="shared" si="361"/>
        <v>Y</v>
      </c>
      <c r="BU504" s="109">
        <f t="shared" si="362"/>
        <v>1</v>
      </c>
      <c r="BV504" s="109">
        <f t="shared" si="363"/>
        <v>1</v>
      </c>
      <c r="BW504" s="109">
        <f t="shared" si="381"/>
        <v>0</v>
      </c>
      <c r="BX504" s="111">
        <f t="shared" si="364"/>
        <v>1</v>
      </c>
      <c r="BY504" s="129">
        <f t="shared" si="365"/>
        <v>-4</v>
      </c>
      <c r="BZ504" s="111">
        <f t="shared" si="366"/>
        <v>-1</v>
      </c>
      <c r="CA504" s="138">
        <f t="shared" si="367"/>
        <v>4</v>
      </c>
      <c r="CB504" s="111">
        <v>3</v>
      </c>
      <c r="CC504" s="129">
        <f>G504-I504+1</f>
        <v>4</v>
      </c>
      <c r="CD504" s="129">
        <f>G504-J504</f>
        <v>0</v>
      </c>
      <c r="CE504" s="129">
        <f t="shared" si="368"/>
        <v>0</v>
      </c>
      <c r="CG504" s="129" t="str">
        <f t="shared" si="369"/>
        <v>Y</v>
      </c>
      <c r="CI504" s="129" t="str">
        <f t="shared" si="370"/>
        <v>0-10 DAYS</v>
      </c>
      <c r="CJ504" s="137">
        <f t="shared" si="371"/>
        <v>1</v>
      </c>
      <c r="CK504" s="129" t="str">
        <f t="shared" si="372"/>
        <v>Booked</v>
      </c>
    </row>
    <row r="505" spans="1:89" ht="15.75" customHeight="1" x14ac:dyDescent="0.25">
      <c r="A505" s="111">
        <v>2658</v>
      </c>
      <c r="B505" s="128" t="str">
        <f t="shared" si="352"/>
        <v>N</v>
      </c>
      <c r="C505" s="128" t="str">
        <f t="shared" si="353"/>
        <v>N</v>
      </c>
      <c r="D505" s="117">
        <v>1218802</v>
      </c>
      <c r="E505" s="135">
        <f t="shared" si="354"/>
        <v>3</v>
      </c>
      <c r="F505" s="124">
        <v>41007</v>
      </c>
      <c r="G505" s="125">
        <v>41306</v>
      </c>
      <c r="H505" s="117">
        <v>1218802</v>
      </c>
      <c r="I505" s="124">
        <v>41008</v>
      </c>
      <c r="J505" s="124">
        <v>41011</v>
      </c>
      <c r="K505" s="126">
        <v>10000</v>
      </c>
      <c r="L505" s="127" t="s">
        <v>570</v>
      </c>
      <c r="M505" s="125">
        <v>41011</v>
      </c>
      <c r="N505" s="129" t="str">
        <f t="shared" si="387"/>
        <v>Y</v>
      </c>
      <c r="O505" s="128" t="s">
        <v>585</v>
      </c>
      <c r="P505" s="129" t="s">
        <v>39</v>
      </c>
      <c r="Q505" s="111">
        <f t="shared" si="383"/>
        <v>4</v>
      </c>
      <c r="R505" s="111">
        <f t="shared" si="347"/>
        <v>300</v>
      </c>
      <c r="S505" s="129">
        <v>0</v>
      </c>
      <c r="T505" s="129">
        <v>6</v>
      </c>
      <c r="W505" s="111"/>
      <c r="AC505" s="130"/>
      <c r="AD505" s="130">
        <v>20900</v>
      </c>
      <c r="AE505" s="128" t="s">
        <v>32</v>
      </c>
      <c r="AF505" s="128" t="s">
        <v>40</v>
      </c>
      <c r="AG505" s="128" t="s">
        <v>41</v>
      </c>
      <c r="AH505" s="108" t="s">
        <v>41</v>
      </c>
      <c r="AI505" s="128" t="s">
        <v>87</v>
      </c>
      <c r="AJ505" s="129" t="s">
        <v>89</v>
      </c>
      <c r="AK505" s="129">
        <v>13</v>
      </c>
      <c r="AL505" s="3" t="s">
        <v>185</v>
      </c>
      <c r="AP505" s="129" t="s">
        <v>66</v>
      </c>
      <c r="AR505" s="128" t="s">
        <v>67</v>
      </c>
      <c r="AS505" s="129" t="s">
        <v>68</v>
      </c>
      <c r="BC505" s="129" t="s">
        <v>52</v>
      </c>
      <c r="BF505" s="111">
        <f t="shared" ref="BF505:BF520" si="388">IF(J505&gt;1/1/1900,((J505+1)-I505),"STILL OPEN")</f>
        <v>4</v>
      </c>
      <c r="BG505" s="111">
        <f t="shared" ref="BG505:BG520" si="389">IF(G505&gt;1/1/1900,((G505+1)-I505),"STILL OPEN")</f>
        <v>299</v>
      </c>
      <c r="BH505" s="111">
        <f t="shared" si="348"/>
        <v>300</v>
      </c>
      <c r="BI505" s="111">
        <f t="shared" si="349"/>
        <v>54.937158469945352</v>
      </c>
      <c r="BJ505" s="129">
        <f>(G505-J505)+(M505-G505)</f>
        <v>0</v>
      </c>
      <c r="BK505" s="129">
        <f t="shared" si="350"/>
        <v>-295</v>
      </c>
      <c r="BL505" s="129" t="str">
        <f t="shared" si="351"/>
        <v>CONVICTION</v>
      </c>
      <c r="BM505" s="129" t="s">
        <v>76</v>
      </c>
      <c r="BN505" s="129" t="s">
        <v>88</v>
      </c>
      <c r="BP505" s="137" t="str">
        <f t="shared" si="357"/>
        <v>CONVICTION</v>
      </c>
      <c r="BQ505" s="128" t="str">
        <f t="shared" si="358"/>
        <v>Y</v>
      </c>
      <c r="BR505" s="129" t="str">
        <f>IF(J505&lt;G505,"ON BOND",0)</f>
        <v>ON BOND</v>
      </c>
      <c r="BS505" s="129" t="str">
        <f t="shared" si="360"/>
        <v>DISPOSED</v>
      </c>
      <c r="BT505" s="129" t="str">
        <f t="shared" si="361"/>
        <v>N</v>
      </c>
      <c r="BU505" s="109">
        <f t="shared" si="362"/>
        <v>1.3333333333333334E-2</v>
      </c>
      <c r="BV505" s="109">
        <f t="shared" si="363"/>
        <v>1.3377926421404682E-2</v>
      </c>
      <c r="BW505" s="109">
        <f t="shared" si="381"/>
        <v>4.4593088071347847E-5</v>
      </c>
      <c r="BX505" s="111">
        <f t="shared" si="364"/>
        <v>0</v>
      </c>
      <c r="BY505" s="129">
        <f t="shared" si="365"/>
        <v>-4</v>
      </c>
      <c r="BZ505" s="111">
        <f t="shared" si="366"/>
        <v>0</v>
      </c>
      <c r="CA505" s="138">
        <f t="shared" si="367"/>
        <v>4</v>
      </c>
      <c r="CB505" s="111" t="e">
        <f t="shared" ref="CB505:CB520" si="390">IF(AF505&gt;1/1/1900,((AF505+1)-AE505),"STILL OPEN")</f>
        <v>#VALUE!</v>
      </c>
      <c r="CC505" s="129">
        <f>M505-I505+1</f>
        <v>4</v>
      </c>
      <c r="CD505" s="111">
        <f>CC505-BF505</f>
        <v>0</v>
      </c>
      <c r="CE505" s="129">
        <f t="shared" si="368"/>
        <v>295</v>
      </c>
      <c r="CG505" s="129" t="str">
        <f t="shared" si="369"/>
        <v>Y</v>
      </c>
      <c r="CI505" s="129" t="str">
        <f t="shared" si="370"/>
        <v>0-10 DAYS</v>
      </c>
      <c r="CJ505" s="137">
        <f t="shared" si="371"/>
        <v>1</v>
      </c>
      <c r="CK505" s="129" t="str">
        <f t="shared" si="372"/>
        <v>Booked</v>
      </c>
    </row>
    <row r="506" spans="1:89" ht="15.75" customHeight="1" x14ac:dyDescent="0.25">
      <c r="A506" s="111">
        <v>3079</v>
      </c>
      <c r="B506" s="128" t="str">
        <f t="shared" si="352"/>
        <v>N</v>
      </c>
      <c r="C506" s="128" t="str">
        <f t="shared" si="353"/>
        <v>N</v>
      </c>
      <c r="D506" s="117">
        <v>1221193</v>
      </c>
      <c r="E506" s="135">
        <f t="shared" si="354"/>
        <v>6</v>
      </c>
      <c r="F506" s="124">
        <v>41023</v>
      </c>
      <c r="G506" s="125">
        <v>41088</v>
      </c>
      <c r="H506" s="117">
        <v>1221193</v>
      </c>
      <c r="I506" s="124">
        <v>41023</v>
      </c>
      <c r="J506" s="124">
        <v>41088</v>
      </c>
      <c r="K506" s="126">
        <v>10000</v>
      </c>
      <c r="L506" s="127" t="s">
        <v>570</v>
      </c>
      <c r="N506" s="129" t="str">
        <f t="shared" si="387"/>
        <v>N</v>
      </c>
      <c r="O506" s="128" t="s">
        <v>917</v>
      </c>
      <c r="P506" s="129" t="s">
        <v>39</v>
      </c>
      <c r="Q506" s="111">
        <f t="shared" si="383"/>
        <v>66</v>
      </c>
      <c r="R506" s="111">
        <f t="shared" si="347"/>
        <v>66</v>
      </c>
      <c r="S506" s="129">
        <v>1</v>
      </c>
      <c r="T506" s="129">
        <v>3</v>
      </c>
      <c r="U506" s="129">
        <v>1</v>
      </c>
      <c r="W506" s="111"/>
      <c r="AC506" s="130"/>
      <c r="AD506" s="130">
        <v>22791</v>
      </c>
      <c r="AE506" s="128" t="s">
        <v>32</v>
      </c>
      <c r="AF506" s="128" t="s">
        <v>40</v>
      </c>
      <c r="AG506" s="128" t="s">
        <v>41</v>
      </c>
      <c r="AH506" s="108" t="s">
        <v>41</v>
      </c>
      <c r="AI506" s="128" t="s">
        <v>90</v>
      </c>
      <c r="AJ506" s="129" t="s">
        <v>89</v>
      </c>
      <c r="AK506" s="129">
        <v>4</v>
      </c>
      <c r="AL506" s="3" t="s">
        <v>362</v>
      </c>
      <c r="AM506" s="117">
        <v>3</v>
      </c>
      <c r="AP506" s="129" t="s">
        <v>66</v>
      </c>
      <c r="AR506" s="128" t="s">
        <v>67</v>
      </c>
      <c r="AS506" s="129" t="s">
        <v>68</v>
      </c>
      <c r="BC506" s="129" t="s">
        <v>38</v>
      </c>
      <c r="BF506" s="111">
        <f t="shared" si="388"/>
        <v>66</v>
      </c>
      <c r="BG506" s="111">
        <f t="shared" si="389"/>
        <v>66</v>
      </c>
      <c r="BH506" s="111">
        <f t="shared" si="348"/>
        <v>66</v>
      </c>
      <c r="BI506" s="111">
        <f t="shared" si="349"/>
        <v>49.814207650273225</v>
      </c>
      <c r="BJ506" s="129">
        <f t="shared" si="355"/>
        <v>0</v>
      </c>
      <c r="BK506" s="129">
        <f t="shared" si="350"/>
        <v>0</v>
      </c>
      <c r="BL506" s="129" t="str">
        <f t="shared" si="351"/>
        <v>CONVICTION</v>
      </c>
      <c r="BM506" s="129" t="str">
        <f t="shared" si="356"/>
        <v>NONE</v>
      </c>
      <c r="BN506" s="129" t="s">
        <v>566</v>
      </c>
      <c r="BP506" s="137" t="str">
        <f t="shared" si="357"/>
        <v>CONVICTION</v>
      </c>
      <c r="BQ506" s="128" t="str">
        <f t="shared" si="358"/>
        <v>Y</v>
      </c>
      <c r="BR506" s="129" t="str">
        <f t="shared" si="359"/>
        <v>DETAINED</v>
      </c>
      <c r="BS506" s="129" t="str">
        <f t="shared" si="360"/>
        <v>DISPOSED</v>
      </c>
      <c r="BT506" s="129" t="str">
        <f t="shared" si="361"/>
        <v>Y</v>
      </c>
      <c r="BU506" s="109">
        <f t="shared" si="362"/>
        <v>1</v>
      </c>
      <c r="BV506" s="109">
        <f t="shared" si="363"/>
        <v>1</v>
      </c>
      <c r="BW506" s="109">
        <f t="shared" si="381"/>
        <v>0</v>
      </c>
      <c r="BX506" s="111">
        <f t="shared" si="364"/>
        <v>0</v>
      </c>
      <c r="BY506" s="129">
        <f t="shared" si="365"/>
        <v>-66</v>
      </c>
      <c r="BZ506" s="111">
        <f t="shared" si="366"/>
        <v>0</v>
      </c>
      <c r="CA506" s="138">
        <f t="shared" si="367"/>
        <v>66</v>
      </c>
      <c r="CB506" s="111" t="e">
        <f t="shared" si="390"/>
        <v>#VALUE!</v>
      </c>
      <c r="CC506" s="129">
        <f>G506-I506+1</f>
        <v>66</v>
      </c>
      <c r="CD506" s="129">
        <f>G506-J506</f>
        <v>0</v>
      </c>
      <c r="CE506" s="129">
        <f t="shared" si="368"/>
        <v>0</v>
      </c>
      <c r="CG506" s="129" t="str">
        <f t="shared" si="369"/>
        <v>Y</v>
      </c>
      <c r="CI506" s="129" t="str">
        <f t="shared" si="370"/>
        <v>61-90 DAYS</v>
      </c>
      <c r="CJ506" s="137">
        <f t="shared" si="371"/>
        <v>4</v>
      </c>
      <c r="CK506" s="129" t="str">
        <f t="shared" si="372"/>
        <v>Booked</v>
      </c>
    </row>
    <row r="507" spans="1:89" ht="15" customHeight="1" x14ac:dyDescent="0.25">
      <c r="A507" s="111">
        <v>2781</v>
      </c>
      <c r="B507" s="128" t="str">
        <f t="shared" si="352"/>
        <v>N</v>
      </c>
      <c r="C507" s="128" t="str">
        <f t="shared" si="353"/>
        <v>N</v>
      </c>
      <c r="D507" s="117">
        <v>1221765</v>
      </c>
      <c r="E507" s="135">
        <f t="shared" si="354"/>
        <v>4</v>
      </c>
      <c r="F507" s="124">
        <v>41011</v>
      </c>
      <c r="G507" s="125">
        <v>41345</v>
      </c>
      <c r="H507" s="117">
        <v>1221765</v>
      </c>
      <c r="I507" s="124">
        <v>41012</v>
      </c>
      <c r="J507" s="124">
        <v>41014</v>
      </c>
      <c r="K507" s="126">
        <v>15000</v>
      </c>
      <c r="L507" s="127" t="s">
        <v>571</v>
      </c>
      <c r="M507" s="125">
        <v>41014</v>
      </c>
      <c r="N507" s="129" t="str">
        <f t="shared" si="387"/>
        <v>Y</v>
      </c>
      <c r="O507" s="128" t="s">
        <v>585</v>
      </c>
      <c r="P507" s="129" t="s">
        <v>39</v>
      </c>
      <c r="Q507" s="111">
        <f t="shared" si="383"/>
        <v>3</v>
      </c>
      <c r="R507" s="111">
        <f t="shared" si="347"/>
        <v>335</v>
      </c>
      <c r="S507" s="129">
        <v>3</v>
      </c>
      <c r="T507" s="129">
        <v>4</v>
      </c>
      <c r="U507" s="129">
        <v>3</v>
      </c>
      <c r="W507" s="111"/>
      <c r="AC507" s="130"/>
      <c r="AD507" s="130">
        <v>22999</v>
      </c>
      <c r="AE507" s="128" t="s">
        <v>32</v>
      </c>
      <c r="AF507" s="128" t="s">
        <v>40</v>
      </c>
      <c r="AG507" s="128" t="s">
        <v>41</v>
      </c>
      <c r="AH507" s="108" t="s">
        <v>41</v>
      </c>
      <c r="AI507" s="128" t="s">
        <v>71</v>
      </c>
      <c r="AJ507" s="129" t="s">
        <v>89</v>
      </c>
      <c r="AK507" s="129">
        <v>10</v>
      </c>
      <c r="AL507" s="3" t="s">
        <v>991</v>
      </c>
      <c r="AO507" s="128">
        <v>3</v>
      </c>
      <c r="AP507" s="129" t="s">
        <v>43</v>
      </c>
      <c r="AR507" s="128" t="s">
        <v>44</v>
      </c>
      <c r="AS507" s="129" t="s">
        <v>45</v>
      </c>
      <c r="BC507" s="129" t="s">
        <v>52</v>
      </c>
      <c r="BF507" s="111">
        <f t="shared" si="388"/>
        <v>3</v>
      </c>
      <c r="BG507" s="111">
        <f t="shared" si="389"/>
        <v>334</v>
      </c>
      <c r="BH507" s="111">
        <f t="shared" si="348"/>
        <v>335</v>
      </c>
      <c r="BI507" s="111">
        <f t="shared" si="349"/>
        <v>49.213114754098363</v>
      </c>
      <c r="BJ507" s="129">
        <f>(G507-J507)+(M507-G507)</f>
        <v>0</v>
      </c>
      <c r="BK507" s="129">
        <f t="shared" si="350"/>
        <v>-331</v>
      </c>
      <c r="BL507" s="129" t="str">
        <f t="shared" si="351"/>
        <v>CONVICTION</v>
      </c>
      <c r="BM507" s="129" t="s">
        <v>76</v>
      </c>
      <c r="BN507" s="129" t="s">
        <v>88</v>
      </c>
      <c r="BP507" s="137" t="str">
        <f t="shared" si="357"/>
        <v>CONVICTION</v>
      </c>
      <c r="BQ507" s="128" t="str">
        <f t="shared" si="358"/>
        <v>Y</v>
      </c>
      <c r="BR507" s="129" t="str">
        <f>IF(J507&lt;G507,"ON BOND",0)</f>
        <v>ON BOND</v>
      </c>
      <c r="BS507" s="129" t="str">
        <f t="shared" si="360"/>
        <v>DISPOSED</v>
      </c>
      <c r="BT507" s="129" t="str">
        <f t="shared" si="361"/>
        <v>Y</v>
      </c>
      <c r="BU507" s="109">
        <f t="shared" si="362"/>
        <v>8.9552238805970154E-3</v>
      </c>
      <c r="BV507" s="109">
        <f t="shared" si="363"/>
        <v>8.9820359281437123E-3</v>
      </c>
      <c r="BW507" s="109">
        <f t="shared" si="381"/>
        <v>2.6812047546696804E-5</v>
      </c>
      <c r="BX507" s="111">
        <f t="shared" si="364"/>
        <v>0</v>
      </c>
      <c r="BY507" s="129">
        <f t="shared" si="365"/>
        <v>-3</v>
      </c>
      <c r="BZ507" s="111">
        <f t="shared" si="366"/>
        <v>0</v>
      </c>
      <c r="CA507" s="138">
        <f t="shared" si="367"/>
        <v>3</v>
      </c>
      <c r="CB507" s="111" t="e">
        <f t="shared" si="390"/>
        <v>#VALUE!</v>
      </c>
      <c r="CC507" s="129">
        <f>M507-I507+1</f>
        <v>3</v>
      </c>
      <c r="CD507" s="111">
        <f>CC507-BF507</f>
        <v>0</v>
      </c>
      <c r="CE507" s="129">
        <f t="shared" si="368"/>
        <v>331</v>
      </c>
      <c r="CG507" s="129" t="str">
        <f t="shared" si="369"/>
        <v>Y</v>
      </c>
      <c r="CI507" s="129" t="str">
        <f t="shared" si="370"/>
        <v>0-10 DAYS</v>
      </c>
      <c r="CJ507" s="137">
        <f t="shared" si="371"/>
        <v>1</v>
      </c>
      <c r="CK507" s="129" t="str">
        <f t="shared" si="372"/>
        <v>Booked</v>
      </c>
    </row>
    <row r="508" spans="1:89" ht="15" customHeight="1" x14ac:dyDescent="0.25">
      <c r="A508" s="111">
        <v>760</v>
      </c>
      <c r="B508" s="128" t="str">
        <f t="shared" si="352"/>
        <v>N</v>
      </c>
      <c r="C508" s="128" t="str">
        <f t="shared" si="353"/>
        <v>N</v>
      </c>
      <c r="D508" s="117">
        <v>1222726</v>
      </c>
      <c r="E508" s="135">
        <f t="shared" si="354"/>
        <v>2</v>
      </c>
      <c r="F508" s="124">
        <v>40938</v>
      </c>
      <c r="G508" s="125">
        <v>40946</v>
      </c>
      <c r="H508" s="117">
        <v>1222726</v>
      </c>
      <c r="I508" s="124">
        <v>40939</v>
      </c>
      <c r="J508" s="124">
        <v>40946</v>
      </c>
      <c r="K508" s="126">
        <v>2000</v>
      </c>
      <c r="L508" s="127" t="s">
        <v>568</v>
      </c>
      <c r="N508" s="129" t="str">
        <f t="shared" si="387"/>
        <v>N</v>
      </c>
      <c r="O508" s="128" t="s">
        <v>917</v>
      </c>
      <c r="P508" s="129" t="s">
        <v>589</v>
      </c>
      <c r="Q508" s="111">
        <f t="shared" si="383"/>
        <v>8</v>
      </c>
      <c r="R508" s="111">
        <f t="shared" si="347"/>
        <v>9</v>
      </c>
      <c r="S508" s="129">
        <v>0</v>
      </c>
      <c r="T508" s="129">
        <v>2</v>
      </c>
      <c r="W508" s="111"/>
      <c r="AC508" s="130"/>
      <c r="AD508" s="130">
        <v>26152</v>
      </c>
      <c r="AE508" s="128" t="s">
        <v>46</v>
      </c>
      <c r="AF508" s="128" t="s">
        <v>69</v>
      </c>
      <c r="AG508" s="128" t="s">
        <v>874</v>
      </c>
      <c r="AH508" s="108" t="s">
        <v>31</v>
      </c>
      <c r="AI508" s="128" t="s">
        <v>53</v>
      </c>
      <c r="AJ508" s="129" t="s">
        <v>48</v>
      </c>
      <c r="AK508" s="129">
        <v>3</v>
      </c>
      <c r="AL508" s="3" t="s">
        <v>48</v>
      </c>
      <c r="AP508" s="129" t="s">
        <v>43</v>
      </c>
      <c r="AR508" s="128" t="s">
        <v>44</v>
      </c>
      <c r="AS508" s="129" t="s">
        <v>45</v>
      </c>
      <c r="BC508" s="129" t="s">
        <v>99</v>
      </c>
      <c r="BF508" s="111">
        <f t="shared" si="388"/>
        <v>8</v>
      </c>
      <c r="BG508" s="111">
        <f t="shared" si="389"/>
        <v>8</v>
      </c>
      <c r="BH508" s="111">
        <f t="shared" si="348"/>
        <v>9</v>
      </c>
      <c r="BI508" s="111">
        <f t="shared" si="349"/>
        <v>40.398907103825138</v>
      </c>
      <c r="BJ508" s="129">
        <f t="shared" si="355"/>
        <v>0</v>
      </c>
      <c r="BK508" s="129">
        <f t="shared" si="350"/>
        <v>0</v>
      </c>
      <c r="BL508" s="129" t="str">
        <f t="shared" si="351"/>
        <v>DEFERRED</v>
      </c>
      <c r="BM508" s="129" t="str">
        <f t="shared" si="356"/>
        <v>NONE</v>
      </c>
      <c r="BN508" s="129" t="s">
        <v>566</v>
      </c>
      <c r="BP508" s="137" t="str">
        <f t="shared" si="357"/>
        <v>DEFERRED</v>
      </c>
      <c r="BQ508" s="128" t="str">
        <f t="shared" si="358"/>
        <v>Y</v>
      </c>
      <c r="BR508" s="129" t="str">
        <f t="shared" si="359"/>
        <v>DETAINED</v>
      </c>
      <c r="BS508" s="129" t="str">
        <f t="shared" si="360"/>
        <v>DISPOSED</v>
      </c>
      <c r="BT508" s="129" t="str">
        <f t="shared" si="361"/>
        <v>N</v>
      </c>
      <c r="BU508" s="109">
        <f t="shared" si="362"/>
        <v>0.88888888888888884</v>
      </c>
      <c r="BV508" s="109">
        <f t="shared" si="363"/>
        <v>1</v>
      </c>
      <c r="BW508" s="109">
        <f t="shared" si="381"/>
        <v>0.11111111111111116</v>
      </c>
      <c r="BX508" s="111">
        <f t="shared" si="364"/>
        <v>0</v>
      </c>
      <c r="BY508" s="129">
        <f t="shared" si="365"/>
        <v>-8</v>
      </c>
      <c r="BZ508" s="111">
        <f t="shared" si="366"/>
        <v>0</v>
      </c>
      <c r="CA508" s="138">
        <f t="shared" si="367"/>
        <v>8</v>
      </c>
      <c r="CB508" s="111" t="e">
        <f t="shared" si="390"/>
        <v>#VALUE!</v>
      </c>
      <c r="CC508" s="129">
        <f>G508-I508+1</f>
        <v>8</v>
      </c>
      <c r="CD508" s="129">
        <f>G508-J508</f>
        <v>0</v>
      </c>
      <c r="CE508" s="129">
        <f t="shared" si="368"/>
        <v>0</v>
      </c>
      <c r="CG508" s="129" t="str">
        <f t="shared" si="369"/>
        <v>Y</v>
      </c>
      <c r="CI508" s="129" t="str">
        <f t="shared" si="370"/>
        <v>0-10 DAYS</v>
      </c>
      <c r="CJ508" s="137">
        <f t="shared" si="371"/>
        <v>1</v>
      </c>
      <c r="CK508" s="129" t="str">
        <f t="shared" si="372"/>
        <v>Booked</v>
      </c>
    </row>
    <row r="509" spans="1:89" ht="15.75" customHeight="1" x14ac:dyDescent="0.25">
      <c r="A509" s="111">
        <v>2401</v>
      </c>
      <c r="B509" s="128" t="str">
        <f t="shared" si="352"/>
        <v>N</v>
      </c>
      <c r="C509" s="128" t="str">
        <f t="shared" si="353"/>
        <v>N</v>
      </c>
      <c r="D509" s="117">
        <v>1223681</v>
      </c>
      <c r="E509" s="135">
        <f t="shared" si="354"/>
        <v>5</v>
      </c>
      <c r="F509" s="124">
        <v>40999</v>
      </c>
      <c r="G509" s="125">
        <v>41001</v>
      </c>
      <c r="H509" s="117">
        <v>1223681</v>
      </c>
      <c r="I509" s="124">
        <v>40999</v>
      </c>
      <c r="J509" s="124">
        <v>41001</v>
      </c>
      <c r="K509" s="126" t="s">
        <v>564</v>
      </c>
      <c r="L509" s="127" t="s">
        <v>564</v>
      </c>
      <c r="N509" s="129" t="s">
        <v>566</v>
      </c>
      <c r="O509" s="128" t="s">
        <v>917</v>
      </c>
      <c r="P509" s="129" t="s">
        <v>39</v>
      </c>
      <c r="Q509" s="111">
        <f t="shared" si="383"/>
        <v>3</v>
      </c>
      <c r="R509" s="111">
        <f t="shared" si="347"/>
        <v>3</v>
      </c>
      <c r="S509" s="129">
        <v>5</v>
      </c>
      <c r="T509" s="129">
        <v>3</v>
      </c>
      <c r="U509" s="129">
        <v>3</v>
      </c>
      <c r="W509" s="111"/>
      <c r="AC509" s="130"/>
      <c r="AD509" s="130">
        <v>27257</v>
      </c>
      <c r="AE509" s="128" t="s">
        <v>32</v>
      </c>
      <c r="AF509" s="128" t="s">
        <v>33</v>
      </c>
      <c r="AG509" s="128" t="s">
        <v>872</v>
      </c>
      <c r="AH509" s="108" t="s">
        <v>58</v>
      </c>
      <c r="AI509" s="128" t="s">
        <v>114</v>
      </c>
      <c r="AJ509" s="129" t="s">
        <v>89</v>
      </c>
      <c r="AK509" s="129">
        <v>1</v>
      </c>
      <c r="AL509" s="3" t="s">
        <v>992</v>
      </c>
      <c r="AN509" s="117">
        <v>8</v>
      </c>
      <c r="AP509" s="129" t="s">
        <v>43</v>
      </c>
      <c r="AR509" s="128" t="s">
        <v>44</v>
      </c>
      <c r="AS509" s="129" t="s">
        <v>45</v>
      </c>
      <c r="BC509" s="129" t="s">
        <v>38</v>
      </c>
      <c r="BF509" s="111">
        <f t="shared" si="388"/>
        <v>3</v>
      </c>
      <c r="BG509" s="111">
        <f t="shared" si="389"/>
        <v>3</v>
      </c>
      <c r="BH509" s="111">
        <f t="shared" si="348"/>
        <v>3</v>
      </c>
      <c r="BI509" s="111">
        <f t="shared" si="349"/>
        <v>37.546448087431692</v>
      </c>
      <c r="BJ509" s="129">
        <f t="shared" si="355"/>
        <v>0</v>
      </c>
      <c r="BK509" s="129">
        <f t="shared" si="350"/>
        <v>0</v>
      </c>
      <c r="BL509" s="129" t="str">
        <f t="shared" si="351"/>
        <v>CONVICTION</v>
      </c>
      <c r="BM509" s="129" t="str">
        <f t="shared" si="356"/>
        <v>NONE</v>
      </c>
      <c r="BN509" s="129" t="s">
        <v>566</v>
      </c>
      <c r="BP509" s="137" t="str">
        <f t="shared" si="357"/>
        <v>CONVICTION</v>
      </c>
      <c r="BQ509" s="128" t="str">
        <f t="shared" si="358"/>
        <v>Y</v>
      </c>
      <c r="BR509" s="129" t="str">
        <f t="shared" si="359"/>
        <v>DETAINED</v>
      </c>
      <c r="BS509" s="129" t="str">
        <f t="shared" si="360"/>
        <v>DISPOSED</v>
      </c>
      <c r="BT509" s="129" t="str">
        <f t="shared" si="361"/>
        <v>Y</v>
      </c>
      <c r="BU509" s="109">
        <f t="shared" si="362"/>
        <v>1</v>
      </c>
      <c r="BV509" s="109">
        <f t="shared" si="363"/>
        <v>1</v>
      </c>
      <c r="BW509" s="109">
        <f t="shared" si="381"/>
        <v>0</v>
      </c>
      <c r="BX509" s="111">
        <f t="shared" si="364"/>
        <v>0</v>
      </c>
      <c r="BY509" s="129">
        <f t="shared" si="365"/>
        <v>-3</v>
      </c>
      <c r="BZ509" s="111">
        <f t="shared" si="366"/>
        <v>0</v>
      </c>
      <c r="CA509" s="138">
        <f t="shared" si="367"/>
        <v>3</v>
      </c>
      <c r="CB509" s="111" t="e">
        <f t="shared" si="390"/>
        <v>#VALUE!</v>
      </c>
      <c r="CC509" s="129">
        <f>G509-I509+1</f>
        <v>3</v>
      </c>
      <c r="CD509" s="129">
        <f>G509-J509</f>
        <v>0</v>
      </c>
      <c r="CE509" s="129">
        <f t="shared" si="368"/>
        <v>0</v>
      </c>
      <c r="CG509" s="129" t="str">
        <f t="shared" si="369"/>
        <v>Y</v>
      </c>
      <c r="CI509" s="129" t="str">
        <f t="shared" si="370"/>
        <v>0-10 DAYS</v>
      </c>
      <c r="CJ509" s="137">
        <f t="shared" si="371"/>
        <v>1</v>
      </c>
      <c r="CK509" s="129" t="str">
        <f t="shared" si="372"/>
        <v>Booked</v>
      </c>
    </row>
    <row r="510" spans="1:89" ht="15.75" customHeight="1" x14ac:dyDescent="0.25">
      <c r="A510" s="111">
        <v>2934</v>
      </c>
      <c r="B510" s="128" t="str">
        <f t="shared" si="352"/>
        <v>N</v>
      </c>
      <c r="C510" s="128" t="str">
        <f t="shared" si="353"/>
        <v>N</v>
      </c>
      <c r="D510" s="117">
        <v>1223750</v>
      </c>
      <c r="E510" s="135">
        <f t="shared" si="354"/>
        <v>2</v>
      </c>
      <c r="F510" s="124">
        <v>41017</v>
      </c>
      <c r="G510" s="125">
        <v>41229</v>
      </c>
      <c r="H510" s="117">
        <v>1223750</v>
      </c>
      <c r="I510" s="124">
        <v>41027</v>
      </c>
      <c r="J510" s="124">
        <v>41028</v>
      </c>
      <c r="K510" s="126">
        <v>10000</v>
      </c>
      <c r="L510" s="127" t="s">
        <v>570</v>
      </c>
      <c r="M510" s="125">
        <v>41028</v>
      </c>
      <c r="N510" s="129" t="str">
        <f>IF(M510&gt;1/1/1,"Y","N")</f>
        <v>Y</v>
      </c>
      <c r="O510" s="128" t="s">
        <v>585</v>
      </c>
      <c r="P510" s="129" t="s">
        <v>589</v>
      </c>
      <c r="Q510" s="111">
        <f t="shared" si="383"/>
        <v>2</v>
      </c>
      <c r="R510" s="111">
        <f t="shared" si="347"/>
        <v>213</v>
      </c>
      <c r="S510" s="129">
        <v>0</v>
      </c>
      <c r="T510" s="129">
        <v>3</v>
      </c>
      <c r="W510" s="111"/>
      <c r="AC510" s="130"/>
      <c r="AD510" s="130">
        <v>26098</v>
      </c>
      <c r="AE510" s="128" t="s">
        <v>32</v>
      </c>
      <c r="AF510" s="128" t="s">
        <v>33</v>
      </c>
      <c r="AG510" s="128" t="s">
        <v>872</v>
      </c>
      <c r="AH510" s="108" t="s">
        <v>58</v>
      </c>
      <c r="AI510" s="128" t="s">
        <v>71</v>
      </c>
      <c r="AJ510" s="129" t="s">
        <v>48</v>
      </c>
      <c r="AK510" s="129">
        <v>8</v>
      </c>
      <c r="AL510" s="3" t="s">
        <v>48</v>
      </c>
      <c r="AP510" s="129" t="s">
        <v>56</v>
      </c>
      <c r="AR510" s="128" t="s">
        <v>50</v>
      </c>
      <c r="AS510" s="129" t="s">
        <v>57</v>
      </c>
      <c r="BC510" s="129" t="s">
        <v>52</v>
      </c>
      <c r="BF510" s="111">
        <f t="shared" si="388"/>
        <v>2</v>
      </c>
      <c r="BG510" s="111">
        <f t="shared" si="389"/>
        <v>203</v>
      </c>
      <c r="BH510" s="111">
        <f t="shared" si="348"/>
        <v>213</v>
      </c>
      <c r="BI510" s="111">
        <f t="shared" si="349"/>
        <v>40.76229508196721</v>
      </c>
      <c r="BJ510" s="129">
        <f>(G510-J510)+(M510-G510)</f>
        <v>0</v>
      </c>
      <c r="BK510" s="129">
        <f t="shared" si="350"/>
        <v>-201</v>
      </c>
      <c r="BL510" s="129" t="str">
        <f t="shared" si="351"/>
        <v>DEFERRED</v>
      </c>
      <c r="BM510" s="129" t="s">
        <v>76</v>
      </c>
      <c r="BN510" s="129" t="s">
        <v>88</v>
      </c>
      <c r="BP510" s="137" t="str">
        <f t="shared" si="357"/>
        <v>DEFERRED</v>
      </c>
      <c r="BQ510" s="128" t="str">
        <f t="shared" si="358"/>
        <v>Y</v>
      </c>
      <c r="BR510" s="129" t="str">
        <f t="shared" si="359"/>
        <v>ON BOND</v>
      </c>
      <c r="BS510" s="129" t="str">
        <f t="shared" si="360"/>
        <v>DISPOSED</v>
      </c>
      <c r="BT510" s="129" t="str">
        <f t="shared" si="361"/>
        <v>N</v>
      </c>
      <c r="BU510" s="109">
        <f t="shared" si="362"/>
        <v>9.3896713615023476E-3</v>
      </c>
      <c r="BV510" s="109">
        <f t="shared" si="363"/>
        <v>9.852216748768473E-3</v>
      </c>
      <c r="BW510" s="109">
        <f t="shared" si="381"/>
        <v>4.6254538726612539E-4</v>
      </c>
      <c r="BX510" s="111">
        <f t="shared" si="364"/>
        <v>0</v>
      </c>
      <c r="BY510" s="129">
        <f t="shared" si="365"/>
        <v>-2</v>
      </c>
      <c r="BZ510" s="111">
        <f t="shared" si="366"/>
        <v>0</v>
      </c>
      <c r="CA510" s="138">
        <f t="shared" si="367"/>
        <v>2</v>
      </c>
      <c r="CB510" s="111" t="e">
        <f t="shared" si="390"/>
        <v>#VALUE!</v>
      </c>
      <c r="CC510" s="129">
        <f>M510-I510+1</f>
        <v>2</v>
      </c>
      <c r="CD510" s="111">
        <f>CC510-BF510</f>
        <v>0</v>
      </c>
      <c r="CE510" s="129">
        <f t="shared" si="368"/>
        <v>201</v>
      </c>
      <c r="CG510" s="129" t="str">
        <f t="shared" si="369"/>
        <v>Y</v>
      </c>
      <c r="CI510" s="129" t="str">
        <f t="shared" si="370"/>
        <v>0-10 DAYS</v>
      </c>
      <c r="CJ510" s="137">
        <f t="shared" si="371"/>
        <v>1</v>
      </c>
      <c r="CK510" s="129" t="str">
        <f t="shared" si="372"/>
        <v>Booked</v>
      </c>
    </row>
    <row r="511" spans="1:89" ht="15" customHeight="1" x14ac:dyDescent="0.25">
      <c r="A511" s="111">
        <v>1900</v>
      </c>
      <c r="B511" s="128" t="str">
        <f t="shared" si="352"/>
        <v>N</v>
      </c>
      <c r="C511" s="128" t="str">
        <f t="shared" si="353"/>
        <v>N</v>
      </c>
      <c r="D511" s="117">
        <v>1229380</v>
      </c>
      <c r="E511" s="135">
        <f t="shared" si="354"/>
        <v>5</v>
      </c>
      <c r="F511" s="124">
        <v>40979</v>
      </c>
      <c r="G511" s="125">
        <v>41019</v>
      </c>
      <c r="H511" s="117">
        <v>1229380</v>
      </c>
      <c r="I511" s="124">
        <v>40979</v>
      </c>
      <c r="J511" s="124">
        <v>41019</v>
      </c>
      <c r="K511" s="126">
        <v>15000</v>
      </c>
      <c r="L511" s="127" t="s">
        <v>571</v>
      </c>
      <c r="N511" s="129" t="str">
        <f>IF(M511&gt;1/1/1,"Y","N")</f>
        <v>N</v>
      </c>
      <c r="O511" s="128" t="s">
        <v>917</v>
      </c>
      <c r="P511" s="129" t="s">
        <v>39</v>
      </c>
      <c r="Q511" s="111">
        <f t="shared" si="383"/>
        <v>41</v>
      </c>
      <c r="R511" s="111">
        <f t="shared" si="347"/>
        <v>41</v>
      </c>
      <c r="S511" s="129">
        <v>14</v>
      </c>
      <c r="T511" s="129">
        <v>4</v>
      </c>
      <c r="U511" s="129">
        <v>9</v>
      </c>
      <c r="W511" s="111"/>
      <c r="AC511" s="130"/>
      <c r="AD511" s="130">
        <v>22709</v>
      </c>
      <c r="AE511" s="128" t="s">
        <v>32</v>
      </c>
      <c r="AF511" s="128" t="s">
        <v>33</v>
      </c>
      <c r="AG511" s="128" t="s">
        <v>872</v>
      </c>
      <c r="AH511" s="108" t="s">
        <v>58</v>
      </c>
      <c r="AI511" s="128" t="s">
        <v>80</v>
      </c>
      <c r="AJ511" s="129" t="s">
        <v>89</v>
      </c>
      <c r="AK511" s="129">
        <v>3</v>
      </c>
      <c r="AL511" s="3" t="s">
        <v>992</v>
      </c>
      <c r="AN511" s="117">
        <v>6</v>
      </c>
      <c r="AP511" s="129" t="s">
        <v>43</v>
      </c>
      <c r="AR511" s="128" t="s">
        <v>44</v>
      </c>
      <c r="AS511" s="129" t="s">
        <v>45</v>
      </c>
      <c r="BC511" s="129" t="s">
        <v>38</v>
      </c>
      <c r="BF511" s="111">
        <f t="shared" si="388"/>
        <v>41</v>
      </c>
      <c r="BG511" s="111">
        <f t="shared" si="389"/>
        <v>41</v>
      </c>
      <c r="BH511" s="111">
        <f t="shared" si="348"/>
        <v>41</v>
      </c>
      <c r="BI511" s="111">
        <f t="shared" si="349"/>
        <v>49.918032786885249</v>
      </c>
      <c r="BJ511" s="129">
        <f t="shared" si="355"/>
        <v>0</v>
      </c>
      <c r="BK511" s="129">
        <f t="shared" si="350"/>
        <v>0</v>
      </c>
      <c r="BL511" s="129" t="str">
        <f t="shared" si="351"/>
        <v>CONVICTION</v>
      </c>
      <c r="BM511" s="129" t="str">
        <f t="shared" si="356"/>
        <v>NONE</v>
      </c>
      <c r="BN511" s="129" t="s">
        <v>566</v>
      </c>
      <c r="BP511" s="137" t="str">
        <f t="shared" si="357"/>
        <v>CONVICTION</v>
      </c>
      <c r="BQ511" s="128" t="str">
        <f t="shared" si="358"/>
        <v>Y</v>
      </c>
      <c r="BR511" s="129" t="str">
        <f t="shared" si="359"/>
        <v>DETAINED</v>
      </c>
      <c r="BS511" s="129" t="str">
        <f t="shared" si="360"/>
        <v>DISPOSED</v>
      </c>
      <c r="BT511" s="129" t="str">
        <f t="shared" si="361"/>
        <v>Y</v>
      </c>
      <c r="BU511" s="109">
        <f t="shared" si="362"/>
        <v>1</v>
      </c>
      <c r="BV511" s="109">
        <f t="shared" si="363"/>
        <v>1</v>
      </c>
      <c r="BW511" s="109">
        <f t="shared" si="381"/>
        <v>0</v>
      </c>
      <c r="BX511" s="111">
        <f t="shared" si="364"/>
        <v>0</v>
      </c>
      <c r="BY511" s="129">
        <f t="shared" si="365"/>
        <v>-41</v>
      </c>
      <c r="BZ511" s="111">
        <f t="shared" si="366"/>
        <v>0</v>
      </c>
      <c r="CA511" s="138">
        <f t="shared" si="367"/>
        <v>41</v>
      </c>
      <c r="CB511" s="111" t="e">
        <f t="shared" si="390"/>
        <v>#VALUE!</v>
      </c>
      <c r="CC511" s="129">
        <f>G511-I511+1</f>
        <v>41</v>
      </c>
      <c r="CD511" s="129">
        <f>G511-J511</f>
        <v>0</v>
      </c>
      <c r="CE511" s="129">
        <f t="shared" si="368"/>
        <v>0</v>
      </c>
      <c r="CG511" s="129" t="str">
        <f t="shared" si="369"/>
        <v>Y</v>
      </c>
      <c r="CI511" s="129" t="str">
        <f t="shared" si="370"/>
        <v>31-60 DAYS</v>
      </c>
      <c r="CJ511" s="137">
        <f t="shared" si="371"/>
        <v>3</v>
      </c>
      <c r="CK511" s="129" t="str">
        <f t="shared" si="372"/>
        <v>Booked</v>
      </c>
    </row>
    <row r="512" spans="1:89" ht="15.75" customHeight="1" x14ac:dyDescent="0.25">
      <c r="A512" s="111">
        <v>3225</v>
      </c>
      <c r="B512" s="128" t="str">
        <f t="shared" si="352"/>
        <v>N</v>
      </c>
      <c r="C512" s="128" t="str">
        <f t="shared" si="353"/>
        <v>N</v>
      </c>
      <c r="D512" s="117">
        <v>1230956</v>
      </c>
      <c r="E512" s="135">
        <f t="shared" si="354"/>
        <v>6</v>
      </c>
      <c r="F512" s="124">
        <v>41028</v>
      </c>
      <c r="G512" s="125">
        <v>41148</v>
      </c>
      <c r="H512" s="117">
        <v>1230956</v>
      </c>
      <c r="I512" s="124">
        <v>41028</v>
      </c>
      <c r="J512" s="124">
        <v>41148</v>
      </c>
      <c r="K512" s="126" t="s">
        <v>564</v>
      </c>
      <c r="L512" s="127" t="s">
        <v>564</v>
      </c>
      <c r="N512" s="129" t="s">
        <v>566</v>
      </c>
      <c r="O512" s="128" t="s">
        <v>917</v>
      </c>
      <c r="P512" s="129" t="s">
        <v>39</v>
      </c>
      <c r="Q512" s="111">
        <f t="shared" si="383"/>
        <v>121</v>
      </c>
      <c r="R512" s="111">
        <f t="shared" si="347"/>
        <v>121</v>
      </c>
      <c r="S512" s="129">
        <v>4</v>
      </c>
      <c r="T512" s="129">
        <v>4</v>
      </c>
      <c r="U512" s="129">
        <v>2</v>
      </c>
      <c r="W512" s="111"/>
      <c r="AC512" s="130"/>
      <c r="AD512" s="130">
        <v>24196</v>
      </c>
      <c r="AE512" s="128" t="s">
        <v>32</v>
      </c>
      <c r="AF512" s="128" t="s">
        <v>33</v>
      </c>
      <c r="AG512" s="128" t="s">
        <v>872</v>
      </c>
      <c r="AH512" s="108" t="s">
        <v>31</v>
      </c>
      <c r="AI512" s="128" t="s">
        <v>90</v>
      </c>
      <c r="AJ512" s="129" t="s">
        <v>89</v>
      </c>
      <c r="AK512" s="129">
        <v>6</v>
      </c>
      <c r="AL512" s="3" t="s">
        <v>362</v>
      </c>
      <c r="AM512" s="117">
        <v>2</v>
      </c>
      <c r="AP512" s="129" t="s">
        <v>73</v>
      </c>
      <c r="AR512" s="128" t="s">
        <v>50</v>
      </c>
      <c r="AS512" s="129" t="s">
        <v>74</v>
      </c>
      <c r="AY512" s="123"/>
      <c r="BC512" s="129" t="s">
        <v>38</v>
      </c>
      <c r="BF512" s="111">
        <f t="shared" si="388"/>
        <v>121</v>
      </c>
      <c r="BG512" s="111">
        <f t="shared" si="389"/>
        <v>121</v>
      </c>
      <c r="BH512" s="111">
        <f t="shared" si="348"/>
        <v>121</v>
      </c>
      <c r="BI512" s="111">
        <f t="shared" si="349"/>
        <v>45.989071038251367</v>
      </c>
      <c r="BJ512" s="129">
        <f t="shared" si="355"/>
        <v>0</v>
      </c>
      <c r="BK512" s="129">
        <f t="shared" si="350"/>
        <v>0</v>
      </c>
      <c r="BL512" s="129" t="str">
        <f t="shared" si="351"/>
        <v>CONVICTION</v>
      </c>
      <c r="BM512" s="129" t="str">
        <f t="shared" si="356"/>
        <v>NONE</v>
      </c>
      <c r="BN512" s="129" t="s">
        <v>566</v>
      </c>
      <c r="BP512" s="137" t="str">
        <f t="shared" si="357"/>
        <v>CONVICTION</v>
      </c>
      <c r="BQ512" s="128" t="str">
        <f t="shared" si="358"/>
        <v>Y</v>
      </c>
      <c r="BR512" s="129" t="str">
        <f t="shared" si="359"/>
        <v>DETAINED</v>
      </c>
      <c r="BS512" s="129" t="str">
        <f t="shared" si="360"/>
        <v>DISPOSED</v>
      </c>
      <c r="BT512" s="129" t="str">
        <f t="shared" si="361"/>
        <v>Y</v>
      </c>
      <c r="BU512" s="109">
        <f t="shared" si="362"/>
        <v>1</v>
      </c>
      <c r="BV512" s="109">
        <f t="shared" si="363"/>
        <v>1</v>
      </c>
      <c r="BW512" s="109">
        <f t="shared" si="381"/>
        <v>0</v>
      </c>
      <c r="BX512" s="111">
        <f t="shared" si="364"/>
        <v>0</v>
      </c>
      <c r="BY512" s="129">
        <f t="shared" si="365"/>
        <v>-121</v>
      </c>
      <c r="BZ512" s="111">
        <f t="shared" si="366"/>
        <v>0</v>
      </c>
      <c r="CA512" s="138">
        <f t="shared" si="367"/>
        <v>121</v>
      </c>
      <c r="CB512" s="111" t="e">
        <f t="shared" si="390"/>
        <v>#VALUE!</v>
      </c>
      <c r="CC512" s="129">
        <f>G512-I512+1</f>
        <v>121</v>
      </c>
      <c r="CD512" s="129">
        <f>G512-J512</f>
        <v>0</v>
      </c>
      <c r="CE512" s="129">
        <f t="shared" si="368"/>
        <v>0</v>
      </c>
      <c r="CG512" s="129" t="str">
        <f t="shared" si="369"/>
        <v>Y</v>
      </c>
      <c r="CI512" s="129" t="str">
        <f t="shared" si="370"/>
        <v>121-365 DAYS</v>
      </c>
      <c r="CJ512" s="137">
        <f t="shared" si="371"/>
        <v>6</v>
      </c>
      <c r="CK512" s="129" t="str">
        <f t="shared" si="372"/>
        <v>Booked</v>
      </c>
    </row>
    <row r="513" spans="1:89" ht="15" customHeight="1" x14ac:dyDescent="0.25">
      <c r="A513" s="111">
        <v>2964</v>
      </c>
      <c r="B513" s="128" t="str">
        <f t="shared" si="352"/>
        <v>N</v>
      </c>
      <c r="C513" s="128" t="str">
        <f t="shared" si="353"/>
        <v>N</v>
      </c>
      <c r="D513" s="117">
        <v>1231965</v>
      </c>
      <c r="E513" s="135">
        <f t="shared" si="354"/>
        <v>2</v>
      </c>
      <c r="F513" s="124">
        <v>41018</v>
      </c>
      <c r="G513" s="125">
        <v>41124</v>
      </c>
      <c r="H513" s="117">
        <v>1231965</v>
      </c>
      <c r="I513" s="124">
        <v>41018</v>
      </c>
      <c r="J513" s="124">
        <v>41124</v>
      </c>
      <c r="K513" s="126">
        <v>45000</v>
      </c>
      <c r="L513" s="129" t="s">
        <v>572</v>
      </c>
      <c r="N513" s="129" t="str">
        <f t="shared" ref="N513:N518" si="391">IF(M513&gt;1/1/1,"Y","N")</f>
        <v>N</v>
      </c>
      <c r="O513" s="128" t="s">
        <v>917</v>
      </c>
      <c r="P513" s="129" t="s">
        <v>589</v>
      </c>
      <c r="Q513" s="111">
        <f t="shared" si="383"/>
        <v>107</v>
      </c>
      <c r="R513" s="111">
        <f t="shared" si="347"/>
        <v>107</v>
      </c>
      <c r="S513" s="129">
        <v>2</v>
      </c>
      <c r="T513" s="129">
        <v>2</v>
      </c>
      <c r="U513" s="129">
        <v>2</v>
      </c>
      <c r="W513" s="111"/>
      <c r="AC513" s="130"/>
      <c r="AD513" s="130">
        <v>26749</v>
      </c>
      <c r="AE513" s="128" t="s">
        <v>32</v>
      </c>
      <c r="AF513" s="128" t="s">
        <v>33</v>
      </c>
      <c r="AG513" s="128" t="s">
        <v>872</v>
      </c>
      <c r="AH513" s="108" t="s">
        <v>31</v>
      </c>
      <c r="AI513" s="128" t="s">
        <v>87</v>
      </c>
      <c r="AJ513" s="129" t="s">
        <v>48</v>
      </c>
      <c r="AK513" s="129">
        <v>5</v>
      </c>
      <c r="AL513" s="3" t="s">
        <v>48</v>
      </c>
      <c r="AP513" s="129" t="s">
        <v>110</v>
      </c>
      <c r="AR513" s="128" t="s">
        <v>50</v>
      </c>
      <c r="AS513" s="129" t="s">
        <v>74</v>
      </c>
      <c r="AX513" s="32"/>
      <c r="BC513" s="129" t="s">
        <v>38</v>
      </c>
      <c r="BF513" s="111">
        <f t="shared" si="388"/>
        <v>107</v>
      </c>
      <c r="BG513" s="111">
        <f t="shared" si="389"/>
        <v>107</v>
      </c>
      <c r="BH513" s="111">
        <f t="shared" si="348"/>
        <v>107</v>
      </c>
      <c r="BI513" s="111">
        <f t="shared" si="349"/>
        <v>38.986338797814206</v>
      </c>
      <c r="BJ513" s="129">
        <f t="shared" si="355"/>
        <v>0</v>
      </c>
      <c r="BK513" s="129">
        <f t="shared" si="350"/>
        <v>0</v>
      </c>
      <c r="BL513" s="129" t="str">
        <f t="shared" si="351"/>
        <v>DEFERRED</v>
      </c>
      <c r="BM513" s="129" t="str">
        <f t="shared" si="356"/>
        <v>NONE</v>
      </c>
      <c r="BN513" s="129" t="s">
        <v>566</v>
      </c>
      <c r="BP513" s="137" t="str">
        <f t="shared" si="357"/>
        <v>DEFERRED</v>
      </c>
      <c r="BQ513" s="128" t="str">
        <f t="shared" si="358"/>
        <v>Y</v>
      </c>
      <c r="BR513" s="129" t="str">
        <f t="shared" si="359"/>
        <v>DETAINED</v>
      </c>
      <c r="BS513" s="129" t="str">
        <f t="shared" si="360"/>
        <v>DISPOSED</v>
      </c>
      <c r="BT513" s="129" t="str">
        <f t="shared" si="361"/>
        <v>Y</v>
      </c>
      <c r="BU513" s="109">
        <f t="shared" si="362"/>
        <v>1</v>
      </c>
      <c r="BV513" s="109">
        <f t="shared" si="363"/>
        <v>1</v>
      </c>
      <c r="BW513" s="109">
        <f t="shared" si="381"/>
        <v>0</v>
      </c>
      <c r="BX513" s="111">
        <f t="shared" si="364"/>
        <v>0</v>
      </c>
      <c r="BY513" s="129">
        <f t="shared" si="365"/>
        <v>-107</v>
      </c>
      <c r="BZ513" s="111">
        <f t="shared" si="366"/>
        <v>0</v>
      </c>
      <c r="CA513" s="138">
        <f t="shared" si="367"/>
        <v>107</v>
      </c>
      <c r="CB513" s="111" t="e">
        <f t="shared" si="390"/>
        <v>#VALUE!</v>
      </c>
      <c r="CC513" s="129">
        <f>G513-I513+1</f>
        <v>107</v>
      </c>
      <c r="CD513" s="129">
        <f>G513-J513</f>
        <v>0</v>
      </c>
      <c r="CE513" s="129">
        <f t="shared" si="368"/>
        <v>0</v>
      </c>
      <c r="CG513" s="129" t="str">
        <f t="shared" si="369"/>
        <v>Y</v>
      </c>
      <c r="CI513" s="129" t="str">
        <f t="shared" si="370"/>
        <v>91-120 DAYS</v>
      </c>
      <c r="CJ513" s="137">
        <f t="shared" si="371"/>
        <v>0</v>
      </c>
      <c r="CK513" s="129" t="str">
        <f t="shared" si="372"/>
        <v>Booked</v>
      </c>
    </row>
    <row r="514" spans="1:89" ht="15.75" customHeight="1" x14ac:dyDescent="0.25">
      <c r="A514" s="111">
        <v>3237</v>
      </c>
      <c r="B514" s="128" t="str">
        <f t="shared" si="352"/>
        <v>N</v>
      </c>
      <c r="C514" s="128" t="str">
        <f t="shared" si="353"/>
        <v>N</v>
      </c>
      <c r="D514" s="117">
        <v>1232896</v>
      </c>
      <c r="E514" s="135" t="str">
        <f t="shared" si="354"/>
        <v/>
      </c>
      <c r="F514" s="124">
        <v>41028</v>
      </c>
      <c r="G514" s="123"/>
      <c r="H514" s="117">
        <v>1232896</v>
      </c>
      <c r="I514" s="124">
        <v>41028</v>
      </c>
      <c r="J514" s="123">
        <v>41305</v>
      </c>
      <c r="K514" s="126">
        <v>40000</v>
      </c>
      <c r="L514" s="129" t="s">
        <v>572</v>
      </c>
      <c r="M514" s="125">
        <v>41305</v>
      </c>
      <c r="N514" s="129" t="str">
        <f t="shared" si="391"/>
        <v>Y</v>
      </c>
      <c r="O514" s="128" t="s">
        <v>160</v>
      </c>
      <c r="P514" s="32" t="s">
        <v>550</v>
      </c>
      <c r="Q514" s="111" t="str">
        <f>BF514</f>
        <v>STILL OPEN</v>
      </c>
      <c r="R514" s="111" t="str">
        <f t="shared" ref="R514" si="392">BH514</f>
        <v>STILL OPEN</v>
      </c>
      <c r="S514" s="129">
        <v>9</v>
      </c>
      <c r="T514" s="129">
        <v>5</v>
      </c>
      <c r="V514" s="117">
        <v>1</v>
      </c>
      <c r="W514" s="111"/>
      <c r="AC514" s="130"/>
      <c r="AD514" s="130">
        <v>27277</v>
      </c>
      <c r="AE514" s="128" t="s">
        <v>32</v>
      </c>
      <c r="AF514" s="128" t="s">
        <v>69</v>
      </c>
      <c r="AG514" s="128" t="s">
        <v>874</v>
      </c>
      <c r="AH514" s="108" t="s">
        <v>58</v>
      </c>
      <c r="AI514" s="128" t="s">
        <v>141</v>
      </c>
      <c r="AJ514" s="32" t="s">
        <v>537</v>
      </c>
      <c r="AP514" s="129" t="s">
        <v>73</v>
      </c>
      <c r="AR514" s="128" t="s">
        <v>50</v>
      </c>
      <c r="AS514" s="129" t="s">
        <v>74</v>
      </c>
      <c r="AT514" s="129" t="s">
        <v>1403</v>
      </c>
      <c r="BC514" s="129" t="s">
        <v>99</v>
      </c>
      <c r="BF514" s="111" t="s">
        <v>588</v>
      </c>
      <c r="BG514" s="111" t="str">
        <f t="shared" si="389"/>
        <v>STILL OPEN</v>
      </c>
      <c r="BH514" s="111" t="str">
        <f t="shared" ref="BH514" si="393">IF(G514&gt;1/1/1900,((G514+1)-F514),"STILL OPEN")</f>
        <v>STILL OPEN</v>
      </c>
      <c r="BI514" s="111">
        <f t="shared" ref="BI514" si="394">(F514-AD514)/366</f>
        <v>37.571038251366119</v>
      </c>
      <c r="BJ514" s="129">
        <f>(G514-J514)+(M514-G514)</f>
        <v>0</v>
      </c>
      <c r="BK514" s="129">
        <f t="shared" ref="BK514" si="395">J514-G514</f>
        <v>41305</v>
      </c>
      <c r="BL514" s="129">
        <f t="shared" ref="BL514" si="396">IF(OR(AL514="AQUITTAL",AL514="DISMISSED",AL514="FINE",AL514="NO BILL"),"NO CONVICTION",IF(OR(AL514="HCJ",AL514="MHH",AL514="PROBATION",AL514="STJ",AL514="TDC"),"CONVICTION",IF(AL514="DEFERRED","DEFERRED",0)))</f>
        <v>0</v>
      </c>
      <c r="BM514" s="129" t="str">
        <f t="shared" si="356"/>
        <v>PTR</v>
      </c>
      <c r="BN514" s="129" t="s">
        <v>566</v>
      </c>
      <c r="BP514" s="137"/>
      <c r="BQ514" s="128" t="str">
        <f t="shared" si="358"/>
        <v>Y</v>
      </c>
      <c r="BR514" s="129" t="str">
        <f t="shared" si="359"/>
        <v>STILL OPEN</v>
      </c>
      <c r="BS514" s="129" t="s">
        <v>588</v>
      </c>
      <c r="BT514" s="129" t="str">
        <f t="shared" si="361"/>
        <v>Y</v>
      </c>
      <c r="BU514" s="129" t="s">
        <v>588</v>
      </c>
      <c r="BV514" s="129" t="s">
        <v>588</v>
      </c>
      <c r="BW514" s="109">
        <v>0</v>
      </c>
      <c r="BX514" s="111" t="e">
        <f t="shared" si="364"/>
        <v>#VALUE!</v>
      </c>
      <c r="BY514" s="129">
        <f t="shared" si="365"/>
        <v>-278</v>
      </c>
      <c r="BZ514" s="111" t="e">
        <f t="shared" si="366"/>
        <v>#VALUE!</v>
      </c>
      <c r="CA514" s="138" t="e">
        <f t="shared" si="367"/>
        <v>#VALUE!</v>
      </c>
      <c r="CB514" s="111" t="s">
        <v>588</v>
      </c>
      <c r="CC514" s="129" t="s">
        <v>588</v>
      </c>
      <c r="CE514" s="129">
        <f t="shared" si="368"/>
        <v>-41305</v>
      </c>
      <c r="CG514" s="129" t="str">
        <f t="shared" si="369"/>
        <v>Y</v>
      </c>
      <c r="CH514" s="129" t="e">
        <v>#N/A</v>
      </c>
      <c r="CI514" s="129" t="str">
        <f t="shared" si="370"/>
        <v>&gt;3YRS</v>
      </c>
      <c r="CJ514" s="137">
        <f t="shared" si="371"/>
        <v>9</v>
      </c>
      <c r="CK514" s="129" t="str">
        <f t="shared" si="372"/>
        <v>Booked</v>
      </c>
    </row>
    <row r="515" spans="1:89" ht="15.75" customHeight="1" x14ac:dyDescent="0.25">
      <c r="A515" s="111">
        <v>1364</v>
      </c>
      <c r="B515" s="128" t="str">
        <f t="shared" ref="B515:B578" si="397">IF(BD515&lt;&gt;"","Y","N")</f>
        <v>N</v>
      </c>
      <c r="C515" s="128" t="str">
        <f t="shared" ref="C515:C578" si="398">IF((AND(AV515="",AX515="",AY515="")),"N","Y")</f>
        <v>N</v>
      </c>
      <c r="D515" s="117">
        <v>1233510</v>
      </c>
      <c r="E515" s="135">
        <f t="shared" ref="E515:E578" si="399">IF(OR(AL515="ACQUITTAL",AL515="ACQUIT",AL515="acq insane",AL515="DISMISSED",AL515="NO BILL"),1,IF(AL515="DEFERRED",2,IF(AL515="PROBATION",3,IF(OR(AL515="HCJ",AL515="fine"),4,IF(AL515="STJ",5,IF(AL515="TDC",6,""))))))</f>
        <v>5</v>
      </c>
      <c r="F515" s="124">
        <v>40958</v>
      </c>
      <c r="G515" s="125">
        <v>41086</v>
      </c>
      <c r="H515" s="117">
        <v>1233510</v>
      </c>
      <c r="I515" s="124">
        <v>40959</v>
      </c>
      <c r="J515" s="124">
        <v>41086</v>
      </c>
      <c r="K515" s="126">
        <v>15000</v>
      </c>
      <c r="L515" s="127" t="s">
        <v>571</v>
      </c>
      <c r="N515" s="129" t="str">
        <f t="shared" si="391"/>
        <v>N</v>
      </c>
      <c r="O515" s="128" t="s">
        <v>917</v>
      </c>
      <c r="P515" s="129" t="s">
        <v>39</v>
      </c>
      <c r="Q515" s="111">
        <f t="shared" si="383"/>
        <v>128</v>
      </c>
      <c r="R515" s="111">
        <f t="shared" ref="R515:R577" si="400">BH515</f>
        <v>129</v>
      </c>
      <c r="S515" s="129">
        <v>6</v>
      </c>
      <c r="T515" s="129">
        <v>7</v>
      </c>
      <c r="U515" s="129">
        <v>4</v>
      </c>
      <c r="W515" s="111"/>
      <c r="AC515" s="130"/>
      <c r="AD515" s="130">
        <v>27302</v>
      </c>
      <c r="AE515" s="128" t="s">
        <v>32</v>
      </c>
      <c r="AF515" s="128" t="s">
        <v>33</v>
      </c>
      <c r="AG515" s="128" t="s">
        <v>872</v>
      </c>
      <c r="AH515" s="108" t="s">
        <v>58</v>
      </c>
      <c r="AI515" s="128" t="s">
        <v>42</v>
      </c>
      <c r="AJ515" s="129" t="s">
        <v>89</v>
      </c>
      <c r="AK515" s="129">
        <v>5</v>
      </c>
      <c r="AL515" s="3" t="s">
        <v>992</v>
      </c>
      <c r="AN515" s="117">
        <v>7</v>
      </c>
      <c r="AP515" s="129" t="s">
        <v>78</v>
      </c>
      <c r="AR515" s="128" t="s">
        <v>44</v>
      </c>
      <c r="AS515" s="129" t="s">
        <v>64</v>
      </c>
      <c r="BC515" s="129" t="s">
        <v>38</v>
      </c>
      <c r="BF515" s="111">
        <f t="shared" si="388"/>
        <v>128</v>
      </c>
      <c r="BG515" s="111">
        <f t="shared" si="389"/>
        <v>128</v>
      </c>
      <c r="BH515" s="111">
        <f t="shared" ref="BH515:BH577" si="401">IF(G515&gt;1/1/1900,((G515+1)-F515),"STILL OPEN")</f>
        <v>129</v>
      </c>
      <c r="BI515" s="111">
        <f t="shared" ref="BI515:BI577" si="402">(F515-AD515)/366</f>
        <v>37.311475409836063</v>
      </c>
      <c r="BJ515" s="129">
        <f t="shared" ref="BJ515:BJ577" si="403">G515-J515-M515</f>
        <v>0</v>
      </c>
      <c r="BK515" s="129">
        <f t="shared" ref="BK515:BK577" si="404">J515-G515</f>
        <v>0</v>
      </c>
      <c r="BL515" s="129" t="str">
        <f t="shared" ref="BL515:BL535" si="405">IF(OR(AL515="AQUITTAL",AL515="DISMISSED",AL515="FINE",AL515="NO BILL"),"NO CONVICTION",IF(OR(AL515="HCJ",AL515="MHH",AL515="PROBATION",AL515="STJ",AL515="TDC"),"CONVICTION",IF(AL515="DEFERRED","DEFERRED",0)))</f>
        <v>CONVICTION</v>
      </c>
      <c r="BM515" s="129" t="str">
        <f t="shared" ref="BM515:BM577" si="406">O515</f>
        <v>NONE</v>
      </c>
      <c r="BN515" s="129" t="s">
        <v>566</v>
      </c>
      <c r="BP515" s="137" t="str">
        <f t="shared" ref="BP515:BP578" si="407">IF(OR(AJ515="AQUITTAL",AJ515="DISMISSED",AJ515="FINE",AJ515="NO BILL"),"NO CONVICTION",IF(OR(AJ515="HCJ",AJ515="MHH",AJ515="PROBATION",AJ515="STJ",AJ515="TDC",AJ515="CONVICTED"),"CONVICTION",IF(AJ515="DEFERRED","DEFERRED","")))</f>
        <v>CONVICTION</v>
      </c>
      <c r="BQ515" s="128" t="str">
        <f t="shared" ref="BQ515:BQ578" si="408">IF(BF515&gt;0,"Y",BF515)</f>
        <v>Y</v>
      </c>
      <c r="BR515" s="129" t="str">
        <f t="shared" ref="BR515:BR578" si="409">IF(AND(J515="NOT BOOKED",M515&gt;1/1/1),"BONDED - BEFORE BOOKED",IF(BG515="STILL OPEN","STILL OPEN",IF(N515="Y","ON BOND",IF(J515&gt;=G515,"DETAINED","RELEASED"))))</f>
        <v>DETAINED</v>
      </c>
      <c r="BS515" s="129" t="str">
        <f t="shared" ref="BS515:BS578" si="410">IF(G515&lt;&gt;"","DISPOSED","")</f>
        <v>DISPOSED</v>
      </c>
      <c r="BT515" s="129" t="str">
        <f t="shared" ref="BT515:BT578" si="411">IF(S515&gt;0,"Y","N")</f>
        <v>Y</v>
      </c>
      <c r="BU515" s="109">
        <f t="shared" ref="BU515:BU577" si="412">Q515/R515</f>
        <v>0.99224806201550386</v>
      </c>
      <c r="BV515" s="109">
        <f t="shared" ref="BV515:BV578" si="413">IF(I515&gt;F515,((J515-I515+1)/(G515-I515+1)),(J515-I515+1)/(G515-F515+1))</f>
        <v>1</v>
      </c>
      <c r="BW515" s="109">
        <f t="shared" ref="BW515:BW578" si="414">BV515-BU515</f>
        <v>7.7519379844961378E-3</v>
      </c>
      <c r="BX515" s="111">
        <f t="shared" ref="BX515:BX578" si="415">+Q515-BF515</f>
        <v>0</v>
      </c>
      <c r="BY515" s="129">
        <f t="shared" ref="BY515:BY578" si="416">I515-J515-1</f>
        <v>-128</v>
      </c>
      <c r="BZ515" s="111">
        <f t="shared" ref="BZ515:BZ578" si="417">BY515+BF515</f>
        <v>0</v>
      </c>
      <c r="CA515" s="138">
        <f t="shared" ref="CA515:CA578" si="418">IF(AND(BS515="DISPOSED",BR515="DETAINED"),G515-I515+1,IF(AND(BS515="DISPOSED",BR515="ON BOND"),M515-I515+1,IF(AND(BS515="STILL OPEN","STILL OPEN"),"NOT BOOKED")))</f>
        <v>128</v>
      </c>
      <c r="CB515" s="111" t="e">
        <f t="shared" si="390"/>
        <v>#VALUE!</v>
      </c>
      <c r="CC515" s="129">
        <f>G515-I515+1</f>
        <v>128</v>
      </c>
      <c r="CD515" s="129">
        <f>G515-J515</f>
        <v>0</v>
      </c>
      <c r="CE515" s="129">
        <f t="shared" ref="CE515:CE578" si="419">G515-J515</f>
        <v>0</v>
      </c>
      <c r="CG515" s="129" t="str">
        <f t="shared" ref="CG515:CG578" si="420">IF((S515+T515+U515)&gt;0,"Y","N")</f>
        <v>Y</v>
      </c>
      <c r="CI515" s="129" t="str">
        <f t="shared" ref="CI515:CI578" si="421">IF(BF515&lt;11,"0-10 DAYS",IF(AND(BF515&gt;10,BF515&lt;31),"11-30 DAYS",IF((AND(BF515&gt;30,BF515&lt;61)),"31-60 DAYS",IF(AND(BF515&gt;60,BF515&lt;91),"61-90 DAYS",IF(AND(BF515&gt;90,BF515&lt;121),"91-120 DAYS",IF(AND(BF515&gt;120,BF515&lt;366),"121-365 DAYS",IF(AND(BF515&gt;365,BF515&lt;730)," &gt;1YRS&lt;2YRS",IF(AND(BF515&gt;729,BF515&lt;1095),"&gt;2YRS&lt;3YRS",IF(BF515&gt;1094,"&gt;3YRS")))))))))</f>
        <v>121-365 DAYS</v>
      </c>
      <c r="CJ515" s="137">
        <f t="shared" ref="CJ515:CJ578" si="422">IF(CI515="0-10 DAYS",1,IF(CI515="11-30 DAYS",2,IF(CI515="31-60 DAYS",3,IF(CI515="61-90 DAYS",4,IF(CK515="91-120 DAYS",5,IF(CI515="121-365 DAYS",6,IF(CI515="&gt;1YRS&lt;2YRS",7,IF(CI515="&gt;2YRS&lt;3YRS",8,IF(CI515="&gt;3YRS",9,0)))))))))</f>
        <v>6</v>
      </c>
      <c r="CK515" s="129" t="str">
        <f t="shared" ref="CK515:CK578" si="423">IF(I515="Not Booked","Not Booked","Booked")</f>
        <v>Booked</v>
      </c>
    </row>
    <row r="516" spans="1:89" ht="15.75" customHeight="1" x14ac:dyDescent="0.25">
      <c r="A516" s="111">
        <v>2744</v>
      </c>
      <c r="B516" s="128" t="str">
        <f t="shared" si="397"/>
        <v>N</v>
      </c>
      <c r="C516" s="128" t="str">
        <f t="shared" si="398"/>
        <v>N</v>
      </c>
      <c r="D516" s="117">
        <v>1234692</v>
      </c>
      <c r="E516" s="135">
        <f t="shared" si="399"/>
        <v>4</v>
      </c>
      <c r="F516" s="124">
        <v>41010</v>
      </c>
      <c r="G516" s="125">
        <v>41012</v>
      </c>
      <c r="H516" s="117">
        <v>1234692</v>
      </c>
      <c r="I516" s="124">
        <v>41011</v>
      </c>
      <c r="J516" s="124">
        <v>41012</v>
      </c>
      <c r="K516" s="126">
        <v>15000</v>
      </c>
      <c r="L516" s="127" t="s">
        <v>571</v>
      </c>
      <c r="N516" s="129" t="str">
        <f t="shared" si="391"/>
        <v>N</v>
      </c>
      <c r="O516" s="128" t="s">
        <v>917</v>
      </c>
      <c r="P516" s="129" t="s">
        <v>39</v>
      </c>
      <c r="Q516" s="111">
        <f t="shared" si="383"/>
        <v>2</v>
      </c>
      <c r="R516" s="111">
        <f t="shared" si="400"/>
        <v>3</v>
      </c>
      <c r="S516" s="129">
        <v>3</v>
      </c>
      <c r="T516" s="129">
        <v>2</v>
      </c>
      <c r="U516" s="129">
        <v>1</v>
      </c>
      <c r="W516" s="111"/>
      <c r="AC516" s="130"/>
      <c r="AD516" s="130">
        <v>26648</v>
      </c>
      <c r="AE516" s="128" t="s">
        <v>32</v>
      </c>
      <c r="AF516" s="128" t="s">
        <v>69</v>
      </c>
      <c r="AG516" s="128" t="s">
        <v>874</v>
      </c>
      <c r="AH516" s="108" t="s">
        <v>58</v>
      </c>
      <c r="AI516" s="128" t="s">
        <v>95</v>
      </c>
      <c r="AJ516" s="129" t="s">
        <v>89</v>
      </c>
      <c r="AK516" s="129">
        <v>1</v>
      </c>
      <c r="AL516" s="3" t="s">
        <v>991</v>
      </c>
      <c r="AO516" s="128">
        <v>180</v>
      </c>
      <c r="AP516" s="129" t="s">
        <v>43</v>
      </c>
      <c r="AR516" s="128" t="s">
        <v>44</v>
      </c>
      <c r="AS516" s="129" t="s">
        <v>45</v>
      </c>
      <c r="AT516" s="129" t="s">
        <v>481</v>
      </c>
      <c r="BC516" s="129" t="s">
        <v>38</v>
      </c>
      <c r="BF516" s="111">
        <f t="shared" si="388"/>
        <v>2</v>
      </c>
      <c r="BG516" s="111">
        <f t="shared" si="389"/>
        <v>2</v>
      </c>
      <c r="BH516" s="111">
        <f t="shared" si="401"/>
        <v>3</v>
      </c>
      <c r="BI516" s="111">
        <f t="shared" si="402"/>
        <v>39.240437158469945</v>
      </c>
      <c r="BJ516" s="129">
        <f t="shared" si="403"/>
        <v>0</v>
      </c>
      <c r="BK516" s="129">
        <f t="shared" si="404"/>
        <v>0</v>
      </c>
      <c r="BL516" s="129" t="str">
        <f t="shared" si="405"/>
        <v>CONVICTION</v>
      </c>
      <c r="BM516" s="129" t="str">
        <f t="shared" si="406"/>
        <v>NONE</v>
      </c>
      <c r="BN516" s="129" t="s">
        <v>566</v>
      </c>
      <c r="BP516" s="137" t="str">
        <f t="shared" si="407"/>
        <v>CONVICTION</v>
      </c>
      <c r="BQ516" s="128" t="str">
        <f t="shared" si="408"/>
        <v>Y</v>
      </c>
      <c r="BR516" s="129" t="str">
        <f t="shared" si="409"/>
        <v>DETAINED</v>
      </c>
      <c r="BS516" s="129" t="str">
        <f t="shared" si="410"/>
        <v>DISPOSED</v>
      </c>
      <c r="BT516" s="129" t="str">
        <f t="shared" si="411"/>
        <v>Y</v>
      </c>
      <c r="BU516" s="109">
        <f t="shared" si="412"/>
        <v>0.66666666666666663</v>
      </c>
      <c r="BV516" s="109">
        <f t="shared" si="413"/>
        <v>1</v>
      </c>
      <c r="BW516" s="109">
        <f t="shared" si="414"/>
        <v>0.33333333333333337</v>
      </c>
      <c r="BX516" s="111">
        <f t="shared" si="415"/>
        <v>0</v>
      </c>
      <c r="BY516" s="129">
        <f t="shared" si="416"/>
        <v>-2</v>
      </c>
      <c r="BZ516" s="111">
        <f t="shared" si="417"/>
        <v>0</v>
      </c>
      <c r="CA516" s="138">
        <f t="shared" si="418"/>
        <v>2</v>
      </c>
      <c r="CB516" s="111" t="e">
        <f t="shared" si="390"/>
        <v>#VALUE!</v>
      </c>
      <c r="CC516" s="129">
        <f>G516-I516+1</f>
        <v>2</v>
      </c>
      <c r="CD516" s="129">
        <f>G516-J516</f>
        <v>0</v>
      </c>
      <c r="CE516" s="129">
        <f t="shared" si="419"/>
        <v>0</v>
      </c>
      <c r="CG516" s="129" t="str">
        <f t="shared" si="420"/>
        <v>Y</v>
      </c>
      <c r="CI516" s="129" t="str">
        <f t="shared" si="421"/>
        <v>0-10 DAYS</v>
      </c>
      <c r="CJ516" s="137">
        <f t="shared" si="422"/>
        <v>1</v>
      </c>
      <c r="CK516" s="129" t="str">
        <f t="shared" si="423"/>
        <v>Booked</v>
      </c>
    </row>
    <row r="517" spans="1:89" ht="15.75" customHeight="1" x14ac:dyDescent="0.25">
      <c r="A517" s="111">
        <v>2622</v>
      </c>
      <c r="B517" s="128" t="str">
        <f t="shared" si="397"/>
        <v>N</v>
      </c>
      <c r="C517" s="128" t="str">
        <f t="shared" si="398"/>
        <v>N</v>
      </c>
      <c r="D517" s="117">
        <v>1235053</v>
      </c>
      <c r="E517" s="135">
        <f t="shared" si="399"/>
        <v>3</v>
      </c>
      <c r="F517" s="124">
        <v>41006</v>
      </c>
      <c r="G517" s="125">
        <v>41232</v>
      </c>
      <c r="H517" s="117">
        <v>1235053</v>
      </c>
      <c r="I517" s="124">
        <v>41006</v>
      </c>
      <c r="J517" s="124">
        <v>41007</v>
      </c>
      <c r="K517" s="126">
        <v>10000</v>
      </c>
      <c r="L517" s="127" t="s">
        <v>570</v>
      </c>
      <c r="M517" s="125">
        <v>41007</v>
      </c>
      <c r="N517" s="129" t="str">
        <f t="shared" si="391"/>
        <v>Y</v>
      </c>
      <c r="O517" s="128" t="s">
        <v>585</v>
      </c>
      <c r="P517" s="129" t="s">
        <v>39</v>
      </c>
      <c r="Q517" s="111">
        <f t="shared" si="383"/>
        <v>2</v>
      </c>
      <c r="R517" s="111">
        <f t="shared" si="400"/>
        <v>227</v>
      </c>
      <c r="S517" s="129">
        <v>0</v>
      </c>
      <c r="T517" s="129">
        <v>2</v>
      </c>
      <c r="W517" s="111"/>
      <c r="AC517" s="130"/>
      <c r="AD517" s="130">
        <v>19316</v>
      </c>
      <c r="AE517" s="128" t="s">
        <v>32</v>
      </c>
      <c r="AF517" s="128" t="s">
        <v>69</v>
      </c>
      <c r="AG517" s="128" t="s">
        <v>874</v>
      </c>
      <c r="AH517" s="108" t="s">
        <v>31</v>
      </c>
      <c r="AI517" s="128" t="s">
        <v>72</v>
      </c>
      <c r="AJ517" s="129" t="s">
        <v>89</v>
      </c>
      <c r="AK517" s="129">
        <v>8</v>
      </c>
      <c r="AL517" s="3" t="s">
        <v>185</v>
      </c>
      <c r="AO517" s="128">
        <v>5</v>
      </c>
      <c r="AP517" s="129" t="s">
        <v>66</v>
      </c>
      <c r="AR517" s="128" t="s">
        <v>67</v>
      </c>
      <c r="AS517" s="129" t="s">
        <v>68</v>
      </c>
      <c r="BC517" s="129" t="s">
        <v>52</v>
      </c>
      <c r="BF517" s="111">
        <f t="shared" si="388"/>
        <v>2</v>
      </c>
      <c r="BG517" s="111">
        <f t="shared" si="389"/>
        <v>227</v>
      </c>
      <c r="BH517" s="111">
        <f t="shared" si="401"/>
        <v>227</v>
      </c>
      <c r="BI517" s="111">
        <f t="shared" si="402"/>
        <v>59.26229508196721</v>
      </c>
      <c r="BJ517" s="129">
        <f>(G517-J517)+(M517-G517)</f>
        <v>0</v>
      </c>
      <c r="BK517" s="129">
        <f t="shared" si="404"/>
        <v>-225</v>
      </c>
      <c r="BL517" s="129" t="str">
        <f t="shared" si="405"/>
        <v>CONVICTION</v>
      </c>
      <c r="BM517" s="129" t="s">
        <v>76</v>
      </c>
      <c r="BN517" s="129" t="s">
        <v>88</v>
      </c>
      <c r="BP517" s="137" t="str">
        <f t="shared" si="407"/>
        <v>CONVICTION</v>
      </c>
      <c r="BQ517" s="128" t="str">
        <f t="shared" si="408"/>
        <v>Y</v>
      </c>
      <c r="BR517" s="129" t="str">
        <f>IF(J517&lt;G517,"ON BOND",0)</f>
        <v>ON BOND</v>
      </c>
      <c r="BS517" s="129" t="str">
        <f t="shared" si="410"/>
        <v>DISPOSED</v>
      </c>
      <c r="BT517" s="129" t="str">
        <f t="shared" si="411"/>
        <v>N</v>
      </c>
      <c r="BU517" s="109">
        <f t="shared" si="412"/>
        <v>8.8105726872246704E-3</v>
      </c>
      <c r="BV517" s="109">
        <f t="shared" si="413"/>
        <v>8.8105726872246704E-3</v>
      </c>
      <c r="BW517" s="109">
        <f t="shared" si="414"/>
        <v>0</v>
      </c>
      <c r="BX517" s="111">
        <f t="shared" si="415"/>
        <v>0</v>
      </c>
      <c r="BY517" s="129">
        <f t="shared" si="416"/>
        <v>-2</v>
      </c>
      <c r="BZ517" s="111">
        <f t="shared" si="417"/>
        <v>0</v>
      </c>
      <c r="CA517" s="138">
        <f t="shared" si="418"/>
        <v>2</v>
      </c>
      <c r="CB517" s="111" t="e">
        <f t="shared" si="390"/>
        <v>#VALUE!</v>
      </c>
      <c r="CC517" s="129">
        <f>M517-I517+1</f>
        <v>2</v>
      </c>
      <c r="CD517" s="111">
        <f>CC517-BF517</f>
        <v>0</v>
      </c>
      <c r="CE517" s="129">
        <f t="shared" si="419"/>
        <v>225</v>
      </c>
      <c r="CG517" s="129" t="str">
        <f t="shared" si="420"/>
        <v>Y</v>
      </c>
      <c r="CI517" s="129" t="str">
        <f t="shared" si="421"/>
        <v>0-10 DAYS</v>
      </c>
      <c r="CJ517" s="137">
        <f t="shared" si="422"/>
        <v>1</v>
      </c>
      <c r="CK517" s="129" t="str">
        <f t="shared" si="423"/>
        <v>Booked</v>
      </c>
    </row>
    <row r="518" spans="1:89" ht="15.75" customHeight="1" x14ac:dyDescent="0.25">
      <c r="A518" s="111">
        <v>174</v>
      </c>
      <c r="B518" s="128" t="str">
        <f t="shared" si="397"/>
        <v>N</v>
      </c>
      <c r="C518" s="128" t="str">
        <f t="shared" si="398"/>
        <v>N</v>
      </c>
      <c r="D518" s="117">
        <v>1236532</v>
      </c>
      <c r="E518" s="135">
        <f t="shared" si="399"/>
        <v>5</v>
      </c>
      <c r="F518" s="124">
        <v>40916</v>
      </c>
      <c r="G518" s="125">
        <v>40927</v>
      </c>
      <c r="H518" s="117">
        <v>1236532</v>
      </c>
      <c r="I518" s="124">
        <v>40916</v>
      </c>
      <c r="J518" s="124">
        <v>40927</v>
      </c>
      <c r="K518" s="126">
        <v>15000</v>
      </c>
      <c r="L518" s="127" t="s">
        <v>571</v>
      </c>
      <c r="N518" s="129" t="str">
        <f t="shared" si="391"/>
        <v>N</v>
      </c>
      <c r="O518" s="128" t="s">
        <v>917</v>
      </c>
      <c r="P518" s="129" t="s">
        <v>39</v>
      </c>
      <c r="Q518" s="111">
        <f t="shared" si="383"/>
        <v>12</v>
      </c>
      <c r="R518" s="111">
        <f t="shared" si="400"/>
        <v>12</v>
      </c>
      <c r="S518" s="129">
        <v>9</v>
      </c>
      <c r="T518" s="129">
        <v>10</v>
      </c>
      <c r="U518" s="129">
        <v>8</v>
      </c>
      <c r="W518" s="111"/>
      <c r="AC518" s="130"/>
      <c r="AD518" s="130">
        <v>24331</v>
      </c>
      <c r="AE518" s="128" t="s">
        <v>32</v>
      </c>
      <c r="AF518" s="128" t="s">
        <v>33</v>
      </c>
      <c r="AG518" s="128" t="s">
        <v>872</v>
      </c>
      <c r="AH518" s="108" t="s">
        <v>58</v>
      </c>
      <c r="AI518" s="128" t="s">
        <v>95</v>
      </c>
      <c r="AJ518" s="129" t="s">
        <v>89</v>
      </c>
      <c r="AK518" s="129">
        <v>2</v>
      </c>
      <c r="AL518" s="3" t="s">
        <v>992</v>
      </c>
      <c r="AN518" s="117">
        <v>8</v>
      </c>
      <c r="AP518" s="129" t="s">
        <v>107</v>
      </c>
      <c r="AR518" s="128" t="s">
        <v>44</v>
      </c>
      <c r="AS518" s="129" t="s">
        <v>57</v>
      </c>
      <c r="BC518" s="129" t="s">
        <v>38</v>
      </c>
      <c r="BF518" s="111">
        <f t="shared" si="388"/>
        <v>12</v>
      </c>
      <c r="BG518" s="111">
        <f t="shared" si="389"/>
        <v>12</v>
      </c>
      <c r="BH518" s="111">
        <f t="shared" si="401"/>
        <v>12</v>
      </c>
      <c r="BI518" s="111">
        <f t="shared" si="402"/>
        <v>45.314207650273225</v>
      </c>
      <c r="BJ518" s="129">
        <f t="shared" si="403"/>
        <v>0</v>
      </c>
      <c r="BK518" s="129">
        <f t="shared" si="404"/>
        <v>0</v>
      </c>
      <c r="BL518" s="129" t="str">
        <f t="shared" si="405"/>
        <v>CONVICTION</v>
      </c>
      <c r="BM518" s="129" t="str">
        <f t="shared" si="406"/>
        <v>NONE</v>
      </c>
      <c r="BN518" s="129" t="s">
        <v>566</v>
      </c>
      <c r="BP518" s="137" t="str">
        <f t="shared" si="407"/>
        <v>CONVICTION</v>
      </c>
      <c r="BQ518" s="128" t="str">
        <f t="shared" si="408"/>
        <v>Y</v>
      </c>
      <c r="BR518" s="129" t="str">
        <f t="shared" si="409"/>
        <v>DETAINED</v>
      </c>
      <c r="BS518" s="129" t="str">
        <f t="shared" si="410"/>
        <v>DISPOSED</v>
      </c>
      <c r="BT518" s="129" t="str">
        <f t="shared" si="411"/>
        <v>Y</v>
      </c>
      <c r="BU518" s="109">
        <f t="shared" si="412"/>
        <v>1</v>
      </c>
      <c r="BV518" s="109">
        <f t="shared" si="413"/>
        <v>1</v>
      </c>
      <c r="BW518" s="109">
        <f t="shared" si="414"/>
        <v>0</v>
      </c>
      <c r="BX518" s="111">
        <f t="shared" si="415"/>
        <v>0</v>
      </c>
      <c r="BY518" s="129">
        <f t="shared" si="416"/>
        <v>-12</v>
      </c>
      <c r="BZ518" s="111">
        <f t="shared" si="417"/>
        <v>0</v>
      </c>
      <c r="CA518" s="138">
        <f t="shared" si="418"/>
        <v>12</v>
      </c>
      <c r="CB518" s="111" t="e">
        <f t="shared" si="390"/>
        <v>#VALUE!</v>
      </c>
      <c r="CC518" s="129">
        <f>G518-I518+1</f>
        <v>12</v>
      </c>
      <c r="CD518" s="129">
        <f>G518-J518</f>
        <v>0</v>
      </c>
      <c r="CE518" s="129">
        <f t="shared" si="419"/>
        <v>0</v>
      </c>
      <c r="CG518" s="129" t="str">
        <f t="shared" si="420"/>
        <v>Y</v>
      </c>
      <c r="CI518" s="129" t="str">
        <f t="shared" si="421"/>
        <v>11-30 DAYS</v>
      </c>
      <c r="CJ518" s="137">
        <f t="shared" si="422"/>
        <v>2</v>
      </c>
      <c r="CK518" s="129" t="str">
        <f t="shared" si="423"/>
        <v>Booked</v>
      </c>
    </row>
    <row r="519" spans="1:89" ht="15.75" customHeight="1" x14ac:dyDescent="0.25">
      <c r="A519" s="111">
        <v>1483</v>
      </c>
      <c r="B519" s="128" t="str">
        <f t="shared" si="397"/>
        <v>N</v>
      </c>
      <c r="C519" s="128" t="str">
        <f t="shared" si="398"/>
        <v>N</v>
      </c>
      <c r="D519" s="117">
        <v>1239351</v>
      </c>
      <c r="E519" s="135">
        <f t="shared" si="399"/>
        <v>5</v>
      </c>
      <c r="F519" s="124">
        <v>40963</v>
      </c>
      <c r="G519" s="125">
        <v>41284</v>
      </c>
      <c r="H519" s="117">
        <v>1239351</v>
      </c>
      <c r="I519" s="124">
        <v>40995</v>
      </c>
      <c r="J519" s="125">
        <v>41284</v>
      </c>
      <c r="K519" s="126" t="s">
        <v>564</v>
      </c>
      <c r="L519" s="127" t="s">
        <v>564</v>
      </c>
      <c r="N519" s="129" t="s">
        <v>566</v>
      </c>
      <c r="O519" s="128" t="s">
        <v>917</v>
      </c>
      <c r="P519" s="129" t="s">
        <v>39</v>
      </c>
      <c r="Q519" s="111">
        <f t="shared" si="383"/>
        <v>290</v>
      </c>
      <c r="R519" s="111">
        <f t="shared" si="400"/>
        <v>322</v>
      </c>
      <c r="S519" s="129">
        <v>11</v>
      </c>
      <c r="T519" s="129">
        <v>7</v>
      </c>
      <c r="U519" s="129">
        <v>5</v>
      </c>
      <c r="W519" s="111"/>
      <c r="AC519" s="130"/>
      <c r="AD519" s="130">
        <v>25888</v>
      </c>
      <c r="AE519" s="128" t="s">
        <v>32</v>
      </c>
      <c r="AF519" s="128" t="s">
        <v>33</v>
      </c>
      <c r="AG519" s="128" t="s">
        <v>872</v>
      </c>
      <c r="AH519" s="108" t="s">
        <v>58</v>
      </c>
      <c r="AI519" s="128" t="s">
        <v>80</v>
      </c>
      <c r="AJ519" s="129" t="s">
        <v>89</v>
      </c>
      <c r="AK519" s="129">
        <v>9</v>
      </c>
      <c r="AL519" s="3" t="s">
        <v>992</v>
      </c>
      <c r="AN519" s="117">
        <v>10</v>
      </c>
      <c r="AP519" s="129" t="s">
        <v>60</v>
      </c>
      <c r="AR519" s="128" t="s">
        <v>44</v>
      </c>
      <c r="AS519" s="129" t="s">
        <v>61</v>
      </c>
      <c r="BC519" s="129" t="s">
        <v>38</v>
      </c>
      <c r="BF519" s="111">
        <f t="shared" si="388"/>
        <v>290</v>
      </c>
      <c r="BG519" s="111">
        <f t="shared" si="389"/>
        <v>290</v>
      </c>
      <c r="BH519" s="111">
        <f t="shared" si="401"/>
        <v>322</v>
      </c>
      <c r="BI519" s="111">
        <f t="shared" si="402"/>
        <v>41.188524590163937</v>
      </c>
      <c r="BJ519" s="129">
        <f t="shared" si="403"/>
        <v>0</v>
      </c>
      <c r="BK519" s="129">
        <f t="shared" si="404"/>
        <v>0</v>
      </c>
      <c r="BL519" s="129" t="str">
        <f t="shared" si="405"/>
        <v>CONVICTION</v>
      </c>
      <c r="BM519" s="129" t="str">
        <f t="shared" si="406"/>
        <v>NONE</v>
      </c>
      <c r="BN519" s="129" t="s">
        <v>566</v>
      </c>
      <c r="BP519" s="137" t="str">
        <f t="shared" si="407"/>
        <v>CONVICTION</v>
      </c>
      <c r="BQ519" s="128" t="str">
        <f t="shared" si="408"/>
        <v>Y</v>
      </c>
      <c r="BR519" s="129" t="str">
        <f t="shared" si="409"/>
        <v>DETAINED</v>
      </c>
      <c r="BS519" s="129" t="str">
        <f t="shared" si="410"/>
        <v>DISPOSED</v>
      </c>
      <c r="BT519" s="129" t="str">
        <f t="shared" si="411"/>
        <v>Y</v>
      </c>
      <c r="BU519" s="109">
        <f t="shared" si="412"/>
        <v>0.90062111801242239</v>
      </c>
      <c r="BV519" s="109">
        <f t="shared" si="413"/>
        <v>1</v>
      </c>
      <c r="BW519" s="109">
        <f t="shared" si="414"/>
        <v>9.9378881987577605E-2</v>
      </c>
      <c r="BX519" s="111">
        <f t="shared" si="415"/>
        <v>0</v>
      </c>
      <c r="BY519" s="129">
        <f t="shared" si="416"/>
        <v>-290</v>
      </c>
      <c r="BZ519" s="111">
        <f t="shared" si="417"/>
        <v>0</v>
      </c>
      <c r="CA519" s="138">
        <f t="shared" si="418"/>
        <v>290</v>
      </c>
      <c r="CB519" s="111" t="e">
        <f t="shared" si="390"/>
        <v>#VALUE!</v>
      </c>
      <c r="CC519" s="129">
        <f>G519-I519+1</f>
        <v>290</v>
      </c>
      <c r="CD519" s="129">
        <f>G519-J519</f>
        <v>0</v>
      </c>
      <c r="CE519" s="129">
        <f t="shared" si="419"/>
        <v>0</v>
      </c>
      <c r="CG519" s="129" t="str">
        <f t="shared" si="420"/>
        <v>Y</v>
      </c>
      <c r="CI519" s="129" t="str">
        <f t="shared" si="421"/>
        <v>121-365 DAYS</v>
      </c>
      <c r="CJ519" s="137">
        <f t="shared" si="422"/>
        <v>6</v>
      </c>
      <c r="CK519" s="129" t="str">
        <f t="shared" si="423"/>
        <v>Booked</v>
      </c>
    </row>
    <row r="520" spans="1:89" ht="15" customHeight="1" x14ac:dyDescent="0.25">
      <c r="A520" s="111">
        <v>2732</v>
      </c>
      <c r="B520" s="128" t="str">
        <f t="shared" si="397"/>
        <v>N</v>
      </c>
      <c r="C520" s="128" t="str">
        <f t="shared" si="398"/>
        <v>N</v>
      </c>
      <c r="D520" s="117">
        <v>1241324</v>
      </c>
      <c r="E520" s="135">
        <f t="shared" si="399"/>
        <v>1</v>
      </c>
      <c r="F520" s="124">
        <v>41010</v>
      </c>
      <c r="G520" s="125">
        <v>41012</v>
      </c>
      <c r="H520" s="117">
        <v>1241324</v>
      </c>
      <c r="I520" s="124">
        <v>41010</v>
      </c>
      <c r="J520" s="124">
        <v>41012</v>
      </c>
      <c r="K520" s="126">
        <v>15000</v>
      </c>
      <c r="L520" s="127" t="s">
        <v>571</v>
      </c>
      <c r="N520" s="129" t="str">
        <f>IF(M520&gt;1/1/1,"Y","N")</f>
        <v>N</v>
      </c>
      <c r="O520" s="128" t="s">
        <v>917</v>
      </c>
      <c r="P520" s="129" t="s">
        <v>55</v>
      </c>
      <c r="Q520" s="111">
        <f t="shared" si="383"/>
        <v>3</v>
      </c>
      <c r="R520" s="111">
        <f t="shared" si="400"/>
        <v>3</v>
      </c>
      <c r="S520" s="32">
        <v>11</v>
      </c>
      <c r="T520" s="32">
        <v>7</v>
      </c>
      <c r="U520" s="32">
        <v>9</v>
      </c>
      <c r="V520" s="114"/>
      <c r="W520" s="111"/>
      <c r="AC520" s="130"/>
      <c r="AD520" s="130">
        <v>24118</v>
      </c>
      <c r="AE520" s="128" t="s">
        <v>32</v>
      </c>
      <c r="AF520" s="128" t="s">
        <v>69</v>
      </c>
      <c r="AG520" s="128" t="s">
        <v>874</v>
      </c>
      <c r="AH520" s="108" t="s">
        <v>31</v>
      </c>
      <c r="AI520" s="128" t="s">
        <v>65</v>
      </c>
      <c r="AJ520" s="129" t="s">
        <v>55</v>
      </c>
      <c r="AK520" s="129">
        <v>1</v>
      </c>
      <c r="AL520" s="3" t="s">
        <v>55</v>
      </c>
      <c r="AP520" s="129" t="s">
        <v>121</v>
      </c>
      <c r="AR520" s="128" t="s">
        <v>44</v>
      </c>
      <c r="AS520" s="129" t="s">
        <v>122</v>
      </c>
      <c r="BC520" s="129" t="s">
        <v>79</v>
      </c>
      <c r="BF520" s="111">
        <f t="shared" si="388"/>
        <v>3</v>
      </c>
      <c r="BG520" s="111">
        <f t="shared" si="389"/>
        <v>3</v>
      </c>
      <c r="BH520" s="111">
        <f t="shared" si="401"/>
        <v>3</v>
      </c>
      <c r="BI520" s="111">
        <f t="shared" si="402"/>
        <v>46.153005464480877</v>
      </c>
      <c r="BJ520" s="129">
        <f t="shared" si="403"/>
        <v>0</v>
      </c>
      <c r="BK520" s="129">
        <f t="shared" si="404"/>
        <v>0</v>
      </c>
      <c r="BL520" s="129" t="str">
        <f t="shared" si="405"/>
        <v>NO CONVICTION</v>
      </c>
      <c r="BM520" s="129" t="str">
        <f t="shared" si="406"/>
        <v>NONE</v>
      </c>
      <c r="BN520" s="129" t="s">
        <v>566</v>
      </c>
      <c r="BP520" s="137" t="str">
        <f t="shared" si="407"/>
        <v>NO CONVICTION</v>
      </c>
      <c r="BQ520" s="128" t="str">
        <f t="shared" si="408"/>
        <v>Y</v>
      </c>
      <c r="BR520" s="129" t="str">
        <f t="shared" si="409"/>
        <v>DETAINED</v>
      </c>
      <c r="BS520" s="129" t="str">
        <f t="shared" si="410"/>
        <v>DISPOSED</v>
      </c>
      <c r="BT520" s="129" t="str">
        <f t="shared" si="411"/>
        <v>Y</v>
      </c>
      <c r="BU520" s="109">
        <f>IFERROR(Q520/R520,BR520)</f>
        <v>1</v>
      </c>
      <c r="BV520" s="109">
        <f t="shared" si="413"/>
        <v>1</v>
      </c>
      <c r="BW520" s="109">
        <f t="shared" si="414"/>
        <v>0</v>
      </c>
      <c r="BX520" s="111">
        <f t="shared" si="415"/>
        <v>0</v>
      </c>
      <c r="BY520" s="129">
        <f t="shared" si="416"/>
        <v>-3</v>
      </c>
      <c r="BZ520" s="111">
        <f t="shared" si="417"/>
        <v>0</v>
      </c>
      <c r="CA520" s="138">
        <f t="shared" si="418"/>
        <v>3</v>
      </c>
      <c r="CB520" s="111" t="e">
        <f t="shared" si="390"/>
        <v>#VALUE!</v>
      </c>
      <c r="CC520" s="129">
        <f>G520-I520+1</f>
        <v>3</v>
      </c>
      <c r="CD520" s="129">
        <f>G520-J520</f>
        <v>0</v>
      </c>
      <c r="CE520" s="129">
        <f t="shared" si="419"/>
        <v>0</v>
      </c>
      <c r="CG520" s="129" t="str">
        <f t="shared" si="420"/>
        <v>Y</v>
      </c>
      <c r="CI520" s="129" t="str">
        <f t="shared" si="421"/>
        <v>0-10 DAYS</v>
      </c>
      <c r="CJ520" s="137">
        <f t="shared" si="422"/>
        <v>1</v>
      </c>
      <c r="CK520" s="129" t="str">
        <f t="shared" si="423"/>
        <v>Booked</v>
      </c>
    </row>
    <row r="521" spans="1:89" ht="15" customHeight="1" x14ac:dyDescent="0.25">
      <c r="A521" s="111">
        <v>1425</v>
      </c>
      <c r="B521" s="128" t="str">
        <f t="shared" si="397"/>
        <v>N</v>
      </c>
      <c r="C521" s="128" t="str">
        <f t="shared" si="398"/>
        <v>N</v>
      </c>
      <c r="D521" s="117">
        <v>1244879</v>
      </c>
      <c r="E521" s="135">
        <f t="shared" si="399"/>
        <v>1</v>
      </c>
      <c r="F521" s="124">
        <v>40961</v>
      </c>
      <c r="G521" s="125">
        <v>41227</v>
      </c>
      <c r="H521" s="117">
        <v>1244879</v>
      </c>
      <c r="I521" s="124" t="s">
        <v>562</v>
      </c>
      <c r="J521" s="124" t="s">
        <v>562</v>
      </c>
      <c r="K521" s="126">
        <v>2000</v>
      </c>
      <c r="L521" s="127" t="s">
        <v>568</v>
      </c>
      <c r="M521" s="125">
        <v>40963</v>
      </c>
      <c r="N521" s="129" t="str">
        <f>IF(M521&gt;1/1/1,"Y",IF(Q521="0","","N"))</f>
        <v>Y</v>
      </c>
      <c r="O521" s="128" t="s">
        <v>76</v>
      </c>
      <c r="P521" s="129" t="s">
        <v>55</v>
      </c>
      <c r="Q521" s="111">
        <f t="shared" si="383"/>
        <v>0</v>
      </c>
      <c r="R521" s="111">
        <f t="shared" si="400"/>
        <v>267</v>
      </c>
      <c r="S521" s="129">
        <v>0</v>
      </c>
      <c r="T521" s="129">
        <v>2</v>
      </c>
      <c r="W521" s="111"/>
      <c r="AB521" s="131" t="s">
        <v>112</v>
      </c>
      <c r="AC521" s="130"/>
      <c r="AD521" s="130">
        <v>19439</v>
      </c>
      <c r="AE521" s="128" t="s">
        <v>32</v>
      </c>
      <c r="AF521" s="128" t="s">
        <v>40</v>
      </c>
      <c r="AG521" s="128" t="s">
        <v>41</v>
      </c>
      <c r="AH521" s="108" t="s">
        <v>31</v>
      </c>
      <c r="AI521" s="128" t="s">
        <v>62</v>
      </c>
      <c r="AJ521" s="129" t="s">
        <v>55</v>
      </c>
      <c r="AK521" s="129">
        <v>9</v>
      </c>
      <c r="AL521" s="3" t="s">
        <v>55</v>
      </c>
      <c r="AP521" s="129" t="s">
        <v>108</v>
      </c>
      <c r="AR521" s="128" t="s">
        <v>44</v>
      </c>
      <c r="AS521" s="129" t="s">
        <v>61</v>
      </c>
      <c r="BC521" s="129" t="s">
        <v>52</v>
      </c>
      <c r="BF521" s="111">
        <v>0</v>
      </c>
      <c r="BG521" s="111">
        <v>0</v>
      </c>
      <c r="BH521" s="111">
        <f t="shared" si="401"/>
        <v>267</v>
      </c>
      <c r="BI521" s="111">
        <f t="shared" si="402"/>
        <v>58.803278688524593</v>
      </c>
      <c r="BJ521" s="129" t="e">
        <f>(G521-J521)+(M521-G521)</f>
        <v>#VALUE!</v>
      </c>
      <c r="BK521" s="129" t="e">
        <f t="shared" si="404"/>
        <v>#VALUE!</v>
      </c>
      <c r="BL521" s="129" t="str">
        <f t="shared" si="405"/>
        <v>NO CONVICTION</v>
      </c>
      <c r="BM521" s="129" t="s">
        <v>76</v>
      </c>
      <c r="BN521" s="129" t="s">
        <v>88</v>
      </c>
      <c r="BP521" s="137" t="str">
        <f t="shared" si="407"/>
        <v>NO CONVICTION</v>
      </c>
      <c r="BQ521" s="128">
        <f t="shared" si="408"/>
        <v>0</v>
      </c>
      <c r="BR521" s="129" t="s">
        <v>575</v>
      </c>
      <c r="BS521" s="129" t="str">
        <f t="shared" si="410"/>
        <v>DISPOSED</v>
      </c>
      <c r="BT521" s="129" t="str">
        <f t="shared" si="411"/>
        <v>N</v>
      </c>
      <c r="BU521" s="109">
        <f>IFERROR(Q521/R521,BR521)</f>
        <v>0</v>
      </c>
      <c r="BV521" s="109">
        <v>0</v>
      </c>
      <c r="BW521" s="109">
        <f t="shared" si="414"/>
        <v>0</v>
      </c>
      <c r="BX521" s="111">
        <f t="shared" si="415"/>
        <v>0</v>
      </c>
      <c r="BY521" s="129" t="e">
        <f t="shared" si="416"/>
        <v>#VALUE!</v>
      </c>
      <c r="BZ521" s="111" t="e">
        <f t="shared" si="417"/>
        <v>#VALUE!</v>
      </c>
      <c r="CA521" s="138" t="e">
        <f t="shared" si="418"/>
        <v>#VALUE!</v>
      </c>
      <c r="CB521" s="111">
        <v>0</v>
      </c>
      <c r="CC521" s="129">
        <v>0</v>
      </c>
      <c r="CD521" s="111">
        <f>CC521-BF521</f>
        <v>0</v>
      </c>
      <c r="CE521" s="129" t="e">
        <f t="shared" si="419"/>
        <v>#VALUE!</v>
      </c>
      <c r="CG521" s="129" t="str">
        <f t="shared" si="420"/>
        <v>Y</v>
      </c>
      <c r="CI521" s="129" t="str">
        <f t="shared" si="421"/>
        <v>0-10 DAYS</v>
      </c>
      <c r="CJ521" s="137">
        <f t="shared" si="422"/>
        <v>1</v>
      </c>
      <c r="CK521" s="129" t="str">
        <f t="shared" si="423"/>
        <v>Not Booked</v>
      </c>
    </row>
    <row r="522" spans="1:89" ht="15.75" customHeight="1" x14ac:dyDescent="0.25">
      <c r="A522" s="111">
        <v>2022</v>
      </c>
      <c r="B522" s="128" t="str">
        <f t="shared" si="397"/>
        <v>N</v>
      </c>
      <c r="C522" s="128" t="str">
        <f t="shared" si="398"/>
        <v>N</v>
      </c>
      <c r="D522" s="117">
        <v>1246025</v>
      </c>
      <c r="E522" s="135">
        <f t="shared" si="399"/>
        <v>2</v>
      </c>
      <c r="F522" s="124">
        <v>40984</v>
      </c>
      <c r="G522" s="125">
        <v>40987</v>
      </c>
      <c r="H522" s="117">
        <v>1246025</v>
      </c>
      <c r="I522" s="124">
        <v>40985</v>
      </c>
      <c r="J522" s="124">
        <v>40987</v>
      </c>
      <c r="K522" s="126">
        <v>5000</v>
      </c>
      <c r="L522" s="127" t="s">
        <v>569</v>
      </c>
      <c r="N522" s="129" t="str">
        <f>IF(M522&gt;1/1/1,"Y","N")</f>
        <v>N</v>
      </c>
      <c r="O522" s="128" t="s">
        <v>917</v>
      </c>
      <c r="P522" s="129" t="s">
        <v>589</v>
      </c>
      <c r="Q522" s="111">
        <f t="shared" si="383"/>
        <v>3</v>
      </c>
      <c r="R522" s="111">
        <f t="shared" si="400"/>
        <v>4</v>
      </c>
      <c r="S522" s="129">
        <v>0</v>
      </c>
      <c r="T522" s="129">
        <v>1</v>
      </c>
      <c r="W522" s="111"/>
      <c r="AC522" s="130"/>
      <c r="AD522" s="130">
        <v>25506</v>
      </c>
      <c r="AE522" s="128" t="s">
        <v>46</v>
      </c>
      <c r="AF522" s="128" t="s">
        <v>69</v>
      </c>
      <c r="AG522" s="128" t="s">
        <v>874</v>
      </c>
      <c r="AH522" s="108" t="s">
        <v>31</v>
      </c>
      <c r="AI522" s="128" t="s">
        <v>141</v>
      </c>
      <c r="AJ522" s="129" t="s">
        <v>48</v>
      </c>
      <c r="AK522" s="129">
        <v>1</v>
      </c>
      <c r="AL522" s="3" t="s">
        <v>48</v>
      </c>
      <c r="AP522" s="129" t="s">
        <v>93</v>
      </c>
      <c r="AR522" s="128" t="s">
        <v>67</v>
      </c>
      <c r="AS522" s="129" t="s">
        <v>45</v>
      </c>
      <c r="BC522" s="129" t="s">
        <v>38</v>
      </c>
      <c r="BF522" s="111">
        <f t="shared" ref="BF522:BF534" si="424">IF(J522&gt;1/1/1900,((J522+1)-I522),"STILL OPEN")</f>
        <v>3</v>
      </c>
      <c r="BG522" s="111">
        <f t="shared" ref="BG522:BG560" si="425">IF(G522&gt;1/1/1900,((G522+1)-I522),"STILL OPEN")</f>
        <v>3</v>
      </c>
      <c r="BH522" s="111">
        <f t="shared" si="401"/>
        <v>4</v>
      </c>
      <c r="BI522" s="111">
        <f t="shared" si="402"/>
        <v>42.289617486338798</v>
      </c>
      <c r="BJ522" s="129">
        <f t="shared" si="403"/>
        <v>0</v>
      </c>
      <c r="BK522" s="129">
        <f t="shared" si="404"/>
        <v>0</v>
      </c>
      <c r="BL522" s="129" t="str">
        <f t="shared" si="405"/>
        <v>DEFERRED</v>
      </c>
      <c r="BM522" s="129" t="str">
        <f t="shared" si="406"/>
        <v>NONE</v>
      </c>
      <c r="BN522" s="129" t="s">
        <v>566</v>
      </c>
      <c r="BP522" s="137" t="str">
        <f t="shared" si="407"/>
        <v>DEFERRED</v>
      </c>
      <c r="BQ522" s="128" t="str">
        <f t="shared" si="408"/>
        <v>Y</v>
      </c>
      <c r="BR522" s="129" t="str">
        <f t="shared" si="409"/>
        <v>DETAINED</v>
      </c>
      <c r="BS522" s="129" t="str">
        <f t="shared" si="410"/>
        <v>DISPOSED</v>
      </c>
      <c r="BT522" s="129" t="str">
        <f t="shared" si="411"/>
        <v>N</v>
      </c>
      <c r="BU522" s="109">
        <f t="shared" si="412"/>
        <v>0.75</v>
      </c>
      <c r="BV522" s="109">
        <f t="shared" si="413"/>
        <v>1</v>
      </c>
      <c r="BW522" s="109">
        <f t="shared" si="414"/>
        <v>0.25</v>
      </c>
      <c r="BX522" s="111">
        <f t="shared" si="415"/>
        <v>0</v>
      </c>
      <c r="BY522" s="129">
        <f t="shared" si="416"/>
        <v>-3</v>
      </c>
      <c r="BZ522" s="111">
        <f t="shared" si="417"/>
        <v>0</v>
      </c>
      <c r="CA522" s="138">
        <f t="shared" si="418"/>
        <v>3</v>
      </c>
      <c r="CB522" s="111" t="e">
        <f t="shared" ref="CB522:CB534" si="426">IF(AF522&gt;1/1/1900,((AF522+1)-AE522),"STILL OPEN")</f>
        <v>#VALUE!</v>
      </c>
      <c r="CC522" s="129">
        <f>G522-I522+1</f>
        <v>3</v>
      </c>
      <c r="CD522" s="129">
        <f>G522-J522</f>
        <v>0</v>
      </c>
      <c r="CE522" s="129">
        <f t="shared" si="419"/>
        <v>0</v>
      </c>
      <c r="CG522" s="129" t="str">
        <f t="shared" si="420"/>
        <v>Y</v>
      </c>
      <c r="CI522" s="129" t="str">
        <f t="shared" si="421"/>
        <v>0-10 DAYS</v>
      </c>
      <c r="CJ522" s="137">
        <f t="shared" si="422"/>
        <v>1</v>
      </c>
      <c r="CK522" s="129" t="str">
        <f t="shared" si="423"/>
        <v>Booked</v>
      </c>
    </row>
    <row r="523" spans="1:89" ht="15.75" customHeight="1" x14ac:dyDescent="0.25">
      <c r="A523" s="111">
        <v>1083</v>
      </c>
      <c r="B523" s="128" t="str">
        <f t="shared" si="397"/>
        <v>N</v>
      </c>
      <c r="C523" s="128" t="str">
        <f t="shared" si="398"/>
        <v>N</v>
      </c>
      <c r="D523" s="117">
        <v>1246357</v>
      </c>
      <c r="E523" s="135">
        <f t="shared" si="399"/>
        <v>5</v>
      </c>
      <c r="F523" s="124">
        <v>40948</v>
      </c>
      <c r="G523" s="125">
        <v>40983</v>
      </c>
      <c r="H523" s="117">
        <v>1246357</v>
      </c>
      <c r="I523" s="124">
        <v>40948</v>
      </c>
      <c r="J523" s="124">
        <v>40983</v>
      </c>
      <c r="K523" s="126">
        <v>15000</v>
      </c>
      <c r="L523" s="127" t="s">
        <v>571</v>
      </c>
      <c r="N523" s="129" t="str">
        <f>IF(M523&gt;1/1/1,"Y","N")</f>
        <v>N</v>
      </c>
      <c r="O523" s="128" t="s">
        <v>917</v>
      </c>
      <c r="P523" s="129" t="s">
        <v>39</v>
      </c>
      <c r="Q523" s="111">
        <f t="shared" si="383"/>
        <v>36</v>
      </c>
      <c r="R523" s="111">
        <f t="shared" si="400"/>
        <v>36</v>
      </c>
      <c r="S523" s="129">
        <v>27</v>
      </c>
      <c r="T523" s="129">
        <v>10</v>
      </c>
      <c r="U523" s="129">
        <v>8</v>
      </c>
      <c r="W523" s="111"/>
      <c r="AB523" s="131" t="s">
        <v>112</v>
      </c>
      <c r="AC523" s="130"/>
      <c r="AD523" s="130">
        <v>25526</v>
      </c>
      <c r="AE523" s="128" t="s">
        <v>46</v>
      </c>
      <c r="AF523" s="128" t="s">
        <v>40</v>
      </c>
      <c r="AG523" s="128" t="s">
        <v>41</v>
      </c>
      <c r="AH523" s="108" t="s">
        <v>58</v>
      </c>
      <c r="AI523" s="128" t="s">
        <v>53</v>
      </c>
      <c r="AJ523" s="129" t="s">
        <v>89</v>
      </c>
      <c r="AK523" s="129">
        <v>2</v>
      </c>
      <c r="AL523" s="3" t="s">
        <v>992</v>
      </c>
      <c r="AN523" s="117">
        <v>6</v>
      </c>
      <c r="AP523" s="129" t="s">
        <v>60</v>
      </c>
      <c r="AR523" s="128" t="s">
        <v>44</v>
      </c>
      <c r="AS523" s="129" t="s">
        <v>61</v>
      </c>
      <c r="AW523" s="123"/>
      <c r="AX523" s="123"/>
      <c r="AY523" s="123"/>
      <c r="BC523" s="129" t="s">
        <v>38</v>
      </c>
      <c r="BF523" s="111">
        <f t="shared" si="424"/>
        <v>36</v>
      </c>
      <c r="BG523" s="111">
        <f t="shared" si="425"/>
        <v>36</v>
      </c>
      <c r="BH523" s="111">
        <f t="shared" si="401"/>
        <v>36</v>
      </c>
      <c r="BI523" s="111">
        <f t="shared" si="402"/>
        <v>42.136612021857921</v>
      </c>
      <c r="BJ523" s="129">
        <f t="shared" si="403"/>
        <v>0</v>
      </c>
      <c r="BK523" s="129">
        <f t="shared" si="404"/>
        <v>0</v>
      </c>
      <c r="BL523" s="129" t="str">
        <f t="shared" si="405"/>
        <v>CONVICTION</v>
      </c>
      <c r="BM523" s="129" t="str">
        <f t="shared" si="406"/>
        <v>NONE</v>
      </c>
      <c r="BN523" s="129" t="s">
        <v>566</v>
      </c>
      <c r="BP523" s="137" t="str">
        <f t="shared" si="407"/>
        <v>CONVICTION</v>
      </c>
      <c r="BQ523" s="128" t="str">
        <f t="shared" si="408"/>
        <v>Y</v>
      </c>
      <c r="BR523" s="129" t="str">
        <f t="shared" si="409"/>
        <v>DETAINED</v>
      </c>
      <c r="BS523" s="129" t="str">
        <f t="shared" si="410"/>
        <v>DISPOSED</v>
      </c>
      <c r="BT523" s="129" t="str">
        <f t="shared" si="411"/>
        <v>Y</v>
      </c>
      <c r="BU523" s="109">
        <f t="shared" si="412"/>
        <v>1</v>
      </c>
      <c r="BV523" s="109">
        <f t="shared" si="413"/>
        <v>1</v>
      </c>
      <c r="BW523" s="109">
        <f t="shared" si="414"/>
        <v>0</v>
      </c>
      <c r="BX523" s="111">
        <f t="shared" si="415"/>
        <v>0</v>
      </c>
      <c r="BY523" s="129">
        <f t="shared" si="416"/>
        <v>-36</v>
      </c>
      <c r="BZ523" s="111">
        <f t="shared" si="417"/>
        <v>0</v>
      </c>
      <c r="CA523" s="138">
        <f t="shared" si="418"/>
        <v>36</v>
      </c>
      <c r="CB523" s="111" t="e">
        <f t="shared" si="426"/>
        <v>#VALUE!</v>
      </c>
      <c r="CC523" s="129">
        <f>G523-I523+1</f>
        <v>36</v>
      </c>
      <c r="CD523" s="129">
        <f>G523-J523</f>
        <v>0</v>
      </c>
      <c r="CE523" s="129">
        <f t="shared" si="419"/>
        <v>0</v>
      </c>
      <c r="CG523" s="129" t="str">
        <f t="shared" si="420"/>
        <v>Y</v>
      </c>
      <c r="CI523" s="129" t="str">
        <f t="shared" si="421"/>
        <v>31-60 DAYS</v>
      </c>
      <c r="CJ523" s="137">
        <f t="shared" si="422"/>
        <v>3</v>
      </c>
      <c r="CK523" s="129" t="str">
        <f t="shared" si="423"/>
        <v>Booked</v>
      </c>
    </row>
    <row r="524" spans="1:89" ht="15" customHeight="1" x14ac:dyDescent="0.25">
      <c r="A524" s="111">
        <v>2935</v>
      </c>
      <c r="B524" s="128" t="str">
        <f t="shared" si="397"/>
        <v>N</v>
      </c>
      <c r="C524" s="128" t="str">
        <f t="shared" si="398"/>
        <v>N</v>
      </c>
      <c r="D524" s="117">
        <v>1248074</v>
      </c>
      <c r="E524" s="135">
        <f t="shared" si="399"/>
        <v>6</v>
      </c>
      <c r="F524" s="124">
        <v>41017</v>
      </c>
      <c r="G524" s="125">
        <v>41170</v>
      </c>
      <c r="H524" s="117">
        <v>1248074</v>
      </c>
      <c r="I524" s="124">
        <v>41088</v>
      </c>
      <c r="J524" s="124">
        <v>41170</v>
      </c>
      <c r="K524" s="126">
        <v>50000</v>
      </c>
      <c r="L524" s="129" t="s">
        <v>572</v>
      </c>
      <c r="N524" s="129" t="str">
        <f>IF(M524&gt;1/1/1,"Y","N")</f>
        <v>N</v>
      </c>
      <c r="O524" s="128" t="s">
        <v>917</v>
      </c>
      <c r="P524" s="129" t="s">
        <v>39</v>
      </c>
      <c r="Q524" s="111">
        <f t="shared" si="383"/>
        <v>83</v>
      </c>
      <c r="R524" s="111">
        <f t="shared" si="400"/>
        <v>154</v>
      </c>
      <c r="S524" s="129">
        <v>0</v>
      </c>
      <c r="T524" s="129">
        <v>0</v>
      </c>
      <c r="W524" s="111"/>
      <c r="AB524" s="131" t="s">
        <v>112</v>
      </c>
      <c r="AC524" s="130"/>
      <c r="AD524" s="130">
        <v>24952</v>
      </c>
      <c r="AE524" s="128" t="s">
        <v>32</v>
      </c>
      <c r="AF524" s="128" t="s">
        <v>40</v>
      </c>
      <c r="AG524" s="128" t="s">
        <v>41</v>
      </c>
      <c r="AH524" s="108" t="s">
        <v>31</v>
      </c>
      <c r="AI524" s="128" t="s">
        <v>113</v>
      </c>
      <c r="AJ524" s="129" t="s">
        <v>89</v>
      </c>
      <c r="AK524" s="129">
        <v>6</v>
      </c>
      <c r="AL524" s="3" t="s">
        <v>362</v>
      </c>
      <c r="AM524" s="117">
        <v>5</v>
      </c>
      <c r="AP524" s="129" t="s">
        <v>109</v>
      </c>
      <c r="AR524" s="128" t="s">
        <v>67</v>
      </c>
      <c r="AS524" s="129" t="s">
        <v>61</v>
      </c>
      <c r="BC524" s="129" t="s">
        <v>38</v>
      </c>
      <c r="BF524" s="111">
        <f t="shared" si="424"/>
        <v>83</v>
      </c>
      <c r="BG524" s="111">
        <f t="shared" si="425"/>
        <v>83</v>
      </c>
      <c r="BH524" s="111">
        <f t="shared" si="401"/>
        <v>154</v>
      </c>
      <c r="BI524" s="111">
        <f t="shared" si="402"/>
        <v>43.893442622950822</v>
      </c>
      <c r="BJ524" s="129">
        <f t="shared" si="403"/>
        <v>0</v>
      </c>
      <c r="BK524" s="129">
        <f t="shared" si="404"/>
        <v>0</v>
      </c>
      <c r="BL524" s="129" t="str">
        <f t="shared" si="405"/>
        <v>CONVICTION</v>
      </c>
      <c r="BM524" s="129" t="str">
        <f t="shared" si="406"/>
        <v>NONE</v>
      </c>
      <c r="BN524" s="129" t="s">
        <v>566</v>
      </c>
      <c r="BP524" s="137" t="str">
        <f t="shared" si="407"/>
        <v>CONVICTION</v>
      </c>
      <c r="BQ524" s="128" t="str">
        <f t="shared" si="408"/>
        <v>Y</v>
      </c>
      <c r="BR524" s="129" t="str">
        <f t="shared" si="409"/>
        <v>DETAINED</v>
      </c>
      <c r="BS524" s="129" t="str">
        <f t="shared" si="410"/>
        <v>DISPOSED</v>
      </c>
      <c r="BT524" s="129" t="str">
        <f t="shared" si="411"/>
        <v>N</v>
      </c>
      <c r="BU524" s="109">
        <f t="shared" si="412"/>
        <v>0.53896103896103897</v>
      </c>
      <c r="BV524" s="109">
        <f t="shared" si="413"/>
        <v>1</v>
      </c>
      <c r="BW524" s="109">
        <f t="shared" si="414"/>
        <v>0.46103896103896103</v>
      </c>
      <c r="BX524" s="111">
        <f t="shared" si="415"/>
        <v>0</v>
      </c>
      <c r="BY524" s="129">
        <f t="shared" si="416"/>
        <v>-83</v>
      </c>
      <c r="BZ524" s="111">
        <f t="shared" si="417"/>
        <v>0</v>
      </c>
      <c r="CA524" s="138">
        <f t="shared" si="418"/>
        <v>83</v>
      </c>
      <c r="CB524" s="111" t="e">
        <f t="shared" si="426"/>
        <v>#VALUE!</v>
      </c>
      <c r="CC524" s="129">
        <f>G524-I524+1</f>
        <v>83</v>
      </c>
      <c r="CD524" s="129">
        <f>G524-J524</f>
        <v>0</v>
      </c>
      <c r="CE524" s="129">
        <f t="shared" si="419"/>
        <v>0</v>
      </c>
      <c r="CG524" s="129" t="str">
        <f t="shared" si="420"/>
        <v>N</v>
      </c>
      <c r="CI524" s="129" t="str">
        <f t="shared" si="421"/>
        <v>61-90 DAYS</v>
      </c>
      <c r="CJ524" s="137">
        <f t="shared" si="422"/>
        <v>4</v>
      </c>
      <c r="CK524" s="129" t="str">
        <f t="shared" si="423"/>
        <v>Booked</v>
      </c>
    </row>
    <row r="525" spans="1:89" ht="15.75" customHeight="1" x14ac:dyDescent="0.25">
      <c r="A525" s="111">
        <v>2124</v>
      </c>
      <c r="B525" s="128" t="str">
        <f t="shared" si="397"/>
        <v>N</v>
      </c>
      <c r="C525" s="128" t="str">
        <f t="shared" si="398"/>
        <v>N</v>
      </c>
      <c r="D525" s="117">
        <v>1250495</v>
      </c>
      <c r="E525" s="135">
        <f t="shared" si="399"/>
        <v>2</v>
      </c>
      <c r="F525" s="124">
        <v>40988</v>
      </c>
      <c r="G525" s="125">
        <v>41017</v>
      </c>
      <c r="H525" s="117">
        <v>1250495</v>
      </c>
      <c r="I525" s="124">
        <v>40989</v>
      </c>
      <c r="J525" s="124">
        <v>41017</v>
      </c>
      <c r="K525" s="126" t="s">
        <v>564</v>
      </c>
      <c r="L525" s="127" t="s">
        <v>564</v>
      </c>
      <c r="N525" s="129" t="s">
        <v>566</v>
      </c>
      <c r="O525" s="128" t="s">
        <v>917</v>
      </c>
      <c r="P525" s="129" t="s">
        <v>589</v>
      </c>
      <c r="Q525" s="111">
        <f t="shared" si="383"/>
        <v>29</v>
      </c>
      <c r="R525" s="111">
        <f t="shared" si="400"/>
        <v>30</v>
      </c>
      <c r="S525" s="129">
        <v>0</v>
      </c>
      <c r="T525" s="32">
        <v>13</v>
      </c>
      <c r="W525" s="111"/>
      <c r="AC525" s="130"/>
      <c r="AD525" s="130">
        <v>25481</v>
      </c>
      <c r="AE525" s="128" t="s">
        <v>32</v>
      </c>
      <c r="AF525" s="128" t="s">
        <v>33</v>
      </c>
      <c r="AG525" s="128" t="s">
        <v>872</v>
      </c>
      <c r="AH525" s="108" t="s">
        <v>58</v>
      </c>
      <c r="AI525" s="128" t="s">
        <v>65</v>
      </c>
      <c r="AJ525" s="129" t="s">
        <v>48</v>
      </c>
      <c r="AK525" s="129">
        <v>3</v>
      </c>
      <c r="AL525" s="3" t="s">
        <v>48</v>
      </c>
      <c r="AP525" s="129" t="s">
        <v>110</v>
      </c>
      <c r="AR525" s="128" t="s">
        <v>50</v>
      </c>
      <c r="AS525" s="129" t="s">
        <v>74</v>
      </c>
      <c r="BC525" s="129" t="s">
        <v>38</v>
      </c>
      <c r="BF525" s="111">
        <f t="shared" si="424"/>
        <v>29</v>
      </c>
      <c r="BG525" s="111">
        <f t="shared" si="425"/>
        <v>29</v>
      </c>
      <c r="BH525" s="111">
        <f t="shared" si="401"/>
        <v>30</v>
      </c>
      <c r="BI525" s="111">
        <f t="shared" si="402"/>
        <v>42.368852459016395</v>
      </c>
      <c r="BJ525" s="129">
        <f t="shared" si="403"/>
        <v>0</v>
      </c>
      <c r="BK525" s="129">
        <f t="shared" si="404"/>
        <v>0</v>
      </c>
      <c r="BL525" s="129" t="str">
        <f t="shared" si="405"/>
        <v>DEFERRED</v>
      </c>
      <c r="BM525" s="129" t="str">
        <f t="shared" si="406"/>
        <v>NONE</v>
      </c>
      <c r="BN525" s="129" t="s">
        <v>566</v>
      </c>
      <c r="BP525" s="137" t="str">
        <f t="shared" si="407"/>
        <v>DEFERRED</v>
      </c>
      <c r="BQ525" s="128" t="str">
        <f t="shared" si="408"/>
        <v>Y</v>
      </c>
      <c r="BR525" s="129" t="str">
        <f t="shared" si="409"/>
        <v>DETAINED</v>
      </c>
      <c r="BS525" s="129" t="str">
        <f t="shared" si="410"/>
        <v>DISPOSED</v>
      </c>
      <c r="BT525" s="129" t="str">
        <f t="shared" si="411"/>
        <v>N</v>
      </c>
      <c r="BU525" s="109">
        <f t="shared" si="412"/>
        <v>0.96666666666666667</v>
      </c>
      <c r="BV525" s="109">
        <f t="shared" si="413"/>
        <v>1</v>
      </c>
      <c r="BW525" s="109">
        <f t="shared" si="414"/>
        <v>3.3333333333333326E-2</v>
      </c>
      <c r="BX525" s="111">
        <f t="shared" si="415"/>
        <v>0</v>
      </c>
      <c r="BY525" s="129">
        <f t="shared" si="416"/>
        <v>-29</v>
      </c>
      <c r="BZ525" s="111">
        <f t="shared" si="417"/>
        <v>0</v>
      </c>
      <c r="CA525" s="138">
        <f t="shared" si="418"/>
        <v>29</v>
      </c>
      <c r="CB525" s="111" t="e">
        <f t="shared" si="426"/>
        <v>#VALUE!</v>
      </c>
      <c r="CC525" s="129">
        <f>G525-I525+1</f>
        <v>29</v>
      </c>
      <c r="CD525" s="129">
        <f>G525-J525</f>
        <v>0</v>
      </c>
      <c r="CE525" s="129">
        <f t="shared" si="419"/>
        <v>0</v>
      </c>
      <c r="CG525" s="129" t="str">
        <f t="shared" si="420"/>
        <v>Y</v>
      </c>
      <c r="CI525" s="129" t="str">
        <f t="shared" si="421"/>
        <v>11-30 DAYS</v>
      </c>
      <c r="CJ525" s="137">
        <f t="shared" si="422"/>
        <v>2</v>
      </c>
      <c r="CK525" s="129" t="str">
        <f t="shared" si="423"/>
        <v>Booked</v>
      </c>
    </row>
    <row r="526" spans="1:89" ht="15" customHeight="1" x14ac:dyDescent="0.25">
      <c r="A526" s="111">
        <v>1773</v>
      </c>
      <c r="B526" s="128" t="str">
        <f t="shared" si="397"/>
        <v>N</v>
      </c>
      <c r="C526" s="128" t="str">
        <f t="shared" si="398"/>
        <v>N</v>
      </c>
      <c r="D526" s="117">
        <v>1252806</v>
      </c>
      <c r="E526" s="135">
        <f t="shared" si="399"/>
        <v>4</v>
      </c>
      <c r="F526" s="124">
        <v>40975</v>
      </c>
      <c r="G526" s="125">
        <v>41163</v>
      </c>
      <c r="H526" s="117">
        <v>1252806</v>
      </c>
      <c r="I526" s="124">
        <v>40975</v>
      </c>
      <c r="J526" s="124">
        <v>40978</v>
      </c>
      <c r="K526" s="126">
        <v>15000</v>
      </c>
      <c r="L526" s="127" t="s">
        <v>571</v>
      </c>
      <c r="M526" s="125">
        <v>40978</v>
      </c>
      <c r="N526" s="129" t="str">
        <f>IF(M526&gt;1/1/1,"Y","N")</f>
        <v>Y</v>
      </c>
      <c r="O526" s="128" t="s">
        <v>76</v>
      </c>
      <c r="P526" s="129" t="s">
        <v>39</v>
      </c>
      <c r="Q526" s="111">
        <f t="shared" si="383"/>
        <v>4</v>
      </c>
      <c r="R526" s="111">
        <f t="shared" si="400"/>
        <v>189</v>
      </c>
      <c r="S526" s="129">
        <v>6</v>
      </c>
      <c r="T526" s="129">
        <v>7</v>
      </c>
      <c r="U526" s="129">
        <v>1</v>
      </c>
      <c r="W526" s="111"/>
      <c r="AC526" s="130"/>
      <c r="AD526" s="130">
        <v>20919</v>
      </c>
      <c r="AE526" s="128" t="s">
        <v>46</v>
      </c>
      <c r="AF526" s="128" t="s">
        <v>33</v>
      </c>
      <c r="AG526" s="128" t="s">
        <v>872</v>
      </c>
      <c r="AH526" s="108" t="s">
        <v>31</v>
      </c>
      <c r="AI526" s="128" t="s">
        <v>47</v>
      </c>
      <c r="AJ526" s="129" t="s">
        <v>89</v>
      </c>
      <c r="AK526" s="129">
        <v>9</v>
      </c>
      <c r="AL526" s="3" t="s">
        <v>991</v>
      </c>
      <c r="AO526" s="128">
        <v>120</v>
      </c>
      <c r="AP526" s="129" t="s">
        <v>43</v>
      </c>
      <c r="AR526" s="128" t="s">
        <v>44</v>
      </c>
      <c r="AS526" s="129" t="s">
        <v>45</v>
      </c>
      <c r="BC526" s="129" t="s">
        <v>52</v>
      </c>
      <c r="BF526" s="111">
        <f t="shared" si="424"/>
        <v>4</v>
      </c>
      <c r="BG526" s="111">
        <f t="shared" si="425"/>
        <v>189</v>
      </c>
      <c r="BH526" s="111">
        <f t="shared" si="401"/>
        <v>189</v>
      </c>
      <c r="BI526" s="111">
        <f t="shared" si="402"/>
        <v>54.797814207650276</v>
      </c>
      <c r="BJ526" s="129">
        <f>(G526-J526)+(M526-G526)</f>
        <v>0</v>
      </c>
      <c r="BK526" s="129">
        <f t="shared" si="404"/>
        <v>-185</v>
      </c>
      <c r="BL526" s="129" t="str">
        <f t="shared" si="405"/>
        <v>CONVICTION</v>
      </c>
      <c r="BM526" s="129" t="s">
        <v>76</v>
      </c>
      <c r="BN526" s="129" t="s">
        <v>88</v>
      </c>
      <c r="BP526" s="137" t="str">
        <f t="shared" si="407"/>
        <v>CONVICTION</v>
      </c>
      <c r="BQ526" s="128" t="str">
        <f t="shared" si="408"/>
        <v>Y</v>
      </c>
      <c r="BR526" s="129" t="str">
        <f>IF(J526&lt;G526,"ON BOND",0)</f>
        <v>ON BOND</v>
      </c>
      <c r="BS526" s="129" t="str">
        <f t="shared" si="410"/>
        <v>DISPOSED</v>
      </c>
      <c r="BT526" s="129" t="str">
        <f t="shared" si="411"/>
        <v>Y</v>
      </c>
      <c r="BU526" s="109">
        <f t="shared" si="412"/>
        <v>2.1164021164021163E-2</v>
      </c>
      <c r="BV526" s="109">
        <f t="shared" si="413"/>
        <v>2.1164021164021163E-2</v>
      </c>
      <c r="BW526" s="109">
        <f t="shared" si="414"/>
        <v>0</v>
      </c>
      <c r="BX526" s="111">
        <f t="shared" si="415"/>
        <v>0</v>
      </c>
      <c r="BY526" s="129">
        <f t="shared" si="416"/>
        <v>-4</v>
      </c>
      <c r="BZ526" s="111">
        <f t="shared" si="417"/>
        <v>0</v>
      </c>
      <c r="CA526" s="138">
        <f t="shared" si="418"/>
        <v>4</v>
      </c>
      <c r="CB526" s="111" t="e">
        <f t="shared" si="426"/>
        <v>#VALUE!</v>
      </c>
      <c r="CC526" s="129">
        <f>M526-I526+1</f>
        <v>4</v>
      </c>
      <c r="CD526" s="111">
        <f>CC526-BF526</f>
        <v>0</v>
      </c>
      <c r="CE526" s="129">
        <f t="shared" si="419"/>
        <v>185</v>
      </c>
      <c r="CG526" s="129" t="str">
        <f t="shared" si="420"/>
        <v>Y</v>
      </c>
      <c r="CI526" s="129" t="str">
        <f t="shared" si="421"/>
        <v>0-10 DAYS</v>
      </c>
      <c r="CJ526" s="137">
        <f t="shared" si="422"/>
        <v>1</v>
      </c>
      <c r="CK526" s="129" t="str">
        <f t="shared" si="423"/>
        <v>Booked</v>
      </c>
    </row>
    <row r="527" spans="1:89" ht="15" customHeight="1" x14ac:dyDescent="0.25">
      <c r="A527" s="111">
        <v>2735</v>
      </c>
      <c r="B527" s="128" t="str">
        <f t="shared" si="397"/>
        <v>N</v>
      </c>
      <c r="C527" s="128" t="str">
        <f t="shared" si="398"/>
        <v>N</v>
      </c>
      <c r="D527" s="117">
        <v>1252896</v>
      </c>
      <c r="E527" s="135">
        <f t="shared" si="399"/>
        <v>3</v>
      </c>
      <c r="F527" s="124">
        <v>41010</v>
      </c>
      <c r="G527" s="125">
        <v>41103</v>
      </c>
      <c r="H527" s="117">
        <v>1252896</v>
      </c>
      <c r="I527" s="124">
        <v>41011</v>
      </c>
      <c r="J527" s="124">
        <v>41013</v>
      </c>
      <c r="K527" s="126">
        <v>10000</v>
      </c>
      <c r="L527" s="127" t="s">
        <v>570</v>
      </c>
      <c r="M527" s="125">
        <v>41013</v>
      </c>
      <c r="N527" s="129" t="str">
        <f>IF(M527&gt;1/1/1,"Y","N")</f>
        <v>Y</v>
      </c>
      <c r="O527" s="128" t="s">
        <v>585</v>
      </c>
      <c r="P527" s="129" t="s">
        <v>39</v>
      </c>
      <c r="Q527" s="111">
        <f t="shared" si="383"/>
        <v>3</v>
      </c>
      <c r="R527" s="111">
        <f t="shared" si="400"/>
        <v>94</v>
      </c>
      <c r="S527" s="129">
        <v>0</v>
      </c>
      <c r="T527" s="129">
        <v>2</v>
      </c>
      <c r="W527" s="111"/>
      <c r="AC527" s="130"/>
      <c r="AD527" s="130">
        <v>24309</v>
      </c>
      <c r="AE527" s="128" t="s">
        <v>32</v>
      </c>
      <c r="AF527" s="128" t="s">
        <v>40</v>
      </c>
      <c r="AG527" s="128" t="s">
        <v>41</v>
      </c>
      <c r="AH527" s="108" t="s">
        <v>41</v>
      </c>
      <c r="AI527" s="128" t="s">
        <v>113</v>
      </c>
      <c r="AJ527" s="129" t="s">
        <v>89</v>
      </c>
      <c r="AK527" s="129">
        <v>5</v>
      </c>
      <c r="AL527" s="3" t="s">
        <v>185</v>
      </c>
      <c r="AP527" s="129" t="s">
        <v>66</v>
      </c>
      <c r="AR527" s="128" t="s">
        <v>67</v>
      </c>
      <c r="AS527" s="129" t="s">
        <v>68</v>
      </c>
      <c r="BC527" s="129" t="s">
        <v>52</v>
      </c>
      <c r="BF527" s="111">
        <f t="shared" si="424"/>
        <v>3</v>
      </c>
      <c r="BG527" s="111">
        <f t="shared" si="425"/>
        <v>93</v>
      </c>
      <c r="BH527" s="111">
        <f t="shared" si="401"/>
        <v>94</v>
      </c>
      <c r="BI527" s="111">
        <f t="shared" si="402"/>
        <v>45.631147540983605</v>
      </c>
      <c r="BJ527" s="129">
        <f>(G527-J527)+(M527-G527)</f>
        <v>0</v>
      </c>
      <c r="BK527" s="129">
        <f t="shared" si="404"/>
        <v>-90</v>
      </c>
      <c r="BL527" s="129" t="str">
        <f t="shared" si="405"/>
        <v>CONVICTION</v>
      </c>
      <c r="BM527" s="129" t="s">
        <v>76</v>
      </c>
      <c r="BN527" s="129" t="s">
        <v>88</v>
      </c>
      <c r="BP527" s="137" t="str">
        <f t="shared" si="407"/>
        <v>CONVICTION</v>
      </c>
      <c r="BQ527" s="128" t="str">
        <f t="shared" si="408"/>
        <v>Y</v>
      </c>
      <c r="BR527" s="129" t="str">
        <f>IF(J527&lt;G527,"ON BOND",0)</f>
        <v>ON BOND</v>
      </c>
      <c r="BS527" s="129" t="str">
        <f t="shared" si="410"/>
        <v>DISPOSED</v>
      </c>
      <c r="BT527" s="129" t="str">
        <f t="shared" si="411"/>
        <v>N</v>
      </c>
      <c r="BU527" s="109">
        <f t="shared" si="412"/>
        <v>3.1914893617021274E-2</v>
      </c>
      <c r="BV527" s="109">
        <f t="shared" si="413"/>
        <v>3.2258064516129031E-2</v>
      </c>
      <c r="BW527" s="109">
        <f t="shared" si="414"/>
        <v>3.4317089910775728E-4</v>
      </c>
      <c r="BX527" s="111">
        <f t="shared" si="415"/>
        <v>0</v>
      </c>
      <c r="BY527" s="129">
        <f t="shared" si="416"/>
        <v>-3</v>
      </c>
      <c r="BZ527" s="111">
        <f t="shared" si="417"/>
        <v>0</v>
      </c>
      <c r="CA527" s="138">
        <f t="shared" si="418"/>
        <v>3</v>
      </c>
      <c r="CB527" s="111" t="e">
        <f t="shared" si="426"/>
        <v>#VALUE!</v>
      </c>
      <c r="CC527" s="129">
        <f>M527-I527+1</f>
        <v>3</v>
      </c>
      <c r="CD527" s="111">
        <f>CC527-BF527</f>
        <v>0</v>
      </c>
      <c r="CE527" s="129">
        <f t="shared" si="419"/>
        <v>90</v>
      </c>
      <c r="CG527" s="129" t="str">
        <f t="shared" si="420"/>
        <v>Y</v>
      </c>
      <c r="CI527" s="129" t="str">
        <f t="shared" si="421"/>
        <v>0-10 DAYS</v>
      </c>
      <c r="CJ527" s="137">
        <f t="shared" si="422"/>
        <v>1</v>
      </c>
      <c r="CK527" s="129" t="str">
        <f t="shared" si="423"/>
        <v>Booked</v>
      </c>
    </row>
    <row r="528" spans="1:89" ht="15" customHeight="1" x14ac:dyDescent="0.25">
      <c r="A528" s="111">
        <v>2783</v>
      </c>
      <c r="B528" s="128" t="str">
        <f t="shared" si="397"/>
        <v>N</v>
      </c>
      <c r="C528" s="128" t="str">
        <f t="shared" si="398"/>
        <v>N</v>
      </c>
      <c r="D528" s="117">
        <v>1256727</v>
      </c>
      <c r="E528" s="135">
        <f t="shared" si="399"/>
        <v>6</v>
      </c>
      <c r="F528" s="124">
        <v>41012</v>
      </c>
      <c r="G528" s="125">
        <v>41248</v>
      </c>
      <c r="H528" s="117">
        <v>1256727</v>
      </c>
      <c r="I528" s="124">
        <v>41012</v>
      </c>
      <c r="J528" s="124">
        <v>41046</v>
      </c>
      <c r="K528" s="126">
        <v>30000</v>
      </c>
      <c r="L528" s="129" t="s">
        <v>572</v>
      </c>
      <c r="M528" s="125">
        <v>41046</v>
      </c>
      <c r="N528" s="129" t="str">
        <f>IF(M528&gt;1/1/1,"Y","N")</f>
        <v>Y</v>
      </c>
      <c r="O528" s="128" t="s">
        <v>76</v>
      </c>
      <c r="P528" s="129" t="s">
        <v>39</v>
      </c>
      <c r="Q528" s="111">
        <f t="shared" si="383"/>
        <v>35</v>
      </c>
      <c r="R528" s="111">
        <f t="shared" si="400"/>
        <v>237</v>
      </c>
      <c r="S528" s="129">
        <v>4</v>
      </c>
      <c r="T528" s="129">
        <v>2</v>
      </c>
      <c r="U528" s="129">
        <v>1</v>
      </c>
      <c r="V528" s="117">
        <v>1</v>
      </c>
      <c r="W528" s="111"/>
      <c r="AC528" s="130"/>
      <c r="AD528" s="130">
        <v>21565</v>
      </c>
      <c r="AE528" s="128" t="s">
        <v>32</v>
      </c>
      <c r="AF528" s="128" t="s">
        <v>33</v>
      </c>
      <c r="AG528" s="128" t="s">
        <v>872</v>
      </c>
      <c r="AH528" s="108" t="s">
        <v>31</v>
      </c>
      <c r="AI528" s="128" t="s">
        <v>42</v>
      </c>
      <c r="AJ528" s="129" t="s">
        <v>89</v>
      </c>
      <c r="AK528" s="129">
        <v>9</v>
      </c>
      <c r="AL528" s="3" t="s">
        <v>362</v>
      </c>
      <c r="AM528" s="117">
        <v>2</v>
      </c>
      <c r="AP528" s="129" t="s">
        <v>250</v>
      </c>
      <c r="AR528" s="128" t="s">
        <v>50</v>
      </c>
      <c r="AS528" s="129" t="s">
        <v>45</v>
      </c>
      <c r="BC528" s="129" t="s">
        <v>52</v>
      </c>
      <c r="BF528" s="111">
        <f t="shared" si="424"/>
        <v>35</v>
      </c>
      <c r="BG528" s="111">
        <f t="shared" si="425"/>
        <v>237</v>
      </c>
      <c r="BH528" s="111">
        <f t="shared" si="401"/>
        <v>237</v>
      </c>
      <c r="BI528" s="111">
        <f t="shared" si="402"/>
        <v>53.133879781420767</v>
      </c>
      <c r="BJ528" s="129">
        <f>(G528-J528)+(M528-G528)</f>
        <v>0</v>
      </c>
      <c r="BK528" s="129">
        <f t="shared" si="404"/>
        <v>-202</v>
      </c>
      <c r="BL528" s="129" t="str">
        <f t="shared" si="405"/>
        <v>CONVICTION</v>
      </c>
      <c r="BM528" s="129" t="s">
        <v>76</v>
      </c>
      <c r="BN528" s="129" t="s">
        <v>88</v>
      </c>
      <c r="BP528" s="137" t="str">
        <f t="shared" si="407"/>
        <v>CONVICTION</v>
      </c>
      <c r="BQ528" s="128" t="str">
        <f t="shared" si="408"/>
        <v>Y</v>
      </c>
      <c r="BR528" s="129" t="str">
        <f>IF(J528&lt;G528,"ON BOND",0)</f>
        <v>ON BOND</v>
      </c>
      <c r="BS528" s="129" t="str">
        <f t="shared" si="410"/>
        <v>DISPOSED</v>
      </c>
      <c r="BT528" s="129" t="str">
        <f t="shared" si="411"/>
        <v>Y</v>
      </c>
      <c r="BU528" s="109">
        <f t="shared" si="412"/>
        <v>0.14767932489451477</v>
      </c>
      <c r="BV528" s="109">
        <f t="shared" si="413"/>
        <v>0.14767932489451477</v>
      </c>
      <c r="BW528" s="109">
        <f t="shared" si="414"/>
        <v>0</v>
      </c>
      <c r="BX528" s="111">
        <f t="shared" si="415"/>
        <v>0</v>
      </c>
      <c r="BY528" s="129">
        <f t="shared" si="416"/>
        <v>-35</v>
      </c>
      <c r="BZ528" s="111">
        <f t="shared" si="417"/>
        <v>0</v>
      </c>
      <c r="CA528" s="138">
        <f t="shared" si="418"/>
        <v>35</v>
      </c>
      <c r="CB528" s="111" t="e">
        <f t="shared" si="426"/>
        <v>#VALUE!</v>
      </c>
      <c r="CC528" s="129">
        <f>M528-I528+1</f>
        <v>35</v>
      </c>
      <c r="CD528" s="111">
        <f>CC528-BF528</f>
        <v>0</v>
      </c>
      <c r="CE528" s="129">
        <f t="shared" si="419"/>
        <v>202</v>
      </c>
      <c r="CG528" s="129" t="str">
        <f t="shared" si="420"/>
        <v>Y</v>
      </c>
      <c r="CI528" s="129" t="str">
        <f t="shared" si="421"/>
        <v>31-60 DAYS</v>
      </c>
      <c r="CJ528" s="137">
        <f t="shared" si="422"/>
        <v>3</v>
      </c>
      <c r="CK528" s="129" t="str">
        <f t="shared" si="423"/>
        <v>Booked</v>
      </c>
    </row>
    <row r="529" spans="1:89" ht="15" customHeight="1" x14ac:dyDescent="0.25">
      <c r="A529" s="111">
        <v>2854</v>
      </c>
      <c r="B529" s="128" t="str">
        <f t="shared" si="397"/>
        <v>N</v>
      </c>
      <c r="C529" s="128" t="str">
        <f t="shared" si="398"/>
        <v>N</v>
      </c>
      <c r="D529" s="117">
        <v>1256846</v>
      </c>
      <c r="E529" s="135">
        <f t="shared" si="399"/>
        <v>4</v>
      </c>
      <c r="F529" s="124">
        <v>41014</v>
      </c>
      <c r="G529" s="125">
        <v>41130</v>
      </c>
      <c r="H529" s="117">
        <v>1256846</v>
      </c>
      <c r="I529" s="124">
        <v>41014</v>
      </c>
      <c r="J529" s="124">
        <v>41130</v>
      </c>
      <c r="K529" s="126" t="s">
        <v>564</v>
      </c>
      <c r="L529" s="127" t="s">
        <v>564</v>
      </c>
      <c r="N529" s="129" t="s">
        <v>566</v>
      </c>
      <c r="O529" s="128" t="s">
        <v>917</v>
      </c>
      <c r="P529" s="129" t="s">
        <v>39</v>
      </c>
      <c r="Q529" s="111">
        <f t="shared" si="383"/>
        <v>117</v>
      </c>
      <c r="R529" s="111">
        <f t="shared" si="400"/>
        <v>117</v>
      </c>
      <c r="S529" s="129">
        <v>3</v>
      </c>
      <c r="T529" s="129">
        <v>3</v>
      </c>
      <c r="U529" s="129">
        <v>2</v>
      </c>
      <c r="V529" s="117">
        <v>1</v>
      </c>
      <c r="W529" s="111"/>
      <c r="AC529" s="130"/>
      <c r="AD529" s="130">
        <v>26608</v>
      </c>
      <c r="AE529" s="128" t="s">
        <v>32</v>
      </c>
      <c r="AF529" s="128" t="s">
        <v>33</v>
      </c>
      <c r="AG529" s="128" t="s">
        <v>872</v>
      </c>
      <c r="AH529" s="108" t="s">
        <v>58</v>
      </c>
      <c r="AI529" s="128" t="s">
        <v>70</v>
      </c>
      <c r="AJ529" s="129" t="s">
        <v>89</v>
      </c>
      <c r="AK529" s="129">
        <v>5</v>
      </c>
      <c r="AL529" s="3" t="s">
        <v>991</v>
      </c>
      <c r="AO529" s="128">
        <v>365</v>
      </c>
      <c r="AP529" s="129" t="s">
        <v>73</v>
      </c>
      <c r="AR529" s="128" t="s">
        <v>50</v>
      </c>
      <c r="AS529" s="129" t="s">
        <v>74</v>
      </c>
      <c r="BC529" s="129" t="s">
        <v>52</v>
      </c>
      <c r="BF529" s="111">
        <f t="shared" si="424"/>
        <v>117</v>
      </c>
      <c r="BG529" s="111">
        <f t="shared" si="425"/>
        <v>117</v>
      </c>
      <c r="BH529" s="111">
        <f t="shared" si="401"/>
        <v>117</v>
      </c>
      <c r="BI529" s="111">
        <f t="shared" si="402"/>
        <v>39.360655737704917</v>
      </c>
      <c r="BJ529" s="129">
        <f t="shared" si="403"/>
        <v>0</v>
      </c>
      <c r="BK529" s="129">
        <f t="shared" si="404"/>
        <v>0</v>
      </c>
      <c r="BL529" s="129" t="str">
        <f t="shared" si="405"/>
        <v>CONVICTION</v>
      </c>
      <c r="BM529" s="129" t="str">
        <f t="shared" si="406"/>
        <v>NONE</v>
      </c>
      <c r="BN529" s="129" t="s">
        <v>566</v>
      </c>
      <c r="BP529" s="137" t="str">
        <f t="shared" si="407"/>
        <v>CONVICTION</v>
      </c>
      <c r="BQ529" s="128" t="str">
        <f t="shared" si="408"/>
        <v>Y</v>
      </c>
      <c r="BR529" s="129" t="str">
        <f t="shared" si="409"/>
        <v>DETAINED</v>
      </c>
      <c r="BS529" s="129" t="str">
        <f t="shared" si="410"/>
        <v>DISPOSED</v>
      </c>
      <c r="BT529" s="129" t="str">
        <f t="shared" si="411"/>
        <v>Y</v>
      </c>
      <c r="BU529" s="109">
        <f t="shared" si="412"/>
        <v>1</v>
      </c>
      <c r="BV529" s="109">
        <f t="shared" si="413"/>
        <v>1</v>
      </c>
      <c r="BW529" s="109">
        <f t="shared" si="414"/>
        <v>0</v>
      </c>
      <c r="BX529" s="111">
        <f t="shared" si="415"/>
        <v>0</v>
      </c>
      <c r="BY529" s="129">
        <f t="shared" si="416"/>
        <v>-117</v>
      </c>
      <c r="BZ529" s="111">
        <f t="shared" si="417"/>
        <v>0</v>
      </c>
      <c r="CA529" s="138">
        <f t="shared" si="418"/>
        <v>117</v>
      </c>
      <c r="CB529" s="111" t="e">
        <f t="shared" si="426"/>
        <v>#VALUE!</v>
      </c>
      <c r="CC529" s="129">
        <f>G529-I529+1</f>
        <v>117</v>
      </c>
      <c r="CD529" s="129">
        <f>G529-J529</f>
        <v>0</v>
      </c>
      <c r="CE529" s="129">
        <f t="shared" si="419"/>
        <v>0</v>
      </c>
      <c r="CG529" s="129" t="str">
        <f t="shared" si="420"/>
        <v>Y</v>
      </c>
      <c r="CI529" s="129" t="str">
        <f t="shared" si="421"/>
        <v>91-120 DAYS</v>
      </c>
      <c r="CJ529" s="137">
        <f t="shared" si="422"/>
        <v>0</v>
      </c>
      <c r="CK529" s="129" t="str">
        <f t="shared" si="423"/>
        <v>Booked</v>
      </c>
    </row>
    <row r="530" spans="1:89" ht="15.75" customHeight="1" x14ac:dyDescent="0.25">
      <c r="A530" s="111">
        <v>2397</v>
      </c>
      <c r="B530" s="128" t="str">
        <f t="shared" si="397"/>
        <v>N</v>
      </c>
      <c r="C530" s="128" t="str">
        <f t="shared" si="398"/>
        <v>N</v>
      </c>
      <c r="D530" s="117">
        <v>1257192</v>
      </c>
      <c r="E530" s="135">
        <f t="shared" si="399"/>
        <v>3</v>
      </c>
      <c r="F530" s="124">
        <v>40999</v>
      </c>
      <c r="G530" s="125">
        <v>41384</v>
      </c>
      <c r="H530" s="117">
        <v>1257192</v>
      </c>
      <c r="I530" s="124">
        <v>40999</v>
      </c>
      <c r="J530" s="124">
        <v>41000</v>
      </c>
      <c r="K530" s="126">
        <v>10000</v>
      </c>
      <c r="L530" s="127" t="s">
        <v>570</v>
      </c>
      <c r="M530" s="125">
        <v>41000</v>
      </c>
      <c r="N530" s="129" t="str">
        <f>IF(M530&gt;1/1/1,"Y","N")</f>
        <v>Y</v>
      </c>
      <c r="O530" s="128" t="s">
        <v>585</v>
      </c>
      <c r="P530" s="129" t="s">
        <v>39</v>
      </c>
      <c r="Q530" s="111">
        <f t="shared" si="383"/>
        <v>2</v>
      </c>
      <c r="R530" s="111">
        <f t="shared" si="400"/>
        <v>386</v>
      </c>
      <c r="S530" s="129">
        <v>0</v>
      </c>
      <c r="T530" s="129">
        <v>7</v>
      </c>
      <c r="W530" s="111"/>
      <c r="AC530" s="130"/>
      <c r="AD530" s="130">
        <v>23406</v>
      </c>
      <c r="AE530" s="128" t="s">
        <v>32</v>
      </c>
      <c r="AF530" s="128" t="s">
        <v>33</v>
      </c>
      <c r="AG530" s="128" t="s">
        <v>872</v>
      </c>
      <c r="AH530" s="108" t="s">
        <v>31</v>
      </c>
      <c r="AI530" s="128" t="s">
        <v>62</v>
      </c>
      <c r="AJ530" s="129" t="s">
        <v>89</v>
      </c>
      <c r="AK530" s="129">
        <v>19</v>
      </c>
      <c r="AL530" s="3" t="s">
        <v>185</v>
      </c>
      <c r="AP530" s="129" t="s">
        <v>66</v>
      </c>
      <c r="AR530" s="128" t="s">
        <v>67</v>
      </c>
      <c r="AS530" s="129" t="s">
        <v>68</v>
      </c>
      <c r="AT530" s="3" t="s">
        <v>847</v>
      </c>
      <c r="BC530" s="129" t="s">
        <v>52</v>
      </c>
      <c r="BF530" s="111">
        <f>M530-I530+1</f>
        <v>2</v>
      </c>
      <c r="BG530" s="111">
        <f t="shared" si="425"/>
        <v>386</v>
      </c>
      <c r="BH530" s="111">
        <f t="shared" si="401"/>
        <v>386</v>
      </c>
      <c r="BI530" s="111">
        <f t="shared" si="402"/>
        <v>48.068306010928964</v>
      </c>
      <c r="BJ530" s="129">
        <f>(G530-J530)+(M530-G530)</f>
        <v>0</v>
      </c>
      <c r="BK530" s="129">
        <f t="shared" si="404"/>
        <v>-384</v>
      </c>
      <c r="BL530" s="129" t="str">
        <f t="shared" si="405"/>
        <v>CONVICTION</v>
      </c>
      <c r="BM530" s="129" t="s">
        <v>76</v>
      </c>
      <c r="BN530" s="129" t="s">
        <v>88</v>
      </c>
      <c r="BP530" s="137" t="str">
        <f t="shared" si="407"/>
        <v>CONVICTION</v>
      </c>
      <c r="BQ530" s="128" t="str">
        <f t="shared" si="408"/>
        <v>Y</v>
      </c>
      <c r="BR530" s="129" t="str">
        <f>IF(J530&lt;G530,"ON BOND",0)</f>
        <v>ON BOND</v>
      </c>
      <c r="BS530" s="129" t="str">
        <f t="shared" si="410"/>
        <v>DISPOSED</v>
      </c>
      <c r="BT530" s="129" t="str">
        <f t="shared" si="411"/>
        <v>N</v>
      </c>
      <c r="BU530" s="109">
        <f t="shared" si="412"/>
        <v>5.1813471502590676E-3</v>
      </c>
      <c r="BV530" s="109">
        <f t="shared" si="413"/>
        <v>5.1813471502590676E-3</v>
      </c>
      <c r="BW530" s="109">
        <f t="shared" si="414"/>
        <v>0</v>
      </c>
      <c r="BX530" s="111">
        <f t="shared" si="415"/>
        <v>0</v>
      </c>
      <c r="BY530" s="129">
        <f t="shared" si="416"/>
        <v>-2</v>
      </c>
      <c r="BZ530" s="111">
        <f t="shared" si="417"/>
        <v>0</v>
      </c>
      <c r="CA530" s="138">
        <f t="shared" si="418"/>
        <v>2</v>
      </c>
      <c r="CB530" s="111" t="e">
        <f t="shared" si="426"/>
        <v>#VALUE!</v>
      </c>
      <c r="CD530" s="129">
        <f>G530-J530</f>
        <v>384</v>
      </c>
      <c r="CE530" s="129">
        <f t="shared" si="419"/>
        <v>384</v>
      </c>
      <c r="CG530" s="129" t="str">
        <f t="shared" si="420"/>
        <v>Y</v>
      </c>
      <c r="CI530" s="129" t="str">
        <f t="shared" si="421"/>
        <v>0-10 DAYS</v>
      </c>
      <c r="CJ530" s="137">
        <f t="shared" si="422"/>
        <v>1</v>
      </c>
      <c r="CK530" s="129" t="str">
        <f t="shared" si="423"/>
        <v>Booked</v>
      </c>
    </row>
    <row r="531" spans="1:89" ht="15.75" customHeight="1" x14ac:dyDescent="0.25">
      <c r="A531" s="111">
        <v>852</v>
      </c>
      <c r="B531" s="128" t="str">
        <f t="shared" si="397"/>
        <v>N</v>
      </c>
      <c r="C531" s="128" t="str">
        <f t="shared" si="398"/>
        <v>N</v>
      </c>
      <c r="D531" s="117">
        <v>1260711</v>
      </c>
      <c r="E531" s="135">
        <f t="shared" si="399"/>
        <v>6</v>
      </c>
      <c r="F531" s="124">
        <v>40940</v>
      </c>
      <c r="G531" s="125">
        <v>40997</v>
      </c>
      <c r="H531" s="117">
        <v>1260711</v>
      </c>
      <c r="I531" s="124">
        <v>40941</v>
      </c>
      <c r="J531" s="124">
        <v>40997</v>
      </c>
      <c r="K531" s="126" t="s">
        <v>564</v>
      </c>
      <c r="L531" s="127" t="s">
        <v>564</v>
      </c>
      <c r="N531" s="129" t="s">
        <v>566</v>
      </c>
      <c r="O531" s="128" t="s">
        <v>917</v>
      </c>
      <c r="P531" s="129" t="s">
        <v>39</v>
      </c>
      <c r="Q531" s="111">
        <f t="shared" si="383"/>
        <v>57</v>
      </c>
      <c r="R531" s="111">
        <f t="shared" si="400"/>
        <v>58</v>
      </c>
      <c r="S531" s="129">
        <v>5</v>
      </c>
      <c r="T531" s="129">
        <v>2</v>
      </c>
      <c r="U531" s="129">
        <v>5</v>
      </c>
      <c r="W531" s="111"/>
      <c r="AC531" s="130"/>
      <c r="AD531" s="130">
        <v>26908</v>
      </c>
      <c r="AE531" s="128" t="s">
        <v>32</v>
      </c>
      <c r="AF531" s="128" t="s">
        <v>33</v>
      </c>
      <c r="AG531" s="128" t="s">
        <v>872</v>
      </c>
      <c r="AH531" s="108" t="s">
        <v>58</v>
      </c>
      <c r="AI531" s="128" t="s">
        <v>113</v>
      </c>
      <c r="AJ531" s="129" t="s">
        <v>89</v>
      </c>
      <c r="AK531" s="129">
        <v>3</v>
      </c>
      <c r="AL531" s="3" t="s">
        <v>362</v>
      </c>
      <c r="AM531" s="117">
        <v>7</v>
      </c>
      <c r="AP531" s="129" t="s">
        <v>81</v>
      </c>
      <c r="AR531" s="128" t="s">
        <v>50</v>
      </c>
      <c r="AS531" s="129" t="s">
        <v>82</v>
      </c>
      <c r="BC531" s="129" t="s">
        <v>38</v>
      </c>
      <c r="BF531" s="111">
        <f t="shared" si="424"/>
        <v>57</v>
      </c>
      <c r="BG531" s="111">
        <f t="shared" si="425"/>
        <v>57</v>
      </c>
      <c r="BH531" s="111">
        <f t="shared" si="401"/>
        <v>58</v>
      </c>
      <c r="BI531" s="111">
        <f t="shared" si="402"/>
        <v>38.338797814207652</v>
      </c>
      <c r="BJ531" s="129">
        <f t="shared" si="403"/>
        <v>0</v>
      </c>
      <c r="BK531" s="129">
        <f t="shared" si="404"/>
        <v>0</v>
      </c>
      <c r="BL531" s="129" t="str">
        <f t="shared" si="405"/>
        <v>CONVICTION</v>
      </c>
      <c r="BM531" s="129" t="str">
        <f t="shared" si="406"/>
        <v>NONE</v>
      </c>
      <c r="BN531" s="129" t="s">
        <v>566</v>
      </c>
      <c r="BP531" s="137" t="str">
        <f t="shared" si="407"/>
        <v>CONVICTION</v>
      </c>
      <c r="BQ531" s="128" t="str">
        <f t="shared" si="408"/>
        <v>Y</v>
      </c>
      <c r="BR531" s="129" t="str">
        <f t="shared" si="409"/>
        <v>DETAINED</v>
      </c>
      <c r="BS531" s="129" t="str">
        <f t="shared" si="410"/>
        <v>DISPOSED</v>
      </c>
      <c r="BT531" s="129" t="str">
        <f t="shared" si="411"/>
        <v>Y</v>
      </c>
      <c r="BU531" s="109">
        <f t="shared" si="412"/>
        <v>0.98275862068965514</v>
      </c>
      <c r="BV531" s="109">
        <f t="shared" si="413"/>
        <v>1</v>
      </c>
      <c r="BW531" s="109">
        <f t="shared" si="414"/>
        <v>1.7241379310344862E-2</v>
      </c>
      <c r="BX531" s="111">
        <f t="shared" si="415"/>
        <v>0</v>
      </c>
      <c r="BY531" s="129">
        <f t="shared" si="416"/>
        <v>-57</v>
      </c>
      <c r="BZ531" s="111">
        <f t="shared" si="417"/>
        <v>0</v>
      </c>
      <c r="CA531" s="138">
        <f t="shared" si="418"/>
        <v>57</v>
      </c>
      <c r="CB531" s="111" t="e">
        <f t="shared" si="426"/>
        <v>#VALUE!</v>
      </c>
      <c r="CC531" s="129">
        <f>G531-I531+1</f>
        <v>57</v>
      </c>
      <c r="CD531" s="129">
        <f>G531-J531</f>
        <v>0</v>
      </c>
      <c r="CE531" s="129">
        <f t="shared" si="419"/>
        <v>0</v>
      </c>
      <c r="CG531" s="129" t="str">
        <f t="shared" si="420"/>
        <v>Y</v>
      </c>
      <c r="CI531" s="129" t="str">
        <f t="shared" si="421"/>
        <v>31-60 DAYS</v>
      </c>
      <c r="CJ531" s="137">
        <f t="shared" si="422"/>
        <v>3</v>
      </c>
      <c r="CK531" s="129" t="str">
        <f t="shared" si="423"/>
        <v>Booked</v>
      </c>
    </row>
    <row r="532" spans="1:89" ht="15" customHeight="1" x14ac:dyDescent="0.25">
      <c r="A532" s="111">
        <v>2278</v>
      </c>
      <c r="B532" s="128" t="str">
        <f t="shared" si="397"/>
        <v>Y</v>
      </c>
      <c r="C532" s="128" t="str">
        <f t="shared" si="398"/>
        <v>Y</v>
      </c>
      <c r="D532" s="117">
        <v>1266751</v>
      </c>
      <c r="E532" s="135">
        <f t="shared" si="399"/>
        <v>2</v>
      </c>
      <c r="F532" s="124">
        <v>40995</v>
      </c>
      <c r="G532" s="125">
        <v>41061</v>
      </c>
      <c r="H532" s="117">
        <v>1266751</v>
      </c>
      <c r="I532" s="124">
        <v>40996</v>
      </c>
      <c r="J532" s="124">
        <v>41005</v>
      </c>
      <c r="K532" s="126">
        <v>5000</v>
      </c>
      <c r="L532" s="127" t="s">
        <v>569</v>
      </c>
      <c r="M532" s="125">
        <v>41005</v>
      </c>
      <c r="N532" s="129" t="str">
        <f>IF(M532&gt;1/1/1,"Y","N")</f>
        <v>Y</v>
      </c>
      <c r="O532" s="128" t="s">
        <v>585</v>
      </c>
      <c r="P532" s="129" t="s">
        <v>589</v>
      </c>
      <c r="Q532" s="111">
        <v>6</v>
      </c>
      <c r="R532" s="111">
        <f t="shared" si="400"/>
        <v>67</v>
      </c>
      <c r="S532" s="129">
        <v>0</v>
      </c>
      <c r="T532" s="129">
        <v>2</v>
      </c>
      <c r="W532" s="111"/>
      <c r="AC532" s="130"/>
      <c r="AD532" s="130">
        <v>24887</v>
      </c>
      <c r="AE532" s="128" t="s">
        <v>32</v>
      </c>
      <c r="AF532" s="128" t="s">
        <v>69</v>
      </c>
      <c r="AG532" s="128" t="s">
        <v>874</v>
      </c>
      <c r="AH532" s="108" t="s">
        <v>58</v>
      </c>
      <c r="AI532" s="128" t="s">
        <v>70</v>
      </c>
      <c r="AJ532" s="129" t="s">
        <v>48</v>
      </c>
      <c r="AK532" s="129">
        <v>5</v>
      </c>
      <c r="AL532" s="3" t="s">
        <v>48</v>
      </c>
      <c r="AP532" s="129" t="s">
        <v>93</v>
      </c>
      <c r="AR532" s="128" t="s">
        <v>67</v>
      </c>
      <c r="AS532" s="129" t="s">
        <v>45</v>
      </c>
      <c r="AT532" s="3" t="s">
        <v>764</v>
      </c>
      <c r="AU532" s="121">
        <v>41059</v>
      </c>
      <c r="AX532" s="32" t="s">
        <v>88</v>
      </c>
      <c r="BC532" s="129" t="s">
        <v>38</v>
      </c>
      <c r="BD532" s="129" t="s">
        <v>1285</v>
      </c>
      <c r="BF532" s="111">
        <v>6</v>
      </c>
      <c r="BG532" s="111">
        <f t="shared" si="425"/>
        <v>66</v>
      </c>
      <c r="BH532" s="111">
        <f t="shared" si="401"/>
        <v>67</v>
      </c>
      <c r="BI532" s="111">
        <f t="shared" si="402"/>
        <v>44.010928961748633</v>
      </c>
      <c r="BJ532" s="129">
        <f>(G532-J532)+(M532-G532)</f>
        <v>0</v>
      </c>
      <c r="BK532" s="129">
        <f t="shared" si="404"/>
        <v>-56</v>
      </c>
      <c r="BL532" s="129" t="str">
        <f t="shared" si="405"/>
        <v>DEFERRED</v>
      </c>
      <c r="BM532" s="129" t="s">
        <v>76</v>
      </c>
      <c r="BN532" s="129" t="s">
        <v>88</v>
      </c>
      <c r="BP532" s="137" t="str">
        <f t="shared" si="407"/>
        <v>DEFERRED</v>
      </c>
      <c r="BQ532" s="128" t="str">
        <f t="shared" si="408"/>
        <v>Y</v>
      </c>
      <c r="BR532" s="129" t="s">
        <v>574</v>
      </c>
      <c r="BS532" s="129" t="str">
        <f t="shared" si="410"/>
        <v>DISPOSED</v>
      </c>
      <c r="BT532" s="129" t="str">
        <f t="shared" si="411"/>
        <v>N</v>
      </c>
      <c r="BU532" s="109">
        <f t="shared" si="412"/>
        <v>8.9552238805970144E-2</v>
      </c>
      <c r="BV532" s="109">
        <f t="shared" si="413"/>
        <v>0.15151515151515152</v>
      </c>
      <c r="BW532" s="109">
        <f t="shared" si="414"/>
        <v>6.1962912709181375E-2</v>
      </c>
      <c r="BX532" s="111">
        <f t="shared" si="415"/>
        <v>0</v>
      </c>
      <c r="BY532" s="129">
        <f t="shared" si="416"/>
        <v>-10</v>
      </c>
      <c r="BZ532" s="111">
        <f t="shared" si="417"/>
        <v>-4</v>
      </c>
      <c r="CA532" s="138">
        <f t="shared" si="418"/>
        <v>66</v>
      </c>
      <c r="CB532" s="111">
        <v>6</v>
      </c>
      <c r="CC532" s="129">
        <f>G532-I532+1</f>
        <v>66</v>
      </c>
      <c r="CD532" s="129">
        <f>G532-J532</f>
        <v>56</v>
      </c>
      <c r="CE532" s="129">
        <f t="shared" si="419"/>
        <v>56</v>
      </c>
      <c r="CG532" s="129" t="str">
        <f t="shared" si="420"/>
        <v>Y</v>
      </c>
      <c r="CI532" s="129" t="str">
        <f t="shared" si="421"/>
        <v>0-10 DAYS</v>
      </c>
      <c r="CJ532" s="137">
        <f t="shared" si="422"/>
        <v>1</v>
      </c>
      <c r="CK532" s="129" t="str">
        <f t="shared" si="423"/>
        <v>Booked</v>
      </c>
    </row>
    <row r="533" spans="1:89" ht="15.75" customHeight="1" x14ac:dyDescent="0.25">
      <c r="A533" s="111">
        <v>2803</v>
      </c>
      <c r="B533" s="128" t="str">
        <f t="shared" si="397"/>
        <v>N</v>
      </c>
      <c r="C533" s="128" t="str">
        <f t="shared" si="398"/>
        <v>N</v>
      </c>
      <c r="D533" s="117">
        <v>1268363</v>
      </c>
      <c r="E533" s="135">
        <f t="shared" si="399"/>
        <v>6</v>
      </c>
      <c r="F533" s="124">
        <v>41012</v>
      </c>
      <c r="G533" s="125">
        <v>41478</v>
      </c>
      <c r="H533" s="117">
        <v>1268363</v>
      </c>
      <c r="I533" s="124">
        <v>41100</v>
      </c>
      <c r="J533" s="125">
        <v>41478</v>
      </c>
      <c r="K533" s="126">
        <v>45000</v>
      </c>
      <c r="L533" s="129" t="s">
        <v>572</v>
      </c>
      <c r="N533" s="129" t="str">
        <f>IF(M533&gt;1/1/1,"Y","N")</f>
        <v>N</v>
      </c>
      <c r="O533" s="128" t="s">
        <v>917</v>
      </c>
      <c r="P533" s="129" t="s">
        <v>39</v>
      </c>
      <c r="Q533" s="111">
        <f t="shared" si="383"/>
        <v>379</v>
      </c>
      <c r="R533" s="111">
        <f t="shared" si="400"/>
        <v>467</v>
      </c>
      <c r="S533" s="129">
        <v>2</v>
      </c>
      <c r="T533" s="129">
        <v>6</v>
      </c>
      <c r="U533" s="129">
        <v>2</v>
      </c>
      <c r="W533" s="111"/>
      <c r="AC533" s="130"/>
      <c r="AD533" s="130">
        <v>24507</v>
      </c>
      <c r="AE533" s="128" t="s">
        <v>32</v>
      </c>
      <c r="AF533" s="128" t="s">
        <v>40</v>
      </c>
      <c r="AG533" s="128" t="s">
        <v>41</v>
      </c>
      <c r="AH533" s="108" t="s">
        <v>41</v>
      </c>
      <c r="AI533" s="128" t="s">
        <v>118</v>
      </c>
      <c r="AJ533" s="129" t="s">
        <v>89</v>
      </c>
      <c r="AK533" s="129">
        <v>8</v>
      </c>
      <c r="AL533" s="3" t="s">
        <v>362</v>
      </c>
      <c r="AM533" s="117">
        <v>2</v>
      </c>
      <c r="AP533" s="129" t="s">
        <v>96</v>
      </c>
      <c r="AR533" s="128" t="s">
        <v>67</v>
      </c>
      <c r="AS533" s="129" t="s">
        <v>64</v>
      </c>
      <c r="BC533" s="129" t="s">
        <v>38</v>
      </c>
      <c r="BF533" s="111">
        <f t="shared" si="424"/>
        <v>379</v>
      </c>
      <c r="BG533" s="111">
        <f t="shared" si="425"/>
        <v>379</v>
      </c>
      <c r="BH533" s="111">
        <f t="shared" si="401"/>
        <v>467</v>
      </c>
      <c r="BI533" s="111">
        <f t="shared" si="402"/>
        <v>45.095628415300546</v>
      </c>
      <c r="BJ533" s="129">
        <f t="shared" si="403"/>
        <v>0</v>
      </c>
      <c r="BK533" s="129">
        <f t="shared" si="404"/>
        <v>0</v>
      </c>
      <c r="BL533" s="129" t="str">
        <f t="shared" si="405"/>
        <v>CONVICTION</v>
      </c>
      <c r="BM533" s="129" t="str">
        <f t="shared" si="406"/>
        <v>NONE</v>
      </c>
      <c r="BN533" s="129" t="s">
        <v>566</v>
      </c>
      <c r="BP533" s="137" t="str">
        <f t="shared" si="407"/>
        <v>CONVICTION</v>
      </c>
      <c r="BQ533" s="128" t="str">
        <f t="shared" si="408"/>
        <v>Y</v>
      </c>
      <c r="BR533" s="129" t="str">
        <f t="shared" si="409"/>
        <v>DETAINED</v>
      </c>
      <c r="BS533" s="129" t="str">
        <f t="shared" si="410"/>
        <v>DISPOSED</v>
      </c>
      <c r="BT533" s="129" t="str">
        <f t="shared" si="411"/>
        <v>Y</v>
      </c>
      <c r="BU533" s="109">
        <f t="shared" si="412"/>
        <v>0.81156316916488225</v>
      </c>
      <c r="BV533" s="109">
        <f t="shared" si="413"/>
        <v>1</v>
      </c>
      <c r="BW533" s="109">
        <f t="shared" si="414"/>
        <v>0.18843683083511775</v>
      </c>
      <c r="BX533" s="111">
        <f t="shared" si="415"/>
        <v>0</v>
      </c>
      <c r="BY533" s="129">
        <f t="shared" si="416"/>
        <v>-379</v>
      </c>
      <c r="BZ533" s="111">
        <f t="shared" si="417"/>
        <v>0</v>
      </c>
      <c r="CA533" s="138">
        <f t="shared" si="418"/>
        <v>379</v>
      </c>
      <c r="CB533" s="111" t="e">
        <f t="shared" si="426"/>
        <v>#VALUE!</v>
      </c>
      <c r="CC533" s="129">
        <f>G533-I533+1</f>
        <v>379</v>
      </c>
      <c r="CD533" s="129">
        <f>G533-J533</f>
        <v>0</v>
      </c>
      <c r="CE533" s="129">
        <f t="shared" si="419"/>
        <v>0</v>
      </c>
      <c r="CG533" s="129" t="str">
        <f t="shared" si="420"/>
        <v>Y</v>
      </c>
      <c r="CI533" s="129" t="str">
        <f t="shared" si="421"/>
        <v xml:space="preserve"> &gt;1YRS&lt;2YRS</v>
      </c>
      <c r="CJ533" s="137">
        <f t="shared" si="422"/>
        <v>0</v>
      </c>
      <c r="CK533" s="129" t="str">
        <f t="shared" si="423"/>
        <v>Booked</v>
      </c>
    </row>
    <row r="534" spans="1:89" ht="15.75" customHeight="1" x14ac:dyDescent="0.25">
      <c r="A534" s="111">
        <v>1521</v>
      </c>
      <c r="B534" s="128" t="str">
        <f t="shared" si="397"/>
        <v>N</v>
      </c>
      <c r="C534" s="128" t="str">
        <f t="shared" si="398"/>
        <v>N</v>
      </c>
      <c r="D534" s="117">
        <v>1268592</v>
      </c>
      <c r="E534" s="135">
        <f t="shared" si="399"/>
        <v>1</v>
      </c>
      <c r="F534" s="124">
        <v>40965</v>
      </c>
      <c r="G534" s="125">
        <v>41367</v>
      </c>
      <c r="H534" s="117">
        <v>1268592</v>
      </c>
      <c r="I534" s="124">
        <v>40965</v>
      </c>
      <c r="J534" s="124">
        <v>40967</v>
      </c>
      <c r="K534" s="126">
        <v>10000</v>
      </c>
      <c r="L534" s="127" t="s">
        <v>570</v>
      </c>
      <c r="M534" s="125">
        <v>40967</v>
      </c>
      <c r="N534" s="129" t="str">
        <f>IF(M534&gt;1/1/1,"Y","N")</f>
        <v>Y</v>
      </c>
      <c r="O534" s="128" t="s">
        <v>76</v>
      </c>
      <c r="P534" s="129" t="s">
        <v>55</v>
      </c>
      <c r="Q534" s="111">
        <f t="shared" si="383"/>
        <v>3</v>
      </c>
      <c r="R534" s="111">
        <f t="shared" si="400"/>
        <v>403</v>
      </c>
      <c r="S534" s="129">
        <v>5</v>
      </c>
      <c r="T534" s="129">
        <v>9</v>
      </c>
      <c r="U534" s="129">
        <v>2</v>
      </c>
      <c r="W534" s="111"/>
      <c r="AC534" s="130"/>
      <c r="AD534" s="130">
        <v>27598</v>
      </c>
      <c r="AE534" s="128" t="s">
        <v>32</v>
      </c>
      <c r="AF534" s="128" t="s">
        <v>40</v>
      </c>
      <c r="AG534" s="128" t="s">
        <v>41</v>
      </c>
      <c r="AH534" s="108" t="s">
        <v>41</v>
      </c>
      <c r="AI534" s="128" t="s">
        <v>80</v>
      </c>
      <c r="AJ534" s="129" t="s">
        <v>55</v>
      </c>
      <c r="AK534" s="129">
        <v>10</v>
      </c>
      <c r="AL534" s="3" t="s">
        <v>55</v>
      </c>
      <c r="AP534" s="129" t="s">
        <v>93</v>
      </c>
      <c r="AR534" s="128" t="s">
        <v>67</v>
      </c>
      <c r="AS534" s="129" t="s">
        <v>45</v>
      </c>
      <c r="BC534" s="129" t="s">
        <v>52</v>
      </c>
      <c r="BF534" s="111">
        <f t="shared" si="424"/>
        <v>3</v>
      </c>
      <c r="BG534" s="111">
        <f t="shared" si="425"/>
        <v>403</v>
      </c>
      <c r="BH534" s="111">
        <f t="shared" si="401"/>
        <v>403</v>
      </c>
      <c r="BI534" s="111">
        <f t="shared" si="402"/>
        <v>36.521857923497265</v>
      </c>
      <c r="BJ534" s="129">
        <f>(G534-J534)+(M534-G534)</f>
        <v>0</v>
      </c>
      <c r="BK534" s="129">
        <f t="shared" si="404"/>
        <v>-400</v>
      </c>
      <c r="BL534" s="129" t="str">
        <f t="shared" si="405"/>
        <v>NO CONVICTION</v>
      </c>
      <c r="BM534" s="129" t="s">
        <v>76</v>
      </c>
      <c r="BN534" s="129" t="s">
        <v>88</v>
      </c>
      <c r="BP534" s="137" t="str">
        <f t="shared" si="407"/>
        <v>NO CONVICTION</v>
      </c>
      <c r="BQ534" s="128" t="str">
        <f t="shared" si="408"/>
        <v>Y</v>
      </c>
      <c r="BR534" s="129" t="str">
        <f t="shared" si="409"/>
        <v>ON BOND</v>
      </c>
      <c r="BS534" s="129" t="str">
        <f t="shared" si="410"/>
        <v>DISPOSED</v>
      </c>
      <c r="BT534" s="129" t="str">
        <f t="shared" si="411"/>
        <v>Y</v>
      </c>
      <c r="BU534" s="109">
        <f>IFERROR(Q534/R534,BR534)</f>
        <v>7.4441687344913151E-3</v>
      </c>
      <c r="BV534" s="109">
        <f t="shared" si="413"/>
        <v>7.4441687344913151E-3</v>
      </c>
      <c r="BW534" s="109">
        <f t="shared" si="414"/>
        <v>0</v>
      </c>
      <c r="BX534" s="111">
        <f t="shared" si="415"/>
        <v>0</v>
      </c>
      <c r="BY534" s="129">
        <f t="shared" si="416"/>
        <v>-3</v>
      </c>
      <c r="BZ534" s="111">
        <f t="shared" si="417"/>
        <v>0</v>
      </c>
      <c r="CA534" s="138">
        <f t="shared" si="418"/>
        <v>3</v>
      </c>
      <c r="CB534" s="111" t="e">
        <f t="shared" si="426"/>
        <v>#VALUE!</v>
      </c>
      <c r="CC534" s="129">
        <f>M534-I534+1</f>
        <v>3</v>
      </c>
      <c r="CD534" s="111">
        <f>CC534-BF534</f>
        <v>0</v>
      </c>
      <c r="CE534" s="129">
        <f t="shared" si="419"/>
        <v>400</v>
      </c>
      <c r="CG534" s="129" t="str">
        <f t="shared" si="420"/>
        <v>Y</v>
      </c>
      <c r="CI534" s="129" t="str">
        <f t="shared" si="421"/>
        <v>0-10 DAYS</v>
      </c>
      <c r="CJ534" s="137">
        <f t="shared" si="422"/>
        <v>1</v>
      </c>
      <c r="CK534" s="129" t="str">
        <f t="shared" si="423"/>
        <v>Booked</v>
      </c>
    </row>
    <row r="535" spans="1:89" ht="15.75" customHeight="1" x14ac:dyDescent="0.25">
      <c r="A535" s="111">
        <v>1679</v>
      </c>
      <c r="B535" s="128" t="str">
        <f t="shared" si="397"/>
        <v>N</v>
      </c>
      <c r="C535" s="128" t="str">
        <f t="shared" si="398"/>
        <v>Y</v>
      </c>
      <c r="D535" s="117">
        <v>1270765</v>
      </c>
      <c r="E535" s="135">
        <f t="shared" si="399"/>
        <v>6</v>
      </c>
      <c r="F535" s="124">
        <v>40970</v>
      </c>
      <c r="G535" s="125">
        <v>41424</v>
      </c>
      <c r="H535" s="117">
        <v>1270765</v>
      </c>
      <c r="I535" s="124">
        <v>40971</v>
      </c>
      <c r="J535" s="124">
        <v>40978</v>
      </c>
      <c r="K535" s="126">
        <v>40000</v>
      </c>
      <c r="L535" s="129" t="s">
        <v>572</v>
      </c>
      <c r="M535" s="125">
        <v>40978</v>
      </c>
      <c r="N535" s="129" t="s">
        <v>88</v>
      </c>
      <c r="O535" s="128" t="s">
        <v>76</v>
      </c>
      <c r="P535" s="129" t="s">
        <v>39</v>
      </c>
      <c r="Q535" s="111">
        <v>308</v>
      </c>
      <c r="R535" s="111">
        <f t="shared" si="400"/>
        <v>455</v>
      </c>
      <c r="S535" s="129">
        <v>4</v>
      </c>
      <c r="T535" s="129">
        <v>12</v>
      </c>
      <c r="U535" s="129">
        <v>3</v>
      </c>
      <c r="W535" s="111"/>
      <c r="AC535" s="130"/>
      <c r="AD535" s="130">
        <v>27353</v>
      </c>
      <c r="AE535" s="128" t="s">
        <v>32</v>
      </c>
      <c r="AF535" s="128" t="s">
        <v>33</v>
      </c>
      <c r="AG535" s="128" t="s">
        <v>872</v>
      </c>
      <c r="AH535" s="108" t="s">
        <v>58</v>
      </c>
      <c r="AI535" s="128" t="s">
        <v>141</v>
      </c>
      <c r="AJ535" s="129" t="s">
        <v>89</v>
      </c>
      <c r="AK535" s="129">
        <v>15</v>
      </c>
      <c r="AL535" s="3" t="s">
        <v>362</v>
      </c>
      <c r="AM535" s="117">
        <v>8</v>
      </c>
      <c r="AP535" s="129" t="s">
        <v>164</v>
      </c>
      <c r="AR535" s="128" t="s">
        <v>92</v>
      </c>
      <c r="AS535" s="129" t="s">
        <v>82</v>
      </c>
      <c r="AV535" s="3" t="s">
        <v>88</v>
      </c>
      <c r="AW535" s="125">
        <v>41061</v>
      </c>
      <c r="BA535" s="125" t="s">
        <v>1191</v>
      </c>
      <c r="BB535" s="129">
        <v>792</v>
      </c>
      <c r="BC535" s="129" t="s">
        <v>38</v>
      </c>
      <c r="BF535" s="111">
        <v>308</v>
      </c>
      <c r="BG535" s="111">
        <f t="shared" si="425"/>
        <v>454</v>
      </c>
      <c r="BH535" s="111">
        <f t="shared" si="401"/>
        <v>455</v>
      </c>
      <c r="BI535" s="111">
        <f t="shared" si="402"/>
        <v>37.204918032786885</v>
      </c>
      <c r="BJ535" s="129">
        <f>(G535-J535)+(M535-G535)</f>
        <v>0</v>
      </c>
      <c r="BK535" s="129">
        <f t="shared" si="404"/>
        <v>-446</v>
      </c>
      <c r="BL535" s="129" t="str">
        <f t="shared" si="405"/>
        <v>CONVICTION</v>
      </c>
      <c r="BM535" s="129" t="s">
        <v>76</v>
      </c>
      <c r="BN535" s="129" t="s">
        <v>566</v>
      </c>
      <c r="BP535" s="137" t="str">
        <f t="shared" si="407"/>
        <v>CONVICTION</v>
      </c>
      <c r="BQ535" s="128" t="str">
        <f t="shared" si="408"/>
        <v>Y</v>
      </c>
      <c r="BR535" s="129" t="s">
        <v>574</v>
      </c>
      <c r="BS535" s="129" t="str">
        <f t="shared" si="410"/>
        <v>DISPOSED</v>
      </c>
      <c r="BT535" s="129" t="str">
        <f t="shared" si="411"/>
        <v>Y</v>
      </c>
      <c r="BU535" s="109">
        <f t="shared" si="412"/>
        <v>0.67692307692307696</v>
      </c>
      <c r="BV535" s="109">
        <f t="shared" si="413"/>
        <v>1.7621145374449341E-2</v>
      </c>
      <c r="BW535" s="109">
        <f t="shared" si="414"/>
        <v>-0.6593019315486276</v>
      </c>
      <c r="BX535" s="111">
        <f t="shared" si="415"/>
        <v>0</v>
      </c>
      <c r="BY535" s="129">
        <f t="shared" si="416"/>
        <v>-8</v>
      </c>
      <c r="BZ535" s="111">
        <f t="shared" si="417"/>
        <v>300</v>
      </c>
      <c r="CA535" s="138">
        <f t="shared" si="418"/>
        <v>454</v>
      </c>
      <c r="CB535" s="111">
        <v>308</v>
      </c>
      <c r="CC535" s="129">
        <f>G535-I535+1</f>
        <v>454</v>
      </c>
      <c r="CD535" s="129">
        <f>G535-J535</f>
        <v>446</v>
      </c>
      <c r="CE535" s="129">
        <f t="shared" si="419"/>
        <v>446</v>
      </c>
      <c r="CG535" s="129" t="str">
        <f t="shared" si="420"/>
        <v>Y</v>
      </c>
      <c r="CI535" s="129" t="str">
        <f t="shared" si="421"/>
        <v>121-365 DAYS</v>
      </c>
      <c r="CJ535" s="137">
        <f t="shared" si="422"/>
        <v>6</v>
      </c>
      <c r="CK535" s="129" t="str">
        <f t="shared" si="423"/>
        <v>Booked</v>
      </c>
    </row>
    <row r="536" spans="1:89" ht="15.75" customHeight="1" x14ac:dyDescent="0.25">
      <c r="A536" s="111">
        <v>1759</v>
      </c>
      <c r="B536" s="128" t="str">
        <f t="shared" si="397"/>
        <v>N</v>
      </c>
      <c r="C536" s="128" t="str">
        <f t="shared" si="398"/>
        <v>N</v>
      </c>
      <c r="D536" s="117">
        <v>1271519</v>
      </c>
      <c r="E536" s="135">
        <f t="shared" si="399"/>
        <v>1</v>
      </c>
      <c r="F536" s="124">
        <v>40974</v>
      </c>
      <c r="G536" s="125">
        <v>41387</v>
      </c>
      <c r="H536" s="117">
        <v>1271519</v>
      </c>
      <c r="I536" s="124">
        <v>40975</v>
      </c>
      <c r="J536" s="124">
        <v>40977</v>
      </c>
      <c r="K536" s="126">
        <v>30000</v>
      </c>
      <c r="L536" s="129" t="s">
        <v>572</v>
      </c>
      <c r="M536" s="125">
        <v>40977</v>
      </c>
      <c r="N536" s="129" t="str">
        <f>IF(M536&gt;1/1/1,"Y","N")</f>
        <v>Y</v>
      </c>
      <c r="O536" s="128" t="s">
        <v>585</v>
      </c>
      <c r="P536" s="129" t="s">
        <v>1157</v>
      </c>
      <c r="Q536" s="111">
        <f t="shared" ref="Q536:Q567" si="427">BF536</f>
        <v>3</v>
      </c>
      <c r="R536" s="111">
        <f t="shared" si="400"/>
        <v>414</v>
      </c>
      <c r="S536" s="129">
        <v>3</v>
      </c>
      <c r="T536" s="129">
        <v>5</v>
      </c>
      <c r="U536" s="129">
        <v>1</v>
      </c>
      <c r="V536" s="117">
        <v>1</v>
      </c>
      <c r="W536" s="111"/>
      <c r="AC536" s="130"/>
      <c r="AD536" s="130">
        <v>25964</v>
      </c>
      <c r="AE536" s="128" t="s">
        <v>32</v>
      </c>
      <c r="AF536" s="128" t="s">
        <v>33</v>
      </c>
      <c r="AG536" s="128" t="s">
        <v>872</v>
      </c>
      <c r="AH536" s="108" t="s">
        <v>58</v>
      </c>
      <c r="AI536" s="128" t="s">
        <v>72</v>
      </c>
      <c r="AJ536" s="129" t="s">
        <v>1158</v>
      </c>
      <c r="AK536" s="129">
        <v>16</v>
      </c>
      <c r="AL536" s="3" t="s">
        <v>1158</v>
      </c>
      <c r="AP536" s="129" t="s">
        <v>132</v>
      </c>
      <c r="AR536" s="128" t="s">
        <v>92</v>
      </c>
      <c r="AS536" s="129" t="s">
        <v>82</v>
      </c>
      <c r="BC536" s="129" t="s">
        <v>52</v>
      </c>
      <c r="BF536" s="111">
        <f t="shared" ref="BF536:BF560" si="428">IF(J536&gt;1/1/1900,((J536+1)-I536),"STILL OPEN")</f>
        <v>3</v>
      </c>
      <c r="BG536" s="111">
        <f t="shared" si="425"/>
        <v>413</v>
      </c>
      <c r="BH536" s="111">
        <f t="shared" si="401"/>
        <v>414</v>
      </c>
      <c r="BI536" s="111">
        <f t="shared" si="402"/>
        <v>41.010928961748633</v>
      </c>
      <c r="BJ536" s="129">
        <f>(G536-J536)+(M536-G536)</f>
        <v>0</v>
      </c>
      <c r="BK536" s="129">
        <f t="shared" si="404"/>
        <v>-410</v>
      </c>
      <c r="BL536" s="129" t="s">
        <v>1058</v>
      </c>
      <c r="BM536" s="129" t="s">
        <v>76</v>
      </c>
      <c r="BN536" s="129" t="s">
        <v>88</v>
      </c>
      <c r="BP536" s="137" t="str">
        <f t="shared" si="407"/>
        <v/>
      </c>
      <c r="BQ536" s="128" t="str">
        <f t="shared" si="408"/>
        <v>Y</v>
      </c>
      <c r="BR536" s="129" t="str">
        <f t="shared" si="409"/>
        <v>ON BOND</v>
      </c>
      <c r="BS536" s="129" t="str">
        <f t="shared" si="410"/>
        <v>DISPOSED</v>
      </c>
      <c r="BT536" s="129" t="str">
        <f t="shared" si="411"/>
        <v>Y</v>
      </c>
      <c r="BU536" s="109">
        <f>IFERROR(Q536/R536,BR536)</f>
        <v>7.246376811594203E-3</v>
      </c>
      <c r="BV536" s="109">
        <f t="shared" si="413"/>
        <v>7.2639225181598066E-3</v>
      </c>
      <c r="BW536" s="109">
        <f t="shared" si="414"/>
        <v>1.7545706565603655E-5</v>
      </c>
      <c r="BX536" s="111">
        <f t="shared" si="415"/>
        <v>0</v>
      </c>
      <c r="BY536" s="129">
        <f t="shared" si="416"/>
        <v>-3</v>
      </c>
      <c r="BZ536" s="111">
        <f t="shared" si="417"/>
        <v>0</v>
      </c>
      <c r="CA536" s="138">
        <f t="shared" si="418"/>
        <v>3</v>
      </c>
      <c r="CB536" s="111" t="e">
        <f t="shared" ref="CB536:CB560" si="429">IF(AF536&gt;1/1/1900,((AF536+1)-AE536),"STILL OPEN")</f>
        <v>#VALUE!</v>
      </c>
      <c r="CC536" s="129">
        <f>M536-I536+1</f>
        <v>3</v>
      </c>
      <c r="CD536" s="111">
        <f>CC536-BF536</f>
        <v>0</v>
      </c>
      <c r="CE536" s="129">
        <f t="shared" si="419"/>
        <v>410</v>
      </c>
      <c r="CG536" s="129" t="str">
        <f t="shared" si="420"/>
        <v>Y</v>
      </c>
      <c r="CI536" s="129" t="str">
        <f t="shared" si="421"/>
        <v>0-10 DAYS</v>
      </c>
      <c r="CJ536" s="137">
        <f t="shared" si="422"/>
        <v>1</v>
      </c>
      <c r="CK536" s="129" t="str">
        <f t="shared" si="423"/>
        <v>Booked</v>
      </c>
    </row>
    <row r="537" spans="1:89" ht="15.75" customHeight="1" x14ac:dyDescent="0.25">
      <c r="A537" s="111">
        <v>287</v>
      </c>
      <c r="B537" s="128" t="str">
        <f t="shared" si="397"/>
        <v>N</v>
      </c>
      <c r="C537" s="128" t="str">
        <f t="shared" si="398"/>
        <v>N</v>
      </c>
      <c r="D537" s="117">
        <v>1271574</v>
      </c>
      <c r="E537" s="135">
        <f t="shared" si="399"/>
        <v>6</v>
      </c>
      <c r="F537" s="124">
        <v>40920</v>
      </c>
      <c r="G537" s="125">
        <v>41479</v>
      </c>
      <c r="H537" s="117">
        <v>1271574</v>
      </c>
      <c r="I537" s="124">
        <v>40920</v>
      </c>
      <c r="J537" s="125">
        <v>41479</v>
      </c>
      <c r="K537" s="126">
        <v>65000</v>
      </c>
      <c r="L537" s="129" t="s">
        <v>572</v>
      </c>
      <c r="N537" s="129" t="str">
        <f>IF(M537&gt;1/1/1,"Y","N")</f>
        <v>N</v>
      </c>
      <c r="O537" s="128" t="s">
        <v>917</v>
      </c>
      <c r="P537" s="129" t="s">
        <v>39</v>
      </c>
      <c r="Q537" s="111">
        <f t="shared" si="427"/>
        <v>560</v>
      </c>
      <c r="R537" s="111">
        <f t="shared" si="400"/>
        <v>560</v>
      </c>
      <c r="S537" s="129">
        <v>3</v>
      </c>
      <c r="T537" s="129">
        <v>2</v>
      </c>
      <c r="U537" s="129">
        <v>2</v>
      </c>
      <c r="W537" s="111"/>
      <c r="AB537" s="131" t="s">
        <v>112</v>
      </c>
      <c r="AC537" s="130"/>
      <c r="AD537" s="130">
        <v>25908</v>
      </c>
      <c r="AE537" s="128" t="s">
        <v>32</v>
      </c>
      <c r="AF537" s="128" t="s">
        <v>40</v>
      </c>
      <c r="AG537" s="128" t="s">
        <v>41</v>
      </c>
      <c r="AH537" s="108" t="s">
        <v>31</v>
      </c>
      <c r="AI537" s="128" t="s">
        <v>100</v>
      </c>
      <c r="AJ537" s="129" t="s">
        <v>89</v>
      </c>
      <c r="AK537" s="129">
        <v>17</v>
      </c>
      <c r="AL537" s="3" t="s">
        <v>362</v>
      </c>
      <c r="AM537" s="117">
        <v>5</v>
      </c>
      <c r="AP537" s="129" t="s">
        <v>132</v>
      </c>
      <c r="AR537" s="128" t="s">
        <v>92</v>
      </c>
      <c r="AS537" s="129" t="s">
        <v>82</v>
      </c>
      <c r="BC537" s="129" t="s">
        <v>38</v>
      </c>
      <c r="BF537" s="111">
        <f t="shared" si="428"/>
        <v>560</v>
      </c>
      <c r="BG537" s="111">
        <f t="shared" si="425"/>
        <v>560</v>
      </c>
      <c r="BH537" s="111">
        <f t="shared" si="401"/>
        <v>560</v>
      </c>
      <c r="BI537" s="111">
        <f t="shared" si="402"/>
        <v>41.016393442622949</v>
      </c>
      <c r="BJ537" s="129">
        <f t="shared" si="403"/>
        <v>0</v>
      </c>
      <c r="BK537" s="129">
        <f t="shared" si="404"/>
        <v>0</v>
      </c>
      <c r="BL537" s="129" t="str">
        <f t="shared" ref="BL537:BL600" si="430">IF(OR(AL537="AQUITTAL",AL537="DISMISSED",AL537="FINE",AL537="NO BILL"),"NO CONVICTION",IF(OR(AL537="HCJ",AL537="MHH",AL537="PROBATION",AL537="STJ",AL537="TDC"),"CONVICTION",IF(AL537="DEFERRED","DEFERRED",0)))</f>
        <v>CONVICTION</v>
      </c>
      <c r="BM537" s="129" t="str">
        <f t="shared" si="406"/>
        <v>NONE</v>
      </c>
      <c r="BN537" s="129" t="s">
        <v>566</v>
      </c>
      <c r="BP537" s="137" t="str">
        <f t="shared" si="407"/>
        <v>CONVICTION</v>
      </c>
      <c r="BQ537" s="128" t="str">
        <f t="shared" si="408"/>
        <v>Y</v>
      </c>
      <c r="BR537" s="129" t="str">
        <f t="shared" si="409"/>
        <v>DETAINED</v>
      </c>
      <c r="BS537" s="129" t="str">
        <f t="shared" si="410"/>
        <v>DISPOSED</v>
      </c>
      <c r="BT537" s="129" t="str">
        <f t="shared" si="411"/>
        <v>Y</v>
      </c>
      <c r="BU537" s="109">
        <f t="shared" si="412"/>
        <v>1</v>
      </c>
      <c r="BV537" s="109">
        <f t="shared" si="413"/>
        <v>1</v>
      </c>
      <c r="BW537" s="109">
        <f t="shared" si="414"/>
        <v>0</v>
      </c>
      <c r="BX537" s="111">
        <f t="shared" si="415"/>
        <v>0</v>
      </c>
      <c r="BY537" s="129">
        <f t="shared" si="416"/>
        <v>-560</v>
      </c>
      <c r="BZ537" s="111">
        <f t="shared" si="417"/>
        <v>0</v>
      </c>
      <c r="CA537" s="138">
        <f t="shared" si="418"/>
        <v>560</v>
      </c>
      <c r="CB537" s="111" t="e">
        <f t="shared" si="429"/>
        <v>#VALUE!</v>
      </c>
      <c r="CC537" s="129">
        <f>G537-I537+1</f>
        <v>560</v>
      </c>
      <c r="CD537" s="129">
        <f>G537-J537</f>
        <v>0</v>
      </c>
      <c r="CE537" s="129">
        <f t="shared" si="419"/>
        <v>0</v>
      </c>
      <c r="CG537" s="129" t="str">
        <f t="shared" si="420"/>
        <v>Y</v>
      </c>
      <c r="CI537" s="129" t="str">
        <f t="shared" si="421"/>
        <v xml:space="preserve"> &gt;1YRS&lt;2YRS</v>
      </c>
      <c r="CJ537" s="137">
        <f t="shared" si="422"/>
        <v>0</v>
      </c>
      <c r="CK537" s="129" t="str">
        <f t="shared" si="423"/>
        <v>Booked</v>
      </c>
    </row>
    <row r="538" spans="1:89" ht="15" customHeight="1" x14ac:dyDescent="0.25">
      <c r="A538" s="111">
        <v>2508</v>
      </c>
      <c r="B538" s="128" t="str">
        <f t="shared" si="397"/>
        <v>N</v>
      </c>
      <c r="C538" s="128" t="str">
        <f t="shared" si="398"/>
        <v>N</v>
      </c>
      <c r="D538" s="117">
        <v>1272755</v>
      </c>
      <c r="E538" s="135">
        <f t="shared" si="399"/>
        <v>6</v>
      </c>
      <c r="F538" s="124">
        <v>41003</v>
      </c>
      <c r="G538" s="125">
        <v>41372</v>
      </c>
      <c r="H538" s="117">
        <v>1272755</v>
      </c>
      <c r="I538" s="124">
        <v>41003</v>
      </c>
      <c r="J538" s="125">
        <v>41372</v>
      </c>
      <c r="K538" s="126" t="s">
        <v>564</v>
      </c>
      <c r="L538" s="127" t="s">
        <v>564</v>
      </c>
      <c r="N538" s="129" t="s">
        <v>566</v>
      </c>
      <c r="O538" s="128" t="s">
        <v>917</v>
      </c>
      <c r="P538" s="129" t="s">
        <v>39</v>
      </c>
      <c r="Q538" s="111">
        <f t="shared" si="427"/>
        <v>370</v>
      </c>
      <c r="R538" s="111">
        <f t="shared" si="400"/>
        <v>370</v>
      </c>
      <c r="S538" s="129">
        <v>5</v>
      </c>
      <c r="T538" s="129">
        <v>1</v>
      </c>
      <c r="U538" s="129">
        <v>1</v>
      </c>
      <c r="W538" s="111"/>
      <c r="AC538" s="130"/>
      <c r="AD538" s="130">
        <v>24763</v>
      </c>
      <c r="AE538" s="128" t="s">
        <v>32</v>
      </c>
      <c r="AF538" s="128" t="s">
        <v>33</v>
      </c>
      <c r="AG538" s="128" t="s">
        <v>872</v>
      </c>
      <c r="AH538" s="108" t="s">
        <v>31</v>
      </c>
      <c r="AI538" s="128" t="s">
        <v>118</v>
      </c>
      <c r="AJ538" s="129" t="s">
        <v>89</v>
      </c>
      <c r="AK538" s="129">
        <v>9</v>
      </c>
      <c r="AL538" s="3" t="s">
        <v>362</v>
      </c>
      <c r="AM538" s="117">
        <v>2</v>
      </c>
      <c r="AP538" s="129" t="s">
        <v>84</v>
      </c>
      <c r="AR538" s="128" t="s">
        <v>67</v>
      </c>
      <c r="AS538" s="129" t="s">
        <v>74</v>
      </c>
      <c r="BC538" s="129" t="s">
        <v>38</v>
      </c>
      <c r="BF538" s="111">
        <f t="shared" si="428"/>
        <v>370</v>
      </c>
      <c r="BG538" s="111">
        <f t="shared" si="425"/>
        <v>370</v>
      </c>
      <c r="BH538" s="111">
        <f t="shared" si="401"/>
        <v>370</v>
      </c>
      <c r="BI538" s="111">
        <f t="shared" si="402"/>
        <v>44.37158469945355</v>
      </c>
      <c r="BJ538" s="129">
        <f t="shared" si="403"/>
        <v>0</v>
      </c>
      <c r="BK538" s="129">
        <f t="shared" si="404"/>
        <v>0</v>
      </c>
      <c r="BL538" s="129" t="str">
        <f t="shared" si="430"/>
        <v>CONVICTION</v>
      </c>
      <c r="BM538" s="129" t="str">
        <f t="shared" si="406"/>
        <v>NONE</v>
      </c>
      <c r="BN538" s="129" t="s">
        <v>566</v>
      </c>
      <c r="BP538" s="137" t="str">
        <f t="shared" si="407"/>
        <v>CONVICTION</v>
      </c>
      <c r="BQ538" s="128" t="str">
        <f t="shared" si="408"/>
        <v>Y</v>
      </c>
      <c r="BR538" s="129" t="str">
        <f t="shared" si="409"/>
        <v>DETAINED</v>
      </c>
      <c r="BS538" s="129" t="str">
        <f t="shared" si="410"/>
        <v>DISPOSED</v>
      </c>
      <c r="BT538" s="129" t="str">
        <f t="shared" si="411"/>
        <v>Y</v>
      </c>
      <c r="BU538" s="109">
        <f t="shared" si="412"/>
        <v>1</v>
      </c>
      <c r="BV538" s="109">
        <f t="shared" si="413"/>
        <v>1</v>
      </c>
      <c r="BW538" s="109">
        <f t="shared" si="414"/>
        <v>0</v>
      </c>
      <c r="BX538" s="111">
        <f t="shared" si="415"/>
        <v>0</v>
      </c>
      <c r="BY538" s="129">
        <f t="shared" si="416"/>
        <v>-370</v>
      </c>
      <c r="BZ538" s="111">
        <f t="shared" si="417"/>
        <v>0</v>
      </c>
      <c r="CA538" s="138">
        <f t="shared" si="418"/>
        <v>370</v>
      </c>
      <c r="CB538" s="111" t="e">
        <f t="shared" si="429"/>
        <v>#VALUE!</v>
      </c>
      <c r="CC538" s="129">
        <f>G538-I538+1</f>
        <v>370</v>
      </c>
      <c r="CD538" s="129">
        <f>G538-J538</f>
        <v>0</v>
      </c>
      <c r="CE538" s="129">
        <f t="shared" si="419"/>
        <v>0</v>
      </c>
      <c r="CG538" s="129" t="str">
        <f t="shared" si="420"/>
        <v>Y</v>
      </c>
      <c r="CI538" s="129" t="str">
        <f t="shared" si="421"/>
        <v xml:space="preserve"> &gt;1YRS&lt;2YRS</v>
      </c>
      <c r="CJ538" s="137">
        <f t="shared" si="422"/>
        <v>0</v>
      </c>
      <c r="CK538" s="129" t="str">
        <f t="shared" si="423"/>
        <v>Booked</v>
      </c>
    </row>
    <row r="539" spans="1:89" ht="15.75" customHeight="1" x14ac:dyDescent="0.25">
      <c r="A539" s="111">
        <v>259</v>
      </c>
      <c r="B539" s="128" t="str">
        <f t="shared" si="397"/>
        <v>N</v>
      </c>
      <c r="C539" s="128" t="str">
        <f t="shared" si="398"/>
        <v>N</v>
      </c>
      <c r="D539" s="117">
        <v>1272826</v>
      </c>
      <c r="E539" s="135">
        <f t="shared" si="399"/>
        <v>5</v>
      </c>
      <c r="F539" s="124">
        <v>40919</v>
      </c>
      <c r="G539" s="125">
        <v>40921</v>
      </c>
      <c r="H539" s="117">
        <v>1272826</v>
      </c>
      <c r="I539" s="124">
        <v>40920</v>
      </c>
      <c r="J539" s="124">
        <v>40921</v>
      </c>
      <c r="K539" s="126">
        <v>15000</v>
      </c>
      <c r="L539" s="127" t="s">
        <v>571</v>
      </c>
      <c r="N539" s="129" t="str">
        <f>IF(M539&gt;1/1/1,"Y","N")</f>
        <v>N</v>
      </c>
      <c r="O539" s="128" t="s">
        <v>917</v>
      </c>
      <c r="P539" s="129" t="s">
        <v>39</v>
      </c>
      <c r="Q539" s="111">
        <f t="shared" si="427"/>
        <v>2</v>
      </c>
      <c r="R539" s="111">
        <f t="shared" si="400"/>
        <v>3</v>
      </c>
      <c r="S539" s="129">
        <v>8</v>
      </c>
      <c r="T539" s="129">
        <v>5</v>
      </c>
      <c r="W539" s="111"/>
      <c r="AC539" s="130"/>
      <c r="AD539" s="130">
        <v>24508</v>
      </c>
      <c r="AE539" s="128" t="s">
        <v>46</v>
      </c>
      <c r="AF539" s="128" t="s">
        <v>33</v>
      </c>
      <c r="AG539" s="128" t="s">
        <v>872</v>
      </c>
      <c r="AH539" s="108" t="s">
        <v>58</v>
      </c>
      <c r="AI539" s="128" t="s">
        <v>83</v>
      </c>
      <c r="AJ539" s="129" t="s">
        <v>89</v>
      </c>
      <c r="AK539" s="129">
        <v>1</v>
      </c>
      <c r="AL539" s="3" t="s">
        <v>992</v>
      </c>
      <c r="AN539" s="117">
        <v>6</v>
      </c>
      <c r="AP539" s="129" t="s">
        <v>60</v>
      </c>
      <c r="AR539" s="128" t="s">
        <v>44</v>
      </c>
      <c r="AS539" s="129" t="s">
        <v>61</v>
      </c>
      <c r="BC539" s="129" t="s">
        <v>38</v>
      </c>
      <c r="BF539" s="111">
        <f t="shared" si="428"/>
        <v>2</v>
      </c>
      <c r="BG539" s="111">
        <f t="shared" si="425"/>
        <v>2</v>
      </c>
      <c r="BH539" s="111">
        <f t="shared" si="401"/>
        <v>3</v>
      </c>
      <c r="BI539" s="111">
        <f t="shared" si="402"/>
        <v>44.838797814207652</v>
      </c>
      <c r="BJ539" s="129">
        <f t="shared" si="403"/>
        <v>0</v>
      </c>
      <c r="BK539" s="129">
        <f t="shared" si="404"/>
        <v>0</v>
      </c>
      <c r="BL539" s="129" t="str">
        <f t="shared" si="430"/>
        <v>CONVICTION</v>
      </c>
      <c r="BM539" s="129" t="str">
        <f t="shared" si="406"/>
        <v>NONE</v>
      </c>
      <c r="BN539" s="129" t="s">
        <v>566</v>
      </c>
      <c r="BP539" s="137" t="str">
        <f t="shared" si="407"/>
        <v>CONVICTION</v>
      </c>
      <c r="BQ539" s="128" t="str">
        <f t="shared" si="408"/>
        <v>Y</v>
      </c>
      <c r="BR539" s="129" t="str">
        <f t="shared" si="409"/>
        <v>DETAINED</v>
      </c>
      <c r="BS539" s="129" t="str">
        <f t="shared" si="410"/>
        <v>DISPOSED</v>
      </c>
      <c r="BT539" s="129" t="str">
        <f t="shared" si="411"/>
        <v>Y</v>
      </c>
      <c r="BU539" s="109">
        <f t="shared" si="412"/>
        <v>0.66666666666666663</v>
      </c>
      <c r="BV539" s="109">
        <f t="shared" si="413"/>
        <v>1</v>
      </c>
      <c r="BW539" s="109">
        <f t="shared" si="414"/>
        <v>0.33333333333333337</v>
      </c>
      <c r="BX539" s="111">
        <f t="shared" si="415"/>
        <v>0</v>
      </c>
      <c r="BY539" s="129">
        <f t="shared" si="416"/>
        <v>-2</v>
      </c>
      <c r="BZ539" s="111">
        <f t="shared" si="417"/>
        <v>0</v>
      </c>
      <c r="CA539" s="138">
        <f t="shared" si="418"/>
        <v>2</v>
      </c>
      <c r="CB539" s="111" t="e">
        <f t="shared" si="429"/>
        <v>#VALUE!</v>
      </c>
      <c r="CC539" s="129">
        <f>G539-I539+1</f>
        <v>2</v>
      </c>
      <c r="CD539" s="129">
        <f>G539-J539</f>
        <v>0</v>
      </c>
      <c r="CE539" s="129">
        <f t="shared" si="419"/>
        <v>0</v>
      </c>
      <c r="CG539" s="129" t="str">
        <f t="shared" si="420"/>
        <v>Y</v>
      </c>
      <c r="CI539" s="129" t="str">
        <f t="shared" si="421"/>
        <v>0-10 DAYS</v>
      </c>
      <c r="CJ539" s="137">
        <f t="shared" si="422"/>
        <v>1</v>
      </c>
      <c r="CK539" s="129" t="str">
        <f t="shared" si="423"/>
        <v>Booked</v>
      </c>
    </row>
    <row r="540" spans="1:89" ht="15.75" customHeight="1" x14ac:dyDescent="0.25">
      <c r="A540" s="111">
        <v>471</v>
      </c>
      <c r="B540" s="128" t="str">
        <f t="shared" si="397"/>
        <v>N</v>
      </c>
      <c r="C540" s="128" t="str">
        <f t="shared" si="398"/>
        <v>N</v>
      </c>
      <c r="D540" s="117">
        <v>1273575</v>
      </c>
      <c r="E540" s="135">
        <f t="shared" si="399"/>
        <v>2</v>
      </c>
      <c r="F540" s="124">
        <v>40928</v>
      </c>
      <c r="G540" s="125">
        <v>41171</v>
      </c>
      <c r="H540" s="117">
        <v>1273575</v>
      </c>
      <c r="I540" s="124">
        <v>40928</v>
      </c>
      <c r="J540" s="124">
        <v>40929</v>
      </c>
      <c r="K540" s="126">
        <v>2000</v>
      </c>
      <c r="L540" s="127" t="s">
        <v>568</v>
      </c>
      <c r="M540" s="125">
        <v>40929</v>
      </c>
      <c r="N540" s="129" t="str">
        <f>IF(M540&gt;1/1/1,"Y","N")</f>
        <v>Y</v>
      </c>
      <c r="O540" s="128" t="s">
        <v>76</v>
      </c>
      <c r="P540" s="129" t="s">
        <v>589</v>
      </c>
      <c r="Q540" s="111">
        <f t="shared" si="427"/>
        <v>2</v>
      </c>
      <c r="R540" s="111">
        <f t="shared" si="400"/>
        <v>244</v>
      </c>
      <c r="S540" s="129">
        <v>0</v>
      </c>
      <c r="T540" s="129">
        <v>3</v>
      </c>
      <c r="W540" s="111"/>
      <c r="AC540" s="130"/>
      <c r="AD540" s="130">
        <v>24450</v>
      </c>
      <c r="AE540" s="128" t="s">
        <v>46</v>
      </c>
      <c r="AF540" s="128" t="s">
        <v>69</v>
      </c>
      <c r="AG540" s="128" t="s">
        <v>874</v>
      </c>
      <c r="AH540" s="108" t="s">
        <v>58</v>
      </c>
      <c r="AI540" s="128" t="s">
        <v>80</v>
      </c>
      <c r="AJ540" s="129" t="s">
        <v>48</v>
      </c>
      <c r="AK540" s="129">
        <v>9</v>
      </c>
      <c r="AL540" s="3" t="s">
        <v>48</v>
      </c>
      <c r="AP540" s="129" t="s">
        <v>60</v>
      </c>
      <c r="AR540" s="128" t="s">
        <v>44</v>
      </c>
      <c r="AS540" s="129" t="s">
        <v>61</v>
      </c>
      <c r="BC540" s="129" t="s">
        <v>52</v>
      </c>
      <c r="BF540" s="111">
        <f t="shared" si="428"/>
        <v>2</v>
      </c>
      <c r="BG540" s="111">
        <f t="shared" si="425"/>
        <v>244</v>
      </c>
      <c r="BH540" s="111">
        <f t="shared" si="401"/>
        <v>244</v>
      </c>
      <c r="BI540" s="111">
        <f t="shared" si="402"/>
        <v>45.021857923497265</v>
      </c>
      <c r="BJ540" s="129">
        <f>(G540-J540)+(M540-G540)</f>
        <v>0</v>
      </c>
      <c r="BK540" s="129">
        <f t="shared" si="404"/>
        <v>-242</v>
      </c>
      <c r="BL540" s="129" t="str">
        <f t="shared" si="430"/>
        <v>DEFERRED</v>
      </c>
      <c r="BM540" s="129" t="s">
        <v>76</v>
      </c>
      <c r="BN540" s="129" t="s">
        <v>88</v>
      </c>
      <c r="BP540" s="137" t="str">
        <f t="shared" si="407"/>
        <v>DEFERRED</v>
      </c>
      <c r="BQ540" s="128" t="str">
        <f t="shared" si="408"/>
        <v>Y</v>
      </c>
      <c r="BR540" s="129" t="str">
        <f t="shared" si="409"/>
        <v>ON BOND</v>
      </c>
      <c r="BS540" s="129" t="str">
        <f t="shared" si="410"/>
        <v>DISPOSED</v>
      </c>
      <c r="BT540" s="129" t="str">
        <f t="shared" si="411"/>
        <v>N</v>
      </c>
      <c r="BU540" s="109">
        <f t="shared" si="412"/>
        <v>8.1967213114754103E-3</v>
      </c>
      <c r="BV540" s="109">
        <f t="shared" si="413"/>
        <v>8.1967213114754103E-3</v>
      </c>
      <c r="BW540" s="109">
        <f t="shared" si="414"/>
        <v>0</v>
      </c>
      <c r="BX540" s="111">
        <f t="shared" si="415"/>
        <v>0</v>
      </c>
      <c r="BY540" s="129">
        <f t="shared" si="416"/>
        <v>-2</v>
      </c>
      <c r="BZ540" s="111">
        <f t="shared" si="417"/>
        <v>0</v>
      </c>
      <c r="CA540" s="138">
        <f t="shared" si="418"/>
        <v>2</v>
      </c>
      <c r="CB540" s="111" t="e">
        <f t="shared" si="429"/>
        <v>#VALUE!</v>
      </c>
      <c r="CC540" s="129">
        <f>M540-I540+1</f>
        <v>2</v>
      </c>
      <c r="CD540" s="111">
        <f>CC540-BF540</f>
        <v>0</v>
      </c>
      <c r="CE540" s="129">
        <f t="shared" si="419"/>
        <v>242</v>
      </c>
      <c r="CG540" s="129" t="str">
        <f t="shared" si="420"/>
        <v>Y</v>
      </c>
      <c r="CI540" s="129" t="str">
        <f t="shared" si="421"/>
        <v>0-10 DAYS</v>
      </c>
      <c r="CJ540" s="137">
        <f t="shared" si="422"/>
        <v>1</v>
      </c>
      <c r="CK540" s="129" t="str">
        <f t="shared" si="423"/>
        <v>Booked</v>
      </c>
    </row>
    <row r="541" spans="1:89" ht="15.75" customHeight="1" x14ac:dyDescent="0.25">
      <c r="A541" s="111">
        <v>609</v>
      </c>
      <c r="B541" s="128" t="str">
        <f t="shared" si="397"/>
        <v>N</v>
      </c>
      <c r="C541" s="128" t="str">
        <f t="shared" si="398"/>
        <v>N</v>
      </c>
      <c r="D541" s="117">
        <v>1275023</v>
      </c>
      <c r="E541" s="135">
        <f t="shared" si="399"/>
        <v>5</v>
      </c>
      <c r="F541" s="124">
        <v>40932</v>
      </c>
      <c r="G541" s="125">
        <v>40934</v>
      </c>
      <c r="H541" s="117">
        <v>1275023</v>
      </c>
      <c r="I541" s="124">
        <v>40932</v>
      </c>
      <c r="J541" s="124">
        <v>40934</v>
      </c>
      <c r="K541" s="126">
        <v>15000</v>
      </c>
      <c r="L541" s="127" t="s">
        <v>571</v>
      </c>
      <c r="N541" s="129" t="str">
        <f>IF(M541&gt;1/1/1,"Y","N")</f>
        <v>N</v>
      </c>
      <c r="O541" s="128" t="s">
        <v>917</v>
      </c>
      <c r="P541" s="129" t="s">
        <v>39</v>
      </c>
      <c r="Q541" s="111">
        <f t="shared" si="427"/>
        <v>3</v>
      </c>
      <c r="R541" s="111">
        <f t="shared" si="400"/>
        <v>3</v>
      </c>
      <c r="S541" s="129">
        <v>4</v>
      </c>
      <c r="T541" s="129">
        <v>2</v>
      </c>
      <c r="W541" s="111"/>
      <c r="AC541" s="130"/>
      <c r="AD541" s="130">
        <v>25479</v>
      </c>
      <c r="AE541" s="128" t="s">
        <v>46</v>
      </c>
      <c r="AF541" s="128" t="s">
        <v>33</v>
      </c>
      <c r="AG541" s="128" t="s">
        <v>872</v>
      </c>
      <c r="AH541" s="108" t="s">
        <v>58</v>
      </c>
      <c r="AI541" s="128" t="s">
        <v>90</v>
      </c>
      <c r="AJ541" s="129" t="s">
        <v>89</v>
      </c>
      <c r="AK541" s="129">
        <v>1</v>
      </c>
      <c r="AL541" s="3" t="s">
        <v>992</v>
      </c>
      <c r="AN541" s="117">
        <v>6</v>
      </c>
      <c r="AP541" s="129" t="s">
        <v>60</v>
      </c>
      <c r="AR541" s="128" t="s">
        <v>44</v>
      </c>
      <c r="AS541" s="129" t="s">
        <v>61</v>
      </c>
      <c r="BC541" s="129" t="s">
        <v>38</v>
      </c>
      <c r="BF541" s="111">
        <f t="shared" si="428"/>
        <v>3</v>
      </c>
      <c r="BG541" s="111">
        <f t="shared" si="425"/>
        <v>3</v>
      </c>
      <c r="BH541" s="111">
        <f t="shared" si="401"/>
        <v>3</v>
      </c>
      <c r="BI541" s="111">
        <f t="shared" si="402"/>
        <v>42.221311475409834</v>
      </c>
      <c r="BJ541" s="129">
        <f t="shared" si="403"/>
        <v>0</v>
      </c>
      <c r="BK541" s="129">
        <f t="shared" si="404"/>
        <v>0</v>
      </c>
      <c r="BL541" s="129" t="str">
        <f t="shared" si="430"/>
        <v>CONVICTION</v>
      </c>
      <c r="BM541" s="129" t="str">
        <f t="shared" si="406"/>
        <v>NONE</v>
      </c>
      <c r="BN541" s="129" t="s">
        <v>566</v>
      </c>
      <c r="BP541" s="137" t="str">
        <f t="shared" si="407"/>
        <v>CONVICTION</v>
      </c>
      <c r="BQ541" s="128" t="str">
        <f t="shared" si="408"/>
        <v>Y</v>
      </c>
      <c r="BR541" s="129" t="str">
        <f t="shared" si="409"/>
        <v>DETAINED</v>
      </c>
      <c r="BS541" s="129" t="str">
        <f t="shared" si="410"/>
        <v>DISPOSED</v>
      </c>
      <c r="BT541" s="129" t="str">
        <f t="shared" si="411"/>
        <v>Y</v>
      </c>
      <c r="BU541" s="109">
        <f t="shared" si="412"/>
        <v>1</v>
      </c>
      <c r="BV541" s="109">
        <f t="shared" si="413"/>
        <v>1</v>
      </c>
      <c r="BW541" s="109">
        <f t="shared" si="414"/>
        <v>0</v>
      </c>
      <c r="BX541" s="111">
        <f t="shared" si="415"/>
        <v>0</v>
      </c>
      <c r="BY541" s="129">
        <f t="shared" si="416"/>
        <v>-3</v>
      </c>
      <c r="BZ541" s="111">
        <f t="shared" si="417"/>
        <v>0</v>
      </c>
      <c r="CA541" s="138">
        <f t="shared" si="418"/>
        <v>3</v>
      </c>
      <c r="CB541" s="111" t="e">
        <f t="shared" si="429"/>
        <v>#VALUE!</v>
      </c>
      <c r="CC541" s="129">
        <f>G541-I541+1</f>
        <v>3</v>
      </c>
      <c r="CD541" s="129">
        <f>G541-J541</f>
        <v>0</v>
      </c>
      <c r="CE541" s="129">
        <f t="shared" si="419"/>
        <v>0</v>
      </c>
      <c r="CG541" s="129" t="str">
        <f t="shared" si="420"/>
        <v>Y</v>
      </c>
      <c r="CI541" s="129" t="str">
        <f t="shared" si="421"/>
        <v>0-10 DAYS</v>
      </c>
      <c r="CJ541" s="137">
        <f t="shared" si="422"/>
        <v>1</v>
      </c>
      <c r="CK541" s="129" t="str">
        <f t="shared" si="423"/>
        <v>Booked</v>
      </c>
    </row>
    <row r="542" spans="1:89" ht="15" customHeight="1" x14ac:dyDescent="0.25">
      <c r="A542" s="111">
        <v>1513</v>
      </c>
      <c r="B542" s="128" t="str">
        <f t="shared" si="397"/>
        <v>N</v>
      </c>
      <c r="C542" s="128" t="str">
        <f t="shared" si="398"/>
        <v>N</v>
      </c>
      <c r="D542" s="117">
        <v>1276605</v>
      </c>
      <c r="E542" s="135">
        <f t="shared" si="399"/>
        <v>6</v>
      </c>
      <c r="F542" s="124">
        <v>40964</v>
      </c>
      <c r="G542" s="125">
        <v>41011</v>
      </c>
      <c r="H542" s="117">
        <v>1276605</v>
      </c>
      <c r="I542" s="124">
        <v>40965</v>
      </c>
      <c r="J542" s="124">
        <v>41011</v>
      </c>
      <c r="K542" s="126" t="s">
        <v>564</v>
      </c>
      <c r="L542" s="127" t="s">
        <v>564</v>
      </c>
      <c r="N542" s="129" t="s">
        <v>566</v>
      </c>
      <c r="O542" s="128" t="s">
        <v>917</v>
      </c>
      <c r="P542" s="129" t="s">
        <v>39</v>
      </c>
      <c r="Q542" s="111">
        <f t="shared" si="427"/>
        <v>47</v>
      </c>
      <c r="R542" s="111">
        <f t="shared" si="400"/>
        <v>48</v>
      </c>
      <c r="S542" s="129">
        <v>3</v>
      </c>
      <c r="T542" s="129">
        <v>14</v>
      </c>
      <c r="W542" s="111"/>
      <c r="AC542" s="130"/>
      <c r="AD542" s="130">
        <v>25494</v>
      </c>
      <c r="AE542" s="128" t="s">
        <v>32</v>
      </c>
      <c r="AF542" s="128" t="s">
        <v>69</v>
      </c>
      <c r="AG542" s="128" t="s">
        <v>874</v>
      </c>
      <c r="AH542" s="108" t="s">
        <v>58</v>
      </c>
      <c r="AI542" s="128" t="s">
        <v>90</v>
      </c>
      <c r="AJ542" s="129" t="s">
        <v>89</v>
      </c>
      <c r="AK542" s="129">
        <v>4</v>
      </c>
      <c r="AL542" s="3" t="s">
        <v>362</v>
      </c>
      <c r="AM542" s="117">
        <v>4</v>
      </c>
      <c r="AP542" s="129" t="s">
        <v>66</v>
      </c>
      <c r="AR542" s="128" t="s">
        <v>67</v>
      </c>
      <c r="AS542" s="129" t="s">
        <v>68</v>
      </c>
      <c r="BC542" s="129" t="s">
        <v>52</v>
      </c>
      <c r="BF542" s="111">
        <f t="shared" si="428"/>
        <v>47</v>
      </c>
      <c r="BG542" s="111">
        <f t="shared" si="425"/>
        <v>47</v>
      </c>
      <c r="BH542" s="111">
        <f t="shared" si="401"/>
        <v>48</v>
      </c>
      <c r="BI542" s="111">
        <f t="shared" si="402"/>
        <v>42.267759562841533</v>
      </c>
      <c r="BJ542" s="129">
        <f t="shared" si="403"/>
        <v>0</v>
      </c>
      <c r="BK542" s="129">
        <f t="shared" si="404"/>
        <v>0</v>
      </c>
      <c r="BL542" s="129" t="str">
        <f t="shared" si="430"/>
        <v>CONVICTION</v>
      </c>
      <c r="BM542" s="129" t="str">
        <f t="shared" si="406"/>
        <v>NONE</v>
      </c>
      <c r="BN542" s="129" t="s">
        <v>566</v>
      </c>
      <c r="BP542" s="137" t="str">
        <f t="shared" si="407"/>
        <v>CONVICTION</v>
      </c>
      <c r="BQ542" s="128" t="str">
        <f t="shared" si="408"/>
        <v>Y</v>
      </c>
      <c r="BR542" s="129" t="str">
        <f t="shared" si="409"/>
        <v>DETAINED</v>
      </c>
      <c r="BS542" s="129" t="str">
        <f t="shared" si="410"/>
        <v>DISPOSED</v>
      </c>
      <c r="BT542" s="129" t="str">
        <f t="shared" si="411"/>
        <v>Y</v>
      </c>
      <c r="BU542" s="109">
        <f t="shared" si="412"/>
        <v>0.97916666666666663</v>
      </c>
      <c r="BV542" s="109">
        <f t="shared" si="413"/>
        <v>1</v>
      </c>
      <c r="BW542" s="109">
        <f t="shared" si="414"/>
        <v>2.083333333333337E-2</v>
      </c>
      <c r="BX542" s="111">
        <f t="shared" si="415"/>
        <v>0</v>
      </c>
      <c r="BY542" s="129">
        <f t="shared" si="416"/>
        <v>-47</v>
      </c>
      <c r="BZ542" s="111">
        <f t="shared" si="417"/>
        <v>0</v>
      </c>
      <c r="CA542" s="138">
        <f t="shared" si="418"/>
        <v>47</v>
      </c>
      <c r="CB542" s="111" t="e">
        <f t="shared" si="429"/>
        <v>#VALUE!</v>
      </c>
      <c r="CC542" s="129">
        <f>G542-I542+1</f>
        <v>47</v>
      </c>
      <c r="CD542" s="129">
        <f>G542-J542</f>
        <v>0</v>
      </c>
      <c r="CE542" s="129">
        <f t="shared" si="419"/>
        <v>0</v>
      </c>
      <c r="CG542" s="129" t="str">
        <f t="shared" si="420"/>
        <v>Y</v>
      </c>
      <c r="CI542" s="129" t="str">
        <f t="shared" si="421"/>
        <v>31-60 DAYS</v>
      </c>
      <c r="CJ542" s="137">
        <f t="shared" si="422"/>
        <v>3</v>
      </c>
      <c r="CK542" s="129" t="str">
        <f t="shared" si="423"/>
        <v>Booked</v>
      </c>
    </row>
    <row r="543" spans="1:89" ht="15" customHeight="1" x14ac:dyDescent="0.25">
      <c r="A543" s="111">
        <v>358</v>
      </c>
      <c r="B543" s="128" t="str">
        <f t="shared" si="397"/>
        <v>N</v>
      </c>
      <c r="C543" s="128" t="str">
        <f t="shared" si="398"/>
        <v>N</v>
      </c>
      <c r="D543" s="144">
        <v>1276775</v>
      </c>
      <c r="E543" s="135">
        <f t="shared" si="399"/>
        <v>6</v>
      </c>
      <c r="F543" s="124">
        <v>40923</v>
      </c>
      <c r="G543" s="125">
        <v>40962</v>
      </c>
      <c r="H543" s="144">
        <v>1276775</v>
      </c>
      <c r="I543" s="124">
        <v>40923</v>
      </c>
      <c r="J543" s="124">
        <v>40926</v>
      </c>
      <c r="K543" s="126">
        <v>10000</v>
      </c>
      <c r="L543" s="127" t="s">
        <v>570</v>
      </c>
      <c r="M543" s="125">
        <v>40926</v>
      </c>
      <c r="N543" s="129" t="str">
        <f t="shared" ref="N543:N549" si="431">IF(M543&gt;1/1/1,"Y","N")</f>
        <v>Y</v>
      </c>
      <c r="O543" s="128" t="s">
        <v>76</v>
      </c>
      <c r="P543" s="129" t="s">
        <v>39</v>
      </c>
      <c r="Q543" s="111">
        <f t="shared" si="427"/>
        <v>4</v>
      </c>
      <c r="R543" s="111">
        <f t="shared" si="400"/>
        <v>40</v>
      </c>
      <c r="S543" s="129">
        <v>0</v>
      </c>
      <c r="T543" s="129">
        <v>3</v>
      </c>
      <c r="W543" s="111"/>
      <c r="AC543" s="130"/>
      <c r="AD543" s="130">
        <v>23646</v>
      </c>
      <c r="AE543" s="128" t="s">
        <v>32</v>
      </c>
      <c r="AF543" s="128" t="s">
        <v>33</v>
      </c>
      <c r="AG543" s="128" t="s">
        <v>872</v>
      </c>
      <c r="AH543" s="108" t="s">
        <v>58</v>
      </c>
      <c r="AI543" s="128" t="s">
        <v>34</v>
      </c>
      <c r="AJ543" s="129" t="s">
        <v>89</v>
      </c>
      <c r="AK543" s="129">
        <v>3</v>
      </c>
      <c r="AL543" s="3" t="s">
        <v>362</v>
      </c>
      <c r="AM543" s="117">
        <v>5</v>
      </c>
      <c r="AP543" s="129" t="s">
        <v>66</v>
      </c>
      <c r="AR543" s="128" t="s">
        <v>67</v>
      </c>
      <c r="AS543" s="129" t="s">
        <v>68</v>
      </c>
      <c r="BC543" s="129" t="s">
        <v>38</v>
      </c>
      <c r="BF543" s="111">
        <f t="shared" si="428"/>
        <v>4</v>
      </c>
      <c r="BG543" s="111">
        <f t="shared" si="425"/>
        <v>40</v>
      </c>
      <c r="BH543" s="111">
        <f t="shared" si="401"/>
        <v>40</v>
      </c>
      <c r="BI543" s="111">
        <f t="shared" si="402"/>
        <v>47.204918032786885</v>
      </c>
      <c r="BJ543" s="129">
        <f>(G543-J543)+(M543-G543)</f>
        <v>0</v>
      </c>
      <c r="BK543" s="129">
        <f t="shared" si="404"/>
        <v>-36</v>
      </c>
      <c r="BL543" s="129" t="str">
        <f t="shared" si="430"/>
        <v>CONVICTION</v>
      </c>
      <c r="BM543" s="129" t="s">
        <v>76</v>
      </c>
      <c r="BN543" s="129" t="s">
        <v>88</v>
      </c>
      <c r="BP543" s="137" t="str">
        <f t="shared" si="407"/>
        <v>CONVICTION</v>
      </c>
      <c r="BQ543" s="128" t="str">
        <f t="shared" si="408"/>
        <v>Y</v>
      </c>
      <c r="BR543" s="129" t="str">
        <f>IF(J543&lt;G543,"ON BOND",0)</f>
        <v>ON BOND</v>
      </c>
      <c r="BS543" s="129" t="str">
        <f t="shared" si="410"/>
        <v>DISPOSED</v>
      </c>
      <c r="BT543" s="129" t="str">
        <f t="shared" si="411"/>
        <v>N</v>
      </c>
      <c r="BU543" s="109">
        <f t="shared" si="412"/>
        <v>0.1</v>
      </c>
      <c r="BV543" s="109">
        <f t="shared" si="413"/>
        <v>0.1</v>
      </c>
      <c r="BW543" s="109">
        <f t="shared" si="414"/>
        <v>0</v>
      </c>
      <c r="BX543" s="111">
        <f t="shared" si="415"/>
        <v>0</v>
      </c>
      <c r="BY543" s="129">
        <f t="shared" si="416"/>
        <v>-4</v>
      </c>
      <c r="BZ543" s="111">
        <f t="shared" si="417"/>
        <v>0</v>
      </c>
      <c r="CA543" s="138">
        <f t="shared" si="418"/>
        <v>4</v>
      </c>
      <c r="CB543" s="111" t="e">
        <f t="shared" si="429"/>
        <v>#VALUE!</v>
      </c>
      <c r="CC543" s="129">
        <f>M543-I543+1</f>
        <v>4</v>
      </c>
      <c r="CD543" s="111">
        <f>CC543-BF543</f>
        <v>0</v>
      </c>
      <c r="CE543" s="129">
        <f t="shared" si="419"/>
        <v>36</v>
      </c>
      <c r="CG543" s="129" t="str">
        <f t="shared" si="420"/>
        <v>Y</v>
      </c>
      <c r="CI543" s="129" t="str">
        <f t="shared" si="421"/>
        <v>0-10 DAYS</v>
      </c>
      <c r="CJ543" s="137">
        <f t="shared" si="422"/>
        <v>1</v>
      </c>
      <c r="CK543" s="129" t="str">
        <f t="shared" si="423"/>
        <v>Booked</v>
      </c>
    </row>
    <row r="544" spans="1:89" ht="15" customHeight="1" x14ac:dyDescent="0.25">
      <c r="A544" s="111">
        <v>1338</v>
      </c>
      <c r="B544" s="128" t="str">
        <f t="shared" si="397"/>
        <v>N</v>
      </c>
      <c r="C544" s="128" t="str">
        <f t="shared" si="398"/>
        <v>N</v>
      </c>
      <c r="D544" s="117">
        <v>1276863</v>
      </c>
      <c r="E544" s="135">
        <f t="shared" si="399"/>
        <v>3</v>
      </c>
      <c r="F544" s="124">
        <v>40957</v>
      </c>
      <c r="G544" s="125">
        <v>41023</v>
      </c>
      <c r="H544" s="117">
        <v>1276863</v>
      </c>
      <c r="I544" s="124">
        <v>40957</v>
      </c>
      <c r="J544" s="124">
        <v>40958</v>
      </c>
      <c r="K544" s="126">
        <v>5000</v>
      </c>
      <c r="L544" s="127" t="s">
        <v>569</v>
      </c>
      <c r="M544" s="125">
        <v>40958</v>
      </c>
      <c r="N544" s="129" t="str">
        <f t="shared" si="431"/>
        <v>Y</v>
      </c>
      <c r="O544" s="128" t="s">
        <v>583</v>
      </c>
      <c r="P544" s="129" t="s">
        <v>39</v>
      </c>
      <c r="Q544" s="111">
        <f t="shared" si="427"/>
        <v>2</v>
      </c>
      <c r="R544" s="111">
        <f t="shared" si="400"/>
        <v>67</v>
      </c>
      <c r="S544" s="129">
        <v>0</v>
      </c>
      <c r="T544" s="129">
        <v>1</v>
      </c>
      <c r="W544" s="111"/>
      <c r="AC544" s="130"/>
      <c r="AD544" s="130">
        <v>21786</v>
      </c>
      <c r="AE544" s="128" t="s">
        <v>32</v>
      </c>
      <c r="AF544" s="128" t="s">
        <v>69</v>
      </c>
      <c r="AG544" s="128" t="s">
        <v>874</v>
      </c>
      <c r="AH544" s="108" t="s">
        <v>58</v>
      </c>
      <c r="AI544" s="128" t="s">
        <v>47</v>
      </c>
      <c r="AJ544" s="129" t="s">
        <v>89</v>
      </c>
      <c r="AK544" s="129">
        <v>3</v>
      </c>
      <c r="AL544" s="3" t="s">
        <v>185</v>
      </c>
      <c r="AP544" s="129" t="s">
        <v>66</v>
      </c>
      <c r="AR544" s="128" t="s">
        <v>67</v>
      </c>
      <c r="AS544" s="129" t="s">
        <v>68</v>
      </c>
      <c r="BC544" s="129" t="s">
        <v>52</v>
      </c>
      <c r="BF544" s="111">
        <f t="shared" si="428"/>
        <v>2</v>
      </c>
      <c r="BG544" s="111">
        <f t="shared" si="425"/>
        <v>67</v>
      </c>
      <c r="BH544" s="111">
        <f t="shared" si="401"/>
        <v>67</v>
      </c>
      <c r="BI544" s="111">
        <f t="shared" si="402"/>
        <v>52.379781420765028</v>
      </c>
      <c r="BJ544" s="129">
        <f>(G544-J544)+(M544-G544)</f>
        <v>0</v>
      </c>
      <c r="BK544" s="129">
        <f t="shared" si="404"/>
        <v>-65</v>
      </c>
      <c r="BL544" s="129" t="str">
        <f t="shared" si="430"/>
        <v>CONVICTION</v>
      </c>
      <c r="BM544" s="129" t="s">
        <v>583</v>
      </c>
      <c r="BN544" s="129" t="s">
        <v>88</v>
      </c>
      <c r="BP544" s="137" t="str">
        <f t="shared" si="407"/>
        <v>CONVICTION</v>
      </c>
      <c r="BQ544" s="128" t="str">
        <f t="shared" si="408"/>
        <v>Y</v>
      </c>
      <c r="BR544" s="129" t="str">
        <f>IF(J544&lt;G544,"ON BOND",0)</f>
        <v>ON BOND</v>
      </c>
      <c r="BS544" s="129" t="str">
        <f t="shared" si="410"/>
        <v>DISPOSED</v>
      </c>
      <c r="BT544" s="129" t="str">
        <f t="shared" si="411"/>
        <v>N</v>
      </c>
      <c r="BU544" s="109">
        <f t="shared" si="412"/>
        <v>2.9850746268656716E-2</v>
      </c>
      <c r="BV544" s="109">
        <f t="shared" si="413"/>
        <v>2.9850746268656716E-2</v>
      </c>
      <c r="BW544" s="109">
        <f t="shared" si="414"/>
        <v>0</v>
      </c>
      <c r="BX544" s="111">
        <f t="shared" si="415"/>
        <v>0</v>
      </c>
      <c r="BY544" s="129">
        <f t="shared" si="416"/>
        <v>-2</v>
      </c>
      <c r="BZ544" s="111">
        <f t="shared" si="417"/>
        <v>0</v>
      </c>
      <c r="CA544" s="138">
        <f t="shared" si="418"/>
        <v>2</v>
      </c>
      <c r="CB544" s="111" t="e">
        <f t="shared" si="429"/>
        <v>#VALUE!</v>
      </c>
      <c r="CC544" s="129">
        <f>M544-I544+1</f>
        <v>2</v>
      </c>
      <c r="CD544" s="111">
        <f>CC544-BF544</f>
        <v>0</v>
      </c>
      <c r="CE544" s="129">
        <f t="shared" si="419"/>
        <v>65</v>
      </c>
      <c r="CG544" s="129" t="str">
        <f t="shared" si="420"/>
        <v>Y</v>
      </c>
      <c r="CI544" s="129" t="str">
        <f t="shared" si="421"/>
        <v>0-10 DAYS</v>
      </c>
      <c r="CJ544" s="137">
        <f t="shared" si="422"/>
        <v>1</v>
      </c>
      <c r="CK544" s="129" t="str">
        <f t="shared" si="423"/>
        <v>Booked</v>
      </c>
    </row>
    <row r="545" spans="1:89" ht="15" customHeight="1" x14ac:dyDescent="0.25">
      <c r="A545" s="111">
        <v>1307</v>
      </c>
      <c r="B545" s="128" t="str">
        <f t="shared" si="397"/>
        <v>N</v>
      </c>
      <c r="C545" s="128" t="str">
        <f t="shared" si="398"/>
        <v>N</v>
      </c>
      <c r="D545" s="117">
        <v>1277158</v>
      </c>
      <c r="E545" s="135">
        <f t="shared" si="399"/>
        <v>5</v>
      </c>
      <c r="F545" s="124">
        <v>40956</v>
      </c>
      <c r="G545" s="125">
        <v>40959</v>
      </c>
      <c r="H545" s="117">
        <v>1277158</v>
      </c>
      <c r="I545" s="124">
        <v>40956</v>
      </c>
      <c r="J545" s="124">
        <v>40959</v>
      </c>
      <c r="K545" s="126">
        <v>15000</v>
      </c>
      <c r="L545" s="127" t="s">
        <v>571</v>
      </c>
      <c r="N545" s="129" t="str">
        <f t="shared" si="431"/>
        <v>N</v>
      </c>
      <c r="O545" s="128" t="s">
        <v>917</v>
      </c>
      <c r="P545" s="129" t="s">
        <v>39</v>
      </c>
      <c r="Q545" s="111">
        <f t="shared" si="427"/>
        <v>4</v>
      </c>
      <c r="R545" s="111">
        <f t="shared" si="400"/>
        <v>4</v>
      </c>
      <c r="S545" s="129">
        <v>2</v>
      </c>
      <c r="T545" s="129">
        <v>2</v>
      </c>
      <c r="U545" s="129">
        <v>2</v>
      </c>
      <c r="W545" s="111"/>
      <c r="AC545" s="130"/>
      <c r="AD545" s="130">
        <v>23885</v>
      </c>
      <c r="AE545" s="128" t="s">
        <v>46</v>
      </c>
      <c r="AF545" s="128" t="s">
        <v>33</v>
      </c>
      <c r="AG545" s="128" t="s">
        <v>872</v>
      </c>
      <c r="AH545" s="108" t="s">
        <v>58</v>
      </c>
      <c r="AI545" s="128" t="s">
        <v>53</v>
      </c>
      <c r="AJ545" s="129" t="s">
        <v>89</v>
      </c>
      <c r="AK545" s="129">
        <v>1</v>
      </c>
      <c r="AL545" s="3" t="s">
        <v>992</v>
      </c>
      <c r="AN545" s="117">
        <v>6</v>
      </c>
      <c r="AP545" s="129" t="s">
        <v>127</v>
      </c>
      <c r="AR545" s="128" t="s">
        <v>44</v>
      </c>
      <c r="AS545" s="129" t="s">
        <v>82</v>
      </c>
      <c r="BC545" s="129" t="s">
        <v>38</v>
      </c>
      <c r="BF545" s="111">
        <f t="shared" si="428"/>
        <v>4</v>
      </c>
      <c r="BG545" s="111">
        <f t="shared" si="425"/>
        <v>4</v>
      </c>
      <c r="BH545" s="111">
        <f t="shared" si="401"/>
        <v>4</v>
      </c>
      <c r="BI545" s="111">
        <f t="shared" si="402"/>
        <v>46.642076502732237</v>
      </c>
      <c r="BJ545" s="129">
        <f t="shared" si="403"/>
        <v>0</v>
      </c>
      <c r="BK545" s="129">
        <f t="shared" si="404"/>
        <v>0</v>
      </c>
      <c r="BL545" s="129" t="str">
        <f t="shared" si="430"/>
        <v>CONVICTION</v>
      </c>
      <c r="BM545" s="129" t="str">
        <f t="shared" si="406"/>
        <v>NONE</v>
      </c>
      <c r="BN545" s="129" t="s">
        <v>566</v>
      </c>
      <c r="BP545" s="137" t="str">
        <f t="shared" si="407"/>
        <v>CONVICTION</v>
      </c>
      <c r="BQ545" s="128" t="str">
        <f t="shared" si="408"/>
        <v>Y</v>
      </c>
      <c r="BR545" s="129" t="str">
        <f t="shared" si="409"/>
        <v>DETAINED</v>
      </c>
      <c r="BS545" s="129" t="str">
        <f t="shared" si="410"/>
        <v>DISPOSED</v>
      </c>
      <c r="BT545" s="129" t="str">
        <f t="shared" si="411"/>
        <v>Y</v>
      </c>
      <c r="BU545" s="109">
        <f t="shared" si="412"/>
        <v>1</v>
      </c>
      <c r="BV545" s="109">
        <f t="shared" si="413"/>
        <v>1</v>
      </c>
      <c r="BW545" s="109">
        <f t="shared" si="414"/>
        <v>0</v>
      </c>
      <c r="BX545" s="111">
        <f t="shared" si="415"/>
        <v>0</v>
      </c>
      <c r="BY545" s="129">
        <f t="shared" si="416"/>
        <v>-4</v>
      </c>
      <c r="BZ545" s="111">
        <f t="shared" si="417"/>
        <v>0</v>
      </c>
      <c r="CA545" s="138">
        <f t="shared" si="418"/>
        <v>4</v>
      </c>
      <c r="CB545" s="111" t="e">
        <f t="shared" si="429"/>
        <v>#VALUE!</v>
      </c>
      <c r="CC545" s="129">
        <f>G545-I545+1</f>
        <v>4</v>
      </c>
      <c r="CD545" s="129">
        <f>G545-J545</f>
        <v>0</v>
      </c>
      <c r="CE545" s="129">
        <f t="shared" si="419"/>
        <v>0</v>
      </c>
      <c r="CG545" s="129" t="str">
        <f t="shared" si="420"/>
        <v>Y</v>
      </c>
      <c r="CI545" s="129" t="str">
        <f t="shared" si="421"/>
        <v>0-10 DAYS</v>
      </c>
      <c r="CJ545" s="137">
        <f t="shared" si="422"/>
        <v>1</v>
      </c>
      <c r="CK545" s="129" t="str">
        <f t="shared" si="423"/>
        <v>Booked</v>
      </c>
    </row>
    <row r="546" spans="1:89" ht="15.75" customHeight="1" x14ac:dyDescent="0.25">
      <c r="A546" s="111">
        <v>1119</v>
      </c>
      <c r="B546" s="128" t="str">
        <f t="shared" si="397"/>
        <v>N</v>
      </c>
      <c r="C546" s="128" t="str">
        <f t="shared" si="398"/>
        <v>N</v>
      </c>
      <c r="D546" s="117">
        <v>1279885</v>
      </c>
      <c r="E546" s="135">
        <f t="shared" si="399"/>
        <v>2</v>
      </c>
      <c r="F546" s="124">
        <v>40949</v>
      </c>
      <c r="G546" s="125">
        <v>40970</v>
      </c>
      <c r="H546" s="117">
        <v>1279885</v>
      </c>
      <c r="I546" s="124">
        <v>40950</v>
      </c>
      <c r="J546" s="124">
        <v>40970</v>
      </c>
      <c r="K546" s="126">
        <v>30000</v>
      </c>
      <c r="L546" s="129" t="s">
        <v>572</v>
      </c>
      <c r="N546" s="129" t="str">
        <f t="shared" si="431"/>
        <v>N</v>
      </c>
      <c r="O546" s="128" t="s">
        <v>917</v>
      </c>
      <c r="P546" s="129" t="s">
        <v>589</v>
      </c>
      <c r="Q546" s="111">
        <f t="shared" si="427"/>
        <v>21</v>
      </c>
      <c r="R546" s="111">
        <f t="shared" si="400"/>
        <v>22</v>
      </c>
      <c r="S546" s="129">
        <v>4</v>
      </c>
      <c r="T546" s="129">
        <v>9</v>
      </c>
      <c r="W546" s="111"/>
      <c r="AC546" s="130"/>
      <c r="AD546" s="130">
        <v>27407</v>
      </c>
      <c r="AE546" s="128" t="s">
        <v>32</v>
      </c>
      <c r="AF546" s="128" t="s">
        <v>69</v>
      </c>
      <c r="AG546" s="128" t="s">
        <v>874</v>
      </c>
      <c r="AH546" s="108" t="s">
        <v>31</v>
      </c>
      <c r="AI546" s="128" t="s">
        <v>62</v>
      </c>
      <c r="AJ546" s="129" t="s">
        <v>48</v>
      </c>
      <c r="AK546" s="129">
        <v>3</v>
      </c>
      <c r="AL546" s="3" t="s">
        <v>48</v>
      </c>
      <c r="AP546" s="129" t="s">
        <v>110</v>
      </c>
      <c r="AR546" s="128" t="s">
        <v>50</v>
      </c>
      <c r="AS546" s="129" t="s">
        <v>74</v>
      </c>
      <c r="BC546" s="129" t="s">
        <v>38</v>
      </c>
      <c r="BF546" s="111">
        <f t="shared" si="428"/>
        <v>21</v>
      </c>
      <c r="BG546" s="111">
        <f t="shared" si="425"/>
        <v>21</v>
      </c>
      <c r="BH546" s="111">
        <f t="shared" si="401"/>
        <v>22</v>
      </c>
      <c r="BI546" s="111">
        <f t="shared" si="402"/>
        <v>37</v>
      </c>
      <c r="BJ546" s="129">
        <f t="shared" si="403"/>
        <v>0</v>
      </c>
      <c r="BK546" s="129">
        <f t="shared" si="404"/>
        <v>0</v>
      </c>
      <c r="BL546" s="129" t="str">
        <f t="shared" si="430"/>
        <v>DEFERRED</v>
      </c>
      <c r="BM546" s="129" t="str">
        <f t="shared" si="406"/>
        <v>NONE</v>
      </c>
      <c r="BN546" s="129" t="s">
        <v>566</v>
      </c>
      <c r="BP546" s="137" t="str">
        <f t="shared" si="407"/>
        <v>DEFERRED</v>
      </c>
      <c r="BQ546" s="128" t="str">
        <f t="shared" si="408"/>
        <v>Y</v>
      </c>
      <c r="BR546" s="129" t="str">
        <f t="shared" si="409"/>
        <v>DETAINED</v>
      </c>
      <c r="BS546" s="129" t="str">
        <f t="shared" si="410"/>
        <v>DISPOSED</v>
      </c>
      <c r="BT546" s="129" t="str">
        <f t="shared" si="411"/>
        <v>Y</v>
      </c>
      <c r="BU546" s="109">
        <f t="shared" si="412"/>
        <v>0.95454545454545459</v>
      </c>
      <c r="BV546" s="109">
        <f t="shared" si="413"/>
        <v>1</v>
      </c>
      <c r="BW546" s="109">
        <f t="shared" si="414"/>
        <v>4.5454545454545414E-2</v>
      </c>
      <c r="BX546" s="111">
        <f t="shared" si="415"/>
        <v>0</v>
      </c>
      <c r="BY546" s="129">
        <f t="shared" si="416"/>
        <v>-21</v>
      </c>
      <c r="BZ546" s="111">
        <f t="shared" si="417"/>
        <v>0</v>
      </c>
      <c r="CA546" s="138">
        <f t="shared" si="418"/>
        <v>21</v>
      </c>
      <c r="CB546" s="111" t="e">
        <f t="shared" si="429"/>
        <v>#VALUE!</v>
      </c>
      <c r="CC546" s="129">
        <f>G546-I546+1</f>
        <v>21</v>
      </c>
      <c r="CD546" s="129">
        <f>G546-J546</f>
        <v>0</v>
      </c>
      <c r="CE546" s="129">
        <f t="shared" si="419"/>
        <v>0</v>
      </c>
      <c r="CG546" s="129" t="str">
        <f t="shared" si="420"/>
        <v>Y</v>
      </c>
      <c r="CI546" s="129" t="str">
        <f t="shared" si="421"/>
        <v>11-30 DAYS</v>
      </c>
      <c r="CJ546" s="137">
        <f t="shared" si="422"/>
        <v>2</v>
      </c>
      <c r="CK546" s="129" t="str">
        <f t="shared" si="423"/>
        <v>Booked</v>
      </c>
    </row>
    <row r="547" spans="1:89" ht="15" customHeight="1" x14ac:dyDescent="0.25">
      <c r="A547" s="111">
        <v>411</v>
      </c>
      <c r="B547" s="128" t="str">
        <f t="shared" si="397"/>
        <v>N</v>
      </c>
      <c r="C547" s="128" t="str">
        <f t="shared" si="398"/>
        <v>N</v>
      </c>
      <c r="D547" s="117">
        <v>1280955</v>
      </c>
      <c r="E547" s="135">
        <f t="shared" si="399"/>
        <v>2</v>
      </c>
      <c r="F547" s="124">
        <v>40926</v>
      </c>
      <c r="G547" s="125">
        <v>41225</v>
      </c>
      <c r="H547" s="117">
        <v>1280955</v>
      </c>
      <c r="I547" s="124">
        <v>40926</v>
      </c>
      <c r="J547" s="124">
        <v>40940</v>
      </c>
      <c r="K547" s="126">
        <v>5000</v>
      </c>
      <c r="L547" s="127" t="s">
        <v>569</v>
      </c>
      <c r="M547" s="125">
        <v>40940</v>
      </c>
      <c r="N547" s="129" t="str">
        <f t="shared" si="431"/>
        <v>Y</v>
      </c>
      <c r="O547" s="128" t="s">
        <v>76</v>
      </c>
      <c r="P547" s="129" t="s">
        <v>589</v>
      </c>
      <c r="Q547" s="111">
        <f t="shared" si="427"/>
        <v>15</v>
      </c>
      <c r="R547" s="111">
        <f t="shared" si="400"/>
        <v>300</v>
      </c>
      <c r="S547" s="129">
        <v>2</v>
      </c>
      <c r="T547" s="129">
        <v>5</v>
      </c>
      <c r="U547" s="129">
        <v>1</v>
      </c>
      <c r="W547" s="111"/>
      <c r="AC547" s="130"/>
      <c r="AD547" s="130">
        <v>26329</v>
      </c>
      <c r="AE547" s="128" t="s">
        <v>32</v>
      </c>
      <c r="AF547" s="128" t="s">
        <v>40</v>
      </c>
      <c r="AG547" s="128" t="s">
        <v>41</v>
      </c>
      <c r="AH547" s="108" t="s">
        <v>41</v>
      </c>
      <c r="AI547" s="128" t="s">
        <v>95</v>
      </c>
      <c r="AJ547" s="129" t="s">
        <v>48</v>
      </c>
      <c r="AK547" s="129">
        <v>12</v>
      </c>
      <c r="AL547" s="3" t="s">
        <v>48</v>
      </c>
      <c r="AP547" s="129" t="s">
        <v>43</v>
      </c>
      <c r="AR547" s="128" t="s">
        <v>44</v>
      </c>
      <c r="AS547" s="129" t="s">
        <v>45</v>
      </c>
      <c r="BC547" s="129" t="s">
        <v>52</v>
      </c>
      <c r="BF547" s="111">
        <f t="shared" si="428"/>
        <v>15</v>
      </c>
      <c r="BG547" s="111">
        <f t="shared" si="425"/>
        <v>300</v>
      </c>
      <c r="BH547" s="111">
        <f t="shared" si="401"/>
        <v>300</v>
      </c>
      <c r="BI547" s="111">
        <f t="shared" si="402"/>
        <v>39.882513661202189</v>
      </c>
      <c r="BJ547" s="129">
        <f>(G547-J547)+(M547-G547)</f>
        <v>0</v>
      </c>
      <c r="BK547" s="129">
        <f t="shared" si="404"/>
        <v>-285</v>
      </c>
      <c r="BL547" s="129" t="str">
        <f t="shared" si="430"/>
        <v>DEFERRED</v>
      </c>
      <c r="BM547" s="129" t="s">
        <v>76</v>
      </c>
      <c r="BN547" s="129" t="s">
        <v>88</v>
      </c>
      <c r="BP547" s="137" t="str">
        <f t="shared" si="407"/>
        <v>DEFERRED</v>
      </c>
      <c r="BQ547" s="128" t="str">
        <f t="shared" si="408"/>
        <v>Y</v>
      </c>
      <c r="BR547" s="129" t="str">
        <f t="shared" si="409"/>
        <v>ON BOND</v>
      </c>
      <c r="BS547" s="129" t="str">
        <f t="shared" si="410"/>
        <v>DISPOSED</v>
      </c>
      <c r="BT547" s="129" t="str">
        <f t="shared" si="411"/>
        <v>Y</v>
      </c>
      <c r="BU547" s="109">
        <f t="shared" si="412"/>
        <v>0.05</v>
      </c>
      <c r="BV547" s="109">
        <f t="shared" si="413"/>
        <v>0.05</v>
      </c>
      <c r="BW547" s="109">
        <f t="shared" si="414"/>
        <v>0</v>
      </c>
      <c r="BX547" s="111">
        <f t="shared" si="415"/>
        <v>0</v>
      </c>
      <c r="BY547" s="129">
        <f t="shared" si="416"/>
        <v>-15</v>
      </c>
      <c r="BZ547" s="111">
        <f t="shared" si="417"/>
        <v>0</v>
      </c>
      <c r="CA547" s="138">
        <f t="shared" si="418"/>
        <v>15</v>
      </c>
      <c r="CB547" s="111" t="e">
        <f t="shared" si="429"/>
        <v>#VALUE!</v>
      </c>
      <c r="CC547" s="129">
        <f>M547-I547+1</f>
        <v>15</v>
      </c>
      <c r="CD547" s="111">
        <f>CC547-BF547</f>
        <v>0</v>
      </c>
      <c r="CE547" s="129">
        <f t="shared" si="419"/>
        <v>285</v>
      </c>
      <c r="CG547" s="129" t="str">
        <f t="shared" si="420"/>
        <v>Y</v>
      </c>
      <c r="CI547" s="129" t="str">
        <f t="shared" si="421"/>
        <v>11-30 DAYS</v>
      </c>
      <c r="CJ547" s="137">
        <f t="shared" si="422"/>
        <v>2</v>
      </c>
      <c r="CK547" s="129" t="str">
        <f t="shared" si="423"/>
        <v>Booked</v>
      </c>
    </row>
    <row r="548" spans="1:89" ht="15.75" customHeight="1" x14ac:dyDescent="0.25">
      <c r="A548" s="111">
        <v>2885</v>
      </c>
      <c r="B548" s="128" t="str">
        <f t="shared" si="397"/>
        <v>N</v>
      </c>
      <c r="C548" s="128" t="str">
        <f t="shared" si="398"/>
        <v>N</v>
      </c>
      <c r="D548" s="117">
        <v>1281323</v>
      </c>
      <c r="E548" s="135">
        <f t="shared" si="399"/>
        <v>4</v>
      </c>
      <c r="F548" s="124">
        <v>41016</v>
      </c>
      <c r="G548" s="125">
        <v>41187</v>
      </c>
      <c r="H548" s="117">
        <v>1281323</v>
      </c>
      <c r="I548" s="124">
        <v>41016</v>
      </c>
      <c r="J548" s="124">
        <v>41018</v>
      </c>
      <c r="K548" s="126">
        <v>15000</v>
      </c>
      <c r="L548" s="127" t="s">
        <v>571</v>
      </c>
      <c r="M548" s="125">
        <v>41018</v>
      </c>
      <c r="N548" s="129" t="str">
        <f t="shared" si="431"/>
        <v>Y</v>
      </c>
      <c r="O548" s="128" t="s">
        <v>585</v>
      </c>
      <c r="P548" s="129" t="s">
        <v>39</v>
      </c>
      <c r="Q548" s="111">
        <f t="shared" si="427"/>
        <v>3</v>
      </c>
      <c r="R548" s="111">
        <f t="shared" si="400"/>
        <v>172</v>
      </c>
      <c r="S548" s="129">
        <v>6</v>
      </c>
      <c r="T548" s="129">
        <v>9</v>
      </c>
      <c r="U548" s="129">
        <v>2</v>
      </c>
      <c r="W548" s="115"/>
      <c r="X548" s="114"/>
      <c r="Y548" s="32"/>
      <c r="Z548" s="32"/>
      <c r="AC548" s="130"/>
      <c r="AD548" s="130">
        <v>27420</v>
      </c>
      <c r="AE548" s="128" t="s">
        <v>32</v>
      </c>
      <c r="AF548" s="128" t="s">
        <v>33</v>
      </c>
      <c r="AG548" s="128" t="s">
        <v>872</v>
      </c>
      <c r="AH548" s="108" t="s">
        <v>31</v>
      </c>
      <c r="AI548" s="128" t="s">
        <v>71</v>
      </c>
      <c r="AJ548" s="129" t="s">
        <v>89</v>
      </c>
      <c r="AK548" s="129">
        <v>9</v>
      </c>
      <c r="AL548" s="3" t="s">
        <v>991</v>
      </c>
      <c r="AO548" s="128">
        <v>90</v>
      </c>
      <c r="AP548" s="129" t="s">
        <v>43</v>
      </c>
      <c r="AR548" s="128" t="s">
        <v>44</v>
      </c>
      <c r="AS548" s="129" t="s">
        <v>45</v>
      </c>
      <c r="BC548" s="129" t="s">
        <v>52</v>
      </c>
      <c r="BF548" s="111">
        <f t="shared" si="428"/>
        <v>3</v>
      </c>
      <c r="BG548" s="111">
        <f t="shared" si="425"/>
        <v>172</v>
      </c>
      <c r="BH548" s="111">
        <f t="shared" si="401"/>
        <v>172</v>
      </c>
      <c r="BI548" s="111">
        <f t="shared" si="402"/>
        <v>37.147540983606561</v>
      </c>
      <c r="BJ548" s="129">
        <f>(G548-J548)+(M548-G548)</f>
        <v>0</v>
      </c>
      <c r="BK548" s="129">
        <f t="shared" si="404"/>
        <v>-169</v>
      </c>
      <c r="BL548" s="129" t="str">
        <f t="shared" si="430"/>
        <v>CONVICTION</v>
      </c>
      <c r="BM548" s="129" t="s">
        <v>76</v>
      </c>
      <c r="BN548" s="129" t="s">
        <v>88</v>
      </c>
      <c r="BP548" s="137" t="str">
        <f t="shared" si="407"/>
        <v>CONVICTION</v>
      </c>
      <c r="BQ548" s="128" t="str">
        <f t="shared" si="408"/>
        <v>Y</v>
      </c>
      <c r="BR548" s="129" t="str">
        <f>IF(J548&lt;G548,"ON BOND",0)</f>
        <v>ON BOND</v>
      </c>
      <c r="BS548" s="129" t="str">
        <f t="shared" si="410"/>
        <v>DISPOSED</v>
      </c>
      <c r="BT548" s="129" t="str">
        <f t="shared" si="411"/>
        <v>Y</v>
      </c>
      <c r="BU548" s="109">
        <f t="shared" si="412"/>
        <v>1.7441860465116279E-2</v>
      </c>
      <c r="BV548" s="109">
        <f t="shared" si="413"/>
        <v>1.7441860465116279E-2</v>
      </c>
      <c r="BW548" s="109">
        <f t="shared" si="414"/>
        <v>0</v>
      </c>
      <c r="BX548" s="111">
        <f t="shared" si="415"/>
        <v>0</v>
      </c>
      <c r="BY548" s="129">
        <f t="shared" si="416"/>
        <v>-3</v>
      </c>
      <c r="BZ548" s="111">
        <f t="shared" si="417"/>
        <v>0</v>
      </c>
      <c r="CA548" s="138">
        <f t="shared" si="418"/>
        <v>3</v>
      </c>
      <c r="CB548" s="111" t="e">
        <f t="shared" si="429"/>
        <v>#VALUE!</v>
      </c>
      <c r="CC548" s="129">
        <f>M548-I548+1</f>
        <v>3</v>
      </c>
      <c r="CD548" s="111">
        <f>CC548-BF548</f>
        <v>0</v>
      </c>
      <c r="CE548" s="129">
        <f t="shared" si="419"/>
        <v>169</v>
      </c>
      <c r="CG548" s="129" t="str">
        <f t="shared" si="420"/>
        <v>Y</v>
      </c>
      <c r="CI548" s="129" t="str">
        <f t="shared" si="421"/>
        <v>0-10 DAYS</v>
      </c>
      <c r="CJ548" s="137">
        <f t="shared" si="422"/>
        <v>1</v>
      </c>
      <c r="CK548" s="129" t="str">
        <f t="shared" si="423"/>
        <v>Booked</v>
      </c>
    </row>
    <row r="549" spans="1:89" ht="15" customHeight="1" x14ac:dyDescent="0.25">
      <c r="A549" s="111">
        <v>781</v>
      </c>
      <c r="B549" s="128" t="str">
        <f t="shared" si="397"/>
        <v>N</v>
      </c>
      <c r="C549" s="128" t="str">
        <f t="shared" si="398"/>
        <v>Y</v>
      </c>
      <c r="D549" s="117">
        <v>1284053</v>
      </c>
      <c r="E549" s="135">
        <f t="shared" si="399"/>
        <v>5</v>
      </c>
      <c r="F549" s="124">
        <v>40939</v>
      </c>
      <c r="G549" s="125">
        <v>41044</v>
      </c>
      <c r="H549" s="117">
        <v>1284053</v>
      </c>
      <c r="I549" s="124">
        <v>40939</v>
      </c>
      <c r="J549" s="124">
        <v>40941</v>
      </c>
      <c r="K549" s="126">
        <v>10000</v>
      </c>
      <c r="L549" s="127" t="s">
        <v>570</v>
      </c>
      <c r="M549" s="125">
        <v>40941</v>
      </c>
      <c r="N549" s="129" t="str">
        <f t="shared" si="431"/>
        <v>Y</v>
      </c>
      <c r="O549" s="128" t="s">
        <v>76</v>
      </c>
      <c r="P549" s="129" t="s">
        <v>39</v>
      </c>
      <c r="Q549" s="111">
        <v>29</v>
      </c>
      <c r="R549" s="111">
        <f t="shared" si="400"/>
        <v>106</v>
      </c>
      <c r="S549" s="129">
        <v>2</v>
      </c>
      <c r="T549" s="129">
        <v>0</v>
      </c>
      <c r="U549" s="129">
        <v>1</v>
      </c>
      <c r="W549" s="111"/>
      <c r="AC549" s="130"/>
      <c r="AD549" s="130">
        <v>19389</v>
      </c>
      <c r="AE549" s="128" t="s">
        <v>32</v>
      </c>
      <c r="AF549" s="128" t="s">
        <v>33</v>
      </c>
      <c r="AG549" s="128" t="s">
        <v>872</v>
      </c>
      <c r="AH549" s="108" t="s">
        <v>58</v>
      </c>
      <c r="AI549" s="128" t="s">
        <v>70</v>
      </c>
      <c r="AJ549" s="129" t="s">
        <v>89</v>
      </c>
      <c r="AK549" s="129">
        <v>8</v>
      </c>
      <c r="AL549" s="3" t="s">
        <v>992</v>
      </c>
      <c r="AN549" s="117">
        <v>6</v>
      </c>
      <c r="AP549" s="129" t="s">
        <v>142</v>
      </c>
      <c r="AR549" s="128" t="s">
        <v>44</v>
      </c>
      <c r="AS549" s="129" t="s">
        <v>64</v>
      </c>
      <c r="AU549" s="3" t="s">
        <v>807</v>
      </c>
      <c r="AX549" s="32" t="s">
        <v>88</v>
      </c>
      <c r="BC549" s="129" t="s">
        <v>52</v>
      </c>
      <c r="BF549" s="111">
        <v>29</v>
      </c>
      <c r="BG549" s="111">
        <f t="shared" si="425"/>
        <v>106</v>
      </c>
      <c r="BH549" s="111">
        <f t="shared" si="401"/>
        <v>106</v>
      </c>
      <c r="BI549" s="111">
        <f t="shared" si="402"/>
        <v>58.879781420765028</v>
      </c>
      <c r="BJ549" s="129">
        <f>(G549-J549)+(M549-G549)</f>
        <v>0</v>
      </c>
      <c r="BK549" s="129">
        <f t="shared" si="404"/>
        <v>-103</v>
      </c>
      <c r="BL549" s="129" t="str">
        <f t="shared" si="430"/>
        <v>CONVICTION</v>
      </c>
      <c r="BM549" s="129" t="s">
        <v>76</v>
      </c>
      <c r="BN549" s="129" t="s">
        <v>88</v>
      </c>
      <c r="BP549" s="137" t="str">
        <f t="shared" si="407"/>
        <v>CONVICTION</v>
      </c>
      <c r="BQ549" s="128" t="str">
        <f t="shared" si="408"/>
        <v>Y</v>
      </c>
      <c r="BR549" s="129" t="s">
        <v>574</v>
      </c>
      <c r="BS549" s="129" t="str">
        <f t="shared" si="410"/>
        <v>DISPOSED</v>
      </c>
      <c r="BT549" s="129" t="str">
        <f t="shared" si="411"/>
        <v>Y</v>
      </c>
      <c r="BU549" s="109">
        <f t="shared" si="412"/>
        <v>0.27358490566037735</v>
      </c>
      <c r="BV549" s="109">
        <f t="shared" si="413"/>
        <v>2.8301886792452831E-2</v>
      </c>
      <c r="BW549" s="109">
        <f t="shared" si="414"/>
        <v>-0.24528301886792453</v>
      </c>
      <c r="BX549" s="111">
        <f t="shared" si="415"/>
        <v>0</v>
      </c>
      <c r="BY549" s="129">
        <f t="shared" si="416"/>
        <v>-3</v>
      </c>
      <c r="BZ549" s="111">
        <f t="shared" si="417"/>
        <v>26</v>
      </c>
      <c r="CA549" s="138">
        <f t="shared" si="418"/>
        <v>106</v>
      </c>
      <c r="CB549" s="111">
        <v>29</v>
      </c>
      <c r="CC549" s="129">
        <f>G549-I549+1</f>
        <v>106</v>
      </c>
      <c r="CD549" s="129">
        <f>G549-J549</f>
        <v>103</v>
      </c>
      <c r="CE549" s="129">
        <f t="shared" si="419"/>
        <v>103</v>
      </c>
      <c r="CG549" s="129" t="str">
        <f t="shared" si="420"/>
        <v>Y</v>
      </c>
      <c r="CI549" s="129" t="str">
        <f t="shared" si="421"/>
        <v>11-30 DAYS</v>
      </c>
      <c r="CJ549" s="137">
        <f t="shared" si="422"/>
        <v>2</v>
      </c>
      <c r="CK549" s="129" t="str">
        <f t="shared" si="423"/>
        <v>Booked</v>
      </c>
    </row>
    <row r="550" spans="1:89" ht="15" customHeight="1" x14ac:dyDescent="0.25">
      <c r="A550" s="111">
        <v>3037</v>
      </c>
      <c r="B550" s="128" t="str">
        <f t="shared" si="397"/>
        <v>N</v>
      </c>
      <c r="C550" s="128" t="str">
        <f t="shared" si="398"/>
        <v>N</v>
      </c>
      <c r="D550" s="117">
        <v>1287104</v>
      </c>
      <c r="E550" s="135">
        <f t="shared" si="399"/>
        <v>4</v>
      </c>
      <c r="F550" s="124">
        <v>41021</v>
      </c>
      <c r="G550" s="125">
        <v>41115</v>
      </c>
      <c r="H550" s="117">
        <v>1287104</v>
      </c>
      <c r="I550" s="124">
        <v>41021</v>
      </c>
      <c r="J550" s="124">
        <v>41115</v>
      </c>
      <c r="K550" s="126" t="s">
        <v>564</v>
      </c>
      <c r="L550" s="127" t="s">
        <v>564</v>
      </c>
      <c r="N550" s="129" t="s">
        <v>566</v>
      </c>
      <c r="O550" s="128" t="s">
        <v>917</v>
      </c>
      <c r="P550" s="129" t="s">
        <v>39</v>
      </c>
      <c r="Q550" s="111">
        <f t="shared" si="427"/>
        <v>95</v>
      </c>
      <c r="R550" s="111">
        <f t="shared" si="400"/>
        <v>95</v>
      </c>
      <c r="S550" s="129">
        <v>0</v>
      </c>
      <c r="T550" s="129">
        <v>1</v>
      </c>
      <c r="W550" s="111"/>
      <c r="AC550" s="130"/>
      <c r="AD550" s="130">
        <v>23400</v>
      </c>
      <c r="AE550" s="128" t="s">
        <v>32</v>
      </c>
      <c r="AF550" s="128" t="s">
        <v>69</v>
      </c>
      <c r="AG550" s="128" t="s">
        <v>874</v>
      </c>
      <c r="AH550" s="108" t="s">
        <v>58</v>
      </c>
      <c r="AI550" s="128" t="s">
        <v>53</v>
      </c>
      <c r="AJ550" s="129" t="s">
        <v>89</v>
      </c>
      <c r="AK550" s="129">
        <v>6</v>
      </c>
      <c r="AL550" s="3" t="s">
        <v>991</v>
      </c>
      <c r="AO550" s="128">
        <v>365</v>
      </c>
      <c r="AP550" s="129" t="s">
        <v>66</v>
      </c>
      <c r="AR550" s="128" t="s">
        <v>67</v>
      </c>
      <c r="AS550" s="129" t="s">
        <v>68</v>
      </c>
      <c r="BC550" s="129" t="s">
        <v>52</v>
      </c>
      <c r="BF550" s="111">
        <f t="shared" si="428"/>
        <v>95</v>
      </c>
      <c r="BG550" s="111">
        <f t="shared" si="425"/>
        <v>95</v>
      </c>
      <c r="BH550" s="111">
        <f t="shared" si="401"/>
        <v>95</v>
      </c>
      <c r="BI550" s="111">
        <f t="shared" si="402"/>
        <v>48.144808743169399</v>
      </c>
      <c r="BJ550" s="129">
        <f t="shared" si="403"/>
        <v>0</v>
      </c>
      <c r="BK550" s="129">
        <f t="shared" si="404"/>
        <v>0</v>
      </c>
      <c r="BL550" s="129" t="str">
        <f t="shared" si="430"/>
        <v>CONVICTION</v>
      </c>
      <c r="BM550" s="129" t="str">
        <f t="shared" si="406"/>
        <v>NONE</v>
      </c>
      <c r="BN550" s="129" t="s">
        <v>566</v>
      </c>
      <c r="BP550" s="137" t="str">
        <f t="shared" si="407"/>
        <v>CONVICTION</v>
      </c>
      <c r="BQ550" s="128" t="str">
        <f t="shared" si="408"/>
        <v>Y</v>
      </c>
      <c r="BR550" s="129" t="str">
        <f t="shared" si="409"/>
        <v>DETAINED</v>
      </c>
      <c r="BS550" s="129" t="str">
        <f t="shared" si="410"/>
        <v>DISPOSED</v>
      </c>
      <c r="BT550" s="129" t="str">
        <f t="shared" si="411"/>
        <v>N</v>
      </c>
      <c r="BU550" s="109">
        <f t="shared" si="412"/>
        <v>1</v>
      </c>
      <c r="BV550" s="109">
        <f t="shared" si="413"/>
        <v>1</v>
      </c>
      <c r="BW550" s="109">
        <f t="shared" si="414"/>
        <v>0</v>
      </c>
      <c r="BX550" s="111">
        <f t="shared" si="415"/>
        <v>0</v>
      </c>
      <c r="BY550" s="129">
        <f t="shared" si="416"/>
        <v>-95</v>
      </c>
      <c r="BZ550" s="111">
        <f t="shared" si="417"/>
        <v>0</v>
      </c>
      <c r="CA550" s="138">
        <f t="shared" si="418"/>
        <v>95</v>
      </c>
      <c r="CB550" s="111" t="e">
        <f t="shared" si="429"/>
        <v>#VALUE!</v>
      </c>
      <c r="CC550" s="129">
        <f>G550-I550+1</f>
        <v>95</v>
      </c>
      <c r="CD550" s="129">
        <f>G550-J550</f>
        <v>0</v>
      </c>
      <c r="CE550" s="129">
        <f t="shared" si="419"/>
        <v>0</v>
      </c>
      <c r="CG550" s="129" t="str">
        <f t="shared" si="420"/>
        <v>Y</v>
      </c>
      <c r="CI550" s="129" t="str">
        <f t="shared" si="421"/>
        <v>91-120 DAYS</v>
      </c>
      <c r="CJ550" s="137">
        <f t="shared" si="422"/>
        <v>0</v>
      </c>
      <c r="CK550" s="129" t="str">
        <f t="shared" si="423"/>
        <v>Booked</v>
      </c>
    </row>
    <row r="551" spans="1:89" ht="15.75" customHeight="1" x14ac:dyDescent="0.25">
      <c r="A551" s="111">
        <v>2472</v>
      </c>
      <c r="B551" s="128" t="str">
        <f t="shared" si="397"/>
        <v>N</v>
      </c>
      <c r="C551" s="128" t="str">
        <f t="shared" si="398"/>
        <v>N</v>
      </c>
      <c r="D551" s="117">
        <v>1289488</v>
      </c>
      <c r="E551" s="135">
        <f t="shared" si="399"/>
        <v>4</v>
      </c>
      <c r="F551" s="124">
        <v>41002</v>
      </c>
      <c r="G551" s="125">
        <v>41004</v>
      </c>
      <c r="H551" s="117">
        <v>1289488</v>
      </c>
      <c r="I551" s="124">
        <v>41002</v>
      </c>
      <c r="J551" s="124">
        <v>41004</v>
      </c>
      <c r="K551" s="126">
        <v>5000</v>
      </c>
      <c r="L551" s="127" t="s">
        <v>569</v>
      </c>
      <c r="N551" s="129" t="str">
        <f>IF(M551&gt;1/1/1,"Y","N")</f>
        <v>N</v>
      </c>
      <c r="O551" s="128" t="s">
        <v>917</v>
      </c>
      <c r="P551" s="129" t="s">
        <v>39</v>
      </c>
      <c r="Q551" s="111">
        <f t="shared" si="427"/>
        <v>3</v>
      </c>
      <c r="R551" s="111">
        <f t="shared" si="400"/>
        <v>3</v>
      </c>
      <c r="S551" s="129">
        <v>2</v>
      </c>
      <c r="T551" s="129">
        <v>1</v>
      </c>
      <c r="U551" s="129">
        <v>2</v>
      </c>
      <c r="W551" s="111"/>
      <c r="AC551" s="130"/>
      <c r="AD551" s="130">
        <v>20663</v>
      </c>
      <c r="AE551" s="128" t="s">
        <v>32</v>
      </c>
      <c r="AF551" s="128" t="s">
        <v>33</v>
      </c>
      <c r="AG551" s="128" t="s">
        <v>872</v>
      </c>
      <c r="AH551" s="108" t="s">
        <v>58</v>
      </c>
      <c r="AI551" s="128" t="s">
        <v>114</v>
      </c>
      <c r="AJ551" s="129" t="s">
        <v>89</v>
      </c>
      <c r="AK551" s="129">
        <v>2</v>
      </c>
      <c r="AL551" s="3" t="s">
        <v>991</v>
      </c>
      <c r="AO551" s="128">
        <v>90</v>
      </c>
      <c r="AP551" s="129" t="s">
        <v>43</v>
      </c>
      <c r="AR551" s="128" t="s">
        <v>44</v>
      </c>
      <c r="AS551" s="129" t="s">
        <v>45</v>
      </c>
      <c r="BC551" s="129" t="s">
        <v>38</v>
      </c>
      <c r="BF551" s="111">
        <f t="shared" si="428"/>
        <v>3</v>
      </c>
      <c r="BG551" s="111">
        <f t="shared" si="425"/>
        <v>3</v>
      </c>
      <c r="BH551" s="111">
        <f t="shared" si="401"/>
        <v>3</v>
      </c>
      <c r="BI551" s="111">
        <f t="shared" si="402"/>
        <v>55.571038251366119</v>
      </c>
      <c r="BJ551" s="129">
        <f t="shared" si="403"/>
        <v>0</v>
      </c>
      <c r="BK551" s="129">
        <f t="shared" si="404"/>
        <v>0</v>
      </c>
      <c r="BL551" s="129" t="str">
        <f t="shared" si="430"/>
        <v>CONVICTION</v>
      </c>
      <c r="BM551" s="129" t="str">
        <f t="shared" si="406"/>
        <v>NONE</v>
      </c>
      <c r="BN551" s="129" t="s">
        <v>566</v>
      </c>
      <c r="BP551" s="137" t="str">
        <f t="shared" si="407"/>
        <v>CONVICTION</v>
      </c>
      <c r="BQ551" s="128" t="str">
        <f t="shared" si="408"/>
        <v>Y</v>
      </c>
      <c r="BR551" s="129" t="str">
        <f t="shared" si="409"/>
        <v>DETAINED</v>
      </c>
      <c r="BS551" s="129" t="str">
        <f t="shared" si="410"/>
        <v>DISPOSED</v>
      </c>
      <c r="BT551" s="129" t="str">
        <f t="shared" si="411"/>
        <v>Y</v>
      </c>
      <c r="BU551" s="109">
        <f t="shared" si="412"/>
        <v>1</v>
      </c>
      <c r="BV551" s="109">
        <f t="shared" si="413"/>
        <v>1</v>
      </c>
      <c r="BW551" s="109">
        <f t="shared" si="414"/>
        <v>0</v>
      </c>
      <c r="BX551" s="111">
        <f t="shared" si="415"/>
        <v>0</v>
      </c>
      <c r="BY551" s="129">
        <f t="shared" si="416"/>
        <v>-3</v>
      </c>
      <c r="BZ551" s="111">
        <f t="shared" si="417"/>
        <v>0</v>
      </c>
      <c r="CA551" s="138">
        <f t="shared" si="418"/>
        <v>3</v>
      </c>
      <c r="CB551" s="111" t="e">
        <f t="shared" si="429"/>
        <v>#VALUE!</v>
      </c>
      <c r="CC551" s="129">
        <f>G551-I551+1</f>
        <v>3</v>
      </c>
      <c r="CD551" s="129">
        <f>G551-J551</f>
        <v>0</v>
      </c>
      <c r="CE551" s="129">
        <f t="shared" si="419"/>
        <v>0</v>
      </c>
      <c r="CG551" s="129" t="str">
        <f t="shared" si="420"/>
        <v>Y</v>
      </c>
      <c r="CI551" s="129" t="str">
        <f t="shared" si="421"/>
        <v>0-10 DAYS</v>
      </c>
      <c r="CJ551" s="137">
        <f t="shared" si="422"/>
        <v>1</v>
      </c>
      <c r="CK551" s="129" t="str">
        <f t="shared" si="423"/>
        <v>Booked</v>
      </c>
    </row>
    <row r="552" spans="1:89" ht="15.75" customHeight="1" x14ac:dyDescent="0.25">
      <c r="A552" s="111">
        <v>2764</v>
      </c>
      <c r="B552" s="128" t="str">
        <f t="shared" si="397"/>
        <v>N</v>
      </c>
      <c r="C552" s="128" t="str">
        <f t="shared" si="398"/>
        <v>N</v>
      </c>
      <c r="D552" s="117">
        <v>1292681</v>
      </c>
      <c r="E552" s="135">
        <f t="shared" si="399"/>
        <v>5</v>
      </c>
      <c r="F552" s="124">
        <v>41011</v>
      </c>
      <c r="G552" s="125">
        <v>41064</v>
      </c>
      <c r="H552" s="117">
        <v>1292681</v>
      </c>
      <c r="I552" s="124">
        <v>41011</v>
      </c>
      <c r="J552" s="124">
        <v>41064</v>
      </c>
      <c r="K552" s="126">
        <v>15000</v>
      </c>
      <c r="L552" s="127" t="s">
        <v>571</v>
      </c>
      <c r="N552" s="129" t="str">
        <f>IF(M552&gt;1/1/1,"Y","N")</f>
        <v>N</v>
      </c>
      <c r="O552" s="128" t="s">
        <v>917</v>
      </c>
      <c r="P552" s="129" t="s">
        <v>39</v>
      </c>
      <c r="Q552" s="111">
        <f t="shared" si="427"/>
        <v>54</v>
      </c>
      <c r="R552" s="111">
        <f t="shared" si="400"/>
        <v>54</v>
      </c>
      <c r="S552" s="129">
        <v>3</v>
      </c>
      <c r="T552" s="129">
        <v>4</v>
      </c>
      <c r="U552" s="129">
        <v>1</v>
      </c>
      <c r="W552" s="111"/>
      <c r="AC552" s="130"/>
      <c r="AD552" s="130">
        <v>25564</v>
      </c>
      <c r="AE552" s="128" t="s">
        <v>32</v>
      </c>
      <c r="AF552" s="128" t="s">
        <v>40</v>
      </c>
      <c r="AG552" s="128" t="s">
        <v>41</v>
      </c>
      <c r="AH552" s="108" t="s">
        <v>41</v>
      </c>
      <c r="AI552" s="128" t="s">
        <v>83</v>
      </c>
      <c r="AJ552" s="129" t="s">
        <v>89</v>
      </c>
      <c r="AK552" s="129">
        <v>5</v>
      </c>
      <c r="AL552" s="3" t="s">
        <v>992</v>
      </c>
      <c r="AN552" s="117">
        <v>6</v>
      </c>
      <c r="AP552" s="129" t="s">
        <v>43</v>
      </c>
      <c r="AR552" s="128" t="s">
        <v>44</v>
      </c>
      <c r="AS552" s="129" t="s">
        <v>45</v>
      </c>
      <c r="BC552" s="129" t="s">
        <v>38</v>
      </c>
      <c r="BF552" s="111">
        <f t="shared" si="428"/>
        <v>54</v>
      </c>
      <c r="BG552" s="111">
        <f t="shared" si="425"/>
        <v>54</v>
      </c>
      <c r="BH552" s="111">
        <f t="shared" si="401"/>
        <v>54</v>
      </c>
      <c r="BI552" s="111">
        <f t="shared" si="402"/>
        <v>42.204918032786885</v>
      </c>
      <c r="BJ552" s="129">
        <f t="shared" si="403"/>
        <v>0</v>
      </c>
      <c r="BK552" s="129">
        <f t="shared" si="404"/>
        <v>0</v>
      </c>
      <c r="BL552" s="129" t="str">
        <f t="shared" si="430"/>
        <v>CONVICTION</v>
      </c>
      <c r="BM552" s="129" t="str">
        <f t="shared" si="406"/>
        <v>NONE</v>
      </c>
      <c r="BN552" s="129" t="s">
        <v>566</v>
      </c>
      <c r="BP552" s="137" t="str">
        <f t="shared" si="407"/>
        <v>CONVICTION</v>
      </c>
      <c r="BQ552" s="128" t="str">
        <f t="shared" si="408"/>
        <v>Y</v>
      </c>
      <c r="BR552" s="129" t="str">
        <f t="shared" si="409"/>
        <v>DETAINED</v>
      </c>
      <c r="BS552" s="129" t="str">
        <f t="shared" si="410"/>
        <v>DISPOSED</v>
      </c>
      <c r="BT552" s="129" t="str">
        <f t="shared" si="411"/>
        <v>Y</v>
      </c>
      <c r="BU552" s="109">
        <f t="shared" si="412"/>
        <v>1</v>
      </c>
      <c r="BV552" s="109">
        <f t="shared" si="413"/>
        <v>1</v>
      </c>
      <c r="BW552" s="109">
        <f t="shared" si="414"/>
        <v>0</v>
      </c>
      <c r="BX552" s="111">
        <f t="shared" si="415"/>
        <v>0</v>
      </c>
      <c r="BY552" s="129">
        <f t="shared" si="416"/>
        <v>-54</v>
      </c>
      <c r="BZ552" s="111">
        <f t="shared" si="417"/>
        <v>0</v>
      </c>
      <c r="CA552" s="138">
        <f t="shared" si="418"/>
        <v>54</v>
      </c>
      <c r="CB552" s="111" t="e">
        <f t="shared" si="429"/>
        <v>#VALUE!</v>
      </c>
      <c r="CC552" s="129">
        <f>G552-I552+1</f>
        <v>54</v>
      </c>
      <c r="CD552" s="129">
        <f>G552-J552</f>
        <v>0</v>
      </c>
      <c r="CE552" s="129">
        <f t="shared" si="419"/>
        <v>0</v>
      </c>
      <c r="CG552" s="129" t="str">
        <f t="shared" si="420"/>
        <v>Y</v>
      </c>
      <c r="CI552" s="129" t="str">
        <f t="shared" si="421"/>
        <v>31-60 DAYS</v>
      </c>
      <c r="CJ552" s="137">
        <f t="shared" si="422"/>
        <v>3</v>
      </c>
      <c r="CK552" s="129" t="str">
        <f t="shared" si="423"/>
        <v>Booked</v>
      </c>
    </row>
    <row r="553" spans="1:89" ht="15" customHeight="1" x14ac:dyDescent="0.25">
      <c r="A553" s="111">
        <v>2141</v>
      </c>
      <c r="B553" s="128" t="str">
        <f t="shared" si="397"/>
        <v>N</v>
      </c>
      <c r="C553" s="128" t="str">
        <f t="shared" si="398"/>
        <v>N</v>
      </c>
      <c r="D553" s="117">
        <v>1292687</v>
      </c>
      <c r="E553" s="135">
        <f t="shared" si="399"/>
        <v>2</v>
      </c>
      <c r="F553" s="124">
        <v>40989</v>
      </c>
      <c r="G553" s="125">
        <v>41135</v>
      </c>
      <c r="H553" s="117">
        <v>1292687</v>
      </c>
      <c r="I553" s="124">
        <v>40992</v>
      </c>
      <c r="J553" s="124">
        <v>40993</v>
      </c>
      <c r="K553" s="126">
        <v>2000</v>
      </c>
      <c r="L553" s="127" t="s">
        <v>568</v>
      </c>
      <c r="M553" s="125">
        <v>40993</v>
      </c>
      <c r="N553" s="129" t="str">
        <f>IF(M553&gt;1/1/1,"Y","N")</f>
        <v>Y</v>
      </c>
      <c r="O553" s="128" t="s">
        <v>585</v>
      </c>
      <c r="P553" s="129" t="s">
        <v>589</v>
      </c>
      <c r="Q553" s="111">
        <f t="shared" si="427"/>
        <v>2</v>
      </c>
      <c r="R553" s="111">
        <f t="shared" si="400"/>
        <v>147</v>
      </c>
      <c r="S553" s="129">
        <v>0</v>
      </c>
      <c r="T553" s="129">
        <v>1</v>
      </c>
      <c r="W553" s="111"/>
      <c r="AB553" s="131" t="s">
        <v>112</v>
      </c>
      <c r="AC553" s="130"/>
      <c r="AD553" s="130">
        <v>26959</v>
      </c>
      <c r="AE553" s="128" t="s">
        <v>46</v>
      </c>
      <c r="AF553" s="128" t="s">
        <v>40</v>
      </c>
      <c r="AG553" s="128" t="s">
        <v>41</v>
      </c>
      <c r="AH553" s="108" t="s">
        <v>31</v>
      </c>
      <c r="AI553" s="128" t="s">
        <v>71</v>
      </c>
      <c r="AJ553" s="129" t="s">
        <v>48</v>
      </c>
      <c r="AK553" s="129">
        <v>7</v>
      </c>
      <c r="AL553" s="3" t="s">
        <v>48</v>
      </c>
      <c r="AP553" s="129" t="s">
        <v>96</v>
      </c>
      <c r="AR553" s="128" t="s">
        <v>67</v>
      </c>
      <c r="AS553" s="129" t="s">
        <v>64</v>
      </c>
      <c r="AX553" s="32"/>
      <c r="BC553" s="129" t="s">
        <v>52</v>
      </c>
      <c r="BF553" s="111">
        <f t="shared" si="428"/>
        <v>2</v>
      </c>
      <c r="BG553" s="111">
        <f t="shared" si="425"/>
        <v>144</v>
      </c>
      <c r="BH553" s="111">
        <f t="shared" si="401"/>
        <v>147</v>
      </c>
      <c r="BI553" s="111">
        <f t="shared" si="402"/>
        <v>38.333333333333336</v>
      </c>
      <c r="BJ553" s="129">
        <f>(G553-J553)+(M553-G553)</f>
        <v>0</v>
      </c>
      <c r="BK553" s="129">
        <f t="shared" si="404"/>
        <v>-142</v>
      </c>
      <c r="BL553" s="129" t="str">
        <f t="shared" si="430"/>
        <v>DEFERRED</v>
      </c>
      <c r="BM553" s="129" t="s">
        <v>76</v>
      </c>
      <c r="BN553" s="129" t="s">
        <v>88</v>
      </c>
      <c r="BP553" s="137" t="str">
        <f t="shared" si="407"/>
        <v>DEFERRED</v>
      </c>
      <c r="BQ553" s="128" t="str">
        <f t="shared" si="408"/>
        <v>Y</v>
      </c>
      <c r="BR553" s="129" t="str">
        <f t="shared" si="409"/>
        <v>ON BOND</v>
      </c>
      <c r="BS553" s="129" t="str">
        <f t="shared" si="410"/>
        <v>DISPOSED</v>
      </c>
      <c r="BT553" s="129" t="str">
        <f t="shared" si="411"/>
        <v>N</v>
      </c>
      <c r="BU553" s="109">
        <f t="shared" si="412"/>
        <v>1.3605442176870748E-2</v>
      </c>
      <c r="BV553" s="109">
        <f t="shared" si="413"/>
        <v>1.3888888888888888E-2</v>
      </c>
      <c r="BW553" s="109">
        <f t="shared" si="414"/>
        <v>2.8344671201814033E-4</v>
      </c>
      <c r="BX553" s="111">
        <f t="shared" si="415"/>
        <v>0</v>
      </c>
      <c r="BY553" s="129">
        <f t="shared" si="416"/>
        <v>-2</v>
      </c>
      <c r="BZ553" s="111">
        <f t="shared" si="417"/>
        <v>0</v>
      </c>
      <c r="CA553" s="138">
        <f t="shared" si="418"/>
        <v>2</v>
      </c>
      <c r="CB553" s="111" t="e">
        <f t="shared" si="429"/>
        <v>#VALUE!</v>
      </c>
      <c r="CC553" s="129">
        <f>M553-I553+1</f>
        <v>2</v>
      </c>
      <c r="CD553" s="111">
        <f>CC553-BF553</f>
        <v>0</v>
      </c>
      <c r="CE553" s="129">
        <f t="shared" si="419"/>
        <v>142</v>
      </c>
      <c r="CG553" s="129" t="str">
        <f t="shared" si="420"/>
        <v>Y</v>
      </c>
      <c r="CI553" s="129" t="str">
        <f t="shared" si="421"/>
        <v>0-10 DAYS</v>
      </c>
      <c r="CJ553" s="137">
        <f t="shared" si="422"/>
        <v>1</v>
      </c>
      <c r="CK553" s="129" t="str">
        <f t="shared" si="423"/>
        <v>Booked</v>
      </c>
    </row>
    <row r="554" spans="1:89" ht="15" customHeight="1" x14ac:dyDescent="0.25">
      <c r="A554" s="111">
        <v>854</v>
      </c>
      <c r="B554" s="128" t="str">
        <f t="shared" si="397"/>
        <v>N</v>
      </c>
      <c r="C554" s="128" t="str">
        <f t="shared" si="398"/>
        <v>N</v>
      </c>
      <c r="D554" s="117">
        <v>1293436</v>
      </c>
      <c r="E554" s="135">
        <f t="shared" si="399"/>
        <v>2</v>
      </c>
      <c r="F554" s="124">
        <v>40940</v>
      </c>
      <c r="G554" s="125">
        <v>41158</v>
      </c>
      <c r="H554" s="117">
        <v>1293436</v>
      </c>
      <c r="I554" s="124">
        <v>40941</v>
      </c>
      <c r="J554" s="124">
        <v>40942</v>
      </c>
      <c r="K554" s="126">
        <v>2000</v>
      </c>
      <c r="L554" s="127" t="s">
        <v>568</v>
      </c>
      <c r="M554" s="125">
        <v>40942</v>
      </c>
      <c r="N554" s="129" t="str">
        <f>IF(M554&gt;1/1/1,"Y","N")</f>
        <v>Y</v>
      </c>
      <c r="O554" s="128" t="s">
        <v>54</v>
      </c>
      <c r="P554" s="129" t="s">
        <v>589</v>
      </c>
      <c r="Q554" s="111">
        <f t="shared" si="427"/>
        <v>2</v>
      </c>
      <c r="R554" s="111">
        <f t="shared" si="400"/>
        <v>219</v>
      </c>
      <c r="S554" s="129">
        <v>0</v>
      </c>
      <c r="T554" s="129">
        <v>1</v>
      </c>
      <c r="W554" s="111"/>
      <c r="AC554" s="130"/>
      <c r="AD554" s="130">
        <v>26978</v>
      </c>
      <c r="AE554" s="128" t="s">
        <v>46</v>
      </c>
      <c r="AF554" s="128" t="s">
        <v>33</v>
      </c>
      <c r="AG554" s="128" t="s">
        <v>872</v>
      </c>
      <c r="AH554" s="108" t="s">
        <v>31</v>
      </c>
      <c r="AI554" s="128" t="s">
        <v>87</v>
      </c>
      <c r="AJ554" s="129" t="s">
        <v>48</v>
      </c>
      <c r="AK554" s="129">
        <v>8</v>
      </c>
      <c r="AL554" s="3" t="s">
        <v>48</v>
      </c>
      <c r="AP554" s="129" t="s">
        <v>155</v>
      </c>
      <c r="AR554" s="128" t="s">
        <v>44</v>
      </c>
      <c r="AS554" s="129" t="s">
        <v>64</v>
      </c>
      <c r="BC554" s="129" t="s">
        <v>38</v>
      </c>
      <c r="BF554" s="111">
        <f t="shared" si="428"/>
        <v>2</v>
      </c>
      <c r="BG554" s="111">
        <f t="shared" si="425"/>
        <v>218</v>
      </c>
      <c r="BH554" s="111">
        <f t="shared" si="401"/>
        <v>219</v>
      </c>
      <c r="BI554" s="111">
        <f t="shared" si="402"/>
        <v>38.147540983606561</v>
      </c>
      <c r="BJ554" s="129">
        <f>(G554-J554)+(M554-G554)</f>
        <v>0</v>
      </c>
      <c r="BK554" s="129">
        <f t="shared" si="404"/>
        <v>-216</v>
      </c>
      <c r="BL554" s="129" t="str">
        <f t="shared" si="430"/>
        <v>DEFERRED</v>
      </c>
      <c r="BM554" s="129" t="s">
        <v>160</v>
      </c>
      <c r="BN554" s="129" t="s">
        <v>88</v>
      </c>
      <c r="BP554" s="137" t="str">
        <f t="shared" si="407"/>
        <v>DEFERRED</v>
      </c>
      <c r="BQ554" s="128" t="str">
        <f t="shared" si="408"/>
        <v>Y</v>
      </c>
      <c r="BR554" s="129" t="str">
        <f t="shared" si="409"/>
        <v>ON BOND</v>
      </c>
      <c r="BS554" s="129" t="str">
        <f t="shared" si="410"/>
        <v>DISPOSED</v>
      </c>
      <c r="BT554" s="129" t="str">
        <f t="shared" si="411"/>
        <v>N</v>
      </c>
      <c r="BU554" s="109">
        <f t="shared" si="412"/>
        <v>9.1324200913242004E-3</v>
      </c>
      <c r="BV554" s="109">
        <f t="shared" si="413"/>
        <v>9.1743119266055051E-3</v>
      </c>
      <c r="BW554" s="109">
        <f t="shared" si="414"/>
        <v>4.189183528130469E-5</v>
      </c>
      <c r="BX554" s="111">
        <f t="shared" si="415"/>
        <v>0</v>
      </c>
      <c r="BY554" s="129">
        <f t="shared" si="416"/>
        <v>-2</v>
      </c>
      <c r="BZ554" s="111">
        <f t="shared" si="417"/>
        <v>0</v>
      </c>
      <c r="CA554" s="138">
        <f t="shared" si="418"/>
        <v>2</v>
      </c>
      <c r="CB554" s="111" t="e">
        <f t="shared" si="429"/>
        <v>#VALUE!</v>
      </c>
      <c r="CC554" s="129">
        <f>M554-I554+1</f>
        <v>2</v>
      </c>
      <c r="CD554" s="111">
        <f>CC554-BF554</f>
        <v>0</v>
      </c>
      <c r="CE554" s="129">
        <f t="shared" si="419"/>
        <v>216</v>
      </c>
      <c r="CG554" s="129" t="str">
        <f t="shared" si="420"/>
        <v>Y</v>
      </c>
      <c r="CI554" s="129" t="str">
        <f t="shared" si="421"/>
        <v>0-10 DAYS</v>
      </c>
      <c r="CJ554" s="137">
        <f t="shared" si="422"/>
        <v>1</v>
      </c>
      <c r="CK554" s="129" t="str">
        <f t="shared" si="423"/>
        <v>Booked</v>
      </c>
    </row>
    <row r="555" spans="1:89" ht="15" customHeight="1" x14ac:dyDescent="0.25">
      <c r="A555" s="111">
        <v>2269</v>
      </c>
      <c r="B555" s="128" t="str">
        <f t="shared" si="397"/>
        <v>N</v>
      </c>
      <c r="C555" s="128" t="str">
        <f t="shared" si="398"/>
        <v>N</v>
      </c>
      <c r="D555" s="117">
        <v>1294647</v>
      </c>
      <c r="E555" s="135">
        <f t="shared" si="399"/>
        <v>1</v>
      </c>
      <c r="F555" s="124">
        <v>40995</v>
      </c>
      <c r="G555" s="125">
        <v>41101</v>
      </c>
      <c r="H555" s="117">
        <v>1294647</v>
      </c>
      <c r="I555" s="124">
        <v>40995</v>
      </c>
      <c r="J555" s="124">
        <v>41101</v>
      </c>
      <c r="K555" s="126" t="s">
        <v>564</v>
      </c>
      <c r="L555" s="127" t="s">
        <v>564</v>
      </c>
      <c r="N555" s="129" t="s">
        <v>566</v>
      </c>
      <c r="O555" s="128" t="s">
        <v>917</v>
      </c>
      <c r="P555" s="129" t="s">
        <v>553</v>
      </c>
      <c r="Q555" s="111">
        <f t="shared" si="427"/>
        <v>107</v>
      </c>
      <c r="R555" s="111">
        <f t="shared" si="400"/>
        <v>107</v>
      </c>
      <c r="S555" s="129">
        <v>1</v>
      </c>
      <c r="T555" s="129">
        <v>8</v>
      </c>
      <c r="U555" s="129">
        <v>1</v>
      </c>
      <c r="W555" s="111"/>
      <c r="AC555" s="130"/>
      <c r="AD555" s="130">
        <v>23743</v>
      </c>
      <c r="AE555" s="128" t="s">
        <v>32</v>
      </c>
      <c r="AF555" s="128" t="s">
        <v>33</v>
      </c>
      <c r="AG555" s="128" t="s">
        <v>872</v>
      </c>
      <c r="AH555" s="108" t="s">
        <v>58</v>
      </c>
      <c r="AI555" s="128">
        <v>263</v>
      </c>
      <c r="AJ555" s="129" t="s">
        <v>553</v>
      </c>
      <c r="AK555" s="129">
        <v>6</v>
      </c>
      <c r="AL555" s="3" t="s">
        <v>1334</v>
      </c>
      <c r="AP555" s="129" t="s">
        <v>73</v>
      </c>
      <c r="AR555" s="128" t="s">
        <v>50</v>
      </c>
      <c r="AS555" s="129" t="s">
        <v>74</v>
      </c>
      <c r="BC555" s="129" t="s">
        <v>38</v>
      </c>
      <c r="BF555" s="111">
        <f t="shared" si="428"/>
        <v>107</v>
      </c>
      <c r="BG555" s="111">
        <f t="shared" si="425"/>
        <v>107</v>
      </c>
      <c r="BH555" s="111">
        <f t="shared" si="401"/>
        <v>107</v>
      </c>
      <c r="BI555" s="111">
        <f t="shared" si="402"/>
        <v>47.136612021857921</v>
      </c>
      <c r="BJ555" s="129">
        <f t="shared" si="403"/>
        <v>0</v>
      </c>
      <c r="BK555" s="129">
        <f t="shared" si="404"/>
        <v>0</v>
      </c>
      <c r="BL555" s="129">
        <f t="shared" si="430"/>
        <v>0</v>
      </c>
      <c r="BM555" s="129" t="str">
        <f t="shared" si="406"/>
        <v>NONE</v>
      </c>
      <c r="BN555" s="129" t="s">
        <v>566</v>
      </c>
      <c r="BP555" s="137" t="str">
        <f t="shared" si="407"/>
        <v>NO CONVICTION</v>
      </c>
      <c r="BQ555" s="128" t="str">
        <f t="shared" si="408"/>
        <v>Y</v>
      </c>
      <c r="BR555" s="129" t="str">
        <f t="shared" si="409"/>
        <v>DETAINED</v>
      </c>
      <c r="BS555" s="129" t="str">
        <f t="shared" si="410"/>
        <v>DISPOSED</v>
      </c>
      <c r="BT555" s="129" t="str">
        <f t="shared" si="411"/>
        <v>Y</v>
      </c>
      <c r="BU555" s="109">
        <f>IFERROR(Q555/R555,BR555)</f>
        <v>1</v>
      </c>
      <c r="BV555" s="109">
        <f t="shared" si="413"/>
        <v>1</v>
      </c>
      <c r="BW555" s="109">
        <f t="shared" si="414"/>
        <v>0</v>
      </c>
      <c r="BX555" s="111">
        <f t="shared" si="415"/>
        <v>0</v>
      </c>
      <c r="BY555" s="129">
        <f t="shared" si="416"/>
        <v>-107</v>
      </c>
      <c r="BZ555" s="111">
        <f t="shared" si="417"/>
        <v>0</v>
      </c>
      <c r="CA555" s="138">
        <f t="shared" si="418"/>
        <v>107</v>
      </c>
      <c r="CB555" s="111" t="e">
        <f t="shared" si="429"/>
        <v>#VALUE!</v>
      </c>
      <c r="CC555" s="129">
        <f>G555-I555+1</f>
        <v>107</v>
      </c>
      <c r="CD555" s="129">
        <f>G555-J555</f>
        <v>0</v>
      </c>
      <c r="CE555" s="129">
        <f t="shared" si="419"/>
        <v>0</v>
      </c>
      <c r="CG555" s="129" t="str">
        <f t="shared" si="420"/>
        <v>Y</v>
      </c>
      <c r="CI555" s="129" t="str">
        <f t="shared" si="421"/>
        <v>91-120 DAYS</v>
      </c>
      <c r="CJ555" s="137">
        <f t="shared" si="422"/>
        <v>0</v>
      </c>
      <c r="CK555" s="129" t="str">
        <f t="shared" si="423"/>
        <v>Booked</v>
      </c>
    </row>
    <row r="556" spans="1:89" ht="15.75" customHeight="1" x14ac:dyDescent="0.25">
      <c r="A556" s="111">
        <v>2029</v>
      </c>
      <c r="B556" s="128" t="str">
        <f t="shared" si="397"/>
        <v>N</v>
      </c>
      <c r="C556" s="128" t="str">
        <f t="shared" si="398"/>
        <v>N</v>
      </c>
      <c r="D556" s="117">
        <v>1295645</v>
      </c>
      <c r="E556" s="135">
        <f t="shared" si="399"/>
        <v>4</v>
      </c>
      <c r="F556" s="124">
        <v>40985</v>
      </c>
      <c r="G556" s="125">
        <v>41204</v>
      </c>
      <c r="H556" s="117">
        <v>1295645</v>
      </c>
      <c r="I556" s="124">
        <v>41098</v>
      </c>
      <c r="J556" s="124">
        <v>41204</v>
      </c>
      <c r="K556" s="126">
        <v>5000</v>
      </c>
      <c r="L556" s="127" t="s">
        <v>569</v>
      </c>
      <c r="M556" s="125">
        <v>40986</v>
      </c>
      <c r="N556" s="129" t="str">
        <f>IF(M556&gt;1/1/1,"Y","N")</f>
        <v>Y</v>
      </c>
      <c r="O556" s="128" t="s">
        <v>585</v>
      </c>
      <c r="P556" s="129" t="s">
        <v>39</v>
      </c>
      <c r="Q556" s="111">
        <f t="shared" si="427"/>
        <v>107</v>
      </c>
      <c r="R556" s="111">
        <f t="shared" si="400"/>
        <v>220</v>
      </c>
      <c r="S556" s="129">
        <v>1</v>
      </c>
      <c r="T556" s="129">
        <v>2</v>
      </c>
      <c r="W556" s="111"/>
      <c r="AC556" s="130"/>
      <c r="AD556" s="130">
        <v>25810</v>
      </c>
      <c r="AE556" s="128" t="s">
        <v>32</v>
      </c>
      <c r="AF556" s="128" t="s">
        <v>40</v>
      </c>
      <c r="AG556" s="128" t="s">
        <v>41</v>
      </c>
      <c r="AH556" s="108" t="s">
        <v>41</v>
      </c>
      <c r="AI556" s="128" t="s">
        <v>42</v>
      </c>
      <c r="AJ556" s="129" t="s">
        <v>89</v>
      </c>
      <c r="AK556" s="129">
        <v>10</v>
      </c>
      <c r="AL556" s="3" t="s">
        <v>991</v>
      </c>
      <c r="AO556" s="128">
        <v>180</v>
      </c>
      <c r="AP556" s="129" t="s">
        <v>43</v>
      </c>
      <c r="AR556" s="128" t="s">
        <v>44</v>
      </c>
      <c r="AS556" s="129" t="s">
        <v>45</v>
      </c>
      <c r="AT556" s="129" t="s">
        <v>645</v>
      </c>
      <c r="BC556" s="129" t="s">
        <v>52</v>
      </c>
      <c r="BF556" s="111">
        <f t="shared" si="428"/>
        <v>107</v>
      </c>
      <c r="BG556" s="111">
        <f t="shared" si="425"/>
        <v>107</v>
      </c>
      <c r="BH556" s="111">
        <f t="shared" si="401"/>
        <v>220</v>
      </c>
      <c r="BI556" s="111">
        <f t="shared" si="402"/>
        <v>41.461748633879779</v>
      </c>
      <c r="BJ556" s="129">
        <f>G556-J556</f>
        <v>0</v>
      </c>
      <c r="BK556" s="129">
        <f t="shared" si="404"/>
        <v>0</v>
      </c>
      <c r="BL556" s="129" t="str">
        <f t="shared" si="430"/>
        <v>CONVICTION</v>
      </c>
      <c r="BM556" s="129" t="s">
        <v>76</v>
      </c>
      <c r="BN556" s="129" t="s">
        <v>88</v>
      </c>
      <c r="BP556" s="137" t="str">
        <f t="shared" si="407"/>
        <v>CONVICTION</v>
      </c>
      <c r="BQ556" s="128" t="str">
        <f t="shared" si="408"/>
        <v>Y</v>
      </c>
      <c r="BR556" s="129" t="s">
        <v>575</v>
      </c>
      <c r="BS556" s="129" t="str">
        <f t="shared" si="410"/>
        <v>DISPOSED</v>
      </c>
      <c r="BT556" s="129" t="str">
        <f t="shared" si="411"/>
        <v>Y</v>
      </c>
      <c r="BU556" s="109">
        <f t="shared" si="412"/>
        <v>0.48636363636363639</v>
      </c>
      <c r="BV556" s="109">
        <f t="shared" si="413"/>
        <v>1</v>
      </c>
      <c r="BW556" s="109">
        <f t="shared" si="414"/>
        <v>0.51363636363636367</v>
      </c>
      <c r="BX556" s="111">
        <f t="shared" si="415"/>
        <v>0</v>
      </c>
      <c r="BY556" s="129">
        <f t="shared" si="416"/>
        <v>-107</v>
      </c>
      <c r="BZ556" s="111">
        <f t="shared" si="417"/>
        <v>0</v>
      </c>
      <c r="CA556" s="138">
        <f t="shared" si="418"/>
        <v>-111</v>
      </c>
      <c r="CB556" s="111" t="e">
        <f t="shared" si="429"/>
        <v>#VALUE!</v>
      </c>
      <c r="CC556" s="129">
        <f>M556-I556+1</f>
        <v>-111</v>
      </c>
      <c r="CD556" s="111">
        <f>CC556-BF556</f>
        <v>-218</v>
      </c>
      <c r="CE556" s="129">
        <f t="shared" si="419"/>
        <v>0</v>
      </c>
      <c r="CG556" s="129" t="str">
        <f t="shared" si="420"/>
        <v>Y</v>
      </c>
      <c r="CI556" s="129" t="str">
        <f t="shared" si="421"/>
        <v>91-120 DAYS</v>
      </c>
      <c r="CJ556" s="137">
        <f t="shared" si="422"/>
        <v>0</v>
      </c>
      <c r="CK556" s="129" t="str">
        <f t="shared" si="423"/>
        <v>Booked</v>
      </c>
    </row>
    <row r="557" spans="1:89" ht="15.75" customHeight="1" x14ac:dyDescent="0.25">
      <c r="A557" s="111">
        <v>1641</v>
      </c>
      <c r="B557" s="128" t="str">
        <f t="shared" si="397"/>
        <v>N</v>
      </c>
      <c r="C557" s="128" t="str">
        <f t="shared" si="398"/>
        <v>N</v>
      </c>
      <c r="D557" s="117">
        <v>1295839</v>
      </c>
      <c r="E557" s="135">
        <f t="shared" si="399"/>
        <v>5</v>
      </c>
      <c r="F557" s="124">
        <v>40969</v>
      </c>
      <c r="G557" s="125">
        <v>41184</v>
      </c>
      <c r="H557" s="117">
        <v>1295839</v>
      </c>
      <c r="I557" s="124">
        <v>40969</v>
      </c>
      <c r="J557" s="124">
        <v>40993</v>
      </c>
      <c r="K557" s="126">
        <v>15000</v>
      </c>
      <c r="L557" s="127" t="s">
        <v>571</v>
      </c>
      <c r="M557" s="125">
        <v>40993</v>
      </c>
      <c r="N557" s="129" t="str">
        <f>IF(M557&gt;1/1/1,"Y","N")</f>
        <v>Y</v>
      </c>
      <c r="O557" s="128" t="s">
        <v>585</v>
      </c>
      <c r="P557" s="129" t="s">
        <v>39</v>
      </c>
      <c r="Q557" s="111">
        <f t="shared" si="427"/>
        <v>25</v>
      </c>
      <c r="R557" s="111">
        <f t="shared" si="400"/>
        <v>216</v>
      </c>
      <c r="S557" s="129">
        <v>4</v>
      </c>
      <c r="T557" s="129">
        <v>4</v>
      </c>
      <c r="U557" s="129">
        <v>2</v>
      </c>
      <c r="W557" s="111"/>
      <c r="AC557" s="130"/>
      <c r="AD557" s="130">
        <v>25822</v>
      </c>
      <c r="AE557" s="128" t="s">
        <v>32</v>
      </c>
      <c r="AF557" s="128" t="s">
        <v>33</v>
      </c>
      <c r="AG557" s="128" t="s">
        <v>872</v>
      </c>
      <c r="AH557" s="108" t="s">
        <v>31</v>
      </c>
      <c r="AI557" s="128" t="s">
        <v>71</v>
      </c>
      <c r="AJ557" s="129" t="s">
        <v>89</v>
      </c>
      <c r="AK557" s="129">
        <v>13</v>
      </c>
      <c r="AL557" s="3" t="s">
        <v>992</v>
      </c>
      <c r="AN557" s="117">
        <v>6</v>
      </c>
      <c r="AP557" s="129" t="s">
        <v>43</v>
      </c>
      <c r="AR557" s="128" t="s">
        <v>44</v>
      </c>
      <c r="AS557" s="129" t="s">
        <v>45</v>
      </c>
      <c r="BC557" s="129" t="s">
        <v>52</v>
      </c>
      <c r="BF557" s="111">
        <f t="shared" si="428"/>
        <v>25</v>
      </c>
      <c r="BG557" s="111">
        <f t="shared" si="425"/>
        <v>216</v>
      </c>
      <c r="BH557" s="111">
        <f t="shared" si="401"/>
        <v>216</v>
      </c>
      <c r="BI557" s="111">
        <f t="shared" si="402"/>
        <v>41.385245901639344</v>
      </c>
      <c r="BJ557" s="129">
        <f>(G557-J557)+(M557-G557)</f>
        <v>0</v>
      </c>
      <c r="BK557" s="129">
        <f t="shared" si="404"/>
        <v>-191</v>
      </c>
      <c r="BL557" s="129" t="str">
        <f t="shared" si="430"/>
        <v>CONVICTION</v>
      </c>
      <c r="BM557" s="129" t="s">
        <v>76</v>
      </c>
      <c r="BN557" s="129" t="s">
        <v>88</v>
      </c>
      <c r="BP557" s="137" t="str">
        <f t="shared" si="407"/>
        <v>CONVICTION</v>
      </c>
      <c r="BQ557" s="128" t="str">
        <f t="shared" si="408"/>
        <v>Y</v>
      </c>
      <c r="BR557" s="129" t="str">
        <f>IF(J557&lt;G557,"ON BOND",0)</f>
        <v>ON BOND</v>
      </c>
      <c r="BS557" s="129" t="str">
        <f t="shared" si="410"/>
        <v>DISPOSED</v>
      </c>
      <c r="BT557" s="129" t="str">
        <f t="shared" si="411"/>
        <v>Y</v>
      </c>
      <c r="BU557" s="109">
        <f t="shared" si="412"/>
        <v>0.11574074074074074</v>
      </c>
      <c r="BV557" s="109">
        <f t="shared" si="413"/>
        <v>0.11574074074074074</v>
      </c>
      <c r="BW557" s="109">
        <f t="shared" si="414"/>
        <v>0</v>
      </c>
      <c r="BX557" s="111">
        <f t="shared" si="415"/>
        <v>0</v>
      </c>
      <c r="BY557" s="129">
        <f t="shared" si="416"/>
        <v>-25</v>
      </c>
      <c r="BZ557" s="111">
        <f t="shared" si="417"/>
        <v>0</v>
      </c>
      <c r="CA557" s="138">
        <f t="shared" si="418"/>
        <v>25</v>
      </c>
      <c r="CB557" s="111" t="e">
        <f t="shared" si="429"/>
        <v>#VALUE!</v>
      </c>
      <c r="CC557" s="129">
        <f>M557-I557+1</f>
        <v>25</v>
      </c>
      <c r="CD557" s="111">
        <f>CC557-BF557</f>
        <v>0</v>
      </c>
      <c r="CE557" s="129">
        <f t="shared" si="419"/>
        <v>191</v>
      </c>
      <c r="CG557" s="129" t="str">
        <f t="shared" si="420"/>
        <v>Y</v>
      </c>
      <c r="CI557" s="129" t="str">
        <f t="shared" si="421"/>
        <v>11-30 DAYS</v>
      </c>
      <c r="CJ557" s="137">
        <f t="shared" si="422"/>
        <v>2</v>
      </c>
      <c r="CK557" s="129" t="str">
        <f t="shared" si="423"/>
        <v>Booked</v>
      </c>
    </row>
    <row r="558" spans="1:89" ht="15.75" customHeight="1" x14ac:dyDescent="0.25">
      <c r="A558" s="111">
        <v>672</v>
      </c>
      <c r="B558" s="128" t="str">
        <f t="shared" si="397"/>
        <v>N</v>
      </c>
      <c r="C558" s="128" t="str">
        <f t="shared" si="398"/>
        <v>N</v>
      </c>
      <c r="D558" s="117">
        <v>1296828</v>
      </c>
      <c r="E558" s="135">
        <f t="shared" si="399"/>
        <v>6</v>
      </c>
      <c r="F558" s="124">
        <v>40935</v>
      </c>
      <c r="G558" s="125">
        <v>40974</v>
      </c>
      <c r="H558" s="117">
        <v>1296828</v>
      </c>
      <c r="I558" s="124">
        <v>40935</v>
      </c>
      <c r="J558" s="124">
        <v>40974</v>
      </c>
      <c r="K558" s="126" t="s">
        <v>564</v>
      </c>
      <c r="L558" s="127" t="s">
        <v>564</v>
      </c>
      <c r="N558" s="129" t="s">
        <v>566</v>
      </c>
      <c r="O558" s="128" t="s">
        <v>917</v>
      </c>
      <c r="P558" s="129" t="s">
        <v>39</v>
      </c>
      <c r="Q558" s="111">
        <f t="shared" si="427"/>
        <v>40</v>
      </c>
      <c r="R558" s="111">
        <f t="shared" si="400"/>
        <v>40</v>
      </c>
      <c r="S558" s="129">
        <v>11</v>
      </c>
      <c r="T558" s="129">
        <v>10</v>
      </c>
      <c r="U558" s="129">
        <v>9</v>
      </c>
      <c r="W558" s="111"/>
      <c r="AC558" s="130"/>
      <c r="AD558" s="130">
        <v>27566</v>
      </c>
      <c r="AE558" s="128" t="s">
        <v>32</v>
      </c>
      <c r="AF558" s="128" t="s">
        <v>33</v>
      </c>
      <c r="AG558" s="128" t="s">
        <v>872</v>
      </c>
      <c r="AH558" s="108" t="s">
        <v>58</v>
      </c>
      <c r="AI558" s="128" t="s">
        <v>118</v>
      </c>
      <c r="AJ558" s="129" t="s">
        <v>89</v>
      </c>
      <c r="AK558" s="129">
        <v>2</v>
      </c>
      <c r="AL558" s="3" t="s">
        <v>362</v>
      </c>
      <c r="AM558" s="117">
        <v>8</v>
      </c>
      <c r="AP558" s="129" t="s">
        <v>93</v>
      </c>
      <c r="AR558" s="128" t="s">
        <v>67</v>
      </c>
      <c r="AS558" s="129" t="s">
        <v>45</v>
      </c>
      <c r="BC558" s="129" t="s">
        <v>38</v>
      </c>
      <c r="BF558" s="111">
        <f t="shared" si="428"/>
        <v>40</v>
      </c>
      <c r="BG558" s="111">
        <f t="shared" si="425"/>
        <v>40</v>
      </c>
      <c r="BH558" s="111">
        <f t="shared" si="401"/>
        <v>40</v>
      </c>
      <c r="BI558" s="111">
        <f t="shared" si="402"/>
        <v>36.527322404371581</v>
      </c>
      <c r="BJ558" s="129">
        <f t="shared" si="403"/>
        <v>0</v>
      </c>
      <c r="BK558" s="129">
        <f t="shared" si="404"/>
        <v>0</v>
      </c>
      <c r="BL558" s="129" t="str">
        <f t="shared" si="430"/>
        <v>CONVICTION</v>
      </c>
      <c r="BM558" s="129" t="str">
        <f t="shared" si="406"/>
        <v>NONE</v>
      </c>
      <c r="BN558" s="129" t="s">
        <v>566</v>
      </c>
      <c r="BP558" s="137" t="str">
        <f t="shared" si="407"/>
        <v>CONVICTION</v>
      </c>
      <c r="BQ558" s="128" t="str">
        <f t="shared" si="408"/>
        <v>Y</v>
      </c>
      <c r="BR558" s="129" t="str">
        <f t="shared" si="409"/>
        <v>DETAINED</v>
      </c>
      <c r="BS558" s="129" t="str">
        <f t="shared" si="410"/>
        <v>DISPOSED</v>
      </c>
      <c r="BT558" s="129" t="str">
        <f t="shared" si="411"/>
        <v>Y</v>
      </c>
      <c r="BU558" s="109">
        <f t="shared" si="412"/>
        <v>1</v>
      </c>
      <c r="BV558" s="109">
        <f t="shared" si="413"/>
        <v>1</v>
      </c>
      <c r="BW558" s="109">
        <f t="shared" si="414"/>
        <v>0</v>
      </c>
      <c r="BX558" s="111">
        <f t="shared" si="415"/>
        <v>0</v>
      </c>
      <c r="BY558" s="129">
        <f t="shared" si="416"/>
        <v>-40</v>
      </c>
      <c r="BZ558" s="111">
        <f t="shared" si="417"/>
        <v>0</v>
      </c>
      <c r="CA558" s="138">
        <f t="shared" si="418"/>
        <v>40</v>
      </c>
      <c r="CB558" s="111" t="e">
        <f t="shared" si="429"/>
        <v>#VALUE!</v>
      </c>
      <c r="CC558" s="129">
        <f>G558-I558+1</f>
        <v>40</v>
      </c>
      <c r="CD558" s="129">
        <f>G558-J558</f>
        <v>0</v>
      </c>
      <c r="CE558" s="129">
        <f t="shared" si="419"/>
        <v>0</v>
      </c>
      <c r="CG558" s="129" t="str">
        <f t="shared" si="420"/>
        <v>Y</v>
      </c>
      <c r="CI558" s="129" t="str">
        <f t="shared" si="421"/>
        <v>31-60 DAYS</v>
      </c>
      <c r="CJ558" s="137">
        <f t="shared" si="422"/>
        <v>3</v>
      </c>
      <c r="CK558" s="129" t="str">
        <f t="shared" si="423"/>
        <v>Booked</v>
      </c>
    </row>
    <row r="559" spans="1:89" ht="15.75" customHeight="1" x14ac:dyDescent="0.25">
      <c r="A559" s="111">
        <v>736</v>
      </c>
      <c r="B559" s="128" t="str">
        <f t="shared" si="397"/>
        <v>N</v>
      </c>
      <c r="C559" s="128" t="str">
        <f t="shared" si="398"/>
        <v>N</v>
      </c>
      <c r="D559" s="117">
        <v>1297602</v>
      </c>
      <c r="E559" s="135">
        <f t="shared" si="399"/>
        <v>1</v>
      </c>
      <c r="F559" s="124">
        <v>40937</v>
      </c>
      <c r="G559" s="125">
        <v>41033</v>
      </c>
      <c r="H559" s="117">
        <v>1297602</v>
      </c>
      <c r="I559" s="124">
        <v>40938</v>
      </c>
      <c r="J559" s="124">
        <v>40984</v>
      </c>
      <c r="K559" s="126">
        <v>30000</v>
      </c>
      <c r="L559" s="129" t="s">
        <v>572</v>
      </c>
      <c r="M559" s="125">
        <v>40984</v>
      </c>
      <c r="N559" s="129" t="str">
        <f>IF(M559&gt;1/1/1,"Y","N")</f>
        <v>Y</v>
      </c>
      <c r="O559" s="128" t="s">
        <v>585</v>
      </c>
      <c r="P559" s="129" t="s">
        <v>55</v>
      </c>
      <c r="Q559" s="111">
        <f t="shared" si="427"/>
        <v>47</v>
      </c>
      <c r="R559" s="111">
        <f t="shared" si="400"/>
        <v>97</v>
      </c>
      <c r="S559" s="129">
        <v>1</v>
      </c>
      <c r="T559" s="129">
        <v>2</v>
      </c>
      <c r="V559" s="117">
        <v>1</v>
      </c>
      <c r="W559" s="111"/>
      <c r="AC559" s="130"/>
      <c r="AD559" s="130">
        <v>20361</v>
      </c>
      <c r="AE559" s="128" t="s">
        <v>32</v>
      </c>
      <c r="AF559" s="128" t="s">
        <v>33</v>
      </c>
      <c r="AG559" s="128" t="s">
        <v>872</v>
      </c>
      <c r="AH559" s="108" t="s">
        <v>58</v>
      </c>
      <c r="AI559" s="128" t="s">
        <v>90</v>
      </c>
      <c r="AJ559" s="129" t="s">
        <v>55</v>
      </c>
      <c r="AK559" s="129">
        <v>7</v>
      </c>
      <c r="AL559" s="3" t="s">
        <v>55</v>
      </c>
      <c r="AP559" s="129" t="s">
        <v>130</v>
      </c>
      <c r="AR559" s="128" t="s">
        <v>92</v>
      </c>
      <c r="AS559" s="129" t="s">
        <v>57</v>
      </c>
      <c r="BC559" s="129" t="s">
        <v>52</v>
      </c>
      <c r="BF559" s="111">
        <f t="shared" si="428"/>
        <v>47</v>
      </c>
      <c r="BG559" s="111">
        <f t="shared" si="425"/>
        <v>96</v>
      </c>
      <c r="BH559" s="111">
        <f t="shared" si="401"/>
        <v>97</v>
      </c>
      <c r="BI559" s="111">
        <f t="shared" si="402"/>
        <v>56.21857923497268</v>
      </c>
      <c r="BJ559" s="129">
        <f>(G559-J559)+(M559-G559)</f>
        <v>0</v>
      </c>
      <c r="BK559" s="129">
        <f t="shared" si="404"/>
        <v>-49</v>
      </c>
      <c r="BL559" s="129" t="str">
        <f t="shared" si="430"/>
        <v>NO CONVICTION</v>
      </c>
      <c r="BM559" s="129" t="s">
        <v>76</v>
      </c>
      <c r="BN559" s="129" t="s">
        <v>88</v>
      </c>
      <c r="BP559" s="137" t="str">
        <f t="shared" si="407"/>
        <v>NO CONVICTION</v>
      </c>
      <c r="BQ559" s="128" t="str">
        <f t="shared" si="408"/>
        <v>Y</v>
      </c>
      <c r="BR559" s="129" t="str">
        <f t="shared" si="409"/>
        <v>ON BOND</v>
      </c>
      <c r="BS559" s="129" t="str">
        <f t="shared" si="410"/>
        <v>DISPOSED</v>
      </c>
      <c r="BT559" s="129" t="str">
        <f t="shared" si="411"/>
        <v>Y</v>
      </c>
      <c r="BU559" s="109">
        <f>IFERROR(Q559/R559,BR559)</f>
        <v>0.4845360824742268</v>
      </c>
      <c r="BV559" s="109">
        <f t="shared" si="413"/>
        <v>0.48958333333333331</v>
      </c>
      <c r="BW559" s="109">
        <f t="shared" si="414"/>
        <v>5.0472508591065113E-3</v>
      </c>
      <c r="BX559" s="111">
        <f t="shared" si="415"/>
        <v>0</v>
      </c>
      <c r="BY559" s="129">
        <f t="shared" si="416"/>
        <v>-47</v>
      </c>
      <c r="BZ559" s="111">
        <f t="shared" si="417"/>
        <v>0</v>
      </c>
      <c r="CA559" s="138">
        <f t="shared" si="418"/>
        <v>47</v>
      </c>
      <c r="CB559" s="111" t="e">
        <f t="shared" si="429"/>
        <v>#VALUE!</v>
      </c>
      <c r="CC559" s="129">
        <f>M559-I559+1</f>
        <v>47</v>
      </c>
      <c r="CD559" s="111">
        <f>CC559-BF559</f>
        <v>0</v>
      </c>
      <c r="CE559" s="129">
        <f t="shared" si="419"/>
        <v>49</v>
      </c>
      <c r="CG559" s="129" t="str">
        <f t="shared" si="420"/>
        <v>Y</v>
      </c>
      <c r="CI559" s="129" t="str">
        <f t="shared" si="421"/>
        <v>31-60 DAYS</v>
      </c>
      <c r="CJ559" s="137">
        <f t="shared" si="422"/>
        <v>3</v>
      </c>
      <c r="CK559" s="129" t="str">
        <f t="shared" si="423"/>
        <v>Booked</v>
      </c>
    </row>
    <row r="560" spans="1:89" ht="15.75" customHeight="1" x14ac:dyDescent="0.25">
      <c r="A560" s="111">
        <v>933</v>
      </c>
      <c r="B560" s="128" t="str">
        <f t="shared" si="397"/>
        <v>N</v>
      </c>
      <c r="C560" s="128" t="str">
        <f t="shared" si="398"/>
        <v>N</v>
      </c>
      <c r="D560" s="117">
        <v>1297921</v>
      </c>
      <c r="E560" s="135">
        <f t="shared" si="399"/>
        <v>6</v>
      </c>
      <c r="F560" s="124">
        <v>40943</v>
      </c>
      <c r="G560" s="125">
        <v>40945</v>
      </c>
      <c r="H560" s="117">
        <v>1297921</v>
      </c>
      <c r="I560" s="124">
        <v>40943</v>
      </c>
      <c r="J560" s="124">
        <v>40945</v>
      </c>
      <c r="K560" s="126">
        <v>25000</v>
      </c>
      <c r="L560" s="129" t="s">
        <v>572</v>
      </c>
      <c r="N560" s="129" t="str">
        <f>IF(M560&gt;1/1/1,"Y","N")</f>
        <v>N</v>
      </c>
      <c r="O560" s="128" t="s">
        <v>917</v>
      </c>
      <c r="P560" s="129" t="s">
        <v>39</v>
      </c>
      <c r="Q560" s="111">
        <f t="shared" si="427"/>
        <v>3</v>
      </c>
      <c r="R560" s="111">
        <f t="shared" si="400"/>
        <v>3</v>
      </c>
      <c r="S560" s="129">
        <v>3</v>
      </c>
      <c r="T560" s="129">
        <v>8</v>
      </c>
      <c r="U560" s="129">
        <v>3</v>
      </c>
      <c r="W560" s="111"/>
      <c r="AC560" s="130"/>
      <c r="AD560" s="130">
        <v>27345</v>
      </c>
      <c r="AE560" s="128" t="s">
        <v>32</v>
      </c>
      <c r="AF560" s="128" t="s">
        <v>33</v>
      </c>
      <c r="AG560" s="128" t="s">
        <v>872</v>
      </c>
      <c r="AH560" s="108" t="s">
        <v>31</v>
      </c>
      <c r="AI560" s="128" t="s">
        <v>118</v>
      </c>
      <c r="AJ560" s="129" t="s">
        <v>89</v>
      </c>
      <c r="AK560" s="129">
        <v>1</v>
      </c>
      <c r="AL560" s="3" t="s">
        <v>362</v>
      </c>
      <c r="AM560" s="117">
        <v>2</v>
      </c>
      <c r="AP560" s="129" t="s">
        <v>101</v>
      </c>
      <c r="AR560" s="128" t="s">
        <v>67</v>
      </c>
      <c r="AS560" s="129" t="s">
        <v>64</v>
      </c>
      <c r="BC560" s="129" t="s">
        <v>38</v>
      </c>
      <c r="BF560" s="111">
        <f t="shared" si="428"/>
        <v>3</v>
      </c>
      <c r="BG560" s="111">
        <f t="shared" si="425"/>
        <v>3</v>
      </c>
      <c r="BH560" s="111">
        <f t="shared" si="401"/>
        <v>3</v>
      </c>
      <c r="BI560" s="111">
        <f t="shared" si="402"/>
        <v>37.153005464480877</v>
      </c>
      <c r="BJ560" s="129">
        <f t="shared" si="403"/>
        <v>0</v>
      </c>
      <c r="BK560" s="129">
        <f t="shared" si="404"/>
        <v>0</v>
      </c>
      <c r="BL560" s="129" t="str">
        <f t="shared" si="430"/>
        <v>CONVICTION</v>
      </c>
      <c r="BM560" s="129" t="str">
        <f t="shared" si="406"/>
        <v>NONE</v>
      </c>
      <c r="BN560" s="129" t="s">
        <v>566</v>
      </c>
      <c r="BP560" s="137" t="str">
        <f t="shared" si="407"/>
        <v>CONVICTION</v>
      </c>
      <c r="BQ560" s="128" t="str">
        <f t="shared" si="408"/>
        <v>Y</v>
      </c>
      <c r="BR560" s="129" t="str">
        <f t="shared" si="409"/>
        <v>DETAINED</v>
      </c>
      <c r="BS560" s="129" t="str">
        <f t="shared" si="410"/>
        <v>DISPOSED</v>
      </c>
      <c r="BT560" s="129" t="str">
        <f t="shared" si="411"/>
        <v>Y</v>
      </c>
      <c r="BU560" s="109">
        <f t="shared" si="412"/>
        <v>1</v>
      </c>
      <c r="BV560" s="109">
        <f t="shared" si="413"/>
        <v>1</v>
      </c>
      <c r="BW560" s="109">
        <f t="shared" si="414"/>
        <v>0</v>
      </c>
      <c r="BX560" s="111">
        <f t="shared" si="415"/>
        <v>0</v>
      </c>
      <c r="BY560" s="129">
        <f t="shared" si="416"/>
        <v>-3</v>
      </c>
      <c r="BZ560" s="111">
        <f t="shared" si="417"/>
        <v>0</v>
      </c>
      <c r="CA560" s="138">
        <f t="shared" si="418"/>
        <v>3</v>
      </c>
      <c r="CB560" s="111" t="e">
        <f t="shared" si="429"/>
        <v>#VALUE!</v>
      </c>
      <c r="CC560" s="129">
        <f>G560-I560+1</f>
        <v>3</v>
      </c>
      <c r="CD560" s="129">
        <f>G560-J560</f>
        <v>0</v>
      </c>
      <c r="CE560" s="129">
        <f t="shared" si="419"/>
        <v>0</v>
      </c>
      <c r="CG560" s="129" t="str">
        <f t="shared" si="420"/>
        <v>Y</v>
      </c>
      <c r="CI560" s="129" t="str">
        <f t="shared" si="421"/>
        <v>0-10 DAYS</v>
      </c>
      <c r="CJ560" s="137">
        <f t="shared" si="422"/>
        <v>1</v>
      </c>
      <c r="CK560" s="129" t="str">
        <f t="shared" si="423"/>
        <v>Booked</v>
      </c>
    </row>
    <row r="561" spans="1:89" ht="15.75" customHeight="1" x14ac:dyDescent="0.25">
      <c r="A561" s="111">
        <v>2894</v>
      </c>
      <c r="B561" s="128" t="str">
        <f t="shared" si="397"/>
        <v>N</v>
      </c>
      <c r="C561" s="128" t="str">
        <f t="shared" si="398"/>
        <v>N</v>
      </c>
      <c r="D561" s="117">
        <v>1301396</v>
      </c>
      <c r="E561" s="135">
        <f t="shared" si="399"/>
        <v>6</v>
      </c>
      <c r="F561" s="124">
        <v>41016</v>
      </c>
      <c r="G561" s="125">
        <v>41260</v>
      </c>
      <c r="H561" s="117">
        <v>1301396</v>
      </c>
      <c r="I561" s="124" t="s">
        <v>562</v>
      </c>
      <c r="J561" s="124" t="s">
        <v>562</v>
      </c>
      <c r="K561" s="126">
        <v>10000</v>
      </c>
      <c r="L561" s="127" t="s">
        <v>570</v>
      </c>
      <c r="M561" s="125">
        <v>41045</v>
      </c>
      <c r="N561" s="129" t="str">
        <f>IF(M561&gt;1/1/1,"Y",IF(Q561="0","","N"))</f>
        <v>Y</v>
      </c>
      <c r="O561" s="128" t="s">
        <v>76</v>
      </c>
      <c r="P561" s="129" t="s">
        <v>39</v>
      </c>
      <c r="Q561" s="111">
        <f t="shared" si="427"/>
        <v>0</v>
      </c>
      <c r="R561" s="111">
        <f t="shared" si="400"/>
        <v>245</v>
      </c>
      <c r="S561" s="129">
        <v>6</v>
      </c>
      <c r="T561" s="129">
        <v>9</v>
      </c>
      <c r="U561" s="129">
        <v>3</v>
      </c>
      <c r="W561" s="111"/>
      <c r="AC561" s="130"/>
      <c r="AD561" s="130">
        <v>23830</v>
      </c>
      <c r="AE561" s="128" t="s">
        <v>32</v>
      </c>
      <c r="AF561" s="128" t="s">
        <v>69</v>
      </c>
      <c r="AG561" s="128" t="s">
        <v>874</v>
      </c>
      <c r="AH561" s="108" t="s">
        <v>58</v>
      </c>
      <c r="AI561" s="128" t="s">
        <v>47</v>
      </c>
      <c r="AJ561" s="129" t="s">
        <v>89</v>
      </c>
      <c r="AK561" s="129">
        <v>9</v>
      </c>
      <c r="AL561" s="3" t="s">
        <v>362</v>
      </c>
      <c r="AM561" s="117">
        <v>12</v>
      </c>
      <c r="AP561" s="129" t="s">
        <v>66</v>
      </c>
      <c r="AR561" s="128" t="s">
        <v>67</v>
      </c>
      <c r="AS561" s="129" t="s">
        <v>68</v>
      </c>
      <c r="AT561" s="129" t="s">
        <v>1409</v>
      </c>
      <c r="BC561" s="129" t="s">
        <v>52</v>
      </c>
      <c r="BF561" s="111">
        <v>0</v>
      </c>
      <c r="BG561" s="111">
        <v>0</v>
      </c>
      <c r="BH561" s="111">
        <f t="shared" si="401"/>
        <v>245</v>
      </c>
      <c r="BI561" s="111">
        <f t="shared" si="402"/>
        <v>46.956284153005463</v>
      </c>
      <c r="BJ561" s="129" t="e">
        <f>(G561-J561)+(M561-G561)</f>
        <v>#VALUE!</v>
      </c>
      <c r="BK561" s="129" t="e">
        <f t="shared" si="404"/>
        <v>#VALUE!</v>
      </c>
      <c r="BL561" s="129" t="str">
        <f t="shared" si="430"/>
        <v>CONVICTION</v>
      </c>
      <c r="BM561" s="129" t="s">
        <v>76</v>
      </c>
      <c r="BN561" s="129" t="s">
        <v>88</v>
      </c>
      <c r="BP561" s="137" t="str">
        <f t="shared" si="407"/>
        <v>CONVICTION</v>
      </c>
      <c r="BQ561" s="128">
        <f t="shared" si="408"/>
        <v>0</v>
      </c>
      <c r="BR561" s="129" t="s">
        <v>575</v>
      </c>
      <c r="BS561" s="129" t="str">
        <f t="shared" si="410"/>
        <v>DISPOSED</v>
      </c>
      <c r="BT561" s="129" t="str">
        <f t="shared" si="411"/>
        <v>Y</v>
      </c>
      <c r="BU561" s="109">
        <f t="shared" si="412"/>
        <v>0</v>
      </c>
      <c r="BV561" s="109">
        <v>0</v>
      </c>
      <c r="BW561" s="109">
        <f t="shared" si="414"/>
        <v>0</v>
      </c>
      <c r="BX561" s="111">
        <f t="shared" si="415"/>
        <v>0</v>
      </c>
      <c r="BY561" s="129" t="e">
        <f t="shared" si="416"/>
        <v>#VALUE!</v>
      </c>
      <c r="BZ561" s="111" t="e">
        <f t="shared" si="417"/>
        <v>#VALUE!</v>
      </c>
      <c r="CA561" s="138" t="e">
        <f t="shared" si="418"/>
        <v>#VALUE!</v>
      </c>
      <c r="CB561" s="111">
        <v>0</v>
      </c>
      <c r="CC561" s="129">
        <v>0</v>
      </c>
      <c r="CD561" s="111">
        <f>CC561-BF561</f>
        <v>0</v>
      </c>
      <c r="CE561" s="129" t="e">
        <f t="shared" si="419"/>
        <v>#VALUE!</v>
      </c>
      <c r="CG561" s="129" t="str">
        <f t="shared" si="420"/>
        <v>Y</v>
      </c>
      <c r="CI561" s="129" t="str">
        <f t="shared" si="421"/>
        <v>0-10 DAYS</v>
      </c>
      <c r="CJ561" s="137">
        <f t="shared" si="422"/>
        <v>1</v>
      </c>
      <c r="CK561" s="129" t="str">
        <f t="shared" si="423"/>
        <v>Not Booked</v>
      </c>
    </row>
    <row r="562" spans="1:89" ht="15" customHeight="1" x14ac:dyDescent="0.25">
      <c r="A562" s="111">
        <v>2996</v>
      </c>
      <c r="B562" s="128" t="str">
        <f t="shared" si="397"/>
        <v>N</v>
      </c>
      <c r="C562" s="128" t="str">
        <f t="shared" si="398"/>
        <v>N</v>
      </c>
      <c r="D562" s="117">
        <v>1302165</v>
      </c>
      <c r="E562" s="135">
        <f t="shared" si="399"/>
        <v>1</v>
      </c>
      <c r="F562" s="124">
        <v>41019</v>
      </c>
      <c r="G562" s="125">
        <v>41281</v>
      </c>
      <c r="H562" s="117">
        <v>1302165</v>
      </c>
      <c r="I562" s="124" t="s">
        <v>562</v>
      </c>
      <c r="J562" s="124" t="s">
        <v>562</v>
      </c>
      <c r="K562" s="126">
        <v>2000</v>
      </c>
      <c r="L562" s="127" t="s">
        <v>568</v>
      </c>
      <c r="M562" s="125">
        <v>41025</v>
      </c>
      <c r="N562" s="129" t="str">
        <f>IF(M562&gt;1/1/1,"Y",IF(Q562="0","","N"))</f>
        <v>Y</v>
      </c>
      <c r="O562" s="128" t="s">
        <v>76</v>
      </c>
      <c r="P562" s="129" t="s">
        <v>55</v>
      </c>
      <c r="Q562" s="111">
        <f t="shared" si="427"/>
        <v>0</v>
      </c>
      <c r="R562" s="111">
        <f t="shared" si="400"/>
        <v>263</v>
      </c>
      <c r="S562" s="129">
        <v>0</v>
      </c>
      <c r="T562" s="129">
        <v>3</v>
      </c>
      <c r="W562" s="111"/>
      <c r="AC562" s="130"/>
      <c r="AD562" s="130">
        <v>24136</v>
      </c>
      <c r="AE562" s="128" t="s">
        <v>32</v>
      </c>
      <c r="AF562" s="128" t="s">
        <v>40</v>
      </c>
      <c r="AG562" s="128" t="s">
        <v>41</v>
      </c>
      <c r="AH562" s="108" t="s">
        <v>41</v>
      </c>
      <c r="AI562" s="128" t="s">
        <v>118</v>
      </c>
      <c r="AJ562" s="129" t="s">
        <v>55</v>
      </c>
      <c r="AK562" s="129">
        <v>9</v>
      </c>
      <c r="AL562" s="3" t="s">
        <v>55</v>
      </c>
      <c r="AP562" s="129" t="s">
        <v>108</v>
      </c>
      <c r="AR562" s="128" t="s">
        <v>44</v>
      </c>
      <c r="AS562" s="129" t="s">
        <v>61</v>
      </c>
      <c r="AX562" s="32"/>
      <c r="BC562" s="129" t="s">
        <v>52</v>
      </c>
      <c r="BF562" s="111">
        <v>0</v>
      </c>
      <c r="BG562" s="111">
        <v>0</v>
      </c>
      <c r="BH562" s="111">
        <f t="shared" si="401"/>
        <v>263</v>
      </c>
      <c r="BI562" s="111">
        <f t="shared" si="402"/>
        <v>46.12841530054645</v>
      </c>
      <c r="BJ562" s="129" t="e">
        <f>(G562-J562)+(M562-G562)</f>
        <v>#VALUE!</v>
      </c>
      <c r="BK562" s="129" t="e">
        <f t="shared" si="404"/>
        <v>#VALUE!</v>
      </c>
      <c r="BL562" s="129" t="str">
        <f t="shared" si="430"/>
        <v>NO CONVICTION</v>
      </c>
      <c r="BM562" s="129" t="s">
        <v>76</v>
      </c>
      <c r="BN562" s="129" t="s">
        <v>88</v>
      </c>
      <c r="BP562" s="137" t="str">
        <f t="shared" si="407"/>
        <v>NO CONVICTION</v>
      </c>
      <c r="BQ562" s="128">
        <f t="shared" si="408"/>
        <v>0</v>
      </c>
      <c r="BR562" s="129" t="s">
        <v>575</v>
      </c>
      <c r="BS562" s="129" t="str">
        <f t="shared" si="410"/>
        <v>DISPOSED</v>
      </c>
      <c r="BT562" s="129" t="str">
        <f t="shared" si="411"/>
        <v>N</v>
      </c>
      <c r="BU562" s="109">
        <f>IFERROR(Q562/R562,BR562)</f>
        <v>0</v>
      </c>
      <c r="BV562" s="109">
        <v>0</v>
      </c>
      <c r="BW562" s="109">
        <f t="shared" si="414"/>
        <v>0</v>
      </c>
      <c r="BX562" s="111">
        <f t="shared" si="415"/>
        <v>0</v>
      </c>
      <c r="BY562" s="129" t="e">
        <f t="shared" si="416"/>
        <v>#VALUE!</v>
      </c>
      <c r="BZ562" s="111" t="e">
        <f t="shared" si="417"/>
        <v>#VALUE!</v>
      </c>
      <c r="CA562" s="138" t="e">
        <f t="shared" si="418"/>
        <v>#VALUE!</v>
      </c>
      <c r="CB562" s="111">
        <v>0</v>
      </c>
      <c r="CC562" s="129">
        <v>0</v>
      </c>
      <c r="CD562" s="111">
        <f>CC562-BF562</f>
        <v>0</v>
      </c>
      <c r="CE562" s="129" t="e">
        <f t="shared" si="419"/>
        <v>#VALUE!</v>
      </c>
      <c r="CG562" s="129" t="str">
        <f t="shared" si="420"/>
        <v>Y</v>
      </c>
      <c r="CI562" s="129" t="str">
        <f t="shared" si="421"/>
        <v>0-10 DAYS</v>
      </c>
      <c r="CJ562" s="137">
        <f t="shared" si="422"/>
        <v>1</v>
      </c>
      <c r="CK562" s="129" t="str">
        <f t="shared" si="423"/>
        <v>Not Booked</v>
      </c>
    </row>
    <row r="563" spans="1:89" ht="15.75" customHeight="1" x14ac:dyDescent="0.25">
      <c r="A563" s="111">
        <v>2837</v>
      </c>
      <c r="B563" s="128" t="str">
        <f t="shared" si="397"/>
        <v>N</v>
      </c>
      <c r="C563" s="128" t="str">
        <f t="shared" si="398"/>
        <v>N</v>
      </c>
      <c r="D563" s="117">
        <v>1302584</v>
      </c>
      <c r="E563" s="135">
        <f t="shared" si="399"/>
        <v>2</v>
      </c>
      <c r="F563" s="124">
        <v>41013</v>
      </c>
      <c r="G563" s="125">
        <v>41169</v>
      </c>
      <c r="H563" s="117">
        <v>1302584</v>
      </c>
      <c r="I563" s="124">
        <v>41013</v>
      </c>
      <c r="J563" s="124">
        <v>41169</v>
      </c>
      <c r="K563" s="126">
        <v>30000</v>
      </c>
      <c r="L563" s="129" t="s">
        <v>572</v>
      </c>
      <c r="N563" s="129" t="str">
        <f>IF(M563&gt;1/1/1,"Y","N")</f>
        <v>N</v>
      </c>
      <c r="O563" s="128" t="s">
        <v>917</v>
      </c>
      <c r="P563" s="129" t="s">
        <v>589</v>
      </c>
      <c r="Q563" s="111">
        <f t="shared" si="427"/>
        <v>157</v>
      </c>
      <c r="R563" s="111">
        <f t="shared" si="400"/>
        <v>157</v>
      </c>
      <c r="S563" s="129">
        <v>2</v>
      </c>
      <c r="T563" s="129">
        <v>2</v>
      </c>
      <c r="W563" s="111"/>
      <c r="AC563" s="130"/>
      <c r="AD563" s="130">
        <v>20684</v>
      </c>
      <c r="AE563" s="128" t="s">
        <v>46</v>
      </c>
      <c r="AF563" s="128" t="s">
        <v>33</v>
      </c>
      <c r="AG563" s="128" t="s">
        <v>872</v>
      </c>
      <c r="AH563" s="108" t="s">
        <v>31</v>
      </c>
      <c r="AI563" s="128" t="s">
        <v>87</v>
      </c>
      <c r="AJ563" s="129" t="s">
        <v>48</v>
      </c>
      <c r="AK563" s="129">
        <v>9</v>
      </c>
      <c r="AL563" s="3" t="s">
        <v>48</v>
      </c>
      <c r="AP563" s="129" t="s">
        <v>110</v>
      </c>
      <c r="AR563" s="128" t="s">
        <v>50</v>
      </c>
      <c r="AS563" s="129" t="s">
        <v>74</v>
      </c>
      <c r="BC563" s="129" t="s">
        <v>38</v>
      </c>
      <c r="BF563" s="111">
        <f>IF(J563&gt;1/1/1900,((J563+1)-I563),"STILL OPEN")</f>
        <v>157</v>
      </c>
      <c r="BG563" s="111">
        <f>IF(G563&gt;1/1/1900,((G563+1)-I563),"STILL OPEN")</f>
        <v>157</v>
      </c>
      <c r="BH563" s="111">
        <f t="shared" si="401"/>
        <v>157</v>
      </c>
      <c r="BI563" s="111">
        <f t="shared" si="402"/>
        <v>55.543715846994537</v>
      </c>
      <c r="BJ563" s="129">
        <f t="shared" si="403"/>
        <v>0</v>
      </c>
      <c r="BK563" s="129">
        <f t="shared" si="404"/>
        <v>0</v>
      </c>
      <c r="BL563" s="129" t="str">
        <f t="shared" si="430"/>
        <v>DEFERRED</v>
      </c>
      <c r="BM563" s="129" t="str">
        <f t="shared" si="406"/>
        <v>NONE</v>
      </c>
      <c r="BN563" s="129" t="s">
        <v>566</v>
      </c>
      <c r="BP563" s="137" t="str">
        <f t="shared" si="407"/>
        <v>DEFERRED</v>
      </c>
      <c r="BQ563" s="128" t="str">
        <f t="shared" si="408"/>
        <v>Y</v>
      </c>
      <c r="BR563" s="129" t="str">
        <f t="shared" si="409"/>
        <v>DETAINED</v>
      </c>
      <c r="BS563" s="129" t="str">
        <f t="shared" si="410"/>
        <v>DISPOSED</v>
      </c>
      <c r="BT563" s="129" t="str">
        <f t="shared" si="411"/>
        <v>Y</v>
      </c>
      <c r="BU563" s="109">
        <f t="shared" si="412"/>
        <v>1</v>
      </c>
      <c r="BV563" s="109">
        <f t="shared" si="413"/>
        <v>1</v>
      </c>
      <c r="BW563" s="109">
        <f t="shared" si="414"/>
        <v>0</v>
      </c>
      <c r="BX563" s="111">
        <f t="shared" si="415"/>
        <v>0</v>
      </c>
      <c r="BY563" s="129">
        <f t="shared" si="416"/>
        <v>-157</v>
      </c>
      <c r="BZ563" s="111">
        <f t="shared" si="417"/>
        <v>0</v>
      </c>
      <c r="CA563" s="138">
        <f t="shared" si="418"/>
        <v>157</v>
      </c>
      <c r="CB563" s="111" t="e">
        <f>IF(AF563&gt;1/1/1900,((AF563+1)-AE563),"STILL OPEN")</f>
        <v>#VALUE!</v>
      </c>
      <c r="CC563" s="129">
        <f>G563-I563+1</f>
        <v>157</v>
      </c>
      <c r="CD563" s="129">
        <f>G563-J563</f>
        <v>0</v>
      </c>
      <c r="CE563" s="129">
        <f t="shared" si="419"/>
        <v>0</v>
      </c>
      <c r="CG563" s="129" t="str">
        <f t="shared" si="420"/>
        <v>Y</v>
      </c>
      <c r="CI563" s="129" t="str">
        <f t="shared" si="421"/>
        <v>121-365 DAYS</v>
      </c>
      <c r="CJ563" s="137">
        <f t="shared" si="422"/>
        <v>6</v>
      </c>
      <c r="CK563" s="129" t="str">
        <f t="shared" si="423"/>
        <v>Booked</v>
      </c>
    </row>
    <row r="564" spans="1:89" ht="15.75" customHeight="1" x14ac:dyDescent="0.25">
      <c r="A564" s="111">
        <v>3148</v>
      </c>
      <c r="B564" s="128" t="str">
        <f t="shared" si="397"/>
        <v>N</v>
      </c>
      <c r="C564" s="128" t="str">
        <f t="shared" si="398"/>
        <v>N</v>
      </c>
      <c r="D564" s="117">
        <v>1302709</v>
      </c>
      <c r="E564" s="135">
        <f t="shared" si="399"/>
        <v>5</v>
      </c>
      <c r="F564" s="124">
        <v>41025</v>
      </c>
      <c r="G564" s="125">
        <v>41026</v>
      </c>
      <c r="H564" s="117">
        <v>1302709</v>
      </c>
      <c r="I564" s="124">
        <v>41025</v>
      </c>
      <c r="J564" s="124">
        <v>41026</v>
      </c>
      <c r="K564" s="126">
        <v>15000</v>
      </c>
      <c r="L564" s="127" t="s">
        <v>571</v>
      </c>
      <c r="N564" s="129" t="str">
        <f>IF(M564&gt;1/1/1,"Y","N")</f>
        <v>N</v>
      </c>
      <c r="O564" s="128" t="s">
        <v>917</v>
      </c>
      <c r="P564" s="129" t="s">
        <v>39</v>
      </c>
      <c r="Q564" s="111">
        <f t="shared" si="427"/>
        <v>2</v>
      </c>
      <c r="R564" s="111">
        <f t="shared" si="400"/>
        <v>2</v>
      </c>
      <c r="S564" s="129">
        <v>5</v>
      </c>
      <c r="T564" s="129">
        <v>9</v>
      </c>
      <c r="U564" s="129">
        <v>2</v>
      </c>
      <c r="W564" s="111"/>
      <c r="AC564" s="130"/>
      <c r="AD564" s="130">
        <v>27624</v>
      </c>
      <c r="AE564" s="128" t="s">
        <v>32</v>
      </c>
      <c r="AF564" s="128" t="s">
        <v>33</v>
      </c>
      <c r="AG564" s="128" t="s">
        <v>872</v>
      </c>
      <c r="AH564" s="108" t="s">
        <v>58</v>
      </c>
      <c r="AI564" s="128" t="s">
        <v>85</v>
      </c>
      <c r="AJ564" s="129" t="s">
        <v>89</v>
      </c>
      <c r="AK564" s="129">
        <v>1</v>
      </c>
      <c r="AL564" s="3" t="s">
        <v>992</v>
      </c>
      <c r="AN564" s="117">
        <v>6</v>
      </c>
      <c r="AP564" s="129" t="s">
        <v>127</v>
      </c>
      <c r="AR564" s="128" t="s">
        <v>44</v>
      </c>
      <c r="AS564" s="129" t="s">
        <v>82</v>
      </c>
      <c r="BC564" s="129" t="s">
        <v>38</v>
      </c>
      <c r="BF564" s="111">
        <f>IF(J564&gt;1/1/1900,((J564+1)-I564),"STILL OPEN")</f>
        <v>2</v>
      </c>
      <c r="BG564" s="111">
        <f>IF(G564&gt;1/1/1900,((G564+1)-I564),"STILL OPEN")</f>
        <v>2</v>
      </c>
      <c r="BH564" s="111">
        <f t="shared" si="401"/>
        <v>2</v>
      </c>
      <c r="BI564" s="111">
        <f t="shared" si="402"/>
        <v>36.614754098360656</v>
      </c>
      <c r="BJ564" s="129">
        <f t="shared" si="403"/>
        <v>0</v>
      </c>
      <c r="BK564" s="129">
        <f t="shared" si="404"/>
        <v>0</v>
      </c>
      <c r="BL564" s="129" t="str">
        <f t="shared" si="430"/>
        <v>CONVICTION</v>
      </c>
      <c r="BM564" s="129" t="str">
        <f t="shared" si="406"/>
        <v>NONE</v>
      </c>
      <c r="BN564" s="129" t="s">
        <v>566</v>
      </c>
      <c r="BP564" s="137" t="str">
        <f t="shared" si="407"/>
        <v>CONVICTION</v>
      </c>
      <c r="BQ564" s="128" t="str">
        <f t="shared" si="408"/>
        <v>Y</v>
      </c>
      <c r="BR564" s="129" t="str">
        <f t="shared" si="409"/>
        <v>DETAINED</v>
      </c>
      <c r="BS564" s="129" t="str">
        <f t="shared" si="410"/>
        <v>DISPOSED</v>
      </c>
      <c r="BT564" s="129" t="str">
        <f t="shared" si="411"/>
        <v>Y</v>
      </c>
      <c r="BU564" s="109">
        <f t="shared" si="412"/>
        <v>1</v>
      </c>
      <c r="BV564" s="109">
        <f t="shared" si="413"/>
        <v>1</v>
      </c>
      <c r="BW564" s="109">
        <f t="shared" si="414"/>
        <v>0</v>
      </c>
      <c r="BX564" s="111">
        <f t="shared" si="415"/>
        <v>0</v>
      </c>
      <c r="BY564" s="129">
        <f t="shared" si="416"/>
        <v>-2</v>
      </c>
      <c r="BZ564" s="111">
        <f t="shared" si="417"/>
        <v>0</v>
      </c>
      <c r="CA564" s="138">
        <f t="shared" si="418"/>
        <v>2</v>
      </c>
      <c r="CB564" s="111" t="e">
        <f>IF(AF564&gt;1/1/1900,((AF564+1)-AE564),"STILL OPEN")</f>
        <v>#VALUE!</v>
      </c>
      <c r="CC564" s="129">
        <f>G564-I564+1</f>
        <v>2</v>
      </c>
      <c r="CD564" s="129">
        <f>G564-J564</f>
        <v>0</v>
      </c>
      <c r="CE564" s="129">
        <f t="shared" si="419"/>
        <v>0</v>
      </c>
      <c r="CG564" s="129" t="str">
        <f t="shared" si="420"/>
        <v>Y</v>
      </c>
      <c r="CI564" s="129" t="str">
        <f t="shared" si="421"/>
        <v>0-10 DAYS</v>
      </c>
      <c r="CJ564" s="137">
        <f t="shared" si="422"/>
        <v>1</v>
      </c>
      <c r="CK564" s="129" t="str">
        <f t="shared" si="423"/>
        <v>Booked</v>
      </c>
    </row>
    <row r="565" spans="1:89" ht="15.75" customHeight="1" x14ac:dyDescent="0.25">
      <c r="A565" s="111">
        <v>2438</v>
      </c>
      <c r="B565" s="128" t="str">
        <f t="shared" si="397"/>
        <v>N</v>
      </c>
      <c r="C565" s="128" t="str">
        <f t="shared" si="398"/>
        <v>N</v>
      </c>
      <c r="D565" s="117">
        <v>1303202</v>
      </c>
      <c r="E565" s="135">
        <f t="shared" si="399"/>
        <v>5</v>
      </c>
      <c r="F565" s="124">
        <v>41000</v>
      </c>
      <c r="G565" s="125">
        <v>41002</v>
      </c>
      <c r="H565" s="117">
        <v>1303202</v>
      </c>
      <c r="I565" s="124">
        <v>41000</v>
      </c>
      <c r="J565" s="124">
        <v>41002</v>
      </c>
      <c r="K565" s="126">
        <v>15000</v>
      </c>
      <c r="L565" s="127" t="s">
        <v>571</v>
      </c>
      <c r="N565" s="129" t="str">
        <f>IF(M565&gt;1/1/1,"Y","N")</f>
        <v>N</v>
      </c>
      <c r="O565" s="128" t="s">
        <v>917</v>
      </c>
      <c r="P565" s="129" t="s">
        <v>39</v>
      </c>
      <c r="Q565" s="111">
        <f t="shared" si="427"/>
        <v>3</v>
      </c>
      <c r="R565" s="111">
        <f t="shared" si="400"/>
        <v>3</v>
      </c>
      <c r="S565" s="129">
        <v>2</v>
      </c>
      <c r="T565" s="129">
        <v>0</v>
      </c>
      <c r="U565" s="129">
        <v>1</v>
      </c>
      <c r="W565" s="111"/>
      <c r="AC565" s="130"/>
      <c r="AD565" s="130">
        <v>26404</v>
      </c>
      <c r="AE565" s="128" t="s">
        <v>32</v>
      </c>
      <c r="AF565" s="128" t="s">
        <v>69</v>
      </c>
      <c r="AG565" s="128" t="s">
        <v>874</v>
      </c>
      <c r="AH565" s="108" t="s">
        <v>58</v>
      </c>
      <c r="AI565" s="128" t="s">
        <v>34</v>
      </c>
      <c r="AJ565" s="129" t="s">
        <v>89</v>
      </c>
      <c r="AK565" s="129">
        <v>1</v>
      </c>
      <c r="AL565" s="3" t="s">
        <v>992</v>
      </c>
      <c r="AN565" s="117">
        <v>6</v>
      </c>
      <c r="AP565" s="129" t="s">
        <v>43</v>
      </c>
      <c r="AR565" s="128" t="s">
        <v>44</v>
      </c>
      <c r="AS565" s="129" t="s">
        <v>45</v>
      </c>
      <c r="BC565" s="129" t="s">
        <v>38</v>
      </c>
      <c r="BF565" s="111">
        <f>IF(J565&gt;1/1/1900,((J565+1)-I565),"STILL OPEN")</f>
        <v>3</v>
      </c>
      <c r="BG565" s="111">
        <f>IF(G565&gt;1/1/1900,((G565+1)-I565),"STILL OPEN")</f>
        <v>3</v>
      </c>
      <c r="BH565" s="111">
        <f t="shared" si="401"/>
        <v>3</v>
      </c>
      <c r="BI565" s="111">
        <f t="shared" si="402"/>
        <v>39.879781420765028</v>
      </c>
      <c r="BJ565" s="129">
        <f t="shared" si="403"/>
        <v>0</v>
      </c>
      <c r="BK565" s="129">
        <f t="shared" si="404"/>
        <v>0</v>
      </c>
      <c r="BL565" s="129" t="str">
        <f t="shared" si="430"/>
        <v>CONVICTION</v>
      </c>
      <c r="BM565" s="129" t="str">
        <f t="shared" si="406"/>
        <v>NONE</v>
      </c>
      <c r="BN565" s="129" t="s">
        <v>566</v>
      </c>
      <c r="BP565" s="137" t="str">
        <f t="shared" si="407"/>
        <v>CONVICTION</v>
      </c>
      <c r="BQ565" s="128" t="str">
        <f t="shared" si="408"/>
        <v>Y</v>
      </c>
      <c r="BR565" s="129" t="str">
        <f t="shared" si="409"/>
        <v>DETAINED</v>
      </c>
      <c r="BS565" s="129" t="str">
        <f t="shared" si="410"/>
        <v>DISPOSED</v>
      </c>
      <c r="BT565" s="129" t="str">
        <f t="shared" si="411"/>
        <v>Y</v>
      </c>
      <c r="BU565" s="109">
        <f t="shared" si="412"/>
        <v>1</v>
      </c>
      <c r="BV565" s="109">
        <f t="shared" si="413"/>
        <v>1</v>
      </c>
      <c r="BW565" s="109">
        <f t="shared" si="414"/>
        <v>0</v>
      </c>
      <c r="BX565" s="111">
        <f t="shared" si="415"/>
        <v>0</v>
      </c>
      <c r="BY565" s="129">
        <f t="shared" si="416"/>
        <v>-3</v>
      </c>
      <c r="BZ565" s="111">
        <f t="shared" si="417"/>
        <v>0</v>
      </c>
      <c r="CA565" s="138">
        <f t="shared" si="418"/>
        <v>3</v>
      </c>
      <c r="CB565" s="111" t="e">
        <f>IF(AF565&gt;1/1/1900,((AF565+1)-AE565),"STILL OPEN")</f>
        <v>#VALUE!</v>
      </c>
      <c r="CC565" s="129">
        <f>G565-I565+1</f>
        <v>3</v>
      </c>
      <c r="CD565" s="129">
        <f>G565-J565</f>
        <v>0</v>
      </c>
      <c r="CE565" s="129">
        <f t="shared" si="419"/>
        <v>0</v>
      </c>
      <c r="CG565" s="129" t="str">
        <f t="shared" si="420"/>
        <v>Y</v>
      </c>
      <c r="CI565" s="129" t="str">
        <f t="shared" si="421"/>
        <v>0-10 DAYS</v>
      </c>
      <c r="CJ565" s="137">
        <f t="shared" si="422"/>
        <v>1</v>
      </c>
      <c r="CK565" s="129" t="str">
        <f t="shared" si="423"/>
        <v>Booked</v>
      </c>
    </row>
    <row r="566" spans="1:89" ht="15.75" customHeight="1" x14ac:dyDescent="0.25">
      <c r="A566" s="111">
        <v>422</v>
      </c>
      <c r="B566" s="128" t="str">
        <f t="shared" si="397"/>
        <v>N</v>
      </c>
      <c r="C566" s="128" t="str">
        <f t="shared" si="398"/>
        <v>N</v>
      </c>
      <c r="D566" s="117">
        <v>1303511</v>
      </c>
      <c r="E566" s="135">
        <f t="shared" si="399"/>
        <v>2</v>
      </c>
      <c r="F566" s="124">
        <v>40926</v>
      </c>
      <c r="G566" s="125">
        <v>41367</v>
      </c>
      <c r="H566" s="117">
        <v>1303511</v>
      </c>
      <c r="I566" s="124">
        <v>41092</v>
      </c>
      <c r="J566" s="124">
        <v>41093</v>
      </c>
      <c r="K566" s="126">
        <v>2000</v>
      </c>
      <c r="L566" s="127" t="s">
        <v>568</v>
      </c>
      <c r="M566" s="125">
        <v>41093</v>
      </c>
      <c r="N566" s="129" t="str">
        <f>IF(M566&gt;1/1/1,"Y","N")</f>
        <v>Y</v>
      </c>
      <c r="O566" s="128" t="s">
        <v>76</v>
      </c>
      <c r="P566" s="129" t="s">
        <v>589</v>
      </c>
      <c r="Q566" s="111">
        <f t="shared" si="427"/>
        <v>2</v>
      </c>
      <c r="R566" s="111">
        <f t="shared" si="400"/>
        <v>442</v>
      </c>
      <c r="S566" s="129">
        <v>0</v>
      </c>
      <c r="T566" s="129">
        <v>0</v>
      </c>
      <c r="W566" s="111"/>
      <c r="AC566" s="130"/>
      <c r="AD566" s="130">
        <v>26344</v>
      </c>
      <c r="AE566" s="128" t="s">
        <v>46</v>
      </c>
      <c r="AF566" s="128" t="s">
        <v>33</v>
      </c>
      <c r="AG566" s="128" t="s">
        <v>872</v>
      </c>
      <c r="AH566" s="108" t="s">
        <v>31</v>
      </c>
      <c r="AI566" s="128" t="s">
        <v>42</v>
      </c>
      <c r="AJ566" s="129" t="s">
        <v>48</v>
      </c>
      <c r="AK566" s="129">
        <v>14</v>
      </c>
      <c r="AL566" s="3" t="s">
        <v>48</v>
      </c>
      <c r="AP566" s="129" t="s">
        <v>98</v>
      </c>
      <c r="AR566" s="128" t="s">
        <v>44</v>
      </c>
      <c r="AS566" s="129" t="s">
        <v>64</v>
      </c>
      <c r="BC566" s="129" t="s">
        <v>52</v>
      </c>
      <c r="BF566" s="111">
        <f>IF(J566&gt;1/1/1900,((J566+1)-I566),"STILL OPEN")</f>
        <v>2</v>
      </c>
      <c r="BG566" s="111">
        <f>IF(G566&gt;1/1/1900,((G566+1)-I566),"STILL OPEN")</f>
        <v>276</v>
      </c>
      <c r="BH566" s="111">
        <f t="shared" si="401"/>
        <v>442</v>
      </c>
      <c r="BI566" s="111">
        <f t="shared" si="402"/>
        <v>39.841530054644807</v>
      </c>
      <c r="BJ566" s="129">
        <f>(G566-J566)+(M566-G566)</f>
        <v>0</v>
      </c>
      <c r="BK566" s="129">
        <f t="shared" si="404"/>
        <v>-274</v>
      </c>
      <c r="BL566" s="129" t="str">
        <f t="shared" si="430"/>
        <v>DEFERRED</v>
      </c>
      <c r="BM566" s="129" t="s">
        <v>76</v>
      </c>
      <c r="BN566" s="129" t="s">
        <v>88</v>
      </c>
      <c r="BP566" s="137" t="str">
        <f t="shared" si="407"/>
        <v>DEFERRED</v>
      </c>
      <c r="BQ566" s="128" t="str">
        <f t="shared" si="408"/>
        <v>Y</v>
      </c>
      <c r="BR566" s="129" t="str">
        <f t="shared" si="409"/>
        <v>ON BOND</v>
      </c>
      <c r="BS566" s="129" t="str">
        <f t="shared" si="410"/>
        <v>DISPOSED</v>
      </c>
      <c r="BT566" s="129" t="str">
        <f t="shared" si="411"/>
        <v>N</v>
      </c>
      <c r="BU566" s="109">
        <f t="shared" si="412"/>
        <v>4.5248868778280547E-3</v>
      </c>
      <c r="BV566" s="109">
        <f t="shared" si="413"/>
        <v>7.246376811594203E-3</v>
      </c>
      <c r="BW566" s="109">
        <f t="shared" si="414"/>
        <v>2.7214899337661483E-3</v>
      </c>
      <c r="BX566" s="111">
        <f t="shared" si="415"/>
        <v>0</v>
      </c>
      <c r="BY566" s="129">
        <f t="shared" si="416"/>
        <v>-2</v>
      </c>
      <c r="BZ566" s="111">
        <f t="shared" si="417"/>
        <v>0</v>
      </c>
      <c r="CA566" s="138">
        <f t="shared" si="418"/>
        <v>2</v>
      </c>
      <c r="CB566" s="111" t="e">
        <f>IF(AF566&gt;1/1/1900,((AF566+1)-AE566),"STILL OPEN")</f>
        <v>#VALUE!</v>
      </c>
      <c r="CC566" s="129">
        <f>M566-I566+1</f>
        <v>2</v>
      </c>
      <c r="CD566" s="111">
        <f>CC566-BF566</f>
        <v>0</v>
      </c>
      <c r="CE566" s="129">
        <f t="shared" si="419"/>
        <v>274</v>
      </c>
      <c r="CG566" s="129" t="str">
        <f t="shared" si="420"/>
        <v>N</v>
      </c>
      <c r="CI566" s="129" t="str">
        <f t="shared" si="421"/>
        <v>0-10 DAYS</v>
      </c>
      <c r="CJ566" s="137">
        <f t="shared" si="422"/>
        <v>1</v>
      </c>
      <c r="CK566" s="129" t="str">
        <f t="shared" si="423"/>
        <v>Booked</v>
      </c>
    </row>
    <row r="567" spans="1:89" ht="15.75" customHeight="1" x14ac:dyDescent="0.25">
      <c r="A567" s="111">
        <v>3182</v>
      </c>
      <c r="B567" s="128" t="str">
        <f t="shared" si="397"/>
        <v>N</v>
      </c>
      <c r="C567" s="128" t="str">
        <f t="shared" si="398"/>
        <v>N</v>
      </c>
      <c r="D567" s="117">
        <v>1304146</v>
      </c>
      <c r="E567" s="135">
        <f t="shared" si="399"/>
        <v>5</v>
      </c>
      <c r="F567" s="124">
        <v>41026</v>
      </c>
      <c r="G567" s="125">
        <v>41029</v>
      </c>
      <c r="H567" s="117">
        <v>1304146</v>
      </c>
      <c r="I567" s="124">
        <v>41026</v>
      </c>
      <c r="J567" s="124">
        <v>41029</v>
      </c>
      <c r="K567" s="126">
        <v>15000</v>
      </c>
      <c r="L567" s="127" t="s">
        <v>571</v>
      </c>
      <c r="N567" s="129" t="str">
        <f>IF(M567&gt;1/1/1,"Y","N")</f>
        <v>N</v>
      </c>
      <c r="O567" s="128" t="s">
        <v>917</v>
      </c>
      <c r="P567" s="129" t="s">
        <v>39</v>
      </c>
      <c r="Q567" s="111">
        <f t="shared" si="427"/>
        <v>4</v>
      </c>
      <c r="R567" s="111">
        <f t="shared" si="400"/>
        <v>4</v>
      </c>
      <c r="S567" s="129">
        <v>4</v>
      </c>
      <c r="T567" s="129">
        <v>5</v>
      </c>
      <c r="U567" s="129">
        <v>2</v>
      </c>
      <c r="W567" s="111"/>
      <c r="AC567" s="130"/>
      <c r="AD567" s="130">
        <v>27216</v>
      </c>
      <c r="AE567" s="128" t="s">
        <v>46</v>
      </c>
      <c r="AF567" s="128" t="s">
        <v>40</v>
      </c>
      <c r="AG567" s="128" t="s">
        <v>41</v>
      </c>
      <c r="AH567" s="108" t="s">
        <v>41</v>
      </c>
      <c r="AI567" s="128" t="s">
        <v>59</v>
      </c>
      <c r="AJ567" s="129" t="s">
        <v>89</v>
      </c>
      <c r="AK567" s="129">
        <v>1</v>
      </c>
      <c r="AL567" s="3" t="s">
        <v>992</v>
      </c>
      <c r="AN567" s="117">
        <v>6</v>
      </c>
      <c r="AP567" s="129" t="s">
        <v>43</v>
      </c>
      <c r="AR567" s="128" t="s">
        <v>44</v>
      </c>
      <c r="AS567" s="129" t="s">
        <v>45</v>
      </c>
      <c r="BC567" s="129" t="s">
        <v>99</v>
      </c>
      <c r="BF567" s="111">
        <f>IF(J567&gt;1/1/1900,((J567+1)-I567),"STILL OPEN")</f>
        <v>4</v>
      </c>
      <c r="BG567" s="111">
        <f>IF(G567&gt;1/1/1900,((G567+1)-I567),"STILL OPEN")</f>
        <v>4</v>
      </c>
      <c r="BH567" s="111">
        <f t="shared" si="401"/>
        <v>4</v>
      </c>
      <c r="BI567" s="111">
        <f t="shared" si="402"/>
        <v>37.732240437158467</v>
      </c>
      <c r="BJ567" s="129">
        <f t="shared" si="403"/>
        <v>0</v>
      </c>
      <c r="BK567" s="129">
        <f t="shared" si="404"/>
        <v>0</v>
      </c>
      <c r="BL567" s="129" t="str">
        <f t="shared" si="430"/>
        <v>CONVICTION</v>
      </c>
      <c r="BM567" s="129" t="str">
        <f t="shared" si="406"/>
        <v>NONE</v>
      </c>
      <c r="BN567" s="129" t="s">
        <v>566</v>
      </c>
      <c r="BP567" s="137" t="str">
        <f t="shared" si="407"/>
        <v>CONVICTION</v>
      </c>
      <c r="BQ567" s="128" t="str">
        <f t="shared" si="408"/>
        <v>Y</v>
      </c>
      <c r="BR567" s="129" t="str">
        <f t="shared" si="409"/>
        <v>DETAINED</v>
      </c>
      <c r="BS567" s="129" t="str">
        <f t="shared" si="410"/>
        <v>DISPOSED</v>
      </c>
      <c r="BT567" s="129" t="str">
        <f t="shared" si="411"/>
        <v>Y</v>
      </c>
      <c r="BU567" s="109">
        <f t="shared" si="412"/>
        <v>1</v>
      </c>
      <c r="BV567" s="109">
        <f t="shared" si="413"/>
        <v>1</v>
      </c>
      <c r="BW567" s="109">
        <f t="shared" si="414"/>
        <v>0</v>
      </c>
      <c r="BX567" s="111">
        <f t="shared" si="415"/>
        <v>0</v>
      </c>
      <c r="BY567" s="129">
        <f t="shared" si="416"/>
        <v>-4</v>
      </c>
      <c r="BZ567" s="111">
        <f t="shared" si="417"/>
        <v>0</v>
      </c>
      <c r="CA567" s="138">
        <f t="shared" si="418"/>
        <v>4</v>
      </c>
      <c r="CB567" s="111" t="e">
        <f>IF(AF567&gt;1/1/1900,((AF567+1)-AE567),"STILL OPEN")</f>
        <v>#VALUE!</v>
      </c>
      <c r="CC567" s="129">
        <f>G567-I567+1</f>
        <v>4</v>
      </c>
      <c r="CD567" s="129">
        <f>G567-J567</f>
        <v>0</v>
      </c>
      <c r="CE567" s="129">
        <f t="shared" si="419"/>
        <v>0</v>
      </c>
      <c r="CG567" s="129" t="str">
        <f t="shared" si="420"/>
        <v>Y</v>
      </c>
      <c r="CI567" s="129" t="str">
        <f t="shared" si="421"/>
        <v>0-10 DAYS</v>
      </c>
      <c r="CJ567" s="137">
        <f t="shared" si="422"/>
        <v>1</v>
      </c>
      <c r="CK567" s="129" t="str">
        <f t="shared" si="423"/>
        <v>Booked</v>
      </c>
    </row>
    <row r="568" spans="1:89" ht="15.75" customHeight="1" x14ac:dyDescent="0.25">
      <c r="A568" s="111">
        <v>1118</v>
      </c>
      <c r="B568" s="128" t="str">
        <f t="shared" si="397"/>
        <v>N</v>
      </c>
      <c r="C568" s="128" t="str">
        <f t="shared" si="398"/>
        <v>N</v>
      </c>
      <c r="D568" s="117">
        <v>1305772</v>
      </c>
      <c r="E568" s="135">
        <f t="shared" si="399"/>
        <v>1</v>
      </c>
      <c r="F568" s="124">
        <v>40949</v>
      </c>
      <c r="G568" s="125">
        <v>41061</v>
      </c>
      <c r="H568" s="117">
        <v>1305772</v>
      </c>
      <c r="I568" s="124" t="s">
        <v>562</v>
      </c>
      <c r="J568" s="124" t="s">
        <v>562</v>
      </c>
      <c r="K568" s="126">
        <v>5000</v>
      </c>
      <c r="L568" s="127" t="s">
        <v>569</v>
      </c>
      <c r="M568" s="125">
        <v>40950</v>
      </c>
      <c r="N568" s="129" t="str">
        <f>IF(M568&gt;1/1/1,"Y",IF(Q568="0","","N"))</f>
        <v>Y</v>
      </c>
      <c r="O568" s="128" t="s">
        <v>585</v>
      </c>
      <c r="P568" s="129" t="s">
        <v>55</v>
      </c>
      <c r="Q568" s="111">
        <f t="shared" ref="Q568:Q588" si="432">BF568</f>
        <v>0</v>
      </c>
      <c r="R568" s="111">
        <f t="shared" si="400"/>
        <v>113</v>
      </c>
      <c r="S568" s="129">
        <v>1</v>
      </c>
      <c r="T568" s="129">
        <v>0</v>
      </c>
      <c r="V568" s="117">
        <v>1</v>
      </c>
      <c r="W568" s="111"/>
      <c r="AC568" s="130"/>
      <c r="AD568" s="130">
        <v>22008</v>
      </c>
      <c r="AE568" s="128" t="s">
        <v>46</v>
      </c>
      <c r="AF568" s="128" t="s">
        <v>33</v>
      </c>
      <c r="AG568" s="128" t="s">
        <v>872</v>
      </c>
      <c r="AH568" s="108" t="s">
        <v>31</v>
      </c>
      <c r="AI568" s="128" t="s">
        <v>42</v>
      </c>
      <c r="AJ568" s="129" t="s">
        <v>55</v>
      </c>
      <c r="AK568" s="129">
        <v>5</v>
      </c>
      <c r="AL568" s="3" t="s">
        <v>55</v>
      </c>
      <c r="AP568" s="129" t="s">
        <v>43</v>
      </c>
      <c r="AR568" s="128" t="s">
        <v>44</v>
      </c>
      <c r="AS568" s="129" t="s">
        <v>45</v>
      </c>
      <c r="BC568" s="129" t="s">
        <v>52</v>
      </c>
      <c r="BF568" s="111">
        <v>0</v>
      </c>
      <c r="BG568" s="111">
        <v>0</v>
      </c>
      <c r="BH568" s="111">
        <f t="shared" si="401"/>
        <v>113</v>
      </c>
      <c r="BI568" s="111">
        <f t="shared" si="402"/>
        <v>51.751366120218577</v>
      </c>
      <c r="BJ568" s="129" t="e">
        <f>(G568-J568)+(M568-G568)</f>
        <v>#VALUE!</v>
      </c>
      <c r="BK568" s="129" t="e">
        <f t="shared" si="404"/>
        <v>#VALUE!</v>
      </c>
      <c r="BL568" s="129" t="str">
        <f t="shared" si="430"/>
        <v>NO CONVICTION</v>
      </c>
      <c r="BM568" s="129" t="s">
        <v>76</v>
      </c>
      <c r="BN568" s="129" t="s">
        <v>88</v>
      </c>
      <c r="BP568" s="137" t="str">
        <f t="shared" si="407"/>
        <v>NO CONVICTION</v>
      </c>
      <c r="BQ568" s="128">
        <f t="shared" si="408"/>
        <v>0</v>
      </c>
      <c r="BR568" s="129" t="s">
        <v>575</v>
      </c>
      <c r="BS568" s="129" t="str">
        <f t="shared" si="410"/>
        <v>DISPOSED</v>
      </c>
      <c r="BT568" s="129" t="str">
        <f t="shared" si="411"/>
        <v>Y</v>
      </c>
      <c r="BU568" s="109">
        <f>IFERROR(Q568/R568,BR568)</f>
        <v>0</v>
      </c>
      <c r="BV568" s="109">
        <v>0</v>
      </c>
      <c r="BW568" s="109">
        <f t="shared" si="414"/>
        <v>0</v>
      </c>
      <c r="BX568" s="111">
        <f t="shared" si="415"/>
        <v>0</v>
      </c>
      <c r="BY568" s="129" t="e">
        <f t="shared" si="416"/>
        <v>#VALUE!</v>
      </c>
      <c r="BZ568" s="111" t="e">
        <f t="shared" si="417"/>
        <v>#VALUE!</v>
      </c>
      <c r="CA568" s="138" t="e">
        <f t="shared" si="418"/>
        <v>#VALUE!</v>
      </c>
      <c r="CB568" s="111">
        <v>0</v>
      </c>
      <c r="CC568" s="129">
        <v>0</v>
      </c>
      <c r="CD568" s="111">
        <f>CC568-BF568</f>
        <v>0</v>
      </c>
      <c r="CE568" s="129" t="e">
        <f t="shared" si="419"/>
        <v>#VALUE!</v>
      </c>
      <c r="CG568" s="129" t="str">
        <f t="shared" si="420"/>
        <v>Y</v>
      </c>
      <c r="CI568" s="129" t="str">
        <f t="shared" si="421"/>
        <v>0-10 DAYS</v>
      </c>
      <c r="CJ568" s="137">
        <f t="shared" si="422"/>
        <v>1</v>
      </c>
      <c r="CK568" s="129" t="str">
        <f t="shared" si="423"/>
        <v>Not Booked</v>
      </c>
    </row>
    <row r="569" spans="1:89" ht="15" customHeight="1" x14ac:dyDescent="0.25">
      <c r="A569" s="111">
        <v>448</v>
      </c>
      <c r="B569" s="128" t="str">
        <f t="shared" si="397"/>
        <v>N</v>
      </c>
      <c r="C569" s="128" t="str">
        <f t="shared" si="398"/>
        <v>N</v>
      </c>
      <c r="D569" s="117">
        <v>1307124</v>
      </c>
      <c r="E569" s="135">
        <f t="shared" si="399"/>
        <v>5</v>
      </c>
      <c r="F569" s="124">
        <v>40927</v>
      </c>
      <c r="G569" s="125">
        <v>40983</v>
      </c>
      <c r="H569" s="117">
        <v>1307124</v>
      </c>
      <c r="I569" s="124">
        <v>40927</v>
      </c>
      <c r="J569" s="124">
        <v>40983</v>
      </c>
      <c r="K569" s="126">
        <v>10000</v>
      </c>
      <c r="L569" s="127" t="s">
        <v>570</v>
      </c>
      <c r="N569" s="129" t="str">
        <f t="shared" ref="N569:N578" si="433">IF(M569&gt;1/1/1,"Y","N")</f>
        <v>N</v>
      </c>
      <c r="O569" s="128" t="s">
        <v>917</v>
      </c>
      <c r="P569" s="129" t="s">
        <v>39</v>
      </c>
      <c r="Q569" s="111">
        <f t="shared" si="432"/>
        <v>57</v>
      </c>
      <c r="R569" s="111">
        <f t="shared" si="400"/>
        <v>57</v>
      </c>
      <c r="S569" s="129">
        <v>2</v>
      </c>
      <c r="T569" s="129">
        <v>0</v>
      </c>
      <c r="U569" s="129">
        <v>1</v>
      </c>
      <c r="W569" s="111"/>
      <c r="AC569" s="130"/>
      <c r="AD569" s="130">
        <v>23957</v>
      </c>
      <c r="AE569" s="128" t="s">
        <v>46</v>
      </c>
      <c r="AF569" s="128" t="s">
        <v>33</v>
      </c>
      <c r="AG569" s="128" t="s">
        <v>872</v>
      </c>
      <c r="AH569" s="108" t="s">
        <v>31</v>
      </c>
      <c r="AI569" s="128" t="s">
        <v>72</v>
      </c>
      <c r="AJ569" s="129" t="s">
        <v>89</v>
      </c>
      <c r="AK569" s="129">
        <v>4</v>
      </c>
      <c r="AL569" s="3" t="s">
        <v>992</v>
      </c>
      <c r="AN569" s="117">
        <v>8</v>
      </c>
      <c r="AP569" s="129" t="s">
        <v>197</v>
      </c>
      <c r="AR569" s="128" t="s">
        <v>44</v>
      </c>
      <c r="AS569" s="129" t="s">
        <v>61</v>
      </c>
      <c r="BC569" s="129" t="s">
        <v>38</v>
      </c>
      <c r="BF569" s="111">
        <f t="shared" ref="BF569:BF587" si="434">IF(J569&gt;1/1/1900,((J569+1)-I569),"STILL OPEN")</f>
        <v>57</v>
      </c>
      <c r="BG569" s="111">
        <f t="shared" ref="BG569:BG587" si="435">IF(G569&gt;1/1/1900,((G569+1)-I569),"STILL OPEN")</f>
        <v>57</v>
      </c>
      <c r="BH569" s="111">
        <f t="shared" si="401"/>
        <v>57</v>
      </c>
      <c r="BI569" s="111">
        <f t="shared" si="402"/>
        <v>46.366120218579233</v>
      </c>
      <c r="BJ569" s="129">
        <f t="shared" si="403"/>
        <v>0</v>
      </c>
      <c r="BK569" s="129">
        <f t="shared" si="404"/>
        <v>0</v>
      </c>
      <c r="BL569" s="129" t="str">
        <f t="shared" si="430"/>
        <v>CONVICTION</v>
      </c>
      <c r="BM569" s="129" t="str">
        <f t="shared" si="406"/>
        <v>NONE</v>
      </c>
      <c r="BN569" s="129" t="s">
        <v>566</v>
      </c>
      <c r="BP569" s="137" t="str">
        <f t="shared" si="407"/>
        <v>CONVICTION</v>
      </c>
      <c r="BQ569" s="128" t="str">
        <f t="shared" si="408"/>
        <v>Y</v>
      </c>
      <c r="BR569" s="129" t="str">
        <f t="shared" si="409"/>
        <v>DETAINED</v>
      </c>
      <c r="BS569" s="129" t="str">
        <f t="shared" si="410"/>
        <v>DISPOSED</v>
      </c>
      <c r="BT569" s="129" t="str">
        <f t="shared" si="411"/>
        <v>Y</v>
      </c>
      <c r="BU569" s="109">
        <f t="shared" si="412"/>
        <v>1</v>
      </c>
      <c r="BV569" s="109">
        <f t="shared" si="413"/>
        <v>1</v>
      </c>
      <c r="BW569" s="109">
        <f t="shared" si="414"/>
        <v>0</v>
      </c>
      <c r="BX569" s="111">
        <f t="shared" si="415"/>
        <v>0</v>
      </c>
      <c r="BY569" s="129">
        <f t="shared" si="416"/>
        <v>-57</v>
      </c>
      <c r="BZ569" s="111">
        <f t="shared" si="417"/>
        <v>0</v>
      </c>
      <c r="CA569" s="138">
        <f t="shared" si="418"/>
        <v>57</v>
      </c>
      <c r="CB569" s="111" t="e">
        <f t="shared" ref="CB569:CB587" si="436">IF(AF569&gt;1/1/1900,((AF569+1)-AE569),"STILL OPEN")</f>
        <v>#VALUE!</v>
      </c>
      <c r="CC569" s="129">
        <f>G569-I569+1</f>
        <v>57</v>
      </c>
      <c r="CD569" s="129">
        <f>G569-J569</f>
        <v>0</v>
      </c>
      <c r="CE569" s="129">
        <f t="shared" si="419"/>
        <v>0</v>
      </c>
      <c r="CG569" s="129" t="str">
        <f t="shared" si="420"/>
        <v>Y</v>
      </c>
      <c r="CI569" s="129" t="str">
        <f t="shared" si="421"/>
        <v>31-60 DAYS</v>
      </c>
      <c r="CJ569" s="137">
        <f t="shared" si="422"/>
        <v>3</v>
      </c>
      <c r="CK569" s="129" t="str">
        <f t="shared" si="423"/>
        <v>Booked</v>
      </c>
    </row>
    <row r="570" spans="1:89" ht="15.75" customHeight="1" x14ac:dyDescent="0.25">
      <c r="A570" s="111">
        <v>318</v>
      </c>
      <c r="B570" s="128" t="str">
        <f t="shared" si="397"/>
        <v>N</v>
      </c>
      <c r="C570" s="128" t="str">
        <f t="shared" si="398"/>
        <v>N</v>
      </c>
      <c r="D570" s="117">
        <v>1307816</v>
      </c>
      <c r="E570" s="135">
        <f t="shared" si="399"/>
        <v>5</v>
      </c>
      <c r="F570" s="124">
        <v>40897</v>
      </c>
      <c r="G570" s="125">
        <v>41038</v>
      </c>
      <c r="H570" s="117">
        <v>1307816</v>
      </c>
      <c r="I570" s="124">
        <v>40947</v>
      </c>
      <c r="J570" s="124">
        <v>41038</v>
      </c>
      <c r="K570" s="126">
        <v>5000</v>
      </c>
      <c r="L570" s="127" t="s">
        <v>569</v>
      </c>
      <c r="N570" s="129" t="str">
        <f t="shared" si="433"/>
        <v>N</v>
      </c>
      <c r="O570" s="128" t="s">
        <v>917</v>
      </c>
      <c r="P570" s="129" t="s">
        <v>39</v>
      </c>
      <c r="Q570" s="111">
        <f t="shared" si="432"/>
        <v>92</v>
      </c>
      <c r="R570" s="111">
        <f t="shared" si="400"/>
        <v>142</v>
      </c>
      <c r="S570" s="129">
        <v>1</v>
      </c>
      <c r="T570" s="129">
        <v>5</v>
      </c>
      <c r="U570" s="129">
        <v>1</v>
      </c>
      <c r="W570" s="111"/>
      <c r="AC570" s="130"/>
      <c r="AD570" s="130">
        <v>27074</v>
      </c>
      <c r="AE570" s="128" t="s">
        <v>32</v>
      </c>
      <c r="AF570" s="128" t="s">
        <v>69</v>
      </c>
      <c r="AG570" s="128" t="s">
        <v>874</v>
      </c>
      <c r="AH570" s="108" t="s">
        <v>58</v>
      </c>
      <c r="AI570" s="128" t="s">
        <v>87</v>
      </c>
      <c r="AJ570" s="129" t="s">
        <v>89</v>
      </c>
      <c r="AK570" s="129">
        <v>6</v>
      </c>
      <c r="AL570" s="3" t="s">
        <v>992</v>
      </c>
      <c r="AN570" s="117">
        <v>12</v>
      </c>
      <c r="AP570" s="129" t="s">
        <v>108</v>
      </c>
      <c r="AR570" s="128" t="s">
        <v>44</v>
      </c>
      <c r="AS570" s="129" t="s">
        <v>61</v>
      </c>
      <c r="BC570" s="129" t="s">
        <v>38</v>
      </c>
      <c r="BF570" s="111">
        <f t="shared" si="434"/>
        <v>92</v>
      </c>
      <c r="BG570" s="111">
        <f t="shared" si="435"/>
        <v>92</v>
      </c>
      <c r="BH570" s="111">
        <f t="shared" si="401"/>
        <v>142</v>
      </c>
      <c r="BI570" s="111">
        <f t="shared" si="402"/>
        <v>37.767759562841533</v>
      </c>
      <c r="BJ570" s="129">
        <f t="shared" si="403"/>
        <v>0</v>
      </c>
      <c r="BK570" s="129">
        <f t="shared" si="404"/>
        <v>0</v>
      </c>
      <c r="BL570" s="129" t="str">
        <f t="shared" si="430"/>
        <v>CONVICTION</v>
      </c>
      <c r="BM570" s="129" t="str">
        <f t="shared" si="406"/>
        <v>NONE</v>
      </c>
      <c r="BN570" s="129" t="s">
        <v>566</v>
      </c>
      <c r="BP570" s="137" t="str">
        <f t="shared" si="407"/>
        <v>CONVICTION</v>
      </c>
      <c r="BQ570" s="128" t="str">
        <f t="shared" si="408"/>
        <v>Y</v>
      </c>
      <c r="BR570" s="129" t="str">
        <f t="shared" si="409"/>
        <v>DETAINED</v>
      </c>
      <c r="BS570" s="129" t="str">
        <f t="shared" si="410"/>
        <v>DISPOSED</v>
      </c>
      <c r="BT570" s="129" t="str">
        <f t="shared" si="411"/>
        <v>Y</v>
      </c>
      <c r="BU570" s="109">
        <f t="shared" si="412"/>
        <v>0.647887323943662</v>
      </c>
      <c r="BV570" s="109">
        <f t="shared" si="413"/>
        <v>1</v>
      </c>
      <c r="BW570" s="109">
        <f t="shared" si="414"/>
        <v>0.352112676056338</v>
      </c>
      <c r="BX570" s="111">
        <f t="shared" si="415"/>
        <v>0</v>
      </c>
      <c r="BY570" s="129">
        <f t="shared" si="416"/>
        <v>-92</v>
      </c>
      <c r="BZ570" s="111">
        <f t="shared" si="417"/>
        <v>0</v>
      </c>
      <c r="CA570" s="138">
        <f t="shared" si="418"/>
        <v>92</v>
      </c>
      <c r="CB570" s="111" t="e">
        <f t="shared" si="436"/>
        <v>#VALUE!</v>
      </c>
      <c r="CC570" s="129">
        <f>G570-I570+1</f>
        <v>92</v>
      </c>
      <c r="CD570" s="129">
        <f>G570-J570</f>
        <v>0</v>
      </c>
      <c r="CE570" s="129">
        <f t="shared" si="419"/>
        <v>0</v>
      </c>
      <c r="CG570" s="129" t="str">
        <f t="shared" si="420"/>
        <v>Y</v>
      </c>
      <c r="CI570" s="129" t="str">
        <f t="shared" si="421"/>
        <v>91-120 DAYS</v>
      </c>
      <c r="CJ570" s="137">
        <f t="shared" si="422"/>
        <v>0</v>
      </c>
      <c r="CK570" s="129" t="str">
        <f t="shared" si="423"/>
        <v>Booked</v>
      </c>
    </row>
    <row r="571" spans="1:89" ht="15.75" customHeight="1" x14ac:dyDescent="0.25">
      <c r="A571" s="111">
        <v>1945</v>
      </c>
      <c r="B571" s="128" t="str">
        <f t="shared" si="397"/>
        <v>N</v>
      </c>
      <c r="C571" s="128" t="str">
        <f t="shared" si="398"/>
        <v>N</v>
      </c>
      <c r="D571" s="117">
        <v>1312361</v>
      </c>
      <c r="E571" s="135">
        <f t="shared" si="399"/>
        <v>2</v>
      </c>
      <c r="F571" s="124">
        <v>40981</v>
      </c>
      <c r="G571" s="125">
        <v>41113</v>
      </c>
      <c r="H571" s="117">
        <v>1312361</v>
      </c>
      <c r="I571" s="124">
        <v>40982</v>
      </c>
      <c r="J571" s="124">
        <v>40983</v>
      </c>
      <c r="K571" s="126">
        <v>5000</v>
      </c>
      <c r="L571" s="127" t="s">
        <v>569</v>
      </c>
      <c r="M571" s="125">
        <v>40983</v>
      </c>
      <c r="N571" s="129" t="str">
        <f t="shared" si="433"/>
        <v>Y</v>
      </c>
      <c r="O571" s="128" t="s">
        <v>76</v>
      </c>
      <c r="P571" s="129" t="s">
        <v>589</v>
      </c>
      <c r="Q571" s="111">
        <f t="shared" si="432"/>
        <v>2</v>
      </c>
      <c r="R571" s="111">
        <f t="shared" si="400"/>
        <v>133</v>
      </c>
      <c r="S571" s="129">
        <v>0</v>
      </c>
      <c r="T571" s="129">
        <v>2</v>
      </c>
      <c r="W571" s="111"/>
      <c r="AC571" s="130"/>
      <c r="AD571" s="130">
        <v>21994</v>
      </c>
      <c r="AE571" s="128" t="s">
        <v>32</v>
      </c>
      <c r="AF571" s="128" t="s">
        <v>40</v>
      </c>
      <c r="AG571" s="128" t="s">
        <v>41</v>
      </c>
      <c r="AH571" s="108" t="s">
        <v>41</v>
      </c>
      <c r="AI571" s="128" t="s">
        <v>72</v>
      </c>
      <c r="AJ571" s="129" t="s">
        <v>48</v>
      </c>
      <c r="AK571" s="129">
        <v>6</v>
      </c>
      <c r="AL571" s="3" t="s">
        <v>48</v>
      </c>
      <c r="AP571" s="129" t="s">
        <v>175</v>
      </c>
      <c r="AR571" s="128" t="s">
        <v>44</v>
      </c>
      <c r="AS571" s="129" t="s">
        <v>45</v>
      </c>
      <c r="BC571" s="129" t="s">
        <v>52</v>
      </c>
      <c r="BF571" s="111">
        <f t="shared" si="434"/>
        <v>2</v>
      </c>
      <c r="BG571" s="111">
        <f t="shared" si="435"/>
        <v>132</v>
      </c>
      <c r="BH571" s="111">
        <f t="shared" si="401"/>
        <v>133</v>
      </c>
      <c r="BI571" s="111">
        <f t="shared" si="402"/>
        <v>51.877049180327866</v>
      </c>
      <c r="BJ571" s="129">
        <f>(G571-J571)+(M571-G571)</f>
        <v>0</v>
      </c>
      <c r="BK571" s="129">
        <f t="shared" si="404"/>
        <v>-130</v>
      </c>
      <c r="BL571" s="129" t="str">
        <f t="shared" si="430"/>
        <v>DEFERRED</v>
      </c>
      <c r="BM571" s="129" t="s">
        <v>76</v>
      </c>
      <c r="BN571" s="129" t="s">
        <v>88</v>
      </c>
      <c r="BP571" s="137" t="str">
        <f t="shared" si="407"/>
        <v>DEFERRED</v>
      </c>
      <c r="BQ571" s="128" t="str">
        <f t="shared" si="408"/>
        <v>Y</v>
      </c>
      <c r="BR571" s="129" t="str">
        <f t="shared" si="409"/>
        <v>ON BOND</v>
      </c>
      <c r="BS571" s="129" t="str">
        <f t="shared" si="410"/>
        <v>DISPOSED</v>
      </c>
      <c r="BT571" s="129" t="str">
        <f t="shared" si="411"/>
        <v>N</v>
      </c>
      <c r="BU571" s="109">
        <f t="shared" si="412"/>
        <v>1.5037593984962405E-2</v>
      </c>
      <c r="BV571" s="109">
        <f t="shared" si="413"/>
        <v>1.5151515151515152E-2</v>
      </c>
      <c r="BW571" s="109">
        <f t="shared" si="414"/>
        <v>1.1392116655274676E-4</v>
      </c>
      <c r="BX571" s="111">
        <f t="shared" si="415"/>
        <v>0</v>
      </c>
      <c r="BY571" s="129">
        <f t="shared" si="416"/>
        <v>-2</v>
      </c>
      <c r="BZ571" s="111">
        <f t="shared" si="417"/>
        <v>0</v>
      </c>
      <c r="CA571" s="138">
        <f t="shared" si="418"/>
        <v>2</v>
      </c>
      <c r="CB571" s="111" t="e">
        <f t="shared" si="436"/>
        <v>#VALUE!</v>
      </c>
      <c r="CC571" s="129">
        <f>M571-I571+1</f>
        <v>2</v>
      </c>
      <c r="CD571" s="111">
        <f>CC571-BF571</f>
        <v>0</v>
      </c>
      <c r="CE571" s="129">
        <f t="shared" si="419"/>
        <v>130</v>
      </c>
      <c r="CG571" s="129" t="str">
        <f t="shared" si="420"/>
        <v>Y</v>
      </c>
      <c r="CI571" s="129" t="str">
        <f t="shared" si="421"/>
        <v>0-10 DAYS</v>
      </c>
      <c r="CJ571" s="137">
        <f t="shared" si="422"/>
        <v>1</v>
      </c>
      <c r="CK571" s="129" t="str">
        <f t="shared" si="423"/>
        <v>Booked</v>
      </c>
    </row>
    <row r="572" spans="1:89" ht="15.75" customHeight="1" x14ac:dyDescent="0.25">
      <c r="A572" s="111">
        <v>1454</v>
      </c>
      <c r="B572" s="128" t="str">
        <f t="shared" si="397"/>
        <v>N</v>
      </c>
      <c r="C572" s="128" t="str">
        <f t="shared" si="398"/>
        <v>N</v>
      </c>
      <c r="D572" s="117">
        <v>1317795</v>
      </c>
      <c r="E572" s="135">
        <f t="shared" si="399"/>
        <v>5</v>
      </c>
      <c r="F572" s="124">
        <v>40962</v>
      </c>
      <c r="G572" s="125">
        <v>41080</v>
      </c>
      <c r="H572" s="117">
        <v>1317795</v>
      </c>
      <c r="I572" s="124">
        <v>40962</v>
      </c>
      <c r="J572" s="124">
        <v>41080</v>
      </c>
      <c r="K572" s="126">
        <v>15000</v>
      </c>
      <c r="L572" s="127" t="s">
        <v>571</v>
      </c>
      <c r="N572" s="129" t="str">
        <f t="shared" si="433"/>
        <v>N</v>
      </c>
      <c r="O572" s="128" t="s">
        <v>917</v>
      </c>
      <c r="P572" s="129" t="s">
        <v>39</v>
      </c>
      <c r="Q572" s="111">
        <f t="shared" si="432"/>
        <v>119</v>
      </c>
      <c r="R572" s="111">
        <f t="shared" si="400"/>
        <v>119</v>
      </c>
      <c r="S572" s="129">
        <v>7</v>
      </c>
      <c r="T572" s="129">
        <v>5</v>
      </c>
      <c r="U572" s="129">
        <v>4</v>
      </c>
      <c r="W572" s="111"/>
      <c r="AC572" s="130"/>
      <c r="AD572" s="130">
        <v>21483</v>
      </c>
      <c r="AE572" s="128" t="s">
        <v>32</v>
      </c>
      <c r="AF572" s="128" t="s">
        <v>33</v>
      </c>
      <c r="AG572" s="128" t="s">
        <v>872</v>
      </c>
      <c r="AH572" s="108" t="s">
        <v>58</v>
      </c>
      <c r="AI572" s="128" t="s">
        <v>47</v>
      </c>
      <c r="AJ572" s="129" t="s">
        <v>89</v>
      </c>
      <c r="AK572" s="129">
        <v>6</v>
      </c>
      <c r="AL572" s="3" t="s">
        <v>992</v>
      </c>
      <c r="AN572" s="117">
        <v>6</v>
      </c>
      <c r="AP572" s="129" t="s">
        <v>108</v>
      </c>
      <c r="AR572" s="128" t="s">
        <v>44</v>
      </c>
      <c r="AS572" s="129" t="s">
        <v>61</v>
      </c>
      <c r="BC572" s="129" t="s">
        <v>38</v>
      </c>
      <c r="BF572" s="111">
        <f t="shared" si="434"/>
        <v>119</v>
      </c>
      <c r="BG572" s="111">
        <f t="shared" si="435"/>
        <v>119</v>
      </c>
      <c r="BH572" s="111">
        <f t="shared" si="401"/>
        <v>119</v>
      </c>
      <c r="BI572" s="111">
        <f t="shared" si="402"/>
        <v>53.221311475409834</v>
      </c>
      <c r="BJ572" s="129">
        <f t="shared" si="403"/>
        <v>0</v>
      </c>
      <c r="BK572" s="129">
        <f t="shared" si="404"/>
        <v>0</v>
      </c>
      <c r="BL572" s="129" t="str">
        <f t="shared" si="430"/>
        <v>CONVICTION</v>
      </c>
      <c r="BM572" s="129" t="str">
        <f t="shared" si="406"/>
        <v>NONE</v>
      </c>
      <c r="BN572" s="129" t="s">
        <v>566</v>
      </c>
      <c r="BP572" s="137" t="str">
        <f t="shared" si="407"/>
        <v>CONVICTION</v>
      </c>
      <c r="BQ572" s="128" t="str">
        <f t="shared" si="408"/>
        <v>Y</v>
      </c>
      <c r="BR572" s="129" t="str">
        <f t="shared" si="409"/>
        <v>DETAINED</v>
      </c>
      <c r="BS572" s="129" t="str">
        <f t="shared" si="410"/>
        <v>DISPOSED</v>
      </c>
      <c r="BT572" s="129" t="str">
        <f t="shared" si="411"/>
        <v>Y</v>
      </c>
      <c r="BU572" s="109">
        <f t="shared" si="412"/>
        <v>1</v>
      </c>
      <c r="BV572" s="109">
        <f t="shared" si="413"/>
        <v>1</v>
      </c>
      <c r="BW572" s="109">
        <f t="shared" si="414"/>
        <v>0</v>
      </c>
      <c r="BX572" s="111">
        <f t="shared" si="415"/>
        <v>0</v>
      </c>
      <c r="BY572" s="129">
        <f t="shared" si="416"/>
        <v>-119</v>
      </c>
      <c r="BZ572" s="111">
        <f t="shared" si="417"/>
        <v>0</v>
      </c>
      <c r="CA572" s="138">
        <f t="shared" si="418"/>
        <v>119</v>
      </c>
      <c r="CB572" s="111" t="e">
        <f t="shared" si="436"/>
        <v>#VALUE!</v>
      </c>
      <c r="CC572" s="129">
        <f t="shared" ref="CC572:CC577" si="437">G572-I572+1</f>
        <v>119</v>
      </c>
      <c r="CD572" s="129">
        <f t="shared" ref="CD572:CD577" si="438">G572-J572</f>
        <v>0</v>
      </c>
      <c r="CE572" s="129">
        <f t="shared" si="419"/>
        <v>0</v>
      </c>
      <c r="CG572" s="129" t="str">
        <f t="shared" si="420"/>
        <v>Y</v>
      </c>
      <c r="CI572" s="129" t="str">
        <f t="shared" si="421"/>
        <v>91-120 DAYS</v>
      </c>
      <c r="CJ572" s="137">
        <f t="shared" si="422"/>
        <v>0</v>
      </c>
      <c r="CK572" s="129" t="str">
        <f t="shared" si="423"/>
        <v>Booked</v>
      </c>
    </row>
    <row r="573" spans="1:89" ht="15.75" customHeight="1" x14ac:dyDescent="0.25">
      <c r="A573" s="111">
        <v>710</v>
      </c>
      <c r="B573" s="128" t="str">
        <f t="shared" si="397"/>
        <v>N</v>
      </c>
      <c r="C573" s="128" t="str">
        <f t="shared" si="398"/>
        <v>N</v>
      </c>
      <c r="D573" s="117">
        <v>1319522</v>
      </c>
      <c r="E573" s="135">
        <f t="shared" si="399"/>
        <v>2</v>
      </c>
      <c r="F573" s="124">
        <v>40936</v>
      </c>
      <c r="G573" s="125">
        <v>41394</v>
      </c>
      <c r="H573" s="117">
        <v>1319522</v>
      </c>
      <c r="I573" s="124">
        <v>40937</v>
      </c>
      <c r="J573" s="125">
        <v>41394</v>
      </c>
      <c r="K573" s="126">
        <v>30000</v>
      </c>
      <c r="L573" s="129" t="s">
        <v>572</v>
      </c>
      <c r="N573" s="129" t="str">
        <f t="shared" si="433"/>
        <v>N</v>
      </c>
      <c r="O573" s="128" t="s">
        <v>917</v>
      </c>
      <c r="P573" s="129" t="s">
        <v>589</v>
      </c>
      <c r="Q573" s="111">
        <f t="shared" si="432"/>
        <v>458</v>
      </c>
      <c r="R573" s="111">
        <f t="shared" si="400"/>
        <v>459</v>
      </c>
      <c r="S573" s="129">
        <v>2</v>
      </c>
      <c r="T573" s="129">
        <v>2</v>
      </c>
      <c r="U573" s="129">
        <v>1</v>
      </c>
      <c r="W573" s="111"/>
      <c r="AC573" s="130"/>
      <c r="AD573" s="130">
        <v>27433</v>
      </c>
      <c r="AE573" s="128" t="s">
        <v>32</v>
      </c>
      <c r="AF573" s="128" t="s">
        <v>69</v>
      </c>
      <c r="AG573" s="128" t="s">
        <v>874</v>
      </c>
      <c r="AH573" s="108" t="s">
        <v>31</v>
      </c>
      <c r="AI573" s="128" t="s">
        <v>118</v>
      </c>
      <c r="AJ573" s="129" t="s">
        <v>48</v>
      </c>
      <c r="AK573" s="129">
        <v>19</v>
      </c>
      <c r="AL573" s="3" t="s">
        <v>48</v>
      </c>
      <c r="AP573" s="129" t="s">
        <v>242</v>
      </c>
      <c r="AR573" s="128" t="s">
        <v>92</v>
      </c>
      <c r="AS573" s="129" t="s">
        <v>74</v>
      </c>
      <c r="BC573" s="129" t="s">
        <v>52</v>
      </c>
      <c r="BF573" s="111">
        <f t="shared" si="434"/>
        <v>458</v>
      </c>
      <c r="BG573" s="111">
        <f t="shared" si="435"/>
        <v>458</v>
      </c>
      <c r="BH573" s="111">
        <f t="shared" si="401"/>
        <v>459</v>
      </c>
      <c r="BI573" s="111">
        <f t="shared" si="402"/>
        <v>36.893442622950822</v>
      </c>
      <c r="BJ573" s="129">
        <f t="shared" si="403"/>
        <v>0</v>
      </c>
      <c r="BK573" s="129">
        <f t="shared" si="404"/>
        <v>0</v>
      </c>
      <c r="BL573" s="129" t="str">
        <f t="shared" si="430"/>
        <v>DEFERRED</v>
      </c>
      <c r="BM573" s="129" t="str">
        <f t="shared" si="406"/>
        <v>NONE</v>
      </c>
      <c r="BN573" s="129" t="s">
        <v>566</v>
      </c>
      <c r="BP573" s="137" t="str">
        <f t="shared" si="407"/>
        <v>DEFERRED</v>
      </c>
      <c r="BQ573" s="128" t="str">
        <f t="shared" si="408"/>
        <v>Y</v>
      </c>
      <c r="BR573" s="129" t="str">
        <f t="shared" si="409"/>
        <v>DETAINED</v>
      </c>
      <c r="BS573" s="129" t="str">
        <f t="shared" si="410"/>
        <v>DISPOSED</v>
      </c>
      <c r="BT573" s="129" t="str">
        <f t="shared" si="411"/>
        <v>Y</v>
      </c>
      <c r="BU573" s="109">
        <f t="shared" si="412"/>
        <v>0.9978213507625272</v>
      </c>
      <c r="BV573" s="109">
        <f t="shared" si="413"/>
        <v>1</v>
      </c>
      <c r="BW573" s="109">
        <f t="shared" si="414"/>
        <v>2.1786492374727962E-3</v>
      </c>
      <c r="BX573" s="111">
        <f t="shared" si="415"/>
        <v>0</v>
      </c>
      <c r="BY573" s="129">
        <f t="shared" si="416"/>
        <v>-458</v>
      </c>
      <c r="BZ573" s="111">
        <f t="shared" si="417"/>
        <v>0</v>
      </c>
      <c r="CA573" s="138">
        <f t="shared" si="418"/>
        <v>458</v>
      </c>
      <c r="CB573" s="111" t="e">
        <f t="shared" si="436"/>
        <v>#VALUE!</v>
      </c>
      <c r="CC573" s="129">
        <f t="shared" si="437"/>
        <v>458</v>
      </c>
      <c r="CD573" s="129">
        <f t="shared" si="438"/>
        <v>0</v>
      </c>
      <c r="CE573" s="129">
        <f t="shared" si="419"/>
        <v>0</v>
      </c>
      <c r="CG573" s="129" t="str">
        <f t="shared" si="420"/>
        <v>Y</v>
      </c>
      <c r="CI573" s="129" t="str">
        <f t="shared" si="421"/>
        <v xml:space="preserve"> &gt;1YRS&lt;2YRS</v>
      </c>
      <c r="CJ573" s="137">
        <f t="shared" si="422"/>
        <v>0</v>
      </c>
      <c r="CK573" s="129" t="str">
        <f t="shared" si="423"/>
        <v>Booked</v>
      </c>
    </row>
    <row r="574" spans="1:89" ht="15.75" customHeight="1" x14ac:dyDescent="0.25">
      <c r="A574" s="111">
        <v>3146</v>
      </c>
      <c r="B574" s="128" t="str">
        <f t="shared" si="397"/>
        <v>N</v>
      </c>
      <c r="C574" s="128" t="str">
        <f t="shared" si="398"/>
        <v>N</v>
      </c>
      <c r="D574" s="117">
        <v>1320875</v>
      </c>
      <c r="E574" s="135">
        <f t="shared" si="399"/>
        <v>5</v>
      </c>
      <c r="F574" s="124">
        <v>41025</v>
      </c>
      <c r="G574" s="125">
        <v>41026</v>
      </c>
      <c r="H574" s="117">
        <v>1320875</v>
      </c>
      <c r="I574" s="124">
        <v>41025</v>
      </c>
      <c r="J574" s="124">
        <v>41026</v>
      </c>
      <c r="K574" s="126">
        <v>5000</v>
      </c>
      <c r="L574" s="127" t="s">
        <v>569</v>
      </c>
      <c r="N574" s="129" t="str">
        <f t="shared" si="433"/>
        <v>N</v>
      </c>
      <c r="O574" s="128" t="s">
        <v>917</v>
      </c>
      <c r="P574" s="129" t="s">
        <v>39</v>
      </c>
      <c r="Q574" s="111">
        <f t="shared" si="432"/>
        <v>2</v>
      </c>
      <c r="R574" s="111">
        <f t="shared" si="400"/>
        <v>2</v>
      </c>
      <c r="S574" s="129">
        <v>1</v>
      </c>
      <c r="T574" s="129">
        <v>5</v>
      </c>
      <c r="U574" s="129">
        <v>1</v>
      </c>
      <c r="W574" s="111"/>
      <c r="AC574" s="130"/>
      <c r="AD574" s="130">
        <v>26579</v>
      </c>
      <c r="AE574" s="128" t="s">
        <v>32</v>
      </c>
      <c r="AF574" s="128" t="s">
        <v>33</v>
      </c>
      <c r="AG574" s="128" t="s">
        <v>872</v>
      </c>
      <c r="AH574" s="108" t="s">
        <v>58</v>
      </c>
      <c r="AI574" s="128" t="s">
        <v>70</v>
      </c>
      <c r="AJ574" s="129" t="s">
        <v>89</v>
      </c>
      <c r="AK574" s="129">
        <v>1</v>
      </c>
      <c r="AL574" s="3" t="s">
        <v>992</v>
      </c>
      <c r="AN574" s="117">
        <v>6</v>
      </c>
      <c r="AP574" s="129" t="s">
        <v>127</v>
      </c>
      <c r="AR574" s="128" t="s">
        <v>44</v>
      </c>
      <c r="AS574" s="129" t="s">
        <v>82</v>
      </c>
      <c r="BC574" s="129" t="s">
        <v>38</v>
      </c>
      <c r="BF574" s="111">
        <f t="shared" si="434"/>
        <v>2</v>
      </c>
      <c r="BG574" s="111">
        <f t="shared" si="435"/>
        <v>2</v>
      </c>
      <c r="BH574" s="111">
        <f t="shared" si="401"/>
        <v>2</v>
      </c>
      <c r="BI574" s="111">
        <f t="shared" si="402"/>
        <v>39.469945355191257</v>
      </c>
      <c r="BJ574" s="129">
        <f t="shared" si="403"/>
        <v>0</v>
      </c>
      <c r="BK574" s="129">
        <f t="shared" si="404"/>
        <v>0</v>
      </c>
      <c r="BL574" s="129" t="str">
        <f t="shared" si="430"/>
        <v>CONVICTION</v>
      </c>
      <c r="BM574" s="129" t="str">
        <f t="shared" si="406"/>
        <v>NONE</v>
      </c>
      <c r="BN574" s="129" t="s">
        <v>566</v>
      </c>
      <c r="BP574" s="137" t="str">
        <f t="shared" si="407"/>
        <v>CONVICTION</v>
      </c>
      <c r="BQ574" s="128" t="str">
        <f t="shared" si="408"/>
        <v>Y</v>
      </c>
      <c r="BR574" s="129" t="str">
        <f t="shared" si="409"/>
        <v>DETAINED</v>
      </c>
      <c r="BS574" s="129" t="str">
        <f t="shared" si="410"/>
        <v>DISPOSED</v>
      </c>
      <c r="BT574" s="129" t="str">
        <f t="shared" si="411"/>
        <v>Y</v>
      </c>
      <c r="BU574" s="109">
        <f t="shared" si="412"/>
        <v>1</v>
      </c>
      <c r="BV574" s="109">
        <f t="shared" si="413"/>
        <v>1</v>
      </c>
      <c r="BW574" s="109">
        <f t="shared" si="414"/>
        <v>0</v>
      </c>
      <c r="BX574" s="111">
        <f t="shared" si="415"/>
        <v>0</v>
      </c>
      <c r="BY574" s="129">
        <f t="shared" si="416"/>
        <v>-2</v>
      </c>
      <c r="BZ574" s="111">
        <f t="shared" si="417"/>
        <v>0</v>
      </c>
      <c r="CA574" s="138">
        <f t="shared" si="418"/>
        <v>2</v>
      </c>
      <c r="CB574" s="111" t="e">
        <f t="shared" si="436"/>
        <v>#VALUE!</v>
      </c>
      <c r="CC574" s="129">
        <f t="shared" si="437"/>
        <v>2</v>
      </c>
      <c r="CD574" s="129">
        <f t="shared" si="438"/>
        <v>0</v>
      </c>
      <c r="CE574" s="129">
        <f t="shared" si="419"/>
        <v>0</v>
      </c>
      <c r="CG574" s="129" t="str">
        <f t="shared" si="420"/>
        <v>Y</v>
      </c>
      <c r="CI574" s="129" t="str">
        <f t="shared" si="421"/>
        <v>0-10 DAYS</v>
      </c>
      <c r="CJ574" s="137">
        <f t="shared" si="422"/>
        <v>1</v>
      </c>
      <c r="CK574" s="129" t="str">
        <f t="shared" si="423"/>
        <v>Booked</v>
      </c>
    </row>
    <row r="575" spans="1:89" ht="15" customHeight="1" x14ac:dyDescent="0.25">
      <c r="A575" s="111">
        <v>2345</v>
      </c>
      <c r="B575" s="128" t="str">
        <f t="shared" si="397"/>
        <v>N</v>
      </c>
      <c r="C575" s="128" t="str">
        <f t="shared" si="398"/>
        <v>N</v>
      </c>
      <c r="D575" s="117">
        <v>1321649</v>
      </c>
      <c r="E575" s="135">
        <f t="shared" si="399"/>
        <v>4</v>
      </c>
      <c r="F575" s="124">
        <v>40997</v>
      </c>
      <c r="G575" s="125">
        <v>41001</v>
      </c>
      <c r="H575" s="117">
        <v>1321649</v>
      </c>
      <c r="I575" s="124">
        <v>40998</v>
      </c>
      <c r="J575" s="124">
        <v>41001</v>
      </c>
      <c r="K575" s="126">
        <v>5000</v>
      </c>
      <c r="L575" s="127" t="s">
        <v>569</v>
      </c>
      <c r="N575" s="129" t="str">
        <f t="shared" si="433"/>
        <v>N</v>
      </c>
      <c r="O575" s="128" t="s">
        <v>917</v>
      </c>
      <c r="P575" s="129" t="s">
        <v>39</v>
      </c>
      <c r="Q575" s="111">
        <f t="shared" si="432"/>
        <v>4</v>
      </c>
      <c r="R575" s="111">
        <f t="shared" si="400"/>
        <v>5</v>
      </c>
      <c r="S575" s="129">
        <v>9</v>
      </c>
      <c r="T575" s="129">
        <v>6</v>
      </c>
      <c r="U575" s="129">
        <v>6</v>
      </c>
      <c r="W575" s="111"/>
      <c r="AC575" s="130"/>
      <c r="AD575" s="130">
        <v>27755</v>
      </c>
      <c r="AE575" s="128" t="s">
        <v>32</v>
      </c>
      <c r="AF575" s="128" t="s">
        <v>33</v>
      </c>
      <c r="AG575" s="128" t="s">
        <v>872</v>
      </c>
      <c r="AH575" s="108" t="s">
        <v>58</v>
      </c>
      <c r="AI575" s="128" t="s">
        <v>90</v>
      </c>
      <c r="AJ575" s="129" t="s">
        <v>89</v>
      </c>
      <c r="AK575" s="129">
        <v>1</v>
      </c>
      <c r="AL575" s="3" t="s">
        <v>991</v>
      </c>
      <c r="AO575" s="128">
        <v>180</v>
      </c>
      <c r="AP575" s="129" t="s">
        <v>313</v>
      </c>
      <c r="AR575" s="128" t="s">
        <v>46</v>
      </c>
      <c r="AS575" s="129" t="s">
        <v>45</v>
      </c>
      <c r="BC575" s="129" t="s">
        <v>38</v>
      </c>
      <c r="BF575" s="111">
        <f t="shared" si="434"/>
        <v>4</v>
      </c>
      <c r="BG575" s="111">
        <f t="shared" si="435"/>
        <v>4</v>
      </c>
      <c r="BH575" s="111">
        <f t="shared" si="401"/>
        <v>5</v>
      </c>
      <c r="BI575" s="111">
        <f t="shared" si="402"/>
        <v>36.180327868852459</v>
      </c>
      <c r="BJ575" s="129">
        <f t="shared" si="403"/>
        <v>0</v>
      </c>
      <c r="BK575" s="129">
        <f t="shared" si="404"/>
        <v>0</v>
      </c>
      <c r="BL575" s="129" t="str">
        <f t="shared" si="430"/>
        <v>CONVICTION</v>
      </c>
      <c r="BM575" s="129" t="str">
        <f t="shared" si="406"/>
        <v>NONE</v>
      </c>
      <c r="BN575" s="129" t="s">
        <v>566</v>
      </c>
      <c r="BP575" s="137" t="str">
        <f t="shared" si="407"/>
        <v>CONVICTION</v>
      </c>
      <c r="BQ575" s="128" t="str">
        <f t="shared" si="408"/>
        <v>Y</v>
      </c>
      <c r="BR575" s="129" t="str">
        <f t="shared" si="409"/>
        <v>DETAINED</v>
      </c>
      <c r="BS575" s="129" t="str">
        <f t="shared" si="410"/>
        <v>DISPOSED</v>
      </c>
      <c r="BT575" s="129" t="str">
        <f t="shared" si="411"/>
        <v>Y</v>
      </c>
      <c r="BU575" s="109">
        <f t="shared" si="412"/>
        <v>0.8</v>
      </c>
      <c r="BV575" s="109">
        <f t="shared" si="413"/>
        <v>1</v>
      </c>
      <c r="BW575" s="109">
        <f t="shared" si="414"/>
        <v>0.19999999999999996</v>
      </c>
      <c r="BX575" s="111">
        <f t="shared" si="415"/>
        <v>0</v>
      </c>
      <c r="BY575" s="129">
        <f t="shared" si="416"/>
        <v>-4</v>
      </c>
      <c r="BZ575" s="111">
        <f t="shared" si="417"/>
        <v>0</v>
      </c>
      <c r="CA575" s="138">
        <f t="shared" si="418"/>
        <v>4</v>
      </c>
      <c r="CB575" s="111" t="e">
        <f t="shared" si="436"/>
        <v>#VALUE!</v>
      </c>
      <c r="CC575" s="129">
        <f t="shared" si="437"/>
        <v>4</v>
      </c>
      <c r="CD575" s="129">
        <f t="shared" si="438"/>
        <v>0</v>
      </c>
      <c r="CE575" s="129">
        <f t="shared" si="419"/>
        <v>0</v>
      </c>
      <c r="CG575" s="129" t="str">
        <f t="shared" si="420"/>
        <v>Y</v>
      </c>
      <c r="CI575" s="129" t="str">
        <f t="shared" si="421"/>
        <v>0-10 DAYS</v>
      </c>
      <c r="CJ575" s="137">
        <f t="shared" si="422"/>
        <v>1</v>
      </c>
      <c r="CK575" s="129" t="str">
        <f t="shared" si="423"/>
        <v>Booked</v>
      </c>
    </row>
    <row r="576" spans="1:89" ht="15.75" customHeight="1" x14ac:dyDescent="0.25">
      <c r="A576" s="111">
        <v>3110</v>
      </c>
      <c r="B576" s="128" t="str">
        <f t="shared" si="397"/>
        <v>N</v>
      </c>
      <c r="C576" s="128" t="str">
        <f t="shared" si="398"/>
        <v>N</v>
      </c>
      <c r="D576" s="117">
        <v>1322370</v>
      </c>
      <c r="E576" s="135">
        <f t="shared" si="399"/>
        <v>1</v>
      </c>
      <c r="F576" s="124">
        <v>41024</v>
      </c>
      <c r="G576" s="125">
        <v>41039</v>
      </c>
      <c r="H576" s="117">
        <v>1322370</v>
      </c>
      <c r="I576" s="124">
        <v>41024</v>
      </c>
      <c r="J576" s="124">
        <v>41039</v>
      </c>
      <c r="K576" s="126">
        <v>10000</v>
      </c>
      <c r="L576" s="127" t="s">
        <v>570</v>
      </c>
      <c r="N576" s="129" t="str">
        <f t="shared" si="433"/>
        <v>N</v>
      </c>
      <c r="O576" s="128" t="s">
        <v>917</v>
      </c>
      <c r="P576" s="129" t="s">
        <v>55</v>
      </c>
      <c r="Q576" s="111">
        <f t="shared" si="432"/>
        <v>16</v>
      </c>
      <c r="R576" s="111">
        <f t="shared" si="400"/>
        <v>16</v>
      </c>
      <c r="S576" s="129">
        <v>4</v>
      </c>
      <c r="T576" s="129">
        <v>4</v>
      </c>
      <c r="U576" s="129">
        <v>2</v>
      </c>
      <c r="W576" s="111"/>
      <c r="AC576" s="130"/>
      <c r="AD576" s="130">
        <v>27273</v>
      </c>
      <c r="AE576" s="128" t="s">
        <v>32</v>
      </c>
      <c r="AF576" s="128" t="s">
        <v>40</v>
      </c>
      <c r="AG576" s="128" t="s">
        <v>41</v>
      </c>
      <c r="AH576" s="108" t="s">
        <v>41</v>
      </c>
      <c r="AI576" s="128" t="s">
        <v>83</v>
      </c>
      <c r="AJ576" s="129" t="s">
        <v>55</v>
      </c>
      <c r="AK576" s="129">
        <v>2</v>
      </c>
      <c r="AL576" s="3" t="s">
        <v>55</v>
      </c>
      <c r="AP576" s="129" t="s">
        <v>93</v>
      </c>
      <c r="AR576" s="128" t="s">
        <v>67</v>
      </c>
      <c r="AS576" s="129" t="s">
        <v>45</v>
      </c>
      <c r="BC576" s="129" t="s">
        <v>38</v>
      </c>
      <c r="BF576" s="111">
        <f t="shared" si="434"/>
        <v>16</v>
      </c>
      <c r="BG576" s="111">
        <f t="shared" si="435"/>
        <v>16</v>
      </c>
      <c r="BH576" s="111">
        <f t="shared" si="401"/>
        <v>16</v>
      </c>
      <c r="BI576" s="111">
        <f t="shared" si="402"/>
        <v>37.571038251366119</v>
      </c>
      <c r="BJ576" s="129">
        <f t="shared" si="403"/>
        <v>0</v>
      </c>
      <c r="BK576" s="129">
        <f t="shared" si="404"/>
        <v>0</v>
      </c>
      <c r="BL576" s="129" t="str">
        <f t="shared" si="430"/>
        <v>NO CONVICTION</v>
      </c>
      <c r="BM576" s="129" t="str">
        <f t="shared" si="406"/>
        <v>NONE</v>
      </c>
      <c r="BN576" s="129" t="s">
        <v>566</v>
      </c>
      <c r="BP576" s="137" t="str">
        <f t="shared" si="407"/>
        <v>NO CONVICTION</v>
      </c>
      <c r="BQ576" s="128" t="str">
        <f t="shared" si="408"/>
        <v>Y</v>
      </c>
      <c r="BR576" s="129" t="str">
        <f t="shared" si="409"/>
        <v>DETAINED</v>
      </c>
      <c r="BS576" s="129" t="str">
        <f t="shared" si="410"/>
        <v>DISPOSED</v>
      </c>
      <c r="BT576" s="129" t="str">
        <f t="shared" si="411"/>
        <v>Y</v>
      </c>
      <c r="BU576" s="109">
        <f>IFERROR(Q576/R576,BR576)</f>
        <v>1</v>
      </c>
      <c r="BV576" s="109">
        <f t="shared" si="413"/>
        <v>1</v>
      </c>
      <c r="BW576" s="109">
        <f t="shared" si="414"/>
        <v>0</v>
      </c>
      <c r="BX576" s="111">
        <f t="shared" si="415"/>
        <v>0</v>
      </c>
      <c r="BY576" s="129">
        <f t="shared" si="416"/>
        <v>-16</v>
      </c>
      <c r="BZ576" s="111">
        <f t="shared" si="417"/>
        <v>0</v>
      </c>
      <c r="CA576" s="138">
        <f t="shared" si="418"/>
        <v>16</v>
      </c>
      <c r="CB576" s="111" t="e">
        <f t="shared" si="436"/>
        <v>#VALUE!</v>
      </c>
      <c r="CC576" s="129">
        <f t="shared" si="437"/>
        <v>16</v>
      </c>
      <c r="CD576" s="129">
        <f t="shared" si="438"/>
        <v>0</v>
      </c>
      <c r="CE576" s="129">
        <f t="shared" si="419"/>
        <v>0</v>
      </c>
      <c r="CG576" s="129" t="str">
        <f t="shared" si="420"/>
        <v>Y</v>
      </c>
      <c r="CI576" s="129" t="str">
        <f t="shared" si="421"/>
        <v>11-30 DAYS</v>
      </c>
      <c r="CJ576" s="137">
        <f t="shared" si="422"/>
        <v>2</v>
      </c>
      <c r="CK576" s="129" t="str">
        <f t="shared" si="423"/>
        <v>Booked</v>
      </c>
    </row>
    <row r="577" spans="1:89" ht="15" customHeight="1" x14ac:dyDescent="0.25">
      <c r="A577" s="111">
        <v>1370</v>
      </c>
      <c r="B577" s="128" t="str">
        <f t="shared" si="397"/>
        <v>N</v>
      </c>
      <c r="C577" s="128" t="str">
        <f t="shared" si="398"/>
        <v>N</v>
      </c>
      <c r="D577" s="117">
        <v>1323320</v>
      </c>
      <c r="E577" s="135">
        <f t="shared" si="399"/>
        <v>5</v>
      </c>
      <c r="F577" s="124">
        <v>40959</v>
      </c>
      <c r="G577" s="125">
        <v>40961</v>
      </c>
      <c r="H577" s="117">
        <v>1323320</v>
      </c>
      <c r="I577" s="124">
        <v>40959</v>
      </c>
      <c r="J577" s="124">
        <v>40961</v>
      </c>
      <c r="K577" s="126">
        <v>15000</v>
      </c>
      <c r="L577" s="127" t="s">
        <v>571</v>
      </c>
      <c r="N577" s="129" t="str">
        <f t="shared" si="433"/>
        <v>N</v>
      </c>
      <c r="O577" s="128" t="s">
        <v>917</v>
      </c>
      <c r="P577" s="129" t="s">
        <v>39</v>
      </c>
      <c r="Q577" s="111">
        <f t="shared" si="432"/>
        <v>3</v>
      </c>
      <c r="R577" s="111">
        <f t="shared" si="400"/>
        <v>3</v>
      </c>
      <c r="S577" s="129">
        <v>8</v>
      </c>
      <c r="T577" s="129">
        <v>9</v>
      </c>
      <c r="U577" s="129">
        <v>5</v>
      </c>
      <c r="W577" s="111"/>
      <c r="AC577" s="130"/>
      <c r="AD577" s="130">
        <v>27439</v>
      </c>
      <c r="AE577" s="128" t="s">
        <v>32</v>
      </c>
      <c r="AF577" s="128" t="s">
        <v>33</v>
      </c>
      <c r="AG577" s="128" t="s">
        <v>872</v>
      </c>
      <c r="AH577" s="108" t="s">
        <v>58</v>
      </c>
      <c r="AI577" s="128" t="s">
        <v>62</v>
      </c>
      <c r="AJ577" s="129" t="s">
        <v>89</v>
      </c>
      <c r="AK577" s="129">
        <v>2</v>
      </c>
      <c r="AL577" s="3" t="s">
        <v>992</v>
      </c>
      <c r="AN577" s="117">
        <v>7</v>
      </c>
      <c r="AP577" s="129" t="s">
        <v>108</v>
      </c>
      <c r="AR577" s="128" t="s">
        <v>44</v>
      </c>
      <c r="AS577" s="129" t="s">
        <v>61</v>
      </c>
      <c r="BC577" s="129" t="s">
        <v>38</v>
      </c>
      <c r="BF577" s="111">
        <f t="shared" si="434"/>
        <v>3</v>
      </c>
      <c r="BG577" s="111">
        <f t="shared" si="435"/>
        <v>3</v>
      </c>
      <c r="BH577" s="111">
        <f t="shared" si="401"/>
        <v>3</v>
      </c>
      <c r="BI577" s="111">
        <f t="shared" si="402"/>
        <v>36.939890710382514</v>
      </c>
      <c r="BJ577" s="129">
        <f t="shared" si="403"/>
        <v>0</v>
      </c>
      <c r="BK577" s="129">
        <f t="shared" si="404"/>
        <v>0</v>
      </c>
      <c r="BL577" s="129" t="str">
        <f t="shared" si="430"/>
        <v>CONVICTION</v>
      </c>
      <c r="BM577" s="129" t="str">
        <f t="shared" si="406"/>
        <v>NONE</v>
      </c>
      <c r="BN577" s="129" t="s">
        <v>566</v>
      </c>
      <c r="BP577" s="137" t="str">
        <f t="shared" si="407"/>
        <v>CONVICTION</v>
      </c>
      <c r="BQ577" s="128" t="str">
        <f t="shared" si="408"/>
        <v>Y</v>
      </c>
      <c r="BR577" s="129" t="str">
        <f t="shared" si="409"/>
        <v>DETAINED</v>
      </c>
      <c r="BS577" s="129" t="str">
        <f t="shared" si="410"/>
        <v>DISPOSED</v>
      </c>
      <c r="BT577" s="129" t="str">
        <f t="shared" si="411"/>
        <v>Y</v>
      </c>
      <c r="BU577" s="109">
        <f t="shared" si="412"/>
        <v>1</v>
      </c>
      <c r="BV577" s="109">
        <f t="shared" si="413"/>
        <v>1</v>
      </c>
      <c r="BW577" s="109">
        <f t="shared" si="414"/>
        <v>0</v>
      </c>
      <c r="BX577" s="111">
        <f t="shared" si="415"/>
        <v>0</v>
      </c>
      <c r="BY577" s="129">
        <f t="shared" si="416"/>
        <v>-3</v>
      </c>
      <c r="BZ577" s="111">
        <f t="shared" si="417"/>
        <v>0</v>
      </c>
      <c r="CA577" s="138">
        <f t="shared" si="418"/>
        <v>3</v>
      </c>
      <c r="CB577" s="111" t="e">
        <f t="shared" si="436"/>
        <v>#VALUE!</v>
      </c>
      <c r="CC577" s="129">
        <f t="shared" si="437"/>
        <v>3</v>
      </c>
      <c r="CD577" s="129">
        <f t="shared" si="438"/>
        <v>0</v>
      </c>
      <c r="CE577" s="129">
        <f t="shared" si="419"/>
        <v>0</v>
      </c>
      <c r="CG577" s="129" t="str">
        <f t="shared" si="420"/>
        <v>Y</v>
      </c>
      <c r="CI577" s="129" t="str">
        <f t="shared" si="421"/>
        <v>0-10 DAYS</v>
      </c>
      <c r="CJ577" s="137">
        <f t="shared" si="422"/>
        <v>1</v>
      </c>
      <c r="CK577" s="129" t="str">
        <f t="shared" si="423"/>
        <v>Booked</v>
      </c>
    </row>
    <row r="578" spans="1:89" ht="15.75" customHeight="1" x14ac:dyDescent="0.25">
      <c r="A578" s="111">
        <v>1418</v>
      </c>
      <c r="B578" s="128" t="str">
        <f t="shared" si="397"/>
        <v>N</v>
      </c>
      <c r="C578" s="128" t="str">
        <f t="shared" si="398"/>
        <v>N</v>
      </c>
      <c r="D578" s="117">
        <v>1323564</v>
      </c>
      <c r="E578" s="135">
        <f t="shared" si="399"/>
        <v>1</v>
      </c>
      <c r="F578" s="124">
        <v>40961</v>
      </c>
      <c r="G578" s="125">
        <v>41142</v>
      </c>
      <c r="H578" s="117">
        <v>1323564</v>
      </c>
      <c r="I578" s="124">
        <v>40961</v>
      </c>
      <c r="J578" s="124">
        <v>40964</v>
      </c>
      <c r="K578" s="126">
        <v>2000</v>
      </c>
      <c r="L578" s="127" t="s">
        <v>568</v>
      </c>
      <c r="M578" s="125">
        <v>40964</v>
      </c>
      <c r="N578" s="129" t="str">
        <f t="shared" si="433"/>
        <v>Y</v>
      </c>
      <c r="O578" s="128" t="s">
        <v>76</v>
      </c>
      <c r="P578" s="129" t="s">
        <v>55</v>
      </c>
      <c r="Q578" s="111">
        <f t="shared" si="432"/>
        <v>4</v>
      </c>
      <c r="R578" s="111">
        <f t="shared" ref="R578:R641" si="439">BH578</f>
        <v>182</v>
      </c>
      <c r="S578" s="129">
        <v>0</v>
      </c>
      <c r="T578" s="129">
        <v>1</v>
      </c>
      <c r="W578" s="111"/>
      <c r="AC578" s="130"/>
      <c r="AD578" s="130">
        <v>27320</v>
      </c>
      <c r="AE578" s="128" t="s">
        <v>46</v>
      </c>
      <c r="AF578" s="128" t="s">
        <v>69</v>
      </c>
      <c r="AG578" s="128" t="s">
        <v>874</v>
      </c>
      <c r="AH578" s="108" t="s">
        <v>31</v>
      </c>
      <c r="AI578" s="128" t="s">
        <v>53</v>
      </c>
      <c r="AJ578" s="129" t="s">
        <v>55</v>
      </c>
      <c r="AK578" s="129">
        <v>12</v>
      </c>
      <c r="AL578" s="3" t="s">
        <v>55</v>
      </c>
      <c r="AP578" s="129" t="s">
        <v>63</v>
      </c>
      <c r="AR578" s="128" t="s">
        <v>44</v>
      </c>
      <c r="AS578" s="129" t="s">
        <v>64</v>
      </c>
      <c r="BC578" s="129" t="s">
        <v>38</v>
      </c>
      <c r="BF578" s="111">
        <f t="shared" si="434"/>
        <v>4</v>
      </c>
      <c r="BG578" s="111">
        <f t="shared" si="435"/>
        <v>182</v>
      </c>
      <c r="BH578" s="111">
        <f t="shared" ref="BH578:BH641" si="440">IF(G578&gt;1/1/1900,((G578+1)-F578),"STILL OPEN")</f>
        <v>182</v>
      </c>
      <c r="BI578" s="111">
        <f t="shared" ref="BI578:BI641" si="441">(F578-AD578)/366</f>
        <v>37.270491803278688</v>
      </c>
      <c r="BJ578" s="129">
        <f>(G578-J578)+(M578-G578)</f>
        <v>0</v>
      </c>
      <c r="BK578" s="129">
        <f t="shared" ref="BK578:BK641" si="442">J578-G578</f>
        <v>-178</v>
      </c>
      <c r="BL578" s="129" t="str">
        <f t="shared" si="430"/>
        <v>NO CONVICTION</v>
      </c>
      <c r="BM578" s="129" t="s">
        <v>76</v>
      </c>
      <c r="BN578" s="129" t="s">
        <v>88</v>
      </c>
      <c r="BP578" s="137" t="str">
        <f t="shared" si="407"/>
        <v>NO CONVICTION</v>
      </c>
      <c r="BQ578" s="128" t="str">
        <f t="shared" si="408"/>
        <v>Y</v>
      </c>
      <c r="BR578" s="129" t="str">
        <f t="shared" si="409"/>
        <v>ON BOND</v>
      </c>
      <c r="BS578" s="129" t="str">
        <f t="shared" si="410"/>
        <v>DISPOSED</v>
      </c>
      <c r="BT578" s="129" t="str">
        <f t="shared" si="411"/>
        <v>N</v>
      </c>
      <c r="BU578" s="109">
        <f>IFERROR(Q578/R578,BR578)</f>
        <v>2.197802197802198E-2</v>
      </c>
      <c r="BV578" s="109">
        <f t="shared" si="413"/>
        <v>2.197802197802198E-2</v>
      </c>
      <c r="BW578" s="109">
        <f t="shared" si="414"/>
        <v>0</v>
      </c>
      <c r="BX578" s="111">
        <f t="shared" si="415"/>
        <v>0</v>
      </c>
      <c r="BY578" s="129">
        <f t="shared" si="416"/>
        <v>-4</v>
      </c>
      <c r="BZ578" s="111">
        <f t="shared" si="417"/>
        <v>0</v>
      </c>
      <c r="CA578" s="138">
        <f t="shared" si="418"/>
        <v>4</v>
      </c>
      <c r="CB578" s="111" t="e">
        <f t="shared" si="436"/>
        <v>#VALUE!</v>
      </c>
      <c r="CC578" s="129">
        <f>M578-I578+1</f>
        <v>4</v>
      </c>
      <c r="CD578" s="111">
        <f>CC578-BF578</f>
        <v>0</v>
      </c>
      <c r="CE578" s="129">
        <f t="shared" si="419"/>
        <v>178</v>
      </c>
      <c r="CG578" s="129" t="str">
        <f t="shared" si="420"/>
        <v>Y</v>
      </c>
      <c r="CI578" s="129" t="str">
        <f t="shared" si="421"/>
        <v>0-10 DAYS</v>
      </c>
      <c r="CJ578" s="137">
        <f t="shared" si="422"/>
        <v>1</v>
      </c>
      <c r="CK578" s="129" t="str">
        <f t="shared" si="423"/>
        <v>Booked</v>
      </c>
    </row>
    <row r="579" spans="1:89" ht="15.75" customHeight="1" x14ac:dyDescent="0.25">
      <c r="A579" s="111">
        <v>103</v>
      </c>
      <c r="B579" s="128" t="str">
        <f t="shared" ref="B579:B642" si="443">IF(BD579&lt;&gt;"","Y","N")</f>
        <v>N</v>
      </c>
      <c r="C579" s="128" t="str">
        <f t="shared" ref="C579:C642" si="444">IF((AND(AV579="",AX579="",AY579="")),"N","Y")</f>
        <v>N</v>
      </c>
      <c r="D579" s="117">
        <v>1325230</v>
      </c>
      <c r="E579" s="135">
        <f t="shared" ref="E579:E642" si="445">IF(OR(AL579="ACQUITTAL",AL579="ACQUIT",AL579="acq insane",AL579="DISMISSED",AL579="NO BILL"),1,IF(AL579="DEFERRED",2,IF(AL579="PROBATION",3,IF(OR(AL579="HCJ",AL579="fine"),4,IF(AL579="STJ",5,IF(AL579="TDC",6,""))))))</f>
        <v>6</v>
      </c>
      <c r="F579" s="124">
        <v>40914</v>
      </c>
      <c r="G579" s="125">
        <v>41038</v>
      </c>
      <c r="H579" s="117">
        <v>1325230</v>
      </c>
      <c r="I579" s="124">
        <v>40914</v>
      </c>
      <c r="J579" s="124">
        <v>41038</v>
      </c>
      <c r="K579" s="126" t="s">
        <v>564</v>
      </c>
      <c r="L579" s="127" t="s">
        <v>564</v>
      </c>
      <c r="N579" s="129" t="s">
        <v>566</v>
      </c>
      <c r="O579" s="128" t="s">
        <v>917</v>
      </c>
      <c r="P579" s="129" t="s">
        <v>39</v>
      </c>
      <c r="Q579" s="111">
        <f t="shared" si="432"/>
        <v>125</v>
      </c>
      <c r="R579" s="111">
        <f t="shared" si="439"/>
        <v>125</v>
      </c>
      <c r="S579" s="129">
        <v>1</v>
      </c>
      <c r="T579" s="129">
        <v>2</v>
      </c>
      <c r="W579" s="111"/>
      <c r="AC579" s="130"/>
      <c r="AD579" s="130">
        <v>27732</v>
      </c>
      <c r="AE579" s="128" t="s">
        <v>32</v>
      </c>
      <c r="AF579" s="128" t="s">
        <v>33</v>
      </c>
      <c r="AG579" s="128" t="s">
        <v>872</v>
      </c>
      <c r="AH579" s="108" t="s">
        <v>58</v>
      </c>
      <c r="AI579" s="128" t="s">
        <v>97</v>
      </c>
      <c r="AJ579" s="129" t="s">
        <v>89</v>
      </c>
      <c r="AK579" s="129">
        <v>5</v>
      </c>
      <c r="AL579" s="3" t="s">
        <v>362</v>
      </c>
      <c r="AM579" s="117">
        <v>8</v>
      </c>
      <c r="AP579" s="129" t="s">
        <v>132</v>
      </c>
      <c r="AR579" s="128" t="s">
        <v>92</v>
      </c>
      <c r="AS579" s="129" t="s">
        <v>82</v>
      </c>
      <c r="BC579" s="129" t="s">
        <v>52</v>
      </c>
      <c r="BF579" s="111">
        <f t="shared" si="434"/>
        <v>125</v>
      </c>
      <c r="BG579" s="111">
        <f t="shared" si="435"/>
        <v>125</v>
      </c>
      <c r="BH579" s="111">
        <f t="shared" si="440"/>
        <v>125</v>
      </c>
      <c r="BI579" s="111">
        <f t="shared" si="441"/>
        <v>36.016393442622949</v>
      </c>
      <c r="BJ579" s="129">
        <f t="shared" ref="BJ579:BJ642" si="446">G579-J579-M579</f>
        <v>0</v>
      </c>
      <c r="BK579" s="129">
        <f t="shared" si="442"/>
        <v>0</v>
      </c>
      <c r="BL579" s="129" t="str">
        <f t="shared" si="430"/>
        <v>CONVICTION</v>
      </c>
      <c r="BM579" s="129" t="str">
        <f t="shared" ref="BM579:BM642" si="447">O579</f>
        <v>NONE</v>
      </c>
      <c r="BN579" s="129" t="s">
        <v>566</v>
      </c>
      <c r="BP579" s="137" t="str">
        <f t="shared" ref="BP579:BP642" si="448">IF(OR(AJ579="AQUITTAL",AJ579="DISMISSED",AJ579="FINE",AJ579="NO BILL"),"NO CONVICTION",IF(OR(AJ579="HCJ",AJ579="MHH",AJ579="PROBATION",AJ579="STJ",AJ579="TDC",AJ579="CONVICTED"),"CONVICTION",IF(AJ579="DEFERRED","DEFERRED","")))</f>
        <v>CONVICTION</v>
      </c>
      <c r="BQ579" s="128" t="str">
        <f t="shared" ref="BQ579:BQ642" si="449">IF(BF579&gt;0,"Y",BF579)</f>
        <v>Y</v>
      </c>
      <c r="BR579" s="129" t="str">
        <f t="shared" ref="BR579:BR642" si="450">IF(AND(J579="NOT BOOKED",M579&gt;1/1/1),"BONDED - BEFORE BOOKED",IF(BG579="STILL OPEN","STILL OPEN",IF(N579="Y","ON BOND",IF(J579&gt;=G579,"DETAINED","RELEASED"))))</f>
        <v>DETAINED</v>
      </c>
      <c r="BS579" s="129" t="str">
        <f t="shared" ref="BS579:BS642" si="451">IF(G579&lt;&gt;"","DISPOSED","")</f>
        <v>DISPOSED</v>
      </c>
      <c r="BT579" s="129" t="str">
        <f t="shared" ref="BT579:BT642" si="452">IF(S579&gt;0,"Y","N")</f>
        <v>Y</v>
      </c>
      <c r="BU579" s="109">
        <f t="shared" ref="BU579:BU642" si="453">Q579/R579</f>
        <v>1</v>
      </c>
      <c r="BV579" s="109">
        <f t="shared" ref="BV579:BV642" si="454">IF(I579&gt;F579,((J579-I579+1)/(G579-I579+1)),(J579-I579+1)/(G579-F579+1))</f>
        <v>1</v>
      </c>
      <c r="BW579" s="109">
        <f t="shared" ref="BW579:BW612" si="455">BV579-BU579</f>
        <v>0</v>
      </c>
      <c r="BX579" s="111">
        <f t="shared" ref="BX579:BX642" si="456">+Q579-BF579</f>
        <v>0</v>
      </c>
      <c r="BY579" s="129">
        <f t="shared" ref="BY579:BY642" si="457">I579-J579-1</f>
        <v>-125</v>
      </c>
      <c r="BZ579" s="111">
        <f t="shared" ref="BZ579:BZ642" si="458">BY579+BF579</f>
        <v>0</v>
      </c>
      <c r="CA579" s="138">
        <f t="shared" ref="CA579:CA642" si="459">IF(AND(BS579="DISPOSED",BR579="DETAINED"),G579-I579+1,IF(AND(BS579="DISPOSED",BR579="ON BOND"),M579-I579+1,IF(AND(BS579="STILL OPEN","STILL OPEN"),"NOT BOOKED")))</f>
        <v>125</v>
      </c>
      <c r="CB579" s="111" t="e">
        <f t="shared" si="436"/>
        <v>#VALUE!</v>
      </c>
      <c r="CC579" s="129">
        <f>G579-I579+1</f>
        <v>125</v>
      </c>
      <c r="CD579" s="129">
        <f>G579-J579</f>
        <v>0</v>
      </c>
      <c r="CE579" s="129">
        <f t="shared" ref="CE579:CE642" si="460">G579-J579</f>
        <v>0</v>
      </c>
      <c r="CG579" s="129" t="str">
        <f t="shared" ref="CG579:CG642" si="461">IF((S579+T579+U579)&gt;0,"Y","N")</f>
        <v>Y</v>
      </c>
      <c r="CI579" s="129" t="str">
        <f t="shared" ref="CI579:CI642" si="462">IF(BF579&lt;11,"0-10 DAYS",IF(AND(BF579&gt;10,BF579&lt;31),"11-30 DAYS",IF((AND(BF579&gt;30,BF579&lt;61)),"31-60 DAYS",IF(AND(BF579&gt;60,BF579&lt;91),"61-90 DAYS",IF(AND(BF579&gt;90,BF579&lt;121),"91-120 DAYS",IF(AND(BF579&gt;120,BF579&lt;366),"121-365 DAYS",IF(AND(BF579&gt;365,BF579&lt;730)," &gt;1YRS&lt;2YRS",IF(AND(BF579&gt;729,BF579&lt;1095),"&gt;2YRS&lt;3YRS",IF(BF579&gt;1094,"&gt;3YRS")))))))))</f>
        <v>121-365 DAYS</v>
      </c>
      <c r="CJ579" s="137">
        <f t="shared" ref="CJ579:CJ642" si="463">IF(CI579="0-10 DAYS",1,IF(CI579="11-30 DAYS",2,IF(CI579="31-60 DAYS",3,IF(CI579="61-90 DAYS",4,IF(CK579="91-120 DAYS",5,IF(CI579="121-365 DAYS",6,IF(CI579="&gt;1YRS&lt;2YRS",7,IF(CI579="&gt;2YRS&lt;3YRS",8,IF(CI579="&gt;3YRS",9,0)))))))))</f>
        <v>6</v>
      </c>
      <c r="CK579" s="129" t="str">
        <f t="shared" ref="CK579:CK642" si="464">IF(I579="Not Booked","Not Booked","Booked")</f>
        <v>Booked</v>
      </c>
    </row>
    <row r="580" spans="1:89" ht="15" customHeight="1" x14ac:dyDescent="0.25">
      <c r="A580" s="111">
        <v>1285</v>
      </c>
      <c r="B580" s="128" t="str">
        <f t="shared" si="443"/>
        <v>N</v>
      </c>
      <c r="C580" s="128" t="str">
        <f t="shared" si="444"/>
        <v>N</v>
      </c>
      <c r="D580" s="117">
        <v>1328343</v>
      </c>
      <c r="E580" s="135">
        <f t="shared" si="445"/>
        <v>6</v>
      </c>
      <c r="F580" s="124">
        <v>40956</v>
      </c>
      <c r="G580" s="125">
        <v>41334</v>
      </c>
      <c r="H580" s="117">
        <v>1328343</v>
      </c>
      <c r="I580" s="124">
        <v>40956</v>
      </c>
      <c r="J580" s="124">
        <v>41150</v>
      </c>
      <c r="K580" s="126">
        <v>20000</v>
      </c>
      <c r="L580" s="127" t="s">
        <v>571</v>
      </c>
      <c r="M580" s="125">
        <v>41150</v>
      </c>
      <c r="N580" s="129" t="str">
        <f t="shared" ref="N580:N587" si="465">IF(M580&gt;1/1/1,"Y","N")</f>
        <v>Y</v>
      </c>
      <c r="O580" s="128" t="s">
        <v>76</v>
      </c>
      <c r="P580" s="129" t="s">
        <v>39</v>
      </c>
      <c r="Q580" s="111">
        <f t="shared" si="432"/>
        <v>195</v>
      </c>
      <c r="R580" s="111">
        <f t="shared" si="439"/>
        <v>379</v>
      </c>
      <c r="S580" s="129">
        <v>1</v>
      </c>
      <c r="T580" s="129">
        <v>0</v>
      </c>
      <c r="U580" s="129">
        <v>1</v>
      </c>
      <c r="W580" s="111"/>
      <c r="AC580" s="130"/>
      <c r="AD580" s="130">
        <v>27782</v>
      </c>
      <c r="AE580" s="128" t="s">
        <v>46</v>
      </c>
      <c r="AF580" s="128" t="s">
        <v>33</v>
      </c>
      <c r="AG580" s="128" t="s">
        <v>872</v>
      </c>
      <c r="AH580" s="108" t="s">
        <v>31</v>
      </c>
      <c r="AI580" s="128" t="s">
        <v>118</v>
      </c>
      <c r="AJ580" s="129" t="s">
        <v>89</v>
      </c>
      <c r="AK580" s="129">
        <v>14</v>
      </c>
      <c r="AL580" s="3" t="s">
        <v>362</v>
      </c>
      <c r="AM580" s="117">
        <v>23</v>
      </c>
      <c r="AP580" s="129" t="s">
        <v>131</v>
      </c>
      <c r="AR580" s="128" t="s">
        <v>50</v>
      </c>
      <c r="AS580" s="129" t="s">
        <v>106</v>
      </c>
      <c r="BC580" s="129" t="s">
        <v>38</v>
      </c>
      <c r="BF580" s="111">
        <f t="shared" si="434"/>
        <v>195</v>
      </c>
      <c r="BG580" s="111">
        <f t="shared" si="435"/>
        <v>379</v>
      </c>
      <c r="BH580" s="111">
        <f t="shared" si="440"/>
        <v>379</v>
      </c>
      <c r="BI580" s="111">
        <f t="shared" si="441"/>
        <v>35.994535519125684</v>
      </c>
      <c r="BJ580" s="129">
        <f>(G580-J580)+(M580-G580)</f>
        <v>0</v>
      </c>
      <c r="BK580" s="129">
        <f t="shared" si="442"/>
        <v>-184</v>
      </c>
      <c r="BL580" s="129" t="str">
        <f t="shared" si="430"/>
        <v>CONVICTION</v>
      </c>
      <c r="BM580" s="129" t="s">
        <v>76</v>
      </c>
      <c r="BN580" s="129" t="s">
        <v>88</v>
      </c>
      <c r="BP580" s="137" t="str">
        <f t="shared" si="448"/>
        <v>CONVICTION</v>
      </c>
      <c r="BQ580" s="128" t="str">
        <f t="shared" si="449"/>
        <v>Y</v>
      </c>
      <c r="BR580" s="129" t="str">
        <f>IF(J580&lt;G580,"ON BOND",0)</f>
        <v>ON BOND</v>
      </c>
      <c r="BS580" s="129" t="str">
        <f t="shared" si="451"/>
        <v>DISPOSED</v>
      </c>
      <c r="BT580" s="129" t="str">
        <f t="shared" si="452"/>
        <v>Y</v>
      </c>
      <c r="BU580" s="109">
        <f t="shared" si="453"/>
        <v>0.51451187335092352</v>
      </c>
      <c r="BV580" s="109">
        <f t="shared" si="454"/>
        <v>0.51451187335092352</v>
      </c>
      <c r="BW580" s="109">
        <f t="shared" si="455"/>
        <v>0</v>
      </c>
      <c r="BX580" s="111">
        <f t="shared" si="456"/>
        <v>0</v>
      </c>
      <c r="BY580" s="129">
        <f t="shared" si="457"/>
        <v>-195</v>
      </c>
      <c r="BZ580" s="111">
        <f t="shared" si="458"/>
        <v>0</v>
      </c>
      <c r="CA580" s="138">
        <f t="shared" si="459"/>
        <v>195</v>
      </c>
      <c r="CB580" s="111" t="e">
        <f t="shared" si="436"/>
        <v>#VALUE!</v>
      </c>
      <c r="CC580" s="129">
        <f>M580-I580+1</f>
        <v>195</v>
      </c>
      <c r="CD580" s="111">
        <f>CC580-BF580</f>
        <v>0</v>
      </c>
      <c r="CE580" s="129">
        <f t="shared" si="460"/>
        <v>184</v>
      </c>
      <c r="CG580" s="129" t="str">
        <f t="shared" si="461"/>
        <v>Y</v>
      </c>
      <c r="CI580" s="129" t="str">
        <f t="shared" si="462"/>
        <v>121-365 DAYS</v>
      </c>
      <c r="CJ580" s="137">
        <f t="shared" si="463"/>
        <v>6</v>
      </c>
      <c r="CK580" s="129" t="str">
        <f t="shared" si="464"/>
        <v>Booked</v>
      </c>
    </row>
    <row r="581" spans="1:89" ht="15.75" customHeight="1" x14ac:dyDescent="0.25">
      <c r="A581" s="111">
        <v>2720</v>
      </c>
      <c r="B581" s="128" t="str">
        <f t="shared" si="443"/>
        <v>N</v>
      </c>
      <c r="C581" s="128" t="str">
        <f t="shared" si="444"/>
        <v>N</v>
      </c>
      <c r="D581" s="117">
        <v>1328883</v>
      </c>
      <c r="E581" s="135">
        <f t="shared" si="445"/>
        <v>5</v>
      </c>
      <c r="F581" s="124">
        <v>41010</v>
      </c>
      <c r="G581" s="125">
        <v>41130</v>
      </c>
      <c r="H581" s="117">
        <v>1328883</v>
      </c>
      <c r="I581" s="124">
        <v>41010</v>
      </c>
      <c r="J581" s="124">
        <v>41033</v>
      </c>
      <c r="K581" s="126">
        <v>15000</v>
      </c>
      <c r="L581" s="127" t="s">
        <v>571</v>
      </c>
      <c r="M581" s="125">
        <v>41033</v>
      </c>
      <c r="N581" s="129" t="str">
        <f t="shared" si="465"/>
        <v>Y</v>
      </c>
      <c r="O581" s="128" t="s">
        <v>585</v>
      </c>
      <c r="P581" s="129" t="s">
        <v>39</v>
      </c>
      <c r="Q581" s="111">
        <f t="shared" si="432"/>
        <v>24</v>
      </c>
      <c r="R581" s="111">
        <f t="shared" si="439"/>
        <v>121</v>
      </c>
      <c r="S581" s="129">
        <v>1</v>
      </c>
      <c r="T581" s="129">
        <v>1</v>
      </c>
      <c r="U581" s="129">
        <v>1</v>
      </c>
      <c r="W581" s="111"/>
      <c r="AC581" s="130"/>
      <c r="AD581" s="130">
        <v>27676</v>
      </c>
      <c r="AE581" s="128" t="s">
        <v>32</v>
      </c>
      <c r="AF581" s="128" t="s">
        <v>33</v>
      </c>
      <c r="AG581" s="128" t="s">
        <v>872</v>
      </c>
      <c r="AH581" s="108" t="s">
        <v>31</v>
      </c>
      <c r="AI581" s="128" t="s">
        <v>72</v>
      </c>
      <c r="AJ581" s="129" t="s">
        <v>89</v>
      </c>
      <c r="AK581" s="129">
        <v>5</v>
      </c>
      <c r="AL581" s="3" t="s">
        <v>992</v>
      </c>
      <c r="AN581" s="117">
        <v>6</v>
      </c>
      <c r="AP581" s="129" t="s">
        <v>43</v>
      </c>
      <c r="AR581" s="128" t="s">
        <v>44</v>
      </c>
      <c r="AS581" s="129" t="s">
        <v>45</v>
      </c>
      <c r="BC581" s="129" t="s">
        <v>38</v>
      </c>
      <c r="BF581" s="111">
        <f t="shared" si="434"/>
        <v>24</v>
      </c>
      <c r="BG581" s="111">
        <f t="shared" si="435"/>
        <v>121</v>
      </c>
      <c r="BH581" s="111">
        <f t="shared" si="440"/>
        <v>121</v>
      </c>
      <c r="BI581" s="111">
        <f t="shared" si="441"/>
        <v>36.431693989071036</v>
      </c>
      <c r="BJ581" s="129">
        <f>(G581-J581)+(M581-G581)</f>
        <v>0</v>
      </c>
      <c r="BK581" s="129">
        <f t="shared" si="442"/>
        <v>-97</v>
      </c>
      <c r="BL581" s="129" t="str">
        <f t="shared" si="430"/>
        <v>CONVICTION</v>
      </c>
      <c r="BM581" s="129" t="s">
        <v>76</v>
      </c>
      <c r="BN581" s="129" t="s">
        <v>88</v>
      </c>
      <c r="BP581" s="137" t="str">
        <f t="shared" si="448"/>
        <v>CONVICTION</v>
      </c>
      <c r="BQ581" s="128" t="str">
        <f t="shared" si="449"/>
        <v>Y</v>
      </c>
      <c r="BR581" s="129" t="str">
        <f>IF(J581&lt;G581,"ON BOND",0)</f>
        <v>ON BOND</v>
      </c>
      <c r="BS581" s="129" t="str">
        <f t="shared" si="451"/>
        <v>DISPOSED</v>
      </c>
      <c r="BT581" s="129" t="str">
        <f t="shared" si="452"/>
        <v>Y</v>
      </c>
      <c r="BU581" s="109">
        <f t="shared" si="453"/>
        <v>0.19834710743801653</v>
      </c>
      <c r="BV581" s="109">
        <f t="shared" si="454"/>
        <v>0.19834710743801653</v>
      </c>
      <c r="BW581" s="109">
        <f t="shared" si="455"/>
        <v>0</v>
      </c>
      <c r="BX581" s="111">
        <f t="shared" si="456"/>
        <v>0</v>
      </c>
      <c r="BY581" s="129">
        <f t="shared" si="457"/>
        <v>-24</v>
      </c>
      <c r="BZ581" s="111">
        <f t="shared" si="458"/>
        <v>0</v>
      </c>
      <c r="CA581" s="138">
        <f t="shared" si="459"/>
        <v>24</v>
      </c>
      <c r="CB581" s="111" t="e">
        <f t="shared" si="436"/>
        <v>#VALUE!</v>
      </c>
      <c r="CC581" s="129">
        <f>M581-I581+1</f>
        <v>24</v>
      </c>
      <c r="CD581" s="111">
        <f>CC581-BF581</f>
        <v>0</v>
      </c>
      <c r="CE581" s="129">
        <f t="shared" si="460"/>
        <v>97</v>
      </c>
      <c r="CG581" s="129" t="str">
        <f t="shared" si="461"/>
        <v>Y</v>
      </c>
      <c r="CI581" s="129" t="str">
        <f t="shared" si="462"/>
        <v>11-30 DAYS</v>
      </c>
      <c r="CJ581" s="137">
        <f t="shared" si="463"/>
        <v>2</v>
      </c>
      <c r="CK581" s="129" t="str">
        <f t="shared" si="464"/>
        <v>Booked</v>
      </c>
    </row>
    <row r="582" spans="1:89" ht="15" customHeight="1" x14ac:dyDescent="0.25">
      <c r="A582" s="111">
        <v>716</v>
      </c>
      <c r="B582" s="128" t="str">
        <f t="shared" si="443"/>
        <v>N</v>
      </c>
      <c r="C582" s="128" t="str">
        <f t="shared" si="444"/>
        <v>N</v>
      </c>
      <c r="D582" s="117">
        <v>1330440</v>
      </c>
      <c r="E582" s="135">
        <f t="shared" si="445"/>
        <v>4</v>
      </c>
      <c r="F582" s="124">
        <v>40936</v>
      </c>
      <c r="G582" s="125">
        <v>40938</v>
      </c>
      <c r="H582" s="117">
        <v>1330440</v>
      </c>
      <c r="I582" s="124">
        <v>40937</v>
      </c>
      <c r="J582" s="124">
        <v>40938</v>
      </c>
      <c r="K582" s="126">
        <v>15000</v>
      </c>
      <c r="L582" s="127" t="s">
        <v>571</v>
      </c>
      <c r="N582" s="129" t="str">
        <f t="shared" si="465"/>
        <v>N</v>
      </c>
      <c r="O582" s="128" t="s">
        <v>917</v>
      </c>
      <c r="P582" s="129" t="s">
        <v>39</v>
      </c>
      <c r="Q582" s="111">
        <f t="shared" si="432"/>
        <v>2</v>
      </c>
      <c r="R582" s="111">
        <f t="shared" si="439"/>
        <v>3</v>
      </c>
      <c r="S582" s="129">
        <v>2</v>
      </c>
      <c r="T582" s="129">
        <v>8</v>
      </c>
      <c r="U582" s="129">
        <v>2</v>
      </c>
      <c r="W582" s="111"/>
      <c r="AC582" s="130"/>
      <c r="AD582" s="130">
        <v>26740</v>
      </c>
      <c r="AE582" s="128" t="s">
        <v>32</v>
      </c>
      <c r="AF582" s="128" t="s">
        <v>40</v>
      </c>
      <c r="AG582" s="128" t="s">
        <v>41</v>
      </c>
      <c r="AH582" s="108" t="s">
        <v>41</v>
      </c>
      <c r="AI582" s="128" t="s">
        <v>85</v>
      </c>
      <c r="AJ582" s="129" t="s">
        <v>89</v>
      </c>
      <c r="AK582" s="129">
        <v>1</v>
      </c>
      <c r="AL582" s="3" t="s">
        <v>991</v>
      </c>
      <c r="AO582" s="128">
        <v>30</v>
      </c>
      <c r="AP582" s="129" t="s">
        <v>43</v>
      </c>
      <c r="AR582" s="128" t="s">
        <v>44</v>
      </c>
      <c r="AS582" s="129" t="s">
        <v>45</v>
      </c>
      <c r="BC582" s="129" t="s">
        <v>38</v>
      </c>
      <c r="BF582" s="111">
        <f t="shared" si="434"/>
        <v>2</v>
      </c>
      <c r="BG582" s="111">
        <f t="shared" si="435"/>
        <v>2</v>
      </c>
      <c r="BH582" s="111">
        <f t="shared" si="440"/>
        <v>3</v>
      </c>
      <c r="BI582" s="111">
        <f t="shared" si="441"/>
        <v>38.786885245901637</v>
      </c>
      <c r="BJ582" s="129">
        <f t="shared" si="446"/>
        <v>0</v>
      </c>
      <c r="BK582" s="129">
        <f t="shared" si="442"/>
        <v>0</v>
      </c>
      <c r="BL582" s="129" t="str">
        <f t="shared" si="430"/>
        <v>CONVICTION</v>
      </c>
      <c r="BM582" s="129" t="str">
        <f t="shared" si="447"/>
        <v>NONE</v>
      </c>
      <c r="BN582" s="129" t="s">
        <v>566</v>
      </c>
      <c r="BP582" s="137" t="str">
        <f t="shared" si="448"/>
        <v>CONVICTION</v>
      </c>
      <c r="BQ582" s="128" t="str">
        <f t="shared" si="449"/>
        <v>Y</v>
      </c>
      <c r="BR582" s="129" t="str">
        <f t="shared" si="450"/>
        <v>DETAINED</v>
      </c>
      <c r="BS582" s="129" t="str">
        <f t="shared" si="451"/>
        <v>DISPOSED</v>
      </c>
      <c r="BT582" s="129" t="str">
        <f t="shared" si="452"/>
        <v>Y</v>
      </c>
      <c r="BU582" s="109">
        <f t="shared" si="453"/>
        <v>0.66666666666666663</v>
      </c>
      <c r="BV582" s="109">
        <f t="shared" si="454"/>
        <v>1</v>
      </c>
      <c r="BW582" s="109">
        <f t="shared" si="455"/>
        <v>0.33333333333333337</v>
      </c>
      <c r="BX582" s="111">
        <f t="shared" si="456"/>
        <v>0</v>
      </c>
      <c r="BY582" s="129">
        <f t="shared" si="457"/>
        <v>-2</v>
      </c>
      <c r="BZ582" s="111">
        <f t="shared" si="458"/>
        <v>0</v>
      </c>
      <c r="CA582" s="138">
        <f t="shared" si="459"/>
        <v>2</v>
      </c>
      <c r="CB582" s="111" t="e">
        <f t="shared" si="436"/>
        <v>#VALUE!</v>
      </c>
      <c r="CC582" s="129">
        <f>G582-I582+1</f>
        <v>2</v>
      </c>
      <c r="CD582" s="129">
        <f>G582-J582</f>
        <v>0</v>
      </c>
      <c r="CE582" s="129">
        <f t="shared" si="460"/>
        <v>0</v>
      </c>
      <c r="CG582" s="129" t="str">
        <f t="shared" si="461"/>
        <v>Y</v>
      </c>
      <c r="CI582" s="129" t="str">
        <f t="shared" si="462"/>
        <v>0-10 DAYS</v>
      </c>
      <c r="CJ582" s="137">
        <f t="shared" si="463"/>
        <v>1</v>
      </c>
      <c r="CK582" s="129" t="str">
        <f t="shared" si="464"/>
        <v>Booked</v>
      </c>
    </row>
    <row r="583" spans="1:89" ht="15.75" customHeight="1" x14ac:dyDescent="0.25">
      <c r="A583" s="111">
        <v>1981</v>
      </c>
      <c r="B583" s="128" t="str">
        <f t="shared" si="443"/>
        <v>N</v>
      </c>
      <c r="C583" s="128" t="str">
        <f t="shared" si="444"/>
        <v>N</v>
      </c>
      <c r="D583" s="117">
        <v>1333076</v>
      </c>
      <c r="E583" s="135">
        <f t="shared" si="445"/>
        <v>3</v>
      </c>
      <c r="F583" s="124">
        <v>40983</v>
      </c>
      <c r="G583" s="125">
        <v>40984</v>
      </c>
      <c r="H583" s="117">
        <v>1333076</v>
      </c>
      <c r="I583" s="124">
        <v>40983</v>
      </c>
      <c r="J583" s="124">
        <v>40984</v>
      </c>
      <c r="K583" s="126">
        <v>10000</v>
      </c>
      <c r="L583" s="127" t="s">
        <v>570</v>
      </c>
      <c r="N583" s="129" t="str">
        <f t="shared" si="465"/>
        <v>N</v>
      </c>
      <c r="O583" s="128" t="s">
        <v>917</v>
      </c>
      <c r="P583" s="129" t="s">
        <v>39</v>
      </c>
      <c r="Q583" s="111">
        <f t="shared" si="432"/>
        <v>2</v>
      </c>
      <c r="R583" s="111">
        <f t="shared" si="439"/>
        <v>2</v>
      </c>
      <c r="S583" s="129">
        <v>0</v>
      </c>
      <c r="T583" s="129">
        <v>2</v>
      </c>
      <c r="W583" s="111"/>
      <c r="AC583" s="130"/>
      <c r="AD583" s="130">
        <v>18432</v>
      </c>
      <c r="AE583" s="128" t="s">
        <v>32</v>
      </c>
      <c r="AF583" s="128" t="s">
        <v>69</v>
      </c>
      <c r="AG583" s="128" t="s">
        <v>874</v>
      </c>
      <c r="AH583" s="108" t="s">
        <v>58</v>
      </c>
      <c r="AI583" s="128" t="s">
        <v>118</v>
      </c>
      <c r="AJ583" s="129" t="s">
        <v>89</v>
      </c>
      <c r="AK583" s="129">
        <v>1</v>
      </c>
      <c r="AL583" s="3" t="s">
        <v>185</v>
      </c>
      <c r="AP583" s="129" t="s">
        <v>66</v>
      </c>
      <c r="AR583" s="128" t="s">
        <v>67</v>
      </c>
      <c r="AS583" s="129" t="s">
        <v>68</v>
      </c>
      <c r="AT583" s="129" t="s">
        <v>398</v>
      </c>
      <c r="BC583" s="129" t="s">
        <v>38</v>
      </c>
      <c r="BF583" s="111">
        <f t="shared" si="434"/>
        <v>2</v>
      </c>
      <c r="BG583" s="111">
        <f t="shared" si="435"/>
        <v>2</v>
      </c>
      <c r="BH583" s="111">
        <f t="shared" si="440"/>
        <v>2</v>
      </c>
      <c r="BI583" s="111">
        <f t="shared" si="441"/>
        <v>61.614754098360656</v>
      </c>
      <c r="BJ583" s="129">
        <f t="shared" si="446"/>
        <v>0</v>
      </c>
      <c r="BK583" s="129">
        <f t="shared" si="442"/>
        <v>0</v>
      </c>
      <c r="BL583" s="129" t="str">
        <f t="shared" si="430"/>
        <v>CONVICTION</v>
      </c>
      <c r="BM583" s="129" t="str">
        <f t="shared" si="447"/>
        <v>NONE</v>
      </c>
      <c r="BN583" s="129" t="s">
        <v>566</v>
      </c>
      <c r="BP583" s="137" t="str">
        <f t="shared" si="448"/>
        <v>CONVICTION</v>
      </c>
      <c r="BQ583" s="128" t="str">
        <f t="shared" si="449"/>
        <v>Y</v>
      </c>
      <c r="BR583" s="129" t="str">
        <f t="shared" si="450"/>
        <v>DETAINED</v>
      </c>
      <c r="BS583" s="129" t="str">
        <f t="shared" si="451"/>
        <v>DISPOSED</v>
      </c>
      <c r="BT583" s="129" t="str">
        <f t="shared" si="452"/>
        <v>N</v>
      </c>
      <c r="BU583" s="109">
        <f t="shared" si="453"/>
        <v>1</v>
      </c>
      <c r="BV583" s="109">
        <f t="shared" si="454"/>
        <v>1</v>
      </c>
      <c r="BW583" s="109">
        <f t="shared" si="455"/>
        <v>0</v>
      </c>
      <c r="BX583" s="111">
        <f t="shared" si="456"/>
        <v>0</v>
      </c>
      <c r="BY583" s="129">
        <f t="shared" si="457"/>
        <v>-2</v>
      </c>
      <c r="BZ583" s="111">
        <f t="shared" si="458"/>
        <v>0</v>
      </c>
      <c r="CA583" s="138">
        <f t="shared" si="459"/>
        <v>2</v>
      </c>
      <c r="CB583" s="111" t="e">
        <f t="shared" si="436"/>
        <v>#VALUE!</v>
      </c>
      <c r="CC583" s="129">
        <f>G583-I583+1</f>
        <v>2</v>
      </c>
      <c r="CD583" s="129">
        <f>G583-J583</f>
        <v>0</v>
      </c>
      <c r="CE583" s="129">
        <f t="shared" si="460"/>
        <v>0</v>
      </c>
      <c r="CG583" s="129" t="str">
        <f t="shared" si="461"/>
        <v>Y</v>
      </c>
      <c r="CI583" s="129" t="str">
        <f t="shared" si="462"/>
        <v>0-10 DAYS</v>
      </c>
      <c r="CJ583" s="137">
        <f t="shared" si="463"/>
        <v>1</v>
      </c>
      <c r="CK583" s="129" t="str">
        <f t="shared" si="464"/>
        <v>Booked</v>
      </c>
    </row>
    <row r="584" spans="1:89" ht="15.75" customHeight="1" x14ac:dyDescent="0.25">
      <c r="A584" s="111">
        <v>1876</v>
      </c>
      <c r="B584" s="128" t="str">
        <f t="shared" si="443"/>
        <v>N</v>
      </c>
      <c r="C584" s="128" t="str">
        <f t="shared" si="444"/>
        <v>N</v>
      </c>
      <c r="D584" s="117">
        <v>1333523</v>
      </c>
      <c r="E584" s="135">
        <f t="shared" si="445"/>
        <v>6</v>
      </c>
      <c r="F584" s="124">
        <v>40978</v>
      </c>
      <c r="G584" s="125">
        <v>41208</v>
      </c>
      <c r="H584" s="117">
        <v>1333523</v>
      </c>
      <c r="I584" s="124">
        <v>40978</v>
      </c>
      <c r="J584" s="124">
        <v>40980</v>
      </c>
      <c r="K584" s="126">
        <v>20000</v>
      </c>
      <c r="L584" s="127" t="s">
        <v>571</v>
      </c>
      <c r="M584" s="125">
        <v>40980</v>
      </c>
      <c r="N584" s="129" t="str">
        <f t="shared" si="465"/>
        <v>Y</v>
      </c>
      <c r="O584" s="128" t="s">
        <v>76</v>
      </c>
      <c r="P584" s="129" t="s">
        <v>39</v>
      </c>
      <c r="Q584" s="111">
        <f t="shared" si="432"/>
        <v>3</v>
      </c>
      <c r="R584" s="111">
        <f t="shared" si="439"/>
        <v>231</v>
      </c>
      <c r="S584" s="129">
        <v>1</v>
      </c>
      <c r="T584" s="129">
        <v>2</v>
      </c>
      <c r="U584" s="129">
        <v>1</v>
      </c>
      <c r="W584" s="111"/>
      <c r="AC584" s="130"/>
      <c r="AD584" s="130">
        <v>26937</v>
      </c>
      <c r="AE584" s="128" t="s">
        <v>32</v>
      </c>
      <c r="AF584" s="128" t="s">
        <v>40</v>
      </c>
      <c r="AG584" s="128" t="s">
        <v>41</v>
      </c>
      <c r="AH584" s="108" t="s">
        <v>41</v>
      </c>
      <c r="AI584" s="128" t="s">
        <v>83</v>
      </c>
      <c r="AJ584" s="129" t="s">
        <v>89</v>
      </c>
      <c r="AK584" s="129">
        <v>8</v>
      </c>
      <c r="AL584" s="3" t="s">
        <v>362</v>
      </c>
      <c r="AM584" s="117">
        <v>2</v>
      </c>
      <c r="AP584" s="129" t="s">
        <v>66</v>
      </c>
      <c r="AR584" s="128" t="s">
        <v>67</v>
      </c>
      <c r="AS584" s="129" t="s">
        <v>68</v>
      </c>
      <c r="BC584" s="129" t="s">
        <v>52</v>
      </c>
      <c r="BF584" s="111">
        <f t="shared" si="434"/>
        <v>3</v>
      </c>
      <c r="BG584" s="111">
        <f t="shared" si="435"/>
        <v>231</v>
      </c>
      <c r="BH584" s="111">
        <f t="shared" si="440"/>
        <v>231</v>
      </c>
      <c r="BI584" s="111">
        <f t="shared" si="441"/>
        <v>38.363387978142079</v>
      </c>
      <c r="BJ584" s="129">
        <f>(G584-J584)+(M584-G584)</f>
        <v>0</v>
      </c>
      <c r="BK584" s="129">
        <f t="shared" si="442"/>
        <v>-228</v>
      </c>
      <c r="BL584" s="129" t="str">
        <f t="shared" si="430"/>
        <v>CONVICTION</v>
      </c>
      <c r="BM584" s="129" t="s">
        <v>76</v>
      </c>
      <c r="BN584" s="129" t="s">
        <v>88</v>
      </c>
      <c r="BP584" s="137" t="str">
        <f t="shared" si="448"/>
        <v>CONVICTION</v>
      </c>
      <c r="BQ584" s="128" t="str">
        <f t="shared" si="449"/>
        <v>Y</v>
      </c>
      <c r="BR584" s="129" t="str">
        <f>IF(J584&lt;G584,"ON BOND",0)</f>
        <v>ON BOND</v>
      </c>
      <c r="BS584" s="129" t="str">
        <f t="shared" si="451"/>
        <v>DISPOSED</v>
      </c>
      <c r="BT584" s="129" t="str">
        <f t="shared" si="452"/>
        <v>Y</v>
      </c>
      <c r="BU584" s="109">
        <f t="shared" si="453"/>
        <v>1.2987012987012988E-2</v>
      </c>
      <c r="BV584" s="109">
        <f t="shared" si="454"/>
        <v>1.2987012987012988E-2</v>
      </c>
      <c r="BW584" s="109">
        <f t="shared" si="455"/>
        <v>0</v>
      </c>
      <c r="BX584" s="111">
        <f t="shared" si="456"/>
        <v>0</v>
      </c>
      <c r="BY584" s="129">
        <f t="shared" si="457"/>
        <v>-3</v>
      </c>
      <c r="BZ584" s="111">
        <f t="shared" si="458"/>
        <v>0</v>
      </c>
      <c r="CA584" s="138">
        <f t="shared" si="459"/>
        <v>3</v>
      </c>
      <c r="CB584" s="111" t="e">
        <f t="shared" si="436"/>
        <v>#VALUE!</v>
      </c>
      <c r="CC584" s="129">
        <f>M584-I584+1</f>
        <v>3</v>
      </c>
      <c r="CD584" s="111">
        <f>CC584-BF584</f>
        <v>0</v>
      </c>
      <c r="CE584" s="129">
        <f t="shared" si="460"/>
        <v>228</v>
      </c>
      <c r="CG584" s="129" t="str">
        <f t="shared" si="461"/>
        <v>Y</v>
      </c>
      <c r="CI584" s="129" t="str">
        <f t="shared" si="462"/>
        <v>0-10 DAYS</v>
      </c>
      <c r="CJ584" s="137">
        <f t="shared" si="463"/>
        <v>1</v>
      </c>
      <c r="CK584" s="129" t="str">
        <f t="shared" si="464"/>
        <v>Booked</v>
      </c>
    </row>
    <row r="585" spans="1:89" ht="15" customHeight="1" x14ac:dyDescent="0.25">
      <c r="A585" s="111">
        <v>2161</v>
      </c>
      <c r="B585" s="128" t="str">
        <f t="shared" si="443"/>
        <v>N</v>
      </c>
      <c r="C585" s="128" t="str">
        <f t="shared" si="444"/>
        <v>N</v>
      </c>
      <c r="D585" s="117">
        <v>1334533</v>
      </c>
      <c r="E585" s="135">
        <f t="shared" si="445"/>
        <v>6</v>
      </c>
      <c r="F585" s="124">
        <v>40990</v>
      </c>
      <c r="G585" s="125">
        <v>41129</v>
      </c>
      <c r="H585" s="117">
        <v>1334533</v>
      </c>
      <c r="I585" s="124">
        <v>40990</v>
      </c>
      <c r="J585" s="124">
        <v>41129</v>
      </c>
      <c r="K585" s="126">
        <v>15000</v>
      </c>
      <c r="L585" s="127" t="s">
        <v>571</v>
      </c>
      <c r="N585" s="129" t="str">
        <f t="shared" si="465"/>
        <v>N</v>
      </c>
      <c r="O585" s="128" t="s">
        <v>917</v>
      </c>
      <c r="P585" s="129" t="s">
        <v>39</v>
      </c>
      <c r="Q585" s="111">
        <f t="shared" si="432"/>
        <v>140</v>
      </c>
      <c r="R585" s="111">
        <f t="shared" si="439"/>
        <v>140</v>
      </c>
      <c r="S585" s="129">
        <v>5</v>
      </c>
      <c r="T585" s="129">
        <v>5</v>
      </c>
      <c r="U585" s="129">
        <v>4</v>
      </c>
      <c r="W585" s="111"/>
      <c r="AC585" s="130"/>
      <c r="AD585" s="130">
        <v>28187</v>
      </c>
      <c r="AE585" s="128" t="s">
        <v>32</v>
      </c>
      <c r="AF585" s="128" t="s">
        <v>33</v>
      </c>
      <c r="AG585" s="128" t="s">
        <v>872</v>
      </c>
      <c r="AH585" s="108" t="s">
        <v>58</v>
      </c>
      <c r="AI585" s="128" t="s">
        <v>65</v>
      </c>
      <c r="AJ585" s="129" t="s">
        <v>89</v>
      </c>
      <c r="AK585" s="129">
        <v>8</v>
      </c>
      <c r="AL585" s="3" t="s">
        <v>362</v>
      </c>
      <c r="AM585" s="117">
        <v>2</v>
      </c>
      <c r="AP585" s="129" t="s">
        <v>43</v>
      </c>
      <c r="AR585" s="128" t="s">
        <v>44</v>
      </c>
      <c r="AS585" s="129" t="s">
        <v>45</v>
      </c>
      <c r="BC585" s="129" t="s">
        <v>38</v>
      </c>
      <c r="BF585" s="111">
        <f t="shared" si="434"/>
        <v>140</v>
      </c>
      <c r="BG585" s="111">
        <f t="shared" si="435"/>
        <v>140</v>
      </c>
      <c r="BH585" s="111">
        <f t="shared" si="440"/>
        <v>140</v>
      </c>
      <c r="BI585" s="111">
        <f t="shared" si="441"/>
        <v>34.980874316939889</v>
      </c>
      <c r="BJ585" s="129">
        <f t="shared" si="446"/>
        <v>0</v>
      </c>
      <c r="BK585" s="129">
        <f t="shared" si="442"/>
        <v>0</v>
      </c>
      <c r="BL585" s="129" t="str">
        <f t="shared" si="430"/>
        <v>CONVICTION</v>
      </c>
      <c r="BM585" s="129" t="str">
        <f t="shared" si="447"/>
        <v>NONE</v>
      </c>
      <c r="BN585" s="129" t="s">
        <v>566</v>
      </c>
      <c r="BP585" s="137" t="str">
        <f t="shared" si="448"/>
        <v>CONVICTION</v>
      </c>
      <c r="BQ585" s="128" t="str">
        <f t="shared" si="449"/>
        <v>Y</v>
      </c>
      <c r="BR585" s="129" t="str">
        <f t="shared" si="450"/>
        <v>DETAINED</v>
      </c>
      <c r="BS585" s="129" t="str">
        <f t="shared" si="451"/>
        <v>DISPOSED</v>
      </c>
      <c r="BT585" s="129" t="str">
        <f t="shared" si="452"/>
        <v>Y</v>
      </c>
      <c r="BU585" s="109">
        <f t="shared" si="453"/>
        <v>1</v>
      </c>
      <c r="BV585" s="109">
        <f t="shared" si="454"/>
        <v>1</v>
      </c>
      <c r="BW585" s="109">
        <f t="shared" si="455"/>
        <v>0</v>
      </c>
      <c r="BX585" s="111">
        <f t="shared" si="456"/>
        <v>0</v>
      </c>
      <c r="BY585" s="129">
        <f t="shared" si="457"/>
        <v>-140</v>
      </c>
      <c r="BZ585" s="111">
        <f t="shared" si="458"/>
        <v>0</v>
      </c>
      <c r="CA585" s="138">
        <f t="shared" si="459"/>
        <v>140</v>
      </c>
      <c r="CB585" s="111" t="e">
        <f t="shared" si="436"/>
        <v>#VALUE!</v>
      </c>
      <c r="CC585" s="129">
        <f>G585-I585+1</f>
        <v>140</v>
      </c>
      <c r="CD585" s="129">
        <f>G585-J585</f>
        <v>0</v>
      </c>
      <c r="CE585" s="129">
        <f t="shared" si="460"/>
        <v>0</v>
      </c>
      <c r="CG585" s="129" t="str">
        <f t="shared" si="461"/>
        <v>Y</v>
      </c>
      <c r="CI585" s="129" t="str">
        <f t="shared" si="462"/>
        <v>121-365 DAYS</v>
      </c>
      <c r="CJ585" s="137">
        <f t="shared" si="463"/>
        <v>6</v>
      </c>
      <c r="CK585" s="129" t="str">
        <f t="shared" si="464"/>
        <v>Booked</v>
      </c>
    </row>
    <row r="586" spans="1:89" ht="15.75" customHeight="1" x14ac:dyDescent="0.25">
      <c r="A586" s="111">
        <v>1911</v>
      </c>
      <c r="B586" s="128" t="str">
        <f t="shared" si="443"/>
        <v>N</v>
      </c>
      <c r="C586" s="128" t="str">
        <f t="shared" si="444"/>
        <v>N</v>
      </c>
      <c r="D586" s="117">
        <v>1334898</v>
      </c>
      <c r="E586" s="135">
        <f t="shared" si="445"/>
        <v>3</v>
      </c>
      <c r="F586" s="124">
        <v>40980</v>
      </c>
      <c r="G586" s="125">
        <v>41144</v>
      </c>
      <c r="H586" s="117">
        <v>1334898</v>
      </c>
      <c r="I586" s="124">
        <v>40980</v>
      </c>
      <c r="J586" s="124">
        <v>40985</v>
      </c>
      <c r="K586" s="126">
        <v>10000</v>
      </c>
      <c r="L586" s="127" t="s">
        <v>570</v>
      </c>
      <c r="M586" s="125">
        <v>40985</v>
      </c>
      <c r="N586" s="129" t="str">
        <f t="shared" si="465"/>
        <v>Y</v>
      </c>
      <c r="O586" s="128" t="s">
        <v>585</v>
      </c>
      <c r="P586" s="129" t="s">
        <v>39</v>
      </c>
      <c r="Q586" s="111">
        <f t="shared" si="432"/>
        <v>6</v>
      </c>
      <c r="R586" s="111">
        <f t="shared" si="439"/>
        <v>165</v>
      </c>
      <c r="S586" s="129">
        <v>0</v>
      </c>
      <c r="T586" s="129">
        <v>2</v>
      </c>
      <c r="W586" s="111"/>
      <c r="AC586" s="130"/>
      <c r="AD586" s="130">
        <v>22772</v>
      </c>
      <c r="AE586" s="128" t="s">
        <v>32</v>
      </c>
      <c r="AF586" s="128" t="s">
        <v>69</v>
      </c>
      <c r="AG586" s="128" t="s">
        <v>874</v>
      </c>
      <c r="AH586" s="108" t="s">
        <v>58</v>
      </c>
      <c r="AI586" s="128" t="s">
        <v>72</v>
      </c>
      <c r="AJ586" s="129" t="s">
        <v>89</v>
      </c>
      <c r="AK586" s="129">
        <v>6</v>
      </c>
      <c r="AL586" s="3" t="s">
        <v>185</v>
      </c>
      <c r="AP586" s="129" t="s">
        <v>66</v>
      </c>
      <c r="AR586" s="128" t="s">
        <v>67</v>
      </c>
      <c r="AS586" s="129" t="s">
        <v>68</v>
      </c>
      <c r="AT586" s="129" t="s">
        <v>1085</v>
      </c>
      <c r="BC586" s="129" t="s">
        <v>52</v>
      </c>
      <c r="BF586" s="111">
        <f t="shared" si="434"/>
        <v>6</v>
      </c>
      <c r="BG586" s="111">
        <f t="shared" si="435"/>
        <v>165</v>
      </c>
      <c r="BH586" s="111">
        <f t="shared" si="440"/>
        <v>165</v>
      </c>
      <c r="BI586" s="111">
        <f t="shared" si="441"/>
        <v>49.748633879781423</v>
      </c>
      <c r="BJ586" s="129">
        <f>(G586-J586)+(M586-G586)</f>
        <v>0</v>
      </c>
      <c r="BK586" s="129">
        <f t="shared" si="442"/>
        <v>-159</v>
      </c>
      <c r="BL586" s="129" t="str">
        <f t="shared" si="430"/>
        <v>CONVICTION</v>
      </c>
      <c r="BM586" s="129" t="s">
        <v>76</v>
      </c>
      <c r="BN586" s="129" t="s">
        <v>88</v>
      </c>
      <c r="BP586" s="137" t="str">
        <f t="shared" si="448"/>
        <v>CONVICTION</v>
      </c>
      <c r="BQ586" s="128" t="str">
        <f t="shared" si="449"/>
        <v>Y</v>
      </c>
      <c r="BR586" s="129" t="str">
        <f>IF(J586&lt;G586,"ON BOND",0)</f>
        <v>ON BOND</v>
      </c>
      <c r="BS586" s="129" t="str">
        <f t="shared" si="451"/>
        <v>DISPOSED</v>
      </c>
      <c r="BT586" s="129" t="str">
        <f t="shared" si="452"/>
        <v>N</v>
      </c>
      <c r="BU586" s="109">
        <f t="shared" si="453"/>
        <v>3.6363636363636362E-2</v>
      </c>
      <c r="BV586" s="109">
        <f t="shared" si="454"/>
        <v>3.6363636363636362E-2</v>
      </c>
      <c r="BW586" s="109">
        <f t="shared" si="455"/>
        <v>0</v>
      </c>
      <c r="BX586" s="111">
        <f t="shared" si="456"/>
        <v>0</v>
      </c>
      <c r="BY586" s="129">
        <f t="shared" si="457"/>
        <v>-6</v>
      </c>
      <c r="BZ586" s="111">
        <f t="shared" si="458"/>
        <v>0</v>
      </c>
      <c r="CA586" s="138">
        <f t="shared" si="459"/>
        <v>6</v>
      </c>
      <c r="CB586" s="111" t="e">
        <f t="shared" si="436"/>
        <v>#VALUE!</v>
      </c>
      <c r="CC586" s="129">
        <f>M586-I586+1</f>
        <v>6</v>
      </c>
      <c r="CD586" s="111">
        <f>CC586-BF586</f>
        <v>0</v>
      </c>
      <c r="CE586" s="129">
        <f t="shared" si="460"/>
        <v>159</v>
      </c>
      <c r="CG586" s="129" t="str">
        <f t="shared" si="461"/>
        <v>Y</v>
      </c>
      <c r="CI586" s="129" t="str">
        <f t="shared" si="462"/>
        <v>0-10 DAYS</v>
      </c>
      <c r="CJ586" s="137">
        <f t="shared" si="463"/>
        <v>1</v>
      </c>
      <c r="CK586" s="129" t="str">
        <f t="shared" si="464"/>
        <v>Booked</v>
      </c>
    </row>
    <row r="587" spans="1:89" ht="15" customHeight="1" x14ac:dyDescent="0.25">
      <c r="A587" s="111">
        <v>1169</v>
      </c>
      <c r="B587" s="128" t="str">
        <f t="shared" si="443"/>
        <v>N</v>
      </c>
      <c r="C587" s="128" t="str">
        <f t="shared" si="444"/>
        <v>N</v>
      </c>
      <c r="D587" s="117">
        <v>1336390</v>
      </c>
      <c r="E587" s="135">
        <f t="shared" si="445"/>
        <v>2</v>
      </c>
      <c r="F587" s="124">
        <v>40951</v>
      </c>
      <c r="G587" s="125">
        <v>40966</v>
      </c>
      <c r="H587" s="117">
        <v>1336390</v>
      </c>
      <c r="I587" s="124">
        <v>40951</v>
      </c>
      <c r="J587" s="124">
        <v>40952</v>
      </c>
      <c r="K587" s="126">
        <v>2000</v>
      </c>
      <c r="L587" s="127" t="s">
        <v>568</v>
      </c>
      <c r="M587" s="125">
        <v>40952</v>
      </c>
      <c r="N587" s="129" t="str">
        <f t="shared" si="465"/>
        <v>Y</v>
      </c>
      <c r="O587" s="128" t="s">
        <v>76</v>
      </c>
      <c r="P587" s="129" t="s">
        <v>589</v>
      </c>
      <c r="Q587" s="111">
        <f t="shared" si="432"/>
        <v>2</v>
      </c>
      <c r="R587" s="111">
        <f t="shared" si="439"/>
        <v>16</v>
      </c>
      <c r="S587" s="129">
        <v>0</v>
      </c>
      <c r="T587" s="129">
        <v>1</v>
      </c>
      <c r="W587" s="111"/>
      <c r="AB587" s="131" t="s">
        <v>112</v>
      </c>
      <c r="AC587" s="130"/>
      <c r="AD587" s="130">
        <v>27463</v>
      </c>
      <c r="AE587" s="128" t="s">
        <v>46</v>
      </c>
      <c r="AF587" s="128" t="s">
        <v>40</v>
      </c>
      <c r="AG587" s="128" t="s">
        <v>41</v>
      </c>
      <c r="AH587" s="108" t="s">
        <v>58</v>
      </c>
      <c r="AI587" s="128" t="s">
        <v>80</v>
      </c>
      <c r="AJ587" s="129" t="s">
        <v>48</v>
      </c>
      <c r="AK587" s="129">
        <v>2</v>
      </c>
      <c r="AL587" s="3" t="s">
        <v>48</v>
      </c>
      <c r="AP587" s="129" t="s">
        <v>43</v>
      </c>
      <c r="AR587" s="128" t="s">
        <v>44</v>
      </c>
      <c r="AS587" s="129" t="s">
        <v>45</v>
      </c>
      <c r="BC587" s="129" t="s">
        <v>38</v>
      </c>
      <c r="BF587" s="111">
        <f t="shared" si="434"/>
        <v>2</v>
      </c>
      <c r="BG587" s="111">
        <f t="shared" si="435"/>
        <v>16</v>
      </c>
      <c r="BH587" s="111">
        <f t="shared" si="440"/>
        <v>16</v>
      </c>
      <c r="BI587" s="111">
        <f t="shared" si="441"/>
        <v>36.852459016393439</v>
      </c>
      <c r="BJ587" s="129">
        <f>(G587-J587)+(M587-G587)</f>
        <v>0</v>
      </c>
      <c r="BK587" s="129">
        <f t="shared" si="442"/>
        <v>-14</v>
      </c>
      <c r="BL587" s="129" t="str">
        <f t="shared" si="430"/>
        <v>DEFERRED</v>
      </c>
      <c r="BM587" s="129" t="s">
        <v>76</v>
      </c>
      <c r="BN587" s="129" t="s">
        <v>88</v>
      </c>
      <c r="BP587" s="137" t="str">
        <f t="shared" si="448"/>
        <v>DEFERRED</v>
      </c>
      <c r="BQ587" s="128" t="str">
        <f t="shared" si="449"/>
        <v>Y</v>
      </c>
      <c r="BR587" s="129" t="str">
        <f t="shared" si="450"/>
        <v>ON BOND</v>
      </c>
      <c r="BS587" s="129" t="str">
        <f t="shared" si="451"/>
        <v>DISPOSED</v>
      </c>
      <c r="BT587" s="129" t="str">
        <f t="shared" si="452"/>
        <v>N</v>
      </c>
      <c r="BU587" s="109">
        <f t="shared" si="453"/>
        <v>0.125</v>
      </c>
      <c r="BV587" s="109">
        <f t="shared" si="454"/>
        <v>0.125</v>
      </c>
      <c r="BW587" s="109">
        <f t="shared" si="455"/>
        <v>0</v>
      </c>
      <c r="BX587" s="111">
        <f t="shared" si="456"/>
        <v>0</v>
      </c>
      <c r="BY587" s="129">
        <f t="shared" si="457"/>
        <v>-2</v>
      </c>
      <c r="BZ587" s="111">
        <f t="shared" si="458"/>
        <v>0</v>
      </c>
      <c r="CA587" s="138">
        <f t="shared" si="459"/>
        <v>2</v>
      </c>
      <c r="CB587" s="111" t="e">
        <f t="shared" si="436"/>
        <v>#VALUE!</v>
      </c>
      <c r="CC587" s="129">
        <f>M587-I587+1</f>
        <v>2</v>
      </c>
      <c r="CD587" s="111">
        <f>CC587-BF587</f>
        <v>0</v>
      </c>
      <c r="CE587" s="129">
        <f t="shared" si="460"/>
        <v>14</v>
      </c>
      <c r="CG587" s="129" t="str">
        <f t="shared" si="461"/>
        <v>Y</v>
      </c>
      <c r="CI587" s="129" t="str">
        <f t="shared" si="462"/>
        <v>0-10 DAYS</v>
      </c>
      <c r="CJ587" s="137">
        <f t="shared" si="463"/>
        <v>1</v>
      </c>
      <c r="CK587" s="129" t="str">
        <f t="shared" si="464"/>
        <v>Booked</v>
      </c>
    </row>
    <row r="588" spans="1:89" ht="15.75" customHeight="1" x14ac:dyDescent="0.25">
      <c r="A588" s="111">
        <v>2832</v>
      </c>
      <c r="B588" s="128" t="str">
        <f t="shared" si="443"/>
        <v>N</v>
      </c>
      <c r="C588" s="128" t="str">
        <f t="shared" si="444"/>
        <v>N</v>
      </c>
      <c r="D588" s="117">
        <v>1337850</v>
      </c>
      <c r="E588" s="135">
        <f t="shared" si="445"/>
        <v>1</v>
      </c>
      <c r="F588" s="124">
        <v>41013</v>
      </c>
      <c r="G588" s="125">
        <v>41207</v>
      </c>
      <c r="H588" s="117">
        <v>1337850</v>
      </c>
      <c r="I588" s="124" t="s">
        <v>562</v>
      </c>
      <c r="J588" s="124" t="s">
        <v>562</v>
      </c>
      <c r="K588" s="126">
        <v>10000</v>
      </c>
      <c r="L588" s="127" t="s">
        <v>570</v>
      </c>
      <c r="M588" s="125">
        <v>41014</v>
      </c>
      <c r="N588" s="129" t="str">
        <f>IF(M588&gt;1/1/1,"Y",IF(Q588="0","","N"))</f>
        <v>Y</v>
      </c>
      <c r="O588" s="128" t="s">
        <v>76</v>
      </c>
      <c r="P588" s="129" t="s">
        <v>55</v>
      </c>
      <c r="Q588" s="111">
        <f t="shared" si="432"/>
        <v>0</v>
      </c>
      <c r="R588" s="111">
        <f t="shared" si="439"/>
        <v>195</v>
      </c>
      <c r="S588" s="129">
        <v>3</v>
      </c>
      <c r="T588" s="129">
        <v>5</v>
      </c>
      <c r="U588" s="129">
        <v>2</v>
      </c>
      <c r="V588" s="117">
        <v>1</v>
      </c>
      <c r="W588" s="111"/>
      <c r="AC588" s="130"/>
      <c r="AD588" s="130">
        <v>27461</v>
      </c>
      <c r="AE588" s="128" t="s">
        <v>32</v>
      </c>
      <c r="AF588" s="128" t="s">
        <v>33</v>
      </c>
      <c r="AG588" s="128" t="s">
        <v>872</v>
      </c>
      <c r="AH588" s="108" t="s">
        <v>58</v>
      </c>
      <c r="AI588" s="128" t="s">
        <v>118</v>
      </c>
      <c r="AJ588" s="129" t="s">
        <v>55</v>
      </c>
      <c r="AK588" s="129">
        <v>9</v>
      </c>
      <c r="AL588" s="3" t="s">
        <v>55</v>
      </c>
      <c r="AP588" s="129" t="s">
        <v>101</v>
      </c>
      <c r="AR588" s="128" t="s">
        <v>67</v>
      </c>
      <c r="AS588" s="129" t="s">
        <v>64</v>
      </c>
      <c r="BC588" s="129" t="s">
        <v>52</v>
      </c>
      <c r="BF588" s="111">
        <v>0</v>
      </c>
      <c r="BG588" s="111">
        <v>0</v>
      </c>
      <c r="BH588" s="111">
        <f t="shared" si="440"/>
        <v>195</v>
      </c>
      <c r="BI588" s="111">
        <f t="shared" si="441"/>
        <v>37.027322404371581</v>
      </c>
      <c r="BJ588" s="129" t="e">
        <f>(G588-J588)+(M588-G588)</f>
        <v>#VALUE!</v>
      </c>
      <c r="BK588" s="129" t="e">
        <f t="shared" si="442"/>
        <v>#VALUE!</v>
      </c>
      <c r="BL588" s="129" t="str">
        <f t="shared" si="430"/>
        <v>NO CONVICTION</v>
      </c>
      <c r="BM588" s="129" t="s">
        <v>76</v>
      </c>
      <c r="BN588" s="129" t="s">
        <v>88</v>
      </c>
      <c r="BP588" s="137" t="str">
        <f t="shared" si="448"/>
        <v>NO CONVICTION</v>
      </c>
      <c r="BQ588" s="128">
        <f t="shared" si="449"/>
        <v>0</v>
      </c>
      <c r="BR588" s="129" t="s">
        <v>575</v>
      </c>
      <c r="BS588" s="129" t="str">
        <f t="shared" si="451"/>
        <v>DISPOSED</v>
      </c>
      <c r="BT588" s="129" t="str">
        <f t="shared" si="452"/>
        <v>Y</v>
      </c>
      <c r="BU588" s="109">
        <f>IFERROR(Q588/R588,BR588)</f>
        <v>0</v>
      </c>
      <c r="BV588" s="109">
        <v>0</v>
      </c>
      <c r="BW588" s="109">
        <f t="shared" si="455"/>
        <v>0</v>
      </c>
      <c r="BX588" s="111">
        <f t="shared" si="456"/>
        <v>0</v>
      </c>
      <c r="BY588" s="129" t="e">
        <f t="shared" si="457"/>
        <v>#VALUE!</v>
      </c>
      <c r="BZ588" s="111" t="e">
        <f t="shared" si="458"/>
        <v>#VALUE!</v>
      </c>
      <c r="CA588" s="138" t="e">
        <f t="shared" si="459"/>
        <v>#VALUE!</v>
      </c>
      <c r="CB588" s="111">
        <v>0</v>
      </c>
      <c r="CC588" s="129">
        <v>0</v>
      </c>
      <c r="CD588" s="111">
        <f>CC588-BF588</f>
        <v>0</v>
      </c>
      <c r="CE588" s="129" t="e">
        <f t="shared" si="460"/>
        <v>#VALUE!</v>
      </c>
      <c r="CG588" s="129" t="str">
        <f t="shared" si="461"/>
        <v>Y</v>
      </c>
      <c r="CI588" s="129" t="str">
        <f t="shared" si="462"/>
        <v>0-10 DAYS</v>
      </c>
      <c r="CJ588" s="137">
        <f t="shared" si="463"/>
        <v>1</v>
      </c>
      <c r="CK588" s="129" t="str">
        <f t="shared" si="464"/>
        <v>Not Booked</v>
      </c>
    </row>
    <row r="589" spans="1:89" ht="15.75" customHeight="1" x14ac:dyDescent="0.25">
      <c r="A589" s="111">
        <v>1424</v>
      </c>
      <c r="B589" s="128" t="str">
        <f t="shared" si="443"/>
        <v>N</v>
      </c>
      <c r="C589" s="128" t="str">
        <f t="shared" si="444"/>
        <v>Y</v>
      </c>
      <c r="D589" s="117">
        <v>1337912</v>
      </c>
      <c r="E589" s="135">
        <f t="shared" si="445"/>
        <v>5</v>
      </c>
      <c r="F589" s="124">
        <v>40961</v>
      </c>
      <c r="G589" s="125">
        <v>41299</v>
      </c>
      <c r="H589" s="117">
        <v>1337912</v>
      </c>
      <c r="I589" s="124">
        <v>41181</v>
      </c>
      <c r="J589" s="124">
        <v>41202</v>
      </c>
      <c r="K589" s="126">
        <v>15000</v>
      </c>
      <c r="L589" s="127" t="s">
        <v>571</v>
      </c>
      <c r="M589" s="124">
        <v>41202</v>
      </c>
      <c r="N589" s="129" t="s">
        <v>88</v>
      </c>
      <c r="O589" s="128" t="s">
        <v>76</v>
      </c>
      <c r="P589" s="129" t="s">
        <v>39</v>
      </c>
      <c r="Q589" s="111">
        <v>30</v>
      </c>
      <c r="R589" s="111">
        <f t="shared" si="439"/>
        <v>339</v>
      </c>
      <c r="S589" s="129">
        <v>3</v>
      </c>
      <c r="T589" s="129">
        <v>1</v>
      </c>
      <c r="U589" s="129">
        <v>3</v>
      </c>
      <c r="W589" s="111"/>
      <c r="AC589" s="130"/>
      <c r="AD589" s="130">
        <v>27246</v>
      </c>
      <c r="AE589" s="128" t="s">
        <v>32</v>
      </c>
      <c r="AF589" s="128" t="s">
        <v>40</v>
      </c>
      <c r="AG589" s="128" t="s">
        <v>41</v>
      </c>
      <c r="AH589" s="108" t="s">
        <v>41</v>
      </c>
      <c r="AI589" s="128" t="s">
        <v>141</v>
      </c>
      <c r="AJ589" s="129" t="s">
        <v>89</v>
      </c>
      <c r="AK589" s="129">
        <v>1</v>
      </c>
      <c r="AL589" s="3" t="s">
        <v>992</v>
      </c>
      <c r="AN589" s="117">
        <v>10</v>
      </c>
      <c r="AP589" s="129" t="s">
        <v>108</v>
      </c>
      <c r="AR589" s="128" t="s">
        <v>44</v>
      </c>
      <c r="AS589" s="129" t="s">
        <v>61</v>
      </c>
      <c r="AT589" s="129" t="s">
        <v>1260</v>
      </c>
      <c r="AV589" s="32" t="s">
        <v>88</v>
      </c>
      <c r="AW589" s="121">
        <v>41288</v>
      </c>
      <c r="AY589" s="32"/>
      <c r="BA589" s="125">
        <v>41402</v>
      </c>
      <c r="BB589" s="129">
        <v>237</v>
      </c>
      <c r="BC589" s="129" t="s">
        <v>52</v>
      </c>
      <c r="BF589" s="111">
        <v>30</v>
      </c>
      <c r="BG589" s="111">
        <f t="shared" ref="BG589:BG609" si="466">IF(G589&gt;1/1/1900,((G589+1)-I589),"STILL OPEN")</f>
        <v>119</v>
      </c>
      <c r="BH589" s="111">
        <f t="shared" si="440"/>
        <v>339</v>
      </c>
      <c r="BI589" s="111">
        <f t="shared" si="441"/>
        <v>37.472677595628419</v>
      </c>
      <c r="BJ589" s="129">
        <f>(G589-J589)+(M589-G589)</f>
        <v>0</v>
      </c>
      <c r="BK589" s="129">
        <f t="shared" si="442"/>
        <v>-97</v>
      </c>
      <c r="BL589" s="129" t="str">
        <f t="shared" si="430"/>
        <v>CONVICTION</v>
      </c>
      <c r="BM589" s="129" t="s">
        <v>76</v>
      </c>
      <c r="BN589" s="129" t="s">
        <v>566</v>
      </c>
      <c r="BP589" s="137" t="str">
        <f t="shared" si="448"/>
        <v>CONVICTION</v>
      </c>
      <c r="BQ589" s="128" t="str">
        <f t="shared" si="449"/>
        <v>Y</v>
      </c>
      <c r="BR589" s="129" t="s">
        <v>574</v>
      </c>
      <c r="BS589" s="129" t="str">
        <f t="shared" si="451"/>
        <v>DISPOSED</v>
      </c>
      <c r="BT589" s="129" t="str">
        <f t="shared" si="452"/>
        <v>Y</v>
      </c>
      <c r="BU589" s="109">
        <f t="shared" si="453"/>
        <v>8.8495575221238937E-2</v>
      </c>
      <c r="BV589" s="109">
        <f t="shared" si="454"/>
        <v>0.18487394957983194</v>
      </c>
      <c r="BW589" s="109">
        <f t="shared" si="455"/>
        <v>9.6378374358593005E-2</v>
      </c>
      <c r="BX589" s="111">
        <f t="shared" si="456"/>
        <v>0</v>
      </c>
      <c r="BY589" s="129">
        <f t="shared" si="457"/>
        <v>-22</v>
      </c>
      <c r="BZ589" s="111">
        <f t="shared" si="458"/>
        <v>8</v>
      </c>
      <c r="CA589" s="138">
        <f t="shared" si="459"/>
        <v>119</v>
      </c>
      <c r="CB589" s="111">
        <v>30</v>
      </c>
      <c r="CC589" s="129">
        <f>G589-I589+1</f>
        <v>119</v>
      </c>
      <c r="CD589" s="129">
        <f>G589-J589</f>
        <v>97</v>
      </c>
      <c r="CE589" s="129">
        <f t="shared" si="460"/>
        <v>97</v>
      </c>
      <c r="CG589" s="129" t="str">
        <f t="shared" si="461"/>
        <v>Y</v>
      </c>
      <c r="CI589" s="129" t="str">
        <f t="shared" si="462"/>
        <v>11-30 DAYS</v>
      </c>
      <c r="CJ589" s="137">
        <f t="shared" si="463"/>
        <v>2</v>
      </c>
      <c r="CK589" s="129" t="str">
        <f t="shared" si="464"/>
        <v>Booked</v>
      </c>
    </row>
    <row r="590" spans="1:89" ht="15" customHeight="1" x14ac:dyDescent="0.25">
      <c r="A590" s="111">
        <v>472</v>
      </c>
      <c r="B590" s="128" t="str">
        <f t="shared" si="443"/>
        <v>N</v>
      </c>
      <c r="C590" s="128" t="str">
        <f t="shared" si="444"/>
        <v>N</v>
      </c>
      <c r="D590" s="117">
        <v>1340525</v>
      </c>
      <c r="E590" s="135">
        <f t="shared" si="445"/>
        <v>6</v>
      </c>
      <c r="F590" s="124">
        <v>40928</v>
      </c>
      <c r="G590" s="125">
        <v>41544</v>
      </c>
      <c r="H590" s="117">
        <v>1340525</v>
      </c>
      <c r="I590" s="124">
        <v>40928</v>
      </c>
      <c r="J590" s="124">
        <v>40940</v>
      </c>
      <c r="K590" s="126">
        <v>20000</v>
      </c>
      <c r="L590" s="127" t="s">
        <v>571</v>
      </c>
      <c r="M590" s="125">
        <v>40940</v>
      </c>
      <c r="N590" s="129" t="str">
        <f>IF(M590&gt;1/1/1,"Y","N")</f>
        <v>Y</v>
      </c>
      <c r="O590" s="128" t="s">
        <v>76</v>
      </c>
      <c r="P590" s="129" t="s">
        <v>39</v>
      </c>
      <c r="Q590" s="111">
        <f t="shared" ref="Q590:Q601" si="467">BF590</f>
        <v>13</v>
      </c>
      <c r="R590" s="111">
        <f t="shared" si="439"/>
        <v>617</v>
      </c>
      <c r="S590" s="129">
        <v>2</v>
      </c>
      <c r="T590" s="129">
        <v>2</v>
      </c>
      <c r="U590" s="129">
        <v>1</v>
      </c>
      <c r="W590" s="111"/>
      <c r="AC590" s="130"/>
      <c r="AD590" s="130">
        <v>27816</v>
      </c>
      <c r="AE590" s="128" t="s">
        <v>32</v>
      </c>
      <c r="AF590" s="128" t="s">
        <v>33</v>
      </c>
      <c r="AG590" s="128" t="s">
        <v>872</v>
      </c>
      <c r="AH590" s="108" t="s">
        <v>31</v>
      </c>
      <c r="AI590" s="128" t="s">
        <v>80</v>
      </c>
      <c r="AJ590" s="129" t="s">
        <v>89</v>
      </c>
      <c r="AK590" s="129">
        <v>26</v>
      </c>
      <c r="AL590" s="3" t="s">
        <v>362</v>
      </c>
      <c r="AM590" s="117">
        <v>5</v>
      </c>
      <c r="AP590" s="129" t="s">
        <v>43</v>
      </c>
      <c r="AR590" s="128" t="s">
        <v>44</v>
      </c>
      <c r="AS590" s="129" t="s">
        <v>45</v>
      </c>
      <c r="AT590" s="129" t="s">
        <v>1129</v>
      </c>
      <c r="BC590" s="129" t="s">
        <v>52</v>
      </c>
      <c r="BF590" s="111">
        <f t="shared" ref="BF590:BF601" si="468">IF(J590&gt;1/1/1900,((J590+1)-I590),"STILL OPEN")</f>
        <v>13</v>
      </c>
      <c r="BG590" s="111">
        <f t="shared" si="466"/>
        <v>617</v>
      </c>
      <c r="BH590" s="111">
        <f t="shared" si="440"/>
        <v>617</v>
      </c>
      <c r="BI590" s="111">
        <f t="shared" si="441"/>
        <v>35.825136612021858</v>
      </c>
      <c r="BJ590" s="129">
        <f>(G590-J590)+(M590-G590)</f>
        <v>0</v>
      </c>
      <c r="BK590" s="129">
        <f t="shared" si="442"/>
        <v>-604</v>
      </c>
      <c r="BL590" s="129" t="str">
        <f t="shared" si="430"/>
        <v>CONVICTION</v>
      </c>
      <c r="BM590" s="129" t="s">
        <v>76</v>
      </c>
      <c r="BN590" s="129" t="s">
        <v>88</v>
      </c>
      <c r="BP590" s="137" t="str">
        <f t="shared" si="448"/>
        <v>CONVICTION</v>
      </c>
      <c r="BQ590" s="128" t="str">
        <f t="shared" si="449"/>
        <v>Y</v>
      </c>
      <c r="BR590" s="129" t="str">
        <f>IF(J590&lt;G590,"ON BOND",0)</f>
        <v>ON BOND</v>
      </c>
      <c r="BS590" s="129" t="str">
        <f t="shared" si="451"/>
        <v>DISPOSED</v>
      </c>
      <c r="BT590" s="129" t="str">
        <f t="shared" si="452"/>
        <v>Y</v>
      </c>
      <c r="BU590" s="109">
        <f t="shared" si="453"/>
        <v>2.1069692058346839E-2</v>
      </c>
      <c r="BV590" s="109">
        <f t="shared" si="454"/>
        <v>2.1069692058346839E-2</v>
      </c>
      <c r="BW590" s="109">
        <f t="shared" si="455"/>
        <v>0</v>
      </c>
      <c r="BX590" s="111">
        <f t="shared" si="456"/>
        <v>0</v>
      </c>
      <c r="BY590" s="129">
        <f t="shared" si="457"/>
        <v>-13</v>
      </c>
      <c r="BZ590" s="111">
        <f t="shared" si="458"/>
        <v>0</v>
      </c>
      <c r="CA590" s="138">
        <f t="shared" si="459"/>
        <v>13</v>
      </c>
      <c r="CB590" s="111" t="e">
        <f t="shared" ref="CB590:CB601" si="469">IF(AF590&gt;1/1/1900,((AF590+1)-AE590),"STILL OPEN")</f>
        <v>#VALUE!</v>
      </c>
      <c r="CC590" s="129">
        <f>M590-I590+1</f>
        <v>13</v>
      </c>
      <c r="CD590" s="111">
        <f>CC590-BF590</f>
        <v>0</v>
      </c>
      <c r="CE590" s="129">
        <f t="shared" si="460"/>
        <v>604</v>
      </c>
      <c r="CG590" s="129" t="str">
        <f t="shared" si="461"/>
        <v>Y</v>
      </c>
      <c r="CI590" s="129" t="str">
        <f t="shared" si="462"/>
        <v>11-30 DAYS</v>
      </c>
      <c r="CJ590" s="137">
        <f t="shared" si="463"/>
        <v>2</v>
      </c>
      <c r="CK590" s="129" t="str">
        <f t="shared" si="464"/>
        <v>Booked</v>
      </c>
    </row>
    <row r="591" spans="1:89" ht="15.75" customHeight="1" x14ac:dyDescent="0.25">
      <c r="A591" s="111">
        <v>1457</v>
      </c>
      <c r="B591" s="128" t="str">
        <f t="shared" si="443"/>
        <v>N</v>
      </c>
      <c r="C591" s="128" t="str">
        <f t="shared" si="444"/>
        <v>N</v>
      </c>
      <c r="D591" s="117">
        <v>1341241</v>
      </c>
      <c r="E591" s="135">
        <f t="shared" si="445"/>
        <v>1</v>
      </c>
      <c r="F591" s="124">
        <v>40962</v>
      </c>
      <c r="G591" s="125">
        <v>41066</v>
      </c>
      <c r="H591" s="117">
        <v>1341241</v>
      </c>
      <c r="I591" s="124">
        <v>41053</v>
      </c>
      <c r="J591" s="124">
        <v>41066</v>
      </c>
      <c r="K591" s="126" t="s">
        <v>564</v>
      </c>
      <c r="L591" s="127" t="s">
        <v>564</v>
      </c>
      <c r="N591" s="129" t="s">
        <v>566</v>
      </c>
      <c r="O591" s="128" t="s">
        <v>917</v>
      </c>
      <c r="P591" s="129" t="s">
        <v>55</v>
      </c>
      <c r="Q591" s="111">
        <f t="shared" si="467"/>
        <v>14</v>
      </c>
      <c r="R591" s="111">
        <f t="shared" si="439"/>
        <v>105</v>
      </c>
      <c r="S591" s="129">
        <v>3</v>
      </c>
      <c r="T591" s="129">
        <v>9</v>
      </c>
      <c r="U591" s="129">
        <v>3</v>
      </c>
      <c r="W591" s="111"/>
      <c r="AC591" s="130"/>
      <c r="AD591" s="130">
        <v>29498</v>
      </c>
      <c r="AE591" s="128" t="s">
        <v>32</v>
      </c>
      <c r="AF591" s="128" t="s">
        <v>40</v>
      </c>
      <c r="AG591" s="128" t="s">
        <v>41</v>
      </c>
      <c r="AH591" s="108" t="s">
        <v>41</v>
      </c>
      <c r="AI591" s="128" t="s">
        <v>95</v>
      </c>
      <c r="AJ591" s="129" t="s">
        <v>55</v>
      </c>
      <c r="AK591" s="129">
        <v>4</v>
      </c>
      <c r="AL591" s="3" t="s">
        <v>55</v>
      </c>
      <c r="AP591" s="129" t="s">
        <v>150</v>
      </c>
      <c r="AR591" s="128" t="s">
        <v>67</v>
      </c>
      <c r="AS591" s="129" t="s">
        <v>74</v>
      </c>
      <c r="BC591" s="129" t="s">
        <v>38</v>
      </c>
      <c r="BF591" s="111">
        <f t="shared" si="468"/>
        <v>14</v>
      </c>
      <c r="BG591" s="111">
        <f t="shared" si="466"/>
        <v>14</v>
      </c>
      <c r="BH591" s="111">
        <f t="shared" si="440"/>
        <v>105</v>
      </c>
      <c r="BI591" s="111">
        <f t="shared" si="441"/>
        <v>31.3224043715847</v>
      </c>
      <c r="BJ591" s="129">
        <f t="shared" si="446"/>
        <v>0</v>
      </c>
      <c r="BK591" s="129">
        <f t="shared" si="442"/>
        <v>0</v>
      </c>
      <c r="BL591" s="129" t="str">
        <f t="shared" si="430"/>
        <v>NO CONVICTION</v>
      </c>
      <c r="BM591" s="129" t="str">
        <f t="shared" si="447"/>
        <v>NONE</v>
      </c>
      <c r="BN591" s="129" t="s">
        <v>566</v>
      </c>
      <c r="BP591" s="137" t="str">
        <f t="shared" si="448"/>
        <v>NO CONVICTION</v>
      </c>
      <c r="BQ591" s="128" t="str">
        <f t="shared" si="449"/>
        <v>Y</v>
      </c>
      <c r="BR591" s="129" t="str">
        <f t="shared" si="450"/>
        <v>DETAINED</v>
      </c>
      <c r="BS591" s="129" t="str">
        <f t="shared" si="451"/>
        <v>DISPOSED</v>
      </c>
      <c r="BT591" s="129" t="str">
        <f t="shared" si="452"/>
        <v>Y</v>
      </c>
      <c r="BU591" s="109">
        <f>IFERROR(Q591/R591,BR591)</f>
        <v>0.13333333333333333</v>
      </c>
      <c r="BV591" s="109">
        <f t="shared" si="454"/>
        <v>1</v>
      </c>
      <c r="BW591" s="109">
        <f t="shared" si="455"/>
        <v>0.8666666666666667</v>
      </c>
      <c r="BX591" s="111">
        <f t="shared" si="456"/>
        <v>0</v>
      </c>
      <c r="BY591" s="129">
        <f t="shared" si="457"/>
        <v>-14</v>
      </c>
      <c r="BZ591" s="111">
        <f t="shared" si="458"/>
        <v>0</v>
      </c>
      <c r="CA591" s="138">
        <f t="shared" si="459"/>
        <v>14</v>
      </c>
      <c r="CB591" s="111" t="e">
        <f t="shared" si="469"/>
        <v>#VALUE!</v>
      </c>
      <c r="CC591" s="129">
        <f>G591-I591+1</f>
        <v>14</v>
      </c>
      <c r="CD591" s="129">
        <f>G591-J591</f>
        <v>0</v>
      </c>
      <c r="CE591" s="129">
        <f t="shared" si="460"/>
        <v>0</v>
      </c>
      <c r="CG591" s="129" t="str">
        <f t="shared" si="461"/>
        <v>Y</v>
      </c>
      <c r="CI591" s="129" t="str">
        <f t="shared" si="462"/>
        <v>11-30 DAYS</v>
      </c>
      <c r="CJ591" s="137">
        <f t="shared" si="463"/>
        <v>2</v>
      </c>
      <c r="CK591" s="129" t="str">
        <f t="shared" si="464"/>
        <v>Booked</v>
      </c>
    </row>
    <row r="592" spans="1:89" ht="15" customHeight="1" x14ac:dyDescent="0.25">
      <c r="A592" s="111">
        <v>1259</v>
      </c>
      <c r="B592" s="128" t="str">
        <f t="shared" si="443"/>
        <v>N</v>
      </c>
      <c r="C592" s="128" t="str">
        <f t="shared" si="444"/>
        <v>N</v>
      </c>
      <c r="D592" s="117">
        <v>1341618</v>
      </c>
      <c r="E592" s="135">
        <f t="shared" si="445"/>
        <v>5</v>
      </c>
      <c r="F592" s="124">
        <v>40955</v>
      </c>
      <c r="G592" s="125">
        <v>41134</v>
      </c>
      <c r="H592" s="117">
        <v>1341618</v>
      </c>
      <c r="I592" s="124">
        <v>40955</v>
      </c>
      <c r="J592" s="124">
        <v>41134</v>
      </c>
      <c r="K592" s="126">
        <v>15000</v>
      </c>
      <c r="L592" s="127" t="s">
        <v>571</v>
      </c>
      <c r="N592" s="129" t="str">
        <f t="shared" ref="N592:N597" si="470">IF(M592&gt;1/1/1,"Y","N")</f>
        <v>N</v>
      </c>
      <c r="O592" s="128" t="s">
        <v>917</v>
      </c>
      <c r="P592" s="129" t="s">
        <v>39</v>
      </c>
      <c r="Q592" s="111">
        <f t="shared" si="467"/>
        <v>180</v>
      </c>
      <c r="R592" s="111">
        <f t="shared" si="439"/>
        <v>180</v>
      </c>
      <c r="S592" s="129">
        <v>9</v>
      </c>
      <c r="T592" s="129">
        <v>2</v>
      </c>
      <c r="U592" s="129">
        <v>8</v>
      </c>
      <c r="W592" s="111"/>
      <c r="AC592" s="130"/>
      <c r="AD592" s="130">
        <v>25783</v>
      </c>
      <c r="AE592" s="128" t="s">
        <v>32</v>
      </c>
      <c r="AF592" s="128" t="s">
        <v>33</v>
      </c>
      <c r="AG592" s="128" t="s">
        <v>872</v>
      </c>
      <c r="AH592" s="108" t="s">
        <v>58</v>
      </c>
      <c r="AI592" s="128" t="s">
        <v>85</v>
      </c>
      <c r="AJ592" s="129" t="s">
        <v>89</v>
      </c>
      <c r="AK592" s="129">
        <v>5</v>
      </c>
      <c r="AL592" s="3" t="s">
        <v>992</v>
      </c>
      <c r="AN592" s="117">
        <v>6</v>
      </c>
      <c r="AP592" s="129" t="s">
        <v>60</v>
      </c>
      <c r="AR592" s="128" t="s">
        <v>44</v>
      </c>
      <c r="AS592" s="129" t="s">
        <v>61</v>
      </c>
      <c r="BC592" s="129" t="s">
        <v>38</v>
      </c>
      <c r="BF592" s="111">
        <f t="shared" si="468"/>
        <v>180</v>
      </c>
      <c r="BG592" s="111">
        <f t="shared" si="466"/>
        <v>180</v>
      </c>
      <c r="BH592" s="111">
        <f t="shared" si="440"/>
        <v>180</v>
      </c>
      <c r="BI592" s="111">
        <f t="shared" si="441"/>
        <v>41.453551912568308</v>
      </c>
      <c r="BJ592" s="129">
        <f t="shared" si="446"/>
        <v>0</v>
      </c>
      <c r="BK592" s="129">
        <f t="shared" si="442"/>
        <v>0</v>
      </c>
      <c r="BL592" s="129" t="str">
        <f t="shared" si="430"/>
        <v>CONVICTION</v>
      </c>
      <c r="BM592" s="129" t="str">
        <f t="shared" si="447"/>
        <v>NONE</v>
      </c>
      <c r="BN592" s="129" t="s">
        <v>566</v>
      </c>
      <c r="BP592" s="137" t="str">
        <f t="shared" si="448"/>
        <v>CONVICTION</v>
      </c>
      <c r="BQ592" s="128" t="str">
        <f t="shared" si="449"/>
        <v>Y</v>
      </c>
      <c r="BR592" s="129" t="str">
        <f t="shared" si="450"/>
        <v>DETAINED</v>
      </c>
      <c r="BS592" s="129" t="str">
        <f t="shared" si="451"/>
        <v>DISPOSED</v>
      </c>
      <c r="BT592" s="129" t="str">
        <f t="shared" si="452"/>
        <v>Y</v>
      </c>
      <c r="BU592" s="109">
        <f t="shared" si="453"/>
        <v>1</v>
      </c>
      <c r="BV592" s="109">
        <f t="shared" si="454"/>
        <v>1</v>
      </c>
      <c r="BW592" s="109">
        <f t="shared" si="455"/>
        <v>0</v>
      </c>
      <c r="BX592" s="111">
        <f t="shared" si="456"/>
        <v>0</v>
      </c>
      <c r="BY592" s="129">
        <f t="shared" si="457"/>
        <v>-180</v>
      </c>
      <c r="BZ592" s="111">
        <f t="shared" si="458"/>
        <v>0</v>
      </c>
      <c r="CA592" s="138">
        <f t="shared" si="459"/>
        <v>180</v>
      </c>
      <c r="CB592" s="111" t="e">
        <f t="shared" si="469"/>
        <v>#VALUE!</v>
      </c>
      <c r="CC592" s="129">
        <f>G592-I592+1</f>
        <v>180</v>
      </c>
      <c r="CD592" s="129">
        <f>G592-J592</f>
        <v>0</v>
      </c>
      <c r="CE592" s="129">
        <f t="shared" si="460"/>
        <v>0</v>
      </c>
      <c r="CG592" s="129" t="str">
        <f t="shared" si="461"/>
        <v>Y</v>
      </c>
      <c r="CI592" s="129" t="str">
        <f t="shared" si="462"/>
        <v>121-365 DAYS</v>
      </c>
      <c r="CJ592" s="137">
        <f t="shared" si="463"/>
        <v>6</v>
      </c>
      <c r="CK592" s="129" t="str">
        <f t="shared" si="464"/>
        <v>Booked</v>
      </c>
    </row>
    <row r="593" spans="1:89" ht="15" customHeight="1" x14ac:dyDescent="0.25">
      <c r="A593" s="111">
        <v>1348</v>
      </c>
      <c r="B593" s="128" t="str">
        <f t="shared" si="443"/>
        <v>N</v>
      </c>
      <c r="C593" s="128" t="str">
        <f t="shared" si="444"/>
        <v>N</v>
      </c>
      <c r="D593" s="117">
        <v>1342520</v>
      </c>
      <c r="E593" s="135">
        <f t="shared" si="445"/>
        <v>2</v>
      </c>
      <c r="F593" s="124">
        <v>40957</v>
      </c>
      <c r="G593" s="125">
        <v>41137</v>
      </c>
      <c r="H593" s="117">
        <v>1342520</v>
      </c>
      <c r="I593" s="124">
        <v>40958</v>
      </c>
      <c r="J593" s="124">
        <v>41137</v>
      </c>
      <c r="K593" s="126">
        <v>10000</v>
      </c>
      <c r="L593" s="127" t="s">
        <v>570</v>
      </c>
      <c r="N593" s="129" t="str">
        <f t="shared" si="470"/>
        <v>N</v>
      </c>
      <c r="O593" s="128" t="s">
        <v>917</v>
      </c>
      <c r="P593" s="129" t="s">
        <v>589</v>
      </c>
      <c r="Q593" s="111">
        <f t="shared" si="467"/>
        <v>180</v>
      </c>
      <c r="R593" s="111">
        <f t="shared" si="439"/>
        <v>181</v>
      </c>
      <c r="S593" s="129">
        <v>1</v>
      </c>
      <c r="T593" s="129">
        <v>2</v>
      </c>
      <c r="V593" s="117">
        <v>1</v>
      </c>
      <c r="W593" s="111"/>
      <c r="AC593" s="130"/>
      <c r="AD593" s="130">
        <v>28424</v>
      </c>
      <c r="AE593" s="128" t="s">
        <v>32</v>
      </c>
      <c r="AF593" s="128" t="s">
        <v>69</v>
      </c>
      <c r="AG593" s="128" t="s">
        <v>874</v>
      </c>
      <c r="AH593" s="108" t="s">
        <v>58</v>
      </c>
      <c r="AI593" s="128" t="s">
        <v>95</v>
      </c>
      <c r="AJ593" s="129" t="s">
        <v>48</v>
      </c>
      <c r="AK593" s="129">
        <v>8</v>
      </c>
      <c r="AL593" s="3" t="s">
        <v>48</v>
      </c>
      <c r="AP593" s="129" t="s">
        <v>150</v>
      </c>
      <c r="AR593" s="128" t="s">
        <v>67</v>
      </c>
      <c r="AS593" s="129" t="s">
        <v>74</v>
      </c>
      <c r="AX593" s="32"/>
      <c r="BC593" s="129" t="s">
        <v>38</v>
      </c>
      <c r="BF593" s="111">
        <f t="shared" si="468"/>
        <v>180</v>
      </c>
      <c r="BG593" s="111">
        <f t="shared" si="466"/>
        <v>180</v>
      </c>
      <c r="BH593" s="111">
        <f t="shared" si="440"/>
        <v>181</v>
      </c>
      <c r="BI593" s="111">
        <f t="shared" si="441"/>
        <v>34.243169398907106</v>
      </c>
      <c r="BJ593" s="129">
        <f t="shared" si="446"/>
        <v>0</v>
      </c>
      <c r="BK593" s="129">
        <f t="shared" si="442"/>
        <v>0</v>
      </c>
      <c r="BL593" s="129" t="str">
        <f t="shared" si="430"/>
        <v>DEFERRED</v>
      </c>
      <c r="BM593" s="129" t="str">
        <f t="shared" si="447"/>
        <v>NONE</v>
      </c>
      <c r="BN593" s="129" t="s">
        <v>566</v>
      </c>
      <c r="BP593" s="137" t="str">
        <f t="shared" si="448"/>
        <v>DEFERRED</v>
      </c>
      <c r="BQ593" s="128" t="str">
        <f t="shared" si="449"/>
        <v>Y</v>
      </c>
      <c r="BR593" s="129" t="str">
        <f t="shared" si="450"/>
        <v>DETAINED</v>
      </c>
      <c r="BS593" s="129" t="str">
        <f t="shared" si="451"/>
        <v>DISPOSED</v>
      </c>
      <c r="BT593" s="129" t="str">
        <f t="shared" si="452"/>
        <v>Y</v>
      </c>
      <c r="BU593" s="109">
        <f t="shared" si="453"/>
        <v>0.99447513812154698</v>
      </c>
      <c r="BV593" s="109">
        <f t="shared" si="454"/>
        <v>1</v>
      </c>
      <c r="BW593" s="109">
        <f t="shared" si="455"/>
        <v>5.5248618784530246E-3</v>
      </c>
      <c r="BX593" s="111">
        <f t="shared" si="456"/>
        <v>0</v>
      </c>
      <c r="BY593" s="129">
        <f t="shared" si="457"/>
        <v>-180</v>
      </c>
      <c r="BZ593" s="111">
        <f t="shared" si="458"/>
        <v>0</v>
      </c>
      <c r="CA593" s="138">
        <f t="shared" si="459"/>
        <v>180</v>
      </c>
      <c r="CB593" s="111" t="e">
        <f t="shared" si="469"/>
        <v>#VALUE!</v>
      </c>
      <c r="CC593" s="129">
        <f>G593-I593+1</f>
        <v>180</v>
      </c>
      <c r="CD593" s="129">
        <f>G593-J593</f>
        <v>0</v>
      </c>
      <c r="CE593" s="129">
        <f t="shared" si="460"/>
        <v>0</v>
      </c>
      <c r="CG593" s="129" t="str">
        <f t="shared" si="461"/>
        <v>Y</v>
      </c>
      <c r="CI593" s="129" t="str">
        <f t="shared" si="462"/>
        <v>121-365 DAYS</v>
      </c>
      <c r="CJ593" s="137">
        <f t="shared" si="463"/>
        <v>6</v>
      </c>
      <c r="CK593" s="129" t="str">
        <f t="shared" si="464"/>
        <v>Booked</v>
      </c>
    </row>
    <row r="594" spans="1:89" ht="15" customHeight="1" x14ac:dyDescent="0.25">
      <c r="A594" s="111">
        <v>1197</v>
      </c>
      <c r="B594" s="128" t="str">
        <f t="shared" si="443"/>
        <v>N</v>
      </c>
      <c r="C594" s="128" t="str">
        <f t="shared" si="444"/>
        <v>N</v>
      </c>
      <c r="D594" s="117">
        <v>1344428</v>
      </c>
      <c r="E594" s="135">
        <f t="shared" si="445"/>
        <v>1</v>
      </c>
      <c r="F594" s="124">
        <v>40952</v>
      </c>
      <c r="G594" s="125">
        <v>40988</v>
      </c>
      <c r="H594" s="117">
        <v>1344428</v>
      </c>
      <c r="I594" s="124">
        <v>40953</v>
      </c>
      <c r="J594" s="124">
        <v>40988</v>
      </c>
      <c r="K594" s="126">
        <v>40000</v>
      </c>
      <c r="L594" s="129" t="s">
        <v>572</v>
      </c>
      <c r="N594" s="129" t="str">
        <f t="shared" si="470"/>
        <v>N</v>
      </c>
      <c r="O594" s="128" t="s">
        <v>917</v>
      </c>
      <c r="P594" s="129" t="s">
        <v>55</v>
      </c>
      <c r="Q594" s="111">
        <f t="shared" si="467"/>
        <v>36</v>
      </c>
      <c r="R594" s="111">
        <f t="shared" si="439"/>
        <v>37</v>
      </c>
      <c r="S594" s="129">
        <v>1</v>
      </c>
      <c r="T594" s="129">
        <v>3</v>
      </c>
      <c r="V594" s="117">
        <v>1</v>
      </c>
      <c r="W594" s="111"/>
      <c r="AC594" s="130"/>
      <c r="AD594" s="130">
        <v>26283</v>
      </c>
      <c r="AE594" s="128" t="s">
        <v>32</v>
      </c>
      <c r="AF594" s="128" t="s">
        <v>33</v>
      </c>
      <c r="AG594" s="128" t="s">
        <v>872</v>
      </c>
      <c r="AH594" s="108" t="s">
        <v>58</v>
      </c>
      <c r="AI594" s="128" t="s">
        <v>85</v>
      </c>
      <c r="AJ594" s="129" t="s">
        <v>55</v>
      </c>
      <c r="AK594" s="129">
        <v>2</v>
      </c>
      <c r="AL594" s="3" t="s">
        <v>55</v>
      </c>
      <c r="AP594" s="129" t="s">
        <v>132</v>
      </c>
      <c r="AR594" s="128" t="s">
        <v>92</v>
      </c>
      <c r="AS594" s="129" t="s">
        <v>82</v>
      </c>
      <c r="BC594" s="129" t="s">
        <v>38</v>
      </c>
      <c r="BF594" s="111">
        <f t="shared" si="468"/>
        <v>36</v>
      </c>
      <c r="BG594" s="111">
        <f t="shared" si="466"/>
        <v>36</v>
      </c>
      <c r="BH594" s="111">
        <f t="shared" si="440"/>
        <v>37</v>
      </c>
      <c r="BI594" s="111">
        <f t="shared" si="441"/>
        <v>40.079234972677597</v>
      </c>
      <c r="BJ594" s="129">
        <f t="shared" si="446"/>
        <v>0</v>
      </c>
      <c r="BK594" s="129">
        <f t="shared" si="442"/>
        <v>0</v>
      </c>
      <c r="BL594" s="129" t="str">
        <f t="shared" si="430"/>
        <v>NO CONVICTION</v>
      </c>
      <c r="BM594" s="129" t="str">
        <f t="shared" si="447"/>
        <v>NONE</v>
      </c>
      <c r="BN594" s="129" t="s">
        <v>566</v>
      </c>
      <c r="BP594" s="137" t="str">
        <f t="shared" si="448"/>
        <v>NO CONVICTION</v>
      </c>
      <c r="BQ594" s="128" t="str">
        <f t="shared" si="449"/>
        <v>Y</v>
      </c>
      <c r="BR594" s="129" t="str">
        <f t="shared" si="450"/>
        <v>DETAINED</v>
      </c>
      <c r="BS594" s="129" t="str">
        <f t="shared" si="451"/>
        <v>DISPOSED</v>
      </c>
      <c r="BT594" s="129" t="str">
        <f t="shared" si="452"/>
        <v>Y</v>
      </c>
      <c r="BU594" s="109">
        <f>IFERROR(Q594/R594,BR594)</f>
        <v>0.97297297297297303</v>
      </c>
      <c r="BV594" s="109">
        <f t="shared" si="454"/>
        <v>1</v>
      </c>
      <c r="BW594" s="109">
        <f t="shared" si="455"/>
        <v>2.7027027027026973E-2</v>
      </c>
      <c r="BX594" s="111">
        <f t="shared" si="456"/>
        <v>0</v>
      </c>
      <c r="BY594" s="129">
        <f t="shared" si="457"/>
        <v>-36</v>
      </c>
      <c r="BZ594" s="111">
        <f t="shared" si="458"/>
        <v>0</v>
      </c>
      <c r="CA594" s="138">
        <f t="shared" si="459"/>
        <v>36</v>
      </c>
      <c r="CB594" s="111" t="e">
        <f t="shared" si="469"/>
        <v>#VALUE!</v>
      </c>
      <c r="CC594" s="129">
        <f>G594-I594+1</f>
        <v>36</v>
      </c>
      <c r="CD594" s="129">
        <f>G594-J594</f>
        <v>0</v>
      </c>
      <c r="CE594" s="129">
        <f t="shared" si="460"/>
        <v>0</v>
      </c>
      <c r="CG594" s="129" t="str">
        <f t="shared" si="461"/>
        <v>Y</v>
      </c>
      <c r="CI594" s="129" t="str">
        <f t="shared" si="462"/>
        <v>31-60 DAYS</v>
      </c>
      <c r="CJ594" s="137">
        <f t="shared" si="463"/>
        <v>3</v>
      </c>
      <c r="CK594" s="129" t="str">
        <f t="shared" si="464"/>
        <v>Booked</v>
      </c>
    </row>
    <row r="595" spans="1:89" ht="15.75" customHeight="1" x14ac:dyDescent="0.25">
      <c r="A595" s="111">
        <v>106</v>
      </c>
      <c r="B595" s="128" t="str">
        <f t="shared" si="443"/>
        <v>N</v>
      </c>
      <c r="C595" s="128" t="str">
        <f t="shared" si="444"/>
        <v>N</v>
      </c>
      <c r="D595" s="117">
        <v>1347324</v>
      </c>
      <c r="E595" s="135">
        <f t="shared" si="445"/>
        <v>1</v>
      </c>
      <c r="F595" s="124">
        <v>40913</v>
      </c>
      <c r="G595" s="125">
        <v>41179</v>
      </c>
      <c r="H595" s="117">
        <v>1347324</v>
      </c>
      <c r="I595" s="124">
        <v>40947</v>
      </c>
      <c r="J595" s="124">
        <v>40948</v>
      </c>
      <c r="K595" s="126">
        <v>30000</v>
      </c>
      <c r="L595" s="129" t="s">
        <v>572</v>
      </c>
      <c r="M595" s="125">
        <v>40948</v>
      </c>
      <c r="N595" s="129" t="str">
        <f t="shared" si="470"/>
        <v>Y</v>
      </c>
      <c r="O595" s="128" t="s">
        <v>76</v>
      </c>
      <c r="P595" s="129" t="s">
        <v>55</v>
      </c>
      <c r="Q595" s="111">
        <f t="shared" si="467"/>
        <v>2</v>
      </c>
      <c r="R595" s="111">
        <f t="shared" si="439"/>
        <v>267</v>
      </c>
      <c r="S595" s="129">
        <v>1</v>
      </c>
      <c r="T595" s="129">
        <v>3</v>
      </c>
      <c r="W595" s="111"/>
      <c r="AC595" s="130"/>
      <c r="AD595" s="130">
        <v>27089</v>
      </c>
      <c r="AE595" s="128" t="s">
        <v>32</v>
      </c>
      <c r="AF595" s="128" t="s">
        <v>33</v>
      </c>
      <c r="AG595" s="128" t="s">
        <v>872</v>
      </c>
      <c r="AH595" s="108" t="s">
        <v>31</v>
      </c>
      <c r="AI595" s="128" t="s">
        <v>71</v>
      </c>
      <c r="AJ595" s="129" t="s">
        <v>55</v>
      </c>
      <c r="AK595" s="129">
        <v>9</v>
      </c>
      <c r="AL595" s="3" t="s">
        <v>55</v>
      </c>
      <c r="AP595" s="129" t="s">
        <v>145</v>
      </c>
      <c r="AR595" s="128" t="s">
        <v>50</v>
      </c>
      <c r="AS595" s="129" t="s">
        <v>126</v>
      </c>
      <c r="AT595" s="129" t="s">
        <v>146</v>
      </c>
      <c r="BC595" s="129" t="s">
        <v>52</v>
      </c>
      <c r="BF595" s="111">
        <f t="shared" si="468"/>
        <v>2</v>
      </c>
      <c r="BG595" s="111">
        <f t="shared" si="466"/>
        <v>233</v>
      </c>
      <c r="BH595" s="111">
        <f t="shared" si="440"/>
        <v>267</v>
      </c>
      <c r="BI595" s="111">
        <f t="shared" si="441"/>
        <v>37.770491803278688</v>
      </c>
      <c r="BJ595" s="129">
        <f>(G595-J595)+(M595-G595)</f>
        <v>0</v>
      </c>
      <c r="BK595" s="129">
        <f t="shared" si="442"/>
        <v>-231</v>
      </c>
      <c r="BL595" s="129" t="str">
        <f t="shared" si="430"/>
        <v>NO CONVICTION</v>
      </c>
      <c r="BM595" s="129" t="s">
        <v>76</v>
      </c>
      <c r="BN595" s="129" t="s">
        <v>88</v>
      </c>
      <c r="BP595" s="137" t="str">
        <f t="shared" si="448"/>
        <v>NO CONVICTION</v>
      </c>
      <c r="BQ595" s="128" t="str">
        <f t="shared" si="449"/>
        <v>Y</v>
      </c>
      <c r="BR595" s="129" t="str">
        <f t="shared" si="450"/>
        <v>ON BOND</v>
      </c>
      <c r="BS595" s="129" t="str">
        <f t="shared" si="451"/>
        <v>DISPOSED</v>
      </c>
      <c r="BT595" s="129" t="str">
        <f t="shared" si="452"/>
        <v>Y</v>
      </c>
      <c r="BU595" s="109">
        <f>IFERROR(Q595/R595,BR595)</f>
        <v>7.4906367041198503E-3</v>
      </c>
      <c r="BV595" s="109">
        <f t="shared" si="454"/>
        <v>8.5836909871244635E-3</v>
      </c>
      <c r="BW595" s="109">
        <f t="shared" si="455"/>
        <v>1.0930542830046132E-3</v>
      </c>
      <c r="BX595" s="111">
        <f t="shared" si="456"/>
        <v>0</v>
      </c>
      <c r="BY595" s="129">
        <f t="shared" si="457"/>
        <v>-2</v>
      </c>
      <c r="BZ595" s="111">
        <f t="shared" si="458"/>
        <v>0</v>
      </c>
      <c r="CA595" s="138">
        <f t="shared" si="459"/>
        <v>2</v>
      </c>
      <c r="CB595" s="111" t="e">
        <f t="shared" si="469"/>
        <v>#VALUE!</v>
      </c>
      <c r="CC595" s="129">
        <f>M595-I595+1</f>
        <v>2</v>
      </c>
      <c r="CD595" s="111">
        <f>CC595-BF595</f>
        <v>0</v>
      </c>
      <c r="CE595" s="129">
        <f t="shared" si="460"/>
        <v>231</v>
      </c>
      <c r="CG595" s="129" t="str">
        <f t="shared" si="461"/>
        <v>Y</v>
      </c>
      <c r="CI595" s="129" t="str">
        <f t="shared" si="462"/>
        <v>0-10 DAYS</v>
      </c>
      <c r="CJ595" s="137">
        <f t="shared" si="463"/>
        <v>1</v>
      </c>
      <c r="CK595" s="129" t="str">
        <f t="shared" si="464"/>
        <v>Booked</v>
      </c>
    </row>
    <row r="596" spans="1:89" ht="15" customHeight="1" x14ac:dyDescent="0.25">
      <c r="A596" s="111">
        <v>1816</v>
      </c>
      <c r="B596" s="128" t="str">
        <f t="shared" si="443"/>
        <v>N</v>
      </c>
      <c r="C596" s="128" t="str">
        <f t="shared" si="444"/>
        <v>N</v>
      </c>
      <c r="D596" s="117">
        <v>1348285</v>
      </c>
      <c r="E596" s="135">
        <f t="shared" si="445"/>
        <v>1</v>
      </c>
      <c r="F596" s="124">
        <v>40976</v>
      </c>
      <c r="G596" s="125">
        <v>41040</v>
      </c>
      <c r="H596" s="117">
        <v>1348285</v>
      </c>
      <c r="I596" s="124">
        <v>40977</v>
      </c>
      <c r="J596" s="124">
        <v>40978</v>
      </c>
      <c r="K596" s="126">
        <v>30000</v>
      </c>
      <c r="L596" s="129" t="s">
        <v>572</v>
      </c>
      <c r="M596" s="125">
        <v>40978</v>
      </c>
      <c r="N596" s="129" t="str">
        <f t="shared" si="470"/>
        <v>Y</v>
      </c>
      <c r="O596" s="128" t="s">
        <v>76</v>
      </c>
      <c r="P596" s="129" t="s">
        <v>123</v>
      </c>
      <c r="Q596" s="111">
        <f t="shared" si="467"/>
        <v>2</v>
      </c>
      <c r="R596" s="111">
        <f t="shared" si="439"/>
        <v>65</v>
      </c>
      <c r="S596" s="129">
        <v>0</v>
      </c>
      <c r="T596" s="129">
        <v>0</v>
      </c>
      <c r="W596" s="111"/>
      <c r="AC596" s="130"/>
      <c r="AD596" s="130">
        <v>27052</v>
      </c>
      <c r="AE596" s="128" t="s">
        <v>32</v>
      </c>
      <c r="AF596" s="128" t="s">
        <v>69</v>
      </c>
      <c r="AG596" s="128" t="s">
        <v>874</v>
      </c>
      <c r="AH596" s="108" t="s">
        <v>31</v>
      </c>
      <c r="AI596" s="128" t="s">
        <v>62</v>
      </c>
      <c r="AJ596" s="129" t="s">
        <v>123</v>
      </c>
      <c r="AK596" s="129">
        <v>3</v>
      </c>
      <c r="AL596" s="3" t="s">
        <v>123</v>
      </c>
      <c r="AP596" s="129" t="s">
        <v>73</v>
      </c>
      <c r="AR596" s="128" t="s">
        <v>50</v>
      </c>
      <c r="AS596" s="129" t="s">
        <v>74</v>
      </c>
      <c r="AX596" s="32"/>
      <c r="BC596" s="129" t="s">
        <v>52</v>
      </c>
      <c r="BF596" s="111">
        <f t="shared" si="468"/>
        <v>2</v>
      </c>
      <c r="BG596" s="111">
        <f t="shared" si="466"/>
        <v>64</v>
      </c>
      <c r="BH596" s="111">
        <f t="shared" si="440"/>
        <v>65</v>
      </c>
      <c r="BI596" s="111">
        <f t="shared" si="441"/>
        <v>38.043715846994537</v>
      </c>
      <c r="BJ596" s="129">
        <f>(G596-J596)+(M596-G596)</f>
        <v>0</v>
      </c>
      <c r="BK596" s="129">
        <f t="shared" si="442"/>
        <v>-62</v>
      </c>
      <c r="BL596" s="129" t="str">
        <f t="shared" si="430"/>
        <v>NO CONVICTION</v>
      </c>
      <c r="BM596" s="129" t="s">
        <v>76</v>
      </c>
      <c r="BN596" s="129" t="s">
        <v>88</v>
      </c>
      <c r="BP596" s="137" t="str">
        <f t="shared" si="448"/>
        <v>NO CONVICTION</v>
      </c>
      <c r="BQ596" s="128" t="str">
        <f t="shared" si="449"/>
        <v>Y</v>
      </c>
      <c r="BR596" s="129" t="str">
        <f t="shared" si="450"/>
        <v>ON BOND</v>
      </c>
      <c r="BS596" s="129" t="str">
        <f t="shared" si="451"/>
        <v>DISPOSED</v>
      </c>
      <c r="BT596" s="129" t="str">
        <f t="shared" si="452"/>
        <v>N</v>
      </c>
      <c r="BU596" s="109">
        <f>IFERROR(Q596/R596,BR596)</f>
        <v>3.0769230769230771E-2</v>
      </c>
      <c r="BV596" s="109">
        <f t="shared" si="454"/>
        <v>3.125E-2</v>
      </c>
      <c r="BW596" s="109">
        <f t="shared" si="455"/>
        <v>4.8076923076922906E-4</v>
      </c>
      <c r="BX596" s="111">
        <f t="shared" si="456"/>
        <v>0</v>
      </c>
      <c r="BY596" s="129">
        <f t="shared" si="457"/>
        <v>-2</v>
      </c>
      <c r="BZ596" s="111">
        <f t="shared" si="458"/>
        <v>0</v>
      </c>
      <c r="CA596" s="138">
        <f t="shared" si="459"/>
        <v>2</v>
      </c>
      <c r="CB596" s="111" t="e">
        <f t="shared" si="469"/>
        <v>#VALUE!</v>
      </c>
      <c r="CC596" s="129">
        <f>M596-I596+1</f>
        <v>2</v>
      </c>
      <c r="CD596" s="111">
        <f>CC596-BF596</f>
        <v>0</v>
      </c>
      <c r="CE596" s="129">
        <f t="shared" si="460"/>
        <v>62</v>
      </c>
      <c r="CG596" s="129" t="str">
        <f t="shared" si="461"/>
        <v>N</v>
      </c>
      <c r="CI596" s="129" t="str">
        <f t="shared" si="462"/>
        <v>0-10 DAYS</v>
      </c>
      <c r="CJ596" s="137">
        <f t="shared" si="463"/>
        <v>1</v>
      </c>
      <c r="CK596" s="129" t="str">
        <f t="shared" si="464"/>
        <v>Booked</v>
      </c>
    </row>
    <row r="597" spans="1:89" ht="15.75" customHeight="1" x14ac:dyDescent="0.25">
      <c r="A597" s="111">
        <v>74</v>
      </c>
      <c r="B597" s="128" t="str">
        <f t="shared" si="443"/>
        <v>N</v>
      </c>
      <c r="C597" s="128" t="str">
        <f t="shared" si="444"/>
        <v>N</v>
      </c>
      <c r="D597" s="117">
        <v>1348605</v>
      </c>
      <c r="E597" s="135">
        <f t="shared" si="445"/>
        <v>5</v>
      </c>
      <c r="F597" s="124">
        <v>40912</v>
      </c>
      <c r="G597" s="125">
        <v>40914</v>
      </c>
      <c r="H597" s="117">
        <v>1348605</v>
      </c>
      <c r="I597" s="124">
        <v>40913</v>
      </c>
      <c r="J597" s="124">
        <v>40914</v>
      </c>
      <c r="K597" s="126">
        <v>15000</v>
      </c>
      <c r="L597" s="127" t="s">
        <v>571</v>
      </c>
      <c r="N597" s="129" t="str">
        <f t="shared" si="470"/>
        <v>N</v>
      </c>
      <c r="O597" s="128" t="s">
        <v>917</v>
      </c>
      <c r="P597" s="129" t="s">
        <v>39</v>
      </c>
      <c r="Q597" s="111">
        <f t="shared" si="467"/>
        <v>2</v>
      </c>
      <c r="R597" s="111">
        <f t="shared" si="439"/>
        <v>3</v>
      </c>
      <c r="S597" s="129">
        <v>6</v>
      </c>
      <c r="T597" s="129">
        <v>0</v>
      </c>
      <c r="U597" s="129">
        <v>6</v>
      </c>
      <c r="W597" s="111"/>
      <c r="AC597" s="130"/>
      <c r="AD597" s="130">
        <v>27338</v>
      </c>
      <c r="AE597" s="128" t="s">
        <v>32</v>
      </c>
      <c r="AF597" s="128" t="s">
        <v>33</v>
      </c>
      <c r="AG597" s="128" t="s">
        <v>872</v>
      </c>
      <c r="AH597" s="108" t="s">
        <v>58</v>
      </c>
      <c r="AI597" s="128" t="s">
        <v>87</v>
      </c>
      <c r="AJ597" s="129" t="s">
        <v>89</v>
      </c>
      <c r="AK597" s="129">
        <v>1</v>
      </c>
      <c r="AL597" s="3" t="s">
        <v>992</v>
      </c>
      <c r="AN597" s="117">
        <v>6</v>
      </c>
      <c r="AP597" s="129" t="s">
        <v>43</v>
      </c>
      <c r="AR597" s="128" t="s">
        <v>44</v>
      </c>
      <c r="AS597" s="129" t="s">
        <v>45</v>
      </c>
      <c r="BC597" s="129" t="s">
        <v>38</v>
      </c>
      <c r="BF597" s="111">
        <f t="shared" si="468"/>
        <v>2</v>
      </c>
      <c r="BG597" s="111">
        <f t="shared" si="466"/>
        <v>2</v>
      </c>
      <c r="BH597" s="111">
        <f t="shared" si="440"/>
        <v>3</v>
      </c>
      <c r="BI597" s="111">
        <f t="shared" si="441"/>
        <v>37.087431693989068</v>
      </c>
      <c r="BJ597" s="129">
        <f t="shared" si="446"/>
        <v>0</v>
      </c>
      <c r="BK597" s="129">
        <f t="shared" si="442"/>
        <v>0</v>
      </c>
      <c r="BL597" s="129" t="str">
        <f t="shared" si="430"/>
        <v>CONVICTION</v>
      </c>
      <c r="BM597" s="129" t="str">
        <f t="shared" si="447"/>
        <v>NONE</v>
      </c>
      <c r="BN597" s="129" t="s">
        <v>566</v>
      </c>
      <c r="BP597" s="137" t="str">
        <f t="shared" si="448"/>
        <v>CONVICTION</v>
      </c>
      <c r="BQ597" s="128" t="str">
        <f t="shared" si="449"/>
        <v>Y</v>
      </c>
      <c r="BR597" s="129" t="str">
        <f t="shared" si="450"/>
        <v>DETAINED</v>
      </c>
      <c r="BS597" s="129" t="str">
        <f t="shared" si="451"/>
        <v>DISPOSED</v>
      </c>
      <c r="BT597" s="129" t="str">
        <f t="shared" si="452"/>
        <v>Y</v>
      </c>
      <c r="BU597" s="109">
        <f t="shared" si="453"/>
        <v>0.66666666666666663</v>
      </c>
      <c r="BV597" s="109">
        <f t="shared" si="454"/>
        <v>1</v>
      </c>
      <c r="BW597" s="109">
        <f t="shared" si="455"/>
        <v>0.33333333333333337</v>
      </c>
      <c r="BX597" s="111">
        <f t="shared" si="456"/>
        <v>0</v>
      </c>
      <c r="BY597" s="129">
        <f t="shared" si="457"/>
        <v>-2</v>
      </c>
      <c r="BZ597" s="111">
        <f t="shared" si="458"/>
        <v>0</v>
      </c>
      <c r="CA597" s="138">
        <f t="shared" si="459"/>
        <v>2</v>
      </c>
      <c r="CB597" s="111" t="e">
        <f t="shared" si="469"/>
        <v>#VALUE!</v>
      </c>
      <c r="CC597" s="129">
        <f>G597-I597+1</f>
        <v>2</v>
      </c>
      <c r="CD597" s="129">
        <f>G597-J597</f>
        <v>0</v>
      </c>
      <c r="CE597" s="129">
        <f t="shared" si="460"/>
        <v>0</v>
      </c>
      <c r="CG597" s="129" t="str">
        <f t="shared" si="461"/>
        <v>Y</v>
      </c>
      <c r="CI597" s="129" t="str">
        <f t="shared" si="462"/>
        <v>0-10 DAYS</v>
      </c>
      <c r="CJ597" s="137">
        <f t="shared" si="463"/>
        <v>1</v>
      </c>
      <c r="CK597" s="129" t="str">
        <f t="shared" si="464"/>
        <v>Booked</v>
      </c>
    </row>
    <row r="598" spans="1:89" ht="15" customHeight="1" x14ac:dyDescent="0.25">
      <c r="A598" s="111">
        <v>2044</v>
      </c>
      <c r="B598" s="128" t="str">
        <f t="shared" si="443"/>
        <v>N</v>
      </c>
      <c r="C598" s="128" t="str">
        <f t="shared" si="444"/>
        <v>N</v>
      </c>
      <c r="D598" s="117">
        <v>1350310</v>
      </c>
      <c r="E598" s="135">
        <f t="shared" si="445"/>
        <v>6</v>
      </c>
      <c r="F598" s="124">
        <v>40985</v>
      </c>
      <c r="G598" s="125">
        <v>41085</v>
      </c>
      <c r="H598" s="117">
        <v>1350310</v>
      </c>
      <c r="I598" s="124">
        <v>40986</v>
      </c>
      <c r="J598" s="124">
        <v>41085</v>
      </c>
      <c r="K598" s="126" t="s">
        <v>564</v>
      </c>
      <c r="L598" s="127" t="s">
        <v>564</v>
      </c>
      <c r="N598" s="129" t="s">
        <v>566</v>
      </c>
      <c r="O598" s="128" t="s">
        <v>917</v>
      </c>
      <c r="P598" s="129" t="s">
        <v>39</v>
      </c>
      <c r="Q598" s="111">
        <f t="shared" si="467"/>
        <v>100</v>
      </c>
      <c r="R598" s="111">
        <f t="shared" si="439"/>
        <v>101</v>
      </c>
      <c r="S598" s="129">
        <v>6</v>
      </c>
      <c r="T598" s="129">
        <v>4</v>
      </c>
      <c r="U598" s="129">
        <v>4</v>
      </c>
      <c r="W598" s="111"/>
      <c r="AC598" s="130"/>
      <c r="AD598" s="130">
        <v>26494</v>
      </c>
      <c r="AE598" s="128" t="s">
        <v>32</v>
      </c>
      <c r="AF598" s="128" t="s">
        <v>40</v>
      </c>
      <c r="AG598" s="128" t="s">
        <v>41</v>
      </c>
      <c r="AH598" s="108" t="s">
        <v>41</v>
      </c>
      <c r="AI598" s="128" t="s">
        <v>53</v>
      </c>
      <c r="AJ598" s="129" t="s">
        <v>89</v>
      </c>
      <c r="AK598" s="129">
        <v>8</v>
      </c>
      <c r="AL598" s="3" t="s">
        <v>362</v>
      </c>
      <c r="AM598" s="117">
        <v>5</v>
      </c>
      <c r="AP598" s="129" t="s">
        <v>73</v>
      </c>
      <c r="AR598" s="128" t="s">
        <v>50</v>
      </c>
      <c r="AS598" s="129" t="s">
        <v>74</v>
      </c>
      <c r="BC598" s="129" t="s">
        <v>52</v>
      </c>
      <c r="BF598" s="111">
        <f t="shared" si="468"/>
        <v>100</v>
      </c>
      <c r="BG598" s="111">
        <f t="shared" si="466"/>
        <v>100</v>
      </c>
      <c r="BH598" s="111">
        <f t="shared" si="440"/>
        <v>101</v>
      </c>
      <c r="BI598" s="111">
        <f t="shared" si="441"/>
        <v>39.592896174863391</v>
      </c>
      <c r="BJ598" s="129">
        <f t="shared" si="446"/>
        <v>0</v>
      </c>
      <c r="BK598" s="129">
        <f t="shared" si="442"/>
        <v>0</v>
      </c>
      <c r="BL598" s="129" t="str">
        <f t="shared" si="430"/>
        <v>CONVICTION</v>
      </c>
      <c r="BM598" s="129" t="str">
        <f t="shared" si="447"/>
        <v>NONE</v>
      </c>
      <c r="BN598" s="129" t="s">
        <v>566</v>
      </c>
      <c r="BP598" s="137" t="str">
        <f t="shared" si="448"/>
        <v>CONVICTION</v>
      </c>
      <c r="BQ598" s="128" t="str">
        <f t="shared" si="449"/>
        <v>Y</v>
      </c>
      <c r="BR598" s="129" t="str">
        <f t="shared" si="450"/>
        <v>DETAINED</v>
      </c>
      <c r="BS598" s="129" t="str">
        <f t="shared" si="451"/>
        <v>DISPOSED</v>
      </c>
      <c r="BT598" s="129" t="str">
        <f t="shared" si="452"/>
        <v>Y</v>
      </c>
      <c r="BU598" s="109">
        <f t="shared" si="453"/>
        <v>0.99009900990099009</v>
      </c>
      <c r="BV598" s="109">
        <f t="shared" si="454"/>
        <v>1</v>
      </c>
      <c r="BW598" s="109">
        <f t="shared" si="455"/>
        <v>9.9009900990099098E-3</v>
      </c>
      <c r="BX598" s="111">
        <f t="shared" si="456"/>
        <v>0</v>
      </c>
      <c r="BY598" s="129">
        <f t="shared" si="457"/>
        <v>-100</v>
      </c>
      <c r="BZ598" s="111">
        <f t="shared" si="458"/>
        <v>0</v>
      </c>
      <c r="CA598" s="138">
        <f t="shared" si="459"/>
        <v>100</v>
      </c>
      <c r="CB598" s="111" t="e">
        <f t="shared" si="469"/>
        <v>#VALUE!</v>
      </c>
      <c r="CC598" s="129">
        <f>G598-I598+1</f>
        <v>100</v>
      </c>
      <c r="CD598" s="129">
        <f>G598-J598</f>
        <v>0</v>
      </c>
      <c r="CE598" s="129">
        <f t="shared" si="460"/>
        <v>0</v>
      </c>
      <c r="CG598" s="129" t="str">
        <f t="shared" si="461"/>
        <v>Y</v>
      </c>
      <c r="CI598" s="129" t="str">
        <f t="shared" si="462"/>
        <v>91-120 DAYS</v>
      </c>
      <c r="CJ598" s="137">
        <f t="shared" si="463"/>
        <v>0</v>
      </c>
      <c r="CK598" s="129" t="str">
        <f t="shared" si="464"/>
        <v>Booked</v>
      </c>
    </row>
    <row r="599" spans="1:89" ht="15.75" customHeight="1" x14ac:dyDescent="0.25">
      <c r="A599" s="111">
        <v>1556</v>
      </c>
      <c r="B599" s="128" t="str">
        <f t="shared" si="443"/>
        <v>N</v>
      </c>
      <c r="C599" s="128" t="str">
        <f t="shared" si="444"/>
        <v>N</v>
      </c>
      <c r="D599" s="117">
        <v>1351032</v>
      </c>
      <c r="E599" s="135">
        <f t="shared" si="445"/>
        <v>6</v>
      </c>
      <c r="F599" s="124">
        <v>40966</v>
      </c>
      <c r="G599" s="125">
        <v>41025</v>
      </c>
      <c r="H599" s="117">
        <v>1351032</v>
      </c>
      <c r="I599" s="124">
        <v>40967</v>
      </c>
      <c r="J599" s="124">
        <v>41025</v>
      </c>
      <c r="K599" s="126">
        <v>30000</v>
      </c>
      <c r="L599" s="129" t="s">
        <v>572</v>
      </c>
      <c r="N599" s="129" t="str">
        <f>IF(M599&gt;1/1/1,"Y","N")</f>
        <v>N</v>
      </c>
      <c r="O599" s="128" t="s">
        <v>917</v>
      </c>
      <c r="P599" s="129" t="s">
        <v>39</v>
      </c>
      <c r="Q599" s="111">
        <f t="shared" si="467"/>
        <v>59</v>
      </c>
      <c r="R599" s="111">
        <f t="shared" si="439"/>
        <v>60</v>
      </c>
      <c r="S599" s="129">
        <v>4</v>
      </c>
      <c r="T599" s="129">
        <v>3</v>
      </c>
      <c r="U599" s="129">
        <v>2</v>
      </c>
      <c r="W599" s="111"/>
      <c r="AC599" s="130"/>
      <c r="AD599" s="130">
        <v>27926</v>
      </c>
      <c r="AE599" s="128" t="s">
        <v>32</v>
      </c>
      <c r="AF599" s="128" t="s">
        <v>69</v>
      </c>
      <c r="AG599" s="128" t="s">
        <v>874</v>
      </c>
      <c r="AH599" s="108" t="s">
        <v>58</v>
      </c>
      <c r="AI599" s="128" t="s">
        <v>87</v>
      </c>
      <c r="AJ599" s="129" t="s">
        <v>89</v>
      </c>
      <c r="AK599" s="129">
        <v>3</v>
      </c>
      <c r="AL599" s="3" t="s">
        <v>362</v>
      </c>
      <c r="AM599" s="117">
        <v>2</v>
      </c>
      <c r="AP599" s="129" t="s">
        <v>56</v>
      </c>
      <c r="AR599" s="128" t="s">
        <v>50</v>
      </c>
      <c r="AS599" s="129" t="s">
        <v>57</v>
      </c>
      <c r="BC599" s="129" t="s">
        <v>99</v>
      </c>
      <c r="BF599" s="111">
        <f t="shared" si="468"/>
        <v>59</v>
      </c>
      <c r="BG599" s="111">
        <f t="shared" si="466"/>
        <v>59</v>
      </c>
      <c r="BH599" s="111">
        <f t="shared" si="440"/>
        <v>60</v>
      </c>
      <c r="BI599" s="111">
        <f t="shared" si="441"/>
        <v>35.62841530054645</v>
      </c>
      <c r="BJ599" s="129">
        <f t="shared" si="446"/>
        <v>0</v>
      </c>
      <c r="BK599" s="129">
        <f t="shared" si="442"/>
        <v>0</v>
      </c>
      <c r="BL599" s="129" t="str">
        <f t="shared" si="430"/>
        <v>CONVICTION</v>
      </c>
      <c r="BM599" s="129" t="str">
        <f t="shared" si="447"/>
        <v>NONE</v>
      </c>
      <c r="BN599" s="129" t="s">
        <v>566</v>
      </c>
      <c r="BP599" s="137" t="str">
        <f t="shared" si="448"/>
        <v>CONVICTION</v>
      </c>
      <c r="BQ599" s="128" t="str">
        <f t="shared" si="449"/>
        <v>Y</v>
      </c>
      <c r="BR599" s="129" t="str">
        <f t="shared" si="450"/>
        <v>DETAINED</v>
      </c>
      <c r="BS599" s="129" t="str">
        <f t="shared" si="451"/>
        <v>DISPOSED</v>
      </c>
      <c r="BT599" s="129" t="str">
        <f t="shared" si="452"/>
        <v>Y</v>
      </c>
      <c r="BU599" s="109">
        <f t="shared" si="453"/>
        <v>0.98333333333333328</v>
      </c>
      <c r="BV599" s="109">
        <f t="shared" si="454"/>
        <v>1</v>
      </c>
      <c r="BW599" s="109">
        <f t="shared" si="455"/>
        <v>1.6666666666666718E-2</v>
      </c>
      <c r="BX599" s="111">
        <f t="shared" si="456"/>
        <v>0</v>
      </c>
      <c r="BY599" s="129">
        <f t="shared" si="457"/>
        <v>-59</v>
      </c>
      <c r="BZ599" s="111">
        <f t="shared" si="458"/>
        <v>0</v>
      </c>
      <c r="CA599" s="138">
        <f t="shared" si="459"/>
        <v>59</v>
      </c>
      <c r="CB599" s="111" t="e">
        <f t="shared" si="469"/>
        <v>#VALUE!</v>
      </c>
      <c r="CC599" s="129">
        <f>G599-I599+1</f>
        <v>59</v>
      </c>
      <c r="CD599" s="129">
        <f>G599-J599</f>
        <v>0</v>
      </c>
      <c r="CE599" s="129">
        <f t="shared" si="460"/>
        <v>0</v>
      </c>
      <c r="CG599" s="129" t="str">
        <f t="shared" si="461"/>
        <v>Y</v>
      </c>
      <c r="CI599" s="129" t="str">
        <f t="shared" si="462"/>
        <v>31-60 DAYS</v>
      </c>
      <c r="CJ599" s="137">
        <f t="shared" si="463"/>
        <v>3</v>
      </c>
      <c r="CK599" s="129" t="str">
        <f t="shared" si="464"/>
        <v>Booked</v>
      </c>
    </row>
    <row r="600" spans="1:89" ht="15.75" customHeight="1" x14ac:dyDescent="0.25">
      <c r="A600" s="111">
        <v>100</v>
      </c>
      <c r="B600" s="128" t="str">
        <f t="shared" si="443"/>
        <v>N</v>
      </c>
      <c r="C600" s="128" t="str">
        <f t="shared" si="444"/>
        <v>N</v>
      </c>
      <c r="D600" s="117">
        <v>1351641</v>
      </c>
      <c r="E600" s="135">
        <f t="shared" si="445"/>
        <v>5</v>
      </c>
      <c r="F600" s="124">
        <v>40913</v>
      </c>
      <c r="G600" s="125">
        <v>40996</v>
      </c>
      <c r="H600" s="117">
        <v>1351641</v>
      </c>
      <c r="I600" s="124">
        <v>40913</v>
      </c>
      <c r="J600" s="124">
        <v>40996</v>
      </c>
      <c r="K600" s="126">
        <v>10000</v>
      </c>
      <c r="L600" s="127" t="s">
        <v>570</v>
      </c>
      <c r="N600" s="129" t="str">
        <f>IF(M600&gt;1/1/1,"Y","N")</f>
        <v>N</v>
      </c>
      <c r="O600" s="128" t="s">
        <v>917</v>
      </c>
      <c r="P600" s="129" t="s">
        <v>39</v>
      </c>
      <c r="Q600" s="111">
        <f t="shared" si="467"/>
        <v>84</v>
      </c>
      <c r="R600" s="111">
        <f t="shared" si="439"/>
        <v>84</v>
      </c>
      <c r="S600" s="129">
        <v>4</v>
      </c>
      <c r="T600" s="129">
        <v>7</v>
      </c>
      <c r="U600" s="129">
        <v>1</v>
      </c>
      <c r="V600" s="117">
        <v>1</v>
      </c>
      <c r="W600" s="111"/>
      <c r="AC600" s="130"/>
      <c r="AD600" s="130">
        <v>27821</v>
      </c>
      <c r="AE600" s="128" t="s">
        <v>32</v>
      </c>
      <c r="AF600" s="128" t="s">
        <v>33</v>
      </c>
      <c r="AG600" s="128" t="s">
        <v>872</v>
      </c>
      <c r="AH600" s="108" t="s">
        <v>31</v>
      </c>
      <c r="AI600" s="128" t="s">
        <v>118</v>
      </c>
      <c r="AJ600" s="129" t="s">
        <v>89</v>
      </c>
      <c r="AK600" s="129">
        <v>3</v>
      </c>
      <c r="AL600" s="3" t="s">
        <v>992</v>
      </c>
      <c r="AN600" s="117">
        <v>8</v>
      </c>
      <c r="AP600" s="129" t="s">
        <v>43</v>
      </c>
      <c r="AR600" s="128" t="s">
        <v>44</v>
      </c>
      <c r="AS600" s="129" t="s">
        <v>45</v>
      </c>
      <c r="BC600" s="129" t="s">
        <v>38</v>
      </c>
      <c r="BF600" s="111">
        <f t="shared" si="468"/>
        <v>84</v>
      </c>
      <c r="BG600" s="111">
        <f t="shared" si="466"/>
        <v>84</v>
      </c>
      <c r="BH600" s="111">
        <f t="shared" si="440"/>
        <v>84</v>
      </c>
      <c r="BI600" s="111">
        <f t="shared" si="441"/>
        <v>35.770491803278688</v>
      </c>
      <c r="BJ600" s="129">
        <f t="shared" si="446"/>
        <v>0</v>
      </c>
      <c r="BK600" s="129">
        <f t="shared" si="442"/>
        <v>0</v>
      </c>
      <c r="BL600" s="129" t="str">
        <f t="shared" si="430"/>
        <v>CONVICTION</v>
      </c>
      <c r="BM600" s="129" t="str">
        <f t="shared" si="447"/>
        <v>NONE</v>
      </c>
      <c r="BN600" s="129" t="s">
        <v>566</v>
      </c>
      <c r="BP600" s="137" t="str">
        <f t="shared" si="448"/>
        <v>CONVICTION</v>
      </c>
      <c r="BQ600" s="128" t="str">
        <f t="shared" si="449"/>
        <v>Y</v>
      </c>
      <c r="BR600" s="129" t="str">
        <f t="shared" si="450"/>
        <v>DETAINED</v>
      </c>
      <c r="BS600" s="129" t="str">
        <f t="shared" si="451"/>
        <v>DISPOSED</v>
      </c>
      <c r="BT600" s="129" t="str">
        <f t="shared" si="452"/>
        <v>Y</v>
      </c>
      <c r="BU600" s="109">
        <f t="shared" si="453"/>
        <v>1</v>
      </c>
      <c r="BV600" s="109">
        <f t="shared" si="454"/>
        <v>1</v>
      </c>
      <c r="BW600" s="109">
        <f t="shared" si="455"/>
        <v>0</v>
      </c>
      <c r="BX600" s="111">
        <f t="shared" si="456"/>
        <v>0</v>
      </c>
      <c r="BY600" s="129">
        <f t="shared" si="457"/>
        <v>-84</v>
      </c>
      <c r="BZ600" s="111">
        <f t="shared" si="458"/>
        <v>0</v>
      </c>
      <c r="CA600" s="138">
        <f t="shared" si="459"/>
        <v>84</v>
      </c>
      <c r="CB600" s="111" t="e">
        <f t="shared" si="469"/>
        <v>#VALUE!</v>
      </c>
      <c r="CC600" s="129">
        <f>G600-I600+1</f>
        <v>84</v>
      </c>
      <c r="CD600" s="129">
        <f>G600-J600</f>
        <v>0</v>
      </c>
      <c r="CE600" s="129">
        <f t="shared" si="460"/>
        <v>0</v>
      </c>
      <c r="CG600" s="129" t="str">
        <f t="shared" si="461"/>
        <v>Y</v>
      </c>
      <c r="CI600" s="129" t="str">
        <f t="shared" si="462"/>
        <v>61-90 DAYS</v>
      </c>
      <c r="CJ600" s="137">
        <f t="shared" si="463"/>
        <v>4</v>
      </c>
      <c r="CK600" s="129" t="str">
        <f t="shared" si="464"/>
        <v>Booked</v>
      </c>
    </row>
    <row r="601" spans="1:89" ht="15" customHeight="1" x14ac:dyDescent="0.25">
      <c r="A601" s="111">
        <v>231</v>
      </c>
      <c r="B601" s="128" t="str">
        <f t="shared" si="443"/>
        <v>N</v>
      </c>
      <c r="C601" s="128" t="str">
        <f t="shared" si="444"/>
        <v>N</v>
      </c>
      <c r="D601" s="117">
        <v>1351680</v>
      </c>
      <c r="E601" s="135">
        <f t="shared" si="445"/>
        <v>1</v>
      </c>
      <c r="F601" s="124">
        <v>40918</v>
      </c>
      <c r="G601" s="125">
        <v>41047</v>
      </c>
      <c r="H601" s="117">
        <v>1351680</v>
      </c>
      <c r="I601" s="124">
        <v>40919</v>
      </c>
      <c r="J601" s="124">
        <v>40940</v>
      </c>
      <c r="K601" s="126">
        <v>50000</v>
      </c>
      <c r="L601" s="129" t="s">
        <v>572</v>
      </c>
      <c r="M601" s="125">
        <v>40940</v>
      </c>
      <c r="N601" s="129" t="str">
        <f>IF(M601&gt;1/1/1,"Y","N")</f>
        <v>Y</v>
      </c>
      <c r="O601" s="128" t="s">
        <v>76</v>
      </c>
      <c r="P601" s="129" t="s">
        <v>55</v>
      </c>
      <c r="Q601" s="111">
        <f t="shared" si="467"/>
        <v>22</v>
      </c>
      <c r="R601" s="111">
        <f t="shared" si="439"/>
        <v>130</v>
      </c>
      <c r="S601" s="129">
        <v>8</v>
      </c>
      <c r="T601" s="129">
        <v>0</v>
      </c>
      <c r="U601" s="129">
        <v>8</v>
      </c>
      <c r="W601" s="111"/>
      <c r="AC601" s="130"/>
      <c r="AD601" s="130">
        <v>27700</v>
      </c>
      <c r="AE601" s="128" t="s">
        <v>32</v>
      </c>
      <c r="AF601" s="128" t="s">
        <v>33</v>
      </c>
      <c r="AG601" s="128" t="s">
        <v>872</v>
      </c>
      <c r="AH601" s="108" t="s">
        <v>58</v>
      </c>
      <c r="AI601" s="128" t="s">
        <v>95</v>
      </c>
      <c r="AJ601" s="129" t="s">
        <v>55</v>
      </c>
      <c r="AK601" s="129">
        <v>6</v>
      </c>
      <c r="AL601" s="3" t="s">
        <v>55</v>
      </c>
      <c r="AP601" s="129" t="s">
        <v>132</v>
      </c>
      <c r="AR601" s="128" t="s">
        <v>92</v>
      </c>
      <c r="AS601" s="129" t="s">
        <v>82</v>
      </c>
      <c r="BC601" s="129" t="s">
        <v>52</v>
      </c>
      <c r="BF601" s="111">
        <f t="shared" si="468"/>
        <v>22</v>
      </c>
      <c r="BG601" s="111">
        <f t="shared" si="466"/>
        <v>129</v>
      </c>
      <c r="BH601" s="111">
        <f t="shared" si="440"/>
        <v>130</v>
      </c>
      <c r="BI601" s="111">
        <f t="shared" si="441"/>
        <v>36.114754098360656</v>
      </c>
      <c r="BJ601" s="129">
        <f>(G601-J601)+(M601-G601)</f>
        <v>0</v>
      </c>
      <c r="BK601" s="129">
        <f t="shared" si="442"/>
        <v>-107</v>
      </c>
      <c r="BL601" s="129" t="str">
        <f t="shared" ref="BL601:BL664" si="471">IF(OR(AL601="AQUITTAL",AL601="DISMISSED",AL601="FINE",AL601="NO BILL"),"NO CONVICTION",IF(OR(AL601="HCJ",AL601="MHH",AL601="PROBATION",AL601="STJ",AL601="TDC"),"CONVICTION",IF(AL601="DEFERRED","DEFERRED",0)))</f>
        <v>NO CONVICTION</v>
      </c>
      <c r="BM601" s="129" t="s">
        <v>76</v>
      </c>
      <c r="BN601" s="129" t="s">
        <v>88</v>
      </c>
      <c r="BP601" s="137" t="str">
        <f t="shared" si="448"/>
        <v>NO CONVICTION</v>
      </c>
      <c r="BQ601" s="128" t="str">
        <f t="shared" si="449"/>
        <v>Y</v>
      </c>
      <c r="BR601" s="129" t="str">
        <f t="shared" si="450"/>
        <v>ON BOND</v>
      </c>
      <c r="BS601" s="129" t="str">
        <f t="shared" si="451"/>
        <v>DISPOSED</v>
      </c>
      <c r="BT601" s="129" t="str">
        <f t="shared" si="452"/>
        <v>Y</v>
      </c>
      <c r="BU601" s="109">
        <f>IFERROR(Q601/R601,BR601)</f>
        <v>0.16923076923076924</v>
      </c>
      <c r="BV601" s="109">
        <f t="shared" si="454"/>
        <v>0.17054263565891473</v>
      </c>
      <c r="BW601" s="109">
        <f t="shared" si="455"/>
        <v>1.3118664281454862E-3</v>
      </c>
      <c r="BX601" s="111">
        <f t="shared" si="456"/>
        <v>0</v>
      </c>
      <c r="BY601" s="129">
        <f t="shared" si="457"/>
        <v>-22</v>
      </c>
      <c r="BZ601" s="111">
        <f t="shared" si="458"/>
        <v>0</v>
      </c>
      <c r="CA601" s="138">
        <f t="shared" si="459"/>
        <v>22</v>
      </c>
      <c r="CB601" s="111" t="e">
        <f t="shared" si="469"/>
        <v>#VALUE!</v>
      </c>
      <c r="CC601" s="129">
        <f>M601-I601+1</f>
        <v>22</v>
      </c>
      <c r="CD601" s="111">
        <f>CC601-BF601</f>
        <v>0</v>
      </c>
      <c r="CE601" s="129">
        <f t="shared" si="460"/>
        <v>107</v>
      </c>
      <c r="CG601" s="129" t="str">
        <f t="shared" si="461"/>
        <v>Y</v>
      </c>
      <c r="CI601" s="129" t="str">
        <f t="shared" si="462"/>
        <v>11-30 DAYS</v>
      </c>
      <c r="CJ601" s="137">
        <f t="shared" si="463"/>
        <v>2</v>
      </c>
      <c r="CK601" s="129" t="str">
        <f t="shared" si="464"/>
        <v>Booked</v>
      </c>
    </row>
    <row r="602" spans="1:89" ht="15" customHeight="1" x14ac:dyDescent="0.25">
      <c r="A602" s="111">
        <v>646</v>
      </c>
      <c r="B602" s="128" t="str">
        <f t="shared" si="443"/>
        <v>N</v>
      </c>
      <c r="C602" s="128" t="str">
        <f t="shared" si="444"/>
        <v>Y</v>
      </c>
      <c r="D602" s="114">
        <v>1351922</v>
      </c>
      <c r="E602" s="135">
        <f t="shared" si="445"/>
        <v>6</v>
      </c>
      <c r="F602" s="124">
        <v>40934</v>
      </c>
      <c r="G602" s="125">
        <v>41457</v>
      </c>
      <c r="H602" s="114">
        <v>1351922</v>
      </c>
      <c r="I602" s="124">
        <v>41132</v>
      </c>
      <c r="J602" s="124">
        <v>41133</v>
      </c>
      <c r="K602" s="126">
        <v>4000</v>
      </c>
      <c r="L602" s="127" t="s">
        <v>569</v>
      </c>
      <c r="M602" s="125">
        <v>41133</v>
      </c>
      <c r="N602" s="129" t="str">
        <f>IF(M602&gt;1/1/1,"Y","N")</f>
        <v>Y</v>
      </c>
      <c r="O602" s="128" t="s">
        <v>76</v>
      </c>
      <c r="P602" s="129" t="s">
        <v>39</v>
      </c>
      <c r="Q602" s="111">
        <v>32</v>
      </c>
      <c r="R602" s="111">
        <f t="shared" si="439"/>
        <v>524</v>
      </c>
      <c r="S602" s="129">
        <v>2</v>
      </c>
      <c r="T602" s="129">
        <v>4</v>
      </c>
      <c r="V602" s="117">
        <v>1</v>
      </c>
      <c r="W602" s="111"/>
      <c r="AC602" s="130"/>
      <c r="AD602" s="130">
        <v>27810</v>
      </c>
      <c r="AE602" s="128" t="s">
        <v>32</v>
      </c>
      <c r="AF602" s="128" t="s">
        <v>69</v>
      </c>
      <c r="AG602" s="128" t="s">
        <v>874</v>
      </c>
      <c r="AH602" s="108" t="s">
        <v>58</v>
      </c>
      <c r="AI602" s="128" t="s">
        <v>87</v>
      </c>
      <c r="AJ602" s="129" t="s">
        <v>89</v>
      </c>
      <c r="AK602" s="129">
        <v>12</v>
      </c>
      <c r="AL602" s="3" t="s">
        <v>362</v>
      </c>
      <c r="AM602" s="117">
        <v>2</v>
      </c>
      <c r="AP602" s="129" t="s">
        <v>108</v>
      </c>
      <c r="AR602" s="128" t="s">
        <v>44</v>
      </c>
      <c r="AS602" s="129" t="s">
        <v>61</v>
      </c>
      <c r="AT602" s="129" t="s">
        <v>1088</v>
      </c>
      <c r="AU602" s="129"/>
      <c r="AV602" s="3" t="s">
        <v>88</v>
      </c>
      <c r="AW602" s="129" t="s">
        <v>865</v>
      </c>
      <c r="BA602" s="125">
        <v>41481</v>
      </c>
      <c r="BB602" s="129">
        <v>274</v>
      </c>
      <c r="BC602" s="129" t="s">
        <v>52</v>
      </c>
      <c r="BF602" s="111">
        <v>32</v>
      </c>
      <c r="BG602" s="111">
        <f t="shared" si="466"/>
        <v>326</v>
      </c>
      <c r="BH602" s="111">
        <f t="shared" si="440"/>
        <v>524</v>
      </c>
      <c r="BI602" s="111">
        <f t="shared" si="441"/>
        <v>35.857923497267763</v>
      </c>
      <c r="BJ602" s="129">
        <f>(G602-J602)+(M602-G602)</f>
        <v>0</v>
      </c>
      <c r="BK602" s="129">
        <f t="shared" si="442"/>
        <v>-324</v>
      </c>
      <c r="BL602" s="129" t="str">
        <f t="shared" si="471"/>
        <v>CONVICTION</v>
      </c>
      <c r="BM602" s="129" t="s">
        <v>76</v>
      </c>
      <c r="BN602" s="129" t="s">
        <v>566</v>
      </c>
      <c r="BP602" s="137" t="str">
        <f t="shared" si="448"/>
        <v>CONVICTION</v>
      </c>
      <c r="BQ602" s="128" t="str">
        <f t="shared" si="449"/>
        <v>Y</v>
      </c>
      <c r="BR602" s="129" t="s">
        <v>574</v>
      </c>
      <c r="BS602" s="129" t="str">
        <f t="shared" si="451"/>
        <v>DISPOSED</v>
      </c>
      <c r="BT602" s="129" t="str">
        <f t="shared" si="452"/>
        <v>Y</v>
      </c>
      <c r="BU602" s="109">
        <f t="shared" si="453"/>
        <v>6.1068702290076333E-2</v>
      </c>
      <c r="BV602" s="109">
        <f t="shared" si="454"/>
        <v>6.1349693251533744E-3</v>
      </c>
      <c r="BW602" s="109">
        <f t="shared" si="455"/>
        <v>-5.493373296492296E-2</v>
      </c>
      <c r="BX602" s="111">
        <f t="shared" si="456"/>
        <v>0</v>
      </c>
      <c r="BY602" s="129">
        <f t="shared" si="457"/>
        <v>-2</v>
      </c>
      <c r="BZ602" s="111">
        <f t="shared" si="458"/>
        <v>30</v>
      </c>
      <c r="CA602" s="138">
        <f t="shared" si="459"/>
        <v>326</v>
      </c>
      <c r="CB602" s="111">
        <v>32</v>
      </c>
      <c r="CC602" s="129">
        <f t="shared" ref="CC602:CC608" si="472">G602-I602+1</f>
        <v>326</v>
      </c>
      <c r="CD602" s="129">
        <f t="shared" ref="CD602:CD608" si="473">G602-J602</f>
        <v>324</v>
      </c>
      <c r="CE602" s="129">
        <f t="shared" si="460"/>
        <v>324</v>
      </c>
      <c r="CG602" s="129" t="str">
        <f t="shared" si="461"/>
        <v>Y</v>
      </c>
      <c r="CI602" s="129" t="str">
        <f t="shared" si="462"/>
        <v>31-60 DAYS</v>
      </c>
      <c r="CJ602" s="137">
        <f t="shared" si="463"/>
        <v>3</v>
      </c>
      <c r="CK602" s="129" t="str">
        <f t="shared" si="464"/>
        <v>Booked</v>
      </c>
    </row>
    <row r="603" spans="1:89" ht="15.75" customHeight="1" x14ac:dyDescent="0.25">
      <c r="A603" s="111">
        <v>1733</v>
      </c>
      <c r="B603" s="128" t="str">
        <f t="shared" si="443"/>
        <v>N</v>
      </c>
      <c r="C603" s="128" t="str">
        <f t="shared" si="444"/>
        <v>N</v>
      </c>
      <c r="D603" s="117">
        <v>1352296</v>
      </c>
      <c r="E603" s="135">
        <f t="shared" si="445"/>
        <v>1</v>
      </c>
      <c r="F603" s="124">
        <v>40973</v>
      </c>
      <c r="G603" s="125">
        <v>40975</v>
      </c>
      <c r="H603" s="117">
        <v>1352296</v>
      </c>
      <c r="I603" s="124">
        <v>40973</v>
      </c>
      <c r="J603" s="124">
        <v>40975</v>
      </c>
      <c r="K603" s="126">
        <v>15000</v>
      </c>
      <c r="L603" s="127" t="s">
        <v>571</v>
      </c>
      <c r="N603" s="129" t="str">
        <f>IF(M603&gt;1/1/1,"Y","N")</f>
        <v>N</v>
      </c>
      <c r="O603" s="128" t="s">
        <v>917</v>
      </c>
      <c r="P603" s="129" t="s">
        <v>55</v>
      </c>
      <c r="Q603" s="111">
        <f t="shared" ref="Q603:Q634" si="474">BF603</f>
        <v>3</v>
      </c>
      <c r="R603" s="111">
        <f t="shared" si="439"/>
        <v>3</v>
      </c>
      <c r="S603" s="129">
        <v>10</v>
      </c>
      <c r="T603" s="129">
        <v>12</v>
      </c>
      <c r="U603" s="129">
        <v>7</v>
      </c>
      <c r="W603" s="111"/>
      <c r="AC603" s="130"/>
      <c r="AD603" s="130">
        <v>28326</v>
      </c>
      <c r="AE603" s="128" t="s">
        <v>46</v>
      </c>
      <c r="AF603" s="128" t="s">
        <v>33</v>
      </c>
      <c r="AG603" s="128" t="s">
        <v>872</v>
      </c>
      <c r="AH603" s="108" t="s">
        <v>31</v>
      </c>
      <c r="AI603" s="128" t="s">
        <v>85</v>
      </c>
      <c r="AJ603" s="129" t="s">
        <v>55</v>
      </c>
      <c r="AK603" s="129">
        <v>1</v>
      </c>
      <c r="AL603" s="3" t="s">
        <v>55</v>
      </c>
      <c r="AP603" s="129" t="s">
        <v>43</v>
      </c>
      <c r="AR603" s="128" t="s">
        <v>44</v>
      </c>
      <c r="AS603" s="129" t="s">
        <v>45</v>
      </c>
      <c r="AT603" s="32" t="s">
        <v>373</v>
      </c>
      <c r="BC603" s="129" t="s">
        <v>79</v>
      </c>
      <c r="BF603" s="111">
        <f t="shared" ref="BF603:BF609" si="475">IF(J603&gt;1/1/1900,((J603+1)-I603),"STILL OPEN")</f>
        <v>3</v>
      </c>
      <c r="BG603" s="111">
        <f t="shared" si="466"/>
        <v>3</v>
      </c>
      <c r="BH603" s="111">
        <f t="shared" si="440"/>
        <v>3</v>
      </c>
      <c r="BI603" s="111">
        <f t="shared" si="441"/>
        <v>34.55464480874317</v>
      </c>
      <c r="BJ603" s="129">
        <f t="shared" si="446"/>
        <v>0</v>
      </c>
      <c r="BK603" s="129">
        <f t="shared" si="442"/>
        <v>0</v>
      </c>
      <c r="BL603" s="129" t="str">
        <f t="shared" si="471"/>
        <v>NO CONVICTION</v>
      </c>
      <c r="BM603" s="129" t="str">
        <f t="shared" si="447"/>
        <v>NONE</v>
      </c>
      <c r="BN603" s="129" t="s">
        <v>566</v>
      </c>
      <c r="BP603" s="137" t="str">
        <f t="shared" si="448"/>
        <v>NO CONVICTION</v>
      </c>
      <c r="BQ603" s="128" t="str">
        <f t="shared" si="449"/>
        <v>Y</v>
      </c>
      <c r="BR603" s="129" t="str">
        <f t="shared" si="450"/>
        <v>DETAINED</v>
      </c>
      <c r="BS603" s="129" t="str">
        <f t="shared" si="451"/>
        <v>DISPOSED</v>
      </c>
      <c r="BT603" s="129" t="str">
        <f t="shared" si="452"/>
        <v>Y</v>
      </c>
      <c r="BU603" s="109">
        <f>IFERROR(Q603/R603,BR603)</f>
        <v>1</v>
      </c>
      <c r="BV603" s="109">
        <f t="shared" si="454"/>
        <v>1</v>
      </c>
      <c r="BW603" s="109">
        <f t="shared" si="455"/>
        <v>0</v>
      </c>
      <c r="BX603" s="111">
        <f t="shared" si="456"/>
        <v>0</v>
      </c>
      <c r="BY603" s="129">
        <f t="shared" si="457"/>
        <v>-3</v>
      </c>
      <c r="BZ603" s="111">
        <f t="shared" si="458"/>
        <v>0</v>
      </c>
      <c r="CA603" s="138">
        <f t="shared" si="459"/>
        <v>3</v>
      </c>
      <c r="CB603" s="111" t="e">
        <f t="shared" ref="CB603:CB609" si="476">IF(AF603&gt;1/1/1900,((AF603+1)-AE603),"STILL OPEN")</f>
        <v>#VALUE!</v>
      </c>
      <c r="CC603" s="129">
        <f t="shared" si="472"/>
        <v>3</v>
      </c>
      <c r="CD603" s="129">
        <f t="shared" si="473"/>
        <v>0</v>
      </c>
      <c r="CE603" s="129">
        <f t="shared" si="460"/>
        <v>0</v>
      </c>
      <c r="CG603" s="129" t="str">
        <f t="shared" si="461"/>
        <v>Y</v>
      </c>
      <c r="CI603" s="129" t="str">
        <f t="shared" si="462"/>
        <v>0-10 DAYS</v>
      </c>
      <c r="CJ603" s="137">
        <f t="shared" si="463"/>
        <v>1</v>
      </c>
      <c r="CK603" s="129" t="str">
        <f t="shared" si="464"/>
        <v>Booked</v>
      </c>
    </row>
    <row r="604" spans="1:89" ht="15" customHeight="1" x14ac:dyDescent="0.25">
      <c r="A604" s="111">
        <v>3031</v>
      </c>
      <c r="B604" s="128" t="str">
        <f t="shared" si="443"/>
        <v>N</v>
      </c>
      <c r="C604" s="128" t="str">
        <f t="shared" si="444"/>
        <v>N</v>
      </c>
      <c r="D604" s="117">
        <v>1353052</v>
      </c>
      <c r="E604" s="135">
        <f t="shared" si="445"/>
        <v>4</v>
      </c>
      <c r="F604" s="124">
        <v>41021</v>
      </c>
      <c r="G604" s="125">
        <v>41219</v>
      </c>
      <c r="H604" s="117">
        <v>1353052</v>
      </c>
      <c r="I604" s="124">
        <v>41114</v>
      </c>
      <c r="J604" s="125">
        <v>41219</v>
      </c>
      <c r="K604" s="126" t="s">
        <v>564</v>
      </c>
      <c r="L604" s="127" t="s">
        <v>564</v>
      </c>
      <c r="N604" s="129" t="s">
        <v>566</v>
      </c>
      <c r="O604" s="128" t="s">
        <v>917</v>
      </c>
      <c r="P604" s="129" t="s">
        <v>39</v>
      </c>
      <c r="Q604" s="111">
        <f t="shared" si="474"/>
        <v>106</v>
      </c>
      <c r="R604" s="111">
        <f t="shared" si="439"/>
        <v>199</v>
      </c>
      <c r="S604" s="129">
        <v>3</v>
      </c>
      <c r="T604" s="129">
        <v>5</v>
      </c>
      <c r="V604" s="117">
        <v>1</v>
      </c>
      <c r="W604" s="111"/>
      <c r="AC604" s="130"/>
      <c r="AD604" s="130">
        <v>24080</v>
      </c>
      <c r="AE604" s="128" t="s">
        <v>46</v>
      </c>
      <c r="AF604" s="128" t="s">
        <v>33</v>
      </c>
      <c r="AG604" s="128" t="s">
        <v>872</v>
      </c>
      <c r="AH604" s="108" t="s">
        <v>31</v>
      </c>
      <c r="AI604" s="128" t="s">
        <v>59</v>
      </c>
      <c r="AJ604" s="129" t="s">
        <v>89</v>
      </c>
      <c r="AK604" s="129">
        <v>5</v>
      </c>
      <c r="AL604" s="3" t="s">
        <v>991</v>
      </c>
      <c r="AO604" s="128">
        <v>270</v>
      </c>
      <c r="AP604" s="129" t="s">
        <v>110</v>
      </c>
      <c r="AR604" s="128" t="s">
        <v>50</v>
      </c>
      <c r="AS604" s="129" t="s">
        <v>74</v>
      </c>
      <c r="BC604" s="129" t="s">
        <v>38</v>
      </c>
      <c r="BF604" s="111">
        <f t="shared" si="475"/>
        <v>106</v>
      </c>
      <c r="BG604" s="111">
        <f t="shared" si="466"/>
        <v>106</v>
      </c>
      <c r="BH604" s="111">
        <f t="shared" si="440"/>
        <v>199</v>
      </c>
      <c r="BI604" s="111">
        <f t="shared" si="441"/>
        <v>46.286885245901637</v>
      </c>
      <c r="BJ604" s="129">
        <f t="shared" si="446"/>
        <v>0</v>
      </c>
      <c r="BK604" s="129">
        <f t="shared" si="442"/>
        <v>0</v>
      </c>
      <c r="BL604" s="129" t="str">
        <f t="shared" si="471"/>
        <v>CONVICTION</v>
      </c>
      <c r="BM604" s="129" t="str">
        <f t="shared" si="447"/>
        <v>NONE</v>
      </c>
      <c r="BN604" s="129" t="s">
        <v>566</v>
      </c>
      <c r="BP604" s="137" t="str">
        <f t="shared" si="448"/>
        <v>CONVICTION</v>
      </c>
      <c r="BQ604" s="128" t="str">
        <f t="shared" si="449"/>
        <v>Y</v>
      </c>
      <c r="BR604" s="129" t="str">
        <f t="shared" si="450"/>
        <v>DETAINED</v>
      </c>
      <c r="BS604" s="129" t="str">
        <f t="shared" si="451"/>
        <v>DISPOSED</v>
      </c>
      <c r="BT604" s="129" t="str">
        <f t="shared" si="452"/>
        <v>Y</v>
      </c>
      <c r="BU604" s="109">
        <f t="shared" si="453"/>
        <v>0.53266331658291455</v>
      </c>
      <c r="BV604" s="109">
        <f t="shared" si="454"/>
        <v>1</v>
      </c>
      <c r="BW604" s="109">
        <f t="shared" si="455"/>
        <v>0.46733668341708545</v>
      </c>
      <c r="BX604" s="111">
        <f t="shared" si="456"/>
        <v>0</v>
      </c>
      <c r="BY604" s="129">
        <f t="shared" si="457"/>
        <v>-106</v>
      </c>
      <c r="BZ604" s="111">
        <f t="shared" si="458"/>
        <v>0</v>
      </c>
      <c r="CA604" s="138">
        <f t="shared" si="459"/>
        <v>106</v>
      </c>
      <c r="CB604" s="111" t="e">
        <f t="shared" si="476"/>
        <v>#VALUE!</v>
      </c>
      <c r="CC604" s="129">
        <f t="shared" si="472"/>
        <v>106</v>
      </c>
      <c r="CD604" s="129">
        <f t="shared" si="473"/>
        <v>0</v>
      </c>
      <c r="CE604" s="129">
        <f t="shared" si="460"/>
        <v>0</v>
      </c>
      <c r="CG604" s="129" t="str">
        <f t="shared" si="461"/>
        <v>Y</v>
      </c>
      <c r="CI604" s="129" t="str">
        <f t="shared" si="462"/>
        <v>91-120 DAYS</v>
      </c>
      <c r="CJ604" s="137">
        <f t="shared" si="463"/>
        <v>0</v>
      </c>
      <c r="CK604" s="129" t="str">
        <f t="shared" si="464"/>
        <v>Booked</v>
      </c>
    </row>
    <row r="605" spans="1:89" ht="15" customHeight="1" x14ac:dyDescent="0.25">
      <c r="A605" s="111">
        <v>2952</v>
      </c>
      <c r="B605" s="128" t="str">
        <f t="shared" si="443"/>
        <v>N</v>
      </c>
      <c r="C605" s="128" t="str">
        <f t="shared" si="444"/>
        <v>N</v>
      </c>
      <c r="D605" s="117">
        <v>1353570</v>
      </c>
      <c r="E605" s="135">
        <f t="shared" si="445"/>
        <v>1</v>
      </c>
      <c r="F605" s="124">
        <v>41017</v>
      </c>
      <c r="G605" s="125">
        <v>41065</v>
      </c>
      <c r="H605" s="117">
        <v>1353570</v>
      </c>
      <c r="I605" s="124">
        <v>41018</v>
      </c>
      <c r="J605" s="124">
        <v>41065</v>
      </c>
      <c r="K605" s="126">
        <v>20000</v>
      </c>
      <c r="L605" s="127" t="s">
        <v>571</v>
      </c>
      <c r="N605" s="129" t="str">
        <f>IF(M605&gt;1/1/1,"Y","N")</f>
        <v>N</v>
      </c>
      <c r="O605" s="128" t="s">
        <v>917</v>
      </c>
      <c r="P605" s="129" t="s">
        <v>55</v>
      </c>
      <c r="Q605" s="111">
        <f t="shared" si="474"/>
        <v>48</v>
      </c>
      <c r="R605" s="111">
        <f t="shared" si="439"/>
        <v>49</v>
      </c>
      <c r="S605" s="129">
        <v>2</v>
      </c>
      <c r="T605" s="129">
        <v>1</v>
      </c>
      <c r="U605" s="129">
        <v>2</v>
      </c>
      <c r="W605" s="111"/>
      <c r="AC605" s="130"/>
      <c r="AD605" s="130">
        <v>29055</v>
      </c>
      <c r="AE605" s="128" t="s">
        <v>32</v>
      </c>
      <c r="AF605" s="128" t="s">
        <v>40</v>
      </c>
      <c r="AG605" s="128" t="s">
        <v>41</v>
      </c>
      <c r="AH605" s="108" t="s">
        <v>41</v>
      </c>
      <c r="AI605" s="128" t="s">
        <v>59</v>
      </c>
      <c r="AJ605" s="129" t="s">
        <v>55</v>
      </c>
      <c r="AK605" s="129">
        <v>3</v>
      </c>
      <c r="AL605" s="3" t="s">
        <v>55</v>
      </c>
      <c r="AP605" s="129" t="s">
        <v>132</v>
      </c>
      <c r="AR605" s="128" t="s">
        <v>92</v>
      </c>
      <c r="AS605" s="129" t="s">
        <v>82</v>
      </c>
      <c r="BC605" s="129" t="s">
        <v>38</v>
      </c>
      <c r="BF605" s="111">
        <f t="shared" si="475"/>
        <v>48</v>
      </c>
      <c r="BG605" s="111">
        <f t="shared" si="466"/>
        <v>48</v>
      </c>
      <c r="BH605" s="111">
        <f t="shared" si="440"/>
        <v>49</v>
      </c>
      <c r="BI605" s="111">
        <f t="shared" si="441"/>
        <v>32.68306010928962</v>
      </c>
      <c r="BJ605" s="129">
        <f t="shared" si="446"/>
        <v>0</v>
      </c>
      <c r="BK605" s="129">
        <f t="shared" si="442"/>
        <v>0</v>
      </c>
      <c r="BL605" s="129" t="str">
        <f t="shared" si="471"/>
        <v>NO CONVICTION</v>
      </c>
      <c r="BM605" s="129" t="str">
        <f t="shared" si="447"/>
        <v>NONE</v>
      </c>
      <c r="BN605" s="129" t="s">
        <v>566</v>
      </c>
      <c r="BP605" s="137" t="str">
        <f t="shared" si="448"/>
        <v>NO CONVICTION</v>
      </c>
      <c r="BQ605" s="128" t="str">
        <f t="shared" si="449"/>
        <v>Y</v>
      </c>
      <c r="BR605" s="129" t="str">
        <f t="shared" si="450"/>
        <v>DETAINED</v>
      </c>
      <c r="BS605" s="129" t="str">
        <f t="shared" si="451"/>
        <v>DISPOSED</v>
      </c>
      <c r="BT605" s="129" t="str">
        <f t="shared" si="452"/>
        <v>Y</v>
      </c>
      <c r="BU605" s="109">
        <f>IFERROR(Q605/R605,BR605)</f>
        <v>0.97959183673469385</v>
      </c>
      <c r="BV605" s="109">
        <f t="shared" si="454"/>
        <v>1</v>
      </c>
      <c r="BW605" s="109">
        <f t="shared" si="455"/>
        <v>2.0408163265306145E-2</v>
      </c>
      <c r="BX605" s="111">
        <f t="shared" si="456"/>
        <v>0</v>
      </c>
      <c r="BY605" s="129">
        <f t="shared" si="457"/>
        <v>-48</v>
      </c>
      <c r="BZ605" s="111">
        <f t="shared" si="458"/>
        <v>0</v>
      </c>
      <c r="CA605" s="138">
        <f t="shared" si="459"/>
        <v>48</v>
      </c>
      <c r="CB605" s="111" t="e">
        <f t="shared" si="476"/>
        <v>#VALUE!</v>
      </c>
      <c r="CC605" s="129">
        <f t="shared" si="472"/>
        <v>48</v>
      </c>
      <c r="CD605" s="129">
        <f t="shared" si="473"/>
        <v>0</v>
      </c>
      <c r="CE605" s="129">
        <f t="shared" si="460"/>
        <v>0</v>
      </c>
      <c r="CG605" s="129" t="str">
        <f t="shared" si="461"/>
        <v>Y</v>
      </c>
      <c r="CI605" s="129" t="str">
        <f t="shared" si="462"/>
        <v>31-60 DAYS</v>
      </c>
      <c r="CJ605" s="137">
        <f t="shared" si="463"/>
        <v>3</v>
      </c>
      <c r="CK605" s="129" t="str">
        <f t="shared" si="464"/>
        <v>Booked</v>
      </c>
    </row>
    <row r="606" spans="1:89" ht="15" customHeight="1" x14ac:dyDescent="0.25">
      <c r="A606" s="111">
        <v>418</v>
      </c>
      <c r="B606" s="128" t="str">
        <f t="shared" si="443"/>
        <v>N</v>
      </c>
      <c r="C606" s="128" t="str">
        <f t="shared" si="444"/>
        <v>N</v>
      </c>
      <c r="D606" s="117">
        <v>1354980</v>
      </c>
      <c r="E606" s="135">
        <f t="shared" si="445"/>
        <v>6</v>
      </c>
      <c r="F606" s="124">
        <v>40926</v>
      </c>
      <c r="G606" s="125">
        <v>41327</v>
      </c>
      <c r="H606" s="117">
        <v>1354980</v>
      </c>
      <c r="I606" s="124">
        <v>40935</v>
      </c>
      <c r="J606" s="125">
        <v>41327</v>
      </c>
      <c r="K606" s="126" t="s">
        <v>564</v>
      </c>
      <c r="L606" s="127" t="s">
        <v>564</v>
      </c>
      <c r="N606" s="129" t="s">
        <v>566</v>
      </c>
      <c r="O606" s="128" t="s">
        <v>917</v>
      </c>
      <c r="P606" s="129" t="s">
        <v>39</v>
      </c>
      <c r="Q606" s="111">
        <f t="shared" si="474"/>
        <v>393</v>
      </c>
      <c r="R606" s="111">
        <f t="shared" si="439"/>
        <v>402</v>
      </c>
      <c r="S606" s="129">
        <v>2</v>
      </c>
      <c r="T606" s="129">
        <v>7</v>
      </c>
      <c r="U606" s="129">
        <v>2</v>
      </c>
      <c r="W606" s="111"/>
      <c r="AC606" s="130"/>
      <c r="AD606" s="130">
        <v>26836</v>
      </c>
      <c r="AE606" s="128" t="s">
        <v>32</v>
      </c>
      <c r="AF606" s="128" t="s">
        <v>69</v>
      </c>
      <c r="AG606" s="128" t="s">
        <v>874</v>
      </c>
      <c r="AH606" s="108" t="s">
        <v>58</v>
      </c>
      <c r="AI606" s="128" t="s">
        <v>42</v>
      </c>
      <c r="AJ606" s="129" t="s">
        <v>89</v>
      </c>
      <c r="AK606" s="129">
        <v>15</v>
      </c>
      <c r="AL606" s="3" t="s">
        <v>362</v>
      </c>
      <c r="AM606" s="117">
        <v>7</v>
      </c>
      <c r="AP606" s="129" t="s">
        <v>158</v>
      </c>
      <c r="AR606" s="128" t="s">
        <v>67</v>
      </c>
      <c r="AS606" s="129" t="s">
        <v>64</v>
      </c>
      <c r="BC606" s="129" t="s">
        <v>52</v>
      </c>
      <c r="BF606" s="111">
        <f t="shared" si="475"/>
        <v>393</v>
      </c>
      <c r="BG606" s="111">
        <f t="shared" si="466"/>
        <v>393</v>
      </c>
      <c r="BH606" s="111">
        <f t="shared" si="440"/>
        <v>402</v>
      </c>
      <c r="BI606" s="111">
        <f t="shared" si="441"/>
        <v>38.497267759562838</v>
      </c>
      <c r="BJ606" s="129">
        <f t="shared" si="446"/>
        <v>0</v>
      </c>
      <c r="BK606" s="129">
        <f t="shared" si="442"/>
        <v>0</v>
      </c>
      <c r="BL606" s="129" t="str">
        <f t="shared" si="471"/>
        <v>CONVICTION</v>
      </c>
      <c r="BM606" s="129" t="str">
        <f t="shared" si="447"/>
        <v>NONE</v>
      </c>
      <c r="BN606" s="129" t="s">
        <v>566</v>
      </c>
      <c r="BP606" s="137" t="str">
        <f t="shared" si="448"/>
        <v>CONVICTION</v>
      </c>
      <c r="BQ606" s="128" t="str">
        <f t="shared" si="449"/>
        <v>Y</v>
      </c>
      <c r="BR606" s="129" t="str">
        <f t="shared" si="450"/>
        <v>DETAINED</v>
      </c>
      <c r="BS606" s="129" t="str">
        <f t="shared" si="451"/>
        <v>DISPOSED</v>
      </c>
      <c r="BT606" s="129" t="str">
        <f t="shared" si="452"/>
        <v>Y</v>
      </c>
      <c r="BU606" s="109">
        <f t="shared" si="453"/>
        <v>0.97761194029850751</v>
      </c>
      <c r="BV606" s="109">
        <f t="shared" si="454"/>
        <v>1</v>
      </c>
      <c r="BW606" s="109">
        <f t="shared" si="455"/>
        <v>2.2388059701492491E-2</v>
      </c>
      <c r="BX606" s="111">
        <f t="shared" si="456"/>
        <v>0</v>
      </c>
      <c r="BY606" s="129">
        <f t="shared" si="457"/>
        <v>-393</v>
      </c>
      <c r="BZ606" s="111">
        <f t="shared" si="458"/>
        <v>0</v>
      </c>
      <c r="CA606" s="138">
        <f t="shared" si="459"/>
        <v>393</v>
      </c>
      <c r="CB606" s="111" t="e">
        <f t="shared" si="476"/>
        <v>#VALUE!</v>
      </c>
      <c r="CC606" s="129">
        <f t="shared" si="472"/>
        <v>393</v>
      </c>
      <c r="CD606" s="129">
        <f t="shared" si="473"/>
        <v>0</v>
      </c>
      <c r="CE606" s="129">
        <f t="shared" si="460"/>
        <v>0</v>
      </c>
      <c r="CG606" s="129" t="str">
        <f t="shared" si="461"/>
        <v>Y</v>
      </c>
      <c r="CI606" s="129" t="str">
        <f t="shared" si="462"/>
        <v xml:space="preserve"> &gt;1YRS&lt;2YRS</v>
      </c>
      <c r="CJ606" s="137">
        <f t="shared" si="463"/>
        <v>0</v>
      </c>
      <c r="CK606" s="129" t="str">
        <f t="shared" si="464"/>
        <v>Booked</v>
      </c>
    </row>
    <row r="607" spans="1:89" ht="15" customHeight="1" x14ac:dyDescent="0.25">
      <c r="A607" s="111">
        <v>3248</v>
      </c>
      <c r="B607" s="128" t="str">
        <f t="shared" si="443"/>
        <v>N</v>
      </c>
      <c r="C607" s="128" t="str">
        <f t="shared" si="444"/>
        <v>N</v>
      </c>
      <c r="D607" s="117">
        <v>1356354</v>
      </c>
      <c r="E607" s="135">
        <f t="shared" si="445"/>
        <v>1</v>
      </c>
      <c r="F607" s="124">
        <v>41029</v>
      </c>
      <c r="G607" s="125">
        <v>41114</v>
      </c>
      <c r="H607" s="117">
        <v>1356354</v>
      </c>
      <c r="I607" s="124">
        <v>41030</v>
      </c>
      <c r="J607" s="124">
        <v>41114</v>
      </c>
      <c r="K607" s="126" t="s">
        <v>564</v>
      </c>
      <c r="L607" s="127" t="s">
        <v>564</v>
      </c>
      <c r="N607" s="129" t="s">
        <v>566</v>
      </c>
      <c r="O607" s="128" t="s">
        <v>917</v>
      </c>
      <c r="P607" s="129" t="s">
        <v>123</v>
      </c>
      <c r="Q607" s="111">
        <f t="shared" si="474"/>
        <v>85</v>
      </c>
      <c r="R607" s="111">
        <f t="shared" si="439"/>
        <v>86</v>
      </c>
      <c r="S607" s="129">
        <v>4</v>
      </c>
      <c r="T607" s="129">
        <v>6</v>
      </c>
      <c r="U607" s="129">
        <v>2</v>
      </c>
      <c r="W607" s="111"/>
      <c r="AC607" s="130"/>
      <c r="AD607" s="130">
        <v>28084</v>
      </c>
      <c r="AE607" s="128" t="s">
        <v>32</v>
      </c>
      <c r="AF607" s="128" t="s">
        <v>33</v>
      </c>
      <c r="AG607" s="128" t="s">
        <v>872</v>
      </c>
      <c r="AH607" s="108" t="s">
        <v>58</v>
      </c>
      <c r="AI607" s="128" t="s">
        <v>83</v>
      </c>
      <c r="AJ607" s="129" t="s">
        <v>123</v>
      </c>
      <c r="AK607" s="129">
        <v>6</v>
      </c>
      <c r="AL607" s="3" t="s">
        <v>123</v>
      </c>
      <c r="AP607" s="129" t="s">
        <v>84</v>
      </c>
      <c r="AR607" s="128" t="s">
        <v>67</v>
      </c>
      <c r="AS607" s="129" t="s">
        <v>74</v>
      </c>
      <c r="BC607" s="129" t="s">
        <v>38</v>
      </c>
      <c r="BF607" s="111">
        <f t="shared" si="475"/>
        <v>85</v>
      </c>
      <c r="BG607" s="111">
        <f t="shared" si="466"/>
        <v>85</v>
      </c>
      <c r="BH607" s="111">
        <f t="shared" si="440"/>
        <v>86</v>
      </c>
      <c r="BI607" s="111">
        <f t="shared" si="441"/>
        <v>35.368852459016395</v>
      </c>
      <c r="BJ607" s="129">
        <f t="shared" si="446"/>
        <v>0</v>
      </c>
      <c r="BK607" s="129">
        <f t="shared" si="442"/>
        <v>0</v>
      </c>
      <c r="BL607" s="129" t="str">
        <f t="shared" si="471"/>
        <v>NO CONVICTION</v>
      </c>
      <c r="BM607" s="129" t="str">
        <f t="shared" si="447"/>
        <v>NONE</v>
      </c>
      <c r="BN607" s="129" t="s">
        <v>566</v>
      </c>
      <c r="BP607" s="137" t="str">
        <f t="shared" si="448"/>
        <v>NO CONVICTION</v>
      </c>
      <c r="BQ607" s="128" t="str">
        <f t="shared" si="449"/>
        <v>Y</v>
      </c>
      <c r="BR607" s="129" t="str">
        <f t="shared" si="450"/>
        <v>DETAINED</v>
      </c>
      <c r="BS607" s="129" t="str">
        <f t="shared" si="451"/>
        <v>DISPOSED</v>
      </c>
      <c r="BT607" s="129" t="str">
        <f t="shared" si="452"/>
        <v>Y</v>
      </c>
      <c r="BU607" s="109">
        <f>IFERROR(Q607/R607,BR607)</f>
        <v>0.98837209302325579</v>
      </c>
      <c r="BV607" s="109">
        <f t="shared" si="454"/>
        <v>1</v>
      </c>
      <c r="BW607" s="109">
        <f t="shared" si="455"/>
        <v>1.1627906976744207E-2</v>
      </c>
      <c r="BX607" s="111">
        <f t="shared" si="456"/>
        <v>0</v>
      </c>
      <c r="BY607" s="129">
        <f t="shared" si="457"/>
        <v>-85</v>
      </c>
      <c r="BZ607" s="111">
        <f t="shared" si="458"/>
        <v>0</v>
      </c>
      <c r="CA607" s="138">
        <f t="shared" si="459"/>
        <v>85</v>
      </c>
      <c r="CB607" s="111" t="e">
        <f t="shared" si="476"/>
        <v>#VALUE!</v>
      </c>
      <c r="CC607" s="129">
        <f t="shared" si="472"/>
        <v>85</v>
      </c>
      <c r="CD607" s="129">
        <f t="shared" si="473"/>
        <v>0</v>
      </c>
      <c r="CE607" s="129">
        <f t="shared" si="460"/>
        <v>0</v>
      </c>
      <c r="CG607" s="129" t="str">
        <f t="shared" si="461"/>
        <v>Y</v>
      </c>
      <c r="CI607" s="129" t="str">
        <f t="shared" si="462"/>
        <v>61-90 DAYS</v>
      </c>
      <c r="CJ607" s="137">
        <f t="shared" si="463"/>
        <v>4</v>
      </c>
      <c r="CK607" s="129" t="str">
        <f t="shared" si="464"/>
        <v>Booked</v>
      </c>
    </row>
    <row r="608" spans="1:89" ht="15" customHeight="1" x14ac:dyDescent="0.25">
      <c r="A608" s="111">
        <v>2629</v>
      </c>
      <c r="B608" s="128" t="str">
        <f t="shared" si="443"/>
        <v>N</v>
      </c>
      <c r="C608" s="128" t="str">
        <f t="shared" si="444"/>
        <v>N</v>
      </c>
      <c r="D608" s="117">
        <v>1357012</v>
      </c>
      <c r="E608" s="135">
        <f t="shared" si="445"/>
        <v>4</v>
      </c>
      <c r="F608" s="124">
        <v>41006</v>
      </c>
      <c r="G608" s="125">
        <v>41008</v>
      </c>
      <c r="H608" s="117">
        <v>1357012</v>
      </c>
      <c r="I608" s="124">
        <v>41006</v>
      </c>
      <c r="J608" s="124">
        <v>41008</v>
      </c>
      <c r="K608" s="126">
        <v>15000</v>
      </c>
      <c r="L608" s="127" t="s">
        <v>571</v>
      </c>
      <c r="N608" s="129" t="str">
        <f>IF(M608&gt;1/1/1,"Y","N")</f>
        <v>N</v>
      </c>
      <c r="O608" s="128" t="s">
        <v>917</v>
      </c>
      <c r="P608" s="129" t="s">
        <v>39</v>
      </c>
      <c r="Q608" s="111">
        <f t="shared" si="474"/>
        <v>3</v>
      </c>
      <c r="R608" s="111">
        <f t="shared" si="439"/>
        <v>3</v>
      </c>
      <c r="S608" s="129">
        <v>7</v>
      </c>
      <c r="T608" s="129">
        <v>3</v>
      </c>
      <c r="U608" s="129">
        <v>4</v>
      </c>
      <c r="W608" s="111"/>
      <c r="AC608" s="130"/>
      <c r="AD608" s="130">
        <v>24727</v>
      </c>
      <c r="AE608" s="128" t="s">
        <v>46</v>
      </c>
      <c r="AF608" s="128" t="s">
        <v>33</v>
      </c>
      <c r="AG608" s="128" t="s">
        <v>872</v>
      </c>
      <c r="AH608" s="108" t="s">
        <v>58</v>
      </c>
      <c r="AI608" s="128" t="s">
        <v>47</v>
      </c>
      <c r="AJ608" s="129" t="s">
        <v>89</v>
      </c>
      <c r="AK608" s="129">
        <v>1</v>
      </c>
      <c r="AL608" s="3" t="s">
        <v>991</v>
      </c>
      <c r="AO608" s="128">
        <v>180</v>
      </c>
      <c r="AP608" s="129" t="s">
        <v>60</v>
      </c>
      <c r="AR608" s="128" t="s">
        <v>44</v>
      </c>
      <c r="AS608" s="129" t="s">
        <v>61</v>
      </c>
      <c r="BC608" s="129" t="s">
        <v>38</v>
      </c>
      <c r="BF608" s="111">
        <f t="shared" si="475"/>
        <v>3</v>
      </c>
      <c r="BG608" s="111">
        <f t="shared" si="466"/>
        <v>3</v>
      </c>
      <c r="BH608" s="111">
        <f t="shared" si="440"/>
        <v>3</v>
      </c>
      <c r="BI608" s="111">
        <f t="shared" si="441"/>
        <v>44.478142076502735</v>
      </c>
      <c r="BJ608" s="129">
        <f t="shared" si="446"/>
        <v>0</v>
      </c>
      <c r="BK608" s="129">
        <f t="shared" si="442"/>
        <v>0</v>
      </c>
      <c r="BL608" s="129" t="str">
        <f t="shared" si="471"/>
        <v>CONVICTION</v>
      </c>
      <c r="BM608" s="129" t="str">
        <f t="shared" si="447"/>
        <v>NONE</v>
      </c>
      <c r="BN608" s="129" t="s">
        <v>566</v>
      </c>
      <c r="BP608" s="137" t="str">
        <f t="shared" si="448"/>
        <v>CONVICTION</v>
      </c>
      <c r="BQ608" s="128" t="str">
        <f t="shared" si="449"/>
        <v>Y</v>
      </c>
      <c r="BR608" s="129" t="str">
        <f t="shared" si="450"/>
        <v>DETAINED</v>
      </c>
      <c r="BS608" s="129" t="str">
        <f t="shared" si="451"/>
        <v>DISPOSED</v>
      </c>
      <c r="BT608" s="129" t="str">
        <f t="shared" si="452"/>
        <v>Y</v>
      </c>
      <c r="BU608" s="109">
        <f t="shared" si="453"/>
        <v>1</v>
      </c>
      <c r="BV608" s="109">
        <f t="shared" si="454"/>
        <v>1</v>
      </c>
      <c r="BW608" s="109">
        <f t="shared" si="455"/>
        <v>0</v>
      </c>
      <c r="BX608" s="111">
        <f t="shared" si="456"/>
        <v>0</v>
      </c>
      <c r="BY608" s="129">
        <f t="shared" si="457"/>
        <v>-3</v>
      </c>
      <c r="BZ608" s="111">
        <f t="shared" si="458"/>
        <v>0</v>
      </c>
      <c r="CA608" s="138">
        <f t="shared" si="459"/>
        <v>3</v>
      </c>
      <c r="CB608" s="111" t="e">
        <f t="shared" si="476"/>
        <v>#VALUE!</v>
      </c>
      <c r="CC608" s="129">
        <f t="shared" si="472"/>
        <v>3</v>
      </c>
      <c r="CD608" s="129">
        <f t="shared" si="473"/>
        <v>0</v>
      </c>
      <c r="CE608" s="129">
        <f t="shared" si="460"/>
        <v>0</v>
      </c>
      <c r="CG608" s="129" t="str">
        <f t="shared" si="461"/>
        <v>Y</v>
      </c>
      <c r="CI608" s="129" t="str">
        <f t="shared" si="462"/>
        <v>0-10 DAYS</v>
      </c>
      <c r="CJ608" s="137">
        <f t="shared" si="463"/>
        <v>1</v>
      </c>
      <c r="CK608" s="129" t="str">
        <f t="shared" si="464"/>
        <v>Booked</v>
      </c>
    </row>
    <row r="609" spans="1:89" ht="15" customHeight="1" x14ac:dyDescent="0.25">
      <c r="A609" s="111">
        <v>2059</v>
      </c>
      <c r="B609" s="128" t="str">
        <f t="shared" si="443"/>
        <v>N</v>
      </c>
      <c r="C609" s="128" t="str">
        <f t="shared" si="444"/>
        <v>N</v>
      </c>
      <c r="D609" s="117">
        <v>1358777</v>
      </c>
      <c r="E609" s="135">
        <f t="shared" si="445"/>
        <v>2</v>
      </c>
      <c r="F609" s="124">
        <v>40986</v>
      </c>
      <c r="G609" s="125">
        <v>41088</v>
      </c>
      <c r="H609" s="117">
        <v>1358777</v>
      </c>
      <c r="I609" s="124">
        <v>40986</v>
      </c>
      <c r="J609" s="124">
        <v>40988</v>
      </c>
      <c r="K609" s="126">
        <v>2000</v>
      </c>
      <c r="L609" s="127" t="s">
        <v>568</v>
      </c>
      <c r="M609" s="125">
        <v>40988</v>
      </c>
      <c r="N609" s="129" t="str">
        <f>IF(M609&gt;1/1/1,"Y","N")</f>
        <v>Y</v>
      </c>
      <c r="O609" s="128" t="s">
        <v>76</v>
      </c>
      <c r="P609" s="129" t="s">
        <v>589</v>
      </c>
      <c r="Q609" s="111">
        <f t="shared" si="474"/>
        <v>3</v>
      </c>
      <c r="R609" s="111">
        <f t="shared" si="439"/>
        <v>103</v>
      </c>
      <c r="S609" s="129">
        <v>0</v>
      </c>
      <c r="T609" s="129">
        <v>0</v>
      </c>
      <c r="W609" s="111"/>
      <c r="AC609" s="130"/>
      <c r="AD609" s="130">
        <v>22447</v>
      </c>
      <c r="AE609" s="128" t="s">
        <v>32</v>
      </c>
      <c r="AF609" s="128" t="s">
        <v>40</v>
      </c>
      <c r="AG609" s="128" t="s">
        <v>41</v>
      </c>
      <c r="AH609" s="108" t="s">
        <v>41</v>
      </c>
      <c r="AI609" s="128" t="s">
        <v>113</v>
      </c>
      <c r="AJ609" s="129" t="s">
        <v>48</v>
      </c>
      <c r="AK609" s="129">
        <v>7</v>
      </c>
      <c r="AL609" s="3" t="s">
        <v>48</v>
      </c>
      <c r="AP609" s="129" t="s">
        <v>43</v>
      </c>
      <c r="AR609" s="128" t="s">
        <v>44</v>
      </c>
      <c r="AS609" s="129" t="s">
        <v>45</v>
      </c>
      <c r="BC609" s="129" t="s">
        <v>52</v>
      </c>
      <c r="BF609" s="111">
        <f t="shared" si="475"/>
        <v>3</v>
      </c>
      <c r="BG609" s="111">
        <f t="shared" si="466"/>
        <v>103</v>
      </c>
      <c r="BH609" s="111">
        <f t="shared" si="440"/>
        <v>103</v>
      </c>
      <c r="BI609" s="111">
        <f t="shared" si="441"/>
        <v>50.653005464480877</v>
      </c>
      <c r="BJ609" s="129">
        <f>(G609-J609)+(M609-G609)</f>
        <v>0</v>
      </c>
      <c r="BK609" s="129">
        <f t="shared" si="442"/>
        <v>-100</v>
      </c>
      <c r="BL609" s="129" t="str">
        <f t="shared" si="471"/>
        <v>DEFERRED</v>
      </c>
      <c r="BM609" s="129" t="s">
        <v>76</v>
      </c>
      <c r="BN609" s="129" t="s">
        <v>88</v>
      </c>
      <c r="BP609" s="137" t="str">
        <f t="shared" si="448"/>
        <v>DEFERRED</v>
      </c>
      <c r="BQ609" s="128" t="str">
        <f t="shared" si="449"/>
        <v>Y</v>
      </c>
      <c r="BR609" s="129" t="str">
        <f t="shared" si="450"/>
        <v>ON BOND</v>
      </c>
      <c r="BS609" s="129" t="str">
        <f t="shared" si="451"/>
        <v>DISPOSED</v>
      </c>
      <c r="BT609" s="129" t="str">
        <f t="shared" si="452"/>
        <v>N</v>
      </c>
      <c r="BU609" s="109">
        <f t="shared" si="453"/>
        <v>2.9126213592233011E-2</v>
      </c>
      <c r="BV609" s="109">
        <f t="shared" si="454"/>
        <v>2.9126213592233011E-2</v>
      </c>
      <c r="BW609" s="109">
        <f t="shared" si="455"/>
        <v>0</v>
      </c>
      <c r="BX609" s="111">
        <f t="shared" si="456"/>
        <v>0</v>
      </c>
      <c r="BY609" s="129">
        <f t="shared" si="457"/>
        <v>-3</v>
      </c>
      <c r="BZ609" s="111">
        <f t="shared" si="458"/>
        <v>0</v>
      </c>
      <c r="CA609" s="138">
        <f t="shared" si="459"/>
        <v>3</v>
      </c>
      <c r="CB609" s="111" t="e">
        <f t="shared" si="476"/>
        <v>#VALUE!</v>
      </c>
      <c r="CC609" s="129">
        <f>M609-I609+1</f>
        <v>3</v>
      </c>
      <c r="CD609" s="111">
        <f>CC609-BF609</f>
        <v>0</v>
      </c>
      <c r="CE609" s="129">
        <f t="shared" si="460"/>
        <v>100</v>
      </c>
      <c r="CG609" s="129" t="str">
        <f t="shared" si="461"/>
        <v>N</v>
      </c>
      <c r="CI609" s="129" t="str">
        <f t="shared" si="462"/>
        <v>0-10 DAYS</v>
      </c>
      <c r="CJ609" s="137">
        <f t="shared" si="463"/>
        <v>1</v>
      </c>
      <c r="CK609" s="129" t="str">
        <f t="shared" si="464"/>
        <v>Booked</v>
      </c>
    </row>
    <row r="610" spans="1:89" ht="15" customHeight="1" x14ac:dyDescent="0.25">
      <c r="A610" s="111">
        <v>2937</v>
      </c>
      <c r="B610" s="128" t="str">
        <f t="shared" si="443"/>
        <v>N</v>
      </c>
      <c r="C610" s="128" t="str">
        <f t="shared" si="444"/>
        <v>N</v>
      </c>
      <c r="D610" s="117">
        <v>1359471</v>
      </c>
      <c r="E610" s="135">
        <f t="shared" si="445"/>
        <v>1</v>
      </c>
      <c r="F610" s="124">
        <v>41017</v>
      </c>
      <c r="G610" s="125">
        <v>41227</v>
      </c>
      <c r="H610" s="117">
        <v>1359471</v>
      </c>
      <c r="I610" s="124" t="s">
        <v>562</v>
      </c>
      <c r="J610" s="124" t="s">
        <v>562</v>
      </c>
      <c r="K610" s="126">
        <v>2000</v>
      </c>
      <c r="L610" s="127" t="s">
        <v>568</v>
      </c>
      <c r="N610" s="124" t="s">
        <v>1343</v>
      </c>
      <c r="O610" s="128" t="s">
        <v>917</v>
      </c>
      <c r="P610" s="129" t="s">
        <v>55</v>
      </c>
      <c r="Q610" s="111">
        <f t="shared" si="474"/>
        <v>0</v>
      </c>
      <c r="R610" s="111">
        <f t="shared" si="439"/>
        <v>211</v>
      </c>
      <c r="S610" s="129">
        <v>0</v>
      </c>
      <c r="T610" s="129">
        <v>0</v>
      </c>
      <c r="W610" s="111"/>
      <c r="AC610" s="130"/>
      <c r="AD610" s="130">
        <v>26863</v>
      </c>
      <c r="AE610" s="128" t="s">
        <v>46</v>
      </c>
      <c r="AF610" s="128" t="s">
        <v>69</v>
      </c>
      <c r="AG610" s="128" t="s">
        <v>874</v>
      </c>
      <c r="AH610" s="108" t="s">
        <v>31</v>
      </c>
      <c r="AI610" s="128" t="s">
        <v>87</v>
      </c>
      <c r="AJ610" s="129" t="s">
        <v>55</v>
      </c>
      <c r="AK610" s="129">
        <v>4</v>
      </c>
      <c r="AL610" s="3" t="s">
        <v>55</v>
      </c>
      <c r="AP610" s="129" t="s">
        <v>108</v>
      </c>
      <c r="AR610" s="128" t="s">
        <v>44</v>
      </c>
      <c r="AS610" s="129" t="s">
        <v>61</v>
      </c>
      <c r="BC610" s="129" t="s">
        <v>38</v>
      </c>
      <c r="BF610" s="111">
        <v>0</v>
      </c>
      <c r="BG610" s="111">
        <v>0</v>
      </c>
      <c r="BH610" s="111">
        <f t="shared" si="440"/>
        <v>211</v>
      </c>
      <c r="BI610" s="111">
        <f t="shared" si="441"/>
        <v>38.672131147540981</v>
      </c>
      <c r="BJ610" s="129" t="e">
        <f>(G610-J610)+(M610-G610)</f>
        <v>#VALUE!</v>
      </c>
      <c r="BK610" s="129" t="e">
        <f t="shared" si="442"/>
        <v>#VALUE!</v>
      </c>
      <c r="BL610" s="129" t="str">
        <f t="shared" si="471"/>
        <v>NO CONVICTION</v>
      </c>
      <c r="BM610" s="129" t="str">
        <f t="shared" ref="BM610" si="477">O610</f>
        <v>NONE</v>
      </c>
      <c r="BN610" s="129" t="s">
        <v>566</v>
      </c>
      <c r="BP610" s="137" t="str">
        <f t="shared" si="448"/>
        <v>NO CONVICTION</v>
      </c>
      <c r="BQ610" s="128">
        <f t="shared" si="449"/>
        <v>0</v>
      </c>
      <c r="BR610" s="129" t="s">
        <v>1345</v>
      </c>
      <c r="BS610" s="129" t="str">
        <f t="shared" si="451"/>
        <v>DISPOSED</v>
      </c>
      <c r="BT610" s="129" t="str">
        <f t="shared" si="452"/>
        <v>N</v>
      </c>
      <c r="BU610" s="109">
        <f>IFERROR(Q610/R610,BR610)</f>
        <v>0</v>
      </c>
      <c r="BV610" s="109">
        <v>0</v>
      </c>
      <c r="BW610" s="109">
        <f t="shared" si="455"/>
        <v>0</v>
      </c>
      <c r="BX610" s="111">
        <f t="shared" si="456"/>
        <v>0</v>
      </c>
      <c r="BY610" s="129" t="e">
        <f t="shared" si="457"/>
        <v>#VALUE!</v>
      </c>
      <c r="BZ610" s="111" t="e">
        <f t="shared" si="458"/>
        <v>#VALUE!</v>
      </c>
      <c r="CA610" s="138" t="e">
        <f t="shared" si="459"/>
        <v>#VALUE!</v>
      </c>
      <c r="CB610" s="111">
        <v>0</v>
      </c>
      <c r="CC610" s="129">
        <v>0</v>
      </c>
      <c r="CE610" s="129" t="e">
        <f t="shared" si="460"/>
        <v>#VALUE!</v>
      </c>
      <c r="CG610" s="129" t="str">
        <f t="shared" si="461"/>
        <v>N</v>
      </c>
      <c r="CH610" s="129" t="e">
        <v>#N/A</v>
      </c>
      <c r="CI610" s="129" t="str">
        <f t="shared" si="462"/>
        <v>0-10 DAYS</v>
      </c>
      <c r="CJ610" s="137">
        <f t="shared" si="463"/>
        <v>1</v>
      </c>
      <c r="CK610" s="129" t="str">
        <f t="shared" si="464"/>
        <v>Not Booked</v>
      </c>
    </row>
    <row r="611" spans="1:89" ht="15" customHeight="1" x14ac:dyDescent="0.25">
      <c r="A611" s="111">
        <v>2644</v>
      </c>
      <c r="B611" s="128" t="str">
        <f t="shared" si="443"/>
        <v>N</v>
      </c>
      <c r="C611" s="128" t="str">
        <f t="shared" si="444"/>
        <v>N</v>
      </c>
      <c r="D611" s="117">
        <v>1360384</v>
      </c>
      <c r="E611" s="135">
        <f t="shared" si="445"/>
        <v>4</v>
      </c>
      <c r="F611" s="124">
        <v>41007</v>
      </c>
      <c r="G611" s="125">
        <v>41009</v>
      </c>
      <c r="H611" s="117">
        <v>1360384</v>
      </c>
      <c r="I611" s="124">
        <v>41007</v>
      </c>
      <c r="J611" s="124">
        <v>41009</v>
      </c>
      <c r="K611" s="126">
        <v>15000</v>
      </c>
      <c r="L611" s="127" t="s">
        <v>571</v>
      </c>
      <c r="N611" s="129" t="str">
        <f>IF(M611&gt;1/1/1,"Y","N")</f>
        <v>N</v>
      </c>
      <c r="O611" s="128" t="s">
        <v>917</v>
      </c>
      <c r="P611" s="129" t="s">
        <v>39</v>
      </c>
      <c r="Q611" s="111">
        <f t="shared" si="474"/>
        <v>3</v>
      </c>
      <c r="R611" s="111">
        <f t="shared" si="439"/>
        <v>3</v>
      </c>
      <c r="S611" s="129">
        <v>8</v>
      </c>
      <c r="T611" s="129">
        <v>1</v>
      </c>
      <c r="U611" s="129">
        <v>5</v>
      </c>
      <c r="W611" s="111"/>
      <c r="AC611" s="130"/>
      <c r="AD611" s="130">
        <v>22514</v>
      </c>
      <c r="AE611" s="128" t="s">
        <v>32</v>
      </c>
      <c r="AF611" s="128" t="s">
        <v>33</v>
      </c>
      <c r="AG611" s="128" t="s">
        <v>872</v>
      </c>
      <c r="AH611" s="108" t="s">
        <v>31</v>
      </c>
      <c r="AI611" s="128" t="s">
        <v>42</v>
      </c>
      <c r="AJ611" s="129" t="s">
        <v>89</v>
      </c>
      <c r="AK611" s="129">
        <v>1</v>
      </c>
      <c r="AL611" s="3" t="s">
        <v>991</v>
      </c>
      <c r="AO611" s="128">
        <v>30</v>
      </c>
      <c r="AP611" s="129" t="s">
        <v>43</v>
      </c>
      <c r="AR611" s="128" t="s">
        <v>44</v>
      </c>
      <c r="AS611" s="129" t="s">
        <v>45</v>
      </c>
      <c r="AT611" s="129" t="s">
        <v>467</v>
      </c>
      <c r="BC611" s="129" t="s">
        <v>38</v>
      </c>
      <c r="BF611" s="111">
        <f>IF(J611&gt;1/1/1900,((J611+1)-I611),"STILL OPEN")</f>
        <v>3</v>
      </c>
      <c r="BG611" s="111">
        <f t="shared" ref="BG611:BG642" si="478">IF(G611&gt;1/1/1900,((G611+1)-I611),"STILL OPEN")</f>
        <v>3</v>
      </c>
      <c r="BH611" s="111">
        <f t="shared" si="440"/>
        <v>3</v>
      </c>
      <c r="BI611" s="111">
        <f t="shared" si="441"/>
        <v>50.527322404371581</v>
      </c>
      <c r="BJ611" s="129">
        <f t="shared" si="446"/>
        <v>0</v>
      </c>
      <c r="BK611" s="129">
        <f t="shared" si="442"/>
        <v>0</v>
      </c>
      <c r="BL611" s="129" t="str">
        <f t="shared" si="471"/>
        <v>CONVICTION</v>
      </c>
      <c r="BM611" s="129" t="str">
        <f t="shared" si="447"/>
        <v>NONE</v>
      </c>
      <c r="BN611" s="129" t="s">
        <v>566</v>
      </c>
      <c r="BP611" s="137" t="str">
        <f t="shared" si="448"/>
        <v>CONVICTION</v>
      </c>
      <c r="BQ611" s="128" t="str">
        <f t="shared" si="449"/>
        <v>Y</v>
      </c>
      <c r="BR611" s="129" t="str">
        <f t="shared" si="450"/>
        <v>DETAINED</v>
      </c>
      <c r="BS611" s="129" t="str">
        <f t="shared" si="451"/>
        <v>DISPOSED</v>
      </c>
      <c r="BT611" s="129" t="str">
        <f t="shared" si="452"/>
        <v>Y</v>
      </c>
      <c r="BU611" s="109">
        <f t="shared" si="453"/>
        <v>1</v>
      </c>
      <c r="BV611" s="109">
        <f t="shared" si="454"/>
        <v>1</v>
      </c>
      <c r="BW611" s="109">
        <f t="shared" si="455"/>
        <v>0</v>
      </c>
      <c r="BX611" s="111">
        <f t="shared" si="456"/>
        <v>0</v>
      </c>
      <c r="BY611" s="129">
        <f t="shared" si="457"/>
        <v>-3</v>
      </c>
      <c r="BZ611" s="111">
        <f t="shared" si="458"/>
        <v>0</v>
      </c>
      <c r="CA611" s="138">
        <f t="shared" si="459"/>
        <v>3</v>
      </c>
      <c r="CB611" s="111" t="e">
        <f>IF(AF611&gt;1/1/1900,((AF611+1)-AE611),"STILL OPEN")</f>
        <v>#VALUE!</v>
      </c>
      <c r="CC611" s="129">
        <f>G611-I611+1</f>
        <v>3</v>
      </c>
      <c r="CD611" s="129">
        <f>G611-J611</f>
        <v>0</v>
      </c>
      <c r="CE611" s="129">
        <f t="shared" si="460"/>
        <v>0</v>
      </c>
      <c r="CG611" s="129" t="str">
        <f t="shared" si="461"/>
        <v>Y</v>
      </c>
      <c r="CI611" s="129" t="str">
        <f t="shared" si="462"/>
        <v>0-10 DAYS</v>
      </c>
      <c r="CJ611" s="137">
        <f t="shared" si="463"/>
        <v>1</v>
      </c>
      <c r="CK611" s="129" t="str">
        <f t="shared" si="464"/>
        <v>Booked</v>
      </c>
    </row>
    <row r="612" spans="1:89" ht="15.75" customHeight="1" x14ac:dyDescent="0.25">
      <c r="A612" s="111">
        <v>475</v>
      </c>
      <c r="B612" s="128" t="str">
        <f t="shared" si="443"/>
        <v>N</v>
      </c>
      <c r="C612" s="128" t="str">
        <f t="shared" si="444"/>
        <v>N</v>
      </c>
      <c r="D612" s="117">
        <v>1360727</v>
      </c>
      <c r="E612" s="135">
        <f t="shared" si="445"/>
        <v>5</v>
      </c>
      <c r="F612" s="124">
        <v>40928</v>
      </c>
      <c r="G612" s="125">
        <v>40931</v>
      </c>
      <c r="H612" s="117">
        <v>1360727</v>
      </c>
      <c r="I612" s="124">
        <v>40928</v>
      </c>
      <c r="J612" s="124">
        <v>40931</v>
      </c>
      <c r="K612" s="126">
        <v>5000</v>
      </c>
      <c r="L612" s="127" t="s">
        <v>569</v>
      </c>
      <c r="N612" s="129" t="str">
        <f>IF(M612&gt;1/1/1,"Y","N")</f>
        <v>N</v>
      </c>
      <c r="O612" s="128" t="s">
        <v>917</v>
      </c>
      <c r="P612" s="129" t="s">
        <v>39</v>
      </c>
      <c r="Q612" s="111">
        <f t="shared" si="474"/>
        <v>4</v>
      </c>
      <c r="R612" s="111">
        <f t="shared" si="439"/>
        <v>4</v>
      </c>
      <c r="S612" s="129">
        <v>2</v>
      </c>
      <c r="T612" s="129">
        <v>5</v>
      </c>
      <c r="U612" s="129">
        <v>2</v>
      </c>
      <c r="W612" s="111"/>
      <c r="AC612" s="130"/>
      <c r="AD612" s="130">
        <v>28035</v>
      </c>
      <c r="AE612" s="128" t="s">
        <v>32</v>
      </c>
      <c r="AF612" s="128" t="s">
        <v>69</v>
      </c>
      <c r="AG612" s="128" t="s">
        <v>874</v>
      </c>
      <c r="AH612" s="108" t="s">
        <v>58</v>
      </c>
      <c r="AI612" s="128" t="s">
        <v>100</v>
      </c>
      <c r="AJ612" s="129" t="s">
        <v>89</v>
      </c>
      <c r="AK612" s="129">
        <v>1</v>
      </c>
      <c r="AL612" s="3" t="s">
        <v>992</v>
      </c>
      <c r="AN612" s="117">
        <v>6</v>
      </c>
      <c r="AP612" s="129" t="s">
        <v>103</v>
      </c>
      <c r="AR612" s="128" t="s">
        <v>44</v>
      </c>
      <c r="AS612" s="129" t="s">
        <v>45</v>
      </c>
      <c r="BC612" s="129" t="s">
        <v>38</v>
      </c>
      <c r="BF612" s="111">
        <f>IF(J612&gt;1/1/1900,((J612+1)-I612),"STILL OPEN")</f>
        <v>4</v>
      </c>
      <c r="BG612" s="111">
        <f t="shared" si="478"/>
        <v>4</v>
      </c>
      <c r="BH612" s="111">
        <f t="shared" si="440"/>
        <v>4</v>
      </c>
      <c r="BI612" s="111">
        <f t="shared" si="441"/>
        <v>35.22677595628415</v>
      </c>
      <c r="BJ612" s="129">
        <f t="shared" si="446"/>
        <v>0</v>
      </c>
      <c r="BK612" s="129">
        <f t="shared" si="442"/>
        <v>0</v>
      </c>
      <c r="BL612" s="129" t="str">
        <f t="shared" si="471"/>
        <v>CONVICTION</v>
      </c>
      <c r="BM612" s="129" t="str">
        <f t="shared" si="447"/>
        <v>NONE</v>
      </c>
      <c r="BN612" s="129" t="s">
        <v>566</v>
      </c>
      <c r="BP612" s="137" t="str">
        <f t="shared" si="448"/>
        <v>CONVICTION</v>
      </c>
      <c r="BQ612" s="128" t="str">
        <f t="shared" si="449"/>
        <v>Y</v>
      </c>
      <c r="BR612" s="129" t="str">
        <f t="shared" si="450"/>
        <v>DETAINED</v>
      </c>
      <c r="BS612" s="129" t="str">
        <f t="shared" si="451"/>
        <v>DISPOSED</v>
      </c>
      <c r="BT612" s="129" t="str">
        <f t="shared" si="452"/>
        <v>Y</v>
      </c>
      <c r="BU612" s="109">
        <f t="shared" si="453"/>
        <v>1</v>
      </c>
      <c r="BV612" s="109">
        <f t="shared" si="454"/>
        <v>1</v>
      </c>
      <c r="BW612" s="109">
        <f t="shared" si="455"/>
        <v>0</v>
      </c>
      <c r="BX612" s="111">
        <f t="shared" si="456"/>
        <v>0</v>
      </c>
      <c r="BY612" s="129">
        <f t="shared" si="457"/>
        <v>-4</v>
      </c>
      <c r="BZ612" s="111">
        <f t="shared" si="458"/>
        <v>0</v>
      </c>
      <c r="CA612" s="138">
        <f t="shared" si="459"/>
        <v>4</v>
      </c>
      <c r="CB612" s="111" t="e">
        <f>IF(AF612&gt;1/1/1900,((AF612+1)-AE612),"STILL OPEN")</f>
        <v>#VALUE!</v>
      </c>
      <c r="CC612" s="129">
        <f>G612-I612+1</f>
        <v>4</v>
      </c>
      <c r="CD612" s="129">
        <f>G612-J612</f>
        <v>0</v>
      </c>
      <c r="CE612" s="129">
        <f t="shared" si="460"/>
        <v>0</v>
      </c>
      <c r="CG612" s="129" t="str">
        <f t="shared" si="461"/>
        <v>Y</v>
      </c>
      <c r="CI612" s="129" t="str">
        <f t="shared" si="462"/>
        <v>0-10 DAYS</v>
      </c>
      <c r="CJ612" s="137">
        <f t="shared" si="463"/>
        <v>1</v>
      </c>
      <c r="CK612" s="129" t="str">
        <f t="shared" si="464"/>
        <v>Booked</v>
      </c>
    </row>
    <row r="613" spans="1:89" ht="15" customHeight="1" x14ac:dyDescent="0.25">
      <c r="A613" s="111">
        <v>2754</v>
      </c>
      <c r="B613" s="128" t="str">
        <f t="shared" si="443"/>
        <v>N</v>
      </c>
      <c r="C613" s="128" t="str">
        <f t="shared" si="444"/>
        <v>N</v>
      </c>
      <c r="D613" s="117">
        <v>1362381</v>
      </c>
      <c r="E613" s="135">
        <f t="shared" si="445"/>
        <v>3</v>
      </c>
      <c r="F613" s="124">
        <v>41011</v>
      </c>
      <c r="G613" s="125">
        <v>41741</v>
      </c>
      <c r="H613" s="117">
        <v>1362381</v>
      </c>
      <c r="I613" s="124" t="s">
        <v>562</v>
      </c>
      <c r="J613" s="124" t="s">
        <v>562</v>
      </c>
      <c r="K613" s="126">
        <v>50000</v>
      </c>
      <c r="L613" s="129" t="s">
        <v>572</v>
      </c>
      <c r="M613" s="125">
        <v>41013</v>
      </c>
      <c r="N613" s="129" t="str">
        <f>IF(M613&gt;1/1/1,"Y",IF(Q613="NOT BOOKED","","N"))</f>
        <v>Y</v>
      </c>
      <c r="O613" s="128" t="s">
        <v>585</v>
      </c>
      <c r="P613" s="129" t="s">
        <v>39</v>
      </c>
      <c r="Q613" s="111">
        <v>0</v>
      </c>
      <c r="R613" s="111">
        <f t="shared" si="439"/>
        <v>731</v>
      </c>
      <c r="S613" s="129">
        <v>0</v>
      </c>
      <c r="T613" s="129">
        <v>0</v>
      </c>
      <c r="W613" s="111"/>
      <c r="AC613" s="130"/>
      <c r="AD613" s="130">
        <v>23148</v>
      </c>
      <c r="AE613" s="128" t="s">
        <v>32</v>
      </c>
      <c r="AF613" s="128" t="s">
        <v>69</v>
      </c>
      <c r="AG613" s="128" t="s">
        <v>874</v>
      </c>
      <c r="AH613" s="108" t="s">
        <v>31</v>
      </c>
      <c r="AI613" s="128" t="s">
        <v>118</v>
      </c>
      <c r="AJ613" s="129" t="s">
        <v>89</v>
      </c>
      <c r="AK613" s="129">
        <v>9</v>
      </c>
      <c r="AL613" s="3" t="s">
        <v>185</v>
      </c>
      <c r="AO613" s="128">
        <v>180</v>
      </c>
      <c r="AP613" s="129" t="s">
        <v>456</v>
      </c>
      <c r="AR613" s="128" t="s">
        <v>50</v>
      </c>
      <c r="AS613" s="129" t="s">
        <v>180</v>
      </c>
      <c r="BC613" s="129" t="s">
        <v>52</v>
      </c>
      <c r="BF613" s="111">
        <v>0</v>
      </c>
      <c r="BG613" s="111">
        <v>0</v>
      </c>
      <c r="BH613" s="111">
        <f t="shared" si="440"/>
        <v>731</v>
      </c>
      <c r="BI613" s="111">
        <f t="shared" si="441"/>
        <v>48.806010928961747</v>
      </c>
      <c r="BJ613" s="129" t="e">
        <f>(G613-J613)+(M613-G613)</f>
        <v>#VALUE!</v>
      </c>
      <c r="BK613" s="129" t="e">
        <f t="shared" si="442"/>
        <v>#VALUE!</v>
      </c>
      <c r="BL613" s="129" t="str">
        <f t="shared" si="471"/>
        <v>CONVICTION</v>
      </c>
      <c r="BM613" s="129" t="s">
        <v>76</v>
      </c>
      <c r="BN613" s="129" t="s">
        <v>566</v>
      </c>
      <c r="BP613" s="137" t="str">
        <f t="shared" si="448"/>
        <v>CONVICTION</v>
      </c>
      <c r="BQ613" s="128">
        <f t="shared" si="449"/>
        <v>0</v>
      </c>
      <c r="BR613" s="129" t="s">
        <v>575</v>
      </c>
      <c r="BS613" s="129" t="s">
        <v>1259</v>
      </c>
      <c r="BT613" s="129" t="str">
        <f t="shared" si="452"/>
        <v>N</v>
      </c>
      <c r="BU613" s="109">
        <f>IFERROR(Q613/R613,BR613)</f>
        <v>0</v>
      </c>
      <c r="BV613" s="139">
        <v>0</v>
      </c>
      <c r="BW613" s="109">
        <v>0</v>
      </c>
      <c r="BX613" s="111">
        <f t="shared" si="456"/>
        <v>0</v>
      </c>
      <c r="BY613" s="129" t="e">
        <f t="shared" si="457"/>
        <v>#VALUE!</v>
      </c>
      <c r="BZ613" s="111" t="e">
        <f t="shared" si="458"/>
        <v>#VALUE!</v>
      </c>
      <c r="CA613" s="138" t="e">
        <f t="shared" si="459"/>
        <v>#VALUE!</v>
      </c>
      <c r="CB613" s="111" t="s">
        <v>588</v>
      </c>
      <c r="CC613" s="129">
        <v>0</v>
      </c>
      <c r="CD613" s="129">
        <v>0</v>
      </c>
      <c r="CE613" s="129" t="e">
        <f t="shared" si="460"/>
        <v>#VALUE!</v>
      </c>
      <c r="CF613" s="129">
        <v>0</v>
      </c>
      <c r="CG613" s="129" t="str">
        <f t="shared" si="461"/>
        <v>N</v>
      </c>
      <c r="CH613" s="129" t="e">
        <v>#N/A</v>
      </c>
      <c r="CI613" s="129" t="str">
        <f t="shared" si="462"/>
        <v>0-10 DAYS</v>
      </c>
      <c r="CJ613" s="137">
        <f t="shared" si="463"/>
        <v>1</v>
      </c>
      <c r="CK613" s="129" t="str">
        <f t="shared" si="464"/>
        <v>Not Booked</v>
      </c>
    </row>
    <row r="614" spans="1:89" ht="15.75" customHeight="1" x14ac:dyDescent="0.25">
      <c r="A614" s="111">
        <v>309</v>
      </c>
      <c r="B614" s="128" t="str">
        <f t="shared" si="443"/>
        <v>N</v>
      </c>
      <c r="C614" s="128" t="str">
        <f t="shared" si="444"/>
        <v>N</v>
      </c>
      <c r="D614" s="117">
        <v>1362675</v>
      </c>
      <c r="E614" s="135">
        <f t="shared" si="445"/>
        <v>6</v>
      </c>
      <c r="F614" s="124">
        <v>40921</v>
      </c>
      <c r="G614" s="125">
        <v>40961</v>
      </c>
      <c r="H614" s="117">
        <v>1362675</v>
      </c>
      <c r="I614" s="124">
        <v>40921</v>
      </c>
      <c r="J614" s="124">
        <v>40926</v>
      </c>
      <c r="K614" s="126">
        <v>15000</v>
      </c>
      <c r="L614" s="127" t="s">
        <v>571</v>
      </c>
      <c r="M614" s="125">
        <v>40926</v>
      </c>
      <c r="N614" s="129" t="str">
        <f t="shared" ref="N614:N626" si="479">IF(M614&gt;1/1/1,"Y","N")</f>
        <v>Y</v>
      </c>
      <c r="O614" s="128" t="s">
        <v>76</v>
      </c>
      <c r="P614" s="129" t="s">
        <v>39</v>
      </c>
      <c r="Q614" s="111">
        <f t="shared" si="474"/>
        <v>6</v>
      </c>
      <c r="R614" s="111">
        <f t="shared" si="439"/>
        <v>41</v>
      </c>
      <c r="S614" s="129">
        <v>3</v>
      </c>
      <c r="T614" s="129">
        <v>4</v>
      </c>
      <c r="U614" s="129">
        <v>2</v>
      </c>
      <c r="W614" s="111"/>
      <c r="AC614" s="130"/>
      <c r="AD614" s="130">
        <v>28002</v>
      </c>
      <c r="AE614" s="128" t="s">
        <v>46</v>
      </c>
      <c r="AF614" s="128" t="s">
        <v>69</v>
      </c>
      <c r="AG614" s="128" t="s">
        <v>874</v>
      </c>
      <c r="AH614" s="108" t="s">
        <v>58</v>
      </c>
      <c r="AI614" s="128" t="s">
        <v>34</v>
      </c>
      <c r="AJ614" s="129" t="s">
        <v>89</v>
      </c>
      <c r="AK614" s="129">
        <v>3</v>
      </c>
      <c r="AL614" s="3" t="s">
        <v>362</v>
      </c>
      <c r="AM614" s="117">
        <v>9</v>
      </c>
      <c r="AP614" s="129" t="s">
        <v>43</v>
      </c>
      <c r="AR614" s="128" t="s">
        <v>44</v>
      </c>
      <c r="AS614" s="129" t="s">
        <v>45</v>
      </c>
      <c r="BC614" s="129" t="s">
        <v>38</v>
      </c>
      <c r="BF614" s="111">
        <f t="shared" ref="BF614:BF645" si="480">IF(J614&gt;1/1/1900,((J614+1)-I614),"STILL OPEN")</f>
        <v>6</v>
      </c>
      <c r="BG614" s="111">
        <f t="shared" si="478"/>
        <v>41</v>
      </c>
      <c r="BH614" s="111">
        <f t="shared" si="440"/>
        <v>41</v>
      </c>
      <c r="BI614" s="111">
        <f t="shared" si="441"/>
        <v>35.297814207650276</v>
      </c>
      <c r="BJ614" s="129">
        <f>(G614-J614)+(M614-G614)</f>
        <v>0</v>
      </c>
      <c r="BK614" s="129">
        <f t="shared" si="442"/>
        <v>-35</v>
      </c>
      <c r="BL614" s="129" t="str">
        <f t="shared" si="471"/>
        <v>CONVICTION</v>
      </c>
      <c r="BM614" s="129" t="s">
        <v>76</v>
      </c>
      <c r="BN614" s="129" t="s">
        <v>88</v>
      </c>
      <c r="BP614" s="137" t="str">
        <f t="shared" si="448"/>
        <v>CONVICTION</v>
      </c>
      <c r="BQ614" s="128" t="str">
        <f t="shared" si="449"/>
        <v>Y</v>
      </c>
      <c r="BR614" s="129" t="str">
        <f>IF(J614&lt;G614,"ON BOND",0)</f>
        <v>ON BOND</v>
      </c>
      <c r="BS614" s="129" t="str">
        <f t="shared" si="451"/>
        <v>DISPOSED</v>
      </c>
      <c r="BT614" s="129" t="str">
        <f t="shared" si="452"/>
        <v>Y</v>
      </c>
      <c r="BU614" s="109">
        <f t="shared" si="453"/>
        <v>0.14634146341463414</v>
      </c>
      <c r="BV614" s="109">
        <f t="shared" si="454"/>
        <v>0.14634146341463414</v>
      </c>
      <c r="BW614" s="109">
        <f t="shared" ref="BW614:BW677" si="481">BV614-BU614</f>
        <v>0</v>
      </c>
      <c r="BX614" s="111">
        <f t="shared" si="456"/>
        <v>0</v>
      </c>
      <c r="BY614" s="129">
        <f t="shared" si="457"/>
        <v>-6</v>
      </c>
      <c r="BZ614" s="111">
        <f t="shared" si="458"/>
        <v>0</v>
      </c>
      <c r="CA614" s="138">
        <f t="shared" si="459"/>
        <v>6</v>
      </c>
      <c r="CB614" s="111" t="e">
        <f t="shared" ref="CB614:CB677" si="482">IF(AF614&gt;1/1/1900,((AF614+1)-AE614),"STILL OPEN")</f>
        <v>#VALUE!</v>
      </c>
      <c r="CC614" s="129">
        <f>M614-I614+1</f>
        <v>6</v>
      </c>
      <c r="CD614" s="111">
        <f>CC614-BF614</f>
        <v>0</v>
      </c>
      <c r="CE614" s="129">
        <f t="shared" si="460"/>
        <v>35</v>
      </c>
      <c r="CG614" s="129" t="str">
        <f t="shared" si="461"/>
        <v>Y</v>
      </c>
      <c r="CI614" s="129" t="str">
        <f t="shared" si="462"/>
        <v>0-10 DAYS</v>
      </c>
      <c r="CJ614" s="137">
        <f t="shared" si="463"/>
        <v>1</v>
      </c>
      <c r="CK614" s="129" t="str">
        <f t="shared" si="464"/>
        <v>Booked</v>
      </c>
    </row>
    <row r="615" spans="1:89" ht="15" customHeight="1" x14ac:dyDescent="0.25">
      <c r="A615" s="111">
        <v>89</v>
      </c>
      <c r="B615" s="128" t="str">
        <f t="shared" si="443"/>
        <v>N</v>
      </c>
      <c r="C615" s="128" t="str">
        <f t="shared" si="444"/>
        <v>N</v>
      </c>
      <c r="D615" s="117">
        <v>1362858</v>
      </c>
      <c r="E615" s="135">
        <f t="shared" si="445"/>
        <v>4</v>
      </c>
      <c r="F615" s="124">
        <v>40913</v>
      </c>
      <c r="G615" s="125">
        <v>41254</v>
      </c>
      <c r="H615" s="117">
        <v>1362858</v>
      </c>
      <c r="I615" s="124">
        <v>40914</v>
      </c>
      <c r="J615" s="124">
        <v>40915</v>
      </c>
      <c r="K615" s="126">
        <v>2000</v>
      </c>
      <c r="L615" s="127" t="s">
        <v>568</v>
      </c>
      <c r="M615" s="125">
        <v>40915</v>
      </c>
      <c r="N615" s="129" t="str">
        <f t="shared" si="479"/>
        <v>Y</v>
      </c>
      <c r="O615" s="128" t="s">
        <v>76</v>
      </c>
      <c r="P615" s="129" t="s">
        <v>39</v>
      </c>
      <c r="Q615" s="111">
        <f t="shared" si="474"/>
        <v>2</v>
      </c>
      <c r="R615" s="111">
        <f t="shared" si="439"/>
        <v>342</v>
      </c>
      <c r="S615" s="129">
        <v>0</v>
      </c>
      <c r="T615" s="129">
        <v>3</v>
      </c>
      <c r="W615" s="111"/>
      <c r="AC615" s="130"/>
      <c r="AD615" s="130">
        <v>27179</v>
      </c>
      <c r="AE615" s="128" t="s">
        <v>32</v>
      </c>
      <c r="AF615" s="128" t="s">
        <v>69</v>
      </c>
      <c r="AG615" s="128" t="s">
        <v>874</v>
      </c>
      <c r="AH615" s="108" t="s">
        <v>58</v>
      </c>
      <c r="AI615" s="128" t="s">
        <v>100</v>
      </c>
      <c r="AJ615" s="129" t="s">
        <v>89</v>
      </c>
      <c r="AK615" s="129">
        <v>12</v>
      </c>
      <c r="AL615" s="3" t="s">
        <v>991</v>
      </c>
      <c r="AO615" s="128">
        <v>200</v>
      </c>
      <c r="AP615" s="129" t="s">
        <v>107</v>
      </c>
      <c r="AR615" s="128" t="s">
        <v>44</v>
      </c>
      <c r="AS615" s="129" t="s">
        <v>57</v>
      </c>
      <c r="BC615" s="129" t="s">
        <v>52</v>
      </c>
      <c r="BF615" s="111">
        <f t="shared" si="480"/>
        <v>2</v>
      </c>
      <c r="BG615" s="111">
        <f t="shared" si="478"/>
        <v>341</v>
      </c>
      <c r="BH615" s="111">
        <f t="shared" si="440"/>
        <v>342</v>
      </c>
      <c r="BI615" s="111">
        <f t="shared" si="441"/>
        <v>37.524590163934427</v>
      </c>
      <c r="BJ615" s="129">
        <f>(G615-J615)+(M615-G615)</f>
        <v>0</v>
      </c>
      <c r="BK615" s="129">
        <f t="shared" si="442"/>
        <v>-339</v>
      </c>
      <c r="BL615" s="129" t="str">
        <f t="shared" si="471"/>
        <v>CONVICTION</v>
      </c>
      <c r="BM615" s="129" t="s">
        <v>76</v>
      </c>
      <c r="BN615" s="129" t="s">
        <v>88</v>
      </c>
      <c r="BP615" s="137" t="str">
        <f t="shared" si="448"/>
        <v>CONVICTION</v>
      </c>
      <c r="BQ615" s="128" t="str">
        <f t="shared" si="449"/>
        <v>Y</v>
      </c>
      <c r="BR615" s="129" t="str">
        <f>IF(J615&lt;G615,"ON BOND",0)</f>
        <v>ON BOND</v>
      </c>
      <c r="BS615" s="129" t="str">
        <f t="shared" si="451"/>
        <v>DISPOSED</v>
      </c>
      <c r="BT615" s="129" t="str">
        <f t="shared" si="452"/>
        <v>N</v>
      </c>
      <c r="BU615" s="109">
        <f t="shared" si="453"/>
        <v>5.8479532163742687E-3</v>
      </c>
      <c r="BV615" s="109">
        <f t="shared" si="454"/>
        <v>5.8651026392961877E-3</v>
      </c>
      <c r="BW615" s="109">
        <f t="shared" si="481"/>
        <v>1.7149422921918997E-5</v>
      </c>
      <c r="BX615" s="111">
        <f t="shared" si="456"/>
        <v>0</v>
      </c>
      <c r="BY615" s="129">
        <f t="shared" si="457"/>
        <v>-2</v>
      </c>
      <c r="BZ615" s="111">
        <f t="shared" si="458"/>
        <v>0</v>
      </c>
      <c r="CA615" s="138">
        <f t="shared" si="459"/>
        <v>2</v>
      </c>
      <c r="CB615" s="111" t="e">
        <f t="shared" si="482"/>
        <v>#VALUE!</v>
      </c>
      <c r="CC615" s="129">
        <f>M615-I615+1</f>
        <v>2</v>
      </c>
      <c r="CD615" s="111">
        <f>CC615-BF615</f>
        <v>0</v>
      </c>
      <c r="CE615" s="129">
        <f t="shared" si="460"/>
        <v>339</v>
      </c>
      <c r="CG615" s="129" t="str">
        <f t="shared" si="461"/>
        <v>Y</v>
      </c>
      <c r="CI615" s="129" t="str">
        <f t="shared" si="462"/>
        <v>0-10 DAYS</v>
      </c>
      <c r="CJ615" s="137">
        <f t="shared" si="463"/>
        <v>1</v>
      </c>
      <c r="CK615" s="129" t="str">
        <f t="shared" si="464"/>
        <v>Booked</v>
      </c>
    </row>
    <row r="616" spans="1:89" ht="15.75" customHeight="1" x14ac:dyDescent="0.25">
      <c r="A616" s="111">
        <v>2601</v>
      </c>
      <c r="B616" s="128" t="str">
        <f t="shared" si="443"/>
        <v>N</v>
      </c>
      <c r="C616" s="128" t="str">
        <f t="shared" si="444"/>
        <v>N</v>
      </c>
      <c r="D616" s="117">
        <v>1364827</v>
      </c>
      <c r="E616" s="135">
        <f t="shared" si="445"/>
        <v>1</v>
      </c>
      <c r="F616" s="124">
        <v>41005</v>
      </c>
      <c r="G616" s="125">
        <v>41303</v>
      </c>
      <c r="H616" s="117">
        <v>1364827</v>
      </c>
      <c r="I616" s="124">
        <v>41010</v>
      </c>
      <c r="J616" s="124">
        <v>41013</v>
      </c>
      <c r="K616" s="126">
        <v>5000</v>
      </c>
      <c r="L616" s="127" t="s">
        <v>569</v>
      </c>
      <c r="M616" s="125">
        <v>41013</v>
      </c>
      <c r="N616" s="129" t="str">
        <f t="shared" si="479"/>
        <v>Y</v>
      </c>
      <c r="O616" s="128" t="s">
        <v>76</v>
      </c>
      <c r="P616" s="129" t="s">
        <v>55</v>
      </c>
      <c r="Q616" s="111">
        <f t="shared" si="474"/>
        <v>4</v>
      </c>
      <c r="R616" s="111">
        <f t="shared" si="439"/>
        <v>299</v>
      </c>
      <c r="S616" s="129">
        <v>0</v>
      </c>
      <c r="T616" s="129">
        <v>2</v>
      </c>
      <c r="W616" s="111"/>
      <c r="AC616" s="130"/>
      <c r="AD616" s="130">
        <v>25931</v>
      </c>
      <c r="AE616" s="128" t="s">
        <v>32</v>
      </c>
      <c r="AF616" s="128" t="s">
        <v>33</v>
      </c>
      <c r="AG616" s="128" t="s">
        <v>872</v>
      </c>
      <c r="AH616" s="108" t="s">
        <v>58</v>
      </c>
      <c r="AI616" s="128" t="s">
        <v>42</v>
      </c>
      <c r="AJ616" s="129" t="s">
        <v>55</v>
      </c>
      <c r="AK616" s="129">
        <v>9</v>
      </c>
      <c r="AL616" s="3" t="s">
        <v>55</v>
      </c>
      <c r="AP616" s="129" t="s">
        <v>150</v>
      </c>
      <c r="AR616" s="128" t="s">
        <v>67</v>
      </c>
      <c r="AS616" s="129" t="s">
        <v>74</v>
      </c>
      <c r="BC616" s="129" t="s">
        <v>52</v>
      </c>
      <c r="BF616" s="111">
        <f t="shared" si="480"/>
        <v>4</v>
      </c>
      <c r="BG616" s="111">
        <f t="shared" si="478"/>
        <v>294</v>
      </c>
      <c r="BH616" s="111">
        <f t="shared" si="440"/>
        <v>299</v>
      </c>
      <c r="BI616" s="111">
        <f t="shared" si="441"/>
        <v>41.185792349726775</v>
      </c>
      <c r="BJ616" s="129">
        <f>(G616-J616)+(M616-G616)</f>
        <v>0</v>
      </c>
      <c r="BK616" s="129">
        <f t="shared" si="442"/>
        <v>-290</v>
      </c>
      <c r="BL616" s="129" t="str">
        <f t="shared" si="471"/>
        <v>NO CONVICTION</v>
      </c>
      <c r="BM616" s="129" t="s">
        <v>76</v>
      </c>
      <c r="BN616" s="129" t="s">
        <v>88</v>
      </c>
      <c r="BP616" s="137" t="str">
        <f t="shared" si="448"/>
        <v>NO CONVICTION</v>
      </c>
      <c r="BQ616" s="128" t="str">
        <f t="shared" si="449"/>
        <v>Y</v>
      </c>
      <c r="BR616" s="129" t="str">
        <f t="shared" si="450"/>
        <v>ON BOND</v>
      </c>
      <c r="BS616" s="129" t="str">
        <f t="shared" si="451"/>
        <v>DISPOSED</v>
      </c>
      <c r="BT616" s="129" t="str">
        <f t="shared" si="452"/>
        <v>N</v>
      </c>
      <c r="BU616" s="109">
        <f>IFERROR(Q616/R616,BR616)</f>
        <v>1.3377926421404682E-2</v>
      </c>
      <c r="BV616" s="109">
        <f t="shared" si="454"/>
        <v>1.3605442176870748E-2</v>
      </c>
      <c r="BW616" s="109">
        <f t="shared" si="481"/>
        <v>2.2751575546606576E-4</v>
      </c>
      <c r="BX616" s="111">
        <f t="shared" si="456"/>
        <v>0</v>
      </c>
      <c r="BY616" s="129">
        <f t="shared" si="457"/>
        <v>-4</v>
      </c>
      <c r="BZ616" s="111">
        <f t="shared" si="458"/>
        <v>0</v>
      </c>
      <c r="CA616" s="138">
        <f t="shared" si="459"/>
        <v>4</v>
      </c>
      <c r="CB616" s="111" t="e">
        <f t="shared" si="482"/>
        <v>#VALUE!</v>
      </c>
      <c r="CC616" s="129">
        <f>M616-I616+1</f>
        <v>4</v>
      </c>
      <c r="CD616" s="111">
        <f>CC616-BF616</f>
        <v>0</v>
      </c>
      <c r="CE616" s="129">
        <f t="shared" si="460"/>
        <v>290</v>
      </c>
      <c r="CG616" s="129" t="str">
        <f t="shared" si="461"/>
        <v>Y</v>
      </c>
      <c r="CI616" s="129" t="str">
        <f t="shared" si="462"/>
        <v>0-10 DAYS</v>
      </c>
      <c r="CJ616" s="137">
        <f t="shared" si="463"/>
        <v>1</v>
      </c>
      <c r="CK616" s="129" t="str">
        <f t="shared" si="464"/>
        <v>Booked</v>
      </c>
    </row>
    <row r="617" spans="1:89" ht="15.75" customHeight="1" x14ac:dyDescent="0.25">
      <c r="A617" s="111">
        <v>1892</v>
      </c>
      <c r="B617" s="128" t="str">
        <f t="shared" si="443"/>
        <v>N</v>
      </c>
      <c r="C617" s="128" t="str">
        <f t="shared" si="444"/>
        <v>N</v>
      </c>
      <c r="D617" s="117">
        <v>1365518</v>
      </c>
      <c r="E617" s="135">
        <f t="shared" si="445"/>
        <v>3</v>
      </c>
      <c r="F617" s="124">
        <v>40979</v>
      </c>
      <c r="G617" s="125">
        <v>40980</v>
      </c>
      <c r="H617" s="117">
        <v>1365518</v>
      </c>
      <c r="I617" s="124">
        <v>40979</v>
      </c>
      <c r="J617" s="124">
        <v>40980</v>
      </c>
      <c r="K617" s="126">
        <v>10000</v>
      </c>
      <c r="L617" s="127" t="s">
        <v>570</v>
      </c>
      <c r="N617" s="129" t="str">
        <f t="shared" si="479"/>
        <v>N</v>
      </c>
      <c r="O617" s="128" t="s">
        <v>917</v>
      </c>
      <c r="P617" s="129" t="s">
        <v>39</v>
      </c>
      <c r="Q617" s="111">
        <f t="shared" si="474"/>
        <v>2</v>
      </c>
      <c r="R617" s="111">
        <f t="shared" si="439"/>
        <v>2</v>
      </c>
      <c r="S617" s="129">
        <v>0</v>
      </c>
      <c r="T617" s="129">
        <v>1</v>
      </c>
      <c r="W617" s="111"/>
      <c r="AC617" s="130"/>
      <c r="AD617" s="130">
        <v>27648</v>
      </c>
      <c r="AE617" s="128" t="s">
        <v>32</v>
      </c>
      <c r="AF617" s="128" t="s">
        <v>69</v>
      </c>
      <c r="AG617" s="128" t="s">
        <v>874</v>
      </c>
      <c r="AH617" s="108" t="s">
        <v>58</v>
      </c>
      <c r="AI617" s="128" t="s">
        <v>114</v>
      </c>
      <c r="AJ617" s="129" t="s">
        <v>89</v>
      </c>
      <c r="AK617" s="129">
        <v>1</v>
      </c>
      <c r="AL617" s="3" t="s">
        <v>185</v>
      </c>
      <c r="AP617" s="129" t="s">
        <v>66</v>
      </c>
      <c r="AR617" s="128" t="s">
        <v>67</v>
      </c>
      <c r="AS617" s="129" t="s">
        <v>68</v>
      </c>
      <c r="AT617" s="129" t="s">
        <v>385</v>
      </c>
      <c r="BC617" s="129" t="s">
        <v>38</v>
      </c>
      <c r="BF617" s="111">
        <f t="shared" si="480"/>
        <v>2</v>
      </c>
      <c r="BG617" s="111">
        <f t="shared" si="478"/>
        <v>2</v>
      </c>
      <c r="BH617" s="111">
        <f t="shared" si="440"/>
        <v>2</v>
      </c>
      <c r="BI617" s="111">
        <f t="shared" si="441"/>
        <v>36.423497267759565</v>
      </c>
      <c r="BJ617" s="129">
        <f t="shared" si="446"/>
        <v>0</v>
      </c>
      <c r="BK617" s="129">
        <f t="shared" si="442"/>
        <v>0</v>
      </c>
      <c r="BL617" s="129" t="str">
        <f t="shared" si="471"/>
        <v>CONVICTION</v>
      </c>
      <c r="BM617" s="129" t="str">
        <f t="shared" si="447"/>
        <v>NONE</v>
      </c>
      <c r="BN617" s="129" t="s">
        <v>566</v>
      </c>
      <c r="BP617" s="137" t="str">
        <f t="shared" si="448"/>
        <v>CONVICTION</v>
      </c>
      <c r="BQ617" s="128" t="str">
        <f t="shared" si="449"/>
        <v>Y</v>
      </c>
      <c r="BR617" s="129" t="str">
        <f t="shared" si="450"/>
        <v>DETAINED</v>
      </c>
      <c r="BS617" s="129" t="str">
        <f t="shared" si="451"/>
        <v>DISPOSED</v>
      </c>
      <c r="BT617" s="129" t="str">
        <f t="shared" si="452"/>
        <v>N</v>
      </c>
      <c r="BU617" s="109">
        <f t="shared" si="453"/>
        <v>1</v>
      </c>
      <c r="BV617" s="109">
        <f t="shared" si="454"/>
        <v>1</v>
      </c>
      <c r="BW617" s="109">
        <f t="shared" si="481"/>
        <v>0</v>
      </c>
      <c r="BX617" s="111">
        <f t="shared" si="456"/>
        <v>0</v>
      </c>
      <c r="BY617" s="129">
        <f t="shared" si="457"/>
        <v>-2</v>
      </c>
      <c r="BZ617" s="111">
        <f t="shared" si="458"/>
        <v>0</v>
      </c>
      <c r="CA617" s="138">
        <f t="shared" si="459"/>
        <v>2</v>
      </c>
      <c r="CB617" s="111" t="e">
        <f t="shared" si="482"/>
        <v>#VALUE!</v>
      </c>
      <c r="CC617" s="129">
        <f>G617-I617+1</f>
        <v>2</v>
      </c>
      <c r="CD617" s="129">
        <f>G617-J617</f>
        <v>0</v>
      </c>
      <c r="CE617" s="129">
        <f t="shared" si="460"/>
        <v>0</v>
      </c>
      <c r="CG617" s="129" t="str">
        <f t="shared" si="461"/>
        <v>Y</v>
      </c>
      <c r="CI617" s="129" t="str">
        <f t="shared" si="462"/>
        <v>0-10 DAYS</v>
      </c>
      <c r="CJ617" s="137">
        <f t="shared" si="463"/>
        <v>1</v>
      </c>
      <c r="CK617" s="129" t="str">
        <f t="shared" si="464"/>
        <v>Booked</v>
      </c>
    </row>
    <row r="618" spans="1:89" ht="15" customHeight="1" x14ac:dyDescent="0.25">
      <c r="A618" s="111">
        <v>957</v>
      </c>
      <c r="B618" s="128" t="str">
        <f t="shared" si="443"/>
        <v>N</v>
      </c>
      <c r="C618" s="128" t="str">
        <f t="shared" si="444"/>
        <v>N</v>
      </c>
      <c r="D618" s="117">
        <v>1365757</v>
      </c>
      <c r="E618" s="135">
        <f t="shared" si="445"/>
        <v>6</v>
      </c>
      <c r="F618" s="124">
        <v>40943</v>
      </c>
      <c r="G618" s="125">
        <v>41068</v>
      </c>
      <c r="H618" s="117">
        <v>1365757</v>
      </c>
      <c r="I618" s="124">
        <v>40944</v>
      </c>
      <c r="J618" s="124">
        <v>40944</v>
      </c>
      <c r="K618" s="126">
        <v>5000</v>
      </c>
      <c r="L618" s="127" t="s">
        <v>569</v>
      </c>
      <c r="M618" s="125">
        <v>40944</v>
      </c>
      <c r="N618" s="129" t="str">
        <f t="shared" si="479"/>
        <v>Y</v>
      </c>
      <c r="O618" s="128" t="s">
        <v>585</v>
      </c>
      <c r="P618" s="129" t="s">
        <v>39</v>
      </c>
      <c r="Q618" s="111">
        <f t="shared" si="474"/>
        <v>1</v>
      </c>
      <c r="R618" s="111">
        <f t="shared" si="439"/>
        <v>126</v>
      </c>
      <c r="S618" s="129">
        <v>0</v>
      </c>
      <c r="T618" s="129">
        <v>2</v>
      </c>
      <c r="W618" s="111"/>
      <c r="AB618" s="131" t="s">
        <v>112</v>
      </c>
      <c r="AC618" s="130"/>
      <c r="AD618" s="130">
        <v>22061</v>
      </c>
      <c r="AE618" s="128" t="s">
        <v>32</v>
      </c>
      <c r="AF618" s="128" t="s">
        <v>40</v>
      </c>
      <c r="AG618" s="128" t="s">
        <v>41</v>
      </c>
      <c r="AH618" s="108" t="s">
        <v>31</v>
      </c>
      <c r="AI618" s="128" t="s">
        <v>34</v>
      </c>
      <c r="AJ618" s="129" t="s">
        <v>89</v>
      </c>
      <c r="AK618" s="129">
        <v>5</v>
      </c>
      <c r="AL618" s="3" t="s">
        <v>362</v>
      </c>
      <c r="AM618" s="117">
        <v>5</v>
      </c>
      <c r="AP618" s="129" t="s">
        <v>66</v>
      </c>
      <c r="AR618" s="128" t="s">
        <v>67</v>
      </c>
      <c r="AS618" s="129" t="s">
        <v>68</v>
      </c>
      <c r="BC618" s="129" t="s">
        <v>52</v>
      </c>
      <c r="BF618" s="111">
        <f t="shared" si="480"/>
        <v>1</v>
      </c>
      <c r="BG618" s="111">
        <f t="shared" si="478"/>
        <v>125</v>
      </c>
      <c r="BH618" s="111">
        <f t="shared" si="440"/>
        <v>126</v>
      </c>
      <c r="BI618" s="111">
        <f t="shared" si="441"/>
        <v>51.590163934426229</v>
      </c>
      <c r="BJ618" s="129">
        <f>(G618-J618)+(M618-G618)</f>
        <v>0</v>
      </c>
      <c r="BK618" s="129">
        <f t="shared" si="442"/>
        <v>-124</v>
      </c>
      <c r="BL618" s="129" t="str">
        <f t="shared" si="471"/>
        <v>CONVICTION</v>
      </c>
      <c r="BM618" s="129" t="s">
        <v>76</v>
      </c>
      <c r="BN618" s="129" t="s">
        <v>88</v>
      </c>
      <c r="BP618" s="137" t="str">
        <f t="shared" si="448"/>
        <v>CONVICTION</v>
      </c>
      <c r="BQ618" s="128" t="str">
        <f t="shared" si="449"/>
        <v>Y</v>
      </c>
      <c r="BR618" s="129" t="str">
        <f>IF(J618&lt;G618,"ON BOND",0)</f>
        <v>ON BOND</v>
      </c>
      <c r="BS618" s="129" t="str">
        <f t="shared" si="451"/>
        <v>DISPOSED</v>
      </c>
      <c r="BT618" s="129" t="str">
        <f t="shared" si="452"/>
        <v>N</v>
      </c>
      <c r="BU618" s="109">
        <f t="shared" si="453"/>
        <v>7.9365079365079361E-3</v>
      </c>
      <c r="BV618" s="109">
        <f t="shared" si="454"/>
        <v>8.0000000000000002E-3</v>
      </c>
      <c r="BW618" s="109">
        <f t="shared" si="481"/>
        <v>6.3492063492064099E-5</v>
      </c>
      <c r="BX618" s="111">
        <f t="shared" si="456"/>
        <v>0</v>
      </c>
      <c r="BY618" s="129">
        <f t="shared" si="457"/>
        <v>-1</v>
      </c>
      <c r="BZ618" s="111">
        <f t="shared" si="458"/>
        <v>0</v>
      </c>
      <c r="CA618" s="138">
        <f t="shared" si="459"/>
        <v>1</v>
      </c>
      <c r="CB618" s="111" t="e">
        <f t="shared" si="482"/>
        <v>#VALUE!</v>
      </c>
      <c r="CC618" s="129">
        <f>M618-I618+1</f>
        <v>1</v>
      </c>
      <c r="CD618" s="111">
        <f>CC618-BF618</f>
        <v>0</v>
      </c>
      <c r="CE618" s="129">
        <f t="shared" si="460"/>
        <v>124</v>
      </c>
      <c r="CG618" s="129" t="str">
        <f t="shared" si="461"/>
        <v>Y</v>
      </c>
      <c r="CI618" s="129" t="str">
        <f t="shared" si="462"/>
        <v>0-10 DAYS</v>
      </c>
      <c r="CJ618" s="137">
        <f t="shared" si="463"/>
        <v>1</v>
      </c>
      <c r="CK618" s="129" t="str">
        <f t="shared" si="464"/>
        <v>Booked</v>
      </c>
    </row>
    <row r="619" spans="1:89" ht="15" customHeight="1" x14ac:dyDescent="0.25">
      <c r="A619" s="111">
        <v>1195</v>
      </c>
      <c r="B619" s="128" t="str">
        <f t="shared" si="443"/>
        <v>N</v>
      </c>
      <c r="C619" s="128" t="str">
        <f t="shared" si="444"/>
        <v>N</v>
      </c>
      <c r="D619" s="117">
        <v>1366229</v>
      </c>
      <c r="E619" s="135">
        <f t="shared" si="445"/>
        <v>5</v>
      </c>
      <c r="F619" s="124">
        <v>40952</v>
      </c>
      <c r="G619" s="125">
        <v>40980</v>
      </c>
      <c r="H619" s="117">
        <v>1366229</v>
      </c>
      <c r="I619" s="124">
        <v>40952</v>
      </c>
      <c r="J619" s="124">
        <v>40980</v>
      </c>
      <c r="K619" s="126">
        <v>15000</v>
      </c>
      <c r="L619" s="127" t="s">
        <v>571</v>
      </c>
      <c r="N619" s="129" t="str">
        <f t="shared" si="479"/>
        <v>N</v>
      </c>
      <c r="O619" s="128" t="s">
        <v>917</v>
      </c>
      <c r="P619" s="129" t="s">
        <v>39</v>
      </c>
      <c r="Q619" s="111">
        <f t="shared" si="474"/>
        <v>29</v>
      </c>
      <c r="R619" s="111">
        <f t="shared" si="439"/>
        <v>29</v>
      </c>
      <c r="S619" s="129">
        <v>7</v>
      </c>
      <c r="T619" s="129">
        <v>12</v>
      </c>
      <c r="U619" s="129">
        <v>4</v>
      </c>
      <c r="W619" s="111"/>
      <c r="AC619" s="130"/>
      <c r="AD619" s="130">
        <v>27834</v>
      </c>
      <c r="AE619" s="128" t="s">
        <v>32</v>
      </c>
      <c r="AF619" s="128" t="s">
        <v>33</v>
      </c>
      <c r="AG619" s="128" t="s">
        <v>872</v>
      </c>
      <c r="AH619" s="108" t="s">
        <v>58</v>
      </c>
      <c r="AI619" s="128" t="s">
        <v>90</v>
      </c>
      <c r="AJ619" s="129" t="s">
        <v>89</v>
      </c>
      <c r="AK619" s="129">
        <v>3</v>
      </c>
      <c r="AL619" s="3" t="s">
        <v>992</v>
      </c>
      <c r="AN619" s="117">
        <v>6</v>
      </c>
      <c r="AP619" s="129" t="s">
        <v>108</v>
      </c>
      <c r="AR619" s="128" t="s">
        <v>44</v>
      </c>
      <c r="AS619" s="129" t="s">
        <v>61</v>
      </c>
      <c r="BC619" s="129" t="s">
        <v>38</v>
      </c>
      <c r="BF619" s="111">
        <f t="shared" si="480"/>
        <v>29</v>
      </c>
      <c r="BG619" s="111">
        <f t="shared" si="478"/>
        <v>29</v>
      </c>
      <c r="BH619" s="111">
        <f t="shared" si="440"/>
        <v>29</v>
      </c>
      <c r="BI619" s="111">
        <f t="shared" si="441"/>
        <v>35.841530054644807</v>
      </c>
      <c r="BJ619" s="129">
        <f t="shared" si="446"/>
        <v>0</v>
      </c>
      <c r="BK619" s="129">
        <f t="shared" si="442"/>
        <v>0</v>
      </c>
      <c r="BL619" s="129" t="str">
        <f t="shared" si="471"/>
        <v>CONVICTION</v>
      </c>
      <c r="BM619" s="129" t="str">
        <f t="shared" si="447"/>
        <v>NONE</v>
      </c>
      <c r="BN619" s="129" t="s">
        <v>566</v>
      </c>
      <c r="BP619" s="137" t="str">
        <f t="shared" si="448"/>
        <v>CONVICTION</v>
      </c>
      <c r="BQ619" s="128" t="str">
        <f t="shared" si="449"/>
        <v>Y</v>
      </c>
      <c r="BR619" s="129" t="str">
        <f t="shared" si="450"/>
        <v>DETAINED</v>
      </c>
      <c r="BS619" s="129" t="str">
        <f t="shared" si="451"/>
        <v>DISPOSED</v>
      </c>
      <c r="BT619" s="129" t="str">
        <f t="shared" si="452"/>
        <v>Y</v>
      </c>
      <c r="BU619" s="109">
        <f t="shared" si="453"/>
        <v>1</v>
      </c>
      <c r="BV619" s="109">
        <f t="shared" si="454"/>
        <v>1</v>
      </c>
      <c r="BW619" s="109">
        <f t="shared" si="481"/>
        <v>0</v>
      </c>
      <c r="BX619" s="111">
        <f t="shared" si="456"/>
        <v>0</v>
      </c>
      <c r="BY619" s="129">
        <f t="shared" si="457"/>
        <v>-29</v>
      </c>
      <c r="BZ619" s="111">
        <f t="shared" si="458"/>
        <v>0</v>
      </c>
      <c r="CA619" s="138">
        <f t="shared" si="459"/>
        <v>29</v>
      </c>
      <c r="CB619" s="111" t="e">
        <f t="shared" si="482"/>
        <v>#VALUE!</v>
      </c>
      <c r="CC619" s="129">
        <f>G619-I619+1</f>
        <v>29</v>
      </c>
      <c r="CD619" s="129">
        <f>G619-J619</f>
        <v>0</v>
      </c>
      <c r="CE619" s="129">
        <f t="shared" si="460"/>
        <v>0</v>
      </c>
      <c r="CG619" s="129" t="str">
        <f t="shared" si="461"/>
        <v>Y</v>
      </c>
      <c r="CI619" s="129" t="str">
        <f t="shared" si="462"/>
        <v>11-30 DAYS</v>
      </c>
      <c r="CJ619" s="137">
        <f t="shared" si="463"/>
        <v>2</v>
      </c>
      <c r="CK619" s="129" t="str">
        <f t="shared" si="464"/>
        <v>Booked</v>
      </c>
    </row>
    <row r="620" spans="1:89" ht="15.75" customHeight="1" x14ac:dyDescent="0.25">
      <c r="A620" s="111">
        <v>3170</v>
      </c>
      <c r="B620" s="128" t="str">
        <f t="shared" si="443"/>
        <v>N</v>
      </c>
      <c r="C620" s="128" t="str">
        <f t="shared" si="444"/>
        <v>N</v>
      </c>
      <c r="D620" s="117">
        <v>1366976</v>
      </c>
      <c r="E620" s="135">
        <f t="shared" si="445"/>
        <v>6</v>
      </c>
      <c r="F620" s="124">
        <v>41025</v>
      </c>
      <c r="G620" s="125">
        <v>41305</v>
      </c>
      <c r="H620" s="117">
        <v>1366976</v>
      </c>
      <c r="I620" s="124">
        <v>41026</v>
      </c>
      <c r="J620" s="125">
        <v>41305</v>
      </c>
      <c r="K620" s="126">
        <v>20000</v>
      </c>
      <c r="L620" s="127" t="s">
        <v>571</v>
      </c>
      <c r="N620" s="129" t="str">
        <f t="shared" si="479"/>
        <v>N</v>
      </c>
      <c r="O620" s="128" t="s">
        <v>917</v>
      </c>
      <c r="P620" s="129" t="s">
        <v>666</v>
      </c>
      <c r="Q620" s="111">
        <f t="shared" si="474"/>
        <v>280</v>
      </c>
      <c r="R620" s="111">
        <f t="shared" si="439"/>
        <v>281</v>
      </c>
      <c r="S620" s="129">
        <v>6</v>
      </c>
      <c r="T620" s="129">
        <v>3</v>
      </c>
      <c r="U620" s="129">
        <v>3</v>
      </c>
      <c r="W620" s="111"/>
      <c r="AC620" s="130"/>
      <c r="AD620" s="130">
        <v>27657</v>
      </c>
      <c r="AE620" s="128" t="s">
        <v>32</v>
      </c>
      <c r="AF620" s="128" t="s">
        <v>33</v>
      </c>
      <c r="AG620" s="128" t="s">
        <v>872</v>
      </c>
      <c r="AH620" s="108" t="s">
        <v>31</v>
      </c>
      <c r="AI620" s="128" t="s">
        <v>100</v>
      </c>
      <c r="AJ620" s="129" t="s">
        <v>89</v>
      </c>
      <c r="AK620" s="129">
        <v>9</v>
      </c>
      <c r="AL620" s="3" t="s">
        <v>362</v>
      </c>
      <c r="AM620" s="117">
        <v>5</v>
      </c>
      <c r="AP620" s="129" t="s">
        <v>81</v>
      </c>
      <c r="AR620" s="128" t="s">
        <v>50</v>
      </c>
      <c r="AS620" s="129" t="s">
        <v>82</v>
      </c>
      <c r="BC620" s="129" t="s">
        <v>52</v>
      </c>
      <c r="BF620" s="111">
        <f t="shared" si="480"/>
        <v>280</v>
      </c>
      <c r="BG620" s="111">
        <f t="shared" si="478"/>
        <v>280</v>
      </c>
      <c r="BH620" s="111">
        <f t="shared" si="440"/>
        <v>281</v>
      </c>
      <c r="BI620" s="111">
        <f t="shared" si="441"/>
        <v>36.524590163934427</v>
      </c>
      <c r="BJ620" s="129">
        <f t="shared" si="446"/>
        <v>0</v>
      </c>
      <c r="BK620" s="129">
        <f t="shared" si="442"/>
        <v>0</v>
      </c>
      <c r="BL620" s="129" t="str">
        <f t="shared" si="471"/>
        <v>CONVICTION</v>
      </c>
      <c r="BM620" s="129" t="str">
        <f t="shared" si="447"/>
        <v>NONE</v>
      </c>
      <c r="BN620" s="129" t="s">
        <v>566</v>
      </c>
      <c r="BP620" s="137" t="str">
        <f t="shared" si="448"/>
        <v>CONVICTION</v>
      </c>
      <c r="BQ620" s="128" t="str">
        <f t="shared" si="449"/>
        <v>Y</v>
      </c>
      <c r="BR620" s="129" t="str">
        <f t="shared" si="450"/>
        <v>DETAINED</v>
      </c>
      <c r="BS620" s="129" t="str">
        <f t="shared" si="451"/>
        <v>DISPOSED</v>
      </c>
      <c r="BT620" s="129" t="str">
        <f t="shared" si="452"/>
        <v>Y</v>
      </c>
      <c r="BU620" s="109">
        <f t="shared" si="453"/>
        <v>0.99644128113879005</v>
      </c>
      <c r="BV620" s="109">
        <f t="shared" si="454"/>
        <v>1</v>
      </c>
      <c r="BW620" s="109">
        <f t="shared" si="481"/>
        <v>3.558718861209953E-3</v>
      </c>
      <c r="BX620" s="111">
        <f t="shared" si="456"/>
        <v>0</v>
      </c>
      <c r="BY620" s="129">
        <f t="shared" si="457"/>
        <v>-280</v>
      </c>
      <c r="BZ620" s="111">
        <f t="shared" si="458"/>
        <v>0</v>
      </c>
      <c r="CA620" s="138">
        <f t="shared" si="459"/>
        <v>280</v>
      </c>
      <c r="CB620" s="111" t="e">
        <f t="shared" si="482"/>
        <v>#VALUE!</v>
      </c>
      <c r="CC620" s="129">
        <f>G620-I620+1</f>
        <v>280</v>
      </c>
      <c r="CD620" s="129">
        <f>G620-J620</f>
        <v>0</v>
      </c>
      <c r="CE620" s="129">
        <f t="shared" si="460"/>
        <v>0</v>
      </c>
      <c r="CG620" s="129" t="str">
        <f t="shared" si="461"/>
        <v>Y</v>
      </c>
      <c r="CI620" s="129" t="str">
        <f t="shared" si="462"/>
        <v>121-365 DAYS</v>
      </c>
      <c r="CJ620" s="137">
        <f t="shared" si="463"/>
        <v>6</v>
      </c>
      <c r="CK620" s="129" t="str">
        <f t="shared" si="464"/>
        <v>Booked</v>
      </c>
    </row>
    <row r="621" spans="1:89" ht="15" customHeight="1" x14ac:dyDescent="0.25">
      <c r="A621" s="111">
        <v>2740</v>
      </c>
      <c r="B621" s="128" t="str">
        <f t="shared" si="443"/>
        <v>N</v>
      </c>
      <c r="C621" s="128" t="str">
        <f t="shared" si="444"/>
        <v>N</v>
      </c>
      <c r="D621" s="117">
        <v>1367198</v>
      </c>
      <c r="E621" s="135">
        <f t="shared" si="445"/>
        <v>4</v>
      </c>
      <c r="F621" s="124">
        <v>41010</v>
      </c>
      <c r="G621" s="125">
        <v>41108</v>
      </c>
      <c r="H621" s="117">
        <v>1367198</v>
      </c>
      <c r="I621" s="124">
        <v>41011</v>
      </c>
      <c r="J621" s="124">
        <v>41108</v>
      </c>
      <c r="K621" s="126">
        <v>10000</v>
      </c>
      <c r="L621" s="127" t="s">
        <v>570</v>
      </c>
      <c r="N621" s="129" t="str">
        <f t="shared" si="479"/>
        <v>N</v>
      </c>
      <c r="O621" s="128" t="s">
        <v>917</v>
      </c>
      <c r="P621" s="129" t="s">
        <v>39</v>
      </c>
      <c r="Q621" s="111">
        <f t="shared" si="474"/>
        <v>98</v>
      </c>
      <c r="R621" s="111">
        <f t="shared" si="439"/>
        <v>99</v>
      </c>
      <c r="S621" s="129">
        <v>10</v>
      </c>
      <c r="T621" s="129">
        <v>7</v>
      </c>
      <c r="U621" s="129">
        <v>5</v>
      </c>
      <c r="W621" s="111"/>
      <c r="AC621" s="130"/>
      <c r="AD621" s="130">
        <v>28019</v>
      </c>
      <c r="AE621" s="128" t="s">
        <v>32</v>
      </c>
      <c r="AF621" s="128" t="s">
        <v>33</v>
      </c>
      <c r="AG621" s="128" t="s">
        <v>872</v>
      </c>
      <c r="AH621" s="108" t="s">
        <v>58</v>
      </c>
      <c r="AI621" s="128" t="s">
        <v>97</v>
      </c>
      <c r="AJ621" s="129" t="s">
        <v>89</v>
      </c>
      <c r="AK621" s="129">
        <v>6</v>
      </c>
      <c r="AL621" s="3" t="s">
        <v>991</v>
      </c>
      <c r="AO621" s="128">
        <v>300</v>
      </c>
      <c r="AP621" s="129" t="s">
        <v>101</v>
      </c>
      <c r="AR621" s="128" t="s">
        <v>67</v>
      </c>
      <c r="AS621" s="129" t="s">
        <v>64</v>
      </c>
      <c r="BC621" s="129" t="s">
        <v>38</v>
      </c>
      <c r="BF621" s="111">
        <f t="shared" si="480"/>
        <v>98</v>
      </c>
      <c r="BG621" s="111">
        <f t="shared" si="478"/>
        <v>98</v>
      </c>
      <c r="BH621" s="111">
        <f t="shared" si="440"/>
        <v>99</v>
      </c>
      <c r="BI621" s="111">
        <f t="shared" si="441"/>
        <v>35.494535519125684</v>
      </c>
      <c r="BJ621" s="129">
        <f t="shared" si="446"/>
        <v>0</v>
      </c>
      <c r="BK621" s="129">
        <f t="shared" si="442"/>
        <v>0</v>
      </c>
      <c r="BL621" s="129" t="str">
        <f t="shared" si="471"/>
        <v>CONVICTION</v>
      </c>
      <c r="BM621" s="129" t="str">
        <f t="shared" si="447"/>
        <v>NONE</v>
      </c>
      <c r="BN621" s="129" t="s">
        <v>566</v>
      </c>
      <c r="BP621" s="137" t="str">
        <f t="shared" si="448"/>
        <v>CONVICTION</v>
      </c>
      <c r="BQ621" s="128" t="str">
        <f t="shared" si="449"/>
        <v>Y</v>
      </c>
      <c r="BR621" s="129" t="str">
        <f t="shared" si="450"/>
        <v>DETAINED</v>
      </c>
      <c r="BS621" s="129" t="str">
        <f t="shared" si="451"/>
        <v>DISPOSED</v>
      </c>
      <c r="BT621" s="129" t="str">
        <f t="shared" si="452"/>
        <v>Y</v>
      </c>
      <c r="BU621" s="109">
        <f t="shared" si="453"/>
        <v>0.98989898989898994</v>
      </c>
      <c r="BV621" s="109">
        <f t="shared" si="454"/>
        <v>1</v>
      </c>
      <c r="BW621" s="109">
        <f t="shared" si="481"/>
        <v>1.0101010101010055E-2</v>
      </c>
      <c r="BX621" s="111">
        <f t="shared" si="456"/>
        <v>0</v>
      </c>
      <c r="BY621" s="129">
        <f t="shared" si="457"/>
        <v>-98</v>
      </c>
      <c r="BZ621" s="111">
        <f t="shared" si="458"/>
        <v>0</v>
      </c>
      <c r="CA621" s="138">
        <f t="shared" si="459"/>
        <v>98</v>
      </c>
      <c r="CB621" s="111" t="e">
        <f t="shared" si="482"/>
        <v>#VALUE!</v>
      </c>
      <c r="CC621" s="129">
        <f>G621-I621+1</f>
        <v>98</v>
      </c>
      <c r="CD621" s="129">
        <f>G621-J621</f>
        <v>0</v>
      </c>
      <c r="CE621" s="129">
        <f t="shared" si="460"/>
        <v>0</v>
      </c>
      <c r="CG621" s="129" t="str">
        <f t="shared" si="461"/>
        <v>Y</v>
      </c>
      <c r="CI621" s="129" t="str">
        <f t="shared" si="462"/>
        <v>91-120 DAYS</v>
      </c>
      <c r="CJ621" s="137">
        <f t="shared" si="463"/>
        <v>0</v>
      </c>
      <c r="CK621" s="129" t="str">
        <f t="shared" si="464"/>
        <v>Booked</v>
      </c>
    </row>
    <row r="622" spans="1:89" ht="15.75" customHeight="1" x14ac:dyDescent="0.25">
      <c r="A622" s="111">
        <v>2239</v>
      </c>
      <c r="B622" s="128" t="str">
        <f t="shared" si="443"/>
        <v>N</v>
      </c>
      <c r="C622" s="128" t="str">
        <f t="shared" si="444"/>
        <v>N</v>
      </c>
      <c r="D622" s="117">
        <v>1369183</v>
      </c>
      <c r="E622" s="135">
        <f t="shared" si="445"/>
        <v>1</v>
      </c>
      <c r="F622" s="124">
        <v>40993</v>
      </c>
      <c r="G622" s="125">
        <v>41282</v>
      </c>
      <c r="H622" s="117">
        <v>1369183</v>
      </c>
      <c r="I622" s="124">
        <v>40993</v>
      </c>
      <c r="J622" s="124">
        <v>40995</v>
      </c>
      <c r="K622" s="126">
        <v>40000</v>
      </c>
      <c r="L622" s="129" t="s">
        <v>572</v>
      </c>
      <c r="M622" s="125">
        <v>40995</v>
      </c>
      <c r="N622" s="129" t="str">
        <f t="shared" si="479"/>
        <v>Y</v>
      </c>
      <c r="O622" s="128" t="s">
        <v>76</v>
      </c>
      <c r="P622" s="129" t="s">
        <v>55</v>
      </c>
      <c r="Q622" s="111">
        <f t="shared" si="474"/>
        <v>3</v>
      </c>
      <c r="R622" s="111">
        <f t="shared" si="439"/>
        <v>290</v>
      </c>
      <c r="S622" s="129">
        <v>3</v>
      </c>
      <c r="T622" s="129">
        <v>1</v>
      </c>
      <c r="U622" s="129">
        <v>2</v>
      </c>
      <c r="W622" s="111"/>
      <c r="AB622" s="131" t="s">
        <v>112</v>
      </c>
      <c r="AC622" s="130"/>
      <c r="AD622" s="130">
        <v>28113</v>
      </c>
      <c r="AE622" s="128" t="s">
        <v>32</v>
      </c>
      <c r="AF622" s="128" t="s">
        <v>40</v>
      </c>
      <c r="AG622" s="128" t="s">
        <v>41</v>
      </c>
      <c r="AH622" s="108" t="s">
        <v>31</v>
      </c>
      <c r="AI622" s="128" t="s">
        <v>95</v>
      </c>
      <c r="AJ622" s="129" t="s">
        <v>55</v>
      </c>
      <c r="AK622" s="129">
        <v>11</v>
      </c>
      <c r="AL622" s="3" t="s">
        <v>55</v>
      </c>
      <c r="AP622" s="129" t="s">
        <v>73</v>
      </c>
      <c r="AR622" s="128" t="s">
        <v>50</v>
      </c>
      <c r="AS622" s="129" t="s">
        <v>74</v>
      </c>
      <c r="BC622" s="129" t="s">
        <v>52</v>
      </c>
      <c r="BF622" s="111">
        <f t="shared" si="480"/>
        <v>3</v>
      </c>
      <c r="BG622" s="111">
        <f t="shared" si="478"/>
        <v>290</v>
      </c>
      <c r="BH622" s="111">
        <f t="shared" si="440"/>
        <v>290</v>
      </c>
      <c r="BI622" s="111">
        <f t="shared" si="441"/>
        <v>35.191256830601091</v>
      </c>
      <c r="BJ622" s="129">
        <f>(G622-J622)+(M622-G622)</f>
        <v>0</v>
      </c>
      <c r="BK622" s="129">
        <f t="shared" si="442"/>
        <v>-287</v>
      </c>
      <c r="BL622" s="129" t="str">
        <f t="shared" si="471"/>
        <v>NO CONVICTION</v>
      </c>
      <c r="BM622" s="129" t="s">
        <v>76</v>
      </c>
      <c r="BN622" s="129" t="s">
        <v>88</v>
      </c>
      <c r="BP622" s="137" t="str">
        <f t="shared" si="448"/>
        <v>NO CONVICTION</v>
      </c>
      <c r="BQ622" s="128" t="str">
        <f t="shared" si="449"/>
        <v>Y</v>
      </c>
      <c r="BR622" s="129" t="str">
        <f t="shared" si="450"/>
        <v>ON BOND</v>
      </c>
      <c r="BS622" s="129" t="str">
        <f t="shared" si="451"/>
        <v>DISPOSED</v>
      </c>
      <c r="BT622" s="129" t="str">
        <f t="shared" si="452"/>
        <v>Y</v>
      </c>
      <c r="BU622" s="109">
        <f>IFERROR(Q622/R622,BR622)</f>
        <v>1.0344827586206896E-2</v>
      </c>
      <c r="BV622" s="109">
        <f t="shared" si="454"/>
        <v>1.0344827586206896E-2</v>
      </c>
      <c r="BW622" s="109">
        <f t="shared" si="481"/>
        <v>0</v>
      </c>
      <c r="BX622" s="111">
        <f t="shared" si="456"/>
        <v>0</v>
      </c>
      <c r="BY622" s="129">
        <f t="shared" si="457"/>
        <v>-3</v>
      </c>
      <c r="BZ622" s="111">
        <f t="shared" si="458"/>
        <v>0</v>
      </c>
      <c r="CA622" s="138">
        <f t="shared" si="459"/>
        <v>3</v>
      </c>
      <c r="CB622" s="111" t="e">
        <f t="shared" si="482"/>
        <v>#VALUE!</v>
      </c>
      <c r="CC622" s="129">
        <f>M622-I622+1</f>
        <v>3</v>
      </c>
      <c r="CD622" s="111">
        <f>CC622-BF622</f>
        <v>0</v>
      </c>
      <c r="CE622" s="129">
        <f t="shared" si="460"/>
        <v>287</v>
      </c>
      <c r="CG622" s="129" t="str">
        <f t="shared" si="461"/>
        <v>Y</v>
      </c>
      <c r="CI622" s="129" t="str">
        <f t="shared" si="462"/>
        <v>0-10 DAYS</v>
      </c>
      <c r="CJ622" s="137">
        <f t="shared" si="463"/>
        <v>1</v>
      </c>
      <c r="CK622" s="129" t="str">
        <f t="shared" si="464"/>
        <v>Booked</v>
      </c>
    </row>
    <row r="623" spans="1:89" ht="15.75" customHeight="1" x14ac:dyDescent="0.25">
      <c r="A623" s="111">
        <v>2114</v>
      </c>
      <c r="B623" s="128" t="str">
        <f t="shared" si="443"/>
        <v>N</v>
      </c>
      <c r="C623" s="128" t="str">
        <f t="shared" si="444"/>
        <v>N</v>
      </c>
      <c r="D623" s="117">
        <v>1369803</v>
      </c>
      <c r="E623" s="135">
        <f t="shared" si="445"/>
        <v>5</v>
      </c>
      <c r="F623" s="124">
        <v>40988</v>
      </c>
      <c r="G623" s="125">
        <v>40989</v>
      </c>
      <c r="H623" s="117">
        <v>1369803</v>
      </c>
      <c r="I623" s="124">
        <v>40988</v>
      </c>
      <c r="J623" s="124">
        <v>40989</v>
      </c>
      <c r="K623" s="126">
        <v>15000</v>
      </c>
      <c r="L623" s="127" t="s">
        <v>571</v>
      </c>
      <c r="N623" s="129" t="str">
        <f t="shared" si="479"/>
        <v>N</v>
      </c>
      <c r="O623" s="128" t="s">
        <v>917</v>
      </c>
      <c r="P623" s="129" t="s">
        <v>39</v>
      </c>
      <c r="Q623" s="111">
        <f t="shared" si="474"/>
        <v>2</v>
      </c>
      <c r="R623" s="111">
        <f t="shared" si="439"/>
        <v>2</v>
      </c>
      <c r="S623" s="129">
        <v>9</v>
      </c>
      <c r="T623" s="129">
        <v>3</v>
      </c>
      <c r="U623" s="129">
        <v>6</v>
      </c>
      <c r="W623" s="111"/>
      <c r="AC623" s="130"/>
      <c r="AD623" s="130">
        <v>22856</v>
      </c>
      <c r="AE623" s="128" t="s">
        <v>32</v>
      </c>
      <c r="AF623" s="128" t="s">
        <v>33</v>
      </c>
      <c r="AG623" s="128" t="s">
        <v>872</v>
      </c>
      <c r="AH623" s="108" t="s">
        <v>58</v>
      </c>
      <c r="AI623" s="128" t="s">
        <v>71</v>
      </c>
      <c r="AJ623" s="129" t="s">
        <v>89</v>
      </c>
      <c r="AK623" s="129">
        <v>1</v>
      </c>
      <c r="AL623" s="3" t="s">
        <v>992</v>
      </c>
      <c r="AN623" s="117">
        <v>9</v>
      </c>
      <c r="AP623" s="129" t="s">
        <v>127</v>
      </c>
      <c r="AR623" s="128" t="s">
        <v>44</v>
      </c>
      <c r="AS623" s="129" t="s">
        <v>82</v>
      </c>
      <c r="BC623" s="129" t="s">
        <v>38</v>
      </c>
      <c r="BF623" s="111">
        <f t="shared" si="480"/>
        <v>2</v>
      </c>
      <c r="BG623" s="111">
        <f t="shared" si="478"/>
        <v>2</v>
      </c>
      <c r="BH623" s="111">
        <f t="shared" si="440"/>
        <v>2</v>
      </c>
      <c r="BI623" s="111">
        <f t="shared" si="441"/>
        <v>49.540983606557376</v>
      </c>
      <c r="BJ623" s="129">
        <f t="shared" si="446"/>
        <v>0</v>
      </c>
      <c r="BK623" s="129">
        <f t="shared" si="442"/>
        <v>0</v>
      </c>
      <c r="BL623" s="129" t="str">
        <f t="shared" si="471"/>
        <v>CONVICTION</v>
      </c>
      <c r="BM623" s="129" t="str">
        <f t="shared" si="447"/>
        <v>NONE</v>
      </c>
      <c r="BN623" s="129" t="s">
        <v>566</v>
      </c>
      <c r="BP623" s="137" t="str">
        <f t="shared" si="448"/>
        <v>CONVICTION</v>
      </c>
      <c r="BQ623" s="128" t="str">
        <f t="shared" si="449"/>
        <v>Y</v>
      </c>
      <c r="BR623" s="129" t="str">
        <f t="shared" si="450"/>
        <v>DETAINED</v>
      </c>
      <c r="BS623" s="129" t="str">
        <f t="shared" si="451"/>
        <v>DISPOSED</v>
      </c>
      <c r="BT623" s="129" t="str">
        <f t="shared" si="452"/>
        <v>Y</v>
      </c>
      <c r="BU623" s="109">
        <f t="shared" si="453"/>
        <v>1</v>
      </c>
      <c r="BV623" s="109">
        <f t="shared" si="454"/>
        <v>1</v>
      </c>
      <c r="BW623" s="109">
        <f t="shared" si="481"/>
        <v>0</v>
      </c>
      <c r="BX623" s="111">
        <f t="shared" si="456"/>
        <v>0</v>
      </c>
      <c r="BY623" s="129">
        <f t="shared" si="457"/>
        <v>-2</v>
      </c>
      <c r="BZ623" s="111">
        <f t="shared" si="458"/>
        <v>0</v>
      </c>
      <c r="CA623" s="138">
        <f t="shared" si="459"/>
        <v>2</v>
      </c>
      <c r="CB623" s="111" t="e">
        <f t="shared" si="482"/>
        <v>#VALUE!</v>
      </c>
      <c r="CC623" s="129">
        <f t="shared" ref="CC623:CC631" si="483">G623-I623+1</f>
        <v>2</v>
      </c>
      <c r="CD623" s="129">
        <f t="shared" ref="CD623:CD631" si="484">G623-J623</f>
        <v>0</v>
      </c>
      <c r="CE623" s="129">
        <f t="shared" si="460"/>
        <v>0</v>
      </c>
      <c r="CG623" s="129" t="str">
        <f t="shared" si="461"/>
        <v>Y</v>
      </c>
      <c r="CI623" s="129" t="str">
        <f t="shared" si="462"/>
        <v>0-10 DAYS</v>
      </c>
      <c r="CJ623" s="137">
        <f t="shared" si="463"/>
        <v>1</v>
      </c>
      <c r="CK623" s="129" t="str">
        <f t="shared" si="464"/>
        <v>Booked</v>
      </c>
    </row>
    <row r="624" spans="1:89" ht="15" customHeight="1" x14ac:dyDescent="0.25">
      <c r="A624" s="111">
        <v>1468</v>
      </c>
      <c r="B624" s="128" t="str">
        <f t="shared" si="443"/>
        <v>N</v>
      </c>
      <c r="C624" s="128" t="str">
        <f t="shared" si="444"/>
        <v>N</v>
      </c>
      <c r="D624" s="117">
        <v>1374093</v>
      </c>
      <c r="E624" s="135">
        <f t="shared" si="445"/>
        <v>5</v>
      </c>
      <c r="F624" s="124">
        <v>40962</v>
      </c>
      <c r="G624" s="125">
        <v>41050</v>
      </c>
      <c r="H624" s="117">
        <v>1374093</v>
      </c>
      <c r="I624" s="124">
        <v>40963</v>
      </c>
      <c r="J624" s="124">
        <v>41050</v>
      </c>
      <c r="K624" s="126">
        <v>15000</v>
      </c>
      <c r="L624" s="127" t="s">
        <v>571</v>
      </c>
      <c r="N624" s="129" t="str">
        <f t="shared" si="479"/>
        <v>N</v>
      </c>
      <c r="O624" s="128" t="s">
        <v>917</v>
      </c>
      <c r="P624" s="129" t="s">
        <v>39</v>
      </c>
      <c r="Q624" s="111">
        <f t="shared" si="474"/>
        <v>88</v>
      </c>
      <c r="R624" s="111">
        <f t="shared" si="439"/>
        <v>89</v>
      </c>
      <c r="S624" s="129">
        <v>5</v>
      </c>
      <c r="T624" s="129">
        <v>11</v>
      </c>
      <c r="U624" s="129">
        <v>5</v>
      </c>
      <c r="W624" s="111"/>
      <c r="AC624" s="130"/>
      <c r="AD624" s="130">
        <v>26440</v>
      </c>
      <c r="AE624" s="128" t="s">
        <v>32</v>
      </c>
      <c r="AF624" s="128" t="s">
        <v>69</v>
      </c>
      <c r="AG624" s="128" t="s">
        <v>874</v>
      </c>
      <c r="AH624" s="108" t="s">
        <v>31</v>
      </c>
      <c r="AI624" s="128" t="s">
        <v>47</v>
      </c>
      <c r="AJ624" s="129" t="s">
        <v>89</v>
      </c>
      <c r="AK624" s="129">
        <v>4</v>
      </c>
      <c r="AL624" s="3" t="s">
        <v>992</v>
      </c>
      <c r="AN624" s="117">
        <v>6</v>
      </c>
      <c r="AP624" s="129" t="s">
        <v>127</v>
      </c>
      <c r="AR624" s="128" t="s">
        <v>44</v>
      </c>
      <c r="AS624" s="129" t="s">
        <v>82</v>
      </c>
      <c r="BC624" s="129" t="s">
        <v>38</v>
      </c>
      <c r="BF624" s="111">
        <f t="shared" si="480"/>
        <v>88</v>
      </c>
      <c r="BG624" s="111">
        <f t="shared" si="478"/>
        <v>88</v>
      </c>
      <c r="BH624" s="111">
        <f t="shared" si="440"/>
        <v>89</v>
      </c>
      <c r="BI624" s="111">
        <f t="shared" si="441"/>
        <v>39.677595628415304</v>
      </c>
      <c r="BJ624" s="129">
        <f t="shared" si="446"/>
        <v>0</v>
      </c>
      <c r="BK624" s="129">
        <f t="shared" si="442"/>
        <v>0</v>
      </c>
      <c r="BL624" s="129" t="str">
        <f t="shared" si="471"/>
        <v>CONVICTION</v>
      </c>
      <c r="BM624" s="129" t="str">
        <f t="shared" si="447"/>
        <v>NONE</v>
      </c>
      <c r="BN624" s="129" t="s">
        <v>566</v>
      </c>
      <c r="BP624" s="137" t="str">
        <f t="shared" si="448"/>
        <v>CONVICTION</v>
      </c>
      <c r="BQ624" s="128" t="str">
        <f t="shared" si="449"/>
        <v>Y</v>
      </c>
      <c r="BR624" s="129" t="str">
        <f t="shared" si="450"/>
        <v>DETAINED</v>
      </c>
      <c r="BS624" s="129" t="str">
        <f t="shared" si="451"/>
        <v>DISPOSED</v>
      </c>
      <c r="BT624" s="129" t="str">
        <f t="shared" si="452"/>
        <v>Y</v>
      </c>
      <c r="BU624" s="109">
        <f t="shared" si="453"/>
        <v>0.9887640449438202</v>
      </c>
      <c r="BV624" s="109">
        <f t="shared" si="454"/>
        <v>1</v>
      </c>
      <c r="BW624" s="109">
        <f t="shared" si="481"/>
        <v>1.1235955056179803E-2</v>
      </c>
      <c r="BX624" s="111">
        <f t="shared" si="456"/>
        <v>0</v>
      </c>
      <c r="BY624" s="129">
        <f t="shared" si="457"/>
        <v>-88</v>
      </c>
      <c r="BZ624" s="111">
        <f t="shared" si="458"/>
        <v>0</v>
      </c>
      <c r="CA624" s="138">
        <f t="shared" si="459"/>
        <v>88</v>
      </c>
      <c r="CB624" s="111" t="e">
        <f t="shared" si="482"/>
        <v>#VALUE!</v>
      </c>
      <c r="CC624" s="129">
        <f t="shared" si="483"/>
        <v>88</v>
      </c>
      <c r="CD624" s="129">
        <f t="shared" si="484"/>
        <v>0</v>
      </c>
      <c r="CE624" s="129">
        <f t="shared" si="460"/>
        <v>0</v>
      </c>
      <c r="CG624" s="129" t="str">
        <f t="shared" si="461"/>
        <v>Y</v>
      </c>
      <c r="CI624" s="129" t="str">
        <f t="shared" si="462"/>
        <v>61-90 DAYS</v>
      </c>
      <c r="CJ624" s="137">
        <f t="shared" si="463"/>
        <v>4</v>
      </c>
      <c r="CK624" s="129" t="str">
        <f t="shared" si="464"/>
        <v>Booked</v>
      </c>
    </row>
    <row r="625" spans="1:89" ht="15" customHeight="1" x14ac:dyDescent="0.25">
      <c r="A625" s="111">
        <v>2702</v>
      </c>
      <c r="B625" s="128" t="str">
        <f t="shared" si="443"/>
        <v>N</v>
      </c>
      <c r="C625" s="128" t="str">
        <f t="shared" si="444"/>
        <v>N</v>
      </c>
      <c r="D625" s="117">
        <v>1374219</v>
      </c>
      <c r="E625" s="135">
        <f t="shared" si="445"/>
        <v>1</v>
      </c>
      <c r="F625" s="124">
        <v>41009</v>
      </c>
      <c r="G625" s="125">
        <v>41060</v>
      </c>
      <c r="H625" s="117">
        <v>1374219</v>
      </c>
      <c r="I625" s="124">
        <v>41009</v>
      </c>
      <c r="J625" s="124">
        <v>41060</v>
      </c>
      <c r="K625" s="126">
        <v>30000</v>
      </c>
      <c r="L625" s="129" t="s">
        <v>572</v>
      </c>
      <c r="N625" s="129" t="str">
        <f t="shared" si="479"/>
        <v>N</v>
      </c>
      <c r="O625" s="128" t="s">
        <v>917</v>
      </c>
      <c r="P625" s="129" t="s">
        <v>123</v>
      </c>
      <c r="Q625" s="111">
        <f t="shared" si="474"/>
        <v>52</v>
      </c>
      <c r="R625" s="111">
        <f t="shared" si="439"/>
        <v>52</v>
      </c>
      <c r="S625" s="129">
        <v>2</v>
      </c>
      <c r="T625" s="129">
        <v>4</v>
      </c>
      <c r="V625" s="117">
        <v>1</v>
      </c>
      <c r="W625" s="111"/>
      <c r="AC625" s="130"/>
      <c r="AD625" s="130">
        <v>27795</v>
      </c>
      <c r="AE625" s="128" t="s">
        <v>32</v>
      </c>
      <c r="AF625" s="128" t="s">
        <v>40</v>
      </c>
      <c r="AG625" s="128" t="s">
        <v>41</v>
      </c>
      <c r="AH625" s="108" t="s">
        <v>41</v>
      </c>
      <c r="AI625" s="128" t="s">
        <v>53</v>
      </c>
      <c r="AJ625" s="129" t="s">
        <v>123</v>
      </c>
      <c r="AK625" s="129">
        <v>4</v>
      </c>
      <c r="AL625" s="3" t="s">
        <v>123</v>
      </c>
      <c r="AP625" s="129" t="s">
        <v>73</v>
      </c>
      <c r="AR625" s="128" t="s">
        <v>50</v>
      </c>
      <c r="AS625" s="129" t="s">
        <v>74</v>
      </c>
      <c r="BC625" s="129" t="s">
        <v>38</v>
      </c>
      <c r="BF625" s="111">
        <f t="shared" si="480"/>
        <v>52</v>
      </c>
      <c r="BG625" s="111">
        <f t="shared" si="478"/>
        <v>52</v>
      </c>
      <c r="BH625" s="111">
        <f t="shared" si="440"/>
        <v>52</v>
      </c>
      <c r="BI625" s="111">
        <f t="shared" si="441"/>
        <v>36.103825136612024</v>
      </c>
      <c r="BJ625" s="129">
        <f t="shared" si="446"/>
        <v>0</v>
      </c>
      <c r="BK625" s="129">
        <f t="shared" si="442"/>
        <v>0</v>
      </c>
      <c r="BL625" s="129" t="str">
        <f t="shared" si="471"/>
        <v>NO CONVICTION</v>
      </c>
      <c r="BM625" s="129" t="str">
        <f t="shared" si="447"/>
        <v>NONE</v>
      </c>
      <c r="BN625" s="129" t="s">
        <v>566</v>
      </c>
      <c r="BP625" s="137" t="str">
        <f t="shared" si="448"/>
        <v>NO CONVICTION</v>
      </c>
      <c r="BQ625" s="128" t="str">
        <f t="shared" si="449"/>
        <v>Y</v>
      </c>
      <c r="BR625" s="129" t="str">
        <f t="shared" si="450"/>
        <v>DETAINED</v>
      </c>
      <c r="BS625" s="129" t="str">
        <f t="shared" si="451"/>
        <v>DISPOSED</v>
      </c>
      <c r="BT625" s="129" t="str">
        <f t="shared" si="452"/>
        <v>Y</v>
      </c>
      <c r="BU625" s="109">
        <f>IFERROR(Q625/R625,BR625)</f>
        <v>1</v>
      </c>
      <c r="BV625" s="109">
        <f t="shared" si="454"/>
        <v>1</v>
      </c>
      <c r="BW625" s="109">
        <f t="shared" si="481"/>
        <v>0</v>
      </c>
      <c r="BX625" s="111">
        <f t="shared" si="456"/>
        <v>0</v>
      </c>
      <c r="BY625" s="129">
        <f t="shared" si="457"/>
        <v>-52</v>
      </c>
      <c r="BZ625" s="111">
        <f t="shared" si="458"/>
        <v>0</v>
      </c>
      <c r="CA625" s="138">
        <f t="shared" si="459"/>
        <v>52</v>
      </c>
      <c r="CB625" s="111" t="e">
        <f t="shared" si="482"/>
        <v>#VALUE!</v>
      </c>
      <c r="CC625" s="129">
        <f t="shared" si="483"/>
        <v>52</v>
      </c>
      <c r="CD625" s="129">
        <f t="shared" si="484"/>
        <v>0</v>
      </c>
      <c r="CE625" s="129">
        <f t="shared" si="460"/>
        <v>0</v>
      </c>
      <c r="CG625" s="129" t="str">
        <f t="shared" si="461"/>
        <v>Y</v>
      </c>
      <c r="CI625" s="129" t="str">
        <f t="shared" si="462"/>
        <v>31-60 DAYS</v>
      </c>
      <c r="CJ625" s="137">
        <f t="shared" si="463"/>
        <v>3</v>
      </c>
      <c r="CK625" s="129" t="str">
        <f t="shared" si="464"/>
        <v>Booked</v>
      </c>
    </row>
    <row r="626" spans="1:89" ht="15.75" customHeight="1" x14ac:dyDescent="0.25">
      <c r="A626" s="111">
        <v>1745</v>
      </c>
      <c r="B626" s="128" t="str">
        <f t="shared" si="443"/>
        <v>N</v>
      </c>
      <c r="C626" s="128" t="str">
        <f t="shared" si="444"/>
        <v>N</v>
      </c>
      <c r="D626" s="117">
        <v>1374395</v>
      </c>
      <c r="E626" s="135">
        <f t="shared" si="445"/>
        <v>6</v>
      </c>
      <c r="F626" s="124">
        <v>40973</v>
      </c>
      <c r="G626" s="125">
        <v>41018</v>
      </c>
      <c r="H626" s="117">
        <v>1374395</v>
      </c>
      <c r="I626" s="124">
        <v>40974</v>
      </c>
      <c r="J626" s="124">
        <v>41018</v>
      </c>
      <c r="K626" s="126">
        <v>25000</v>
      </c>
      <c r="L626" s="129" t="s">
        <v>572</v>
      </c>
      <c r="N626" s="129" t="str">
        <f t="shared" si="479"/>
        <v>N</v>
      </c>
      <c r="O626" s="128" t="s">
        <v>917</v>
      </c>
      <c r="P626" s="129" t="s">
        <v>39</v>
      </c>
      <c r="Q626" s="111">
        <f t="shared" si="474"/>
        <v>45</v>
      </c>
      <c r="R626" s="111">
        <f t="shared" si="439"/>
        <v>46</v>
      </c>
      <c r="S626" s="129">
        <v>1</v>
      </c>
      <c r="T626" s="129">
        <v>1</v>
      </c>
      <c r="U626" s="129">
        <v>1</v>
      </c>
      <c r="W626" s="111"/>
      <c r="AC626" s="130"/>
      <c r="AD626" s="130">
        <v>27554</v>
      </c>
      <c r="AE626" s="128" t="s">
        <v>32</v>
      </c>
      <c r="AF626" s="128" t="s">
        <v>33</v>
      </c>
      <c r="AG626" s="128" t="s">
        <v>872</v>
      </c>
      <c r="AH626" s="108" t="s">
        <v>58</v>
      </c>
      <c r="AI626" s="128" t="s">
        <v>72</v>
      </c>
      <c r="AJ626" s="129" t="s">
        <v>89</v>
      </c>
      <c r="AK626" s="129">
        <v>2</v>
      </c>
      <c r="AL626" s="3" t="s">
        <v>362</v>
      </c>
      <c r="AM626" s="117">
        <v>5</v>
      </c>
      <c r="AP626" s="129" t="s">
        <v>137</v>
      </c>
      <c r="AR626" s="128" t="s">
        <v>67</v>
      </c>
      <c r="AS626" s="129" t="s">
        <v>64</v>
      </c>
      <c r="BC626" s="129" t="s">
        <v>38</v>
      </c>
      <c r="BF626" s="111">
        <f t="shared" si="480"/>
        <v>45</v>
      </c>
      <c r="BG626" s="111">
        <f t="shared" si="478"/>
        <v>45</v>
      </c>
      <c r="BH626" s="111">
        <f t="shared" si="440"/>
        <v>46</v>
      </c>
      <c r="BI626" s="111">
        <f t="shared" si="441"/>
        <v>36.66393442622951</v>
      </c>
      <c r="BJ626" s="129">
        <f t="shared" si="446"/>
        <v>0</v>
      </c>
      <c r="BK626" s="129">
        <f t="shared" si="442"/>
        <v>0</v>
      </c>
      <c r="BL626" s="129" t="str">
        <f t="shared" si="471"/>
        <v>CONVICTION</v>
      </c>
      <c r="BM626" s="129" t="str">
        <f t="shared" si="447"/>
        <v>NONE</v>
      </c>
      <c r="BN626" s="129" t="s">
        <v>566</v>
      </c>
      <c r="BP626" s="137" t="str">
        <f t="shared" si="448"/>
        <v>CONVICTION</v>
      </c>
      <c r="BQ626" s="128" t="str">
        <f t="shared" si="449"/>
        <v>Y</v>
      </c>
      <c r="BR626" s="129" t="str">
        <f t="shared" si="450"/>
        <v>DETAINED</v>
      </c>
      <c r="BS626" s="129" t="str">
        <f t="shared" si="451"/>
        <v>DISPOSED</v>
      </c>
      <c r="BT626" s="129" t="str">
        <f t="shared" si="452"/>
        <v>Y</v>
      </c>
      <c r="BU626" s="109">
        <f t="shared" si="453"/>
        <v>0.97826086956521741</v>
      </c>
      <c r="BV626" s="109">
        <f t="shared" si="454"/>
        <v>1</v>
      </c>
      <c r="BW626" s="109">
        <f t="shared" si="481"/>
        <v>2.1739130434782594E-2</v>
      </c>
      <c r="BX626" s="111">
        <f t="shared" si="456"/>
        <v>0</v>
      </c>
      <c r="BY626" s="129">
        <f t="shared" si="457"/>
        <v>-45</v>
      </c>
      <c r="BZ626" s="111">
        <f t="shared" si="458"/>
        <v>0</v>
      </c>
      <c r="CA626" s="138">
        <f t="shared" si="459"/>
        <v>45</v>
      </c>
      <c r="CB626" s="111" t="e">
        <f t="shared" si="482"/>
        <v>#VALUE!</v>
      </c>
      <c r="CC626" s="129">
        <f t="shared" si="483"/>
        <v>45</v>
      </c>
      <c r="CD626" s="129">
        <f t="shared" si="484"/>
        <v>0</v>
      </c>
      <c r="CE626" s="129">
        <f t="shared" si="460"/>
        <v>0</v>
      </c>
      <c r="CG626" s="129" t="str">
        <f t="shared" si="461"/>
        <v>Y</v>
      </c>
      <c r="CI626" s="129" t="str">
        <f t="shared" si="462"/>
        <v>31-60 DAYS</v>
      </c>
      <c r="CJ626" s="137">
        <f t="shared" si="463"/>
        <v>3</v>
      </c>
      <c r="CK626" s="129" t="str">
        <f t="shared" si="464"/>
        <v>Booked</v>
      </c>
    </row>
    <row r="627" spans="1:89" ht="15.75" customHeight="1" x14ac:dyDescent="0.25">
      <c r="A627" s="111">
        <v>2138</v>
      </c>
      <c r="B627" s="128" t="str">
        <f t="shared" si="443"/>
        <v>N</v>
      </c>
      <c r="C627" s="128" t="str">
        <f t="shared" si="444"/>
        <v>N</v>
      </c>
      <c r="D627" s="117">
        <v>1375314</v>
      </c>
      <c r="E627" s="135">
        <f t="shared" si="445"/>
        <v>6</v>
      </c>
      <c r="F627" s="124">
        <v>40989</v>
      </c>
      <c r="G627" s="125">
        <v>41136</v>
      </c>
      <c r="H627" s="117">
        <v>1375314</v>
      </c>
      <c r="I627" s="124">
        <v>40989</v>
      </c>
      <c r="J627" s="124">
        <v>41136</v>
      </c>
      <c r="K627" s="126" t="s">
        <v>564</v>
      </c>
      <c r="L627" s="127" t="s">
        <v>564</v>
      </c>
      <c r="N627" s="129" t="s">
        <v>566</v>
      </c>
      <c r="O627" s="128" t="s">
        <v>917</v>
      </c>
      <c r="P627" s="129" t="s">
        <v>39</v>
      </c>
      <c r="Q627" s="111">
        <f t="shared" si="474"/>
        <v>148</v>
      </c>
      <c r="R627" s="111">
        <f t="shared" si="439"/>
        <v>148</v>
      </c>
      <c r="S627" s="129">
        <v>3</v>
      </c>
      <c r="T627" s="129">
        <v>2</v>
      </c>
      <c r="U627" s="129">
        <v>3</v>
      </c>
      <c r="W627" s="111"/>
      <c r="AC627" s="130"/>
      <c r="AD627" s="130">
        <v>27990</v>
      </c>
      <c r="AE627" s="128" t="s">
        <v>32</v>
      </c>
      <c r="AF627" s="128" t="s">
        <v>33</v>
      </c>
      <c r="AG627" s="128" t="s">
        <v>872</v>
      </c>
      <c r="AH627" s="108" t="s">
        <v>58</v>
      </c>
      <c r="AI627" s="128" t="s">
        <v>80</v>
      </c>
      <c r="AJ627" s="129" t="s">
        <v>89</v>
      </c>
      <c r="AK627" s="129">
        <v>6</v>
      </c>
      <c r="AL627" s="3" t="s">
        <v>362</v>
      </c>
      <c r="AM627" s="117">
        <v>10</v>
      </c>
      <c r="AP627" s="129" t="s">
        <v>81</v>
      </c>
      <c r="AR627" s="128" t="s">
        <v>50</v>
      </c>
      <c r="AS627" s="129" t="s">
        <v>82</v>
      </c>
      <c r="BC627" s="129" t="s">
        <v>52</v>
      </c>
      <c r="BF627" s="111">
        <f t="shared" si="480"/>
        <v>148</v>
      </c>
      <c r="BG627" s="111">
        <f t="shared" si="478"/>
        <v>148</v>
      </c>
      <c r="BH627" s="111">
        <f t="shared" si="440"/>
        <v>148</v>
      </c>
      <c r="BI627" s="111">
        <f t="shared" si="441"/>
        <v>35.516393442622949</v>
      </c>
      <c r="BJ627" s="129">
        <f t="shared" si="446"/>
        <v>0</v>
      </c>
      <c r="BK627" s="129">
        <f t="shared" si="442"/>
        <v>0</v>
      </c>
      <c r="BL627" s="129" t="str">
        <f t="shared" si="471"/>
        <v>CONVICTION</v>
      </c>
      <c r="BM627" s="129" t="str">
        <f t="shared" si="447"/>
        <v>NONE</v>
      </c>
      <c r="BN627" s="129" t="s">
        <v>566</v>
      </c>
      <c r="BP627" s="137" t="str">
        <f t="shared" si="448"/>
        <v>CONVICTION</v>
      </c>
      <c r="BQ627" s="128" t="str">
        <f t="shared" si="449"/>
        <v>Y</v>
      </c>
      <c r="BR627" s="129" t="str">
        <f t="shared" si="450"/>
        <v>DETAINED</v>
      </c>
      <c r="BS627" s="129" t="str">
        <f t="shared" si="451"/>
        <v>DISPOSED</v>
      </c>
      <c r="BT627" s="129" t="str">
        <f t="shared" si="452"/>
        <v>Y</v>
      </c>
      <c r="BU627" s="109">
        <f t="shared" si="453"/>
        <v>1</v>
      </c>
      <c r="BV627" s="109">
        <f t="shared" si="454"/>
        <v>1</v>
      </c>
      <c r="BW627" s="109">
        <f t="shared" si="481"/>
        <v>0</v>
      </c>
      <c r="BX627" s="111">
        <f t="shared" si="456"/>
        <v>0</v>
      </c>
      <c r="BY627" s="129">
        <f t="shared" si="457"/>
        <v>-148</v>
      </c>
      <c r="BZ627" s="111">
        <f t="shared" si="458"/>
        <v>0</v>
      </c>
      <c r="CA627" s="138">
        <f t="shared" si="459"/>
        <v>148</v>
      </c>
      <c r="CB627" s="111" t="e">
        <f t="shared" si="482"/>
        <v>#VALUE!</v>
      </c>
      <c r="CC627" s="129">
        <f t="shared" si="483"/>
        <v>148</v>
      </c>
      <c r="CD627" s="129">
        <f t="shared" si="484"/>
        <v>0</v>
      </c>
      <c r="CE627" s="129">
        <f t="shared" si="460"/>
        <v>0</v>
      </c>
      <c r="CG627" s="129" t="str">
        <f t="shared" si="461"/>
        <v>Y</v>
      </c>
      <c r="CI627" s="129" t="str">
        <f t="shared" si="462"/>
        <v>121-365 DAYS</v>
      </c>
      <c r="CJ627" s="137">
        <f t="shared" si="463"/>
        <v>6</v>
      </c>
      <c r="CK627" s="129" t="str">
        <f t="shared" si="464"/>
        <v>Booked</v>
      </c>
    </row>
    <row r="628" spans="1:89" ht="15.75" customHeight="1" x14ac:dyDescent="0.25">
      <c r="A628" s="111">
        <v>1984</v>
      </c>
      <c r="B628" s="128" t="str">
        <f t="shared" si="443"/>
        <v>N</v>
      </c>
      <c r="C628" s="128" t="str">
        <f t="shared" si="444"/>
        <v>N</v>
      </c>
      <c r="D628" s="117">
        <v>1378508</v>
      </c>
      <c r="E628" s="135">
        <f t="shared" si="445"/>
        <v>4</v>
      </c>
      <c r="F628" s="124">
        <v>40983</v>
      </c>
      <c r="G628" s="125">
        <v>41102</v>
      </c>
      <c r="H628" s="117">
        <v>1378508</v>
      </c>
      <c r="I628" s="124">
        <v>40983</v>
      </c>
      <c r="J628" s="124">
        <v>41102</v>
      </c>
      <c r="K628" s="126" t="s">
        <v>564</v>
      </c>
      <c r="L628" s="127" t="s">
        <v>564</v>
      </c>
      <c r="N628" s="129" t="s">
        <v>566</v>
      </c>
      <c r="O628" s="128" t="s">
        <v>917</v>
      </c>
      <c r="P628" s="129" t="s">
        <v>39</v>
      </c>
      <c r="Q628" s="111">
        <f t="shared" si="474"/>
        <v>120</v>
      </c>
      <c r="R628" s="111">
        <f t="shared" si="439"/>
        <v>120</v>
      </c>
      <c r="S628" s="129">
        <v>0</v>
      </c>
      <c r="T628" s="129">
        <v>3</v>
      </c>
      <c r="W628" s="111"/>
      <c r="AC628" s="130"/>
      <c r="AD628" s="130">
        <v>26331</v>
      </c>
      <c r="AE628" s="128" t="s">
        <v>32</v>
      </c>
      <c r="AF628" s="128" t="s">
        <v>69</v>
      </c>
      <c r="AG628" s="128" t="s">
        <v>874</v>
      </c>
      <c r="AH628" s="108" t="s">
        <v>58</v>
      </c>
      <c r="AI628" s="128" t="s">
        <v>80</v>
      </c>
      <c r="AJ628" s="129" t="s">
        <v>89</v>
      </c>
      <c r="AK628" s="129">
        <v>5</v>
      </c>
      <c r="AL628" s="3" t="s">
        <v>991</v>
      </c>
      <c r="AO628" s="128">
        <v>365</v>
      </c>
      <c r="AP628" s="129" t="s">
        <v>150</v>
      </c>
      <c r="AR628" s="128" t="s">
        <v>67</v>
      </c>
      <c r="AS628" s="129" t="s">
        <v>74</v>
      </c>
      <c r="BC628" s="129" t="s">
        <v>52</v>
      </c>
      <c r="BF628" s="111">
        <f t="shared" si="480"/>
        <v>120</v>
      </c>
      <c r="BG628" s="111">
        <f t="shared" si="478"/>
        <v>120</v>
      </c>
      <c r="BH628" s="111">
        <f t="shared" si="440"/>
        <v>120</v>
      </c>
      <c r="BI628" s="111">
        <f t="shared" si="441"/>
        <v>40.032786885245905</v>
      </c>
      <c r="BJ628" s="129">
        <f t="shared" si="446"/>
        <v>0</v>
      </c>
      <c r="BK628" s="129">
        <f t="shared" si="442"/>
        <v>0</v>
      </c>
      <c r="BL628" s="129" t="str">
        <f t="shared" si="471"/>
        <v>CONVICTION</v>
      </c>
      <c r="BM628" s="129" t="str">
        <f t="shared" si="447"/>
        <v>NONE</v>
      </c>
      <c r="BN628" s="129" t="s">
        <v>566</v>
      </c>
      <c r="BP628" s="137" t="str">
        <f t="shared" si="448"/>
        <v>CONVICTION</v>
      </c>
      <c r="BQ628" s="128" t="str">
        <f t="shared" si="449"/>
        <v>Y</v>
      </c>
      <c r="BR628" s="129" t="str">
        <f t="shared" si="450"/>
        <v>DETAINED</v>
      </c>
      <c r="BS628" s="129" t="str">
        <f t="shared" si="451"/>
        <v>DISPOSED</v>
      </c>
      <c r="BT628" s="129" t="str">
        <f t="shared" si="452"/>
        <v>N</v>
      </c>
      <c r="BU628" s="109">
        <f t="shared" si="453"/>
        <v>1</v>
      </c>
      <c r="BV628" s="109">
        <f t="shared" si="454"/>
        <v>1</v>
      </c>
      <c r="BW628" s="109">
        <f t="shared" si="481"/>
        <v>0</v>
      </c>
      <c r="BX628" s="111">
        <f t="shared" si="456"/>
        <v>0</v>
      </c>
      <c r="BY628" s="129">
        <f t="shared" si="457"/>
        <v>-120</v>
      </c>
      <c r="BZ628" s="111">
        <f t="shared" si="458"/>
        <v>0</v>
      </c>
      <c r="CA628" s="138">
        <f t="shared" si="459"/>
        <v>120</v>
      </c>
      <c r="CB628" s="111" t="e">
        <f t="shared" si="482"/>
        <v>#VALUE!</v>
      </c>
      <c r="CC628" s="129">
        <f t="shared" si="483"/>
        <v>120</v>
      </c>
      <c r="CD628" s="129">
        <f t="shared" si="484"/>
        <v>0</v>
      </c>
      <c r="CE628" s="129">
        <f t="shared" si="460"/>
        <v>0</v>
      </c>
      <c r="CG628" s="129" t="str">
        <f t="shared" si="461"/>
        <v>Y</v>
      </c>
      <c r="CI628" s="129" t="str">
        <f t="shared" si="462"/>
        <v>91-120 DAYS</v>
      </c>
      <c r="CJ628" s="137">
        <f t="shared" si="463"/>
        <v>0</v>
      </c>
      <c r="CK628" s="129" t="str">
        <f t="shared" si="464"/>
        <v>Booked</v>
      </c>
    </row>
    <row r="629" spans="1:89" ht="15.75" customHeight="1" x14ac:dyDescent="0.25">
      <c r="A629" s="111">
        <v>198</v>
      </c>
      <c r="B629" s="128" t="str">
        <f t="shared" si="443"/>
        <v>N</v>
      </c>
      <c r="C629" s="128" t="str">
        <f t="shared" si="444"/>
        <v>N</v>
      </c>
      <c r="D629" s="117">
        <v>1379662</v>
      </c>
      <c r="E629" s="135">
        <f t="shared" si="445"/>
        <v>1</v>
      </c>
      <c r="F629" s="124">
        <v>40917</v>
      </c>
      <c r="G629" s="125">
        <v>41032</v>
      </c>
      <c r="H629" s="117">
        <v>1379662</v>
      </c>
      <c r="I629" s="124">
        <v>40917</v>
      </c>
      <c r="J629" s="124">
        <v>41032</v>
      </c>
      <c r="K629" s="126" t="s">
        <v>564</v>
      </c>
      <c r="L629" s="127" t="s">
        <v>564</v>
      </c>
      <c r="N629" s="129" t="s">
        <v>566</v>
      </c>
      <c r="O629" s="128" t="s">
        <v>917</v>
      </c>
      <c r="P629" s="129" t="s">
        <v>55</v>
      </c>
      <c r="Q629" s="111">
        <f t="shared" si="474"/>
        <v>116</v>
      </c>
      <c r="R629" s="111">
        <f t="shared" si="439"/>
        <v>116</v>
      </c>
      <c r="S629" s="129">
        <v>3</v>
      </c>
      <c r="T629" s="129">
        <v>2</v>
      </c>
      <c r="U629" s="129">
        <v>3</v>
      </c>
      <c r="W629" s="111"/>
      <c r="AC629" s="130"/>
      <c r="AD629" s="130">
        <v>28060</v>
      </c>
      <c r="AE629" s="128" t="s">
        <v>32</v>
      </c>
      <c r="AF629" s="128" t="s">
        <v>33</v>
      </c>
      <c r="AG629" s="128" t="s">
        <v>872</v>
      </c>
      <c r="AH629" s="108" t="s">
        <v>58</v>
      </c>
      <c r="AI629" s="128" t="s">
        <v>65</v>
      </c>
      <c r="AJ629" s="129" t="s">
        <v>55</v>
      </c>
      <c r="AK629" s="129">
        <v>7</v>
      </c>
      <c r="AL629" s="3" t="s">
        <v>55</v>
      </c>
      <c r="AP629" s="129" t="s">
        <v>110</v>
      </c>
      <c r="AR629" s="128" t="s">
        <v>50</v>
      </c>
      <c r="AS629" s="129" t="s">
        <v>74</v>
      </c>
      <c r="BC629" s="129" t="s">
        <v>38</v>
      </c>
      <c r="BF629" s="111">
        <f t="shared" si="480"/>
        <v>116</v>
      </c>
      <c r="BG629" s="111">
        <f t="shared" si="478"/>
        <v>116</v>
      </c>
      <c r="BH629" s="111">
        <f t="shared" si="440"/>
        <v>116</v>
      </c>
      <c r="BI629" s="111">
        <f t="shared" si="441"/>
        <v>35.12841530054645</v>
      </c>
      <c r="BJ629" s="129">
        <f t="shared" si="446"/>
        <v>0</v>
      </c>
      <c r="BK629" s="129">
        <f t="shared" si="442"/>
        <v>0</v>
      </c>
      <c r="BL629" s="129" t="str">
        <f t="shared" si="471"/>
        <v>NO CONVICTION</v>
      </c>
      <c r="BM629" s="129" t="str">
        <f t="shared" si="447"/>
        <v>NONE</v>
      </c>
      <c r="BN629" s="129" t="s">
        <v>566</v>
      </c>
      <c r="BP629" s="137" t="str">
        <f t="shared" si="448"/>
        <v>NO CONVICTION</v>
      </c>
      <c r="BQ629" s="128" t="str">
        <f t="shared" si="449"/>
        <v>Y</v>
      </c>
      <c r="BR629" s="129" t="str">
        <f t="shared" si="450"/>
        <v>DETAINED</v>
      </c>
      <c r="BS629" s="129" t="str">
        <f t="shared" si="451"/>
        <v>DISPOSED</v>
      </c>
      <c r="BT629" s="129" t="str">
        <f t="shared" si="452"/>
        <v>Y</v>
      </c>
      <c r="BU629" s="109">
        <f>IFERROR(Q629/R629,BR629)</f>
        <v>1</v>
      </c>
      <c r="BV629" s="109">
        <f t="shared" si="454"/>
        <v>1</v>
      </c>
      <c r="BW629" s="109">
        <f t="shared" si="481"/>
        <v>0</v>
      </c>
      <c r="BX629" s="111">
        <f t="shared" si="456"/>
        <v>0</v>
      </c>
      <c r="BY629" s="129">
        <f t="shared" si="457"/>
        <v>-116</v>
      </c>
      <c r="BZ629" s="111">
        <f t="shared" si="458"/>
        <v>0</v>
      </c>
      <c r="CA629" s="138">
        <f t="shared" si="459"/>
        <v>116</v>
      </c>
      <c r="CB629" s="111" t="e">
        <f t="shared" si="482"/>
        <v>#VALUE!</v>
      </c>
      <c r="CC629" s="129">
        <f t="shared" si="483"/>
        <v>116</v>
      </c>
      <c r="CD629" s="129">
        <f t="shared" si="484"/>
        <v>0</v>
      </c>
      <c r="CE629" s="129">
        <f t="shared" si="460"/>
        <v>0</v>
      </c>
      <c r="CG629" s="129" t="str">
        <f t="shared" si="461"/>
        <v>Y</v>
      </c>
      <c r="CI629" s="129" t="str">
        <f t="shared" si="462"/>
        <v>91-120 DAYS</v>
      </c>
      <c r="CJ629" s="137">
        <f t="shared" si="463"/>
        <v>0</v>
      </c>
      <c r="CK629" s="129" t="str">
        <f t="shared" si="464"/>
        <v>Booked</v>
      </c>
    </row>
    <row r="630" spans="1:89" ht="15" customHeight="1" x14ac:dyDescent="0.25">
      <c r="A630" s="111">
        <v>1606</v>
      </c>
      <c r="B630" s="128" t="str">
        <f t="shared" si="443"/>
        <v>N</v>
      </c>
      <c r="C630" s="128" t="str">
        <f t="shared" si="444"/>
        <v>N</v>
      </c>
      <c r="D630" s="117">
        <v>1380731</v>
      </c>
      <c r="E630" s="135">
        <f t="shared" si="445"/>
        <v>6</v>
      </c>
      <c r="F630" s="124">
        <v>40969</v>
      </c>
      <c r="G630" s="125">
        <v>41347</v>
      </c>
      <c r="H630" s="117">
        <v>1380731</v>
      </c>
      <c r="I630" s="124">
        <v>40969</v>
      </c>
      <c r="J630" s="125">
        <v>41347</v>
      </c>
      <c r="K630" s="126" t="s">
        <v>564</v>
      </c>
      <c r="L630" s="127" t="s">
        <v>564</v>
      </c>
      <c r="N630" s="129" t="s">
        <v>566</v>
      </c>
      <c r="O630" s="128" t="s">
        <v>917</v>
      </c>
      <c r="P630" s="129" t="s">
        <v>39</v>
      </c>
      <c r="Q630" s="111">
        <f t="shared" si="474"/>
        <v>379</v>
      </c>
      <c r="R630" s="111">
        <f t="shared" si="439"/>
        <v>379</v>
      </c>
      <c r="S630" s="129">
        <v>2</v>
      </c>
      <c r="T630" s="129">
        <v>4</v>
      </c>
      <c r="U630" s="129">
        <v>1</v>
      </c>
      <c r="V630" s="117">
        <v>1</v>
      </c>
      <c r="W630" s="111"/>
      <c r="AC630" s="130"/>
      <c r="AD630" s="130">
        <v>27572</v>
      </c>
      <c r="AE630" s="128" t="s">
        <v>32</v>
      </c>
      <c r="AF630" s="128" t="s">
        <v>33</v>
      </c>
      <c r="AG630" s="128" t="s">
        <v>872</v>
      </c>
      <c r="AH630" s="108" t="s">
        <v>58</v>
      </c>
      <c r="AI630" s="128" t="s">
        <v>42</v>
      </c>
      <c r="AJ630" s="129" t="s">
        <v>89</v>
      </c>
      <c r="AK630" s="129">
        <v>13</v>
      </c>
      <c r="AL630" s="3" t="s">
        <v>362</v>
      </c>
      <c r="AM630" s="117">
        <v>25</v>
      </c>
      <c r="AP630" s="129" t="s">
        <v>180</v>
      </c>
      <c r="AR630" s="128" t="s">
        <v>92</v>
      </c>
      <c r="AS630" s="129" t="s">
        <v>74</v>
      </c>
      <c r="BC630" s="129" t="s">
        <v>52</v>
      </c>
      <c r="BF630" s="111">
        <f t="shared" si="480"/>
        <v>379</v>
      </c>
      <c r="BG630" s="111">
        <f t="shared" si="478"/>
        <v>379</v>
      </c>
      <c r="BH630" s="111">
        <f t="shared" si="440"/>
        <v>379</v>
      </c>
      <c r="BI630" s="111">
        <f t="shared" si="441"/>
        <v>36.603825136612024</v>
      </c>
      <c r="BJ630" s="129">
        <f t="shared" si="446"/>
        <v>0</v>
      </c>
      <c r="BK630" s="129">
        <f t="shared" si="442"/>
        <v>0</v>
      </c>
      <c r="BL630" s="129" t="str">
        <f t="shared" si="471"/>
        <v>CONVICTION</v>
      </c>
      <c r="BM630" s="129" t="str">
        <f t="shared" si="447"/>
        <v>NONE</v>
      </c>
      <c r="BN630" s="129" t="s">
        <v>566</v>
      </c>
      <c r="BP630" s="137" t="str">
        <f t="shared" si="448"/>
        <v>CONVICTION</v>
      </c>
      <c r="BQ630" s="128" t="str">
        <f t="shared" si="449"/>
        <v>Y</v>
      </c>
      <c r="BR630" s="129" t="str">
        <f t="shared" si="450"/>
        <v>DETAINED</v>
      </c>
      <c r="BS630" s="129" t="str">
        <f t="shared" si="451"/>
        <v>DISPOSED</v>
      </c>
      <c r="BT630" s="129" t="str">
        <f t="shared" si="452"/>
        <v>Y</v>
      </c>
      <c r="BU630" s="109">
        <f t="shared" si="453"/>
        <v>1</v>
      </c>
      <c r="BV630" s="109">
        <f t="shared" si="454"/>
        <v>1</v>
      </c>
      <c r="BW630" s="109">
        <f t="shared" si="481"/>
        <v>0</v>
      </c>
      <c r="BX630" s="111">
        <f t="shared" si="456"/>
        <v>0</v>
      </c>
      <c r="BY630" s="129">
        <f t="shared" si="457"/>
        <v>-379</v>
      </c>
      <c r="BZ630" s="111">
        <f t="shared" si="458"/>
        <v>0</v>
      </c>
      <c r="CA630" s="138">
        <f t="shared" si="459"/>
        <v>379</v>
      </c>
      <c r="CB630" s="111" t="e">
        <f t="shared" si="482"/>
        <v>#VALUE!</v>
      </c>
      <c r="CC630" s="129">
        <f t="shared" si="483"/>
        <v>379</v>
      </c>
      <c r="CD630" s="129">
        <f t="shared" si="484"/>
        <v>0</v>
      </c>
      <c r="CE630" s="129">
        <f t="shared" si="460"/>
        <v>0</v>
      </c>
      <c r="CG630" s="129" t="str">
        <f t="shared" si="461"/>
        <v>Y</v>
      </c>
      <c r="CI630" s="129" t="str">
        <f t="shared" si="462"/>
        <v xml:space="preserve"> &gt;1YRS&lt;2YRS</v>
      </c>
      <c r="CJ630" s="137">
        <f t="shared" si="463"/>
        <v>0</v>
      </c>
      <c r="CK630" s="129" t="str">
        <f t="shared" si="464"/>
        <v>Booked</v>
      </c>
    </row>
    <row r="631" spans="1:89" ht="15" customHeight="1" x14ac:dyDescent="0.25">
      <c r="A631" s="111">
        <v>1624</v>
      </c>
      <c r="B631" s="128" t="str">
        <f t="shared" si="443"/>
        <v>N</v>
      </c>
      <c r="C631" s="128" t="str">
        <f t="shared" si="444"/>
        <v>Y</v>
      </c>
      <c r="D631" s="117">
        <v>1380859</v>
      </c>
      <c r="E631" s="135">
        <f t="shared" si="445"/>
        <v>2</v>
      </c>
      <c r="F631" s="124">
        <v>40969</v>
      </c>
      <c r="G631" s="125">
        <v>41148</v>
      </c>
      <c r="H631" s="117">
        <v>1380859</v>
      </c>
      <c r="I631" s="124">
        <v>40969</v>
      </c>
      <c r="J631" s="124">
        <v>41005</v>
      </c>
      <c r="K631" s="126">
        <v>20000</v>
      </c>
      <c r="L631" s="127" t="s">
        <v>571</v>
      </c>
      <c r="M631" s="125">
        <v>41005</v>
      </c>
      <c r="N631" s="129" t="str">
        <f t="shared" ref="N631:N648" si="485">IF(M631&gt;1/1/1,"Y","N")</f>
        <v>Y</v>
      </c>
      <c r="O631" s="128" t="s">
        <v>76</v>
      </c>
      <c r="P631" s="129" t="s">
        <v>589</v>
      </c>
      <c r="Q631" s="111">
        <v>141</v>
      </c>
      <c r="R631" s="111">
        <f t="shared" si="439"/>
        <v>180</v>
      </c>
      <c r="S631" s="129">
        <v>3</v>
      </c>
      <c r="T631" s="129">
        <v>10</v>
      </c>
      <c r="U631" s="129">
        <v>2</v>
      </c>
      <c r="V631" s="117">
        <v>1</v>
      </c>
      <c r="W631" s="111"/>
      <c r="AC631" s="130"/>
      <c r="AD631" s="130">
        <v>27623</v>
      </c>
      <c r="AE631" s="128" t="s">
        <v>32</v>
      </c>
      <c r="AF631" s="128" t="s">
        <v>40</v>
      </c>
      <c r="AG631" s="128" t="s">
        <v>41</v>
      </c>
      <c r="AH631" s="108" t="s">
        <v>41</v>
      </c>
      <c r="AI631" s="128" t="s">
        <v>87</v>
      </c>
      <c r="AJ631" s="129" t="s">
        <v>48</v>
      </c>
      <c r="AK631" s="129">
        <v>5</v>
      </c>
      <c r="AL631" s="3" t="s">
        <v>48</v>
      </c>
      <c r="AP631" s="129" t="s">
        <v>150</v>
      </c>
      <c r="AR631" s="128" t="s">
        <v>67</v>
      </c>
      <c r="AS631" s="129" t="s">
        <v>74</v>
      </c>
      <c r="AU631" s="3" t="s">
        <v>731</v>
      </c>
      <c r="AX631" s="32" t="s">
        <v>88</v>
      </c>
      <c r="BC631" s="129" t="s">
        <v>38</v>
      </c>
      <c r="BF631" s="111">
        <v>141</v>
      </c>
      <c r="BG631" s="111">
        <f t="shared" si="478"/>
        <v>180</v>
      </c>
      <c r="BH631" s="111">
        <f t="shared" si="440"/>
        <v>180</v>
      </c>
      <c r="BI631" s="111">
        <f t="shared" si="441"/>
        <v>36.464480874316941</v>
      </c>
      <c r="BJ631" s="129">
        <f>(G631-J631)+(M631-G631)</f>
        <v>0</v>
      </c>
      <c r="BK631" s="129">
        <f t="shared" si="442"/>
        <v>-143</v>
      </c>
      <c r="BL631" s="129" t="str">
        <f t="shared" si="471"/>
        <v>DEFERRED</v>
      </c>
      <c r="BM631" s="129" t="s">
        <v>76</v>
      </c>
      <c r="BN631" s="129" t="s">
        <v>88</v>
      </c>
      <c r="BP631" s="137" t="str">
        <f t="shared" si="448"/>
        <v>DEFERRED</v>
      </c>
      <c r="BQ631" s="128" t="str">
        <f t="shared" si="449"/>
        <v>Y</v>
      </c>
      <c r="BR631" s="129" t="s">
        <v>574</v>
      </c>
      <c r="BS631" s="129" t="str">
        <f t="shared" si="451"/>
        <v>DISPOSED</v>
      </c>
      <c r="BT631" s="129" t="str">
        <f t="shared" si="452"/>
        <v>Y</v>
      </c>
      <c r="BU631" s="109">
        <f>IFERROR(Q631/R631,BR631)</f>
        <v>0.78333333333333333</v>
      </c>
      <c r="BV631" s="109">
        <f t="shared" si="454"/>
        <v>0.20555555555555555</v>
      </c>
      <c r="BW631" s="109">
        <f t="shared" si="481"/>
        <v>-0.57777777777777772</v>
      </c>
      <c r="BX631" s="111">
        <f t="shared" si="456"/>
        <v>0</v>
      </c>
      <c r="BY631" s="129">
        <f t="shared" si="457"/>
        <v>-37</v>
      </c>
      <c r="BZ631" s="111">
        <f t="shared" si="458"/>
        <v>104</v>
      </c>
      <c r="CA631" s="138">
        <f t="shared" si="459"/>
        <v>180</v>
      </c>
      <c r="CB631" s="111">
        <v>141</v>
      </c>
      <c r="CC631" s="129">
        <f t="shared" si="483"/>
        <v>180</v>
      </c>
      <c r="CD631" s="129">
        <f t="shared" si="484"/>
        <v>143</v>
      </c>
      <c r="CE631" s="129">
        <f t="shared" si="460"/>
        <v>143</v>
      </c>
      <c r="CG631" s="129" t="str">
        <f t="shared" si="461"/>
        <v>Y</v>
      </c>
      <c r="CI631" s="129" t="str">
        <f t="shared" si="462"/>
        <v>121-365 DAYS</v>
      </c>
      <c r="CJ631" s="137">
        <f t="shared" si="463"/>
        <v>6</v>
      </c>
      <c r="CK631" s="129" t="str">
        <f t="shared" si="464"/>
        <v>Booked</v>
      </c>
    </row>
    <row r="632" spans="1:89" ht="15.75" customHeight="1" x14ac:dyDescent="0.25">
      <c r="A632" s="111">
        <v>122</v>
      </c>
      <c r="B632" s="128" t="str">
        <f t="shared" si="443"/>
        <v>N</v>
      </c>
      <c r="C632" s="128" t="str">
        <f t="shared" si="444"/>
        <v>N</v>
      </c>
      <c r="D632" s="117">
        <v>1381131</v>
      </c>
      <c r="E632" s="135">
        <f t="shared" si="445"/>
        <v>2</v>
      </c>
      <c r="F632" s="124">
        <v>40914</v>
      </c>
      <c r="G632" s="125">
        <v>40969</v>
      </c>
      <c r="H632" s="117">
        <v>1381131</v>
      </c>
      <c r="I632" s="124">
        <v>40919</v>
      </c>
      <c r="J632" s="124">
        <v>40950</v>
      </c>
      <c r="K632" s="126">
        <v>20000</v>
      </c>
      <c r="L632" s="127" t="s">
        <v>571</v>
      </c>
      <c r="M632" s="125">
        <v>40950</v>
      </c>
      <c r="N632" s="129" t="str">
        <f t="shared" si="485"/>
        <v>Y</v>
      </c>
      <c r="O632" s="128" t="s">
        <v>76</v>
      </c>
      <c r="P632" s="129" t="s">
        <v>589</v>
      </c>
      <c r="Q632" s="111">
        <f t="shared" si="474"/>
        <v>32</v>
      </c>
      <c r="R632" s="111">
        <f t="shared" si="439"/>
        <v>56</v>
      </c>
      <c r="S632" s="129">
        <v>10</v>
      </c>
      <c r="T632" s="129">
        <v>7</v>
      </c>
      <c r="U632" s="129">
        <v>8</v>
      </c>
      <c r="W632" s="111"/>
      <c r="AC632" s="130"/>
      <c r="AD632" s="130">
        <v>28045</v>
      </c>
      <c r="AE632" s="128" t="s">
        <v>32</v>
      </c>
      <c r="AF632" s="128" t="s">
        <v>33</v>
      </c>
      <c r="AG632" s="128" t="s">
        <v>872</v>
      </c>
      <c r="AH632" s="108" t="s">
        <v>58</v>
      </c>
      <c r="AI632" s="128" t="s">
        <v>114</v>
      </c>
      <c r="AJ632" s="129" t="s">
        <v>48</v>
      </c>
      <c r="AK632" s="129">
        <v>4</v>
      </c>
      <c r="AL632" s="3" t="s">
        <v>48</v>
      </c>
      <c r="AP632" s="129" t="s">
        <v>150</v>
      </c>
      <c r="AR632" s="128" t="s">
        <v>67</v>
      </c>
      <c r="AS632" s="129" t="s">
        <v>74</v>
      </c>
      <c r="BC632" s="129" t="s">
        <v>38</v>
      </c>
      <c r="BF632" s="111">
        <f t="shared" si="480"/>
        <v>32</v>
      </c>
      <c r="BG632" s="111">
        <f t="shared" si="478"/>
        <v>51</v>
      </c>
      <c r="BH632" s="111">
        <f t="shared" si="440"/>
        <v>56</v>
      </c>
      <c r="BI632" s="111">
        <f t="shared" si="441"/>
        <v>35.161202185792348</v>
      </c>
      <c r="BJ632" s="129">
        <f>(G632-J632)+(M632-G632)</f>
        <v>0</v>
      </c>
      <c r="BK632" s="129">
        <f t="shared" si="442"/>
        <v>-19</v>
      </c>
      <c r="BL632" s="129" t="str">
        <f t="shared" si="471"/>
        <v>DEFERRED</v>
      </c>
      <c r="BM632" s="129" t="s">
        <v>76</v>
      </c>
      <c r="BN632" s="129" t="s">
        <v>88</v>
      </c>
      <c r="BP632" s="137" t="str">
        <f t="shared" si="448"/>
        <v>DEFERRED</v>
      </c>
      <c r="BQ632" s="128" t="str">
        <f t="shared" si="449"/>
        <v>Y</v>
      </c>
      <c r="BR632" s="129" t="str">
        <f t="shared" si="450"/>
        <v>ON BOND</v>
      </c>
      <c r="BS632" s="129" t="str">
        <f t="shared" si="451"/>
        <v>DISPOSED</v>
      </c>
      <c r="BT632" s="129" t="str">
        <f t="shared" si="452"/>
        <v>Y</v>
      </c>
      <c r="BU632" s="109">
        <f t="shared" si="453"/>
        <v>0.5714285714285714</v>
      </c>
      <c r="BV632" s="109">
        <f t="shared" si="454"/>
        <v>0.62745098039215685</v>
      </c>
      <c r="BW632" s="109">
        <f t="shared" si="481"/>
        <v>5.6022408963585457E-2</v>
      </c>
      <c r="BX632" s="111">
        <f t="shared" si="456"/>
        <v>0</v>
      </c>
      <c r="BY632" s="129">
        <f t="shared" si="457"/>
        <v>-32</v>
      </c>
      <c r="BZ632" s="111">
        <f t="shared" si="458"/>
        <v>0</v>
      </c>
      <c r="CA632" s="138">
        <f t="shared" si="459"/>
        <v>32</v>
      </c>
      <c r="CB632" s="111" t="e">
        <f t="shared" si="482"/>
        <v>#VALUE!</v>
      </c>
      <c r="CC632" s="129">
        <f>M632-I632+1</f>
        <v>32</v>
      </c>
      <c r="CD632" s="111">
        <f>CC632-BF632</f>
        <v>0</v>
      </c>
      <c r="CE632" s="129">
        <f t="shared" si="460"/>
        <v>19</v>
      </c>
      <c r="CG632" s="129" t="str">
        <f t="shared" si="461"/>
        <v>Y</v>
      </c>
      <c r="CI632" s="129" t="str">
        <f t="shared" si="462"/>
        <v>31-60 DAYS</v>
      </c>
      <c r="CJ632" s="137">
        <f t="shared" si="463"/>
        <v>3</v>
      </c>
      <c r="CK632" s="129" t="str">
        <f t="shared" si="464"/>
        <v>Booked</v>
      </c>
    </row>
    <row r="633" spans="1:89" ht="15.75" customHeight="1" x14ac:dyDescent="0.25">
      <c r="A633" s="111">
        <v>1604</v>
      </c>
      <c r="B633" s="128" t="str">
        <f t="shared" si="443"/>
        <v>N</v>
      </c>
      <c r="C633" s="128" t="str">
        <f t="shared" si="444"/>
        <v>N</v>
      </c>
      <c r="D633" s="117">
        <v>1385411</v>
      </c>
      <c r="E633" s="135">
        <f t="shared" si="445"/>
        <v>6</v>
      </c>
      <c r="F633" s="124">
        <v>40967</v>
      </c>
      <c r="G633" s="125">
        <v>41137</v>
      </c>
      <c r="H633" s="117">
        <v>1385411</v>
      </c>
      <c r="I633" s="124">
        <v>40968</v>
      </c>
      <c r="J633" s="124">
        <v>41137</v>
      </c>
      <c r="K633" s="126">
        <v>5000</v>
      </c>
      <c r="L633" s="127" t="s">
        <v>569</v>
      </c>
      <c r="N633" s="129" t="str">
        <f t="shared" si="485"/>
        <v>N</v>
      </c>
      <c r="O633" s="128" t="s">
        <v>917</v>
      </c>
      <c r="P633" s="129" t="s">
        <v>39</v>
      </c>
      <c r="Q633" s="111">
        <f t="shared" si="474"/>
        <v>170</v>
      </c>
      <c r="R633" s="111">
        <f t="shared" si="439"/>
        <v>171</v>
      </c>
      <c r="S633" s="129">
        <v>0</v>
      </c>
      <c r="T633" s="129">
        <v>1</v>
      </c>
      <c r="W633" s="111"/>
      <c r="AC633" s="130"/>
      <c r="AD633" s="130">
        <v>25181</v>
      </c>
      <c r="AE633" s="128" t="s">
        <v>46</v>
      </c>
      <c r="AF633" s="128" t="s">
        <v>33</v>
      </c>
      <c r="AG633" s="128" t="s">
        <v>872</v>
      </c>
      <c r="AH633" s="108" t="s">
        <v>58</v>
      </c>
      <c r="AI633" s="128" t="s">
        <v>95</v>
      </c>
      <c r="AJ633" s="129" t="s">
        <v>89</v>
      </c>
      <c r="AK633" s="129">
        <v>8</v>
      </c>
      <c r="AL633" s="3" t="s">
        <v>362</v>
      </c>
      <c r="AM633" s="117">
        <v>2</v>
      </c>
      <c r="AP633" s="129" t="s">
        <v>221</v>
      </c>
      <c r="AR633" s="128" t="s">
        <v>67</v>
      </c>
      <c r="AS633" s="129" t="s">
        <v>64</v>
      </c>
      <c r="BC633" s="129" t="s">
        <v>38</v>
      </c>
      <c r="BF633" s="111">
        <f t="shared" si="480"/>
        <v>170</v>
      </c>
      <c r="BG633" s="111">
        <f t="shared" si="478"/>
        <v>170</v>
      </c>
      <c r="BH633" s="111">
        <f t="shared" si="440"/>
        <v>171</v>
      </c>
      <c r="BI633" s="111">
        <f t="shared" si="441"/>
        <v>43.131147540983605</v>
      </c>
      <c r="BJ633" s="129">
        <f t="shared" si="446"/>
        <v>0</v>
      </c>
      <c r="BK633" s="129">
        <f t="shared" si="442"/>
        <v>0</v>
      </c>
      <c r="BL633" s="129" t="str">
        <f t="shared" si="471"/>
        <v>CONVICTION</v>
      </c>
      <c r="BM633" s="129" t="str">
        <f t="shared" si="447"/>
        <v>NONE</v>
      </c>
      <c r="BN633" s="129" t="s">
        <v>566</v>
      </c>
      <c r="BP633" s="137" t="str">
        <f t="shared" si="448"/>
        <v>CONVICTION</v>
      </c>
      <c r="BQ633" s="128" t="str">
        <f t="shared" si="449"/>
        <v>Y</v>
      </c>
      <c r="BR633" s="129" t="str">
        <f t="shared" si="450"/>
        <v>DETAINED</v>
      </c>
      <c r="BS633" s="129" t="str">
        <f t="shared" si="451"/>
        <v>DISPOSED</v>
      </c>
      <c r="BT633" s="129" t="str">
        <f t="shared" si="452"/>
        <v>N</v>
      </c>
      <c r="BU633" s="109">
        <f t="shared" si="453"/>
        <v>0.99415204678362568</v>
      </c>
      <c r="BV633" s="109">
        <f t="shared" si="454"/>
        <v>1</v>
      </c>
      <c r="BW633" s="109">
        <f t="shared" si="481"/>
        <v>5.8479532163743242E-3</v>
      </c>
      <c r="BX633" s="111">
        <f t="shared" si="456"/>
        <v>0</v>
      </c>
      <c r="BY633" s="129">
        <f t="shared" si="457"/>
        <v>-170</v>
      </c>
      <c r="BZ633" s="111">
        <f t="shared" si="458"/>
        <v>0</v>
      </c>
      <c r="CA633" s="138">
        <f t="shared" si="459"/>
        <v>170</v>
      </c>
      <c r="CB633" s="111" t="e">
        <f t="shared" si="482"/>
        <v>#VALUE!</v>
      </c>
      <c r="CC633" s="129">
        <f>G633-I633+1</f>
        <v>170</v>
      </c>
      <c r="CD633" s="129">
        <f>G633-J633</f>
        <v>0</v>
      </c>
      <c r="CE633" s="129">
        <f t="shared" si="460"/>
        <v>0</v>
      </c>
      <c r="CG633" s="129" t="str">
        <f t="shared" si="461"/>
        <v>Y</v>
      </c>
      <c r="CI633" s="129" t="str">
        <f t="shared" si="462"/>
        <v>121-365 DAYS</v>
      </c>
      <c r="CJ633" s="137">
        <f t="shared" si="463"/>
        <v>6</v>
      </c>
      <c r="CK633" s="129" t="str">
        <f t="shared" si="464"/>
        <v>Booked</v>
      </c>
    </row>
    <row r="634" spans="1:89" ht="15" customHeight="1" x14ac:dyDescent="0.25">
      <c r="A634" s="111">
        <v>936</v>
      </c>
      <c r="B634" s="128" t="str">
        <f t="shared" si="443"/>
        <v>N</v>
      </c>
      <c r="C634" s="128" t="str">
        <f t="shared" si="444"/>
        <v>N</v>
      </c>
      <c r="D634" s="117">
        <v>1385491</v>
      </c>
      <c r="E634" s="135">
        <f t="shared" si="445"/>
        <v>1</v>
      </c>
      <c r="F634" s="124">
        <v>40943</v>
      </c>
      <c r="G634" s="125">
        <v>41297</v>
      </c>
      <c r="H634" s="117">
        <v>1385491</v>
      </c>
      <c r="I634" s="124">
        <v>40943</v>
      </c>
      <c r="J634" s="124">
        <v>40944</v>
      </c>
      <c r="K634" s="126">
        <v>5000</v>
      </c>
      <c r="L634" s="127" t="s">
        <v>569</v>
      </c>
      <c r="M634" s="125">
        <v>40944</v>
      </c>
      <c r="N634" s="129" t="str">
        <f t="shared" si="485"/>
        <v>Y</v>
      </c>
      <c r="O634" s="128" t="s">
        <v>585</v>
      </c>
      <c r="P634" s="129" t="s">
        <v>55</v>
      </c>
      <c r="Q634" s="111">
        <f t="shared" si="474"/>
        <v>2</v>
      </c>
      <c r="R634" s="111">
        <f t="shared" si="439"/>
        <v>355</v>
      </c>
      <c r="S634" s="129">
        <v>1</v>
      </c>
      <c r="T634" s="129">
        <v>1</v>
      </c>
      <c r="V634" s="117">
        <v>1</v>
      </c>
      <c r="W634" s="111"/>
      <c r="AC634" s="130"/>
      <c r="AD634" s="130">
        <v>26581</v>
      </c>
      <c r="AE634" s="128" t="s">
        <v>32</v>
      </c>
      <c r="AF634" s="128" t="s">
        <v>33</v>
      </c>
      <c r="AG634" s="128" t="s">
        <v>872</v>
      </c>
      <c r="AH634" s="108" t="s">
        <v>58</v>
      </c>
      <c r="AI634" s="128" t="s">
        <v>71</v>
      </c>
      <c r="AJ634" s="129" t="s">
        <v>55</v>
      </c>
      <c r="AK634" s="129">
        <v>11</v>
      </c>
      <c r="AL634" s="3" t="s">
        <v>55</v>
      </c>
      <c r="AP634" s="129" t="s">
        <v>176</v>
      </c>
      <c r="AR634" s="128" t="s">
        <v>50</v>
      </c>
      <c r="AS634" s="129" t="s">
        <v>45</v>
      </c>
      <c r="BC634" s="129" t="s">
        <v>52</v>
      </c>
      <c r="BF634" s="111">
        <f t="shared" si="480"/>
        <v>2</v>
      </c>
      <c r="BG634" s="111">
        <f t="shared" si="478"/>
        <v>355</v>
      </c>
      <c r="BH634" s="111">
        <f t="shared" si="440"/>
        <v>355</v>
      </c>
      <c r="BI634" s="111">
        <f t="shared" si="441"/>
        <v>39.240437158469945</v>
      </c>
      <c r="BJ634" s="129">
        <f>(G634-J634)+(M634-G634)</f>
        <v>0</v>
      </c>
      <c r="BK634" s="129">
        <f t="shared" si="442"/>
        <v>-353</v>
      </c>
      <c r="BL634" s="129" t="str">
        <f t="shared" si="471"/>
        <v>NO CONVICTION</v>
      </c>
      <c r="BM634" s="129" t="s">
        <v>76</v>
      </c>
      <c r="BN634" s="129" t="s">
        <v>88</v>
      </c>
      <c r="BP634" s="137" t="str">
        <f t="shared" si="448"/>
        <v>NO CONVICTION</v>
      </c>
      <c r="BQ634" s="128" t="str">
        <f t="shared" si="449"/>
        <v>Y</v>
      </c>
      <c r="BR634" s="129" t="str">
        <f t="shared" si="450"/>
        <v>ON BOND</v>
      </c>
      <c r="BS634" s="129" t="str">
        <f t="shared" si="451"/>
        <v>DISPOSED</v>
      </c>
      <c r="BT634" s="129" t="str">
        <f t="shared" si="452"/>
        <v>Y</v>
      </c>
      <c r="BU634" s="109">
        <f>IFERROR(Q634/R634,BR634)</f>
        <v>5.6338028169014088E-3</v>
      </c>
      <c r="BV634" s="109">
        <f t="shared" si="454"/>
        <v>5.6338028169014088E-3</v>
      </c>
      <c r="BW634" s="109">
        <f t="shared" si="481"/>
        <v>0</v>
      </c>
      <c r="BX634" s="111">
        <f t="shared" si="456"/>
        <v>0</v>
      </c>
      <c r="BY634" s="129">
        <f t="shared" si="457"/>
        <v>-2</v>
      </c>
      <c r="BZ634" s="111">
        <f t="shared" si="458"/>
        <v>0</v>
      </c>
      <c r="CA634" s="138">
        <f t="shared" si="459"/>
        <v>2</v>
      </c>
      <c r="CB634" s="111" t="e">
        <f t="shared" si="482"/>
        <v>#VALUE!</v>
      </c>
      <c r="CC634" s="129">
        <f>M634-I634+1</f>
        <v>2</v>
      </c>
      <c r="CD634" s="111">
        <f>CC634-BF634</f>
        <v>0</v>
      </c>
      <c r="CE634" s="129">
        <f t="shared" si="460"/>
        <v>353</v>
      </c>
      <c r="CG634" s="129" t="str">
        <f t="shared" si="461"/>
        <v>Y</v>
      </c>
      <c r="CI634" s="129" t="str">
        <f t="shared" si="462"/>
        <v>0-10 DAYS</v>
      </c>
      <c r="CJ634" s="137">
        <f t="shared" si="463"/>
        <v>1</v>
      </c>
      <c r="CK634" s="129" t="str">
        <f t="shared" si="464"/>
        <v>Booked</v>
      </c>
    </row>
    <row r="635" spans="1:89" ht="15" customHeight="1" x14ac:dyDescent="0.25">
      <c r="A635" s="111">
        <v>30</v>
      </c>
      <c r="B635" s="128" t="str">
        <f t="shared" si="443"/>
        <v>N</v>
      </c>
      <c r="C635" s="128" t="str">
        <f t="shared" si="444"/>
        <v>N</v>
      </c>
      <c r="D635" s="117">
        <v>1385775</v>
      </c>
      <c r="E635" s="135">
        <f t="shared" si="445"/>
        <v>5</v>
      </c>
      <c r="F635" s="124">
        <v>40911</v>
      </c>
      <c r="G635" s="125">
        <v>40960</v>
      </c>
      <c r="H635" s="117">
        <v>1385775</v>
      </c>
      <c r="I635" s="124">
        <v>40911</v>
      </c>
      <c r="J635" s="125">
        <v>40960</v>
      </c>
      <c r="K635" s="126">
        <v>15000</v>
      </c>
      <c r="L635" s="127" t="s">
        <v>571</v>
      </c>
      <c r="N635" s="129" t="str">
        <f t="shared" si="485"/>
        <v>N</v>
      </c>
      <c r="O635" s="128" t="s">
        <v>917</v>
      </c>
      <c r="P635" s="129" t="s">
        <v>39</v>
      </c>
      <c r="Q635" s="111">
        <f t="shared" ref="Q635:Q666" si="486">BF635</f>
        <v>50</v>
      </c>
      <c r="R635" s="111">
        <f t="shared" si="439"/>
        <v>50</v>
      </c>
      <c r="S635" s="129">
        <v>4</v>
      </c>
      <c r="T635" s="129">
        <v>0</v>
      </c>
      <c r="U635" s="129">
        <v>4</v>
      </c>
      <c r="W635" s="111"/>
      <c r="AC635" s="130"/>
      <c r="AD635" s="130">
        <v>28008</v>
      </c>
      <c r="AE635" s="128" t="s">
        <v>32</v>
      </c>
      <c r="AF635" s="128" t="s">
        <v>33</v>
      </c>
      <c r="AG635" s="128" t="s">
        <v>872</v>
      </c>
      <c r="AH635" s="108" t="s">
        <v>58</v>
      </c>
      <c r="AI635" s="128" t="s">
        <v>97</v>
      </c>
      <c r="AJ635" s="129" t="s">
        <v>89</v>
      </c>
      <c r="AK635" s="129">
        <v>6</v>
      </c>
      <c r="AL635" s="3" t="s">
        <v>992</v>
      </c>
      <c r="AN635" s="117">
        <v>6</v>
      </c>
      <c r="AP635" s="129" t="s">
        <v>98</v>
      </c>
      <c r="AR635" s="128" t="s">
        <v>44</v>
      </c>
      <c r="AS635" s="129" t="s">
        <v>64</v>
      </c>
      <c r="BC635" s="129" t="s">
        <v>99</v>
      </c>
      <c r="BF635" s="111">
        <f t="shared" si="480"/>
        <v>50</v>
      </c>
      <c r="BG635" s="111">
        <f t="shared" si="478"/>
        <v>50</v>
      </c>
      <c r="BH635" s="111">
        <f t="shared" si="440"/>
        <v>50</v>
      </c>
      <c r="BI635" s="111">
        <f t="shared" si="441"/>
        <v>35.254098360655739</v>
      </c>
      <c r="BJ635" s="129">
        <f t="shared" si="446"/>
        <v>0</v>
      </c>
      <c r="BK635" s="129">
        <f t="shared" si="442"/>
        <v>0</v>
      </c>
      <c r="BL635" s="129" t="str">
        <f t="shared" si="471"/>
        <v>CONVICTION</v>
      </c>
      <c r="BM635" s="129" t="str">
        <f t="shared" si="447"/>
        <v>NONE</v>
      </c>
      <c r="BN635" s="129" t="s">
        <v>566</v>
      </c>
      <c r="BP635" s="137" t="str">
        <f t="shared" si="448"/>
        <v>CONVICTION</v>
      </c>
      <c r="BQ635" s="128" t="str">
        <f t="shared" si="449"/>
        <v>Y</v>
      </c>
      <c r="BR635" s="129" t="str">
        <f t="shared" si="450"/>
        <v>DETAINED</v>
      </c>
      <c r="BS635" s="129" t="str">
        <f t="shared" si="451"/>
        <v>DISPOSED</v>
      </c>
      <c r="BT635" s="129" t="str">
        <f t="shared" si="452"/>
        <v>Y</v>
      </c>
      <c r="BU635" s="109">
        <f t="shared" si="453"/>
        <v>1</v>
      </c>
      <c r="BV635" s="109">
        <f t="shared" si="454"/>
        <v>1</v>
      </c>
      <c r="BW635" s="109">
        <f t="shared" si="481"/>
        <v>0</v>
      </c>
      <c r="BX635" s="111">
        <f t="shared" si="456"/>
        <v>0</v>
      </c>
      <c r="BY635" s="129">
        <f t="shared" si="457"/>
        <v>-50</v>
      </c>
      <c r="BZ635" s="111">
        <f t="shared" si="458"/>
        <v>0</v>
      </c>
      <c r="CA635" s="138">
        <f t="shared" si="459"/>
        <v>50</v>
      </c>
      <c r="CB635" s="111" t="e">
        <f t="shared" si="482"/>
        <v>#VALUE!</v>
      </c>
      <c r="CC635" s="129">
        <f>G635-I635+1</f>
        <v>50</v>
      </c>
      <c r="CD635" s="129">
        <f>G635-J635</f>
        <v>0</v>
      </c>
      <c r="CE635" s="129">
        <f t="shared" si="460"/>
        <v>0</v>
      </c>
      <c r="CG635" s="129" t="str">
        <f t="shared" si="461"/>
        <v>Y</v>
      </c>
      <c r="CI635" s="129" t="str">
        <f t="shared" si="462"/>
        <v>31-60 DAYS</v>
      </c>
      <c r="CJ635" s="137">
        <f t="shared" si="463"/>
        <v>3</v>
      </c>
      <c r="CK635" s="129" t="str">
        <f t="shared" si="464"/>
        <v>Booked</v>
      </c>
    </row>
    <row r="636" spans="1:89" ht="15" customHeight="1" x14ac:dyDescent="0.25">
      <c r="A636" s="111">
        <v>2826</v>
      </c>
      <c r="B636" s="128" t="str">
        <f t="shared" si="443"/>
        <v>N</v>
      </c>
      <c r="C636" s="128" t="str">
        <f t="shared" si="444"/>
        <v>N</v>
      </c>
      <c r="D636" s="117">
        <v>1386472</v>
      </c>
      <c r="E636" s="135">
        <f t="shared" si="445"/>
        <v>3</v>
      </c>
      <c r="F636" s="124">
        <v>41013</v>
      </c>
      <c r="G636" s="125">
        <v>41171</v>
      </c>
      <c r="H636" s="117">
        <v>1386472</v>
      </c>
      <c r="I636" s="124">
        <v>41013</v>
      </c>
      <c r="J636" s="124">
        <v>41045</v>
      </c>
      <c r="K636" s="126">
        <v>50000</v>
      </c>
      <c r="L636" s="129" t="s">
        <v>572</v>
      </c>
      <c r="M636" s="125">
        <v>41045</v>
      </c>
      <c r="N636" s="129" t="str">
        <f t="shared" si="485"/>
        <v>Y</v>
      </c>
      <c r="O636" s="128" t="s">
        <v>585</v>
      </c>
      <c r="P636" s="129" t="s">
        <v>39</v>
      </c>
      <c r="Q636" s="111">
        <f t="shared" si="486"/>
        <v>33</v>
      </c>
      <c r="R636" s="111">
        <f t="shared" si="439"/>
        <v>159</v>
      </c>
      <c r="S636" s="129">
        <v>1</v>
      </c>
      <c r="T636" s="129">
        <v>2</v>
      </c>
      <c r="V636" s="117">
        <v>1</v>
      </c>
      <c r="W636" s="111"/>
      <c r="AB636" s="131" t="s">
        <v>112</v>
      </c>
      <c r="AC636" s="130"/>
      <c r="AD636" s="130">
        <v>18831</v>
      </c>
      <c r="AE636" s="128" t="s">
        <v>32</v>
      </c>
      <c r="AF636" s="128" t="s">
        <v>40</v>
      </c>
      <c r="AG636" s="128" t="s">
        <v>41</v>
      </c>
      <c r="AH636" s="108" t="s">
        <v>31</v>
      </c>
      <c r="AI636" s="128" t="s">
        <v>42</v>
      </c>
      <c r="AJ636" s="129" t="s">
        <v>89</v>
      </c>
      <c r="AK636" s="129">
        <v>6</v>
      </c>
      <c r="AL636" s="3" t="s">
        <v>185</v>
      </c>
      <c r="AO636" s="128">
        <v>10</v>
      </c>
      <c r="AP636" s="129" t="s">
        <v>66</v>
      </c>
      <c r="AR636" s="128" t="s">
        <v>67</v>
      </c>
      <c r="AS636" s="129" t="s">
        <v>68</v>
      </c>
      <c r="BC636" s="129" t="s">
        <v>52</v>
      </c>
      <c r="BF636" s="111">
        <f t="shared" si="480"/>
        <v>33</v>
      </c>
      <c r="BG636" s="111">
        <f t="shared" si="478"/>
        <v>159</v>
      </c>
      <c r="BH636" s="111">
        <f t="shared" si="440"/>
        <v>159</v>
      </c>
      <c r="BI636" s="111">
        <f t="shared" si="441"/>
        <v>60.606557377049178</v>
      </c>
      <c r="BJ636" s="129">
        <f>(G636-J636)+(M636-G636)</f>
        <v>0</v>
      </c>
      <c r="BK636" s="129">
        <f t="shared" si="442"/>
        <v>-126</v>
      </c>
      <c r="BL636" s="129" t="str">
        <f t="shared" si="471"/>
        <v>CONVICTION</v>
      </c>
      <c r="BM636" s="129" t="s">
        <v>76</v>
      </c>
      <c r="BN636" s="129" t="s">
        <v>88</v>
      </c>
      <c r="BP636" s="137" t="str">
        <f t="shared" si="448"/>
        <v>CONVICTION</v>
      </c>
      <c r="BQ636" s="128" t="str">
        <f t="shared" si="449"/>
        <v>Y</v>
      </c>
      <c r="BR636" s="129" t="str">
        <f>IF(J636&lt;G636,"ON BOND",0)</f>
        <v>ON BOND</v>
      </c>
      <c r="BS636" s="129" t="str">
        <f t="shared" si="451"/>
        <v>DISPOSED</v>
      </c>
      <c r="BT636" s="129" t="str">
        <f t="shared" si="452"/>
        <v>Y</v>
      </c>
      <c r="BU636" s="109">
        <f t="shared" si="453"/>
        <v>0.20754716981132076</v>
      </c>
      <c r="BV636" s="109">
        <f t="shared" si="454"/>
        <v>0.20754716981132076</v>
      </c>
      <c r="BW636" s="109">
        <f t="shared" si="481"/>
        <v>0</v>
      </c>
      <c r="BX636" s="111">
        <f t="shared" si="456"/>
        <v>0</v>
      </c>
      <c r="BY636" s="129">
        <f t="shared" si="457"/>
        <v>-33</v>
      </c>
      <c r="BZ636" s="111">
        <f t="shared" si="458"/>
        <v>0</v>
      </c>
      <c r="CA636" s="138">
        <f t="shared" si="459"/>
        <v>33</v>
      </c>
      <c r="CB636" s="111" t="e">
        <f t="shared" si="482"/>
        <v>#VALUE!</v>
      </c>
      <c r="CC636" s="129">
        <f>M636-I636+1</f>
        <v>33</v>
      </c>
      <c r="CD636" s="111">
        <f>CC636-BF636</f>
        <v>0</v>
      </c>
      <c r="CE636" s="129">
        <f t="shared" si="460"/>
        <v>126</v>
      </c>
      <c r="CG636" s="129" t="str">
        <f t="shared" si="461"/>
        <v>Y</v>
      </c>
      <c r="CI636" s="129" t="str">
        <f t="shared" si="462"/>
        <v>31-60 DAYS</v>
      </c>
      <c r="CJ636" s="137">
        <f t="shared" si="463"/>
        <v>3</v>
      </c>
      <c r="CK636" s="129" t="str">
        <f t="shared" si="464"/>
        <v>Booked</v>
      </c>
    </row>
    <row r="637" spans="1:89" ht="15.75" customHeight="1" x14ac:dyDescent="0.25">
      <c r="A637" s="111">
        <v>1161</v>
      </c>
      <c r="B637" s="128" t="str">
        <f t="shared" si="443"/>
        <v>N</v>
      </c>
      <c r="C637" s="128" t="str">
        <f t="shared" si="444"/>
        <v>N</v>
      </c>
      <c r="D637" s="117">
        <v>1386540</v>
      </c>
      <c r="E637" s="135">
        <f t="shared" si="445"/>
        <v>6</v>
      </c>
      <c r="F637" s="124">
        <v>40950</v>
      </c>
      <c r="G637" s="125">
        <v>41123</v>
      </c>
      <c r="H637" s="117">
        <v>1386540</v>
      </c>
      <c r="I637" s="124">
        <v>40950</v>
      </c>
      <c r="J637" s="124">
        <v>40952</v>
      </c>
      <c r="K637" s="126">
        <v>20000</v>
      </c>
      <c r="L637" s="127" t="s">
        <v>571</v>
      </c>
      <c r="M637" s="125">
        <v>40952</v>
      </c>
      <c r="N637" s="129" t="str">
        <f t="shared" si="485"/>
        <v>Y</v>
      </c>
      <c r="O637" s="128" t="s">
        <v>585</v>
      </c>
      <c r="P637" s="129" t="s">
        <v>39</v>
      </c>
      <c r="Q637" s="111">
        <f t="shared" si="486"/>
        <v>3</v>
      </c>
      <c r="R637" s="111">
        <f t="shared" si="439"/>
        <v>174</v>
      </c>
      <c r="S637" s="129">
        <v>2</v>
      </c>
      <c r="T637" s="129">
        <v>3</v>
      </c>
      <c r="U637" s="129">
        <v>2</v>
      </c>
      <c r="W637" s="111"/>
      <c r="AB637" s="131" t="s">
        <v>112</v>
      </c>
      <c r="AC637" s="130"/>
      <c r="AD637" s="130">
        <v>27205</v>
      </c>
      <c r="AE637" s="128" t="s">
        <v>32</v>
      </c>
      <c r="AF637" s="128" t="s">
        <v>40</v>
      </c>
      <c r="AG637" s="128" t="s">
        <v>41</v>
      </c>
      <c r="AH637" s="108" t="s">
        <v>31</v>
      </c>
      <c r="AI637" s="128" t="s">
        <v>53</v>
      </c>
      <c r="AJ637" s="129" t="s">
        <v>89</v>
      </c>
      <c r="AK637" s="129">
        <v>9</v>
      </c>
      <c r="AL637" s="3" t="s">
        <v>362</v>
      </c>
      <c r="AM637" s="117">
        <v>4</v>
      </c>
      <c r="AP637" s="129" t="s">
        <v>66</v>
      </c>
      <c r="AR637" s="128" t="s">
        <v>67</v>
      </c>
      <c r="AS637" s="129" t="s">
        <v>68</v>
      </c>
      <c r="BC637" s="129" t="s">
        <v>52</v>
      </c>
      <c r="BF637" s="111">
        <f t="shared" si="480"/>
        <v>3</v>
      </c>
      <c r="BG637" s="111">
        <f t="shared" si="478"/>
        <v>174</v>
      </c>
      <c r="BH637" s="111">
        <f t="shared" si="440"/>
        <v>174</v>
      </c>
      <c r="BI637" s="111">
        <f t="shared" si="441"/>
        <v>37.55464480874317</v>
      </c>
      <c r="BJ637" s="129">
        <f>(G637-J637)+(M637-G637)</f>
        <v>0</v>
      </c>
      <c r="BK637" s="129">
        <f t="shared" si="442"/>
        <v>-171</v>
      </c>
      <c r="BL637" s="129" t="str">
        <f t="shared" si="471"/>
        <v>CONVICTION</v>
      </c>
      <c r="BM637" s="129" t="s">
        <v>76</v>
      </c>
      <c r="BN637" s="129" t="s">
        <v>88</v>
      </c>
      <c r="BP637" s="137" t="str">
        <f t="shared" si="448"/>
        <v>CONVICTION</v>
      </c>
      <c r="BQ637" s="128" t="str">
        <f t="shared" si="449"/>
        <v>Y</v>
      </c>
      <c r="BR637" s="129" t="str">
        <f>IF(J637&lt;G637,"ON BOND",0)</f>
        <v>ON BOND</v>
      </c>
      <c r="BS637" s="129" t="str">
        <f t="shared" si="451"/>
        <v>DISPOSED</v>
      </c>
      <c r="BT637" s="129" t="str">
        <f t="shared" si="452"/>
        <v>Y</v>
      </c>
      <c r="BU637" s="109">
        <f t="shared" si="453"/>
        <v>1.7241379310344827E-2</v>
      </c>
      <c r="BV637" s="109">
        <f t="shared" si="454"/>
        <v>1.7241379310344827E-2</v>
      </c>
      <c r="BW637" s="109">
        <f t="shared" si="481"/>
        <v>0</v>
      </c>
      <c r="BX637" s="111">
        <f t="shared" si="456"/>
        <v>0</v>
      </c>
      <c r="BY637" s="129">
        <f t="shared" si="457"/>
        <v>-3</v>
      </c>
      <c r="BZ637" s="111">
        <f t="shared" si="458"/>
        <v>0</v>
      </c>
      <c r="CA637" s="138">
        <f t="shared" si="459"/>
        <v>3</v>
      </c>
      <c r="CB637" s="111" t="e">
        <f t="shared" si="482"/>
        <v>#VALUE!</v>
      </c>
      <c r="CC637" s="129">
        <f>M637-I637+1</f>
        <v>3</v>
      </c>
      <c r="CD637" s="111">
        <f>CC637-BF637</f>
        <v>0</v>
      </c>
      <c r="CE637" s="129">
        <f t="shared" si="460"/>
        <v>171</v>
      </c>
      <c r="CG637" s="129" t="str">
        <f t="shared" si="461"/>
        <v>Y</v>
      </c>
      <c r="CI637" s="129" t="str">
        <f t="shared" si="462"/>
        <v>0-10 DAYS</v>
      </c>
      <c r="CJ637" s="137">
        <f t="shared" si="463"/>
        <v>1</v>
      </c>
      <c r="CK637" s="129" t="str">
        <f t="shared" si="464"/>
        <v>Booked</v>
      </c>
    </row>
    <row r="638" spans="1:89" ht="15.75" customHeight="1" x14ac:dyDescent="0.25">
      <c r="A638" s="111">
        <v>2689</v>
      </c>
      <c r="B638" s="128" t="str">
        <f t="shared" si="443"/>
        <v>N</v>
      </c>
      <c r="C638" s="128" t="str">
        <f t="shared" si="444"/>
        <v>N</v>
      </c>
      <c r="D638" s="117">
        <v>1389545</v>
      </c>
      <c r="E638" s="135">
        <f t="shared" si="445"/>
        <v>5</v>
      </c>
      <c r="F638" s="124">
        <v>41009</v>
      </c>
      <c r="G638" s="125">
        <v>41011</v>
      </c>
      <c r="H638" s="117">
        <v>1389545</v>
      </c>
      <c r="I638" s="124">
        <v>41009</v>
      </c>
      <c r="J638" s="124">
        <v>41011</v>
      </c>
      <c r="K638" s="126">
        <v>15000</v>
      </c>
      <c r="L638" s="127" t="s">
        <v>571</v>
      </c>
      <c r="N638" s="129" t="str">
        <f t="shared" si="485"/>
        <v>N</v>
      </c>
      <c r="O638" s="128" t="s">
        <v>917</v>
      </c>
      <c r="P638" s="129" t="s">
        <v>39</v>
      </c>
      <c r="Q638" s="111">
        <f t="shared" si="486"/>
        <v>3</v>
      </c>
      <c r="R638" s="111">
        <f t="shared" si="439"/>
        <v>3</v>
      </c>
      <c r="S638" s="129">
        <v>3</v>
      </c>
      <c r="T638" s="129">
        <v>1</v>
      </c>
      <c r="U638" s="129">
        <v>1</v>
      </c>
      <c r="W638" s="111"/>
      <c r="AC638" s="130"/>
      <c r="AD638" s="130">
        <v>23963</v>
      </c>
      <c r="AE638" s="128" t="s">
        <v>32</v>
      </c>
      <c r="AF638" s="128" t="s">
        <v>33</v>
      </c>
      <c r="AG638" s="128" t="s">
        <v>872</v>
      </c>
      <c r="AH638" s="108" t="s">
        <v>31</v>
      </c>
      <c r="AI638" s="128" t="s">
        <v>71</v>
      </c>
      <c r="AJ638" s="129" t="s">
        <v>89</v>
      </c>
      <c r="AK638" s="129">
        <v>2</v>
      </c>
      <c r="AL638" s="3" t="s">
        <v>992</v>
      </c>
      <c r="AN638" s="117">
        <v>6</v>
      </c>
      <c r="AP638" s="129" t="s">
        <v>43</v>
      </c>
      <c r="AR638" s="128" t="s">
        <v>44</v>
      </c>
      <c r="AS638" s="129" t="s">
        <v>45</v>
      </c>
      <c r="AX638" s="32"/>
      <c r="BC638" s="129" t="s">
        <v>38</v>
      </c>
      <c r="BF638" s="111">
        <f t="shared" si="480"/>
        <v>3</v>
      </c>
      <c r="BG638" s="111">
        <f t="shared" si="478"/>
        <v>3</v>
      </c>
      <c r="BH638" s="111">
        <f t="shared" si="440"/>
        <v>3</v>
      </c>
      <c r="BI638" s="111">
        <f t="shared" si="441"/>
        <v>46.57377049180328</v>
      </c>
      <c r="BJ638" s="129">
        <f t="shared" si="446"/>
        <v>0</v>
      </c>
      <c r="BK638" s="129">
        <f t="shared" si="442"/>
        <v>0</v>
      </c>
      <c r="BL638" s="129" t="str">
        <f t="shared" si="471"/>
        <v>CONVICTION</v>
      </c>
      <c r="BM638" s="129" t="str">
        <f t="shared" si="447"/>
        <v>NONE</v>
      </c>
      <c r="BN638" s="129" t="s">
        <v>566</v>
      </c>
      <c r="BP638" s="137" t="str">
        <f t="shared" si="448"/>
        <v>CONVICTION</v>
      </c>
      <c r="BQ638" s="128" t="str">
        <f t="shared" si="449"/>
        <v>Y</v>
      </c>
      <c r="BR638" s="129" t="str">
        <f t="shared" si="450"/>
        <v>DETAINED</v>
      </c>
      <c r="BS638" s="129" t="str">
        <f t="shared" si="451"/>
        <v>DISPOSED</v>
      </c>
      <c r="BT638" s="129" t="str">
        <f t="shared" si="452"/>
        <v>Y</v>
      </c>
      <c r="BU638" s="109">
        <f t="shared" si="453"/>
        <v>1</v>
      </c>
      <c r="BV638" s="109">
        <f t="shared" si="454"/>
        <v>1</v>
      </c>
      <c r="BW638" s="109">
        <f t="shared" si="481"/>
        <v>0</v>
      </c>
      <c r="BX638" s="111">
        <f t="shared" si="456"/>
        <v>0</v>
      </c>
      <c r="BY638" s="129">
        <f t="shared" si="457"/>
        <v>-3</v>
      </c>
      <c r="BZ638" s="111">
        <f t="shared" si="458"/>
        <v>0</v>
      </c>
      <c r="CA638" s="138">
        <f t="shared" si="459"/>
        <v>3</v>
      </c>
      <c r="CB638" s="111" t="e">
        <f t="shared" si="482"/>
        <v>#VALUE!</v>
      </c>
      <c r="CC638" s="129">
        <f>G638-I638+1</f>
        <v>3</v>
      </c>
      <c r="CD638" s="129">
        <f>G638-J638</f>
        <v>0</v>
      </c>
      <c r="CE638" s="129">
        <f t="shared" si="460"/>
        <v>0</v>
      </c>
      <c r="CG638" s="129" t="str">
        <f t="shared" si="461"/>
        <v>Y</v>
      </c>
      <c r="CI638" s="129" t="str">
        <f t="shared" si="462"/>
        <v>0-10 DAYS</v>
      </c>
      <c r="CJ638" s="137">
        <f t="shared" si="463"/>
        <v>1</v>
      </c>
      <c r="CK638" s="129" t="str">
        <f t="shared" si="464"/>
        <v>Booked</v>
      </c>
    </row>
    <row r="639" spans="1:89" ht="15.75" customHeight="1" x14ac:dyDescent="0.25">
      <c r="A639" s="111">
        <v>2670</v>
      </c>
      <c r="B639" s="128" t="str">
        <f t="shared" si="443"/>
        <v>N</v>
      </c>
      <c r="C639" s="128" t="str">
        <f t="shared" si="444"/>
        <v>N</v>
      </c>
      <c r="D639" s="117">
        <v>1392632</v>
      </c>
      <c r="E639" s="135">
        <f t="shared" si="445"/>
        <v>6</v>
      </c>
      <c r="F639" s="124">
        <v>41008</v>
      </c>
      <c r="G639" s="125">
        <v>41052</v>
      </c>
      <c r="H639" s="117">
        <v>1392632</v>
      </c>
      <c r="I639" s="124">
        <v>41009</v>
      </c>
      <c r="J639" s="124">
        <v>41052</v>
      </c>
      <c r="K639" s="126">
        <v>10000</v>
      </c>
      <c r="L639" s="127" t="s">
        <v>570</v>
      </c>
      <c r="N639" s="129" t="str">
        <f t="shared" si="485"/>
        <v>N</v>
      </c>
      <c r="O639" s="128" t="s">
        <v>917</v>
      </c>
      <c r="P639" s="129" t="s">
        <v>39</v>
      </c>
      <c r="Q639" s="111">
        <f t="shared" si="486"/>
        <v>44</v>
      </c>
      <c r="R639" s="111">
        <f t="shared" si="439"/>
        <v>45</v>
      </c>
      <c r="S639" s="129">
        <v>0</v>
      </c>
      <c r="T639" s="129">
        <v>8</v>
      </c>
      <c r="W639" s="111"/>
      <c r="AC639" s="130"/>
      <c r="AD639" s="130">
        <v>26704</v>
      </c>
      <c r="AE639" s="128" t="s">
        <v>32</v>
      </c>
      <c r="AF639" s="128" t="s">
        <v>40</v>
      </c>
      <c r="AG639" s="128" t="s">
        <v>41</v>
      </c>
      <c r="AH639" s="108" t="s">
        <v>41</v>
      </c>
      <c r="AI639" s="128" t="s">
        <v>90</v>
      </c>
      <c r="AJ639" s="129" t="s">
        <v>89</v>
      </c>
      <c r="AK639" s="129">
        <v>4</v>
      </c>
      <c r="AL639" s="3" t="s">
        <v>362</v>
      </c>
      <c r="AM639" s="117">
        <v>2</v>
      </c>
      <c r="AP639" s="129" t="s">
        <v>66</v>
      </c>
      <c r="AR639" s="128" t="s">
        <v>67</v>
      </c>
      <c r="AS639" s="129" t="s">
        <v>68</v>
      </c>
      <c r="BC639" s="129" t="s">
        <v>38</v>
      </c>
      <c r="BF639" s="111">
        <f t="shared" si="480"/>
        <v>44</v>
      </c>
      <c r="BG639" s="111">
        <f t="shared" si="478"/>
        <v>44</v>
      </c>
      <c r="BH639" s="111">
        <f t="shared" si="440"/>
        <v>45</v>
      </c>
      <c r="BI639" s="111">
        <f t="shared" si="441"/>
        <v>39.081967213114751</v>
      </c>
      <c r="BJ639" s="129">
        <f t="shared" si="446"/>
        <v>0</v>
      </c>
      <c r="BK639" s="129">
        <f t="shared" si="442"/>
        <v>0</v>
      </c>
      <c r="BL639" s="129" t="str">
        <f t="shared" si="471"/>
        <v>CONVICTION</v>
      </c>
      <c r="BM639" s="129" t="str">
        <f t="shared" si="447"/>
        <v>NONE</v>
      </c>
      <c r="BN639" s="129" t="s">
        <v>566</v>
      </c>
      <c r="BP639" s="137" t="str">
        <f t="shared" si="448"/>
        <v>CONVICTION</v>
      </c>
      <c r="BQ639" s="128" t="str">
        <f t="shared" si="449"/>
        <v>Y</v>
      </c>
      <c r="BR639" s="129" t="str">
        <f t="shared" si="450"/>
        <v>DETAINED</v>
      </c>
      <c r="BS639" s="129" t="str">
        <f t="shared" si="451"/>
        <v>DISPOSED</v>
      </c>
      <c r="BT639" s="129" t="str">
        <f t="shared" si="452"/>
        <v>N</v>
      </c>
      <c r="BU639" s="109">
        <f t="shared" si="453"/>
        <v>0.97777777777777775</v>
      </c>
      <c r="BV639" s="109">
        <f t="shared" si="454"/>
        <v>1</v>
      </c>
      <c r="BW639" s="109">
        <f t="shared" si="481"/>
        <v>2.2222222222222254E-2</v>
      </c>
      <c r="BX639" s="111">
        <f t="shared" si="456"/>
        <v>0</v>
      </c>
      <c r="BY639" s="129">
        <f t="shared" si="457"/>
        <v>-44</v>
      </c>
      <c r="BZ639" s="111">
        <f t="shared" si="458"/>
        <v>0</v>
      </c>
      <c r="CA639" s="138">
        <f t="shared" si="459"/>
        <v>44</v>
      </c>
      <c r="CB639" s="111" t="e">
        <f t="shared" si="482"/>
        <v>#VALUE!</v>
      </c>
      <c r="CC639" s="129">
        <f>G639-I639+1</f>
        <v>44</v>
      </c>
      <c r="CD639" s="129">
        <f>G639-J639</f>
        <v>0</v>
      </c>
      <c r="CE639" s="129">
        <f t="shared" si="460"/>
        <v>0</v>
      </c>
      <c r="CG639" s="129" t="str">
        <f t="shared" si="461"/>
        <v>Y</v>
      </c>
      <c r="CI639" s="129" t="str">
        <f t="shared" si="462"/>
        <v>31-60 DAYS</v>
      </c>
      <c r="CJ639" s="137">
        <f t="shared" si="463"/>
        <v>3</v>
      </c>
      <c r="CK639" s="129" t="str">
        <f t="shared" si="464"/>
        <v>Booked</v>
      </c>
    </row>
    <row r="640" spans="1:89" ht="15.75" customHeight="1" x14ac:dyDescent="0.25">
      <c r="A640" s="111">
        <v>2096</v>
      </c>
      <c r="B640" s="128" t="str">
        <f t="shared" si="443"/>
        <v>N</v>
      </c>
      <c r="C640" s="128" t="str">
        <f t="shared" si="444"/>
        <v>N</v>
      </c>
      <c r="D640" s="117">
        <v>1394553</v>
      </c>
      <c r="E640" s="135">
        <f t="shared" si="445"/>
        <v>1</v>
      </c>
      <c r="F640" s="124">
        <v>40987</v>
      </c>
      <c r="G640" s="124">
        <v>41360</v>
      </c>
      <c r="H640" s="117">
        <v>1394553</v>
      </c>
      <c r="I640" s="124">
        <v>40988</v>
      </c>
      <c r="J640" s="124">
        <v>40990</v>
      </c>
      <c r="K640" s="126">
        <v>5000</v>
      </c>
      <c r="L640" s="127" t="s">
        <v>569</v>
      </c>
      <c r="M640" s="125">
        <v>40990</v>
      </c>
      <c r="N640" s="129" t="str">
        <f t="shared" si="485"/>
        <v>Y</v>
      </c>
      <c r="O640" s="128" t="s">
        <v>76</v>
      </c>
      <c r="P640" s="129" t="s">
        <v>55</v>
      </c>
      <c r="Q640" s="111">
        <f t="shared" si="486"/>
        <v>3</v>
      </c>
      <c r="R640" s="111">
        <f t="shared" si="439"/>
        <v>374</v>
      </c>
      <c r="S640" s="129">
        <v>0</v>
      </c>
      <c r="T640" s="129">
        <v>0</v>
      </c>
      <c r="W640" s="111"/>
      <c r="AC640" s="130"/>
      <c r="AD640" s="130">
        <v>27596</v>
      </c>
      <c r="AE640" s="128" t="s">
        <v>46</v>
      </c>
      <c r="AF640" s="128" t="s">
        <v>69</v>
      </c>
      <c r="AG640" s="128" t="s">
        <v>874</v>
      </c>
      <c r="AH640" s="108" t="s">
        <v>31</v>
      </c>
      <c r="AI640" s="128" t="s">
        <v>65</v>
      </c>
      <c r="AJ640" s="129" t="s">
        <v>55</v>
      </c>
      <c r="AK640" s="129">
        <v>11</v>
      </c>
      <c r="AL640" s="3" t="s">
        <v>55</v>
      </c>
      <c r="AP640" s="129" t="s">
        <v>144</v>
      </c>
      <c r="AR640" s="128" t="s">
        <v>67</v>
      </c>
      <c r="AS640" s="129" t="s">
        <v>74</v>
      </c>
      <c r="BC640" s="129" t="s">
        <v>52</v>
      </c>
      <c r="BF640" s="111">
        <f t="shared" si="480"/>
        <v>3</v>
      </c>
      <c r="BG640" s="111">
        <f t="shared" si="478"/>
        <v>373</v>
      </c>
      <c r="BH640" s="111">
        <f t="shared" si="440"/>
        <v>374</v>
      </c>
      <c r="BI640" s="111">
        <f t="shared" si="441"/>
        <v>36.587431693989068</v>
      </c>
      <c r="BJ640" s="129">
        <f>(G640-J640)+(M640-G640)</f>
        <v>0</v>
      </c>
      <c r="BK640" s="129">
        <f t="shared" si="442"/>
        <v>-370</v>
      </c>
      <c r="BL640" s="129" t="str">
        <f t="shared" si="471"/>
        <v>NO CONVICTION</v>
      </c>
      <c r="BM640" s="129" t="s">
        <v>76</v>
      </c>
      <c r="BN640" s="129" t="s">
        <v>88</v>
      </c>
      <c r="BP640" s="137" t="str">
        <f t="shared" si="448"/>
        <v>NO CONVICTION</v>
      </c>
      <c r="BQ640" s="128" t="str">
        <f t="shared" si="449"/>
        <v>Y</v>
      </c>
      <c r="BR640" s="129" t="str">
        <f t="shared" si="450"/>
        <v>ON BOND</v>
      </c>
      <c r="BS640" s="129" t="str">
        <f t="shared" si="451"/>
        <v>DISPOSED</v>
      </c>
      <c r="BT640" s="129" t="str">
        <f t="shared" si="452"/>
        <v>N</v>
      </c>
      <c r="BU640" s="109">
        <f>IFERROR(Q640/R640,BR640)</f>
        <v>8.0213903743315516E-3</v>
      </c>
      <c r="BV640" s="109">
        <f t="shared" si="454"/>
        <v>8.0428954423592495E-3</v>
      </c>
      <c r="BW640" s="109">
        <f t="shared" si="481"/>
        <v>2.1505068027697846E-5</v>
      </c>
      <c r="BX640" s="111">
        <f t="shared" si="456"/>
        <v>0</v>
      </c>
      <c r="BY640" s="129">
        <f t="shared" si="457"/>
        <v>-3</v>
      </c>
      <c r="BZ640" s="111">
        <f t="shared" si="458"/>
        <v>0</v>
      </c>
      <c r="CA640" s="138">
        <f t="shared" si="459"/>
        <v>3</v>
      </c>
      <c r="CB640" s="111" t="e">
        <f t="shared" si="482"/>
        <v>#VALUE!</v>
      </c>
      <c r="CC640" s="129">
        <f>M640-I640+1</f>
        <v>3</v>
      </c>
      <c r="CD640" s="111">
        <f>CC640-BF640</f>
        <v>0</v>
      </c>
      <c r="CE640" s="129">
        <f t="shared" si="460"/>
        <v>370</v>
      </c>
      <c r="CG640" s="129" t="str">
        <f t="shared" si="461"/>
        <v>N</v>
      </c>
      <c r="CI640" s="129" t="str">
        <f t="shared" si="462"/>
        <v>0-10 DAYS</v>
      </c>
      <c r="CJ640" s="137">
        <f t="shared" si="463"/>
        <v>1</v>
      </c>
      <c r="CK640" s="129" t="str">
        <f t="shared" si="464"/>
        <v>Booked</v>
      </c>
    </row>
    <row r="641" spans="1:89" ht="15" customHeight="1" x14ac:dyDescent="0.25">
      <c r="A641" s="111">
        <v>2998</v>
      </c>
      <c r="B641" s="128" t="str">
        <f t="shared" si="443"/>
        <v>N</v>
      </c>
      <c r="C641" s="128" t="str">
        <f t="shared" si="444"/>
        <v>N</v>
      </c>
      <c r="D641" s="117">
        <v>1396779</v>
      </c>
      <c r="E641" s="135">
        <f t="shared" si="445"/>
        <v>5</v>
      </c>
      <c r="F641" s="124">
        <v>41019</v>
      </c>
      <c r="G641" s="125">
        <v>41143</v>
      </c>
      <c r="H641" s="117">
        <v>1396779</v>
      </c>
      <c r="I641" s="124">
        <v>41107</v>
      </c>
      <c r="J641" s="124">
        <v>41143</v>
      </c>
      <c r="K641" s="126">
        <v>10000</v>
      </c>
      <c r="L641" s="127" t="s">
        <v>570</v>
      </c>
      <c r="N641" s="129" t="str">
        <f t="shared" si="485"/>
        <v>N</v>
      </c>
      <c r="O641" s="128" t="s">
        <v>917</v>
      </c>
      <c r="P641" s="129" t="s">
        <v>39</v>
      </c>
      <c r="Q641" s="111">
        <f t="shared" si="486"/>
        <v>37</v>
      </c>
      <c r="R641" s="111">
        <f t="shared" si="439"/>
        <v>125</v>
      </c>
      <c r="S641" s="129">
        <v>4</v>
      </c>
      <c r="T641" s="129">
        <v>1</v>
      </c>
      <c r="U641" s="129">
        <v>2</v>
      </c>
      <c r="W641" s="111"/>
      <c r="AC641" s="130"/>
      <c r="AD641" s="130">
        <v>27610</v>
      </c>
      <c r="AE641" s="128" t="s">
        <v>46</v>
      </c>
      <c r="AF641" s="128" t="s">
        <v>69</v>
      </c>
      <c r="AG641" s="128" t="s">
        <v>874</v>
      </c>
      <c r="AH641" s="108" t="s">
        <v>58</v>
      </c>
      <c r="AI641" s="128" t="s">
        <v>100</v>
      </c>
      <c r="AJ641" s="129" t="s">
        <v>89</v>
      </c>
      <c r="AK641" s="129">
        <v>2</v>
      </c>
      <c r="AL641" s="3" t="s">
        <v>992</v>
      </c>
      <c r="AN641" s="117">
        <v>7</v>
      </c>
      <c r="AP641" s="129" t="s">
        <v>232</v>
      </c>
      <c r="AR641" s="128" t="s">
        <v>67</v>
      </c>
      <c r="AS641" s="129" t="s">
        <v>61</v>
      </c>
      <c r="AT641" s="129" t="s">
        <v>508</v>
      </c>
      <c r="BC641" s="129" t="s">
        <v>38</v>
      </c>
      <c r="BF641" s="111">
        <f t="shared" si="480"/>
        <v>37</v>
      </c>
      <c r="BG641" s="111">
        <f t="shared" si="478"/>
        <v>37</v>
      </c>
      <c r="BH641" s="111">
        <f t="shared" si="440"/>
        <v>125</v>
      </c>
      <c r="BI641" s="111">
        <f t="shared" si="441"/>
        <v>36.636612021857921</v>
      </c>
      <c r="BJ641" s="129">
        <f t="shared" si="446"/>
        <v>0</v>
      </c>
      <c r="BK641" s="129">
        <f t="shared" si="442"/>
        <v>0</v>
      </c>
      <c r="BL641" s="129" t="str">
        <f t="shared" si="471"/>
        <v>CONVICTION</v>
      </c>
      <c r="BM641" s="129" t="str">
        <f t="shared" si="447"/>
        <v>NONE</v>
      </c>
      <c r="BN641" s="129" t="s">
        <v>566</v>
      </c>
      <c r="BP641" s="137" t="str">
        <f t="shared" si="448"/>
        <v>CONVICTION</v>
      </c>
      <c r="BQ641" s="128" t="str">
        <f t="shared" si="449"/>
        <v>Y</v>
      </c>
      <c r="BR641" s="129" t="str">
        <f t="shared" si="450"/>
        <v>DETAINED</v>
      </c>
      <c r="BS641" s="129" t="str">
        <f t="shared" si="451"/>
        <v>DISPOSED</v>
      </c>
      <c r="BT641" s="129" t="str">
        <f t="shared" si="452"/>
        <v>Y</v>
      </c>
      <c r="BU641" s="109">
        <f t="shared" si="453"/>
        <v>0.29599999999999999</v>
      </c>
      <c r="BV641" s="109">
        <f t="shared" si="454"/>
        <v>1</v>
      </c>
      <c r="BW641" s="109">
        <f t="shared" si="481"/>
        <v>0.70399999999999996</v>
      </c>
      <c r="BX641" s="111">
        <f t="shared" si="456"/>
        <v>0</v>
      </c>
      <c r="BY641" s="129">
        <f t="shared" si="457"/>
        <v>-37</v>
      </c>
      <c r="BZ641" s="111">
        <f t="shared" si="458"/>
        <v>0</v>
      </c>
      <c r="CA641" s="138">
        <f t="shared" si="459"/>
        <v>37</v>
      </c>
      <c r="CB641" s="111" t="e">
        <f t="shared" si="482"/>
        <v>#VALUE!</v>
      </c>
      <c r="CC641" s="129">
        <f>G641-I641+1</f>
        <v>37</v>
      </c>
      <c r="CD641" s="129">
        <f>G641-J641</f>
        <v>0</v>
      </c>
      <c r="CE641" s="129">
        <f t="shared" si="460"/>
        <v>0</v>
      </c>
      <c r="CG641" s="129" t="str">
        <f t="shared" si="461"/>
        <v>Y</v>
      </c>
      <c r="CI641" s="129" t="str">
        <f t="shared" si="462"/>
        <v>31-60 DAYS</v>
      </c>
      <c r="CJ641" s="137">
        <f t="shared" si="463"/>
        <v>3</v>
      </c>
      <c r="CK641" s="129" t="str">
        <f t="shared" si="464"/>
        <v>Booked</v>
      </c>
    </row>
    <row r="642" spans="1:89" ht="15.75" customHeight="1" x14ac:dyDescent="0.25">
      <c r="A642" s="111">
        <v>2261</v>
      </c>
      <c r="B642" s="128" t="str">
        <f t="shared" si="443"/>
        <v>N</v>
      </c>
      <c r="C642" s="128" t="str">
        <f t="shared" si="444"/>
        <v>N</v>
      </c>
      <c r="D642" s="117">
        <v>1398561</v>
      </c>
      <c r="E642" s="135">
        <f t="shared" si="445"/>
        <v>5</v>
      </c>
      <c r="F642" s="124">
        <v>40994</v>
      </c>
      <c r="G642" s="125">
        <v>40996</v>
      </c>
      <c r="H642" s="117">
        <v>1398561</v>
      </c>
      <c r="I642" s="124">
        <v>40995</v>
      </c>
      <c r="J642" s="124">
        <v>40996</v>
      </c>
      <c r="K642" s="126">
        <v>30000</v>
      </c>
      <c r="L642" s="129" t="s">
        <v>572</v>
      </c>
      <c r="N642" s="129" t="str">
        <f t="shared" si="485"/>
        <v>N</v>
      </c>
      <c r="O642" s="128" t="s">
        <v>917</v>
      </c>
      <c r="P642" s="129" t="s">
        <v>39</v>
      </c>
      <c r="Q642" s="111">
        <f t="shared" si="486"/>
        <v>2</v>
      </c>
      <c r="R642" s="111">
        <f t="shared" ref="R642:R705" si="487">BH642</f>
        <v>3</v>
      </c>
      <c r="S642" s="129">
        <v>11</v>
      </c>
      <c r="T642" s="129">
        <v>5</v>
      </c>
      <c r="U642" s="129">
        <v>4</v>
      </c>
      <c r="W642" s="111"/>
      <c r="AC642" s="130"/>
      <c r="AD642" s="130">
        <v>25018</v>
      </c>
      <c r="AE642" s="128" t="s">
        <v>46</v>
      </c>
      <c r="AF642" s="128" t="s">
        <v>33</v>
      </c>
      <c r="AG642" s="128" t="s">
        <v>872</v>
      </c>
      <c r="AH642" s="108" t="s">
        <v>58</v>
      </c>
      <c r="AI642" s="128" t="s">
        <v>42</v>
      </c>
      <c r="AJ642" s="129" t="s">
        <v>89</v>
      </c>
      <c r="AK642" s="129">
        <v>1</v>
      </c>
      <c r="AL642" s="3" t="s">
        <v>992</v>
      </c>
      <c r="AN642" s="117">
        <v>8</v>
      </c>
      <c r="AP642" s="129" t="s">
        <v>43</v>
      </c>
      <c r="AR642" s="128" t="s">
        <v>44</v>
      </c>
      <c r="AS642" s="129" t="s">
        <v>45</v>
      </c>
      <c r="BC642" s="129" t="s">
        <v>38</v>
      </c>
      <c r="BF642" s="111">
        <f t="shared" si="480"/>
        <v>2</v>
      </c>
      <c r="BG642" s="111">
        <f t="shared" si="478"/>
        <v>2</v>
      </c>
      <c r="BH642" s="111">
        <f t="shared" ref="BH642:BH705" si="488">IF(G642&gt;1/1/1900,((G642+1)-F642),"STILL OPEN")</f>
        <v>3</v>
      </c>
      <c r="BI642" s="111">
        <f t="shared" ref="BI642:BI705" si="489">(F642-AD642)/366</f>
        <v>43.650273224043715</v>
      </c>
      <c r="BJ642" s="129">
        <f t="shared" si="446"/>
        <v>0</v>
      </c>
      <c r="BK642" s="129">
        <f t="shared" ref="BK642:BK705" si="490">J642-G642</f>
        <v>0</v>
      </c>
      <c r="BL642" s="129" t="str">
        <f t="shared" si="471"/>
        <v>CONVICTION</v>
      </c>
      <c r="BM642" s="129" t="str">
        <f t="shared" si="447"/>
        <v>NONE</v>
      </c>
      <c r="BN642" s="129" t="s">
        <v>566</v>
      </c>
      <c r="BP642" s="137" t="str">
        <f t="shared" si="448"/>
        <v>CONVICTION</v>
      </c>
      <c r="BQ642" s="128" t="str">
        <f t="shared" si="449"/>
        <v>Y</v>
      </c>
      <c r="BR642" s="129" t="str">
        <f t="shared" si="450"/>
        <v>DETAINED</v>
      </c>
      <c r="BS642" s="129" t="str">
        <f t="shared" si="451"/>
        <v>DISPOSED</v>
      </c>
      <c r="BT642" s="129" t="str">
        <f t="shared" si="452"/>
        <v>Y</v>
      </c>
      <c r="BU642" s="109">
        <f t="shared" si="453"/>
        <v>0.66666666666666663</v>
      </c>
      <c r="BV642" s="109">
        <f t="shared" si="454"/>
        <v>1</v>
      </c>
      <c r="BW642" s="109">
        <f t="shared" si="481"/>
        <v>0.33333333333333337</v>
      </c>
      <c r="BX642" s="111">
        <f t="shared" si="456"/>
        <v>0</v>
      </c>
      <c r="BY642" s="129">
        <f t="shared" si="457"/>
        <v>-2</v>
      </c>
      <c r="BZ642" s="111">
        <f t="shared" si="458"/>
        <v>0</v>
      </c>
      <c r="CA642" s="138">
        <f t="shared" si="459"/>
        <v>2</v>
      </c>
      <c r="CB642" s="111" t="e">
        <f t="shared" si="482"/>
        <v>#VALUE!</v>
      </c>
      <c r="CC642" s="129">
        <f>G642-I642+1</f>
        <v>2</v>
      </c>
      <c r="CD642" s="129">
        <f>G642-J642</f>
        <v>0</v>
      </c>
      <c r="CE642" s="129">
        <f t="shared" si="460"/>
        <v>0</v>
      </c>
      <c r="CG642" s="129" t="str">
        <f t="shared" si="461"/>
        <v>Y</v>
      </c>
      <c r="CI642" s="129" t="str">
        <f t="shared" si="462"/>
        <v>0-10 DAYS</v>
      </c>
      <c r="CJ642" s="137">
        <f t="shared" si="463"/>
        <v>1</v>
      </c>
      <c r="CK642" s="129" t="str">
        <f t="shared" si="464"/>
        <v>Booked</v>
      </c>
    </row>
    <row r="643" spans="1:89" ht="15.75" customHeight="1" x14ac:dyDescent="0.25">
      <c r="A643" s="111">
        <v>2492</v>
      </c>
      <c r="B643" s="128" t="str">
        <f t="shared" ref="B643:B706" si="491">IF(BD643&lt;&gt;"","Y","N")</f>
        <v>N</v>
      </c>
      <c r="C643" s="128" t="str">
        <f t="shared" ref="C643:C706" si="492">IF((AND(AV643="",AX643="",AY643="")),"N","Y")</f>
        <v>N</v>
      </c>
      <c r="D643" s="117">
        <v>1400032</v>
      </c>
      <c r="E643" s="135">
        <f t="shared" ref="E643:E706" si="493">IF(OR(AL643="ACQUITTAL",AL643="ACQUIT",AL643="acq insane",AL643="DISMISSED",AL643="NO BILL"),1,IF(AL643="DEFERRED",2,IF(AL643="PROBATION",3,IF(OR(AL643="HCJ",AL643="fine"),4,IF(AL643="STJ",5,IF(AL643="TDC",6,""))))))</f>
        <v>6</v>
      </c>
      <c r="F643" s="124">
        <v>41002</v>
      </c>
      <c r="G643" s="125">
        <v>41502</v>
      </c>
      <c r="H643" s="117">
        <v>1400032</v>
      </c>
      <c r="I643" s="124">
        <v>41003</v>
      </c>
      <c r="J643" s="125">
        <v>41502</v>
      </c>
      <c r="K643" s="126">
        <v>10000</v>
      </c>
      <c r="L643" s="127" t="s">
        <v>570</v>
      </c>
      <c r="N643" s="129" t="str">
        <f t="shared" si="485"/>
        <v>N</v>
      </c>
      <c r="O643" s="128" t="s">
        <v>917</v>
      </c>
      <c r="P643" s="129" t="s">
        <v>39</v>
      </c>
      <c r="Q643" s="111">
        <f t="shared" si="486"/>
        <v>500</v>
      </c>
      <c r="R643" s="111">
        <f t="shared" si="487"/>
        <v>501</v>
      </c>
      <c r="S643" s="129">
        <v>0</v>
      </c>
      <c r="T643" s="129">
        <v>3</v>
      </c>
      <c r="W643" s="111"/>
      <c r="AC643" s="130"/>
      <c r="AD643" s="130">
        <v>15062</v>
      </c>
      <c r="AE643" s="128" t="s">
        <v>46</v>
      </c>
      <c r="AF643" s="128" t="s">
        <v>33</v>
      </c>
      <c r="AG643" s="128" t="s">
        <v>872</v>
      </c>
      <c r="AH643" s="108" t="s">
        <v>58</v>
      </c>
      <c r="AI643" s="128" t="s">
        <v>59</v>
      </c>
      <c r="AJ643" s="129" t="s">
        <v>89</v>
      </c>
      <c r="AK643" s="129">
        <v>15</v>
      </c>
      <c r="AL643" s="3" t="s">
        <v>362</v>
      </c>
      <c r="AM643" s="117">
        <v>6</v>
      </c>
      <c r="AP643" s="129" t="s">
        <v>73</v>
      </c>
      <c r="AR643" s="128" t="s">
        <v>50</v>
      </c>
      <c r="AS643" s="129" t="s">
        <v>74</v>
      </c>
      <c r="BC643" s="129" t="s">
        <v>99</v>
      </c>
      <c r="BF643" s="111">
        <f t="shared" si="480"/>
        <v>500</v>
      </c>
      <c r="BG643" s="111">
        <f t="shared" ref="BG643:BG674" si="494">IF(G643&gt;1/1/1900,((G643+1)-I643),"STILL OPEN")</f>
        <v>500</v>
      </c>
      <c r="BH643" s="111">
        <f t="shared" si="488"/>
        <v>501</v>
      </c>
      <c r="BI643" s="111">
        <f t="shared" si="489"/>
        <v>70.874316939890704</v>
      </c>
      <c r="BJ643" s="129">
        <f t="shared" ref="BJ643:BJ704" si="495">G643-J643-M643</f>
        <v>0</v>
      </c>
      <c r="BK643" s="129">
        <f t="shared" si="490"/>
        <v>0</v>
      </c>
      <c r="BL643" s="129" t="str">
        <f t="shared" si="471"/>
        <v>CONVICTION</v>
      </c>
      <c r="BM643" s="129" t="str">
        <f t="shared" ref="BM643:BM704" si="496">O643</f>
        <v>NONE</v>
      </c>
      <c r="BN643" s="129" t="s">
        <v>566</v>
      </c>
      <c r="BP643" s="137" t="str">
        <f t="shared" ref="BP643:BP706" si="497">IF(OR(AJ643="AQUITTAL",AJ643="DISMISSED",AJ643="FINE",AJ643="NO BILL"),"NO CONVICTION",IF(OR(AJ643="HCJ",AJ643="MHH",AJ643="PROBATION",AJ643="STJ",AJ643="TDC",AJ643="CONVICTED"),"CONVICTION",IF(AJ643="DEFERRED","DEFERRED","")))</f>
        <v>CONVICTION</v>
      </c>
      <c r="BQ643" s="128" t="str">
        <f t="shared" ref="BQ643:BQ706" si="498">IF(BF643&gt;0,"Y",BF643)</f>
        <v>Y</v>
      </c>
      <c r="BR643" s="129" t="str">
        <f t="shared" ref="BR643:BR706" si="499">IF(AND(J643="NOT BOOKED",M643&gt;1/1/1),"BONDED - BEFORE BOOKED",IF(BG643="STILL OPEN","STILL OPEN",IF(N643="Y","ON BOND",IF(J643&gt;=G643,"DETAINED","RELEASED"))))</f>
        <v>DETAINED</v>
      </c>
      <c r="BS643" s="129" t="str">
        <f t="shared" ref="BS643:BS706" si="500">IF(G643&lt;&gt;"","DISPOSED","")</f>
        <v>DISPOSED</v>
      </c>
      <c r="BT643" s="129" t="str">
        <f t="shared" ref="BT643:BT706" si="501">IF(S643&gt;0,"Y","N")</f>
        <v>N</v>
      </c>
      <c r="BU643" s="109">
        <f t="shared" ref="BU643:BU706" si="502">Q643/R643</f>
        <v>0.99800399201596801</v>
      </c>
      <c r="BV643" s="109">
        <f t="shared" ref="BV643:BV706" si="503">IF(I643&gt;F643,((J643-I643+1)/(G643-I643+1)),(J643-I643+1)/(G643-F643+1))</f>
        <v>1</v>
      </c>
      <c r="BW643" s="109">
        <f t="shared" si="481"/>
        <v>1.9960079840319889E-3</v>
      </c>
      <c r="BX643" s="111">
        <f t="shared" ref="BX643:BX706" si="504">+Q643-BF643</f>
        <v>0</v>
      </c>
      <c r="BY643" s="129">
        <f t="shared" ref="BY643:BY706" si="505">I643-J643-1</f>
        <v>-500</v>
      </c>
      <c r="BZ643" s="111">
        <f t="shared" ref="BZ643:BZ706" si="506">BY643+BF643</f>
        <v>0</v>
      </c>
      <c r="CA643" s="138">
        <f t="shared" ref="CA643:CA706" si="507">IF(AND(BS643="DISPOSED",BR643="DETAINED"),G643-I643+1,IF(AND(BS643="DISPOSED",BR643="ON BOND"),M643-I643+1,IF(AND(BS643="STILL OPEN","STILL OPEN"),"NOT BOOKED")))</f>
        <v>500</v>
      </c>
      <c r="CB643" s="111" t="e">
        <f t="shared" si="482"/>
        <v>#VALUE!</v>
      </c>
      <c r="CC643" s="129">
        <f>G643-I643+1</f>
        <v>500</v>
      </c>
      <c r="CD643" s="129">
        <f>G643-J643</f>
        <v>0</v>
      </c>
      <c r="CE643" s="129">
        <f t="shared" ref="CE643:CE706" si="508">G643-J643</f>
        <v>0</v>
      </c>
      <c r="CG643" s="129" t="str">
        <f t="shared" ref="CG643:CG706" si="509">IF((S643+T643+U643)&gt;0,"Y","N")</f>
        <v>Y</v>
      </c>
      <c r="CI643" s="129" t="str">
        <f t="shared" ref="CI643:CI706" si="510">IF(BF643&lt;11,"0-10 DAYS",IF(AND(BF643&gt;10,BF643&lt;31),"11-30 DAYS",IF((AND(BF643&gt;30,BF643&lt;61)),"31-60 DAYS",IF(AND(BF643&gt;60,BF643&lt;91),"61-90 DAYS",IF(AND(BF643&gt;90,BF643&lt;121),"91-120 DAYS",IF(AND(BF643&gt;120,BF643&lt;366),"121-365 DAYS",IF(AND(BF643&gt;365,BF643&lt;730)," &gt;1YRS&lt;2YRS",IF(AND(BF643&gt;729,BF643&lt;1095),"&gt;2YRS&lt;3YRS",IF(BF643&gt;1094,"&gt;3YRS")))))))))</f>
        <v xml:space="preserve"> &gt;1YRS&lt;2YRS</v>
      </c>
      <c r="CJ643" s="137">
        <f t="shared" ref="CJ643:CJ706" si="511">IF(CI643="0-10 DAYS",1,IF(CI643="11-30 DAYS",2,IF(CI643="31-60 DAYS",3,IF(CI643="61-90 DAYS",4,IF(CK643="91-120 DAYS",5,IF(CI643="121-365 DAYS",6,IF(CI643="&gt;1YRS&lt;2YRS",7,IF(CI643="&gt;2YRS&lt;3YRS",8,IF(CI643="&gt;3YRS",9,0)))))))))</f>
        <v>0</v>
      </c>
      <c r="CK643" s="129" t="str">
        <f t="shared" ref="CK643:CK706" si="512">IF(I643="Not Booked","Not Booked","Booked")</f>
        <v>Booked</v>
      </c>
    </row>
    <row r="644" spans="1:89" ht="15" customHeight="1" x14ac:dyDescent="0.25">
      <c r="A644" s="111">
        <v>1522</v>
      </c>
      <c r="B644" s="128" t="str">
        <f t="shared" si="491"/>
        <v>N</v>
      </c>
      <c r="C644" s="128" t="str">
        <f t="shared" si="492"/>
        <v>N</v>
      </c>
      <c r="D644" s="117">
        <v>1400981</v>
      </c>
      <c r="E644" s="135">
        <f t="shared" si="493"/>
        <v>4</v>
      </c>
      <c r="F644" s="124">
        <v>40965</v>
      </c>
      <c r="G644" s="125">
        <v>41247</v>
      </c>
      <c r="H644" s="117">
        <v>1400981</v>
      </c>
      <c r="I644" s="124">
        <v>40965</v>
      </c>
      <c r="J644" s="124">
        <v>40966</v>
      </c>
      <c r="K644" s="126">
        <v>5000</v>
      </c>
      <c r="L644" s="127" t="s">
        <v>569</v>
      </c>
      <c r="M644" s="125">
        <v>40966</v>
      </c>
      <c r="N644" s="129" t="str">
        <f t="shared" si="485"/>
        <v>Y</v>
      </c>
      <c r="O644" s="128" t="s">
        <v>76</v>
      </c>
      <c r="P644" s="129" t="s">
        <v>39</v>
      </c>
      <c r="Q644" s="111">
        <f t="shared" si="486"/>
        <v>2</v>
      </c>
      <c r="R644" s="111">
        <f t="shared" si="487"/>
        <v>283</v>
      </c>
      <c r="S644" s="129">
        <v>1</v>
      </c>
      <c r="T644" s="129">
        <v>5</v>
      </c>
      <c r="U644" s="129">
        <v>1</v>
      </c>
      <c r="W644" s="111"/>
      <c r="AC644" s="130"/>
      <c r="AD644" s="130">
        <v>27503</v>
      </c>
      <c r="AE644" s="128" t="s">
        <v>32</v>
      </c>
      <c r="AF644" s="128" t="s">
        <v>33</v>
      </c>
      <c r="AG644" s="128" t="s">
        <v>872</v>
      </c>
      <c r="AH644" s="108" t="s">
        <v>58</v>
      </c>
      <c r="AI644" s="128" t="s">
        <v>85</v>
      </c>
      <c r="AJ644" s="129" t="s">
        <v>89</v>
      </c>
      <c r="AK644" s="129">
        <v>10</v>
      </c>
      <c r="AL644" s="3" t="s">
        <v>991</v>
      </c>
      <c r="AO644" s="128">
        <v>120</v>
      </c>
      <c r="AP644" s="129" t="s">
        <v>101</v>
      </c>
      <c r="AR644" s="128" t="s">
        <v>67</v>
      </c>
      <c r="AS644" s="129" t="s">
        <v>64</v>
      </c>
      <c r="BC644" s="129" t="s">
        <v>52</v>
      </c>
      <c r="BF644" s="111">
        <f t="shared" si="480"/>
        <v>2</v>
      </c>
      <c r="BG644" s="111">
        <f t="shared" si="494"/>
        <v>283</v>
      </c>
      <c r="BH644" s="111">
        <f t="shared" si="488"/>
        <v>283</v>
      </c>
      <c r="BI644" s="111">
        <f t="shared" si="489"/>
        <v>36.78142076502732</v>
      </c>
      <c r="BJ644" s="129">
        <f>(G644-J644)+(M644-G644)</f>
        <v>0</v>
      </c>
      <c r="BK644" s="129">
        <f t="shared" si="490"/>
        <v>-281</v>
      </c>
      <c r="BL644" s="129" t="str">
        <f t="shared" si="471"/>
        <v>CONVICTION</v>
      </c>
      <c r="BM644" s="129" t="s">
        <v>76</v>
      </c>
      <c r="BN644" s="129" t="s">
        <v>88</v>
      </c>
      <c r="BP644" s="137" t="str">
        <f t="shared" si="497"/>
        <v>CONVICTION</v>
      </c>
      <c r="BQ644" s="128" t="str">
        <f t="shared" si="498"/>
        <v>Y</v>
      </c>
      <c r="BR644" s="129" t="str">
        <f>IF(J644&lt;G644,"ON BOND",0)</f>
        <v>ON BOND</v>
      </c>
      <c r="BS644" s="129" t="str">
        <f t="shared" si="500"/>
        <v>DISPOSED</v>
      </c>
      <c r="BT644" s="129" t="str">
        <f t="shared" si="501"/>
        <v>Y</v>
      </c>
      <c r="BU644" s="109">
        <f t="shared" si="502"/>
        <v>7.0671378091872791E-3</v>
      </c>
      <c r="BV644" s="109">
        <f t="shared" si="503"/>
        <v>7.0671378091872791E-3</v>
      </c>
      <c r="BW644" s="109">
        <f t="shared" si="481"/>
        <v>0</v>
      </c>
      <c r="BX644" s="111">
        <f t="shared" si="504"/>
        <v>0</v>
      </c>
      <c r="BY644" s="129">
        <f t="shared" si="505"/>
        <v>-2</v>
      </c>
      <c r="BZ644" s="111">
        <f t="shared" si="506"/>
        <v>0</v>
      </c>
      <c r="CA644" s="138">
        <f t="shared" si="507"/>
        <v>2</v>
      </c>
      <c r="CB644" s="111" t="e">
        <f t="shared" si="482"/>
        <v>#VALUE!</v>
      </c>
      <c r="CC644" s="129">
        <f>M644-I644+1</f>
        <v>2</v>
      </c>
      <c r="CD644" s="111">
        <f>CC644-BF644</f>
        <v>0</v>
      </c>
      <c r="CE644" s="129">
        <f t="shared" si="508"/>
        <v>281</v>
      </c>
      <c r="CG644" s="129" t="str">
        <f t="shared" si="509"/>
        <v>Y</v>
      </c>
      <c r="CI644" s="129" t="str">
        <f t="shared" si="510"/>
        <v>0-10 DAYS</v>
      </c>
      <c r="CJ644" s="137">
        <f t="shared" si="511"/>
        <v>1</v>
      </c>
      <c r="CK644" s="129" t="str">
        <f t="shared" si="512"/>
        <v>Booked</v>
      </c>
    </row>
    <row r="645" spans="1:89" ht="15" customHeight="1" x14ac:dyDescent="0.25">
      <c r="A645" s="111">
        <v>2254</v>
      </c>
      <c r="B645" s="128" t="str">
        <f t="shared" si="491"/>
        <v>N</v>
      </c>
      <c r="C645" s="128" t="str">
        <f t="shared" si="492"/>
        <v>N</v>
      </c>
      <c r="D645" s="117">
        <v>1401048</v>
      </c>
      <c r="E645" s="135">
        <f t="shared" si="493"/>
        <v>4</v>
      </c>
      <c r="F645" s="124">
        <v>40994</v>
      </c>
      <c r="G645" s="125">
        <v>41022</v>
      </c>
      <c r="H645" s="117">
        <v>1401048</v>
      </c>
      <c r="I645" s="124">
        <v>40995</v>
      </c>
      <c r="J645" s="124">
        <v>41022</v>
      </c>
      <c r="K645" s="126">
        <v>55000</v>
      </c>
      <c r="L645" s="129" t="s">
        <v>572</v>
      </c>
      <c r="N645" s="129" t="str">
        <f t="shared" si="485"/>
        <v>N</v>
      </c>
      <c r="O645" s="128" t="s">
        <v>917</v>
      </c>
      <c r="P645" s="129" t="s">
        <v>39</v>
      </c>
      <c r="Q645" s="111">
        <f t="shared" si="486"/>
        <v>28</v>
      </c>
      <c r="R645" s="111">
        <f t="shared" si="487"/>
        <v>29</v>
      </c>
      <c r="S645" s="129">
        <v>1</v>
      </c>
      <c r="T645" s="129">
        <v>3</v>
      </c>
      <c r="W645" s="111"/>
      <c r="AC645" s="130"/>
      <c r="AD645" s="130">
        <v>26789</v>
      </c>
      <c r="AE645" s="128" t="s">
        <v>32</v>
      </c>
      <c r="AF645" s="128" t="s">
        <v>40</v>
      </c>
      <c r="AG645" s="128" t="s">
        <v>41</v>
      </c>
      <c r="AH645" s="108" t="s">
        <v>41</v>
      </c>
      <c r="AI645" s="128" t="s">
        <v>118</v>
      </c>
      <c r="AJ645" s="129" t="s">
        <v>89</v>
      </c>
      <c r="AK645" s="129">
        <v>2</v>
      </c>
      <c r="AL645" s="3" t="s">
        <v>991</v>
      </c>
      <c r="AO645" s="128">
        <v>45</v>
      </c>
      <c r="AP645" s="129" t="s">
        <v>43</v>
      </c>
      <c r="AR645" s="128" t="s">
        <v>44</v>
      </c>
      <c r="AS645" s="129" t="s">
        <v>45</v>
      </c>
      <c r="BC645" s="129" t="s">
        <v>38</v>
      </c>
      <c r="BF645" s="111">
        <f t="shared" si="480"/>
        <v>28</v>
      </c>
      <c r="BG645" s="111">
        <f t="shared" si="494"/>
        <v>28</v>
      </c>
      <c r="BH645" s="111">
        <f t="shared" si="488"/>
        <v>29</v>
      </c>
      <c r="BI645" s="111">
        <f t="shared" si="489"/>
        <v>38.811475409836063</v>
      </c>
      <c r="BJ645" s="129">
        <f t="shared" si="495"/>
        <v>0</v>
      </c>
      <c r="BK645" s="129">
        <f t="shared" si="490"/>
        <v>0</v>
      </c>
      <c r="BL645" s="129" t="str">
        <f t="shared" si="471"/>
        <v>CONVICTION</v>
      </c>
      <c r="BM645" s="129" t="str">
        <f t="shared" si="496"/>
        <v>NONE</v>
      </c>
      <c r="BN645" s="129" t="s">
        <v>566</v>
      </c>
      <c r="BP645" s="137" t="str">
        <f t="shared" si="497"/>
        <v>CONVICTION</v>
      </c>
      <c r="BQ645" s="128" t="str">
        <f t="shared" si="498"/>
        <v>Y</v>
      </c>
      <c r="BR645" s="129" t="str">
        <f t="shared" si="499"/>
        <v>DETAINED</v>
      </c>
      <c r="BS645" s="129" t="str">
        <f t="shared" si="500"/>
        <v>DISPOSED</v>
      </c>
      <c r="BT645" s="129" t="str">
        <f t="shared" si="501"/>
        <v>Y</v>
      </c>
      <c r="BU645" s="109">
        <f t="shared" si="502"/>
        <v>0.96551724137931039</v>
      </c>
      <c r="BV645" s="109">
        <f t="shared" si="503"/>
        <v>1</v>
      </c>
      <c r="BW645" s="109">
        <f t="shared" si="481"/>
        <v>3.4482758620689613E-2</v>
      </c>
      <c r="BX645" s="111">
        <f t="shared" si="504"/>
        <v>0</v>
      </c>
      <c r="BY645" s="129">
        <f t="shared" si="505"/>
        <v>-28</v>
      </c>
      <c r="BZ645" s="111">
        <f t="shared" si="506"/>
        <v>0</v>
      </c>
      <c r="CA645" s="138">
        <f t="shared" si="507"/>
        <v>28</v>
      </c>
      <c r="CB645" s="111" t="e">
        <f t="shared" si="482"/>
        <v>#VALUE!</v>
      </c>
      <c r="CC645" s="129">
        <f t="shared" ref="CC645:CC650" si="513">G645-I645+1</f>
        <v>28</v>
      </c>
      <c r="CD645" s="129">
        <f t="shared" ref="CD645:CD650" si="514">G645-J645</f>
        <v>0</v>
      </c>
      <c r="CE645" s="129">
        <f t="shared" si="508"/>
        <v>0</v>
      </c>
      <c r="CG645" s="129" t="str">
        <f t="shared" si="509"/>
        <v>Y</v>
      </c>
      <c r="CI645" s="129" t="str">
        <f t="shared" si="510"/>
        <v>11-30 DAYS</v>
      </c>
      <c r="CJ645" s="137">
        <f t="shared" si="511"/>
        <v>2</v>
      </c>
      <c r="CK645" s="129" t="str">
        <f t="shared" si="512"/>
        <v>Booked</v>
      </c>
    </row>
    <row r="646" spans="1:89" ht="15.75" customHeight="1" x14ac:dyDescent="0.25">
      <c r="A646" s="111">
        <v>1011</v>
      </c>
      <c r="B646" s="128" t="str">
        <f t="shared" si="491"/>
        <v>N</v>
      </c>
      <c r="C646" s="128" t="str">
        <f t="shared" si="492"/>
        <v>N</v>
      </c>
      <c r="D646" s="117">
        <v>1402965</v>
      </c>
      <c r="E646" s="135">
        <f t="shared" si="493"/>
        <v>5</v>
      </c>
      <c r="F646" s="124">
        <v>40946</v>
      </c>
      <c r="G646" s="125">
        <v>40974</v>
      </c>
      <c r="H646" s="117">
        <v>1402965</v>
      </c>
      <c r="I646" s="124">
        <v>40947</v>
      </c>
      <c r="J646" s="124">
        <v>40974</v>
      </c>
      <c r="K646" s="126">
        <v>15000</v>
      </c>
      <c r="L646" s="127" t="s">
        <v>571</v>
      </c>
      <c r="N646" s="129" t="str">
        <f t="shared" si="485"/>
        <v>N</v>
      </c>
      <c r="O646" s="128" t="s">
        <v>917</v>
      </c>
      <c r="P646" s="129" t="s">
        <v>39</v>
      </c>
      <c r="Q646" s="111">
        <f t="shared" si="486"/>
        <v>28</v>
      </c>
      <c r="R646" s="111">
        <f t="shared" si="487"/>
        <v>29</v>
      </c>
      <c r="S646" s="129">
        <v>6</v>
      </c>
      <c r="T646" s="129">
        <v>3</v>
      </c>
      <c r="U646" s="129">
        <v>5</v>
      </c>
      <c r="W646" s="111"/>
      <c r="AC646" s="130"/>
      <c r="AD646" s="130">
        <v>18788</v>
      </c>
      <c r="AE646" s="128" t="s">
        <v>32</v>
      </c>
      <c r="AF646" s="128" t="s">
        <v>69</v>
      </c>
      <c r="AG646" s="128" t="s">
        <v>874</v>
      </c>
      <c r="AH646" s="108" t="s">
        <v>58</v>
      </c>
      <c r="AI646" s="128" t="s">
        <v>114</v>
      </c>
      <c r="AJ646" s="129" t="s">
        <v>89</v>
      </c>
      <c r="AK646" s="129">
        <v>2</v>
      </c>
      <c r="AL646" s="3" t="s">
        <v>992</v>
      </c>
      <c r="AN646" s="117">
        <v>6</v>
      </c>
      <c r="AP646" s="129" t="s">
        <v>60</v>
      </c>
      <c r="AR646" s="128" t="s">
        <v>44</v>
      </c>
      <c r="AS646" s="129" t="s">
        <v>61</v>
      </c>
      <c r="BC646" s="129" t="s">
        <v>38</v>
      </c>
      <c r="BF646" s="111">
        <f t="shared" ref="BF646:BF677" si="515">IF(J646&gt;1/1/1900,((J646+1)-I646),"STILL OPEN")</f>
        <v>28</v>
      </c>
      <c r="BG646" s="111">
        <f t="shared" si="494"/>
        <v>28</v>
      </c>
      <c r="BH646" s="111">
        <f t="shared" si="488"/>
        <v>29</v>
      </c>
      <c r="BI646" s="111">
        <f t="shared" si="489"/>
        <v>60.540983606557376</v>
      </c>
      <c r="BJ646" s="129">
        <f t="shared" si="495"/>
        <v>0</v>
      </c>
      <c r="BK646" s="129">
        <f t="shared" si="490"/>
        <v>0</v>
      </c>
      <c r="BL646" s="129" t="str">
        <f t="shared" si="471"/>
        <v>CONVICTION</v>
      </c>
      <c r="BM646" s="129" t="str">
        <f t="shared" si="496"/>
        <v>NONE</v>
      </c>
      <c r="BN646" s="129" t="s">
        <v>566</v>
      </c>
      <c r="BP646" s="137" t="str">
        <f t="shared" si="497"/>
        <v>CONVICTION</v>
      </c>
      <c r="BQ646" s="128" t="str">
        <f t="shared" si="498"/>
        <v>Y</v>
      </c>
      <c r="BR646" s="129" t="str">
        <f t="shared" si="499"/>
        <v>DETAINED</v>
      </c>
      <c r="BS646" s="129" t="str">
        <f t="shared" si="500"/>
        <v>DISPOSED</v>
      </c>
      <c r="BT646" s="129" t="str">
        <f t="shared" si="501"/>
        <v>Y</v>
      </c>
      <c r="BU646" s="109">
        <f t="shared" si="502"/>
        <v>0.96551724137931039</v>
      </c>
      <c r="BV646" s="109">
        <f t="shared" si="503"/>
        <v>1</v>
      </c>
      <c r="BW646" s="109">
        <f t="shared" si="481"/>
        <v>3.4482758620689613E-2</v>
      </c>
      <c r="BX646" s="111">
        <f t="shared" si="504"/>
        <v>0</v>
      </c>
      <c r="BY646" s="129">
        <f t="shared" si="505"/>
        <v>-28</v>
      </c>
      <c r="BZ646" s="111">
        <f t="shared" si="506"/>
        <v>0</v>
      </c>
      <c r="CA646" s="138">
        <f t="shared" si="507"/>
        <v>28</v>
      </c>
      <c r="CB646" s="111" t="e">
        <f t="shared" si="482"/>
        <v>#VALUE!</v>
      </c>
      <c r="CC646" s="129">
        <f t="shared" si="513"/>
        <v>28</v>
      </c>
      <c r="CD646" s="129">
        <f t="shared" si="514"/>
        <v>0</v>
      </c>
      <c r="CE646" s="129">
        <f t="shared" si="508"/>
        <v>0</v>
      </c>
      <c r="CG646" s="129" t="str">
        <f t="shared" si="509"/>
        <v>Y</v>
      </c>
      <c r="CI646" s="129" t="str">
        <f t="shared" si="510"/>
        <v>11-30 DAYS</v>
      </c>
      <c r="CJ646" s="137">
        <f t="shared" si="511"/>
        <v>2</v>
      </c>
      <c r="CK646" s="129" t="str">
        <f t="shared" si="512"/>
        <v>Booked</v>
      </c>
    </row>
    <row r="647" spans="1:89" ht="15.75" customHeight="1" x14ac:dyDescent="0.25">
      <c r="A647" s="111">
        <v>1997</v>
      </c>
      <c r="B647" s="128" t="str">
        <f t="shared" si="491"/>
        <v>N</v>
      </c>
      <c r="C647" s="128" t="str">
        <f t="shared" si="492"/>
        <v>N</v>
      </c>
      <c r="D647" s="117">
        <v>1403258</v>
      </c>
      <c r="E647" s="135">
        <f t="shared" si="493"/>
        <v>4</v>
      </c>
      <c r="F647" s="124">
        <v>40983</v>
      </c>
      <c r="G647" s="125">
        <v>41004</v>
      </c>
      <c r="H647" s="117">
        <v>1403258</v>
      </c>
      <c r="I647" s="124">
        <v>40984</v>
      </c>
      <c r="J647" s="124">
        <v>41004</v>
      </c>
      <c r="K647" s="126">
        <v>15000</v>
      </c>
      <c r="L647" s="127" t="s">
        <v>571</v>
      </c>
      <c r="N647" s="129" t="str">
        <f t="shared" si="485"/>
        <v>N</v>
      </c>
      <c r="O647" s="128" t="s">
        <v>917</v>
      </c>
      <c r="P647" s="129" t="s">
        <v>39</v>
      </c>
      <c r="Q647" s="111">
        <f t="shared" si="486"/>
        <v>21</v>
      </c>
      <c r="R647" s="111">
        <f t="shared" si="487"/>
        <v>22</v>
      </c>
      <c r="S647" s="129">
        <v>3</v>
      </c>
      <c r="T647" s="129">
        <v>2</v>
      </c>
      <c r="U647" s="129">
        <v>2</v>
      </c>
      <c r="W647" s="111"/>
      <c r="AC647" s="130"/>
      <c r="AD647" s="130">
        <v>27510</v>
      </c>
      <c r="AE647" s="128" t="s">
        <v>46</v>
      </c>
      <c r="AF647" s="128" t="s">
        <v>33</v>
      </c>
      <c r="AG647" s="128" t="s">
        <v>872</v>
      </c>
      <c r="AH647" s="108" t="s">
        <v>58</v>
      </c>
      <c r="AI647" s="128" t="s">
        <v>90</v>
      </c>
      <c r="AJ647" s="129" t="s">
        <v>89</v>
      </c>
      <c r="AK647" s="129">
        <v>2</v>
      </c>
      <c r="AL647" s="3" t="s">
        <v>991</v>
      </c>
      <c r="AO647" s="128">
        <v>180</v>
      </c>
      <c r="AP647" s="129" t="s">
        <v>60</v>
      </c>
      <c r="AR647" s="128" t="s">
        <v>44</v>
      </c>
      <c r="AS647" s="129" t="s">
        <v>61</v>
      </c>
      <c r="BC647" s="129" t="s">
        <v>38</v>
      </c>
      <c r="BF647" s="111">
        <f t="shared" si="515"/>
        <v>21</v>
      </c>
      <c r="BG647" s="111">
        <f t="shared" si="494"/>
        <v>21</v>
      </c>
      <c r="BH647" s="111">
        <f t="shared" si="488"/>
        <v>22</v>
      </c>
      <c r="BI647" s="111">
        <f t="shared" si="489"/>
        <v>36.811475409836063</v>
      </c>
      <c r="BJ647" s="129">
        <f t="shared" si="495"/>
        <v>0</v>
      </c>
      <c r="BK647" s="129">
        <f t="shared" si="490"/>
        <v>0</v>
      </c>
      <c r="BL647" s="129" t="str">
        <f t="shared" si="471"/>
        <v>CONVICTION</v>
      </c>
      <c r="BM647" s="129" t="str">
        <f t="shared" si="496"/>
        <v>NONE</v>
      </c>
      <c r="BN647" s="129" t="s">
        <v>566</v>
      </c>
      <c r="BP647" s="137" t="str">
        <f t="shared" si="497"/>
        <v>CONVICTION</v>
      </c>
      <c r="BQ647" s="128" t="str">
        <f t="shared" si="498"/>
        <v>Y</v>
      </c>
      <c r="BR647" s="129" t="str">
        <f t="shared" si="499"/>
        <v>DETAINED</v>
      </c>
      <c r="BS647" s="129" t="str">
        <f t="shared" si="500"/>
        <v>DISPOSED</v>
      </c>
      <c r="BT647" s="129" t="str">
        <f t="shared" si="501"/>
        <v>Y</v>
      </c>
      <c r="BU647" s="109">
        <f t="shared" si="502"/>
        <v>0.95454545454545459</v>
      </c>
      <c r="BV647" s="109">
        <f t="shared" si="503"/>
        <v>1</v>
      </c>
      <c r="BW647" s="109">
        <f t="shared" si="481"/>
        <v>4.5454545454545414E-2</v>
      </c>
      <c r="BX647" s="111">
        <f t="shared" si="504"/>
        <v>0</v>
      </c>
      <c r="BY647" s="129">
        <f t="shared" si="505"/>
        <v>-21</v>
      </c>
      <c r="BZ647" s="111">
        <f t="shared" si="506"/>
        <v>0</v>
      </c>
      <c r="CA647" s="138">
        <f t="shared" si="507"/>
        <v>21</v>
      </c>
      <c r="CB647" s="111" t="e">
        <f t="shared" si="482"/>
        <v>#VALUE!</v>
      </c>
      <c r="CC647" s="129">
        <f t="shared" si="513"/>
        <v>21</v>
      </c>
      <c r="CD647" s="129">
        <f t="shared" si="514"/>
        <v>0</v>
      </c>
      <c r="CE647" s="129">
        <f t="shared" si="508"/>
        <v>0</v>
      </c>
      <c r="CG647" s="129" t="str">
        <f t="shared" si="509"/>
        <v>Y</v>
      </c>
      <c r="CI647" s="129" t="str">
        <f t="shared" si="510"/>
        <v>11-30 DAYS</v>
      </c>
      <c r="CJ647" s="137">
        <f t="shared" si="511"/>
        <v>2</v>
      </c>
      <c r="CK647" s="129" t="str">
        <f t="shared" si="512"/>
        <v>Booked</v>
      </c>
    </row>
    <row r="648" spans="1:89" ht="15.75" customHeight="1" x14ac:dyDescent="0.25">
      <c r="A648" s="111">
        <v>1772</v>
      </c>
      <c r="B648" s="128" t="str">
        <f t="shared" si="491"/>
        <v>N</v>
      </c>
      <c r="C648" s="128" t="str">
        <f t="shared" si="492"/>
        <v>N</v>
      </c>
      <c r="D648" s="117">
        <v>1404530</v>
      </c>
      <c r="E648" s="135">
        <f t="shared" si="493"/>
        <v>3</v>
      </c>
      <c r="F648" s="124">
        <v>40975</v>
      </c>
      <c r="G648" s="125">
        <v>41100</v>
      </c>
      <c r="H648" s="117">
        <v>1404530</v>
      </c>
      <c r="I648" s="124">
        <v>40975</v>
      </c>
      <c r="J648" s="124">
        <v>41100</v>
      </c>
      <c r="K648" s="126">
        <v>20000</v>
      </c>
      <c r="L648" s="127" t="s">
        <v>571</v>
      </c>
      <c r="N648" s="129" t="str">
        <f t="shared" si="485"/>
        <v>N</v>
      </c>
      <c r="O648" s="128" t="s">
        <v>917</v>
      </c>
      <c r="P648" s="129" t="s">
        <v>39</v>
      </c>
      <c r="Q648" s="111">
        <f t="shared" si="486"/>
        <v>126</v>
      </c>
      <c r="R648" s="111">
        <f t="shared" si="487"/>
        <v>126</v>
      </c>
      <c r="S648" s="129">
        <v>2</v>
      </c>
      <c r="T648" s="129">
        <v>9</v>
      </c>
      <c r="U648" s="129">
        <v>1</v>
      </c>
      <c r="V648" s="117">
        <v>1</v>
      </c>
      <c r="W648" s="111"/>
      <c r="AC648" s="130"/>
      <c r="AD648" s="130">
        <v>27505</v>
      </c>
      <c r="AE648" s="128" t="s">
        <v>32</v>
      </c>
      <c r="AF648" s="128" t="s">
        <v>69</v>
      </c>
      <c r="AG648" s="128" t="s">
        <v>874</v>
      </c>
      <c r="AH648" s="108" t="s">
        <v>58</v>
      </c>
      <c r="AI648" s="128" t="s">
        <v>87</v>
      </c>
      <c r="AJ648" s="129" t="s">
        <v>89</v>
      </c>
      <c r="AK648" s="129">
        <v>4</v>
      </c>
      <c r="AL648" s="3" t="s">
        <v>185</v>
      </c>
      <c r="AP648" s="129" t="s">
        <v>66</v>
      </c>
      <c r="AR648" s="128" t="s">
        <v>67</v>
      </c>
      <c r="AS648" s="129" t="s">
        <v>68</v>
      </c>
      <c r="BC648" s="129" t="s">
        <v>38</v>
      </c>
      <c r="BF648" s="111">
        <f t="shared" si="515"/>
        <v>126</v>
      </c>
      <c r="BG648" s="111">
        <f t="shared" si="494"/>
        <v>126</v>
      </c>
      <c r="BH648" s="111">
        <f t="shared" si="488"/>
        <v>126</v>
      </c>
      <c r="BI648" s="111">
        <f t="shared" si="489"/>
        <v>36.803278688524593</v>
      </c>
      <c r="BJ648" s="129">
        <f t="shared" si="495"/>
        <v>0</v>
      </c>
      <c r="BK648" s="129">
        <f t="shared" si="490"/>
        <v>0</v>
      </c>
      <c r="BL648" s="129" t="str">
        <f t="shared" si="471"/>
        <v>CONVICTION</v>
      </c>
      <c r="BM648" s="129" t="str">
        <f t="shared" si="496"/>
        <v>NONE</v>
      </c>
      <c r="BN648" s="129" t="s">
        <v>566</v>
      </c>
      <c r="BP648" s="137" t="str">
        <f t="shared" si="497"/>
        <v>CONVICTION</v>
      </c>
      <c r="BQ648" s="128" t="str">
        <f t="shared" si="498"/>
        <v>Y</v>
      </c>
      <c r="BR648" s="129" t="str">
        <f t="shared" si="499"/>
        <v>DETAINED</v>
      </c>
      <c r="BS648" s="129" t="str">
        <f t="shared" si="500"/>
        <v>DISPOSED</v>
      </c>
      <c r="BT648" s="129" t="str">
        <f t="shared" si="501"/>
        <v>Y</v>
      </c>
      <c r="BU648" s="109">
        <f t="shared" si="502"/>
        <v>1</v>
      </c>
      <c r="BV648" s="109">
        <f t="shared" si="503"/>
        <v>1</v>
      </c>
      <c r="BW648" s="109">
        <f t="shared" si="481"/>
        <v>0</v>
      </c>
      <c r="BX648" s="111">
        <f t="shared" si="504"/>
        <v>0</v>
      </c>
      <c r="BY648" s="129">
        <f t="shared" si="505"/>
        <v>-126</v>
      </c>
      <c r="BZ648" s="111">
        <f t="shared" si="506"/>
        <v>0</v>
      </c>
      <c r="CA648" s="138">
        <f t="shared" si="507"/>
        <v>126</v>
      </c>
      <c r="CB648" s="111" t="e">
        <f t="shared" si="482"/>
        <v>#VALUE!</v>
      </c>
      <c r="CC648" s="129">
        <f t="shared" si="513"/>
        <v>126</v>
      </c>
      <c r="CD648" s="129">
        <f t="shared" si="514"/>
        <v>0</v>
      </c>
      <c r="CE648" s="129">
        <f t="shared" si="508"/>
        <v>0</v>
      </c>
      <c r="CG648" s="129" t="str">
        <f t="shared" si="509"/>
        <v>Y</v>
      </c>
      <c r="CI648" s="129" t="str">
        <f t="shared" si="510"/>
        <v>121-365 DAYS</v>
      </c>
      <c r="CJ648" s="137">
        <f t="shared" si="511"/>
        <v>6</v>
      </c>
      <c r="CK648" s="129" t="str">
        <f t="shared" si="512"/>
        <v>Booked</v>
      </c>
    </row>
    <row r="649" spans="1:89" ht="15.75" customHeight="1" x14ac:dyDescent="0.25">
      <c r="A649" s="111">
        <v>2993</v>
      </c>
      <c r="B649" s="128" t="str">
        <f t="shared" si="491"/>
        <v>N</v>
      </c>
      <c r="C649" s="128" t="str">
        <f t="shared" si="492"/>
        <v>N</v>
      </c>
      <c r="D649" s="117">
        <v>1404928</v>
      </c>
      <c r="E649" s="135">
        <f t="shared" si="493"/>
        <v>1</v>
      </c>
      <c r="F649" s="124">
        <v>41019</v>
      </c>
      <c r="G649" s="125">
        <v>41079</v>
      </c>
      <c r="H649" s="117">
        <v>1404928</v>
      </c>
      <c r="I649" s="124">
        <v>41019</v>
      </c>
      <c r="J649" s="124">
        <v>41079</v>
      </c>
      <c r="K649" s="126" t="s">
        <v>564</v>
      </c>
      <c r="L649" s="127" t="s">
        <v>564</v>
      </c>
      <c r="N649" s="129" t="s">
        <v>566</v>
      </c>
      <c r="O649" s="128" t="s">
        <v>917</v>
      </c>
      <c r="P649" s="129" t="s">
        <v>55</v>
      </c>
      <c r="Q649" s="111">
        <f t="shared" si="486"/>
        <v>61</v>
      </c>
      <c r="R649" s="111">
        <f t="shared" si="487"/>
        <v>61</v>
      </c>
      <c r="S649" s="129">
        <v>11</v>
      </c>
      <c r="T649" s="129">
        <v>18</v>
      </c>
      <c r="U649" s="129">
        <v>5</v>
      </c>
      <c r="W649" s="111"/>
      <c r="AC649" s="130"/>
      <c r="AD649" s="130">
        <v>28344</v>
      </c>
      <c r="AE649" s="128" t="s">
        <v>32</v>
      </c>
      <c r="AF649" s="128" t="s">
        <v>33</v>
      </c>
      <c r="AG649" s="128" t="s">
        <v>872</v>
      </c>
      <c r="AH649" s="108" t="s">
        <v>31</v>
      </c>
      <c r="AI649" s="128" t="s">
        <v>72</v>
      </c>
      <c r="AJ649" s="129" t="s">
        <v>55</v>
      </c>
      <c r="AK649" s="129">
        <v>3</v>
      </c>
      <c r="AL649" s="3" t="s">
        <v>55</v>
      </c>
      <c r="AP649" s="129" t="s">
        <v>150</v>
      </c>
      <c r="AR649" s="128" t="s">
        <v>67</v>
      </c>
      <c r="AS649" s="129" t="s">
        <v>74</v>
      </c>
      <c r="AX649" s="32"/>
      <c r="BC649" s="129" t="s">
        <v>38</v>
      </c>
      <c r="BF649" s="111">
        <f t="shared" si="515"/>
        <v>61</v>
      </c>
      <c r="BG649" s="111">
        <f t="shared" si="494"/>
        <v>61</v>
      </c>
      <c r="BH649" s="111">
        <f t="shared" si="488"/>
        <v>61</v>
      </c>
      <c r="BI649" s="111">
        <f t="shared" si="489"/>
        <v>34.631147540983605</v>
      </c>
      <c r="BJ649" s="129">
        <f t="shared" si="495"/>
        <v>0</v>
      </c>
      <c r="BK649" s="129">
        <f t="shared" si="490"/>
        <v>0</v>
      </c>
      <c r="BL649" s="129" t="str">
        <f t="shared" si="471"/>
        <v>NO CONVICTION</v>
      </c>
      <c r="BM649" s="129" t="str">
        <f t="shared" si="496"/>
        <v>NONE</v>
      </c>
      <c r="BN649" s="129" t="s">
        <v>566</v>
      </c>
      <c r="BP649" s="137" t="str">
        <f t="shared" si="497"/>
        <v>NO CONVICTION</v>
      </c>
      <c r="BQ649" s="128" t="str">
        <f t="shared" si="498"/>
        <v>Y</v>
      </c>
      <c r="BR649" s="129" t="str">
        <f t="shared" si="499"/>
        <v>DETAINED</v>
      </c>
      <c r="BS649" s="129" t="str">
        <f t="shared" si="500"/>
        <v>DISPOSED</v>
      </c>
      <c r="BT649" s="129" t="str">
        <f t="shared" si="501"/>
        <v>Y</v>
      </c>
      <c r="BU649" s="109">
        <f>IFERROR(Q649/R649,BR649)</f>
        <v>1</v>
      </c>
      <c r="BV649" s="109">
        <f t="shared" si="503"/>
        <v>1</v>
      </c>
      <c r="BW649" s="109">
        <f t="shared" si="481"/>
        <v>0</v>
      </c>
      <c r="BX649" s="111">
        <f t="shared" si="504"/>
        <v>0</v>
      </c>
      <c r="BY649" s="129">
        <f t="shared" si="505"/>
        <v>-61</v>
      </c>
      <c r="BZ649" s="111">
        <f t="shared" si="506"/>
        <v>0</v>
      </c>
      <c r="CA649" s="138">
        <f t="shared" si="507"/>
        <v>61</v>
      </c>
      <c r="CB649" s="111" t="e">
        <f t="shared" si="482"/>
        <v>#VALUE!</v>
      </c>
      <c r="CC649" s="129">
        <f t="shared" si="513"/>
        <v>61</v>
      </c>
      <c r="CD649" s="129">
        <f t="shared" si="514"/>
        <v>0</v>
      </c>
      <c r="CE649" s="129">
        <f t="shared" si="508"/>
        <v>0</v>
      </c>
      <c r="CG649" s="129" t="str">
        <f t="shared" si="509"/>
        <v>Y</v>
      </c>
      <c r="CI649" s="129" t="str">
        <f t="shared" si="510"/>
        <v>61-90 DAYS</v>
      </c>
      <c r="CJ649" s="137">
        <f t="shared" si="511"/>
        <v>4</v>
      </c>
      <c r="CK649" s="129" t="str">
        <f t="shared" si="512"/>
        <v>Booked</v>
      </c>
    </row>
    <row r="650" spans="1:89" ht="15" customHeight="1" x14ac:dyDescent="0.25">
      <c r="A650" s="111">
        <v>321</v>
      </c>
      <c r="B650" s="128" t="str">
        <f t="shared" si="491"/>
        <v>N</v>
      </c>
      <c r="C650" s="128" t="str">
        <f t="shared" si="492"/>
        <v>N</v>
      </c>
      <c r="D650" s="117">
        <v>1410125</v>
      </c>
      <c r="E650" s="135">
        <f t="shared" si="493"/>
        <v>5</v>
      </c>
      <c r="F650" s="124">
        <v>40921</v>
      </c>
      <c r="G650" s="125">
        <v>40928</v>
      </c>
      <c r="H650" s="117">
        <v>1410125</v>
      </c>
      <c r="I650" s="124">
        <v>40927</v>
      </c>
      <c r="J650" s="124">
        <v>40928</v>
      </c>
      <c r="K650" s="126">
        <v>30000</v>
      </c>
      <c r="L650" s="129" t="s">
        <v>572</v>
      </c>
      <c r="N650" s="129" t="str">
        <f>IF(M650&gt;1/1/1,"Y","N")</f>
        <v>N</v>
      </c>
      <c r="O650" s="128" t="s">
        <v>917</v>
      </c>
      <c r="P650" s="129" t="s">
        <v>39</v>
      </c>
      <c r="Q650" s="111">
        <f t="shared" si="486"/>
        <v>2</v>
      </c>
      <c r="R650" s="111">
        <f t="shared" si="487"/>
        <v>8</v>
      </c>
      <c r="S650" s="129">
        <v>11</v>
      </c>
      <c r="T650" s="129">
        <v>6</v>
      </c>
      <c r="U650" s="129">
        <v>1</v>
      </c>
      <c r="W650" s="111"/>
      <c r="AC650" s="130"/>
      <c r="AD650" s="130">
        <v>27740</v>
      </c>
      <c r="AE650" s="128" t="s">
        <v>32</v>
      </c>
      <c r="AF650" s="128" t="s">
        <v>33</v>
      </c>
      <c r="AG650" s="128" t="s">
        <v>872</v>
      </c>
      <c r="AH650" s="108" t="s">
        <v>31</v>
      </c>
      <c r="AI650" s="128" t="s">
        <v>95</v>
      </c>
      <c r="AJ650" s="129" t="s">
        <v>89</v>
      </c>
      <c r="AK650" s="129">
        <v>2</v>
      </c>
      <c r="AL650" s="3" t="s">
        <v>992</v>
      </c>
      <c r="AN650" s="117">
        <v>6</v>
      </c>
      <c r="AP650" s="129" t="s">
        <v>60</v>
      </c>
      <c r="AR650" s="128" t="s">
        <v>44</v>
      </c>
      <c r="AS650" s="129" t="s">
        <v>61</v>
      </c>
      <c r="BC650" s="129" t="s">
        <v>38</v>
      </c>
      <c r="BF650" s="111">
        <f t="shared" si="515"/>
        <v>2</v>
      </c>
      <c r="BG650" s="111">
        <f t="shared" si="494"/>
        <v>2</v>
      </c>
      <c r="BH650" s="111">
        <f t="shared" si="488"/>
        <v>8</v>
      </c>
      <c r="BI650" s="111">
        <f t="shared" si="489"/>
        <v>36.013661202185794</v>
      </c>
      <c r="BJ650" s="129">
        <f t="shared" si="495"/>
        <v>0</v>
      </c>
      <c r="BK650" s="129">
        <f t="shared" si="490"/>
        <v>0</v>
      </c>
      <c r="BL650" s="129" t="str">
        <f t="shared" si="471"/>
        <v>CONVICTION</v>
      </c>
      <c r="BM650" s="129" t="str">
        <f t="shared" si="496"/>
        <v>NONE</v>
      </c>
      <c r="BN650" s="129" t="s">
        <v>566</v>
      </c>
      <c r="BP650" s="137" t="str">
        <f t="shared" si="497"/>
        <v>CONVICTION</v>
      </c>
      <c r="BQ650" s="128" t="str">
        <f t="shared" si="498"/>
        <v>Y</v>
      </c>
      <c r="BR650" s="129" t="str">
        <f t="shared" si="499"/>
        <v>DETAINED</v>
      </c>
      <c r="BS650" s="129" t="str">
        <f t="shared" si="500"/>
        <v>DISPOSED</v>
      </c>
      <c r="BT650" s="129" t="str">
        <f t="shared" si="501"/>
        <v>Y</v>
      </c>
      <c r="BU650" s="109">
        <f t="shared" si="502"/>
        <v>0.25</v>
      </c>
      <c r="BV650" s="109">
        <f t="shared" si="503"/>
        <v>1</v>
      </c>
      <c r="BW650" s="109">
        <f t="shared" si="481"/>
        <v>0.75</v>
      </c>
      <c r="BX650" s="111">
        <f t="shared" si="504"/>
        <v>0</v>
      </c>
      <c r="BY650" s="129">
        <f t="shared" si="505"/>
        <v>-2</v>
      </c>
      <c r="BZ650" s="111">
        <f t="shared" si="506"/>
        <v>0</v>
      </c>
      <c r="CA650" s="138">
        <f t="shared" si="507"/>
        <v>2</v>
      </c>
      <c r="CB650" s="111" t="e">
        <f t="shared" si="482"/>
        <v>#VALUE!</v>
      </c>
      <c r="CC650" s="129">
        <f t="shared" si="513"/>
        <v>2</v>
      </c>
      <c r="CD650" s="129">
        <f t="shared" si="514"/>
        <v>0</v>
      </c>
      <c r="CE650" s="129">
        <f t="shared" si="508"/>
        <v>0</v>
      </c>
      <c r="CG650" s="129" t="str">
        <f t="shared" si="509"/>
        <v>Y</v>
      </c>
      <c r="CI650" s="129" t="str">
        <f t="shared" si="510"/>
        <v>0-10 DAYS</v>
      </c>
      <c r="CJ650" s="137">
        <f t="shared" si="511"/>
        <v>1</v>
      </c>
      <c r="CK650" s="129" t="str">
        <f t="shared" si="512"/>
        <v>Booked</v>
      </c>
    </row>
    <row r="651" spans="1:89" ht="15" customHeight="1" x14ac:dyDescent="0.25">
      <c r="A651" s="111">
        <v>817</v>
      </c>
      <c r="B651" s="128" t="str">
        <f t="shared" si="491"/>
        <v>N</v>
      </c>
      <c r="C651" s="128" t="str">
        <f t="shared" si="492"/>
        <v>N</v>
      </c>
      <c r="D651" s="117">
        <v>1410133</v>
      </c>
      <c r="E651" s="135">
        <f t="shared" si="493"/>
        <v>1</v>
      </c>
      <c r="F651" s="124">
        <v>40940</v>
      </c>
      <c r="G651" s="125">
        <v>41192</v>
      </c>
      <c r="H651" s="117">
        <v>1410133</v>
      </c>
      <c r="I651" s="124">
        <v>40941</v>
      </c>
      <c r="J651" s="124">
        <v>40948</v>
      </c>
      <c r="K651" s="126">
        <v>15000</v>
      </c>
      <c r="L651" s="127" t="s">
        <v>571</v>
      </c>
      <c r="M651" s="125">
        <v>40948</v>
      </c>
      <c r="N651" s="129" t="str">
        <f>IF(M651&gt;1/1/1,"Y","N")</f>
        <v>Y</v>
      </c>
      <c r="O651" s="128" t="s">
        <v>76</v>
      </c>
      <c r="P651" s="129" t="s">
        <v>55</v>
      </c>
      <c r="Q651" s="111">
        <f t="shared" si="486"/>
        <v>8</v>
      </c>
      <c r="R651" s="111">
        <f t="shared" si="487"/>
        <v>253</v>
      </c>
      <c r="S651" s="129">
        <v>4</v>
      </c>
      <c r="T651" s="129">
        <v>8</v>
      </c>
      <c r="U651" s="129">
        <v>3</v>
      </c>
      <c r="W651" s="111"/>
      <c r="AC651" s="130"/>
      <c r="AD651" s="130">
        <v>27687</v>
      </c>
      <c r="AE651" s="128" t="s">
        <v>32</v>
      </c>
      <c r="AF651" s="128" t="s">
        <v>40</v>
      </c>
      <c r="AG651" s="128" t="s">
        <v>41</v>
      </c>
      <c r="AH651" s="108" t="s">
        <v>41</v>
      </c>
      <c r="AI651" s="128" t="s">
        <v>62</v>
      </c>
      <c r="AJ651" s="129" t="s">
        <v>55</v>
      </c>
      <c r="AK651" s="129">
        <v>13</v>
      </c>
      <c r="AL651" s="3" t="s">
        <v>55</v>
      </c>
      <c r="AP651" s="129" t="s">
        <v>60</v>
      </c>
      <c r="AR651" s="128" t="s">
        <v>44</v>
      </c>
      <c r="AS651" s="129" t="s">
        <v>61</v>
      </c>
      <c r="BC651" s="129" t="s">
        <v>38</v>
      </c>
      <c r="BF651" s="111">
        <f t="shared" si="515"/>
        <v>8</v>
      </c>
      <c r="BG651" s="111">
        <f t="shared" si="494"/>
        <v>252</v>
      </c>
      <c r="BH651" s="111">
        <f t="shared" si="488"/>
        <v>253</v>
      </c>
      <c r="BI651" s="111">
        <f t="shared" si="489"/>
        <v>36.210382513661202</v>
      </c>
      <c r="BJ651" s="129">
        <f>(G651-J651)+(M651-G651)</f>
        <v>0</v>
      </c>
      <c r="BK651" s="129">
        <f t="shared" si="490"/>
        <v>-244</v>
      </c>
      <c r="BL651" s="129" t="str">
        <f t="shared" si="471"/>
        <v>NO CONVICTION</v>
      </c>
      <c r="BM651" s="129" t="s">
        <v>76</v>
      </c>
      <c r="BN651" s="129" t="s">
        <v>88</v>
      </c>
      <c r="BP651" s="137" t="str">
        <f t="shared" si="497"/>
        <v>NO CONVICTION</v>
      </c>
      <c r="BQ651" s="128" t="str">
        <f t="shared" si="498"/>
        <v>Y</v>
      </c>
      <c r="BR651" s="129" t="str">
        <f t="shared" si="499"/>
        <v>ON BOND</v>
      </c>
      <c r="BS651" s="129" t="str">
        <f t="shared" si="500"/>
        <v>DISPOSED</v>
      </c>
      <c r="BT651" s="129" t="str">
        <f t="shared" si="501"/>
        <v>Y</v>
      </c>
      <c r="BU651" s="109">
        <f>IFERROR(Q651/R651,BR651)</f>
        <v>3.1620553359683792E-2</v>
      </c>
      <c r="BV651" s="109">
        <f t="shared" si="503"/>
        <v>3.1746031746031744E-2</v>
      </c>
      <c r="BW651" s="109">
        <f t="shared" si="481"/>
        <v>1.2547838634795194E-4</v>
      </c>
      <c r="BX651" s="111">
        <f t="shared" si="504"/>
        <v>0</v>
      </c>
      <c r="BY651" s="129">
        <f t="shared" si="505"/>
        <v>-8</v>
      </c>
      <c r="BZ651" s="111">
        <f t="shared" si="506"/>
        <v>0</v>
      </c>
      <c r="CA651" s="138">
        <f t="shared" si="507"/>
        <v>8</v>
      </c>
      <c r="CB651" s="111" t="e">
        <f t="shared" si="482"/>
        <v>#VALUE!</v>
      </c>
      <c r="CC651" s="129">
        <f>M651-I651+1</f>
        <v>8</v>
      </c>
      <c r="CD651" s="111">
        <f>CC651-BF651</f>
        <v>0</v>
      </c>
      <c r="CE651" s="129">
        <f t="shared" si="508"/>
        <v>244</v>
      </c>
      <c r="CG651" s="129" t="str">
        <f t="shared" si="509"/>
        <v>Y</v>
      </c>
      <c r="CI651" s="129" t="str">
        <f t="shared" si="510"/>
        <v>0-10 DAYS</v>
      </c>
      <c r="CJ651" s="137">
        <f t="shared" si="511"/>
        <v>1</v>
      </c>
      <c r="CK651" s="129" t="str">
        <f t="shared" si="512"/>
        <v>Booked</v>
      </c>
    </row>
    <row r="652" spans="1:89" ht="15" customHeight="1" x14ac:dyDescent="0.25">
      <c r="A652" s="111">
        <v>1413</v>
      </c>
      <c r="B652" s="128" t="str">
        <f t="shared" si="491"/>
        <v>N</v>
      </c>
      <c r="C652" s="128" t="str">
        <f t="shared" si="492"/>
        <v>N</v>
      </c>
      <c r="D652" s="117">
        <v>1412651</v>
      </c>
      <c r="E652" s="135">
        <f t="shared" si="493"/>
        <v>1</v>
      </c>
      <c r="F652" s="124">
        <v>40961</v>
      </c>
      <c r="G652" s="125">
        <v>41299</v>
      </c>
      <c r="H652" s="117">
        <v>1412651</v>
      </c>
      <c r="I652" s="124">
        <v>40961</v>
      </c>
      <c r="J652" s="125">
        <v>41299</v>
      </c>
      <c r="K652" s="126">
        <v>15000</v>
      </c>
      <c r="L652" s="127" t="s">
        <v>571</v>
      </c>
      <c r="N652" s="129" t="str">
        <f>IF(M652&gt;1/1/1,"Y","N")</f>
        <v>N</v>
      </c>
      <c r="O652" s="128" t="s">
        <v>917</v>
      </c>
      <c r="P652" s="129" t="s">
        <v>55</v>
      </c>
      <c r="Q652" s="111">
        <f t="shared" si="486"/>
        <v>339</v>
      </c>
      <c r="R652" s="111">
        <f t="shared" si="487"/>
        <v>339</v>
      </c>
      <c r="S652" s="129">
        <v>13</v>
      </c>
      <c r="T652" s="129">
        <v>7</v>
      </c>
      <c r="U652" s="129">
        <v>8</v>
      </c>
      <c r="V652" s="117">
        <v>1</v>
      </c>
      <c r="W652" s="111"/>
      <c r="AC652" s="130"/>
      <c r="AD652" s="130">
        <v>27273</v>
      </c>
      <c r="AE652" s="128" t="s">
        <v>32</v>
      </c>
      <c r="AF652" s="128" t="s">
        <v>33</v>
      </c>
      <c r="AG652" s="128" t="s">
        <v>872</v>
      </c>
      <c r="AH652" s="108" t="s">
        <v>58</v>
      </c>
      <c r="AI652" s="128" t="s">
        <v>47</v>
      </c>
      <c r="AJ652" s="129" t="s">
        <v>55</v>
      </c>
      <c r="AK652" s="129">
        <v>11</v>
      </c>
      <c r="AL652" s="3" t="s">
        <v>55</v>
      </c>
      <c r="AP652" s="129" t="s">
        <v>43</v>
      </c>
      <c r="AR652" s="128" t="s">
        <v>44</v>
      </c>
      <c r="AS652" s="129" t="s">
        <v>45</v>
      </c>
      <c r="AT652" s="32" t="s">
        <v>630</v>
      </c>
      <c r="BC652" s="129" t="s">
        <v>38</v>
      </c>
      <c r="BF652" s="111">
        <f t="shared" si="515"/>
        <v>339</v>
      </c>
      <c r="BG652" s="111">
        <f t="shared" si="494"/>
        <v>339</v>
      </c>
      <c r="BH652" s="111">
        <f t="shared" si="488"/>
        <v>339</v>
      </c>
      <c r="BI652" s="111">
        <f t="shared" si="489"/>
        <v>37.398907103825138</v>
      </c>
      <c r="BJ652" s="129">
        <f t="shared" si="495"/>
        <v>0</v>
      </c>
      <c r="BK652" s="129">
        <f t="shared" si="490"/>
        <v>0</v>
      </c>
      <c r="BL652" s="129" t="str">
        <f t="shared" si="471"/>
        <v>NO CONVICTION</v>
      </c>
      <c r="BM652" s="129" t="str">
        <f t="shared" si="496"/>
        <v>NONE</v>
      </c>
      <c r="BN652" s="129" t="s">
        <v>566</v>
      </c>
      <c r="BP652" s="137" t="str">
        <f t="shared" si="497"/>
        <v>NO CONVICTION</v>
      </c>
      <c r="BQ652" s="128" t="str">
        <f t="shared" si="498"/>
        <v>Y</v>
      </c>
      <c r="BR652" s="129" t="str">
        <f t="shared" si="499"/>
        <v>DETAINED</v>
      </c>
      <c r="BS652" s="129" t="str">
        <f t="shared" si="500"/>
        <v>DISPOSED</v>
      </c>
      <c r="BT652" s="129" t="str">
        <f t="shared" si="501"/>
        <v>Y</v>
      </c>
      <c r="BU652" s="109">
        <f>IFERROR(Q652/R652,BR652)</f>
        <v>1</v>
      </c>
      <c r="BV652" s="109">
        <f t="shared" si="503"/>
        <v>1</v>
      </c>
      <c r="BW652" s="109">
        <f t="shared" si="481"/>
        <v>0</v>
      </c>
      <c r="BX652" s="111">
        <f t="shared" si="504"/>
        <v>0</v>
      </c>
      <c r="BY652" s="129">
        <f t="shared" si="505"/>
        <v>-339</v>
      </c>
      <c r="BZ652" s="111">
        <f t="shared" si="506"/>
        <v>0</v>
      </c>
      <c r="CA652" s="138">
        <f t="shared" si="507"/>
        <v>339</v>
      </c>
      <c r="CB652" s="111" t="e">
        <f t="shared" si="482"/>
        <v>#VALUE!</v>
      </c>
      <c r="CC652" s="129">
        <f>G652-I652+1</f>
        <v>339</v>
      </c>
      <c r="CD652" s="129">
        <f>G652-J652</f>
        <v>0</v>
      </c>
      <c r="CE652" s="129">
        <f t="shared" si="508"/>
        <v>0</v>
      </c>
      <c r="CG652" s="129" t="str">
        <f t="shared" si="509"/>
        <v>Y</v>
      </c>
      <c r="CI652" s="129" t="str">
        <f t="shared" si="510"/>
        <v>121-365 DAYS</v>
      </c>
      <c r="CJ652" s="137">
        <f t="shared" si="511"/>
        <v>6</v>
      </c>
      <c r="CK652" s="129" t="str">
        <f t="shared" si="512"/>
        <v>Booked</v>
      </c>
    </row>
    <row r="653" spans="1:89" ht="15" customHeight="1" x14ac:dyDescent="0.25">
      <c r="A653" s="111">
        <v>1212</v>
      </c>
      <c r="B653" s="128" t="str">
        <f t="shared" si="491"/>
        <v>N</v>
      </c>
      <c r="C653" s="128" t="str">
        <f t="shared" si="492"/>
        <v>N</v>
      </c>
      <c r="D653" s="117">
        <v>1412838</v>
      </c>
      <c r="E653" s="135">
        <f t="shared" si="493"/>
        <v>6</v>
      </c>
      <c r="F653" s="124">
        <v>40953</v>
      </c>
      <c r="G653" s="125">
        <v>40975</v>
      </c>
      <c r="H653" s="117">
        <v>1412838</v>
      </c>
      <c r="I653" s="124">
        <v>40954</v>
      </c>
      <c r="J653" s="124">
        <v>40975</v>
      </c>
      <c r="K653" s="126" t="s">
        <v>564</v>
      </c>
      <c r="L653" s="127" t="s">
        <v>564</v>
      </c>
      <c r="N653" s="129" t="s">
        <v>566</v>
      </c>
      <c r="O653" s="128" t="s">
        <v>917</v>
      </c>
      <c r="P653" s="129" t="s">
        <v>39</v>
      </c>
      <c r="Q653" s="111">
        <f t="shared" si="486"/>
        <v>22</v>
      </c>
      <c r="R653" s="111">
        <f t="shared" si="487"/>
        <v>23</v>
      </c>
      <c r="S653" s="129">
        <v>4</v>
      </c>
      <c r="T653" s="129">
        <v>4</v>
      </c>
      <c r="U653" s="129">
        <v>3</v>
      </c>
      <c r="W653" s="111"/>
      <c r="AC653" s="130"/>
      <c r="AD653" s="130">
        <v>28053</v>
      </c>
      <c r="AE653" s="128" t="s">
        <v>32</v>
      </c>
      <c r="AF653" s="128" t="s">
        <v>40</v>
      </c>
      <c r="AG653" s="128" t="s">
        <v>41</v>
      </c>
      <c r="AH653" s="108" t="s">
        <v>41</v>
      </c>
      <c r="AI653" s="128" t="s">
        <v>114</v>
      </c>
      <c r="AJ653" s="129" t="s">
        <v>89</v>
      </c>
      <c r="AK653" s="129">
        <v>3</v>
      </c>
      <c r="AL653" s="3" t="s">
        <v>362</v>
      </c>
      <c r="AM653" s="117">
        <v>10</v>
      </c>
      <c r="AP653" s="129" t="s">
        <v>56</v>
      </c>
      <c r="AR653" s="128" t="s">
        <v>50</v>
      </c>
      <c r="AS653" s="129" t="s">
        <v>57</v>
      </c>
      <c r="BC653" s="129" t="s">
        <v>38</v>
      </c>
      <c r="BF653" s="111">
        <f t="shared" si="515"/>
        <v>22</v>
      </c>
      <c r="BG653" s="111">
        <f t="shared" si="494"/>
        <v>22</v>
      </c>
      <c r="BH653" s="111">
        <f t="shared" si="488"/>
        <v>23</v>
      </c>
      <c r="BI653" s="111">
        <f t="shared" si="489"/>
        <v>35.245901639344261</v>
      </c>
      <c r="BJ653" s="129">
        <f t="shared" si="495"/>
        <v>0</v>
      </c>
      <c r="BK653" s="129">
        <f t="shared" si="490"/>
        <v>0</v>
      </c>
      <c r="BL653" s="129" t="str">
        <f t="shared" si="471"/>
        <v>CONVICTION</v>
      </c>
      <c r="BM653" s="129" t="str">
        <f t="shared" si="496"/>
        <v>NONE</v>
      </c>
      <c r="BN653" s="129" t="s">
        <v>566</v>
      </c>
      <c r="BP653" s="137" t="str">
        <f t="shared" si="497"/>
        <v>CONVICTION</v>
      </c>
      <c r="BQ653" s="128" t="str">
        <f t="shared" si="498"/>
        <v>Y</v>
      </c>
      <c r="BR653" s="129" t="str">
        <f t="shared" si="499"/>
        <v>DETAINED</v>
      </c>
      <c r="BS653" s="129" t="str">
        <f t="shared" si="500"/>
        <v>DISPOSED</v>
      </c>
      <c r="BT653" s="129" t="str">
        <f t="shared" si="501"/>
        <v>Y</v>
      </c>
      <c r="BU653" s="109">
        <f t="shared" si="502"/>
        <v>0.95652173913043481</v>
      </c>
      <c r="BV653" s="109">
        <f t="shared" si="503"/>
        <v>1</v>
      </c>
      <c r="BW653" s="109">
        <f t="shared" si="481"/>
        <v>4.3478260869565188E-2</v>
      </c>
      <c r="BX653" s="111">
        <f t="shared" si="504"/>
        <v>0</v>
      </c>
      <c r="BY653" s="129">
        <f t="shared" si="505"/>
        <v>-22</v>
      </c>
      <c r="BZ653" s="111">
        <f t="shared" si="506"/>
        <v>0</v>
      </c>
      <c r="CA653" s="138">
        <f t="shared" si="507"/>
        <v>22</v>
      </c>
      <c r="CB653" s="111" t="e">
        <f t="shared" si="482"/>
        <v>#VALUE!</v>
      </c>
      <c r="CC653" s="129">
        <f>G653-I653+1</f>
        <v>22</v>
      </c>
      <c r="CD653" s="129">
        <f>G653-J653</f>
        <v>0</v>
      </c>
      <c r="CE653" s="129">
        <f t="shared" si="508"/>
        <v>0</v>
      </c>
      <c r="CG653" s="129" t="str">
        <f t="shared" si="509"/>
        <v>Y</v>
      </c>
      <c r="CI653" s="129" t="str">
        <f t="shared" si="510"/>
        <v>11-30 DAYS</v>
      </c>
      <c r="CJ653" s="137">
        <f t="shared" si="511"/>
        <v>2</v>
      </c>
      <c r="CK653" s="129" t="str">
        <f t="shared" si="512"/>
        <v>Booked</v>
      </c>
    </row>
    <row r="654" spans="1:89" ht="15" customHeight="1" x14ac:dyDescent="0.25">
      <c r="A654" s="111">
        <v>2773</v>
      </c>
      <c r="B654" s="128" t="str">
        <f t="shared" si="491"/>
        <v>N</v>
      </c>
      <c r="C654" s="128" t="str">
        <f t="shared" si="492"/>
        <v>N</v>
      </c>
      <c r="D654" s="117">
        <v>1413780</v>
      </c>
      <c r="E654" s="135">
        <f t="shared" si="493"/>
        <v>6</v>
      </c>
      <c r="F654" s="124">
        <v>41011</v>
      </c>
      <c r="G654" s="125">
        <v>41414</v>
      </c>
      <c r="H654" s="117">
        <v>1413780</v>
      </c>
      <c r="I654" s="124">
        <v>41011</v>
      </c>
      <c r="J654" s="124">
        <v>41101</v>
      </c>
      <c r="K654" s="126">
        <v>20000</v>
      </c>
      <c r="L654" s="127" t="s">
        <v>571</v>
      </c>
      <c r="M654" s="124">
        <v>41101</v>
      </c>
      <c r="N654" s="129" t="s">
        <v>51</v>
      </c>
      <c r="O654" s="128" t="s">
        <v>160</v>
      </c>
      <c r="P654" s="129" t="s">
        <v>39</v>
      </c>
      <c r="Q654" s="111">
        <f t="shared" si="486"/>
        <v>91</v>
      </c>
      <c r="R654" s="111">
        <f t="shared" si="487"/>
        <v>404</v>
      </c>
      <c r="S654" s="129">
        <v>2</v>
      </c>
      <c r="T654" s="129">
        <v>5</v>
      </c>
      <c r="U654" s="129">
        <v>1</v>
      </c>
      <c r="W654" s="111"/>
      <c r="AC654" s="130"/>
      <c r="AD654" s="130">
        <v>27939</v>
      </c>
      <c r="AE654" s="128" t="s">
        <v>32</v>
      </c>
      <c r="AF654" s="128" t="s">
        <v>69</v>
      </c>
      <c r="AG654" s="128" t="s">
        <v>874</v>
      </c>
      <c r="AH654" s="108" t="s">
        <v>58</v>
      </c>
      <c r="AI654" s="128" t="s">
        <v>34</v>
      </c>
      <c r="AJ654" s="129" t="s">
        <v>89</v>
      </c>
      <c r="AK654" s="129">
        <v>9</v>
      </c>
      <c r="AL654" s="3" t="s">
        <v>362</v>
      </c>
      <c r="AM654" s="117">
        <v>12</v>
      </c>
      <c r="AP654" s="129" t="s">
        <v>188</v>
      </c>
      <c r="AR654" s="128" t="s">
        <v>67</v>
      </c>
      <c r="AS654" s="129" t="s">
        <v>64</v>
      </c>
      <c r="BC654" s="129" t="s">
        <v>99</v>
      </c>
      <c r="BF654" s="111">
        <f t="shared" si="515"/>
        <v>91</v>
      </c>
      <c r="BG654" s="111">
        <f t="shared" si="494"/>
        <v>404</v>
      </c>
      <c r="BH654" s="111">
        <f t="shared" si="488"/>
        <v>404</v>
      </c>
      <c r="BI654" s="111">
        <f t="shared" si="489"/>
        <v>35.715846994535518</v>
      </c>
      <c r="BJ654" s="129">
        <f>(G654-J654)+(M654-G654)</f>
        <v>0</v>
      </c>
      <c r="BK654" s="129">
        <f t="shared" si="490"/>
        <v>-313</v>
      </c>
      <c r="BL654" s="129" t="str">
        <f t="shared" si="471"/>
        <v>CONVICTION</v>
      </c>
      <c r="BM654" s="129" t="s">
        <v>160</v>
      </c>
      <c r="BN654" s="129" t="s">
        <v>88</v>
      </c>
      <c r="BP654" s="137" t="str">
        <f t="shared" si="497"/>
        <v>CONVICTION</v>
      </c>
      <c r="BQ654" s="128" t="str">
        <f t="shared" si="498"/>
        <v>Y</v>
      </c>
      <c r="BR654" s="129" t="str">
        <f>IF(J654&lt;G654,"ON BOND",0)</f>
        <v>ON BOND</v>
      </c>
      <c r="BS654" s="129" t="str">
        <f t="shared" si="500"/>
        <v>DISPOSED</v>
      </c>
      <c r="BT654" s="129" t="str">
        <f t="shared" si="501"/>
        <v>Y</v>
      </c>
      <c r="BU654" s="109">
        <f t="shared" si="502"/>
        <v>0.22524752475247525</v>
      </c>
      <c r="BV654" s="109">
        <f t="shared" si="503"/>
        <v>0.22524752475247525</v>
      </c>
      <c r="BW654" s="109">
        <f t="shared" si="481"/>
        <v>0</v>
      </c>
      <c r="BX654" s="111">
        <f t="shared" si="504"/>
        <v>0</v>
      </c>
      <c r="BY654" s="129">
        <f t="shared" si="505"/>
        <v>-91</v>
      </c>
      <c r="BZ654" s="111">
        <f t="shared" si="506"/>
        <v>0</v>
      </c>
      <c r="CA654" s="138">
        <f t="shared" si="507"/>
        <v>91</v>
      </c>
      <c r="CB654" s="111" t="e">
        <f t="shared" si="482"/>
        <v>#VALUE!</v>
      </c>
      <c r="CC654" s="129">
        <f>M654-I654+1</f>
        <v>91</v>
      </c>
      <c r="CD654" s="111">
        <f>CC654-BF654</f>
        <v>0</v>
      </c>
      <c r="CE654" s="129">
        <f t="shared" si="508"/>
        <v>313</v>
      </c>
      <c r="CG654" s="129" t="str">
        <f t="shared" si="509"/>
        <v>Y</v>
      </c>
      <c r="CI654" s="129" t="str">
        <f t="shared" si="510"/>
        <v>91-120 DAYS</v>
      </c>
      <c r="CJ654" s="137">
        <f t="shared" si="511"/>
        <v>0</v>
      </c>
      <c r="CK654" s="129" t="str">
        <f t="shared" si="512"/>
        <v>Booked</v>
      </c>
    </row>
    <row r="655" spans="1:89" ht="15.75" customHeight="1" x14ac:dyDescent="0.25">
      <c r="A655" s="111">
        <v>1727</v>
      </c>
      <c r="B655" s="128" t="str">
        <f t="shared" si="491"/>
        <v>N</v>
      </c>
      <c r="C655" s="128" t="str">
        <f t="shared" si="492"/>
        <v>Y</v>
      </c>
      <c r="D655" s="117">
        <v>1414440</v>
      </c>
      <c r="E655" s="135">
        <f t="shared" si="493"/>
        <v>3</v>
      </c>
      <c r="F655" s="124">
        <v>40973</v>
      </c>
      <c r="G655" s="125">
        <v>41117</v>
      </c>
      <c r="H655" s="117">
        <v>1414440</v>
      </c>
      <c r="I655" s="124">
        <v>40973</v>
      </c>
      <c r="J655" s="124">
        <v>40977</v>
      </c>
      <c r="K655" s="126">
        <v>5000</v>
      </c>
      <c r="L655" s="127" t="s">
        <v>569</v>
      </c>
      <c r="M655" s="125">
        <v>40977</v>
      </c>
      <c r="N655" s="129" t="str">
        <f t="shared" ref="N655:N662" si="516">IF(M655&gt;1/1/1,"Y","N")</f>
        <v>Y</v>
      </c>
      <c r="O655" s="128" t="s">
        <v>585</v>
      </c>
      <c r="P655" s="129" t="s">
        <v>39</v>
      </c>
      <c r="Q655" s="111">
        <v>37</v>
      </c>
      <c r="R655" s="111">
        <f t="shared" si="487"/>
        <v>145</v>
      </c>
      <c r="S655" s="129">
        <v>0</v>
      </c>
      <c r="T655" s="129">
        <v>3</v>
      </c>
      <c r="W655" s="111"/>
      <c r="AC655" s="130"/>
      <c r="AD655" s="130">
        <v>27354</v>
      </c>
      <c r="AE655" s="128" t="s">
        <v>32</v>
      </c>
      <c r="AF655" s="128" t="s">
        <v>69</v>
      </c>
      <c r="AG655" s="128" t="s">
        <v>874</v>
      </c>
      <c r="AH655" s="108" t="s">
        <v>58</v>
      </c>
      <c r="AI655" s="128" t="s">
        <v>70</v>
      </c>
      <c r="AJ655" s="129" t="s">
        <v>89</v>
      </c>
      <c r="AK655" s="129">
        <v>8</v>
      </c>
      <c r="AL655" s="3" t="s">
        <v>185</v>
      </c>
      <c r="AP655" s="129" t="s">
        <v>66</v>
      </c>
      <c r="AR655" s="128" t="s">
        <v>67</v>
      </c>
      <c r="AS655" s="129" t="s">
        <v>68</v>
      </c>
      <c r="AT655" s="129" t="s">
        <v>371</v>
      </c>
      <c r="AU655" s="3" t="s">
        <v>736</v>
      </c>
      <c r="AX655" s="32" t="s">
        <v>88</v>
      </c>
      <c r="BC655" s="129" t="s">
        <v>38</v>
      </c>
      <c r="BF655" s="111">
        <v>37</v>
      </c>
      <c r="BG655" s="111">
        <f t="shared" si="494"/>
        <v>145</v>
      </c>
      <c r="BH655" s="111">
        <f t="shared" si="488"/>
        <v>145</v>
      </c>
      <c r="BI655" s="111">
        <f t="shared" si="489"/>
        <v>37.210382513661202</v>
      </c>
      <c r="BJ655" s="129">
        <f>(G655-J655)+(M655-G655)</f>
        <v>0</v>
      </c>
      <c r="BK655" s="129">
        <f t="shared" si="490"/>
        <v>-140</v>
      </c>
      <c r="BL655" s="129" t="str">
        <f t="shared" si="471"/>
        <v>CONVICTION</v>
      </c>
      <c r="BM655" s="129" t="s">
        <v>76</v>
      </c>
      <c r="BN655" s="129" t="s">
        <v>88</v>
      </c>
      <c r="BP655" s="137" t="str">
        <f t="shared" si="497"/>
        <v>CONVICTION</v>
      </c>
      <c r="BQ655" s="128" t="str">
        <f t="shared" si="498"/>
        <v>Y</v>
      </c>
      <c r="BR655" s="129" t="s">
        <v>574</v>
      </c>
      <c r="BS655" s="129" t="str">
        <f t="shared" si="500"/>
        <v>DISPOSED</v>
      </c>
      <c r="BT655" s="129" t="str">
        <f t="shared" si="501"/>
        <v>N</v>
      </c>
      <c r="BU655" s="109">
        <f t="shared" si="502"/>
        <v>0.25517241379310346</v>
      </c>
      <c r="BV655" s="109">
        <f t="shared" si="503"/>
        <v>3.4482758620689655E-2</v>
      </c>
      <c r="BW655" s="109">
        <f t="shared" si="481"/>
        <v>-0.22068965517241379</v>
      </c>
      <c r="BX655" s="111">
        <f t="shared" si="504"/>
        <v>0</v>
      </c>
      <c r="BY655" s="129">
        <f t="shared" si="505"/>
        <v>-5</v>
      </c>
      <c r="BZ655" s="111">
        <f t="shared" si="506"/>
        <v>32</v>
      </c>
      <c r="CA655" s="138">
        <f t="shared" si="507"/>
        <v>145</v>
      </c>
      <c r="CB655" s="111">
        <v>37</v>
      </c>
      <c r="CC655" s="129">
        <f>G655-I655+1</f>
        <v>145</v>
      </c>
      <c r="CD655" s="129">
        <f>G655-J655</f>
        <v>140</v>
      </c>
      <c r="CE655" s="129">
        <f t="shared" si="508"/>
        <v>140</v>
      </c>
      <c r="CG655" s="129" t="str">
        <f t="shared" si="509"/>
        <v>Y</v>
      </c>
      <c r="CI655" s="129" t="str">
        <f t="shared" si="510"/>
        <v>31-60 DAYS</v>
      </c>
      <c r="CJ655" s="137">
        <f t="shared" si="511"/>
        <v>3</v>
      </c>
      <c r="CK655" s="129" t="str">
        <f t="shared" si="512"/>
        <v>Booked</v>
      </c>
    </row>
    <row r="656" spans="1:89" ht="15" customHeight="1" x14ac:dyDescent="0.25">
      <c r="A656" s="111">
        <v>3136</v>
      </c>
      <c r="B656" s="128" t="str">
        <f t="shared" si="491"/>
        <v>N</v>
      </c>
      <c r="C656" s="128" t="str">
        <f t="shared" si="492"/>
        <v>N</v>
      </c>
      <c r="D656" s="117">
        <v>1415026</v>
      </c>
      <c r="E656" s="135">
        <f t="shared" si="493"/>
        <v>2</v>
      </c>
      <c r="F656" s="124">
        <v>41024</v>
      </c>
      <c r="G656" s="125">
        <v>41143</v>
      </c>
      <c r="H656" s="117">
        <v>1415026</v>
      </c>
      <c r="I656" s="124">
        <v>41025</v>
      </c>
      <c r="J656" s="124">
        <v>41027</v>
      </c>
      <c r="K656" s="126">
        <v>10000</v>
      </c>
      <c r="L656" s="127" t="s">
        <v>570</v>
      </c>
      <c r="M656" s="125">
        <v>41027</v>
      </c>
      <c r="N656" s="129" t="str">
        <f t="shared" si="516"/>
        <v>Y</v>
      </c>
      <c r="O656" s="128" t="s">
        <v>76</v>
      </c>
      <c r="P656" s="129" t="s">
        <v>589</v>
      </c>
      <c r="Q656" s="111">
        <f t="shared" si="486"/>
        <v>3</v>
      </c>
      <c r="R656" s="111">
        <f t="shared" si="487"/>
        <v>120</v>
      </c>
      <c r="S656" s="129">
        <v>3</v>
      </c>
      <c r="T656" s="129">
        <v>1</v>
      </c>
      <c r="U656" s="129">
        <v>2</v>
      </c>
      <c r="V656" s="117">
        <v>1</v>
      </c>
      <c r="W656" s="111"/>
      <c r="AC656" s="130"/>
      <c r="AD656" s="130">
        <v>24222</v>
      </c>
      <c r="AE656" s="128" t="s">
        <v>32</v>
      </c>
      <c r="AF656" s="128" t="s">
        <v>40</v>
      </c>
      <c r="AG656" s="128" t="s">
        <v>41</v>
      </c>
      <c r="AH656" s="108" t="s">
        <v>41</v>
      </c>
      <c r="AI656" s="128" t="s">
        <v>85</v>
      </c>
      <c r="AJ656" s="129" t="s">
        <v>48</v>
      </c>
      <c r="AK656" s="129">
        <v>5</v>
      </c>
      <c r="AL656" s="3" t="s">
        <v>48</v>
      </c>
      <c r="AO656" s="128">
        <v>14</v>
      </c>
      <c r="AP656" s="129" t="s">
        <v>124</v>
      </c>
      <c r="AR656" s="128" t="s">
        <v>67</v>
      </c>
      <c r="AS656" s="129" t="s">
        <v>45</v>
      </c>
      <c r="BC656" s="129" t="s">
        <v>52</v>
      </c>
      <c r="BF656" s="111">
        <f t="shared" si="515"/>
        <v>3</v>
      </c>
      <c r="BG656" s="111">
        <f t="shared" si="494"/>
        <v>119</v>
      </c>
      <c r="BH656" s="111">
        <f t="shared" si="488"/>
        <v>120</v>
      </c>
      <c r="BI656" s="111">
        <f t="shared" si="489"/>
        <v>45.907103825136609</v>
      </c>
      <c r="BJ656" s="129">
        <f>(G656-J656)+(M656-G656)</f>
        <v>0</v>
      </c>
      <c r="BK656" s="129">
        <f t="shared" si="490"/>
        <v>-116</v>
      </c>
      <c r="BL656" s="129" t="str">
        <f t="shared" si="471"/>
        <v>DEFERRED</v>
      </c>
      <c r="BM656" s="129" t="s">
        <v>76</v>
      </c>
      <c r="BN656" s="129" t="s">
        <v>88</v>
      </c>
      <c r="BP656" s="137" t="str">
        <f t="shared" si="497"/>
        <v>DEFERRED</v>
      </c>
      <c r="BQ656" s="128" t="str">
        <f t="shared" si="498"/>
        <v>Y</v>
      </c>
      <c r="BR656" s="129" t="str">
        <f t="shared" si="499"/>
        <v>ON BOND</v>
      </c>
      <c r="BS656" s="129" t="str">
        <f t="shared" si="500"/>
        <v>DISPOSED</v>
      </c>
      <c r="BT656" s="129" t="str">
        <f t="shared" si="501"/>
        <v>Y</v>
      </c>
      <c r="BU656" s="109">
        <f t="shared" si="502"/>
        <v>2.5000000000000001E-2</v>
      </c>
      <c r="BV656" s="109">
        <f t="shared" si="503"/>
        <v>2.5210084033613446E-2</v>
      </c>
      <c r="BW656" s="109">
        <f t="shared" si="481"/>
        <v>2.1008403361344463E-4</v>
      </c>
      <c r="BX656" s="111">
        <f t="shared" si="504"/>
        <v>0</v>
      </c>
      <c r="BY656" s="129">
        <f t="shared" si="505"/>
        <v>-3</v>
      </c>
      <c r="BZ656" s="111">
        <f t="shared" si="506"/>
        <v>0</v>
      </c>
      <c r="CA656" s="138">
        <f t="shared" si="507"/>
        <v>3</v>
      </c>
      <c r="CB656" s="111" t="e">
        <f t="shared" si="482"/>
        <v>#VALUE!</v>
      </c>
      <c r="CC656" s="129">
        <f>M656-I656+1</f>
        <v>3</v>
      </c>
      <c r="CD656" s="111">
        <f>CC656-BF656</f>
        <v>0</v>
      </c>
      <c r="CE656" s="129">
        <f t="shared" si="508"/>
        <v>116</v>
      </c>
      <c r="CG656" s="129" t="str">
        <f t="shared" si="509"/>
        <v>Y</v>
      </c>
      <c r="CI656" s="129" t="str">
        <f t="shared" si="510"/>
        <v>0-10 DAYS</v>
      </c>
      <c r="CJ656" s="137">
        <f t="shared" si="511"/>
        <v>1</v>
      </c>
      <c r="CK656" s="129" t="str">
        <f t="shared" si="512"/>
        <v>Booked</v>
      </c>
    </row>
    <row r="657" spans="1:89" ht="15" customHeight="1" x14ac:dyDescent="0.25">
      <c r="A657" s="111">
        <v>180</v>
      </c>
      <c r="B657" s="128" t="str">
        <f t="shared" si="491"/>
        <v>N</v>
      </c>
      <c r="C657" s="128" t="str">
        <f t="shared" si="492"/>
        <v>N</v>
      </c>
      <c r="D657" s="117">
        <v>1416634</v>
      </c>
      <c r="E657" s="135">
        <f t="shared" si="493"/>
        <v>6</v>
      </c>
      <c r="F657" s="124">
        <v>40916</v>
      </c>
      <c r="G657" s="125">
        <v>41239</v>
      </c>
      <c r="H657" s="117">
        <v>1416634</v>
      </c>
      <c r="I657" s="124">
        <v>40917</v>
      </c>
      <c r="J657" s="124">
        <v>40990</v>
      </c>
      <c r="K657" s="126">
        <v>50000</v>
      </c>
      <c r="L657" s="129" t="s">
        <v>572</v>
      </c>
      <c r="M657" s="125">
        <v>40990</v>
      </c>
      <c r="N657" s="129" t="str">
        <f t="shared" si="516"/>
        <v>Y</v>
      </c>
      <c r="O657" s="128" t="s">
        <v>76</v>
      </c>
      <c r="P657" s="129" t="s">
        <v>39</v>
      </c>
      <c r="Q657" s="111">
        <f t="shared" si="486"/>
        <v>74</v>
      </c>
      <c r="R657" s="111">
        <f t="shared" si="487"/>
        <v>324</v>
      </c>
      <c r="S657" s="129">
        <v>2</v>
      </c>
      <c r="T657" s="129">
        <v>3</v>
      </c>
      <c r="U657" s="129">
        <v>2</v>
      </c>
      <c r="W657" s="111"/>
      <c r="AC657" s="130"/>
      <c r="AD657" s="130">
        <v>27532</v>
      </c>
      <c r="AE657" s="128" t="s">
        <v>32</v>
      </c>
      <c r="AF657" s="128" t="s">
        <v>33</v>
      </c>
      <c r="AG657" s="128" t="s">
        <v>872</v>
      </c>
      <c r="AH657" s="108" t="s">
        <v>31</v>
      </c>
      <c r="AI657" s="128" t="s">
        <v>141</v>
      </c>
      <c r="AJ657" s="129" t="s">
        <v>89</v>
      </c>
      <c r="AK657" s="129">
        <v>14</v>
      </c>
      <c r="AL657" s="3" t="s">
        <v>362</v>
      </c>
      <c r="AM657" s="117">
        <v>2</v>
      </c>
      <c r="AP657" s="129" t="s">
        <v>164</v>
      </c>
      <c r="AR657" s="128" t="s">
        <v>92</v>
      </c>
      <c r="AS657" s="129" t="s">
        <v>82</v>
      </c>
      <c r="BC657" s="129" t="s">
        <v>38</v>
      </c>
      <c r="BF657" s="111">
        <f t="shared" si="515"/>
        <v>74</v>
      </c>
      <c r="BG657" s="111">
        <f t="shared" si="494"/>
        <v>323</v>
      </c>
      <c r="BH657" s="111">
        <f t="shared" si="488"/>
        <v>324</v>
      </c>
      <c r="BI657" s="111">
        <f t="shared" si="489"/>
        <v>36.568306010928964</v>
      </c>
      <c r="BJ657" s="129">
        <f>(G657-J657)+(M657-G657)</f>
        <v>0</v>
      </c>
      <c r="BK657" s="129">
        <f t="shared" si="490"/>
        <v>-249</v>
      </c>
      <c r="BL657" s="129" t="str">
        <f t="shared" si="471"/>
        <v>CONVICTION</v>
      </c>
      <c r="BM657" s="129" t="s">
        <v>76</v>
      </c>
      <c r="BN657" s="129" t="s">
        <v>88</v>
      </c>
      <c r="BP657" s="137" t="str">
        <f t="shared" si="497"/>
        <v>CONVICTION</v>
      </c>
      <c r="BQ657" s="128" t="str">
        <f t="shared" si="498"/>
        <v>Y</v>
      </c>
      <c r="BR657" s="129" t="str">
        <f>IF(J657&lt;G657,"ON BOND",0)</f>
        <v>ON BOND</v>
      </c>
      <c r="BS657" s="129" t="str">
        <f t="shared" si="500"/>
        <v>DISPOSED</v>
      </c>
      <c r="BT657" s="129" t="str">
        <f t="shared" si="501"/>
        <v>Y</v>
      </c>
      <c r="BU657" s="109">
        <f t="shared" si="502"/>
        <v>0.22839506172839505</v>
      </c>
      <c r="BV657" s="109">
        <f t="shared" si="503"/>
        <v>0.22910216718266255</v>
      </c>
      <c r="BW657" s="109">
        <f t="shared" si="481"/>
        <v>7.0710545426749816E-4</v>
      </c>
      <c r="BX657" s="111">
        <f t="shared" si="504"/>
        <v>0</v>
      </c>
      <c r="BY657" s="129">
        <f t="shared" si="505"/>
        <v>-74</v>
      </c>
      <c r="BZ657" s="111">
        <f t="shared" si="506"/>
        <v>0</v>
      </c>
      <c r="CA657" s="138">
        <f t="shared" si="507"/>
        <v>74</v>
      </c>
      <c r="CB657" s="111" t="e">
        <f t="shared" si="482"/>
        <v>#VALUE!</v>
      </c>
      <c r="CC657" s="129">
        <f>M657-I657+1</f>
        <v>74</v>
      </c>
      <c r="CD657" s="111">
        <f>CC657-BF657</f>
        <v>0</v>
      </c>
      <c r="CE657" s="129">
        <f t="shared" si="508"/>
        <v>249</v>
      </c>
      <c r="CG657" s="129" t="str">
        <f t="shared" si="509"/>
        <v>Y</v>
      </c>
      <c r="CI657" s="129" t="str">
        <f t="shared" si="510"/>
        <v>61-90 DAYS</v>
      </c>
      <c r="CJ657" s="137">
        <f t="shared" si="511"/>
        <v>4</v>
      </c>
      <c r="CK657" s="129" t="str">
        <f t="shared" si="512"/>
        <v>Booked</v>
      </c>
    </row>
    <row r="658" spans="1:89" ht="15" customHeight="1" x14ac:dyDescent="0.25">
      <c r="A658" s="111">
        <v>2599</v>
      </c>
      <c r="B658" s="128" t="str">
        <f t="shared" si="491"/>
        <v>N</v>
      </c>
      <c r="C658" s="128" t="str">
        <f t="shared" si="492"/>
        <v>N</v>
      </c>
      <c r="D658" s="117">
        <v>1417418</v>
      </c>
      <c r="E658" s="135">
        <f t="shared" si="493"/>
        <v>1</v>
      </c>
      <c r="F658" s="124">
        <v>40909</v>
      </c>
      <c r="G658" s="125">
        <v>41008</v>
      </c>
      <c r="H658" s="117">
        <v>1417418</v>
      </c>
      <c r="I658" s="124">
        <v>41006</v>
      </c>
      <c r="J658" s="124">
        <v>41008</v>
      </c>
      <c r="K658" s="126">
        <v>15000</v>
      </c>
      <c r="L658" s="127" t="s">
        <v>571</v>
      </c>
      <c r="N658" s="129" t="str">
        <f t="shared" si="516"/>
        <v>N</v>
      </c>
      <c r="O658" s="128" t="s">
        <v>917</v>
      </c>
      <c r="P658" s="129" t="s">
        <v>55</v>
      </c>
      <c r="Q658" s="111">
        <f t="shared" si="486"/>
        <v>3</v>
      </c>
      <c r="R658" s="111">
        <f t="shared" si="487"/>
        <v>100</v>
      </c>
      <c r="S658" s="129">
        <v>3</v>
      </c>
      <c r="T658" s="129">
        <v>3</v>
      </c>
      <c r="U658" s="129">
        <v>1</v>
      </c>
      <c r="W658" s="111"/>
      <c r="AC658" s="130"/>
      <c r="AD658" s="130">
        <v>27956</v>
      </c>
      <c r="AE658" s="128" t="s">
        <v>32</v>
      </c>
      <c r="AF658" s="128" t="s">
        <v>138</v>
      </c>
      <c r="AG658" s="128" t="s">
        <v>873</v>
      </c>
      <c r="AH658" s="108" t="s">
        <v>31</v>
      </c>
      <c r="AI658" s="128" t="s">
        <v>113</v>
      </c>
      <c r="AJ658" s="129" t="s">
        <v>55</v>
      </c>
      <c r="AK658" s="129">
        <v>1</v>
      </c>
      <c r="AL658" s="3" t="s">
        <v>55</v>
      </c>
      <c r="AP658" s="129" t="s">
        <v>43</v>
      </c>
      <c r="AR658" s="128" t="s">
        <v>44</v>
      </c>
      <c r="AS658" s="129" t="s">
        <v>45</v>
      </c>
      <c r="BC658" s="129" t="s">
        <v>38</v>
      </c>
      <c r="BF658" s="111">
        <f t="shared" si="515"/>
        <v>3</v>
      </c>
      <c r="BG658" s="111">
        <f t="shared" si="494"/>
        <v>3</v>
      </c>
      <c r="BH658" s="111">
        <f t="shared" si="488"/>
        <v>100</v>
      </c>
      <c r="BI658" s="111">
        <f t="shared" si="489"/>
        <v>35.39071038251366</v>
      </c>
      <c r="BJ658" s="129">
        <f t="shared" si="495"/>
        <v>0</v>
      </c>
      <c r="BK658" s="129">
        <f t="shared" si="490"/>
        <v>0</v>
      </c>
      <c r="BL658" s="129" t="str">
        <f t="shared" si="471"/>
        <v>NO CONVICTION</v>
      </c>
      <c r="BM658" s="129" t="str">
        <f t="shared" si="496"/>
        <v>NONE</v>
      </c>
      <c r="BN658" s="129" t="s">
        <v>566</v>
      </c>
      <c r="BP658" s="137" t="str">
        <f t="shared" si="497"/>
        <v>NO CONVICTION</v>
      </c>
      <c r="BQ658" s="128" t="str">
        <f t="shared" si="498"/>
        <v>Y</v>
      </c>
      <c r="BR658" s="129" t="str">
        <f t="shared" si="499"/>
        <v>DETAINED</v>
      </c>
      <c r="BS658" s="129" t="str">
        <f t="shared" si="500"/>
        <v>DISPOSED</v>
      </c>
      <c r="BT658" s="129" t="str">
        <f t="shared" si="501"/>
        <v>Y</v>
      </c>
      <c r="BU658" s="109">
        <f>IFERROR(Q658/R658,BR658)</f>
        <v>0.03</v>
      </c>
      <c r="BV658" s="109">
        <f t="shared" si="503"/>
        <v>1</v>
      </c>
      <c r="BW658" s="109">
        <f t="shared" si="481"/>
        <v>0.97</v>
      </c>
      <c r="BX658" s="111">
        <f t="shared" si="504"/>
        <v>0</v>
      </c>
      <c r="BY658" s="129">
        <f t="shared" si="505"/>
        <v>-3</v>
      </c>
      <c r="BZ658" s="111">
        <f t="shared" si="506"/>
        <v>0</v>
      </c>
      <c r="CA658" s="138">
        <f t="shared" si="507"/>
        <v>3</v>
      </c>
      <c r="CB658" s="111" t="e">
        <f t="shared" si="482"/>
        <v>#VALUE!</v>
      </c>
      <c r="CC658" s="129">
        <f>G658-I658+1</f>
        <v>3</v>
      </c>
      <c r="CD658" s="129">
        <f>G658-J658</f>
        <v>0</v>
      </c>
      <c r="CE658" s="129">
        <f t="shared" si="508"/>
        <v>0</v>
      </c>
      <c r="CG658" s="129" t="str">
        <f t="shared" si="509"/>
        <v>Y</v>
      </c>
      <c r="CI658" s="129" t="str">
        <f t="shared" si="510"/>
        <v>0-10 DAYS</v>
      </c>
      <c r="CJ658" s="137">
        <f t="shared" si="511"/>
        <v>1</v>
      </c>
      <c r="CK658" s="129" t="str">
        <f t="shared" si="512"/>
        <v>Booked</v>
      </c>
    </row>
    <row r="659" spans="1:89" ht="15.75" customHeight="1" x14ac:dyDescent="0.25">
      <c r="A659" s="111">
        <v>1171</v>
      </c>
      <c r="B659" s="128" t="str">
        <f t="shared" si="491"/>
        <v>N</v>
      </c>
      <c r="C659" s="128" t="str">
        <f t="shared" si="492"/>
        <v>N</v>
      </c>
      <c r="D659" s="117">
        <v>1418637</v>
      </c>
      <c r="E659" s="135">
        <f t="shared" si="493"/>
        <v>1</v>
      </c>
      <c r="F659" s="124">
        <v>40951</v>
      </c>
      <c r="G659" s="125">
        <v>41170</v>
      </c>
      <c r="H659" s="117">
        <v>1418637</v>
      </c>
      <c r="I659" s="124">
        <v>40951</v>
      </c>
      <c r="J659" s="124">
        <v>40968</v>
      </c>
      <c r="K659" s="126">
        <v>10000</v>
      </c>
      <c r="L659" s="127" t="s">
        <v>570</v>
      </c>
      <c r="M659" s="125">
        <v>40968</v>
      </c>
      <c r="N659" s="129" t="str">
        <f t="shared" si="516"/>
        <v>Y</v>
      </c>
      <c r="O659" s="128" t="s">
        <v>76</v>
      </c>
      <c r="P659" s="129" t="s">
        <v>55</v>
      </c>
      <c r="Q659" s="111">
        <f t="shared" si="486"/>
        <v>18</v>
      </c>
      <c r="R659" s="111">
        <f t="shared" si="487"/>
        <v>220</v>
      </c>
      <c r="S659" s="129">
        <v>3</v>
      </c>
      <c r="T659" s="129">
        <v>1</v>
      </c>
      <c r="U659" s="129">
        <v>3</v>
      </c>
      <c r="W659" s="111"/>
      <c r="AC659" s="130"/>
      <c r="AD659" s="130">
        <v>26209</v>
      </c>
      <c r="AE659" s="128" t="s">
        <v>32</v>
      </c>
      <c r="AF659" s="128" t="s">
        <v>138</v>
      </c>
      <c r="AG659" s="128" t="s">
        <v>873</v>
      </c>
      <c r="AH659" s="108" t="s">
        <v>31</v>
      </c>
      <c r="AI659" s="128" t="s">
        <v>85</v>
      </c>
      <c r="AJ659" s="129" t="s">
        <v>55</v>
      </c>
      <c r="AK659" s="129">
        <v>8</v>
      </c>
      <c r="AL659" s="3" t="s">
        <v>55</v>
      </c>
      <c r="AP659" s="129" t="s">
        <v>43</v>
      </c>
      <c r="AR659" s="128" t="s">
        <v>44</v>
      </c>
      <c r="AS659" s="129" t="s">
        <v>45</v>
      </c>
      <c r="BC659" s="129" t="s">
        <v>52</v>
      </c>
      <c r="BF659" s="111">
        <f t="shared" si="515"/>
        <v>18</v>
      </c>
      <c r="BG659" s="111">
        <f t="shared" si="494"/>
        <v>220</v>
      </c>
      <c r="BH659" s="111">
        <f t="shared" si="488"/>
        <v>220</v>
      </c>
      <c r="BI659" s="111">
        <f t="shared" si="489"/>
        <v>40.278688524590166</v>
      </c>
      <c r="BJ659" s="129">
        <f>(G659-J659)+(M659-G659)</f>
        <v>0</v>
      </c>
      <c r="BK659" s="129">
        <f t="shared" si="490"/>
        <v>-202</v>
      </c>
      <c r="BL659" s="129" t="str">
        <f t="shared" si="471"/>
        <v>NO CONVICTION</v>
      </c>
      <c r="BM659" s="129" t="s">
        <v>76</v>
      </c>
      <c r="BN659" s="129" t="s">
        <v>88</v>
      </c>
      <c r="BP659" s="137" t="str">
        <f t="shared" si="497"/>
        <v>NO CONVICTION</v>
      </c>
      <c r="BQ659" s="128" t="str">
        <f t="shared" si="498"/>
        <v>Y</v>
      </c>
      <c r="BR659" s="129" t="str">
        <f t="shared" si="499"/>
        <v>ON BOND</v>
      </c>
      <c r="BS659" s="129" t="str">
        <f t="shared" si="500"/>
        <v>DISPOSED</v>
      </c>
      <c r="BT659" s="129" t="str">
        <f t="shared" si="501"/>
        <v>Y</v>
      </c>
      <c r="BU659" s="109">
        <f>IFERROR(Q659/R659,BR659)</f>
        <v>8.1818181818181818E-2</v>
      </c>
      <c r="BV659" s="109">
        <f t="shared" si="503"/>
        <v>8.1818181818181818E-2</v>
      </c>
      <c r="BW659" s="109">
        <f t="shared" si="481"/>
        <v>0</v>
      </c>
      <c r="BX659" s="111">
        <f t="shared" si="504"/>
        <v>0</v>
      </c>
      <c r="BY659" s="129">
        <f t="shared" si="505"/>
        <v>-18</v>
      </c>
      <c r="BZ659" s="111">
        <f t="shared" si="506"/>
        <v>0</v>
      </c>
      <c r="CA659" s="138">
        <f t="shared" si="507"/>
        <v>18</v>
      </c>
      <c r="CB659" s="111" t="e">
        <f t="shared" si="482"/>
        <v>#VALUE!</v>
      </c>
      <c r="CC659" s="129">
        <f>M659-I659+1</f>
        <v>18</v>
      </c>
      <c r="CD659" s="111">
        <f>CC659-BF659</f>
        <v>0</v>
      </c>
      <c r="CE659" s="129">
        <f t="shared" si="508"/>
        <v>202</v>
      </c>
      <c r="CG659" s="129" t="str">
        <f t="shared" si="509"/>
        <v>Y</v>
      </c>
      <c r="CI659" s="129" t="str">
        <f t="shared" si="510"/>
        <v>11-30 DAYS</v>
      </c>
      <c r="CJ659" s="137">
        <f t="shared" si="511"/>
        <v>2</v>
      </c>
      <c r="CK659" s="129" t="str">
        <f t="shared" si="512"/>
        <v>Booked</v>
      </c>
    </row>
    <row r="660" spans="1:89" ht="15" customHeight="1" x14ac:dyDescent="0.25">
      <c r="A660" s="111">
        <v>1875</v>
      </c>
      <c r="B660" s="128" t="str">
        <f t="shared" si="491"/>
        <v>N</v>
      </c>
      <c r="C660" s="128" t="str">
        <f t="shared" si="492"/>
        <v>N</v>
      </c>
      <c r="D660" s="117">
        <v>1420675</v>
      </c>
      <c r="E660" s="135">
        <f t="shared" si="493"/>
        <v>6</v>
      </c>
      <c r="F660" s="124">
        <v>40978</v>
      </c>
      <c r="G660" s="125">
        <v>41166</v>
      </c>
      <c r="H660" s="117">
        <v>1420675</v>
      </c>
      <c r="I660" s="124">
        <v>40978</v>
      </c>
      <c r="J660" s="124">
        <v>40983</v>
      </c>
      <c r="K660" s="126">
        <v>10000</v>
      </c>
      <c r="L660" s="127" t="s">
        <v>570</v>
      </c>
      <c r="M660" s="125">
        <v>40983</v>
      </c>
      <c r="N660" s="129" t="str">
        <f t="shared" si="516"/>
        <v>Y</v>
      </c>
      <c r="O660" s="128" t="s">
        <v>76</v>
      </c>
      <c r="P660" s="129" t="s">
        <v>39</v>
      </c>
      <c r="Q660" s="111">
        <f t="shared" si="486"/>
        <v>6</v>
      </c>
      <c r="R660" s="111">
        <f t="shared" si="487"/>
        <v>189</v>
      </c>
      <c r="S660" s="129">
        <v>0</v>
      </c>
      <c r="T660" s="129">
        <v>0</v>
      </c>
      <c r="W660" s="111"/>
      <c r="AC660" s="130"/>
      <c r="AD660" s="130">
        <v>27791</v>
      </c>
      <c r="AE660" s="128" t="s">
        <v>32</v>
      </c>
      <c r="AF660" s="128" t="s">
        <v>69</v>
      </c>
      <c r="AG660" s="128" t="s">
        <v>874</v>
      </c>
      <c r="AH660" s="108" t="s">
        <v>31</v>
      </c>
      <c r="AI660" s="128" t="s">
        <v>80</v>
      </c>
      <c r="AJ660" s="129" t="s">
        <v>89</v>
      </c>
      <c r="AK660" s="129">
        <v>6</v>
      </c>
      <c r="AL660" s="3" t="s">
        <v>362</v>
      </c>
      <c r="AM660" s="117">
        <v>2</v>
      </c>
      <c r="AP660" s="129" t="s">
        <v>66</v>
      </c>
      <c r="AR660" s="128" t="s">
        <v>67</v>
      </c>
      <c r="AS660" s="129" t="s">
        <v>68</v>
      </c>
      <c r="BC660" s="129" t="s">
        <v>52</v>
      </c>
      <c r="BF660" s="111">
        <f t="shared" si="515"/>
        <v>6</v>
      </c>
      <c r="BG660" s="111">
        <f t="shared" si="494"/>
        <v>189</v>
      </c>
      <c r="BH660" s="111">
        <f t="shared" si="488"/>
        <v>189</v>
      </c>
      <c r="BI660" s="111">
        <f t="shared" si="489"/>
        <v>36.030054644808743</v>
      </c>
      <c r="BJ660" s="129">
        <f>(G660-J660)+(M660-G660)</f>
        <v>0</v>
      </c>
      <c r="BK660" s="129">
        <f t="shared" si="490"/>
        <v>-183</v>
      </c>
      <c r="BL660" s="129" t="str">
        <f t="shared" si="471"/>
        <v>CONVICTION</v>
      </c>
      <c r="BM660" s="129" t="s">
        <v>76</v>
      </c>
      <c r="BN660" s="129" t="s">
        <v>88</v>
      </c>
      <c r="BP660" s="137" t="str">
        <f t="shared" si="497"/>
        <v>CONVICTION</v>
      </c>
      <c r="BQ660" s="128" t="str">
        <f t="shared" si="498"/>
        <v>Y</v>
      </c>
      <c r="BR660" s="129" t="str">
        <f>IF(J660&lt;G660,"ON BOND",0)</f>
        <v>ON BOND</v>
      </c>
      <c r="BS660" s="129" t="str">
        <f t="shared" si="500"/>
        <v>DISPOSED</v>
      </c>
      <c r="BT660" s="129" t="str">
        <f t="shared" si="501"/>
        <v>N</v>
      </c>
      <c r="BU660" s="109">
        <f t="shared" si="502"/>
        <v>3.1746031746031744E-2</v>
      </c>
      <c r="BV660" s="109">
        <f t="shared" si="503"/>
        <v>3.1746031746031744E-2</v>
      </c>
      <c r="BW660" s="109">
        <f t="shared" si="481"/>
        <v>0</v>
      </c>
      <c r="BX660" s="111">
        <f t="shared" si="504"/>
        <v>0</v>
      </c>
      <c r="BY660" s="129">
        <f t="shared" si="505"/>
        <v>-6</v>
      </c>
      <c r="BZ660" s="111">
        <f t="shared" si="506"/>
        <v>0</v>
      </c>
      <c r="CA660" s="138">
        <f t="shared" si="507"/>
        <v>6</v>
      </c>
      <c r="CB660" s="111" t="e">
        <f t="shared" si="482"/>
        <v>#VALUE!</v>
      </c>
      <c r="CC660" s="129">
        <f>M660-I660+1</f>
        <v>6</v>
      </c>
      <c r="CD660" s="111">
        <f>CC660-BF660</f>
        <v>0</v>
      </c>
      <c r="CE660" s="129">
        <f t="shared" si="508"/>
        <v>183</v>
      </c>
      <c r="CG660" s="129" t="str">
        <f t="shared" si="509"/>
        <v>N</v>
      </c>
      <c r="CI660" s="129" t="str">
        <f t="shared" si="510"/>
        <v>0-10 DAYS</v>
      </c>
      <c r="CJ660" s="137">
        <f t="shared" si="511"/>
        <v>1</v>
      </c>
      <c r="CK660" s="129" t="str">
        <f t="shared" si="512"/>
        <v>Booked</v>
      </c>
    </row>
    <row r="661" spans="1:89" ht="15.75" customHeight="1" x14ac:dyDescent="0.25">
      <c r="A661" s="111">
        <v>1305</v>
      </c>
      <c r="B661" s="128" t="str">
        <f t="shared" si="491"/>
        <v>N</v>
      </c>
      <c r="C661" s="128" t="str">
        <f t="shared" si="492"/>
        <v>N</v>
      </c>
      <c r="D661" s="117">
        <v>1420714</v>
      </c>
      <c r="E661" s="135">
        <f t="shared" si="493"/>
        <v>1</v>
      </c>
      <c r="F661" s="124">
        <v>40956</v>
      </c>
      <c r="G661" s="125">
        <v>40975</v>
      </c>
      <c r="H661" s="117">
        <v>1420714</v>
      </c>
      <c r="I661" s="124">
        <v>40956</v>
      </c>
      <c r="J661" s="124">
        <v>40975</v>
      </c>
      <c r="K661" s="126">
        <v>10000</v>
      </c>
      <c r="L661" s="127" t="s">
        <v>570</v>
      </c>
      <c r="N661" s="129" t="str">
        <f t="shared" si="516"/>
        <v>N</v>
      </c>
      <c r="O661" s="128" t="s">
        <v>917</v>
      </c>
      <c r="P661" s="116" t="s">
        <v>55</v>
      </c>
      <c r="Q661" s="111">
        <f t="shared" si="486"/>
        <v>20</v>
      </c>
      <c r="R661" s="111">
        <f t="shared" si="487"/>
        <v>20</v>
      </c>
      <c r="S661" s="129">
        <v>5</v>
      </c>
      <c r="T661" s="129">
        <v>5</v>
      </c>
      <c r="U661" s="129">
        <v>4</v>
      </c>
      <c r="W661" s="111"/>
      <c r="AC661" s="130"/>
      <c r="AD661" s="130">
        <v>27607</v>
      </c>
      <c r="AE661" s="128" t="s">
        <v>32</v>
      </c>
      <c r="AF661" s="128" t="s">
        <v>33</v>
      </c>
      <c r="AG661" s="128" t="s">
        <v>872</v>
      </c>
      <c r="AH661" s="108" t="s">
        <v>58</v>
      </c>
      <c r="AI661" s="128" t="s">
        <v>100</v>
      </c>
      <c r="AJ661" s="129" t="s">
        <v>55</v>
      </c>
      <c r="AK661" s="129">
        <v>2</v>
      </c>
      <c r="AL661" s="3" t="s">
        <v>55</v>
      </c>
      <c r="AP661" s="129" t="s">
        <v>101</v>
      </c>
      <c r="AR661" s="128" t="s">
        <v>67</v>
      </c>
      <c r="AS661" s="129" t="s">
        <v>64</v>
      </c>
      <c r="BC661" s="129" t="s">
        <v>38</v>
      </c>
      <c r="BF661" s="111">
        <f t="shared" si="515"/>
        <v>20</v>
      </c>
      <c r="BG661" s="111">
        <f t="shared" si="494"/>
        <v>20</v>
      </c>
      <c r="BH661" s="111">
        <f t="shared" si="488"/>
        <v>20</v>
      </c>
      <c r="BI661" s="111">
        <f t="shared" si="489"/>
        <v>36.472677595628419</v>
      </c>
      <c r="BJ661" s="129">
        <f t="shared" si="495"/>
        <v>0</v>
      </c>
      <c r="BK661" s="129">
        <f t="shared" si="490"/>
        <v>0</v>
      </c>
      <c r="BL661" s="129" t="str">
        <f t="shared" si="471"/>
        <v>NO CONVICTION</v>
      </c>
      <c r="BM661" s="129" t="str">
        <f t="shared" si="496"/>
        <v>NONE</v>
      </c>
      <c r="BN661" s="129" t="s">
        <v>566</v>
      </c>
      <c r="BP661" s="137" t="str">
        <f t="shared" si="497"/>
        <v>NO CONVICTION</v>
      </c>
      <c r="BQ661" s="128" t="str">
        <f t="shared" si="498"/>
        <v>Y</v>
      </c>
      <c r="BR661" s="129" t="str">
        <f t="shared" si="499"/>
        <v>DETAINED</v>
      </c>
      <c r="BS661" s="129" t="str">
        <f t="shared" si="500"/>
        <v>DISPOSED</v>
      </c>
      <c r="BT661" s="129" t="str">
        <f t="shared" si="501"/>
        <v>Y</v>
      </c>
      <c r="BU661" s="109">
        <f>IFERROR(Q661/R661,BR661)</f>
        <v>1</v>
      </c>
      <c r="BV661" s="109">
        <f t="shared" si="503"/>
        <v>1</v>
      </c>
      <c r="BW661" s="109">
        <f t="shared" si="481"/>
        <v>0</v>
      </c>
      <c r="BX661" s="111">
        <f t="shared" si="504"/>
        <v>0</v>
      </c>
      <c r="BY661" s="129">
        <f t="shared" si="505"/>
        <v>-20</v>
      </c>
      <c r="BZ661" s="111">
        <f t="shared" si="506"/>
        <v>0</v>
      </c>
      <c r="CA661" s="138">
        <f t="shared" si="507"/>
        <v>20</v>
      </c>
      <c r="CB661" s="111" t="e">
        <f t="shared" si="482"/>
        <v>#VALUE!</v>
      </c>
      <c r="CC661" s="129">
        <f>G661-I661+1</f>
        <v>20</v>
      </c>
      <c r="CD661" s="129">
        <f>G661-J661</f>
        <v>0</v>
      </c>
      <c r="CE661" s="129">
        <f t="shared" si="508"/>
        <v>0</v>
      </c>
      <c r="CG661" s="129" t="str">
        <f t="shared" si="509"/>
        <v>Y</v>
      </c>
      <c r="CI661" s="129" t="str">
        <f t="shared" si="510"/>
        <v>11-30 DAYS</v>
      </c>
      <c r="CJ661" s="137">
        <f t="shared" si="511"/>
        <v>2</v>
      </c>
      <c r="CK661" s="129" t="str">
        <f t="shared" si="512"/>
        <v>Booked</v>
      </c>
    </row>
    <row r="662" spans="1:89" ht="15" customHeight="1" x14ac:dyDescent="0.25">
      <c r="A662" s="111">
        <v>2976</v>
      </c>
      <c r="B662" s="128" t="str">
        <f t="shared" si="491"/>
        <v>N</v>
      </c>
      <c r="C662" s="128" t="str">
        <f t="shared" si="492"/>
        <v>N</v>
      </c>
      <c r="D662" s="117">
        <v>1421463</v>
      </c>
      <c r="E662" s="135">
        <f t="shared" si="493"/>
        <v>4</v>
      </c>
      <c r="F662" s="124">
        <v>41017</v>
      </c>
      <c r="G662" s="125">
        <v>41228</v>
      </c>
      <c r="H662" s="117">
        <v>1421463</v>
      </c>
      <c r="I662" s="124">
        <v>41019</v>
      </c>
      <c r="J662" s="124">
        <v>41020</v>
      </c>
      <c r="K662" s="126">
        <v>21500</v>
      </c>
      <c r="L662" s="129" t="s">
        <v>572</v>
      </c>
      <c r="M662" s="124">
        <v>41020</v>
      </c>
      <c r="N662" s="129" t="str">
        <f t="shared" si="516"/>
        <v>Y</v>
      </c>
      <c r="O662" s="128" t="s">
        <v>76</v>
      </c>
      <c r="P662" s="129" t="s">
        <v>39</v>
      </c>
      <c r="Q662" s="111">
        <f t="shared" si="486"/>
        <v>2</v>
      </c>
      <c r="R662" s="111">
        <f t="shared" si="487"/>
        <v>212</v>
      </c>
      <c r="S662" s="129">
        <v>2</v>
      </c>
      <c r="T662" s="129">
        <v>4</v>
      </c>
      <c r="W662" s="111"/>
      <c r="AC662" s="130"/>
      <c r="AD662" s="130">
        <v>27500</v>
      </c>
      <c r="AE662" s="128" t="s">
        <v>32</v>
      </c>
      <c r="AF662" s="128" t="s">
        <v>33</v>
      </c>
      <c r="AG662" s="128" t="s">
        <v>872</v>
      </c>
      <c r="AH662" s="108" t="s">
        <v>58</v>
      </c>
      <c r="AI662" s="128" t="s">
        <v>97</v>
      </c>
      <c r="AJ662" s="129" t="s">
        <v>89</v>
      </c>
      <c r="AK662" s="129">
        <v>11</v>
      </c>
      <c r="AL662" s="3" t="s">
        <v>991</v>
      </c>
      <c r="AO662" s="128">
        <v>60</v>
      </c>
      <c r="AP662" s="129" t="s">
        <v>175</v>
      </c>
      <c r="AR662" s="128" t="s">
        <v>44</v>
      </c>
      <c r="AS662" s="129" t="s">
        <v>45</v>
      </c>
      <c r="BC662" s="129" t="s">
        <v>52</v>
      </c>
      <c r="BF662" s="111">
        <f t="shared" si="515"/>
        <v>2</v>
      </c>
      <c r="BG662" s="111">
        <f t="shared" si="494"/>
        <v>210</v>
      </c>
      <c r="BH662" s="111">
        <f t="shared" si="488"/>
        <v>212</v>
      </c>
      <c r="BI662" s="111">
        <f t="shared" si="489"/>
        <v>36.931693989071036</v>
      </c>
      <c r="BJ662" s="129">
        <f>(G662-J662)+(M662-G662)</f>
        <v>0</v>
      </c>
      <c r="BK662" s="129">
        <f t="shared" si="490"/>
        <v>-208</v>
      </c>
      <c r="BL662" s="129" t="str">
        <f t="shared" si="471"/>
        <v>CONVICTION</v>
      </c>
      <c r="BM662" s="129" t="s">
        <v>76</v>
      </c>
      <c r="BN662" s="129" t="s">
        <v>88</v>
      </c>
      <c r="BP662" s="137" t="str">
        <f t="shared" si="497"/>
        <v>CONVICTION</v>
      </c>
      <c r="BQ662" s="128" t="str">
        <f t="shared" si="498"/>
        <v>Y</v>
      </c>
      <c r="BR662" s="129" t="str">
        <f>IF(J662&lt;G662,"ON BOND",0)</f>
        <v>ON BOND</v>
      </c>
      <c r="BS662" s="129" t="str">
        <f t="shared" si="500"/>
        <v>DISPOSED</v>
      </c>
      <c r="BT662" s="129" t="str">
        <f t="shared" si="501"/>
        <v>Y</v>
      </c>
      <c r="BU662" s="109">
        <f t="shared" si="502"/>
        <v>9.433962264150943E-3</v>
      </c>
      <c r="BV662" s="109">
        <f t="shared" si="503"/>
        <v>9.5238095238095247E-3</v>
      </c>
      <c r="BW662" s="109">
        <f t="shared" si="481"/>
        <v>8.9847259658581632E-5</v>
      </c>
      <c r="BX662" s="111">
        <f t="shared" si="504"/>
        <v>0</v>
      </c>
      <c r="BY662" s="129">
        <f t="shared" si="505"/>
        <v>-2</v>
      </c>
      <c r="BZ662" s="111">
        <f t="shared" si="506"/>
        <v>0</v>
      </c>
      <c r="CA662" s="138">
        <f t="shared" si="507"/>
        <v>2</v>
      </c>
      <c r="CB662" s="111" t="e">
        <f t="shared" si="482"/>
        <v>#VALUE!</v>
      </c>
      <c r="CC662" s="129">
        <f>M662-I662+1</f>
        <v>2</v>
      </c>
      <c r="CD662" s="111">
        <f>CC662-BF662</f>
        <v>0</v>
      </c>
      <c r="CE662" s="129">
        <f t="shared" si="508"/>
        <v>208</v>
      </c>
      <c r="CG662" s="129" t="str">
        <f t="shared" si="509"/>
        <v>Y</v>
      </c>
      <c r="CI662" s="129" t="str">
        <f t="shared" si="510"/>
        <v>0-10 DAYS</v>
      </c>
      <c r="CJ662" s="137">
        <f t="shared" si="511"/>
        <v>1</v>
      </c>
      <c r="CK662" s="129" t="str">
        <f t="shared" si="512"/>
        <v>Booked</v>
      </c>
    </row>
    <row r="663" spans="1:89" ht="15" customHeight="1" x14ac:dyDescent="0.25">
      <c r="A663" s="111">
        <v>2818</v>
      </c>
      <c r="B663" s="128" t="str">
        <f t="shared" si="491"/>
        <v>N</v>
      </c>
      <c r="C663" s="128" t="str">
        <f t="shared" si="492"/>
        <v>N</v>
      </c>
      <c r="D663" s="117">
        <v>1421557</v>
      </c>
      <c r="E663" s="135">
        <f t="shared" si="493"/>
        <v>4</v>
      </c>
      <c r="F663" s="124">
        <v>41012</v>
      </c>
      <c r="G663" s="125">
        <v>41015</v>
      </c>
      <c r="H663" s="117">
        <v>1421557</v>
      </c>
      <c r="I663" s="124">
        <v>41013</v>
      </c>
      <c r="J663" s="124">
        <v>41015</v>
      </c>
      <c r="K663" s="126" t="s">
        <v>564</v>
      </c>
      <c r="L663" s="127" t="s">
        <v>564</v>
      </c>
      <c r="N663" s="129" t="s">
        <v>566</v>
      </c>
      <c r="O663" s="128" t="s">
        <v>917</v>
      </c>
      <c r="P663" s="129" t="s">
        <v>39</v>
      </c>
      <c r="Q663" s="111">
        <f t="shared" si="486"/>
        <v>3</v>
      </c>
      <c r="R663" s="111">
        <f t="shared" si="487"/>
        <v>4</v>
      </c>
      <c r="S663" s="129">
        <v>0</v>
      </c>
      <c r="T663" s="129">
        <v>1</v>
      </c>
      <c r="W663" s="111"/>
      <c r="AC663" s="130"/>
      <c r="AD663" s="130">
        <v>26948</v>
      </c>
      <c r="AE663" s="128" t="s">
        <v>32</v>
      </c>
      <c r="AF663" s="128" t="s">
        <v>33</v>
      </c>
      <c r="AG663" s="128" t="s">
        <v>872</v>
      </c>
      <c r="AH663" s="108" t="s">
        <v>58</v>
      </c>
      <c r="AI663" s="128" t="s">
        <v>85</v>
      </c>
      <c r="AJ663" s="129" t="s">
        <v>89</v>
      </c>
      <c r="AK663" s="129">
        <v>1</v>
      </c>
      <c r="AL663" s="3" t="s">
        <v>991</v>
      </c>
      <c r="AO663" s="128">
        <v>90</v>
      </c>
      <c r="AP663" s="129" t="s">
        <v>60</v>
      </c>
      <c r="AR663" s="128" t="s">
        <v>44</v>
      </c>
      <c r="AS663" s="129" t="s">
        <v>61</v>
      </c>
      <c r="BC663" s="129" t="s">
        <v>38</v>
      </c>
      <c r="BF663" s="111">
        <f t="shared" si="515"/>
        <v>3</v>
      </c>
      <c r="BG663" s="111">
        <f t="shared" si="494"/>
        <v>3</v>
      </c>
      <c r="BH663" s="111">
        <f t="shared" si="488"/>
        <v>4</v>
      </c>
      <c r="BI663" s="111">
        <f t="shared" si="489"/>
        <v>38.42622950819672</v>
      </c>
      <c r="BJ663" s="129">
        <f t="shared" si="495"/>
        <v>0</v>
      </c>
      <c r="BK663" s="129">
        <f t="shared" si="490"/>
        <v>0</v>
      </c>
      <c r="BL663" s="129" t="str">
        <f t="shared" si="471"/>
        <v>CONVICTION</v>
      </c>
      <c r="BM663" s="129" t="str">
        <f t="shared" si="496"/>
        <v>NONE</v>
      </c>
      <c r="BN663" s="129" t="s">
        <v>566</v>
      </c>
      <c r="BP663" s="137" t="str">
        <f t="shared" si="497"/>
        <v>CONVICTION</v>
      </c>
      <c r="BQ663" s="128" t="str">
        <f t="shared" si="498"/>
        <v>Y</v>
      </c>
      <c r="BR663" s="129" t="str">
        <f t="shared" si="499"/>
        <v>DETAINED</v>
      </c>
      <c r="BS663" s="129" t="str">
        <f t="shared" si="500"/>
        <v>DISPOSED</v>
      </c>
      <c r="BT663" s="129" t="str">
        <f t="shared" si="501"/>
        <v>N</v>
      </c>
      <c r="BU663" s="109">
        <f t="shared" si="502"/>
        <v>0.75</v>
      </c>
      <c r="BV663" s="109">
        <f t="shared" si="503"/>
        <v>1</v>
      </c>
      <c r="BW663" s="109">
        <f t="shared" si="481"/>
        <v>0.25</v>
      </c>
      <c r="BX663" s="111">
        <f t="shared" si="504"/>
        <v>0</v>
      </c>
      <c r="BY663" s="129">
        <f t="shared" si="505"/>
        <v>-3</v>
      </c>
      <c r="BZ663" s="111">
        <f t="shared" si="506"/>
        <v>0</v>
      </c>
      <c r="CA663" s="138">
        <f t="shared" si="507"/>
        <v>3</v>
      </c>
      <c r="CB663" s="111" t="e">
        <f t="shared" si="482"/>
        <v>#VALUE!</v>
      </c>
      <c r="CC663" s="129">
        <f>G663-I663+1</f>
        <v>3</v>
      </c>
      <c r="CD663" s="129">
        <f>G663-J663</f>
        <v>0</v>
      </c>
      <c r="CE663" s="129">
        <f t="shared" si="508"/>
        <v>0</v>
      </c>
      <c r="CG663" s="129" t="str">
        <f t="shared" si="509"/>
        <v>Y</v>
      </c>
      <c r="CI663" s="129" t="str">
        <f t="shared" si="510"/>
        <v>0-10 DAYS</v>
      </c>
      <c r="CJ663" s="137">
        <f t="shared" si="511"/>
        <v>1</v>
      </c>
      <c r="CK663" s="129" t="str">
        <f t="shared" si="512"/>
        <v>Booked</v>
      </c>
    </row>
    <row r="664" spans="1:89" ht="15.75" customHeight="1" x14ac:dyDescent="0.25">
      <c r="A664" s="111">
        <v>1933</v>
      </c>
      <c r="B664" s="128" t="str">
        <f t="shared" si="491"/>
        <v>N</v>
      </c>
      <c r="C664" s="128" t="str">
        <f t="shared" si="492"/>
        <v>N</v>
      </c>
      <c r="D664" s="117">
        <v>1421863</v>
      </c>
      <c r="E664" s="135">
        <f t="shared" si="493"/>
        <v>2</v>
      </c>
      <c r="F664" s="124">
        <v>40981</v>
      </c>
      <c r="G664" s="125">
        <v>41288</v>
      </c>
      <c r="H664" s="117">
        <v>1421863</v>
      </c>
      <c r="I664" s="124">
        <v>40982</v>
      </c>
      <c r="J664" s="124">
        <v>40984</v>
      </c>
      <c r="K664" s="126">
        <v>2000</v>
      </c>
      <c r="L664" s="127" t="s">
        <v>568</v>
      </c>
      <c r="M664" s="125">
        <v>40984</v>
      </c>
      <c r="N664" s="129" t="str">
        <f>IF(M664&gt;1/1/1,"Y","N")</f>
        <v>Y</v>
      </c>
      <c r="O664" s="128" t="s">
        <v>76</v>
      </c>
      <c r="P664" s="129" t="s">
        <v>589</v>
      </c>
      <c r="Q664" s="111">
        <f t="shared" si="486"/>
        <v>3</v>
      </c>
      <c r="R664" s="111">
        <f t="shared" si="487"/>
        <v>308</v>
      </c>
      <c r="S664" s="129">
        <v>0</v>
      </c>
      <c r="T664" s="129">
        <v>0</v>
      </c>
      <c r="W664" s="111"/>
      <c r="AC664" s="130"/>
      <c r="AD664" s="130">
        <v>24680</v>
      </c>
      <c r="AE664" s="128" t="s">
        <v>32</v>
      </c>
      <c r="AF664" s="128" t="s">
        <v>69</v>
      </c>
      <c r="AG664" s="128" t="s">
        <v>874</v>
      </c>
      <c r="AH664" s="108" t="s">
        <v>58</v>
      </c>
      <c r="AI664" s="128" t="s">
        <v>85</v>
      </c>
      <c r="AJ664" s="129" t="s">
        <v>48</v>
      </c>
      <c r="AK664" s="129">
        <v>12</v>
      </c>
      <c r="AL664" s="3" t="s">
        <v>48</v>
      </c>
      <c r="AP664" s="129" t="s">
        <v>108</v>
      </c>
      <c r="AR664" s="128" t="s">
        <v>44</v>
      </c>
      <c r="AS664" s="129" t="s">
        <v>61</v>
      </c>
      <c r="AX664" s="32"/>
      <c r="BC664" s="129" t="s">
        <v>99</v>
      </c>
      <c r="BF664" s="111">
        <f t="shared" si="515"/>
        <v>3</v>
      </c>
      <c r="BG664" s="111">
        <f t="shared" si="494"/>
        <v>307</v>
      </c>
      <c r="BH664" s="111">
        <f t="shared" si="488"/>
        <v>308</v>
      </c>
      <c r="BI664" s="111">
        <f t="shared" si="489"/>
        <v>44.538251366120221</v>
      </c>
      <c r="BJ664" s="129">
        <f>(G664-J664)+(M664-G664)</f>
        <v>0</v>
      </c>
      <c r="BK664" s="129">
        <f t="shared" si="490"/>
        <v>-304</v>
      </c>
      <c r="BL664" s="129" t="str">
        <f t="shared" si="471"/>
        <v>DEFERRED</v>
      </c>
      <c r="BM664" s="129" t="s">
        <v>76</v>
      </c>
      <c r="BN664" s="129" t="s">
        <v>88</v>
      </c>
      <c r="BP664" s="137" t="str">
        <f t="shared" si="497"/>
        <v>DEFERRED</v>
      </c>
      <c r="BQ664" s="128" t="str">
        <f t="shared" si="498"/>
        <v>Y</v>
      </c>
      <c r="BR664" s="129" t="str">
        <f t="shared" si="499"/>
        <v>ON BOND</v>
      </c>
      <c r="BS664" s="129" t="str">
        <f t="shared" si="500"/>
        <v>DISPOSED</v>
      </c>
      <c r="BT664" s="129" t="str">
        <f t="shared" si="501"/>
        <v>N</v>
      </c>
      <c r="BU664" s="109">
        <f t="shared" si="502"/>
        <v>9.74025974025974E-3</v>
      </c>
      <c r="BV664" s="109">
        <f t="shared" si="503"/>
        <v>9.7719869706840382E-3</v>
      </c>
      <c r="BW664" s="109">
        <f t="shared" si="481"/>
        <v>3.1727230424298189E-5</v>
      </c>
      <c r="BX664" s="111">
        <f t="shared" si="504"/>
        <v>0</v>
      </c>
      <c r="BY664" s="129">
        <f t="shared" si="505"/>
        <v>-3</v>
      </c>
      <c r="BZ664" s="111">
        <f t="shared" si="506"/>
        <v>0</v>
      </c>
      <c r="CA664" s="138">
        <f t="shared" si="507"/>
        <v>3</v>
      </c>
      <c r="CB664" s="111" t="e">
        <f t="shared" si="482"/>
        <v>#VALUE!</v>
      </c>
      <c r="CC664" s="129">
        <f>M664-I664+1</f>
        <v>3</v>
      </c>
      <c r="CD664" s="111">
        <f>CC664-BF664</f>
        <v>0</v>
      </c>
      <c r="CE664" s="129">
        <f t="shared" si="508"/>
        <v>304</v>
      </c>
      <c r="CG664" s="129" t="str">
        <f t="shared" si="509"/>
        <v>N</v>
      </c>
      <c r="CI664" s="129" t="str">
        <f t="shared" si="510"/>
        <v>0-10 DAYS</v>
      </c>
      <c r="CJ664" s="137">
        <f t="shared" si="511"/>
        <v>1</v>
      </c>
      <c r="CK664" s="129" t="str">
        <f t="shared" si="512"/>
        <v>Booked</v>
      </c>
    </row>
    <row r="665" spans="1:89" ht="15.75" customHeight="1" x14ac:dyDescent="0.25">
      <c r="A665" s="111">
        <v>2546</v>
      </c>
      <c r="B665" s="128" t="str">
        <f t="shared" si="491"/>
        <v>N</v>
      </c>
      <c r="C665" s="128" t="str">
        <f t="shared" si="492"/>
        <v>N</v>
      </c>
      <c r="D665" s="117">
        <v>1422293</v>
      </c>
      <c r="E665" s="135">
        <f t="shared" si="493"/>
        <v>6</v>
      </c>
      <c r="F665" s="124">
        <v>41004</v>
      </c>
      <c r="G665" s="125">
        <v>41038</v>
      </c>
      <c r="H665" s="117">
        <v>1422293</v>
      </c>
      <c r="I665" s="124">
        <v>41004</v>
      </c>
      <c r="J665" s="124">
        <v>41038</v>
      </c>
      <c r="K665" s="126" t="s">
        <v>564</v>
      </c>
      <c r="L665" s="127" t="s">
        <v>564</v>
      </c>
      <c r="N665" s="129" t="s">
        <v>566</v>
      </c>
      <c r="O665" s="128" t="s">
        <v>917</v>
      </c>
      <c r="P665" s="129" t="s">
        <v>39</v>
      </c>
      <c r="Q665" s="111">
        <f t="shared" si="486"/>
        <v>35</v>
      </c>
      <c r="R665" s="111">
        <f t="shared" si="487"/>
        <v>35</v>
      </c>
      <c r="S665" s="129">
        <v>10</v>
      </c>
      <c r="T665" s="129">
        <v>10</v>
      </c>
      <c r="U665" s="129">
        <v>3</v>
      </c>
      <c r="V665" s="117">
        <v>1</v>
      </c>
      <c r="W665" s="111"/>
      <c r="AC665" s="130"/>
      <c r="AD665" s="130">
        <v>28300</v>
      </c>
      <c r="AE665" s="128" t="s">
        <v>32</v>
      </c>
      <c r="AF665" s="128" t="s">
        <v>33</v>
      </c>
      <c r="AG665" s="128" t="s">
        <v>872</v>
      </c>
      <c r="AH665" s="108" t="s">
        <v>58</v>
      </c>
      <c r="AI665" s="128" t="s">
        <v>72</v>
      </c>
      <c r="AJ665" s="129" t="s">
        <v>89</v>
      </c>
      <c r="AK665" s="129">
        <v>2</v>
      </c>
      <c r="AL665" s="3" t="s">
        <v>362</v>
      </c>
      <c r="AM665" s="114">
        <v>12</v>
      </c>
      <c r="AN665" s="114"/>
      <c r="AP665" s="129" t="s">
        <v>49</v>
      </c>
      <c r="AR665" s="128" t="s">
        <v>50</v>
      </c>
      <c r="AS665" s="129" t="s">
        <v>45</v>
      </c>
      <c r="BC665" s="129" t="s">
        <v>38</v>
      </c>
      <c r="BF665" s="111">
        <f t="shared" si="515"/>
        <v>35</v>
      </c>
      <c r="BG665" s="111">
        <f t="shared" si="494"/>
        <v>35</v>
      </c>
      <c r="BH665" s="111">
        <f t="shared" si="488"/>
        <v>35</v>
      </c>
      <c r="BI665" s="111">
        <f t="shared" si="489"/>
        <v>34.710382513661202</v>
      </c>
      <c r="BJ665" s="129">
        <f t="shared" si="495"/>
        <v>0</v>
      </c>
      <c r="BK665" s="129">
        <f t="shared" si="490"/>
        <v>0</v>
      </c>
      <c r="BL665" s="129" t="str">
        <f t="shared" ref="BL665:BL728" si="517">IF(OR(AL665="AQUITTAL",AL665="DISMISSED",AL665="FINE",AL665="NO BILL"),"NO CONVICTION",IF(OR(AL665="HCJ",AL665="MHH",AL665="PROBATION",AL665="STJ",AL665="TDC"),"CONVICTION",IF(AL665="DEFERRED","DEFERRED",0)))</f>
        <v>CONVICTION</v>
      </c>
      <c r="BM665" s="129" t="str">
        <f t="shared" si="496"/>
        <v>NONE</v>
      </c>
      <c r="BN665" s="129" t="s">
        <v>566</v>
      </c>
      <c r="BP665" s="137" t="str">
        <f t="shared" si="497"/>
        <v>CONVICTION</v>
      </c>
      <c r="BQ665" s="128" t="str">
        <f t="shared" si="498"/>
        <v>Y</v>
      </c>
      <c r="BR665" s="129" t="str">
        <f t="shared" si="499"/>
        <v>DETAINED</v>
      </c>
      <c r="BS665" s="129" t="str">
        <f t="shared" si="500"/>
        <v>DISPOSED</v>
      </c>
      <c r="BT665" s="129" t="str">
        <f t="shared" si="501"/>
        <v>Y</v>
      </c>
      <c r="BU665" s="109">
        <f t="shared" si="502"/>
        <v>1</v>
      </c>
      <c r="BV665" s="109">
        <f t="shared" si="503"/>
        <v>1</v>
      </c>
      <c r="BW665" s="109">
        <f t="shared" si="481"/>
        <v>0</v>
      </c>
      <c r="BX665" s="111">
        <f t="shared" si="504"/>
        <v>0</v>
      </c>
      <c r="BY665" s="129">
        <f t="shared" si="505"/>
        <v>-35</v>
      </c>
      <c r="BZ665" s="111">
        <f t="shared" si="506"/>
        <v>0</v>
      </c>
      <c r="CA665" s="138">
        <f t="shared" si="507"/>
        <v>35</v>
      </c>
      <c r="CB665" s="111" t="e">
        <f t="shared" si="482"/>
        <v>#VALUE!</v>
      </c>
      <c r="CC665" s="129">
        <f>G665-I665+1</f>
        <v>35</v>
      </c>
      <c r="CD665" s="129">
        <f>G665-J665</f>
        <v>0</v>
      </c>
      <c r="CE665" s="129">
        <f t="shared" si="508"/>
        <v>0</v>
      </c>
      <c r="CG665" s="129" t="str">
        <f t="shared" si="509"/>
        <v>Y</v>
      </c>
      <c r="CI665" s="129" t="str">
        <f t="shared" si="510"/>
        <v>31-60 DAYS</v>
      </c>
      <c r="CJ665" s="137">
        <f t="shared" si="511"/>
        <v>3</v>
      </c>
      <c r="CK665" s="129" t="str">
        <f t="shared" si="512"/>
        <v>Booked</v>
      </c>
    </row>
    <row r="666" spans="1:89" ht="15" customHeight="1" x14ac:dyDescent="0.25">
      <c r="A666" s="111">
        <v>2852</v>
      </c>
      <c r="B666" s="128" t="str">
        <f t="shared" si="491"/>
        <v>N</v>
      </c>
      <c r="C666" s="128" t="str">
        <f t="shared" si="492"/>
        <v>N</v>
      </c>
      <c r="D666" s="117">
        <v>1423888</v>
      </c>
      <c r="E666" s="135">
        <f t="shared" si="493"/>
        <v>2</v>
      </c>
      <c r="F666" s="124">
        <v>41014</v>
      </c>
      <c r="G666" s="125">
        <v>41100</v>
      </c>
      <c r="H666" s="117">
        <v>1423888</v>
      </c>
      <c r="I666" s="124">
        <v>41014</v>
      </c>
      <c r="J666" s="124">
        <v>41100</v>
      </c>
      <c r="K666" s="126">
        <v>30000</v>
      </c>
      <c r="L666" s="129" t="s">
        <v>572</v>
      </c>
      <c r="N666" s="129" t="str">
        <f t="shared" ref="N666:N673" si="518">IF(M666&gt;1/1/1,"Y","N")</f>
        <v>N</v>
      </c>
      <c r="O666" s="128" t="s">
        <v>917</v>
      </c>
      <c r="P666" s="129" t="s">
        <v>589</v>
      </c>
      <c r="Q666" s="111">
        <f t="shared" si="486"/>
        <v>87</v>
      </c>
      <c r="R666" s="111">
        <f t="shared" si="487"/>
        <v>87</v>
      </c>
      <c r="S666" s="129">
        <v>2</v>
      </c>
      <c r="T666" s="129">
        <v>5</v>
      </c>
      <c r="U666" s="129">
        <v>1</v>
      </c>
      <c r="W666" s="111"/>
      <c r="AC666" s="130"/>
      <c r="AD666" s="130">
        <v>28298</v>
      </c>
      <c r="AE666" s="128" t="s">
        <v>32</v>
      </c>
      <c r="AF666" s="128" t="s">
        <v>69</v>
      </c>
      <c r="AG666" s="128" t="s">
        <v>874</v>
      </c>
      <c r="AH666" s="108" t="s">
        <v>58</v>
      </c>
      <c r="AI666" s="128" t="s">
        <v>83</v>
      </c>
      <c r="AJ666" s="129" t="s">
        <v>48</v>
      </c>
      <c r="AK666" s="129">
        <v>5</v>
      </c>
      <c r="AL666" s="3" t="s">
        <v>48</v>
      </c>
      <c r="AP666" s="129" t="s">
        <v>131</v>
      </c>
      <c r="AR666" s="128" t="s">
        <v>50</v>
      </c>
      <c r="AS666" s="129" t="s">
        <v>106</v>
      </c>
      <c r="BC666" s="129" t="s">
        <v>38</v>
      </c>
      <c r="BF666" s="111">
        <f t="shared" si="515"/>
        <v>87</v>
      </c>
      <c r="BG666" s="111">
        <f t="shared" si="494"/>
        <v>87</v>
      </c>
      <c r="BH666" s="111">
        <f t="shared" si="488"/>
        <v>87</v>
      </c>
      <c r="BI666" s="111">
        <f t="shared" si="489"/>
        <v>34.743169398907106</v>
      </c>
      <c r="BJ666" s="129">
        <f t="shared" si="495"/>
        <v>0</v>
      </c>
      <c r="BK666" s="129">
        <f t="shared" si="490"/>
        <v>0</v>
      </c>
      <c r="BL666" s="129" t="str">
        <f t="shared" si="517"/>
        <v>DEFERRED</v>
      </c>
      <c r="BM666" s="129" t="str">
        <f t="shared" si="496"/>
        <v>NONE</v>
      </c>
      <c r="BN666" s="129" t="s">
        <v>566</v>
      </c>
      <c r="BP666" s="137" t="str">
        <f t="shared" si="497"/>
        <v>DEFERRED</v>
      </c>
      <c r="BQ666" s="128" t="str">
        <f t="shared" si="498"/>
        <v>Y</v>
      </c>
      <c r="BR666" s="129" t="str">
        <f t="shared" si="499"/>
        <v>DETAINED</v>
      </c>
      <c r="BS666" s="129" t="str">
        <f t="shared" si="500"/>
        <v>DISPOSED</v>
      </c>
      <c r="BT666" s="129" t="str">
        <f t="shared" si="501"/>
        <v>Y</v>
      </c>
      <c r="BU666" s="109">
        <f t="shared" si="502"/>
        <v>1</v>
      </c>
      <c r="BV666" s="109">
        <f t="shared" si="503"/>
        <v>1</v>
      </c>
      <c r="BW666" s="109">
        <f t="shared" si="481"/>
        <v>0</v>
      </c>
      <c r="BX666" s="111">
        <f t="shared" si="504"/>
        <v>0</v>
      </c>
      <c r="BY666" s="129">
        <f t="shared" si="505"/>
        <v>-87</v>
      </c>
      <c r="BZ666" s="111">
        <f t="shared" si="506"/>
        <v>0</v>
      </c>
      <c r="CA666" s="138">
        <f t="shared" si="507"/>
        <v>87</v>
      </c>
      <c r="CB666" s="111" t="e">
        <f t="shared" si="482"/>
        <v>#VALUE!</v>
      </c>
      <c r="CC666" s="129">
        <f>G666-I666+1</f>
        <v>87</v>
      </c>
      <c r="CD666" s="129">
        <f>G666-J666</f>
        <v>0</v>
      </c>
      <c r="CE666" s="129">
        <f t="shared" si="508"/>
        <v>0</v>
      </c>
      <c r="CG666" s="129" t="str">
        <f t="shared" si="509"/>
        <v>Y</v>
      </c>
      <c r="CI666" s="129" t="str">
        <f t="shared" si="510"/>
        <v>61-90 DAYS</v>
      </c>
      <c r="CJ666" s="137">
        <f t="shared" si="511"/>
        <v>4</v>
      </c>
      <c r="CK666" s="129" t="str">
        <f t="shared" si="512"/>
        <v>Booked</v>
      </c>
    </row>
    <row r="667" spans="1:89" ht="15" customHeight="1" x14ac:dyDescent="0.25">
      <c r="A667" s="111">
        <v>2007</v>
      </c>
      <c r="B667" s="128" t="str">
        <f t="shared" si="491"/>
        <v>N</v>
      </c>
      <c r="C667" s="128" t="str">
        <f t="shared" si="492"/>
        <v>N</v>
      </c>
      <c r="D667" s="117">
        <v>1426628</v>
      </c>
      <c r="E667" s="135">
        <f t="shared" si="493"/>
        <v>3</v>
      </c>
      <c r="F667" s="124">
        <v>40984</v>
      </c>
      <c r="G667" s="125">
        <v>41110</v>
      </c>
      <c r="H667" s="117">
        <v>1426628</v>
      </c>
      <c r="I667" s="124">
        <v>40984</v>
      </c>
      <c r="J667" s="124">
        <v>40990</v>
      </c>
      <c r="K667" s="126">
        <v>25000</v>
      </c>
      <c r="L667" s="129" t="s">
        <v>572</v>
      </c>
      <c r="M667" s="125">
        <v>40990</v>
      </c>
      <c r="N667" s="129" t="str">
        <f t="shared" si="518"/>
        <v>Y</v>
      </c>
      <c r="O667" s="128" t="s">
        <v>585</v>
      </c>
      <c r="P667" s="129" t="s">
        <v>39</v>
      </c>
      <c r="Q667" s="111">
        <f t="shared" ref="Q667:Q698" si="519">BF667</f>
        <v>7</v>
      </c>
      <c r="R667" s="111">
        <f t="shared" si="487"/>
        <v>127</v>
      </c>
      <c r="S667" s="129">
        <v>1</v>
      </c>
      <c r="T667" s="129">
        <v>5</v>
      </c>
      <c r="U667" s="129">
        <v>1</v>
      </c>
      <c r="W667" s="111"/>
      <c r="AC667" s="130"/>
      <c r="AD667" s="130">
        <v>27786</v>
      </c>
      <c r="AE667" s="128" t="s">
        <v>32</v>
      </c>
      <c r="AF667" s="128" t="s">
        <v>69</v>
      </c>
      <c r="AG667" s="128" t="s">
        <v>874</v>
      </c>
      <c r="AH667" s="108" t="s">
        <v>31</v>
      </c>
      <c r="AI667" s="128" t="s">
        <v>87</v>
      </c>
      <c r="AJ667" s="129" t="s">
        <v>89</v>
      </c>
      <c r="AK667" s="129">
        <v>6</v>
      </c>
      <c r="AL667" s="3" t="s">
        <v>185</v>
      </c>
      <c r="AP667" s="129" t="s">
        <v>66</v>
      </c>
      <c r="AR667" s="128" t="s">
        <v>67</v>
      </c>
      <c r="AS667" s="129" t="s">
        <v>68</v>
      </c>
      <c r="BC667" s="129" t="s">
        <v>52</v>
      </c>
      <c r="BF667" s="111">
        <f t="shared" si="515"/>
        <v>7</v>
      </c>
      <c r="BG667" s="111">
        <f t="shared" si="494"/>
        <v>127</v>
      </c>
      <c r="BH667" s="111">
        <f t="shared" si="488"/>
        <v>127</v>
      </c>
      <c r="BI667" s="111">
        <f t="shared" si="489"/>
        <v>36.060109289617486</v>
      </c>
      <c r="BJ667" s="129">
        <f>(G667-J667)+(M667-G667)</f>
        <v>0</v>
      </c>
      <c r="BK667" s="129">
        <f t="shared" si="490"/>
        <v>-120</v>
      </c>
      <c r="BL667" s="129" t="str">
        <f t="shared" si="517"/>
        <v>CONVICTION</v>
      </c>
      <c r="BM667" s="129" t="s">
        <v>76</v>
      </c>
      <c r="BN667" s="129" t="s">
        <v>88</v>
      </c>
      <c r="BP667" s="137" t="str">
        <f t="shared" si="497"/>
        <v>CONVICTION</v>
      </c>
      <c r="BQ667" s="128" t="str">
        <f t="shared" si="498"/>
        <v>Y</v>
      </c>
      <c r="BR667" s="129" t="str">
        <f>IF(J667&lt;G667,"ON BOND",0)</f>
        <v>ON BOND</v>
      </c>
      <c r="BS667" s="129" t="str">
        <f t="shared" si="500"/>
        <v>DISPOSED</v>
      </c>
      <c r="BT667" s="129" t="str">
        <f t="shared" si="501"/>
        <v>Y</v>
      </c>
      <c r="BU667" s="109">
        <f t="shared" si="502"/>
        <v>5.5118110236220472E-2</v>
      </c>
      <c r="BV667" s="109">
        <f t="shared" si="503"/>
        <v>5.5118110236220472E-2</v>
      </c>
      <c r="BW667" s="109">
        <f t="shared" si="481"/>
        <v>0</v>
      </c>
      <c r="BX667" s="111">
        <f t="shared" si="504"/>
        <v>0</v>
      </c>
      <c r="BY667" s="129">
        <f t="shared" si="505"/>
        <v>-7</v>
      </c>
      <c r="BZ667" s="111">
        <f t="shared" si="506"/>
        <v>0</v>
      </c>
      <c r="CA667" s="138">
        <f t="shared" si="507"/>
        <v>7</v>
      </c>
      <c r="CB667" s="111" t="e">
        <f t="shared" si="482"/>
        <v>#VALUE!</v>
      </c>
      <c r="CC667" s="129">
        <f>M667-I667+1</f>
        <v>7</v>
      </c>
      <c r="CD667" s="111">
        <f>CC667-BF667</f>
        <v>0</v>
      </c>
      <c r="CE667" s="129">
        <f t="shared" si="508"/>
        <v>120</v>
      </c>
      <c r="CG667" s="129" t="str">
        <f t="shared" si="509"/>
        <v>Y</v>
      </c>
      <c r="CI667" s="129" t="str">
        <f t="shared" si="510"/>
        <v>0-10 DAYS</v>
      </c>
      <c r="CJ667" s="137">
        <f t="shared" si="511"/>
        <v>1</v>
      </c>
      <c r="CK667" s="129" t="str">
        <f t="shared" si="512"/>
        <v>Booked</v>
      </c>
    </row>
    <row r="668" spans="1:89" ht="15.75" customHeight="1" x14ac:dyDescent="0.25">
      <c r="A668" s="111">
        <v>960</v>
      </c>
      <c r="B668" s="128" t="str">
        <f t="shared" si="491"/>
        <v>N</v>
      </c>
      <c r="C668" s="128" t="str">
        <f t="shared" si="492"/>
        <v>N</v>
      </c>
      <c r="D668" s="117">
        <v>1428432</v>
      </c>
      <c r="E668" s="135">
        <f t="shared" si="493"/>
        <v>6</v>
      </c>
      <c r="F668" s="124">
        <v>40944</v>
      </c>
      <c r="G668" s="125">
        <v>40994</v>
      </c>
      <c r="H668" s="117">
        <v>1428432</v>
      </c>
      <c r="I668" s="124">
        <v>40944</v>
      </c>
      <c r="J668" s="124">
        <v>40994</v>
      </c>
      <c r="K668" s="126">
        <v>15000</v>
      </c>
      <c r="L668" s="127" t="s">
        <v>571</v>
      </c>
      <c r="N668" s="129" t="str">
        <f t="shared" si="518"/>
        <v>N</v>
      </c>
      <c r="O668" s="128" t="s">
        <v>917</v>
      </c>
      <c r="P668" s="129" t="s">
        <v>39</v>
      </c>
      <c r="Q668" s="111">
        <f t="shared" si="519"/>
        <v>51</v>
      </c>
      <c r="R668" s="111">
        <f t="shared" si="487"/>
        <v>51</v>
      </c>
      <c r="S668" s="129">
        <v>4</v>
      </c>
      <c r="T668" s="129">
        <v>3</v>
      </c>
      <c r="U668" s="129">
        <v>3</v>
      </c>
      <c r="W668" s="111"/>
      <c r="AC668" s="130"/>
      <c r="AD668" s="130">
        <v>27961</v>
      </c>
      <c r="AE668" s="128" t="s">
        <v>32</v>
      </c>
      <c r="AF668" s="128" t="s">
        <v>33</v>
      </c>
      <c r="AG668" s="128" t="s">
        <v>872</v>
      </c>
      <c r="AH668" s="108" t="s">
        <v>58</v>
      </c>
      <c r="AI668" s="128" t="s">
        <v>114</v>
      </c>
      <c r="AJ668" s="129" t="s">
        <v>89</v>
      </c>
      <c r="AK668" s="129">
        <v>4</v>
      </c>
      <c r="AL668" s="3" t="s">
        <v>362</v>
      </c>
      <c r="AM668" s="117">
        <v>8</v>
      </c>
      <c r="AP668" s="129" t="s">
        <v>221</v>
      </c>
      <c r="AR668" s="128" t="s">
        <v>67</v>
      </c>
      <c r="AS668" s="129" t="s">
        <v>64</v>
      </c>
      <c r="BC668" s="129" t="s">
        <v>38</v>
      </c>
      <c r="BF668" s="111">
        <f t="shared" si="515"/>
        <v>51</v>
      </c>
      <c r="BG668" s="111">
        <f t="shared" si="494"/>
        <v>51</v>
      </c>
      <c r="BH668" s="111">
        <f t="shared" si="488"/>
        <v>51</v>
      </c>
      <c r="BI668" s="111">
        <f t="shared" si="489"/>
        <v>35.472677595628419</v>
      </c>
      <c r="BJ668" s="129">
        <f t="shared" si="495"/>
        <v>0</v>
      </c>
      <c r="BK668" s="129">
        <f t="shared" si="490"/>
        <v>0</v>
      </c>
      <c r="BL668" s="129" t="str">
        <f t="shared" si="517"/>
        <v>CONVICTION</v>
      </c>
      <c r="BM668" s="129" t="str">
        <f t="shared" si="496"/>
        <v>NONE</v>
      </c>
      <c r="BN668" s="129" t="s">
        <v>566</v>
      </c>
      <c r="BP668" s="137" t="str">
        <f t="shared" si="497"/>
        <v>CONVICTION</v>
      </c>
      <c r="BQ668" s="128" t="str">
        <f t="shared" si="498"/>
        <v>Y</v>
      </c>
      <c r="BR668" s="129" t="str">
        <f t="shared" si="499"/>
        <v>DETAINED</v>
      </c>
      <c r="BS668" s="129" t="str">
        <f t="shared" si="500"/>
        <v>DISPOSED</v>
      </c>
      <c r="BT668" s="129" t="str">
        <f t="shared" si="501"/>
        <v>Y</v>
      </c>
      <c r="BU668" s="109">
        <f t="shared" si="502"/>
        <v>1</v>
      </c>
      <c r="BV668" s="109">
        <f t="shared" si="503"/>
        <v>1</v>
      </c>
      <c r="BW668" s="109">
        <f t="shared" si="481"/>
        <v>0</v>
      </c>
      <c r="BX668" s="111">
        <f t="shared" si="504"/>
        <v>0</v>
      </c>
      <c r="BY668" s="129">
        <f t="shared" si="505"/>
        <v>-51</v>
      </c>
      <c r="BZ668" s="111">
        <f t="shared" si="506"/>
        <v>0</v>
      </c>
      <c r="CA668" s="138">
        <f t="shared" si="507"/>
        <v>51</v>
      </c>
      <c r="CB668" s="111" t="e">
        <f t="shared" si="482"/>
        <v>#VALUE!</v>
      </c>
      <c r="CC668" s="129">
        <f>G668-I668+1</f>
        <v>51</v>
      </c>
      <c r="CD668" s="129">
        <f>G668-J668</f>
        <v>0</v>
      </c>
      <c r="CE668" s="129">
        <f t="shared" si="508"/>
        <v>0</v>
      </c>
      <c r="CG668" s="129" t="str">
        <f t="shared" si="509"/>
        <v>Y</v>
      </c>
      <c r="CI668" s="129" t="str">
        <f t="shared" si="510"/>
        <v>31-60 DAYS</v>
      </c>
      <c r="CJ668" s="137">
        <f t="shared" si="511"/>
        <v>3</v>
      </c>
      <c r="CK668" s="129" t="str">
        <f t="shared" si="512"/>
        <v>Booked</v>
      </c>
    </row>
    <row r="669" spans="1:89" ht="15.75" customHeight="1" x14ac:dyDescent="0.25">
      <c r="A669" s="111">
        <v>1965</v>
      </c>
      <c r="B669" s="128" t="str">
        <f t="shared" si="491"/>
        <v>N</v>
      </c>
      <c r="C669" s="128" t="str">
        <f t="shared" si="492"/>
        <v>N</v>
      </c>
      <c r="D669" s="117">
        <v>1428531</v>
      </c>
      <c r="E669" s="135">
        <f t="shared" si="493"/>
        <v>4</v>
      </c>
      <c r="F669" s="124">
        <v>40982</v>
      </c>
      <c r="G669" s="125">
        <v>40984</v>
      </c>
      <c r="H669" s="117">
        <v>1428531</v>
      </c>
      <c r="I669" s="124">
        <v>40982</v>
      </c>
      <c r="J669" s="124">
        <v>40984</v>
      </c>
      <c r="K669" s="126">
        <v>5000</v>
      </c>
      <c r="L669" s="127" t="s">
        <v>569</v>
      </c>
      <c r="N669" s="129" t="str">
        <f t="shared" si="518"/>
        <v>N</v>
      </c>
      <c r="O669" s="128" t="s">
        <v>917</v>
      </c>
      <c r="P669" s="129" t="s">
        <v>39</v>
      </c>
      <c r="Q669" s="111">
        <f t="shared" si="519"/>
        <v>3</v>
      </c>
      <c r="R669" s="111">
        <f t="shared" si="487"/>
        <v>3</v>
      </c>
      <c r="S669" s="129">
        <v>1</v>
      </c>
      <c r="T669" s="129">
        <v>1</v>
      </c>
      <c r="U669" s="129">
        <v>1</v>
      </c>
      <c r="W669" s="111"/>
      <c r="AC669" s="130"/>
      <c r="AD669" s="130">
        <v>27394</v>
      </c>
      <c r="AE669" s="128" t="s">
        <v>32</v>
      </c>
      <c r="AF669" s="128" t="s">
        <v>33</v>
      </c>
      <c r="AG669" s="128" t="s">
        <v>872</v>
      </c>
      <c r="AH669" s="108" t="s">
        <v>58</v>
      </c>
      <c r="AI669" s="128" t="s">
        <v>62</v>
      </c>
      <c r="AJ669" s="129" t="s">
        <v>89</v>
      </c>
      <c r="AK669" s="129">
        <v>1</v>
      </c>
      <c r="AL669" s="3" t="s">
        <v>991</v>
      </c>
      <c r="AO669" s="128">
        <v>180</v>
      </c>
      <c r="AP669" s="129" t="s">
        <v>121</v>
      </c>
      <c r="AR669" s="128" t="s">
        <v>44</v>
      </c>
      <c r="AS669" s="129" t="s">
        <v>122</v>
      </c>
      <c r="BC669" s="129" t="s">
        <v>38</v>
      </c>
      <c r="BF669" s="111">
        <f t="shared" si="515"/>
        <v>3</v>
      </c>
      <c r="BG669" s="111">
        <f t="shared" si="494"/>
        <v>3</v>
      </c>
      <c r="BH669" s="111">
        <f t="shared" si="488"/>
        <v>3</v>
      </c>
      <c r="BI669" s="111">
        <f t="shared" si="489"/>
        <v>37.125683060109289</v>
      </c>
      <c r="BJ669" s="129">
        <f t="shared" si="495"/>
        <v>0</v>
      </c>
      <c r="BK669" s="129">
        <f t="shared" si="490"/>
        <v>0</v>
      </c>
      <c r="BL669" s="129" t="str">
        <f t="shared" si="517"/>
        <v>CONVICTION</v>
      </c>
      <c r="BM669" s="129" t="str">
        <f t="shared" si="496"/>
        <v>NONE</v>
      </c>
      <c r="BN669" s="129" t="s">
        <v>566</v>
      </c>
      <c r="BP669" s="137" t="str">
        <f t="shared" si="497"/>
        <v>CONVICTION</v>
      </c>
      <c r="BQ669" s="128" t="str">
        <f t="shared" si="498"/>
        <v>Y</v>
      </c>
      <c r="BR669" s="129" t="str">
        <f t="shared" si="499"/>
        <v>DETAINED</v>
      </c>
      <c r="BS669" s="129" t="str">
        <f t="shared" si="500"/>
        <v>DISPOSED</v>
      </c>
      <c r="BT669" s="129" t="str">
        <f t="shared" si="501"/>
        <v>Y</v>
      </c>
      <c r="BU669" s="109">
        <f t="shared" si="502"/>
        <v>1</v>
      </c>
      <c r="BV669" s="109">
        <f t="shared" si="503"/>
        <v>1</v>
      </c>
      <c r="BW669" s="109">
        <f t="shared" si="481"/>
        <v>0</v>
      </c>
      <c r="BX669" s="111">
        <f t="shared" si="504"/>
        <v>0</v>
      </c>
      <c r="BY669" s="129">
        <f t="shared" si="505"/>
        <v>-3</v>
      </c>
      <c r="BZ669" s="111">
        <f t="shared" si="506"/>
        <v>0</v>
      </c>
      <c r="CA669" s="138">
        <f t="shared" si="507"/>
        <v>3</v>
      </c>
      <c r="CB669" s="111" t="e">
        <f t="shared" si="482"/>
        <v>#VALUE!</v>
      </c>
      <c r="CC669" s="129">
        <f>G669-I669+1</f>
        <v>3</v>
      </c>
      <c r="CD669" s="129">
        <f>G669-J669</f>
        <v>0</v>
      </c>
      <c r="CE669" s="129">
        <f t="shared" si="508"/>
        <v>0</v>
      </c>
      <c r="CG669" s="129" t="str">
        <f t="shared" si="509"/>
        <v>Y</v>
      </c>
      <c r="CI669" s="129" t="str">
        <f t="shared" si="510"/>
        <v>0-10 DAYS</v>
      </c>
      <c r="CJ669" s="137">
        <f t="shared" si="511"/>
        <v>1</v>
      </c>
      <c r="CK669" s="129" t="str">
        <f t="shared" si="512"/>
        <v>Booked</v>
      </c>
    </row>
    <row r="670" spans="1:89" ht="15" customHeight="1" x14ac:dyDescent="0.25">
      <c r="A670" s="111">
        <v>1034</v>
      </c>
      <c r="B670" s="128" t="str">
        <f t="shared" si="491"/>
        <v>N</v>
      </c>
      <c r="C670" s="128" t="str">
        <f t="shared" si="492"/>
        <v>N</v>
      </c>
      <c r="D670" s="117">
        <v>1428723</v>
      </c>
      <c r="E670" s="135">
        <f t="shared" si="493"/>
        <v>5</v>
      </c>
      <c r="F670" s="124">
        <v>40947</v>
      </c>
      <c r="G670" s="125">
        <v>40995</v>
      </c>
      <c r="H670" s="117">
        <v>1428723</v>
      </c>
      <c r="I670" s="124">
        <v>40947</v>
      </c>
      <c r="J670" s="124">
        <v>40995</v>
      </c>
      <c r="K670" s="126">
        <v>15000</v>
      </c>
      <c r="L670" s="127" t="s">
        <v>571</v>
      </c>
      <c r="N670" s="129" t="str">
        <f t="shared" si="518"/>
        <v>N</v>
      </c>
      <c r="O670" s="128" t="s">
        <v>917</v>
      </c>
      <c r="P670" s="129" t="s">
        <v>39</v>
      </c>
      <c r="Q670" s="111">
        <f t="shared" si="519"/>
        <v>49</v>
      </c>
      <c r="R670" s="111">
        <f t="shared" si="487"/>
        <v>49</v>
      </c>
      <c r="S670" s="129">
        <v>4</v>
      </c>
      <c r="T670" s="129">
        <v>0</v>
      </c>
      <c r="U670" s="129">
        <v>1</v>
      </c>
      <c r="W670" s="111"/>
      <c r="AC670" s="130"/>
      <c r="AD670" s="130">
        <v>26563</v>
      </c>
      <c r="AE670" s="128" t="s">
        <v>32</v>
      </c>
      <c r="AF670" s="128" t="s">
        <v>33</v>
      </c>
      <c r="AG670" s="128" t="s">
        <v>872</v>
      </c>
      <c r="AH670" s="108" t="s">
        <v>58</v>
      </c>
      <c r="AI670" s="128" t="s">
        <v>80</v>
      </c>
      <c r="AJ670" s="129" t="s">
        <v>89</v>
      </c>
      <c r="AK670" s="129">
        <v>2</v>
      </c>
      <c r="AL670" s="3" t="s">
        <v>992</v>
      </c>
      <c r="AN670" s="117">
        <v>6</v>
      </c>
      <c r="AP670" s="129" t="s">
        <v>107</v>
      </c>
      <c r="AR670" s="128" t="s">
        <v>44</v>
      </c>
      <c r="AS670" s="129" t="s">
        <v>57</v>
      </c>
      <c r="BC670" s="129" t="s">
        <v>38</v>
      </c>
      <c r="BF670" s="111">
        <f t="shared" si="515"/>
        <v>49</v>
      </c>
      <c r="BG670" s="111">
        <f t="shared" si="494"/>
        <v>49</v>
      </c>
      <c r="BH670" s="111">
        <f t="shared" si="488"/>
        <v>49</v>
      </c>
      <c r="BI670" s="111">
        <f t="shared" si="489"/>
        <v>39.300546448087431</v>
      </c>
      <c r="BJ670" s="129">
        <f t="shared" si="495"/>
        <v>0</v>
      </c>
      <c r="BK670" s="129">
        <f t="shared" si="490"/>
        <v>0</v>
      </c>
      <c r="BL670" s="129" t="str">
        <f t="shared" si="517"/>
        <v>CONVICTION</v>
      </c>
      <c r="BM670" s="129" t="str">
        <f t="shared" si="496"/>
        <v>NONE</v>
      </c>
      <c r="BN670" s="129" t="s">
        <v>566</v>
      </c>
      <c r="BP670" s="137" t="str">
        <f t="shared" si="497"/>
        <v>CONVICTION</v>
      </c>
      <c r="BQ670" s="128" t="str">
        <f t="shared" si="498"/>
        <v>Y</v>
      </c>
      <c r="BR670" s="129" t="str">
        <f t="shared" si="499"/>
        <v>DETAINED</v>
      </c>
      <c r="BS670" s="129" t="str">
        <f t="shared" si="500"/>
        <v>DISPOSED</v>
      </c>
      <c r="BT670" s="129" t="str">
        <f t="shared" si="501"/>
        <v>Y</v>
      </c>
      <c r="BU670" s="109">
        <f t="shared" si="502"/>
        <v>1</v>
      </c>
      <c r="BV670" s="109">
        <f t="shared" si="503"/>
        <v>1</v>
      </c>
      <c r="BW670" s="109">
        <f t="shared" si="481"/>
        <v>0</v>
      </c>
      <c r="BX670" s="111">
        <f t="shared" si="504"/>
        <v>0</v>
      </c>
      <c r="BY670" s="129">
        <f t="shared" si="505"/>
        <v>-49</v>
      </c>
      <c r="BZ670" s="111">
        <f t="shared" si="506"/>
        <v>0</v>
      </c>
      <c r="CA670" s="138">
        <f t="shared" si="507"/>
        <v>49</v>
      </c>
      <c r="CB670" s="111" t="e">
        <f t="shared" si="482"/>
        <v>#VALUE!</v>
      </c>
      <c r="CC670" s="129">
        <f>G670-I670+1</f>
        <v>49</v>
      </c>
      <c r="CD670" s="129">
        <f>G670-J670</f>
        <v>0</v>
      </c>
      <c r="CE670" s="129">
        <f t="shared" si="508"/>
        <v>0</v>
      </c>
      <c r="CG670" s="129" t="str">
        <f t="shared" si="509"/>
        <v>Y</v>
      </c>
      <c r="CI670" s="129" t="str">
        <f t="shared" si="510"/>
        <v>31-60 DAYS</v>
      </c>
      <c r="CJ670" s="137">
        <f t="shared" si="511"/>
        <v>3</v>
      </c>
      <c r="CK670" s="129" t="str">
        <f t="shared" si="512"/>
        <v>Booked</v>
      </c>
    </row>
    <row r="671" spans="1:89" ht="15.75" customHeight="1" x14ac:dyDescent="0.25">
      <c r="A671" s="111">
        <v>28</v>
      </c>
      <c r="B671" s="128" t="str">
        <f t="shared" si="491"/>
        <v>N</v>
      </c>
      <c r="C671" s="128" t="str">
        <f t="shared" si="492"/>
        <v>N</v>
      </c>
      <c r="D671" s="117">
        <v>1429401</v>
      </c>
      <c r="E671" s="135">
        <f t="shared" si="493"/>
        <v>2</v>
      </c>
      <c r="F671" s="124">
        <v>40911</v>
      </c>
      <c r="G671" s="125">
        <v>40947</v>
      </c>
      <c r="H671" s="117">
        <v>1429401</v>
      </c>
      <c r="I671" s="124">
        <v>40911</v>
      </c>
      <c r="J671" s="124">
        <v>40947</v>
      </c>
      <c r="K671" s="126">
        <v>5000</v>
      </c>
      <c r="L671" s="127" t="s">
        <v>569</v>
      </c>
      <c r="N671" s="129" t="str">
        <f t="shared" si="518"/>
        <v>N</v>
      </c>
      <c r="O671" s="128" t="s">
        <v>917</v>
      </c>
      <c r="P671" s="129" t="s">
        <v>589</v>
      </c>
      <c r="Q671" s="111">
        <f t="shared" si="519"/>
        <v>37</v>
      </c>
      <c r="R671" s="111">
        <f t="shared" si="487"/>
        <v>37</v>
      </c>
      <c r="S671" s="129">
        <v>0</v>
      </c>
      <c r="T671" s="129">
        <v>2</v>
      </c>
      <c r="W671" s="111"/>
      <c r="AC671" s="130"/>
      <c r="AD671" s="130">
        <v>27613</v>
      </c>
      <c r="AE671" s="128" t="s">
        <v>46</v>
      </c>
      <c r="AF671" s="128" t="s">
        <v>33</v>
      </c>
      <c r="AG671" s="128" t="s">
        <v>872</v>
      </c>
      <c r="AH671" s="108" t="s">
        <v>31</v>
      </c>
      <c r="AI671" s="128" t="s">
        <v>72</v>
      </c>
      <c r="AJ671" s="129" t="s">
        <v>48</v>
      </c>
      <c r="AK671" s="129">
        <v>3</v>
      </c>
      <c r="AL671" s="3" t="s">
        <v>48</v>
      </c>
      <c r="AP671" s="129" t="s">
        <v>94</v>
      </c>
      <c r="AR671" s="128" t="s">
        <v>67</v>
      </c>
      <c r="AS671" s="129" t="s">
        <v>82</v>
      </c>
      <c r="BC671" s="129" t="s">
        <v>38</v>
      </c>
      <c r="BF671" s="111">
        <f t="shared" si="515"/>
        <v>37</v>
      </c>
      <c r="BG671" s="111">
        <f t="shared" si="494"/>
        <v>37</v>
      </c>
      <c r="BH671" s="111">
        <f t="shared" si="488"/>
        <v>37</v>
      </c>
      <c r="BI671" s="111">
        <f t="shared" si="489"/>
        <v>36.333333333333336</v>
      </c>
      <c r="BJ671" s="129">
        <f t="shared" si="495"/>
        <v>0</v>
      </c>
      <c r="BK671" s="129">
        <f t="shared" si="490"/>
        <v>0</v>
      </c>
      <c r="BL671" s="129" t="str">
        <f t="shared" si="517"/>
        <v>DEFERRED</v>
      </c>
      <c r="BM671" s="129" t="str">
        <f t="shared" si="496"/>
        <v>NONE</v>
      </c>
      <c r="BN671" s="129" t="s">
        <v>566</v>
      </c>
      <c r="BP671" s="137" t="str">
        <f t="shared" si="497"/>
        <v>DEFERRED</v>
      </c>
      <c r="BQ671" s="128" t="str">
        <f t="shared" si="498"/>
        <v>Y</v>
      </c>
      <c r="BR671" s="129" t="str">
        <f t="shared" si="499"/>
        <v>DETAINED</v>
      </c>
      <c r="BS671" s="129" t="str">
        <f t="shared" si="500"/>
        <v>DISPOSED</v>
      </c>
      <c r="BT671" s="129" t="str">
        <f t="shared" si="501"/>
        <v>N</v>
      </c>
      <c r="BU671" s="109">
        <f t="shared" si="502"/>
        <v>1</v>
      </c>
      <c r="BV671" s="109">
        <f t="shared" si="503"/>
        <v>1</v>
      </c>
      <c r="BW671" s="109">
        <f t="shared" si="481"/>
        <v>0</v>
      </c>
      <c r="BX671" s="111">
        <f t="shared" si="504"/>
        <v>0</v>
      </c>
      <c r="BY671" s="129">
        <f t="shared" si="505"/>
        <v>-37</v>
      </c>
      <c r="BZ671" s="111">
        <f t="shared" si="506"/>
        <v>0</v>
      </c>
      <c r="CA671" s="138">
        <f t="shared" si="507"/>
        <v>37</v>
      </c>
      <c r="CB671" s="111" t="e">
        <f t="shared" si="482"/>
        <v>#VALUE!</v>
      </c>
      <c r="CC671" s="129">
        <f>G671-I671+1</f>
        <v>37</v>
      </c>
      <c r="CD671" s="129">
        <f>G671-J671</f>
        <v>0</v>
      </c>
      <c r="CE671" s="129">
        <f t="shared" si="508"/>
        <v>0</v>
      </c>
      <c r="CG671" s="129" t="str">
        <f t="shared" si="509"/>
        <v>Y</v>
      </c>
      <c r="CI671" s="129" t="str">
        <f t="shared" si="510"/>
        <v>31-60 DAYS</v>
      </c>
      <c r="CJ671" s="137">
        <f t="shared" si="511"/>
        <v>3</v>
      </c>
      <c r="CK671" s="129" t="str">
        <f t="shared" si="512"/>
        <v>Booked</v>
      </c>
    </row>
    <row r="672" spans="1:89" ht="15" customHeight="1" x14ac:dyDescent="0.25">
      <c r="A672" s="111">
        <v>558</v>
      </c>
      <c r="B672" s="128" t="str">
        <f t="shared" si="491"/>
        <v>N</v>
      </c>
      <c r="C672" s="128" t="str">
        <f t="shared" si="492"/>
        <v>N</v>
      </c>
      <c r="D672" s="117">
        <v>1429890</v>
      </c>
      <c r="E672" s="135">
        <f t="shared" si="493"/>
        <v>6</v>
      </c>
      <c r="F672" s="124">
        <v>40931</v>
      </c>
      <c r="G672" s="125">
        <v>41229</v>
      </c>
      <c r="H672" s="117">
        <v>1429890</v>
      </c>
      <c r="I672" s="124">
        <v>40931</v>
      </c>
      <c r="J672" s="124">
        <v>40950</v>
      </c>
      <c r="K672" s="126">
        <v>120000</v>
      </c>
      <c r="L672" s="129" t="s">
        <v>572</v>
      </c>
      <c r="M672" s="125">
        <v>40950</v>
      </c>
      <c r="N672" s="129" t="str">
        <f t="shared" si="518"/>
        <v>Y</v>
      </c>
      <c r="O672" s="128" t="s">
        <v>76</v>
      </c>
      <c r="P672" s="129" t="s">
        <v>39</v>
      </c>
      <c r="Q672" s="111">
        <f t="shared" si="519"/>
        <v>20</v>
      </c>
      <c r="R672" s="111">
        <f t="shared" si="487"/>
        <v>299</v>
      </c>
      <c r="S672" s="129">
        <v>2</v>
      </c>
      <c r="T672" s="129">
        <v>3</v>
      </c>
      <c r="U672" s="129">
        <v>1</v>
      </c>
      <c r="W672" s="111"/>
      <c r="AC672" s="130"/>
      <c r="AD672" s="130">
        <v>28347</v>
      </c>
      <c r="AE672" s="128" t="s">
        <v>32</v>
      </c>
      <c r="AF672" s="128" t="s">
        <v>33</v>
      </c>
      <c r="AG672" s="128" t="s">
        <v>872</v>
      </c>
      <c r="AH672" s="108" t="s">
        <v>31</v>
      </c>
      <c r="AI672" s="128" t="s">
        <v>118</v>
      </c>
      <c r="AJ672" s="129" t="s">
        <v>89</v>
      </c>
      <c r="AK672" s="129">
        <v>14</v>
      </c>
      <c r="AL672" s="3" t="s">
        <v>362</v>
      </c>
      <c r="AM672" s="117">
        <v>7</v>
      </c>
      <c r="AP672" s="129" t="s">
        <v>153</v>
      </c>
      <c r="AR672" s="128" t="s">
        <v>92</v>
      </c>
      <c r="AS672" s="129" t="s">
        <v>45</v>
      </c>
      <c r="BC672" s="129" t="s">
        <v>52</v>
      </c>
      <c r="BF672" s="111">
        <f t="shared" si="515"/>
        <v>20</v>
      </c>
      <c r="BG672" s="111">
        <f t="shared" si="494"/>
        <v>299</v>
      </c>
      <c r="BH672" s="111">
        <f t="shared" si="488"/>
        <v>299</v>
      </c>
      <c r="BI672" s="111">
        <f t="shared" si="489"/>
        <v>34.382513661202189</v>
      </c>
      <c r="BJ672" s="129">
        <f>(G672-J672)+(M672-G672)</f>
        <v>0</v>
      </c>
      <c r="BK672" s="129">
        <f t="shared" si="490"/>
        <v>-279</v>
      </c>
      <c r="BL672" s="129" t="str">
        <f t="shared" si="517"/>
        <v>CONVICTION</v>
      </c>
      <c r="BM672" s="129" t="s">
        <v>76</v>
      </c>
      <c r="BN672" s="129" t="s">
        <v>88</v>
      </c>
      <c r="BP672" s="137" t="str">
        <f t="shared" si="497"/>
        <v>CONVICTION</v>
      </c>
      <c r="BQ672" s="128" t="str">
        <f t="shared" si="498"/>
        <v>Y</v>
      </c>
      <c r="BR672" s="129" t="str">
        <f>IF(J672&lt;G672,"ON BOND",0)</f>
        <v>ON BOND</v>
      </c>
      <c r="BS672" s="129" t="str">
        <f t="shared" si="500"/>
        <v>DISPOSED</v>
      </c>
      <c r="BT672" s="129" t="str">
        <f t="shared" si="501"/>
        <v>Y</v>
      </c>
      <c r="BU672" s="109">
        <f t="shared" si="502"/>
        <v>6.6889632107023408E-2</v>
      </c>
      <c r="BV672" s="109">
        <f t="shared" si="503"/>
        <v>6.6889632107023408E-2</v>
      </c>
      <c r="BW672" s="109">
        <f t="shared" si="481"/>
        <v>0</v>
      </c>
      <c r="BX672" s="111">
        <f t="shared" si="504"/>
        <v>0</v>
      </c>
      <c r="BY672" s="129">
        <f t="shared" si="505"/>
        <v>-20</v>
      </c>
      <c r="BZ672" s="111">
        <f t="shared" si="506"/>
        <v>0</v>
      </c>
      <c r="CA672" s="138">
        <f t="shared" si="507"/>
        <v>20</v>
      </c>
      <c r="CB672" s="111" t="e">
        <f t="shared" si="482"/>
        <v>#VALUE!</v>
      </c>
      <c r="CC672" s="129">
        <f>M672-I672+1</f>
        <v>20</v>
      </c>
      <c r="CD672" s="111">
        <f>CC672-BF672</f>
        <v>0</v>
      </c>
      <c r="CE672" s="129">
        <f t="shared" si="508"/>
        <v>279</v>
      </c>
      <c r="CG672" s="129" t="str">
        <f t="shared" si="509"/>
        <v>Y</v>
      </c>
      <c r="CI672" s="129" t="str">
        <f t="shared" si="510"/>
        <v>11-30 DAYS</v>
      </c>
      <c r="CJ672" s="137">
        <f t="shared" si="511"/>
        <v>2</v>
      </c>
      <c r="CK672" s="129" t="str">
        <f t="shared" si="512"/>
        <v>Booked</v>
      </c>
    </row>
    <row r="673" spans="1:89" ht="15.75" customHeight="1" x14ac:dyDescent="0.25">
      <c r="A673" s="111">
        <v>1959</v>
      </c>
      <c r="B673" s="128" t="str">
        <f t="shared" si="491"/>
        <v>N</v>
      </c>
      <c r="C673" s="128" t="str">
        <f t="shared" si="492"/>
        <v>N</v>
      </c>
      <c r="D673" s="117">
        <v>1430728</v>
      </c>
      <c r="E673" s="135">
        <f t="shared" si="493"/>
        <v>6</v>
      </c>
      <c r="F673" s="124">
        <v>40982</v>
      </c>
      <c r="G673" s="125">
        <v>40983</v>
      </c>
      <c r="H673" s="117">
        <v>1430728</v>
      </c>
      <c r="I673" s="124">
        <v>40982</v>
      </c>
      <c r="J673" s="124">
        <v>40983</v>
      </c>
      <c r="K673" s="126">
        <v>15000</v>
      </c>
      <c r="L673" s="127" t="s">
        <v>571</v>
      </c>
      <c r="N673" s="129" t="str">
        <f t="shared" si="518"/>
        <v>N</v>
      </c>
      <c r="O673" s="128" t="s">
        <v>917</v>
      </c>
      <c r="P673" s="129" t="s">
        <v>39</v>
      </c>
      <c r="Q673" s="111">
        <f t="shared" si="519"/>
        <v>2</v>
      </c>
      <c r="R673" s="111">
        <f t="shared" si="487"/>
        <v>2</v>
      </c>
      <c r="S673" s="129">
        <v>6</v>
      </c>
      <c r="T673" s="129">
        <v>2</v>
      </c>
      <c r="U673" s="129">
        <v>4</v>
      </c>
      <c r="W673" s="111"/>
      <c r="AC673" s="130"/>
      <c r="AD673" s="130">
        <v>26563</v>
      </c>
      <c r="AE673" s="128" t="s">
        <v>32</v>
      </c>
      <c r="AF673" s="128" t="s">
        <v>33</v>
      </c>
      <c r="AG673" s="128" t="s">
        <v>872</v>
      </c>
      <c r="AH673" s="108" t="s">
        <v>58</v>
      </c>
      <c r="AI673" s="128" t="s">
        <v>47</v>
      </c>
      <c r="AJ673" s="129" t="s">
        <v>89</v>
      </c>
      <c r="AK673" s="129">
        <v>1</v>
      </c>
      <c r="AL673" s="3" t="s">
        <v>362</v>
      </c>
      <c r="AM673" s="117">
        <v>2</v>
      </c>
      <c r="AP673" s="129" t="s">
        <v>107</v>
      </c>
      <c r="AR673" s="128" t="s">
        <v>44</v>
      </c>
      <c r="AS673" s="129" t="s">
        <v>57</v>
      </c>
      <c r="BC673" s="129" t="s">
        <v>38</v>
      </c>
      <c r="BF673" s="111">
        <f t="shared" si="515"/>
        <v>2</v>
      </c>
      <c r="BG673" s="111">
        <f t="shared" si="494"/>
        <v>2</v>
      </c>
      <c r="BH673" s="111">
        <f t="shared" si="488"/>
        <v>2</v>
      </c>
      <c r="BI673" s="111">
        <f t="shared" si="489"/>
        <v>39.396174863387976</v>
      </c>
      <c r="BJ673" s="129">
        <f t="shared" si="495"/>
        <v>0</v>
      </c>
      <c r="BK673" s="129">
        <f t="shared" si="490"/>
        <v>0</v>
      </c>
      <c r="BL673" s="129" t="str">
        <f t="shared" si="517"/>
        <v>CONVICTION</v>
      </c>
      <c r="BM673" s="129" t="str">
        <f t="shared" si="496"/>
        <v>NONE</v>
      </c>
      <c r="BN673" s="129" t="s">
        <v>566</v>
      </c>
      <c r="BP673" s="137" t="str">
        <f t="shared" si="497"/>
        <v>CONVICTION</v>
      </c>
      <c r="BQ673" s="128" t="str">
        <f t="shared" si="498"/>
        <v>Y</v>
      </c>
      <c r="BR673" s="129" t="str">
        <f t="shared" si="499"/>
        <v>DETAINED</v>
      </c>
      <c r="BS673" s="129" t="str">
        <f t="shared" si="500"/>
        <v>DISPOSED</v>
      </c>
      <c r="BT673" s="129" t="str">
        <f t="shared" si="501"/>
        <v>Y</v>
      </c>
      <c r="BU673" s="109">
        <f t="shared" si="502"/>
        <v>1</v>
      </c>
      <c r="BV673" s="109">
        <f t="shared" si="503"/>
        <v>1</v>
      </c>
      <c r="BW673" s="109">
        <f t="shared" si="481"/>
        <v>0</v>
      </c>
      <c r="BX673" s="111">
        <f t="shared" si="504"/>
        <v>0</v>
      </c>
      <c r="BY673" s="129">
        <f t="shared" si="505"/>
        <v>-2</v>
      </c>
      <c r="BZ673" s="111">
        <f t="shared" si="506"/>
        <v>0</v>
      </c>
      <c r="CA673" s="138">
        <f t="shared" si="507"/>
        <v>2</v>
      </c>
      <c r="CB673" s="111" t="e">
        <f t="shared" si="482"/>
        <v>#VALUE!</v>
      </c>
      <c r="CC673" s="129">
        <f>G673-I673+1</f>
        <v>2</v>
      </c>
      <c r="CD673" s="129">
        <f>G673-J673</f>
        <v>0</v>
      </c>
      <c r="CE673" s="129">
        <f t="shared" si="508"/>
        <v>0</v>
      </c>
      <c r="CG673" s="129" t="str">
        <f t="shared" si="509"/>
        <v>Y</v>
      </c>
      <c r="CI673" s="129" t="str">
        <f t="shared" si="510"/>
        <v>0-10 DAYS</v>
      </c>
      <c r="CJ673" s="137">
        <f t="shared" si="511"/>
        <v>1</v>
      </c>
      <c r="CK673" s="129" t="str">
        <f t="shared" si="512"/>
        <v>Booked</v>
      </c>
    </row>
    <row r="674" spans="1:89" ht="15.75" customHeight="1" x14ac:dyDescent="0.25">
      <c r="A674" s="111">
        <v>2145</v>
      </c>
      <c r="B674" s="128" t="str">
        <f t="shared" si="491"/>
        <v>N</v>
      </c>
      <c r="C674" s="128" t="str">
        <f t="shared" si="492"/>
        <v>N</v>
      </c>
      <c r="D674" s="117">
        <v>1431465</v>
      </c>
      <c r="E674" s="135">
        <f t="shared" si="493"/>
        <v>1</v>
      </c>
      <c r="F674" s="124">
        <v>40989</v>
      </c>
      <c r="G674" s="125">
        <v>41046</v>
      </c>
      <c r="H674" s="117">
        <v>1431465</v>
      </c>
      <c r="I674" s="124">
        <v>40992</v>
      </c>
      <c r="J674" s="124">
        <v>41046</v>
      </c>
      <c r="K674" s="126" t="s">
        <v>564</v>
      </c>
      <c r="L674" s="127" t="s">
        <v>564</v>
      </c>
      <c r="N674" s="129" t="s">
        <v>566</v>
      </c>
      <c r="O674" s="128" t="s">
        <v>917</v>
      </c>
      <c r="P674" s="129" t="s">
        <v>55</v>
      </c>
      <c r="Q674" s="111">
        <f t="shared" si="519"/>
        <v>55</v>
      </c>
      <c r="R674" s="111">
        <f t="shared" si="487"/>
        <v>58</v>
      </c>
      <c r="S674" s="129">
        <v>1</v>
      </c>
      <c r="T674" s="129">
        <v>5</v>
      </c>
      <c r="W674" s="111"/>
      <c r="AC674" s="130"/>
      <c r="AD674" s="130">
        <v>24719</v>
      </c>
      <c r="AE674" s="128" t="s">
        <v>32</v>
      </c>
      <c r="AF674" s="128" t="s">
        <v>33</v>
      </c>
      <c r="AG674" s="128" t="s">
        <v>872</v>
      </c>
      <c r="AH674" s="108" t="s">
        <v>58</v>
      </c>
      <c r="AI674" s="128" t="s">
        <v>114</v>
      </c>
      <c r="AJ674" s="129" t="s">
        <v>55</v>
      </c>
      <c r="AK674" s="129">
        <v>5</v>
      </c>
      <c r="AL674" s="3" t="s">
        <v>55</v>
      </c>
      <c r="AP674" s="129" t="s">
        <v>150</v>
      </c>
      <c r="AR674" s="128" t="s">
        <v>67</v>
      </c>
      <c r="AS674" s="129" t="s">
        <v>74</v>
      </c>
      <c r="BC674" s="129" t="s">
        <v>38</v>
      </c>
      <c r="BF674" s="111">
        <f t="shared" si="515"/>
        <v>55</v>
      </c>
      <c r="BG674" s="111">
        <f t="shared" si="494"/>
        <v>55</v>
      </c>
      <c r="BH674" s="111">
        <f t="shared" si="488"/>
        <v>58</v>
      </c>
      <c r="BI674" s="111">
        <f t="shared" si="489"/>
        <v>44.453551912568308</v>
      </c>
      <c r="BJ674" s="129">
        <f t="shared" si="495"/>
        <v>0</v>
      </c>
      <c r="BK674" s="129">
        <f t="shared" si="490"/>
        <v>0</v>
      </c>
      <c r="BL674" s="129" t="str">
        <f t="shared" si="517"/>
        <v>NO CONVICTION</v>
      </c>
      <c r="BM674" s="129" t="str">
        <f t="shared" si="496"/>
        <v>NONE</v>
      </c>
      <c r="BN674" s="129" t="s">
        <v>566</v>
      </c>
      <c r="BP674" s="137" t="str">
        <f t="shared" si="497"/>
        <v>NO CONVICTION</v>
      </c>
      <c r="BQ674" s="128" t="str">
        <f t="shared" si="498"/>
        <v>Y</v>
      </c>
      <c r="BR674" s="129" t="str">
        <f t="shared" si="499"/>
        <v>DETAINED</v>
      </c>
      <c r="BS674" s="129" t="str">
        <f t="shared" si="500"/>
        <v>DISPOSED</v>
      </c>
      <c r="BT674" s="129" t="str">
        <f t="shared" si="501"/>
        <v>Y</v>
      </c>
      <c r="BU674" s="109">
        <f>IFERROR(Q674/R674,BR674)</f>
        <v>0.94827586206896552</v>
      </c>
      <c r="BV674" s="109">
        <f t="shared" si="503"/>
        <v>1</v>
      </c>
      <c r="BW674" s="109">
        <f t="shared" si="481"/>
        <v>5.1724137931034475E-2</v>
      </c>
      <c r="BX674" s="111">
        <f t="shared" si="504"/>
        <v>0</v>
      </c>
      <c r="BY674" s="129">
        <f t="shared" si="505"/>
        <v>-55</v>
      </c>
      <c r="BZ674" s="111">
        <f t="shared" si="506"/>
        <v>0</v>
      </c>
      <c r="CA674" s="138">
        <f t="shared" si="507"/>
        <v>55</v>
      </c>
      <c r="CB674" s="111" t="e">
        <f t="shared" si="482"/>
        <v>#VALUE!</v>
      </c>
      <c r="CC674" s="129">
        <f>G674-I674+1</f>
        <v>55</v>
      </c>
      <c r="CD674" s="129">
        <f>G674-J674</f>
        <v>0</v>
      </c>
      <c r="CE674" s="129">
        <f t="shared" si="508"/>
        <v>0</v>
      </c>
      <c r="CG674" s="129" t="str">
        <f t="shared" si="509"/>
        <v>Y</v>
      </c>
      <c r="CI674" s="129" t="str">
        <f t="shared" si="510"/>
        <v>31-60 DAYS</v>
      </c>
      <c r="CJ674" s="137">
        <f t="shared" si="511"/>
        <v>3</v>
      </c>
      <c r="CK674" s="129" t="str">
        <f t="shared" si="512"/>
        <v>Booked</v>
      </c>
    </row>
    <row r="675" spans="1:89" ht="15.75" customHeight="1" x14ac:dyDescent="0.25">
      <c r="A675" s="111">
        <v>1768</v>
      </c>
      <c r="B675" s="128" t="str">
        <f t="shared" si="491"/>
        <v>N</v>
      </c>
      <c r="C675" s="128" t="str">
        <f t="shared" si="492"/>
        <v>N</v>
      </c>
      <c r="D675" s="117">
        <v>1432801</v>
      </c>
      <c r="E675" s="135">
        <f t="shared" si="493"/>
        <v>4</v>
      </c>
      <c r="F675" s="124">
        <v>40974</v>
      </c>
      <c r="G675" s="125">
        <v>40977</v>
      </c>
      <c r="H675" s="117">
        <v>1432801</v>
      </c>
      <c r="I675" s="124">
        <v>40975</v>
      </c>
      <c r="J675" s="124">
        <v>40977</v>
      </c>
      <c r="K675" s="126">
        <v>5000</v>
      </c>
      <c r="L675" s="127" t="s">
        <v>569</v>
      </c>
      <c r="N675" s="129" t="str">
        <f t="shared" ref="N675:N685" si="520">IF(M675&gt;1/1/1,"Y","N")</f>
        <v>N</v>
      </c>
      <c r="O675" s="128" t="s">
        <v>917</v>
      </c>
      <c r="P675" s="129" t="s">
        <v>39</v>
      </c>
      <c r="Q675" s="111">
        <f t="shared" si="519"/>
        <v>3</v>
      </c>
      <c r="R675" s="111">
        <f t="shared" si="487"/>
        <v>4</v>
      </c>
      <c r="S675" s="129">
        <v>2</v>
      </c>
      <c r="T675" s="129">
        <v>4</v>
      </c>
      <c r="W675" s="111"/>
      <c r="AC675" s="130"/>
      <c r="AD675" s="130">
        <v>28334</v>
      </c>
      <c r="AE675" s="128" t="s">
        <v>32</v>
      </c>
      <c r="AF675" s="128" t="s">
        <v>33</v>
      </c>
      <c r="AG675" s="128" t="s">
        <v>872</v>
      </c>
      <c r="AH675" s="108" t="s">
        <v>58</v>
      </c>
      <c r="AI675" s="128" t="s">
        <v>72</v>
      </c>
      <c r="AJ675" s="129" t="s">
        <v>89</v>
      </c>
      <c r="AK675" s="129">
        <v>2</v>
      </c>
      <c r="AL675" s="3" t="s">
        <v>991</v>
      </c>
      <c r="AO675" s="128">
        <v>90</v>
      </c>
      <c r="AP675" s="129" t="s">
        <v>43</v>
      </c>
      <c r="AR675" s="128" t="s">
        <v>44</v>
      </c>
      <c r="AS675" s="129" t="s">
        <v>45</v>
      </c>
      <c r="BC675" s="129" t="s">
        <v>38</v>
      </c>
      <c r="BF675" s="111">
        <f t="shared" si="515"/>
        <v>3</v>
      </c>
      <c r="BG675" s="111">
        <f t="shared" ref="BG675:BG686" si="521">IF(G675&gt;1/1/1900,((G675+1)-I675),"STILL OPEN")</f>
        <v>3</v>
      </c>
      <c r="BH675" s="111">
        <f t="shared" si="488"/>
        <v>4</v>
      </c>
      <c r="BI675" s="111">
        <f t="shared" si="489"/>
        <v>34.535519125683059</v>
      </c>
      <c r="BJ675" s="129">
        <f t="shared" si="495"/>
        <v>0</v>
      </c>
      <c r="BK675" s="129">
        <f t="shared" si="490"/>
        <v>0</v>
      </c>
      <c r="BL675" s="129" t="str">
        <f t="shared" si="517"/>
        <v>CONVICTION</v>
      </c>
      <c r="BM675" s="129" t="str">
        <f t="shared" si="496"/>
        <v>NONE</v>
      </c>
      <c r="BN675" s="129" t="s">
        <v>566</v>
      </c>
      <c r="BP675" s="137" t="str">
        <f t="shared" si="497"/>
        <v>CONVICTION</v>
      </c>
      <c r="BQ675" s="128" t="str">
        <f t="shared" si="498"/>
        <v>Y</v>
      </c>
      <c r="BR675" s="129" t="str">
        <f t="shared" si="499"/>
        <v>DETAINED</v>
      </c>
      <c r="BS675" s="129" t="str">
        <f t="shared" si="500"/>
        <v>DISPOSED</v>
      </c>
      <c r="BT675" s="129" t="str">
        <f t="shared" si="501"/>
        <v>Y</v>
      </c>
      <c r="BU675" s="109">
        <f t="shared" si="502"/>
        <v>0.75</v>
      </c>
      <c r="BV675" s="109">
        <f t="shared" si="503"/>
        <v>1</v>
      </c>
      <c r="BW675" s="109">
        <f t="shared" si="481"/>
        <v>0.25</v>
      </c>
      <c r="BX675" s="111">
        <f t="shared" si="504"/>
        <v>0</v>
      </c>
      <c r="BY675" s="129">
        <f t="shared" si="505"/>
        <v>-3</v>
      </c>
      <c r="BZ675" s="111">
        <f t="shared" si="506"/>
        <v>0</v>
      </c>
      <c r="CA675" s="138">
        <f t="shared" si="507"/>
        <v>3</v>
      </c>
      <c r="CB675" s="111" t="e">
        <f t="shared" si="482"/>
        <v>#VALUE!</v>
      </c>
      <c r="CC675" s="129">
        <f>G675-I675+1</f>
        <v>3</v>
      </c>
      <c r="CD675" s="129">
        <f>G675-J675</f>
        <v>0</v>
      </c>
      <c r="CE675" s="129">
        <f t="shared" si="508"/>
        <v>0</v>
      </c>
      <c r="CG675" s="129" t="str">
        <f t="shared" si="509"/>
        <v>Y</v>
      </c>
      <c r="CI675" s="129" t="str">
        <f t="shared" si="510"/>
        <v>0-10 DAYS</v>
      </c>
      <c r="CJ675" s="137">
        <f t="shared" si="511"/>
        <v>1</v>
      </c>
      <c r="CK675" s="129" t="str">
        <f t="shared" si="512"/>
        <v>Booked</v>
      </c>
    </row>
    <row r="676" spans="1:89" ht="15.75" customHeight="1" x14ac:dyDescent="0.25">
      <c r="A676" s="111">
        <v>80</v>
      </c>
      <c r="B676" s="128" t="str">
        <f t="shared" si="491"/>
        <v>N</v>
      </c>
      <c r="C676" s="128" t="str">
        <f t="shared" si="492"/>
        <v>N</v>
      </c>
      <c r="D676" s="117">
        <v>1433968</v>
      </c>
      <c r="E676" s="135">
        <f t="shared" si="493"/>
        <v>1</v>
      </c>
      <c r="F676" s="124">
        <v>40912</v>
      </c>
      <c r="G676" s="125">
        <v>40934</v>
      </c>
      <c r="H676" s="117">
        <v>1433968</v>
      </c>
      <c r="I676" s="124">
        <v>40913</v>
      </c>
      <c r="J676" s="124">
        <v>40914</v>
      </c>
      <c r="K676" s="126">
        <v>10000</v>
      </c>
      <c r="L676" s="127" t="s">
        <v>570</v>
      </c>
      <c r="M676" s="125">
        <v>40914</v>
      </c>
      <c r="N676" s="129" t="str">
        <f t="shared" si="520"/>
        <v>Y</v>
      </c>
      <c r="O676" s="128" t="s">
        <v>76</v>
      </c>
      <c r="P676" s="129" t="s">
        <v>55</v>
      </c>
      <c r="Q676" s="111">
        <f t="shared" si="519"/>
        <v>2</v>
      </c>
      <c r="R676" s="111">
        <f t="shared" si="487"/>
        <v>23</v>
      </c>
      <c r="S676" s="129">
        <v>5</v>
      </c>
      <c r="T676" s="129">
        <v>2</v>
      </c>
      <c r="U676" s="129">
        <v>2</v>
      </c>
      <c r="W676" s="111"/>
      <c r="AC676" s="130"/>
      <c r="AD676" s="130">
        <v>27164</v>
      </c>
      <c r="AE676" s="128" t="s">
        <v>32</v>
      </c>
      <c r="AF676" s="128" t="s">
        <v>33</v>
      </c>
      <c r="AG676" s="128" t="s">
        <v>872</v>
      </c>
      <c r="AH676" s="108" t="s">
        <v>58</v>
      </c>
      <c r="AI676" s="128" t="s">
        <v>85</v>
      </c>
      <c r="AJ676" s="129" t="s">
        <v>135</v>
      </c>
      <c r="AK676" s="129">
        <v>3</v>
      </c>
      <c r="AL676" s="3" t="s">
        <v>55</v>
      </c>
      <c r="AP676" s="129" t="s">
        <v>136</v>
      </c>
      <c r="AR676" s="128" t="s">
        <v>67</v>
      </c>
      <c r="AS676" s="129" t="s">
        <v>64</v>
      </c>
      <c r="AT676" s="129" t="s">
        <v>592</v>
      </c>
      <c r="BC676" s="129" t="s">
        <v>38</v>
      </c>
      <c r="BF676" s="111">
        <f t="shared" si="515"/>
        <v>2</v>
      </c>
      <c r="BG676" s="111">
        <f t="shared" si="521"/>
        <v>22</v>
      </c>
      <c r="BH676" s="111">
        <f t="shared" si="488"/>
        <v>23</v>
      </c>
      <c r="BI676" s="111">
        <f t="shared" si="489"/>
        <v>37.562841530054648</v>
      </c>
      <c r="BJ676" s="129">
        <f>(G676-J676)+(M676-G676)</f>
        <v>0</v>
      </c>
      <c r="BK676" s="129">
        <f t="shared" si="490"/>
        <v>-20</v>
      </c>
      <c r="BL676" s="129" t="str">
        <f t="shared" si="517"/>
        <v>NO CONVICTION</v>
      </c>
      <c r="BM676" s="129" t="s">
        <v>76</v>
      </c>
      <c r="BN676" s="129" t="s">
        <v>88</v>
      </c>
      <c r="BP676" s="137" t="str">
        <f t="shared" si="497"/>
        <v/>
      </c>
      <c r="BQ676" s="128" t="str">
        <f t="shared" si="498"/>
        <v>Y</v>
      </c>
      <c r="BR676" s="129" t="str">
        <f t="shared" si="499"/>
        <v>ON BOND</v>
      </c>
      <c r="BS676" s="129" t="str">
        <f t="shared" si="500"/>
        <v>DISPOSED</v>
      </c>
      <c r="BT676" s="129" t="str">
        <f t="shared" si="501"/>
        <v>Y</v>
      </c>
      <c r="BU676" s="109">
        <f>IFERROR(Q676/R676,BR676)</f>
        <v>8.6956521739130432E-2</v>
      </c>
      <c r="BV676" s="109">
        <f t="shared" si="503"/>
        <v>9.0909090909090912E-2</v>
      </c>
      <c r="BW676" s="109">
        <f t="shared" si="481"/>
        <v>3.9525691699604792E-3</v>
      </c>
      <c r="BX676" s="111">
        <f t="shared" si="504"/>
        <v>0</v>
      </c>
      <c r="BY676" s="129">
        <f t="shared" si="505"/>
        <v>-2</v>
      </c>
      <c r="BZ676" s="111">
        <f t="shared" si="506"/>
        <v>0</v>
      </c>
      <c r="CA676" s="138">
        <f t="shared" si="507"/>
        <v>2</v>
      </c>
      <c r="CB676" s="111" t="e">
        <f t="shared" si="482"/>
        <v>#VALUE!</v>
      </c>
      <c r="CC676" s="129">
        <f>M676-I676+1</f>
        <v>2</v>
      </c>
      <c r="CD676" s="111">
        <f>CC676-BF676</f>
        <v>0</v>
      </c>
      <c r="CE676" s="129">
        <f t="shared" si="508"/>
        <v>20</v>
      </c>
      <c r="CG676" s="129" t="str">
        <f t="shared" si="509"/>
        <v>Y</v>
      </c>
      <c r="CI676" s="129" t="str">
        <f t="shared" si="510"/>
        <v>0-10 DAYS</v>
      </c>
      <c r="CJ676" s="137">
        <f t="shared" si="511"/>
        <v>1</v>
      </c>
      <c r="CK676" s="129" t="str">
        <f t="shared" si="512"/>
        <v>Booked</v>
      </c>
    </row>
    <row r="677" spans="1:89" ht="15.75" customHeight="1" x14ac:dyDescent="0.25">
      <c r="A677" s="111">
        <v>2437</v>
      </c>
      <c r="B677" s="128" t="str">
        <f t="shared" si="491"/>
        <v>N</v>
      </c>
      <c r="C677" s="128" t="str">
        <f t="shared" si="492"/>
        <v>N</v>
      </c>
      <c r="D677" s="117">
        <v>1434847</v>
      </c>
      <c r="E677" s="135">
        <f t="shared" si="493"/>
        <v>1</v>
      </c>
      <c r="F677" s="124">
        <v>41000</v>
      </c>
      <c r="G677" s="125">
        <v>41002</v>
      </c>
      <c r="H677" s="117">
        <v>1434847</v>
      </c>
      <c r="I677" s="124">
        <v>41001</v>
      </c>
      <c r="J677" s="125">
        <v>41002</v>
      </c>
      <c r="K677" s="126">
        <v>5000</v>
      </c>
      <c r="L677" s="127" t="s">
        <v>569</v>
      </c>
      <c r="N677" s="129" t="str">
        <f t="shared" si="520"/>
        <v>N</v>
      </c>
      <c r="O677" s="128" t="s">
        <v>917</v>
      </c>
      <c r="P677" s="129" t="s">
        <v>55</v>
      </c>
      <c r="Q677" s="111">
        <f t="shared" si="519"/>
        <v>2</v>
      </c>
      <c r="R677" s="111">
        <f t="shared" si="487"/>
        <v>3</v>
      </c>
      <c r="S677" s="129">
        <v>0</v>
      </c>
      <c r="T677" s="129">
        <v>5</v>
      </c>
      <c r="W677" s="111"/>
      <c r="AB677" s="131" t="s">
        <v>112</v>
      </c>
      <c r="AC677" s="130"/>
      <c r="AD677" s="130">
        <v>26282</v>
      </c>
      <c r="AE677" s="128" t="s">
        <v>32</v>
      </c>
      <c r="AF677" s="128" t="s">
        <v>40</v>
      </c>
      <c r="AG677" s="128" t="s">
        <v>41</v>
      </c>
      <c r="AH677" s="108" t="s">
        <v>31</v>
      </c>
      <c r="AI677" s="128" t="s">
        <v>85</v>
      </c>
      <c r="AJ677" s="129" t="s">
        <v>55</v>
      </c>
      <c r="AK677" s="129">
        <v>1</v>
      </c>
      <c r="AL677" s="3" t="s">
        <v>55</v>
      </c>
      <c r="AP677" s="129" t="s">
        <v>84</v>
      </c>
      <c r="AR677" s="128" t="s">
        <v>67</v>
      </c>
      <c r="AS677" s="129" t="s">
        <v>74</v>
      </c>
      <c r="AT677" s="129" t="s">
        <v>439</v>
      </c>
      <c r="BC677" s="129" t="s">
        <v>79</v>
      </c>
      <c r="BF677" s="111">
        <f t="shared" si="515"/>
        <v>2</v>
      </c>
      <c r="BG677" s="111">
        <f t="shared" si="521"/>
        <v>2</v>
      </c>
      <c r="BH677" s="111">
        <f t="shared" si="488"/>
        <v>3</v>
      </c>
      <c r="BI677" s="111">
        <f t="shared" si="489"/>
        <v>40.213114754098363</v>
      </c>
      <c r="BJ677" s="129">
        <f t="shared" si="495"/>
        <v>0</v>
      </c>
      <c r="BK677" s="129">
        <f t="shared" si="490"/>
        <v>0</v>
      </c>
      <c r="BL677" s="129" t="str">
        <f t="shared" si="517"/>
        <v>NO CONVICTION</v>
      </c>
      <c r="BM677" s="129" t="str">
        <f t="shared" si="496"/>
        <v>NONE</v>
      </c>
      <c r="BN677" s="129" t="s">
        <v>566</v>
      </c>
      <c r="BP677" s="137" t="str">
        <f t="shared" si="497"/>
        <v>NO CONVICTION</v>
      </c>
      <c r="BQ677" s="128" t="str">
        <f t="shared" si="498"/>
        <v>Y</v>
      </c>
      <c r="BR677" s="129" t="str">
        <f t="shared" si="499"/>
        <v>DETAINED</v>
      </c>
      <c r="BS677" s="129" t="str">
        <f t="shared" si="500"/>
        <v>DISPOSED</v>
      </c>
      <c r="BT677" s="129" t="str">
        <f t="shared" si="501"/>
        <v>N</v>
      </c>
      <c r="BU677" s="109">
        <f>IFERROR(Q677/R677,BR677)</f>
        <v>0.66666666666666663</v>
      </c>
      <c r="BV677" s="109">
        <f t="shared" si="503"/>
        <v>1</v>
      </c>
      <c r="BW677" s="109">
        <f t="shared" si="481"/>
        <v>0.33333333333333337</v>
      </c>
      <c r="BX677" s="111">
        <f t="shared" si="504"/>
        <v>0</v>
      </c>
      <c r="BY677" s="129">
        <f t="shared" si="505"/>
        <v>-2</v>
      </c>
      <c r="BZ677" s="111">
        <f t="shared" si="506"/>
        <v>0</v>
      </c>
      <c r="CA677" s="138">
        <f t="shared" si="507"/>
        <v>2</v>
      </c>
      <c r="CB677" s="111" t="e">
        <f t="shared" si="482"/>
        <v>#VALUE!</v>
      </c>
      <c r="CC677" s="129">
        <f>G677-I677+1</f>
        <v>2</v>
      </c>
      <c r="CD677" s="129">
        <f>G677-J677</f>
        <v>0</v>
      </c>
      <c r="CE677" s="129">
        <f t="shared" si="508"/>
        <v>0</v>
      </c>
      <c r="CG677" s="129" t="str">
        <f t="shared" si="509"/>
        <v>Y</v>
      </c>
      <c r="CI677" s="129" t="str">
        <f t="shared" si="510"/>
        <v>0-10 DAYS</v>
      </c>
      <c r="CJ677" s="137">
        <f t="shared" si="511"/>
        <v>1</v>
      </c>
      <c r="CK677" s="129" t="str">
        <f t="shared" si="512"/>
        <v>Booked</v>
      </c>
    </row>
    <row r="678" spans="1:89" ht="15" customHeight="1" x14ac:dyDescent="0.25">
      <c r="A678" s="111">
        <v>642</v>
      </c>
      <c r="B678" s="128" t="str">
        <f t="shared" si="491"/>
        <v>N</v>
      </c>
      <c r="C678" s="128" t="str">
        <f t="shared" si="492"/>
        <v>N</v>
      </c>
      <c r="D678" s="117">
        <v>1436563</v>
      </c>
      <c r="E678" s="135">
        <f t="shared" si="493"/>
        <v>5</v>
      </c>
      <c r="F678" s="124">
        <v>40934</v>
      </c>
      <c r="G678" s="125">
        <v>40976</v>
      </c>
      <c r="H678" s="117">
        <v>1436563</v>
      </c>
      <c r="I678" s="124">
        <v>40934</v>
      </c>
      <c r="J678" s="124">
        <v>40976</v>
      </c>
      <c r="K678" s="126">
        <v>15000</v>
      </c>
      <c r="L678" s="127" t="s">
        <v>571</v>
      </c>
      <c r="N678" s="129" t="str">
        <f t="shared" si="520"/>
        <v>N</v>
      </c>
      <c r="O678" s="128" t="s">
        <v>917</v>
      </c>
      <c r="P678" s="129" t="s">
        <v>39</v>
      </c>
      <c r="Q678" s="111">
        <f t="shared" si="519"/>
        <v>43</v>
      </c>
      <c r="R678" s="111">
        <f t="shared" si="487"/>
        <v>43</v>
      </c>
      <c r="S678" s="129">
        <v>12</v>
      </c>
      <c r="T678" s="129">
        <v>2</v>
      </c>
      <c r="U678" s="129">
        <v>8</v>
      </c>
      <c r="W678" s="111"/>
      <c r="AC678" s="130"/>
      <c r="AD678" s="130">
        <v>28416</v>
      </c>
      <c r="AE678" s="128" t="s">
        <v>46</v>
      </c>
      <c r="AF678" s="128" t="s">
        <v>33</v>
      </c>
      <c r="AG678" s="128" t="s">
        <v>872</v>
      </c>
      <c r="AH678" s="108" t="s">
        <v>58</v>
      </c>
      <c r="AI678" s="128" t="s">
        <v>97</v>
      </c>
      <c r="AJ678" s="129" t="s">
        <v>89</v>
      </c>
      <c r="AK678" s="129">
        <v>3</v>
      </c>
      <c r="AL678" s="3" t="s">
        <v>992</v>
      </c>
      <c r="AN678" s="117">
        <v>7</v>
      </c>
      <c r="AP678" s="129" t="s">
        <v>43</v>
      </c>
      <c r="AR678" s="128" t="s">
        <v>44</v>
      </c>
      <c r="AS678" s="129" t="s">
        <v>45</v>
      </c>
      <c r="BC678" s="129" t="s">
        <v>99</v>
      </c>
      <c r="BF678" s="111">
        <f t="shared" ref="BF678:BF686" si="522">IF(J678&gt;1/1/1900,((J678+1)-I678),"STILL OPEN")</f>
        <v>43</v>
      </c>
      <c r="BG678" s="111">
        <f t="shared" si="521"/>
        <v>43</v>
      </c>
      <c r="BH678" s="111">
        <f t="shared" si="488"/>
        <v>43</v>
      </c>
      <c r="BI678" s="111">
        <f t="shared" si="489"/>
        <v>34.202185792349724</v>
      </c>
      <c r="BJ678" s="129">
        <f t="shared" si="495"/>
        <v>0</v>
      </c>
      <c r="BK678" s="129">
        <f t="shared" si="490"/>
        <v>0</v>
      </c>
      <c r="BL678" s="129" t="str">
        <f t="shared" si="517"/>
        <v>CONVICTION</v>
      </c>
      <c r="BM678" s="129" t="str">
        <f t="shared" si="496"/>
        <v>NONE</v>
      </c>
      <c r="BN678" s="129" t="s">
        <v>566</v>
      </c>
      <c r="BP678" s="137" t="str">
        <f t="shared" si="497"/>
        <v>CONVICTION</v>
      </c>
      <c r="BQ678" s="128" t="str">
        <f t="shared" si="498"/>
        <v>Y</v>
      </c>
      <c r="BR678" s="129" t="str">
        <f t="shared" si="499"/>
        <v>DETAINED</v>
      </c>
      <c r="BS678" s="129" t="str">
        <f t="shared" si="500"/>
        <v>DISPOSED</v>
      </c>
      <c r="BT678" s="129" t="str">
        <f t="shared" si="501"/>
        <v>Y</v>
      </c>
      <c r="BU678" s="109">
        <f t="shared" si="502"/>
        <v>1</v>
      </c>
      <c r="BV678" s="109">
        <f t="shared" si="503"/>
        <v>1</v>
      </c>
      <c r="BW678" s="109">
        <f t="shared" ref="BW678:BW741" si="523">BV678-BU678</f>
        <v>0</v>
      </c>
      <c r="BX678" s="111">
        <f t="shared" si="504"/>
        <v>0</v>
      </c>
      <c r="BY678" s="129">
        <f t="shared" si="505"/>
        <v>-43</v>
      </c>
      <c r="BZ678" s="111">
        <f t="shared" si="506"/>
        <v>0</v>
      </c>
      <c r="CA678" s="138">
        <f t="shared" si="507"/>
        <v>43</v>
      </c>
      <c r="CB678" s="111" t="e">
        <f t="shared" ref="CB678:CB686" si="524">IF(AF678&gt;1/1/1900,((AF678+1)-AE678),"STILL OPEN")</f>
        <v>#VALUE!</v>
      </c>
      <c r="CC678" s="129">
        <f>G678-I678+1</f>
        <v>43</v>
      </c>
      <c r="CD678" s="129">
        <f>G678-J678</f>
        <v>0</v>
      </c>
      <c r="CE678" s="129">
        <f t="shared" si="508"/>
        <v>0</v>
      </c>
      <c r="CG678" s="129" t="str">
        <f t="shared" si="509"/>
        <v>Y</v>
      </c>
      <c r="CI678" s="129" t="str">
        <f t="shared" si="510"/>
        <v>31-60 DAYS</v>
      </c>
      <c r="CJ678" s="137">
        <f t="shared" si="511"/>
        <v>3</v>
      </c>
      <c r="CK678" s="129" t="str">
        <f t="shared" si="512"/>
        <v>Booked</v>
      </c>
    </row>
    <row r="679" spans="1:89" ht="15.75" customHeight="1" x14ac:dyDescent="0.25">
      <c r="A679" s="111">
        <v>590</v>
      </c>
      <c r="B679" s="128" t="str">
        <f t="shared" si="491"/>
        <v>N</v>
      </c>
      <c r="C679" s="128" t="str">
        <f t="shared" si="492"/>
        <v>N</v>
      </c>
      <c r="D679" s="117">
        <v>1440023</v>
      </c>
      <c r="E679" s="135">
        <f t="shared" si="493"/>
        <v>1</v>
      </c>
      <c r="F679" s="124">
        <v>40932</v>
      </c>
      <c r="G679" s="125">
        <v>40995</v>
      </c>
      <c r="H679" s="117">
        <v>1440023</v>
      </c>
      <c r="I679" s="124">
        <v>40933</v>
      </c>
      <c r="J679" s="124">
        <v>40933</v>
      </c>
      <c r="K679" s="126">
        <v>10000</v>
      </c>
      <c r="L679" s="127" t="s">
        <v>570</v>
      </c>
      <c r="M679" s="125">
        <v>40933</v>
      </c>
      <c r="N679" s="129" t="str">
        <f t="shared" si="520"/>
        <v>Y</v>
      </c>
      <c r="O679" s="128" t="s">
        <v>585</v>
      </c>
      <c r="P679" s="129" t="s">
        <v>55</v>
      </c>
      <c r="Q679" s="111">
        <f t="shared" si="519"/>
        <v>1</v>
      </c>
      <c r="R679" s="111">
        <f t="shared" si="487"/>
        <v>64</v>
      </c>
      <c r="S679" s="129">
        <v>0</v>
      </c>
      <c r="T679" s="129">
        <v>6</v>
      </c>
      <c r="W679" s="111"/>
      <c r="AC679" s="130"/>
      <c r="AD679" s="130">
        <v>22877</v>
      </c>
      <c r="AE679" s="128" t="s">
        <v>32</v>
      </c>
      <c r="AF679" s="128" t="s">
        <v>40</v>
      </c>
      <c r="AG679" s="128" t="s">
        <v>41</v>
      </c>
      <c r="AH679" s="108" t="s">
        <v>41</v>
      </c>
      <c r="AI679" s="128" t="s">
        <v>87</v>
      </c>
      <c r="AJ679" s="129" t="s">
        <v>55</v>
      </c>
      <c r="AK679" s="129">
        <v>3</v>
      </c>
      <c r="AL679" s="3" t="s">
        <v>55</v>
      </c>
      <c r="AP679" s="129" t="s">
        <v>66</v>
      </c>
      <c r="AR679" s="128" t="s">
        <v>67</v>
      </c>
      <c r="AS679" s="129" t="s">
        <v>68</v>
      </c>
      <c r="BC679" s="129" t="s">
        <v>52</v>
      </c>
      <c r="BF679" s="111">
        <f t="shared" si="522"/>
        <v>1</v>
      </c>
      <c r="BG679" s="111">
        <f t="shared" si="521"/>
        <v>63</v>
      </c>
      <c r="BH679" s="111">
        <f t="shared" si="488"/>
        <v>64</v>
      </c>
      <c r="BI679" s="111">
        <f t="shared" si="489"/>
        <v>49.330601092896174</v>
      </c>
      <c r="BJ679" s="129">
        <f>(G679-J679)+(M679-G679)</f>
        <v>0</v>
      </c>
      <c r="BK679" s="129">
        <f t="shared" si="490"/>
        <v>-62</v>
      </c>
      <c r="BL679" s="129" t="str">
        <f t="shared" si="517"/>
        <v>NO CONVICTION</v>
      </c>
      <c r="BM679" s="129" t="s">
        <v>76</v>
      </c>
      <c r="BN679" s="129" t="s">
        <v>88</v>
      </c>
      <c r="BP679" s="137" t="str">
        <f t="shared" si="497"/>
        <v>NO CONVICTION</v>
      </c>
      <c r="BQ679" s="128" t="str">
        <f t="shared" si="498"/>
        <v>Y</v>
      </c>
      <c r="BR679" s="129" t="str">
        <f t="shared" si="499"/>
        <v>ON BOND</v>
      </c>
      <c r="BS679" s="129" t="str">
        <f t="shared" si="500"/>
        <v>DISPOSED</v>
      </c>
      <c r="BT679" s="129" t="str">
        <f t="shared" si="501"/>
        <v>N</v>
      </c>
      <c r="BU679" s="109">
        <f>IFERROR(Q679/R679,BR679)</f>
        <v>1.5625E-2</v>
      </c>
      <c r="BV679" s="109">
        <f t="shared" si="503"/>
        <v>1.5873015873015872E-2</v>
      </c>
      <c r="BW679" s="109">
        <f t="shared" si="523"/>
        <v>2.4801587301587213E-4</v>
      </c>
      <c r="BX679" s="111">
        <f t="shared" si="504"/>
        <v>0</v>
      </c>
      <c r="BY679" s="129">
        <f t="shared" si="505"/>
        <v>-1</v>
      </c>
      <c r="BZ679" s="111">
        <f t="shared" si="506"/>
        <v>0</v>
      </c>
      <c r="CA679" s="138">
        <f t="shared" si="507"/>
        <v>1</v>
      </c>
      <c r="CB679" s="111" t="e">
        <f t="shared" si="524"/>
        <v>#VALUE!</v>
      </c>
      <c r="CC679" s="129">
        <f>M679-I679+1</f>
        <v>1</v>
      </c>
      <c r="CD679" s="111">
        <f>CC679-BF679</f>
        <v>0</v>
      </c>
      <c r="CE679" s="129">
        <f t="shared" si="508"/>
        <v>62</v>
      </c>
      <c r="CG679" s="129" t="str">
        <f t="shared" si="509"/>
        <v>Y</v>
      </c>
      <c r="CI679" s="129" t="str">
        <f t="shared" si="510"/>
        <v>0-10 DAYS</v>
      </c>
      <c r="CJ679" s="137">
        <f t="shared" si="511"/>
        <v>1</v>
      </c>
      <c r="CK679" s="129" t="str">
        <f t="shared" si="512"/>
        <v>Booked</v>
      </c>
    </row>
    <row r="680" spans="1:89" ht="15.75" customHeight="1" x14ac:dyDescent="0.25">
      <c r="A680" s="111">
        <v>2828</v>
      </c>
      <c r="B680" s="128" t="str">
        <f t="shared" si="491"/>
        <v>N</v>
      </c>
      <c r="C680" s="128" t="str">
        <f t="shared" si="492"/>
        <v>N</v>
      </c>
      <c r="D680" s="117">
        <v>1441241</v>
      </c>
      <c r="E680" s="135">
        <f t="shared" si="493"/>
        <v>1</v>
      </c>
      <c r="F680" s="124">
        <v>41013</v>
      </c>
      <c r="G680" s="125">
        <v>41313</v>
      </c>
      <c r="H680" s="117">
        <v>1441241</v>
      </c>
      <c r="I680" s="124">
        <v>41013</v>
      </c>
      <c r="J680" s="124">
        <v>41014</v>
      </c>
      <c r="K680" s="126">
        <v>5000</v>
      </c>
      <c r="L680" s="127" t="s">
        <v>569</v>
      </c>
      <c r="M680" s="125">
        <v>41014</v>
      </c>
      <c r="N680" s="129" t="str">
        <f t="shared" si="520"/>
        <v>Y</v>
      </c>
      <c r="O680" s="128" t="s">
        <v>585</v>
      </c>
      <c r="P680" s="129" t="s">
        <v>55</v>
      </c>
      <c r="Q680" s="111">
        <f t="shared" si="519"/>
        <v>2</v>
      </c>
      <c r="R680" s="111">
        <f t="shared" si="487"/>
        <v>301</v>
      </c>
      <c r="S680" s="129">
        <v>0</v>
      </c>
      <c r="T680" s="129">
        <v>0</v>
      </c>
      <c r="W680" s="111"/>
      <c r="AC680" s="130"/>
      <c r="AD680" s="130">
        <v>25702</v>
      </c>
      <c r="AE680" s="128" t="s">
        <v>32</v>
      </c>
      <c r="AF680" s="128" t="s">
        <v>33</v>
      </c>
      <c r="AG680" s="128" t="s">
        <v>872</v>
      </c>
      <c r="AH680" s="108" t="s">
        <v>31</v>
      </c>
      <c r="AI680" s="128" t="s">
        <v>71</v>
      </c>
      <c r="AJ680" s="129" t="s">
        <v>55</v>
      </c>
      <c r="AK680" s="129">
        <v>10</v>
      </c>
      <c r="AL680" s="3" t="s">
        <v>55</v>
      </c>
      <c r="AP680" s="129" t="s">
        <v>148</v>
      </c>
      <c r="AR680" s="128" t="s">
        <v>67</v>
      </c>
      <c r="AS680" s="129" t="s">
        <v>45</v>
      </c>
      <c r="BC680" s="129" t="s">
        <v>52</v>
      </c>
      <c r="BF680" s="111">
        <f t="shared" si="522"/>
        <v>2</v>
      </c>
      <c r="BG680" s="111">
        <f t="shared" si="521"/>
        <v>301</v>
      </c>
      <c r="BH680" s="111">
        <f t="shared" si="488"/>
        <v>301</v>
      </c>
      <c r="BI680" s="111">
        <f t="shared" si="489"/>
        <v>41.833333333333336</v>
      </c>
      <c r="BJ680" s="129">
        <f>(G680-J680)+(M680-G680)</f>
        <v>0</v>
      </c>
      <c r="BK680" s="129">
        <f t="shared" si="490"/>
        <v>-299</v>
      </c>
      <c r="BL680" s="129" t="str">
        <f t="shared" si="517"/>
        <v>NO CONVICTION</v>
      </c>
      <c r="BM680" s="129" t="s">
        <v>76</v>
      </c>
      <c r="BN680" s="129" t="s">
        <v>88</v>
      </c>
      <c r="BP680" s="137" t="str">
        <f t="shared" si="497"/>
        <v>NO CONVICTION</v>
      </c>
      <c r="BQ680" s="128" t="str">
        <f t="shared" si="498"/>
        <v>Y</v>
      </c>
      <c r="BR680" s="129" t="str">
        <f t="shared" si="499"/>
        <v>ON BOND</v>
      </c>
      <c r="BS680" s="129" t="str">
        <f t="shared" si="500"/>
        <v>DISPOSED</v>
      </c>
      <c r="BT680" s="129" t="str">
        <f t="shared" si="501"/>
        <v>N</v>
      </c>
      <c r="BU680" s="109">
        <f>IFERROR(Q680/R680,BR680)</f>
        <v>6.6445182724252493E-3</v>
      </c>
      <c r="BV680" s="109">
        <f t="shared" si="503"/>
        <v>6.6445182724252493E-3</v>
      </c>
      <c r="BW680" s="109">
        <f t="shared" si="523"/>
        <v>0</v>
      </c>
      <c r="BX680" s="111">
        <f t="shared" si="504"/>
        <v>0</v>
      </c>
      <c r="BY680" s="129">
        <f t="shared" si="505"/>
        <v>-2</v>
      </c>
      <c r="BZ680" s="111">
        <f t="shared" si="506"/>
        <v>0</v>
      </c>
      <c r="CA680" s="138">
        <f t="shared" si="507"/>
        <v>2</v>
      </c>
      <c r="CB680" s="111" t="e">
        <f t="shared" si="524"/>
        <v>#VALUE!</v>
      </c>
      <c r="CC680" s="129">
        <f>M680-I680+1</f>
        <v>2</v>
      </c>
      <c r="CD680" s="111">
        <f>CC680-BF680</f>
        <v>0</v>
      </c>
      <c r="CE680" s="129">
        <f t="shared" si="508"/>
        <v>299</v>
      </c>
      <c r="CG680" s="129" t="str">
        <f t="shared" si="509"/>
        <v>N</v>
      </c>
      <c r="CI680" s="129" t="str">
        <f t="shared" si="510"/>
        <v>0-10 DAYS</v>
      </c>
      <c r="CJ680" s="137">
        <f t="shared" si="511"/>
        <v>1</v>
      </c>
      <c r="CK680" s="129" t="str">
        <f t="shared" si="512"/>
        <v>Booked</v>
      </c>
    </row>
    <row r="681" spans="1:89" ht="15" customHeight="1" x14ac:dyDescent="0.25">
      <c r="A681" s="111">
        <v>627</v>
      </c>
      <c r="B681" s="128" t="str">
        <f t="shared" si="491"/>
        <v>N</v>
      </c>
      <c r="C681" s="128" t="str">
        <f t="shared" si="492"/>
        <v>N</v>
      </c>
      <c r="D681" s="117">
        <v>1442231</v>
      </c>
      <c r="E681" s="135">
        <f t="shared" si="493"/>
        <v>5</v>
      </c>
      <c r="F681" s="124">
        <v>40933</v>
      </c>
      <c r="G681" s="125">
        <v>40935</v>
      </c>
      <c r="H681" s="117">
        <v>1442231</v>
      </c>
      <c r="I681" s="124">
        <v>40934</v>
      </c>
      <c r="J681" s="124">
        <v>40935</v>
      </c>
      <c r="K681" s="126">
        <v>15000</v>
      </c>
      <c r="L681" s="127" t="s">
        <v>571</v>
      </c>
      <c r="N681" s="129" t="str">
        <f t="shared" si="520"/>
        <v>N</v>
      </c>
      <c r="O681" s="128" t="s">
        <v>917</v>
      </c>
      <c r="P681" s="129" t="s">
        <v>39</v>
      </c>
      <c r="Q681" s="111">
        <f t="shared" si="519"/>
        <v>2</v>
      </c>
      <c r="R681" s="111">
        <f t="shared" si="487"/>
        <v>3</v>
      </c>
      <c r="S681" s="129">
        <v>10</v>
      </c>
      <c r="T681" s="129">
        <v>3</v>
      </c>
      <c r="U681" s="129">
        <v>4</v>
      </c>
      <c r="V681" s="117">
        <v>1</v>
      </c>
      <c r="W681" s="111"/>
      <c r="AC681" s="130"/>
      <c r="AD681" s="130">
        <v>23171</v>
      </c>
      <c r="AE681" s="128" t="s">
        <v>46</v>
      </c>
      <c r="AF681" s="128" t="s">
        <v>33</v>
      </c>
      <c r="AG681" s="128" t="s">
        <v>872</v>
      </c>
      <c r="AH681" s="108" t="s">
        <v>58</v>
      </c>
      <c r="AI681" s="128" t="s">
        <v>53</v>
      </c>
      <c r="AJ681" s="129" t="s">
        <v>89</v>
      </c>
      <c r="AK681" s="129">
        <v>1</v>
      </c>
      <c r="AL681" s="3" t="s">
        <v>992</v>
      </c>
      <c r="AN681" s="117">
        <v>6</v>
      </c>
      <c r="AP681" s="129" t="s">
        <v>43</v>
      </c>
      <c r="AR681" s="128" t="s">
        <v>44</v>
      </c>
      <c r="AS681" s="129" t="s">
        <v>45</v>
      </c>
      <c r="BC681" s="129" t="s">
        <v>38</v>
      </c>
      <c r="BF681" s="111">
        <f t="shared" si="522"/>
        <v>2</v>
      </c>
      <c r="BG681" s="111">
        <f t="shared" si="521"/>
        <v>2</v>
      </c>
      <c r="BH681" s="111">
        <f t="shared" si="488"/>
        <v>3</v>
      </c>
      <c r="BI681" s="111">
        <f t="shared" si="489"/>
        <v>48.530054644808743</v>
      </c>
      <c r="BJ681" s="129">
        <f t="shared" si="495"/>
        <v>0</v>
      </c>
      <c r="BK681" s="129">
        <f t="shared" si="490"/>
        <v>0</v>
      </c>
      <c r="BL681" s="129" t="str">
        <f t="shared" si="517"/>
        <v>CONVICTION</v>
      </c>
      <c r="BM681" s="129" t="str">
        <f t="shared" si="496"/>
        <v>NONE</v>
      </c>
      <c r="BN681" s="129" t="s">
        <v>566</v>
      </c>
      <c r="BP681" s="137" t="str">
        <f t="shared" si="497"/>
        <v>CONVICTION</v>
      </c>
      <c r="BQ681" s="128" t="str">
        <f t="shared" si="498"/>
        <v>Y</v>
      </c>
      <c r="BR681" s="129" t="str">
        <f t="shared" si="499"/>
        <v>DETAINED</v>
      </c>
      <c r="BS681" s="129" t="str">
        <f t="shared" si="500"/>
        <v>DISPOSED</v>
      </c>
      <c r="BT681" s="129" t="str">
        <f t="shared" si="501"/>
        <v>Y</v>
      </c>
      <c r="BU681" s="109">
        <f t="shared" si="502"/>
        <v>0.66666666666666663</v>
      </c>
      <c r="BV681" s="109">
        <f t="shared" si="503"/>
        <v>1</v>
      </c>
      <c r="BW681" s="109">
        <f t="shared" si="523"/>
        <v>0.33333333333333337</v>
      </c>
      <c r="BX681" s="111">
        <f t="shared" si="504"/>
        <v>0</v>
      </c>
      <c r="BY681" s="129">
        <f t="shared" si="505"/>
        <v>-2</v>
      </c>
      <c r="BZ681" s="111">
        <f t="shared" si="506"/>
        <v>0</v>
      </c>
      <c r="CA681" s="138">
        <f t="shared" si="507"/>
        <v>2</v>
      </c>
      <c r="CB681" s="111" t="e">
        <f t="shared" si="524"/>
        <v>#VALUE!</v>
      </c>
      <c r="CC681" s="129">
        <f>G681-I681+1</f>
        <v>2</v>
      </c>
      <c r="CD681" s="129">
        <f>G681-J681</f>
        <v>0</v>
      </c>
      <c r="CE681" s="129">
        <f t="shared" si="508"/>
        <v>0</v>
      </c>
      <c r="CG681" s="129" t="str">
        <f t="shared" si="509"/>
        <v>Y</v>
      </c>
      <c r="CI681" s="129" t="str">
        <f t="shared" si="510"/>
        <v>0-10 DAYS</v>
      </c>
      <c r="CJ681" s="137">
        <f t="shared" si="511"/>
        <v>1</v>
      </c>
      <c r="CK681" s="129" t="str">
        <f t="shared" si="512"/>
        <v>Booked</v>
      </c>
    </row>
    <row r="682" spans="1:89" ht="15" customHeight="1" x14ac:dyDescent="0.25">
      <c r="A682" s="111">
        <v>50</v>
      </c>
      <c r="B682" s="128" t="str">
        <f t="shared" si="491"/>
        <v>N</v>
      </c>
      <c r="C682" s="128" t="str">
        <f t="shared" si="492"/>
        <v>N</v>
      </c>
      <c r="D682" s="117">
        <v>1442479</v>
      </c>
      <c r="E682" s="135">
        <f t="shared" si="493"/>
        <v>4</v>
      </c>
      <c r="F682" s="124">
        <v>40911</v>
      </c>
      <c r="G682" s="125">
        <v>40913</v>
      </c>
      <c r="H682" s="117">
        <v>1442479</v>
      </c>
      <c r="I682" s="124">
        <v>40912</v>
      </c>
      <c r="J682" s="124">
        <v>40913</v>
      </c>
      <c r="K682" s="126">
        <v>15000</v>
      </c>
      <c r="L682" s="127" t="s">
        <v>571</v>
      </c>
      <c r="N682" s="129" t="str">
        <f t="shared" si="520"/>
        <v>N</v>
      </c>
      <c r="O682" s="128" t="s">
        <v>917</v>
      </c>
      <c r="P682" s="129" t="s">
        <v>39</v>
      </c>
      <c r="Q682" s="111">
        <f t="shared" si="519"/>
        <v>2</v>
      </c>
      <c r="R682" s="111">
        <f t="shared" si="487"/>
        <v>3</v>
      </c>
      <c r="S682" s="129">
        <v>2</v>
      </c>
      <c r="T682" s="129">
        <v>3</v>
      </c>
      <c r="W682" s="111"/>
      <c r="AC682" s="130"/>
      <c r="AD682" s="130">
        <v>28371</v>
      </c>
      <c r="AE682" s="128" t="s">
        <v>32</v>
      </c>
      <c r="AF682" s="128" t="s">
        <v>33</v>
      </c>
      <c r="AG682" s="128" t="s">
        <v>872</v>
      </c>
      <c r="AH682" s="108" t="s">
        <v>58</v>
      </c>
      <c r="AI682" s="128" t="s">
        <v>113</v>
      </c>
      <c r="AJ682" s="129" t="s">
        <v>89</v>
      </c>
      <c r="AK682" s="129">
        <v>1</v>
      </c>
      <c r="AL682" s="3" t="s">
        <v>991</v>
      </c>
      <c r="AO682" s="128">
        <v>180</v>
      </c>
      <c r="AP682" s="129" t="s">
        <v>43</v>
      </c>
      <c r="AR682" s="128" t="s">
        <v>44</v>
      </c>
      <c r="AS682" s="129" t="s">
        <v>45</v>
      </c>
      <c r="BC682" s="129" t="s">
        <v>38</v>
      </c>
      <c r="BF682" s="111">
        <f t="shared" si="522"/>
        <v>2</v>
      </c>
      <c r="BG682" s="111">
        <f t="shared" si="521"/>
        <v>2</v>
      </c>
      <c r="BH682" s="111">
        <f t="shared" si="488"/>
        <v>3</v>
      </c>
      <c r="BI682" s="111">
        <f t="shared" si="489"/>
        <v>34.26229508196721</v>
      </c>
      <c r="BJ682" s="129">
        <f t="shared" si="495"/>
        <v>0</v>
      </c>
      <c r="BK682" s="129">
        <f t="shared" si="490"/>
        <v>0</v>
      </c>
      <c r="BL682" s="129" t="str">
        <f t="shared" si="517"/>
        <v>CONVICTION</v>
      </c>
      <c r="BM682" s="129" t="str">
        <f t="shared" si="496"/>
        <v>NONE</v>
      </c>
      <c r="BN682" s="129" t="s">
        <v>566</v>
      </c>
      <c r="BP682" s="137" t="str">
        <f t="shared" si="497"/>
        <v>CONVICTION</v>
      </c>
      <c r="BQ682" s="128" t="str">
        <f t="shared" si="498"/>
        <v>Y</v>
      </c>
      <c r="BR682" s="129" t="str">
        <f t="shared" si="499"/>
        <v>DETAINED</v>
      </c>
      <c r="BS682" s="129" t="str">
        <f t="shared" si="500"/>
        <v>DISPOSED</v>
      </c>
      <c r="BT682" s="129" t="str">
        <f t="shared" si="501"/>
        <v>Y</v>
      </c>
      <c r="BU682" s="109">
        <f t="shared" si="502"/>
        <v>0.66666666666666663</v>
      </c>
      <c r="BV682" s="109">
        <f t="shared" si="503"/>
        <v>1</v>
      </c>
      <c r="BW682" s="109">
        <f t="shared" si="523"/>
        <v>0.33333333333333337</v>
      </c>
      <c r="BX682" s="111">
        <f t="shared" si="504"/>
        <v>0</v>
      </c>
      <c r="BY682" s="129">
        <f t="shared" si="505"/>
        <v>-2</v>
      </c>
      <c r="BZ682" s="111">
        <f t="shared" si="506"/>
        <v>0</v>
      </c>
      <c r="CA682" s="138">
        <f t="shared" si="507"/>
        <v>2</v>
      </c>
      <c r="CB682" s="111" t="e">
        <f t="shared" si="524"/>
        <v>#VALUE!</v>
      </c>
      <c r="CC682" s="129">
        <f>G682-I682+1</f>
        <v>2</v>
      </c>
      <c r="CD682" s="129">
        <f>G682-J682</f>
        <v>0</v>
      </c>
      <c r="CE682" s="129">
        <f t="shared" si="508"/>
        <v>0</v>
      </c>
      <c r="CG682" s="129" t="str">
        <f t="shared" si="509"/>
        <v>Y</v>
      </c>
      <c r="CI682" s="129" t="str">
        <f t="shared" si="510"/>
        <v>0-10 DAYS</v>
      </c>
      <c r="CJ682" s="137">
        <f t="shared" si="511"/>
        <v>1</v>
      </c>
      <c r="CK682" s="129" t="str">
        <f t="shared" si="512"/>
        <v>Booked</v>
      </c>
    </row>
    <row r="683" spans="1:89" ht="15.75" customHeight="1" x14ac:dyDescent="0.25">
      <c r="A683" s="111">
        <v>1056</v>
      </c>
      <c r="B683" s="128" t="str">
        <f t="shared" si="491"/>
        <v>N</v>
      </c>
      <c r="C683" s="128" t="str">
        <f t="shared" si="492"/>
        <v>N</v>
      </c>
      <c r="D683" s="117">
        <v>1444566</v>
      </c>
      <c r="E683" s="135">
        <f t="shared" si="493"/>
        <v>2</v>
      </c>
      <c r="F683" s="124">
        <v>40948</v>
      </c>
      <c r="G683" s="125">
        <v>40949</v>
      </c>
      <c r="H683" s="117">
        <v>1444566</v>
      </c>
      <c r="I683" s="124">
        <v>40948</v>
      </c>
      <c r="J683" s="124">
        <v>40949</v>
      </c>
      <c r="K683" s="126">
        <v>5000</v>
      </c>
      <c r="L683" s="127" t="s">
        <v>569</v>
      </c>
      <c r="N683" s="129" t="str">
        <f t="shared" si="520"/>
        <v>N</v>
      </c>
      <c r="O683" s="128" t="s">
        <v>917</v>
      </c>
      <c r="P683" s="129" t="s">
        <v>589</v>
      </c>
      <c r="Q683" s="111">
        <f t="shared" si="519"/>
        <v>2</v>
      </c>
      <c r="R683" s="111">
        <f t="shared" si="487"/>
        <v>2</v>
      </c>
      <c r="S683" s="129">
        <v>1</v>
      </c>
      <c r="T683" s="129">
        <v>2</v>
      </c>
      <c r="W683" s="111"/>
      <c r="AC683" s="130"/>
      <c r="AD683" s="130">
        <v>22944</v>
      </c>
      <c r="AE683" s="128" t="s">
        <v>46</v>
      </c>
      <c r="AF683" s="128" t="s">
        <v>33</v>
      </c>
      <c r="AG683" s="128" t="s">
        <v>872</v>
      </c>
      <c r="AH683" s="108" t="s">
        <v>58</v>
      </c>
      <c r="AI683" s="128" t="s">
        <v>71</v>
      </c>
      <c r="AJ683" s="129" t="s">
        <v>48</v>
      </c>
      <c r="AK683" s="129">
        <v>1</v>
      </c>
      <c r="AL683" s="3" t="s">
        <v>48</v>
      </c>
      <c r="AP683" s="129" t="s">
        <v>175</v>
      </c>
      <c r="AR683" s="128" t="s">
        <v>44</v>
      </c>
      <c r="AS683" s="129" t="s">
        <v>45</v>
      </c>
      <c r="BC683" s="129" t="s">
        <v>38</v>
      </c>
      <c r="BF683" s="111">
        <f t="shared" si="522"/>
        <v>2</v>
      </c>
      <c r="BG683" s="111">
        <f t="shared" si="521"/>
        <v>2</v>
      </c>
      <c r="BH683" s="111">
        <f t="shared" si="488"/>
        <v>2</v>
      </c>
      <c r="BI683" s="111">
        <f t="shared" si="489"/>
        <v>49.191256830601091</v>
      </c>
      <c r="BJ683" s="129">
        <f t="shared" si="495"/>
        <v>0</v>
      </c>
      <c r="BK683" s="129">
        <f t="shared" si="490"/>
        <v>0</v>
      </c>
      <c r="BL683" s="129" t="str">
        <f t="shared" si="517"/>
        <v>DEFERRED</v>
      </c>
      <c r="BM683" s="129" t="str">
        <f t="shared" si="496"/>
        <v>NONE</v>
      </c>
      <c r="BN683" s="129" t="s">
        <v>566</v>
      </c>
      <c r="BP683" s="137" t="str">
        <f t="shared" si="497"/>
        <v>DEFERRED</v>
      </c>
      <c r="BQ683" s="128" t="str">
        <f t="shared" si="498"/>
        <v>Y</v>
      </c>
      <c r="BR683" s="129" t="str">
        <f t="shared" si="499"/>
        <v>DETAINED</v>
      </c>
      <c r="BS683" s="129" t="str">
        <f t="shared" si="500"/>
        <v>DISPOSED</v>
      </c>
      <c r="BT683" s="129" t="str">
        <f t="shared" si="501"/>
        <v>Y</v>
      </c>
      <c r="BU683" s="109">
        <f t="shared" si="502"/>
        <v>1</v>
      </c>
      <c r="BV683" s="109">
        <f t="shared" si="503"/>
        <v>1</v>
      </c>
      <c r="BW683" s="109">
        <f t="shared" si="523"/>
        <v>0</v>
      </c>
      <c r="BX683" s="111">
        <f t="shared" si="504"/>
        <v>0</v>
      </c>
      <c r="BY683" s="129">
        <f t="shared" si="505"/>
        <v>-2</v>
      </c>
      <c r="BZ683" s="111">
        <f t="shared" si="506"/>
        <v>0</v>
      </c>
      <c r="CA683" s="138">
        <f t="shared" si="507"/>
        <v>2</v>
      </c>
      <c r="CB683" s="111" t="e">
        <f t="shared" si="524"/>
        <v>#VALUE!</v>
      </c>
      <c r="CC683" s="129">
        <f>G683-I683+1</f>
        <v>2</v>
      </c>
      <c r="CD683" s="129">
        <f>G683-J683</f>
        <v>0</v>
      </c>
      <c r="CE683" s="129">
        <f t="shared" si="508"/>
        <v>0</v>
      </c>
      <c r="CG683" s="129" t="str">
        <f t="shared" si="509"/>
        <v>Y</v>
      </c>
      <c r="CI683" s="129" t="str">
        <f t="shared" si="510"/>
        <v>0-10 DAYS</v>
      </c>
      <c r="CJ683" s="137">
        <f t="shared" si="511"/>
        <v>1</v>
      </c>
      <c r="CK683" s="129" t="str">
        <f t="shared" si="512"/>
        <v>Booked</v>
      </c>
    </row>
    <row r="684" spans="1:89" ht="15.75" customHeight="1" x14ac:dyDescent="0.25">
      <c r="A684" s="111">
        <v>1146</v>
      </c>
      <c r="B684" s="128" t="str">
        <f t="shared" si="491"/>
        <v>N</v>
      </c>
      <c r="C684" s="128" t="str">
        <f t="shared" si="492"/>
        <v>Y</v>
      </c>
      <c r="D684" s="117">
        <v>1445900</v>
      </c>
      <c r="E684" s="135">
        <f t="shared" si="493"/>
        <v>6</v>
      </c>
      <c r="F684" s="124">
        <v>40950</v>
      </c>
      <c r="G684" s="125">
        <v>41172</v>
      </c>
      <c r="H684" s="117">
        <v>1445900</v>
      </c>
      <c r="I684" s="124">
        <v>40950</v>
      </c>
      <c r="J684" s="124">
        <v>40953</v>
      </c>
      <c r="K684" s="126">
        <v>20000</v>
      </c>
      <c r="L684" s="127" t="s">
        <v>571</v>
      </c>
      <c r="M684" s="125">
        <v>40953</v>
      </c>
      <c r="N684" s="129" t="str">
        <f t="shared" si="520"/>
        <v>Y</v>
      </c>
      <c r="O684" s="128" t="s">
        <v>585</v>
      </c>
      <c r="P684" s="129" t="s">
        <v>39</v>
      </c>
      <c r="Q684" s="111">
        <v>76</v>
      </c>
      <c r="R684" s="111">
        <f t="shared" si="487"/>
        <v>223</v>
      </c>
      <c r="S684" s="129">
        <v>1</v>
      </c>
      <c r="T684" s="129">
        <v>1</v>
      </c>
      <c r="U684" s="129">
        <v>1</v>
      </c>
      <c r="W684" s="111"/>
      <c r="AC684" s="130"/>
      <c r="AD684" s="130">
        <v>28212</v>
      </c>
      <c r="AE684" s="128" t="s">
        <v>32</v>
      </c>
      <c r="AF684" s="128" t="s">
        <v>69</v>
      </c>
      <c r="AG684" s="128" t="s">
        <v>874</v>
      </c>
      <c r="AH684" s="108" t="s">
        <v>58</v>
      </c>
      <c r="AI684" s="128" t="s">
        <v>97</v>
      </c>
      <c r="AJ684" s="129" t="s">
        <v>89</v>
      </c>
      <c r="AK684" s="129">
        <v>9</v>
      </c>
      <c r="AL684" s="3" t="s">
        <v>362</v>
      </c>
      <c r="AM684" s="117">
        <v>3</v>
      </c>
      <c r="AP684" s="129" t="s">
        <v>66</v>
      </c>
      <c r="AR684" s="128" t="s">
        <v>67</v>
      </c>
      <c r="AS684" s="129" t="s">
        <v>68</v>
      </c>
      <c r="AU684" s="3" t="s">
        <v>711</v>
      </c>
      <c r="AX684" s="32" t="s">
        <v>88</v>
      </c>
      <c r="BC684" s="129" t="s">
        <v>52</v>
      </c>
      <c r="BF684" s="111">
        <v>76</v>
      </c>
      <c r="BG684" s="111">
        <f t="shared" si="521"/>
        <v>223</v>
      </c>
      <c r="BH684" s="111">
        <f t="shared" si="488"/>
        <v>223</v>
      </c>
      <c r="BI684" s="111">
        <f t="shared" si="489"/>
        <v>34.803278688524593</v>
      </c>
      <c r="BJ684" s="129">
        <f>(G684-J684)+(M684-G684)</f>
        <v>0</v>
      </c>
      <c r="BK684" s="129">
        <f t="shared" si="490"/>
        <v>-219</v>
      </c>
      <c r="BL684" s="129" t="str">
        <f t="shared" si="517"/>
        <v>CONVICTION</v>
      </c>
      <c r="BM684" s="129" t="s">
        <v>76</v>
      </c>
      <c r="BN684" s="129" t="s">
        <v>88</v>
      </c>
      <c r="BP684" s="137" t="str">
        <f t="shared" si="497"/>
        <v>CONVICTION</v>
      </c>
      <c r="BQ684" s="128" t="str">
        <f t="shared" si="498"/>
        <v>Y</v>
      </c>
      <c r="BR684" s="129" t="s">
        <v>574</v>
      </c>
      <c r="BS684" s="129" t="str">
        <f t="shared" si="500"/>
        <v>DISPOSED</v>
      </c>
      <c r="BT684" s="129" t="str">
        <f t="shared" si="501"/>
        <v>Y</v>
      </c>
      <c r="BU684" s="109">
        <f t="shared" si="502"/>
        <v>0.34080717488789236</v>
      </c>
      <c r="BV684" s="109">
        <f t="shared" si="503"/>
        <v>1.7937219730941704E-2</v>
      </c>
      <c r="BW684" s="109">
        <f t="shared" si="523"/>
        <v>-0.32286995515695066</v>
      </c>
      <c r="BX684" s="111">
        <f t="shared" si="504"/>
        <v>0</v>
      </c>
      <c r="BY684" s="129">
        <f t="shared" si="505"/>
        <v>-4</v>
      </c>
      <c r="BZ684" s="111">
        <f t="shared" si="506"/>
        <v>72</v>
      </c>
      <c r="CA684" s="138">
        <f t="shared" si="507"/>
        <v>223</v>
      </c>
      <c r="CB684" s="111">
        <v>76</v>
      </c>
      <c r="CC684" s="129">
        <f>G684-I684+1</f>
        <v>223</v>
      </c>
      <c r="CD684" s="129">
        <f>G684-J684</f>
        <v>219</v>
      </c>
      <c r="CE684" s="129">
        <f t="shared" si="508"/>
        <v>219</v>
      </c>
      <c r="CG684" s="129" t="str">
        <f t="shared" si="509"/>
        <v>Y</v>
      </c>
      <c r="CI684" s="129" t="str">
        <f t="shared" si="510"/>
        <v>61-90 DAYS</v>
      </c>
      <c r="CJ684" s="137">
        <f t="shared" si="511"/>
        <v>4</v>
      </c>
      <c r="CK684" s="129" t="str">
        <f t="shared" si="512"/>
        <v>Booked</v>
      </c>
    </row>
    <row r="685" spans="1:89" ht="15" customHeight="1" x14ac:dyDescent="0.25">
      <c r="A685" s="111">
        <v>2542</v>
      </c>
      <c r="B685" s="128" t="str">
        <f t="shared" si="491"/>
        <v>N</v>
      </c>
      <c r="C685" s="128" t="str">
        <f t="shared" si="492"/>
        <v>N</v>
      </c>
      <c r="D685" s="117">
        <v>1446010</v>
      </c>
      <c r="E685" s="135">
        <f t="shared" si="493"/>
        <v>6</v>
      </c>
      <c r="F685" s="124">
        <v>41004</v>
      </c>
      <c r="G685" s="125">
        <v>41253</v>
      </c>
      <c r="H685" s="117">
        <v>1446010</v>
      </c>
      <c r="I685" s="124">
        <v>41004</v>
      </c>
      <c r="J685" s="124">
        <v>41012</v>
      </c>
      <c r="K685" s="126">
        <v>35000</v>
      </c>
      <c r="L685" s="129" t="s">
        <v>572</v>
      </c>
      <c r="M685" s="125">
        <v>41012</v>
      </c>
      <c r="N685" s="129" t="str">
        <f t="shared" si="520"/>
        <v>Y</v>
      </c>
      <c r="O685" s="128" t="s">
        <v>76</v>
      </c>
      <c r="P685" s="129" t="s">
        <v>39</v>
      </c>
      <c r="Q685" s="111">
        <f t="shared" si="519"/>
        <v>9</v>
      </c>
      <c r="R685" s="111">
        <f t="shared" si="487"/>
        <v>250</v>
      </c>
      <c r="S685" s="129">
        <v>3</v>
      </c>
      <c r="T685" s="129">
        <v>4</v>
      </c>
      <c r="U685" s="129">
        <v>1</v>
      </c>
      <c r="W685" s="111"/>
      <c r="AC685" s="130"/>
      <c r="AD685" s="130">
        <v>25250</v>
      </c>
      <c r="AE685" s="128" t="s">
        <v>32</v>
      </c>
      <c r="AF685" s="128" t="s">
        <v>69</v>
      </c>
      <c r="AG685" s="128" t="s">
        <v>874</v>
      </c>
      <c r="AH685" s="108" t="s">
        <v>58</v>
      </c>
      <c r="AI685" s="128" t="s">
        <v>42</v>
      </c>
      <c r="AJ685" s="129" t="s">
        <v>89</v>
      </c>
      <c r="AK685" s="129">
        <v>9</v>
      </c>
      <c r="AL685" s="3" t="s">
        <v>362</v>
      </c>
      <c r="AM685" s="117">
        <v>2</v>
      </c>
      <c r="AP685" s="129" t="s">
        <v>73</v>
      </c>
      <c r="AR685" s="128" t="s">
        <v>50</v>
      </c>
      <c r="AS685" s="129" t="s">
        <v>74</v>
      </c>
      <c r="BC685" s="129" t="s">
        <v>52</v>
      </c>
      <c r="BF685" s="111">
        <f t="shared" si="522"/>
        <v>9</v>
      </c>
      <c r="BG685" s="111">
        <f t="shared" si="521"/>
        <v>250</v>
      </c>
      <c r="BH685" s="111">
        <f t="shared" si="488"/>
        <v>250</v>
      </c>
      <c r="BI685" s="111">
        <f t="shared" si="489"/>
        <v>43.043715846994537</v>
      </c>
      <c r="BJ685" s="129">
        <f>(G685-J685)+(M685-G685)</f>
        <v>0</v>
      </c>
      <c r="BK685" s="129">
        <f t="shared" si="490"/>
        <v>-241</v>
      </c>
      <c r="BL685" s="129" t="str">
        <f t="shared" si="517"/>
        <v>CONVICTION</v>
      </c>
      <c r="BM685" s="129" t="s">
        <v>76</v>
      </c>
      <c r="BN685" s="129" t="s">
        <v>88</v>
      </c>
      <c r="BP685" s="137" t="str">
        <f t="shared" si="497"/>
        <v>CONVICTION</v>
      </c>
      <c r="BQ685" s="128" t="str">
        <f t="shared" si="498"/>
        <v>Y</v>
      </c>
      <c r="BR685" s="129" t="str">
        <f>IF(J685&lt;G685,"ON BOND",0)</f>
        <v>ON BOND</v>
      </c>
      <c r="BS685" s="129" t="str">
        <f t="shared" si="500"/>
        <v>DISPOSED</v>
      </c>
      <c r="BT685" s="129" t="str">
        <f t="shared" si="501"/>
        <v>Y</v>
      </c>
      <c r="BU685" s="109">
        <f t="shared" si="502"/>
        <v>3.5999999999999997E-2</v>
      </c>
      <c r="BV685" s="109">
        <f t="shared" si="503"/>
        <v>3.5999999999999997E-2</v>
      </c>
      <c r="BW685" s="109">
        <f t="shared" si="523"/>
        <v>0</v>
      </c>
      <c r="BX685" s="111">
        <f t="shared" si="504"/>
        <v>0</v>
      </c>
      <c r="BY685" s="129">
        <f t="shared" si="505"/>
        <v>-9</v>
      </c>
      <c r="BZ685" s="111">
        <f t="shared" si="506"/>
        <v>0</v>
      </c>
      <c r="CA685" s="138">
        <f t="shared" si="507"/>
        <v>9</v>
      </c>
      <c r="CB685" s="111" t="e">
        <f t="shared" si="524"/>
        <v>#VALUE!</v>
      </c>
      <c r="CC685" s="129">
        <f>M685-I685+1</f>
        <v>9</v>
      </c>
      <c r="CD685" s="111">
        <f>CC685-BF685</f>
        <v>0</v>
      </c>
      <c r="CE685" s="129">
        <f t="shared" si="508"/>
        <v>241</v>
      </c>
      <c r="CG685" s="129" t="str">
        <f t="shared" si="509"/>
        <v>Y</v>
      </c>
      <c r="CI685" s="129" t="str">
        <f t="shared" si="510"/>
        <v>0-10 DAYS</v>
      </c>
      <c r="CJ685" s="137">
        <f t="shared" si="511"/>
        <v>1</v>
      </c>
      <c r="CK685" s="129" t="str">
        <f t="shared" si="512"/>
        <v>Booked</v>
      </c>
    </row>
    <row r="686" spans="1:89" ht="15" customHeight="1" x14ac:dyDescent="0.25">
      <c r="A686" s="111">
        <v>34</v>
      </c>
      <c r="B686" s="128" t="str">
        <f t="shared" si="491"/>
        <v>N</v>
      </c>
      <c r="C686" s="128" t="str">
        <f t="shared" si="492"/>
        <v>N</v>
      </c>
      <c r="D686" s="117">
        <v>1446565</v>
      </c>
      <c r="E686" s="135">
        <f t="shared" si="493"/>
        <v>6</v>
      </c>
      <c r="F686" s="124">
        <v>40911</v>
      </c>
      <c r="G686" s="125">
        <v>40948</v>
      </c>
      <c r="H686" s="117">
        <v>1446565</v>
      </c>
      <c r="I686" s="124">
        <v>40911</v>
      </c>
      <c r="J686" s="124">
        <v>40948</v>
      </c>
      <c r="K686" s="126" t="s">
        <v>564</v>
      </c>
      <c r="L686" s="127" t="s">
        <v>564</v>
      </c>
      <c r="N686" s="129" t="s">
        <v>566</v>
      </c>
      <c r="O686" s="128" t="s">
        <v>917</v>
      </c>
      <c r="P686" s="129" t="s">
        <v>39</v>
      </c>
      <c r="Q686" s="111">
        <f t="shared" si="519"/>
        <v>38</v>
      </c>
      <c r="R686" s="111">
        <f t="shared" si="487"/>
        <v>38</v>
      </c>
      <c r="S686" s="129">
        <v>7</v>
      </c>
      <c r="T686" s="129">
        <v>0</v>
      </c>
      <c r="U686" s="129">
        <v>5</v>
      </c>
      <c r="W686" s="111"/>
      <c r="AC686" s="130"/>
      <c r="AD686" s="130">
        <v>28470</v>
      </c>
      <c r="AE686" s="128" t="s">
        <v>32</v>
      </c>
      <c r="AF686" s="128" t="s">
        <v>33</v>
      </c>
      <c r="AG686" s="128" t="s">
        <v>872</v>
      </c>
      <c r="AH686" s="108" t="s">
        <v>58</v>
      </c>
      <c r="AI686" s="128" t="s">
        <v>95</v>
      </c>
      <c r="AJ686" s="129" t="s">
        <v>89</v>
      </c>
      <c r="AK686" s="129">
        <v>4</v>
      </c>
      <c r="AL686" s="3" t="s">
        <v>362</v>
      </c>
      <c r="AM686" s="117">
        <v>2</v>
      </c>
      <c r="AP686" s="129" t="s">
        <v>101</v>
      </c>
      <c r="AR686" s="128" t="s">
        <v>67</v>
      </c>
      <c r="AS686" s="129" t="s">
        <v>64</v>
      </c>
      <c r="AX686" s="32"/>
      <c r="BC686" s="129" t="s">
        <v>52</v>
      </c>
      <c r="BF686" s="111">
        <f t="shared" si="522"/>
        <v>38</v>
      </c>
      <c r="BG686" s="111">
        <f t="shared" si="521"/>
        <v>38</v>
      </c>
      <c r="BH686" s="111">
        <f t="shared" si="488"/>
        <v>38</v>
      </c>
      <c r="BI686" s="111">
        <f t="shared" si="489"/>
        <v>33.991803278688522</v>
      </c>
      <c r="BJ686" s="129">
        <f t="shared" si="495"/>
        <v>0</v>
      </c>
      <c r="BK686" s="129">
        <f t="shared" si="490"/>
        <v>0</v>
      </c>
      <c r="BL686" s="129" t="str">
        <f t="shared" si="517"/>
        <v>CONVICTION</v>
      </c>
      <c r="BM686" s="129" t="str">
        <f t="shared" si="496"/>
        <v>NONE</v>
      </c>
      <c r="BN686" s="129" t="s">
        <v>566</v>
      </c>
      <c r="BP686" s="137" t="str">
        <f t="shared" si="497"/>
        <v>CONVICTION</v>
      </c>
      <c r="BQ686" s="128" t="str">
        <f t="shared" si="498"/>
        <v>Y</v>
      </c>
      <c r="BR686" s="129" t="str">
        <f t="shared" si="499"/>
        <v>DETAINED</v>
      </c>
      <c r="BS686" s="129" t="str">
        <f t="shared" si="500"/>
        <v>DISPOSED</v>
      </c>
      <c r="BT686" s="129" t="str">
        <f t="shared" si="501"/>
        <v>Y</v>
      </c>
      <c r="BU686" s="109">
        <f t="shared" si="502"/>
        <v>1</v>
      </c>
      <c r="BV686" s="109">
        <f t="shared" si="503"/>
        <v>1</v>
      </c>
      <c r="BW686" s="109">
        <f t="shared" si="523"/>
        <v>0</v>
      </c>
      <c r="BX686" s="111">
        <f t="shared" si="504"/>
        <v>0</v>
      </c>
      <c r="BY686" s="129">
        <f t="shared" si="505"/>
        <v>-38</v>
      </c>
      <c r="BZ686" s="111">
        <f t="shared" si="506"/>
        <v>0</v>
      </c>
      <c r="CA686" s="138">
        <f t="shared" si="507"/>
        <v>38</v>
      </c>
      <c r="CB686" s="111" t="e">
        <f t="shared" si="524"/>
        <v>#VALUE!</v>
      </c>
      <c r="CC686" s="129">
        <f>G686-I686+1</f>
        <v>38</v>
      </c>
      <c r="CD686" s="129">
        <f>G686-J686</f>
        <v>0</v>
      </c>
      <c r="CE686" s="129">
        <f t="shared" si="508"/>
        <v>0</v>
      </c>
      <c r="CG686" s="129" t="str">
        <f t="shared" si="509"/>
        <v>Y</v>
      </c>
      <c r="CI686" s="129" t="str">
        <f t="shared" si="510"/>
        <v>31-60 DAYS</v>
      </c>
      <c r="CJ686" s="137">
        <f t="shared" si="511"/>
        <v>3</v>
      </c>
      <c r="CK686" s="129" t="str">
        <f t="shared" si="512"/>
        <v>Booked</v>
      </c>
    </row>
    <row r="687" spans="1:89" ht="15" customHeight="1" x14ac:dyDescent="0.25">
      <c r="A687" s="111">
        <v>1072</v>
      </c>
      <c r="B687" s="128" t="str">
        <f t="shared" si="491"/>
        <v>N</v>
      </c>
      <c r="C687" s="128" t="str">
        <f t="shared" si="492"/>
        <v>N</v>
      </c>
      <c r="D687" s="117">
        <v>1447069</v>
      </c>
      <c r="E687" s="135">
        <f t="shared" si="493"/>
        <v>1</v>
      </c>
      <c r="F687" s="124">
        <v>40948</v>
      </c>
      <c r="G687" s="125">
        <v>41185</v>
      </c>
      <c r="H687" s="117">
        <v>1447069</v>
      </c>
      <c r="I687" s="124" t="s">
        <v>562</v>
      </c>
      <c r="J687" s="124" t="s">
        <v>562</v>
      </c>
      <c r="K687" s="126">
        <v>2000</v>
      </c>
      <c r="L687" s="127" t="s">
        <v>568</v>
      </c>
      <c r="M687" s="125">
        <v>40950</v>
      </c>
      <c r="N687" s="129" t="str">
        <f>IF(M687&gt;1/1/1,"Y",IF(Q687="0","","N"))</f>
        <v>Y</v>
      </c>
      <c r="O687" s="128" t="s">
        <v>76</v>
      </c>
      <c r="P687" s="129" t="s">
        <v>55</v>
      </c>
      <c r="Q687" s="111">
        <f t="shared" si="519"/>
        <v>0</v>
      </c>
      <c r="R687" s="111">
        <f t="shared" si="487"/>
        <v>238</v>
      </c>
      <c r="S687" s="129">
        <v>0</v>
      </c>
      <c r="T687" s="129">
        <v>2</v>
      </c>
      <c r="W687" s="111"/>
      <c r="AC687" s="130"/>
      <c r="AD687" s="130">
        <v>28486</v>
      </c>
      <c r="AE687" s="128" t="s">
        <v>32</v>
      </c>
      <c r="AF687" s="128" t="s">
        <v>40</v>
      </c>
      <c r="AG687" s="128" t="s">
        <v>41</v>
      </c>
      <c r="AH687" s="108" t="s">
        <v>41</v>
      </c>
      <c r="AI687" s="128" t="s">
        <v>65</v>
      </c>
      <c r="AJ687" s="129" t="s">
        <v>55</v>
      </c>
      <c r="AK687" s="129">
        <v>11</v>
      </c>
      <c r="AL687" s="3" t="s">
        <v>55</v>
      </c>
      <c r="AP687" s="129" t="s">
        <v>108</v>
      </c>
      <c r="AR687" s="128" t="s">
        <v>44</v>
      </c>
      <c r="AS687" s="129" t="s">
        <v>61</v>
      </c>
      <c r="AW687" s="32"/>
      <c r="BC687" s="129" t="s">
        <v>52</v>
      </c>
      <c r="BF687" s="111">
        <v>0</v>
      </c>
      <c r="BG687" s="111">
        <v>0</v>
      </c>
      <c r="BH687" s="111">
        <f t="shared" si="488"/>
        <v>238</v>
      </c>
      <c r="BI687" s="111">
        <f t="shared" si="489"/>
        <v>34.049180327868854</v>
      </c>
      <c r="BJ687" s="129" t="e">
        <f>(G687-J687)+(M687-G687)</f>
        <v>#VALUE!</v>
      </c>
      <c r="BK687" s="129" t="e">
        <f t="shared" si="490"/>
        <v>#VALUE!</v>
      </c>
      <c r="BL687" s="129" t="str">
        <f t="shared" si="517"/>
        <v>NO CONVICTION</v>
      </c>
      <c r="BM687" s="129" t="s">
        <v>76</v>
      </c>
      <c r="BN687" s="129" t="s">
        <v>88</v>
      </c>
      <c r="BP687" s="137" t="str">
        <f t="shared" si="497"/>
        <v>NO CONVICTION</v>
      </c>
      <c r="BQ687" s="128">
        <f t="shared" si="498"/>
        <v>0</v>
      </c>
      <c r="BR687" s="129" t="s">
        <v>575</v>
      </c>
      <c r="BS687" s="129" t="str">
        <f t="shared" si="500"/>
        <v>DISPOSED</v>
      </c>
      <c r="BT687" s="129" t="str">
        <f t="shared" si="501"/>
        <v>N</v>
      </c>
      <c r="BU687" s="109">
        <f>IFERROR(Q687/R687,BR687)</f>
        <v>0</v>
      </c>
      <c r="BV687" s="109">
        <v>0</v>
      </c>
      <c r="BW687" s="109">
        <f t="shared" si="523"/>
        <v>0</v>
      </c>
      <c r="BX687" s="111">
        <f t="shared" si="504"/>
        <v>0</v>
      </c>
      <c r="BY687" s="129" t="e">
        <f t="shared" si="505"/>
        <v>#VALUE!</v>
      </c>
      <c r="BZ687" s="111" t="e">
        <f t="shared" si="506"/>
        <v>#VALUE!</v>
      </c>
      <c r="CA687" s="138" t="e">
        <f t="shared" si="507"/>
        <v>#VALUE!</v>
      </c>
      <c r="CB687" s="111">
        <v>0</v>
      </c>
      <c r="CC687" s="129">
        <v>0</v>
      </c>
      <c r="CD687" s="111">
        <f>CC687-BF687</f>
        <v>0</v>
      </c>
      <c r="CE687" s="129" t="e">
        <f t="shared" si="508"/>
        <v>#VALUE!</v>
      </c>
      <c r="CG687" s="129" t="str">
        <f t="shared" si="509"/>
        <v>Y</v>
      </c>
      <c r="CI687" s="129" t="str">
        <f t="shared" si="510"/>
        <v>0-10 DAYS</v>
      </c>
      <c r="CJ687" s="137">
        <f t="shared" si="511"/>
        <v>1</v>
      </c>
      <c r="CK687" s="129" t="str">
        <f t="shared" si="512"/>
        <v>Not Booked</v>
      </c>
    </row>
    <row r="688" spans="1:89" ht="15" customHeight="1" x14ac:dyDescent="0.25">
      <c r="A688" s="111">
        <v>849</v>
      </c>
      <c r="B688" s="128" t="str">
        <f t="shared" si="491"/>
        <v>N</v>
      </c>
      <c r="C688" s="128" t="str">
        <f t="shared" si="492"/>
        <v>N</v>
      </c>
      <c r="D688" s="117">
        <v>1448035</v>
      </c>
      <c r="E688" s="135">
        <f t="shared" si="493"/>
        <v>4</v>
      </c>
      <c r="F688" s="124">
        <v>40940</v>
      </c>
      <c r="G688" s="125">
        <v>41124</v>
      </c>
      <c r="H688" s="117">
        <v>1448035</v>
      </c>
      <c r="I688" s="124">
        <v>40941</v>
      </c>
      <c r="J688" s="124">
        <v>40948</v>
      </c>
      <c r="K688" s="126">
        <v>10000</v>
      </c>
      <c r="L688" s="127" t="s">
        <v>570</v>
      </c>
      <c r="M688" s="125">
        <v>40948</v>
      </c>
      <c r="N688" s="129" t="str">
        <f t="shared" ref="N688:N698" si="525">IF(M688&gt;1/1/1,"Y","N")</f>
        <v>Y</v>
      </c>
      <c r="O688" s="128" t="s">
        <v>585</v>
      </c>
      <c r="P688" s="129" t="s">
        <v>39</v>
      </c>
      <c r="Q688" s="111">
        <f t="shared" si="519"/>
        <v>8</v>
      </c>
      <c r="R688" s="111">
        <f t="shared" si="487"/>
        <v>185</v>
      </c>
      <c r="S688" s="129">
        <v>8</v>
      </c>
      <c r="T688" s="129">
        <v>5</v>
      </c>
      <c r="U688" s="129">
        <v>4</v>
      </c>
      <c r="W688" s="111"/>
      <c r="AC688" s="130"/>
      <c r="AD688" s="130">
        <v>28504</v>
      </c>
      <c r="AE688" s="128" t="s">
        <v>32</v>
      </c>
      <c r="AF688" s="128" t="s">
        <v>33</v>
      </c>
      <c r="AG688" s="128" t="s">
        <v>872</v>
      </c>
      <c r="AH688" s="108" t="s">
        <v>58</v>
      </c>
      <c r="AI688" s="128" t="s">
        <v>70</v>
      </c>
      <c r="AJ688" s="129" t="s">
        <v>89</v>
      </c>
      <c r="AK688" s="129">
        <v>9</v>
      </c>
      <c r="AL688" s="3" t="s">
        <v>991</v>
      </c>
      <c r="AO688" s="128">
        <v>90</v>
      </c>
      <c r="AP688" s="129" t="s">
        <v>136</v>
      </c>
      <c r="AR688" s="128" t="s">
        <v>67</v>
      </c>
      <c r="AS688" s="129" t="s">
        <v>64</v>
      </c>
      <c r="BC688" s="129" t="s">
        <v>52</v>
      </c>
      <c r="BF688" s="111">
        <f t="shared" ref="BF688:BF706" si="526">IF(J688&gt;1/1/1900,((J688+1)-I688),"STILL OPEN")</f>
        <v>8</v>
      </c>
      <c r="BG688" s="111">
        <f t="shared" ref="BG688:BG706" si="527">IF(G688&gt;1/1/1900,((G688+1)-I688),"STILL OPEN")</f>
        <v>184</v>
      </c>
      <c r="BH688" s="111">
        <f t="shared" si="488"/>
        <v>185</v>
      </c>
      <c r="BI688" s="111">
        <f t="shared" si="489"/>
        <v>33.978142076502735</v>
      </c>
      <c r="BJ688" s="129">
        <f>(G688-J688)+(M688-G688)</f>
        <v>0</v>
      </c>
      <c r="BK688" s="129">
        <f t="shared" si="490"/>
        <v>-176</v>
      </c>
      <c r="BL688" s="129" t="str">
        <f t="shared" si="517"/>
        <v>CONVICTION</v>
      </c>
      <c r="BM688" s="129" t="s">
        <v>76</v>
      </c>
      <c r="BN688" s="129" t="s">
        <v>88</v>
      </c>
      <c r="BP688" s="137" t="str">
        <f t="shared" si="497"/>
        <v>CONVICTION</v>
      </c>
      <c r="BQ688" s="128" t="str">
        <f t="shared" si="498"/>
        <v>Y</v>
      </c>
      <c r="BR688" s="129" t="str">
        <f>IF(J688&lt;G688,"ON BOND",0)</f>
        <v>ON BOND</v>
      </c>
      <c r="BS688" s="129" t="str">
        <f t="shared" si="500"/>
        <v>DISPOSED</v>
      </c>
      <c r="BT688" s="129" t="str">
        <f t="shared" si="501"/>
        <v>Y</v>
      </c>
      <c r="BU688" s="109">
        <f t="shared" si="502"/>
        <v>4.3243243243243246E-2</v>
      </c>
      <c r="BV688" s="109">
        <f t="shared" si="503"/>
        <v>4.3478260869565216E-2</v>
      </c>
      <c r="BW688" s="109">
        <f t="shared" si="523"/>
        <v>2.3501762632197054E-4</v>
      </c>
      <c r="BX688" s="111">
        <f t="shared" si="504"/>
        <v>0</v>
      </c>
      <c r="BY688" s="129">
        <f t="shared" si="505"/>
        <v>-8</v>
      </c>
      <c r="BZ688" s="111">
        <f t="shared" si="506"/>
        <v>0</v>
      </c>
      <c r="CA688" s="138">
        <f t="shared" si="507"/>
        <v>8</v>
      </c>
      <c r="CB688" s="111" t="e">
        <f t="shared" ref="CB688:CB706" si="528">IF(AF688&gt;1/1/1900,((AF688+1)-AE688),"STILL OPEN")</f>
        <v>#VALUE!</v>
      </c>
      <c r="CC688" s="129">
        <f>M688-I688+1</f>
        <v>8</v>
      </c>
      <c r="CD688" s="111">
        <f>CC688-BF688</f>
        <v>0</v>
      </c>
      <c r="CE688" s="129">
        <f t="shared" si="508"/>
        <v>176</v>
      </c>
      <c r="CG688" s="129" t="str">
        <f t="shared" si="509"/>
        <v>Y</v>
      </c>
      <c r="CI688" s="129" t="str">
        <f t="shared" si="510"/>
        <v>0-10 DAYS</v>
      </c>
      <c r="CJ688" s="137">
        <f t="shared" si="511"/>
        <v>1</v>
      </c>
      <c r="CK688" s="129" t="str">
        <f t="shared" si="512"/>
        <v>Booked</v>
      </c>
    </row>
    <row r="689" spans="1:89" ht="15.75" customHeight="1" x14ac:dyDescent="0.25">
      <c r="A689" s="111">
        <v>613</v>
      </c>
      <c r="B689" s="128" t="str">
        <f t="shared" si="491"/>
        <v>N</v>
      </c>
      <c r="C689" s="128" t="str">
        <f t="shared" si="492"/>
        <v>N</v>
      </c>
      <c r="D689" s="117">
        <v>1448038</v>
      </c>
      <c r="E689" s="135">
        <f t="shared" si="493"/>
        <v>5</v>
      </c>
      <c r="F689" s="124">
        <v>40932</v>
      </c>
      <c r="G689" s="125">
        <v>40963</v>
      </c>
      <c r="H689" s="117">
        <v>1448038</v>
      </c>
      <c r="I689" s="124">
        <v>40933</v>
      </c>
      <c r="J689" s="124">
        <v>40963</v>
      </c>
      <c r="K689" s="126">
        <v>20000</v>
      </c>
      <c r="L689" s="127" t="s">
        <v>571</v>
      </c>
      <c r="N689" s="129" t="str">
        <f t="shared" si="525"/>
        <v>N</v>
      </c>
      <c r="O689" s="128" t="s">
        <v>917</v>
      </c>
      <c r="P689" s="129" t="s">
        <v>39</v>
      </c>
      <c r="Q689" s="111">
        <f t="shared" si="519"/>
        <v>31</v>
      </c>
      <c r="R689" s="111">
        <f t="shared" si="487"/>
        <v>32</v>
      </c>
      <c r="S689" s="129">
        <v>5</v>
      </c>
      <c r="T689" s="129">
        <v>1</v>
      </c>
      <c r="U689" s="129">
        <v>3</v>
      </c>
      <c r="V689" s="117">
        <v>1</v>
      </c>
      <c r="W689" s="111"/>
      <c r="AC689" s="130"/>
      <c r="AD689" s="130">
        <v>27653</v>
      </c>
      <c r="AE689" s="128" t="s">
        <v>32</v>
      </c>
      <c r="AF689" s="128" t="s">
        <v>33</v>
      </c>
      <c r="AG689" s="128" t="s">
        <v>872</v>
      </c>
      <c r="AH689" s="108" t="s">
        <v>58</v>
      </c>
      <c r="AI689" s="128" t="s">
        <v>65</v>
      </c>
      <c r="AJ689" s="129" t="s">
        <v>89</v>
      </c>
      <c r="AK689" s="129">
        <v>3</v>
      </c>
      <c r="AL689" s="3" t="s">
        <v>992</v>
      </c>
      <c r="AN689" s="117">
        <v>6</v>
      </c>
      <c r="AP689" s="129" t="s">
        <v>60</v>
      </c>
      <c r="AR689" s="128" t="s">
        <v>44</v>
      </c>
      <c r="AS689" s="129" t="s">
        <v>61</v>
      </c>
      <c r="BC689" s="129" t="s">
        <v>38</v>
      </c>
      <c r="BF689" s="111">
        <f t="shared" si="526"/>
        <v>31</v>
      </c>
      <c r="BG689" s="111">
        <f t="shared" si="527"/>
        <v>31</v>
      </c>
      <c r="BH689" s="111">
        <f t="shared" si="488"/>
        <v>32</v>
      </c>
      <c r="BI689" s="111">
        <f t="shared" si="489"/>
        <v>36.28142076502732</v>
      </c>
      <c r="BJ689" s="129">
        <f t="shared" si="495"/>
        <v>0</v>
      </c>
      <c r="BK689" s="129">
        <f t="shared" si="490"/>
        <v>0</v>
      </c>
      <c r="BL689" s="129" t="str">
        <f t="shared" si="517"/>
        <v>CONVICTION</v>
      </c>
      <c r="BM689" s="129" t="str">
        <f t="shared" si="496"/>
        <v>NONE</v>
      </c>
      <c r="BN689" s="129" t="s">
        <v>566</v>
      </c>
      <c r="BP689" s="137" t="str">
        <f t="shared" si="497"/>
        <v>CONVICTION</v>
      </c>
      <c r="BQ689" s="128" t="str">
        <f t="shared" si="498"/>
        <v>Y</v>
      </c>
      <c r="BR689" s="129" t="str">
        <f t="shared" si="499"/>
        <v>DETAINED</v>
      </c>
      <c r="BS689" s="129" t="str">
        <f t="shared" si="500"/>
        <v>DISPOSED</v>
      </c>
      <c r="BT689" s="129" t="str">
        <f t="shared" si="501"/>
        <v>Y</v>
      </c>
      <c r="BU689" s="109">
        <f t="shared" si="502"/>
        <v>0.96875</v>
      </c>
      <c r="BV689" s="109">
        <f t="shared" si="503"/>
        <v>1</v>
      </c>
      <c r="BW689" s="109">
        <f t="shared" si="523"/>
        <v>3.125E-2</v>
      </c>
      <c r="BX689" s="111">
        <f t="shared" si="504"/>
        <v>0</v>
      </c>
      <c r="BY689" s="129">
        <f t="shared" si="505"/>
        <v>-31</v>
      </c>
      <c r="BZ689" s="111">
        <f t="shared" si="506"/>
        <v>0</v>
      </c>
      <c r="CA689" s="138">
        <f t="shared" si="507"/>
        <v>31</v>
      </c>
      <c r="CB689" s="111" t="e">
        <f t="shared" si="528"/>
        <v>#VALUE!</v>
      </c>
      <c r="CC689" s="129">
        <f t="shared" ref="CC689:CC701" si="529">G689-I689+1</f>
        <v>31</v>
      </c>
      <c r="CD689" s="129">
        <f t="shared" ref="CD689:CD701" si="530">G689-J689</f>
        <v>0</v>
      </c>
      <c r="CE689" s="129">
        <f t="shared" si="508"/>
        <v>0</v>
      </c>
      <c r="CG689" s="129" t="str">
        <f t="shared" si="509"/>
        <v>Y</v>
      </c>
      <c r="CI689" s="129" t="str">
        <f t="shared" si="510"/>
        <v>31-60 DAYS</v>
      </c>
      <c r="CJ689" s="137">
        <f t="shared" si="511"/>
        <v>3</v>
      </c>
      <c r="CK689" s="129" t="str">
        <f t="shared" si="512"/>
        <v>Booked</v>
      </c>
    </row>
    <row r="690" spans="1:89" ht="15.75" customHeight="1" x14ac:dyDescent="0.25">
      <c r="A690" s="111">
        <v>2683</v>
      </c>
      <c r="B690" s="128" t="str">
        <f t="shared" si="491"/>
        <v>N</v>
      </c>
      <c r="C690" s="128" t="str">
        <f t="shared" si="492"/>
        <v>N</v>
      </c>
      <c r="D690" s="117">
        <v>1449325</v>
      </c>
      <c r="E690" s="135">
        <f t="shared" si="493"/>
        <v>4</v>
      </c>
      <c r="F690" s="124">
        <v>41008</v>
      </c>
      <c r="G690" s="125">
        <v>41010</v>
      </c>
      <c r="H690" s="117">
        <v>1449325</v>
      </c>
      <c r="I690" s="124">
        <v>41009</v>
      </c>
      <c r="J690" s="124">
        <v>41010</v>
      </c>
      <c r="K690" s="126">
        <v>15000</v>
      </c>
      <c r="L690" s="127" t="s">
        <v>571</v>
      </c>
      <c r="N690" s="129" t="str">
        <f t="shared" si="525"/>
        <v>N</v>
      </c>
      <c r="O690" s="128" t="s">
        <v>917</v>
      </c>
      <c r="P690" s="129" t="s">
        <v>39</v>
      </c>
      <c r="Q690" s="111">
        <f t="shared" si="519"/>
        <v>2</v>
      </c>
      <c r="R690" s="111">
        <f t="shared" si="487"/>
        <v>3</v>
      </c>
      <c r="S690" s="129">
        <v>8</v>
      </c>
      <c r="T690" s="129">
        <v>2</v>
      </c>
      <c r="U690" s="129">
        <v>6</v>
      </c>
      <c r="W690" s="111"/>
      <c r="AC690" s="130"/>
      <c r="AD690" s="130">
        <v>23414</v>
      </c>
      <c r="AE690" s="128" t="s">
        <v>32</v>
      </c>
      <c r="AF690" s="128" t="s">
        <v>33</v>
      </c>
      <c r="AG690" s="128" t="s">
        <v>872</v>
      </c>
      <c r="AH690" s="108" t="s">
        <v>58</v>
      </c>
      <c r="AI690" s="128" t="s">
        <v>90</v>
      </c>
      <c r="AJ690" s="129" t="s">
        <v>89</v>
      </c>
      <c r="AK690" s="129">
        <v>1</v>
      </c>
      <c r="AL690" s="3" t="s">
        <v>991</v>
      </c>
      <c r="AO690" s="128">
        <v>180</v>
      </c>
      <c r="AP690" s="129" t="s">
        <v>60</v>
      </c>
      <c r="AR690" s="128" t="s">
        <v>44</v>
      </c>
      <c r="AS690" s="129" t="s">
        <v>61</v>
      </c>
      <c r="BC690" s="129" t="s">
        <v>38</v>
      </c>
      <c r="BF690" s="111">
        <f t="shared" si="526"/>
        <v>2</v>
      </c>
      <c r="BG690" s="111">
        <f t="shared" si="527"/>
        <v>2</v>
      </c>
      <c r="BH690" s="111">
        <f t="shared" si="488"/>
        <v>3</v>
      </c>
      <c r="BI690" s="111">
        <f t="shared" si="489"/>
        <v>48.071038251366119</v>
      </c>
      <c r="BJ690" s="129">
        <f t="shared" si="495"/>
        <v>0</v>
      </c>
      <c r="BK690" s="129">
        <f t="shared" si="490"/>
        <v>0</v>
      </c>
      <c r="BL690" s="129" t="str">
        <f t="shared" si="517"/>
        <v>CONVICTION</v>
      </c>
      <c r="BM690" s="129" t="str">
        <f t="shared" si="496"/>
        <v>NONE</v>
      </c>
      <c r="BN690" s="129" t="s">
        <v>566</v>
      </c>
      <c r="BP690" s="137" t="str">
        <f t="shared" si="497"/>
        <v>CONVICTION</v>
      </c>
      <c r="BQ690" s="128" t="str">
        <f t="shared" si="498"/>
        <v>Y</v>
      </c>
      <c r="BR690" s="129" t="str">
        <f t="shared" si="499"/>
        <v>DETAINED</v>
      </c>
      <c r="BS690" s="129" t="str">
        <f t="shared" si="500"/>
        <v>DISPOSED</v>
      </c>
      <c r="BT690" s="129" t="str">
        <f t="shared" si="501"/>
        <v>Y</v>
      </c>
      <c r="BU690" s="109">
        <f t="shared" si="502"/>
        <v>0.66666666666666663</v>
      </c>
      <c r="BV690" s="109">
        <f t="shared" si="503"/>
        <v>1</v>
      </c>
      <c r="BW690" s="109">
        <f t="shared" si="523"/>
        <v>0.33333333333333337</v>
      </c>
      <c r="BX690" s="111">
        <f t="shared" si="504"/>
        <v>0</v>
      </c>
      <c r="BY690" s="129">
        <f t="shared" si="505"/>
        <v>-2</v>
      </c>
      <c r="BZ690" s="111">
        <f t="shared" si="506"/>
        <v>0</v>
      </c>
      <c r="CA690" s="138">
        <f t="shared" si="507"/>
        <v>2</v>
      </c>
      <c r="CB690" s="111" t="e">
        <f t="shared" si="528"/>
        <v>#VALUE!</v>
      </c>
      <c r="CC690" s="129">
        <f t="shared" si="529"/>
        <v>2</v>
      </c>
      <c r="CD690" s="129">
        <f t="shared" si="530"/>
        <v>0</v>
      </c>
      <c r="CE690" s="129">
        <f t="shared" si="508"/>
        <v>0</v>
      </c>
      <c r="CG690" s="129" t="str">
        <f t="shared" si="509"/>
        <v>Y</v>
      </c>
      <c r="CI690" s="129" t="str">
        <f t="shared" si="510"/>
        <v>0-10 DAYS</v>
      </c>
      <c r="CJ690" s="137">
        <f t="shared" si="511"/>
        <v>1</v>
      </c>
      <c r="CK690" s="129" t="str">
        <f t="shared" si="512"/>
        <v>Booked</v>
      </c>
    </row>
    <row r="691" spans="1:89" ht="15.75" customHeight="1" x14ac:dyDescent="0.25">
      <c r="A691" s="111">
        <v>279</v>
      </c>
      <c r="B691" s="128" t="str">
        <f t="shared" si="491"/>
        <v>N</v>
      </c>
      <c r="C691" s="128" t="str">
        <f t="shared" si="492"/>
        <v>N</v>
      </c>
      <c r="D691" s="117">
        <v>1449483</v>
      </c>
      <c r="E691" s="135">
        <f t="shared" si="493"/>
        <v>6</v>
      </c>
      <c r="F691" s="124">
        <v>40920</v>
      </c>
      <c r="G691" s="125">
        <v>40921</v>
      </c>
      <c r="H691" s="117">
        <v>1449483</v>
      </c>
      <c r="I691" s="124">
        <v>40920</v>
      </c>
      <c r="J691" s="124">
        <v>40921</v>
      </c>
      <c r="K691" s="126">
        <v>20000</v>
      </c>
      <c r="L691" s="127" t="s">
        <v>571</v>
      </c>
      <c r="N691" s="129" t="str">
        <f t="shared" si="525"/>
        <v>N</v>
      </c>
      <c r="O691" s="128" t="s">
        <v>917</v>
      </c>
      <c r="P691" s="129" t="s">
        <v>39</v>
      </c>
      <c r="Q691" s="111">
        <f t="shared" si="519"/>
        <v>2</v>
      </c>
      <c r="R691" s="111">
        <f t="shared" si="487"/>
        <v>2</v>
      </c>
      <c r="S691" s="129">
        <v>5</v>
      </c>
      <c r="T691" s="129">
        <v>4</v>
      </c>
      <c r="U691" s="129">
        <v>3</v>
      </c>
      <c r="W691" s="111"/>
      <c r="AC691" s="130"/>
      <c r="AD691" s="130">
        <v>28065</v>
      </c>
      <c r="AE691" s="128" t="s">
        <v>32</v>
      </c>
      <c r="AF691" s="128" t="s">
        <v>33</v>
      </c>
      <c r="AG691" s="128" t="s">
        <v>872</v>
      </c>
      <c r="AH691" s="108" t="s">
        <v>31</v>
      </c>
      <c r="AI691" s="128" t="s">
        <v>114</v>
      </c>
      <c r="AJ691" s="129" t="s">
        <v>89</v>
      </c>
      <c r="AK691" s="129">
        <v>1</v>
      </c>
      <c r="AL691" s="3" t="s">
        <v>362</v>
      </c>
      <c r="AM691" s="117">
        <v>2</v>
      </c>
      <c r="AP691" s="129" t="s">
        <v>148</v>
      </c>
      <c r="AR691" s="128" t="s">
        <v>67</v>
      </c>
      <c r="AS691" s="129" t="s">
        <v>45</v>
      </c>
      <c r="BC691" s="129" t="s">
        <v>38</v>
      </c>
      <c r="BF691" s="111">
        <f t="shared" si="526"/>
        <v>2</v>
      </c>
      <c r="BG691" s="111">
        <f t="shared" si="527"/>
        <v>2</v>
      </c>
      <c r="BH691" s="111">
        <f t="shared" si="488"/>
        <v>2</v>
      </c>
      <c r="BI691" s="111">
        <f t="shared" si="489"/>
        <v>35.122950819672134</v>
      </c>
      <c r="BJ691" s="129">
        <f t="shared" si="495"/>
        <v>0</v>
      </c>
      <c r="BK691" s="129">
        <f t="shared" si="490"/>
        <v>0</v>
      </c>
      <c r="BL691" s="129" t="str">
        <f t="shared" si="517"/>
        <v>CONVICTION</v>
      </c>
      <c r="BM691" s="129" t="str">
        <f t="shared" si="496"/>
        <v>NONE</v>
      </c>
      <c r="BN691" s="129" t="s">
        <v>566</v>
      </c>
      <c r="BP691" s="137" t="str">
        <f t="shared" si="497"/>
        <v>CONVICTION</v>
      </c>
      <c r="BQ691" s="128" t="str">
        <f t="shared" si="498"/>
        <v>Y</v>
      </c>
      <c r="BR691" s="129" t="str">
        <f t="shared" si="499"/>
        <v>DETAINED</v>
      </c>
      <c r="BS691" s="129" t="str">
        <f t="shared" si="500"/>
        <v>DISPOSED</v>
      </c>
      <c r="BT691" s="129" t="str">
        <f t="shared" si="501"/>
        <v>Y</v>
      </c>
      <c r="BU691" s="109">
        <f t="shared" si="502"/>
        <v>1</v>
      </c>
      <c r="BV691" s="109">
        <f t="shared" si="503"/>
        <v>1</v>
      </c>
      <c r="BW691" s="109">
        <f t="shared" si="523"/>
        <v>0</v>
      </c>
      <c r="BX691" s="111">
        <f t="shared" si="504"/>
        <v>0</v>
      </c>
      <c r="BY691" s="129">
        <f t="shared" si="505"/>
        <v>-2</v>
      </c>
      <c r="BZ691" s="111">
        <f t="shared" si="506"/>
        <v>0</v>
      </c>
      <c r="CA691" s="138">
        <f t="shared" si="507"/>
        <v>2</v>
      </c>
      <c r="CB691" s="111" t="e">
        <f t="shared" si="528"/>
        <v>#VALUE!</v>
      </c>
      <c r="CC691" s="129">
        <f t="shared" si="529"/>
        <v>2</v>
      </c>
      <c r="CD691" s="129">
        <f t="shared" si="530"/>
        <v>0</v>
      </c>
      <c r="CE691" s="129">
        <f t="shared" si="508"/>
        <v>0</v>
      </c>
      <c r="CG691" s="129" t="str">
        <f t="shared" si="509"/>
        <v>Y</v>
      </c>
      <c r="CI691" s="129" t="str">
        <f t="shared" si="510"/>
        <v>0-10 DAYS</v>
      </c>
      <c r="CJ691" s="137">
        <f t="shared" si="511"/>
        <v>1</v>
      </c>
      <c r="CK691" s="129" t="str">
        <f t="shared" si="512"/>
        <v>Booked</v>
      </c>
    </row>
    <row r="692" spans="1:89" ht="15.75" customHeight="1" x14ac:dyDescent="0.25">
      <c r="A692" s="111">
        <v>1923</v>
      </c>
      <c r="B692" s="128" t="str">
        <f t="shared" si="491"/>
        <v>N</v>
      </c>
      <c r="C692" s="128" t="str">
        <f t="shared" si="492"/>
        <v>N</v>
      </c>
      <c r="D692" s="117">
        <v>1451667</v>
      </c>
      <c r="E692" s="135">
        <f t="shared" si="493"/>
        <v>6</v>
      </c>
      <c r="F692" s="124">
        <v>40981</v>
      </c>
      <c r="G692" s="125">
        <v>41131</v>
      </c>
      <c r="H692" s="117">
        <v>1451667</v>
      </c>
      <c r="I692" s="124">
        <v>40981</v>
      </c>
      <c r="J692" s="124">
        <v>41131</v>
      </c>
      <c r="K692" s="126">
        <v>15000</v>
      </c>
      <c r="L692" s="127" t="s">
        <v>571</v>
      </c>
      <c r="N692" s="129" t="str">
        <f t="shared" si="525"/>
        <v>N</v>
      </c>
      <c r="O692" s="128" t="s">
        <v>917</v>
      </c>
      <c r="P692" s="129" t="s">
        <v>39</v>
      </c>
      <c r="Q692" s="111">
        <f t="shared" si="519"/>
        <v>151</v>
      </c>
      <c r="R692" s="111">
        <f t="shared" si="487"/>
        <v>151</v>
      </c>
      <c r="S692" s="129">
        <v>3</v>
      </c>
      <c r="T692" s="129">
        <v>10</v>
      </c>
      <c r="U692" s="129">
        <v>2</v>
      </c>
      <c r="W692" s="111"/>
      <c r="AC692" s="130"/>
      <c r="AD692" s="130">
        <v>28436</v>
      </c>
      <c r="AE692" s="128" t="s">
        <v>32</v>
      </c>
      <c r="AF692" s="128" t="s">
        <v>33</v>
      </c>
      <c r="AG692" s="128" t="s">
        <v>872</v>
      </c>
      <c r="AH692" s="108" t="s">
        <v>31</v>
      </c>
      <c r="AI692" s="128" t="s">
        <v>141</v>
      </c>
      <c r="AJ692" s="129" t="s">
        <v>89</v>
      </c>
      <c r="AK692" s="129">
        <v>6</v>
      </c>
      <c r="AL692" s="3" t="s">
        <v>362</v>
      </c>
      <c r="AM692" s="117">
        <v>2</v>
      </c>
      <c r="AP692" s="129" t="s">
        <v>121</v>
      </c>
      <c r="AR692" s="128" t="s">
        <v>44</v>
      </c>
      <c r="AS692" s="129" t="s">
        <v>122</v>
      </c>
      <c r="BC692" s="129" t="s">
        <v>38</v>
      </c>
      <c r="BF692" s="111">
        <f t="shared" si="526"/>
        <v>151</v>
      </c>
      <c r="BG692" s="111">
        <f t="shared" si="527"/>
        <v>151</v>
      </c>
      <c r="BH692" s="111">
        <f t="shared" si="488"/>
        <v>151</v>
      </c>
      <c r="BI692" s="111">
        <f t="shared" si="489"/>
        <v>34.275956284153004</v>
      </c>
      <c r="BJ692" s="129">
        <f t="shared" si="495"/>
        <v>0</v>
      </c>
      <c r="BK692" s="129">
        <f t="shared" si="490"/>
        <v>0</v>
      </c>
      <c r="BL692" s="129" t="str">
        <f t="shared" si="517"/>
        <v>CONVICTION</v>
      </c>
      <c r="BM692" s="129" t="str">
        <f t="shared" si="496"/>
        <v>NONE</v>
      </c>
      <c r="BN692" s="129" t="s">
        <v>566</v>
      </c>
      <c r="BP692" s="137" t="str">
        <f t="shared" si="497"/>
        <v>CONVICTION</v>
      </c>
      <c r="BQ692" s="128" t="str">
        <f t="shared" si="498"/>
        <v>Y</v>
      </c>
      <c r="BR692" s="129" t="str">
        <f t="shared" si="499"/>
        <v>DETAINED</v>
      </c>
      <c r="BS692" s="129" t="str">
        <f t="shared" si="500"/>
        <v>DISPOSED</v>
      </c>
      <c r="BT692" s="129" t="str">
        <f t="shared" si="501"/>
        <v>Y</v>
      </c>
      <c r="BU692" s="109">
        <f t="shared" si="502"/>
        <v>1</v>
      </c>
      <c r="BV692" s="109">
        <f t="shared" si="503"/>
        <v>1</v>
      </c>
      <c r="BW692" s="109">
        <f t="shared" si="523"/>
        <v>0</v>
      </c>
      <c r="BX692" s="111">
        <f t="shared" si="504"/>
        <v>0</v>
      </c>
      <c r="BY692" s="129">
        <f t="shared" si="505"/>
        <v>-151</v>
      </c>
      <c r="BZ692" s="111">
        <f t="shared" si="506"/>
        <v>0</v>
      </c>
      <c r="CA692" s="138">
        <f t="shared" si="507"/>
        <v>151</v>
      </c>
      <c r="CB692" s="111" t="e">
        <f t="shared" si="528"/>
        <v>#VALUE!</v>
      </c>
      <c r="CC692" s="129">
        <f t="shared" si="529"/>
        <v>151</v>
      </c>
      <c r="CD692" s="129">
        <f t="shared" si="530"/>
        <v>0</v>
      </c>
      <c r="CE692" s="129">
        <f t="shared" si="508"/>
        <v>0</v>
      </c>
      <c r="CG692" s="129" t="str">
        <f t="shared" si="509"/>
        <v>Y</v>
      </c>
      <c r="CI692" s="129" t="str">
        <f t="shared" si="510"/>
        <v>121-365 DAYS</v>
      </c>
      <c r="CJ692" s="137">
        <f t="shared" si="511"/>
        <v>6</v>
      </c>
      <c r="CK692" s="129" t="str">
        <f t="shared" si="512"/>
        <v>Booked</v>
      </c>
    </row>
    <row r="693" spans="1:89" ht="15" customHeight="1" x14ac:dyDescent="0.25">
      <c r="A693" s="111">
        <v>2426</v>
      </c>
      <c r="B693" s="128" t="str">
        <f t="shared" si="491"/>
        <v>N</v>
      </c>
      <c r="C693" s="128" t="str">
        <f t="shared" si="492"/>
        <v>N</v>
      </c>
      <c r="D693" s="117">
        <v>1452125</v>
      </c>
      <c r="E693" s="135">
        <f t="shared" si="493"/>
        <v>6</v>
      </c>
      <c r="F693" s="124">
        <v>41000</v>
      </c>
      <c r="G693" s="125">
        <v>41002</v>
      </c>
      <c r="H693" s="117">
        <v>1452125</v>
      </c>
      <c r="I693" s="124">
        <v>41000</v>
      </c>
      <c r="J693" s="124">
        <v>41002</v>
      </c>
      <c r="K693" s="126">
        <v>10000</v>
      </c>
      <c r="L693" s="127" t="s">
        <v>570</v>
      </c>
      <c r="N693" s="129" t="str">
        <f t="shared" si="525"/>
        <v>N</v>
      </c>
      <c r="O693" s="128" t="s">
        <v>917</v>
      </c>
      <c r="P693" s="129" t="s">
        <v>39</v>
      </c>
      <c r="Q693" s="111">
        <f t="shared" si="519"/>
        <v>3</v>
      </c>
      <c r="R693" s="111">
        <f t="shared" si="487"/>
        <v>3</v>
      </c>
      <c r="S693" s="129">
        <v>4</v>
      </c>
      <c r="T693" s="129">
        <v>3</v>
      </c>
      <c r="U693" s="129">
        <v>3</v>
      </c>
      <c r="W693" s="111"/>
      <c r="AC693" s="130"/>
      <c r="AD693" s="130">
        <v>28548</v>
      </c>
      <c r="AE693" s="128" t="s">
        <v>32</v>
      </c>
      <c r="AF693" s="128" t="s">
        <v>69</v>
      </c>
      <c r="AG693" s="128" t="s">
        <v>874</v>
      </c>
      <c r="AH693" s="108" t="s">
        <v>58</v>
      </c>
      <c r="AI693" s="128" t="s">
        <v>118</v>
      </c>
      <c r="AJ693" s="129" t="s">
        <v>89</v>
      </c>
      <c r="AK693" s="129">
        <v>1</v>
      </c>
      <c r="AL693" s="3" t="s">
        <v>362</v>
      </c>
      <c r="AM693" s="117">
        <v>2</v>
      </c>
      <c r="AP693" s="129" t="s">
        <v>66</v>
      </c>
      <c r="AR693" s="128" t="s">
        <v>67</v>
      </c>
      <c r="AS693" s="129" t="s">
        <v>68</v>
      </c>
      <c r="BC693" s="129" t="s">
        <v>38</v>
      </c>
      <c r="BF693" s="111">
        <f t="shared" si="526"/>
        <v>3</v>
      </c>
      <c r="BG693" s="111">
        <f t="shared" si="527"/>
        <v>3</v>
      </c>
      <c r="BH693" s="111">
        <f t="shared" si="488"/>
        <v>3</v>
      </c>
      <c r="BI693" s="111">
        <f t="shared" si="489"/>
        <v>34.021857923497265</v>
      </c>
      <c r="BJ693" s="129">
        <f t="shared" si="495"/>
        <v>0</v>
      </c>
      <c r="BK693" s="129">
        <f t="shared" si="490"/>
        <v>0</v>
      </c>
      <c r="BL693" s="129" t="str">
        <f t="shared" si="517"/>
        <v>CONVICTION</v>
      </c>
      <c r="BM693" s="129" t="str">
        <f t="shared" si="496"/>
        <v>NONE</v>
      </c>
      <c r="BN693" s="129" t="s">
        <v>566</v>
      </c>
      <c r="BP693" s="137" t="str">
        <f t="shared" si="497"/>
        <v>CONVICTION</v>
      </c>
      <c r="BQ693" s="128" t="str">
        <f t="shared" si="498"/>
        <v>Y</v>
      </c>
      <c r="BR693" s="129" t="str">
        <f t="shared" si="499"/>
        <v>DETAINED</v>
      </c>
      <c r="BS693" s="129" t="str">
        <f t="shared" si="500"/>
        <v>DISPOSED</v>
      </c>
      <c r="BT693" s="129" t="str">
        <f t="shared" si="501"/>
        <v>Y</v>
      </c>
      <c r="BU693" s="109">
        <f t="shared" si="502"/>
        <v>1</v>
      </c>
      <c r="BV693" s="109">
        <f t="shared" si="503"/>
        <v>1</v>
      </c>
      <c r="BW693" s="109">
        <f t="shared" si="523"/>
        <v>0</v>
      </c>
      <c r="BX693" s="111">
        <f t="shared" si="504"/>
        <v>0</v>
      </c>
      <c r="BY693" s="129">
        <f t="shared" si="505"/>
        <v>-3</v>
      </c>
      <c r="BZ693" s="111">
        <f t="shared" si="506"/>
        <v>0</v>
      </c>
      <c r="CA693" s="138">
        <f t="shared" si="507"/>
        <v>3</v>
      </c>
      <c r="CB693" s="111" t="e">
        <f t="shared" si="528"/>
        <v>#VALUE!</v>
      </c>
      <c r="CC693" s="129">
        <f t="shared" si="529"/>
        <v>3</v>
      </c>
      <c r="CD693" s="129">
        <f t="shared" si="530"/>
        <v>0</v>
      </c>
      <c r="CE693" s="129">
        <f t="shared" si="508"/>
        <v>0</v>
      </c>
      <c r="CG693" s="129" t="str">
        <f t="shared" si="509"/>
        <v>Y</v>
      </c>
      <c r="CI693" s="129" t="str">
        <f t="shared" si="510"/>
        <v>0-10 DAYS</v>
      </c>
      <c r="CJ693" s="137">
        <f t="shared" si="511"/>
        <v>1</v>
      </c>
      <c r="CK693" s="129" t="str">
        <f t="shared" si="512"/>
        <v>Booked</v>
      </c>
    </row>
    <row r="694" spans="1:89" ht="15.75" customHeight="1" x14ac:dyDescent="0.25">
      <c r="A694" s="111">
        <v>1687</v>
      </c>
      <c r="B694" s="128" t="str">
        <f t="shared" si="491"/>
        <v>N</v>
      </c>
      <c r="C694" s="128" t="str">
        <f t="shared" si="492"/>
        <v>N</v>
      </c>
      <c r="D694" s="117">
        <v>1452200</v>
      </c>
      <c r="E694" s="135">
        <f t="shared" si="493"/>
        <v>2</v>
      </c>
      <c r="F694" s="124">
        <v>40971</v>
      </c>
      <c r="G694" s="125">
        <v>41017</v>
      </c>
      <c r="H694" s="117">
        <v>1452200</v>
      </c>
      <c r="I694" s="124">
        <v>40971</v>
      </c>
      <c r="J694" s="124">
        <v>41017</v>
      </c>
      <c r="K694" s="126">
        <v>15000</v>
      </c>
      <c r="L694" s="127" t="s">
        <v>571</v>
      </c>
      <c r="N694" s="129" t="str">
        <f t="shared" si="525"/>
        <v>N</v>
      </c>
      <c r="O694" s="128" t="s">
        <v>917</v>
      </c>
      <c r="P694" s="129" t="s">
        <v>589</v>
      </c>
      <c r="Q694" s="111">
        <f t="shared" si="519"/>
        <v>47</v>
      </c>
      <c r="R694" s="111">
        <f t="shared" si="487"/>
        <v>47</v>
      </c>
      <c r="S694" s="129">
        <v>6</v>
      </c>
      <c r="T694" s="129">
        <v>6</v>
      </c>
      <c r="U694" s="129">
        <v>2</v>
      </c>
      <c r="W694" s="111"/>
      <c r="AC694" s="130"/>
      <c r="AD694" s="130">
        <v>25456</v>
      </c>
      <c r="AE694" s="128" t="s">
        <v>46</v>
      </c>
      <c r="AF694" s="128" t="s">
        <v>69</v>
      </c>
      <c r="AG694" s="128" t="s">
        <v>874</v>
      </c>
      <c r="AH694" s="108" t="s">
        <v>31</v>
      </c>
      <c r="AI694" s="128" t="s">
        <v>70</v>
      </c>
      <c r="AJ694" s="129" t="s">
        <v>48</v>
      </c>
      <c r="AK694" s="129">
        <v>5</v>
      </c>
      <c r="AL694" s="3" t="s">
        <v>48</v>
      </c>
      <c r="AP694" s="129" t="s">
        <v>93</v>
      </c>
      <c r="AR694" s="128" t="s">
        <v>67</v>
      </c>
      <c r="AS694" s="129" t="s">
        <v>45</v>
      </c>
      <c r="BC694" s="129" t="s">
        <v>38</v>
      </c>
      <c r="BF694" s="111">
        <f t="shared" si="526"/>
        <v>47</v>
      </c>
      <c r="BG694" s="111">
        <f t="shared" si="527"/>
        <v>47</v>
      </c>
      <c r="BH694" s="111">
        <f t="shared" si="488"/>
        <v>47</v>
      </c>
      <c r="BI694" s="111">
        <f t="shared" si="489"/>
        <v>42.39071038251366</v>
      </c>
      <c r="BJ694" s="129">
        <f t="shared" si="495"/>
        <v>0</v>
      </c>
      <c r="BK694" s="129">
        <f t="shared" si="490"/>
        <v>0</v>
      </c>
      <c r="BL694" s="129" t="str">
        <f t="shared" si="517"/>
        <v>DEFERRED</v>
      </c>
      <c r="BM694" s="129" t="str">
        <f t="shared" si="496"/>
        <v>NONE</v>
      </c>
      <c r="BN694" s="129" t="s">
        <v>566</v>
      </c>
      <c r="BP694" s="137" t="str">
        <f t="shared" si="497"/>
        <v>DEFERRED</v>
      </c>
      <c r="BQ694" s="128" t="str">
        <f t="shared" si="498"/>
        <v>Y</v>
      </c>
      <c r="BR694" s="129" t="str">
        <f t="shared" si="499"/>
        <v>DETAINED</v>
      </c>
      <c r="BS694" s="129" t="str">
        <f t="shared" si="500"/>
        <v>DISPOSED</v>
      </c>
      <c r="BT694" s="129" t="str">
        <f t="shared" si="501"/>
        <v>Y</v>
      </c>
      <c r="BU694" s="109">
        <f t="shared" si="502"/>
        <v>1</v>
      </c>
      <c r="BV694" s="109">
        <f t="shared" si="503"/>
        <v>1</v>
      </c>
      <c r="BW694" s="109">
        <f t="shared" si="523"/>
        <v>0</v>
      </c>
      <c r="BX694" s="111">
        <f t="shared" si="504"/>
        <v>0</v>
      </c>
      <c r="BY694" s="129">
        <f t="shared" si="505"/>
        <v>-47</v>
      </c>
      <c r="BZ694" s="111">
        <f t="shared" si="506"/>
        <v>0</v>
      </c>
      <c r="CA694" s="138">
        <f t="shared" si="507"/>
        <v>47</v>
      </c>
      <c r="CB694" s="111" t="e">
        <f t="shared" si="528"/>
        <v>#VALUE!</v>
      </c>
      <c r="CC694" s="129">
        <f t="shared" si="529"/>
        <v>47</v>
      </c>
      <c r="CD694" s="129">
        <f t="shared" si="530"/>
        <v>0</v>
      </c>
      <c r="CE694" s="129">
        <f t="shared" si="508"/>
        <v>0</v>
      </c>
      <c r="CG694" s="129" t="str">
        <f t="shared" si="509"/>
        <v>Y</v>
      </c>
      <c r="CI694" s="129" t="str">
        <f t="shared" si="510"/>
        <v>31-60 DAYS</v>
      </c>
      <c r="CJ694" s="137">
        <f t="shared" si="511"/>
        <v>3</v>
      </c>
      <c r="CK694" s="129" t="str">
        <f t="shared" si="512"/>
        <v>Booked</v>
      </c>
    </row>
    <row r="695" spans="1:89" ht="15.75" customHeight="1" x14ac:dyDescent="0.25">
      <c r="A695" s="111">
        <v>32</v>
      </c>
      <c r="B695" s="128" t="str">
        <f t="shared" si="491"/>
        <v>N</v>
      </c>
      <c r="C695" s="128" t="str">
        <f t="shared" si="492"/>
        <v>N</v>
      </c>
      <c r="D695" s="117">
        <v>1452426</v>
      </c>
      <c r="E695" s="135">
        <f t="shared" si="493"/>
        <v>6</v>
      </c>
      <c r="F695" s="124">
        <v>40911</v>
      </c>
      <c r="G695" s="125">
        <v>40953</v>
      </c>
      <c r="H695" s="117">
        <v>1452426</v>
      </c>
      <c r="I695" s="124">
        <v>40911</v>
      </c>
      <c r="J695" s="124">
        <v>40953</v>
      </c>
      <c r="K695" s="126">
        <v>10000</v>
      </c>
      <c r="L695" s="127" t="s">
        <v>570</v>
      </c>
      <c r="N695" s="129" t="str">
        <f t="shared" si="525"/>
        <v>N</v>
      </c>
      <c r="O695" s="128" t="s">
        <v>917</v>
      </c>
      <c r="P695" s="129" t="s">
        <v>39</v>
      </c>
      <c r="Q695" s="111">
        <f t="shared" si="519"/>
        <v>43</v>
      </c>
      <c r="R695" s="111">
        <f t="shared" si="487"/>
        <v>43</v>
      </c>
      <c r="S695" s="129">
        <v>3</v>
      </c>
      <c r="T695" s="129">
        <v>0</v>
      </c>
      <c r="U695" s="129">
        <v>1</v>
      </c>
      <c r="V695" s="117">
        <v>1</v>
      </c>
      <c r="W695" s="111"/>
      <c r="AC695" s="130"/>
      <c r="AD695" s="130">
        <v>28257</v>
      </c>
      <c r="AE695" s="128" t="s">
        <v>32</v>
      </c>
      <c r="AF695" s="128" t="s">
        <v>33</v>
      </c>
      <c r="AG695" s="128" t="s">
        <v>872</v>
      </c>
      <c r="AH695" s="108" t="s">
        <v>58</v>
      </c>
      <c r="AI695" s="128" t="s">
        <v>100</v>
      </c>
      <c r="AJ695" s="129" t="s">
        <v>89</v>
      </c>
      <c r="AK695" s="129">
        <v>2</v>
      </c>
      <c r="AL695" s="3" t="s">
        <v>362</v>
      </c>
      <c r="AM695" s="117">
        <v>2</v>
      </c>
      <c r="AP695" s="129" t="s">
        <v>101</v>
      </c>
      <c r="AR695" s="128" t="s">
        <v>67</v>
      </c>
      <c r="AS695" s="129" t="s">
        <v>64</v>
      </c>
      <c r="BC695" s="129" t="s">
        <v>38</v>
      </c>
      <c r="BF695" s="111">
        <f t="shared" si="526"/>
        <v>43</v>
      </c>
      <c r="BG695" s="111">
        <f t="shared" si="527"/>
        <v>43</v>
      </c>
      <c r="BH695" s="111">
        <f t="shared" si="488"/>
        <v>43</v>
      </c>
      <c r="BI695" s="111">
        <f t="shared" si="489"/>
        <v>34.57377049180328</v>
      </c>
      <c r="BJ695" s="129">
        <f t="shared" si="495"/>
        <v>0</v>
      </c>
      <c r="BK695" s="129">
        <f t="shared" si="490"/>
        <v>0</v>
      </c>
      <c r="BL695" s="129" t="str">
        <f t="shared" si="517"/>
        <v>CONVICTION</v>
      </c>
      <c r="BM695" s="129" t="str">
        <f t="shared" si="496"/>
        <v>NONE</v>
      </c>
      <c r="BN695" s="129" t="s">
        <v>566</v>
      </c>
      <c r="BP695" s="137" t="str">
        <f t="shared" si="497"/>
        <v>CONVICTION</v>
      </c>
      <c r="BQ695" s="128" t="str">
        <f t="shared" si="498"/>
        <v>Y</v>
      </c>
      <c r="BR695" s="129" t="str">
        <f t="shared" si="499"/>
        <v>DETAINED</v>
      </c>
      <c r="BS695" s="129" t="str">
        <f t="shared" si="500"/>
        <v>DISPOSED</v>
      </c>
      <c r="BT695" s="129" t="str">
        <f t="shared" si="501"/>
        <v>Y</v>
      </c>
      <c r="BU695" s="109">
        <f t="shared" si="502"/>
        <v>1</v>
      </c>
      <c r="BV695" s="109">
        <f t="shared" si="503"/>
        <v>1</v>
      </c>
      <c r="BW695" s="109">
        <f t="shared" si="523"/>
        <v>0</v>
      </c>
      <c r="BX695" s="111">
        <f t="shared" si="504"/>
        <v>0</v>
      </c>
      <c r="BY695" s="129">
        <f t="shared" si="505"/>
        <v>-43</v>
      </c>
      <c r="BZ695" s="111">
        <f t="shared" si="506"/>
        <v>0</v>
      </c>
      <c r="CA695" s="138">
        <f t="shared" si="507"/>
        <v>43</v>
      </c>
      <c r="CB695" s="111" t="e">
        <f t="shared" si="528"/>
        <v>#VALUE!</v>
      </c>
      <c r="CC695" s="129">
        <f t="shared" si="529"/>
        <v>43</v>
      </c>
      <c r="CD695" s="129">
        <f t="shared" si="530"/>
        <v>0</v>
      </c>
      <c r="CE695" s="129">
        <f t="shared" si="508"/>
        <v>0</v>
      </c>
      <c r="CG695" s="129" t="str">
        <f t="shared" si="509"/>
        <v>Y</v>
      </c>
      <c r="CI695" s="129" t="str">
        <f t="shared" si="510"/>
        <v>31-60 DAYS</v>
      </c>
      <c r="CJ695" s="137">
        <f t="shared" si="511"/>
        <v>3</v>
      </c>
      <c r="CK695" s="129" t="str">
        <f t="shared" si="512"/>
        <v>Booked</v>
      </c>
    </row>
    <row r="696" spans="1:89" ht="15" customHeight="1" x14ac:dyDescent="0.25">
      <c r="A696" s="111">
        <v>1672</v>
      </c>
      <c r="B696" s="128" t="str">
        <f t="shared" si="491"/>
        <v>N</v>
      </c>
      <c r="C696" s="128" t="str">
        <f t="shared" si="492"/>
        <v>N</v>
      </c>
      <c r="D696" s="117">
        <v>1453282</v>
      </c>
      <c r="E696" s="135">
        <f t="shared" si="493"/>
        <v>4</v>
      </c>
      <c r="F696" s="124">
        <v>40970</v>
      </c>
      <c r="G696" s="125">
        <v>40973</v>
      </c>
      <c r="H696" s="117">
        <v>1453282</v>
      </c>
      <c r="I696" s="124">
        <v>40971</v>
      </c>
      <c r="J696" s="124">
        <v>40973</v>
      </c>
      <c r="K696" s="126">
        <v>15000</v>
      </c>
      <c r="L696" s="127" t="s">
        <v>571</v>
      </c>
      <c r="N696" s="129" t="str">
        <f t="shared" si="525"/>
        <v>N</v>
      </c>
      <c r="O696" s="128" t="s">
        <v>917</v>
      </c>
      <c r="P696" s="129" t="s">
        <v>39</v>
      </c>
      <c r="Q696" s="111">
        <f t="shared" si="519"/>
        <v>3</v>
      </c>
      <c r="R696" s="111">
        <f t="shared" si="487"/>
        <v>4</v>
      </c>
      <c r="S696" s="129">
        <v>3</v>
      </c>
      <c r="T696" s="129">
        <v>2</v>
      </c>
      <c r="U696" s="129">
        <v>2</v>
      </c>
      <c r="W696" s="111"/>
      <c r="AC696" s="130"/>
      <c r="AD696" s="130">
        <v>19804</v>
      </c>
      <c r="AE696" s="128" t="s">
        <v>32</v>
      </c>
      <c r="AF696" s="128" t="s">
        <v>33</v>
      </c>
      <c r="AG696" s="128" t="s">
        <v>872</v>
      </c>
      <c r="AH696" s="108" t="s">
        <v>58</v>
      </c>
      <c r="AI696" s="128" t="s">
        <v>97</v>
      </c>
      <c r="AJ696" s="129" t="s">
        <v>89</v>
      </c>
      <c r="AK696" s="129">
        <v>1</v>
      </c>
      <c r="AL696" s="3" t="s">
        <v>991</v>
      </c>
      <c r="AO696" s="128">
        <v>60</v>
      </c>
      <c r="AP696" s="129" t="s">
        <v>43</v>
      </c>
      <c r="AR696" s="128" t="s">
        <v>44</v>
      </c>
      <c r="AS696" s="129" t="s">
        <v>45</v>
      </c>
      <c r="BC696" s="129" t="s">
        <v>38</v>
      </c>
      <c r="BF696" s="111">
        <f t="shared" si="526"/>
        <v>3</v>
      </c>
      <c r="BG696" s="111">
        <f t="shared" si="527"/>
        <v>3</v>
      </c>
      <c r="BH696" s="111">
        <f t="shared" si="488"/>
        <v>4</v>
      </c>
      <c r="BI696" s="111">
        <f t="shared" si="489"/>
        <v>57.830601092896174</v>
      </c>
      <c r="BJ696" s="129">
        <f t="shared" si="495"/>
        <v>0</v>
      </c>
      <c r="BK696" s="129">
        <f t="shared" si="490"/>
        <v>0</v>
      </c>
      <c r="BL696" s="129" t="str">
        <f t="shared" si="517"/>
        <v>CONVICTION</v>
      </c>
      <c r="BM696" s="129" t="str">
        <f t="shared" si="496"/>
        <v>NONE</v>
      </c>
      <c r="BN696" s="129" t="s">
        <v>566</v>
      </c>
      <c r="BP696" s="137" t="str">
        <f t="shared" si="497"/>
        <v>CONVICTION</v>
      </c>
      <c r="BQ696" s="128" t="str">
        <f t="shared" si="498"/>
        <v>Y</v>
      </c>
      <c r="BR696" s="129" t="str">
        <f t="shared" si="499"/>
        <v>DETAINED</v>
      </c>
      <c r="BS696" s="129" t="str">
        <f t="shared" si="500"/>
        <v>DISPOSED</v>
      </c>
      <c r="BT696" s="129" t="str">
        <f t="shared" si="501"/>
        <v>Y</v>
      </c>
      <c r="BU696" s="109">
        <f t="shared" si="502"/>
        <v>0.75</v>
      </c>
      <c r="BV696" s="109">
        <f t="shared" si="503"/>
        <v>1</v>
      </c>
      <c r="BW696" s="109">
        <f t="shared" si="523"/>
        <v>0.25</v>
      </c>
      <c r="BX696" s="111">
        <f t="shared" si="504"/>
        <v>0</v>
      </c>
      <c r="BY696" s="129">
        <f t="shared" si="505"/>
        <v>-3</v>
      </c>
      <c r="BZ696" s="111">
        <f t="shared" si="506"/>
        <v>0</v>
      </c>
      <c r="CA696" s="138">
        <f t="shared" si="507"/>
        <v>3</v>
      </c>
      <c r="CB696" s="111" t="e">
        <f t="shared" si="528"/>
        <v>#VALUE!</v>
      </c>
      <c r="CC696" s="129">
        <f t="shared" si="529"/>
        <v>3</v>
      </c>
      <c r="CD696" s="129">
        <f t="shared" si="530"/>
        <v>0</v>
      </c>
      <c r="CE696" s="129">
        <f t="shared" si="508"/>
        <v>0</v>
      </c>
      <c r="CG696" s="129" t="str">
        <f t="shared" si="509"/>
        <v>Y</v>
      </c>
      <c r="CI696" s="129" t="str">
        <f t="shared" si="510"/>
        <v>0-10 DAYS</v>
      </c>
      <c r="CJ696" s="137">
        <f t="shared" si="511"/>
        <v>1</v>
      </c>
      <c r="CK696" s="129" t="str">
        <f t="shared" si="512"/>
        <v>Booked</v>
      </c>
    </row>
    <row r="697" spans="1:89" ht="15" customHeight="1" x14ac:dyDescent="0.25">
      <c r="A697" s="111">
        <v>48</v>
      </c>
      <c r="B697" s="128" t="str">
        <f t="shared" si="491"/>
        <v>N</v>
      </c>
      <c r="C697" s="128" t="str">
        <f t="shared" si="492"/>
        <v>N</v>
      </c>
      <c r="D697" s="117">
        <v>1453818</v>
      </c>
      <c r="E697" s="135">
        <f t="shared" si="493"/>
        <v>5</v>
      </c>
      <c r="F697" s="124">
        <v>40911</v>
      </c>
      <c r="G697" s="125">
        <v>40913</v>
      </c>
      <c r="H697" s="117">
        <v>1453818</v>
      </c>
      <c r="I697" s="124">
        <v>40912</v>
      </c>
      <c r="J697" s="124">
        <v>40913</v>
      </c>
      <c r="K697" s="126">
        <v>15000</v>
      </c>
      <c r="L697" s="127" t="s">
        <v>571</v>
      </c>
      <c r="N697" s="129" t="str">
        <f t="shared" si="525"/>
        <v>N</v>
      </c>
      <c r="O697" s="128" t="s">
        <v>917</v>
      </c>
      <c r="P697" s="129" t="s">
        <v>39</v>
      </c>
      <c r="Q697" s="111">
        <f t="shared" si="519"/>
        <v>2</v>
      </c>
      <c r="R697" s="111">
        <f t="shared" si="487"/>
        <v>3</v>
      </c>
      <c r="S697" s="129">
        <v>3</v>
      </c>
      <c r="T697" s="129">
        <v>1</v>
      </c>
      <c r="U697" s="129">
        <v>8</v>
      </c>
      <c r="W697" s="111"/>
      <c r="AC697" s="130"/>
      <c r="AD697" s="130">
        <v>27742</v>
      </c>
      <c r="AE697" s="128" t="s">
        <v>32</v>
      </c>
      <c r="AF697" s="128" t="s">
        <v>33</v>
      </c>
      <c r="AG697" s="128" t="s">
        <v>872</v>
      </c>
      <c r="AH697" s="108" t="s">
        <v>58</v>
      </c>
      <c r="AI697" s="128" t="s">
        <v>114</v>
      </c>
      <c r="AJ697" s="129" t="s">
        <v>89</v>
      </c>
      <c r="AK697" s="129">
        <v>1</v>
      </c>
      <c r="AL697" s="3" t="s">
        <v>992</v>
      </c>
      <c r="AN697" s="117">
        <v>6</v>
      </c>
      <c r="AP697" s="129" t="s">
        <v>43</v>
      </c>
      <c r="AR697" s="128" t="s">
        <v>44</v>
      </c>
      <c r="AS697" s="129" t="s">
        <v>45</v>
      </c>
      <c r="BC697" s="129" t="s">
        <v>38</v>
      </c>
      <c r="BF697" s="111">
        <f t="shared" si="526"/>
        <v>2</v>
      </c>
      <c r="BG697" s="111">
        <f t="shared" si="527"/>
        <v>2</v>
      </c>
      <c r="BH697" s="111">
        <f t="shared" si="488"/>
        <v>3</v>
      </c>
      <c r="BI697" s="111">
        <f t="shared" si="489"/>
        <v>35.980874316939889</v>
      </c>
      <c r="BJ697" s="129">
        <f t="shared" si="495"/>
        <v>0</v>
      </c>
      <c r="BK697" s="129">
        <f t="shared" si="490"/>
        <v>0</v>
      </c>
      <c r="BL697" s="129" t="str">
        <f t="shared" si="517"/>
        <v>CONVICTION</v>
      </c>
      <c r="BM697" s="129" t="str">
        <f t="shared" si="496"/>
        <v>NONE</v>
      </c>
      <c r="BN697" s="129" t="s">
        <v>566</v>
      </c>
      <c r="BP697" s="137" t="str">
        <f t="shared" si="497"/>
        <v>CONVICTION</v>
      </c>
      <c r="BQ697" s="128" t="str">
        <f t="shared" si="498"/>
        <v>Y</v>
      </c>
      <c r="BR697" s="129" t="str">
        <f t="shared" si="499"/>
        <v>DETAINED</v>
      </c>
      <c r="BS697" s="129" t="str">
        <f t="shared" si="500"/>
        <v>DISPOSED</v>
      </c>
      <c r="BT697" s="129" t="str">
        <f t="shared" si="501"/>
        <v>Y</v>
      </c>
      <c r="BU697" s="109">
        <f t="shared" si="502"/>
        <v>0.66666666666666663</v>
      </c>
      <c r="BV697" s="109">
        <f t="shared" si="503"/>
        <v>1</v>
      </c>
      <c r="BW697" s="109">
        <f t="shared" si="523"/>
        <v>0.33333333333333337</v>
      </c>
      <c r="BX697" s="111">
        <f t="shared" si="504"/>
        <v>0</v>
      </c>
      <c r="BY697" s="129">
        <f t="shared" si="505"/>
        <v>-2</v>
      </c>
      <c r="BZ697" s="111">
        <f t="shared" si="506"/>
        <v>0</v>
      </c>
      <c r="CA697" s="138">
        <f t="shared" si="507"/>
        <v>2</v>
      </c>
      <c r="CB697" s="111" t="e">
        <f t="shared" si="528"/>
        <v>#VALUE!</v>
      </c>
      <c r="CC697" s="129">
        <f t="shared" si="529"/>
        <v>2</v>
      </c>
      <c r="CD697" s="129">
        <f t="shared" si="530"/>
        <v>0</v>
      </c>
      <c r="CE697" s="129">
        <f t="shared" si="508"/>
        <v>0</v>
      </c>
      <c r="CG697" s="129" t="str">
        <f t="shared" si="509"/>
        <v>Y</v>
      </c>
      <c r="CI697" s="129" t="str">
        <f t="shared" si="510"/>
        <v>0-10 DAYS</v>
      </c>
      <c r="CJ697" s="137">
        <f t="shared" si="511"/>
        <v>1</v>
      </c>
      <c r="CK697" s="129" t="str">
        <f t="shared" si="512"/>
        <v>Booked</v>
      </c>
    </row>
    <row r="698" spans="1:89" ht="15" customHeight="1" x14ac:dyDescent="0.25">
      <c r="A698" s="111">
        <v>2855</v>
      </c>
      <c r="B698" s="128" t="str">
        <f t="shared" si="491"/>
        <v>N</v>
      </c>
      <c r="C698" s="128" t="str">
        <f t="shared" si="492"/>
        <v>N</v>
      </c>
      <c r="D698" s="117">
        <v>1454350</v>
      </c>
      <c r="E698" s="135">
        <f t="shared" si="493"/>
        <v>5</v>
      </c>
      <c r="F698" s="124">
        <v>41014</v>
      </c>
      <c r="G698" s="125">
        <v>41093</v>
      </c>
      <c r="H698" s="117">
        <v>1454350</v>
      </c>
      <c r="I698" s="124">
        <v>41014</v>
      </c>
      <c r="J698" s="124">
        <v>41093</v>
      </c>
      <c r="K698" s="126">
        <v>10000</v>
      </c>
      <c r="L698" s="127" t="s">
        <v>570</v>
      </c>
      <c r="N698" s="129" t="str">
        <f t="shared" si="525"/>
        <v>N</v>
      </c>
      <c r="O698" s="128" t="s">
        <v>917</v>
      </c>
      <c r="P698" s="129" t="s">
        <v>39</v>
      </c>
      <c r="Q698" s="111">
        <f t="shared" si="519"/>
        <v>80</v>
      </c>
      <c r="R698" s="111">
        <f t="shared" si="487"/>
        <v>80</v>
      </c>
      <c r="S698" s="129">
        <v>5</v>
      </c>
      <c r="T698" s="129">
        <v>0</v>
      </c>
      <c r="U698" s="129">
        <v>5</v>
      </c>
      <c r="W698" s="111"/>
      <c r="AC698" s="130"/>
      <c r="AD698" s="130">
        <v>27751</v>
      </c>
      <c r="AE698" s="128" t="s">
        <v>32</v>
      </c>
      <c r="AF698" s="128" t="s">
        <v>69</v>
      </c>
      <c r="AG698" s="128" t="s">
        <v>874</v>
      </c>
      <c r="AH698" s="108" t="s">
        <v>31</v>
      </c>
      <c r="AI698" s="128" t="s">
        <v>53</v>
      </c>
      <c r="AJ698" s="129" t="s">
        <v>89</v>
      </c>
      <c r="AK698" s="129">
        <v>3</v>
      </c>
      <c r="AL698" s="3" t="s">
        <v>992</v>
      </c>
      <c r="AN698" s="117">
        <v>6</v>
      </c>
      <c r="AP698" s="129" t="s">
        <v>109</v>
      </c>
      <c r="AR698" s="128" t="s">
        <v>67</v>
      </c>
      <c r="AS698" s="129" t="s">
        <v>61</v>
      </c>
      <c r="BC698" s="129" t="s">
        <v>38</v>
      </c>
      <c r="BF698" s="111">
        <f t="shared" si="526"/>
        <v>80</v>
      </c>
      <c r="BG698" s="111">
        <f t="shared" si="527"/>
        <v>80</v>
      </c>
      <c r="BH698" s="111">
        <f t="shared" si="488"/>
        <v>80</v>
      </c>
      <c r="BI698" s="111">
        <f t="shared" si="489"/>
        <v>36.23770491803279</v>
      </c>
      <c r="BJ698" s="129">
        <f t="shared" si="495"/>
        <v>0</v>
      </c>
      <c r="BK698" s="129">
        <f t="shared" si="490"/>
        <v>0</v>
      </c>
      <c r="BL698" s="129" t="str">
        <f t="shared" si="517"/>
        <v>CONVICTION</v>
      </c>
      <c r="BM698" s="129" t="str">
        <f t="shared" si="496"/>
        <v>NONE</v>
      </c>
      <c r="BN698" s="129" t="s">
        <v>566</v>
      </c>
      <c r="BP698" s="137" t="str">
        <f t="shared" si="497"/>
        <v>CONVICTION</v>
      </c>
      <c r="BQ698" s="128" t="str">
        <f t="shared" si="498"/>
        <v>Y</v>
      </c>
      <c r="BR698" s="129" t="str">
        <f t="shared" si="499"/>
        <v>DETAINED</v>
      </c>
      <c r="BS698" s="129" t="str">
        <f t="shared" si="500"/>
        <v>DISPOSED</v>
      </c>
      <c r="BT698" s="129" t="str">
        <f t="shared" si="501"/>
        <v>Y</v>
      </c>
      <c r="BU698" s="109">
        <f t="shared" si="502"/>
        <v>1</v>
      </c>
      <c r="BV698" s="109">
        <f t="shared" si="503"/>
        <v>1</v>
      </c>
      <c r="BW698" s="109">
        <f t="shared" si="523"/>
        <v>0</v>
      </c>
      <c r="BX698" s="111">
        <f t="shared" si="504"/>
        <v>0</v>
      </c>
      <c r="BY698" s="129">
        <f t="shared" si="505"/>
        <v>-80</v>
      </c>
      <c r="BZ698" s="111">
        <f t="shared" si="506"/>
        <v>0</v>
      </c>
      <c r="CA698" s="138">
        <f t="shared" si="507"/>
        <v>80</v>
      </c>
      <c r="CB698" s="111" t="e">
        <f t="shared" si="528"/>
        <v>#VALUE!</v>
      </c>
      <c r="CC698" s="129">
        <f t="shared" si="529"/>
        <v>80</v>
      </c>
      <c r="CD698" s="129">
        <f t="shared" si="530"/>
        <v>0</v>
      </c>
      <c r="CE698" s="129">
        <f t="shared" si="508"/>
        <v>0</v>
      </c>
      <c r="CG698" s="129" t="str">
        <f t="shared" si="509"/>
        <v>Y</v>
      </c>
      <c r="CI698" s="129" t="str">
        <f t="shared" si="510"/>
        <v>61-90 DAYS</v>
      </c>
      <c r="CJ698" s="137">
        <f t="shared" si="511"/>
        <v>4</v>
      </c>
      <c r="CK698" s="129" t="str">
        <f t="shared" si="512"/>
        <v>Booked</v>
      </c>
    </row>
    <row r="699" spans="1:89" ht="15" customHeight="1" x14ac:dyDescent="0.25">
      <c r="A699" s="111">
        <v>2157</v>
      </c>
      <c r="B699" s="128" t="str">
        <f t="shared" si="491"/>
        <v>N</v>
      </c>
      <c r="C699" s="128" t="str">
        <f t="shared" si="492"/>
        <v>N</v>
      </c>
      <c r="D699" s="117">
        <v>1454459</v>
      </c>
      <c r="E699" s="135">
        <f t="shared" si="493"/>
        <v>5</v>
      </c>
      <c r="F699" s="124">
        <v>40990</v>
      </c>
      <c r="G699" s="125">
        <v>41030</v>
      </c>
      <c r="H699" s="117">
        <v>1454459</v>
      </c>
      <c r="I699" s="124">
        <v>40990</v>
      </c>
      <c r="J699" s="124">
        <v>41030</v>
      </c>
      <c r="K699" s="126" t="s">
        <v>564</v>
      </c>
      <c r="L699" s="127" t="s">
        <v>564</v>
      </c>
      <c r="N699" s="129" t="s">
        <v>566</v>
      </c>
      <c r="O699" s="128" t="s">
        <v>917</v>
      </c>
      <c r="P699" s="129" t="s">
        <v>39</v>
      </c>
      <c r="Q699" s="111">
        <f t="shared" ref="Q699:Q708" si="531">BF699</f>
        <v>41</v>
      </c>
      <c r="R699" s="111">
        <f t="shared" si="487"/>
        <v>41</v>
      </c>
      <c r="S699" s="129">
        <v>2</v>
      </c>
      <c r="T699" s="129">
        <v>5</v>
      </c>
      <c r="U699" s="129">
        <v>1</v>
      </c>
      <c r="W699" s="111"/>
      <c r="AC699" s="130"/>
      <c r="AD699" s="130">
        <v>28014</v>
      </c>
      <c r="AE699" s="128" t="s">
        <v>32</v>
      </c>
      <c r="AF699" s="128" t="s">
        <v>33</v>
      </c>
      <c r="AG699" s="128" t="s">
        <v>872</v>
      </c>
      <c r="AH699" s="108" t="s">
        <v>58</v>
      </c>
      <c r="AI699" s="128" t="s">
        <v>72</v>
      </c>
      <c r="AJ699" s="129" t="s">
        <v>89</v>
      </c>
      <c r="AK699" s="129">
        <v>3</v>
      </c>
      <c r="AL699" s="3" t="s">
        <v>992</v>
      </c>
      <c r="AN699" s="117">
        <v>13</v>
      </c>
      <c r="AP699" s="129" t="s">
        <v>43</v>
      </c>
      <c r="AR699" s="128" t="s">
        <v>44</v>
      </c>
      <c r="AS699" s="129" t="s">
        <v>45</v>
      </c>
      <c r="BC699" s="129" t="s">
        <v>38</v>
      </c>
      <c r="BF699" s="111">
        <f t="shared" si="526"/>
        <v>41</v>
      </c>
      <c r="BG699" s="111">
        <f t="shared" si="527"/>
        <v>41</v>
      </c>
      <c r="BH699" s="111">
        <f t="shared" si="488"/>
        <v>41</v>
      </c>
      <c r="BI699" s="111">
        <f t="shared" si="489"/>
        <v>35.453551912568308</v>
      </c>
      <c r="BJ699" s="129">
        <f t="shared" si="495"/>
        <v>0</v>
      </c>
      <c r="BK699" s="129">
        <f t="shared" si="490"/>
        <v>0</v>
      </c>
      <c r="BL699" s="129" t="str">
        <f t="shared" si="517"/>
        <v>CONVICTION</v>
      </c>
      <c r="BM699" s="129" t="str">
        <f t="shared" si="496"/>
        <v>NONE</v>
      </c>
      <c r="BN699" s="129" t="s">
        <v>566</v>
      </c>
      <c r="BP699" s="137" t="str">
        <f t="shared" si="497"/>
        <v>CONVICTION</v>
      </c>
      <c r="BQ699" s="128" t="str">
        <f t="shared" si="498"/>
        <v>Y</v>
      </c>
      <c r="BR699" s="129" t="str">
        <f t="shared" si="499"/>
        <v>DETAINED</v>
      </c>
      <c r="BS699" s="129" t="str">
        <f t="shared" si="500"/>
        <v>DISPOSED</v>
      </c>
      <c r="BT699" s="129" t="str">
        <f t="shared" si="501"/>
        <v>Y</v>
      </c>
      <c r="BU699" s="109">
        <f t="shared" si="502"/>
        <v>1</v>
      </c>
      <c r="BV699" s="109">
        <f t="shared" si="503"/>
        <v>1</v>
      </c>
      <c r="BW699" s="109">
        <f t="shared" si="523"/>
        <v>0</v>
      </c>
      <c r="BX699" s="111">
        <f t="shared" si="504"/>
        <v>0</v>
      </c>
      <c r="BY699" s="129">
        <f t="shared" si="505"/>
        <v>-41</v>
      </c>
      <c r="BZ699" s="111">
        <f t="shared" si="506"/>
        <v>0</v>
      </c>
      <c r="CA699" s="138">
        <f t="shared" si="507"/>
        <v>41</v>
      </c>
      <c r="CB699" s="111" t="e">
        <f t="shared" si="528"/>
        <v>#VALUE!</v>
      </c>
      <c r="CC699" s="129">
        <f t="shared" si="529"/>
        <v>41</v>
      </c>
      <c r="CD699" s="129">
        <f t="shared" si="530"/>
        <v>0</v>
      </c>
      <c r="CE699" s="129">
        <f t="shared" si="508"/>
        <v>0</v>
      </c>
      <c r="CG699" s="129" t="str">
        <f t="shared" si="509"/>
        <v>Y</v>
      </c>
      <c r="CI699" s="129" t="str">
        <f t="shared" si="510"/>
        <v>31-60 DAYS</v>
      </c>
      <c r="CJ699" s="137">
        <f t="shared" si="511"/>
        <v>3</v>
      </c>
      <c r="CK699" s="129" t="str">
        <f t="shared" si="512"/>
        <v>Booked</v>
      </c>
    </row>
    <row r="700" spans="1:89" ht="15.75" customHeight="1" x14ac:dyDescent="0.25">
      <c r="A700" s="111">
        <v>1401</v>
      </c>
      <c r="B700" s="128" t="str">
        <f t="shared" si="491"/>
        <v>N</v>
      </c>
      <c r="C700" s="128" t="str">
        <f t="shared" si="492"/>
        <v>N</v>
      </c>
      <c r="D700" s="117">
        <v>1454524</v>
      </c>
      <c r="E700" s="135">
        <f t="shared" si="493"/>
        <v>4</v>
      </c>
      <c r="F700" s="124">
        <v>40960</v>
      </c>
      <c r="G700" s="125">
        <v>40996</v>
      </c>
      <c r="H700" s="117">
        <v>1454524</v>
      </c>
      <c r="I700" s="124">
        <v>40960</v>
      </c>
      <c r="J700" s="124">
        <v>40996</v>
      </c>
      <c r="K700" s="126">
        <v>15000</v>
      </c>
      <c r="L700" s="127" t="s">
        <v>571</v>
      </c>
      <c r="N700" s="129" t="str">
        <f t="shared" ref="N700:N706" si="532">IF(M700&gt;1/1/1,"Y","N")</f>
        <v>N</v>
      </c>
      <c r="O700" s="128" t="s">
        <v>917</v>
      </c>
      <c r="P700" s="129" t="s">
        <v>39</v>
      </c>
      <c r="Q700" s="111">
        <f t="shared" si="531"/>
        <v>37</v>
      </c>
      <c r="R700" s="111">
        <f t="shared" si="487"/>
        <v>37</v>
      </c>
      <c r="S700" s="129">
        <v>8</v>
      </c>
      <c r="T700" s="129">
        <v>1</v>
      </c>
      <c r="U700" s="129">
        <v>3</v>
      </c>
      <c r="W700" s="111"/>
      <c r="AC700" s="130"/>
      <c r="AD700" s="130">
        <v>21958</v>
      </c>
      <c r="AE700" s="128" t="s">
        <v>32</v>
      </c>
      <c r="AF700" s="128" t="s">
        <v>33</v>
      </c>
      <c r="AG700" s="128" t="s">
        <v>872</v>
      </c>
      <c r="AH700" s="108" t="s">
        <v>58</v>
      </c>
      <c r="AI700" s="128" t="s">
        <v>47</v>
      </c>
      <c r="AJ700" s="129" t="s">
        <v>89</v>
      </c>
      <c r="AK700" s="129">
        <v>2</v>
      </c>
      <c r="AL700" s="3" t="s">
        <v>991</v>
      </c>
      <c r="AO700" s="128">
        <v>180</v>
      </c>
      <c r="AP700" s="129" t="s">
        <v>43</v>
      </c>
      <c r="AR700" s="128" t="s">
        <v>44</v>
      </c>
      <c r="AS700" s="129" t="s">
        <v>45</v>
      </c>
      <c r="AT700" s="129" t="s">
        <v>629</v>
      </c>
      <c r="BC700" s="129" t="s">
        <v>38</v>
      </c>
      <c r="BF700" s="111">
        <f t="shared" si="526"/>
        <v>37</v>
      </c>
      <c r="BG700" s="111">
        <f t="shared" si="527"/>
        <v>37</v>
      </c>
      <c r="BH700" s="111">
        <f t="shared" si="488"/>
        <v>37</v>
      </c>
      <c r="BI700" s="111">
        <f t="shared" si="489"/>
        <v>51.918032786885249</v>
      </c>
      <c r="BJ700" s="129">
        <f t="shared" si="495"/>
        <v>0</v>
      </c>
      <c r="BK700" s="129">
        <f t="shared" si="490"/>
        <v>0</v>
      </c>
      <c r="BL700" s="129" t="str">
        <f t="shared" si="517"/>
        <v>CONVICTION</v>
      </c>
      <c r="BM700" s="129" t="str">
        <f t="shared" si="496"/>
        <v>NONE</v>
      </c>
      <c r="BN700" s="129" t="s">
        <v>566</v>
      </c>
      <c r="BP700" s="137" t="str">
        <f t="shared" si="497"/>
        <v>CONVICTION</v>
      </c>
      <c r="BQ700" s="128" t="str">
        <f t="shared" si="498"/>
        <v>Y</v>
      </c>
      <c r="BR700" s="129" t="str">
        <f t="shared" si="499"/>
        <v>DETAINED</v>
      </c>
      <c r="BS700" s="129" t="str">
        <f t="shared" si="500"/>
        <v>DISPOSED</v>
      </c>
      <c r="BT700" s="129" t="str">
        <f t="shared" si="501"/>
        <v>Y</v>
      </c>
      <c r="BU700" s="109">
        <f t="shared" si="502"/>
        <v>1</v>
      </c>
      <c r="BV700" s="109">
        <f t="shared" si="503"/>
        <v>1</v>
      </c>
      <c r="BW700" s="109">
        <f t="shared" si="523"/>
        <v>0</v>
      </c>
      <c r="BX700" s="111">
        <f t="shared" si="504"/>
        <v>0</v>
      </c>
      <c r="BY700" s="129">
        <f t="shared" si="505"/>
        <v>-37</v>
      </c>
      <c r="BZ700" s="111">
        <f t="shared" si="506"/>
        <v>0</v>
      </c>
      <c r="CA700" s="138">
        <f t="shared" si="507"/>
        <v>37</v>
      </c>
      <c r="CB700" s="111" t="e">
        <f t="shared" si="528"/>
        <v>#VALUE!</v>
      </c>
      <c r="CC700" s="129">
        <f t="shared" si="529"/>
        <v>37</v>
      </c>
      <c r="CD700" s="129">
        <f t="shared" si="530"/>
        <v>0</v>
      </c>
      <c r="CE700" s="129">
        <f t="shared" si="508"/>
        <v>0</v>
      </c>
      <c r="CG700" s="129" t="str">
        <f t="shared" si="509"/>
        <v>Y</v>
      </c>
      <c r="CI700" s="129" t="str">
        <f t="shared" si="510"/>
        <v>31-60 DAYS</v>
      </c>
      <c r="CJ700" s="137">
        <f t="shared" si="511"/>
        <v>3</v>
      </c>
      <c r="CK700" s="129" t="str">
        <f t="shared" si="512"/>
        <v>Booked</v>
      </c>
    </row>
    <row r="701" spans="1:89" ht="15.75" customHeight="1" x14ac:dyDescent="0.25">
      <c r="A701" s="111">
        <v>3178</v>
      </c>
      <c r="B701" s="128" t="str">
        <f t="shared" si="491"/>
        <v>N</v>
      </c>
      <c r="C701" s="128" t="str">
        <f t="shared" si="492"/>
        <v>Y</v>
      </c>
      <c r="D701" s="117">
        <v>1456717</v>
      </c>
      <c r="E701" s="135">
        <f t="shared" si="493"/>
        <v>5</v>
      </c>
      <c r="F701" s="124">
        <v>41025</v>
      </c>
      <c r="G701" s="125">
        <v>41081</v>
      </c>
      <c r="H701" s="117">
        <v>1456717</v>
      </c>
      <c r="I701" s="124">
        <v>41029</v>
      </c>
      <c r="J701" s="124">
        <v>41081</v>
      </c>
      <c r="K701" s="126">
        <v>2000</v>
      </c>
      <c r="L701" s="127" t="s">
        <v>568</v>
      </c>
      <c r="M701" s="125">
        <v>41026</v>
      </c>
      <c r="N701" s="129" t="str">
        <f t="shared" si="532"/>
        <v>Y</v>
      </c>
      <c r="O701" s="128" t="s">
        <v>76</v>
      </c>
      <c r="P701" s="129" t="s">
        <v>39</v>
      </c>
      <c r="Q701" s="111">
        <f t="shared" si="531"/>
        <v>53</v>
      </c>
      <c r="R701" s="111">
        <f t="shared" si="487"/>
        <v>57</v>
      </c>
      <c r="S701" s="129">
        <v>3</v>
      </c>
      <c r="T701" s="129">
        <v>0</v>
      </c>
      <c r="U701" s="129">
        <v>1</v>
      </c>
      <c r="W701" s="111"/>
      <c r="AC701" s="130"/>
      <c r="AD701" s="130">
        <v>26807</v>
      </c>
      <c r="AE701" s="128" t="s">
        <v>46</v>
      </c>
      <c r="AF701" s="128" t="s">
        <v>69</v>
      </c>
      <c r="AG701" s="128" t="s">
        <v>874</v>
      </c>
      <c r="AH701" s="108" t="s">
        <v>58</v>
      </c>
      <c r="AI701" s="128" t="s">
        <v>70</v>
      </c>
      <c r="AJ701" s="129" t="s">
        <v>89</v>
      </c>
      <c r="AK701" s="129">
        <v>3</v>
      </c>
      <c r="AL701" s="3" t="s">
        <v>992</v>
      </c>
      <c r="AN701" s="117">
        <v>8</v>
      </c>
      <c r="AP701" s="129" t="s">
        <v>60</v>
      </c>
      <c r="AR701" s="128" t="s">
        <v>44</v>
      </c>
      <c r="AS701" s="129" t="s">
        <v>61</v>
      </c>
      <c r="AU701" s="118" t="s">
        <v>861</v>
      </c>
      <c r="AV701" s="129"/>
      <c r="AW701" s="32"/>
      <c r="AX701" s="129" t="s">
        <v>88</v>
      </c>
      <c r="BC701" s="129" t="s">
        <v>38</v>
      </c>
      <c r="BF701" s="111">
        <f>IF(J701&gt;1/1/1900,((G701+1)-I701),"STILL OPEN")</f>
        <v>53</v>
      </c>
      <c r="BG701" s="111">
        <f t="shared" si="527"/>
        <v>53</v>
      </c>
      <c r="BH701" s="111">
        <f t="shared" si="488"/>
        <v>57</v>
      </c>
      <c r="BI701" s="111">
        <f t="shared" si="489"/>
        <v>38.846994535519123</v>
      </c>
      <c r="BJ701" s="129">
        <f>G701-J701</f>
        <v>0</v>
      </c>
      <c r="BK701" s="129">
        <f t="shared" si="490"/>
        <v>0</v>
      </c>
      <c r="BL701" s="129" t="str">
        <f t="shared" si="517"/>
        <v>CONVICTION</v>
      </c>
      <c r="BM701" s="129" t="s">
        <v>76</v>
      </c>
      <c r="BN701" s="129" t="s">
        <v>88</v>
      </c>
      <c r="BP701" s="137" t="str">
        <f t="shared" si="497"/>
        <v>CONVICTION</v>
      </c>
      <c r="BQ701" s="128" t="str">
        <f t="shared" si="498"/>
        <v>Y</v>
      </c>
      <c r="BR701" s="129" t="s">
        <v>574</v>
      </c>
      <c r="BS701" s="129" t="str">
        <f t="shared" si="500"/>
        <v>DISPOSED</v>
      </c>
      <c r="BT701" s="129" t="str">
        <f t="shared" si="501"/>
        <v>Y</v>
      </c>
      <c r="BU701" s="109">
        <f t="shared" si="502"/>
        <v>0.92982456140350878</v>
      </c>
      <c r="BV701" s="109">
        <f t="shared" si="503"/>
        <v>1</v>
      </c>
      <c r="BW701" s="109">
        <f t="shared" si="523"/>
        <v>7.0175438596491224E-2</v>
      </c>
      <c r="BX701" s="111">
        <f t="shared" si="504"/>
        <v>0</v>
      </c>
      <c r="BY701" s="129">
        <f t="shared" si="505"/>
        <v>-53</v>
      </c>
      <c r="BZ701" s="111">
        <f t="shared" si="506"/>
        <v>0</v>
      </c>
      <c r="CA701" s="138">
        <f t="shared" si="507"/>
        <v>53</v>
      </c>
      <c r="CB701" s="111" t="e">
        <f t="shared" si="528"/>
        <v>#VALUE!</v>
      </c>
      <c r="CC701" s="129">
        <f t="shared" si="529"/>
        <v>53</v>
      </c>
      <c r="CD701" s="129">
        <f t="shared" si="530"/>
        <v>0</v>
      </c>
      <c r="CE701" s="129">
        <f t="shared" si="508"/>
        <v>0</v>
      </c>
      <c r="CG701" s="129" t="str">
        <f t="shared" si="509"/>
        <v>Y</v>
      </c>
      <c r="CI701" s="129" t="str">
        <f t="shared" si="510"/>
        <v>31-60 DAYS</v>
      </c>
      <c r="CJ701" s="137">
        <f t="shared" si="511"/>
        <v>3</v>
      </c>
      <c r="CK701" s="129" t="str">
        <f t="shared" si="512"/>
        <v>Booked</v>
      </c>
    </row>
    <row r="702" spans="1:89" ht="15.75" customHeight="1" x14ac:dyDescent="0.25">
      <c r="A702" s="111">
        <v>3038</v>
      </c>
      <c r="B702" s="128" t="str">
        <f t="shared" si="491"/>
        <v>N</v>
      </c>
      <c r="C702" s="128" t="str">
        <f t="shared" si="492"/>
        <v>N</v>
      </c>
      <c r="D702" s="117">
        <v>1457014</v>
      </c>
      <c r="E702" s="135">
        <f t="shared" si="493"/>
        <v>6</v>
      </c>
      <c r="F702" s="124">
        <v>41021</v>
      </c>
      <c r="G702" s="125">
        <v>41333</v>
      </c>
      <c r="H702" s="117">
        <v>1457014</v>
      </c>
      <c r="I702" s="124">
        <v>41021</v>
      </c>
      <c r="J702" s="124">
        <v>41057</v>
      </c>
      <c r="K702" s="126">
        <v>40000</v>
      </c>
      <c r="L702" s="129" t="s">
        <v>572</v>
      </c>
      <c r="M702" s="125">
        <v>41057</v>
      </c>
      <c r="N702" s="129" t="str">
        <f t="shared" si="532"/>
        <v>Y</v>
      </c>
      <c r="O702" s="128" t="s">
        <v>585</v>
      </c>
      <c r="P702" s="129" t="s">
        <v>39</v>
      </c>
      <c r="Q702" s="111">
        <f t="shared" si="531"/>
        <v>37</v>
      </c>
      <c r="R702" s="111">
        <f t="shared" si="487"/>
        <v>313</v>
      </c>
      <c r="S702" s="129">
        <v>2</v>
      </c>
      <c r="T702" s="129">
        <v>8</v>
      </c>
      <c r="U702" s="129">
        <v>2</v>
      </c>
      <c r="W702" s="111"/>
      <c r="AC702" s="130"/>
      <c r="AD702" s="130">
        <v>24602</v>
      </c>
      <c r="AE702" s="128" t="s">
        <v>32</v>
      </c>
      <c r="AF702" s="128" t="s">
        <v>33</v>
      </c>
      <c r="AG702" s="128" t="s">
        <v>872</v>
      </c>
      <c r="AH702" s="108" t="s">
        <v>58</v>
      </c>
      <c r="AI702" s="128" t="s">
        <v>141</v>
      </c>
      <c r="AJ702" s="129" t="s">
        <v>89</v>
      </c>
      <c r="AK702" s="129">
        <v>11</v>
      </c>
      <c r="AL702" s="3" t="s">
        <v>362</v>
      </c>
      <c r="AM702" s="117">
        <v>6</v>
      </c>
      <c r="AP702" s="129" t="s">
        <v>66</v>
      </c>
      <c r="AR702" s="128" t="s">
        <v>67</v>
      </c>
      <c r="AS702" s="129" t="s">
        <v>68</v>
      </c>
      <c r="BC702" s="129" t="s">
        <v>52</v>
      </c>
      <c r="BF702" s="111">
        <f t="shared" si="526"/>
        <v>37</v>
      </c>
      <c r="BG702" s="111">
        <f t="shared" si="527"/>
        <v>313</v>
      </c>
      <c r="BH702" s="111">
        <f t="shared" si="488"/>
        <v>313</v>
      </c>
      <c r="BI702" s="111">
        <f t="shared" si="489"/>
        <v>44.860655737704917</v>
      </c>
      <c r="BJ702" s="129">
        <f>(G702-J702)+(M702-G702)</f>
        <v>0</v>
      </c>
      <c r="BK702" s="129">
        <f t="shared" si="490"/>
        <v>-276</v>
      </c>
      <c r="BL702" s="129" t="str">
        <f t="shared" si="517"/>
        <v>CONVICTION</v>
      </c>
      <c r="BM702" s="129" t="s">
        <v>76</v>
      </c>
      <c r="BN702" s="129" t="s">
        <v>88</v>
      </c>
      <c r="BP702" s="137" t="str">
        <f t="shared" si="497"/>
        <v>CONVICTION</v>
      </c>
      <c r="BQ702" s="128" t="str">
        <f t="shared" si="498"/>
        <v>Y</v>
      </c>
      <c r="BR702" s="129" t="str">
        <f>IF(J702&lt;G702,"ON BOND",0)</f>
        <v>ON BOND</v>
      </c>
      <c r="BS702" s="129" t="str">
        <f t="shared" si="500"/>
        <v>DISPOSED</v>
      </c>
      <c r="BT702" s="129" t="str">
        <f t="shared" si="501"/>
        <v>Y</v>
      </c>
      <c r="BU702" s="109">
        <f t="shared" si="502"/>
        <v>0.1182108626198083</v>
      </c>
      <c r="BV702" s="109">
        <f t="shared" si="503"/>
        <v>0.1182108626198083</v>
      </c>
      <c r="BW702" s="109">
        <f t="shared" si="523"/>
        <v>0</v>
      </c>
      <c r="BX702" s="111">
        <f t="shared" si="504"/>
        <v>0</v>
      </c>
      <c r="BY702" s="129">
        <f t="shared" si="505"/>
        <v>-37</v>
      </c>
      <c r="BZ702" s="111">
        <f t="shared" si="506"/>
        <v>0</v>
      </c>
      <c r="CA702" s="138">
        <f t="shared" si="507"/>
        <v>37</v>
      </c>
      <c r="CB702" s="111" t="e">
        <f t="shared" si="528"/>
        <v>#VALUE!</v>
      </c>
      <c r="CC702" s="129">
        <f>M702-I702+1</f>
        <v>37</v>
      </c>
      <c r="CD702" s="111">
        <f>CC702-BF702</f>
        <v>0</v>
      </c>
      <c r="CE702" s="129">
        <f t="shared" si="508"/>
        <v>276</v>
      </c>
      <c r="CG702" s="129" t="str">
        <f t="shared" si="509"/>
        <v>Y</v>
      </c>
      <c r="CI702" s="129" t="str">
        <f t="shared" si="510"/>
        <v>31-60 DAYS</v>
      </c>
      <c r="CJ702" s="137">
        <f t="shared" si="511"/>
        <v>3</v>
      </c>
      <c r="CK702" s="129" t="str">
        <f t="shared" si="512"/>
        <v>Booked</v>
      </c>
    </row>
    <row r="703" spans="1:89" ht="15.75" customHeight="1" x14ac:dyDescent="0.25">
      <c r="A703" s="111">
        <v>1269</v>
      </c>
      <c r="B703" s="128" t="str">
        <f t="shared" si="491"/>
        <v>N</v>
      </c>
      <c r="C703" s="128" t="str">
        <f t="shared" si="492"/>
        <v>N</v>
      </c>
      <c r="D703" s="117">
        <v>1457566</v>
      </c>
      <c r="E703" s="135">
        <f t="shared" si="493"/>
        <v>2</v>
      </c>
      <c r="F703" s="124">
        <v>40955</v>
      </c>
      <c r="G703" s="125">
        <v>41228</v>
      </c>
      <c r="H703" s="117">
        <v>1457566</v>
      </c>
      <c r="I703" s="124">
        <v>40956</v>
      </c>
      <c r="J703" s="124">
        <v>40957</v>
      </c>
      <c r="K703" s="126">
        <v>30000</v>
      </c>
      <c r="L703" s="129" t="s">
        <v>572</v>
      </c>
      <c r="M703" s="125">
        <v>40957</v>
      </c>
      <c r="N703" s="129" t="str">
        <f t="shared" si="532"/>
        <v>Y</v>
      </c>
      <c r="O703" s="128" t="s">
        <v>585</v>
      </c>
      <c r="P703" s="129" t="s">
        <v>589</v>
      </c>
      <c r="Q703" s="111">
        <f t="shared" si="531"/>
        <v>2</v>
      </c>
      <c r="R703" s="111">
        <f t="shared" si="487"/>
        <v>274</v>
      </c>
      <c r="S703" s="129">
        <v>1</v>
      </c>
      <c r="T703" s="129">
        <v>1</v>
      </c>
      <c r="U703" s="129">
        <v>1</v>
      </c>
      <c r="W703" s="111"/>
      <c r="AB703" s="131" t="s">
        <v>112</v>
      </c>
      <c r="AC703" s="130"/>
      <c r="AD703" s="130">
        <v>28568</v>
      </c>
      <c r="AE703" s="128" t="s">
        <v>32</v>
      </c>
      <c r="AF703" s="128" t="s">
        <v>40</v>
      </c>
      <c r="AG703" s="128" t="s">
        <v>41</v>
      </c>
      <c r="AH703" s="108" t="s">
        <v>31</v>
      </c>
      <c r="AI703" s="128" t="s">
        <v>71</v>
      </c>
      <c r="AJ703" s="129" t="s">
        <v>48</v>
      </c>
      <c r="AK703" s="129">
        <v>8</v>
      </c>
      <c r="AL703" s="3" t="s">
        <v>48</v>
      </c>
      <c r="AP703" s="129" t="s">
        <v>125</v>
      </c>
      <c r="AR703" s="128" t="s">
        <v>50</v>
      </c>
      <c r="AS703" s="129" t="s">
        <v>126</v>
      </c>
      <c r="BC703" s="129" t="s">
        <v>52</v>
      </c>
      <c r="BF703" s="111">
        <f t="shared" si="526"/>
        <v>2</v>
      </c>
      <c r="BG703" s="111">
        <f t="shared" si="527"/>
        <v>273</v>
      </c>
      <c r="BH703" s="111">
        <f t="shared" si="488"/>
        <v>274</v>
      </c>
      <c r="BI703" s="111">
        <f t="shared" si="489"/>
        <v>33.844262295081968</v>
      </c>
      <c r="BJ703" s="129">
        <f>(G703-J703)+(M703-G703)</f>
        <v>0</v>
      </c>
      <c r="BK703" s="129">
        <f t="shared" si="490"/>
        <v>-271</v>
      </c>
      <c r="BL703" s="129" t="str">
        <f t="shared" si="517"/>
        <v>DEFERRED</v>
      </c>
      <c r="BM703" s="129" t="s">
        <v>76</v>
      </c>
      <c r="BN703" s="129" t="s">
        <v>88</v>
      </c>
      <c r="BP703" s="137" t="str">
        <f t="shared" si="497"/>
        <v>DEFERRED</v>
      </c>
      <c r="BQ703" s="128" t="str">
        <f t="shared" si="498"/>
        <v>Y</v>
      </c>
      <c r="BR703" s="129" t="str">
        <f t="shared" si="499"/>
        <v>ON BOND</v>
      </c>
      <c r="BS703" s="129" t="str">
        <f t="shared" si="500"/>
        <v>DISPOSED</v>
      </c>
      <c r="BT703" s="129" t="str">
        <f t="shared" si="501"/>
        <v>Y</v>
      </c>
      <c r="BU703" s="109">
        <f t="shared" si="502"/>
        <v>7.2992700729927005E-3</v>
      </c>
      <c r="BV703" s="109">
        <f t="shared" si="503"/>
        <v>7.326007326007326E-3</v>
      </c>
      <c r="BW703" s="109">
        <f t="shared" si="523"/>
        <v>2.6737253014625512E-5</v>
      </c>
      <c r="BX703" s="111">
        <f t="shared" si="504"/>
        <v>0</v>
      </c>
      <c r="BY703" s="129">
        <f t="shared" si="505"/>
        <v>-2</v>
      </c>
      <c r="BZ703" s="111">
        <f t="shared" si="506"/>
        <v>0</v>
      </c>
      <c r="CA703" s="138">
        <f t="shared" si="507"/>
        <v>2</v>
      </c>
      <c r="CB703" s="111" t="e">
        <f t="shared" si="528"/>
        <v>#VALUE!</v>
      </c>
      <c r="CC703" s="129">
        <f>M703-I703+1</f>
        <v>2</v>
      </c>
      <c r="CD703" s="111">
        <f>CC703-BF703</f>
        <v>0</v>
      </c>
      <c r="CE703" s="129">
        <f t="shared" si="508"/>
        <v>271</v>
      </c>
      <c r="CG703" s="129" t="str">
        <f t="shared" si="509"/>
        <v>Y</v>
      </c>
      <c r="CI703" s="129" t="str">
        <f t="shared" si="510"/>
        <v>0-10 DAYS</v>
      </c>
      <c r="CJ703" s="137">
        <f t="shared" si="511"/>
        <v>1</v>
      </c>
      <c r="CK703" s="129" t="str">
        <f t="shared" si="512"/>
        <v>Booked</v>
      </c>
    </row>
    <row r="704" spans="1:89" ht="15" customHeight="1" x14ac:dyDescent="0.25">
      <c r="A704" s="111">
        <v>2737</v>
      </c>
      <c r="B704" s="128" t="str">
        <f t="shared" si="491"/>
        <v>N</v>
      </c>
      <c r="C704" s="128" t="str">
        <f t="shared" si="492"/>
        <v>N</v>
      </c>
      <c r="D704" s="117">
        <v>1457666</v>
      </c>
      <c r="E704" s="135">
        <f t="shared" si="493"/>
        <v>6</v>
      </c>
      <c r="F704" s="124">
        <v>41010</v>
      </c>
      <c r="G704" s="125">
        <v>41015</v>
      </c>
      <c r="H704" s="117">
        <v>1457666</v>
      </c>
      <c r="I704" s="124">
        <v>41011</v>
      </c>
      <c r="J704" s="124">
        <v>41015</v>
      </c>
      <c r="K704" s="126">
        <v>20000</v>
      </c>
      <c r="L704" s="127" t="s">
        <v>571</v>
      </c>
      <c r="N704" s="129" t="str">
        <f t="shared" si="532"/>
        <v>N</v>
      </c>
      <c r="O704" s="128" t="s">
        <v>917</v>
      </c>
      <c r="P704" s="129" t="s">
        <v>39</v>
      </c>
      <c r="Q704" s="111">
        <f t="shared" si="531"/>
        <v>5</v>
      </c>
      <c r="R704" s="111">
        <f t="shared" si="487"/>
        <v>6</v>
      </c>
      <c r="S704" s="129">
        <v>2</v>
      </c>
      <c r="T704" s="129">
        <v>1</v>
      </c>
      <c r="U704" s="129">
        <v>1</v>
      </c>
      <c r="W704" s="111"/>
      <c r="AC704" s="130"/>
      <c r="AD704" s="130">
        <v>23361</v>
      </c>
      <c r="AE704" s="128" t="s">
        <v>32</v>
      </c>
      <c r="AF704" s="128" t="s">
        <v>69</v>
      </c>
      <c r="AG704" s="128" t="s">
        <v>874</v>
      </c>
      <c r="AH704" s="108" t="s">
        <v>31</v>
      </c>
      <c r="AI704" s="128" t="s">
        <v>141</v>
      </c>
      <c r="AJ704" s="129" t="s">
        <v>89</v>
      </c>
      <c r="AK704" s="129">
        <v>2</v>
      </c>
      <c r="AL704" s="3" t="s">
        <v>362</v>
      </c>
      <c r="AM704" s="117">
        <v>5</v>
      </c>
      <c r="AP704" s="129" t="s">
        <v>66</v>
      </c>
      <c r="AR704" s="128" t="s">
        <v>67</v>
      </c>
      <c r="AS704" s="129" t="s">
        <v>68</v>
      </c>
      <c r="BC704" s="129" t="s">
        <v>38</v>
      </c>
      <c r="BF704" s="111">
        <f t="shared" si="526"/>
        <v>5</v>
      </c>
      <c r="BG704" s="111">
        <f t="shared" si="527"/>
        <v>5</v>
      </c>
      <c r="BH704" s="111">
        <f t="shared" si="488"/>
        <v>6</v>
      </c>
      <c r="BI704" s="111">
        <f t="shared" si="489"/>
        <v>48.221311475409834</v>
      </c>
      <c r="BJ704" s="129">
        <f t="shared" si="495"/>
        <v>0</v>
      </c>
      <c r="BK704" s="129">
        <f t="shared" si="490"/>
        <v>0</v>
      </c>
      <c r="BL704" s="129" t="str">
        <f t="shared" si="517"/>
        <v>CONVICTION</v>
      </c>
      <c r="BM704" s="129" t="str">
        <f t="shared" si="496"/>
        <v>NONE</v>
      </c>
      <c r="BN704" s="129" t="s">
        <v>566</v>
      </c>
      <c r="BP704" s="137" t="str">
        <f t="shared" si="497"/>
        <v>CONVICTION</v>
      </c>
      <c r="BQ704" s="128" t="str">
        <f t="shared" si="498"/>
        <v>Y</v>
      </c>
      <c r="BR704" s="129" t="str">
        <f t="shared" si="499"/>
        <v>DETAINED</v>
      </c>
      <c r="BS704" s="129" t="str">
        <f t="shared" si="500"/>
        <v>DISPOSED</v>
      </c>
      <c r="BT704" s="129" t="str">
        <f t="shared" si="501"/>
        <v>Y</v>
      </c>
      <c r="BU704" s="109">
        <f t="shared" si="502"/>
        <v>0.83333333333333337</v>
      </c>
      <c r="BV704" s="109">
        <f t="shared" si="503"/>
        <v>1</v>
      </c>
      <c r="BW704" s="109">
        <f t="shared" si="523"/>
        <v>0.16666666666666663</v>
      </c>
      <c r="BX704" s="111">
        <f t="shared" si="504"/>
        <v>0</v>
      </c>
      <c r="BY704" s="129">
        <f t="shared" si="505"/>
        <v>-5</v>
      </c>
      <c r="BZ704" s="111">
        <f t="shared" si="506"/>
        <v>0</v>
      </c>
      <c r="CA704" s="138">
        <f t="shared" si="507"/>
        <v>5</v>
      </c>
      <c r="CB704" s="111" t="e">
        <f t="shared" si="528"/>
        <v>#VALUE!</v>
      </c>
      <c r="CC704" s="129">
        <f>G704-I704+1</f>
        <v>5</v>
      </c>
      <c r="CD704" s="129">
        <f>G704-J704</f>
        <v>0</v>
      </c>
      <c r="CE704" s="129">
        <f t="shared" si="508"/>
        <v>0</v>
      </c>
      <c r="CG704" s="129" t="str">
        <f t="shared" si="509"/>
        <v>Y</v>
      </c>
      <c r="CI704" s="129" t="str">
        <f t="shared" si="510"/>
        <v>0-10 DAYS</v>
      </c>
      <c r="CJ704" s="137">
        <f t="shared" si="511"/>
        <v>1</v>
      </c>
      <c r="CK704" s="129" t="str">
        <f t="shared" si="512"/>
        <v>Booked</v>
      </c>
    </row>
    <row r="705" spans="1:89" ht="15.75" customHeight="1" x14ac:dyDescent="0.25">
      <c r="A705" s="111">
        <v>1415</v>
      </c>
      <c r="B705" s="128" t="str">
        <f t="shared" si="491"/>
        <v>N</v>
      </c>
      <c r="C705" s="128" t="str">
        <f t="shared" si="492"/>
        <v>N</v>
      </c>
      <c r="D705" s="117">
        <v>1460756</v>
      </c>
      <c r="E705" s="135">
        <f t="shared" si="493"/>
        <v>5</v>
      </c>
      <c r="F705" s="124">
        <v>40961</v>
      </c>
      <c r="G705" s="125">
        <v>41101</v>
      </c>
      <c r="H705" s="117">
        <v>1460756</v>
      </c>
      <c r="I705" s="124">
        <v>40961</v>
      </c>
      <c r="J705" s="124">
        <v>40967</v>
      </c>
      <c r="K705" s="126">
        <v>15000</v>
      </c>
      <c r="L705" s="127" t="s">
        <v>571</v>
      </c>
      <c r="M705" s="125">
        <v>40967</v>
      </c>
      <c r="N705" s="129" t="str">
        <f t="shared" si="532"/>
        <v>Y</v>
      </c>
      <c r="O705" s="128" t="s">
        <v>585</v>
      </c>
      <c r="P705" s="129" t="s">
        <v>39</v>
      </c>
      <c r="Q705" s="111">
        <f t="shared" si="531"/>
        <v>7</v>
      </c>
      <c r="R705" s="111">
        <f t="shared" si="487"/>
        <v>141</v>
      </c>
      <c r="S705" s="129">
        <v>4</v>
      </c>
      <c r="T705" s="129">
        <v>2</v>
      </c>
      <c r="U705" s="129">
        <v>4</v>
      </c>
      <c r="W705" s="111"/>
      <c r="AC705" s="130"/>
      <c r="AD705" s="130">
        <v>28571</v>
      </c>
      <c r="AE705" s="128" t="s">
        <v>32</v>
      </c>
      <c r="AF705" s="128" t="s">
        <v>33</v>
      </c>
      <c r="AG705" s="128" t="s">
        <v>872</v>
      </c>
      <c r="AH705" s="108" t="s">
        <v>58</v>
      </c>
      <c r="AI705" s="128" t="s">
        <v>90</v>
      </c>
      <c r="AJ705" s="129" t="s">
        <v>89</v>
      </c>
      <c r="AK705" s="129">
        <v>8</v>
      </c>
      <c r="AL705" s="3" t="s">
        <v>992</v>
      </c>
      <c r="AN705" s="117">
        <v>8</v>
      </c>
      <c r="AP705" s="129" t="s">
        <v>43</v>
      </c>
      <c r="AR705" s="128" t="s">
        <v>44</v>
      </c>
      <c r="AS705" s="129" t="s">
        <v>45</v>
      </c>
      <c r="BC705" s="129" t="s">
        <v>52</v>
      </c>
      <c r="BF705" s="111">
        <f t="shared" si="526"/>
        <v>7</v>
      </c>
      <c r="BG705" s="111">
        <f t="shared" si="527"/>
        <v>141</v>
      </c>
      <c r="BH705" s="111">
        <f t="shared" si="488"/>
        <v>141</v>
      </c>
      <c r="BI705" s="111">
        <f t="shared" si="489"/>
        <v>33.852459016393439</v>
      </c>
      <c r="BJ705" s="129">
        <f>(G705-J705)+(M705-G705)</f>
        <v>0</v>
      </c>
      <c r="BK705" s="129">
        <f t="shared" si="490"/>
        <v>-134</v>
      </c>
      <c r="BL705" s="129" t="str">
        <f t="shared" si="517"/>
        <v>CONVICTION</v>
      </c>
      <c r="BM705" s="129" t="s">
        <v>76</v>
      </c>
      <c r="BN705" s="129" t="s">
        <v>88</v>
      </c>
      <c r="BP705" s="137" t="str">
        <f t="shared" si="497"/>
        <v>CONVICTION</v>
      </c>
      <c r="BQ705" s="128" t="str">
        <f t="shared" si="498"/>
        <v>Y</v>
      </c>
      <c r="BR705" s="129" t="str">
        <f>IF(J705&lt;G705,"ON BOND",0)</f>
        <v>ON BOND</v>
      </c>
      <c r="BS705" s="129" t="str">
        <f t="shared" si="500"/>
        <v>DISPOSED</v>
      </c>
      <c r="BT705" s="129" t="str">
        <f t="shared" si="501"/>
        <v>Y</v>
      </c>
      <c r="BU705" s="109">
        <f t="shared" si="502"/>
        <v>4.9645390070921988E-2</v>
      </c>
      <c r="BV705" s="109">
        <f t="shared" si="503"/>
        <v>4.9645390070921988E-2</v>
      </c>
      <c r="BW705" s="109">
        <f t="shared" si="523"/>
        <v>0</v>
      </c>
      <c r="BX705" s="111">
        <f t="shared" si="504"/>
        <v>0</v>
      </c>
      <c r="BY705" s="129">
        <f t="shared" si="505"/>
        <v>-7</v>
      </c>
      <c r="BZ705" s="111">
        <f t="shared" si="506"/>
        <v>0</v>
      </c>
      <c r="CA705" s="138">
        <f t="shared" si="507"/>
        <v>7</v>
      </c>
      <c r="CB705" s="111" t="e">
        <f t="shared" si="528"/>
        <v>#VALUE!</v>
      </c>
      <c r="CC705" s="129">
        <f>M705-I705+1</f>
        <v>7</v>
      </c>
      <c r="CD705" s="111">
        <f>CC705-BF705</f>
        <v>0</v>
      </c>
      <c r="CE705" s="129">
        <f t="shared" si="508"/>
        <v>134</v>
      </c>
      <c r="CG705" s="129" t="str">
        <f t="shared" si="509"/>
        <v>Y</v>
      </c>
      <c r="CI705" s="129" t="str">
        <f t="shared" si="510"/>
        <v>0-10 DAYS</v>
      </c>
      <c r="CJ705" s="137">
        <f t="shared" si="511"/>
        <v>1</v>
      </c>
      <c r="CK705" s="129" t="str">
        <f t="shared" si="512"/>
        <v>Booked</v>
      </c>
    </row>
    <row r="706" spans="1:89" ht="15" customHeight="1" x14ac:dyDescent="0.25">
      <c r="A706" s="111">
        <v>711</v>
      </c>
      <c r="B706" s="128" t="str">
        <f t="shared" si="491"/>
        <v>N</v>
      </c>
      <c r="C706" s="128" t="str">
        <f t="shared" si="492"/>
        <v>N</v>
      </c>
      <c r="D706" s="117">
        <v>1461342</v>
      </c>
      <c r="E706" s="135">
        <f t="shared" si="493"/>
        <v>2</v>
      </c>
      <c r="F706" s="124">
        <v>40936</v>
      </c>
      <c r="G706" s="125">
        <v>41151</v>
      </c>
      <c r="H706" s="117">
        <v>1461342</v>
      </c>
      <c r="I706" s="124">
        <v>40937</v>
      </c>
      <c r="J706" s="124">
        <v>40938</v>
      </c>
      <c r="K706" s="126">
        <v>2000</v>
      </c>
      <c r="L706" s="127" t="s">
        <v>568</v>
      </c>
      <c r="M706" s="125">
        <v>40938</v>
      </c>
      <c r="N706" s="129" t="str">
        <f t="shared" si="532"/>
        <v>Y</v>
      </c>
      <c r="O706" s="128" t="s">
        <v>76</v>
      </c>
      <c r="P706" s="129" t="s">
        <v>589</v>
      </c>
      <c r="Q706" s="111">
        <f t="shared" si="531"/>
        <v>2</v>
      </c>
      <c r="R706" s="111">
        <f t="shared" ref="R706:R769" si="533">BH706</f>
        <v>216</v>
      </c>
      <c r="S706" s="129">
        <v>1</v>
      </c>
      <c r="T706" s="129">
        <v>2</v>
      </c>
      <c r="W706" s="111"/>
      <c r="AC706" s="130"/>
      <c r="AD706" s="130">
        <v>28534</v>
      </c>
      <c r="AE706" s="128" t="s">
        <v>46</v>
      </c>
      <c r="AF706" s="128" t="s">
        <v>33</v>
      </c>
      <c r="AG706" s="128" t="s">
        <v>872</v>
      </c>
      <c r="AH706" s="108" t="s">
        <v>31</v>
      </c>
      <c r="AI706" s="128" t="s">
        <v>62</v>
      </c>
      <c r="AJ706" s="129" t="s">
        <v>48</v>
      </c>
      <c r="AK706" s="129">
        <v>9</v>
      </c>
      <c r="AL706" s="3" t="s">
        <v>48</v>
      </c>
      <c r="AP706" s="129" t="s">
        <v>43</v>
      </c>
      <c r="AR706" s="128" t="s">
        <v>44</v>
      </c>
      <c r="AS706" s="129" t="s">
        <v>45</v>
      </c>
      <c r="BC706" s="129" t="s">
        <v>52</v>
      </c>
      <c r="BF706" s="111">
        <f t="shared" si="526"/>
        <v>2</v>
      </c>
      <c r="BG706" s="111">
        <f t="shared" si="527"/>
        <v>215</v>
      </c>
      <c r="BH706" s="111">
        <f t="shared" ref="BH706:BH769" si="534">IF(G706&gt;1/1/1900,((G706+1)-F706),"STILL OPEN")</f>
        <v>216</v>
      </c>
      <c r="BI706" s="111">
        <f t="shared" ref="BI706:BI769" si="535">(F706-AD706)/366</f>
        <v>33.885245901639344</v>
      </c>
      <c r="BJ706" s="129">
        <f>(G706-J706)+(M706-G706)</f>
        <v>0</v>
      </c>
      <c r="BK706" s="129">
        <f t="shared" ref="BK706:BK769" si="536">J706-G706</f>
        <v>-213</v>
      </c>
      <c r="BL706" s="129" t="str">
        <f t="shared" si="517"/>
        <v>DEFERRED</v>
      </c>
      <c r="BM706" s="129" t="s">
        <v>76</v>
      </c>
      <c r="BN706" s="129" t="s">
        <v>88</v>
      </c>
      <c r="BP706" s="137" t="str">
        <f t="shared" si="497"/>
        <v>DEFERRED</v>
      </c>
      <c r="BQ706" s="128" t="str">
        <f t="shared" si="498"/>
        <v>Y</v>
      </c>
      <c r="BR706" s="129" t="str">
        <f t="shared" si="499"/>
        <v>ON BOND</v>
      </c>
      <c r="BS706" s="129" t="str">
        <f t="shared" si="500"/>
        <v>DISPOSED</v>
      </c>
      <c r="BT706" s="129" t="str">
        <f t="shared" si="501"/>
        <v>Y</v>
      </c>
      <c r="BU706" s="109">
        <f t="shared" si="502"/>
        <v>9.2592592592592587E-3</v>
      </c>
      <c r="BV706" s="109">
        <f t="shared" si="503"/>
        <v>9.3023255813953487E-3</v>
      </c>
      <c r="BW706" s="109">
        <f t="shared" si="523"/>
        <v>4.3066322136089963E-5</v>
      </c>
      <c r="BX706" s="111">
        <f t="shared" si="504"/>
        <v>0</v>
      </c>
      <c r="BY706" s="129">
        <f t="shared" si="505"/>
        <v>-2</v>
      </c>
      <c r="BZ706" s="111">
        <f t="shared" si="506"/>
        <v>0</v>
      </c>
      <c r="CA706" s="138">
        <f t="shared" si="507"/>
        <v>2</v>
      </c>
      <c r="CB706" s="111" t="e">
        <f t="shared" si="528"/>
        <v>#VALUE!</v>
      </c>
      <c r="CC706" s="129">
        <f>M706-I706+1</f>
        <v>2</v>
      </c>
      <c r="CD706" s="111">
        <f>CC706-BF706</f>
        <v>0</v>
      </c>
      <c r="CE706" s="129">
        <f t="shared" si="508"/>
        <v>213</v>
      </c>
      <c r="CG706" s="129" t="str">
        <f t="shared" si="509"/>
        <v>Y</v>
      </c>
      <c r="CI706" s="129" t="str">
        <f t="shared" si="510"/>
        <v>0-10 DAYS</v>
      </c>
      <c r="CJ706" s="137">
        <f t="shared" si="511"/>
        <v>1</v>
      </c>
      <c r="CK706" s="129" t="str">
        <f t="shared" si="512"/>
        <v>Booked</v>
      </c>
    </row>
    <row r="707" spans="1:89" ht="15.75" customHeight="1" x14ac:dyDescent="0.25">
      <c r="A707" s="111">
        <v>805</v>
      </c>
      <c r="B707" s="128" t="str">
        <f t="shared" ref="B707:B770" si="537">IF(BD707&lt;&gt;"","Y","N")</f>
        <v>N</v>
      </c>
      <c r="C707" s="128" t="str">
        <f t="shared" ref="C707:C770" si="538">IF((AND(AV707="",AX707="",AY707="")),"N","Y")</f>
        <v>N</v>
      </c>
      <c r="D707" s="117">
        <v>1461769</v>
      </c>
      <c r="E707" s="135">
        <f t="shared" ref="E707:E770" si="539">IF(OR(AL707="ACQUITTAL",AL707="ACQUIT",AL707="acq insane",AL707="DISMISSED",AL707="NO BILL"),1,IF(AL707="DEFERRED",2,IF(AL707="PROBATION",3,IF(OR(AL707="HCJ",AL707="fine"),4,IF(AL707="STJ",5,IF(AL707="TDC",6,""))))))</f>
        <v>4</v>
      </c>
      <c r="F707" s="124">
        <v>40939</v>
      </c>
      <c r="G707" s="125">
        <v>41208</v>
      </c>
      <c r="H707" s="117">
        <v>1461769</v>
      </c>
      <c r="I707" s="124" t="s">
        <v>562</v>
      </c>
      <c r="J707" s="124" t="s">
        <v>562</v>
      </c>
      <c r="K707" s="126">
        <v>5000</v>
      </c>
      <c r="L707" s="127" t="s">
        <v>569</v>
      </c>
      <c r="M707" s="125">
        <v>40941</v>
      </c>
      <c r="N707" s="129" t="str">
        <f>IF(M707&gt;1/1/1,"Y",IF(Q707="0","","N"))</f>
        <v>Y</v>
      </c>
      <c r="O707" s="128" t="s">
        <v>76</v>
      </c>
      <c r="P707" s="129" t="s">
        <v>39</v>
      </c>
      <c r="Q707" s="111">
        <f t="shared" si="531"/>
        <v>0</v>
      </c>
      <c r="R707" s="111">
        <f t="shared" si="533"/>
        <v>270</v>
      </c>
      <c r="S707" s="129">
        <v>1</v>
      </c>
      <c r="T707" s="129">
        <v>3</v>
      </c>
      <c r="V707" s="117">
        <v>1</v>
      </c>
      <c r="W707" s="111"/>
      <c r="AC707" s="130"/>
      <c r="AD707" s="130">
        <v>27729</v>
      </c>
      <c r="AE707" s="128" t="s">
        <v>46</v>
      </c>
      <c r="AF707" s="128" t="s">
        <v>33</v>
      </c>
      <c r="AG707" s="128" t="s">
        <v>872</v>
      </c>
      <c r="AH707" s="108" t="s">
        <v>58</v>
      </c>
      <c r="AI707" s="128" t="s">
        <v>141</v>
      </c>
      <c r="AJ707" s="129" t="s">
        <v>89</v>
      </c>
      <c r="AK707" s="129">
        <v>9</v>
      </c>
      <c r="AL707" s="3" t="s">
        <v>991</v>
      </c>
      <c r="AO707" s="128">
        <v>180</v>
      </c>
      <c r="AP707" s="129" t="s">
        <v>98</v>
      </c>
      <c r="AR707" s="128" t="s">
        <v>44</v>
      </c>
      <c r="AS707" s="129" t="s">
        <v>64</v>
      </c>
      <c r="BC707" s="129" t="s">
        <v>52</v>
      </c>
      <c r="BF707" s="111">
        <v>0</v>
      </c>
      <c r="BG707" s="111">
        <v>0</v>
      </c>
      <c r="BH707" s="111">
        <f t="shared" si="534"/>
        <v>270</v>
      </c>
      <c r="BI707" s="111">
        <f t="shared" si="535"/>
        <v>36.092896174863391</v>
      </c>
      <c r="BJ707" s="129" t="e">
        <f>(G707-J707)+(M707-G707)</f>
        <v>#VALUE!</v>
      </c>
      <c r="BK707" s="129" t="e">
        <f t="shared" si="536"/>
        <v>#VALUE!</v>
      </c>
      <c r="BL707" s="129" t="str">
        <f t="shared" si="517"/>
        <v>CONVICTION</v>
      </c>
      <c r="BM707" s="129" t="s">
        <v>76</v>
      </c>
      <c r="BN707" s="129" t="s">
        <v>88</v>
      </c>
      <c r="BP707" s="137" t="str">
        <f t="shared" ref="BP707:BP770" si="540">IF(OR(AJ707="AQUITTAL",AJ707="DISMISSED",AJ707="FINE",AJ707="NO BILL"),"NO CONVICTION",IF(OR(AJ707="HCJ",AJ707="MHH",AJ707="PROBATION",AJ707="STJ",AJ707="TDC",AJ707="CONVICTED"),"CONVICTION",IF(AJ707="DEFERRED","DEFERRED","")))</f>
        <v>CONVICTION</v>
      </c>
      <c r="BQ707" s="128">
        <f t="shared" ref="BQ707:BQ770" si="541">IF(BF707&gt;0,"Y",BF707)</f>
        <v>0</v>
      </c>
      <c r="BR707" s="129" t="s">
        <v>575</v>
      </c>
      <c r="BS707" s="129" t="str">
        <f t="shared" ref="BS707:BS770" si="542">IF(G707&lt;&gt;"","DISPOSED","")</f>
        <v>DISPOSED</v>
      </c>
      <c r="BT707" s="129" t="str">
        <f t="shared" ref="BT707:BT770" si="543">IF(S707&gt;0,"Y","N")</f>
        <v>Y</v>
      </c>
      <c r="BU707" s="109">
        <f t="shared" ref="BU707:BU770" si="544">Q707/R707</f>
        <v>0</v>
      </c>
      <c r="BV707" s="109">
        <v>0</v>
      </c>
      <c r="BW707" s="109">
        <f t="shared" si="523"/>
        <v>0</v>
      </c>
      <c r="BX707" s="111">
        <f t="shared" ref="BX707:BX770" si="545">+Q707-BF707</f>
        <v>0</v>
      </c>
      <c r="BY707" s="129" t="e">
        <f t="shared" ref="BY707:BY770" si="546">I707-J707-1</f>
        <v>#VALUE!</v>
      </c>
      <c r="BZ707" s="111" t="e">
        <f t="shared" ref="BZ707:BZ770" si="547">BY707+BF707</f>
        <v>#VALUE!</v>
      </c>
      <c r="CA707" s="138" t="e">
        <f t="shared" ref="CA707:CA770" si="548">IF(AND(BS707="DISPOSED",BR707="DETAINED"),G707-I707+1,IF(AND(BS707="DISPOSED",BR707="ON BOND"),M707-I707+1,IF(AND(BS707="STILL OPEN","STILL OPEN"),"NOT BOOKED")))</f>
        <v>#VALUE!</v>
      </c>
      <c r="CB707" s="111">
        <v>0</v>
      </c>
      <c r="CC707" s="129">
        <v>0</v>
      </c>
      <c r="CD707" s="111">
        <f>CC707-BF707</f>
        <v>0</v>
      </c>
      <c r="CE707" s="129" t="e">
        <f t="shared" ref="CE707:CE770" si="549">G707-J707</f>
        <v>#VALUE!</v>
      </c>
      <c r="CG707" s="129" t="str">
        <f t="shared" ref="CG707:CG770" si="550">IF((S707+T707+U707)&gt;0,"Y","N")</f>
        <v>Y</v>
      </c>
      <c r="CI707" s="129" t="str">
        <f t="shared" ref="CI707:CI770" si="551">IF(BF707&lt;11,"0-10 DAYS",IF(AND(BF707&gt;10,BF707&lt;31),"11-30 DAYS",IF((AND(BF707&gt;30,BF707&lt;61)),"31-60 DAYS",IF(AND(BF707&gt;60,BF707&lt;91),"61-90 DAYS",IF(AND(BF707&gt;90,BF707&lt;121),"91-120 DAYS",IF(AND(BF707&gt;120,BF707&lt;366),"121-365 DAYS",IF(AND(BF707&gt;365,BF707&lt;730)," &gt;1YRS&lt;2YRS",IF(AND(BF707&gt;729,BF707&lt;1095),"&gt;2YRS&lt;3YRS",IF(BF707&gt;1094,"&gt;3YRS")))))))))</f>
        <v>0-10 DAYS</v>
      </c>
      <c r="CJ707" s="137">
        <f t="shared" ref="CJ707:CJ770" si="552">IF(CI707="0-10 DAYS",1,IF(CI707="11-30 DAYS",2,IF(CI707="31-60 DAYS",3,IF(CI707="61-90 DAYS",4,IF(CK707="91-120 DAYS",5,IF(CI707="121-365 DAYS",6,IF(CI707="&gt;1YRS&lt;2YRS",7,IF(CI707="&gt;2YRS&lt;3YRS",8,IF(CI707="&gt;3YRS",9,0)))))))))</f>
        <v>1</v>
      </c>
      <c r="CK707" s="129" t="str">
        <f t="shared" ref="CK707:CK770" si="553">IF(I707="Not Booked","Not Booked","Booked")</f>
        <v>Not Booked</v>
      </c>
    </row>
    <row r="708" spans="1:89" ht="15" customHeight="1" x14ac:dyDescent="0.25">
      <c r="A708" s="111">
        <v>2189</v>
      </c>
      <c r="B708" s="128" t="str">
        <f t="shared" si="537"/>
        <v>N</v>
      </c>
      <c r="C708" s="128" t="str">
        <f t="shared" si="538"/>
        <v>N</v>
      </c>
      <c r="D708" s="117">
        <v>1463654</v>
      </c>
      <c r="E708" s="135">
        <f t="shared" si="539"/>
        <v>6</v>
      </c>
      <c r="F708" s="124">
        <v>40990</v>
      </c>
      <c r="G708" s="125">
        <v>41205</v>
      </c>
      <c r="H708" s="117">
        <v>1463654</v>
      </c>
      <c r="I708" s="124">
        <v>40991</v>
      </c>
      <c r="J708" s="125">
        <v>41205</v>
      </c>
      <c r="K708" s="126" t="s">
        <v>564</v>
      </c>
      <c r="L708" s="127" t="s">
        <v>564</v>
      </c>
      <c r="N708" s="129" t="s">
        <v>566</v>
      </c>
      <c r="O708" s="128" t="s">
        <v>917</v>
      </c>
      <c r="P708" s="129" t="s">
        <v>39</v>
      </c>
      <c r="Q708" s="111">
        <f t="shared" si="531"/>
        <v>215</v>
      </c>
      <c r="R708" s="111">
        <f t="shared" si="533"/>
        <v>216</v>
      </c>
      <c r="S708" s="129">
        <v>1</v>
      </c>
      <c r="T708" s="129">
        <v>2</v>
      </c>
      <c r="U708" s="129">
        <v>1</v>
      </c>
      <c r="W708" s="111"/>
      <c r="AC708" s="130"/>
      <c r="AD708" s="130">
        <v>27409</v>
      </c>
      <c r="AE708" s="128" t="s">
        <v>32</v>
      </c>
      <c r="AF708" s="128" t="s">
        <v>33</v>
      </c>
      <c r="AG708" s="128" t="s">
        <v>872</v>
      </c>
      <c r="AH708" s="108" t="s">
        <v>58</v>
      </c>
      <c r="AI708" s="128" t="s">
        <v>95</v>
      </c>
      <c r="AJ708" s="129" t="s">
        <v>89</v>
      </c>
      <c r="AK708" s="129">
        <v>14</v>
      </c>
      <c r="AL708" s="3" t="s">
        <v>362</v>
      </c>
      <c r="AM708" s="117">
        <v>8</v>
      </c>
      <c r="AP708" s="129" t="s">
        <v>132</v>
      </c>
      <c r="AR708" s="128" t="s">
        <v>92</v>
      </c>
      <c r="AS708" s="129" t="s">
        <v>82</v>
      </c>
      <c r="BC708" s="129" t="s">
        <v>52</v>
      </c>
      <c r="BF708" s="111">
        <f>IF(J708&gt;1/1/1900,((J708+1)-I708),"STILL OPEN")</f>
        <v>215</v>
      </c>
      <c r="BG708" s="111">
        <f>IF(G708&gt;1/1/1900,((G708+1)-I708),"STILL OPEN")</f>
        <v>215</v>
      </c>
      <c r="BH708" s="111">
        <f t="shared" si="534"/>
        <v>216</v>
      </c>
      <c r="BI708" s="111">
        <f t="shared" si="535"/>
        <v>37.106557377049178</v>
      </c>
      <c r="BJ708" s="129">
        <f t="shared" ref="BJ708:BJ769" si="554">G708-J708-M708</f>
        <v>0</v>
      </c>
      <c r="BK708" s="129">
        <f t="shared" si="536"/>
        <v>0</v>
      </c>
      <c r="BL708" s="129" t="str">
        <f t="shared" si="517"/>
        <v>CONVICTION</v>
      </c>
      <c r="BM708" s="129" t="str">
        <f t="shared" ref="BM708:BM769" si="555">O708</f>
        <v>NONE</v>
      </c>
      <c r="BN708" s="129" t="s">
        <v>566</v>
      </c>
      <c r="BP708" s="137" t="str">
        <f t="shared" si="540"/>
        <v>CONVICTION</v>
      </c>
      <c r="BQ708" s="128" t="str">
        <f t="shared" si="541"/>
        <v>Y</v>
      </c>
      <c r="BR708" s="129" t="str">
        <f t="shared" ref="BR708:BR770" si="556">IF(AND(J708="NOT BOOKED",M708&gt;1/1/1),"BONDED - BEFORE BOOKED",IF(BG708="STILL OPEN","STILL OPEN",IF(N708="Y","ON BOND",IF(J708&gt;=G708,"DETAINED","RELEASED"))))</f>
        <v>DETAINED</v>
      </c>
      <c r="BS708" s="129" t="str">
        <f t="shared" si="542"/>
        <v>DISPOSED</v>
      </c>
      <c r="BT708" s="129" t="str">
        <f t="shared" si="543"/>
        <v>Y</v>
      </c>
      <c r="BU708" s="109">
        <f t="shared" si="544"/>
        <v>0.99537037037037035</v>
      </c>
      <c r="BV708" s="109">
        <f t="shared" ref="BV708:BV770" si="557">IF(I708&gt;F708,((J708-I708+1)/(G708-I708+1)),(J708-I708+1)/(G708-F708+1))</f>
        <v>1</v>
      </c>
      <c r="BW708" s="109">
        <f t="shared" si="523"/>
        <v>4.6296296296296502E-3</v>
      </c>
      <c r="BX708" s="111">
        <f t="shared" si="545"/>
        <v>0</v>
      </c>
      <c r="BY708" s="129">
        <f t="shared" si="546"/>
        <v>-215</v>
      </c>
      <c r="BZ708" s="111">
        <f t="shared" si="547"/>
        <v>0</v>
      </c>
      <c r="CA708" s="138">
        <f t="shared" si="548"/>
        <v>215</v>
      </c>
      <c r="CB708" s="111" t="e">
        <f>IF(AF708&gt;1/1/1900,((AF708+1)-AE708),"STILL OPEN")</f>
        <v>#VALUE!</v>
      </c>
      <c r="CC708" s="129">
        <f>G708-I708+1</f>
        <v>215</v>
      </c>
      <c r="CD708" s="129">
        <f>G708-J708</f>
        <v>0</v>
      </c>
      <c r="CE708" s="129">
        <f t="shared" si="549"/>
        <v>0</v>
      </c>
      <c r="CG708" s="129" t="str">
        <f t="shared" si="550"/>
        <v>Y</v>
      </c>
      <c r="CI708" s="129" t="str">
        <f t="shared" si="551"/>
        <v>121-365 DAYS</v>
      </c>
      <c r="CJ708" s="137">
        <f t="shared" si="552"/>
        <v>6</v>
      </c>
      <c r="CK708" s="129" t="str">
        <f t="shared" si="553"/>
        <v>Booked</v>
      </c>
    </row>
    <row r="709" spans="1:89" ht="15.75" customHeight="1" x14ac:dyDescent="0.25">
      <c r="A709" s="111">
        <v>1616</v>
      </c>
      <c r="B709" s="128" t="str">
        <f t="shared" si="537"/>
        <v>Y</v>
      </c>
      <c r="C709" s="128" t="str">
        <f t="shared" si="538"/>
        <v>Y</v>
      </c>
      <c r="D709" s="117">
        <v>1464143</v>
      </c>
      <c r="E709" s="135">
        <f t="shared" si="539"/>
        <v>1</v>
      </c>
      <c r="F709" s="124">
        <v>40968</v>
      </c>
      <c r="G709" s="125">
        <v>41586</v>
      </c>
      <c r="H709" s="117">
        <v>1464143</v>
      </c>
      <c r="I709" s="124">
        <v>40969</v>
      </c>
      <c r="J709" s="124">
        <v>41100</v>
      </c>
      <c r="K709" s="126">
        <v>150000</v>
      </c>
      <c r="L709" s="129" t="s">
        <v>572</v>
      </c>
      <c r="M709" s="125">
        <v>41100</v>
      </c>
      <c r="N709" s="129" t="str">
        <f>IF(M709&gt;1/1/1,"Y","N")</f>
        <v>Y</v>
      </c>
      <c r="O709" s="128" t="s">
        <v>76</v>
      </c>
      <c r="P709" s="129" t="s">
        <v>55</v>
      </c>
      <c r="Q709" s="111">
        <v>330</v>
      </c>
      <c r="R709" s="111">
        <f t="shared" si="533"/>
        <v>619</v>
      </c>
      <c r="S709" s="129">
        <v>1</v>
      </c>
      <c r="T709" s="129">
        <v>7</v>
      </c>
      <c r="U709" s="129">
        <v>1</v>
      </c>
      <c r="W709" s="111"/>
      <c r="AC709" s="130"/>
      <c r="AD709" s="130">
        <v>28490</v>
      </c>
      <c r="AE709" s="128" t="s">
        <v>32</v>
      </c>
      <c r="AF709" s="128" t="s">
        <v>33</v>
      </c>
      <c r="AG709" s="128" t="s">
        <v>872</v>
      </c>
      <c r="AH709" s="108" t="s">
        <v>58</v>
      </c>
      <c r="AI709" s="128" t="s">
        <v>95</v>
      </c>
      <c r="AJ709" s="129" t="s">
        <v>89</v>
      </c>
      <c r="AK709" s="129">
        <v>23</v>
      </c>
      <c r="AL709" s="3" t="s">
        <v>55</v>
      </c>
      <c r="AP709" s="129" t="s">
        <v>136</v>
      </c>
      <c r="AR709" s="128" t="s">
        <v>67</v>
      </c>
      <c r="AS709" s="129" t="s">
        <v>82</v>
      </c>
      <c r="AT709" s="129" t="s">
        <v>1153</v>
      </c>
      <c r="AU709" s="121">
        <v>41387</v>
      </c>
      <c r="AX709" s="129" t="s">
        <v>88</v>
      </c>
      <c r="BC709" s="129" t="s">
        <v>99</v>
      </c>
      <c r="BD709" s="129" t="s">
        <v>1154</v>
      </c>
      <c r="BF709" s="111">
        <v>330</v>
      </c>
      <c r="BG709" s="111">
        <f>IF(G709&gt;1/1/1900,((G709+1)-I709),"STILL OPEN")</f>
        <v>618</v>
      </c>
      <c r="BH709" s="111">
        <f t="shared" si="534"/>
        <v>619</v>
      </c>
      <c r="BI709" s="111">
        <f t="shared" si="535"/>
        <v>34.092896174863391</v>
      </c>
      <c r="BJ709" s="129">
        <f>(G709-J709)+(M709-G709)</f>
        <v>0</v>
      </c>
      <c r="BK709" s="129">
        <f t="shared" si="536"/>
        <v>-486</v>
      </c>
      <c r="BL709" s="129" t="str">
        <f t="shared" si="517"/>
        <v>NO CONVICTION</v>
      </c>
      <c r="BM709" s="129" t="s">
        <v>76</v>
      </c>
      <c r="BN709" s="129" t="s">
        <v>566</v>
      </c>
      <c r="BP709" s="137" t="str">
        <f t="shared" si="540"/>
        <v>CONVICTION</v>
      </c>
      <c r="BQ709" s="128" t="str">
        <f t="shared" si="541"/>
        <v>Y</v>
      </c>
      <c r="BR709" s="129" t="str">
        <f t="shared" si="556"/>
        <v>ON BOND</v>
      </c>
      <c r="BS709" s="129" t="str">
        <f t="shared" si="542"/>
        <v>DISPOSED</v>
      </c>
      <c r="BT709" s="129" t="str">
        <f t="shared" si="543"/>
        <v>Y</v>
      </c>
      <c r="BU709" s="109">
        <f t="shared" si="544"/>
        <v>0.53311793214862679</v>
      </c>
      <c r="BV709" s="109">
        <f t="shared" si="557"/>
        <v>0.21359223300970873</v>
      </c>
      <c r="BW709" s="109">
        <f t="shared" si="523"/>
        <v>-0.31952569913891804</v>
      </c>
      <c r="BX709" s="111">
        <f t="shared" si="545"/>
        <v>0</v>
      </c>
      <c r="BY709" s="129">
        <f t="shared" si="546"/>
        <v>-132</v>
      </c>
      <c r="BZ709" s="111">
        <f t="shared" si="547"/>
        <v>198</v>
      </c>
      <c r="CA709" s="138">
        <f t="shared" si="548"/>
        <v>132</v>
      </c>
      <c r="CB709" s="111">
        <v>330</v>
      </c>
      <c r="CD709" s="129">
        <f>G709-J709</f>
        <v>486</v>
      </c>
      <c r="CE709" s="129">
        <f t="shared" si="549"/>
        <v>486</v>
      </c>
      <c r="CG709" s="129" t="str">
        <f t="shared" si="550"/>
        <v>Y</v>
      </c>
      <c r="CI709" s="129" t="str">
        <f t="shared" si="551"/>
        <v>121-365 DAYS</v>
      </c>
      <c r="CJ709" s="137">
        <f t="shared" si="552"/>
        <v>6</v>
      </c>
      <c r="CK709" s="129" t="str">
        <f t="shared" si="553"/>
        <v>Booked</v>
      </c>
    </row>
    <row r="710" spans="1:89" ht="15" customHeight="1" x14ac:dyDescent="0.25">
      <c r="A710" s="111">
        <v>1394</v>
      </c>
      <c r="B710" s="128" t="str">
        <f t="shared" si="537"/>
        <v>N</v>
      </c>
      <c r="C710" s="128" t="str">
        <f t="shared" si="538"/>
        <v>N</v>
      </c>
      <c r="D710" s="117">
        <v>1464234</v>
      </c>
      <c r="E710" s="135">
        <f t="shared" si="539"/>
        <v>2</v>
      </c>
      <c r="F710" s="124">
        <v>40960</v>
      </c>
      <c r="G710" s="125">
        <v>41228</v>
      </c>
      <c r="H710" s="117">
        <v>1464234</v>
      </c>
      <c r="I710" s="124" t="s">
        <v>562</v>
      </c>
      <c r="J710" s="124" t="s">
        <v>562</v>
      </c>
      <c r="K710" s="126">
        <v>4000</v>
      </c>
      <c r="L710" s="127" t="s">
        <v>569</v>
      </c>
      <c r="M710" s="125">
        <v>40968</v>
      </c>
      <c r="N710" s="129" t="str">
        <f>IF(M710&gt;1/1/1,"Y",IF(Q710="0","","N"))</f>
        <v>Y</v>
      </c>
      <c r="O710" s="128" t="s">
        <v>76</v>
      </c>
      <c r="P710" s="129" t="s">
        <v>589</v>
      </c>
      <c r="Q710" s="111">
        <f t="shared" ref="Q710:Q741" si="558">BF710</f>
        <v>0</v>
      </c>
      <c r="R710" s="111">
        <f t="shared" si="533"/>
        <v>269</v>
      </c>
      <c r="S710" s="129">
        <v>0</v>
      </c>
      <c r="T710" s="129">
        <v>0</v>
      </c>
      <c r="W710" s="111"/>
      <c r="AC710" s="130"/>
      <c r="AD710" s="130">
        <v>26891</v>
      </c>
      <c r="AE710" s="128" t="s">
        <v>32</v>
      </c>
      <c r="AF710" s="128" t="s">
        <v>69</v>
      </c>
      <c r="AG710" s="128" t="s">
        <v>874</v>
      </c>
      <c r="AH710" s="108" t="s">
        <v>31</v>
      </c>
      <c r="AI710" s="128" t="s">
        <v>62</v>
      </c>
      <c r="AJ710" s="129" t="s">
        <v>48</v>
      </c>
      <c r="AK710" s="129">
        <v>10</v>
      </c>
      <c r="AL710" s="3" t="s">
        <v>48</v>
      </c>
      <c r="AP710" s="129" t="s">
        <v>104</v>
      </c>
      <c r="AR710" s="128" t="s">
        <v>44</v>
      </c>
      <c r="AS710" s="129" t="s">
        <v>64</v>
      </c>
      <c r="BC710" s="129" t="s">
        <v>52</v>
      </c>
      <c r="BF710" s="111">
        <v>0</v>
      </c>
      <c r="BG710" s="111">
        <v>0</v>
      </c>
      <c r="BH710" s="111">
        <f t="shared" si="534"/>
        <v>269</v>
      </c>
      <c r="BI710" s="111">
        <f t="shared" si="535"/>
        <v>38.439890710382514</v>
      </c>
      <c r="BJ710" s="129" t="e">
        <f>(G710-J710)+(M710-G710)</f>
        <v>#VALUE!</v>
      </c>
      <c r="BK710" s="129" t="e">
        <f t="shared" si="536"/>
        <v>#VALUE!</v>
      </c>
      <c r="BL710" s="129" t="str">
        <f t="shared" si="517"/>
        <v>DEFERRED</v>
      </c>
      <c r="BM710" s="129" t="s">
        <v>76</v>
      </c>
      <c r="BN710" s="129" t="s">
        <v>88</v>
      </c>
      <c r="BP710" s="137" t="str">
        <f t="shared" si="540"/>
        <v>DEFERRED</v>
      </c>
      <c r="BQ710" s="128">
        <f t="shared" si="541"/>
        <v>0</v>
      </c>
      <c r="BR710" s="129" t="s">
        <v>575</v>
      </c>
      <c r="BS710" s="129" t="str">
        <f t="shared" si="542"/>
        <v>DISPOSED</v>
      </c>
      <c r="BT710" s="129" t="str">
        <f t="shared" si="543"/>
        <v>N</v>
      </c>
      <c r="BU710" s="109">
        <f t="shared" si="544"/>
        <v>0</v>
      </c>
      <c r="BV710" s="109">
        <v>0</v>
      </c>
      <c r="BW710" s="109">
        <f t="shared" si="523"/>
        <v>0</v>
      </c>
      <c r="BX710" s="111">
        <f t="shared" si="545"/>
        <v>0</v>
      </c>
      <c r="BY710" s="129" t="e">
        <f t="shared" si="546"/>
        <v>#VALUE!</v>
      </c>
      <c r="BZ710" s="111" t="e">
        <f t="shared" si="547"/>
        <v>#VALUE!</v>
      </c>
      <c r="CA710" s="138" t="e">
        <f t="shared" si="548"/>
        <v>#VALUE!</v>
      </c>
      <c r="CB710" s="111">
        <v>0</v>
      </c>
      <c r="CC710" s="129">
        <v>0</v>
      </c>
      <c r="CD710" s="111">
        <f>CC710-BF710</f>
        <v>0</v>
      </c>
      <c r="CE710" s="129" t="e">
        <f t="shared" si="549"/>
        <v>#VALUE!</v>
      </c>
      <c r="CG710" s="129" t="str">
        <f t="shared" si="550"/>
        <v>N</v>
      </c>
      <c r="CI710" s="129" t="str">
        <f t="shared" si="551"/>
        <v>0-10 DAYS</v>
      </c>
      <c r="CJ710" s="137">
        <f t="shared" si="552"/>
        <v>1</v>
      </c>
      <c r="CK710" s="129" t="str">
        <f t="shared" si="553"/>
        <v>Not Booked</v>
      </c>
    </row>
    <row r="711" spans="1:89" ht="15" customHeight="1" x14ac:dyDescent="0.25">
      <c r="A711" s="111">
        <v>1570</v>
      </c>
      <c r="B711" s="128" t="str">
        <f t="shared" si="537"/>
        <v>N</v>
      </c>
      <c r="C711" s="128" t="str">
        <f t="shared" si="538"/>
        <v>N</v>
      </c>
      <c r="D711" s="117">
        <v>1465117</v>
      </c>
      <c r="E711" s="135">
        <f t="shared" si="539"/>
        <v>1</v>
      </c>
      <c r="F711" s="124">
        <v>40967</v>
      </c>
      <c r="G711" s="125">
        <v>41010</v>
      </c>
      <c r="H711" s="117">
        <v>1465117</v>
      </c>
      <c r="I711" s="124">
        <v>40967</v>
      </c>
      <c r="J711" s="124">
        <v>40971</v>
      </c>
      <c r="K711" s="126">
        <v>15000</v>
      </c>
      <c r="L711" s="127" t="s">
        <v>571</v>
      </c>
      <c r="M711" s="125">
        <v>40971</v>
      </c>
      <c r="N711" s="129" t="str">
        <f t="shared" ref="N711:N716" si="559">IF(M711&gt;1/1/1,"Y","N")</f>
        <v>Y</v>
      </c>
      <c r="O711" s="128" t="s">
        <v>76</v>
      </c>
      <c r="P711" s="129" t="s">
        <v>55</v>
      </c>
      <c r="Q711" s="111">
        <f t="shared" si="558"/>
        <v>5</v>
      </c>
      <c r="R711" s="111">
        <f t="shared" si="533"/>
        <v>44</v>
      </c>
      <c r="S711" s="129">
        <v>12</v>
      </c>
      <c r="T711" s="129">
        <v>5</v>
      </c>
      <c r="W711" s="111"/>
      <c r="AC711" s="130"/>
      <c r="AD711" s="130">
        <v>28530</v>
      </c>
      <c r="AE711" s="128" t="s">
        <v>32</v>
      </c>
      <c r="AF711" s="128" t="s">
        <v>69</v>
      </c>
      <c r="AG711" s="128" t="s">
        <v>874</v>
      </c>
      <c r="AH711" s="108" t="s">
        <v>58</v>
      </c>
      <c r="AI711" s="128" t="s">
        <v>71</v>
      </c>
      <c r="AJ711" s="129" t="s">
        <v>55</v>
      </c>
      <c r="AK711" s="129">
        <v>4</v>
      </c>
      <c r="AL711" s="3" t="s">
        <v>55</v>
      </c>
      <c r="AP711" s="129" t="s">
        <v>43</v>
      </c>
      <c r="AR711" s="128" t="s">
        <v>44</v>
      </c>
      <c r="AS711" s="129" t="s">
        <v>45</v>
      </c>
      <c r="AT711" s="129" t="s">
        <v>348</v>
      </c>
      <c r="BC711" s="129" t="s">
        <v>38</v>
      </c>
      <c r="BF711" s="111">
        <f t="shared" ref="BF711:BF720" si="560">IF(J711&gt;1/1/1900,((J711+1)-I711),"STILL OPEN")</f>
        <v>5</v>
      </c>
      <c r="BG711" s="111">
        <f t="shared" ref="BG711:BG736" si="561">IF(G711&gt;1/1/1900,((G711+1)-I711),"STILL OPEN")</f>
        <v>44</v>
      </c>
      <c r="BH711" s="111">
        <f t="shared" si="534"/>
        <v>44</v>
      </c>
      <c r="BI711" s="111">
        <f t="shared" si="535"/>
        <v>33.980874316939889</v>
      </c>
      <c r="BJ711" s="129">
        <f>(G711-J711)+(M711-G711)</f>
        <v>0</v>
      </c>
      <c r="BK711" s="129">
        <f t="shared" si="536"/>
        <v>-39</v>
      </c>
      <c r="BL711" s="129" t="str">
        <f t="shared" si="517"/>
        <v>NO CONVICTION</v>
      </c>
      <c r="BM711" s="129" t="s">
        <v>76</v>
      </c>
      <c r="BN711" s="129" t="s">
        <v>88</v>
      </c>
      <c r="BP711" s="137" t="str">
        <f t="shared" si="540"/>
        <v>NO CONVICTION</v>
      </c>
      <c r="BQ711" s="128" t="str">
        <f t="shared" si="541"/>
        <v>Y</v>
      </c>
      <c r="BR711" s="129" t="str">
        <f t="shared" si="556"/>
        <v>ON BOND</v>
      </c>
      <c r="BS711" s="129" t="str">
        <f t="shared" si="542"/>
        <v>DISPOSED</v>
      </c>
      <c r="BT711" s="129" t="str">
        <f t="shared" si="543"/>
        <v>Y</v>
      </c>
      <c r="BU711" s="109">
        <f>IFERROR(Q711/R711,BR711)</f>
        <v>0.11363636363636363</v>
      </c>
      <c r="BV711" s="109">
        <f t="shared" si="557"/>
        <v>0.11363636363636363</v>
      </c>
      <c r="BW711" s="109">
        <f t="shared" si="523"/>
        <v>0</v>
      </c>
      <c r="BX711" s="111">
        <f t="shared" si="545"/>
        <v>0</v>
      </c>
      <c r="BY711" s="129">
        <f t="shared" si="546"/>
        <v>-5</v>
      </c>
      <c r="BZ711" s="111">
        <f t="shared" si="547"/>
        <v>0</v>
      </c>
      <c r="CA711" s="138">
        <f t="shared" si="548"/>
        <v>5</v>
      </c>
      <c r="CB711" s="111" t="e">
        <f t="shared" ref="CB711:CB720" si="562">IF(AF711&gt;1/1/1900,((AF711+1)-AE711),"STILL OPEN")</f>
        <v>#VALUE!</v>
      </c>
      <c r="CC711" s="129">
        <f>M711-I711+1</f>
        <v>5</v>
      </c>
      <c r="CD711" s="111">
        <f>CC711-BF711</f>
        <v>0</v>
      </c>
      <c r="CE711" s="129">
        <f t="shared" si="549"/>
        <v>39</v>
      </c>
      <c r="CG711" s="129" t="str">
        <f t="shared" si="550"/>
        <v>Y</v>
      </c>
      <c r="CI711" s="129" t="str">
        <f t="shared" si="551"/>
        <v>0-10 DAYS</v>
      </c>
      <c r="CJ711" s="137">
        <f t="shared" si="552"/>
        <v>1</v>
      </c>
      <c r="CK711" s="129" t="str">
        <f t="shared" si="553"/>
        <v>Booked</v>
      </c>
    </row>
    <row r="712" spans="1:89" ht="15" customHeight="1" x14ac:dyDescent="0.25">
      <c r="A712" s="111">
        <v>877</v>
      </c>
      <c r="B712" s="128" t="str">
        <f t="shared" si="537"/>
        <v>N</v>
      </c>
      <c r="C712" s="128" t="str">
        <f t="shared" si="538"/>
        <v>Y</v>
      </c>
      <c r="D712" s="117">
        <v>1465792</v>
      </c>
      <c r="E712" s="135">
        <f t="shared" si="539"/>
        <v>4</v>
      </c>
      <c r="F712" s="124">
        <v>40941</v>
      </c>
      <c r="G712" s="125">
        <v>41179</v>
      </c>
      <c r="H712" s="117">
        <v>1465792</v>
      </c>
      <c r="I712" s="124">
        <v>40997</v>
      </c>
      <c r="J712" s="124">
        <v>40999</v>
      </c>
      <c r="K712" s="126">
        <v>5000</v>
      </c>
      <c r="L712" s="127" t="s">
        <v>569</v>
      </c>
      <c r="M712" s="125">
        <v>40999</v>
      </c>
      <c r="N712" s="129" t="str">
        <f t="shared" si="559"/>
        <v>Y</v>
      </c>
      <c r="O712" s="128" t="s">
        <v>76</v>
      </c>
      <c r="P712" s="129" t="s">
        <v>39</v>
      </c>
      <c r="Q712" s="111">
        <v>51</v>
      </c>
      <c r="R712" s="111">
        <f t="shared" si="533"/>
        <v>239</v>
      </c>
      <c r="S712" s="129">
        <v>1</v>
      </c>
      <c r="T712" s="129">
        <v>5</v>
      </c>
      <c r="W712" s="111"/>
      <c r="AC712" s="130"/>
      <c r="AD712" s="130">
        <v>27505</v>
      </c>
      <c r="AE712" s="128" t="s">
        <v>32</v>
      </c>
      <c r="AF712" s="128" t="s">
        <v>69</v>
      </c>
      <c r="AG712" s="128" t="s">
        <v>874</v>
      </c>
      <c r="AH712" s="108" t="s">
        <v>58</v>
      </c>
      <c r="AI712" s="128" t="s">
        <v>65</v>
      </c>
      <c r="AJ712" s="129" t="s">
        <v>89</v>
      </c>
      <c r="AK712" s="129">
        <v>8</v>
      </c>
      <c r="AL712" s="3" t="s">
        <v>991</v>
      </c>
      <c r="AO712" s="128">
        <v>365</v>
      </c>
      <c r="AP712" s="129" t="s">
        <v>60</v>
      </c>
      <c r="AR712" s="128" t="s">
        <v>44</v>
      </c>
      <c r="AS712" s="129" t="s">
        <v>61</v>
      </c>
      <c r="AU712" s="3" t="s">
        <v>697</v>
      </c>
      <c r="AX712" s="32" t="s">
        <v>88</v>
      </c>
      <c r="AY712" s="123"/>
      <c r="BC712" s="129" t="s">
        <v>38</v>
      </c>
      <c r="BF712" s="111">
        <v>51</v>
      </c>
      <c r="BG712" s="111">
        <f t="shared" si="561"/>
        <v>183</v>
      </c>
      <c r="BH712" s="111">
        <f t="shared" si="534"/>
        <v>239</v>
      </c>
      <c r="BI712" s="111">
        <f t="shared" si="535"/>
        <v>36.710382513661202</v>
      </c>
      <c r="BJ712" s="129">
        <f>(G712-J712)+(M712-G712)</f>
        <v>0</v>
      </c>
      <c r="BK712" s="129">
        <f t="shared" si="536"/>
        <v>-180</v>
      </c>
      <c r="BL712" s="129" t="str">
        <f t="shared" si="517"/>
        <v>CONVICTION</v>
      </c>
      <c r="BM712" s="129" t="s">
        <v>76</v>
      </c>
      <c r="BN712" s="129" t="s">
        <v>88</v>
      </c>
      <c r="BP712" s="137" t="str">
        <f t="shared" si="540"/>
        <v>CONVICTION</v>
      </c>
      <c r="BQ712" s="128" t="str">
        <f t="shared" si="541"/>
        <v>Y</v>
      </c>
      <c r="BR712" s="129" t="s">
        <v>574</v>
      </c>
      <c r="BS712" s="129" t="str">
        <f t="shared" si="542"/>
        <v>DISPOSED</v>
      </c>
      <c r="BT712" s="129" t="str">
        <f t="shared" si="543"/>
        <v>Y</v>
      </c>
      <c r="BU712" s="109">
        <f t="shared" si="544"/>
        <v>0.21338912133891214</v>
      </c>
      <c r="BV712" s="109">
        <f t="shared" si="557"/>
        <v>1.6393442622950821E-2</v>
      </c>
      <c r="BW712" s="109">
        <f t="shared" si="523"/>
        <v>-0.19699567871596133</v>
      </c>
      <c r="BX712" s="111">
        <f t="shared" si="545"/>
        <v>0</v>
      </c>
      <c r="BY712" s="129">
        <f t="shared" si="546"/>
        <v>-3</v>
      </c>
      <c r="BZ712" s="111">
        <f t="shared" si="547"/>
        <v>48</v>
      </c>
      <c r="CA712" s="138">
        <f t="shared" si="548"/>
        <v>183</v>
      </c>
      <c r="CB712" s="111">
        <v>51</v>
      </c>
      <c r="CC712" s="129">
        <f>G712-I712+1</f>
        <v>183</v>
      </c>
      <c r="CD712" s="129">
        <f>G712-J712</f>
        <v>180</v>
      </c>
      <c r="CE712" s="129">
        <f t="shared" si="549"/>
        <v>180</v>
      </c>
      <c r="CG712" s="129" t="str">
        <f t="shared" si="550"/>
        <v>Y</v>
      </c>
      <c r="CI712" s="129" t="str">
        <f t="shared" si="551"/>
        <v>31-60 DAYS</v>
      </c>
      <c r="CJ712" s="137">
        <f t="shared" si="552"/>
        <v>3</v>
      </c>
      <c r="CK712" s="129" t="str">
        <f t="shared" si="553"/>
        <v>Booked</v>
      </c>
    </row>
    <row r="713" spans="1:89" ht="15" customHeight="1" x14ac:dyDescent="0.25">
      <c r="A713" s="111">
        <v>552</v>
      </c>
      <c r="B713" s="128" t="str">
        <f t="shared" si="537"/>
        <v>N</v>
      </c>
      <c r="C713" s="128" t="str">
        <f t="shared" si="538"/>
        <v>N</v>
      </c>
      <c r="D713" s="117">
        <v>1466871</v>
      </c>
      <c r="E713" s="135">
        <f t="shared" si="539"/>
        <v>1</v>
      </c>
      <c r="F713" s="124">
        <v>40931</v>
      </c>
      <c r="G713" s="125">
        <v>41177</v>
      </c>
      <c r="H713" s="117">
        <v>1466871</v>
      </c>
      <c r="I713" s="124">
        <v>40931</v>
      </c>
      <c r="J713" s="125">
        <v>41177</v>
      </c>
      <c r="K713" s="126">
        <v>20000</v>
      </c>
      <c r="L713" s="127" t="s">
        <v>571</v>
      </c>
      <c r="N713" s="129" t="str">
        <f t="shared" si="559"/>
        <v>N</v>
      </c>
      <c r="O713" s="128" t="s">
        <v>917</v>
      </c>
      <c r="P713" s="129" t="s">
        <v>55</v>
      </c>
      <c r="Q713" s="111">
        <f t="shared" si="558"/>
        <v>247</v>
      </c>
      <c r="R713" s="111">
        <f t="shared" si="533"/>
        <v>247</v>
      </c>
      <c r="S713" s="129">
        <v>3</v>
      </c>
      <c r="T713" s="129">
        <v>5</v>
      </c>
      <c r="U713" s="129">
        <v>3</v>
      </c>
      <c r="W713" s="111"/>
      <c r="AC713" s="130"/>
      <c r="AD713" s="130">
        <v>27842</v>
      </c>
      <c r="AE713" s="128" t="s">
        <v>32</v>
      </c>
      <c r="AF713" s="128" t="s">
        <v>40</v>
      </c>
      <c r="AG713" s="128" t="s">
        <v>41</v>
      </c>
      <c r="AH713" s="108" t="s">
        <v>41</v>
      </c>
      <c r="AI713" s="128" t="s">
        <v>118</v>
      </c>
      <c r="AJ713" s="129" t="s">
        <v>55</v>
      </c>
      <c r="AK713" s="129">
        <v>6</v>
      </c>
      <c r="AL713" s="3" t="s">
        <v>55</v>
      </c>
      <c r="AP713" s="129" t="s">
        <v>176</v>
      </c>
      <c r="AR713" s="128" t="s">
        <v>50</v>
      </c>
      <c r="AS713" s="129" t="s">
        <v>45</v>
      </c>
      <c r="BC713" s="129" t="s">
        <v>38</v>
      </c>
      <c r="BF713" s="111">
        <f t="shared" si="560"/>
        <v>247</v>
      </c>
      <c r="BG713" s="111">
        <f t="shared" si="561"/>
        <v>247</v>
      </c>
      <c r="BH713" s="111">
        <f t="shared" si="534"/>
        <v>247</v>
      </c>
      <c r="BI713" s="111">
        <f t="shared" si="535"/>
        <v>35.76229508196721</v>
      </c>
      <c r="BJ713" s="129">
        <f t="shared" si="554"/>
        <v>0</v>
      </c>
      <c r="BK713" s="129">
        <f t="shared" si="536"/>
        <v>0</v>
      </c>
      <c r="BL713" s="129" t="str">
        <f t="shared" si="517"/>
        <v>NO CONVICTION</v>
      </c>
      <c r="BM713" s="129" t="str">
        <f t="shared" si="555"/>
        <v>NONE</v>
      </c>
      <c r="BN713" s="129" t="s">
        <v>566</v>
      </c>
      <c r="BP713" s="137" t="str">
        <f t="shared" si="540"/>
        <v>NO CONVICTION</v>
      </c>
      <c r="BQ713" s="128" t="str">
        <f t="shared" si="541"/>
        <v>Y</v>
      </c>
      <c r="BR713" s="129" t="str">
        <f t="shared" si="556"/>
        <v>DETAINED</v>
      </c>
      <c r="BS713" s="129" t="str">
        <f t="shared" si="542"/>
        <v>DISPOSED</v>
      </c>
      <c r="BT713" s="129" t="str">
        <f t="shared" si="543"/>
        <v>Y</v>
      </c>
      <c r="BU713" s="109">
        <f>IFERROR(Q713/R713,BR713)</f>
        <v>1</v>
      </c>
      <c r="BV713" s="109">
        <f t="shared" si="557"/>
        <v>1</v>
      </c>
      <c r="BW713" s="109">
        <f t="shared" si="523"/>
        <v>0</v>
      </c>
      <c r="BX713" s="111">
        <f t="shared" si="545"/>
        <v>0</v>
      </c>
      <c r="BY713" s="129">
        <f t="shared" si="546"/>
        <v>-247</v>
      </c>
      <c r="BZ713" s="111">
        <f t="shared" si="547"/>
        <v>0</v>
      </c>
      <c r="CA713" s="138">
        <f t="shared" si="548"/>
        <v>247</v>
      </c>
      <c r="CB713" s="111" t="e">
        <f t="shared" si="562"/>
        <v>#VALUE!</v>
      </c>
      <c r="CC713" s="129">
        <f>G713-I713+1</f>
        <v>247</v>
      </c>
      <c r="CD713" s="129">
        <f>G713-J713</f>
        <v>0</v>
      </c>
      <c r="CE713" s="129">
        <f t="shared" si="549"/>
        <v>0</v>
      </c>
      <c r="CG713" s="129" t="str">
        <f t="shared" si="550"/>
        <v>Y</v>
      </c>
      <c r="CI713" s="129" t="str">
        <f t="shared" si="551"/>
        <v>121-365 DAYS</v>
      </c>
      <c r="CJ713" s="137">
        <f t="shared" si="552"/>
        <v>6</v>
      </c>
      <c r="CK713" s="129" t="str">
        <f t="shared" si="553"/>
        <v>Booked</v>
      </c>
    </row>
    <row r="714" spans="1:89" ht="15.75" customHeight="1" x14ac:dyDescent="0.25">
      <c r="A714" s="111">
        <v>676</v>
      </c>
      <c r="B714" s="128" t="str">
        <f t="shared" si="537"/>
        <v>N</v>
      </c>
      <c r="C714" s="128" t="str">
        <f t="shared" si="538"/>
        <v>N</v>
      </c>
      <c r="D714" s="117">
        <v>1467473</v>
      </c>
      <c r="E714" s="135">
        <f t="shared" si="539"/>
        <v>6</v>
      </c>
      <c r="F714" s="124">
        <v>40935</v>
      </c>
      <c r="G714" s="125">
        <v>41101</v>
      </c>
      <c r="H714" s="117">
        <v>1467473</v>
      </c>
      <c r="I714" s="124">
        <v>40935</v>
      </c>
      <c r="J714" s="124">
        <v>41101</v>
      </c>
      <c r="K714" s="126">
        <v>35000</v>
      </c>
      <c r="L714" s="129" t="s">
        <v>572</v>
      </c>
      <c r="N714" s="129" t="str">
        <f t="shared" si="559"/>
        <v>N</v>
      </c>
      <c r="O714" s="128" t="s">
        <v>917</v>
      </c>
      <c r="P714" s="129" t="s">
        <v>39</v>
      </c>
      <c r="Q714" s="111">
        <f t="shared" si="558"/>
        <v>167</v>
      </c>
      <c r="R714" s="111">
        <f t="shared" si="533"/>
        <v>167</v>
      </c>
      <c r="S714" s="129">
        <v>5</v>
      </c>
      <c r="T714" s="129">
        <v>1</v>
      </c>
      <c r="U714" s="129">
        <v>3</v>
      </c>
      <c r="W714" s="111"/>
      <c r="AC714" s="130"/>
      <c r="AD714" s="130">
        <v>26199</v>
      </c>
      <c r="AE714" s="128" t="s">
        <v>32</v>
      </c>
      <c r="AF714" s="128" t="s">
        <v>33</v>
      </c>
      <c r="AG714" s="128" t="s">
        <v>872</v>
      </c>
      <c r="AH714" s="108" t="s">
        <v>31</v>
      </c>
      <c r="AI714" s="128" t="s">
        <v>72</v>
      </c>
      <c r="AJ714" s="129" t="s">
        <v>89</v>
      </c>
      <c r="AK714" s="129">
        <v>5</v>
      </c>
      <c r="AL714" s="3" t="s">
        <v>362</v>
      </c>
      <c r="AM714" s="117">
        <v>10</v>
      </c>
      <c r="AP714" s="129" t="s">
        <v>221</v>
      </c>
      <c r="AR714" s="128" t="s">
        <v>67</v>
      </c>
      <c r="AS714" s="129" t="s">
        <v>64</v>
      </c>
      <c r="BC714" s="129" t="s">
        <v>38</v>
      </c>
      <c r="BF714" s="111">
        <f t="shared" si="560"/>
        <v>167</v>
      </c>
      <c r="BG714" s="111">
        <f t="shared" si="561"/>
        <v>167</v>
      </c>
      <c r="BH714" s="111">
        <f t="shared" si="534"/>
        <v>167</v>
      </c>
      <c r="BI714" s="111">
        <f t="shared" si="535"/>
        <v>40.26229508196721</v>
      </c>
      <c r="BJ714" s="129">
        <f t="shared" si="554"/>
        <v>0</v>
      </c>
      <c r="BK714" s="129">
        <f t="shared" si="536"/>
        <v>0</v>
      </c>
      <c r="BL714" s="129" t="str">
        <f t="shared" si="517"/>
        <v>CONVICTION</v>
      </c>
      <c r="BM714" s="129" t="str">
        <f t="shared" si="555"/>
        <v>NONE</v>
      </c>
      <c r="BN714" s="129" t="s">
        <v>566</v>
      </c>
      <c r="BP714" s="137" t="str">
        <f t="shared" si="540"/>
        <v>CONVICTION</v>
      </c>
      <c r="BQ714" s="128" t="str">
        <f t="shared" si="541"/>
        <v>Y</v>
      </c>
      <c r="BR714" s="129" t="str">
        <f t="shared" si="556"/>
        <v>DETAINED</v>
      </c>
      <c r="BS714" s="129" t="str">
        <f t="shared" si="542"/>
        <v>DISPOSED</v>
      </c>
      <c r="BT714" s="129" t="str">
        <f t="shared" si="543"/>
        <v>Y</v>
      </c>
      <c r="BU714" s="109">
        <f t="shared" si="544"/>
        <v>1</v>
      </c>
      <c r="BV714" s="109">
        <f t="shared" si="557"/>
        <v>1</v>
      </c>
      <c r="BW714" s="109">
        <f t="shared" si="523"/>
        <v>0</v>
      </c>
      <c r="BX714" s="111">
        <f t="shared" si="545"/>
        <v>0</v>
      </c>
      <c r="BY714" s="129">
        <f t="shared" si="546"/>
        <v>-167</v>
      </c>
      <c r="BZ714" s="111">
        <f t="shared" si="547"/>
        <v>0</v>
      </c>
      <c r="CA714" s="138">
        <f t="shared" si="548"/>
        <v>167</v>
      </c>
      <c r="CB714" s="111" t="e">
        <f t="shared" si="562"/>
        <v>#VALUE!</v>
      </c>
      <c r="CC714" s="129">
        <f>G714-I714+1</f>
        <v>167</v>
      </c>
      <c r="CD714" s="129">
        <f>G714-J714</f>
        <v>0</v>
      </c>
      <c r="CE714" s="129">
        <f t="shared" si="549"/>
        <v>0</v>
      </c>
      <c r="CG714" s="129" t="str">
        <f t="shared" si="550"/>
        <v>Y</v>
      </c>
      <c r="CI714" s="129" t="str">
        <f t="shared" si="551"/>
        <v>121-365 DAYS</v>
      </c>
      <c r="CJ714" s="137">
        <f t="shared" si="552"/>
        <v>6</v>
      </c>
      <c r="CK714" s="129" t="str">
        <f t="shared" si="553"/>
        <v>Booked</v>
      </c>
    </row>
    <row r="715" spans="1:89" ht="15" customHeight="1" x14ac:dyDescent="0.25">
      <c r="A715" s="111">
        <v>2739</v>
      </c>
      <c r="B715" s="128" t="str">
        <f t="shared" si="537"/>
        <v>N</v>
      </c>
      <c r="C715" s="128" t="str">
        <f t="shared" si="538"/>
        <v>N</v>
      </c>
      <c r="D715" s="117">
        <v>1467535</v>
      </c>
      <c r="E715" s="135">
        <f t="shared" si="539"/>
        <v>1</v>
      </c>
      <c r="F715" s="124">
        <v>41010</v>
      </c>
      <c r="G715" s="125">
        <v>41340</v>
      </c>
      <c r="H715" s="117">
        <v>1467535</v>
      </c>
      <c r="I715" s="124">
        <v>41011</v>
      </c>
      <c r="J715" s="124">
        <v>41012</v>
      </c>
      <c r="K715" s="126">
        <v>35000</v>
      </c>
      <c r="L715" s="129" t="s">
        <v>572</v>
      </c>
      <c r="M715" s="125">
        <v>41012</v>
      </c>
      <c r="N715" s="129" t="str">
        <f t="shared" si="559"/>
        <v>Y</v>
      </c>
      <c r="O715" s="128" t="s">
        <v>76</v>
      </c>
      <c r="P715" s="129" t="s">
        <v>55</v>
      </c>
      <c r="Q715" s="111">
        <f t="shared" si="558"/>
        <v>2</v>
      </c>
      <c r="R715" s="111">
        <f t="shared" si="533"/>
        <v>331</v>
      </c>
      <c r="S715" s="129">
        <v>1</v>
      </c>
      <c r="T715" s="129">
        <v>0</v>
      </c>
      <c r="U715" s="129">
        <v>1</v>
      </c>
      <c r="W715" s="111"/>
      <c r="AC715" s="130"/>
      <c r="AD715" s="130">
        <v>27748</v>
      </c>
      <c r="AE715" s="128" t="s">
        <v>32</v>
      </c>
      <c r="AF715" s="128" t="s">
        <v>33</v>
      </c>
      <c r="AG715" s="128" t="s">
        <v>872</v>
      </c>
      <c r="AH715" s="108" t="s">
        <v>31</v>
      </c>
      <c r="AI715" s="128" t="s">
        <v>62</v>
      </c>
      <c r="AJ715" s="129" t="s">
        <v>55</v>
      </c>
      <c r="AK715" s="129">
        <v>15</v>
      </c>
      <c r="AL715" s="3" t="s">
        <v>55</v>
      </c>
      <c r="AP715" s="129" t="s">
        <v>111</v>
      </c>
      <c r="AR715" s="128" t="s">
        <v>67</v>
      </c>
      <c r="AS715" s="129" t="s">
        <v>45</v>
      </c>
      <c r="BC715" s="129" t="s">
        <v>52</v>
      </c>
      <c r="BF715" s="111">
        <f t="shared" si="560"/>
        <v>2</v>
      </c>
      <c r="BG715" s="111">
        <f t="shared" si="561"/>
        <v>330</v>
      </c>
      <c r="BH715" s="111">
        <f t="shared" si="534"/>
        <v>331</v>
      </c>
      <c r="BI715" s="111">
        <f t="shared" si="535"/>
        <v>36.234972677595628</v>
      </c>
      <c r="BJ715" s="129">
        <f>(G715-J715)+(M715-G715)</f>
        <v>0</v>
      </c>
      <c r="BK715" s="129">
        <f t="shared" si="536"/>
        <v>-328</v>
      </c>
      <c r="BL715" s="129" t="str">
        <f t="shared" si="517"/>
        <v>NO CONVICTION</v>
      </c>
      <c r="BM715" s="129" t="s">
        <v>76</v>
      </c>
      <c r="BN715" s="129" t="s">
        <v>88</v>
      </c>
      <c r="BP715" s="137" t="str">
        <f t="shared" si="540"/>
        <v>NO CONVICTION</v>
      </c>
      <c r="BQ715" s="128" t="str">
        <f t="shared" si="541"/>
        <v>Y</v>
      </c>
      <c r="BR715" s="129" t="str">
        <f t="shared" si="556"/>
        <v>ON BOND</v>
      </c>
      <c r="BS715" s="129" t="str">
        <f t="shared" si="542"/>
        <v>DISPOSED</v>
      </c>
      <c r="BT715" s="129" t="str">
        <f t="shared" si="543"/>
        <v>Y</v>
      </c>
      <c r="BU715" s="109">
        <f>IFERROR(Q715/R715,BR715)</f>
        <v>6.0422960725075529E-3</v>
      </c>
      <c r="BV715" s="109">
        <f t="shared" si="557"/>
        <v>6.0606060606060606E-3</v>
      </c>
      <c r="BW715" s="109">
        <f t="shared" si="523"/>
        <v>1.8309988098507736E-5</v>
      </c>
      <c r="BX715" s="111">
        <f t="shared" si="545"/>
        <v>0</v>
      </c>
      <c r="BY715" s="129">
        <f t="shared" si="546"/>
        <v>-2</v>
      </c>
      <c r="BZ715" s="111">
        <f t="shared" si="547"/>
        <v>0</v>
      </c>
      <c r="CA715" s="138">
        <f t="shared" si="548"/>
        <v>2</v>
      </c>
      <c r="CB715" s="111" t="e">
        <f t="shared" si="562"/>
        <v>#VALUE!</v>
      </c>
      <c r="CC715" s="129">
        <f>M715-I715+1</f>
        <v>2</v>
      </c>
      <c r="CD715" s="111">
        <f>CC715-BF715</f>
        <v>0</v>
      </c>
      <c r="CE715" s="129">
        <f t="shared" si="549"/>
        <v>328</v>
      </c>
      <c r="CG715" s="129" t="str">
        <f t="shared" si="550"/>
        <v>Y</v>
      </c>
      <c r="CI715" s="129" t="str">
        <f t="shared" si="551"/>
        <v>0-10 DAYS</v>
      </c>
      <c r="CJ715" s="137">
        <f t="shared" si="552"/>
        <v>1</v>
      </c>
      <c r="CK715" s="129" t="str">
        <f t="shared" si="553"/>
        <v>Booked</v>
      </c>
    </row>
    <row r="716" spans="1:89" ht="15" customHeight="1" x14ac:dyDescent="0.25">
      <c r="A716" s="111">
        <v>992</v>
      </c>
      <c r="B716" s="128" t="str">
        <f t="shared" si="537"/>
        <v>N</v>
      </c>
      <c r="C716" s="128" t="str">
        <f t="shared" si="538"/>
        <v>N</v>
      </c>
      <c r="D716" s="117">
        <v>1469484</v>
      </c>
      <c r="E716" s="135">
        <f t="shared" si="539"/>
        <v>1</v>
      </c>
      <c r="F716" s="124">
        <v>40946</v>
      </c>
      <c r="G716" s="125">
        <v>40947</v>
      </c>
      <c r="H716" s="117">
        <v>1469484</v>
      </c>
      <c r="I716" s="124">
        <v>40946</v>
      </c>
      <c r="J716" s="124">
        <v>40947</v>
      </c>
      <c r="K716" s="126">
        <v>2000</v>
      </c>
      <c r="L716" s="127" t="s">
        <v>568</v>
      </c>
      <c r="M716" s="125"/>
      <c r="N716" s="129" t="str">
        <f t="shared" si="559"/>
        <v>N</v>
      </c>
      <c r="O716" s="128" t="s">
        <v>917</v>
      </c>
      <c r="P716" s="129" t="s">
        <v>55</v>
      </c>
      <c r="Q716" s="111">
        <f t="shared" si="558"/>
        <v>2</v>
      </c>
      <c r="R716" s="111">
        <f t="shared" si="533"/>
        <v>2</v>
      </c>
      <c r="S716" s="129">
        <v>0</v>
      </c>
      <c r="T716" s="129">
        <v>2</v>
      </c>
      <c r="W716" s="111"/>
      <c r="AB716" s="131" t="s">
        <v>112</v>
      </c>
      <c r="AC716" s="130"/>
      <c r="AD716" s="130">
        <v>26900</v>
      </c>
      <c r="AE716" s="128" t="s">
        <v>46</v>
      </c>
      <c r="AF716" s="128" t="s">
        <v>40</v>
      </c>
      <c r="AG716" s="128" t="s">
        <v>41</v>
      </c>
      <c r="AH716" s="108" t="s">
        <v>31</v>
      </c>
      <c r="AI716" s="128" t="s">
        <v>85</v>
      </c>
      <c r="AJ716" s="129" t="s">
        <v>55</v>
      </c>
      <c r="AK716" s="129">
        <v>1</v>
      </c>
      <c r="AL716" s="3" t="s">
        <v>55</v>
      </c>
      <c r="AP716" s="129" t="s">
        <v>43</v>
      </c>
      <c r="AR716" s="128" t="s">
        <v>44</v>
      </c>
      <c r="AS716" s="129" t="s">
        <v>45</v>
      </c>
      <c r="AW716" s="123"/>
      <c r="AX716" s="123"/>
      <c r="BC716" s="129" t="s">
        <v>38</v>
      </c>
      <c r="BF716" s="111">
        <f t="shared" si="560"/>
        <v>2</v>
      </c>
      <c r="BG716" s="111">
        <f t="shared" si="561"/>
        <v>2</v>
      </c>
      <c r="BH716" s="111">
        <f t="shared" si="534"/>
        <v>2</v>
      </c>
      <c r="BI716" s="111">
        <f t="shared" si="535"/>
        <v>38.377049180327866</v>
      </c>
      <c r="BJ716" s="129">
        <f t="shared" si="554"/>
        <v>0</v>
      </c>
      <c r="BK716" s="129">
        <f t="shared" si="536"/>
        <v>0</v>
      </c>
      <c r="BL716" s="129" t="str">
        <f t="shared" si="517"/>
        <v>NO CONVICTION</v>
      </c>
      <c r="BM716" s="129" t="str">
        <f t="shared" si="555"/>
        <v>NONE</v>
      </c>
      <c r="BN716" s="129" t="s">
        <v>566</v>
      </c>
      <c r="BP716" s="137" t="str">
        <f t="shared" si="540"/>
        <v>NO CONVICTION</v>
      </c>
      <c r="BQ716" s="128" t="str">
        <f t="shared" si="541"/>
        <v>Y</v>
      </c>
      <c r="BR716" s="129" t="str">
        <f t="shared" si="556"/>
        <v>DETAINED</v>
      </c>
      <c r="BS716" s="129" t="str">
        <f t="shared" si="542"/>
        <v>DISPOSED</v>
      </c>
      <c r="BT716" s="129" t="str">
        <f t="shared" si="543"/>
        <v>N</v>
      </c>
      <c r="BU716" s="109">
        <f>IFERROR(Q716/R716,BR716)</f>
        <v>1</v>
      </c>
      <c r="BV716" s="109">
        <f t="shared" si="557"/>
        <v>1</v>
      </c>
      <c r="BW716" s="109">
        <f t="shared" si="523"/>
        <v>0</v>
      </c>
      <c r="BX716" s="111">
        <f t="shared" si="545"/>
        <v>0</v>
      </c>
      <c r="BY716" s="129">
        <f t="shared" si="546"/>
        <v>-2</v>
      </c>
      <c r="BZ716" s="111">
        <f t="shared" si="547"/>
        <v>0</v>
      </c>
      <c r="CA716" s="138">
        <f t="shared" si="548"/>
        <v>2</v>
      </c>
      <c r="CB716" s="111" t="e">
        <f t="shared" si="562"/>
        <v>#VALUE!</v>
      </c>
      <c r="CC716" s="129">
        <f>G716-I716+1</f>
        <v>2</v>
      </c>
      <c r="CD716" s="129">
        <f>G716-J716</f>
        <v>0</v>
      </c>
      <c r="CE716" s="129">
        <f t="shared" si="549"/>
        <v>0</v>
      </c>
      <c r="CG716" s="129" t="str">
        <f t="shared" si="550"/>
        <v>Y</v>
      </c>
      <c r="CI716" s="129" t="str">
        <f t="shared" si="551"/>
        <v>0-10 DAYS</v>
      </c>
      <c r="CJ716" s="137">
        <f t="shared" si="552"/>
        <v>1</v>
      </c>
      <c r="CK716" s="129" t="str">
        <f t="shared" si="553"/>
        <v>Booked</v>
      </c>
    </row>
    <row r="717" spans="1:89" ht="15" customHeight="1" x14ac:dyDescent="0.25">
      <c r="A717" s="111">
        <v>1218</v>
      </c>
      <c r="B717" s="128" t="str">
        <f t="shared" si="537"/>
        <v>N</v>
      </c>
      <c r="C717" s="128" t="str">
        <f t="shared" si="538"/>
        <v>N</v>
      </c>
      <c r="D717" s="117">
        <v>1471734</v>
      </c>
      <c r="E717" s="135">
        <f t="shared" si="539"/>
        <v>5</v>
      </c>
      <c r="F717" s="124">
        <v>40953</v>
      </c>
      <c r="G717" s="125">
        <v>41229</v>
      </c>
      <c r="H717" s="117">
        <v>1471734</v>
      </c>
      <c r="I717" s="124">
        <v>40953</v>
      </c>
      <c r="J717" s="125">
        <v>41229</v>
      </c>
      <c r="K717" s="126" t="s">
        <v>564</v>
      </c>
      <c r="L717" s="127" t="s">
        <v>564</v>
      </c>
      <c r="N717" s="129" t="s">
        <v>566</v>
      </c>
      <c r="O717" s="128" t="s">
        <v>917</v>
      </c>
      <c r="P717" s="129" t="s">
        <v>39</v>
      </c>
      <c r="Q717" s="111">
        <f t="shared" si="558"/>
        <v>277</v>
      </c>
      <c r="R717" s="111">
        <f t="shared" si="533"/>
        <v>277</v>
      </c>
      <c r="S717" s="129">
        <v>8</v>
      </c>
      <c r="T717" s="129">
        <v>8</v>
      </c>
      <c r="U717" s="129">
        <v>6</v>
      </c>
      <c r="W717" s="111"/>
      <c r="AC717" s="130"/>
      <c r="AD717" s="130">
        <v>27471</v>
      </c>
      <c r="AE717" s="128" t="s">
        <v>32</v>
      </c>
      <c r="AF717" s="128" t="s">
        <v>33</v>
      </c>
      <c r="AG717" s="128" t="s">
        <v>872</v>
      </c>
      <c r="AH717" s="108" t="s">
        <v>31</v>
      </c>
      <c r="AI717" s="128" t="s">
        <v>62</v>
      </c>
      <c r="AJ717" s="129" t="s">
        <v>89</v>
      </c>
      <c r="AK717" s="129">
        <v>8</v>
      </c>
      <c r="AL717" s="3" t="s">
        <v>992</v>
      </c>
      <c r="AN717" s="117">
        <v>14</v>
      </c>
      <c r="AP717" s="129" t="s">
        <v>56</v>
      </c>
      <c r="AR717" s="128" t="s">
        <v>50</v>
      </c>
      <c r="AS717" s="129" t="s">
        <v>57</v>
      </c>
      <c r="BC717" s="129" t="s">
        <v>38</v>
      </c>
      <c r="BF717" s="111">
        <f t="shared" si="560"/>
        <v>277</v>
      </c>
      <c r="BG717" s="111">
        <f t="shared" si="561"/>
        <v>277</v>
      </c>
      <c r="BH717" s="111">
        <f t="shared" si="534"/>
        <v>277</v>
      </c>
      <c r="BI717" s="111">
        <f t="shared" si="535"/>
        <v>36.83606557377049</v>
      </c>
      <c r="BJ717" s="129">
        <f t="shared" si="554"/>
        <v>0</v>
      </c>
      <c r="BK717" s="129">
        <f t="shared" si="536"/>
        <v>0</v>
      </c>
      <c r="BL717" s="129" t="str">
        <f t="shared" si="517"/>
        <v>CONVICTION</v>
      </c>
      <c r="BM717" s="129" t="str">
        <f t="shared" si="555"/>
        <v>NONE</v>
      </c>
      <c r="BN717" s="129" t="s">
        <v>566</v>
      </c>
      <c r="BP717" s="137" t="str">
        <f t="shared" si="540"/>
        <v>CONVICTION</v>
      </c>
      <c r="BQ717" s="128" t="str">
        <f t="shared" si="541"/>
        <v>Y</v>
      </c>
      <c r="BR717" s="129" t="str">
        <f t="shared" si="556"/>
        <v>DETAINED</v>
      </c>
      <c r="BS717" s="129" t="str">
        <f t="shared" si="542"/>
        <v>DISPOSED</v>
      </c>
      <c r="BT717" s="129" t="str">
        <f t="shared" si="543"/>
        <v>Y</v>
      </c>
      <c r="BU717" s="109">
        <f t="shared" si="544"/>
        <v>1</v>
      </c>
      <c r="BV717" s="109">
        <f t="shared" si="557"/>
        <v>1</v>
      </c>
      <c r="BW717" s="109">
        <f t="shared" si="523"/>
        <v>0</v>
      </c>
      <c r="BX717" s="111">
        <f t="shared" si="545"/>
        <v>0</v>
      </c>
      <c r="BY717" s="129">
        <f t="shared" si="546"/>
        <v>-277</v>
      </c>
      <c r="BZ717" s="111">
        <f t="shared" si="547"/>
        <v>0</v>
      </c>
      <c r="CA717" s="138">
        <f t="shared" si="548"/>
        <v>277</v>
      </c>
      <c r="CB717" s="111" t="e">
        <f t="shared" si="562"/>
        <v>#VALUE!</v>
      </c>
      <c r="CC717" s="129">
        <f>G717-I717+1</f>
        <v>277</v>
      </c>
      <c r="CD717" s="129">
        <f>G717-J717</f>
        <v>0</v>
      </c>
      <c r="CE717" s="129">
        <f t="shared" si="549"/>
        <v>0</v>
      </c>
      <c r="CG717" s="129" t="str">
        <f t="shared" si="550"/>
        <v>Y</v>
      </c>
      <c r="CI717" s="129" t="str">
        <f t="shared" si="551"/>
        <v>121-365 DAYS</v>
      </c>
      <c r="CJ717" s="137">
        <f t="shared" si="552"/>
        <v>6</v>
      </c>
      <c r="CK717" s="129" t="str">
        <f t="shared" si="553"/>
        <v>Booked</v>
      </c>
    </row>
    <row r="718" spans="1:89" ht="15" customHeight="1" x14ac:dyDescent="0.25">
      <c r="A718" s="111">
        <v>474</v>
      </c>
      <c r="B718" s="128" t="str">
        <f t="shared" si="537"/>
        <v>N</v>
      </c>
      <c r="C718" s="128" t="str">
        <f t="shared" si="538"/>
        <v>N</v>
      </c>
      <c r="D718" s="117">
        <v>1472202</v>
      </c>
      <c r="E718" s="135">
        <f t="shared" si="539"/>
        <v>4</v>
      </c>
      <c r="F718" s="124">
        <v>40928</v>
      </c>
      <c r="G718" s="125">
        <v>41130</v>
      </c>
      <c r="H718" s="117">
        <v>1472202</v>
      </c>
      <c r="I718" s="124">
        <v>40928</v>
      </c>
      <c r="J718" s="124">
        <v>41130</v>
      </c>
      <c r="K718" s="126" t="s">
        <v>564</v>
      </c>
      <c r="L718" s="127" t="s">
        <v>564</v>
      </c>
      <c r="N718" s="129" t="s">
        <v>566</v>
      </c>
      <c r="O718" s="128" t="s">
        <v>917</v>
      </c>
      <c r="P718" s="129" t="s">
        <v>39</v>
      </c>
      <c r="Q718" s="111">
        <f t="shared" si="558"/>
        <v>203</v>
      </c>
      <c r="R718" s="111">
        <f t="shared" si="533"/>
        <v>203</v>
      </c>
      <c r="S718" s="129">
        <v>4</v>
      </c>
      <c r="T718" s="129">
        <v>8</v>
      </c>
      <c r="U718" s="129">
        <v>2</v>
      </c>
      <c r="W718" s="111"/>
      <c r="AC718" s="130"/>
      <c r="AD718" s="130">
        <v>28265</v>
      </c>
      <c r="AE718" s="128" t="s">
        <v>32</v>
      </c>
      <c r="AF718" s="128" t="s">
        <v>33</v>
      </c>
      <c r="AG718" s="128" t="s">
        <v>872</v>
      </c>
      <c r="AH718" s="108" t="s">
        <v>58</v>
      </c>
      <c r="AI718" s="128" t="s">
        <v>71</v>
      </c>
      <c r="AJ718" s="129" t="s">
        <v>89</v>
      </c>
      <c r="AK718" s="129">
        <v>11</v>
      </c>
      <c r="AL718" s="3" t="s">
        <v>991</v>
      </c>
      <c r="AO718" s="128">
        <v>365</v>
      </c>
      <c r="AP718" s="129" t="s">
        <v>186</v>
      </c>
      <c r="AR718" s="128" t="s">
        <v>50</v>
      </c>
      <c r="AS718" s="129" t="s">
        <v>106</v>
      </c>
      <c r="BC718" s="129" t="s">
        <v>38</v>
      </c>
      <c r="BF718" s="111">
        <f t="shared" si="560"/>
        <v>203</v>
      </c>
      <c r="BG718" s="111">
        <f t="shared" si="561"/>
        <v>203</v>
      </c>
      <c r="BH718" s="111">
        <f t="shared" si="534"/>
        <v>203</v>
      </c>
      <c r="BI718" s="111">
        <f t="shared" si="535"/>
        <v>34.598360655737707</v>
      </c>
      <c r="BJ718" s="129">
        <f t="shared" si="554"/>
        <v>0</v>
      </c>
      <c r="BK718" s="129">
        <f t="shared" si="536"/>
        <v>0</v>
      </c>
      <c r="BL718" s="129" t="str">
        <f t="shared" si="517"/>
        <v>CONVICTION</v>
      </c>
      <c r="BM718" s="129" t="str">
        <f t="shared" si="555"/>
        <v>NONE</v>
      </c>
      <c r="BN718" s="129" t="s">
        <v>566</v>
      </c>
      <c r="BP718" s="137" t="str">
        <f t="shared" si="540"/>
        <v>CONVICTION</v>
      </c>
      <c r="BQ718" s="128" t="str">
        <f t="shared" si="541"/>
        <v>Y</v>
      </c>
      <c r="BR718" s="129" t="str">
        <f t="shared" si="556"/>
        <v>DETAINED</v>
      </c>
      <c r="BS718" s="129" t="str">
        <f t="shared" si="542"/>
        <v>DISPOSED</v>
      </c>
      <c r="BT718" s="129" t="str">
        <f t="shared" si="543"/>
        <v>Y</v>
      </c>
      <c r="BU718" s="109">
        <f t="shared" si="544"/>
        <v>1</v>
      </c>
      <c r="BV718" s="109">
        <f t="shared" si="557"/>
        <v>1</v>
      </c>
      <c r="BW718" s="109">
        <f t="shared" si="523"/>
        <v>0</v>
      </c>
      <c r="BX718" s="111">
        <f t="shared" si="545"/>
        <v>0</v>
      </c>
      <c r="BY718" s="129">
        <f t="shared" si="546"/>
        <v>-203</v>
      </c>
      <c r="BZ718" s="111">
        <f t="shared" si="547"/>
        <v>0</v>
      </c>
      <c r="CA718" s="138">
        <f t="shared" si="548"/>
        <v>203</v>
      </c>
      <c r="CB718" s="111" t="e">
        <f t="shared" si="562"/>
        <v>#VALUE!</v>
      </c>
      <c r="CC718" s="129">
        <f>G718-I718+1</f>
        <v>203</v>
      </c>
      <c r="CD718" s="129">
        <f>G718-J718</f>
        <v>0</v>
      </c>
      <c r="CE718" s="129">
        <f t="shared" si="549"/>
        <v>0</v>
      </c>
      <c r="CG718" s="129" t="str">
        <f t="shared" si="550"/>
        <v>Y</v>
      </c>
      <c r="CI718" s="129" t="str">
        <f t="shared" si="551"/>
        <v>121-365 DAYS</v>
      </c>
      <c r="CJ718" s="137">
        <f t="shared" si="552"/>
        <v>6</v>
      </c>
      <c r="CK718" s="129" t="str">
        <f t="shared" si="553"/>
        <v>Booked</v>
      </c>
    </row>
    <row r="719" spans="1:89" ht="15" customHeight="1" x14ac:dyDescent="0.25">
      <c r="A719" s="111">
        <v>58</v>
      </c>
      <c r="B719" s="128" t="str">
        <f t="shared" si="537"/>
        <v>N</v>
      </c>
      <c r="C719" s="128" t="str">
        <f t="shared" si="538"/>
        <v>N</v>
      </c>
      <c r="D719" s="117">
        <v>1472654</v>
      </c>
      <c r="E719" s="135">
        <f t="shared" si="539"/>
        <v>5</v>
      </c>
      <c r="F719" s="124">
        <v>40912</v>
      </c>
      <c r="G719" s="125">
        <v>41058</v>
      </c>
      <c r="H719" s="117">
        <v>1472654</v>
      </c>
      <c r="I719" s="124">
        <v>40912</v>
      </c>
      <c r="J719" s="124">
        <v>41058</v>
      </c>
      <c r="K719" s="126">
        <v>15000</v>
      </c>
      <c r="L719" s="127" t="s">
        <v>571</v>
      </c>
      <c r="N719" s="129" t="str">
        <f>IF(M719&gt;1/1/1,"Y","N")</f>
        <v>N</v>
      </c>
      <c r="O719" s="128" t="s">
        <v>917</v>
      </c>
      <c r="P719" s="129" t="s">
        <v>39</v>
      </c>
      <c r="Q719" s="111">
        <f t="shared" si="558"/>
        <v>147</v>
      </c>
      <c r="R719" s="111">
        <f t="shared" si="533"/>
        <v>147</v>
      </c>
      <c r="S719" s="129">
        <v>7</v>
      </c>
      <c r="T719" s="129">
        <v>6</v>
      </c>
      <c r="U719" s="129">
        <v>5</v>
      </c>
      <c r="W719" s="111"/>
      <c r="AC719" s="130"/>
      <c r="AD719" s="130">
        <v>17998</v>
      </c>
      <c r="AE719" s="128" t="s">
        <v>32</v>
      </c>
      <c r="AF719" s="128" t="s">
        <v>33</v>
      </c>
      <c r="AG719" s="128" t="s">
        <v>872</v>
      </c>
      <c r="AH719" s="108" t="s">
        <v>31</v>
      </c>
      <c r="AI719" s="128" t="s">
        <v>71</v>
      </c>
      <c r="AJ719" s="129" t="s">
        <v>89</v>
      </c>
      <c r="AK719" s="129">
        <v>5</v>
      </c>
      <c r="AL719" s="3" t="s">
        <v>992</v>
      </c>
      <c r="AN719" s="117">
        <v>6</v>
      </c>
      <c r="AP719" s="129" t="s">
        <v>43</v>
      </c>
      <c r="AR719" s="128" t="s">
        <v>44</v>
      </c>
      <c r="AS719" s="129" t="s">
        <v>45</v>
      </c>
      <c r="BC719" s="129" t="s">
        <v>38</v>
      </c>
      <c r="BF719" s="111">
        <f t="shared" si="560"/>
        <v>147</v>
      </c>
      <c r="BG719" s="111">
        <f t="shared" si="561"/>
        <v>147</v>
      </c>
      <c r="BH719" s="111">
        <f t="shared" si="534"/>
        <v>147</v>
      </c>
      <c r="BI719" s="111">
        <f t="shared" si="535"/>
        <v>62.606557377049178</v>
      </c>
      <c r="BJ719" s="129">
        <f t="shared" si="554"/>
        <v>0</v>
      </c>
      <c r="BK719" s="129">
        <f t="shared" si="536"/>
        <v>0</v>
      </c>
      <c r="BL719" s="129" t="str">
        <f t="shared" si="517"/>
        <v>CONVICTION</v>
      </c>
      <c r="BM719" s="129" t="str">
        <f t="shared" si="555"/>
        <v>NONE</v>
      </c>
      <c r="BN719" s="129" t="s">
        <v>566</v>
      </c>
      <c r="BP719" s="137" t="str">
        <f t="shared" si="540"/>
        <v>CONVICTION</v>
      </c>
      <c r="BQ719" s="128" t="str">
        <f t="shared" si="541"/>
        <v>Y</v>
      </c>
      <c r="BR719" s="129" t="str">
        <f t="shared" si="556"/>
        <v>DETAINED</v>
      </c>
      <c r="BS719" s="129" t="str">
        <f t="shared" si="542"/>
        <v>DISPOSED</v>
      </c>
      <c r="BT719" s="129" t="str">
        <f t="shared" si="543"/>
        <v>Y</v>
      </c>
      <c r="BU719" s="109">
        <f t="shared" si="544"/>
        <v>1</v>
      </c>
      <c r="BV719" s="109">
        <f t="shared" si="557"/>
        <v>1</v>
      </c>
      <c r="BW719" s="109">
        <f t="shared" si="523"/>
        <v>0</v>
      </c>
      <c r="BX719" s="111">
        <f t="shared" si="545"/>
        <v>0</v>
      </c>
      <c r="BY719" s="129">
        <f t="shared" si="546"/>
        <v>-147</v>
      </c>
      <c r="BZ719" s="111">
        <f t="shared" si="547"/>
        <v>0</v>
      </c>
      <c r="CA719" s="138">
        <f t="shared" si="548"/>
        <v>147</v>
      </c>
      <c r="CB719" s="111" t="e">
        <f t="shared" si="562"/>
        <v>#VALUE!</v>
      </c>
      <c r="CC719" s="129">
        <f>G719-I719+1</f>
        <v>147</v>
      </c>
      <c r="CD719" s="129">
        <f>G719-J719</f>
        <v>0</v>
      </c>
      <c r="CE719" s="129">
        <f t="shared" si="549"/>
        <v>0</v>
      </c>
      <c r="CG719" s="129" t="str">
        <f t="shared" si="550"/>
        <v>Y</v>
      </c>
      <c r="CI719" s="129" t="str">
        <f t="shared" si="551"/>
        <v>121-365 DAYS</v>
      </c>
      <c r="CJ719" s="137">
        <f t="shared" si="552"/>
        <v>6</v>
      </c>
      <c r="CK719" s="129" t="str">
        <f t="shared" si="553"/>
        <v>Booked</v>
      </c>
    </row>
    <row r="720" spans="1:89" ht="15" customHeight="1" x14ac:dyDescent="0.25">
      <c r="A720" s="111">
        <v>136</v>
      </c>
      <c r="B720" s="128" t="str">
        <f t="shared" si="537"/>
        <v>N</v>
      </c>
      <c r="C720" s="128" t="str">
        <f t="shared" si="538"/>
        <v>N</v>
      </c>
      <c r="D720" s="117">
        <v>1475451</v>
      </c>
      <c r="E720" s="135">
        <f t="shared" si="539"/>
        <v>5</v>
      </c>
      <c r="F720" s="124">
        <v>40914</v>
      </c>
      <c r="G720" s="125">
        <v>41026</v>
      </c>
      <c r="H720" s="117">
        <v>1475451</v>
      </c>
      <c r="I720" s="124">
        <v>40956</v>
      </c>
      <c r="J720" s="124">
        <v>41026</v>
      </c>
      <c r="K720" s="126">
        <v>20000</v>
      </c>
      <c r="L720" s="127" t="s">
        <v>571</v>
      </c>
      <c r="N720" s="129" t="str">
        <f>IF(M720&gt;1/1/1,"Y","N")</f>
        <v>N</v>
      </c>
      <c r="O720" s="128" t="s">
        <v>917</v>
      </c>
      <c r="P720" s="129" t="s">
        <v>39</v>
      </c>
      <c r="Q720" s="111">
        <f t="shared" si="558"/>
        <v>71</v>
      </c>
      <c r="R720" s="111">
        <f t="shared" si="533"/>
        <v>113</v>
      </c>
      <c r="S720" s="129">
        <v>2</v>
      </c>
      <c r="T720" s="129">
        <v>4</v>
      </c>
      <c r="W720" s="111"/>
      <c r="AC720" s="130"/>
      <c r="AD720" s="130">
        <v>28260</v>
      </c>
      <c r="AE720" s="128" t="s">
        <v>46</v>
      </c>
      <c r="AF720" s="128" t="s">
        <v>69</v>
      </c>
      <c r="AG720" s="128" t="s">
        <v>874</v>
      </c>
      <c r="AH720" s="108" t="s">
        <v>58</v>
      </c>
      <c r="AI720" s="128" t="s">
        <v>72</v>
      </c>
      <c r="AJ720" s="129" t="s">
        <v>89</v>
      </c>
      <c r="AK720" s="129">
        <v>5</v>
      </c>
      <c r="AL720" s="3" t="s">
        <v>992</v>
      </c>
      <c r="AN720" s="117">
        <v>9</v>
      </c>
      <c r="AP720" s="129" t="s">
        <v>60</v>
      </c>
      <c r="AR720" s="128" t="s">
        <v>44</v>
      </c>
      <c r="AS720" s="129" t="s">
        <v>61</v>
      </c>
      <c r="AT720" s="129" t="s">
        <v>597</v>
      </c>
      <c r="AZ720" s="140"/>
      <c r="BC720" s="129" t="s">
        <v>38</v>
      </c>
      <c r="BF720" s="111">
        <f t="shared" si="560"/>
        <v>71</v>
      </c>
      <c r="BG720" s="111">
        <f t="shared" si="561"/>
        <v>71</v>
      </c>
      <c r="BH720" s="111">
        <f t="shared" si="534"/>
        <v>113</v>
      </c>
      <c r="BI720" s="111">
        <f t="shared" si="535"/>
        <v>34.57377049180328</v>
      </c>
      <c r="BJ720" s="129">
        <f t="shared" si="554"/>
        <v>0</v>
      </c>
      <c r="BK720" s="129">
        <f t="shared" si="536"/>
        <v>0</v>
      </c>
      <c r="BL720" s="129" t="str">
        <f t="shared" si="517"/>
        <v>CONVICTION</v>
      </c>
      <c r="BM720" s="129" t="str">
        <f t="shared" si="555"/>
        <v>NONE</v>
      </c>
      <c r="BN720" s="129" t="s">
        <v>566</v>
      </c>
      <c r="BP720" s="137" t="str">
        <f t="shared" si="540"/>
        <v>CONVICTION</v>
      </c>
      <c r="BQ720" s="128" t="str">
        <f t="shared" si="541"/>
        <v>Y</v>
      </c>
      <c r="BR720" s="129" t="str">
        <f t="shared" si="556"/>
        <v>DETAINED</v>
      </c>
      <c r="BS720" s="129" t="str">
        <f t="shared" si="542"/>
        <v>DISPOSED</v>
      </c>
      <c r="BT720" s="129" t="str">
        <f t="shared" si="543"/>
        <v>Y</v>
      </c>
      <c r="BU720" s="109">
        <f t="shared" si="544"/>
        <v>0.62831858407079644</v>
      </c>
      <c r="BV720" s="109">
        <f t="shared" si="557"/>
        <v>1</v>
      </c>
      <c r="BW720" s="109">
        <f t="shared" si="523"/>
        <v>0.37168141592920356</v>
      </c>
      <c r="BX720" s="111">
        <f t="shared" si="545"/>
        <v>0</v>
      </c>
      <c r="BY720" s="129">
        <f t="shared" si="546"/>
        <v>-71</v>
      </c>
      <c r="BZ720" s="111">
        <f t="shared" si="547"/>
        <v>0</v>
      </c>
      <c r="CA720" s="138">
        <f t="shared" si="548"/>
        <v>71</v>
      </c>
      <c r="CB720" s="111" t="e">
        <f t="shared" si="562"/>
        <v>#VALUE!</v>
      </c>
      <c r="CC720" s="129">
        <f>G720-I720+1</f>
        <v>71</v>
      </c>
      <c r="CD720" s="129">
        <f>G720-J720</f>
        <v>0</v>
      </c>
      <c r="CE720" s="129">
        <f t="shared" si="549"/>
        <v>0</v>
      </c>
      <c r="CG720" s="129" t="str">
        <f t="shared" si="550"/>
        <v>Y</v>
      </c>
      <c r="CI720" s="129" t="str">
        <f t="shared" si="551"/>
        <v>61-90 DAYS</v>
      </c>
      <c r="CJ720" s="137">
        <f t="shared" si="552"/>
        <v>4</v>
      </c>
      <c r="CK720" s="129" t="str">
        <f t="shared" si="553"/>
        <v>Booked</v>
      </c>
    </row>
    <row r="721" spans="1:89" ht="15" customHeight="1" x14ac:dyDescent="0.25">
      <c r="A721" s="111">
        <v>2600</v>
      </c>
      <c r="B721" s="128" t="str">
        <f t="shared" si="537"/>
        <v>N</v>
      </c>
      <c r="C721" s="128" t="str">
        <f t="shared" si="538"/>
        <v>N</v>
      </c>
      <c r="D721" s="117">
        <v>1479624</v>
      </c>
      <c r="E721" s="135">
        <f t="shared" si="539"/>
        <v>1</v>
      </c>
      <c r="F721" s="124">
        <v>41005</v>
      </c>
      <c r="G721" s="125">
        <v>41376</v>
      </c>
      <c r="H721" s="117">
        <v>1479624</v>
      </c>
      <c r="I721" s="124" t="s">
        <v>562</v>
      </c>
      <c r="J721" s="124" t="s">
        <v>562</v>
      </c>
      <c r="K721" s="126">
        <v>10000</v>
      </c>
      <c r="L721" s="127" t="s">
        <v>570</v>
      </c>
      <c r="M721" s="125">
        <v>41006</v>
      </c>
      <c r="N721" s="129" t="str">
        <f>IF(M721&gt;1/1/1,"Y",IF(Q721="NOT BOOKED","","N"))</f>
        <v>Y</v>
      </c>
      <c r="O721" s="128" t="s">
        <v>585</v>
      </c>
      <c r="P721" s="129" t="s">
        <v>55</v>
      </c>
      <c r="Q721" s="111">
        <v>0</v>
      </c>
      <c r="R721" s="111">
        <f t="shared" si="533"/>
        <v>372</v>
      </c>
      <c r="S721" s="129">
        <v>0</v>
      </c>
      <c r="T721" s="129">
        <v>2</v>
      </c>
      <c r="W721" s="111"/>
      <c r="AC721" s="130"/>
      <c r="AD721" s="130">
        <v>27683</v>
      </c>
      <c r="AE721" s="128" t="s">
        <v>32</v>
      </c>
      <c r="AF721" s="128" t="s">
        <v>33</v>
      </c>
      <c r="AG721" s="128" t="s">
        <v>872</v>
      </c>
      <c r="AH721" s="108" t="s">
        <v>58</v>
      </c>
      <c r="AI721" s="128" t="s">
        <v>87</v>
      </c>
      <c r="AJ721" s="129" t="s">
        <v>31</v>
      </c>
      <c r="AK721" s="129">
        <v>12</v>
      </c>
      <c r="AL721" s="3" t="s">
        <v>55</v>
      </c>
      <c r="AP721" s="129" t="s">
        <v>66</v>
      </c>
      <c r="AR721" s="128" t="s">
        <v>67</v>
      </c>
      <c r="AS721" s="129" t="s">
        <v>68</v>
      </c>
      <c r="AX721" s="32"/>
      <c r="BC721" s="129" t="s">
        <v>52</v>
      </c>
      <c r="BF721" s="111">
        <v>0</v>
      </c>
      <c r="BG721" s="111" t="e">
        <f t="shared" si="561"/>
        <v>#VALUE!</v>
      </c>
      <c r="BH721" s="111">
        <f t="shared" si="534"/>
        <v>372</v>
      </c>
      <c r="BI721" s="111">
        <f t="shared" si="535"/>
        <v>36.398907103825138</v>
      </c>
      <c r="BJ721" s="129" t="e">
        <f>(G721-J721)+(M721-G721)</f>
        <v>#VALUE!</v>
      </c>
      <c r="BK721" s="129" t="e">
        <f t="shared" si="536"/>
        <v>#VALUE!</v>
      </c>
      <c r="BL721" s="129" t="str">
        <f t="shared" si="517"/>
        <v>NO CONVICTION</v>
      </c>
      <c r="BM721" s="129" t="s">
        <v>76</v>
      </c>
      <c r="BN721" s="129" t="s">
        <v>88</v>
      </c>
      <c r="BP721" s="137" t="str">
        <f t="shared" si="540"/>
        <v/>
      </c>
      <c r="BQ721" s="128">
        <f t="shared" si="541"/>
        <v>0</v>
      </c>
      <c r="BR721" s="129" t="s">
        <v>575</v>
      </c>
      <c r="BS721" s="129" t="str">
        <f t="shared" si="542"/>
        <v>DISPOSED</v>
      </c>
      <c r="BT721" s="129" t="str">
        <f t="shared" si="543"/>
        <v>N</v>
      </c>
      <c r="BU721" s="109">
        <f>IFERROR(Q721/R721,BR721)</f>
        <v>0</v>
      </c>
      <c r="BV721" s="109">
        <v>0</v>
      </c>
      <c r="BW721" s="109">
        <f t="shared" si="523"/>
        <v>0</v>
      </c>
      <c r="BX721" s="111">
        <f t="shared" si="545"/>
        <v>0</v>
      </c>
      <c r="BY721" s="129" t="e">
        <f t="shared" si="546"/>
        <v>#VALUE!</v>
      </c>
      <c r="BZ721" s="111" t="e">
        <f t="shared" si="547"/>
        <v>#VALUE!</v>
      </c>
      <c r="CA721" s="138" t="e">
        <f t="shared" si="548"/>
        <v>#VALUE!</v>
      </c>
      <c r="CB721" s="111" t="s">
        <v>562</v>
      </c>
      <c r="CC721" s="129">
        <v>0</v>
      </c>
      <c r="CD721" s="111">
        <f>CC721-BF721</f>
        <v>0</v>
      </c>
      <c r="CE721" s="129" t="e">
        <f t="shared" si="549"/>
        <v>#VALUE!</v>
      </c>
      <c r="CG721" s="129" t="str">
        <f t="shared" si="550"/>
        <v>Y</v>
      </c>
      <c r="CI721" s="129" t="str">
        <f t="shared" si="551"/>
        <v>0-10 DAYS</v>
      </c>
      <c r="CJ721" s="137">
        <f t="shared" si="552"/>
        <v>1</v>
      </c>
      <c r="CK721" s="129" t="str">
        <f t="shared" si="553"/>
        <v>Not Booked</v>
      </c>
    </row>
    <row r="722" spans="1:89" ht="15.75" customHeight="1" x14ac:dyDescent="0.25">
      <c r="A722" s="111">
        <v>601</v>
      </c>
      <c r="B722" s="128" t="str">
        <f t="shared" si="537"/>
        <v>N</v>
      </c>
      <c r="C722" s="128" t="str">
        <f t="shared" si="538"/>
        <v>Y</v>
      </c>
      <c r="D722" s="117">
        <v>1479767</v>
      </c>
      <c r="E722" s="135">
        <f t="shared" si="539"/>
        <v>6</v>
      </c>
      <c r="F722" s="124">
        <v>40932</v>
      </c>
      <c r="G722" s="125">
        <v>41019</v>
      </c>
      <c r="H722" s="117">
        <v>1479767</v>
      </c>
      <c r="I722" s="124">
        <v>40933</v>
      </c>
      <c r="J722" s="124">
        <v>40940</v>
      </c>
      <c r="K722" s="126">
        <v>30000</v>
      </c>
      <c r="L722" s="129" t="s">
        <v>572</v>
      </c>
      <c r="M722" s="125">
        <v>40940</v>
      </c>
      <c r="N722" s="129" t="str">
        <f>IF(M722&gt;1/1/1,"Y","N")</f>
        <v>Y</v>
      </c>
      <c r="O722" s="128" t="s">
        <v>76</v>
      </c>
      <c r="P722" s="129" t="s">
        <v>39</v>
      </c>
      <c r="Q722" s="111">
        <v>11</v>
      </c>
      <c r="R722" s="111">
        <f t="shared" si="533"/>
        <v>88</v>
      </c>
      <c r="S722" s="129">
        <v>9</v>
      </c>
      <c r="T722" s="129">
        <v>13</v>
      </c>
      <c r="U722" s="129">
        <v>6</v>
      </c>
      <c r="W722" s="111"/>
      <c r="AC722" s="130"/>
      <c r="AD722" s="130">
        <v>27224</v>
      </c>
      <c r="AE722" s="128" t="s">
        <v>32</v>
      </c>
      <c r="AF722" s="128" t="s">
        <v>33</v>
      </c>
      <c r="AG722" s="128" t="s">
        <v>872</v>
      </c>
      <c r="AH722" s="108" t="s">
        <v>58</v>
      </c>
      <c r="AI722" s="128" t="s">
        <v>59</v>
      </c>
      <c r="AJ722" s="129" t="s">
        <v>89</v>
      </c>
      <c r="AK722" s="129">
        <v>6</v>
      </c>
      <c r="AL722" s="3" t="s">
        <v>362</v>
      </c>
      <c r="AM722" s="117">
        <v>2</v>
      </c>
      <c r="AP722" s="129" t="s">
        <v>43</v>
      </c>
      <c r="AR722" s="128" t="s">
        <v>44</v>
      </c>
      <c r="AS722" s="129" t="s">
        <v>45</v>
      </c>
      <c r="AU722" s="3" t="s">
        <v>692</v>
      </c>
      <c r="AX722" s="32" t="s">
        <v>88</v>
      </c>
      <c r="BC722" s="129" t="s">
        <v>52</v>
      </c>
      <c r="BF722" s="111">
        <v>11</v>
      </c>
      <c r="BG722" s="111">
        <f t="shared" si="561"/>
        <v>87</v>
      </c>
      <c r="BH722" s="111">
        <f t="shared" si="534"/>
        <v>88</v>
      </c>
      <c r="BI722" s="111">
        <f t="shared" si="535"/>
        <v>37.453551912568308</v>
      </c>
      <c r="BJ722" s="129">
        <f>(G722-J722)+(M722-G722)</f>
        <v>0</v>
      </c>
      <c r="BK722" s="129">
        <f t="shared" si="536"/>
        <v>-79</v>
      </c>
      <c r="BL722" s="129" t="str">
        <f t="shared" si="517"/>
        <v>CONVICTION</v>
      </c>
      <c r="BM722" s="129" t="s">
        <v>76</v>
      </c>
      <c r="BN722" s="129" t="s">
        <v>88</v>
      </c>
      <c r="BP722" s="137" t="str">
        <f t="shared" si="540"/>
        <v>CONVICTION</v>
      </c>
      <c r="BQ722" s="128" t="str">
        <f t="shared" si="541"/>
        <v>Y</v>
      </c>
      <c r="BR722" s="129" t="s">
        <v>574</v>
      </c>
      <c r="BS722" s="129" t="str">
        <f t="shared" si="542"/>
        <v>DISPOSED</v>
      </c>
      <c r="BT722" s="129" t="str">
        <f t="shared" si="543"/>
        <v>Y</v>
      </c>
      <c r="BU722" s="109">
        <f t="shared" si="544"/>
        <v>0.125</v>
      </c>
      <c r="BV722" s="109">
        <f t="shared" si="557"/>
        <v>9.1954022988505746E-2</v>
      </c>
      <c r="BW722" s="109">
        <f t="shared" si="523"/>
        <v>-3.3045977011494254E-2</v>
      </c>
      <c r="BX722" s="111">
        <f t="shared" si="545"/>
        <v>0</v>
      </c>
      <c r="BY722" s="129">
        <f t="shared" si="546"/>
        <v>-8</v>
      </c>
      <c r="BZ722" s="111">
        <f t="shared" si="547"/>
        <v>3</v>
      </c>
      <c r="CA722" s="138">
        <f t="shared" si="548"/>
        <v>87</v>
      </c>
      <c r="CB722" s="111">
        <v>11</v>
      </c>
      <c r="CC722" s="129">
        <f>G722-I722+1</f>
        <v>87</v>
      </c>
      <c r="CD722" s="129">
        <f>G722-J722</f>
        <v>79</v>
      </c>
      <c r="CE722" s="129">
        <f t="shared" si="549"/>
        <v>79</v>
      </c>
      <c r="CG722" s="129" t="str">
        <f t="shared" si="550"/>
        <v>Y</v>
      </c>
      <c r="CI722" s="129" t="str">
        <f t="shared" si="551"/>
        <v>11-30 DAYS</v>
      </c>
      <c r="CJ722" s="137">
        <f t="shared" si="552"/>
        <v>2</v>
      </c>
      <c r="CK722" s="129" t="str">
        <f t="shared" si="553"/>
        <v>Booked</v>
      </c>
    </row>
    <row r="723" spans="1:89" ht="15" customHeight="1" x14ac:dyDescent="0.25">
      <c r="A723" s="111">
        <v>1848</v>
      </c>
      <c r="B723" s="128" t="str">
        <f t="shared" si="537"/>
        <v>N</v>
      </c>
      <c r="C723" s="128" t="str">
        <f t="shared" si="538"/>
        <v>Y</v>
      </c>
      <c r="D723" s="117">
        <v>1480400</v>
      </c>
      <c r="E723" s="135">
        <f t="shared" si="539"/>
        <v>4</v>
      </c>
      <c r="F723" s="124">
        <v>40977</v>
      </c>
      <c r="G723" s="125">
        <v>41169</v>
      </c>
      <c r="H723" s="117">
        <v>1480400</v>
      </c>
      <c r="I723" s="124">
        <v>41166</v>
      </c>
      <c r="J723" s="124">
        <v>41169</v>
      </c>
      <c r="K723" s="126">
        <v>55000</v>
      </c>
      <c r="L723" s="129" t="s">
        <v>572</v>
      </c>
      <c r="M723" s="125">
        <v>40978</v>
      </c>
      <c r="N723" s="129" t="str">
        <f>IF(M723&gt;1/1/1,"Y","N")</f>
        <v>Y</v>
      </c>
      <c r="O723" s="128" t="s">
        <v>76</v>
      </c>
      <c r="P723" s="129" t="s">
        <v>39</v>
      </c>
      <c r="Q723" s="111">
        <f t="shared" si="558"/>
        <v>4</v>
      </c>
      <c r="R723" s="111">
        <f t="shared" si="533"/>
        <v>193</v>
      </c>
      <c r="S723" s="129">
        <v>0</v>
      </c>
      <c r="T723" s="129">
        <v>1</v>
      </c>
      <c r="W723" s="111"/>
      <c r="AC723" s="130"/>
      <c r="AD723" s="130">
        <v>16945</v>
      </c>
      <c r="AE723" s="128" t="s">
        <v>46</v>
      </c>
      <c r="AF723" s="128" t="s">
        <v>40</v>
      </c>
      <c r="AG723" s="128" t="s">
        <v>41</v>
      </c>
      <c r="AH723" s="108" t="s">
        <v>41</v>
      </c>
      <c r="AI723" s="128" t="s">
        <v>59</v>
      </c>
      <c r="AJ723" s="129" t="s">
        <v>89</v>
      </c>
      <c r="AK723" s="129">
        <v>11</v>
      </c>
      <c r="AL723" s="3" t="s">
        <v>991</v>
      </c>
      <c r="AO723" s="128">
        <v>90</v>
      </c>
      <c r="AP723" s="129" t="s">
        <v>136</v>
      </c>
      <c r="AR723" s="128" t="s">
        <v>67</v>
      </c>
      <c r="AS723" s="129" t="s">
        <v>64</v>
      </c>
      <c r="AV723" s="3" t="s">
        <v>88</v>
      </c>
      <c r="AW723" s="129" t="s">
        <v>744</v>
      </c>
      <c r="BA723" s="125">
        <v>41207</v>
      </c>
      <c r="BB723" s="129">
        <v>235</v>
      </c>
      <c r="BC723" s="129" t="s">
        <v>52</v>
      </c>
      <c r="BF723" s="111">
        <f>IF(J723&gt;1/1/1900,((G723+1)-I723),"STILL OPEN")</f>
        <v>4</v>
      </c>
      <c r="BG723" s="111">
        <f t="shared" si="561"/>
        <v>4</v>
      </c>
      <c r="BH723" s="111">
        <f t="shared" si="534"/>
        <v>193</v>
      </c>
      <c r="BI723" s="111">
        <f t="shared" si="535"/>
        <v>65.661202185792348</v>
      </c>
      <c r="BJ723" s="129">
        <f>G723-J723</f>
        <v>0</v>
      </c>
      <c r="BK723" s="129">
        <f t="shared" si="536"/>
        <v>0</v>
      </c>
      <c r="BL723" s="129" t="str">
        <f t="shared" si="517"/>
        <v>CONVICTION</v>
      </c>
      <c r="BM723" s="129" t="s">
        <v>76</v>
      </c>
      <c r="BN723" s="129" t="s">
        <v>88</v>
      </c>
      <c r="BP723" s="137" t="str">
        <f t="shared" si="540"/>
        <v>CONVICTION</v>
      </c>
      <c r="BQ723" s="128" t="str">
        <f t="shared" si="541"/>
        <v>Y</v>
      </c>
      <c r="BR723" s="129" t="s">
        <v>574</v>
      </c>
      <c r="BS723" s="129" t="str">
        <f t="shared" si="542"/>
        <v>DISPOSED</v>
      </c>
      <c r="BT723" s="129" t="str">
        <f t="shared" si="543"/>
        <v>N</v>
      </c>
      <c r="BU723" s="109">
        <f t="shared" si="544"/>
        <v>2.072538860103627E-2</v>
      </c>
      <c r="BV723" s="109">
        <f t="shared" si="557"/>
        <v>1</v>
      </c>
      <c r="BW723" s="109">
        <f t="shared" si="523"/>
        <v>0.97927461139896377</v>
      </c>
      <c r="BX723" s="111">
        <f t="shared" si="545"/>
        <v>0</v>
      </c>
      <c r="BY723" s="129">
        <f t="shared" si="546"/>
        <v>-4</v>
      </c>
      <c r="BZ723" s="111">
        <f t="shared" si="547"/>
        <v>0</v>
      </c>
      <c r="CA723" s="138">
        <f t="shared" si="548"/>
        <v>4</v>
      </c>
      <c r="CB723" s="111" t="e">
        <f t="shared" ref="CB723:CB736" si="563">IF(AF723&gt;1/1/1900,((AF723+1)-AE723),"STILL OPEN")</f>
        <v>#VALUE!</v>
      </c>
      <c r="CC723" s="129">
        <f>G723-I723+1</f>
        <v>4</v>
      </c>
      <c r="CD723" s="129">
        <f>G723-J723</f>
        <v>0</v>
      </c>
      <c r="CE723" s="129">
        <f t="shared" si="549"/>
        <v>0</v>
      </c>
      <c r="CG723" s="129" t="str">
        <f t="shared" si="550"/>
        <v>Y</v>
      </c>
      <c r="CI723" s="129" t="str">
        <f t="shared" si="551"/>
        <v>0-10 DAYS</v>
      </c>
      <c r="CJ723" s="137">
        <f t="shared" si="552"/>
        <v>1</v>
      </c>
      <c r="CK723" s="129" t="str">
        <f t="shared" si="553"/>
        <v>Booked</v>
      </c>
    </row>
    <row r="724" spans="1:89" ht="15.75" customHeight="1" x14ac:dyDescent="0.25">
      <c r="A724" s="111">
        <v>1872</v>
      </c>
      <c r="B724" s="128" t="str">
        <f t="shared" si="537"/>
        <v>N</v>
      </c>
      <c r="C724" s="128" t="str">
        <f t="shared" si="538"/>
        <v>N</v>
      </c>
      <c r="D724" s="117">
        <v>1481800</v>
      </c>
      <c r="E724" s="135">
        <f t="shared" si="539"/>
        <v>4</v>
      </c>
      <c r="F724" s="124">
        <v>40978</v>
      </c>
      <c r="G724" s="125">
        <v>41080</v>
      </c>
      <c r="H724" s="117">
        <v>1481800</v>
      </c>
      <c r="I724" s="124">
        <v>40978</v>
      </c>
      <c r="J724" s="124">
        <v>40981</v>
      </c>
      <c r="K724" s="126">
        <v>15000</v>
      </c>
      <c r="L724" s="127" t="s">
        <v>571</v>
      </c>
      <c r="M724" s="125">
        <v>40981</v>
      </c>
      <c r="N724" s="129" t="str">
        <f>IF(M724&gt;1/1/1,"Y","N")</f>
        <v>Y</v>
      </c>
      <c r="O724" s="128" t="s">
        <v>76</v>
      </c>
      <c r="P724" s="129" t="s">
        <v>39</v>
      </c>
      <c r="Q724" s="111">
        <f t="shared" si="558"/>
        <v>4</v>
      </c>
      <c r="R724" s="111">
        <f t="shared" si="533"/>
        <v>103</v>
      </c>
      <c r="S724" s="129">
        <v>5</v>
      </c>
      <c r="T724" s="129">
        <v>4</v>
      </c>
      <c r="U724" s="129">
        <v>3</v>
      </c>
      <c r="W724" s="111"/>
      <c r="AC724" s="130"/>
      <c r="AD724" s="130">
        <v>26518</v>
      </c>
      <c r="AE724" s="128" t="s">
        <v>46</v>
      </c>
      <c r="AF724" s="128" t="s">
        <v>33</v>
      </c>
      <c r="AG724" s="128" t="s">
        <v>872</v>
      </c>
      <c r="AH724" s="108" t="s">
        <v>58</v>
      </c>
      <c r="AI724" s="128" t="s">
        <v>59</v>
      </c>
      <c r="AJ724" s="129" t="s">
        <v>89</v>
      </c>
      <c r="AK724" s="129">
        <v>7</v>
      </c>
      <c r="AL724" s="3" t="s">
        <v>991</v>
      </c>
      <c r="AO724" s="128">
        <v>90</v>
      </c>
      <c r="AP724" s="129" t="s">
        <v>43</v>
      </c>
      <c r="AR724" s="128" t="s">
        <v>44</v>
      </c>
      <c r="AS724" s="129" t="s">
        <v>45</v>
      </c>
      <c r="BC724" s="129" t="s">
        <v>38</v>
      </c>
      <c r="BF724" s="111">
        <f t="shared" ref="BF724:BF736" si="564">IF(J724&gt;1/1/1900,((J724+1)-I724),"STILL OPEN")</f>
        <v>4</v>
      </c>
      <c r="BG724" s="111">
        <f t="shared" si="561"/>
        <v>103</v>
      </c>
      <c r="BH724" s="111">
        <f t="shared" si="534"/>
        <v>103</v>
      </c>
      <c r="BI724" s="111">
        <f t="shared" si="535"/>
        <v>39.508196721311478</v>
      </c>
      <c r="BJ724" s="129">
        <f>(G724-J724)+(M724-G724)</f>
        <v>0</v>
      </c>
      <c r="BK724" s="129">
        <f t="shared" si="536"/>
        <v>-99</v>
      </c>
      <c r="BL724" s="129" t="str">
        <f t="shared" si="517"/>
        <v>CONVICTION</v>
      </c>
      <c r="BM724" s="129" t="s">
        <v>76</v>
      </c>
      <c r="BN724" s="129" t="s">
        <v>88</v>
      </c>
      <c r="BP724" s="137" t="str">
        <f t="shared" si="540"/>
        <v>CONVICTION</v>
      </c>
      <c r="BQ724" s="128" t="str">
        <f t="shared" si="541"/>
        <v>Y</v>
      </c>
      <c r="BR724" s="129" t="str">
        <f>IF(J724&lt;G724,"ON BOND",0)</f>
        <v>ON BOND</v>
      </c>
      <c r="BS724" s="129" t="str">
        <f t="shared" si="542"/>
        <v>DISPOSED</v>
      </c>
      <c r="BT724" s="129" t="str">
        <f t="shared" si="543"/>
        <v>Y</v>
      </c>
      <c r="BU724" s="109">
        <f t="shared" si="544"/>
        <v>3.8834951456310676E-2</v>
      </c>
      <c r="BV724" s="109">
        <f t="shared" si="557"/>
        <v>3.8834951456310676E-2</v>
      </c>
      <c r="BW724" s="109">
        <f t="shared" si="523"/>
        <v>0</v>
      </c>
      <c r="BX724" s="111">
        <f t="shared" si="545"/>
        <v>0</v>
      </c>
      <c r="BY724" s="129">
        <f t="shared" si="546"/>
        <v>-4</v>
      </c>
      <c r="BZ724" s="111">
        <f t="shared" si="547"/>
        <v>0</v>
      </c>
      <c r="CA724" s="138">
        <f t="shared" si="548"/>
        <v>4</v>
      </c>
      <c r="CB724" s="111" t="e">
        <f t="shared" si="563"/>
        <v>#VALUE!</v>
      </c>
      <c r="CC724" s="129">
        <f>M724-I724+1</f>
        <v>4</v>
      </c>
      <c r="CD724" s="111">
        <f>CC724-BF724</f>
        <v>0</v>
      </c>
      <c r="CE724" s="129">
        <f t="shared" si="549"/>
        <v>99</v>
      </c>
      <c r="CG724" s="129" t="str">
        <f t="shared" si="550"/>
        <v>Y</v>
      </c>
      <c r="CI724" s="129" t="str">
        <f t="shared" si="551"/>
        <v>0-10 DAYS</v>
      </c>
      <c r="CJ724" s="137">
        <f t="shared" si="552"/>
        <v>1</v>
      </c>
      <c r="CK724" s="129" t="str">
        <f t="shared" si="553"/>
        <v>Booked</v>
      </c>
    </row>
    <row r="725" spans="1:89" ht="15.75" customHeight="1" x14ac:dyDescent="0.25">
      <c r="A725" s="111">
        <v>1179</v>
      </c>
      <c r="B725" s="128" t="str">
        <f t="shared" si="537"/>
        <v>N</v>
      </c>
      <c r="C725" s="128" t="str">
        <f t="shared" si="538"/>
        <v>N</v>
      </c>
      <c r="D725" s="117">
        <v>1482075</v>
      </c>
      <c r="E725" s="135">
        <f t="shared" si="539"/>
        <v>4</v>
      </c>
      <c r="F725" s="124">
        <v>40952</v>
      </c>
      <c r="G725" s="125">
        <v>41038</v>
      </c>
      <c r="H725" s="117">
        <v>1482075</v>
      </c>
      <c r="I725" s="124">
        <v>40952</v>
      </c>
      <c r="J725" s="124">
        <v>41038</v>
      </c>
      <c r="K725" s="126">
        <v>5000</v>
      </c>
      <c r="L725" s="127" t="s">
        <v>569</v>
      </c>
      <c r="N725" s="129" t="str">
        <f>IF(M725&gt;1/1/1,"Y","N")</f>
        <v>N</v>
      </c>
      <c r="O725" s="128" t="s">
        <v>917</v>
      </c>
      <c r="P725" s="129" t="s">
        <v>39</v>
      </c>
      <c r="Q725" s="111">
        <f t="shared" si="558"/>
        <v>87</v>
      </c>
      <c r="R725" s="111">
        <f t="shared" si="533"/>
        <v>87</v>
      </c>
      <c r="S725" s="129">
        <v>1</v>
      </c>
      <c r="T725" s="129">
        <v>3</v>
      </c>
      <c r="W725" s="111"/>
      <c r="AC725" s="130"/>
      <c r="AD725" s="130">
        <v>21848</v>
      </c>
      <c r="AE725" s="128" t="s">
        <v>32</v>
      </c>
      <c r="AF725" s="128" t="s">
        <v>33</v>
      </c>
      <c r="AG725" s="128" t="s">
        <v>872</v>
      </c>
      <c r="AH725" s="108" t="s">
        <v>31</v>
      </c>
      <c r="AI725" s="128" t="s">
        <v>72</v>
      </c>
      <c r="AJ725" s="129" t="s">
        <v>89</v>
      </c>
      <c r="AK725" s="129">
        <v>4</v>
      </c>
      <c r="AL725" s="3" t="s">
        <v>991</v>
      </c>
      <c r="AO725" s="128">
        <v>180</v>
      </c>
      <c r="AP725" s="129" t="s">
        <v>43</v>
      </c>
      <c r="AR725" s="128" t="s">
        <v>44</v>
      </c>
      <c r="AS725" s="129" t="s">
        <v>45</v>
      </c>
      <c r="AW725" s="123"/>
      <c r="AX725" s="123"/>
      <c r="BC725" s="129" t="s">
        <v>38</v>
      </c>
      <c r="BF725" s="111">
        <f t="shared" si="564"/>
        <v>87</v>
      </c>
      <c r="BG725" s="111">
        <f t="shared" si="561"/>
        <v>87</v>
      </c>
      <c r="BH725" s="111">
        <f t="shared" si="534"/>
        <v>87</v>
      </c>
      <c r="BI725" s="111">
        <f t="shared" si="535"/>
        <v>52.196721311475407</v>
      </c>
      <c r="BJ725" s="129">
        <f t="shared" si="554"/>
        <v>0</v>
      </c>
      <c r="BK725" s="129">
        <f t="shared" si="536"/>
        <v>0</v>
      </c>
      <c r="BL725" s="129" t="str">
        <f t="shared" si="517"/>
        <v>CONVICTION</v>
      </c>
      <c r="BM725" s="129" t="str">
        <f t="shared" si="555"/>
        <v>NONE</v>
      </c>
      <c r="BN725" s="129" t="s">
        <v>566</v>
      </c>
      <c r="BP725" s="137" t="str">
        <f t="shared" si="540"/>
        <v>CONVICTION</v>
      </c>
      <c r="BQ725" s="128" t="str">
        <f t="shared" si="541"/>
        <v>Y</v>
      </c>
      <c r="BR725" s="129" t="str">
        <f t="shared" si="556"/>
        <v>DETAINED</v>
      </c>
      <c r="BS725" s="129" t="str">
        <f t="shared" si="542"/>
        <v>DISPOSED</v>
      </c>
      <c r="BT725" s="129" t="str">
        <f t="shared" si="543"/>
        <v>Y</v>
      </c>
      <c r="BU725" s="109">
        <f t="shared" si="544"/>
        <v>1</v>
      </c>
      <c r="BV725" s="109">
        <f t="shared" si="557"/>
        <v>1</v>
      </c>
      <c r="BW725" s="109">
        <f t="shared" si="523"/>
        <v>0</v>
      </c>
      <c r="BX725" s="111">
        <f t="shared" si="545"/>
        <v>0</v>
      </c>
      <c r="BY725" s="129">
        <f t="shared" si="546"/>
        <v>-87</v>
      </c>
      <c r="BZ725" s="111">
        <f t="shared" si="547"/>
        <v>0</v>
      </c>
      <c r="CA725" s="138">
        <f t="shared" si="548"/>
        <v>87</v>
      </c>
      <c r="CB725" s="111" t="e">
        <f t="shared" si="563"/>
        <v>#VALUE!</v>
      </c>
      <c r="CC725" s="129">
        <f t="shared" ref="CC725:CC736" si="565">G725-I725+1</f>
        <v>87</v>
      </c>
      <c r="CD725" s="129">
        <f t="shared" ref="CD725:CD736" si="566">G725-J725</f>
        <v>0</v>
      </c>
      <c r="CE725" s="129">
        <f t="shared" si="549"/>
        <v>0</v>
      </c>
      <c r="CG725" s="129" t="str">
        <f t="shared" si="550"/>
        <v>Y</v>
      </c>
      <c r="CI725" s="129" t="str">
        <f t="shared" si="551"/>
        <v>61-90 DAYS</v>
      </c>
      <c r="CJ725" s="137">
        <f t="shared" si="552"/>
        <v>4</v>
      </c>
      <c r="CK725" s="129" t="str">
        <f t="shared" si="553"/>
        <v>Booked</v>
      </c>
    </row>
    <row r="726" spans="1:89" ht="15.75" customHeight="1" x14ac:dyDescent="0.25">
      <c r="A726" s="111">
        <v>632</v>
      </c>
      <c r="B726" s="128" t="str">
        <f t="shared" si="537"/>
        <v>N</v>
      </c>
      <c r="C726" s="128" t="str">
        <f t="shared" si="538"/>
        <v>N</v>
      </c>
      <c r="D726" s="117">
        <v>1482479</v>
      </c>
      <c r="E726" s="135">
        <f t="shared" si="539"/>
        <v>6</v>
      </c>
      <c r="F726" s="124">
        <v>40933</v>
      </c>
      <c r="G726" s="125">
        <v>41043</v>
      </c>
      <c r="H726" s="117">
        <v>1482479</v>
      </c>
      <c r="I726" s="124">
        <v>40934</v>
      </c>
      <c r="J726" s="124">
        <v>41043</v>
      </c>
      <c r="K726" s="126" t="s">
        <v>564</v>
      </c>
      <c r="L726" s="127" t="s">
        <v>564</v>
      </c>
      <c r="N726" s="129" t="s">
        <v>566</v>
      </c>
      <c r="O726" s="128" t="s">
        <v>917</v>
      </c>
      <c r="P726" s="129" t="s">
        <v>39</v>
      </c>
      <c r="Q726" s="111">
        <f t="shared" si="558"/>
        <v>110</v>
      </c>
      <c r="R726" s="111">
        <f t="shared" si="533"/>
        <v>111</v>
      </c>
      <c r="S726" s="129">
        <v>6</v>
      </c>
      <c r="T726" s="129">
        <v>6</v>
      </c>
      <c r="U726" s="129">
        <v>5</v>
      </c>
      <c r="W726" s="111"/>
      <c r="AC726" s="130"/>
      <c r="AD726" s="130">
        <v>28548</v>
      </c>
      <c r="AE726" s="128" t="s">
        <v>32</v>
      </c>
      <c r="AF726" s="128" t="s">
        <v>33</v>
      </c>
      <c r="AG726" s="128" t="s">
        <v>872</v>
      </c>
      <c r="AH726" s="108" t="s">
        <v>31</v>
      </c>
      <c r="AI726" s="128" t="s">
        <v>87</v>
      </c>
      <c r="AJ726" s="129" t="s">
        <v>89</v>
      </c>
      <c r="AK726" s="129">
        <v>8</v>
      </c>
      <c r="AL726" s="3" t="s">
        <v>362</v>
      </c>
      <c r="AM726" s="117">
        <v>10</v>
      </c>
      <c r="AP726" s="129" t="s">
        <v>233</v>
      </c>
      <c r="AR726" s="128" t="s">
        <v>67</v>
      </c>
      <c r="AS726" s="129" t="s">
        <v>45</v>
      </c>
      <c r="BC726" s="129" t="s">
        <v>52</v>
      </c>
      <c r="BF726" s="111">
        <f t="shared" si="564"/>
        <v>110</v>
      </c>
      <c r="BG726" s="111">
        <f t="shared" si="561"/>
        <v>110</v>
      </c>
      <c r="BH726" s="111">
        <f t="shared" si="534"/>
        <v>111</v>
      </c>
      <c r="BI726" s="111">
        <f t="shared" si="535"/>
        <v>33.838797814207652</v>
      </c>
      <c r="BJ726" s="129">
        <f t="shared" si="554"/>
        <v>0</v>
      </c>
      <c r="BK726" s="129">
        <f t="shared" si="536"/>
        <v>0</v>
      </c>
      <c r="BL726" s="129" t="str">
        <f t="shared" si="517"/>
        <v>CONVICTION</v>
      </c>
      <c r="BM726" s="129" t="str">
        <f t="shared" si="555"/>
        <v>NONE</v>
      </c>
      <c r="BN726" s="129" t="s">
        <v>566</v>
      </c>
      <c r="BP726" s="137" t="str">
        <f t="shared" si="540"/>
        <v>CONVICTION</v>
      </c>
      <c r="BQ726" s="128" t="str">
        <f t="shared" si="541"/>
        <v>Y</v>
      </c>
      <c r="BR726" s="129" t="str">
        <f t="shared" si="556"/>
        <v>DETAINED</v>
      </c>
      <c r="BS726" s="129" t="str">
        <f t="shared" si="542"/>
        <v>DISPOSED</v>
      </c>
      <c r="BT726" s="129" t="str">
        <f t="shared" si="543"/>
        <v>Y</v>
      </c>
      <c r="BU726" s="109">
        <f t="shared" si="544"/>
        <v>0.99099099099099097</v>
      </c>
      <c r="BV726" s="109">
        <f t="shared" si="557"/>
        <v>1</v>
      </c>
      <c r="BW726" s="109">
        <f t="shared" si="523"/>
        <v>9.009009009009028E-3</v>
      </c>
      <c r="BX726" s="111">
        <f t="shared" si="545"/>
        <v>0</v>
      </c>
      <c r="BY726" s="129">
        <f t="shared" si="546"/>
        <v>-110</v>
      </c>
      <c r="BZ726" s="111">
        <f t="shared" si="547"/>
        <v>0</v>
      </c>
      <c r="CA726" s="138">
        <f t="shared" si="548"/>
        <v>110</v>
      </c>
      <c r="CB726" s="111" t="e">
        <f t="shared" si="563"/>
        <v>#VALUE!</v>
      </c>
      <c r="CC726" s="129">
        <f t="shared" si="565"/>
        <v>110</v>
      </c>
      <c r="CD726" s="129">
        <f t="shared" si="566"/>
        <v>0</v>
      </c>
      <c r="CE726" s="129">
        <f t="shared" si="549"/>
        <v>0</v>
      </c>
      <c r="CG726" s="129" t="str">
        <f t="shared" si="550"/>
        <v>Y</v>
      </c>
      <c r="CI726" s="129" t="str">
        <f t="shared" si="551"/>
        <v>91-120 DAYS</v>
      </c>
      <c r="CJ726" s="137">
        <f t="shared" si="552"/>
        <v>0</v>
      </c>
      <c r="CK726" s="129" t="str">
        <f t="shared" si="553"/>
        <v>Booked</v>
      </c>
    </row>
    <row r="727" spans="1:89" ht="15.75" customHeight="1" x14ac:dyDescent="0.25">
      <c r="A727" s="111">
        <v>1048</v>
      </c>
      <c r="B727" s="128" t="str">
        <f t="shared" si="537"/>
        <v>N</v>
      </c>
      <c r="C727" s="128" t="str">
        <f t="shared" si="538"/>
        <v>N</v>
      </c>
      <c r="D727" s="117">
        <v>1483597</v>
      </c>
      <c r="E727" s="135">
        <f t="shared" si="539"/>
        <v>6</v>
      </c>
      <c r="F727" s="124">
        <v>40947</v>
      </c>
      <c r="G727" s="125">
        <v>41117</v>
      </c>
      <c r="H727" s="117">
        <v>1483597</v>
      </c>
      <c r="I727" s="124">
        <v>40948</v>
      </c>
      <c r="J727" s="124">
        <v>41117</v>
      </c>
      <c r="K727" s="126">
        <v>10000</v>
      </c>
      <c r="L727" s="127" t="s">
        <v>570</v>
      </c>
      <c r="N727" s="129" t="str">
        <f>IF(M727&gt;1/1/1,"Y","N")</f>
        <v>N</v>
      </c>
      <c r="O727" s="128" t="s">
        <v>917</v>
      </c>
      <c r="P727" s="129" t="s">
        <v>39</v>
      </c>
      <c r="Q727" s="111">
        <f t="shared" si="558"/>
        <v>170</v>
      </c>
      <c r="R727" s="111">
        <f t="shared" si="533"/>
        <v>171</v>
      </c>
      <c r="S727" s="129">
        <v>3</v>
      </c>
      <c r="T727" s="129">
        <v>3</v>
      </c>
      <c r="U727" s="129">
        <v>1</v>
      </c>
      <c r="W727" s="111"/>
      <c r="AC727" s="130"/>
      <c r="AD727" s="130">
        <v>27039</v>
      </c>
      <c r="AE727" s="128" t="s">
        <v>32</v>
      </c>
      <c r="AF727" s="128" t="s">
        <v>69</v>
      </c>
      <c r="AG727" s="128" t="s">
        <v>874</v>
      </c>
      <c r="AH727" s="108" t="s">
        <v>58</v>
      </c>
      <c r="AI727" s="128" t="s">
        <v>87</v>
      </c>
      <c r="AJ727" s="129" t="s">
        <v>89</v>
      </c>
      <c r="AK727" s="129">
        <v>8</v>
      </c>
      <c r="AL727" s="3" t="s">
        <v>362</v>
      </c>
      <c r="AM727" s="117">
        <v>2</v>
      </c>
      <c r="AP727" s="129" t="s">
        <v>170</v>
      </c>
      <c r="AR727" s="128" t="s">
        <v>67</v>
      </c>
      <c r="AS727" s="129" t="s">
        <v>64</v>
      </c>
      <c r="BC727" s="129" t="s">
        <v>38</v>
      </c>
      <c r="BF727" s="111">
        <f t="shared" si="564"/>
        <v>170</v>
      </c>
      <c r="BG727" s="111">
        <f t="shared" si="561"/>
        <v>170</v>
      </c>
      <c r="BH727" s="111">
        <f t="shared" si="534"/>
        <v>171</v>
      </c>
      <c r="BI727" s="111">
        <f t="shared" si="535"/>
        <v>38</v>
      </c>
      <c r="BJ727" s="129">
        <f t="shared" si="554"/>
        <v>0</v>
      </c>
      <c r="BK727" s="129">
        <f t="shared" si="536"/>
        <v>0</v>
      </c>
      <c r="BL727" s="129" t="str">
        <f t="shared" si="517"/>
        <v>CONVICTION</v>
      </c>
      <c r="BM727" s="129" t="str">
        <f t="shared" si="555"/>
        <v>NONE</v>
      </c>
      <c r="BN727" s="129" t="s">
        <v>566</v>
      </c>
      <c r="BP727" s="137" t="str">
        <f t="shared" si="540"/>
        <v>CONVICTION</v>
      </c>
      <c r="BQ727" s="128" t="str">
        <f t="shared" si="541"/>
        <v>Y</v>
      </c>
      <c r="BR727" s="129" t="str">
        <f t="shared" si="556"/>
        <v>DETAINED</v>
      </c>
      <c r="BS727" s="129" t="str">
        <f t="shared" si="542"/>
        <v>DISPOSED</v>
      </c>
      <c r="BT727" s="129" t="str">
        <f t="shared" si="543"/>
        <v>Y</v>
      </c>
      <c r="BU727" s="109">
        <f t="shared" si="544"/>
        <v>0.99415204678362568</v>
      </c>
      <c r="BV727" s="109">
        <f t="shared" si="557"/>
        <v>1</v>
      </c>
      <c r="BW727" s="109">
        <f t="shared" si="523"/>
        <v>5.8479532163743242E-3</v>
      </c>
      <c r="BX727" s="111">
        <f t="shared" si="545"/>
        <v>0</v>
      </c>
      <c r="BY727" s="129">
        <f t="shared" si="546"/>
        <v>-170</v>
      </c>
      <c r="BZ727" s="111">
        <f t="shared" si="547"/>
        <v>0</v>
      </c>
      <c r="CA727" s="138">
        <f t="shared" si="548"/>
        <v>170</v>
      </c>
      <c r="CB727" s="111" t="e">
        <f t="shared" si="563"/>
        <v>#VALUE!</v>
      </c>
      <c r="CC727" s="129">
        <f t="shared" si="565"/>
        <v>170</v>
      </c>
      <c r="CD727" s="129">
        <f t="shared" si="566"/>
        <v>0</v>
      </c>
      <c r="CE727" s="129">
        <f t="shared" si="549"/>
        <v>0</v>
      </c>
      <c r="CG727" s="129" t="str">
        <f t="shared" si="550"/>
        <v>Y</v>
      </c>
      <c r="CI727" s="129" t="str">
        <f t="shared" si="551"/>
        <v>121-365 DAYS</v>
      </c>
      <c r="CJ727" s="137">
        <f t="shared" si="552"/>
        <v>6</v>
      </c>
      <c r="CK727" s="129" t="str">
        <f t="shared" si="553"/>
        <v>Booked</v>
      </c>
    </row>
    <row r="728" spans="1:89" ht="15" customHeight="1" x14ac:dyDescent="0.25">
      <c r="A728" s="111">
        <v>2498</v>
      </c>
      <c r="B728" s="128" t="str">
        <f t="shared" si="537"/>
        <v>N</v>
      </c>
      <c r="C728" s="128" t="str">
        <f t="shared" si="538"/>
        <v>N</v>
      </c>
      <c r="D728" s="117">
        <v>1483677</v>
      </c>
      <c r="E728" s="135">
        <f t="shared" si="539"/>
        <v>2</v>
      </c>
      <c r="F728" s="124">
        <v>41003</v>
      </c>
      <c r="G728" s="125">
        <v>41004</v>
      </c>
      <c r="H728" s="117">
        <v>1483677</v>
      </c>
      <c r="I728" s="124">
        <v>41003</v>
      </c>
      <c r="J728" s="124">
        <v>41004</v>
      </c>
      <c r="K728" s="126">
        <v>2000</v>
      </c>
      <c r="L728" s="127" t="s">
        <v>568</v>
      </c>
      <c r="N728" s="129" t="str">
        <f>IF(M728&gt;1/1/1,"Y","N")</f>
        <v>N</v>
      </c>
      <c r="O728" s="128" t="s">
        <v>917</v>
      </c>
      <c r="P728" s="129" t="s">
        <v>589</v>
      </c>
      <c r="Q728" s="111">
        <f t="shared" si="558"/>
        <v>2</v>
      </c>
      <c r="R728" s="111">
        <f t="shared" si="533"/>
        <v>2</v>
      </c>
      <c r="S728" s="129">
        <v>1</v>
      </c>
      <c r="T728" s="129">
        <v>2</v>
      </c>
      <c r="W728" s="111"/>
      <c r="AC728" s="130"/>
      <c r="AD728" s="130">
        <v>28695</v>
      </c>
      <c r="AE728" s="128" t="s">
        <v>46</v>
      </c>
      <c r="AF728" s="128" t="s">
        <v>33</v>
      </c>
      <c r="AG728" s="128" t="s">
        <v>872</v>
      </c>
      <c r="AH728" s="108" t="s">
        <v>58</v>
      </c>
      <c r="AI728" s="128" t="s">
        <v>59</v>
      </c>
      <c r="AJ728" s="129" t="s">
        <v>48</v>
      </c>
      <c r="AK728" s="129">
        <v>1</v>
      </c>
      <c r="AL728" s="3" t="s">
        <v>48</v>
      </c>
      <c r="AP728" s="129" t="s">
        <v>43</v>
      </c>
      <c r="AR728" s="128" t="s">
        <v>44</v>
      </c>
      <c r="AS728" s="129" t="s">
        <v>45</v>
      </c>
      <c r="AT728" s="129" t="s">
        <v>450</v>
      </c>
      <c r="BC728" s="129" t="s">
        <v>38</v>
      </c>
      <c r="BF728" s="111">
        <f t="shared" si="564"/>
        <v>2</v>
      </c>
      <c r="BG728" s="111">
        <f t="shared" si="561"/>
        <v>2</v>
      </c>
      <c r="BH728" s="111">
        <f t="shared" si="534"/>
        <v>2</v>
      </c>
      <c r="BI728" s="111">
        <f t="shared" si="535"/>
        <v>33.62841530054645</v>
      </c>
      <c r="BJ728" s="129">
        <f t="shared" si="554"/>
        <v>0</v>
      </c>
      <c r="BK728" s="129">
        <f t="shared" si="536"/>
        <v>0</v>
      </c>
      <c r="BL728" s="129" t="str">
        <f t="shared" si="517"/>
        <v>DEFERRED</v>
      </c>
      <c r="BM728" s="129" t="str">
        <f t="shared" si="555"/>
        <v>NONE</v>
      </c>
      <c r="BN728" s="129" t="s">
        <v>566</v>
      </c>
      <c r="BP728" s="137" t="str">
        <f t="shared" si="540"/>
        <v>DEFERRED</v>
      </c>
      <c r="BQ728" s="128" t="str">
        <f t="shared" si="541"/>
        <v>Y</v>
      </c>
      <c r="BR728" s="129" t="str">
        <f t="shared" si="556"/>
        <v>DETAINED</v>
      </c>
      <c r="BS728" s="129" t="str">
        <f t="shared" si="542"/>
        <v>DISPOSED</v>
      </c>
      <c r="BT728" s="129" t="str">
        <f t="shared" si="543"/>
        <v>Y</v>
      </c>
      <c r="BU728" s="109">
        <f t="shared" si="544"/>
        <v>1</v>
      </c>
      <c r="BV728" s="109">
        <f t="shared" si="557"/>
        <v>1</v>
      </c>
      <c r="BW728" s="109">
        <f t="shared" si="523"/>
        <v>0</v>
      </c>
      <c r="BX728" s="111">
        <f t="shared" si="545"/>
        <v>0</v>
      </c>
      <c r="BY728" s="129">
        <f t="shared" si="546"/>
        <v>-2</v>
      </c>
      <c r="BZ728" s="111">
        <f t="shared" si="547"/>
        <v>0</v>
      </c>
      <c r="CA728" s="138">
        <f t="shared" si="548"/>
        <v>2</v>
      </c>
      <c r="CB728" s="111" t="e">
        <f t="shared" si="563"/>
        <v>#VALUE!</v>
      </c>
      <c r="CC728" s="129">
        <f t="shared" si="565"/>
        <v>2</v>
      </c>
      <c r="CD728" s="129">
        <f t="shared" si="566"/>
        <v>0</v>
      </c>
      <c r="CE728" s="129">
        <f t="shared" si="549"/>
        <v>0</v>
      </c>
      <c r="CG728" s="129" t="str">
        <f t="shared" si="550"/>
        <v>Y</v>
      </c>
      <c r="CI728" s="129" t="str">
        <f t="shared" si="551"/>
        <v>0-10 DAYS</v>
      </c>
      <c r="CJ728" s="137">
        <f t="shared" si="552"/>
        <v>1</v>
      </c>
      <c r="CK728" s="129" t="str">
        <f t="shared" si="553"/>
        <v>Booked</v>
      </c>
    </row>
    <row r="729" spans="1:89" ht="15.75" customHeight="1" x14ac:dyDescent="0.25">
      <c r="A729" s="111">
        <v>2392</v>
      </c>
      <c r="B729" s="128" t="str">
        <f t="shared" si="537"/>
        <v>N</v>
      </c>
      <c r="C729" s="128" t="str">
        <f t="shared" si="538"/>
        <v>N</v>
      </c>
      <c r="D729" s="117">
        <v>1484348</v>
      </c>
      <c r="E729" s="135">
        <f t="shared" si="539"/>
        <v>1</v>
      </c>
      <c r="F729" s="124">
        <v>40999</v>
      </c>
      <c r="G729" s="125">
        <v>41082</v>
      </c>
      <c r="H729" s="117">
        <v>1484348</v>
      </c>
      <c r="I729" s="124">
        <v>40999</v>
      </c>
      <c r="J729" s="124">
        <v>41082</v>
      </c>
      <c r="K729" s="126" t="s">
        <v>564</v>
      </c>
      <c r="L729" s="127" t="s">
        <v>564</v>
      </c>
      <c r="N729" s="129" t="s">
        <v>566</v>
      </c>
      <c r="O729" s="128" t="s">
        <v>917</v>
      </c>
      <c r="P729" s="129" t="s">
        <v>123</v>
      </c>
      <c r="Q729" s="111">
        <f t="shared" si="558"/>
        <v>84</v>
      </c>
      <c r="R729" s="111">
        <f t="shared" si="533"/>
        <v>84</v>
      </c>
      <c r="S729" s="129">
        <v>6</v>
      </c>
      <c r="T729" s="129">
        <v>2</v>
      </c>
      <c r="U729" s="129">
        <v>4</v>
      </c>
      <c r="W729" s="111"/>
      <c r="AC729" s="130"/>
      <c r="AD729" s="130">
        <v>28713</v>
      </c>
      <c r="AE729" s="128" t="s">
        <v>32</v>
      </c>
      <c r="AF729" s="128" t="s">
        <v>40</v>
      </c>
      <c r="AG729" s="128" t="s">
        <v>41</v>
      </c>
      <c r="AH729" s="108" t="s">
        <v>41</v>
      </c>
      <c r="AI729" s="128" t="s">
        <v>141</v>
      </c>
      <c r="AJ729" s="129" t="s">
        <v>123</v>
      </c>
      <c r="AK729" s="129">
        <v>4</v>
      </c>
      <c r="AL729" s="3" t="s">
        <v>123</v>
      </c>
      <c r="AP729" s="129" t="s">
        <v>150</v>
      </c>
      <c r="AR729" s="128" t="s">
        <v>67</v>
      </c>
      <c r="AS729" s="129" t="s">
        <v>74</v>
      </c>
      <c r="BC729" s="129" t="s">
        <v>38</v>
      </c>
      <c r="BF729" s="111">
        <f t="shared" si="564"/>
        <v>84</v>
      </c>
      <c r="BG729" s="111">
        <f t="shared" si="561"/>
        <v>84</v>
      </c>
      <c r="BH729" s="111">
        <f t="shared" si="534"/>
        <v>84</v>
      </c>
      <c r="BI729" s="111">
        <f t="shared" si="535"/>
        <v>33.568306010928964</v>
      </c>
      <c r="BJ729" s="129">
        <f t="shared" si="554"/>
        <v>0</v>
      </c>
      <c r="BK729" s="129">
        <f t="shared" si="536"/>
        <v>0</v>
      </c>
      <c r="BL729" s="129" t="str">
        <f t="shared" ref="BL729:BL792" si="567">IF(OR(AL729="AQUITTAL",AL729="DISMISSED",AL729="FINE",AL729="NO BILL"),"NO CONVICTION",IF(OR(AL729="HCJ",AL729="MHH",AL729="PROBATION",AL729="STJ",AL729="TDC"),"CONVICTION",IF(AL729="DEFERRED","DEFERRED",0)))</f>
        <v>NO CONVICTION</v>
      </c>
      <c r="BM729" s="129" t="str">
        <f t="shared" si="555"/>
        <v>NONE</v>
      </c>
      <c r="BN729" s="129" t="s">
        <v>566</v>
      </c>
      <c r="BP729" s="137" t="str">
        <f t="shared" si="540"/>
        <v>NO CONVICTION</v>
      </c>
      <c r="BQ729" s="128" t="str">
        <f t="shared" si="541"/>
        <v>Y</v>
      </c>
      <c r="BR729" s="129" t="str">
        <f t="shared" si="556"/>
        <v>DETAINED</v>
      </c>
      <c r="BS729" s="129" t="str">
        <f t="shared" si="542"/>
        <v>DISPOSED</v>
      </c>
      <c r="BT729" s="129" t="str">
        <f t="shared" si="543"/>
        <v>Y</v>
      </c>
      <c r="BU729" s="109">
        <f>IFERROR(Q729/R729,BR729)</f>
        <v>1</v>
      </c>
      <c r="BV729" s="109">
        <f t="shared" si="557"/>
        <v>1</v>
      </c>
      <c r="BW729" s="109">
        <f t="shared" si="523"/>
        <v>0</v>
      </c>
      <c r="BX729" s="111">
        <f t="shared" si="545"/>
        <v>0</v>
      </c>
      <c r="BY729" s="129">
        <f t="shared" si="546"/>
        <v>-84</v>
      </c>
      <c r="BZ729" s="111">
        <f t="shared" si="547"/>
        <v>0</v>
      </c>
      <c r="CA729" s="138">
        <f t="shared" si="548"/>
        <v>84</v>
      </c>
      <c r="CB729" s="111" t="e">
        <f t="shared" si="563"/>
        <v>#VALUE!</v>
      </c>
      <c r="CC729" s="129">
        <f t="shared" si="565"/>
        <v>84</v>
      </c>
      <c r="CD729" s="129">
        <f t="shared" si="566"/>
        <v>0</v>
      </c>
      <c r="CE729" s="129">
        <f t="shared" si="549"/>
        <v>0</v>
      </c>
      <c r="CG729" s="129" t="str">
        <f t="shared" si="550"/>
        <v>Y</v>
      </c>
      <c r="CI729" s="129" t="str">
        <f t="shared" si="551"/>
        <v>61-90 DAYS</v>
      </c>
      <c r="CJ729" s="137">
        <f t="shared" si="552"/>
        <v>4</v>
      </c>
      <c r="CK729" s="129" t="str">
        <f t="shared" si="553"/>
        <v>Booked</v>
      </c>
    </row>
    <row r="730" spans="1:89" ht="15" customHeight="1" x14ac:dyDescent="0.25">
      <c r="A730" s="111">
        <v>473</v>
      </c>
      <c r="B730" s="128" t="str">
        <f t="shared" si="537"/>
        <v>N</v>
      </c>
      <c r="C730" s="128" t="str">
        <f t="shared" si="538"/>
        <v>N</v>
      </c>
      <c r="D730" s="117">
        <v>1484521</v>
      </c>
      <c r="E730" s="135">
        <f t="shared" si="539"/>
        <v>5</v>
      </c>
      <c r="F730" s="124">
        <v>40928</v>
      </c>
      <c r="G730" s="125">
        <v>40969</v>
      </c>
      <c r="H730" s="117">
        <v>1484521</v>
      </c>
      <c r="I730" s="124">
        <v>40928</v>
      </c>
      <c r="J730" s="124">
        <v>40969</v>
      </c>
      <c r="K730" s="126">
        <v>10000</v>
      </c>
      <c r="L730" s="127" t="s">
        <v>570</v>
      </c>
      <c r="N730" s="129" t="str">
        <f t="shared" ref="N730:N736" si="568">IF(M730&gt;1/1/1,"Y","N")</f>
        <v>N</v>
      </c>
      <c r="O730" s="128" t="s">
        <v>917</v>
      </c>
      <c r="P730" s="129" t="s">
        <v>39</v>
      </c>
      <c r="Q730" s="111">
        <f t="shared" si="558"/>
        <v>42</v>
      </c>
      <c r="R730" s="111">
        <f t="shared" si="533"/>
        <v>42</v>
      </c>
      <c r="S730" s="129">
        <v>0</v>
      </c>
      <c r="T730" s="129">
        <v>10</v>
      </c>
      <c r="U730" s="129">
        <v>1</v>
      </c>
      <c r="W730" s="111"/>
      <c r="AC730" s="130"/>
      <c r="AD730" s="130">
        <v>27902</v>
      </c>
      <c r="AE730" s="128" t="s">
        <v>46</v>
      </c>
      <c r="AF730" s="128" t="s">
        <v>33</v>
      </c>
      <c r="AG730" s="128" t="s">
        <v>872</v>
      </c>
      <c r="AH730" s="108" t="s">
        <v>58</v>
      </c>
      <c r="AI730" s="128" t="s">
        <v>65</v>
      </c>
      <c r="AJ730" s="129" t="s">
        <v>89</v>
      </c>
      <c r="AK730" s="129">
        <v>3</v>
      </c>
      <c r="AL730" s="3" t="s">
        <v>992</v>
      </c>
      <c r="AN730" s="117">
        <v>6</v>
      </c>
      <c r="AP730" s="129" t="s">
        <v>43</v>
      </c>
      <c r="AR730" s="128" t="s">
        <v>44</v>
      </c>
      <c r="AS730" s="129" t="s">
        <v>45</v>
      </c>
      <c r="BC730" s="129" t="s">
        <v>38</v>
      </c>
      <c r="BF730" s="111">
        <f t="shared" si="564"/>
        <v>42</v>
      </c>
      <c r="BG730" s="111">
        <f t="shared" si="561"/>
        <v>42</v>
      </c>
      <c r="BH730" s="111">
        <f t="shared" si="534"/>
        <v>42</v>
      </c>
      <c r="BI730" s="111">
        <f t="shared" si="535"/>
        <v>35.590163934426229</v>
      </c>
      <c r="BJ730" s="129">
        <f t="shared" si="554"/>
        <v>0</v>
      </c>
      <c r="BK730" s="129">
        <f t="shared" si="536"/>
        <v>0</v>
      </c>
      <c r="BL730" s="129" t="str">
        <f t="shared" si="567"/>
        <v>CONVICTION</v>
      </c>
      <c r="BM730" s="129" t="str">
        <f t="shared" si="555"/>
        <v>NONE</v>
      </c>
      <c r="BN730" s="129" t="s">
        <v>566</v>
      </c>
      <c r="BP730" s="137" t="str">
        <f t="shared" si="540"/>
        <v>CONVICTION</v>
      </c>
      <c r="BQ730" s="128" t="str">
        <f t="shared" si="541"/>
        <v>Y</v>
      </c>
      <c r="BR730" s="129" t="str">
        <f t="shared" si="556"/>
        <v>DETAINED</v>
      </c>
      <c r="BS730" s="129" t="str">
        <f t="shared" si="542"/>
        <v>DISPOSED</v>
      </c>
      <c r="BT730" s="129" t="str">
        <f t="shared" si="543"/>
        <v>N</v>
      </c>
      <c r="BU730" s="109">
        <f t="shared" si="544"/>
        <v>1</v>
      </c>
      <c r="BV730" s="109">
        <f t="shared" si="557"/>
        <v>1</v>
      </c>
      <c r="BW730" s="109">
        <f t="shared" si="523"/>
        <v>0</v>
      </c>
      <c r="BX730" s="111">
        <f t="shared" si="545"/>
        <v>0</v>
      </c>
      <c r="BY730" s="129">
        <f t="shared" si="546"/>
        <v>-42</v>
      </c>
      <c r="BZ730" s="111">
        <f t="shared" si="547"/>
        <v>0</v>
      </c>
      <c r="CA730" s="138">
        <f t="shared" si="548"/>
        <v>42</v>
      </c>
      <c r="CB730" s="111" t="e">
        <f t="shared" si="563"/>
        <v>#VALUE!</v>
      </c>
      <c r="CC730" s="129">
        <f t="shared" si="565"/>
        <v>42</v>
      </c>
      <c r="CD730" s="129">
        <f t="shared" si="566"/>
        <v>0</v>
      </c>
      <c r="CE730" s="129">
        <f t="shared" si="549"/>
        <v>0</v>
      </c>
      <c r="CG730" s="129" t="str">
        <f t="shared" si="550"/>
        <v>Y</v>
      </c>
      <c r="CI730" s="129" t="str">
        <f t="shared" si="551"/>
        <v>31-60 DAYS</v>
      </c>
      <c r="CJ730" s="137">
        <f t="shared" si="552"/>
        <v>3</v>
      </c>
      <c r="CK730" s="129" t="str">
        <f t="shared" si="553"/>
        <v>Booked</v>
      </c>
    </row>
    <row r="731" spans="1:89" ht="15.75" customHeight="1" x14ac:dyDescent="0.25">
      <c r="A731" s="111">
        <v>177</v>
      </c>
      <c r="B731" s="128" t="str">
        <f t="shared" si="537"/>
        <v>N</v>
      </c>
      <c r="C731" s="128" t="str">
        <f t="shared" si="538"/>
        <v>N</v>
      </c>
      <c r="D731" s="117">
        <v>1484883</v>
      </c>
      <c r="E731" s="135">
        <f t="shared" si="539"/>
        <v>6</v>
      </c>
      <c r="F731" s="124">
        <v>40916</v>
      </c>
      <c r="G731" s="125">
        <v>41085</v>
      </c>
      <c r="H731" s="117">
        <v>1484883</v>
      </c>
      <c r="I731" s="124">
        <v>40916</v>
      </c>
      <c r="J731" s="124">
        <v>41085</v>
      </c>
      <c r="K731" s="126">
        <v>5000</v>
      </c>
      <c r="L731" s="127" t="s">
        <v>569</v>
      </c>
      <c r="N731" s="129" t="str">
        <f t="shared" si="568"/>
        <v>N</v>
      </c>
      <c r="O731" s="128" t="s">
        <v>917</v>
      </c>
      <c r="P731" s="129" t="s">
        <v>39</v>
      </c>
      <c r="Q731" s="111">
        <f t="shared" si="558"/>
        <v>170</v>
      </c>
      <c r="R731" s="111">
        <f t="shared" si="533"/>
        <v>170</v>
      </c>
      <c r="S731" s="129">
        <v>7</v>
      </c>
      <c r="T731" s="129">
        <v>2</v>
      </c>
      <c r="U731" s="129">
        <v>5</v>
      </c>
      <c r="W731" s="111"/>
      <c r="AC731" s="130"/>
      <c r="AD731" s="130">
        <v>26304</v>
      </c>
      <c r="AE731" s="128" t="s">
        <v>32</v>
      </c>
      <c r="AF731" s="128" t="s">
        <v>33</v>
      </c>
      <c r="AG731" s="128" t="s">
        <v>872</v>
      </c>
      <c r="AH731" s="108" t="s">
        <v>31</v>
      </c>
      <c r="AI731" s="128" t="s">
        <v>141</v>
      </c>
      <c r="AJ731" s="129" t="s">
        <v>89</v>
      </c>
      <c r="AK731" s="129">
        <v>9</v>
      </c>
      <c r="AL731" s="3" t="s">
        <v>362</v>
      </c>
      <c r="AM731" s="117">
        <v>2</v>
      </c>
      <c r="AP731" s="129" t="s">
        <v>93</v>
      </c>
      <c r="AR731" s="128" t="s">
        <v>67</v>
      </c>
      <c r="AS731" s="129" t="s">
        <v>45</v>
      </c>
      <c r="BC731" s="129" t="s">
        <v>38</v>
      </c>
      <c r="BF731" s="111">
        <f t="shared" si="564"/>
        <v>170</v>
      </c>
      <c r="BG731" s="111">
        <f t="shared" si="561"/>
        <v>170</v>
      </c>
      <c r="BH731" s="111">
        <f t="shared" si="534"/>
        <v>170</v>
      </c>
      <c r="BI731" s="111">
        <f t="shared" si="535"/>
        <v>39.923497267759565</v>
      </c>
      <c r="BJ731" s="129">
        <f t="shared" si="554"/>
        <v>0</v>
      </c>
      <c r="BK731" s="129">
        <f t="shared" si="536"/>
        <v>0</v>
      </c>
      <c r="BL731" s="129" t="str">
        <f t="shared" si="567"/>
        <v>CONVICTION</v>
      </c>
      <c r="BM731" s="129" t="str">
        <f t="shared" si="555"/>
        <v>NONE</v>
      </c>
      <c r="BN731" s="129" t="s">
        <v>566</v>
      </c>
      <c r="BP731" s="137" t="str">
        <f t="shared" si="540"/>
        <v>CONVICTION</v>
      </c>
      <c r="BQ731" s="128" t="str">
        <f t="shared" si="541"/>
        <v>Y</v>
      </c>
      <c r="BR731" s="129" t="str">
        <f t="shared" si="556"/>
        <v>DETAINED</v>
      </c>
      <c r="BS731" s="129" t="str">
        <f t="shared" si="542"/>
        <v>DISPOSED</v>
      </c>
      <c r="BT731" s="129" t="str">
        <f t="shared" si="543"/>
        <v>Y</v>
      </c>
      <c r="BU731" s="109">
        <f t="shared" si="544"/>
        <v>1</v>
      </c>
      <c r="BV731" s="109">
        <f t="shared" si="557"/>
        <v>1</v>
      </c>
      <c r="BW731" s="109">
        <f t="shared" si="523"/>
        <v>0</v>
      </c>
      <c r="BX731" s="111">
        <f t="shared" si="545"/>
        <v>0</v>
      </c>
      <c r="BY731" s="129">
        <f t="shared" si="546"/>
        <v>-170</v>
      </c>
      <c r="BZ731" s="111">
        <f t="shared" si="547"/>
        <v>0</v>
      </c>
      <c r="CA731" s="138">
        <f t="shared" si="548"/>
        <v>170</v>
      </c>
      <c r="CB731" s="111" t="e">
        <f t="shared" si="563"/>
        <v>#VALUE!</v>
      </c>
      <c r="CC731" s="129">
        <f t="shared" si="565"/>
        <v>170</v>
      </c>
      <c r="CD731" s="129">
        <f t="shared" si="566"/>
        <v>0</v>
      </c>
      <c r="CE731" s="129">
        <f t="shared" si="549"/>
        <v>0</v>
      </c>
      <c r="CG731" s="129" t="str">
        <f t="shared" si="550"/>
        <v>Y</v>
      </c>
      <c r="CI731" s="129" t="str">
        <f t="shared" si="551"/>
        <v>121-365 DAYS</v>
      </c>
      <c r="CJ731" s="137">
        <f t="shared" si="552"/>
        <v>6</v>
      </c>
      <c r="CK731" s="129" t="str">
        <f t="shared" si="553"/>
        <v>Booked</v>
      </c>
    </row>
    <row r="732" spans="1:89" ht="15" customHeight="1" x14ac:dyDescent="0.25">
      <c r="A732" s="111">
        <v>1806</v>
      </c>
      <c r="B732" s="128" t="str">
        <f t="shared" si="537"/>
        <v>N</v>
      </c>
      <c r="C732" s="128" t="str">
        <f t="shared" si="538"/>
        <v>N</v>
      </c>
      <c r="D732" s="117">
        <v>1486024</v>
      </c>
      <c r="E732" s="135">
        <f t="shared" si="539"/>
        <v>6</v>
      </c>
      <c r="F732" s="124">
        <v>40976</v>
      </c>
      <c r="G732" s="125">
        <v>41180</v>
      </c>
      <c r="H732" s="117">
        <v>1486024</v>
      </c>
      <c r="I732" s="124">
        <v>40978</v>
      </c>
      <c r="J732" s="124">
        <v>41180</v>
      </c>
      <c r="K732" s="126">
        <v>40000</v>
      </c>
      <c r="L732" s="129" t="s">
        <v>572</v>
      </c>
      <c r="N732" s="129" t="str">
        <f t="shared" si="568"/>
        <v>N</v>
      </c>
      <c r="O732" s="128" t="s">
        <v>917</v>
      </c>
      <c r="P732" s="129" t="s">
        <v>39</v>
      </c>
      <c r="Q732" s="111">
        <f t="shared" si="558"/>
        <v>203</v>
      </c>
      <c r="R732" s="111">
        <f t="shared" si="533"/>
        <v>205</v>
      </c>
      <c r="S732" s="129">
        <v>6</v>
      </c>
      <c r="T732" s="129">
        <v>1</v>
      </c>
      <c r="U732" s="129">
        <v>3</v>
      </c>
      <c r="W732" s="111"/>
      <c r="AC732" s="130"/>
      <c r="AD732" s="130">
        <v>28260</v>
      </c>
      <c r="AE732" s="128" t="s">
        <v>32</v>
      </c>
      <c r="AF732" s="128" t="s">
        <v>33</v>
      </c>
      <c r="AG732" s="128" t="s">
        <v>872</v>
      </c>
      <c r="AH732" s="108" t="s">
        <v>58</v>
      </c>
      <c r="AI732" s="128" t="s">
        <v>141</v>
      </c>
      <c r="AJ732" s="129" t="s">
        <v>89</v>
      </c>
      <c r="AK732" s="129">
        <v>8</v>
      </c>
      <c r="AL732" s="3" t="s">
        <v>362</v>
      </c>
      <c r="AM732" s="117">
        <v>6</v>
      </c>
      <c r="AP732" s="129" t="s">
        <v>125</v>
      </c>
      <c r="AR732" s="128" t="s">
        <v>50</v>
      </c>
      <c r="AS732" s="129" t="s">
        <v>126</v>
      </c>
      <c r="BC732" s="129" t="s">
        <v>38</v>
      </c>
      <c r="BF732" s="111">
        <f t="shared" si="564"/>
        <v>203</v>
      </c>
      <c r="BG732" s="111">
        <f t="shared" si="561"/>
        <v>203</v>
      </c>
      <c r="BH732" s="111">
        <f t="shared" si="534"/>
        <v>205</v>
      </c>
      <c r="BI732" s="111">
        <f t="shared" si="535"/>
        <v>34.743169398907106</v>
      </c>
      <c r="BJ732" s="129">
        <f t="shared" si="554"/>
        <v>0</v>
      </c>
      <c r="BK732" s="129">
        <f t="shared" si="536"/>
        <v>0</v>
      </c>
      <c r="BL732" s="129" t="str">
        <f t="shared" si="567"/>
        <v>CONVICTION</v>
      </c>
      <c r="BM732" s="129" t="str">
        <f t="shared" si="555"/>
        <v>NONE</v>
      </c>
      <c r="BN732" s="129" t="s">
        <v>566</v>
      </c>
      <c r="BP732" s="137" t="str">
        <f t="shared" si="540"/>
        <v>CONVICTION</v>
      </c>
      <c r="BQ732" s="128" t="str">
        <f t="shared" si="541"/>
        <v>Y</v>
      </c>
      <c r="BR732" s="129" t="str">
        <f t="shared" si="556"/>
        <v>DETAINED</v>
      </c>
      <c r="BS732" s="129" t="str">
        <f t="shared" si="542"/>
        <v>DISPOSED</v>
      </c>
      <c r="BT732" s="129" t="str">
        <f t="shared" si="543"/>
        <v>Y</v>
      </c>
      <c r="BU732" s="109">
        <f t="shared" si="544"/>
        <v>0.99024390243902438</v>
      </c>
      <c r="BV732" s="109">
        <f t="shared" si="557"/>
        <v>1</v>
      </c>
      <c r="BW732" s="109">
        <f t="shared" si="523"/>
        <v>9.7560975609756184E-3</v>
      </c>
      <c r="BX732" s="111">
        <f t="shared" si="545"/>
        <v>0</v>
      </c>
      <c r="BY732" s="129">
        <f t="shared" si="546"/>
        <v>-203</v>
      </c>
      <c r="BZ732" s="111">
        <f t="shared" si="547"/>
        <v>0</v>
      </c>
      <c r="CA732" s="138">
        <f t="shared" si="548"/>
        <v>203</v>
      </c>
      <c r="CB732" s="111" t="e">
        <f t="shared" si="563"/>
        <v>#VALUE!</v>
      </c>
      <c r="CC732" s="129">
        <f t="shared" si="565"/>
        <v>203</v>
      </c>
      <c r="CD732" s="129">
        <f t="shared" si="566"/>
        <v>0</v>
      </c>
      <c r="CE732" s="129">
        <f t="shared" si="549"/>
        <v>0</v>
      </c>
      <c r="CG732" s="129" t="str">
        <f t="shared" si="550"/>
        <v>Y</v>
      </c>
      <c r="CI732" s="129" t="str">
        <f t="shared" si="551"/>
        <v>121-365 DAYS</v>
      </c>
      <c r="CJ732" s="137">
        <f t="shared" si="552"/>
        <v>6</v>
      </c>
      <c r="CK732" s="129" t="str">
        <f t="shared" si="553"/>
        <v>Booked</v>
      </c>
    </row>
    <row r="733" spans="1:89" ht="15.75" customHeight="1" x14ac:dyDescent="0.25">
      <c r="A733" s="111">
        <v>2296</v>
      </c>
      <c r="B733" s="128" t="str">
        <f t="shared" si="537"/>
        <v>N</v>
      </c>
      <c r="C733" s="128" t="str">
        <f t="shared" si="538"/>
        <v>N</v>
      </c>
      <c r="D733" s="117">
        <v>1486793</v>
      </c>
      <c r="E733" s="135">
        <f t="shared" si="539"/>
        <v>5</v>
      </c>
      <c r="F733" s="124">
        <v>40996</v>
      </c>
      <c r="G733" s="125">
        <v>41031</v>
      </c>
      <c r="H733" s="117">
        <v>1486793</v>
      </c>
      <c r="I733" s="124">
        <v>40996</v>
      </c>
      <c r="J733" s="124">
        <v>41031</v>
      </c>
      <c r="K733" s="126">
        <v>15000</v>
      </c>
      <c r="L733" s="127" t="s">
        <v>571</v>
      </c>
      <c r="N733" s="129" t="str">
        <f t="shared" si="568"/>
        <v>N</v>
      </c>
      <c r="O733" s="128" t="s">
        <v>917</v>
      </c>
      <c r="P733" s="129" t="s">
        <v>39</v>
      </c>
      <c r="Q733" s="111">
        <f t="shared" si="558"/>
        <v>36</v>
      </c>
      <c r="R733" s="111">
        <f t="shared" si="533"/>
        <v>36</v>
      </c>
      <c r="S733" s="129">
        <v>3</v>
      </c>
      <c r="T733" s="129">
        <v>2</v>
      </c>
      <c r="U733" s="129">
        <v>3</v>
      </c>
      <c r="W733" s="115"/>
      <c r="X733" s="114"/>
      <c r="Y733" s="32"/>
      <c r="Z733" s="32"/>
      <c r="AC733" s="130"/>
      <c r="AD733" s="130">
        <v>28164</v>
      </c>
      <c r="AE733" s="128" t="s">
        <v>46</v>
      </c>
      <c r="AF733" s="128" t="s">
        <v>40</v>
      </c>
      <c r="AG733" s="128" t="s">
        <v>41</v>
      </c>
      <c r="AH733" s="108" t="s">
        <v>41</v>
      </c>
      <c r="AI733" s="128" t="s">
        <v>71</v>
      </c>
      <c r="AJ733" s="129" t="s">
        <v>89</v>
      </c>
      <c r="AK733" s="129">
        <v>2</v>
      </c>
      <c r="AL733" s="3" t="s">
        <v>992</v>
      </c>
      <c r="AN733" s="117">
        <v>6</v>
      </c>
      <c r="AP733" s="129" t="s">
        <v>60</v>
      </c>
      <c r="AR733" s="128" t="s">
        <v>44</v>
      </c>
      <c r="AS733" s="129" t="s">
        <v>61</v>
      </c>
      <c r="BC733" s="129" t="s">
        <v>38</v>
      </c>
      <c r="BF733" s="111">
        <f t="shared" si="564"/>
        <v>36</v>
      </c>
      <c r="BG733" s="111">
        <f t="shared" si="561"/>
        <v>36</v>
      </c>
      <c r="BH733" s="111">
        <f t="shared" si="534"/>
        <v>36</v>
      </c>
      <c r="BI733" s="111">
        <f t="shared" si="535"/>
        <v>35.060109289617486</v>
      </c>
      <c r="BJ733" s="129">
        <f t="shared" si="554"/>
        <v>0</v>
      </c>
      <c r="BK733" s="129">
        <f t="shared" si="536"/>
        <v>0</v>
      </c>
      <c r="BL733" s="129" t="str">
        <f t="shared" si="567"/>
        <v>CONVICTION</v>
      </c>
      <c r="BM733" s="129" t="str">
        <f t="shared" si="555"/>
        <v>NONE</v>
      </c>
      <c r="BN733" s="129" t="s">
        <v>566</v>
      </c>
      <c r="BP733" s="137" t="str">
        <f t="shared" si="540"/>
        <v>CONVICTION</v>
      </c>
      <c r="BQ733" s="128" t="str">
        <f t="shared" si="541"/>
        <v>Y</v>
      </c>
      <c r="BR733" s="129" t="str">
        <f t="shared" si="556"/>
        <v>DETAINED</v>
      </c>
      <c r="BS733" s="129" t="str">
        <f t="shared" si="542"/>
        <v>DISPOSED</v>
      </c>
      <c r="BT733" s="129" t="str">
        <f t="shared" si="543"/>
        <v>Y</v>
      </c>
      <c r="BU733" s="109">
        <f t="shared" si="544"/>
        <v>1</v>
      </c>
      <c r="BV733" s="109">
        <f t="shared" si="557"/>
        <v>1</v>
      </c>
      <c r="BW733" s="109">
        <f t="shared" si="523"/>
        <v>0</v>
      </c>
      <c r="BX733" s="111">
        <f t="shared" si="545"/>
        <v>0</v>
      </c>
      <c r="BY733" s="129">
        <f t="shared" si="546"/>
        <v>-36</v>
      </c>
      <c r="BZ733" s="111">
        <f t="shared" si="547"/>
        <v>0</v>
      </c>
      <c r="CA733" s="138">
        <f t="shared" si="548"/>
        <v>36</v>
      </c>
      <c r="CB733" s="111" t="e">
        <f t="shared" si="563"/>
        <v>#VALUE!</v>
      </c>
      <c r="CC733" s="129">
        <f t="shared" si="565"/>
        <v>36</v>
      </c>
      <c r="CD733" s="129">
        <f t="shared" si="566"/>
        <v>0</v>
      </c>
      <c r="CE733" s="129">
        <f t="shared" si="549"/>
        <v>0</v>
      </c>
      <c r="CG733" s="129" t="str">
        <f t="shared" si="550"/>
        <v>Y</v>
      </c>
      <c r="CI733" s="129" t="str">
        <f t="shared" si="551"/>
        <v>31-60 DAYS</v>
      </c>
      <c r="CJ733" s="137">
        <f t="shared" si="552"/>
        <v>3</v>
      </c>
      <c r="CK733" s="129" t="str">
        <f t="shared" si="553"/>
        <v>Booked</v>
      </c>
    </row>
    <row r="734" spans="1:89" ht="15" customHeight="1" x14ac:dyDescent="0.25">
      <c r="A734" s="111">
        <v>1734</v>
      </c>
      <c r="B734" s="128" t="str">
        <f t="shared" si="537"/>
        <v>N</v>
      </c>
      <c r="C734" s="128" t="str">
        <f t="shared" si="538"/>
        <v>N</v>
      </c>
      <c r="D734" s="117">
        <v>1486875</v>
      </c>
      <c r="E734" s="135">
        <f t="shared" si="539"/>
        <v>4</v>
      </c>
      <c r="F734" s="124">
        <v>40973</v>
      </c>
      <c r="G734" s="125">
        <v>40975</v>
      </c>
      <c r="H734" s="117">
        <v>1486875</v>
      </c>
      <c r="I734" s="124">
        <v>40973</v>
      </c>
      <c r="J734" s="124">
        <v>40975</v>
      </c>
      <c r="K734" s="126">
        <v>15000</v>
      </c>
      <c r="L734" s="127" t="s">
        <v>571</v>
      </c>
      <c r="N734" s="129" t="str">
        <f t="shared" si="568"/>
        <v>N</v>
      </c>
      <c r="O734" s="128" t="s">
        <v>917</v>
      </c>
      <c r="P734" s="129" t="s">
        <v>39</v>
      </c>
      <c r="Q734" s="111">
        <f t="shared" si="558"/>
        <v>3</v>
      </c>
      <c r="R734" s="111">
        <f t="shared" si="533"/>
        <v>3</v>
      </c>
      <c r="S734" s="129">
        <v>8</v>
      </c>
      <c r="T734" s="129">
        <v>5</v>
      </c>
      <c r="U734" s="129">
        <v>5</v>
      </c>
      <c r="W734" s="111"/>
      <c r="AC734" s="130"/>
      <c r="AD734" s="130">
        <v>26372</v>
      </c>
      <c r="AE734" s="128" t="s">
        <v>46</v>
      </c>
      <c r="AF734" s="128" t="s">
        <v>33</v>
      </c>
      <c r="AG734" s="128" t="s">
        <v>872</v>
      </c>
      <c r="AH734" s="108" t="s">
        <v>58</v>
      </c>
      <c r="AI734" s="128" t="s">
        <v>34</v>
      </c>
      <c r="AJ734" s="129" t="s">
        <v>89</v>
      </c>
      <c r="AK734" s="129">
        <v>1</v>
      </c>
      <c r="AL734" s="3" t="s">
        <v>991</v>
      </c>
      <c r="AO734" s="128">
        <v>90</v>
      </c>
      <c r="AP734" s="129" t="s">
        <v>43</v>
      </c>
      <c r="AR734" s="128" t="s">
        <v>44</v>
      </c>
      <c r="AS734" s="129" t="s">
        <v>45</v>
      </c>
      <c r="BC734" s="129" t="s">
        <v>38</v>
      </c>
      <c r="BF734" s="111">
        <f t="shared" si="564"/>
        <v>3</v>
      </c>
      <c r="BG734" s="111">
        <f t="shared" si="561"/>
        <v>3</v>
      </c>
      <c r="BH734" s="111">
        <f t="shared" si="534"/>
        <v>3</v>
      </c>
      <c r="BI734" s="111">
        <f t="shared" si="535"/>
        <v>39.893442622950822</v>
      </c>
      <c r="BJ734" s="129">
        <f t="shared" si="554"/>
        <v>0</v>
      </c>
      <c r="BK734" s="129">
        <f t="shared" si="536"/>
        <v>0</v>
      </c>
      <c r="BL734" s="129" t="str">
        <f t="shared" si="567"/>
        <v>CONVICTION</v>
      </c>
      <c r="BM734" s="129" t="str">
        <f t="shared" si="555"/>
        <v>NONE</v>
      </c>
      <c r="BN734" s="129" t="s">
        <v>566</v>
      </c>
      <c r="BP734" s="137" t="str">
        <f t="shared" si="540"/>
        <v>CONVICTION</v>
      </c>
      <c r="BQ734" s="128" t="str">
        <f t="shared" si="541"/>
        <v>Y</v>
      </c>
      <c r="BR734" s="129" t="str">
        <f t="shared" si="556"/>
        <v>DETAINED</v>
      </c>
      <c r="BS734" s="129" t="str">
        <f t="shared" si="542"/>
        <v>DISPOSED</v>
      </c>
      <c r="BT734" s="129" t="str">
        <f t="shared" si="543"/>
        <v>Y</v>
      </c>
      <c r="BU734" s="109">
        <f t="shared" si="544"/>
        <v>1</v>
      </c>
      <c r="BV734" s="109">
        <f t="shared" si="557"/>
        <v>1</v>
      </c>
      <c r="BW734" s="109">
        <f t="shared" si="523"/>
        <v>0</v>
      </c>
      <c r="BX734" s="111">
        <f t="shared" si="545"/>
        <v>0</v>
      </c>
      <c r="BY734" s="129">
        <f t="shared" si="546"/>
        <v>-3</v>
      </c>
      <c r="BZ734" s="111">
        <f t="shared" si="547"/>
        <v>0</v>
      </c>
      <c r="CA734" s="138">
        <f t="shared" si="548"/>
        <v>3</v>
      </c>
      <c r="CB734" s="111" t="e">
        <f t="shared" si="563"/>
        <v>#VALUE!</v>
      </c>
      <c r="CC734" s="129">
        <f t="shared" si="565"/>
        <v>3</v>
      </c>
      <c r="CD734" s="129">
        <f t="shared" si="566"/>
        <v>0</v>
      </c>
      <c r="CE734" s="129">
        <f t="shared" si="549"/>
        <v>0</v>
      </c>
      <c r="CG734" s="129" t="str">
        <f t="shared" si="550"/>
        <v>Y</v>
      </c>
      <c r="CI734" s="129" t="str">
        <f t="shared" si="551"/>
        <v>0-10 DAYS</v>
      </c>
      <c r="CJ734" s="137">
        <f t="shared" si="552"/>
        <v>1</v>
      </c>
      <c r="CK734" s="129" t="str">
        <f t="shared" si="553"/>
        <v>Booked</v>
      </c>
    </row>
    <row r="735" spans="1:89" ht="15.75" customHeight="1" x14ac:dyDescent="0.25">
      <c r="A735" s="111">
        <v>1547</v>
      </c>
      <c r="B735" s="128" t="str">
        <f t="shared" si="537"/>
        <v>N</v>
      </c>
      <c r="C735" s="128" t="str">
        <f t="shared" si="538"/>
        <v>N</v>
      </c>
      <c r="D735" s="117">
        <v>1487066</v>
      </c>
      <c r="E735" s="135">
        <f t="shared" si="539"/>
        <v>1</v>
      </c>
      <c r="F735" s="124">
        <v>40966</v>
      </c>
      <c r="G735" s="125">
        <v>41128</v>
      </c>
      <c r="H735" s="117">
        <v>1487066</v>
      </c>
      <c r="I735" s="124">
        <v>40966</v>
      </c>
      <c r="J735" s="124">
        <v>41128</v>
      </c>
      <c r="K735" s="126">
        <v>50000</v>
      </c>
      <c r="L735" s="129" t="s">
        <v>572</v>
      </c>
      <c r="N735" s="129" t="str">
        <f t="shared" si="568"/>
        <v>N</v>
      </c>
      <c r="O735" s="128" t="s">
        <v>917</v>
      </c>
      <c r="P735" s="129" t="s">
        <v>55</v>
      </c>
      <c r="Q735" s="111">
        <f t="shared" si="558"/>
        <v>163</v>
      </c>
      <c r="R735" s="111">
        <f t="shared" si="533"/>
        <v>163</v>
      </c>
      <c r="S735" s="129">
        <v>10</v>
      </c>
      <c r="T735" s="129">
        <v>4</v>
      </c>
      <c r="U735" s="129">
        <v>7</v>
      </c>
      <c r="W735" s="111"/>
      <c r="AC735" s="130"/>
      <c r="AD735" s="130">
        <v>28581</v>
      </c>
      <c r="AE735" s="128" t="s">
        <v>32</v>
      </c>
      <c r="AF735" s="128" t="s">
        <v>33</v>
      </c>
      <c r="AG735" s="128" t="s">
        <v>872</v>
      </c>
      <c r="AH735" s="108" t="s">
        <v>58</v>
      </c>
      <c r="AI735" s="128" t="s">
        <v>113</v>
      </c>
      <c r="AJ735" s="129" t="s">
        <v>55</v>
      </c>
      <c r="AK735" s="129">
        <v>10</v>
      </c>
      <c r="AL735" s="3" t="s">
        <v>55</v>
      </c>
      <c r="AP735" s="129" t="s">
        <v>336</v>
      </c>
      <c r="AR735" s="128" t="s">
        <v>46</v>
      </c>
      <c r="AS735" s="129" t="s">
        <v>82</v>
      </c>
      <c r="BC735" s="129" t="s">
        <v>38</v>
      </c>
      <c r="BF735" s="111">
        <f t="shared" si="564"/>
        <v>163</v>
      </c>
      <c r="BG735" s="111">
        <f t="shared" si="561"/>
        <v>163</v>
      </c>
      <c r="BH735" s="111">
        <f t="shared" si="534"/>
        <v>163</v>
      </c>
      <c r="BI735" s="111">
        <f t="shared" si="535"/>
        <v>33.838797814207652</v>
      </c>
      <c r="BJ735" s="129">
        <f t="shared" si="554"/>
        <v>0</v>
      </c>
      <c r="BK735" s="129">
        <f t="shared" si="536"/>
        <v>0</v>
      </c>
      <c r="BL735" s="129" t="str">
        <f t="shared" si="567"/>
        <v>NO CONVICTION</v>
      </c>
      <c r="BM735" s="129" t="str">
        <f t="shared" si="555"/>
        <v>NONE</v>
      </c>
      <c r="BN735" s="129" t="s">
        <v>566</v>
      </c>
      <c r="BP735" s="137" t="str">
        <f t="shared" si="540"/>
        <v>NO CONVICTION</v>
      </c>
      <c r="BQ735" s="128" t="str">
        <f t="shared" si="541"/>
        <v>Y</v>
      </c>
      <c r="BR735" s="129" t="str">
        <f t="shared" si="556"/>
        <v>DETAINED</v>
      </c>
      <c r="BS735" s="129" t="str">
        <f t="shared" si="542"/>
        <v>DISPOSED</v>
      </c>
      <c r="BT735" s="129" t="str">
        <f t="shared" si="543"/>
        <v>Y</v>
      </c>
      <c r="BU735" s="109">
        <f>IFERROR(Q735/R735,BR735)</f>
        <v>1</v>
      </c>
      <c r="BV735" s="109">
        <f t="shared" si="557"/>
        <v>1</v>
      </c>
      <c r="BW735" s="109">
        <f t="shared" si="523"/>
        <v>0</v>
      </c>
      <c r="BX735" s="111">
        <f t="shared" si="545"/>
        <v>0</v>
      </c>
      <c r="BY735" s="129">
        <f t="shared" si="546"/>
        <v>-163</v>
      </c>
      <c r="BZ735" s="111">
        <f t="shared" si="547"/>
        <v>0</v>
      </c>
      <c r="CA735" s="138">
        <f t="shared" si="548"/>
        <v>163</v>
      </c>
      <c r="CB735" s="111" t="e">
        <f t="shared" si="563"/>
        <v>#VALUE!</v>
      </c>
      <c r="CC735" s="129">
        <f t="shared" si="565"/>
        <v>163</v>
      </c>
      <c r="CD735" s="129">
        <f t="shared" si="566"/>
        <v>0</v>
      </c>
      <c r="CE735" s="129">
        <f t="shared" si="549"/>
        <v>0</v>
      </c>
      <c r="CG735" s="129" t="str">
        <f t="shared" si="550"/>
        <v>Y</v>
      </c>
      <c r="CI735" s="129" t="str">
        <f t="shared" si="551"/>
        <v>121-365 DAYS</v>
      </c>
      <c r="CJ735" s="137">
        <f t="shared" si="552"/>
        <v>6</v>
      </c>
      <c r="CK735" s="129" t="str">
        <f t="shared" si="553"/>
        <v>Booked</v>
      </c>
    </row>
    <row r="736" spans="1:89" ht="15" customHeight="1" x14ac:dyDescent="0.25">
      <c r="A736" s="111">
        <v>1702</v>
      </c>
      <c r="B736" s="128" t="str">
        <f t="shared" si="537"/>
        <v>N</v>
      </c>
      <c r="C736" s="128" t="str">
        <f t="shared" si="538"/>
        <v>N</v>
      </c>
      <c r="D736" s="117">
        <v>1489147</v>
      </c>
      <c r="E736" s="135">
        <f t="shared" si="539"/>
        <v>2</v>
      </c>
      <c r="F736" s="124">
        <v>40972</v>
      </c>
      <c r="G736" s="125">
        <v>41079</v>
      </c>
      <c r="H736" s="117">
        <v>1489147</v>
      </c>
      <c r="I736" s="124">
        <v>40972</v>
      </c>
      <c r="J736" s="124">
        <v>41079</v>
      </c>
      <c r="K736" s="126">
        <v>20000</v>
      </c>
      <c r="L736" s="127" t="s">
        <v>571</v>
      </c>
      <c r="N736" s="129" t="str">
        <f t="shared" si="568"/>
        <v>N</v>
      </c>
      <c r="O736" s="128" t="s">
        <v>917</v>
      </c>
      <c r="P736" s="129" t="s">
        <v>589</v>
      </c>
      <c r="Q736" s="111">
        <f t="shared" si="558"/>
        <v>108</v>
      </c>
      <c r="R736" s="111">
        <f t="shared" si="533"/>
        <v>108</v>
      </c>
      <c r="S736" s="129">
        <v>4</v>
      </c>
      <c r="T736" s="129">
        <v>6</v>
      </c>
      <c r="U736" s="129">
        <v>1</v>
      </c>
      <c r="W736" s="111"/>
      <c r="AC736" s="130"/>
      <c r="AD736" s="130">
        <v>28654</v>
      </c>
      <c r="AE736" s="128" t="s">
        <v>46</v>
      </c>
      <c r="AF736" s="128" t="s">
        <v>33</v>
      </c>
      <c r="AG736" s="128" t="s">
        <v>872</v>
      </c>
      <c r="AH736" s="108" t="s">
        <v>58</v>
      </c>
      <c r="AI736" s="128" t="s">
        <v>95</v>
      </c>
      <c r="AJ736" s="129" t="s">
        <v>48</v>
      </c>
      <c r="AK736" s="129">
        <v>6</v>
      </c>
      <c r="AL736" s="3" t="s">
        <v>48</v>
      </c>
      <c r="AP736" s="129" t="s">
        <v>56</v>
      </c>
      <c r="AR736" s="128" t="s">
        <v>50</v>
      </c>
      <c r="AS736" s="129" t="s">
        <v>57</v>
      </c>
      <c r="BC736" s="129" t="s">
        <v>38</v>
      </c>
      <c r="BF736" s="111">
        <f t="shared" si="564"/>
        <v>108</v>
      </c>
      <c r="BG736" s="111">
        <f t="shared" si="561"/>
        <v>108</v>
      </c>
      <c r="BH736" s="111">
        <f t="shared" si="534"/>
        <v>108</v>
      </c>
      <c r="BI736" s="111">
        <f t="shared" si="535"/>
        <v>33.655737704918032</v>
      </c>
      <c r="BJ736" s="129">
        <f t="shared" si="554"/>
        <v>0</v>
      </c>
      <c r="BK736" s="129">
        <f t="shared" si="536"/>
        <v>0</v>
      </c>
      <c r="BL736" s="129" t="str">
        <f t="shared" si="567"/>
        <v>DEFERRED</v>
      </c>
      <c r="BM736" s="129" t="str">
        <f t="shared" si="555"/>
        <v>NONE</v>
      </c>
      <c r="BN736" s="129" t="s">
        <v>566</v>
      </c>
      <c r="BP736" s="137" t="str">
        <f t="shared" si="540"/>
        <v>DEFERRED</v>
      </c>
      <c r="BQ736" s="128" t="str">
        <f t="shared" si="541"/>
        <v>Y</v>
      </c>
      <c r="BR736" s="129" t="str">
        <f t="shared" si="556"/>
        <v>DETAINED</v>
      </c>
      <c r="BS736" s="129" t="str">
        <f t="shared" si="542"/>
        <v>DISPOSED</v>
      </c>
      <c r="BT736" s="129" t="str">
        <f t="shared" si="543"/>
        <v>Y</v>
      </c>
      <c r="BU736" s="109">
        <f t="shared" si="544"/>
        <v>1</v>
      </c>
      <c r="BV736" s="109">
        <f t="shared" si="557"/>
        <v>1</v>
      </c>
      <c r="BW736" s="109">
        <f t="shared" si="523"/>
        <v>0</v>
      </c>
      <c r="BX736" s="111">
        <f t="shared" si="545"/>
        <v>0</v>
      </c>
      <c r="BY736" s="129">
        <f t="shared" si="546"/>
        <v>-108</v>
      </c>
      <c r="BZ736" s="111">
        <f t="shared" si="547"/>
        <v>0</v>
      </c>
      <c r="CA736" s="138">
        <f t="shared" si="548"/>
        <v>108</v>
      </c>
      <c r="CB736" s="111" t="e">
        <f t="shared" si="563"/>
        <v>#VALUE!</v>
      </c>
      <c r="CC736" s="129">
        <f t="shared" si="565"/>
        <v>108</v>
      </c>
      <c r="CD736" s="129">
        <f t="shared" si="566"/>
        <v>0</v>
      </c>
      <c r="CE736" s="129">
        <f t="shared" si="549"/>
        <v>0</v>
      </c>
      <c r="CG736" s="129" t="str">
        <f t="shared" si="550"/>
        <v>Y</v>
      </c>
      <c r="CI736" s="129" t="str">
        <f t="shared" si="551"/>
        <v>91-120 DAYS</v>
      </c>
      <c r="CJ736" s="137">
        <f t="shared" si="552"/>
        <v>0</v>
      </c>
      <c r="CK736" s="129" t="str">
        <f t="shared" si="553"/>
        <v>Booked</v>
      </c>
    </row>
    <row r="737" spans="1:89" ht="15" customHeight="1" x14ac:dyDescent="0.25">
      <c r="A737" s="111">
        <v>1790</v>
      </c>
      <c r="B737" s="128" t="str">
        <f t="shared" si="537"/>
        <v>N</v>
      </c>
      <c r="C737" s="128" t="str">
        <f t="shared" si="538"/>
        <v>N</v>
      </c>
      <c r="D737" s="117">
        <v>1490971</v>
      </c>
      <c r="E737" s="135">
        <f t="shared" si="539"/>
        <v>6</v>
      </c>
      <c r="F737" s="124">
        <v>40975</v>
      </c>
      <c r="G737" s="125">
        <v>41130</v>
      </c>
      <c r="H737" s="117">
        <v>1490971</v>
      </c>
      <c r="I737" s="124" t="s">
        <v>562</v>
      </c>
      <c r="J737" s="124" t="s">
        <v>562</v>
      </c>
      <c r="K737" s="126">
        <v>15000</v>
      </c>
      <c r="L737" s="127" t="s">
        <v>571</v>
      </c>
      <c r="M737" s="125">
        <v>40984</v>
      </c>
      <c r="N737" s="129" t="str">
        <f>IF(M737&gt;1/1/1,"Y",IF(Q737="0","","N"))</f>
        <v>Y</v>
      </c>
      <c r="O737" s="128" t="s">
        <v>76</v>
      </c>
      <c r="P737" s="129" t="s">
        <v>39</v>
      </c>
      <c r="Q737" s="111">
        <f t="shared" si="558"/>
        <v>0</v>
      </c>
      <c r="R737" s="111">
        <f t="shared" si="533"/>
        <v>156</v>
      </c>
      <c r="S737" s="129">
        <v>5</v>
      </c>
      <c r="T737" s="129">
        <v>0</v>
      </c>
      <c r="U737" s="129">
        <v>4</v>
      </c>
      <c r="W737" s="111"/>
      <c r="AC737" s="130"/>
      <c r="AD737" s="130">
        <v>26191</v>
      </c>
      <c r="AE737" s="128" t="s">
        <v>32</v>
      </c>
      <c r="AF737" s="128" t="s">
        <v>69</v>
      </c>
      <c r="AG737" s="128" t="s">
        <v>874</v>
      </c>
      <c r="AH737" s="108" t="s">
        <v>58</v>
      </c>
      <c r="AI737" s="128" t="s">
        <v>87</v>
      </c>
      <c r="AJ737" s="129" t="s">
        <v>89</v>
      </c>
      <c r="AK737" s="129">
        <v>11</v>
      </c>
      <c r="AL737" s="3" t="s">
        <v>362</v>
      </c>
      <c r="AM737" s="117">
        <v>10</v>
      </c>
      <c r="AP737" s="129" t="s">
        <v>227</v>
      </c>
      <c r="AR737" s="128" t="s">
        <v>67</v>
      </c>
      <c r="AS737" s="129" t="s">
        <v>64</v>
      </c>
      <c r="BC737" s="129" t="s">
        <v>52</v>
      </c>
      <c r="BF737" s="111">
        <v>0</v>
      </c>
      <c r="BG737" s="111">
        <v>0</v>
      </c>
      <c r="BH737" s="111">
        <f t="shared" si="534"/>
        <v>156</v>
      </c>
      <c r="BI737" s="111">
        <f t="shared" si="535"/>
        <v>40.393442622950822</v>
      </c>
      <c r="BJ737" s="129" t="e">
        <f>(G737-J737)+(M737-G737)</f>
        <v>#VALUE!</v>
      </c>
      <c r="BK737" s="129" t="e">
        <f t="shared" si="536"/>
        <v>#VALUE!</v>
      </c>
      <c r="BL737" s="129" t="str">
        <f t="shared" si="567"/>
        <v>CONVICTION</v>
      </c>
      <c r="BM737" s="129" t="s">
        <v>76</v>
      </c>
      <c r="BN737" s="129" t="s">
        <v>88</v>
      </c>
      <c r="BP737" s="137" t="str">
        <f t="shared" si="540"/>
        <v>CONVICTION</v>
      </c>
      <c r="BQ737" s="128">
        <f t="shared" si="541"/>
        <v>0</v>
      </c>
      <c r="BR737" s="129" t="s">
        <v>575</v>
      </c>
      <c r="BS737" s="129" t="str">
        <f t="shared" si="542"/>
        <v>DISPOSED</v>
      </c>
      <c r="BT737" s="129" t="str">
        <f t="shared" si="543"/>
        <v>Y</v>
      </c>
      <c r="BU737" s="109">
        <f t="shared" si="544"/>
        <v>0</v>
      </c>
      <c r="BV737" s="109">
        <v>0</v>
      </c>
      <c r="BW737" s="109">
        <f t="shared" si="523"/>
        <v>0</v>
      </c>
      <c r="BX737" s="111">
        <f t="shared" si="545"/>
        <v>0</v>
      </c>
      <c r="BY737" s="129" t="e">
        <f t="shared" si="546"/>
        <v>#VALUE!</v>
      </c>
      <c r="BZ737" s="111" t="e">
        <f t="shared" si="547"/>
        <v>#VALUE!</v>
      </c>
      <c r="CA737" s="138" t="e">
        <f t="shared" si="548"/>
        <v>#VALUE!</v>
      </c>
      <c r="CB737" s="111">
        <v>0</v>
      </c>
      <c r="CC737" s="129">
        <v>0</v>
      </c>
      <c r="CD737" s="111">
        <f>CC737-BF737</f>
        <v>0</v>
      </c>
      <c r="CE737" s="129" t="e">
        <f t="shared" si="549"/>
        <v>#VALUE!</v>
      </c>
      <c r="CG737" s="129" t="str">
        <f t="shared" si="550"/>
        <v>Y</v>
      </c>
      <c r="CI737" s="129" t="str">
        <f t="shared" si="551"/>
        <v>0-10 DAYS</v>
      </c>
      <c r="CJ737" s="137">
        <f t="shared" si="552"/>
        <v>1</v>
      </c>
      <c r="CK737" s="129" t="str">
        <f t="shared" si="553"/>
        <v>Not Booked</v>
      </c>
    </row>
    <row r="738" spans="1:89" ht="15.75" customHeight="1" x14ac:dyDescent="0.25">
      <c r="A738" s="111">
        <v>3251</v>
      </c>
      <c r="B738" s="128" t="str">
        <f t="shared" si="537"/>
        <v>N</v>
      </c>
      <c r="C738" s="128" t="str">
        <f t="shared" si="538"/>
        <v>N</v>
      </c>
      <c r="D738" s="117">
        <v>1491150</v>
      </c>
      <c r="E738" s="135">
        <f t="shared" si="539"/>
        <v>5</v>
      </c>
      <c r="F738" s="124">
        <v>41029</v>
      </c>
      <c r="G738" s="125">
        <v>41032</v>
      </c>
      <c r="H738" s="117">
        <v>1491150</v>
      </c>
      <c r="I738" s="124">
        <v>41031</v>
      </c>
      <c r="J738" s="124">
        <v>41032</v>
      </c>
      <c r="K738" s="126">
        <v>15000</v>
      </c>
      <c r="L738" s="127" t="s">
        <v>571</v>
      </c>
      <c r="N738" s="129" t="str">
        <f>IF(M738&gt;1/1/1,"Y","N")</f>
        <v>N</v>
      </c>
      <c r="O738" s="128" t="s">
        <v>917</v>
      </c>
      <c r="P738" s="129" t="s">
        <v>39</v>
      </c>
      <c r="Q738" s="111">
        <f t="shared" si="558"/>
        <v>2</v>
      </c>
      <c r="R738" s="111">
        <f t="shared" si="533"/>
        <v>4</v>
      </c>
      <c r="S738" s="129">
        <v>6</v>
      </c>
      <c r="T738" s="129">
        <v>6</v>
      </c>
      <c r="U738" s="129">
        <v>4</v>
      </c>
      <c r="W738" s="111"/>
      <c r="AC738" s="130"/>
      <c r="AD738" s="130">
        <v>28754</v>
      </c>
      <c r="AE738" s="128" t="s">
        <v>32</v>
      </c>
      <c r="AF738" s="128" t="s">
        <v>69</v>
      </c>
      <c r="AG738" s="128" t="s">
        <v>874</v>
      </c>
      <c r="AH738" s="108" t="s">
        <v>58</v>
      </c>
      <c r="AI738" s="128" t="s">
        <v>62</v>
      </c>
      <c r="AJ738" s="129" t="s">
        <v>89</v>
      </c>
      <c r="AK738" s="129">
        <v>2</v>
      </c>
      <c r="AL738" s="3" t="s">
        <v>992</v>
      </c>
      <c r="AN738" s="117">
        <v>6</v>
      </c>
      <c r="AP738" s="129" t="s">
        <v>142</v>
      </c>
      <c r="AR738" s="128" t="s">
        <v>44</v>
      </c>
      <c r="AS738" s="129" t="s">
        <v>64</v>
      </c>
      <c r="BC738" s="129" t="s">
        <v>38</v>
      </c>
      <c r="BF738" s="111">
        <f>IF(J738&gt;1/1/1900,((J738+1)-I738),"STILL OPEN")</f>
        <v>2</v>
      </c>
      <c r="BG738" s="111">
        <f>IF(G738&gt;1/1/1900,((G738+1)-I738),"STILL OPEN")</f>
        <v>2</v>
      </c>
      <c r="BH738" s="111">
        <f t="shared" si="534"/>
        <v>4</v>
      </c>
      <c r="BI738" s="111">
        <f t="shared" si="535"/>
        <v>33.538251366120221</v>
      </c>
      <c r="BJ738" s="129">
        <f t="shared" si="554"/>
        <v>0</v>
      </c>
      <c r="BK738" s="129">
        <f t="shared" si="536"/>
        <v>0</v>
      </c>
      <c r="BL738" s="129" t="str">
        <f t="shared" si="567"/>
        <v>CONVICTION</v>
      </c>
      <c r="BM738" s="129" t="str">
        <f t="shared" si="555"/>
        <v>NONE</v>
      </c>
      <c r="BN738" s="129" t="s">
        <v>566</v>
      </c>
      <c r="BP738" s="137" t="str">
        <f t="shared" si="540"/>
        <v>CONVICTION</v>
      </c>
      <c r="BQ738" s="128" t="str">
        <f t="shared" si="541"/>
        <v>Y</v>
      </c>
      <c r="BR738" s="129" t="str">
        <f t="shared" si="556"/>
        <v>DETAINED</v>
      </c>
      <c r="BS738" s="129" t="str">
        <f t="shared" si="542"/>
        <v>DISPOSED</v>
      </c>
      <c r="BT738" s="129" t="str">
        <f t="shared" si="543"/>
        <v>Y</v>
      </c>
      <c r="BU738" s="109">
        <f t="shared" si="544"/>
        <v>0.5</v>
      </c>
      <c r="BV738" s="109">
        <f t="shared" si="557"/>
        <v>1</v>
      </c>
      <c r="BW738" s="109">
        <f t="shared" si="523"/>
        <v>0.5</v>
      </c>
      <c r="BX738" s="111">
        <f t="shared" si="545"/>
        <v>0</v>
      </c>
      <c r="BY738" s="129">
        <f t="shared" si="546"/>
        <v>-2</v>
      </c>
      <c r="BZ738" s="111">
        <f t="shared" si="547"/>
        <v>0</v>
      </c>
      <c r="CA738" s="138">
        <f t="shared" si="548"/>
        <v>2</v>
      </c>
      <c r="CB738" s="111" t="e">
        <f>IF(AF738&gt;1/1/1900,((AF738+1)-AE738),"STILL OPEN")</f>
        <v>#VALUE!</v>
      </c>
      <c r="CC738" s="129">
        <f>G738-I738+1</f>
        <v>2</v>
      </c>
      <c r="CD738" s="129">
        <f>G738-J738</f>
        <v>0</v>
      </c>
      <c r="CE738" s="129">
        <f t="shared" si="549"/>
        <v>0</v>
      </c>
      <c r="CG738" s="129" t="str">
        <f t="shared" si="550"/>
        <v>Y</v>
      </c>
      <c r="CI738" s="129" t="str">
        <f t="shared" si="551"/>
        <v>0-10 DAYS</v>
      </c>
      <c r="CJ738" s="137">
        <f t="shared" si="552"/>
        <v>1</v>
      </c>
      <c r="CK738" s="129" t="str">
        <f t="shared" si="553"/>
        <v>Booked</v>
      </c>
    </row>
    <row r="739" spans="1:89" ht="15.75" customHeight="1" x14ac:dyDescent="0.25">
      <c r="A739" s="111">
        <v>2086</v>
      </c>
      <c r="B739" s="128" t="str">
        <f t="shared" si="537"/>
        <v>N</v>
      </c>
      <c r="C739" s="128" t="str">
        <f t="shared" si="538"/>
        <v>N</v>
      </c>
      <c r="D739" s="117">
        <v>1491213</v>
      </c>
      <c r="E739" s="135">
        <f t="shared" si="539"/>
        <v>1</v>
      </c>
      <c r="F739" s="124">
        <v>40987</v>
      </c>
      <c r="G739" s="125">
        <v>41116</v>
      </c>
      <c r="H739" s="117">
        <v>1491213</v>
      </c>
      <c r="I739" s="124" t="s">
        <v>562</v>
      </c>
      <c r="J739" s="124" t="s">
        <v>562</v>
      </c>
      <c r="K739" s="126">
        <v>2000</v>
      </c>
      <c r="L739" s="127" t="s">
        <v>568</v>
      </c>
      <c r="M739" s="125">
        <v>40989</v>
      </c>
      <c r="N739" s="129" t="str">
        <f>IF(M739&gt;1/1/1,"Y",IF(Q739="0","","N"))</f>
        <v>Y</v>
      </c>
      <c r="O739" s="128" t="s">
        <v>76</v>
      </c>
      <c r="P739" s="129" t="s">
        <v>55</v>
      </c>
      <c r="Q739" s="111">
        <f t="shared" si="558"/>
        <v>0</v>
      </c>
      <c r="R739" s="111">
        <f t="shared" si="533"/>
        <v>130</v>
      </c>
      <c r="S739" s="129">
        <v>0</v>
      </c>
      <c r="T739" s="129">
        <v>0</v>
      </c>
      <c r="W739" s="111"/>
      <c r="AC739" s="130"/>
      <c r="AD739" s="130">
        <v>26829</v>
      </c>
      <c r="AE739" s="128" t="s">
        <v>46</v>
      </c>
      <c r="AF739" s="128" t="s">
        <v>33</v>
      </c>
      <c r="AG739" s="128" t="s">
        <v>872</v>
      </c>
      <c r="AH739" s="108" t="s">
        <v>31</v>
      </c>
      <c r="AI739" s="128" t="s">
        <v>53</v>
      </c>
      <c r="AJ739" s="129" t="s">
        <v>55</v>
      </c>
      <c r="AK739" s="129">
        <v>7</v>
      </c>
      <c r="AL739" s="3" t="s">
        <v>55</v>
      </c>
      <c r="AP739" s="129" t="s">
        <v>379</v>
      </c>
      <c r="AR739" s="128" t="s">
        <v>44</v>
      </c>
      <c r="AS739" s="129" t="s">
        <v>64</v>
      </c>
      <c r="BC739" s="129" t="s">
        <v>52</v>
      </c>
      <c r="BF739" s="111">
        <v>0</v>
      </c>
      <c r="BG739" s="111">
        <v>0</v>
      </c>
      <c r="BH739" s="111">
        <f t="shared" si="534"/>
        <v>130</v>
      </c>
      <c r="BI739" s="111">
        <f t="shared" si="535"/>
        <v>38.68306010928962</v>
      </c>
      <c r="BJ739" s="129" t="e">
        <f>(G739-J739)+(M739-G739)</f>
        <v>#VALUE!</v>
      </c>
      <c r="BK739" s="129" t="e">
        <f t="shared" si="536"/>
        <v>#VALUE!</v>
      </c>
      <c r="BL739" s="129" t="str">
        <f t="shared" si="567"/>
        <v>NO CONVICTION</v>
      </c>
      <c r="BM739" s="129" t="s">
        <v>76</v>
      </c>
      <c r="BN739" s="129" t="s">
        <v>88</v>
      </c>
      <c r="BP739" s="137" t="str">
        <f t="shared" si="540"/>
        <v>NO CONVICTION</v>
      </c>
      <c r="BQ739" s="128">
        <f t="shared" si="541"/>
        <v>0</v>
      </c>
      <c r="BR739" s="129" t="s">
        <v>575</v>
      </c>
      <c r="BS739" s="129" t="str">
        <f t="shared" si="542"/>
        <v>DISPOSED</v>
      </c>
      <c r="BT739" s="129" t="str">
        <f t="shared" si="543"/>
        <v>N</v>
      </c>
      <c r="BU739" s="109">
        <f>IFERROR(Q739/R739,BR739)</f>
        <v>0</v>
      </c>
      <c r="BV739" s="109">
        <v>0</v>
      </c>
      <c r="BW739" s="109">
        <f t="shared" si="523"/>
        <v>0</v>
      </c>
      <c r="BX739" s="111">
        <f t="shared" si="545"/>
        <v>0</v>
      </c>
      <c r="BY739" s="129" t="e">
        <f t="shared" si="546"/>
        <v>#VALUE!</v>
      </c>
      <c r="BZ739" s="111" t="e">
        <f t="shared" si="547"/>
        <v>#VALUE!</v>
      </c>
      <c r="CA739" s="138" t="e">
        <f t="shared" si="548"/>
        <v>#VALUE!</v>
      </c>
      <c r="CB739" s="111">
        <v>0</v>
      </c>
      <c r="CC739" s="129">
        <v>0</v>
      </c>
      <c r="CD739" s="111">
        <f>CC739-BF739</f>
        <v>0</v>
      </c>
      <c r="CE739" s="129" t="e">
        <f t="shared" si="549"/>
        <v>#VALUE!</v>
      </c>
      <c r="CG739" s="129" t="str">
        <f t="shared" si="550"/>
        <v>N</v>
      </c>
      <c r="CI739" s="129" t="str">
        <f t="shared" si="551"/>
        <v>0-10 DAYS</v>
      </c>
      <c r="CJ739" s="137">
        <f t="shared" si="552"/>
        <v>1</v>
      </c>
      <c r="CK739" s="129" t="str">
        <f t="shared" si="553"/>
        <v>Not Booked</v>
      </c>
    </row>
    <row r="740" spans="1:89" ht="15.75" customHeight="1" x14ac:dyDescent="0.25">
      <c r="A740" s="111">
        <v>171</v>
      </c>
      <c r="B740" s="128" t="str">
        <f t="shared" si="537"/>
        <v>N</v>
      </c>
      <c r="C740" s="128" t="str">
        <f t="shared" si="538"/>
        <v>N</v>
      </c>
      <c r="D740" s="117">
        <v>1492866</v>
      </c>
      <c r="E740" s="135">
        <f t="shared" si="539"/>
        <v>1</v>
      </c>
      <c r="F740" s="124">
        <v>40916</v>
      </c>
      <c r="G740" s="125">
        <v>41002</v>
      </c>
      <c r="H740" s="117">
        <v>1492866</v>
      </c>
      <c r="I740" s="124" t="s">
        <v>562</v>
      </c>
      <c r="J740" s="124" t="s">
        <v>562</v>
      </c>
      <c r="K740" s="126">
        <v>5000</v>
      </c>
      <c r="L740" s="127" t="s">
        <v>569</v>
      </c>
      <c r="M740" s="125">
        <v>40917</v>
      </c>
      <c r="N740" s="129" t="str">
        <f>IF(M740&gt;1/1/1,"Y",IF(Q740="0","","N"))</f>
        <v>Y</v>
      </c>
      <c r="O740" s="128" t="s">
        <v>585</v>
      </c>
      <c r="P740" s="129" t="s">
        <v>55</v>
      </c>
      <c r="Q740" s="111">
        <f t="shared" si="558"/>
        <v>0</v>
      </c>
      <c r="R740" s="111">
        <f t="shared" si="533"/>
        <v>87</v>
      </c>
      <c r="S740" s="129">
        <v>1</v>
      </c>
      <c r="T740" s="129">
        <v>2</v>
      </c>
      <c r="W740" s="111"/>
      <c r="AB740" s="131" t="s">
        <v>112</v>
      </c>
      <c r="AC740" s="130"/>
      <c r="AD740" s="130">
        <v>28353</v>
      </c>
      <c r="AE740" s="128" t="s">
        <v>32</v>
      </c>
      <c r="AF740" s="128" t="s">
        <v>40</v>
      </c>
      <c r="AG740" s="128" t="s">
        <v>41</v>
      </c>
      <c r="AH740" s="108" t="s">
        <v>31</v>
      </c>
      <c r="AI740" s="128" t="s">
        <v>71</v>
      </c>
      <c r="AJ740" s="129" t="s">
        <v>55</v>
      </c>
      <c r="AK740" s="129">
        <v>4</v>
      </c>
      <c r="AL740" s="3" t="s">
        <v>55</v>
      </c>
      <c r="AP740" s="129" t="s">
        <v>43</v>
      </c>
      <c r="AR740" s="128" t="s">
        <v>44</v>
      </c>
      <c r="AS740" s="129" t="s">
        <v>45</v>
      </c>
      <c r="BC740" s="129" t="s">
        <v>52</v>
      </c>
      <c r="BF740" s="111">
        <v>0</v>
      </c>
      <c r="BG740" s="111">
        <v>0</v>
      </c>
      <c r="BH740" s="111">
        <f t="shared" si="534"/>
        <v>87</v>
      </c>
      <c r="BI740" s="111">
        <f t="shared" si="535"/>
        <v>34.325136612021858</v>
      </c>
      <c r="BJ740" s="129" t="e">
        <f>(G740-J740)+(M740-G740)</f>
        <v>#VALUE!</v>
      </c>
      <c r="BK740" s="129" t="e">
        <f t="shared" si="536"/>
        <v>#VALUE!</v>
      </c>
      <c r="BL740" s="129" t="str">
        <f t="shared" si="567"/>
        <v>NO CONVICTION</v>
      </c>
      <c r="BM740" s="129" t="s">
        <v>76</v>
      </c>
      <c r="BN740" s="129" t="s">
        <v>88</v>
      </c>
      <c r="BP740" s="137" t="str">
        <f t="shared" si="540"/>
        <v>NO CONVICTION</v>
      </c>
      <c r="BQ740" s="128">
        <f t="shared" si="541"/>
        <v>0</v>
      </c>
      <c r="BR740" s="129" t="s">
        <v>575</v>
      </c>
      <c r="BS740" s="129" t="str">
        <f t="shared" si="542"/>
        <v>DISPOSED</v>
      </c>
      <c r="BT740" s="129" t="str">
        <f t="shared" si="543"/>
        <v>Y</v>
      </c>
      <c r="BU740" s="109">
        <f>IFERROR(Q740/R740,BR740)</f>
        <v>0</v>
      </c>
      <c r="BV740" s="109">
        <v>0</v>
      </c>
      <c r="BW740" s="109">
        <f t="shared" si="523"/>
        <v>0</v>
      </c>
      <c r="BX740" s="111">
        <f t="shared" si="545"/>
        <v>0</v>
      </c>
      <c r="BY740" s="129" t="e">
        <f t="shared" si="546"/>
        <v>#VALUE!</v>
      </c>
      <c r="BZ740" s="111" t="e">
        <f t="shared" si="547"/>
        <v>#VALUE!</v>
      </c>
      <c r="CA740" s="138" t="e">
        <f t="shared" si="548"/>
        <v>#VALUE!</v>
      </c>
      <c r="CB740" s="111">
        <v>0</v>
      </c>
      <c r="CC740" s="129">
        <v>0</v>
      </c>
      <c r="CD740" s="111">
        <f>CC740-BF740</f>
        <v>0</v>
      </c>
      <c r="CE740" s="129" t="e">
        <f t="shared" si="549"/>
        <v>#VALUE!</v>
      </c>
      <c r="CG740" s="129" t="str">
        <f t="shared" si="550"/>
        <v>Y</v>
      </c>
      <c r="CI740" s="129" t="str">
        <f t="shared" si="551"/>
        <v>0-10 DAYS</v>
      </c>
      <c r="CJ740" s="137">
        <f t="shared" si="552"/>
        <v>1</v>
      </c>
      <c r="CK740" s="129" t="str">
        <f t="shared" si="553"/>
        <v>Not Booked</v>
      </c>
    </row>
    <row r="741" spans="1:89" ht="15.75" customHeight="1" x14ac:dyDescent="0.25">
      <c r="A741" s="111">
        <v>98</v>
      </c>
      <c r="B741" s="128" t="str">
        <f t="shared" si="537"/>
        <v>N</v>
      </c>
      <c r="C741" s="128" t="str">
        <f t="shared" si="538"/>
        <v>N</v>
      </c>
      <c r="D741" s="117">
        <v>1493137</v>
      </c>
      <c r="E741" s="135">
        <f t="shared" si="539"/>
        <v>5</v>
      </c>
      <c r="F741" s="124">
        <v>40913</v>
      </c>
      <c r="G741" s="125">
        <v>41285</v>
      </c>
      <c r="H741" s="117">
        <v>1493137</v>
      </c>
      <c r="I741" s="124">
        <v>40913</v>
      </c>
      <c r="J741" s="124">
        <v>40919</v>
      </c>
      <c r="K741" s="126">
        <v>10000</v>
      </c>
      <c r="L741" s="127" t="s">
        <v>570</v>
      </c>
      <c r="M741" s="125">
        <v>40919</v>
      </c>
      <c r="N741" s="129" t="str">
        <f>IF(M741&gt;1/1/1,"Y","N")</f>
        <v>Y</v>
      </c>
      <c r="O741" s="128" t="s">
        <v>76</v>
      </c>
      <c r="P741" s="129" t="s">
        <v>39</v>
      </c>
      <c r="Q741" s="111">
        <f t="shared" si="558"/>
        <v>7</v>
      </c>
      <c r="R741" s="111">
        <f t="shared" si="533"/>
        <v>373</v>
      </c>
      <c r="S741" s="129">
        <v>1</v>
      </c>
      <c r="T741" s="129">
        <v>1</v>
      </c>
      <c r="V741" s="117">
        <v>1</v>
      </c>
      <c r="W741" s="111"/>
      <c r="AC741" s="130"/>
      <c r="AD741" s="130">
        <v>27091</v>
      </c>
      <c r="AE741" s="128" t="s">
        <v>46</v>
      </c>
      <c r="AF741" s="128" t="s">
        <v>33</v>
      </c>
      <c r="AG741" s="128" t="s">
        <v>872</v>
      </c>
      <c r="AH741" s="108" t="s">
        <v>58</v>
      </c>
      <c r="AI741" s="128" t="s">
        <v>34</v>
      </c>
      <c r="AJ741" s="129" t="s">
        <v>89</v>
      </c>
      <c r="AK741" s="129">
        <v>16</v>
      </c>
      <c r="AL741" s="3" t="s">
        <v>992</v>
      </c>
      <c r="AN741" s="117">
        <v>7</v>
      </c>
      <c r="AP741" s="129" t="s">
        <v>108</v>
      </c>
      <c r="AR741" s="128" t="s">
        <v>44</v>
      </c>
      <c r="AS741" s="129" t="s">
        <v>61</v>
      </c>
      <c r="BC741" s="129" t="s">
        <v>52</v>
      </c>
      <c r="BF741" s="111">
        <f>IF(J741&gt;1/1/1900,((J741+1)-I741),"STILL OPEN")</f>
        <v>7</v>
      </c>
      <c r="BG741" s="111">
        <f>IF(G741&gt;1/1/1900,((G741+1)-I741),"STILL OPEN")</f>
        <v>373</v>
      </c>
      <c r="BH741" s="111">
        <f t="shared" si="534"/>
        <v>373</v>
      </c>
      <c r="BI741" s="111">
        <f t="shared" si="535"/>
        <v>37.765027322404372</v>
      </c>
      <c r="BJ741" s="129">
        <f>(G741-J741)+(M741-G741)</f>
        <v>0</v>
      </c>
      <c r="BK741" s="129">
        <f t="shared" si="536"/>
        <v>-366</v>
      </c>
      <c r="BL741" s="129" t="str">
        <f t="shared" si="567"/>
        <v>CONVICTION</v>
      </c>
      <c r="BM741" s="129" t="s">
        <v>76</v>
      </c>
      <c r="BN741" s="129" t="s">
        <v>88</v>
      </c>
      <c r="BP741" s="137" t="str">
        <f t="shared" si="540"/>
        <v>CONVICTION</v>
      </c>
      <c r="BQ741" s="128" t="str">
        <f t="shared" si="541"/>
        <v>Y</v>
      </c>
      <c r="BR741" s="129" t="str">
        <f>IF(J741&lt;G741,"ON BOND",0)</f>
        <v>ON BOND</v>
      </c>
      <c r="BS741" s="129" t="str">
        <f t="shared" si="542"/>
        <v>DISPOSED</v>
      </c>
      <c r="BT741" s="129" t="str">
        <f t="shared" si="543"/>
        <v>Y</v>
      </c>
      <c r="BU741" s="109">
        <f t="shared" si="544"/>
        <v>1.876675603217158E-2</v>
      </c>
      <c r="BV741" s="109">
        <f t="shared" si="557"/>
        <v>1.876675603217158E-2</v>
      </c>
      <c r="BW741" s="109">
        <f t="shared" si="523"/>
        <v>0</v>
      </c>
      <c r="BX741" s="111">
        <f t="shared" si="545"/>
        <v>0</v>
      </c>
      <c r="BY741" s="129">
        <f t="shared" si="546"/>
        <v>-7</v>
      </c>
      <c r="BZ741" s="111">
        <f t="shared" si="547"/>
        <v>0</v>
      </c>
      <c r="CA741" s="138">
        <f t="shared" si="548"/>
        <v>7</v>
      </c>
      <c r="CB741" s="111" t="e">
        <f>IF(AF741&gt;1/1/1900,((AF741+1)-AE741),"STILL OPEN")</f>
        <v>#VALUE!</v>
      </c>
      <c r="CC741" s="129">
        <f>M741-I741+1</f>
        <v>7</v>
      </c>
      <c r="CD741" s="111">
        <f>CC741-BF741</f>
        <v>0</v>
      </c>
      <c r="CE741" s="129">
        <f t="shared" si="549"/>
        <v>366</v>
      </c>
      <c r="CG741" s="129" t="str">
        <f t="shared" si="550"/>
        <v>Y</v>
      </c>
      <c r="CI741" s="129" t="str">
        <f t="shared" si="551"/>
        <v>0-10 DAYS</v>
      </c>
      <c r="CJ741" s="137">
        <f t="shared" si="552"/>
        <v>1</v>
      </c>
      <c r="CK741" s="129" t="str">
        <f t="shared" si="553"/>
        <v>Booked</v>
      </c>
    </row>
    <row r="742" spans="1:89" ht="15.75" customHeight="1" x14ac:dyDescent="0.25">
      <c r="A742" s="111">
        <v>2575</v>
      </c>
      <c r="B742" s="128" t="str">
        <f t="shared" si="537"/>
        <v>N</v>
      </c>
      <c r="C742" s="128" t="str">
        <f t="shared" si="538"/>
        <v>N</v>
      </c>
      <c r="D742" s="117">
        <v>1494237</v>
      </c>
      <c r="E742" s="135">
        <f t="shared" si="539"/>
        <v>6</v>
      </c>
      <c r="F742" s="124">
        <v>41004</v>
      </c>
      <c r="G742" s="125">
        <v>41229</v>
      </c>
      <c r="H742" s="117">
        <v>1494237</v>
      </c>
      <c r="I742" s="124" t="s">
        <v>562</v>
      </c>
      <c r="J742" s="124" t="s">
        <v>562</v>
      </c>
      <c r="K742" s="126">
        <v>20000</v>
      </c>
      <c r="L742" s="127" t="s">
        <v>571</v>
      </c>
      <c r="M742" s="125">
        <v>41005</v>
      </c>
      <c r="N742" s="129" t="str">
        <f>IF(M742&gt;1/1/1,"Y",IF(Q742="0","","N"))</f>
        <v>Y</v>
      </c>
      <c r="O742" s="128" t="s">
        <v>585</v>
      </c>
      <c r="P742" s="129" t="s">
        <v>39</v>
      </c>
      <c r="Q742" s="111">
        <f t="shared" ref="Q742:Q773" si="569">BF742</f>
        <v>0</v>
      </c>
      <c r="R742" s="111">
        <f t="shared" si="533"/>
        <v>226</v>
      </c>
      <c r="S742" s="129">
        <v>2</v>
      </c>
      <c r="T742" s="129">
        <v>3</v>
      </c>
      <c r="U742" s="129">
        <v>1</v>
      </c>
      <c r="W742" s="111"/>
      <c r="AB742" s="131" t="s">
        <v>112</v>
      </c>
      <c r="AC742" s="130"/>
      <c r="AD742" s="130">
        <v>28184</v>
      </c>
      <c r="AE742" s="128" t="s">
        <v>32</v>
      </c>
      <c r="AF742" s="128" t="s">
        <v>40</v>
      </c>
      <c r="AG742" s="128" t="s">
        <v>41</v>
      </c>
      <c r="AH742" s="108" t="s">
        <v>31</v>
      </c>
      <c r="AI742" s="128" t="s">
        <v>90</v>
      </c>
      <c r="AJ742" s="129" t="s">
        <v>89</v>
      </c>
      <c r="AK742" s="129">
        <v>12</v>
      </c>
      <c r="AL742" s="3" t="s">
        <v>362</v>
      </c>
      <c r="AM742" s="117">
        <v>2</v>
      </c>
      <c r="AP742" s="129" t="s">
        <v>93</v>
      </c>
      <c r="AR742" s="128" t="s">
        <v>67</v>
      </c>
      <c r="AS742" s="129" t="s">
        <v>45</v>
      </c>
      <c r="BC742" s="129" t="s">
        <v>52</v>
      </c>
      <c r="BF742" s="111">
        <v>0</v>
      </c>
      <c r="BG742" s="111">
        <v>0</v>
      </c>
      <c r="BH742" s="111">
        <f t="shared" si="534"/>
        <v>226</v>
      </c>
      <c r="BI742" s="111">
        <f t="shared" si="535"/>
        <v>35.027322404371581</v>
      </c>
      <c r="BJ742" s="129" t="e">
        <f>(G742-J742)+(M742-G742)</f>
        <v>#VALUE!</v>
      </c>
      <c r="BK742" s="129" t="e">
        <f t="shared" si="536"/>
        <v>#VALUE!</v>
      </c>
      <c r="BL742" s="129" t="str">
        <f t="shared" si="567"/>
        <v>CONVICTION</v>
      </c>
      <c r="BM742" s="129" t="s">
        <v>76</v>
      </c>
      <c r="BN742" s="129" t="s">
        <v>88</v>
      </c>
      <c r="BP742" s="137" t="str">
        <f t="shared" si="540"/>
        <v>CONVICTION</v>
      </c>
      <c r="BQ742" s="128">
        <f t="shared" si="541"/>
        <v>0</v>
      </c>
      <c r="BR742" s="129" t="s">
        <v>575</v>
      </c>
      <c r="BS742" s="129" t="str">
        <f t="shared" si="542"/>
        <v>DISPOSED</v>
      </c>
      <c r="BT742" s="129" t="str">
        <f t="shared" si="543"/>
        <v>Y</v>
      </c>
      <c r="BU742" s="109">
        <f t="shared" si="544"/>
        <v>0</v>
      </c>
      <c r="BV742" s="109">
        <v>0</v>
      </c>
      <c r="BW742" s="109">
        <f t="shared" ref="BW742:BW805" si="570">BV742-BU742</f>
        <v>0</v>
      </c>
      <c r="BX742" s="111">
        <f t="shared" si="545"/>
        <v>0</v>
      </c>
      <c r="BY742" s="129" t="e">
        <f t="shared" si="546"/>
        <v>#VALUE!</v>
      </c>
      <c r="BZ742" s="111" t="e">
        <f t="shared" si="547"/>
        <v>#VALUE!</v>
      </c>
      <c r="CA742" s="138" t="e">
        <f t="shared" si="548"/>
        <v>#VALUE!</v>
      </c>
      <c r="CB742" s="111">
        <v>0</v>
      </c>
      <c r="CC742" s="129">
        <v>0</v>
      </c>
      <c r="CD742" s="111">
        <f>CC742-BF742</f>
        <v>0</v>
      </c>
      <c r="CE742" s="129" t="e">
        <f t="shared" si="549"/>
        <v>#VALUE!</v>
      </c>
      <c r="CG742" s="129" t="str">
        <f t="shared" si="550"/>
        <v>Y</v>
      </c>
      <c r="CI742" s="129" t="str">
        <f t="shared" si="551"/>
        <v>0-10 DAYS</v>
      </c>
      <c r="CJ742" s="137">
        <f t="shared" si="552"/>
        <v>1</v>
      </c>
      <c r="CK742" s="129" t="str">
        <f t="shared" si="553"/>
        <v>Not Booked</v>
      </c>
    </row>
    <row r="743" spans="1:89" ht="15.75" customHeight="1" x14ac:dyDescent="0.25">
      <c r="A743" s="111">
        <v>1267</v>
      </c>
      <c r="B743" s="128" t="str">
        <f t="shared" si="537"/>
        <v>N</v>
      </c>
      <c r="C743" s="128" t="str">
        <f t="shared" si="538"/>
        <v>N</v>
      </c>
      <c r="D743" s="117">
        <v>1494564</v>
      </c>
      <c r="E743" s="135">
        <f t="shared" si="539"/>
        <v>6</v>
      </c>
      <c r="F743" s="124">
        <v>40955</v>
      </c>
      <c r="G743" s="125">
        <v>41317</v>
      </c>
      <c r="H743" s="117">
        <v>1494564</v>
      </c>
      <c r="I743" s="124">
        <v>41144</v>
      </c>
      <c r="J743" s="125">
        <v>41317</v>
      </c>
      <c r="K743" s="126" t="s">
        <v>564</v>
      </c>
      <c r="L743" s="127" t="s">
        <v>564</v>
      </c>
      <c r="N743" s="129" t="s">
        <v>566</v>
      </c>
      <c r="O743" s="128" t="s">
        <v>917</v>
      </c>
      <c r="P743" s="129" t="s">
        <v>39</v>
      </c>
      <c r="Q743" s="111">
        <f t="shared" si="569"/>
        <v>174</v>
      </c>
      <c r="R743" s="111">
        <f t="shared" si="533"/>
        <v>363</v>
      </c>
      <c r="S743" s="129">
        <v>2</v>
      </c>
      <c r="T743" s="129">
        <v>1</v>
      </c>
      <c r="U743" s="129">
        <v>2</v>
      </c>
      <c r="W743" s="111"/>
      <c r="AC743" s="130"/>
      <c r="AD743" s="130">
        <v>28042</v>
      </c>
      <c r="AE743" s="128" t="s">
        <v>46</v>
      </c>
      <c r="AF743" s="128" t="s">
        <v>69</v>
      </c>
      <c r="AG743" s="128" t="s">
        <v>874</v>
      </c>
      <c r="AH743" s="108" t="s">
        <v>58</v>
      </c>
      <c r="AI743" s="128" t="s">
        <v>71</v>
      </c>
      <c r="AJ743" s="129" t="s">
        <v>89</v>
      </c>
      <c r="AK743" s="129">
        <v>7</v>
      </c>
      <c r="AL743" s="3" t="s">
        <v>362</v>
      </c>
      <c r="AM743" s="117">
        <v>3</v>
      </c>
      <c r="AP743" s="129" t="s">
        <v>56</v>
      </c>
      <c r="AR743" s="128" t="s">
        <v>50</v>
      </c>
      <c r="AS743" s="129" t="s">
        <v>57</v>
      </c>
      <c r="BC743" s="129" t="s">
        <v>52</v>
      </c>
      <c r="BF743" s="111">
        <f t="shared" ref="BF743:BF776" si="571">IF(J743&gt;1/1/1900,((J743+1)-I743),"STILL OPEN")</f>
        <v>174</v>
      </c>
      <c r="BG743" s="111">
        <f t="shared" ref="BG743:BG776" si="572">IF(G743&gt;1/1/1900,((G743+1)-I743),"STILL OPEN")</f>
        <v>174</v>
      </c>
      <c r="BH743" s="111">
        <f t="shared" si="534"/>
        <v>363</v>
      </c>
      <c r="BI743" s="111">
        <f t="shared" si="535"/>
        <v>35.28142076502732</v>
      </c>
      <c r="BJ743" s="129">
        <f t="shared" si="554"/>
        <v>0</v>
      </c>
      <c r="BK743" s="129">
        <f t="shared" si="536"/>
        <v>0</v>
      </c>
      <c r="BL743" s="129" t="str">
        <f t="shared" si="567"/>
        <v>CONVICTION</v>
      </c>
      <c r="BM743" s="129" t="str">
        <f t="shared" si="555"/>
        <v>NONE</v>
      </c>
      <c r="BN743" s="129" t="s">
        <v>566</v>
      </c>
      <c r="BP743" s="137" t="str">
        <f t="shared" si="540"/>
        <v>CONVICTION</v>
      </c>
      <c r="BQ743" s="128" t="str">
        <f t="shared" si="541"/>
        <v>Y</v>
      </c>
      <c r="BR743" s="129" t="str">
        <f t="shared" si="556"/>
        <v>DETAINED</v>
      </c>
      <c r="BS743" s="129" t="str">
        <f t="shared" si="542"/>
        <v>DISPOSED</v>
      </c>
      <c r="BT743" s="129" t="str">
        <f t="shared" si="543"/>
        <v>Y</v>
      </c>
      <c r="BU743" s="109">
        <f t="shared" si="544"/>
        <v>0.47933884297520662</v>
      </c>
      <c r="BV743" s="109">
        <f t="shared" si="557"/>
        <v>1</v>
      </c>
      <c r="BW743" s="109">
        <f t="shared" si="570"/>
        <v>0.52066115702479343</v>
      </c>
      <c r="BX743" s="111">
        <f t="shared" si="545"/>
        <v>0</v>
      </c>
      <c r="BY743" s="129">
        <f t="shared" si="546"/>
        <v>-174</v>
      </c>
      <c r="BZ743" s="111">
        <f t="shared" si="547"/>
        <v>0</v>
      </c>
      <c r="CA743" s="138">
        <f t="shared" si="548"/>
        <v>174</v>
      </c>
      <c r="CB743" s="111" t="e">
        <f t="shared" ref="CB743:CB776" si="573">IF(AF743&gt;1/1/1900,((AF743+1)-AE743),"STILL OPEN")</f>
        <v>#VALUE!</v>
      </c>
      <c r="CC743" s="129">
        <f>G743-I743+1</f>
        <v>174</v>
      </c>
      <c r="CD743" s="129">
        <f>G743-J743</f>
        <v>0</v>
      </c>
      <c r="CE743" s="129">
        <f t="shared" si="549"/>
        <v>0</v>
      </c>
      <c r="CG743" s="129" t="str">
        <f t="shared" si="550"/>
        <v>Y</v>
      </c>
      <c r="CI743" s="129" t="str">
        <f t="shared" si="551"/>
        <v>121-365 DAYS</v>
      </c>
      <c r="CJ743" s="137">
        <f t="shared" si="552"/>
        <v>6</v>
      </c>
      <c r="CK743" s="129" t="str">
        <f t="shared" si="553"/>
        <v>Booked</v>
      </c>
    </row>
    <row r="744" spans="1:89" ht="15.75" customHeight="1" x14ac:dyDescent="0.25">
      <c r="A744" s="111">
        <v>2489</v>
      </c>
      <c r="B744" s="128" t="str">
        <f t="shared" si="537"/>
        <v>N</v>
      </c>
      <c r="C744" s="128" t="str">
        <f t="shared" si="538"/>
        <v>N</v>
      </c>
      <c r="D744" s="117">
        <v>1494571</v>
      </c>
      <c r="E744" s="135">
        <f t="shared" si="539"/>
        <v>5</v>
      </c>
      <c r="F744" s="124">
        <v>41002</v>
      </c>
      <c r="G744" s="125">
        <v>41031</v>
      </c>
      <c r="H744" s="117">
        <v>1494571</v>
      </c>
      <c r="I744" s="124">
        <v>41003</v>
      </c>
      <c r="J744" s="124">
        <v>41031</v>
      </c>
      <c r="K744" s="126">
        <v>15000</v>
      </c>
      <c r="L744" s="127" t="s">
        <v>571</v>
      </c>
      <c r="N744" s="129" t="str">
        <f>IF(M744&gt;1/1/1,"Y","N")</f>
        <v>N</v>
      </c>
      <c r="O744" s="128" t="s">
        <v>917</v>
      </c>
      <c r="P744" s="129" t="s">
        <v>39</v>
      </c>
      <c r="Q744" s="111">
        <f t="shared" si="569"/>
        <v>29</v>
      </c>
      <c r="R744" s="111">
        <f t="shared" si="533"/>
        <v>30</v>
      </c>
      <c r="S744" s="129">
        <v>1</v>
      </c>
      <c r="T744" s="129">
        <v>2</v>
      </c>
      <c r="U744" s="129">
        <v>1</v>
      </c>
      <c r="W744" s="111"/>
      <c r="AC744" s="130"/>
      <c r="AD744" s="130">
        <v>26924</v>
      </c>
      <c r="AE744" s="128" t="s">
        <v>46</v>
      </c>
      <c r="AF744" s="128" t="s">
        <v>69</v>
      </c>
      <c r="AG744" s="128" t="s">
        <v>874</v>
      </c>
      <c r="AH744" s="108" t="s">
        <v>58</v>
      </c>
      <c r="AI744" s="128" t="s">
        <v>87</v>
      </c>
      <c r="AJ744" s="129" t="s">
        <v>89</v>
      </c>
      <c r="AK744" s="129">
        <v>2</v>
      </c>
      <c r="AL744" s="3" t="s">
        <v>992</v>
      </c>
      <c r="AN744" s="117">
        <v>7</v>
      </c>
      <c r="AP744" s="129" t="s">
        <v>60</v>
      </c>
      <c r="AR744" s="128" t="s">
        <v>44</v>
      </c>
      <c r="AS744" s="129" t="s">
        <v>61</v>
      </c>
      <c r="BC744" s="129" t="s">
        <v>38</v>
      </c>
      <c r="BF744" s="111">
        <f t="shared" si="571"/>
        <v>29</v>
      </c>
      <c r="BG744" s="111">
        <f t="shared" si="572"/>
        <v>29</v>
      </c>
      <c r="BH744" s="111">
        <f t="shared" si="534"/>
        <v>30</v>
      </c>
      <c r="BI744" s="111">
        <f t="shared" si="535"/>
        <v>38.464480874316941</v>
      </c>
      <c r="BJ744" s="129">
        <f t="shared" si="554"/>
        <v>0</v>
      </c>
      <c r="BK744" s="129">
        <f t="shared" si="536"/>
        <v>0</v>
      </c>
      <c r="BL744" s="129" t="str">
        <f t="shared" si="567"/>
        <v>CONVICTION</v>
      </c>
      <c r="BM744" s="129" t="str">
        <f t="shared" si="555"/>
        <v>NONE</v>
      </c>
      <c r="BN744" s="129" t="s">
        <v>566</v>
      </c>
      <c r="BP744" s="137" t="str">
        <f t="shared" si="540"/>
        <v>CONVICTION</v>
      </c>
      <c r="BQ744" s="128" t="str">
        <f t="shared" si="541"/>
        <v>Y</v>
      </c>
      <c r="BR744" s="129" t="str">
        <f t="shared" si="556"/>
        <v>DETAINED</v>
      </c>
      <c r="BS744" s="129" t="str">
        <f t="shared" si="542"/>
        <v>DISPOSED</v>
      </c>
      <c r="BT744" s="129" t="str">
        <f t="shared" si="543"/>
        <v>Y</v>
      </c>
      <c r="BU744" s="109">
        <f t="shared" si="544"/>
        <v>0.96666666666666667</v>
      </c>
      <c r="BV744" s="109">
        <f t="shared" si="557"/>
        <v>1</v>
      </c>
      <c r="BW744" s="109">
        <f t="shared" si="570"/>
        <v>3.3333333333333326E-2</v>
      </c>
      <c r="BX744" s="111">
        <f t="shared" si="545"/>
        <v>0</v>
      </c>
      <c r="BY744" s="129">
        <f t="shared" si="546"/>
        <v>-29</v>
      </c>
      <c r="BZ744" s="111">
        <f t="shared" si="547"/>
        <v>0</v>
      </c>
      <c r="CA744" s="138">
        <f t="shared" si="548"/>
        <v>29</v>
      </c>
      <c r="CB744" s="111" t="e">
        <f t="shared" si="573"/>
        <v>#VALUE!</v>
      </c>
      <c r="CC744" s="129">
        <f>G744-I744+1</f>
        <v>29</v>
      </c>
      <c r="CD744" s="129">
        <f>G744-J744</f>
        <v>0</v>
      </c>
      <c r="CE744" s="129">
        <f t="shared" si="549"/>
        <v>0</v>
      </c>
      <c r="CG744" s="129" t="str">
        <f t="shared" si="550"/>
        <v>Y</v>
      </c>
      <c r="CI744" s="129" t="str">
        <f t="shared" si="551"/>
        <v>11-30 DAYS</v>
      </c>
      <c r="CJ744" s="137">
        <f t="shared" si="552"/>
        <v>2</v>
      </c>
      <c r="CK744" s="129" t="str">
        <f t="shared" si="553"/>
        <v>Booked</v>
      </c>
    </row>
    <row r="745" spans="1:89" ht="15" customHeight="1" x14ac:dyDescent="0.25">
      <c r="A745" s="111">
        <v>1854</v>
      </c>
      <c r="B745" s="128" t="str">
        <f t="shared" si="537"/>
        <v>N</v>
      </c>
      <c r="C745" s="128" t="str">
        <f t="shared" si="538"/>
        <v>N</v>
      </c>
      <c r="D745" s="117">
        <v>1494654</v>
      </c>
      <c r="E745" s="135">
        <f t="shared" si="539"/>
        <v>6</v>
      </c>
      <c r="F745" s="124">
        <v>40977</v>
      </c>
      <c r="G745" s="125">
        <v>40980</v>
      </c>
      <c r="H745" s="117">
        <v>1494654</v>
      </c>
      <c r="I745" s="124">
        <v>40977</v>
      </c>
      <c r="J745" s="124">
        <v>40980</v>
      </c>
      <c r="K745" s="126">
        <v>15000</v>
      </c>
      <c r="L745" s="127" t="s">
        <v>571</v>
      </c>
      <c r="N745" s="129" t="str">
        <f>IF(M745&gt;1/1/1,"Y","N")</f>
        <v>N</v>
      </c>
      <c r="O745" s="128" t="s">
        <v>917</v>
      </c>
      <c r="P745" s="129" t="s">
        <v>39</v>
      </c>
      <c r="Q745" s="111">
        <f t="shared" si="569"/>
        <v>4</v>
      </c>
      <c r="R745" s="111">
        <f t="shared" si="533"/>
        <v>4</v>
      </c>
      <c r="S745" s="129">
        <v>4</v>
      </c>
      <c r="T745" s="129">
        <v>6</v>
      </c>
      <c r="U745" s="129">
        <v>4</v>
      </c>
      <c r="W745" s="111"/>
      <c r="AC745" s="130"/>
      <c r="AD745" s="130">
        <v>28497</v>
      </c>
      <c r="AE745" s="128" t="s">
        <v>32</v>
      </c>
      <c r="AF745" s="128" t="s">
        <v>40</v>
      </c>
      <c r="AG745" s="128" t="s">
        <v>41</v>
      </c>
      <c r="AH745" s="108" t="s">
        <v>41</v>
      </c>
      <c r="AI745" s="128" t="s">
        <v>113</v>
      </c>
      <c r="AJ745" s="129" t="s">
        <v>89</v>
      </c>
      <c r="AK745" s="129">
        <v>1</v>
      </c>
      <c r="AL745" s="3" t="s">
        <v>362</v>
      </c>
      <c r="AM745" s="117">
        <v>5</v>
      </c>
      <c r="AP745" s="129" t="s">
        <v>121</v>
      </c>
      <c r="AR745" s="128" t="s">
        <v>44</v>
      </c>
      <c r="AS745" s="129" t="s">
        <v>122</v>
      </c>
      <c r="BC745" s="129" t="s">
        <v>38</v>
      </c>
      <c r="BF745" s="111">
        <f t="shared" si="571"/>
        <v>4</v>
      </c>
      <c r="BG745" s="111">
        <f t="shared" si="572"/>
        <v>4</v>
      </c>
      <c r="BH745" s="111">
        <f t="shared" si="534"/>
        <v>4</v>
      </c>
      <c r="BI745" s="111">
        <f t="shared" si="535"/>
        <v>34.098360655737707</v>
      </c>
      <c r="BJ745" s="129">
        <f t="shared" si="554"/>
        <v>0</v>
      </c>
      <c r="BK745" s="129">
        <f t="shared" si="536"/>
        <v>0</v>
      </c>
      <c r="BL745" s="129" t="str">
        <f t="shared" si="567"/>
        <v>CONVICTION</v>
      </c>
      <c r="BM745" s="129" t="str">
        <f t="shared" si="555"/>
        <v>NONE</v>
      </c>
      <c r="BN745" s="129" t="s">
        <v>566</v>
      </c>
      <c r="BP745" s="137" t="str">
        <f t="shared" si="540"/>
        <v>CONVICTION</v>
      </c>
      <c r="BQ745" s="128" t="str">
        <f t="shared" si="541"/>
        <v>Y</v>
      </c>
      <c r="BR745" s="129" t="str">
        <f t="shared" si="556"/>
        <v>DETAINED</v>
      </c>
      <c r="BS745" s="129" t="str">
        <f t="shared" si="542"/>
        <v>DISPOSED</v>
      </c>
      <c r="BT745" s="129" t="str">
        <f t="shared" si="543"/>
        <v>Y</v>
      </c>
      <c r="BU745" s="109">
        <f t="shared" si="544"/>
        <v>1</v>
      </c>
      <c r="BV745" s="109">
        <f t="shared" si="557"/>
        <v>1</v>
      </c>
      <c r="BW745" s="109">
        <f t="shared" si="570"/>
        <v>0</v>
      </c>
      <c r="BX745" s="111">
        <f t="shared" si="545"/>
        <v>0</v>
      </c>
      <c r="BY745" s="129">
        <f t="shared" si="546"/>
        <v>-4</v>
      </c>
      <c r="BZ745" s="111">
        <f t="shared" si="547"/>
        <v>0</v>
      </c>
      <c r="CA745" s="138">
        <f t="shared" si="548"/>
        <v>4</v>
      </c>
      <c r="CB745" s="111" t="e">
        <f t="shared" si="573"/>
        <v>#VALUE!</v>
      </c>
      <c r="CC745" s="129">
        <f>G745-I745+1</f>
        <v>4</v>
      </c>
      <c r="CD745" s="129">
        <f>G745-J745</f>
        <v>0</v>
      </c>
      <c r="CE745" s="129">
        <f t="shared" si="549"/>
        <v>0</v>
      </c>
      <c r="CG745" s="129" t="str">
        <f t="shared" si="550"/>
        <v>Y</v>
      </c>
      <c r="CI745" s="129" t="str">
        <f t="shared" si="551"/>
        <v>0-10 DAYS</v>
      </c>
      <c r="CJ745" s="137">
        <f t="shared" si="552"/>
        <v>1</v>
      </c>
      <c r="CK745" s="129" t="str">
        <f t="shared" si="553"/>
        <v>Booked</v>
      </c>
    </row>
    <row r="746" spans="1:89" ht="15.75" customHeight="1" x14ac:dyDescent="0.25">
      <c r="A746" s="111">
        <v>533</v>
      </c>
      <c r="B746" s="128" t="str">
        <f t="shared" si="537"/>
        <v>N</v>
      </c>
      <c r="C746" s="128" t="str">
        <f t="shared" si="538"/>
        <v>N</v>
      </c>
      <c r="D746" s="117">
        <v>1495859</v>
      </c>
      <c r="E746" s="135">
        <f t="shared" si="539"/>
        <v>6</v>
      </c>
      <c r="F746" s="124">
        <v>40930</v>
      </c>
      <c r="G746" s="125">
        <v>41114</v>
      </c>
      <c r="H746" s="117">
        <v>1495859</v>
      </c>
      <c r="I746" s="124">
        <v>40939</v>
      </c>
      <c r="J746" s="124">
        <v>41114</v>
      </c>
      <c r="K746" s="126" t="s">
        <v>564</v>
      </c>
      <c r="L746" s="127" t="s">
        <v>564</v>
      </c>
      <c r="N746" s="129" t="s">
        <v>566</v>
      </c>
      <c r="O746" s="128" t="s">
        <v>917</v>
      </c>
      <c r="P746" s="129" t="s">
        <v>39</v>
      </c>
      <c r="Q746" s="111">
        <f t="shared" si="569"/>
        <v>176</v>
      </c>
      <c r="R746" s="111">
        <f t="shared" si="533"/>
        <v>185</v>
      </c>
      <c r="S746" s="129">
        <v>6</v>
      </c>
      <c r="T746" s="129">
        <v>0</v>
      </c>
      <c r="U746" s="129">
        <v>3</v>
      </c>
      <c r="W746" s="111"/>
      <c r="AC746" s="130"/>
      <c r="AD746" s="130">
        <v>28763</v>
      </c>
      <c r="AE746" s="128" t="s">
        <v>32</v>
      </c>
      <c r="AF746" s="128" t="s">
        <v>33</v>
      </c>
      <c r="AG746" s="128" t="s">
        <v>872</v>
      </c>
      <c r="AH746" s="108" t="s">
        <v>31</v>
      </c>
      <c r="AI746" s="128" t="s">
        <v>71</v>
      </c>
      <c r="AJ746" s="129" t="s">
        <v>89</v>
      </c>
      <c r="AK746" s="129">
        <v>8</v>
      </c>
      <c r="AL746" s="3" t="s">
        <v>362</v>
      </c>
      <c r="AM746" s="117">
        <v>15</v>
      </c>
      <c r="AP746" s="129" t="s">
        <v>84</v>
      </c>
      <c r="AR746" s="128" t="s">
        <v>67</v>
      </c>
      <c r="AS746" s="129" t="s">
        <v>74</v>
      </c>
      <c r="BC746" s="129" t="s">
        <v>99</v>
      </c>
      <c r="BF746" s="111">
        <f t="shared" si="571"/>
        <v>176</v>
      </c>
      <c r="BG746" s="111">
        <f t="shared" si="572"/>
        <v>176</v>
      </c>
      <c r="BH746" s="111">
        <f t="shared" si="534"/>
        <v>185</v>
      </c>
      <c r="BI746" s="111">
        <f t="shared" si="535"/>
        <v>33.243169398907106</v>
      </c>
      <c r="BJ746" s="129">
        <f t="shared" si="554"/>
        <v>0</v>
      </c>
      <c r="BK746" s="129">
        <f t="shared" si="536"/>
        <v>0</v>
      </c>
      <c r="BL746" s="129" t="str">
        <f t="shared" si="567"/>
        <v>CONVICTION</v>
      </c>
      <c r="BM746" s="129" t="str">
        <f t="shared" si="555"/>
        <v>NONE</v>
      </c>
      <c r="BN746" s="129" t="s">
        <v>566</v>
      </c>
      <c r="BP746" s="137" t="str">
        <f t="shared" si="540"/>
        <v>CONVICTION</v>
      </c>
      <c r="BQ746" s="128" t="str">
        <f t="shared" si="541"/>
        <v>Y</v>
      </c>
      <c r="BR746" s="129" t="str">
        <f t="shared" si="556"/>
        <v>DETAINED</v>
      </c>
      <c r="BS746" s="129" t="str">
        <f t="shared" si="542"/>
        <v>DISPOSED</v>
      </c>
      <c r="BT746" s="129" t="str">
        <f t="shared" si="543"/>
        <v>Y</v>
      </c>
      <c r="BU746" s="109">
        <f t="shared" si="544"/>
        <v>0.9513513513513514</v>
      </c>
      <c r="BV746" s="109">
        <f t="shared" si="557"/>
        <v>1</v>
      </c>
      <c r="BW746" s="109">
        <f t="shared" si="570"/>
        <v>4.8648648648648596E-2</v>
      </c>
      <c r="BX746" s="111">
        <f t="shared" si="545"/>
        <v>0</v>
      </c>
      <c r="BY746" s="129">
        <f t="shared" si="546"/>
        <v>-176</v>
      </c>
      <c r="BZ746" s="111">
        <f t="shared" si="547"/>
        <v>0</v>
      </c>
      <c r="CA746" s="138">
        <f t="shared" si="548"/>
        <v>176</v>
      </c>
      <c r="CB746" s="111" t="e">
        <f t="shared" si="573"/>
        <v>#VALUE!</v>
      </c>
      <c r="CC746" s="129">
        <f>G746-I746+1</f>
        <v>176</v>
      </c>
      <c r="CD746" s="129">
        <f>G746-J746</f>
        <v>0</v>
      </c>
      <c r="CE746" s="129">
        <f t="shared" si="549"/>
        <v>0</v>
      </c>
      <c r="CG746" s="129" t="str">
        <f t="shared" si="550"/>
        <v>Y</v>
      </c>
      <c r="CI746" s="129" t="str">
        <f t="shared" si="551"/>
        <v>121-365 DAYS</v>
      </c>
      <c r="CJ746" s="137">
        <f t="shared" si="552"/>
        <v>6</v>
      </c>
      <c r="CK746" s="129" t="str">
        <f t="shared" si="553"/>
        <v>Booked</v>
      </c>
    </row>
    <row r="747" spans="1:89" ht="15.75" customHeight="1" x14ac:dyDescent="0.25">
      <c r="A747" s="111">
        <v>2233</v>
      </c>
      <c r="B747" s="128" t="str">
        <f t="shared" si="537"/>
        <v>N</v>
      </c>
      <c r="C747" s="128" t="str">
        <f t="shared" si="538"/>
        <v>N</v>
      </c>
      <c r="D747" s="117">
        <v>1496351</v>
      </c>
      <c r="E747" s="135">
        <f t="shared" si="539"/>
        <v>6</v>
      </c>
      <c r="F747" s="124">
        <v>40993</v>
      </c>
      <c r="G747" s="125">
        <v>41178</v>
      </c>
      <c r="H747" s="117">
        <v>1496351</v>
      </c>
      <c r="I747" s="124">
        <v>40993</v>
      </c>
      <c r="J747" s="124">
        <v>40995</v>
      </c>
      <c r="K747" s="126">
        <v>20000</v>
      </c>
      <c r="L747" s="127" t="s">
        <v>571</v>
      </c>
      <c r="M747" s="125">
        <v>40995</v>
      </c>
      <c r="N747" s="129" t="str">
        <f>IF(M747&gt;1/1/1,"Y","N")</f>
        <v>Y</v>
      </c>
      <c r="O747" s="128" t="s">
        <v>585</v>
      </c>
      <c r="P747" s="129" t="s">
        <v>39</v>
      </c>
      <c r="Q747" s="111">
        <f t="shared" si="569"/>
        <v>3</v>
      </c>
      <c r="R747" s="111">
        <f t="shared" si="533"/>
        <v>186</v>
      </c>
      <c r="S747" s="129">
        <v>1</v>
      </c>
      <c r="T747" s="129">
        <v>2</v>
      </c>
      <c r="V747" s="117">
        <v>1</v>
      </c>
      <c r="W747" s="111"/>
      <c r="AB747" s="131" t="s">
        <v>112</v>
      </c>
      <c r="AC747" s="130"/>
      <c r="AD747" s="130">
        <v>20698</v>
      </c>
      <c r="AE747" s="128" t="s">
        <v>32</v>
      </c>
      <c r="AF747" s="128" t="s">
        <v>40</v>
      </c>
      <c r="AG747" s="128" t="s">
        <v>41</v>
      </c>
      <c r="AH747" s="108" t="s">
        <v>31</v>
      </c>
      <c r="AI747" s="128" t="s">
        <v>65</v>
      </c>
      <c r="AJ747" s="129" t="s">
        <v>89</v>
      </c>
      <c r="AK747" s="129">
        <v>9</v>
      </c>
      <c r="AL747" s="3" t="s">
        <v>362</v>
      </c>
      <c r="AM747" s="117">
        <v>2</v>
      </c>
      <c r="AP747" s="129" t="s">
        <v>66</v>
      </c>
      <c r="AR747" s="128" t="s">
        <v>67</v>
      </c>
      <c r="AS747" s="129" t="s">
        <v>68</v>
      </c>
      <c r="BC747" s="129" t="s">
        <v>52</v>
      </c>
      <c r="BF747" s="111">
        <f t="shared" si="571"/>
        <v>3</v>
      </c>
      <c r="BG747" s="111">
        <f t="shared" si="572"/>
        <v>186</v>
      </c>
      <c r="BH747" s="111">
        <f t="shared" si="534"/>
        <v>186</v>
      </c>
      <c r="BI747" s="111">
        <f t="shared" si="535"/>
        <v>55.450819672131146</v>
      </c>
      <c r="BJ747" s="129">
        <f>(G747-J747)+(M747-G747)</f>
        <v>0</v>
      </c>
      <c r="BK747" s="129">
        <f t="shared" si="536"/>
        <v>-183</v>
      </c>
      <c r="BL747" s="129" t="str">
        <f t="shared" si="567"/>
        <v>CONVICTION</v>
      </c>
      <c r="BM747" s="129" t="s">
        <v>76</v>
      </c>
      <c r="BN747" s="129" t="s">
        <v>88</v>
      </c>
      <c r="BP747" s="137" t="str">
        <f t="shared" si="540"/>
        <v>CONVICTION</v>
      </c>
      <c r="BQ747" s="128" t="str">
        <f t="shared" si="541"/>
        <v>Y</v>
      </c>
      <c r="BR747" s="129" t="str">
        <f>IF(J747&lt;G747,"ON BOND",0)</f>
        <v>ON BOND</v>
      </c>
      <c r="BS747" s="129" t="str">
        <f t="shared" si="542"/>
        <v>DISPOSED</v>
      </c>
      <c r="BT747" s="129" t="str">
        <f t="shared" si="543"/>
        <v>Y</v>
      </c>
      <c r="BU747" s="109">
        <f t="shared" si="544"/>
        <v>1.6129032258064516E-2</v>
      </c>
      <c r="BV747" s="109">
        <f t="shared" si="557"/>
        <v>1.6129032258064516E-2</v>
      </c>
      <c r="BW747" s="109">
        <f t="shared" si="570"/>
        <v>0</v>
      </c>
      <c r="BX747" s="111">
        <f t="shared" si="545"/>
        <v>0</v>
      </c>
      <c r="BY747" s="129">
        <f t="shared" si="546"/>
        <v>-3</v>
      </c>
      <c r="BZ747" s="111">
        <f t="shared" si="547"/>
        <v>0</v>
      </c>
      <c r="CA747" s="138">
        <f t="shared" si="548"/>
        <v>3</v>
      </c>
      <c r="CB747" s="111" t="e">
        <f t="shared" si="573"/>
        <v>#VALUE!</v>
      </c>
      <c r="CC747" s="129">
        <f>M747-I747+1</f>
        <v>3</v>
      </c>
      <c r="CD747" s="111">
        <f>CC747-BF747</f>
        <v>0</v>
      </c>
      <c r="CE747" s="129">
        <f t="shared" si="549"/>
        <v>183</v>
      </c>
      <c r="CG747" s="129" t="str">
        <f t="shared" si="550"/>
        <v>Y</v>
      </c>
      <c r="CI747" s="129" t="str">
        <f t="shared" si="551"/>
        <v>0-10 DAYS</v>
      </c>
      <c r="CJ747" s="137">
        <f t="shared" si="552"/>
        <v>1</v>
      </c>
      <c r="CK747" s="129" t="str">
        <f t="shared" si="553"/>
        <v>Booked</v>
      </c>
    </row>
    <row r="748" spans="1:89" ht="15" customHeight="1" x14ac:dyDescent="0.25">
      <c r="A748" s="111">
        <v>1170</v>
      </c>
      <c r="B748" s="128" t="str">
        <f t="shared" si="537"/>
        <v>N</v>
      </c>
      <c r="C748" s="128" t="str">
        <f t="shared" si="538"/>
        <v>N</v>
      </c>
      <c r="D748" s="117">
        <v>1496415</v>
      </c>
      <c r="E748" s="135">
        <f t="shared" si="539"/>
        <v>6</v>
      </c>
      <c r="F748" s="124">
        <v>40951</v>
      </c>
      <c r="G748" s="125">
        <v>40952</v>
      </c>
      <c r="H748" s="117">
        <v>1496415</v>
      </c>
      <c r="I748" s="124">
        <v>40951</v>
      </c>
      <c r="J748" s="124">
        <v>40952</v>
      </c>
      <c r="K748" s="126">
        <v>20000</v>
      </c>
      <c r="L748" s="127" t="s">
        <v>571</v>
      </c>
      <c r="N748" s="129" t="str">
        <f>IF(M748&gt;1/1/1,"Y","N")</f>
        <v>N</v>
      </c>
      <c r="O748" s="128" t="s">
        <v>917</v>
      </c>
      <c r="P748" s="129" t="s">
        <v>39</v>
      </c>
      <c r="Q748" s="111">
        <f t="shared" si="569"/>
        <v>2</v>
      </c>
      <c r="R748" s="111">
        <f t="shared" si="533"/>
        <v>2</v>
      </c>
      <c r="S748" s="129">
        <v>5</v>
      </c>
      <c r="T748" s="129">
        <v>5</v>
      </c>
      <c r="U748" s="129">
        <v>4</v>
      </c>
      <c r="W748" s="111"/>
      <c r="AC748" s="130"/>
      <c r="AD748" s="130">
        <v>28761</v>
      </c>
      <c r="AE748" s="128" t="s">
        <v>32</v>
      </c>
      <c r="AF748" s="128" t="s">
        <v>33</v>
      </c>
      <c r="AG748" s="128" t="s">
        <v>872</v>
      </c>
      <c r="AH748" s="108" t="s">
        <v>31</v>
      </c>
      <c r="AI748" s="128" t="s">
        <v>113</v>
      </c>
      <c r="AJ748" s="129" t="s">
        <v>89</v>
      </c>
      <c r="AK748" s="129">
        <v>1</v>
      </c>
      <c r="AL748" s="3" t="s">
        <v>362</v>
      </c>
      <c r="AM748" s="117">
        <v>3</v>
      </c>
      <c r="AP748" s="129" t="s">
        <v>93</v>
      </c>
      <c r="AR748" s="128" t="s">
        <v>67</v>
      </c>
      <c r="AS748" s="129" t="s">
        <v>45</v>
      </c>
      <c r="BC748" s="129" t="s">
        <v>38</v>
      </c>
      <c r="BF748" s="111">
        <f t="shared" si="571"/>
        <v>2</v>
      </c>
      <c r="BG748" s="111">
        <f t="shared" si="572"/>
        <v>2</v>
      </c>
      <c r="BH748" s="111">
        <f t="shared" si="534"/>
        <v>2</v>
      </c>
      <c r="BI748" s="111">
        <f t="shared" si="535"/>
        <v>33.306010928961747</v>
      </c>
      <c r="BJ748" s="129">
        <f t="shared" si="554"/>
        <v>0</v>
      </c>
      <c r="BK748" s="129">
        <f t="shared" si="536"/>
        <v>0</v>
      </c>
      <c r="BL748" s="129" t="str">
        <f t="shared" si="567"/>
        <v>CONVICTION</v>
      </c>
      <c r="BM748" s="129" t="str">
        <f t="shared" si="555"/>
        <v>NONE</v>
      </c>
      <c r="BN748" s="129" t="s">
        <v>566</v>
      </c>
      <c r="BP748" s="137" t="str">
        <f t="shared" si="540"/>
        <v>CONVICTION</v>
      </c>
      <c r="BQ748" s="128" t="str">
        <f t="shared" si="541"/>
        <v>Y</v>
      </c>
      <c r="BR748" s="129" t="str">
        <f t="shared" si="556"/>
        <v>DETAINED</v>
      </c>
      <c r="BS748" s="129" t="str">
        <f t="shared" si="542"/>
        <v>DISPOSED</v>
      </c>
      <c r="BT748" s="129" t="str">
        <f t="shared" si="543"/>
        <v>Y</v>
      </c>
      <c r="BU748" s="109">
        <f t="shared" si="544"/>
        <v>1</v>
      </c>
      <c r="BV748" s="109">
        <f t="shared" si="557"/>
        <v>1</v>
      </c>
      <c r="BW748" s="109">
        <f t="shared" si="570"/>
        <v>0</v>
      </c>
      <c r="BX748" s="111">
        <f t="shared" si="545"/>
        <v>0</v>
      </c>
      <c r="BY748" s="129">
        <f t="shared" si="546"/>
        <v>-2</v>
      </c>
      <c r="BZ748" s="111">
        <f t="shared" si="547"/>
        <v>0</v>
      </c>
      <c r="CA748" s="138">
        <f t="shared" si="548"/>
        <v>2</v>
      </c>
      <c r="CB748" s="111" t="e">
        <f t="shared" si="573"/>
        <v>#VALUE!</v>
      </c>
      <c r="CC748" s="129">
        <f>G748-I748+1</f>
        <v>2</v>
      </c>
      <c r="CD748" s="129">
        <f>G748-J748</f>
        <v>0</v>
      </c>
      <c r="CE748" s="129">
        <f t="shared" si="549"/>
        <v>0</v>
      </c>
      <c r="CG748" s="129" t="str">
        <f t="shared" si="550"/>
        <v>Y</v>
      </c>
      <c r="CI748" s="129" t="str">
        <f t="shared" si="551"/>
        <v>0-10 DAYS</v>
      </c>
      <c r="CJ748" s="137">
        <f t="shared" si="552"/>
        <v>1</v>
      </c>
      <c r="CK748" s="129" t="str">
        <f t="shared" si="553"/>
        <v>Booked</v>
      </c>
    </row>
    <row r="749" spans="1:89" ht="15" customHeight="1" x14ac:dyDescent="0.25">
      <c r="A749" s="111">
        <v>1774</v>
      </c>
      <c r="B749" s="128" t="str">
        <f t="shared" si="537"/>
        <v>N</v>
      </c>
      <c r="C749" s="128" t="str">
        <f t="shared" si="538"/>
        <v>N</v>
      </c>
      <c r="D749" s="117">
        <v>1496803</v>
      </c>
      <c r="E749" s="135">
        <f t="shared" si="539"/>
        <v>5</v>
      </c>
      <c r="F749" s="124">
        <v>40975</v>
      </c>
      <c r="G749" s="125">
        <v>41061</v>
      </c>
      <c r="H749" s="117">
        <v>1496803</v>
      </c>
      <c r="I749" s="124">
        <v>40976</v>
      </c>
      <c r="J749" s="124">
        <v>41061</v>
      </c>
      <c r="K749" s="126">
        <v>2000</v>
      </c>
      <c r="L749" s="127" t="s">
        <v>568</v>
      </c>
      <c r="N749" s="129" t="str">
        <f>IF(M749&gt;1/1/1,"Y","N")</f>
        <v>N</v>
      </c>
      <c r="O749" s="128" t="s">
        <v>917</v>
      </c>
      <c r="P749" s="129" t="s">
        <v>39</v>
      </c>
      <c r="Q749" s="111">
        <f t="shared" si="569"/>
        <v>86</v>
      </c>
      <c r="R749" s="111">
        <f t="shared" si="533"/>
        <v>87</v>
      </c>
      <c r="S749" s="129">
        <v>1</v>
      </c>
      <c r="T749" s="129">
        <v>5</v>
      </c>
      <c r="U749" s="129">
        <v>1</v>
      </c>
      <c r="W749" s="111"/>
      <c r="AC749" s="130"/>
      <c r="AD749" s="130">
        <v>22148</v>
      </c>
      <c r="AE749" s="128" t="s">
        <v>32</v>
      </c>
      <c r="AF749" s="128" t="s">
        <v>33</v>
      </c>
      <c r="AG749" s="128" t="s">
        <v>872</v>
      </c>
      <c r="AH749" s="108" t="s">
        <v>58</v>
      </c>
      <c r="AI749" s="128" t="s">
        <v>100</v>
      </c>
      <c r="AJ749" s="129" t="s">
        <v>89</v>
      </c>
      <c r="AK749" s="129">
        <v>5</v>
      </c>
      <c r="AL749" s="3" t="s">
        <v>992</v>
      </c>
      <c r="AN749" s="117">
        <v>6</v>
      </c>
      <c r="AP749" s="129" t="s">
        <v>43</v>
      </c>
      <c r="AR749" s="128" t="s">
        <v>44</v>
      </c>
      <c r="AS749" s="129" t="s">
        <v>45</v>
      </c>
      <c r="BC749" s="129" t="s">
        <v>38</v>
      </c>
      <c r="BF749" s="111">
        <f t="shared" si="571"/>
        <v>86</v>
      </c>
      <c r="BG749" s="111">
        <f t="shared" si="572"/>
        <v>86</v>
      </c>
      <c r="BH749" s="111">
        <f t="shared" si="534"/>
        <v>87</v>
      </c>
      <c r="BI749" s="111">
        <f t="shared" si="535"/>
        <v>51.439890710382514</v>
      </c>
      <c r="BJ749" s="129">
        <f t="shared" si="554"/>
        <v>0</v>
      </c>
      <c r="BK749" s="129">
        <f t="shared" si="536"/>
        <v>0</v>
      </c>
      <c r="BL749" s="129" t="str">
        <f t="shared" si="567"/>
        <v>CONVICTION</v>
      </c>
      <c r="BM749" s="129" t="str">
        <f t="shared" si="555"/>
        <v>NONE</v>
      </c>
      <c r="BN749" s="129" t="s">
        <v>566</v>
      </c>
      <c r="BP749" s="137" t="str">
        <f t="shared" si="540"/>
        <v>CONVICTION</v>
      </c>
      <c r="BQ749" s="128" t="str">
        <f t="shared" si="541"/>
        <v>Y</v>
      </c>
      <c r="BR749" s="129" t="str">
        <f t="shared" si="556"/>
        <v>DETAINED</v>
      </c>
      <c r="BS749" s="129" t="str">
        <f t="shared" si="542"/>
        <v>DISPOSED</v>
      </c>
      <c r="BT749" s="129" t="str">
        <f t="shared" si="543"/>
        <v>Y</v>
      </c>
      <c r="BU749" s="109">
        <f t="shared" si="544"/>
        <v>0.9885057471264368</v>
      </c>
      <c r="BV749" s="109">
        <f t="shared" si="557"/>
        <v>1</v>
      </c>
      <c r="BW749" s="109">
        <f t="shared" si="570"/>
        <v>1.1494252873563204E-2</v>
      </c>
      <c r="BX749" s="111">
        <f t="shared" si="545"/>
        <v>0</v>
      </c>
      <c r="BY749" s="129">
        <f t="shared" si="546"/>
        <v>-86</v>
      </c>
      <c r="BZ749" s="111">
        <f t="shared" si="547"/>
        <v>0</v>
      </c>
      <c r="CA749" s="138">
        <f t="shared" si="548"/>
        <v>86</v>
      </c>
      <c r="CB749" s="111" t="e">
        <f t="shared" si="573"/>
        <v>#VALUE!</v>
      </c>
      <c r="CC749" s="129">
        <f>G749-I749+1</f>
        <v>86</v>
      </c>
      <c r="CD749" s="129">
        <f>G749-J749</f>
        <v>0</v>
      </c>
      <c r="CE749" s="129">
        <f t="shared" si="549"/>
        <v>0</v>
      </c>
      <c r="CG749" s="129" t="str">
        <f t="shared" si="550"/>
        <v>Y</v>
      </c>
      <c r="CI749" s="129" t="str">
        <f t="shared" si="551"/>
        <v>61-90 DAYS</v>
      </c>
      <c r="CJ749" s="137">
        <f t="shared" si="552"/>
        <v>4</v>
      </c>
      <c r="CK749" s="129" t="str">
        <f t="shared" si="553"/>
        <v>Booked</v>
      </c>
    </row>
    <row r="750" spans="1:89" ht="15.75" customHeight="1" x14ac:dyDescent="0.25">
      <c r="A750" s="111">
        <v>1834</v>
      </c>
      <c r="B750" s="128" t="str">
        <f t="shared" si="537"/>
        <v>N</v>
      </c>
      <c r="C750" s="128" t="str">
        <f t="shared" si="538"/>
        <v>N</v>
      </c>
      <c r="D750" s="117">
        <v>1497108</v>
      </c>
      <c r="E750" s="135">
        <f t="shared" si="539"/>
        <v>5</v>
      </c>
      <c r="F750" s="124">
        <v>40976</v>
      </c>
      <c r="G750" s="125">
        <v>40980</v>
      </c>
      <c r="H750" s="117">
        <v>1497108</v>
      </c>
      <c r="I750" s="124">
        <v>40977</v>
      </c>
      <c r="J750" s="124">
        <v>40980</v>
      </c>
      <c r="K750" s="126">
        <v>15000</v>
      </c>
      <c r="L750" s="127" t="s">
        <v>571</v>
      </c>
      <c r="N750" s="129" t="str">
        <f>IF(M750&gt;1/1/1,"Y","N")</f>
        <v>N</v>
      </c>
      <c r="O750" s="128" t="s">
        <v>917</v>
      </c>
      <c r="P750" s="129" t="s">
        <v>39</v>
      </c>
      <c r="Q750" s="111">
        <f t="shared" si="569"/>
        <v>4</v>
      </c>
      <c r="R750" s="111">
        <f t="shared" si="533"/>
        <v>5</v>
      </c>
      <c r="S750" s="129">
        <v>10</v>
      </c>
      <c r="T750" s="129">
        <v>4</v>
      </c>
      <c r="U750" s="129">
        <v>7</v>
      </c>
      <c r="W750" s="111"/>
      <c r="AC750" s="130"/>
      <c r="AD750" s="130">
        <v>27669</v>
      </c>
      <c r="AE750" s="128" t="s">
        <v>32</v>
      </c>
      <c r="AF750" s="128" t="s">
        <v>33</v>
      </c>
      <c r="AG750" s="128" t="s">
        <v>872</v>
      </c>
      <c r="AH750" s="108" t="s">
        <v>58</v>
      </c>
      <c r="AI750" s="128" t="s">
        <v>90</v>
      </c>
      <c r="AJ750" s="129" t="s">
        <v>89</v>
      </c>
      <c r="AK750" s="129">
        <v>1</v>
      </c>
      <c r="AL750" s="3" t="s">
        <v>992</v>
      </c>
      <c r="AN750" s="117">
        <v>9</v>
      </c>
      <c r="AP750" s="129" t="s">
        <v>127</v>
      </c>
      <c r="AR750" s="128" t="s">
        <v>44</v>
      </c>
      <c r="AS750" s="129" t="s">
        <v>82</v>
      </c>
      <c r="BC750" s="129" t="s">
        <v>38</v>
      </c>
      <c r="BF750" s="111">
        <f t="shared" si="571"/>
        <v>4</v>
      </c>
      <c r="BG750" s="111">
        <f t="shared" si="572"/>
        <v>4</v>
      </c>
      <c r="BH750" s="111">
        <f t="shared" si="534"/>
        <v>5</v>
      </c>
      <c r="BI750" s="111">
        <f t="shared" si="535"/>
        <v>36.357923497267763</v>
      </c>
      <c r="BJ750" s="129">
        <f t="shared" si="554"/>
        <v>0</v>
      </c>
      <c r="BK750" s="129">
        <f t="shared" si="536"/>
        <v>0</v>
      </c>
      <c r="BL750" s="129" t="str">
        <f t="shared" si="567"/>
        <v>CONVICTION</v>
      </c>
      <c r="BM750" s="129" t="str">
        <f t="shared" si="555"/>
        <v>NONE</v>
      </c>
      <c r="BN750" s="129" t="s">
        <v>566</v>
      </c>
      <c r="BP750" s="137" t="str">
        <f t="shared" si="540"/>
        <v>CONVICTION</v>
      </c>
      <c r="BQ750" s="128" t="str">
        <f t="shared" si="541"/>
        <v>Y</v>
      </c>
      <c r="BR750" s="129" t="str">
        <f t="shared" si="556"/>
        <v>DETAINED</v>
      </c>
      <c r="BS750" s="129" t="str">
        <f t="shared" si="542"/>
        <v>DISPOSED</v>
      </c>
      <c r="BT750" s="129" t="str">
        <f t="shared" si="543"/>
        <v>Y</v>
      </c>
      <c r="BU750" s="109">
        <f t="shared" si="544"/>
        <v>0.8</v>
      </c>
      <c r="BV750" s="109">
        <f t="shared" si="557"/>
        <v>1</v>
      </c>
      <c r="BW750" s="109">
        <f t="shared" si="570"/>
        <v>0.19999999999999996</v>
      </c>
      <c r="BX750" s="111">
        <f t="shared" si="545"/>
        <v>0</v>
      </c>
      <c r="BY750" s="129">
        <f t="shared" si="546"/>
        <v>-4</v>
      </c>
      <c r="BZ750" s="111">
        <f t="shared" si="547"/>
        <v>0</v>
      </c>
      <c r="CA750" s="138">
        <f t="shared" si="548"/>
        <v>4</v>
      </c>
      <c r="CB750" s="111" t="e">
        <f t="shared" si="573"/>
        <v>#VALUE!</v>
      </c>
      <c r="CC750" s="129">
        <f>G750-I750+1</f>
        <v>4</v>
      </c>
      <c r="CD750" s="129">
        <f>G750-J750</f>
        <v>0</v>
      </c>
      <c r="CE750" s="129">
        <f t="shared" si="549"/>
        <v>0</v>
      </c>
      <c r="CG750" s="129" t="str">
        <f t="shared" si="550"/>
        <v>Y</v>
      </c>
      <c r="CI750" s="129" t="str">
        <f t="shared" si="551"/>
        <v>0-10 DAYS</v>
      </c>
      <c r="CJ750" s="137">
        <f t="shared" si="552"/>
        <v>1</v>
      </c>
      <c r="CK750" s="129" t="str">
        <f t="shared" si="553"/>
        <v>Booked</v>
      </c>
    </row>
    <row r="751" spans="1:89" ht="15" customHeight="1" x14ac:dyDescent="0.25">
      <c r="A751" s="111">
        <v>1306</v>
      </c>
      <c r="B751" s="128" t="str">
        <f t="shared" si="537"/>
        <v>N</v>
      </c>
      <c r="C751" s="128" t="str">
        <f t="shared" si="538"/>
        <v>N</v>
      </c>
      <c r="D751" s="117">
        <v>1497556</v>
      </c>
      <c r="E751" s="135">
        <f t="shared" si="539"/>
        <v>3</v>
      </c>
      <c r="F751" s="124">
        <v>40956</v>
      </c>
      <c r="G751" s="125">
        <v>41165</v>
      </c>
      <c r="H751" s="117">
        <v>1497556</v>
      </c>
      <c r="I751" s="124">
        <v>40956</v>
      </c>
      <c r="J751" s="124">
        <v>40960</v>
      </c>
      <c r="K751" s="126">
        <v>5000</v>
      </c>
      <c r="L751" s="127" t="s">
        <v>569</v>
      </c>
      <c r="M751" s="125">
        <v>40960</v>
      </c>
      <c r="N751" s="129" t="str">
        <f>IF(M751&gt;1/1/1,"Y","N")</f>
        <v>Y</v>
      </c>
      <c r="O751" s="128" t="s">
        <v>585</v>
      </c>
      <c r="P751" s="129" t="s">
        <v>39</v>
      </c>
      <c r="Q751" s="111">
        <f t="shared" si="569"/>
        <v>5</v>
      </c>
      <c r="R751" s="111">
        <f t="shared" si="533"/>
        <v>210</v>
      </c>
      <c r="S751" s="129">
        <v>0</v>
      </c>
      <c r="T751" s="129">
        <v>3</v>
      </c>
      <c r="W751" s="111"/>
      <c r="AC751" s="130"/>
      <c r="AD751" s="130">
        <v>19406</v>
      </c>
      <c r="AE751" s="128" t="s">
        <v>32</v>
      </c>
      <c r="AF751" s="128" t="s">
        <v>40</v>
      </c>
      <c r="AG751" s="128" t="s">
        <v>41</v>
      </c>
      <c r="AH751" s="108" t="s">
        <v>41</v>
      </c>
      <c r="AI751" s="128" t="s">
        <v>118</v>
      </c>
      <c r="AJ751" s="129" t="s">
        <v>89</v>
      </c>
      <c r="AK751" s="129">
        <v>7</v>
      </c>
      <c r="AL751" s="3" t="s">
        <v>185</v>
      </c>
      <c r="AP751" s="129" t="s">
        <v>66</v>
      </c>
      <c r="AR751" s="128" t="s">
        <v>67</v>
      </c>
      <c r="AS751" s="129" t="s">
        <v>68</v>
      </c>
      <c r="BC751" s="129" t="s">
        <v>52</v>
      </c>
      <c r="BF751" s="111">
        <f t="shared" si="571"/>
        <v>5</v>
      </c>
      <c r="BG751" s="111">
        <f t="shared" si="572"/>
        <v>210</v>
      </c>
      <c r="BH751" s="111">
        <f t="shared" si="534"/>
        <v>210</v>
      </c>
      <c r="BI751" s="111">
        <f t="shared" si="535"/>
        <v>58.879781420765028</v>
      </c>
      <c r="BJ751" s="129">
        <f>(G751-J751)+(M751-G751)</f>
        <v>0</v>
      </c>
      <c r="BK751" s="129">
        <f t="shared" si="536"/>
        <v>-205</v>
      </c>
      <c r="BL751" s="129" t="str">
        <f t="shared" si="567"/>
        <v>CONVICTION</v>
      </c>
      <c r="BM751" s="129" t="s">
        <v>76</v>
      </c>
      <c r="BN751" s="129" t="s">
        <v>88</v>
      </c>
      <c r="BP751" s="137" t="str">
        <f t="shared" si="540"/>
        <v>CONVICTION</v>
      </c>
      <c r="BQ751" s="128" t="str">
        <f t="shared" si="541"/>
        <v>Y</v>
      </c>
      <c r="BR751" s="129" t="str">
        <f>IF(J751&lt;G751,"ON BOND",0)</f>
        <v>ON BOND</v>
      </c>
      <c r="BS751" s="129" t="str">
        <f t="shared" si="542"/>
        <v>DISPOSED</v>
      </c>
      <c r="BT751" s="129" t="str">
        <f t="shared" si="543"/>
        <v>N</v>
      </c>
      <c r="BU751" s="109">
        <f t="shared" si="544"/>
        <v>2.3809523809523808E-2</v>
      </c>
      <c r="BV751" s="109">
        <f t="shared" si="557"/>
        <v>2.3809523809523808E-2</v>
      </c>
      <c r="BW751" s="109">
        <f t="shared" si="570"/>
        <v>0</v>
      </c>
      <c r="BX751" s="111">
        <f t="shared" si="545"/>
        <v>0</v>
      </c>
      <c r="BY751" s="129">
        <f t="shared" si="546"/>
        <v>-5</v>
      </c>
      <c r="BZ751" s="111">
        <f t="shared" si="547"/>
        <v>0</v>
      </c>
      <c r="CA751" s="138">
        <f t="shared" si="548"/>
        <v>5</v>
      </c>
      <c r="CB751" s="111" t="e">
        <f t="shared" si="573"/>
        <v>#VALUE!</v>
      </c>
      <c r="CC751" s="129">
        <f>M751-I751+1</f>
        <v>5</v>
      </c>
      <c r="CD751" s="111">
        <f>CC751-BF751</f>
        <v>0</v>
      </c>
      <c r="CE751" s="129">
        <f t="shared" si="549"/>
        <v>205</v>
      </c>
      <c r="CG751" s="129" t="str">
        <f t="shared" si="550"/>
        <v>Y</v>
      </c>
      <c r="CI751" s="129" t="str">
        <f t="shared" si="551"/>
        <v>0-10 DAYS</v>
      </c>
      <c r="CJ751" s="137">
        <f t="shared" si="552"/>
        <v>1</v>
      </c>
      <c r="CK751" s="129" t="str">
        <f t="shared" si="553"/>
        <v>Booked</v>
      </c>
    </row>
    <row r="752" spans="1:89" ht="15" customHeight="1" x14ac:dyDescent="0.25">
      <c r="A752" s="111">
        <v>1008</v>
      </c>
      <c r="B752" s="128" t="str">
        <f t="shared" si="537"/>
        <v>N</v>
      </c>
      <c r="C752" s="128" t="str">
        <f t="shared" si="538"/>
        <v>N</v>
      </c>
      <c r="D752" s="117">
        <v>1499237</v>
      </c>
      <c r="E752" s="135">
        <f t="shared" si="539"/>
        <v>5</v>
      </c>
      <c r="F752" s="124">
        <v>40946</v>
      </c>
      <c r="G752" s="125">
        <v>40990</v>
      </c>
      <c r="H752" s="117">
        <v>1499237</v>
      </c>
      <c r="I752" s="124">
        <v>40946</v>
      </c>
      <c r="J752" s="124">
        <v>40990</v>
      </c>
      <c r="K752" s="126" t="s">
        <v>564</v>
      </c>
      <c r="L752" s="127" t="s">
        <v>564</v>
      </c>
      <c r="N752" s="129" t="s">
        <v>566</v>
      </c>
      <c r="O752" s="128" t="s">
        <v>917</v>
      </c>
      <c r="P752" s="129" t="s">
        <v>39</v>
      </c>
      <c r="Q752" s="111">
        <f t="shared" si="569"/>
        <v>45</v>
      </c>
      <c r="R752" s="111">
        <f t="shared" si="533"/>
        <v>45</v>
      </c>
      <c r="S752" s="129">
        <v>3</v>
      </c>
      <c r="T752" s="129">
        <v>2</v>
      </c>
      <c r="U752" s="129">
        <v>2</v>
      </c>
      <c r="V752" s="117">
        <v>1</v>
      </c>
      <c r="W752" s="111"/>
      <c r="AC752" s="130"/>
      <c r="AD752" s="130">
        <v>26145</v>
      </c>
      <c r="AE752" s="128" t="s">
        <v>32</v>
      </c>
      <c r="AF752" s="128" t="s">
        <v>40</v>
      </c>
      <c r="AG752" s="128" t="s">
        <v>41</v>
      </c>
      <c r="AH752" s="108" t="s">
        <v>41</v>
      </c>
      <c r="AI752" s="128" t="s">
        <v>95</v>
      </c>
      <c r="AJ752" s="129" t="s">
        <v>89</v>
      </c>
      <c r="AK752" s="129">
        <v>3</v>
      </c>
      <c r="AL752" s="3" t="s">
        <v>992</v>
      </c>
      <c r="AN752" s="117">
        <v>7</v>
      </c>
      <c r="AP752" s="129" t="s">
        <v>108</v>
      </c>
      <c r="AR752" s="128" t="s">
        <v>44</v>
      </c>
      <c r="AS752" s="129" t="s">
        <v>61</v>
      </c>
      <c r="AW752" s="123"/>
      <c r="BC752" s="129" t="s">
        <v>38</v>
      </c>
      <c r="BF752" s="111">
        <f t="shared" si="571"/>
        <v>45</v>
      </c>
      <c r="BG752" s="111">
        <f t="shared" si="572"/>
        <v>45</v>
      </c>
      <c r="BH752" s="111">
        <f t="shared" si="534"/>
        <v>45</v>
      </c>
      <c r="BI752" s="111">
        <f t="shared" si="535"/>
        <v>40.439890710382514</v>
      </c>
      <c r="BJ752" s="129">
        <f t="shared" si="554"/>
        <v>0</v>
      </c>
      <c r="BK752" s="129">
        <f t="shared" si="536"/>
        <v>0</v>
      </c>
      <c r="BL752" s="129" t="str">
        <f t="shared" si="567"/>
        <v>CONVICTION</v>
      </c>
      <c r="BM752" s="129" t="str">
        <f t="shared" si="555"/>
        <v>NONE</v>
      </c>
      <c r="BN752" s="129" t="s">
        <v>566</v>
      </c>
      <c r="BP752" s="137" t="str">
        <f t="shared" si="540"/>
        <v>CONVICTION</v>
      </c>
      <c r="BQ752" s="128" t="str">
        <f t="shared" si="541"/>
        <v>Y</v>
      </c>
      <c r="BR752" s="129" t="str">
        <f t="shared" si="556"/>
        <v>DETAINED</v>
      </c>
      <c r="BS752" s="129" t="str">
        <f t="shared" si="542"/>
        <v>DISPOSED</v>
      </c>
      <c r="BT752" s="129" t="str">
        <f t="shared" si="543"/>
        <v>Y</v>
      </c>
      <c r="BU752" s="109">
        <f t="shared" si="544"/>
        <v>1</v>
      </c>
      <c r="BV752" s="109">
        <f t="shared" si="557"/>
        <v>1</v>
      </c>
      <c r="BW752" s="109">
        <f t="shared" si="570"/>
        <v>0</v>
      </c>
      <c r="BX752" s="111">
        <f t="shared" si="545"/>
        <v>0</v>
      </c>
      <c r="BY752" s="129">
        <f t="shared" si="546"/>
        <v>-45</v>
      </c>
      <c r="BZ752" s="111">
        <f t="shared" si="547"/>
        <v>0</v>
      </c>
      <c r="CA752" s="138">
        <f t="shared" si="548"/>
        <v>45</v>
      </c>
      <c r="CB752" s="111" t="e">
        <f t="shared" si="573"/>
        <v>#VALUE!</v>
      </c>
      <c r="CC752" s="129">
        <f>G752-I752+1</f>
        <v>45</v>
      </c>
      <c r="CD752" s="129">
        <f>G752-J752</f>
        <v>0</v>
      </c>
      <c r="CE752" s="129">
        <f t="shared" si="549"/>
        <v>0</v>
      </c>
      <c r="CG752" s="129" t="str">
        <f t="shared" si="550"/>
        <v>Y</v>
      </c>
      <c r="CI752" s="129" t="str">
        <f t="shared" si="551"/>
        <v>31-60 DAYS</v>
      </c>
      <c r="CJ752" s="137">
        <f t="shared" si="552"/>
        <v>3</v>
      </c>
      <c r="CK752" s="129" t="str">
        <f t="shared" si="553"/>
        <v>Booked</v>
      </c>
    </row>
    <row r="753" spans="1:89" ht="15.75" customHeight="1" x14ac:dyDescent="0.25">
      <c r="A753" s="111">
        <v>2088</v>
      </c>
      <c r="B753" s="128" t="str">
        <f t="shared" si="537"/>
        <v>N</v>
      </c>
      <c r="C753" s="128" t="str">
        <f t="shared" si="538"/>
        <v>N</v>
      </c>
      <c r="D753" s="117">
        <v>1500271</v>
      </c>
      <c r="E753" s="135">
        <f t="shared" si="539"/>
        <v>1</v>
      </c>
      <c r="F753" s="124">
        <v>40987</v>
      </c>
      <c r="G753" s="125">
        <v>41122</v>
      </c>
      <c r="H753" s="117">
        <v>1500271</v>
      </c>
      <c r="I753" s="124">
        <v>40988</v>
      </c>
      <c r="J753" s="124">
        <v>40990</v>
      </c>
      <c r="K753" s="126">
        <v>10000</v>
      </c>
      <c r="L753" s="127" t="s">
        <v>570</v>
      </c>
      <c r="M753" s="125">
        <v>40990</v>
      </c>
      <c r="N753" s="129" t="str">
        <f>IF(M753&gt;1/1/1,"Y","N")</f>
        <v>Y</v>
      </c>
      <c r="O753" s="128" t="s">
        <v>76</v>
      </c>
      <c r="P753" s="129" t="s">
        <v>55</v>
      </c>
      <c r="Q753" s="111">
        <f t="shared" si="569"/>
        <v>3</v>
      </c>
      <c r="R753" s="111">
        <f t="shared" si="533"/>
        <v>136</v>
      </c>
      <c r="S753" s="129">
        <v>1</v>
      </c>
      <c r="T753" s="129">
        <v>10</v>
      </c>
      <c r="W753" s="111"/>
      <c r="AC753" s="130"/>
      <c r="AD753" s="130">
        <v>26472</v>
      </c>
      <c r="AE753" s="128" t="s">
        <v>32</v>
      </c>
      <c r="AF753" s="128" t="s">
        <v>33</v>
      </c>
      <c r="AG753" s="128" t="s">
        <v>872</v>
      </c>
      <c r="AH753" s="108" t="s">
        <v>58</v>
      </c>
      <c r="AI753" s="128" t="s">
        <v>113</v>
      </c>
      <c r="AJ753" s="129" t="s">
        <v>55</v>
      </c>
      <c r="AK753" s="129">
        <v>7</v>
      </c>
      <c r="AL753" s="3" t="s">
        <v>55</v>
      </c>
      <c r="AP753" s="129" t="s">
        <v>150</v>
      </c>
      <c r="AR753" s="128" t="s">
        <v>67</v>
      </c>
      <c r="AS753" s="129" t="s">
        <v>74</v>
      </c>
      <c r="BC753" s="129" t="s">
        <v>38</v>
      </c>
      <c r="BF753" s="111">
        <f t="shared" si="571"/>
        <v>3</v>
      </c>
      <c r="BG753" s="111">
        <f t="shared" si="572"/>
        <v>135</v>
      </c>
      <c r="BH753" s="111">
        <f t="shared" si="534"/>
        <v>136</v>
      </c>
      <c r="BI753" s="111">
        <f t="shared" si="535"/>
        <v>39.658469945355193</v>
      </c>
      <c r="BJ753" s="129">
        <f>(G753-J753)+(M753-G753)</f>
        <v>0</v>
      </c>
      <c r="BK753" s="129">
        <f t="shared" si="536"/>
        <v>-132</v>
      </c>
      <c r="BL753" s="129" t="str">
        <f t="shared" si="567"/>
        <v>NO CONVICTION</v>
      </c>
      <c r="BM753" s="129" t="s">
        <v>76</v>
      </c>
      <c r="BN753" s="129" t="s">
        <v>88</v>
      </c>
      <c r="BP753" s="137" t="str">
        <f t="shared" si="540"/>
        <v>NO CONVICTION</v>
      </c>
      <c r="BQ753" s="128" t="str">
        <f t="shared" si="541"/>
        <v>Y</v>
      </c>
      <c r="BR753" s="129" t="str">
        <f t="shared" si="556"/>
        <v>ON BOND</v>
      </c>
      <c r="BS753" s="129" t="str">
        <f t="shared" si="542"/>
        <v>DISPOSED</v>
      </c>
      <c r="BT753" s="129" t="str">
        <f t="shared" si="543"/>
        <v>Y</v>
      </c>
      <c r="BU753" s="109">
        <f>IFERROR(Q753/R753,BR753)</f>
        <v>2.2058823529411766E-2</v>
      </c>
      <c r="BV753" s="109">
        <f t="shared" si="557"/>
        <v>2.2222222222222223E-2</v>
      </c>
      <c r="BW753" s="109">
        <f t="shared" si="570"/>
        <v>1.6339869281045694E-4</v>
      </c>
      <c r="BX753" s="111">
        <f t="shared" si="545"/>
        <v>0</v>
      </c>
      <c r="BY753" s="129">
        <f t="shared" si="546"/>
        <v>-3</v>
      </c>
      <c r="BZ753" s="111">
        <f t="shared" si="547"/>
        <v>0</v>
      </c>
      <c r="CA753" s="138">
        <f t="shared" si="548"/>
        <v>3</v>
      </c>
      <c r="CB753" s="111" t="e">
        <f t="shared" si="573"/>
        <v>#VALUE!</v>
      </c>
      <c r="CC753" s="129">
        <f>M753-I753+1</f>
        <v>3</v>
      </c>
      <c r="CD753" s="111">
        <f>CC753-BF753</f>
        <v>0</v>
      </c>
      <c r="CE753" s="129">
        <f t="shared" si="549"/>
        <v>132</v>
      </c>
      <c r="CG753" s="129" t="str">
        <f t="shared" si="550"/>
        <v>Y</v>
      </c>
      <c r="CI753" s="129" t="str">
        <f t="shared" si="551"/>
        <v>0-10 DAYS</v>
      </c>
      <c r="CJ753" s="137">
        <f t="shared" si="552"/>
        <v>1</v>
      </c>
      <c r="CK753" s="129" t="str">
        <f t="shared" si="553"/>
        <v>Booked</v>
      </c>
    </row>
    <row r="754" spans="1:89" ht="15" customHeight="1" x14ac:dyDescent="0.25">
      <c r="A754" s="111">
        <v>1949</v>
      </c>
      <c r="B754" s="128" t="str">
        <f t="shared" si="537"/>
        <v>N</v>
      </c>
      <c r="C754" s="128" t="str">
        <f t="shared" si="538"/>
        <v>N</v>
      </c>
      <c r="D754" s="117">
        <v>1500781</v>
      </c>
      <c r="E754" s="135">
        <f t="shared" si="539"/>
        <v>6</v>
      </c>
      <c r="F754" s="124">
        <v>40982</v>
      </c>
      <c r="G754" s="125">
        <v>41030</v>
      </c>
      <c r="H754" s="117">
        <v>1500781</v>
      </c>
      <c r="I754" s="124">
        <v>40982</v>
      </c>
      <c r="J754" s="124">
        <v>41030</v>
      </c>
      <c r="K754" s="126">
        <v>20000</v>
      </c>
      <c r="L754" s="127" t="s">
        <v>571</v>
      </c>
      <c r="N754" s="129" t="str">
        <f>IF(M754&gt;1/1/1,"Y","N")</f>
        <v>N</v>
      </c>
      <c r="O754" s="128" t="s">
        <v>917</v>
      </c>
      <c r="P754" s="129" t="s">
        <v>39</v>
      </c>
      <c r="Q754" s="111">
        <f t="shared" si="569"/>
        <v>49</v>
      </c>
      <c r="R754" s="111">
        <f t="shared" si="533"/>
        <v>49</v>
      </c>
      <c r="S754" s="129">
        <v>6</v>
      </c>
      <c r="T754" s="129">
        <v>9</v>
      </c>
      <c r="U754" s="129">
        <v>2</v>
      </c>
      <c r="W754" s="111"/>
      <c r="AC754" s="130"/>
      <c r="AD754" s="130">
        <v>28776</v>
      </c>
      <c r="AE754" s="128" t="s">
        <v>32</v>
      </c>
      <c r="AF754" s="128" t="s">
        <v>69</v>
      </c>
      <c r="AG754" s="128" t="s">
        <v>874</v>
      </c>
      <c r="AH754" s="108" t="s">
        <v>58</v>
      </c>
      <c r="AI754" s="128" t="s">
        <v>72</v>
      </c>
      <c r="AJ754" s="129" t="s">
        <v>89</v>
      </c>
      <c r="AK754" s="129">
        <v>3</v>
      </c>
      <c r="AL754" s="3" t="s">
        <v>362</v>
      </c>
      <c r="AM754" s="117">
        <v>2</v>
      </c>
      <c r="AP754" s="129" t="s">
        <v>93</v>
      </c>
      <c r="AR754" s="128" t="s">
        <v>67</v>
      </c>
      <c r="AS754" s="129" t="s">
        <v>45</v>
      </c>
      <c r="BC754" s="129" t="s">
        <v>38</v>
      </c>
      <c r="BF754" s="111">
        <f t="shared" si="571"/>
        <v>49</v>
      </c>
      <c r="BG754" s="111">
        <f t="shared" si="572"/>
        <v>49</v>
      </c>
      <c r="BH754" s="111">
        <f t="shared" si="534"/>
        <v>49</v>
      </c>
      <c r="BI754" s="111">
        <f t="shared" si="535"/>
        <v>33.349726775956285</v>
      </c>
      <c r="BJ754" s="129">
        <f t="shared" si="554"/>
        <v>0</v>
      </c>
      <c r="BK754" s="129">
        <f t="shared" si="536"/>
        <v>0</v>
      </c>
      <c r="BL754" s="129" t="str">
        <f t="shared" si="567"/>
        <v>CONVICTION</v>
      </c>
      <c r="BM754" s="129" t="str">
        <f t="shared" si="555"/>
        <v>NONE</v>
      </c>
      <c r="BN754" s="129" t="s">
        <v>566</v>
      </c>
      <c r="BP754" s="137" t="str">
        <f t="shared" si="540"/>
        <v>CONVICTION</v>
      </c>
      <c r="BQ754" s="128" t="str">
        <f t="shared" si="541"/>
        <v>Y</v>
      </c>
      <c r="BR754" s="129" t="str">
        <f t="shared" si="556"/>
        <v>DETAINED</v>
      </c>
      <c r="BS754" s="129" t="str">
        <f t="shared" si="542"/>
        <v>DISPOSED</v>
      </c>
      <c r="BT754" s="129" t="str">
        <f t="shared" si="543"/>
        <v>Y</v>
      </c>
      <c r="BU754" s="109">
        <f t="shared" si="544"/>
        <v>1</v>
      </c>
      <c r="BV754" s="109">
        <f t="shared" si="557"/>
        <v>1</v>
      </c>
      <c r="BW754" s="109">
        <f t="shared" si="570"/>
        <v>0</v>
      </c>
      <c r="BX754" s="111">
        <f t="shared" si="545"/>
        <v>0</v>
      </c>
      <c r="BY754" s="129">
        <f t="shared" si="546"/>
        <v>-49</v>
      </c>
      <c r="BZ754" s="111">
        <f t="shared" si="547"/>
        <v>0</v>
      </c>
      <c r="CA754" s="138">
        <f t="shared" si="548"/>
        <v>49</v>
      </c>
      <c r="CB754" s="111" t="e">
        <f t="shared" si="573"/>
        <v>#VALUE!</v>
      </c>
      <c r="CC754" s="129">
        <f>G754-I754+1</f>
        <v>49</v>
      </c>
      <c r="CD754" s="129">
        <f>G754-J754</f>
        <v>0</v>
      </c>
      <c r="CE754" s="129">
        <f t="shared" si="549"/>
        <v>0</v>
      </c>
      <c r="CG754" s="129" t="str">
        <f t="shared" si="550"/>
        <v>Y</v>
      </c>
      <c r="CI754" s="129" t="str">
        <f t="shared" si="551"/>
        <v>31-60 DAYS</v>
      </c>
      <c r="CJ754" s="137">
        <f t="shared" si="552"/>
        <v>3</v>
      </c>
      <c r="CK754" s="129" t="str">
        <f t="shared" si="553"/>
        <v>Booked</v>
      </c>
    </row>
    <row r="755" spans="1:89" ht="15.75" customHeight="1" x14ac:dyDescent="0.25">
      <c r="A755" s="111">
        <v>261</v>
      </c>
      <c r="B755" s="128" t="str">
        <f t="shared" si="537"/>
        <v>N</v>
      </c>
      <c r="C755" s="128" t="str">
        <f t="shared" si="538"/>
        <v>N</v>
      </c>
      <c r="D755" s="117">
        <v>1500847</v>
      </c>
      <c r="E755" s="135">
        <f t="shared" si="539"/>
        <v>6</v>
      </c>
      <c r="F755" s="124">
        <v>40919</v>
      </c>
      <c r="G755" s="125">
        <v>40921</v>
      </c>
      <c r="H755" s="117">
        <v>1500847</v>
      </c>
      <c r="I755" s="124">
        <v>40920</v>
      </c>
      <c r="J755" s="124">
        <v>40921</v>
      </c>
      <c r="K755" s="126">
        <v>15000</v>
      </c>
      <c r="L755" s="127" t="s">
        <v>571</v>
      </c>
      <c r="N755" s="129" t="str">
        <f>IF(M755&gt;1/1/1,"Y","N")</f>
        <v>N</v>
      </c>
      <c r="O755" s="128" t="s">
        <v>917</v>
      </c>
      <c r="P755" s="129" t="s">
        <v>39</v>
      </c>
      <c r="Q755" s="111">
        <f t="shared" si="569"/>
        <v>2</v>
      </c>
      <c r="R755" s="111">
        <f t="shared" si="533"/>
        <v>3</v>
      </c>
      <c r="S755" s="129">
        <v>3</v>
      </c>
      <c r="T755" s="129">
        <v>0</v>
      </c>
      <c r="U755" s="129">
        <v>3</v>
      </c>
      <c r="W755" s="111"/>
      <c r="AC755" s="130"/>
      <c r="AD755" s="130">
        <v>28221</v>
      </c>
      <c r="AE755" s="128" t="s">
        <v>32</v>
      </c>
      <c r="AF755" s="128" t="s">
        <v>33</v>
      </c>
      <c r="AG755" s="128" t="s">
        <v>872</v>
      </c>
      <c r="AH755" s="108" t="s">
        <v>58</v>
      </c>
      <c r="AI755" s="128" t="s">
        <v>97</v>
      </c>
      <c r="AJ755" s="129" t="s">
        <v>89</v>
      </c>
      <c r="AK755" s="129">
        <v>1</v>
      </c>
      <c r="AL755" s="3" t="s">
        <v>362</v>
      </c>
      <c r="AM755" s="117">
        <v>5</v>
      </c>
      <c r="AP755" s="129" t="s">
        <v>132</v>
      </c>
      <c r="AR755" s="128" t="s">
        <v>92</v>
      </c>
      <c r="AS755" s="129" t="s">
        <v>82</v>
      </c>
      <c r="BC755" s="129" t="s">
        <v>99</v>
      </c>
      <c r="BF755" s="111">
        <f t="shared" si="571"/>
        <v>2</v>
      </c>
      <c r="BG755" s="111">
        <f t="shared" si="572"/>
        <v>2</v>
      </c>
      <c r="BH755" s="111">
        <f t="shared" si="534"/>
        <v>3</v>
      </c>
      <c r="BI755" s="111">
        <f t="shared" si="535"/>
        <v>34.693989071038253</v>
      </c>
      <c r="BJ755" s="129">
        <f t="shared" si="554"/>
        <v>0</v>
      </c>
      <c r="BK755" s="129">
        <f t="shared" si="536"/>
        <v>0</v>
      </c>
      <c r="BL755" s="129" t="str">
        <f t="shared" si="567"/>
        <v>CONVICTION</v>
      </c>
      <c r="BM755" s="129" t="str">
        <f t="shared" si="555"/>
        <v>NONE</v>
      </c>
      <c r="BN755" s="129" t="s">
        <v>566</v>
      </c>
      <c r="BP755" s="137" t="str">
        <f t="shared" si="540"/>
        <v>CONVICTION</v>
      </c>
      <c r="BQ755" s="128" t="str">
        <f t="shared" si="541"/>
        <v>Y</v>
      </c>
      <c r="BR755" s="129" t="str">
        <f t="shared" si="556"/>
        <v>DETAINED</v>
      </c>
      <c r="BS755" s="129" t="str">
        <f t="shared" si="542"/>
        <v>DISPOSED</v>
      </c>
      <c r="BT755" s="129" t="str">
        <f t="shared" si="543"/>
        <v>Y</v>
      </c>
      <c r="BU755" s="109">
        <f t="shared" si="544"/>
        <v>0.66666666666666663</v>
      </c>
      <c r="BV755" s="109">
        <f t="shared" si="557"/>
        <v>1</v>
      </c>
      <c r="BW755" s="109">
        <f t="shared" si="570"/>
        <v>0.33333333333333337</v>
      </c>
      <c r="BX755" s="111">
        <f t="shared" si="545"/>
        <v>0</v>
      </c>
      <c r="BY755" s="129">
        <f t="shared" si="546"/>
        <v>-2</v>
      </c>
      <c r="BZ755" s="111">
        <f t="shared" si="547"/>
        <v>0</v>
      </c>
      <c r="CA755" s="138">
        <f t="shared" si="548"/>
        <v>2</v>
      </c>
      <c r="CB755" s="111" t="e">
        <f t="shared" si="573"/>
        <v>#VALUE!</v>
      </c>
      <c r="CC755" s="129">
        <f>G755-I755+1</f>
        <v>2</v>
      </c>
      <c r="CD755" s="129">
        <f>G755-J755</f>
        <v>0</v>
      </c>
      <c r="CE755" s="129">
        <f t="shared" si="549"/>
        <v>0</v>
      </c>
      <c r="CG755" s="129" t="str">
        <f t="shared" si="550"/>
        <v>Y</v>
      </c>
      <c r="CI755" s="129" t="str">
        <f t="shared" si="551"/>
        <v>0-10 DAYS</v>
      </c>
      <c r="CJ755" s="137">
        <f t="shared" si="552"/>
        <v>1</v>
      </c>
      <c r="CK755" s="129" t="str">
        <f t="shared" si="553"/>
        <v>Booked</v>
      </c>
    </row>
    <row r="756" spans="1:89" ht="15" customHeight="1" x14ac:dyDescent="0.25">
      <c r="A756" s="111">
        <v>1642</v>
      </c>
      <c r="B756" s="128" t="str">
        <f t="shared" si="537"/>
        <v>N</v>
      </c>
      <c r="C756" s="128" t="str">
        <f t="shared" si="538"/>
        <v>N</v>
      </c>
      <c r="D756" s="117">
        <v>1501824</v>
      </c>
      <c r="E756" s="135">
        <f t="shared" si="539"/>
        <v>1</v>
      </c>
      <c r="F756" s="124">
        <v>40969</v>
      </c>
      <c r="G756" s="125">
        <v>41019</v>
      </c>
      <c r="H756" s="117">
        <v>1501824</v>
      </c>
      <c r="I756" s="124">
        <v>40970</v>
      </c>
      <c r="J756" s="124">
        <v>40971</v>
      </c>
      <c r="K756" s="126">
        <v>10000</v>
      </c>
      <c r="L756" s="127" t="s">
        <v>570</v>
      </c>
      <c r="M756" s="125">
        <v>40971</v>
      </c>
      <c r="N756" s="129" t="str">
        <f>IF(M756&gt;1/1/1,"Y","N")</f>
        <v>Y</v>
      </c>
      <c r="O756" s="128" t="s">
        <v>585</v>
      </c>
      <c r="P756" s="129" t="s">
        <v>55</v>
      </c>
      <c r="Q756" s="111">
        <f t="shared" si="569"/>
        <v>2</v>
      </c>
      <c r="R756" s="111">
        <f t="shared" si="533"/>
        <v>51</v>
      </c>
      <c r="S756" s="129">
        <v>1</v>
      </c>
      <c r="T756" s="129">
        <v>2</v>
      </c>
      <c r="W756" s="111"/>
      <c r="AC756" s="130"/>
      <c r="AD756" s="130">
        <v>27002</v>
      </c>
      <c r="AE756" s="128" t="s">
        <v>32</v>
      </c>
      <c r="AF756" s="128" t="s">
        <v>40</v>
      </c>
      <c r="AG756" s="128" t="s">
        <v>41</v>
      </c>
      <c r="AH756" s="108" t="s">
        <v>41</v>
      </c>
      <c r="AI756" s="128" t="s">
        <v>53</v>
      </c>
      <c r="AJ756" s="129" t="s">
        <v>55</v>
      </c>
      <c r="AK756" s="129">
        <v>5</v>
      </c>
      <c r="AL756" s="3" t="s">
        <v>55</v>
      </c>
      <c r="AP756" s="129" t="s">
        <v>66</v>
      </c>
      <c r="AR756" s="128" t="s">
        <v>67</v>
      </c>
      <c r="AS756" s="129" t="s">
        <v>68</v>
      </c>
      <c r="AT756" s="129" t="s">
        <v>357</v>
      </c>
      <c r="BC756" s="129" t="s">
        <v>52</v>
      </c>
      <c r="BF756" s="111">
        <f t="shared" si="571"/>
        <v>2</v>
      </c>
      <c r="BG756" s="111">
        <f t="shared" si="572"/>
        <v>50</v>
      </c>
      <c r="BH756" s="111">
        <f t="shared" si="534"/>
        <v>51</v>
      </c>
      <c r="BI756" s="111">
        <f t="shared" si="535"/>
        <v>38.161202185792348</v>
      </c>
      <c r="BJ756" s="129">
        <f>(G756-J756)+(M756-G756)</f>
        <v>0</v>
      </c>
      <c r="BK756" s="129">
        <f t="shared" si="536"/>
        <v>-48</v>
      </c>
      <c r="BL756" s="129" t="str">
        <f t="shared" si="567"/>
        <v>NO CONVICTION</v>
      </c>
      <c r="BM756" s="129" t="s">
        <v>76</v>
      </c>
      <c r="BN756" s="129" t="s">
        <v>88</v>
      </c>
      <c r="BP756" s="137" t="str">
        <f t="shared" si="540"/>
        <v>NO CONVICTION</v>
      </c>
      <c r="BQ756" s="128" t="str">
        <f t="shared" si="541"/>
        <v>Y</v>
      </c>
      <c r="BR756" s="129" t="str">
        <f t="shared" si="556"/>
        <v>ON BOND</v>
      </c>
      <c r="BS756" s="129" t="str">
        <f t="shared" si="542"/>
        <v>DISPOSED</v>
      </c>
      <c r="BT756" s="129" t="str">
        <f t="shared" si="543"/>
        <v>Y</v>
      </c>
      <c r="BU756" s="109">
        <f>IFERROR(Q756/R756,BR756)</f>
        <v>3.9215686274509803E-2</v>
      </c>
      <c r="BV756" s="109">
        <f t="shared" si="557"/>
        <v>0.04</v>
      </c>
      <c r="BW756" s="109">
        <f t="shared" si="570"/>
        <v>7.8431372549019746E-4</v>
      </c>
      <c r="BX756" s="111">
        <f t="shared" si="545"/>
        <v>0</v>
      </c>
      <c r="BY756" s="129">
        <f t="shared" si="546"/>
        <v>-2</v>
      </c>
      <c r="BZ756" s="111">
        <f t="shared" si="547"/>
        <v>0</v>
      </c>
      <c r="CA756" s="138">
        <f t="shared" si="548"/>
        <v>2</v>
      </c>
      <c r="CB756" s="111" t="e">
        <f t="shared" si="573"/>
        <v>#VALUE!</v>
      </c>
      <c r="CC756" s="129">
        <f>M756-I756+1</f>
        <v>2</v>
      </c>
      <c r="CD756" s="111">
        <f>CC756-BF756</f>
        <v>0</v>
      </c>
      <c r="CE756" s="129">
        <f t="shared" si="549"/>
        <v>48</v>
      </c>
      <c r="CG756" s="129" t="str">
        <f t="shared" si="550"/>
        <v>Y</v>
      </c>
      <c r="CI756" s="129" t="str">
        <f t="shared" si="551"/>
        <v>0-10 DAYS</v>
      </c>
      <c r="CJ756" s="137">
        <f t="shared" si="552"/>
        <v>1</v>
      </c>
      <c r="CK756" s="129" t="str">
        <f t="shared" si="553"/>
        <v>Booked</v>
      </c>
    </row>
    <row r="757" spans="1:89" ht="15" customHeight="1" x14ac:dyDescent="0.25">
      <c r="A757" s="111">
        <v>989</v>
      </c>
      <c r="B757" s="128" t="str">
        <f t="shared" si="537"/>
        <v>N</v>
      </c>
      <c r="C757" s="128" t="str">
        <f t="shared" si="538"/>
        <v>N</v>
      </c>
      <c r="D757" s="117">
        <v>1502804</v>
      </c>
      <c r="E757" s="135">
        <f t="shared" si="539"/>
        <v>6</v>
      </c>
      <c r="F757" s="124">
        <v>40945</v>
      </c>
      <c r="G757" s="125">
        <v>40954</v>
      </c>
      <c r="H757" s="117">
        <v>1502804</v>
      </c>
      <c r="I757" s="124">
        <v>40946</v>
      </c>
      <c r="J757" s="124">
        <v>40954</v>
      </c>
      <c r="K757" s="126" t="s">
        <v>564</v>
      </c>
      <c r="L757" s="127" t="s">
        <v>564</v>
      </c>
      <c r="N757" s="129" t="s">
        <v>566</v>
      </c>
      <c r="O757" s="128" t="s">
        <v>917</v>
      </c>
      <c r="P757" s="129" t="s">
        <v>39</v>
      </c>
      <c r="Q757" s="111">
        <f t="shared" si="569"/>
        <v>9</v>
      </c>
      <c r="R757" s="111">
        <f t="shared" si="533"/>
        <v>10</v>
      </c>
      <c r="S757" s="129">
        <v>2</v>
      </c>
      <c r="T757" s="129">
        <v>5</v>
      </c>
      <c r="U757" s="129">
        <v>2</v>
      </c>
      <c r="W757" s="111"/>
      <c r="AC757" s="130"/>
      <c r="AD757" s="130">
        <v>28485</v>
      </c>
      <c r="AE757" s="128" t="s">
        <v>32</v>
      </c>
      <c r="AF757" s="128" t="s">
        <v>69</v>
      </c>
      <c r="AG757" s="128" t="s">
        <v>874</v>
      </c>
      <c r="AH757" s="108" t="s">
        <v>58</v>
      </c>
      <c r="AI757" s="128" t="s">
        <v>95</v>
      </c>
      <c r="AJ757" s="129" t="s">
        <v>89</v>
      </c>
      <c r="AK757" s="129">
        <v>2</v>
      </c>
      <c r="AL757" s="3" t="s">
        <v>362</v>
      </c>
      <c r="AM757" s="117">
        <v>8</v>
      </c>
      <c r="AP757" s="129" t="s">
        <v>250</v>
      </c>
      <c r="AR757" s="128" t="s">
        <v>50</v>
      </c>
      <c r="AS757" s="129" t="s">
        <v>45</v>
      </c>
      <c r="AY757" s="123"/>
      <c r="BC757" s="129" t="s">
        <v>38</v>
      </c>
      <c r="BF757" s="111">
        <f t="shared" si="571"/>
        <v>9</v>
      </c>
      <c r="BG757" s="111">
        <f t="shared" si="572"/>
        <v>9</v>
      </c>
      <c r="BH757" s="111">
        <f t="shared" si="534"/>
        <v>10</v>
      </c>
      <c r="BI757" s="111">
        <f t="shared" si="535"/>
        <v>34.043715846994537</v>
      </c>
      <c r="BJ757" s="129">
        <f t="shared" si="554"/>
        <v>0</v>
      </c>
      <c r="BK757" s="129">
        <f t="shared" si="536"/>
        <v>0</v>
      </c>
      <c r="BL757" s="129" t="str">
        <f t="shared" si="567"/>
        <v>CONVICTION</v>
      </c>
      <c r="BM757" s="129" t="str">
        <f t="shared" si="555"/>
        <v>NONE</v>
      </c>
      <c r="BN757" s="129" t="s">
        <v>566</v>
      </c>
      <c r="BP757" s="137" t="str">
        <f t="shared" si="540"/>
        <v>CONVICTION</v>
      </c>
      <c r="BQ757" s="128" t="str">
        <f t="shared" si="541"/>
        <v>Y</v>
      </c>
      <c r="BR757" s="129" t="str">
        <f t="shared" si="556"/>
        <v>DETAINED</v>
      </c>
      <c r="BS757" s="129" t="str">
        <f t="shared" si="542"/>
        <v>DISPOSED</v>
      </c>
      <c r="BT757" s="129" t="str">
        <f t="shared" si="543"/>
        <v>Y</v>
      </c>
      <c r="BU757" s="109">
        <f t="shared" si="544"/>
        <v>0.9</v>
      </c>
      <c r="BV757" s="109">
        <f t="shared" si="557"/>
        <v>1</v>
      </c>
      <c r="BW757" s="109">
        <f t="shared" si="570"/>
        <v>9.9999999999999978E-2</v>
      </c>
      <c r="BX757" s="111">
        <f t="shared" si="545"/>
        <v>0</v>
      </c>
      <c r="BY757" s="129">
        <f t="shared" si="546"/>
        <v>-9</v>
      </c>
      <c r="BZ757" s="111">
        <f t="shared" si="547"/>
        <v>0</v>
      </c>
      <c r="CA757" s="138">
        <f t="shared" si="548"/>
        <v>9</v>
      </c>
      <c r="CB757" s="111" t="e">
        <f t="shared" si="573"/>
        <v>#VALUE!</v>
      </c>
      <c r="CC757" s="129">
        <f t="shared" ref="CC757:CC762" si="574">G757-I757+1</f>
        <v>9</v>
      </c>
      <c r="CD757" s="129">
        <f t="shared" ref="CD757:CD762" si="575">G757-J757</f>
        <v>0</v>
      </c>
      <c r="CE757" s="129">
        <f t="shared" si="549"/>
        <v>0</v>
      </c>
      <c r="CG757" s="129" t="str">
        <f t="shared" si="550"/>
        <v>Y</v>
      </c>
      <c r="CI757" s="129" t="str">
        <f t="shared" si="551"/>
        <v>0-10 DAYS</v>
      </c>
      <c r="CJ757" s="137">
        <f t="shared" si="552"/>
        <v>1</v>
      </c>
      <c r="CK757" s="129" t="str">
        <f t="shared" si="553"/>
        <v>Booked</v>
      </c>
    </row>
    <row r="758" spans="1:89" ht="15.75" customHeight="1" x14ac:dyDescent="0.25">
      <c r="A758" s="111">
        <v>606</v>
      </c>
      <c r="B758" s="128" t="str">
        <f t="shared" si="537"/>
        <v>N</v>
      </c>
      <c r="C758" s="128" t="str">
        <f t="shared" si="538"/>
        <v>N</v>
      </c>
      <c r="D758" s="117">
        <v>1503925</v>
      </c>
      <c r="E758" s="135">
        <f t="shared" si="539"/>
        <v>5</v>
      </c>
      <c r="F758" s="124">
        <v>40932</v>
      </c>
      <c r="G758" s="125">
        <v>40939</v>
      </c>
      <c r="H758" s="117">
        <v>1503925</v>
      </c>
      <c r="I758" s="124">
        <v>40933</v>
      </c>
      <c r="J758" s="124">
        <v>40939</v>
      </c>
      <c r="K758" s="126">
        <v>10000</v>
      </c>
      <c r="L758" s="127" t="s">
        <v>570</v>
      </c>
      <c r="N758" s="129" t="str">
        <f>IF(M758&gt;1/1/1,"Y","N")</f>
        <v>N</v>
      </c>
      <c r="O758" s="128" t="s">
        <v>917</v>
      </c>
      <c r="P758" s="129" t="s">
        <v>39</v>
      </c>
      <c r="Q758" s="111">
        <f t="shared" si="569"/>
        <v>7</v>
      </c>
      <c r="R758" s="111">
        <f t="shared" si="533"/>
        <v>8</v>
      </c>
      <c r="S758" s="129">
        <v>4</v>
      </c>
      <c r="T758" s="129">
        <v>0</v>
      </c>
      <c r="U758" s="129">
        <v>2</v>
      </c>
      <c r="W758" s="111"/>
      <c r="AC758" s="130"/>
      <c r="AD758" s="130">
        <v>28756</v>
      </c>
      <c r="AE758" s="128" t="s">
        <v>32</v>
      </c>
      <c r="AF758" s="128" t="s">
        <v>33</v>
      </c>
      <c r="AG758" s="128" t="s">
        <v>872</v>
      </c>
      <c r="AH758" s="108" t="s">
        <v>31</v>
      </c>
      <c r="AI758" s="128" t="s">
        <v>100</v>
      </c>
      <c r="AJ758" s="129" t="s">
        <v>89</v>
      </c>
      <c r="AK758" s="129">
        <v>3</v>
      </c>
      <c r="AL758" s="3" t="s">
        <v>992</v>
      </c>
      <c r="AN758" s="117">
        <v>7</v>
      </c>
      <c r="AP758" s="129" t="s">
        <v>43</v>
      </c>
      <c r="AR758" s="128" t="s">
        <v>44</v>
      </c>
      <c r="AS758" s="129" t="s">
        <v>45</v>
      </c>
      <c r="BC758" s="129" t="s">
        <v>38</v>
      </c>
      <c r="BF758" s="111">
        <f t="shared" si="571"/>
        <v>7</v>
      </c>
      <c r="BG758" s="111">
        <f t="shared" si="572"/>
        <v>7</v>
      </c>
      <c r="BH758" s="111">
        <f t="shared" si="534"/>
        <v>8</v>
      </c>
      <c r="BI758" s="111">
        <f t="shared" si="535"/>
        <v>33.267759562841533</v>
      </c>
      <c r="BJ758" s="129">
        <f t="shared" si="554"/>
        <v>0</v>
      </c>
      <c r="BK758" s="129">
        <f t="shared" si="536"/>
        <v>0</v>
      </c>
      <c r="BL758" s="129" t="str">
        <f t="shared" si="567"/>
        <v>CONVICTION</v>
      </c>
      <c r="BM758" s="129" t="str">
        <f t="shared" si="555"/>
        <v>NONE</v>
      </c>
      <c r="BN758" s="129" t="s">
        <v>566</v>
      </c>
      <c r="BP758" s="137" t="str">
        <f t="shared" si="540"/>
        <v>CONVICTION</v>
      </c>
      <c r="BQ758" s="128" t="str">
        <f t="shared" si="541"/>
        <v>Y</v>
      </c>
      <c r="BR758" s="129" t="str">
        <f t="shared" si="556"/>
        <v>DETAINED</v>
      </c>
      <c r="BS758" s="129" t="str">
        <f t="shared" si="542"/>
        <v>DISPOSED</v>
      </c>
      <c r="BT758" s="129" t="str">
        <f t="shared" si="543"/>
        <v>Y</v>
      </c>
      <c r="BU758" s="109">
        <f t="shared" si="544"/>
        <v>0.875</v>
      </c>
      <c r="BV758" s="109">
        <f t="shared" si="557"/>
        <v>1</v>
      </c>
      <c r="BW758" s="109">
        <f t="shared" si="570"/>
        <v>0.125</v>
      </c>
      <c r="BX758" s="111">
        <f t="shared" si="545"/>
        <v>0</v>
      </c>
      <c r="BY758" s="129">
        <f t="shared" si="546"/>
        <v>-7</v>
      </c>
      <c r="BZ758" s="111">
        <f t="shared" si="547"/>
        <v>0</v>
      </c>
      <c r="CA758" s="138">
        <f t="shared" si="548"/>
        <v>7</v>
      </c>
      <c r="CB758" s="111" t="e">
        <f t="shared" si="573"/>
        <v>#VALUE!</v>
      </c>
      <c r="CC758" s="129">
        <f t="shared" si="574"/>
        <v>7</v>
      </c>
      <c r="CD758" s="129">
        <f t="shared" si="575"/>
        <v>0</v>
      </c>
      <c r="CE758" s="129">
        <f t="shared" si="549"/>
        <v>0</v>
      </c>
      <c r="CG758" s="129" t="str">
        <f t="shared" si="550"/>
        <v>Y</v>
      </c>
      <c r="CI758" s="129" t="str">
        <f t="shared" si="551"/>
        <v>0-10 DAYS</v>
      </c>
      <c r="CJ758" s="137">
        <f t="shared" si="552"/>
        <v>1</v>
      </c>
      <c r="CK758" s="129" t="str">
        <f t="shared" si="553"/>
        <v>Booked</v>
      </c>
    </row>
    <row r="759" spans="1:89" ht="15.75" customHeight="1" x14ac:dyDescent="0.25">
      <c r="A759" s="111">
        <v>1286</v>
      </c>
      <c r="B759" s="128" t="str">
        <f t="shared" si="537"/>
        <v>N</v>
      </c>
      <c r="C759" s="128" t="str">
        <f t="shared" si="538"/>
        <v>N</v>
      </c>
      <c r="D759" s="117">
        <v>1503995</v>
      </c>
      <c r="E759" s="135">
        <f t="shared" si="539"/>
        <v>6</v>
      </c>
      <c r="F759" s="124">
        <v>40956</v>
      </c>
      <c r="G759" s="125">
        <v>40959</v>
      </c>
      <c r="H759" s="117">
        <v>1503995</v>
      </c>
      <c r="I759" s="124">
        <v>40956</v>
      </c>
      <c r="J759" s="124">
        <v>40959</v>
      </c>
      <c r="K759" s="126">
        <v>10000</v>
      </c>
      <c r="L759" s="127" t="s">
        <v>570</v>
      </c>
      <c r="N759" s="129" t="str">
        <f>IF(M759&gt;1/1/1,"Y","N")</f>
        <v>N</v>
      </c>
      <c r="O759" s="128" t="s">
        <v>917</v>
      </c>
      <c r="P759" s="129" t="s">
        <v>39</v>
      </c>
      <c r="Q759" s="111">
        <f t="shared" si="569"/>
        <v>4</v>
      </c>
      <c r="R759" s="111">
        <f t="shared" si="533"/>
        <v>4</v>
      </c>
      <c r="S759" s="129">
        <v>3</v>
      </c>
      <c r="T759" s="129">
        <v>2</v>
      </c>
      <c r="U759" s="129">
        <v>1</v>
      </c>
      <c r="W759" s="111"/>
      <c r="AC759" s="130"/>
      <c r="AD759" s="130">
        <v>28734</v>
      </c>
      <c r="AE759" s="128" t="s">
        <v>32</v>
      </c>
      <c r="AF759" s="128" t="s">
        <v>69</v>
      </c>
      <c r="AG759" s="128" t="s">
        <v>874</v>
      </c>
      <c r="AH759" s="108" t="s">
        <v>31</v>
      </c>
      <c r="AI759" s="128" t="s">
        <v>59</v>
      </c>
      <c r="AJ759" s="129" t="s">
        <v>89</v>
      </c>
      <c r="AK759" s="129">
        <v>1</v>
      </c>
      <c r="AL759" s="3" t="s">
        <v>362</v>
      </c>
      <c r="AM759" s="117">
        <v>2</v>
      </c>
      <c r="AP759" s="129" t="s">
        <v>93</v>
      </c>
      <c r="AR759" s="128" t="s">
        <v>67</v>
      </c>
      <c r="AS759" s="129" t="s">
        <v>45</v>
      </c>
      <c r="BC759" s="129" t="s">
        <v>38</v>
      </c>
      <c r="BF759" s="111">
        <f t="shared" si="571"/>
        <v>4</v>
      </c>
      <c r="BG759" s="111">
        <f t="shared" si="572"/>
        <v>4</v>
      </c>
      <c r="BH759" s="111">
        <f t="shared" si="534"/>
        <v>4</v>
      </c>
      <c r="BI759" s="111">
        <f t="shared" si="535"/>
        <v>33.393442622950822</v>
      </c>
      <c r="BJ759" s="129">
        <f t="shared" si="554"/>
        <v>0</v>
      </c>
      <c r="BK759" s="129">
        <f t="shared" si="536"/>
        <v>0</v>
      </c>
      <c r="BL759" s="129" t="str">
        <f t="shared" si="567"/>
        <v>CONVICTION</v>
      </c>
      <c r="BM759" s="129" t="str">
        <f t="shared" si="555"/>
        <v>NONE</v>
      </c>
      <c r="BN759" s="129" t="s">
        <v>566</v>
      </c>
      <c r="BP759" s="137" t="str">
        <f t="shared" si="540"/>
        <v>CONVICTION</v>
      </c>
      <c r="BQ759" s="128" t="str">
        <f t="shared" si="541"/>
        <v>Y</v>
      </c>
      <c r="BR759" s="129" t="str">
        <f t="shared" si="556"/>
        <v>DETAINED</v>
      </c>
      <c r="BS759" s="129" t="str">
        <f t="shared" si="542"/>
        <v>DISPOSED</v>
      </c>
      <c r="BT759" s="129" t="str">
        <f t="shared" si="543"/>
        <v>Y</v>
      </c>
      <c r="BU759" s="109">
        <f t="shared" si="544"/>
        <v>1</v>
      </c>
      <c r="BV759" s="109">
        <f t="shared" si="557"/>
        <v>1</v>
      </c>
      <c r="BW759" s="109">
        <f t="shared" si="570"/>
        <v>0</v>
      </c>
      <c r="BX759" s="111">
        <f t="shared" si="545"/>
        <v>0</v>
      </c>
      <c r="BY759" s="129">
        <f t="shared" si="546"/>
        <v>-4</v>
      </c>
      <c r="BZ759" s="111">
        <f t="shared" si="547"/>
        <v>0</v>
      </c>
      <c r="CA759" s="138">
        <f t="shared" si="548"/>
        <v>4</v>
      </c>
      <c r="CB759" s="111" t="e">
        <f t="shared" si="573"/>
        <v>#VALUE!</v>
      </c>
      <c r="CC759" s="129">
        <f t="shared" si="574"/>
        <v>4</v>
      </c>
      <c r="CD759" s="129">
        <f t="shared" si="575"/>
        <v>0</v>
      </c>
      <c r="CE759" s="129">
        <f t="shared" si="549"/>
        <v>0</v>
      </c>
      <c r="CG759" s="129" t="str">
        <f t="shared" si="550"/>
        <v>Y</v>
      </c>
      <c r="CI759" s="129" t="str">
        <f t="shared" si="551"/>
        <v>0-10 DAYS</v>
      </c>
      <c r="CJ759" s="137">
        <f t="shared" si="552"/>
        <v>1</v>
      </c>
      <c r="CK759" s="129" t="str">
        <f t="shared" si="553"/>
        <v>Booked</v>
      </c>
    </row>
    <row r="760" spans="1:89" ht="15.75" customHeight="1" x14ac:dyDescent="0.25">
      <c r="A760" s="111">
        <v>3249</v>
      </c>
      <c r="B760" s="128" t="str">
        <f t="shared" si="537"/>
        <v>N</v>
      </c>
      <c r="C760" s="128" t="str">
        <f t="shared" si="538"/>
        <v>N</v>
      </c>
      <c r="D760" s="117">
        <v>1505924</v>
      </c>
      <c r="E760" s="135">
        <f t="shared" si="539"/>
        <v>6</v>
      </c>
      <c r="F760" s="124">
        <v>41029</v>
      </c>
      <c r="G760" s="125">
        <v>41030</v>
      </c>
      <c r="H760" s="117">
        <v>1505924</v>
      </c>
      <c r="I760" s="124">
        <v>41029</v>
      </c>
      <c r="J760" s="124">
        <v>41030</v>
      </c>
      <c r="K760" s="126">
        <v>15000</v>
      </c>
      <c r="L760" s="127" t="s">
        <v>571</v>
      </c>
      <c r="N760" s="129" t="str">
        <f>IF(M760&gt;1/1/1,"Y","N")</f>
        <v>N</v>
      </c>
      <c r="O760" s="128" t="s">
        <v>917</v>
      </c>
      <c r="P760" s="129" t="s">
        <v>39</v>
      </c>
      <c r="Q760" s="111">
        <f t="shared" si="569"/>
        <v>2</v>
      </c>
      <c r="R760" s="111">
        <f t="shared" si="533"/>
        <v>2</v>
      </c>
      <c r="S760" s="129">
        <v>8</v>
      </c>
      <c r="T760" s="129">
        <v>2</v>
      </c>
      <c r="U760" s="129">
        <v>6</v>
      </c>
      <c r="W760" s="111"/>
      <c r="AC760" s="130"/>
      <c r="AD760" s="130">
        <v>28625</v>
      </c>
      <c r="AE760" s="128" t="s">
        <v>32</v>
      </c>
      <c r="AF760" s="128" t="s">
        <v>33</v>
      </c>
      <c r="AG760" s="128" t="s">
        <v>872</v>
      </c>
      <c r="AH760" s="108" t="s">
        <v>31</v>
      </c>
      <c r="AI760" s="128" t="s">
        <v>72</v>
      </c>
      <c r="AJ760" s="129" t="s">
        <v>89</v>
      </c>
      <c r="AK760" s="129">
        <v>1</v>
      </c>
      <c r="AL760" s="3" t="s">
        <v>362</v>
      </c>
      <c r="AM760" s="117">
        <v>5</v>
      </c>
      <c r="AP760" s="129" t="s">
        <v>43</v>
      </c>
      <c r="AR760" s="128" t="s">
        <v>44</v>
      </c>
      <c r="AS760" s="129" t="s">
        <v>45</v>
      </c>
      <c r="BC760" s="129" t="s">
        <v>38</v>
      </c>
      <c r="BF760" s="111">
        <f t="shared" si="571"/>
        <v>2</v>
      </c>
      <c r="BG760" s="111">
        <f t="shared" si="572"/>
        <v>2</v>
      </c>
      <c r="BH760" s="111">
        <f t="shared" si="534"/>
        <v>2</v>
      </c>
      <c r="BI760" s="111">
        <f t="shared" si="535"/>
        <v>33.89071038251366</v>
      </c>
      <c r="BJ760" s="129">
        <f t="shared" si="554"/>
        <v>0</v>
      </c>
      <c r="BK760" s="129">
        <f t="shared" si="536"/>
        <v>0</v>
      </c>
      <c r="BL760" s="129" t="str">
        <f t="shared" si="567"/>
        <v>CONVICTION</v>
      </c>
      <c r="BM760" s="129" t="str">
        <f t="shared" si="555"/>
        <v>NONE</v>
      </c>
      <c r="BN760" s="129" t="s">
        <v>566</v>
      </c>
      <c r="BP760" s="137" t="str">
        <f t="shared" si="540"/>
        <v>CONVICTION</v>
      </c>
      <c r="BQ760" s="128" t="str">
        <f t="shared" si="541"/>
        <v>Y</v>
      </c>
      <c r="BR760" s="129" t="str">
        <f t="shared" si="556"/>
        <v>DETAINED</v>
      </c>
      <c r="BS760" s="129" t="str">
        <f t="shared" si="542"/>
        <v>DISPOSED</v>
      </c>
      <c r="BT760" s="129" t="str">
        <f t="shared" si="543"/>
        <v>Y</v>
      </c>
      <c r="BU760" s="109">
        <f t="shared" si="544"/>
        <v>1</v>
      </c>
      <c r="BV760" s="109">
        <f t="shared" si="557"/>
        <v>1</v>
      </c>
      <c r="BW760" s="109">
        <f t="shared" si="570"/>
        <v>0</v>
      </c>
      <c r="BX760" s="111">
        <f t="shared" si="545"/>
        <v>0</v>
      </c>
      <c r="BY760" s="129">
        <f t="shared" si="546"/>
        <v>-2</v>
      </c>
      <c r="BZ760" s="111">
        <f t="shared" si="547"/>
        <v>0</v>
      </c>
      <c r="CA760" s="138">
        <f t="shared" si="548"/>
        <v>2</v>
      </c>
      <c r="CB760" s="111" t="e">
        <f t="shared" si="573"/>
        <v>#VALUE!</v>
      </c>
      <c r="CC760" s="129">
        <f t="shared" si="574"/>
        <v>2</v>
      </c>
      <c r="CD760" s="129">
        <f t="shared" si="575"/>
        <v>0</v>
      </c>
      <c r="CE760" s="129">
        <f t="shared" si="549"/>
        <v>0</v>
      </c>
      <c r="CG760" s="129" t="str">
        <f t="shared" si="550"/>
        <v>Y</v>
      </c>
      <c r="CI760" s="129" t="str">
        <f t="shared" si="551"/>
        <v>0-10 DAYS</v>
      </c>
      <c r="CJ760" s="137">
        <f t="shared" si="552"/>
        <v>1</v>
      </c>
      <c r="CK760" s="129" t="str">
        <f t="shared" si="553"/>
        <v>Booked</v>
      </c>
    </row>
    <row r="761" spans="1:89" ht="15.75" customHeight="1" x14ac:dyDescent="0.25">
      <c r="A761" s="111">
        <v>280</v>
      </c>
      <c r="B761" s="128" t="str">
        <f t="shared" si="537"/>
        <v>N</v>
      </c>
      <c r="C761" s="128" t="str">
        <f t="shared" si="538"/>
        <v>N</v>
      </c>
      <c r="D761" s="117">
        <v>1506458</v>
      </c>
      <c r="E761" s="135">
        <f t="shared" si="539"/>
        <v>4</v>
      </c>
      <c r="F761" s="124">
        <v>40920</v>
      </c>
      <c r="G761" s="125">
        <v>40921</v>
      </c>
      <c r="H761" s="117">
        <v>1506458</v>
      </c>
      <c r="I761" s="124">
        <v>40920</v>
      </c>
      <c r="J761" s="124">
        <v>40921</v>
      </c>
      <c r="K761" s="126">
        <v>15000</v>
      </c>
      <c r="L761" s="127" t="s">
        <v>571</v>
      </c>
      <c r="N761" s="129" t="str">
        <f>IF(M761&gt;1/1/1,"Y","N")</f>
        <v>N</v>
      </c>
      <c r="O761" s="128" t="s">
        <v>917</v>
      </c>
      <c r="P761" s="129" t="s">
        <v>39</v>
      </c>
      <c r="Q761" s="111">
        <f t="shared" si="569"/>
        <v>2</v>
      </c>
      <c r="R761" s="111">
        <f t="shared" si="533"/>
        <v>2</v>
      </c>
      <c r="S761" s="129">
        <v>1</v>
      </c>
      <c r="T761" s="129">
        <v>0</v>
      </c>
      <c r="W761" s="111"/>
      <c r="AC761" s="130"/>
      <c r="AD761" s="130">
        <v>24155</v>
      </c>
      <c r="AE761" s="128" t="s">
        <v>32</v>
      </c>
      <c r="AF761" s="128" t="s">
        <v>33</v>
      </c>
      <c r="AG761" s="128" t="s">
        <v>872</v>
      </c>
      <c r="AH761" s="108" t="s">
        <v>31</v>
      </c>
      <c r="AI761" s="128" t="s">
        <v>85</v>
      </c>
      <c r="AJ761" s="129" t="s">
        <v>89</v>
      </c>
      <c r="AK761" s="129">
        <v>1</v>
      </c>
      <c r="AL761" s="3" t="s">
        <v>991</v>
      </c>
      <c r="AO761" s="128">
        <v>120</v>
      </c>
      <c r="AP761" s="129" t="s">
        <v>43</v>
      </c>
      <c r="AR761" s="128" t="s">
        <v>44</v>
      </c>
      <c r="AS761" s="129" t="s">
        <v>45</v>
      </c>
      <c r="BC761" s="129" t="s">
        <v>38</v>
      </c>
      <c r="BF761" s="111">
        <f t="shared" si="571"/>
        <v>2</v>
      </c>
      <c r="BG761" s="111">
        <f t="shared" si="572"/>
        <v>2</v>
      </c>
      <c r="BH761" s="111">
        <f t="shared" si="534"/>
        <v>2</v>
      </c>
      <c r="BI761" s="111">
        <f t="shared" si="535"/>
        <v>45.806010928961747</v>
      </c>
      <c r="BJ761" s="129">
        <f t="shared" si="554"/>
        <v>0</v>
      </c>
      <c r="BK761" s="129">
        <f t="shared" si="536"/>
        <v>0</v>
      </c>
      <c r="BL761" s="129" t="str">
        <f t="shared" si="567"/>
        <v>CONVICTION</v>
      </c>
      <c r="BM761" s="129" t="str">
        <f t="shared" si="555"/>
        <v>NONE</v>
      </c>
      <c r="BN761" s="129" t="s">
        <v>566</v>
      </c>
      <c r="BP761" s="137" t="str">
        <f t="shared" si="540"/>
        <v>CONVICTION</v>
      </c>
      <c r="BQ761" s="128" t="str">
        <f t="shared" si="541"/>
        <v>Y</v>
      </c>
      <c r="BR761" s="129" t="str">
        <f t="shared" si="556"/>
        <v>DETAINED</v>
      </c>
      <c r="BS761" s="129" t="str">
        <f t="shared" si="542"/>
        <v>DISPOSED</v>
      </c>
      <c r="BT761" s="129" t="str">
        <f t="shared" si="543"/>
        <v>Y</v>
      </c>
      <c r="BU761" s="109">
        <f t="shared" si="544"/>
        <v>1</v>
      </c>
      <c r="BV761" s="109">
        <f t="shared" si="557"/>
        <v>1</v>
      </c>
      <c r="BW761" s="109">
        <f t="shared" si="570"/>
        <v>0</v>
      </c>
      <c r="BX761" s="111">
        <f t="shared" si="545"/>
        <v>0</v>
      </c>
      <c r="BY761" s="129">
        <f t="shared" si="546"/>
        <v>-2</v>
      </c>
      <c r="BZ761" s="111">
        <f t="shared" si="547"/>
        <v>0</v>
      </c>
      <c r="CA761" s="138">
        <f t="shared" si="548"/>
        <v>2</v>
      </c>
      <c r="CB761" s="111" t="e">
        <f t="shared" si="573"/>
        <v>#VALUE!</v>
      </c>
      <c r="CC761" s="129">
        <f t="shared" si="574"/>
        <v>2</v>
      </c>
      <c r="CD761" s="129">
        <f t="shared" si="575"/>
        <v>0</v>
      </c>
      <c r="CE761" s="129">
        <f t="shared" si="549"/>
        <v>0</v>
      </c>
      <c r="CG761" s="129" t="str">
        <f t="shared" si="550"/>
        <v>Y</v>
      </c>
      <c r="CI761" s="129" t="str">
        <f t="shared" si="551"/>
        <v>0-10 DAYS</v>
      </c>
      <c r="CJ761" s="137">
        <f t="shared" si="552"/>
        <v>1</v>
      </c>
      <c r="CK761" s="129" t="str">
        <f t="shared" si="553"/>
        <v>Booked</v>
      </c>
    </row>
    <row r="762" spans="1:89" ht="15" customHeight="1" x14ac:dyDescent="0.25">
      <c r="A762" s="111">
        <v>826</v>
      </c>
      <c r="B762" s="128" t="str">
        <f t="shared" si="537"/>
        <v>N</v>
      </c>
      <c r="C762" s="128" t="str">
        <f t="shared" si="538"/>
        <v>N</v>
      </c>
      <c r="D762" s="117">
        <v>1507161</v>
      </c>
      <c r="E762" s="135">
        <f t="shared" si="539"/>
        <v>6</v>
      </c>
      <c r="F762" s="124">
        <v>40940</v>
      </c>
      <c r="G762" s="125">
        <v>41011</v>
      </c>
      <c r="H762" s="117">
        <v>1507161</v>
      </c>
      <c r="I762" s="124">
        <v>40940</v>
      </c>
      <c r="J762" s="124">
        <v>41011</v>
      </c>
      <c r="K762" s="126" t="s">
        <v>564</v>
      </c>
      <c r="L762" s="127" t="s">
        <v>564</v>
      </c>
      <c r="N762" s="129" t="s">
        <v>566</v>
      </c>
      <c r="O762" s="128" t="s">
        <v>917</v>
      </c>
      <c r="P762" s="129" t="s">
        <v>39</v>
      </c>
      <c r="Q762" s="111">
        <f t="shared" si="569"/>
        <v>72</v>
      </c>
      <c r="R762" s="111">
        <f t="shared" si="533"/>
        <v>72</v>
      </c>
      <c r="S762" s="129">
        <v>1</v>
      </c>
      <c r="T762" s="129">
        <v>1</v>
      </c>
      <c r="V762" s="117">
        <v>1</v>
      </c>
      <c r="W762" s="111"/>
      <c r="AC762" s="130"/>
      <c r="AD762" s="130">
        <v>28456</v>
      </c>
      <c r="AE762" s="128" t="s">
        <v>32</v>
      </c>
      <c r="AF762" s="128" t="s">
        <v>40</v>
      </c>
      <c r="AG762" s="128" t="s">
        <v>41</v>
      </c>
      <c r="AH762" s="108" t="s">
        <v>41</v>
      </c>
      <c r="AI762" s="128" t="s">
        <v>85</v>
      </c>
      <c r="AJ762" s="129" t="s">
        <v>89</v>
      </c>
      <c r="AK762" s="129">
        <v>4</v>
      </c>
      <c r="AL762" s="3" t="s">
        <v>362</v>
      </c>
      <c r="AM762" s="117">
        <v>2</v>
      </c>
      <c r="AP762" s="129" t="s">
        <v>143</v>
      </c>
      <c r="AR762" s="128" t="s">
        <v>50</v>
      </c>
      <c r="AS762" s="129" t="s">
        <v>82</v>
      </c>
      <c r="BC762" s="129" t="s">
        <v>52</v>
      </c>
      <c r="BF762" s="111">
        <f t="shared" si="571"/>
        <v>72</v>
      </c>
      <c r="BG762" s="111">
        <f t="shared" si="572"/>
        <v>72</v>
      </c>
      <c r="BH762" s="111">
        <f t="shared" si="534"/>
        <v>72</v>
      </c>
      <c r="BI762" s="111">
        <f t="shared" si="535"/>
        <v>34.10928961748634</v>
      </c>
      <c r="BJ762" s="129">
        <f t="shared" si="554"/>
        <v>0</v>
      </c>
      <c r="BK762" s="129">
        <f t="shared" si="536"/>
        <v>0</v>
      </c>
      <c r="BL762" s="129" t="str">
        <f t="shared" si="567"/>
        <v>CONVICTION</v>
      </c>
      <c r="BM762" s="129" t="str">
        <f t="shared" si="555"/>
        <v>NONE</v>
      </c>
      <c r="BN762" s="129" t="s">
        <v>566</v>
      </c>
      <c r="BP762" s="137" t="str">
        <f t="shared" si="540"/>
        <v>CONVICTION</v>
      </c>
      <c r="BQ762" s="128" t="str">
        <f t="shared" si="541"/>
        <v>Y</v>
      </c>
      <c r="BR762" s="129" t="str">
        <f t="shared" si="556"/>
        <v>DETAINED</v>
      </c>
      <c r="BS762" s="129" t="str">
        <f t="shared" si="542"/>
        <v>DISPOSED</v>
      </c>
      <c r="BT762" s="129" t="str">
        <f t="shared" si="543"/>
        <v>Y</v>
      </c>
      <c r="BU762" s="109">
        <f t="shared" si="544"/>
        <v>1</v>
      </c>
      <c r="BV762" s="109">
        <f t="shared" si="557"/>
        <v>1</v>
      </c>
      <c r="BW762" s="109">
        <f t="shared" si="570"/>
        <v>0</v>
      </c>
      <c r="BX762" s="111">
        <f t="shared" si="545"/>
        <v>0</v>
      </c>
      <c r="BY762" s="129">
        <f t="shared" si="546"/>
        <v>-72</v>
      </c>
      <c r="BZ762" s="111">
        <f t="shared" si="547"/>
        <v>0</v>
      </c>
      <c r="CA762" s="138">
        <f t="shared" si="548"/>
        <v>72</v>
      </c>
      <c r="CB762" s="111" t="e">
        <f t="shared" si="573"/>
        <v>#VALUE!</v>
      </c>
      <c r="CC762" s="129">
        <f t="shared" si="574"/>
        <v>72</v>
      </c>
      <c r="CD762" s="129">
        <f t="shared" si="575"/>
        <v>0</v>
      </c>
      <c r="CE762" s="129">
        <f t="shared" si="549"/>
        <v>0</v>
      </c>
      <c r="CG762" s="129" t="str">
        <f t="shared" si="550"/>
        <v>Y</v>
      </c>
      <c r="CI762" s="129" t="str">
        <f t="shared" si="551"/>
        <v>61-90 DAYS</v>
      </c>
      <c r="CJ762" s="137">
        <f t="shared" si="552"/>
        <v>4</v>
      </c>
      <c r="CK762" s="129" t="str">
        <f t="shared" si="553"/>
        <v>Booked</v>
      </c>
    </row>
    <row r="763" spans="1:89" ht="15.75" customHeight="1" x14ac:dyDescent="0.25">
      <c r="A763" s="111">
        <v>1758</v>
      </c>
      <c r="B763" s="128" t="str">
        <f t="shared" si="537"/>
        <v>N</v>
      </c>
      <c r="C763" s="128" t="str">
        <f t="shared" si="538"/>
        <v>N</v>
      </c>
      <c r="D763" s="117">
        <v>1507191</v>
      </c>
      <c r="E763" s="135">
        <f t="shared" si="539"/>
        <v>6</v>
      </c>
      <c r="F763" s="124">
        <v>40974</v>
      </c>
      <c r="G763" s="125">
        <v>41395</v>
      </c>
      <c r="H763" s="117">
        <v>1507191</v>
      </c>
      <c r="I763" s="124">
        <v>40975</v>
      </c>
      <c r="J763" s="124">
        <v>40986</v>
      </c>
      <c r="K763" s="126">
        <v>80000</v>
      </c>
      <c r="L763" s="129" t="s">
        <v>572</v>
      </c>
      <c r="M763" s="125">
        <v>40986</v>
      </c>
      <c r="N763" s="129" t="str">
        <f>IF(M763&gt;1/1/1,"Y","N")</f>
        <v>Y</v>
      </c>
      <c r="O763" s="128" t="s">
        <v>76</v>
      </c>
      <c r="P763" s="129" t="s">
        <v>39</v>
      </c>
      <c r="Q763" s="111">
        <f t="shared" si="569"/>
        <v>12</v>
      </c>
      <c r="R763" s="111">
        <f t="shared" si="533"/>
        <v>422</v>
      </c>
      <c r="S763" s="129">
        <v>8</v>
      </c>
      <c r="T763" s="129">
        <v>3</v>
      </c>
      <c r="U763" s="129">
        <v>5</v>
      </c>
      <c r="W763" s="111"/>
      <c r="AC763" s="130"/>
      <c r="AD763" s="130">
        <v>28827</v>
      </c>
      <c r="AE763" s="128" t="s">
        <v>32</v>
      </c>
      <c r="AF763" s="128" t="s">
        <v>33</v>
      </c>
      <c r="AG763" s="128" t="s">
        <v>872</v>
      </c>
      <c r="AH763" s="108" t="s">
        <v>58</v>
      </c>
      <c r="AI763" s="128" t="s">
        <v>72</v>
      </c>
      <c r="AJ763" s="129" t="s">
        <v>89</v>
      </c>
      <c r="AK763" s="129">
        <v>16</v>
      </c>
      <c r="AL763" s="3" t="s">
        <v>362</v>
      </c>
      <c r="AM763" s="117">
        <v>6</v>
      </c>
      <c r="AP763" s="129" t="s">
        <v>132</v>
      </c>
      <c r="AR763" s="128" t="s">
        <v>92</v>
      </c>
      <c r="AS763" s="129" t="s">
        <v>82</v>
      </c>
      <c r="BC763" s="129" t="s">
        <v>52</v>
      </c>
      <c r="BF763" s="111">
        <f t="shared" si="571"/>
        <v>12</v>
      </c>
      <c r="BG763" s="111">
        <f t="shared" si="572"/>
        <v>421</v>
      </c>
      <c r="BH763" s="111">
        <f t="shared" si="534"/>
        <v>422</v>
      </c>
      <c r="BI763" s="111">
        <f t="shared" si="535"/>
        <v>33.188524590163937</v>
      </c>
      <c r="BJ763" s="129">
        <f>(G763-J763)+(M763-G763)</f>
        <v>0</v>
      </c>
      <c r="BK763" s="129">
        <f t="shared" si="536"/>
        <v>-409</v>
      </c>
      <c r="BL763" s="129" t="str">
        <f t="shared" si="567"/>
        <v>CONVICTION</v>
      </c>
      <c r="BM763" s="129" t="s">
        <v>76</v>
      </c>
      <c r="BN763" s="129" t="s">
        <v>88</v>
      </c>
      <c r="BP763" s="137" t="str">
        <f t="shared" si="540"/>
        <v>CONVICTION</v>
      </c>
      <c r="BQ763" s="128" t="str">
        <f t="shared" si="541"/>
        <v>Y</v>
      </c>
      <c r="BR763" s="129" t="str">
        <f>IF(J763&lt;G763,"ON BOND",0)</f>
        <v>ON BOND</v>
      </c>
      <c r="BS763" s="129" t="str">
        <f t="shared" si="542"/>
        <v>DISPOSED</v>
      </c>
      <c r="BT763" s="129" t="str">
        <f t="shared" si="543"/>
        <v>Y</v>
      </c>
      <c r="BU763" s="109">
        <f t="shared" si="544"/>
        <v>2.843601895734597E-2</v>
      </c>
      <c r="BV763" s="109">
        <f t="shared" si="557"/>
        <v>2.8503562945368172E-2</v>
      </c>
      <c r="BW763" s="109">
        <f t="shared" si="570"/>
        <v>6.7543988022202017E-5</v>
      </c>
      <c r="BX763" s="111">
        <f t="shared" si="545"/>
        <v>0</v>
      </c>
      <c r="BY763" s="129">
        <f t="shared" si="546"/>
        <v>-12</v>
      </c>
      <c r="BZ763" s="111">
        <f t="shared" si="547"/>
        <v>0</v>
      </c>
      <c r="CA763" s="138">
        <f t="shared" si="548"/>
        <v>12</v>
      </c>
      <c r="CB763" s="111" t="e">
        <f t="shared" si="573"/>
        <v>#VALUE!</v>
      </c>
      <c r="CC763" s="129">
        <f>M763-I763+1</f>
        <v>12</v>
      </c>
      <c r="CD763" s="111">
        <f>CC763-BF763</f>
        <v>0</v>
      </c>
      <c r="CE763" s="129">
        <f t="shared" si="549"/>
        <v>409</v>
      </c>
      <c r="CG763" s="129" t="str">
        <f t="shared" si="550"/>
        <v>Y</v>
      </c>
      <c r="CI763" s="129" t="str">
        <f t="shared" si="551"/>
        <v>11-30 DAYS</v>
      </c>
      <c r="CJ763" s="137">
        <f t="shared" si="552"/>
        <v>2</v>
      </c>
      <c r="CK763" s="129" t="str">
        <f t="shared" si="553"/>
        <v>Booked</v>
      </c>
    </row>
    <row r="764" spans="1:89" ht="15" customHeight="1" x14ac:dyDescent="0.25">
      <c r="A764" s="111">
        <v>2708</v>
      </c>
      <c r="B764" s="128" t="str">
        <f t="shared" si="537"/>
        <v>N</v>
      </c>
      <c r="C764" s="128" t="str">
        <f t="shared" si="538"/>
        <v>N</v>
      </c>
      <c r="D764" s="117">
        <v>1507204</v>
      </c>
      <c r="E764" s="135">
        <f t="shared" si="539"/>
        <v>5</v>
      </c>
      <c r="F764" s="124">
        <v>41009</v>
      </c>
      <c r="G764" s="125">
        <v>41011</v>
      </c>
      <c r="H764" s="117">
        <v>1507204</v>
      </c>
      <c r="I764" s="124">
        <v>41010</v>
      </c>
      <c r="J764" s="124">
        <v>41011</v>
      </c>
      <c r="K764" s="126">
        <v>15000</v>
      </c>
      <c r="L764" s="127" t="s">
        <v>571</v>
      </c>
      <c r="N764" s="129" t="str">
        <f>IF(M764&gt;1/1/1,"Y","N")</f>
        <v>N</v>
      </c>
      <c r="O764" s="128" t="s">
        <v>917</v>
      </c>
      <c r="P764" s="129" t="s">
        <v>39</v>
      </c>
      <c r="Q764" s="111">
        <f t="shared" si="569"/>
        <v>2</v>
      </c>
      <c r="R764" s="111">
        <f t="shared" si="533"/>
        <v>3</v>
      </c>
      <c r="S764" s="129">
        <v>4</v>
      </c>
      <c r="T764" s="129">
        <v>10</v>
      </c>
      <c r="U764" s="129">
        <v>4</v>
      </c>
      <c r="W764" s="111"/>
      <c r="AC764" s="130"/>
      <c r="AD764" s="130">
        <v>28939</v>
      </c>
      <c r="AE764" s="128" t="s">
        <v>32</v>
      </c>
      <c r="AF764" s="128" t="s">
        <v>33</v>
      </c>
      <c r="AG764" s="128" t="s">
        <v>872</v>
      </c>
      <c r="AH764" s="108" t="s">
        <v>58</v>
      </c>
      <c r="AI764" s="128" t="s">
        <v>53</v>
      </c>
      <c r="AJ764" s="129" t="s">
        <v>89</v>
      </c>
      <c r="AK764" s="129">
        <v>1</v>
      </c>
      <c r="AL764" s="3" t="s">
        <v>992</v>
      </c>
      <c r="AN764" s="117">
        <v>7</v>
      </c>
      <c r="AP764" s="129" t="s">
        <v>43</v>
      </c>
      <c r="AR764" s="128" t="s">
        <v>44</v>
      </c>
      <c r="AS764" s="129" t="s">
        <v>45</v>
      </c>
      <c r="BC764" s="129" t="s">
        <v>38</v>
      </c>
      <c r="BF764" s="111">
        <f t="shared" si="571"/>
        <v>2</v>
      </c>
      <c r="BG764" s="111">
        <f t="shared" si="572"/>
        <v>2</v>
      </c>
      <c r="BH764" s="111">
        <f t="shared" si="534"/>
        <v>3</v>
      </c>
      <c r="BI764" s="111">
        <f t="shared" si="535"/>
        <v>32.978142076502735</v>
      </c>
      <c r="BJ764" s="129">
        <f t="shared" si="554"/>
        <v>0</v>
      </c>
      <c r="BK764" s="129">
        <f t="shared" si="536"/>
        <v>0</v>
      </c>
      <c r="BL764" s="129" t="str">
        <f t="shared" si="567"/>
        <v>CONVICTION</v>
      </c>
      <c r="BM764" s="129" t="str">
        <f t="shared" si="555"/>
        <v>NONE</v>
      </c>
      <c r="BN764" s="129" t="s">
        <v>566</v>
      </c>
      <c r="BP764" s="137" t="str">
        <f t="shared" si="540"/>
        <v>CONVICTION</v>
      </c>
      <c r="BQ764" s="128" t="str">
        <f t="shared" si="541"/>
        <v>Y</v>
      </c>
      <c r="BR764" s="129" t="str">
        <f t="shared" si="556"/>
        <v>DETAINED</v>
      </c>
      <c r="BS764" s="129" t="str">
        <f t="shared" si="542"/>
        <v>DISPOSED</v>
      </c>
      <c r="BT764" s="129" t="str">
        <f t="shared" si="543"/>
        <v>Y</v>
      </c>
      <c r="BU764" s="109">
        <f t="shared" si="544"/>
        <v>0.66666666666666663</v>
      </c>
      <c r="BV764" s="109">
        <f t="shared" si="557"/>
        <v>1</v>
      </c>
      <c r="BW764" s="109">
        <f t="shared" si="570"/>
        <v>0.33333333333333337</v>
      </c>
      <c r="BX764" s="111">
        <f t="shared" si="545"/>
        <v>0</v>
      </c>
      <c r="BY764" s="129">
        <f t="shared" si="546"/>
        <v>-2</v>
      </c>
      <c r="BZ764" s="111">
        <f t="shared" si="547"/>
        <v>0</v>
      </c>
      <c r="CA764" s="138">
        <f t="shared" si="548"/>
        <v>2</v>
      </c>
      <c r="CB764" s="111" t="e">
        <f t="shared" si="573"/>
        <v>#VALUE!</v>
      </c>
      <c r="CC764" s="129">
        <f>G764-I764+1</f>
        <v>2</v>
      </c>
      <c r="CD764" s="129">
        <f>G764-J764</f>
        <v>0</v>
      </c>
      <c r="CE764" s="129">
        <f t="shared" si="549"/>
        <v>0</v>
      </c>
      <c r="CG764" s="129" t="str">
        <f t="shared" si="550"/>
        <v>Y</v>
      </c>
      <c r="CI764" s="129" t="str">
        <f t="shared" si="551"/>
        <v>0-10 DAYS</v>
      </c>
      <c r="CJ764" s="137">
        <f t="shared" si="552"/>
        <v>1</v>
      </c>
      <c r="CK764" s="129" t="str">
        <f t="shared" si="553"/>
        <v>Booked</v>
      </c>
    </row>
    <row r="765" spans="1:89" ht="15" customHeight="1" x14ac:dyDescent="0.25">
      <c r="A765" s="111">
        <v>2193</v>
      </c>
      <c r="B765" s="128" t="str">
        <f t="shared" si="537"/>
        <v>N</v>
      </c>
      <c r="C765" s="128" t="str">
        <f t="shared" si="538"/>
        <v>N</v>
      </c>
      <c r="D765" s="117">
        <v>1507257</v>
      </c>
      <c r="E765" s="135">
        <f t="shared" si="539"/>
        <v>2</v>
      </c>
      <c r="F765" s="124">
        <v>40991</v>
      </c>
      <c r="G765" s="125">
        <v>41008</v>
      </c>
      <c r="H765" s="117">
        <v>1507257</v>
      </c>
      <c r="I765" s="124">
        <v>40991</v>
      </c>
      <c r="J765" s="124">
        <v>41008</v>
      </c>
      <c r="K765" s="126">
        <v>2000</v>
      </c>
      <c r="L765" s="127" t="s">
        <v>568</v>
      </c>
      <c r="N765" s="129" t="str">
        <f>IF(M765&gt;1/1/1,"Y","N")</f>
        <v>N</v>
      </c>
      <c r="O765" s="128" t="s">
        <v>917</v>
      </c>
      <c r="P765" s="129" t="s">
        <v>589</v>
      </c>
      <c r="Q765" s="111">
        <f t="shared" si="569"/>
        <v>18</v>
      </c>
      <c r="R765" s="111">
        <f t="shared" si="533"/>
        <v>18</v>
      </c>
      <c r="S765" s="129">
        <v>2</v>
      </c>
      <c r="T765" s="129">
        <v>5</v>
      </c>
      <c r="V765" s="117">
        <v>1</v>
      </c>
      <c r="W765" s="111"/>
      <c r="AC765" s="130"/>
      <c r="AD765" s="130">
        <v>28688</v>
      </c>
      <c r="AE765" s="128" t="s">
        <v>32</v>
      </c>
      <c r="AF765" s="128" t="s">
        <v>33</v>
      </c>
      <c r="AG765" s="128" t="s">
        <v>872</v>
      </c>
      <c r="AH765" s="108" t="s">
        <v>58</v>
      </c>
      <c r="AI765" s="128" t="s">
        <v>90</v>
      </c>
      <c r="AJ765" s="129" t="s">
        <v>48</v>
      </c>
      <c r="AK765" s="129">
        <v>3</v>
      </c>
      <c r="AL765" s="3" t="s">
        <v>48</v>
      </c>
      <c r="AP765" s="129" t="s">
        <v>43</v>
      </c>
      <c r="AR765" s="128" t="s">
        <v>44</v>
      </c>
      <c r="AS765" s="129" t="s">
        <v>45</v>
      </c>
      <c r="AT765" s="129" t="s">
        <v>412</v>
      </c>
      <c r="BC765" s="129" t="s">
        <v>38</v>
      </c>
      <c r="BF765" s="111">
        <f t="shared" si="571"/>
        <v>18</v>
      </c>
      <c r="BG765" s="111">
        <f t="shared" si="572"/>
        <v>18</v>
      </c>
      <c r="BH765" s="111">
        <f t="shared" si="534"/>
        <v>18</v>
      </c>
      <c r="BI765" s="111">
        <f t="shared" si="535"/>
        <v>33.614754098360656</v>
      </c>
      <c r="BJ765" s="129">
        <f t="shared" si="554"/>
        <v>0</v>
      </c>
      <c r="BK765" s="129">
        <f t="shared" si="536"/>
        <v>0</v>
      </c>
      <c r="BL765" s="129" t="str">
        <f t="shared" si="567"/>
        <v>DEFERRED</v>
      </c>
      <c r="BM765" s="129" t="str">
        <f t="shared" si="555"/>
        <v>NONE</v>
      </c>
      <c r="BN765" s="129" t="s">
        <v>566</v>
      </c>
      <c r="BP765" s="137" t="str">
        <f t="shared" si="540"/>
        <v>DEFERRED</v>
      </c>
      <c r="BQ765" s="128" t="str">
        <f t="shared" si="541"/>
        <v>Y</v>
      </c>
      <c r="BR765" s="129" t="str">
        <f t="shared" si="556"/>
        <v>DETAINED</v>
      </c>
      <c r="BS765" s="129" t="str">
        <f t="shared" si="542"/>
        <v>DISPOSED</v>
      </c>
      <c r="BT765" s="129" t="str">
        <f t="shared" si="543"/>
        <v>Y</v>
      </c>
      <c r="BU765" s="109">
        <f t="shared" si="544"/>
        <v>1</v>
      </c>
      <c r="BV765" s="109">
        <f t="shared" si="557"/>
        <v>1</v>
      </c>
      <c r="BW765" s="109">
        <f t="shared" si="570"/>
        <v>0</v>
      </c>
      <c r="BX765" s="111">
        <f t="shared" si="545"/>
        <v>0</v>
      </c>
      <c r="BY765" s="129">
        <f t="shared" si="546"/>
        <v>-18</v>
      </c>
      <c r="BZ765" s="111">
        <f t="shared" si="547"/>
        <v>0</v>
      </c>
      <c r="CA765" s="138">
        <f t="shared" si="548"/>
        <v>18</v>
      </c>
      <c r="CB765" s="111" t="e">
        <f t="shared" si="573"/>
        <v>#VALUE!</v>
      </c>
      <c r="CC765" s="129">
        <f>G765-I765+1</f>
        <v>18</v>
      </c>
      <c r="CD765" s="129">
        <f>G765-J765</f>
        <v>0</v>
      </c>
      <c r="CE765" s="129">
        <f t="shared" si="549"/>
        <v>0</v>
      </c>
      <c r="CG765" s="129" t="str">
        <f t="shared" si="550"/>
        <v>Y</v>
      </c>
      <c r="CI765" s="129" t="str">
        <f t="shared" si="551"/>
        <v>11-30 DAYS</v>
      </c>
      <c r="CJ765" s="137">
        <f t="shared" si="552"/>
        <v>2</v>
      </c>
      <c r="CK765" s="129" t="str">
        <f t="shared" si="553"/>
        <v>Booked</v>
      </c>
    </row>
    <row r="766" spans="1:89" ht="15" customHeight="1" x14ac:dyDescent="0.25">
      <c r="A766" s="111">
        <v>597</v>
      </c>
      <c r="B766" s="128" t="str">
        <f t="shared" si="537"/>
        <v>N</v>
      </c>
      <c r="C766" s="128" t="str">
        <f t="shared" si="538"/>
        <v>N</v>
      </c>
      <c r="D766" s="117">
        <v>1507506</v>
      </c>
      <c r="E766" s="135">
        <f t="shared" si="539"/>
        <v>6</v>
      </c>
      <c r="F766" s="124">
        <v>40932</v>
      </c>
      <c r="G766" s="125">
        <v>40966</v>
      </c>
      <c r="H766" s="117">
        <v>1507506</v>
      </c>
      <c r="I766" s="124">
        <v>40933</v>
      </c>
      <c r="J766" s="124">
        <v>40966</v>
      </c>
      <c r="K766" s="126" t="s">
        <v>564</v>
      </c>
      <c r="L766" s="127" t="s">
        <v>564</v>
      </c>
      <c r="N766" s="129" t="s">
        <v>566</v>
      </c>
      <c r="O766" s="128" t="s">
        <v>917</v>
      </c>
      <c r="P766" s="129" t="s">
        <v>39</v>
      </c>
      <c r="Q766" s="111">
        <f t="shared" si="569"/>
        <v>34</v>
      </c>
      <c r="R766" s="111">
        <f t="shared" si="533"/>
        <v>35</v>
      </c>
      <c r="S766" s="129">
        <v>2</v>
      </c>
      <c r="T766" s="129">
        <v>12</v>
      </c>
      <c r="U766" s="129">
        <v>2</v>
      </c>
      <c r="W766" s="111"/>
      <c r="AC766" s="130"/>
      <c r="AD766" s="130">
        <v>21727</v>
      </c>
      <c r="AE766" s="128" t="s">
        <v>32</v>
      </c>
      <c r="AF766" s="128" t="s">
        <v>40</v>
      </c>
      <c r="AG766" s="128" t="s">
        <v>41</v>
      </c>
      <c r="AH766" s="108" t="s">
        <v>41</v>
      </c>
      <c r="AI766" s="128" t="s">
        <v>42</v>
      </c>
      <c r="AJ766" s="129" t="s">
        <v>89</v>
      </c>
      <c r="AK766" s="129">
        <v>2</v>
      </c>
      <c r="AL766" s="3" t="s">
        <v>362</v>
      </c>
      <c r="AM766" s="117">
        <v>12</v>
      </c>
      <c r="AP766" s="129" t="s">
        <v>158</v>
      </c>
      <c r="AR766" s="128" t="s">
        <v>67</v>
      </c>
      <c r="AS766" s="129" t="s">
        <v>64</v>
      </c>
      <c r="BC766" s="129" t="s">
        <v>38</v>
      </c>
      <c r="BF766" s="111">
        <f t="shared" si="571"/>
        <v>34</v>
      </c>
      <c r="BG766" s="111">
        <f t="shared" si="572"/>
        <v>34</v>
      </c>
      <c r="BH766" s="111">
        <f t="shared" si="534"/>
        <v>35</v>
      </c>
      <c r="BI766" s="111">
        <f t="shared" si="535"/>
        <v>52.472677595628419</v>
      </c>
      <c r="BJ766" s="129">
        <f t="shared" si="554"/>
        <v>0</v>
      </c>
      <c r="BK766" s="129">
        <f t="shared" si="536"/>
        <v>0</v>
      </c>
      <c r="BL766" s="129" t="str">
        <f t="shared" si="567"/>
        <v>CONVICTION</v>
      </c>
      <c r="BM766" s="129" t="str">
        <f t="shared" si="555"/>
        <v>NONE</v>
      </c>
      <c r="BN766" s="129" t="s">
        <v>566</v>
      </c>
      <c r="BP766" s="137" t="str">
        <f t="shared" si="540"/>
        <v>CONVICTION</v>
      </c>
      <c r="BQ766" s="128" t="str">
        <f t="shared" si="541"/>
        <v>Y</v>
      </c>
      <c r="BR766" s="129" t="str">
        <f t="shared" si="556"/>
        <v>DETAINED</v>
      </c>
      <c r="BS766" s="129" t="str">
        <f t="shared" si="542"/>
        <v>DISPOSED</v>
      </c>
      <c r="BT766" s="129" t="str">
        <f t="shared" si="543"/>
        <v>Y</v>
      </c>
      <c r="BU766" s="109">
        <f t="shared" si="544"/>
        <v>0.97142857142857142</v>
      </c>
      <c r="BV766" s="109">
        <f t="shared" si="557"/>
        <v>1</v>
      </c>
      <c r="BW766" s="109">
        <f t="shared" si="570"/>
        <v>2.8571428571428581E-2</v>
      </c>
      <c r="BX766" s="111">
        <f t="shared" si="545"/>
        <v>0</v>
      </c>
      <c r="BY766" s="129">
        <f t="shared" si="546"/>
        <v>-34</v>
      </c>
      <c r="BZ766" s="111">
        <f t="shared" si="547"/>
        <v>0</v>
      </c>
      <c r="CA766" s="138">
        <f t="shared" si="548"/>
        <v>34</v>
      </c>
      <c r="CB766" s="111" t="e">
        <f t="shared" si="573"/>
        <v>#VALUE!</v>
      </c>
      <c r="CC766" s="129">
        <f>G766-I766+1</f>
        <v>34</v>
      </c>
      <c r="CD766" s="129">
        <f>G766-J766</f>
        <v>0</v>
      </c>
      <c r="CE766" s="129">
        <f t="shared" si="549"/>
        <v>0</v>
      </c>
      <c r="CG766" s="129" t="str">
        <f t="shared" si="550"/>
        <v>Y</v>
      </c>
      <c r="CI766" s="129" t="str">
        <f t="shared" si="551"/>
        <v>31-60 DAYS</v>
      </c>
      <c r="CJ766" s="137">
        <f t="shared" si="552"/>
        <v>3</v>
      </c>
      <c r="CK766" s="129" t="str">
        <f t="shared" si="553"/>
        <v>Booked</v>
      </c>
    </row>
    <row r="767" spans="1:89" ht="15" customHeight="1" x14ac:dyDescent="0.25">
      <c r="A767" s="111">
        <v>1706</v>
      </c>
      <c r="B767" s="128" t="str">
        <f t="shared" si="537"/>
        <v>N</v>
      </c>
      <c r="C767" s="128" t="str">
        <f t="shared" si="538"/>
        <v>N</v>
      </c>
      <c r="D767" s="117">
        <v>1507602</v>
      </c>
      <c r="E767" s="135">
        <f t="shared" si="539"/>
        <v>5</v>
      </c>
      <c r="F767" s="124">
        <v>40972</v>
      </c>
      <c r="G767" s="125">
        <v>40973</v>
      </c>
      <c r="H767" s="117">
        <v>1507602</v>
      </c>
      <c r="I767" s="124">
        <v>40972</v>
      </c>
      <c r="J767" s="124">
        <v>40973</v>
      </c>
      <c r="K767" s="126">
        <v>35000</v>
      </c>
      <c r="L767" s="129" t="s">
        <v>572</v>
      </c>
      <c r="N767" s="129" t="str">
        <f t="shared" ref="N767:N772" si="576">IF(M767&gt;1/1/1,"Y","N")</f>
        <v>N</v>
      </c>
      <c r="O767" s="128" t="s">
        <v>917</v>
      </c>
      <c r="P767" s="129" t="s">
        <v>39</v>
      </c>
      <c r="Q767" s="111">
        <f t="shared" si="569"/>
        <v>2</v>
      </c>
      <c r="R767" s="111">
        <f t="shared" si="533"/>
        <v>2</v>
      </c>
      <c r="S767" s="129">
        <v>1</v>
      </c>
      <c r="T767" s="129">
        <v>6</v>
      </c>
      <c r="U767" s="129">
        <v>1</v>
      </c>
      <c r="W767" s="111"/>
      <c r="AC767" s="130"/>
      <c r="AD767" s="130">
        <v>24299</v>
      </c>
      <c r="AE767" s="128" t="s">
        <v>32</v>
      </c>
      <c r="AF767" s="128" t="s">
        <v>40</v>
      </c>
      <c r="AG767" s="128" t="s">
        <v>41</v>
      </c>
      <c r="AH767" s="108" t="s">
        <v>41</v>
      </c>
      <c r="AI767" s="128" t="s">
        <v>141</v>
      </c>
      <c r="AJ767" s="129" t="s">
        <v>89</v>
      </c>
      <c r="AK767" s="129">
        <v>1</v>
      </c>
      <c r="AL767" s="3" t="s">
        <v>992</v>
      </c>
      <c r="AN767" s="117">
        <v>8</v>
      </c>
      <c r="AP767" s="129" t="s">
        <v>43</v>
      </c>
      <c r="AR767" s="128" t="s">
        <v>44</v>
      </c>
      <c r="AS767" s="129" t="s">
        <v>45</v>
      </c>
      <c r="BC767" s="129" t="s">
        <v>38</v>
      </c>
      <c r="BF767" s="111">
        <f t="shared" si="571"/>
        <v>2</v>
      </c>
      <c r="BG767" s="111">
        <f t="shared" si="572"/>
        <v>2</v>
      </c>
      <c r="BH767" s="111">
        <f t="shared" si="534"/>
        <v>2</v>
      </c>
      <c r="BI767" s="111">
        <f t="shared" si="535"/>
        <v>45.55464480874317</v>
      </c>
      <c r="BJ767" s="129">
        <f t="shared" si="554"/>
        <v>0</v>
      </c>
      <c r="BK767" s="129">
        <f t="shared" si="536"/>
        <v>0</v>
      </c>
      <c r="BL767" s="129" t="str">
        <f t="shared" si="567"/>
        <v>CONVICTION</v>
      </c>
      <c r="BM767" s="129" t="str">
        <f t="shared" si="555"/>
        <v>NONE</v>
      </c>
      <c r="BN767" s="129" t="s">
        <v>566</v>
      </c>
      <c r="BP767" s="137" t="str">
        <f t="shared" si="540"/>
        <v>CONVICTION</v>
      </c>
      <c r="BQ767" s="128" t="str">
        <f t="shared" si="541"/>
        <v>Y</v>
      </c>
      <c r="BR767" s="129" t="str">
        <f t="shared" si="556"/>
        <v>DETAINED</v>
      </c>
      <c r="BS767" s="129" t="str">
        <f t="shared" si="542"/>
        <v>DISPOSED</v>
      </c>
      <c r="BT767" s="129" t="str">
        <f t="shared" si="543"/>
        <v>Y</v>
      </c>
      <c r="BU767" s="109">
        <f t="shared" si="544"/>
        <v>1</v>
      </c>
      <c r="BV767" s="109">
        <f t="shared" si="557"/>
        <v>1</v>
      </c>
      <c r="BW767" s="109">
        <f t="shared" si="570"/>
        <v>0</v>
      </c>
      <c r="BX767" s="111">
        <f t="shared" si="545"/>
        <v>0</v>
      </c>
      <c r="BY767" s="129">
        <f t="shared" si="546"/>
        <v>-2</v>
      </c>
      <c r="BZ767" s="111">
        <f t="shared" si="547"/>
        <v>0</v>
      </c>
      <c r="CA767" s="138">
        <f t="shared" si="548"/>
        <v>2</v>
      </c>
      <c r="CB767" s="111" t="e">
        <f t="shared" si="573"/>
        <v>#VALUE!</v>
      </c>
      <c r="CC767" s="129">
        <f>G767-I767+1</f>
        <v>2</v>
      </c>
      <c r="CD767" s="129">
        <f>G767-J767</f>
        <v>0</v>
      </c>
      <c r="CE767" s="129">
        <f t="shared" si="549"/>
        <v>0</v>
      </c>
      <c r="CG767" s="129" t="str">
        <f t="shared" si="550"/>
        <v>Y</v>
      </c>
      <c r="CI767" s="129" t="str">
        <f t="shared" si="551"/>
        <v>0-10 DAYS</v>
      </c>
      <c r="CJ767" s="137">
        <f t="shared" si="552"/>
        <v>1</v>
      </c>
      <c r="CK767" s="129" t="str">
        <f t="shared" si="553"/>
        <v>Booked</v>
      </c>
    </row>
    <row r="768" spans="1:89" ht="15.75" customHeight="1" x14ac:dyDescent="0.25">
      <c r="A768" s="111">
        <v>904</v>
      </c>
      <c r="B768" s="128" t="str">
        <f t="shared" si="537"/>
        <v>N</v>
      </c>
      <c r="C768" s="128" t="str">
        <f t="shared" si="538"/>
        <v>N</v>
      </c>
      <c r="D768" s="117">
        <v>1507898</v>
      </c>
      <c r="E768" s="135">
        <f t="shared" si="539"/>
        <v>1</v>
      </c>
      <c r="F768" s="124">
        <v>40942</v>
      </c>
      <c r="G768" s="125">
        <v>41326</v>
      </c>
      <c r="H768" s="117">
        <v>1507898</v>
      </c>
      <c r="I768" s="124">
        <v>40943</v>
      </c>
      <c r="J768" s="124">
        <v>40944</v>
      </c>
      <c r="K768" s="126">
        <v>20000</v>
      </c>
      <c r="L768" s="127" t="s">
        <v>571</v>
      </c>
      <c r="M768" s="125">
        <v>40944</v>
      </c>
      <c r="N768" s="129" t="str">
        <f t="shared" si="576"/>
        <v>Y</v>
      </c>
      <c r="O768" s="128" t="s">
        <v>585</v>
      </c>
      <c r="P768" s="129" t="s">
        <v>55</v>
      </c>
      <c r="Q768" s="111">
        <f t="shared" si="569"/>
        <v>2</v>
      </c>
      <c r="R768" s="111">
        <f t="shared" si="533"/>
        <v>385</v>
      </c>
      <c r="S768" s="129">
        <v>4</v>
      </c>
      <c r="T768" s="129">
        <v>3</v>
      </c>
      <c r="V768" s="117">
        <v>1</v>
      </c>
      <c r="W768" s="111"/>
      <c r="AC768" s="130"/>
      <c r="AD768" s="130">
        <v>28692</v>
      </c>
      <c r="AE768" s="128" t="s">
        <v>32</v>
      </c>
      <c r="AF768" s="128" t="s">
        <v>40</v>
      </c>
      <c r="AG768" s="128" t="s">
        <v>41</v>
      </c>
      <c r="AH768" s="108" t="s">
        <v>41</v>
      </c>
      <c r="AI768" s="128" t="s">
        <v>71</v>
      </c>
      <c r="AJ768" s="129" t="s">
        <v>55</v>
      </c>
      <c r="AK768" s="129">
        <v>14</v>
      </c>
      <c r="AL768" s="3" t="s">
        <v>55</v>
      </c>
      <c r="AP768" s="129" t="s">
        <v>132</v>
      </c>
      <c r="AR768" s="128" t="s">
        <v>92</v>
      </c>
      <c r="AS768" s="129" t="s">
        <v>82</v>
      </c>
      <c r="BC768" s="129" t="s">
        <v>52</v>
      </c>
      <c r="BF768" s="111">
        <f t="shared" si="571"/>
        <v>2</v>
      </c>
      <c r="BG768" s="111">
        <f t="shared" si="572"/>
        <v>384</v>
      </c>
      <c r="BH768" s="111">
        <f t="shared" si="534"/>
        <v>385</v>
      </c>
      <c r="BI768" s="111">
        <f t="shared" si="535"/>
        <v>33.469945355191257</v>
      </c>
      <c r="BJ768" s="129">
        <f>(G768-J768)+(M768-G768)</f>
        <v>0</v>
      </c>
      <c r="BK768" s="129">
        <f t="shared" si="536"/>
        <v>-382</v>
      </c>
      <c r="BL768" s="129" t="str">
        <f t="shared" si="567"/>
        <v>NO CONVICTION</v>
      </c>
      <c r="BM768" s="129" t="s">
        <v>76</v>
      </c>
      <c r="BN768" s="129" t="s">
        <v>88</v>
      </c>
      <c r="BP768" s="137" t="str">
        <f t="shared" si="540"/>
        <v>NO CONVICTION</v>
      </c>
      <c r="BQ768" s="128" t="str">
        <f t="shared" si="541"/>
        <v>Y</v>
      </c>
      <c r="BR768" s="129" t="str">
        <f t="shared" si="556"/>
        <v>ON BOND</v>
      </c>
      <c r="BS768" s="129" t="str">
        <f t="shared" si="542"/>
        <v>DISPOSED</v>
      </c>
      <c r="BT768" s="129" t="str">
        <f t="shared" si="543"/>
        <v>Y</v>
      </c>
      <c r="BU768" s="109">
        <f>IFERROR(Q768/R768,BR768)</f>
        <v>5.1948051948051948E-3</v>
      </c>
      <c r="BV768" s="109">
        <f t="shared" si="557"/>
        <v>5.208333333333333E-3</v>
      </c>
      <c r="BW768" s="109">
        <f t="shared" si="570"/>
        <v>1.3528138528138244E-5</v>
      </c>
      <c r="BX768" s="111">
        <f t="shared" si="545"/>
        <v>0</v>
      </c>
      <c r="BY768" s="129">
        <f t="shared" si="546"/>
        <v>-2</v>
      </c>
      <c r="BZ768" s="111">
        <f t="shared" si="547"/>
        <v>0</v>
      </c>
      <c r="CA768" s="138">
        <f t="shared" si="548"/>
        <v>2</v>
      </c>
      <c r="CB768" s="111" t="e">
        <f t="shared" si="573"/>
        <v>#VALUE!</v>
      </c>
      <c r="CC768" s="129">
        <f>M768-I768+1</f>
        <v>2</v>
      </c>
      <c r="CD768" s="111">
        <f>CC768-BF768</f>
        <v>0</v>
      </c>
      <c r="CE768" s="129">
        <f t="shared" si="549"/>
        <v>382</v>
      </c>
      <c r="CG768" s="129" t="str">
        <f t="shared" si="550"/>
        <v>Y</v>
      </c>
      <c r="CI768" s="129" t="str">
        <f t="shared" si="551"/>
        <v>0-10 DAYS</v>
      </c>
      <c r="CJ768" s="137">
        <f t="shared" si="552"/>
        <v>1</v>
      </c>
      <c r="CK768" s="129" t="str">
        <f t="shared" si="553"/>
        <v>Booked</v>
      </c>
    </row>
    <row r="769" spans="1:89" ht="15.75" customHeight="1" x14ac:dyDescent="0.25">
      <c r="A769" s="111">
        <v>2834</v>
      </c>
      <c r="B769" s="128" t="str">
        <f t="shared" si="537"/>
        <v>N</v>
      </c>
      <c r="C769" s="128" t="str">
        <f t="shared" si="538"/>
        <v>N</v>
      </c>
      <c r="D769" s="117">
        <v>1507985</v>
      </c>
      <c r="E769" s="135">
        <f t="shared" si="539"/>
        <v>1</v>
      </c>
      <c r="F769" s="124">
        <v>41013</v>
      </c>
      <c r="G769" s="125">
        <v>41015</v>
      </c>
      <c r="H769" s="117">
        <v>1507985</v>
      </c>
      <c r="I769" s="124">
        <v>41013</v>
      </c>
      <c r="J769" s="124">
        <v>41015</v>
      </c>
      <c r="K769" s="126">
        <v>10000</v>
      </c>
      <c r="L769" s="127" t="s">
        <v>570</v>
      </c>
      <c r="N769" s="129" t="str">
        <f t="shared" si="576"/>
        <v>N</v>
      </c>
      <c r="O769" s="128" t="s">
        <v>917</v>
      </c>
      <c r="P769" s="129" t="s">
        <v>55</v>
      </c>
      <c r="Q769" s="111">
        <f t="shared" si="569"/>
        <v>3</v>
      </c>
      <c r="R769" s="111">
        <f t="shared" si="533"/>
        <v>3</v>
      </c>
      <c r="S769" s="129">
        <v>3</v>
      </c>
      <c r="T769" s="129">
        <v>3</v>
      </c>
      <c r="U769" s="129">
        <v>1</v>
      </c>
      <c r="W769" s="111"/>
      <c r="AC769" s="130"/>
      <c r="AD769" s="130">
        <v>28352</v>
      </c>
      <c r="AE769" s="128" t="s">
        <v>32</v>
      </c>
      <c r="AF769" s="128" t="s">
        <v>33</v>
      </c>
      <c r="AG769" s="128" t="s">
        <v>872</v>
      </c>
      <c r="AH769" s="108" t="s">
        <v>58</v>
      </c>
      <c r="AI769" s="128" t="s">
        <v>65</v>
      </c>
      <c r="AJ769" s="129" t="s">
        <v>55</v>
      </c>
      <c r="AK769" s="129">
        <v>1</v>
      </c>
      <c r="AL769" s="3" t="s">
        <v>55</v>
      </c>
      <c r="AP769" s="129" t="s">
        <v>136</v>
      </c>
      <c r="AR769" s="128" t="s">
        <v>67</v>
      </c>
      <c r="AS769" s="129" t="s">
        <v>64</v>
      </c>
      <c r="BC769" s="129" t="s">
        <v>38</v>
      </c>
      <c r="BF769" s="111">
        <f t="shared" si="571"/>
        <v>3</v>
      </c>
      <c r="BG769" s="111">
        <f t="shared" si="572"/>
        <v>3</v>
      </c>
      <c r="BH769" s="111">
        <f t="shared" si="534"/>
        <v>3</v>
      </c>
      <c r="BI769" s="111">
        <f t="shared" si="535"/>
        <v>34.592896174863391</v>
      </c>
      <c r="BJ769" s="129">
        <f t="shared" si="554"/>
        <v>0</v>
      </c>
      <c r="BK769" s="129">
        <f t="shared" si="536"/>
        <v>0</v>
      </c>
      <c r="BL769" s="129" t="str">
        <f t="shared" si="567"/>
        <v>NO CONVICTION</v>
      </c>
      <c r="BM769" s="129" t="str">
        <f t="shared" si="555"/>
        <v>NONE</v>
      </c>
      <c r="BN769" s="129" t="s">
        <v>566</v>
      </c>
      <c r="BP769" s="137" t="str">
        <f t="shared" si="540"/>
        <v>NO CONVICTION</v>
      </c>
      <c r="BQ769" s="128" t="str">
        <f t="shared" si="541"/>
        <v>Y</v>
      </c>
      <c r="BR769" s="129" t="str">
        <f t="shared" si="556"/>
        <v>DETAINED</v>
      </c>
      <c r="BS769" s="129" t="str">
        <f t="shared" si="542"/>
        <v>DISPOSED</v>
      </c>
      <c r="BT769" s="129" t="str">
        <f t="shared" si="543"/>
        <v>Y</v>
      </c>
      <c r="BU769" s="109">
        <f>IFERROR(Q769/R769,BR769)</f>
        <v>1</v>
      </c>
      <c r="BV769" s="109">
        <f t="shared" si="557"/>
        <v>1</v>
      </c>
      <c r="BW769" s="109">
        <f t="shared" si="570"/>
        <v>0</v>
      </c>
      <c r="BX769" s="111">
        <f t="shared" si="545"/>
        <v>0</v>
      </c>
      <c r="BY769" s="129">
        <f t="shared" si="546"/>
        <v>-3</v>
      </c>
      <c r="BZ769" s="111">
        <f t="shared" si="547"/>
        <v>0</v>
      </c>
      <c r="CA769" s="138">
        <f t="shared" si="548"/>
        <v>3</v>
      </c>
      <c r="CB769" s="111" t="e">
        <f t="shared" si="573"/>
        <v>#VALUE!</v>
      </c>
      <c r="CC769" s="129">
        <f>G769-I769+1</f>
        <v>3</v>
      </c>
      <c r="CD769" s="129">
        <f>G769-J769</f>
        <v>0</v>
      </c>
      <c r="CE769" s="129">
        <f t="shared" si="549"/>
        <v>0</v>
      </c>
      <c r="CG769" s="129" t="str">
        <f t="shared" si="550"/>
        <v>Y</v>
      </c>
      <c r="CI769" s="129" t="str">
        <f t="shared" si="551"/>
        <v>0-10 DAYS</v>
      </c>
      <c r="CJ769" s="137">
        <f t="shared" si="552"/>
        <v>1</v>
      </c>
      <c r="CK769" s="129" t="str">
        <f t="shared" si="553"/>
        <v>Booked</v>
      </c>
    </row>
    <row r="770" spans="1:89" ht="15.75" customHeight="1" x14ac:dyDescent="0.25">
      <c r="A770" s="111">
        <v>3129</v>
      </c>
      <c r="B770" s="128" t="str">
        <f t="shared" si="537"/>
        <v>N</v>
      </c>
      <c r="C770" s="128" t="str">
        <f t="shared" si="538"/>
        <v>N</v>
      </c>
      <c r="D770" s="117">
        <v>1508718</v>
      </c>
      <c r="E770" s="135">
        <f t="shared" si="539"/>
        <v>2</v>
      </c>
      <c r="F770" s="124">
        <v>41024</v>
      </c>
      <c r="G770" s="125">
        <v>41085</v>
      </c>
      <c r="H770" s="117">
        <v>1508718</v>
      </c>
      <c r="I770" s="124">
        <v>41024</v>
      </c>
      <c r="J770" s="124">
        <v>41027</v>
      </c>
      <c r="K770" s="126">
        <v>5000</v>
      </c>
      <c r="L770" s="127" t="s">
        <v>569</v>
      </c>
      <c r="M770" s="125">
        <v>41027</v>
      </c>
      <c r="N770" s="129" t="str">
        <f t="shared" si="576"/>
        <v>Y</v>
      </c>
      <c r="O770" s="128" t="s">
        <v>76</v>
      </c>
      <c r="P770" s="129" t="s">
        <v>589</v>
      </c>
      <c r="Q770" s="111">
        <f t="shared" si="569"/>
        <v>4</v>
      </c>
      <c r="R770" s="111">
        <f t="shared" ref="R770:R833" si="577">BH770</f>
        <v>62</v>
      </c>
      <c r="S770" s="129">
        <v>2</v>
      </c>
      <c r="T770" s="129">
        <v>5</v>
      </c>
      <c r="W770" s="111"/>
      <c r="AC770" s="130"/>
      <c r="AD770" s="130">
        <v>28011</v>
      </c>
      <c r="AE770" s="128" t="s">
        <v>32</v>
      </c>
      <c r="AF770" s="128" t="s">
        <v>33</v>
      </c>
      <c r="AG770" s="128" t="s">
        <v>872</v>
      </c>
      <c r="AH770" s="108" t="s">
        <v>31</v>
      </c>
      <c r="AI770" s="128" t="s">
        <v>62</v>
      </c>
      <c r="AJ770" s="129" t="s">
        <v>48</v>
      </c>
      <c r="AK770" s="129">
        <v>3</v>
      </c>
      <c r="AL770" s="3" t="s">
        <v>48</v>
      </c>
      <c r="AP770" s="129" t="s">
        <v>101</v>
      </c>
      <c r="AR770" s="128" t="s">
        <v>67</v>
      </c>
      <c r="AS770" s="129" t="s">
        <v>64</v>
      </c>
      <c r="AT770" s="129" t="s">
        <v>527</v>
      </c>
      <c r="BC770" s="129" t="s">
        <v>38</v>
      </c>
      <c r="BF770" s="111">
        <f t="shared" si="571"/>
        <v>4</v>
      </c>
      <c r="BG770" s="111">
        <f t="shared" si="572"/>
        <v>62</v>
      </c>
      <c r="BH770" s="111">
        <f t="shared" ref="BH770:BH833" si="578">IF(G770&gt;1/1/1900,((G770+1)-F770),"STILL OPEN")</f>
        <v>62</v>
      </c>
      <c r="BI770" s="111">
        <f t="shared" ref="BI770:BI833" si="579">(F770-AD770)/366</f>
        <v>35.55464480874317</v>
      </c>
      <c r="BJ770" s="129">
        <f>(G770-J770)+(M770-G770)</f>
        <v>0</v>
      </c>
      <c r="BK770" s="129">
        <f t="shared" ref="BK770:BK833" si="580">J770-G770</f>
        <v>-58</v>
      </c>
      <c r="BL770" s="129" t="str">
        <f t="shared" si="567"/>
        <v>DEFERRED</v>
      </c>
      <c r="BM770" s="129" t="s">
        <v>76</v>
      </c>
      <c r="BN770" s="129" t="s">
        <v>88</v>
      </c>
      <c r="BP770" s="137" t="str">
        <f t="shared" si="540"/>
        <v>DEFERRED</v>
      </c>
      <c r="BQ770" s="128" t="str">
        <f t="shared" si="541"/>
        <v>Y</v>
      </c>
      <c r="BR770" s="129" t="str">
        <f t="shared" si="556"/>
        <v>ON BOND</v>
      </c>
      <c r="BS770" s="129" t="str">
        <f t="shared" si="542"/>
        <v>DISPOSED</v>
      </c>
      <c r="BT770" s="129" t="str">
        <f t="shared" si="543"/>
        <v>Y</v>
      </c>
      <c r="BU770" s="109">
        <f t="shared" si="544"/>
        <v>6.4516129032258063E-2</v>
      </c>
      <c r="BV770" s="109">
        <f t="shared" si="557"/>
        <v>6.4516129032258063E-2</v>
      </c>
      <c r="BW770" s="109">
        <f t="shared" si="570"/>
        <v>0</v>
      </c>
      <c r="BX770" s="111">
        <f t="shared" si="545"/>
        <v>0</v>
      </c>
      <c r="BY770" s="129">
        <f t="shared" si="546"/>
        <v>-4</v>
      </c>
      <c r="BZ770" s="111">
        <f t="shared" si="547"/>
        <v>0</v>
      </c>
      <c r="CA770" s="138">
        <f t="shared" si="548"/>
        <v>4</v>
      </c>
      <c r="CB770" s="111" t="e">
        <f t="shared" si="573"/>
        <v>#VALUE!</v>
      </c>
      <c r="CC770" s="129">
        <f>M770-I770+1</f>
        <v>4</v>
      </c>
      <c r="CD770" s="111">
        <f>CC770-BF770</f>
        <v>0</v>
      </c>
      <c r="CE770" s="129">
        <f t="shared" si="549"/>
        <v>58</v>
      </c>
      <c r="CG770" s="129" t="str">
        <f t="shared" si="550"/>
        <v>Y</v>
      </c>
      <c r="CI770" s="129" t="str">
        <f t="shared" si="551"/>
        <v>0-10 DAYS</v>
      </c>
      <c r="CJ770" s="137">
        <f t="shared" si="552"/>
        <v>1</v>
      </c>
      <c r="CK770" s="129" t="str">
        <f t="shared" si="553"/>
        <v>Booked</v>
      </c>
    </row>
    <row r="771" spans="1:89" ht="15.75" customHeight="1" x14ac:dyDescent="0.25">
      <c r="A771" s="111">
        <v>2403</v>
      </c>
      <c r="B771" s="128" t="str">
        <f t="shared" ref="B771:B834" si="581">IF(BD771&lt;&gt;"","Y","N")</f>
        <v>N</v>
      </c>
      <c r="C771" s="128" t="str">
        <f t="shared" ref="C771:C834" si="582">IF((AND(AV771="",AX771="",AY771="")),"N","Y")</f>
        <v>N</v>
      </c>
      <c r="D771" s="117">
        <v>1508775</v>
      </c>
      <c r="E771" s="135">
        <f t="shared" ref="E771:E834" si="583">IF(OR(AL771="ACQUITTAL",AL771="ACQUIT",AL771="acq insane",AL771="DISMISSED",AL771="NO BILL"),1,IF(AL771="DEFERRED",2,IF(AL771="PROBATION",3,IF(OR(AL771="HCJ",AL771="fine"),4,IF(AL771="STJ",5,IF(AL771="TDC",6,""))))))</f>
        <v>2</v>
      </c>
      <c r="F771" s="124">
        <v>40999</v>
      </c>
      <c r="G771" s="125">
        <v>41078</v>
      </c>
      <c r="H771" s="117">
        <v>1508775</v>
      </c>
      <c r="I771" s="124">
        <v>40999</v>
      </c>
      <c r="J771" s="124">
        <v>41000</v>
      </c>
      <c r="K771" s="126">
        <v>2000</v>
      </c>
      <c r="L771" s="127" t="s">
        <v>568</v>
      </c>
      <c r="M771" s="125">
        <v>41000</v>
      </c>
      <c r="N771" s="129" t="str">
        <f t="shared" si="576"/>
        <v>Y</v>
      </c>
      <c r="O771" s="128" t="s">
        <v>585</v>
      </c>
      <c r="P771" s="129" t="s">
        <v>589</v>
      </c>
      <c r="Q771" s="111">
        <f t="shared" si="569"/>
        <v>2</v>
      </c>
      <c r="R771" s="111">
        <f t="shared" si="577"/>
        <v>80</v>
      </c>
      <c r="S771" s="129">
        <v>0</v>
      </c>
      <c r="T771" s="129">
        <v>1</v>
      </c>
      <c r="W771" s="111"/>
      <c r="AC771" s="130"/>
      <c r="AD771" s="130">
        <v>26212</v>
      </c>
      <c r="AE771" s="128" t="s">
        <v>32</v>
      </c>
      <c r="AF771" s="128" t="s">
        <v>40</v>
      </c>
      <c r="AG771" s="128" t="s">
        <v>41</v>
      </c>
      <c r="AH771" s="108" t="s">
        <v>41</v>
      </c>
      <c r="AI771" s="128" t="s">
        <v>59</v>
      </c>
      <c r="AJ771" s="129" t="s">
        <v>48</v>
      </c>
      <c r="AK771" s="129">
        <v>4</v>
      </c>
      <c r="AL771" s="3" t="s">
        <v>48</v>
      </c>
      <c r="AP771" s="129" t="s">
        <v>43</v>
      </c>
      <c r="AR771" s="128" t="s">
        <v>44</v>
      </c>
      <c r="AS771" s="129" t="s">
        <v>45</v>
      </c>
      <c r="BC771" s="129" t="s">
        <v>52</v>
      </c>
      <c r="BF771" s="111">
        <f t="shared" si="571"/>
        <v>2</v>
      </c>
      <c r="BG771" s="111">
        <f t="shared" si="572"/>
        <v>80</v>
      </c>
      <c r="BH771" s="111">
        <f t="shared" si="578"/>
        <v>80</v>
      </c>
      <c r="BI771" s="111">
        <f t="shared" si="579"/>
        <v>40.401639344262293</v>
      </c>
      <c r="BJ771" s="129">
        <f>(G771-J771)+(M771-G771)</f>
        <v>0</v>
      </c>
      <c r="BK771" s="129">
        <f t="shared" si="580"/>
        <v>-78</v>
      </c>
      <c r="BL771" s="129" t="str">
        <f t="shared" si="567"/>
        <v>DEFERRED</v>
      </c>
      <c r="BM771" s="129" t="s">
        <v>76</v>
      </c>
      <c r="BN771" s="129" t="s">
        <v>88</v>
      </c>
      <c r="BP771" s="137" t="str">
        <f t="shared" ref="BP771:BP834" si="584">IF(OR(AJ771="AQUITTAL",AJ771="DISMISSED",AJ771="FINE",AJ771="NO BILL"),"NO CONVICTION",IF(OR(AJ771="HCJ",AJ771="MHH",AJ771="PROBATION",AJ771="STJ",AJ771="TDC",AJ771="CONVICTED"),"CONVICTION",IF(AJ771="DEFERRED","DEFERRED","")))</f>
        <v>DEFERRED</v>
      </c>
      <c r="BQ771" s="128" t="str">
        <f t="shared" ref="BQ771:BQ834" si="585">IF(BF771&gt;0,"Y",BF771)</f>
        <v>Y</v>
      </c>
      <c r="BR771" s="129" t="str">
        <f t="shared" ref="BR771:BR834" si="586">IF(AND(J771="NOT BOOKED",M771&gt;1/1/1),"BONDED - BEFORE BOOKED",IF(BG771="STILL OPEN","STILL OPEN",IF(N771="Y","ON BOND",IF(J771&gt;=G771,"DETAINED","RELEASED"))))</f>
        <v>ON BOND</v>
      </c>
      <c r="BS771" s="129" t="str">
        <f t="shared" ref="BS771:BS834" si="587">IF(G771&lt;&gt;"","DISPOSED","")</f>
        <v>DISPOSED</v>
      </c>
      <c r="BT771" s="129" t="str">
        <f t="shared" ref="BT771:BT834" si="588">IF(S771&gt;0,"Y","N")</f>
        <v>N</v>
      </c>
      <c r="BU771" s="109">
        <f t="shared" ref="BU771:BU834" si="589">Q771/R771</f>
        <v>2.5000000000000001E-2</v>
      </c>
      <c r="BV771" s="109">
        <f t="shared" ref="BV771:BV834" si="590">IF(I771&gt;F771,((J771-I771+1)/(G771-I771+1)),(J771-I771+1)/(G771-F771+1))</f>
        <v>2.5000000000000001E-2</v>
      </c>
      <c r="BW771" s="109">
        <f t="shared" si="570"/>
        <v>0</v>
      </c>
      <c r="BX771" s="111">
        <f t="shared" ref="BX771:BX834" si="591">+Q771-BF771</f>
        <v>0</v>
      </c>
      <c r="BY771" s="129">
        <f t="shared" ref="BY771:BY834" si="592">I771-J771-1</f>
        <v>-2</v>
      </c>
      <c r="BZ771" s="111">
        <f t="shared" ref="BZ771:BZ834" si="593">BY771+BF771</f>
        <v>0</v>
      </c>
      <c r="CA771" s="138">
        <f t="shared" ref="CA771:CA834" si="594">IF(AND(BS771="DISPOSED",BR771="DETAINED"),G771-I771+1,IF(AND(BS771="DISPOSED",BR771="ON BOND"),M771-I771+1,IF(AND(BS771="STILL OPEN","STILL OPEN"),"NOT BOOKED")))</f>
        <v>2</v>
      </c>
      <c r="CB771" s="111" t="e">
        <f t="shared" si="573"/>
        <v>#VALUE!</v>
      </c>
      <c r="CC771" s="129">
        <f>M771-I771+1</f>
        <v>2</v>
      </c>
      <c r="CD771" s="111">
        <f>CC771-BF771</f>
        <v>0</v>
      </c>
      <c r="CE771" s="129">
        <f t="shared" ref="CE771:CE834" si="595">G771-J771</f>
        <v>78</v>
      </c>
      <c r="CG771" s="129" t="str">
        <f t="shared" ref="CG771:CG834" si="596">IF((S771+T771+U771)&gt;0,"Y","N")</f>
        <v>Y</v>
      </c>
      <c r="CI771" s="129" t="str">
        <f t="shared" ref="CI771:CI834" si="597">IF(BF771&lt;11,"0-10 DAYS",IF(AND(BF771&gt;10,BF771&lt;31),"11-30 DAYS",IF((AND(BF771&gt;30,BF771&lt;61)),"31-60 DAYS",IF(AND(BF771&gt;60,BF771&lt;91),"61-90 DAYS",IF(AND(BF771&gt;90,BF771&lt;121),"91-120 DAYS",IF(AND(BF771&gt;120,BF771&lt;366),"121-365 DAYS",IF(AND(BF771&gt;365,BF771&lt;730)," &gt;1YRS&lt;2YRS",IF(AND(BF771&gt;729,BF771&lt;1095),"&gt;2YRS&lt;3YRS",IF(BF771&gt;1094,"&gt;3YRS")))))))))</f>
        <v>0-10 DAYS</v>
      </c>
      <c r="CJ771" s="137">
        <f t="shared" ref="CJ771:CJ834" si="598">IF(CI771="0-10 DAYS",1,IF(CI771="11-30 DAYS",2,IF(CI771="31-60 DAYS",3,IF(CI771="61-90 DAYS",4,IF(CK771="91-120 DAYS",5,IF(CI771="121-365 DAYS",6,IF(CI771="&gt;1YRS&lt;2YRS",7,IF(CI771="&gt;2YRS&lt;3YRS",8,IF(CI771="&gt;3YRS",9,0)))))))))</f>
        <v>1</v>
      </c>
      <c r="CK771" s="129" t="str">
        <f t="shared" ref="CK771:CK834" si="599">IF(I771="Not Booked","Not Booked","Booked")</f>
        <v>Booked</v>
      </c>
    </row>
    <row r="772" spans="1:89" ht="15" customHeight="1" x14ac:dyDescent="0.25">
      <c r="A772" s="111">
        <v>1368</v>
      </c>
      <c r="B772" s="128" t="str">
        <f t="shared" si="581"/>
        <v>N</v>
      </c>
      <c r="C772" s="128" t="str">
        <f t="shared" si="582"/>
        <v>N</v>
      </c>
      <c r="D772" s="117">
        <v>1509144</v>
      </c>
      <c r="E772" s="135">
        <f t="shared" si="583"/>
        <v>6</v>
      </c>
      <c r="F772" s="124">
        <v>40959</v>
      </c>
      <c r="G772" s="125">
        <v>40960</v>
      </c>
      <c r="H772" s="117">
        <v>1509144</v>
      </c>
      <c r="I772" s="124">
        <v>40959</v>
      </c>
      <c r="J772" s="124">
        <v>40960</v>
      </c>
      <c r="K772" s="126">
        <v>20000</v>
      </c>
      <c r="L772" s="127" t="s">
        <v>571</v>
      </c>
      <c r="N772" s="129" t="str">
        <f t="shared" si="576"/>
        <v>N</v>
      </c>
      <c r="O772" s="128" t="s">
        <v>917</v>
      </c>
      <c r="P772" s="129" t="s">
        <v>39</v>
      </c>
      <c r="Q772" s="111">
        <f t="shared" si="569"/>
        <v>2</v>
      </c>
      <c r="R772" s="111">
        <f t="shared" si="577"/>
        <v>2</v>
      </c>
      <c r="S772" s="129">
        <v>4</v>
      </c>
      <c r="T772" s="129">
        <v>4</v>
      </c>
      <c r="U772" s="129">
        <v>1</v>
      </c>
      <c r="W772" s="111"/>
      <c r="AB772" s="131" t="s">
        <v>112</v>
      </c>
      <c r="AC772" s="130"/>
      <c r="AD772" s="130">
        <v>28698</v>
      </c>
      <c r="AE772" s="128" t="s">
        <v>32</v>
      </c>
      <c r="AF772" s="128" t="s">
        <v>40</v>
      </c>
      <c r="AG772" s="128" t="s">
        <v>41</v>
      </c>
      <c r="AH772" s="108" t="s">
        <v>31</v>
      </c>
      <c r="AI772" s="128" t="s">
        <v>141</v>
      </c>
      <c r="AJ772" s="129" t="s">
        <v>89</v>
      </c>
      <c r="AK772" s="129">
        <v>1</v>
      </c>
      <c r="AL772" s="3" t="s">
        <v>362</v>
      </c>
      <c r="AM772" s="117">
        <v>3</v>
      </c>
      <c r="AP772" s="129" t="s">
        <v>66</v>
      </c>
      <c r="AR772" s="128" t="s">
        <v>67</v>
      </c>
      <c r="AS772" s="129" t="s">
        <v>68</v>
      </c>
      <c r="BC772" s="129" t="s">
        <v>38</v>
      </c>
      <c r="BF772" s="111">
        <f t="shared" si="571"/>
        <v>2</v>
      </c>
      <c r="BG772" s="111">
        <f t="shared" si="572"/>
        <v>2</v>
      </c>
      <c r="BH772" s="111">
        <f t="shared" si="578"/>
        <v>2</v>
      </c>
      <c r="BI772" s="111">
        <f t="shared" si="579"/>
        <v>33.5</v>
      </c>
      <c r="BJ772" s="129">
        <f t="shared" ref="BJ772:BJ834" si="600">G772-J772-M772</f>
        <v>0</v>
      </c>
      <c r="BK772" s="129">
        <f t="shared" si="580"/>
        <v>0</v>
      </c>
      <c r="BL772" s="129" t="str">
        <f t="shared" si="567"/>
        <v>CONVICTION</v>
      </c>
      <c r="BM772" s="129" t="str">
        <f t="shared" ref="BM772:BM834" si="601">O772</f>
        <v>NONE</v>
      </c>
      <c r="BN772" s="129" t="s">
        <v>566</v>
      </c>
      <c r="BP772" s="137" t="str">
        <f t="shared" si="584"/>
        <v>CONVICTION</v>
      </c>
      <c r="BQ772" s="128" t="str">
        <f t="shared" si="585"/>
        <v>Y</v>
      </c>
      <c r="BR772" s="129" t="str">
        <f t="shared" si="586"/>
        <v>DETAINED</v>
      </c>
      <c r="BS772" s="129" t="str">
        <f t="shared" si="587"/>
        <v>DISPOSED</v>
      </c>
      <c r="BT772" s="129" t="str">
        <f t="shared" si="588"/>
        <v>Y</v>
      </c>
      <c r="BU772" s="109">
        <f t="shared" si="589"/>
        <v>1</v>
      </c>
      <c r="BV772" s="109">
        <f t="shared" si="590"/>
        <v>1</v>
      </c>
      <c r="BW772" s="109">
        <f t="shared" si="570"/>
        <v>0</v>
      </c>
      <c r="BX772" s="111">
        <f t="shared" si="591"/>
        <v>0</v>
      </c>
      <c r="BY772" s="129">
        <f t="shared" si="592"/>
        <v>-2</v>
      </c>
      <c r="BZ772" s="111">
        <f t="shared" si="593"/>
        <v>0</v>
      </c>
      <c r="CA772" s="138">
        <f t="shared" si="594"/>
        <v>2</v>
      </c>
      <c r="CB772" s="111" t="e">
        <f t="shared" si="573"/>
        <v>#VALUE!</v>
      </c>
      <c r="CC772" s="129">
        <f>G772-I772+1</f>
        <v>2</v>
      </c>
      <c r="CD772" s="129">
        <f>G772-J772</f>
        <v>0</v>
      </c>
      <c r="CE772" s="129">
        <f t="shared" si="595"/>
        <v>0</v>
      </c>
      <c r="CG772" s="129" t="str">
        <f t="shared" si="596"/>
        <v>Y</v>
      </c>
      <c r="CI772" s="129" t="str">
        <f t="shared" si="597"/>
        <v>0-10 DAYS</v>
      </c>
      <c r="CJ772" s="137">
        <f t="shared" si="598"/>
        <v>1</v>
      </c>
      <c r="CK772" s="129" t="str">
        <f t="shared" si="599"/>
        <v>Booked</v>
      </c>
    </row>
    <row r="773" spans="1:89" ht="15.75" customHeight="1" x14ac:dyDescent="0.25">
      <c r="A773" s="111">
        <v>194</v>
      </c>
      <c r="B773" s="128" t="str">
        <f t="shared" si="581"/>
        <v>N</v>
      </c>
      <c r="C773" s="128" t="str">
        <f t="shared" si="582"/>
        <v>N</v>
      </c>
      <c r="D773" s="117">
        <v>1509838</v>
      </c>
      <c r="E773" s="135">
        <f t="shared" si="583"/>
        <v>6</v>
      </c>
      <c r="F773" s="124">
        <v>40917</v>
      </c>
      <c r="G773" s="125">
        <v>40920</v>
      </c>
      <c r="H773" s="117">
        <v>1509838</v>
      </c>
      <c r="I773" s="124">
        <v>40918</v>
      </c>
      <c r="J773" s="124">
        <v>40920</v>
      </c>
      <c r="K773" s="126" t="s">
        <v>564</v>
      </c>
      <c r="L773" s="127" t="s">
        <v>564</v>
      </c>
      <c r="N773" s="129" t="s">
        <v>566</v>
      </c>
      <c r="O773" s="128" t="s">
        <v>917</v>
      </c>
      <c r="P773" s="129" t="s">
        <v>39</v>
      </c>
      <c r="Q773" s="111">
        <f t="shared" si="569"/>
        <v>3</v>
      </c>
      <c r="R773" s="111">
        <f t="shared" si="577"/>
        <v>4</v>
      </c>
      <c r="S773" s="129">
        <v>2</v>
      </c>
      <c r="T773" s="129">
        <v>0</v>
      </c>
      <c r="U773" s="129">
        <v>2</v>
      </c>
      <c r="W773" s="111"/>
      <c r="AC773" s="130"/>
      <c r="AD773" s="130">
        <v>25665</v>
      </c>
      <c r="AE773" s="128" t="s">
        <v>32</v>
      </c>
      <c r="AF773" s="128" t="s">
        <v>69</v>
      </c>
      <c r="AG773" s="128" t="s">
        <v>874</v>
      </c>
      <c r="AH773" s="108" t="s">
        <v>58</v>
      </c>
      <c r="AI773" s="128" t="s">
        <v>62</v>
      </c>
      <c r="AJ773" s="129" t="s">
        <v>89</v>
      </c>
      <c r="AK773" s="129">
        <v>2</v>
      </c>
      <c r="AL773" s="3" t="s">
        <v>362</v>
      </c>
      <c r="AM773" s="117">
        <v>4</v>
      </c>
      <c r="AP773" s="129" t="s">
        <v>170</v>
      </c>
      <c r="AR773" s="128" t="s">
        <v>67</v>
      </c>
      <c r="AS773" s="129" t="s">
        <v>64</v>
      </c>
      <c r="BC773" s="129" t="s">
        <v>38</v>
      </c>
      <c r="BF773" s="111">
        <f t="shared" si="571"/>
        <v>3</v>
      </c>
      <c r="BG773" s="111">
        <f t="shared" si="572"/>
        <v>3</v>
      </c>
      <c r="BH773" s="111">
        <f t="shared" si="578"/>
        <v>4</v>
      </c>
      <c r="BI773" s="111">
        <f t="shared" si="579"/>
        <v>41.672131147540981</v>
      </c>
      <c r="BJ773" s="129">
        <f t="shared" si="600"/>
        <v>0</v>
      </c>
      <c r="BK773" s="129">
        <f t="shared" si="580"/>
        <v>0</v>
      </c>
      <c r="BL773" s="129" t="str">
        <f t="shared" si="567"/>
        <v>CONVICTION</v>
      </c>
      <c r="BM773" s="129" t="str">
        <f t="shared" si="601"/>
        <v>NONE</v>
      </c>
      <c r="BN773" s="129" t="s">
        <v>566</v>
      </c>
      <c r="BP773" s="137" t="str">
        <f t="shared" si="584"/>
        <v>CONVICTION</v>
      </c>
      <c r="BQ773" s="128" t="str">
        <f t="shared" si="585"/>
        <v>Y</v>
      </c>
      <c r="BR773" s="129" t="str">
        <f t="shared" si="586"/>
        <v>DETAINED</v>
      </c>
      <c r="BS773" s="129" t="str">
        <f t="shared" si="587"/>
        <v>DISPOSED</v>
      </c>
      <c r="BT773" s="129" t="str">
        <f t="shared" si="588"/>
        <v>Y</v>
      </c>
      <c r="BU773" s="109">
        <f t="shared" si="589"/>
        <v>0.75</v>
      </c>
      <c r="BV773" s="109">
        <f t="shared" si="590"/>
        <v>1</v>
      </c>
      <c r="BW773" s="109">
        <f t="shared" si="570"/>
        <v>0.25</v>
      </c>
      <c r="BX773" s="111">
        <f t="shared" si="591"/>
        <v>0</v>
      </c>
      <c r="BY773" s="129">
        <f t="shared" si="592"/>
        <v>-3</v>
      </c>
      <c r="BZ773" s="111">
        <f t="shared" si="593"/>
        <v>0</v>
      </c>
      <c r="CA773" s="138">
        <f t="shared" si="594"/>
        <v>3</v>
      </c>
      <c r="CB773" s="111" t="e">
        <f t="shared" si="573"/>
        <v>#VALUE!</v>
      </c>
      <c r="CC773" s="129">
        <f>G773-I773+1</f>
        <v>3</v>
      </c>
      <c r="CD773" s="129">
        <f>G773-J773</f>
        <v>0</v>
      </c>
      <c r="CE773" s="129">
        <f t="shared" si="595"/>
        <v>0</v>
      </c>
      <c r="CG773" s="129" t="str">
        <f t="shared" si="596"/>
        <v>Y</v>
      </c>
      <c r="CI773" s="129" t="str">
        <f t="shared" si="597"/>
        <v>0-10 DAYS</v>
      </c>
      <c r="CJ773" s="137">
        <f t="shared" si="598"/>
        <v>1</v>
      </c>
      <c r="CK773" s="129" t="str">
        <f t="shared" si="599"/>
        <v>Booked</v>
      </c>
    </row>
    <row r="774" spans="1:89" ht="15" customHeight="1" x14ac:dyDescent="0.25">
      <c r="A774" s="111">
        <v>2364</v>
      </c>
      <c r="B774" s="128" t="str">
        <f t="shared" si="581"/>
        <v>N</v>
      </c>
      <c r="C774" s="128" t="str">
        <f t="shared" si="582"/>
        <v>N</v>
      </c>
      <c r="D774" s="117">
        <v>1510635</v>
      </c>
      <c r="E774" s="135">
        <f t="shared" si="583"/>
        <v>5</v>
      </c>
      <c r="F774" s="124">
        <v>40998</v>
      </c>
      <c r="G774" s="125">
        <v>41088</v>
      </c>
      <c r="H774" s="117">
        <v>1510635</v>
      </c>
      <c r="I774" s="124">
        <v>40998</v>
      </c>
      <c r="J774" s="124">
        <v>41088</v>
      </c>
      <c r="K774" s="126">
        <v>5000</v>
      </c>
      <c r="L774" s="127" t="s">
        <v>569</v>
      </c>
      <c r="N774" s="129" t="str">
        <f>IF(M774&gt;1/1/1,"Y","N")</f>
        <v>N</v>
      </c>
      <c r="O774" s="128" t="s">
        <v>917</v>
      </c>
      <c r="P774" s="129" t="s">
        <v>39</v>
      </c>
      <c r="Q774" s="111">
        <f t="shared" ref="Q774:Q805" si="602">BF774</f>
        <v>91</v>
      </c>
      <c r="R774" s="111">
        <f t="shared" si="577"/>
        <v>91</v>
      </c>
      <c r="S774" s="129">
        <v>2</v>
      </c>
      <c r="T774" s="129">
        <v>3</v>
      </c>
      <c r="V774" s="117">
        <v>1</v>
      </c>
      <c r="W774" s="111"/>
      <c r="AC774" s="130"/>
      <c r="AD774" s="130">
        <v>26721</v>
      </c>
      <c r="AE774" s="128" t="s">
        <v>32</v>
      </c>
      <c r="AF774" s="128" t="s">
        <v>33</v>
      </c>
      <c r="AG774" s="128" t="s">
        <v>872</v>
      </c>
      <c r="AH774" s="108" t="s">
        <v>31</v>
      </c>
      <c r="AI774" s="128" t="s">
        <v>71</v>
      </c>
      <c r="AJ774" s="129" t="s">
        <v>89</v>
      </c>
      <c r="AK774" s="129">
        <v>5</v>
      </c>
      <c r="AL774" s="3" t="s">
        <v>992</v>
      </c>
      <c r="AN774" s="117">
        <v>6</v>
      </c>
      <c r="AP774" s="129" t="s">
        <v>136</v>
      </c>
      <c r="AR774" s="128" t="s">
        <v>67</v>
      </c>
      <c r="AS774" s="129" t="s">
        <v>64</v>
      </c>
      <c r="BC774" s="129" t="s">
        <v>38</v>
      </c>
      <c r="BF774" s="111">
        <f t="shared" si="571"/>
        <v>91</v>
      </c>
      <c r="BG774" s="111">
        <f t="shared" si="572"/>
        <v>91</v>
      </c>
      <c r="BH774" s="111">
        <f t="shared" si="578"/>
        <v>91</v>
      </c>
      <c r="BI774" s="111">
        <f t="shared" si="579"/>
        <v>39.008196721311478</v>
      </c>
      <c r="BJ774" s="129">
        <f t="shared" si="600"/>
        <v>0</v>
      </c>
      <c r="BK774" s="129">
        <f t="shared" si="580"/>
        <v>0</v>
      </c>
      <c r="BL774" s="129" t="str">
        <f t="shared" si="567"/>
        <v>CONVICTION</v>
      </c>
      <c r="BM774" s="129" t="str">
        <f t="shared" si="601"/>
        <v>NONE</v>
      </c>
      <c r="BN774" s="129" t="s">
        <v>566</v>
      </c>
      <c r="BP774" s="137" t="str">
        <f t="shared" si="584"/>
        <v>CONVICTION</v>
      </c>
      <c r="BQ774" s="128" t="str">
        <f t="shared" si="585"/>
        <v>Y</v>
      </c>
      <c r="BR774" s="129" t="str">
        <f t="shared" si="586"/>
        <v>DETAINED</v>
      </c>
      <c r="BS774" s="129" t="str">
        <f t="shared" si="587"/>
        <v>DISPOSED</v>
      </c>
      <c r="BT774" s="129" t="str">
        <f t="shared" si="588"/>
        <v>Y</v>
      </c>
      <c r="BU774" s="109">
        <f t="shared" si="589"/>
        <v>1</v>
      </c>
      <c r="BV774" s="109">
        <f t="shared" si="590"/>
        <v>1</v>
      </c>
      <c r="BW774" s="109">
        <f t="shared" si="570"/>
        <v>0</v>
      </c>
      <c r="BX774" s="111">
        <f t="shared" si="591"/>
        <v>0</v>
      </c>
      <c r="BY774" s="129">
        <f t="shared" si="592"/>
        <v>-91</v>
      </c>
      <c r="BZ774" s="111">
        <f t="shared" si="593"/>
        <v>0</v>
      </c>
      <c r="CA774" s="138">
        <f t="shared" si="594"/>
        <v>91</v>
      </c>
      <c r="CB774" s="111" t="e">
        <f t="shared" si="573"/>
        <v>#VALUE!</v>
      </c>
      <c r="CC774" s="129">
        <f>G774-I774+1</f>
        <v>91</v>
      </c>
      <c r="CD774" s="129">
        <f>G774-J774</f>
        <v>0</v>
      </c>
      <c r="CE774" s="129">
        <f t="shared" si="595"/>
        <v>0</v>
      </c>
      <c r="CG774" s="129" t="str">
        <f t="shared" si="596"/>
        <v>Y</v>
      </c>
      <c r="CI774" s="129" t="str">
        <f t="shared" si="597"/>
        <v>91-120 DAYS</v>
      </c>
      <c r="CJ774" s="137">
        <f t="shared" si="598"/>
        <v>0</v>
      </c>
      <c r="CK774" s="129" t="str">
        <f t="shared" si="599"/>
        <v>Booked</v>
      </c>
    </row>
    <row r="775" spans="1:89" ht="15.75" customHeight="1" x14ac:dyDescent="0.25">
      <c r="A775" s="111">
        <v>384</v>
      </c>
      <c r="B775" s="128" t="str">
        <f t="shared" si="581"/>
        <v>N</v>
      </c>
      <c r="C775" s="128" t="str">
        <f t="shared" si="582"/>
        <v>N</v>
      </c>
      <c r="D775" s="117">
        <v>1510654</v>
      </c>
      <c r="E775" s="135">
        <f t="shared" si="583"/>
        <v>6</v>
      </c>
      <c r="F775" s="124">
        <v>40924</v>
      </c>
      <c r="G775" s="125">
        <v>41066</v>
      </c>
      <c r="H775" s="117">
        <v>1510654</v>
      </c>
      <c r="I775" s="124">
        <v>40929</v>
      </c>
      <c r="J775" s="124">
        <v>41066</v>
      </c>
      <c r="K775" s="126" t="s">
        <v>564</v>
      </c>
      <c r="L775" s="127" t="s">
        <v>564</v>
      </c>
      <c r="N775" s="129" t="s">
        <v>566</v>
      </c>
      <c r="O775" s="128" t="s">
        <v>917</v>
      </c>
      <c r="P775" s="129" t="s">
        <v>39</v>
      </c>
      <c r="Q775" s="111">
        <f t="shared" si="602"/>
        <v>138</v>
      </c>
      <c r="R775" s="111">
        <f t="shared" si="577"/>
        <v>143</v>
      </c>
      <c r="S775" s="129">
        <v>2</v>
      </c>
      <c r="T775" s="129">
        <v>3</v>
      </c>
      <c r="U775" s="129">
        <v>2</v>
      </c>
      <c r="W775" s="111"/>
      <c r="AC775" s="130"/>
      <c r="AD775" s="130">
        <v>28065</v>
      </c>
      <c r="AE775" s="128" t="s">
        <v>32</v>
      </c>
      <c r="AF775" s="128" t="s">
        <v>69</v>
      </c>
      <c r="AG775" s="128" t="s">
        <v>874</v>
      </c>
      <c r="AH775" s="108" t="s">
        <v>31</v>
      </c>
      <c r="AI775" s="128" t="s">
        <v>113</v>
      </c>
      <c r="AJ775" s="129" t="s">
        <v>89</v>
      </c>
      <c r="AK775" s="129">
        <v>10</v>
      </c>
      <c r="AL775" s="3" t="s">
        <v>362</v>
      </c>
      <c r="AM775" s="117">
        <v>2</v>
      </c>
      <c r="AP775" s="129" t="s">
        <v>110</v>
      </c>
      <c r="AR775" s="128" t="s">
        <v>50</v>
      </c>
      <c r="AS775" s="129" t="s">
        <v>74</v>
      </c>
      <c r="BC775" s="129" t="s">
        <v>52</v>
      </c>
      <c r="BF775" s="111">
        <f t="shared" si="571"/>
        <v>138</v>
      </c>
      <c r="BG775" s="111">
        <f t="shared" si="572"/>
        <v>138</v>
      </c>
      <c r="BH775" s="111">
        <f t="shared" si="578"/>
        <v>143</v>
      </c>
      <c r="BI775" s="111">
        <f t="shared" si="579"/>
        <v>35.133879781420767</v>
      </c>
      <c r="BJ775" s="129">
        <f t="shared" si="600"/>
        <v>0</v>
      </c>
      <c r="BK775" s="129">
        <f t="shared" si="580"/>
        <v>0</v>
      </c>
      <c r="BL775" s="129" t="str">
        <f t="shared" si="567"/>
        <v>CONVICTION</v>
      </c>
      <c r="BM775" s="129" t="str">
        <f t="shared" si="601"/>
        <v>NONE</v>
      </c>
      <c r="BN775" s="129" t="s">
        <v>566</v>
      </c>
      <c r="BP775" s="137" t="str">
        <f t="shared" si="584"/>
        <v>CONVICTION</v>
      </c>
      <c r="BQ775" s="128" t="str">
        <f t="shared" si="585"/>
        <v>Y</v>
      </c>
      <c r="BR775" s="129" t="str">
        <f t="shared" si="586"/>
        <v>DETAINED</v>
      </c>
      <c r="BS775" s="129" t="str">
        <f t="shared" si="587"/>
        <v>DISPOSED</v>
      </c>
      <c r="BT775" s="129" t="str">
        <f t="shared" si="588"/>
        <v>Y</v>
      </c>
      <c r="BU775" s="109">
        <f t="shared" si="589"/>
        <v>0.965034965034965</v>
      </c>
      <c r="BV775" s="109">
        <f t="shared" si="590"/>
        <v>1</v>
      </c>
      <c r="BW775" s="109">
        <f t="shared" si="570"/>
        <v>3.4965034965035002E-2</v>
      </c>
      <c r="BX775" s="111">
        <f t="shared" si="591"/>
        <v>0</v>
      </c>
      <c r="BY775" s="129">
        <f t="shared" si="592"/>
        <v>-138</v>
      </c>
      <c r="BZ775" s="111">
        <f t="shared" si="593"/>
        <v>0</v>
      </c>
      <c r="CA775" s="138">
        <f t="shared" si="594"/>
        <v>138</v>
      </c>
      <c r="CB775" s="111" t="e">
        <f t="shared" si="573"/>
        <v>#VALUE!</v>
      </c>
      <c r="CC775" s="129">
        <f>G775-I775+1</f>
        <v>138</v>
      </c>
      <c r="CD775" s="129">
        <f>G775-J775</f>
        <v>0</v>
      </c>
      <c r="CE775" s="129">
        <f t="shared" si="595"/>
        <v>0</v>
      </c>
      <c r="CG775" s="129" t="str">
        <f t="shared" si="596"/>
        <v>Y</v>
      </c>
      <c r="CI775" s="129" t="str">
        <f t="shared" si="597"/>
        <v>121-365 DAYS</v>
      </c>
      <c r="CJ775" s="137">
        <f t="shared" si="598"/>
        <v>6</v>
      </c>
      <c r="CK775" s="129" t="str">
        <f t="shared" si="599"/>
        <v>Booked</v>
      </c>
    </row>
    <row r="776" spans="1:89" ht="15.75" customHeight="1" x14ac:dyDescent="0.25">
      <c r="A776" s="111">
        <v>1739</v>
      </c>
      <c r="B776" s="128" t="str">
        <f t="shared" si="581"/>
        <v>N</v>
      </c>
      <c r="C776" s="128" t="str">
        <f t="shared" si="582"/>
        <v>N</v>
      </c>
      <c r="D776" s="117">
        <v>1510837</v>
      </c>
      <c r="E776" s="135">
        <f t="shared" si="583"/>
        <v>5</v>
      </c>
      <c r="F776" s="124">
        <v>40973</v>
      </c>
      <c r="G776" s="125">
        <v>40975</v>
      </c>
      <c r="H776" s="117">
        <v>1510837</v>
      </c>
      <c r="I776" s="124">
        <v>40974</v>
      </c>
      <c r="J776" s="124">
        <v>40975</v>
      </c>
      <c r="K776" s="126">
        <v>15000</v>
      </c>
      <c r="L776" s="127" t="s">
        <v>571</v>
      </c>
      <c r="N776" s="129" t="str">
        <f>IF(M776&gt;1/1/1,"Y","N")</f>
        <v>N</v>
      </c>
      <c r="O776" s="128" t="s">
        <v>917</v>
      </c>
      <c r="P776" s="129" t="s">
        <v>39</v>
      </c>
      <c r="Q776" s="111">
        <f t="shared" si="602"/>
        <v>2</v>
      </c>
      <c r="R776" s="111">
        <f t="shared" si="577"/>
        <v>3</v>
      </c>
      <c r="S776" s="129">
        <v>3</v>
      </c>
      <c r="T776" s="129">
        <v>0</v>
      </c>
      <c r="U776" s="129">
        <v>2</v>
      </c>
      <c r="W776" s="111"/>
      <c r="AC776" s="130"/>
      <c r="AD776" s="130">
        <v>29487</v>
      </c>
      <c r="AE776" s="128" t="s">
        <v>32</v>
      </c>
      <c r="AF776" s="128" t="s">
        <v>33</v>
      </c>
      <c r="AG776" s="128" t="s">
        <v>872</v>
      </c>
      <c r="AH776" s="108" t="s">
        <v>58</v>
      </c>
      <c r="AI776" s="128" t="s">
        <v>72</v>
      </c>
      <c r="AJ776" s="129" t="s">
        <v>89</v>
      </c>
      <c r="AK776" s="129">
        <v>1</v>
      </c>
      <c r="AL776" s="3" t="s">
        <v>992</v>
      </c>
      <c r="AN776" s="117">
        <v>6</v>
      </c>
      <c r="AP776" s="129" t="s">
        <v>103</v>
      </c>
      <c r="AR776" s="128" t="s">
        <v>44</v>
      </c>
      <c r="AS776" s="129" t="s">
        <v>45</v>
      </c>
      <c r="BC776" s="129" t="s">
        <v>38</v>
      </c>
      <c r="BF776" s="111">
        <f t="shared" si="571"/>
        <v>2</v>
      </c>
      <c r="BG776" s="111">
        <f t="shared" si="572"/>
        <v>2</v>
      </c>
      <c r="BH776" s="111">
        <f t="shared" si="578"/>
        <v>3</v>
      </c>
      <c r="BI776" s="111">
        <f t="shared" si="579"/>
        <v>31.382513661202186</v>
      </c>
      <c r="BJ776" s="129">
        <f t="shared" si="600"/>
        <v>0</v>
      </c>
      <c r="BK776" s="129">
        <f t="shared" si="580"/>
        <v>0</v>
      </c>
      <c r="BL776" s="129" t="str">
        <f t="shared" si="567"/>
        <v>CONVICTION</v>
      </c>
      <c r="BM776" s="129" t="str">
        <f t="shared" si="601"/>
        <v>NONE</v>
      </c>
      <c r="BN776" s="129" t="s">
        <v>566</v>
      </c>
      <c r="BP776" s="137" t="str">
        <f t="shared" si="584"/>
        <v>CONVICTION</v>
      </c>
      <c r="BQ776" s="128" t="str">
        <f t="shared" si="585"/>
        <v>Y</v>
      </c>
      <c r="BR776" s="129" t="str">
        <f t="shared" si="586"/>
        <v>DETAINED</v>
      </c>
      <c r="BS776" s="129" t="str">
        <f t="shared" si="587"/>
        <v>DISPOSED</v>
      </c>
      <c r="BT776" s="129" t="str">
        <f t="shared" si="588"/>
        <v>Y</v>
      </c>
      <c r="BU776" s="109">
        <f t="shared" si="589"/>
        <v>0.66666666666666663</v>
      </c>
      <c r="BV776" s="109">
        <f t="shared" si="590"/>
        <v>1</v>
      </c>
      <c r="BW776" s="109">
        <f t="shared" si="570"/>
        <v>0.33333333333333337</v>
      </c>
      <c r="BX776" s="111">
        <f t="shared" si="591"/>
        <v>0</v>
      </c>
      <c r="BY776" s="129">
        <f t="shared" si="592"/>
        <v>-2</v>
      </c>
      <c r="BZ776" s="111">
        <f t="shared" si="593"/>
        <v>0</v>
      </c>
      <c r="CA776" s="138">
        <f t="shared" si="594"/>
        <v>2</v>
      </c>
      <c r="CB776" s="111" t="e">
        <f t="shared" si="573"/>
        <v>#VALUE!</v>
      </c>
      <c r="CC776" s="129">
        <f>G776-I776+1</f>
        <v>2</v>
      </c>
      <c r="CD776" s="129">
        <f>G776-J776</f>
        <v>0</v>
      </c>
      <c r="CE776" s="129">
        <f t="shared" si="595"/>
        <v>0</v>
      </c>
      <c r="CG776" s="129" t="str">
        <f t="shared" si="596"/>
        <v>Y</v>
      </c>
      <c r="CI776" s="129" t="str">
        <f t="shared" si="597"/>
        <v>0-10 DAYS</v>
      </c>
      <c r="CJ776" s="137">
        <f t="shared" si="598"/>
        <v>1</v>
      </c>
      <c r="CK776" s="129" t="str">
        <f t="shared" si="599"/>
        <v>Booked</v>
      </c>
    </row>
    <row r="777" spans="1:89" ht="15" customHeight="1" x14ac:dyDescent="0.25">
      <c r="A777" s="111">
        <v>2648</v>
      </c>
      <c r="B777" s="128" t="str">
        <f t="shared" si="581"/>
        <v>N</v>
      </c>
      <c r="C777" s="128" t="str">
        <f t="shared" si="582"/>
        <v>N</v>
      </c>
      <c r="D777" s="117">
        <v>1510965</v>
      </c>
      <c r="E777" s="135">
        <f t="shared" si="583"/>
        <v>1</v>
      </c>
      <c r="F777" s="124">
        <v>41007</v>
      </c>
      <c r="G777" s="125">
        <v>41025</v>
      </c>
      <c r="H777" s="117">
        <v>1510965</v>
      </c>
      <c r="I777" s="124" t="s">
        <v>562</v>
      </c>
      <c r="J777" s="124" t="s">
        <v>562</v>
      </c>
      <c r="K777" s="126">
        <v>20000</v>
      </c>
      <c r="L777" s="127" t="s">
        <v>571</v>
      </c>
      <c r="M777" s="125">
        <v>41011</v>
      </c>
      <c r="N777" s="129" t="str">
        <f>IF(M777&gt;1/1/1,"Y",IF(Q777="0","","N"))</f>
        <v>Y</v>
      </c>
      <c r="O777" s="128" t="s">
        <v>76</v>
      </c>
      <c r="P777" s="129" t="s">
        <v>123</v>
      </c>
      <c r="Q777" s="111">
        <f t="shared" si="602"/>
        <v>0</v>
      </c>
      <c r="R777" s="111">
        <f t="shared" si="577"/>
        <v>19</v>
      </c>
      <c r="S777" s="129">
        <v>0</v>
      </c>
      <c r="T777" s="129">
        <v>0</v>
      </c>
      <c r="W777" s="111"/>
      <c r="AC777" s="130"/>
      <c r="AD777" s="130">
        <v>27337</v>
      </c>
      <c r="AE777" s="128" t="s">
        <v>32</v>
      </c>
      <c r="AF777" s="128" t="s">
        <v>69</v>
      </c>
      <c r="AG777" s="128" t="s">
        <v>874</v>
      </c>
      <c r="AH777" s="108" t="s">
        <v>58</v>
      </c>
      <c r="AI777" s="128" t="s">
        <v>42</v>
      </c>
      <c r="AJ777" s="129" t="s">
        <v>123</v>
      </c>
      <c r="AK777" s="129">
        <v>3</v>
      </c>
      <c r="AL777" s="3" t="s">
        <v>123</v>
      </c>
      <c r="AP777" s="129" t="s">
        <v>56</v>
      </c>
      <c r="AR777" s="128" t="s">
        <v>50</v>
      </c>
      <c r="AS777" s="129" t="s">
        <v>57</v>
      </c>
      <c r="BC777" s="129" t="s">
        <v>52</v>
      </c>
      <c r="BF777" s="111">
        <v>0</v>
      </c>
      <c r="BG777" s="111">
        <v>0</v>
      </c>
      <c r="BH777" s="111">
        <f t="shared" si="578"/>
        <v>19</v>
      </c>
      <c r="BI777" s="111">
        <f t="shared" si="579"/>
        <v>37.349726775956285</v>
      </c>
      <c r="BJ777" s="129" t="e">
        <f>(G777-J777)+(M777-G777)</f>
        <v>#VALUE!</v>
      </c>
      <c r="BK777" s="129" t="e">
        <f t="shared" si="580"/>
        <v>#VALUE!</v>
      </c>
      <c r="BL777" s="129" t="str">
        <f t="shared" si="567"/>
        <v>NO CONVICTION</v>
      </c>
      <c r="BM777" s="129" t="s">
        <v>76</v>
      </c>
      <c r="BN777" s="129" t="s">
        <v>88</v>
      </c>
      <c r="BP777" s="137" t="str">
        <f t="shared" si="584"/>
        <v>NO CONVICTION</v>
      </c>
      <c r="BQ777" s="128">
        <f t="shared" si="585"/>
        <v>0</v>
      </c>
      <c r="BR777" s="129" t="s">
        <v>575</v>
      </c>
      <c r="BS777" s="129" t="str">
        <f t="shared" si="587"/>
        <v>DISPOSED</v>
      </c>
      <c r="BT777" s="129" t="str">
        <f t="shared" si="588"/>
        <v>N</v>
      </c>
      <c r="BU777" s="109">
        <f>IFERROR(Q777/R777,BR777)</f>
        <v>0</v>
      </c>
      <c r="BV777" s="109">
        <v>0</v>
      </c>
      <c r="BW777" s="109">
        <f t="shared" si="570"/>
        <v>0</v>
      </c>
      <c r="BX777" s="111">
        <f t="shared" si="591"/>
        <v>0</v>
      </c>
      <c r="BY777" s="129" t="e">
        <f t="shared" si="592"/>
        <v>#VALUE!</v>
      </c>
      <c r="BZ777" s="111" t="e">
        <f t="shared" si="593"/>
        <v>#VALUE!</v>
      </c>
      <c r="CA777" s="138" t="e">
        <f t="shared" si="594"/>
        <v>#VALUE!</v>
      </c>
      <c r="CB777" s="111">
        <v>0</v>
      </c>
      <c r="CC777" s="129">
        <v>0</v>
      </c>
      <c r="CD777" s="111">
        <f>CC777-BF777</f>
        <v>0</v>
      </c>
      <c r="CE777" s="129" t="e">
        <f t="shared" si="595"/>
        <v>#VALUE!</v>
      </c>
      <c r="CG777" s="129" t="str">
        <f t="shared" si="596"/>
        <v>N</v>
      </c>
      <c r="CI777" s="129" t="str">
        <f t="shared" si="597"/>
        <v>0-10 DAYS</v>
      </c>
      <c r="CJ777" s="137">
        <f t="shared" si="598"/>
        <v>1</v>
      </c>
      <c r="CK777" s="129" t="str">
        <f t="shared" si="599"/>
        <v>Not Booked</v>
      </c>
    </row>
    <row r="778" spans="1:89" ht="15" customHeight="1" x14ac:dyDescent="0.25">
      <c r="A778" s="111">
        <v>241</v>
      </c>
      <c r="B778" s="128" t="str">
        <f t="shared" si="581"/>
        <v>N</v>
      </c>
      <c r="C778" s="128" t="str">
        <f t="shared" si="582"/>
        <v>Y</v>
      </c>
      <c r="D778" s="117">
        <v>1512103</v>
      </c>
      <c r="E778" s="135">
        <f t="shared" si="583"/>
        <v>2</v>
      </c>
      <c r="F778" s="124">
        <v>40919</v>
      </c>
      <c r="G778" s="125">
        <v>41060</v>
      </c>
      <c r="H778" s="117">
        <v>1512103</v>
      </c>
      <c r="I778" s="124">
        <v>40919</v>
      </c>
      <c r="J778" s="124">
        <v>40920</v>
      </c>
      <c r="K778" s="126">
        <v>15000</v>
      </c>
      <c r="L778" s="127" t="s">
        <v>571</v>
      </c>
      <c r="M778" s="125">
        <v>40920</v>
      </c>
      <c r="N778" s="129" t="str">
        <f>IF(M778&gt;1/1/1,"Y","N")</f>
        <v>Y</v>
      </c>
      <c r="O778" s="128" t="s">
        <v>585</v>
      </c>
      <c r="P778" s="129" t="s">
        <v>589</v>
      </c>
      <c r="Q778" s="111">
        <f t="shared" si="602"/>
        <v>2</v>
      </c>
      <c r="R778" s="111">
        <f t="shared" si="577"/>
        <v>142</v>
      </c>
      <c r="S778" s="129">
        <v>0</v>
      </c>
      <c r="T778" s="129">
        <v>2</v>
      </c>
      <c r="W778" s="111"/>
      <c r="AC778" s="130"/>
      <c r="AD778" s="130">
        <v>26322</v>
      </c>
      <c r="AE778" s="128" t="s">
        <v>32</v>
      </c>
      <c r="AF778" s="128" t="s">
        <v>69</v>
      </c>
      <c r="AG778" s="128" t="s">
        <v>874</v>
      </c>
      <c r="AH778" s="108" t="s">
        <v>31</v>
      </c>
      <c r="AI778" s="128" t="s">
        <v>42</v>
      </c>
      <c r="AJ778" s="129" t="s">
        <v>48</v>
      </c>
      <c r="AK778" s="129">
        <v>6</v>
      </c>
      <c r="AL778" s="3" t="s">
        <v>48</v>
      </c>
      <c r="AP778" s="129" t="s">
        <v>43</v>
      </c>
      <c r="AR778" s="128" t="s">
        <v>44</v>
      </c>
      <c r="AS778" s="129" t="s">
        <v>45</v>
      </c>
      <c r="AU778" s="121" t="s">
        <v>689</v>
      </c>
      <c r="AV778" s="121"/>
      <c r="AX778" s="32" t="s">
        <v>88</v>
      </c>
      <c r="BC778" s="129" t="s">
        <v>52</v>
      </c>
      <c r="BF778" s="111">
        <v>2</v>
      </c>
      <c r="BG778" s="111">
        <f t="shared" ref="BG778:BG790" si="603">IF(G778&gt;1/1/1900,((G778+1)-I778),"STILL OPEN")</f>
        <v>142</v>
      </c>
      <c r="BH778" s="111">
        <f t="shared" si="578"/>
        <v>142</v>
      </c>
      <c r="BI778" s="111">
        <f t="shared" si="579"/>
        <v>39.882513661202189</v>
      </c>
      <c r="BJ778" s="129">
        <f>(G778-J778)+(M778-G778)</f>
        <v>0</v>
      </c>
      <c r="BK778" s="129">
        <f t="shared" si="580"/>
        <v>-140</v>
      </c>
      <c r="BL778" s="129" t="str">
        <f t="shared" si="567"/>
        <v>DEFERRED</v>
      </c>
      <c r="BM778" s="129" t="s">
        <v>76</v>
      </c>
      <c r="BN778" s="129" t="s">
        <v>88</v>
      </c>
      <c r="BP778" s="137" t="str">
        <f t="shared" si="584"/>
        <v>DEFERRED</v>
      </c>
      <c r="BQ778" s="128" t="str">
        <f t="shared" si="585"/>
        <v>Y</v>
      </c>
      <c r="BR778" s="129" t="str">
        <f t="shared" si="586"/>
        <v>ON BOND</v>
      </c>
      <c r="BS778" s="129" t="str">
        <f t="shared" si="587"/>
        <v>DISPOSED</v>
      </c>
      <c r="BT778" s="129" t="str">
        <f t="shared" si="588"/>
        <v>N</v>
      </c>
      <c r="BU778" s="109">
        <f t="shared" si="589"/>
        <v>1.4084507042253521E-2</v>
      </c>
      <c r="BV778" s="109">
        <f t="shared" si="590"/>
        <v>1.4084507042253521E-2</v>
      </c>
      <c r="BW778" s="109">
        <f t="shared" si="570"/>
        <v>0</v>
      </c>
      <c r="BX778" s="111">
        <f t="shared" si="591"/>
        <v>0</v>
      </c>
      <c r="BY778" s="129">
        <f t="shared" si="592"/>
        <v>-2</v>
      </c>
      <c r="BZ778" s="111">
        <f t="shared" si="593"/>
        <v>0</v>
      </c>
      <c r="CA778" s="138">
        <f t="shared" si="594"/>
        <v>2</v>
      </c>
      <c r="CB778" s="111" t="e">
        <f t="shared" ref="CB778:CB790" si="604">IF(AF778&gt;1/1/1900,((AF778+1)-AE778),"STILL OPEN")</f>
        <v>#VALUE!</v>
      </c>
      <c r="CD778" s="129">
        <f>G778-J778</f>
        <v>140</v>
      </c>
      <c r="CE778" s="129">
        <f t="shared" si="595"/>
        <v>140</v>
      </c>
      <c r="CG778" s="129" t="str">
        <f t="shared" si="596"/>
        <v>Y</v>
      </c>
      <c r="CI778" s="129" t="str">
        <f t="shared" si="597"/>
        <v>0-10 DAYS</v>
      </c>
      <c r="CJ778" s="137">
        <f t="shared" si="598"/>
        <v>1</v>
      </c>
      <c r="CK778" s="129" t="str">
        <f t="shared" si="599"/>
        <v>Booked</v>
      </c>
    </row>
    <row r="779" spans="1:89" ht="15.75" customHeight="1" x14ac:dyDescent="0.25">
      <c r="A779" s="111">
        <v>1720</v>
      </c>
      <c r="B779" s="128" t="str">
        <f t="shared" si="581"/>
        <v>N</v>
      </c>
      <c r="C779" s="128" t="str">
        <f t="shared" si="582"/>
        <v>N</v>
      </c>
      <c r="D779" s="117">
        <v>1514525</v>
      </c>
      <c r="E779" s="135">
        <f t="shared" si="583"/>
        <v>6</v>
      </c>
      <c r="F779" s="124">
        <v>40972</v>
      </c>
      <c r="G779" s="125">
        <v>41046</v>
      </c>
      <c r="H779" s="117">
        <v>1514525</v>
      </c>
      <c r="I779" s="124">
        <v>40974</v>
      </c>
      <c r="J779" s="124">
        <v>41046</v>
      </c>
      <c r="K779" s="126" t="s">
        <v>564</v>
      </c>
      <c r="L779" s="127" t="s">
        <v>564</v>
      </c>
      <c r="N779" s="129" t="s">
        <v>566</v>
      </c>
      <c r="O779" s="128" t="s">
        <v>917</v>
      </c>
      <c r="P779" s="129" t="s">
        <v>39</v>
      </c>
      <c r="Q779" s="111">
        <f t="shared" si="602"/>
        <v>73</v>
      </c>
      <c r="R779" s="111">
        <f t="shared" si="577"/>
        <v>75</v>
      </c>
      <c r="S779" s="129">
        <v>2</v>
      </c>
      <c r="T779" s="129">
        <v>3</v>
      </c>
      <c r="U779" s="129">
        <v>1</v>
      </c>
      <c r="W779" s="111"/>
      <c r="AC779" s="130"/>
      <c r="AD779" s="130">
        <v>26134</v>
      </c>
      <c r="AE779" s="128" t="s">
        <v>32</v>
      </c>
      <c r="AF779" s="128" t="s">
        <v>40</v>
      </c>
      <c r="AG779" s="128" t="s">
        <v>41</v>
      </c>
      <c r="AH779" s="108" t="s">
        <v>41</v>
      </c>
      <c r="AI779" s="128" t="s">
        <v>71</v>
      </c>
      <c r="AJ779" s="129" t="s">
        <v>89</v>
      </c>
      <c r="AK779" s="129">
        <v>4</v>
      </c>
      <c r="AL779" s="3" t="s">
        <v>362</v>
      </c>
      <c r="AM779" s="117">
        <v>3</v>
      </c>
      <c r="AP779" s="129" t="s">
        <v>66</v>
      </c>
      <c r="AR779" s="128" t="s">
        <v>67</v>
      </c>
      <c r="AS779" s="129" t="s">
        <v>68</v>
      </c>
      <c r="BC779" s="129" t="s">
        <v>99</v>
      </c>
      <c r="BF779" s="111">
        <f t="shared" ref="BF779:BF790" si="605">IF(J779&gt;1/1/1900,((J779+1)-I779),"STILL OPEN")</f>
        <v>73</v>
      </c>
      <c r="BG779" s="111">
        <f t="shared" si="603"/>
        <v>73</v>
      </c>
      <c r="BH779" s="111">
        <f t="shared" si="578"/>
        <v>75</v>
      </c>
      <c r="BI779" s="111">
        <f t="shared" si="579"/>
        <v>40.540983606557376</v>
      </c>
      <c r="BJ779" s="129">
        <f t="shared" si="600"/>
        <v>0</v>
      </c>
      <c r="BK779" s="129">
        <f t="shared" si="580"/>
        <v>0</v>
      </c>
      <c r="BL779" s="129" t="str">
        <f t="shared" si="567"/>
        <v>CONVICTION</v>
      </c>
      <c r="BM779" s="129" t="str">
        <f t="shared" si="601"/>
        <v>NONE</v>
      </c>
      <c r="BN779" s="129" t="s">
        <v>566</v>
      </c>
      <c r="BP779" s="137" t="str">
        <f t="shared" si="584"/>
        <v>CONVICTION</v>
      </c>
      <c r="BQ779" s="128" t="str">
        <f t="shared" si="585"/>
        <v>Y</v>
      </c>
      <c r="BR779" s="129" t="str">
        <f t="shared" si="586"/>
        <v>DETAINED</v>
      </c>
      <c r="BS779" s="129" t="str">
        <f t="shared" si="587"/>
        <v>DISPOSED</v>
      </c>
      <c r="BT779" s="129" t="str">
        <f t="shared" si="588"/>
        <v>Y</v>
      </c>
      <c r="BU779" s="109">
        <f t="shared" si="589"/>
        <v>0.97333333333333338</v>
      </c>
      <c r="BV779" s="109">
        <f t="shared" si="590"/>
        <v>1</v>
      </c>
      <c r="BW779" s="109">
        <f t="shared" si="570"/>
        <v>2.6666666666666616E-2</v>
      </c>
      <c r="BX779" s="111">
        <f t="shared" si="591"/>
        <v>0</v>
      </c>
      <c r="BY779" s="129">
        <f t="shared" si="592"/>
        <v>-73</v>
      </c>
      <c r="BZ779" s="111">
        <f t="shared" si="593"/>
        <v>0</v>
      </c>
      <c r="CA779" s="138">
        <f t="shared" si="594"/>
        <v>73</v>
      </c>
      <c r="CB779" s="111" t="e">
        <f t="shared" si="604"/>
        <v>#VALUE!</v>
      </c>
      <c r="CC779" s="129">
        <f>G779-I779+1</f>
        <v>73</v>
      </c>
      <c r="CD779" s="129">
        <f>G779-J779</f>
        <v>0</v>
      </c>
      <c r="CE779" s="129">
        <f t="shared" si="595"/>
        <v>0</v>
      </c>
      <c r="CG779" s="129" t="str">
        <f t="shared" si="596"/>
        <v>Y</v>
      </c>
      <c r="CI779" s="129" t="str">
        <f t="shared" si="597"/>
        <v>61-90 DAYS</v>
      </c>
      <c r="CJ779" s="137">
        <f t="shared" si="598"/>
        <v>4</v>
      </c>
      <c r="CK779" s="129" t="str">
        <f t="shared" si="599"/>
        <v>Booked</v>
      </c>
    </row>
    <row r="780" spans="1:89" ht="15.75" customHeight="1" x14ac:dyDescent="0.25">
      <c r="A780" s="111">
        <v>775</v>
      </c>
      <c r="B780" s="128" t="str">
        <f t="shared" si="581"/>
        <v>N</v>
      </c>
      <c r="C780" s="128" t="str">
        <f t="shared" si="582"/>
        <v>N</v>
      </c>
      <c r="D780" s="117">
        <v>1517734</v>
      </c>
      <c r="E780" s="135">
        <f t="shared" si="583"/>
        <v>4</v>
      </c>
      <c r="F780" s="124">
        <v>40939</v>
      </c>
      <c r="G780" s="125">
        <v>41079</v>
      </c>
      <c r="H780" s="117">
        <v>1517734</v>
      </c>
      <c r="I780" s="124">
        <v>40939</v>
      </c>
      <c r="J780" s="124">
        <v>40940</v>
      </c>
      <c r="K780" s="126">
        <v>2000</v>
      </c>
      <c r="L780" s="127" t="s">
        <v>568</v>
      </c>
      <c r="M780" s="125">
        <v>40940</v>
      </c>
      <c r="N780" s="129" t="str">
        <f>IF(M780&gt;1/1/1,"Y","N")</f>
        <v>Y</v>
      </c>
      <c r="O780" s="128" t="s">
        <v>585</v>
      </c>
      <c r="P780" s="129" t="s">
        <v>39</v>
      </c>
      <c r="Q780" s="111">
        <f t="shared" si="602"/>
        <v>2</v>
      </c>
      <c r="R780" s="111">
        <f t="shared" si="577"/>
        <v>141</v>
      </c>
      <c r="S780" s="129">
        <v>1</v>
      </c>
      <c r="T780" s="129">
        <v>0</v>
      </c>
      <c r="V780" s="117">
        <v>1</v>
      </c>
      <c r="W780" s="111"/>
      <c r="AC780" s="130"/>
      <c r="AD780" s="130">
        <v>28406</v>
      </c>
      <c r="AE780" s="128" t="s">
        <v>32</v>
      </c>
      <c r="AF780" s="128" t="s">
        <v>69</v>
      </c>
      <c r="AG780" s="128" t="s">
        <v>874</v>
      </c>
      <c r="AH780" s="108" t="s">
        <v>58</v>
      </c>
      <c r="AI780" s="128" t="s">
        <v>90</v>
      </c>
      <c r="AJ780" s="129" t="s">
        <v>89</v>
      </c>
      <c r="AK780" s="129">
        <v>9</v>
      </c>
      <c r="AL780" s="3" t="s">
        <v>991</v>
      </c>
      <c r="AO780" s="128">
        <v>90</v>
      </c>
      <c r="AP780" s="129" t="s">
        <v>43</v>
      </c>
      <c r="AR780" s="128" t="s">
        <v>44</v>
      </c>
      <c r="AS780" s="129" t="s">
        <v>45</v>
      </c>
      <c r="BC780" s="129" t="s">
        <v>52</v>
      </c>
      <c r="BF780" s="111">
        <f t="shared" si="605"/>
        <v>2</v>
      </c>
      <c r="BG780" s="111">
        <f t="shared" si="603"/>
        <v>141</v>
      </c>
      <c r="BH780" s="111">
        <f t="shared" si="578"/>
        <v>141</v>
      </c>
      <c r="BI780" s="111">
        <f t="shared" si="579"/>
        <v>34.243169398907106</v>
      </c>
      <c r="BJ780" s="129">
        <f>(G780-J780)+(M780-G780)</f>
        <v>0</v>
      </c>
      <c r="BK780" s="129">
        <f t="shared" si="580"/>
        <v>-139</v>
      </c>
      <c r="BL780" s="129" t="str">
        <f t="shared" si="567"/>
        <v>CONVICTION</v>
      </c>
      <c r="BM780" s="129" t="s">
        <v>76</v>
      </c>
      <c r="BN780" s="129" t="s">
        <v>88</v>
      </c>
      <c r="BP780" s="137" t="str">
        <f t="shared" si="584"/>
        <v>CONVICTION</v>
      </c>
      <c r="BQ780" s="128" t="str">
        <f t="shared" si="585"/>
        <v>Y</v>
      </c>
      <c r="BR780" s="129" t="str">
        <f>IF(J780&lt;G780,"ON BOND",0)</f>
        <v>ON BOND</v>
      </c>
      <c r="BS780" s="129" t="str">
        <f t="shared" si="587"/>
        <v>DISPOSED</v>
      </c>
      <c r="BT780" s="129" t="str">
        <f t="shared" si="588"/>
        <v>Y</v>
      </c>
      <c r="BU780" s="109">
        <f t="shared" si="589"/>
        <v>1.4184397163120567E-2</v>
      </c>
      <c r="BV780" s="109">
        <f t="shared" si="590"/>
        <v>1.4184397163120567E-2</v>
      </c>
      <c r="BW780" s="109">
        <f t="shared" si="570"/>
        <v>0</v>
      </c>
      <c r="BX780" s="111">
        <f t="shared" si="591"/>
        <v>0</v>
      </c>
      <c r="BY780" s="129">
        <f t="shared" si="592"/>
        <v>-2</v>
      </c>
      <c r="BZ780" s="111">
        <f t="shared" si="593"/>
        <v>0</v>
      </c>
      <c r="CA780" s="138">
        <f t="shared" si="594"/>
        <v>2</v>
      </c>
      <c r="CB780" s="111" t="e">
        <f t="shared" si="604"/>
        <v>#VALUE!</v>
      </c>
      <c r="CC780" s="129">
        <f>M780-I780+1</f>
        <v>2</v>
      </c>
      <c r="CD780" s="111">
        <f>CC780-BF780</f>
        <v>0</v>
      </c>
      <c r="CE780" s="129">
        <f t="shared" si="595"/>
        <v>139</v>
      </c>
      <c r="CG780" s="129" t="str">
        <f t="shared" si="596"/>
        <v>Y</v>
      </c>
      <c r="CI780" s="129" t="str">
        <f t="shared" si="597"/>
        <v>0-10 DAYS</v>
      </c>
      <c r="CJ780" s="137">
        <f t="shared" si="598"/>
        <v>1</v>
      </c>
      <c r="CK780" s="129" t="str">
        <f t="shared" si="599"/>
        <v>Booked</v>
      </c>
    </row>
    <row r="781" spans="1:89" ht="15.75" customHeight="1" x14ac:dyDescent="0.25">
      <c r="A781" s="111">
        <v>667</v>
      </c>
      <c r="B781" s="128" t="str">
        <f t="shared" si="581"/>
        <v>N</v>
      </c>
      <c r="C781" s="128" t="str">
        <f t="shared" si="582"/>
        <v>N</v>
      </c>
      <c r="D781" s="117">
        <v>1517988</v>
      </c>
      <c r="E781" s="135">
        <f t="shared" si="583"/>
        <v>6</v>
      </c>
      <c r="F781" s="124">
        <v>40935</v>
      </c>
      <c r="G781" s="125">
        <v>41646</v>
      </c>
      <c r="H781" s="117">
        <v>1517988</v>
      </c>
      <c r="I781" s="124">
        <v>40935</v>
      </c>
      <c r="J781" s="125">
        <v>41646</v>
      </c>
      <c r="K781" s="126" t="s">
        <v>564</v>
      </c>
      <c r="L781" s="127" t="s">
        <v>564</v>
      </c>
      <c r="N781" s="129" t="s">
        <v>566</v>
      </c>
      <c r="O781" s="128" t="s">
        <v>917</v>
      </c>
      <c r="P781" s="129" t="s">
        <v>968</v>
      </c>
      <c r="Q781" s="111">
        <f>BF781</f>
        <v>712</v>
      </c>
      <c r="R781" s="111">
        <f t="shared" si="577"/>
        <v>712</v>
      </c>
      <c r="S781" s="129">
        <v>2</v>
      </c>
      <c r="T781" s="129">
        <v>0</v>
      </c>
      <c r="U781" s="129">
        <v>2</v>
      </c>
      <c r="W781" s="111"/>
      <c r="AC781" s="130"/>
      <c r="AD781" s="130">
        <v>28775</v>
      </c>
      <c r="AE781" s="128" t="s">
        <v>32</v>
      </c>
      <c r="AF781" s="128" t="s">
        <v>40</v>
      </c>
      <c r="AG781" s="128" t="s">
        <v>41</v>
      </c>
      <c r="AH781" s="108" t="s">
        <v>41</v>
      </c>
      <c r="AI781" s="128" t="s">
        <v>100</v>
      </c>
      <c r="AJ781" s="129" t="s">
        <v>89</v>
      </c>
      <c r="AK781" s="129">
        <v>15</v>
      </c>
      <c r="AL781" s="3" t="s">
        <v>362</v>
      </c>
      <c r="AM781" s="117">
        <v>30</v>
      </c>
      <c r="AP781" s="129" t="s">
        <v>132</v>
      </c>
      <c r="AR781" s="128" t="s">
        <v>92</v>
      </c>
      <c r="AS781" s="129" t="s">
        <v>82</v>
      </c>
      <c r="BC781" s="129" t="s">
        <v>52</v>
      </c>
      <c r="BF781" s="111">
        <f t="shared" si="605"/>
        <v>712</v>
      </c>
      <c r="BG781" s="111">
        <f t="shared" si="603"/>
        <v>712</v>
      </c>
      <c r="BH781" s="111">
        <f t="shared" si="578"/>
        <v>712</v>
      </c>
      <c r="BI781" s="111">
        <f t="shared" si="579"/>
        <v>33.224043715846996</v>
      </c>
      <c r="BJ781" s="129">
        <f t="shared" ref="BJ781" si="606">G781-J781-M781</f>
        <v>0</v>
      </c>
      <c r="BK781" s="129">
        <f t="shared" si="580"/>
        <v>0</v>
      </c>
      <c r="BL781" s="129" t="str">
        <f t="shared" si="567"/>
        <v>CONVICTION</v>
      </c>
      <c r="BM781" s="129" t="str">
        <f t="shared" ref="BM781" si="607">O781</f>
        <v>NONE</v>
      </c>
      <c r="BN781" s="129" t="s">
        <v>566</v>
      </c>
      <c r="BP781" s="137" t="str">
        <f t="shared" si="584"/>
        <v>CONVICTION</v>
      </c>
      <c r="BQ781" s="128" t="str">
        <f t="shared" si="585"/>
        <v>Y</v>
      </c>
      <c r="BR781" s="129" t="s">
        <v>574</v>
      </c>
      <c r="BS781" s="129" t="s">
        <v>1259</v>
      </c>
      <c r="BT781" s="129" t="str">
        <f t="shared" si="588"/>
        <v>Y</v>
      </c>
      <c r="BU781" s="109">
        <f>IFERROR(Q781/R781,BR781)</f>
        <v>1</v>
      </c>
      <c r="BV781" s="109">
        <f t="shared" si="590"/>
        <v>1</v>
      </c>
      <c r="BW781" s="109">
        <f t="shared" si="570"/>
        <v>0</v>
      </c>
      <c r="BX781" s="111">
        <f t="shared" si="591"/>
        <v>0</v>
      </c>
      <c r="BY781" s="129">
        <f t="shared" si="592"/>
        <v>-712</v>
      </c>
      <c r="BZ781" s="111">
        <f t="shared" si="593"/>
        <v>0</v>
      </c>
      <c r="CA781" s="138">
        <f t="shared" si="594"/>
        <v>712</v>
      </c>
      <c r="CB781" s="111" t="e">
        <f t="shared" si="604"/>
        <v>#VALUE!</v>
      </c>
      <c r="CC781" s="129">
        <f>G781-I781+1</f>
        <v>712</v>
      </c>
      <c r="CD781" s="129">
        <f>G781-J781</f>
        <v>0</v>
      </c>
      <c r="CE781" s="129">
        <f t="shared" si="595"/>
        <v>0</v>
      </c>
      <c r="CG781" s="129" t="str">
        <f t="shared" si="596"/>
        <v>Y</v>
      </c>
      <c r="CH781" s="129" t="e">
        <v>#N/A</v>
      </c>
      <c r="CI781" s="129" t="str">
        <f t="shared" si="597"/>
        <v xml:space="preserve"> &gt;1YRS&lt;2YRS</v>
      </c>
      <c r="CJ781" s="137">
        <f t="shared" si="598"/>
        <v>0</v>
      </c>
      <c r="CK781" s="129" t="str">
        <f t="shared" si="599"/>
        <v>Booked</v>
      </c>
    </row>
    <row r="782" spans="1:89" ht="15.75" customHeight="1" x14ac:dyDescent="0.25">
      <c r="A782" s="111">
        <v>1211</v>
      </c>
      <c r="B782" s="128" t="str">
        <f t="shared" si="581"/>
        <v>N</v>
      </c>
      <c r="C782" s="128" t="str">
        <f t="shared" si="582"/>
        <v>N</v>
      </c>
      <c r="D782" s="117">
        <v>1519478</v>
      </c>
      <c r="E782" s="135">
        <f t="shared" si="583"/>
        <v>4</v>
      </c>
      <c r="F782" s="124">
        <v>40953</v>
      </c>
      <c r="G782" s="125">
        <v>40991</v>
      </c>
      <c r="H782" s="117">
        <v>1519478</v>
      </c>
      <c r="I782" s="124">
        <v>40980</v>
      </c>
      <c r="J782" s="124">
        <v>40991</v>
      </c>
      <c r="K782" s="126">
        <v>15000</v>
      </c>
      <c r="L782" s="127" t="s">
        <v>571</v>
      </c>
      <c r="N782" s="129" t="str">
        <f>IF(M782&gt;1/1/1,"Y","N")</f>
        <v>N</v>
      </c>
      <c r="O782" s="128" t="s">
        <v>917</v>
      </c>
      <c r="P782" s="129" t="s">
        <v>39</v>
      </c>
      <c r="Q782" s="111">
        <f t="shared" si="602"/>
        <v>12</v>
      </c>
      <c r="R782" s="111">
        <f t="shared" si="577"/>
        <v>39</v>
      </c>
      <c r="S782" s="129">
        <v>6</v>
      </c>
      <c r="T782" s="129">
        <v>0</v>
      </c>
      <c r="U782" s="129">
        <v>2</v>
      </c>
      <c r="V782" s="117">
        <v>1</v>
      </c>
      <c r="W782" s="111"/>
      <c r="AC782" s="130"/>
      <c r="AD782" s="130">
        <v>28089</v>
      </c>
      <c r="AE782" s="128" t="s">
        <v>32</v>
      </c>
      <c r="AF782" s="128" t="s">
        <v>33</v>
      </c>
      <c r="AG782" s="128" t="s">
        <v>872</v>
      </c>
      <c r="AH782" s="108" t="s">
        <v>58</v>
      </c>
      <c r="AI782" s="128" t="s">
        <v>80</v>
      </c>
      <c r="AJ782" s="129" t="s">
        <v>89</v>
      </c>
      <c r="AK782" s="129">
        <v>4</v>
      </c>
      <c r="AL782" s="3" t="s">
        <v>991</v>
      </c>
      <c r="AO782" s="128">
        <v>60</v>
      </c>
      <c r="AP782" s="129" t="s">
        <v>108</v>
      </c>
      <c r="AR782" s="128" t="s">
        <v>44</v>
      </c>
      <c r="AS782" s="129" t="s">
        <v>61</v>
      </c>
      <c r="BC782" s="129" t="s">
        <v>52</v>
      </c>
      <c r="BF782" s="111">
        <f t="shared" si="605"/>
        <v>12</v>
      </c>
      <c r="BG782" s="111">
        <f t="shared" si="603"/>
        <v>12</v>
      </c>
      <c r="BH782" s="111">
        <f t="shared" si="578"/>
        <v>39</v>
      </c>
      <c r="BI782" s="111">
        <f t="shared" si="579"/>
        <v>35.147540983606561</v>
      </c>
      <c r="BJ782" s="129">
        <f t="shared" si="600"/>
        <v>0</v>
      </c>
      <c r="BK782" s="129">
        <f t="shared" si="580"/>
        <v>0</v>
      </c>
      <c r="BL782" s="129" t="str">
        <f t="shared" si="567"/>
        <v>CONVICTION</v>
      </c>
      <c r="BM782" s="129" t="str">
        <f t="shared" si="601"/>
        <v>NONE</v>
      </c>
      <c r="BN782" s="129" t="s">
        <v>566</v>
      </c>
      <c r="BP782" s="137" t="str">
        <f t="shared" si="584"/>
        <v>CONVICTION</v>
      </c>
      <c r="BQ782" s="128" t="str">
        <f t="shared" si="585"/>
        <v>Y</v>
      </c>
      <c r="BR782" s="129" t="str">
        <f t="shared" si="586"/>
        <v>DETAINED</v>
      </c>
      <c r="BS782" s="129" t="str">
        <f t="shared" si="587"/>
        <v>DISPOSED</v>
      </c>
      <c r="BT782" s="129" t="str">
        <f t="shared" si="588"/>
        <v>Y</v>
      </c>
      <c r="BU782" s="109">
        <f t="shared" si="589"/>
        <v>0.30769230769230771</v>
      </c>
      <c r="BV782" s="109">
        <f t="shared" si="590"/>
        <v>1</v>
      </c>
      <c r="BW782" s="109">
        <f t="shared" si="570"/>
        <v>0.69230769230769229</v>
      </c>
      <c r="BX782" s="111">
        <f t="shared" si="591"/>
        <v>0</v>
      </c>
      <c r="BY782" s="129">
        <f t="shared" si="592"/>
        <v>-12</v>
      </c>
      <c r="BZ782" s="111">
        <f t="shared" si="593"/>
        <v>0</v>
      </c>
      <c r="CA782" s="138">
        <f t="shared" si="594"/>
        <v>12</v>
      </c>
      <c r="CB782" s="111" t="e">
        <f t="shared" si="604"/>
        <v>#VALUE!</v>
      </c>
      <c r="CC782" s="129">
        <f>G782-I782+1</f>
        <v>12</v>
      </c>
      <c r="CD782" s="129">
        <f>G782-J782</f>
        <v>0</v>
      </c>
      <c r="CE782" s="129">
        <f t="shared" si="595"/>
        <v>0</v>
      </c>
      <c r="CG782" s="129" t="str">
        <f t="shared" si="596"/>
        <v>Y</v>
      </c>
      <c r="CI782" s="129" t="str">
        <f t="shared" si="597"/>
        <v>11-30 DAYS</v>
      </c>
      <c r="CJ782" s="137">
        <f t="shared" si="598"/>
        <v>2</v>
      </c>
      <c r="CK782" s="129" t="str">
        <f t="shared" si="599"/>
        <v>Booked</v>
      </c>
    </row>
    <row r="783" spans="1:89" ht="15" customHeight="1" x14ac:dyDescent="0.25">
      <c r="A783" s="111">
        <v>2782</v>
      </c>
      <c r="B783" s="128" t="str">
        <f t="shared" si="581"/>
        <v>N</v>
      </c>
      <c r="C783" s="128" t="str">
        <f t="shared" si="582"/>
        <v>N</v>
      </c>
      <c r="D783" s="117">
        <v>1519594</v>
      </c>
      <c r="E783" s="135">
        <f t="shared" si="583"/>
        <v>6</v>
      </c>
      <c r="F783" s="124">
        <v>41011</v>
      </c>
      <c r="G783" s="125">
        <v>41072</v>
      </c>
      <c r="H783" s="117">
        <v>1519594</v>
      </c>
      <c r="I783" s="124">
        <v>41012</v>
      </c>
      <c r="J783" s="124">
        <v>41072</v>
      </c>
      <c r="K783" s="126" t="s">
        <v>564</v>
      </c>
      <c r="L783" s="127" t="s">
        <v>564</v>
      </c>
      <c r="N783" s="129" t="s">
        <v>566</v>
      </c>
      <c r="O783" s="128" t="s">
        <v>917</v>
      </c>
      <c r="P783" s="129" t="s">
        <v>39</v>
      </c>
      <c r="Q783" s="111">
        <f t="shared" si="602"/>
        <v>61</v>
      </c>
      <c r="R783" s="111">
        <f t="shared" si="577"/>
        <v>62</v>
      </c>
      <c r="S783" s="129">
        <v>4</v>
      </c>
      <c r="T783" s="129">
        <v>3</v>
      </c>
      <c r="U783" s="129">
        <v>3</v>
      </c>
      <c r="W783" s="111"/>
      <c r="AB783" s="131" t="s">
        <v>112</v>
      </c>
      <c r="AC783" s="130"/>
      <c r="AD783" s="130">
        <v>28493</v>
      </c>
      <c r="AE783" s="128" t="s">
        <v>32</v>
      </c>
      <c r="AF783" s="128" t="s">
        <v>40</v>
      </c>
      <c r="AG783" s="128" t="s">
        <v>41</v>
      </c>
      <c r="AH783" s="108" t="s">
        <v>31</v>
      </c>
      <c r="AI783" s="128" t="s">
        <v>114</v>
      </c>
      <c r="AJ783" s="129" t="s">
        <v>89</v>
      </c>
      <c r="AK783" s="129">
        <v>3</v>
      </c>
      <c r="AL783" s="3" t="s">
        <v>362</v>
      </c>
      <c r="AM783" s="117">
        <v>9</v>
      </c>
      <c r="AP783" s="129" t="s">
        <v>49</v>
      </c>
      <c r="AR783" s="128" t="s">
        <v>50</v>
      </c>
      <c r="AS783" s="129" t="s">
        <v>45</v>
      </c>
      <c r="BC783" s="129" t="s">
        <v>52</v>
      </c>
      <c r="BF783" s="111">
        <f t="shared" si="605"/>
        <v>61</v>
      </c>
      <c r="BG783" s="111">
        <f t="shared" si="603"/>
        <v>61</v>
      </c>
      <c r="BH783" s="111">
        <f t="shared" si="578"/>
        <v>62</v>
      </c>
      <c r="BI783" s="111">
        <f t="shared" si="579"/>
        <v>34.202185792349724</v>
      </c>
      <c r="BJ783" s="129">
        <f t="shared" si="600"/>
        <v>0</v>
      </c>
      <c r="BK783" s="129">
        <f t="shared" si="580"/>
        <v>0</v>
      </c>
      <c r="BL783" s="129" t="str">
        <f t="shared" si="567"/>
        <v>CONVICTION</v>
      </c>
      <c r="BM783" s="129" t="str">
        <f t="shared" si="601"/>
        <v>NONE</v>
      </c>
      <c r="BN783" s="129" t="s">
        <v>566</v>
      </c>
      <c r="BP783" s="137" t="str">
        <f t="shared" si="584"/>
        <v>CONVICTION</v>
      </c>
      <c r="BQ783" s="128" t="str">
        <f t="shared" si="585"/>
        <v>Y</v>
      </c>
      <c r="BR783" s="129" t="str">
        <f t="shared" si="586"/>
        <v>DETAINED</v>
      </c>
      <c r="BS783" s="129" t="str">
        <f t="shared" si="587"/>
        <v>DISPOSED</v>
      </c>
      <c r="BT783" s="129" t="str">
        <f t="shared" si="588"/>
        <v>Y</v>
      </c>
      <c r="BU783" s="109">
        <f t="shared" si="589"/>
        <v>0.9838709677419355</v>
      </c>
      <c r="BV783" s="109">
        <f t="shared" si="590"/>
        <v>1</v>
      </c>
      <c r="BW783" s="109">
        <f t="shared" si="570"/>
        <v>1.6129032258064502E-2</v>
      </c>
      <c r="BX783" s="111">
        <f t="shared" si="591"/>
        <v>0</v>
      </c>
      <c r="BY783" s="129">
        <f t="shared" si="592"/>
        <v>-61</v>
      </c>
      <c r="BZ783" s="111">
        <f t="shared" si="593"/>
        <v>0</v>
      </c>
      <c r="CA783" s="138">
        <f t="shared" si="594"/>
        <v>61</v>
      </c>
      <c r="CB783" s="111" t="e">
        <f t="shared" si="604"/>
        <v>#VALUE!</v>
      </c>
      <c r="CC783" s="129">
        <f>G783-I783+1</f>
        <v>61</v>
      </c>
      <c r="CD783" s="129">
        <f>G783-J783</f>
        <v>0</v>
      </c>
      <c r="CE783" s="129">
        <f t="shared" si="595"/>
        <v>0</v>
      </c>
      <c r="CG783" s="129" t="str">
        <f t="shared" si="596"/>
        <v>Y</v>
      </c>
      <c r="CI783" s="129" t="str">
        <f t="shared" si="597"/>
        <v>61-90 DAYS</v>
      </c>
      <c r="CJ783" s="137">
        <f t="shared" si="598"/>
        <v>4</v>
      </c>
      <c r="CK783" s="129" t="str">
        <f t="shared" si="599"/>
        <v>Booked</v>
      </c>
    </row>
    <row r="784" spans="1:89" ht="15.75" customHeight="1" x14ac:dyDescent="0.25">
      <c r="A784" s="111">
        <v>1132</v>
      </c>
      <c r="B784" s="128" t="str">
        <f t="shared" si="581"/>
        <v>N</v>
      </c>
      <c r="C784" s="128" t="str">
        <f t="shared" si="582"/>
        <v>N</v>
      </c>
      <c r="D784" s="117">
        <v>1521731</v>
      </c>
      <c r="E784" s="135">
        <f t="shared" si="583"/>
        <v>4</v>
      </c>
      <c r="F784" s="124">
        <v>40949</v>
      </c>
      <c r="G784" s="125">
        <v>41017</v>
      </c>
      <c r="H784" s="117">
        <v>1521731</v>
      </c>
      <c r="I784" s="124">
        <v>40950</v>
      </c>
      <c r="J784" s="124">
        <v>41017</v>
      </c>
      <c r="K784" s="126" t="s">
        <v>564</v>
      </c>
      <c r="L784" s="127" t="s">
        <v>564</v>
      </c>
      <c r="N784" s="129" t="s">
        <v>566</v>
      </c>
      <c r="O784" s="128" t="s">
        <v>917</v>
      </c>
      <c r="P784" s="129" t="s">
        <v>39</v>
      </c>
      <c r="Q784" s="111">
        <f t="shared" si="602"/>
        <v>68</v>
      </c>
      <c r="R784" s="111">
        <f t="shared" si="577"/>
        <v>69</v>
      </c>
      <c r="S784" s="129">
        <v>0</v>
      </c>
      <c r="T784" s="129">
        <v>3</v>
      </c>
      <c r="W784" s="111"/>
      <c r="AC784" s="130"/>
      <c r="AD784" s="130">
        <v>28082</v>
      </c>
      <c r="AE784" s="128" t="s">
        <v>32</v>
      </c>
      <c r="AF784" s="128" t="s">
        <v>33</v>
      </c>
      <c r="AG784" s="128" t="s">
        <v>872</v>
      </c>
      <c r="AH784" s="108" t="s">
        <v>31</v>
      </c>
      <c r="AI784" s="128" t="s">
        <v>65</v>
      </c>
      <c r="AJ784" s="129" t="s">
        <v>89</v>
      </c>
      <c r="AK784" s="129">
        <v>4</v>
      </c>
      <c r="AL784" s="3" t="s">
        <v>991</v>
      </c>
      <c r="AO784" s="128">
        <v>270</v>
      </c>
      <c r="AP784" s="129" t="s">
        <v>110</v>
      </c>
      <c r="AR784" s="128" t="s">
        <v>50</v>
      </c>
      <c r="AS784" s="129" t="s">
        <v>74</v>
      </c>
      <c r="AT784" s="129" t="s">
        <v>293</v>
      </c>
      <c r="BC784" s="129" t="s">
        <v>52</v>
      </c>
      <c r="BF784" s="111">
        <f t="shared" si="605"/>
        <v>68</v>
      </c>
      <c r="BG784" s="111">
        <f t="shared" si="603"/>
        <v>68</v>
      </c>
      <c r="BH784" s="111">
        <f t="shared" si="578"/>
        <v>69</v>
      </c>
      <c r="BI784" s="111">
        <f t="shared" si="579"/>
        <v>35.155737704918032</v>
      </c>
      <c r="BJ784" s="129">
        <f t="shared" si="600"/>
        <v>0</v>
      </c>
      <c r="BK784" s="129">
        <f t="shared" si="580"/>
        <v>0</v>
      </c>
      <c r="BL784" s="129" t="str">
        <f t="shared" si="567"/>
        <v>CONVICTION</v>
      </c>
      <c r="BM784" s="129" t="str">
        <f t="shared" si="601"/>
        <v>NONE</v>
      </c>
      <c r="BN784" s="129" t="s">
        <v>566</v>
      </c>
      <c r="BP784" s="137" t="str">
        <f t="shared" si="584"/>
        <v>CONVICTION</v>
      </c>
      <c r="BQ784" s="128" t="str">
        <f t="shared" si="585"/>
        <v>Y</v>
      </c>
      <c r="BR784" s="129" t="str">
        <f t="shared" si="586"/>
        <v>DETAINED</v>
      </c>
      <c r="BS784" s="129" t="str">
        <f t="shared" si="587"/>
        <v>DISPOSED</v>
      </c>
      <c r="BT784" s="129" t="str">
        <f t="shared" si="588"/>
        <v>N</v>
      </c>
      <c r="BU784" s="109">
        <f t="shared" si="589"/>
        <v>0.98550724637681164</v>
      </c>
      <c r="BV784" s="109">
        <f t="shared" si="590"/>
        <v>1</v>
      </c>
      <c r="BW784" s="109">
        <f t="shared" si="570"/>
        <v>1.4492753623188359E-2</v>
      </c>
      <c r="BX784" s="111">
        <f t="shared" si="591"/>
        <v>0</v>
      </c>
      <c r="BY784" s="129">
        <f t="shared" si="592"/>
        <v>-68</v>
      </c>
      <c r="BZ784" s="111">
        <f t="shared" si="593"/>
        <v>0</v>
      </c>
      <c r="CA784" s="138">
        <f t="shared" si="594"/>
        <v>68</v>
      </c>
      <c r="CB784" s="111" t="e">
        <f t="shared" si="604"/>
        <v>#VALUE!</v>
      </c>
      <c r="CC784" s="129">
        <f>G784-I784+1</f>
        <v>68</v>
      </c>
      <c r="CD784" s="129">
        <f>G784-J784</f>
        <v>0</v>
      </c>
      <c r="CE784" s="129">
        <f t="shared" si="595"/>
        <v>0</v>
      </c>
      <c r="CG784" s="129" t="str">
        <f t="shared" si="596"/>
        <v>Y</v>
      </c>
      <c r="CI784" s="129" t="str">
        <f t="shared" si="597"/>
        <v>61-90 DAYS</v>
      </c>
      <c r="CJ784" s="137">
        <f t="shared" si="598"/>
        <v>4</v>
      </c>
      <c r="CK784" s="129" t="str">
        <f t="shared" si="599"/>
        <v>Booked</v>
      </c>
    </row>
    <row r="785" spans="1:89" ht="15" customHeight="1" x14ac:dyDescent="0.25">
      <c r="A785" s="111">
        <v>2245</v>
      </c>
      <c r="B785" s="128" t="str">
        <f t="shared" si="581"/>
        <v>N</v>
      </c>
      <c r="C785" s="128" t="str">
        <f t="shared" si="582"/>
        <v>N</v>
      </c>
      <c r="D785" s="146">
        <v>1521781</v>
      </c>
      <c r="E785" s="135">
        <f t="shared" si="583"/>
        <v>1</v>
      </c>
      <c r="F785" s="124">
        <v>40994</v>
      </c>
      <c r="G785" s="125">
        <v>41129</v>
      </c>
      <c r="H785" s="146">
        <v>1521781</v>
      </c>
      <c r="I785" s="124">
        <v>40993</v>
      </c>
      <c r="J785" s="124">
        <v>40996</v>
      </c>
      <c r="K785" s="126">
        <v>35000</v>
      </c>
      <c r="L785" s="129" t="s">
        <v>572</v>
      </c>
      <c r="M785" s="125">
        <v>40996</v>
      </c>
      <c r="N785" s="129" t="str">
        <f>IF(M785&gt;1/1/1,"Y","N")</f>
        <v>Y</v>
      </c>
      <c r="O785" s="128" t="s">
        <v>76</v>
      </c>
      <c r="P785" s="129" t="s">
        <v>55</v>
      </c>
      <c r="Q785" s="111">
        <f t="shared" si="602"/>
        <v>4</v>
      </c>
      <c r="R785" s="111">
        <f t="shared" si="577"/>
        <v>136</v>
      </c>
      <c r="S785" s="129">
        <v>0</v>
      </c>
      <c r="T785" s="129">
        <v>6</v>
      </c>
      <c r="W785" s="111"/>
      <c r="AC785" s="130"/>
      <c r="AD785" s="130">
        <v>28775</v>
      </c>
      <c r="AE785" s="128" t="s">
        <v>32</v>
      </c>
      <c r="AF785" s="128" t="s">
        <v>40</v>
      </c>
      <c r="AG785" s="128" t="s">
        <v>41</v>
      </c>
      <c r="AH785" s="108" t="s">
        <v>41</v>
      </c>
      <c r="AI785" s="128" t="s">
        <v>113</v>
      </c>
      <c r="AJ785" s="129" t="s">
        <v>55</v>
      </c>
      <c r="AK785" s="129">
        <v>7</v>
      </c>
      <c r="AL785" s="3" t="s">
        <v>55</v>
      </c>
      <c r="AP785" s="129" t="s">
        <v>155</v>
      </c>
      <c r="AR785" s="128" t="s">
        <v>44</v>
      </c>
      <c r="AS785" s="129" t="s">
        <v>64</v>
      </c>
      <c r="AT785" s="129" t="s">
        <v>421</v>
      </c>
      <c r="BC785" s="129" t="s">
        <v>52</v>
      </c>
      <c r="BF785" s="111">
        <f t="shared" si="605"/>
        <v>4</v>
      </c>
      <c r="BG785" s="111">
        <f t="shared" si="603"/>
        <v>137</v>
      </c>
      <c r="BH785" s="111">
        <f t="shared" si="578"/>
        <v>136</v>
      </c>
      <c r="BI785" s="111">
        <f t="shared" si="579"/>
        <v>33.385245901639344</v>
      </c>
      <c r="BJ785" s="129">
        <f>(G785-J785)+(M785-G785)</f>
        <v>0</v>
      </c>
      <c r="BK785" s="129">
        <f t="shared" si="580"/>
        <v>-133</v>
      </c>
      <c r="BL785" s="129" t="str">
        <f t="shared" si="567"/>
        <v>NO CONVICTION</v>
      </c>
      <c r="BM785" s="129" t="s">
        <v>76</v>
      </c>
      <c r="BN785" s="129" t="s">
        <v>88</v>
      </c>
      <c r="BP785" s="137" t="str">
        <f t="shared" si="584"/>
        <v>NO CONVICTION</v>
      </c>
      <c r="BQ785" s="128" t="str">
        <f t="shared" si="585"/>
        <v>Y</v>
      </c>
      <c r="BR785" s="129" t="str">
        <f t="shared" si="586"/>
        <v>ON BOND</v>
      </c>
      <c r="BS785" s="129" t="str">
        <f t="shared" si="587"/>
        <v>DISPOSED</v>
      </c>
      <c r="BT785" s="129" t="str">
        <f t="shared" si="588"/>
        <v>N</v>
      </c>
      <c r="BU785" s="109">
        <f>IFERROR(Q785/R785,BR785)</f>
        <v>2.9411764705882353E-2</v>
      </c>
      <c r="BV785" s="109">
        <f t="shared" si="590"/>
        <v>2.9411764705882353E-2</v>
      </c>
      <c r="BW785" s="109">
        <f t="shared" si="570"/>
        <v>0</v>
      </c>
      <c r="BX785" s="111">
        <f t="shared" si="591"/>
        <v>0</v>
      </c>
      <c r="BY785" s="129">
        <f t="shared" si="592"/>
        <v>-4</v>
      </c>
      <c r="BZ785" s="111">
        <f t="shared" si="593"/>
        <v>0</v>
      </c>
      <c r="CA785" s="138">
        <f t="shared" si="594"/>
        <v>4</v>
      </c>
      <c r="CB785" s="111" t="e">
        <f t="shared" si="604"/>
        <v>#VALUE!</v>
      </c>
      <c r="CC785" s="129">
        <f>M785-I785+1</f>
        <v>4</v>
      </c>
      <c r="CD785" s="111">
        <f>CC785-BF785</f>
        <v>0</v>
      </c>
      <c r="CE785" s="129">
        <f t="shared" si="595"/>
        <v>133</v>
      </c>
      <c r="CG785" s="129" t="str">
        <f t="shared" si="596"/>
        <v>Y</v>
      </c>
      <c r="CI785" s="129" t="str">
        <f t="shared" si="597"/>
        <v>0-10 DAYS</v>
      </c>
      <c r="CJ785" s="137">
        <f t="shared" si="598"/>
        <v>1</v>
      </c>
      <c r="CK785" s="129" t="str">
        <f t="shared" si="599"/>
        <v>Booked</v>
      </c>
    </row>
    <row r="786" spans="1:89" ht="15.75" customHeight="1" x14ac:dyDescent="0.25">
      <c r="A786" s="111">
        <v>1953</v>
      </c>
      <c r="B786" s="128" t="str">
        <f t="shared" si="581"/>
        <v>N</v>
      </c>
      <c r="C786" s="128" t="str">
        <f t="shared" si="582"/>
        <v>N</v>
      </c>
      <c r="D786" s="117">
        <v>1523246</v>
      </c>
      <c r="E786" s="135">
        <f t="shared" si="583"/>
        <v>5</v>
      </c>
      <c r="F786" s="124">
        <v>40982</v>
      </c>
      <c r="G786" s="125">
        <v>40983</v>
      </c>
      <c r="H786" s="117">
        <v>1523246</v>
      </c>
      <c r="I786" s="124">
        <v>40982</v>
      </c>
      <c r="J786" s="124">
        <v>40983</v>
      </c>
      <c r="K786" s="126">
        <v>15000</v>
      </c>
      <c r="L786" s="127" t="s">
        <v>571</v>
      </c>
      <c r="N786" s="129" t="str">
        <f>IF(M786&gt;1/1/1,"Y","N")</f>
        <v>N</v>
      </c>
      <c r="O786" s="128" t="s">
        <v>917</v>
      </c>
      <c r="P786" s="129" t="s">
        <v>39</v>
      </c>
      <c r="Q786" s="111">
        <f t="shared" si="602"/>
        <v>2</v>
      </c>
      <c r="R786" s="111">
        <f t="shared" si="577"/>
        <v>2</v>
      </c>
      <c r="S786" s="129">
        <v>6</v>
      </c>
      <c r="T786" s="129">
        <v>15</v>
      </c>
      <c r="U786" s="129">
        <v>3</v>
      </c>
      <c r="W786" s="111"/>
      <c r="AC786" s="130"/>
      <c r="AD786" s="130">
        <v>28861</v>
      </c>
      <c r="AE786" s="128" t="s">
        <v>32</v>
      </c>
      <c r="AF786" s="128" t="s">
        <v>33</v>
      </c>
      <c r="AG786" s="128" t="s">
        <v>872</v>
      </c>
      <c r="AH786" s="108" t="s">
        <v>58</v>
      </c>
      <c r="AI786" s="128" t="s">
        <v>71</v>
      </c>
      <c r="AJ786" s="129" t="s">
        <v>89</v>
      </c>
      <c r="AK786" s="129">
        <v>1</v>
      </c>
      <c r="AL786" s="3" t="s">
        <v>992</v>
      </c>
      <c r="AN786" s="117">
        <v>8</v>
      </c>
      <c r="AP786" s="129" t="s">
        <v>127</v>
      </c>
      <c r="AR786" s="128" t="s">
        <v>44</v>
      </c>
      <c r="AS786" s="129" t="s">
        <v>82</v>
      </c>
      <c r="BC786" s="129" t="s">
        <v>38</v>
      </c>
      <c r="BF786" s="111">
        <f t="shared" si="605"/>
        <v>2</v>
      </c>
      <c r="BG786" s="111">
        <f t="shared" si="603"/>
        <v>2</v>
      </c>
      <c r="BH786" s="111">
        <f t="shared" si="578"/>
        <v>2</v>
      </c>
      <c r="BI786" s="111">
        <f t="shared" si="579"/>
        <v>33.117486338797811</v>
      </c>
      <c r="BJ786" s="129">
        <f t="shared" si="600"/>
        <v>0</v>
      </c>
      <c r="BK786" s="129">
        <f t="shared" si="580"/>
        <v>0</v>
      </c>
      <c r="BL786" s="129" t="str">
        <f t="shared" si="567"/>
        <v>CONVICTION</v>
      </c>
      <c r="BM786" s="129" t="str">
        <f t="shared" si="601"/>
        <v>NONE</v>
      </c>
      <c r="BN786" s="129" t="s">
        <v>566</v>
      </c>
      <c r="BP786" s="137" t="str">
        <f t="shared" si="584"/>
        <v>CONVICTION</v>
      </c>
      <c r="BQ786" s="128" t="str">
        <f t="shared" si="585"/>
        <v>Y</v>
      </c>
      <c r="BR786" s="129" t="str">
        <f t="shared" si="586"/>
        <v>DETAINED</v>
      </c>
      <c r="BS786" s="129" t="str">
        <f t="shared" si="587"/>
        <v>DISPOSED</v>
      </c>
      <c r="BT786" s="129" t="str">
        <f t="shared" si="588"/>
        <v>Y</v>
      </c>
      <c r="BU786" s="109">
        <f t="shared" si="589"/>
        <v>1</v>
      </c>
      <c r="BV786" s="109">
        <f t="shared" si="590"/>
        <v>1</v>
      </c>
      <c r="BW786" s="109">
        <f t="shared" si="570"/>
        <v>0</v>
      </c>
      <c r="BX786" s="111">
        <f t="shared" si="591"/>
        <v>0</v>
      </c>
      <c r="BY786" s="129">
        <f t="shared" si="592"/>
        <v>-2</v>
      </c>
      <c r="BZ786" s="111">
        <f t="shared" si="593"/>
        <v>0</v>
      </c>
      <c r="CA786" s="138">
        <f t="shared" si="594"/>
        <v>2</v>
      </c>
      <c r="CB786" s="111" t="e">
        <f t="shared" si="604"/>
        <v>#VALUE!</v>
      </c>
      <c r="CC786" s="129">
        <f>G786-I786+1</f>
        <v>2</v>
      </c>
      <c r="CD786" s="129">
        <f>G786-J786</f>
        <v>0</v>
      </c>
      <c r="CE786" s="129">
        <f t="shared" si="595"/>
        <v>0</v>
      </c>
      <c r="CG786" s="129" t="str">
        <f t="shared" si="596"/>
        <v>Y</v>
      </c>
      <c r="CI786" s="129" t="str">
        <f t="shared" si="597"/>
        <v>0-10 DAYS</v>
      </c>
      <c r="CJ786" s="137">
        <f t="shared" si="598"/>
        <v>1</v>
      </c>
      <c r="CK786" s="129" t="str">
        <f t="shared" si="599"/>
        <v>Booked</v>
      </c>
    </row>
    <row r="787" spans="1:89" ht="15.75" customHeight="1" x14ac:dyDescent="0.25">
      <c r="A787" s="111">
        <v>1203</v>
      </c>
      <c r="B787" s="128" t="str">
        <f t="shared" si="581"/>
        <v>N</v>
      </c>
      <c r="C787" s="128" t="str">
        <f t="shared" si="582"/>
        <v>N</v>
      </c>
      <c r="D787" s="117">
        <v>1523835</v>
      </c>
      <c r="E787" s="135">
        <f t="shared" si="583"/>
        <v>2</v>
      </c>
      <c r="F787" s="124">
        <v>40953</v>
      </c>
      <c r="G787" s="125">
        <v>41316</v>
      </c>
      <c r="H787" s="117">
        <v>1523835</v>
      </c>
      <c r="I787" s="124">
        <v>40953</v>
      </c>
      <c r="J787" s="124">
        <v>40956</v>
      </c>
      <c r="K787" s="126">
        <v>60000</v>
      </c>
      <c r="L787" s="129" t="s">
        <v>572</v>
      </c>
      <c r="M787" s="125">
        <v>40956</v>
      </c>
      <c r="N787" s="129" t="str">
        <f>IF(M787&gt;1/1/1,"Y","N")</f>
        <v>Y</v>
      </c>
      <c r="O787" s="128" t="s">
        <v>76</v>
      </c>
      <c r="P787" s="129" t="s">
        <v>589</v>
      </c>
      <c r="Q787" s="111">
        <f t="shared" si="602"/>
        <v>4</v>
      </c>
      <c r="R787" s="111">
        <f t="shared" si="577"/>
        <v>364</v>
      </c>
      <c r="S787" s="129">
        <v>0</v>
      </c>
      <c r="T787" s="129">
        <v>1</v>
      </c>
      <c r="W787" s="111"/>
      <c r="AC787" s="130"/>
      <c r="AD787" s="130">
        <v>27771</v>
      </c>
      <c r="AE787" s="128" t="s">
        <v>32</v>
      </c>
      <c r="AF787" s="128" t="s">
        <v>40</v>
      </c>
      <c r="AG787" s="128" t="s">
        <v>41</v>
      </c>
      <c r="AH787" s="108" t="s">
        <v>41</v>
      </c>
      <c r="AI787" s="128" t="s">
        <v>62</v>
      </c>
      <c r="AJ787" s="129" t="s">
        <v>48</v>
      </c>
      <c r="AK787" s="129">
        <v>14</v>
      </c>
      <c r="AL787" s="3" t="s">
        <v>48</v>
      </c>
      <c r="AP787" s="129" t="s">
        <v>129</v>
      </c>
      <c r="AR787" s="128" t="s">
        <v>92</v>
      </c>
      <c r="AS787" s="129" t="s">
        <v>126</v>
      </c>
      <c r="AW787" s="123"/>
      <c r="AX787" s="123"/>
      <c r="BC787" s="129" t="s">
        <v>52</v>
      </c>
      <c r="BF787" s="111">
        <f t="shared" si="605"/>
        <v>4</v>
      </c>
      <c r="BG787" s="111">
        <f t="shared" si="603"/>
        <v>364</v>
      </c>
      <c r="BH787" s="111">
        <f t="shared" si="578"/>
        <v>364</v>
      </c>
      <c r="BI787" s="111">
        <f t="shared" si="579"/>
        <v>36.016393442622949</v>
      </c>
      <c r="BJ787" s="129">
        <f>(G787-J787)+(M787-G787)</f>
        <v>0</v>
      </c>
      <c r="BK787" s="129">
        <f t="shared" si="580"/>
        <v>-360</v>
      </c>
      <c r="BL787" s="129" t="str">
        <f t="shared" si="567"/>
        <v>DEFERRED</v>
      </c>
      <c r="BM787" s="129" t="s">
        <v>76</v>
      </c>
      <c r="BN787" s="129" t="s">
        <v>88</v>
      </c>
      <c r="BP787" s="137" t="str">
        <f t="shared" si="584"/>
        <v>DEFERRED</v>
      </c>
      <c r="BQ787" s="128" t="str">
        <f t="shared" si="585"/>
        <v>Y</v>
      </c>
      <c r="BR787" s="129" t="str">
        <f t="shared" si="586"/>
        <v>ON BOND</v>
      </c>
      <c r="BS787" s="129" t="str">
        <f t="shared" si="587"/>
        <v>DISPOSED</v>
      </c>
      <c r="BT787" s="129" t="str">
        <f t="shared" si="588"/>
        <v>N</v>
      </c>
      <c r="BU787" s="109">
        <f t="shared" si="589"/>
        <v>1.098901098901099E-2</v>
      </c>
      <c r="BV787" s="109">
        <f t="shared" si="590"/>
        <v>1.098901098901099E-2</v>
      </c>
      <c r="BW787" s="109">
        <f t="shared" si="570"/>
        <v>0</v>
      </c>
      <c r="BX787" s="111">
        <f t="shared" si="591"/>
        <v>0</v>
      </c>
      <c r="BY787" s="129">
        <f t="shared" si="592"/>
        <v>-4</v>
      </c>
      <c r="BZ787" s="111">
        <f t="shared" si="593"/>
        <v>0</v>
      </c>
      <c r="CA787" s="138">
        <f t="shared" si="594"/>
        <v>4</v>
      </c>
      <c r="CB787" s="111" t="e">
        <f t="shared" si="604"/>
        <v>#VALUE!</v>
      </c>
      <c r="CC787" s="129">
        <f>M787-I787+1</f>
        <v>4</v>
      </c>
      <c r="CD787" s="111">
        <f>CC787-BF787</f>
        <v>0</v>
      </c>
      <c r="CE787" s="129">
        <f t="shared" si="595"/>
        <v>360</v>
      </c>
      <c r="CG787" s="129" t="str">
        <f t="shared" si="596"/>
        <v>Y</v>
      </c>
      <c r="CI787" s="129" t="str">
        <f t="shared" si="597"/>
        <v>0-10 DAYS</v>
      </c>
      <c r="CJ787" s="137">
        <f t="shared" si="598"/>
        <v>1</v>
      </c>
      <c r="CK787" s="129" t="str">
        <f t="shared" si="599"/>
        <v>Booked</v>
      </c>
    </row>
    <row r="788" spans="1:89" ht="15" customHeight="1" x14ac:dyDescent="0.25">
      <c r="A788" s="111">
        <v>2164</v>
      </c>
      <c r="B788" s="128" t="str">
        <f t="shared" si="581"/>
        <v>N</v>
      </c>
      <c r="C788" s="128" t="str">
        <f t="shared" si="582"/>
        <v>N</v>
      </c>
      <c r="D788" s="117">
        <v>1524901</v>
      </c>
      <c r="E788" s="135">
        <f t="shared" si="583"/>
        <v>2</v>
      </c>
      <c r="F788" s="124">
        <v>40990</v>
      </c>
      <c r="G788" s="125">
        <v>41221</v>
      </c>
      <c r="H788" s="117">
        <v>1524901</v>
      </c>
      <c r="I788" s="124">
        <v>40990</v>
      </c>
      <c r="J788" s="124">
        <v>41009</v>
      </c>
      <c r="K788" s="126">
        <v>30000</v>
      </c>
      <c r="L788" s="129" t="s">
        <v>572</v>
      </c>
      <c r="M788" s="125">
        <v>41009</v>
      </c>
      <c r="N788" s="129" t="str">
        <f>IF(M788&gt;1/1/1,"Y","N")</f>
        <v>Y</v>
      </c>
      <c r="O788" s="128" t="s">
        <v>76</v>
      </c>
      <c r="P788" s="129" t="s">
        <v>589</v>
      </c>
      <c r="Q788" s="111">
        <f t="shared" si="602"/>
        <v>20</v>
      </c>
      <c r="R788" s="111">
        <f t="shared" si="577"/>
        <v>232</v>
      </c>
      <c r="S788" s="129">
        <v>1</v>
      </c>
      <c r="T788" s="129">
        <v>3</v>
      </c>
      <c r="V788" s="117">
        <v>1</v>
      </c>
      <c r="W788" s="111"/>
      <c r="AC788" s="130"/>
      <c r="AD788" s="130">
        <v>26621</v>
      </c>
      <c r="AE788" s="128" t="s">
        <v>32</v>
      </c>
      <c r="AF788" s="128" t="s">
        <v>69</v>
      </c>
      <c r="AG788" s="128" t="s">
        <v>874</v>
      </c>
      <c r="AH788" s="108" t="s">
        <v>31</v>
      </c>
      <c r="AI788" s="128" t="s">
        <v>72</v>
      </c>
      <c r="AJ788" s="129" t="s">
        <v>48</v>
      </c>
      <c r="AK788" s="129">
        <v>7</v>
      </c>
      <c r="AL788" s="3" t="s">
        <v>48</v>
      </c>
      <c r="AP788" s="129" t="s">
        <v>144</v>
      </c>
      <c r="AR788" s="128" t="s">
        <v>67</v>
      </c>
      <c r="AS788" s="129" t="s">
        <v>74</v>
      </c>
      <c r="BC788" s="129" t="s">
        <v>52</v>
      </c>
      <c r="BF788" s="111">
        <f t="shared" si="605"/>
        <v>20</v>
      </c>
      <c r="BG788" s="111">
        <f t="shared" si="603"/>
        <v>232</v>
      </c>
      <c r="BH788" s="111">
        <f t="shared" si="578"/>
        <v>232</v>
      </c>
      <c r="BI788" s="111">
        <f t="shared" si="579"/>
        <v>39.259562841530055</v>
      </c>
      <c r="BJ788" s="129">
        <f>(G788-J788)+(M788-G788)</f>
        <v>0</v>
      </c>
      <c r="BK788" s="129">
        <f t="shared" si="580"/>
        <v>-212</v>
      </c>
      <c r="BL788" s="129" t="str">
        <f t="shared" si="567"/>
        <v>DEFERRED</v>
      </c>
      <c r="BM788" s="129" t="s">
        <v>76</v>
      </c>
      <c r="BN788" s="129" t="s">
        <v>88</v>
      </c>
      <c r="BP788" s="137" t="str">
        <f t="shared" si="584"/>
        <v>DEFERRED</v>
      </c>
      <c r="BQ788" s="128" t="str">
        <f t="shared" si="585"/>
        <v>Y</v>
      </c>
      <c r="BR788" s="129" t="str">
        <f t="shared" si="586"/>
        <v>ON BOND</v>
      </c>
      <c r="BS788" s="129" t="str">
        <f t="shared" si="587"/>
        <v>DISPOSED</v>
      </c>
      <c r="BT788" s="129" t="str">
        <f t="shared" si="588"/>
        <v>Y</v>
      </c>
      <c r="BU788" s="109">
        <f t="shared" si="589"/>
        <v>8.6206896551724144E-2</v>
      </c>
      <c r="BV788" s="109">
        <f t="shared" si="590"/>
        <v>8.6206896551724144E-2</v>
      </c>
      <c r="BW788" s="109">
        <f t="shared" si="570"/>
        <v>0</v>
      </c>
      <c r="BX788" s="111">
        <f t="shared" si="591"/>
        <v>0</v>
      </c>
      <c r="BY788" s="129">
        <f t="shared" si="592"/>
        <v>-20</v>
      </c>
      <c r="BZ788" s="111">
        <f t="shared" si="593"/>
        <v>0</v>
      </c>
      <c r="CA788" s="138">
        <f t="shared" si="594"/>
        <v>20</v>
      </c>
      <c r="CB788" s="111" t="e">
        <f t="shared" si="604"/>
        <v>#VALUE!</v>
      </c>
      <c r="CC788" s="129">
        <f>M788-I788+1</f>
        <v>20</v>
      </c>
      <c r="CD788" s="111">
        <f>CC788-BF788</f>
        <v>0</v>
      </c>
      <c r="CE788" s="129">
        <f t="shared" si="595"/>
        <v>212</v>
      </c>
      <c r="CG788" s="129" t="str">
        <f t="shared" si="596"/>
        <v>Y</v>
      </c>
      <c r="CI788" s="129" t="str">
        <f t="shared" si="597"/>
        <v>11-30 DAYS</v>
      </c>
      <c r="CJ788" s="137">
        <f t="shared" si="598"/>
        <v>2</v>
      </c>
      <c r="CK788" s="129" t="str">
        <f t="shared" si="599"/>
        <v>Booked</v>
      </c>
    </row>
    <row r="789" spans="1:89" ht="15" customHeight="1" x14ac:dyDescent="0.25">
      <c r="A789" s="111">
        <v>2130</v>
      </c>
      <c r="B789" s="128" t="str">
        <f t="shared" si="581"/>
        <v>N</v>
      </c>
      <c r="C789" s="128" t="str">
        <f t="shared" si="582"/>
        <v>N</v>
      </c>
      <c r="D789" s="117">
        <v>1526922</v>
      </c>
      <c r="E789" s="135">
        <f t="shared" si="583"/>
        <v>6</v>
      </c>
      <c r="F789" s="124">
        <v>40988</v>
      </c>
      <c r="G789" s="125">
        <v>40990</v>
      </c>
      <c r="H789" s="117">
        <v>1526922</v>
      </c>
      <c r="I789" s="124">
        <v>40989</v>
      </c>
      <c r="J789" s="124">
        <v>40990</v>
      </c>
      <c r="K789" s="126">
        <v>20000</v>
      </c>
      <c r="L789" s="127" t="s">
        <v>571</v>
      </c>
      <c r="N789" s="129" t="str">
        <f>IF(M789&gt;1/1/1,"Y","N")</f>
        <v>N</v>
      </c>
      <c r="O789" s="128" t="s">
        <v>917</v>
      </c>
      <c r="P789" s="129" t="s">
        <v>39</v>
      </c>
      <c r="Q789" s="111">
        <f t="shared" si="602"/>
        <v>2</v>
      </c>
      <c r="R789" s="111">
        <f t="shared" si="577"/>
        <v>3</v>
      </c>
      <c r="S789" s="129">
        <v>2</v>
      </c>
      <c r="T789" s="129">
        <v>0</v>
      </c>
      <c r="U789" s="129">
        <v>2</v>
      </c>
      <c r="W789" s="111"/>
      <c r="AC789" s="130"/>
      <c r="AD789" s="130">
        <v>27705</v>
      </c>
      <c r="AE789" s="128" t="s">
        <v>32</v>
      </c>
      <c r="AF789" s="128" t="s">
        <v>33</v>
      </c>
      <c r="AG789" s="128" t="s">
        <v>872</v>
      </c>
      <c r="AH789" s="108" t="s">
        <v>58</v>
      </c>
      <c r="AI789" s="128" t="s">
        <v>85</v>
      </c>
      <c r="AJ789" s="129" t="s">
        <v>89</v>
      </c>
      <c r="AK789" s="129">
        <v>1</v>
      </c>
      <c r="AL789" s="3" t="s">
        <v>362</v>
      </c>
      <c r="AM789" s="117">
        <v>2</v>
      </c>
      <c r="AP789" s="129" t="s">
        <v>170</v>
      </c>
      <c r="AR789" s="128" t="s">
        <v>67</v>
      </c>
      <c r="AS789" s="129" t="s">
        <v>64</v>
      </c>
      <c r="BC789" s="129" t="s">
        <v>38</v>
      </c>
      <c r="BF789" s="111">
        <f t="shared" si="605"/>
        <v>2</v>
      </c>
      <c r="BG789" s="111">
        <f t="shared" si="603"/>
        <v>2</v>
      </c>
      <c r="BH789" s="111">
        <f t="shared" si="578"/>
        <v>3</v>
      </c>
      <c r="BI789" s="111">
        <f t="shared" si="579"/>
        <v>36.292349726775953</v>
      </c>
      <c r="BJ789" s="129">
        <f t="shared" si="600"/>
        <v>0</v>
      </c>
      <c r="BK789" s="129">
        <f t="shared" si="580"/>
        <v>0</v>
      </c>
      <c r="BL789" s="129" t="str">
        <f t="shared" si="567"/>
        <v>CONVICTION</v>
      </c>
      <c r="BM789" s="129" t="str">
        <f t="shared" si="601"/>
        <v>NONE</v>
      </c>
      <c r="BN789" s="129" t="s">
        <v>566</v>
      </c>
      <c r="BP789" s="137" t="str">
        <f t="shared" si="584"/>
        <v>CONVICTION</v>
      </c>
      <c r="BQ789" s="128" t="str">
        <f t="shared" si="585"/>
        <v>Y</v>
      </c>
      <c r="BR789" s="129" t="str">
        <f t="shared" si="586"/>
        <v>DETAINED</v>
      </c>
      <c r="BS789" s="129" t="str">
        <f t="shared" si="587"/>
        <v>DISPOSED</v>
      </c>
      <c r="BT789" s="129" t="str">
        <f t="shared" si="588"/>
        <v>Y</v>
      </c>
      <c r="BU789" s="109">
        <f t="shared" si="589"/>
        <v>0.66666666666666663</v>
      </c>
      <c r="BV789" s="109">
        <f t="shared" si="590"/>
        <v>1</v>
      </c>
      <c r="BW789" s="109">
        <f t="shared" si="570"/>
        <v>0.33333333333333337</v>
      </c>
      <c r="BX789" s="111">
        <f t="shared" si="591"/>
        <v>0</v>
      </c>
      <c r="BY789" s="129">
        <f t="shared" si="592"/>
        <v>-2</v>
      </c>
      <c r="BZ789" s="111">
        <f t="shared" si="593"/>
        <v>0</v>
      </c>
      <c r="CA789" s="138">
        <f t="shared" si="594"/>
        <v>2</v>
      </c>
      <c r="CB789" s="111" t="e">
        <f t="shared" si="604"/>
        <v>#VALUE!</v>
      </c>
      <c r="CC789" s="129">
        <f>G789-I789+1</f>
        <v>2</v>
      </c>
      <c r="CD789" s="129">
        <f>G789-J789</f>
        <v>0</v>
      </c>
      <c r="CE789" s="129">
        <f t="shared" si="595"/>
        <v>0</v>
      </c>
      <c r="CG789" s="129" t="str">
        <f t="shared" si="596"/>
        <v>Y</v>
      </c>
      <c r="CI789" s="129" t="str">
        <f t="shared" si="597"/>
        <v>0-10 DAYS</v>
      </c>
      <c r="CJ789" s="137">
        <f t="shared" si="598"/>
        <v>1</v>
      </c>
      <c r="CK789" s="129" t="str">
        <f t="shared" si="599"/>
        <v>Booked</v>
      </c>
    </row>
    <row r="790" spans="1:89" ht="15.75" customHeight="1" x14ac:dyDescent="0.25">
      <c r="A790" s="111">
        <v>888</v>
      </c>
      <c r="B790" s="128" t="str">
        <f t="shared" si="581"/>
        <v>N</v>
      </c>
      <c r="C790" s="128" t="str">
        <f t="shared" si="582"/>
        <v>N</v>
      </c>
      <c r="D790" s="117">
        <v>1528140</v>
      </c>
      <c r="E790" s="135">
        <f t="shared" si="583"/>
        <v>4</v>
      </c>
      <c r="F790" s="124">
        <v>40941</v>
      </c>
      <c r="G790" s="125">
        <v>41019</v>
      </c>
      <c r="H790" s="117">
        <v>1528140</v>
      </c>
      <c r="I790" s="124">
        <v>40943</v>
      </c>
      <c r="J790" s="124">
        <v>41019</v>
      </c>
      <c r="K790" s="126" t="s">
        <v>564</v>
      </c>
      <c r="L790" s="127" t="s">
        <v>564</v>
      </c>
      <c r="N790" s="129" t="s">
        <v>566</v>
      </c>
      <c r="O790" s="128" t="s">
        <v>917</v>
      </c>
      <c r="P790" s="129" t="s">
        <v>39</v>
      </c>
      <c r="Q790" s="111">
        <f t="shared" si="602"/>
        <v>77</v>
      </c>
      <c r="R790" s="111">
        <f t="shared" si="577"/>
        <v>79</v>
      </c>
      <c r="S790" s="129">
        <v>1</v>
      </c>
      <c r="T790" s="129">
        <v>1</v>
      </c>
      <c r="U790" s="129">
        <v>1</v>
      </c>
      <c r="W790" s="111"/>
      <c r="AC790" s="130"/>
      <c r="AD790" s="130">
        <v>28908</v>
      </c>
      <c r="AE790" s="128" t="s">
        <v>32</v>
      </c>
      <c r="AF790" s="128" t="s">
        <v>33</v>
      </c>
      <c r="AG790" s="128" t="s">
        <v>872</v>
      </c>
      <c r="AH790" s="108" t="s">
        <v>58</v>
      </c>
      <c r="AI790" s="128" t="s">
        <v>53</v>
      </c>
      <c r="AJ790" s="129" t="s">
        <v>89</v>
      </c>
      <c r="AK790" s="129">
        <v>6</v>
      </c>
      <c r="AL790" s="3" t="s">
        <v>991</v>
      </c>
      <c r="AO790" s="128">
        <v>120</v>
      </c>
      <c r="AP790" s="129" t="s">
        <v>110</v>
      </c>
      <c r="AR790" s="128" t="s">
        <v>50</v>
      </c>
      <c r="AS790" s="129" t="s">
        <v>74</v>
      </c>
      <c r="BC790" s="129" t="s">
        <v>52</v>
      </c>
      <c r="BF790" s="111">
        <f t="shared" si="605"/>
        <v>77</v>
      </c>
      <c r="BG790" s="111">
        <f t="shared" si="603"/>
        <v>77</v>
      </c>
      <c r="BH790" s="111">
        <f t="shared" si="578"/>
        <v>79</v>
      </c>
      <c r="BI790" s="111">
        <f t="shared" si="579"/>
        <v>32.877049180327866</v>
      </c>
      <c r="BJ790" s="129">
        <f t="shared" si="600"/>
        <v>0</v>
      </c>
      <c r="BK790" s="129">
        <f t="shared" si="580"/>
        <v>0</v>
      </c>
      <c r="BL790" s="129" t="str">
        <f t="shared" si="567"/>
        <v>CONVICTION</v>
      </c>
      <c r="BM790" s="129" t="str">
        <f t="shared" si="601"/>
        <v>NONE</v>
      </c>
      <c r="BN790" s="129" t="s">
        <v>566</v>
      </c>
      <c r="BP790" s="137" t="str">
        <f t="shared" si="584"/>
        <v>CONVICTION</v>
      </c>
      <c r="BQ790" s="128" t="str">
        <f t="shared" si="585"/>
        <v>Y</v>
      </c>
      <c r="BR790" s="129" t="str">
        <f t="shared" si="586"/>
        <v>DETAINED</v>
      </c>
      <c r="BS790" s="129" t="str">
        <f t="shared" si="587"/>
        <v>DISPOSED</v>
      </c>
      <c r="BT790" s="129" t="str">
        <f t="shared" si="588"/>
        <v>Y</v>
      </c>
      <c r="BU790" s="109">
        <f t="shared" si="589"/>
        <v>0.97468354430379744</v>
      </c>
      <c r="BV790" s="109">
        <f t="shared" si="590"/>
        <v>1</v>
      </c>
      <c r="BW790" s="109">
        <f t="shared" si="570"/>
        <v>2.5316455696202556E-2</v>
      </c>
      <c r="BX790" s="111">
        <f t="shared" si="591"/>
        <v>0</v>
      </c>
      <c r="BY790" s="129">
        <f t="shared" si="592"/>
        <v>-77</v>
      </c>
      <c r="BZ790" s="111">
        <f t="shared" si="593"/>
        <v>0</v>
      </c>
      <c r="CA790" s="138">
        <f t="shared" si="594"/>
        <v>77</v>
      </c>
      <c r="CB790" s="111" t="e">
        <f t="shared" si="604"/>
        <v>#VALUE!</v>
      </c>
      <c r="CC790" s="129">
        <f>G790-I790+1</f>
        <v>77</v>
      </c>
      <c r="CD790" s="129">
        <f>G790-J790</f>
        <v>0</v>
      </c>
      <c r="CE790" s="129">
        <f t="shared" si="595"/>
        <v>0</v>
      </c>
      <c r="CG790" s="129" t="str">
        <f t="shared" si="596"/>
        <v>Y</v>
      </c>
      <c r="CI790" s="129" t="str">
        <f t="shared" si="597"/>
        <v>61-90 DAYS</v>
      </c>
      <c r="CJ790" s="137">
        <f t="shared" si="598"/>
        <v>4</v>
      </c>
      <c r="CK790" s="129" t="str">
        <f t="shared" si="599"/>
        <v>Booked</v>
      </c>
    </row>
    <row r="791" spans="1:89" ht="15.75" customHeight="1" x14ac:dyDescent="0.25">
      <c r="A791" s="111">
        <v>3054</v>
      </c>
      <c r="B791" s="128" t="str">
        <f t="shared" si="581"/>
        <v>N</v>
      </c>
      <c r="C791" s="128" t="str">
        <f t="shared" si="582"/>
        <v>N</v>
      </c>
      <c r="D791" s="117">
        <v>1528845</v>
      </c>
      <c r="E791" s="135">
        <f t="shared" si="583"/>
        <v>2</v>
      </c>
      <c r="F791" s="124">
        <v>41022</v>
      </c>
      <c r="G791" s="125">
        <v>41221</v>
      </c>
      <c r="H791" s="117">
        <v>1528845</v>
      </c>
      <c r="I791" s="124" t="s">
        <v>562</v>
      </c>
      <c r="J791" s="124" t="s">
        <v>562</v>
      </c>
      <c r="K791" s="126">
        <v>5000</v>
      </c>
      <c r="L791" s="127" t="s">
        <v>569</v>
      </c>
      <c r="M791" s="125">
        <v>41031</v>
      </c>
      <c r="N791" s="129" t="str">
        <f>IF(M791&gt;1/1/1,"Y",IF(Q791="0","","N"))</f>
        <v>Y</v>
      </c>
      <c r="O791" s="128" t="s">
        <v>76</v>
      </c>
      <c r="P791" s="129" t="s">
        <v>589</v>
      </c>
      <c r="Q791" s="111">
        <f t="shared" si="602"/>
        <v>0</v>
      </c>
      <c r="R791" s="111">
        <f t="shared" si="577"/>
        <v>200</v>
      </c>
      <c r="S791" s="129">
        <v>0</v>
      </c>
      <c r="T791" s="129">
        <v>3</v>
      </c>
      <c r="W791" s="111"/>
      <c r="AC791" s="130"/>
      <c r="AD791" s="130">
        <v>26217</v>
      </c>
      <c r="AE791" s="128" t="s">
        <v>32</v>
      </c>
      <c r="AF791" s="128" t="s">
        <v>40</v>
      </c>
      <c r="AG791" s="128" t="s">
        <v>41</v>
      </c>
      <c r="AH791" s="108" t="s">
        <v>41</v>
      </c>
      <c r="AI791" s="128" t="s">
        <v>65</v>
      </c>
      <c r="AJ791" s="129" t="s">
        <v>48</v>
      </c>
      <c r="AK791" s="129">
        <v>10</v>
      </c>
      <c r="AL791" s="3" t="s">
        <v>48</v>
      </c>
      <c r="AP791" s="129" t="s">
        <v>109</v>
      </c>
      <c r="AR791" s="128" t="s">
        <v>67</v>
      </c>
      <c r="AS791" s="129" t="s">
        <v>61</v>
      </c>
      <c r="BC791" s="129" t="s">
        <v>38</v>
      </c>
      <c r="BF791" s="111">
        <v>0</v>
      </c>
      <c r="BG791" s="111">
        <v>0</v>
      </c>
      <c r="BH791" s="111">
        <f t="shared" si="578"/>
        <v>200</v>
      </c>
      <c r="BI791" s="111">
        <f t="shared" si="579"/>
        <v>40.450819672131146</v>
      </c>
      <c r="BJ791" s="129" t="e">
        <f>(G791-J791)+(M791-G791)</f>
        <v>#VALUE!</v>
      </c>
      <c r="BK791" s="129" t="e">
        <f t="shared" si="580"/>
        <v>#VALUE!</v>
      </c>
      <c r="BL791" s="129" t="str">
        <f t="shared" si="567"/>
        <v>DEFERRED</v>
      </c>
      <c r="BM791" s="129" t="s">
        <v>76</v>
      </c>
      <c r="BN791" s="129" t="s">
        <v>88</v>
      </c>
      <c r="BP791" s="137" t="str">
        <f t="shared" si="584"/>
        <v>DEFERRED</v>
      </c>
      <c r="BQ791" s="128">
        <f t="shared" si="585"/>
        <v>0</v>
      </c>
      <c r="BR791" s="129" t="s">
        <v>575</v>
      </c>
      <c r="BS791" s="129" t="str">
        <f t="shared" si="587"/>
        <v>DISPOSED</v>
      </c>
      <c r="BT791" s="129" t="str">
        <f t="shared" si="588"/>
        <v>N</v>
      </c>
      <c r="BU791" s="109">
        <f t="shared" si="589"/>
        <v>0</v>
      </c>
      <c r="BV791" s="109">
        <v>0</v>
      </c>
      <c r="BW791" s="109">
        <f t="shared" si="570"/>
        <v>0</v>
      </c>
      <c r="BX791" s="111">
        <f t="shared" si="591"/>
        <v>0</v>
      </c>
      <c r="BY791" s="129" t="e">
        <f t="shared" si="592"/>
        <v>#VALUE!</v>
      </c>
      <c r="BZ791" s="111" t="e">
        <f t="shared" si="593"/>
        <v>#VALUE!</v>
      </c>
      <c r="CA791" s="138" t="e">
        <f t="shared" si="594"/>
        <v>#VALUE!</v>
      </c>
      <c r="CB791" s="111">
        <v>0</v>
      </c>
      <c r="CC791" s="129">
        <v>0</v>
      </c>
      <c r="CD791" s="111">
        <f>CC791-BF791</f>
        <v>0</v>
      </c>
      <c r="CE791" s="129" t="e">
        <f t="shared" si="595"/>
        <v>#VALUE!</v>
      </c>
      <c r="CG791" s="129" t="str">
        <f t="shared" si="596"/>
        <v>Y</v>
      </c>
      <c r="CI791" s="129" t="str">
        <f t="shared" si="597"/>
        <v>0-10 DAYS</v>
      </c>
      <c r="CJ791" s="137">
        <f t="shared" si="598"/>
        <v>1</v>
      </c>
      <c r="CK791" s="129" t="str">
        <f t="shared" si="599"/>
        <v>Not Booked</v>
      </c>
    </row>
    <row r="792" spans="1:89" ht="15.75" customHeight="1" x14ac:dyDescent="0.25">
      <c r="A792" s="111">
        <v>1980</v>
      </c>
      <c r="B792" s="128" t="str">
        <f t="shared" si="581"/>
        <v>N</v>
      </c>
      <c r="C792" s="128" t="str">
        <f t="shared" si="582"/>
        <v>N</v>
      </c>
      <c r="D792" s="117">
        <v>1529601</v>
      </c>
      <c r="E792" s="135">
        <f t="shared" si="583"/>
        <v>5</v>
      </c>
      <c r="F792" s="124">
        <v>40982</v>
      </c>
      <c r="G792" s="125">
        <v>41017</v>
      </c>
      <c r="H792" s="117">
        <v>1529601</v>
      </c>
      <c r="I792" s="124">
        <v>40983</v>
      </c>
      <c r="J792" s="124">
        <v>41017</v>
      </c>
      <c r="K792" s="126">
        <v>15000</v>
      </c>
      <c r="L792" s="127" t="s">
        <v>571</v>
      </c>
      <c r="N792" s="129" t="str">
        <f t="shared" ref="N792:N799" si="608">IF(M792&gt;1/1/1,"Y","N")</f>
        <v>N</v>
      </c>
      <c r="O792" s="128" t="s">
        <v>917</v>
      </c>
      <c r="P792" s="129" t="s">
        <v>39</v>
      </c>
      <c r="Q792" s="111">
        <f t="shared" si="602"/>
        <v>35</v>
      </c>
      <c r="R792" s="111">
        <f t="shared" si="577"/>
        <v>36</v>
      </c>
      <c r="S792" s="129">
        <v>14</v>
      </c>
      <c r="T792" s="129">
        <v>3</v>
      </c>
      <c r="U792" s="129">
        <v>6</v>
      </c>
      <c r="W792" s="111"/>
      <c r="AC792" s="130"/>
      <c r="AD792" s="130">
        <v>30029</v>
      </c>
      <c r="AE792" s="128" t="s">
        <v>46</v>
      </c>
      <c r="AF792" s="128" t="s">
        <v>33</v>
      </c>
      <c r="AG792" s="128" t="s">
        <v>872</v>
      </c>
      <c r="AH792" s="108" t="s">
        <v>58</v>
      </c>
      <c r="AI792" s="128" t="s">
        <v>42</v>
      </c>
      <c r="AJ792" s="129" t="s">
        <v>89</v>
      </c>
      <c r="AK792" s="129">
        <v>3</v>
      </c>
      <c r="AL792" s="3" t="s">
        <v>992</v>
      </c>
      <c r="AN792" s="117">
        <v>7</v>
      </c>
      <c r="AP792" s="129" t="s">
        <v>43</v>
      </c>
      <c r="AR792" s="128" t="s">
        <v>44</v>
      </c>
      <c r="AS792" s="129" t="s">
        <v>45</v>
      </c>
      <c r="BC792" s="129" t="s">
        <v>38</v>
      </c>
      <c r="BF792" s="111">
        <f t="shared" ref="BF792:BF800" si="609">IF(J792&gt;1/1/1900,((J792+1)-I792),"STILL OPEN")</f>
        <v>35</v>
      </c>
      <c r="BG792" s="111">
        <f t="shared" ref="BG792:BG811" si="610">IF(G792&gt;1/1/1900,((G792+1)-I792),"STILL OPEN")</f>
        <v>35</v>
      </c>
      <c r="BH792" s="111">
        <f t="shared" si="578"/>
        <v>36</v>
      </c>
      <c r="BI792" s="111">
        <f t="shared" si="579"/>
        <v>29.92622950819672</v>
      </c>
      <c r="BJ792" s="129">
        <f t="shared" si="600"/>
        <v>0</v>
      </c>
      <c r="BK792" s="129">
        <f t="shared" si="580"/>
        <v>0</v>
      </c>
      <c r="BL792" s="129" t="str">
        <f t="shared" si="567"/>
        <v>CONVICTION</v>
      </c>
      <c r="BM792" s="129" t="str">
        <f t="shared" si="601"/>
        <v>NONE</v>
      </c>
      <c r="BN792" s="129" t="s">
        <v>566</v>
      </c>
      <c r="BP792" s="137" t="str">
        <f t="shared" si="584"/>
        <v>CONVICTION</v>
      </c>
      <c r="BQ792" s="128" t="str">
        <f t="shared" si="585"/>
        <v>Y</v>
      </c>
      <c r="BR792" s="129" t="str">
        <f t="shared" si="586"/>
        <v>DETAINED</v>
      </c>
      <c r="BS792" s="129" t="str">
        <f t="shared" si="587"/>
        <v>DISPOSED</v>
      </c>
      <c r="BT792" s="129" t="str">
        <f t="shared" si="588"/>
        <v>Y</v>
      </c>
      <c r="BU792" s="109">
        <f t="shared" si="589"/>
        <v>0.97222222222222221</v>
      </c>
      <c r="BV792" s="109">
        <f t="shared" si="590"/>
        <v>1</v>
      </c>
      <c r="BW792" s="109">
        <f t="shared" si="570"/>
        <v>2.777777777777779E-2</v>
      </c>
      <c r="BX792" s="111">
        <f t="shared" si="591"/>
        <v>0</v>
      </c>
      <c r="BY792" s="129">
        <f t="shared" si="592"/>
        <v>-35</v>
      </c>
      <c r="BZ792" s="111">
        <f t="shared" si="593"/>
        <v>0</v>
      </c>
      <c r="CA792" s="138">
        <f t="shared" si="594"/>
        <v>35</v>
      </c>
      <c r="CB792" s="111" t="e">
        <f t="shared" ref="CB792:CB800" si="611">IF(AF792&gt;1/1/1900,((AF792+1)-AE792),"STILL OPEN")</f>
        <v>#VALUE!</v>
      </c>
      <c r="CC792" s="129">
        <f>G792-I792+1</f>
        <v>35</v>
      </c>
      <c r="CD792" s="129">
        <f>G792-J792</f>
        <v>0</v>
      </c>
      <c r="CE792" s="129">
        <f t="shared" si="595"/>
        <v>0</v>
      </c>
      <c r="CG792" s="129" t="str">
        <f t="shared" si="596"/>
        <v>Y</v>
      </c>
      <c r="CI792" s="129" t="str">
        <f t="shared" si="597"/>
        <v>31-60 DAYS</v>
      </c>
      <c r="CJ792" s="137">
        <f t="shared" si="598"/>
        <v>3</v>
      </c>
      <c r="CK792" s="129" t="str">
        <f t="shared" si="599"/>
        <v>Booked</v>
      </c>
    </row>
    <row r="793" spans="1:89" ht="15.75" customHeight="1" x14ac:dyDescent="0.25">
      <c r="A793" s="111">
        <v>3219</v>
      </c>
      <c r="B793" s="128" t="str">
        <f t="shared" si="581"/>
        <v>N</v>
      </c>
      <c r="C793" s="128" t="str">
        <f t="shared" si="582"/>
        <v>N</v>
      </c>
      <c r="D793" s="117">
        <v>1530238</v>
      </c>
      <c r="E793" s="135">
        <f t="shared" si="583"/>
        <v>3</v>
      </c>
      <c r="F793" s="124">
        <v>41027</v>
      </c>
      <c r="G793" s="125">
        <v>41072</v>
      </c>
      <c r="H793" s="117">
        <v>1530238</v>
      </c>
      <c r="I793" s="124">
        <v>41027</v>
      </c>
      <c r="J793" s="124">
        <v>41028</v>
      </c>
      <c r="K793" s="126">
        <v>5000</v>
      </c>
      <c r="L793" s="127" t="s">
        <v>569</v>
      </c>
      <c r="M793" s="125">
        <v>41028</v>
      </c>
      <c r="N793" s="129" t="str">
        <f t="shared" si="608"/>
        <v>Y</v>
      </c>
      <c r="O793" s="128" t="s">
        <v>76</v>
      </c>
      <c r="P793" s="129" t="s">
        <v>39</v>
      </c>
      <c r="Q793" s="111">
        <f t="shared" si="602"/>
        <v>2</v>
      </c>
      <c r="R793" s="111">
        <f t="shared" si="577"/>
        <v>46</v>
      </c>
      <c r="S793" s="129">
        <v>1</v>
      </c>
      <c r="T793" s="129">
        <v>2</v>
      </c>
      <c r="W793" s="111"/>
      <c r="AC793" s="130"/>
      <c r="AD793" s="130">
        <v>28905</v>
      </c>
      <c r="AE793" s="128" t="s">
        <v>46</v>
      </c>
      <c r="AF793" s="128" t="s">
        <v>33</v>
      </c>
      <c r="AG793" s="128" t="s">
        <v>872</v>
      </c>
      <c r="AH793" s="108" t="s">
        <v>31</v>
      </c>
      <c r="AI793" s="128" t="s">
        <v>53</v>
      </c>
      <c r="AJ793" s="129" t="s">
        <v>89</v>
      </c>
      <c r="AK793" s="129">
        <v>3</v>
      </c>
      <c r="AL793" s="3" t="s">
        <v>185</v>
      </c>
      <c r="AP793" s="129" t="s">
        <v>139</v>
      </c>
      <c r="AR793" s="128" t="s">
        <v>44</v>
      </c>
      <c r="AS793" s="129" t="s">
        <v>64</v>
      </c>
      <c r="BC793" s="129" t="s">
        <v>52</v>
      </c>
      <c r="BF793" s="111">
        <f t="shared" si="609"/>
        <v>2</v>
      </c>
      <c r="BG793" s="111">
        <f t="shared" si="610"/>
        <v>46</v>
      </c>
      <c r="BH793" s="111">
        <f t="shared" si="578"/>
        <v>46</v>
      </c>
      <c r="BI793" s="111">
        <f t="shared" si="579"/>
        <v>33.120218579234972</v>
      </c>
      <c r="BJ793" s="129">
        <f>(G793-J793)+(M793-G793)</f>
        <v>0</v>
      </c>
      <c r="BK793" s="129">
        <f t="shared" si="580"/>
        <v>-44</v>
      </c>
      <c r="BL793" s="129" t="str">
        <f t="shared" ref="BL793:BL856" si="612">IF(OR(AL793="AQUITTAL",AL793="DISMISSED",AL793="FINE",AL793="NO BILL"),"NO CONVICTION",IF(OR(AL793="HCJ",AL793="MHH",AL793="PROBATION",AL793="STJ",AL793="TDC"),"CONVICTION",IF(AL793="DEFERRED","DEFERRED",0)))</f>
        <v>CONVICTION</v>
      </c>
      <c r="BM793" s="129" t="s">
        <v>76</v>
      </c>
      <c r="BN793" s="129" t="s">
        <v>88</v>
      </c>
      <c r="BP793" s="137" t="str">
        <f t="shared" si="584"/>
        <v>CONVICTION</v>
      </c>
      <c r="BQ793" s="128" t="str">
        <f t="shared" si="585"/>
        <v>Y</v>
      </c>
      <c r="BR793" s="129" t="str">
        <f>IF(J793&lt;G793,"ON BOND",0)</f>
        <v>ON BOND</v>
      </c>
      <c r="BS793" s="129" t="str">
        <f t="shared" si="587"/>
        <v>DISPOSED</v>
      </c>
      <c r="BT793" s="129" t="str">
        <f t="shared" si="588"/>
        <v>Y</v>
      </c>
      <c r="BU793" s="109">
        <f t="shared" si="589"/>
        <v>4.3478260869565216E-2</v>
      </c>
      <c r="BV793" s="109">
        <f t="shared" si="590"/>
        <v>4.3478260869565216E-2</v>
      </c>
      <c r="BW793" s="109">
        <f t="shared" si="570"/>
        <v>0</v>
      </c>
      <c r="BX793" s="111">
        <f t="shared" si="591"/>
        <v>0</v>
      </c>
      <c r="BY793" s="129">
        <f t="shared" si="592"/>
        <v>-2</v>
      </c>
      <c r="BZ793" s="111">
        <f t="shared" si="593"/>
        <v>0</v>
      </c>
      <c r="CA793" s="138">
        <f t="shared" si="594"/>
        <v>2</v>
      </c>
      <c r="CB793" s="111" t="e">
        <f t="shared" si="611"/>
        <v>#VALUE!</v>
      </c>
      <c r="CC793" s="129">
        <f>M793-I793+1</f>
        <v>2</v>
      </c>
      <c r="CD793" s="111">
        <f>CC793-BF793</f>
        <v>0</v>
      </c>
      <c r="CE793" s="129">
        <f t="shared" si="595"/>
        <v>44</v>
      </c>
      <c r="CG793" s="129" t="str">
        <f t="shared" si="596"/>
        <v>Y</v>
      </c>
      <c r="CI793" s="129" t="str">
        <f t="shared" si="597"/>
        <v>0-10 DAYS</v>
      </c>
      <c r="CJ793" s="137">
        <f t="shared" si="598"/>
        <v>1</v>
      </c>
      <c r="CK793" s="129" t="str">
        <f t="shared" si="599"/>
        <v>Booked</v>
      </c>
    </row>
    <row r="794" spans="1:89" ht="15" customHeight="1" x14ac:dyDescent="0.25">
      <c r="A794" s="111">
        <v>2115</v>
      </c>
      <c r="B794" s="128" t="str">
        <f t="shared" si="581"/>
        <v>N</v>
      </c>
      <c r="C794" s="128" t="str">
        <f t="shared" si="582"/>
        <v>N</v>
      </c>
      <c r="D794" s="117">
        <v>1533849</v>
      </c>
      <c r="E794" s="135">
        <f t="shared" si="583"/>
        <v>5</v>
      </c>
      <c r="F794" s="124">
        <v>40988</v>
      </c>
      <c r="G794" s="125">
        <v>41053</v>
      </c>
      <c r="H794" s="117">
        <v>1533849</v>
      </c>
      <c r="I794" s="124">
        <v>40988</v>
      </c>
      <c r="J794" s="124">
        <v>41053</v>
      </c>
      <c r="K794" s="126">
        <v>45000</v>
      </c>
      <c r="L794" s="129" t="s">
        <v>572</v>
      </c>
      <c r="N794" s="129" t="str">
        <f t="shared" si="608"/>
        <v>N</v>
      </c>
      <c r="O794" s="128" t="s">
        <v>917</v>
      </c>
      <c r="P794" s="129" t="s">
        <v>39</v>
      </c>
      <c r="Q794" s="111">
        <f t="shared" si="602"/>
        <v>66</v>
      </c>
      <c r="R794" s="111">
        <f t="shared" si="577"/>
        <v>66</v>
      </c>
      <c r="S794" s="129">
        <v>4</v>
      </c>
      <c r="T794" s="129">
        <v>3</v>
      </c>
      <c r="U794" s="129">
        <v>3</v>
      </c>
      <c r="W794" s="111"/>
      <c r="AC794" s="130"/>
      <c r="AD794" s="130">
        <v>28032</v>
      </c>
      <c r="AE794" s="128" t="s">
        <v>32</v>
      </c>
      <c r="AF794" s="128" t="s">
        <v>33</v>
      </c>
      <c r="AG794" s="128" t="s">
        <v>872</v>
      </c>
      <c r="AH794" s="108" t="s">
        <v>58</v>
      </c>
      <c r="AI794" s="128" t="s">
        <v>71</v>
      </c>
      <c r="AJ794" s="129" t="s">
        <v>89</v>
      </c>
      <c r="AK794" s="129">
        <v>4</v>
      </c>
      <c r="AL794" s="3" t="s">
        <v>992</v>
      </c>
      <c r="AN794" s="117">
        <v>6</v>
      </c>
      <c r="AP794" s="129" t="s">
        <v>127</v>
      </c>
      <c r="AR794" s="128" t="s">
        <v>44</v>
      </c>
      <c r="AS794" s="129" t="s">
        <v>82</v>
      </c>
      <c r="BC794" s="129" t="s">
        <v>99</v>
      </c>
      <c r="BF794" s="111">
        <f t="shared" si="609"/>
        <v>66</v>
      </c>
      <c r="BG794" s="111">
        <f t="shared" si="610"/>
        <v>66</v>
      </c>
      <c r="BH794" s="111">
        <f t="shared" si="578"/>
        <v>66</v>
      </c>
      <c r="BI794" s="111">
        <f t="shared" si="579"/>
        <v>35.398907103825138</v>
      </c>
      <c r="BJ794" s="129">
        <f t="shared" si="600"/>
        <v>0</v>
      </c>
      <c r="BK794" s="129">
        <f t="shared" si="580"/>
        <v>0</v>
      </c>
      <c r="BL794" s="129" t="str">
        <f t="shared" si="612"/>
        <v>CONVICTION</v>
      </c>
      <c r="BM794" s="129" t="str">
        <f t="shared" si="601"/>
        <v>NONE</v>
      </c>
      <c r="BN794" s="129" t="s">
        <v>566</v>
      </c>
      <c r="BP794" s="137" t="str">
        <f t="shared" si="584"/>
        <v>CONVICTION</v>
      </c>
      <c r="BQ794" s="128" t="str">
        <f t="shared" si="585"/>
        <v>Y</v>
      </c>
      <c r="BR794" s="129" t="str">
        <f t="shared" si="586"/>
        <v>DETAINED</v>
      </c>
      <c r="BS794" s="129" t="str">
        <f t="shared" si="587"/>
        <v>DISPOSED</v>
      </c>
      <c r="BT794" s="129" t="str">
        <f t="shared" si="588"/>
        <v>Y</v>
      </c>
      <c r="BU794" s="109">
        <f t="shared" si="589"/>
        <v>1</v>
      </c>
      <c r="BV794" s="109">
        <f t="shared" si="590"/>
        <v>1</v>
      </c>
      <c r="BW794" s="109">
        <f t="shared" si="570"/>
        <v>0</v>
      </c>
      <c r="BX794" s="111">
        <f t="shared" si="591"/>
        <v>0</v>
      </c>
      <c r="BY794" s="129">
        <f t="shared" si="592"/>
        <v>-66</v>
      </c>
      <c r="BZ794" s="111">
        <f t="shared" si="593"/>
        <v>0</v>
      </c>
      <c r="CA794" s="138">
        <f t="shared" si="594"/>
        <v>66</v>
      </c>
      <c r="CB794" s="111" t="e">
        <f t="shared" si="611"/>
        <v>#VALUE!</v>
      </c>
      <c r="CC794" s="129">
        <f>G794-I794+1</f>
        <v>66</v>
      </c>
      <c r="CD794" s="129">
        <f>G794-J794</f>
        <v>0</v>
      </c>
      <c r="CE794" s="129">
        <f t="shared" si="595"/>
        <v>0</v>
      </c>
      <c r="CG794" s="129" t="str">
        <f t="shared" si="596"/>
        <v>Y</v>
      </c>
      <c r="CI794" s="129" t="str">
        <f t="shared" si="597"/>
        <v>61-90 DAYS</v>
      </c>
      <c r="CJ794" s="137">
        <f t="shared" si="598"/>
        <v>4</v>
      </c>
      <c r="CK794" s="129" t="str">
        <f t="shared" si="599"/>
        <v>Booked</v>
      </c>
    </row>
    <row r="795" spans="1:89" ht="15.75" customHeight="1" x14ac:dyDescent="0.25">
      <c r="A795" s="111">
        <v>938</v>
      </c>
      <c r="B795" s="128" t="str">
        <f t="shared" si="581"/>
        <v>N</v>
      </c>
      <c r="C795" s="128" t="str">
        <f t="shared" si="582"/>
        <v>N</v>
      </c>
      <c r="D795" s="117">
        <v>1535863</v>
      </c>
      <c r="E795" s="135">
        <f t="shared" si="583"/>
        <v>3</v>
      </c>
      <c r="F795" s="124">
        <v>40943</v>
      </c>
      <c r="G795" s="125">
        <v>41372</v>
      </c>
      <c r="H795" s="117">
        <v>1535863</v>
      </c>
      <c r="I795" s="124">
        <v>40943</v>
      </c>
      <c r="J795" s="124">
        <v>40944</v>
      </c>
      <c r="K795" s="126">
        <v>10000</v>
      </c>
      <c r="L795" s="127" t="s">
        <v>570</v>
      </c>
      <c r="M795" s="125">
        <v>40944</v>
      </c>
      <c r="N795" s="129" t="str">
        <f t="shared" si="608"/>
        <v>Y</v>
      </c>
      <c r="O795" s="128" t="s">
        <v>585</v>
      </c>
      <c r="P795" s="129" t="s">
        <v>39</v>
      </c>
      <c r="Q795" s="111">
        <f t="shared" si="602"/>
        <v>2</v>
      </c>
      <c r="R795" s="111">
        <f t="shared" si="577"/>
        <v>430</v>
      </c>
      <c r="S795" s="129">
        <v>1</v>
      </c>
      <c r="T795" s="129">
        <v>5</v>
      </c>
      <c r="V795" s="117">
        <v>1</v>
      </c>
      <c r="W795" s="111"/>
      <c r="AC795" s="130"/>
      <c r="AD795" s="130">
        <v>27155</v>
      </c>
      <c r="AE795" s="128" t="s">
        <v>32</v>
      </c>
      <c r="AF795" s="128" t="s">
        <v>33</v>
      </c>
      <c r="AG795" s="128" t="s">
        <v>872</v>
      </c>
      <c r="AH795" s="108" t="s">
        <v>58</v>
      </c>
      <c r="AI795" s="128" t="s">
        <v>100</v>
      </c>
      <c r="AJ795" s="129" t="s">
        <v>31</v>
      </c>
      <c r="AK795" s="129">
        <v>13</v>
      </c>
      <c r="AL795" s="3" t="s">
        <v>185</v>
      </c>
      <c r="AP795" s="129" t="s">
        <v>66</v>
      </c>
      <c r="AR795" s="128" t="s">
        <v>67</v>
      </c>
      <c r="AS795" s="129" t="s">
        <v>68</v>
      </c>
      <c r="BC795" s="129" t="s">
        <v>52</v>
      </c>
      <c r="BF795" s="111">
        <f t="shared" si="609"/>
        <v>2</v>
      </c>
      <c r="BG795" s="111">
        <f t="shared" si="610"/>
        <v>430</v>
      </c>
      <c r="BH795" s="111">
        <f t="shared" si="578"/>
        <v>430</v>
      </c>
      <c r="BI795" s="111">
        <f t="shared" si="579"/>
        <v>37.672131147540981</v>
      </c>
      <c r="BJ795" s="129">
        <f>(G795-J795)+(M795-G795)</f>
        <v>0</v>
      </c>
      <c r="BK795" s="129">
        <f t="shared" si="580"/>
        <v>-428</v>
      </c>
      <c r="BL795" s="129" t="str">
        <f t="shared" si="612"/>
        <v>CONVICTION</v>
      </c>
      <c r="BM795" s="129" t="s">
        <v>76</v>
      </c>
      <c r="BN795" s="129" t="s">
        <v>88</v>
      </c>
      <c r="BP795" s="137" t="str">
        <f t="shared" si="584"/>
        <v/>
      </c>
      <c r="BQ795" s="128" t="str">
        <f t="shared" si="585"/>
        <v>Y</v>
      </c>
      <c r="BR795" s="129" t="str">
        <f>IF(J795&lt;G795,"ON BOND",0)</f>
        <v>ON BOND</v>
      </c>
      <c r="BS795" s="129" t="str">
        <f t="shared" si="587"/>
        <v>DISPOSED</v>
      </c>
      <c r="BT795" s="129" t="str">
        <f t="shared" si="588"/>
        <v>Y</v>
      </c>
      <c r="BU795" s="109">
        <f>IFERROR(Q795/R795,BR795)</f>
        <v>4.6511627906976744E-3</v>
      </c>
      <c r="BV795" s="109">
        <f t="shared" si="590"/>
        <v>4.6511627906976744E-3</v>
      </c>
      <c r="BW795" s="109">
        <f t="shared" si="570"/>
        <v>0</v>
      </c>
      <c r="BX795" s="111">
        <f t="shared" si="591"/>
        <v>0</v>
      </c>
      <c r="BY795" s="129">
        <f t="shared" si="592"/>
        <v>-2</v>
      </c>
      <c r="BZ795" s="111">
        <f t="shared" si="593"/>
        <v>0</v>
      </c>
      <c r="CA795" s="138">
        <f t="shared" si="594"/>
        <v>2</v>
      </c>
      <c r="CB795" s="111" t="e">
        <f t="shared" si="611"/>
        <v>#VALUE!</v>
      </c>
      <c r="CC795" s="129">
        <f>M795-I795+1</f>
        <v>2</v>
      </c>
      <c r="CD795" s="111">
        <f>CC795-BF795</f>
        <v>0</v>
      </c>
      <c r="CE795" s="129">
        <f t="shared" si="595"/>
        <v>428</v>
      </c>
      <c r="CG795" s="129" t="str">
        <f t="shared" si="596"/>
        <v>Y</v>
      </c>
      <c r="CI795" s="129" t="str">
        <f t="shared" si="597"/>
        <v>0-10 DAYS</v>
      </c>
      <c r="CJ795" s="137">
        <f t="shared" si="598"/>
        <v>1</v>
      </c>
      <c r="CK795" s="129" t="str">
        <f t="shared" si="599"/>
        <v>Booked</v>
      </c>
    </row>
    <row r="796" spans="1:89" ht="15.75" customHeight="1" x14ac:dyDescent="0.25">
      <c r="A796" s="111">
        <v>155</v>
      </c>
      <c r="B796" s="128" t="str">
        <f t="shared" si="581"/>
        <v>N</v>
      </c>
      <c r="C796" s="128" t="str">
        <f t="shared" si="582"/>
        <v>N</v>
      </c>
      <c r="D796" s="117">
        <v>1542070</v>
      </c>
      <c r="E796" s="135">
        <f t="shared" si="583"/>
        <v>2</v>
      </c>
      <c r="F796" s="124">
        <v>40915</v>
      </c>
      <c r="G796" s="125">
        <v>41078</v>
      </c>
      <c r="H796" s="117">
        <v>1542070</v>
      </c>
      <c r="I796" s="124">
        <v>40915</v>
      </c>
      <c r="J796" s="124">
        <v>41078</v>
      </c>
      <c r="K796" s="126">
        <v>30000</v>
      </c>
      <c r="L796" s="129" t="s">
        <v>572</v>
      </c>
      <c r="N796" s="129" t="str">
        <f t="shared" si="608"/>
        <v>N</v>
      </c>
      <c r="O796" s="128" t="s">
        <v>917</v>
      </c>
      <c r="P796" s="129" t="s">
        <v>589</v>
      </c>
      <c r="Q796" s="111">
        <f t="shared" si="602"/>
        <v>164</v>
      </c>
      <c r="R796" s="111">
        <f t="shared" si="577"/>
        <v>164</v>
      </c>
      <c r="S796" s="129">
        <v>1</v>
      </c>
      <c r="T796" s="129">
        <v>1</v>
      </c>
      <c r="W796" s="111"/>
      <c r="AC796" s="130"/>
      <c r="AD796" s="130">
        <v>20954</v>
      </c>
      <c r="AE796" s="128" t="s">
        <v>32</v>
      </c>
      <c r="AF796" s="128" t="s">
        <v>33</v>
      </c>
      <c r="AG796" s="128" t="s">
        <v>872</v>
      </c>
      <c r="AH796" s="108" t="s">
        <v>31</v>
      </c>
      <c r="AI796" s="128" t="s">
        <v>34</v>
      </c>
      <c r="AJ796" s="129" t="s">
        <v>48</v>
      </c>
      <c r="AK796" s="129">
        <v>7</v>
      </c>
      <c r="AL796" s="3" t="s">
        <v>48</v>
      </c>
      <c r="AP796" s="129" t="s">
        <v>132</v>
      </c>
      <c r="AR796" s="128" t="s">
        <v>92</v>
      </c>
      <c r="AS796" s="129" t="s">
        <v>82</v>
      </c>
      <c r="BC796" s="129" t="s">
        <v>52</v>
      </c>
      <c r="BF796" s="111">
        <f t="shared" si="609"/>
        <v>164</v>
      </c>
      <c r="BG796" s="111">
        <f t="shared" si="610"/>
        <v>164</v>
      </c>
      <c r="BH796" s="111">
        <f t="shared" si="578"/>
        <v>164</v>
      </c>
      <c r="BI796" s="111">
        <f t="shared" si="579"/>
        <v>54.538251366120221</v>
      </c>
      <c r="BJ796" s="129">
        <f t="shared" si="600"/>
        <v>0</v>
      </c>
      <c r="BK796" s="129">
        <f t="shared" si="580"/>
        <v>0</v>
      </c>
      <c r="BL796" s="129" t="str">
        <f t="shared" si="612"/>
        <v>DEFERRED</v>
      </c>
      <c r="BM796" s="129" t="str">
        <f t="shared" si="601"/>
        <v>NONE</v>
      </c>
      <c r="BN796" s="129" t="s">
        <v>566</v>
      </c>
      <c r="BP796" s="137" t="str">
        <f t="shared" si="584"/>
        <v>DEFERRED</v>
      </c>
      <c r="BQ796" s="128" t="str">
        <f t="shared" si="585"/>
        <v>Y</v>
      </c>
      <c r="BR796" s="129" t="str">
        <f t="shared" si="586"/>
        <v>DETAINED</v>
      </c>
      <c r="BS796" s="129" t="str">
        <f t="shared" si="587"/>
        <v>DISPOSED</v>
      </c>
      <c r="BT796" s="129" t="str">
        <f t="shared" si="588"/>
        <v>Y</v>
      </c>
      <c r="BU796" s="109">
        <f t="shared" si="589"/>
        <v>1</v>
      </c>
      <c r="BV796" s="109">
        <f t="shared" si="590"/>
        <v>1</v>
      </c>
      <c r="BW796" s="109">
        <f t="shared" si="570"/>
        <v>0</v>
      </c>
      <c r="BX796" s="111">
        <f t="shared" si="591"/>
        <v>0</v>
      </c>
      <c r="BY796" s="129">
        <f t="shared" si="592"/>
        <v>-164</v>
      </c>
      <c r="BZ796" s="111">
        <f t="shared" si="593"/>
        <v>0</v>
      </c>
      <c r="CA796" s="138">
        <f t="shared" si="594"/>
        <v>164</v>
      </c>
      <c r="CB796" s="111" t="e">
        <f t="shared" si="611"/>
        <v>#VALUE!</v>
      </c>
      <c r="CC796" s="129">
        <f>G796-I796+1</f>
        <v>164</v>
      </c>
      <c r="CD796" s="129">
        <f>G796-J796</f>
        <v>0</v>
      </c>
      <c r="CE796" s="129">
        <f t="shared" si="595"/>
        <v>0</v>
      </c>
      <c r="CG796" s="129" t="str">
        <f t="shared" si="596"/>
        <v>Y</v>
      </c>
      <c r="CI796" s="129" t="str">
        <f t="shared" si="597"/>
        <v>121-365 DAYS</v>
      </c>
      <c r="CJ796" s="137">
        <f t="shared" si="598"/>
        <v>6</v>
      </c>
      <c r="CK796" s="129" t="str">
        <f t="shared" si="599"/>
        <v>Booked</v>
      </c>
    </row>
    <row r="797" spans="1:89" ht="15" customHeight="1" x14ac:dyDescent="0.25">
      <c r="A797" s="111">
        <v>669</v>
      </c>
      <c r="B797" s="128" t="str">
        <f t="shared" si="581"/>
        <v>N</v>
      </c>
      <c r="C797" s="128" t="str">
        <f t="shared" si="582"/>
        <v>N</v>
      </c>
      <c r="D797" s="117">
        <v>1544122</v>
      </c>
      <c r="E797" s="135">
        <f t="shared" si="583"/>
        <v>1</v>
      </c>
      <c r="F797" s="124">
        <v>40935</v>
      </c>
      <c r="G797" s="125">
        <v>40941</v>
      </c>
      <c r="H797" s="117">
        <v>1544122</v>
      </c>
      <c r="I797" s="124">
        <v>40935</v>
      </c>
      <c r="J797" s="124">
        <v>40941</v>
      </c>
      <c r="K797" s="126">
        <v>15000</v>
      </c>
      <c r="L797" s="127" t="s">
        <v>571</v>
      </c>
      <c r="N797" s="129" t="str">
        <f t="shared" si="608"/>
        <v>N</v>
      </c>
      <c r="O797" s="128" t="s">
        <v>917</v>
      </c>
      <c r="P797" s="129" t="s">
        <v>55</v>
      </c>
      <c r="Q797" s="111">
        <f t="shared" si="602"/>
        <v>7</v>
      </c>
      <c r="R797" s="111">
        <f t="shared" si="577"/>
        <v>7</v>
      </c>
      <c r="S797" s="129">
        <v>3</v>
      </c>
      <c r="T797" s="129">
        <v>2</v>
      </c>
      <c r="U797" s="129">
        <v>3</v>
      </c>
      <c r="W797" s="111"/>
      <c r="AC797" s="130"/>
      <c r="AD797" s="130">
        <v>22982</v>
      </c>
      <c r="AE797" s="128" t="s">
        <v>32</v>
      </c>
      <c r="AF797" s="128" t="s">
        <v>69</v>
      </c>
      <c r="AG797" s="128" t="s">
        <v>874</v>
      </c>
      <c r="AH797" s="108" t="s">
        <v>58</v>
      </c>
      <c r="AI797" s="128" t="s">
        <v>62</v>
      </c>
      <c r="AJ797" s="129" t="s">
        <v>55</v>
      </c>
      <c r="AK797" s="129">
        <v>3</v>
      </c>
      <c r="AL797" s="3" t="s">
        <v>55</v>
      </c>
      <c r="AP797" s="129" t="s">
        <v>132</v>
      </c>
      <c r="AR797" s="128" t="s">
        <v>92</v>
      </c>
      <c r="AS797" s="129" t="s">
        <v>82</v>
      </c>
      <c r="BC797" s="129" t="s">
        <v>38</v>
      </c>
      <c r="BF797" s="111">
        <f t="shared" si="609"/>
        <v>7</v>
      </c>
      <c r="BG797" s="111">
        <f t="shared" si="610"/>
        <v>7</v>
      </c>
      <c r="BH797" s="111">
        <f t="shared" si="578"/>
        <v>7</v>
      </c>
      <c r="BI797" s="111">
        <f t="shared" si="579"/>
        <v>49.051912568306008</v>
      </c>
      <c r="BJ797" s="129">
        <f t="shared" si="600"/>
        <v>0</v>
      </c>
      <c r="BK797" s="129">
        <f t="shared" si="580"/>
        <v>0</v>
      </c>
      <c r="BL797" s="129" t="str">
        <f t="shared" si="612"/>
        <v>NO CONVICTION</v>
      </c>
      <c r="BM797" s="129" t="str">
        <f t="shared" si="601"/>
        <v>NONE</v>
      </c>
      <c r="BN797" s="129" t="s">
        <v>566</v>
      </c>
      <c r="BP797" s="137" t="str">
        <f t="shared" si="584"/>
        <v>NO CONVICTION</v>
      </c>
      <c r="BQ797" s="128" t="str">
        <f t="shared" si="585"/>
        <v>Y</v>
      </c>
      <c r="BR797" s="129" t="str">
        <f t="shared" si="586"/>
        <v>DETAINED</v>
      </c>
      <c r="BS797" s="129" t="str">
        <f t="shared" si="587"/>
        <v>DISPOSED</v>
      </c>
      <c r="BT797" s="129" t="str">
        <f t="shared" si="588"/>
        <v>Y</v>
      </c>
      <c r="BU797" s="109">
        <f>IFERROR(Q797/R797,BR797)</f>
        <v>1</v>
      </c>
      <c r="BV797" s="109">
        <f t="shared" si="590"/>
        <v>1</v>
      </c>
      <c r="BW797" s="109">
        <f t="shared" si="570"/>
        <v>0</v>
      </c>
      <c r="BX797" s="111">
        <f t="shared" si="591"/>
        <v>0</v>
      </c>
      <c r="BY797" s="129">
        <f t="shared" si="592"/>
        <v>-7</v>
      </c>
      <c r="BZ797" s="111">
        <f t="shared" si="593"/>
        <v>0</v>
      </c>
      <c r="CA797" s="138">
        <f t="shared" si="594"/>
        <v>7</v>
      </c>
      <c r="CB797" s="111" t="e">
        <f t="shared" si="611"/>
        <v>#VALUE!</v>
      </c>
      <c r="CC797" s="129">
        <f>G797-I797+1</f>
        <v>7</v>
      </c>
      <c r="CD797" s="129">
        <f>G797-J797</f>
        <v>0</v>
      </c>
      <c r="CE797" s="129">
        <f t="shared" si="595"/>
        <v>0</v>
      </c>
      <c r="CG797" s="129" t="str">
        <f t="shared" si="596"/>
        <v>Y</v>
      </c>
      <c r="CI797" s="129" t="str">
        <f t="shared" si="597"/>
        <v>0-10 DAYS</v>
      </c>
      <c r="CJ797" s="137">
        <f t="shared" si="598"/>
        <v>1</v>
      </c>
      <c r="CK797" s="129" t="str">
        <f t="shared" si="599"/>
        <v>Booked</v>
      </c>
    </row>
    <row r="798" spans="1:89" ht="15.75" customHeight="1" x14ac:dyDescent="0.25">
      <c r="A798" s="111">
        <v>2263</v>
      </c>
      <c r="B798" s="128" t="str">
        <f t="shared" si="581"/>
        <v>N</v>
      </c>
      <c r="C798" s="128" t="str">
        <f t="shared" si="582"/>
        <v>N</v>
      </c>
      <c r="D798" s="117">
        <v>1550541</v>
      </c>
      <c r="E798" s="135">
        <f t="shared" si="583"/>
        <v>1</v>
      </c>
      <c r="F798" s="124">
        <v>40995</v>
      </c>
      <c r="G798" s="125">
        <v>41347</v>
      </c>
      <c r="H798" s="117">
        <v>1550541</v>
      </c>
      <c r="I798" s="124">
        <v>40995</v>
      </c>
      <c r="J798" s="125">
        <v>41347</v>
      </c>
      <c r="K798" s="126">
        <v>20000</v>
      </c>
      <c r="L798" s="127" t="s">
        <v>571</v>
      </c>
      <c r="N798" s="129" t="str">
        <f t="shared" si="608"/>
        <v>N</v>
      </c>
      <c r="O798" s="128" t="s">
        <v>917</v>
      </c>
      <c r="P798" s="129" t="s">
        <v>55</v>
      </c>
      <c r="Q798" s="111">
        <f t="shared" si="602"/>
        <v>353</v>
      </c>
      <c r="R798" s="111">
        <f t="shared" si="577"/>
        <v>353</v>
      </c>
      <c r="S798" s="129">
        <v>6</v>
      </c>
      <c r="T798" s="129">
        <v>12</v>
      </c>
      <c r="U798" s="129">
        <v>3</v>
      </c>
      <c r="V798" s="117">
        <v>1</v>
      </c>
      <c r="W798" s="111"/>
      <c r="AC798" s="130"/>
      <c r="AD798" s="130">
        <v>29039</v>
      </c>
      <c r="AE798" s="128" t="s">
        <v>32</v>
      </c>
      <c r="AF798" s="128" t="s">
        <v>33</v>
      </c>
      <c r="AG798" s="128" t="s">
        <v>872</v>
      </c>
      <c r="AH798" s="108" t="s">
        <v>31</v>
      </c>
      <c r="AI798" s="128" t="s">
        <v>118</v>
      </c>
      <c r="AJ798" s="129" t="s">
        <v>55</v>
      </c>
      <c r="AK798" s="129">
        <v>10</v>
      </c>
      <c r="AL798" s="3" t="s">
        <v>55</v>
      </c>
      <c r="AP798" s="129" t="s">
        <v>136</v>
      </c>
      <c r="AR798" s="128" t="s">
        <v>67</v>
      </c>
      <c r="AS798" s="129" t="s">
        <v>64</v>
      </c>
      <c r="BC798" s="129" t="s">
        <v>38</v>
      </c>
      <c r="BF798" s="111">
        <f t="shared" si="609"/>
        <v>353</v>
      </c>
      <c r="BG798" s="111">
        <f t="shared" si="610"/>
        <v>353</v>
      </c>
      <c r="BH798" s="111">
        <f t="shared" si="578"/>
        <v>353</v>
      </c>
      <c r="BI798" s="111">
        <f t="shared" si="579"/>
        <v>32.666666666666664</v>
      </c>
      <c r="BJ798" s="129">
        <f t="shared" si="600"/>
        <v>0</v>
      </c>
      <c r="BK798" s="129">
        <f t="shared" si="580"/>
        <v>0</v>
      </c>
      <c r="BL798" s="129" t="str">
        <f t="shared" si="612"/>
        <v>NO CONVICTION</v>
      </c>
      <c r="BM798" s="129" t="str">
        <f t="shared" si="601"/>
        <v>NONE</v>
      </c>
      <c r="BN798" s="129" t="s">
        <v>566</v>
      </c>
      <c r="BP798" s="137" t="str">
        <f t="shared" si="584"/>
        <v>NO CONVICTION</v>
      </c>
      <c r="BQ798" s="128" t="str">
        <f t="shared" si="585"/>
        <v>Y</v>
      </c>
      <c r="BR798" s="129" t="str">
        <f t="shared" si="586"/>
        <v>DETAINED</v>
      </c>
      <c r="BS798" s="129" t="str">
        <f t="shared" si="587"/>
        <v>DISPOSED</v>
      </c>
      <c r="BT798" s="129" t="str">
        <f t="shared" si="588"/>
        <v>Y</v>
      </c>
      <c r="BU798" s="109">
        <f>IFERROR(Q798/R798,BR798)</f>
        <v>1</v>
      </c>
      <c r="BV798" s="109">
        <f t="shared" si="590"/>
        <v>1</v>
      </c>
      <c r="BW798" s="109">
        <f t="shared" si="570"/>
        <v>0</v>
      </c>
      <c r="BX798" s="111">
        <f t="shared" si="591"/>
        <v>0</v>
      </c>
      <c r="BY798" s="129">
        <f t="shared" si="592"/>
        <v>-353</v>
      </c>
      <c r="BZ798" s="111">
        <f t="shared" si="593"/>
        <v>0</v>
      </c>
      <c r="CA798" s="138">
        <f t="shared" si="594"/>
        <v>353</v>
      </c>
      <c r="CB798" s="111" t="e">
        <f t="shared" si="611"/>
        <v>#VALUE!</v>
      </c>
      <c r="CC798" s="129">
        <f>G798-I798+1</f>
        <v>353</v>
      </c>
      <c r="CD798" s="129">
        <f>G798-J798</f>
        <v>0</v>
      </c>
      <c r="CE798" s="129">
        <f t="shared" si="595"/>
        <v>0</v>
      </c>
      <c r="CG798" s="129" t="str">
        <f t="shared" si="596"/>
        <v>Y</v>
      </c>
      <c r="CI798" s="129" t="str">
        <f t="shared" si="597"/>
        <v>121-365 DAYS</v>
      </c>
      <c r="CJ798" s="137">
        <f t="shared" si="598"/>
        <v>6</v>
      </c>
      <c r="CK798" s="129" t="str">
        <f t="shared" si="599"/>
        <v>Booked</v>
      </c>
    </row>
    <row r="799" spans="1:89" ht="15" customHeight="1" x14ac:dyDescent="0.25">
      <c r="A799" s="111">
        <v>452</v>
      </c>
      <c r="B799" s="128" t="str">
        <f t="shared" si="581"/>
        <v>N</v>
      </c>
      <c r="C799" s="128" t="str">
        <f t="shared" si="582"/>
        <v>N</v>
      </c>
      <c r="D799" s="117">
        <v>1551315</v>
      </c>
      <c r="E799" s="135">
        <f t="shared" si="583"/>
        <v>5</v>
      </c>
      <c r="F799" s="124">
        <v>40927</v>
      </c>
      <c r="G799" s="125">
        <v>41052</v>
      </c>
      <c r="H799" s="117">
        <v>1551315</v>
      </c>
      <c r="I799" s="124">
        <v>40928</v>
      </c>
      <c r="J799" s="124">
        <v>41052</v>
      </c>
      <c r="K799" s="126">
        <v>2000</v>
      </c>
      <c r="L799" s="127" t="s">
        <v>568</v>
      </c>
      <c r="N799" s="129" t="str">
        <f t="shared" si="608"/>
        <v>N</v>
      </c>
      <c r="O799" s="128" t="s">
        <v>917</v>
      </c>
      <c r="P799" s="129" t="s">
        <v>39</v>
      </c>
      <c r="Q799" s="111">
        <f t="shared" si="602"/>
        <v>125</v>
      </c>
      <c r="R799" s="111">
        <f t="shared" si="577"/>
        <v>126</v>
      </c>
      <c r="S799" s="129">
        <v>0</v>
      </c>
      <c r="T799" s="129">
        <v>5</v>
      </c>
      <c r="W799" s="111"/>
      <c r="AC799" s="130"/>
      <c r="AD799" s="130">
        <v>28701</v>
      </c>
      <c r="AE799" s="128" t="s">
        <v>46</v>
      </c>
      <c r="AF799" s="128" t="s">
        <v>69</v>
      </c>
      <c r="AG799" s="128" t="s">
        <v>874</v>
      </c>
      <c r="AH799" s="108" t="s">
        <v>31</v>
      </c>
      <c r="AI799" s="128" t="s">
        <v>83</v>
      </c>
      <c r="AJ799" s="129" t="s">
        <v>89</v>
      </c>
      <c r="AK799" s="129">
        <v>5</v>
      </c>
      <c r="AL799" s="3" t="s">
        <v>992</v>
      </c>
      <c r="AN799" s="117">
        <v>9</v>
      </c>
      <c r="AP799" s="129" t="s">
        <v>108</v>
      </c>
      <c r="AR799" s="128" t="s">
        <v>44</v>
      </c>
      <c r="AS799" s="129" t="s">
        <v>61</v>
      </c>
      <c r="BC799" s="129" t="s">
        <v>52</v>
      </c>
      <c r="BF799" s="111">
        <f t="shared" si="609"/>
        <v>125</v>
      </c>
      <c r="BG799" s="111">
        <f t="shared" si="610"/>
        <v>125</v>
      </c>
      <c r="BH799" s="111">
        <f t="shared" si="578"/>
        <v>126</v>
      </c>
      <c r="BI799" s="111">
        <f t="shared" si="579"/>
        <v>33.404371584699454</v>
      </c>
      <c r="BJ799" s="129">
        <f t="shared" si="600"/>
        <v>0</v>
      </c>
      <c r="BK799" s="129">
        <f t="shared" si="580"/>
        <v>0</v>
      </c>
      <c r="BL799" s="129" t="str">
        <f t="shared" si="612"/>
        <v>CONVICTION</v>
      </c>
      <c r="BM799" s="129" t="str">
        <f t="shared" si="601"/>
        <v>NONE</v>
      </c>
      <c r="BN799" s="129" t="s">
        <v>566</v>
      </c>
      <c r="BP799" s="137" t="str">
        <f t="shared" si="584"/>
        <v>CONVICTION</v>
      </c>
      <c r="BQ799" s="128" t="str">
        <f t="shared" si="585"/>
        <v>Y</v>
      </c>
      <c r="BR799" s="129" t="str">
        <f t="shared" si="586"/>
        <v>DETAINED</v>
      </c>
      <c r="BS799" s="129" t="str">
        <f t="shared" si="587"/>
        <v>DISPOSED</v>
      </c>
      <c r="BT799" s="129" t="str">
        <f t="shared" si="588"/>
        <v>N</v>
      </c>
      <c r="BU799" s="109">
        <f t="shared" si="589"/>
        <v>0.99206349206349209</v>
      </c>
      <c r="BV799" s="109">
        <f t="shared" si="590"/>
        <v>1</v>
      </c>
      <c r="BW799" s="109">
        <f t="shared" si="570"/>
        <v>7.9365079365079083E-3</v>
      </c>
      <c r="BX799" s="111">
        <f t="shared" si="591"/>
        <v>0</v>
      </c>
      <c r="BY799" s="129">
        <f t="shared" si="592"/>
        <v>-125</v>
      </c>
      <c r="BZ799" s="111">
        <f t="shared" si="593"/>
        <v>0</v>
      </c>
      <c r="CA799" s="138">
        <f t="shared" si="594"/>
        <v>125</v>
      </c>
      <c r="CB799" s="111" t="e">
        <f t="shared" si="611"/>
        <v>#VALUE!</v>
      </c>
      <c r="CC799" s="129">
        <f>G799-I799+1</f>
        <v>125</v>
      </c>
      <c r="CD799" s="129">
        <f>G799-J799</f>
        <v>0</v>
      </c>
      <c r="CE799" s="129">
        <f t="shared" si="595"/>
        <v>0</v>
      </c>
      <c r="CG799" s="129" t="str">
        <f t="shared" si="596"/>
        <v>Y</v>
      </c>
      <c r="CI799" s="129" t="str">
        <f t="shared" si="597"/>
        <v>121-365 DAYS</v>
      </c>
      <c r="CJ799" s="137">
        <f t="shared" si="598"/>
        <v>6</v>
      </c>
      <c r="CK799" s="129" t="str">
        <f t="shared" si="599"/>
        <v>Booked</v>
      </c>
    </row>
    <row r="800" spans="1:89" ht="15.75" customHeight="1" x14ac:dyDescent="0.25">
      <c r="A800" s="111">
        <v>272</v>
      </c>
      <c r="B800" s="128" t="str">
        <f t="shared" si="581"/>
        <v>N</v>
      </c>
      <c r="C800" s="128" t="str">
        <f t="shared" si="582"/>
        <v>N</v>
      </c>
      <c r="D800" s="117">
        <v>1552433</v>
      </c>
      <c r="E800" s="135">
        <f t="shared" si="583"/>
        <v>6</v>
      </c>
      <c r="F800" s="124">
        <v>40920</v>
      </c>
      <c r="G800" s="125">
        <v>41114</v>
      </c>
      <c r="H800" s="117">
        <v>1552433</v>
      </c>
      <c r="I800" s="124">
        <v>40920</v>
      </c>
      <c r="J800" s="124">
        <v>41114</v>
      </c>
      <c r="K800" s="126" t="s">
        <v>564</v>
      </c>
      <c r="L800" s="127" t="s">
        <v>564</v>
      </c>
      <c r="N800" s="129" t="s">
        <v>566</v>
      </c>
      <c r="O800" s="128" t="s">
        <v>917</v>
      </c>
      <c r="P800" s="129" t="s">
        <v>39</v>
      </c>
      <c r="Q800" s="111">
        <f t="shared" si="602"/>
        <v>195</v>
      </c>
      <c r="R800" s="111">
        <f t="shared" si="577"/>
        <v>195</v>
      </c>
      <c r="S800" s="129">
        <v>3</v>
      </c>
      <c r="T800" s="129">
        <v>3</v>
      </c>
      <c r="U800" s="129">
        <v>9</v>
      </c>
      <c r="W800" s="111"/>
      <c r="AB800" s="131" t="s">
        <v>112</v>
      </c>
      <c r="AC800" s="130"/>
      <c r="AD800" s="130">
        <v>28976</v>
      </c>
      <c r="AE800" s="128" t="s">
        <v>32</v>
      </c>
      <c r="AF800" s="128" t="s">
        <v>40</v>
      </c>
      <c r="AG800" s="128" t="s">
        <v>41</v>
      </c>
      <c r="AH800" s="108" t="s">
        <v>31</v>
      </c>
      <c r="AI800" s="128" t="s">
        <v>80</v>
      </c>
      <c r="AJ800" s="129" t="s">
        <v>89</v>
      </c>
      <c r="AK800" s="129">
        <v>17</v>
      </c>
      <c r="AL800" s="3" t="s">
        <v>362</v>
      </c>
      <c r="AM800" s="117">
        <v>8</v>
      </c>
      <c r="AP800" s="129" t="s">
        <v>132</v>
      </c>
      <c r="AR800" s="128" t="s">
        <v>92</v>
      </c>
      <c r="AS800" s="129" t="s">
        <v>82</v>
      </c>
      <c r="BC800" s="129" t="s">
        <v>52</v>
      </c>
      <c r="BF800" s="111">
        <f t="shared" si="609"/>
        <v>195</v>
      </c>
      <c r="BG800" s="111">
        <f t="shared" si="610"/>
        <v>195</v>
      </c>
      <c r="BH800" s="111">
        <f t="shared" si="578"/>
        <v>195</v>
      </c>
      <c r="BI800" s="111">
        <f t="shared" si="579"/>
        <v>32.633879781420767</v>
      </c>
      <c r="BJ800" s="129">
        <f t="shared" si="600"/>
        <v>0</v>
      </c>
      <c r="BK800" s="129">
        <f t="shared" si="580"/>
        <v>0</v>
      </c>
      <c r="BL800" s="129" t="str">
        <f t="shared" si="612"/>
        <v>CONVICTION</v>
      </c>
      <c r="BM800" s="129" t="str">
        <f t="shared" si="601"/>
        <v>NONE</v>
      </c>
      <c r="BN800" s="129" t="s">
        <v>566</v>
      </c>
      <c r="BP800" s="137" t="str">
        <f t="shared" si="584"/>
        <v>CONVICTION</v>
      </c>
      <c r="BQ800" s="128" t="str">
        <f t="shared" si="585"/>
        <v>Y</v>
      </c>
      <c r="BR800" s="129" t="str">
        <f t="shared" si="586"/>
        <v>DETAINED</v>
      </c>
      <c r="BS800" s="129" t="str">
        <f t="shared" si="587"/>
        <v>DISPOSED</v>
      </c>
      <c r="BT800" s="129" t="str">
        <f t="shared" si="588"/>
        <v>Y</v>
      </c>
      <c r="BU800" s="109">
        <f t="shared" si="589"/>
        <v>1</v>
      </c>
      <c r="BV800" s="109">
        <f t="shared" si="590"/>
        <v>1</v>
      </c>
      <c r="BW800" s="109">
        <f t="shared" si="570"/>
        <v>0</v>
      </c>
      <c r="BX800" s="111">
        <f t="shared" si="591"/>
        <v>0</v>
      </c>
      <c r="BY800" s="129">
        <f t="shared" si="592"/>
        <v>-195</v>
      </c>
      <c r="BZ800" s="111">
        <f t="shared" si="593"/>
        <v>0</v>
      </c>
      <c r="CA800" s="138">
        <f t="shared" si="594"/>
        <v>195</v>
      </c>
      <c r="CB800" s="111" t="e">
        <f t="shared" si="611"/>
        <v>#VALUE!</v>
      </c>
      <c r="CC800" s="129">
        <f>G800-I800+1</f>
        <v>195</v>
      </c>
      <c r="CD800" s="129">
        <f>G800-J800</f>
        <v>0</v>
      </c>
      <c r="CE800" s="129">
        <f t="shared" si="595"/>
        <v>0</v>
      </c>
      <c r="CG800" s="129" t="str">
        <f t="shared" si="596"/>
        <v>Y</v>
      </c>
      <c r="CI800" s="129" t="str">
        <f t="shared" si="597"/>
        <v>121-365 DAYS</v>
      </c>
      <c r="CJ800" s="137">
        <f t="shared" si="598"/>
        <v>6</v>
      </c>
      <c r="CK800" s="129" t="str">
        <f t="shared" si="599"/>
        <v>Booked</v>
      </c>
    </row>
    <row r="801" spans="1:89" ht="15" customHeight="1" x14ac:dyDescent="0.25">
      <c r="A801" s="111">
        <v>1258</v>
      </c>
      <c r="B801" s="128" t="str">
        <f t="shared" si="581"/>
        <v>N</v>
      </c>
      <c r="C801" s="128" t="str">
        <f t="shared" si="582"/>
        <v>N</v>
      </c>
      <c r="D801" s="117">
        <v>1556473</v>
      </c>
      <c r="E801" s="135">
        <f t="shared" si="583"/>
        <v>1</v>
      </c>
      <c r="F801" s="124">
        <v>40954</v>
      </c>
      <c r="G801" s="125">
        <v>41430</v>
      </c>
      <c r="H801" s="117">
        <v>1556473</v>
      </c>
      <c r="I801" s="124" t="s">
        <v>562</v>
      </c>
      <c r="J801" s="124" t="s">
        <v>562</v>
      </c>
      <c r="K801" s="126">
        <v>4000</v>
      </c>
      <c r="L801" s="127" t="s">
        <v>569</v>
      </c>
      <c r="M801" s="124" t="s">
        <v>562</v>
      </c>
      <c r="N801" s="129" t="str">
        <f>IF(M801&gt;1/1/1,"Y",IF(Q801="NOT BOOKED","","N"))</f>
        <v>Y</v>
      </c>
      <c r="O801" s="128" t="s">
        <v>76</v>
      </c>
      <c r="P801" s="116" t="s">
        <v>55</v>
      </c>
      <c r="Q801" s="111">
        <v>0</v>
      </c>
      <c r="R801" s="111">
        <f t="shared" si="577"/>
        <v>477</v>
      </c>
      <c r="S801" s="129">
        <v>0</v>
      </c>
      <c r="T801" s="129">
        <v>1</v>
      </c>
      <c r="W801" s="111"/>
      <c r="AC801" s="130"/>
      <c r="AD801" s="130">
        <v>28698</v>
      </c>
      <c r="AE801" s="128" t="s">
        <v>32</v>
      </c>
      <c r="AF801" s="128" t="s">
        <v>33</v>
      </c>
      <c r="AG801" s="128" t="s">
        <v>872</v>
      </c>
      <c r="AH801" s="108" t="s">
        <v>31</v>
      </c>
      <c r="AI801" s="128" t="s">
        <v>141</v>
      </c>
      <c r="AJ801" s="129" t="s">
        <v>55</v>
      </c>
      <c r="AL801" s="3" t="s">
        <v>55</v>
      </c>
      <c r="AP801" s="129" t="s">
        <v>43</v>
      </c>
      <c r="AR801" s="128" t="s">
        <v>44</v>
      </c>
      <c r="AS801" s="129" t="s">
        <v>45</v>
      </c>
      <c r="BC801" s="129" t="s">
        <v>52</v>
      </c>
      <c r="BF801" s="111">
        <v>0</v>
      </c>
      <c r="BG801" s="111" t="e">
        <f t="shared" si="610"/>
        <v>#VALUE!</v>
      </c>
      <c r="BH801" s="111">
        <f t="shared" si="578"/>
        <v>477</v>
      </c>
      <c r="BI801" s="111">
        <f t="shared" si="579"/>
        <v>33.486338797814206</v>
      </c>
      <c r="BJ801" s="129" t="e">
        <f>(G801-J801)+(M801-G801)</f>
        <v>#VALUE!</v>
      </c>
      <c r="BK801" s="129" t="e">
        <f t="shared" si="580"/>
        <v>#VALUE!</v>
      </c>
      <c r="BL801" s="129" t="str">
        <f t="shared" si="612"/>
        <v>NO CONVICTION</v>
      </c>
      <c r="BM801" s="129" t="s">
        <v>76</v>
      </c>
      <c r="BN801" s="129" t="s">
        <v>566</v>
      </c>
      <c r="BP801" s="137" t="str">
        <f t="shared" si="584"/>
        <v>NO CONVICTION</v>
      </c>
      <c r="BQ801" s="128">
        <f t="shared" si="585"/>
        <v>0</v>
      </c>
      <c r="BR801" s="129" t="s">
        <v>575</v>
      </c>
      <c r="BS801" s="129" t="str">
        <f t="shared" si="587"/>
        <v>DISPOSED</v>
      </c>
      <c r="BT801" s="129" t="str">
        <f t="shared" si="588"/>
        <v>N</v>
      </c>
      <c r="BU801" s="109">
        <f>IFERROR(Q801/R801,BR801)</f>
        <v>0</v>
      </c>
      <c r="BV801" s="109">
        <v>0</v>
      </c>
      <c r="BW801" s="109">
        <f t="shared" si="570"/>
        <v>0</v>
      </c>
      <c r="BX801" s="111">
        <f t="shared" si="591"/>
        <v>0</v>
      </c>
      <c r="BY801" s="129" t="e">
        <f t="shared" si="592"/>
        <v>#VALUE!</v>
      </c>
      <c r="BZ801" s="111" t="e">
        <f t="shared" si="593"/>
        <v>#VALUE!</v>
      </c>
      <c r="CA801" s="138" t="e">
        <f t="shared" si="594"/>
        <v>#VALUE!</v>
      </c>
      <c r="CB801" s="111" t="s">
        <v>562</v>
      </c>
      <c r="CC801" s="129">
        <v>0</v>
      </c>
      <c r="CD801" s="111">
        <f>CC801-BF801</f>
        <v>0</v>
      </c>
      <c r="CE801" s="129" t="e">
        <f t="shared" si="595"/>
        <v>#VALUE!</v>
      </c>
      <c r="CG801" s="129" t="str">
        <f t="shared" si="596"/>
        <v>Y</v>
      </c>
      <c r="CI801" s="129" t="str">
        <f t="shared" si="597"/>
        <v>0-10 DAYS</v>
      </c>
      <c r="CJ801" s="137">
        <f t="shared" si="598"/>
        <v>1</v>
      </c>
      <c r="CK801" s="129" t="str">
        <f t="shared" si="599"/>
        <v>Not Booked</v>
      </c>
    </row>
    <row r="802" spans="1:89" ht="15" customHeight="1" x14ac:dyDescent="0.25">
      <c r="A802" s="111">
        <v>953</v>
      </c>
      <c r="B802" s="128" t="str">
        <f t="shared" si="581"/>
        <v>N</v>
      </c>
      <c r="C802" s="128" t="str">
        <f t="shared" si="582"/>
        <v>N</v>
      </c>
      <c r="D802" s="117">
        <v>1556923</v>
      </c>
      <c r="E802" s="135">
        <f t="shared" si="583"/>
        <v>5</v>
      </c>
      <c r="F802" s="124">
        <v>40943</v>
      </c>
      <c r="G802" s="125">
        <v>40945</v>
      </c>
      <c r="H802" s="117">
        <v>1556923</v>
      </c>
      <c r="I802" s="124">
        <v>40944</v>
      </c>
      <c r="J802" s="124">
        <v>40945</v>
      </c>
      <c r="K802" s="126">
        <v>15000</v>
      </c>
      <c r="L802" s="127" t="s">
        <v>571</v>
      </c>
      <c r="N802" s="129" t="str">
        <f>IF(M802&gt;1/1/1,"Y","N")</f>
        <v>N</v>
      </c>
      <c r="O802" s="128" t="s">
        <v>917</v>
      </c>
      <c r="P802" s="129" t="s">
        <v>39</v>
      </c>
      <c r="Q802" s="111">
        <f t="shared" si="602"/>
        <v>2</v>
      </c>
      <c r="R802" s="111">
        <f t="shared" si="577"/>
        <v>3</v>
      </c>
      <c r="S802" s="129">
        <v>7</v>
      </c>
      <c r="T802" s="129">
        <v>0</v>
      </c>
      <c r="U802" s="129">
        <v>5</v>
      </c>
      <c r="W802" s="111"/>
      <c r="AC802" s="130"/>
      <c r="AD802" s="130">
        <v>28847</v>
      </c>
      <c r="AE802" s="128" t="s">
        <v>32</v>
      </c>
      <c r="AF802" s="128" t="s">
        <v>69</v>
      </c>
      <c r="AG802" s="128" t="s">
        <v>874</v>
      </c>
      <c r="AH802" s="108" t="s">
        <v>58</v>
      </c>
      <c r="AI802" s="128" t="s">
        <v>113</v>
      </c>
      <c r="AJ802" s="129" t="s">
        <v>89</v>
      </c>
      <c r="AK802" s="129">
        <v>1</v>
      </c>
      <c r="AL802" s="3" t="s">
        <v>992</v>
      </c>
      <c r="AN802" s="117">
        <v>9</v>
      </c>
      <c r="AP802" s="129" t="s">
        <v>121</v>
      </c>
      <c r="AR802" s="128" t="s">
        <v>44</v>
      </c>
      <c r="AS802" s="129" t="s">
        <v>122</v>
      </c>
      <c r="BC802" s="129" t="s">
        <v>38</v>
      </c>
      <c r="BF802" s="111">
        <f t="shared" ref="BF802:BF811" si="613">IF(J802&gt;1/1/1900,((J802+1)-I802),"STILL OPEN")</f>
        <v>2</v>
      </c>
      <c r="BG802" s="111">
        <f t="shared" si="610"/>
        <v>2</v>
      </c>
      <c r="BH802" s="111">
        <f t="shared" si="578"/>
        <v>3</v>
      </c>
      <c r="BI802" s="111">
        <f t="shared" si="579"/>
        <v>33.049180327868854</v>
      </c>
      <c r="BJ802" s="129">
        <f t="shared" si="600"/>
        <v>0</v>
      </c>
      <c r="BK802" s="129">
        <f t="shared" si="580"/>
        <v>0</v>
      </c>
      <c r="BL802" s="129" t="str">
        <f t="shared" si="612"/>
        <v>CONVICTION</v>
      </c>
      <c r="BM802" s="129" t="str">
        <f t="shared" si="601"/>
        <v>NONE</v>
      </c>
      <c r="BN802" s="129" t="s">
        <v>566</v>
      </c>
      <c r="BP802" s="137" t="str">
        <f t="shared" si="584"/>
        <v>CONVICTION</v>
      </c>
      <c r="BQ802" s="128" t="str">
        <f t="shared" si="585"/>
        <v>Y</v>
      </c>
      <c r="BR802" s="129" t="str">
        <f t="shared" si="586"/>
        <v>DETAINED</v>
      </c>
      <c r="BS802" s="129" t="str">
        <f t="shared" si="587"/>
        <v>DISPOSED</v>
      </c>
      <c r="BT802" s="129" t="str">
        <f t="shared" si="588"/>
        <v>Y</v>
      </c>
      <c r="BU802" s="109">
        <f t="shared" si="589"/>
        <v>0.66666666666666663</v>
      </c>
      <c r="BV802" s="109">
        <f t="shared" si="590"/>
        <v>1</v>
      </c>
      <c r="BW802" s="109">
        <f t="shared" si="570"/>
        <v>0.33333333333333337</v>
      </c>
      <c r="BX802" s="111">
        <f t="shared" si="591"/>
        <v>0</v>
      </c>
      <c r="BY802" s="129">
        <f t="shared" si="592"/>
        <v>-2</v>
      </c>
      <c r="BZ802" s="111">
        <f t="shared" si="593"/>
        <v>0</v>
      </c>
      <c r="CA802" s="138">
        <f t="shared" si="594"/>
        <v>2</v>
      </c>
      <c r="CB802" s="111" t="e">
        <f t="shared" ref="CB802:CB811" si="614">IF(AF802&gt;1/1/1900,((AF802+1)-AE802),"STILL OPEN")</f>
        <v>#VALUE!</v>
      </c>
      <c r="CC802" s="129">
        <f>G802-I802+1</f>
        <v>2</v>
      </c>
      <c r="CD802" s="129">
        <f>G802-J802</f>
        <v>0</v>
      </c>
      <c r="CE802" s="129">
        <f t="shared" si="595"/>
        <v>0</v>
      </c>
      <c r="CG802" s="129" t="str">
        <f t="shared" si="596"/>
        <v>Y</v>
      </c>
      <c r="CI802" s="129" t="str">
        <f t="shared" si="597"/>
        <v>0-10 DAYS</v>
      </c>
      <c r="CJ802" s="137">
        <f t="shared" si="598"/>
        <v>1</v>
      </c>
      <c r="CK802" s="129" t="str">
        <f t="shared" si="599"/>
        <v>Booked</v>
      </c>
    </row>
    <row r="803" spans="1:89" ht="15" customHeight="1" x14ac:dyDescent="0.25">
      <c r="A803" s="111">
        <v>553</v>
      </c>
      <c r="B803" s="128" t="str">
        <f t="shared" si="581"/>
        <v>N</v>
      </c>
      <c r="C803" s="128" t="str">
        <f t="shared" si="582"/>
        <v>N</v>
      </c>
      <c r="D803" s="117">
        <v>1557189</v>
      </c>
      <c r="E803" s="135">
        <f t="shared" si="583"/>
        <v>4</v>
      </c>
      <c r="F803" s="124">
        <v>40931</v>
      </c>
      <c r="G803" s="125">
        <v>40932</v>
      </c>
      <c r="H803" s="117">
        <v>1557189</v>
      </c>
      <c r="I803" s="124">
        <v>40931</v>
      </c>
      <c r="J803" s="124">
        <v>40932</v>
      </c>
      <c r="K803" s="126">
        <v>2000</v>
      </c>
      <c r="L803" s="127" t="s">
        <v>568</v>
      </c>
      <c r="N803" s="129" t="str">
        <f>IF(M803&gt;1/1/1,"Y","N")</f>
        <v>N</v>
      </c>
      <c r="O803" s="128" t="s">
        <v>917</v>
      </c>
      <c r="P803" s="129" t="s">
        <v>39</v>
      </c>
      <c r="Q803" s="111">
        <f t="shared" si="602"/>
        <v>2</v>
      </c>
      <c r="R803" s="111">
        <f t="shared" si="577"/>
        <v>2</v>
      </c>
      <c r="S803" s="129">
        <v>0</v>
      </c>
      <c r="T803" s="129">
        <v>1</v>
      </c>
      <c r="W803" s="111"/>
      <c r="AC803" s="130"/>
      <c r="AD803" s="130">
        <v>26703</v>
      </c>
      <c r="AE803" s="128" t="s">
        <v>32</v>
      </c>
      <c r="AF803" s="128" t="s">
        <v>40</v>
      </c>
      <c r="AG803" s="128" t="s">
        <v>41</v>
      </c>
      <c r="AH803" s="108" t="s">
        <v>41</v>
      </c>
      <c r="AI803" s="128" t="s">
        <v>59</v>
      </c>
      <c r="AJ803" s="129" t="s">
        <v>89</v>
      </c>
      <c r="AK803" s="129">
        <v>1</v>
      </c>
      <c r="AL803" s="3" t="s">
        <v>991</v>
      </c>
      <c r="AO803" s="128">
        <v>120</v>
      </c>
      <c r="AP803" s="129" t="s">
        <v>43</v>
      </c>
      <c r="AR803" s="128" t="s">
        <v>44</v>
      </c>
      <c r="AS803" s="129" t="s">
        <v>45</v>
      </c>
      <c r="BC803" s="129" t="s">
        <v>38</v>
      </c>
      <c r="BF803" s="111">
        <f t="shared" si="613"/>
        <v>2</v>
      </c>
      <c r="BG803" s="111">
        <f t="shared" si="610"/>
        <v>2</v>
      </c>
      <c r="BH803" s="111">
        <f t="shared" si="578"/>
        <v>2</v>
      </c>
      <c r="BI803" s="111">
        <f t="shared" si="579"/>
        <v>38.874316939890711</v>
      </c>
      <c r="BJ803" s="129">
        <f t="shared" si="600"/>
        <v>0</v>
      </c>
      <c r="BK803" s="129">
        <f t="shared" si="580"/>
        <v>0</v>
      </c>
      <c r="BL803" s="129" t="str">
        <f t="shared" si="612"/>
        <v>CONVICTION</v>
      </c>
      <c r="BM803" s="129" t="str">
        <f t="shared" si="601"/>
        <v>NONE</v>
      </c>
      <c r="BN803" s="129" t="s">
        <v>566</v>
      </c>
      <c r="BP803" s="137" t="str">
        <f t="shared" si="584"/>
        <v>CONVICTION</v>
      </c>
      <c r="BQ803" s="128" t="str">
        <f t="shared" si="585"/>
        <v>Y</v>
      </c>
      <c r="BR803" s="129" t="str">
        <f t="shared" si="586"/>
        <v>DETAINED</v>
      </c>
      <c r="BS803" s="129" t="str">
        <f t="shared" si="587"/>
        <v>DISPOSED</v>
      </c>
      <c r="BT803" s="129" t="str">
        <f t="shared" si="588"/>
        <v>N</v>
      </c>
      <c r="BU803" s="109">
        <f t="shared" si="589"/>
        <v>1</v>
      </c>
      <c r="BV803" s="109">
        <f t="shared" si="590"/>
        <v>1</v>
      </c>
      <c r="BW803" s="109">
        <f t="shared" si="570"/>
        <v>0</v>
      </c>
      <c r="BX803" s="111">
        <f t="shared" si="591"/>
        <v>0</v>
      </c>
      <c r="BY803" s="129">
        <f t="shared" si="592"/>
        <v>-2</v>
      </c>
      <c r="BZ803" s="111">
        <f t="shared" si="593"/>
        <v>0</v>
      </c>
      <c r="CA803" s="138">
        <f t="shared" si="594"/>
        <v>2</v>
      </c>
      <c r="CB803" s="111" t="e">
        <f t="shared" si="614"/>
        <v>#VALUE!</v>
      </c>
      <c r="CC803" s="129">
        <f>G803-I803+1</f>
        <v>2</v>
      </c>
      <c r="CD803" s="129">
        <f>G803-J803</f>
        <v>0</v>
      </c>
      <c r="CE803" s="129">
        <f t="shared" si="595"/>
        <v>0</v>
      </c>
      <c r="CG803" s="129" t="str">
        <f t="shared" si="596"/>
        <v>Y</v>
      </c>
      <c r="CI803" s="129" t="str">
        <f t="shared" si="597"/>
        <v>0-10 DAYS</v>
      </c>
      <c r="CJ803" s="137">
        <f t="shared" si="598"/>
        <v>1</v>
      </c>
      <c r="CK803" s="129" t="str">
        <f t="shared" si="599"/>
        <v>Booked</v>
      </c>
    </row>
    <row r="804" spans="1:89" ht="15.75" customHeight="1" x14ac:dyDescent="0.25">
      <c r="A804" s="111">
        <v>2134</v>
      </c>
      <c r="B804" s="128" t="str">
        <f t="shared" si="581"/>
        <v>N</v>
      </c>
      <c r="C804" s="128" t="str">
        <f t="shared" si="582"/>
        <v>N</v>
      </c>
      <c r="D804" s="117">
        <v>1557440</v>
      </c>
      <c r="E804" s="135">
        <f t="shared" si="583"/>
        <v>2</v>
      </c>
      <c r="F804" s="124">
        <v>40989</v>
      </c>
      <c r="G804" s="125">
        <v>41003</v>
      </c>
      <c r="H804" s="117">
        <v>1557440</v>
      </c>
      <c r="I804" s="124">
        <v>40995</v>
      </c>
      <c r="J804" s="124">
        <v>41003</v>
      </c>
      <c r="K804" s="126" t="s">
        <v>564</v>
      </c>
      <c r="L804" s="127" t="s">
        <v>564</v>
      </c>
      <c r="N804" s="129" t="s">
        <v>566</v>
      </c>
      <c r="O804" s="128" t="s">
        <v>917</v>
      </c>
      <c r="P804" s="129" t="s">
        <v>589</v>
      </c>
      <c r="Q804" s="111">
        <f t="shared" si="602"/>
        <v>9</v>
      </c>
      <c r="R804" s="111">
        <f t="shared" si="577"/>
        <v>15</v>
      </c>
      <c r="S804" s="129">
        <v>0</v>
      </c>
      <c r="T804" s="129">
        <v>2</v>
      </c>
      <c r="W804" s="111"/>
      <c r="AC804" s="130"/>
      <c r="AD804" s="130">
        <v>25446</v>
      </c>
      <c r="AE804" s="128" t="s">
        <v>32</v>
      </c>
      <c r="AF804" s="128" t="s">
        <v>33</v>
      </c>
      <c r="AG804" s="128" t="s">
        <v>872</v>
      </c>
      <c r="AH804" s="108" t="s">
        <v>58</v>
      </c>
      <c r="AI804" s="128" t="s">
        <v>59</v>
      </c>
      <c r="AJ804" s="129" t="s">
        <v>48</v>
      </c>
      <c r="AK804" s="129">
        <v>3</v>
      </c>
      <c r="AL804" s="3" t="s">
        <v>48</v>
      </c>
      <c r="AP804" s="129" t="s">
        <v>150</v>
      </c>
      <c r="AR804" s="128" t="s">
        <v>67</v>
      </c>
      <c r="AS804" s="129" t="s">
        <v>74</v>
      </c>
      <c r="BC804" s="129" t="s">
        <v>52</v>
      </c>
      <c r="BF804" s="111">
        <f t="shared" si="613"/>
        <v>9</v>
      </c>
      <c r="BG804" s="111">
        <f t="shared" si="610"/>
        <v>9</v>
      </c>
      <c r="BH804" s="111">
        <f t="shared" si="578"/>
        <v>15</v>
      </c>
      <c r="BI804" s="111">
        <f t="shared" si="579"/>
        <v>42.467213114754095</v>
      </c>
      <c r="BJ804" s="129">
        <f t="shared" si="600"/>
        <v>0</v>
      </c>
      <c r="BK804" s="129">
        <f t="shared" si="580"/>
        <v>0</v>
      </c>
      <c r="BL804" s="129" t="str">
        <f t="shared" si="612"/>
        <v>DEFERRED</v>
      </c>
      <c r="BM804" s="129" t="str">
        <f t="shared" si="601"/>
        <v>NONE</v>
      </c>
      <c r="BN804" s="129" t="s">
        <v>566</v>
      </c>
      <c r="BP804" s="137" t="str">
        <f t="shared" si="584"/>
        <v>DEFERRED</v>
      </c>
      <c r="BQ804" s="128" t="str">
        <f t="shared" si="585"/>
        <v>Y</v>
      </c>
      <c r="BR804" s="129" t="str">
        <f t="shared" si="586"/>
        <v>DETAINED</v>
      </c>
      <c r="BS804" s="129" t="str">
        <f t="shared" si="587"/>
        <v>DISPOSED</v>
      </c>
      <c r="BT804" s="129" t="str">
        <f t="shared" si="588"/>
        <v>N</v>
      </c>
      <c r="BU804" s="109">
        <f t="shared" si="589"/>
        <v>0.6</v>
      </c>
      <c r="BV804" s="109">
        <f t="shared" si="590"/>
        <v>1</v>
      </c>
      <c r="BW804" s="109">
        <f t="shared" si="570"/>
        <v>0.4</v>
      </c>
      <c r="BX804" s="111">
        <f t="shared" si="591"/>
        <v>0</v>
      </c>
      <c r="BY804" s="129">
        <f t="shared" si="592"/>
        <v>-9</v>
      </c>
      <c r="BZ804" s="111">
        <f t="shared" si="593"/>
        <v>0</v>
      </c>
      <c r="CA804" s="138">
        <f t="shared" si="594"/>
        <v>9</v>
      </c>
      <c r="CB804" s="111" t="e">
        <f t="shared" si="614"/>
        <v>#VALUE!</v>
      </c>
      <c r="CC804" s="129">
        <f>G804-I804+1</f>
        <v>9</v>
      </c>
      <c r="CD804" s="129">
        <f>G804-J804</f>
        <v>0</v>
      </c>
      <c r="CE804" s="129">
        <f t="shared" si="595"/>
        <v>0</v>
      </c>
      <c r="CG804" s="129" t="str">
        <f t="shared" si="596"/>
        <v>Y</v>
      </c>
      <c r="CI804" s="129" t="str">
        <f t="shared" si="597"/>
        <v>0-10 DAYS</v>
      </c>
      <c r="CJ804" s="137">
        <f t="shared" si="598"/>
        <v>1</v>
      </c>
      <c r="CK804" s="129" t="str">
        <f t="shared" si="599"/>
        <v>Booked</v>
      </c>
    </row>
    <row r="805" spans="1:89" ht="15" customHeight="1" x14ac:dyDescent="0.25">
      <c r="A805" s="111">
        <v>2560</v>
      </c>
      <c r="B805" s="128" t="str">
        <f t="shared" si="581"/>
        <v>N</v>
      </c>
      <c r="C805" s="128" t="str">
        <f t="shared" si="582"/>
        <v>N</v>
      </c>
      <c r="D805" s="117">
        <v>1557778</v>
      </c>
      <c r="E805" s="135">
        <f t="shared" si="583"/>
        <v>2</v>
      </c>
      <c r="F805" s="124">
        <v>41004</v>
      </c>
      <c r="G805" s="125">
        <v>41073</v>
      </c>
      <c r="H805" s="117">
        <v>1557778</v>
      </c>
      <c r="I805" s="124">
        <v>41005</v>
      </c>
      <c r="J805" s="124">
        <v>41073</v>
      </c>
      <c r="K805" s="126">
        <v>15000</v>
      </c>
      <c r="L805" s="127" t="s">
        <v>571</v>
      </c>
      <c r="N805" s="129" t="str">
        <f>IF(M805&gt;1/1/1,"Y","N")</f>
        <v>N</v>
      </c>
      <c r="O805" s="128" t="s">
        <v>917</v>
      </c>
      <c r="P805" s="129" t="s">
        <v>589</v>
      </c>
      <c r="Q805" s="111">
        <f t="shared" si="602"/>
        <v>69</v>
      </c>
      <c r="R805" s="111">
        <f t="shared" si="577"/>
        <v>70</v>
      </c>
      <c r="S805" s="129">
        <v>7</v>
      </c>
      <c r="T805" s="129">
        <v>8</v>
      </c>
      <c r="U805" s="129">
        <v>5</v>
      </c>
      <c r="W805" s="111"/>
      <c r="AC805" s="130"/>
      <c r="AD805" s="130">
        <v>28864</v>
      </c>
      <c r="AE805" s="128" t="s">
        <v>32</v>
      </c>
      <c r="AF805" s="128" t="s">
        <v>69</v>
      </c>
      <c r="AG805" s="128" t="s">
        <v>874</v>
      </c>
      <c r="AH805" s="108" t="s">
        <v>58</v>
      </c>
      <c r="AI805" s="128" t="s">
        <v>65</v>
      </c>
      <c r="AJ805" s="129" t="s">
        <v>48</v>
      </c>
      <c r="AK805" s="129">
        <v>13</v>
      </c>
      <c r="AL805" s="3" t="s">
        <v>48</v>
      </c>
      <c r="AP805" s="129" t="s">
        <v>60</v>
      </c>
      <c r="AR805" s="128" t="s">
        <v>44</v>
      </c>
      <c r="AS805" s="129" t="s">
        <v>61</v>
      </c>
      <c r="BC805" s="129" t="s">
        <v>38</v>
      </c>
      <c r="BF805" s="111">
        <f t="shared" si="613"/>
        <v>69</v>
      </c>
      <c r="BG805" s="111">
        <f t="shared" si="610"/>
        <v>69</v>
      </c>
      <c r="BH805" s="111">
        <f t="shared" si="578"/>
        <v>70</v>
      </c>
      <c r="BI805" s="111">
        <f t="shared" si="579"/>
        <v>33.169398907103826</v>
      </c>
      <c r="BJ805" s="129">
        <f t="shared" si="600"/>
        <v>0</v>
      </c>
      <c r="BK805" s="129">
        <f t="shared" si="580"/>
        <v>0</v>
      </c>
      <c r="BL805" s="129" t="str">
        <f t="shared" si="612"/>
        <v>DEFERRED</v>
      </c>
      <c r="BM805" s="129" t="str">
        <f t="shared" si="601"/>
        <v>NONE</v>
      </c>
      <c r="BN805" s="129" t="s">
        <v>566</v>
      </c>
      <c r="BP805" s="137" t="str">
        <f t="shared" si="584"/>
        <v>DEFERRED</v>
      </c>
      <c r="BQ805" s="128" t="str">
        <f t="shared" si="585"/>
        <v>Y</v>
      </c>
      <c r="BR805" s="129" t="str">
        <f t="shared" si="586"/>
        <v>DETAINED</v>
      </c>
      <c r="BS805" s="129" t="str">
        <f t="shared" si="587"/>
        <v>DISPOSED</v>
      </c>
      <c r="BT805" s="129" t="str">
        <f t="shared" si="588"/>
        <v>Y</v>
      </c>
      <c r="BU805" s="109">
        <f t="shared" si="589"/>
        <v>0.98571428571428577</v>
      </c>
      <c r="BV805" s="109">
        <f t="shared" si="590"/>
        <v>1</v>
      </c>
      <c r="BW805" s="109">
        <f t="shared" si="570"/>
        <v>1.4285714285714235E-2</v>
      </c>
      <c r="BX805" s="111">
        <f t="shared" si="591"/>
        <v>0</v>
      </c>
      <c r="BY805" s="129">
        <f t="shared" si="592"/>
        <v>-69</v>
      </c>
      <c r="BZ805" s="111">
        <f t="shared" si="593"/>
        <v>0</v>
      </c>
      <c r="CA805" s="138">
        <f t="shared" si="594"/>
        <v>69</v>
      </c>
      <c r="CB805" s="111" t="e">
        <f t="shared" si="614"/>
        <v>#VALUE!</v>
      </c>
      <c r="CC805" s="129">
        <f>G805-I805+1</f>
        <v>69</v>
      </c>
      <c r="CD805" s="129">
        <f>G805-J805</f>
        <v>0</v>
      </c>
      <c r="CE805" s="129">
        <f t="shared" si="595"/>
        <v>0</v>
      </c>
      <c r="CG805" s="129" t="str">
        <f t="shared" si="596"/>
        <v>Y</v>
      </c>
      <c r="CI805" s="129" t="str">
        <f t="shared" si="597"/>
        <v>61-90 DAYS</v>
      </c>
      <c r="CJ805" s="137">
        <f t="shared" si="598"/>
        <v>4</v>
      </c>
      <c r="CK805" s="129" t="str">
        <f t="shared" si="599"/>
        <v>Booked</v>
      </c>
    </row>
    <row r="806" spans="1:89" ht="15.75" customHeight="1" x14ac:dyDescent="0.25">
      <c r="A806" s="111">
        <v>1915</v>
      </c>
      <c r="B806" s="128" t="str">
        <f t="shared" si="581"/>
        <v>N</v>
      </c>
      <c r="C806" s="128" t="str">
        <f t="shared" si="582"/>
        <v>N</v>
      </c>
      <c r="D806" s="117">
        <v>1558353</v>
      </c>
      <c r="E806" s="135">
        <f t="shared" si="583"/>
        <v>2</v>
      </c>
      <c r="F806" s="124">
        <v>40980</v>
      </c>
      <c r="G806" s="125">
        <v>41015</v>
      </c>
      <c r="H806" s="117">
        <v>1558353</v>
      </c>
      <c r="I806" s="124">
        <v>40980</v>
      </c>
      <c r="J806" s="124">
        <v>40982</v>
      </c>
      <c r="K806" s="126">
        <v>2000</v>
      </c>
      <c r="L806" s="127" t="s">
        <v>568</v>
      </c>
      <c r="M806" s="125">
        <v>40982</v>
      </c>
      <c r="N806" s="129" t="str">
        <f>IF(M806&gt;1/1/1,"Y","N")</f>
        <v>Y</v>
      </c>
      <c r="O806" s="128" t="s">
        <v>585</v>
      </c>
      <c r="P806" s="129" t="s">
        <v>589</v>
      </c>
      <c r="Q806" s="111">
        <f t="shared" ref="Q806:Q837" si="615">BF806</f>
        <v>3</v>
      </c>
      <c r="R806" s="111">
        <f t="shared" si="577"/>
        <v>36</v>
      </c>
      <c r="S806" s="129">
        <v>0</v>
      </c>
      <c r="T806" s="129">
        <v>1</v>
      </c>
      <c r="W806" s="111"/>
      <c r="AC806" s="130"/>
      <c r="AD806" s="130">
        <v>26625</v>
      </c>
      <c r="AE806" s="128" t="s">
        <v>46</v>
      </c>
      <c r="AF806" s="128" t="s">
        <v>69</v>
      </c>
      <c r="AG806" s="128" t="s">
        <v>874</v>
      </c>
      <c r="AH806" s="108" t="s">
        <v>31</v>
      </c>
      <c r="AI806" s="128" t="s">
        <v>71</v>
      </c>
      <c r="AJ806" s="129" t="s">
        <v>48</v>
      </c>
      <c r="AK806" s="129">
        <v>2</v>
      </c>
      <c r="AL806" s="3" t="s">
        <v>48</v>
      </c>
      <c r="AP806" s="129" t="s">
        <v>43</v>
      </c>
      <c r="AR806" s="128" t="s">
        <v>44</v>
      </c>
      <c r="AS806" s="129" t="s">
        <v>45</v>
      </c>
      <c r="AT806" s="129" t="s">
        <v>640</v>
      </c>
      <c r="BC806" s="129" t="s">
        <v>38</v>
      </c>
      <c r="BF806" s="111">
        <f t="shared" si="613"/>
        <v>3</v>
      </c>
      <c r="BG806" s="111">
        <f t="shared" si="610"/>
        <v>36</v>
      </c>
      <c r="BH806" s="111">
        <f t="shared" si="578"/>
        <v>36</v>
      </c>
      <c r="BI806" s="111">
        <f t="shared" si="579"/>
        <v>39.221311475409834</v>
      </c>
      <c r="BJ806" s="129">
        <f>(G806-J806)+(M806-G806)</f>
        <v>0</v>
      </c>
      <c r="BK806" s="129">
        <f t="shared" si="580"/>
        <v>-33</v>
      </c>
      <c r="BL806" s="129" t="str">
        <f t="shared" si="612"/>
        <v>DEFERRED</v>
      </c>
      <c r="BM806" s="129" t="s">
        <v>76</v>
      </c>
      <c r="BN806" s="129" t="s">
        <v>88</v>
      </c>
      <c r="BP806" s="137" t="str">
        <f t="shared" si="584"/>
        <v>DEFERRED</v>
      </c>
      <c r="BQ806" s="128" t="str">
        <f t="shared" si="585"/>
        <v>Y</v>
      </c>
      <c r="BR806" s="129" t="str">
        <f t="shared" si="586"/>
        <v>ON BOND</v>
      </c>
      <c r="BS806" s="129" t="str">
        <f t="shared" si="587"/>
        <v>DISPOSED</v>
      </c>
      <c r="BT806" s="129" t="str">
        <f t="shared" si="588"/>
        <v>N</v>
      </c>
      <c r="BU806" s="109">
        <f t="shared" si="589"/>
        <v>8.3333333333333329E-2</v>
      </c>
      <c r="BV806" s="109">
        <f t="shared" si="590"/>
        <v>8.3333333333333329E-2</v>
      </c>
      <c r="BW806" s="109">
        <f t="shared" ref="BW806:BW838" si="616">BV806-BU806</f>
        <v>0</v>
      </c>
      <c r="BX806" s="111">
        <f t="shared" si="591"/>
        <v>0</v>
      </c>
      <c r="BY806" s="129">
        <f t="shared" si="592"/>
        <v>-3</v>
      </c>
      <c r="BZ806" s="111">
        <f t="shared" si="593"/>
        <v>0</v>
      </c>
      <c r="CA806" s="138">
        <f t="shared" si="594"/>
        <v>3</v>
      </c>
      <c r="CB806" s="111" t="e">
        <f t="shared" si="614"/>
        <v>#VALUE!</v>
      </c>
      <c r="CC806" s="129">
        <f>M806-I806+1</f>
        <v>3</v>
      </c>
      <c r="CD806" s="111">
        <f>CC806-BF806</f>
        <v>0</v>
      </c>
      <c r="CE806" s="129">
        <f t="shared" si="595"/>
        <v>33</v>
      </c>
      <c r="CG806" s="129" t="str">
        <f t="shared" si="596"/>
        <v>Y</v>
      </c>
      <c r="CI806" s="129" t="str">
        <f t="shared" si="597"/>
        <v>0-10 DAYS</v>
      </c>
      <c r="CJ806" s="137">
        <f t="shared" si="598"/>
        <v>1</v>
      </c>
      <c r="CK806" s="129" t="str">
        <f t="shared" si="599"/>
        <v>Booked</v>
      </c>
    </row>
    <row r="807" spans="1:89" ht="15" customHeight="1" x14ac:dyDescent="0.25">
      <c r="A807" s="111">
        <v>3149</v>
      </c>
      <c r="B807" s="128" t="str">
        <f t="shared" si="581"/>
        <v>N</v>
      </c>
      <c r="C807" s="128" t="str">
        <f t="shared" si="582"/>
        <v>N</v>
      </c>
      <c r="D807" s="117">
        <v>1558530</v>
      </c>
      <c r="E807" s="135">
        <f t="shared" si="583"/>
        <v>6</v>
      </c>
      <c r="F807" s="124">
        <v>41025</v>
      </c>
      <c r="G807" s="125">
        <v>41400</v>
      </c>
      <c r="H807" s="117">
        <v>1558530</v>
      </c>
      <c r="I807" s="124">
        <v>41026</v>
      </c>
      <c r="J807" s="125">
        <v>41400</v>
      </c>
      <c r="K807" s="126" t="s">
        <v>564</v>
      </c>
      <c r="L807" s="127" t="s">
        <v>564</v>
      </c>
      <c r="N807" s="129" t="s">
        <v>566</v>
      </c>
      <c r="O807" s="128" t="s">
        <v>917</v>
      </c>
      <c r="P807" s="129" t="s">
        <v>968</v>
      </c>
      <c r="Q807" s="111">
        <f t="shared" si="615"/>
        <v>375</v>
      </c>
      <c r="R807" s="111">
        <f t="shared" si="577"/>
        <v>376</v>
      </c>
      <c r="S807" s="129">
        <v>3</v>
      </c>
      <c r="T807" s="129">
        <v>0</v>
      </c>
      <c r="U807" s="129">
        <v>2</v>
      </c>
      <c r="W807" s="111"/>
      <c r="AC807" s="130"/>
      <c r="AD807" s="130">
        <v>29450</v>
      </c>
      <c r="AE807" s="128" t="s">
        <v>32</v>
      </c>
      <c r="AF807" s="128" t="s">
        <v>33</v>
      </c>
      <c r="AG807" s="128" t="s">
        <v>872</v>
      </c>
      <c r="AH807" s="108" t="s">
        <v>31</v>
      </c>
      <c r="AI807" s="128" t="s">
        <v>97</v>
      </c>
      <c r="AJ807" s="129" t="s">
        <v>89</v>
      </c>
      <c r="AK807" s="129">
        <v>28</v>
      </c>
      <c r="AL807" s="3" t="s">
        <v>362</v>
      </c>
      <c r="AM807" s="117">
        <v>27</v>
      </c>
      <c r="AP807" s="129" t="s">
        <v>101</v>
      </c>
      <c r="AR807" s="128" t="s">
        <v>67</v>
      </c>
      <c r="AS807" s="129" t="s">
        <v>64</v>
      </c>
      <c r="AT807" s="129" t="s">
        <v>1046</v>
      </c>
      <c r="BC807" s="129" t="s">
        <v>52</v>
      </c>
      <c r="BF807" s="111">
        <f t="shared" si="613"/>
        <v>375</v>
      </c>
      <c r="BG807" s="111">
        <f t="shared" si="610"/>
        <v>375</v>
      </c>
      <c r="BH807" s="111">
        <f t="shared" si="578"/>
        <v>376</v>
      </c>
      <c r="BI807" s="111">
        <f t="shared" si="579"/>
        <v>31.625683060109289</v>
      </c>
      <c r="BJ807" s="129">
        <f t="shared" si="600"/>
        <v>0</v>
      </c>
      <c r="BK807" s="129">
        <f t="shared" si="580"/>
        <v>0</v>
      </c>
      <c r="BL807" s="129" t="str">
        <f t="shared" si="612"/>
        <v>CONVICTION</v>
      </c>
      <c r="BM807" s="129" t="str">
        <f t="shared" si="601"/>
        <v>NONE</v>
      </c>
      <c r="BP807" s="137" t="str">
        <f t="shared" si="584"/>
        <v>CONVICTION</v>
      </c>
      <c r="BQ807" s="128" t="str">
        <f t="shared" si="585"/>
        <v>Y</v>
      </c>
      <c r="BR807" s="129" t="str">
        <f t="shared" si="586"/>
        <v>DETAINED</v>
      </c>
      <c r="BS807" s="129" t="str">
        <f t="shared" si="587"/>
        <v>DISPOSED</v>
      </c>
      <c r="BT807" s="129" t="str">
        <f t="shared" si="588"/>
        <v>Y</v>
      </c>
      <c r="BU807" s="109">
        <f t="shared" si="589"/>
        <v>0.99734042553191493</v>
      </c>
      <c r="BV807" s="109">
        <f t="shared" si="590"/>
        <v>1</v>
      </c>
      <c r="BW807" s="109">
        <f t="shared" si="616"/>
        <v>2.6595744680850686E-3</v>
      </c>
      <c r="BX807" s="111">
        <f t="shared" si="591"/>
        <v>0</v>
      </c>
      <c r="BY807" s="129">
        <f t="shared" si="592"/>
        <v>-375</v>
      </c>
      <c r="BZ807" s="111">
        <f t="shared" si="593"/>
        <v>0</v>
      </c>
      <c r="CA807" s="138">
        <f t="shared" si="594"/>
        <v>375</v>
      </c>
      <c r="CB807" s="111" t="e">
        <f t="shared" si="614"/>
        <v>#VALUE!</v>
      </c>
      <c r="CC807" s="129">
        <f>G807-I807+1</f>
        <v>375</v>
      </c>
      <c r="CD807" s="129">
        <f>G807-J807</f>
        <v>0</v>
      </c>
      <c r="CE807" s="129">
        <f t="shared" si="595"/>
        <v>0</v>
      </c>
      <c r="CG807" s="129" t="str">
        <f t="shared" si="596"/>
        <v>Y</v>
      </c>
      <c r="CI807" s="129" t="str">
        <f t="shared" si="597"/>
        <v xml:space="preserve"> &gt;1YRS&lt;2YRS</v>
      </c>
      <c r="CJ807" s="137">
        <f t="shared" si="598"/>
        <v>0</v>
      </c>
      <c r="CK807" s="129" t="str">
        <f t="shared" si="599"/>
        <v>Booked</v>
      </c>
    </row>
    <row r="808" spans="1:89" ht="15" customHeight="1" x14ac:dyDescent="0.25">
      <c r="A808" s="111">
        <v>3250</v>
      </c>
      <c r="B808" s="128" t="str">
        <f t="shared" si="581"/>
        <v>N</v>
      </c>
      <c r="C808" s="128" t="str">
        <f t="shared" si="582"/>
        <v>Y</v>
      </c>
      <c r="D808" s="117">
        <v>1559103</v>
      </c>
      <c r="E808" s="135">
        <f t="shared" si="583"/>
        <v>2</v>
      </c>
      <c r="F808" s="124">
        <v>41029</v>
      </c>
      <c r="G808" s="125">
        <v>41131</v>
      </c>
      <c r="H808" s="117">
        <v>1559103</v>
      </c>
      <c r="I808" s="124">
        <v>41037</v>
      </c>
      <c r="J808" s="124">
        <v>41039</v>
      </c>
      <c r="K808" s="126">
        <v>30000</v>
      </c>
      <c r="L808" s="129" t="s">
        <v>572</v>
      </c>
      <c r="M808" s="125">
        <v>41039</v>
      </c>
      <c r="N808" s="129" t="str">
        <f>IF(M808&gt;1/1/1,"Y","N")</f>
        <v>Y</v>
      </c>
      <c r="O808" s="128" t="s">
        <v>76</v>
      </c>
      <c r="P808" s="129" t="s">
        <v>589</v>
      </c>
      <c r="Q808" s="111">
        <v>20</v>
      </c>
      <c r="R808" s="111">
        <f t="shared" si="577"/>
        <v>103</v>
      </c>
      <c r="S808" s="129">
        <v>0</v>
      </c>
      <c r="T808" s="129">
        <v>2</v>
      </c>
      <c r="W808" s="111"/>
      <c r="AC808" s="130"/>
      <c r="AD808" s="130">
        <v>27298</v>
      </c>
      <c r="AE808" s="128" t="s">
        <v>32</v>
      </c>
      <c r="AF808" s="128" t="s">
        <v>33</v>
      </c>
      <c r="AG808" s="128" t="s">
        <v>872</v>
      </c>
      <c r="AH808" s="108" t="s">
        <v>58</v>
      </c>
      <c r="AI808" s="128" t="s">
        <v>42</v>
      </c>
      <c r="AJ808" s="129" t="s">
        <v>48</v>
      </c>
      <c r="AK808" s="129">
        <v>6</v>
      </c>
      <c r="AL808" s="3" t="s">
        <v>48</v>
      </c>
      <c r="AP808" s="129" t="s">
        <v>110</v>
      </c>
      <c r="AR808" s="128" t="s">
        <v>50</v>
      </c>
      <c r="AS808" s="129" t="s">
        <v>74</v>
      </c>
      <c r="AU808" s="3" t="s">
        <v>858</v>
      </c>
      <c r="AX808" s="32" t="s">
        <v>88</v>
      </c>
      <c r="BC808" s="129" t="s">
        <v>52</v>
      </c>
      <c r="BF808" s="111">
        <v>20</v>
      </c>
      <c r="BG808" s="111">
        <f t="shared" si="610"/>
        <v>95</v>
      </c>
      <c r="BH808" s="111">
        <f t="shared" si="578"/>
        <v>103</v>
      </c>
      <c r="BI808" s="111">
        <f t="shared" si="579"/>
        <v>37.516393442622949</v>
      </c>
      <c r="BJ808" s="129">
        <f>(G808-J808)+(M808-G808)</f>
        <v>0</v>
      </c>
      <c r="BK808" s="129">
        <f t="shared" si="580"/>
        <v>-92</v>
      </c>
      <c r="BL808" s="129" t="str">
        <f t="shared" si="612"/>
        <v>DEFERRED</v>
      </c>
      <c r="BM808" s="129" t="s">
        <v>76</v>
      </c>
      <c r="BN808" s="129" t="s">
        <v>88</v>
      </c>
      <c r="BP808" s="137" t="str">
        <f t="shared" si="584"/>
        <v>DEFERRED</v>
      </c>
      <c r="BQ808" s="128" t="str">
        <f t="shared" si="585"/>
        <v>Y</v>
      </c>
      <c r="BR808" s="129" t="s">
        <v>574</v>
      </c>
      <c r="BS808" s="129" t="str">
        <f t="shared" si="587"/>
        <v>DISPOSED</v>
      </c>
      <c r="BT808" s="129" t="str">
        <f t="shared" si="588"/>
        <v>N</v>
      </c>
      <c r="BU808" s="109">
        <f t="shared" si="589"/>
        <v>0.1941747572815534</v>
      </c>
      <c r="BV808" s="109">
        <f t="shared" si="590"/>
        <v>3.1578947368421054E-2</v>
      </c>
      <c r="BW808" s="109">
        <f t="shared" si="616"/>
        <v>-0.16259580991313233</v>
      </c>
      <c r="BX808" s="111">
        <f t="shared" si="591"/>
        <v>0</v>
      </c>
      <c r="BY808" s="129">
        <f t="shared" si="592"/>
        <v>-3</v>
      </c>
      <c r="BZ808" s="111">
        <f t="shared" si="593"/>
        <v>17</v>
      </c>
      <c r="CA808" s="138">
        <f t="shared" si="594"/>
        <v>95</v>
      </c>
      <c r="CB808" s="111">
        <v>20</v>
      </c>
      <c r="CC808" s="129">
        <f>G808-I808+1</f>
        <v>95</v>
      </c>
      <c r="CD808" s="129">
        <f>G808-J808</f>
        <v>92</v>
      </c>
      <c r="CE808" s="129">
        <f t="shared" si="595"/>
        <v>92</v>
      </c>
      <c r="CG808" s="129" t="str">
        <f t="shared" si="596"/>
        <v>Y</v>
      </c>
      <c r="CI808" s="129" t="str">
        <f t="shared" si="597"/>
        <v>11-30 DAYS</v>
      </c>
      <c r="CJ808" s="137">
        <f t="shared" si="598"/>
        <v>2</v>
      </c>
      <c r="CK808" s="129" t="str">
        <f t="shared" si="599"/>
        <v>Booked</v>
      </c>
    </row>
    <row r="809" spans="1:89" ht="15.75" customHeight="1" x14ac:dyDescent="0.25">
      <c r="A809" s="111">
        <v>2078</v>
      </c>
      <c r="B809" s="128" t="str">
        <f t="shared" si="581"/>
        <v>N</v>
      </c>
      <c r="C809" s="128" t="str">
        <f t="shared" si="582"/>
        <v>N</v>
      </c>
      <c r="D809" s="117">
        <v>1559624</v>
      </c>
      <c r="E809" s="135">
        <f t="shared" si="583"/>
        <v>1</v>
      </c>
      <c r="F809" s="124">
        <v>40987</v>
      </c>
      <c r="G809" s="125">
        <v>41277</v>
      </c>
      <c r="H809" s="117">
        <v>1559624</v>
      </c>
      <c r="I809" s="124">
        <v>40998</v>
      </c>
      <c r="J809" s="124">
        <v>41003</v>
      </c>
      <c r="K809" s="126">
        <v>60000</v>
      </c>
      <c r="L809" s="129" t="s">
        <v>572</v>
      </c>
      <c r="M809" s="125">
        <v>41003</v>
      </c>
      <c r="N809" s="129" t="str">
        <f>IF(M809&gt;1/1/1,"Y","N")</f>
        <v>Y</v>
      </c>
      <c r="O809" s="128" t="s">
        <v>76</v>
      </c>
      <c r="P809" s="129" t="s">
        <v>55</v>
      </c>
      <c r="Q809" s="111">
        <f t="shared" si="615"/>
        <v>6</v>
      </c>
      <c r="R809" s="111">
        <f t="shared" si="577"/>
        <v>291</v>
      </c>
      <c r="S809" s="129">
        <v>0</v>
      </c>
      <c r="T809" s="129">
        <v>0</v>
      </c>
      <c r="W809" s="111"/>
      <c r="AC809" s="130"/>
      <c r="AD809" s="130">
        <v>28338</v>
      </c>
      <c r="AE809" s="128" t="s">
        <v>32</v>
      </c>
      <c r="AF809" s="128" t="s">
        <v>69</v>
      </c>
      <c r="AG809" s="128" t="s">
        <v>874</v>
      </c>
      <c r="AH809" s="108" t="s">
        <v>31</v>
      </c>
      <c r="AI809" s="128" t="s">
        <v>141</v>
      </c>
      <c r="AJ809" s="129" t="s">
        <v>55</v>
      </c>
      <c r="AK809" s="129">
        <v>9</v>
      </c>
      <c r="AL809" s="3" t="s">
        <v>55</v>
      </c>
      <c r="AP809" s="129" t="s">
        <v>170</v>
      </c>
      <c r="AR809" s="128" t="s">
        <v>67</v>
      </c>
      <c r="AS809" s="129" t="s">
        <v>64</v>
      </c>
      <c r="BC809" s="129" t="s">
        <v>52</v>
      </c>
      <c r="BF809" s="111">
        <f t="shared" si="613"/>
        <v>6</v>
      </c>
      <c r="BG809" s="111">
        <f t="shared" si="610"/>
        <v>280</v>
      </c>
      <c r="BH809" s="111">
        <f t="shared" si="578"/>
        <v>291</v>
      </c>
      <c r="BI809" s="111">
        <f t="shared" si="579"/>
        <v>34.560109289617486</v>
      </c>
      <c r="BJ809" s="129">
        <f>(G809-J809)+(M809-G809)</f>
        <v>0</v>
      </c>
      <c r="BK809" s="129">
        <f t="shared" si="580"/>
        <v>-274</v>
      </c>
      <c r="BL809" s="129" t="str">
        <f t="shared" si="612"/>
        <v>NO CONVICTION</v>
      </c>
      <c r="BM809" s="129" t="s">
        <v>76</v>
      </c>
      <c r="BN809" s="129" t="s">
        <v>88</v>
      </c>
      <c r="BP809" s="137" t="str">
        <f t="shared" si="584"/>
        <v>NO CONVICTION</v>
      </c>
      <c r="BQ809" s="128" t="str">
        <f t="shared" si="585"/>
        <v>Y</v>
      </c>
      <c r="BR809" s="129" t="str">
        <f t="shared" si="586"/>
        <v>ON BOND</v>
      </c>
      <c r="BS809" s="129" t="str">
        <f t="shared" si="587"/>
        <v>DISPOSED</v>
      </c>
      <c r="BT809" s="129" t="str">
        <f t="shared" si="588"/>
        <v>N</v>
      </c>
      <c r="BU809" s="109">
        <f>IFERROR(Q809/R809,BR809)</f>
        <v>2.0618556701030927E-2</v>
      </c>
      <c r="BV809" s="109">
        <f t="shared" si="590"/>
        <v>2.1428571428571429E-2</v>
      </c>
      <c r="BW809" s="109">
        <f t="shared" si="616"/>
        <v>8.1001472754050133E-4</v>
      </c>
      <c r="BX809" s="111">
        <f t="shared" si="591"/>
        <v>0</v>
      </c>
      <c r="BY809" s="129">
        <f t="shared" si="592"/>
        <v>-6</v>
      </c>
      <c r="BZ809" s="111">
        <f t="shared" si="593"/>
        <v>0</v>
      </c>
      <c r="CA809" s="138">
        <f t="shared" si="594"/>
        <v>6</v>
      </c>
      <c r="CB809" s="111" t="e">
        <f t="shared" si="614"/>
        <v>#VALUE!</v>
      </c>
      <c r="CC809" s="129">
        <f>M809-I809+1</f>
        <v>6</v>
      </c>
      <c r="CD809" s="111">
        <f>CC809-BF809</f>
        <v>0</v>
      </c>
      <c r="CE809" s="129">
        <f t="shared" si="595"/>
        <v>274</v>
      </c>
      <c r="CG809" s="129" t="str">
        <f t="shared" si="596"/>
        <v>N</v>
      </c>
      <c r="CI809" s="129" t="str">
        <f t="shared" si="597"/>
        <v>0-10 DAYS</v>
      </c>
      <c r="CJ809" s="137">
        <f t="shared" si="598"/>
        <v>1</v>
      </c>
      <c r="CK809" s="129" t="str">
        <f t="shared" si="599"/>
        <v>Booked</v>
      </c>
    </row>
    <row r="810" spans="1:89" ht="15.75" customHeight="1" x14ac:dyDescent="0.25">
      <c r="A810" s="111">
        <v>3027</v>
      </c>
      <c r="B810" s="128" t="str">
        <f t="shared" si="581"/>
        <v>N</v>
      </c>
      <c r="C810" s="128" t="str">
        <f t="shared" si="582"/>
        <v>N</v>
      </c>
      <c r="D810" s="117">
        <v>1560319</v>
      </c>
      <c r="E810" s="135">
        <f t="shared" si="583"/>
        <v>4</v>
      </c>
      <c r="F810" s="124">
        <v>41021</v>
      </c>
      <c r="G810" s="125">
        <v>41165</v>
      </c>
      <c r="H810" s="117">
        <v>1560319</v>
      </c>
      <c r="I810" s="124">
        <v>41021</v>
      </c>
      <c r="J810" s="124">
        <v>41165</v>
      </c>
      <c r="K810" s="126" t="s">
        <v>564</v>
      </c>
      <c r="L810" s="127" t="s">
        <v>564</v>
      </c>
      <c r="N810" s="129" t="s">
        <v>566</v>
      </c>
      <c r="O810" s="128" t="s">
        <v>917</v>
      </c>
      <c r="P810" s="129" t="s">
        <v>39</v>
      </c>
      <c r="Q810" s="111">
        <f t="shared" si="615"/>
        <v>145</v>
      </c>
      <c r="R810" s="111">
        <f t="shared" si="577"/>
        <v>145</v>
      </c>
      <c r="S810" s="129">
        <v>5</v>
      </c>
      <c r="T810" s="129">
        <v>2</v>
      </c>
      <c r="U810" s="129">
        <v>1</v>
      </c>
      <c r="W810" s="111"/>
      <c r="AC810" s="130"/>
      <c r="AD810" s="130">
        <v>27627</v>
      </c>
      <c r="AE810" s="128" t="s">
        <v>32</v>
      </c>
      <c r="AF810" s="128" t="s">
        <v>40</v>
      </c>
      <c r="AG810" s="128" t="s">
        <v>41</v>
      </c>
      <c r="AH810" s="108" t="s">
        <v>41</v>
      </c>
      <c r="AI810" s="128" t="s">
        <v>100</v>
      </c>
      <c r="AJ810" s="129" t="s">
        <v>89</v>
      </c>
      <c r="AK810" s="129">
        <v>5</v>
      </c>
      <c r="AL810" s="3" t="s">
        <v>991</v>
      </c>
      <c r="AO810" s="128">
        <v>180</v>
      </c>
      <c r="AP810" s="129" t="s">
        <v>150</v>
      </c>
      <c r="AR810" s="128" t="s">
        <v>67</v>
      </c>
      <c r="AS810" s="129" t="s">
        <v>74</v>
      </c>
      <c r="BC810" s="129" t="s">
        <v>38</v>
      </c>
      <c r="BF810" s="111">
        <f t="shared" si="613"/>
        <v>145</v>
      </c>
      <c r="BG810" s="111">
        <f t="shared" si="610"/>
        <v>145</v>
      </c>
      <c r="BH810" s="111">
        <f t="shared" si="578"/>
        <v>145</v>
      </c>
      <c r="BI810" s="111">
        <f t="shared" si="579"/>
        <v>36.595628415300546</v>
      </c>
      <c r="BJ810" s="129">
        <f t="shared" si="600"/>
        <v>0</v>
      </c>
      <c r="BK810" s="129">
        <f t="shared" si="580"/>
        <v>0</v>
      </c>
      <c r="BL810" s="129" t="str">
        <f t="shared" si="612"/>
        <v>CONVICTION</v>
      </c>
      <c r="BM810" s="129" t="str">
        <f t="shared" si="601"/>
        <v>NONE</v>
      </c>
      <c r="BN810" s="129" t="s">
        <v>566</v>
      </c>
      <c r="BP810" s="137" t="str">
        <f t="shared" si="584"/>
        <v>CONVICTION</v>
      </c>
      <c r="BQ810" s="128" t="str">
        <f t="shared" si="585"/>
        <v>Y</v>
      </c>
      <c r="BR810" s="129" t="str">
        <f t="shared" si="586"/>
        <v>DETAINED</v>
      </c>
      <c r="BS810" s="129" t="str">
        <f t="shared" si="587"/>
        <v>DISPOSED</v>
      </c>
      <c r="BT810" s="129" t="str">
        <f t="shared" si="588"/>
        <v>Y</v>
      </c>
      <c r="BU810" s="109">
        <f t="shared" si="589"/>
        <v>1</v>
      </c>
      <c r="BV810" s="109">
        <f t="shared" si="590"/>
        <v>1</v>
      </c>
      <c r="BW810" s="109">
        <f t="shared" si="616"/>
        <v>0</v>
      </c>
      <c r="BX810" s="111">
        <f t="shared" si="591"/>
        <v>0</v>
      </c>
      <c r="BY810" s="129">
        <f t="shared" si="592"/>
        <v>-145</v>
      </c>
      <c r="BZ810" s="111">
        <f t="shared" si="593"/>
        <v>0</v>
      </c>
      <c r="CA810" s="138">
        <f t="shared" si="594"/>
        <v>145</v>
      </c>
      <c r="CB810" s="111" t="e">
        <f t="shared" si="614"/>
        <v>#VALUE!</v>
      </c>
      <c r="CC810" s="129">
        <f>G810-I810+1</f>
        <v>145</v>
      </c>
      <c r="CD810" s="129">
        <f>G810-J810</f>
        <v>0</v>
      </c>
      <c r="CE810" s="129">
        <f t="shared" si="595"/>
        <v>0</v>
      </c>
      <c r="CG810" s="129" t="str">
        <f t="shared" si="596"/>
        <v>Y</v>
      </c>
      <c r="CI810" s="129" t="str">
        <f t="shared" si="597"/>
        <v>121-365 DAYS</v>
      </c>
      <c r="CJ810" s="137">
        <f t="shared" si="598"/>
        <v>6</v>
      </c>
      <c r="CK810" s="129" t="str">
        <f t="shared" si="599"/>
        <v>Booked</v>
      </c>
    </row>
    <row r="811" spans="1:89" ht="15.75" customHeight="1" x14ac:dyDescent="0.25">
      <c r="A811" s="111">
        <v>1910</v>
      </c>
      <c r="B811" s="128" t="str">
        <f t="shared" si="581"/>
        <v>N</v>
      </c>
      <c r="C811" s="128" t="str">
        <f t="shared" si="582"/>
        <v>N</v>
      </c>
      <c r="D811" s="117">
        <v>1561049</v>
      </c>
      <c r="E811" s="135">
        <f t="shared" si="583"/>
        <v>6</v>
      </c>
      <c r="F811" s="124">
        <v>40979</v>
      </c>
      <c r="G811" s="125">
        <v>41051</v>
      </c>
      <c r="H811" s="117">
        <v>1561049</v>
      </c>
      <c r="I811" s="124">
        <v>40980</v>
      </c>
      <c r="J811" s="124">
        <v>41051</v>
      </c>
      <c r="K811" s="126" t="s">
        <v>564</v>
      </c>
      <c r="L811" s="127" t="s">
        <v>564</v>
      </c>
      <c r="N811" s="129" t="s">
        <v>566</v>
      </c>
      <c r="O811" s="128" t="s">
        <v>917</v>
      </c>
      <c r="P811" s="129" t="s">
        <v>39</v>
      </c>
      <c r="Q811" s="111">
        <f t="shared" si="615"/>
        <v>72</v>
      </c>
      <c r="R811" s="111">
        <f t="shared" si="577"/>
        <v>73</v>
      </c>
      <c r="S811" s="129">
        <v>4</v>
      </c>
      <c r="T811" s="129">
        <v>1</v>
      </c>
      <c r="U811" s="129">
        <v>2</v>
      </c>
      <c r="W811" s="111"/>
      <c r="AC811" s="130"/>
      <c r="AD811" s="130">
        <v>29430</v>
      </c>
      <c r="AE811" s="128" t="s">
        <v>32</v>
      </c>
      <c r="AF811" s="128" t="s">
        <v>33</v>
      </c>
      <c r="AG811" s="128" t="s">
        <v>872</v>
      </c>
      <c r="AH811" s="108" t="s">
        <v>58</v>
      </c>
      <c r="AI811" s="128" t="s">
        <v>95</v>
      </c>
      <c r="AJ811" s="129" t="s">
        <v>89</v>
      </c>
      <c r="AK811" s="129">
        <v>4</v>
      </c>
      <c r="AL811" s="3" t="s">
        <v>362</v>
      </c>
      <c r="AM811" s="117">
        <v>4</v>
      </c>
      <c r="AP811" s="129" t="s">
        <v>93</v>
      </c>
      <c r="AR811" s="128" t="s">
        <v>67</v>
      </c>
      <c r="AS811" s="129" t="s">
        <v>45</v>
      </c>
      <c r="BC811" s="129" t="s">
        <v>38</v>
      </c>
      <c r="BF811" s="111">
        <f t="shared" si="613"/>
        <v>72</v>
      </c>
      <c r="BG811" s="111">
        <f t="shared" si="610"/>
        <v>72</v>
      </c>
      <c r="BH811" s="111">
        <f t="shared" si="578"/>
        <v>73</v>
      </c>
      <c r="BI811" s="111">
        <f t="shared" si="579"/>
        <v>31.55464480874317</v>
      </c>
      <c r="BJ811" s="129">
        <f t="shared" si="600"/>
        <v>0</v>
      </c>
      <c r="BK811" s="129">
        <f t="shared" si="580"/>
        <v>0</v>
      </c>
      <c r="BL811" s="129" t="str">
        <f t="shared" si="612"/>
        <v>CONVICTION</v>
      </c>
      <c r="BM811" s="129" t="str">
        <f t="shared" si="601"/>
        <v>NONE</v>
      </c>
      <c r="BN811" s="129" t="s">
        <v>566</v>
      </c>
      <c r="BP811" s="137" t="str">
        <f t="shared" si="584"/>
        <v>CONVICTION</v>
      </c>
      <c r="BQ811" s="128" t="str">
        <f t="shared" si="585"/>
        <v>Y</v>
      </c>
      <c r="BR811" s="129" t="str">
        <f t="shared" si="586"/>
        <v>DETAINED</v>
      </c>
      <c r="BS811" s="129" t="str">
        <f t="shared" si="587"/>
        <v>DISPOSED</v>
      </c>
      <c r="BT811" s="129" t="str">
        <f t="shared" si="588"/>
        <v>Y</v>
      </c>
      <c r="BU811" s="109">
        <f t="shared" si="589"/>
        <v>0.98630136986301364</v>
      </c>
      <c r="BV811" s="109">
        <f t="shared" si="590"/>
        <v>1</v>
      </c>
      <c r="BW811" s="109">
        <f t="shared" si="616"/>
        <v>1.3698630136986356E-2</v>
      </c>
      <c r="BX811" s="111">
        <f t="shared" si="591"/>
        <v>0</v>
      </c>
      <c r="BY811" s="129">
        <f t="shared" si="592"/>
        <v>-72</v>
      </c>
      <c r="BZ811" s="111">
        <f t="shared" si="593"/>
        <v>0</v>
      </c>
      <c r="CA811" s="138">
        <f t="shared" si="594"/>
        <v>72</v>
      </c>
      <c r="CB811" s="111" t="e">
        <f t="shared" si="614"/>
        <v>#VALUE!</v>
      </c>
      <c r="CC811" s="129">
        <f>G811-I811+1</f>
        <v>72</v>
      </c>
      <c r="CD811" s="129">
        <f>G811-J811</f>
        <v>0</v>
      </c>
      <c r="CE811" s="129">
        <f t="shared" si="595"/>
        <v>0</v>
      </c>
      <c r="CG811" s="129" t="str">
        <f t="shared" si="596"/>
        <v>Y</v>
      </c>
      <c r="CI811" s="129" t="str">
        <f t="shared" si="597"/>
        <v>61-90 DAYS</v>
      </c>
      <c r="CJ811" s="137">
        <f t="shared" si="598"/>
        <v>4</v>
      </c>
      <c r="CK811" s="129" t="str">
        <f t="shared" si="599"/>
        <v>Booked</v>
      </c>
    </row>
    <row r="812" spans="1:89" ht="15" customHeight="1" x14ac:dyDescent="0.25">
      <c r="A812" s="111">
        <v>1817</v>
      </c>
      <c r="B812" s="128" t="str">
        <f t="shared" si="581"/>
        <v>N</v>
      </c>
      <c r="C812" s="128" t="str">
        <f t="shared" si="582"/>
        <v>N</v>
      </c>
      <c r="D812" s="117">
        <v>1562872</v>
      </c>
      <c r="E812" s="135">
        <f t="shared" si="583"/>
        <v>2</v>
      </c>
      <c r="F812" s="124">
        <v>40976</v>
      </c>
      <c r="G812" s="125">
        <v>41114</v>
      </c>
      <c r="H812" s="117">
        <v>1562872</v>
      </c>
      <c r="I812" s="124" t="s">
        <v>562</v>
      </c>
      <c r="J812" s="124" t="s">
        <v>562</v>
      </c>
      <c r="K812" s="126">
        <v>2000</v>
      </c>
      <c r="L812" s="127" t="s">
        <v>568</v>
      </c>
      <c r="M812" s="125">
        <v>41003</v>
      </c>
      <c r="N812" s="129" t="str">
        <f>IF(M812&gt;1/1/1,"Y",IF(Q812="0","","N"))</f>
        <v>Y</v>
      </c>
      <c r="O812" s="128" t="s">
        <v>76</v>
      </c>
      <c r="P812" s="129" t="s">
        <v>589</v>
      </c>
      <c r="Q812" s="111">
        <f t="shared" si="615"/>
        <v>0</v>
      </c>
      <c r="R812" s="111">
        <f t="shared" si="577"/>
        <v>139</v>
      </c>
      <c r="S812" s="129">
        <v>0</v>
      </c>
      <c r="T812" s="129">
        <v>1</v>
      </c>
      <c r="W812" s="111"/>
      <c r="AC812" s="130"/>
      <c r="AD812" s="130">
        <v>27865</v>
      </c>
      <c r="AE812" s="128" t="s">
        <v>32</v>
      </c>
      <c r="AF812" s="128" t="s">
        <v>33</v>
      </c>
      <c r="AG812" s="128" t="s">
        <v>872</v>
      </c>
      <c r="AH812" s="108" t="s">
        <v>31</v>
      </c>
      <c r="AI812" s="128" t="s">
        <v>118</v>
      </c>
      <c r="AJ812" s="129" t="s">
        <v>48</v>
      </c>
      <c r="AK812" s="129">
        <v>6</v>
      </c>
      <c r="AL812" s="3" t="s">
        <v>48</v>
      </c>
      <c r="AP812" s="129" t="s">
        <v>108</v>
      </c>
      <c r="AR812" s="128" t="s">
        <v>44</v>
      </c>
      <c r="AS812" s="129" t="s">
        <v>61</v>
      </c>
      <c r="BC812" s="129" t="s">
        <v>38</v>
      </c>
      <c r="BF812" s="111">
        <v>0</v>
      </c>
      <c r="BG812" s="111">
        <v>0</v>
      </c>
      <c r="BH812" s="111">
        <f t="shared" si="578"/>
        <v>139</v>
      </c>
      <c r="BI812" s="111">
        <f t="shared" si="579"/>
        <v>35.822404371584696</v>
      </c>
      <c r="BJ812" s="129" t="e">
        <f>(G812-J812)+(M812-G812)</f>
        <v>#VALUE!</v>
      </c>
      <c r="BK812" s="129" t="e">
        <f t="shared" si="580"/>
        <v>#VALUE!</v>
      </c>
      <c r="BL812" s="129" t="str">
        <f t="shared" si="612"/>
        <v>DEFERRED</v>
      </c>
      <c r="BM812" s="129" t="s">
        <v>76</v>
      </c>
      <c r="BN812" s="129" t="s">
        <v>88</v>
      </c>
      <c r="BP812" s="137" t="str">
        <f t="shared" si="584"/>
        <v>DEFERRED</v>
      </c>
      <c r="BQ812" s="128">
        <f t="shared" si="585"/>
        <v>0</v>
      </c>
      <c r="BR812" s="129" t="s">
        <v>575</v>
      </c>
      <c r="BS812" s="129" t="str">
        <f t="shared" si="587"/>
        <v>DISPOSED</v>
      </c>
      <c r="BT812" s="129" t="str">
        <f t="shared" si="588"/>
        <v>N</v>
      </c>
      <c r="BU812" s="109">
        <f t="shared" si="589"/>
        <v>0</v>
      </c>
      <c r="BV812" s="109">
        <v>0</v>
      </c>
      <c r="BW812" s="109">
        <f t="shared" si="616"/>
        <v>0</v>
      </c>
      <c r="BX812" s="111">
        <f t="shared" si="591"/>
        <v>0</v>
      </c>
      <c r="BY812" s="129" t="e">
        <f t="shared" si="592"/>
        <v>#VALUE!</v>
      </c>
      <c r="BZ812" s="111" t="e">
        <f t="shared" si="593"/>
        <v>#VALUE!</v>
      </c>
      <c r="CA812" s="138" t="e">
        <f t="shared" si="594"/>
        <v>#VALUE!</v>
      </c>
      <c r="CB812" s="111">
        <v>0</v>
      </c>
      <c r="CC812" s="129">
        <v>0</v>
      </c>
      <c r="CD812" s="111">
        <f>CC812-BF812</f>
        <v>0</v>
      </c>
      <c r="CE812" s="129" t="e">
        <f t="shared" si="595"/>
        <v>#VALUE!</v>
      </c>
      <c r="CG812" s="129" t="str">
        <f t="shared" si="596"/>
        <v>Y</v>
      </c>
      <c r="CI812" s="129" t="str">
        <f t="shared" si="597"/>
        <v>0-10 DAYS</v>
      </c>
      <c r="CJ812" s="137">
        <f t="shared" si="598"/>
        <v>1</v>
      </c>
      <c r="CK812" s="129" t="str">
        <f t="shared" si="599"/>
        <v>Not Booked</v>
      </c>
    </row>
    <row r="813" spans="1:89" ht="15" customHeight="1" x14ac:dyDescent="0.25">
      <c r="A813" s="111">
        <v>2194</v>
      </c>
      <c r="B813" s="128" t="str">
        <f t="shared" si="581"/>
        <v>N</v>
      </c>
      <c r="C813" s="128" t="str">
        <f t="shared" si="582"/>
        <v>N</v>
      </c>
      <c r="D813" s="117">
        <v>1562952</v>
      </c>
      <c r="E813" s="135">
        <f t="shared" si="583"/>
        <v>3</v>
      </c>
      <c r="F813" s="124">
        <v>40991</v>
      </c>
      <c r="G813" s="125">
        <v>41208</v>
      </c>
      <c r="H813" s="117">
        <v>1562952</v>
      </c>
      <c r="I813" s="124">
        <v>40991</v>
      </c>
      <c r="J813" s="124">
        <v>40994</v>
      </c>
      <c r="K813" s="126">
        <v>10000</v>
      </c>
      <c r="L813" s="127" t="s">
        <v>570</v>
      </c>
      <c r="M813" s="125">
        <v>40994</v>
      </c>
      <c r="N813" s="129" t="str">
        <f>IF(M813&gt;1/1/1,"Y","N")</f>
        <v>Y</v>
      </c>
      <c r="O813" s="128" t="s">
        <v>585</v>
      </c>
      <c r="P813" s="129" t="s">
        <v>39</v>
      </c>
      <c r="Q813" s="111">
        <f t="shared" si="615"/>
        <v>4</v>
      </c>
      <c r="R813" s="111">
        <f t="shared" si="577"/>
        <v>218</v>
      </c>
      <c r="S813" s="129">
        <v>0</v>
      </c>
      <c r="T813" s="129">
        <v>2</v>
      </c>
      <c r="W813" s="111"/>
      <c r="AC813" s="130"/>
      <c r="AD813" s="130">
        <v>27032</v>
      </c>
      <c r="AE813" s="128" t="s">
        <v>46</v>
      </c>
      <c r="AF813" s="128" t="s">
        <v>69</v>
      </c>
      <c r="AG813" s="128" t="s">
        <v>874</v>
      </c>
      <c r="AH813" s="108" t="s">
        <v>31</v>
      </c>
      <c r="AI813" s="128" t="s">
        <v>100</v>
      </c>
      <c r="AJ813" s="129" t="s">
        <v>89</v>
      </c>
      <c r="AK813" s="129">
        <v>9</v>
      </c>
      <c r="AL813" s="3" t="s">
        <v>185</v>
      </c>
      <c r="AO813" s="128">
        <v>10</v>
      </c>
      <c r="AP813" s="129" t="s">
        <v>66</v>
      </c>
      <c r="AR813" s="128" t="s">
        <v>67</v>
      </c>
      <c r="AS813" s="129" t="s">
        <v>68</v>
      </c>
      <c r="BC813" s="129" t="s">
        <v>52</v>
      </c>
      <c r="BF813" s="111">
        <f t="shared" ref="BF813:BF840" si="617">IF(J813&gt;1/1/1900,((J813+1)-I813),"STILL OPEN")</f>
        <v>4</v>
      </c>
      <c r="BG813" s="111">
        <f t="shared" ref="BG813:BG840" si="618">IF(G813&gt;1/1/1900,((G813+1)-I813),"STILL OPEN")</f>
        <v>218</v>
      </c>
      <c r="BH813" s="111">
        <f t="shared" si="578"/>
        <v>218</v>
      </c>
      <c r="BI813" s="111">
        <f t="shared" si="579"/>
        <v>38.139344262295083</v>
      </c>
      <c r="BJ813" s="129">
        <f>(G813-J813)+(M813-G813)</f>
        <v>0</v>
      </c>
      <c r="BK813" s="129">
        <f t="shared" si="580"/>
        <v>-214</v>
      </c>
      <c r="BL813" s="129" t="str">
        <f t="shared" si="612"/>
        <v>CONVICTION</v>
      </c>
      <c r="BM813" s="129" t="s">
        <v>76</v>
      </c>
      <c r="BN813" s="129" t="s">
        <v>88</v>
      </c>
      <c r="BP813" s="137" t="str">
        <f t="shared" si="584"/>
        <v>CONVICTION</v>
      </c>
      <c r="BQ813" s="128" t="str">
        <f t="shared" si="585"/>
        <v>Y</v>
      </c>
      <c r="BR813" s="129" t="str">
        <f>IF(J813&lt;G813,"ON BOND",0)</f>
        <v>ON BOND</v>
      </c>
      <c r="BS813" s="129" t="str">
        <f t="shared" si="587"/>
        <v>DISPOSED</v>
      </c>
      <c r="BT813" s="129" t="str">
        <f t="shared" si="588"/>
        <v>N</v>
      </c>
      <c r="BU813" s="109">
        <f t="shared" si="589"/>
        <v>1.834862385321101E-2</v>
      </c>
      <c r="BV813" s="109">
        <f t="shared" si="590"/>
        <v>1.834862385321101E-2</v>
      </c>
      <c r="BW813" s="109">
        <f t="shared" si="616"/>
        <v>0</v>
      </c>
      <c r="BX813" s="111">
        <f t="shared" si="591"/>
        <v>0</v>
      </c>
      <c r="BY813" s="129">
        <f t="shared" si="592"/>
        <v>-4</v>
      </c>
      <c r="BZ813" s="111">
        <f t="shared" si="593"/>
        <v>0</v>
      </c>
      <c r="CA813" s="138">
        <f t="shared" si="594"/>
        <v>4</v>
      </c>
      <c r="CB813" s="111" t="e">
        <f t="shared" ref="CB813:CB840" si="619">IF(AF813&gt;1/1/1900,((AF813+1)-AE813),"STILL OPEN")</f>
        <v>#VALUE!</v>
      </c>
      <c r="CC813" s="129">
        <f>M813-I813+1</f>
        <v>4</v>
      </c>
      <c r="CD813" s="111">
        <f>CC813-BF813</f>
        <v>0</v>
      </c>
      <c r="CE813" s="129">
        <f t="shared" si="595"/>
        <v>214</v>
      </c>
      <c r="CG813" s="129" t="str">
        <f t="shared" si="596"/>
        <v>Y</v>
      </c>
      <c r="CI813" s="129" t="str">
        <f t="shared" si="597"/>
        <v>0-10 DAYS</v>
      </c>
      <c r="CJ813" s="137">
        <f t="shared" si="598"/>
        <v>1</v>
      </c>
      <c r="CK813" s="129" t="str">
        <f t="shared" si="599"/>
        <v>Booked</v>
      </c>
    </row>
    <row r="814" spans="1:89" ht="15.75" customHeight="1" x14ac:dyDescent="0.25">
      <c r="A814" s="111">
        <v>3120</v>
      </c>
      <c r="B814" s="128" t="str">
        <f t="shared" si="581"/>
        <v>N</v>
      </c>
      <c r="C814" s="128" t="str">
        <f t="shared" si="582"/>
        <v>N</v>
      </c>
      <c r="D814" s="117">
        <v>1566541</v>
      </c>
      <c r="E814" s="135">
        <f t="shared" si="583"/>
        <v>5</v>
      </c>
      <c r="F814" s="124">
        <v>41024</v>
      </c>
      <c r="G814" s="125">
        <v>41113</v>
      </c>
      <c r="H814" s="117">
        <v>1566541</v>
      </c>
      <c r="I814" s="124">
        <v>41024</v>
      </c>
      <c r="J814" s="124">
        <v>41113</v>
      </c>
      <c r="K814" s="126">
        <v>15000</v>
      </c>
      <c r="L814" s="127" t="s">
        <v>571</v>
      </c>
      <c r="N814" s="129" t="str">
        <f>IF(M814&gt;1/1/1,"Y","N")</f>
        <v>N</v>
      </c>
      <c r="O814" s="128" t="s">
        <v>917</v>
      </c>
      <c r="P814" s="129" t="s">
        <v>39</v>
      </c>
      <c r="Q814" s="111">
        <f t="shared" si="615"/>
        <v>90</v>
      </c>
      <c r="R814" s="111">
        <f t="shared" si="577"/>
        <v>90</v>
      </c>
      <c r="S814" s="129">
        <v>6</v>
      </c>
      <c r="T814" s="129">
        <v>5</v>
      </c>
      <c r="U814" s="129">
        <v>4</v>
      </c>
      <c r="W814" s="111"/>
      <c r="AC814" s="130"/>
      <c r="AD814" s="130">
        <v>29091</v>
      </c>
      <c r="AE814" s="128" t="s">
        <v>32</v>
      </c>
      <c r="AF814" s="128" t="s">
        <v>33</v>
      </c>
      <c r="AG814" s="128" t="s">
        <v>872</v>
      </c>
      <c r="AH814" s="108" t="s">
        <v>58</v>
      </c>
      <c r="AI814" s="128" t="s">
        <v>90</v>
      </c>
      <c r="AJ814" s="129" t="s">
        <v>89</v>
      </c>
      <c r="AK814" s="129">
        <v>4</v>
      </c>
      <c r="AL814" s="3" t="s">
        <v>992</v>
      </c>
      <c r="AN814" s="117">
        <v>6</v>
      </c>
      <c r="AP814" s="129" t="s">
        <v>43</v>
      </c>
      <c r="AR814" s="128" t="s">
        <v>44</v>
      </c>
      <c r="AS814" s="129" t="s">
        <v>45</v>
      </c>
      <c r="BC814" s="129" t="s">
        <v>38</v>
      </c>
      <c r="BF814" s="111">
        <f t="shared" si="617"/>
        <v>90</v>
      </c>
      <c r="BG814" s="111">
        <f t="shared" si="618"/>
        <v>90</v>
      </c>
      <c r="BH814" s="111">
        <f t="shared" si="578"/>
        <v>90</v>
      </c>
      <c r="BI814" s="111">
        <f t="shared" si="579"/>
        <v>32.603825136612024</v>
      </c>
      <c r="BJ814" s="129">
        <f t="shared" si="600"/>
        <v>0</v>
      </c>
      <c r="BK814" s="129">
        <f t="shared" si="580"/>
        <v>0</v>
      </c>
      <c r="BL814" s="129" t="str">
        <f t="shared" si="612"/>
        <v>CONVICTION</v>
      </c>
      <c r="BM814" s="129" t="str">
        <f t="shared" si="601"/>
        <v>NONE</v>
      </c>
      <c r="BN814" s="129" t="s">
        <v>566</v>
      </c>
      <c r="BP814" s="137" t="str">
        <f t="shared" si="584"/>
        <v>CONVICTION</v>
      </c>
      <c r="BQ814" s="128" t="str">
        <f t="shared" si="585"/>
        <v>Y</v>
      </c>
      <c r="BR814" s="129" t="str">
        <f t="shared" si="586"/>
        <v>DETAINED</v>
      </c>
      <c r="BS814" s="129" t="str">
        <f t="shared" si="587"/>
        <v>DISPOSED</v>
      </c>
      <c r="BT814" s="129" t="str">
        <f t="shared" si="588"/>
        <v>Y</v>
      </c>
      <c r="BU814" s="109">
        <f t="shared" si="589"/>
        <v>1</v>
      </c>
      <c r="BV814" s="109">
        <f t="shared" si="590"/>
        <v>1</v>
      </c>
      <c r="BW814" s="109">
        <f t="shared" si="616"/>
        <v>0</v>
      </c>
      <c r="BX814" s="111">
        <f t="shared" si="591"/>
        <v>0</v>
      </c>
      <c r="BY814" s="129">
        <f t="shared" si="592"/>
        <v>-90</v>
      </c>
      <c r="BZ814" s="111">
        <f t="shared" si="593"/>
        <v>0</v>
      </c>
      <c r="CA814" s="138">
        <f t="shared" si="594"/>
        <v>90</v>
      </c>
      <c r="CB814" s="111" t="e">
        <f t="shared" si="619"/>
        <v>#VALUE!</v>
      </c>
      <c r="CC814" s="129">
        <f>G814-I814+1</f>
        <v>90</v>
      </c>
      <c r="CD814" s="129">
        <f t="shared" ref="CD814:CD821" si="620">G814-J814</f>
        <v>0</v>
      </c>
      <c r="CE814" s="129">
        <f t="shared" si="595"/>
        <v>0</v>
      </c>
      <c r="CG814" s="129" t="str">
        <f t="shared" si="596"/>
        <v>Y</v>
      </c>
      <c r="CI814" s="129" t="str">
        <f t="shared" si="597"/>
        <v>61-90 DAYS</v>
      </c>
      <c r="CJ814" s="137">
        <f t="shared" si="598"/>
        <v>4</v>
      </c>
      <c r="CK814" s="129" t="str">
        <f t="shared" si="599"/>
        <v>Booked</v>
      </c>
    </row>
    <row r="815" spans="1:89" ht="15" customHeight="1" x14ac:dyDescent="0.25">
      <c r="A815" s="111">
        <v>2410</v>
      </c>
      <c r="B815" s="128" t="str">
        <f t="shared" si="581"/>
        <v>N</v>
      </c>
      <c r="C815" s="128" t="str">
        <f t="shared" si="582"/>
        <v>N</v>
      </c>
      <c r="D815" s="117">
        <v>1566673</v>
      </c>
      <c r="E815" s="135">
        <f t="shared" si="583"/>
        <v>2</v>
      </c>
      <c r="F815" s="124">
        <v>40999</v>
      </c>
      <c r="G815" s="125">
        <v>41001</v>
      </c>
      <c r="H815" s="117">
        <v>1566673</v>
      </c>
      <c r="I815" s="124">
        <v>40999</v>
      </c>
      <c r="J815" s="124">
        <v>41001</v>
      </c>
      <c r="K815" s="126">
        <v>2000</v>
      </c>
      <c r="L815" s="127" t="s">
        <v>568</v>
      </c>
      <c r="N815" s="129" t="str">
        <f>IF(M815&gt;1/1/1,"Y","N")</f>
        <v>N</v>
      </c>
      <c r="O815" s="128" t="s">
        <v>917</v>
      </c>
      <c r="P815" s="129" t="s">
        <v>589</v>
      </c>
      <c r="Q815" s="111">
        <f t="shared" si="615"/>
        <v>3</v>
      </c>
      <c r="R815" s="111">
        <f t="shared" si="577"/>
        <v>3</v>
      </c>
      <c r="S815" s="129">
        <v>0</v>
      </c>
      <c r="T815" s="129">
        <v>10</v>
      </c>
      <c r="W815" s="111"/>
      <c r="AC815" s="130"/>
      <c r="AD815" s="130">
        <v>26318</v>
      </c>
      <c r="AE815" s="128" t="s">
        <v>32</v>
      </c>
      <c r="AF815" s="128" t="s">
        <v>40</v>
      </c>
      <c r="AG815" s="128" t="s">
        <v>41</v>
      </c>
      <c r="AH815" s="108" t="s">
        <v>41</v>
      </c>
      <c r="AI815" s="128" t="s">
        <v>42</v>
      </c>
      <c r="AJ815" s="129" t="s">
        <v>48</v>
      </c>
      <c r="AK815" s="129">
        <v>1</v>
      </c>
      <c r="AL815" s="3" t="s">
        <v>48</v>
      </c>
      <c r="AP815" s="129" t="s">
        <v>60</v>
      </c>
      <c r="AR815" s="128" t="s">
        <v>44</v>
      </c>
      <c r="AS815" s="129" t="s">
        <v>61</v>
      </c>
      <c r="BC815" s="129" t="s">
        <v>38</v>
      </c>
      <c r="BF815" s="111">
        <f t="shared" si="617"/>
        <v>3</v>
      </c>
      <c r="BG815" s="111">
        <f t="shared" si="618"/>
        <v>3</v>
      </c>
      <c r="BH815" s="111">
        <f t="shared" si="578"/>
        <v>3</v>
      </c>
      <c r="BI815" s="111">
        <f t="shared" si="579"/>
        <v>40.112021857923494</v>
      </c>
      <c r="BJ815" s="129">
        <f t="shared" si="600"/>
        <v>0</v>
      </c>
      <c r="BK815" s="129">
        <f t="shared" si="580"/>
        <v>0</v>
      </c>
      <c r="BL815" s="129" t="str">
        <f t="shared" si="612"/>
        <v>DEFERRED</v>
      </c>
      <c r="BM815" s="129" t="str">
        <f t="shared" si="601"/>
        <v>NONE</v>
      </c>
      <c r="BN815" s="129" t="s">
        <v>566</v>
      </c>
      <c r="BP815" s="137" t="str">
        <f t="shared" si="584"/>
        <v>DEFERRED</v>
      </c>
      <c r="BQ815" s="128" t="str">
        <f t="shared" si="585"/>
        <v>Y</v>
      </c>
      <c r="BR815" s="129" t="str">
        <f t="shared" si="586"/>
        <v>DETAINED</v>
      </c>
      <c r="BS815" s="129" t="str">
        <f t="shared" si="587"/>
        <v>DISPOSED</v>
      </c>
      <c r="BT815" s="129" t="str">
        <f t="shared" si="588"/>
        <v>N</v>
      </c>
      <c r="BU815" s="109">
        <f t="shared" si="589"/>
        <v>1</v>
      </c>
      <c r="BV815" s="109">
        <f t="shared" si="590"/>
        <v>1</v>
      </c>
      <c r="BW815" s="109">
        <f t="shared" si="616"/>
        <v>0</v>
      </c>
      <c r="BX815" s="111">
        <f t="shared" si="591"/>
        <v>0</v>
      </c>
      <c r="BY815" s="129">
        <f t="shared" si="592"/>
        <v>-3</v>
      </c>
      <c r="BZ815" s="111">
        <f t="shared" si="593"/>
        <v>0</v>
      </c>
      <c r="CA815" s="138">
        <f t="shared" si="594"/>
        <v>3</v>
      </c>
      <c r="CB815" s="111" t="e">
        <f t="shared" si="619"/>
        <v>#VALUE!</v>
      </c>
      <c r="CC815" s="129">
        <f>G815-I815+1</f>
        <v>3</v>
      </c>
      <c r="CD815" s="129">
        <f t="shared" si="620"/>
        <v>0</v>
      </c>
      <c r="CE815" s="129">
        <f t="shared" si="595"/>
        <v>0</v>
      </c>
      <c r="CG815" s="129" t="str">
        <f t="shared" si="596"/>
        <v>Y</v>
      </c>
      <c r="CI815" s="129" t="str">
        <f t="shared" si="597"/>
        <v>0-10 DAYS</v>
      </c>
      <c r="CJ815" s="137">
        <f t="shared" si="598"/>
        <v>1</v>
      </c>
      <c r="CK815" s="129" t="str">
        <f t="shared" si="599"/>
        <v>Booked</v>
      </c>
    </row>
    <row r="816" spans="1:89" ht="15.75" customHeight="1" x14ac:dyDescent="0.25">
      <c r="A816" s="111">
        <v>650</v>
      </c>
      <c r="B816" s="128" t="str">
        <f t="shared" si="581"/>
        <v>N</v>
      </c>
      <c r="C816" s="128" t="str">
        <f t="shared" si="582"/>
        <v>N</v>
      </c>
      <c r="D816" s="117">
        <v>1569451</v>
      </c>
      <c r="E816" s="135">
        <f t="shared" si="583"/>
        <v>6</v>
      </c>
      <c r="F816" s="124">
        <v>40934</v>
      </c>
      <c r="G816" s="125">
        <v>41473</v>
      </c>
      <c r="H816" s="117">
        <v>1569451</v>
      </c>
      <c r="I816" s="124">
        <v>40934</v>
      </c>
      <c r="J816" s="125">
        <v>41473</v>
      </c>
      <c r="K816" s="126" t="s">
        <v>564</v>
      </c>
      <c r="L816" s="127" t="s">
        <v>564</v>
      </c>
      <c r="N816" s="129" t="s">
        <v>566</v>
      </c>
      <c r="O816" s="128" t="s">
        <v>917</v>
      </c>
      <c r="P816" s="129" t="s">
        <v>39</v>
      </c>
      <c r="Q816" s="111">
        <f t="shared" si="615"/>
        <v>540</v>
      </c>
      <c r="R816" s="111">
        <f t="shared" si="577"/>
        <v>540</v>
      </c>
      <c r="S816" s="129">
        <v>3</v>
      </c>
      <c r="T816" s="129">
        <v>3</v>
      </c>
      <c r="U816" s="129">
        <v>3</v>
      </c>
      <c r="W816" s="111"/>
      <c r="AC816" s="130"/>
      <c r="AD816" s="130">
        <v>28423</v>
      </c>
      <c r="AE816" s="128" t="s">
        <v>32</v>
      </c>
      <c r="AF816" s="128" t="s">
        <v>33</v>
      </c>
      <c r="AG816" s="128" t="s">
        <v>872</v>
      </c>
      <c r="AH816" s="108" t="s">
        <v>58</v>
      </c>
      <c r="AI816" s="128" t="s">
        <v>65</v>
      </c>
      <c r="AJ816" s="129" t="s">
        <v>89</v>
      </c>
      <c r="AK816" s="129">
        <v>17</v>
      </c>
      <c r="AL816" s="3" t="s">
        <v>362</v>
      </c>
      <c r="AM816" s="117">
        <v>2</v>
      </c>
      <c r="AP816" s="129" t="s">
        <v>150</v>
      </c>
      <c r="AR816" s="128" t="s">
        <v>67</v>
      </c>
      <c r="AS816" s="129" t="s">
        <v>74</v>
      </c>
      <c r="BC816" s="129" t="s">
        <v>38</v>
      </c>
      <c r="BF816" s="111">
        <f t="shared" si="617"/>
        <v>540</v>
      </c>
      <c r="BG816" s="111">
        <f t="shared" si="618"/>
        <v>540</v>
      </c>
      <c r="BH816" s="111">
        <f t="shared" si="578"/>
        <v>540</v>
      </c>
      <c r="BI816" s="111">
        <f t="shared" si="579"/>
        <v>34.18306010928962</v>
      </c>
      <c r="BJ816" s="129">
        <f t="shared" si="600"/>
        <v>0</v>
      </c>
      <c r="BK816" s="129">
        <f t="shared" si="580"/>
        <v>0</v>
      </c>
      <c r="BL816" s="129" t="str">
        <f t="shared" si="612"/>
        <v>CONVICTION</v>
      </c>
      <c r="BM816" s="129" t="str">
        <f t="shared" si="601"/>
        <v>NONE</v>
      </c>
      <c r="BN816" s="129" t="s">
        <v>566</v>
      </c>
      <c r="BP816" s="137" t="str">
        <f t="shared" si="584"/>
        <v>CONVICTION</v>
      </c>
      <c r="BQ816" s="128" t="str">
        <f t="shared" si="585"/>
        <v>Y</v>
      </c>
      <c r="BR816" s="129" t="str">
        <f t="shared" si="586"/>
        <v>DETAINED</v>
      </c>
      <c r="BS816" s="129" t="str">
        <f t="shared" si="587"/>
        <v>DISPOSED</v>
      </c>
      <c r="BT816" s="129" t="str">
        <f t="shared" si="588"/>
        <v>Y</v>
      </c>
      <c r="BU816" s="109">
        <f t="shared" si="589"/>
        <v>1</v>
      </c>
      <c r="BV816" s="109">
        <f t="shared" si="590"/>
        <v>1</v>
      </c>
      <c r="BW816" s="109">
        <f t="shared" si="616"/>
        <v>0</v>
      </c>
      <c r="BX816" s="111">
        <f t="shared" si="591"/>
        <v>0</v>
      </c>
      <c r="BY816" s="129">
        <f t="shared" si="592"/>
        <v>-540</v>
      </c>
      <c r="BZ816" s="111">
        <f t="shared" si="593"/>
        <v>0</v>
      </c>
      <c r="CA816" s="138">
        <f t="shared" si="594"/>
        <v>540</v>
      </c>
      <c r="CB816" s="111" t="e">
        <f t="shared" si="619"/>
        <v>#VALUE!</v>
      </c>
      <c r="CC816" s="129">
        <f>G816-I816+1</f>
        <v>540</v>
      </c>
      <c r="CD816" s="129">
        <f t="shared" si="620"/>
        <v>0</v>
      </c>
      <c r="CE816" s="129">
        <f t="shared" si="595"/>
        <v>0</v>
      </c>
      <c r="CG816" s="129" t="str">
        <f t="shared" si="596"/>
        <v>Y</v>
      </c>
      <c r="CI816" s="129" t="str">
        <f t="shared" si="597"/>
        <v xml:space="preserve"> &gt;1YRS&lt;2YRS</v>
      </c>
      <c r="CJ816" s="137">
        <f t="shared" si="598"/>
        <v>0</v>
      </c>
      <c r="CK816" s="129" t="str">
        <f t="shared" si="599"/>
        <v>Booked</v>
      </c>
    </row>
    <row r="817" spans="1:89" ht="15" customHeight="1" x14ac:dyDescent="0.25">
      <c r="A817" s="111">
        <v>589</v>
      </c>
      <c r="B817" s="128" t="str">
        <f t="shared" si="581"/>
        <v>N</v>
      </c>
      <c r="C817" s="128" t="str">
        <f t="shared" si="582"/>
        <v>N</v>
      </c>
      <c r="D817" s="117">
        <v>1569730</v>
      </c>
      <c r="E817" s="135">
        <f t="shared" si="583"/>
        <v>6</v>
      </c>
      <c r="F817" s="124">
        <v>40932</v>
      </c>
      <c r="G817" s="125">
        <v>40995</v>
      </c>
      <c r="H817" s="117">
        <v>1569730</v>
      </c>
      <c r="I817" s="124">
        <v>40932</v>
      </c>
      <c r="J817" s="124">
        <v>40995</v>
      </c>
      <c r="K817" s="126">
        <v>20000</v>
      </c>
      <c r="L817" s="127" t="s">
        <v>571</v>
      </c>
      <c r="N817" s="129" t="str">
        <f t="shared" ref="N817:N832" si="621">IF(M817&gt;1/1/1,"Y","N")</f>
        <v>N</v>
      </c>
      <c r="O817" s="128" t="s">
        <v>917</v>
      </c>
      <c r="P817" s="129" t="s">
        <v>39</v>
      </c>
      <c r="Q817" s="111">
        <f t="shared" si="615"/>
        <v>64</v>
      </c>
      <c r="R817" s="111">
        <f t="shared" si="577"/>
        <v>64</v>
      </c>
      <c r="S817" s="129">
        <v>9</v>
      </c>
      <c r="T817" s="129">
        <v>3</v>
      </c>
      <c r="U817" s="129">
        <v>3</v>
      </c>
      <c r="W817" s="111"/>
      <c r="AC817" s="130"/>
      <c r="AD817" s="130">
        <v>28653</v>
      </c>
      <c r="AE817" s="128" t="s">
        <v>32</v>
      </c>
      <c r="AF817" s="128" t="s">
        <v>69</v>
      </c>
      <c r="AG817" s="128" t="s">
        <v>874</v>
      </c>
      <c r="AH817" s="108" t="s">
        <v>58</v>
      </c>
      <c r="AI817" s="128" t="s">
        <v>141</v>
      </c>
      <c r="AJ817" s="129" t="s">
        <v>89</v>
      </c>
      <c r="AK817" s="129">
        <v>3</v>
      </c>
      <c r="AL817" s="3" t="s">
        <v>362</v>
      </c>
      <c r="AM817" s="117">
        <v>1</v>
      </c>
      <c r="AP817" s="129" t="s">
        <v>107</v>
      </c>
      <c r="AR817" s="128" t="s">
        <v>44</v>
      </c>
      <c r="AS817" s="129" t="s">
        <v>57</v>
      </c>
      <c r="BC817" s="129" t="s">
        <v>38</v>
      </c>
      <c r="BF817" s="111">
        <f t="shared" si="617"/>
        <v>64</v>
      </c>
      <c r="BG817" s="111">
        <f t="shared" si="618"/>
        <v>64</v>
      </c>
      <c r="BH817" s="111">
        <f t="shared" si="578"/>
        <v>64</v>
      </c>
      <c r="BI817" s="111">
        <f t="shared" si="579"/>
        <v>33.549180327868854</v>
      </c>
      <c r="BJ817" s="129">
        <f t="shared" si="600"/>
        <v>0</v>
      </c>
      <c r="BK817" s="129">
        <f t="shared" si="580"/>
        <v>0</v>
      </c>
      <c r="BL817" s="129" t="str">
        <f t="shared" si="612"/>
        <v>CONVICTION</v>
      </c>
      <c r="BM817" s="129" t="str">
        <f t="shared" si="601"/>
        <v>NONE</v>
      </c>
      <c r="BN817" s="129" t="s">
        <v>566</v>
      </c>
      <c r="BP817" s="137" t="str">
        <f t="shared" si="584"/>
        <v>CONVICTION</v>
      </c>
      <c r="BQ817" s="128" t="str">
        <f t="shared" si="585"/>
        <v>Y</v>
      </c>
      <c r="BR817" s="129" t="str">
        <f t="shared" si="586"/>
        <v>DETAINED</v>
      </c>
      <c r="BS817" s="129" t="str">
        <f t="shared" si="587"/>
        <v>DISPOSED</v>
      </c>
      <c r="BT817" s="129" t="str">
        <f t="shared" si="588"/>
        <v>Y</v>
      </c>
      <c r="BU817" s="109">
        <f t="shared" si="589"/>
        <v>1</v>
      </c>
      <c r="BV817" s="109">
        <f t="shared" si="590"/>
        <v>1</v>
      </c>
      <c r="BW817" s="109">
        <f t="shared" si="616"/>
        <v>0</v>
      </c>
      <c r="BX817" s="111">
        <f t="shared" si="591"/>
        <v>0</v>
      </c>
      <c r="BY817" s="129">
        <f t="shared" si="592"/>
        <v>-64</v>
      </c>
      <c r="BZ817" s="111">
        <f t="shared" si="593"/>
        <v>0</v>
      </c>
      <c r="CA817" s="138">
        <f t="shared" si="594"/>
        <v>64</v>
      </c>
      <c r="CB817" s="111" t="e">
        <f t="shared" si="619"/>
        <v>#VALUE!</v>
      </c>
      <c r="CC817" s="129">
        <f>G817-I817+1</f>
        <v>64</v>
      </c>
      <c r="CD817" s="129">
        <f t="shared" si="620"/>
        <v>0</v>
      </c>
      <c r="CE817" s="129">
        <f t="shared" si="595"/>
        <v>0</v>
      </c>
      <c r="CG817" s="129" t="str">
        <f t="shared" si="596"/>
        <v>Y</v>
      </c>
      <c r="CI817" s="129" t="str">
        <f t="shared" si="597"/>
        <v>61-90 DAYS</v>
      </c>
      <c r="CJ817" s="137">
        <f t="shared" si="598"/>
        <v>4</v>
      </c>
      <c r="CK817" s="129" t="str">
        <f t="shared" si="599"/>
        <v>Booked</v>
      </c>
    </row>
    <row r="818" spans="1:89" ht="15" customHeight="1" x14ac:dyDescent="0.25">
      <c r="A818" s="111">
        <v>722</v>
      </c>
      <c r="B818" s="128" t="str">
        <f t="shared" si="581"/>
        <v>N</v>
      </c>
      <c r="C818" s="128" t="str">
        <f t="shared" si="582"/>
        <v>N</v>
      </c>
      <c r="D818" s="117">
        <v>1569932</v>
      </c>
      <c r="E818" s="135">
        <f t="shared" si="583"/>
        <v>4</v>
      </c>
      <c r="F818" s="124">
        <v>40937</v>
      </c>
      <c r="G818" s="125">
        <v>40938</v>
      </c>
      <c r="H818" s="117">
        <v>1569932</v>
      </c>
      <c r="I818" s="124">
        <v>40937</v>
      </c>
      <c r="J818" s="124">
        <v>40938</v>
      </c>
      <c r="K818" s="126">
        <v>2000</v>
      </c>
      <c r="L818" s="127" t="s">
        <v>568</v>
      </c>
      <c r="N818" s="129" t="str">
        <f t="shared" si="621"/>
        <v>N</v>
      </c>
      <c r="O818" s="128" t="s">
        <v>917</v>
      </c>
      <c r="P818" s="129" t="s">
        <v>39</v>
      </c>
      <c r="Q818" s="111">
        <f t="shared" si="615"/>
        <v>2</v>
      </c>
      <c r="R818" s="111">
        <f t="shared" si="577"/>
        <v>2</v>
      </c>
      <c r="S818" s="129">
        <v>0</v>
      </c>
      <c r="T818" s="129">
        <v>2</v>
      </c>
      <c r="W818" s="111"/>
      <c r="AC818" s="130"/>
      <c r="AD818" s="130">
        <v>28771</v>
      </c>
      <c r="AE818" s="128" t="s">
        <v>32</v>
      </c>
      <c r="AF818" s="128" t="s">
        <v>40</v>
      </c>
      <c r="AG818" s="128" t="s">
        <v>41</v>
      </c>
      <c r="AH818" s="108" t="s">
        <v>41</v>
      </c>
      <c r="AI818" s="128" t="s">
        <v>53</v>
      </c>
      <c r="AJ818" s="129" t="s">
        <v>89</v>
      </c>
      <c r="AK818" s="129">
        <v>1</v>
      </c>
      <c r="AL818" s="3" t="s">
        <v>991</v>
      </c>
      <c r="AO818" s="128">
        <v>60</v>
      </c>
      <c r="AP818" s="129" t="s">
        <v>43</v>
      </c>
      <c r="AR818" s="128" t="s">
        <v>44</v>
      </c>
      <c r="AS818" s="129" t="s">
        <v>45</v>
      </c>
      <c r="BC818" s="129" t="s">
        <v>38</v>
      </c>
      <c r="BF818" s="111">
        <f t="shared" si="617"/>
        <v>2</v>
      </c>
      <c r="BG818" s="111">
        <f t="shared" si="618"/>
        <v>2</v>
      </c>
      <c r="BH818" s="111">
        <f t="shared" si="578"/>
        <v>2</v>
      </c>
      <c r="BI818" s="111">
        <f t="shared" si="579"/>
        <v>33.240437158469945</v>
      </c>
      <c r="BJ818" s="129">
        <f t="shared" si="600"/>
        <v>0</v>
      </c>
      <c r="BK818" s="129">
        <f t="shared" si="580"/>
        <v>0</v>
      </c>
      <c r="BL818" s="129" t="str">
        <f t="shared" si="612"/>
        <v>CONVICTION</v>
      </c>
      <c r="BM818" s="129" t="str">
        <f t="shared" si="601"/>
        <v>NONE</v>
      </c>
      <c r="BN818" s="129" t="s">
        <v>566</v>
      </c>
      <c r="BP818" s="137" t="str">
        <f t="shared" si="584"/>
        <v>CONVICTION</v>
      </c>
      <c r="BQ818" s="128" t="str">
        <f t="shared" si="585"/>
        <v>Y</v>
      </c>
      <c r="BR818" s="129" t="str">
        <f t="shared" si="586"/>
        <v>DETAINED</v>
      </c>
      <c r="BS818" s="129" t="str">
        <f t="shared" si="587"/>
        <v>DISPOSED</v>
      </c>
      <c r="BT818" s="129" t="str">
        <f t="shared" si="588"/>
        <v>N</v>
      </c>
      <c r="BU818" s="109">
        <f t="shared" si="589"/>
        <v>1</v>
      </c>
      <c r="BV818" s="109">
        <f t="shared" si="590"/>
        <v>1</v>
      </c>
      <c r="BW818" s="109">
        <f t="shared" si="616"/>
        <v>0</v>
      </c>
      <c r="BX818" s="111">
        <f t="shared" si="591"/>
        <v>0</v>
      </c>
      <c r="BY818" s="129">
        <f t="shared" si="592"/>
        <v>-2</v>
      </c>
      <c r="BZ818" s="111">
        <f t="shared" si="593"/>
        <v>0</v>
      </c>
      <c r="CA818" s="138">
        <f t="shared" si="594"/>
        <v>2</v>
      </c>
      <c r="CB818" s="111" t="e">
        <f t="shared" si="619"/>
        <v>#VALUE!</v>
      </c>
      <c r="CC818" s="129">
        <f>G818-I818+1</f>
        <v>2</v>
      </c>
      <c r="CD818" s="129">
        <f t="shared" si="620"/>
        <v>0</v>
      </c>
      <c r="CE818" s="129">
        <f t="shared" si="595"/>
        <v>0</v>
      </c>
      <c r="CG818" s="129" t="str">
        <f t="shared" si="596"/>
        <v>Y</v>
      </c>
      <c r="CI818" s="129" t="str">
        <f t="shared" si="597"/>
        <v>0-10 DAYS</v>
      </c>
      <c r="CJ818" s="137">
        <f t="shared" si="598"/>
        <v>1</v>
      </c>
      <c r="CK818" s="129" t="str">
        <f t="shared" si="599"/>
        <v>Booked</v>
      </c>
    </row>
    <row r="819" spans="1:89" ht="15" customHeight="1" x14ac:dyDescent="0.25">
      <c r="A819" s="111">
        <v>2694</v>
      </c>
      <c r="B819" s="128" t="str">
        <f t="shared" si="581"/>
        <v>N</v>
      </c>
      <c r="C819" s="128" t="str">
        <f t="shared" si="582"/>
        <v>Y</v>
      </c>
      <c r="D819" s="117">
        <v>1570551</v>
      </c>
      <c r="E819" s="135">
        <f t="shared" si="583"/>
        <v>1</v>
      </c>
      <c r="F819" s="124">
        <v>41009</v>
      </c>
      <c r="G819" s="125">
        <v>41087</v>
      </c>
      <c r="H819" s="117">
        <v>1570551</v>
      </c>
      <c r="I819" s="124">
        <v>41010</v>
      </c>
      <c r="J819" s="124">
        <v>41013</v>
      </c>
      <c r="K819" s="126">
        <v>30000</v>
      </c>
      <c r="L819" s="129" t="s">
        <v>572</v>
      </c>
      <c r="M819" s="125">
        <v>41013</v>
      </c>
      <c r="N819" s="129" t="str">
        <f t="shared" si="621"/>
        <v>Y</v>
      </c>
      <c r="O819" s="128" t="s">
        <v>76</v>
      </c>
      <c r="P819" s="129" t="s">
        <v>55</v>
      </c>
      <c r="Q819" s="111">
        <f t="shared" si="615"/>
        <v>4</v>
      </c>
      <c r="R819" s="111">
        <f t="shared" si="577"/>
        <v>79</v>
      </c>
      <c r="S819" s="129">
        <v>3</v>
      </c>
      <c r="T819" s="129">
        <v>1</v>
      </c>
      <c r="U819" s="129">
        <v>3</v>
      </c>
      <c r="W819" s="111"/>
      <c r="AC819" s="130"/>
      <c r="AD819" s="130">
        <v>27962</v>
      </c>
      <c r="AE819" s="128" t="s">
        <v>32</v>
      </c>
      <c r="AF819" s="128" t="s">
        <v>40</v>
      </c>
      <c r="AG819" s="128" t="s">
        <v>41</v>
      </c>
      <c r="AH819" s="108" t="s">
        <v>41</v>
      </c>
      <c r="AI819" s="128" t="s">
        <v>141</v>
      </c>
      <c r="AJ819" s="129" t="s">
        <v>55</v>
      </c>
      <c r="AK819" s="129">
        <v>6</v>
      </c>
      <c r="AL819" s="3" t="s">
        <v>55</v>
      </c>
      <c r="AP819" s="129" t="s">
        <v>132</v>
      </c>
      <c r="AR819" s="128" t="s">
        <v>92</v>
      </c>
      <c r="AS819" s="129" t="s">
        <v>82</v>
      </c>
      <c r="AV819" s="3" t="s">
        <v>88</v>
      </c>
      <c r="AW819" s="129" t="s">
        <v>779</v>
      </c>
      <c r="BA819" s="125">
        <v>41327</v>
      </c>
      <c r="BB819" s="129">
        <v>1215</v>
      </c>
      <c r="BC819" s="129" t="s">
        <v>52</v>
      </c>
      <c r="BF819" s="111">
        <v>4</v>
      </c>
      <c r="BG819" s="111">
        <f t="shared" si="618"/>
        <v>78</v>
      </c>
      <c r="BH819" s="111">
        <f t="shared" si="578"/>
        <v>79</v>
      </c>
      <c r="BI819" s="111">
        <f t="shared" si="579"/>
        <v>35.647540983606561</v>
      </c>
      <c r="BJ819" s="129">
        <f>(G819-J819)+(M819-G819)</f>
        <v>0</v>
      </c>
      <c r="BK819" s="129">
        <f t="shared" si="580"/>
        <v>-74</v>
      </c>
      <c r="BL819" s="129" t="str">
        <f t="shared" si="612"/>
        <v>NO CONVICTION</v>
      </c>
      <c r="BM819" s="129" t="s">
        <v>76</v>
      </c>
      <c r="BN819" s="129" t="s">
        <v>88</v>
      </c>
      <c r="BP819" s="137" t="str">
        <f t="shared" si="584"/>
        <v>NO CONVICTION</v>
      </c>
      <c r="BQ819" s="128" t="str">
        <f t="shared" si="585"/>
        <v>Y</v>
      </c>
      <c r="BR819" s="129" t="str">
        <f t="shared" si="586"/>
        <v>ON BOND</v>
      </c>
      <c r="BS819" s="129" t="str">
        <f t="shared" si="587"/>
        <v>DISPOSED</v>
      </c>
      <c r="BT819" s="129" t="str">
        <f t="shared" si="588"/>
        <v>Y</v>
      </c>
      <c r="BU819" s="109">
        <f>IFERROR(Q819/R819,BR819)</f>
        <v>5.0632911392405063E-2</v>
      </c>
      <c r="BV819" s="109">
        <f t="shared" si="590"/>
        <v>5.128205128205128E-2</v>
      </c>
      <c r="BW819" s="109">
        <f t="shared" si="616"/>
        <v>6.4913988964621777E-4</v>
      </c>
      <c r="BX819" s="111">
        <f t="shared" si="591"/>
        <v>0</v>
      </c>
      <c r="BY819" s="129">
        <f t="shared" si="592"/>
        <v>-4</v>
      </c>
      <c r="BZ819" s="111">
        <f t="shared" si="593"/>
        <v>0</v>
      </c>
      <c r="CA819" s="138">
        <f t="shared" si="594"/>
        <v>4</v>
      </c>
      <c r="CB819" s="111" t="e">
        <f t="shared" si="619"/>
        <v>#VALUE!</v>
      </c>
      <c r="CD819" s="129">
        <f t="shared" si="620"/>
        <v>74</v>
      </c>
      <c r="CE819" s="129">
        <f t="shared" si="595"/>
        <v>74</v>
      </c>
      <c r="CG819" s="129" t="str">
        <f t="shared" si="596"/>
        <v>Y</v>
      </c>
      <c r="CI819" s="129" t="str">
        <f t="shared" si="597"/>
        <v>0-10 DAYS</v>
      </c>
      <c r="CJ819" s="137">
        <f t="shared" si="598"/>
        <v>1</v>
      </c>
      <c r="CK819" s="129" t="str">
        <f t="shared" si="599"/>
        <v>Booked</v>
      </c>
    </row>
    <row r="820" spans="1:89" ht="15" customHeight="1" x14ac:dyDescent="0.25">
      <c r="A820" s="111">
        <v>1944</v>
      </c>
      <c r="B820" s="128" t="str">
        <f t="shared" si="581"/>
        <v>N</v>
      </c>
      <c r="C820" s="128" t="str">
        <f t="shared" si="582"/>
        <v>N</v>
      </c>
      <c r="D820" s="117">
        <v>1571213</v>
      </c>
      <c r="E820" s="135">
        <f t="shared" si="583"/>
        <v>5</v>
      </c>
      <c r="F820" s="124">
        <v>40981</v>
      </c>
      <c r="G820" s="125">
        <v>40983</v>
      </c>
      <c r="H820" s="117">
        <v>1571213</v>
      </c>
      <c r="I820" s="124">
        <v>40982</v>
      </c>
      <c r="J820" s="124">
        <v>40983</v>
      </c>
      <c r="K820" s="126">
        <v>15000</v>
      </c>
      <c r="L820" s="127" t="s">
        <v>571</v>
      </c>
      <c r="N820" s="129" t="str">
        <f t="shared" si="621"/>
        <v>N</v>
      </c>
      <c r="O820" s="128" t="s">
        <v>917</v>
      </c>
      <c r="P820" s="129" t="s">
        <v>39</v>
      </c>
      <c r="Q820" s="111">
        <f t="shared" si="615"/>
        <v>2</v>
      </c>
      <c r="R820" s="111">
        <f t="shared" si="577"/>
        <v>3</v>
      </c>
      <c r="S820" s="129">
        <v>7</v>
      </c>
      <c r="T820" s="129">
        <v>4</v>
      </c>
      <c r="W820" s="111"/>
      <c r="AC820" s="130"/>
      <c r="AD820" s="130">
        <v>29008</v>
      </c>
      <c r="AE820" s="128" t="s">
        <v>46</v>
      </c>
      <c r="AF820" s="128" t="s">
        <v>33</v>
      </c>
      <c r="AG820" s="128" t="s">
        <v>872</v>
      </c>
      <c r="AH820" s="108" t="s">
        <v>58</v>
      </c>
      <c r="AI820" s="128" t="s">
        <v>100</v>
      </c>
      <c r="AJ820" s="129" t="s">
        <v>89</v>
      </c>
      <c r="AK820" s="129">
        <v>1</v>
      </c>
      <c r="AL820" s="3" t="s">
        <v>992</v>
      </c>
      <c r="AN820" s="117">
        <v>7</v>
      </c>
      <c r="AP820" s="129" t="s">
        <v>127</v>
      </c>
      <c r="AR820" s="128" t="s">
        <v>44</v>
      </c>
      <c r="AS820" s="129" t="s">
        <v>82</v>
      </c>
      <c r="AX820" s="32"/>
      <c r="BC820" s="129" t="s">
        <v>38</v>
      </c>
      <c r="BF820" s="111">
        <f t="shared" si="617"/>
        <v>2</v>
      </c>
      <c r="BG820" s="111">
        <f t="shared" si="618"/>
        <v>2</v>
      </c>
      <c r="BH820" s="111">
        <f t="shared" si="578"/>
        <v>3</v>
      </c>
      <c r="BI820" s="111">
        <f t="shared" si="579"/>
        <v>32.713114754098363</v>
      </c>
      <c r="BJ820" s="129">
        <f t="shared" si="600"/>
        <v>0</v>
      </c>
      <c r="BK820" s="129">
        <f t="shared" si="580"/>
        <v>0</v>
      </c>
      <c r="BL820" s="129" t="str">
        <f t="shared" si="612"/>
        <v>CONVICTION</v>
      </c>
      <c r="BM820" s="129" t="str">
        <f t="shared" si="601"/>
        <v>NONE</v>
      </c>
      <c r="BN820" s="129" t="s">
        <v>566</v>
      </c>
      <c r="BP820" s="137" t="str">
        <f t="shared" si="584"/>
        <v>CONVICTION</v>
      </c>
      <c r="BQ820" s="128" t="str">
        <f t="shared" si="585"/>
        <v>Y</v>
      </c>
      <c r="BR820" s="129" t="str">
        <f t="shared" si="586"/>
        <v>DETAINED</v>
      </c>
      <c r="BS820" s="129" t="str">
        <f t="shared" si="587"/>
        <v>DISPOSED</v>
      </c>
      <c r="BT820" s="129" t="str">
        <f t="shared" si="588"/>
        <v>Y</v>
      </c>
      <c r="BU820" s="109">
        <f t="shared" si="589"/>
        <v>0.66666666666666663</v>
      </c>
      <c r="BV820" s="109">
        <f t="shared" si="590"/>
        <v>1</v>
      </c>
      <c r="BW820" s="109">
        <f t="shared" si="616"/>
        <v>0.33333333333333337</v>
      </c>
      <c r="BX820" s="111">
        <f t="shared" si="591"/>
        <v>0</v>
      </c>
      <c r="BY820" s="129">
        <f t="shared" si="592"/>
        <v>-2</v>
      </c>
      <c r="BZ820" s="111">
        <f t="shared" si="593"/>
        <v>0</v>
      </c>
      <c r="CA820" s="138">
        <f t="shared" si="594"/>
        <v>2</v>
      </c>
      <c r="CB820" s="111" t="e">
        <f t="shared" si="619"/>
        <v>#VALUE!</v>
      </c>
      <c r="CC820" s="129">
        <f>G820-I820+1</f>
        <v>2</v>
      </c>
      <c r="CD820" s="129">
        <f t="shared" si="620"/>
        <v>0</v>
      </c>
      <c r="CE820" s="129">
        <f t="shared" si="595"/>
        <v>0</v>
      </c>
      <c r="CG820" s="129" t="str">
        <f t="shared" si="596"/>
        <v>Y</v>
      </c>
      <c r="CI820" s="129" t="str">
        <f t="shared" si="597"/>
        <v>0-10 DAYS</v>
      </c>
      <c r="CJ820" s="137">
        <f t="shared" si="598"/>
        <v>1</v>
      </c>
      <c r="CK820" s="129" t="str">
        <f t="shared" si="599"/>
        <v>Booked</v>
      </c>
    </row>
    <row r="821" spans="1:89" ht="15.75" customHeight="1" x14ac:dyDescent="0.25">
      <c r="A821" s="111">
        <v>1279</v>
      </c>
      <c r="B821" s="128" t="str">
        <f t="shared" si="581"/>
        <v>N</v>
      </c>
      <c r="C821" s="128" t="str">
        <f t="shared" si="582"/>
        <v>N</v>
      </c>
      <c r="D821" s="117">
        <v>1571524</v>
      </c>
      <c r="E821" s="135">
        <f t="shared" si="583"/>
        <v>6</v>
      </c>
      <c r="F821" s="124">
        <v>40955</v>
      </c>
      <c r="G821" s="125">
        <v>41276</v>
      </c>
      <c r="H821" s="117">
        <v>1571524</v>
      </c>
      <c r="I821" s="124">
        <v>40971</v>
      </c>
      <c r="J821" s="125">
        <v>41276</v>
      </c>
      <c r="K821" s="126">
        <v>100000</v>
      </c>
      <c r="L821" s="129" t="s">
        <v>572</v>
      </c>
      <c r="N821" s="129" t="str">
        <f t="shared" si="621"/>
        <v>N</v>
      </c>
      <c r="O821" s="128" t="s">
        <v>917</v>
      </c>
      <c r="P821" s="129" t="s">
        <v>39</v>
      </c>
      <c r="Q821" s="111">
        <f t="shared" si="615"/>
        <v>306</v>
      </c>
      <c r="R821" s="111">
        <f t="shared" si="577"/>
        <v>322</v>
      </c>
      <c r="S821" s="129">
        <v>10</v>
      </c>
      <c r="T821" s="129">
        <v>1</v>
      </c>
      <c r="U821" s="129">
        <v>6</v>
      </c>
      <c r="W821" s="111"/>
      <c r="AC821" s="130"/>
      <c r="AD821" s="130">
        <v>28019</v>
      </c>
      <c r="AE821" s="128" t="s">
        <v>32</v>
      </c>
      <c r="AF821" s="128" t="s">
        <v>69</v>
      </c>
      <c r="AG821" s="128" t="s">
        <v>874</v>
      </c>
      <c r="AH821" s="108" t="s">
        <v>31</v>
      </c>
      <c r="AI821" s="128" t="s">
        <v>85</v>
      </c>
      <c r="AJ821" s="129" t="s">
        <v>89</v>
      </c>
      <c r="AK821" s="129">
        <v>12</v>
      </c>
      <c r="AL821" s="3" t="s">
        <v>362</v>
      </c>
      <c r="AM821" s="117">
        <v>15</v>
      </c>
      <c r="AP821" s="129" t="s">
        <v>63</v>
      </c>
      <c r="AR821" s="128" t="s">
        <v>44</v>
      </c>
      <c r="AS821" s="129" t="s">
        <v>64</v>
      </c>
      <c r="BC821" s="129" t="s">
        <v>99</v>
      </c>
      <c r="BF821" s="111">
        <f t="shared" si="617"/>
        <v>306</v>
      </c>
      <c r="BG821" s="111">
        <f t="shared" si="618"/>
        <v>306</v>
      </c>
      <c r="BH821" s="111">
        <f t="shared" si="578"/>
        <v>322</v>
      </c>
      <c r="BI821" s="111">
        <f t="shared" si="579"/>
        <v>35.344262295081968</v>
      </c>
      <c r="BJ821" s="129">
        <f t="shared" si="600"/>
        <v>0</v>
      </c>
      <c r="BK821" s="129">
        <f t="shared" si="580"/>
        <v>0</v>
      </c>
      <c r="BL821" s="129" t="str">
        <f t="shared" si="612"/>
        <v>CONVICTION</v>
      </c>
      <c r="BM821" s="129" t="str">
        <f t="shared" si="601"/>
        <v>NONE</v>
      </c>
      <c r="BN821" s="129" t="s">
        <v>566</v>
      </c>
      <c r="BP821" s="137" t="str">
        <f t="shared" si="584"/>
        <v>CONVICTION</v>
      </c>
      <c r="BQ821" s="128" t="str">
        <f t="shared" si="585"/>
        <v>Y</v>
      </c>
      <c r="BR821" s="129" t="str">
        <f t="shared" si="586"/>
        <v>DETAINED</v>
      </c>
      <c r="BS821" s="129" t="str">
        <f t="shared" si="587"/>
        <v>DISPOSED</v>
      </c>
      <c r="BT821" s="129" t="str">
        <f t="shared" si="588"/>
        <v>Y</v>
      </c>
      <c r="BU821" s="109">
        <f t="shared" si="589"/>
        <v>0.9503105590062112</v>
      </c>
      <c r="BV821" s="109">
        <f t="shared" si="590"/>
        <v>1</v>
      </c>
      <c r="BW821" s="109">
        <f t="shared" si="616"/>
        <v>4.9689440993788803E-2</v>
      </c>
      <c r="BX821" s="111">
        <f t="shared" si="591"/>
        <v>0</v>
      </c>
      <c r="BY821" s="129">
        <f t="shared" si="592"/>
        <v>-306</v>
      </c>
      <c r="BZ821" s="111">
        <f t="shared" si="593"/>
        <v>0</v>
      </c>
      <c r="CA821" s="138">
        <f t="shared" si="594"/>
        <v>306</v>
      </c>
      <c r="CB821" s="111" t="e">
        <f t="shared" si="619"/>
        <v>#VALUE!</v>
      </c>
      <c r="CC821" s="129">
        <f>G821-I821+1</f>
        <v>306</v>
      </c>
      <c r="CD821" s="129">
        <f t="shared" si="620"/>
        <v>0</v>
      </c>
      <c r="CE821" s="129">
        <f t="shared" si="595"/>
        <v>0</v>
      </c>
      <c r="CG821" s="129" t="str">
        <f t="shared" si="596"/>
        <v>Y</v>
      </c>
      <c r="CI821" s="129" t="str">
        <f t="shared" si="597"/>
        <v>121-365 DAYS</v>
      </c>
      <c r="CJ821" s="137">
        <f t="shared" si="598"/>
        <v>6</v>
      </c>
      <c r="CK821" s="129" t="str">
        <f t="shared" si="599"/>
        <v>Booked</v>
      </c>
    </row>
    <row r="822" spans="1:89" ht="15.75" customHeight="1" x14ac:dyDescent="0.25">
      <c r="A822" s="111">
        <v>2797</v>
      </c>
      <c r="B822" s="128" t="str">
        <f t="shared" si="581"/>
        <v>N</v>
      </c>
      <c r="C822" s="128" t="str">
        <f t="shared" si="582"/>
        <v>N</v>
      </c>
      <c r="D822" s="117">
        <v>1572811</v>
      </c>
      <c r="E822" s="135">
        <f t="shared" si="583"/>
        <v>2</v>
      </c>
      <c r="F822" s="124">
        <v>41012</v>
      </c>
      <c r="G822" s="125">
        <v>41599</v>
      </c>
      <c r="H822" s="117">
        <v>1572811</v>
      </c>
      <c r="I822" s="124">
        <v>41015</v>
      </c>
      <c r="J822" s="124">
        <v>41016</v>
      </c>
      <c r="K822" s="126">
        <v>140000</v>
      </c>
      <c r="L822" s="129" t="s">
        <v>572</v>
      </c>
      <c r="M822" s="125">
        <v>41016</v>
      </c>
      <c r="N822" s="129" t="str">
        <f t="shared" si="621"/>
        <v>Y</v>
      </c>
      <c r="O822" s="128" t="s">
        <v>76</v>
      </c>
      <c r="P822" s="129" t="s">
        <v>589</v>
      </c>
      <c r="Q822" s="111">
        <v>2</v>
      </c>
      <c r="R822" s="111">
        <f t="shared" si="577"/>
        <v>588</v>
      </c>
      <c r="S822" s="129">
        <v>0</v>
      </c>
      <c r="T822" s="129">
        <v>0</v>
      </c>
      <c r="W822" s="111"/>
      <c r="AC822" s="130"/>
      <c r="AD822" s="130">
        <v>27505</v>
      </c>
      <c r="AE822" s="128" t="s">
        <v>32</v>
      </c>
      <c r="AF822" s="128" t="s">
        <v>69</v>
      </c>
      <c r="AG822" s="128" t="s">
        <v>874</v>
      </c>
      <c r="AH822" s="108" t="s">
        <v>58</v>
      </c>
      <c r="AI822" s="128" t="s">
        <v>62</v>
      </c>
      <c r="AJ822" s="129" t="s">
        <v>48</v>
      </c>
      <c r="AK822" s="129">
        <v>22</v>
      </c>
      <c r="AL822" s="3" t="s">
        <v>48</v>
      </c>
      <c r="AP822" s="129" t="s">
        <v>152</v>
      </c>
      <c r="AR822" s="128" t="s">
        <v>67</v>
      </c>
      <c r="AS822" s="129" t="s">
        <v>126</v>
      </c>
      <c r="BC822" s="129" t="s">
        <v>52</v>
      </c>
      <c r="BF822" s="111">
        <v>4</v>
      </c>
      <c r="BG822" s="111">
        <f t="shared" si="618"/>
        <v>585</v>
      </c>
      <c r="BH822" s="111">
        <f t="shared" si="578"/>
        <v>588</v>
      </c>
      <c r="BI822" s="111">
        <f t="shared" si="579"/>
        <v>36.904371584699454</v>
      </c>
      <c r="BJ822" s="129">
        <f>(G822-J822)+(M822-G822)</f>
        <v>0</v>
      </c>
      <c r="BK822" s="129">
        <f t="shared" si="580"/>
        <v>-583</v>
      </c>
      <c r="BL822" s="129" t="str">
        <f t="shared" si="612"/>
        <v>DEFERRED</v>
      </c>
      <c r="BM822" s="129" t="s">
        <v>76</v>
      </c>
      <c r="BN822" s="129" t="s">
        <v>566</v>
      </c>
      <c r="BP822" s="137" t="str">
        <f t="shared" si="584"/>
        <v>DEFERRED</v>
      </c>
      <c r="BQ822" s="128" t="str">
        <f t="shared" si="585"/>
        <v>Y</v>
      </c>
      <c r="BR822" s="129" t="str">
        <f t="shared" si="586"/>
        <v>ON BOND</v>
      </c>
      <c r="BS822" s="129" t="str">
        <f t="shared" si="587"/>
        <v>DISPOSED</v>
      </c>
      <c r="BT822" s="129" t="str">
        <f t="shared" si="588"/>
        <v>N</v>
      </c>
      <c r="BU822" s="109">
        <f t="shared" si="589"/>
        <v>3.4013605442176869E-3</v>
      </c>
      <c r="BV822" s="109">
        <f t="shared" si="590"/>
        <v>3.4188034188034188E-3</v>
      </c>
      <c r="BW822" s="109">
        <f t="shared" si="616"/>
        <v>1.7442874585731852E-5</v>
      </c>
      <c r="BX822" s="111">
        <f t="shared" si="591"/>
        <v>-2</v>
      </c>
      <c r="BY822" s="129">
        <f t="shared" si="592"/>
        <v>-2</v>
      </c>
      <c r="BZ822" s="111">
        <f t="shared" si="593"/>
        <v>2</v>
      </c>
      <c r="CA822" s="138">
        <f t="shared" si="594"/>
        <v>2</v>
      </c>
      <c r="CB822" s="111">
        <v>4</v>
      </c>
      <c r="CC822" s="129">
        <f>M822-I822+1</f>
        <v>2</v>
      </c>
      <c r="CD822" s="111">
        <f>CC822-BF822</f>
        <v>-2</v>
      </c>
      <c r="CE822" s="129">
        <f t="shared" si="595"/>
        <v>583</v>
      </c>
      <c r="CG822" s="129" t="str">
        <f t="shared" si="596"/>
        <v>N</v>
      </c>
      <c r="CI822" s="129" t="str">
        <f t="shared" si="597"/>
        <v>0-10 DAYS</v>
      </c>
      <c r="CJ822" s="137">
        <f t="shared" si="598"/>
        <v>1</v>
      </c>
      <c r="CK822" s="129" t="str">
        <f t="shared" si="599"/>
        <v>Booked</v>
      </c>
    </row>
    <row r="823" spans="1:89" ht="15.75" customHeight="1" x14ac:dyDescent="0.25">
      <c r="A823" s="111">
        <v>1925</v>
      </c>
      <c r="B823" s="128" t="str">
        <f t="shared" si="581"/>
        <v>N</v>
      </c>
      <c r="C823" s="128" t="str">
        <f t="shared" si="582"/>
        <v>Y</v>
      </c>
      <c r="D823" s="117">
        <v>1573811</v>
      </c>
      <c r="E823" s="135">
        <f t="shared" si="583"/>
        <v>4</v>
      </c>
      <c r="F823" s="124">
        <v>40981</v>
      </c>
      <c r="G823" s="125">
        <v>41296</v>
      </c>
      <c r="H823" s="117">
        <v>1573811</v>
      </c>
      <c r="I823" s="124">
        <v>40981</v>
      </c>
      <c r="J823" s="124">
        <v>40984</v>
      </c>
      <c r="K823" s="126">
        <v>10000</v>
      </c>
      <c r="L823" s="127" t="s">
        <v>570</v>
      </c>
      <c r="M823" s="125">
        <v>40984</v>
      </c>
      <c r="N823" s="129" t="str">
        <f t="shared" si="621"/>
        <v>Y</v>
      </c>
      <c r="O823" s="128" t="s">
        <v>585</v>
      </c>
      <c r="P823" s="129" t="s">
        <v>39</v>
      </c>
      <c r="Q823" s="111">
        <v>16</v>
      </c>
      <c r="R823" s="111">
        <f t="shared" si="577"/>
        <v>316</v>
      </c>
      <c r="S823" s="129">
        <v>0</v>
      </c>
      <c r="T823" s="129">
        <v>8</v>
      </c>
      <c r="W823" s="111"/>
      <c r="AC823" s="130"/>
      <c r="AD823" s="130">
        <v>28802</v>
      </c>
      <c r="AE823" s="128" t="s">
        <v>32</v>
      </c>
      <c r="AF823" s="128" t="s">
        <v>69</v>
      </c>
      <c r="AG823" s="128" t="s">
        <v>874</v>
      </c>
      <c r="AH823" s="108" t="s">
        <v>58</v>
      </c>
      <c r="AI823" s="128" t="s">
        <v>95</v>
      </c>
      <c r="AJ823" s="129" t="s">
        <v>89</v>
      </c>
      <c r="AK823" s="129">
        <v>11</v>
      </c>
      <c r="AL823" s="3" t="s">
        <v>991</v>
      </c>
      <c r="AO823" s="128">
        <v>365</v>
      </c>
      <c r="AP823" s="129" t="s">
        <v>66</v>
      </c>
      <c r="AR823" s="128" t="s">
        <v>67</v>
      </c>
      <c r="AS823" s="129" t="s">
        <v>68</v>
      </c>
      <c r="AU823" s="3" t="s">
        <v>747</v>
      </c>
      <c r="AX823" s="32" t="s">
        <v>88</v>
      </c>
      <c r="BC823" s="129" t="s">
        <v>52</v>
      </c>
      <c r="BF823" s="111">
        <v>16</v>
      </c>
      <c r="BG823" s="111">
        <f t="shared" si="618"/>
        <v>316</v>
      </c>
      <c r="BH823" s="111">
        <f t="shared" si="578"/>
        <v>316</v>
      </c>
      <c r="BI823" s="111">
        <f t="shared" si="579"/>
        <v>33.275956284153004</v>
      </c>
      <c r="BJ823" s="129">
        <f>(G823-J823)+(M823-G823)</f>
        <v>0</v>
      </c>
      <c r="BK823" s="129">
        <f t="shared" si="580"/>
        <v>-312</v>
      </c>
      <c r="BL823" s="129" t="str">
        <f t="shared" si="612"/>
        <v>CONVICTION</v>
      </c>
      <c r="BM823" s="129" t="s">
        <v>76</v>
      </c>
      <c r="BN823" s="129" t="s">
        <v>88</v>
      </c>
      <c r="BP823" s="137" t="str">
        <f t="shared" si="584"/>
        <v>CONVICTION</v>
      </c>
      <c r="BQ823" s="128" t="str">
        <f t="shared" si="585"/>
        <v>Y</v>
      </c>
      <c r="BR823" s="129" t="s">
        <v>574</v>
      </c>
      <c r="BS823" s="129" t="str">
        <f t="shared" si="587"/>
        <v>DISPOSED</v>
      </c>
      <c r="BT823" s="129" t="str">
        <f t="shared" si="588"/>
        <v>N</v>
      </c>
      <c r="BU823" s="109">
        <f t="shared" si="589"/>
        <v>5.0632911392405063E-2</v>
      </c>
      <c r="BV823" s="109">
        <f t="shared" si="590"/>
        <v>1.2658227848101266E-2</v>
      </c>
      <c r="BW823" s="109">
        <f t="shared" si="616"/>
        <v>-3.7974683544303799E-2</v>
      </c>
      <c r="BX823" s="111">
        <f t="shared" si="591"/>
        <v>0</v>
      </c>
      <c r="BY823" s="129">
        <f t="shared" si="592"/>
        <v>-4</v>
      </c>
      <c r="BZ823" s="111">
        <f t="shared" si="593"/>
        <v>12</v>
      </c>
      <c r="CA823" s="138">
        <f t="shared" si="594"/>
        <v>316</v>
      </c>
      <c r="CB823" s="111">
        <v>16</v>
      </c>
      <c r="CC823" s="129">
        <f>G823-I823+1</f>
        <v>316</v>
      </c>
      <c r="CD823" s="129">
        <f>G823-J823</f>
        <v>312</v>
      </c>
      <c r="CE823" s="129">
        <f t="shared" si="595"/>
        <v>312</v>
      </c>
      <c r="CG823" s="129" t="str">
        <f t="shared" si="596"/>
        <v>Y</v>
      </c>
      <c r="CI823" s="129" t="str">
        <f t="shared" si="597"/>
        <v>11-30 DAYS</v>
      </c>
      <c r="CJ823" s="137">
        <f t="shared" si="598"/>
        <v>2</v>
      </c>
      <c r="CK823" s="129" t="str">
        <f t="shared" si="599"/>
        <v>Booked</v>
      </c>
    </row>
    <row r="824" spans="1:89" ht="15.75" customHeight="1" x14ac:dyDescent="0.25">
      <c r="A824" s="111">
        <v>923</v>
      </c>
      <c r="B824" s="128" t="str">
        <f t="shared" si="581"/>
        <v>N</v>
      </c>
      <c r="C824" s="128" t="str">
        <f t="shared" si="582"/>
        <v>N</v>
      </c>
      <c r="D824" s="117">
        <v>1573987</v>
      </c>
      <c r="E824" s="135">
        <f t="shared" si="583"/>
        <v>5</v>
      </c>
      <c r="F824" s="124">
        <v>40942</v>
      </c>
      <c r="G824" s="125">
        <v>41022</v>
      </c>
      <c r="H824" s="117">
        <v>1573987</v>
      </c>
      <c r="I824" s="124">
        <v>40943</v>
      </c>
      <c r="J824" s="124">
        <v>41022</v>
      </c>
      <c r="K824" s="126">
        <v>15000</v>
      </c>
      <c r="L824" s="127" t="s">
        <v>571</v>
      </c>
      <c r="N824" s="129" t="str">
        <f t="shared" si="621"/>
        <v>N</v>
      </c>
      <c r="O824" s="128" t="s">
        <v>917</v>
      </c>
      <c r="P824" s="129" t="s">
        <v>39</v>
      </c>
      <c r="Q824" s="111">
        <f t="shared" si="615"/>
        <v>80</v>
      </c>
      <c r="R824" s="111">
        <f t="shared" si="577"/>
        <v>81</v>
      </c>
      <c r="S824" s="129">
        <v>4</v>
      </c>
      <c r="T824" s="129">
        <v>1</v>
      </c>
      <c r="U824" s="129">
        <v>3</v>
      </c>
      <c r="W824" s="111"/>
      <c r="AC824" s="130"/>
      <c r="AD824" s="130">
        <v>27300</v>
      </c>
      <c r="AE824" s="128" t="s">
        <v>32</v>
      </c>
      <c r="AF824" s="128" t="s">
        <v>33</v>
      </c>
      <c r="AG824" s="128" t="s">
        <v>872</v>
      </c>
      <c r="AH824" s="108" t="s">
        <v>58</v>
      </c>
      <c r="AI824" s="128" t="s">
        <v>72</v>
      </c>
      <c r="AJ824" s="129" t="s">
        <v>89</v>
      </c>
      <c r="AK824" s="129">
        <v>3</v>
      </c>
      <c r="AL824" s="3" t="s">
        <v>992</v>
      </c>
      <c r="AN824" s="117">
        <v>7</v>
      </c>
      <c r="AP824" s="129" t="s">
        <v>43</v>
      </c>
      <c r="AR824" s="128" t="s">
        <v>44</v>
      </c>
      <c r="AS824" s="129" t="s">
        <v>45</v>
      </c>
      <c r="BC824" s="129" t="s">
        <v>38</v>
      </c>
      <c r="BF824" s="111">
        <f t="shared" si="617"/>
        <v>80</v>
      </c>
      <c r="BG824" s="111">
        <f t="shared" si="618"/>
        <v>80</v>
      </c>
      <c r="BH824" s="111">
        <f t="shared" si="578"/>
        <v>81</v>
      </c>
      <c r="BI824" s="111">
        <f t="shared" si="579"/>
        <v>37.27322404371585</v>
      </c>
      <c r="BJ824" s="129">
        <f t="shared" si="600"/>
        <v>0</v>
      </c>
      <c r="BK824" s="129">
        <f t="shared" si="580"/>
        <v>0</v>
      </c>
      <c r="BL824" s="129" t="str">
        <f t="shared" si="612"/>
        <v>CONVICTION</v>
      </c>
      <c r="BM824" s="129" t="str">
        <f t="shared" si="601"/>
        <v>NONE</v>
      </c>
      <c r="BN824" s="129" t="s">
        <v>566</v>
      </c>
      <c r="BP824" s="137" t="str">
        <f t="shared" si="584"/>
        <v>CONVICTION</v>
      </c>
      <c r="BQ824" s="128" t="str">
        <f t="shared" si="585"/>
        <v>Y</v>
      </c>
      <c r="BR824" s="129" t="str">
        <f t="shared" si="586"/>
        <v>DETAINED</v>
      </c>
      <c r="BS824" s="129" t="str">
        <f t="shared" si="587"/>
        <v>DISPOSED</v>
      </c>
      <c r="BT824" s="129" t="str">
        <f t="shared" si="588"/>
        <v>Y</v>
      </c>
      <c r="BU824" s="109">
        <f t="shared" si="589"/>
        <v>0.98765432098765427</v>
      </c>
      <c r="BV824" s="109">
        <f t="shared" si="590"/>
        <v>1</v>
      </c>
      <c r="BW824" s="109">
        <f t="shared" si="616"/>
        <v>1.2345679012345734E-2</v>
      </c>
      <c r="BX824" s="111">
        <f t="shared" si="591"/>
        <v>0</v>
      </c>
      <c r="BY824" s="129">
        <f t="shared" si="592"/>
        <v>-80</v>
      </c>
      <c r="BZ824" s="111">
        <f t="shared" si="593"/>
        <v>0</v>
      </c>
      <c r="CA824" s="138">
        <f t="shared" si="594"/>
        <v>80</v>
      </c>
      <c r="CB824" s="111" t="e">
        <f t="shared" si="619"/>
        <v>#VALUE!</v>
      </c>
      <c r="CC824" s="129">
        <f>G824-I824+1</f>
        <v>80</v>
      </c>
      <c r="CD824" s="129">
        <f>G824-J824</f>
        <v>0</v>
      </c>
      <c r="CE824" s="129">
        <f t="shared" si="595"/>
        <v>0</v>
      </c>
      <c r="CG824" s="129" t="str">
        <f t="shared" si="596"/>
        <v>Y</v>
      </c>
      <c r="CI824" s="129" t="str">
        <f t="shared" si="597"/>
        <v>61-90 DAYS</v>
      </c>
      <c r="CJ824" s="137">
        <f t="shared" si="598"/>
        <v>4</v>
      </c>
      <c r="CK824" s="129" t="str">
        <f t="shared" si="599"/>
        <v>Booked</v>
      </c>
    </row>
    <row r="825" spans="1:89" ht="15.75" customHeight="1" x14ac:dyDescent="0.25">
      <c r="A825" s="111">
        <v>291</v>
      </c>
      <c r="B825" s="128" t="str">
        <f t="shared" si="581"/>
        <v>N</v>
      </c>
      <c r="C825" s="128" t="str">
        <f t="shared" si="582"/>
        <v>N</v>
      </c>
      <c r="D825" s="117">
        <v>1576755</v>
      </c>
      <c r="E825" s="135">
        <f t="shared" si="583"/>
        <v>1</v>
      </c>
      <c r="F825" s="124">
        <v>40920</v>
      </c>
      <c r="G825" s="125">
        <v>40927</v>
      </c>
      <c r="H825" s="117">
        <v>1576755</v>
      </c>
      <c r="I825" s="124">
        <v>40921</v>
      </c>
      <c r="J825" s="124">
        <v>40927</v>
      </c>
      <c r="K825" s="126">
        <v>100000</v>
      </c>
      <c r="L825" s="129" t="s">
        <v>572</v>
      </c>
      <c r="N825" s="129" t="str">
        <f t="shared" si="621"/>
        <v>N</v>
      </c>
      <c r="O825" s="128" t="s">
        <v>917</v>
      </c>
      <c r="P825" s="129" t="s">
        <v>55</v>
      </c>
      <c r="Q825" s="111">
        <f t="shared" si="615"/>
        <v>7</v>
      </c>
      <c r="R825" s="111">
        <f t="shared" si="577"/>
        <v>8</v>
      </c>
      <c r="S825" s="129">
        <v>3</v>
      </c>
      <c r="T825" s="129">
        <v>0</v>
      </c>
      <c r="U825" s="129">
        <v>3</v>
      </c>
      <c r="W825" s="111"/>
      <c r="AC825" s="130"/>
      <c r="AD825" s="130">
        <v>25284</v>
      </c>
      <c r="AE825" s="128" t="s">
        <v>32</v>
      </c>
      <c r="AF825" s="128" t="s">
        <v>33</v>
      </c>
      <c r="AG825" s="128" t="s">
        <v>872</v>
      </c>
      <c r="AH825" s="108" t="s">
        <v>58</v>
      </c>
      <c r="AI825" s="128" t="s">
        <v>100</v>
      </c>
      <c r="AJ825" s="129" t="s">
        <v>55</v>
      </c>
      <c r="AK825" s="129">
        <v>2</v>
      </c>
      <c r="AL825" s="3" t="s">
        <v>55</v>
      </c>
      <c r="AP825" s="129" t="s">
        <v>187</v>
      </c>
      <c r="AR825" s="128" t="s">
        <v>92</v>
      </c>
      <c r="AS825" s="129" t="s">
        <v>61</v>
      </c>
      <c r="BC825" s="129" t="s">
        <v>38</v>
      </c>
      <c r="BF825" s="111">
        <f t="shared" si="617"/>
        <v>7</v>
      </c>
      <c r="BG825" s="111">
        <f t="shared" si="618"/>
        <v>7</v>
      </c>
      <c r="BH825" s="111">
        <f t="shared" si="578"/>
        <v>8</v>
      </c>
      <c r="BI825" s="111">
        <f t="shared" si="579"/>
        <v>42.721311475409834</v>
      </c>
      <c r="BJ825" s="129">
        <f t="shared" si="600"/>
        <v>0</v>
      </c>
      <c r="BK825" s="129">
        <f t="shared" si="580"/>
        <v>0</v>
      </c>
      <c r="BL825" s="129" t="str">
        <f t="shared" si="612"/>
        <v>NO CONVICTION</v>
      </c>
      <c r="BM825" s="129" t="str">
        <f t="shared" si="601"/>
        <v>NONE</v>
      </c>
      <c r="BN825" s="129" t="s">
        <v>566</v>
      </c>
      <c r="BP825" s="137" t="str">
        <f t="shared" si="584"/>
        <v>NO CONVICTION</v>
      </c>
      <c r="BQ825" s="128" t="str">
        <f t="shared" si="585"/>
        <v>Y</v>
      </c>
      <c r="BR825" s="129" t="str">
        <f t="shared" si="586"/>
        <v>DETAINED</v>
      </c>
      <c r="BS825" s="129" t="str">
        <f t="shared" si="587"/>
        <v>DISPOSED</v>
      </c>
      <c r="BT825" s="129" t="str">
        <f t="shared" si="588"/>
        <v>Y</v>
      </c>
      <c r="BU825" s="109">
        <f>IFERROR(Q825/R825,BR825)</f>
        <v>0.875</v>
      </c>
      <c r="BV825" s="109">
        <f t="shared" si="590"/>
        <v>1</v>
      </c>
      <c r="BW825" s="109">
        <f t="shared" si="616"/>
        <v>0.125</v>
      </c>
      <c r="BX825" s="111">
        <f t="shared" si="591"/>
        <v>0</v>
      </c>
      <c r="BY825" s="129">
        <f t="shared" si="592"/>
        <v>-7</v>
      </c>
      <c r="BZ825" s="111">
        <f t="shared" si="593"/>
        <v>0</v>
      </c>
      <c r="CA825" s="138">
        <f t="shared" si="594"/>
        <v>7</v>
      </c>
      <c r="CB825" s="111" t="e">
        <f t="shared" si="619"/>
        <v>#VALUE!</v>
      </c>
      <c r="CC825" s="129">
        <f>G825-I825+1</f>
        <v>7</v>
      </c>
      <c r="CD825" s="129">
        <f>G825-J825</f>
        <v>0</v>
      </c>
      <c r="CE825" s="129">
        <f t="shared" si="595"/>
        <v>0</v>
      </c>
      <c r="CG825" s="129" t="str">
        <f t="shared" si="596"/>
        <v>Y</v>
      </c>
      <c r="CI825" s="129" t="str">
        <f t="shared" si="597"/>
        <v>0-10 DAYS</v>
      </c>
      <c r="CJ825" s="137">
        <f t="shared" si="598"/>
        <v>1</v>
      </c>
      <c r="CK825" s="129" t="str">
        <f t="shared" si="599"/>
        <v>Booked</v>
      </c>
    </row>
    <row r="826" spans="1:89" ht="15.75" customHeight="1" x14ac:dyDescent="0.25">
      <c r="A826" s="111">
        <v>865</v>
      </c>
      <c r="B826" s="128" t="str">
        <f t="shared" si="581"/>
        <v>N</v>
      </c>
      <c r="C826" s="128" t="str">
        <f t="shared" si="582"/>
        <v>N</v>
      </c>
      <c r="D826" s="117">
        <v>1576861</v>
      </c>
      <c r="E826" s="135">
        <f t="shared" si="583"/>
        <v>1</v>
      </c>
      <c r="F826" s="124">
        <v>40941</v>
      </c>
      <c r="G826" s="125">
        <v>41533</v>
      </c>
      <c r="H826" s="117">
        <v>1576861</v>
      </c>
      <c r="I826" s="124">
        <v>40941</v>
      </c>
      <c r="J826" s="125">
        <v>41533</v>
      </c>
      <c r="K826" s="126">
        <v>180000</v>
      </c>
      <c r="L826" s="129" t="s">
        <v>572</v>
      </c>
      <c r="N826" s="129" t="str">
        <f t="shared" si="621"/>
        <v>N</v>
      </c>
      <c r="O826" s="128" t="s">
        <v>917</v>
      </c>
      <c r="P826" s="129" t="s">
        <v>55</v>
      </c>
      <c r="Q826" s="111">
        <f t="shared" si="615"/>
        <v>593</v>
      </c>
      <c r="R826" s="111">
        <f t="shared" si="577"/>
        <v>593</v>
      </c>
      <c r="S826" s="129">
        <v>5</v>
      </c>
      <c r="T826" s="129">
        <v>5</v>
      </c>
      <c r="U826" s="129">
        <v>4</v>
      </c>
      <c r="W826" s="111"/>
      <c r="AC826" s="130"/>
      <c r="AD826" s="130">
        <v>28620</v>
      </c>
      <c r="AE826" s="128" t="s">
        <v>32</v>
      </c>
      <c r="AF826" s="128" t="s">
        <v>33</v>
      </c>
      <c r="AG826" s="128" t="s">
        <v>872</v>
      </c>
      <c r="AH826" s="108" t="s">
        <v>31</v>
      </c>
      <c r="AI826" s="128" t="s">
        <v>100</v>
      </c>
      <c r="AJ826" s="129" t="s">
        <v>55</v>
      </c>
      <c r="AK826" s="129">
        <v>22</v>
      </c>
      <c r="AL826" s="3" t="s">
        <v>55</v>
      </c>
      <c r="AP826" s="129" t="s">
        <v>132</v>
      </c>
      <c r="AR826" s="128" t="s">
        <v>92</v>
      </c>
      <c r="AS826" s="129" t="s">
        <v>82</v>
      </c>
      <c r="BC826" s="129" t="s">
        <v>38</v>
      </c>
      <c r="BF826" s="111">
        <f t="shared" si="617"/>
        <v>593</v>
      </c>
      <c r="BG826" s="111">
        <f t="shared" si="618"/>
        <v>593</v>
      </c>
      <c r="BH826" s="111">
        <f t="shared" si="578"/>
        <v>593</v>
      </c>
      <c r="BI826" s="111">
        <f t="shared" si="579"/>
        <v>33.66393442622951</v>
      </c>
      <c r="BJ826" s="129">
        <f t="shared" si="600"/>
        <v>0</v>
      </c>
      <c r="BK826" s="129">
        <f t="shared" si="580"/>
        <v>0</v>
      </c>
      <c r="BL826" s="129" t="str">
        <f t="shared" si="612"/>
        <v>NO CONVICTION</v>
      </c>
      <c r="BM826" s="129" t="str">
        <f t="shared" si="601"/>
        <v>NONE</v>
      </c>
      <c r="BN826" s="129" t="s">
        <v>566</v>
      </c>
      <c r="BP826" s="137" t="str">
        <f t="shared" si="584"/>
        <v>NO CONVICTION</v>
      </c>
      <c r="BQ826" s="128" t="str">
        <f t="shared" si="585"/>
        <v>Y</v>
      </c>
      <c r="BR826" s="129" t="str">
        <f t="shared" si="586"/>
        <v>DETAINED</v>
      </c>
      <c r="BS826" s="129" t="str">
        <f t="shared" si="587"/>
        <v>DISPOSED</v>
      </c>
      <c r="BT826" s="129" t="str">
        <f t="shared" si="588"/>
        <v>Y</v>
      </c>
      <c r="BU826" s="109">
        <f>IFERROR(Q826/R826,BR826)</f>
        <v>1</v>
      </c>
      <c r="BV826" s="109">
        <f t="shared" si="590"/>
        <v>1</v>
      </c>
      <c r="BW826" s="109">
        <f t="shared" si="616"/>
        <v>0</v>
      </c>
      <c r="BX826" s="111">
        <f t="shared" si="591"/>
        <v>0</v>
      </c>
      <c r="BY826" s="129">
        <f t="shared" si="592"/>
        <v>-593</v>
      </c>
      <c r="BZ826" s="111">
        <f t="shared" si="593"/>
        <v>0</v>
      </c>
      <c r="CA826" s="138">
        <f t="shared" si="594"/>
        <v>593</v>
      </c>
      <c r="CB826" s="111" t="e">
        <f t="shared" si="619"/>
        <v>#VALUE!</v>
      </c>
      <c r="CC826" s="129">
        <f>G826-I826+1</f>
        <v>593</v>
      </c>
      <c r="CD826" s="129">
        <f>G826-J826</f>
        <v>0</v>
      </c>
      <c r="CE826" s="129">
        <f t="shared" si="595"/>
        <v>0</v>
      </c>
      <c r="CG826" s="129" t="str">
        <f t="shared" si="596"/>
        <v>Y</v>
      </c>
      <c r="CI826" s="129" t="str">
        <f t="shared" si="597"/>
        <v xml:space="preserve"> &gt;1YRS&lt;2YRS</v>
      </c>
      <c r="CJ826" s="137">
        <f t="shared" si="598"/>
        <v>0</v>
      </c>
      <c r="CK826" s="129" t="str">
        <f t="shared" si="599"/>
        <v>Booked</v>
      </c>
    </row>
    <row r="827" spans="1:89" ht="15.75" customHeight="1" x14ac:dyDescent="0.25">
      <c r="A827" s="111">
        <v>2919</v>
      </c>
      <c r="B827" s="128" t="str">
        <f t="shared" si="581"/>
        <v>N</v>
      </c>
      <c r="C827" s="128" t="str">
        <f t="shared" si="582"/>
        <v>N</v>
      </c>
      <c r="D827" s="117">
        <v>1576884</v>
      </c>
      <c r="E827" s="135">
        <f t="shared" si="583"/>
        <v>2</v>
      </c>
      <c r="F827" s="124">
        <v>41016</v>
      </c>
      <c r="G827" s="125">
        <v>41018</v>
      </c>
      <c r="H827" s="117">
        <v>1576884</v>
      </c>
      <c r="I827" s="124">
        <v>41017</v>
      </c>
      <c r="J827" s="124">
        <v>41018</v>
      </c>
      <c r="K827" s="126">
        <v>2000</v>
      </c>
      <c r="L827" s="127" t="s">
        <v>568</v>
      </c>
      <c r="M827" s="125">
        <v>41018</v>
      </c>
      <c r="N827" s="129" t="str">
        <f t="shared" si="621"/>
        <v>Y</v>
      </c>
      <c r="O827" s="128" t="s">
        <v>76</v>
      </c>
      <c r="P827" s="129" t="s">
        <v>589</v>
      </c>
      <c r="Q827" s="111">
        <f t="shared" si="615"/>
        <v>2</v>
      </c>
      <c r="R827" s="111">
        <f t="shared" si="577"/>
        <v>3</v>
      </c>
      <c r="S827" s="129">
        <v>0</v>
      </c>
      <c r="T827" s="129">
        <v>5</v>
      </c>
      <c r="W827" s="111"/>
      <c r="AC827" s="130"/>
      <c r="AD827" s="130">
        <v>27871</v>
      </c>
      <c r="AE827" s="128" t="s">
        <v>32</v>
      </c>
      <c r="AF827" s="128" t="s">
        <v>33</v>
      </c>
      <c r="AG827" s="128" t="s">
        <v>872</v>
      </c>
      <c r="AH827" s="108" t="s">
        <v>58</v>
      </c>
      <c r="AI827" s="128" t="s">
        <v>114</v>
      </c>
      <c r="AJ827" s="129" t="s">
        <v>48</v>
      </c>
      <c r="AK827" s="129">
        <v>1</v>
      </c>
      <c r="AL827" s="3" t="s">
        <v>48</v>
      </c>
      <c r="AP827" s="129" t="s">
        <v>127</v>
      </c>
      <c r="AR827" s="128" t="s">
        <v>44</v>
      </c>
      <c r="AS827" s="129" t="s">
        <v>82</v>
      </c>
      <c r="AX827" s="32"/>
      <c r="BC827" s="129" t="s">
        <v>38</v>
      </c>
      <c r="BF827" s="111">
        <f t="shared" si="617"/>
        <v>2</v>
      </c>
      <c r="BG827" s="111">
        <f t="shared" si="618"/>
        <v>2</v>
      </c>
      <c r="BH827" s="111">
        <f t="shared" si="578"/>
        <v>3</v>
      </c>
      <c r="BI827" s="111">
        <f t="shared" si="579"/>
        <v>35.915300546448087</v>
      </c>
      <c r="BJ827" s="129">
        <f>G827-J827</f>
        <v>0</v>
      </c>
      <c r="BK827" s="129">
        <f t="shared" si="580"/>
        <v>0</v>
      </c>
      <c r="BL827" s="129" t="str">
        <f t="shared" si="612"/>
        <v>DEFERRED</v>
      </c>
      <c r="BM827" s="129" t="s">
        <v>76</v>
      </c>
      <c r="BN827" s="129" t="s">
        <v>88</v>
      </c>
      <c r="BP827" s="137" t="str">
        <f t="shared" si="584"/>
        <v>DEFERRED</v>
      </c>
      <c r="BQ827" s="128" t="str">
        <f t="shared" si="585"/>
        <v>Y</v>
      </c>
      <c r="BR827" s="129" t="str">
        <f t="shared" si="586"/>
        <v>ON BOND</v>
      </c>
      <c r="BS827" s="129" t="str">
        <f t="shared" si="587"/>
        <v>DISPOSED</v>
      </c>
      <c r="BT827" s="129" t="str">
        <f t="shared" si="588"/>
        <v>N</v>
      </c>
      <c r="BU827" s="109">
        <f t="shared" si="589"/>
        <v>0.66666666666666663</v>
      </c>
      <c r="BV827" s="109">
        <f t="shared" si="590"/>
        <v>1</v>
      </c>
      <c r="BW827" s="109">
        <f t="shared" si="616"/>
        <v>0.33333333333333337</v>
      </c>
      <c r="BX827" s="111">
        <f t="shared" si="591"/>
        <v>0</v>
      </c>
      <c r="BY827" s="129">
        <f t="shared" si="592"/>
        <v>-2</v>
      </c>
      <c r="BZ827" s="111">
        <f t="shared" si="593"/>
        <v>0</v>
      </c>
      <c r="CA827" s="138">
        <f t="shared" si="594"/>
        <v>2</v>
      </c>
      <c r="CB827" s="111" t="e">
        <f t="shared" si="619"/>
        <v>#VALUE!</v>
      </c>
      <c r="CC827" s="129">
        <f>M827-I827+1</f>
        <v>2</v>
      </c>
      <c r="CD827" s="111">
        <f>CC827-BF827</f>
        <v>0</v>
      </c>
      <c r="CE827" s="129">
        <f t="shared" si="595"/>
        <v>0</v>
      </c>
      <c r="CG827" s="129" t="str">
        <f t="shared" si="596"/>
        <v>Y</v>
      </c>
      <c r="CI827" s="129" t="str">
        <f t="shared" si="597"/>
        <v>0-10 DAYS</v>
      </c>
      <c r="CJ827" s="137">
        <f t="shared" si="598"/>
        <v>1</v>
      </c>
      <c r="CK827" s="129" t="str">
        <f t="shared" si="599"/>
        <v>Booked</v>
      </c>
    </row>
    <row r="828" spans="1:89" ht="15.75" customHeight="1" x14ac:dyDescent="0.25">
      <c r="A828" s="111">
        <v>2553</v>
      </c>
      <c r="B828" s="128" t="str">
        <f t="shared" si="581"/>
        <v>N</v>
      </c>
      <c r="C828" s="128" t="str">
        <f t="shared" si="582"/>
        <v>N</v>
      </c>
      <c r="D828" s="117">
        <v>1576918</v>
      </c>
      <c r="E828" s="135">
        <f t="shared" si="583"/>
        <v>6</v>
      </c>
      <c r="F828" s="124">
        <v>41004</v>
      </c>
      <c r="G828" s="125">
        <v>41067</v>
      </c>
      <c r="H828" s="117">
        <v>1576918</v>
      </c>
      <c r="I828" s="124">
        <v>41004</v>
      </c>
      <c r="J828" s="124">
        <v>41067</v>
      </c>
      <c r="K828" s="126">
        <v>20000</v>
      </c>
      <c r="L828" s="127" t="s">
        <v>571</v>
      </c>
      <c r="N828" s="129" t="str">
        <f t="shared" si="621"/>
        <v>N</v>
      </c>
      <c r="O828" s="128" t="s">
        <v>917</v>
      </c>
      <c r="P828" s="129" t="s">
        <v>39</v>
      </c>
      <c r="Q828" s="111">
        <f t="shared" si="615"/>
        <v>64</v>
      </c>
      <c r="R828" s="111">
        <f t="shared" si="577"/>
        <v>64</v>
      </c>
      <c r="S828" s="32">
        <v>6</v>
      </c>
      <c r="T828" s="32">
        <v>10</v>
      </c>
      <c r="U828" s="32">
        <v>4</v>
      </c>
      <c r="V828" s="114"/>
      <c r="W828" s="111"/>
      <c r="AC828" s="130"/>
      <c r="AD828" s="130">
        <v>29213</v>
      </c>
      <c r="AE828" s="128" t="s">
        <v>32</v>
      </c>
      <c r="AF828" s="128" t="s">
        <v>33</v>
      </c>
      <c r="AG828" s="128" t="s">
        <v>872</v>
      </c>
      <c r="AH828" s="108" t="s">
        <v>31</v>
      </c>
      <c r="AI828" s="128" t="s">
        <v>97</v>
      </c>
      <c r="AJ828" s="129" t="s">
        <v>89</v>
      </c>
      <c r="AK828" s="129">
        <v>3</v>
      </c>
      <c r="AL828" s="3" t="s">
        <v>362</v>
      </c>
      <c r="AM828" s="117">
        <v>2</v>
      </c>
      <c r="AP828" s="129" t="s">
        <v>49</v>
      </c>
      <c r="AR828" s="128" t="s">
        <v>50</v>
      </c>
      <c r="AS828" s="129" t="s">
        <v>45</v>
      </c>
      <c r="BC828" s="129" t="s">
        <v>38</v>
      </c>
      <c r="BF828" s="111">
        <f t="shared" si="617"/>
        <v>64</v>
      </c>
      <c r="BG828" s="111">
        <f t="shared" si="618"/>
        <v>64</v>
      </c>
      <c r="BH828" s="111">
        <f t="shared" si="578"/>
        <v>64</v>
      </c>
      <c r="BI828" s="111">
        <f t="shared" si="579"/>
        <v>32.215846994535518</v>
      </c>
      <c r="BJ828" s="129">
        <f t="shared" si="600"/>
        <v>0</v>
      </c>
      <c r="BK828" s="129">
        <f t="shared" si="580"/>
        <v>0</v>
      </c>
      <c r="BL828" s="129" t="str">
        <f t="shared" si="612"/>
        <v>CONVICTION</v>
      </c>
      <c r="BM828" s="129" t="str">
        <f t="shared" si="601"/>
        <v>NONE</v>
      </c>
      <c r="BN828" s="129" t="s">
        <v>566</v>
      </c>
      <c r="BP828" s="137" t="str">
        <f t="shared" si="584"/>
        <v>CONVICTION</v>
      </c>
      <c r="BQ828" s="128" t="str">
        <f t="shared" si="585"/>
        <v>Y</v>
      </c>
      <c r="BR828" s="129" t="str">
        <f t="shared" si="586"/>
        <v>DETAINED</v>
      </c>
      <c r="BS828" s="129" t="str">
        <f t="shared" si="587"/>
        <v>DISPOSED</v>
      </c>
      <c r="BT828" s="129" t="str">
        <f t="shared" si="588"/>
        <v>Y</v>
      </c>
      <c r="BU828" s="109">
        <f t="shared" si="589"/>
        <v>1</v>
      </c>
      <c r="BV828" s="109">
        <f t="shared" si="590"/>
        <v>1</v>
      </c>
      <c r="BW828" s="109">
        <f t="shared" si="616"/>
        <v>0</v>
      </c>
      <c r="BX828" s="111">
        <f t="shared" si="591"/>
        <v>0</v>
      </c>
      <c r="BY828" s="129">
        <f t="shared" si="592"/>
        <v>-64</v>
      </c>
      <c r="BZ828" s="111">
        <f t="shared" si="593"/>
        <v>0</v>
      </c>
      <c r="CA828" s="138">
        <f t="shared" si="594"/>
        <v>64</v>
      </c>
      <c r="CB828" s="111" t="e">
        <f t="shared" si="619"/>
        <v>#VALUE!</v>
      </c>
      <c r="CC828" s="129">
        <f t="shared" ref="CC828:CC838" si="622">G828-I828+1</f>
        <v>64</v>
      </c>
      <c r="CD828" s="129">
        <f t="shared" ref="CD828:CD838" si="623">G828-J828</f>
        <v>0</v>
      </c>
      <c r="CE828" s="129">
        <f t="shared" si="595"/>
        <v>0</v>
      </c>
      <c r="CG828" s="129" t="str">
        <f t="shared" si="596"/>
        <v>Y</v>
      </c>
      <c r="CI828" s="129" t="str">
        <f t="shared" si="597"/>
        <v>61-90 DAYS</v>
      </c>
      <c r="CJ828" s="137">
        <f t="shared" si="598"/>
        <v>4</v>
      </c>
      <c r="CK828" s="129" t="str">
        <f t="shared" si="599"/>
        <v>Booked</v>
      </c>
    </row>
    <row r="829" spans="1:89" ht="15.75" customHeight="1" x14ac:dyDescent="0.25">
      <c r="A829" s="111">
        <v>3044</v>
      </c>
      <c r="B829" s="128" t="str">
        <f t="shared" si="581"/>
        <v>N</v>
      </c>
      <c r="C829" s="128" t="str">
        <f t="shared" si="582"/>
        <v>N</v>
      </c>
      <c r="D829" s="117">
        <v>1577992</v>
      </c>
      <c r="E829" s="135">
        <f t="shared" si="583"/>
        <v>6</v>
      </c>
      <c r="F829" s="124">
        <v>41022</v>
      </c>
      <c r="G829" s="125">
        <v>41059</v>
      </c>
      <c r="H829" s="117">
        <v>1577992</v>
      </c>
      <c r="I829" s="124">
        <v>41022</v>
      </c>
      <c r="J829" s="124">
        <v>41059</v>
      </c>
      <c r="K829" s="126">
        <v>60000</v>
      </c>
      <c r="L829" s="129" t="s">
        <v>572</v>
      </c>
      <c r="N829" s="129" t="str">
        <f t="shared" si="621"/>
        <v>N</v>
      </c>
      <c r="O829" s="128" t="s">
        <v>917</v>
      </c>
      <c r="P829" s="129" t="s">
        <v>39</v>
      </c>
      <c r="Q829" s="111">
        <f t="shared" si="615"/>
        <v>38</v>
      </c>
      <c r="R829" s="111">
        <f t="shared" si="577"/>
        <v>38</v>
      </c>
      <c r="S829" s="129">
        <v>1</v>
      </c>
      <c r="T829" s="129">
        <v>4</v>
      </c>
      <c r="W829" s="111"/>
      <c r="AB829" s="131" t="s">
        <v>112</v>
      </c>
      <c r="AC829" s="130"/>
      <c r="AD829" s="130">
        <v>27099</v>
      </c>
      <c r="AE829" s="128" t="s">
        <v>46</v>
      </c>
      <c r="AF829" s="128" t="s">
        <v>40</v>
      </c>
      <c r="AG829" s="128" t="s">
        <v>41</v>
      </c>
      <c r="AH829" s="108" t="s">
        <v>31</v>
      </c>
      <c r="AI829" s="128" t="s">
        <v>72</v>
      </c>
      <c r="AJ829" s="129" t="s">
        <v>89</v>
      </c>
      <c r="AK829" s="129">
        <v>2</v>
      </c>
      <c r="AL829" s="3" t="s">
        <v>362</v>
      </c>
      <c r="AM829" s="117">
        <v>2</v>
      </c>
      <c r="AP829" s="129" t="s">
        <v>110</v>
      </c>
      <c r="AR829" s="128" t="s">
        <v>50</v>
      </c>
      <c r="AS829" s="129" t="s">
        <v>74</v>
      </c>
      <c r="BC829" s="129" t="s">
        <v>38</v>
      </c>
      <c r="BF829" s="111">
        <f t="shared" si="617"/>
        <v>38</v>
      </c>
      <c r="BG829" s="111">
        <f t="shared" si="618"/>
        <v>38</v>
      </c>
      <c r="BH829" s="111">
        <f t="shared" si="578"/>
        <v>38</v>
      </c>
      <c r="BI829" s="111">
        <f t="shared" si="579"/>
        <v>38.040983606557376</v>
      </c>
      <c r="BJ829" s="129">
        <f t="shared" si="600"/>
        <v>0</v>
      </c>
      <c r="BK829" s="129">
        <f t="shared" si="580"/>
        <v>0</v>
      </c>
      <c r="BL829" s="129" t="str">
        <f t="shared" si="612"/>
        <v>CONVICTION</v>
      </c>
      <c r="BM829" s="129" t="str">
        <f t="shared" si="601"/>
        <v>NONE</v>
      </c>
      <c r="BN829" s="129" t="s">
        <v>566</v>
      </c>
      <c r="BP829" s="137" t="str">
        <f t="shared" si="584"/>
        <v>CONVICTION</v>
      </c>
      <c r="BQ829" s="128" t="str">
        <f t="shared" si="585"/>
        <v>Y</v>
      </c>
      <c r="BR829" s="129" t="str">
        <f t="shared" si="586"/>
        <v>DETAINED</v>
      </c>
      <c r="BS829" s="129" t="str">
        <f t="shared" si="587"/>
        <v>DISPOSED</v>
      </c>
      <c r="BT829" s="129" t="str">
        <f t="shared" si="588"/>
        <v>Y</v>
      </c>
      <c r="BU829" s="109">
        <f t="shared" si="589"/>
        <v>1</v>
      </c>
      <c r="BV829" s="109">
        <f t="shared" si="590"/>
        <v>1</v>
      </c>
      <c r="BW829" s="109">
        <f t="shared" si="616"/>
        <v>0</v>
      </c>
      <c r="BX829" s="111">
        <f t="shared" si="591"/>
        <v>0</v>
      </c>
      <c r="BY829" s="129">
        <f t="shared" si="592"/>
        <v>-38</v>
      </c>
      <c r="BZ829" s="111">
        <f t="shared" si="593"/>
        <v>0</v>
      </c>
      <c r="CA829" s="138">
        <f t="shared" si="594"/>
        <v>38</v>
      </c>
      <c r="CB829" s="111" t="e">
        <f t="shared" si="619"/>
        <v>#VALUE!</v>
      </c>
      <c r="CC829" s="129">
        <f t="shared" si="622"/>
        <v>38</v>
      </c>
      <c r="CD829" s="129">
        <f t="shared" si="623"/>
        <v>0</v>
      </c>
      <c r="CE829" s="129">
        <f t="shared" si="595"/>
        <v>0</v>
      </c>
      <c r="CG829" s="129" t="str">
        <f t="shared" si="596"/>
        <v>Y</v>
      </c>
      <c r="CI829" s="129" t="str">
        <f t="shared" si="597"/>
        <v>31-60 DAYS</v>
      </c>
      <c r="CJ829" s="137">
        <f t="shared" si="598"/>
        <v>3</v>
      </c>
      <c r="CK829" s="129" t="str">
        <f t="shared" si="599"/>
        <v>Booked</v>
      </c>
    </row>
    <row r="830" spans="1:89" ht="15" customHeight="1" x14ac:dyDescent="0.25">
      <c r="A830" s="111">
        <v>2723</v>
      </c>
      <c r="B830" s="128" t="str">
        <f t="shared" si="581"/>
        <v>N</v>
      </c>
      <c r="C830" s="128" t="str">
        <f t="shared" si="582"/>
        <v>N</v>
      </c>
      <c r="D830" s="117">
        <v>1578150</v>
      </c>
      <c r="E830" s="135">
        <f t="shared" si="583"/>
        <v>6</v>
      </c>
      <c r="F830" s="124">
        <v>41010</v>
      </c>
      <c r="G830" s="125">
        <v>41284</v>
      </c>
      <c r="H830" s="117">
        <v>1578150</v>
      </c>
      <c r="I830" s="124">
        <v>41010</v>
      </c>
      <c r="J830" s="125">
        <v>41284</v>
      </c>
      <c r="K830" s="126">
        <v>30000</v>
      </c>
      <c r="L830" s="129" t="s">
        <v>572</v>
      </c>
      <c r="N830" s="129" t="str">
        <f t="shared" si="621"/>
        <v>N</v>
      </c>
      <c r="O830" s="128" t="s">
        <v>917</v>
      </c>
      <c r="P830" s="129" t="s">
        <v>39</v>
      </c>
      <c r="Q830" s="111">
        <f t="shared" si="615"/>
        <v>275</v>
      </c>
      <c r="R830" s="111">
        <f t="shared" si="577"/>
        <v>275</v>
      </c>
      <c r="S830" s="129">
        <v>1</v>
      </c>
      <c r="T830" s="129">
        <v>3</v>
      </c>
      <c r="W830" s="111"/>
      <c r="AC830" s="130"/>
      <c r="AD830" s="130">
        <v>26788</v>
      </c>
      <c r="AE830" s="128" t="s">
        <v>32</v>
      </c>
      <c r="AF830" s="128" t="s">
        <v>33</v>
      </c>
      <c r="AG830" s="128" t="s">
        <v>872</v>
      </c>
      <c r="AH830" s="108" t="s">
        <v>31</v>
      </c>
      <c r="AI830" s="128" t="s">
        <v>59</v>
      </c>
      <c r="AJ830" s="129" t="s">
        <v>89</v>
      </c>
      <c r="AK830" s="129">
        <v>6</v>
      </c>
      <c r="AL830" s="3" t="s">
        <v>362</v>
      </c>
      <c r="AM830" s="117">
        <v>2</v>
      </c>
      <c r="AP830" s="129" t="s">
        <v>73</v>
      </c>
      <c r="AR830" s="128" t="s">
        <v>50</v>
      </c>
      <c r="AS830" s="129" t="s">
        <v>74</v>
      </c>
      <c r="BC830" s="129" t="s">
        <v>38</v>
      </c>
      <c r="BF830" s="111">
        <f t="shared" si="617"/>
        <v>275</v>
      </c>
      <c r="BG830" s="111">
        <f t="shared" si="618"/>
        <v>275</v>
      </c>
      <c r="BH830" s="111">
        <f t="shared" si="578"/>
        <v>275</v>
      </c>
      <c r="BI830" s="111">
        <f t="shared" si="579"/>
        <v>38.857923497267763</v>
      </c>
      <c r="BJ830" s="129">
        <f t="shared" si="600"/>
        <v>0</v>
      </c>
      <c r="BK830" s="129">
        <f t="shared" si="580"/>
        <v>0</v>
      </c>
      <c r="BL830" s="129" t="str">
        <f t="shared" si="612"/>
        <v>CONVICTION</v>
      </c>
      <c r="BM830" s="129" t="str">
        <f t="shared" si="601"/>
        <v>NONE</v>
      </c>
      <c r="BN830" s="129" t="s">
        <v>566</v>
      </c>
      <c r="BP830" s="137" t="str">
        <f t="shared" si="584"/>
        <v>CONVICTION</v>
      </c>
      <c r="BQ830" s="128" t="str">
        <f t="shared" si="585"/>
        <v>Y</v>
      </c>
      <c r="BR830" s="129" t="str">
        <f t="shared" si="586"/>
        <v>DETAINED</v>
      </c>
      <c r="BS830" s="129" t="str">
        <f t="shared" si="587"/>
        <v>DISPOSED</v>
      </c>
      <c r="BT830" s="129" t="str">
        <f t="shared" si="588"/>
        <v>Y</v>
      </c>
      <c r="BU830" s="109">
        <f t="shared" si="589"/>
        <v>1</v>
      </c>
      <c r="BV830" s="109">
        <f t="shared" si="590"/>
        <v>1</v>
      </c>
      <c r="BW830" s="109">
        <f t="shared" si="616"/>
        <v>0</v>
      </c>
      <c r="BX830" s="111">
        <f t="shared" si="591"/>
        <v>0</v>
      </c>
      <c r="BY830" s="129">
        <f t="shared" si="592"/>
        <v>-275</v>
      </c>
      <c r="BZ830" s="111">
        <f t="shared" si="593"/>
        <v>0</v>
      </c>
      <c r="CA830" s="138">
        <f t="shared" si="594"/>
        <v>275</v>
      </c>
      <c r="CB830" s="111" t="e">
        <f t="shared" si="619"/>
        <v>#VALUE!</v>
      </c>
      <c r="CC830" s="129">
        <f t="shared" si="622"/>
        <v>275</v>
      </c>
      <c r="CD830" s="129">
        <f t="shared" si="623"/>
        <v>0</v>
      </c>
      <c r="CE830" s="129">
        <f t="shared" si="595"/>
        <v>0</v>
      </c>
      <c r="CG830" s="129" t="str">
        <f t="shared" si="596"/>
        <v>Y</v>
      </c>
      <c r="CI830" s="129" t="str">
        <f t="shared" si="597"/>
        <v>121-365 DAYS</v>
      </c>
      <c r="CJ830" s="137">
        <f t="shared" si="598"/>
        <v>6</v>
      </c>
      <c r="CK830" s="129" t="str">
        <f t="shared" si="599"/>
        <v>Booked</v>
      </c>
    </row>
    <row r="831" spans="1:89" ht="15" customHeight="1" x14ac:dyDescent="0.25">
      <c r="A831" s="111">
        <v>254</v>
      </c>
      <c r="B831" s="128" t="str">
        <f t="shared" si="581"/>
        <v>N</v>
      </c>
      <c r="C831" s="128" t="str">
        <f t="shared" si="582"/>
        <v>N</v>
      </c>
      <c r="D831" s="117">
        <v>1580293</v>
      </c>
      <c r="E831" s="135">
        <f t="shared" si="583"/>
        <v>6</v>
      </c>
      <c r="F831" s="124">
        <v>40919</v>
      </c>
      <c r="G831" s="125">
        <v>40976</v>
      </c>
      <c r="H831" s="117">
        <v>1580293</v>
      </c>
      <c r="I831" s="124">
        <v>40920</v>
      </c>
      <c r="J831" s="124">
        <v>40976</v>
      </c>
      <c r="K831" s="126">
        <v>35000</v>
      </c>
      <c r="L831" s="129" t="s">
        <v>572</v>
      </c>
      <c r="N831" s="129" t="str">
        <f t="shared" si="621"/>
        <v>N</v>
      </c>
      <c r="O831" s="128" t="s">
        <v>917</v>
      </c>
      <c r="P831" s="129" t="s">
        <v>39</v>
      </c>
      <c r="Q831" s="111">
        <f t="shared" si="615"/>
        <v>57</v>
      </c>
      <c r="R831" s="111">
        <f t="shared" si="577"/>
        <v>58</v>
      </c>
      <c r="S831" s="129">
        <v>3</v>
      </c>
      <c r="T831" s="129">
        <v>2</v>
      </c>
      <c r="V831" s="117">
        <v>1</v>
      </c>
      <c r="W831" s="111"/>
      <c r="AC831" s="130"/>
      <c r="AD831" s="130">
        <v>27926</v>
      </c>
      <c r="AE831" s="128" t="s">
        <v>32</v>
      </c>
      <c r="AF831" s="128" t="s">
        <v>33</v>
      </c>
      <c r="AG831" s="128" t="s">
        <v>872</v>
      </c>
      <c r="AH831" s="108" t="s">
        <v>31</v>
      </c>
      <c r="AI831" s="128" t="s">
        <v>97</v>
      </c>
      <c r="AJ831" s="129" t="s">
        <v>89</v>
      </c>
      <c r="AK831" s="129">
        <v>3</v>
      </c>
      <c r="AL831" s="3" t="s">
        <v>362</v>
      </c>
      <c r="AM831" s="117">
        <v>4</v>
      </c>
      <c r="AP831" s="129" t="s">
        <v>73</v>
      </c>
      <c r="AR831" s="128" t="s">
        <v>50</v>
      </c>
      <c r="AS831" s="129" t="s">
        <v>74</v>
      </c>
      <c r="BC831" s="129" t="s">
        <v>99</v>
      </c>
      <c r="BF831" s="111">
        <f t="shared" si="617"/>
        <v>57</v>
      </c>
      <c r="BG831" s="111">
        <f t="shared" si="618"/>
        <v>57</v>
      </c>
      <c r="BH831" s="111">
        <f t="shared" si="578"/>
        <v>58</v>
      </c>
      <c r="BI831" s="111">
        <f t="shared" si="579"/>
        <v>35.5</v>
      </c>
      <c r="BJ831" s="129">
        <f t="shared" si="600"/>
        <v>0</v>
      </c>
      <c r="BK831" s="129">
        <f t="shared" si="580"/>
        <v>0</v>
      </c>
      <c r="BL831" s="129" t="str">
        <f t="shared" si="612"/>
        <v>CONVICTION</v>
      </c>
      <c r="BM831" s="129" t="str">
        <f t="shared" si="601"/>
        <v>NONE</v>
      </c>
      <c r="BN831" s="129" t="s">
        <v>566</v>
      </c>
      <c r="BP831" s="137" t="str">
        <f t="shared" si="584"/>
        <v>CONVICTION</v>
      </c>
      <c r="BQ831" s="128" t="str">
        <f t="shared" si="585"/>
        <v>Y</v>
      </c>
      <c r="BR831" s="129" t="str">
        <f t="shared" si="586"/>
        <v>DETAINED</v>
      </c>
      <c r="BS831" s="129" t="str">
        <f t="shared" si="587"/>
        <v>DISPOSED</v>
      </c>
      <c r="BT831" s="129" t="str">
        <f t="shared" si="588"/>
        <v>Y</v>
      </c>
      <c r="BU831" s="109">
        <f t="shared" si="589"/>
        <v>0.98275862068965514</v>
      </c>
      <c r="BV831" s="109">
        <f t="shared" si="590"/>
        <v>1</v>
      </c>
      <c r="BW831" s="109">
        <f t="shared" si="616"/>
        <v>1.7241379310344862E-2</v>
      </c>
      <c r="BX831" s="111">
        <f t="shared" si="591"/>
        <v>0</v>
      </c>
      <c r="BY831" s="129">
        <f t="shared" si="592"/>
        <v>-57</v>
      </c>
      <c r="BZ831" s="111">
        <f t="shared" si="593"/>
        <v>0</v>
      </c>
      <c r="CA831" s="138">
        <f t="shared" si="594"/>
        <v>57</v>
      </c>
      <c r="CB831" s="111" t="e">
        <f t="shared" si="619"/>
        <v>#VALUE!</v>
      </c>
      <c r="CC831" s="129">
        <f t="shared" si="622"/>
        <v>57</v>
      </c>
      <c r="CD831" s="129">
        <f t="shared" si="623"/>
        <v>0</v>
      </c>
      <c r="CE831" s="129">
        <f t="shared" si="595"/>
        <v>0</v>
      </c>
      <c r="CG831" s="129" t="str">
        <f t="shared" si="596"/>
        <v>Y</v>
      </c>
      <c r="CI831" s="129" t="str">
        <f t="shared" si="597"/>
        <v>31-60 DAYS</v>
      </c>
      <c r="CJ831" s="137">
        <f t="shared" si="598"/>
        <v>3</v>
      </c>
      <c r="CK831" s="129" t="str">
        <f t="shared" si="599"/>
        <v>Booked</v>
      </c>
    </row>
    <row r="832" spans="1:89" ht="15.75" customHeight="1" x14ac:dyDescent="0.25">
      <c r="A832" s="111">
        <v>1999</v>
      </c>
      <c r="B832" s="128" t="str">
        <f t="shared" si="581"/>
        <v>N</v>
      </c>
      <c r="C832" s="128" t="str">
        <f t="shared" si="582"/>
        <v>N</v>
      </c>
      <c r="D832" s="117">
        <v>1581069</v>
      </c>
      <c r="E832" s="135">
        <f t="shared" si="583"/>
        <v>5</v>
      </c>
      <c r="F832" s="124">
        <v>40983</v>
      </c>
      <c r="G832" s="125">
        <v>40987</v>
      </c>
      <c r="H832" s="117">
        <v>1581069</v>
      </c>
      <c r="I832" s="124">
        <v>40984</v>
      </c>
      <c r="J832" s="124">
        <v>40987</v>
      </c>
      <c r="K832" s="126">
        <v>15000</v>
      </c>
      <c r="L832" s="127" t="s">
        <v>571</v>
      </c>
      <c r="N832" s="129" t="str">
        <f t="shared" si="621"/>
        <v>N</v>
      </c>
      <c r="O832" s="128" t="s">
        <v>917</v>
      </c>
      <c r="P832" s="129" t="s">
        <v>39</v>
      </c>
      <c r="Q832" s="111">
        <f t="shared" si="615"/>
        <v>4</v>
      </c>
      <c r="R832" s="111">
        <f t="shared" si="577"/>
        <v>5</v>
      </c>
      <c r="S832" s="129">
        <v>2</v>
      </c>
      <c r="T832" s="129">
        <v>3</v>
      </c>
      <c r="U832" s="129">
        <v>1</v>
      </c>
      <c r="W832" s="111"/>
      <c r="AC832" s="130"/>
      <c r="AD832" s="130">
        <v>28136</v>
      </c>
      <c r="AE832" s="128" t="s">
        <v>32</v>
      </c>
      <c r="AF832" s="128" t="s">
        <v>33</v>
      </c>
      <c r="AG832" s="128" t="s">
        <v>872</v>
      </c>
      <c r="AH832" s="108" t="s">
        <v>58</v>
      </c>
      <c r="AI832" s="128" t="s">
        <v>59</v>
      </c>
      <c r="AJ832" s="129" t="s">
        <v>89</v>
      </c>
      <c r="AK832" s="129">
        <v>1</v>
      </c>
      <c r="AL832" s="3" t="s">
        <v>992</v>
      </c>
      <c r="AN832" s="117">
        <v>6</v>
      </c>
      <c r="AP832" s="129" t="s">
        <v>43</v>
      </c>
      <c r="AR832" s="128" t="s">
        <v>44</v>
      </c>
      <c r="AS832" s="129" t="s">
        <v>45</v>
      </c>
      <c r="BC832" s="129" t="s">
        <v>38</v>
      </c>
      <c r="BF832" s="111">
        <f t="shared" si="617"/>
        <v>4</v>
      </c>
      <c r="BG832" s="111">
        <f t="shared" si="618"/>
        <v>4</v>
      </c>
      <c r="BH832" s="111">
        <f t="shared" si="578"/>
        <v>5</v>
      </c>
      <c r="BI832" s="111">
        <f t="shared" si="579"/>
        <v>35.101092896174862</v>
      </c>
      <c r="BJ832" s="129">
        <f t="shared" si="600"/>
        <v>0</v>
      </c>
      <c r="BK832" s="129">
        <f t="shared" si="580"/>
        <v>0</v>
      </c>
      <c r="BL832" s="129" t="str">
        <f t="shared" si="612"/>
        <v>CONVICTION</v>
      </c>
      <c r="BM832" s="129" t="str">
        <f t="shared" si="601"/>
        <v>NONE</v>
      </c>
      <c r="BN832" s="129" t="s">
        <v>566</v>
      </c>
      <c r="BP832" s="137" t="str">
        <f t="shared" si="584"/>
        <v>CONVICTION</v>
      </c>
      <c r="BQ832" s="128" t="str">
        <f t="shared" si="585"/>
        <v>Y</v>
      </c>
      <c r="BR832" s="129" t="str">
        <f t="shared" si="586"/>
        <v>DETAINED</v>
      </c>
      <c r="BS832" s="129" t="str">
        <f t="shared" si="587"/>
        <v>DISPOSED</v>
      </c>
      <c r="BT832" s="129" t="str">
        <f t="shared" si="588"/>
        <v>Y</v>
      </c>
      <c r="BU832" s="109">
        <f t="shared" si="589"/>
        <v>0.8</v>
      </c>
      <c r="BV832" s="109">
        <f t="shared" si="590"/>
        <v>1</v>
      </c>
      <c r="BW832" s="109">
        <f t="shared" si="616"/>
        <v>0.19999999999999996</v>
      </c>
      <c r="BX832" s="111">
        <f t="shared" si="591"/>
        <v>0</v>
      </c>
      <c r="BY832" s="129">
        <f t="shared" si="592"/>
        <v>-4</v>
      </c>
      <c r="BZ832" s="111">
        <f t="shared" si="593"/>
        <v>0</v>
      </c>
      <c r="CA832" s="138">
        <f t="shared" si="594"/>
        <v>4</v>
      </c>
      <c r="CB832" s="111" t="e">
        <f t="shared" si="619"/>
        <v>#VALUE!</v>
      </c>
      <c r="CC832" s="129">
        <f t="shared" si="622"/>
        <v>4</v>
      </c>
      <c r="CD832" s="129">
        <f t="shared" si="623"/>
        <v>0</v>
      </c>
      <c r="CE832" s="129">
        <f t="shared" si="595"/>
        <v>0</v>
      </c>
      <c r="CG832" s="129" t="str">
        <f t="shared" si="596"/>
        <v>Y</v>
      </c>
      <c r="CI832" s="129" t="str">
        <f t="shared" si="597"/>
        <v>0-10 DAYS</v>
      </c>
      <c r="CJ832" s="137">
        <f t="shared" si="598"/>
        <v>1</v>
      </c>
      <c r="CK832" s="129" t="str">
        <f t="shared" si="599"/>
        <v>Booked</v>
      </c>
    </row>
    <row r="833" spans="1:89" ht="15" customHeight="1" x14ac:dyDescent="0.25">
      <c r="A833" s="111">
        <v>1398</v>
      </c>
      <c r="B833" s="128" t="str">
        <f t="shared" si="581"/>
        <v>N</v>
      </c>
      <c r="C833" s="128" t="str">
        <f t="shared" si="582"/>
        <v>N</v>
      </c>
      <c r="D833" s="117">
        <v>1583721</v>
      </c>
      <c r="E833" s="135">
        <f t="shared" si="583"/>
        <v>5</v>
      </c>
      <c r="F833" s="124">
        <v>40960</v>
      </c>
      <c r="G833" s="125">
        <v>41281</v>
      </c>
      <c r="H833" s="117">
        <v>1583721</v>
      </c>
      <c r="I833" s="124">
        <v>40961</v>
      </c>
      <c r="J833" s="125">
        <v>41281</v>
      </c>
      <c r="K833" s="126" t="s">
        <v>564</v>
      </c>
      <c r="L833" s="127" t="s">
        <v>564</v>
      </c>
      <c r="N833" s="129" t="s">
        <v>566</v>
      </c>
      <c r="O833" s="128" t="s">
        <v>917</v>
      </c>
      <c r="P833" s="129" t="s">
        <v>39</v>
      </c>
      <c r="Q833" s="111">
        <f t="shared" si="615"/>
        <v>321</v>
      </c>
      <c r="R833" s="111">
        <f t="shared" si="577"/>
        <v>322</v>
      </c>
      <c r="S833" s="129">
        <v>2</v>
      </c>
      <c r="T833" s="129">
        <v>2</v>
      </c>
      <c r="W833" s="111"/>
      <c r="AC833" s="130"/>
      <c r="AD833" s="130">
        <v>27149</v>
      </c>
      <c r="AE833" s="128" t="s">
        <v>32</v>
      </c>
      <c r="AF833" s="128" t="s">
        <v>69</v>
      </c>
      <c r="AG833" s="128" t="s">
        <v>874</v>
      </c>
      <c r="AH833" s="108" t="s">
        <v>58</v>
      </c>
      <c r="AI833" s="128" t="s">
        <v>95</v>
      </c>
      <c r="AJ833" s="129" t="s">
        <v>89</v>
      </c>
      <c r="AK833" s="129">
        <v>10</v>
      </c>
      <c r="AL833" s="3" t="s">
        <v>992</v>
      </c>
      <c r="AN833" s="117">
        <v>24</v>
      </c>
      <c r="AP833" s="129" t="s">
        <v>332</v>
      </c>
      <c r="AR833" s="128" t="s">
        <v>44</v>
      </c>
      <c r="AS833" s="129" t="s">
        <v>61</v>
      </c>
      <c r="BC833" s="129" t="s">
        <v>38</v>
      </c>
      <c r="BF833" s="111">
        <f t="shared" si="617"/>
        <v>321</v>
      </c>
      <c r="BG833" s="111">
        <f t="shared" si="618"/>
        <v>321</v>
      </c>
      <c r="BH833" s="111">
        <f t="shared" si="578"/>
        <v>322</v>
      </c>
      <c r="BI833" s="111">
        <f t="shared" si="579"/>
        <v>37.734972677595628</v>
      </c>
      <c r="BJ833" s="129">
        <f t="shared" si="600"/>
        <v>0</v>
      </c>
      <c r="BK833" s="129">
        <f t="shared" si="580"/>
        <v>0</v>
      </c>
      <c r="BL833" s="129" t="str">
        <f t="shared" si="612"/>
        <v>CONVICTION</v>
      </c>
      <c r="BM833" s="129" t="str">
        <f t="shared" si="601"/>
        <v>NONE</v>
      </c>
      <c r="BN833" s="129" t="s">
        <v>566</v>
      </c>
      <c r="BP833" s="137" t="str">
        <f t="shared" si="584"/>
        <v>CONVICTION</v>
      </c>
      <c r="BQ833" s="128" t="str">
        <f t="shared" si="585"/>
        <v>Y</v>
      </c>
      <c r="BR833" s="129" t="str">
        <f t="shared" si="586"/>
        <v>DETAINED</v>
      </c>
      <c r="BS833" s="129" t="str">
        <f t="shared" si="587"/>
        <v>DISPOSED</v>
      </c>
      <c r="BT833" s="129" t="str">
        <f t="shared" si="588"/>
        <v>Y</v>
      </c>
      <c r="BU833" s="109">
        <f t="shared" si="589"/>
        <v>0.99689440993788825</v>
      </c>
      <c r="BV833" s="109">
        <f t="shared" si="590"/>
        <v>1</v>
      </c>
      <c r="BW833" s="109">
        <f t="shared" si="616"/>
        <v>3.1055900621117516E-3</v>
      </c>
      <c r="BX833" s="111">
        <f t="shared" si="591"/>
        <v>0</v>
      </c>
      <c r="BY833" s="129">
        <f t="shared" si="592"/>
        <v>-321</v>
      </c>
      <c r="BZ833" s="111">
        <f t="shared" si="593"/>
        <v>0</v>
      </c>
      <c r="CA833" s="138">
        <f t="shared" si="594"/>
        <v>321</v>
      </c>
      <c r="CB833" s="111" t="e">
        <f t="shared" si="619"/>
        <v>#VALUE!</v>
      </c>
      <c r="CC833" s="129">
        <f t="shared" si="622"/>
        <v>321</v>
      </c>
      <c r="CD833" s="129">
        <f t="shared" si="623"/>
        <v>0</v>
      </c>
      <c r="CE833" s="129">
        <f t="shared" si="595"/>
        <v>0</v>
      </c>
      <c r="CG833" s="129" t="str">
        <f t="shared" si="596"/>
        <v>Y</v>
      </c>
      <c r="CI833" s="129" t="str">
        <f t="shared" si="597"/>
        <v>121-365 DAYS</v>
      </c>
      <c r="CJ833" s="137">
        <f t="shared" si="598"/>
        <v>6</v>
      </c>
      <c r="CK833" s="129" t="str">
        <f t="shared" si="599"/>
        <v>Booked</v>
      </c>
    </row>
    <row r="834" spans="1:89" ht="15.75" customHeight="1" x14ac:dyDescent="0.25">
      <c r="A834" s="111">
        <v>2531</v>
      </c>
      <c r="B834" s="128" t="str">
        <f t="shared" si="581"/>
        <v>N</v>
      </c>
      <c r="C834" s="128" t="str">
        <f t="shared" si="582"/>
        <v>N</v>
      </c>
      <c r="D834" s="117">
        <v>1584133</v>
      </c>
      <c r="E834" s="135">
        <f t="shared" si="583"/>
        <v>5</v>
      </c>
      <c r="F834" s="124">
        <v>41003</v>
      </c>
      <c r="G834" s="125">
        <v>41324</v>
      </c>
      <c r="H834" s="117">
        <v>1584133</v>
      </c>
      <c r="I834" s="124">
        <v>41151</v>
      </c>
      <c r="J834" s="125">
        <v>41324</v>
      </c>
      <c r="K834" s="126">
        <v>45000</v>
      </c>
      <c r="L834" s="129" t="s">
        <v>572</v>
      </c>
      <c r="N834" s="129" t="str">
        <f>IF(M834&gt;1/1/1,"Y","N")</f>
        <v>N</v>
      </c>
      <c r="O834" s="128" t="s">
        <v>917</v>
      </c>
      <c r="P834" s="129" t="s">
        <v>39</v>
      </c>
      <c r="Q834" s="111">
        <f t="shared" si="615"/>
        <v>174</v>
      </c>
      <c r="R834" s="111">
        <f t="shared" ref="R834:R897" si="624">BH834</f>
        <v>322</v>
      </c>
      <c r="S834" s="129">
        <v>2</v>
      </c>
      <c r="T834" s="129">
        <v>6</v>
      </c>
      <c r="U834" s="129">
        <v>1</v>
      </c>
      <c r="W834" s="111"/>
      <c r="AC834" s="130"/>
      <c r="AD834" s="130">
        <v>28980</v>
      </c>
      <c r="AE834" s="128" t="s">
        <v>32</v>
      </c>
      <c r="AF834" s="128" t="s">
        <v>33</v>
      </c>
      <c r="AG834" s="128" t="s">
        <v>872</v>
      </c>
      <c r="AH834" s="108" t="s">
        <v>58</v>
      </c>
      <c r="AI834" s="128" t="s">
        <v>141</v>
      </c>
      <c r="AJ834" s="129" t="s">
        <v>89</v>
      </c>
      <c r="AK834" s="129">
        <v>13</v>
      </c>
      <c r="AL834" s="3" t="s">
        <v>992</v>
      </c>
      <c r="AN834" s="117">
        <v>24</v>
      </c>
      <c r="AP834" s="129" t="s">
        <v>158</v>
      </c>
      <c r="AR834" s="128" t="s">
        <v>67</v>
      </c>
      <c r="AS834" s="129" t="s">
        <v>64</v>
      </c>
      <c r="BC834" s="129" t="s">
        <v>38</v>
      </c>
      <c r="BF834" s="111">
        <f t="shared" si="617"/>
        <v>174</v>
      </c>
      <c r="BG834" s="111">
        <f t="shared" si="618"/>
        <v>174</v>
      </c>
      <c r="BH834" s="111">
        <f t="shared" ref="BH834:BH897" si="625">IF(G834&gt;1/1/1900,((G834+1)-F834),"STILL OPEN")</f>
        <v>322</v>
      </c>
      <c r="BI834" s="111">
        <f t="shared" ref="BI834:BI897" si="626">(F834-AD834)/366</f>
        <v>32.849726775956285</v>
      </c>
      <c r="BJ834" s="129">
        <f t="shared" si="600"/>
        <v>0</v>
      </c>
      <c r="BK834" s="129">
        <f t="shared" ref="BK834:BK897" si="627">J834-G834</f>
        <v>0</v>
      </c>
      <c r="BL834" s="129" t="str">
        <f t="shared" si="612"/>
        <v>CONVICTION</v>
      </c>
      <c r="BM834" s="129" t="str">
        <f t="shared" si="601"/>
        <v>NONE</v>
      </c>
      <c r="BN834" s="129" t="s">
        <v>566</v>
      </c>
      <c r="BP834" s="137" t="str">
        <f t="shared" si="584"/>
        <v>CONVICTION</v>
      </c>
      <c r="BQ834" s="128" t="str">
        <f t="shared" si="585"/>
        <v>Y</v>
      </c>
      <c r="BR834" s="129" t="str">
        <f t="shared" si="586"/>
        <v>DETAINED</v>
      </c>
      <c r="BS834" s="129" t="str">
        <f t="shared" si="587"/>
        <v>DISPOSED</v>
      </c>
      <c r="BT834" s="129" t="str">
        <f t="shared" si="588"/>
        <v>Y</v>
      </c>
      <c r="BU834" s="109">
        <f t="shared" si="589"/>
        <v>0.54037267080745344</v>
      </c>
      <c r="BV834" s="109">
        <f t="shared" si="590"/>
        <v>1</v>
      </c>
      <c r="BW834" s="109">
        <f t="shared" si="616"/>
        <v>0.45962732919254656</v>
      </c>
      <c r="BX834" s="111">
        <f t="shared" si="591"/>
        <v>0</v>
      </c>
      <c r="BY834" s="129">
        <f t="shared" si="592"/>
        <v>-174</v>
      </c>
      <c r="BZ834" s="111">
        <f t="shared" si="593"/>
        <v>0</v>
      </c>
      <c r="CA834" s="138">
        <f t="shared" si="594"/>
        <v>174</v>
      </c>
      <c r="CB834" s="111" t="e">
        <f t="shared" si="619"/>
        <v>#VALUE!</v>
      </c>
      <c r="CC834" s="129">
        <f t="shared" si="622"/>
        <v>174</v>
      </c>
      <c r="CD834" s="129">
        <f t="shared" si="623"/>
        <v>0</v>
      </c>
      <c r="CE834" s="129">
        <f t="shared" si="595"/>
        <v>0</v>
      </c>
      <c r="CG834" s="129" t="str">
        <f t="shared" si="596"/>
        <v>Y</v>
      </c>
      <c r="CI834" s="129" t="str">
        <f t="shared" si="597"/>
        <v>121-365 DAYS</v>
      </c>
      <c r="CJ834" s="137">
        <f t="shared" si="598"/>
        <v>6</v>
      </c>
      <c r="CK834" s="129" t="str">
        <f t="shared" si="599"/>
        <v>Booked</v>
      </c>
    </row>
    <row r="835" spans="1:89" ht="15.75" customHeight="1" x14ac:dyDescent="0.25">
      <c r="A835" s="111">
        <v>1842</v>
      </c>
      <c r="B835" s="128" t="str">
        <f t="shared" ref="B835:B898" si="628">IF(BD835&lt;&gt;"","Y","N")</f>
        <v>N</v>
      </c>
      <c r="C835" s="128" t="str">
        <f t="shared" ref="C835:C898" si="629">IF((AND(AV835="",AX835="",AY835="")),"N","Y")</f>
        <v>N</v>
      </c>
      <c r="D835" s="117">
        <v>1585145</v>
      </c>
      <c r="E835" s="135">
        <f t="shared" ref="E835:E898" si="630">IF(OR(AL835="ACQUITTAL",AL835="ACQUIT",AL835="acq insane",AL835="DISMISSED",AL835="NO BILL"),1,IF(AL835="DEFERRED",2,IF(AL835="PROBATION",3,IF(OR(AL835="HCJ",AL835="fine"),4,IF(AL835="STJ",5,IF(AL835="TDC",6,""))))))</f>
        <v>1</v>
      </c>
      <c r="F835" s="124">
        <v>40977</v>
      </c>
      <c r="G835" s="125">
        <v>41047</v>
      </c>
      <c r="H835" s="117">
        <v>1585145</v>
      </c>
      <c r="I835" s="124">
        <v>40977</v>
      </c>
      <c r="J835" s="124">
        <v>41047</v>
      </c>
      <c r="K835" s="126">
        <v>40000</v>
      </c>
      <c r="L835" s="129" t="s">
        <v>572</v>
      </c>
      <c r="N835" s="129" t="str">
        <f>IF(M835&gt;1/1/1,"Y","N")</f>
        <v>N</v>
      </c>
      <c r="O835" s="128" t="s">
        <v>917</v>
      </c>
      <c r="P835" s="129" t="s">
        <v>55</v>
      </c>
      <c r="Q835" s="111">
        <f t="shared" si="615"/>
        <v>71</v>
      </c>
      <c r="R835" s="111">
        <f t="shared" si="624"/>
        <v>71</v>
      </c>
      <c r="S835" s="129">
        <v>4</v>
      </c>
      <c r="T835" s="129">
        <v>2</v>
      </c>
      <c r="U835" s="129">
        <v>4</v>
      </c>
      <c r="W835" s="111"/>
      <c r="AC835" s="130"/>
      <c r="AD835" s="130">
        <v>28549</v>
      </c>
      <c r="AE835" s="128" t="s">
        <v>32</v>
      </c>
      <c r="AF835" s="128" t="s">
        <v>33</v>
      </c>
      <c r="AG835" s="128" t="s">
        <v>872</v>
      </c>
      <c r="AH835" s="108" t="s">
        <v>58</v>
      </c>
      <c r="AI835" s="128" t="s">
        <v>114</v>
      </c>
      <c r="AJ835" s="129" t="s">
        <v>55</v>
      </c>
      <c r="AK835" s="129">
        <v>4</v>
      </c>
      <c r="AL835" s="3" t="s">
        <v>55</v>
      </c>
      <c r="AP835" s="129" t="s">
        <v>101</v>
      </c>
      <c r="AR835" s="128" t="s">
        <v>67</v>
      </c>
      <c r="AS835" s="129" t="s">
        <v>64</v>
      </c>
      <c r="BC835" s="129" t="s">
        <v>52</v>
      </c>
      <c r="BF835" s="111">
        <f t="shared" si="617"/>
        <v>71</v>
      </c>
      <c r="BG835" s="111">
        <f t="shared" si="618"/>
        <v>71</v>
      </c>
      <c r="BH835" s="111">
        <f t="shared" si="625"/>
        <v>71</v>
      </c>
      <c r="BI835" s="111">
        <f t="shared" si="626"/>
        <v>33.956284153005463</v>
      </c>
      <c r="BJ835" s="129">
        <f t="shared" ref="BJ835:BJ897" si="631">G835-J835-M835</f>
        <v>0</v>
      </c>
      <c r="BK835" s="129">
        <f t="shared" si="627"/>
        <v>0</v>
      </c>
      <c r="BL835" s="129" t="str">
        <f t="shared" si="612"/>
        <v>NO CONVICTION</v>
      </c>
      <c r="BM835" s="129" t="str">
        <f t="shared" ref="BM835:BM897" si="632">O835</f>
        <v>NONE</v>
      </c>
      <c r="BN835" s="129" t="s">
        <v>566</v>
      </c>
      <c r="BP835" s="137" t="str">
        <f t="shared" ref="BP835:BP898" si="633">IF(OR(AJ835="AQUITTAL",AJ835="DISMISSED",AJ835="FINE",AJ835="NO BILL"),"NO CONVICTION",IF(OR(AJ835="HCJ",AJ835="MHH",AJ835="PROBATION",AJ835="STJ",AJ835="TDC",AJ835="CONVICTED"),"CONVICTION",IF(AJ835="DEFERRED","DEFERRED","")))</f>
        <v>NO CONVICTION</v>
      </c>
      <c r="BQ835" s="128" t="str">
        <f t="shared" ref="BQ835:BQ898" si="634">IF(BF835&gt;0,"Y",BF835)</f>
        <v>Y</v>
      </c>
      <c r="BR835" s="129" t="str">
        <f t="shared" ref="BR835:BR898" si="635">IF(AND(J835="NOT BOOKED",M835&gt;1/1/1),"BONDED - BEFORE BOOKED",IF(BG835="STILL OPEN","STILL OPEN",IF(N835="Y","ON BOND",IF(J835&gt;=G835,"DETAINED","RELEASED"))))</f>
        <v>DETAINED</v>
      </c>
      <c r="BS835" s="129" t="str">
        <f t="shared" ref="BS835:BS898" si="636">IF(G835&lt;&gt;"","DISPOSED","")</f>
        <v>DISPOSED</v>
      </c>
      <c r="BT835" s="129" t="str">
        <f t="shared" ref="BT835:BT898" si="637">IF(S835&gt;0,"Y","N")</f>
        <v>Y</v>
      </c>
      <c r="BU835" s="109">
        <f>IFERROR(Q835/R835,BR835)</f>
        <v>1</v>
      </c>
      <c r="BV835" s="109">
        <f t="shared" ref="BV835:BV898" si="638">IF(I835&gt;F835,((J835-I835+1)/(G835-I835+1)),(J835-I835+1)/(G835-F835+1))</f>
        <v>1</v>
      </c>
      <c r="BW835" s="109">
        <f t="shared" si="616"/>
        <v>0</v>
      </c>
      <c r="BX835" s="111">
        <f t="shared" ref="BX835:BX898" si="639">+Q835-BF835</f>
        <v>0</v>
      </c>
      <c r="BY835" s="129">
        <f t="shared" ref="BY835:BY898" si="640">I835-J835-1</f>
        <v>-71</v>
      </c>
      <c r="BZ835" s="111">
        <f t="shared" ref="BZ835:BZ898" si="641">BY835+BF835</f>
        <v>0</v>
      </c>
      <c r="CA835" s="138">
        <f t="shared" ref="CA835:CA898" si="642">IF(AND(BS835="DISPOSED",BR835="DETAINED"),G835-I835+1,IF(AND(BS835="DISPOSED",BR835="ON BOND"),M835-I835+1,IF(AND(BS835="STILL OPEN","STILL OPEN"),"NOT BOOKED")))</f>
        <v>71</v>
      </c>
      <c r="CB835" s="111" t="e">
        <f t="shared" si="619"/>
        <v>#VALUE!</v>
      </c>
      <c r="CC835" s="129">
        <f t="shared" si="622"/>
        <v>71</v>
      </c>
      <c r="CD835" s="129">
        <f t="shared" si="623"/>
        <v>0</v>
      </c>
      <c r="CE835" s="129">
        <f t="shared" ref="CE835:CE898" si="643">G835-J835</f>
        <v>0</v>
      </c>
      <c r="CG835" s="129" t="str">
        <f t="shared" ref="CG835:CG898" si="644">IF((S835+T835+U835)&gt;0,"Y","N")</f>
        <v>Y</v>
      </c>
      <c r="CI835" s="129" t="str">
        <f t="shared" ref="CI835:CI898" si="645">IF(BF835&lt;11,"0-10 DAYS",IF(AND(BF835&gt;10,BF835&lt;31),"11-30 DAYS",IF((AND(BF835&gt;30,BF835&lt;61)),"31-60 DAYS",IF(AND(BF835&gt;60,BF835&lt;91),"61-90 DAYS",IF(AND(BF835&gt;90,BF835&lt;121),"91-120 DAYS",IF(AND(BF835&gt;120,BF835&lt;366),"121-365 DAYS",IF(AND(BF835&gt;365,BF835&lt;730)," &gt;1YRS&lt;2YRS",IF(AND(BF835&gt;729,BF835&lt;1095),"&gt;2YRS&lt;3YRS",IF(BF835&gt;1094,"&gt;3YRS")))))))))</f>
        <v>61-90 DAYS</v>
      </c>
      <c r="CJ835" s="137">
        <f t="shared" ref="CJ835:CJ898" si="646">IF(CI835="0-10 DAYS",1,IF(CI835="11-30 DAYS",2,IF(CI835="31-60 DAYS",3,IF(CI835="61-90 DAYS",4,IF(CK835="91-120 DAYS",5,IF(CI835="121-365 DAYS",6,IF(CI835="&gt;1YRS&lt;2YRS",7,IF(CI835="&gt;2YRS&lt;3YRS",8,IF(CI835="&gt;3YRS",9,0)))))))))</f>
        <v>4</v>
      </c>
      <c r="CK835" s="129" t="str">
        <f t="shared" ref="CK835:CK898" si="647">IF(I835="Not Booked","Not Booked","Booked")</f>
        <v>Booked</v>
      </c>
    </row>
    <row r="836" spans="1:89" ht="15" customHeight="1" x14ac:dyDescent="0.25">
      <c r="A836" s="111">
        <v>982</v>
      </c>
      <c r="B836" s="128" t="str">
        <f t="shared" si="628"/>
        <v>N</v>
      </c>
      <c r="C836" s="128" t="str">
        <f t="shared" si="629"/>
        <v>N</v>
      </c>
      <c r="D836" s="117">
        <v>1585177</v>
      </c>
      <c r="E836" s="135">
        <f t="shared" si="630"/>
        <v>6</v>
      </c>
      <c r="F836" s="124">
        <v>40869</v>
      </c>
      <c r="G836" s="125">
        <v>40973</v>
      </c>
      <c r="H836" s="117">
        <v>1585177</v>
      </c>
      <c r="I836" s="124">
        <v>40969</v>
      </c>
      <c r="J836" s="124">
        <v>40973</v>
      </c>
      <c r="K836" s="126" t="s">
        <v>564</v>
      </c>
      <c r="L836" s="127" t="s">
        <v>564</v>
      </c>
      <c r="N836" s="129" t="s">
        <v>566</v>
      </c>
      <c r="O836" s="128" t="s">
        <v>917</v>
      </c>
      <c r="P836" s="129" t="s">
        <v>77</v>
      </c>
      <c r="Q836" s="111">
        <f t="shared" si="615"/>
        <v>5</v>
      </c>
      <c r="R836" s="111">
        <f t="shared" si="624"/>
        <v>105</v>
      </c>
      <c r="S836" s="129">
        <v>0</v>
      </c>
      <c r="T836" s="129">
        <v>7</v>
      </c>
      <c r="W836" s="111"/>
      <c r="AC836" s="130"/>
      <c r="AD836" s="130">
        <v>28330</v>
      </c>
      <c r="AE836" s="128" t="s">
        <v>32</v>
      </c>
      <c r="AF836" s="128" t="s">
        <v>33</v>
      </c>
      <c r="AG836" s="128" t="s">
        <v>872</v>
      </c>
      <c r="AH836" s="108" t="s">
        <v>58</v>
      </c>
      <c r="AI836" s="128" t="s">
        <v>83</v>
      </c>
      <c r="AJ836" s="129" t="s">
        <v>89</v>
      </c>
      <c r="AK836" s="129">
        <v>4</v>
      </c>
      <c r="AL836" s="3" t="s">
        <v>362</v>
      </c>
      <c r="AM836" s="117">
        <v>2</v>
      </c>
      <c r="AP836" s="129" t="s">
        <v>150</v>
      </c>
      <c r="AR836" s="128" t="s">
        <v>67</v>
      </c>
      <c r="AS836" s="129" t="s">
        <v>74</v>
      </c>
      <c r="AV836" s="147"/>
      <c r="AW836" s="3"/>
      <c r="AX836" s="3"/>
      <c r="BC836" s="129" t="s">
        <v>38</v>
      </c>
      <c r="BF836" s="111">
        <f t="shared" si="617"/>
        <v>5</v>
      </c>
      <c r="BG836" s="111">
        <f t="shared" si="618"/>
        <v>5</v>
      </c>
      <c r="BH836" s="111">
        <f t="shared" si="625"/>
        <v>105</v>
      </c>
      <c r="BI836" s="111">
        <f t="shared" si="626"/>
        <v>34.259562841530055</v>
      </c>
      <c r="BJ836" s="129">
        <f t="shared" si="631"/>
        <v>0</v>
      </c>
      <c r="BK836" s="129">
        <f t="shared" si="627"/>
        <v>0</v>
      </c>
      <c r="BL836" s="129" t="str">
        <f t="shared" si="612"/>
        <v>CONVICTION</v>
      </c>
      <c r="BM836" s="129" t="str">
        <f t="shared" si="632"/>
        <v>NONE</v>
      </c>
      <c r="BN836" s="129" t="s">
        <v>566</v>
      </c>
      <c r="BP836" s="137" t="str">
        <f t="shared" si="633"/>
        <v>CONVICTION</v>
      </c>
      <c r="BQ836" s="128" t="str">
        <f t="shared" si="634"/>
        <v>Y</v>
      </c>
      <c r="BR836" s="129" t="str">
        <f t="shared" si="635"/>
        <v>DETAINED</v>
      </c>
      <c r="BS836" s="129" t="str">
        <f t="shared" si="636"/>
        <v>DISPOSED</v>
      </c>
      <c r="BT836" s="129" t="str">
        <f t="shared" si="637"/>
        <v>N</v>
      </c>
      <c r="BU836" s="109">
        <f t="shared" ref="BU836:BU897" si="648">Q836/R836</f>
        <v>4.7619047619047616E-2</v>
      </c>
      <c r="BV836" s="109">
        <f t="shared" si="638"/>
        <v>1</v>
      </c>
      <c r="BW836" s="109">
        <f t="shared" si="616"/>
        <v>0.95238095238095233</v>
      </c>
      <c r="BX836" s="111">
        <f t="shared" si="639"/>
        <v>0</v>
      </c>
      <c r="BY836" s="129">
        <f t="shared" si="640"/>
        <v>-5</v>
      </c>
      <c r="BZ836" s="111">
        <f t="shared" si="641"/>
        <v>0</v>
      </c>
      <c r="CA836" s="138">
        <f t="shared" si="642"/>
        <v>5</v>
      </c>
      <c r="CB836" s="111" t="e">
        <f t="shared" si="619"/>
        <v>#VALUE!</v>
      </c>
      <c r="CC836" s="129">
        <f t="shared" si="622"/>
        <v>5</v>
      </c>
      <c r="CD836" s="129">
        <f t="shared" si="623"/>
        <v>0</v>
      </c>
      <c r="CE836" s="129">
        <f t="shared" si="643"/>
        <v>0</v>
      </c>
      <c r="CG836" s="129" t="str">
        <f t="shared" si="644"/>
        <v>Y</v>
      </c>
      <c r="CI836" s="129" t="str">
        <f t="shared" si="645"/>
        <v>0-10 DAYS</v>
      </c>
      <c r="CJ836" s="137">
        <f t="shared" si="646"/>
        <v>1</v>
      </c>
      <c r="CK836" s="129" t="str">
        <f t="shared" si="647"/>
        <v>Booked</v>
      </c>
    </row>
    <row r="837" spans="1:89" ht="15.75" customHeight="1" x14ac:dyDescent="0.25">
      <c r="A837" s="111">
        <v>772</v>
      </c>
      <c r="B837" s="128" t="str">
        <f t="shared" si="628"/>
        <v>N</v>
      </c>
      <c r="C837" s="128" t="str">
        <f t="shared" si="629"/>
        <v>N</v>
      </c>
      <c r="D837" s="117">
        <v>1585315</v>
      </c>
      <c r="E837" s="135">
        <f t="shared" si="630"/>
        <v>1</v>
      </c>
      <c r="F837" s="124">
        <v>40939</v>
      </c>
      <c r="G837" s="125">
        <v>40941</v>
      </c>
      <c r="H837" s="117">
        <v>1585315</v>
      </c>
      <c r="I837" s="124">
        <v>40939</v>
      </c>
      <c r="J837" s="124">
        <v>40941</v>
      </c>
      <c r="K837" s="126">
        <v>15000</v>
      </c>
      <c r="L837" s="127" t="s">
        <v>571</v>
      </c>
      <c r="N837" s="129" t="str">
        <f>IF(M837&gt;1/1/1,"Y","N")</f>
        <v>N</v>
      </c>
      <c r="O837" s="128" t="s">
        <v>917</v>
      </c>
      <c r="P837" s="129" t="s">
        <v>55</v>
      </c>
      <c r="Q837" s="111">
        <f t="shared" si="615"/>
        <v>3</v>
      </c>
      <c r="R837" s="111">
        <f t="shared" si="624"/>
        <v>3</v>
      </c>
      <c r="S837" s="129">
        <v>4</v>
      </c>
      <c r="T837" s="129">
        <v>2</v>
      </c>
      <c r="W837" s="111"/>
      <c r="AC837" s="130"/>
      <c r="AD837" s="130">
        <v>25140</v>
      </c>
      <c r="AE837" s="128" t="s">
        <v>32</v>
      </c>
      <c r="AF837" s="128" t="s">
        <v>33</v>
      </c>
      <c r="AG837" s="128" t="s">
        <v>872</v>
      </c>
      <c r="AH837" s="108" t="s">
        <v>58</v>
      </c>
      <c r="AI837" s="128" t="s">
        <v>85</v>
      </c>
      <c r="AJ837" s="129" t="s">
        <v>55</v>
      </c>
      <c r="AK837" s="129">
        <v>2</v>
      </c>
      <c r="AL837" s="3" t="s">
        <v>55</v>
      </c>
      <c r="AP837" s="129" t="s">
        <v>43</v>
      </c>
      <c r="AR837" s="128" t="s">
        <v>44</v>
      </c>
      <c r="AS837" s="129" t="s">
        <v>45</v>
      </c>
      <c r="BC837" s="129" t="s">
        <v>38</v>
      </c>
      <c r="BF837" s="111">
        <f t="shared" si="617"/>
        <v>3</v>
      </c>
      <c r="BG837" s="111">
        <f t="shared" si="618"/>
        <v>3</v>
      </c>
      <c r="BH837" s="111">
        <f t="shared" si="625"/>
        <v>3</v>
      </c>
      <c r="BI837" s="111">
        <f t="shared" si="626"/>
        <v>43.166666666666664</v>
      </c>
      <c r="BJ837" s="129">
        <f t="shared" si="631"/>
        <v>0</v>
      </c>
      <c r="BK837" s="129">
        <f t="shared" si="627"/>
        <v>0</v>
      </c>
      <c r="BL837" s="129" t="str">
        <f t="shared" si="612"/>
        <v>NO CONVICTION</v>
      </c>
      <c r="BM837" s="129" t="str">
        <f t="shared" si="632"/>
        <v>NONE</v>
      </c>
      <c r="BN837" s="129" t="s">
        <v>566</v>
      </c>
      <c r="BP837" s="137" t="str">
        <f t="shared" si="633"/>
        <v>NO CONVICTION</v>
      </c>
      <c r="BQ837" s="128" t="str">
        <f t="shared" si="634"/>
        <v>Y</v>
      </c>
      <c r="BR837" s="129" t="str">
        <f t="shared" si="635"/>
        <v>DETAINED</v>
      </c>
      <c r="BS837" s="129" t="str">
        <f t="shared" si="636"/>
        <v>DISPOSED</v>
      </c>
      <c r="BT837" s="129" t="str">
        <f t="shared" si="637"/>
        <v>Y</v>
      </c>
      <c r="BU837" s="109">
        <f>IFERROR(Q837/R837,BR837)</f>
        <v>1</v>
      </c>
      <c r="BV837" s="109">
        <f t="shared" si="638"/>
        <v>1</v>
      </c>
      <c r="BW837" s="109">
        <f t="shared" si="616"/>
        <v>0</v>
      </c>
      <c r="BX837" s="111">
        <f t="shared" si="639"/>
        <v>0</v>
      </c>
      <c r="BY837" s="129">
        <f t="shared" si="640"/>
        <v>-3</v>
      </c>
      <c r="BZ837" s="111">
        <f t="shared" si="641"/>
        <v>0</v>
      </c>
      <c r="CA837" s="138">
        <f t="shared" si="642"/>
        <v>3</v>
      </c>
      <c r="CB837" s="111" t="e">
        <f t="shared" si="619"/>
        <v>#VALUE!</v>
      </c>
      <c r="CC837" s="129">
        <f t="shared" si="622"/>
        <v>3</v>
      </c>
      <c r="CD837" s="129">
        <f t="shared" si="623"/>
        <v>0</v>
      </c>
      <c r="CE837" s="129">
        <f t="shared" si="643"/>
        <v>0</v>
      </c>
      <c r="CG837" s="129" t="str">
        <f t="shared" si="644"/>
        <v>Y</v>
      </c>
      <c r="CI837" s="129" t="str">
        <f t="shared" si="645"/>
        <v>0-10 DAYS</v>
      </c>
      <c r="CJ837" s="137">
        <f t="shared" si="646"/>
        <v>1</v>
      </c>
      <c r="CK837" s="129" t="str">
        <f t="shared" si="647"/>
        <v>Booked</v>
      </c>
    </row>
    <row r="838" spans="1:89" ht="15.75" customHeight="1" x14ac:dyDescent="0.25">
      <c r="A838" s="111">
        <v>2207</v>
      </c>
      <c r="B838" s="128" t="str">
        <f t="shared" si="628"/>
        <v>N</v>
      </c>
      <c r="C838" s="128" t="str">
        <f t="shared" si="629"/>
        <v>N</v>
      </c>
      <c r="D838" s="117">
        <v>1585763</v>
      </c>
      <c r="E838" s="135">
        <f t="shared" si="630"/>
        <v>5</v>
      </c>
      <c r="F838" s="124">
        <v>40991</v>
      </c>
      <c r="G838" s="125">
        <v>41072</v>
      </c>
      <c r="H838" s="117">
        <v>1585763</v>
      </c>
      <c r="I838" s="124">
        <v>40992</v>
      </c>
      <c r="J838" s="124">
        <v>41072</v>
      </c>
      <c r="K838" s="126">
        <v>15000</v>
      </c>
      <c r="L838" s="127" t="s">
        <v>571</v>
      </c>
      <c r="N838" s="129" t="str">
        <f>IF(M838&gt;1/1/1,"Y","N")</f>
        <v>N</v>
      </c>
      <c r="O838" s="128" t="s">
        <v>917</v>
      </c>
      <c r="P838" s="129" t="s">
        <v>39</v>
      </c>
      <c r="Q838" s="111">
        <f t="shared" ref="Q838:Q849" si="649">BF838</f>
        <v>81</v>
      </c>
      <c r="R838" s="111">
        <f t="shared" si="624"/>
        <v>82</v>
      </c>
      <c r="S838" s="129">
        <v>3</v>
      </c>
      <c r="T838" s="129">
        <v>6</v>
      </c>
      <c r="U838" s="129">
        <v>1</v>
      </c>
      <c r="W838" s="111"/>
      <c r="AC838" s="130"/>
      <c r="AD838" s="130">
        <v>27843</v>
      </c>
      <c r="AE838" s="128" t="s">
        <v>46</v>
      </c>
      <c r="AF838" s="128" t="s">
        <v>33</v>
      </c>
      <c r="AG838" s="128" t="s">
        <v>872</v>
      </c>
      <c r="AH838" s="108" t="s">
        <v>58</v>
      </c>
      <c r="AI838" s="128" t="s">
        <v>65</v>
      </c>
      <c r="AJ838" s="129" t="s">
        <v>89</v>
      </c>
      <c r="AK838" s="129">
        <v>6</v>
      </c>
      <c r="AL838" s="3" t="s">
        <v>992</v>
      </c>
      <c r="AN838" s="117">
        <v>8</v>
      </c>
      <c r="AP838" s="129" t="s">
        <v>60</v>
      </c>
      <c r="AR838" s="128" t="s">
        <v>44</v>
      </c>
      <c r="AS838" s="129" t="s">
        <v>61</v>
      </c>
      <c r="AY838" s="123"/>
      <c r="BC838" s="129" t="s">
        <v>38</v>
      </c>
      <c r="BF838" s="111">
        <f t="shared" si="617"/>
        <v>81</v>
      </c>
      <c r="BG838" s="111">
        <f t="shared" si="618"/>
        <v>81</v>
      </c>
      <c r="BH838" s="111">
        <f t="shared" si="625"/>
        <v>82</v>
      </c>
      <c r="BI838" s="111">
        <f t="shared" si="626"/>
        <v>35.923497267759565</v>
      </c>
      <c r="BJ838" s="129">
        <f t="shared" si="631"/>
        <v>0</v>
      </c>
      <c r="BK838" s="129">
        <f t="shared" si="627"/>
        <v>0</v>
      </c>
      <c r="BL838" s="129" t="str">
        <f t="shared" si="612"/>
        <v>CONVICTION</v>
      </c>
      <c r="BM838" s="129" t="str">
        <f t="shared" si="632"/>
        <v>NONE</v>
      </c>
      <c r="BN838" s="129" t="s">
        <v>566</v>
      </c>
      <c r="BP838" s="137" t="str">
        <f t="shared" si="633"/>
        <v>CONVICTION</v>
      </c>
      <c r="BQ838" s="128" t="str">
        <f t="shared" si="634"/>
        <v>Y</v>
      </c>
      <c r="BR838" s="129" t="str">
        <f t="shared" si="635"/>
        <v>DETAINED</v>
      </c>
      <c r="BS838" s="129" t="str">
        <f t="shared" si="636"/>
        <v>DISPOSED</v>
      </c>
      <c r="BT838" s="129" t="str">
        <f t="shared" si="637"/>
        <v>Y</v>
      </c>
      <c r="BU838" s="109">
        <f t="shared" si="648"/>
        <v>0.98780487804878048</v>
      </c>
      <c r="BV838" s="109">
        <f t="shared" si="638"/>
        <v>1</v>
      </c>
      <c r="BW838" s="109">
        <f t="shared" si="616"/>
        <v>1.2195121951219523E-2</v>
      </c>
      <c r="BX838" s="111">
        <f t="shared" si="639"/>
        <v>0</v>
      </c>
      <c r="BY838" s="129">
        <f t="shared" si="640"/>
        <v>-81</v>
      </c>
      <c r="BZ838" s="111">
        <f t="shared" si="641"/>
        <v>0</v>
      </c>
      <c r="CA838" s="138">
        <f t="shared" si="642"/>
        <v>81</v>
      </c>
      <c r="CB838" s="111" t="e">
        <f t="shared" si="619"/>
        <v>#VALUE!</v>
      </c>
      <c r="CC838" s="129">
        <f t="shared" si="622"/>
        <v>81</v>
      </c>
      <c r="CD838" s="129">
        <f t="shared" si="623"/>
        <v>0</v>
      </c>
      <c r="CE838" s="129">
        <f t="shared" si="643"/>
        <v>0</v>
      </c>
      <c r="CG838" s="129" t="str">
        <f t="shared" si="644"/>
        <v>Y</v>
      </c>
      <c r="CI838" s="129" t="str">
        <f t="shared" si="645"/>
        <v>61-90 DAYS</v>
      </c>
      <c r="CJ838" s="137">
        <f t="shared" si="646"/>
        <v>4</v>
      </c>
      <c r="CK838" s="129" t="str">
        <f t="shared" si="647"/>
        <v>Booked</v>
      </c>
    </row>
    <row r="839" spans="1:89" ht="15.75" customHeight="1" x14ac:dyDescent="0.25">
      <c r="A839" s="111">
        <v>2651</v>
      </c>
      <c r="B839" s="128" t="str">
        <f t="shared" si="628"/>
        <v>N</v>
      </c>
      <c r="C839" s="128" t="str">
        <f t="shared" si="629"/>
        <v>N</v>
      </c>
      <c r="D839" s="117">
        <v>1585941</v>
      </c>
      <c r="E839" s="135">
        <f t="shared" si="630"/>
        <v>6</v>
      </c>
      <c r="F839" s="124">
        <v>41007</v>
      </c>
      <c r="G839" s="125">
        <v>41919</v>
      </c>
      <c r="H839" s="117">
        <v>1585941</v>
      </c>
      <c r="I839" s="124">
        <v>41007</v>
      </c>
      <c r="J839" s="125">
        <v>41919</v>
      </c>
      <c r="K839" s="126">
        <v>100000</v>
      </c>
      <c r="L839" s="129" t="s">
        <v>572</v>
      </c>
      <c r="N839" s="129" t="str">
        <f>IF(M839&gt;1/1/1,"Y","N")</f>
        <v>N</v>
      </c>
      <c r="O839" s="128" t="s">
        <v>917</v>
      </c>
      <c r="P839" s="129" t="s">
        <v>39</v>
      </c>
      <c r="Q839" s="111">
        <f t="shared" ref="Q839:R839" si="650">BG839</f>
        <v>913</v>
      </c>
      <c r="R839" s="111">
        <f t="shared" si="650"/>
        <v>913</v>
      </c>
      <c r="S839" s="129">
        <v>0</v>
      </c>
      <c r="T839" s="129">
        <v>1</v>
      </c>
      <c r="W839" s="111"/>
      <c r="AC839" s="130"/>
      <c r="AD839" s="130">
        <v>24476</v>
      </c>
      <c r="AE839" s="128" t="s">
        <v>32</v>
      </c>
      <c r="AF839" s="128" t="s">
        <v>40</v>
      </c>
      <c r="AG839" s="128" t="s">
        <v>41</v>
      </c>
      <c r="AH839" s="108" t="s">
        <v>41</v>
      </c>
      <c r="AI839" s="128" t="s">
        <v>65</v>
      </c>
      <c r="AJ839" s="129" t="s">
        <v>89</v>
      </c>
      <c r="AK839" s="129">
        <v>26</v>
      </c>
      <c r="AL839" s="3" t="s">
        <v>362</v>
      </c>
      <c r="AM839" s="117">
        <v>40</v>
      </c>
      <c r="AP839" s="129" t="s">
        <v>179</v>
      </c>
      <c r="AR839" s="128" t="s">
        <v>92</v>
      </c>
      <c r="AS839" s="129" t="s">
        <v>180</v>
      </c>
      <c r="BC839" s="129" t="s">
        <v>38</v>
      </c>
      <c r="BF839" s="111">
        <v>913</v>
      </c>
      <c r="BG839" s="111">
        <f t="shared" si="618"/>
        <v>913</v>
      </c>
      <c r="BH839" s="111">
        <f t="shared" si="625"/>
        <v>913</v>
      </c>
      <c r="BI839" s="111">
        <f t="shared" si="626"/>
        <v>45.166666666666664</v>
      </c>
      <c r="BJ839" s="129">
        <f t="shared" si="631"/>
        <v>0</v>
      </c>
      <c r="BK839" s="129">
        <f t="shared" si="627"/>
        <v>0</v>
      </c>
      <c r="BL839" s="129" t="str">
        <f t="shared" si="612"/>
        <v>CONVICTION</v>
      </c>
      <c r="BM839" s="129" t="str">
        <f t="shared" si="632"/>
        <v>NONE</v>
      </c>
      <c r="BN839" s="129" t="s">
        <v>88</v>
      </c>
      <c r="BP839" s="137" t="str">
        <f t="shared" si="633"/>
        <v>CONVICTION</v>
      </c>
      <c r="BQ839" s="128" t="str">
        <f t="shared" si="634"/>
        <v>Y</v>
      </c>
      <c r="BR839" s="129" t="s">
        <v>574</v>
      </c>
      <c r="BS839" s="129" t="s">
        <v>1259</v>
      </c>
      <c r="BT839" s="129" t="str">
        <f t="shared" si="637"/>
        <v>N</v>
      </c>
      <c r="BU839" s="109">
        <f>IFERROR(Q839/R839,BR839)</f>
        <v>1</v>
      </c>
      <c r="BV839" s="139">
        <v>1</v>
      </c>
      <c r="BW839" s="109">
        <v>0</v>
      </c>
      <c r="BX839" s="111">
        <f t="shared" si="639"/>
        <v>0</v>
      </c>
      <c r="BY839" s="129">
        <f t="shared" si="640"/>
        <v>-913</v>
      </c>
      <c r="BZ839" s="111">
        <f t="shared" si="641"/>
        <v>0</v>
      </c>
      <c r="CA839" s="138">
        <f t="shared" si="642"/>
        <v>913</v>
      </c>
      <c r="CB839" s="111" t="e">
        <v>#VALUE!</v>
      </c>
      <c r="CC839" s="129">
        <v>913</v>
      </c>
      <c r="CE839" s="129">
        <f t="shared" si="643"/>
        <v>0</v>
      </c>
      <c r="CG839" s="129" t="str">
        <f t="shared" si="644"/>
        <v>Y</v>
      </c>
      <c r="CH839" s="129" t="e">
        <v>#N/A</v>
      </c>
      <c r="CI839" s="129" t="str">
        <f t="shared" si="645"/>
        <v>&gt;2YRS&lt;3YRS</v>
      </c>
      <c r="CJ839" s="137">
        <f t="shared" si="646"/>
        <v>8</v>
      </c>
      <c r="CK839" s="129" t="str">
        <f t="shared" si="647"/>
        <v>Booked</v>
      </c>
    </row>
    <row r="840" spans="1:89" ht="15.75" customHeight="1" x14ac:dyDescent="0.25">
      <c r="A840" s="111">
        <v>571</v>
      </c>
      <c r="B840" s="128" t="str">
        <f t="shared" si="628"/>
        <v>N</v>
      </c>
      <c r="C840" s="128" t="str">
        <f t="shared" si="629"/>
        <v>N</v>
      </c>
      <c r="D840" s="117">
        <v>1586935</v>
      </c>
      <c r="E840" s="135">
        <f t="shared" si="630"/>
        <v>6</v>
      </c>
      <c r="F840" s="124">
        <v>40931</v>
      </c>
      <c r="G840" s="125">
        <v>41115</v>
      </c>
      <c r="H840" s="117">
        <v>1586935</v>
      </c>
      <c r="I840" s="124">
        <v>40939</v>
      </c>
      <c r="J840" s="124">
        <v>41115</v>
      </c>
      <c r="K840" s="126">
        <v>60000</v>
      </c>
      <c r="L840" s="129" t="s">
        <v>572</v>
      </c>
      <c r="N840" s="129" t="str">
        <f>IF(M840&gt;1/1/1,"Y","N")</f>
        <v>N</v>
      </c>
      <c r="O840" s="128" t="s">
        <v>917</v>
      </c>
      <c r="P840" s="129" t="s">
        <v>39</v>
      </c>
      <c r="Q840" s="111">
        <f t="shared" si="649"/>
        <v>177</v>
      </c>
      <c r="R840" s="111">
        <f t="shared" si="624"/>
        <v>185</v>
      </c>
      <c r="S840" s="129">
        <v>8</v>
      </c>
      <c r="T840" s="129">
        <v>3</v>
      </c>
      <c r="U840" s="129">
        <v>8</v>
      </c>
      <c r="W840" s="111"/>
      <c r="AC840" s="130"/>
      <c r="AD840" s="130">
        <v>29207</v>
      </c>
      <c r="AE840" s="128" t="s">
        <v>32</v>
      </c>
      <c r="AF840" s="128" t="s">
        <v>33</v>
      </c>
      <c r="AG840" s="128" t="s">
        <v>872</v>
      </c>
      <c r="AH840" s="108" t="s">
        <v>58</v>
      </c>
      <c r="AI840" s="128" t="s">
        <v>90</v>
      </c>
      <c r="AJ840" s="129" t="s">
        <v>89</v>
      </c>
      <c r="AK840" s="129">
        <v>15</v>
      </c>
      <c r="AL840" s="3" t="s">
        <v>362</v>
      </c>
      <c r="AM840" s="117">
        <v>3</v>
      </c>
      <c r="AP840" s="129" t="s">
        <v>94</v>
      </c>
      <c r="AR840" s="128" t="s">
        <v>67</v>
      </c>
      <c r="AS840" s="129" t="s">
        <v>82</v>
      </c>
      <c r="BC840" s="129" t="s">
        <v>52</v>
      </c>
      <c r="BF840" s="111">
        <f t="shared" si="617"/>
        <v>177</v>
      </c>
      <c r="BG840" s="111">
        <f t="shared" si="618"/>
        <v>177</v>
      </c>
      <c r="BH840" s="111">
        <f t="shared" si="625"/>
        <v>185</v>
      </c>
      <c r="BI840" s="111">
        <f t="shared" si="626"/>
        <v>32.032786885245905</v>
      </c>
      <c r="BJ840" s="129">
        <f t="shared" si="631"/>
        <v>0</v>
      </c>
      <c r="BK840" s="129">
        <f t="shared" si="627"/>
        <v>0</v>
      </c>
      <c r="BL840" s="129" t="str">
        <f t="shared" si="612"/>
        <v>CONVICTION</v>
      </c>
      <c r="BM840" s="129" t="str">
        <f t="shared" si="632"/>
        <v>NONE</v>
      </c>
      <c r="BN840" s="129" t="s">
        <v>566</v>
      </c>
      <c r="BP840" s="137" t="str">
        <f t="shared" si="633"/>
        <v>CONVICTION</v>
      </c>
      <c r="BQ840" s="128" t="str">
        <f t="shared" si="634"/>
        <v>Y</v>
      </c>
      <c r="BR840" s="129" t="str">
        <f t="shared" si="635"/>
        <v>DETAINED</v>
      </c>
      <c r="BS840" s="129" t="str">
        <f t="shared" si="636"/>
        <v>DISPOSED</v>
      </c>
      <c r="BT840" s="129" t="str">
        <f t="shared" si="637"/>
        <v>Y</v>
      </c>
      <c r="BU840" s="109">
        <f t="shared" si="648"/>
        <v>0.95675675675675675</v>
      </c>
      <c r="BV840" s="109">
        <f t="shared" si="638"/>
        <v>1</v>
      </c>
      <c r="BW840" s="109">
        <f t="shared" ref="BW840:BW903" si="651">BV840-BU840</f>
        <v>4.3243243243243246E-2</v>
      </c>
      <c r="BX840" s="111">
        <f t="shared" si="639"/>
        <v>0</v>
      </c>
      <c r="BY840" s="129">
        <f t="shared" si="640"/>
        <v>-177</v>
      </c>
      <c r="BZ840" s="111">
        <f t="shared" si="641"/>
        <v>0</v>
      </c>
      <c r="CA840" s="138">
        <f t="shared" si="642"/>
        <v>177</v>
      </c>
      <c r="CB840" s="111" t="e">
        <f t="shared" si="619"/>
        <v>#VALUE!</v>
      </c>
      <c r="CC840" s="129">
        <f>G840-I840+1</f>
        <v>177</v>
      </c>
      <c r="CD840" s="129">
        <f>G840-J840</f>
        <v>0</v>
      </c>
      <c r="CE840" s="129">
        <f t="shared" si="643"/>
        <v>0</v>
      </c>
      <c r="CG840" s="129" t="str">
        <f t="shared" si="644"/>
        <v>Y</v>
      </c>
      <c r="CI840" s="129" t="str">
        <f t="shared" si="645"/>
        <v>121-365 DAYS</v>
      </c>
      <c r="CJ840" s="137">
        <f t="shared" si="646"/>
        <v>6</v>
      </c>
      <c r="CK840" s="129" t="str">
        <f t="shared" si="647"/>
        <v>Booked</v>
      </c>
    </row>
    <row r="841" spans="1:89" ht="15.75" customHeight="1" x14ac:dyDescent="0.25">
      <c r="A841" s="111">
        <v>556</v>
      </c>
      <c r="B841" s="128" t="str">
        <f t="shared" si="628"/>
        <v>N</v>
      </c>
      <c r="C841" s="128" t="str">
        <f t="shared" si="629"/>
        <v>N</v>
      </c>
      <c r="D841" s="117">
        <v>1587227</v>
      </c>
      <c r="E841" s="135">
        <f t="shared" si="630"/>
        <v>3</v>
      </c>
      <c r="F841" s="124">
        <v>40931</v>
      </c>
      <c r="G841" s="125">
        <v>41088</v>
      </c>
      <c r="H841" s="117">
        <v>1587227</v>
      </c>
      <c r="I841" s="124" t="s">
        <v>562</v>
      </c>
      <c r="J841" s="124" t="s">
        <v>562</v>
      </c>
      <c r="K841" s="126">
        <v>10000</v>
      </c>
      <c r="L841" s="127" t="s">
        <v>570</v>
      </c>
      <c r="M841" s="125">
        <v>40931</v>
      </c>
      <c r="N841" s="129" t="str">
        <f>IF(M841&gt;1/1/1,"Y",IF(Q841="0","","N"))</f>
        <v>Y</v>
      </c>
      <c r="O841" s="128" t="s">
        <v>585</v>
      </c>
      <c r="P841" s="129" t="s">
        <v>39</v>
      </c>
      <c r="Q841" s="111">
        <f t="shared" si="649"/>
        <v>0</v>
      </c>
      <c r="R841" s="111">
        <f t="shared" si="624"/>
        <v>158</v>
      </c>
      <c r="S841" s="129">
        <v>1</v>
      </c>
      <c r="T841" s="129">
        <v>2</v>
      </c>
      <c r="V841" s="117">
        <v>1</v>
      </c>
      <c r="W841" s="111"/>
      <c r="AC841" s="130"/>
      <c r="AD841" s="130">
        <v>27491</v>
      </c>
      <c r="AE841" s="128" t="s">
        <v>32</v>
      </c>
      <c r="AF841" s="128" t="s">
        <v>69</v>
      </c>
      <c r="AG841" s="128" t="s">
        <v>874</v>
      </c>
      <c r="AH841" s="108" t="s">
        <v>31</v>
      </c>
      <c r="AI841" s="128" t="s">
        <v>71</v>
      </c>
      <c r="AJ841" s="129" t="s">
        <v>89</v>
      </c>
      <c r="AK841" s="129">
        <v>7</v>
      </c>
      <c r="AL841" s="3" t="s">
        <v>185</v>
      </c>
      <c r="AP841" s="129" t="s">
        <v>66</v>
      </c>
      <c r="AR841" s="128" t="s">
        <v>67</v>
      </c>
      <c r="AS841" s="129" t="s">
        <v>68</v>
      </c>
      <c r="BC841" s="129" t="s">
        <v>52</v>
      </c>
      <c r="BF841" s="111">
        <v>0</v>
      </c>
      <c r="BG841" s="111">
        <v>0</v>
      </c>
      <c r="BH841" s="111">
        <f t="shared" si="625"/>
        <v>158</v>
      </c>
      <c r="BI841" s="111">
        <f t="shared" si="626"/>
        <v>36.721311475409834</v>
      </c>
      <c r="BJ841" s="129" t="e">
        <f>(G841-J841)+(M841-G841)</f>
        <v>#VALUE!</v>
      </c>
      <c r="BK841" s="129" t="e">
        <f t="shared" si="627"/>
        <v>#VALUE!</v>
      </c>
      <c r="BL841" s="129" t="str">
        <f t="shared" si="612"/>
        <v>CONVICTION</v>
      </c>
      <c r="BM841" s="129" t="s">
        <v>76</v>
      </c>
      <c r="BN841" s="129" t="s">
        <v>88</v>
      </c>
      <c r="BP841" s="137" t="str">
        <f t="shared" si="633"/>
        <v>CONVICTION</v>
      </c>
      <c r="BQ841" s="128">
        <f t="shared" si="634"/>
        <v>0</v>
      </c>
      <c r="BR841" s="129" t="s">
        <v>575</v>
      </c>
      <c r="BS841" s="129" t="str">
        <f t="shared" si="636"/>
        <v>DISPOSED</v>
      </c>
      <c r="BT841" s="129" t="str">
        <f t="shared" si="637"/>
        <v>Y</v>
      </c>
      <c r="BU841" s="109">
        <f t="shared" si="648"/>
        <v>0</v>
      </c>
      <c r="BV841" s="109">
        <v>0</v>
      </c>
      <c r="BW841" s="109">
        <f t="shared" si="651"/>
        <v>0</v>
      </c>
      <c r="BX841" s="111">
        <f t="shared" si="639"/>
        <v>0</v>
      </c>
      <c r="BY841" s="129" t="e">
        <f t="shared" si="640"/>
        <v>#VALUE!</v>
      </c>
      <c r="BZ841" s="111" t="e">
        <f t="shared" si="641"/>
        <v>#VALUE!</v>
      </c>
      <c r="CA841" s="138" t="e">
        <f t="shared" si="642"/>
        <v>#VALUE!</v>
      </c>
      <c r="CB841" s="111">
        <v>0</v>
      </c>
      <c r="CC841" s="129">
        <v>0</v>
      </c>
      <c r="CD841" s="111">
        <f>CC841-BF841</f>
        <v>0</v>
      </c>
      <c r="CE841" s="129" t="e">
        <f t="shared" si="643"/>
        <v>#VALUE!</v>
      </c>
      <c r="CG841" s="129" t="str">
        <f t="shared" si="644"/>
        <v>Y</v>
      </c>
      <c r="CI841" s="129" t="str">
        <f t="shared" si="645"/>
        <v>0-10 DAYS</v>
      </c>
      <c r="CJ841" s="137">
        <f t="shared" si="646"/>
        <v>1</v>
      </c>
      <c r="CK841" s="129" t="str">
        <f t="shared" si="647"/>
        <v>Not Booked</v>
      </c>
    </row>
    <row r="842" spans="1:89" ht="15" customHeight="1" x14ac:dyDescent="0.25">
      <c r="A842" s="111">
        <v>2580</v>
      </c>
      <c r="B842" s="128" t="str">
        <f t="shared" si="628"/>
        <v>N</v>
      </c>
      <c r="C842" s="128" t="str">
        <f t="shared" si="629"/>
        <v>N</v>
      </c>
      <c r="D842" s="117">
        <v>1587641</v>
      </c>
      <c r="E842" s="135">
        <f t="shared" si="630"/>
        <v>6</v>
      </c>
      <c r="F842" s="124">
        <v>41005</v>
      </c>
      <c r="G842" s="125">
        <v>41011</v>
      </c>
      <c r="H842" s="117">
        <v>1587641</v>
      </c>
      <c r="I842" s="124">
        <v>41005</v>
      </c>
      <c r="J842" s="124">
        <v>41011</v>
      </c>
      <c r="K842" s="126">
        <v>15000</v>
      </c>
      <c r="L842" s="127" t="s">
        <v>571</v>
      </c>
      <c r="N842" s="129" t="str">
        <f>IF(M842&gt;1/1/1,"Y","N")</f>
        <v>N</v>
      </c>
      <c r="O842" s="128" t="s">
        <v>917</v>
      </c>
      <c r="P842" s="129" t="s">
        <v>39</v>
      </c>
      <c r="Q842" s="111">
        <f t="shared" si="649"/>
        <v>7</v>
      </c>
      <c r="R842" s="111">
        <f t="shared" si="624"/>
        <v>7</v>
      </c>
      <c r="S842" s="129">
        <v>9</v>
      </c>
      <c r="T842" s="129">
        <v>1</v>
      </c>
      <c r="U842" s="129">
        <v>5</v>
      </c>
      <c r="W842" s="111"/>
      <c r="AC842" s="130"/>
      <c r="AD842" s="130">
        <v>29101</v>
      </c>
      <c r="AE842" s="128" t="s">
        <v>32</v>
      </c>
      <c r="AF842" s="128" t="s">
        <v>33</v>
      </c>
      <c r="AG842" s="128" t="s">
        <v>872</v>
      </c>
      <c r="AH842" s="108" t="s">
        <v>31</v>
      </c>
      <c r="AI842" s="128" t="s">
        <v>70</v>
      </c>
      <c r="AJ842" s="129" t="s">
        <v>89</v>
      </c>
      <c r="AK842" s="129">
        <v>2</v>
      </c>
      <c r="AL842" s="3" t="s">
        <v>362</v>
      </c>
      <c r="AM842" s="117">
        <v>10</v>
      </c>
      <c r="AP842" s="129" t="s">
        <v>81</v>
      </c>
      <c r="AR842" s="128" t="s">
        <v>50</v>
      </c>
      <c r="AS842" s="129" t="s">
        <v>82</v>
      </c>
      <c r="BC842" s="129" t="s">
        <v>38</v>
      </c>
      <c r="BF842" s="111">
        <f>IF(J842&gt;1/1/1900,((J842+1)-I842),"STILL OPEN")</f>
        <v>7</v>
      </c>
      <c r="BG842" s="111">
        <f>IF(G842&gt;1/1/1900,((G842+1)-I842),"STILL OPEN")</f>
        <v>7</v>
      </c>
      <c r="BH842" s="111">
        <f t="shared" si="625"/>
        <v>7</v>
      </c>
      <c r="BI842" s="111">
        <f t="shared" si="626"/>
        <v>32.524590163934427</v>
      </c>
      <c r="BJ842" s="129">
        <f t="shared" si="631"/>
        <v>0</v>
      </c>
      <c r="BK842" s="129">
        <f t="shared" si="627"/>
        <v>0</v>
      </c>
      <c r="BL842" s="129" t="str">
        <f t="shared" si="612"/>
        <v>CONVICTION</v>
      </c>
      <c r="BM842" s="129" t="str">
        <f t="shared" si="632"/>
        <v>NONE</v>
      </c>
      <c r="BN842" s="129" t="s">
        <v>566</v>
      </c>
      <c r="BP842" s="137" t="str">
        <f t="shared" si="633"/>
        <v>CONVICTION</v>
      </c>
      <c r="BQ842" s="128" t="str">
        <f t="shared" si="634"/>
        <v>Y</v>
      </c>
      <c r="BR842" s="129" t="str">
        <f t="shared" si="635"/>
        <v>DETAINED</v>
      </c>
      <c r="BS842" s="129" t="str">
        <f t="shared" si="636"/>
        <v>DISPOSED</v>
      </c>
      <c r="BT842" s="129" t="str">
        <f t="shared" si="637"/>
        <v>Y</v>
      </c>
      <c r="BU842" s="109">
        <f t="shared" si="648"/>
        <v>1</v>
      </c>
      <c r="BV842" s="109">
        <f t="shared" si="638"/>
        <v>1</v>
      </c>
      <c r="BW842" s="109">
        <f t="shared" si="651"/>
        <v>0</v>
      </c>
      <c r="BX842" s="111">
        <f t="shared" si="639"/>
        <v>0</v>
      </c>
      <c r="BY842" s="129">
        <f t="shared" si="640"/>
        <v>-7</v>
      </c>
      <c r="BZ842" s="111">
        <f t="shared" si="641"/>
        <v>0</v>
      </c>
      <c r="CA842" s="138">
        <f t="shared" si="642"/>
        <v>7</v>
      </c>
      <c r="CB842" s="111" t="e">
        <f>IF(AF842&gt;1/1/1900,((AF842+1)-AE842),"STILL OPEN")</f>
        <v>#VALUE!</v>
      </c>
      <c r="CC842" s="129">
        <f>G842-I842+1</f>
        <v>7</v>
      </c>
      <c r="CD842" s="129">
        <f>G842-J842</f>
        <v>0</v>
      </c>
      <c r="CE842" s="129">
        <f t="shared" si="643"/>
        <v>0</v>
      </c>
      <c r="CG842" s="129" t="str">
        <f t="shared" si="644"/>
        <v>Y</v>
      </c>
      <c r="CI842" s="129" t="str">
        <f t="shared" si="645"/>
        <v>0-10 DAYS</v>
      </c>
      <c r="CJ842" s="137">
        <f t="shared" si="646"/>
        <v>1</v>
      </c>
      <c r="CK842" s="129" t="str">
        <f t="shared" si="647"/>
        <v>Booked</v>
      </c>
    </row>
    <row r="843" spans="1:89" ht="15" customHeight="1" x14ac:dyDescent="0.25">
      <c r="A843" s="111">
        <v>208</v>
      </c>
      <c r="B843" s="128" t="str">
        <f t="shared" si="628"/>
        <v>N</v>
      </c>
      <c r="C843" s="128" t="str">
        <f t="shared" si="629"/>
        <v>N</v>
      </c>
      <c r="D843" s="117">
        <v>1587872</v>
      </c>
      <c r="E843" s="135">
        <f t="shared" si="630"/>
        <v>6</v>
      </c>
      <c r="F843" s="124">
        <v>40918</v>
      </c>
      <c r="G843" s="125">
        <v>40919</v>
      </c>
      <c r="H843" s="117">
        <v>1587872</v>
      </c>
      <c r="I843" s="124">
        <v>40918</v>
      </c>
      <c r="J843" s="124">
        <v>40919</v>
      </c>
      <c r="K843" s="126">
        <v>10000</v>
      </c>
      <c r="L843" s="127" t="s">
        <v>570</v>
      </c>
      <c r="N843" s="129" t="str">
        <f>IF(M843&gt;1/1/1,"Y","N")</f>
        <v>N</v>
      </c>
      <c r="O843" s="128" t="s">
        <v>917</v>
      </c>
      <c r="P843" s="129" t="s">
        <v>39</v>
      </c>
      <c r="Q843" s="111">
        <f t="shared" si="649"/>
        <v>2</v>
      </c>
      <c r="R843" s="111">
        <f t="shared" si="624"/>
        <v>2</v>
      </c>
      <c r="S843" s="129">
        <v>4</v>
      </c>
      <c r="T843" s="129">
        <v>4</v>
      </c>
      <c r="U843" s="129">
        <v>4</v>
      </c>
      <c r="W843" s="111"/>
      <c r="AC843" s="130"/>
      <c r="AD843" s="130">
        <v>29108</v>
      </c>
      <c r="AE843" s="128" t="s">
        <v>32</v>
      </c>
      <c r="AF843" s="128" t="s">
        <v>69</v>
      </c>
      <c r="AG843" s="128" t="s">
        <v>874</v>
      </c>
      <c r="AH843" s="108" t="s">
        <v>58</v>
      </c>
      <c r="AI843" s="128" t="s">
        <v>118</v>
      </c>
      <c r="AJ843" s="129" t="s">
        <v>89</v>
      </c>
      <c r="AK843" s="129">
        <v>1</v>
      </c>
      <c r="AL843" s="3" t="s">
        <v>362</v>
      </c>
      <c r="AM843" s="117">
        <v>2</v>
      </c>
      <c r="AP843" s="129" t="s">
        <v>43</v>
      </c>
      <c r="AR843" s="128" t="s">
        <v>44</v>
      </c>
      <c r="AS843" s="129" t="s">
        <v>45</v>
      </c>
      <c r="BC843" s="129" t="s">
        <v>38</v>
      </c>
      <c r="BF843" s="111">
        <f>IF(J843&gt;1/1/1900,((J843+1)-I843),"STILL OPEN")</f>
        <v>2</v>
      </c>
      <c r="BG843" s="111">
        <f>IF(G843&gt;1/1/1900,((G843+1)-I843),"STILL OPEN")</f>
        <v>2</v>
      </c>
      <c r="BH843" s="111">
        <f t="shared" si="625"/>
        <v>2</v>
      </c>
      <c r="BI843" s="111">
        <f t="shared" si="626"/>
        <v>32.267759562841533</v>
      </c>
      <c r="BJ843" s="129">
        <f t="shared" si="631"/>
        <v>0</v>
      </c>
      <c r="BK843" s="129">
        <f t="shared" si="627"/>
        <v>0</v>
      </c>
      <c r="BL843" s="129" t="str">
        <f t="shared" si="612"/>
        <v>CONVICTION</v>
      </c>
      <c r="BM843" s="129" t="str">
        <f t="shared" si="632"/>
        <v>NONE</v>
      </c>
      <c r="BN843" s="129" t="s">
        <v>566</v>
      </c>
      <c r="BP843" s="137" t="str">
        <f t="shared" si="633"/>
        <v>CONVICTION</v>
      </c>
      <c r="BQ843" s="128" t="str">
        <f t="shared" si="634"/>
        <v>Y</v>
      </c>
      <c r="BR843" s="129" t="str">
        <f t="shared" si="635"/>
        <v>DETAINED</v>
      </c>
      <c r="BS843" s="129" t="str">
        <f t="shared" si="636"/>
        <v>DISPOSED</v>
      </c>
      <c r="BT843" s="129" t="str">
        <f t="shared" si="637"/>
        <v>Y</v>
      </c>
      <c r="BU843" s="109">
        <f t="shared" si="648"/>
        <v>1</v>
      </c>
      <c r="BV843" s="109">
        <f t="shared" si="638"/>
        <v>1</v>
      </c>
      <c r="BW843" s="109">
        <f t="shared" si="651"/>
        <v>0</v>
      </c>
      <c r="BX843" s="111">
        <f t="shared" si="639"/>
        <v>0</v>
      </c>
      <c r="BY843" s="129">
        <f t="shared" si="640"/>
        <v>-2</v>
      </c>
      <c r="BZ843" s="111">
        <f t="shared" si="641"/>
        <v>0</v>
      </c>
      <c r="CA843" s="138">
        <f t="shared" si="642"/>
        <v>2</v>
      </c>
      <c r="CB843" s="111" t="e">
        <f>IF(AF843&gt;1/1/1900,((AF843+1)-AE843),"STILL OPEN")</f>
        <v>#VALUE!</v>
      </c>
      <c r="CC843" s="129">
        <f>G843-I843+1</f>
        <v>2</v>
      </c>
      <c r="CD843" s="129">
        <f>G843-J843</f>
        <v>0</v>
      </c>
      <c r="CE843" s="129">
        <f t="shared" si="643"/>
        <v>0</v>
      </c>
      <c r="CG843" s="129" t="str">
        <f t="shared" si="644"/>
        <v>Y</v>
      </c>
      <c r="CI843" s="129" t="str">
        <f t="shared" si="645"/>
        <v>0-10 DAYS</v>
      </c>
      <c r="CJ843" s="137">
        <f t="shared" si="646"/>
        <v>1</v>
      </c>
      <c r="CK843" s="129" t="str">
        <f t="shared" si="647"/>
        <v>Booked</v>
      </c>
    </row>
    <row r="844" spans="1:89" ht="15" customHeight="1" x14ac:dyDescent="0.25">
      <c r="A844" s="111">
        <v>3150</v>
      </c>
      <c r="B844" s="128" t="str">
        <f t="shared" si="628"/>
        <v>N</v>
      </c>
      <c r="C844" s="128" t="str">
        <f t="shared" si="629"/>
        <v>N</v>
      </c>
      <c r="D844" s="117">
        <v>1588461</v>
      </c>
      <c r="E844" s="135">
        <f t="shared" si="630"/>
        <v>4</v>
      </c>
      <c r="F844" s="124">
        <v>41025</v>
      </c>
      <c r="G844" s="125">
        <v>41092</v>
      </c>
      <c r="H844" s="117">
        <v>1588461</v>
      </c>
      <c r="I844" s="124">
        <v>41026</v>
      </c>
      <c r="J844" s="124">
        <v>41092</v>
      </c>
      <c r="K844" s="126" t="s">
        <v>564</v>
      </c>
      <c r="L844" s="127" t="s">
        <v>564</v>
      </c>
      <c r="N844" s="129" t="s">
        <v>566</v>
      </c>
      <c r="O844" s="128" t="s">
        <v>917</v>
      </c>
      <c r="P844" s="129" t="s">
        <v>39</v>
      </c>
      <c r="Q844" s="111">
        <f t="shared" si="649"/>
        <v>67</v>
      </c>
      <c r="R844" s="111">
        <f t="shared" si="624"/>
        <v>68</v>
      </c>
      <c r="S844" s="129">
        <v>0</v>
      </c>
      <c r="T844" s="129">
        <v>3</v>
      </c>
      <c r="W844" s="111"/>
      <c r="AB844" s="131" t="s">
        <v>112</v>
      </c>
      <c r="AC844" s="130"/>
      <c r="AD844" s="130">
        <v>27042</v>
      </c>
      <c r="AE844" s="128" t="s">
        <v>32</v>
      </c>
      <c r="AF844" s="128" t="s">
        <v>40</v>
      </c>
      <c r="AG844" s="128" t="s">
        <v>41</v>
      </c>
      <c r="AH844" s="108" t="s">
        <v>31</v>
      </c>
      <c r="AI844" s="128" t="s">
        <v>65</v>
      </c>
      <c r="AJ844" s="129" t="s">
        <v>89</v>
      </c>
      <c r="AK844" s="129">
        <v>6</v>
      </c>
      <c r="AL844" s="3" t="s">
        <v>991</v>
      </c>
      <c r="AO844" s="128">
        <v>180</v>
      </c>
      <c r="AP844" s="129" t="s">
        <v>110</v>
      </c>
      <c r="AR844" s="128" t="s">
        <v>50</v>
      </c>
      <c r="AS844" s="129" t="s">
        <v>74</v>
      </c>
      <c r="BC844" s="129" t="s">
        <v>52</v>
      </c>
      <c r="BF844" s="111">
        <f>IF(J844&gt;1/1/1900,((J844+1)-I844),"STILL OPEN")</f>
        <v>67</v>
      </c>
      <c r="BG844" s="111">
        <f>IF(G844&gt;1/1/1900,((G844+1)-I844),"STILL OPEN")</f>
        <v>67</v>
      </c>
      <c r="BH844" s="111">
        <f t="shared" si="625"/>
        <v>68</v>
      </c>
      <c r="BI844" s="111">
        <f t="shared" si="626"/>
        <v>38.204918032786885</v>
      </c>
      <c r="BJ844" s="129">
        <f t="shared" si="631"/>
        <v>0</v>
      </c>
      <c r="BK844" s="129">
        <f t="shared" si="627"/>
        <v>0</v>
      </c>
      <c r="BL844" s="129" t="str">
        <f t="shared" si="612"/>
        <v>CONVICTION</v>
      </c>
      <c r="BM844" s="129" t="str">
        <f t="shared" si="632"/>
        <v>NONE</v>
      </c>
      <c r="BN844" s="129" t="s">
        <v>566</v>
      </c>
      <c r="BP844" s="137" t="str">
        <f t="shared" si="633"/>
        <v>CONVICTION</v>
      </c>
      <c r="BQ844" s="128" t="str">
        <f t="shared" si="634"/>
        <v>Y</v>
      </c>
      <c r="BR844" s="129" t="str">
        <f t="shared" si="635"/>
        <v>DETAINED</v>
      </c>
      <c r="BS844" s="129" t="str">
        <f t="shared" si="636"/>
        <v>DISPOSED</v>
      </c>
      <c r="BT844" s="129" t="str">
        <f t="shared" si="637"/>
        <v>N</v>
      </c>
      <c r="BU844" s="109">
        <f t="shared" si="648"/>
        <v>0.98529411764705888</v>
      </c>
      <c r="BV844" s="109">
        <f t="shared" si="638"/>
        <v>1</v>
      </c>
      <c r="BW844" s="109">
        <f t="shared" si="651"/>
        <v>1.4705882352941124E-2</v>
      </c>
      <c r="BX844" s="111">
        <f t="shared" si="639"/>
        <v>0</v>
      </c>
      <c r="BY844" s="129">
        <f t="shared" si="640"/>
        <v>-67</v>
      </c>
      <c r="BZ844" s="111">
        <f t="shared" si="641"/>
        <v>0</v>
      </c>
      <c r="CA844" s="138">
        <f t="shared" si="642"/>
        <v>67</v>
      </c>
      <c r="CB844" s="111" t="e">
        <f>IF(AF844&gt;1/1/1900,((AF844+1)-AE844),"STILL OPEN")</f>
        <v>#VALUE!</v>
      </c>
      <c r="CC844" s="129">
        <f>G844-I844+1</f>
        <v>67</v>
      </c>
      <c r="CD844" s="129">
        <f>G844-J844</f>
        <v>0</v>
      </c>
      <c r="CE844" s="129">
        <f t="shared" si="643"/>
        <v>0</v>
      </c>
      <c r="CG844" s="129" t="str">
        <f t="shared" si="644"/>
        <v>Y</v>
      </c>
      <c r="CI844" s="129" t="str">
        <f t="shared" si="645"/>
        <v>61-90 DAYS</v>
      </c>
      <c r="CJ844" s="137">
        <f t="shared" si="646"/>
        <v>4</v>
      </c>
      <c r="CK844" s="129" t="str">
        <f t="shared" si="647"/>
        <v>Booked</v>
      </c>
    </row>
    <row r="845" spans="1:89" ht="15" customHeight="1" x14ac:dyDescent="0.25">
      <c r="A845" s="111">
        <v>1569</v>
      </c>
      <c r="B845" s="128" t="str">
        <f t="shared" si="628"/>
        <v>N</v>
      </c>
      <c r="C845" s="128" t="str">
        <f t="shared" si="629"/>
        <v>N</v>
      </c>
      <c r="D845" s="117">
        <v>1589281</v>
      </c>
      <c r="E845" s="135">
        <f t="shared" si="630"/>
        <v>6</v>
      </c>
      <c r="F845" s="124">
        <v>40967</v>
      </c>
      <c r="G845" s="125">
        <v>41178</v>
      </c>
      <c r="H845" s="117">
        <v>1589281</v>
      </c>
      <c r="I845" s="124">
        <v>40967</v>
      </c>
      <c r="J845" s="124">
        <v>41178</v>
      </c>
      <c r="K845" s="126" t="s">
        <v>564</v>
      </c>
      <c r="L845" s="127" t="s">
        <v>564</v>
      </c>
      <c r="N845" s="129" t="s">
        <v>566</v>
      </c>
      <c r="O845" s="128" t="s">
        <v>917</v>
      </c>
      <c r="P845" s="129" t="s">
        <v>39</v>
      </c>
      <c r="Q845" s="111">
        <f t="shared" si="649"/>
        <v>212</v>
      </c>
      <c r="R845" s="111">
        <f t="shared" si="624"/>
        <v>212</v>
      </c>
      <c r="S845" s="129">
        <v>5</v>
      </c>
      <c r="T845" s="129">
        <v>4</v>
      </c>
      <c r="U845" s="129">
        <v>4</v>
      </c>
      <c r="W845" s="111"/>
      <c r="Z845" s="148"/>
      <c r="AC845" s="130"/>
      <c r="AD845" s="130">
        <v>28429</v>
      </c>
      <c r="AE845" s="128" t="s">
        <v>32</v>
      </c>
      <c r="AF845" s="128" t="s">
        <v>33</v>
      </c>
      <c r="AG845" s="128" t="s">
        <v>872</v>
      </c>
      <c r="AH845" s="108" t="s">
        <v>31</v>
      </c>
      <c r="AI845" s="128" t="s">
        <v>47</v>
      </c>
      <c r="AJ845" s="129" t="s">
        <v>89</v>
      </c>
      <c r="AK845" s="129">
        <v>8</v>
      </c>
      <c r="AL845" s="3" t="s">
        <v>362</v>
      </c>
      <c r="AM845" s="117">
        <v>10</v>
      </c>
      <c r="AP845" s="129" t="s">
        <v>93</v>
      </c>
      <c r="AR845" s="128" t="s">
        <v>67</v>
      </c>
      <c r="AS845" s="129" t="s">
        <v>45</v>
      </c>
      <c r="BC845" s="129" t="s">
        <v>38</v>
      </c>
      <c r="BF845" s="111">
        <f>IF(J845&gt;1/1/1900,((J845+1)-I845),"STILL OPEN")</f>
        <v>212</v>
      </c>
      <c r="BG845" s="111">
        <f>IF(G845&gt;1/1/1900,((G845+1)-I845),"STILL OPEN")</f>
        <v>212</v>
      </c>
      <c r="BH845" s="111">
        <f t="shared" si="625"/>
        <v>212</v>
      </c>
      <c r="BI845" s="111">
        <f t="shared" si="626"/>
        <v>34.256830601092894</v>
      </c>
      <c r="BJ845" s="129">
        <f t="shared" si="631"/>
        <v>0</v>
      </c>
      <c r="BK845" s="129">
        <f t="shared" si="627"/>
        <v>0</v>
      </c>
      <c r="BL845" s="129" t="str">
        <f t="shared" si="612"/>
        <v>CONVICTION</v>
      </c>
      <c r="BM845" s="129" t="str">
        <f t="shared" si="632"/>
        <v>NONE</v>
      </c>
      <c r="BN845" s="129" t="s">
        <v>566</v>
      </c>
      <c r="BP845" s="137" t="str">
        <f t="shared" si="633"/>
        <v>CONVICTION</v>
      </c>
      <c r="BQ845" s="128" t="str">
        <f t="shared" si="634"/>
        <v>Y</v>
      </c>
      <c r="BR845" s="129" t="str">
        <f t="shared" si="635"/>
        <v>DETAINED</v>
      </c>
      <c r="BS845" s="129" t="str">
        <f t="shared" si="636"/>
        <v>DISPOSED</v>
      </c>
      <c r="BT845" s="129" t="str">
        <f t="shared" si="637"/>
        <v>Y</v>
      </c>
      <c r="BU845" s="109">
        <f t="shared" si="648"/>
        <v>1</v>
      </c>
      <c r="BV845" s="109">
        <f t="shared" si="638"/>
        <v>1</v>
      </c>
      <c r="BW845" s="109">
        <f t="shared" si="651"/>
        <v>0</v>
      </c>
      <c r="BX845" s="111">
        <f t="shared" si="639"/>
        <v>0</v>
      </c>
      <c r="BY845" s="129">
        <f t="shared" si="640"/>
        <v>-212</v>
      </c>
      <c r="BZ845" s="111">
        <f t="shared" si="641"/>
        <v>0</v>
      </c>
      <c r="CA845" s="138">
        <f t="shared" si="642"/>
        <v>212</v>
      </c>
      <c r="CB845" s="111" t="e">
        <f>IF(AF845&gt;1/1/1900,((AF845+1)-AE845),"STILL OPEN")</f>
        <v>#VALUE!</v>
      </c>
      <c r="CC845" s="129">
        <f>G845-I845+1</f>
        <v>212</v>
      </c>
      <c r="CD845" s="129">
        <f>G845-J845</f>
        <v>0</v>
      </c>
      <c r="CE845" s="129">
        <f t="shared" si="643"/>
        <v>0</v>
      </c>
      <c r="CG845" s="129" t="str">
        <f t="shared" si="644"/>
        <v>Y</v>
      </c>
      <c r="CI845" s="129" t="str">
        <f t="shared" si="645"/>
        <v>121-365 DAYS</v>
      </c>
      <c r="CJ845" s="137">
        <f t="shared" si="646"/>
        <v>6</v>
      </c>
      <c r="CK845" s="129" t="str">
        <f t="shared" si="647"/>
        <v>Booked</v>
      </c>
    </row>
    <row r="846" spans="1:89" ht="15.75" customHeight="1" x14ac:dyDescent="0.25">
      <c r="A846" s="111">
        <v>368</v>
      </c>
      <c r="B846" s="128" t="str">
        <f t="shared" si="628"/>
        <v>N</v>
      </c>
      <c r="C846" s="128" t="str">
        <f t="shared" si="629"/>
        <v>N</v>
      </c>
      <c r="D846" s="117">
        <v>1590542</v>
      </c>
      <c r="E846" s="135">
        <f t="shared" si="630"/>
        <v>6</v>
      </c>
      <c r="F846" s="124">
        <v>40924</v>
      </c>
      <c r="G846" s="125">
        <v>40973</v>
      </c>
      <c r="H846" s="117">
        <v>1590542</v>
      </c>
      <c r="I846" s="124">
        <v>40924</v>
      </c>
      <c r="J846" s="124">
        <v>40973</v>
      </c>
      <c r="K846" s="126" t="s">
        <v>564</v>
      </c>
      <c r="L846" s="127" t="s">
        <v>564</v>
      </c>
      <c r="N846" s="129" t="s">
        <v>566</v>
      </c>
      <c r="O846" s="128" t="s">
        <v>917</v>
      </c>
      <c r="P846" s="129" t="s">
        <v>39</v>
      </c>
      <c r="Q846" s="111">
        <f t="shared" si="649"/>
        <v>50</v>
      </c>
      <c r="R846" s="111">
        <f t="shared" si="624"/>
        <v>50</v>
      </c>
      <c r="S846" s="129">
        <v>1</v>
      </c>
      <c r="T846" s="129">
        <v>4</v>
      </c>
      <c r="U846" s="129">
        <v>1</v>
      </c>
      <c r="V846" s="117">
        <v>1</v>
      </c>
      <c r="W846" s="111"/>
      <c r="AC846" s="130"/>
      <c r="AD846" s="130">
        <v>16654</v>
      </c>
      <c r="AE846" s="128" t="s">
        <v>32</v>
      </c>
      <c r="AF846" s="128" t="s">
        <v>33</v>
      </c>
      <c r="AG846" s="128" t="s">
        <v>872</v>
      </c>
      <c r="AH846" s="108" t="s">
        <v>58</v>
      </c>
      <c r="AI846" s="128" t="s">
        <v>141</v>
      </c>
      <c r="AJ846" s="129" t="s">
        <v>89</v>
      </c>
      <c r="AK846" s="129">
        <v>3</v>
      </c>
      <c r="AL846" s="3" t="s">
        <v>362</v>
      </c>
      <c r="AM846" s="117">
        <v>4</v>
      </c>
      <c r="AP846" s="129" t="s">
        <v>66</v>
      </c>
      <c r="AR846" s="128" t="s">
        <v>67</v>
      </c>
      <c r="AS846" s="129" t="s">
        <v>68</v>
      </c>
      <c r="AU846" s="149"/>
      <c r="AV846" s="149"/>
      <c r="AX846" s="32"/>
      <c r="BC846" s="129" t="s">
        <v>38</v>
      </c>
      <c r="BF846" s="111">
        <f>IF(J846&gt;1/1/1900,((J846+1)-I846),"STILL OPEN")</f>
        <v>50</v>
      </c>
      <c r="BG846" s="111">
        <f>IF(G846&gt;1/1/1900,((G846+1)-I846),"STILL OPEN")</f>
        <v>50</v>
      </c>
      <c r="BH846" s="111">
        <f t="shared" si="625"/>
        <v>50</v>
      </c>
      <c r="BI846" s="111">
        <f t="shared" si="626"/>
        <v>66.311475409836063</v>
      </c>
      <c r="BJ846" s="129">
        <f t="shared" si="631"/>
        <v>0</v>
      </c>
      <c r="BK846" s="129">
        <f t="shared" si="627"/>
        <v>0</v>
      </c>
      <c r="BL846" s="129" t="str">
        <f t="shared" si="612"/>
        <v>CONVICTION</v>
      </c>
      <c r="BM846" s="129" t="str">
        <f t="shared" si="632"/>
        <v>NONE</v>
      </c>
      <c r="BN846" s="129" t="s">
        <v>566</v>
      </c>
      <c r="BP846" s="137" t="str">
        <f t="shared" si="633"/>
        <v>CONVICTION</v>
      </c>
      <c r="BQ846" s="128" t="str">
        <f t="shared" si="634"/>
        <v>Y</v>
      </c>
      <c r="BR846" s="129" t="str">
        <f t="shared" si="635"/>
        <v>DETAINED</v>
      </c>
      <c r="BS846" s="129" t="str">
        <f t="shared" si="636"/>
        <v>DISPOSED</v>
      </c>
      <c r="BT846" s="129" t="str">
        <f t="shared" si="637"/>
        <v>Y</v>
      </c>
      <c r="BU846" s="109">
        <f t="shared" si="648"/>
        <v>1</v>
      </c>
      <c r="BV846" s="109">
        <f t="shared" si="638"/>
        <v>1</v>
      </c>
      <c r="BW846" s="109">
        <f t="shared" si="651"/>
        <v>0</v>
      </c>
      <c r="BX846" s="111">
        <f t="shared" si="639"/>
        <v>0</v>
      </c>
      <c r="BY846" s="129">
        <f t="shared" si="640"/>
        <v>-50</v>
      </c>
      <c r="BZ846" s="111">
        <f t="shared" si="641"/>
        <v>0</v>
      </c>
      <c r="CA846" s="138">
        <f t="shared" si="642"/>
        <v>50</v>
      </c>
      <c r="CB846" s="111" t="e">
        <f>IF(AF846&gt;1/1/1900,((AF846+1)-AE846),"STILL OPEN")</f>
        <v>#VALUE!</v>
      </c>
      <c r="CC846" s="129">
        <f>G846-I846+1</f>
        <v>50</v>
      </c>
      <c r="CD846" s="129">
        <f>G846-J846</f>
        <v>0</v>
      </c>
      <c r="CE846" s="129">
        <f t="shared" si="643"/>
        <v>0</v>
      </c>
      <c r="CG846" s="129" t="str">
        <f t="shared" si="644"/>
        <v>Y</v>
      </c>
      <c r="CI846" s="129" t="str">
        <f t="shared" si="645"/>
        <v>31-60 DAYS</v>
      </c>
      <c r="CJ846" s="137">
        <f t="shared" si="646"/>
        <v>3</v>
      </c>
      <c r="CK846" s="129" t="str">
        <f t="shared" si="647"/>
        <v>Booked</v>
      </c>
    </row>
    <row r="847" spans="1:89" ht="15" customHeight="1" x14ac:dyDescent="0.25">
      <c r="A847" s="111">
        <v>262</v>
      </c>
      <c r="B847" s="128" t="str">
        <f t="shared" si="628"/>
        <v>N</v>
      </c>
      <c r="C847" s="128" t="str">
        <f t="shared" si="629"/>
        <v>N</v>
      </c>
      <c r="D847" s="117">
        <v>1590658</v>
      </c>
      <c r="E847" s="135">
        <f t="shared" si="630"/>
        <v>4</v>
      </c>
      <c r="F847" s="124">
        <v>40919</v>
      </c>
      <c r="G847" s="125">
        <v>41060</v>
      </c>
      <c r="H847" s="117">
        <v>1590658</v>
      </c>
      <c r="I847" s="124" t="s">
        <v>562</v>
      </c>
      <c r="J847" s="124" t="s">
        <v>562</v>
      </c>
      <c r="K847" s="126">
        <v>10000</v>
      </c>
      <c r="L847" s="127" t="s">
        <v>570</v>
      </c>
      <c r="M847" s="125">
        <v>40921</v>
      </c>
      <c r="N847" s="129" t="str">
        <f>IF(M847&gt;1/1/1,"Y",IF(Q847="0","","N"))</f>
        <v>Y</v>
      </c>
      <c r="O847" s="128" t="s">
        <v>76</v>
      </c>
      <c r="P847" s="129" t="s">
        <v>39</v>
      </c>
      <c r="Q847" s="111">
        <f t="shared" si="649"/>
        <v>0</v>
      </c>
      <c r="R847" s="111">
        <f t="shared" si="624"/>
        <v>142</v>
      </c>
      <c r="S847" s="129">
        <v>1</v>
      </c>
      <c r="T847" s="129">
        <v>3</v>
      </c>
      <c r="V847" s="117">
        <v>1</v>
      </c>
      <c r="W847" s="111"/>
      <c r="AC847" s="130"/>
      <c r="AD847" s="130">
        <v>29078</v>
      </c>
      <c r="AE847" s="128" t="s">
        <v>32</v>
      </c>
      <c r="AF847" s="128" t="s">
        <v>33</v>
      </c>
      <c r="AG847" s="128" t="s">
        <v>872</v>
      </c>
      <c r="AH847" s="108" t="s">
        <v>31</v>
      </c>
      <c r="AI847" s="128" t="s">
        <v>70</v>
      </c>
      <c r="AJ847" s="129" t="s">
        <v>89</v>
      </c>
      <c r="AK847" s="129">
        <v>7</v>
      </c>
      <c r="AL847" s="3" t="s">
        <v>991</v>
      </c>
      <c r="AO847" s="128">
        <v>365</v>
      </c>
      <c r="AP847" s="129" t="s">
        <v>43</v>
      </c>
      <c r="AR847" s="128" t="s">
        <v>44</v>
      </c>
      <c r="AS847" s="129" t="s">
        <v>45</v>
      </c>
      <c r="BC847" s="129" t="s">
        <v>52</v>
      </c>
      <c r="BF847" s="111">
        <v>0</v>
      </c>
      <c r="BG847" s="111">
        <v>0</v>
      </c>
      <c r="BH847" s="111">
        <f t="shared" si="625"/>
        <v>142</v>
      </c>
      <c r="BI847" s="111">
        <f t="shared" si="626"/>
        <v>32.352459016393439</v>
      </c>
      <c r="BJ847" s="129" t="e">
        <f>(G847-J847)+(M847-G847)</f>
        <v>#VALUE!</v>
      </c>
      <c r="BK847" s="129" t="e">
        <f t="shared" si="627"/>
        <v>#VALUE!</v>
      </c>
      <c r="BL847" s="129" t="str">
        <f t="shared" si="612"/>
        <v>CONVICTION</v>
      </c>
      <c r="BM847" s="129" t="s">
        <v>76</v>
      </c>
      <c r="BN847" s="129" t="s">
        <v>88</v>
      </c>
      <c r="BP847" s="137" t="str">
        <f t="shared" si="633"/>
        <v>CONVICTION</v>
      </c>
      <c r="BQ847" s="128">
        <f t="shared" si="634"/>
        <v>0</v>
      </c>
      <c r="BR847" s="129" t="s">
        <v>575</v>
      </c>
      <c r="BS847" s="129" t="str">
        <f t="shared" si="636"/>
        <v>DISPOSED</v>
      </c>
      <c r="BT847" s="129" t="str">
        <f t="shared" si="637"/>
        <v>Y</v>
      </c>
      <c r="BU847" s="109">
        <f t="shared" si="648"/>
        <v>0</v>
      </c>
      <c r="BV847" s="109">
        <v>0</v>
      </c>
      <c r="BW847" s="109">
        <f t="shared" si="651"/>
        <v>0</v>
      </c>
      <c r="BX847" s="111">
        <f t="shared" si="639"/>
        <v>0</v>
      </c>
      <c r="BY847" s="129" t="e">
        <f t="shared" si="640"/>
        <v>#VALUE!</v>
      </c>
      <c r="BZ847" s="111" t="e">
        <f t="shared" si="641"/>
        <v>#VALUE!</v>
      </c>
      <c r="CA847" s="138" t="e">
        <f t="shared" si="642"/>
        <v>#VALUE!</v>
      </c>
      <c r="CB847" s="111">
        <v>0</v>
      </c>
      <c r="CC847" s="129">
        <v>0</v>
      </c>
      <c r="CD847" s="111">
        <f>CC847-BF847</f>
        <v>0</v>
      </c>
      <c r="CE847" s="129" t="e">
        <f t="shared" si="643"/>
        <v>#VALUE!</v>
      </c>
      <c r="CG847" s="129" t="str">
        <f t="shared" si="644"/>
        <v>Y</v>
      </c>
      <c r="CI847" s="129" t="str">
        <f t="shared" si="645"/>
        <v>0-10 DAYS</v>
      </c>
      <c r="CJ847" s="137">
        <f t="shared" si="646"/>
        <v>1</v>
      </c>
      <c r="CK847" s="129" t="str">
        <f t="shared" si="647"/>
        <v>Not Booked</v>
      </c>
    </row>
    <row r="848" spans="1:89" ht="15.75" customHeight="1" x14ac:dyDescent="0.25">
      <c r="A848" s="111">
        <v>1163</v>
      </c>
      <c r="B848" s="128" t="str">
        <f t="shared" si="628"/>
        <v>N</v>
      </c>
      <c r="C848" s="128" t="str">
        <f t="shared" si="629"/>
        <v>N</v>
      </c>
      <c r="D848" s="117">
        <v>1592055</v>
      </c>
      <c r="E848" s="135">
        <f t="shared" si="630"/>
        <v>1</v>
      </c>
      <c r="F848" s="124">
        <v>40950</v>
      </c>
      <c r="G848" s="125">
        <v>41080</v>
      </c>
      <c r="H848" s="117">
        <v>1592055</v>
      </c>
      <c r="I848" s="124">
        <v>40951</v>
      </c>
      <c r="J848" s="124">
        <v>41007</v>
      </c>
      <c r="K848" s="126">
        <v>20000</v>
      </c>
      <c r="L848" s="127" t="s">
        <v>571</v>
      </c>
      <c r="M848" s="125">
        <v>41007</v>
      </c>
      <c r="N848" s="129" t="str">
        <f>IF(M848&gt;1/1/1,"Y","N")</f>
        <v>Y</v>
      </c>
      <c r="O848" s="128" t="s">
        <v>76</v>
      </c>
      <c r="P848" s="129" t="s">
        <v>55</v>
      </c>
      <c r="Q848" s="111">
        <f t="shared" si="649"/>
        <v>57</v>
      </c>
      <c r="R848" s="111">
        <f t="shared" si="624"/>
        <v>131</v>
      </c>
      <c r="S848" s="129">
        <v>2</v>
      </c>
      <c r="T848" s="129">
        <v>5</v>
      </c>
      <c r="U848" s="129">
        <v>2</v>
      </c>
      <c r="W848" s="111"/>
      <c r="AC848" s="130"/>
      <c r="AD848" s="130">
        <v>28388</v>
      </c>
      <c r="AE848" s="128" t="s">
        <v>32</v>
      </c>
      <c r="AF848" s="128" t="s">
        <v>33</v>
      </c>
      <c r="AG848" s="128" t="s">
        <v>872</v>
      </c>
      <c r="AH848" s="108" t="s">
        <v>31</v>
      </c>
      <c r="AI848" s="128" t="s">
        <v>113</v>
      </c>
      <c r="AJ848" s="129" t="s">
        <v>55</v>
      </c>
      <c r="AK848" s="129">
        <v>8</v>
      </c>
      <c r="AL848" s="3" t="s">
        <v>55</v>
      </c>
      <c r="AP848" s="129" t="s">
        <v>101</v>
      </c>
      <c r="AR848" s="128" t="s">
        <v>67</v>
      </c>
      <c r="AS848" s="129" t="s">
        <v>64</v>
      </c>
      <c r="BC848" s="129" t="s">
        <v>52</v>
      </c>
      <c r="BF848" s="111">
        <f>IF(J848&gt;1/1/1900,((J848+1)-I848),"STILL OPEN")</f>
        <v>57</v>
      </c>
      <c r="BG848" s="111">
        <f t="shared" ref="BG848:BG855" si="652">IF(G848&gt;1/1/1900,((G848+1)-I848),"STILL OPEN")</f>
        <v>130</v>
      </c>
      <c r="BH848" s="111">
        <f t="shared" si="625"/>
        <v>131</v>
      </c>
      <c r="BI848" s="111">
        <f t="shared" si="626"/>
        <v>34.322404371584696</v>
      </c>
      <c r="BJ848" s="129">
        <f>(G848-J848)+(M848-G848)</f>
        <v>0</v>
      </c>
      <c r="BK848" s="129">
        <f t="shared" si="627"/>
        <v>-73</v>
      </c>
      <c r="BL848" s="129" t="str">
        <f t="shared" si="612"/>
        <v>NO CONVICTION</v>
      </c>
      <c r="BM848" s="129" t="s">
        <v>76</v>
      </c>
      <c r="BN848" s="129" t="s">
        <v>88</v>
      </c>
      <c r="BP848" s="137" t="str">
        <f t="shared" si="633"/>
        <v>NO CONVICTION</v>
      </c>
      <c r="BQ848" s="128" t="str">
        <f t="shared" si="634"/>
        <v>Y</v>
      </c>
      <c r="BR848" s="129" t="str">
        <f t="shared" si="635"/>
        <v>ON BOND</v>
      </c>
      <c r="BS848" s="129" t="str">
        <f t="shared" si="636"/>
        <v>DISPOSED</v>
      </c>
      <c r="BT848" s="129" t="str">
        <f t="shared" si="637"/>
        <v>Y</v>
      </c>
      <c r="BU848" s="109">
        <f>IFERROR(Q848/R848,BR848)</f>
        <v>0.4351145038167939</v>
      </c>
      <c r="BV848" s="109">
        <f t="shared" si="638"/>
        <v>0.43846153846153846</v>
      </c>
      <c r="BW848" s="109">
        <f t="shared" si="651"/>
        <v>3.347034644744562E-3</v>
      </c>
      <c r="BX848" s="111">
        <f t="shared" si="639"/>
        <v>0</v>
      </c>
      <c r="BY848" s="129">
        <f t="shared" si="640"/>
        <v>-57</v>
      </c>
      <c r="BZ848" s="111">
        <f t="shared" si="641"/>
        <v>0</v>
      </c>
      <c r="CA848" s="138">
        <f t="shared" si="642"/>
        <v>57</v>
      </c>
      <c r="CB848" s="111" t="e">
        <f>IF(AF848&gt;1/1/1900,((AF848+1)-AE848),"STILL OPEN")</f>
        <v>#VALUE!</v>
      </c>
      <c r="CC848" s="129">
        <f>M848-I848+1</f>
        <v>57</v>
      </c>
      <c r="CD848" s="111">
        <f>CC848-BF848</f>
        <v>0</v>
      </c>
      <c r="CE848" s="129">
        <f t="shared" si="643"/>
        <v>73</v>
      </c>
      <c r="CG848" s="129" t="str">
        <f t="shared" si="644"/>
        <v>Y</v>
      </c>
      <c r="CI848" s="129" t="str">
        <f t="shared" si="645"/>
        <v>31-60 DAYS</v>
      </c>
      <c r="CJ848" s="137">
        <f t="shared" si="646"/>
        <v>3</v>
      </c>
      <c r="CK848" s="129" t="str">
        <f t="shared" si="647"/>
        <v>Booked</v>
      </c>
    </row>
    <row r="849" spans="1:89" ht="15.75" customHeight="1" x14ac:dyDescent="0.25">
      <c r="A849" s="111">
        <v>1229</v>
      </c>
      <c r="B849" s="128" t="str">
        <f t="shared" si="628"/>
        <v>N</v>
      </c>
      <c r="C849" s="128" t="str">
        <f t="shared" si="629"/>
        <v>N</v>
      </c>
      <c r="D849" s="117">
        <v>1592980</v>
      </c>
      <c r="E849" s="135">
        <f t="shared" si="630"/>
        <v>4</v>
      </c>
      <c r="F849" s="124">
        <v>40953</v>
      </c>
      <c r="G849" s="125">
        <v>41144</v>
      </c>
      <c r="H849" s="117">
        <v>1592980</v>
      </c>
      <c r="I849" s="124">
        <v>40954</v>
      </c>
      <c r="J849" s="124">
        <v>40955</v>
      </c>
      <c r="K849" s="126">
        <v>5000</v>
      </c>
      <c r="L849" s="127" t="s">
        <v>569</v>
      </c>
      <c r="M849" s="125">
        <v>40955</v>
      </c>
      <c r="N849" s="129" t="str">
        <f>IF(M849&gt;1/1/1,"Y","N")</f>
        <v>Y</v>
      </c>
      <c r="O849" s="128" t="s">
        <v>585</v>
      </c>
      <c r="P849" s="129" t="s">
        <v>39</v>
      </c>
      <c r="Q849" s="111">
        <f t="shared" si="649"/>
        <v>2</v>
      </c>
      <c r="R849" s="111">
        <f t="shared" si="624"/>
        <v>192</v>
      </c>
      <c r="S849" s="129">
        <v>2</v>
      </c>
      <c r="T849" s="129">
        <v>6</v>
      </c>
      <c r="U849" s="129">
        <v>1</v>
      </c>
      <c r="W849" s="111"/>
      <c r="AC849" s="130"/>
      <c r="AD849" s="130">
        <v>29041</v>
      </c>
      <c r="AE849" s="128" t="s">
        <v>32</v>
      </c>
      <c r="AF849" s="128" t="s">
        <v>33</v>
      </c>
      <c r="AG849" s="128" t="s">
        <v>872</v>
      </c>
      <c r="AH849" s="108" t="s">
        <v>58</v>
      </c>
      <c r="AI849" s="128" t="s">
        <v>53</v>
      </c>
      <c r="AJ849" s="129" t="s">
        <v>89</v>
      </c>
      <c r="AK849" s="129">
        <v>10</v>
      </c>
      <c r="AL849" s="3" t="s">
        <v>991</v>
      </c>
      <c r="AO849" s="128">
        <v>1</v>
      </c>
      <c r="AP849" s="129" t="s">
        <v>175</v>
      </c>
      <c r="AR849" s="128" t="s">
        <v>44</v>
      </c>
      <c r="AS849" s="129" t="s">
        <v>45</v>
      </c>
      <c r="AT849" s="3" t="s">
        <v>822</v>
      </c>
      <c r="BC849" s="129" t="s">
        <v>52</v>
      </c>
      <c r="BF849" s="111">
        <v>2</v>
      </c>
      <c r="BG849" s="111">
        <f t="shared" si="652"/>
        <v>191</v>
      </c>
      <c r="BH849" s="111">
        <f t="shared" si="625"/>
        <v>192</v>
      </c>
      <c r="BI849" s="111">
        <f t="shared" si="626"/>
        <v>32.546448087431692</v>
      </c>
      <c r="BJ849" s="129">
        <f>(G849-J849)+(M849-G849)</f>
        <v>0</v>
      </c>
      <c r="BK849" s="129">
        <f t="shared" si="627"/>
        <v>-189</v>
      </c>
      <c r="BL849" s="129" t="str">
        <f t="shared" si="612"/>
        <v>CONVICTION</v>
      </c>
      <c r="BM849" s="129" t="s">
        <v>76</v>
      </c>
      <c r="BN849" s="129" t="s">
        <v>88</v>
      </c>
      <c r="BP849" s="137" t="str">
        <f t="shared" si="633"/>
        <v>CONVICTION</v>
      </c>
      <c r="BQ849" s="128" t="str">
        <f t="shared" si="634"/>
        <v>Y</v>
      </c>
      <c r="BR849" s="129" t="str">
        <f>IF(J849&lt;G849,"ON BOND",0)</f>
        <v>ON BOND</v>
      </c>
      <c r="BS849" s="129" t="str">
        <f t="shared" si="636"/>
        <v>DISPOSED</v>
      </c>
      <c r="BT849" s="129" t="str">
        <f t="shared" si="637"/>
        <v>Y</v>
      </c>
      <c r="BU849" s="109">
        <f t="shared" si="648"/>
        <v>1.0416666666666666E-2</v>
      </c>
      <c r="BV849" s="109">
        <f t="shared" si="638"/>
        <v>1.0471204188481676E-2</v>
      </c>
      <c r="BW849" s="109">
        <f t="shared" si="651"/>
        <v>5.453752181500994E-5</v>
      </c>
      <c r="BX849" s="111">
        <f t="shared" si="639"/>
        <v>0</v>
      </c>
      <c r="BY849" s="129">
        <f t="shared" si="640"/>
        <v>-2</v>
      </c>
      <c r="BZ849" s="111">
        <f t="shared" si="641"/>
        <v>0</v>
      </c>
      <c r="CA849" s="138">
        <f t="shared" si="642"/>
        <v>2</v>
      </c>
      <c r="CB849" s="111" t="e">
        <f>IF(AF849&gt;1/1/1900,((AF849+1)-AE849),"STILL OPEN")</f>
        <v>#VALUE!</v>
      </c>
      <c r="CD849" s="129">
        <f t="shared" ref="CD849:CD855" si="653">G849-J849</f>
        <v>189</v>
      </c>
      <c r="CE849" s="129">
        <f t="shared" si="643"/>
        <v>189</v>
      </c>
      <c r="CG849" s="129" t="str">
        <f t="shared" si="644"/>
        <v>Y</v>
      </c>
      <c r="CI849" s="129" t="str">
        <f t="shared" si="645"/>
        <v>0-10 DAYS</v>
      </c>
      <c r="CJ849" s="137">
        <f t="shared" si="646"/>
        <v>1</v>
      </c>
      <c r="CK849" s="129" t="str">
        <f t="shared" si="647"/>
        <v>Booked</v>
      </c>
    </row>
    <row r="850" spans="1:89" ht="15" customHeight="1" x14ac:dyDescent="0.25">
      <c r="A850" s="111">
        <v>2326</v>
      </c>
      <c r="B850" s="128" t="str">
        <f t="shared" si="628"/>
        <v>N</v>
      </c>
      <c r="C850" s="128" t="str">
        <f t="shared" si="629"/>
        <v>Y</v>
      </c>
      <c r="D850" s="117">
        <v>1594952</v>
      </c>
      <c r="E850" s="135">
        <f t="shared" si="630"/>
        <v>5</v>
      </c>
      <c r="F850" s="124">
        <v>40997</v>
      </c>
      <c r="G850" s="125">
        <v>41103</v>
      </c>
      <c r="H850" s="117">
        <v>1594952</v>
      </c>
      <c r="I850" s="124">
        <v>40997</v>
      </c>
      <c r="J850" s="124">
        <v>41005</v>
      </c>
      <c r="K850" s="126">
        <v>15000</v>
      </c>
      <c r="L850" s="127" t="s">
        <v>571</v>
      </c>
      <c r="M850" s="125">
        <v>41005</v>
      </c>
      <c r="N850" s="129" t="str">
        <f>IF(M850&gt;1/1/1,"Y","N")</f>
        <v>Y</v>
      </c>
      <c r="O850" s="128" t="s">
        <v>76</v>
      </c>
      <c r="P850" s="129" t="s">
        <v>39</v>
      </c>
      <c r="Q850" s="111">
        <v>43</v>
      </c>
      <c r="R850" s="111">
        <f t="shared" si="624"/>
        <v>107</v>
      </c>
      <c r="S850" s="129">
        <v>4</v>
      </c>
      <c r="T850" s="129">
        <v>1</v>
      </c>
      <c r="U850" s="129">
        <v>2</v>
      </c>
      <c r="W850" s="111"/>
      <c r="AC850" s="130"/>
      <c r="AD850" s="130">
        <v>20379</v>
      </c>
      <c r="AE850" s="128" t="s">
        <v>32</v>
      </c>
      <c r="AF850" s="128" t="s">
        <v>33</v>
      </c>
      <c r="AG850" s="128" t="s">
        <v>872</v>
      </c>
      <c r="AH850" s="108" t="s">
        <v>58</v>
      </c>
      <c r="AI850" s="128" t="s">
        <v>72</v>
      </c>
      <c r="AJ850" s="129" t="s">
        <v>89</v>
      </c>
      <c r="AK850" s="129">
        <v>5</v>
      </c>
      <c r="AL850" s="3" t="s">
        <v>992</v>
      </c>
      <c r="AN850" s="117">
        <v>6</v>
      </c>
      <c r="AP850" s="129" t="s">
        <v>43</v>
      </c>
      <c r="AR850" s="128" t="s">
        <v>44</v>
      </c>
      <c r="AS850" s="129" t="s">
        <v>45</v>
      </c>
      <c r="AT850" s="129" t="s">
        <v>1093</v>
      </c>
      <c r="AU850" s="3" t="s">
        <v>845</v>
      </c>
      <c r="AV850" s="3" t="s">
        <v>88</v>
      </c>
      <c r="AW850" s="125" t="s">
        <v>766</v>
      </c>
      <c r="BA850" s="125">
        <v>41260</v>
      </c>
      <c r="BB850" s="129">
        <v>235</v>
      </c>
      <c r="BC850" s="129" t="s">
        <v>38</v>
      </c>
      <c r="BF850" s="111">
        <v>43</v>
      </c>
      <c r="BG850" s="111">
        <f t="shared" si="652"/>
        <v>107</v>
      </c>
      <c r="BH850" s="111">
        <f t="shared" si="625"/>
        <v>107</v>
      </c>
      <c r="BI850" s="111">
        <f t="shared" si="626"/>
        <v>56.333333333333336</v>
      </c>
      <c r="BJ850" s="129">
        <f>(G850-J850)+(M850-G850)</f>
        <v>0</v>
      </c>
      <c r="BK850" s="129">
        <f t="shared" si="627"/>
        <v>-98</v>
      </c>
      <c r="BL850" s="129" t="str">
        <f t="shared" si="612"/>
        <v>CONVICTION</v>
      </c>
      <c r="BM850" s="129" t="s">
        <v>76</v>
      </c>
      <c r="BN850" s="129" t="s">
        <v>566</v>
      </c>
      <c r="BP850" s="137" t="str">
        <f t="shared" si="633"/>
        <v>CONVICTION</v>
      </c>
      <c r="BQ850" s="128" t="str">
        <f t="shared" si="634"/>
        <v>Y</v>
      </c>
      <c r="BR850" s="129" t="s">
        <v>574</v>
      </c>
      <c r="BS850" s="129" t="str">
        <f t="shared" si="636"/>
        <v>DISPOSED</v>
      </c>
      <c r="BT850" s="129" t="str">
        <f t="shared" si="637"/>
        <v>Y</v>
      </c>
      <c r="BU850" s="109">
        <f t="shared" si="648"/>
        <v>0.40186915887850466</v>
      </c>
      <c r="BV850" s="109">
        <f t="shared" si="638"/>
        <v>8.4112149532710276E-2</v>
      </c>
      <c r="BW850" s="109">
        <f t="shared" si="651"/>
        <v>-0.31775700934579437</v>
      </c>
      <c r="BX850" s="111">
        <f t="shared" si="639"/>
        <v>0</v>
      </c>
      <c r="BY850" s="129">
        <f t="shared" si="640"/>
        <v>-9</v>
      </c>
      <c r="BZ850" s="111">
        <f t="shared" si="641"/>
        <v>34</v>
      </c>
      <c r="CA850" s="138">
        <f t="shared" si="642"/>
        <v>107</v>
      </c>
      <c r="CB850" s="111">
        <v>43</v>
      </c>
      <c r="CC850" s="129">
        <f>G850-I850+1</f>
        <v>107</v>
      </c>
      <c r="CD850" s="129">
        <f t="shared" si="653"/>
        <v>98</v>
      </c>
      <c r="CE850" s="129">
        <f t="shared" si="643"/>
        <v>98</v>
      </c>
      <c r="CG850" s="129" t="str">
        <f t="shared" si="644"/>
        <v>Y</v>
      </c>
      <c r="CI850" s="129" t="str">
        <f t="shared" si="645"/>
        <v>31-60 DAYS</v>
      </c>
      <c r="CJ850" s="137">
        <f t="shared" si="646"/>
        <v>3</v>
      </c>
      <c r="CK850" s="129" t="str">
        <f t="shared" si="647"/>
        <v>Booked</v>
      </c>
    </row>
    <row r="851" spans="1:89" ht="15.75" customHeight="1" x14ac:dyDescent="0.25">
      <c r="A851" s="111">
        <v>1290</v>
      </c>
      <c r="B851" s="128" t="str">
        <f t="shared" si="628"/>
        <v>N</v>
      </c>
      <c r="C851" s="128" t="str">
        <f t="shared" si="629"/>
        <v>N</v>
      </c>
      <c r="D851" s="117">
        <v>1595953</v>
      </c>
      <c r="E851" s="135">
        <f t="shared" si="630"/>
        <v>6</v>
      </c>
      <c r="F851" s="124">
        <v>40956</v>
      </c>
      <c r="G851" s="125">
        <v>41088</v>
      </c>
      <c r="H851" s="117">
        <v>1595953</v>
      </c>
      <c r="I851" s="124">
        <v>40956</v>
      </c>
      <c r="J851" s="124">
        <v>40960</v>
      </c>
      <c r="K851" s="126">
        <v>20000</v>
      </c>
      <c r="L851" s="127" t="s">
        <v>571</v>
      </c>
      <c r="M851" s="125">
        <v>40960</v>
      </c>
      <c r="N851" s="129" t="str">
        <f>IF(M851&gt;1/1/1,"Y","N")</f>
        <v>Y</v>
      </c>
      <c r="O851" s="128" t="s">
        <v>585</v>
      </c>
      <c r="P851" s="129" t="s">
        <v>39</v>
      </c>
      <c r="Q851" s="111">
        <f>BF851</f>
        <v>42</v>
      </c>
      <c r="R851" s="111">
        <f t="shared" si="624"/>
        <v>133</v>
      </c>
      <c r="S851" s="129">
        <v>3</v>
      </c>
      <c r="T851" s="129">
        <v>7</v>
      </c>
      <c r="U851" s="129">
        <v>3</v>
      </c>
      <c r="W851" s="111"/>
      <c r="AC851" s="130"/>
      <c r="AD851" s="130">
        <v>29235</v>
      </c>
      <c r="AE851" s="128" t="s">
        <v>32</v>
      </c>
      <c r="AF851" s="128" t="s">
        <v>40</v>
      </c>
      <c r="AG851" s="128" t="s">
        <v>41</v>
      </c>
      <c r="AH851" s="108" t="s">
        <v>41</v>
      </c>
      <c r="AI851" s="128" t="s">
        <v>113</v>
      </c>
      <c r="AJ851" s="129" t="s">
        <v>89</v>
      </c>
      <c r="AK851" s="129">
        <v>10</v>
      </c>
      <c r="AL851" s="3" t="s">
        <v>362</v>
      </c>
      <c r="AM851" s="117">
        <v>2</v>
      </c>
      <c r="AP851" s="129" t="s">
        <v>101</v>
      </c>
      <c r="AR851" s="128" t="s">
        <v>67</v>
      </c>
      <c r="AS851" s="129" t="s">
        <v>64</v>
      </c>
      <c r="AT851" s="3" t="s">
        <v>828</v>
      </c>
      <c r="AU851" s="129"/>
      <c r="BC851" s="129" t="s">
        <v>52</v>
      </c>
      <c r="BF851" s="111">
        <v>42</v>
      </c>
      <c r="BG851" s="111">
        <f t="shared" si="652"/>
        <v>133</v>
      </c>
      <c r="BH851" s="111">
        <f t="shared" si="625"/>
        <v>133</v>
      </c>
      <c r="BI851" s="111">
        <f t="shared" si="626"/>
        <v>32.024590163934427</v>
      </c>
      <c r="BJ851" s="129">
        <f>(G851-J851)+(M851-G851)</f>
        <v>0</v>
      </c>
      <c r="BK851" s="129">
        <f t="shared" si="627"/>
        <v>-128</v>
      </c>
      <c r="BL851" s="129" t="str">
        <f t="shared" si="612"/>
        <v>CONVICTION</v>
      </c>
      <c r="BM851" s="129" t="s">
        <v>76</v>
      </c>
      <c r="BN851" s="129" t="s">
        <v>88</v>
      </c>
      <c r="BP851" s="137" t="str">
        <f t="shared" si="633"/>
        <v>CONVICTION</v>
      </c>
      <c r="BQ851" s="128" t="str">
        <f t="shared" si="634"/>
        <v>Y</v>
      </c>
      <c r="BR851" s="129" t="str">
        <f>IF(J851&lt;G851,"ON BOND",0)</f>
        <v>ON BOND</v>
      </c>
      <c r="BS851" s="129" t="str">
        <f t="shared" si="636"/>
        <v>DISPOSED</v>
      </c>
      <c r="BT851" s="129" t="str">
        <f t="shared" si="637"/>
        <v>Y</v>
      </c>
      <c r="BU851" s="109">
        <f t="shared" si="648"/>
        <v>0.31578947368421051</v>
      </c>
      <c r="BV851" s="109">
        <f t="shared" si="638"/>
        <v>3.7593984962406013E-2</v>
      </c>
      <c r="BW851" s="109">
        <f t="shared" si="651"/>
        <v>-0.2781954887218045</v>
      </c>
      <c r="BX851" s="111">
        <f t="shared" si="639"/>
        <v>0</v>
      </c>
      <c r="BY851" s="129">
        <f t="shared" si="640"/>
        <v>-5</v>
      </c>
      <c r="BZ851" s="111">
        <f t="shared" si="641"/>
        <v>37</v>
      </c>
      <c r="CA851" s="138">
        <f t="shared" si="642"/>
        <v>5</v>
      </c>
      <c r="CB851" s="111" t="e">
        <f>IF(AF851&gt;1/1/1900,((AF851+1)-AE851),"STILL OPEN")</f>
        <v>#VALUE!</v>
      </c>
      <c r="CD851" s="129">
        <f t="shared" si="653"/>
        <v>128</v>
      </c>
      <c r="CE851" s="129">
        <f t="shared" si="643"/>
        <v>128</v>
      </c>
      <c r="CG851" s="129" t="str">
        <f t="shared" si="644"/>
        <v>Y</v>
      </c>
      <c r="CI851" s="129" t="str">
        <f t="shared" si="645"/>
        <v>31-60 DAYS</v>
      </c>
      <c r="CJ851" s="137">
        <f t="shared" si="646"/>
        <v>3</v>
      </c>
      <c r="CK851" s="129" t="str">
        <f t="shared" si="647"/>
        <v>Booked</v>
      </c>
    </row>
    <row r="852" spans="1:89" ht="15.75" customHeight="1" x14ac:dyDescent="0.25">
      <c r="A852" s="111">
        <v>745</v>
      </c>
      <c r="B852" s="128" t="str">
        <f t="shared" si="628"/>
        <v>N</v>
      </c>
      <c r="C852" s="128" t="str">
        <f t="shared" si="629"/>
        <v>N</v>
      </c>
      <c r="D852" s="117">
        <v>1596373</v>
      </c>
      <c r="E852" s="135">
        <f t="shared" si="630"/>
        <v>1</v>
      </c>
      <c r="F852" s="124">
        <v>40938</v>
      </c>
      <c r="G852" s="125">
        <v>41142</v>
      </c>
      <c r="H852" s="117">
        <v>1596373</v>
      </c>
      <c r="I852" s="124">
        <v>40938</v>
      </c>
      <c r="J852" s="124">
        <v>41142</v>
      </c>
      <c r="K852" s="126" t="s">
        <v>564</v>
      </c>
      <c r="L852" s="127" t="s">
        <v>564</v>
      </c>
      <c r="N852" s="129" t="s">
        <v>566</v>
      </c>
      <c r="O852" s="128" t="s">
        <v>917</v>
      </c>
      <c r="P852" s="129" t="s">
        <v>55</v>
      </c>
      <c r="Q852" s="111">
        <f t="shared" ref="Q852:Q887" si="654">BF852</f>
        <v>205</v>
      </c>
      <c r="R852" s="111">
        <f t="shared" si="624"/>
        <v>205</v>
      </c>
      <c r="S852" s="129">
        <v>2</v>
      </c>
      <c r="T852" s="129">
        <v>3</v>
      </c>
      <c r="U852" s="129">
        <v>2</v>
      </c>
      <c r="W852" s="111"/>
      <c r="AC852" s="130"/>
      <c r="AD852" s="130">
        <v>29345</v>
      </c>
      <c r="AE852" s="128" t="s">
        <v>32</v>
      </c>
      <c r="AF852" s="128" t="s">
        <v>33</v>
      </c>
      <c r="AG852" s="128" t="s">
        <v>872</v>
      </c>
      <c r="AH852" s="108" t="s">
        <v>58</v>
      </c>
      <c r="AI852" s="128" t="s">
        <v>59</v>
      </c>
      <c r="AJ852" s="129" t="s">
        <v>55</v>
      </c>
      <c r="AK852" s="129">
        <v>9</v>
      </c>
      <c r="AL852" s="3" t="s">
        <v>55</v>
      </c>
      <c r="AP852" s="129" t="s">
        <v>148</v>
      </c>
      <c r="AR852" s="128" t="s">
        <v>67</v>
      </c>
      <c r="AS852" s="129" t="s">
        <v>45</v>
      </c>
      <c r="BC852" s="129" t="s">
        <v>52</v>
      </c>
      <c r="BF852" s="111">
        <f>IF(J852&gt;1/1/1900,((J852+1)-I852),"STILL OPEN")</f>
        <v>205</v>
      </c>
      <c r="BG852" s="111">
        <f t="shared" si="652"/>
        <v>205</v>
      </c>
      <c r="BH852" s="111">
        <f t="shared" si="625"/>
        <v>205</v>
      </c>
      <c r="BI852" s="111">
        <f t="shared" si="626"/>
        <v>31.674863387978142</v>
      </c>
      <c r="BJ852" s="129">
        <f t="shared" si="631"/>
        <v>0</v>
      </c>
      <c r="BK852" s="129">
        <f t="shared" si="627"/>
        <v>0</v>
      </c>
      <c r="BL852" s="129" t="str">
        <f t="shared" si="612"/>
        <v>NO CONVICTION</v>
      </c>
      <c r="BM852" s="129" t="str">
        <f t="shared" si="632"/>
        <v>NONE</v>
      </c>
      <c r="BN852" s="129" t="s">
        <v>566</v>
      </c>
      <c r="BP852" s="137" t="str">
        <f t="shared" si="633"/>
        <v>NO CONVICTION</v>
      </c>
      <c r="BQ852" s="128" t="str">
        <f t="shared" si="634"/>
        <v>Y</v>
      </c>
      <c r="BR852" s="129" t="str">
        <f t="shared" si="635"/>
        <v>DETAINED</v>
      </c>
      <c r="BS852" s="129" t="str">
        <f t="shared" si="636"/>
        <v>DISPOSED</v>
      </c>
      <c r="BT852" s="129" t="str">
        <f t="shared" si="637"/>
        <v>Y</v>
      </c>
      <c r="BU852" s="109">
        <f>IFERROR(Q852/R852,BR852)</f>
        <v>1</v>
      </c>
      <c r="BV852" s="109">
        <f t="shared" si="638"/>
        <v>1</v>
      </c>
      <c r="BW852" s="109">
        <f t="shared" si="651"/>
        <v>0</v>
      </c>
      <c r="BX852" s="111">
        <f t="shared" si="639"/>
        <v>0</v>
      </c>
      <c r="BY852" s="129">
        <f t="shared" si="640"/>
        <v>-205</v>
      </c>
      <c r="BZ852" s="111">
        <f t="shared" si="641"/>
        <v>0</v>
      </c>
      <c r="CA852" s="138">
        <f t="shared" si="642"/>
        <v>205</v>
      </c>
      <c r="CB852" s="111" t="e">
        <f>IF(AF852&gt;1/1/1900,((AF852+1)-AE852),"STILL OPEN")</f>
        <v>#VALUE!</v>
      </c>
      <c r="CC852" s="129">
        <f>G852-I852+1</f>
        <v>205</v>
      </c>
      <c r="CD852" s="129">
        <f t="shared" si="653"/>
        <v>0</v>
      </c>
      <c r="CE852" s="129">
        <f t="shared" si="643"/>
        <v>0</v>
      </c>
      <c r="CG852" s="129" t="str">
        <f t="shared" si="644"/>
        <v>Y</v>
      </c>
      <c r="CI852" s="129" t="str">
        <f t="shared" si="645"/>
        <v>121-365 DAYS</v>
      </c>
      <c r="CJ852" s="137">
        <f t="shared" si="646"/>
        <v>6</v>
      </c>
      <c r="CK852" s="129" t="str">
        <f t="shared" si="647"/>
        <v>Booked</v>
      </c>
    </row>
    <row r="853" spans="1:89" ht="15" customHeight="1" x14ac:dyDescent="0.25">
      <c r="A853" s="111">
        <v>1557</v>
      </c>
      <c r="B853" s="128" t="str">
        <f t="shared" si="628"/>
        <v>N</v>
      </c>
      <c r="C853" s="128" t="str">
        <f t="shared" si="629"/>
        <v>N</v>
      </c>
      <c r="D853" s="117">
        <v>1596398</v>
      </c>
      <c r="E853" s="135">
        <f t="shared" si="630"/>
        <v>5</v>
      </c>
      <c r="F853" s="124">
        <v>40966</v>
      </c>
      <c r="G853" s="125">
        <v>40968</v>
      </c>
      <c r="H853" s="117">
        <v>1596398</v>
      </c>
      <c r="I853" s="124">
        <v>40967</v>
      </c>
      <c r="J853" s="124">
        <v>40968</v>
      </c>
      <c r="K853" s="126">
        <v>15000</v>
      </c>
      <c r="L853" s="127" t="s">
        <v>571</v>
      </c>
      <c r="N853" s="129" t="str">
        <f>IF(M853&gt;1/1/1,"Y","N")</f>
        <v>N</v>
      </c>
      <c r="O853" s="128" t="s">
        <v>917</v>
      </c>
      <c r="P853" s="129" t="s">
        <v>39</v>
      </c>
      <c r="Q853" s="111">
        <f t="shared" si="654"/>
        <v>2</v>
      </c>
      <c r="R853" s="111">
        <f t="shared" si="624"/>
        <v>3</v>
      </c>
      <c r="S853" s="129">
        <v>7</v>
      </c>
      <c r="T853" s="129">
        <v>2</v>
      </c>
      <c r="U853" s="129">
        <v>5</v>
      </c>
      <c r="V853" s="117">
        <v>1</v>
      </c>
      <c r="W853" s="111"/>
      <c r="AC853" s="130"/>
      <c r="AD853" s="130">
        <v>28369</v>
      </c>
      <c r="AE853" s="128" t="s">
        <v>32</v>
      </c>
      <c r="AF853" s="128" t="s">
        <v>40</v>
      </c>
      <c r="AG853" s="128" t="s">
        <v>41</v>
      </c>
      <c r="AH853" s="108" t="s">
        <v>41</v>
      </c>
      <c r="AI853" s="128" t="s">
        <v>118</v>
      </c>
      <c r="AJ853" s="129" t="s">
        <v>89</v>
      </c>
      <c r="AK853" s="129">
        <v>1</v>
      </c>
      <c r="AL853" s="3" t="s">
        <v>992</v>
      </c>
      <c r="AN853" s="117">
        <v>24</v>
      </c>
      <c r="AP853" s="129" t="s">
        <v>121</v>
      </c>
      <c r="AR853" s="128" t="s">
        <v>44</v>
      </c>
      <c r="AS853" s="129" t="s">
        <v>122</v>
      </c>
      <c r="BC853" s="129" t="s">
        <v>38</v>
      </c>
      <c r="BF853" s="111">
        <f>IF(J853&gt;1/1/1900,((J853+1)-I853),"STILL OPEN")</f>
        <v>2</v>
      </c>
      <c r="BG853" s="111">
        <f t="shared" si="652"/>
        <v>2</v>
      </c>
      <c r="BH853" s="111">
        <f t="shared" si="625"/>
        <v>3</v>
      </c>
      <c r="BI853" s="111">
        <f t="shared" si="626"/>
        <v>34.418032786885249</v>
      </c>
      <c r="BJ853" s="129">
        <f t="shared" si="631"/>
        <v>0</v>
      </c>
      <c r="BK853" s="129">
        <f t="shared" si="627"/>
        <v>0</v>
      </c>
      <c r="BL853" s="129" t="str">
        <f t="shared" si="612"/>
        <v>CONVICTION</v>
      </c>
      <c r="BM853" s="129" t="str">
        <f t="shared" si="632"/>
        <v>NONE</v>
      </c>
      <c r="BN853" s="129" t="s">
        <v>566</v>
      </c>
      <c r="BP853" s="137" t="str">
        <f t="shared" si="633"/>
        <v>CONVICTION</v>
      </c>
      <c r="BQ853" s="128" t="str">
        <f t="shared" si="634"/>
        <v>Y</v>
      </c>
      <c r="BR853" s="129" t="str">
        <f t="shared" si="635"/>
        <v>DETAINED</v>
      </c>
      <c r="BS853" s="129" t="str">
        <f t="shared" si="636"/>
        <v>DISPOSED</v>
      </c>
      <c r="BT853" s="129" t="str">
        <f t="shared" si="637"/>
        <v>Y</v>
      </c>
      <c r="BU853" s="109">
        <f t="shared" si="648"/>
        <v>0.66666666666666663</v>
      </c>
      <c r="BV853" s="109">
        <f t="shared" si="638"/>
        <v>1</v>
      </c>
      <c r="BW853" s="109">
        <f t="shared" si="651"/>
        <v>0.33333333333333337</v>
      </c>
      <c r="BX853" s="111">
        <f t="shared" si="639"/>
        <v>0</v>
      </c>
      <c r="BY853" s="129">
        <f t="shared" si="640"/>
        <v>-2</v>
      </c>
      <c r="BZ853" s="111">
        <f t="shared" si="641"/>
        <v>0</v>
      </c>
      <c r="CA853" s="138">
        <f t="shared" si="642"/>
        <v>2</v>
      </c>
      <c r="CB853" s="111" t="e">
        <f>IF(AF853&gt;1/1/1900,((AF853+1)-AE853),"STILL OPEN")</f>
        <v>#VALUE!</v>
      </c>
      <c r="CC853" s="129">
        <f>G853-I853+1</f>
        <v>2</v>
      </c>
      <c r="CD853" s="129">
        <f t="shared" si="653"/>
        <v>0</v>
      </c>
      <c r="CE853" s="129">
        <f t="shared" si="643"/>
        <v>0</v>
      </c>
      <c r="CG853" s="129" t="str">
        <f t="shared" si="644"/>
        <v>Y</v>
      </c>
      <c r="CI853" s="129" t="str">
        <f t="shared" si="645"/>
        <v>0-10 DAYS</v>
      </c>
      <c r="CJ853" s="137">
        <f t="shared" si="646"/>
        <v>1</v>
      </c>
      <c r="CK853" s="129" t="str">
        <f t="shared" si="647"/>
        <v>Booked</v>
      </c>
    </row>
    <row r="854" spans="1:89" ht="15" customHeight="1" x14ac:dyDescent="0.25">
      <c r="A854" s="111">
        <v>2598</v>
      </c>
      <c r="B854" s="128" t="str">
        <f t="shared" si="628"/>
        <v>N</v>
      </c>
      <c r="C854" s="128" t="str">
        <f t="shared" si="629"/>
        <v>N</v>
      </c>
      <c r="D854" s="117">
        <v>1597130</v>
      </c>
      <c r="E854" s="135">
        <f t="shared" si="630"/>
        <v>4</v>
      </c>
      <c r="F854" s="124">
        <v>41005</v>
      </c>
      <c r="G854" s="125">
        <v>41008</v>
      </c>
      <c r="H854" s="117">
        <v>1597130</v>
      </c>
      <c r="I854" s="124">
        <v>41006</v>
      </c>
      <c r="J854" s="124">
        <v>41008</v>
      </c>
      <c r="K854" s="126">
        <v>2000</v>
      </c>
      <c r="L854" s="127" t="s">
        <v>568</v>
      </c>
      <c r="N854" s="129" t="str">
        <f>IF(M854&gt;1/1/1,"Y","N")</f>
        <v>N</v>
      </c>
      <c r="O854" s="128" t="s">
        <v>917</v>
      </c>
      <c r="P854" s="129" t="s">
        <v>39</v>
      </c>
      <c r="Q854" s="111">
        <f t="shared" si="654"/>
        <v>3</v>
      </c>
      <c r="R854" s="111">
        <f t="shared" si="624"/>
        <v>4</v>
      </c>
      <c r="S854" s="129">
        <v>0</v>
      </c>
      <c r="T854" s="129">
        <v>2</v>
      </c>
      <c r="W854" s="111"/>
      <c r="AC854" s="130"/>
      <c r="AD854" s="130">
        <v>29073</v>
      </c>
      <c r="AE854" s="128" t="s">
        <v>32</v>
      </c>
      <c r="AF854" s="128" t="s">
        <v>69</v>
      </c>
      <c r="AG854" s="128" t="s">
        <v>874</v>
      </c>
      <c r="AH854" s="108" t="s">
        <v>58</v>
      </c>
      <c r="AI854" s="128" t="s">
        <v>113</v>
      </c>
      <c r="AJ854" s="129" t="s">
        <v>89</v>
      </c>
      <c r="AK854" s="129">
        <v>1</v>
      </c>
      <c r="AL854" s="3" t="s">
        <v>991</v>
      </c>
      <c r="AO854" s="128">
        <v>120</v>
      </c>
      <c r="AP854" s="129" t="s">
        <v>103</v>
      </c>
      <c r="AR854" s="128" t="s">
        <v>44</v>
      </c>
      <c r="AS854" s="129" t="s">
        <v>45</v>
      </c>
      <c r="BC854" s="129" t="s">
        <v>38</v>
      </c>
      <c r="BF854" s="111">
        <f>IF(J854&gt;1/1/1900,((J854+1)-I854),"STILL OPEN")</f>
        <v>3</v>
      </c>
      <c r="BG854" s="111">
        <f t="shared" si="652"/>
        <v>3</v>
      </c>
      <c r="BH854" s="111">
        <f t="shared" si="625"/>
        <v>4</v>
      </c>
      <c r="BI854" s="111">
        <f t="shared" si="626"/>
        <v>32.601092896174862</v>
      </c>
      <c r="BJ854" s="129">
        <f t="shared" si="631"/>
        <v>0</v>
      </c>
      <c r="BK854" s="129">
        <f t="shared" si="627"/>
        <v>0</v>
      </c>
      <c r="BL854" s="129" t="str">
        <f t="shared" si="612"/>
        <v>CONVICTION</v>
      </c>
      <c r="BM854" s="129" t="str">
        <f t="shared" si="632"/>
        <v>NONE</v>
      </c>
      <c r="BN854" s="129" t="s">
        <v>566</v>
      </c>
      <c r="BP854" s="137" t="str">
        <f t="shared" si="633"/>
        <v>CONVICTION</v>
      </c>
      <c r="BQ854" s="128" t="str">
        <f t="shared" si="634"/>
        <v>Y</v>
      </c>
      <c r="BR854" s="129" t="str">
        <f t="shared" si="635"/>
        <v>DETAINED</v>
      </c>
      <c r="BS854" s="129" t="str">
        <f t="shared" si="636"/>
        <v>DISPOSED</v>
      </c>
      <c r="BT854" s="129" t="str">
        <f t="shared" si="637"/>
        <v>N</v>
      </c>
      <c r="BU854" s="109">
        <f t="shared" si="648"/>
        <v>0.75</v>
      </c>
      <c r="BV854" s="109">
        <f t="shared" si="638"/>
        <v>1</v>
      </c>
      <c r="BW854" s="109">
        <f t="shared" si="651"/>
        <v>0.25</v>
      </c>
      <c r="BX854" s="111">
        <f t="shared" si="639"/>
        <v>0</v>
      </c>
      <c r="BY854" s="129">
        <f t="shared" si="640"/>
        <v>-3</v>
      </c>
      <c r="BZ854" s="111">
        <f t="shared" si="641"/>
        <v>0</v>
      </c>
      <c r="CA854" s="138">
        <f t="shared" si="642"/>
        <v>3</v>
      </c>
      <c r="CB854" s="111" t="e">
        <f>IF(AF854&gt;1/1/1900,((AF854+1)-AE854),"STILL OPEN")</f>
        <v>#VALUE!</v>
      </c>
      <c r="CC854" s="129">
        <f>G854-I854+1</f>
        <v>3</v>
      </c>
      <c r="CD854" s="129">
        <f t="shared" si="653"/>
        <v>0</v>
      </c>
      <c r="CE854" s="129">
        <f t="shared" si="643"/>
        <v>0</v>
      </c>
      <c r="CG854" s="129" t="str">
        <f t="shared" si="644"/>
        <v>Y</v>
      </c>
      <c r="CI854" s="129" t="str">
        <f t="shared" si="645"/>
        <v>0-10 DAYS</v>
      </c>
      <c r="CJ854" s="137">
        <f t="shared" si="646"/>
        <v>1</v>
      </c>
      <c r="CK854" s="129" t="str">
        <f t="shared" si="647"/>
        <v>Booked</v>
      </c>
    </row>
    <row r="855" spans="1:89" ht="15" customHeight="1" x14ac:dyDescent="0.25">
      <c r="A855" s="111">
        <v>3072</v>
      </c>
      <c r="B855" s="128" t="str">
        <f t="shared" si="628"/>
        <v>N</v>
      </c>
      <c r="C855" s="128" t="str">
        <f t="shared" si="629"/>
        <v>N</v>
      </c>
      <c r="D855" s="117">
        <v>1597692</v>
      </c>
      <c r="E855" s="135">
        <f t="shared" si="630"/>
        <v>4</v>
      </c>
      <c r="F855" s="124">
        <v>41023</v>
      </c>
      <c r="G855" s="125">
        <v>41024</v>
      </c>
      <c r="H855" s="117">
        <v>1597692</v>
      </c>
      <c r="I855" s="124">
        <v>41023</v>
      </c>
      <c r="J855" s="124">
        <v>41024</v>
      </c>
      <c r="K855" s="126">
        <v>5000</v>
      </c>
      <c r="L855" s="127" t="s">
        <v>569</v>
      </c>
      <c r="N855" s="129" t="str">
        <f>IF(M855&gt;1/1/1,"Y","N")</f>
        <v>N</v>
      </c>
      <c r="O855" s="128" t="s">
        <v>917</v>
      </c>
      <c r="P855" s="129" t="s">
        <v>39</v>
      </c>
      <c r="Q855" s="111">
        <f t="shared" si="654"/>
        <v>2</v>
      </c>
      <c r="R855" s="111">
        <f t="shared" si="624"/>
        <v>2</v>
      </c>
      <c r="S855" s="129">
        <v>0</v>
      </c>
      <c r="T855" s="129">
        <v>2</v>
      </c>
      <c r="W855" s="111"/>
      <c r="AC855" s="130"/>
      <c r="AD855" s="130">
        <v>23437</v>
      </c>
      <c r="AE855" s="128" t="s">
        <v>32</v>
      </c>
      <c r="AF855" s="128" t="s">
        <v>40</v>
      </c>
      <c r="AG855" s="128" t="s">
        <v>41</v>
      </c>
      <c r="AH855" s="108" t="s">
        <v>41</v>
      </c>
      <c r="AI855" s="128" t="s">
        <v>83</v>
      </c>
      <c r="AJ855" s="129" t="s">
        <v>89</v>
      </c>
      <c r="AK855" s="129">
        <v>1</v>
      </c>
      <c r="AL855" s="3" t="s">
        <v>991</v>
      </c>
      <c r="AO855" s="128">
        <v>180</v>
      </c>
      <c r="AP855" s="129" t="s">
        <v>43</v>
      </c>
      <c r="AR855" s="128" t="s">
        <v>44</v>
      </c>
      <c r="AS855" s="129" t="s">
        <v>45</v>
      </c>
      <c r="BC855" s="129" t="s">
        <v>38</v>
      </c>
      <c r="BF855" s="111">
        <f>IF(J855&gt;1/1/1900,((J855+1)-I855),"STILL OPEN")</f>
        <v>2</v>
      </c>
      <c r="BG855" s="111">
        <f t="shared" si="652"/>
        <v>2</v>
      </c>
      <c r="BH855" s="111">
        <f t="shared" si="625"/>
        <v>2</v>
      </c>
      <c r="BI855" s="111">
        <f t="shared" si="626"/>
        <v>48.049180327868854</v>
      </c>
      <c r="BJ855" s="129">
        <f t="shared" si="631"/>
        <v>0</v>
      </c>
      <c r="BK855" s="129">
        <f t="shared" si="627"/>
        <v>0</v>
      </c>
      <c r="BL855" s="129" t="str">
        <f t="shared" si="612"/>
        <v>CONVICTION</v>
      </c>
      <c r="BM855" s="129" t="str">
        <f t="shared" si="632"/>
        <v>NONE</v>
      </c>
      <c r="BN855" s="129" t="s">
        <v>566</v>
      </c>
      <c r="BP855" s="137" t="str">
        <f t="shared" si="633"/>
        <v>CONVICTION</v>
      </c>
      <c r="BQ855" s="128" t="str">
        <f t="shared" si="634"/>
        <v>Y</v>
      </c>
      <c r="BR855" s="129" t="str">
        <f t="shared" si="635"/>
        <v>DETAINED</v>
      </c>
      <c r="BS855" s="129" t="str">
        <f t="shared" si="636"/>
        <v>DISPOSED</v>
      </c>
      <c r="BT855" s="129" t="str">
        <f t="shared" si="637"/>
        <v>N</v>
      </c>
      <c r="BU855" s="109">
        <f t="shared" si="648"/>
        <v>1</v>
      </c>
      <c r="BV855" s="109">
        <f t="shared" si="638"/>
        <v>1</v>
      </c>
      <c r="BW855" s="109">
        <f t="shared" si="651"/>
        <v>0</v>
      </c>
      <c r="BX855" s="111">
        <f t="shared" si="639"/>
        <v>0</v>
      </c>
      <c r="BY855" s="129">
        <f t="shared" si="640"/>
        <v>-2</v>
      </c>
      <c r="BZ855" s="111">
        <f t="shared" si="641"/>
        <v>0</v>
      </c>
      <c r="CA855" s="138">
        <f t="shared" si="642"/>
        <v>2</v>
      </c>
      <c r="CB855" s="111" t="e">
        <f>IF(AF855&gt;1/1/1900,((AF855+1)-AE855),"STILL OPEN")</f>
        <v>#VALUE!</v>
      </c>
      <c r="CC855" s="129">
        <f>G855-I855+1</f>
        <v>2</v>
      </c>
      <c r="CD855" s="129">
        <f t="shared" si="653"/>
        <v>0</v>
      </c>
      <c r="CE855" s="129">
        <f t="shared" si="643"/>
        <v>0</v>
      </c>
      <c r="CG855" s="129" t="str">
        <f t="shared" si="644"/>
        <v>Y</v>
      </c>
      <c r="CI855" s="129" t="str">
        <f t="shared" si="645"/>
        <v>0-10 DAYS</v>
      </c>
      <c r="CJ855" s="137">
        <f t="shared" si="646"/>
        <v>1</v>
      </c>
      <c r="CK855" s="129" t="str">
        <f t="shared" si="647"/>
        <v>Booked</v>
      </c>
    </row>
    <row r="856" spans="1:89" ht="15" customHeight="1" x14ac:dyDescent="0.25">
      <c r="A856" s="111">
        <v>2000</v>
      </c>
      <c r="B856" s="128" t="str">
        <f t="shared" si="628"/>
        <v>N</v>
      </c>
      <c r="C856" s="128" t="str">
        <f t="shared" si="629"/>
        <v>N</v>
      </c>
      <c r="D856" s="117">
        <v>1597973</v>
      </c>
      <c r="E856" s="135">
        <f t="shared" si="630"/>
        <v>2</v>
      </c>
      <c r="F856" s="124">
        <v>40984</v>
      </c>
      <c r="G856" s="125">
        <v>41302</v>
      </c>
      <c r="H856" s="117">
        <v>1597973</v>
      </c>
      <c r="I856" s="124" t="s">
        <v>562</v>
      </c>
      <c r="J856" s="124" t="s">
        <v>562</v>
      </c>
      <c r="K856" s="126">
        <v>2000</v>
      </c>
      <c r="L856" s="127" t="s">
        <v>568</v>
      </c>
      <c r="M856" s="125">
        <v>40985</v>
      </c>
      <c r="N856" s="129" t="str">
        <f>IF(M856&gt;1/1/1,"Y",IF(Q856="0","","N"))</f>
        <v>Y</v>
      </c>
      <c r="O856" s="128" t="s">
        <v>76</v>
      </c>
      <c r="P856" s="129" t="s">
        <v>589</v>
      </c>
      <c r="Q856" s="111">
        <f t="shared" si="654"/>
        <v>0</v>
      </c>
      <c r="R856" s="111">
        <f t="shared" si="624"/>
        <v>319</v>
      </c>
      <c r="S856" s="129">
        <v>1</v>
      </c>
      <c r="T856" s="129">
        <v>2</v>
      </c>
      <c r="W856" s="111"/>
      <c r="AC856" s="130"/>
      <c r="AD856" s="130">
        <v>25733</v>
      </c>
      <c r="AE856" s="128" t="s">
        <v>32</v>
      </c>
      <c r="AF856" s="128" t="s">
        <v>33</v>
      </c>
      <c r="AG856" s="128" t="s">
        <v>872</v>
      </c>
      <c r="AH856" s="108" t="s">
        <v>58</v>
      </c>
      <c r="AI856" s="128" t="s">
        <v>87</v>
      </c>
      <c r="AJ856" s="129" t="s">
        <v>48</v>
      </c>
      <c r="AK856" s="129">
        <v>11</v>
      </c>
      <c r="AL856" s="3" t="s">
        <v>48</v>
      </c>
      <c r="AP856" s="129" t="s">
        <v>63</v>
      </c>
      <c r="AR856" s="128" t="s">
        <v>44</v>
      </c>
      <c r="AS856" s="129" t="s">
        <v>64</v>
      </c>
      <c r="BC856" s="129" t="s">
        <v>52</v>
      </c>
      <c r="BF856" s="111">
        <v>0</v>
      </c>
      <c r="BG856" s="111">
        <v>0</v>
      </c>
      <c r="BH856" s="111">
        <f t="shared" si="625"/>
        <v>319</v>
      </c>
      <c r="BI856" s="111">
        <f t="shared" si="626"/>
        <v>41.669398907103826</v>
      </c>
      <c r="BJ856" s="129" t="e">
        <f t="shared" ref="BJ856:BJ862" si="655">(G856-J856)+(M856-G856)</f>
        <v>#VALUE!</v>
      </c>
      <c r="BK856" s="129" t="e">
        <f t="shared" si="627"/>
        <v>#VALUE!</v>
      </c>
      <c r="BL856" s="129" t="str">
        <f t="shared" si="612"/>
        <v>DEFERRED</v>
      </c>
      <c r="BM856" s="129" t="s">
        <v>76</v>
      </c>
      <c r="BN856" s="129" t="s">
        <v>88</v>
      </c>
      <c r="BP856" s="137" t="str">
        <f t="shared" si="633"/>
        <v>DEFERRED</v>
      </c>
      <c r="BQ856" s="128">
        <f t="shared" si="634"/>
        <v>0</v>
      </c>
      <c r="BR856" s="129" t="s">
        <v>575</v>
      </c>
      <c r="BS856" s="129" t="str">
        <f t="shared" si="636"/>
        <v>DISPOSED</v>
      </c>
      <c r="BT856" s="129" t="str">
        <f t="shared" si="637"/>
        <v>Y</v>
      </c>
      <c r="BU856" s="109">
        <f t="shared" si="648"/>
        <v>0</v>
      </c>
      <c r="BV856" s="109">
        <v>0</v>
      </c>
      <c r="BW856" s="109">
        <f t="shared" si="651"/>
        <v>0</v>
      </c>
      <c r="BX856" s="111">
        <f t="shared" si="639"/>
        <v>0</v>
      </c>
      <c r="BY856" s="129" t="e">
        <f t="shared" si="640"/>
        <v>#VALUE!</v>
      </c>
      <c r="BZ856" s="111" t="e">
        <f t="shared" si="641"/>
        <v>#VALUE!</v>
      </c>
      <c r="CA856" s="138" t="e">
        <f t="shared" si="642"/>
        <v>#VALUE!</v>
      </c>
      <c r="CB856" s="111">
        <v>0</v>
      </c>
      <c r="CC856" s="129">
        <v>0</v>
      </c>
      <c r="CD856" s="111">
        <f t="shared" ref="CD856:CD862" si="656">CC856-BF856</f>
        <v>0</v>
      </c>
      <c r="CE856" s="129" t="e">
        <f t="shared" si="643"/>
        <v>#VALUE!</v>
      </c>
      <c r="CG856" s="129" t="str">
        <f t="shared" si="644"/>
        <v>Y</v>
      </c>
      <c r="CI856" s="129" t="str">
        <f t="shared" si="645"/>
        <v>0-10 DAYS</v>
      </c>
      <c r="CJ856" s="137">
        <f t="shared" si="646"/>
        <v>1</v>
      </c>
      <c r="CK856" s="129" t="str">
        <f t="shared" si="647"/>
        <v>Not Booked</v>
      </c>
    </row>
    <row r="857" spans="1:89" ht="15" customHeight="1" x14ac:dyDescent="0.25">
      <c r="A857" s="111">
        <v>3126</v>
      </c>
      <c r="B857" s="128" t="str">
        <f t="shared" si="628"/>
        <v>N</v>
      </c>
      <c r="C857" s="128" t="str">
        <f t="shared" si="629"/>
        <v>N</v>
      </c>
      <c r="D857" s="117">
        <v>1598139</v>
      </c>
      <c r="E857" s="135">
        <f t="shared" si="630"/>
        <v>1</v>
      </c>
      <c r="F857" s="124">
        <v>41024</v>
      </c>
      <c r="G857" s="125">
        <v>41102</v>
      </c>
      <c r="H857" s="117">
        <v>1598139</v>
      </c>
      <c r="I857" s="124">
        <v>41024</v>
      </c>
      <c r="J857" s="124">
        <v>41027</v>
      </c>
      <c r="K857" s="126">
        <v>15000</v>
      </c>
      <c r="L857" s="127" t="s">
        <v>571</v>
      </c>
      <c r="M857" s="125">
        <v>41027</v>
      </c>
      <c r="N857" s="129" t="str">
        <f>IF(M857&gt;1/1/1,"Y","N")</f>
        <v>Y</v>
      </c>
      <c r="O857" s="128" t="s">
        <v>76</v>
      </c>
      <c r="P857" s="129" t="s">
        <v>55</v>
      </c>
      <c r="Q857" s="111">
        <f t="shared" si="654"/>
        <v>4</v>
      </c>
      <c r="R857" s="111">
        <f t="shared" si="624"/>
        <v>79</v>
      </c>
      <c r="S857" s="129">
        <v>3</v>
      </c>
      <c r="T857" s="129">
        <v>1</v>
      </c>
      <c r="U857" s="129">
        <v>1</v>
      </c>
      <c r="W857" s="111"/>
      <c r="AC857" s="130"/>
      <c r="AD857" s="130">
        <v>23792</v>
      </c>
      <c r="AE857" s="128" t="s">
        <v>32</v>
      </c>
      <c r="AF857" s="128" t="s">
        <v>33</v>
      </c>
      <c r="AG857" s="128" t="s">
        <v>872</v>
      </c>
      <c r="AH857" s="108" t="s">
        <v>58</v>
      </c>
      <c r="AI857" s="128" t="s">
        <v>34</v>
      </c>
      <c r="AJ857" s="129" t="s">
        <v>55</v>
      </c>
      <c r="AK857" s="129">
        <v>5</v>
      </c>
      <c r="AL857" s="3" t="s">
        <v>55</v>
      </c>
      <c r="AP857" s="129" t="s">
        <v>107</v>
      </c>
      <c r="AR857" s="128" t="s">
        <v>44</v>
      </c>
      <c r="AS857" s="129" t="s">
        <v>57</v>
      </c>
      <c r="BC857" s="129" t="s">
        <v>99</v>
      </c>
      <c r="BF857" s="111">
        <f>IF(J857&gt;1/1/1900,((J857+1)-I857),"STILL OPEN")</f>
        <v>4</v>
      </c>
      <c r="BG857" s="111">
        <f>IF(G857&gt;1/1/1900,((G857+1)-I857),"STILL OPEN")</f>
        <v>79</v>
      </c>
      <c r="BH857" s="111">
        <f t="shared" si="625"/>
        <v>79</v>
      </c>
      <c r="BI857" s="111">
        <f t="shared" si="626"/>
        <v>47.081967213114751</v>
      </c>
      <c r="BJ857" s="129">
        <f t="shared" si="655"/>
        <v>0</v>
      </c>
      <c r="BK857" s="129">
        <f t="shared" si="627"/>
        <v>-75</v>
      </c>
      <c r="BL857" s="129" t="str">
        <f t="shared" ref="BL857:BL920" si="657">IF(OR(AL857="AQUITTAL",AL857="DISMISSED",AL857="FINE",AL857="NO BILL"),"NO CONVICTION",IF(OR(AL857="HCJ",AL857="MHH",AL857="PROBATION",AL857="STJ",AL857="TDC"),"CONVICTION",IF(AL857="DEFERRED","DEFERRED",0)))</f>
        <v>NO CONVICTION</v>
      </c>
      <c r="BM857" s="129" t="s">
        <v>76</v>
      </c>
      <c r="BN857" s="129" t="s">
        <v>88</v>
      </c>
      <c r="BP857" s="137" t="str">
        <f t="shared" si="633"/>
        <v>NO CONVICTION</v>
      </c>
      <c r="BQ857" s="128" t="str">
        <f t="shared" si="634"/>
        <v>Y</v>
      </c>
      <c r="BR857" s="129" t="str">
        <f t="shared" si="635"/>
        <v>ON BOND</v>
      </c>
      <c r="BS857" s="129" t="str">
        <f t="shared" si="636"/>
        <v>DISPOSED</v>
      </c>
      <c r="BT857" s="129" t="str">
        <f t="shared" si="637"/>
        <v>Y</v>
      </c>
      <c r="BU857" s="109">
        <f>IFERROR(Q857/R857,BR857)</f>
        <v>5.0632911392405063E-2</v>
      </c>
      <c r="BV857" s="109">
        <f t="shared" si="638"/>
        <v>5.0632911392405063E-2</v>
      </c>
      <c r="BW857" s="109">
        <f t="shared" si="651"/>
        <v>0</v>
      </c>
      <c r="BX857" s="111">
        <f t="shared" si="639"/>
        <v>0</v>
      </c>
      <c r="BY857" s="129">
        <f t="shared" si="640"/>
        <v>-4</v>
      </c>
      <c r="BZ857" s="111">
        <f t="shared" si="641"/>
        <v>0</v>
      </c>
      <c r="CA857" s="138">
        <f t="shared" si="642"/>
        <v>4</v>
      </c>
      <c r="CB857" s="111" t="e">
        <f>IF(AF857&gt;1/1/1900,((AF857+1)-AE857),"STILL OPEN")</f>
        <v>#VALUE!</v>
      </c>
      <c r="CC857" s="129">
        <f t="shared" ref="CC857:CC862" si="658">M857-I857+1</f>
        <v>4</v>
      </c>
      <c r="CD857" s="111">
        <f t="shared" si="656"/>
        <v>0</v>
      </c>
      <c r="CE857" s="129">
        <f t="shared" si="643"/>
        <v>75</v>
      </c>
      <c r="CG857" s="129" t="str">
        <f t="shared" si="644"/>
        <v>Y</v>
      </c>
      <c r="CI857" s="129" t="str">
        <f t="shared" si="645"/>
        <v>0-10 DAYS</v>
      </c>
      <c r="CJ857" s="137">
        <f t="shared" si="646"/>
        <v>1</v>
      </c>
      <c r="CK857" s="129" t="str">
        <f t="shared" si="647"/>
        <v>Booked</v>
      </c>
    </row>
    <row r="858" spans="1:89" ht="15.75" customHeight="1" x14ac:dyDescent="0.25">
      <c r="A858" s="111">
        <v>1903</v>
      </c>
      <c r="B858" s="128" t="str">
        <f t="shared" si="628"/>
        <v>N</v>
      </c>
      <c r="C858" s="128" t="str">
        <f t="shared" si="629"/>
        <v>N</v>
      </c>
      <c r="D858" s="117">
        <v>1598708</v>
      </c>
      <c r="E858" s="135">
        <f t="shared" si="630"/>
        <v>4</v>
      </c>
      <c r="F858" s="124">
        <v>40979</v>
      </c>
      <c r="G858" s="125">
        <v>41169</v>
      </c>
      <c r="H858" s="117">
        <v>1598708</v>
      </c>
      <c r="I858" s="124">
        <v>40979</v>
      </c>
      <c r="J858" s="124">
        <v>40983</v>
      </c>
      <c r="K858" s="126">
        <v>5000</v>
      </c>
      <c r="L858" s="127" t="s">
        <v>569</v>
      </c>
      <c r="M858" s="125">
        <v>40983</v>
      </c>
      <c r="N858" s="129" t="str">
        <f>IF(M858&gt;1/1/1,"Y","N")</f>
        <v>Y</v>
      </c>
      <c r="O858" s="128" t="s">
        <v>76</v>
      </c>
      <c r="P858" s="129" t="s">
        <v>39</v>
      </c>
      <c r="Q858" s="111">
        <f t="shared" si="654"/>
        <v>5</v>
      </c>
      <c r="R858" s="111">
        <f t="shared" si="624"/>
        <v>191</v>
      </c>
      <c r="S858" s="129">
        <v>2</v>
      </c>
      <c r="T858" s="129">
        <v>2</v>
      </c>
      <c r="U858" s="129">
        <v>1</v>
      </c>
      <c r="W858" s="111"/>
      <c r="AC858" s="130"/>
      <c r="AD858" s="130">
        <v>28878</v>
      </c>
      <c r="AE858" s="128" t="s">
        <v>32</v>
      </c>
      <c r="AF858" s="128" t="s">
        <v>33</v>
      </c>
      <c r="AG858" s="128" t="s">
        <v>872</v>
      </c>
      <c r="AH858" s="108" t="s">
        <v>31</v>
      </c>
      <c r="AI858" s="128" t="s">
        <v>47</v>
      </c>
      <c r="AJ858" s="129" t="s">
        <v>89</v>
      </c>
      <c r="AK858" s="129">
        <v>8</v>
      </c>
      <c r="AL858" s="3" t="s">
        <v>991</v>
      </c>
      <c r="AO858" s="128">
        <v>45</v>
      </c>
      <c r="AP858" s="129" t="s">
        <v>43</v>
      </c>
      <c r="AR858" s="128" t="s">
        <v>44</v>
      </c>
      <c r="AS858" s="129" t="s">
        <v>45</v>
      </c>
      <c r="BC858" s="129" t="s">
        <v>52</v>
      </c>
      <c r="BF858" s="111">
        <f>IF(J858&gt;1/1/1900,((J858+1)-I858),"STILL OPEN")</f>
        <v>5</v>
      </c>
      <c r="BG858" s="111">
        <f>IF(G858&gt;1/1/1900,((G858+1)-I858),"STILL OPEN")</f>
        <v>191</v>
      </c>
      <c r="BH858" s="111">
        <f t="shared" si="625"/>
        <v>191</v>
      </c>
      <c r="BI858" s="111">
        <f t="shared" si="626"/>
        <v>33.062841530054648</v>
      </c>
      <c r="BJ858" s="129">
        <f t="shared" si="655"/>
        <v>0</v>
      </c>
      <c r="BK858" s="129">
        <f t="shared" si="627"/>
        <v>-186</v>
      </c>
      <c r="BL858" s="129" t="str">
        <f t="shared" si="657"/>
        <v>CONVICTION</v>
      </c>
      <c r="BM858" s="129" t="s">
        <v>76</v>
      </c>
      <c r="BN858" s="129" t="s">
        <v>88</v>
      </c>
      <c r="BP858" s="137" t="str">
        <f t="shared" si="633"/>
        <v>CONVICTION</v>
      </c>
      <c r="BQ858" s="128" t="str">
        <f t="shared" si="634"/>
        <v>Y</v>
      </c>
      <c r="BR858" s="129" t="str">
        <f>IF(J858&lt;G858,"ON BOND",0)</f>
        <v>ON BOND</v>
      </c>
      <c r="BS858" s="129" t="str">
        <f t="shared" si="636"/>
        <v>DISPOSED</v>
      </c>
      <c r="BT858" s="129" t="str">
        <f t="shared" si="637"/>
        <v>Y</v>
      </c>
      <c r="BU858" s="109">
        <f t="shared" si="648"/>
        <v>2.6178010471204188E-2</v>
      </c>
      <c r="BV858" s="109">
        <f t="shared" si="638"/>
        <v>2.6178010471204188E-2</v>
      </c>
      <c r="BW858" s="109">
        <f t="shared" si="651"/>
        <v>0</v>
      </c>
      <c r="BX858" s="111">
        <f t="shared" si="639"/>
        <v>0</v>
      </c>
      <c r="BY858" s="129">
        <f t="shared" si="640"/>
        <v>-5</v>
      </c>
      <c r="BZ858" s="111">
        <f t="shared" si="641"/>
        <v>0</v>
      </c>
      <c r="CA858" s="138">
        <f t="shared" si="642"/>
        <v>5</v>
      </c>
      <c r="CB858" s="111" t="e">
        <f>IF(AF858&gt;1/1/1900,((AF858+1)-AE858),"STILL OPEN")</f>
        <v>#VALUE!</v>
      </c>
      <c r="CC858" s="129">
        <f t="shared" si="658"/>
        <v>5</v>
      </c>
      <c r="CD858" s="111">
        <f t="shared" si="656"/>
        <v>0</v>
      </c>
      <c r="CE858" s="129">
        <f t="shared" si="643"/>
        <v>186</v>
      </c>
      <c r="CG858" s="129" t="str">
        <f t="shared" si="644"/>
        <v>Y</v>
      </c>
      <c r="CI858" s="129" t="str">
        <f t="shared" si="645"/>
        <v>0-10 DAYS</v>
      </c>
      <c r="CJ858" s="137">
        <f t="shared" si="646"/>
        <v>1</v>
      </c>
      <c r="CK858" s="129" t="str">
        <f t="shared" si="647"/>
        <v>Booked</v>
      </c>
    </row>
    <row r="859" spans="1:89" ht="15.75" customHeight="1" x14ac:dyDescent="0.25">
      <c r="A859" s="111">
        <v>910</v>
      </c>
      <c r="B859" s="128" t="str">
        <f t="shared" si="628"/>
        <v>N</v>
      </c>
      <c r="C859" s="128" t="str">
        <f t="shared" si="629"/>
        <v>N</v>
      </c>
      <c r="D859" s="117">
        <v>1598878</v>
      </c>
      <c r="E859" s="135">
        <f t="shared" si="630"/>
        <v>4</v>
      </c>
      <c r="F859" s="124">
        <v>40946</v>
      </c>
      <c r="G859" s="125">
        <v>41318</v>
      </c>
      <c r="H859" s="117">
        <v>1598878</v>
      </c>
      <c r="I859" s="124">
        <v>40946</v>
      </c>
      <c r="J859" s="124">
        <v>41031</v>
      </c>
      <c r="K859" s="126">
        <v>20000</v>
      </c>
      <c r="L859" s="127" t="s">
        <v>571</v>
      </c>
      <c r="M859" s="125">
        <v>41031</v>
      </c>
      <c r="N859" s="129" t="str">
        <f>IF(M859&gt;1/1/1,"Y","N")</f>
        <v>Y</v>
      </c>
      <c r="O859" s="128" t="s">
        <v>585</v>
      </c>
      <c r="P859" s="129" t="s">
        <v>39</v>
      </c>
      <c r="Q859" s="111">
        <f t="shared" si="654"/>
        <v>86</v>
      </c>
      <c r="R859" s="111">
        <f t="shared" si="624"/>
        <v>373</v>
      </c>
      <c r="S859" s="129">
        <v>4</v>
      </c>
      <c r="T859" s="129">
        <v>1</v>
      </c>
      <c r="U859" s="129">
        <v>3</v>
      </c>
      <c r="W859" s="111"/>
      <c r="AC859" s="130"/>
      <c r="AD859" s="130">
        <v>28465</v>
      </c>
      <c r="AE859" s="128" t="s">
        <v>32</v>
      </c>
      <c r="AF859" s="128" t="s">
        <v>33</v>
      </c>
      <c r="AG859" s="128" t="s">
        <v>872</v>
      </c>
      <c r="AH859" s="108" t="s">
        <v>58</v>
      </c>
      <c r="AI859" s="128" t="s">
        <v>71</v>
      </c>
      <c r="AJ859" s="129" t="s">
        <v>89</v>
      </c>
      <c r="AK859" s="129">
        <v>15</v>
      </c>
      <c r="AL859" s="3" t="s">
        <v>991</v>
      </c>
      <c r="AO859" s="128">
        <v>100</v>
      </c>
      <c r="AP859" s="129" t="s">
        <v>84</v>
      </c>
      <c r="AR859" s="128" t="s">
        <v>67</v>
      </c>
      <c r="AS859" s="129" t="s">
        <v>74</v>
      </c>
      <c r="BC859" s="129" t="s">
        <v>52</v>
      </c>
      <c r="BF859" s="111">
        <f>IF(J859&gt;1/1/1900,((J859+1)-I859),"STILL OPEN")</f>
        <v>86</v>
      </c>
      <c r="BG859" s="111">
        <f>IF(G859&gt;1/1/1900,((G859+1)-I859),"STILL OPEN")</f>
        <v>373</v>
      </c>
      <c r="BH859" s="111">
        <f t="shared" si="625"/>
        <v>373</v>
      </c>
      <c r="BI859" s="111">
        <f t="shared" si="626"/>
        <v>34.101092896174862</v>
      </c>
      <c r="BJ859" s="129">
        <f t="shared" si="655"/>
        <v>0</v>
      </c>
      <c r="BK859" s="129">
        <f t="shared" si="627"/>
        <v>-287</v>
      </c>
      <c r="BL859" s="129" t="str">
        <f t="shared" si="657"/>
        <v>CONVICTION</v>
      </c>
      <c r="BM859" s="129" t="s">
        <v>76</v>
      </c>
      <c r="BN859" s="129" t="s">
        <v>88</v>
      </c>
      <c r="BP859" s="137" t="str">
        <f t="shared" si="633"/>
        <v>CONVICTION</v>
      </c>
      <c r="BQ859" s="128" t="str">
        <f t="shared" si="634"/>
        <v>Y</v>
      </c>
      <c r="BR859" s="129" t="str">
        <f>IF(J859&lt;G859,"ON BOND",0)</f>
        <v>ON BOND</v>
      </c>
      <c r="BS859" s="129" t="str">
        <f t="shared" si="636"/>
        <v>DISPOSED</v>
      </c>
      <c r="BT859" s="129" t="str">
        <f t="shared" si="637"/>
        <v>Y</v>
      </c>
      <c r="BU859" s="109">
        <f t="shared" si="648"/>
        <v>0.23056300268096513</v>
      </c>
      <c r="BV859" s="109">
        <f t="shared" si="638"/>
        <v>0.23056300268096513</v>
      </c>
      <c r="BW859" s="109">
        <f t="shared" si="651"/>
        <v>0</v>
      </c>
      <c r="BX859" s="111">
        <f t="shared" si="639"/>
        <v>0</v>
      </c>
      <c r="BY859" s="129">
        <f t="shared" si="640"/>
        <v>-86</v>
      </c>
      <c r="BZ859" s="111">
        <f t="shared" si="641"/>
        <v>0</v>
      </c>
      <c r="CA859" s="138">
        <f t="shared" si="642"/>
        <v>86</v>
      </c>
      <c r="CB859" s="111" t="e">
        <f>IF(AF859&gt;1/1/1900,((AF859+1)-AE859),"STILL OPEN")</f>
        <v>#VALUE!</v>
      </c>
      <c r="CC859" s="129">
        <f t="shared" si="658"/>
        <v>86</v>
      </c>
      <c r="CD859" s="111">
        <f t="shared" si="656"/>
        <v>0</v>
      </c>
      <c r="CE859" s="129">
        <f t="shared" si="643"/>
        <v>287</v>
      </c>
      <c r="CG859" s="129" t="str">
        <f t="shared" si="644"/>
        <v>Y</v>
      </c>
      <c r="CI859" s="129" t="str">
        <f t="shared" si="645"/>
        <v>61-90 DAYS</v>
      </c>
      <c r="CJ859" s="137">
        <f t="shared" si="646"/>
        <v>4</v>
      </c>
      <c r="CK859" s="129" t="str">
        <f t="shared" si="647"/>
        <v>Booked</v>
      </c>
    </row>
    <row r="860" spans="1:89" ht="15" customHeight="1" x14ac:dyDescent="0.25">
      <c r="A860" s="111">
        <v>2055</v>
      </c>
      <c r="B860" s="128" t="str">
        <f t="shared" si="628"/>
        <v>N</v>
      </c>
      <c r="C860" s="128" t="str">
        <f t="shared" si="629"/>
        <v>N</v>
      </c>
      <c r="D860" s="117">
        <v>1599618</v>
      </c>
      <c r="E860" s="135">
        <f t="shared" si="630"/>
        <v>3</v>
      </c>
      <c r="F860" s="124">
        <v>40986</v>
      </c>
      <c r="G860" s="125">
        <v>41192</v>
      </c>
      <c r="H860" s="117">
        <v>1599618</v>
      </c>
      <c r="I860" s="124">
        <v>40986</v>
      </c>
      <c r="J860" s="124">
        <v>40987</v>
      </c>
      <c r="K860" s="126">
        <v>10000</v>
      </c>
      <c r="L860" s="127" t="s">
        <v>570</v>
      </c>
      <c r="M860" s="125">
        <v>40987</v>
      </c>
      <c r="N860" s="129" t="str">
        <f>IF(M860&gt;1/1/1,"Y","N")</f>
        <v>Y</v>
      </c>
      <c r="O860" s="128" t="s">
        <v>585</v>
      </c>
      <c r="P860" s="129" t="s">
        <v>39</v>
      </c>
      <c r="Q860" s="111">
        <f t="shared" si="654"/>
        <v>2</v>
      </c>
      <c r="R860" s="111">
        <f t="shared" si="624"/>
        <v>207</v>
      </c>
      <c r="S860" s="129">
        <v>2</v>
      </c>
      <c r="T860" s="129">
        <v>1</v>
      </c>
      <c r="V860" s="117">
        <v>1</v>
      </c>
      <c r="W860" s="111"/>
      <c r="AC860" s="130"/>
      <c r="AD860" s="130">
        <v>28500</v>
      </c>
      <c r="AE860" s="128" t="s">
        <v>32</v>
      </c>
      <c r="AF860" s="128" t="s">
        <v>33</v>
      </c>
      <c r="AG860" s="128" t="s">
        <v>872</v>
      </c>
      <c r="AH860" s="108" t="s">
        <v>31</v>
      </c>
      <c r="AI860" s="128" t="s">
        <v>87</v>
      </c>
      <c r="AJ860" s="129" t="s">
        <v>89</v>
      </c>
      <c r="AK860" s="129">
        <v>8</v>
      </c>
      <c r="AL860" s="3" t="s">
        <v>185</v>
      </c>
      <c r="AP860" s="129" t="s">
        <v>66</v>
      </c>
      <c r="AR860" s="128" t="s">
        <v>67</v>
      </c>
      <c r="AS860" s="129" t="s">
        <v>68</v>
      </c>
      <c r="BC860" s="129" t="s">
        <v>52</v>
      </c>
      <c r="BF860" s="111">
        <f>IF(J860&gt;1/1/1900,((J860+1)-I860),"STILL OPEN")</f>
        <v>2</v>
      </c>
      <c r="BG860" s="111">
        <f>IF(G860&gt;1/1/1900,((G860+1)-I860),"STILL OPEN")</f>
        <v>207</v>
      </c>
      <c r="BH860" s="111">
        <f t="shared" si="625"/>
        <v>207</v>
      </c>
      <c r="BI860" s="111">
        <f t="shared" si="626"/>
        <v>34.114754098360656</v>
      </c>
      <c r="BJ860" s="129">
        <f t="shared" si="655"/>
        <v>0</v>
      </c>
      <c r="BK860" s="129">
        <f t="shared" si="627"/>
        <v>-205</v>
      </c>
      <c r="BL860" s="129" t="str">
        <f t="shared" si="657"/>
        <v>CONVICTION</v>
      </c>
      <c r="BM860" s="129" t="s">
        <v>76</v>
      </c>
      <c r="BN860" s="129" t="s">
        <v>88</v>
      </c>
      <c r="BP860" s="137" t="str">
        <f t="shared" si="633"/>
        <v>CONVICTION</v>
      </c>
      <c r="BQ860" s="128" t="str">
        <f t="shared" si="634"/>
        <v>Y</v>
      </c>
      <c r="BR860" s="129" t="str">
        <f>IF(J860&lt;G860,"ON BOND",0)</f>
        <v>ON BOND</v>
      </c>
      <c r="BS860" s="129" t="str">
        <f t="shared" si="636"/>
        <v>DISPOSED</v>
      </c>
      <c r="BT860" s="129" t="str">
        <f t="shared" si="637"/>
        <v>Y</v>
      </c>
      <c r="BU860" s="109">
        <f t="shared" si="648"/>
        <v>9.6618357487922701E-3</v>
      </c>
      <c r="BV860" s="109">
        <f t="shared" si="638"/>
        <v>9.6618357487922701E-3</v>
      </c>
      <c r="BW860" s="109">
        <f t="shared" si="651"/>
        <v>0</v>
      </c>
      <c r="BX860" s="111">
        <f t="shared" si="639"/>
        <v>0</v>
      </c>
      <c r="BY860" s="129">
        <f t="shared" si="640"/>
        <v>-2</v>
      </c>
      <c r="BZ860" s="111">
        <f t="shared" si="641"/>
        <v>0</v>
      </c>
      <c r="CA860" s="138">
        <f t="shared" si="642"/>
        <v>2</v>
      </c>
      <c r="CB860" s="111" t="e">
        <f>IF(AF860&gt;1/1/1900,((AF860+1)-AE860),"STILL OPEN")</f>
        <v>#VALUE!</v>
      </c>
      <c r="CC860" s="129">
        <f t="shared" si="658"/>
        <v>2</v>
      </c>
      <c r="CD860" s="111">
        <f t="shared" si="656"/>
        <v>0</v>
      </c>
      <c r="CE860" s="129">
        <f t="shared" si="643"/>
        <v>205</v>
      </c>
      <c r="CG860" s="129" t="str">
        <f t="shared" si="644"/>
        <v>Y</v>
      </c>
      <c r="CI860" s="129" t="str">
        <f t="shared" si="645"/>
        <v>0-10 DAYS</v>
      </c>
      <c r="CJ860" s="137">
        <f t="shared" si="646"/>
        <v>1</v>
      </c>
      <c r="CK860" s="129" t="str">
        <f t="shared" si="647"/>
        <v>Booked</v>
      </c>
    </row>
    <row r="861" spans="1:89" ht="15" customHeight="1" x14ac:dyDescent="0.25">
      <c r="A861" s="111">
        <v>463</v>
      </c>
      <c r="B861" s="128" t="str">
        <f t="shared" si="628"/>
        <v>N</v>
      </c>
      <c r="C861" s="128" t="str">
        <f t="shared" si="629"/>
        <v>N</v>
      </c>
      <c r="D861" s="117">
        <v>1600433</v>
      </c>
      <c r="E861" s="135">
        <f t="shared" si="630"/>
        <v>1</v>
      </c>
      <c r="F861" s="124">
        <v>40927</v>
      </c>
      <c r="G861" s="125">
        <v>41130</v>
      </c>
      <c r="H861" s="117">
        <v>1600433</v>
      </c>
      <c r="I861" s="124" t="s">
        <v>562</v>
      </c>
      <c r="J861" s="124" t="s">
        <v>562</v>
      </c>
      <c r="K861" s="126">
        <v>5000</v>
      </c>
      <c r="L861" s="127" t="s">
        <v>569</v>
      </c>
      <c r="M861" s="125">
        <v>40928</v>
      </c>
      <c r="N861" s="129" t="str">
        <f>IF(M861&gt;1/1/1,"Y",IF(Q861="0","","N"))</f>
        <v>Y</v>
      </c>
      <c r="O861" s="128" t="s">
        <v>76</v>
      </c>
      <c r="P861" s="129" t="s">
        <v>55</v>
      </c>
      <c r="Q861" s="111">
        <f t="shared" si="654"/>
        <v>0</v>
      </c>
      <c r="R861" s="111">
        <f t="shared" si="624"/>
        <v>204</v>
      </c>
      <c r="S861" s="129">
        <v>0</v>
      </c>
      <c r="T861" s="129">
        <v>4</v>
      </c>
      <c r="W861" s="111"/>
      <c r="AC861" s="130"/>
      <c r="AD861" s="130">
        <v>27444</v>
      </c>
      <c r="AE861" s="128" t="s">
        <v>32</v>
      </c>
      <c r="AF861" s="128" t="s">
        <v>33</v>
      </c>
      <c r="AG861" s="128" t="s">
        <v>872</v>
      </c>
      <c r="AH861" s="108" t="s">
        <v>58</v>
      </c>
      <c r="AI861" s="128" t="s">
        <v>85</v>
      </c>
      <c r="AJ861" s="129" t="s">
        <v>55</v>
      </c>
      <c r="AK861" s="129">
        <v>7</v>
      </c>
      <c r="AL861" s="3" t="s">
        <v>55</v>
      </c>
      <c r="AP861" s="129" t="s">
        <v>208</v>
      </c>
      <c r="AR861" s="128" t="s">
        <v>67</v>
      </c>
      <c r="AS861" s="129" t="s">
        <v>57</v>
      </c>
      <c r="BC861" s="129" t="s">
        <v>52</v>
      </c>
      <c r="BF861" s="111">
        <v>0</v>
      </c>
      <c r="BG861" s="111">
        <v>0</v>
      </c>
      <c r="BH861" s="111">
        <f t="shared" si="625"/>
        <v>204</v>
      </c>
      <c r="BI861" s="111">
        <f t="shared" si="626"/>
        <v>36.838797814207652</v>
      </c>
      <c r="BJ861" s="129" t="e">
        <f t="shared" si="655"/>
        <v>#VALUE!</v>
      </c>
      <c r="BK861" s="129" t="e">
        <f t="shared" si="627"/>
        <v>#VALUE!</v>
      </c>
      <c r="BL861" s="129" t="str">
        <f t="shared" si="657"/>
        <v>NO CONVICTION</v>
      </c>
      <c r="BM861" s="129" t="s">
        <v>76</v>
      </c>
      <c r="BN861" s="129" t="s">
        <v>88</v>
      </c>
      <c r="BP861" s="137" t="str">
        <f t="shared" si="633"/>
        <v>NO CONVICTION</v>
      </c>
      <c r="BQ861" s="128">
        <f t="shared" si="634"/>
        <v>0</v>
      </c>
      <c r="BR861" s="129" t="s">
        <v>575</v>
      </c>
      <c r="BS861" s="129" t="str">
        <f t="shared" si="636"/>
        <v>DISPOSED</v>
      </c>
      <c r="BT861" s="129" t="str">
        <f t="shared" si="637"/>
        <v>N</v>
      </c>
      <c r="BU861" s="109">
        <f>IFERROR(Q861/R861,BR861)</f>
        <v>0</v>
      </c>
      <c r="BV861" s="109">
        <v>0</v>
      </c>
      <c r="BW861" s="109">
        <f t="shared" si="651"/>
        <v>0</v>
      </c>
      <c r="BX861" s="111">
        <f t="shared" si="639"/>
        <v>0</v>
      </c>
      <c r="BY861" s="129" t="e">
        <f t="shared" si="640"/>
        <v>#VALUE!</v>
      </c>
      <c r="BZ861" s="111" t="e">
        <f t="shared" si="641"/>
        <v>#VALUE!</v>
      </c>
      <c r="CA861" s="138" t="e">
        <f t="shared" si="642"/>
        <v>#VALUE!</v>
      </c>
      <c r="CB861" s="111">
        <v>0</v>
      </c>
      <c r="CC861" s="129">
        <v>0</v>
      </c>
      <c r="CD861" s="111">
        <f t="shared" si="656"/>
        <v>0</v>
      </c>
      <c r="CE861" s="129" t="e">
        <f t="shared" si="643"/>
        <v>#VALUE!</v>
      </c>
      <c r="CG861" s="129" t="str">
        <f t="shared" si="644"/>
        <v>Y</v>
      </c>
      <c r="CI861" s="129" t="str">
        <f t="shared" si="645"/>
        <v>0-10 DAYS</v>
      </c>
      <c r="CJ861" s="137">
        <f t="shared" si="646"/>
        <v>1</v>
      </c>
      <c r="CK861" s="129" t="str">
        <f t="shared" si="647"/>
        <v>Not Booked</v>
      </c>
    </row>
    <row r="862" spans="1:89" ht="15.75" customHeight="1" x14ac:dyDescent="0.25">
      <c r="A862" s="111">
        <v>2930</v>
      </c>
      <c r="B862" s="128" t="str">
        <f t="shared" si="628"/>
        <v>N</v>
      </c>
      <c r="C862" s="128" t="str">
        <f t="shared" si="629"/>
        <v>N</v>
      </c>
      <c r="D862" s="117">
        <v>1600655</v>
      </c>
      <c r="E862" s="135">
        <f t="shared" si="630"/>
        <v>4</v>
      </c>
      <c r="F862" s="124">
        <v>41017</v>
      </c>
      <c r="G862" s="125">
        <v>41129</v>
      </c>
      <c r="H862" s="117">
        <v>1600655</v>
      </c>
      <c r="I862" s="124">
        <v>41017</v>
      </c>
      <c r="J862" s="124">
        <v>41023</v>
      </c>
      <c r="K862" s="126">
        <v>5000</v>
      </c>
      <c r="L862" s="127" t="s">
        <v>569</v>
      </c>
      <c r="M862" s="125">
        <v>41023</v>
      </c>
      <c r="N862" s="129" t="str">
        <f>IF(M862&gt;1/1/1,"Y","N")</f>
        <v>Y</v>
      </c>
      <c r="O862" s="128" t="s">
        <v>76</v>
      </c>
      <c r="P862" s="129" t="s">
        <v>39</v>
      </c>
      <c r="Q862" s="111">
        <f t="shared" si="654"/>
        <v>7</v>
      </c>
      <c r="R862" s="111">
        <f t="shared" si="624"/>
        <v>113</v>
      </c>
      <c r="S862" s="129">
        <v>0</v>
      </c>
      <c r="T862" s="129">
        <v>1</v>
      </c>
      <c r="W862" s="111"/>
      <c r="AC862" s="130"/>
      <c r="AD862" s="130">
        <v>25677</v>
      </c>
      <c r="AE862" s="128" t="s">
        <v>32</v>
      </c>
      <c r="AF862" s="128" t="s">
        <v>40</v>
      </c>
      <c r="AG862" s="128" t="s">
        <v>41</v>
      </c>
      <c r="AH862" s="108" t="s">
        <v>41</v>
      </c>
      <c r="AI862" s="128" t="s">
        <v>65</v>
      </c>
      <c r="AJ862" s="129" t="s">
        <v>89</v>
      </c>
      <c r="AK862" s="129">
        <v>7</v>
      </c>
      <c r="AL862" s="3" t="s">
        <v>991</v>
      </c>
      <c r="AO862" s="128">
        <v>10</v>
      </c>
      <c r="AP862" s="129" t="s">
        <v>150</v>
      </c>
      <c r="AR862" s="128" t="s">
        <v>67</v>
      </c>
      <c r="AS862" s="129" t="s">
        <v>74</v>
      </c>
      <c r="BC862" s="129" t="s">
        <v>52</v>
      </c>
      <c r="BF862" s="111">
        <f t="shared" ref="BF862:BF895" si="659">IF(J862&gt;1/1/1900,((J862+1)-I862),"STILL OPEN")</f>
        <v>7</v>
      </c>
      <c r="BG862" s="111">
        <f t="shared" ref="BG862:BG893" si="660">IF(G862&gt;1/1/1900,((G862+1)-I862),"STILL OPEN")</f>
        <v>113</v>
      </c>
      <c r="BH862" s="111">
        <f t="shared" si="625"/>
        <v>113</v>
      </c>
      <c r="BI862" s="111">
        <f t="shared" si="626"/>
        <v>41.912568306010932</v>
      </c>
      <c r="BJ862" s="129">
        <f t="shared" si="655"/>
        <v>0</v>
      </c>
      <c r="BK862" s="129">
        <f t="shared" si="627"/>
        <v>-106</v>
      </c>
      <c r="BL862" s="129" t="str">
        <f t="shared" si="657"/>
        <v>CONVICTION</v>
      </c>
      <c r="BM862" s="129" t="s">
        <v>76</v>
      </c>
      <c r="BN862" s="129" t="s">
        <v>88</v>
      </c>
      <c r="BP862" s="137" t="str">
        <f t="shared" si="633"/>
        <v>CONVICTION</v>
      </c>
      <c r="BQ862" s="128" t="str">
        <f t="shared" si="634"/>
        <v>Y</v>
      </c>
      <c r="BR862" s="129" t="str">
        <f>IF(J862&lt;G862,"ON BOND",0)</f>
        <v>ON BOND</v>
      </c>
      <c r="BS862" s="129" t="str">
        <f t="shared" si="636"/>
        <v>DISPOSED</v>
      </c>
      <c r="BT862" s="129" t="str">
        <f t="shared" si="637"/>
        <v>N</v>
      </c>
      <c r="BU862" s="109">
        <f t="shared" si="648"/>
        <v>6.1946902654867256E-2</v>
      </c>
      <c r="BV862" s="109">
        <f t="shared" si="638"/>
        <v>6.1946902654867256E-2</v>
      </c>
      <c r="BW862" s="109">
        <f t="shared" si="651"/>
        <v>0</v>
      </c>
      <c r="BX862" s="111">
        <f t="shared" si="639"/>
        <v>0</v>
      </c>
      <c r="BY862" s="129">
        <f t="shared" si="640"/>
        <v>-7</v>
      </c>
      <c r="BZ862" s="111">
        <f t="shared" si="641"/>
        <v>0</v>
      </c>
      <c r="CA862" s="138">
        <f t="shared" si="642"/>
        <v>7</v>
      </c>
      <c r="CB862" s="111" t="e">
        <f t="shared" ref="CB862:CB895" si="661">IF(AF862&gt;1/1/1900,((AF862+1)-AE862),"STILL OPEN")</f>
        <v>#VALUE!</v>
      </c>
      <c r="CC862" s="129">
        <f t="shared" si="658"/>
        <v>7</v>
      </c>
      <c r="CD862" s="111">
        <f t="shared" si="656"/>
        <v>0</v>
      </c>
      <c r="CE862" s="129">
        <f t="shared" si="643"/>
        <v>106</v>
      </c>
      <c r="CG862" s="129" t="str">
        <f t="shared" si="644"/>
        <v>Y</v>
      </c>
      <c r="CI862" s="129" t="str">
        <f t="shared" si="645"/>
        <v>0-10 DAYS</v>
      </c>
      <c r="CJ862" s="137">
        <f t="shared" si="646"/>
        <v>1</v>
      </c>
      <c r="CK862" s="129" t="str">
        <f t="shared" si="647"/>
        <v>Booked</v>
      </c>
    </row>
    <row r="863" spans="1:89" ht="15" customHeight="1" x14ac:dyDescent="0.25">
      <c r="A863" s="111">
        <v>2716</v>
      </c>
      <c r="B863" s="128" t="str">
        <f t="shared" si="628"/>
        <v>N</v>
      </c>
      <c r="C863" s="128" t="str">
        <f t="shared" si="629"/>
        <v>N</v>
      </c>
      <c r="D863" s="117">
        <v>1601305</v>
      </c>
      <c r="E863" s="135">
        <f t="shared" si="630"/>
        <v>4</v>
      </c>
      <c r="F863" s="124">
        <v>41009</v>
      </c>
      <c r="G863" s="125">
        <v>41011</v>
      </c>
      <c r="H863" s="117">
        <v>1601305</v>
      </c>
      <c r="I863" s="124">
        <v>41010</v>
      </c>
      <c r="J863" s="124">
        <v>41011</v>
      </c>
      <c r="K863" s="126">
        <v>2000</v>
      </c>
      <c r="L863" s="127" t="s">
        <v>568</v>
      </c>
      <c r="N863" s="129" t="str">
        <f>IF(M863&gt;1/1/1,"Y","N")</f>
        <v>N</v>
      </c>
      <c r="O863" s="128" t="s">
        <v>917</v>
      </c>
      <c r="P863" s="129" t="s">
        <v>39</v>
      </c>
      <c r="Q863" s="111">
        <f t="shared" si="654"/>
        <v>2</v>
      </c>
      <c r="R863" s="111">
        <f t="shared" si="624"/>
        <v>3</v>
      </c>
      <c r="S863" s="129">
        <v>2</v>
      </c>
      <c r="T863" s="129">
        <v>2</v>
      </c>
      <c r="V863" s="117">
        <v>1</v>
      </c>
      <c r="W863" s="111"/>
      <c r="AB863" s="131" t="s">
        <v>112</v>
      </c>
      <c r="AC863" s="130"/>
      <c r="AD863" s="130">
        <v>23689</v>
      </c>
      <c r="AE863" s="128" t="s">
        <v>32</v>
      </c>
      <c r="AF863" s="128" t="s">
        <v>40</v>
      </c>
      <c r="AG863" s="128" t="s">
        <v>41</v>
      </c>
      <c r="AH863" s="108" t="s">
        <v>58</v>
      </c>
      <c r="AI863" s="128" t="s">
        <v>62</v>
      </c>
      <c r="AJ863" s="129" t="s">
        <v>89</v>
      </c>
      <c r="AK863" s="129">
        <v>1</v>
      </c>
      <c r="AL863" s="3" t="s">
        <v>991</v>
      </c>
      <c r="AO863" s="128">
        <v>180</v>
      </c>
      <c r="AP863" s="129" t="s">
        <v>60</v>
      </c>
      <c r="AR863" s="128" t="s">
        <v>44</v>
      </c>
      <c r="AS863" s="129" t="s">
        <v>61</v>
      </c>
      <c r="AT863" s="129" t="s">
        <v>480</v>
      </c>
      <c r="BC863" s="129" t="s">
        <v>38</v>
      </c>
      <c r="BF863" s="111">
        <f t="shared" si="659"/>
        <v>2</v>
      </c>
      <c r="BG863" s="111">
        <f t="shared" si="660"/>
        <v>2</v>
      </c>
      <c r="BH863" s="111">
        <f t="shared" si="625"/>
        <v>3</v>
      </c>
      <c r="BI863" s="111">
        <f t="shared" si="626"/>
        <v>47.322404371584696</v>
      </c>
      <c r="BJ863" s="129">
        <f t="shared" si="631"/>
        <v>0</v>
      </c>
      <c r="BK863" s="129">
        <f t="shared" si="627"/>
        <v>0</v>
      </c>
      <c r="BL863" s="129" t="str">
        <f t="shared" si="657"/>
        <v>CONVICTION</v>
      </c>
      <c r="BM863" s="129" t="str">
        <f t="shared" si="632"/>
        <v>NONE</v>
      </c>
      <c r="BN863" s="129" t="s">
        <v>566</v>
      </c>
      <c r="BP863" s="137" t="str">
        <f t="shared" si="633"/>
        <v>CONVICTION</v>
      </c>
      <c r="BQ863" s="128" t="str">
        <f t="shared" si="634"/>
        <v>Y</v>
      </c>
      <c r="BR863" s="129" t="str">
        <f t="shared" si="635"/>
        <v>DETAINED</v>
      </c>
      <c r="BS863" s="129" t="str">
        <f t="shared" si="636"/>
        <v>DISPOSED</v>
      </c>
      <c r="BT863" s="129" t="str">
        <f t="shared" si="637"/>
        <v>Y</v>
      </c>
      <c r="BU863" s="109">
        <f t="shared" si="648"/>
        <v>0.66666666666666663</v>
      </c>
      <c r="BV863" s="109">
        <f t="shared" si="638"/>
        <v>1</v>
      </c>
      <c r="BW863" s="109">
        <f t="shared" si="651"/>
        <v>0.33333333333333337</v>
      </c>
      <c r="BX863" s="111">
        <f t="shared" si="639"/>
        <v>0</v>
      </c>
      <c r="BY863" s="129">
        <f t="shared" si="640"/>
        <v>-2</v>
      </c>
      <c r="BZ863" s="111">
        <f t="shared" si="641"/>
        <v>0</v>
      </c>
      <c r="CA863" s="138">
        <f t="shared" si="642"/>
        <v>2</v>
      </c>
      <c r="CB863" s="111" t="e">
        <f t="shared" si="661"/>
        <v>#VALUE!</v>
      </c>
      <c r="CC863" s="129">
        <f>G863-I863+1</f>
        <v>2</v>
      </c>
      <c r="CD863" s="129">
        <f>G863-J863</f>
        <v>0</v>
      </c>
      <c r="CE863" s="129">
        <f t="shared" si="643"/>
        <v>0</v>
      </c>
      <c r="CG863" s="129" t="str">
        <f t="shared" si="644"/>
        <v>Y</v>
      </c>
      <c r="CI863" s="129" t="str">
        <f t="shared" si="645"/>
        <v>0-10 DAYS</v>
      </c>
      <c r="CJ863" s="137">
        <f t="shared" si="646"/>
        <v>1</v>
      </c>
      <c r="CK863" s="129" t="str">
        <f t="shared" si="647"/>
        <v>Booked</v>
      </c>
    </row>
    <row r="864" spans="1:89" ht="15.75" customHeight="1" x14ac:dyDescent="0.25">
      <c r="A864" s="111">
        <v>2602</v>
      </c>
      <c r="B864" s="128" t="str">
        <f t="shared" si="628"/>
        <v>N</v>
      </c>
      <c r="C864" s="128" t="str">
        <f t="shared" si="629"/>
        <v>N</v>
      </c>
      <c r="D864" s="117">
        <v>1604535</v>
      </c>
      <c r="E864" s="135">
        <f t="shared" si="630"/>
        <v>6</v>
      </c>
      <c r="F864" s="124">
        <v>41005</v>
      </c>
      <c r="G864" s="125">
        <v>41107</v>
      </c>
      <c r="H864" s="117">
        <v>1604535</v>
      </c>
      <c r="I864" s="124">
        <v>41011</v>
      </c>
      <c r="J864" s="124">
        <v>41107</v>
      </c>
      <c r="K864" s="126" t="s">
        <v>564</v>
      </c>
      <c r="L864" s="127" t="s">
        <v>564</v>
      </c>
      <c r="N864" s="129" t="s">
        <v>566</v>
      </c>
      <c r="O864" s="128" t="s">
        <v>917</v>
      </c>
      <c r="P864" s="129" t="s">
        <v>39</v>
      </c>
      <c r="Q864" s="111">
        <f t="shared" si="654"/>
        <v>97</v>
      </c>
      <c r="R864" s="111">
        <f t="shared" si="624"/>
        <v>103</v>
      </c>
      <c r="S864" s="129">
        <v>1</v>
      </c>
      <c r="T864" s="129">
        <v>6</v>
      </c>
      <c r="U864" s="129">
        <v>1</v>
      </c>
      <c r="W864" s="111"/>
      <c r="AC864" s="130"/>
      <c r="AD864" s="130">
        <v>28794</v>
      </c>
      <c r="AE864" s="128" t="s">
        <v>32</v>
      </c>
      <c r="AF864" s="128" t="s">
        <v>69</v>
      </c>
      <c r="AG864" s="128" t="s">
        <v>874</v>
      </c>
      <c r="AH864" s="108" t="s">
        <v>58</v>
      </c>
      <c r="AI864" s="128" t="s">
        <v>62</v>
      </c>
      <c r="AJ864" s="129" t="s">
        <v>89</v>
      </c>
      <c r="AK864" s="129">
        <v>4</v>
      </c>
      <c r="AL864" s="3" t="s">
        <v>362</v>
      </c>
      <c r="AM864" s="117">
        <v>7</v>
      </c>
      <c r="AP864" s="129" t="s">
        <v>460</v>
      </c>
      <c r="AR864" s="128" t="s">
        <v>67</v>
      </c>
      <c r="AS864" s="129" t="s">
        <v>64</v>
      </c>
      <c r="BC864" s="129" t="s">
        <v>38</v>
      </c>
      <c r="BF864" s="111">
        <f t="shared" si="659"/>
        <v>97</v>
      </c>
      <c r="BG864" s="111">
        <f t="shared" si="660"/>
        <v>97</v>
      </c>
      <c r="BH864" s="111">
        <f t="shared" si="625"/>
        <v>103</v>
      </c>
      <c r="BI864" s="111">
        <f t="shared" si="626"/>
        <v>33.363387978142079</v>
      </c>
      <c r="BJ864" s="129">
        <f t="shared" si="631"/>
        <v>0</v>
      </c>
      <c r="BK864" s="129">
        <f t="shared" si="627"/>
        <v>0</v>
      </c>
      <c r="BL864" s="129" t="str">
        <f t="shared" si="657"/>
        <v>CONVICTION</v>
      </c>
      <c r="BM864" s="129" t="str">
        <f t="shared" si="632"/>
        <v>NONE</v>
      </c>
      <c r="BN864" s="129" t="s">
        <v>566</v>
      </c>
      <c r="BP864" s="137" t="str">
        <f t="shared" si="633"/>
        <v>CONVICTION</v>
      </c>
      <c r="BQ864" s="128" t="str">
        <f t="shared" si="634"/>
        <v>Y</v>
      </c>
      <c r="BR864" s="129" t="str">
        <f t="shared" si="635"/>
        <v>DETAINED</v>
      </c>
      <c r="BS864" s="129" t="str">
        <f t="shared" si="636"/>
        <v>DISPOSED</v>
      </c>
      <c r="BT864" s="129" t="str">
        <f t="shared" si="637"/>
        <v>Y</v>
      </c>
      <c r="BU864" s="109">
        <f t="shared" si="648"/>
        <v>0.94174757281553401</v>
      </c>
      <c r="BV864" s="109">
        <f t="shared" si="638"/>
        <v>1</v>
      </c>
      <c r="BW864" s="109">
        <f t="shared" si="651"/>
        <v>5.8252427184465994E-2</v>
      </c>
      <c r="BX864" s="111">
        <f t="shared" si="639"/>
        <v>0</v>
      </c>
      <c r="BY864" s="129">
        <f t="shared" si="640"/>
        <v>-97</v>
      </c>
      <c r="BZ864" s="111">
        <f t="shared" si="641"/>
        <v>0</v>
      </c>
      <c r="CA864" s="138">
        <f t="shared" si="642"/>
        <v>97</v>
      </c>
      <c r="CB864" s="111" t="e">
        <f t="shared" si="661"/>
        <v>#VALUE!</v>
      </c>
      <c r="CC864" s="129">
        <f>G864-I864+1</f>
        <v>97</v>
      </c>
      <c r="CD864" s="129">
        <f>G864-J864</f>
        <v>0</v>
      </c>
      <c r="CE864" s="129">
        <f t="shared" si="643"/>
        <v>0</v>
      </c>
      <c r="CG864" s="129" t="str">
        <f t="shared" si="644"/>
        <v>Y</v>
      </c>
      <c r="CI864" s="129" t="str">
        <f t="shared" si="645"/>
        <v>91-120 DAYS</v>
      </c>
      <c r="CJ864" s="137">
        <f t="shared" si="646"/>
        <v>0</v>
      </c>
      <c r="CK864" s="129" t="str">
        <f t="shared" si="647"/>
        <v>Booked</v>
      </c>
    </row>
    <row r="865" spans="1:89" ht="15.75" customHeight="1" x14ac:dyDescent="0.25">
      <c r="A865" s="111">
        <v>2613</v>
      </c>
      <c r="B865" s="128" t="str">
        <f t="shared" si="628"/>
        <v>N</v>
      </c>
      <c r="C865" s="128" t="str">
        <f t="shared" si="629"/>
        <v>N</v>
      </c>
      <c r="D865" s="117">
        <v>1604700</v>
      </c>
      <c r="E865" s="135">
        <f t="shared" si="630"/>
        <v>5</v>
      </c>
      <c r="F865" s="124">
        <v>41005</v>
      </c>
      <c r="G865" s="125">
        <v>41008</v>
      </c>
      <c r="H865" s="117">
        <v>1604700</v>
      </c>
      <c r="I865" s="124">
        <v>41006</v>
      </c>
      <c r="J865" s="124">
        <v>41008</v>
      </c>
      <c r="K865" s="126">
        <v>15000</v>
      </c>
      <c r="L865" s="127" t="s">
        <v>571</v>
      </c>
      <c r="N865" s="129" t="str">
        <f>IF(M865&gt;1/1/1,"Y","N")</f>
        <v>N</v>
      </c>
      <c r="O865" s="128" t="s">
        <v>917</v>
      </c>
      <c r="P865" s="129" t="s">
        <v>39</v>
      </c>
      <c r="Q865" s="111">
        <f t="shared" si="654"/>
        <v>3</v>
      </c>
      <c r="R865" s="111">
        <f t="shared" si="624"/>
        <v>4</v>
      </c>
      <c r="S865" s="129">
        <v>8</v>
      </c>
      <c r="T865" s="129">
        <v>4</v>
      </c>
      <c r="U865" s="129">
        <v>5</v>
      </c>
      <c r="W865" s="111"/>
      <c r="AC865" s="130"/>
      <c r="AD865" s="130">
        <v>27831</v>
      </c>
      <c r="AE865" s="128" t="s">
        <v>32</v>
      </c>
      <c r="AF865" s="128" t="s">
        <v>40</v>
      </c>
      <c r="AG865" s="128" t="s">
        <v>41</v>
      </c>
      <c r="AH865" s="108" t="s">
        <v>41</v>
      </c>
      <c r="AI865" s="128" t="s">
        <v>114</v>
      </c>
      <c r="AJ865" s="129" t="s">
        <v>89</v>
      </c>
      <c r="AK865" s="129">
        <v>1</v>
      </c>
      <c r="AL865" s="3" t="s">
        <v>992</v>
      </c>
      <c r="AN865" s="117">
        <v>7</v>
      </c>
      <c r="AP865" s="129" t="s">
        <v>43</v>
      </c>
      <c r="AR865" s="128" t="s">
        <v>44</v>
      </c>
      <c r="AS865" s="129" t="s">
        <v>45</v>
      </c>
      <c r="BC865" s="129" t="s">
        <v>38</v>
      </c>
      <c r="BF865" s="111">
        <f t="shared" si="659"/>
        <v>3</v>
      </c>
      <c r="BG865" s="111">
        <f t="shared" si="660"/>
        <v>3</v>
      </c>
      <c r="BH865" s="111">
        <f t="shared" si="625"/>
        <v>4</v>
      </c>
      <c r="BI865" s="111">
        <f t="shared" si="626"/>
        <v>35.994535519125684</v>
      </c>
      <c r="BJ865" s="129">
        <f t="shared" si="631"/>
        <v>0</v>
      </c>
      <c r="BK865" s="129">
        <f t="shared" si="627"/>
        <v>0</v>
      </c>
      <c r="BL865" s="129" t="str">
        <f t="shared" si="657"/>
        <v>CONVICTION</v>
      </c>
      <c r="BM865" s="129" t="str">
        <f t="shared" si="632"/>
        <v>NONE</v>
      </c>
      <c r="BN865" s="129" t="s">
        <v>566</v>
      </c>
      <c r="BP865" s="137" t="str">
        <f t="shared" si="633"/>
        <v>CONVICTION</v>
      </c>
      <c r="BQ865" s="128" t="str">
        <f t="shared" si="634"/>
        <v>Y</v>
      </c>
      <c r="BR865" s="129" t="str">
        <f t="shared" si="635"/>
        <v>DETAINED</v>
      </c>
      <c r="BS865" s="129" t="str">
        <f t="shared" si="636"/>
        <v>DISPOSED</v>
      </c>
      <c r="BT865" s="129" t="str">
        <f t="shared" si="637"/>
        <v>Y</v>
      </c>
      <c r="BU865" s="109">
        <f t="shared" si="648"/>
        <v>0.75</v>
      </c>
      <c r="BV865" s="109">
        <f t="shared" si="638"/>
        <v>1</v>
      </c>
      <c r="BW865" s="109">
        <f t="shared" si="651"/>
        <v>0.25</v>
      </c>
      <c r="BX865" s="111">
        <f t="shared" si="639"/>
        <v>0</v>
      </c>
      <c r="BY865" s="129">
        <f t="shared" si="640"/>
        <v>-3</v>
      </c>
      <c r="BZ865" s="111">
        <f t="shared" si="641"/>
        <v>0</v>
      </c>
      <c r="CA865" s="138">
        <f t="shared" si="642"/>
        <v>3</v>
      </c>
      <c r="CB865" s="111" t="e">
        <f t="shared" si="661"/>
        <v>#VALUE!</v>
      </c>
      <c r="CC865" s="129">
        <f>G865-I865+1</f>
        <v>3</v>
      </c>
      <c r="CD865" s="129">
        <f>G865-J865</f>
        <v>0</v>
      </c>
      <c r="CE865" s="129">
        <f t="shared" si="643"/>
        <v>0</v>
      </c>
      <c r="CG865" s="129" t="str">
        <f t="shared" si="644"/>
        <v>Y</v>
      </c>
      <c r="CI865" s="129" t="str">
        <f t="shared" si="645"/>
        <v>0-10 DAYS</v>
      </c>
      <c r="CJ865" s="137">
        <f t="shared" si="646"/>
        <v>1</v>
      </c>
      <c r="CK865" s="129" t="str">
        <f t="shared" si="647"/>
        <v>Booked</v>
      </c>
    </row>
    <row r="866" spans="1:89" ht="15.75" customHeight="1" x14ac:dyDescent="0.25">
      <c r="A866" s="111">
        <v>147</v>
      </c>
      <c r="B866" s="128" t="str">
        <f t="shared" si="628"/>
        <v>N</v>
      </c>
      <c r="C866" s="128" t="str">
        <f t="shared" si="629"/>
        <v>N</v>
      </c>
      <c r="D866" s="117">
        <v>1605280</v>
      </c>
      <c r="E866" s="135">
        <f t="shared" si="630"/>
        <v>6</v>
      </c>
      <c r="F866" s="124">
        <v>40915</v>
      </c>
      <c r="G866" s="125">
        <v>41082</v>
      </c>
      <c r="H866" s="117">
        <v>1605280</v>
      </c>
      <c r="I866" s="124">
        <v>40915</v>
      </c>
      <c r="J866" s="124">
        <v>41007</v>
      </c>
      <c r="K866" s="126">
        <v>30000</v>
      </c>
      <c r="L866" s="129" t="s">
        <v>572</v>
      </c>
      <c r="M866" s="125">
        <v>41007</v>
      </c>
      <c r="N866" s="129" t="str">
        <f>IF(M866&gt;1/1/1,"Y","N")</f>
        <v>Y</v>
      </c>
      <c r="O866" s="128" t="s">
        <v>76</v>
      </c>
      <c r="P866" s="129" t="s">
        <v>39</v>
      </c>
      <c r="Q866" s="111">
        <f t="shared" si="654"/>
        <v>93</v>
      </c>
      <c r="R866" s="111">
        <f t="shared" si="624"/>
        <v>168</v>
      </c>
      <c r="S866" s="129">
        <v>6</v>
      </c>
      <c r="T866" s="129">
        <v>8</v>
      </c>
      <c r="U866" s="129">
        <v>2</v>
      </c>
      <c r="W866" s="111"/>
      <c r="AC866" s="130"/>
      <c r="AD866" s="130">
        <v>29062</v>
      </c>
      <c r="AE866" s="128" t="s">
        <v>32</v>
      </c>
      <c r="AF866" s="128" t="s">
        <v>33</v>
      </c>
      <c r="AG866" s="128" t="s">
        <v>872</v>
      </c>
      <c r="AH866" s="108" t="s">
        <v>58</v>
      </c>
      <c r="AI866" s="128" t="s">
        <v>113</v>
      </c>
      <c r="AJ866" s="129" t="s">
        <v>89</v>
      </c>
      <c r="AK866" s="129">
        <v>9</v>
      </c>
      <c r="AL866" s="3" t="s">
        <v>362</v>
      </c>
      <c r="AM866" s="117">
        <v>6</v>
      </c>
      <c r="AP866" s="129" t="s">
        <v>132</v>
      </c>
      <c r="AR866" s="128" t="s">
        <v>92</v>
      </c>
      <c r="AS866" s="129" t="s">
        <v>82</v>
      </c>
      <c r="BC866" s="129" t="s">
        <v>52</v>
      </c>
      <c r="BF866" s="111">
        <f t="shared" si="659"/>
        <v>93</v>
      </c>
      <c r="BG866" s="111">
        <f t="shared" si="660"/>
        <v>168</v>
      </c>
      <c r="BH866" s="111">
        <f t="shared" si="625"/>
        <v>168</v>
      </c>
      <c r="BI866" s="111">
        <f t="shared" si="626"/>
        <v>32.385245901639344</v>
      </c>
      <c r="BJ866" s="129">
        <f>(G866-J866)+(M866-G866)</f>
        <v>0</v>
      </c>
      <c r="BK866" s="129">
        <f t="shared" si="627"/>
        <v>-75</v>
      </c>
      <c r="BL866" s="129" t="str">
        <f t="shared" si="657"/>
        <v>CONVICTION</v>
      </c>
      <c r="BM866" s="129" t="s">
        <v>76</v>
      </c>
      <c r="BN866" s="129" t="s">
        <v>88</v>
      </c>
      <c r="BP866" s="137" t="str">
        <f t="shared" si="633"/>
        <v>CONVICTION</v>
      </c>
      <c r="BQ866" s="128" t="str">
        <f t="shared" si="634"/>
        <v>Y</v>
      </c>
      <c r="BR866" s="129" t="str">
        <f>IF(J866&lt;G866,"ON BOND",0)</f>
        <v>ON BOND</v>
      </c>
      <c r="BS866" s="129" t="str">
        <f t="shared" si="636"/>
        <v>DISPOSED</v>
      </c>
      <c r="BT866" s="129" t="str">
        <f t="shared" si="637"/>
        <v>Y</v>
      </c>
      <c r="BU866" s="109">
        <f t="shared" si="648"/>
        <v>0.5535714285714286</v>
      </c>
      <c r="BV866" s="109">
        <f t="shared" si="638"/>
        <v>0.5535714285714286</v>
      </c>
      <c r="BW866" s="109">
        <f t="shared" si="651"/>
        <v>0</v>
      </c>
      <c r="BX866" s="111">
        <f t="shared" si="639"/>
        <v>0</v>
      </c>
      <c r="BY866" s="129">
        <f t="shared" si="640"/>
        <v>-93</v>
      </c>
      <c r="BZ866" s="111">
        <f t="shared" si="641"/>
        <v>0</v>
      </c>
      <c r="CA866" s="138">
        <f t="shared" si="642"/>
        <v>93</v>
      </c>
      <c r="CB866" s="111" t="e">
        <f t="shared" si="661"/>
        <v>#VALUE!</v>
      </c>
      <c r="CC866" s="129">
        <f>M866-I866+1</f>
        <v>93</v>
      </c>
      <c r="CD866" s="111">
        <f>CC866-BF866</f>
        <v>0</v>
      </c>
      <c r="CE866" s="129">
        <f t="shared" si="643"/>
        <v>75</v>
      </c>
      <c r="CG866" s="129" t="str">
        <f t="shared" si="644"/>
        <v>Y</v>
      </c>
      <c r="CI866" s="129" t="str">
        <f t="shared" si="645"/>
        <v>91-120 DAYS</v>
      </c>
      <c r="CJ866" s="137">
        <f t="shared" si="646"/>
        <v>0</v>
      </c>
      <c r="CK866" s="129" t="str">
        <f t="shared" si="647"/>
        <v>Booked</v>
      </c>
    </row>
    <row r="867" spans="1:89" ht="15.75" customHeight="1" x14ac:dyDescent="0.25">
      <c r="A867" s="111">
        <v>1467</v>
      </c>
      <c r="B867" s="128" t="str">
        <f t="shared" si="628"/>
        <v>Y</v>
      </c>
      <c r="C867" s="128" t="str">
        <f t="shared" si="629"/>
        <v>N</v>
      </c>
      <c r="D867" s="117">
        <v>1605548</v>
      </c>
      <c r="E867" s="135">
        <f t="shared" si="630"/>
        <v>2</v>
      </c>
      <c r="F867" s="124">
        <v>40962</v>
      </c>
      <c r="G867" s="125">
        <v>41024</v>
      </c>
      <c r="H867" s="117">
        <v>1605548</v>
      </c>
      <c r="I867" s="124">
        <v>40963</v>
      </c>
      <c r="J867" s="124">
        <v>40964</v>
      </c>
      <c r="K867" s="126">
        <v>20000</v>
      </c>
      <c r="L867" s="127" t="s">
        <v>571</v>
      </c>
      <c r="M867" s="125">
        <v>40964</v>
      </c>
      <c r="N867" s="129" t="str">
        <f>IF(M867&gt;1/1/1,"Y","N")</f>
        <v>Y</v>
      </c>
      <c r="O867" s="128" t="s">
        <v>76</v>
      </c>
      <c r="P867" s="129" t="s">
        <v>589</v>
      </c>
      <c r="Q867" s="111">
        <f t="shared" si="654"/>
        <v>2</v>
      </c>
      <c r="R867" s="111">
        <f t="shared" si="624"/>
        <v>63</v>
      </c>
      <c r="S867" s="129">
        <v>2</v>
      </c>
      <c r="T867" s="129">
        <v>3</v>
      </c>
      <c r="U867" s="129">
        <v>2</v>
      </c>
      <c r="W867" s="111"/>
      <c r="AC867" s="130"/>
      <c r="AD867" s="130">
        <v>29131</v>
      </c>
      <c r="AE867" s="128" t="s">
        <v>32</v>
      </c>
      <c r="AF867" s="128" t="s">
        <v>40</v>
      </c>
      <c r="AG867" s="128" t="s">
        <v>41</v>
      </c>
      <c r="AH867" s="108" t="s">
        <v>41</v>
      </c>
      <c r="AI867" s="128" t="s">
        <v>97</v>
      </c>
      <c r="AJ867" s="129" t="s">
        <v>48</v>
      </c>
      <c r="AK867" s="129">
        <v>3</v>
      </c>
      <c r="AL867" s="3" t="s">
        <v>48</v>
      </c>
      <c r="AP867" s="129" t="s">
        <v>49</v>
      </c>
      <c r="AR867" s="128" t="s">
        <v>50</v>
      </c>
      <c r="AS867" s="129" t="s">
        <v>45</v>
      </c>
      <c r="BC867" s="129" t="s">
        <v>52</v>
      </c>
      <c r="BD867" s="129" t="s">
        <v>1208</v>
      </c>
      <c r="BF867" s="111">
        <f t="shared" si="659"/>
        <v>2</v>
      </c>
      <c r="BG867" s="111">
        <f t="shared" si="660"/>
        <v>62</v>
      </c>
      <c r="BH867" s="111">
        <f t="shared" si="625"/>
        <v>63</v>
      </c>
      <c r="BI867" s="111">
        <f t="shared" si="626"/>
        <v>32.325136612021858</v>
      </c>
      <c r="BJ867" s="129">
        <f>(G867-J867)+(M867-G867)</f>
        <v>0</v>
      </c>
      <c r="BK867" s="129">
        <f t="shared" si="627"/>
        <v>-60</v>
      </c>
      <c r="BL867" s="129" t="str">
        <f t="shared" si="657"/>
        <v>DEFERRED</v>
      </c>
      <c r="BM867" s="129" t="s">
        <v>76</v>
      </c>
      <c r="BN867" s="129" t="s">
        <v>88</v>
      </c>
      <c r="BP867" s="137" t="str">
        <f t="shared" si="633"/>
        <v>DEFERRED</v>
      </c>
      <c r="BQ867" s="128" t="str">
        <f t="shared" si="634"/>
        <v>Y</v>
      </c>
      <c r="BR867" s="129" t="str">
        <f t="shared" si="635"/>
        <v>ON BOND</v>
      </c>
      <c r="BS867" s="129" t="str">
        <f t="shared" si="636"/>
        <v>DISPOSED</v>
      </c>
      <c r="BT867" s="129" t="str">
        <f t="shared" si="637"/>
        <v>Y</v>
      </c>
      <c r="BU867" s="109">
        <f t="shared" si="648"/>
        <v>3.1746031746031744E-2</v>
      </c>
      <c r="BV867" s="109">
        <f t="shared" si="638"/>
        <v>3.2258064516129031E-2</v>
      </c>
      <c r="BW867" s="109">
        <f t="shared" si="651"/>
        <v>5.1203277009728709E-4</v>
      </c>
      <c r="BX867" s="111">
        <f t="shared" si="639"/>
        <v>0</v>
      </c>
      <c r="BY867" s="129">
        <f t="shared" si="640"/>
        <v>-2</v>
      </c>
      <c r="BZ867" s="111">
        <f t="shared" si="641"/>
        <v>0</v>
      </c>
      <c r="CA867" s="138">
        <f t="shared" si="642"/>
        <v>2</v>
      </c>
      <c r="CB867" s="111" t="e">
        <f t="shared" si="661"/>
        <v>#VALUE!</v>
      </c>
      <c r="CC867" s="129">
        <f>M867-I867+1</f>
        <v>2</v>
      </c>
      <c r="CD867" s="111">
        <f>CC867-BF867</f>
        <v>0</v>
      </c>
      <c r="CE867" s="129">
        <f t="shared" si="643"/>
        <v>60</v>
      </c>
      <c r="CG867" s="129" t="str">
        <f t="shared" si="644"/>
        <v>Y</v>
      </c>
      <c r="CI867" s="129" t="str">
        <f t="shared" si="645"/>
        <v>0-10 DAYS</v>
      </c>
      <c r="CJ867" s="137">
        <f t="shared" si="646"/>
        <v>1</v>
      </c>
      <c r="CK867" s="129" t="str">
        <f t="shared" si="647"/>
        <v>Booked</v>
      </c>
    </row>
    <row r="868" spans="1:89" ht="15.75" customHeight="1" x14ac:dyDescent="0.25">
      <c r="A868" s="111">
        <v>1873</v>
      </c>
      <c r="B868" s="128" t="str">
        <f t="shared" si="628"/>
        <v>N</v>
      </c>
      <c r="C868" s="128" t="str">
        <f t="shared" si="629"/>
        <v>N</v>
      </c>
      <c r="D868" s="117">
        <v>1606347</v>
      </c>
      <c r="E868" s="135">
        <f t="shared" si="630"/>
        <v>5</v>
      </c>
      <c r="F868" s="124">
        <v>40978</v>
      </c>
      <c r="G868" s="125">
        <v>41107</v>
      </c>
      <c r="H868" s="117">
        <v>1606347</v>
      </c>
      <c r="I868" s="124">
        <v>40978</v>
      </c>
      <c r="J868" s="124">
        <v>41107</v>
      </c>
      <c r="K868" s="126">
        <v>15000</v>
      </c>
      <c r="L868" s="127" t="s">
        <v>571</v>
      </c>
      <c r="N868" s="129" t="str">
        <f>IF(M868&gt;1/1/1,"Y","N")</f>
        <v>N</v>
      </c>
      <c r="O868" s="128" t="s">
        <v>917</v>
      </c>
      <c r="P868" s="129" t="s">
        <v>39</v>
      </c>
      <c r="Q868" s="111">
        <f t="shared" si="654"/>
        <v>130</v>
      </c>
      <c r="R868" s="111">
        <f t="shared" si="624"/>
        <v>130</v>
      </c>
      <c r="S868" s="129">
        <v>8</v>
      </c>
      <c r="T868" s="129">
        <v>3</v>
      </c>
      <c r="U868" s="129">
        <v>7</v>
      </c>
      <c r="W868" s="111"/>
      <c r="AC868" s="130"/>
      <c r="AD868" s="130">
        <v>28953</v>
      </c>
      <c r="AE868" s="128" t="s">
        <v>32</v>
      </c>
      <c r="AF868" s="128" t="s">
        <v>33</v>
      </c>
      <c r="AG868" s="128" t="s">
        <v>872</v>
      </c>
      <c r="AH868" s="108" t="s">
        <v>58</v>
      </c>
      <c r="AI868" s="128" t="s">
        <v>97</v>
      </c>
      <c r="AJ868" s="129" t="s">
        <v>89</v>
      </c>
      <c r="AK868" s="129">
        <v>6</v>
      </c>
      <c r="AL868" s="3" t="s">
        <v>992</v>
      </c>
      <c r="AN868" s="117">
        <v>6</v>
      </c>
      <c r="AP868" s="129" t="s">
        <v>43</v>
      </c>
      <c r="AR868" s="128" t="s">
        <v>44</v>
      </c>
      <c r="AS868" s="129" t="s">
        <v>45</v>
      </c>
      <c r="BC868" s="129" t="s">
        <v>99</v>
      </c>
      <c r="BF868" s="111">
        <f t="shared" si="659"/>
        <v>130</v>
      </c>
      <c r="BG868" s="111">
        <f t="shared" si="660"/>
        <v>130</v>
      </c>
      <c r="BH868" s="111">
        <f t="shared" si="625"/>
        <v>130</v>
      </c>
      <c r="BI868" s="111">
        <f t="shared" si="626"/>
        <v>32.855191256830601</v>
      </c>
      <c r="BJ868" s="129">
        <f t="shared" si="631"/>
        <v>0</v>
      </c>
      <c r="BK868" s="129">
        <f t="shared" si="627"/>
        <v>0</v>
      </c>
      <c r="BL868" s="129" t="str">
        <f t="shared" si="657"/>
        <v>CONVICTION</v>
      </c>
      <c r="BM868" s="129" t="str">
        <f t="shared" si="632"/>
        <v>NONE</v>
      </c>
      <c r="BN868" s="129" t="s">
        <v>566</v>
      </c>
      <c r="BP868" s="137" t="str">
        <f t="shared" si="633"/>
        <v>CONVICTION</v>
      </c>
      <c r="BQ868" s="128" t="str">
        <f t="shared" si="634"/>
        <v>Y</v>
      </c>
      <c r="BR868" s="129" t="str">
        <f t="shared" si="635"/>
        <v>DETAINED</v>
      </c>
      <c r="BS868" s="129" t="str">
        <f t="shared" si="636"/>
        <v>DISPOSED</v>
      </c>
      <c r="BT868" s="129" t="str">
        <f t="shared" si="637"/>
        <v>Y</v>
      </c>
      <c r="BU868" s="109">
        <f t="shared" si="648"/>
        <v>1</v>
      </c>
      <c r="BV868" s="109">
        <f t="shared" si="638"/>
        <v>1</v>
      </c>
      <c r="BW868" s="109">
        <f t="shared" si="651"/>
        <v>0</v>
      </c>
      <c r="BX868" s="111">
        <f t="shared" si="639"/>
        <v>0</v>
      </c>
      <c r="BY868" s="129">
        <f t="shared" si="640"/>
        <v>-130</v>
      </c>
      <c r="BZ868" s="111">
        <f t="shared" si="641"/>
        <v>0</v>
      </c>
      <c r="CA868" s="138">
        <f t="shared" si="642"/>
        <v>130</v>
      </c>
      <c r="CB868" s="111" t="e">
        <f t="shared" si="661"/>
        <v>#VALUE!</v>
      </c>
      <c r="CC868" s="129">
        <f>G868-I868+1</f>
        <v>130</v>
      </c>
      <c r="CD868" s="129">
        <f>G868-J868</f>
        <v>0</v>
      </c>
      <c r="CE868" s="129">
        <f t="shared" si="643"/>
        <v>0</v>
      </c>
      <c r="CG868" s="129" t="str">
        <f t="shared" si="644"/>
        <v>Y</v>
      </c>
      <c r="CI868" s="129" t="str">
        <f t="shared" si="645"/>
        <v>121-365 DAYS</v>
      </c>
      <c r="CJ868" s="137">
        <f t="shared" si="646"/>
        <v>6</v>
      </c>
      <c r="CK868" s="129" t="str">
        <f t="shared" si="647"/>
        <v>Booked</v>
      </c>
    </row>
    <row r="869" spans="1:89" ht="15.75" customHeight="1" x14ac:dyDescent="0.25">
      <c r="A869" s="111">
        <v>2860</v>
      </c>
      <c r="B869" s="128" t="str">
        <f t="shared" si="628"/>
        <v>N</v>
      </c>
      <c r="C869" s="128" t="str">
        <f t="shared" si="629"/>
        <v>N</v>
      </c>
      <c r="D869" s="117">
        <v>1606369</v>
      </c>
      <c r="E869" s="135">
        <f t="shared" si="630"/>
        <v>2</v>
      </c>
      <c r="F869" s="124">
        <v>41014</v>
      </c>
      <c r="G869" s="125">
        <v>41045</v>
      </c>
      <c r="H869" s="117">
        <v>1606369</v>
      </c>
      <c r="I869" s="124">
        <v>41015</v>
      </c>
      <c r="J869" s="124">
        <v>41045</v>
      </c>
      <c r="K869" s="126" t="s">
        <v>564</v>
      </c>
      <c r="L869" s="127" t="s">
        <v>564</v>
      </c>
      <c r="N869" s="129" t="s">
        <v>566</v>
      </c>
      <c r="O869" s="128" t="s">
        <v>917</v>
      </c>
      <c r="P869" s="129" t="s">
        <v>589</v>
      </c>
      <c r="Q869" s="111">
        <f t="shared" si="654"/>
        <v>31</v>
      </c>
      <c r="R869" s="111">
        <f t="shared" si="624"/>
        <v>32</v>
      </c>
      <c r="S869" s="129">
        <v>5</v>
      </c>
      <c r="T869" s="129">
        <v>0</v>
      </c>
      <c r="U869" s="129">
        <v>6</v>
      </c>
      <c r="W869" s="111"/>
      <c r="AC869" s="130"/>
      <c r="AD869" s="130">
        <v>29329</v>
      </c>
      <c r="AE869" s="128" t="s">
        <v>32</v>
      </c>
      <c r="AF869" s="128" t="s">
        <v>33</v>
      </c>
      <c r="AG869" s="128" t="s">
        <v>872</v>
      </c>
      <c r="AH869" s="108" t="s">
        <v>58</v>
      </c>
      <c r="AI869" s="128" t="s">
        <v>70</v>
      </c>
      <c r="AJ869" s="129" t="s">
        <v>48</v>
      </c>
      <c r="AK869" s="129">
        <v>7</v>
      </c>
      <c r="AL869" s="3" t="s">
        <v>48</v>
      </c>
      <c r="AP869" s="129" t="s">
        <v>93</v>
      </c>
      <c r="AR869" s="128" t="s">
        <v>67</v>
      </c>
      <c r="AS869" s="129" t="s">
        <v>45</v>
      </c>
      <c r="BC869" s="129" t="s">
        <v>38</v>
      </c>
      <c r="BF869" s="111">
        <f t="shared" si="659"/>
        <v>31</v>
      </c>
      <c r="BG869" s="111">
        <f t="shared" si="660"/>
        <v>31</v>
      </c>
      <c r="BH869" s="111">
        <f t="shared" si="625"/>
        <v>32</v>
      </c>
      <c r="BI869" s="111">
        <f t="shared" si="626"/>
        <v>31.92622950819672</v>
      </c>
      <c r="BJ869" s="129">
        <f t="shared" si="631"/>
        <v>0</v>
      </c>
      <c r="BK869" s="129">
        <f t="shared" si="627"/>
        <v>0</v>
      </c>
      <c r="BL869" s="129" t="str">
        <f t="shared" si="657"/>
        <v>DEFERRED</v>
      </c>
      <c r="BM869" s="129" t="str">
        <f t="shared" si="632"/>
        <v>NONE</v>
      </c>
      <c r="BN869" s="129" t="s">
        <v>566</v>
      </c>
      <c r="BP869" s="137" t="str">
        <f t="shared" si="633"/>
        <v>DEFERRED</v>
      </c>
      <c r="BQ869" s="128" t="str">
        <f t="shared" si="634"/>
        <v>Y</v>
      </c>
      <c r="BR869" s="129" t="str">
        <f t="shared" si="635"/>
        <v>DETAINED</v>
      </c>
      <c r="BS869" s="129" t="str">
        <f t="shared" si="636"/>
        <v>DISPOSED</v>
      </c>
      <c r="BT869" s="129" t="str">
        <f t="shared" si="637"/>
        <v>Y</v>
      </c>
      <c r="BU869" s="109">
        <f t="shared" si="648"/>
        <v>0.96875</v>
      </c>
      <c r="BV869" s="109">
        <f t="shared" si="638"/>
        <v>1</v>
      </c>
      <c r="BW869" s="109">
        <f t="shared" si="651"/>
        <v>3.125E-2</v>
      </c>
      <c r="BX869" s="111">
        <f t="shared" si="639"/>
        <v>0</v>
      </c>
      <c r="BY869" s="129">
        <f t="shared" si="640"/>
        <v>-31</v>
      </c>
      <c r="BZ869" s="111">
        <f t="shared" si="641"/>
        <v>0</v>
      </c>
      <c r="CA869" s="138">
        <f t="shared" si="642"/>
        <v>31</v>
      </c>
      <c r="CB869" s="111" t="e">
        <f t="shared" si="661"/>
        <v>#VALUE!</v>
      </c>
      <c r="CC869" s="129">
        <f>G869-I869+1</f>
        <v>31</v>
      </c>
      <c r="CD869" s="129">
        <f>G869-J869</f>
        <v>0</v>
      </c>
      <c r="CE869" s="129">
        <f t="shared" si="643"/>
        <v>0</v>
      </c>
      <c r="CG869" s="129" t="str">
        <f t="shared" si="644"/>
        <v>Y</v>
      </c>
      <c r="CI869" s="129" t="str">
        <f t="shared" si="645"/>
        <v>31-60 DAYS</v>
      </c>
      <c r="CJ869" s="137">
        <f t="shared" si="646"/>
        <v>3</v>
      </c>
      <c r="CK869" s="129" t="str">
        <f t="shared" si="647"/>
        <v>Booked</v>
      </c>
    </row>
    <row r="870" spans="1:89" ht="15.75" customHeight="1" x14ac:dyDescent="0.25">
      <c r="A870" s="111">
        <v>2356</v>
      </c>
      <c r="B870" s="128" t="str">
        <f t="shared" si="628"/>
        <v>N</v>
      </c>
      <c r="C870" s="128" t="str">
        <f t="shared" si="629"/>
        <v>N</v>
      </c>
      <c r="D870" s="117">
        <v>1607377</v>
      </c>
      <c r="E870" s="135">
        <f t="shared" si="630"/>
        <v>6</v>
      </c>
      <c r="F870" s="124">
        <v>40997</v>
      </c>
      <c r="G870" s="125">
        <v>41201</v>
      </c>
      <c r="H870" s="117">
        <v>1607377</v>
      </c>
      <c r="I870" s="124">
        <v>40998</v>
      </c>
      <c r="J870" s="124">
        <v>41201</v>
      </c>
      <c r="K870" s="126">
        <v>10000</v>
      </c>
      <c r="L870" s="127" t="s">
        <v>570</v>
      </c>
      <c r="N870" s="129" t="str">
        <f t="shared" ref="N870:N881" si="662">IF(M870&gt;1/1/1,"Y","N")</f>
        <v>N</v>
      </c>
      <c r="O870" s="128" t="s">
        <v>917</v>
      </c>
      <c r="P870" s="129" t="s">
        <v>39</v>
      </c>
      <c r="Q870" s="111">
        <f t="shared" si="654"/>
        <v>204</v>
      </c>
      <c r="R870" s="111">
        <f t="shared" si="624"/>
        <v>205</v>
      </c>
      <c r="S870" s="129">
        <v>4</v>
      </c>
      <c r="T870" s="129">
        <v>0</v>
      </c>
      <c r="U870" s="129">
        <v>3</v>
      </c>
      <c r="W870" s="111"/>
      <c r="AC870" s="130"/>
      <c r="AD870" s="130">
        <v>22984</v>
      </c>
      <c r="AE870" s="128" t="s">
        <v>32</v>
      </c>
      <c r="AF870" s="128" t="s">
        <v>69</v>
      </c>
      <c r="AG870" s="128" t="s">
        <v>874</v>
      </c>
      <c r="AH870" s="108" t="s">
        <v>31</v>
      </c>
      <c r="AI870" s="128" t="s">
        <v>100</v>
      </c>
      <c r="AJ870" s="129" t="s">
        <v>89</v>
      </c>
      <c r="AK870" s="129">
        <v>7</v>
      </c>
      <c r="AL870" s="3" t="s">
        <v>362</v>
      </c>
      <c r="AM870" s="117">
        <v>3</v>
      </c>
      <c r="AP870" s="129" t="s">
        <v>170</v>
      </c>
      <c r="AR870" s="128" t="s">
        <v>67</v>
      </c>
      <c r="AS870" s="129" t="s">
        <v>64</v>
      </c>
      <c r="BC870" s="129" t="s">
        <v>38</v>
      </c>
      <c r="BF870" s="111">
        <f t="shared" si="659"/>
        <v>204</v>
      </c>
      <c r="BG870" s="111">
        <f t="shared" si="660"/>
        <v>204</v>
      </c>
      <c r="BH870" s="111">
        <f t="shared" si="625"/>
        <v>205</v>
      </c>
      <c r="BI870" s="111">
        <f t="shared" si="626"/>
        <v>49.215846994535518</v>
      </c>
      <c r="BJ870" s="129">
        <f t="shared" si="631"/>
        <v>0</v>
      </c>
      <c r="BK870" s="129">
        <f t="shared" si="627"/>
        <v>0</v>
      </c>
      <c r="BL870" s="129" t="str">
        <f t="shared" si="657"/>
        <v>CONVICTION</v>
      </c>
      <c r="BM870" s="129" t="str">
        <f t="shared" si="632"/>
        <v>NONE</v>
      </c>
      <c r="BN870" s="129" t="s">
        <v>566</v>
      </c>
      <c r="BP870" s="137" t="str">
        <f t="shared" si="633"/>
        <v>CONVICTION</v>
      </c>
      <c r="BQ870" s="128" t="str">
        <f t="shared" si="634"/>
        <v>Y</v>
      </c>
      <c r="BR870" s="129" t="str">
        <f t="shared" si="635"/>
        <v>DETAINED</v>
      </c>
      <c r="BS870" s="129" t="str">
        <f t="shared" si="636"/>
        <v>DISPOSED</v>
      </c>
      <c r="BT870" s="129" t="str">
        <f t="shared" si="637"/>
        <v>Y</v>
      </c>
      <c r="BU870" s="109">
        <f t="shared" si="648"/>
        <v>0.99512195121951219</v>
      </c>
      <c r="BV870" s="109">
        <f t="shared" si="638"/>
        <v>1</v>
      </c>
      <c r="BW870" s="109">
        <f t="shared" si="651"/>
        <v>4.8780487804878092E-3</v>
      </c>
      <c r="BX870" s="111">
        <f t="shared" si="639"/>
        <v>0</v>
      </c>
      <c r="BY870" s="129">
        <f t="shared" si="640"/>
        <v>-204</v>
      </c>
      <c r="BZ870" s="111">
        <f t="shared" si="641"/>
        <v>0</v>
      </c>
      <c r="CA870" s="138">
        <f t="shared" si="642"/>
        <v>204</v>
      </c>
      <c r="CB870" s="111" t="e">
        <f t="shared" si="661"/>
        <v>#VALUE!</v>
      </c>
      <c r="CC870" s="129">
        <f>G870-I870+1</f>
        <v>204</v>
      </c>
      <c r="CD870" s="129">
        <f>G870-J870</f>
        <v>0</v>
      </c>
      <c r="CE870" s="129">
        <f t="shared" si="643"/>
        <v>0</v>
      </c>
      <c r="CG870" s="129" t="str">
        <f t="shared" si="644"/>
        <v>Y</v>
      </c>
      <c r="CI870" s="129" t="str">
        <f t="shared" si="645"/>
        <v>121-365 DAYS</v>
      </c>
      <c r="CJ870" s="137">
        <f t="shared" si="646"/>
        <v>6</v>
      </c>
      <c r="CK870" s="129" t="str">
        <f t="shared" si="647"/>
        <v>Booked</v>
      </c>
    </row>
    <row r="871" spans="1:89" ht="15" customHeight="1" x14ac:dyDescent="0.25">
      <c r="A871" s="111">
        <v>841</v>
      </c>
      <c r="B871" s="128" t="str">
        <f t="shared" si="628"/>
        <v>N</v>
      </c>
      <c r="C871" s="128" t="str">
        <f t="shared" si="629"/>
        <v>N</v>
      </c>
      <c r="D871" s="117">
        <v>1607483</v>
      </c>
      <c r="E871" s="135">
        <f t="shared" si="630"/>
        <v>2</v>
      </c>
      <c r="F871" s="124">
        <v>40940</v>
      </c>
      <c r="G871" s="125">
        <v>41436</v>
      </c>
      <c r="H871" s="117">
        <v>1607483</v>
      </c>
      <c r="I871" s="124">
        <v>40941</v>
      </c>
      <c r="J871" s="124">
        <v>40949</v>
      </c>
      <c r="K871" s="126">
        <v>2000</v>
      </c>
      <c r="L871" s="127" t="s">
        <v>568</v>
      </c>
      <c r="M871" s="125">
        <v>40949</v>
      </c>
      <c r="N871" s="129" t="str">
        <f t="shared" si="662"/>
        <v>Y</v>
      </c>
      <c r="O871" s="128" t="s">
        <v>76</v>
      </c>
      <c r="P871" s="129" t="s">
        <v>589</v>
      </c>
      <c r="Q871" s="111">
        <f t="shared" si="654"/>
        <v>9</v>
      </c>
      <c r="R871" s="111">
        <f t="shared" si="624"/>
        <v>497</v>
      </c>
      <c r="S871" s="129">
        <v>2</v>
      </c>
      <c r="T871" s="129">
        <v>2</v>
      </c>
      <c r="V871" s="117">
        <v>1</v>
      </c>
      <c r="W871" s="111"/>
      <c r="AC871" s="130"/>
      <c r="AD871" s="130">
        <v>29263</v>
      </c>
      <c r="AE871" s="128" t="s">
        <v>32</v>
      </c>
      <c r="AF871" s="128" t="s">
        <v>33</v>
      </c>
      <c r="AG871" s="128" t="s">
        <v>872</v>
      </c>
      <c r="AH871" s="108" t="s">
        <v>58</v>
      </c>
      <c r="AI871" s="128" t="s">
        <v>80</v>
      </c>
      <c r="AJ871" s="129" t="s">
        <v>48</v>
      </c>
      <c r="AK871" s="129">
        <v>14</v>
      </c>
      <c r="AL871" s="3" t="s">
        <v>48</v>
      </c>
      <c r="AP871" s="129" t="s">
        <v>234</v>
      </c>
      <c r="AR871" s="128" t="s">
        <v>50</v>
      </c>
      <c r="AS871" s="129" t="s">
        <v>45</v>
      </c>
      <c r="BC871" s="129" t="s">
        <v>52</v>
      </c>
      <c r="BF871" s="111">
        <f t="shared" si="659"/>
        <v>9</v>
      </c>
      <c r="BG871" s="111">
        <f t="shared" si="660"/>
        <v>496</v>
      </c>
      <c r="BH871" s="111">
        <f t="shared" si="625"/>
        <v>497</v>
      </c>
      <c r="BI871" s="111">
        <f t="shared" si="626"/>
        <v>31.904371584699454</v>
      </c>
      <c r="BJ871" s="129">
        <f>(G871-J871)+(M871-G871)</f>
        <v>0</v>
      </c>
      <c r="BK871" s="129">
        <f t="shared" si="627"/>
        <v>-487</v>
      </c>
      <c r="BL871" s="129" t="str">
        <f t="shared" si="657"/>
        <v>DEFERRED</v>
      </c>
      <c r="BM871" s="129" t="s">
        <v>76</v>
      </c>
      <c r="BN871" s="129" t="s">
        <v>88</v>
      </c>
      <c r="BP871" s="137" t="str">
        <f t="shared" si="633"/>
        <v>DEFERRED</v>
      </c>
      <c r="BQ871" s="128" t="str">
        <f t="shared" si="634"/>
        <v>Y</v>
      </c>
      <c r="BR871" s="129" t="str">
        <f t="shared" si="635"/>
        <v>ON BOND</v>
      </c>
      <c r="BS871" s="129" t="str">
        <f t="shared" si="636"/>
        <v>DISPOSED</v>
      </c>
      <c r="BT871" s="129" t="str">
        <f t="shared" si="637"/>
        <v>Y</v>
      </c>
      <c r="BU871" s="109">
        <f t="shared" si="648"/>
        <v>1.8108651911468814E-2</v>
      </c>
      <c r="BV871" s="109">
        <f t="shared" si="638"/>
        <v>1.8145161290322582E-2</v>
      </c>
      <c r="BW871" s="109">
        <f t="shared" si="651"/>
        <v>3.6509378853768343E-5</v>
      </c>
      <c r="BX871" s="111">
        <f t="shared" si="639"/>
        <v>0</v>
      </c>
      <c r="BY871" s="129">
        <f t="shared" si="640"/>
        <v>-9</v>
      </c>
      <c r="BZ871" s="111">
        <f t="shared" si="641"/>
        <v>0</v>
      </c>
      <c r="CA871" s="138">
        <f t="shared" si="642"/>
        <v>9</v>
      </c>
      <c r="CB871" s="111" t="e">
        <f t="shared" si="661"/>
        <v>#VALUE!</v>
      </c>
      <c r="CC871" s="129">
        <f>M871-I871+1</f>
        <v>9</v>
      </c>
      <c r="CD871" s="111">
        <f>CC871-BF871</f>
        <v>0</v>
      </c>
      <c r="CE871" s="129">
        <f t="shared" si="643"/>
        <v>487</v>
      </c>
      <c r="CG871" s="129" t="str">
        <f t="shared" si="644"/>
        <v>Y</v>
      </c>
      <c r="CI871" s="129" t="str">
        <f t="shared" si="645"/>
        <v>0-10 DAYS</v>
      </c>
      <c r="CJ871" s="137">
        <f t="shared" si="646"/>
        <v>1</v>
      </c>
      <c r="CK871" s="129" t="str">
        <f t="shared" si="647"/>
        <v>Booked</v>
      </c>
    </row>
    <row r="872" spans="1:89" ht="15" customHeight="1" x14ac:dyDescent="0.25">
      <c r="A872" s="111">
        <v>2188</v>
      </c>
      <c r="B872" s="128" t="str">
        <f t="shared" si="628"/>
        <v>N</v>
      </c>
      <c r="C872" s="128" t="str">
        <f t="shared" si="629"/>
        <v>N</v>
      </c>
      <c r="D872" s="117">
        <v>1609502</v>
      </c>
      <c r="E872" s="135">
        <f t="shared" si="630"/>
        <v>5</v>
      </c>
      <c r="F872" s="124">
        <v>40990</v>
      </c>
      <c r="G872" s="125">
        <v>40994</v>
      </c>
      <c r="H872" s="117">
        <v>1609502</v>
      </c>
      <c r="I872" s="124">
        <v>40991</v>
      </c>
      <c r="J872" s="124">
        <v>40994</v>
      </c>
      <c r="K872" s="126">
        <v>15000</v>
      </c>
      <c r="L872" s="127" t="s">
        <v>571</v>
      </c>
      <c r="N872" s="129" t="str">
        <f t="shared" si="662"/>
        <v>N</v>
      </c>
      <c r="O872" s="128" t="s">
        <v>917</v>
      </c>
      <c r="P872" s="129" t="s">
        <v>39</v>
      </c>
      <c r="Q872" s="111">
        <f t="shared" si="654"/>
        <v>4</v>
      </c>
      <c r="R872" s="111">
        <f t="shared" si="624"/>
        <v>5</v>
      </c>
      <c r="S872" s="129">
        <v>12</v>
      </c>
      <c r="T872" s="129">
        <v>6</v>
      </c>
      <c r="U872" s="129">
        <v>9</v>
      </c>
      <c r="W872" s="111"/>
      <c r="AC872" s="130"/>
      <c r="AD872" s="130">
        <v>29158</v>
      </c>
      <c r="AE872" s="128" t="s">
        <v>32</v>
      </c>
      <c r="AF872" s="128" t="s">
        <v>33</v>
      </c>
      <c r="AG872" s="128" t="s">
        <v>872</v>
      </c>
      <c r="AH872" s="108" t="s">
        <v>58</v>
      </c>
      <c r="AI872" s="128" t="s">
        <v>141</v>
      </c>
      <c r="AJ872" s="129" t="s">
        <v>89</v>
      </c>
      <c r="AK872" s="129">
        <v>1</v>
      </c>
      <c r="AL872" s="3" t="s">
        <v>992</v>
      </c>
      <c r="AN872" s="117">
        <v>10</v>
      </c>
      <c r="AP872" s="129" t="s">
        <v>127</v>
      </c>
      <c r="AR872" s="128" t="s">
        <v>44</v>
      </c>
      <c r="AS872" s="129" t="s">
        <v>82</v>
      </c>
      <c r="BC872" s="129" t="s">
        <v>38</v>
      </c>
      <c r="BF872" s="111">
        <f t="shared" si="659"/>
        <v>4</v>
      </c>
      <c r="BG872" s="111">
        <f t="shared" si="660"/>
        <v>4</v>
      </c>
      <c r="BH872" s="111">
        <f t="shared" si="625"/>
        <v>5</v>
      </c>
      <c r="BI872" s="111">
        <f t="shared" si="626"/>
        <v>32.327868852459019</v>
      </c>
      <c r="BJ872" s="129">
        <f t="shared" si="631"/>
        <v>0</v>
      </c>
      <c r="BK872" s="129">
        <f t="shared" si="627"/>
        <v>0</v>
      </c>
      <c r="BL872" s="129" t="str">
        <f t="shared" si="657"/>
        <v>CONVICTION</v>
      </c>
      <c r="BM872" s="129" t="str">
        <f t="shared" si="632"/>
        <v>NONE</v>
      </c>
      <c r="BN872" s="129" t="s">
        <v>566</v>
      </c>
      <c r="BP872" s="137" t="str">
        <f t="shared" si="633"/>
        <v>CONVICTION</v>
      </c>
      <c r="BQ872" s="128" t="str">
        <f t="shared" si="634"/>
        <v>Y</v>
      </c>
      <c r="BR872" s="129" t="str">
        <f t="shared" si="635"/>
        <v>DETAINED</v>
      </c>
      <c r="BS872" s="129" t="str">
        <f t="shared" si="636"/>
        <v>DISPOSED</v>
      </c>
      <c r="BT872" s="129" t="str">
        <f t="shared" si="637"/>
        <v>Y</v>
      </c>
      <c r="BU872" s="109">
        <f t="shared" si="648"/>
        <v>0.8</v>
      </c>
      <c r="BV872" s="109">
        <f t="shared" si="638"/>
        <v>1</v>
      </c>
      <c r="BW872" s="109">
        <f t="shared" si="651"/>
        <v>0.19999999999999996</v>
      </c>
      <c r="BX872" s="111">
        <f t="shared" si="639"/>
        <v>0</v>
      </c>
      <c r="BY872" s="129">
        <f t="shared" si="640"/>
        <v>-4</v>
      </c>
      <c r="BZ872" s="111">
        <f t="shared" si="641"/>
        <v>0</v>
      </c>
      <c r="CA872" s="138">
        <f t="shared" si="642"/>
        <v>4</v>
      </c>
      <c r="CB872" s="111" t="e">
        <f t="shared" si="661"/>
        <v>#VALUE!</v>
      </c>
      <c r="CC872" s="129">
        <f>G872-I872+1</f>
        <v>4</v>
      </c>
      <c r="CD872" s="129">
        <f>G872-J872</f>
        <v>0</v>
      </c>
      <c r="CE872" s="129">
        <f t="shared" si="643"/>
        <v>0</v>
      </c>
      <c r="CG872" s="129" t="str">
        <f t="shared" si="644"/>
        <v>Y</v>
      </c>
      <c r="CI872" s="129" t="str">
        <f t="shared" si="645"/>
        <v>0-10 DAYS</v>
      </c>
      <c r="CJ872" s="137">
        <f t="shared" si="646"/>
        <v>1</v>
      </c>
      <c r="CK872" s="129" t="str">
        <f t="shared" si="647"/>
        <v>Booked</v>
      </c>
    </row>
    <row r="873" spans="1:89" ht="15.75" customHeight="1" x14ac:dyDescent="0.25">
      <c r="A873" s="111">
        <v>2572</v>
      </c>
      <c r="B873" s="128" t="str">
        <f t="shared" si="628"/>
        <v>N</v>
      </c>
      <c r="C873" s="128" t="str">
        <f t="shared" si="629"/>
        <v>N</v>
      </c>
      <c r="D873" s="117">
        <v>1610459</v>
      </c>
      <c r="E873" s="135">
        <f t="shared" si="630"/>
        <v>6</v>
      </c>
      <c r="F873" s="124">
        <v>41004</v>
      </c>
      <c r="G873" s="125">
        <v>41108</v>
      </c>
      <c r="H873" s="117">
        <v>1610459</v>
      </c>
      <c r="I873" s="124">
        <v>41006</v>
      </c>
      <c r="J873" s="124">
        <v>41019</v>
      </c>
      <c r="K873" s="126">
        <v>20000</v>
      </c>
      <c r="L873" s="127" t="s">
        <v>571</v>
      </c>
      <c r="M873" s="125">
        <v>41019</v>
      </c>
      <c r="N873" s="129" t="str">
        <f t="shared" si="662"/>
        <v>Y</v>
      </c>
      <c r="O873" s="128" t="s">
        <v>76</v>
      </c>
      <c r="P873" s="129" t="s">
        <v>39</v>
      </c>
      <c r="Q873" s="111">
        <f t="shared" si="654"/>
        <v>14</v>
      </c>
      <c r="R873" s="111">
        <f t="shared" si="624"/>
        <v>105</v>
      </c>
      <c r="S873" s="129">
        <v>5</v>
      </c>
      <c r="T873" s="129">
        <v>8</v>
      </c>
      <c r="U873" s="129">
        <v>4</v>
      </c>
      <c r="W873" s="111"/>
      <c r="AC873" s="130"/>
      <c r="AD873" s="130">
        <v>29219</v>
      </c>
      <c r="AE873" s="128" t="s">
        <v>32</v>
      </c>
      <c r="AF873" s="128" t="s">
        <v>33</v>
      </c>
      <c r="AG873" s="128" t="s">
        <v>872</v>
      </c>
      <c r="AH873" s="108" t="s">
        <v>58</v>
      </c>
      <c r="AI873" s="128" t="s">
        <v>87</v>
      </c>
      <c r="AJ873" s="129" t="s">
        <v>89</v>
      </c>
      <c r="AK873" s="129">
        <v>5</v>
      </c>
      <c r="AL873" s="3" t="s">
        <v>362</v>
      </c>
      <c r="AM873" s="117">
        <v>3</v>
      </c>
      <c r="AP873" s="129" t="s">
        <v>56</v>
      </c>
      <c r="AR873" s="128" t="s">
        <v>50</v>
      </c>
      <c r="AS873" s="129" t="s">
        <v>57</v>
      </c>
      <c r="BC873" s="129" t="s">
        <v>38</v>
      </c>
      <c r="BF873" s="111">
        <f t="shared" si="659"/>
        <v>14</v>
      </c>
      <c r="BG873" s="111">
        <f t="shared" si="660"/>
        <v>103</v>
      </c>
      <c r="BH873" s="111">
        <f t="shared" si="625"/>
        <v>105</v>
      </c>
      <c r="BI873" s="111">
        <f t="shared" si="626"/>
        <v>32.199453551912569</v>
      </c>
      <c r="BJ873" s="129">
        <f>(G873-J873)+(M873-G873)</f>
        <v>0</v>
      </c>
      <c r="BK873" s="129">
        <f t="shared" si="627"/>
        <v>-89</v>
      </c>
      <c r="BL873" s="129" t="str">
        <f t="shared" si="657"/>
        <v>CONVICTION</v>
      </c>
      <c r="BM873" s="129" t="s">
        <v>76</v>
      </c>
      <c r="BN873" s="129" t="s">
        <v>88</v>
      </c>
      <c r="BP873" s="137" t="str">
        <f t="shared" si="633"/>
        <v>CONVICTION</v>
      </c>
      <c r="BQ873" s="128" t="str">
        <f t="shared" si="634"/>
        <v>Y</v>
      </c>
      <c r="BR873" s="129" t="str">
        <f>IF(J873&lt;G873,"ON BOND",0)</f>
        <v>ON BOND</v>
      </c>
      <c r="BS873" s="129" t="str">
        <f t="shared" si="636"/>
        <v>DISPOSED</v>
      </c>
      <c r="BT873" s="129" t="str">
        <f t="shared" si="637"/>
        <v>Y</v>
      </c>
      <c r="BU873" s="109">
        <f t="shared" si="648"/>
        <v>0.13333333333333333</v>
      </c>
      <c r="BV873" s="109">
        <f t="shared" si="638"/>
        <v>0.13592233009708737</v>
      </c>
      <c r="BW873" s="109">
        <f t="shared" si="651"/>
        <v>2.5889967637540423E-3</v>
      </c>
      <c r="BX873" s="111">
        <f t="shared" si="639"/>
        <v>0</v>
      </c>
      <c r="BY873" s="129">
        <f t="shared" si="640"/>
        <v>-14</v>
      </c>
      <c r="BZ873" s="111">
        <f t="shared" si="641"/>
        <v>0</v>
      </c>
      <c r="CA873" s="138">
        <f t="shared" si="642"/>
        <v>14</v>
      </c>
      <c r="CB873" s="111" t="e">
        <f t="shared" si="661"/>
        <v>#VALUE!</v>
      </c>
      <c r="CC873" s="129">
        <f>M873-I873+1</f>
        <v>14</v>
      </c>
      <c r="CD873" s="111">
        <f>CC873-BF873</f>
        <v>0</v>
      </c>
      <c r="CE873" s="129">
        <f t="shared" si="643"/>
        <v>89</v>
      </c>
      <c r="CG873" s="129" t="str">
        <f t="shared" si="644"/>
        <v>Y</v>
      </c>
      <c r="CI873" s="129" t="str">
        <f t="shared" si="645"/>
        <v>11-30 DAYS</v>
      </c>
      <c r="CJ873" s="137">
        <f t="shared" si="646"/>
        <v>2</v>
      </c>
      <c r="CK873" s="129" t="str">
        <f t="shared" si="647"/>
        <v>Booked</v>
      </c>
    </row>
    <row r="874" spans="1:89" ht="15" customHeight="1" x14ac:dyDescent="0.25">
      <c r="A874" s="111">
        <v>1767</v>
      </c>
      <c r="B874" s="128" t="str">
        <f t="shared" si="628"/>
        <v>N</v>
      </c>
      <c r="C874" s="128" t="str">
        <f t="shared" si="629"/>
        <v>N</v>
      </c>
      <c r="D874" s="117">
        <v>1612105</v>
      </c>
      <c r="E874" s="135">
        <f t="shared" si="630"/>
        <v>3</v>
      </c>
      <c r="F874" s="124">
        <v>40974</v>
      </c>
      <c r="G874" s="125">
        <v>41114</v>
      </c>
      <c r="H874" s="117">
        <v>1612105</v>
      </c>
      <c r="I874" s="124">
        <v>40975</v>
      </c>
      <c r="J874" s="124">
        <v>40977</v>
      </c>
      <c r="K874" s="126">
        <v>5000</v>
      </c>
      <c r="L874" s="127" t="s">
        <v>569</v>
      </c>
      <c r="M874" s="125">
        <v>40977</v>
      </c>
      <c r="N874" s="129" t="str">
        <f t="shared" si="662"/>
        <v>Y</v>
      </c>
      <c r="O874" s="128" t="s">
        <v>585</v>
      </c>
      <c r="P874" s="129" t="s">
        <v>39</v>
      </c>
      <c r="Q874" s="111">
        <f t="shared" si="654"/>
        <v>3</v>
      </c>
      <c r="R874" s="111">
        <f t="shared" si="624"/>
        <v>141</v>
      </c>
      <c r="S874" s="129">
        <v>0</v>
      </c>
      <c r="T874" s="129">
        <v>2</v>
      </c>
      <c r="W874" s="111"/>
      <c r="AC874" s="130"/>
      <c r="AD874" s="130">
        <v>28968</v>
      </c>
      <c r="AE874" s="128" t="s">
        <v>32</v>
      </c>
      <c r="AF874" s="128" t="s">
        <v>40</v>
      </c>
      <c r="AG874" s="128" t="s">
        <v>41</v>
      </c>
      <c r="AH874" s="108" t="s">
        <v>41</v>
      </c>
      <c r="AI874" s="128" t="s">
        <v>97</v>
      </c>
      <c r="AJ874" s="129" t="s">
        <v>89</v>
      </c>
      <c r="AK874" s="129">
        <v>6</v>
      </c>
      <c r="AL874" s="3" t="s">
        <v>185</v>
      </c>
      <c r="AP874" s="129" t="s">
        <v>66</v>
      </c>
      <c r="AR874" s="128" t="s">
        <v>67</v>
      </c>
      <c r="AS874" s="129" t="s">
        <v>68</v>
      </c>
      <c r="BC874" s="129" t="s">
        <v>52</v>
      </c>
      <c r="BF874" s="111">
        <f t="shared" si="659"/>
        <v>3</v>
      </c>
      <c r="BG874" s="111">
        <f t="shared" si="660"/>
        <v>140</v>
      </c>
      <c r="BH874" s="111">
        <f t="shared" si="625"/>
        <v>141</v>
      </c>
      <c r="BI874" s="111">
        <f t="shared" si="626"/>
        <v>32.803278688524593</v>
      </c>
      <c r="BJ874" s="129">
        <f>(G874-J874)+(M874-G874)</f>
        <v>0</v>
      </c>
      <c r="BK874" s="129">
        <f t="shared" si="627"/>
        <v>-137</v>
      </c>
      <c r="BL874" s="129" t="str">
        <f t="shared" si="657"/>
        <v>CONVICTION</v>
      </c>
      <c r="BM874" s="129" t="s">
        <v>76</v>
      </c>
      <c r="BN874" s="129" t="s">
        <v>88</v>
      </c>
      <c r="BP874" s="137" t="str">
        <f t="shared" si="633"/>
        <v>CONVICTION</v>
      </c>
      <c r="BQ874" s="128" t="str">
        <f t="shared" si="634"/>
        <v>Y</v>
      </c>
      <c r="BR874" s="129" t="str">
        <f>IF(J874&lt;G874,"ON BOND",0)</f>
        <v>ON BOND</v>
      </c>
      <c r="BS874" s="129" t="str">
        <f t="shared" si="636"/>
        <v>DISPOSED</v>
      </c>
      <c r="BT874" s="129" t="str">
        <f t="shared" si="637"/>
        <v>N</v>
      </c>
      <c r="BU874" s="109">
        <f t="shared" si="648"/>
        <v>2.1276595744680851E-2</v>
      </c>
      <c r="BV874" s="109">
        <f t="shared" si="638"/>
        <v>2.1428571428571429E-2</v>
      </c>
      <c r="BW874" s="109">
        <f t="shared" si="651"/>
        <v>1.5197568389057822E-4</v>
      </c>
      <c r="BX874" s="111">
        <f t="shared" si="639"/>
        <v>0</v>
      </c>
      <c r="BY874" s="129">
        <f t="shared" si="640"/>
        <v>-3</v>
      </c>
      <c r="BZ874" s="111">
        <f t="shared" si="641"/>
        <v>0</v>
      </c>
      <c r="CA874" s="138">
        <f t="shared" si="642"/>
        <v>3</v>
      </c>
      <c r="CB874" s="111" t="e">
        <f t="shared" si="661"/>
        <v>#VALUE!</v>
      </c>
      <c r="CC874" s="129">
        <f>M874-I874+1</f>
        <v>3</v>
      </c>
      <c r="CD874" s="111">
        <f>CC874-BF874</f>
        <v>0</v>
      </c>
      <c r="CE874" s="129">
        <f t="shared" si="643"/>
        <v>137</v>
      </c>
      <c r="CG874" s="129" t="str">
        <f t="shared" si="644"/>
        <v>Y</v>
      </c>
      <c r="CI874" s="129" t="str">
        <f t="shared" si="645"/>
        <v>0-10 DAYS</v>
      </c>
      <c r="CJ874" s="137">
        <f t="shared" si="646"/>
        <v>1</v>
      </c>
      <c r="CK874" s="129" t="str">
        <f t="shared" si="647"/>
        <v>Booked</v>
      </c>
    </row>
    <row r="875" spans="1:89" ht="15" customHeight="1" x14ac:dyDescent="0.25">
      <c r="A875" s="111">
        <v>2772</v>
      </c>
      <c r="B875" s="128" t="str">
        <f t="shared" si="628"/>
        <v>N</v>
      </c>
      <c r="C875" s="128" t="str">
        <f t="shared" si="629"/>
        <v>N</v>
      </c>
      <c r="D875" s="117">
        <v>1612485</v>
      </c>
      <c r="E875" s="135">
        <f t="shared" si="630"/>
        <v>5</v>
      </c>
      <c r="F875" s="124">
        <v>41011</v>
      </c>
      <c r="G875" s="125">
        <v>41015</v>
      </c>
      <c r="H875" s="117">
        <v>1612485</v>
      </c>
      <c r="I875" s="124">
        <v>41011</v>
      </c>
      <c r="J875" s="124">
        <v>41015</v>
      </c>
      <c r="K875" s="126">
        <v>15000</v>
      </c>
      <c r="L875" s="127" t="s">
        <v>571</v>
      </c>
      <c r="N875" s="129" t="str">
        <f t="shared" si="662"/>
        <v>N</v>
      </c>
      <c r="O875" s="128" t="s">
        <v>917</v>
      </c>
      <c r="P875" s="129" t="s">
        <v>39</v>
      </c>
      <c r="Q875" s="111">
        <f t="shared" si="654"/>
        <v>5</v>
      </c>
      <c r="R875" s="111">
        <f t="shared" si="624"/>
        <v>5</v>
      </c>
      <c r="S875" s="129">
        <v>2</v>
      </c>
      <c r="T875" s="129">
        <v>1</v>
      </c>
      <c r="U875" s="129">
        <v>1</v>
      </c>
      <c r="W875" s="111"/>
      <c r="AC875" s="130"/>
      <c r="AD875" s="130">
        <v>27483</v>
      </c>
      <c r="AE875" s="128" t="s">
        <v>32</v>
      </c>
      <c r="AF875" s="128" t="s">
        <v>33</v>
      </c>
      <c r="AG875" s="128" t="s">
        <v>872</v>
      </c>
      <c r="AH875" s="108" t="s">
        <v>58</v>
      </c>
      <c r="AI875" s="128" t="s">
        <v>114</v>
      </c>
      <c r="AJ875" s="129" t="s">
        <v>89</v>
      </c>
      <c r="AK875" s="129">
        <v>1</v>
      </c>
      <c r="AL875" s="3" t="s">
        <v>992</v>
      </c>
      <c r="AN875" s="117">
        <v>6</v>
      </c>
      <c r="AP875" s="129" t="s">
        <v>43</v>
      </c>
      <c r="AR875" s="128" t="s">
        <v>44</v>
      </c>
      <c r="AS875" s="129" t="s">
        <v>45</v>
      </c>
      <c r="BC875" s="129" t="s">
        <v>38</v>
      </c>
      <c r="BF875" s="111">
        <f t="shared" si="659"/>
        <v>5</v>
      </c>
      <c r="BG875" s="111">
        <f t="shared" si="660"/>
        <v>5</v>
      </c>
      <c r="BH875" s="111">
        <f t="shared" si="625"/>
        <v>5</v>
      </c>
      <c r="BI875" s="111">
        <f t="shared" si="626"/>
        <v>36.961748633879779</v>
      </c>
      <c r="BJ875" s="129">
        <f t="shared" si="631"/>
        <v>0</v>
      </c>
      <c r="BK875" s="129">
        <f t="shared" si="627"/>
        <v>0</v>
      </c>
      <c r="BL875" s="129" t="str">
        <f t="shared" si="657"/>
        <v>CONVICTION</v>
      </c>
      <c r="BM875" s="129" t="str">
        <f t="shared" si="632"/>
        <v>NONE</v>
      </c>
      <c r="BN875" s="129" t="s">
        <v>566</v>
      </c>
      <c r="BP875" s="137" t="str">
        <f t="shared" si="633"/>
        <v>CONVICTION</v>
      </c>
      <c r="BQ875" s="128" t="str">
        <f t="shared" si="634"/>
        <v>Y</v>
      </c>
      <c r="BR875" s="129" t="str">
        <f t="shared" si="635"/>
        <v>DETAINED</v>
      </c>
      <c r="BS875" s="129" t="str">
        <f t="shared" si="636"/>
        <v>DISPOSED</v>
      </c>
      <c r="BT875" s="129" t="str">
        <f t="shared" si="637"/>
        <v>Y</v>
      </c>
      <c r="BU875" s="109">
        <f t="shared" si="648"/>
        <v>1</v>
      </c>
      <c r="BV875" s="109">
        <f t="shared" si="638"/>
        <v>1</v>
      </c>
      <c r="BW875" s="109">
        <f t="shared" si="651"/>
        <v>0</v>
      </c>
      <c r="BX875" s="111">
        <f t="shared" si="639"/>
        <v>0</v>
      </c>
      <c r="BY875" s="129">
        <f t="shared" si="640"/>
        <v>-5</v>
      </c>
      <c r="BZ875" s="111">
        <f t="shared" si="641"/>
        <v>0</v>
      </c>
      <c r="CA875" s="138">
        <f t="shared" si="642"/>
        <v>5</v>
      </c>
      <c r="CB875" s="111" t="e">
        <f t="shared" si="661"/>
        <v>#VALUE!</v>
      </c>
      <c r="CC875" s="129">
        <f>G875-I875+1</f>
        <v>5</v>
      </c>
      <c r="CD875" s="129">
        <f>G875-J875</f>
        <v>0</v>
      </c>
      <c r="CE875" s="129">
        <f t="shared" si="643"/>
        <v>0</v>
      </c>
      <c r="CG875" s="129" t="str">
        <f t="shared" si="644"/>
        <v>Y</v>
      </c>
      <c r="CI875" s="129" t="str">
        <f t="shared" si="645"/>
        <v>0-10 DAYS</v>
      </c>
      <c r="CJ875" s="137">
        <f t="shared" si="646"/>
        <v>1</v>
      </c>
      <c r="CK875" s="129" t="str">
        <f t="shared" si="647"/>
        <v>Booked</v>
      </c>
    </row>
    <row r="876" spans="1:89" ht="15" customHeight="1" x14ac:dyDescent="0.25">
      <c r="A876" s="111">
        <v>2620</v>
      </c>
      <c r="B876" s="128" t="str">
        <f t="shared" si="628"/>
        <v>N</v>
      </c>
      <c r="C876" s="128" t="str">
        <f t="shared" si="629"/>
        <v>N</v>
      </c>
      <c r="D876" s="117">
        <v>1613265</v>
      </c>
      <c r="E876" s="135">
        <f t="shared" si="630"/>
        <v>6</v>
      </c>
      <c r="F876" s="124">
        <v>41006</v>
      </c>
      <c r="G876" s="125">
        <v>41151</v>
      </c>
      <c r="H876" s="117">
        <v>1613265</v>
      </c>
      <c r="I876" s="124">
        <v>41006</v>
      </c>
      <c r="J876" s="124">
        <v>41007</v>
      </c>
      <c r="K876" s="126">
        <v>20000</v>
      </c>
      <c r="L876" s="127" t="s">
        <v>571</v>
      </c>
      <c r="M876" s="125">
        <v>41007</v>
      </c>
      <c r="N876" s="129" t="str">
        <f t="shared" si="662"/>
        <v>Y</v>
      </c>
      <c r="O876" s="128" t="s">
        <v>585</v>
      </c>
      <c r="P876" s="129" t="s">
        <v>39</v>
      </c>
      <c r="Q876" s="111">
        <f t="shared" si="654"/>
        <v>2</v>
      </c>
      <c r="R876" s="111">
        <f t="shared" si="624"/>
        <v>146</v>
      </c>
      <c r="S876" s="129">
        <v>3</v>
      </c>
      <c r="T876" s="129">
        <v>7</v>
      </c>
      <c r="U876" s="129">
        <v>2</v>
      </c>
      <c r="W876" s="111"/>
      <c r="AC876" s="130"/>
      <c r="AD876" s="130">
        <v>29135</v>
      </c>
      <c r="AE876" s="128" t="s">
        <v>32</v>
      </c>
      <c r="AF876" s="128" t="s">
        <v>40</v>
      </c>
      <c r="AG876" s="128" t="s">
        <v>41</v>
      </c>
      <c r="AH876" s="108" t="s">
        <v>41</v>
      </c>
      <c r="AI876" s="128" t="s">
        <v>53</v>
      </c>
      <c r="AJ876" s="129" t="s">
        <v>89</v>
      </c>
      <c r="AK876" s="129">
        <v>9</v>
      </c>
      <c r="AL876" s="3" t="s">
        <v>362</v>
      </c>
      <c r="AM876" s="117">
        <v>8</v>
      </c>
      <c r="AP876" s="129" t="s">
        <v>132</v>
      </c>
      <c r="AR876" s="128" t="s">
        <v>92</v>
      </c>
      <c r="AS876" s="129" t="s">
        <v>82</v>
      </c>
      <c r="BC876" s="129" t="s">
        <v>52</v>
      </c>
      <c r="BF876" s="111">
        <f t="shared" si="659"/>
        <v>2</v>
      </c>
      <c r="BG876" s="111">
        <f t="shared" si="660"/>
        <v>146</v>
      </c>
      <c r="BH876" s="111">
        <f t="shared" si="625"/>
        <v>146</v>
      </c>
      <c r="BI876" s="111">
        <f t="shared" si="626"/>
        <v>32.434426229508198</v>
      </c>
      <c r="BJ876" s="129">
        <f>(G876-J876)+(M876-G876)</f>
        <v>0</v>
      </c>
      <c r="BK876" s="129">
        <f t="shared" si="627"/>
        <v>-144</v>
      </c>
      <c r="BL876" s="129" t="str">
        <f t="shared" si="657"/>
        <v>CONVICTION</v>
      </c>
      <c r="BM876" s="129" t="s">
        <v>76</v>
      </c>
      <c r="BN876" s="129" t="s">
        <v>88</v>
      </c>
      <c r="BP876" s="137" t="str">
        <f t="shared" si="633"/>
        <v>CONVICTION</v>
      </c>
      <c r="BQ876" s="128" t="str">
        <f t="shared" si="634"/>
        <v>Y</v>
      </c>
      <c r="BR876" s="129" t="str">
        <f>IF(J876&lt;G876,"ON BOND",0)</f>
        <v>ON BOND</v>
      </c>
      <c r="BS876" s="129" t="str">
        <f t="shared" si="636"/>
        <v>DISPOSED</v>
      </c>
      <c r="BT876" s="129" t="str">
        <f t="shared" si="637"/>
        <v>Y</v>
      </c>
      <c r="BU876" s="109">
        <f t="shared" si="648"/>
        <v>1.3698630136986301E-2</v>
      </c>
      <c r="BV876" s="109">
        <f t="shared" si="638"/>
        <v>1.3698630136986301E-2</v>
      </c>
      <c r="BW876" s="109">
        <f t="shared" si="651"/>
        <v>0</v>
      </c>
      <c r="BX876" s="111">
        <f t="shared" si="639"/>
        <v>0</v>
      </c>
      <c r="BY876" s="129">
        <f t="shared" si="640"/>
        <v>-2</v>
      </c>
      <c r="BZ876" s="111">
        <f t="shared" si="641"/>
        <v>0</v>
      </c>
      <c r="CA876" s="138">
        <f t="shared" si="642"/>
        <v>2</v>
      </c>
      <c r="CB876" s="111" t="e">
        <f t="shared" si="661"/>
        <v>#VALUE!</v>
      </c>
      <c r="CC876" s="129">
        <f>M876-I876+1</f>
        <v>2</v>
      </c>
      <c r="CD876" s="111">
        <f>CC876-BF876</f>
        <v>0</v>
      </c>
      <c r="CE876" s="129">
        <f t="shared" si="643"/>
        <v>144</v>
      </c>
      <c r="CG876" s="129" t="str">
        <f t="shared" si="644"/>
        <v>Y</v>
      </c>
      <c r="CI876" s="129" t="str">
        <f t="shared" si="645"/>
        <v>0-10 DAYS</v>
      </c>
      <c r="CJ876" s="137">
        <f t="shared" si="646"/>
        <v>1</v>
      </c>
      <c r="CK876" s="129" t="str">
        <f t="shared" si="647"/>
        <v>Booked</v>
      </c>
    </row>
    <row r="877" spans="1:89" ht="15" customHeight="1" x14ac:dyDescent="0.25">
      <c r="A877" s="111">
        <v>2755</v>
      </c>
      <c r="B877" s="128" t="str">
        <f t="shared" si="628"/>
        <v>N</v>
      </c>
      <c r="C877" s="128" t="str">
        <f t="shared" si="629"/>
        <v>N</v>
      </c>
      <c r="D877" s="117">
        <v>1613642</v>
      </c>
      <c r="E877" s="135">
        <f t="shared" si="630"/>
        <v>5</v>
      </c>
      <c r="F877" s="124">
        <v>41011</v>
      </c>
      <c r="G877" s="125">
        <v>41018</v>
      </c>
      <c r="H877" s="117">
        <v>1613642</v>
      </c>
      <c r="I877" s="124">
        <v>41011</v>
      </c>
      <c r="J877" s="124">
        <v>41018</v>
      </c>
      <c r="K877" s="126">
        <v>15000</v>
      </c>
      <c r="L877" s="127" t="s">
        <v>571</v>
      </c>
      <c r="N877" s="129" t="str">
        <f t="shared" si="662"/>
        <v>N</v>
      </c>
      <c r="O877" s="128" t="s">
        <v>917</v>
      </c>
      <c r="P877" s="129" t="s">
        <v>39</v>
      </c>
      <c r="Q877" s="111">
        <f t="shared" si="654"/>
        <v>8</v>
      </c>
      <c r="R877" s="111">
        <f t="shared" si="624"/>
        <v>8</v>
      </c>
      <c r="S877" s="129">
        <v>3</v>
      </c>
      <c r="T877" s="129">
        <v>3</v>
      </c>
      <c r="U877" s="129">
        <v>1</v>
      </c>
      <c r="W877" s="111"/>
      <c r="AC877" s="130"/>
      <c r="AD877" s="130">
        <v>28854</v>
      </c>
      <c r="AE877" s="128" t="s">
        <v>32</v>
      </c>
      <c r="AF877" s="128" t="s">
        <v>69</v>
      </c>
      <c r="AG877" s="128" t="s">
        <v>874</v>
      </c>
      <c r="AH877" s="108" t="s">
        <v>58</v>
      </c>
      <c r="AI877" s="128" t="s">
        <v>95</v>
      </c>
      <c r="AJ877" s="129" t="s">
        <v>89</v>
      </c>
      <c r="AK877" s="129">
        <v>2</v>
      </c>
      <c r="AL877" s="3" t="s">
        <v>992</v>
      </c>
      <c r="AN877" s="117">
        <v>6</v>
      </c>
      <c r="AP877" s="129" t="s">
        <v>103</v>
      </c>
      <c r="AR877" s="128" t="s">
        <v>44</v>
      </c>
      <c r="AS877" s="129" t="s">
        <v>45</v>
      </c>
      <c r="BC877" s="129" t="s">
        <v>38</v>
      </c>
      <c r="BF877" s="111">
        <f t="shared" si="659"/>
        <v>8</v>
      </c>
      <c r="BG877" s="111">
        <f t="shared" si="660"/>
        <v>8</v>
      </c>
      <c r="BH877" s="111">
        <f t="shared" si="625"/>
        <v>8</v>
      </c>
      <c r="BI877" s="111">
        <f t="shared" si="626"/>
        <v>33.215846994535518</v>
      </c>
      <c r="BJ877" s="129">
        <f t="shared" si="631"/>
        <v>0</v>
      </c>
      <c r="BK877" s="129">
        <f t="shared" si="627"/>
        <v>0</v>
      </c>
      <c r="BL877" s="129" t="str">
        <f t="shared" si="657"/>
        <v>CONVICTION</v>
      </c>
      <c r="BM877" s="129" t="str">
        <f t="shared" si="632"/>
        <v>NONE</v>
      </c>
      <c r="BN877" s="129" t="s">
        <v>566</v>
      </c>
      <c r="BP877" s="137" t="str">
        <f t="shared" si="633"/>
        <v>CONVICTION</v>
      </c>
      <c r="BQ877" s="128" t="str">
        <f t="shared" si="634"/>
        <v>Y</v>
      </c>
      <c r="BR877" s="129" t="str">
        <f t="shared" si="635"/>
        <v>DETAINED</v>
      </c>
      <c r="BS877" s="129" t="str">
        <f t="shared" si="636"/>
        <v>DISPOSED</v>
      </c>
      <c r="BT877" s="129" t="str">
        <f t="shared" si="637"/>
        <v>Y</v>
      </c>
      <c r="BU877" s="109">
        <f t="shared" si="648"/>
        <v>1</v>
      </c>
      <c r="BV877" s="109">
        <f t="shared" si="638"/>
        <v>1</v>
      </c>
      <c r="BW877" s="109">
        <f t="shared" si="651"/>
        <v>0</v>
      </c>
      <c r="BX877" s="111">
        <f t="shared" si="639"/>
        <v>0</v>
      </c>
      <c r="BY877" s="129">
        <f t="shared" si="640"/>
        <v>-8</v>
      </c>
      <c r="BZ877" s="111">
        <f t="shared" si="641"/>
        <v>0</v>
      </c>
      <c r="CA877" s="138">
        <f t="shared" si="642"/>
        <v>8</v>
      </c>
      <c r="CB877" s="111" t="e">
        <f t="shared" si="661"/>
        <v>#VALUE!</v>
      </c>
      <c r="CC877" s="129">
        <f>G877-I877+1</f>
        <v>8</v>
      </c>
      <c r="CD877" s="129">
        <f>G877-J877</f>
        <v>0</v>
      </c>
      <c r="CE877" s="129">
        <f t="shared" si="643"/>
        <v>0</v>
      </c>
      <c r="CG877" s="129" t="str">
        <f t="shared" si="644"/>
        <v>Y</v>
      </c>
      <c r="CI877" s="129" t="str">
        <f t="shared" si="645"/>
        <v>0-10 DAYS</v>
      </c>
      <c r="CJ877" s="137">
        <f t="shared" si="646"/>
        <v>1</v>
      </c>
      <c r="CK877" s="129" t="str">
        <f t="shared" si="647"/>
        <v>Booked</v>
      </c>
    </row>
    <row r="878" spans="1:89" ht="15.75" customHeight="1" x14ac:dyDescent="0.25">
      <c r="A878" s="111">
        <v>2228</v>
      </c>
      <c r="B878" s="128" t="str">
        <f t="shared" si="628"/>
        <v>N</v>
      </c>
      <c r="C878" s="128" t="str">
        <f t="shared" si="629"/>
        <v>N</v>
      </c>
      <c r="D878" s="117">
        <v>1614375</v>
      </c>
      <c r="E878" s="135">
        <f t="shared" si="630"/>
        <v>6</v>
      </c>
      <c r="F878" s="124">
        <v>40992</v>
      </c>
      <c r="G878" s="125">
        <v>41107</v>
      </c>
      <c r="H878" s="117">
        <v>1614375</v>
      </c>
      <c r="I878" s="124">
        <v>40993</v>
      </c>
      <c r="J878" s="124">
        <v>41107</v>
      </c>
      <c r="K878" s="126">
        <v>10000</v>
      </c>
      <c r="L878" s="127" t="s">
        <v>570</v>
      </c>
      <c r="N878" s="129" t="str">
        <f t="shared" si="662"/>
        <v>N</v>
      </c>
      <c r="O878" s="128" t="s">
        <v>917</v>
      </c>
      <c r="P878" s="129" t="s">
        <v>39</v>
      </c>
      <c r="Q878" s="111">
        <f t="shared" si="654"/>
        <v>115</v>
      </c>
      <c r="R878" s="111">
        <f t="shared" si="624"/>
        <v>116</v>
      </c>
      <c r="S878" s="129">
        <v>1</v>
      </c>
      <c r="T878" s="129">
        <v>2</v>
      </c>
      <c r="W878" s="111"/>
      <c r="AC878" s="130"/>
      <c r="AD878" s="130">
        <v>22391</v>
      </c>
      <c r="AE878" s="128" t="s">
        <v>32</v>
      </c>
      <c r="AF878" s="128" t="s">
        <v>40</v>
      </c>
      <c r="AG878" s="128" t="s">
        <v>41</v>
      </c>
      <c r="AH878" s="108" t="s">
        <v>41</v>
      </c>
      <c r="AI878" s="128" t="s">
        <v>141</v>
      </c>
      <c r="AJ878" s="129" t="s">
        <v>89</v>
      </c>
      <c r="AK878" s="129">
        <v>4</v>
      </c>
      <c r="AL878" s="3" t="s">
        <v>362</v>
      </c>
      <c r="AM878" s="117">
        <v>2</v>
      </c>
      <c r="AP878" s="129" t="s">
        <v>66</v>
      </c>
      <c r="AR878" s="128" t="s">
        <v>67</v>
      </c>
      <c r="AS878" s="129" t="s">
        <v>68</v>
      </c>
      <c r="AU878" s="129"/>
      <c r="BC878" s="129" t="s">
        <v>38</v>
      </c>
      <c r="BF878" s="111">
        <f t="shared" si="659"/>
        <v>115</v>
      </c>
      <c r="BG878" s="111">
        <f t="shared" si="660"/>
        <v>115</v>
      </c>
      <c r="BH878" s="111">
        <f t="shared" si="625"/>
        <v>116</v>
      </c>
      <c r="BI878" s="111">
        <f t="shared" si="626"/>
        <v>50.822404371584696</v>
      </c>
      <c r="BJ878" s="129">
        <f t="shared" si="631"/>
        <v>0</v>
      </c>
      <c r="BK878" s="129">
        <f t="shared" si="627"/>
        <v>0</v>
      </c>
      <c r="BL878" s="129" t="str">
        <f t="shared" si="657"/>
        <v>CONVICTION</v>
      </c>
      <c r="BM878" s="129" t="str">
        <f t="shared" si="632"/>
        <v>NONE</v>
      </c>
      <c r="BN878" s="129" t="s">
        <v>566</v>
      </c>
      <c r="BP878" s="137" t="str">
        <f t="shared" si="633"/>
        <v>CONVICTION</v>
      </c>
      <c r="BQ878" s="128" t="str">
        <f t="shared" si="634"/>
        <v>Y</v>
      </c>
      <c r="BR878" s="129" t="str">
        <f t="shared" si="635"/>
        <v>DETAINED</v>
      </c>
      <c r="BS878" s="129" t="str">
        <f t="shared" si="636"/>
        <v>DISPOSED</v>
      </c>
      <c r="BT878" s="129" t="str">
        <f t="shared" si="637"/>
        <v>Y</v>
      </c>
      <c r="BU878" s="109">
        <f t="shared" si="648"/>
        <v>0.99137931034482762</v>
      </c>
      <c r="BV878" s="109">
        <f t="shared" si="638"/>
        <v>1</v>
      </c>
      <c r="BW878" s="109">
        <f t="shared" si="651"/>
        <v>8.6206896551723755E-3</v>
      </c>
      <c r="BX878" s="111">
        <f t="shared" si="639"/>
        <v>0</v>
      </c>
      <c r="BY878" s="129">
        <f t="shared" si="640"/>
        <v>-115</v>
      </c>
      <c r="BZ878" s="111">
        <f t="shared" si="641"/>
        <v>0</v>
      </c>
      <c r="CA878" s="138">
        <f t="shared" si="642"/>
        <v>115</v>
      </c>
      <c r="CB878" s="111" t="e">
        <f t="shared" si="661"/>
        <v>#VALUE!</v>
      </c>
      <c r="CC878" s="129">
        <f>G878-I878+1</f>
        <v>115</v>
      </c>
      <c r="CD878" s="129">
        <f>G878-J878</f>
        <v>0</v>
      </c>
      <c r="CE878" s="129">
        <f t="shared" si="643"/>
        <v>0</v>
      </c>
      <c r="CG878" s="129" t="str">
        <f t="shared" si="644"/>
        <v>Y</v>
      </c>
      <c r="CI878" s="129" t="str">
        <f t="shared" si="645"/>
        <v>91-120 DAYS</v>
      </c>
      <c r="CJ878" s="137">
        <f t="shared" si="646"/>
        <v>0</v>
      </c>
      <c r="CK878" s="129" t="str">
        <f t="shared" si="647"/>
        <v>Booked</v>
      </c>
    </row>
    <row r="879" spans="1:89" ht="15" customHeight="1" x14ac:dyDescent="0.25">
      <c r="A879" s="111">
        <v>425</v>
      </c>
      <c r="B879" s="128" t="str">
        <f t="shared" si="628"/>
        <v>N</v>
      </c>
      <c r="C879" s="128" t="str">
        <f t="shared" si="629"/>
        <v>N</v>
      </c>
      <c r="D879" s="117">
        <v>1615647</v>
      </c>
      <c r="E879" s="135">
        <f t="shared" si="630"/>
        <v>2</v>
      </c>
      <c r="F879" s="124">
        <v>40926</v>
      </c>
      <c r="G879" s="125">
        <v>41023</v>
      </c>
      <c r="H879" s="117">
        <v>1615647</v>
      </c>
      <c r="I879" s="124">
        <v>40928</v>
      </c>
      <c r="J879" s="124">
        <v>40930</v>
      </c>
      <c r="K879" s="126">
        <v>5000</v>
      </c>
      <c r="L879" s="127" t="s">
        <v>569</v>
      </c>
      <c r="M879" s="125">
        <v>40930</v>
      </c>
      <c r="N879" s="129" t="str">
        <f t="shared" si="662"/>
        <v>Y</v>
      </c>
      <c r="O879" s="128" t="s">
        <v>76</v>
      </c>
      <c r="P879" s="129" t="s">
        <v>589</v>
      </c>
      <c r="Q879" s="111">
        <f t="shared" si="654"/>
        <v>3</v>
      </c>
      <c r="R879" s="111">
        <f t="shared" si="624"/>
        <v>98</v>
      </c>
      <c r="S879" s="129">
        <v>0</v>
      </c>
      <c r="T879" s="129">
        <v>1</v>
      </c>
      <c r="W879" s="111"/>
      <c r="AC879" s="130"/>
      <c r="AD879" s="130">
        <v>29244</v>
      </c>
      <c r="AE879" s="128" t="s">
        <v>46</v>
      </c>
      <c r="AF879" s="128" t="s">
        <v>69</v>
      </c>
      <c r="AG879" s="128" t="s">
        <v>874</v>
      </c>
      <c r="AH879" s="108" t="s">
        <v>31</v>
      </c>
      <c r="AI879" s="128" t="s">
        <v>65</v>
      </c>
      <c r="AJ879" s="129" t="s">
        <v>48</v>
      </c>
      <c r="AK879" s="129">
        <v>8</v>
      </c>
      <c r="AL879" s="3" t="s">
        <v>48</v>
      </c>
      <c r="AP879" s="129" t="s">
        <v>137</v>
      </c>
      <c r="AR879" s="128" t="s">
        <v>67</v>
      </c>
      <c r="AS879" s="129" t="s">
        <v>64</v>
      </c>
      <c r="BC879" s="129" t="s">
        <v>52</v>
      </c>
      <c r="BF879" s="111">
        <f t="shared" si="659"/>
        <v>3</v>
      </c>
      <c r="BG879" s="111">
        <f t="shared" si="660"/>
        <v>96</v>
      </c>
      <c r="BH879" s="111">
        <f t="shared" si="625"/>
        <v>98</v>
      </c>
      <c r="BI879" s="111">
        <f t="shared" si="626"/>
        <v>31.918032786885245</v>
      </c>
      <c r="BJ879" s="129">
        <f>(G879-J879)+(M879-G879)</f>
        <v>0</v>
      </c>
      <c r="BK879" s="129">
        <f t="shared" si="627"/>
        <v>-93</v>
      </c>
      <c r="BL879" s="129" t="str">
        <f t="shared" si="657"/>
        <v>DEFERRED</v>
      </c>
      <c r="BM879" s="129" t="s">
        <v>76</v>
      </c>
      <c r="BN879" s="129" t="s">
        <v>88</v>
      </c>
      <c r="BP879" s="137" t="str">
        <f t="shared" si="633"/>
        <v>DEFERRED</v>
      </c>
      <c r="BQ879" s="128" t="str">
        <f t="shared" si="634"/>
        <v>Y</v>
      </c>
      <c r="BR879" s="129" t="str">
        <f t="shared" si="635"/>
        <v>ON BOND</v>
      </c>
      <c r="BS879" s="129" t="str">
        <f t="shared" si="636"/>
        <v>DISPOSED</v>
      </c>
      <c r="BT879" s="129" t="str">
        <f t="shared" si="637"/>
        <v>N</v>
      </c>
      <c r="BU879" s="109">
        <f t="shared" si="648"/>
        <v>3.0612244897959183E-2</v>
      </c>
      <c r="BV879" s="109">
        <f t="shared" si="638"/>
        <v>3.125E-2</v>
      </c>
      <c r="BW879" s="109">
        <f t="shared" si="651"/>
        <v>6.3775510204081703E-4</v>
      </c>
      <c r="BX879" s="111">
        <f t="shared" si="639"/>
        <v>0</v>
      </c>
      <c r="BY879" s="129">
        <f t="shared" si="640"/>
        <v>-3</v>
      </c>
      <c r="BZ879" s="111">
        <f t="shared" si="641"/>
        <v>0</v>
      </c>
      <c r="CA879" s="138">
        <f t="shared" si="642"/>
        <v>3</v>
      </c>
      <c r="CB879" s="111" t="e">
        <f t="shared" si="661"/>
        <v>#VALUE!</v>
      </c>
      <c r="CC879" s="129">
        <f>M879-I879+1</f>
        <v>3</v>
      </c>
      <c r="CD879" s="111">
        <f>CC879-BF879</f>
        <v>0</v>
      </c>
      <c r="CE879" s="129">
        <f t="shared" si="643"/>
        <v>93</v>
      </c>
      <c r="CG879" s="129" t="str">
        <f t="shared" si="644"/>
        <v>Y</v>
      </c>
      <c r="CI879" s="129" t="str">
        <f t="shared" si="645"/>
        <v>0-10 DAYS</v>
      </c>
      <c r="CJ879" s="137">
        <f t="shared" si="646"/>
        <v>1</v>
      </c>
      <c r="CK879" s="129" t="str">
        <f t="shared" si="647"/>
        <v>Booked</v>
      </c>
    </row>
    <row r="880" spans="1:89" ht="15" customHeight="1" x14ac:dyDescent="0.25">
      <c r="A880" s="111">
        <v>3235</v>
      </c>
      <c r="B880" s="128" t="str">
        <f t="shared" si="628"/>
        <v>N</v>
      </c>
      <c r="C880" s="128" t="str">
        <f t="shared" si="629"/>
        <v>N</v>
      </c>
      <c r="D880" s="117">
        <v>1616310</v>
      </c>
      <c r="E880" s="135">
        <f t="shared" si="630"/>
        <v>2</v>
      </c>
      <c r="F880" s="124">
        <v>41028</v>
      </c>
      <c r="G880" s="125">
        <v>41030</v>
      </c>
      <c r="H880" s="117">
        <v>1616310</v>
      </c>
      <c r="I880" s="124">
        <v>41028</v>
      </c>
      <c r="J880" s="124">
        <v>41030</v>
      </c>
      <c r="K880" s="126">
        <v>4000</v>
      </c>
      <c r="L880" s="127" t="s">
        <v>569</v>
      </c>
      <c r="N880" s="129" t="str">
        <f t="shared" si="662"/>
        <v>N</v>
      </c>
      <c r="O880" s="128" t="s">
        <v>917</v>
      </c>
      <c r="P880" s="129" t="s">
        <v>589</v>
      </c>
      <c r="Q880" s="111">
        <f t="shared" si="654"/>
        <v>3</v>
      </c>
      <c r="R880" s="111">
        <f t="shared" si="624"/>
        <v>3</v>
      </c>
      <c r="S880" s="129">
        <v>0</v>
      </c>
      <c r="T880" s="129">
        <v>1</v>
      </c>
      <c r="W880" s="111"/>
      <c r="AC880" s="130"/>
      <c r="AD880" s="130">
        <v>27163</v>
      </c>
      <c r="AE880" s="128" t="s">
        <v>32</v>
      </c>
      <c r="AF880" s="128" t="s">
        <v>69</v>
      </c>
      <c r="AG880" s="128" t="s">
        <v>874</v>
      </c>
      <c r="AH880" s="108" t="s">
        <v>58</v>
      </c>
      <c r="AI880" s="128" t="s">
        <v>113</v>
      </c>
      <c r="AJ880" s="129" t="s">
        <v>48</v>
      </c>
      <c r="AK880" s="129">
        <v>1</v>
      </c>
      <c r="AL880" s="3" t="s">
        <v>48</v>
      </c>
      <c r="AP880" s="129" t="s">
        <v>98</v>
      </c>
      <c r="AR880" s="128" t="s">
        <v>44</v>
      </c>
      <c r="AS880" s="129" t="s">
        <v>64</v>
      </c>
      <c r="BC880" s="129" t="s">
        <v>38</v>
      </c>
      <c r="BF880" s="111">
        <f t="shared" si="659"/>
        <v>3</v>
      </c>
      <c r="BG880" s="111">
        <f t="shared" si="660"/>
        <v>3</v>
      </c>
      <c r="BH880" s="111">
        <f t="shared" si="625"/>
        <v>3</v>
      </c>
      <c r="BI880" s="111">
        <f t="shared" si="626"/>
        <v>37.882513661202189</v>
      </c>
      <c r="BJ880" s="129">
        <f t="shared" si="631"/>
        <v>0</v>
      </c>
      <c r="BK880" s="129">
        <f t="shared" si="627"/>
        <v>0</v>
      </c>
      <c r="BL880" s="129" t="str">
        <f t="shared" si="657"/>
        <v>DEFERRED</v>
      </c>
      <c r="BM880" s="129" t="str">
        <f t="shared" si="632"/>
        <v>NONE</v>
      </c>
      <c r="BN880" s="129" t="s">
        <v>566</v>
      </c>
      <c r="BP880" s="137" t="str">
        <f t="shared" si="633"/>
        <v>DEFERRED</v>
      </c>
      <c r="BQ880" s="128" t="str">
        <f t="shared" si="634"/>
        <v>Y</v>
      </c>
      <c r="BR880" s="129" t="str">
        <f t="shared" si="635"/>
        <v>DETAINED</v>
      </c>
      <c r="BS880" s="129" t="str">
        <f t="shared" si="636"/>
        <v>DISPOSED</v>
      </c>
      <c r="BT880" s="129" t="str">
        <f t="shared" si="637"/>
        <v>N</v>
      </c>
      <c r="BU880" s="109">
        <f t="shared" si="648"/>
        <v>1</v>
      </c>
      <c r="BV880" s="109">
        <f t="shared" si="638"/>
        <v>1</v>
      </c>
      <c r="BW880" s="109">
        <f t="shared" si="651"/>
        <v>0</v>
      </c>
      <c r="BX880" s="111">
        <f t="shared" si="639"/>
        <v>0</v>
      </c>
      <c r="BY880" s="129">
        <f t="shared" si="640"/>
        <v>-3</v>
      </c>
      <c r="BZ880" s="111">
        <f t="shared" si="641"/>
        <v>0</v>
      </c>
      <c r="CA880" s="138">
        <f t="shared" si="642"/>
        <v>3</v>
      </c>
      <c r="CB880" s="111" t="e">
        <f t="shared" si="661"/>
        <v>#VALUE!</v>
      </c>
      <c r="CC880" s="129">
        <f t="shared" ref="CC880:CC886" si="663">G880-I880+1</f>
        <v>3</v>
      </c>
      <c r="CD880" s="129">
        <f t="shared" ref="CD880:CD886" si="664">G880-J880</f>
        <v>0</v>
      </c>
      <c r="CE880" s="129">
        <f t="shared" si="643"/>
        <v>0</v>
      </c>
      <c r="CG880" s="129" t="str">
        <f t="shared" si="644"/>
        <v>Y</v>
      </c>
      <c r="CI880" s="129" t="str">
        <f t="shared" si="645"/>
        <v>0-10 DAYS</v>
      </c>
      <c r="CJ880" s="137">
        <f t="shared" si="646"/>
        <v>1</v>
      </c>
      <c r="CK880" s="129" t="str">
        <f t="shared" si="647"/>
        <v>Booked</v>
      </c>
    </row>
    <row r="881" spans="1:89" ht="15" customHeight="1" x14ac:dyDescent="0.25">
      <c r="A881" s="111">
        <v>2315</v>
      </c>
      <c r="B881" s="128" t="str">
        <f t="shared" si="628"/>
        <v>N</v>
      </c>
      <c r="C881" s="128" t="str">
        <f t="shared" si="629"/>
        <v>N</v>
      </c>
      <c r="D881" s="117">
        <v>1616734</v>
      </c>
      <c r="E881" s="135">
        <f t="shared" si="630"/>
        <v>5</v>
      </c>
      <c r="F881" s="124">
        <v>40996</v>
      </c>
      <c r="G881" s="125">
        <v>41080</v>
      </c>
      <c r="H881" s="117">
        <v>1616734</v>
      </c>
      <c r="I881" s="124">
        <v>40996</v>
      </c>
      <c r="J881" s="124">
        <v>41080</v>
      </c>
      <c r="K881" s="126">
        <v>15000</v>
      </c>
      <c r="L881" s="127" t="s">
        <v>571</v>
      </c>
      <c r="N881" s="129" t="str">
        <f t="shared" si="662"/>
        <v>N</v>
      </c>
      <c r="O881" s="128" t="s">
        <v>917</v>
      </c>
      <c r="P881" s="129" t="s">
        <v>39</v>
      </c>
      <c r="Q881" s="111">
        <f t="shared" si="654"/>
        <v>85</v>
      </c>
      <c r="R881" s="111">
        <f t="shared" si="624"/>
        <v>85</v>
      </c>
      <c r="S881" s="129">
        <v>4</v>
      </c>
      <c r="T881" s="129">
        <v>4</v>
      </c>
      <c r="U881" s="129">
        <v>2</v>
      </c>
      <c r="W881" s="111"/>
      <c r="AC881" s="130"/>
      <c r="AD881" s="130">
        <v>29085</v>
      </c>
      <c r="AE881" s="128" t="s">
        <v>32</v>
      </c>
      <c r="AF881" s="128" t="s">
        <v>69</v>
      </c>
      <c r="AG881" s="128" t="s">
        <v>874</v>
      </c>
      <c r="AH881" s="108" t="s">
        <v>58</v>
      </c>
      <c r="AI881" s="128" t="s">
        <v>83</v>
      </c>
      <c r="AJ881" s="129" t="s">
        <v>89</v>
      </c>
      <c r="AK881" s="129">
        <v>4</v>
      </c>
      <c r="AL881" s="3" t="s">
        <v>992</v>
      </c>
      <c r="AN881" s="117">
        <v>6</v>
      </c>
      <c r="AP881" s="129" t="s">
        <v>60</v>
      </c>
      <c r="AR881" s="128" t="s">
        <v>44</v>
      </c>
      <c r="AS881" s="129" t="s">
        <v>61</v>
      </c>
      <c r="BC881" s="129" t="s">
        <v>38</v>
      </c>
      <c r="BF881" s="111">
        <f t="shared" si="659"/>
        <v>85</v>
      </c>
      <c r="BG881" s="111">
        <f t="shared" si="660"/>
        <v>85</v>
      </c>
      <c r="BH881" s="111">
        <f t="shared" si="625"/>
        <v>85</v>
      </c>
      <c r="BI881" s="111">
        <f t="shared" si="626"/>
        <v>32.543715846994537</v>
      </c>
      <c r="BJ881" s="129">
        <f t="shared" si="631"/>
        <v>0</v>
      </c>
      <c r="BK881" s="129">
        <f t="shared" si="627"/>
        <v>0</v>
      </c>
      <c r="BL881" s="129" t="str">
        <f t="shared" si="657"/>
        <v>CONVICTION</v>
      </c>
      <c r="BM881" s="129" t="str">
        <f t="shared" si="632"/>
        <v>NONE</v>
      </c>
      <c r="BN881" s="129" t="s">
        <v>566</v>
      </c>
      <c r="BP881" s="137" t="str">
        <f t="shared" si="633"/>
        <v>CONVICTION</v>
      </c>
      <c r="BQ881" s="128" t="str">
        <f t="shared" si="634"/>
        <v>Y</v>
      </c>
      <c r="BR881" s="129" t="str">
        <f t="shared" si="635"/>
        <v>DETAINED</v>
      </c>
      <c r="BS881" s="129" t="str">
        <f t="shared" si="636"/>
        <v>DISPOSED</v>
      </c>
      <c r="BT881" s="129" t="str">
        <f t="shared" si="637"/>
        <v>Y</v>
      </c>
      <c r="BU881" s="109">
        <f t="shared" si="648"/>
        <v>1</v>
      </c>
      <c r="BV881" s="109">
        <f t="shared" si="638"/>
        <v>1</v>
      </c>
      <c r="BW881" s="109">
        <f t="shared" si="651"/>
        <v>0</v>
      </c>
      <c r="BX881" s="111">
        <f t="shared" si="639"/>
        <v>0</v>
      </c>
      <c r="BY881" s="129">
        <f t="shared" si="640"/>
        <v>-85</v>
      </c>
      <c r="BZ881" s="111">
        <f t="shared" si="641"/>
        <v>0</v>
      </c>
      <c r="CA881" s="138">
        <f t="shared" si="642"/>
        <v>85</v>
      </c>
      <c r="CB881" s="111" t="e">
        <f t="shared" si="661"/>
        <v>#VALUE!</v>
      </c>
      <c r="CC881" s="129">
        <f t="shared" si="663"/>
        <v>85</v>
      </c>
      <c r="CD881" s="129">
        <f t="shared" si="664"/>
        <v>0</v>
      </c>
      <c r="CE881" s="129">
        <f t="shared" si="643"/>
        <v>0</v>
      </c>
      <c r="CG881" s="129" t="str">
        <f t="shared" si="644"/>
        <v>Y</v>
      </c>
      <c r="CI881" s="129" t="str">
        <f t="shared" si="645"/>
        <v>61-90 DAYS</v>
      </c>
      <c r="CJ881" s="137">
        <f t="shared" si="646"/>
        <v>4</v>
      </c>
      <c r="CK881" s="129" t="str">
        <f t="shared" si="647"/>
        <v>Booked</v>
      </c>
    </row>
    <row r="882" spans="1:89" ht="15" customHeight="1" x14ac:dyDescent="0.25">
      <c r="A882" s="111">
        <v>1194</v>
      </c>
      <c r="B882" s="128" t="str">
        <f t="shared" si="628"/>
        <v>N</v>
      </c>
      <c r="C882" s="128" t="str">
        <f t="shared" si="629"/>
        <v>N</v>
      </c>
      <c r="D882" s="117">
        <v>1617010</v>
      </c>
      <c r="E882" s="135">
        <f t="shared" si="630"/>
        <v>6</v>
      </c>
      <c r="F882" s="124">
        <v>40952</v>
      </c>
      <c r="G882" s="125">
        <v>40995</v>
      </c>
      <c r="H882" s="117">
        <v>1617010</v>
      </c>
      <c r="I882" s="124">
        <v>40952</v>
      </c>
      <c r="J882" s="124">
        <v>40995</v>
      </c>
      <c r="K882" s="126" t="s">
        <v>564</v>
      </c>
      <c r="L882" s="127" t="s">
        <v>564</v>
      </c>
      <c r="N882" s="129" t="s">
        <v>566</v>
      </c>
      <c r="O882" s="128" t="s">
        <v>917</v>
      </c>
      <c r="P882" s="129" t="s">
        <v>39</v>
      </c>
      <c r="Q882" s="111">
        <f t="shared" si="654"/>
        <v>44</v>
      </c>
      <c r="R882" s="111">
        <f t="shared" si="624"/>
        <v>44</v>
      </c>
      <c r="S882" s="129">
        <v>5</v>
      </c>
      <c r="T882" s="129">
        <v>4</v>
      </c>
      <c r="U882" s="129">
        <v>4</v>
      </c>
      <c r="W882" s="111"/>
      <c r="AC882" s="130"/>
      <c r="AD882" s="130">
        <v>28222</v>
      </c>
      <c r="AE882" s="128" t="s">
        <v>32</v>
      </c>
      <c r="AF882" s="128" t="s">
        <v>69</v>
      </c>
      <c r="AG882" s="128" t="s">
        <v>874</v>
      </c>
      <c r="AH882" s="108" t="s">
        <v>58</v>
      </c>
      <c r="AI882" s="128" t="s">
        <v>83</v>
      </c>
      <c r="AJ882" s="129" t="s">
        <v>89</v>
      </c>
      <c r="AK882" s="129">
        <v>3</v>
      </c>
      <c r="AL882" s="3" t="s">
        <v>362</v>
      </c>
      <c r="AM882" s="117">
        <v>4</v>
      </c>
      <c r="AP882" s="129" t="s">
        <v>303</v>
      </c>
      <c r="AR882" s="128" t="s">
        <v>44</v>
      </c>
      <c r="AS882" s="129" t="s">
        <v>64</v>
      </c>
      <c r="BC882" s="129" t="s">
        <v>38</v>
      </c>
      <c r="BF882" s="111">
        <f t="shared" si="659"/>
        <v>44</v>
      </c>
      <c r="BG882" s="111">
        <f t="shared" si="660"/>
        <v>44</v>
      </c>
      <c r="BH882" s="111">
        <f t="shared" si="625"/>
        <v>44</v>
      </c>
      <c r="BI882" s="111">
        <f t="shared" si="626"/>
        <v>34.78142076502732</v>
      </c>
      <c r="BJ882" s="129">
        <f t="shared" si="631"/>
        <v>0</v>
      </c>
      <c r="BK882" s="129">
        <f t="shared" si="627"/>
        <v>0</v>
      </c>
      <c r="BL882" s="129" t="str">
        <f t="shared" si="657"/>
        <v>CONVICTION</v>
      </c>
      <c r="BM882" s="129" t="str">
        <f t="shared" si="632"/>
        <v>NONE</v>
      </c>
      <c r="BN882" s="129" t="s">
        <v>566</v>
      </c>
      <c r="BP882" s="137" t="str">
        <f t="shared" si="633"/>
        <v>CONVICTION</v>
      </c>
      <c r="BQ882" s="128" t="str">
        <f t="shared" si="634"/>
        <v>Y</v>
      </c>
      <c r="BR882" s="129" t="str">
        <f t="shared" si="635"/>
        <v>DETAINED</v>
      </c>
      <c r="BS882" s="129" t="str">
        <f t="shared" si="636"/>
        <v>DISPOSED</v>
      </c>
      <c r="BT882" s="129" t="str">
        <f t="shared" si="637"/>
        <v>Y</v>
      </c>
      <c r="BU882" s="109">
        <f t="shared" si="648"/>
        <v>1</v>
      </c>
      <c r="BV882" s="109">
        <f t="shared" si="638"/>
        <v>1</v>
      </c>
      <c r="BW882" s="109">
        <f t="shared" si="651"/>
        <v>0</v>
      </c>
      <c r="BX882" s="111">
        <f t="shared" si="639"/>
        <v>0</v>
      </c>
      <c r="BY882" s="129">
        <f t="shared" si="640"/>
        <v>-44</v>
      </c>
      <c r="BZ882" s="111">
        <f t="shared" si="641"/>
        <v>0</v>
      </c>
      <c r="CA882" s="138">
        <f t="shared" si="642"/>
        <v>44</v>
      </c>
      <c r="CB882" s="111" t="e">
        <f t="shared" si="661"/>
        <v>#VALUE!</v>
      </c>
      <c r="CC882" s="129">
        <f t="shared" si="663"/>
        <v>44</v>
      </c>
      <c r="CD882" s="129">
        <f t="shared" si="664"/>
        <v>0</v>
      </c>
      <c r="CE882" s="129">
        <f t="shared" si="643"/>
        <v>0</v>
      </c>
      <c r="CG882" s="129" t="str">
        <f t="shared" si="644"/>
        <v>Y</v>
      </c>
      <c r="CI882" s="129" t="str">
        <f t="shared" si="645"/>
        <v>31-60 DAYS</v>
      </c>
      <c r="CJ882" s="137">
        <f t="shared" si="646"/>
        <v>3</v>
      </c>
      <c r="CK882" s="129" t="str">
        <f t="shared" si="647"/>
        <v>Booked</v>
      </c>
    </row>
    <row r="883" spans="1:89" ht="15" customHeight="1" x14ac:dyDescent="0.25">
      <c r="A883" s="111">
        <v>584</v>
      </c>
      <c r="B883" s="128" t="str">
        <f t="shared" si="628"/>
        <v>N</v>
      </c>
      <c r="C883" s="128" t="str">
        <f t="shared" si="629"/>
        <v>N</v>
      </c>
      <c r="D883" s="117">
        <v>1617321</v>
      </c>
      <c r="E883" s="135">
        <f t="shared" si="630"/>
        <v>3</v>
      </c>
      <c r="F883" s="124">
        <v>40932</v>
      </c>
      <c r="G883" s="125">
        <v>41158</v>
      </c>
      <c r="H883" s="117">
        <v>1617321</v>
      </c>
      <c r="I883" s="124">
        <v>40932</v>
      </c>
      <c r="J883" s="124">
        <v>41158</v>
      </c>
      <c r="K883" s="126">
        <v>40000</v>
      </c>
      <c r="L883" s="129" t="s">
        <v>572</v>
      </c>
      <c r="N883" s="129" t="str">
        <f>IF(M883&gt;1/1/1,"Y","N")</f>
        <v>N</v>
      </c>
      <c r="O883" s="128" t="s">
        <v>917</v>
      </c>
      <c r="P883" s="129" t="s">
        <v>39</v>
      </c>
      <c r="Q883" s="111">
        <f t="shared" si="654"/>
        <v>227</v>
      </c>
      <c r="R883" s="111">
        <f t="shared" si="624"/>
        <v>227</v>
      </c>
      <c r="S883" s="129">
        <v>0</v>
      </c>
      <c r="T883" s="129">
        <v>5</v>
      </c>
      <c r="W883" s="111"/>
      <c r="AC883" s="130"/>
      <c r="AD883" s="130">
        <v>27624</v>
      </c>
      <c r="AE883" s="128" t="s">
        <v>32</v>
      </c>
      <c r="AF883" s="128" t="s">
        <v>69</v>
      </c>
      <c r="AG883" s="128" t="s">
        <v>874</v>
      </c>
      <c r="AH883" s="108" t="s">
        <v>58</v>
      </c>
      <c r="AI883" s="128" t="s">
        <v>62</v>
      </c>
      <c r="AJ883" s="129" t="s">
        <v>89</v>
      </c>
      <c r="AK883" s="129">
        <v>11</v>
      </c>
      <c r="AL883" s="3" t="s">
        <v>185</v>
      </c>
      <c r="AP883" s="129" t="s">
        <v>66</v>
      </c>
      <c r="AR883" s="128" t="s">
        <v>67</v>
      </c>
      <c r="AS883" s="129" t="s">
        <v>68</v>
      </c>
      <c r="BC883" s="129" t="s">
        <v>38</v>
      </c>
      <c r="BF883" s="111">
        <f t="shared" si="659"/>
        <v>227</v>
      </c>
      <c r="BG883" s="111">
        <f t="shared" si="660"/>
        <v>227</v>
      </c>
      <c r="BH883" s="111">
        <f t="shared" si="625"/>
        <v>227</v>
      </c>
      <c r="BI883" s="111">
        <f t="shared" si="626"/>
        <v>36.360655737704917</v>
      </c>
      <c r="BJ883" s="129">
        <f t="shared" si="631"/>
        <v>0</v>
      </c>
      <c r="BK883" s="129">
        <f t="shared" si="627"/>
        <v>0</v>
      </c>
      <c r="BL883" s="129" t="str">
        <f t="shared" si="657"/>
        <v>CONVICTION</v>
      </c>
      <c r="BM883" s="129" t="str">
        <f t="shared" si="632"/>
        <v>NONE</v>
      </c>
      <c r="BN883" s="129" t="s">
        <v>566</v>
      </c>
      <c r="BP883" s="137" t="str">
        <f t="shared" si="633"/>
        <v>CONVICTION</v>
      </c>
      <c r="BQ883" s="128" t="str">
        <f t="shared" si="634"/>
        <v>Y</v>
      </c>
      <c r="BR883" s="129" t="str">
        <f t="shared" si="635"/>
        <v>DETAINED</v>
      </c>
      <c r="BS883" s="129" t="str">
        <f t="shared" si="636"/>
        <v>DISPOSED</v>
      </c>
      <c r="BT883" s="129" t="str">
        <f t="shared" si="637"/>
        <v>N</v>
      </c>
      <c r="BU883" s="109">
        <f t="shared" si="648"/>
        <v>1</v>
      </c>
      <c r="BV883" s="109">
        <f t="shared" si="638"/>
        <v>1</v>
      </c>
      <c r="BW883" s="109">
        <f t="shared" si="651"/>
        <v>0</v>
      </c>
      <c r="BX883" s="111">
        <f t="shared" si="639"/>
        <v>0</v>
      </c>
      <c r="BY883" s="129">
        <f t="shared" si="640"/>
        <v>-227</v>
      </c>
      <c r="BZ883" s="111">
        <f t="shared" si="641"/>
        <v>0</v>
      </c>
      <c r="CA883" s="138">
        <f t="shared" si="642"/>
        <v>227</v>
      </c>
      <c r="CB883" s="111" t="e">
        <f t="shared" si="661"/>
        <v>#VALUE!</v>
      </c>
      <c r="CC883" s="129">
        <f t="shared" si="663"/>
        <v>227</v>
      </c>
      <c r="CD883" s="129">
        <f t="shared" si="664"/>
        <v>0</v>
      </c>
      <c r="CE883" s="129">
        <f t="shared" si="643"/>
        <v>0</v>
      </c>
      <c r="CG883" s="129" t="str">
        <f t="shared" si="644"/>
        <v>Y</v>
      </c>
      <c r="CI883" s="129" t="str">
        <f t="shared" si="645"/>
        <v>121-365 DAYS</v>
      </c>
      <c r="CJ883" s="137">
        <f t="shared" si="646"/>
        <v>6</v>
      </c>
      <c r="CK883" s="129" t="str">
        <f t="shared" si="647"/>
        <v>Booked</v>
      </c>
    </row>
    <row r="884" spans="1:89" ht="15" customHeight="1" x14ac:dyDescent="0.25">
      <c r="A884" s="111">
        <v>897</v>
      </c>
      <c r="B884" s="128" t="str">
        <f t="shared" si="628"/>
        <v>N</v>
      </c>
      <c r="C884" s="128" t="str">
        <f t="shared" si="629"/>
        <v>N</v>
      </c>
      <c r="D884" s="117">
        <v>1618398</v>
      </c>
      <c r="E884" s="135">
        <f t="shared" si="630"/>
        <v>5</v>
      </c>
      <c r="F884" s="124">
        <v>40942</v>
      </c>
      <c r="G884" s="125">
        <v>40945</v>
      </c>
      <c r="H884" s="117">
        <v>1618398</v>
      </c>
      <c r="I884" s="124">
        <v>40942</v>
      </c>
      <c r="J884" s="124">
        <v>40945</v>
      </c>
      <c r="K884" s="126">
        <v>15000</v>
      </c>
      <c r="L884" s="127" t="s">
        <v>571</v>
      </c>
      <c r="N884" s="129" t="str">
        <f>IF(M884&gt;1/1/1,"Y","N")</f>
        <v>N</v>
      </c>
      <c r="O884" s="128" t="s">
        <v>917</v>
      </c>
      <c r="P884" s="129" t="s">
        <v>39</v>
      </c>
      <c r="Q884" s="111">
        <f t="shared" si="654"/>
        <v>4</v>
      </c>
      <c r="R884" s="111">
        <f t="shared" si="624"/>
        <v>4</v>
      </c>
      <c r="S884" s="129">
        <v>3</v>
      </c>
      <c r="T884" s="129">
        <v>19</v>
      </c>
      <c r="W884" s="111"/>
      <c r="AC884" s="130"/>
      <c r="AD884" s="130">
        <v>26927</v>
      </c>
      <c r="AE884" s="128" t="s">
        <v>46</v>
      </c>
      <c r="AF884" s="128" t="s">
        <v>69</v>
      </c>
      <c r="AG884" s="128" t="s">
        <v>874</v>
      </c>
      <c r="AH884" s="108" t="s">
        <v>31</v>
      </c>
      <c r="AI884" s="128" t="s">
        <v>59</v>
      </c>
      <c r="AJ884" s="129" t="s">
        <v>89</v>
      </c>
      <c r="AK884" s="129">
        <v>1</v>
      </c>
      <c r="AL884" s="3" t="s">
        <v>992</v>
      </c>
      <c r="AN884" s="117">
        <v>6</v>
      </c>
      <c r="AP884" s="129" t="s">
        <v>127</v>
      </c>
      <c r="AR884" s="128" t="s">
        <v>44</v>
      </c>
      <c r="AS884" s="129" t="s">
        <v>82</v>
      </c>
      <c r="BC884" s="129" t="s">
        <v>38</v>
      </c>
      <c r="BF884" s="111">
        <f t="shared" si="659"/>
        <v>4</v>
      </c>
      <c r="BG884" s="111">
        <f t="shared" si="660"/>
        <v>4</v>
      </c>
      <c r="BH884" s="111">
        <f t="shared" si="625"/>
        <v>4</v>
      </c>
      <c r="BI884" s="111">
        <f t="shared" si="626"/>
        <v>38.292349726775953</v>
      </c>
      <c r="BJ884" s="129">
        <f t="shared" si="631"/>
        <v>0</v>
      </c>
      <c r="BK884" s="129">
        <f t="shared" si="627"/>
        <v>0</v>
      </c>
      <c r="BL884" s="129" t="str">
        <f t="shared" si="657"/>
        <v>CONVICTION</v>
      </c>
      <c r="BM884" s="129" t="str">
        <f t="shared" si="632"/>
        <v>NONE</v>
      </c>
      <c r="BN884" s="129" t="s">
        <v>566</v>
      </c>
      <c r="BP884" s="137" t="str">
        <f t="shared" si="633"/>
        <v>CONVICTION</v>
      </c>
      <c r="BQ884" s="128" t="str">
        <f t="shared" si="634"/>
        <v>Y</v>
      </c>
      <c r="BR884" s="129" t="str">
        <f t="shared" si="635"/>
        <v>DETAINED</v>
      </c>
      <c r="BS884" s="129" t="str">
        <f t="shared" si="636"/>
        <v>DISPOSED</v>
      </c>
      <c r="BT884" s="129" t="str">
        <f t="shared" si="637"/>
        <v>Y</v>
      </c>
      <c r="BU884" s="109">
        <f t="shared" si="648"/>
        <v>1</v>
      </c>
      <c r="BV884" s="109">
        <f t="shared" si="638"/>
        <v>1</v>
      </c>
      <c r="BW884" s="109">
        <f t="shared" si="651"/>
        <v>0</v>
      </c>
      <c r="BX884" s="111">
        <f t="shared" si="639"/>
        <v>0</v>
      </c>
      <c r="BY884" s="129">
        <f t="shared" si="640"/>
        <v>-4</v>
      </c>
      <c r="BZ884" s="111">
        <f t="shared" si="641"/>
        <v>0</v>
      </c>
      <c r="CA884" s="138">
        <f t="shared" si="642"/>
        <v>4</v>
      </c>
      <c r="CB884" s="111" t="e">
        <f t="shared" si="661"/>
        <v>#VALUE!</v>
      </c>
      <c r="CC884" s="129">
        <f t="shared" si="663"/>
        <v>4</v>
      </c>
      <c r="CD884" s="129">
        <f t="shared" si="664"/>
        <v>0</v>
      </c>
      <c r="CE884" s="129">
        <f t="shared" si="643"/>
        <v>0</v>
      </c>
      <c r="CG884" s="129" t="str">
        <f t="shared" si="644"/>
        <v>Y</v>
      </c>
      <c r="CI884" s="129" t="str">
        <f t="shared" si="645"/>
        <v>0-10 DAYS</v>
      </c>
      <c r="CJ884" s="137">
        <f t="shared" si="646"/>
        <v>1</v>
      </c>
      <c r="CK884" s="129" t="str">
        <f t="shared" si="647"/>
        <v>Booked</v>
      </c>
    </row>
    <row r="885" spans="1:89" ht="15" customHeight="1" x14ac:dyDescent="0.25">
      <c r="A885" s="111">
        <v>1151</v>
      </c>
      <c r="B885" s="128" t="str">
        <f t="shared" si="628"/>
        <v>N</v>
      </c>
      <c r="C885" s="128" t="str">
        <f t="shared" si="629"/>
        <v>N</v>
      </c>
      <c r="D885" s="117">
        <v>1620067</v>
      </c>
      <c r="E885" s="135">
        <f t="shared" si="630"/>
        <v>1</v>
      </c>
      <c r="F885" s="124">
        <v>40950</v>
      </c>
      <c r="G885" s="125">
        <v>41032</v>
      </c>
      <c r="H885" s="117">
        <v>1620067</v>
      </c>
      <c r="I885" s="124">
        <v>40950</v>
      </c>
      <c r="J885" s="124">
        <v>41032</v>
      </c>
      <c r="K885" s="126" t="s">
        <v>564</v>
      </c>
      <c r="L885" s="127" t="s">
        <v>564</v>
      </c>
      <c r="N885" s="129" t="s">
        <v>566</v>
      </c>
      <c r="O885" s="128" t="s">
        <v>917</v>
      </c>
      <c r="P885" s="129" t="s">
        <v>55</v>
      </c>
      <c r="Q885" s="111">
        <f t="shared" si="654"/>
        <v>83</v>
      </c>
      <c r="R885" s="111">
        <f t="shared" si="624"/>
        <v>83</v>
      </c>
      <c r="S885" s="129">
        <v>3</v>
      </c>
      <c r="T885" s="129">
        <v>4</v>
      </c>
      <c r="U885" s="129">
        <v>1</v>
      </c>
      <c r="V885" s="117">
        <v>1</v>
      </c>
      <c r="W885" s="111"/>
      <c r="AC885" s="130"/>
      <c r="AD885" s="130">
        <v>29036</v>
      </c>
      <c r="AE885" s="128" t="s">
        <v>32</v>
      </c>
      <c r="AF885" s="128" t="s">
        <v>33</v>
      </c>
      <c r="AG885" s="128" t="s">
        <v>872</v>
      </c>
      <c r="AH885" s="108" t="s">
        <v>58</v>
      </c>
      <c r="AI885" s="128" t="s">
        <v>87</v>
      </c>
      <c r="AJ885" s="129" t="s">
        <v>55</v>
      </c>
      <c r="AK885" s="129">
        <v>4</v>
      </c>
      <c r="AL885" s="3" t="s">
        <v>55</v>
      </c>
      <c r="AP885" s="129" t="s">
        <v>150</v>
      </c>
      <c r="AR885" s="128" t="s">
        <v>67</v>
      </c>
      <c r="AS885" s="129" t="s">
        <v>74</v>
      </c>
      <c r="BC885" s="129" t="s">
        <v>99</v>
      </c>
      <c r="BF885" s="111">
        <f t="shared" si="659"/>
        <v>83</v>
      </c>
      <c r="BG885" s="111">
        <f t="shared" si="660"/>
        <v>83</v>
      </c>
      <c r="BH885" s="111">
        <f t="shared" si="625"/>
        <v>83</v>
      </c>
      <c r="BI885" s="111">
        <f t="shared" si="626"/>
        <v>32.551912568306008</v>
      </c>
      <c r="BJ885" s="129">
        <f t="shared" si="631"/>
        <v>0</v>
      </c>
      <c r="BK885" s="129">
        <f t="shared" si="627"/>
        <v>0</v>
      </c>
      <c r="BL885" s="129" t="str">
        <f t="shared" si="657"/>
        <v>NO CONVICTION</v>
      </c>
      <c r="BM885" s="129" t="str">
        <f t="shared" si="632"/>
        <v>NONE</v>
      </c>
      <c r="BN885" s="129" t="s">
        <v>566</v>
      </c>
      <c r="BP885" s="137" t="str">
        <f t="shared" si="633"/>
        <v>NO CONVICTION</v>
      </c>
      <c r="BQ885" s="128" t="str">
        <f t="shared" si="634"/>
        <v>Y</v>
      </c>
      <c r="BR885" s="129" t="str">
        <f t="shared" si="635"/>
        <v>DETAINED</v>
      </c>
      <c r="BS885" s="129" t="str">
        <f t="shared" si="636"/>
        <v>DISPOSED</v>
      </c>
      <c r="BT885" s="129" t="str">
        <f t="shared" si="637"/>
        <v>Y</v>
      </c>
      <c r="BU885" s="109">
        <f>IFERROR(Q885/R885,BR885)</f>
        <v>1</v>
      </c>
      <c r="BV885" s="109">
        <f t="shared" si="638"/>
        <v>1</v>
      </c>
      <c r="BW885" s="109">
        <f t="shared" si="651"/>
        <v>0</v>
      </c>
      <c r="BX885" s="111">
        <f t="shared" si="639"/>
        <v>0</v>
      </c>
      <c r="BY885" s="129">
        <f t="shared" si="640"/>
        <v>-83</v>
      </c>
      <c r="BZ885" s="111">
        <f t="shared" si="641"/>
        <v>0</v>
      </c>
      <c r="CA885" s="138">
        <f t="shared" si="642"/>
        <v>83</v>
      </c>
      <c r="CB885" s="111" t="e">
        <f t="shared" si="661"/>
        <v>#VALUE!</v>
      </c>
      <c r="CC885" s="129">
        <f t="shared" si="663"/>
        <v>83</v>
      </c>
      <c r="CD885" s="129">
        <f t="shared" si="664"/>
        <v>0</v>
      </c>
      <c r="CE885" s="129">
        <f t="shared" si="643"/>
        <v>0</v>
      </c>
      <c r="CG885" s="129" t="str">
        <f t="shared" si="644"/>
        <v>Y</v>
      </c>
      <c r="CI885" s="129" t="str">
        <f t="shared" si="645"/>
        <v>61-90 DAYS</v>
      </c>
      <c r="CJ885" s="137">
        <f t="shared" si="646"/>
        <v>4</v>
      </c>
      <c r="CK885" s="129" t="str">
        <f t="shared" si="647"/>
        <v>Booked</v>
      </c>
    </row>
    <row r="886" spans="1:89" ht="15" customHeight="1" x14ac:dyDescent="0.25">
      <c r="A886" s="111">
        <v>1141</v>
      </c>
      <c r="B886" s="128" t="str">
        <f t="shared" si="628"/>
        <v>N</v>
      </c>
      <c r="C886" s="128" t="str">
        <f t="shared" si="629"/>
        <v>N</v>
      </c>
      <c r="D886" s="117">
        <v>1620075</v>
      </c>
      <c r="E886" s="135">
        <f t="shared" si="630"/>
        <v>4</v>
      </c>
      <c r="F886" s="124">
        <v>40949</v>
      </c>
      <c r="G886" s="125">
        <v>40956</v>
      </c>
      <c r="H886" s="117">
        <v>1620075</v>
      </c>
      <c r="I886" s="124">
        <v>40950</v>
      </c>
      <c r="J886" s="124">
        <v>40956</v>
      </c>
      <c r="K886" s="126">
        <v>15000</v>
      </c>
      <c r="L886" s="127" t="s">
        <v>571</v>
      </c>
      <c r="N886" s="129" t="str">
        <f t="shared" ref="N886:N895" si="665">IF(M886&gt;1/1/1,"Y","N")</f>
        <v>N</v>
      </c>
      <c r="O886" s="128" t="s">
        <v>917</v>
      </c>
      <c r="P886" s="129" t="s">
        <v>39</v>
      </c>
      <c r="Q886" s="111">
        <f t="shared" si="654"/>
        <v>7</v>
      </c>
      <c r="R886" s="111">
        <f t="shared" si="624"/>
        <v>8</v>
      </c>
      <c r="S886" s="129">
        <v>3</v>
      </c>
      <c r="T886" s="129">
        <v>2</v>
      </c>
      <c r="U886" s="129">
        <v>1</v>
      </c>
      <c r="W886" s="111"/>
      <c r="AC886" s="130"/>
      <c r="AD886" s="130">
        <v>28140</v>
      </c>
      <c r="AE886" s="128" t="s">
        <v>32</v>
      </c>
      <c r="AF886" s="128" t="s">
        <v>33</v>
      </c>
      <c r="AG886" s="128" t="s">
        <v>872</v>
      </c>
      <c r="AH886" s="108" t="s">
        <v>58</v>
      </c>
      <c r="AI886" s="128" t="s">
        <v>97</v>
      </c>
      <c r="AJ886" s="129" t="s">
        <v>89</v>
      </c>
      <c r="AK886" s="129">
        <v>2</v>
      </c>
      <c r="AL886" s="3" t="s">
        <v>991</v>
      </c>
      <c r="AO886" s="128">
        <v>90</v>
      </c>
      <c r="AP886" s="129" t="s">
        <v>43</v>
      </c>
      <c r="AR886" s="128" t="s">
        <v>44</v>
      </c>
      <c r="AS886" s="129" t="s">
        <v>45</v>
      </c>
      <c r="AT886" s="129" t="s">
        <v>294</v>
      </c>
      <c r="BC886" s="129" t="s">
        <v>99</v>
      </c>
      <c r="BF886" s="111">
        <f t="shared" si="659"/>
        <v>7</v>
      </c>
      <c r="BG886" s="111">
        <f t="shared" si="660"/>
        <v>7</v>
      </c>
      <c r="BH886" s="111">
        <f t="shared" si="625"/>
        <v>8</v>
      </c>
      <c r="BI886" s="111">
        <f t="shared" si="626"/>
        <v>34.997267759562838</v>
      </c>
      <c r="BJ886" s="129">
        <f t="shared" si="631"/>
        <v>0</v>
      </c>
      <c r="BK886" s="129">
        <f t="shared" si="627"/>
        <v>0</v>
      </c>
      <c r="BL886" s="129" t="str">
        <f t="shared" si="657"/>
        <v>CONVICTION</v>
      </c>
      <c r="BM886" s="129" t="str">
        <f t="shared" si="632"/>
        <v>NONE</v>
      </c>
      <c r="BN886" s="129" t="s">
        <v>566</v>
      </c>
      <c r="BP886" s="137" t="str">
        <f t="shared" si="633"/>
        <v>CONVICTION</v>
      </c>
      <c r="BQ886" s="128" t="str">
        <f t="shared" si="634"/>
        <v>Y</v>
      </c>
      <c r="BR886" s="129" t="str">
        <f t="shared" si="635"/>
        <v>DETAINED</v>
      </c>
      <c r="BS886" s="129" t="str">
        <f t="shared" si="636"/>
        <v>DISPOSED</v>
      </c>
      <c r="BT886" s="129" t="str">
        <f t="shared" si="637"/>
        <v>Y</v>
      </c>
      <c r="BU886" s="109">
        <f t="shared" si="648"/>
        <v>0.875</v>
      </c>
      <c r="BV886" s="109">
        <f t="shared" si="638"/>
        <v>1</v>
      </c>
      <c r="BW886" s="109">
        <f t="shared" si="651"/>
        <v>0.125</v>
      </c>
      <c r="BX886" s="111">
        <f t="shared" si="639"/>
        <v>0</v>
      </c>
      <c r="BY886" s="129">
        <f t="shared" si="640"/>
        <v>-7</v>
      </c>
      <c r="BZ886" s="111">
        <f t="shared" si="641"/>
        <v>0</v>
      </c>
      <c r="CA886" s="138">
        <f t="shared" si="642"/>
        <v>7</v>
      </c>
      <c r="CB886" s="111" t="e">
        <f t="shared" si="661"/>
        <v>#VALUE!</v>
      </c>
      <c r="CC886" s="129">
        <f t="shared" si="663"/>
        <v>7</v>
      </c>
      <c r="CD886" s="129">
        <f t="shared" si="664"/>
        <v>0</v>
      </c>
      <c r="CE886" s="129">
        <f t="shared" si="643"/>
        <v>0</v>
      </c>
      <c r="CG886" s="129" t="str">
        <f t="shared" si="644"/>
        <v>Y</v>
      </c>
      <c r="CI886" s="129" t="str">
        <f t="shared" si="645"/>
        <v>0-10 DAYS</v>
      </c>
      <c r="CJ886" s="137">
        <f t="shared" si="646"/>
        <v>1</v>
      </c>
      <c r="CK886" s="129" t="str">
        <f t="shared" si="647"/>
        <v>Booked</v>
      </c>
    </row>
    <row r="887" spans="1:89" ht="15" customHeight="1" x14ac:dyDescent="0.25">
      <c r="A887" s="111">
        <v>156</v>
      </c>
      <c r="B887" s="128" t="str">
        <f t="shared" si="628"/>
        <v>N</v>
      </c>
      <c r="C887" s="128" t="str">
        <f t="shared" si="629"/>
        <v>N</v>
      </c>
      <c r="D887" s="117">
        <v>1620393</v>
      </c>
      <c r="E887" s="135">
        <f t="shared" si="630"/>
        <v>1</v>
      </c>
      <c r="F887" s="124">
        <v>40915</v>
      </c>
      <c r="G887" s="125">
        <v>41004</v>
      </c>
      <c r="H887" s="117">
        <v>1620393</v>
      </c>
      <c r="I887" s="124">
        <v>40915</v>
      </c>
      <c r="J887" s="124">
        <v>40919</v>
      </c>
      <c r="K887" s="126">
        <v>30000</v>
      </c>
      <c r="L887" s="129" t="s">
        <v>572</v>
      </c>
      <c r="M887" s="125">
        <v>40919</v>
      </c>
      <c r="N887" s="129" t="str">
        <f t="shared" si="665"/>
        <v>Y</v>
      </c>
      <c r="O887" s="128" t="s">
        <v>76</v>
      </c>
      <c r="P887" s="129" t="s">
        <v>123</v>
      </c>
      <c r="Q887" s="111">
        <f t="shared" si="654"/>
        <v>5</v>
      </c>
      <c r="R887" s="111">
        <f t="shared" si="624"/>
        <v>90</v>
      </c>
      <c r="S887" s="129">
        <v>2</v>
      </c>
      <c r="T887" s="129">
        <v>0</v>
      </c>
      <c r="V887" s="129">
        <v>1</v>
      </c>
      <c r="W887" s="111"/>
      <c r="X887" s="129"/>
      <c r="AC887" s="130"/>
      <c r="AD887" s="130">
        <v>28863</v>
      </c>
      <c r="AE887" s="128" t="s">
        <v>32</v>
      </c>
      <c r="AF887" s="128" t="s">
        <v>33</v>
      </c>
      <c r="AG887" s="128" t="s">
        <v>872</v>
      </c>
      <c r="AH887" s="108" t="s">
        <v>58</v>
      </c>
      <c r="AI887" s="128" t="s">
        <v>34</v>
      </c>
      <c r="AJ887" s="129" t="s">
        <v>123</v>
      </c>
      <c r="AK887" s="129">
        <v>4</v>
      </c>
      <c r="AL887" s="3" t="s">
        <v>123</v>
      </c>
      <c r="AP887" s="129" t="s">
        <v>132</v>
      </c>
      <c r="AR887" s="128" t="s">
        <v>92</v>
      </c>
      <c r="AS887" s="129" t="s">
        <v>82</v>
      </c>
      <c r="BC887" s="129" t="s">
        <v>52</v>
      </c>
      <c r="BF887" s="111">
        <f t="shared" si="659"/>
        <v>5</v>
      </c>
      <c r="BG887" s="111">
        <f t="shared" si="660"/>
        <v>90</v>
      </c>
      <c r="BH887" s="111">
        <f t="shared" si="625"/>
        <v>90</v>
      </c>
      <c r="BI887" s="111">
        <f t="shared" si="626"/>
        <v>32.928961748633881</v>
      </c>
      <c r="BJ887" s="129">
        <f>(G887-J887)+(M887-G887)</f>
        <v>0</v>
      </c>
      <c r="BK887" s="129">
        <f t="shared" si="627"/>
        <v>-85</v>
      </c>
      <c r="BL887" s="129" t="str">
        <f t="shared" si="657"/>
        <v>NO CONVICTION</v>
      </c>
      <c r="BM887" s="129" t="s">
        <v>76</v>
      </c>
      <c r="BN887" s="129" t="s">
        <v>88</v>
      </c>
      <c r="BP887" s="137" t="str">
        <f t="shared" si="633"/>
        <v>NO CONVICTION</v>
      </c>
      <c r="BQ887" s="128" t="str">
        <f t="shared" si="634"/>
        <v>Y</v>
      </c>
      <c r="BR887" s="129" t="str">
        <f t="shared" si="635"/>
        <v>ON BOND</v>
      </c>
      <c r="BS887" s="129" t="str">
        <f t="shared" si="636"/>
        <v>DISPOSED</v>
      </c>
      <c r="BT887" s="129" t="str">
        <f t="shared" si="637"/>
        <v>Y</v>
      </c>
      <c r="BU887" s="109">
        <f>IFERROR(Q887/R887,BR887)</f>
        <v>5.5555555555555552E-2</v>
      </c>
      <c r="BV887" s="109">
        <f t="shared" si="638"/>
        <v>5.5555555555555552E-2</v>
      </c>
      <c r="BW887" s="109">
        <f t="shared" si="651"/>
        <v>0</v>
      </c>
      <c r="BX887" s="111">
        <f t="shared" si="639"/>
        <v>0</v>
      </c>
      <c r="BY887" s="129">
        <f t="shared" si="640"/>
        <v>-5</v>
      </c>
      <c r="BZ887" s="111">
        <f t="shared" si="641"/>
        <v>0</v>
      </c>
      <c r="CA887" s="138">
        <f t="shared" si="642"/>
        <v>5</v>
      </c>
      <c r="CB887" s="111" t="e">
        <f t="shared" si="661"/>
        <v>#VALUE!</v>
      </c>
      <c r="CC887" s="129">
        <f>M887-I887+1</f>
        <v>5</v>
      </c>
      <c r="CD887" s="111">
        <f>CC887-BF887</f>
        <v>0</v>
      </c>
      <c r="CE887" s="129">
        <f t="shared" si="643"/>
        <v>85</v>
      </c>
      <c r="CG887" s="129" t="str">
        <f t="shared" si="644"/>
        <v>Y</v>
      </c>
      <c r="CI887" s="129" t="str">
        <f t="shared" si="645"/>
        <v>0-10 DAYS</v>
      </c>
      <c r="CJ887" s="137">
        <f t="shared" si="646"/>
        <v>1</v>
      </c>
      <c r="CK887" s="129" t="str">
        <f t="shared" si="647"/>
        <v>Booked</v>
      </c>
    </row>
    <row r="888" spans="1:89" ht="15.75" customHeight="1" x14ac:dyDescent="0.25">
      <c r="A888" s="111">
        <v>1086</v>
      </c>
      <c r="B888" s="128" t="str">
        <f t="shared" si="628"/>
        <v>N</v>
      </c>
      <c r="C888" s="128" t="str">
        <f t="shared" si="629"/>
        <v>Y</v>
      </c>
      <c r="D888" s="117">
        <v>1620433</v>
      </c>
      <c r="E888" s="135">
        <f t="shared" si="630"/>
        <v>6</v>
      </c>
      <c r="F888" s="124">
        <v>40948</v>
      </c>
      <c r="G888" s="125">
        <v>41408</v>
      </c>
      <c r="H888" s="117">
        <v>1620433</v>
      </c>
      <c r="I888" s="124">
        <v>40996</v>
      </c>
      <c r="J888" s="124">
        <v>41017</v>
      </c>
      <c r="K888" s="126">
        <v>40000</v>
      </c>
      <c r="L888" s="129" t="s">
        <v>572</v>
      </c>
      <c r="M888" s="125">
        <v>41017</v>
      </c>
      <c r="N888" s="129" t="str">
        <f t="shared" si="665"/>
        <v>Y</v>
      </c>
      <c r="O888" s="128" t="s">
        <v>76</v>
      </c>
      <c r="P888" s="129" t="s">
        <v>39</v>
      </c>
      <c r="Q888" s="111">
        <v>262</v>
      </c>
      <c r="R888" s="111">
        <f t="shared" si="624"/>
        <v>461</v>
      </c>
      <c r="S888" s="129">
        <v>5</v>
      </c>
      <c r="T888" s="129">
        <v>8</v>
      </c>
      <c r="U888" s="129">
        <v>3</v>
      </c>
      <c r="V888" s="117">
        <v>1</v>
      </c>
      <c r="W888" s="111"/>
      <c r="AC888" s="130"/>
      <c r="AD888" s="130">
        <v>28152</v>
      </c>
      <c r="AE888" s="128" t="s">
        <v>32</v>
      </c>
      <c r="AF888" s="128" t="s">
        <v>33</v>
      </c>
      <c r="AG888" s="128" t="s">
        <v>872</v>
      </c>
      <c r="AH888" s="108" t="s">
        <v>58</v>
      </c>
      <c r="AI888" s="128" t="s">
        <v>65</v>
      </c>
      <c r="AJ888" s="129" t="s">
        <v>31</v>
      </c>
      <c r="AK888" s="129">
        <v>14</v>
      </c>
      <c r="AL888" s="3" t="s">
        <v>362</v>
      </c>
      <c r="AM888" s="117">
        <v>2</v>
      </c>
      <c r="AP888" s="129" t="s">
        <v>101</v>
      </c>
      <c r="AR888" s="128" t="s">
        <v>67</v>
      </c>
      <c r="AS888" s="129" t="s">
        <v>64</v>
      </c>
      <c r="AT888" s="129" t="s">
        <v>283</v>
      </c>
      <c r="AU888" s="3" t="s">
        <v>1255</v>
      </c>
      <c r="AX888" s="32" t="s">
        <v>88</v>
      </c>
      <c r="BC888" s="129" t="s">
        <v>52</v>
      </c>
      <c r="BF888" s="111">
        <v>262</v>
      </c>
      <c r="BG888" s="111">
        <f t="shared" si="660"/>
        <v>413</v>
      </c>
      <c r="BH888" s="111">
        <f t="shared" si="625"/>
        <v>461</v>
      </c>
      <c r="BI888" s="111">
        <f t="shared" si="626"/>
        <v>34.961748633879779</v>
      </c>
      <c r="BJ888" s="129">
        <f>(G888-J888)+(M888-G888)</f>
        <v>0</v>
      </c>
      <c r="BK888" s="129">
        <f t="shared" si="627"/>
        <v>-391</v>
      </c>
      <c r="BL888" s="129" t="str">
        <f t="shared" si="657"/>
        <v>CONVICTION</v>
      </c>
      <c r="BM888" s="129" t="s">
        <v>76</v>
      </c>
      <c r="BN888" s="129" t="s">
        <v>88</v>
      </c>
      <c r="BP888" s="137" t="str">
        <f t="shared" si="633"/>
        <v/>
      </c>
      <c r="BQ888" s="128" t="str">
        <f t="shared" si="634"/>
        <v>Y</v>
      </c>
      <c r="BR888" s="129" t="s">
        <v>575</v>
      </c>
      <c r="BS888" s="129" t="str">
        <f t="shared" si="636"/>
        <v>DISPOSED</v>
      </c>
      <c r="BT888" s="129" t="str">
        <f t="shared" si="637"/>
        <v>Y</v>
      </c>
      <c r="BU888" s="109">
        <f>IFERROR(Q888/R888,BR888)</f>
        <v>0.5683297180043384</v>
      </c>
      <c r="BV888" s="109">
        <f t="shared" si="638"/>
        <v>5.3268765133171914E-2</v>
      </c>
      <c r="BW888" s="109">
        <f t="shared" si="651"/>
        <v>-0.51506095287116649</v>
      </c>
      <c r="BX888" s="111">
        <f t="shared" si="639"/>
        <v>0</v>
      </c>
      <c r="BY888" s="129">
        <f t="shared" si="640"/>
        <v>-22</v>
      </c>
      <c r="BZ888" s="111">
        <f t="shared" si="641"/>
        <v>240</v>
      </c>
      <c r="CA888" s="138">
        <f t="shared" si="642"/>
        <v>22</v>
      </c>
      <c r="CB888" s="111">
        <v>262</v>
      </c>
      <c r="CD888" s="129">
        <f>G888-J888</f>
        <v>391</v>
      </c>
      <c r="CE888" s="129">
        <f t="shared" si="643"/>
        <v>391</v>
      </c>
      <c r="CG888" s="129" t="str">
        <f t="shared" si="644"/>
        <v>Y</v>
      </c>
      <c r="CI888" s="129" t="str">
        <f t="shared" si="645"/>
        <v>121-365 DAYS</v>
      </c>
      <c r="CJ888" s="137">
        <f t="shared" si="646"/>
        <v>6</v>
      </c>
      <c r="CK888" s="129" t="str">
        <f t="shared" si="647"/>
        <v>Booked</v>
      </c>
    </row>
    <row r="889" spans="1:89" ht="15" customHeight="1" x14ac:dyDescent="0.25">
      <c r="A889" s="111">
        <v>2072</v>
      </c>
      <c r="B889" s="128" t="str">
        <f t="shared" si="628"/>
        <v>N</v>
      </c>
      <c r="C889" s="128" t="str">
        <f t="shared" si="629"/>
        <v>N</v>
      </c>
      <c r="D889" s="117">
        <v>1620479</v>
      </c>
      <c r="E889" s="135">
        <f t="shared" si="630"/>
        <v>1</v>
      </c>
      <c r="F889" s="124">
        <v>40987</v>
      </c>
      <c r="G889" s="125">
        <v>41078</v>
      </c>
      <c r="H889" s="117">
        <v>1620479</v>
      </c>
      <c r="I889" s="124">
        <v>40987</v>
      </c>
      <c r="J889" s="124">
        <v>40990</v>
      </c>
      <c r="K889" s="126">
        <v>5000</v>
      </c>
      <c r="L889" s="127" t="s">
        <v>569</v>
      </c>
      <c r="M889" s="125">
        <v>40990</v>
      </c>
      <c r="N889" s="129" t="str">
        <f t="shared" si="665"/>
        <v>Y</v>
      </c>
      <c r="O889" s="128" t="s">
        <v>76</v>
      </c>
      <c r="P889" s="129" t="s">
        <v>123</v>
      </c>
      <c r="Q889" s="111">
        <f t="shared" ref="Q889:Q913" si="666">BF889</f>
        <v>4</v>
      </c>
      <c r="R889" s="111">
        <f t="shared" si="624"/>
        <v>92</v>
      </c>
      <c r="S889" s="129">
        <v>1</v>
      </c>
      <c r="T889" s="129">
        <v>1</v>
      </c>
      <c r="V889" s="117">
        <v>1</v>
      </c>
      <c r="W889" s="111"/>
      <c r="AC889" s="130"/>
      <c r="AD889" s="130">
        <v>24696</v>
      </c>
      <c r="AE889" s="128" t="s">
        <v>32</v>
      </c>
      <c r="AF889" s="128" t="s">
        <v>69</v>
      </c>
      <c r="AG889" s="128" t="s">
        <v>874</v>
      </c>
      <c r="AH889" s="108" t="s">
        <v>31</v>
      </c>
      <c r="AI889" s="128" t="s">
        <v>83</v>
      </c>
      <c r="AJ889" s="129" t="s">
        <v>123</v>
      </c>
      <c r="AK889" s="129">
        <v>5</v>
      </c>
      <c r="AL889" s="3" t="s">
        <v>123</v>
      </c>
      <c r="AP889" s="129" t="s">
        <v>43</v>
      </c>
      <c r="AR889" s="128" t="s">
        <v>44</v>
      </c>
      <c r="AS889" s="129" t="s">
        <v>45</v>
      </c>
      <c r="BC889" s="129" t="s">
        <v>52</v>
      </c>
      <c r="BF889" s="111">
        <f t="shared" si="659"/>
        <v>4</v>
      </c>
      <c r="BG889" s="111">
        <f t="shared" si="660"/>
        <v>92</v>
      </c>
      <c r="BH889" s="111">
        <f t="shared" si="625"/>
        <v>92</v>
      </c>
      <c r="BI889" s="111">
        <f t="shared" si="626"/>
        <v>44.510928961748633</v>
      </c>
      <c r="BJ889" s="129">
        <f>(G889-J889)+(M889-G889)</f>
        <v>0</v>
      </c>
      <c r="BK889" s="129">
        <f t="shared" si="627"/>
        <v>-88</v>
      </c>
      <c r="BL889" s="129" t="str">
        <f t="shared" si="657"/>
        <v>NO CONVICTION</v>
      </c>
      <c r="BM889" s="129" t="s">
        <v>76</v>
      </c>
      <c r="BN889" s="129" t="s">
        <v>88</v>
      </c>
      <c r="BP889" s="137" t="str">
        <f t="shared" si="633"/>
        <v>NO CONVICTION</v>
      </c>
      <c r="BQ889" s="128" t="str">
        <f t="shared" si="634"/>
        <v>Y</v>
      </c>
      <c r="BR889" s="129" t="str">
        <f t="shared" si="635"/>
        <v>ON BOND</v>
      </c>
      <c r="BS889" s="129" t="str">
        <f t="shared" si="636"/>
        <v>DISPOSED</v>
      </c>
      <c r="BT889" s="129" t="str">
        <f t="shared" si="637"/>
        <v>Y</v>
      </c>
      <c r="BU889" s="109">
        <f>IFERROR(Q889/R889,BR889)</f>
        <v>4.3478260869565216E-2</v>
      </c>
      <c r="BV889" s="109">
        <f t="shared" si="638"/>
        <v>4.3478260869565216E-2</v>
      </c>
      <c r="BW889" s="109">
        <f t="shared" si="651"/>
        <v>0</v>
      </c>
      <c r="BX889" s="111">
        <f t="shared" si="639"/>
        <v>0</v>
      </c>
      <c r="BY889" s="129">
        <f t="shared" si="640"/>
        <v>-4</v>
      </c>
      <c r="BZ889" s="111">
        <f t="shared" si="641"/>
        <v>0</v>
      </c>
      <c r="CA889" s="138">
        <f t="shared" si="642"/>
        <v>4</v>
      </c>
      <c r="CB889" s="111" t="e">
        <f t="shared" si="661"/>
        <v>#VALUE!</v>
      </c>
      <c r="CC889" s="129">
        <f>M889-I889+1</f>
        <v>4</v>
      </c>
      <c r="CD889" s="111">
        <f>CC889-BF889</f>
        <v>0</v>
      </c>
      <c r="CE889" s="129">
        <f t="shared" si="643"/>
        <v>88</v>
      </c>
      <c r="CG889" s="129" t="str">
        <f t="shared" si="644"/>
        <v>Y</v>
      </c>
      <c r="CI889" s="129" t="str">
        <f t="shared" si="645"/>
        <v>0-10 DAYS</v>
      </c>
      <c r="CJ889" s="137">
        <f t="shared" si="646"/>
        <v>1</v>
      </c>
      <c r="CK889" s="129" t="str">
        <f t="shared" si="647"/>
        <v>Booked</v>
      </c>
    </row>
    <row r="890" spans="1:89" ht="15.75" customHeight="1" x14ac:dyDescent="0.25">
      <c r="A890" s="111">
        <v>2368</v>
      </c>
      <c r="B890" s="128" t="str">
        <f t="shared" si="628"/>
        <v>N</v>
      </c>
      <c r="C890" s="128" t="str">
        <f t="shared" si="629"/>
        <v>N</v>
      </c>
      <c r="D890" s="117">
        <v>1621943</v>
      </c>
      <c r="E890" s="135">
        <f t="shared" si="630"/>
        <v>4</v>
      </c>
      <c r="F890" s="124">
        <v>40998</v>
      </c>
      <c r="G890" s="125">
        <v>41001</v>
      </c>
      <c r="H890" s="117">
        <v>1621943</v>
      </c>
      <c r="I890" s="124">
        <v>40998</v>
      </c>
      <c r="J890" s="124">
        <v>41001</v>
      </c>
      <c r="K890" s="126">
        <v>5000</v>
      </c>
      <c r="L890" s="127" t="s">
        <v>569</v>
      </c>
      <c r="N890" s="129" t="str">
        <f t="shared" si="665"/>
        <v>N</v>
      </c>
      <c r="O890" s="128" t="s">
        <v>917</v>
      </c>
      <c r="P890" s="129" t="s">
        <v>39</v>
      </c>
      <c r="Q890" s="111">
        <f t="shared" si="666"/>
        <v>4</v>
      </c>
      <c r="R890" s="111">
        <f t="shared" si="624"/>
        <v>4</v>
      </c>
      <c r="S890" s="129">
        <v>2</v>
      </c>
      <c r="T890" s="129">
        <v>2</v>
      </c>
      <c r="W890" s="111"/>
      <c r="AC890" s="130"/>
      <c r="AD890" s="130">
        <v>29459</v>
      </c>
      <c r="AE890" s="128" t="s">
        <v>46</v>
      </c>
      <c r="AF890" s="128" t="s">
        <v>33</v>
      </c>
      <c r="AG890" s="128" t="s">
        <v>872</v>
      </c>
      <c r="AH890" s="108" t="s">
        <v>58</v>
      </c>
      <c r="AI890" s="128" t="s">
        <v>62</v>
      </c>
      <c r="AJ890" s="129" t="s">
        <v>89</v>
      </c>
      <c r="AK890" s="129">
        <v>1</v>
      </c>
      <c r="AL890" s="3" t="s">
        <v>991</v>
      </c>
      <c r="AO890" s="128">
        <v>120</v>
      </c>
      <c r="AP890" s="129" t="s">
        <v>60</v>
      </c>
      <c r="AR890" s="128" t="s">
        <v>44</v>
      </c>
      <c r="AS890" s="129" t="s">
        <v>61</v>
      </c>
      <c r="AT890" s="129" t="s">
        <v>432</v>
      </c>
      <c r="BC890" s="129" t="s">
        <v>38</v>
      </c>
      <c r="BF890" s="111">
        <f t="shared" si="659"/>
        <v>4</v>
      </c>
      <c r="BG890" s="111">
        <f t="shared" si="660"/>
        <v>4</v>
      </c>
      <c r="BH890" s="111">
        <f t="shared" si="625"/>
        <v>4</v>
      </c>
      <c r="BI890" s="111">
        <f t="shared" si="626"/>
        <v>31.527322404371585</v>
      </c>
      <c r="BJ890" s="129">
        <f t="shared" si="631"/>
        <v>0</v>
      </c>
      <c r="BK890" s="129">
        <f t="shared" si="627"/>
        <v>0</v>
      </c>
      <c r="BL890" s="129" t="str">
        <f t="shared" si="657"/>
        <v>CONVICTION</v>
      </c>
      <c r="BM890" s="129" t="str">
        <f t="shared" si="632"/>
        <v>NONE</v>
      </c>
      <c r="BN890" s="129" t="s">
        <v>566</v>
      </c>
      <c r="BP890" s="137" t="str">
        <f t="shared" si="633"/>
        <v>CONVICTION</v>
      </c>
      <c r="BQ890" s="128" t="str">
        <f t="shared" si="634"/>
        <v>Y</v>
      </c>
      <c r="BR890" s="129" t="str">
        <f t="shared" si="635"/>
        <v>DETAINED</v>
      </c>
      <c r="BS890" s="129" t="str">
        <f t="shared" si="636"/>
        <v>DISPOSED</v>
      </c>
      <c r="BT890" s="129" t="str">
        <f t="shared" si="637"/>
        <v>Y</v>
      </c>
      <c r="BU890" s="109">
        <f t="shared" si="648"/>
        <v>1</v>
      </c>
      <c r="BV890" s="109">
        <f t="shared" si="638"/>
        <v>1</v>
      </c>
      <c r="BW890" s="109">
        <f t="shared" si="651"/>
        <v>0</v>
      </c>
      <c r="BX890" s="111">
        <f t="shared" si="639"/>
        <v>0</v>
      </c>
      <c r="BY890" s="129">
        <f t="shared" si="640"/>
        <v>-4</v>
      </c>
      <c r="BZ890" s="111">
        <f t="shared" si="641"/>
        <v>0</v>
      </c>
      <c r="CA890" s="138">
        <f t="shared" si="642"/>
        <v>4</v>
      </c>
      <c r="CB890" s="111" t="e">
        <f t="shared" si="661"/>
        <v>#VALUE!</v>
      </c>
      <c r="CC890" s="129">
        <f>G890-I890+1</f>
        <v>4</v>
      </c>
      <c r="CD890" s="129">
        <f>G890-J890</f>
        <v>0</v>
      </c>
      <c r="CE890" s="129">
        <f t="shared" si="643"/>
        <v>0</v>
      </c>
      <c r="CG890" s="129" t="str">
        <f t="shared" si="644"/>
        <v>Y</v>
      </c>
      <c r="CI890" s="129" t="str">
        <f t="shared" si="645"/>
        <v>0-10 DAYS</v>
      </c>
      <c r="CJ890" s="137">
        <f t="shared" si="646"/>
        <v>1</v>
      </c>
      <c r="CK890" s="129" t="str">
        <f t="shared" si="647"/>
        <v>Booked</v>
      </c>
    </row>
    <row r="891" spans="1:89" ht="15.75" customHeight="1" x14ac:dyDescent="0.25">
      <c r="A891" s="111">
        <v>2824</v>
      </c>
      <c r="B891" s="128" t="str">
        <f t="shared" si="628"/>
        <v>N</v>
      </c>
      <c r="C891" s="128" t="str">
        <f t="shared" si="629"/>
        <v>N</v>
      </c>
      <c r="D891" s="117">
        <v>1622862</v>
      </c>
      <c r="E891" s="135">
        <f t="shared" si="630"/>
        <v>5</v>
      </c>
      <c r="F891" s="124">
        <v>41012</v>
      </c>
      <c r="G891" s="125">
        <v>41015</v>
      </c>
      <c r="H891" s="117">
        <v>1622862</v>
      </c>
      <c r="I891" s="124">
        <v>41013</v>
      </c>
      <c r="J891" s="124">
        <v>41015</v>
      </c>
      <c r="K891" s="126">
        <v>15000</v>
      </c>
      <c r="L891" s="127" t="s">
        <v>571</v>
      </c>
      <c r="N891" s="129" t="str">
        <f t="shared" si="665"/>
        <v>N</v>
      </c>
      <c r="O891" s="128" t="s">
        <v>917</v>
      </c>
      <c r="P891" s="129" t="s">
        <v>39</v>
      </c>
      <c r="Q891" s="111">
        <f t="shared" si="666"/>
        <v>3</v>
      </c>
      <c r="R891" s="111">
        <f t="shared" si="624"/>
        <v>4</v>
      </c>
      <c r="S891" s="129">
        <v>6</v>
      </c>
      <c r="T891" s="129">
        <v>4</v>
      </c>
      <c r="U891" s="129">
        <v>2</v>
      </c>
      <c r="W891" s="111"/>
      <c r="AC891" s="130"/>
      <c r="AD891" s="130">
        <v>28949</v>
      </c>
      <c r="AE891" s="128" t="s">
        <v>32</v>
      </c>
      <c r="AF891" s="128" t="s">
        <v>33</v>
      </c>
      <c r="AG891" s="128" t="s">
        <v>872</v>
      </c>
      <c r="AH891" s="108" t="s">
        <v>58</v>
      </c>
      <c r="AI891" s="128" t="s">
        <v>80</v>
      </c>
      <c r="AJ891" s="129" t="s">
        <v>89</v>
      </c>
      <c r="AK891" s="129">
        <v>1</v>
      </c>
      <c r="AL891" s="3" t="s">
        <v>992</v>
      </c>
      <c r="AN891" s="117">
        <v>9</v>
      </c>
      <c r="AP891" s="129" t="s">
        <v>127</v>
      </c>
      <c r="AR891" s="128" t="s">
        <v>44</v>
      </c>
      <c r="AS891" s="129" t="s">
        <v>82</v>
      </c>
      <c r="BC891" s="129" t="s">
        <v>38</v>
      </c>
      <c r="BF891" s="111">
        <f t="shared" si="659"/>
        <v>3</v>
      </c>
      <c r="BG891" s="111">
        <f t="shared" si="660"/>
        <v>3</v>
      </c>
      <c r="BH891" s="111">
        <f t="shared" si="625"/>
        <v>4</v>
      </c>
      <c r="BI891" s="111">
        <f t="shared" si="626"/>
        <v>32.959016393442624</v>
      </c>
      <c r="BJ891" s="129">
        <f t="shared" si="631"/>
        <v>0</v>
      </c>
      <c r="BK891" s="129">
        <f t="shared" si="627"/>
        <v>0</v>
      </c>
      <c r="BL891" s="129" t="str">
        <f t="shared" si="657"/>
        <v>CONVICTION</v>
      </c>
      <c r="BM891" s="129" t="str">
        <f t="shared" si="632"/>
        <v>NONE</v>
      </c>
      <c r="BN891" s="129" t="s">
        <v>566</v>
      </c>
      <c r="BP891" s="137" t="str">
        <f t="shared" si="633"/>
        <v>CONVICTION</v>
      </c>
      <c r="BQ891" s="128" t="str">
        <f t="shared" si="634"/>
        <v>Y</v>
      </c>
      <c r="BR891" s="129" t="str">
        <f t="shared" si="635"/>
        <v>DETAINED</v>
      </c>
      <c r="BS891" s="129" t="str">
        <f t="shared" si="636"/>
        <v>DISPOSED</v>
      </c>
      <c r="BT891" s="129" t="str">
        <f t="shared" si="637"/>
        <v>Y</v>
      </c>
      <c r="BU891" s="109">
        <f t="shared" si="648"/>
        <v>0.75</v>
      </c>
      <c r="BV891" s="109">
        <f t="shared" si="638"/>
        <v>1</v>
      </c>
      <c r="BW891" s="109">
        <f t="shared" si="651"/>
        <v>0.25</v>
      </c>
      <c r="BX891" s="111">
        <f t="shared" si="639"/>
        <v>0</v>
      </c>
      <c r="BY891" s="129">
        <f t="shared" si="640"/>
        <v>-3</v>
      </c>
      <c r="BZ891" s="111">
        <f t="shared" si="641"/>
        <v>0</v>
      </c>
      <c r="CA891" s="138">
        <f t="shared" si="642"/>
        <v>3</v>
      </c>
      <c r="CB891" s="111" t="e">
        <f t="shared" si="661"/>
        <v>#VALUE!</v>
      </c>
      <c r="CC891" s="129">
        <f>G891-I891+1</f>
        <v>3</v>
      </c>
      <c r="CD891" s="129">
        <f>G891-J891</f>
        <v>0</v>
      </c>
      <c r="CE891" s="129">
        <f t="shared" si="643"/>
        <v>0</v>
      </c>
      <c r="CG891" s="129" t="str">
        <f t="shared" si="644"/>
        <v>Y</v>
      </c>
      <c r="CI891" s="129" t="str">
        <f t="shared" si="645"/>
        <v>0-10 DAYS</v>
      </c>
      <c r="CJ891" s="137">
        <f t="shared" si="646"/>
        <v>1</v>
      </c>
      <c r="CK891" s="129" t="str">
        <f t="shared" si="647"/>
        <v>Booked</v>
      </c>
    </row>
    <row r="892" spans="1:89" ht="15.75" customHeight="1" x14ac:dyDescent="0.25">
      <c r="A892" s="111">
        <v>2812</v>
      </c>
      <c r="B892" s="128" t="str">
        <f t="shared" si="628"/>
        <v>N</v>
      </c>
      <c r="C892" s="128" t="str">
        <f t="shared" si="629"/>
        <v>N</v>
      </c>
      <c r="D892" s="117">
        <v>1623085</v>
      </c>
      <c r="E892" s="135">
        <f t="shared" si="630"/>
        <v>4</v>
      </c>
      <c r="F892" s="124">
        <v>41012</v>
      </c>
      <c r="G892" s="125">
        <v>41015</v>
      </c>
      <c r="H892" s="117">
        <v>1623085</v>
      </c>
      <c r="I892" s="124">
        <v>41013</v>
      </c>
      <c r="J892" s="124">
        <v>41015</v>
      </c>
      <c r="K892" s="126">
        <v>15000</v>
      </c>
      <c r="L892" s="127" t="s">
        <v>571</v>
      </c>
      <c r="N892" s="129" t="str">
        <f t="shared" si="665"/>
        <v>N</v>
      </c>
      <c r="O892" s="128" t="s">
        <v>917</v>
      </c>
      <c r="P892" s="129" t="s">
        <v>39</v>
      </c>
      <c r="Q892" s="111">
        <f t="shared" si="666"/>
        <v>3</v>
      </c>
      <c r="R892" s="111">
        <f t="shared" si="624"/>
        <v>4</v>
      </c>
      <c r="S892" s="32">
        <v>28</v>
      </c>
      <c r="T892" s="32">
        <v>14</v>
      </c>
      <c r="U892" s="32">
        <v>10</v>
      </c>
      <c r="V892" s="114"/>
      <c r="W892" s="111"/>
      <c r="AC892" s="130"/>
      <c r="AD892" s="130">
        <v>29439</v>
      </c>
      <c r="AE892" s="128" t="s">
        <v>32</v>
      </c>
      <c r="AF892" s="128" t="s">
        <v>33</v>
      </c>
      <c r="AG892" s="128" t="s">
        <v>872</v>
      </c>
      <c r="AH892" s="108" t="s">
        <v>58</v>
      </c>
      <c r="AI892" s="128" t="s">
        <v>71</v>
      </c>
      <c r="AJ892" s="129" t="s">
        <v>89</v>
      </c>
      <c r="AK892" s="129">
        <v>1</v>
      </c>
      <c r="AL892" s="3" t="s">
        <v>991</v>
      </c>
      <c r="AO892" s="128">
        <v>120</v>
      </c>
      <c r="AP892" s="129" t="s">
        <v>60</v>
      </c>
      <c r="AR892" s="128" t="s">
        <v>44</v>
      </c>
      <c r="AS892" s="129" t="s">
        <v>61</v>
      </c>
      <c r="BC892" s="129" t="s">
        <v>38</v>
      </c>
      <c r="BF892" s="111">
        <f t="shared" si="659"/>
        <v>3</v>
      </c>
      <c r="BG892" s="111">
        <f t="shared" si="660"/>
        <v>3</v>
      </c>
      <c r="BH892" s="111">
        <f t="shared" si="625"/>
        <v>4</v>
      </c>
      <c r="BI892" s="111">
        <f t="shared" si="626"/>
        <v>31.620218579234972</v>
      </c>
      <c r="BJ892" s="129">
        <f t="shared" si="631"/>
        <v>0</v>
      </c>
      <c r="BK892" s="129">
        <f t="shared" si="627"/>
        <v>0</v>
      </c>
      <c r="BL892" s="129" t="str">
        <f t="shared" si="657"/>
        <v>CONVICTION</v>
      </c>
      <c r="BM892" s="129" t="str">
        <f t="shared" si="632"/>
        <v>NONE</v>
      </c>
      <c r="BN892" s="129" t="s">
        <v>566</v>
      </c>
      <c r="BP892" s="137" t="str">
        <f t="shared" si="633"/>
        <v>CONVICTION</v>
      </c>
      <c r="BQ892" s="128" t="str">
        <f t="shared" si="634"/>
        <v>Y</v>
      </c>
      <c r="BR892" s="129" t="str">
        <f t="shared" si="635"/>
        <v>DETAINED</v>
      </c>
      <c r="BS892" s="129" t="str">
        <f t="shared" si="636"/>
        <v>DISPOSED</v>
      </c>
      <c r="BT892" s="129" t="str">
        <f t="shared" si="637"/>
        <v>Y</v>
      </c>
      <c r="BU892" s="109">
        <f t="shared" si="648"/>
        <v>0.75</v>
      </c>
      <c r="BV892" s="109">
        <f t="shared" si="638"/>
        <v>1</v>
      </c>
      <c r="BW892" s="109">
        <f t="shared" si="651"/>
        <v>0.25</v>
      </c>
      <c r="BX892" s="111">
        <f t="shared" si="639"/>
        <v>0</v>
      </c>
      <c r="BY892" s="129">
        <f t="shared" si="640"/>
        <v>-3</v>
      </c>
      <c r="BZ892" s="111">
        <f t="shared" si="641"/>
        <v>0</v>
      </c>
      <c r="CA892" s="138">
        <f t="shared" si="642"/>
        <v>3</v>
      </c>
      <c r="CB892" s="111" t="e">
        <f t="shared" si="661"/>
        <v>#VALUE!</v>
      </c>
      <c r="CC892" s="129">
        <f>G892-I892+1</f>
        <v>3</v>
      </c>
      <c r="CD892" s="129">
        <f>G892-J892</f>
        <v>0</v>
      </c>
      <c r="CE892" s="129">
        <f t="shared" si="643"/>
        <v>0</v>
      </c>
      <c r="CG892" s="129" t="str">
        <f t="shared" si="644"/>
        <v>Y</v>
      </c>
      <c r="CI892" s="129" t="str">
        <f t="shared" si="645"/>
        <v>0-10 DAYS</v>
      </c>
      <c r="CJ892" s="137">
        <f t="shared" si="646"/>
        <v>1</v>
      </c>
      <c r="CK892" s="129" t="str">
        <f t="shared" si="647"/>
        <v>Booked</v>
      </c>
    </row>
    <row r="893" spans="1:89" ht="15" customHeight="1" x14ac:dyDescent="0.25">
      <c r="A893" s="111">
        <v>3139</v>
      </c>
      <c r="B893" s="128" t="str">
        <f t="shared" si="628"/>
        <v>N</v>
      </c>
      <c r="C893" s="128" t="str">
        <f t="shared" si="629"/>
        <v>N</v>
      </c>
      <c r="D893" s="117">
        <v>1623563</v>
      </c>
      <c r="E893" s="135">
        <f t="shared" si="630"/>
        <v>2</v>
      </c>
      <c r="F893" s="124">
        <v>41024</v>
      </c>
      <c r="G893" s="125">
        <v>41445</v>
      </c>
      <c r="H893" s="117">
        <v>1623563</v>
      </c>
      <c r="I893" s="124">
        <v>41026</v>
      </c>
      <c r="J893" s="124">
        <v>41035</v>
      </c>
      <c r="K893" s="113">
        <v>120000</v>
      </c>
      <c r="L893" s="129" t="s">
        <v>572</v>
      </c>
      <c r="M893" s="125">
        <v>41035</v>
      </c>
      <c r="N893" s="129" t="str">
        <f t="shared" si="665"/>
        <v>Y</v>
      </c>
      <c r="O893" s="128" t="s">
        <v>585</v>
      </c>
      <c r="P893" s="129" t="s">
        <v>589</v>
      </c>
      <c r="Q893" s="111">
        <f t="shared" si="666"/>
        <v>10</v>
      </c>
      <c r="R893" s="111">
        <f t="shared" si="624"/>
        <v>422</v>
      </c>
      <c r="S893" s="129">
        <v>0</v>
      </c>
      <c r="T893" s="129">
        <v>0</v>
      </c>
      <c r="W893" s="111"/>
      <c r="AC893" s="130"/>
      <c r="AD893" s="130">
        <v>25492</v>
      </c>
      <c r="AE893" s="128" t="s">
        <v>32</v>
      </c>
      <c r="AF893" s="128" t="s">
        <v>33</v>
      </c>
      <c r="AG893" s="128" t="s">
        <v>872</v>
      </c>
      <c r="AH893" s="108" t="s">
        <v>58</v>
      </c>
      <c r="AI893" s="128" t="s">
        <v>70</v>
      </c>
      <c r="AJ893" s="129" t="s">
        <v>48</v>
      </c>
      <c r="AK893" s="129">
        <v>16</v>
      </c>
      <c r="AL893" s="129" t="s">
        <v>48</v>
      </c>
      <c r="AP893" s="129" t="s">
        <v>105</v>
      </c>
      <c r="AR893" s="128" t="s">
        <v>92</v>
      </c>
      <c r="AS893" s="129" t="s">
        <v>106</v>
      </c>
      <c r="BC893" s="129" t="s">
        <v>52</v>
      </c>
      <c r="BF893" s="111">
        <f t="shared" si="659"/>
        <v>10</v>
      </c>
      <c r="BG893" s="111">
        <f t="shared" si="660"/>
        <v>420</v>
      </c>
      <c r="BH893" s="111">
        <f t="shared" si="625"/>
        <v>422</v>
      </c>
      <c r="BI893" s="111">
        <f t="shared" si="626"/>
        <v>42.437158469945352</v>
      </c>
      <c r="BJ893" s="129">
        <f>(G893-J893)+(M893-G893)</f>
        <v>0</v>
      </c>
      <c r="BK893" s="129">
        <f t="shared" si="627"/>
        <v>-410</v>
      </c>
      <c r="BL893" s="129" t="str">
        <f t="shared" si="657"/>
        <v>DEFERRED</v>
      </c>
      <c r="BM893" s="129" t="s">
        <v>76</v>
      </c>
      <c r="BN893" s="129" t="s">
        <v>88</v>
      </c>
      <c r="BP893" s="137" t="str">
        <f t="shared" si="633"/>
        <v>DEFERRED</v>
      </c>
      <c r="BQ893" s="128" t="str">
        <f t="shared" si="634"/>
        <v>Y</v>
      </c>
      <c r="BR893" s="129" t="str">
        <f t="shared" si="635"/>
        <v>ON BOND</v>
      </c>
      <c r="BS893" s="129" t="str">
        <f t="shared" si="636"/>
        <v>DISPOSED</v>
      </c>
      <c r="BT893" s="129" t="str">
        <f t="shared" si="637"/>
        <v>N</v>
      </c>
      <c r="BU893" s="109">
        <f t="shared" si="648"/>
        <v>2.3696682464454975E-2</v>
      </c>
      <c r="BV893" s="109">
        <f t="shared" si="638"/>
        <v>2.3809523809523808E-2</v>
      </c>
      <c r="BW893" s="109">
        <f t="shared" si="651"/>
        <v>1.1284134506883356E-4</v>
      </c>
      <c r="BX893" s="111">
        <f t="shared" si="639"/>
        <v>0</v>
      </c>
      <c r="BY893" s="129">
        <f t="shared" si="640"/>
        <v>-10</v>
      </c>
      <c r="BZ893" s="111">
        <f t="shared" si="641"/>
        <v>0</v>
      </c>
      <c r="CA893" s="138">
        <f t="shared" si="642"/>
        <v>10</v>
      </c>
      <c r="CB893" s="111" t="e">
        <f t="shared" si="661"/>
        <v>#VALUE!</v>
      </c>
      <c r="CC893" s="129">
        <f>M893-I893+1</f>
        <v>10</v>
      </c>
      <c r="CD893" s="111">
        <f>CC893-BF893</f>
        <v>0</v>
      </c>
      <c r="CE893" s="129">
        <f t="shared" si="643"/>
        <v>410</v>
      </c>
      <c r="CG893" s="129" t="str">
        <f t="shared" si="644"/>
        <v>N</v>
      </c>
      <c r="CI893" s="129" t="str">
        <f t="shared" si="645"/>
        <v>0-10 DAYS</v>
      </c>
      <c r="CJ893" s="137">
        <f t="shared" si="646"/>
        <v>1</v>
      </c>
      <c r="CK893" s="129" t="str">
        <f t="shared" si="647"/>
        <v>Booked</v>
      </c>
    </row>
    <row r="894" spans="1:89" ht="15.75" customHeight="1" x14ac:dyDescent="0.25">
      <c r="A894" s="111">
        <v>2641</v>
      </c>
      <c r="B894" s="128" t="str">
        <f t="shared" si="628"/>
        <v>N</v>
      </c>
      <c r="C894" s="128" t="str">
        <f t="shared" si="629"/>
        <v>N</v>
      </c>
      <c r="D894" s="117">
        <v>1626105</v>
      </c>
      <c r="E894" s="135">
        <f t="shared" si="630"/>
        <v>4</v>
      </c>
      <c r="F894" s="124">
        <v>41007</v>
      </c>
      <c r="G894" s="125">
        <v>41100</v>
      </c>
      <c r="H894" s="117">
        <v>1626105</v>
      </c>
      <c r="I894" s="124">
        <v>41007</v>
      </c>
      <c r="J894" s="124">
        <v>41100</v>
      </c>
      <c r="K894" s="126">
        <v>30000</v>
      </c>
      <c r="L894" s="129" t="s">
        <v>572</v>
      </c>
      <c r="N894" s="129" t="str">
        <f t="shared" si="665"/>
        <v>N</v>
      </c>
      <c r="O894" s="128" t="s">
        <v>917</v>
      </c>
      <c r="P894" s="129" t="s">
        <v>39</v>
      </c>
      <c r="Q894" s="111">
        <f t="shared" si="666"/>
        <v>94</v>
      </c>
      <c r="R894" s="111">
        <f t="shared" si="624"/>
        <v>94</v>
      </c>
      <c r="S894" s="129">
        <v>4</v>
      </c>
      <c r="T894" s="129">
        <v>3</v>
      </c>
      <c r="W894" s="111"/>
      <c r="AC894" s="130"/>
      <c r="AD894" s="130">
        <v>26404</v>
      </c>
      <c r="AE894" s="128" t="s">
        <v>32</v>
      </c>
      <c r="AF894" s="128" t="s">
        <v>33</v>
      </c>
      <c r="AG894" s="128" t="s">
        <v>872</v>
      </c>
      <c r="AH894" s="108" t="s">
        <v>31</v>
      </c>
      <c r="AI894" s="128" t="s">
        <v>141</v>
      </c>
      <c r="AJ894" s="129" t="s">
        <v>89</v>
      </c>
      <c r="AK894" s="129">
        <v>4</v>
      </c>
      <c r="AL894" s="3" t="s">
        <v>991</v>
      </c>
      <c r="AO894" s="128">
        <v>240</v>
      </c>
      <c r="AP894" s="129" t="s">
        <v>73</v>
      </c>
      <c r="AR894" s="128" t="s">
        <v>50</v>
      </c>
      <c r="AS894" s="129" t="s">
        <v>74</v>
      </c>
      <c r="BC894" s="129" t="s">
        <v>38</v>
      </c>
      <c r="BF894" s="111">
        <f t="shared" si="659"/>
        <v>94</v>
      </c>
      <c r="BG894" s="111">
        <f t="shared" ref="BG894:BG914" si="667">IF(G894&gt;1/1/1900,((G894+1)-I894),"STILL OPEN")</f>
        <v>94</v>
      </c>
      <c r="BH894" s="111">
        <f t="shared" si="625"/>
        <v>94</v>
      </c>
      <c r="BI894" s="111">
        <f t="shared" si="626"/>
        <v>39.898907103825138</v>
      </c>
      <c r="BJ894" s="129">
        <f t="shared" si="631"/>
        <v>0</v>
      </c>
      <c r="BK894" s="129">
        <f t="shared" si="627"/>
        <v>0</v>
      </c>
      <c r="BL894" s="129" t="str">
        <f t="shared" si="657"/>
        <v>CONVICTION</v>
      </c>
      <c r="BM894" s="129" t="str">
        <f t="shared" si="632"/>
        <v>NONE</v>
      </c>
      <c r="BN894" s="129" t="s">
        <v>566</v>
      </c>
      <c r="BP894" s="137" t="str">
        <f t="shared" si="633"/>
        <v>CONVICTION</v>
      </c>
      <c r="BQ894" s="128" t="str">
        <f t="shared" si="634"/>
        <v>Y</v>
      </c>
      <c r="BR894" s="129" t="str">
        <f t="shared" si="635"/>
        <v>DETAINED</v>
      </c>
      <c r="BS894" s="129" t="str">
        <f t="shared" si="636"/>
        <v>DISPOSED</v>
      </c>
      <c r="BT894" s="129" t="str">
        <f t="shared" si="637"/>
        <v>Y</v>
      </c>
      <c r="BU894" s="109">
        <f t="shared" si="648"/>
        <v>1</v>
      </c>
      <c r="BV894" s="109">
        <f t="shared" si="638"/>
        <v>1</v>
      </c>
      <c r="BW894" s="109">
        <f t="shared" si="651"/>
        <v>0</v>
      </c>
      <c r="BX894" s="111">
        <f t="shared" si="639"/>
        <v>0</v>
      </c>
      <c r="BY894" s="129">
        <f t="shared" si="640"/>
        <v>-94</v>
      </c>
      <c r="BZ894" s="111">
        <f t="shared" si="641"/>
        <v>0</v>
      </c>
      <c r="CA894" s="138">
        <f t="shared" si="642"/>
        <v>94</v>
      </c>
      <c r="CB894" s="111" t="e">
        <f t="shared" si="661"/>
        <v>#VALUE!</v>
      </c>
      <c r="CC894" s="129">
        <f>G894-I894+1</f>
        <v>94</v>
      </c>
      <c r="CD894" s="129">
        <f>G894-J894</f>
        <v>0</v>
      </c>
      <c r="CE894" s="129">
        <f t="shared" si="643"/>
        <v>0</v>
      </c>
      <c r="CG894" s="129" t="str">
        <f t="shared" si="644"/>
        <v>Y</v>
      </c>
      <c r="CI894" s="129" t="str">
        <f t="shared" si="645"/>
        <v>91-120 DAYS</v>
      </c>
      <c r="CJ894" s="137">
        <f t="shared" si="646"/>
        <v>0</v>
      </c>
      <c r="CK894" s="129" t="str">
        <f t="shared" si="647"/>
        <v>Booked</v>
      </c>
    </row>
    <row r="895" spans="1:89" ht="15.75" customHeight="1" x14ac:dyDescent="0.25">
      <c r="A895" s="111">
        <v>3095</v>
      </c>
      <c r="B895" s="128" t="str">
        <f t="shared" si="628"/>
        <v>N</v>
      </c>
      <c r="C895" s="128" t="str">
        <f t="shared" si="629"/>
        <v>N</v>
      </c>
      <c r="D895" s="117">
        <v>1628731</v>
      </c>
      <c r="E895" s="135">
        <f t="shared" si="630"/>
        <v>4</v>
      </c>
      <c r="F895" s="124">
        <v>41023</v>
      </c>
      <c r="G895" s="125">
        <v>41089</v>
      </c>
      <c r="H895" s="117">
        <v>1628731</v>
      </c>
      <c r="I895" s="124">
        <v>41024</v>
      </c>
      <c r="J895" s="124">
        <v>41089</v>
      </c>
      <c r="K895" s="126">
        <v>75000</v>
      </c>
      <c r="L895" s="129" t="s">
        <v>572</v>
      </c>
      <c r="N895" s="129" t="str">
        <f t="shared" si="665"/>
        <v>N</v>
      </c>
      <c r="O895" s="128" t="s">
        <v>917</v>
      </c>
      <c r="P895" s="129" t="s">
        <v>39</v>
      </c>
      <c r="Q895" s="111">
        <f t="shared" si="666"/>
        <v>66</v>
      </c>
      <c r="R895" s="111">
        <f t="shared" si="624"/>
        <v>67</v>
      </c>
      <c r="S895" s="129">
        <v>1</v>
      </c>
      <c r="T895" s="129">
        <v>4</v>
      </c>
      <c r="U895" s="129">
        <v>1</v>
      </c>
      <c r="W895" s="111"/>
      <c r="AC895" s="130"/>
      <c r="AD895" s="130">
        <v>29333</v>
      </c>
      <c r="AE895" s="128" t="s">
        <v>32</v>
      </c>
      <c r="AF895" s="128" t="s">
        <v>69</v>
      </c>
      <c r="AG895" s="128" t="s">
        <v>874</v>
      </c>
      <c r="AH895" s="108" t="s">
        <v>58</v>
      </c>
      <c r="AI895" s="128" t="s">
        <v>59</v>
      </c>
      <c r="AJ895" s="129" t="s">
        <v>89</v>
      </c>
      <c r="AK895" s="129">
        <v>4</v>
      </c>
      <c r="AL895" s="3" t="s">
        <v>991</v>
      </c>
      <c r="AO895" s="128">
        <v>180</v>
      </c>
      <c r="AP895" s="129" t="s">
        <v>150</v>
      </c>
      <c r="AR895" s="128" t="s">
        <v>67</v>
      </c>
      <c r="AS895" s="129" t="s">
        <v>74</v>
      </c>
      <c r="AT895" s="129" t="s">
        <v>522</v>
      </c>
      <c r="BC895" s="129" t="s">
        <v>52</v>
      </c>
      <c r="BF895" s="111">
        <f t="shared" si="659"/>
        <v>66</v>
      </c>
      <c r="BG895" s="111">
        <f t="shared" si="667"/>
        <v>66</v>
      </c>
      <c r="BH895" s="111">
        <f t="shared" si="625"/>
        <v>67</v>
      </c>
      <c r="BI895" s="111">
        <f t="shared" si="626"/>
        <v>31.939890710382514</v>
      </c>
      <c r="BJ895" s="129">
        <f t="shared" si="631"/>
        <v>0</v>
      </c>
      <c r="BK895" s="129">
        <f t="shared" si="627"/>
        <v>0</v>
      </c>
      <c r="BL895" s="129" t="str">
        <f t="shared" si="657"/>
        <v>CONVICTION</v>
      </c>
      <c r="BM895" s="129" t="str">
        <f t="shared" si="632"/>
        <v>NONE</v>
      </c>
      <c r="BN895" s="129" t="s">
        <v>566</v>
      </c>
      <c r="BP895" s="137" t="str">
        <f t="shared" si="633"/>
        <v>CONVICTION</v>
      </c>
      <c r="BQ895" s="128" t="str">
        <f t="shared" si="634"/>
        <v>Y</v>
      </c>
      <c r="BR895" s="129" t="str">
        <f t="shared" si="635"/>
        <v>DETAINED</v>
      </c>
      <c r="BS895" s="129" t="str">
        <f t="shared" si="636"/>
        <v>DISPOSED</v>
      </c>
      <c r="BT895" s="129" t="str">
        <f t="shared" si="637"/>
        <v>Y</v>
      </c>
      <c r="BU895" s="109">
        <f t="shared" si="648"/>
        <v>0.9850746268656716</v>
      </c>
      <c r="BV895" s="109">
        <f t="shared" si="638"/>
        <v>1</v>
      </c>
      <c r="BW895" s="109">
        <f t="shared" si="651"/>
        <v>1.4925373134328401E-2</v>
      </c>
      <c r="BX895" s="111">
        <f t="shared" si="639"/>
        <v>0</v>
      </c>
      <c r="BY895" s="129">
        <f t="shared" si="640"/>
        <v>-66</v>
      </c>
      <c r="BZ895" s="111">
        <f t="shared" si="641"/>
        <v>0</v>
      </c>
      <c r="CA895" s="138">
        <f t="shared" si="642"/>
        <v>66</v>
      </c>
      <c r="CB895" s="111" t="e">
        <f t="shared" si="661"/>
        <v>#VALUE!</v>
      </c>
      <c r="CC895" s="129">
        <f>G895-I895+1</f>
        <v>66</v>
      </c>
      <c r="CD895" s="129">
        <f>G895-J895</f>
        <v>0</v>
      </c>
      <c r="CE895" s="129">
        <f t="shared" si="643"/>
        <v>0</v>
      </c>
      <c r="CG895" s="129" t="str">
        <f t="shared" si="644"/>
        <v>Y</v>
      </c>
      <c r="CI895" s="129" t="str">
        <f t="shared" si="645"/>
        <v>61-90 DAYS</v>
      </c>
      <c r="CJ895" s="137">
        <f t="shared" si="646"/>
        <v>4</v>
      </c>
      <c r="CK895" s="129" t="str">
        <f t="shared" si="647"/>
        <v>Booked</v>
      </c>
    </row>
    <row r="896" spans="1:89" ht="15" customHeight="1" x14ac:dyDescent="0.25">
      <c r="A896" s="111">
        <v>1962</v>
      </c>
      <c r="B896" s="128" t="str">
        <f t="shared" si="628"/>
        <v>N</v>
      </c>
      <c r="C896" s="128" t="str">
        <f t="shared" si="629"/>
        <v>N</v>
      </c>
      <c r="D896" s="117">
        <v>1628972</v>
      </c>
      <c r="E896" s="135">
        <f t="shared" si="630"/>
        <v>6</v>
      </c>
      <c r="F896" s="124">
        <v>40982</v>
      </c>
      <c r="G896" s="125">
        <v>41528</v>
      </c>
      <c r="H896" s="117">
        <v>1628972</v>
      </c>
      <c r="I896" s="124" t="s">
        <v>562</v>
      </c>
      <c r="J896" s="124" t="s">
        <v>562</v>
      </c>
      <c r="K896" s="126">
        <v>40000</v>
      </c>
      <c r="L896" s="127" t="s">
        <v>571</v>
      </c>
      <c r="M896" s="125">
        <v>40984</v>
      </c>
      <c r="N896" s="129" t="str">
        <f>IF(M896&gt;1/1/1,"Y",IF(Q896="NOT BOOKED","","N"))</f>
        <v>Y</v>
      </c>
      <c r="O896" s="128" t="s">
        <v>76</v>
      </c>
      <c r="P896" s="129" t="s">
        <v>39</v>
      </c>
      <c r="Q896" s="111">
        <v>0</v>
      </c>
      <c r="R896" s="111">
        <f t="shared" si="624"/>
        <v>547</v>
      </c>
      <c r="S896" s="129">
        <v>2</v>
      </c>
      <c r="T896" s="129">
        <v>1</v>
      </c>
      <c r="U896" s="129">
        <v>1</v>
      </c>
      <c r="W896" s="111"/>
      <c r="AC896" s="130"/>
      <c r="AD896" s="130">
        <v>27047</v>
      </c>
      <c r="AE896" s="128" t="s">
        <v>46</v>
      </c>
      <c r="AF896" s="128" t="s">
        <v>69</v>
      </c>
      <c r="AG896" s="128" t="s">
        <v>874</v>
      </c>
      <c r="AH896" s="108" t="s">
        <v>31</v>
      </c>
      <c r="AI896" s="128" t="s">
        <v>95</v>
      </c>
      <c r="AJ896" s="129" t="s">
        <v>89</v>
      </c>
      <c r="AK896" s="129">
        <v>18</v>
      </c>
      <c r="AL896" s="3" t="s">
        <v>362</v>
      </c>
      <c r="AM896" s="117">
        <v>2</v>
      </c>
      <c r="AP896" s="129" t="s">
        <v>132</v>
      </c>
      <c r="AR896" s="128" t="s">
        <v>92</v>
      </c>
      <c r="AS896" s="129" t="s">
        <v>82</v>
      </c>
      <c r="AT896" s="129" t="s">
        <v>1123</v>
      </c>
      <c r="BC896" s="129" t="s">
        <v>52</v>
      </c>
      <c r="BF896" s="111">
        <v>0</v>
      </c>
      <c r="BG896" s="111" t="e">
        <f t="shared" si="667"/>
        <v>#VALUE!</v>
      </c>
      <c r="BH896" s="111">
        <f t="shared" si="625"/>
        <v>547</v>
      </c>
      <c r="BI896" s="111">
        <f t="shared" si="626"/>
        <v>38.07377049180328</v>
      </c>
      <c r="BJ896" s="129" t="e">
        <f>(G896-J896)+(M896-G896)</f>
        <v>#VALUE!</v>
      </c>
      <c r="BK896" s="129" t="e">
        <f t="shared" si="627"/>
        <v>#VALUE!</v>
      </c>
      <c r="BL896" s="129" t="str">
        <f t="shared" si="657"/>
        <v>CONVICTION</v>
      </c>
      <c r="BM896" s="129" t="s">
        <v>76</v>
      </c>
      <c r="BN896" s="129" t="s">
        <v>88</v>
      </c>
      <c r="BP896" s="137" t="str">
        <f t="shared" si="633"/>
        <v>CONVICTION</v>
      </c>
      <c r="BQ896" s="128">
        <f t="shared" si="634"/>
        <v>0</v>
      </c>
      <c r="BR896" s="129" t="s">
        <v>575</v>
      </c>
      <c r="BS896" s="129" t="str">
        <f t="shared" si="636"/>
        <v>DISPOSED</v>
      </c>
      <c r="BT896" s="129" t="str">
        <f t="shared" si="637"/>
        <v>Y</v>
      </c>
      <c r="BU896" s="109">
        <f t="shared" si="648"/>
        <v>0</v>
      </c>
      <c r="BV896" s="109">
        <v>0</v>
      </c>
      <c r="BW896" s="109">
        <f t="shared" si="651"/>
        <v>0</v>
      </c>
      <c r="BX896" s="111">
        <f t="shared" si="639"/>
        <v>0</v>
      </c>
      <c r="BY896" s="129" t="e">
        <f t="shared" si="640"/>
        <v>#VALUE!</v>
      </c>
      <c r="BZ896" s="111" t="e">
        <f t="shared" si="641"/>
        <v>#VALUE!</v>
      </c>
      <c r="CA896" s="138" t="e">
        <f t="shared" si="642"/>
        <v>#VALUE!</v>
      </c>
      <c r="CB896" s="111" t="s">
        <v>562</v>
      </c>
      <c r="CC896" s="129">
        <v>0</v>
      </c>
      <c r="CD896" s="111">
        <f>CC896-BF896</f>
        <v>0</v>
      </c>
      <c r="CE896" s="129" t="e">
        <f t="shared" si="643"/>
        <v>#VALUE!</v>
      </c>
      <c r="CG896" s="129" t="str">
        <f t="shared" si="644"/>
        <v>Y</v>
      </c>
      <c r="CI896" s="129" t="str">
        <f t="shared" si="645"/>
        <v>0-10 DAYS</v>
      </c>
      <c r="CJ896" s="137">
        <f t="shared" si="646"/>
        <v>1</v>
      </c>
      <c r="CK896" s="129" t="str">
        <f t="shared" si="647"/>
        <v>Not Booked</v>
      </c>
    </row>
    <row r="897" spans="1:89" ht="15.75" customHeight="1" x14ac:dyDescent="0.25">
      <c r="A897" s="111">
        <v>3115</v>
      </c>
      <c r="B897" s="128" t="str">
        <f t="shared" si="628"/>
        <v>N</v>
      </c>
      <c r="C897" s="128" t="str">
        <f t="shared" si="629"/>
        <v>N</v>
      </c>
      <c r="D897" s="117">
        <v>1629501</v>
      </c>
      <c r="E897" s="135">
        <f t="shared" si="630"/>
        <v>4</v>
      </c>
      <c r="F897" s="124">
        <v>41024</v>
      </c>
      <c r="G897" s="125">
        <v>41025</v>
      </c>
      <c r="H897" s="117">
        <v>1629501</v>
      </c>
      <c r="I897" s="124">
        <v>41024</v>
      </c>
      <c r="J897" s="124">
        <v>41025</v>
      </c>
      <c r="K897" s="126">
        <v>5000</v>
      </c>
      <c r="L897" s="127" t="s">
        <v>569</v>
      </c>
      <c r="N897" s="129" t="str">
        <f>IF(M897&gt;1/1/1,"Y","N")</f>
        <v>N</v>
      </c>
      <c r="O897" s="128" t="s">
        <v>917</v>
      </c>
      <c r="P897" s="129" t="s">
        <v>39</v>
      </c>
      <c r="Q897" s="111">
        <f t="shared" si="666"/>
        <v>2</v>
      </c>
      <c r="R897" s="111">
        <f t="shared" si="624"/>
        <v>2</v>
      </c>
      <c r="S897" s="129">
        <v>6</v>
      </c>
      <c r="T897" s="129">
        <v>6</v>
      </c>
      <c r="U897" s="129">
        <v>4</v>
      </c>
      <c r="W897" s="111"/>
      <c r="AC897" s="130"/>
      <c r="AD897" s="130">
        <v>28832</v>
      </c>
      <c r="AE897" s="128" t="s">
        <v>32</v>
      </c>
      <c r="AF897" s="128" t="s">
        <v>33</v>
      </c>
      <c r="AG897" s="128" t="s">
        <v>872</v>
      </c>
      <c r="AH897" s="108" t="s">
        <v>58</v>
      </c>
      <c r="AI897" s="128" t="s">
        <v>90</v>
      </c>
      <c r="AJ897" s="129" t="s">
        <v>89</v>
      </c>
      <c r="AK897" s="129">
        <v>1</v>
      </c>
      <c r="AL897" s="3" t="s">
        <v>991</v>
      </c>
      <c r="AO897" s="128">
        <v>180</v>
      </c>
      <c r="AP897" s="129" t="s">
        <v>184</v>
      </c>
      <c r="AR897" s="128" t="s">
        <v>44</v>
      </c>
      <c r="AS897" s="129" t="s">
        <v>64</v>
      </c>
      <c r="BC897" s="129" t="s">
        <v>38</v>
      </c>
      <c r="BF897" s="111">
        <f t="shared" ref="BF897:BF913" si="668">IF(J897&gt;1/1/1900,((J897+1)-I897),"STILL OPEN")</f>
        <v>2</v>
      </c>
      <c r="BG897" s="111">
        <f t="shared" si="667"/>
        <v>2</v>
      </c>
      <c r="BH897" s="111">
        <f t="shared" si="625"/>
        <v>2</v>
      </c>
      <c r="BI897" s="111">
        <f t="shared" si="626"/>
        <v>33.311475409836063</v>
      </c>
      <c r="BJ897" s="129">
        <f t="shared" si="631"/>
        <v>0</v>
      </c>
      <c r="BK897" s="129">
        <f t="shared" si="627"/>
        <v>0</v>
      </c>
      <c r="BL897" s="129" t="str">
        <f t="shared" si="657"/>
        <v>CONVICTION</v>
      </c>
      <c r="BM897" s="129" t="str">
        <f t="shared" si="632"/>
        <v>NONE</v>
      </c>
      <c r="BN897" s="129" t="s">
        <v>566</v>
      </c>
      <c r="BP897" s="137" t="str">
        <f t="shared" si="633"/>
        <v>CONVICTION</v>
      </c>
      <c r="BQ897" s="128" t="str">
        <f t="shared" si="634"/>
        <v>Y</v>
      </c>
      <c r="BR897" s="129" t="str">
        <f t="shared" si="635"/>
        <v>DETAINED</v>
      </c>
      <c r="BS897" s="129" t="str">
        <f t="shared" si="636"/>
        <v>DISPOSED</v>
      </c>
      <c r="BT897" s="129" t="str">
        <f t="shared" si="637"/>
        <v>Y</v>
      </c>
      <c r="BU897" s="109">
        <f t="shared" si="648"/>
        <v>1</v>
      </c>
      <c r="BV897" s="109">
        <f t="shared" si="638"/>
        <v>1</v>
      </c>
      <c r="BW897" s="109">
        <f t="shared" si="651"/>
        <v>0</v>
      </c>
      <c r="BX897" s="111">
        <f t="shared" si="639"/>
        <v>0</v>
      </c>
      <c r="BY897" s="129">
        <f t="shared" si="640"/>
        <v>-2</v>
      </c>
      <c r="BZ897" s="111">
        <f t="shared" si="641"/>
        <v>0</v>
      </c>
      <c r="CA897" s="138">
        <f t="shared" si="642"/>
        <v>2</v>
      </c>
      <c r="CB897" s="111" t="e">
        <f t="shared" ref="CB897:CB913" si="669">IF(AF897&gt;1/1/1900,((AF897+1)-AE897),"STILL OPEN")</f>
        <v>#VALUE!</v>
      </c>
      <c r="CC897" s="129">
        <f>G897-I897+1</f>
        <v>2</v>
      </c>
      <c r="CD897" s="129">
        <f>G897-J897</f>
        <v>0</v>
      </c>
      <c r="CE897" s="129">
        <f t="shared" si="643"/>
        <v>0</v>
      </c>
      <c r="CG897" s="129" t="str">
        <f t="shared" si="644"/>
        <v>Y</v>
      </c>
      <c r="CI897" s="129" t="str">
        <f t="shared" si="645"/>
        <v>0-10 DAYS</v>
      </c>
      <c r="CJ897" s="137">
        <f t="shared" si="646"/>
        <v>1</v>
      </c>
      <c r="CK897" s="129" t="str">
        <f t="shared" si="647"/>
        <v>Booked</v>
      </c>
    </row>
    <row r="898" spans="1:89" ht="15" customHeight="1" x14ac:dyDescent="0.25">
      <c r="A898" s="111">
        <v>2715</v>
      </c>
      <c r="B898" s="128" t="str">
        <f t="shared" si="628"/>
        <v>Y</v>
      </c>
      <c r="C898" s="128" t="str">
        <f t="shared" si="629"/>
        <v>N</v>
      </c>
      <c r="D898" s="117">
        <v>1630820</v>
      </c>
      <c r="E898" s="135">
        <f t="shared" si="630"/>
        <v>1</v>
      </c>
      <c r="F898" s="124">
        <v>41009</v>
      </c>
      <c r="G898" s="125">
        <v>41061</v>
      </c>
      <c r="H898" s="117">
        <v>1630820</v>
      </c>
      <c r="I898" s="124">
        <v>41010</v>
      </c>
      <c r="J898" s="124">
        <v>41010</v>
      </c>
      <c r="K898" s="126">
        <v>2000</v>
      </c>
      <c r="L898" s="127" t="s">
        <v>568</v>
      </c>
      <c r="M898" s="125">
        <v>41010</v>
      </c>
      <c r="N898" s="129" t="str">
        <f>IF(M898&gt;1/1/1,"Y","N")</f>
        <v>Y</v>
      </c>
      <c r="O898" s="128" t="s">
        <v>76</v>
      </c>
      <c r="P898" s="129" t="s">
        <v>123</v>
      </c>
      <c r="Q898" s="111">
        <f t="shared" si="666"/>
        <v>1</v>
      </c>
      <c r="R898" s="111">
        <f t="shared" ref="R898:R913" si="670">BH898</f>
        <v>53</v>
      </c>
      <c r="S898" s="129">
        <v>0</v>
      </c>
      <c r="T898" s="129">
        <v>2</v>
      </c>
      <c r="W898" s="111"/>
      <c r="AC898" s="130"/>
      <c r="AD898" s="130">
        <v>29050</v>
      </c>
      <c r="AE898" s="128" t="s">
        <v>32</v>
      </c>
      <c r="AF898" s="128" t="s">
        <v>69</v>
      </c>
      <c r="AG898" s="128" t="s">
        <v>874</v>
      </c>
      <c r="AH898" s="108" t="s">
        <v>58</v>
      </c>
      <c r="AI898" s="128" t="s">
        <v>72</v>
      </c>
      <c r="AJ898" s="129" t="s">
        <v>123</v>
      </c>
      <c r="AK898" s="129">
        <v>4</v>
      </c>
      <c r="AL898" s="3" t="s">
        <v>123</v>
      </c>
      <c r="AP898" s="129" t="s">
        <v>121</v>
      </c>
      <c r="AR898" s="128" t="s">
        <v>44</v>
      </c>
      <c r="AS898" s="129" t="s">
        <v>122</v>
      </c>
      <c r="BC898" s="129" t="s">
        <v>79</v>
      </c>
      <c r="BD898" s="129" t="s">
        <v>1209</v>
      </c>
      <c r="BF898" s="111">
        <f t="shared" si="668"/>
        <v>1</v>
      </c>
      <c r="BG898" s="111">
        <f t="shared" si="667"/>
        <v>52</v>
      </c>
      <c r="BH898" s="111">
        <f t="shared" ref="BH898:BH961" si="671">IF(G898&gt;1/1/1900,((G898+1)-F898),"STILL OPEN")</f>
        <v>53</v>
      </c>
      <c r="BI898" s="111">
        <f t="shared" ref="BI898:BI961" si="672">(F898-AD898)/366</f>
        <v>32.674863387978142</v>
      </c>
      <c r="BJ898" s="129">
        <f>(G898-J898)+(M898-G898)</f>
        <v>0</v>
      </c>
      <c r="BK898" s="129">
        <f t="shared" ref="BK898:BK961" si="673">J898-G898</f>
        <v>-51</v>
      </c>
      <c r="BL898" s="129" t="str">
        <f t="shared" si="657"/>
        <v>NO CONVICTION</v>
      </c>
      <c r="BM898" s="129" t="s">
        <v>76</v>
      </c>
      <c r="BN898" s="129" t="s">
        <v>88</v>
      </c>
      <c r="BP898" s="137" t="str">
        <f t="shared" si="633"/>
        <v>NO CONVICTION</v>
      </c>
      <c r="BQ898" s="128" t="str">
        <f t="shared" si="634"/>
        <v>Y</v>
      </c>
      <c r="BR898" s="129" t="str">
        <f t="shared" si="635"/>
        <v>ON BOND</v>
      </c>
      <c r="BS898" s="129" t="str">
        <f t="shared" si="636"/>
        <v>DISPOSED</v>
      </c>
      <c r="BT898" s="129" t="str">
        <f t="shared" si="637"/>
        <v>N</v>
      </c>
      <c r="BU898" s="109">
        <f>IFERROR(Q898/R898,BR898)</f>
        <v>1.8867924528301886E-2</v>
      </c>
      <c r="BV898" s="109">
        <f t="shared" si="638"/>
        <v>1.9230769230769232E-2</v>
      </c>
      <c r="BW898" s="109">
        <f t="shared" si="651"/>
        <v>3.6284470246734576E-4</v>
      </c>
      <c r="BX898" s="111">
        <f t="shared" si="639"/>
        <v>0</v>
      </c>
      <c r="BY898" s="129">
        <f t="shared" si="640"/>
        <v>-1</v>
      </c>
      <c r="BZ898" s="111">
        <f t="shared" si="641"/>
        <v>0</v>
      </c>
      <c r="CA898" s="138">
        <f t="shared" si="642"/>
        <v>1</v>
      </c>
      <c r="CB898" s="111" t="e">
        <f t="shared" si="669"/>
        <v>#VALUE!</v>
      </c>
      <c r="CC898" s="129">
        <f>M898-I898+1</f>
        <v>1</v>
      </c>
      <c r="CD898" s="111">
        <f>CC898-BF898</f>
        <v>0</v>
      </c>
      <c r="CE898" s="129">
        <f t="shared" si="643"/>
        <v>51</v>
      </c>
      <c r="CG898" s="129" t="str">
        <f t="shared" si="644"/>
        <v>Y</v>
      </c>
      <c r="CI898" s="129" t="str">
        <f t="shared" si="645"/>
        <v>0-10 DAYS</v>
      </c>
      <c r="CJ898" s="137">
        <f t="shared" si="646"/>
        <v>1</v>
      </c>
      <c r="CK898" s="129" t="str">
        <f t="shared" si="647"/>
        <v>Booked</v>
      </c>
    </row>
    <row r="899" spans="1:89" ht="15" customHeight="1" x14ac:dyDescent="0.25">
      <c r="A899" s="111">
        <v>410</v>
      </c>
      <c r="B899" s="128" t="str">
        <f t="shared" ref="B899:B962" si="674">IF(BD899&lt;&gt;"","Y","N")</f>
        <v>N</v>
      </c>
      <c r="C899" s="128" t="str">
        <f t="shared" ref="C899:C962" si="675">IF((AND(AV899="",AX899="",AY899="")),"N","Y")</f>
        <v>N</v>
      </c>
      <c r="D899" s="117">
        <v>1632633</v>
      </c>
      <c r="E899" s="135">
        <f t="shared" ref="E899:E962" si="676">IF(OR(AL899="ACQUITTAL",AL899="ACQUIT",AL899="acq insane",AL899="DISMISSED",AL899="NO BILL"),1,IF(AL899="DEFERRED",2,IF(AL899="PROBATION",3,IF(OR(AL899="HCJ",AL899="fine"),4,IF(AL899="STJ",5,IF(AL899="TDC",6,""))))))</f>
        <v>1</v>
      </c>
      <c r="F899" s="124">
        <v>40926</v>
      </c>
      <c r="G899" s="125">
        <v>40927</v>
      </c>
      <c r="H899" s="117">
        <v>1632633</v>
      </c>
      <c r="I899" s="124">
        <v>40926</v>
      </c>
      <c r="J899" s="124">
        <v>40927</v>
      </c>
      <c r="K899" s="126">
        <v>10000</v>
      </c>
      <c r="L899" s="127" t="s">
        <v>570</v>
      </c>
      <c r="N899" s="129" t="str">
        <f>IF(M899&gt;1/1/1,"Y","N")</f>
        <v>N</v>
      </c>
      <c r="O899" s="128" t="s">
        <v>917</v>
      </c>
      <c r="P899" s="129" t="s">
        <v>55</v>
      </c>
      <c r="Q899" s="111">
        <f t="shared" si="666"/>
        <v>2</v>
      </c>
      <c r="R899" s="111">
        <f t="shared" si="670"/>
        <v>2</v>
      </c>
      <c r="S899" s="129">
        <v>8</v>
      </c>
      <c r="T899" s="129">
        <v>1</v>
      </c>
      <c r="U899" s="129">
        <v>6</v>
      </c>
      <c r="W899" s="111"/>
      <c r="AC899" s="130"/>
      <c r="AD899" s="130">
        <v>29552</v>
      </c>
      <c r="AE899" s="128" t="s">
        <v>32</v>
      </c>
      <c r="AF899" s="128" t="s">
        <v>33</v>
      </c>
      <c r="AG899" s="128" t="s">
        <v>872</v>
      </c>
      <c r="AH899" s="108" t="s">
        <v>31</v>
      </c>
      <c r="AI899" s="128" t="s">
        <v>83</v>
      </c>
      <c r="AJ899" s="129" t="s">
        <v>55</v>
      </c>
      <c r="AK899" s="129">
        <v>1</v>
      </c>
      <c r="AL899" s="3" t="s">
        <v>55</v>
      </c>
      <c r="AP899" s="129" t="s">
        <v>93</v>
      </c>
      <c r="AR899" s="128" t="s">
        <v>67</v>
      </c>
      <c r="AS899" s="129" t="s">
        <v>45</v>
      </c>
      <c r="AT899" s="129" t="s">
        <v>204</v>
      </c>
      <c r="BC899" s="129" t="s">
        <v>38</v>
      </c>
      <c r="BF899" s="111">
        <f t="shared" si="668"/>
        <v>2</v>
      </c>
      <c r="BG899" s="111">
        <f t="shared" si="667"/>
        <v>2</v>
      </c>
      <c r="BH899" s="111">
        <f t="shared" si="671"/>
        <v>2</v>
      </c>
      <c r="BI899" s="111">
        <f t="shared" si="672"/>
        <v>31.076502732240439</v>
      </c>
      <c r="BJ899" s="129">
        <f t="shared" ref="BJ899:BJ962" si="677">G899-J899-M899</f>
        <v>0</v>
      </c>
      <c r="BK899" s="129">
        <f t="shared" si="673"/>
        <v>0</v>
      </c>
      <c r="BL899" s="129" t="str">
        <f t="shared" si="657"/>
        <v>NO CONVICTION</v>
      </c>
      <c r="BM899" s="129" t="str">
        <f t="shared" ref="BM899:BM962" si="678">O899</f>
        <v>NONE</v>
      </c>
      <c r="BN899" s="129" t="s">
        <v>566</v>
      </c>
      <c r="BP899" s="137" t="str">
        <f t="shared" ref="BP899:BP962" si="679">IF(OR(AJ899="AQUITTAL",AJ899="DISMISSED",AJ899="FINE",AJ899="NO BILL"),"NO CONVICTION",IF(OR(AJ899="HCJ",AJ899="MHH",AJ899="PROBATION",AJ899="STJ",AJ899="TDC",AJ899="CONVICTED"),"CONVICTION",IF(AJ899="DEFERRED","DEFERRED","")))</f>
        <v>NO CONVICTION</v>
      </c>
      <c r="BQ899" s="128" t="str">
        <f t="shared" ref="BQ899:BQ962" si="680">IF(BF899&gt;0,"Y",BF899)</f>
        <v>Y</v>
      </c>
      <c r="BR899" s="129" t="str">
        <f t="shared" ref="BR899:BR962" si="681">IF(AND(J899="NOT BOOKED",M899&gt;1/1/1),"BONDED - BEFORE BOOKED",IF(BG899="STILL OPEN","STILL OPEN",IF(N899="Y","ON BOND",IF(J899&gt;=G899,"DETAINED","RELEASED"))))</f>
        <v>DETAINED</v>
      </c>
      <c r="BS899" s="129" t="str">
        <f t="shared" ref="BS899:BS962" si="682">IF(G899&lt;&gt;"","DISPOSED","")</f>
        <v>DISPOSED</v>
      </c>
      <c r="BT899" s="129" t="str">
        <f t="shared" ref="BT899:BT962" si="683">IF(S899&gt;0,"Y","N")</f>
        <v>Y</v>
      </c>
      <c r="BU899" s="109">
        <f>IFERROR(Q899/R899,BR899)</f>
        <v>1</v>
      </c>
      <c r="BV899" s="109">
        <f t="shared" ref="BV899:BV962" si="684">IF(I899&gt;F899,((J899-I899+1)/(G899-I899+1)),(J899-I899+1)/(G899-F899+1))</f>
        <v>1</v>
      </c>
      <c r="BW899" s="109">
        <f t="shared" si="651"/>
        <v>0</v>
      </c>
      <c r="BX899" s="111">
        <f t="shared" ref="BX899:BX962" si="685">+Q899-BF899</f>
        <v>0</v>
      </c>
      <c r="BY899" s="129">
        <f t="shared" ref="BY899:BY962" si="686">I899-J899-1</f>
        <v>-2</v>
      </c>
      <c r="BZ899" s="111">
        <f t="shared" ref="BZ899:BZ962" si="687">BY899+BF899</f>
        <v>0</v>
      </c>
      <c r="CA899" s="138">
        <f t="shared" ref="CA899:CA962" si="688">IF(AND(BS899="DISPOSED",BR899="DETAINED"),G899-I899+1,IF(AND(BS899="DISPOSED",BR899="ON BOND"),M899-I899+1,IF(AND(BS899="STILL OPEN","STILL OPEN"),"NOT BOOKED")))</f>
        <v>2</v>
      </c>
      <c r="CB899" s="111" t="e">
        <f t="shared" si="669"/>
        <v>#VALUE!</v>
      </c>
      <c r="CC899" s="129">
        <f>G899-I899+1</f>
        <v>2</v>
      </c>
      <c r="CD899" s="129">
        <f>G899-J899</f>
        <v>0</v>
      </c>
      <c r="CE899" s="129">
        <f t="shared" ref="CE899:CE962" si="689">G899-J899</f>
        <v>0</v>
      </c>
      <c r="CG899" s="129" t="str">
        <f t="shared" ref="CG899:CG962" si="690">IF((S899+T899+U899)&gt;0,"Y","N")</f>
        <v>Y</v>
      </c>
      <c r="CI899" s="129" t="str">
        <f t="shared" ref="CI899:CI962" si="691">IF(BF899&lt;11,"0-10 DAYS",IF(AND(BF899&gt;10,BF899&lt;31),"11-30 DAYS",IF((AND(BF899&gt;30,BF899&lt;61)),"31-60 DAYS",IF(AND(BF899&gt;60,BF899&lt;91),"61-90 DAYS",IF(AND(BF899&gt;90,BF899&lt;121),"91-120 DAYS",IF(AND(BF899&gt;120,BF899&lt;366),"121-365 DAYS",IF(AND(BF899&gt;365,BF899&lt;730)," &gt;1YRS&lt;2YRS",IF(AND(BF899&gt;729,BF899&lt;1095),"&gt;2YRS&lt;3YRS",IF(BF899&gt;1094,"&gt;3YRS")))))))))</f>
        <v>0-10 DAYS</v>
      </c>
      <c r="CJ899" s="137">
        <f t="shared" ref="CJ899:CJ962" si="692">IF(CI899="0-10 DAYS",1,IF(CI899="11-30 DAYS",2,IF(CI899="31-60 DAYS",3,IF(CI899="61-90 DAYS",4,IF(CK899="91-120 DAYS",5,IF(CI899="121-365 DAYS",6,IF(CI899="&gt;1YRS&lt;2YRS",7,IF(CI899="&gt;2YRS&lt;3YRS",8,IF(CI899="&gt;3YRS",9,0)))))))))</f>
        <v>1</v>
      </c>
      <c r="CK899" s="129" t="str">
        <f t="shared" ref="CK899:CK962" si="693">IF(I899="Not Booked","Not Booked","Booked")</f>
        <v>Booked</v>
      </c>
    </row>
    <row r="900" spans="1:89" ht="15" customHeight="1" x14ac:dyDescent="0.25">
      <c r="A900" s="111">
        <v>2324</v>
      </c>
      <c r="B900" s="128" t="str">
        <f t="shared" si="674"/>
        <v>N</v>
      </c>
      <c r="C900" s="128" t="str">
        <f t="shared" si="675"/>
        <v>N</v>
      </c>
      <c r="D900" s="117">
        <v>1632960</v>
      </c>
      <c r="E900" s="135">
        <f t="shared" si="676"/>
        <v>2</v>
      </c>
      <c r="F900" s="124">
        <v>40996</v>
      </c>
      <c r="G900" s="125">
        <v>41127</v>
      </c>
      <c r="H900" s="117">
        <v>1632960</v>
      </c>
      <c r="I900" s="124">
        <v>40996</v>
      </c>
      <c r="J900" s="124">
        <v>40998</v>
      </c>
      <c r="K900" s="126">
        <v>5000</v>
      </c>
      <c r="L900" s="127" t="s">
        <v>569</v>
      </c>
      <c r="M900" s="125">
        <v>40998</v>
      </c>
      <c r="N900" s="129" t="str">
        <f>IF(M900&gt;1/1/1,"Y","N")</f>
        <v>Y</v>
      </c>
      <c r="O900" s="128" t="s">
        <v>76</v>
      </c>
      <c r="P900" s="129" t="s">
        <v>589</v>
      </c>
      <c r="Q900" s="111">
        <f t="shared" si="666"/>
        <v>3</v>
      </c>
      <c r="R900" s="111">
        <f t="shared" si="670"/>
        <v>132</v>
      </c>
      <c r="S900" s="129">
        <v>0</v>
      </c>
      <c r="T900" s="129">
        <v>0</v>
      </c>
      <c r="W900" s="111"/>
      <c r="AC900" s="130"/>
      <c r="AD900" s="130">
        <v>16705</v>
      </c>
      <c r="AE900" s="128" t="s">
        <v>32</v>
      </c>
      <c r="AF900" s="128" t="s">
        <v>69</v>
      </c>
      <c r="AG900" s="128" t="s">
        <v>874</v>
      </c>
      <c r="AH900" s="108" t="s">
        <v>58</v>
      </c>
      <c r="AI900" s="128" t="s">
        <v>65</v>
      </c>
      <c r="AJ900" s="129" t="s">
        <v>48</v>
      </c>
      <c r="AK900" s="129">
        <v>6</v>
      </c>
      <c r="AL900" s="3" t="s">
        <v>48</v>
      </c>
      <c r="AP900" s="129" t="s">
        <v>410</v>
      </c>
      <c r="AR900" s="128" t="s">
        <v>67</v>
      </c>
      <c r="AS900" s="129" t="s">
        <v>64</v>
      </c>
      <c r="BC900" s="129" t="s">
        <v>52</v>
      </c>
      <c r="BF900" s="111">
        <f t="shared" si="668"/>
        <v>3</v>
      </c>
      <c r="BG900" s="111">
        <f t="shared" si="667"/>
        <v>132</v>
      </c>
      <c r="BH900" s="111">
        <f t="shared" si="671"/>
        <v>132</v>
      </c>
      <c r="BI900" s="111">
        <f t="shared" si="672"/>
        <v>66.368852459016395</v>
      </c>
      <c r="BJ900" s="129">
        <f>(G900-J900)+(M900-G900)</f>
        <v>0</v>
      </c>
      <c r="BK900" s="129">
        <f t="shared" si="673"/>
        <v>-129</v>
      </c>
      <c r="BL900" s="129" t="str">
        <f t="shared" si="657"/>
        <v>DEFERRED</v>
      </c>
      <c r="BM900" s="129" t="s">
        <v>76</v>
      </c>
      <c r="BN900" s="129" t="s">
        <v>88</v>
      </c>
      <c r="BP900" s="137" t="str">
        <f t="shared" si="679"/>
        <v>DEFERRED</v>
      </c>
      <c r="BQ900" s="128" t="str">
        <f t="shared" si="680"/>
        <v>Y</v>
      </c>
      <c r="BR900" s="129" t="str">
        <f t="shared" si="681"/>
        <v>ON BOND</v>
      </c>
      <c r="BS900" s="129" t="str">
        <f t="shared" si="682"/>
        <v>DISPOSED</v>
      </c>
      <c r="BT900" s="129" t="str">
        <f t="shared" si="683"/>
        <v>N</v>
      </c>
      <c r="BU900" s="109">
        <f t="shared" ref="BU900:BU962" si="694">Q900/R900</f>
        <v>2.2727272727272728E-2</v>
      </c>
      <c r="BV900" s="109">
        <f t="shared" si="684"/>
        <v>2.2727272727272728E-2</v>
      </c>
      <c r="BW900" s="109">
        <f t="shared" si="651"/>
        <v>0</v>
      </c>
      <c r="BX900" s="111">
        <f t="shared" si="685"/>
        <v>0</v>
      </c>
      <c r="BY900" s="129">
        <f t="shared" si="686"/>
        <v>-3</v>
      </c>
      <c r="BZ900" s="111">
        <f t="shared" si="687"/>
        <v>0</v>
      </c>
      <c r="CA900" s="138">
        <f t="shared" si="688"/>
        <v>3</v>
      </c>
      <c r="CB900" s="111" t="e">
        <f t="shared" si="669"/>
        <v>#VALUE!</v>
      </c>
      <c r="CC900" s="129">
        <f>M900-I900+1</f>
        <v>3</v>
      </c>
      <c r="CD900" s="111">
        <f>CC900-BF900</f>
        <v>0</v>
      </c>
      <c r="CE900" s="129">
        <f t="shared" si="689"/>
        <v>129</v>
      </c>
      <c r="CG900" s="129" t="str">
        <f t="shared" si="690"/>
        <v>N</v>
      </c>
      <c r="CI900" s="129" t="str">
        <f t="shared" si="691"/>
        <v>0-10 DAYS</v>
      </c>
      <c r="CJ900" s="137">
        <f t="shared" si="692"/>
        <v>1</v>
      </c>
      <c r="CK900" s="129" t="str">
        <f t="shared" si="693"/>
        <v>Booked</v>
      </c>
    </row>
    <row r="901" spans="1:89" ht="15.75" customHeight="1" x14ac:dyDescent="0.25">
      <c r="A901" s="111">
        <v>1716</v>
      </c>
      <c r="B901" s="128" t="str">
        <f t="shared" si="674"/>
        <v>N</v>
      </c>
      <c r="C901" s="128" t="str">
        <f t="shared" si="675"/>
        <v>N</v>
      </c>
      <c r="D901" s="117">
        <v>1633171</v>
      </c>
      <c r="E901" s="135">
        <f t="shared" si="676"/>
        <v>4</v>
      </c>
      <c r="F901" s="124">
        <v>40972</v>
      </c>
      <c r="G901" s="125">
        <v>41106</v>
      </c>
      <c r="H901" s="117">
        <v>1633171</v>
      </c>
      <c r="I901" s="124">
        <v>40975</v>
      </c>
      <c r="J901" s="124">
        <v>41106</v>
      </c>
      <c r="K901" s="126" t="s">
        <v>564</v>
      </c>
      <c r="L901" s="127" t="s">
        <v>564</v>
      </c>
      <c r="N901" s="129" t="s">
        <v>566</v>
      </c>
      <c r="O901" s="128" t="s">
        <v>917</v>
      </c>
      <c r="P901" s="129" t="s">
        <v>39</v>
      </c>
      <c r="Q901" s="111">
        <f t="shared" si="666"/>
        <v>132</v>
      </c>
      <c r="R901" s="111">
        <f t="shared" si="670"/>
        <v>135</v>
      </c>
      <c r="S901" s="129">
        <v>2</v>
      </c>
      <c r="T901" s="129">
        <v>1</v>
      </c>
      <c r="U901" s="129">
        <v>2</v>
      </c>
      <c r="W901" s="111"/>
      <c r="AC901" s="130"/>
      <c r="AD901" s="130">
        <v>29442</v>
      </c>
      <c r="AE901" s="128" t="s">
        <v>32</v>
      </c>
      <c r="AF901" s="128" t="s">
        <v>33</v>
      </c>
      <c r="AG901" s="128" t="s">
        <v>872</v>
      </c>
      <c r="AH901" s="108" t="s">
        <v>31</v>
      </c>
      <c r="AI901" s="128" t="s">
        <v>100</v>
      </c>
      <c r="AJ901" s="129" t="s">
        <v>89</v>
      </c>
      <c r="AK901" s="129">
        <v>7</v>
      </c>
      <c r="AL901" s="3" t="s">
        <v>991</v>
      </c>
      <c r="AO901" s="128">
        <v>260</v>
      </c>
      <c r="AP901" s="129" t="s">
        <v>110</v>
      </c>
      <c r="AR901" s="128" t="s">
        <v>50</v>
      </c>
      <c r="AS901" s="129" t="s">
        <v>74</v>
      </c>
      <c r="BC901" s="129" t="s">
        <v>52</v>
      </c>
      <c r="BF901" s="111">
        <f t="shared" si="668"/>
        <v>132</v>
      </c>
      <c r="BG901" s="111">
        <f t="shared" si="667"/>
        <v>132</v>
      </c>
      <c r="BH901" s="111">
        <f t="shared" si="671"/>
        <v>135</v>
      </c>
      <c r="BI901" s="111">
        <f t="shared" si="672"/>
        <v>31.502732240437158</v>
      </c>
      <c r="BJ901" s="129">
        <f t="shared" si="677"/>
        <v>0</v>
      </c>
      <c r="BK901" s="129">
        <f t="shared" si="673"/>
        <v>0</v>
      </c>
      <c r="BL901" s="129" t="str">
        <f t="shared" si="657"/>
        <v>CONVICTION</v>
      </c>
      <c r="BM901" s="129" t="str">
        <f t="shared" si="678"/>
        <v>NONE</v>
      </c>
      <c r="BN901" s="129" t="s">
        <v>566</v>
      </c>
      <c r="BP901" s="137" t="str">
        <f t="shared" si="679"/>
        <v>CONVICTION</v>
      </c>
      <c r="BQ901" s="128" t="str">
        <f t="shared" si="680"/>
        <v>Y</v>
      </c>
      <c r="BR901" s="129" t="str">
        <f t="shared" si="681"/>
        <v>DETAINED</v>
      </c>
      <c r="BS901" s="129" t="str">
        <f t="shared" si="682"/>
        <v>DISPOSED</v>
      </c>
      <c r="BT901" s="129" t="str">
        <f t="shared" si="683"/>
        <v>Y</v>
      </c>
      <c r="BU901" s="109">
        <f t="shared" si="694"/>
        <v>0.97777777777777775</v>
      </c>
      <c r="BV901" s="109">
        <f t="shared" si="684"/>
        <v>1</v>
      </c>
      <c r="BW901" s="109">
        <f t="shared" si="651"/>
        <v>2.2222222222222254E-2</v>
      </c>
      <c r="BX901" s="111">
        <f t="shared" si="685"/>
        <v>0</v>
      </c>
      <c r="BY901" s="129">
        <f t="shared" si="686"/>
        <v>-132</v>
      </c>
      <c r="BZ901" s="111">
        <f t="shared" si="687"/>
        <v>0</v>
      </c>
      <c r="CA901" s="138">
        <f t="shared" si="688"/>
        <v>132</v>
      </c>
      <c r="CB901" s="111" t="e">
        <f t="shared" si="669"/>
        <v>#VALUE!</v>
      </c>
      <c r="CC901" s="129">
        <f>G901-I901+1</f>
        <v>132</v>
      </c>
      <c r="CD901" s="129">
        <f>G901-J901</f>
        <v>0</v>
      </c>
      <c r="CE901" s="129">
        <f t="shared" si="689"/>
        <v>0</v>
      </c>
      <c r="CG901" s="129" t="str">
        <f t="shared" si="690"/>
        <v>Y</v>
      </c>
      <c r="CI901" s="129" t="str">
        <f t="shared" si="691"/>
        <v>121-365 DAYS</v>
      </c>
      <c r="CJ901" s="137">
        <f t="shared" si="692"/>
        <v>6</v>
      </c>
      <c r="CK901" s="129" t="str">
        <f t="shared" si="693"/>
        <v>Booked</v>
      </c>
    </row>
    <row r="902" spans="1:89" ht="15.75" customHeight="1" x14ac:dyDescent="0.25">
      <c r="A902" s="111">
        <v>2760</v>
      </c>
      <c r="B902" s="128" t="str">
        <f t="shared" si="674"/>
        <v>N</v>
      </c>
      <c r="C902" s="128" t="str">
        <f t="shared" si="675"/>
        <v>N</v>
      </c>
      <c r="D902" s="117">
        <v>1633975</v>
      </c>
      <c r="E902" s="135">
        <f t="shared" si="676"/>
        <v>1</v>
      </c>
      <c r="F902" s="124">
        <v>41011</v>
      </c>
      <c r="G902" s="125">
        <v>41012</v>
      </c>
      <c r="H902" s="117">
        <v>1633975</v>
      </c>
      <c r="I902" s="124">
        <v>41011</v>
      </c>
      <c r="J902" s="124">
        <v>41012</v>
      </c>
      <c r="K902" s="126">
        <v>15000</v>
      </c>
      <c r="L902" s="127" t="s">
        <v>571</v>
      </c>
      <c r="N902" s="129" t="str">
        <f>IF(M902&gt;1/1/1,"Y","N")</f>
        <v>N</v>
      </c>
      <c r="O902" s="128" t="s">
        <v>917</v>
      </c>
      <c r="P902" s="129" t="s">
        <v>55</v>
      </c>
      <c r="Q902" s="111">
        <f t="shared" si="666"/>
        <v>2</v>
      </c>
      <c r="R902" s="111">
        <f t="shared" si="670"/>
        <v>2</v>
      </c>
      <c r="S902" s="129">
        <v>9</v>
      </c>
      <c r="T902" s="129">
        <v>5</v>
      </c>
      <c r="U902" s="129">
        <v>6</v>
      </c>
      <c r="W902" s="111"/>
      <c r="AC902" s="130"/>
      <c r="AD902" s="130">
        <v>28247</v>
      </c>
      <c r="AE902" s="128" t="s">
        <v>32</v>
      </c>
      <c r="AF902" s="128" t="s">
        <v>33</v>
      </c>
      <c r="AG902" s="128" t="s">
        <v>872</v>
      </c>
      <c r="AH902" s="108" t="s">
        <v>31</v>
      </c>
      <c r="AI902" s="128" t="s">
        <v>70</v>
      </c>
      <c r="AJ902" s="129" t="s">
        <v>55</v>
      </c>
      <c r="AK902" s="129">
        <v>1</v>
      </c>
      <c r="AL902" s="3" t="s">
        <v>55</v>
      </c>
      <c r="AP902" s="129" t="s">
        <v>43</v>
      </c>
      <c r="AR902" s="128" t="s">
        <v>44</v>
      </c>
      <c r="AS902" s="129" t="s">
        <v>45</v>
      </c>
      <c r="AT902" s="129" t="s">
        <v>1210</v>
      </c>
      <c r="BC902" s="129" t="s">
        <v>79</v>
      </c>
      <c r="BF902" s="111">
        <f t="shared" si="668"/>
        <v>2</v>
      </c>
      <c r="BG902" s="111">
        <f t="shared" si="667"/>
        <v>2</v>
      </c>
      <c r="BH902" s="111">
        <f t="shared" si="671"/>
        <v>2</v>
      </c>
      <c r="BI902" s="111">
        <f t="shared" si="672"/>
        <v>34.874316939890711</v>
      </c>
      <c r="BJ902" s="129">
        <f t="shared" si="677"/>
        <v>0</v>
      </c>
      <c r="BK902" s="129">
        <f t="shared" si="673"/>
        <v>0</v>
      </c>
      <c r="BL902" s="129" t="str">
        <f t="shared" si="657"/>
        <v>NO CONVICTION</v>
      </c>
      <c r="BM902" s="129" t="str">
        <f t="shared" si="678"/>
        <v>NONE</v>
      </c>
      <c r="BN902" s="129" t="s">
        <v>566</v>
      </c>
      <c r="BP902" s="137" t="str">
        <f t="shared" si="679"/>
        <v>NO CONVICTION</v>
      </c>
      <c r="BQ902" s="128" t="str">
        <f t="shared" si="680"/>
        <v>Y</v>
      </c>
      <c r="BR902" s="129" t="str">
        <f t="shared" si="681"/>
        <v>DETAINED</v>
      </c>
      <c r="BS902" s="129" t="str">
        <f t="shared" si="682"/>
        <v>DISPOSED</v>
      </c>
      <c r="BT902" s="129" t="str">
        <f t="shared" si="683"/>
        <v>Y</v>
      </c>
      <c r="BU902" s="109">
        <f>IFERROR(Q902/R902,BR902)</f>
        <v>1</v>
      </c>
      <c r="BV902" s="109">
        <f t="shared" si="684"/>
        <v>1</v>
      </c>
      <c r="BW902" s="109">
        <f t="shared" si="651"/>
        <v>0</v>
      </c>
      <c r="BX902" s="111">
        <f t="shared" si="685"/>
        <v>0</v>
      </c>
      <c r="BY902" s="129">
        <f t="shared" si="686"/>
        <v>-2</v>
      </c>
      <c r="BZ902" s="111">
        <f t="shared" si="687"/>
        <v>0</v>
      </c>
      <c r="CA902" s="138">
        <f t="shared" si="688"/>
        <v>2</v>
      </c>
      <c r="CB902" s="111" t="e">
        <f t="shared" si="669"/>
        <v>#VALUE!</v>
      </c>
      <c r="CC902" s="129">
        <f>G902-I902+1</f>
        <v>2</v>
      </c>
      <c r="CD902" s="129">
        <f>G902-J902</f>
        <v>0</v>
      </c>
      <c r="CE902" s="129">
        <f t="shared" si="689"/>
        <v>0</v>
      </c>
      <c r="CG902" s="129" t="str">
        <f t="shared" si="690"/>
        <v>Y</v>
      </c>
      <c r="CI902" s="129" t="str">
        <f t="shared" si="691"/>
        <v>0-10 DAYS</v>
      </c>
      <c r="CJ902" s="137">
        <f t="shared" si="692"/>
        <v>1</v>
      </c>
      <c r="CK902" s="129" t="str">
        <f t="shared" si="693"/>
        <v>Booked</v>
      </c>
    </row>
    <row r="903" spans="1:89" ht="15" customHeight="1" x14ac:dyDescent="0.25">
      <c r="A903" s="111">
        <v>2647</v>
      </c>
      <c r="B903" s="128" t="str">
        <f t="shared" si="674"/>
        <v>N</v>
      </c>
      <c r="C903" s="128" t="str">
        <f t="shared" si="675"/>
        <v>N</v>
      </c>
      <c r="D903" s="117">
        <v>1634042</v>
      </c>
      <c r="E903" s="135">
        <f t="shared" si="676"/>
        <v>2</v>
      </c>
      <c r="F903" s="124">
        <v>41007</v>
      </c>
      <c r="G903" s="125">
        <v>41012</v>
      </c>
      <c r="H903" s="117">
        <v>1634042</v>
      </c>
      <c r="I903" s="124">
        <v>41007</v>
      </c>
      <c r="J903" s="124">
        <v>41012</v>
      </c>
      <c r="K903" s="126">
        <v>30000</v>
      </c>
      <c r="L903" s="129" t="s">
        <v>572</v>
      </c>
      <c r="N903" s="129" t="str">
        <f>IF(M903&gt;1/1/1,"Y","N")</f>
        <v>N</v>
      </c>
      <c r="O903" s="128" t="s">
        <v>917</v>
      </c>
      <c r="P903" s="129" t="s">
        <v>589</v>
      </c>
      <c r="Q903" s="111">
        <f t="shared" si="666"/>
        <v>6</v>
      </c>
      <c r="R903" s="111">
        <f t="shared" si="670"/>
        <v>6</v>
      </c>
      <c r="S903" s="129">
        <v>1</v>
      </c>
      <c r="T903" s="129">
        <v>1</v>
      </c>
      <c r="W903" s="111"/>
      <c r="AC903" s="130"/>
      <c r="AD903" s="130">
        <v>28373</v>
      </c>
      <c r="AE903" s="128" t="s">
        <v>46</v>
      </c>
      <c r="AF903" s="128" t="s">
        <v>69</v>
      </c>
      <c r="AG903" s="128" t="s">
        <v>874</v>
      </c>
      <c r="AH903" s="108" t="s">
        <v>58</v>
      </c>
      <c r="AI903" s="128" t="s">
        <v>80</v>
      </c>
      <c r="AJ903" s="129" t="s">
        <v>48</v>
      </c>
      <c r="AK903" s="129">
        <v>3</v>
      </c>
      <c r="AL903" s="3" t="s">
        <v>48</v>
      </c>
      <c r="AP903" s="129" t="s">
        <v>81</v>
      </c>
      <c r="AR903" s="128" t="s">
        <v>50</v>
      </c>
      <c r="AS903" s="129" t="s">
        <v>82</v>
      </c>
      <c r="AT903" s="32" t="s">
        <v>468</v>
      </c>
      <c r="BC903" s="129" t="s">
        <v>38</v>
      </c>
      <c r="BF903" s="111">
        <f t="shared" si="668"/>
        <v>6</v>
      </c>
      <c r="BG903" s="111">
        <f t="shared" si="667"/>
        <v>6</v>
      </c>
      <c r="BH903" s="111">
        <f t="shared" si="671"/>
        <v>6</v>
      </c>
      <c r="BI903" s="111">
        <f t="shared" si="672"/>
        <v>34.519125683060111</v>
      </c>
      <c r="BJ903" s="129">
        <f t="shared" si="677"/>
        <v>0</v>
      </c>
      <c r="BK903" s="129">
        <f t="shared" si="673"/>
        <v>0</v>
      </c>
      <c r="BL903" s="129" t="str">
        <f t="shared" si="657"/>
        <v>DEFERRED</v>
      </c>
      <c r="BM903" s="129" t="str">
        <f t="shared" si="678"/>
        <v>NONE</v>
      </c>
      <c r="BN903" s="129" t="s">
        <v>566</v>
      </c>
      <c r="BP903" s="137" t="str">
        <f t="shared" si="679"/>
        <v>DEFERRED</v>
      </c>
      <c r="BQ903" s="128" t="str">
        <f t="shared" si="680"/>
        <v>Y</v>
      </c>
      <c r="BR903" s="129" t="str">
        <f t="shared" si="681"/>
        <v>DETAINED</v>
      </c>
      <c r="BS903" s="129" t="str">
        <f t="shared" si="682"/>
        <v>DISPOSED</v>
      </c>
      <c r="BT903" s="129" t="str">
        <f t="shared" si="683"/>
        <v>Y</v>
      </c>
      <c r="BU903" s="109">
        <f t="shared" si="694"/>
        <v>1</v>
      </c>
      <c r="BV903" s="109">
        <f t="shared" si="684"/>
        <v>1</v>
      </c>
      <c r="BW903" s="109">
        <f t="shared" si="651"/>
        <v>0</v>
      </c>
      <c r="BX903" s="111">
        <f t="shared" si="685"/>
        <v>0</v>
      </c>
      <c r="BY903" s="129">
        <f t="shared" si="686"/>
        <v>-6</v>
      </c>
      <c r="BZ903" s="111">
        <f t="shared" si="687"/>
        <v>0</v>
      </c>
      <c r="CA903" s="138">
        <f t="shared" si="688"/>
        <v>6</v>
      </c>
      <c r="CB903" s="111" t="e">
        <f t="shared" si="669"/>
        <v>#VALUE!</v>
      </c>
      <c r="CC903" s="129">
        <f>G903-I903+1</f>
        <v>6</v>
      </c>
      <c r="CD903" s="129">
        <f>G903-J903</f>
        <v>0</v>
      </c>
      <c r="CE903" s="129">
        <f t="shared" si="689"/>
        <v>0</v>
      </c>
      <c r="CG903" s="129" t="str">
        <f t="shared" si="690"/>
        <v>Y</v>
      </c>
      <c r="CI903" s="129" t="str">
        <f t="shared" si="691"/>
        <v>0-10 DAYS</v>
      </c>
      <c r="CJ903" s="137">
        <f t="shared" si="692"/>
        <v>1</v>
      </c>
      <c r="CK903" s="129" t="str">
        <f t="shared" si="693"/>
        <v>Booked</v>
      </c>
    </row>
    <row r="904" spans="1:89" ht="15" customHeight="1" x14ac:dyDescent="0.25">
      <c r="A904" s="111">
        <v>477</v>
      </c>
      <c r="B904" s="128" t="str">
        <f t="shared" si="674"/>
        <v>N</v>
      </c>
      <c r="C904" s="128" t="str">
        <f t="shared" si="675"/>
        <v>N</v>
      </c>
      <c r="D904" s="117">
        <v>1634879</v>
      </c>
      <c r="E904" s="135">
        <f t="shared" si="676"/>
        <v>6</v>
      </c>
      <c r="F904" s="124">
        <v>40914</v>
      </c>
      <c r="G904" s="125">
        <v>40967</v>
      </c>
      <c r="H904" s="117">
        <v>1634879</v>
      </c>
      <c r="I904" s="124">
        <v>40928</v>
      </c>
      <c r="J904" s="124">
        <v>40967</v>
      </c>
      <c r="K904" s="126">
        <v>10000</v>
      </c>
      <c r="L904" s="127" t="s">
        <v>570</v>
      </c>
      <c r="M904" s="125">
        <v>40915</v>
      </c>
      <c r="N904" s="129" t="str">
        <f>IF(M904&gt;1/1/1,"Y","N")</f>
        <v>Y</v>
      </c>
      <c r="O904" s="128" t="s">
        <v>76</v>
      </c>
      <c r="P904" s="129" t="s">
        <v>77</v>
      </c>
      <c r="Q904" s="111">
        <f t="shared" si="666"/>
        <v>40</v>
      </c>
      <c r="R904" s="111">
        <f t="shared" si="670"/>
        <v>54</v>
      </c>
      <c r="S904" s="129">
        <v>2</v>
      </c>
      <c r="T904" s="129">
        <v>4</v>
      </c>
      <c r="U904" s="129">
        <v>1</v>
      </c>
      <c r="W904" s="111"/>
      <c r="AC904" s="130"/>
      <c r="AD904" s="130">
        <v>29161</v>
      </c>
      <c r="AE904" s="128" t="s">
        <v>32</v>
      </c>
      <c r="AF904" s="128" t="s">
        <v>69</v>
      </c>
      <c r="AG904" s="128" t="s">
        <v>874</v>
      </c>
      <c r="AH904" s="108" t="s">
        <v>58</v>
      </c>
      <c r="AI904" s="128" t="s">
        <v>34</v>
      </c>
      <c r="AJ904" s="129" t="s">
        <v>89</v>
      </c>
      <c r="AK904" s="129">
        <v>3</v>
      </c>
      <c r="AL904" s="3" t="s">
        <v>362</v>
      </c>
      <c r="AM904" s="117">
        <v>2</v>
      </c>
      <c r="AP904" s="129" t="s">
        <v>212</v>
      </c>
      <c r="AR904" s="128" t="s">
        <v>67</v>
      </c>
      <c r="AS904" s="129" t="s">
        <v>82</v>
      </c>
      <c r="BC904" s="129" t="s">
        <v>38</v>
      </c>
      <c r="BF904" s="111">
        <f t="shared" si="668"/>
        <v>40</v>
      </c>
      <c r="BG904" s="111">
        <f t="shared" si="667"/>
        <v>40</v>
      </c>
      <c r="BH904" s="111">
        <f t="shared" si="671"/>
        <v>54</v>
      </c>
      <c r="BI904" s="111">
        <f t="shared" si="672"/>
        <v>32.112021857923494</v>
      </c>
      <c r="BJ904" s="129">
        <f>G904-J904</f>
        <v>0</v>
      </c>
      <c r="BK904" s="129">
        <f t="shared" si="673"/>
        <v>0</v>
      </c>
      <c r="BL904" s="129" t="str">
        <f t="shared" si="657"/>
        <v>CONVICTION</v>
      </c>
      <c r="BM904" s="129" t="s">
        <v>76</v>
      </c>
      <c r="BN904" s="129" t="s">
        <v>88</v>
      </c>
      <c r="BP904" s="137" t="str">
        <f t="shared" si="679"/>
        <v>CONVICTION</v>
      </c>
      <c r="BQ904" s="128" t="str">
        <f t="shared" si="680"/>
        <v>Y</v>
      </c>
      <c r="BR904" s="129" t="str">
        <f t="shared" si="681"/>
        <v>ON BOND</v>
      </c>
      <c r="BS904" s="129" t="str">
        <f t="shared" si="682"/>
        <v>DISPOSED</v>
      </c>
      <c r="BT904" s="129" t="str">
        <f t="shared" si="683"/>
        <v>Y</v>
      </c>
      <c r="BU904" s="109">
        <f t="shared" si="694"/>
        <v>0.7407407407407407</v>
      </c>
      <c r="BV904" s="109">
        <f t="shared" si="684"/>
        <v>1</v>
      </c>
      <c r="BW904" s="109">
        <f t="shared" ref="BW904:BW940" si="695">BV904-BU904</f>
        <v>0.2592592592592593</v>
      </c>
      <c r="BX904" s="111">
        <f t="shared" si="685"/>
        <v>0</v>
      </c>
      <c r="BY904" s="129">
        <f t="shared" si="686"/>
        <v>-40</v>
      </c>
      <c r="BZ904" s="111">
        <f t="shared" si="687"/>
        <v>0</v>
      </c>
      <c r="CA904" s="138">
        <f t="shared" si="688"/>
        <v>-12</v>
      </c>
      <c r="CB904" s="111" t="e">
        <f t="shared" si="669"/>
        <v>#VALUE!</v>
      </c>
      <c r="CC904" s="129">
        <f>M904-I904+1</f>
        <v>-12</v>
      </c>
      <c r="CD904" s="111">
        <f>CC904-BF904</f>
        <v>-52</v>
      </c>
      <c r="CE904" s="129">
        <f t="shared" si="689"/>
        <v>0</v>
      </c>
      <c r="CG904" s="129" t="str">
        <f t="shared" si="690"/>
        <v>Y</v>
      </c>
      <c r="CI904" s="129" t="str">
        <f t="shared" si="691"/>
        <v>31-60 DAYS</v>
      </c>
      <c r="CJ904" s="137">
        <f t="shared" si="692"/>
        <v>3</v>
      </c>
      <c r="CK904" s="129" t="str">
        <f t="shared" si="693"/>
        <v>Booked</v>
      </c>
    </row>
    <row r="905" spans="1:89" ht="15.75" customHeight="1" x14ac:dyDescent="0.25">
      <c r="A905" s="111">
        <v>1571</v>
      </c>
      <c r="B905" s="128" t="str">
        <f t="shared" si="674"/>
        <v>N</v>
      </c>
      <c r="C905" s="128" t="str">
        <f t="shared" si="675"/>
        <v>N</v>
      </c>
      <c r="D905" s="117">
        <v>1635268</v>
      </c>
      <c r="E905" s="135">
        <f t="shared" si="676"/>
        <v>5</v>
      </c>
      <c r="F905" s="124">
        <v>40967</v>
      </c>
      <c r="G905" s="125">
        <v>40969</v>
      </c>
      <c r="H905" s="117">
        <v>1635268</v>
      </c>
      <c r="I905" s="124">
        <v>40967</v>
      </c>
      <c r="J905" s="124">
        <v>40969</v>
      </c>
      <c r="K905" s="126">
        <v>15000</v>
      </c>
      <c r="L905" s="127" t="s">
        <v>571</v>
      </c>
      <c r="N905" s="129" t="str">
        <f>IF(M905&gt;1/1/1,"Y","N")</f>
        <v>N</v>
      </c>
      <c r="O905" s="128" t="s">
        <v>917</v>
      </c>
      <c r="P905" s="129" t="s">
        <v>39</v>
      </c>
      <c r="Q905" s="111">
        <f t="shared" si="666"/>
        <v>3</v>
      </c>
      <c r="R905" s="111">
        <f t="shared" si="670"/>
        <v>3</v>
      </c>
      <c r="S905" s="129">
        <v>5</v>
      </c>
      <c r="T905" s="129">
        <v>2</v>
      </c>
      <c r="U905" s="129">
        <v>1</v>
      </c>
      <c r="W905" s="111"/>
      <c r="AC905" s="130"/>
      <c r="AD905" s="130">
        <v>24791</v>
      </c>
      <c r="AE905" s="128" t="s">
        <v>32</v>
      </c>
      <c r="AF905" s="128" t="s">
        <v>33</v>
      </c>
      <c r="AG905" s="128" t="s">
        <v>872</v>
      </c>
      <c r="AH905" s="108" t="s">
        <v>58</v>
      </c>
      <c r="AI905" s="128" t="s">
        <v>100</v>
      </c>
      <c r="AJ905" s="129" t="s">
        <v>89</v>
      </c>
      <c r="AK905" s="129">
        <v>2</v>
      </c>
      <c r="AL905" s="3" t="s">
        <v>992</v>
      </c>
      <c r="AN905" s="117">
        <v>6</v>
      </c>
      <c r="AP905" s="129" t="s">
        <v>43</v>
      </c>
      <c r="AR905" s="128" t="s">
        <v>44</v>
      </c>
      <c r="AS905" s="129" t="s">
        <v>45</v>
      </c>
      <c r="BC905" s="129" t="s">
        <v>38</v>
      </c>
      <c r="BF905" s="111">
        <f t="shared" si="668"/>
        <v>3</v>
      </c>
      <c r="BG905" s="111">
        <f t="shared" si="667"/>
        <v>3</v>
      </c>
      <c r="BH905" s="111">
        <f t="shared" si="671"/>
        <v>3</v>
      </c>
      <c r="BI905" s="111">
        <f t="shared" si="672"/>
        <v>44.196721311475407</v>
      </c>
      <c r="BJ905" s="129">
        <f t="shared" si="677"/>
        <v>0</v>
      </c>
      <c r="BK905" s="129">
        <f t="shared" si="673"/>
        <v>0</v>
      </c>
      <c r="BL905" s="129" t="str">
        <f t="shared" si="657"/>
        <v>CONVICTION</v>
      </c>
      <c r="BM905" s="129" t="str">
        <f t="shared" si="678"/>
        <v>NONE</v>
      </c>
      <c r="BN905" s="129" t="s">
        <v>566</v>
      </c>
      <c r="BP905" s="137" t="str">
        <f t="shared" si="679"/>
        <v>CONVICTION</v>
      </c>
      <c r="BQ905" s="128" t="str">
        <f t="shared" si="680"/>
        <v>Y</v>
      </c>
      <c r="BR905" s="129" t="str">
        <f t="shared" si="681"/>
        <v>DETAINED</v>
      </c>
      <c r="BS905" s="129" t="str">
        <f t="shared" si="682"/>
        <v>DISPOSED</v>
      </c>
      <c r="BT905" s="129" t="str">
        <f t="shared" si="683"/>
        <v>Y</v>
      </c>
      <c r="BU905" s="109">
        <f t="shared" si="694"/>
        <v>1</v>
      </c>
      <c r="BV905" s="109">
        <f t="shared" si="684"/>
        <v>1</v>
      </c>
      <c r="BW905" s="109">
        <f t="shared" si="695"/>
        <v>0</v>
      </c>
      <c r="BX905" s="111">
        <f t="shared" si="685"/>
        <v>0</v>
      </c>
      <c r="BY905" s="129">
        <f t="shared" si="686"/>
        <v>-3</v>
      </c>
      <c r="BZ905" s="111">
        <f t="shared" si="687"/>
        <v>0</v>
      </c>
      <c r="CA905" s="138">
        <f t="shared" si="688"/>
        <v>3</v>
      </c>
      <c r="CB905" s="111" t="e">
        <f t="shared" si="669"/>
        <v>#VALUE!</v>
      </c>
      <c r="CC905" s="129">
        <f>G905-I905+1</f>
        <v>3</v>
      </c>
      <c r="CD905" s="129">
        <f>G905-J905</f>
        <v>0</v>
      </c>
      <c r="CE905" s="129">
        <f t="shared" si="689"/>
        <v>0</v>
      </c>
      <c r="CG905" s="129" t="str">
        <f t="shared" si="690"/>
        <v>Y</v>
      </c>
      <c r="CI905" s="129" t="str">
        <f t="shared" si="691"/>
        <v>0-10 DAYS</v>
      </c>
      <c r="CJ905" s="137">
        <f t="shared" si="692"/>
        <v>1</v>
      </c>
      <c r="CK905" s="129" t="str">
        <f t="shared" si="693"/>
        <v>Booked</v>
      </c>
    </row>
    <row r="906" spans="1:89" ht="15" customHeight="1" x14ac:dyDescent="0.25">
      <c r="A906" s="111">
        <v>2532</v>
      </c>
      <c r="B906" s="128" t="str">
        <f t="shared" si="674"/>
        <v>N</v>
      </c>
      <c r="C906" s="128" t="str">
        <f t="shared" si="675"/>
        <v>N</v>
      </c>
      <c r="D906" s="117">
        <v>1635403</v>
      </c>
      <c r="E906" s="135">
        <f t="shared" si="676"/>
        <v>1</v>
      </c>
      <c r="F906" s="124">
        <v>41003</v>
      </c>
      <c r="G906" s="125">
        <v>41100</v>
      </c>
      <c r="H906" s="117">
        <v>1635403</v>
      </c>
      <c r="I906" s="124">
        <v>41004</v>
      </c>
      <c r="J906" s="124">
        <v>41005</v>
      </c>
      <c r="K906" s="126">
        <v>5000</v>
      </c>
      <c r="L906" s="127" t="s">
        <v>569</v>
      </c>
      <c r="M906" s="125">
        <v>41005</v>
      </c>
      <c r="N906" s="129" t="str">
        <f>IF(M906&gt;1/1/1,"Y","N")</f>
        <v>Y</v>
      </c>
      <c r="O906" s="128" t="s">
        <v>76</v>
      </c>
      <c r="P906" s="129" t="s">
        <v>55</v>
      </c>
      <c r="Q906" s="111">
        <f t="shared" si="666"/>
        <v>2</v>
      </c>
      <c r="R906" s="111">
        <f t="shared" si="670"/>
        <v>98</v>
      </c>
      <c r="S906" s="129">
        <v>2</v>
      </c>
      <c r="T906" s="129">
        <v>2</v>
      </c>
      <c r="U906" s="129">
        <v>2</v>
      </c>
      <c r="W906" s="111"/>
      <c r="AC906" s="130"/>
      <c r="AD906" s="130">
        <v>28689</v>
      </c>
      <c r="AE906" s="128" t="s">
        <v>32</v>
      </c>
      <c r="AF906" s="128" t="s">
        <v>33</v>
      </c>
      <c r="AG906" s="128" t="s">
        <v>872</v>
      </c>
      <c r="AH906" s="108" t="s">
        <v>31</v>
      </c>
      <c r="AI906" s="128" t="s">
        <v>95</v>
      </c>
      <c r="AJ906" s="129" t="s">
        <v>55</v>
      </c>
      <c r="AK906" s="129">
        <v>4</v>
      </c>
      <c r="AL906" s="3" t="s">
        <v>55</v>
      </c>
      <c r="AP906" s="129" t="s">
        <v>43</v>
      </c>
      <c r="AR906" s="128" t="s">
        <v>44</v>
      </c>
      <c r="AS906" s="129" t="s">
        <v>45</v>
      </c>
      <c r="BC906" s="129" t="s">
        <v>52</v>
      </c>
      <c r="BF906" s="111">
        <f t="shared" si="668"/>
        <v>2</v>
      </c>
      <c r="BG906" s="111">
        <f t="shared" si="667"/>
        <v>97</v>
      </c>
      <c r="BH906" s="111">
        <f t="shared" si="671"/>
        <v>98</v>
      </c>
      <c r="BI906" s="111">
        <f t="shared" si="672"/>
        <v>33.644808743169399</v>
      </c>
      <c r="BJ906" s="129">
        <f>(G906-J906)+(M906-G906)</f>
        <v>0</v>
      </c>
      <c r="BK906" s="129">
        <f t="shared" si="673"/>
        <v>-95</v>
      </c>
      <c r="BL906" s="129" t="str">
        <f t="shared" si="657"/>
        <v>NO CONVICTION</v>
      </c>
      <c r="BM906" s="129" t="s">
        <v>76</v>
      </c>
      <c r="BN906" s="129" t="s">
        <v>88</v>
      </c>
      <c r="BP906" s="137" t="str">
        <f t="shared" si="679"/>
        <v>NO CONVICTION</v>
      </c>
      <c r="BQ906" s="128" t="str">
        <f t="shared" si="680"/>
        <v>Y</v>
      </c>
      <c r="BR906" s="129" t="str">
        <f t="shared" si="681"/>
        <v>ON BOND</v>
      </c>
      <c r="BS906" s="129" t="str">
        <f t="shared" si="682"/>
        <v>DISPOSED</v>
      </c>
      <c r="BT906" s="129" t="str">
        <f t="shared" si="683"/>
        <v>Y</v>
      </c>
      <c r="BU906" s="109">
        <f>IFERROR(Q906/R906,BR906)</f>
        <v>2.0408163265306121E-2</v>
      </c>
      <c r="BV906" s="109">
        <f t="shared" si="684"/>
        <v>2.0618556701030927E-2</v>
      </c>
      <c r="BW906" s="109">
        <f t="shared" si="695"/>
        <v>2.1039343572480662E-4</v>
      </c>
      <c r="BX906" s="111">
        <f t="shared" si="685"/>
        <v>0</v>
      </c>
      <c r="BY906" s="129">
        <f t="shared" si="686"/>
        <v>-2</v>
      </c>
      <c r="BZ906" s="111">
        <f t="shared" si="687"/>
        <v>0</v>
      </c>
      <c r="CA906" s="138">
        <f t="shared" si="688"/>
        <v>2</v>
      </c>
      <c r="CB906" s="111" t="e">
        <f t="shared" si="669"/>
        <v>#VALUE!</v>
      </c>
      <c r="CC906" s="129">
        <f>M906-I906+1</f>
        <v>2</v>
      </c>
      <c r="CD906" s="111">
        <f>CC906-BF906</f>
        <v>0</v>
      </c>
      <c r="CE906" s="129">
        <f t="shared" si="689"/>
        <v>95</v>
      </c>
      <c r="CG906" s="129" t="str">
        <f t="shared" si="690"/>
        <v>Y</v>
      </c>
      <c r="CI906" s="129" t="str">
        <f t="shared" si="691"/>
        <v>0-10 DAYS</v>
      </c>
      <c r="CJ906" s="137">
        <f t="shared" si="692"/>
        <v>1</v>
      </c>
      <c r="CK906" s="129" t="str">
        <f t="shared" si="693"/>
        <v>Booked</v>
      </c>
    </row>
    <row r="907" spans="1:89" ht="15.75" customHeight="1" x14ac:dyDescent="0.25">
      <c r="A907" s="111">
        <v>659</v>
      </c>
      <c r="B907" s="128" t="str">
        <f t="shared" si="674"/>
        <v>N</v>
      </c>
      <c r="C907" s="128" t="str">
        <f t="shared" si="675"/>
        <v>N</v>
      </c>
      <c r="D907" s="117">
        <v>1635437</v>
      </c>
      <c r="E907" s="135">
        <f t="shared" si="676"/>
        <v>6</v>
      </c>
      <c r="F907" s="124">
        <v>40935</v>
      </c>
      <c r="G907" s="125">
        <v>40941</v>
      </c>
      <c r="H907" s="117">
        <v>1635437</v>
      </c>
      <c r="I907" s="124">
        <v>40935</v>
      </c>
      <c r="J907" s="124">
        <v>40941</v>
      </c>
      <c r="K907" s="126" t="s">
        <v>564</v>
      </c>
      <c r="L907" s="127" t="s">
        <v>564</v>
      </c>
      <c r="N907" s="129" t="s">
        <v>566</v>
      </c>
      <c r="O907" s="128" t="s">
        <v>917</v>
      </c>
      <c r="P907" s="129" t="s">
        <v>39</v>
      </c>
      <c r="Q907" s="111">
        <f t="shared" si="666"/>
        <v>7</v>
      </c>
      <c r="R907" s="111">
        <f t="shared" si="670"/>
        <v>7</v>
      </c>
      <c r="S907" s="129">
        <v>3</v>
      </c>
      <c r="T907" s="129">
        <v>3</v>
      </c>
      <c r="U907" s="129">
        <v>3</v>
      </c>
      <c r="W907" s="111"/>
      <c r="AC907" s="130"/>
      <c r="AD907" s="130">
        <v>29281</v>
      </c>
      <c r="AE907" s="128" t="s">
        <v>32</v>
      </c>
      <c r="AF907" s="128" t="s">
        <v>33</v>
      </c>
      <c r="AG907" s="128" t="s">
        <v>872</v>
      </c>
      <c r="AH907" s="108" t="s">
        <v>58</v>
      </c>
      <c r="AI907" s="128" t="s">
        <v>80</v>
      </c>
      <c r="AJ907" s="129" t="s">
        <v>89</v>
      </c>
      <c r="AK907" s="129">
        <v>3</v>
      </c>
      <c r="AL907" s="3" t="s">
        <v>362</v>
      </c>
      <c r="AM907" s="117">
        <v>3</v>
      </c>
      <c r="AP907" s="129" t="s">
        <v>49</v>
      </c>
      <c r="AR907" s="128" t="s">
        <v>50</v>
      </c>
      <c r="AS907" s="129" t="s">
        <v>45</v>
      </c>
      <c r="BC907" s="129" t="s">
        <v>52</v>
      </c>
      <c r="BF907" s="111">
        <f t="shared" si="668"/>
        <v>7</v>
      </c>
      <c r="BG907" s="111">
        <f t="shared" si="667"/>
        <v>7</v>
      </c>
      <c r="BH907" s="111">
        <f t="shared" si="671"/>
        <v>7</v>
      </c>
      <c r="BI907" s="111">
        <f t="shared" si="672"/>
        <v>31.84153005464481</v>
      </c>
      <c r="BJ907" s="129">
        <f t="shared" si="677"/>
        <v>0</v>
      </c>
      <c r="BK907" s="129">
        <f t="shared" si="673"/>
        <v>0</v>
      </c>
      <c r="BL907" s="129" t="str">
        <f t="shared" si="657"/>
        <v>CONVICTION</v>
      </c>
      <c r="BM907" s="129" t="str">
        <f t="shared" si="678"/>
        <v>NONE</v>
      </c>
      <c r="BN907" s="129" t="s">
        <v>566</v>
      </c>
      <c r="BP907" s="137" t="str">
        <f t="shared" si="679"/>
        <v>CONVICTION</v>
      </c>
      <c r="BQ907" s="128" t="str">
        <f t="shared" si="680"/>
        <v>Y</v>
      </c>
      <c r="BR907" s="129" t="str">
        <f t="shared" si="681"/>
        <v>DETAINED</v>
      </c>
      <c r="BS907" s="129" t="str">
        <f t="shared" si="682"/>
        <v>DISPOSED</v>
      </c>
      <c r="BT907" s="129" t="str">
        <f t="shared" si="683"/>
        <v>Y</v>
      </c>
      <c r="BU907" s="109">
        <f t="shared" si="694"/>
        <v>1</v>
      </c>
      <c r="BV907" s="109">
        <f t="shared" si="684"/>
        <v>1</v>
      </c>
      <c r="BW907" s="109">
        <f t="shared" si="695"/>
        <v>0</v>
      </c>
      <c r="BX907" s="111">
        <f t="shared" si="685"/>
        <v>0</v>
      </c>
      <c r="BY907" s="129">
        <f t="shared" si="686"/>
        <v>-7</v>
      </c>
      <c r="BZ907" s="111">
        <f t="shared" si="687"/>
        <v>0</v>
      </c>
      <c r="CA907" s="138">
        <f t="shared" si="688"/>
        <v>7</v>
      </c>
      <c r="CB907" s="111" t="e">
        <f t="shared" si="669"/>
        <v>#VALUE!</v>
      </c>
      <c r="CC907" s="129">
        <f>G907-I907+1</f>
        <v>7</v>
      </c>
      <c r="CD907" s="129">
        <f>G907-J907</f>
        <v>0</v>
      </c>
      <c r="CE907" s="129">
        <f t="shared" si="689"/>
        <v>0</v>
      </c>
      <c r="CG907" s="129" t="str">
        <f t="shared" si="690"/>
        <v>Y</v>
      </c>
      <c r="CI907" s="129" t="str">
        <f t="shared" si="691"/>
        <v>0-10 DAYS</v>
      </c>
      <c r="CJ907" s="137">
        <f t="shared" si="692"/>
        <v>1</v>
      </c>
      <c r="CK907" s="129" t="str">
        <f t="shared" si="693"/>
        <v>Booked</v>
      </c>
    </row>
    <row r="908" spans="1:89" ht="15.75" customHeight="1" x14ac:dyDescent="0.25">
      <c r="A908" s="111">
        <v>755</v>
      </c>
      <c r="B908" s="128" t="str">
        <f t="shared" si="674"/>
        <v>N</v>
      </c>
      <c r="C908" s="128" t="str">
        <f t="shared" si="675"/>
        <v>N</v>
      </c>
      <c r="D908" s="117">
        <v>1636193</v>
      </c>
      <c r="E908" s="135">
        <f t="shared" si="676"/>
        <v>6</v>
      </c>
      <c r="F908" s="124">
        <v>40938</v>
      </c>
      <c r="G908" s="125">
        <v>40989</v>
      </c>
      <c r="H908" s="117">
        <v>1636193</v>
      </c>
      <c r="I908" s="124">
        <v>40939</v>
      </c>
      <c r="J908" s="124">
        <v>40989</v>
      </c>
      <c r="K908" s="126">
        <v>20000</v>
      </c>
      <c r="L908" s="127" t="s">
        <v>571</v>
      </c>
      <c r="N908" s="129" t="str">
        <f t="shared" ref="N908:N913" si="696">IF(M908&gt;1/1/1,"Y","N")</f>
        <v>N</v>
      </c>
      <c r="O908" s="128" t="s">
        <v>917</v>
      </c>
      <c r="P908" s="129" t="s">
        <v>39</v>
      </c>
      <c r="Q908" s="111">
        <f t="shared" si="666"/>
        <v>51</v>
      </c>
      <c r="R908" s="111">
        <f t="shared" si="670"/>
        <v>52</v>
      </c>
      <c r="S908" s="129">
        <v>5</v>
      </c>
      <c r="T908" s="129">
        <v>4</v>
      </c>
      <c r="U908" s="129">
        <v>3</v>
      </c>
      <c r="W908" s="111"/>
      <c r="AC908" s="130"/>
      <c r="AD908" s="130">
        <v>27315</v>
      </c>
      <c r="AE908" s="128" t="s">
        <v>32</v>
      </c>
      <c r="AF908" s="128" t="s">
        <v>33</v>
      </c>
      <c r="AG908" s="128" t="s">
        <v>872</v>
      </c>
      <c r="AH908" s="108" t="s">
        <v>58</v>
      </c>
      <c r="AI908" s="128" t="s">
        <v>59</v>
      </c>
      <c r="AJ908" s="129" t="s">
        <v>89</v>
      </c>
      <c r="AK908" s="129">
        <v>3</v>
      </c>
      <c r="AL908" s="3" t="s">
        <v>362</v>
      </c>
      <c r="AM908" s="117">
        <v>2</v>
      </c>
      <c r="AP908" s="129" t="s">
        <v>197</v>
      </c>
      <c r="AR908" s="128" t="s">
        <v>44</v>
      </c>
      <c r="AS908" s="129" t="s">
        <v>61</v>
      </c>
      <c r="AX908" s="32"/>
      <c r="BC908" s="129" t="s">
        <v>38</v>
      </c>
      <c r="BF908" s="111">
        <f t="shared" si="668"/>
        <v>51</v>
      </c>
      <c r="BG908" s="111">
        <f t="shared" si="667"/>
        <v>51</v>
      </c>
      <c r="BH908" s="111">
        <f t="shared" si="671"/>
        <v>52</v>
      </c>
      <c r="BI908" s="111">
        <f t="shared" si="672"/>
        <v>37.221311475409834</v>
      </c>
      <c r="BJ908" s="129">
        <f t="shared" si="677"/>
        <v>0</v>
      </c>
      <c r="BK908" s="129">
        <f t="shared" si="673"/>
        <v>0</v>
      </c>
      <c r="BL908" s="129" t="str">
        <f t="shared" si="657"/>
        <v>CONVICTION</v>
      </c>
      <c r="BM908" s="129" t="str">
        <f t="shared" si="678"/>
        <v>NONE</v>
      </c>
      <c r="BN908" s="129" t="s">
        <v>566</v>
      </c>
      <c r="BP908" s="137" t="str">
        <f t="shared" si="679"/>
        <v>CONVICTION</v>
      </c>
      <c r="BQ908" s="128" t="str">
        <f t="shared" si="680"/>
        <v>Y</v>
      </c>
      <c r="BR908" s="129" t="str">
        <f t="shared" si="681"/>
        <v>DETAINED</v>
      </c>
      <c r="BS908" s="129" t="str">
        <f t="shared" si="682"/>
        <v>DISPOSED</v>
      </c>
      <c r="BT908" s="129" t="str">
        <f t="shared" si="683"/>
        <v>Y</v>
      </c>
      <c r="BU908" s="109">
        <f t="shared" si="694"/>
        <v>0.98076923076923073</v>
      </c>
      <c r="BV908" s="109">
        <f t="shared" si="684"/>
        <v>1</v>
      </c>
      <c r="BW908" s="109">
        <f t="shared" si="695"/>
        <v>1.9230769230769273E-2</v>
      </c>
      <c r="BX908" s="111">
        <f t="shared" si="685"/>
        <v>0</v>
      </c>
      <c r="BY908" s="129">
        <f t="shared" si="686"/>
        <v>-51</v>
      </c>
      <c r="BZ908" s="111">
        <f t="shared" si="687"/>
        <v>0</v>
      </c>
      <c r="CA908" s="138">
        <f t="shared" si="688"/>
        <v>51</v>
      </c>
      <c r="CB908" s="111" t="e">
        <f t="shared" si="669"/>
        <v>#VALUE!</v>
      </c>
      <c r="CC908" s="129">
        <f>G908-I908+1</f>
        <v>51</v>
      </c>
      <c r="CD908" s="129">
        <f>G908-J908</f>
        <v>0</v>
      </c>
      <c r="CE908" s="129">
        <f t="shared" si="689"/>
        <v>0</v>
      </c>
      <c r="CG908" s="129" t="str">
        <f t="shared" si="690"/>
        <v>Y</v>
      </c>
      <c r="CI908" s="129" t="str">
        <f t="shared" si="691"/>
        <v>31-60 DAYS</v>
      </c>
      <c r="CJ908" s="137">
        <f t="shared" si="692"/>
        <v>3</v>
      </c>
      <c r="CK908" s="129" t="str">
        <f t="shared" si="693"/>
        <v>Booked</v>
      </c>
    </row>
    <row r="909" spans="1:89" ht="15" customHeight="1" x14ac:dyDescent="0.25">
      <c r="A909" s="111">
        <v>2325</v>
      </c>
      <c r="B909" s="128" t="str">
        <f t="shared" si="674"/>
        <v>N</v>
      </c>
      <c r="C909" s="128" t="str">
        <f t="shared" si="675"/>
        <v>N</v>
      </c>
      <c r="D909" s="117">
        <v>1636820</v>
      </c>
      <c r="E909" s="135">
        <f t="shared" si="676"/>
        <v>5</v>
      </c>
      <c r="F909" s="124">
        <v>40996</v>
      </c>
      <c r="G909" s="125">
        <v>41018</v>
      </c>
      <c r="H909" s="117">
        <v>1636820</v>
      </c>
      <c r="I909" s="124">
        <v>40997</v>
      </c>
      <c r="J909" s="124">
        <v>41018</v>
      </c>
      <c r="K909" s="126">
        <v>15000</v>
      </c>
      <c r="L909" s="127" t="s">
        <v>571</v>
      </c>
      <c r="N909" s="129" t="str">
        <f t="shared" si="696"/>
        <v>N</v>
      </c>
      <c r="O909" s="128" t="s">
        <v>917</v>
      </c>
      <c r="P909" s="129" t="s">
        <v>39</v>
      </c>
      <c r="Q909" s="111">
        <f t="shared" si="666"/>
        <v>22</v>
      </c>
      <c r="R909" s="111">
        <f t="shared" si="670"/>
        <v>23</v>
      </c>
      <c r="S909" s="129">
        <v>11</v>
      </c>
      <c r="T909" s="129">
        <v>3</v>
      </c>
      <c r="U909" s="129">
        <v>6</v>
      </c>
      <c r="W909" s="111"/>
      <c r="AC909" s="130"/>
      <c r="AD909" s="130">
        <v>29246</v>
      </c>
      <c r="AE909" s="128" t="s">
        <v>46</v>
      </c>
      <c r="AF909" s="128" t="s">
        <v>33</v>
      </c>
      <c r="AG909" s="128" t="s">
        <v>872</v>
      </c>
      <c r="AH909" s="108" t="s">
        <v>58</v>
      </c>
      <c r="AI909" s="128" t="s">
        <v>95</v>
      </c>
      <c r="AJ909" s="129" t="s">
        <v>89</v>
      </c>
      <c r="AK909" s="129">
        <v>2</v>
      </c>
      <c r="AL909" s="3" t="s">
        <v>992</v>
      </c>
      <c r="AN909" s="117">
        <v>6</v>
      </c>
      <c r="AP909" s="129" t="s">
        <v>60</v>
      </c>
      <c r="AR909" s="128" t="s">
        <v>44</v>
      </c>
      <c r="AS909" s="129" t="s">
        <v>61</v>
      </c>
      <c r="AT909" s="129" t="s">
        <v>653</v>
      </c>
      <c r="BC909" s="129" t="s">
        <v>38</v>
      </c>
      <c r="BF909" s="111">
        <f t="shared" si="668"/>
        <v>22</v>
      </c>
      <c r="BG909" s="111">
        <f t="shared" si="667"/>
        <v>22</v>
      </c>
      <c r="BH909" s="111">
        <f t="shared" si="671"/>
        <v>23</v>
      </c>
      <c r="BI909" s="111">
        <f t="shared" si="672"/>
        <v>32.103825136612024</v>
      </c>
      <c r="BJ909" s="129">
        <f t="shared" si="677"/>
        <v>0</v>
      </c>
      <c r="BK909" s="129">
        <f t="shared" si="673"/>
        <v>0</v>
      </c>
      <c r="BL909" s="129" t="str">
        <f t="shared" si="657"/>
        <v>CONVICTION</v>
      </c>
      <c r="BM909" s="129" t="str">
        <f t="shared" si="678"/>
        <v>NONE</v>
      </c>
      <c r="BN909" s="129" t="s">
        <v>566</v>
      </c>
      <c r="BP909" s="137" t="str">
        <f t="shared" si="679"/>
        <v>CONVICTION</v>
      </c>
      <c r="BQ909" s="128" t="str">
        <f t="shared" si="680"/>
        <v>Y</v>
      </c>
      <c r="BR909" s="129" t="str">
        <f t="shared" si="681"/>
        <v>DETAINED</v>
      </c>
      <c r="BS909" s="129" t="str">
        <f t="shared" si="682"/>
        <v>DISPOSED</v>
      </c>
      <c r="BT909" s="129" t="str">
        <f t="shared" si="683"/>
        <v>Y</v>
      </c>
      <c r="BU909" s="109">
        <f t="shared" si="694"/>
        <v>0.95652173913043481</v>
      </c>
      <c r="BV909" s="109">
        <f t="shared" si="684"/>
        <v>1</v>
      </c>
      <c r="BW909" s="109">
        <f t="shared" si="695"/>
        <v>4.3478260869565188E-2</v>
      </c>
      <c r="BX909" s="111">
        <f t="shared" si="685"/>
        <v>0</v>
      </c>
      <c r="BY909" s="129">
        <f t="shared" si="686"/>
        <v>-22</v>
      </c>
      <c r="BZ909" s="111">
        <f t="shared" si="687"/>
        <v>0</v>
      </c>
      <c r="CA909" s="138">
        <f t="shared" si="688"/>
        <v>22</v>
      </c>
      <c r="CB909" s="111" t="e">
        <f t="shared" si="669"/>
        <v>#VALUE!</v>
      </c>
      <c r="CC909" s="129">
        <f>G909-I909+1</f>
        <v>22</v>
      </c>
      <c r="CD909" s="129">
        <f>G909-J909</f>
        <v>0</v>
      </c>
      <c r="CE909" s="129">
        <f t="shared" si="689"/>
        <v>0</v>
      </c>
      <c r="CG909" s="129" t="str">
        <f t="shared" si="690"/>
        <v>Y</v>
      </c>
      <c r="CI909" s="129" t="str">
        <f t="shared" si="691"/>
        <v>11-30 DAYS</v>
      </c>
      <c r="CJ909" s="137">
        <f t="shared" si="692"/>
        <v>2</v>
      </c>
      <c r="CK909" s="129" t="str">
        <f t="shared" si="693"/>
        <v>Booked</v>
      </c>
    </row>
    <row r="910" spans="1:89" ht="15" customHeight="1" x14ac:dyDescent="0.25">
      <c r="A910" s="111">
        <v>1621</v>
      </c>
      <c r="B910" s="128" t="str">
        <f t="shared" si="674"/>
        <v>N</v>
      </c>
      <c r="C910" s="128" t="str">
        <f t="shared" si="675"/>
        <v>Y</v>
      </c>
      <c r="D910" s="117">
        <v>1637128</v>
      </c>
      <c r="E910" s="135">
        <f t="shared" si="676"/>
        <v>6</v>
      </c>
      <c r="F910" s="124">
        <v>40969</v>
      </c>
      <c r="G910" s="125">
        <v>41298</v>
      </c>
      <c r="H910" s="117">
        <v>1637128</v>
      </c>
      <c r="I910" s="124">
        <v>40969</v>
      </c>
      <c r="J910" s="124">
        <v>40971</v>
      </c>
      <c r="K910" s="126">
        <v>100000</v>
      </c>
      <c r="L910" s="129" t="s">
        <v>572</v>
      </c>
      <c r="M910" s="125">
        <v>40971</v>
      </c>
      <c r="N910" s="129" t="str">
        <f t="shared" si="696"/>
        <v>Y</v>
      </c>
      <c r="O910" s="128" t="s">
        <v>76</v>
      </c>
      <c r="P910" s="129" t="s">
        <v>39</v>
      </c>
      <c r="Q910" s="111">
        <v>86</v>
      </c>
      <c r="R910" s="111">
        <f t="shared" si="670"/>
        <v>330</v>
      </c>
      <c r="S910" s="129">
        <v>2</v>
      </c>
      <c r="T910" s="129">
        <v>3</v>
      </c>
      <c r="U910" s="129">
        <v>2</v>
      </c>
      <c r="W910" s="111"/>
      <c r="AC910" s="130"/>
      <c r="AD910" s="130">
        <v>29451</v>
      </c>
      <c r="AE910" s="128" t="s">
        <v>32</v>
      </c>
      <c r="AF910" s="128" t="s">
        <v>40</v>
      </c>
      <c r="AG910" s="128" t="s">
        <v>41</v>
      </c>
      <c r="AH910" s="108" t="s">
        <v>41</v>
      </c>
      <c r="AI910" s="128" t="s">
        <v>65</v>
      </c>
      <c r="AJ910" s="129" t="s">
        <v>89</v>
      </c>
      <c r="AK910" s="129">
        <v>16</v>
      </c>
      <c r="AL910" s="3" t="s">
        <v>362</v>
      </c>
      <c r="AM910" s="117">
        <v>25</v>
      </c>
      <c r="AP910" s="129" t="s">
        <v>132</v>
      </c>
      <c r="AR910" s="128" t="s">
        <v>92</v>
      </c>
      <c r="AS910" s="129" t="s">
        <v>82</v>
      </c>
      <c r="AU910" s="3" t="s">
        <v>835</v>
      </c>
      <c r="AX910" s="32" t="s">
        <v>88</v>
      </c>
      <c r="BC910" s="129" t="s">
        <v>52</v>
      </c>
      <c r="BF910" s="111">
        <v>86</v>
      </c>
      <c r="BG910" s="111">
        <f t="shared" si="667"/>
        <v>330</v>
      </c>
      <c r="BH910" s="111">
        <f t="shared" si="671"/>
        <v>330</v>
      </c>
      <c r="BI910" s="111">
        <f t="shared" si="672"/>
        <v>31.469945355191257</v>
      </c>
      <c r="BJ910" s="129">
        <f>(G910-J910)+(M910-G910)</f>
        <v>0</v>
      </c>
      <c r="BK910" s="129">
        <f t="shared" si="673"/>
        <v>-327</v>
      </c>
      <c r="BL910" s="129" t="str">
        <f t="shared" si="657"/>
        <v>CONVICTION</v>
      </c>
      <c r="BM910" s="129" t="s">
        <v>76</v>
      </c>
      <c r="BN910" s="129" t="s">
        <v>88</v>
      </c>
      <c r="BP910" s="137" t="str">
        <f t="shared" si="679"/>
        <v>CONVICTION</v>
      </c>
      <c r="BQ910" s="128" t="str">
        <f t="shared" si="680"/>
        <v>Y</v>
      </c>
      <c r="BR910" s="129" t="s">
        <v>574</v>
      </c>
      <c r="BS910" s="129" t="str">
        <f t="shared" si="682"/>
        <v>DISPOSED</v>
      </c>
      <c r="BT910" s="129" t="str">
        <f t="shared" si="683"/>
        <v>Y</v>
      </c>
      <c r="BU910" s="109">
        <f t="shared" si="694"/>
        <v>0.26060606060606062</v>
      </c>
      <c r="BV910" s="109">
        <f t="shared" si="684"/>
        <v>9.0909090909090905E-3</v>
      </c>
      <c r="BW910" s="109">
        <f t="shared" si="695"/>
        <v>-0.25151515151515152</v>
      </c>
      <c r="BX910" s="111">
        <f t="shared" si="685"/>
        <v>0</v>
      </c>
      <c r="BY910" s="129">
        <f t="shared" si="686"/>
        <v>-3</v>
      </c>
      <c r="BZ910" s="111">
        <f t="shared" si="687"/>
        <v>83</v>
      </c>
      <c r="CA910" s="138">
        <f t="shared" si="688"/>
        <v>330</v>
      </c>
      <c r="CB910" s="111">
        <v>86</v>
      </c>
      <c r="CC910" s="129">
        <f>G910-I910+1</f>
        <v>330</v>
      </c>
      <c r="CD910" s="129">
        <f>G910-J910</f>
        <v>327</v>
      </c>
      <c r="CE910" s="129">
        <f t="shared" si="689"/>
        <v>327</v>
      </c>
      <c r="CG910" s="129" t="str">
        <f t="shared" si="690"/>
        <v>Y</v>
      </c>
      <c r="CI910" s="129" t="str">
        <f t="shared" si="691"/>
        <v>61-90 DAYS</v>
      </c>
      <c r="CJ910" s="137">
        <f t="shared" si="692"/>
        <v>4</v>
      </c>
      <c r="CK910" s="129" t="str">
        <f t="shared" si="693"/>
        <v>Booked</v>
      </c>
    </row>
    <row r="911" spans="1:89" ht="15.75" customHeight="1" x14ac:dyDescent="0.25">
      <c r="A911" s="111">
        <v>522</v>
      </c>
      <c r="B911" s="128" t="str">
        <f t="shared" si="674"/>
        <v>N</v>
      </c>
      <c r="C911" s="128" t="str">
        <f t="shared" si="675"/>
        <v>N</v>
      </c>
      <c r="D911" s="117">
        <v>1638877</v>
      </c>
      <c r="E911" s="135">
        <f t="shared" si="676"/>
        <v>1</v>
      </c>
      <c r="F911" s="124">
        <v>40929</v>
      </c>
      <c r="G911" s="125">
        <v>41114</v>
      </c>
      <c r="H911" s="117">
        <v>1638877</v>
      </c>
      <c r="I911" s="124">
        <v>40929</v>
      </c>
      <c r="J911" s="124">
        <v>40932</v>
      </c>
      <c r="K911" s="126">
        <v>5000</v>
      </c>
      <c r="L911" s="127" t="s">
        <v>569</v>
      </c>
      <c r="M911" s="125">
        <v>40932</v>
      </c>
      <c r="N911" s="129" t="str">
        <f t="shared" si="696"/>
        <v>Y</v>
      </c>
      <c r="O911" s="128" t="s">
        <v>76</v>
      </c>
      <c r="P911" s="129" t="s">
        <v>55</v>
      </c>
      <c r="Q911" s="111">
        <f t="shared" si="666"/>
        <v>4</v>
      </c>
      <c r="R911" s="111">
        <f t="shared" si="670"/>
        <v>186</v>
      </c>
      <c r="S911" s="129">
        <v>2</v>
      </c>
      <c r="T911" s="129">
        <v>0</v>
      </c>
      <c r="V911" s="117">
        <v>1</v>
      </c>
      <c r="W911" s="111"/>
      <c r="AC911" s="130"/>
      <c r="AD911" s="130">
        <v>29293</v>
      </c>
      <c r="AE911" s="128" t="s">
        <v>32</v>
      </c>
      <c r="AF911" s="128" t="s">
        <v>33</v>
      </c>
      <c r="AG911" s="128" t="s">
        <v>872</v>
      </c>
      <c r="AH911" s="108" t="s">
        <v>58</v>
      </c>
      <c r="AI911" s="128" t="s">
        <v>141</v>
      </c>
      <c r="AJ911" s="129" t="s">
        <v>55</v>
      </c>
      <c r="AK911" s="129">
        <v>6</v>
      </c>
      <c r="AL911" s="3" t="s">
        <v>55</v>
      </c>
      <c r="AP911" s="129" t="s">
        <v>150</v>
      </c>
      <c r="AR911" s="128" t="s">
        <v>67</v>
      </c>
      <c r="AS911" s="129" t="s">
        <v>74</v>
      </c>
      <c r="BC911" s="129" t="s">
        <v>52</v>
      </c>
      <c r="BF911" s="111">
        <f t="shared" si="668"/>
        <v>4</v>
      </c>
      <c r="BG911" s="111">
        <f t="shared" si="667"/>
        <v>186</v>
      </c>
      <c r="BH911" s="111">
        <f t="shared" si="671"/>
        <v>186</v>
      </c>
      <c r="BI911" s="111">
        <f t="shared" si="672"/>
        <v>31.792349726775956</v>
      </c>
      <c r="BJ911" s="129">
        <f>(G911-J911)+(M911-G911)</f>
        <v>0</v>
      </c>
      <c r="BK911" s="129">
        <f t="shared" si="673"/>
        <v>-182</v>
      </c>
      <c r="BL911" s="129" t="str">
        <f t="shared" si="657"/>
        <v>NO CONVICTION</v>
      </c>
      <c r="BM911" s="129" t="s">
        <v>76</v>
      </c>
      <c r="BN911" s="129" t="s">
        <v>88</v>
      </c>
      <c r="BP911" s="137" t="str">
        <f t="shared" si="679"/>
        <v>NO CONVICTION</v>
      </c>
      <c r="BQ911" s="128" t="str">
        <f t="shared" si="680"/>
        <v>Y</v>
      </c>
      <c r="BR911" s="129" t="str">
        <f t="shared" si="681"/>
        <v>ON BOND</v>
      </c>
      <c r="BS911" s="129" t="str">
        <f t="shared" si="682"/>
        <v>DISPOSED</v>
      </c>
      <c r="BT911" s="129" t="str">
        <f t="shared" si="683"/>
        <v>Y</v>
      </c>
      <c r="BU911" s="109">
        <f>IFERROR(Q911/R911,BR911)</f>
        <v>2.1505376344086023E-2</v>
      </c>
      <c r="BV911" s="109">
        <f t="shared" si="684"/>
        <v>2.1505376344086023E-2</v>
      </c>
      <c r="BW911" s="109">
        <f t="shared" si="695"/>
        <v>0</v>
      </c>
      <c r="BX911" s="111">
        <f t="shared" si="685"/>
        <v>0</v>
      </c>
      <c r="BY911" s="129">
        <f t="shared" si="686"/>
        <v>-4</v>
      </c>
      <c r="BZ911" s="111">
        <f t="shared" si="687"/>
        <v>0</v>
      </c>
      <c r="CA911" s="138">
        <f t="shared" si="688"/>
        <v>4</v>
      </c>
      <c r="CB911" s="111" t="e">
        <f t="shared" si="669"/>
        <v>#VALUE!</v>
      </c>
      <c r="CC911" s="129">
        <f>M911-I911+1</f>
        <v>4</v>
      </c>
      <c r="CD911" s="111">
        <f>CC911-BF911</f>
        <v>0</v>
      </c>
      <c r="CE911" s="129">
        <f t="shared" si="689"/>
        <v>182</v>
      </c>
      <c r="CG911" s="129" t="str">
        <f t="shared" si="690"/>
        <v>Y</v>
      </c>
      <c r="CI911" s="129" t="str">
        <f t="shared" si="691"/>
        <v>0-10 DAYS</v>
      </c>
      <c r="CJ911" s="137">
        <f t="shared" si="692"/>
        <v>1</v>
      </c>
      <c r="CK911" s="129" t="str">
        <f t="shared" si="693"/>
        <v>Booked</v>
      </c>
    </row>
    <row r="912" spans="1:89" ht="15.75" customHeight="1" x14ac:dyDescent="0.25">
      <c r="A912" s="111">
        <v>1813</v>
      </c>
      <c r="B912" s="128" t="str">
        <f t="shared" si="674"/>
        <v>Y</v>
      </c>
      <c r="C912" s="128" t="str">
        <f t="shared" si="675"/>
        <v>N</v>
      </c>
      <c r="D912" s="117">
        <v>1639176</v>
      </c>
      <c r="E912" s="135">
        <f t="shared" si="676"/>
        <v>6</v>
      </c>
      <c r="F912" s="124">
        <v>41064</v>
      </c>
      <c r="G912" s="125">
        <v>41437</v>
      </c>
      <c r="H912" s="117">
        <v>1639176</v>
      </c>
      <c r="I912" s="124">
        <v>41067</v>
      </c>
      <c r="J912" s="125">
        <v>41437</v>
      </c>
      <c r="K912" s="126" t="s">
        <v>564</v>
      </c>
      <c r="L912" s="127" t="s">
        <v>564</v>
      </c>
      <c r="M912" s="125"/>
      <c r="N912" s="129" t="str">
        <f t="shared" si="696"/>
        <v>N</v>
      </c>
      <c r="O912" s="128" t="s">
        <v>917</v>
      </c>
      <c r="P912" s="129" t="s">
        <v>39</v>
      </c>
      <c r="Q912" s="111">
        <f t="shared" si="666"/>
        <v>371</v>
      </c>
      <c r="R912" s="111">
        <f t="shared" si="670"/>
        <v>374</v>
      </c>
      <c r="S912" s="129">
        <v>0</v>
      </c>
      <c r="T912" s="129">
        <v>0</v>
      </c>
      <c r="W912" s="111"/>
      <c r="AC912" s="130"/>
      <c r="AD912" s="130">
        <v>26994</v>
      </c>
      <c r="AE912" s="128" t="s">
        <v>32</v>
      </c>
      <c r="AF912" s="128" t="s">
        <v>40</v>
      </c>
      <c r="AG912" s="128" t="s">
        <v>41</v>
      </c>
      <c r="AH912" s="108" t="s">
        <v>41</v>
      </c>
      <c r="AI912" s="128" t="s">
        <v>70</v>
      </c>
      <c r="AJ912" s="129" t="s">
        <v>89</v>
      </c>
      <c r="AK912" s="129">
        <v>15</v>
      </c>
      <c r="AL912" s="3" t="s">
        <v>362</v>
      </c>
      <c r="AM912" s="117">
        <v>3</v>
      </c>
      <c r="AP912" s="129" t="s">
        <v>286</v>
      </c>
      <c r="AR912" s="128" t="s">
        <v>67</v>
      </c>
      <c r="AS912" s="129" t="s">
        <v>64</v>
      </c>
      <c r="AT912" s="129" t="s">
        <v>1410</v>
      </c>
      <c r="AX912" s="32"/>
      <c r="BC912" s="129" t="s">
        <v>52</v>
      </c>
      <c r="BD912" s="32" t="s">
        <v>955</v>
      </c>
      <c r="BF912" s="111">
        <f t="shared" si="668"/>
        <v>371</v>
      </c>
      <c r="BG912" s="111">
        <f t="shared" si="667"/>
        <v>371</v>
      </c>
      <c r="BH912" s="111">
        <f t="shared" si="671"/>
        <v>374</v>
      </c>
      <c r="BI912" s="111">
        <f t="shared" si="672"/>
        <v>38.442622950819676</v>
      </c>
      <c r="BJ912" s="129">
        <f t="shared" si="677"/>
        <v>0</v>
      </c>
      <c r="BK912" s="129">
        <f t="shared" si="673"/>
        <v>0</v>
      </c>
      <c r="BL912" s="129" t="str">
        <f t="shared" si="657"/>
        <v>CONVICTION</v>
      </c>
      <c r="BM912" s="129" t="str">
        <f t="shared" si="678"/>
        <v>NONE</v>
      </c>
      <c r="BN912" s="129" t="s">
        <v>566</v>
      </c>
      <c r="BP912" s="137" t="str">
        <f t="shared" si="679"/>
        <v>CONVICTION</v>
      </c>
      <c r="BQ912" s="128" t="str">
        <f t="shared" si="680"/>
        <v>Y</v>
      </c>
      <c r="BR912" s="129" t="str">
        <f t="shared" si="681"/>
        <v>DETAINED</v>
      </c>
      <c r="BS912" s="129" t="str">
        <f t="shared" si="682"/>
        <v>DISPOSED</v>
      </c>
      <c r="BT912" s="129" t="str">
        <f t="shared" si="683"/>
        <v>N</v>
      </c>
      <c r="BU912" s="109">
        <f t="shared" si="694"/>
        <v>0.99197860962566842</v>
      </c>
      <c r="BV912" s="109">
        <f t="shared" si="684"/>
        <v>1</v>
      </c>
      <c r="BW912" s="109">
        <f t="shared" si="695"/>
        <v>8.0213903743315829E-3</v>
      </c>
      <c r="BX912" s="111">
        <f t="shared" si="685"/>
        <v>0</v>
      </c>
      <c r="BY912" s="129">
        <f t="shared" si="686"/>
        <v>-371</v>
      </c>
      <c r="BZ912" s="111">
        <f t="shared" si="687"/>
        <v>0</v>
      </c>
      <c r="CA912" s="138">
        <f t="shared" si="688"/>
        <v>371</v>
      </c>
      <c r="CB912" s="111" t="e">
        <f t="shared" si="669"/>
        <v>#VALUE!</v>
      </c>
      <c r="CC912" s="129">
        <f>G912-I912+1</f>
        <v>371</v>
      </c>
      <c r="CD912" s="129">
        <f>G912-J912</f>
        <v>0</v>
      </c>
      <c r="CE912" s="129">
        <f t="shared" si="689"/>
        <v>0</v>
      </c>
      <c r="CG912" s="129" t="str">
        <f t="shared" si="690"/>
        <v>N</v>
      </c>
      <c r="CI912" s="129" t="str">
        <f t="shared" si="691"/>
        <v xml:space="preserve"> &gt;1YRS&lt;2YRS</v>
      </c>
      <c r="CJ912" s="137">
        <f t="shared" si="692"/>
        <v>0</v>
      </c>
      <c r="CK912" s="129" t="str">
        <f t="shared" si="693"/>
        <v>Booked</v>
      </c>
    </row>
    <row r="913" spans="1:89" ht="15" customHeight="1" x14ac:dyDescent="0.25">
      <c r="A913" s="111">
        <v>1228</v>
      </c>
      <c r="B913" s="128" t="str">
        <f t="shared" si="674"/>
        <v>N</v>
      </c>
      <c r="C913" s="128" t="str">
        <f t="shared" si="675"/>
        <v>N</v>
      </c>
      <c r="D913" s="117">
        <v>1639354</v>
      </c>
      <c r="E913" s="135">
        <f t="shared" si="676"/>
        <v>5</v>
      </c>
      <c r="F913" s="124">
        <v>40640</v>
      </c>
      <c r="G913" s="125">
        <v>40997</v>
      </c>
      <c r="H913" s="117">
        <v>1639354</v>
      </c>
      <c r="I913" s="124">
        <v>40954</v>
      </c>
      <c r="J913" s="124">
        <v>40997</v>
      </c>
      <c r="K913" s="126">
        <v>5000</v>
      </c>
      <c r="L913" s="127" t="s">
        <v>569</v>
      </c>
      <c r="N913" s="129" t="str">
        <f t="shared" si="696"/>
        <v>N</v>
      </c>
      <c r="O913" s="128" t="s">
        <v>917</v>
      </c>
      <c r="P913" s="129" t="s">
        <v>77</v>
      </c>
      <c r="Q913" s="111">
        <f t="shared" si="666"/>
        <v>44</v>
      </c>
      <c r="R913" s="111">
        <f t="shared" si="670"/>
        <v>358</v>
      </c>
      <c r="S913" s="129">
        <v>3</v>
      </c>
      <c r="T913" s="129">
        <v>1</v>
      </c>
      <c r="U913" s="129">
        <v>2</v>
      </c>
      <c r="W913" s="111"/>
      <c r="AC913" s="130"/>
      <c r="AD913" s="130">
        <v>24311</v>
      </c>
      <c r="AE913" s="128" t="s">
        <v>32</v>
      </c>
      <c r="AF913" s="128" t="s">
        <v>69</v>
      </c>
      <c r="AG913" s="128" t="s">
        <v>874</v>
      </c>
      <c r="AH913" s="108" t="s">
        <v>31</v>
      </c>
      <c r="AI913" s="128" t="s">
        <v>59</v>
      </c>
      <c r="AJ913" s="129" t="s">
        <v>89</v>
      </c>
      <c r="AK913" s="129">
        <v>3</v>
      </c>
      <c r="AL913" s="3" t="s">
        <v>992</v>
      </c>
      <c r="AN913" s="117">
        <v>6</v>
      </c>
      <c r="AP913" s="129" t="s">
        <v>60</v>
      </c>
      <c r="AR913" s="128" t="s">
        <v>44</v>
      </c>
      <c r="AS913" s="129" t="s">
        <v>61</v>
      </c>
      <c r="BC913" s="129" t="s">
        <v>38</v>
      </c>
      <c r="BF913" s="111">
        <f t="shared" si="668"/>
        <v>44</v>
      </c>
      <c r="BG913" s="111">
        <f t="shared" si="667"/>
        <v>44</v>
      </c>
      <c r="BH913" s="111">
        <f t="shared" si="671"/>
        <v>358</v>
      </c>
      <c r="BI913" s="111">
        <f t="shared" si="672"/>
        <v>44.614754098360656</v>
      </c>
      <c r="BJ913" s="129">
        <f t="shared" si="677"/>
        <v>0</v>
      </c>
      <c r="BK913" s="129">
        <f t="shared" si="673"/>
        <v>0</v>
      </c>
      <c r="BL913" s="129" t="str">
        <f t="shared" si="657"/>
        <v>CONVICTION</v>
      </c>
      <c r="BM913" s="129" t="str">
        <f t="shared" si="678"/>
        <v>NONE</v>
      </c>
      <c r="BN913" s="129" t="s">
        <v>566</v>
      </c>
      <c r="BP913" s="137" t="str">
        <f t="shared" si="679"/>
        <v>CONVICTION</v>
      </c>
      <c r="BQ913" s="128" t="str">
        <f t="shared" si="680"/>
        <v>Y</v>
      </c>
      <c r="BR913" s="129" t="str">
        <f t="shared" si="681"/>
        <v>DETAINED</v>
      </c>
      <c r="BS913" s="129" t="str">
        <f t="shared" si="682"/>
        <v>DISPOSED</v>
      </c>
      <c r="BT913" s="129" t="str">
        <f t="shared" si="683"/>
        <v>Y</v>
      </c>
      <c r="BU913" s="109">
        <f t="shared" si="694"/>
        <v>0.12290502793296089</v>
      </c>
      <c r="BV913" s="109">
        <f t="shared" si="684"/>
        <v>1</v>
      </c>
      <c r="BW913" s="109">
        <f t="shared" si="695"/>
        <v>0.87709497206703912</v>
      </c>
      <c r="BX913" s="111">
        <f t="shared" si="685"/>
        <v>0</v>
      </c>
      <c r="BY913" s="129">
        <f t="shared" si="686"/>
        <v>-44</v>
      </c>
      <c r="BZ913" s="111">
        <f t="shared" si="687"/>
        <v>0</v>
      </c>
      <c r="CA913" s="138">
        <f t="shared" si="688"/>
        <v>44</v>
      </c>
      <c r="CB913" s="111" t="e">
        <f t="shared" si="669"/>
        <v>#VALUE!</v>
      </c>
      <c r="CC913" s="129">
        <f>G913-I913+1</f>
        <v>44</v>
      </c>
      <c r="CD913" s="129">
        <f>G913-J913</f>
        <v>0</v>
      </c>
      <c r="CE913" s="129">
        <f t="shared" si="689"/>
        <v>0</v>
      </c>
      <c r="CG913" s="129" t="str">
        <f t="shared" si="690"/>
        <v>Y</v>
      </c>
      <c r="CI913" s="129" t="str">
        <f t="shared" si="691"/>
        <v>31-60 DAYS</v>
      </c>
      <c r="CJ913" s="137">
        <f t="shared" si="692"/>
        <v>3</v>
      </c>
      <c r="CK913" s="129" t="str">
        <f t="shared" si="693"/>
        <v>Booked</v>
      </c>
    </row>
    <row r="914" spans="1:89" ht="15" customHeight="1" x14ac:dyDescent="0.25">
      <c r="A914" s="111">
        <v>1428</v>
      </c>
      <c r="B914" s="128" t="str">
        <f t="shared" si="674"/>
        <v>N</v>
      </c>
      <c r="C914" s="128" t="str">
        <f t="shared" si="675"/>
        <v>N</v>
      </c>
      <c r="D914" s="117">
        <v>1639984</v>
      </c>
      <c r="E914" s="135">
        <f t="shared" si="676"/>
        <v>6</v>
      </c>
      <c r="F914" s="124">
        <v>40961</v>
      </c>
      <c r="G914" s="125">
        <v>41600</v>
      </c>
      <c r="H914" s="117">
        <v>1639984</v>
      </c>
      <c r="I914" s="124">
        <v>41404</v>
      </c>
      <c r="J914" s="125">
        <v>41600</v>
      </c>
      <c r="K914" s="126" t="s">
        <v>564</v>
      </c>
      <c r="L914" s="127" t="s">
        <v>564</v>
      </c>
      <c r="N914" s="129" t="s">
        <v>566</v>
      </c>
      <c r="O914" s="128" t="s">
        <v>917</v>
      </c>
      <c r="P914" s="129" t="s">
        <v>1144</v>
      </c>
      <c r="Q914" s="111">
        <v>197</v>
      </c>
      <c r="R914" s="111">
        <v>640</v>
      </c>
      <c r="S914" s="129">
        <v>0</v>
      </c>
      <c r="T914" s="129">
        <v>1</v>
      </c>
      <c r="W914" s="111"/>
      <c r="AB914" s="131" t="s">
        <v>112</v>
      </c>
      <c r="AC914" s="130"/>
      <c r="AD914" s="130">
        <v>29156</v>
      </c>
      <c r="AE914" s="128" t="s">
        <v>32</v>
      </c>
      <c r="AF914" s="128" t="s">
        <v>40</v>
      </c>
      <c r="AG914" s="128" t="s">
        <v>41</v>
      </c>
      <c r="AH914" s="108" t="s">
        <v>31</v>
      </c>
      <c r="AI914" s="128" t="s">
        <v>87</v>
      </c>
      <c r="AJ914" s="129" t="s">
        <v>89</v>
      </c>
      <c r="AK914" s="129">
        <v>17</v>
      </c>
      <c r="AL914" s="3" t="s">
        <v>362</v>
      </c>
      <c r="AM914" s="114">
        <v>99</v>
      </c>
      <c r="AP914" s="129" t="s">
        <v>179</v>
      </c>
      <c r="AR914" s="128" t="s">
        <v>92</v>
      </c>
      <c r="AS914" s="129" t="s">
        <v>180</v>
      </c>
      <c r="BC914" s="129" t="s">
        <v>52</v>
      </c>
      <c r="BF914" s="111">
        <v>195</v>
      </c>
      <c r="BG914" s="111">
        <f t="shared" si="667"/>
        <v>197</v>
      </c>
      <c r="BH914" s="111">
        <f t="shared" si="671"/>
        <v>640</v>
      </c>
      <c r="BI914" s="111">
        <f t="shared" si="672"/>
        <v>32.254098360655739</v>
      </c>
      <c r="BJ914" s="129">
        <f t="shared" si="677"/>
        <v>0</v>
      </c>
      <c r="BK914" s="129">
        <f t="shared" si="673"/>
        <v>0</v>
      </c>
      <c r="BL914" s="129" t="str">
        <f t="shared" si="657"/>
        <v>CONVICTION</v>
      </c>
      <c r="BM914" s="129" t="str">
        <f t="shared" si="678"/>
        <v>NONE</v>
      </c>
      <c r="BN914" s="129" t="s">
        <v>566</v>
      </c>
      <c r="BP914" s="137" t="str">
        <f t="shared" si="679"/>
        <v>CONVICTION</v>
      </c>
      <c r="BQ914" s="128" t="str">
        <f t="shared" si="680"/>
        <v>Y</v>
      </c>
      <c r="BR914" s="129" t="str">
        <f t="shared" si="681"/>
        <v>DETAINED</v>
      </c>
      <c r="BS914" s="129" t="str">
        <f t="shared" si="682"/>
        <v>DISPOSED</v>
      </c>
      <c r="BT914" s="129" t="str">
        <f t="shared" si="683"/>
        <v>N</v>
      </c>
      <c r="BU914" s="109">
        <f t="shared" si="694"/>
        <v>0.30781249999999999</v>
      </c>
      <c r="BV914" s="109">
        <f t="shared" si="684"/>
        <v>1</v>
      </c>
      <c r="BW914" s="109">
        <f t="shared" si="695"/>
        <v>0.69218749999999996</v>
      </c>
      <c r="BX914" s="111">
        <f t="shared" si="685"/>
        <v>2</v>
      </c>
      <c r="BY914" s="129">
        <f t="shared" si="686"/>
        <v>-197</v>
      </c>
      <c r="BZ914" s="111">
        <f t="shared" si="687"/>
        <v>-2</v>
      </c>
      <c r="CA914" s="138">
        <f t="shared" si="688"/>
        <v>197</v>
      </c>
      <c r="CB914" s="111">
        <v>195</v>
      </c>
      <c r="CC914" s="129">
        <f>G914-I914+1</f>
        <v>197</v>
      </c>
      <c r="CD914" s="129">
        <f>G914-J914</f>
        <v>0</v>
      </c>
      <c r="CE914" s="129">
        <f t="shared" si="689"/>
        <v>0</v>
      </c>
      <c r="CG914" s="129" t="str">
        <f t="shared" si="690"/>
        <v>Y</v>
      </c>
      <c r="CI914" s="129" t="str">
        <f t="shared" si="691"/>
        <v>121-365 DAYS</v>
      </c>
      <c r="CJ914" s="137">
        <f t="shared" si="692"/>
        <v>6</v>
      </c>
      <c r="CK914" s="129" t="str">
        <f t="shared" si="693"/>
        <v>Booked</v>
      </c>
    </row>
    <row r="915" spans="1:89" ht="15" customHeight="1" x14ac:dyDescent="0.25">
      <c r="A915" s="111">
        <v>77</v>
      </c>
      <c r="B915" s="128" t="str">
        <f t="shared" si="674"/>
        <v>Y</v>
      </c>
      <c r="C915" s="128" t="str">
        <f t="shared" si="675"/>
        <v>Y</v>
      </c>
      <c r="D915" s="117">
        <v>1639992</v>
      </c>
      <c r="E915" s="135">
        <f t="shared" si="676"/>
        <v>6</v>
      </c>
      <c r="F915" s="124">
        <v>40912</v>
      </c>
      <c r="G915" s="125">
        <v>41100</v>
      </c>
      <c r="H915" s="117">
        <v>1639992</v>
      </c>
      <c r="I915" s="124">
        <v>41081</v>
      </c>
      <c r="J915" s="124">
        <v>41100</v>
      </c>
      <c r="K915" s="126">
        <v>30000</v>
      </c>
      <c r="L915" s="129" t="s">
        <v>572</v>
      </c>
      <c r="M915" s="125">
        <v>40914</v>
      </c>
      <c r="N915" s="129" t="str">
        <f>IF(M915&gt;1/1/1,"Y","N")</f>
        <v>Y</v>
      </c>
      <c r="O915" s="128" t="s">
        <v>585</v>
      </c>
      <c r="P915" s="129" t="s">
        <v>39</v>
      </c>
      <c r="Q915" s="111">
        <f t="shared" ref="Q915:Q944" si="697">BF915</f>
        <v>20</v>
      </c>
      <c r="R915" s="111">
        <f t="shared" ref="R915:R978" si="698">BH915</f>
        <v>189</v>
      </c>
      <c r="S915" s="129">
        <v>2</v>
      </c>
      <c r="T915" s="129">
        <v>2</v>
      </c>
      <c r="U915" s="129">
        <v>5</v>
      </c>
      <c r="W915" s="111"/>
      <c r="AC915" s="130"/>
      <c r="AD915" s="130">
        <v>29090</v>
      </c>
      <c r="AE915" s="128" t="s">
        <v>32</v>
      </c>
      <c r="AF915" s="128" t="s">
        <v>33</v>
      </c>
      <c r="AG915" s="128" t="s">
        <v>872</v>
      </c>
      <c r="AH915" s="108" t="s">
        <v>31</v>
      </c>
      <c r="AI915" s="128" t="s">
        <v>71</v>
      </c>
      <c r="AJ915" s="129" t="s">
        <v>89</v>
      </c>
      <c r="AK915" s="129">
        <v>8</v>
      </c>
      <c r="AL915" s="3" t="s">
        <v>362</v>
      </c>
      <c r="AM915" s="117">
        <v>7</v>
      </c>
      <c r="AP915" s="129" t="s">
        <v>132</v>
      </c>
      <c r="AR915" s="128" t="s">
        <v>92</v>
      </c>
      <c r="AS915" s="129" t="s">
        <v>82</v>
      </c>
      <c r="AT915" s="129" t="s">
        <v>133</v>
      </c>
      <c r="AV915" s="3" t="s">
        <v>88</v>
      </c>
      <c r="AW915" s="123" t="s">
        <v>680</v>
      </c>
      <c r="AX915" s="123"/>
      <c r="AZ915" s="140"/>
      <c r="BA915" s="125">
        <v>41096</v>
      </c>
      <c r="BB915" s="129">
        <v>329</v>
      </c>
      <c r="BC915" s="129" t="s">
        <v>52</v>
      </c>
      <c r="BD915" s="32" t="s">
        <v>1062</v>
      </c>
      <c r="BF915" s="111">
        <f>IF(J915&gt;1/1/1900,((G915+1)-I915),"STILL OPEN")</f>
        <v>20</v>
      </c>
      <c r="BG915" s="111">
        <f>IF(G915&gt;1/1/1900,((G915+1)-I915),"STILL OPEN")</f>
        <v>20</v>
      </c>
      <c r="BH915" s="111">
        <f t="shared" si="671"/>
        <v>189</v>
      </c>
      <c r="BI915" s="111">
        <f t="shared" si="672"/>
        <v>32.300546448087431</v>
      </c>
      <c r="BJ915" s="129">
        <f>G915-J915</f>
        <v>0</v>
      </c>
      <c r="BK915" s="129">
        <f t="shared" si="673"/>
        <v>0</v>
      </c>
      <c r="BL915" s="129" t="str">
        <f t="shared" si="657"/>
        <v>CONVICTION</v>
      </c>
      <c r="BM915" s="129" t="s">
        <v>76</v>
      </c>
      <c r="BN915" s="129" t="s">
        <v>88</v>
      </c>
      <c r="BP915" s="137" t="str">
        <f t="shared" si="679"/>
        <v>CONVICTION</v>
      </c>
      <c r="BQ915" s="128" t="str">
        <f t="shared" si="680"/>
        <v>Y</v>
      </c>
      <c r="BR915" s="129" t="s">
        <v>574</v>
      </c>
      <c r="BS915" s="129" t="str">
        <f t="shared" si="682"/>
        <v>DISPOSED</v>
      </c>
      <c r="BT915" s="129" t="str">
        <f t="shared" si="683"/>
        <v>Y</v>
      </c>
      <c r="BU915" s="109">
        <f t="shared" si="694"/>
        <v>0.10582010582010581</v>
      </c>
      <c r="BV915" s="109">
        <f t="shared" si="684"/>
        <v>1</v>
      </c>
      <c r="BW915" s="109">
        <f t="shared" si="695"/>
        <v>0.89417989417989419</v>
      </c>
      <c r="BX915" s="111">
        <f t="shared" si="685"/>
        <v>0</v>
      </c>
      <c r="BY915" s="129">
        <f t="shared" si="686"/>
        <v>-20</v>
      </c>
      <c r="BZ915" s="111">
        <f t="shared" si="687"/>
        <v>0</v>
      </c>
      <c r="CA915" s="138">
        <f t="shared" si="688"/>
        <v>20</v>
      </c>
      <c r="CB915" s="111" t="e">
        <f>IF(AF915&gt;1/1/1900,((AF915+1)-AE915),"STILL OPEN")</f>
        <v>#VALUE!</v>
      </c>
      <c r="CC915" s="129">
        <f>G915-I915+1</f>
        <v>20</v>
      </c>
      <c r="CD915" s="129">
        <f>G915-J915</f>
        <v>0</v>
      </c>
      <c r="CE915" s="129">
        <f t="shared" si="689"/>
        <v>0</v>
      </c>
      <c r="CG915" s="129" t="str">
        <f t="shared" si="690"/>
        <v>Y</v>
      </c>
      <c r="CI915" s="129" t="str">
        <f t="shared" si="691"/>
        <v>11-30 DAYS</v>
      </c>
      <c r="CJ915" s="137">
        <f t="shared" si="692"/>
        <v>2</v>
      </c>
      <c r="CK915" s="129" t="str">
        <f t="shared" si="693"/>
        <v>Booked</v>
      </c>
    </row>
    <row r="916" spans="1:89" ht="15" customHeight="1" x14ac:dyDescent="0.25">
      <c r="A916" s="111">
        <v>2058</v>
      </c>
      <c r="B916" s="128" t="str">
        <f t="shared" si="674"/>
        <v>N</v>
      </c>
      <c r="C916" s="128" t="str">
        <f t="shared" si="675"/>
        <v>N</v>
      </c>
      <c r="D916" s="117">
        <v>1640266</v>
      </c>
      <c r="E916" s="135">
        <f t="shared" si="676"/>
        <v>3</v>
      </c>
      <c r="F916" s="124">
        <v>40986</v>
      </c>
      <c r="G916" s="125">
        <v>41071</v>
      </c>
      <c r="H916" s="117">
        <v>1640266</v>
      </c>
      <c r="I916" s="124">
        <v>40986</v>
      </c>
      <c r="J916" s="124">
        <v>40990</v>
      </c>
      <c r="K916" s="126">
        <v>10000</v>
      </c>
      <c r="L916" s="127" t="s">
        <v>570</v>
      </c>
      <c r="M916" s="125">
        <v>40990</v>
      </c>
      <c r="N916" s="129" t="str">
        <f>IF(M916&gt;1/1/1,"Y","N")</f>
        <v>Y</v>
      </c>
      <c r="O916" s="128" t="s">
        <v>585</v>
      </c>
      <c r="P916" s="129" t="s">
        <v>39</v>
      </c>
      <c r="Q916" s="111">
        <f t="shared" si="697"/>
        <v>5</v>
      </c>
      <c r="R916" s="111">
        <f t="shared" si="698"/>
        <v>86</v>
      </c>
      <c r="S916" s="129">
        <v>0</v>
      </c>
      <c r="T916" s="129">
        <v>2</v>
      </c>
      <c r="W916" s="111"/>
      <c r="AC916" s="130"/>
      <c r="AD916" s="130">
        <v>22481</v>
      </c>
      <c r="AE916" s="128" t="s">
        <v>32</v>
      </c>
      <c r="AF916" s="128" t="s">
        <v>40</v>
      </c>
      <c r="AG916" s="128" t="s">
        <v>41</v>
      </c>
      <c r="AH916" s="108" t="s">
        <v>41</v>
      </c>
      <c r="AI916" s="128" t="s">
        <v>71</v>
      </c>
      <c r="AJ916" s="129" t="s">
        <v>89</v>
      </c>
      <c r="AK916" s="129">
        <v>5</v>
      </c>
      <c r="AL916" s="3" t="s">
        <v>185</v>
      </c>
      <c r="AP916" s="129" t="s">
        <v>66</v>
      </c>
      <c r="AR916" s="128" t="s">
        <v>67</v>
      </c>
      <c r="AS916" s="129" t="s">
        <v>68</v>
      </c>
      <c r="BC916" s="129" t="s">
        <v>52</v>
      </c>
      <c r="BF916" s="111">
        <f>IF(J916&gt;1/1/1900,((J916+1)-I916),"STILL OPEN")</f>
        <v>5</v>
      </c>
      <c r="BG916" s="111">
        <f>IF(G916&gt;1/1/1900,((G916+1)-I916),"STILL OPEN")</f>
        <v>86</v>
      </c>
      <c r="BH916" s="111">
        <f t="shared" si="671"/>
        <v>86</v>
      </c>
      <c r="BI916" s="111">
        <f t="shared" si="672"/>
        <v>50.560109289617486</v>
      </c>
      <c r="BJ916" s="129">
        <f>(G916-J916)+(M916-G916)</f>
        <v>0</v>
      </c>
      <c r="BK916" s="129">
        <f t="shared" si="673"/>
        <v>-81</v>
      </c>
      <c r="BL916" s="129" t="str">
        <f t="shared" si="657"/>
        <v>CONVICTION</v>
      </c>
      <c r="BM916" s="129" t="s">
        <v>76</v>
      </c>
      <c r="BN916" s="129" t="s">
        <v>88</v>
      </c>
      <c r="BP916" s="137" t="str">
        <f t="shared" si="679"/>
        <v>CONVICTION</v>
      </c>
      <c r="BQ916" s="128" t="str">
        <f t="shared" si="680"/>
        <v>Y</v>
      </c>
      <c r="BR916" s="129" t="str">
        <f>IF(J916&lt;G916,"ON BOND",0)</f>
        <v>ON BOND</v>
      </c>
      <c r="BS916" s="129" t="str">
        <f t="shared" si="682"/>
        <v>DISPOSED</v>
      </c>
      <c r="BT916" s="129" t="str">
        <f t="shared" si="683"/>
        <v>N</v>
      </c>
      <c r="BU916" s="109">
        <f t="shared" si="694"/>
        <v>5.8139534883720929E-2</v>
      </c>
      <c r="BV916" s="109">
        <f t="shared" si="684"/>
        <v>5.8139534883720929E-2</v>
      </c>
      <c r="BW916" s="109">
        <f t="shared" si="695"/>
        <v>0</v>
      </c>
      <c r="BX916" s="111">
        <f t="shared" si="685"/>
        <v>0</v>
      </c>
      <c r="BY916" s="129">
        <f t="shared" si="686"/>
        <v>-5</v>
      </c>
      <c r="BZ916" s="111">
        <f t="shared" si="687"/>
        <v>0</v>
      </c>
      <c r="CA916" s="138">
        <f t="shared" si="688"/>
        <v>5</v>
      </c>
      <c r="CB916" s="111" t="e">
        <f>IF(AF916&gt;1/1/1900,((AF916+1)-AE916),"STILL OPEN")</f>
        <v>#VALUE!</v>
      </c>
      <c r="CC916" s="129">
        <f>M916-I916+1</f>
        <v>5</v>
      </c>
      <c r="CD916" s="111">
        <f>CC916-BF916</f>
        <v>0</v>
      </c>
      <c r="CE916" s="129">
        <f t="shared" si="689"/>
        <v>81</v>
      </c>
      <c r="CG916" s="129" t="str">
        <f t="shared" si="690"/>
        <v>Y</v>
      </c>
      <c r="CI916" s="129" t="str">
        <f t="shared" si="691"/>
        <v>0-10 DAYS</v>
      </c>
      <c r="CJ916" s="137">
        <f t="shared" si="692"/>
        <v>1</v>
      </c>
      <c r="CK916" s="129" t="str">
        <f t="shared" si="693"/>
        <v>Booked</v>
      </c>
    </row>
    <row r="917" spans="1:89" ht="15" customHeight="1" x14ac:dyDescent="0.25">
      <c r="A917" s="111">
        <v>925</v>
      </c>
      <c r="B917" s="128" t="str">
        <f t="shared" si="674"/>
        <v>N</v>
      </c>
      <c r="C917" s="128" t="str">
        <f t="shared" si="675"/>
        <v>N</v>
      </c>
      <c r="D917" s="117">
        <v>1640555</v>
      </c>
      <c r="E917" s="135">
        <f t="shared" si="676"/>
        <v>2</v>
      </c>
      <c r="F917" s="124">
        <v>40943</v>
      </c>
      <c r="G917" s="125">
        <v>41115</v>
      </c>
      <c r="H917" s="117">
        <v>1640555</v>
      </c>
      <c r="I917" s="124" t="s">
        <v>562</v>
      </c>
      <c r="J917" s="124" t="s">
        <v>562</v>
      </c>
      <c r="K917" s="126">
        <v>10000</v>
      </c>
      <c r="L917" s="127" t="s">
        <v>570</v>
      </c>
      <c r="M917" s="125">
        <v>40944</v>
      </c>
      <c r="N917" s="129" t="str">
        <f>IF(M917&gt;1/1/1,"Y",IF(Q917="0","","N"))</f>
        <v>Y</v>
      </c>
      <c r="O917" s="128" t="s">
        <v>76</v>
      </c>
      <c r="P917" s="129" t="s">
        <v>589</v>
      </c>
      <c r="Q917" s="111">
        <f t="shared" si="697"/>
        <v>0</v>
      </c>
      <c r="R917" s="111">
        <f t="shared" si="698"/>
        <v>173</v>
      </c>
      <c r="S917" s="129">
        <v>1</v>
      </c>
      <c r="T917" s="129">
        <v>1</v>
      </c>
      <c r="V917" s="117">
        <v>1</v>
      </c>
      <c r="W917" s="111"/>
      <c r="AC917" s="130"/>
      <c r="AD917" s="130">
        <v>29353</v>
      </c>
      <c r="AE917" s="128" t="s">
        <v>32</v>
      </c>
      <c r="AF917" s="128" t="s">
        <v>33</v>
      </c>
      <c r="AG917" s="128" t="s">
        <v>872</v>
      </c>
      <c r="AH917" s="108" t="s">
        <v>31</v>
      </c>
      <c r="AI917" s="128" t="s">
        <v>100</v>
      </c>
      <c r="AJ917" s="129" t="s">
        <v>48</v>
      </c>
      <c r="AK917" s="129">
        <v>8</v>
      </c>
      <c r="AL917" s="3" t="s">
        <v>48</v>
      </c>
      <c r="AP917" s="129" t="s">
        <v>93</v>
      </c>
      <c r="AR917" s="128" t="s">
        <v>67</v>
      </c>
      <c r="AS917" s="129" t="s">
        <v>45</v>
      </c>
      <c r="BC917" s="129" t="s">
        <v>52</v>
      </c>
      <c r="BF917" s="111">
        <v>0</v>
      </c>
      <c r="BG917" s="111">
        <v>0</v>
      </c>
      <c r="BH917" s="111">
        <f t="shared" si="671"/>
        <v>173</v>
      </c>
      <c r="BI917" s="111">
        <f t="shared" si="672"/>
        <v>31.666666666666668</v>
      </c>
      <c r="BJ917" s="129" t="e">
        <f>(G917-J917)+(M917-G917)</f>
        <v>#VALUE!</v>
      </c>
      <c r="BK917" s="129" t="e">
        <f t="shared" si="673"/>
        <v>#VALUE!</v>
      </c>
      <c r="BL917" s="129" t="str">
        <f t="shared" si="657"/>
        <v>DEFERRED</v>
      </c>
      <c r="BM917" s="129" t="s">
        <v>76</v>
      </c>
      <c r="BN917" s="129" t="s">
        <v>88</v>
      </c>
      <c r="BP917" s="137" t="str">
        <f t="shared" si="679"/>
        <v>DEFERRED</v>
      </c>
      <c r="BQ917" s="128">
        <f t="shared" si="680"/>
        <v>0</v>
      </c>
      <c r="BR917" s="129" t="s">
        <v>575</v>
      </c>
      <c r="BS917" s="129" t="str">
        <f t="shared" si="682"/>
        <v>DISPOSED</v>
      </c>
      <c r="BT917" s="129" t="str">
        <f t="shared" si="683"/>
        <v>Y</v>
      </c>
      <c r="BU917" s="109">
        <f t="shared" si="694"/>
        <v>0</v>
      </c>
      <c r="BV917" s="109">
        <v>0</v>
      </c>
      <c r="BW917" s="109">
        <f t="shared" si="695"/>
        <v>0</v>
      </c>
      <c r="BX917" s="111">
        <f t="shared" si="685"/>
        <v>0</v>
      </c>
      <c r="BY917" s="129" t="e">
        <f t="shared" si="686"/>
        <v>#VALUE!</v>
      </c>
      <c r="BZ917" s="111" t="e">
        <f t="shared" si="687"/>
        <v>#VALUE!</v>
      </c>
      <c r="CA917" s="138" t="e">
        <f t="shared" si="688"/>
        <v>#VALUE!</v>
      </c>
      <c r="CB917" s="111">
        <v>0</v>
      </c>
      <c r="CC917" s="129">
        <v>0</v>
      </c>
      <c r="CD917" s="111">
        <f>CC917-BF917</f>
        <v>0</v>
      </c>
      <c r="CE917" s="129" t="e">
        <f t="shared" si="689"/>
        <v>#VALUE!</v>
      </c>
      <c r="CG917" s="129" t="str">
        <f t="shared" si="690"/>
        <v>Y</v>
      </c>
      <c r="CI917" s="129" t="str">
        <f t="shared" si="691"/>
        <v>0-10 DAYS</v>
      </c>
      <c r="CJ917" s="137">
        <f t="shared" si="692"/>
        <v>1</v>
      </c>
      <c r="CK917" s="129" t="str">
        <f t="shared" si="693"/>
        <v>Not Booked</v>
      </c>
    </row>
    <row r="918" spans="1:89" ht="15" customHeight="1" x14ac:dyDescent="0.25">
      <c r="A918" s="111">
        <v>315</v>
      </c>
      <c r="B918" s="128" t="str">
        <f t="shared" si="674"/>
        <v>N</v>
      </c>
      <c r="C918" s="128" t="str">
        <f t="shared" si="675"/>
        <v>N</v>
      </c>
      <c r="D918" s="117">
        <v>1643315</v>
      </c>
      <c r="E918" s="135">
        <f t="shared" si="676"/>
        <v>4</v>
      </c>
      <c r="F918" s="124">
        <v>40921</v>
      </c>
      <c r="G918" s="125">
        <v>41225</v>
      </c>
      <c r="H918" s="117">
        <v>1643315</v>
      </c>
      <c r="I918" s="124">
        <v>40928</v>
      </c>
      <c r="J918" s="125">
        <v>41225</v>
      </c>
      <c r="K918" s="126">
        <v>20000</v>
      </c>
      <c r="L918" s="127" t="s">
        <v>571</v>
      </c>
      <c r="N918" s="129" t="str">
        <f t="shared" ref="N918:N923" si="699">IF(M918&gt;1/1/1,"Y","N")</f>
        <v>N</v>
      </c>
      <c r="O918" s="128" t="s">
        <v>917</v>
      </c>
      <c r="P918" s="129" t="s">
        <v>39</v>
      </c>
      <c r="Q918" s="111">
        <f t="shared" si="697"/>
        <v>298</v>
      </c>
      <c r="R918" s="111">
        <f t="shared" si="698"/>
        <v>305</v>
      </c>
      <c r="S918" s="129">
        <v>1</v>
      </c>
      <c r="T918" s="129">
        <v>14</v>
      </c>
      <c r="U918" s="129">
        <v>1</v>
      </c>
      <c r="W918" s="111"/>
      <c r="AC918" s="130"/>
      <c r="AD918" s="130">
        <v>29551</v>
      </c>
      <c r="AE918" s="128" t="s">
        <v>32</v>
      </c>
      <c r="AF918" s="128" t="s">
        <v>33</v>
      </c>
      <c r="AG918" s="128" t="s">
        <v>872</v>
      </c>
      <c r="AH918" s="108" t="s">
        <v>58</v>
      </c>
      <c r="AI918" s="128" t="s">
        <v>118</v>
      </c>
      <c r="AJ918" s="129" t="s">
        <v>89</v>
      </c>
      <c r="AK918" s="129">
        <v>9</v>
      </c>
      <c r="AL918" s="3" t="s">
        <v>991</v>
      </c>
      <c r="AO918" s="128">
        <v>365</v>
      </c>
      <c r="AP918" s="129" t="s">
        <v>56</v>
      </c>
      <c r="AR918" s="128" t="s">
        <v>50</v>
      </c>
      <c r="AS918" s="129" t="s">
        <v>57</v>
      </c>
      <c r="BC918" s="129" t="s">
        <v>38</v>
      </c>
      <c r="BF918" s="111">
        <f t="shared" ref="BF918:BF944" si="700">IF(J918&gt;1/1/1900,((J918+1)-I918),"STILL OPEN")</f>
        <v>298</v>
      </c>
      <c r="BG918" s="111">
        <f t="shared" ref="BG918:BG950" si="701">IF(G918&gt;1/1/1900,((G918+1)-I918),"STILL OPEN")</f>
        <v>298</v>
      </c>
      <c r="BH918" s="111">
        <f t="shared" si="671"/>
        <v>305</v>
      </c>
      <c r="BI918" s="111">
        <f t="shared" si="672"/>
        <v>31.065573770491802</v>
      </c>
      <c r="BJ918" s="129">
        <f t="shared" si="677"/>
        <v>0</v>
      </c>
      <c r="BK918" s="129">
        <f t="shared" si="673"/>
        <v>0</v>
      </c>
      <c r="BL918" s="129" t="str">
        <f t="shared" si="657"/>
        <v>CONVICTION</v>
      </c>
      <c r="BM918" s="129" t="str">
        <f t="shared" si="678"/>
        <v>NONE</v>
      </c>
      <c r="BN918" s="129" t="s">
        <v>566</v>
      </c>
      <c r="BP918" s="137" t="str">
        <f t="shared" si="679"/>
        <v>CONVICTION</v>
      </c>
      <c r="BQ918" s="128" t="str">
        <f t="shared" si="680"/>
        <v>Y</v>
      </c>
      <c r="BR918" s="129" t="str">
        <f t="shared" si="681"/>
        <v>DETAINED</v>
      </c>
      <c r="BS918" s="129" t="str">
        <f t="shared" si="682"/>
        <v>DISPOSED</v>
      </c>
      <c r="BT918" s="129" t="str">
        <f t="shared" si="683"/>
        <v>Y</v>
      </c>
      <c r="BU918" s="109">
        <f t="shared" si="694"/>
        <v>0.9770491803278688</v>
      </c>
      <c r="BV918" s="109">
        <f t="shared" si="684"/>
        <v>1</v>
      </c>
      <c r="BW918" s="109">
        <f t="shared" si="695"/>
        <v>2.2950819672131195E-2</v>
      </c>
      <c r="BX918" s="111">
        <f t="shared" si="685"/>
        <v>0</v>
      </c>
      <c r="BY918" s="129">
        <f t="shared" si="686"/>
        <v>-298</v>
      </c>
      <c r="BZ918" s="111">
        <f t="shared" si="687"/>
        <v>0</v>
      </c>
      <c r="CA918" s="138">
        <f t="shared" si="688"/>
        <v>298</v>
      </c>
      <c r="CB918" s="111" t="e">
        <f t="shared" ref="CB918:CB944" si="702">IF(AF918&gt;1/1/1900,((AF918+1)-AE918),"STILL OPEN")</f>
        <v>#VALUE!</v>
      </c>
      <c r="CC918" s="129">
        <f t="shared" ref="CC918:CC926" si="703">G918-I918+1</f>
        <v>298</v>
      </c>
      <c r="CD918" s="129">
        <f t="shared" ref="CD918:CD926" si="704">G918-J918</f>
        <v>0</v>
      </c>
      <c r="CE918" s="129">
        <f t="shared" si="689"/>
        <v>0</v>
      </c>
      <c r="CG918" s="129" t="str">
        <f t="shared" si="690"/>
        <v>Y</v>
      </c>
      <c r="CI918" s="129" t="str">
        <f t="shared" si="691"/>
        <v>121-365 DAYS</v>
      </c>
      <c r="CJ918" s="137">
        <f t="shared" si="692"/>
        <v>6</v>
      </c>
      <c r="CK918" s="129" t="str">
        <f t="shared" si="693"/>
        <v>Booked</v>
      </c>
    </row>
    <row r="919" spans="1:89" ht="15.75" customHeight="1" x14ac:dyDescent="0.25">
      <c r="A919" s="111">
        <v>1257</v>
      </c>
      <c r="B919" s="128" t="str">
        <f t="shared" si="674"/>
        <v>N</v>
      </c>
      <c r="C919" s="128" t="str">
        <f t="shared" si="675"/>
        <v>N</v>
      </c>
      <c r="D919" s="117">
        <v>1643370</v>
      </c>
      <c r="E919" s="135">
        <f t="shared" si="676"/>
        <v>2</v>
      </c>
      <c r="F919" s="124">
        <v>40954</v>
      </c>
      <c r="G919" s="125">
        <v>40959</v>
      </c>
      <c r="H919" s="117">
        <v>1643370</v>
      </c>
      <c r="I919" s="124">
        <v>40955</v>
      </c>
      <c r="J919" s="124">
        <v>40959</v>
      </c>
      <c r="K919" s="126">
        <v>15000</v>
      </c>
      <c r="L919" s="127" t="s">
        <v>571</v>
      </c>
      <c r="N919" s="129" t="str">
        <f t="shared" si="699"/>
        <v>N</v>
      </c>
      <c r="O919" s="128" t="s">
        <v>917</v>
      </c>
      <c r="P919" s="129" t="s">
        <v>589</v>
      </c>
      <c r="Q919" s="111">
        <f t="shared" si="697"/>
        <v>5</v>
      </c>
      <c r="R919" s="111">
        <f t="shared" si="698"/>
        <v>6</v>
      </c>
      <c r="S919" s="129">
        <v>9</v>
      </c>
      <c r="T919" s="129">
        <v>11</v>
      </c>
      <c r="U919" s="129">
        <v>6</v>
      </c>
      <c r="W919" s="111"/>
      <c r="AC919" s="130"/>
      <c r="AD919" s="130">
        <v>29482</v>
      </c>
      <c r="AE919" s="128" t="s">
        <v>32</v>
      </c>
      <c r="AF919" s="128" t="s">
        <v>33</v>
      </c>
      <c r="AG919" s="128" t="s">
        <v>872</v>
      </c>
      <c r="AH919" s="108" t="s">
        <v>31</v>
      </c>
      <c r="AI919" s="128" t="s">
        <v>71</v>
      </c>
      <c r="AJ919" s="129" t="s">
        <v>48</v>
      </c>
      <c r="AK919" s="129">
        <v>2</v>
      </c>
      <c r="AL919" s="3" t="s">
        <v>48</v>
      </c>
      <c r="AP919" s="129" t="s">
        <v>43</v>
      </c>
      <c r="AR919" s="128" t="s">
        <v>44</v>
      </c>
      <c r="AS919" s="129" t="s">
        <v>45</v>
      </c>
      <c r="BC919" s="129" t="s">
        <v>38</v>
      </c>
      <c r="BF919" s="111">
        <f t="shared" si="700"/>
        <v>5</v>
      </c>
      <c r="BG919" s="111">
        <f t="shared" si="701"/>
        <v>5</v>
      </c>
      <c r="BH919" s="111">
        <f t="shared" si="671"/>
        <v>6</v>
      </c>
      <c r="BI919" s="111">
        <f t="shared" si="672"/>
        <v>31.344262295081968</v>
      </c>
      <c r="BJ919" s="129">
        <f t="shared" si="677"/>
        <v>0</v>
      </c>
      <c r="BK919" s="129">
        <f t="shared" si="673"/>
        <v>0</v>
      </c>
      <c r="BL919" s="129" t="str">
        <f t="shared" si="657"/>
        <v>DEFERRED</v>
      </c>
      <c r="BM919" s="129" t="str">
        <f t="shared" si="678"/>
        <v>NONE</v>
      </c>
      <c r="BN919" s="129" t="s">
        <v>566</v>
      </c>
      <c r="BP919" s="137" t="str">
        <f t="shared" si="679"/>
        <v>DEFERRED</v>
      </c>
      <c r="BQ919" s="128" t="str">
        <f t="shared" si="680"/>
        <v>Y</v>
      </c>
      <c r="BR919" s="129" t="str">
        <f t="shared" si="681"/>
        <v>DETAINED</v>
      </c>
      <c r="BS919" s="129" t="str">
        <f t="shared" si="682"/>
        <v>DISPOSED</v>
      </c>
      <c r="BT919" s="129" t="str">
        <f t="shared" si="683"/>
        <v>Y</v>
      </c>
      <c r="BU919" s="109">
        <f t="shared" si="694"/>
        <v>0.83333333333333337</v>
      </c>
      <c r="BV919" s="109">
        <f t="shared" si="684"/>
        <v>1</v>
      </c>
      <c r="BW919" s="109">
        <f t="shared" si="695"/>
        <v>0.16666666666666663</v>
      </c>
      <c r="BX919" s="111">
        <f t="shared" si="685"/>
        <v>0</v>
      </c>
      <c r="BY919" s="129">
        <f t="shared" si="686"/>
        <v>-5</v>
      </c>
      <c r="BZ919" s="111">
        <f t="shared" si="687"/>
        <v>0</v>
      </c>
      <c r="CA919" s="138">
        <f t="shared" si="688"/>
        <v>5</v>
      </c>
      <c r="CB919" s="111" t="e">
        <f t="shared" si="702"/>
        <v>#VALUE!</v>
      </c>
      <c r="CC919" s="129">
        <f t="shared" si="703"/>
        <v>5</v>
      </c>
      <c r="CD919" s="129">
        <f t="shared" si="704"/>
        <v>0</v>
      </c>
      <c r="CE919" s="129">
        <f t="shared" si="689"/>
        <v>0</v>
      </c>
      <c r="CG919" s="129" t="str">
        <f t="shared" si="690"/>
        <v>Y</v>
      </c>
      <c r="CI919" s="129" t="str">
        <f t="shared" si="691"/>
        <v>0-10 DAYS</v>
      </c>
      <c r="CJ919" s="137">
        <f t="shared" si="692"/>
        <v>1</v>
      </c>
      <c r="CK919" s="129" t="str">
        <f t="shared" si="693"/>
        <v>Booked</v>
      </c>
    </row>
    <row r="920" spans="1:89" ht="15.75" customHeight="1" x14ac:dyDescent="0.25">
      <c r="A920" s="111">
        <v>3098</v>
      </c>
      <c r="B920" s="128" t="str">
        <f t="shared" si="674"/>
        <v>N</v>
      </c>
      <c r="C920" s="128" t="str">
        <f t="shared" si="675"/>
        <v>N</v>
      </c>
      <c r="D920" s="117">
        <v>1644824</v>
      </c>
      <c r="E920" s="135">
        <f t="shared" si="676"/>
        <v>6</v>
      </c>
      <c r="F920" s="124">
        <v>41023</v>
      </c>
      <c r="G920" s="125">
        <v>41645</v>
      </c>
      <c r="H920" s="117">
        <v>1644824</v>
      </c>
      <c r="I920" s="124">
        <v>41180</v>
      </c>
      <c r="J920" s="124">
        <f>G920</f>
        <v>41645</v>
      </c>
      <c r="K920" s="126">
        <v>70000</v>
      </c>
      <c r="L920" s="129" t="s">
        <v>572</v>
      </c>
      <c r="N920" s="129" t="str">
        <f t="shared" si="699"/>
        <v>N</v>
      </c>
      <c r="O920" s="128" t="s">
        <v>917</v>
      </c>
      <c r="P920" s="129" t="s">
        <v>39</v>
      </c>
      <c r="Q920" s="111">
        <f>J920-I920+1</f>
        <v>466</v>
      </c>
      <c r="R920" s="111">
        <f t="shared" si="698"/>
        <v>623</v>
      </c>
      <c r="S920" s="129">
        <v>6</v>
      </c>
      <c r="T920" s="129">
        <v>4</v>
      </c>
      <c r="U920" s="129">
        <v>3</v>
      </c>
      <c r="W920" s="111"/>
      <c r="AC920" s="130"/>
      <c r="AD920" s="130">
        <v>28544</v>
      </c>
      <c r="AE920" s="128" t="s">
        <v>32</v>
      </c>
      <c r="AF920" s="128" t="s">
        <v>40</v>
      </c>
      <c r="AG920" s="128" t="s">
        <v>41</v>
      </c>
      <c r="AH920" s="108" t="s">
        <v>41</v>
      </c>
      <c r="AI920" s="128" t="s">
        <v>95</v>
      </c>
      <c r="AJ920" s="129" t="s">
        <v>89</v>
      </c>
      <c r="AK920" s="129">
        <v>11</v>
      </c>
      <c r="AL920" s="3" t="s">
        <v>362</v>
      </c>
      <c r="AM920" s="117">
        <v>6</v>
      </c>
      <c r="AP920" s="129" t="s">
        <v>105</v>
      </c>
      <c r="AR920" s="128" t="s">
        <v>92</v>
      </c>
      <c r="AS920" s="129" t="s">
        <v>106</v>
      </c>
      <c r="BC920" s="129" t="s">
        <v>52</v>
      </c>
      <c r="BF920" s="111">
        <f>Q920</f>
        <v>466</v>
      </c>
      <c r="BG920" s="111">
        <f t="shared" si="701"/>
        <v>466</v>
      </c>
      <c r="BH920" s="111">
        <f t="shared" si="671"/>
        <v>623</v>
      </c>
      <c r="BI920" s="111">
        <f t="shared" si="672"/>
        <v>34.095628415300546</v>
      </c>
      <c r="BJ920" s="129">
        <f t="shared" si="677"/>
        <v>0</v>
      </c>
      <c r="BK920" s="129">
        <f t="shared" si="673"/>
        <v>0</v>
      </c>
      <c r="BL920" s="129" t="str">
        <f t="shared" si="657"/>
        <v>CONVICTION</v>
      </c>
      <c r="BM920" s="129" t="str">
        <f t="shared" si="678"/>
        <v>NONE</v>
      </c>
      <c r="BN920" s="129" t="s">
        <v>566</v>
      </c>
      <c r="BP920" s="137" t="str">
        <f t="shared" si="679"/>
        <v>CONVICTION</v>
      </c>
      <c r="BQ920" s="128" t="str">
        <f t="shared" si="680"/>
        <v>Y</v>
      </c>
      <c r="BR920" s="129" t="s">
        <v>574</v>
      </c>
      <c r="BS920" s="129" t="s">
        <v>1259</v>
      </c>
      <c r="BT920" s="129" t="str">
        <f t="shared" si="683"/>
        <v>Y</v>
      </c>
      <c r="BU920" s="109">
        <f>IFERROR(Q920/R920,BR920)</f>
        <v>0.7479935794542536</v>
      </c>
      <c r="BV920" s="109">
        <f t="shared" si="684"/>
        <v>1</v>
      </c>
      <c r="BW920" s="109">
        <f t="shared" si="695"/>
        <v>0.2520064205457464</v>
      </c>
      <c r="BX920" s="111">
        <f t="shared" si="685"/>
        <v>0</v>
      </c>
      <c r="BY920" s="129">
        <f t="shared" si="686"/>
        <v>-466</v>
      </c>
      <c r="BZ920" s="111">
        <f t="shared" si="687"/>
        <v>0</v>
      </c>
      <c r="CA920" s="138">
        <f t="shared" si="688"/>
        <v>466</v>
      </c>
      <c r="CB920" s="111">
        <f>AM920</f>
        <v>6</v>
      </c>
      <c r="CC920" s="129">
        <f t="shared" si="703"/>
        <v>466</v>
      </c>
      <c r="CD920" s="129">
        <f t="shared" si="704"/>
        <v>0</v>
      </c>
      <c r="CE920" s="129">
        <f t="shared" si="689"/>
        <v>0</v>
      </c>
      <c r="CG920" s="129" t="str">
        <f t="shared" si="690"/>
        <v>Y</v>
      </c>
      <c r="CI920" s="129" t="str">
        <f t="shared" si="691"/>
        <v xml:space="preserve"> &gt;1YRS&lt;2YRS</v>
      </c>
      <c r="CJ920" s="137">
        <f t="shared" si="692"/>
        <v>0</v>
      </c>
      <c r="CK920" s="129" t="str">
        <f t="shared" si="693"/>
        <v>Booked</v>
      </c>
    </row>
    <row r="921" spans="1:89" ht="15.75" customHeight="1" x14ac:dyDescent="0.25">
      <c r="A921" s="111">
        <v>2664</v>
      </c>
      <c r="B921" s="128" t="str">
        <f t="shared" si="674"/>
        <v>N</v>
      </c>
      <c r="C921" s="128" t="str">
        <f t="shared" si="675"/>
        <v>N</v>
      </c>
      <c r="D921" s="117">
        <v>1648744</v>
      </c>
      <c r="E921" s="135">
        <f t="shared" si="676"/>
        <v>2</v>
      </c>
      <c r="F921" s="124">
        <v>41008</v>
      </c>
      <c r="G921" s="125">
        <v>41059</v>
      </c>
      <c r="H921" s="117">
        <v>1648744</v>
      </c>
      <c r="I921" s="124">
        <v>41010</v>
      </c>
      <c r="J921" s="124">
        <v>41059</v>
      </c>
      <c r="K921" s="126">
        <v>35000</v>
      </c>
      <c r="L921" s="129" t="s">
        <v>572</v>
      </c>
      <c r="N921" s="129" t="str">
        <f t="shared" si="699"/>
        <v>N</v>
      </c>
      <c r="O921" s="128" t="s">
        <v>917</v>
      </c>
      <c r="P921" s="129" t="s">
        <v>589</v>
      </c>
      <c r="Q921" s="111">
        <f t="shared" si="697"/>
        <v>50</v>
      </c>
      <c r="R921" s="111">
        <f t="shared" si="698"/>
        <v>52</v>
      </c>
      <c r="S921" s="129">
        <v>1</v>
      </c>
      <c r="T921" s="129">
        <v>3</v>
      </c>
      <c r="W921" s="111"/>
      <c r="AC921" s="130"/>
      <c r="AD921" s="130">
        <v>29635</v>
      </c>
      <c r="AE921" s="128" t="s">
        <v>32</v>
      </c>
      <c r="AF921" s="128" t="s">
        <v>69</v>
      </c>
      <c r="AG921" s="128" t="s">
        <v>874</v>
      </c>
      <c r="AH921" s="108" t="s">
        <v>58</v>
      </c>
      <c r="AI921" s="128" t="s">
        <v>90</v>
      </c>
      <c r="AJ921" s="129" t="s">
        <v>48</v>
      </c>
      <c r="AK921" s="129">
        <v>5</v>
      </c>
      <c r="AL921" s="3" t="s">
        <v>48</v>
      </c>
      <c r="AP921" s="129" t="s">
        <v>150</v>
      </c>
      <c r="AR921" s="128" t="s">
        <v>67</v>
      </c>
      <c r="AS921" s="129" t="s">
        <v>74</v>
      </c>
      <c r="BC921" s="129" t="s">
        <v>52</v>
      </c>
      <c r="BF921" s="111">
        <f t="shared" si="700"/>
        <v>50</v>
      </c>
      <c r="BG921" s="111">
        <f t="shared" si="701"/>
        <v>50</v>
      </c>
      <c r="BH921" s="111">
        <f t="shared" si="671"/>
        <v>52</v>
      </c>
      <c r="BI921" s="111">
        <f t="shared" si="672"/>
        <v>31.07377049180328</v>
      </c>
      <c r="BJ921" s="129">
        <f t="shared" si="677"/>
        <v>0</v>
      </c>
      <c r="BK921" s="129">
        <f t="shared" si="673"/>
        <v>0</v>
      </c>
      <c r="BL921" s="129" t="str">
        <f t="shared" ref="BL921:BL984" si="705">IF(OR(AL921="AQUITTAL",AL921="DISMISSED",AL921="FINE",AL921="NO BILL"),"NO CONVICTION",IF(OR(AL921="HCJ",AL921="MHH",AL921="PROBATION",AL921="STJ",AL921="TDC"),"CONVICTION",IF(AL921="DEFERRED","DEFERRED",0)))</f>
        <v>DEFERRED</v>
      </c>
      <c r="BM921" s="129" t="str">
        <f t="shared" si="678"/>
        <v>NONE</v>
      </c>
      <c r="BN921" s="129" t="s">
        <v>566</v>
      </c>
      <c r="BP921" s="137" t="str">
        <f t="shared" si="679"/>
        <v>DEFERRED</v>
      </c>
      <c r="BQ921" s="128" t="str">
        <f t="shared" si="680"/>
        <v>Y</v>
      </c>
      <c r="BR921" s="129" t="str">
        <f t="shared" si="681"/>
        <v>DETAINED</v>
      </c>
      <c r="BS921" s="129" t="str">
        <f t="shared" si="682"/>
        <v>DISPOSED</v>
      </c>
      <c r="BT921" s="129" t="str">
        <f t="shared" si="683"/>
        <v>Y</v>
      </c>
      <c r="BU921" s="109">
        <f t="shared" si="694"/>
        <v>0.96153846153846156</v>
      </c>
      <c r="BV921" s="109">
        <f t="shared" si="684"/>
        <v>1</v>
      </c>
      <c r="BW921" s="109">
        <f t="shared" si="695"/>
        <v>3.8461538461538436E-2</v>
      </c>
      <c r="BX921" s="111">
        <f t="shared" si="685"/>
        <v>0</v>
      </c>
      <c r="BY921" s="129">
        <f t="shared" si="686"/>
        <v>-50</v>
      </c>
      <c r="BZ921" s="111">
        <f t="shared" si="687"/>
        <v>0</v>
      </c>
      <c r="CA921" s="138">
        <f t="shared" si="688"/>
        <v>50</v>
      </c>
      <c r="CB921" s="111" t="e">
        <f t="shared" si="702"/>
        <v>#VALUE!</v>
      </c>
      <c r="CC921" s="129">
        <f t="shared" si="703"/>
        <v>50</v>
      </c>
      <c r="CD921" s="129">
        <f t="shared" si="704"/>
        <v>0</v>
      </c>
      <c r="CE921" s="129">
        <f t="shared" si="689"/>
        <v>0</v>
      </c>
      <c r="CG921" s="129" t="str">
        <f t="shared" si="690"/>
        <v>Y</v>
      </c>
      <c r="CI921" s="129" t="str">
        <f t="shared" si="691"/>
        <v>31-60 DAYS</v>
      </c>
      <c r="CJ921" s="137">
        <f t="shared" si="692"/>
        <v>3</v>
      </c>
      <c r="CK921" s="129" t="str">
        <f t="shared" si="693"/>
        <v>Booked</v>
      </c>
    </row>
    <row r="922" spans="1:89" ht="15" customHeight="1" x14ac:dyDescent="0.25">
      <c r="A922" s="111">
        <v>1001</v>
      </c>
      <c r="B922" s="128" t="str">
        <f t="shared" si="674"/>
        <v>N</v>
      </c>
      <c r="C922" s="128" t="str">
        <f t="shared" si="675"/>
        <v>N</v>
      </c>
      <c r="D922" s="117">
        <v>1649757</v>
      </c>
      <c r="E922" s="135">
        <f t="shared" si="676"/>
        <v>5</v>
      </c>
      <c r="F922" s="124">
        <v>40946</v>
      </c>
      <c r="G922" s="125">
        <v>41115</v>
      </c>
      <c r="H922" s="117">
        <v>1649757</v>
      </c>
      <c r="I922" s="124">
        <v>40946</v>
      </c>
      <c r="J922" s="124">
        <v>41115</v>
      </c>
      <c r="K922" s="126">
        <v>15000</v>
      </c>
      <c r="L922" s="127" t="s">
        <v>571</v>
      </c>
      <c r="N922" s="129" t="str">
        <f t="shared" si="699"/>
        <v>N</v>
      </c>
      <c r="O922" s="128" t="s">
        <v>917</v>
      </c>
      <c r="P922" s="129" t="s">
        <v>39</v>
      </c>
      <c r="Q922" s="111">
        <f t="shared" si="697"/>
        <v>170</v>
      </c>
      <c r="R922" s="111">
        <f t="shared" si="698"/>
        <v>170</v>
      </c>
      <c r="S922" s="129">
        <v>6</v>
      </c>
      <c r="T922" s="129">
        <v>3</v>
      </c>
      <c r="U922" s="129">
        <v>5</v>
      </c>
      <c r="W922" s="111"/>
      <c r="AC922" s="130"/>
      <c r="AD922" s="130">
        <v>27735</v>
      </c>
      <c r="AE922" s="128" t="s">
        <v>32</v>
      </c>
      <c r="AF922" s="128" t="s">
        <v>33</v>
      </c>
      <c r="AG922" s="128" t="s">
        <v>872</v>
      </c>
      <c r="AH922" s="108" t="s">
        <v>58</v>
      </c>
      <c r="AI922" s="128" t="s">
        <v>47</v>
      </c>
      <c r="AJ922" s="129" t="s">
        <v>89</v>
      </c>
      <c r="AK922" s="129">
        <v>5</v>
      </c>
      <c r="AL922" s="3" t="s">
        <v>992</v>
      </c>
      <c r="AN922" s="117">
        <v>10</v>
      </c>
      <c r="AP922" s="129" t="s">
        <v>136</v>
      </c>
      <c r="AR922" s="128" t="s">
        <v>67</v>
      </c>
      <c r="AS922" s="129" t="s">
        <v>64</v>
      </c>
      <c r="BC922" s="129" t="s">
        <v>38</v>
      </c>
      <c r="BF922" s="111">
        <f t="shared" si="700"/>
        <v>170</v>
      </c>
      <c r="BG922" s="111">
        <f t="shared" si="701"/>
        <v>170</v>
      </c>
      <c r="BH922" s="111">
        <f t="shared" si="671"/>
        <v>170</v>
      </c>
      <c r="BI922" s="111">
        <f t="shared" si="672"/>
        <v>36.095628415300546</v>
      </c>
      <c r="BJ922" s="129">
        <f t="shared" si="677"/>
        <v>0</v>
      </c>
      <c r="BK922" s="129">
        <f t="shared" si="673"/>
        <v>0</v>
      </c>
      <c r="BL922" s="129" t="str">
        <f t="shared" si="705"/>
        <v>CONVICTION</v>
      </c>
      <c r="BM922" s="129" t="str">
        <f t="shared" si="678"/>
        <v>NONE</v>
      </c>
      <c r="BN922" s="129" t="s">
        <v>566</v>
      </c>
      <c r="BP922" s="137" t="str">
        <f t="shared" si="679"/>
        <v>CONVICTION</v>
      </c>
      <c r="BQ922" s="128" t="str">
        <f t="shared" si="680"/>
        <v>Y</v>
      </c>
      <c r="BR922" s="129" t="str">
        <f t="shared" si="681"/>
        <v>DETAINED</v>
      </c>
      <c r="BS922" s="129" t="str">
        <f t="shared" si="682"/>
        <v>DISPOSED</v>
      </c>
      <c r="BT922" s="129" t="str">
        <f t="shared" si="683"/>
        <v>Y</v>
      </c>
      <c r="BU922" s="109">
        <f t="shared" si="694"/>
        <v>1</v>
      </c>
      <c r="BV922" s="109">
        <f t="shared" si="684"/>
        <v>1</v>
      </c>
      <c r="BW922" s="109">
        <f t="shared" si="695"/>
        <v>0</v>
      </c>
      <c r="BX922" s="111">
        <f t="shared" si="685"/>
        <v>0</v>
      </c>
      <c r="BY922" s="129">
        <f t="shared" si="686"/>
        <v>-170</v>
      </c>
      <c r="BZ922" s="111">
        <f t="shared" si="687"/>
        <v>0</v>
      </c>
      <c r="CA922" s="138">
        <f t="shared" si="688"/>
        <v>170</v>
      </c>
      <c r="CB922" s="111" t="e">
        <f t="shared" si="702"/>
        <v>#VALUE!</v>
      </c>
      <c r="CC922" s="129">
        <f t="shared" si="703"/>
        <v>170</v>
      </c>
      <c r="CD922" s="129">
        <f t="shared" si="704"/>
        <v>0</v>
      </c>
      <c r="CE922" s="129">
        <f t="shared" si="689"/>
        <v>0</v>
      </c>
      <c r="CG922" s="129" t="str">
        <f t="shared" si="690"/>
        <v>Y</v>
      </c>
      <c r="CI922" s="129" t="str">
        <f t="shared" si="691"/>
        <v>121-365 DAYS</v>
      </c>
      <c r="CJ922" s="137">
        <f t="shared" si="692"/>
        <v>6</v>
      </c>
      <c r="CK922" s="129" t="str">
        <f t="shared" si="693"/>
        <v>Booked</v>
      </c>
    </row>
    <row r="923" spans="1:89" ht="15" customHeight="1" x14ac:dyDescent="0.25">
      <c r="A923" s="111">
        <v>187</v>
      </c>
      <c r="B923" s="128" t="str">
        <f t="shared" si="674"/>
        <v>N</v>
      </c>
      <c r="C923" s="128" t="str">
        <f t="shared" si="675"/>
        <v>N</v>
      </c>
      <c r="D923" s="117">
        <v>1653126</v>
      </c>
      <c r="E923" s="135">
        <f t="shared" si="676"/>
        <v>6</v>
      </c>
      <c r="F923" s="124">
        <v>40917</v>
      </c>
      <c r="G923" s="125">
        <v>41117</v>
      </c>
      <c r="H923" s="117">
        <v>1653126</v>
      </c>
      <c r="I923" s="124">
        <v>40917</v>
      </c>
      <c r="J923" s="124">
        <v>41117</v>
      </c>
      <c r="K923" s="126">
        <v>35000</v>
      </c>
      <c r="L923" s="129" t="s">
        <v>572</v>
      </c>
      <c r="N923" s="129" t="str">
        <f t="shared" si="699"/>
        <v>N</v>
      </c>
      <c r="O923" s="128" t="s">
        <v>917</v>
      </c>
      <c r="P923" s="129" t="s">
        <v>39</v>
      </c>
      <c r="Q923" s="111">
        <f t="shared" si="697"/>
        <v>201</v>
      </c>
      <c r="R923" s="111">
        <f t="shared" si="698"/>
        <v>201</v>
      </c>
      <c r="S923" s="129">
        <v>1</v>
      </c>
      <c r="T923" s="129">
        <v>2</v>
      </c>
      <c r="W923" s="111"/>
      <c r="AC923" s="130"/>
      <c r="AD923" s="130">
        <v>25662</v>
      </c>
      <c r="AE923" s="128" t="s">
        <v>32</v>
      </c>
      <c r="AF923" s="128" t="s">
        <v>40</v>
      </c>
      <c r="AG923" s="128" t="s">
        <v>41</v>
      </c>
      <c r="AH923" s="108" t="s">
        <v>41</v>
      </c>
      <c r="AI923" s="128" t="s">
        <v>71</v>
      </c>
      <c r="AJ923" s="129" t="s">
        <v>89</v>
      </c>
      <c r="AK923" s="129">
        <v>8</v>
      </c>
      <c r="AL923" s="3" t="s">
        <v>362</v>
      </c>
      <c r="AM923" s="117">
        <v>2</v>
      </c>
      <c r="AP923" s="129" t="s">
        <v>66</v>
      </c>
      <c r="AR923" s="128" t="s">
        <v>67</v>
      </c>
      <c r="AS923" s="129" t="s">
        <v>68</v>
      </c>
      <c r="BC923" s="129" t="s">
        <v>52</v>
      </c>
      <c r="BF923" s="111">
        <f t="shared" si="700"/>
        <v>201</v>
      </c>
      <c r="BG923" s="111">
        <f t="shared" si="701"/>
        <v>201</v>
      </c>
      <c r="BH923" s="111">
        <f t="shared" si="671"/>
        <v>201</v>
      </c>
      <c r="BI923" s="111">
        <f t="shared" si="672"/>
        <v>41.680327868852459</v>
      </c>
      <c r="BJ923" s="129">
        <f t="shared" si="677"/>
        <v>0</v>
      </c>
      <c r="BK923" s="129">
        <f t="shared" si="673"/>
        <v>0</v>
      </c>
      <c r="BL923" s="129" t="str">
        <f t="shared" si="705"/>
        <v>CONVICTION</v>
      </c>
      <c r="BM923" s="129" t="str">
        <f t="shared" si="678"/>
        <v>NONE</v>
      </c>
      <c r="BN923" s="129" t="s">
        <v>566</v>
      </c>
      <c r="BP923" s="137" t="str">
        <f t="shared" si="679"/>
        <v>CONVICTION</v>
      </c>
      <c r="BQ923" s="128" t="str">
        <f t="shared" si="680"/>
        <v>Y</v>
      </c>
      <c r="BR923" s="129" t="str">
        <f t="shared" si="681"/>
        <v>DETAINED</v>
      </c>
      <c r="BS923" s="129" t="str">
        <f t="shared" si="682"/>
        <v>DISPOSED</v>
      </c>
      <c r="BT923" s="129" t="str">
        <f t="shared" si="683"/>
        <v>Y</v>
      </c>
      <c r="BU923" s="109">
        <f t="shared" si="694"/>
        <v>1</v>
      </c>
      <c r="BV923" s="109">
        <f t="shared" si="684"/>
        <v>1</v>
      </c>
      <c r="BW923" s="109">
        <f t="shared" si="695"/>
        <v>0</v>
      </c>
      <c r="BX923" s="111">
        <f t="shared" si="685"/>
        <v>0</v>
      </c>
      <c r="BY923" s="129">
        <f t="shared" si="686"/>
        <v>-201</v>
      </c>
      <c r="BZ923" s="111">
        <f t="shared" si="687"/>
        <v>0</v>
      </c>
      <c r="CA923" s="138">
        <f t="shared" si="688"/>
        <v>201</v>
      </c>
      <c r="CB923" s="111" t="e">
        <f t="shared" si="702"/>
        <v>#VALUE!</v>
      </c>
      <c r="CC923" s="129">
        <f t="shared" si="703"/>
        <v>201</v>
      </c>
      <c r="CD923" s="129">
        <f t="shared" si="704"/>
        <v>0</v>
      </c>
      <c r="CE923" s="129">
        <f t="shared" si="689"/>
        <v>0</v>
      </c>
      <c r="CG923" s="129" t="str">
        <f t="shared" si="690"/>
        <v>Y</v>
      </c>
      <c r="CI923" s="129" t="str">
        <f t="shared" si="691"/>
        <v>121-365 DAYS</v>
      </c>
      <c r="CJ923" s="137">
        <f t="shared" si="692"/>
        <v>6</v>
      </c>
      <c r="CK923" s="129" t="str">
        <f t="shared" si="693"/>
        <v>Booked</v>
      </c>
    </row>
    <row r="924" spans="1:89" ht="15.75" customHeight="1" x14ac:dyDescent="0.25">
      <c r="A924" s="111">
        <v>832</v>
      </c>
      <c r="B924" s="128" t="str">
        <f t="shared" si="674"/>
        <v>N</v>
      </c>
      <c r="C924" s="128" t="str">
        <f t="shared" si="675"/>
        <v>N</v>
      </c>
      <c r="D924" s="117">
        <v>1655010</v>
      </c>
      <c r="E924" s="135">
        <f t="shared" si="676"/>
        <v>4</v>
      </c>
      <c r="F924" s="124">
        <v>40940</v>
      </c>
      <c r="G924" s="125">
        <v>40991</v>
      </c>
      <c r="H924" s="117">
        <v>1655010</v>
      </c>
      <c r="I924" s="124">
        <v>40940</v>
      </c>
      <c r="J924" s="124">
        <v>40991</v>
      </c>
      <c r="K924" s="126" t="s">
        <v>564</v>
      </c>
      <c r="L924" s="127" t="s">
        <v>564</v>
      </c>
      <c r="N924" s="129" t="s">
        <v>566</v>
      </c>
      <c r="O924" s="128" t="s">
        <v>917</v>
      </c>
      <c r="P924" s="129" t="s">
        <v>39</v>
      </c>
      <c r="Q924" s="111">
        <f t="shared" si="697"/>
        <v>52</v>
      </c>
      <c r="R924" s="111">
        <f t="shared" si="698"/>
        <v>52</v>
      </c>
      <c r="S924" s="129">
        <v>0</v>
      </c>
      <c r="T924" s="129">
        <v>1</v>
      </c>
      <c r="W924" s="111"/>
      <c r="AC924" s="130"/>
      <c r="AD924" s="130">
        <v>26182</v>
      </c>
      <c r="AE924" s="128" t="s">
        <v>46</v>
      </c>
      <c r="AF924" s="128" t="s">
        <v>69</v>
      </c>
      <c r="AG924" s="128" t="s">
        <v>874</v>
      </c>
      <c r="AH924" s="108" t="s">
        <v>31</v>
      </c>
      <c r="AI924" s="128" t="s">
        <v>34</v>
      </c>
      <c r="AJ924" s="129" t="s">
        <v>89</v>
      </c>
      <c r="AK924" s="129">
        <v>4</v>
      </c>
      <c r="AL924" s="3" t="s">
        <v>991</v>
      </c>
      <c r="AO924" s="128">
        <v>90</v>
      </c>
      <c r="AP924" s="129" t="s">
        <v>63</v>
      </c>
      <c r="AR924" s="128" t="s">
        <v>44</v>
      </c>
      <c r="AS924" s="129" t="s">
        <v>64</v>
      </c>
      <c r="BC924" s="129" t="s">
        <v>38</v>
      </c>
      <c r="BF924" s="111">
        <f t="shared" si="700"/>
        <v>52</v>
      </c>
      <c r="BG924" s="111">
        <f t="shared" si="701"/>
        <v>52</v>
      </c>
      <c r="BH924" s="111">
        <f t="shared" si="671"/>
        <v>52</v>
      </c>
      <c r="BI924" s="111">
        <f t="shared" si="672"/>
        <v>40.322404371584696</v>
      </c>
      <c r="BJ924" s="129">
        <f t="shared" si="677"/>
        <v>0</v>
      </c>
      <c r="BK924" s="129">
        <f t="shared" si="673"/>
        <v>0</v>
      </c>
      <c r="BL924" s="129" t="str">
        <f t="shared" si="705"/>
        <v>CONVICTION</v>
      </c>
      <c r="BM924" s="129" t="str">
        <f t="shared" si="678"/>
        <v>NONE</v>
      </c>
      <c r="BN924" s="129" t="s">
        <v>566</v>
      </c>
      <c r="BP924" s="137" t="str">
        <f t="shared" si="679"/>
        <v>CONVICTION</v>
      </c>
      <c r="BQ924" s="128" t="str">
        <f t="shared" si="680"/>
        <v>Y</v>
      </c>
      <c r="BR924" s="129" t="str">
        <f t="shared" si="681"/>
        <v>DETAINED</v>
      </c>
      <c r="BS924" s="129" t="str">
        <f t="shared" si="682"/>
        <v>DISPOSED</v>
      </c>
      <c r="BT924" s="129" t="str">
        <f t="shared" si="683"/>
        <v>N</v>
      </c>
      <c r="BU924" s="109">
        <f t="shared" si="694"/>
        <v>1</v>
      </c>
      <c r="BV924" s="109">
        <f t="shared" si="684"/>
        <v>1</v>
      </c>
      <c r="BW924" s="109">
        <f t="shared" si="695"/>
        <v>0</v>
      </c>
      <c r="BX924" s="111">
        <f t="shared" si="685"/>
        <v>0</v>
      </c>
      <c r="BY924" s="129">
        <f t="shared" si="686"/>
        <v>-52</v>
      </c>
      <c r="BZ924" s="111">
        <f t="shared" si="687"/>
        <v>0</v>
      </c>
      <c r="CA924" s="138">
        <f t="shared" si="688"/>
        <v>52</v>
      </c>
      <c r="CB924" s="111" t="e">
        <f t="shared" si="702"/>
        <v>#VALUE!</v>
      </c>
      <c r="CC924" s="129">
        <f t="shared" si="703"/>
        <v>52</v>
      </c>
      <c r="CD924" s="129">
        <f t="shared" si="704"/>
        <v>0</v>
      </c>
      <c r="CE924" s="129">
        <f t="shared" si="689"/>
        <v>0</v>
      </c>
      <c r="CG924" s="129" t="str">
        <f t="shared" si="690"/>
        <v>Y</v>
      </c>
      <c r="CI924" s="129" t="str">
        <f t="shared" si="691"/>
        <v>31-60 DAYS</v>
      </c>
      <c r="CJ924" s="137">
        <f t="shared" si="692"/>
        <v>3</v>
      </c>
      <c r="CK924" s="129" t="str">
        <f t="shared" si="693"/>
        <v>Booked</v>
      </c>
    </row>
    <row r="925" spans="1:89" ht="15.75" customHeight="1" x14ac:dyDescent="0.25">
      <c r="A925" s="111">
        <v>1887</v>
      </c>
      <c r="B925" s="128" t="str">
        <f t="shared" si="674"/>
        <v>N</v>
      </c>
      <c r="C925" s="128" t="str">
        <f t="shared" si="675"/>
        <v>N</v>
      </c>
      <c r="D925" s="117">
        <v>1655045</v>
      </c>
      <c r="E925" s="135">
        <f t="shared" si="676"/>
        <v>5</v>
      </c>
      <c r="F925" s="124">
        <v>40978</v>
      </c>
      <c r="G925" s="125">
        <v>41030</v>
      </c>
      <c r="H925" s="117">
        <v>1655045</v>
      </c>
      <c r="I925" s="124">
        <v>40979</v>
      </c>
      <c r="J925" s="124">
        <v>41030</v>
      </c>
      <c r="K925" s="126">
        <v>15000</v>
      </c>
      <c r="L925" s="127" t="s">
        <v>571</v>
      </c>
      <c r="N925" s="129" t="str">
        <f>IF(M925&gt;1/1/1,"Y","N")</f>
        <v>N</v>
      </c>
      <c r="O925" s="128" t="s">
        <v>917</v>
      </c>
      <c r="P925" s="129" t="s">
        <v>39</v>
      </c>
      <c r="Q925" s="111">
        <f t="shared" si="697"/>
        <v>52</v>
      </c>
      <c r="R925" s="111">
        <f t="shared" si="698"/>
        <v>53</v>
      </c>
      <c r="S925" s="129">
        <v>2</v>
      </c>
      <c r="T925" s="129">
        <v>3</v>
      </c>
      <c r="U925" s="129">
        <v>1</v>
      </c>
      <c r="W925" s="111"/>
      <c r="AC925" s="130"/>
      <c r="AD925" s="130">
        <v>28454</v>
      </c>
      <c r="AE925" s="128" t="s">
        <v>46</v>
      </c>
      <c r="AF925" s="128" t="s">
        <v>69</v>
      </c>
      <c r="AG925" s="128" t="s">
        <v>874</v>
      </c>
      <c r="AH925" s="108" t="s">
        <v>31</v>
      </c>
      <c r="AI925" s="128" t="s">
        <v>65</v>
      </c>
      <c r="AJ925" s="129" t="s">
        <v>89</v>
      </c>
      <c r="AK925" s="129">
        <v>3</v>
      </c>
      <c r="AL925" s="3" t="s">
        <v>992</v>
      </c>
      <c r="AN925" s="117">
        <v>6</v>
      </c>
      <c r="AP925" s="129" t="s">
        <v>60</v>
      </c>
      <c r="AR925" s="128" t="s">
        <v>44</v>
      </c>
      <c r="AS925" s="129" t="s">
        <v>61</v>
      </c>
      <c r="BC925" s="129" t="s">
        <v>38</v>
      </c>
      <c r="BF925" s="111">
        <f t="shared" si="700"/>
        <v>52</v>
      </c>
      <c r="BG925" s="111">
        <f t="shared" si="701"/>
        <v>52</v>
      </c>
      <c r="BH925" s="111">
        <f t="shared" si="671"/>
        <v>53</v>
      </c>
      <c r="BI925" s="111">
        <f t="shared" si="672"/>
        <v>34.21857923497268</v>
      </c>
      <c r="BJ925" s="129">
        <f t="shared" si="677"/>
        <v>0</v>
      </c>
      <c r="BK925" s="129">
        <f t="shared" si="673"/>
        <v>0</v>
      </c>
      <c r="BL925" s="129" t="str">
        <f t="shared" si="705"/>
        <v>CONVICTION</v>
      </c>
      <c r="BM925" s="129" t="str">
        <f t="shared" si="678"/>
        <v>NONE</v>
      </c>
      <c r="BN925" s="129" t="s">
        <v>566</v>
      </c>
      <c r="BP925" s="137" t="str">
        <f t="shared" si="679"/>
        <v>CONVICTION</v>
      </c>
      <c r="BQ925" s="128" t="str">
        <f t="shared" si="680"/>
        <v>Y</v>
      </c>
      <c r="BR925" s="129" t="str">
        <f t="shared" si="681"/>
        <v>DETAINED</v>
      </c>
      <c r="BS925" s="129" t="str">
        <f t="shared" si="682"/>
        <v>DISPOSED</v>
      </c>
      <c r="BT925" s="129" t="str">
        <f t="shared" si="683"/>
        <v>Y</v>
      </c>
      <c r="BU925" s="109">
        <f t="shared" si="694"/>
        <v>0.98113207547169812</v>
      </c>
      <c r="BV925" s="109">
        <f t="shared" si="684"/>
        <v>1</v>
      </c>
      <c r="BW925" s="109">
        <f t="shared" si="695"/>
        <v>1.8867924528301883E-2</v>
      </c>
      <c r="BX925" s="111">
        <f t="shared" si="685"/>
        <v>0</v>
      </c>
      <c r="BY925" s="129">
        <f t="shared" si="686"/>
        <v>-52</v>
      </c>
      <c r="BZ925" s="111">
        <f t="shared" si="687"/>
        <v>0</v>
      </c>
      <c r="CA925" s="138">
        <f t="shared" si="688"/>
        <v>52</v>
      </c>
      <c r="CB925" s="111" t="e">
        <f t="shared" si="702"/>
        <v>#VALUE!</v>
      </c>
      <c r="CC925" s="129">
        <f t="shared" si="703"/>
        <v>52</v>
      </c>
      <c r="CD925" s="129">
        <f t="shared" si="704"/>
        <v>0</v>
      </c>
      <c r="CE925" s="129">
        <f t="shared" si="689"/>
        <v>0</v>
      </c>
      <c r="CG925" s="129" t="str">
        <f t="shared" si="690"/>
        <v>Y</v>
      </c>
      <c r="CI925" s="129" t="str">
        <f t="shared" si="691"/>
        <v>31-60 DAYS</v>
      </c>
      <c r="CJ925" s="137">
        <f t="shared" si="692"/>
        <v>3</v>
      </c>
      <c r="CK925" s="129" t="str">
        <f t="shared" si="693"/>
        <v>Booked</v>
      </c>
    </row>
    <row r="926" spans="1:89" ht="15" customHeight="1" x14ac:dyDescent="0.25">
      <c r="A926" s="111">
        <v>392</v>
      </c>
      <c r="B926" s="128" t="str">
        <f t="shared" si="674"/>
        <v>N</v>
      </c>
      <c r="C926" s="128" t="str">
        <f t="shared" si="675"/>
        <v>N</v>
      </c>
      <c r="D926" s="117">
        <v>1657744</v>
      </c>
      <c r="E926" s="135">
        <f t="shared" si="676"/>
        <v>5</v>
      </c>
      <c r="F926" s="124">
        <v>40925</v>
      </c>
      <c r="G926" s="125">
        <v>40963</v>
      </c>
      <c r="H926" s="117">
        <v>1657744</v>
      </c>
      <c r="I926" s="124">
        <v>40925</v>
      </c>
      <c r="J926" s="124">
        <v>40963</v>
      </c>
      <c r="K926" s="126">
        <v>5000</v>
      </c>
      <c r="L926" s="127" t="s">
        <v>569</v>
      </c>
      <c r="N926" s="129" t="str">
        <f>IF(M926&gt;1/1/1,"Y","N")</f>
        <v>N</v>
      </c>
      <c r="O926" s="128" t="s">
        <v>917</v>
      </c>
      <c r="P926" s="129" t="s">
        <v>39</v>
      </c>
      <c r="Q926" s="111">
        <f t="shared" si="697"/>
        <v>39</v>
      </c>
      <c r="R926" s="111">
        <f t="shared" si="698"/>
        <v>39</v>
      </c>
      <c r="S926" s="129">
        <v>1</v>
      </c>
      <c r="T926" s="129">
        <v>4</v>
      </c>
      <c r="W926" s="111"/>
      <c r="AC926" s="130"/>
      <c r="AD926" s="130">
        <v>26623</v>
      </c>
      <c r="AE926" s="128" t="s">
        <v>32</v>
      </c>
      <c r="AF926" s="128" t="s">
        <v>40</v>
      </c>
      <c r="AG926" s="128" t="s">
        <v>41</v>
      </c>
      <c r="AH926" s="108" t="s">
        <v>41</v>
      </c>
      <c r="AI926" s="128" t="s">
        <v>90</v>
      </c>
      <c r="AJ926" s="129" t="s">
        <v>89</v>
      </c>
      <c r="AK926" s="129">
        <v>3</v>
      </c>
      <c r="AL926" s="3" t="s">
        <v>992</v>
      </c>
      <c r="AN926" s="117">
        <v>6</v>
      </c>
      <c r="AP926" s="129" t="s">
        <v>104</v>
      </c>
      <c r="AR926" s="128" t="s">
        <v>44</v>
      </c>
      <c r="AS926" s="129" t="s">
        <v>64</v>
      </c>
      <c r="BC926" s="129" t="s">
        <v>38</v>
      </c>
      <c r="BF926" s="111">
        <f t="shared" si="700"/>
        <v>39</v>
      </c>
      <c r="BG926" s="111">
        <f t="shared" si="701"/>
        <v>39</v>
      </c>
      <c r="BH926" s="111">
        <f t="shared" si="671"/>
        <v>39</v>
      </c>
      <c r="BI926" s="111">
        <f t="shared" si="672"/>
        <v>39.076502732240435</v>
      </c>
      <c r="BJ926" s="129">
        <f t="shared" si="677"/>
        <v>0</v>
      </c>
      <c r="BK926" s="129">
        <f t="shared" si="673"/>
        <v>0</v>
      </c>
      <c r="BL926" s="129" t="str">
        <f t="shared" si="705"/>
        <v>CONVICTION</v>
      </c>
      <c r="BM926" s="129" t="str">
        <f t="shared" si="678"/>
        <v>NONE</v>
      </c>
      <c r="BN926" s="129" t="s">
        <v>566</v>
      </c>
      <c r="BP926" s="137" t="str">
        <f t="shared" si="679"/>
        <v>CONVICTION</v>
      </c>
      <c r="BQ926" s="128" t="str">
        <f t="shared" si="680"/>
        <v>Y</v>
      </c>
      <c r="BR926" s="129" t="str">
        <f t="shared" si="681"/>
        <v>DETAINED</v>
      </c>
      <c r="BS926" s="129" t="str">
        <f t="shared" si="682"/>
        <v>DISPOSED</v>
      </c>
      <c r="BT926" s="129" t="str">
        <f t="shared" si="683"/>
        <v>Y</v>
      </c>
      <c r="BU926" s="109">
        <f t="shared" si="694"/>
        <v>1</v>
      </c>
      <c r="BV926" s="109">
        <f t="shared" si="684"/>
        <v>1</v>
      </c>
      <c r="BW926" s="109">
        <f t="shared" si="695"/>
        <v>0</v>
      </c>
      <c r="BX926" s="111">
        <f t="shared" si="685"/>
        <v>0</v>
      </c>
      <c r="BY926" s="129">
        <f t="shared" si="686"/>
        <v>-39</v>
      </c>
      <c r="BZ926" s="111">
        <f t="shared" si="687"/>
        <v>0</v>
      </c>
      <c r="CA926" s="138">
        <f t="shared" si="688"/>
        <v>39</v>
      </c>
      <c r="CB926" s="111" t="e">
        <f t="shared" si="702"/>
        <v>#VALUE!</v>
      </c>
      <c r="CC926" s="129">
        <f t="shared" si="703"/>
        <v>39</v>
      </c>
      <c r="CD926" s="129">
        <f t="shared" si="704"/>
        <v>0</v>
      </c>
      <c r="CE926" s="129">
        <f t="shared" si="689"/>
        <v>0</v>
      </c>
      <c r="CG926" s="129" t="str">
        <f t="shared" si="690"/>
        <v>Y</v>
      </c>
      <c r="CI926" s="129" t="str">
        <f t="shared" si="691"/>
        <v>31-60 DAYS</v>
      </c>
      <c r="CJ926" s="137">
        <f t="shared" si="692"/>
        <v>3</v>
      </c>
      <c r="CK926" s="129" t="str">
        <f t="shared" si="693"/>
        <v>Booked</v>
      </c>
    </row>
    <row r="927" spans="1:89" ht="15" customHeight="1" x14ac:dyDescent="0.25">
      <c r="A927" s="111">
        <v>1055</v>
      </c>
      <c r="B927" s="128" t="str">
        <f t="shared" si="674"/>
        <v>N</v>
      </c>
      <c r="C927" s="128" t="str">
        <f t="shared" si="675"/>
        <v>N</v>
      </c>
      <c r="D927" s="117">
        <v>1657907</v>
      </c>
      <c r="E927" s="135">
        <f t="shared" si="676"/>
        <v>4</v>
      </c>
      <c r="F927" s="124">
        <v>40948</v>
      </c>
      <c r="G927" s="125">
        <v>40997</v>
      </c>
      <c r="H927" s="117">
        <v>1657907</v>
      </c>
      <c r="I927" s="124">
        <v>40948</v>
      </c>
      <c r="J927" s="124">
        <v>40953</v>
      </c>
      <c r="K927" s="126">
        <v>2000</v>
      </c>
      <c r="L927" s="127" t="s">
        <v>568</v>
      </c>
      <c r="M927" s="125">
        <v>40953</v>
      </c>
      <c r="N927" s="129" t="s">
        <v>88</v>
      </c>
      <c r="O927" s="128" t="s">
        <v>76</v>
      </c>
      <c r="P927" s="129" t="s">
        <v>39</v>
      </c>
      <c r="Q927" s="111">
        <f t="shared" si="697"/>
        <v>6</v>
      </c>
      <c r="R927" s="111">
        <f t="shared" si="698"/>
        <v>50</v>
      </c>
      <c r="S927" s="129">
        <v>0</v>
      </c>
      <c r="T927" s="129">
        <v>11</v>
      </c>
      <c r="W927" s="111"/>
      <c r="AC927" s="130"/>
      <c r="AD927" s="130">
        <v>29479</v>
      </c>
      <c r="AE927" s="128" t="s">
        <v>32</v>
      </c>
      <c r="AF927" s="128" t="s">
        <v>69</v>
      </c>
      <c r="AG927" s="128" t="s">
        <v>874</v>
      </c>
      <c r="AH927" s="108" t="s">
        <v>58</v>
      </c>
      <c r="AI927" s="128" t="s">
        <v>97</v>
      </c>
      <c r="AJ927" s="129" t="s">
        <v>89</v>
      </c>
      <c r="AK927" s="129">
        <v>4</v>
      </c>
      <c r="AL927" s="3" t="s">
        <v>991</v>
      </c>
      <c r="AO927" s="128">
        <v>180</v>
      </c>
      <c r="AP927" s="129" t="s">
        <v>60</v>
      </c>
      <c r="AR927" s="128" t="s">
        <v>44</v>
      </c>
      <c r="AS927" s="129" t="s">
        <v>61</v>
      </c>
      <c r="BC927" s="129" t="s">
        <v>99</v>
      </c>
      <c r="BF927" s="111">
        <f t="shared" si="700"/>
        <v>6</v>
      </c>
      <c r="BG927" s="111">
        <f t="shared" si="701"/>
        <v>50</v>
      </c>
      <c r="BH927" s="111">
        <f t="shared" si="671"/>
        <v>50</v>
      </c>
      <c r="BI927" s="111">
        <f t="shared" si="672"/>
        <v>31.33606557377049</v>
      </c>
      <c r="BJ927" s="129">
        <f>(G927-J927)+(M927-G927)</f>
        <v>0</v>
      </c>
      <c r="BK927" s="129">
        <f t="shared" si="673"/>
        <v>-44</v>
      </c>
      <c r="BL927" s="129" t="str">
        <f t="shared" si="705"/>
        <v>CONVICTION</v>
      </c>
      <c r="BM927" s="129" t="s">
        <v>76</v>
      </c>
      <c r="BN927" s="129" t="s">
        <v>88</v>
      </c>
      <c r="BP927" s="137" t="str">
        <f t="shared" si="679"/>
        <v>CONVICTION</v>
      </c>
      <c r="BQ927" s="128" t="str">
        <f t="shared" si="680"/>
        <v>Y</v>
      </c>
      <c r="BR927" s="129" t="str">
        <f>IF(J927&lt;G927,"ON BOND",0)</f>
        <v>ON BOND</v>
      </c>
      <c r="BS927" s="129" t="str">
        <f t="shared" si="682"/>
        <v>DISPOSED</v>
      </c>
      <c r="BT927" s="129" t="str">
        <f t="shared" si="683"/>
        <v>N</v>
      </c>
      <c r="BU927" s="109">
        <f t="shared" si="694"/>
        <v>0.12</v>
      </c>
      <c r="BV927" s="109">
        <f t="shared" si="684"/>
        <v>0.12</v>
      </c>
      <c r="BW927" s="109">
        <f t="shared" si="695"/>
        <v>0</v>
      </c>
      <c r="BX927" s="111">
        <f t="shared" si="685"/>
        <v>0</v>
      </c>
      <c r="BY927" s="129">
        <f t="shared" si="686"/>
        <v>-6</v>
      </c>
      <c r="BZ927" s="111">
        <f t="shared" si="687"/>
        <v>0</v>
      </c>
      <c r="CA927" s="138">
        <f t="shared" si="688"/>
        <v>6</v>
      </c>
      <c r="CB927" s="111" t="e">
        <f t="shared" si="702"/>
        <v>#VALUE!</v>
      </c>
      <c r="CC927" s="129">
        <f>M927-I927+1</f>
        <v>6</v>
      </c>
      <c r="CD927" s="111">
        <f>CC927-BF927</f>
        <v>0</v>
      </c>
      <c r="CE927" s="129">
        <f t="shared" si="689"/>
        <v>44</v>
      </c>
      <c r="CG927" s="129" t="str">
        <f t="shared" si="690"/>
        <v>Y</v>
      </c>
      <c r="CI927" s="129" t="str">
        <f t="shared" si="691"/>
        <v>0-10 DAYS</v>
      </c>
      <c r="CJ927" s="137">
        <f t="shared" si="692"/>
        <v>1</v>
      </c>
      <c r="CK927" s="129" t="str">
        <f t="shared" si="693"/>
        <v>Booked</v>
      </c>
    </row>
    <row r="928" spans="1:89" ht="15" customHeight="1" x14ac:dyDescent="0.25">
      <c r="A928" s="111">
        <v>3052</v>
      </c>
      <c r="B928" s="128" t="str">
        <f t="shared" si="674"/>
        <v>N</v>
      </c>
      <c r="C928" s="128" t="str">
        <f t="shared" si="675"/>
        <v>N</v>
      </c>
      <c r="D928" s="117">
        <v>1659258</v>
      </c>
      <c r="E928" s="135">
        <f t="shared" si="676"/>
        <v>1</v>
      </c>
      <c r="F928" s="124">
        <v>41022</v>
      </c>
      <c r="G928" s="125">
        <v>41023</v>
      </c>
      <c r="H928" s="117">
        <v>1659258</v>
      </c>
      <c r="I928" s="124">
        <v>41022</v>
      </c>
      <c r="J928" s="124">
        <v>41023</v>
      </c>
      <c r="K928" s="126">
        <v>2000</v>
      </c>
      <c r="L928" s="127" t="s">
        <v>568</v>
      </c>
      <c r="N928" s="129" t="str">
        <f t="shared" ref="N928:N949" si="706">IF(M928&gt;1/1/1,"Y","N")</f>
        <v>N</v>
      </c>
      <c r="O928" s="128" t="s">
        <v>917</v>
      </c>
      <c r="P928" s="129" t="s">
        <v>55</v>
      </c>
      <c r="Q928" s="111">
        <f t="shared" si="697"/>
        <v>2</v>
      </c>
      <c r="R928" s="111">
        <f t="shared" si="698"/>
        <v>2</v>
      </c>
      <c r="S928" s="129">
        <v>0</v>
      </c>
      <c r="T928" s="129">
        <v>0</v>
      </c>
      <c r="W928" s="111"/>
      <c r="AC928" s="130"/>
      <c r="AD928" s="130">
        <v>28789</v>
      </c>
      <c r="AE928" s="128" t="s">
        <v>46</v>
      </c>
      <c r="AF928" s="128" t="s">
        <v>33</v>
      </c>
      <c r="AG928" s="128" t="s">
        <v>872</v>
      </c>
      <c r="AH928" s="108" t="s">
        <v>58</v>
      </c>
      <c r="AI928" s="128" t="s">
        <v>114</v>
      </c>
      <c r="AJ928" s="129" t="s">
        <v>55</v>
      </c>
      <c r="AK928" s="129">
        <v>1</v>
      </c>
      <c r="AL928" s="3" t="s">
        <v>55</v>
      </c>
      <c r="AP928" s="129" t="s">
        <v>43</v>
      </c>
      <c r="AR928" s="128" t="s">
        <v>44</v>
      </c>
      <c r="AS928" s="129" t="s">
        <v>45</v>
      </c>
      <c r="BC928" s="129" t="s">
        <v>99</v>
      </c>
      <c r="BF928" s="111">
        <f t="shared" si="700"/>
        <v>2</v>
      </c>
      <c r="BG928" s="111">
        <f t="shared" si="701"/>
        <v>2</v>
      </c>
      <c r="BH928" s="111">
        <f t="shared" si="671"/>
        <v>2</v>
      </c>
      <c r="BI928" s="111">
        <f t="shared" si="672"/>
        <v>33.423497267759565</v>
      </c>
      <c r="BJ928" s="129">
        <f t="shared" si="677"/>
        <v>0</v>
      </c>
      <c r="BK928" s="129">
        <f t="shared" si="673"/>
        <v>0</v>
      </c>
      <c r="BL928" s="129" t="str">
        <f t="shared" si="705"/>
        <v>NO CONVICTION</v>
      </c>
      <c r="BM928" s="129" t="str">
        <f t="shared" si="678"/>
        <v>NONE</v>
      </c>
      <c r="BN928" s="129" t="s">
        <v>566</v>
      </c>
      <c r="BP928" s="137" t="str">
        <f t="shared" si="679"/>
        <v>NO CONVICTION</v>
      </c>
      <c r="BQ928" s="128" t="str">
        <f t="shared" si="680"/>
        <v>Y</v>
      </c>
      <c r="BR928" s="129" t="str">
        <f t="shared" si="681"/>
        <v>DETAINED</v>
      </c>
      <c r="BS928" s="129" t="str">
        <f t="shared" si="682"/>
        <v>DISPOSED</v>
      </c>
      <c r="BT928" s="129" t="str">
        <f t="shared" si="683"/>
        <v>N</v>
      </c>
      <c r="BU928" s="109">
        <f>IFERROR(Q928/R928,BR928)</f>
        <v>1</v>
      </c>
      <c r="BV928" s="109">
        <f t="shared" si="684"/>
        <v>1</v>
      </c>
      <c r="BW928" s="109">
        <f t="shared" si="695"/>
        <v>0</v>
      </c>
      <c r="BX928" s="111">
        <f t="shared" si="685"/>
        <v>0</v>
      </c>
      <c r="BY928" s="129">
        <f t="shared" si="686"/>
        <v>-2</v>
      </c>
      <c r="BZ928" s="111">
        <f t="shared" si="687"/>
        <v>0</v>
      </c>
      <c r="CA928" s="138">
        <f t="shared" si="688"/>
        <v>2</v>
      </c>
      <c r="CB928" s="111" t="e">
        <f t="shared" si="702"/>
        <v>#VALUE!</v>
      </c>
      <c r="CC928" s="129">
        <f>G928-I928+1</f>
        <v>2</v>
      </c>
      <c r="CD928" s="129">
        <f>G928-J928</f>
        <v>0</v>
      </c>
      <c r="CE928" s="129">
        <f t="shared" si="689"/>
        <v>0</v>
      </c>
      <c r="CG928" s="129" t="str">
        <f t="shared" si="690"/>
        <v>N</v>
      </c>
      <c r="CI928" s="129" t="str">
        <f t="shared" si="691"/>
        <v>0-10 DAYS</v>
      </c>
      <c r="CJ928" s="137">
        <f t="shared" si="692"/>
        <v>1</v>
      </c>
      <c r="CK928" s="129" t="str">
        <f t="shared" si="693"/>
        <v>Booked</v>
      </c>
    </row>
    <row r="929" spans="1:89" ht="15" customHeight="1" x14ac:dyDescent="0.25">
      <c r="A929" s="111">
        <v>521</v>
      </c>
      <c r="B929" s="128" t="str">
        <f t="shared" si="674"/>
        <v>N</v>
      </c>
      <c r="C929" s="128" t="str">
        <f t="shared" si="675"/>
        <v>N</v>
      </c>
      <c r="D929" s="117">
        <v>1659825</v>
      </c>
      <c r="E929" s="135">
        <f t="shared" si="676"/>
        <v>1</v>
      </c>
      <c r="F929" s="124">
        <v>40929</v>
      </c>
      <c r="G929" s="125">
        <v>41059</v>
      </c>
      <c r="H929" s="117">
        <v>1659825</v>
      </c>
      <c r="I929" s="124">
        <v>40929</v>
      </c>
      <c r="J929" s="124">
        <v>40930</v>
      </c>
      <c r="K929" s="126">
        <v>10000</v>
      </c>
      <c r="L929" s="127" t="s">
        <v>570</v>
      </c>
      <c r="M929" s="125">
        <v>40930</v>
      </c>
      <c r="N929" s="129" t="str">
        <f t="shared" si="706"/>
        <v>Y</v>
      </c>
      <c r="O929" s="128" t="s">
        <v>585</v>
      </c>
      <c r="P929" s="129" t="s">
        <v>55</v>
      </c>
      <c r="Q929" s="111">
        <f t="shared" si="697"/>
        <v>2</v>
      </c>
      <c r="R929" s="111">
        <f t="shared" si="698"/>
        <v>131</v>
      </c>
      <c r="S929" s="129">
        <v>1</v>
      </c>
      <c r="T929" s="129">
        <v>3</v>
      </c>
      <c r="U929" s="129">
        <v>1</v>
      </c>
      <c r="W929" s="111"/>
      <c r="AC929" s="130"/>
      <c r="AD929" s="130">
        <v>28299</v>
      </c>
      <c r="AE929" s="128" t="s">
        <v>32</v>
      </c>
      <c r="AF929" s="128" t="s">
        <v>33</v>
      </c>
      <c r="AG929" s="128" t="s">
        <v>872</v>
      </c>
      <c r="AH929" s="108" t="s">
        <v>31</v>
      </c>
      <c r="AI929" s="128" t="s">
        <v>113</v>
      </c>
      <c r="AJ929" s="129" t="s">
        <v>55</v>
      </c>
      <c r="AK929" s="129">
        <v>8</v>
      </c>
      <c r="AL929" s="3" t="s">
        <v>55</v>
      </c>
      <c r="AP929" s="129" t="s">
        <v>81</v>
      </c>
      <c r="AR929" s="128" t="s">
        <v>50</v>
      </c>
      <c r="AS929" s="129" t="s">
        <v>82</v>
      </c>
      <c r="BC929" s="129" t="s">
        <v>52</v>
      </c>
      <c r="BF929" s="111">
        <f t="shared" si="700"/>
        <v>2</v>
      </c>
      <c r="BG929" s="111">
        <f t="shared" si="701"/>
        <v>131</v>
      </c>
      <c r="BH929" s="111">
        <f t="shared" si="671"/>
        <v>131</v>
      </c>
      <c r="BI929" s="111">
        <f t="shared" si="672"/>
        <v>34.508196721311478</v>
      </c>
      <c r="BJ929" s="129">
        <f>(G929-J929)+(M929-G929)</f>
        <v>0</v>
      </c>
      <c r="BK929" s="129">
        <f t="shared" si="673"/>
        <v>-129</v>
      </c>
      <c r="BL929" s="129" t="str">
        <f t="shared" si="705"/>
        <v>NO CONVICTION</v>
      </c>
      <c r="BM929" s="129" t="s">
        <v>76</v>
      </c>
      <c r="BN929" s="129" t="s">
        <v>88</v>
      </c>
      <c r="BP929" s="137" t="str">
        <f t="shared" si="679"/>
        <v>NO CONVICTION</v>
      </c>
      <c r="BQ929" s="128" t="str">
        <f t="shared" si="680"/>
        <v>Y</v>
      </c>
      <c r="BR929" s="129" t="str">
        <f t="shared" si="681"/>
        <v>ON BOND</v>
      </c>
      <c r="BS929" s="129" t="str">
        <f t="shared" si="682"/>
        <v>DISPOSED</v>
      </c>
      <c r="BT929" s="129" t="str">
        <f t="shared" si="683"/>
        <v>Y</v>
      </c>
      <c r="BU929" s="109">
        <f>IFERROR(Q929/R929,BR929)</f>
        <v>1.5267175572519083E-2</v>
      </c>
      <c r="BV929" s="109">
        <f t="shared" si="684"/>
        <v>1.5267175572519083E-2</v>
      </c>
      <c r="BW929" s="109">
        <f t="shared" si="695"/>
        <v>0</v>
      </c>
      <c r="BX929" s="111">
        <f t="shared" si="685"/>
        <v>0</v>
      </c>
      <c r="BY929" s="129">
        <f t="shared" si="686"/>
        <v>-2</v>
      </c>
      <c r="BZ929" s="111">
        <f t="shared" si="687"/>
        <v>0</v>
      </c>
      <c r="CA929" s="138">
        <f t="shared" si="688"/>
        <v>2</v>
      </c>
      <c r="CB929" s="111" t="e">
        <f t="shared" si="702"/>
        <v>#VALUE!</v>
      </c>
      <c r="CC929" s="129">
        <f>M929-I929+1</f>
        <v>2</v>
      </c>
      <c r="CD929" s="111">
        <f>CC929-BF929</f>
        <v>0</v>
      </c>
      <c r="CE929" s="129">
        <f t="shared" si="689"/>
        <v>129</v>
      </c>
      <c r="CG929" s="129" t="str">
        <f t="shared" si="690"/>
        <v>Y</v>
      </c>
      <c r="CI929" s="129" t="str">
        <f t="shared" si="691"/>
        <v>0-10 DAYS</v>
      </c>
      <c r="CJ929" s="137">
        <f t="shared" si="692"/>
        <v>1</v>
      </c>
      <c r="CK929" s="129" t="str">
        <f t="shared" si="693"/>
        <v>Booked</v>
      </c>
    </row>
    <row r="930" spans="1:89" ht="15.75" customHeight="1" x14ac:dyDescent="0.25">
      <c r="A930" s="111">
        <v>1986</v>
      </c>
      <c r="B930" s="128" t="str">
        <f t="shared" si="674"/>
        <v>N</v>
      </c>
      <c r="C930" s="128" t="str">
        <f t="shared" si="675"/>
        <v>N</v>
      </c>
      <c r="D930" s="117">
        <v>1660126</v>
      </c>
      <c r="E930" s="135">
        <f t="shared" si="676"/>
        <v>1</v>
      </c>
      <c r="F930" s="124">
        <v>40983</v>
      </c>
      <c r="G930" s="125">
        <v>41036</v>
      </c>
      <c r="H930" s="117">
        <v>1660126</v>
      </c>
      <c r="I930" s="124">
        <v>40983</v>
      </c>
      <c r="J930" s="124">
        <v>40984</v>
      </c>
      <c r="K930" s="126">
        <v>5000</v>
      </c>
      <c r="L930" s="127" t="s">
        <v>569</v>
      </c>
      <c r="M930" s="125">
        <v>40984</v>
      </c>
      <c r="N930" s="129" t="str">
        <f t="shared" si="706"/>
        <v>Y</v>
      </c>
      <c r="O930" s="128" t="s">
        <v>76</v>
      </c>
      <c r="P930" s="129" t="s">
        <v>55</v>
      </c>
      <c r="Q930" s="111">
        <f t="shared" si="697"/>
        <v>2</v>
      </c>
      <c r="R930" s="111">
        <f t="shared" si="698"/>
        <v>54</v>
      </c>
      <c r="S930" s="129">
        <v>1</v>
      </c>
      <c r="T930" s="129">
        <v>1</v>
      </c>
      <c r="U930" s="129">
        <v>1</v>
      </c>
      <c r="W930" s="111"/>
      <c r="AC930" s="130"/>
      <c r="AD930" s="130">
        <v>29106</v>
      </c>
      <c r="AE930" s="128" t="s">
        <v>46</v>
      </c>
      <c r="AF930" s="128" t="s">
        <v>33</v>
      </c>
      <c r="AG930" s="128" t="s">
        <v>872</v>
      </c>
      <c r="AH930" s="108" t="s">
        <v>58</v>
      </c>
      <c r="AI930" s="128" t="s">
        <v>62</v>
      </c>
      <c r="AJ930" s="129" t="s">
        <v>55</v>
      </c>
      <c r="AK930" s="129">
        <v>3</v>
      </c>
      <c r="AL930" s="3" t="s">
        <v>55</v>
      </c>
      <c r="AP930" s="129" t="s">
        <v>43</v>
      </c>
      <c r="AR930" s="128" t="s">
        <v>44</v>
      </c>
      <c r="AS930" s="129" t="s">
        <v>45</v>
      </c>
      <c r="BC930" s="129" t="s">
        <v>52</v>
      </c>
      <c r="BF930" s="111">
        <f t="shared" si="700"/>
        <v>2</v>
      </c>
      <c r="BG930" s="111">
        <f t="shared" si="701"/>
        <v>54</v>
      </c>
      <c r="BH930" s="111">
        <f t="shared" si="671"/>
        <v>54</v>
      </c>
      <c r="BI930" s="111">
        <f t="shared" si="672"/>
        <v>32.450819672131146</v>
      </c>
      <c r="BJ930" s="129">
        <f>(G930-J930)+(M930-G930)</f>
        <v>0</v>
      </c>
      <c r="BK930" s="129">
        <f t="shared" si="673"/>
        <v>-52</v>
      </c>
      <c r="BL930" s="129" t="str">
        <f t="shared" si="705"/>
        <v>NO CONVICTION</v>
      </c>
      <c r="BM930" s="129" t="s">
        <v>76</v>
      </c>
      <c r="BN930" s="129" t="s">
        <v>88</v>
      </c>
      <c r="BP930" s="137" t="str">
        <f t="shared" si="679"/>
        <v>NO CONVICTION</v>
      </c>
      <c r="BQ930" s="128" t="str">
        <f t="shared" si="680"/>
        <v>Y</v>
      </c>
      <c r="BR930" s="129" t="str">
        <f t="shared" si="681"/>
        <v>ON BOND</v>
      </c>
      <c r="BS930" s="129" t="str">
        <f t="shared" si="682"/>
        <v>DISPOSED</v>
      </c>
      <c r="BT930" s="129" t="str">
        <f t="shared" si="683"/>
        <v>Y</v>
      </c>
      <c r="BU930" s="109">
        <f>IFERROR(Q930/R930,BR930)</f>
        <v>3.7037037037037035E-2</v>
      </c>
      <c r="BV930" s="109">
        <f t="shared" si="684"/>
        <v>3.7037037037037035E-2</v>
      </c>
      <c r="BW930" s="109">
        <f t="shared" si="695"/>
        <v>0</v>
      </c>
      <c r="BX930" s="111">
        <f t="shared" si="685"/>
        <v>0</v>
      </c>
      <c r="BY930" s="129">
        <f t="shared" si="686"/>
        <v>-2</v>
      </c>
      <c r="BZ930" s="111">
        <f t="shared" si="687"/>
        <v>0</v>
      </c>
      <c r="CA930" s="138">
        <f t="shared" si="688"/>
        <v>2</v>
      </c>
      <c r="CB930" s="111" t="e">
        <f t="shared" si="702"/>
        <v>#VALUE!</v>
      </c>
      <c r="CC930" s="129">
        <f>M930-I930+1</f>
        <v>2</v>
      </c>
      <c r="CD930" s="111">
        <f>CC930-BF930</f>
        <v>0</v>
      </c>
      <c r="CE930" s="129">
        <f t="shared" si="689"/>
        <v>52</v>
      </c>
      <c r="CG930" s="129" t="str">
        <f t="shared" si="690"/>
        <v>Y</v>
      </c>
      <c r="CI930" s="129" t="str">
        <f t="shared" si="691"/>
        <v>0-10 DAYS</v>
      </c>
      <c r="CJ930" s="137">
        <f t="shared" si="692"/>
        <v>1</v>
      </c>
      <c r="CK930" s="129" t="str">
        <f t="shared" si="693"/>
        <v>Booked</v>
      </c>
    </row>
    <row r="931" spans="1:89" ht="15" customHeight="1" x14ac:dyDescent="0.25">
      <c r="A931" s="111">
        <v>236</v>
      </c>
      <c r="B931" s="128" t="str">
        <f t="shared" si="674"/>
        <v>N</v>
      </c>
      <c r="C931" s="128" t="str">
        <f t="shared" si="675"/>
        <v>N</v>
      </c>
      <c r="D931" s="117">
        <v>1660921</v>
      </c>
      <c r="E931" s="135">
        <f t="shared" si="676"/>
        <v>6</v>
      </c>
      <c r="F931" s="124">
        <v>40919</v>
      </c>
      <c r="G931" s="125">
        <v>41143</v>
      </c>
      <c r="H931" s="117">
        <v>1660921</v>
      </c>
      <c r="I931" s="124">
        <v>40919</v>
      </c>
      <c r="J931" s="124">
        <v>40922</v>
      </c>
      <c r="K931" s="126">
        <v>25000</v>
      </c>
      <c r="L931" s="129" t="s">
        <v>572</v>
      </c>
      <c r="M931" s="125">
        <v>40922</v>
      </c>
      <c r="N931" s="129" t="str">
        <f t="shared" si="706"/>
        <v>Y</v>
      </c>
      <c r="O931" s="128" t="s">
        <v>76</v>
      </c>
      <c r="P931" s="129" t="s">
        <v>39</v>
      </c>
      <c r="Q931" s="111">
        <f t="shared" si="697"/>
        <v>4</v>
      </c>
      <c r="R931" s="111">
        <f t="shared" si="698"/>
        <v>225</v>
      </c>
      <c r="S931" s="129">
        <v>5</v>
      </c>
      <c r="T931" s="129">
        <v>2</v>
      </c>
      <c r="U931" s="129">
        <v>3</v>
      </c>
      <c r="W931" s="111"/>
      <c r="AC931" s="130"/>
      <c r="AD931" s="130">
        <v>27956</v>
      </c>
      <c r="AE931" s="128" t="s">
        <v>32</v>
      </c>
      <c r="AF931" s="128" t="s">
        <v>33</v>
      </c>
      <c r="AG931" s="128" t="s">
        <v>872</v>
      </c>
      <c r="AH931" s="108" t="s">
        <v>58</v>
      </c>
      <c r="AI931" s="128" t="s">
        <v>141</v>
      </c>
      <c r="AJ931" s="129" t="s">
        <v>89</v>
      </c>
      <c r="AK931" s="129">
        <v>9</v>
      </c>
      <c r="AL931" s="3" t="s">
        <v>362</v>
      </c>
      <c r="AM931" s="117">
        <v>2</v>
      </c>
      <c r="AP931" s="129" t="s">
        <v>176</v>
      </c>
      <c r="AR931" s="128" t="s">
        <v>50</v>
      </c>
      <c r="AS931" s="129" t="s">
        <v>45</v>
      </c>
      <c r="BC931" s="129" t="s">
        <v>52</v>
      </c>
      <c r="BF931" s="111">
        <f t="shared" si="700"/>
        <v>4</v>
      </c>
      <c r="BG931" s="111">
        <f t="shared" si="701"/>
        <v>225</v>
      </c>
      <c r="BH931" s="111">
        <f t="shared" si="671"/>
        <v>225</v>
      </c>
      <c r="BI931" s="111">
        <f t="shared" si="672"/>
        <v>35.418032786885249</v>
      </c>
      <c r="BJ931" s="129">
        <f>(G931-J931)+(M931-G931)</f>
        <v>0</v>
      </c>
      <c r="BK931" s="129">
        <f t="shared" si="673"/>
        <v>-221</v>
      </c>
      <c r="BL931" s="129" t="str">
        <f t="shared" si="705"/>
        <v>CONVICTION</v>
      </c>
      <c r="BM931" s="129" t="s">
        <v>76</v>
      </c>
      <c r="BN931" s="129" t="s">
        <v>88</v>
      </c>
      <c r="BP931" s="137" t="str">
        <f t="shared" si="679"/>
        <v>CONVICTION</v>
      </c>
      <c r="BQ931" s="128" t="str">
        <f t="shared" si="680"/>
        <v>Y</v>
      </c>
      <c r="BR931" s="129" t="str">
        <f>IF(J931&lt;G931,"ON BOND",0)</f>
        <v>ON BOND</v>
      </c>
      <c r="BS931" s="129" t="str">
        <f t="shared" si="682"/>
        <v>DISPOSED</v>
      </c>
      <c r="BT931" s="129" t="str">
        <f t="shared" si="683"/>
        <v>Y</v>
      </c>
      <c r="BU931" s="109">
        <f t="shared" si="694"/>
        <v>1.7777777777777778E-2</v>
      </c>
      <c r="BV931" s="109">
        <f t="shared" si="684"/>
        <v>1.7777777777777778E-2</v>
      </c>
      <c r="BW931" s="109">
        <f t="shared" si="695"/>
        <v>0</v>
      </c>
      <c r="BX931" s="111">
        <f t="shared" si="685"/>
        <v>0</v>
      </c>
      <c r="BY931" s="129">
        <f t="shared" si="686"/>
        <v>-4</v>
      </c>
      <c r="BZ931" s="111">
        <f t="shared" si="687"/>
        <v>0</v>
      </c>
      <c r="CA931" s="138">
        <f t="shared" si="688"/>
        <v>4</v>
      </c>
      <c r="CB931" s="111" t="e">
        <f t="shared" si="702"/>
        <v>#VALUE!</v>
      </c>
      <c r="CC931" s="129">
        <f>M931-I931+1</f>
        <v>4</v>
      </c>
      <c r="CD931" s="111">
        <f>CC931-BF931</f>
        <v>0</v>
      </c>
      <c r="CE931" s="129">
        <f t="shared" si="689"/>
        <v>221</v>
      </c>
      <c r="CG931" s="129" t="str">
        <f t="shared" si="690"/>
        <v>Y</v>
      </c>
      <c r="CI931" s="129" t="str">
        <f t="shared" si="691"/>
        <v>0-10 DAYS</v>
      </c>
      <c r="CJ931" s="137">
        <f t="shared" si="692"/>
        <v>1</v>
      </c>
      <c r="CK931" s="129" t="str">
        <f t="shared" si="693"/>
        <v>Booked</v>
      </c>
    </row>
    <row r="932" spans="1:89" ht="15.75" customHeight="1" x14ac:dyDescent="0.25">
      <c r="A932" s="111">
        <v>23</v>
      </c>
      <c r="B932" s="128" t="str">
        <f t="shared" si="674"/>
        <v>N</v>
      </c>
      <c r="C932" s="128" t="str">
        <f t="shared" si="675"/>
        <v>N</v>
      </c>
      <c r="D932" s="117">
        <v>1661548</v>
      </c>
      <c r="E932" s="135">
        <f t="shared" si="676"/>
        <v>5</v>
      </c>
      <c r="F932" s="124">
        <v>40910</v>
      </c>
      <c r="G932" s="125">
        <v>41046</v>
      </c>
      <c r="H932" s="117">
        <v>1661548</v>
      </c>
      <c r="I932" s="124">
        <v>40910</v>
      </c>
      <c r="J932" s="124">
        <v>41046</v>
      </c>
      <c r="K932" s="126">
        <v>15000</v>
      </c>
      <c r="L932" s="127" t="s">
        <v>571</v>
      </c>
      <c r="N932" s="129" t="str">
        <f t="shared" si="706"/>
        <v>N</v>
      </c>
      <c r="O932" s="128" t="s">
        <v>917</v>
      </c>
      <c r="P932" s="129" t="s">
        <v>39</v>
      </c>
      <c r="Q932" s="111">
        <f t="shared" si="697"/>
        <v>137</v>
      </c>
      <c r="R932" s="111">
        <f t="shared" si="698"/>
        <v>137</v>
      </c>
      <c r="S932" s="129">
        <v>8</v>
      </c>
      <c r="T932" s="129">
        <v>6</v>
      </c>
      <c r="V932" s="117">
        <v>1</v>
      </c>
      <c r="W932" s="111"/>
      <c r="AC932" s="130"/>
      <c r="AD932" s="130">
        <v>28349</v>
      </c>
      <c r="AE932" s="128" t="s">
        <v>46</v>
      </c>
      <c r="AF932" s="128" t="s">
        <v>33</v>
      </c>
      <c r="AG932" s="128" t="s">
        <v>872</v>
      </c>
      <c r="AH932" s="108" t="s">
        <v>58</v>
      </c>
      <c r="AI932" s="128" t="s">
        <v>34</v>
      </c>
      <c r="AJ932" s="129" t="s">
        <v>89</v>
      </c>
      <c r="AK932" s="129">
        <v>10</v>
      </c>
      <c r="AL932" s="3" t="s">
        <v>992</v>
      </c>
      <c r="AN932" s="117">
        <v>6</v>
      </c>
      <c r="AP932" s="129" t="s">
        <v>43</v>
      </c>
      <c r="AR932" s="128" t="s">
        <v>44</v>
      </c>
      <c r="AS932" s="129" t="s">
        <v>45</v>
      </c>
      <c r="BC932" s="129" t="s">
        <v>38</v>
      </c>
      <c r="BF932" s="111">
        <f t="shared" si="700"/>
        <v>137</v>
      </c>
      <c r="BG932" s="111">
        <f t="shared" si="701"/>
        <v>137</v>
      </c>
      <c r="BH932" s="111">
        <f t="shared" si="671"/>
        <v>137</v>
      </c>
      <c r="BI932" s="111">
        <f t="shared" si="672"/>
        <v>34.319672131147541</v>
      </c>
      <c r="BJ932" s="129">
        <f t="shared" si="677"/>
        <v>0</v>
      </c>
      <c r="BK932" s="129">
        <f t="shared" si="673"/>
        <v>0</v>
      </c>
      <c r="BL932" s="129" t="str">
        <f t="shared" si="705"/>
        <v>CONVICTION</v>
      </c>
      <c r="BM932" s="129" t="str">
        <f t="shared" si="678"/>
        <v>NONE</v>
      </c>
      <c r="BN932" s="129" t="s">
        <v>566</v>
      </c>
      <c r="BP932" s="137" t="str">
        <f t="shared" si="679"/>
        <v>CONVICTION</v>
      </c>
      <c r="BQ932" s="128" t="str">
        <f t="shared" si="680"/>
        <v>Y</v>
      </c>
      <c r="BR932" s="129" t="str">
        <f t="shared" si="681"/>
        <v>DETAINED</v>
      </c>
      <c r="BS932" s="129" t="str">
        <f t="shared" si="682"/>
        <v>DISPOSED</v>
      </c>
      <c r="BT932" s="129" t="str">
        <f t="shared" si="683"/>
        <v>Y</v>
      </c>
      <c r="BU932" s="109">
        <f t="shared" si="694"/>
        <v>1</v>
      </c>
      <c r="BV932" s="109">
        <f t="shared" si="684"/>
        <v>1</v>
      </c>
      <c r="BW932" s="109">
        <f t="shared" si="695"/>
        <v>0</v>
      </c>
      <c r="BX932" s="111">
        <f t="shared" si="685"/>
        <v>0</v>
      </c>
      <c r="BY932" s="129">
        <f t="shared" si="686"/>
        <v>-137</v>
      </c>
      <c r="BZ932" s="111">
        <f t="shared" si="687"/>
        <v>0</v>
      </c>
      <c r="CA932" s="138">
        <f t="shared" si="688"/>
        <v>137</v>
      </c>
      <c r="CB932" s="111" t="e">
        <f t="shared" si="702"/>
        <v>#VALUE!</v>
      </c>
      <c r="CC932" s="129">
        <f>G932-I932+1</f>
        <v>137</v>
      </c>
      <c r="CD932" s="129">
        <f>G932-J932</f>
        <v>0</v>
      </c>
      <c r="CE932" s="129">
        <f t="shared" si="689"/>
        <v>0</v>
      </c>
      <c r="CG932" s="129" t="str">
        <f t="shared" si="690"/>
        <v>Y</v>
      </c>
      <c r="CI932" s="129" t="str">
        <f t="shared" si="691"/>
        <v>121-365 DAYS</v>
      </c>
      <c r="CJ932" s="137">
        <f t="shared" si="692"/>
        <v>6</v>
      </c>
      <c r="CK932" s="129" t="str">
        <f t="shared" si="693"/>
        <v>Booked</v>
      </c>
    </row>
    <row r="933" spans="1:89" ht="15" customHeight="1" x14ac:dyDescent="0.25">
      <c r="A933" s="111">
        <v>1336</v>
      </c>
      <c r="B933" s="128" t="str">
        <f t="shared" si="674"/>
        <v>N</v>
      </c>
      <c r="C933" s="128" t="str">
        <f t="shared" si="675"/>
        <v>N</v>
      </c>
      <c r="D933" s="117">
        <v>1662133</v>
      </c>
      <c r="E933" s="135">
        <f t="shared" si="676"/>
        <v>2</v>
      </c>
      <c r="F933" s="124">
        <v>40957</v>
      </c>
      <c r="G933" s="125">
        <v>41012</v>
      </c>
      <c r="H933" s="117">
        <v>1662133</v>
      </c>
      <c r="I933" s="124">
        <v>40957</v>
      </c>
      <c r="J933" s="124">
        <v>41012</v>
      </c>
      <c r="K933" s="126">
        <v>10000</v>
      </c>
      <c r="L933" s="127" t="s">
        <v>570</v>
      </c>
      <c r="N933" s="129" t="str">
        <f t="shared" si="706"/>
        <v>N</v>
      </c>
      <c r="O933" s="128" t="s">
        <v>917</v>
      </c>
      <c r="P933" s="129" t="s">
        <v>589</v>
      </c>
      <c r="Q933" s="111">
        <f t="shared" si="697"/>
        <v>56</v>
      </c>
      <c r="R933" s="111">
        <f t="shared" si="698"/>
        <v>56</v>
      </c>
      <c r="S933" s="129">
        <v>1</v>
      </c>
      <c r="T933" s="129">
        <v>11</v>
      </c>
      <c r="W933" s="111"/>
      <c r="AC933" s="130"/>
      <c r="AD933" s="130">
        <v>29575</v>
      </c>
      <c r="AE933" s="128" t="s">
        <v>32</v>
      </c>
      <c r="AF933" s="128" t="s">
        <v>69</v>
      </c>
      <c r="AG933" s="128" t="s">
        <v>874</v>
      </c>
      <c r="AH933" s="108" t="s">
        <v>58</v>
      </c>
      <c r="AI933" s="128" t="s">
        <v>114</v>
      </c>
      <c r="AJ933" s="129" t="s">
        <v>48</v>
      </c>
      <c r="AK933" s="129">
        <v>4</v>
      </c>
      <c r="AL933" s="3" t="s">
        <v>48</v>
      </c>
      <c r="AP933" s="129" t="s">
        <v>230</v>
      </c>
      <c r="AR933" s="128" t="s">
        <v>44</v>
      </c>
      <c r="AS933" s="129" t="s">
        <v>64</v>
      </c>
      <c r="BC933" s="129" t="s">
        <v>38</v>
      </c>
      <c r="BF933" s="111">
        <f t="shared" si="700"/>
        <v>56</v>
      </c>
      <c r="BG933" s="111">
        <f t="shared" si="701"/>
        <v>56</v>
      </c>
      <c r="BH933" s="111">
        <f t="shared" si="671"/>
        <v>56</v>
      </c>
      <c r="BI933" s="111">
        <f t="shared" si="672"/>
        <v>31.098360655737704</v>
      </c>
      <c r="BJ933" s="129">
        <f t="shared" si="677"/>
        <v>0</v>
      </c>
      <c r="BK933" s="129">
        <f t="shared" si="673"/>
        <v>0</v>
      </c>
      <c r="BL933" s="129" t="str">
        <f t="shared" si="705"/>
        <v>DEFERRED</v>
      </c>
      <c r="BM933" s="129" t="str">
        <f t="shared" si="678"/>
        <v>NONE</v>
      </c>
      <c r="BN933" s="129" t="s">
        <v>566</v>
      </c>
      <c r="BP933" s="137" t="str">
        <f t="shared" si="679"/>
        <v>DEFERRED</v>
      </c>
      <c r="BQ933" s="128" t="str">
        <f t="shared" si="680"/>
        <v>Y</v>
      </c>
      <c r="BR933" s="129" t="str">
        <f t="shared" si="681"/>
        <v>DETAINED</v>
      </c>
      <c r="BS933" s="129" t="str">
        <f t="shared" si="682"/>
        <v>DISPOSED</v>
      </c>
      <c r="BT933" s="129" t="str">
        <f t="shared" si="683"/>
        <v>Y</v>
      </c>
      <c r="BU933" s="109">
        <f t="shared" si="694"/>
        <v>1</v>
      </c>
      <c r="BV933" s="109">
        <f t="shared" si="684"/>
        <v>1</v>
      </c>
      <c r="BW933" s="109">
        <f t="shared" si="695"/>
        <v>0</v>
      </c>
      <c r="BX933" s="111">
        <f t="shared" si="685"/>
        <v>0</v>
      </c>
      <c r="BY933" s="129">
        <f t="shared" si="686"/>
        <v>-56</v>
      </c>
      <c r="BZ933" s="111">
        <f t="shared" si="687"/>
        <v>0</v>
      </c>
      <c r="CA933" s="138">
        <f t="shared" si="688"/>
        <v>56</v>
      </c>
      <c r="CB933" s="111" t="e">
        <f t="shared" si="702"/>
        <v>#VALUE!</v>
      </c>
      <c r="CC933" s="129">
        <f>G933-I933+1</f>
        <v>56</v>
      </c>
      <c r="CD933" s="129">
        <f>G933-J933</f>
        <v>0</v>
      </c>
      <c r="CE933" s="129">
        <f t="shared" si="689"/>
        <v>0</v>
      </c>
      <c r="CG933" s="129" t="str">
        <f t="shared" si="690"/>
        <v>Y</v>
      </c>
      <c r="CI933" s="129" t="str">
        <f t="shared" si="691"/>
        <v>31-60 DAYS</v>
      </c>
      <c r="CJ933" s="137">
        <f t="shared" si="692"/>
        <v>3</v>
      </c>
      <c r="CK933" s="129" t="str">
        <f t="shared" si="693"/>
        <v>Booked</v>
      </c>
    </row>
    <row r="934" spans="1:89" ht="15.75" customHeight="1" x14ac:dyDescent="0.25">
      <c r="A934" s="111">
        <v>773</v>
      </c>
      <c r="B934" s="128" t="str">
        <f t="shared" si="674"/>
        <v>N</v>
      </c>
      <c r="C934" s="128" t="str">
        <f t="shared" si="675"/>
        <v>N</v>
      </c>
      <c r="D934" s="117">
        <v>1662154</v>
      </c>
      <c r="E934" s="135">
        <f t="shared" si="676"/>
        <v>4</v>
      </c>
      <c r="F934" s="124">
        <v>40939</v>
      </c>
      <c r="G934" s="125">
        <v>41012</v>
      </c>
      <c r="H934" s="117">
        <v>1662154</v>
      </c>
      <c r="I934" s="124">
        <v>40939</v>
      </c>
      <c r="J934" s="124">
        <v>41012</v>
      </c>
      <c r="K934" s="126">
        <v>10000</v>
      </c>
      <c r="L934" s="127" t="s">
        <v>570</v>
      </c>
      <c r="N934" s="129" t="str">
        <f t="shared" si="706"/>
        <v>N</v>
      </c>
      <c r="O934" s="128" t="s">
        <v>917</v>
      </c>
      <c r="P934" s="129" t="s">
        <v>39</v>
      </c>
      <c r="Q934" s="111">
        <f t="shared" si="697"/>
        <v>74</v>
      </c>
      <c r="R934" s="111">
        <f t="shared" si="698"/>
        <v>74</v>
      </c>
      <c r="S934" s="129">
        <v>2</v>
      </c>
      <c r="T934" s="129">
        <v>1</v>
      </c>
      <c r="U934" s="129">
        <v>1</v>
      </c>
      <c r="W934" s="111"/>
      <c r="AC934" s="130"/>
      <c r="AD934" s="130">
        <v>23938</v>
      </c>
      <c r="AE934" s="128" t="s">
        <v>32</v>
      </c>
      <c r="AF934" s="128" t="s">
        <v>33</v>
      </c>
      <c r="AG934" s="128" t="s">
        <v>872</v>
      </c>
      <c r="AH934" s="108" t="s">
        <v>58</v>
      </c>
      <c r="AI934" s="128" t="s">
        <v>62</v>
      </c>
      <c r="AJ934" s="129" t="s">
        <v>89</v>
      </c>
      <c r="AK934" s="129">
        <v>8</v>
      </c>
      <c r="AL934" s="3" t="s">
        <v>991</v>
      </c>
      <c r="AO934" s="128">
        <v>180</v>
      </c>
      <c r="AP934" s="129" t="s">
        <v>43</v>
      </c>
      <c r="AR934" s="128" t="s">
        <v>44</v>
      </c>
      <c r="AS934" s="129" t="s">
        <v>45</v>
      </c>
      <c r="BC934" s="129" t="s">
        <v>38</v>
      </c>
      <c r="BF934" s="111">
        <f t="shared" si="700"/>
        <v>74</v>
      </c>
      <c r="BG934" s="111">
        <f t="shared" si="701"/>
        <v>74</v>
      </c>
      <c r="BH934" s="111">
        <f t="shared" si="671"/>
        <v>74</v>
      </c>
      <c r="BI934" s="111">
        <f t="shared" si="672"/>
        <v>46.450819672131146</v>
      </c>
      <c r="BJ934" s="129">
        <f t="shared" si="677"/>
        <v>0</v>
      </c>
      <c r="BK934" s="129">
        <f t="shared" si="673"/>
        <v>0</v>
      </c>
      <c r="BL934" s="129" t="str">
        <f t="shared" si="705"/>
        <v>CONVICTION</v>
      </c>
      <c r="BM934" s="129" t="str">
        <f t="shared" si="678"/>
        <v>NONE</v>
      </c>
      <c r="BN934" s="129" t="s">
        <v>566</v>
      </c>
      <c r="BP934" s="137" t="str">
        <f t="shared" si="679"/>
        <v>CONVICTION</v>
      </c>
      <c r="BQ934" s="128" t="str">
        <f t="shared" si="680"/>
        <v>Y</v>
      </c>
      <c r="BR934" s="129" t="str">
        <f t="shared" si="681"/>
        <v>DETAINED</v>
      </c>
      <c r="BS934" s="129" t="str">
        <f t="shared" si="682"/>
        <v>DISPOSED</v>
      </c>
      <c r="BT934" s="129" t="str">
        <f t="shared" si="683"/>
        <v>Y</v>
      </c>
      <c r="BU934" s="109">
        <f t="shared" si="694"/>
        <v>1</v>
      </c>
      <c r="BV934" s="109">
        <f t="shared" si="684"/>
        <v>1</v>
      </c>
      <c r="BW934" s="109">
        <f t="shared" si="695"/>
        <v>0</v>
      </c>
      <c r="BX934" s="111">
        <f t="shared" si="685"/>
        <v>0</v>
      </c>
      <c r="BY934" s="129">
        <f t="shared" si="686"/>
        <v>-74</v>
      </c>
      <c r="BZ934" s="111">
        <f t="shared" si="687"/>
        <v>0</v>
      </c>
      <c r="CA934" s="138">
        <f t="shared" si="688"/>
        <v>74</v>
      </c>
      <c r="CB934" s="111" t="e">
        <f t="shared" si="702"/>
        <v>#VALUE!</v>
      </c>
      <c r="CC934" s="129">
        <f>G934-I934+1</f>
        <v>74</v>
      </c>
      <c r="CD934" s="129">
        <f>G934-J934</f>
        <v>0</v>
      </c>
      <c r="CE934" s="129">
        <f t="shared" si="689"/>
        <v>0</v>
      </c>
      <c r="CG934" s="129" t="str">
        <f t="shared" si="690"/>
        <v>Y</v>
      </c>
      <c r="CI934" s="129" t="str">
        <f t="shared" si="691"/>
        <v>61-90 DAYS</v>
      </c>
      <c r="CJ934" s="137">
        <f t="shared" si="692"/>
        <v>4</v>
      </c>
      <c r="CK934" s="129" t="str">
        <f t="shared" si="693"/>
        <v>Booked</v>
      </c>
    </row>
    <row r="935" spans="1:89" ht="15" customHeight="1" x14ac:dyDescent="0.25">
      <c r="A935" s="111">
        <v>2835</v>
      </c>
      <c r="B935" s="128" t="str">
        <f t="shared" si="674"/>
        <v>N</v>
      </c>
      <c r="C935" s="128" t="str">
        <f t="shared" si="675"/>
        <v>N</v>
      </c>
      <c r="D935" s="117">
        <v>1664963</v>
      </c>
      <c r="E935" s="135">
        <f t="shared" si="676"/>
        <v>1</v>
      </c>
      <c r="F935" s="124">
        <v>41013</v>
      </c>
      <c r="G935" s="125">
        <v>41015</v>
      </c>
      <c r="H935" s="117">
        <v>1664963</v>
      </c>
      <c r="I935" s="124">
        <v>41013</v>
      </c>
      <c r="J935" s="124">
        <v>41015</v>
      </c>
      <c r="K935" s="126">
        <v>10000</v>
      </c>
      <c r="L935" s="127" t="s">
        <v>570</v>
      </c>
      <c r="N935" s="129" t="str">
        <f t="shared" si="706"/>
        <v>N</v>
      </c>
      <c r="O935" s="128" t="s">
        <v>917</v>
      </c>
      <c r="P935" s="129" t="s">
        <v>55</v>
      </c>
      <c r="Q935" s="111">
        <f t="shared" si="697"/>
        <v>3</v>
      </c>
      <c r="R935" s="111">
        <f t="shared" si="698"/>
        <v>3</v>
      </c>
      <c r="S935" s="129">
        <v>1</v>
      </c>
      <c r="T935" s="129">
        <v>2</v>
      </c>
      <c r="U935" s="129">
        <v>1</v>
      </c>
      <c r="W935" s="111"/>
      <c r="AC935" s="130"/>
      <c r="AD935" s="130">
        <v>29022</v>
      </c>
      <c r="AE935" s="128" t="s">
        <v>32</v>
      </c>
      <c r="AF935" s="128" t="s">
        <v>33</v>
      </c>
      <c r="AG935" s="128" t="s">
        <v>872</v>
      </c>
      <c r="AH935" s="108" t="s">
        <v>31</v>
      </c>
      <c r="AI935" s="128" t="s">
        <v>70</v>
      </c>
      <c r="AJ935" s="129" t="s">
        <v>55</v>
      </c>
      <c r="AK935" s="129">
        <v>1</v>
      </c>
      <c r="AL935" s="3" t="s">
        <v>55</v>
      </c>
      <c r="AP935" s="129" t="s">
        <v>158</v>
      </c>
      <c r="AR935" s="128" t="s">
        <v>67</v>
      </c>
      <c r="AS935" s="129" t="s">
        <v>64</v>
      </c>
      <c r="BC935" s="129" t="s">
        <v>38</v>
      </c>
      <c r="BF935" s="111">
        <f t="shared" si="700"/>
        <v>3</v>
      </c>
      <c r="BG935" s="111">
        <f t="shared" si="701"/>
        <v>3</v>
      </c>
      <c r="BH935" s="111">
        <f t="shared" si="671"/>
        <v>3</v>
      </c>
      <c r="BI935" s="111">
        <f t="shared" si="672"/>
        <v>32.76229508196721</v>
      </c>
      <c r="BJ935" s="129">
        <f t="shared" si="677"/>
        <v>0</v>
      </c>
      <c r="BK935" s="129">
        <f t="shared" si="673"/>
        <v>0</v>
      </c>
      <c r="BL935" s="129" t="str">
        <f t="shared" si="705"/>
        <v>NO CONVICTION</v>
      </c>
      <c r="BM935" s="129" t="str">
        <f t="shared" si="678"/>
        <v>NONE</v>
      </c>
      <c r="BN935" s="129" t="s">
        <v>566</v>
      </c>
      <c r="BP935" s="137" t="str">
        <f t="shared" si="679"/>
        <v>NO CONVICTION</v>
      </c>
      <c r="BQ935" s="128" t="str">
        <f t="shared" si="680"/>
        <v>Y</v>
      </c>
      <c r="BR935" s="129" t="str">
        <f t="shared" si="681"/>
        <v>DETAINED</v>
      </c>
      <c r="BS935" s="129" t="str">
        <f t="shared" si="682"/>
        <v>DISPOSED</v>
      </c>
      <c r="BT935" s="129" t="str">
        <f t="shared" si="683"/>
        <v>Y</v>
      </c>
      <c r="BU935" s="109">
        <f>IFERROR(Q935/R935,BR935)</f>
        <v>1</v>
      </c>
      <c r="BV935" s="109">
        <f t="shared" si="684"/>
        <v>1</v>
      </c>
      <c r="BW935" s="109">
        <f t="shared" si="695"/>
        <v>0</v>
      </c>
      <c r="BX935" s="111">
        <f t="shared" si="685"/>
        <v>0</v>
      </c>
      <c r="BY935" s="129">
        <f t="shared" si="686"/>
        <v>-3</v>
      </c>
      <c r="BZ935" s="111">
        <f t="shared" si="687"/>
        <v>0</v>
      </c>
      <c r="CA935" s="138">
        <f t="shared" si="688"/>
        <v>3</v>
      </c>
      <c r="CB935" s="111" t="e">
        <f t="shared" si="702"/>
        <v>#VALUE!</v>
      </c>
      <c r="CC935" s="129">
        <f>G935-I935+1</f>
        <v>3</v>
      </c>
      <c r="CD935" s="129">
        <f>G935-J935</f>
        <v>0</v>
      </c>
      <c r="CE935" s="129">
        <f t="shared" si="689"/>
        <v>0</v>
      </c>
      <c r="CG935" s="129" t="str">
        <f t="shared" si="690"/>
        <v>Y</v>
      </c>
      <c r="CI935" s="129" t="str">
        <f t="shared" si="691"/>
        <v>0-10 DAYS</v>
      </c>
      <c r="CJ935" s="137">
        <f t="shared" si="692"/>
        <v>1</v>
      </c>
      <c r="CK935" s="129" t="str">
        <f t="shared" si="693"/>
        <v>Booked</v>
      </c>
    </row>
    <row r="936" spans="1:89" ht="15" customHeight="1" x14ac:dyDescent="0.25">
      <c r="A936" s="111">
        <v>517</v>
      </c>
      <c r="B936" s="128" t="str">
        <f t="shared" si="674"/>
        <v>N</v>
      </c>
      <c r="C936" s="128" t="str">
        <f t="shared" si="675"/>
        <v>N</v>
      </c>
      <c r="D936" s="117">
        <v>1666471</v>
      </c>
      <c r="E936" s="135">
        <f t="shared" si="676"/>
        <v>4</v>
      </c>
      <c r="F936" s="124">
        <v>40929</v>
      </c>
      <c r="G936" s="125">
        <v>41068</v>
      </c>
      <c r="H936" s="117">
        <v>1666471</v>
      </c>
      <c r="I936" s="124">
        <v>40929</v>
      </c>
      <c r="J936" s="124">
        <v>40930</v>
      </c>
      <c r="K936" s="126">
        <v>15000</v>
      </c>
      <c r="L936" s="127" t="s">
        <v>571</v>
      </c>
      <c r="M936" s="125">
        <v>40930</v>
      </c>
      <c r="N936" s="129" t="str">
        <f t="shared" si="706"/>
        <v>Y</v>
      </c>
      <c r="O936" s="128" t="s">
        <v>76</v>
      </c>
      <c r="P936" s="129" t="s">
        <v>39</v>
      </c>
      <c r="Q936" s="111">
        <f t="shared" si="697"/>
        <v>2</v>
      </c>
      <c r="R936" s="111">
        <f t="shared" si="698"/>
        <v>140</v>
      </c>
      <c r="S936" s="129">
        <v>2</v>
      </c>
      <c r="T936" s="129">
        <v>1</v>
      </c>
      <c r="U936" s="129">
        <v>2</v>
      </c>
      <c r="W936" s="111"/>
      <c r="AC936" s="130"/>
      <c r="AD936" s="130">
        <v>28464</v>
      </c>
      <c r="AE936" s="128" t="s">
        <v>32</v>
      </c>
      <c r="AF936" s="128" t="s">
        <v>40</v>
      </c>
      <c r="AG936" s="128" t="s">
        <v>41</v>
      </c>
      <c r="AH936" s="108" t="s">
        <v>41</v>
      </c>
      <c r="AI936" s="128" t="s">
        <v>87</v>
      </c>
      <c r="AJ936" s="129" t="s">
        <v>89</v>
      </c>
      <c r="AK936" s="129">
        <v>6</v>
      </c>
      <c r="AL936" s="3" t="s">
        <v>991</v>
      </c>
      <c r="AO936" s="128">
        <v>30</v>
      </c>
      <c r="AP936" s="129" t="s">
        <v>43</v>
      </c>
      <c r="AR936" s="128" t="s">
        <v>44</v>
      </c>
      <c r="AS936" s="129" t="s">
        <v>45</v>
      </c>
      <c r="BC936" s="129" t="s">
        <v>52</v>
      </c>
      <c r="BF936" s="111">
        <f t="shared" si="700"/>
        <v>2</v>
      </c>
      <c r="BG936" s="111">
        <f t="shared" si="701"/>
        <v>140</v>
      </c>
      <c r="BH936" s="111">
        <f t="shared" si="671"/>
        <v>140</v>
      </c>
      <c r="BI936" s="111">
        <f t="shared" si="672"/>
        <v>34.057377049180324</v>
      </c>
      <c r="BJ936" s="129">
        <f>(G936-J936)+(M936-G936)</f>
        <v>0</v>
      </c>
      <c r="BK936" s="129">
        <f t="shared" si="673"/>
        <v>-138</v>
      </c>
      <c r="BL936" s="129" t="str">
        <f t="shared" si="705"/>
        <v>CONVICTION</v>
      </c>
      <c r="BM936" s="129" t="s">
        <v>76</v>
      </c>
      <c r="BN936" s="129" t="s">
        <v>88</v>
      </c>
      <c r="BP936" s="137" t="str">
        <f t="shared" si="679"/>
        <v>CONVICTION</v>
      </c>
      <c r="BQ936" s="128" t="str">
        <f t="shared" si="680"/>
        <v>Y</v>
      </c>
      <c r="BR936" s="129" t="str">
        <f>IF(J936&lt;G936,"ON BOND",0)</f>
        <v>ON BOND</v>
      </c>
      <c r="BS936" s="129" t="str">
        <f t="shared" si="682"/>
        <v>DISPOSED</v>
      </c>
      <c r="BT936" s="129" t="str">
        <f t="shared" si="683"/>
        <v>Y</v>
      </c>
      <c r="BU936" s="109">
        <f t="shared" si="694"/>
        <v>1.4285714285714285E-2</v>
      </c>
      <c r="BV936" s="109">
        <f t="shared" si="684"/>
        <v>1.4285714285714285E-2</v>
      </c>
      <c r="BW936" s="109">
        <f t="shared" si="695"/>
        <v>0</v>
      </c>
      <c r="BX936" s="111">
        <f t="shared" si="685"/>
        <v>0</v>
      </c>
      <c r="BY936" s="129">
        <f t="shared" si="686"/>
        <v>-2</v>
      </c>
      <c r="BZ936" s="111">
        <f t="shared" si="687"/>
        <v>0</v>
      </c>
      <c r="CA936" s="138">
        <f t="shared" si="688"/>
        <v>2</v>
      </c>
      <c r="CB936" s="111" t="e">
        <f t="shared" si="702"/>
        <v>#VALUE!</v>
      </c>
      <c r="CC936" s="129">
        <f>M936-I936+1</f>
        <v>2</v>
      </c>
      <c r="CD936" s="111">
        <f>CC936-BF936</f>
        <v>0</v>
      </c>
      <c r="CE936" s="129">
        <f t="shared" si="689"/>
        <v>138</v>
      </c>
      <c r="CG936" s="129" t="str">
        <f t="shared" si="690"/>
        <v>Y</v>
      </c>
      <c r="CI936" s="129" t="str">
        <f t="shared" si="691"/>
        <v>0-10 DAYS</v>
      </c>
      <c r="CJ936" s="137">
        <f t="shared" si="692"/>
        <v>1</v>
      </c>
      <c r="CK936" s="129" t="str">
        <f t="shared" si="693"/>
        <v>Booked</v>
      </c>
    </row>
    <row r="937" spans="1:89" ht="15" customHeight="1" x14ac:dyDescent="0.25">
      <c r="A937" s="111">
        <v>1111</v>
      </c>
      <c r="B937" s="128" t="str">
        <f t="shared" si="674"/>
        <v>N</v>
      </c>
      <c r="C937" s="128" t="str">
        <f t="shared" si="675"/>
        <v>N</v>
      </c>
      <c r="D937" s="117">
        <v>1667383</v>
      </c>
      <c r="E937" s="135">
        <f t="shared" si="676"/>
        <v>1</v>
      </c>
      <c r="F937" s="124">
        <v>40949</v>
      </c>
      <c r="G937" s="125">
        <v>41064</v>
      </c>
      <c r="H937" s="117">
        <v>1667383</v>
      </c>
      <c r="I937" s="124">
        <v>40949</v>
      </c>
      <c r="J937" s="124">
        <v>40950</v>
      </c>
      <c r="K937" s="126">
        <v>100000</v>
      </c>
      <c r="L937" s="129" t="s">
        <v>572</v>
      </c>
      <c r="M937" s="125">
        <v>40950</v>
      </c>
      <c r="N937" s="129" t="str">
        <f t="shared" si="706"/>
        <v>Y</v>
      </c>
      <c r="O937" s="128" t="s">
        <v>76</v>
      </c>
      <c r="P937" s="129" t="s">
        <v>55</v>
      </c>
      <c r="Q937" s="111">
        <f t="shared" si="697"/>
        <v>2</v>
      </c>
      <c r="R937" s="111">
        <f t="shared" si="698"/>
        <v>116</v>
      </c>
      <c r="S937" s="129">
        <v>0</v>
      </c>
      <c r="T937" s="129">
        <v>1</v>
      </c>
      <c r="W937" s="111"/>
      <c r="AC937" s="130"/>
      <c r="AD937" s="130">
        <v>29297</v>
      </c>
      <c r="AE937" s="128" t="s">
        <v>32</v>
      </c>
      <c r="AF937" s="128" t="s">
        <v>40</v>
      </c>
      <c r="AG937" s="128" t="s">
        <v>41</v>
      </c>
      <c r="AH937" s="108" t="s">
        <v>41</v>
      </c>
      <c r="AI937" s="128" t="s">
        <v>83</v>
      </c>
      <c r="AJ937" s="129" t="s">
        <v>55</v>
      </c>
      <c r="AK937" s="129">
        <v>5</v>
      </c>
      <c r="AL937" s="3" t="s">
        <v>55</v>
      </c>
      <c r="AP937" s="129" t="s">
        <v>289</v>
      </c>
      <c r="AR937" s="128" t="s">
        <v>50</v>
      </c>
      <c r="AS937" s="129" t="s">
        <v>64</v>
      </c>
      <c r="BC937" s="129" t="s">
        <v>52</v>
      </c>
      <c r="BF937" s="111">
        <f t="shared" si="700"/>
        <v>2</v>
      </c>
      <c r="BG937" s="111">
        <f t="shared" si="701"/>
        <v>116</v>
      </c>
      <c r="BH937" s="111">
        <f t="shared" si="671"/>
        <v>116</v>
      </c>
      <c r="BI937" s="111">
        <f t="shared" si="672"/>
        <v>31.83606557377049</v>
      </c>
      <c r="BJ937" s="129">
        <f>(G937-J937)+(M937-G937)</f>
        <v>0</v>
      </c>
      <c r="BK937" s="129">
        <f t="shared" si="673"/>
        <v>-114</v>
      </c>
      <c r="BL937" s="129" t="str">
        <f t="shared" si="705"/>
        <v>NO CONVICTION</v>
      </c>
      <c r="BM937" s="129" t="s">
        <v>76</v>
      </c>
      <c r="BN937" s="129" t="s">
        <v>88</v>
      </c>
      <c r="BP937" s="137" t="str">
        <f t="shared" si="679"/>
        <v>NO CONVICTION</v>
      </c>
      <c r="BQ937" s="128" t="str">
        <f t="shared" si="680"/>
        <v>Y</v>
      </c>
      <c r="BR937" s="129" t="str">
        <f t="shared" si="681"/>
        <v>ON BOND</v>
      </c>
      <c r="BS937" s="129" t="str">
        <f t="shared" si="682"/>
        <v>DISPOSED</v>
      </c>
      <c r="BT937" s="129" t="str">
        <f t="shared" si="683"/>
        <v>N</v>
      </c>
      <c r="BU937" s="109">
        <f>IFERROR(Q937/R937,BR937)</f>
        <v>1.7241379310344827E-2</v>
      </c>
      <c r="BV937" s="109">
        <f t="shared" si="684"/>
        <v>1.7241379310344827E-2</v>
      </c>
      <c r="BW937" s="109">
        <f t="shared" si="695"/>
        <v>0</v>
      </c>
      <c r="BX937" s="111">
        <f t="shared" si="685"/>
        <v>0</v>
      </c>
      <c r="BY937" s="129">
        <f t="shared" si="686"/>
        <v>-2</v>
      </c>
      <c r="BZ937" s="111">
        <f t="shared" si="687"/>
        <v>0</v>
      </c>
      <c r="CA937" s="138">
        <f t="shared" si="688"/>
        <v>2</v>
      </c>
      <c r="CB937" s="111" t="e">
        <f t="shared" si="702"/>
        <v>#VALUE!</v>
      </c>
      <c r="CC937" s="129">
        <f>M937-I937+1</f>
        <v>2</v>
      </c>
      <c r="CD937" s="111">
        <f>CC937-BF937</f>
        <v>0</v>
      </c>
      <c r="CE937" s="129">
        <f t="shared" si="689"/>
        <v>114</v>
      </c>
      <c r="CG937" s="129" t="str">
        <f t="shared" si="690"/>
        <v>Y</v>
      </c>
      <c r="CI937" s="129" t="str">
        <f t="shared" si="691"/>
        <v>0-10 DAYS</v>
      </c>
      <c r="CJ937" s="137">
        <f t="shared" si="692"/>
        <v>1</v>
      </c>
      <c r="CK937" s="129" t="str">
        <f t="shared" si="693"/>
        <v>Booked</v>
      </c>
    </row>
    <row r="938" spans="1:89" ht="15.75" customHeight="1" x14ac:dyDescent="0.25">
      <c r="A938" s="111">
        <v>2661</v>
      </c>
      <c r="B938" s="128" t="str">
        <f t="shared" si="674"/>
        <v>N</v>
      </c>
      <c r="C938" s="128" t="str">
        <f t="shared" si="675"/>
        <v>N</v>
      </c>
      <c r="D938" s="117">
        <v>1667520</v>
      </c>
      <c r="E938" s="135">
        <f t="shared" si="676"/>
        <v>5</v>
      </c>
      <c r="F938" s="124">
        <v>41007</v>
      </c>
      <c r="G938" s="125">
        <v>41009</v>
      </c>
      <c r="H938" s="117">
        <v>1667520</v>
      </c>
      <c r="I938" s="124">
        <v>41008</v>
      </c>
      <c r="J938" s="124">
        <v>41009</v>
      </c>
      <c r="K938" s="126">
        <v>15000</v>
      </c>
      <c r="L938" s="127" t="s">
        <v>571</v>
      </c>
      <c r="N938" s="129" t="str">
        <f t="shared" si="706"/>
        <v>N</v>
      </c>
      <c r="O938" s="128" t="s">
        <v>917</v>
      </c>
      <c r="P938" s="129" t="s">
        <v>39</v>
      </c>
      <c r="Q938" s="111">
        <f t="shared" si="697"/>
        <v>2</v>
      </c>
      <c r="R938" s="111">
        <f t="shared" si="698"/>
        <v>3</v>
      </c>
      <c r="S938" s="129">
        <v>5</v>
      </c>
      <c r="T938" s="129">
        <v>6</v>
      </c>
      <c r="U938" s="129">
        <v>3</v>
      </c>
      <c r="W938" s="111"/>
      <c r="AC938" s="130"/>
      <c r="AD938" s="130">
        <v>24502</v>
      </c>
      <c r="AE938" s="128" t="s">
        <v>32</v>
      </c>
      <c r="AF938" s="128" t="s">
        <v>33</v>
      </c>
      <c r="AG938" s="128" t="s">
        <v>872</v>
      </c>
      <c r="AH938" s="108" t="s">
        <v>58</v>
      </c>
      <c r="AI938" s="128" t="s">
        <v>97</v>
      </c>
      <c r="AJ938" s="129" t="s">
        <v>89</v>
      </c>
      <c r="AK938" s="129">
        <v>1</v>
      </c>
      <c r="AL938" s="3" t="s">
        <v>992</v>
      </c>
      <c r="AN938" s="117">
        <v>6</v>
      </c>
      <c r="AP938" s="129" t="s">
        <v>60</v>
      </c>
      <c r="AR938" s="128" t="s">
        <v>44</v>
      </c>
      <c r="AS938" s="129" t="s">
        <v>61</v>
      </c>
      <c r="BC938" s="129" t="s">
        <v>38</v>
      </c>
      <c r="BF938" s="111">
        <f t="shared" si="700"/>
        <v>2</v>
      </c>
      <c r="BG938" s="111">
        <f t="shared" si="701"/>
        <v>2</v>
      </c>
      <c r="BH938" s="111">
        <f t="shared" si="671"/>
        <v>3</v>
      </c>
      <c r="BI938" s="111">
        <f t="shared" si="672"/>
        <v>45.095628415300546</v>
      </c>
      <c r="BJ938" s="129">
        <f t="shared" si="677"/>
        <v>0</v>
      </c>
      <c r="BK938" s="129">
        <f t="shared" si="673"/>
        <v>0</v>
      </c>
      <c r="BL938" s="129" t="str">
        <f t="shared" si="705"/>
        <v>CONVICTION</v>
      </c>
      <c r="BM938" s="129" t="str">
        <f t="shared" si="678"/>
        <v>NONE</v>
      </c>
      <c r="BN938" s="129" t="s">
        <v>566</v>
      </c>
      <c r="BP938" s="137" t="str">
        <f t="shared" si="679"/>
        <v>CONVICTION</v>
      </c>
      <c r="BQ938" s="128" t="str">
        <f t="shared" si="680"/>
        <v>Y</v>
      </c>
      <c r="BR938" s="129" t="str">
        <f t="shared" si="681"/>
        <v>DETAINED</v>
      </c>
      <c r="BS938" s="129" t="str">
        <f t="shared" si="682"/>
        <v>DISPOSED</v>
      </c>
      <c r="BT938" s="129" t="str">
        <f t="shared" si="683"/>
        <v>Y</v>
      </c>
      <c r="BU938" s="109">
        <f t="shared" si="694"/>
        <v>0.66666666666666663</v>
      </c>
      <c r="BV938" s="109">
        <f t="shared" si="684"/>
        <v>1</v>
      </c>
      <c r="BW938" s="109">
        <f t="shared" si="695"/>
        <v>0.33333333333333337</v>
      </c>
      <c r="BX938" s="111">
        <f t="shared" si="685"/>
        <v>0</v>
      </c>
      <c r="BY938" s="129">
        <f t="shared" si="686"/>
        <v>-2</v>
      </c>
      <c r="BZ938" s="111">
        <f t="shared" si="687"/>
        <v>0</v>
      </c>
      <c r="CA938" s="138">
        <f t="shared" si="688"/>
        <v>2</v>
      </c>
      <c r="CB938" s="111" t="e">
        <f t="shared" si="702"/>
        <v>#VALUE!</v>
      </c>
      <c r="CC938" s="129">
        <f>G938-I938+1</f>
        <v>2</v>
      </c>
      <c r="CD938" s="129">
        <f>G938-J938</f>
        <v>0</v>
      </c>
      <c r="CE938" s="129">
        <f t="shared" si="689"/>
        <v>0</v>
      </c>
      <c r="CG938" s="129" t="str">
        <f t="shared" si="690"/>
        <v>Y</v>
      </c>
      <c r="CI938" s="129" t="str">
        <f t="shared" si="691"/>
        <v>0-10 DAYS</v>
      </c>
      <c r="CJ938" s="137">
        <f t="shared" si="692"/>
        <v>1</v>
      </c>
      <c r="CK938" s="129" t="str">
        <f t="shared" si="693"/>
        <v>Booked</v>
      </c>
    </row>
    <row r="939" spans="1:89" ht="15.75" customHeight="1" x14ac:dyDescent="0.25">
      <c r="A939" s="111">
        <v>298</v>
      </c>
      <c r="B939" s="128" t="str">
        <f t="shared" si="674"/>
        <v>N</v>
      </c>
      <c r="C939" s="128" t="str">
        <f t="shared" si="675"/>
        <v>N</v>
      </c>
      <c r="D939" s="117">
        <v>1667900</v>
      </c>
      <c r="E939" s="135">
        <f t="shared" si="676"/>
        <v>5</v>
      </c>
      <c r="F939" s="124">
        <v>40921</v>
      </c>
      <c r="G939" s="125">
        <v>41019</v>
      </c>
      <c r="H939" s="117">
        <v>1667900</v>
      </c>
      <c r="I939" s="124">
        <v>40921</v>
      </c>
      <c r="J939" s="124">
        <v>41019</v>
      </c>
      <c r="K939" s="126">
        <v>15000</v>
      </c>
      <c r="L939" s="127" t="s">
        <v>571</v>
      </c>
      <c r="N939" s="129" t="str">
        <f t="shared" si="706"/>
        <v>N</v>
      </c>
      <c r="O939" s="128" t="s">
        <v>917</v>
      </c>
      <c r="P939" s="129" t="s">
        <v>39</v>
      </c>
      <c r="Q939" s="111">
        <f t="shared" si="697"/>
        <v>99</v>
      </c>
      <c r="R939" s="111">
        <f t="shared" si="698"/>
        <v>99</v>
      </c>
      <c r="S939" s="129">
        <v>7</v>
      </c>
      <c r="T939" s="129">
        <v>8</v>
      </c>
      <c r="U939" s="129">
        <v>4</v>
      </c>
      <c r="W939" s="111"/>
      <c r="AC939" s="130"/>
      <c r="AD939" s="130">
        <v>28981</v>
      </c>
      <c r="AE939" s="128" t="s">
        <v>32</v>
      </c>
      <c r="AF939" s="128" t="s">
        <v>69</v>
      </c>
      <c r="AG939" s="128" t="s">
        <v>874</v>
      </c>
      <c r="AH939" s="108" t="s">
        <v>58</v>
      </c>
      <c r="AI939" s="128" t="s">
        <v>100</v>
      </c>
      <c r="AJ939" s="129" t="s">
        <v>89</v>
      </c>
      <c r="AK939" s="129">
        <v>5</v>
      </c>
      <c r="AL939" s="3" t="s">
        <v>992</v>
      </c>
      <c r="AN939" s="117">
        <v>8</v>
      </c>
      <c r="AP939" s="129" t="s">
        <v>43</v>
      </c>
      <c r="AR939" s="128" t="s">
        <v>44</v>
      </c>
      <c r="AS939" s="129" t="s">
        <v>45</v>
      </c>
      <c r="BC939" s="129" t="s">
        <v>38</v>
      </c>
      <c r="BF939" s="111">
        <f t="shared" si="700"/>
        <v>99</v>
      </c>
      <c r="BG939" s="111">
        <f t="shared" si="701"/>
        <v>99</v>
      </c>
      <c r="BH939" s="111">
        <f t="shared" si="671"/>
        <v>99</v>
      </c>
      <c r="BI939" s="111">
        <f t="shared" si="672"/>
        <v>32.622950819672134</v>
      </c>
      <c r="BJ939" s="129">
        <f t="shared" si="677"/>
        <v>0</v>
      </c>
      <c r="BK939" s="129">
        <f t="shared" si="673"/>
        <v>0</v>
      </c>
      <c r="BL939" s="129" t="str">
        <f t="shared" si="705"/>
        <v>CONVICTION</v>
      </c>
      <c r="BM939" s="129" t="str">
        <f t="shared" si="678"/>
        <v>NONE</v>
      </c>
      <c r="BN939" s="129" t="s">
        <v>566</v>
      </c>
      <c r="BP939" s="137" t="str">
        <f t="shared" si="679"/>
        <v>CONVICTION</v>
      </c>
      <c r="BQ939" s="128" t="str">
        <f t="shared" si="680"/>
        <v>Y</v>
      </c>
      <c r="BR939" s="129" t="str">
        <f t="shared" si="681"/>
        <v>DETAINED</v>
      </c>
      <c r="BS939" s="129" t="str">
        <f t="shared" si="682"/>
        <v>DISPOSED</v>
      </c>
      <c r="BT939" s="129" t="str">
        <f t="shared" si="683"/>
        <v>Y</v>
      </c>
      <c r="BU939" s="109">
        <f t="shared" si="694"/>
        <v>1</v>
      </c>
      <c r="BV939" s="109">
        <f t="shared" si="684"/>
        <v>1</v>
      </c>
      <c r="BW939" s="109">
        <f t="shared" si="695"/>
        <v>0</v>
      </c>
      <c r="BX939" s="111">
        <f t="shared" si="685"/>
        <v>0</v>
      </c>
      <c r="BY939" s="129">
        <f t="shared" si="686"/>
        <v>-99</v>
      </c>
      <c r="BZ939" s="111">
        <f t="shared" si="687"/>
        <v>0</v>
      </c>
      <c r="CA939" s="138">
        <f t="shared" si="688"/>
        <v>99</v>
      </c>
      <c r="CB939" s="111" t="e">
        <f t="shared" si="702"/>
        <v>#VALUE!</v>
      </c>
      <c r="CC939" s="129">
        <f>G939-I939+1</f>
        <v>99</v>
      </c>
      <c r="CD939" s="129">
        <f>G939-J939</f>
        <v>0</v>
      </c>
      <c r="CE939" s="129">
        <f t="shared" si="689"/>
        <v>0</v>
      </c>
      <c r="CG939" s="129" t="str">
        <f t="shared" si="690"/>
        <v>Y</v>
      </c>
      <c r="CI939" s="129" t="str">
        <f t="shared" si="691"/>
        <v>91-120 DAYS</v>
      </c>
      <c r="CJ939" s="137">
        <f t="shared" si="692"/>
        <v>0</v>
      </c>
      <c r="CK939" s="129" t="str">
        <f t="shared" si="693"/>
        <v>Booked</v>
      </c>
    </row>
    <row r="940" spans="1:89" ht="15" customHeight="1" x14ac:dyDescent="0.25">
      <c r="A940" s="111">
        <v>2107</v>
      </c>
      <c r="B940" s="128" t="str">
        <f t="shared" si="674"/>
        <v>N</v>
      </c>
      <c r="C940" s="128" t="str">
        <f t="shared" si="675"/>
        <v>N</v>
      </c>
      <c r="D940" s="117">
        <v>1668252</v>
      </c>
      <c r="E940" s="135">
        <f t="shared" si="676"/>
        <v>4</v>
      </c>
      <c r="F940" s="124">
        <v>40988</v>
      </c>
      <c r="G940" s="125">
        <v>40990</v>
      </c>
      <c r="H940" s="117">
        <v>1668252</v>
      </c>
      <c r="I940" s="124">
        <v>40988</v>
      </c>
      <c r="J940" s="124">
        <v>40990</v>
      </c>
      <c r="K940" s="126">
        <v>15000</v>
      </c>
      <c r="L940" s="127" t="s">
        <v>571</v>
      </c>
      <c r="N940" s="129" t="str">
        <f t="shared" si="706"/>
        <v>N</v>
      </c>
      <c r="O940" s="128" t="s">
        <v>917</v>
      </c>
      <c r="P940" s="129" t="s">
        <v>39</v>
      </c>
      <c r="Q940" s="111">
        <f t="shared" si="697"/>
        <v>3</v>
      </c>
      <c r="R940" s="111">
        <f t="shared" si="698"/>
        <v>3</v>
      </c>
      <c r="S940" s="129">
        <v>2</v>
      </c>
      <c r="T940" s="129">
        <v>1</v>
      </c>
      <c r="U940" s="129">
        <v>1</v>
      </c>
      <c r="W940" s="111"/>
      <c r="AC940" s="130"/>
      <c r="AD940" s="130">
        <v>24715</v>
      </c>
      <c r="AE940" s="128" t="s">
        <v>46</v>
      </c>
      <c r="AF940" s="128" t="s">
        <v>33</v>
      </c>
      <c r="AG940" s="128" t="s">
        <v>872</v>
      </c>
      <c r="AH940" s="108" t="s">
        <v>58</v>
      </c>
      <c r="AI940" s="128" t="s">
        <v>83</v>
      </c>
      <c r="AJ940" s="129" t="s">
        <v>89</v>
      </c>
      <c r="AK940" s="129">
        <v>2</v>
      </c>
      <c r="AL940" s="3" t="s">
        <v>991</v>
      </c>
      <c r="AO940" s="128">
        <v>180</v>
      </c>
      <c r="AP940" s="129" t="s">
        <v>43</v>
      </c>
      <c r="AR940" s="128" t="s">
        <v>44</v>
      </c>
      <c r="AS940" s="129" t="s">
        <v>45</v>
      </c>
      <c r="BC940" s="129" t="s">
        <v>38</v>
      </c>
      <c r="BF940" s="111">
        <f t="shared" si="700"/>
        <v>3</v>
      </c>
      <c r="BG940" s="111">
        <f t="shared" si="701"/>
        <v>3</v>
      </c>
      <c r="BH940" s="111">
        <f t="shared" si="671"/>
        <v>3</v>
      </c>
      <c r="BI940" s="111">
        <f t="shared" si="672"/>
        <v>44.461748633879779</v>
      </c>
      <c r="BJ940" s="129">
        <f t="shared" si="677"/>
        <v>0</v>
      </c>
      <c r="BK940" s="129">
        <f t="shared" si="673"/>
        <v>0</v>
      </c>
      <c r="BL940" s="129" t="str">
        <f t="shared" si="705"/>
        <v>CONVICTION</v>
      </c>
      <c r="BM940" s="129" t="str">
        <f t="shared" si="678"/>
        <v>NONE</v>
      </c>
      <c r="BN940" s="129" t="s">
        <v>566</v>
      </c>
      <c r="BP940" s="137" t="str">
        <f t="shared" si="679"/>
        <v>CONVICTION</v>
      </c>
      <c r="BQ940" s="128" t="str">
        <f t="shared" si="680"/>
        <v>Y</v>
      </c>
      <c r="BR940" s="129" t="str">
        <f t="shared" si="681"/>
        <v>DETAINED</v>
      </c>
      <c r="BS940" s="129" t="str">
        <f t="shared" si="682"/>
        <v>DISPOSED</v>
      </c>
      <c r="BT940" s="129" t="str">
        <f t="shared" si="683"/>
        <v>Y</v>
      </c>
      <c r="BU940" s="109">
        <f t="shared" si="694"/>
        <v>1</v>
      </c>
      <c r="BV940" s="109">
        <f t="shared" si="684"/>
        <v>1</v>
      </c>
      <c r="BW940" s="109">
        <f t="shared" si="695"/>
        <v>0</v>
      </c>
      <c r="BX940" s="111">
        <f t="shared" si="685"/>
        <v>0</v>
      </c>
      <c r="BY940" s="129">
        <f t="shared" si="686"/>
        <v>-3</v>
      </c>
      <c r="BZ940" s="111">
        <f t="shared" si="687"/>
        <v>0</v>
      </c>
      <c r="CA940" s="138">
        <f t="shared" si="688"/>
        <v>3</v>
      </c>
      <c r="CB940" s="111" t="e">
        <f t="shared" si="702"/>
        <v>#VALUE!</v>
      </c>
      <c r="CC940" s="129">
        <f>G940-I940+1</f>
        <v>3</v>
      </c>
      <c r="CD940" s="129">
        <f>G940-J940</f>
        <v>0</v>
      </c>
      <c r="CE940" s="129">
        <f t="shared" si="689"/>
        <v>0</v>
      </c>
      <c r="CG940" s="129" t="str">
        <f t="shared" si="690"/>
        <v>Y</v>
      </c>
      <c r="CI940" s="129" t="str">
        <f t="shared" si="691"/>
        <v>0-10 DAYS</v>
      </c>
      <c r="CJ940" s="137">
        <f t="shared" si="692"/>
        <v>1</v>
      </c>
      <c r="CK940" s="129" t="str">
        <f t="shared" si="693"/>
        <v>Booked</v>
      </c>
    </row>
    <row r="941" spans="1:89" ht="15.75" customHeight="1" x14ac:dyDescent="0.25">
      <c r="A941" s="111">
        <v>1991</v>
      </c>
      <c r="B941" s="128" t="str">
        <f t="shared" si="674"/>
        <v>N</v>
      </c>
      <c r="C941" s="128" t="str">
        <f t="shared" si="675"/>
        <v>N</v>
      </c>
      <c r="D941" s="117">
        <v>1668767</v>
      </c>
      <c r="E941" s="135">
        <f t="shared" si="676"/>
        <v>6</v>
      </c>
      <c r="F941" s="124">
        <v>40983</v>
      </c>
      <c r="G941" s="125">
        <v>41677</v>
      </c>
      <c r="H941" s="117">
        <v>1668767</v>
      </c>
      <c r="I941" s="124">
        <v>40988</v>
      </c>
      <c r="J941" s="124">
        <v>41677</v>
      </c>
      <c r="K941" s="126">
        <v>60000</v>
      </c>
      <c r="L941" s="129" t="s">
        <v>572</v>
      </c>
      <c r="N941" s="129" t="str">
        <f t="shared" si="706"/>
        <v>N</v>
      </c>
      <c r="O941" s="128" t="s">
        <v>917</v>
      </c>
      <c r="P941" s="129" t="s">
        <v>1144</v>
      </c>
      <c r="Q941" s="111">
        <v>695</v>
      </c>
      <c r="R941" s="111">
        <f t="shared" si="698"/>
        <v>695</v>
      </c>
      <c r="S941" s="129">
        <v>1</v>
      </c>
      <c r="T941" s="129">
        <v>1</v>
      </c>
      <c r="U941" s="129">
        <v>1</v>
      </c>
      <c r="W941" s="111"/>
      <c r="AC941" s="130"/>
      <c r="AD941" s="130">
        <v>24637</v>
      </c>
      <c r="AE941" s="128" t="s">
        <v>32</v>
      </c>
      <c r="AF941" s="128" t="s">
        <v>69</v>
      </c>
      <c r="AG941" s="128" t="s">
        <v>874</v>
      </c>
      <c r="AH941" s="108" t="s">
        <v>58</v>
      </c>
      <c r="AI941" s="128" t="s">
        <v>83</v>
      </c>
      <c r="AJ941" s="129" t="s">
        <v>89</v>
      </c>
      <c r="AK941" s="129">
        <v>30</v>
      </c>
      <c r="AL941" s="3" t="s">
        <v>362</v>
      </c>
      <c r="AM941" s="117">
        <v>50</v>
      </c>
      <c r="AP941" s="129" t="s">
        <v>129</v>
      </c>
      <c r="AR941" s="128" t="s">
        <v>92</v>
      </c>
      <c r="AS941" s="129" t="s">
        <v>126</v>
      </c>
      <c r="AT941" s="129" t="s">
        <v>1354</v>
      </c>
      <c r="BC941" s="129" t="s">
        <v>38</v>
      </c>
      <c r="BE941" s="129" t="s">
        <v>1355</v>
      </c>
      <c r="BF941" s="111">
        <v>695</v>
      </c>
      <c r="BG941" s="111">
        <f t="shared" si="701"/>
        <v>690</v>
      </c>
      <c r="BH941" s="111">
        <f t="shared" si="671"/>
        <v>695</v>
      </c>
      <c r="BI941" s="111">
        <f t="shared" si="672"/>
        <v>44.661202185792348</v>
      </c>
      <c r="BJ941" s="129">
        <f t="shared" si="677"/>
        <v>0</v>
      </c>
      <c r="BK941" s="129">
        <f t="shared" si="673"/>
        <v>0</v>
      </c>
      <c r="BL941" s="129" t="str">
        <f t="shared" si="705"/>
        <v>CONVICTION</v>
      </c>
      <c r="BM941" s="129" t="str">
        <f t="shared" si="678"/>
        <v>NONE</v>
      </c>
      <c r="BN941" s="129" t="s">
        <v>88</v>
      </c>
      <c r="BP941" s="137" t="str">
        <f t="shared" si="679"/>
        <v>CONVICTION</v>
      </c>
      <c r="BQ941" s="128" t="str">
        <f t="shared" si="680"/>
        <v>Y</v>
      </c>
      <c r="BR941" s="129" t="s">
        <v>574</v>
      </c>
      <c r="BS941" s="129" t="s">
        <v>1259</v>
      </c>
      <c r="BT941" s="129" t="str">
        <f t="shared" si="683"/>
        <v>Y</v>
      </c>
      <c r="BU941" s="109">
        <f>IFERROR(Q941/R941,BR941)</f>
        <v>1</v>
      </c>
      <c r="BV941" s="139">
        <v>1</v>
      </c>
      <c r="BW941" s="109">
        <v>0</v>
      </c>
      <c r="BX941" s="111">
        <f t="shared" si="685"/>
        <v>0</v>
      </c>
      <c r="BY941" s="129">
        <f t="shared" si="686"/>
        <v>-690</v>
      </c>
      <c r="BZ941" s="111">
        <f t="shared" si="687"/>
        <v>5</v>
      </c>
      <c r="CA941" s="138"/>
      <c r="CB941" s="111" t="e">
        <v>#VALUE!</v>
      </c>
      <c r="CC941" s="129">
        <v>690</v>
      </c>
      <c r="CE941" s="129">
        <f t="shared" si="689"/>
        <v>0</v>
      </c>
      <c r="CG941" s="129" t="str">
        <f t="shared" si="690"/>
        <v>Y</v>
      </c>
      <c r="CH941" s="129" t="e">
        <v>#N/A</v>
      </c>
      <c r="CI941" s="129" t="str">
        <f t="shared" si="691"/>
        <v xml:space="preserve"> &gt;1YRS&lt;2YRS</v>
      </c>
      <c r="CJ941" s="137">
        <f t="shared" si="692"/>
        <v>0</v>
      </c>
      <c r="CK941" s="129" t="str">
        <f t="shared" si="693"/>
        <v>Booked</v>
      </c>
    </row>
    <row r="942" spans="1:89" ht="15.75" customHeight="1" x14ac:dyDescent="0.25">
      <c r="A942" s="111">
        <v>191</v>
      </c>
      <c r="B942" s="128" t="str">
        <f t="shared" si="674"/>
        <v>N</v>
      </c>
      <c r="C942" s="128" t="str">
        <f t="shared" si="675"/>
        <v>N</v>
      </c>
      <c r="D942" s="117">
        <v>1670605</v>
      </c>
      <c r="E942" s="135">
        <f t="shared" si="676"/>
        <v>4</v>
      </c>
      <c r="F942" s="124">
        <v>40917</v>
      </c>
      <c r="G942" s="125">
        <v>40920</v>
      </c>
      <c r="H942" s="117">
        <v>1670605</v>
      </c>
      <c r="I942" s="124">
        <v>40918</v>
      </c>
      <c r="J942" s="124">
        <v>40920</v>
      </c>
      <c r="K942" s="126">
        <v>10000</v>
      </c>
      <c r="L942" s="127" t="s">
        <v>570</v>
      </c>
      <c r="N942" s="129" t="str">
        <f t="shared" si="706"/>
        <v>N</v>
      </c>
      <c r="O942" s="128" t="s">
        <v>917</v>
      </c>
      <c r="P942" s="129" t="s">
        <v>39</v>
      </c>
      <c r="Q942" s="111">
        <f t="shared" si="697"/>
        <v>3</v>
      </c>
      <c r="R942" s="111">
        <f t="shared" si="698"/>
        <v>4</v>
      </c>
      <c r="S942" s="129">
        <v>3</v>
      </c>
      <c r="T942" s="129">
        <v>4</v>
      </c>
      <c r="U942" s="129">
        <v>2</v>
      </c>
      <c r="W942" s="111"/>
      <c r="AC942" s="130"/>
      <c r="AD942" s="130">
        <v>29584</v>
      </c>
      <c r="AE942" s="128" t="s">
        <v>32</v>
      </c>
      <c r="AF942" s="128" t="s">
        <v>33</v>
      </c>
      <c r="AG942" s="128" t="s">
        <v>872</v>
      </c>
      <c r="AH942" s="108" t="s">
        <v>58</v>
      </c>
      <c r="AI942" s="128" t="s">
        <v>53</v>
      </c>
      <c r="AJ942" s="129" t="s">
        <v>89</v>
      </c>
      <c r="AK942" s="129">
        <v>4</v>
      </c>
      <c r="AL942" s="3" t="s">
        <v>991</v>
      </c>
      <c r="AO942" s="128">
        <v>120</v>
      </c>
      <c r="AP942" s="129" t="s">
        <v>43</v>
      </c>
      <c r="AR942" s="128" t="s">
        <v>44</v>
      </c>
      <c r="AS942" s="129" t="s">
        <v>45</v>
      </c>
      <c r="BC942" s="129" t="s">
        <v>38</v>
      </c>
      <c r="BF942" s="111">
        <f t="shared" si="700"/>
        <v>3</v>
      </c>
      <c r="BG942" s="111">
        <f t="shared" si="701"/>
        <v>3</v>
      </c>
      <c r="BH942" s="111">
        <f t="shared" si="671"/>
        <v>4</v>
      </c>
      <c r="BI942" s="111">
        <f t="shared" si="672"/>
        <v>30.964480874316941</v>
      </c>
      <c r="BJ942" s="129">
        <f t="shared" si="677"/>
        <v>0</v>
      </c>
      <c r="BK942" s="129">
        <f t="shared" si="673"/>
        <v>0</v>
      </c>
      <c r="BL942" s="129" t="str">
        <f t="shared" si="705"/>
        <v>CONVICTION</v>
      </c>
      <c r="BM942" s="129" t="str">
        <f t="shared" si="678"/>
        <v>NONE</v>
      </c>
      <c r="BN942" s="129" t="s">
        <v>566</v>
      </c>
      <c r="BP942" s="137" t="str">
        <f t="shared" si="679"/>
        <v>CONVICTION</v>
      </c>
      <c r="BQ942" s="128" t="str">
        <f t="shared" si="680"/>
        <v>Y</v>
      </c>
      <c r="BR942" s="129" t="str">
        <f t="shared" si="681"/>
        <v>DETAINED</v>
      </c>
      <c r="BS942" s="129" t="str">
        <f t="shared" si="682"/>
        <v>DISPOSED</v>
      </c>
      <c r="BT942" s="129" t="str">
        <f t="shared" si="683"/>
        <v>Y</v>
      </c>
      <c r="BU942" s="109">
        <f t="shared" si="694"/>
        <v>0.75</v>
      </c>
      <c r="BV942" s="109">
        <f t="shared" si="684"/>
        <v>1</v>
      </c>
      <c r="BW942" s="109">
        <f t="shared" ref="BW942:BW988" si="707">BV942-BU942</f>
        <v>0.25</v>
      </c>
      <c r="BX942" s="111">
        <f t="shared" si="685"/>
        <v>0</v>
      </c>
      <c r="BY942" s="129">
        <f t="shared" si="686"/>
        <v>-3</v>
      </c>
      <c r="BZ942" s="111">
        <f t="shared" si="687"/>
        <v>0</v>
      </c>
      <c r="CA942" s="138">
        <f t="shared" si="688"/>
        <v>3</v>
      </c>
      <c r="CB942" s="111" t="e">
        <f t="shared" si="702"/>
        <v>#VALUE!</v>
      </c>
      <c r="CC942" s="129">
        <f>G942-I942+1</f>
        <v>3</v>
      </c>
      <c r="CD942" s="129">
        <f>G942-J942</f>
        <v>0</v>
      </c>
      <c r="CE942" s="129">
        <f t="shared" si="689"/>
        <v>0</v>
      </c>
      <c r="CG942" s="129" t="str">
        <f t="shared" si="690"/>
        <v>Y</v>
      </c>
      <c r="CI942" s="129" t="str">
        <f t="shared" si="691"/>
        <v>0-10 DAYS</v>
      </c>
      <c r="CJ942" s="137">
        <f t="shared" si="692"/>
        <v>1</v>
      </c>
      <c r="CK942" s="129" t="str">
        <f t="shared" si="693"/>
        <v>Booked</v>
      </c>
    </row>
    <row r="943" spans="1:89" ht="15" customHeight="1" x14ac:dyDescent="0.25">
      <c r="A943" s="111">
        <v>146</v>
      </c>
      <c r="B943" s="128" t="str">
        <f t="shared" si="674"/>
        <v>N</v>
      </c>
      <c r="C943" s="128" t="str">
        <f t="shared" si="675"/>
        <v>N</v>
      </c>
      <c r="D943" s="117">
        <v>1671812</v>
      </c>
      <c r="E943" s="135">
        <f t="shared" si="676"/>
        <v>4</v>
      </c>
      <c r="F943" s="124">
        <v>40915</v>
      </c>
      <c r="G943" s="125">
        <v>40974</v>
      </c>
      <c r="H943" s="117">
        <v>1671812</v>
      </c>
      <c r="I943" s="124">
        <v>40915</v>
      </c>
      <c r="J943" s="124">
        <v>40974</v>
      </c>
      <c r="K943" s="126">
        <v>10000</v>
      </c>
      <c r="L943" s="127" t="s">
        <v>570</v>
      </c>
      <c r="N943" s="129" t="str">
        <f t="shared" si="706"/>
        <v>N</v>
      </c>
      <c r="O943" s="128" t="s">
        <v>917</v>
      </c>
      <c r="P943" s="129" t="s">
        <v>77</v>
      </c>
      <c r="Q943" s="111">
        <f t="shared" si="697"/>
        <v>60</v>
      </c>
      <c r="R943" s="111">
        <f t="shared" si="698"/>
        <v>60</v>
      </c>
      <c r="S943" s="129">
        <v>1</v>
      </c>
      <c r="T943" s="129">
        <v>1</v>
      </c>
      <c r="W943" s="111"/>
      <c r="AC943" s="130"/>
      <c r="AD943" s="130">
        <v>26331</v>
      </c>
      <c r="AE943" s="128" t="s">
        <v>32</v>
      </c>
      <c r="AF943" s="128" t="s">
        <v>69</v>
      </c>
      <c r="AG943" s="128" t="s">
        <v>874</v>
      </c>
      <c r="AH943" s="108" t="s">
        <v>58</v>
      </c>
      <c r="AI943" s="128" t="s">
        <v>80</v>
      </c>
      <c r="AJ943" s="129" t="s">
        <v>89</v>
      </c>
      <c r="AK943" s="129">
        <v>6</v>
      </c>
      <c r="AL943" s="3" t="s">
        <v>991</v>
      </c>
      <c r="AO943" s="128">
        <v>365</v>
      </c>
      <c r="AP943" s="129" t="s">
        <v>107</v>
      </c>
      <c r="AR943" s="128" t="s">
        <v>44</v>
      </c>
      <c r="AS943" s="129" t="s">
        <v>57</v>
      </c>
      <c r="BC943" s="129" t="s">
        <v>52</v>
      </c>
      <c r="BF943" s="111">
        <f t="shared" si="700"/>
        <v>60</v>
      </c>
      <c r="BG943" s="111">
        <f t="shared" si="701"/>
        <v>60</v>
      </c>
      <c r="BH943" s="111">
        <f t="shared" si="671"/>
        <v>60</v>
      </c>
      <c r="BI943" s="111">
        <f t="shared" si="672"/>
        <v>39.846994535519123</v>
      </c>
      <c r="BJ943" s="129">
        <f t="shared" si="677"/>
        <v>0</v>
      </c>
      <c r="BK943" s="129">
        <f t="shared" si="673"/>
        <v>0</v>
      </c>
      <c r="BL943" s="129" t="str">
        <f t="shared" si="705"/>
        <v>CONVICTION</v>
      </c>
      <c r="BM943" s="129" t="str">
        <f t="shared" si="678"/>
        <v>NONE</v>
      </c>
      <c r="BN943" s="129" t="s">
        <v>566</v>
      </c>
      <c r="BP943" s="137" t="str">
        <f t="shared" si="679"/>
        <v>CONVICTION</v>
      </c>
      <c r="BQ943" s="128" t="str">
        <f t="shared" si="680"/>
        <v>Y</v>
      </c>
      <c r="BR943" s="129" t="str">
        <f t="shared" si="681"/>
        <v>DETAINED</v>
      </c>
      <c r="BS943" s="129" t="str">
        <f t="shared" si="682"/>
        <v>DISPOSED</v>
      </c>
      <c r="BT943" s="129" t="str">
        <f t="shared" si="683"/>
        <v>Y</v>
      </c>
      <c r="BU943" s="109">
        <f t="shared" si="694"/>
        <v>1</v>
      </c>
      <c r="BV943" s="109">
        <f t="shared" si="684"/>
        <v>1</v>
      </c>
      <c r="BW943" s="109">
        <f t="shared" si="707"/>
        <v>0</v>
      </c>
      <c r="BX943" s="111">
        <f t="shared" si="685"/>
        <v>0</v>
      </c>
      <c r="BY943" s="129">
        <f t="shared" si="686"/>
        <v>-60</v>
      </c>
      <c r="BZ943" s="111">
        <f t="shared" si="687"/>
        <v>0</v>
      </c>
      <c r="CA943" s="138">
        <f t="shared" si="688"/>
        <v>60</v>
      </c>
      <c r="CB943" s="111" t="e">
        <f t="shared" si="702"/>
        <v>#VALUE!</v>
      </c>
      <c r="CC943" s="129">
        <f>G943-I943+1</f>
        <v>60</v>
      </c>
      <c r="CD943" s="129">
        <f>G943-J943</f>
        <v>0</v>
      </c>
      <c r="CE943" s="129">
        <f t="shared" si="689"/>
        <v>0</v>
      </c>
      <c r="CG943" s="129" t="str">
        <f t="shared" si="690"/>
        <v>Y</v>
      </c>
      <c r="CI943" s="129" t="str">
        <f t="shared" si="691"/>
        <v>31-60 DAYS</v>
      </c>
      <c r="CJ943" s="137">
        <f t="shared" si="692"/>
        <v>3</v>
      </c>
      <c r="CK943" s="129" t="str">
        <f t="shared" si="693"/>
        <v>Booked</v>
      </c>
    </row>
    <row r="944" spans="1:89" ht="15.75" customHeight="1" x14ac:dyDescent="0.25">
      <c r="A944" s="111">
        <v>2594</v>
      </c>
      <c r="B944" s="128" t="str">
        <f t="shared" si="674"/>
        <v>N</v>
      </c>
      <c r="C944" s="128" t="str">
        <f t="shared" si="675"/>
        <v>N</v>
      </c>
      <c r="D944" s="117">
        <v>1673229</v>
      </c>
      <c r="E944" s="135">
        <f t="shared" si="676"/>
        <v>1</v>
      </c>
      <c r="F944" s="124">
        <v>41005</v>
      </c>
      <c r="G944" s="125">
        <v>41008</v>
      </c>
      <c r="H944" s="117">
        <v>1673229</v>
      </c>
      <c r="I944" s="124">
        <v>41005</v>
      </c>
      <c r="J944" s="124">
        <v>41007</v>
      </c>
      <c r="K944" s="126">
        <v>5000</v>
      </c>
      <c r="L944" s="127" t="s">
        <v>569</v>
      </c>
      <c r="M944" s="125">
        <v>41007</v>
      </c>
      <c r="N944" s="129" t="str">
        <f t="shared" si="706"/>
        <v>Y</v>
      </c>
      <c r="O944" s="128" t="s">
        <v>76</v>
      </c>
      <c r="P944" s="129" t="s">
        <v>55</v>
      </c>
      <c r="Q944" s="111">
        <f t="shared" si="697"/>
        <v>3</v>
      </c>
      <c r="R944" s="111">
        <f t="shared" si="698"/>
        <v>4</v>
      </c>
      <c r="S944" s="129">
        <v>5</v>
      </c>
      <c r="T944" s="129">
        <v>12</v>
      </c>
      <c r="U944" s="129">
        <v>4</v>
      </c>
      <c r="W944" s="111"/>
      <c r="AC944" s="130"/>
      <c r="AD944" s="130">
        <v>29503</v>
      </c>
      <c r="AE944" s="128" t="s">
        <v>32</v>
      </c>
      <c r="AF944" s="128" t="s">
        <v>33</v>
      </c>
      <c r="AG944" s="128" t="s">
        <v>872</v>
      </c>
      <c r="AH944" s="108" t="s">
        <v>31</v>
      </c>
      <c r="AI944" s="128" t="s">
        <v>62</v>
      </c>
      <c r="AJ944" s="129" t="s">
        <v>55</v>
      </c>
      <c r="AK944" s="129">
        <v>1</v>
      </c>
      <c r="AL944" s="3" t="s">
        <v>55</v>
      </c>
      <c r="AP944" s="129" t="s">
        <v>101</v>
      </c>
      <c r="AR944" s="128" t="s">
        <v>67</v>
      </c>
      <c r="AS944" s="129" t="s">
        <v>64</v>
      </c>
      <c r="BC944" s="129" t="s">
        <v>99</v>
      </c>
      <c r="BF944" s="111">
        <f t="shared" si="700"/>
        <v>3</v>
      </c>
      <c r="BG944" s="111">
        <f t="shared" si="701"/>
        <v>4</v>
      </c>
      <c r="BH944" s="111">
        <f t="shared" si="671"/>
        <v>4</v>
      </c>
      <c r="BI944" s="111">
        <f t="shared" si="672"/>
        <v>31.42622950819672</v>
      </c>
      <c r="BJ944" s="129">
        <f>(G944-J944)+(M944-G944)</f>
        <v>0</v>
      </c>
      <c r="BK944" s="129">
        <f t="shared" si="673"/>
        <v>-1</v>
      </c>
      <c r="BL944" s="129" t="str">
        <f t="shared" si="705"/>
        <v>NO CONVICTION</v>
      </c>
      <c r="BM944" s="129" t="s">
        <v>76</v>
      </c>
      <c r="BN944" s="129" t="s">
        <v>88</v>
      </c>
      <c r="BP944" s="137" t="str">
        <f t="shared" si="679"/>
        <v>NO CONVICTION</v>
      </c>
      <c r="BQ944" s="128" t="str">
        <f t="shared" si="680"/>
        <v>Y</v>
      </c>
      <c r="BR944" s="129" t="str">
        <f t="shared" si="681"/>
        <v>ON BOND</v>
      </c>
      <c r="BS944" s="129" t="str">
        <f t="shared" si="682"/>
        <v>DISPOSED</v>
      </c>
      <c r="BT944" s="129" t="str">
        <f t="shared" si="683"/>
        <v>Y</v>
      </c>
      <c r="BU944" s="109">
        <f>IFERROR(Q944/R944,BR944)</f>
        <v>0.75</v>
      </c>
      <c r="BV944" s="109">
        <f t="shared" si="684"/>
        <v>0.75</v>
      </c>
      <c r="BW944" s="109">
        <f t="shared" si="707"/>
        <v>0</v>
      </c>
      <c r="BX944" s="111">
        <f t="shared" si="685"/>
        <v>0</v>
      </c>
      <c r="BY944" s="129">
        <f t="shared" si="686"/>
        <v>-3</v>
      </c>
      <c r="BZ944" s="111">
        <f t="shared" si="687"/>
        <v>0</v>
      </c>
      <c r="CA944" s="138">
        <f t="shared" si="688"/>
        <v>3</v>
      </c>
      <c r="CB944" s="111" t="e">
        <f t="shared" si="702"/>
        <v>#VALUE!</v>
      </c>
      <c r="CC944" s="129">
        <f>M944-I944+1</f>
        <v>3</v>
      </c>
      <c r="CD944" s="111">
        <f>CC944-BF944</f>
        <v>0</v>
      </c>
      <c r="CE944" s="129">
        <f t="shared" si="689"/>
        <v>1</v>
      </c>
      <c r="CG944" s="129" t="str">
        <f t="shared" si="690"/>
        <v>Y</v>
      </c>
      <c r="CI944" s="129" t="str">
        <f t="shared" si="691"/>
        <v>0-10 DAYS</v>
      </c>
      <c r="CJ944" s="137">
        <f t="shared" si="692"/>
        <v>1</v>
      </c>
      <c r="CK944" s="129" t="str">
        <f t="shared" si="693"/>
        <v>Booked</v>
      </c>
    </row>
    <row r="945" spans="1:89" ht="15.75" customHeight="1" x14ac:dyDescent="0.25">
      <c r="A945" s="111">
        <v>1078</v>
      </c>
      <c r="B945" s="128" t="str">
        <f t="shared" si="674"/>
        <v>N</v>
      </c>
      <c r="C945" s="128" t="str">
        <f t="shared" si="675"/>
        <v>Y</v>
      </c>
      <c r="D945" s="117">
        <v>1673797</v>
      </c>
      <c r="E945" s="135">
        <f t="shared" si="676"/>
        <v>2</v>
      </c>
      <c r="F945" s="124">
        <v>40948</v>
      </c>
      <c r="G945" s="125">
        <v>41514</v>
      </c>
      <c r="H945" s="117">
        <v>1673797</v>
      </c>
      <c r="I945" s="124">
        <v>40950</v>
      </c>
      <c r="J945" s="124">
        <v>40979</v>
      </c>
      <c r="K945" s="126">
        <v>30000</v>
      </c>
      <c r="L945" s="129" t="s">
        <v>572</v>
      </c>
      <c r="M945" s="125">
        <v>40979</v>
      </c>
      <c r="N945" s="129" t="str">
        <f t="shared" si="706"/>
        <v>Y</v>
      </c>
      <c r="O945" s="128" t="s">
        <v>585</v>
      </c>
      <c r="P945" s="129" t="s">
        <v>589</v>
      </c>
      <c r="Q945" s="111">
        <v>41</v>
      </c>
      <c r="R945" s="111">
        <f t="shared" si="698"/>
        <v>567</v>
      </c>
      <c r="S945" s="129">
        <v>1</v>
      </c>
      <c r="T945" s="129">
        <v>2</v>
      </c>
      <c r="V945" s="117">
        <v>1</v>
      </c>
      <c r="W945" s="111"/>
      <c r="AC945" s="130"/>
      <c r="AD945" s="130">
        <v>22220</v>
      </c>
      <c r="AE945" s="128" t="s">
        <v>32</v>
      </c>
      <c r="AF945" s="128" t="s">
        <v>33</v>
      </c>
      <c r="AG945" s="128" t="s">
        <v>872</v>
      </c>
      <c r="AH945" s="108" t="s">
        <v>31</v>
      </c>
      <c r="AI945" s="128" t="s">
        <v>70</v>
      </c>
      <c r="AJ945" s="129" t="s">
        <v>48</v>
      </c>
      <c r="AK945" s="129">
        <v>25</v>
      </c>
      <c r="AL945" s="3" t="s">
        <v>48</v>
      </c>
      <c r="AP945" s="129" t="s">
        <v>173</v>
      </c>
      <c r="AR945" s="128" t="s">
        <v>50</v>
      </c>
      <c r="AS945" s="129" t="s">
        <v>126</v>
      </c>
      <c r="AT945" s="129" t="s">
        <v>950</v>
      </c>
      <c r="AU945" s="3" t="s">
        <v>949</v>
      </c>
      <c r="AX945" s="32" t="s">
        <v>51</v>
      </c>
      <c r="BC945" s="129" t="s">
        <v>52</v>
      </c>
      <c r="BF945" s="111">
        <v>41</v>
      </c>
      <c r="BG945" s="111">
        <f t="shared" si="701"/>
        <v>565</v>
      </c>
      <c r="BH945" s="111">
        <f t="shared" si="671"/>
        <v>567</v>
      </c>
      <c r="BI945" s="111">
        <f t="shared" si="672"/>
        <v>51.169398907103826</v>
      </c>
      <c r="BJ945" s="129">
        <f>(G945-J945)+(M945-G945)</f>
        <v>0</v>
      </c>
      <c r="BK945" s="129">
        <f t="shared" si="673"/>
        <v>-535</v>
      </c>
      <c r="BL945" s="129" t="str">
        <f t="shared" si="705"/>
        <v>DEFERRED</v>
      </c>
      <c r="BM945" s="129" t="s">
        <v>76</v>
      </c>
      <c r="BN945" s="129" t="s">
        <v>566</v>
      </c>
      <c r="BP945" s="137" t="str">
        <f t="shared" si="679"/>
        <v>DEFERRED</v>
      </c>
      <c r="BQ945" s="128" t="str">
        <f t="shared" si="680"/>
        <v>Y</v>
      </c>
      <c r="BR945" s="129" t="s">
        <v>574</v>
      </c>
      <c r="BS945" s="129" t="str">
        <f t="shared" si="682"/>
        <v>DISPOSED</v>
      </c>
      <c r="BT945" s="129" t="str">
        <f t="shared" si="683"/>
        <v>Y</v>
      </c>
      <c r="BU945" s="109">
        <f t="shared" si="694"/>
        <v>7.2310405643738973E-2</v>
      </c>
      <c r="BV945" s="109">
        <f t="shared" si="684"/>
        <v>5.3097345132743362E-2</v>
      </c>
      <c r="BW945" s="109">
        <f t="shared" si="707"/>
        <v>-1.9213060510995611E-2</v>
      </c>
      <c r="BX945" s="111">
        <f t="shared" si="685"/>
        <v>0</v>
      </c>
      <c r="BY945" s="129">
        <f t="shared" si="686"/>
        <v>-30</v>
      </c>
      <c r="BZ945" s="111">
        <f t="shared" si="687"/>
        <v>11</v>
      </c>
      <c r="CA945" s="138">
        <f t="shared" si="688"/>
        <v>565</v>
      </c>
      <c r="CB945" s="111">
        <v>41</v>
      </c>
      <c r="CC945" s="129">
        <f>G945-I945+1</f>
        <v>565</v>
      </c>
      <c r="CD945" s="129">
        <f>G945-J945</f>
        <v>535</v>
      </c>
      <c r="CE945" s="129">
        <f t="shared" si="689"/>
        <v>535</v>
      </c>
      <c r="CG945" s="129" t="str">
        <f t="shared" si="690"/>
        <v>Y</v>
      </c>
      <c r="CI945" s="129" t="str">
        <f t="shared" si="691"/>
        <v>31-60 DAYS</v>
      </c>
      <c r="CJ945" s="137">
        <f t="shared" si="692"/>
        <v>3</v>
      </c>
      <c r="CK945" s="129" t="str">
        <f t="shared" si="693"/>
        <v>Booked</v>
      </c>
    </row>
    <row r="946" spans="1:89" ht="15.75" customHeight="1" x14ac:dyDescent="0.25">
      <c r="A946" s="111">
        <v>2251</v>
      </c>
      <c r="B946" s="128" t="str">
        <f t="shared" si="674"/>
        <v>N</v>
      </c>
      <c r="C946" s="128" t="str">
        <f t="shared" si="675"/>
        <v>N</v>
      </c>
      <c r="D946" s="117">
        <v>1674692</v>
      </c>
      <c r="E946" s="135">
        <f t="shared" si="676"/>
        <v>2</v>
      </c>
      <c r="F946" s="124">
        <v>40994</v>
      </c>
      <c r="G946" s="125">
        <v>41138</v>
      </c>
      <c r="H946" s="117">
        <v>1674692</v>
      </c>
      <c r="I946" s="124">
        <v>41009</v>
      </c>
      <c r="J946" s="124">
        <v>41010</v>
      </c>
      <c r="K946" s="126">
        <v>40000</v>
      </c>
      <c r="L946" s="129" t="s">
        <v>572</v>
      </c>
      <c r="M946" s="125">
        <v>41010</v>
      </c>
      <c r="N946" s="129" t="str">
        <f t="shared" si="706"/>
        <v>Y</v>
      </c>
      <c r="O946" s="128" t="s">
        <v>76</v>
      </c>
      <c r="P946" s="129" t="s">
        <v>589</v>
      </c>
      <c r="Q946" s="111">
        <f t="shared" ref="Q946:Q982" si="708">BF946</f>
        <v>2</v>
      </c>
      <c r="R946" s="111">
        <f t="shared" si="698"/>
        <v>145</v>
      </c>
      <c r="S946" s="129">
        <v>0</v>
      </c>
      <c r="T946" s="129">
        <v>1</v>
      </c>
      <c r="W946" s="111"/>
      <c r="AC946" s="130"/>
      <c r="AD946" s="130">
        <v>28319</v>
      </c>
      <c r="AE946" s="128" t="s">
        <v>32</v>
      </c>
      <c r="AF946" s="128" t="s">
        <v>33</v>
      </c>
      <c r="AG946" s="128" t="s">
        <v>872</v>
      </c>
      <c r="AH946" s="108" t="s">
        <v>31</v>
      </c>
      <c r="AI946" s="128" t="s">
        <v>83</v>
      </c>
      <c r="AJ946" s="129" t="s">
        <v>48</v>
      </c>
      <c r="AK946" s="129">
        <v>7</v>
      </c>
      <c r="AL946" s="3" t="s">
        <v>48</v>
      </c>
      <c r="AP946" s="129" t="s">
        <v>363</v>
      </c>
      <c r="AR946" s="128" t="s">
        <v>44</v>
      </c>
      <c r="AS946" s="129" t="s">
        <v>64</v>
      </c>
      <c r="BC946" s="129" t="s">
        <v>52</v>
      </c>
      <c r="BF946" s="111">
        <f>IF(J946&gt;1/1/1900,((J946+1)-I946),"STILL OPEN")</f>
        <v>2</v>
      </c>
      <c r="BG946" s="111">
        <f t="shared" si="701"/>
        <v>130</v>
      </c>
      <c r="BH946" s="111">
        <f t="shared" si="671"/>
        <v>145</v>
      </c>
      <c r="BI946" s="111">
        <f t="shared" si="672"/>
        <v>34.631147540983605</v>
      </c>
      <c r="BJ946" s="129">
        <f>(G946-J946)+(M946-G946)</f>
        <v>0</v>
      </c>
      <c r="BK946" s="129">
        <f t="shared" si="673"/>
        <v>-128</v>
      </c>
      <c r="BL946" s="129" t="str">
        <f t="shared" si="705"/>
        <v>DEFERRED</v>
      </c>
      <c r="BM946" s="129" t="s">
        <v>76</v>
      </c>
      <c r="BN946" s="129" t="s">
        <v>88</v>
      </c>
      <c r="BP946" s="137" t="str">
        <f t="shared" si="679"/>
        <v>DEFERRED</v>
      </c>
      <c r="BQ946" s="128" t="str">
        <f t="shared" si="680"/>
        <v>Y</v>
      </c>
      <c r="BR946" s="129" t="str">
        <f t="shared" si="681"/>
        <v>ON BOND</v>
      </c>
      <c r="BS946" s="129" t="str">
        <f t="shared" si="682"/>
        <v>DISPOSED</v>
      </c>
      <c r="BT946" s="129" t="str">
        <f t="shared" si="683"/>
        <v>N</v>
      </c>
      <c r="BU946" s="109">
        <f t="shared" si="694"/>
        <v>1.3793103448275862E-2</v>
      </c>
      <c r="BV946" s="109">
        <f t="shared" si="684"/>
        <v>1.5384615384615385E-2</v>
      </c>
      <c r="BW946" s="109">
        <f t="shared" si="707"/>
        <v>1.5915119363395236E-3</v>
      </c>
      <c r="BX946" s="111">
        <f t="shared" si="685"/>
        <v>0</v>
      </c>
      <c r="BY946" s="129">
        <f t="shared" si="686"/>
        <v>-2</v>
      </c>
      <c r="BZ946" s="111">
        <f t="shared" si="687"/>
        <v>0</v>
      </c>
      <c r="CA946" s="138">
        <f t="shared" si="688"/>
        <v>2</v>
      </c>
      <c r="CB946" s="111" t="e">
        <f>IF(AF946&gt;1/1/1900,((AF946+1)-AE946),"STILL OPEN")</f>
        <v>#VALUE!</v>
      </c>
      <c r="CC946" s="129">
        <f>M946-I946+1</f>
        <v>2</v>
      </c>
      <c r="CD946" s="111">
        <f>CC946-BF946</f>
        <v>0</v>
      </c>
      <c r="CE946" s="129">
        <f t="shared" si="689"/>
        <v>128</v>
      </c>
      <c r="CG946" s="129" t="str">
        <f t="shared" si="690"/>
        <v>Y</v>
      </c>
      <c r="CI946" s="129" t="str">
        <f t="shared" si="691"/>
        <v>0-10 DAYS</v>
      </c>
      <c r="CJ946" s="137">
        <f t="shared" si="692"/>
        <v>1</v>
      </c>
      <c r="CK946" s="129" t="str">
        <f t="shared" si="693"/>
        <v>Booked</v>
      </c>
    </row>
    <row r="947" spans="1:89" ht="15.75" customHeight="1" x14ac:dyDescent="0.25">
      <c r="A947" s="111">
        <v>440</v>
      </c>
      <c r="B947" s="128" t="str">
        <f t="shared" si="674"/>
        <v>N</v>
      </c>
      <c r="C947" s="128" t="str">
        <f t="shared" si="675"/>
        <v>N</v>
      </c>
      <c r="D947" s="117">
        <v>1675735</v>
      </c>
      <c r="E947" s="135">
        <f t="shared" si="676"/>
        <v>6</v>
      </c>
      <c r="F947" s="124">
        <v>40927</v>
      </c>
      <c r="G947" s="125">
        <v>41032</v>
      </c>
      <c r="H947" s="117">
        <v>1675735</v>
      </c>
      <c r="I947" s="124">
        <v>40927</v>
      </c>
      <c r="J947" s="124">
        <v>41032</v>
      </c>
      <c r="K947" s="126">
        <v>20000</v>
      </c>
      <c r="L947" s="127" t="s">
        <v>571</v>
      </c>
      <c r="N947" s="129" t="str">
        <f t="shared" si="706"/>
        <v>N</v>
      </c>
      <c r="O947" s="128" t="s">
        <v>917</v>
      </c>
      <c r="P947" s="129" t="s">
        <v>39</v>
      </c>
      <c r="Q947" s="111">
        <f t="shared" si="708"/>
        <v>106</v>
      </c>
      <c r="R947" s="111">
        <f t="shared" si="698"/>
        <v>106</v>
      </c>
      <c r="S947" s="129">
        <v>2</v>
      </c>
      <c r="T947" s="129">
        <v>0</v>
      </c>
      <c r="U947" s="129">
        <v>1</v>
      </c>
      <c r="W947" s="111"/>
      <c r="AC947" s="130"/>
      <c r="AD947" s="130">
        <v>28985</v>
      </c>
      <c r="AE947" s="128" t="s">
        <v>32</v>
      </c>
      <c r="AF947" s="128" t="s">
        <v>40</v>
      </c>
      <c r="AG947" s="128" t="s">
        <v>41</v>
      </c>
      <c r="AH947" s="108" t="s">
        <v>41</v>
      </c>
      <c r="AI947" s="128" t="s">
        <v>90</v>
      </c>
      <c r="AJ947" s="129" t="s">
        <v>89</v>
      </c>
      <c r="AK947" s="129">
        <v>6</v>
      </c>
      <c r="AL947" s="3" t="s">
        <v>362</v>
      </c>
      <c r="AM947" s="117">
        <v>25</v>
      </c>
      <c r="AP947" s="129" t="s">
        <v>56</v>
      </c>
      <c r="AR947" s="128" t="s">
        <v>50</v>
      </c>
      <c r="AS947" s="129" t="s">
        <v>57</v>
      </c>
      <c r="BC947" s="129" t="s">
        <v>52</v>
      </c>
      <c r="BF947" s="111">
        <f>IF(J947&gt;1/1/1900,((J947+1)-I947),"STILL OPEN")</f>
        <v>106</v>
      </c>
      <c r="BG947" s="111">
        <f t="shared" si="701"/>
        <v>106</v>
      </c>
      <c r="BH947" s="111">
        <f t="shared" si="671"/>
        <v>106</v>
      </c>
      <c r="BI947" s="111">
        <f t="shared" si="672"/>
        <v>32.62841530054645</v>
      </c>
      <c r="BJ947" s="129">
        <f t="shared" si="677"/>
        <v>0</v>
      </c>
      <c r="BK947" s="129">
        <f t="shared" si="673"/>
        <v>0</v>
      </c>
      <c r="BL947" s="129" t="str">
        <f t="shared" si="705"/>
        <v>CONVICTION</v>
      </c>
      <c r="BM947" s="129" t="str">
        <f t="shared" si="678"/>
        <v>NONE</v>
      </c>
      <c r="BN947" s="129" t="s">
        <v>566</v>
      </c>
      <c r="BP947" s="137" t="str">
        <f t="shared" si="679"/>
        <v>CONVICTION</v>
      </c>
      <c r="BQ947" s="128" t="str">
        <f t="shared" si="680"/>
        <v>Y</v>
      </c>
      <c r="BR947" s="129" t="str">
        <f t="shared" si="681"/>
        <v>DETAINED</v>
      </c>
      <c r="BS947" s="129" t="str">
        <f t="shared" si="682"/>
        <v>DISPOSED</v>
      </c>
      <c r="BT947" s="129" t="str">
        <f t="shared" si="683"/>
        <v>Y</v>
      </c>
      <c r="BU947" s="109">
        <f t="shared" si="694"/>
        <v>1</v>
      </c>
      <c r="BV947" s="109">
        <f t="shared" si="684"/>
        <v>1</v>
      </c>
      <c r="BW947" s="109">
        <f t="shared" si="707"/>
        <v>0</v>
      </c>
      <c r="BX947" s="111">
        <f t="shared" si="685"/>
        <v>0</v>
      </c>
      <c r="BY947" s="129">
        <f t="shared" si="686"/>
        <v>-106</v>
      </c>
      <c r="BZ947" s="111">
        <f t="shared" si="687"/>
        <v>0</v>
      </c>
      <c r="CA947" s="138">
        <f t="shared" si="688"/>
        <v>106</v>
      </c>
      <c r="CB947" s="111" t="e">
        <f>IF(AF947&gt;1/1/1900,((AF947+1)-AE947),"STILL OPEN")</f>
        <v>#VALUE!</v>
      </c>
      <c r="CC947" s="129">
        <f>G947-I947+1</f>
        <v>106</v>
      </c>
      <c r="CD947" s="129">
        <f>G947-J947</f>
        <v>0</v>
      </c>
      <c r="CE947" s="129">
        <f t="shared" si="689"/>
        <v>0</v>
      </c>
      <c r="CG947" s="129" t="str">
        <f t="shared" si="690"/>
        <v>Y</v>
      </c>
      <c r="CI947" s="129" t="str">
        <f t="shared" si="691"/>
        <v>91-120 DAYS</v>
      </c>
      <c r="CJ947" s="137">
        <f t="shared" si="692"/>
        <v>0</v>
      </c>
      <c r="CK947" s="129" t="str">
        <f t="shared" si="693"/>
        <v>Booked</v>
      </c>
    </row>
    <row r="948" spans="1:89" ht="15.75" customHeight="1" x14ac:dyDescent="0.25">
      <c r="A948" s="111">
        <v>1822</v>
      </c>
      <c r="B948" s="128" t="str">
        <f t="shared" si="674"/>
        <v>N</v>
      </c>
      <c r="C948" s="128" t="str">
        <f t="shared" si="675"/>
        <v>N</v>
      </c>
      <c r="D948" s="117">
        <v>1676654</v>
      </c>
      <c r="E948" s="135">
        <f t="shared" si="676"/>
        <v>6</v>
      </c>
      <c r="F948" s="124">
        <v>40976</v>
      </c>
      <c r="G948" s="125">
        <v>41396</v>
      </c>
      <c r="H948" s="117">
        <v>1676654</v>
      </c>
      <c r="I948" s="124">
        <v>40976</v>
      </c>
      <c r="J948" s="125">
        <v>41396</v>
      </c>
      <c r="K948" s="126">
        <v>30000</v>
      </c>
      <c r="L948" s="129" t="s">
        <v>572</v>
      </c>
      <c r="N948" s="129" t="str">
        <f t="shared" si="706"/>
        <v>N</v>
      </c>
      <c r="O948" s="128" t="s">
        <v>917</v>
      </c>
      <c r="P948" s="129" t="s">
        <v>39</v>
      </c>
      <c r="Q948" s="111">
        <f t="shared" si="708"/>
        <v>421</v>
      </c>
      <c r="R948" s="111">
        <f t="shared" si="698"/>
        <v>421</v>
      </c>
      <c r="S948" s="129">
        <v>2</v>
      </c>
      <c r="T948" s="129">
        <v>5</v>
      </c>
      <c r="W948" s="111"/>
      <c r="AC948" s="130"/>
      <c r="AD948" s="130">
        <v>28196</v>
      </c>
      <c r="AE948" s="128" t="s">
        <v>32</v>
      </c>
      <c r="AF948" s="128" t="s">
        <v>33</v>
      </c>
      <c r="AG948" s="128" t="s">
        <v>872</v>
      </c>
      <c r="AH948" s="108" t="s">
        <v>58</v>
      </c>
      <c r="AI948" s="128" t="s">
        <v>65</v>
      </c>
      <c r="AJ948" s="129" t="s">
        <v>89</v>
      </c>
      <c r="AK948" s="129">
        <v>10</v>
      </c>
      <c r="AL948" s="3" t="s">
        <v>362</v>
      </c>
      <c r="AM948" s="117">
        <v>3</v>
      </c>
      <c r="AP948" s="129" t="s">
        <v>132</v>
      </c>
      <c r="AR948" s="128" t="s">
        <v>92</v>
      </c>
      <c r="AS948" s="129" t="s">
        <v>82</v>
      </c>
      <c r="BC948" s="129" t="s">
        <v>38</v>
      </c>
      <c r="BF948" s="111">
        <f>IF(J948&gt;1/1/1900,((J948+1)-I948),"STILL OPEN")</f>
        <v>421</v>
      </c>
      <c r="BG948" s="111">
        <f t="shared" si="701"/>
        <v>421</v>
      </c>
      <c r="BH948" s="111">
        <f t="shared" si="671"/>
        <v>421</v>
      </c>
      <c r="BI948" s="111">
        <f t="shared" si="672"/>
        <v>34.918032786885249</v>
      </c>
      <c r="BJ948" s="129">
        <f t="shared" si="677"/>
        <v>0</v>
      </c>
      <c r="BK948" s="129">
        <f t="shared" si="673"/>
        <v>0</v>
      </c>
      <c r="BL948" s="129" t="str">
        <f t="shared" si="705"/>
        <v>CONVICTION</v>
      </c>
      <c r="BM948" s="129" t="str">
        <f t="shared" si="678"/>
        <v>NONE</v>
      </c>
      <c r="BN948" s="129" t="s">
        <v>566</v>
      </c>
      <c r="BP948" s="137" t="str">
        <f t="shared" si="679"/>
        <v>CONVICTION</v>
      </c>
      <c r="BQ948" s="128" t="str">
        <f t="shared" si="680"/>
        <v>Y</v>
      </c>
      <c r="BR948" s="129" t="str">
        <f t="shared" si="681"/>
        <v>DETAINED</v>
      </c>
      <c r="BS948" s="129" t="str">
        <f t="shared" si="682"/>
        <v>DISPOSED</v>
      </c>
      <c r="BT948" s="129" t="str">
        <f t="shared" si="683"/>
        <v>Y</v>
      </c>
      <c r="BU948" s="109">
        <f t="shared" si="694"/>
        <v>1</v>
      </c>
      <c r="BV948" s="109">
        <f t="shared" si="684"/>
        <v>1</v>
      </c>
      <c r="BW948" s="109">
        <f t="shared" si="707"/>
        <v>0</v>
      </c>
      <c r="BX948" s="111">
        <f t="shared" si="685"/>
        <v>0</v>
      </c>
      <c r="BY948" s="129">
        <f t="shared" si="686"/>
        <v>-421</v>
      </c>
      <c r="BZ948" s="111">
        <f t="shared" si="687"/>
        <v>0</v>
      </c>
      <c r="CA948" s="138">
        <f t="shared" si="688"/>
        <v>421</v>
      </c>
      <c r="CB948" s="111" t="e">
        <f>IF(AF948&gt;1/1/1900,((AF948+1)-AE948),"STILL OPEN")</f>
        <v>#VALUE!</v>
      </c>
      <c r="CC948" s="129">
        <f>G948-I948+1</f>
        <v>421</v>
      </c>
      <c r="CD948" s="129">
        <f>G948-J948</f>
        <v>0</v>
      </c>
      <c r="CE948" s="129">
        <f t="shared" si="689"/>
        <v>0</v>
      </c>
      <c r="CG948" s="129" t="str">
        <f t="shared" si="690"/>
        <v>Y</v>
      </c>
      <c r="CI948" s="129" t="str">
        <f t="shared" si="691"/>
        <v xml:space="preserve"> &gt;1YRS&lt;2YRS</v>
      </c>
      <c r="CJ948" s="137">
        <f t="shared" si="692"/>
        <v>0</v>
      </c>
      <c r="CK948" s="129" t="str">
        <f t="shared" si="693"/>
        <v>Booked</v>
      </c>
    </row>
    <row r="949" spans="1:89" ht="15" customHeight="1" x14ac:dyDescent="0.25">
      <c r="A949" s="111">
        <v>1134</v>
      </c>
      <c r="B949" s="128" t="str">
        <f t="shared" si="674"/>
        <v>N</v>
      </c>
      <c r="C949" s="128" t="str">
        <f t="shared" si="675"/>
        <v>N</v>
      </c>
      <c r="D949" s="117">
        <v>1677025</v>
      </c>
      <c r="E949" s="135">
        <f t="shared" si="676"/>
        <v>5</v>
      </c>
      <c r="F949" s="124">
        <v>40949</v>
      </c>
      <c r="G949" s="125">
        <v>41065</v>
      </c>
      <c r="H949" s="117">
        <v>1677025</v>
      </c>
      <c r="I949" s="124">
        <v>40950</v>
      </c>
      <c r="J949" s="124">
        <v>41065</v>
      </c>
      <c r="K949" s="126">
        <v>15000</v>
      </c>
      <c r="L949" s="127" t="s">
        <v>571</v>
      </c>
      <c r="N949" s="129" t="str">
        <f t="shared" si="706"/>
        <v>N</v>
      </c>
      <c r="O949" s="128" t="s">
        <v>917</v>
      </c>
      <c r="P949" s="129" t="s">
        <v>39</v>
      </c>
      <c r="Q949" s="111">
        <f t="shared" si="708"/>
        <v>116</v>
      </c>
      <c r="R949" s="111">
        <f t="shared" si="698"/>
        <v>117</v>
      </c>
      <c r="S949" s="129">
        <v>5</v>
      </c>
      <c r="T949" s="129">
        <v>2</v>
      </c>
      <c r="U949" s="129">
        <v>1</v>
      </c>
      <c r="W949" s="111"/>
      <c r="AC949" s="130"/>
      <c r="AD949" s="130">
        <v>29273</v>
      </c>
      <c r="AE949" s="128" t="s">
        <v>32</v>
      </c>
      <c r="AF949" s="128" t="s">
        <v>40</v>
      </c>
      <c r="AG949" s="128" t="s">
        <v>41</v>
      </c>
      <c r="AH949" s="108" t="s">
        <v>41</v>
      </c>
      <c r="AI949" s="128" t="s">
        <v>53</v>
      </c>
      <c r="AJ949" s="129" t="s">
        <v>89</v>
      </c>
      <c r="AK949" s="129">
        <v>7</v>
      </c>
      <c r="AL949" s="3" t="s">
        <v>992</v>
      </c>
      <c r="AN949" s="117">
        <v>6</v>
      </c>
      <c r="AP949" s="129" t="s">
        <v>43</v>
      </c>
      <c r="AR949" s="128" t="s">
        <v>44</v>
      </c>
      <c r="AS949" s="129" t="s">
        <v>45</v>
      </c>
      <c r="BC949" s="129" t="s">
        <v>52</v>
      </c>
      <c r="BF949" s="111">
        <f>IF(J949&gt;1/1/1900,((J949+1)-I949),"STILL OPEN")</f>
        <v>116</v>
      </c>
      <c r="BG949" s="111">
        <f t="shared" si="701"/>
        <v>116</v>
      </c>
      <c r="BH949" s="111">
        <f t="shared" si="671"/>
        <v>117</v>
      </c>
      <c r="BI949" s="111">
        <f t="shared" si="672"/>
        <v>31.901639344262296</v>
      </c>
      <c r="BJ949" s="129">
        <f t="shared" si="677"/>
        <v>0</v>
      </c>
      <c r="BK949" s="129">
        <f t="shared" si="673"/>
        <v>0</v>
      </c>
      <c r="BL949" s="129" t="str">
        <f t="shared" si="705"/>
        <v>CONVICTION</v>
      </c>
      <c r="BM949" s="129" t="str">
        <f t="shared" si="678"/>
        <v>NONE</v>
      </c>
      <c r="BN949" s="129" t="s">
        <v>566</v>
      </c>
      <c r="BP949" s="137" t="str">
        <f t="shared" si="679"/>
        <v>CONVICTION</v>
      </c>
      <c r="BQ949" s="128" t="str">
        <f t="shared" si="680"/>
        <v>Y</v>
      </c>
      <c r="BR949" s="129" t="str">
        <f t="shared" si="681"/>
        <v>DETAINED</v>
      </c>
      <c r="BS949" s="129" t="str">
        <f t="shared" si="682"/>
        <v>DISPOSED</v>
      </c>
      <c r="BT949" s="129" t="str">
        <f t="shared" si="683"/>
        <v>Y</v>
      </c>
      <c r="BU949" s="109">
        <f t="shared" si="694"/>
        <v>0.99145299145299148</v>
      </c>
      <c r="BV949" s="109">
        <f t="shared" si="684"/>
        <v>1</v>
      </c>
      <c r="BW949" s="109">
        <f t="shared" si="707"/>
        <v>8.5470085470085166E-3</v>
      </c>
      <c r="BX949" s="111">
        <f t="shared" si="685"/>
        <v>0</v>
      </c>
      <c r="BY949" s="129">
        <f t="shared" si="686"/>
        <v>-116</v>
      </c>
      <c r="BZ949" s="111">
        <f t="shared" si="687"/>
        <v>0</v>
      </c>
      <c r="CA949" s="138">
        <f t="shared" si="688"/>
        <v>116</v>
      </c>
      <c r="CB949" s="111" t="e">
        <f>IF(AF949&gt;1/1/1900,((AF949+1)-AE949),"STILL OPEN")</f>
        <v>#VALUE!</v>
      </c>
      <c r="CC949" s="129">
        <f>G949-I949+1</f>
        <v>116</v>
      </c>
      <c r="CD949" s="129">
        <f>G949-J949</f>
        <v>0</v>
      </c>
      <c r="CE949" s="129">
        <f t="shared" si="689"/>
        <v>0</v>
      </c>
      <c r="CG949" s="129" t="str">
        <f t="shared" si="690"/>
        <v>Y</v>
      </c>
      <c r="CI949" s="129" t="str">
        <f t="shared" si="691"/>
        <v>91-120 DAYS</v>
      </c>
      <c r="CJ949" s="137">
        <f t="shared" si="692"/>
        <v>0</v>
      </c>
      <c r="CK949" s="129" t="str">
        <f t="shared" si="693"/>
        <v>Booked</v>
      </c>
    </row>
    <row r="950" spans="1:89" ht="15.75" customHeight="1" x14ac:dyDescent="0.25">
      <c r="A950" s="111">
        <v>2040</v>
      </c>
      <c r="B950" s="128" t="str">
        <f t="shared" si="674"/>
        <v>N</v>
      </c>
      <c r="C950" s="128" t="str">
        <f t="shared" si="675"/>
        <v>N</v>
      </c>
      <c r="D950" s="117">
        <v>1677572</v>
      </c>
      <c r="E950" s="135">
        <f t="shared" si="676"/>
        <v>6</v>
      </c>
      <c r="F950" s="124">
        <v>40985</v>
      </c>
      <c r="G950" s="125">
        <v>41044</v>
      </c>
      <c r="H950" s="117">
        <v>1677572</v>
      </c>
      <c r="I950" s="124">
        <v>40985</v>
      </c>
      <c r="J950" s="124">
        <v>41044</v>
      </c>
      <c r="K950" s="126" t="s">
        <v>564</v>
      </c>
      <c r="L950" s="127" t="s">
        <v>564</v>
      </c>
      <c r="N950" s="129" t="s">
        <v>566</v>
      </c>
      <c r="O950" s="128" t="s">
        <v>917</v>
      </c>
      <c r="P950" s="129" t="s">
        <v>39</v>
      </c>
      <c r="Q950" s="111">
        <f t="shared" si="708"/>
        <v>60</v>
      </c>
      <c r="R950" s="111">
        <f t="shared" si="698"/>
        <v>60</v>
      </c>
      <c r="S950" s="129">
        <v>3</v>
      </c>
      <c r="T950" s="129">
        <v>0</v>
      </c>
      <c r="U950" s="129">
        <v>2</v>
      </c>
      <c r="V950" s="117">
        <v>1</v>
      </c>
      <c r="W950" s="111"/>
      <c r="AC950" s="130"/>
      <c r="AD950" s="130">
        <v>29879</v>
      </c>
      <c r="AE950" s="128" t="s">
        <v>32</v>
      </c>
      <c r="AF950" s="128" t="s">
        <v>33</v>
      </c>
      <c r="AG950" s="128" t="s">
        <v>872</v>
      </c>
      <c r="AH950" s="108" t="s">
        <v>58</v>
      </c>
      <c r="AI950" s="128" t="s">
        <v>85</v>
      </c>
      <c r="AJ950" s="129" t="s">
        <v>89</v>
      </c>
      <c r="AK950" s="129">
        <v>3</v>
      </c>
      <c r="AL950" s="3" t="s">
        <v>362</v>
      </c>
      <c r="AM950" s="117">
        <v>2</v>
      </c>
      <c r="AP950" s="129" t="s">
        <v>101</v>
      </c>
      <c r="AR950" s="128" t="s">
        <v>67</v>
      </c>
      <c r="AS950" s="129" t="s">
        <v>64</v>
      </c>
      <c r="BC950" s="129" t="s">
        <v>52</v>
      </c>
      <c r="BF950" s="111">
        <f>IF(J950&gt;1/1/1900,((J950+1)-I950),"STILL OPEN")</f>
        <v>60</v>
      </c>
      <c r="BG950" s="111">
        <f t="shared" si="701"/>
        <v>60</v>
      </c>
      <c r="BH950" s="111">
        <f t="shared" si="671"/>
        <v>60</v>
      </c>
      <c r="BI950" s="111">
        <f t="shared" si="672"/>
        <v>30.344262295081968</v>
      </c>
      <c r="BJ950" s="129">
        <f t="shared" si="677"/>
        <v>0</v>
      </c>
      <c r="BK950" s="129">
        <f t="shared" si="673"/>
        <v>0</v>
      </c>
      <c r="BL950" s="129" t="str">
        <f t="shared" si="705"/>
        <v>CONVICTION</v>
      </c>
      <c r="BM950" s="129" t="str">
        <f t="shared" si="678"/>
        <v>NONE</v>
      </c>
      <c r="BN950" s="129" t="s">
        <v>566</v>
      </c>
      <c r="BP950" s="137" t="str">
        <f t="shared" si="679"/>
        <v>CONVICTION</v>
      </c>
      <c r="BQ950" s="128" t="str">
        <f t="shared" si="680"/>
        <v>Y</v>
      </c>
      <c r="BR950" s="129" t="str">
        <f t="shared" si="681"/>
        <v>DETAINED</v>
      </c>
      <c r="BS950" s="129" t="str">
        <f t="shared" si="682"/>
        <v>DISPOSED</v>
      </c>
      <c r="BT950" s="129" t="str">
        <f t="shared" si="683"/>
        <v>Y</v>
      </c>
      <c r="BU950" s="109">
        <f t="shared" si="694"/>
        <v>1</v>
      </c>
      <c r="BV950" s="109">
        <f t="shared" si="684"/>
        <v>1</v>
      </c>
      <c r="BW950" s="109">
        <f t="shared" si="707"/>
        <v>0</v>
      </c>
      <c r="BX950" s="111">
        <f t="shared" si="685"/>
        <v>0</v>
      </c>
      <c r="BY950" s="129">
        <f t="shared" si="686"/>
        <v>-60</v>
      </c>
      <c r="BZ950" s="111">
        <f t="shared" si="687"/>
        <v>0</v>
      </c>
      <c r="CA950" s="138">
        <f t="shared" si="688"/>
        <v>60</v>
      </c>
      <c r="CB950" s="111" t="e">
        <f>IF(AF950&gt;1/1/1900,((AF950+1)-AE950),"STILL OPEN")</f>
        <v>#VALUE!</v>
      </c>
      <c r="CC950" s="129">
        <f>G950-I950+1</f>
        <v>60</v>
      </c>
      <c r="CD950" s="129">
        <f>G950-J950</f>
        <v>0</v>
      </c>
      <c r="CE950" s="129">
        <f t="shared" si="689"/>
        <v>0</v>
      </c>
      <c r="CG950" s="129" t="str">
        <f t="shared" si="690"/>
        <v>Y</v>
      </c>
      <c r="CI950" s="129" t="str">
        <f t="shared" si="691"/>
        <v>31-60 DAYS</v>
      </c>
      <c r="CJ950" s="137">
        <f t="shared" si="692"/>
        <v>3</v>
      </c>
      <c r="CK950" s="129" t="str">
        <f t="shared" si="693"/>
        <v>Booked</v>
      </c>
    </row>
    <row r="951" spans="1:89" ht="15" customHeight="1" x14ac:dyDescent="0.25">
      <c r="A951" s="111">
        <v>2221</v>
      </c>
      <c r="B951" s="128" t="str">
        <f t="shared" si="674"/>
        <v>Y</v>
      </c>
      <c r="C951" s="128" t="str">
        <f t="shared" si="675"/>
        <v>N</v>
      </c>
      <c r="D951" s="117">
        <v>1678231</v>
      </c>
      <c r="E951" s="135">
        <f t="shared" si="676"/>
        <v>1</v>
      </c>
      <c r="F951" s="124">
        <v>40992</v>
      </c>
      <c r="G951" s="125">
        <v>40994</v>
      </c>
      <c r="H951" s="117">
        <v>1678231</v>
      </c>
      <c r="I951" s="124" t="s">
        <v>562</v>
      </c>
      <c r="J951" s="124" t="s">
        <v>562</v>
      </c>
      <c r="K951" s="126">
        <v>10000</v>
      </c>
      <c r="L951" s="127" t="s">
        <v>570</v>
      </c>
      <c r="M951" s="125">
        <v>40994</v>
      </c>
      <c r="N951" s="129" t="str">
        <f>IF(M951&gt;1/1/1,"Y",IF(Q951="0","","N"))</f>
        <v>Y</v>
      </c>
      <c r="O951" s="128" t="s">
        <v>76</v>
      </c>
      <c r="P951" s="129" t="s">
        <v>55</v>
      </c>
      <c r="Q951" s="111">
        <f t="shared" si="708"/>
        <v>0</v>
      </c>
      <c r="R951" s="111">
        <f t="shared" si="698"/>
        <v>3</v>
      </c>
      <c r="S951" s="129">
        <v>2</v>
      </c>
      <c r="T951" s="129">
        <v>11</v>
      </c>
      <c r="U951" s="129">
        <v>1</v>
      </c>
      <c r="W951" s="111"/>
      <c r="AC951" s="130"/>
      <c r="AD951" s="130">
        <v>29792</v>
      </c>
      <c r="AE951" s="128" t="s">
        <v>32</v>
      </c>
      <c r="AF951" s="128" t="s">
        <v>33</v>
      </c>
      <c r="AG951" s="128" t="s">
        <v>872</v>
      </c>
      <c r="AH951" s="108" t="s">
        <v>31</v>
      </c>
      <c r="AI951" s="128" t="s">
        <v>90</v>
      </c>
      <c r="AJ951" s="129" t="s">
        <v>55</v>
      </c>
      <c r="AK951" s="129">
        <v>1</v>
      </c>
      <c r="AL951" s="3" t="s">
        <v>55</v>
      </c>
      <c r="AP951" s="129" t="s">
        <v>136</v>
      </c>
      <c r="AR951" s="128" t="s">
        <v>67</v>
      </c>
      <c r="AS951" s="129" t="s">
        <v>64</v>
      </c>
      <c r="AT951" s="129" t="s">
        <v>1411</v>
      </c>
      <c r="BC951" s="129" t="s">
        <v>79</v>
      </c>
      <c r="BD951" s="129" t="s">
        <v>1211</v>
      </c>
      <c r="BF951" s="111">
        <v>0</v>
      </c>
      <c r="BG951" s="111">
        <v>0</v>
      </c>
      <c r="BH951" s="111">
        <f t="shared" si="671"/>
        <v>3</v>
      </c>
      <c r="BI951" s="111">
        <f t="shared" si="672"/>
        <v>30.601092896174862</v>
      </c>
      <c r="BJ951" s="129" t="e">
        <f>(G951-J951)+(M951-G951)</f>
        <v>#VALUE!</v>
      </c>
      <c r="BK951" s="129" t="e">
        <f t="shared" si="673"/>
        <v>#VALUE!</v>
      </c>
      <c r="BL951" s="129" t="str">
        <f t="shared" si="705"/>
        <v>NO CONVICTION</v>
      </c>
      <c r="BM951" s="129" t="s">
        <v>76</v>
      </c>
      <c r="BN951" s="129" t="s">
        <v>88</v>
      </c>
      <c r="BP951" s="137" t="str">
        <f t="shared" si="679"/>
        <v>NO CONVICTION</v>
      </c>
      <c r="BQ951" s="128">
        <f t="shared" si="680"/>
        <v>0</v>
      </c>
      <c r="BR951" s="129" t="s">
        <v>575</v>
      </c>
      <c r="BS951" s="129" t="str">
        <f t="shared" si="682"/>
        <v>DISPOSED</v>
      </c>
      <c r="BT951" s="129" t="str">
        <f t="shared" si="683"/>
        <v>Y</v>
      </c>
      <c r="BU951" s="109">
        <f>IFERROR(Q951/R951,BR951)</f>
        <v>0</v>
      </c>
      <c r="BV951" s="109">
        <v>0</v>
      </c>
      <c r="BW951" s="109">
        <f t="shared" si="707"/>
        <v>0</v>
      </c>
      <c r="BX951" s="111">
        <f t="shared" si="685"/>
        <v>0</v>
      </c>
      <c r="BY951" s="129" t="e">
        <f t="shared" si="686"/>
        <v>#VALUE!</v>
      </c>
      <c r="BZ951" s="111" t="e">
        <f t="shared" si="687"/>
        <v>#VALUE!</v>
      </c>
      <c r="CA951" s="138" t="e">
        <f t="shared" si="688"/>
        <v>#VALUE!</v>
      </c>
      <c r="CB951" s="111">
        <v>0</v>
      </c>
      <c r="CC951" s="129">
        <v>0</v>
      </c>
      <c r="CD951" s="111">
        <f>CC951-BF951</f>
        <v>0</v>
      </c>
      <c r="CE951" s="129" t="e">
        <f t="shared" si="689"/>
        <v>#VALUE!</v>
      </c>
      <c r="CG951" s="129" t="str">
        <f t="shared" si="690"/>
        <v>Y</v>
      </c>
      <c r="CI951" s="129" t="str">
        <f t="shared" si="691"/>
        <v>0-10 DAYS</v>
      </c>
      <c r="CJ951" s="137">
        <f t="shared" si="692"/>
        <v>1</v>
      </c>
      <c r="CK951" s="129" t="str">
        <f t="shared" si="693"/>
        <v>Not Booked</v>
      </c>
    </row>
    <row r="952" spans="1:89" ht="15.75" customHeight="1" x14ac:dyDescent="0.25">
      <c r="A952" s="111">
        <v>1389</v>
      </c>
      <c r="B952" s="128" t="str">
        <f t="shared" si="674"/>
        <v>N</v>
      </c>
      <c r="C952" s="128" t="str">
        <f t="shared" si="675"/>
        <v>N</v>
      </c>
      <c r="D952" s="117">
        <v>1682017</v>
      </c>
      <c r="E952" s="135">
        <f t="shared" si="676"/>
        <v>6</v>
      </c>
      <c r="F952" s="124">
        <v>40960</v>
      </c>
      <c r="G952" s="125">
        <v>41206</v>
      </c>
      <c r="H952" s="117">
        <v>1682017</v>
      </c>
      <c r="I952" s="124">
        <v>40984</v>
      </c>
      <c r="J952" s="125">
        <v>41206</v>
      </c>
      <c r="K952" s="126">
        <v>50000</v>
      </c>
      <c r="L952" s="129" t="s">
        <v>572</v>
      </c>
      <c r="N952" s="129" t="str">
        <f>IF(M952&gt;1/1/1,"Y","N")</f>
        <v>N</v>
      </c>
      <c r="O952" s="128" t="s">
        <v>917</v>
      </c>
      <c r="P952" s="129" t="s">
        <v>39</v>
      </c>
      <c r="Q952" s="111">
        <f t="shared" si="708"/>
        <v>223</v>
      </c>
      <c r="R952" s="111">
        <f t="shared" si="698"/>
        <v>247</v>
      </c>
      <c r="S952" s="129">
        <v>4</v>
      </c>
      <c r="T952" s="129">
        <v>7</v>
      </c>
      <c r="U952" s="129">
        <v>1</v>
      </c>
      <c r="W952" s="111"/>
      <c r="AC952" s="130"/>
      <c r="AD952" s="130">
        <v>29753</v>
      </c>
      <c r="AE952" s="128" t="s">
        <v>32</v>
      </c>
      <c r="AF952" s="128" t="s">
        <v>69</v>
      </c>
      <c r="AG952" s="128" t="s">
        <v>874</v>
      </c>
      <c r="AH952" s="108" t="s">
        <v>58</v>
      </c>
      <c r="AI952" s="128" t="s">
        <v>141</v>
      </c>
      <c r="AJ952" s="129" t="s">
        <v>89</v>
      </c>
      <c r="AK952" s="129">
        <v>13</v>
      </c>
      <c r="AL952" s="3" t="s">
        <v>362</v>
      </c>
      <c r="AM952" s="117">
        <v>4</v>
      </c>
      <c r="AP952" s="129" t="s">
        <v>73</v>
      </c>
      <c r="AR952" s="128" t="s">
        <v>50</v>
      </c>
      <c r="AS952" s="129" t="s">
        <v>74</v>
      </c>
      <c r="BC952" s="129" t="s">
        <v>38</v>
      </c>
      <c r="BF952" s="111">
        <f t="shared" ref="BF952:BF982" si="709">IF(J952&gt;1/1/1900,((J952+1)-I952),"STILL OPEN")</f>
        <v>223</v>
      </c>
      <c r="BG952" s="111">
        <f t="shared" ref="BG952:BG995" si="710">IF(G952&gt;1/1/1900,((G952+1)-I952),"STILL OPEN")</f>
        <v>223</v>
      </c>
      <c r="BH952" s="111">
        <f t="shared" si="671"/>
        <v>247</v>
      </c>
      <c r="BI952" s="111">
        <f t="shared" si="672"/>
        <v>30.620218579234972</v>
      </c>
      <c r="BJ952" s="129">
        <f t="shared" si="677"/>
        <v>0</v>
      </c>
      <c r="BK952" s="129">
        <f t="shared" si="673"/>
        <v>0</v>
      </c>
      <c r="BL952" s="129" t="str">
        <f t="shared" si="705"/>
        <v>CONVICTION</v>
      </c>
      <c r="BM952" s="129" t="str">
        <f t="shared" si="678"/>
        <v>NONE</v>
      </c>
      <c r="BN952" s="129" t="s">
        <v>566</v>
      </c>
      <c r="BP952" s="137" t="str">
        <f t="shared" si="679"/>
        <v>CONVICTION</v>
      </c>
      <c r="BQ952" s="128" t="str">
        <f t="shared" si="680"/>
        <v>Y</v>
      </c>
      <c r="BR952" s="129" t="str">
        <f t="shared" si="681"/>
        <v>DETAINED</v>
      </c>
      <c r="BS952" s="129" t="str">
        <f t="shared" si="682"/>
        <v>DISPOSED</v>
      </c>
      <c r="BT952" s="129" t="str">
        <f t="shared" si="683"/>
        <v>Y</v>
      </c>
      <c r="BU952" s="109">
        <f t="shared" si="694"/>
        <v>0.90283400809716596</v>
      </c>
      <c r="BV952" s="109">
        <f t="shared" si="684"/>
        <v>1</v>
      </c>
      <c r="BW952" s="109">
        <f t="shared" si="707"/>
        <v>9.7165991902834037E-2</v>
      </c>
      <c r="BX952" s="111">
        <f t="shared" si="685"/>
        <v>0</v>
      </c>
      <c r="BY952" s="129">
        <f t="shared" si="686"/>
        <v>-223</v>
      </c>
      <c r="BZ952" s="111">
        <f t="shared" si="687"/>
        <v>0</v>
      </c>
      <c r="CA952" s="138">
        <f t="shared" si="688"/>
        <v>223</v>
      </c>
      <c r="CB952" s="111" t="e">
        <f t="shared" ref="CB952:CB982" si="711">IF(AF952&gt;1/1/1900,((AF952+1)-AE952),"STILL OPEN")</f>
        <v>#VALUE!</v>
      </c>
      <c r="CC952" s="129">
        <f>G952-I952+1</f>
        <v>223</v>
      </c>
      <c r="CD952" s="129">
        <f>G952-J952</f>
        <v>0</v>
      </c>
      <c r="CE952" s="129">
        <f t="shared" si="689"/>
        <v>0</v>
      </c>
      <c r="CG952" s="129" t="str">
        <f t="shared" si="690"/>
        <v>Y</v>
      </c>
      <c r="CI952" s="129" t="str">
        <f t="shared" si="691"/>
        <v>121-365 DAYS</v>
      </c>
      <c r="CJ952" s="137">
        <f t="shared" si="692"/>
        <v>6</v>
      </c>
      <c r="CK952" s="129" t="str">
        <f t="shared" si="693"/>
        <v>Booked</v>
      </c>
    </row>
    <row r="953" spans="1:89" ht="15" customHeight="1" x14ac:dyDescent="0.25">
      <c r="A953" s="111">
        <v>2692</v>
      </c>
      <c r="B953" s="128" t="str">
        <f t="shared" si="674"/>
        <v>N</v>
      </c>
      <c r="C953" s="128" t="str">
        <f t="shared" si="675"/>
        <v>N</v>
      </c>
      <c r="D953" s="117">
        <v>1683950</v>
      </c>
      <c r="E953" s="135">
        <f t="shared" si="676"/>
        <v>4</v>
      </c>
      <c r="F953" s="124">
        <v>41009</v>
      </c>
      <c r="G953" s="125">
        <v>41096</v>
      </c>
      <c r="H953" s="117">
        <v>1683950</v>
      </c>
      <c r="I953" s="124">
        <v>41009</v>
      </c>
      <c r="J953" s="124">
        <v>41013</v>
      </c>
      <c r="K953" s="126">
        <v>2000</v>
      </c>
      <c r="L953" s="127" t="s">
        <v>568</v>
      </c>
      <c r="M953" s="125">
        <v>41013</v>
      </c>
      <c r="N953" s="129" t="str">
        <f>IF(M953&gt;1/1/1,"Y","N")</f>
        <v>Y</v>
      </c>
      <c r="O953" s="128" t="s">
        <v>76</v>
      </c>
      <c r="P953" s="129" t="s">
        <v>39</v>
      </c>
      <c r="Q953" s="111">
        <f t="shared" si="708"/>
        <v>5</v>
      </c>
      <c r="R953" s="111">
        <f t="shared" si="698"/>
        <v>88</v>
      </c>
      <c r="S953" s="129">
        <v>1</v>
      </c>
      <c r="T953" s="129">
        <v>0</v>
      </c>
      <c r="W953" s="111"/>
      <c r="AC953" s="130"/>
      <c r="AD953" s="130">
        <v>20638</v>
      </c>
      <c r="AE953" s="128" t="s">
        <v>46</v>
      </c>
      <c r="AF953" s="128" t="s">
        <v>33</v>
      </c>
      <c r="AG953" s="128" t="s">
        <v>872</v>
      </c>
      <c r="AH953" s="108" t="s">
        <v>58</v>
      </c>
      <c r="AI953" s="128" t="s">
        <v>65</v>
      </c>
      <c r="AJ953" s="129" t="s">
        <v>89</v>
      </c>
      <c r="AK953" s="129">
        <v>7</v>
      </c>
      <c r="AL953" s="3" t="s">
        <v>991</v>
      </c>
      <c r="AO953" s="128">
        <v>30</v>
      </c>
      <c r="AP953" s="129" t="s">
        <v>43</v>
      </c>
      <c r="AR953" s="128" t="s">
        <v>44</v>
      </c>
      <c r="AS953" s="129" t="s">
        <v>45</v>
      </c>
      <c r="BC953" s="129" t="s">
        <v>38</v>
      </c>
      <c r="BF953" s="111">
        <f t="shared" si="709"/>
        <v>5</v>
      </c>
      <c r="BG953" s="111">
        <f t="shared" si="710"/>
        <v>88</v>
      </c>
      <c r="BH953" s="111">
        <f t="shared" si="671"/>
        <v>88</v>
      </c>
      <c r="BI953" s="111">
        <f t="shared" si="672"/>
        <v>55.658469945355193</v>
      </c>
      <c r="BJ953" s="129">
        <f>(G953-J953)+(M953-G953)</f>
        <v>0</v>
      </c>
      <c r="BK953" s="129">
        <f t="shared" si="673"/>
        <v>-83</v>
      </c>
      <c r="BL953" s="129" t="str">
        <f t="shared" si="705"/>
        <v>CONVICTION</v>
      </c>
      <c r="BM953" s="129" t="s">
        <v>76</v>
      </c>
      <c r="BN953" s="129" t="s">
        <v>88</v>
      </c>
      <c r="BP953" s="137" t="str">
        <f t="shared" si="679"/>
        <v>CONVICTION</v>
      </c>
      <c r="BQ953" s="128" t="str">
        <f t="shared" si="680"/>
        <v>Y</v>
      </c>
      <c r="BR953" s="129" t="str">
        <f>IF(J953&lt;G953,"ON BOND",0)</f>
        <v>ON BOND</v>
      </c>
      <c r="BS953" s="129" t="str">
        <f t="shared" si="682"/>
        <v>DISPOSED</v>
      </c>
      <c r="BT953" s="129" t="str">
        <f t="shared" si="683"/>
        <v>Y</v>
      </c>
      <c r="BU953" s="109">
        <f t="shared" si="694"/>
        <v>5.6818181818181816E-2</v>
      </c>
      <c r="BV953" s="109">
        <f t="shared" si="684"/>
        <v>5.6818181818181816E-2</v>
      </c>
      <c r="BW953" s="109">
        <f t="shared" si="707"/>
        <v>0</v>
      </c>
      <c r="BX953" s="111">
        <f t="shared" si="685"/>
        <v>0</v>
      </c>
      <c r="BY953" s="129">
        <f t="shared" si="686"/>
        <v>-5</v>
      </c>
      <c r="BZ953" s="111">
        <f t="shared" si="687"/>
        <v>0</v>
      </c>
      <c r="CA953" s="138">
        <f t="shared" si="688"/>
        <v>5</v>
      </c>
      <c r="CB953" s="111" t="e">
        <f t="shared" si="711"/>
        <v>#VALUE!</v>
      </c>
      <c r="CC953" s="129">
        <f>M953-I953+1</f>
        <v>5</v>
      </c>
      <c r="CD953" s="111">
        <f>CC953-BF953</f>
        <v>0</v>
      </c>
      <c r="CE953" s="129">
        <f t="shared" si="689"/>
        <v>83</v>
      </c>
      <c r="CG953" s="129" t="str">
        <f t="shared" si="690"/>
        <v>Y</v>
      </c>
      <c r="CI953" s="129" t="str">
        <f t="shared" si="691"/>
        <v>0-10 DAYS</v>
      </c>
      <c r="CJ953" s="137">
        <f t="shared" si="692"/>
        <v>1</v>
      </c>
      <c r="CK953" s="129" t="str">
        <f t="shared" si="693"/>
        <v>Booked</v>
      </c>
    </row>
    <row r="954" spans="1:89" ht="15.75" customHeight="1" x14ac:dyDescent="0.25">
      <c r="A954" s="111">
        <v>154</v>
      </c>
      <c r="B954" s="128" t="str">
        <f t="shared" si="674"/>
        <v>N</v>
      </c>
      <c r="C954" s="128" t="str">
        <f t="shared" si="675"/>
        <v>N</v>
      </c>
      <c r="D954" s="117">
        <v>1684010</v>
      </c>
      <c r="E954" s="135">
        <f t="shared" si="676"/>
        <v>6</v>
      </c>
      <c r="F954" s="124">
        <v>40915</v>
      </c>
      <c r="G954" s="125">
        <v>41037</v>
      </c>
      <c r="H954" s="117">
        <v>1684010</v>
      </c>
      <c r="I954" s="124">
        <v>40915</v>
      </c>
      <c r="J954" s="124">
        <v>41037</v>
      </c>
      <c r="K954" s="126">
        <v>20000</v>
      </c>
      <c r="L954" s="127" t="s">
        <v>571</v>
      </c>
      <c r="N954" s="129" t="str">
        <f>IF(M954&gt;1/1/1,"Y","N")</f>
        <v>N</v>
      </c>
      <c r="O954" s="128" t="s">
        <v>917</v>
      </c>
      <c r="P954" s="129" t="s">
        <v>39</v>
      </c>
      <c r="Q954" s="111">
        <f t="shared" si="708"/>
        <v>123</v>
      </c>
      <c r="R954" s="111">
        <f t="shared" si="698"/>
        <v>123</v>
      </c>
      <c r="S954" s="129">
        <v>2</v>
      </c>
      <c r="T954" s="129">
        <v>6</v>
      </c>
      <c r="U954" s="129">
        <v>2</v>
      </c>
      <c r="W954" s="111"/>
      <c r="AC954" s="130"/>
      <c r="AD954" s="130">
        <v>29845</v>
      </c>
      <c r="AE954" s="128" t="s">
        <v>32</v>
      </c>
      <c r="AF954" s="128" t="s">
        <v>40</v>
      </c>
      <c r="AG954" s="128" t="s">
        <v>41</v>
      </c>
      <c r="AH954" s="108" t="s">
        <v>41</v>
      </c>
      <c r="AI954" s="128" t="s">
        <v>114</v>
      </c>
      <c r="AJ954" s="129" t="s">
        <v>89</v>
      </c>
      <c r="AK954" s="129">
        <v>7</v>
      </c>
      <c r="AL954" s="3" t="s">
        <v>362</v>
      </c>
      <c r="AM954" s="117">
        <v>3</v>
      </c>
      <c r="AP954" s="129" t="s">
        <v>93</v>
      </c>
      <c r="AR954" s="128" t="s">
        <v>67</v>
      </c>
      <c r="AS954" s="129" t="s">
        <v>45</v>
      </c>
      <c r="BC954" s="129" t="s">
        <v>52</v>
      </c>
      <c r="BF954" s="111">
        <f t="shared" si="709"/>
        <v>123</v>
      </c>
      <c r="BG954" s="111">
        <f t="shared" si="710"/>
        <v>123</v>
      </c>
      <c r="BH954" s="111">
        <f t="shared" si="671"/>
        <v>123</v>
      </c>
      <c r="BI954" s="111">
        <f t="shared" si="672"/>
        <v>30.245901639344261</v>
      </c>
      <c r="BJ954" s="129">
        <f t="shared" si="677"/>
        <v>0</v>
      </c>
      <c r="BK954" s="129">
        <f t="shared" si="673"/>
        <v>0</v>
      </c>
      <c r="BL954" s="129" t="str">
        <f t="shared" si="705"/>
        <v>CONVICTION</v>
      </c>
      <c r="BM954" s="129" t="str">
        <f t="shared" si="678"/>
        <v>NONE</v>
      </c>
      <c r="BN954" s="129" t="s">
        <v>566</v>
      </c>
      <c r="BP954" s="137" t="str">
        <f t="shared" si="679"/>
        <v>CONVICTION</v>
      </c>
      <c r="BQ954" s="128" t="str">
        <f t="shared" si="680"/>
        <v>Y</v>
      </c>
      <c r="BR954" s="129" t="str">
        <f t="shared" si="681"/>
        <v>DETAINED</v>
      </c>
      <c r="BS954" s="129" t="str">
        <f t="shared" si="682"/>
        <v>DISPOSED</v>
      </c>
      <c r="BT954" s="129" t="str">
        <f t="shared" si="683"/>
        <v>Y</v>
      </c>
      <c r="BU954" s="109">
        <f t="shared" si="694"/>
        <v>1</v>
      </c>
      <c r="BV954" s="109">
        <f t="shared" si="684"/>
        <v>1</v>
      </c>
      <c r="BW954" s="109">
        <f t="shared" si="707"/>
        <v>0</v>
      </c>
      <c r="BX954" s="111">
        <f t="shared" si="685"/>
        <v>0</v>
      </c>
      <c r="BY954" s="129">
        <f t="shared" si="686"/>
        <v>-123</v>
      </c>
      <c r="BZ954" s="111">
        <f t="shared" si="687"/>
        <v>0</v>
      </c>
      <c r="CA954" s="138">
        <f t="shared" si="688"/>
        <v>123</v>
      </c>
      <c r="CB954" s="111" t="e">
        <f t="shared" si="711"/>
        <v>#VALUE!</v>
      </c>
      <c r="CC954" s="129">
        <f>G954-I954+1</f>
        <v>123</v>
      </c>
      <c r="CD954" s="129">
        <f>G954-J954</f>
        <v>0</v>
      </c>
      <c r="CE954" s="129">
        <f t="shared" si="689"/>
        <v>0</v>
      </c>
      <c r="CG954" s="129" t="str">
        <f t="shared" si="690"/>
        <v>Y</v>
      </c>
      <c r="CI954" s="129" t="str">
        <f t="shared" si="691"/>
        <v>121-365 DAYS</v>
      </c>
      <c r="CJ954" s="137">
        <f t="shared" si="692"/>
        <v>6</v>
      </c>
      <c r="CK954" s="129" t="str">
        <f t="shared" si="693"/>
        <v>Booked</v>
      </c>
    </row>
    <row r="955" spans="1:89" ht="15" customHeight="1" x14ac:dyDescent="0.25">
      <c r="A955" s="111">
        <v>2682</v>
      </c>
      <c r="B955" s="128" t="str">
        <f t="shared" si="674"/>
        <v>N</v>
      </c>
      <c r="C955" s="128" t="str">
        <f t="shared" si="675"/>
        <v>N</v>
      </c>
      <c r="D955" s="117">
        <v>1684078</v>
      </c>
      <c r="E955" s="135">
        <f t="shared" si="676"/>
        <v>6</v>
      </c>
      <c r="F955" s="124">
        <v>41008</v>
      </c>
      <c r="G955" s="125">
        <v>41100</v>
      </c>
      <c r="H955" s="117">
        <v>1684078</v>
      </c>
      <c r="I955" s="124">
        <v>41009</v>
      </c>
      <c r="J955" s="124">
        <v>41100</v>
      </c>
      <c r="K955" s="126" t="s">
        <v>564</v>
      </c>
      <c r="L955" s="127" t="s">
        <v>564</v>
      </c>
      <c r="N955" s="129" t="s">
        <v>566</v>
      </c>
      <c r="O955" s="128" t="s">
        <v>917</v>
      </c>
      <c r="P955" s="129" t="s">
        <v>39</v>
      </c>
      <c r="Q955" s="111">
        <f t="shared" si="708"/>
        <v>92</v>
      </c>
      <c r="R955" s="111">
        <f t="shared" si="698"/>
        <v>93</v>
      </c>
      <c r="S955" s="129">
        <v>3</v>
      </c>
      <c r="T955" s="129">
        <v>6</v>
      </c>
      <c r="U955" s="129">
        <v>1</v>
      </c>
      <c r="W955" s="111"/>
      <c r="AC955" s="130"/>
      <c r="AD955" s="130">
        <v>29792</v>
      </c>
      <c r="AE955" s="128" t="s">
        <v>32</v>
      </c>
      <c r="AF955" s="128" t="s">
        <v>40</v>
      </c>
      <c r="AG955" s="128" t="s">
        <v>41</v>
      </c>
      <c r="AH955" s="108" t="s">
        <v>41</v>
      </c>
      <c r="AI955" s="128" t="s">
        <v>113</v>
      </c>
      <c r="AJ955" s="129" t="s">
        <v>89</v>
      </c>
      <c r="AK955" s="129">
        <v>6</v>
      </c>
      <c r="AL955" s="3" t="s">
        <v>362</v>
      </c>
      <c r="AM955" s="117">
        <v>2</v>
      </c>
      <c r="AP955" s="129" t="s">
        <v>110</v>
      </c>
      <c r="AR955" s="128" t="s">
        <v>50</v>
      </c>
      <c r="AS955" s="129" t="s">
        <v>74</v>
      </c>
      <c r="BC955" s="129" t="s">
        <v>38</v>
      </c>
      <c r="BF955" s="111">
        <f t="shared" si="709"/>
        <v>92</v>
      </c>
      <c r="BG955" s="111">
        <f t="shared" si="710"/>
        <v>92</v>
      </c>
      <c r="BH955" s="111">
        <f t="shared" si="671"/>
        <v>93</v>
      </c>
      <c r="BI955" s="111">
        <f t="shared" si="672"/>
        <v>30.644808743169399</v>
      </c>
      <c r="BJ955" s="129">
        <f t="shared" si="677"/>
        <v>0</v>
      </c>
      <c r="BK955" s="129">
        <f t="shared" si="673"/>
        <v>0</v>
      </c>
      <c r="BL955" s="129" t="str">
        <f t="shared" si="705"/>
        <v>CONVICTION</v>
      </c>
      <c r="BM955" s="129" t="str">
        <f t="shared" si="678"/>
        <v>NONE</v>
      </c>
      <c r="BN955" s="129" t="s">
        <v>566</v>
      </c>
      <c r="BP955" s="137" t="str">
        <f t="shared" si="679"/>
        <v>CONVICTION</v>
      </c>
      <c r="BQ955" s="128" t="str">
        <f t="shared" si="680"/>
        <v>Y</v>
      </c>
      <c r="BR955" s="129" t="str">
        <f t="shared" si="681"/>
        <v>DETAINED</v>
      </c>
      <c r="BS955" s="129" t="str">
        <f t="shared" si="682"/>
        <v>DISPOSED</v>
      </c>
      <c r="BT955" s="129" t="str">
        <f t="shared" si="683"/>
        <v>Y</v>
      </c>
      <c r="BU955" s="109">
        <f t="shared" si="694"/>
        <v>0.989247311827957</v>
      </c>
      <c r="BV955" s="109">
        <f t="shared" si="684"/>
        <v>1</v>
      </c>
      <c r="BW955" s="109">
        <f t="shared" si="707"/>
        <v>1.0752688172043001E-2</v>
      </c>
      <c r="BX955" s="111">
        <f t="shared" si="685"/>
        <v>0</v>
      </c>
      <c r="BY955" s="129">
        <f t="shared" si="686"/>
        <v>-92</v>
      </c>
      <c r="BZ955" s="111">
        <f t="shared" si="687"/>
        <v>0</v>
      </c>
      <c r="CA955" s="138">
        <f t="shared" si="688"/>
        <v>92</v>
      </c>
      <c r="CB955" s="111" t="e">
        <f t="shared" si="711"/>
        <v>#VALUE!</v>
      </c>
      <c r="CC955" s="129">
        <f>G955-I955+1</f>
        <v>92</v>
      </c>
      <c r="CD955" s="129">
        <f>G955-J955</f>
        <v>0</v>
      </c>
      <c r="CE955" s="129">
        <f t="shared" si="689"/>
        <v>0</v>
      </c>
      <c r="CG955" s="129" t="str">
        <f t="shared" si="690"/>
        <v>Y</v>
      </c>
      <c r="CI955" s="129" t="str">
        <f t="shared" si="691"/>
        <v>91-120 DAYS</v>
      </c>
      <c r="CJ955" s="137">
        <f t="shared" si="692"/>
        <v>0</v>
      </c>
      <c r="CK955" s="129" t="str">
        <f t="shared" si="693"/>
        <v>Booked</v>
      </c>
    </row>
    <row r="956" spans="1:89" ht="15" customHeight="1" x14ac:dyDescent="0.25">
      <c r="A956" s="111">
        <v>1819</v>
      </c>
      <c r="B956" s="128" t="str">
        <f t="shared" si="674"/>
        <v>N</v>
      </c>
      <c r="C956" s="128" t="str">
        <f t="shared" si="675"/>
        <v>N</v>
      </c>
      <c r="D956" s="117">
        <v>1684297</v>
      </c>
      <c r="E956" s="135">
        <f t="shared" si="676"/>
        <v>5</v>
      </c>
      <c r="F956" s="124">
        <v>40976</v>
      </c>
      <c r="G956" s="125">
        <v>40980</v>
      </c>
      <c r="H956" s="117">
        <v>1684297</v>
      </c>
      <c r="I956" s="124">
        <v>40977</v>
      </c>
      <c r="J956" s="124">
        <v>40980</v>
      </c>
      <c r="K956" s="126">
        <v>15000</v>
      </c>
      <c r="L956" s="127" t="s">
        <v>571</v>
      </c>
      <c r="N956" s="129" t="str">
        <f>IF(M956&gt;1/1/1,"Y","N")</f>
        <v>N</v>
      </c>
      <c r="O956" s="128" t="s">
        <v>917</v>
      </c>
      <c r="P956" s="129" t="s">
        <v>39</v>
      </c>
      <c r="Q956" s="111">
        <f t="shared" si="708"/>
        <v>4</v>
      </c>
      <c r="R956" s="111">
        <f t="shared" si="698"/>
        <v>5</v>
      </c>
      <c r="S956" s="129">
        <v>6</v>
      </c>
      <c r="T956" s="129">
        <v>5</v>
      </c>
      <c r="U956" s="129">
        <v>3</v>
      </c>
      <c r="W956" s="111"/>
      <c r="AC956" s="130"/>
      <c r="AD956" s="130">
        <v>28699</v>
      </c>
      <c r="AE956" s="128" t="s">
        <v>32</v>
      </c>
      <c r="AF956" s="128" t="s">
        <v>33</v>
      </c>
      <c r="AG956" s="128" t="s">
        <v>872</v>
      </c>
      <c r="AH956" s="108" t="s">
        <v>58</v>
      </c>
      <c r="AI956" s="128" t="s">
        <v>118</v>
      </c>
      <c r="AJ956" s="129" t="s">
        <v>89</v>
      </c>
      <c r="AK956" s="129">
        <v>1</v>
      </c>
      <c r="AL956" s="3" t="s">
        <v>992</v>
      </c>
      <c r="AN956" s="117">
        <v>6</v>
      </c>
      <c r="AP956" s="129" t="s">
        <v>175</v>
      </c>
      <c r="AR956" s="128" t="s">
        <v>44</v>
      </c>
      <c r="AS956" s="129" t="s">
        <v>45</v>
      </c>
      <c r="BC956" s="129" t="s">
        <v>38</v>
      </c>
      <c r="BF956" s="111">
        <f t="shared" si="709"/>
        <v>4</v>
      </c>
      <c r="BG956" s="111">
        <f t="shared" si="710"/>
        <v>4</v>
      </c>
      <c r="BH956" s="111">
        <f t="shared" si="671"/>
        <v>5</v>
      </c>
      <c r="BI956" s="111">
        <f t="shared" si="672"/>
        <v>33.543715846994537</v>
      </c>
      <c r="BJ956" s="129">
        <f t="shared" si="677"/>
        <v>0</v>
      </c>
      <c r="BK956" s="129">
        <f t="shared" si="673"/>
        <v>0</v>
      </c>
      <c r="BL956" s="129" t="str">
        <f t="shared" si="705"/>
        <v>CONVICTION</v>
      </c>
      <c r="BM956" s="129" t="str">
        <f t="shared" si="678"/>
        <v>NONE</v>
      </c>
      <c r="BN956" s="129" t="s">
        <v>566</v>
      </c>
      <c r="BP956" s="137" t="str">
        <f t="shared" si="679"/>
        <v>CONVICTION</v>
      </c>
      <c r="BQ956" s="128" t="str">
        <f t="shared" si="680"/>
        <v>Y</v>
      </c>
      <c r="BR956" s="129" t="str">
        <f t="shared" si="681"/>
        <v>DETAINED</v>
      </c>
      <c r="BS956" s="129" t="str">
        <f t="shared" si="682"/>
        <v>DISPOSED</v>
      </c>
      <c r="BT956" s="129" t="str">
        <f t="shared" si="683"/>
        <v>Y</v>
      </c>
      <c r="BU956" s="109">
        <f t="shared" si="694"/>
        <v>0.8</v>
      </c>
      <c r="BV956" s="109">
        <f t="shared" si="684"/>
        <v>1</v>
      </c>
      <c r="BW956" s="109">
        <f t="shared" si="707"/>
        <v>0.19999999999999996</v>
      </c>
      <c r="BX956" s="111">
        <f t="shared" si="685"/>
        <v>0</v>
      </c>
      <c r="BY956" s="129">
        <f t="shared" si="686"/>
        <v>-4</v>
      </c>
      <c r="BZ956" s="111">
        <f t="shared" si="687"/>
        <v>0</v>
      </c>
      <c r="CA956" s="138">
        <f t="shared" si="688"/>
        <v>4</v>
      </c>
      <c r="CB956" s="111" t="e">
        <f t="shared" si="711"/>
        <v>#VALUE!</v>
      </c>
      <c r="CC956" s="129">
        <f>G956-I956+1</f>
        <v>4</v>
      </c>
      <c r="CD956" s="129">
        <f>G956-J956</f>
        <v>0</v>
      </c>
      <c r="CE956" s="129">
        <f t="shared" si="689"/>
        <v>0</v>
      </c>
      <c r="CG956" s="129" t="str">
        <f t="shared" si="690"/>
        <v>Y</v>
      </c>
      <c r="CI956" s="129" t="str">
        <f t="shared" si="691"/>
        <v>0-10 DAYS</v>
      </c>
      <c r="CJ956" s="137">
        <f t="shared" si="692"/>
        <v>1</v>
      </c>
      <c r="CK956" s="129" t="str">
        <f t="shared" si="693"/>
        <v>Booked</v>
      </c>
    </row>
    <row r="957" spans="1:89" ht="15" customHeight="1" x14ac:dyDescent="0.25">
      <c r="A957" s="111">
        <v>1928</v>
      </c>
      <c r="B957" s="128" t="str">
        <f t="shared" si="674"/>
        <v>N</v>
      </c>
      <c r="C957" s="128" t="str">
        <f t="shared" si="675"/>
        <v>N</v>
      </c>
      <c r="D957" s="117">
        <v>1684893</v>
      </c>
      <c r="E957" s="135">
        <f t="shared" si="676"/>
        <v>1</v>
      </c>
      <c r="F957" s="124">
        <v>40981</v>
      </c>
      <c r="G957" s="125">
        <v>41150</v>
      </c>
      <c r="H957" s="117">
        <v>1684893</v>
      </c>
      <c r="I957" s="124">
        <v>40981</v>
      </c>
      <c r="J957" s="124">
        <v>41150</v>
      </c>
      <c r="K957" s="126">
        <v>5000</v>
      </c>
      <c r="L957" s="127" t="s">
        <v>569</v>
      </c>
      <c r="N957" s="129" t="str">
        <f>IF(M957&gt;1/1/1,"Y","N")</f>
        <v>N</v>
      </c>
      <c r="O957" s="128" t="s">
        <v>917</v>
      </c>
      <c r="P957" s="129" t="s">
        <v>55</v>
      </c>
      <c r="Q957" s="111">
        <f t="shared" si="708"/>
        <v>170</v>
      </c>
      <c r="R957" s="111">
        <f t="shared" si="698"/>
        <v>170</v>
      </c>
      <c r="S957" s="129">
        <v>2</v>
      </c>
      <c r="T957" s="129">
        <v>1</v>
      </c>
      <c r="U957" s="129">
        <v>1</v>
      </c>
      <c r="W957" s="111"/>
      <c r="AC957" s="130"/>
      <c r="AD957" s="130">
        <v>24643</v>
      </c>
      <c r="AE957" s="128" t="s">
        <v>32</v>
      </c>
      <c r="AF957" s="128" t="s">
        <v>40</v>
      </c>
      <c r="AG957" s="128" t="s">
        <v>41</v>
      </c>
      <c r="AH957" s="108" t="s">
        <v>41</v>
      </c>
      <c r="AI957" s="128" t="s">
        <v>85</v>
      </c>
      <c r="AJ957" s="129" t="s">
        <v>55</v>
      </c>
      <c r="AK957" s="129">
        <v>2</v>
      </c>
      <c r="AL957" s="3" t="s">
        <v>55</v>
      </c>
      <c r="AP957" s="129" t="s">
        <v>43</v>
      </c>
      <c r="AR957" s="128" t="s">
        <v>44</v>
      </c>
      <c r="AS957" s="129" t="s">
        <v>45</v>
      </c>
      <c r="BC957" s="129" t="s">
        <v>38</v>
      </c>
      <c r="BF957" s="111">
        <f t="shared" si="709"/>
        <v>170</v>
      </c>
      <c r="BG957" s="111">
        <f t="shared" si="710"/>
        <v>170</v>
      </c>
      <c r="BH957" s="111">
        <f t="shared" si="671"/>
        <v>170</v>
      </c>
      <c r="BI957" s="111">
        <f t="shared" si="672"/>
        <v>44.639344262295083</v>
      </c>
      <c r="BJ957" s="129">
        <f t="shared" si="677"/>
        <v>0</v>
      </c>
      <c r="BK957" s="129">
        <f t="shared" si="673"/>
        <v>0</v>
      </c>
      <c r="BL957" s="129" t="str">
        <f t="shared" si="705"/>
        <v>NO CONVICTION</v>
      </c>
      <c r="BM957" s="129" t="str">
        <f t="shared" si="678"/>
        <v>NONE</v>
      </c>
      <c r="BN957" s="129" t="s">
        <v>566</v>
      </c>
      <c r="BP957" s="137" t="str">
        <f t="shared" si="679"/>
        <v>NO CONVICTION</v>
      </c>
      <c r="BQ957" s="128" t="str">
        <f t="shared" si="680"/>
        <v>Y</v>
      </c>
      <c r="BR957" s="129" t="str">
        <f t="shared" si="681"/>
        <v>DETAINED</v>
      </c>
      <c r="BS957" s="129" t="str">
        <f t="shared" si="682"/>
        <v>DISPOSED</v>
      </c>
      <c r="BT957" s="129" t="str">
        <f t="shared" si="683"/>
        <v>Y</v>
      </c>
      <c r="BU957" s="109">
        <f>IFERROR(Q957/R957,BR957)</f>
        <v>1</v>
      </c>
      <c r="BV957" s="109">
        <f t="shared" si="684"/>
        <v>1</v>
      </c>
      <c r="BW957" s="109">
        <f t="shared" si="707"/>
        <v>0</v>
      </c>
      <c r="BX957" s="111">
        <f t="shared" si="685"/>
        <v>0</v>
      </c>
      <c r="BY957" s="129">
        <f t="shared" si="686"/>
        <v>-170</v>
      </c>
      <c r="BZ957" s="111">
        <f t="shared" si="687"/>
        <v>0</v>
      </c>
      <c r="CA957" s="138">
        <f t="shared" si="688"/>
        <v>170</v>
      </c>
      <c r="CB957" s="111" t="e">
        <f t="shared" si="711"/>
        <v>#VALUE!</v>
      </c>
      <c r="CC957" s="129">
        <f>G957-I957+1</f>
        <v>170</v>
      </c>
      <c r="CD957" s="129">
        <f>G957-J957</f>
        <v>0</v>
      </c>
      <c r="CE957" s="129">
        <f t="shared" si="689"/>
        <v>0</v>
      </c>
      <c r="CG957" s="129" t="str">
        <f t="shared" si="690"/>
        <v>Y</v>
      </c>
      <c r="CI957" s="129" t="str">
        <f t="shared" si="691"/>
        <v>121-365 DAYS</v>
      </c>
      <c r="CJ957" s="137">
        <f t="shared" si="692"/>
        <v>6</v>
      </c>
      <c r="CK957" s="129" t="str">
        <f t="shared" si="693"/>
        <v>Booked</v>
      </c>
    </row>
    <row r="958" spans="1:89" ht="15.75" customHeight="1" x14ac:dyDescent="0.25">
      <c r="A958" s="111">
        <v>2640</v>
      </c>
      <c r="B958" s="128" t="str">
        <f t="shared" si="674"/>
        <v>N</v>
      </c>
      <c r="C958" s="128" t="str">
        <f t="shared" si="675"/>
        <v>N</v>
      </c>
      <c r="D958" s="117">
        <v>1685434</v>
      </c>
      <c r="E958" s="135">
        <f t="shared" si="676"/>
        <v>6</v>
      </c>
      <c r="F958" s="124">
        <v>41007</v>
      </c>
      <c r="G958" s="125">
        <v>41050</v>
      </c>
      <c r="H958" s="117">
        <v>1685434</v>
      </c>
      <c r="I958" s="124">
        <v>41007</v>
      </c>
      <c r="J958" s="124">
        <v>41050</v>
      </c>
      <c r="K958" s="126" t="s">
        <v>564</v>
      </c>
      <c r="L958" s="127" t="s">
        <v>564</v>
      </c>
      <c r="N958" s="129" t="s">
        <v>566</v>
      </c>
      <c r="O958" s="128" t="s">
        <v>917</v>
      </c>
      <c r="P958" s="129" t="s">
        <v>39</v>
      </c>
      <c r="Q958" s="111">
        <f t="shared" si="708"/>
        <v>44</v>
      </c>
      <c r="R958" s="111">
        <f t="shared" si="698"/>
        <v>44</v>
      </c>
      <c r="S958" s="129">
        <v>6</v>
      </c>
      <c r="T958" s="129">
        <v>2</v>
      </c>
      <c r="U958" s="129">
        <v>3</v>
      </c>
      <c r="W958" s="111"/>
      <c r="AC958" s="130"/>
      <c r="AD958" s="130">
        <v>29427</v>
      </c>
      <c r="AE958" s="128" t="s">
        <v>32</v>
      </c>
      <c r="AF958" s="128" t="s">
        <v>33</v>
      </c>
      <c r="AG958" s="128" t="s">
        <v>872</v>
      </c>
      <c r="AH958" s="108" t="s">
        <v>58</v>
      </c>
      <c r="AI958" s="128" t="s">
        <v>90</v>
      </c>
      <c r="AJ958" s="129" t="s">
        <v>89</v>
      </c>
      <c r="AK958" s="129">
        <v>3</v>
      </c>
      <c r="AL958" s="3" t="s">
        <v>362</v>
      </c>
      <c r="AM958" s="117">
        <v>6</v>
      </c>
      <c r="AP958" s="129" t="s">
        <v>101</v>
      </c>
      <c r="AR958" s="128" t="s">
        <v>67</v>
      </c>
      <c r="AS958" s="129" t="s">
        <v>64</v>
      </c>
      <c r="BC958" s="129" t="s">
        <v>38</v>
      </c>
      <c r="BF958" s="111">
        <f t="shared" si="709"/>
        <v>44</v>
      </c>
      <c r="BG958" s="111">
        <f t="shared" si="710"/>
        <v>44</v>
      </c>
      <c r="BH958" s="111">
        <f t="shared" si="671"/>
        <v>44</v>
      </c>
      <c r="BI958" s="111">
        <f t="shared" si="672"/>
        <v>31.639344262295083</v>
      </c>
      <c r="BJ958" s="129">
        <f t="shared" si="677"/>
        <v>0</v>
      </c>
      <c r="BK958" s="129">
        <f t="shared" si="673"/>
        <v>0</v>
      </c>
      <c r="BL958" s="129" t="str">
        <f t="shared" si="705"/>
        <v>CONVICTION</v>
      </c>
      <c r="BM958" s="129" t="str">
        <f t="shared" si="678"/>
        <v>NONE</v>
      </c>
      <c r="BN958" s="129" t="s">
        <v>566</v>
      </c>
      <c r="BP958" s="137" t="str">
        <f t="shared" si="679"/>
        <v>CONVICTION</v>
      </c>
      <c r="BQ958" s="128" t="str">
        <f t="shared" si="680"/>
        <v>Y</v>
      </c>
      <c r="BR958" s="129" t="str">
        <f t="shared" si="681"/>
        <v>DETAINED</v>
      </c>
      <c r="BS958" s="129" t="str">
        <f t="shared" si="682"/>
        <v>DISPOSED</v>
      </c>
      <c r="BT958" s="129" t="str">
        <f t="shared" si="683"/>
        <v>Y</v>
      </c>
      <c r="BU958" s="109">
        <f t="shared" si="694"/>
        <v>1</v>
      </c>
      <c r="BV958" s="109">
        <f t="shared" si="684"/>
        <v>1</v>
      </c>
      <c r="BW958" s="109">
        <f t="shared" si="707"/>
        <v>0</v>
      </c>
      <c r="BX958" s="111">
        <f t="shared" si="685"/>
        <v>0</v>
      </c>
      <c r="BY958" s="129">
        <f t="shared" si="686"/>
        <v>-44</v>
      </c>
      <c r="BZ958" s="111">
        <f t="shared" si="687"/>
        <v>0</v>
      </c>
      <c r="CA958" s="138">
        <f t="shared" si="688"/>
        <v>44</v>
      </c>
      <c r="CB958" s="111" t="e">
        <f t="shared" si="711"/>
        <v>#VALUE!</v>
      </c>
      <c r="CC958" s="129">
        <f>G958-I958+1</f>
        <v>44</v>
      </c>
      <c r="CD958" s="129">
        <f>G958-J958</f>
        <v>0</v>
      </c>
      <c r="CE958" s="129">
        <f t="shared" si="689"/>
        <v>0</v>
      </c>
      <c r="CG958" s="129" t="str">
        <f t="shared" si="690"/>
        <v>Y</v>
      </c>
      <c r="CI958" s="129" t="str">
        <f t="shared" si="691"/>
        <v>31-60 DAYS</v>
      </c>
      <c r="CJ958" s="137">
        <f t="shared" si="692"/>
        <v>3</v>
      </c>
      <c r="CK958" s="129" t="str">
        <f t="shared" si="693"/>
        <v>Booked</v>
      </c>
    </row>
    <row r="959" spans="1:89" ht="15.75" customHeight="1" x14ac:dyDescent="0.25">
      <c r="A959" s="111">
        <v>2623</v>
      </c>
      <c r="B959" s="128" t="str">
        <f t="shared" si="674"/>
        <v>N</v>
      </c>
      <c r="C959" s="128" t="str">
        <f t="shared" si="675"/>
        <v>N</v>
      </c>
      <c r="D959" s="117">
        <v>1685550</v>
      </c>
      <c r="E959" s="135">
        <f t="shared" si="676"/>
        <v>1</v>
      </c>
      <c r="F959" s="124">
        <v>41006</v>
      </c>
      <c r="G959" s="125">
        <v>41250</v>
      </c>
      <c r="H959" s="117">
        <v>1685550</v>
      </c>
      <c r="I959" s="124">
        <v>41006</v>
      </c>
      <c r="J959" s="124">
        <v>41007</v>
      </c>
      <c r="K959" s="126">
        <v>5000</v>
      </c>
      <c r="L959" s="127" t="s">
        <v>569</v>
      </c>
      <c r="M959" s="125">
        <v>41007</v>
      </c>
      <c r="N959" s="129" t="str">
        <f>IF(M959&gt;1/1/1,"Y","N")</f>
        <v>Y</v>
      </c>
      <c r="O959" s="128" t="s">
        <v>76</v>
      </c>
      <c r="P959" s="129" t="s">
        <v>55</v>
      </c>
      <c r="Q959" s="111">
        <f t="shared" si="708"/>
        <v>2</v>
      </c>
      <c r="R959" s="111">
        <f t="shared" si="698"/>
        <v>245</v>
      </c>
      <c r="S959" s="129">
        <v>0</v>
      </c>
      <c r="T959" s="129">
        <v>2</v>
      </c>
      <c r="W959" s="111"/>
      <c r="AC959" s="130"/>
      <c r="AD959" s="130">
        <v>26939</v>
      </c>
      <c r="AE959" s="128" t="s">
        <v>32</v>
      </c>
      <c r="AF959" s="128" t="s">
        <v>33</v>
      </c>
      <c r="AG959" s="128" t="s">
        <v>872</v>
      </c>
      <c r="AH959" s="108" t="s">
        <v>31</v>
      </c>
      <c r="AI959" s="128" t="s">
        <v>95</v>
      </c>
      <c r="AJ959" s="129" t="s">
        <v>55</v>
      </c>
      <c r="AK959" s="129">
        <v>10</v>
      </c>
      <c r="AL959" s="3" t="s">
        <v>55</v>
      </c>
      <c r="AP959" s="129" t="s">
        <v>342</v>
      </c>
      <c r="AR959" s="128" t="s">
        <v>67</v>
      </c>
      <c r="AS959" s="129" t="s">
        <v>64</v>
      </c>
      <c r="BC959" s="129" t="s">
        <v>52</v>
      </c>
      <c r="BF959" s="111">
        <f t="shared" si="709"/>
        <v>2</v>
      </c>
      <c r="BG959" s="111">
        <f t="shared" si="710"/>
        <v>245</v>
      </c>
      <c r="BH959" s="111">
        <f t="shared" si="671"/>
        <v>245</v>
      </c>
      <c r="BI959" s="111">
        <f t="shared" si="672"/>
        <v>38.434426229508198</v>
      </c>
      <c r="BJ959" s="129">
        <f>(G959-J959)+(M959-G959)</f>
        <v>0</v>
      </c>
      <c r="BK959" s="129">
        <f t="shared" si="673"/>
        <v>-243</v>
      </c>
      <c r="BL959" s="129" t="str">
        <f t="shared" si="705"/>
        <v>NO CONVICTION</v>
      </c>
      <c r="BM959" s="129" t="s">
        <v>76</v>
      </c>
      <c r="BN959" s="129" t="s">
        <v>88</v>
      </c>
      <c r="BP959" s="137" t="str">
        <f t="shared" si="679"/>
        <v>NO CONVICTION</v>
      </c>
      <c r="BQ959" s="128" t="str">
        <f t="shared" si="680"/>
        <v>Y</v>
      </c>
      <c r="BR959" s="129" t="str">
        <f t="shared" si="681"/>
        <v>ON BOND</v>
      </c>
      <c r="BS959" s="129" t="str">
        <f t="shared" si="682"/>
        <v>DISPOSED</v>
      </c>
      <c r="BT959" s="129" t="str">
        <f t="shared" si="683"/>
        <v>N</v>
      </c>
      <c r="BU959" s="109">
        <f>IFERROR(Q959/R959,BR959)</f>
        <v>8.1632653061224497E-3</v>
      </c>
      <c r="BV959" s="109">
        <f t="shared" si="684"/>
        <v>8.1632653061224497E-3</v>
      </c>
      <c r="BW959" s="109">
        <f t="shared" si="707"/>
        <v>0</v>
      </c>
      <c r="BX959" s="111">
        <f t="shared" si="685"/>
        <v>0</v>
      </c>
      <c r="BY959" s="129">
        <f t="shared" si="686"/>
        <v>-2</v>
      </c>
      <c r="BZ959" s="111">
        <f t="shared" si="687"/>
        <v>0</v>
      </c>
      <c r="CA959" s="138">
        <f t="shared" si="688"/>
        <v>2</v>
      </c>
      <c r="CB959" s="111" t="e">
        <f t="shared" si="711"/>
        <v>#VALUE!</v>
      </c>
      <c r="CC959" s="129">
        <f>M959-I959+1</f>
        <v>2</v>
      </c>
      <c r="CD959" s="111">
        <f>CC959-BF959</f>
        <v>0</v>
      </c>
      <c r="CE959" s="129">
        <f t="shared" si="689"/>
        <v>243</v>
      </c>
      <c r="CG959" s="129" t="str">
        <f t="shared" si="690"/>
        <v>Y</v>
      </c>
      <c r="CI959" s="129" t="str">
        <f t="shared" si="691"/>
        <v>0-10 DAYS</v>
      </c>
      <c r="CJ959" s="137">
        <f t="shared" si="692"/>
        <v>1</v>
      </c>
      <c r="CK959" s="129" t="str">
        <f t="shared" si="693"/>
        <v>Booked</v>
      </c>
    </row>
    <row r="960" spans="1:89" ht="15.75" customHeight="1" x14ac:dyDescent="0.25">
      <c r="A960" s="111">
        <v>2790</v>
      </c>
      <c r="B960" s="128" t="str">
        <f t="shared" si="674"/>
        <v>N</v>
      </c>
      <c r="C960" s="128" t="str">
        <f t="shared" si="675"/>
        <v>N</v>
      </c>
      <c r="D960" s="117">
        <v>1686003</v>
      </c>
      <c r="E960" s="135">
        <f t="shared" si="676"/>
        <v>5</v>
      </c>
      <c r="F960" s="124">
        <v>41012</v>
      </c>
      <c r="G960" s="125">
        <v>41142</v>
      </c>
      <c r="H960" s="117">
        <v>1686003</v>
      </c>
      <c r="I960" s="124">
        <v>41012</v>
      </c>
      <c r="J960" s="124">
        <v>41142</v>
      </c>
      <c r="K960" s="126">
        <v>15000</v>
      </c>
      <c r="L960" s="127" t="s">
        <v>571</v>
      </c>
      <c r="N960" s="129" t="str">
        <f>IF(M960&gt;1/1/1,"Y","N")</f>
        <v>N</v>
      </c>
      <c r="O960" s="128" t="s">
        <v>917</v>
      </c>
      <c r="P960" s="129" t="s">
        <v>39</v>
      </c>
      <c r="Q960" s="111">
        <f t="shared" si="708"/>
        <v>131</v>
      </c>
      <c r="R960" s="111">
        <f t="shared" si="698"/>
        <v>131</v>
      </c>
      <c r="S960" s="129">
        <v>4</v>
      </c>
      <c r="T960" s="129">
        <v>5</v>
      </c>
      <c r="U960" s="129">
        <v>3</v>
      </c>
      <c r="W960" s="111"/>
      <c r="AB960" s="131" t="s">
        <v>112</v>
      </c>
      <c r="AC960" s="130"/>
      <c r="AD960" s="130">
        <v>29451</v>
      </c>
      <c r="AE960" s="128" t="s">
        <v>32</v>
      </c>
      <c r="AF960" s="128" t="s">
        <v>40</v>
      </c>
      <c r="AG960" s="128" t="s">
        <v>41</v>
      </c>
      <c r="AH960" s="108" t="s">
        <v>31</v>
      </c>
      <c r="AI960" s="128" t="s">
        <v>65</v>
      </c>
      <c r="AJ960" s="129" t="s">
        <v>89</v>
      </c>
      <c r="AK960" s="129">
        <v>7</v>
      </c>
      <c r="AL960" s="3" t="s">
        <v>992</v>
      </c>
      <c r="AN960" s="117">
        <v>6</v>
      </c>
      <c r="AP960" s="129" t="s">
        <v>43</v>
      </c>
      <c r="AR960" s="128" t="s">
        <v>44</v>
      </c>
      <c r="AS960" s="129" t="s">
        <v>45</v>
      </c>
      <c r="BC960" s="129" t="s">
        <v>38</v>
      </c>
      <c r="BF960" s="111">
        <f t="shared" si="709"/>
        <v>131</v>
      </c>
      <c r="BG960" s="111">
        <f t="shared" si="710"/>
        <v>131</v>
      </c>
      <c r="BH960" s="111">
        <f t="shared" si="671"/>
        <v>131</v>
      </c>
      <c r="BI960" s="111">
        <f t="shared" si="672"/>
        <v>31.587431693989071</v>
      </c>
      <c r="BJ960" s="129">
        <f t="shared" si="677"/>
        <v>0</v>
      </c>
      <c r="BK960" s="129">
        <f t="shared" si="673"/>
        <v>0</v>
      </c>
      <c r="BL960" s="129" t="str">
        <f t="shared" si="705"/>
        <v>CONVICTION</v>
      </c>
      <c r="BM960" s="129" t="str">
        <f t="shared" si="678"/>
        <v>NONE</v>
      </c>
      <c r="BN960" s="129" t="s">
        <v>566</v>
      </c>
      <c r="BP960" s="137" t="str">
        <f t="shared" si="679"/>
        <v>CONVICTION</v>
      </c>
      <c r="BQ960" s="128" t="str">
        <f t="shared" si="680"/>
        <v>Y</v>
      </c>
      <c r="BR960" s="129" t="str">
        <f t="shared" si="681"/>
        <v>DETAINED</v>
      </c>
      <c r="BS960" s="129" t="str">
        <f t="shared" si="682"/>
        <v>DISPOSED</v>
      </c>
      <c r="BT960" s="129" t="str">
        <f t="shared" si="683"/>
        <v>Y</v>
      </c>
      <c r="BU960" s="109">
        <f t="shared" si="694"/>
        <v>1</v>
      </c>
      <c r="BV960" s="109">
        <f t="shared" si="684"/>
        <v>1</v>
      </c>
      <c r="BW960" s="109">
        <f t="shared" si="707"/>
        <v>0</v>
      </c>
      <c r="BX960" s="111">
        <f t="shared" si="685"/>
        <v>0</v>
      </c>
      <c r="BY960" s="129">
        <f t="shared" si="686"/>
        <v>-131</v>
      </c>
      <c r="BZ960" s="111">
        <f t="shared" si="687"/>
        <v>0</v>
      </c>
      <c r="CA960" s="138">
        <f t="shared" si="688"/>
        <v>131</v>
      </c>
      <c r="CB960" s="111" t="e">
        <f t="shared" si="711"/>
        <v>#VALUE!</v>
      </c>
      <c r="CC960" s="129">
        <f>G960-I960+1</f>
        <v>131</v>
      </c>
      <c r="CD960" s="129">
        <f>G960-J960</f>
        <v>0</v>
      </c>
      <c r="CE960" s="129">
        <f t="shared" si="689"/>
        <v>0</v>
      </c>
      <c r="CG960" s="129" t="str">
        <f t="shared" si="690"/>
        <v>Y</v>
      </c>
      <c r="CI960" s="129" t="str">
        <f t="shared" si="691"/>
        <v>121-365 DAYS</v>
      </c>
      <c r="CJ960" s="137">
        <f t="shared" si="692"/>
        <v>6</v>
      </c>
      <c r="CK960" s="129" t="str">
        <f t="shared" si="693"/>
        <v>Booked</v>
      </c>
    </row>
    <row r="961" spans="1:89" ht="15" customHeight="1" x14ac:dyDescent="0.25">
      <c r="A961" s="111">
        <v>1076</v>
      </c>
      <c r="B961" s="128" t="str">
        <f t="shared" si="674"/>
        <v>N</v>
      </c>
      <c r="C961" s="128" t="str">
        <f t="shared" si="675"/>
        <v>N</v>
      </c>
      <c r="D961" s="117">
        <v>1687360</v>
      </c>
      <c r="E961" s="135">
        <f t="shared" si="676"/>
        <v>2</v>
      </c>
      <c r="F961" s="124">
        <v>40948</v>
      </c>
      <c r="G961" s="125">
        <v>41148</v>
      </c>
      <c r="H961" s="117">
        <v>1687360</v>
      </c>
      <c r="I961" s="124">
        <v>40956</v>
      </c>
      <c r="J961" s="124">
        <v>40962</v>
      </c>
      <c r="K961" s="126">
        <v>70000</v>
      </c>
      <c r="L961" s="129" t="s">
        <v>572</v>
      </c>
      <c r="M961" s="125">
        <v>40962</v>
      </c>
      <c r="N961" s="129" t="str">
        <f>IF(M961&gt;1/1/1,"Y","N")</f>
        <v>Y</v>
      </c>
      <c r="O961" s="128" t="s">
        <v>76</v>
      </c>
      <c r="P961" s="129" t="s">
        <v>589</v>
      </c>
      <c r="Q961" s="111">
        <f t="shared" si="708"/>
        <v>7</v>
      </c>
      <c r="R961" s="111">
        <f t="shared" si="698"/>
        <v>201</v>
      </c>
      <c r="S961" s="129">
        <v>1</v>
      </c>
      <c r="T961" s="129">
        <v>1</v>
      </c>
      <c r="V961" s="117">
        <v>1</v>
      </c>
      <c r="W961" s="111"/>
      <c r="AC961" s="130"/>
      <c r="AD961" s="130">
        <v>25161</v>
      </c>
      <c r="AE961" s="128" t="s">
        <v>32</v>
      </c>
      <c r="AF961" s="128" t="s">
        <v>40</v>
      </c>
      <c r="AG961" s="128" t="s">
        <v>41</v>
      </c>
      <c r="AH961" s="108" t="s">
        <v>41</v>
      </c>
      <c r="AI961" s="128" t="s">
        <v>42</v>
      </c>
      <c r="AJ961" s="129" t="s">
        <v>48</v>
      </c>
      <c r="AK961" s="129">
        <v>8</v>
      </c>
      <c r="AL961" s="3" t="s">
        <v>48</v>
      </c>
      <c r="AP961" s="129" t="s">
        <v>130</v>
      </c>
      <c r="AR961" s="128" t="s">
        <v>92</v>
      </c>
      <c r="AS961" s="129" t="s">
        <v>57</v>
      </c>
      <c r="BC961" s="129" t="s">
        <v>52</v>
      </c>
      <c r="BF961" s="111">
        <f t="shared" si="709"/>
        <v>7</v>
      </c>
      <c r="BG961" s="111">
        <f t="shared" si="710"/>
        <v>193</v>
      </c>
      <c r="BH961" s="111">
        <f t="shared" si="671"/>
        <v>201</v>
      </c>
      <c r="BI961" s="111">
        <f t="shared" si="672"/>
        <v>43.133879781420767</v>
      </c>
      <c r="BJ961" s="129">
        <f>(G961-J961)+(M961-G961)</f>
        <v>0</v>
      </c>
      <c r="BK961" s="129">
        <f t="shared" si="673"/>
        <v>-186</v>
      </c>
      <c r="BL961" s="129" t="str">
        <f t="shared" si="705"/>
        <v>DEFERRED</v>
      </c>
      <c r="BM961" s="129" t="s">
        <v>76</v>
      </c>
      <c r="BN961" s="129" t="s">
        <v>88</v>
      </c>
      <c r="BP961" s="137" t="str">
        <f t="shared" si="679"/>
        <v>DEFERRED</v>
      </c>
      <c r="BQ961" s="128" t="str">
        <f t="shared" si="680"/>
        <v>Y</v>
      </c>
      <c r="BR961" s="129" t="str">
        <f t="shared" si="681"/>
        <v>ON BOND</v>
      </c>
      <c r="BS961" s="129" t="str">
        <f t="shared" si="682"/>
        <v>DISPOSED</v>
      </c>
      <c r="BT961" s="129" t="str">
        <f t="shared" si="683"/>
        <v>Y</v>
      </c>
      <c r="BU961" s="109">
        <f t="shared" si="694"/>
        <v>3.482587064676617E-2</v>
      </c>
      <c r="BV961" s="109">
        <f t="shared" si="684"/>
        <v>3.6269430051813469E-2</v>
      </c>
      <c r="BW961" s="109">
        <f t="shared" si="707"/>
        <v>1.4435594050472983E-3</v>
      </c>
      <c r="BX961" s="111">
        <f t="shared" si="685"/>
        <v>0</v>
      </c>
      <c r="BY961" s="129">
        <f t="shared" si="686"/>
        <v>-7</v>
      </c>
      <c r="BZ961" s="111">
        <f t="shared" si="687"/>
        <v>0</v>
      </c>
      <c r="CA961" s="138">
        <f t="shared" si="688"/>
        <v>7</v>
      </c>
      <c r="CB961" s="111" t="e">
        <f t="shared" si="711"/>
        <v>#VALUE!</v>
      </c>
      <c r="CC961" s="129">
        <f>M961-I961+1</f>
        <v>7</v>
      </c>
      <c r="CD961" s="111">
        <f>CC961-BF961</f>
        <v>0</v>
      </c>
      <c r="CE961" s="129">
        <f t="shared" si="689"/>
        <v>186</v>
      </c>
      <c r="CG961" s="129" t="str">
        <f t="shared" si="690"/>
        <v>Y</v>
      </c>
      <c r="CI961" s="129" t="str">
        <f t="shared" si="691"/>
        <v>0-10 DAYS</v>
      </c>
      <c r="CJ961" s="137">
        <f t="shared" si="692"/>
        <v>1</v>
      </c>
      <c r="CK961" s="129" t="str">
        <f t="shared" si="693"/>
        <v>Booked</v>
      </c>
    </row>
    <row r="962" spans="1:89" ht="15" customHeight="1" x14ac:dyDescent="0.25">
      <c r="A962" s="111">
        <v>1976</v>
      </c>
      <c r="B962" s="128" t="str">
        <f t="shared" si="674"/>
        <v>N</v>
      </c>
      <c r="C962" s="128" t="str">
        <f t="shared" si="675"/>
        <v>N</v>
      </c>
      <c r="D962" s="117">
        <v>1688292</v>
      </c>
      <c r="E962" s="135">
        <f t="shared" si="676"/>
        <v>4</v>
      </c>
      <c r="F962" s="124">
        <v>40982</v>
      </c>
      <c r="G962" s="125">
        <v>41142</v>
      </c>
      <c r="H962" s="117">
        <v>1688292</v>
      </c>
      <c r="I962" s="124">
        <v>40983</v>
      </c>
      <c r="J962" s="124">
        <v>41142</v>
      </c>
      <c r="K962" s="126">
        <v>15000</v>
      </c>
      <c r="L962" s="127" t="s">
        <v>571</v>
      </c>
      <c r="N962" s="129" t="str">
        <f>IF(M962&gt;1/1/1,"Y","N")</f>
        <v>N</v>
      </c>
      <c r="O962" s="128" t="s">
        <v>917</v>
      </c>
      <c r="P962" s="129" t="s">
        <v>39</v>
      </c>
      <c r="Q962" s="111">
        <f t="shared" si="708"/>
        <v>160</v>
      </c>
      <c r="R962" s="111">
        <f t="shared" si="698"/>
        <v>161</v>
      </c>
      <c r="S962" s="129">
        <v>4</v>
      </c>
      <c r="T962" s="129">
        <v>3</v>
      </c>
      <c r="U962" s="129">
        <v>3</v>
      </c>
      <c r="W962" s="111"/>
      <c r="AC962" s="130"/>
      <c r="AD962" s="130">
        <v>28959</v>
      </c>
      <c r="AE962" s="128" t="s">
        <v>32</v>
      </c>
      <c r="AF962" s="128" t="s">
        <v>33</v>
      </c>
      <c r="AG962" s="128" t="s">
        <v>872</v>
      </c>
      <c r="AH962" s="108" t="s">
        <v>31</v>
      </c>
      <c r="AI962" s="128" t="s">
        <v>85</v>
      </c>
      <c r="AJ962" s="129" t="s">
        <v>89</v>
      </c>
      <c r="AK962" s="129">
        <v>6</v>
      </c>
      <c r="AL962" s="3" t="s">
        <v>991</v>
      </c>
      <c r="AO962" s="128">
        <v>365</v>
      </c>
      <c r="AP962" s="129" t="s">
        <v>397</v>
      </c>
      <c r="AS962" s="129" t="s">
        <v>61</v>
      </c>
      <c r="BC962" s="129" t="s">
        <v>38</v>
      </c>
      <c r="BF962" s="111">
        <f t="shared" si="709"/>
        <v>160</v>
      </c>
      <c r="BG962" s="111">
        <f t="shared" si="710"/>
        <v>160</v>
      </c>
      <c r="BH962" s="111">
        <f t="shared" ref="BH962:BH1024" si="712">IF(G962&gt;1/1/1900,((G962+1)-F962),"STILL OPEN")</f>
        <v>161</v>
      </c>
      <c r="BI962" s="111">
        <f t="shared" ref="BI962:BI1024" si="713">(F962-AD962)/366</f>
        <v>32.849726775956285</v>
      </c>
      <c r="BJ962" s="129">
        <f t="shared" si="677"/>
        <v>0</v>
      </c>
      <c r="BK962" s="129">
        <f t="shared" ref="BK962:BK1024" si="714">J962-G962</f>
        <v>0</v>
      </c>
      <c r="BL962" s="129" t="str">
        <f t="shared" si="705"/>
        <v>CONVICTION</v>
      </c>
      <c r="BM962" s="129" t="str">
        <f t="shared" si="678"/>
        <v>NONE</v>
      </c>
      <c r="BN962" s="129" t="s">
        <v>566</v>
      </c>
      <c r="BP962" s="137" t="str">
        <f t="shared" si="679"/>
        <v>CONVICTION</v>
      </c>
      <c r="BQ962" s="128" t="str">
        <f t="shared" si="680"/>
        <v>Y</v>
      </c>
      <c r="BR962" s="129" t="str">
        <f t="shared" si="681"/>
        <v>DETAINED</v>
      </c>
      <c r="BS962" s="129" t="str">
        <f t="shared" si="682"/>
        <v>DISPOSED</v>
      </c>
      <c r="BT962" s="129" t="str">
        <f t="shared" si="683"/>
        <v>Y</v>
      </c>
      <c r="BU962" s="109">
        <f t="shared" si="694"/>
        <v>0.99378881987577639</v>
      </c>
      <c r="BV962" s="109">
        <f t="shared" si="684"/>
        <v>1</v>
      </c>
      <c r="BW962" s="109">
        <f t="shared" si="707"/>
        <v>6.2111801242236142E-3</v>
      </c>
      <c r="BX962" s="111">
        <f t="shared" si="685"/>
        <v>0</v>
      </c>
      <c r="BY962" s="129">
        <f t="shared" si="686"/>
        <v>-160</v>
      </c>
      <c r="BZ962" s="111">
        <f t="shared" si="687"/>
        <v>0</v>
      </c>
      <c r="CA962" s="138">
        <f t="shared" si="688"/>
        <v>160</v>
      </c>
      <c r="CB962" s="111" t="e">
        <f t="shared" si="711"/>
        <v>#VALUE!</v>
      </c>
      <c r="CC962" s="129">
        <f>G962-I962+1</f>
        <v>160</v>
      </c>
      <c r="CD962" s="129">
        <f>G962-J962</f>
        <v>0</v>
      </c>
      <c r="CE962" s="129">
        <f t="shared" si="689"/>
        <v>0</v>
      </c>
      <c r="CG962" s="129" t="str">
        <f t="shared" si="690"/>
        <v>Y</v>
      </c>
      <c r="CI962" s="129" t="str">
        <f t="shared" si="691"/>
        <v>121-365 DAYS</v>
      </c>
      <c r="CJ962" s="137">
        <f t="shared" si="692"/>
        <v>6</v>
      </c>
      <c r="CK962" s="129" t="str">
        <f t="shared" si="693"/>
        <v>Booked</v>
      </c>
    </row>
    <row r="963" spans="1:89" ht="15" customHeight="1" x14ac:dyDescent="0.25">
      <c r="A963" s="111">
        <v>1270</v>
      </c>
      <c r="B963" s="128" t="str">
        <f t="shared" ref="B963:B1025" si="715">IF(BD963&lt;&gt;"","Y","N")</f>
        <v>N</v>
      </c>
      <c r="C963" s="128" t="str">
        <f t="shared" ref="C963:C1025" si="716">IF((AND(AV963="",AX963="",AY963="")),"N","Y")</f>
        <v>N</v>
      </c>
      <c r="D963" s="117">
        <v>1689876</v>
      </c>
      <c r="E963" s="135">
        <f t="shared" ref="E963:E1025" si="717">IF(OR(AL963="ACQUITTAL",AL963="ACQUIT",AL963="acq insane",AL963="DISMISSED",AL963="NO BILL"),1,IF(AL963="DEFERRED",2,IF(AL963="PROBATION",3,IF(OR(AL963="HCJ",AL963="fine"),4,IF(AL963="STJ",5,IF(AL963="TDC",6,""))))))</f>
        <v>1</v>
      </c>
      <c r="F963" s="124">
        <v>40955</v>
      </c>
      <c r="G963" s="125">
        <v>40981</v>
      </c>
      <c r="H963" s="117">
        <v>1689876</v>
      </c>
      <c r="I963" s="124">
        <v>40955</v>
      </c>
      <c r="J963" s="124">
        <v>40981</v>
      </c>
      <c r="K963" s="126">
        <v>15000</v>
      </c>
      <c r="L963" s="127" t="s">
        <v>571</v>
      </c>
      <c r="N963" s="129" t="str">
        <f>IF(M963&gt;1/1/1,"Y","N")</f>
        <v>N</v>
      </c>
      <c r="O963" s="128" t="s">
        <v>917</v>
      </c>
      <c r="P963" s="129" t="s">
        <v>55</v>
      </c>
      <c r="Q963" s="111">
        <f t="shared" si="708"/>
        <v>27</v>
      </c>
      <c r="R963" s="111">
        <f t="shared" si="698"/>
        <v>27</v>
      </c>
      <c r="S963" s="129">
        <v>0</v>
      </c>
      <c r="T963" s="129">
        <v>1</v>
      </c>
      <c r="W963" s="111"/>
      <c r="AC963" s="130"/>
      <c r="AD963" s="130">
        <v>27527</v>
      </c>
      <c r="AE963" s="128" t="s">
        <v>32</v>
      </c>
      <c r="AF963" s="128" t="s">
        <v>33</v>
      </c>
      <c r="AG963" s="128" t="s">
        <v>872</v>
      </c>
      <c r="AH963" s="108" t="s">
        <v>58</v>
      </c>
      <c r="AI963" s="128" t="s">
        <v>65</v>
      </c>
      <c r="AJ963" s="129" t="s">
        <v>55</v>
      </c>
      <c r="AK963" s="129">
        <v>2</v>
      </c>
      <c r="AL963" s="3" t="s">
        <v>55</v>
      </c>
      <c r="AP963" s="129" t="s">
        <v>121</v>
      </c>
      <c r="AR963" s="128" t="s">
        <v>44</v>
      </c>
      <c r="AS963" s="129" t="s">
        <v>122</v>
      </c>
      <c r="AX963" s="32"/>
      <c r="BC963" s="129" t="s">
        <v>38</v>
      </c>
      <c r="BF963" s="111">
        <f t="shared" si="709"/>
        <v>27</v>
      </c>
      <c r="BG963" s="111">
        <f t="shared" si="710"/>
        <v>27</v>
      </c>
      <c r="BH963" s="111">
        <f t="shared" si="712"/>
        <v>27</v>
      </c>
      <c r="BI963" s="111">
        <f t="shared" si="713"/>
        <v>36.688524590163937</v>
      </c>
      <c r="BJ963" s="129">
        <f t="shared" ref="BJ963:BJ1025" si="718">G963-J963-M963</f>
        <v>0</v>
      </c>
      <c r="BK963" s="129">
        <f t="shared" si="714"/>
        <v>0</v>
      </c>
      <c r="BL963" s="129" t="str">
        <f t="shared" si="705"/>
        <v>NO CONVICTION</v>
      </c>
      <c r="BM963" s="129" t="str">
        <f t="shared" ref="BM963:BM1025" si="719">O963</f>
        <v>NONE</v>
      </c>
      <c r="BN963" s="129" t="s">
        <v>566</v>
      </c>
      <c r="BP963" s="137" t="str">
        <f t="shared" ref="BP963:BP1025" si="720">IF(OR(AJ963="AQUITTAL",AJ963="DISMISSED",AJ963="FINE",AJ963="NO BILL"),"NO CONVICTION",IF(OR(AJ963="HCJ",AJ963="MHH",AJ963="PROBATION",AJ963="STJ",AJ963="TDC",AJ963="CONVICTED"),"CONVICTION",IF(AJ963="DEFERRED","DEFERRED","")))</f>
        <v>NO CONVICTION</v>
      </c>
      <c r="BQ963" s="128" t="str">
        <f t="shared" ref="BQ963:BQ1025" si="721">IF(BF963&gt;0,"Y",BF963)</f>
        <v>Y</v>
      </c>
      <c r="BR963" s="129" t="str">
        <f t="shared" ref="BR963:BR1025" si="722">IF(AND(J963="NOT BOOKED",M963&gt;1/1/1),"BONDED - BEFORE BOOKED",IF(BG963="STILL OPEN","STILL OPEN",IF(N963="Y","ON BOND",IF(J963&gt;=G963,"DETAINED","RELEASED"))))</f>
        <v>DETAINED</v>
      </c>
      <c r="BS963" s="129" t="str">
        <f t="shared" ref="BS963:BS1025" si="723">IF(G963&lt;&gt;"","DISPOSED","")</f>
        <v>DISPOSED</v>
      </c>
      <c r="BT963" s="129" t="str">
        <f t="shared" ref="BT963:BT1025" si="724">IF(S963&gt;0,"Y","N")</f>
        <v>N</v>
      </c>
      <c r="BU963" s="109">
        <f>IFERROR(Q963/R963,BR963)</f>
        <v>1</v>
      </c>
      <c r="BV963" s="109">
        <f t="shared" ref="BV963:BV1025" si="725">IF(I963&gt;F963,((J963-I963+1)/(G963-I963+1)),(J963-I963+1)/(G963-F963+1))</f>
        <v>1</v>
      </c>
      <c r="BW963" s="109">
        <f t="shared" si="707"/>
        <v>0</v>
      </c>
      <c r="BX963" s="111">
        <f t="shared" ref="BX963:BX1025" si="726">+Q963-BF963</f>
        <v>0</v>
      </c>
      <c r="BY963" s="129">
        <f t="shared" ref="BY963:BY1025" si="727">I963-J963-1</f>
        <v>-27</v>
      </c>
      <c r="BZ963" s="111">
        <f t="shared" ref="BZ963:BZ1025" si="728">BY963+BF963</f>
        <v>0</v>
      </c>
      <c r="CA963" s="138">
        <f t="shared" ref="CA963:CA1025" si="729">IF(AND(BS963="DISPOSED",BR963="DETAINED"),G963-I963+1,IF(AND(BS963="DISPOSED",BR963="ON BOND"),M963-I963+1,IF(AND(BS963="STILL OPEN","STILL OPEN"),"NOT BOOKED")))</f>
        <v>27</v>
      </c>
      <c r="CB963" s="111" t="e">
        <f t="shared" si="711"/>
        <v>#VALUE!</v>
      </c>
      <c r="CC963" s="129">
        <f>G963-I963+1</f>
        <v>27</v>
      </c>
      <c r="CD963" s="129">
        <f>G963-J963</f>
        <v>0</v>
      </c>
      <c r="CE963" s="129">
        <f t="shared" ref="CE963:CE1025" si="730">G963-J963</f>
        <v>0</v>
      </c>
      <c r="CG963" s="129" t="str">
        <f t="shared" ref="CG963:CG1025" si="731">IF((S963+T963+U963)&gt;0,"Y","N")</f>
        <v>Y</v>
      </c>
      <c r="CI963" s="129" t="str">
        <f t="shared" ref="CI963:CI1026" si="732">IF(BF963&lt;11,"0-10 DAYS",IF(AND(BF963&gt;10,BF963&lt;31),"11-30 DAYS",IF((AND(BF963&gt;30,BF963&lt;61)),"31-60 DAYS",IF(AND(BF963&gt;60,BF963&lt;91),"61-90 DAYS",IF(AND(BF963&gt;90,BF963&lt;121),"91-120 DAYS",IF(AND(BF963&gt;120,BF963&lt;366),"121-365 DAYS",IF(AND(BF963&gt;365,BF963&lt;730)," &gt;1YRS&lt;2YRS",IF(AND(BF963&gt;729,BF963&lt;1095),"&gt;2YRS&lt;3YRS",IF(BF963&gt;1094,"&gt;3YRS")))))))))</f>
        <v>11-30 DAYS</v>
      </c>
      <c r="CJ963" s="137">
        <f t="shared" ref="CJ963:CJ1026" si="733">IF(CI963="0-10 DAYS",1,IF(CI963="11-30 DAYS",2,IF(CI963="31-60 DAYS",3,IF(CI963="61-90 DAYS",4,IF(CK963="91-120 DAYS",5,IF(CI963="121-365 DAYS",6,IF(CI963="&gt;1YRS&lt;2YRS",7,IF(CI963="&gt;2YRS&lt;3YRS",8,IF(CI963="&gt;3YRS",9,0)))))))))</f>
        <v>2</v>
      </c>
      <c r="CK963" s="129" t="str">
        <f t="shared" ref="CK963:CK1026" si="734">IF(I963="Not Booked","Not Booked","Booked")</f>
        <v>Booked</v>
      </c>
    </row>
    <row r="964" spans="1:89" ht="15.75" customHeight="1" x14ac:dyDescent="0.25">
      <c r="A964" s="111">
        <v>1044</v>
      </c>
      <c r="B964" s="128" t="str">
        <f t="shared" si="715"/>
        <v>N</v>
      </c>
      <c r="C964" s="128" t="str">
        <f t="shared" si="716"/>
        <v>N</v>
      </c>
      <c r="D964" s="117">
        <v>1691181</v>
      </c>
      <c r="E964" s="135">
        <f t="shared" si="717"/>
        <v>4</v>
      </c>
      <c r="F964" s="124">
        <v>40947</v>
      </c>
      <c r="G964" s="125">
        <v>41008</v>
      </c>
      <c r="H964" s="117">
        <v>1691181</v>
      </c>
      <c r="I964" s="124">
        <v>40947</v>
      </c>
      <c r="J964" s="124">
        <v>41008</v>
      </c>
      <c r="K964" s="126" t="s">
        <v>564</v>
      </c>
      <c r="L964" s="127" t="s">
        <v>564</v>
      </c>
      <c r="N964" s="129" t="s">
        <v>566</v>
      </c>
      <c r="O964" s="128" t="s">
        <v>917</v>
      </c>
      <c r="P964" s="129" t="s">
        <v>39</v>
      </c>
      <c r="Q964" s="111">
        <f t="shared" si="708"/>
        <v>62</v>
      </c>
      <c r="R964" s="111">
        <f t="shared" si="698"/>
        <v>62</v>
      </c>
      <c r="S964" s="129">
        <v>0</v>
      </c>
      <c r="T964" s="129">
        <v>0</v>
      </c>
      <c r="W964" s="111"/>
      <c r="AC964" s="130"/>
      <c r="AD964" s="130">
        <v>25899</v>
      </c>
      <c r="AE964" s="128" t="s">
        <v>32</v>
      </c>
      <c r="AF964" s="128" t="s">
        <v>40</v>
      </c>
      <c r="AG964" s="128" t="s">
        <v>41</v>
      </c>
      <c r="AH964" s="108" t="s">
        <v>41</v>
      </c>
      <c r="AI964" s="128" t="s">
        <v>70</v>
      </c>
      <c r="AJ964" s="129" t="s">
        <v>89</v>
      </c>
      <c r="AK964" s="129">
        <v>3</v>
      </c>
      <c r="AL964" s="3" t="s">
        <v>991</v>
      </c>
      <c r="AO964" s="128">
        <v>120</v>
      </c>
      <c r="AP964" s="129" t="s">
        <v>43</v>
      </c>
      <c r="AR964" s="128" t="s">
        <v>44</v>
      </c>
      <c r="AS964" s="129" t="s">
        <v>45</v>
      </c>
      <c r="BC964" s="129" t="s">
        <v>52</v>
      </c>
      <c r="BF964" s="111">
        <f t="shared" si="709"/>
        <v>62</v>
      </c>
      <c r="BG964" s="111">
        <f t="shared" si="710"/>
        <v>62</v>
      </c>
      <c r="BH964" s="111">
        <f t="shared" si="712"/>
        <v>62</v>
      </c>
      <c r="BI964" s="111">
        <f t="shared" si="713"/>
        <v>41.114754098360656</v>
      </c>
      <c r="BJ964" s="129">
        <f t="shared" si="718"/>
        <v>0</v>
      </c>
      <c r="BK964" s="129">
        <f t="shared" si="714"/>
        <v>0</v>
      </c>
      <c r="BL964" s="129" t="str">
        <f t="shared" si="705"/>
        <v>CONVICTION</v>
      </c>
      <c r="BM964" s="129" t="str">
        <f t="shared" si="719"/>
        <v>NONE</v>
      </c>
      <c r="BN964" s="129" t="s">
        <v>566</v>
      </c>
      <c r="BP964" s="137" t="str">
        <f t="shared" si="720"/>
        <v>CONVICTION</v>
      </c>
      <c r="BQ964" s="128" t="str">
        <f t="shared" si="721"/>
        <v>Y</v>
      </c>
      <c r="BR964" s="129" t="str">
        <f t="shared" si="722"/>
        <v>DETAINED</v>
      </c>
      <c r="BS964" s="129" t="str">
        <f t="shared" si="723"/>
        <v>DISPOSED</v>
      </c>
      <c r="BT964" s="129" t="str">
        <f t="shared" si="724"/>
        <v>N</v>
      </c>
      <c r="BU964" s="109">
        <f t="shared" ref="BU964:BU1025" si="735">Q964/R964</f>
        <v>1</v>
      </c>
      <c r="BV964" s="109">
        <f t="shared" si="725"/>
        <v>1</v>
      </c>
      <c r="BW964" s="109">
        <f t="shared" si="707"/>
        <v>0</v>
      </c>
      <c r="BX964" s="111">
        <f t="shared" si="726"/>
        <v>0</v>
      </c>
      <c r="BY964" s="129">
        <f t="shared" si="727"/>
        <v>-62</v>
      </c>
      <c r="BZ964" s="111">
        <f t="shared" si="728"/>
        <v>0</v>
      </c>
      <c r="CA964" s="138">
        <f t="shared" si="729"/>
        <v>62</v>
      </c>
      <c r="CB964" s="111" t="e">
        <f t="shared" si="711"/>
        <v>#VALUE!</v>
      </c>
      <c r="CC964" s="129">
        <f>G964-I964+1</f>
        <v>62</v>
      </c>
      <c r="CD964" s="129">
        <f>G964-J964</f>
        <v>0</v>
      </c>
      <c r="CE964" s="129">
        <f t="shared" si="730"/>
        <v>0</v>
      </c>
      <c r="CG964" s="129" t="str">
        <f t="shared" si="731"/>
        <v>N</v>
      </c>
      <c r="CI964" s="129" t="str">
        <f t="shared" si="732"/>
        <v>61-90 DAYS</v>
      </c>
      <c r="CJ964" s="137">
        <f t="shared" si="733"/>
        <v>4</v>
      </c>
      <c r="CK964" s="129" t="str">
        <f t="shared" si="734"/>
        <v>Booked</v>
      </c>
    </row>
    <row r="965" spans="1:89" ht="15.75" customHeight="1" x14ac:dyDescent="0.25">
      <c r="A965" s="111">
        <v>1019</v>
      </c>
      <c r="B965" s="128" t="str">
        <f t="shared" si="715"/>
        <v>N</v>
      </c>
      <c r="C965" s="128" t="str">
        <f t="shared" si="716"/>
        <v>N</v>
      </c>
      <c r="D965" s="117">
        <v>1691293</v>
      </c>
      <c r="E965" s="135">
        <f t="shared" si="717"/>
        <v>1</v>
      </c>
      <c r="F965" s="124">
        <v>40947</v>
      </c>
      <c r="G965" s="125">
        <v>41045</v>
      </c>
      <c r="H965" s="117">
        <v>1691293</v>
      </c>
      <c r="I965" s="124">
        <v>40947</v>
      </c>
      <c r="J965" s="124">
        <v>40948</v>
      </c>
      <c r="K965" s="126">
        <v>15000</v>
      </c>
      <c r="L965" s="127" t="s">
        <v>571</v>
      </c>
      <c r="M965" s="125">
        <v>40948</v>
      </c>
      <c r="N965" s="129" t="str">
        <f t="shared" ref="N965:N974" si="736">IF(M965&gt;1/1/1,"Y","N")</f>
        <v>Y</v>
      </c>
      <c r="O965" s="128" t="s">
        <v>585</v>
      </c>
      <c r="P965" s="129" t="s">
        <v>55</v>
      </c>
      <c r="Q965" s="111">
        <f t="shared" si="708"/>
        <v>2</v>
      </c>
      <c r="R965" s="111">
        <f t="shared" si="698"/>
        <v>99</v>
      </c>
      <c r="S965" s="129">
        <v>4</v>
      </c>
      <c r="T965" s="129">
        <v>6</v>
      </c>
      <c r="U965" s="129">
        <v>3</v>
      </c>
      <c r="W965" s="111"/>
      <c r="AC965" s="130"/>
      <c r="AD965" s="130">
        <v>26567</v>
      </c>
      <c r="AE965" s="128" t="s">
        <v>32</v>
      </c>
      <c r="AF965" s="128" t="s">
        <v>33</v>
      </c>
      <c r="AG965" s="128" t="s">
        <v>872</v>
      </c>
      <c r="AH965" s="108" t="s">
        <v>31</v>
      </c>
      <c r="AI965" s="128" t="s">
        <v>53</v>
      </c>
      <c r="AJ965" s="129" t="s">
        <v>55</v>
      </c>
      <c r="AK965" s="129">
        <v>6</v>
      </c>
      <c r="AL965" s="3" t="s">
        <v>55</v>
      </c>
      <c r="AP965" s="129" t="s">
        <v>175</v>
      </c>
      <c r="AR965" s="128" t="s">
        <v>44</v>
      </c>
      <c r="AS965" s="129" t="s">
        <v>45</v>
      </c>
      <c r="BC965" s="129" t="s">
        <v>52</v>
      </c>
      <c r="BF965" s="111">
        <f t="shared" si="709"/>
        <v>2</v>
      </c>
      <c r="BG965" s="111">
        <f t="shared" si="710"/>
        <v>99</v>
      </c>
      <c r="BH965" s="111">
        <f t="shared" si="712"/>
        <v>99</v>
      </c>
      <c r="BI965" s="111">
        <f t="shared" si="713"/>
        <v>39.289617486338798</v>
      </c>
      <c r="BJ965" s="129">
        <f>(G965-J965)+(M965-G965)</f>
        <v>0</v>
      </c>
      <c r="BK965" s="129">
        <f t="shared" si="714"/>
        <v>-97</v>
      </c>
      <c r="BL965" s="129" t="str">
        <f t="shared" si="705"/>
        <v>NO CONVICTION</v>
      </c>
      <c r="BM965" s="129" t="s">
        <v>76</v>
      </c>
      <c r="BN965" s="129" t="s">
        <v>88</v>
      </c>
      <c r="BP965" s="137" t="str">
        <f t="shared" si="720"/>
        <v>NO CONVICTION</v>
      </c>
      <c r="BQ965" s="128" t="str">
        <f t="shared" si="721"/>
        <v>Y</v>
      </c>
      <c r="BR965" s="129" t="str">
        <f t="shared" si="722"/>
        <v>ON BOND</v>
      </c>
      <c r="BS965" s="129" t="str">
        <f t="shared" si="723"/>
        <v>DISPOSED</v>
      </c>
      <c r="BT965" s="129" t="str">
        <f t="shared" si="724"/>
        <v>Y</v>
      </c>
      <c r="BU965" s="109">
        <f>IFERROR(Q965/R965,BR965)</f>
        <v>2.0202020202020204E-2</v>
      </c>
      <c r="BV965" s="109">
        <f t="shared" si="725"/>
        <v>2.0202020202020204E-2</v>
      </c>
      <c r="BW965" s="109">
        <f t="shared" si="707"/>
        <v>0</v>
      </c>
      <c r="BX965" s="111">
        <f t="shared" si="726"/>
        <v>0</v>
      </c>
      <c r="BY965" s="129">
        <f t="shared" si="727"/>
        <v>-2</v>
      </c>
      <c r="BZ965" s="111">
        <f t="shared" si="728"/>
        <v>0</v>
      </c>
      <c r="CA965" s="138">
        <f t="shared" si="729"/>
        <v>2</v>
      </c>
      <c r="CB965" s="111" t="e">
        <f t="shared" si="711"/>
        <v>#VALUE!</v>
      </c>
      <c r="CC965" s="129">
        <f>M965-I965+1</f>
        <v>2</v>
      </c>
      <c r="CD965" s="111">
        <f>CC965-BF965</f>
        <v>0</v>
      </c>
      <c r="CE965" s="129">
        <f t="shared" si="730"/>
        <v>97</v>
      </c>
      <c r="CG965" s="129" t="str">
        <f t="shared" si="731"/>
        <v>Y</v>
      </c>
      <c r="CI965" s="129" t="str">
        <f t="shared" si="732"/>
        <v>0-10 DAYS</v>
      </c>
      <c r="CJ965" s="137">
        <f t="shared" si="733"/>
        <v>1</v>
      </c>
      <c r="CK965" s="129" t="str">
        <f t="shared" si="734"/>
        <v>Booked</v>
      </c>
    </row>
    <row r="966" spans="1:89" ht="15.75" customHeight="1" x14ac:dyDescent="0.25">
      <c r="A966" s="111">
        <v>3009</v>
      </c>
      <c r="B966" s="128" t="str">
        <f t="shared" si="715"/>
        <v>N</v>
      </c>
      <c r="C966" s="128" t="str">
        <f t="shared" si="716"/>
        <v>N</v>
      </c>
      <c r="D966" s="117">
        <v>1691833</v>
      </c>
      <c r="E966" s="135">
        <f t="shared" si="717"/>
        <v>6</v>
      </c>
      <c r="F966" s="124">
        <v>41019</v>
      </c>
      <c r="G966" s="125">
        <v>41073</v>
      </c>
      <c r="H966" s="117">
        <v>1691833</v>
      </c>
      <c r="I966" s="124">
        <v>41020</v>
      </c>
      <c r="J966" s="124">
        <v>41073</v>
      </c>
      <c r="K966" s="126">
        <v>3000</v>
      </c>
      <c r="L966" s="127" t="s">
        <v>569</v>
      </c>
      <c r="N966" s="129" t="str">
        <f t="shared" si="736"/>
        <v>N</v>
      </c>
      <c r="O966" s="128" t="s">
        <v>917</v>
      </c>
      <c r="P966" s="129" t="s">
        <v>39</v>
      </c>
      <c r="Q966" s="111">
        <f t="shared" si="708"/>
        <v>54</v>
      </c>
      <c r="R966" s="111">
        <f t="shared" si="698"/>
        <v>55</v>
      </c>
      <c r="S966" s="129">
        <v>7</v>
      </c>
      <c r="T966" s="129">
        <v>3</v>
      </c>
      <c r="U966" s="129">
        <v>3</v>
      </c>
      <c r="W966" s="111"/>
      <c r="AC966" s="130"/>
      <c r="AD966" s="130">
        <v>25550</v>
      </c>
      <c r="AE966" s="128" t="s">
        <v>46</v>
      </c>
      <c r="AF966" s="128" t="s">
        <v>33</v>
      </c>
      <c r="AG966" s="128" t="s">
        <v>872</v>
      </c>
      <c r="AH966" s="108" t="s">
        <v>31</v>
      </c>
      <c r="AI966" s="128" t="s">
        <v>114</v>
      </c>
      <c r="AJ966" s="129" t="s">
        <v>89</v>
      </c>
      <c r="AK966" s="129">
        <v>3</v>
      </c>
      <c r="AL966" s="3" t="s">
        <v>362</v>
      </c>
      <c r="AM966" s="117">
        <v>2</v>
      </c>
      <c r="AP966" s="129" t="s">
        <v>186</v>
      </c>
      <c r="AR966" s="128" t="s">
        <v>50</v>
      </c>
      <c r="AS966" s="129" t="s">
        <v>106</v>
      </c>
      <c r="BC966" s="129" t="s">
        <v>38</v>
      </c>
      <c r="BF966" s="111">
        <f t="shared" si="709"/>
        <v>54</v>
      </c>
      <c r="BG966" s="111">
        <f t="shared" si="710"/>
        <v>54</v>
      </c>
      <c r="BH966" s="111">
        <f t="shared" si="712"/>
        <v>55</v>
      </c>
      <c r="BI966" s="111">
        <f t="shared" si="713"/>
        <v>42.265027322404372</v>
      </c>
      <c r="BJ966" s="129">
        <f t="shared" si="718"/>
        <v>0</v>
      </c>
      <c r="BK966" s="129">
        <f t="shared" si="714"/>
        <v>0</v>
      </c>
      <c r="BL966" s="129" t="str">
        <f t="shared" si="705"/>
        <v>CONVICTION</v>
      </c>
      <c r="BM966" s="129" t="str">
        <f t="shared" si="719"/>
        <v>NONE</v>
      </c>
      <c r="BN966" s="129" t="s">
        <v>566</v>
      </c>
      <c r="BP966" s="137" t="str">
        <f t="shared" si="720"/>
        <v>CONVICTION</v>
      </c>
      <c r="BQ966" s="128" t="str">
        <f t="shared" si="721"/>
        <v>Y</v>
      </c>
      <c r="BR966" s="129" t="str">
        <f t="shared" si="722"/>
        <v>DETAINED</v>
      </c>
      <c r="BS966" s="129" t="str">
        <f t="shared" si="723"/>
        <v>DISPOSED</v>
      </c>
      <c r="BT966" s="129" t="str">
        <f t="shared" si="724"/>
        <v>Y</v>
      </c>
      <c r="BU966" s="109">
        <f t="shared" si="735"/>
        <v>0.98181818181818181</v>
      </c>
      <c r="BV966" s="109">
        <f t="shared" si="725"/>
        <v>1</v>
      </c>
      <c r="BW966" s="109">
        <f t="shared" si="707"/>
        <v>1.8181818181818188E-2</v>
      </c>
      <c r="BX966" s="111">
        <f t="shared" si="726"/>
        <v>0</v>
      </c>
      <c r="BY966" s="129">
        <f t="shared" si="727"/>
        <v>-54</v>
      </c>
      <c r="BZ966" s="111">
        <f t="shared" si="728"/>
        <v>0</v>
      </c>
      <c r="CA966" s="138">
        <f t="shared" si="729"/>
        <v>54</v>
      </c>
      <c r="CB966" s="111" t="e">
        <f t="shared" si="711"/>
        <v>#VALUE!</v>
      </c>
      <c r="CC966" s="129">
        <f>G966-I966+1</f>
        <v>54</v>
      </c>
      <c r="CD966" s="129">
        <f>G966-J966</f>
        <v>0</v>
      </c>
      <c r="CE966" s="129">
        <f t="shared" si="730"/>
        <v>0</v>
      </c>
      <c r="CG966" s="129" t="str">
        <f t="shared" si="731"/>
        <v>Y</v>
      </c>
      <c r="CI966" s="129" t="str">
        <f t="shared" si="732"/>
        <v>31-60 DAYS</v>
      </c>
      <c r="CJ966" s="137">
        <f t="shared" si="733"/>
        <v>3</v>
      </c>
      <c r="CK966" s="129" t="str">
        <f t="shared" si="734"/>
        <v>Booked</v>
      </c>
    </row>
    <row r="967" spans="1:89" ht="15.75" customHeight="1" x14ac:dyDescent="0.25">
      <c r="A967" s="111">
        <v>9</v>
      </c>
      <c r="B967" s="128" t="str">
        <f t="shared" si="715"/>
        <v>N</v>
      </c>
      <c r="C967" s="128" t="str">
        <f t="shared" si="716"/>
        <v>N</v>
      </c>
      <c r="D967" s="117">
        <v>1692124</v>
      </c>
      <c r="E967" s="135">
        <f t="shared" si="717"/>
        <v>6</v>
      </c>
      <c r="F967" s="124">
        <v>40909</v>
      </c>
      <c r="G967" s="125">
        <v>41206</v>
      </c>
      <c r="H967" s="117">
        <v>1692124</v>
      </c>
      <c r="I967" s="124">
        <v>40910</v>
      </c>
      <c r="J967" s="125">
        <v>41206</v>
      </c>
      <c r="K967" s="126">
        <v>35000</v>
      </c>
      <c r="L967" s="129" t="s">
        <v>572</v>
      </c>
      <c r="N967" s="129" t="str">
        <f t="shared" si="736"/>
        <v>N</v>
      </c>
      <c r="O967" s="128" t="s">
        <v>917</v>
      </c>
      <c r="P967" s="129" t="s">
        <v>39</v>
      </c>
      <c r="Q967" s="111">
        <f t="shared" si="708"/>
        <v>297</v>
      </c>
      <c r="R967" s="111">
        <f t="shared" si="698"/>
        <v>298</v>
      </c>
      <c r="S967" s="129">
        <v>1</v>
      </c>
      <c r="T967" s="129">
        <v>5</v>
      </c>
      <c r="W967" s="111"/>
      <c r="AC967" s="130"/>
      <c r="AD967" s="130">
        <v>27757</v>
      </c>
      <c r="AE967" s="128" t="s">
        <v>32</v>
      </c>
      <c r="AF967" s="128" t="s">
        <v>40</v>
      </c>
      <c r="AG967" s="128" t="s">
        <v>41</v>
      </c>
      <c r="AH967" s="108" t="s">
        <v>41</v>
      </c>
      <c r="AI967" s="128" t="s">
        <v>65</v>
      </c>
      <c r="AJ967" s="129" t="s">
        <v>89</v>
      </c>
      <c r="AK967" s="129">
        <v>9</v>
      </c>
      <c r="AL967" s="3" t="s">
        <v>362</v>
      </c>
      <c r="AM967" s="117">
        <v>2</v>
      </c>
      <c r="AP967" s="129" t="s">
        <v>66</v>
      </c>
      <c r="AR967" s="128" t="s">
        <v>67</v>
      </c>
      <c r="AS967" s="129" t="s">
        <v>68</v>
      </c>
      <c r="BC967" s="129" t="s">
        <v>38</v>
      </c>
      <c r="BF967" s="111">
        <f t="shared" si="709"/>
        <v>297</v>
      </c>
      <c r="BG967" s="111">
        <f t="shared" si="710"/>
        <v>297</v>
      </c>
      <c r="BH967" s="111">
        <f t="shared" si="712"/>
        <v>298</v>
      </c>
      <c r="BI967" s="111">
        <f t="shared" si="713"/>
        <v>35.934426229508198</v>
      </c>
      <c r="BJ967" s="129">
        <f t="shared" si="718"/>
        <v>0</v>
      </c>
      <c r="BK967" s="129">
        <f t="shared" si="714"/>
        <v>0</v>
      </c>
      <c r="BL967" s="129" t="str">
        <f t="shared" si="705"/>
        <v>CONVICTION</v>
      </c>
      <c r="BM967" s="129" t="str">
        <f t="shared" si="719"/>
        <v>NONE</v>
      </c>
      <c r="BN967" s="129" t="s">
        <v>566</v>
      </c>
      <c r="BP967" s="137" t="str">
        <f t="shared" si="720"/>
        <v>CONVICTION</v>
      </c>
      <c r="BQ967" s="128" t="str">
        <f t="shared" si="721"/>
        <v>Y</v>
      </c>
      <c r="BR967" s="129" t="str">
        <f t="shared" si="722"/>
        <v>DETAINED</v>
      </c>
      <c r="BS967" s="129" t="str">
        <f t="shared" si="723"/>
        <v>DISPOSED</v>
      </c>
      <c r="BT967" s="129" t="str">
        <f t="shared" si="724"/>
        <v>Y</v>
      </c>
      <c r="BU967" s="109">
        <f t="shared" si="735"/>
        <v>0.99664429530201337</v>
      </c>
      <c r="BV967" s="109">
        <f t="shared" si="725"/>
        <v>1</v>
      </c>
      <c r="BW967" s="109">
        <f t="shared" si="707"/>
        <v>3.3557046979866278E-3</v>
      </c>
      <c r="BX967" s="111">
        <f t="shared" si="726"/>
        <v>0</v>
      </c>
      <c r="BY967" s="129">
        <f t="shared" si="727"/>
        <v>-297</v>
      </c>
      <c r="BZ967" s="111">
        <f t="shared" si="728"/>
        <v>0</v>
      </c>
      <c r="CA967" s="138">
        <f t="shared" si="729"/>
        <v>297</v>
      </c>
      <c r="CB967" s="111" t="e">
        <f t="shared" si="711"/>
        <v>#VALUE!</v>
      </c>
      <c r="CC967" s="129">
        <f>G967-I967+1</f>
        <v>297</v>
      </c>
      <c r="CD967" s="129">
        <f>G967-J967</f>
        <v>0</v>
      </c>
      <c r="CE967" s="129">
        <f t="shared" si="730"/>
        <v>0</v>
      </c>
      <c r="CG967" s="129" t="str">
        <f t="shared" si="731"/>
        <v>Y</v>
      </c>
      <c r="CI967" s="129" t="str">
        <f t="shared" si="732"/>
        <v>121-365 DAYS</v>
      </c>
      <c r="CJ967" s="137">
        <f t="shared" si="733"/>
        <v>6</v>
      </c>
      <c r="CK967" s="129" t="str">
        <f t="shared" si="734"/>
        <v>Booked</v>
      </c>
    </row>
    <row r="968" spans="1:89" ht="15.75" customHeight="1" x14ac:dyDescent="0.25">
      <c r="A968" s="111">
        <v>809</v>
      </c>
      <c r="B968" s="128" t="str">
        <f t="shared" si="715"/>
        <v>N</v>
      </c>
      <c r="C968" s="128" t="str">
        <f t="shared" si="716"/>
        <v>N</v>
      </c>
      <c r="D968" s="117">
        <v>1692511</v>
      </c>
      <c r="E968" s="135">
        <f t="shared" si="717"/>
        <v>1</v>
      </c>
      <c r="F968" s="124">
        <v>40939</v>
      </c>
      <c r="G968" s="125">
        <v>40941</v>
      </c>
      <c r="H968" s="117">
        <v>1692511</v>
      </c>
      <c r="I968" s="124">
        <v>40939</v>
      </c>
      <c r="J968" s="124">
        <v>40941</v>
      </c>
      <c r="K968" s="126">
        <v>15000</v>
      </c>
      <c r="L968" s="127" t="s">
        <v>571</v>
      </c>
      <c r="N968" s="129" t="str">
        <f t="shared" si="736"/>
        <v>N</v>
      </c>
      <c r="O968" s="128" t="s">
        <v>917</v>
      </c>
      <c r="P968" s="129" t="s">
        <v>55</v>
      </c>
      <c r="Q968" s="111">
        <f t="shared" si="708"/>
        <v>3</v>
      </c>
      <c r="R968" s="111">
        <f t="shared" si="698"/>
        <v>3</v>
      </c>
      <c r="S968" s="129">
        <v>3</v>
      </c>
      <c r="T968" s="129">
        <v>1</v>
      </c>
      <c r="U968" s="129">
        <v>2</v>
      </c>
      <c r="W968" s="111"/>
      <c r="AB968" s="131" t="s">
        <v>112</v>
      </c>
      <c r="AC968" s="130"/>
      <c r="AD968" s="130">
        <v>29514</v>
      </c>
      <c r="AE968" s="128" t="s">
        <v>32</v>
      </c>
      <c r="AF968" s="128" t="s">
        <v>40</v>
      </c>
      <c r="AG968" s="128" t="s">
        <v>41</v>
      </c>
      <c r="AH968" s="108" t="s">
        <v>58</v>
      </c>
      <c r="AI968" s="128" t="s">
        <v>118</v>
      </c>
      <c r="AJ968" s="129" t="s">
        <v>55</v>
      </c>
      <c r="AK968" s="129">
        <v>1</v>
      </c>
      <c r="AL968" s="3" t="s">
        <v>55</v>
      </c>
      <c r="AP968" s="129" t="s">
        <v>93</v>
      </c>
      <c r="AR968" s="128" t="s">
        <v>67</v>
      </c>
      <c r="AS968" s="129" t="s">
        <v>45</v>
      </c>
      <c r="BC968" s="129" t="s">
        <v>52</v>
      </c>
      <c r="BF968" s="111">
        <f t="shared" si="709"/>
        <v>3</v>
      </c>
      <c r="BG968" s="111">
        <f t="shared" si="710"/>
        <v>3</v>
      </c>
      <c r="BH968" s="111">
        <f t="shared" si="712"/>
        <v>3</v>
      </c>
      <c r="BI968" s="111">
        <f t="shared" si="713"/>
        <v>31.215846994535518</v>
      </c>
      <c r="BJ968" s="129">
        <f t="shared" si="718"/>
        <v>0</v>
      </c>
      <c r="BK968" s="129">
        <f t="shared" si="714"/>
        <v>0</v>
      </c>
      <c r="BL968" s="129" t="str">
        <f t="shared" si="705"/>
        <v>NO CONVICTION</v>
      </c>
      <c r="BM968" s="129" t="str">
        <f t="shared" si="719"/>
        <v>NONE</v>
      </c>
      <c r="BN968" s="129" t="s">
        <v>566</v>
      </c>
      <c r="BP968" s="137" t="str">
        <f t="shared" si="720"/>
        <v>NO CONVICTION</v>
      </c>
      <c r="BQ968" s="128" t="str">
        <f t="shared" si="721"/>
        <v>Y</v>
      </c>
      <c r="BR968" s="129" t="str">
        <f t="shared" si="722"/>
        <v>DETAINED</v>
      </c>
      <c r="BS968" s="129" t="str">
        <f t="shared" si="723"/>
        <v>DISPOSED</v>
      </c>
      <c r="BT968" s="129" t="str">
        <f t="shared" si="724"/>
        <v>Y</v>
      </c>
      <c r="BU968" s="109">
        <f>IFERROR(Q968/R968,BR968)</f>
        <v>1</v>
      </c>
      <c r="BV968" s="109">
        <f t="shared" si="725"/>
        <v>1</v>
      </c>
      <c r="BW968" s="109">
        <f t="shared" si="707"/>
        <v>0</v>
      </c>
      <c r="BX968" s="111">
        <f t="shared" si="726"/>
        <v>0</v>
      </c>
      <c r="BY968" s="129">
        <f t="shared" si="727"/>
        <v>-3</v>
      </c>
      <c r="BZ968" s="111">
        <f t="shared" si="728"/>
        <v>0</v>
      </c>
      <c r="CA968" s="138">
        <f t="shared" si="729"/>
        <v>3</v>
      </c>
      <c r="CB968" s="111" t="e">
        <f t="shared" si="711"/>
        <v>#VALUE!</v>
      </c>
      <c r="CC968" s="129">
        <f>G968-I968+1</f>
        <v>3</v>
      </c>
      <c r="CD968" s="129">
        <f>G968-J968</f>
        <v>0</v>
      </c>
      <c r="CE968" s="129">
        <f t="shared" si="730"/>
        <v>0</v>
      </c>
      <c r="CG968" s="129" t="str">
        <f t="shared" si="731"/>
        <v>Y</v>
      </c>
      <c r="CI968" s="129" t="str">
        <f t="shared" si="732"/>
        <v>0-10 DAYS</v>
      </c>
      <c r="CJ968" s="137">
        <f t="shared" si="733"/>
        <v>1</v>
      </c>
      <c r="CK968" s="129" t="str">
        <f t="shared" si="734"/>
        <v>Booked</v>
      </c>
    </row>
    <row r="969" spans="1:89" ht="15.75" customHeight="1" x14ac:dyDescent="0.25">
      <c r="A969" s="111">
        <v>175</v>
      </c>
      <c r="B969" s="128" t="str">
        <f t="shared" si="715"/>
        <v>N</v>
      </c>
      <c r="C969" s="128" t="str">
        <f t="shared" si="716"/>
        <v>N</v>
      </c>
      <c r="D969" s="117">
        <v>1692863</v>
      </c>
      <c r="E969" s="135">
        <f t="shared" si="717"/>
        <v>3</v>
      </c>
      <c r="F969" s="124">
        <v>40916</v>
      </c>
      <c r="G969" s="125">
        <v>40956</v>
      </c>
      <c r="H969" s="117">
        <v>1692863</v>
      </c>
      <c r="I969" s="124">
        <v>40916</v>
      </c>
      <c r="J969" s="124">
        <v>40918</v>
      </c>
      <c r="K969" s="126">
        <v>20000</v>
      </c>
      <c r="L969" s="127" t="s">
        <v>571</v>
      </c>
      <c r="M969" s="125">
        <v>40918</v>
      </c>
      <c r="N969" s="129" t="str">
        <f t="shared" si="736"/>
        <v>Y</v>
      </c>
      <c r="O969" s="128" t="s">
        <v>76</v>
      </c>
      <c r="P969" s="129" t="s">
        <v>39</v>
      </c>
      <c r="Q969" s="111">
        <f t="shared" si="708"/>
        <v>3</v>
      </c>
      <c r="R969" s="111">
        <f t="shared" si="698"/>
        <v>41</v>
      </c>
      <c r="S969" s="129">
        <v>4</v>
      </c>
      <c r="T969" s="129">
        <v>5</v>
      </c>
      <c r="U969" s="129">
        <v>4</v>
      </c>
      <c r="W969" s="111"/>
      <c r="AC969" s="130"/>
      <c r="AD969" s="130">
        <v>29797</v>
      </c>
      <c r="AE969" s="128" t="s">
        <v>32</v>
      </c>
      <c r="AF969" s="128" t="s">
        <v>69</v>
      </c>
      <c r="AG969" s="128" t="s">
        <v>874</v>
      </c>
      <c r="AH969" s="108" t="s">
        <v>58</v>
      </c>
      <c r="AI969" s="128" t="s">
        <v>47</v>
      </c>
      <c r="AJ969" s="129" t="s">
        <v>89</v>
      </c>
      <c r="AK969" s="129">
        <v>9</v>
      </c>
      <c r="AL969" s="3" t="s">
        <v>185</v>
      </c>
      <c r="AP969" s="129" t="s">
        <v>66</v>
      </c>
      <c r="AR969" s="128" t="s">
        <v>67</v>
      </c>
      <c r="AS969" s="129" t="s">
        <v>68</v>
      </c>
      <c r="BC969" s="129" t="s">
        <v>52</v>
      </c>
      <c r="BF969" s="111">
        <f t="shared" si="709"/>
        <v>3</v>
      </c>
      <c r="BG969" s="111">
        <f t="shared" si="710"/>
        <v>41</v>
      </c>
      <c r="BH969" s="111">
        <f t="shared" si="712"/>
        <v>41</v>
      </c>
      <c r="BI969" s="111">
        <f t="shared" si="713"/>
        <v>30.379781420765028</v>
      </c>
      <c r="BJ969" s="129">
        <f>(G969-J969)+(M969-G969)</f>
        <v>0</v>
      </c>
      <c r="BK969" s="129">
        <f t="shared" si="714"/>
        <v>-38</v>
      </c>
      <c r="BL969" s="129" t="str">
        <f t="shared" si="705"/>
        <v>CONVICTION</v>
      </c>
      <c r="BM969" s="129" t="s">
        <v>76</v>
      </c>
      <c r="BN969" s="129" t="s">
        <v>88</v>
      </c>
      <c r="BP969" s="137" t="str">
        <f t="shared" si="720"/>
        <v>CONVICTION</v>
      </c>
      <c r="BQ969" s="128" t="str">
        <f t="shared" si="721"/>
        <v>Y</v>
      </c>
      <c r="BR969" s="129" t="str">
        <f>IF(J969&lt;G969,"ON BOND",0)</f>
        <v>ON BOND</v>
      </c>
      <c r="BS969" s="129" t="str">
        <f t="shared" si="723"/>
        <v>DISPOSED</v>
      </c>
      <c r="BT969" s="129" t="str">
        <f t="shared" si="724"/>
        <v>Y</v>
      </c>
      <c r="BU969" s="109">
        <f t="shared" si="735"/>
        <v>7.3170731707317069E-2</v>
      </c>
      <c r="BV969" s="109">
        <f t="shared" si="725"/>
        <v>7.3170731707317069E-2</v>
      </c>
      <c r="BW969" s="109">
        <f t="shared" si="707"/>
        <v>0</v>
      </c>
      <c r="BX969" s="111">
        <f t="shared" si="726"/>
        <v>0</v>
      </c>
      <c r="BY969" s="129">
        <f t="shared" si="727"/>
        <v>-3</v>
      </c>
      <c r="BZ969" s="111">
        <f t="shared" si="728"/>
        <v>0</v>
      </c>
      <c r="CA969" s="138">
        <f t="shared" si="729"/>
        <v>3</v>
      </c>
      <c r="CB969" s="111" t="e">
        <f t="shared" si="711"/>
        <v>#VALUE!</v>
      </c>
      <c r="CC969" s="129">
        <f>M969-I969+1</f>
        <v>3</v>
      </c>
      <c r="CD969" s="111">
        <f>CC969-BF969</f>
        <v>0</v>
      </c>
      <c r="CE969" s="129">
        <f t="shared" si="730"/>
        <v>38</v>
      </c>
      <c r="CG969" s="129" t="str">
        <f t="shared" si="731"/>
        <v>Y</v>
      </c>
      <c r="CI969" s="129" t="str">
        <f t="shared" si="732"/>
        <v>0-10 DAYS</v>
      </c>
      <c r="CJ969" s="137">
        <f t="shared" si="733"/>
        <v>1</v>
      </c>
      <c r="CK969" s="129" t="str">
        <f t="shared" si="734"/>
        <v>Booked</v>
      </c>
    </row>
    <row r="970" spans="1:89" ht="15" customHeight="1" x14ac:dyDescent="0.25">
      <c r="A970" s="111">
        <v>2806</v>
      </c>
      <c r="B970" s="128" t="str">
        <f t="shared" si="715"/>
        <v>N</v>
      </c>
      <c r="C970" s="128" t="str">
        <f t="shared" si="716"/>
        <v>N</v>
      </c>
      <c r="D970" s="117">
        <v>1694237</v>
      </c>
      <c r="E970" s="135">
        <f t="shared" si="717"/>
        <v>4</v>
      </c>
      <c r="F970" s="124">
        <v>41012</v>
      </c>
      <c r="G970" s="125">
        <v>41180</v>
      </c>
      <c r="H970" s="117">
        <v>1694237</v>
      </c>
      <c r="I970" s="124">
        <v>41062</v>
      </c>
      <c r="J970" s="124">
        <v>41063</v>
      </c>
      <c r="K970" s="126">
        <v>15000</v>
      </c>
      <c r="L970" s="127" t="s">
        <v>571</v>
      </c>
      <c r="M970" s="125">
        <v>41063</v>
      </c>
      <c r="N970" s="129" t="str">
        <f t="shared" si="736"/>
        <v>Y</v>
      </c>
      <c r="O970" s="128" t="s">
        <v>76</v>
      </c>
      <c r="P970" s="129" t="s">
        <v>39</v>
      </c>
      <c r="Q970" s="111">
        <f t="shared" si="708"/>
        <v>2</v>
      </c>
      <c r="R970" s="111">
        <f t="shared" si="698"/>
        <v>169</v>
      </c>
      <c r="S970" s="129">
        <v>4</v>
      </c>
      <c r="T970" s="129">
        <v>5</v>
      </c>
      <c r="U970" s="129">
        <v>2</v>
      </c>
      <c r="W970" s="111"/>
      <c r="AC970" s="130"/>
      <c r="AD970" s="130">
        <v>29314</v>
      </c>
      <c r="AE970" s="128" t="s">
        <v>32</v>
      </c>
      <c r="AF970" s="128" t="s">
        <v>33</v>
      </c>
      <c r="AG970" s="128" t="s">
        <v>872</v>
      </c>
      <c r="AH970" s="108" t="s">
        <v>58</v>
      </c>
      <c r="AI970" s="128" t="s">
        <v>114</v>
      </c>
      <c r="AJ970" s="129" t="s">
        <v>89</v>
      </c>
      <c r="AK970" s="129">
        <v>7</v>
      </c>
      <c r="AL970" s="3" t="s">
        <v>991</v>
      </c>
      <c r="AO970" s="128">
        <v>60</v>
      </c>
      <c r="AP970" s="129" t="s">
        <v>98</v>
      </c>
      <c r="AR970" s="128" t="s">
        <v>44</v>
      </c>
      <c r="AS970" s="129" t="s">
        <v>64</v>
      </c>
      <c r="AT970" s="129" t="s">
        <v>491</v>
      </c>
      <c r="BC970" s="129" t="s">
        <v>52</v>
      </c>
      <c r="BF970" s="111">
        <f t="shared" si="709"/>
        <v>2</v>
      </c>
      <c r="BG970" s="111">
        <f t="shared" si="710"/>
        <v>119</v>
      </c>
      <c r="BH970" s="111">
        <f t="shared" si="712"/>
        <v>169</v>
      </c>
      <c r="BI970" s="111">
        <f t="shared" si="713"/>
        <v>31.961748633879782</v>
      </c>
      <c r="BJ970" s="129">
        <f>(G970-J970)+(M970-G970)</f>
        <v>0</v>
      </c>
      <c r="BK970" s="129">
        <f t="shared" si="714"/>
        <v>-117</v>
      </c>
      <c r="BL970" s="129" t="str">
        <f t="shared" si="705"/>
        <v>CONVICTION</v>
      </c>
      <c r="BM970" s="129" t="s">
        <v>76</v>
      </c>
      <c r="BN970" s="129" t="s">
        <v>88</v>
      </c>
      <c r="BP970" s="137" t="str">
        <f t="shared" si="720"/>
        <v>CONVICTION</v>
      </c>
      <c r="BQ970" s="128" t="str">
        <f t="shared" si="721"/>
        <v>Y</v>
      </c>
      <c r="BR970" s="129" t="str">
        <f>IF(J970&lt;G970,"ON BOND",0)</f>
        <v>ON BOND</v>
      </c>
      <c r="BS970" s="129" t="str">
        <f t="shared" si="723"/>
        <v>DISPOSED</v>
      </c>
      <c r="BT970" s="129" t="str">
        <f t="shared" si="724"/>
        <v>Y</v>
      </c>
      <c r="BU970" s="109">
        <f t="shared" si="735"/>
        <v>1.1834319526627219E-2</v>
      </c>
      <c r="BV970" s="109">
        <f t="shared" si="725"/>
        <v>1.680672268907563E-2</v>
      </c>
      <c r="BW970" s="109">
        <f t="shared" si="707"/>
        <v>4.9724031624484109E-3</v>
      </c>
      <c r="BX970" s="111">
        <f t="shared" si="726"/>
        <v>0</v>
      </c>
      <c r="BY970" s="129">
        <f t="shared" si="727"/>
        <v>-2</v>
      </c>
      <c r="BZ970" s="111">
        <f t="shared" si="728"/>
        <v>0</v>
      </c>
      <c r="CA970" s="138">
        <f t="shared" si="729"/>
        <v>2</v>
      </c>
      <c r="CB970" s="111" t="e">
        <f t="shared" si="711"/>
        <v>#VALUE!</v>
      </c>
      <c r="CC970" s="129">
        <f>M970-I970+1</f>
        <v>2</v>
      </c>
      <c r="CD970" s="111">
        <f>CC970-BF970</f>
        <v>0</v>
      </c>
      <c r="CE970" s="129">
        <f t="shared" si="730"/>
        <v>117</v>
      </c>
      <c r="CG970" s="129" t="str">
        <f t="shared" si="731"/>
        <v>Y</v>
      </c>
      <c r="CI970" s="129" t="str">
        <f t="shared" si="732"/>
        <v>0-10 DAYS</v>
      </c>
      <c r="CJ970" s="137">
        <f t="shared" si="733"/>
        <v>1</v>
      </c>
      <c r="CK970" s="129" t="str">
        <f t="shared" si="734"/>
        <v>Booked</v>
      </c>
    </row>
    <row r="971" spans="1:89" ht="15" customHeight="1" x14ac:dyDescent="0.25">
      <c r="A971" s="111">
        <v>210</v>
      </c>
      <c r="B971" s="128" t="str">
        <f t="shared" si="715"/>
        <v>N</v>
      </c>
      <c r="C971" s="128" t="str">
        <f t="shared" si="716"/>
        <v>Y</v>
      </c>
      <c r="D971" s="114">
        <v>1694275</v>
      </c>
      <c r="E971" s="135">
        <f t="shared" si="717"/>
        <v>6</v>
      </c>
      <c r="F971" s="124">
        <v>40918</v>
      </c>
      <c r="G971" s="125">
        <v>41563</v>
      </c>
      <c r="H971" s="114">
        <v>1694275</v>
      </c>
      <c r="I971" s="124">
        <v>40918</v>
      </c>
      <c r="J971" s="124">
        <v>41360</v>
      </c>
      <c r="K971" s="126">
        <v>40000</v>
      </c>
      <c r="L971" s="129" t="s">
        <v>572</v>
      </c>
      <c r="M971" s="125">
        <v>40935</v>
      </c>
      <c r="N971" s="129" t="str">
        <f t="shared" si="736"/>
        <v>Y</v>
      </c>
      <c r="O971" s="128" t="s">
        <v>76</v>
      </c>
      <c r="P971" s="129" t="s">
        <v>39</v>
      </c>
      <c r="Q971" s="111">
        <v>202</v>
      </c>
      <c r="R971" s="111">
        <f t="shared" si="698"/>
        <v>646</v>
      </c>
      <c r="S971" s="129">
        <v>5</v>
      </c>
      <c r="T971" s="129">
        <v>2</v>
      </c>
      <c r="U971" s="129">
        <v>5</v>
      </c>
      <c r="W971" s="111"/>
      <c r="AC971" s="130"/>
      <c r="AD971" s="130">
        <v>29407</v>
      </c>
      <c r="AE971" s="128" t="s">
        <v>32</v>
      </c>
      <c r="AF971" s="128" t="s">
        <v>33</v>
      </c>
      <c r="AG971" s="128" t="s">
        <v>872</v>
      </c>
      <c r="AH971" s="108" t="s">
        <v>58</v>
      </c>
      <c r="AI971" s="128" t="s">
        <v>34</v>
      </c>
      <c r="AJ971" s="129" t="s">
        <v>89</v>
      </c>
      <c r="AK971" s="129">
        <v>5</v>
      </c>
      <c r="AL971" s="3" t="s">
        <v>362</v>
      </c>
      <c r="AM971" s="117">
        <v>20</v>
      </c>
      <c r="AP971" s="129" t="s">
        <v>1065</v>
      </c>
      <c r="AR971" s="128" t="s">
        <v>92</v>
      </c>
      <c r="AS971" s="129" t="s">
        <v>64</v>
      </c>
      <c r="AT971" s="119" t="s">
        <v>943</v>
      </c>
      <c r="AU971" s="119">
        <v>41317</v>
      </c>
      <c r="AV971" s="3" t="s">
        <v>88</v>
      </c>
      <c r="AW971" s="119" t="s">
        <v>859</v>
      </c>
      <c r="AY971" s="123"/>
      <c r="BA971" s="125">
        <v>41470</v>
      </c>
      <c r="BB971" s="129">
        <v>459</v>
      </c>
      <c r="BC971" s="129" t="s">
        <v>52</v>
      </c>
      <c r="BF971" s="111">
        <v>202</v>
      </c>
      <c r="BG971" s="111">
        <f t="shared" si="710"/>
        <v>646</v>
      </c>
      <c r="BH971" s="111">
        <f t="shared" si="712"/>
        <v>646</v>
      </c>
      <c r="BI971" s="111">
        <f t="shared" si="713"/>
        <v>31.450819672131146</v>
      </c>
      <c r="BJ971" s="129">
        <f>(G971-J971)+(M971-G971)</f>
        <v>-425</v>
      </c>
      <c r="BK971" s="129">
        <f t="shared" si="714"/>
        <v>-203</v>
      </c>
      <c r="BL971" s="129" t="str">
        <f t="shared" si="705"/>
        <v>CONVICTION</v>
      </c>
      <c r="BM971" s="129" t="s">
        <v>76</v>
      </c>
      <c r="BN971" s="129" t="s">
        <v>88</v>
      </c>
      <c r="BP971" s="137" t="str">
        <f t="shared" si="720"/>
        <v>CONVICTION</v>
      </c>
      <c r="BQ971" s="128" t="str">
        <f t="shared" si="721"/>
        <v>Y</v>
      </c>
      <c r="BR971" s="129" t="s">
        <v>574</v>
      </c>
      <c r="BS971" s="129" t="str">
        <f t="shared" si="723"/>
        <v>DISPOSED</v>
      </c>
      <c r="BT971" s="129" t="str">
        <f t="shared" si="724"/>
        <v>Y</v>
      </c>
      <c r="BU971" s="109">
        <f t="shared" si="735"/>
        <v>0.31269349845201239</v>
      </c>
      <c r="BV971" s="109">
        <f t="shared" si="725"/>
        <v>0.68575851393188858</v>
      </c>
      <c r="BW971" s="109">
        <f t="shared" si="707"/>
        <v>0.37306501547987619</v>
      </c>
      <c r="BX971" s="111">
        <f t="shared" si="726"/>
        <v>0</v>
      </c>
      <c r="BY971" s="129">
        <f t="shared" si="727"/>
        <v>-443</v>
      </c>
      <c r="BZ971" s="111">
        <f t="shared" si="728"/>
        <v>-241</v>
      </c>
      <c r="CA971" s="138">
        <f t="shared" si="729"/>
        <v>646</v>
      </c>
      <c r="CB971" s="111">
        <v>202</v>
      </c>
      <c r="CC971" s="129">
        <f>G971-I971+1</f>
        <v>646</v>
      </c>
      <c r="CD971" s="129">
        <f>G971-J971</f>
        <v>203</v>
      </c>
      <c r="CE971" s="129">
        <f t="shared" si="730"/>
        <v>203</v>
      </c>
      <c r="CG971" s="129" t="str">
        <f t="shared" si="731"/>
        <v>Y</v>
      </c>
      <c r="CI971" s="129" t="str">
        <f t="shared" si="732"/>
        <v>121-365 DAYS</v>
      </c>
      <c r="CJ971" s="137">
        <f t="shared" si="733"/>
        <v>6</v>
      </c>
      <c r="CK971" s="129" t="str">
        <f t="shared" si="734"/>
        <v>Booked</v>
      </c>
    </row>
    <row r="972" spans="1:89" ht="15.75" customHeight="1" x14ac:dyDescent="0.25">
      <c r="A972" s="111">
        <v>365</v>
      </c>
      <c r="B972" s="128" t="str">
        <f t="shared" si="715"/>
        <v>N</v>
      </c>
      <c r="C972" s="128" t="str">
        <f t="shared" si="716"/>
        <v>N</v>
      </c>
      <c r="D972" s="117">
        <v>1694337</v>
      </c>
      <c r="E972" s="135">
        <f t="shared" si="717"/>
        <v>5</v>
      </c>
      <c r="F972" s="124">
        <v>40923</v>
      </c>
      <c r="G972" s="125">
        <v>40949</v>
      </c>
      <c r="H972" s="117">
        <v>1694337</v>
      </c>
      <c r="I972" s="124">
        <v>40923</v>
      </c>
      <c r="J972" s="124">
        <v>40949</v>
      </c>
      <c r="K972" s="126">
        <v>15000</v>
      </c>
      <c r="L972" s="127" t="s">
        <v>571</v>
      </c>
      <c r="N972" s="129" t="str">
        <f t="shared" si="736"/>
        <v>N</v>
      </c>
      <c r="O972" s="128" t="s">
        <v>917</v>
      </c>
      <c r="P972" s="129" t="s">
        <v>39</v>
      </c>
      <c r="Q972" s="111">
        <f t="shared" si="708"/>
        <v>27</v>
      </c>
      <c r="R972" s="111">
        <f t="shared" si="698"/>
        <v>27</v>
      </c>
      <c r="S972" s="129">
        <v>6</v>
      </c>
      <c r="T972" s="129">
        <v>2</v>
      </c>
      <c r="U972" s="129">
        <v>5</v>
      </c>
      <c r="V972" s="117">
        <v>1</v>
      </c>
      <c r="W972" s="111"/>
      <c r="AC972" s="130"/>
      <c r="AD972" s="130">
        <v>29867</v>
      </c>
      <c r="AE972" s="128" t="s">
        <v>32</v>
      </c>
      <c r="AF972" s="128" t="s">
        <v>40</v>
      </c>
      <c r="AG972" s="128" t="s">
        <v>41</v>
      </c>
      <c r="AH972" s="108" t="s">
        <v>41</v>
      </c>
      <c r="AI972" s="128" t="s">
        <v>95</v>
      </c>
      <c r="AJ972" s="129" t="s">
        <v>89</v>
      </c>
      <c r="AK972" s="129">
        <v>2</v>
      </c>
      <c r="AL972" s="3" t="s">
        <v>992</v>
      </c>
      <c r="AN972" s="117">
        <v>9</v>
      </c>
      <c r="AP972" s="129" t="s">
        <v>121</v>
      </c>
      <c r="AR972" s="128" t="s">
        <v>44</v>
      </c>
      <c r="AS972" s="129" t="s">
        <v>122</v>
      </c>
      <c r="BC972" s="129" t="s">
        <v>38</v>
      </c>
      <c r="BF972" s="111">
        <f t="shared" si="709"/>
        <v>27</v>
      </c>
      <c r="BG972" s="111">
        <f t="shared" si="710"/>
        <v>27</v>
      </c>
      <c r="BH972" s="111">
        <f t="shared" si="712"/>
        <v>27</v>
      </c>
      <c r="BI972" s="111">
        <f t="shared" si="713"/>
        <v>30.207650273224044</v>
      </c>
      <c r="BJ972" s="129">
        <f t="shared" si="718"/>
        <v>0</v>
      </c>
      <c r="BK972" s="129">
        <f t="shared" si="714"/>
        <v>0</v>
      </c>
      <c r="BL972" s="129" t="str">
        <f t="shared" si="705"/>
        <v>CONVICTION</v>
      </c>
      <c r="BM972" s="129" t="str">
        <f t="shared" si="719"/>
        <v>NONE</v>
      </c>
      <c r="BN972" s="129" t="s">
        <v>566</v>
      </c>
      <c r="BP972" s="137" t="str">
        <f t="shared" si="720"/>
        <v>CONVICTION</v>
      </c>
      <c r="BQ972" s="128" t="str">
        <f t="shared" si="721"/>
        <v>Y</v>
      </c>
      <c r="BR972" s="129" t="str">
        <f t="shared" si="722"/>
        <v>DETAINED</v>
      </c>
      <c r="BS972" s="129" t="str">
        <f t="shared" si="723"/>
        <v>DISPOSED</v>
      </c>
      <c r="BT972" s="129" t="str">
        <f t="shared" si="724"/>
        <v>Y</v>
      </c>
      <c r="BU972" s="109">
        <f t="shared" si="735"/>
        <v>1</v>
      </c>
      <c r="BV972" s="109">
        <f t="shared" si="725"/>
        <v>1</v>
      </c>
      <c r="BW972" s="109">
        <f t="shared" si="707"/>
        <v>0</v>
      </c>
      <c r="BX972" s="111">
        <f t="shared" si="726"/>
        <v>0</v>
      </c>
      <c r="BY972" s="129">
        <f t="shared" si="727"/>
        <v>-27</v>
      </c>
      <c r="BZ972" s="111">
        <f t="shared" si="728"/>
        <v>0</v>
      </c>
      <c r="CA972" s="138">
        <f t="shared" si="729"/>
        <v>27</v>
      </c>
      <c r="CB972" s="111" t="e">
        <f t="shared" si="711"/>
        <v>#VALUE!</v>
      </c>
      <c r="CC972" s="129">
        <f>G972-I972+1</f>
        <v>27</v>
      </c>
      <c r="CD972" s="129">
        <f>G972-J972</f>
        <v>0</v>
      </c>
      <c r="CE972" s="129">
        <f t="shared" si="730"/>
        <v>0</v>
      </c>
      <c r="CG972" s="129" t="str">
        <f t="shared" si="731"/>
        <v>Y</v>
      </c>
      <c r="CI972" s="129" t="str">
        <f t="shared" si="732"/>
        <v>11-30 DAYS</v>
      </c>
      <c r="CJ972" s="137">
        <f t="shared" si="733"/>
        <v>2</v>
      </c>
      <c r="CK972" s="129" t="str">
        <f t="shared" si="734"/>
        <v>Booked</v>
      </c>
    </row>
    <row r="973" spans="1:89" ht="15" customHeight="1" x14ac:dyDescent="0.25">
      <c r="A973" s="111">
        <v>1260</v>
      </c>
      <c r="B973" s="128" t="str">
        <f t="shared" si="715"/>
        <v>N</v>
      </c>
      <c r="C973" s="128" t="str">
        <f t="shared" si="716"/>
        <v>N</v>
      </c>
      <c r="D973" s="117">
        <v>1694467</v>
      </c>
      <c r="E973" s="135">
        <f t="shared" si="717"/>
        <v>5</v>
      </c>
      <c r="F973" s="124">
        <v>40955</v>
      </c>
      <c r="G973" s="125">
        <v>40981</v>
      </c>
      <c r="H973" s="117">
        <v>1694467</v>
      </c>
      <c r="I973" s="124">
        <v>40955</v>
      </c>
      <c r="J973" s="124">
        <v>40981</v>
      </c>
      <c r="K973" s="126">
        <v>15000</v>
      </c>
      <c r="L973" s="127" t="s">
        <v>571</v>
      </c>
      <c r="N973" s="129" t="str">
        <f t="shared" si="736"/>
        <v>N</v>
      </c>
      <c r="O973" s="128" t="s">
        <v>917</v>
      </c>
      <c r="P973" s="129" t="s">
        <v>39</v>
      </c>
      <c r="Q973" s="111">
        <f t="shared" si="708"/>
        <v>27</v>
      </c>
      <c r="R973" s="111">
        <f t="shared" si="698"/>
        <v>27</v>
      </c>
      <c r="S973" s="129">
        <v>3</v>
      </c>
      <c r="T973" s="129">
        <v>6</v>
      </c>
      <c r="U973" s="129">
        <v>1</v>
      </c>
      <c r="W973" s="111"/>
      <c r="AC973" s="130"/>
      <c r="AD973" s="130">
        <v>29448</v>
      </c>
      <c r="AE973" s="128" t="s">
        <v>32</v>
      </c>
      <c r="AF973" s="128" t="s">
        <v>33</v>
      </c>
      <c r="AG973" s="128" t="s">
        <v>872</v>
      </c>
      <c r="AH973" s="108" t="s">
        <v>58</v>
      </c>
      <c r="AI973" s="128" t="s">
        <v>34</v>
      </c>
      <c r="AJ973" s="129" t="s">
        <v>89</v>
      </c>
      <c r="AK973" s="129">
        <v>2</v>
      </c>
      <c r="AL973" s="3" t="s">
        <v>992</v>
      </c>
      <c r="AN973" s="117">
        <v>6</v>
      </c>
      <c r="AP973" s="129" t="s">
        <v>121</v>
      </c>
      <c r="AR973" s="128" t="s">
        <v>44</v>
      </c>
      <c r="AS973" s="129" t="s">
        <v>122</v>
      </c>
      <c r="BC973" s="129" t="s">
        <v>38</v>
      </c>
      <c r="BF973" s="111">
        <f t="shared" si="709"/>
        <v>27</v>
      </c>
      <c r="BG973" s="111">
        <f t="shared" si="710"/>
        <v>27</v>
      </c>
      <c r="BH973" s="111">
        <f t="shared" si="712"/>
        <v>27</v>
      </c>
      <c r="BI973" s="111">
        <f t="shared" si="713"/>
        <v>31.439890710382514</v>
      </c>
      <c r="BJ973" s="129">
        <f t="shared" si="718"/>
        <v>0</v>
      </c>
      <c r="BK973" s="129">
        <f t="shared" si="714"/>
        <v>0</v>
      </c>
      <c r="BL973" s="129" t="str">
        <f t="shared" si="705"/>
        <v>CONVICTION</v>
      </c>
      <c r="BM973" s="129" t="str">
        <f t="shared" si="719"/>
        <v>NONE</v>
      </c>
      <c r="BN973" s="129" t="s">
        <v>566</v>
      </c>
      <c r="BP973" s="137" t="str">
        <f t="shared" si="720"/>
        <v>CONVICTION</v>
      </c>
      <c r="BQ973" s="128" t="str">
        <f t="shared" si="721"/>
        <v>Y</v>
      </c>
      <c r="BR973" s="129" t="str">
        <f t="shared" si="722"/>
        <v>DETAINED</v>
      </c>
      <c r="BS973" s="129" t="str">
        <f t="shared" si="723"/>
        <v>DISPOSED</v>
      </c>
      <c r="BT973" s="129" t="str">
        <f t="shared" si="724"/>
        <v>Y</v>
      </c>
      <c r="BU973" s="109">
        <f t="shared" si="735"/>
        <v>1</v>
      </c>
      <c r="BV973" s="109">
        <f t="shared" si="725"/>
        <v>1</v>
      </c>
      <c r="BW973" s="109">
        <f t="shared" si="707"/>
        <v>0</v>
      </c>
      <c r="BX973" s="111">
        <f t="shared" si="726"/>
        <v>0</v>
      </c>
      <c r="BY973" s="129">
        <f t="shared" si="727"/>
        <v>-27</v>
      </c>
      <c r="BZ973" s="111">
        <f t="shared" si="728"/>
        <v>0</v>
      </c>
      <c r="CA973" s="138">
        <f t="shared" si="729"/>
        <v>27</v>
      </c>
      <c r="CB973" s="111" t="e">
        <f t="shared" si="711"/>
        <v>#VALUE!</v>
      </c>
      <c r="CC973" s="129">
        <f>G973-I973+1</f>
        <v>27</v>
      </c>
      <c r="CD973" s="129">
        <f>G973-J973</f>
        <v>0</v>
      </c>
      <c r="CE973" s="129">
        <f t="shared" si="730"/>
        <v>0</v>
      </c>
      <c r="CG973" s="129" t="str">
        <f t="shared" si="731"/>
        <v>Y</v>
      </c>
      <c r="CI973" s="129" t="str">
        <f t="shared" si="732"/>
        <v>11-30 DAYS</v>
      </c>
      <c r="CJ973" s="137">
        <f t="shared" si="733"/>
        <v>2</v>
      </c>
      <c r="CK973" s="129" t="str">
        <f t="shared" si="734"/>
        <v>Booked</v>
      </c>
    </row>
    <row r="974" spans="1:89" ht="15.75" customHeight="1" x14ac:dyDescent="0.25">
      <c r="A974" s="111">
        <v>3092</v>
      </c>
      <c r="B974" s="128" t="str">
        <f t="shared" si="715"/>
        <v>N</v>
      </c>
      <c r="C974" s="128" t="str">
        <f t="shared" si="716"/>
        <v>N</v>
      </c>
      <c r="D974" s="117">
        <v>1694889</v>
      </c>
      <c r="E974" s="135">
        <f t="shared" si="717"/>
        <v>6</v>
      </c>
      <c r="F974" s="124">
        <v>41023</v>
      </c>
      <c r="G974" s="125">
        <v>41037</v>
      </c>
      <c r="H974" s="117">
        <v>1694889</v>
      </c>
      <c r="I974" s="124">
        <v>41026</v>
      </c>
      <c r="J974" s="124">
        <v>41037</v>
      </c>
      <c r="K974" s="126">
        <v>15000</v>
      </c>
      <c r="L974" s="127" t="s">
        <v>571</v>
      </c>
      <c r="N974" s="129" t="str">
        <f t="shared" si="736"/>
        <v>N</v>
      </c>
      <c r="O974" s="128" t="s">
        <v>917</v>
      </c>
      <c r="P974" s="129" t="s">
        <v>39</v>
      </c>
      <c r="Q974" s="111">
        <f t="shared" si="708"/>
        <v>12</v>
      </c>
      <c r="R974" s="111">
        <f t="shared" si="698"/>
        <v>15</v>
      </c>
      <c r="S974" s="129">
        <v>10</v>
      </c>
      <c r="T974" s="129">
        <v>1</v>
      </c>
      <c r="U974" s="129">
        <v>5</v>
      </c>
      <c r="W974" s="111"/>
      <c r="AC974" s="130"/>
      <c r="AD974" s="130">
        <v>29418</v>
      </c>
      <c r="AE974" s="128" t="s">
        <v>32</v>
      </c>
      <c r="AF974" s="128" t="s">
        <v>33</v>
      </c>
      <c r="AG974" s="128" t="s">
        <v>872</v>
      </c>
      <c r="AH974" s="108" t="s">
        <v>58</v>
      </c>
      <c r="AI974" s="128" t="s">
        <v>113</v>
      </c>
      <c r="AJ974" s="129" t="s">
        <v>89</v>
      </c>
      <c r="AK974" s="129">
        <v>4</v>
      </c>
      <c r="AL974" s="3" t="s">
        <v>362</v>
      </c>
      <c r="AM974" s="117">
        <v>2</v>
      </c>
      <c r="AP974" s="129" t="s">
        <v>107</v>
      </c>
      <c r="AR974" s="128" t="s">
        <v>44</v>
      </c>
      <c r="AS974" s="129" t="s">
        <v>57</v>
      </c>
      <c r="BC974" s="129" t="s">
        <v>38</v>
      </c>
      <c r="BF974" s="111">
        <f t="shared" si="709"/>
        <v>12</v>
      </c>
      <c r="BG974" s="111">
        <f t="shared" si="710"/>
        <v>12</v>
      </c>
      <c r="BH974" s="111">
        <f t="shared" si="712"/>
        <v>15</v>
      </c>
      <c r="BI974" s="111">
        <f t="shared" si="713"/>
        <v>31.707650273224044</v>
      </c>
      <c r="BJ974" s="129">
        <f t="shared" si="718"/>
        <v>0</v>
      </c>
      <c r="BK974" s="129">
        <f t="shared" si="714"/>
        <v>0</v>
      </c>
      <c r="BL974" s="129" t="str">
        <f t="shared" si="705"/>
        <v>CONVICTION</v>
      </c>
      <c r="BM974" s="129" t="str">
        <f t="shared" si="719"/>
        <v>NONE</v>
      </c>
      <c r="BN974" s="129" t="s">
        <v>566</v>
      </c>
      <c r="BP974" s="137" t="str">
        <f t="shared" si="720"/>
        <v>CONVICTION</v>
      </c>
      <c r="BQ974" s="128" t="str">
        <f t="shared" si="721"/>
        <v>Y</v>
      </c>
      <c r="BR974" s="129" t="str">
        <f t="shared" si="722"/>
        <v>DETAINED</v>
      </c>
      <c r="BS974" s="129" t="str">
        <f t="shared" si="723"/>
        <v>DISPOSED</v>
      </c>
      <c r="BT974" s="129" t="str">
        <f t="shared" si="724"/>
        <v>Y</v>
      </c>
      <c r="BU974" s="109">
        <f t="shared" si="735"/>
        <v>0.8</v>
      </c>
      <c r="BV974" s="109">
        <f t="shared" si="725"/>
        <v>1</v>
      </c>
      <c r="BW974" s="109">
        <f t="shared" si="707"/>
        <v>0.19999999999999996</v>
      </c>
      <c r="BX974" s="111">
        <f t="shared" si="726"/>
        <v>0</v>
      </c>
      <c r="BY974" s="129">
        <f t="shared" si="727"/>
        <v>-12</v>
      </c>
      <c r="BZ974" s="111">
        <f t="shared" si="728"/>
        <v>0</v>
      </c>
      <c r="CA974" s="138">
        <f t="shared" si="729"/>
        <v>12</v>
      </c>
      <c r="CB974" s="111" t="e">
        <f t="shared" si="711"/>
        <v>#VALUE!</v>
      </c>
      <c r="CC974" s="129">
        <f>G974-I974+1</f>
        <v>12</v>
      </c>
      <c r="CD974" s="129">
        <f>G974-J974</f>
        <v>0</v>
      </c>
      <c r="CE974" s="129">
        <f t="shared" si="730"/>
        <v>0</v>
      </c>
      <c r="CG974" s="129" t="str">
        <f t="shared" si="731"/>
        <v>Y</v>
      </c>
      <c r="CI974" s="129" t="str">
        <f t="shared" si="732"/>
        <v>11-30 DAYS</v>
      </c>
      <c r="CJ974" s="137">
        <f t="shared" si="733"/>
        <v>2</v>
      </c>
      <c r="CK974" s="129" t="str">
        <f t="shared" si="734"/>
        <v>Booked</v>
      </c>
    </row>
    <row r="975" spans="1:89" ht="15.75" customHeight="1" x14ac:dyDescent="0.25">
      <c r="A975" s="111">
        <v>2881</v>
      </c>
      <c r="B975" s="128" t="str">
        <f t="shared" si="715"/>
        <v>N</v>
      </c>
      <c r="C975" s="128" t="str">
        <f t="shared" si="716"/>
        <v>N</v>
      </c>
      <c r="D975" s="117">
        <v>1695264</v>
      </c>
      <c r="E975" s="135">
        <f t="shared" si="717"/>
        <v>6</v>
      </c>
      <c r="F975" s="124">
        <v>41016</v>
      </c>
      <c r="G975" s="125">
        <v>41064</v>
      </c>
      <c r="H975" s="117">
        <v>1695264</v>
      </c>
      <c r="I975" s="124">
        <v>41016</v>
      </c>
      <c r="J975" s="124">
        <v>41064</v>
      </c>
      <c r="K975" s="126" t="s">
        <v>564</v>
      </c>
      <c r="L975" s="127" t="s">
        <v>564</v>
      </c>
      <c r="N975" s="129" t="s">
        <v>566</v>
      </c>
      <c r="O975" s="128" t="s">
        <v>917</v>
      </c>
      <c r="P975" s="129" t="s">
        <v>39</v>
      </c>
      <c r="Q975" s="111">
        <f t="shared" si="708"/>
        <v>49</v>
      </c>
      <c r="R975" s="111">
        <f t="shared" si="698"/>
        <v>49</v>
      </c>
      <c r="S975" s="129">
        <v>2</v>
      </c>
      <c r="T975" s="129">
        <v>0</v>
      </c>
      <c r="U975" s="129">
        <v>1</v>
      </c>
      <c r="V975" s="117">
        <v>1</v>
      </c>
      <c r="W975" s="111"/>
      <c r="AC975" s="130"/>
      <c r="AD975" s="130">
        <v>28865</v>
      </c>
      <c r="AE975" s="128" t="s">
        <v>32</v>
      </c>
      <c r="AF975" s="128" t="s">
        <v>33</v>
      </c>
      <c r="AG975" s="128" t="s">
        <v>872</v>
      </c>
      <c r="AH975" s="108" t="s">
        <v>31</v>
      </c>
      <c r="AI975" s="128" t="s">
        <v>59</v>
      </c>
      <c r="AJ975" s="129" t="s">
        <v>89</v>
      </c>
      <c r="AK975" s="129">
        <v>5</v>
      </c>
      <c r="AL975" s="3" t="s">
        <v>362</v>
      </c>
      <c r="AM975" s="117">
        <v>2</v>
      </c>
      <c r="AP975" s="129" t="s">
        <v>49</v>
      </c>
      <c r="AR975" s="128" t="s">
        <v>50</v>
      </c>
      <c r="AS975" s="129" t="s">
        <v>45</v>
      </c>
      <c r="BC975" s="129" t="s">
        <v>38</v>
      </c>
      <c r="BF975" s="111">
        <f t="shared" si="709"/>
        <v>49</v>
      </c>
      <c r="BG975" s="111">
        <f t="shared" si="710"/>
        <v>49</v>
      </c>
      <c r="BH975" s="111">
        <f t="shared" si="712"/>
        <v>49</v>
      </c>
      <c r="BI975" s="111">
        <f t="shared" si="713"/>
        <v>33.199453551912569</v>
      </c>
      <c r="BJ975" s="129">
        <f t="shared" si="718"/>
        <v>0</v>
      </c>
      <c r="BK975" s="129">
        <f t="shared" si="714"/>
        <v>0</v>
      </c>
      <c r="BL975" s="129" t="str">
        <f t="shared" si="705"/>
        <v>CONVICTION</v>
      </c>
      <c r="BM975" s="129" t="str">
        <f t="shared" si="719"/>
        <v>NONE</v>
      </c>
      <c r="BN975" s="129" t="s">
        <v>566</v>
      </c>
      <c r="BP975" s="137" t="str">
        <f t="shared" si="720"/>
        <v>CONVICTION</v>
      </c>
      <c r="BQ975" s="128" t="str">
        <f t="shared" si="721"/>
        <v>Y</v>
      </c>
      <c r="BR975" s="129" t="str">
        <f t="shared" si="722"/>
        <v>DETAINED</v>
      </c>
      <c r="BS975" s="129" t="str">
        <f t="shared" si="723"/>
        <v>DISPOSED</v>
      </c>
      <c r="BT975" s="129" t="str">
        <f t="shared" si="724"/>
        <v>Y</v>
      </c>
      <c r="BU975" s="109">
        <f t="shared" si="735"/>
        <v>1</v>
      </c>
      <c r="BV975" s="109">
        <f t="shared" si="725"/>
        <v>1</v>
      </c>
      <c r="BW975" s="109">
        <f t="shared" si="707"/>
        <v>0</v>
      </c>
      <c r="BX975" s="111">
        <f t="shared" si="726"/>
        <v>0</v>
      </c>
      <c r="BY975" s="129">
        <f t="shared" si="727"/>
        <v>-49</v>
      </c>
      <c r="BZ975" s="111">
        <f t="shared" si="728"/>
        <v>0</v>
      </c>
      <c r="CA975" s="138">
        <f t="shared" si="729"/>
        <v>49</v>
      </c>
      <c r="CB975" s="111" t="e">
        <f t="shared" si="711"/>
        <v>#VALUE!</v>
      </c>
      <c r="CC975" s="129">
        <f>G975-I975+1</f>
        <v>49</v>
      </c>
      <c r="CD975" s="129">
        <f>G975-J975</f>
        <v>0</v>
      </c>
      <c r="CE975" s="129">
        <f t="shared" si="730"/>
        <v>0</v>
      </c>
      <c r="CG975" s="129" t="str">
        <f t="shared" si="731"/>
        <v>Y</v>
      </c>
      <c r="CI975" s="129" t="str">
        <f t="shared" si="732"/>
        <v>31-60 DAYS</v>
      </c>
      <c r="CJ975" s="137">
        <f t="shared" si="733"/>
        <v>3</v>
      </c>
      <c r="CK975" s="129" t="str">
        <f t="shared" si="734"/>
        <v>Booked</v>
      </c>
    </row>
    <row r="976" spans="1:89" ht="15.75" customHeight="1" x14ac:dyDescent="0.25">
      <c r="A976" s="111">
        <v>2149</v>
      </c>
      <c r="B976" s="128" t="str">
        <f t="shared" si="715"/>
        <v>N</v>
      </c>
      <c r="C976" s="128" t="str">
        <f t="shared" si="716"/>
        <v>N</v>
      </c>
      <c r="D976" s="117">
        <v>1697501</v>
      </c>
      <c r="E976" s="135">
        <f t="shared" si="717"/>
        <v>1</v>
      </c>
      <c r="F976" s="124">
        <v>40989</v>
      </c>
      <c r="G976" s="125">
        <v>41221</v>
      </c>
      <c r="H976" s="117">
        <v>1697501</v>
      </c>
      <c r="I976" s="124">
        <v>40989</v>
      </c>
      <c r="J976" s="124">
        <v>40993</v>
      </c>
      <c r="K976" s="126">
        <v>15000</v>
      </c>
      <c r="L976" s="127" t="s">
        <v>571</v>
      </c>
      <c r="M976" s="125">
        <v>40993</v>
      </c>
      <c r="N976" s="129" t="str">
        <f>IF(M976&gt;1/1/1,"Y","N")</f>
        <v>Y</v>
      </c>
      <c r="O976" s="128" t="s">
        <v>76</v>
      </c>
      <c r="P976" s="129" t="s">
        <v>55</v>
      </c>
      <c r="Q976" s="111">
        <f t="shared" si="708"/>
        <v>5</v>
      </c>
      <c r="R976" s="111">
        <f t="shared" si="698"/>
        <v>233</v>
      </c>
      <c r="S976" s="129">
        <v>3</v>
      </c>
      <c r="T976" s="129">
        <v>2</v>
      </c>
      <c r="U976" s="129">
        <v>2</v>
      </c>
      <c r="W976" s="111"/>
      <c r="AC976" s="130"/>
      <c r="AD976" s="130">
        <v>29386</v>
      </c>
      <c r="AE976" s="128" t="s">
        <v>32</v>
      </c>
      <c r="AF976" s="128" t="s">
        <v>40</v>
      </c>
      <c r="AG976" s="128" t="s">
        <v>41</v>
      </c>
      <c r="AH976" s="108" t="s">
        <v>41</v>
      </c>
      <c r="AI976" s="128" t="s">
        <v>47</v>
      </c>
      <c r="AJ976" s="129" t="s">
        <v>55</v>
      </c>
      <c r="AK976" s="129">
        <v>10</v>
      </c>
      <c r="AL976" s="3" t="s">
        <v>55</v>
      </c>
      <c r="AP976" s="129" t="s">
        <v>121</v>
      </c>
      <c r="AR976" s="128" t="s">
        <v>44</v>
      </c>
      <c r="AS976" s="129" t="s">
        <v>122</v>
      </c>
      <c r="BC976" s="129" t="s">
        <v>52</v>
      </c>
      <c r="BF976" s="111">
        <f t="shared" si="709"/>
        <v>5</v>
      </c>
      <c r="BG976" s="111">
        <f t="shared" si="710"/>
        <v>233</v>
      </c>
      <c r="BH976" s="111">
        <f t="shared" si="712"/>
        <v>233</v>
      </c>
      <c r="BI976" s="111">
        <f t="shared" si="713"/>
        <v>31.702185792349727</v>
      </c>
      <c r="BJ976" s="129">
        <f>(G976-J976)+(M976-G976)</f>
        <v>0</v>
      </c>
      <c r="BK976" s="129">
        <f t="shared" si="714"/>
        <v>-228</v>
      </c>
      <c r="BL976" s="129" t="str">
        <f t="shared" si="705"/>
        <v>NO CONVICTION</v>
      </c>
      <c r="BM976" s="129" t="s">
        <v>76</v>
      </c>
      <c r="BN976" s="129" t="s">
        <v>88</v>
      </c>
      <c r="BP976" s="137" t="str">
        <f t="shared" si="720"/>
        <v>NO CONVICTION</v>
      </c>
      <c r="BQ976" s="128" t="str">
        <f t="shared" si="721"/>
        <v>Y</v>
      </c>
      <c r="BR976" s="129" t="str">
        <f t="shared" si="722"/>
        <v>ON BOND</v>
      </c>
      <c r="BS976" s="129" t="str">
        <f t="shared" si="723"/>
        <v>DISPOSED</v>
      </c>
      <c r="BT976" s="129" t="str">
        <f t="shared" si="724"/>
        <v>Y</v>
      </c>
      <c r="BU976" s="109">
        <f>IFERROR(Q976/R976,BR976)</f>
        <v>2.1459227467811159E-2</v>
      </c>
      <c r="BV976" s="109">
        <f t="shared" si="725"/>
        <v>2.1459227467811159E-2</v>
      </c>
      <c r="BW976" s="109">
        <f t="shared" si="707"/>
        <v>0</v>
      </c>
      <c r="BX976" s="111">
        <f t="shared" si="726"/>
        <v>0</v>
      </c>
      <c r="BY976" s="129">
        <f t="shared" si="727"/>
        <v>-5</v>
      </c>
      <c r="BZ976" s="111">
        <f t="shared" si="728"/>
        <v>0</v>
      </c>
      <c r="CA976" s="138">
        <f t="shared" si="729"/>
        <v>5</v>
      </c>
      <c r="CB976" s="111" t="e">
        <f t="shared" si="711"/>
        <v>#VALUE!</v>
      </c>
      <c r="CC976" s="129">
        <f>M976-I976+1</f>
        <v>5</v>
      </c>
      <c r="CD976" s="111">
        <f>CC976-BF976</f>
        <v>0</v>
      </c>
      <c r="CE976" s="129">
        <f t="shared" si="730"/>
        <v>228</v>
      </c>
      <c r="CG976" s="129" t="str">
        <f t="shared" si="731"/>
        <v>Y</v>
      </c>
      <c r="CI976" s="129" t="str">
        <f t="shared" si="732"/>
        <v>0-10 DAYS</v>
      </c>
      <c r="CJ976" s="137">
        <f t="shared" si="733"/>
        <v>1</v>
      </c>
      <c r="CK976" s="129" t="str">
        <f t="shared" si="734"/>
        <v>Booked</v>
      </c>
    </row>
    <row r="977" spans="1:89" ht="15" customHeight="1" x14ac:dyDescent="0.25">
      <c r="A977" s="111">
        <v>1167</v>
      </c>
      <c r="B977" s="128" t="str">
        <f t="shared" si="715"/>
        <v>N</v>
      </c>
      <c r="C977" s="128" t="str">
        <f t="shared" si="716"/>
        <v>N</v>
      </c>
      <c r="D977" s="117">
        <v>1698309</v>
      </c>
      <c r="E977" s="135">
        <f t="shared" si="717"/>
        <v>1</v>
      </c>
      <c r="F977" s="124">
        <v>40951</v>
      </c>
      <c r="G977" s="125">
        <v>41319</v>
      </c>
      <c r="H977" s="117">
        <v>1698309</v>
      </c>
      <c r="I977" s="124">
        <v>40951</v>
      </c>
      <c r="J977" s="124">
        <v>40976</v>
      </c>
      <c r="K977" s="126">
        <v>50000</v>
      </c>
      <c r="L977" s="129" t="s">
        <v>572</v>
      </c>
      <c r="M977" s="125">
        <v>40976</v>
      </c>
      <c r="N977" s="129" t="str">
        <f>IF(M977&gt;1/1/1,"Y","N")</f>
        <v>Y</v>
      </c>
      <c r="O977" s="128" t="s">
        <v>76</v>
      </c>
      <c r="P977" s="129" t="s">
        <v>55</v>
      </c>
      <c r="Q977" s="111">
        <f t="shared" si="708"/>
        <v>26</v>
      </c>
      <c r="R977" s="111">
        <f t="shared" si="698"/>
        <v>369</v>
      </c>
      <c r="S977" s="129">
        <v>3</v>
      </c>
      <c r="T977" s="129">
        <v>6</v>
      </c>
      <c r="U977" s="129">
        <v>1</v>
      </c>
      <c r="W977" s="111"/>
      <c r="AC977" s="130"/>
      <c r="AD977" s="130">
        <v>29719</v>
      </c>
      <c r="AE977" s="128" t="s">
        <v>32</v>
      </c>
      <c r="AF977" s="128" t="s">
        <v>33</v>
      </c>
      <c r="AG977" s="128" t="s">
        <v>872</v>
      </c>
      <c r="AH977" s="108" t="s">
        <v>31</v>
      </c>
      <c r="AI977" s="128" t="s">
        <v>47</v>
      </c>
      <c r="AJ977" s="129" t="s">
        <v>55</v>
      </c>
      <c r="AK977" s="129">
        <v>19</v>
      </c>
      <c r="AL977" s="3" t="s">
        <v>55</v>
      </c>
      <c r="AP977" s="129" t="s">
        <v>234</v>
      </c>
      <c r="AR977" s="128" t="s">
        <v>50</v>
      </c>
      <c r="AS977" s="129" t="s">
        <v>45</v>
      </c>
      <c r="AT977" s="129" t="s">
        <v>615</v>
      </c>
      <c r="BC977" s="129" t="s">
        <v>52</v>
      </c>
      <c r="BF977" s="111">
        <f t="shared" si="709"/>
        <v>26</v>
      </c>
      <c r="BG977" s="111">
        <f t="shared" si="710"/>
        <v>369</v>
      </c>
      <c r="BH977" s="111">
        <f t="shared" si="712"/>
        <v>369</v>
      </c>
      <c r="BI977" s="111">
        <f t="shared" si="713"/>
        <v>30.688524590163933</v>
      </c>
      <c r="BJ977" s="129">
        <f>(G977-J977)+(M977-G977)</f>
        <v>0</v>
      </c>
      <c r="BK977" s="129">
        <f t="shared" si="714"/>
        <v>-343</v>
      </c>
      <c r="BL977" s="129" t="str">
        <f t="shared" si="705"/>
        <v>NO CONVICTION</v>
      </c>
      <c r="BM977" s="129" t="s">
        <v>76</v>
      </c>
      <c r="BN977" s="129" t="s">
        <v>88</v>
      </c>
      <c r="BP977" s="137" t="str">
        <f t="shared" si="720"/>
        <v>NO CONVICTION</v>
      </c>
      <c r="BQ977" s="128" t="str">
        <f t="shared" si="721"/>
        <v>Y</v>
      </c>
      <c r="BR977" s="129" t="str">
        <f t="shared" si="722"/>
        <v>ON BOND</v>
      </c>
      <c r="BS977" s="129" t="str">
        <f t="shared" si="723"/>
        <v>DISPOSED</v>
      </c>
      <c r="BT977" s="129" t="str">
        <f t="shared" si="724"/>
        <v>Y</v>
      </c>
      <c r="BU977" s="109">
        <f>IFERROR(Q977/R977,BR977)</f>
        <v>7.0460704607046065E-2</v>
      </c>
      <c r="BV977" s="109">
        <f t="shared" si="725"/>
        <v>7.0460704607046065E-2</v>
      </c>
      <c r="BW977" s="109">
        <f t="shared" si="707"/>
        <v>0</v>
      </c>
      <c r="BX977" s="111">
        <f t="shared" si="726"/>
        <v>0</v>
      </c>
      <c r="BY977" s="129">
        <f t="shared" si="727"/>
        <v>-26</v>
      </c>
      <c r="BZ977" s="111">
        <f t="shared" si="728"/>
        <v>0</v>
      </c>
      <c r="CA977" s="138">
        <f t="shared" si="729"/>
        <v>26</v>
      </c>
      <c r="CB977" s="111" t="e">
        <f t="shared" si="711"/>
        <v>#VALUE!</v>
      </c>
      <c r="CC977" s="129">
        <f>M977-I977+1</f>
        <v>26</v>
      </c>
      <c r="CD977" s="111">
        <f>CC977-BF977</f>
        <v>0</v>
      </c>
      <c r="CE977" s="129">
        <f t="shared" si="730"/>
        <v>343</v>
      </c>
      <c r="CG977" s="129" t="str">
        <f t="shared" si="731"/>
        <v>Y</v>
      </c>
      <c r="CI977" s="129" t="str">
        <f t="shared" si="732"/>
        <v>11-30 DAYS</v>
      </c>
      <c r="CJ977" s="137">
        <f t="shared" si="733"/>
        <v>2</v>
      </c>
      <c r="CK977" s="129" t="str">
        <f t="shared" si="734"/>
        <v>Booked</v>
      </c>
    </row>
    <row r="978" spans="1:89" ht="15.75" customHeight="1" x14ac:dyDescent="0.25">
      <c r="A978" s="111">
        <v>2631</v>
      </c>
      <c r="B978" s="128" t="str">
        <f t="shared" si="715"/>
        <v>N</v>
      </c>
      <c r="C978" s="128" t="str">
        <f t="shared" si="716"/>
        <v>N</v>
      </c>
      <c r="D978" s="117">
        <v>1698340</v>
      </c>
      <c r="E978" s="135">
        <f t="shared" si="717"/>
        <v>1</v>
      </c>
      <c r="F978" s="124">
        <v>41006</v>
      </c>
      <c r="G978" s="125">
        <v>41009</v>
      </c>
      <c r="H978" s="117">
        <v>1698340</v>
      </c>
      <c r="I978" s="124">
        <v>41006</v>
      </c>
      <c r="J978" s="124">
        <v>41009</v>
      </c>
      <c r="K978" s="126">
        <v>20000</v>
      </c>
      <c r="L978" s="127" t="s">
        <v>571</v>
      </c>
      <c r="N978" s="129" t="str">
        <f>IF(M978&gt;1/1/1,"Y","N")</f>
        <v>N</v>
      </c>
      <c r="O978" s="128" t="s">
        <v>917</v>
      </c>
      <c r="P978" s="129" t="s">
        <v>55</v>
      </c>
      <c r="Q978" s="111">
        <f t="shared" si="708"/>
        <v>4</v>
      </c>
      <c r="R978" s="111">
        <f t="shared" si="698"/>
        <v>4</v>
      </c>
      <c r="S978" s="129">
        <v>3</v>
      </c>
      <c r="T978" s="129">
        <v>2</v>
      </c>
      <c r="W978" s="111"/>
      <c r="AC978" s="130"/>
      <c r="AD978" s="130">
        <v>29778</v>
      </c>
      <c r="AE978" s="128" t="s">
        <v>32</v>
      </c>
      <c r="AF978" s="128" t="s">
        <v>33</v>
      </c>
      <c r="AG978" s="128" t="s">
        <v>872</v>
      </c>
      <c r="AH978" s="108" t="s">
        <v>31</v>
      </c>
      <c r="AI978" s="128" t="s">
        <v>113</v>
      </c>
      <c r="AJ978" s="129" t="s">
        <v>55</v>
      </c>
      <c r="AK978" s="129">
        <v>1</v>
      </c>
      <c r="AL978" s="3" t="s">
        <v>55</v>
      </c>
      <c r="AP978" s="129" t="s">
        <v>49</v>
      </c>
      <c r="AR978" s="128" t="s">
        <v>50</v>
      </c>
      <c r="AS978" s="129" t="s">
        <v>45</v>
      </c>
      <c r="BC978" s="129" t="s">
        <v>38</v>
      </c>
      <c r="BF978" s="111">
        <f t="shared" si="709"/>
        <v>4</v>
      </c>
      <c r="BG978" s="111">
        <f t="shared" si="710"/>
        <v>4</v>
      </c>
      <c r="BH978" s="111">
        <f t="shared" si="712"/>
        <v>4</v>
      </c>
      <c r="BI978" s="111">
        <f t="shared" si="713"/>
        <v>30.6775956284153</v>
      </c>
      <c r="BJ978" s="129">
        <f t="shared" si="718"/>
        <v>0</v>
      </c>
      <c r="BK978" s="129">
        <f t="shared" si="714"/>
        <v>0</v>
      </c>
      <c r="BL978" s="129" t="str">
        <f t="shared" si="705"/>
        <v>NO CONVICTION</v>
      </c>
      <c r="BM978" s="129" t="str">
        <f t="shared" si="719"/>
        <v>NONE</v>
      </c>
      <c r="BN978" s="129" t="s">
        <v>566</v>
      </c>
      <c r="BP978" s="137" t="str">
        <f t="shared" si="720"/>
        <v>NO CONVICTION</v>
      </c>
      <c r="BQ978" s="128" t="str">
        <f t="shared" si="721"/>
        <v>Y</v>
      </c>
      <c r="BR978" s="129" t="str">
        <f t="shared" si="722"/>
        <v>DETAINED</v>
      </c>
      <c r="BS978" s="129" t="str">
        <f t="shared" si="723"/>
        <v>DISPOSED</v>
      </c>
      <c r="BT978" s="129" t="str">
        <f t="shared" si="724"/>
        <v>Y</v>
      </c>
      <c r="BU978" s="109">
        <f>IFERROR(Q978/R978,BR978)</f>
        <v>1</v>
      </c>
      <c r="BV978" s="109">
        <f t="shared" si="725"/>
        <v>1</v>
      </c>
      <c r="BW978" s="109">
        <f t="shared" si="707"/>
        <v>0</v>
      </c>
      <c r="BX978" s="111">
        <f t="shared" si="726"/>
        <v>0</v>
      </c>
      <c r="BY978" s="129">
        <f t="shared" si="727"/>
        <v>-4</v>
      </c>
      <c r="BZ978" s="111">
        <f t="shared" si="728"/>
        <v>0</v>
      </c>
      <c r="CA978" s="138">
        <f t="shared" si="729"/>
        <v>4</v>
      </c>
      <c r="CB978" s="111" t="e">
        <f t="shared" si="711"/>
        <v>#VALUE!</v>
      </c>
      <c r="CC978" s="129">
        <f>G978-I978+1</f>
        <v>4</v>
      </c>
      <c r="CD978" s="129">
        <f>G978-J978</f>
        <v>0</v>
      </c>
      <c r="CE978" s="129">
        <f t="shared" si="730"/>
        <v>0</v>
      </c>
      <c r="CG978" s="129" t="str">
        <f t="shared" si="731"/>
        <v>Y</v>
      </c>
      <c r="CI978" s="129" t="str">
        <f t="shared" si="732"/>
        <v>0-10 DAYS</v>
      </c>
      <c r="CJ978" s="137">
        <f t="shared" si="733"/>
        <v>1</v>
      </c>
      <c r="CK978" s="129" t="str">
        <f t="shared" si="734"/>
        <v>Booked</v>
      </c>
    </row>
    <row r="979" spans="1:89" ht="15.75" customHeight="1" x14ac:dyDescent="0.25">
      <c r="A979" s="111">
        <v>1573</v>
      </c>
      <c r="B979" s="128" t="str">
        <f t="shared" si="715"/>
        <v>N</v>
      </c>
      <c r="C979" s="128" t="str">
        <f t="shared" si="716"/>
        <v>N</v>
      </c>
      <c r="D979" s="117">
        <v>1700177</v>
      </c>
      <c r="E979" s="135">
        <f t="shared" si="717"/>
        <v>5</v>
      </c>
      <c r="F979" s="124">
        <v>40967</v>
      </c>
      <c r="G979" s="125">
        <v>41127</v>
      </c>
      <c r="H979" s="117">
        <v>1700177</v>
      </c>
      <c r="I979" s="124">
        <v>40972</v>
      </c>
      <c r="J979" s="124">
        <v>41127</v>
      </c>
      <c r="K979" s="126">
        <v>10000</v>
      </c>
      <c r="L979" s="127" t="s">
        <v>570</v>
      </c>
      <c r="N979" s="129" t="str">
        <f>IF(M979&gt;1/1/1,"Y","N")</f>
        <v>N</v>
      </c>
      <c r="O979" s="128" t="s">
        <v>917</v>
      </c>
      <c r="P979" s="129" t="s">
        <v>39</v>
      </c>
      <c r="Q979" s="111">
        <f t="shared" si="708"/>
        <v>156</v>
      </c>
      <c r="R979" s="111">
        <f t="shared" ref="R979:R1041" si="737">BH979</f>
        <v>161</v>
      </c>
      <c r="S979" s="129">
        <v>8</v>
      </c>
      <c r="T979" s="129">
        <v>8</v>
      </c>
      <c r="U979" s="129">
        <v>6</v>
      </c>
      <c r="W979" s="111"/>
      <c r="AC979" s="130"/>
      <c r="AD979" s="130">
        <v>29392</v>
      </c>
      <c r="AE979" s="128" t="s">
        <v>32</v>
      </c>
      <c r="AF979" s="128" t="s">
        <v>33</v>
      </c>
      <c r="AG979" s="128" t="s">
        <v>872</v>
      </c>
      <c r="AH979" s="108" t="s">
        <v>58</v>
      </c>
      <c r="AI979" s="128" t="s">
        <v>97</v>
      </c>
      <c r="AJ979" s="129" t="s">
        <v>89</v>
      </c>
      <c r="AK979" s="129">
        <v>10</v>
      </c>
      <c r="AL979" s="3" t="s">
        <v>992</v>
      </c>
      <c r="AN979" s="117">
        <v>10</v>
      </c>
      <c r="AP979" s="129" t="s">
        <v>107</v>
      </c>
      <c r="AR979" s="128" t="s">
        <v>44</v>
      </c>
      <c r="AS979" s="129" t="s">
        <v>57</v>
      </c>
      <c r="BC979" s="129" t="s">
        <v>38</v>
      </c>
      <c r="BF979" s="111">
        <f t="shared" si="709"/>
        <v>156</v>
      </c>
      <c r="BG979" s="111">
        <f t="shared" si="710"/>
        <v>156</v>
      </c>
      <c r="BH979" s="111">
        <f t="shared" si="712"/>
        <v>161</v>
      </c>
      <c r="BI979" s="111">
        <f t="shared" si="713"/>
        <v>31.625683060109289</v>
      </c>
      <c r="BJ979" s="129">
        <f t="shared" si="718"/>
        <v>0</v>
      </c>
      <c r="BK979" s="129">
        <f t="shared" si="714"/>
        <v>0</v>
      </c>
      <c r="BL979" s="129" t="str">
        <f t="shared" si="705"/>
        <v>CONVICTION</v>
      </c>
      <c r="BM979" s="129" t="str">
        <f t="shared" si="719"/>
        <v>NONE</v>
      </c>
      <c r="BN979" s="129" t="s">
        <v>566</v>
      </c>
      <c r="BP979" s="137" t="str">
        <f t="shared" si="720"/>
        <v>CONVICTION</v>
      </c>
      <c r="BQ979" s="128" t="str">
        <f t="shared" si="721"/>
        <v>Y</v>
      </c>
      <c r="BR979" s="129" t="str">
        <f t="shared" si="722"/>
        <v>DETAINED</v>
      </c>
      <c r="BS979" s="129" t="str">
        <f t="shared" si="723"/>
        <v>DISPOSED</v>
      </c>
      <c r="BT979" s="129" t="str">
        <f t="shared" si="724"/>
        <v>Y</v>
      </c>
      <c r="BU979" s="109">
        <f t="shared" si="735"/>
        <v>0.96894409937888204</v>
      </c>
      <c r="BV979" s="109">
        <f t="shared" si="725"/>
        <v>1</v>
      </c>
      <c r="BW979" s="109">
        <f t="shared" si="707"/>
        <v>3.105590062111796E-2</v>
      </c>
      <c r="BX979" s="111">
        <f t="shared" si="726"/>
        <v>0</v>
      </c>
      <c r="BY979" s="129">
        <f t="shared" si="727"/>
        <v>-156</v>
      </c>
      <c r="BZ979" s="111">
        <f t="shared" si="728"/>
        <v>0</v>
      </c>
      <c r="CA979" s="138">
        <f t="shared" si="729"/>
        <v>156</v>
      </c>
      <c r="CB979" s="111" t="e">
        <f t="shared" si="711"/>
        <v>#VALUE!</v>
      </c>
      <c r="CC979" s="129">
        <f>G979-I979+1</f>
        <v>156</v>
      </c>
      <c r="CD979" s="129">
        <f>G979-J979</f>
        <v>0</v>
      </c>
      <c r="CE979" s="129">
        <f t="shared" si="730"/>
        <v>0</v>
      </c>
      <c r="CG979" s="129" t="str">
        <f t="shared" si="731"/>
        <v>Y</v>
      </c>
      <c r="CI979" s="129" t="str">
        <f t="shared" si="732"/>
        <v>121-365 DAYS</v>
      </c>
      <c r="CJ979" s="137">
        <f t="shared" si="733"/>
        <v>6</v>
      </c>
      <c r="CK979" s="129" t="str">
        <f t="shared" si="734"/>
        <v>Booked</v>
      </c>
    </row>
    <row r="980" spans="1:89" ht="15.75" customHeight="1" x14ac:dyDescent="0.25">
      <c r="A980" s="111">
        <v>1682</v>
      </c>
      <c r="B980" s="128" t="str">
        <f t="shared" si="715"/>
        <v>N</v>
      </c>
      <c r="C980" s="128" t="str">
        <f t="shared" si="716"/>
        <v>N</v>
      </c>
      <c r="D980" s="117">
        <v>1700619</v>
      </c>
      <c r="E980" s="135">
        <f t="shared" si="717"/>
        <v>6</v>
      </c>
      <c r="F980" s="124">
        <v>40970</v>
      </c>
      <c r="G980" s="125">
        <v>41120</v>
      </c>
      <c r="H980" s="117">
        <v>1700619</v>
      </c>
      <c r="I980" s="124">
        <v>40971</v>
      </c>
      <c r="J980" s="124">
        <v>41120</v>
      </c>
      <c r="K980" s="126" t="s">
        <v>564</v>
      </c>
      <c r="L980" s="127" t="s">
        <v>564</v>
      </c>
      <c r="N980" s="129" t="s">
        <v>566</v>
      </c>
      <c r="O980" s="128" t="s">
        <v>917</v>
      </c>
      <c r="P980" s="129" t="s">
        <v>39</v>
      </c>
      <c r="Q980" s="111">
        <f t="shared" si="708"/>
        <v>150</v>
      </c>
      <c r="R980" s="111">
        <f t="shared" si="737"/>
        <v>151</v>
      </c>
      <c r="S980" s="129">
        <v>8</v>
      </c>
      <c r="T980" s="129">
        <v>1</v>
      </c>
      <c r="U980" s="129">
        <v>7</v>
      </c>
      <c r="W980" s="111"/>
      <c r="AC980" s="130"/>
      <c r="AD980" s="130">
        <v>29175</v>
      </c>
      <c r="AE980" s="128" t="s">
        <v>32</v>
      </c>
      <c r="AF980" s="128" t="s">
        <v>33</v>
      </c>
      <c r="AG980" s="128" t="s">
        <v>872</v>
      </c>
      <c r="AH980" s="108" t="s">
        <v>31</v>
      </c>
      <c r="AI980" s="128" t="s">
        <v>114</v>
      </c>
      <c r="AJ980" s="129" t="s">
        <v>89</v>
      </c>
      <c r="AK980" s="129">
        <v>11</v>
      </c>
      <c r="AL980" s="3" t="s">
        <v>362</v>
      </c>
      <c r="AM980" s="117">
        <v>10</v>
      </c>
      <c r="AP980" s="129" t="s">
        <v>136</v>
      </c>
      <c r="AR980" s="128" t="s">
        <v>67</v>
      </c>
      <c r="AS980" s="129" t="s">
        <v>64</v>
      </c>
      <c r="BC980" s="129" t="s">
        <v>99</v>
      </c>
      <c r="BF980" s="111">
        <f t="shared" si="709"/>
        <v>150</v>
      </c>
      <c r="BG980" s="111">
        <f t="shared" si="710"/>
        <v>150</v>
      </c>
      <c r="BH980" s="111">
        <f t="shared" si="712"/>
        <v>151</v>
      </c>
      <c r="BI980" s="111">
        <f t="shared" si="713"/>
        <v>32.22677595628415</v>
      </c>
      <c r="BJ980" s="129">
        <f t="shared" si="718"/>
        <v>0</v>
      </c>
      <c r="BK980" s="129">
        <f t="shared" si="714"/>
        <v>0</v>
      </c>
      <c r="BL980" s="129" t="str">
        <f t="shared" si="705"/>
        <v>CONVICTION</v>
      </c>
      <c r="BM980" s="129" t="str">
        <f t="shared" si="719"/>
        <v>NONE</v>
      </c>
      <c r="BN980" s="129" t="s">
        <v>566</v>
      </c>
      <c r="BP980" s="137" t="str">
        <f t="shared" si="720"/>
        <v>CONVICTION</v>
      </c>
      <c r="BQ980" s="128" t="str">
        <f t="shared" si="721"/>
        <v>Y</v>
      </c>
      <c r="BR980" s="129" t="str">
        <f t="shared" si="722"/>
        <v>DETAINED</v>
      </c>
      <c r="BS980" s="129" t="str">
        <f t="shared" si="723"/>
        <v>DISPOSED</v>
      </c>
      <c r="BT980" s="129" t="str">
        <f t="shared" si="724"/>
        <v>Y</v>
      </c>
      <c r="BU980" s="109">
        <f t="shared" si="735"/>
        <v>0.99337748344370858</v>
      </c>
      <c r="BV980" s="109">
        <f t="shared" si="725"/>
        <v>1</v>
      </c>
      <c r="BW980" s="109">
        <f t="shared" si="707"/>
        <v>6.6225165562914245E-3</v>
      </c>
      <c r="BX980" s="111">
        <f t="shared" si="726"/>
        <v>0</v>
      </c>
      <c r="BY980" s="129">
        <f t="shared" si="727"/>
        <v>-150</v>
      </c>
      <c r="BZ980" s="111">
        <f t="shared" si="728"/>
        <v>0</v>
      </c>
      <c r="CA980" s="138">
        <f t="shared" si="729"/>
        <v>150</v>
      </c>
      <c r="CB980" s="111" t="e">
        <f t="shared" si="711"/>
        <v>#VALUE!</v>
      </c>
      <c r="CC980" s="129">
        <f>G980-I980+1</f>
        <v>150</v>
      </c>
      <c r="CD980" s="129">
        <f>G980-J980</f>
        <v>0</v>
      </c>
      <c r="CE980" s="129">
        <f t="shared" si="730"/>
        <v>0</v>
      </c>
      <c r="CG980" s="129" t="str">
        <f t="shared" si="731"/>
        <v>Y</v>
      </c>
      <c r="CI980" s="129" t="str">
        <f t="shared" si="732"/>
        <v>121-365 DAYS</v>
      </c>
      <c r="CJ980" s="137">
        <f t="shared" si="733"/>
        <v>6</v>
      </c>
      <c r="CK980" s="129" t="str">
        <f t="shared" si="734"/>
        <v>Booked</v>
      </c>
    </row>
    <row r="981" spans="1:89" ht="15.75" customHeight="1" x14ac:dyDescent="0.25">
      <c r="A981" s="111">
        <v>1461</v>
      </c>
      <c r="B981" s="128" t="str">
        <f t="shared" si="715"/>
        <v>N</v>
      </c>
      <c r="C981" s="128" t="str">
        <f t="shared" si="716"/>
        <v>N</v>
      </c>
      <c r="D981" s="117">
        <v>1703559</v>
      </c>
      <c r="E981" s="135">
        <f t="shared" si="717"/>
        <v>1</v>
      </c>
      <c r="F981" s="124">
        <v>40962</v>
      </c>
      <c r="G981" s="125">
        <v>41144</v>
      </c>
      <c r="H981" s="117">
        <v>1703559</v>
      </c>
      <c r="I981" s="124">
        <v>40963</v>
      </c>
      <c r="J981" s="124">
        <v>40971</v>
      </c>
      <c r="K981" s="126">
        <v>50000</v>
      </c>
      <c r="L981" s="129" t="s">
        <v>572</v>
      </c>
      <c r="M981" s="125">
        <v>40971</v>
      </c>
      <c r="N981" s="129" t="str">
        <f t="shared" ref="N981:N988" si="738">IF(M981&gt;1/1/1,"Y","N")</f>
        <v>Y</v>
      </c>
      <c r="O981" s="128" t="s">
        <v>76</v>
      </c>
      <c r="P981" s="129" t="s">
        <v>55</v>
      </c>
      <c r="Q981" s="111">
        <f t="shared" si="708"/>
        <v>9</v>
      </c>
      <c r="R981" s="111">
        <f t="shared" si="737"/>
        <v>183</v>
      </c>
      <c r="S981" s="129">
        <v>4</v>
      </c>
      <c r="T981" s="129">
        <v>2</v>
      </c>
      <c r="U981" s="129">
        <v>1</v>
      </c>
      <c r="V981" s="117">
        <v>1</v>
      </c>
      <c r="W981" s="111"/>
      <c r="AC981" s="130"/>
      <c r="AD981" s="130">
        <v>28030</v>
      </c>
      <c r="AE981" s="128" t="s">
        <v>32</v>
      </c>
      <c r="AF981" s="128" t="s">
        <v>40</v>
      </c>
      <c r="AG981" s="128" t="s">
        <v>41</v>
      </c>
      <c r="AH981" s="108" t="s">
        <v>41</v>
      </c>
      <c r="AI981" s="128" t="s">
        <v>85</v>
      </c>
      <c r="AJ981" s="129" t="s">
        <v>55</v>
      </c>
      <c r="AK981" s="129">
        <v>9</v>
      </c>
      <c r="AL981" s="3" t="s">
        <v>55</v>
      </c>
      <c r="AP981" s="129" t="s">
        <v>148</v>
      </c>
      <c r="AR981" s="128" t="s">
        <v>67</v>
      </c>
      <c r="AS981" s="129" t="s">
        <v>45</v>
      </c>
      <c r="BC981" s="129" t="s">
        <v>52</v>
      </c>
      <c r="BF981" s="111">
        <f t="shared" si="709"/>
        <v>9</v>
      </c>
      <c r="BG981" s="111">
        <f t="shared" si="710"/>
        <v>182</v>
      </c>
      <c r="BH981" s="111">
        <f t="shared" si="712"/>
        <v>183</v>
      </c>
      <c r="BI981" s="111">
        <f t="shared" si="713"/>
        <v>35.333333333333336</v>
      </c>
      <c r="BJ981" s="129">
        <f>(G981-J981)+(M981-G981)</f>
        <v>0</v>
      </c>
      <c r="BK981" s="129">
        <f t="shared" si="714"/>
        <v>-173</v>
      </c>
      <c r="BL981" s="129" t="str">
        <f t="shared" si="705"/>
        <v>NO CONVICTION</v>
      </c>
      <c r="BM981" s="129" t="s">
        <v>76</v>
      </c>
      <c r="BN981" s="129" t="s">
        <v>88</v>
      </c>
      <c r="BP981" s="137" t="str">
        <f t="shared" si="720"/>
        <v>NO CONVICTION</v>
      </c>
      <c r="BQ981" s="128" t="str">
        <f t="shared" si="721"/>
        <v>Y</v>
      </c>
      <c r="BR981" s="129" t="str">
        <f t="shared" si="722"/>
        <v>ON BOND</v>
      </c>
      <c r="BS981" s="129" t="str">
        <f t="shared" si="723"/>
        <v>DISPOSED</v>
      </c>
      <c r="BT981" s="129" t="str">
        <f t="shared" si="724"/>
        <v>Y</v>
      </c>
      <c r="BU981" s="109">
        <f>IFERROR(Q981/R981,BR981)</f>
        <v>4.9180327868852458E-2</v>
      </c>
      <c r="BV981" s="109">
        <f t="shared" si="725"/>
        <v>4.9450549450549448E-2</v>
      </c>
      <c r="BW981" s="109">
        <f t="shared" si="707"/>
        <v>2.7022158169699023E-4</v>
      </c>
      <c r="BX981" s="111">
        <f t="shared" si="726"/>
        <v>0</v>
      </c>
      <c r="BY981" s="129">
        <f t="shared" si="727"/>
        <v>-9</v>
      </c>
      <c r="BZ981" s="111">
        <f t="shared" si="728"/>
        <v>0</v>
      </c>
      <c r="CA981" s="138">
        <f t="shared" si="729"/>
        <v>9</v>
      </c>
      <c r="CB981" s="111" t="e">
        <f t="shared" si="711"/>
        <v>#VALUE!</v>
      </c>
      <c r="CC981" s="129">
        <f>M981-I981+1</f>
        <v>9</v>
      </c>
      <c r="CD981" s="111">
        <f>CC981-BF981</f>
        <v>0</v>
      </c>
      <c r="CE981" s="129">
        <f t="shared" si="730"/>
        <v>173</v>
      </c>
      <c r="CG981" s="129" t="str">
        <f t="shared" si="731"/>
        <v>Y</v>
      </c>
      <c r="CI981" s="129" t="str">
        <f t="shared" si="732"/>
        <v>0-10 DAYS</v>
      </c>
      <c r="CJ981" s="137">
        <f t="shared" si="733"/>
        <v>1</v>
      </c>
      <c r="CK981" s="129" t="str">
        <f t="shared" si="734"/>
        <v>Booked</v>
      </c>
    </row>
    <row r="982" spans="1:89" ht="15" customHeight="1" x14ac:dyDescent="0.25">
      <c r="A982" s="111">
        <v>160</v>
      </c>
      <c r="B982" s="128" t="str">
        <f t="shared" si="715"/>
        <v>N</v>
      </c>
      <c r="C982" s="128" t="str">
        <f t="shared" si="716"/>
        <v>N</v>
      </c>
      <c r="D982" s="117">
        <v>1704021</v>
      </c>
      <c r="E982" s="135">
        <f t="shared" si="717"/>
        <v>4</v>
      </c>
      <c r="F982" s="124">
        <v>40915</v>
      </c>
      <c r="G982" s="125">
        <v>40945</v>
      </c>
      <c r="H982" s="117">
        <v>1704021</v>
      </c>
      <c r="I982" s="124">
        <v>40942</v>
      </c>
      <c r="J982" s="124">
        <v>40945</v>
      </c>
      <c r="K982" s="126">
        <v>15000</v>
      </c>
      <c r="L982" s="127" t="s">
        <v>571</v>
      </c>
      <c r="N982" s="129" t="str">
        <f t="shared" si="738"/>
        <v>N</v>
      </c>
      <c r="O982" s="128" t="s">
        <v>917</v>
      </c>
      <c r="P982" s="129" t="s">
        <v>39</v>
      </c>
      <c r="Q982" s="111">
        <f t="shared" si="708"/>
        <v>4</v>
      </c>
      <c r="R982" s="111">
        <f t="shared" si="737"/>
        <v>31</v>
      </c>
      <c r="S982" s="129">
        <v>2</v>
      </c>
      <c r="T982" s="129">
        <v>6</v>
      </c>
      <c r="U982" s="129">
        <v>1</v>
      </c>
      <c r="W982" s="111"/>
      <c r="AC982" s="130"/>
      <c r="AD982" s="130">
        <v>29853</v>
      </c>
      <c r="AE982" s="128" t="s">
        <v>32</v>
      </c>
      <c r="AF982" s="128" t="s">
        <v>69</v>
      </c>
      <c r="AG982" s="128" t="s">
        <v>874</v>
      </c>
      <c r="AH982" s="108" t="s">
        <v>58</v>
      </c>
      <c r="AI982" s="128" t="s">
        <v>53</v>
      </c>
      <c r="AJ982" s="129" t="s">
        <v>89</v>
      </c>
      <c r="AK982" s="129">
        <v>2</v>
      </c>
      <c r="AL982" s="3" t="s">
        <v>991</v>
      </c>
      <c r="AO982" s="128">
        <v>180</v>
      </c>
      <c r="AP982" s="129" t="s">
        <v>60</v>
      </c>
      <c r="AR982" s="128" t="s">
        <v>44</v>
      </c>
      <c r="AS982" s="129" t="s">
        <v>61</v>
      </c>
      <c r="AT982" s="129" t="s">
        <v>598</v>
      </c>
      <c r="BC982" s="129" t="s">
        <v>99</v>
      </c>
      <c r="BF982" s="111">
        <f t="shared" si="709"/>
        <v>4</v>
      </c>
      <c r="BG982" s="111">
        <f t="shared" si="710"/>
        <v>4</v>
      </c>
      <c r="BH982" s="111">
        <f t="shared" si="712"/>
        <v>31</v>
      </c>
      <c r="BI982" s="111">
        <f t="shared" si="713"/>
        <v>30.224043715846996</v>
      </c>
      <c r="BJ982" s="129">
        <f t="shared" si="718"/>
        <v>0</v>
      </c>
      <c r="BK982" s="129">
        <f t="shared" si="714"/>
        <v>0</v>
      </c>
      <c r="BL982" s="129" t="str">
        <f t="shared" si="705"/>
        <v>CONVICTION</v>
      </c>
      <c r="BM982" s="129" t="str">
        <f t="shared" si="719"/>
        <v>NONE</v>
      </c>
      <c r="BN982" s="129" t="s">
        <v>566</v>
      </c>
      <c r="BP982" s="137" t="str">
        <f t="shared" si="720"/>
        <v>CONVICTION</v>
      </c>
      <c r="BQ982" s="128" t="str">
        <f t="shared" si="721"/>
        <v>Y</v>
      </c>
      <c r="BR982" s="129" t="str">
        <f t="shared" si="722"/>
        <v>DETAINED</v>
      </c>
      <c r="BS982" s="129" t="str">
        <f t="shared" si="723"/>
        <v>DISPOSED</v>
      </c>
      <c r="BT982" s="129" t="str">
        <f t="shared" si="724"/>
        <v>Y</v>
      </c>
      <c r="BU982" s="109">
        <f t="shared" si="735"/>
        <v>0.12903225806451613</v>
      </c>
      <c r="BV982" s="109">
        <f t="shared" si="725"/>
        <v>1</v>
      </c>
      <c r="BW982" s="109">
        <f t="shared" si="707"/>
        <v>0.87096774193548387</v>
      </c>
      <c r="BX982" s="111">
        <f t="shared" si="726"/>
        <v>0</v>
      </c>
      <c r="BY982" s="129">
        <f t="shared" si="727"/>
        <v>-4</v>
      </c>
      <c r="BZ982" s="111">
        <f t="shared" si="728"/>
        <v>0</v>
      </c>
      <c r="CA982" s="138">
        <f t="shared" si="729"/>
        <v>4</v>
      </c>
      <c r="CB982" s="111" t="e">
        <f t="shared" si="711"/>
        <v>#VALUE!</v>
      </c>
      <c r="CC982" s="129">
        <f>G982-I982+1</f>
        <v>4</v>
      </c>
      <c r="CD982" s="129">
        <f>G982-J982</f>
        <v>0</v>
      </c>
      <c r="CE982" s="129">
        <f t="shared" si="730"/>
        <v>0</v>
      </c>
      <c r="CG982" s="129" t="str">
        <f t="shared" si="731"/>
        <v>Y</v>
      </c>
      <c r="CI982" s="129" t="str">
        <f t="shared" si="732"/>
        <v>0-10 DAYS</v>
      </c>
      <c r="CJ982" s="137">
        <f t="shared" si="733"/>
        <v>1</v>
      </c>
      <c r="CK982" s="129" t="str">
        <f t="shared" si="734"/>
        <v>Booked</v>
      </c>
    </row>
    <row r="983" spans="1:89" ht="15.75" customHeight="1" x14ac:dyDescent="0.25">
      <c r="A983" s="111">
        <v>2721</v>
      </c>
      <c r="B983" s="128" t="str">
        <f t="shared" si="715"/>
        <v>N</v>
      </c>
      <c r="C983" s="128" t="str">
        <f t="shared" si="716"/>
        <v>Y</v>
      </c>
      <c r="D983" s="114">
        <v>1704137</v>
      </c>
      <c r="E983" s="135">
        <f t="shared" si="717"/>
        <v>6</v>
      </c>
      <c r="F983" s="124">
        <v>41010</v>
      </c>
      <c r="G983" s="125">
        <v>41242</v>
      </c>
      <c r="H983" s="114">
        <v>1704137</v>
      </c>
      <c r="I983" s="124">
        <v>41010</v>
      </c>
      <c r="J983" s="124">
        <v>41020</v>
      </c>
      <c r="K983" s="126">
        <v>40000</v>
      </c>
      <c r="L983" s="129" t="s">
        <v>572</v>
      </c>
      <c r="M983" s="125">
        <v>41020</v>
      </c>
      <c r="N983" s="129" t="str">
        <f t="shared" si="738"/>
        <v>Y</v>
      </c>
      <c r="O983" s="128" t="s">
        <v>585</v>
      </c>
      <c r="P983" s="129" t="s">
        <v>39</v>
      </c>
      <c r="Q983" s="111">
        <v>19</v>
      </c>
      <c r="R983" s="111">
        <f t="shared" si="737"/>
        <v>233</v>
      </c>
      <c r="S983" s="129">
        <v>3</v>
      </c>
      <c r="T983" s="129">
        <v>2</v>
      </c>
      <c r="U983" s="129">
        <v>2</v>
      </c>
      <c r="W983" s="111"/>
      <c r="AC983" s="130"/>
      <c r="AD983" s="130">
        <v>28418</v>
      </c>
      <c r="AE983" s="128" t="s">
        <v>32</v>
      </c>
      <c r="AF983" s="128" t="s">
        <v>33</v>
      </c>
      <c r="AG983" s="128" t="s">
        <v>872</v>
      </c>
      <c r="AH983" s="108" t="s">
        <v>58</v>
      </c>
      <c r="AI983" s="128" t="s">
        <v>34</v>
      </c>
      <c r="AJ983" s="129" t="s">
        <v>89</v>
      </c>
      <c r="AK983" s="129">
        <v>6</v>
      </c>
      <c r="AL983" s="3" t="s">
        <v>362</v>
      </c>
      <c r="AM983" s="117">
        <v>6</v>
      </c>
      <c r="AP983" s="129" t="s">
        <v>132</v>
      </c>
      <c r="AR983" s="128" t="s">
        <v>92</v>
      </c>
      <c r="AS983" s="129" t="s">
        <v>82</v>
      </c>
      <c r="AT983" s="129" t="s">
        <v>1094</v>
      </c>
      <c r="AV983" s="3" t="s">
        <v>88</v>
      </c>
      <c r="AW983" s="129" t="s">
        <v>782</v>
      </c>
      <c r="AY983" s="123"/>
      <c r="BA983" s="125">
        <v>41304</v>
      </c>
      <c r="BB983" s="129">
        <v>278</v>
      </c>
      <c r="BC983" s="129" t="s">
        <v>38</v>
      </c>
      <c r="BF983" s="111">
        <v>19</v>
      </c>
      <c r="BG983" s="111">
        <f t="shared" si="710"/>
        <v>233</v>
      </c>
      <c r="BH983" s="111">
        <f t="shared" si="712"/>
        <v>233</v>
      </c>
      <c r="BI983" s="111">
        <f t="shared" si="713"/>
        <v>34.404371584699454</v>
      </c>
      <c r="BJ983" s="129">
        <f>(G983-J983)+(M983-G983)</f>
        <v>0</v>
      </c>
      <c r="BK983" s="129">
        <f t="shared" si="714"/>
        <v>-222</v>
      </c>
      <c r="BL983" s="129" t="str">
        <f t="shared" si="705"/>
        <v>CONVICTION</v>
      </c>
      <c r="BM983" s="129" t="s">
        <v>76</v>
      </c>
      <c r="BN983" s="129" t="s">
        <v>566</v>
      </c>
      <c r="BP983" s="137" t="str">
        <f t="shared" si="720"/>
        <v>CONVICTION</v>
      </c>
      <c r="BQ983" s="128" t="str">
        <f t="shared" si="721"/>
        <v>Y</v>
      </c>
      <c r="BR983" s="129" t="s">
        <v>574</v>
      </c>
      <c r="BS983" s="129" t="str">
        <f t="shared" si="723"/>
        <v>DISPOSED</v>
      </c>
      <c r="BT983" s="129" t="str">
        <f t="shared" si="724"/>
        <v>Y</v>
      </c>
      <c r="BU983" s="109">
        <f t="shared" si="735"/>
        <v>8.15450643776824E-2</v>
      </c>
      <c r="BV983" s="109">
        <f t="shared" si="725"/>
        <v>4.7210300429184553E-2</v>
      </c>
      <c r="BW983" s="109">
        <f t="shared" si="707"/>
        <v>-3.4334763948497847E-2</v>
      </c>
      <c r="BX983" s="111">
        <f t="shared" si="726"/>
        <v>0</v>
      </c>
      <c r="BY983" s="129">
        <f t="shared" si="727"/>
        <v>-11</v>
      </c>
      <c r="BZ983" s="111">
        <f t="shared" si="728"/>
        <v>8</v>
      </c>
      <c r="CA983" s="138">
        <f t="shared" si="729"/>
        <v>233</v>
      </c>
      <c r="CB983" s="111">
        <v>19</v>
      </c>
      <c r="CC983" s="129">
        <f>G983-I983+1</f>
        <v>233</v>
      </c>
      <c r="CD983" s="129">
        <f>G983-J983</f>
        <v>222</v>
      </c>
      <c r="CE983" s="129">
        <f t="shared" si="730"/>
        <v>222</v>
      </c>
      <c r="CG983" s="129" t="str">
        <f t="shared" si="731"/>
        <v>Y</v>
      </c>
      <c r="CI983" s="129" t="str">
        <f t="shared" si="732"/>
        <v>11-30 DAYS</v>
      </c>
      <c r="CJ983" s="137">
        <f t="shared" si="733"/>
        <v>2</v>
      </c>
      <c r="CK983" s="129" t="str">
        <f t="shared" si="734"/>
        <v>Booked</v>
      </c>
    </row>
    <row r="984" spans="1:89" ht="15.75" customHeight="1" x14ac:dyDescent="0.25">
      <c r="A984" s="111">
        <v>1840</v>
      </c>
      <c r="B984" s="128" t="str">
        <f t="shared" si="715"/>
        <v>N</v>
      </c>
      <c r="C984" s="128" t="str">
        <f t="shared" si="716"/>
        <v>N</v>
      </c>
      <c r="D984" s="117">
        <v>1706871</v>
      </c>
      <c r="E984" s="135">
        <f t="shared" si="717"/>
        <v>5</v>
      </c>
      <c r="F984" s="124">
        <v>40977</v>
      </c>
      <c r="G984" s="125">
        <v>41087</v>
      </c>
      <c r="H984" s="117">
        <v>1706871</v>
      </c>
      <c r="I984" s="124">
        <v>40977</v>
      </c>
      <c r="J984" s="124">
        <v>41087</v>
      </c>
      <c r="K984" s="126">
        <v>15000</v>
      </c>
      <c r="L984" s="127" t="s">
        <v>571</v>
      </c>
      <c r="N984" s="129" t="str">
        <f t="shared" si="738"/>
        <v>N</v>
      </c>
      <c r="O984" s="128" t="s">
        <v>917</v>
      </c>
      <c r="P984" s="129" t="s">
        <v>39</v>
      </c>
      <c r="Q984" s="111">
        <f t="shared" ref="Q984:Q1025" si="739">BF984</f>
        <v>111</v>
      </c>
      <c r="R984" s="111">
        <f t="shared" si="737"/>
        <v>111</v>
      </c>
      <c r="S984" s="129">
        <v>7</v>
      </c>
      <c r="T984" s="129">
        <v>2</v>
      </c>
      <c r="U984" s="129">
        <v>5</v>
      </c>
      <c r="W984" s="111"/>
      <c r="AC984" s="130"/>
      <c r="AD984" s="130">
        <v>29863</v>
      </c>
      <c r="AE984" s="128" t="s">
        <v>32</v>
      </c>
      <c r="AF984" s="128" t="s">
        <v>33</v>
      </c>
      <c r="AG984" s="128" t="s">
        <v>872</v>
      </c>
      <c r="AH984" s="108" t="s">
        <v>31</v>
      </c>
      <c r="AI984" s="128" t="s">
        <v>85</v>
      </c>
      <c r="AJ984" s="129" t="s">
        <v>89</v>
      </c>
      <c r="AK984" s="129">
        <v>6</v>
      </c>
      <c r="AL984" s="3" t="s">
        <v>992</v>
      </c>
      <c r="AN984" s="117">
        <v>9</v>
      </c>
      <c r="AP984" s="129" t="s">
        <v>127</v>
      </c>
      <c r="AR984" s="128" t="s">
        <v>44</v>
      </c>
      <c r="AS984" s="129" t="s">
        <v>82</v>
      </c>
      <c r="BC984" s="129" t="s">
        <v>52</v>
      </c>
      <c r="BF984" s="111">
        <f t="shared" ref="BF984:BF995" si="740">IF(J984&gt;1/1/1900,((J984+1)-I984),"STILL OPEN")</f>
        <v>111</v>
      </c>
      <c r="BG984" s="111">
        <f t="shared" si="710"/>
        <v>111</v>
      </c>
      <c r="BH984" s="111">
        <f t="shared" si="712"/>
        <v>111</v>
      </c>
      <c r="BI984" s="111">
        <f t="shared" si="713"/>
        <v>30.366120218579233</v>
      </c>
      <c r="BJ984" s="129">
        <f t="shared" si="718"/>
        <v>0</v>
      </c>
      <c r="BK984" s="129">
        <f t="shared" si="714"/>
        <v>0</v>
      </c>
      <c r="BL984" s="129" t="str">
        <f t="shared" si="705"/>
        <v>CONVICTION</v>
      </c>
      <c r="BM984" s="129" t="str">
        <f t="shared" si="719"/>
        <v>NONE</v>
      </c>
      <c r="BN984" s="129" t="s">
        <v>566</v>
      </c>
      <c r="BP984" s="137" t="str">
        <f t="shared" si="720"/>
        <v>CONVICTION</v>
      </c>
      <c r="BQ984" s="128" t="str">
        <f t="shared" si="721"/>
        <v>Y</v>
      </c>
      <c r="BR984" s="129" t="str">
        <f t="shared" si="722"/>
        <v>DETAINED</v>
      </c>
      <c r="BS984" s="129" t="str">
        <f t="shared" si="723"/>
        <v>DISPOSED</v>
      </c>
      <c r="BT984" s="129" t="str">
        <f t="shared" si="724"/>
        <v>Y</v>
      </c>
      <c r="BU984" s="109">
        <f t="shared" si="735"/>
        <v>1</v>
      </c>
      <c r="BV984" s="109">
        <f t="shared" si="725"/>
        <v>1</v>
      </c>
      <c r="BW984" s="109">
        <f t="shared" si="707"/>
        <v>0</v>
      </c>
      <c r="BX984" s="111">
        <f t="shared" si="726"/>
        <v>0</v>
      </c>
      <c r="BY984" s="129">
        <f t="shared" si="727"/>
        <v>-111</v>
      </c>
      <c r="BZ984" s="111">
        <f t="shared" si="728"/>
        <v>0</v>
      </c>
      <c r="CA984" s="138">
        <f t="shared" si="729"/>
        <v>111</v>
      </c>
      <c r="CB984" s="111" t="e">
        <f t="shared" ref="CB984:CB995" si="741">IF(AF984&gt;1/1/1900,((AF984+1)-AE984),"STILL OPEN")</f>
        <v>#VALUE!</v>
      </c>
      <c r="CC984" s="129">
        <f>G984-I984+1</f>
        <v>111</v>
      </c>
      <c r="CD984" s="129">
        <f>G984-J984</f>
        <v>0</v>
      </c>
      <c r="CE984" s="129">
        <f t="shared" si="730"/>
        <v>0</v>
      </c>
      <c r="CG984" s="129" t="str">
        <f t="shared" si="731"/>
        <v>Y</v>
      </c>
      <c r="CI984" s="129" t="str">
        <f t="shared" si="732"/>
        <v>91-120 DAYS</v>
      </c>
      <c r="CJ984" s="137">
        <f t="shared" si="733"/>
        <v>0</v>
      </c>
      <c r="CK984" s="129" t="str">
        <f t="shared" si="734"/>
        <v>Booked</v>
      </c>
    </row>
    <row r="985" spans="1:89" ht="15" customHeight="1" x14ac:dyDescent="0.25">
      <c r="A985" s="111">
        <v>1455</v>
      </c>
      <c r="B985" s="128" t="str">
        <f t="shared" si="715"/>
        <v>N</v>
      </c>
      <c r="C985" s="128" t="str">
        <f t="shared" si="716"/>
        <v>N</v>
      </c>
      <c r="D985" s="117">
        <v>1707738</v>
      </c>
      <c r="E985" s="135">
        <f t="shared" si="717"/>
        <v>2</v>
      </c>
      <c r="F985" s="124">
        <v>40962</v>
      </c>
      <c r="G985" s="125">
        <v>40997</v>
      </c>
      <c r="H985" s="117">
        <v>1707738</v>
      </c>
      <c r="I985" s="124">
        <v>40962</v>
      </c>
      <c r="J985" s="124">
        <v>40997</v>
      </c>
      <c r="K985" s="126">
        <v>5000</v>
      </c>
      <c r="L985" s="127" t="s">
        <v>569</v>
      </c>
      <c r="N985" s="129" t="str">
        <f t="shared" si="738"/>
        <v>N</v>
      </c>
      <c r="O985" s="128" t="s">
        <v>917</v>
      </c>
      <c r="P985" s="129" t="s">
        <v>589</v>
      </c>
      <c r="Q985" s="111">
        <f t="shared" si="739"/>
        <v>36</v>
      </c>
      <c r="R985" s="111">
        <f t="shared" si="737"/>
        <v>36</v>
      </c>
      <c r="S985" s="129">
        <v>1</v>
      </c>
      <c r="T985" s="129">
        <v>1</v>
      </c>
      <c r="W985" s="111"/>
      <c r="AC985" s="130"/>
      <c r="AD985" s="130">
        <v>27781</v>
      </c>
      <c r="AE985" s="128" t="s">
        <v>46</v>
      </c>
      <c r="AF985" s="128" t="s">
        <v>33</v>
      </c>
      <c r="AG985" s="128" t="s">
        <v>872</v>
      </c>
      <c r="AH985" s="108" t="s">
        <v>58</v>
      </c>
      <c r="AI985" s="128" t="s">
        <v>100</v>
      </c>
      <c r="AJ985" s="129" t="s">
        <v>48</v>
      </c>
      <c r="AK985" s="129">
        <v>2</v>
      </c>
      <c r="AL985" s="3" t="s">
        <v>48</v>
      </c>
      <c r="AP985" s="129" t="s">
        <v>197</v>
      </c>
      <c r="AR985" s="128" t="s">
        <v>44</v>
      </c>
      <c r="AS985" s="129" t="s">
        <v>61</v>
      </c>
      <c r="BC985" s="129" t="s">
        <v>38</v>
      </c>
      <c r="BF985" s="111">
        <f t="shared" si="740"/>
        <v>36</v>
      </c>
      <c r="BG985" s="111">
        <f t="shared" si="710"/>
        <v>36</v>
      </c>
      <c r="BH985" s="111">
        <f t="shared" si="712"/>
        <v>36</v>
      </c>
      <c r="BI985" s="111">
        <f t="shared" si="713"/>
        <v>36.013661202185794</v>
      </c>
      <c r="BJ985" s="129">
        <f t="shared" si="718"/>
        <v>0</v>
      </c>
      <c r="BK985" s="129">
        <f t="shared" si="714"/>
        <v>0</v>
      </c>
      <c r="BL985" s="129" t="str">
        <f t="shared" ref="BL985:BL1047" si="742">IF(OR(AL985="AQUITTAL",AL985="DISMISSED",AL985="FINE",AL985="NO BILL"),"NO CONVICTION",IF(OR(AL985="HCJ",AL985="MHH",AL985="PROBATION",AL985="STJ",AL985="TDC"),"CONVICTION",IF(AL985="DEFERRED","DEFERRED",0)))</f>
        <v>DEFERRED</v>
      </c>
      <c r="BM985" s="129" t="str">
        <f t="shared" si="719"/>
        <v>NONE</v>
      </c>
      <c r="BN985" s="129" t="s">
        <v>566</v>
      </c>
      <c r="BP985" s="137" t="str">
        <f t="shared" si="720"/>
        <v>DEFERRED</v>
      </c>
      <c r="BQ985" s="128" t="str">
        <f t="shared" si="721"/>
        <v>Y</v>
      </c>
      <c r="BR985" s="129" t="str">
        <f t="shared" si="722"/>
        <v>DETAINED</v>
      </c>
      <c r="BS985" s="129" t="str">
        <f t="shared" si="723"/>
        <v>DISPOSED</v>
      </c>
      <c r="BT985" s="129" t="str">
        <f t="shared" si="724"/>
        <v>Y</v>
      </c>
      <c r="BU985" s="109">
        <f t="shared" si="735"/>
        <v>1</v>
      </c>
      <c r="BV985" s="109">
        <f t="shared" si="725"/>
        <v>1</v>
      </c>
      <c r="BW985" s="109">
        <f t="shared" si="707"/>
        <v>0</v>
      </c>
      <c r="BX985" s="111">
        <f t="shared" si="726"/>
        <v>0</v>
      </c>
      <c r="BY985" s="129">
        <f t="shared" si="727"/>
        <v>-36</v>
      </c>
      <c r="BZ985" s="111">
        <f t="shared" si="728"/>
        <v>0</v>
      </c>
      <c r="CA985" s="138">
        <f t="shared" si="729"/>
        <v>36</v>
      </c>
      <c r="CB985" s="111" t="e">
        <f t="shared" si="741"/>
        <v>#VALUE!</v>
      </c>
      <c r="CC985" s="129">
        <f>G985-I985+1</f>
        <v>36</v>
      </c>
      <c r="CD985" s="129">
        <f>G985-J985</f>
        <v>0</v>
      </c>
      <c r="CE985" s="129">
        <f t="shared" si="730"/>
        <v>0</v>
      </c>
      <c r="CG985" s="129" t="str">
        <f t="shared" si="731"/>
        <v>Y</v>
      </c>
      <c r="CI985" s="129" t="str">
        <f t="shared" si="732"/>
        <v>31-60 DAYS</v>
      </c>
      <c r="CJ985" s="137">
        <f t="shared" si="733"/>
        <v>3</v>
      </c>
      <c r="CK985" s="129" t="str">
        <f t="shared" si="734"/>
        <v>Booked</v>
      </c>
    </row>
    <row r="986" spans="1:89" ht="15.75" customHeight="1" x14ac:dyDescent="0.25">
      <c r="A986" s="111">
        <v>2020</v>
      </c>
      <c r="B986" s="128" t="str">
        <f t="shared" si="715"/>
        <v>N</v>
      </c>
      <c r="C986" s="128" t="str">
        <f t="shared" si="716"/>
        <v>N</v>
      </c>
      <c r="D986" s="117">
        <v>1708675</v>
      </c>
      <c r="E986" s="135">
        <f t="shared" si="717"/>
        <v>6</v>
      </c>
      <c r="F986" s="124">
        <v>40984</v>
      </c>
      <c r="G986" s="125">
        <v>40987</v>
      </c>
      <c r="H986" s="117">
        <v>1708675</v>
      </c>
      <c r="I986" s="124">
        <v>40985</v>
      </c>
      <c r="J986" s="124">
        <v>40987</v>
      </c>
      <c r="K986" s="126">
        <v>15000</v>
      </c>
      <c r="L986" s="127" t="s">
        <v>571</v>
      </c>
      <c r="N986" s="129" t="str">
        <f t="shared" si="738"/>
        <v>N</v>
      </c>
      <c r="O986" s="128" t="s">
        <v>917</v>
      </c>
      <c r="P986" s="129" t="s">
        <v>39</v>
      </c>
      <c r="Q986" s="111">
        <f t="shared" si="739"/>
        <v>3</v>
      </c>
      <c r="R986" s="111">
        <f t="shared" si="737"/>
        <v>4</v>
      </c>
      <c r="S986" s="129">
        <v>4</v>
      </c>
      <c r="T986" s="129">
        <v>2</v>
      </c>
      <c r="U986" s="129">
        <v>3</v>
      </c>
      <c r="W986" s="111"/>
      <c r="AC986" s="130"/>
      <c r="AD986" s="130">
        <v>29029</v>
      </c>
      <c r="AE986" s="128" t="s">
        <v>32</v>
      </c>
      <c r="AF986" s="128" t="s">
        <v>33</v>
      </c>
      <c r="AG986" s="128" t="s">
        <v>872</v>
      </c>
      <c r="AH986" s="108" t="s">
        <v>58</v>
      </c>
      <c r="AI986" s="128" t="s">
        <v>113</v>
      </c>
      <c r="AJ986" s="129" t="s">
        <v>89</v>
      </c>
      <c r="AK986" s="129">
        <v>1</v>
      </c>
      <c r="AL986" s="3" t="s">
        <v>362</v>
      </c>
      <c r="AM986" s="117">
        <v>2</v>
      </c>
      <c r="AP986" s="129" t="s">
        <v>43</v>
      </c>
      <c r="AR986" s="128" t="s">
        <v>44</v>
      </c>
      <c r="AS986" s="129" t="s">
        <v>45</v>
      </c>
      <c r="BC986" s="129" t="s">
        <v>38</v>
      </c>
      <c r="BF986" s="111">
        <f t="shared" si="740"/>
        <v>3</v>
      </c>
      <c r="BG986" s="111">
        <f t="shared" si="710"/>
        <v>3</v>
      </c>
      <c r="BH986" s="111">
        <f t="shared" si="712"/>
        <v>4</v>
      </c>
      <c r="BI986" s="111">
        <f t="shared" si="713"/>
        <v>32.66393442622951</v>
      </c>
      <c r="BJ986" s="129">
        <f t="shared" si="718"/>
        <v>0</v>
      </c>
      <c r="BK986" s="129">
        <f t="shared" si="714"/>
        <v>0</v>
      </c>
      <c r="BL986" s="129" t="str">
        <f t="shared" si="742"/>
        <v>CONVICTION</v>
      </c>
      <c r="BM986" s="129" t="str">
        <f t="shared" si="719"/>
        <v>NONE</v>
      </c>
      <c r="BN986" s="129" t="s">
        <v>566</v>
      </c>
      <c r="BP986" s="137" t="str">
        <f t="shared" si="720"/>
        <v>CONVICTION</v>
      </c>
      <c r="BQ986" s="128" t="str">
        <f t="shared" si="721"/>
        <v>Y</v>
      </c>
      <c r="BR986" s="129" t="str">
        <f t="shared" si="722"/>
        <v>DETAINED</v>
      </c>
      <c r="BS986" s="129" t="str">
        <f t="shared" si="723"/>
        <v>DISPOSED</v>
      </c>
      <c r="BT986" s="129" t="str">
        <f t="shared" si="724"/>
        <v>Y</v>
      </c>
      <c r="BU986" s="109">
        <f t="shared" si="735"/>
        <v>0.75</v>
      </c>
      <c r="BV986" s="109">
        <f t="shared" si="725"/>
        <v>1</v>
      </c>
      <c r="BW986" s="109">
        <f t="shared" si="707"/>
        <v>0.25</v>
      </c>
      <c r="BX986" s="111">
        <f t="shared" si="726"/>
        <v>0</v>
      </c>
      <c r="BY986" s="129">
        <f t="shared" si="727"/>
        <v>-3</v>
      </c>
      <c r="BZ986" s="111">
        <f t="shared" si="728"/>
        <v>0</v>
      </c>
      <c r="CA986" s="138">
        <f t="shared" si="729"/>
        <v>3</v>
      </c>
      <c r="CB986" s="111" t="e">
        <f t="shared" si="741"/>
        <v>#VALUE!</v>
      </c>
      <c r="CC986" s="129">
        <f>G986-I986+1</f>
        <v>3</v>
      </c>
      <c r="CD986" s="129">
        <f>G986-J986</f>
        <v>0</v>
      </c>
      <c r="CE986" s="129">
        <f t="shared" si="730"/>
        <v>0</v>
      </c>
      <c r="CG986" s="129" t="str">
        <f t="shared" si="731"/>
        <v>Y</v>
      </c>
      <c r="CI986" s="129" t="str">
        <f t="shared" si="732"/>
        <v>0-10 DAYS</v>
      </c>
      <c r="CJ986" s="137">
        <f t="shared" si="733"/>
        <v>1</v>
      </c>
      <c r="CK986" s="129" t="str">
        <f t="shared" si="734"/>
        <v>Booked</v>
      </c>
    </row>
    <row r="987" spans="1:89" ht="15.75" customHeight="1" x14ac:dyDescent="0.25">
      <c r="A987" s="111">
        <v>2582</v>
      </c>
      <c r="B987" s="128" t="str">
        <f t="shared" si="715"/>
        <v>N</v>
      </c>
      <c r="C987" s="128" t="str">
        <f t="shared" si="716"/>
        <v>N</v>
      </c>
      <c r="D987" s="117">
        <v>1708967</v>
      </c>
      <c r="E987" s="135">
        <f t="shared" si="717"/>
        <v>6</v>
      </c>
      <c r="F987" s="124">
        <v>41005</v>
      </c>
      <c r="G987" s="125">
        <v>41046</v>
      </c>
      <c r="H987" s="117">
        <v>1708967</v>
      </c>
      <c r="I987" s="124">
        <v>41005</v>
      </c>
      <c r="J987" s="124">
        <v>41006</v>
      </c>
      <c r="K987" s="126">
        <v>10000</v>
      </c>
      <c r="L987" s="127" t="s">
        <v>570</v>
      </c>
      <c r="M987" s="125">
        <v>41006</v>
      </c>
      <c r="N987" s="129" t="str">
        <f t="shared" si="738"/>
        <v>Y</v>
      </c>
      <c r="O987" s="128" t="s">
        <v>76</v>
      </c>
      <c r="P987" s="129" t="s">
        <v>39</v>
      </c>
      <c r="Q987" s="111">
        <f t="shared" si="739"/>
        <v>2</v>
      </c>
      <c r="R987" s="111">
        <f t="shared" si="737"/>
        <v>42</v>
      </c>
      <c r="S987" s="129">
        <v>8</v>
      </c>
      <c r="T987" s="129">
        <v>4</v>
      </c>
      <c r="U987" s="129">
        <v>5</v>
      </c>
      <c r="W987" s="111"/>
      <c r="AC987" s="130"/>
      <c r="AD987" s="130">
        <v>30286</v>
      </c>
      <c r="AE987" s="128" t="s">
        <v>32</v>
      </c>
      <c r="AF987" s="128" t="s">
        <v>33</v>
      </c>
      <c r="AG987" s="128" t="s">
        <v>872</v>
      </c>
      <c r="AH987" s="108" t="s">
        <v>58</v>
      </c>
      <c r="AI987" s="128" t="s">
        <v>53</v>
      </c>
      <c r="AJ987" s="129" t="s">
        <v>89</v>
      </c>
      <c r="AK987" s="129">
        <v>4</v>
      </c>
      <c r="AL987" s="3" t="s">
        <v>362</v>
      </c>
      <c r="AM987" s="117">
        <v>2</v>
      </c>
      <c r="AP987" s="129" t="s">
        <v>101</v>
      </c>
      <c r="AR987" s="128" t="s">
        <v>67</v>
      </c>
      <c r="AS987" s="129" t="s">
        <v>64</v>
      </c>
      <c r="BC987" s="129" t="s">
        <v>38</v>
      </c>
      <c r="BF987" s="111">
        <f t="shared" si="740"/>
        <v>2</v>
      </c>
      <c r="BG987" s="111">
        <f t="shared" si="710"/>
        <v>42</v>
      </c>
      <c r="BH987" s="111">
        <f t="shared" si="712"/>
        <v>42</v>
      </c>
      <c r="BI987" s="111">
        <f t="shared" si="713"/>
        <v>29.28688524590164</v>
      </c>
      <c r="BJ987" s="129">
        <f>(G987-J987)+(M987-G987)</f>
        <v>0</v>
      </c>
      <c r="BK987" s="129">
        <f t="shared" si="714"/>
        <v>-40</v>
      </c>
      <c r="BL987" s="129" t="str">
        <f t="shared" si="742"/>
        <v>CONVICTION</v>
      </c>
      <c r="BM987" s="129" t="s">
        <v>76</v>
      </c>
      <c r="BN987" s="129" t="s">
        <v>88</v>
      </c>
      <c r="BP987" s="137" t="str">
        <f t="shared" si="720"/>
        <v>CONVICTION</v>
      </c>
      <c r="BQ987" s="128" t="str">
        <f t="shared" si="721"/>
        <v>Y</v>
      </c>
      <c r="BR987" s="129" t="str">
        <f>IF(J987&lt;G987,"ON BOND",0)</f>
        <v>ON BOND</v>
      </c>
      <c r="BS987" s="129" t="str">
        <f t="shared" si="723"/>
        <v>DISPOSED</v>
      </c>
      <c r="BT987" s="129" t="str">
        <f t="shared" si="724"/>
        <v>Y</v>
      </c>
      <c r="BU987" s="109">
        <f t="shared" si="735"/>
        <v>4.7619047619047616E-2</v>
      </c>
      <c r="BV987" s="109">
        <f t="shared" si="725"/>
        <v>4.7619047619047616E-2</v>
      </c>
      <c r="BW987" s="109">
        <f t="shared" si="707"/>
        <v>0</v>
      </c>
      <c r="BX987" s="111">
        <f t="shared" si="726"/>
        <v>0</v>
      </c>
      <c r="BY987" s="129">
        <f t="shared" si="727"/>
        <v>-2</v>
      </c>
      <c r="BZ987" s="111">
        <f t="shared" si="728"/>
        <v>0</v>
      </c>
      <c r="CA987" s="138">
        <f t="shared" si="729"/>
        <v>2</v>
      </c>
      <c r="CB987" s="111" t="e">
        <f t="shared" si="741"/>
        <v>#VALUE!</v>
      </c>
      <c r="CC987" s="129">
        <f>M987-I987+1</f>
        <v>2</v>
      </c>
      <c r="CD987" s="111">
        <f>CC987-BF987</f>
        <v>0</v>
      </c>
      <c r="CE987" s="129">
        <f t="shared" si="730"/>
        <v>40</v>
      </c>
      <c r="CG987" s="129" t="str">
        <f t="shared" si="731"/>
        <v>Y</v>
      </c>
      <c r="CI987" s="129" t="str">
        <f t="shared" si="732"/>
        <v>0-10 DAYS</v>
      </c>
      <c r="CJ987" s="137">
        <f t="shared" si="733"/>
        <v>1</v>
      </c>
      <c r="CK987" s="129" t="str">
        <f t="shared" si="734"/>
        <v>Booked</v>
      </c>
    </row>
    <row r="988" spans="1:89" ht="15.75" customHeight="1" x14ac:dyDescent="0.25">
      <c r="A988" s="111">
        <v>1567</v>
      </c>
      <c r="B988" s="128" t="str">
        <f t="shared" si="715"/>
        <v>N</v>
      </c>
      <c r="C988" s="128" t="str">
        <f t="shared" si="716"/>
        <v>N</v>
      </c>
      <c r="D988" s="117">
        <v>1709167</v>
      </c>
      <c r="E988" s="135">
        <f t="shared" si="717"/>
        <v>4</v>
      </c>
      <c r="F988" s="124">
        <v>40967</v>
      </c>
      <c r="G988" s="125">
        <v>40968</v>
      </c>
      <c r="H988" s="117">
        <v>1709167</v>
      </c>
      <c r="I988" s="124">
        <v>40967</v>
      </c>
      <c r="J988" s="124">
        <v>40968</v>
      </c>
      <c r="K988" s="126">
        <v>15000</v>
      </c>
      <c r="L988" s="127" t="s">
        <v>571</v>
      </c>
      <c r="N988" s="129" t="str">
        <f t="shared" si="738"/>
        <v>N</v>
      </c>
      <c r="O988" s="128" t="s">
        <v>917</v>
      </c>
      <c r="P988" s="129" t="s">
        <v>39</v>
      </c>
      <c r="Q988" s="111">
        <f t="shared" si="739"/>
        <v>2</v>
      </c>
      <c r="R988" s="111">
        <f t="shared" si="737"/>
        <v>2</v>
      </c>
      <c r="S988" s="129">
        <v>2</v>
      </c>
      <c r="T988" s="129">
        <v>1</v>
      </c>
      <c r="U988" s="129">
        <v>1</v>
      </c>
      <c r="W988" s="111"/>
      <c r="AC988" s="130"/>
      <c r="AD988" s="130">
        <v>24129</v>
      </c>
      <c r="AE988" s="128" t="s">
        <v>32</v>
      </c>
      <c r="AF988" s="128" t="s">
        <v>33</v>
      </c>
      <c r="AG988" s="128" t="s">
        <v>872</v>
      </c>
      <c r="AH988" s="108" t="s">
        <v>31</v>
      </c>
      <c r="AI988" s="128" t="s">
        <v>65</v>
      </c>
      <c r="AJ988" s="129" t="s">
        <v>89</v>
      </c>
      <c r="AK988" s="129">
        <v>1</v>
      </c>
      <c r="AL988" s="3" t="s">
        <v>991</v>
      </c>
      <c r="AO988" s="128">
        <v>300</v>
      </c>
      <c r="AP988" s="129" t="s">
        <v>43</v>
      </c>
      <c r="AR988" s="128" t="s">
        <v>44</v>
      </c>
      <c r="AS988" s="129" t="s">
        <v>45</v>
      </c>
      <c r="BC988" s="129" t="s">
        <v>38</v>
      </c>
      <c r="BF988" s="111">
        <f t="shared" si="740"/>
        <v>2</v>
      </c>
      <c r="BG988" s="111">
        <f t="shared" si="710"/>
        <v>2</v>
      </c>
      <c r="BH988" s="111">
        <f t="shared" si="712"/>
        <v>2</v>
      </c>
      <c r="BI988" s="111">
        <f t="shared" si="713"/>
        <v>46.005464480874316</v>
      </c>
      <c r="BJ988" s="129">
        <f t="shared" si="718"/>
        <v>0</v>
      </c>
      <c r="BK988" s="129">
        <f t="shared" si="714"/>
        <v>0</v>
      </c>
      <c r="BL988" s="129" t="str">
        <f t="shared" si="742"/>
        <v>CONVICTION</v>
      </c>
      <c r="BM988" s="129" t="str">
        <f t="shared" si="719"/>
        <v>NONE</v>
      </c>
      <c r="BN988" s="129" t="s">
        <v>566</v>
      </c>
      <c r="BP988" s="137" t="str">
        <f t="shared" si="720"/>
        <v>CONVICTION</v>
      </c>
      <c r="BQ988" s="128" t="str">
        <f t="shared" si="721"/>
        <v>Y</v>
      </c>
      <c r="BR988" s="129" t="str">
        <f t="shared" si="722"/>
        <v>DETAINED</v>
      </c>
      <c r="BS988" s="129" t="str">
        <f t="shared" si="723"/>
        <v>DISPOSED</v>
      </c>
      <c r="BT988" s="129" t="str">
        <f t="shared" si="724"/>
        <v>Y</v>
      </c>
      <c r="BU988" s="109">
        <f t="shared" si="735"/>
        <v>1</v>
      </c>
      <c r="BV988" s="109">
        <f t="shared" si="725"/>
        <v>1</v>
      </c>
      <c r="BW988" s="109">
        <f t="shared" si="707"/>
        <v>0</v>
      </c>
      <c r="BX988" s="111">
        <f t="shared" si="726"/>
        <v>0</v>
      </c>
      <c r="BY988" s="129">
        <f t="shared" si="727"/>
        <v>-2</v>
      </c>
      <c r="BZ988" s="111">
        <f t="shared" si="728"/>
        <v>0</v>
      </c>
      <c r="CA988" s="138">
        <f t="shared" si="729"/>
        <v>2</v>
      </c>
      <c r="CB988" s="111" t="e">
        <f t="shared" si="741"/>
        <v>#VALUE!</v>
      </c>
      <c r="CC988" s="129">
        <f>G988-I988+1</f>
        <v>2</v>
      </c>
      <c r="CD988" s="129">
        <f>G988-J988</f>
        <v>0</v>
      </c>
      <c r="CE988" s="129">
        <f t="shared" si="730"/>
        <v>0</v>
      </c>
      <c r="CG988" s="129" t="str">
        <f t="shared" si="731"/>
        <v>Y</v>
      </c>
      <c r="CI988" s="129" t="str">
        <f t="shared" si="732"/>
        <v>0-10 DAYS</v>
      </c>
      <c r="CJ988" s="137">
        <f t="shared" si="733"/>
        <v>1</v>
      </c>
      <c r="CK988" s="129" t="str">
        <f t="shared" si="734"/>
        <v>Booked</v>
      </c>
    </row>
    <row r="989" spans="1:89" ht="15" customHeight="1" x14ac:dyDescent="0.25">
      <c r="A989" s="111">
        <v>2703</v>
      </c>
      <c r="B989" s="128" t="str">
        <f t="shared" si="715"/>
        <v>N</v>
      </c>
      <c r="C989" s="128" t="str">
        <f t="shared" si="716"/>
        <v>N</v>
      </c>
      <c r="D989" s="117">
        <v>1710075</v>
      </c>
      <c r="E989" s="135">
        <f t="shared" si="717"/>
        <v>6</v>
      </c>
      <c r="F989" s="124">
        <v>41009</v>
      </c>
      <c r="G989" s="125">
        <v>41248</v>
      </c>
      <c r="H989" s="117">
        <v>1710075</v>
      </c>
      <c r="I989" s="124">
        <v>41010</v>
      </c>
      <c r="J989" s="124">
        <v>41248</v>
      </c>
      <c r="K989" s="126" t="s">
        <v>564</v>
      </c>
      <c r="L989" s="127" t="s">
        <v>564</v>
      </c>
      <c r="N989" s="129" t="s">
        <v>566</v>
      </c>
      <c r="O989" s="128" t="s">
        <v>917</v>
      </c>
      <c r="P989" s="129" t="s">
        <v>39</v>
      </c>
      <c r="Q989" s="111">
        <f t="shared" si="739"/>
        <v>239</v>
      </c>
      <c r="R989" s="111">
        <f t="shared" si="737"/>
        <v>240</v>
      </c>
      <c r="S989" s="129">
        <v>5</v>
      </c>
      <c r="T989" s="129">
        <v>0</v>
      </c>
      <c r="U989" s="129">
        <v>14</v>
      </c>
      <c r="W989" s="111"/>
      <c r="AC989" s="130"/>
      <c r="AD989" s="130">
        <v>29540</v>
      </c>
      <c r="AE989" s="128" t="s">
        <v>32</v>
      </c>
      <c r="AF989" s="128" t="s">
        <v>40</v>
      </c>
      <c r="AG989" s="128" t="s">
        <v>41</v>
      </c>
      <c r="AH989" s="108" t="s">
        <v>41</v>
      </c>
      <c r="AI989" s="128" t="s">
        <v>34</v>
      </c>
      <c r="AJ989" s="129" t="s">
        <v>89</v>
      </c>
      <c r="AK989" s="129">
        <v>11</v>
      </c>
      <c r="AL989" s="3" t="s">
        <v>362</v>
      </c>
      <c r="AM989" s="117">
        <v>2</v>
      </c>
      <c r="AP989" s="129" t="s">
        <v>108</v>
      </c>
      <c r="AR989" s="128" t="s">
        <v>44</v>
      </c>
      <c r="AS989" s="129" t="s">
        <v>61</v>
      </c>
      <c r="BC989" s="129" t="s">
        <v>38</v>
      </c>
      <c r="BF989" s="111">
        <f t="shared" si="740"/>
        <v>239</v>
      </c>
      <c r="BG989" s="111">
        <f t="shared" si="710"/>
        <v>239</v>
      </c>
      <c r="BH989" s="111">
        <f t="shared" si="712"/>
        <v>240</v>
      </c>
      <c r="BI989" s="111">
        <f t="shared" si="713"/>
        <v>31.33606557377049</v>
      </c>
      <c r="BJ989" s="129">
        <f t="shared" si="718"/>
        <v>0</v>
      </c>
      <c r="BK989" s="129">
        <f t="shared" si="714"/>
        <v>0</v>
      </c>
      <c r="BL989" s="129" t="str">
        <f t="shared" si="742"/>
        <v>CONVICTION</v>
      </c>
      <c r="BM989" s="129" t="str">
        <f t="shared" si="719"/>
        <v>NONE</v>
      </c>
      <c r="BN989" s="129" t="s">
        <v>566</v>
      </c>
      <c r="BP989" s="137" t="str">
        <f t="shared" si="720"/>
        <v>CONVICTION</v>
      </c>
      <c r="BQ989" s="128" t="str">
        <f t="shared" si="721"/>
        <v>Y</v>
      </c>
      <c r="BR989" s="129" t="str">
        <f t="shared" si="722"/>
        <v>DETAINED</v>
      </c>
      <c r="BS989" s="129" t="str">
        <f t="shared" si="723"/>
        <v>DISPOSED</v>
      </c>
      <c r="BT989" s="129" t="str">
        <f t="shared" si="724"/>
        <v>Y</v>
      </c>
      <c r="BU989" s="109">
        <f t="shared" si="735"/>
        <v>0.99583333333333335</v>
      </c>
      <c r="BV989" s="109">
        <f t="shared" si="725"/>
        <v>1</v>
      </c>
      <c r="BW989" s="109">
        <f t="shared" ref="BW989:BW1040" si="743">BV989-BU989</f>
        <v>4.1666666666666519E-3</v>
      </c>
      <c r="BX989" s="111">
        <f t="shared" si="726"/>
        <v>0</v>
      </c>
      <c r="BY989" s="129">
        <f t="shared" si="727"/>
        <v>-239</v>
      </c>
      <c r="BZ989" s="111">
        <f t="shared" si="728"/>
        <v>0</v>
      </c>
      <c r="CA989" s="138">
        <f t="shared" si="729"/>
        <v>239</v>
      </c>
      <c r="CB989" s="111" t="e">
        <f t="shared" si="741"/>
        <v>#VALUE!</v>
      </c>
      <c r="CC989" s="129">
        <f>G989-I989+1</f>
        <v>239</v>
      </c>
      <c r="CD989" s="129">
        <f>G989-J989</f>
        <v>0</v>
      </c>
      <c r="CE989" s="129">
        <f t="shared" si="730"/>
        <v>0</v>
      </c>
      <c r="CG989" s="129" t="str">
        <f t="shared" si="731"/>
        <v>Y</v>
      </c>
      <c r="CI989" s="129" t="str">
        <f t="shared" si="732"/>
        <v>121-365 DAYS</v>
      </c>
      <c r="CJ989" s="137">
        <f t="shared" si="733"/>
        <v>6</v>
      </c>
      <c r="CK989" s="129" t="str">
        <f t="shared" si="734"/>
        <v>Booked</v>
      </c>
    </row>
    <row r="990" spans="1:89" ht="15" customHeight="1" x14ac:dyDescent="0.25">
      <c r="A990" s="111">
        <v>2499</v>
      </c>
      <c r="B990" s="128" t="str">
        <f t="shared" si="715"/>
        <v>N</v>
      </c>
      <c r="C990" s="128" t="str">
        <f t="shared" si="716"/>
        <v>N</v>
      </c>
      <c r="D990" s="117">
        <v>1710391</v>
      </c>
      <c r="E990" s="135">
        <f t="shared" si="717"/>
        <v>5</v>
      </c>
      <c r="F990" s="124">
        <v>41003</v>
      </c>
      <c r="G990" s="125">
        <v>41004</v>
      </c>
      <c r="H990" s="117">
        <v>1710391</v>
      </c>
      <c r="I990" s="124">
        <v>41003</v>
      </c>
      <c r="J990" s="124">
        <v>41004</v>
      </c>
      <c r="K990" s="126">
        <v>15000</v>
      </c>
      <c r="L990" s="127" t="s">
        <v>571</v>
      </c>
      <c r="N990" s="129" t="str">
        <f t="shared" ref="N990:N995" si="744">IF(M990&gt;1/1/1,"Y","N")</f>
        <v>N</v>
      </c>
      <c r="O990" s="128" t="s">
        <v>917</v>
      </c>
      <c r="P990" s="129" t="s">
        <v>39</v>
      </c>
      <c r="Q990" s="111">
        <f t="shared" si="739"/>
        <v>2</v>
      </c>
      <c r="R990" s="111">
        <f t="shared" si="737"/>
        <v>2</v>
      </c>
      <c r="S990" s="129">
        <v>3</v>
      </c>
      <c r="T990" s="129">
        <v>5</v>
      </c>
      <c r="U990" s="129">
        <v>2</v>
      </c>
      <c r="W990" s="111"/>
      <c r="AC990" s="130"/>
      <c r="AD990" s="130">
        <v>29886</v>
      </c>
      <c r="AE990" s="128" t="s">
        <v>32</v>
      </c>
      <c r="AF990" s="128" t="s">
        <v>33</v>
      </c>
      <c r="AG990" s="128" t="s">
        <v>872</v>
      </c>
      <c r="AH990" s="108" t="s">
        <v>31</v>
      </c>
      <c r="AI990" s="128" t="s">
        <v>100</v>
      </c>
      <c r="AJ990" s="129" t="s">
        <v>89</v>
      </c>
      <c r="AK990" s="129">
        <v>1</v>
      </c>
      <c r="AL990" s="3" t="s">
        <v>992</v>
      </c>
      <c r="AN990" s="117">
        <v>6</v>
      </c>
      <c r="AP990" s="129" t="s">
        <v>60</v>
      </c>
      <c r="AR990" s="128" t="s">
        <v>44</v>
      </c>
      <c r="AS990" s="129" t="s">
        <v>61</v>
      </c>
      <c r="BC990" s="129" t="s">
        <v>38</v>
      </c>
      <c r="BF990" s="111">
        <f t="shared" si="740"/>
        <v>2</v>
      </c>
      <c r="BG990" s="111">
        <f t="shared" si="710"/>
        <v>2</v>
      </c>
      <c r="BH990" s="111">
        <f t="shared" si="712"/>
        <v>2</v>
      </c>
      <c r="BI990" s="111">
        <f t="shared" si="713"/>
        <v>30.374316939890711</v>
      </c>
      <c r="BJ990" s="129">
        <f t="shared" si="718"/>
        <v>0</v>
      </c>
      <c r="BK990" s="129">
        <f t="shared" si="714"/>
        <v>0</v>
      </c>
      <c r="BL990" s="129" t="str">
        <f t="shared" si="742"/>
        <v>CONVICTION</v>
      </c>
      <c r="BM990" s="129" t="str">
        <f t="shared" si="719"/>
        <v>NONE</v>
      </c>
      <c r="BN990" s="129" t="s">
        <v>566</v>
      </c>
      <c r="BP990" s="137" t="str">
        <f t="shared" si="720"/>
        <v>CONVICTION</v>
      </c>
      <c r="BQ990" s="128" t="str">
        <f t="shared" si="721"/>
        <v>Y</v>
      </c>
      <c r="BR990" s="129" t="str">
        <f t="shared" si="722"/>
        <v>DETAINED</v>
      </c>
      <c r="BS990" s="129" t="str">
        <f t="shared" si="723"/>
        <v>DISPOSED</v>
      </c>
      <c r="BT990" s="129" t="str">
        <f t="shared" si="724"/>
        <v>Y</v>
      </c>
      <c r="BU990" s="109">
        <f t="shared" si="735"/>
        <v>1</v>
      </c>
      <c r="BV990" s="109">
        <f t="shared" si="725"/>
        <v>1</v>
      </c>
      <c r="BW990" s="109">
        <f t="shared" si="743"/>
        <v>0</v>
      </c>
      <c r="BX990" s="111">
        <f t="shared" si="726"/>
        <v>0</v>
      </c>
      <c r="BY990" s="129">
        <f t="shared" si="727"/>
        <v>-2</v>
      </c>
      <c r="BZ990" s="111">
        <f t="shared" si="728"/>
        <v>0</v>
      </c>
      <c r="CA990" s="138">
        <f t="shared" si="729"/>
        <v>2</v>
      </c>
      <c r="CB990" s="111" t="e">
        <f t="shared" si="741"/>
        <v>#VALUE!</v>
      </c>
      <c r="CC990" s="129">
        <f>G990-I990+1</f>
        <v>2</v>
      </c>
      <c r="CD990" s="129">
        <f>G990-J990</f>
        <v>0</v>
      </c>
      <c r="CE990" s="129">
        <f t="shared" si="730"/>
        <v>0</v>
      </c>
      <c r="CG990" s="129" t="str">
        <f t="shared" si="731"/>
        <v>Y</v>
      </c>
      <c r="CI990" s="129" t="str">
        <f t="shared" si="732"/>
        <v>0-10 DAYS</v>
      </c>
      <c r="CJ990" s="137">
        <f t="shared" si="733"/>
        <v>1</v>
      </c>
      <c r="CK990" s="129" t="str">
        <f t="shared" si="734"/>
        <v>Booked</v>
      </c>
    </row>
    <row r="991" spans="1:89" ht="15" customHeight="1" x14ac:dyDescent="0.25">
      <c r="A991" s="111">
        <v>1870</v>
      </c>
      <c r="B991" s="128" t="str">
        <f t="shared" si="715"/>
        <v>N</v>
      </c>
      <c r="C991" s="128" t="str">
        <f t="shared" si="716"/>
        <v>N</v>
      </c>
      <c r="D991" s="117">
        <v>1710619</v>
      </c>
      <c r="E991" s="135">
        <f t="shared" si="717"/>
        <v>5</v>
      </c>
      <c r="F991" s="124">
        <v>40978</v>
      </c>
      <c r="G991" s="125">
        <v>41103</v>
      </c>
      <c r="H991" s="117">
        <v>1710619</v>
      </c>
      <c r="I991" s="124">
        <v>40978</v>
      </c>
      <c r="J991" s="124">
        <v>41010</v>
      </c>
      <c r="K991" s="126">
        <v>20000</v>
      </c>
      <c r="L991" s="127" t="s">
        <v>571</v>
      </c>
      <c r="M991" s="125">
        <v>41010</v>
      </c>
      <c r="N991" s="129" t="str">
        <f t="shared" si="744"/>
        <v>Y</v>
      </c>
      <c r="O991" s="128" t="s">
        <v>76</v>
      </c>
      <c r="P991" s="129" t="s">
        <v>39</v>
      </c>
      <c r="Q991" s="111">
        <f t="shared" si="739"/>
        <v>33</v>
      </c>
      <c r="R991" s="111">
        <f t="shared" si="737"/>
        <v>126</v>
      </c>
      <c r="S991" s="129">
        <v>3</v>
      </c>
      <c r="T991" s="129">
        <v>2</v>
      </c>
      <c r="W991" s="111"/>
      <c r="AC991" s="130"/>
      <c r="AD991" s="130">
        <v>29543</v>
      </c>
      <c r="AE991" s="128" t="s">
        <v>32</v>
      </c>
      <c r="AF991" s="128" t="s">
        <v>40</v>
      </c>
      <c r="AG991" s="128" t="s">
        <v>41</v>
      </c>
      <c r="AH991" s="108" t="s">
        <v>41</v>
      </c>
      <c r="AI991" s="128" t="s">
        <v>100</v>
      </c>
      <c r="AJ991" s="129" t="s">
        <v>89</v>
      </c>
      <c r="AK991" s="129">
        <v>5</v>
      </c>
      <c r="AL991" s="3" t="s">
        <v>992</v>
      </c>
      <c r="AN991" s="117">
        <v>9</v>
      </c>
      <c r="AP991" s="129" t="s">
        <v>43</v>
      </c>
      <c r="AR991" s="128" t="s">
        <v>44</v>
      </c>
      <c r="AS991" s="129" t="s">
        <v>45</v>
      </c>
      <c r="BC991" s="129" t="s">
        <v>52</v>
      </c>
      <c r="BF991" s="111">
        <f t="shared" si="740"/>
        <v>33</v>
      </c>
      <c r="BG991" s="111">
        <f t="shared" si="710"/>
        <v>126</v>
      </c>
      <c r="BH991" s="111">
        <f t="shared" si="712"/>
        <v>126</v>
      </c>
      <c r="BI991" s="111">
        <f t="shared" si="713"/>
        <v>31.243169398907103</v>
      </c>
      <c r="BJ991" s="129">
        <f>(G991-J991)+(M991-G991)</f>
        <v>0</v>
      </c>
      <c r="BK991" s="129">
        <f t="shared" si="714"/>
        <v>-93</v>
      </c>
      <c r="BL991" s="129" t="str">
        <f t="shared" si="742"/>
        <v>CONVICTION</v>
      </c>
      <c r="BM991" s="129" t="s">
        <v>76</v>
      </c>
      <c r="BN991" s="129" t="s">
        <v>88</v>
      </c>
      <c r="BP991" s="137" t="str">
        <f t="shared" si="720"/>
        <v>CONVICTION</v>
      </c>
      <c r="BQ991" s="128" t="str">
        <f t="shared" si="721"/>
        <v>Y</v>
      </c>
      <c r="BR991" s="129" t="str">
        <f>IF(J991&lt;G991,"ON BOND",0)</f>
        <v>ON BOND</v>
      </c>
      <c r="BS991" s="129" t="str">
        <f t="shared" si="723"/>
        <v>DISPOSED</v>
      </c>
      <c r="BT991" s="129" t="str">
        <f t="shared" si="724"/>
        <v>Y</v>
      </c>
      <c r="BU991" s="109">
        <f t="shared" si="735"/>
        <v>0.26190476190476192</v>
      </c>
      <c r="BV991" s="109">
        <f t="shared" si="725"/>
        <v>0.26190476190476192</v>
      </c>
      <c r="BW991" s="109">
        <f t="shared" si="743"/>
        <v>0</v>
      </c>
      <c r="BX991" s="111">
        <f t="shared" si="726"/>
        <v>0</v>
      </c>
      <c r="BY991" s="129">
        <f t="shared" si="727"/>
        <v>-33</v>
      </c>
      <c r="BZ991" s="111">
        <f t="shared" si="728"/>
        <v>0</v>
      </c>
      <c r="CA991" s="138">
        <f t="shared" si="729"/>
        <v>33</v>
      </c>
      <c r="CB991" s="111" t="e">
        <f t="shared" si="741"/>
        <v>#VALUE!</v>
      </c>
      <c r="CC991" s="129">
        <f>M991-I991+1</f>
        <v>33</v>
      </c>
      <c r="CD991" s="111">
        <f>CC991-BF991</f>
        <v>0</v>
      </c>
      <c r="CE991" s="129">
        <f t="shared" si="730"/>
        <v>93</v>
      </c>
      <c r="CG991" s="129" t="str">
        <f t="shared" si="731"/>
        <v>Y</v>
      </c>
      <c r="CI991" s="129" t="str">
        <f t="shared" si="732"/>
        <v>31-60 DAYS</v>
      </c>
      <c r="CJ991" s="137">
        <f t="shared" si="733"/>
        <v>3</v>
      </c>
      <c r="CK991" s="129" t="str">
        <f t="shared" si="734"/>
        <v>Booked</v>
      </c>
    </row>
    <row r="992" spans="1:89" ht="15.75" customHeight="1" x14ac:dyDescent="0.25">
      <c r="A992" s="111">
        <v>328</v>
      </c>
      <c r="B992" s="128" t="str">
        <f t="shared" si="715"/>
        <v>N</v>
      </c>
      <c r="C992" s="128" t="str">
        <f t="shared" si="716"/>
        <v>N</v>
      </c>
      <c r="D992" s="117">
        <v>1711476</v>
      </c>
      <c r="E992" s="135">
        <f t="shared" si="717"/>
        <v>2</v>
      </c>
      <c r="F992" s="124">
        <v>40921</v>
      </c>
      <c r="G992" s="125">
        <v>41053</v>
      </c>
      <c r="H992" s="117">
        <v>1711476</v>
      </c>
      <c r="I992" s="124">
        <v>40941</v>
      </c>
      <c r="J992" s="124">
        <v>40959</v>
      </c>
      <c r="K992" s="126">
        <v>5000</v>
      </c>
      <c r="L992" s="127" t="s">
        <v>569</v>
      </c>
      <c r="M992" s="125">
        <v>40959</v>
      </c>
      <c r="N992" s="129" t="str">
        <f t="shared" si="744"/>
        <v>Y</v>
      </c>
      <c r="O992" s="128" t="s">
        <v>54</v>
      </c>
      <c r="P992" s="129" t="s">
        <v>589</v>
      </c>
      <c r="Q992" s="111">
        <f t="shared" si="739"/>
        <v>19</v>
      </c>
      <c r="R992" s="111">
        <f t="shared" si="737"/>
        <v>133</v>
      </c>
      <c r="S992" s="129">
        <v>0</v>
      </c>
      <c r="T992" s="129">
        <v>1</v>
      </c>
      <c r="W992" s="111"/>
      <c r="AC992" s="130"/>
      <c r="AD992" s="130">
        <v>28854</v>
      </c>
      <c r="AE992" s="128" t="s">
        <v>32</v>
      </c>
      <c r="AF992" s="128" t="s">
        <v>69</v>
      </c>
      <c r="AG992" s="128" t="s">
        <v>874</v>
      </c>
      <c r="AH992" s="108" t="s">
        <v>31</v>
      </c>
      <c r="AI992" s="128" t="s">
        <v>85</v>
      </c>
      <c r="AJ992" s="129" t="s">
        <v>48</v>
      </c>
      <c r="AK992" s="129">
        <v>16</v>
      </c>
      <c r="AL992" s="3" t="s">
        <v>48</v>
      </c>
      <c r="AP992" s="129" t="s">
        <v>186</v>
      </c>
      <c r="AR992" s="128" t="s">
        <v>50</v>
      </c>
      <c r="AS992" s="129" t="s">
        <v>106</v>
      </c>
      <c r="AT992" s="32"/>
      <c r="BC992" s="129" t="s">
        <v>99</v>
      </c>
      <c r="BF992" s="111">
        <f t="shared" si="740"/>
        <v>19</v>
      </c>
      <c r="BG992" s="111">
        <f t="shared" si="710"/>
        <v>113</v>
      </c>
      <c r="BH992" s="111">
        <f t="shared" si="712"/>
        <v>133</v>
      </c>
      <c r="BI992" s="111">
        <f t="shared" si="713"/>
        <v>32.969945355191257</v>
      </c>
      <c r="BJ992" s="129">
        <f>(G992-J992)+(M992-G992)</f>
        <v>0</v>
      </c>
      <c r="BK992" s="129">
        <f t="shared" si="714"/>
        <v>-94</v>
      </c>
      <c r="BL992" s="129" t="str">
        <f t="shared" si="742"/>
        <v>DEFERRED</v>
      </c>
      <c r="BM992" s="129" t="s">
        <v>160</v>
      </c>
      <c r="BN992" s="129" t="s">
        <v>88</v>
      </c>
      <c r="BP992" s="137" t="str">
        <f t="shared" si="720"/>
        <v>DEFERRED</v>
      </c>
      <c r="BQ992" s="128" t="str">
        <f t="shared" si="721"/>
        <v>Y</v>
      </c>
      <c r="BR992" s="129" t="str">
        <f t="shared" si="722"/>
        <v>ON BOND</v>
      </c>
      <c r="BS992" s="129" t="str">
        <f t="shared" si="723"/>
        <v>DISPOSED</v>
      </c>
      <c r="BT992" s="129" t="str">
        <f t="shared" si="724"/>
        <v>N</v>
      </c>
      <c r="BU992" s="109">
        <f t="shared" si="735"/>
        <v>0.14285714285714285</v>
      </c>
      <c r="BV992" s="109">
        <f t="shared" si="725"/>
        <v>0.16814159292035399</v>
      </c>
      <c r="BW992" s="109">
        <f t="shared" si="743"/>
        <v>2.5284450063211145E-2</v>
      </c>
      <c r="BX992" s="111">
        <f t="shared" si="726"/>
        <v>0</v>
      </c>
      <c r="BY992" s="129">
        <f t="shared" si="727"/>
        <v>-19</v>
      </c>
      <c r="BZ992" s="111">
        <f t="shared" si="728"/>
        <v>0</v>
      </c>
      <c r="CA992" s="138">
        <f t="shared" si="729"/>
        <v>19</v>
      </c>
      <c r="CB992" s="111" t="e">
        <f t="shared" si="741"/>
        <v>#VALUE!</v>
      </c>
      <c r="CC992" s="129">
        <f>M992-I992+1</f>
        <v>19</v>
      </c>
      <c r="CD992" s="111">
        <f>CC992-BF992</f>
        <v>0</v>
      </c>
      <c r="CE992" s="129">
        <f t="shared" si="730"/>
        <v>94</v>
      </c>
      <c r="CG992" s="129" t="str">
        <f t="shared" si="731"/>
        <v>Y</v>
      </c>
      <c r="CI992" s="129" t="str">
        <f t="shared" si="732"/>
        <v>11-30 DAYS</v>
      </c>
      <c r="CJ992" s="137">
        <f t="shared" si="733"/>
        <v>2</v>
      </c>
      <c r="CK992" s="129" t="str">
        <f t="shared" si="734"/>
        <v>Booked</v>
      </c>
    </row>
    <row r="993" spans="1:89" ht="15.75" customHeight="1" x14ac:dyDescent="0.25">
      <c r="A993" s="111">
        <v>828</v>
      </c>
      <c r="B993" s="128" t="str">
        <f t="shared" si="715"/>
        <v>N</v>
      </c>
      <c r="C993" s="128" t="str">
        <f t="shared" si="716"/>
        <v>N</v>
      </c>
      <c r="D993" s="117">
        <v>1711655</v>
      </c>
      <c r="E993" s="135">
        <f t="shared" si="717"/>
        <v>4</v>
      </c>
      <c r="F993" s="124">
        <v>40940</v>
      </c>
      <c r="G993" s="125">
        <v>40941</v>
      </c>
      <c r="H993" s="117">
        <v>1711655</v>
      </c>
      <c r="I993" s="124">
        <v>40940</v>
      </c>
      <c r="J993" s="124">
        <v>40941</v>
      </c>
      <c r="K993" s="126">
        <v>5000</v>
      </c>
      <c r="L993" s="127" t="s">
        <v>569</v>
      </c>
      <c r="N993" s="129" t="str">
        <f t="shared" si="744"/>
        <v>N</v>
      </c>
      <c r="O993" s="128" t="s">
        <v>917</v>
      </c>
      <c r="P993" s="129" t="s">
        <v>39</v>
      </c>
      <c r="Q993" s="111">
        <f t="shared" si="739"/>
        <v>2</v>
      </c>
      <c r="R993" s="111">
        <f t="shared" si="737"/>
        <v>2</v>
      </c>
      <c r="S993" s="129">
        <v>1</v>
      </c>
      <c r="T993" s="129">
        <v>3</v>
      </c>
      <c r="W993" s="111"/>
      <c r="AB993" s="131" t="s">
        <v>112</v>
      </c>
      <c r="AC993" s="130"/>
      <c r="AD993" s="130">
        <v>28655</v>
      </c>
      <c r="AE993" s="128" t="s">
        <v>32</v>
      </c>
      <c r="AF993" s="128" t="s">
        <v>40</v>
      </c>
      <c r="AG993" s="128" t="s">
        <v>41</v>
      </c>
      <c r="AH993" s="108" t="s">
        <v>31</v>
      </c>
      <c r="AI993" s="128" t="s">
        <v>83</v>
      </c>
      <c r="AJ993" s="129" t="s">
        <v>89</v>
      </c>
      <c r="AK993" s="129">
        <v>1</v>
      </c>
      <c r="AL993" s="3" t="s">
        <v>991</v>
      </c>
      <c r="AO993" s="128">
        <v>270</v>
      </c>
      <c r="AP993" s="129" t="s">
        <v>43</v>
      </c>
      <c r="AR993" s="128" t="s">
        <v>44</v>
      </c>
      <c r="AS993" s="129" t="s">
        <v>45</v>
      </c>
      <c r="BC993" s="129" t="s">
        <v>38</v>
      </c>
      <c r="BF993" s="111">
        <f t="shared" si="740"/>
        <v>2</v>
      </c>
      <c r="BG993" s="111">
        <f t="shared" si="710"/>
        <v>2</v>
      </c>
      <c r="BH993" s="111">
        <f t="shared" si="712"/>
        <v>2</v>
      </c>
      <c r="BI993" s="111">
        <f t="shared" si="713"/>
        <v>33.565573770491802</v>
      </c>
      <c r="BJ993" s="129">
        <f t="shared" si="718"/>
        <v>0</v>
      </c>
      <c r="BK993" s="129">
        <f t="shared" si="714"/>
        <v>0</v>
      </c>
      <c r="BL993" s="129" t="str">
        <f t="shared" si="742"/>
        <v>CONVICTION</v>
      </c>
      <c r="BM993" s="129" t="str">
        <f t="shared" si="719"/>
        <v>NONE</v>
      </c>
      <c r="BN993" s="129" t="s">
        <v>566</v>
      </c>
      <c r="BP993" s="137" t="str">
        <f t="shared" si="720"/>
        <v>CONVICTION</v>
      </c>
      <c r="BQ993" s="128" t="str">
        <f t="shared" si="721"/>
        <v>Y</v>
      </c>
      <c r="BR993" s="129" t="str">
        <f t="shared" si="722"/>
        <v>DETAINED</v>
      </c>
      <c r="BS993" s="129" t="str">
        <f t="shared" si="723"/>
        <v>DISPOSED</v>
      </c>
      <c r="BT993" s="129" t="str">
        <f t="shared" si="724"/>
        <v>Y</v>
      </c>
      <c r="BU993" s="109">
        <f t="shared" si="735"/>
        <v>1</v>
      </c>
      <c r="BV993" s="109">
        <f t="shared" si="725"/>
        <v>1</v>
      </c>
      <c r="BW993" s="109">
        <f t="shared" si="743"/>
        <v>0</v>
      </c>
      <c r="BX993" s="111">
        <f t="shared" si="726"/>
        <v>0</v>
      </c>
      <c r="BY993" s="129">
        <f t="shared" si="727"/>
        <v>-2</v>
      </c>
      <c r="BZ993" s="111">
        <f t="shared" si="728"/>
        <v>0</v>
      </c>
      <c r="CA993" s="138">
        <f t="shared" si="729"/>
        <v>2</v>
      </c>
      <c r="CB993" s="111" t="e">
        <f t="shared" si="741"/>
        <v>#VALUE!</v>
      </c>
      <c r="CC993" s="129">
        <f>G993-I993+1</f>
        <v>2</v>
      </c>
      <c r="CD993" s="129">
        <f>G993-J993</f>
        <v>0</v>
      </c>
      <c r="CE993" s="129">
        <f t="shared" si="730"/>
        <v>0</v>
      </c>
      <c r="CG993" s="129" t="str">
        <f t="shared" si="731"/>
        <v>Y</v>
      </c>
      <c r="CI993" s="129" t="str">
        <f t="shared" si="732"/>
        <v>0-10 DAYS</v>
      </c>
      <c r="CJ993" s="137">
        <f t="shared" si="733"/>
        <v>1</v>
      </c>
      <c r="CK993" s="129" t="str">
        <f t="shared" si="734"/>
        <v>Booked</v>
      </c>
    </row>
    <row r="994" spans="1:89" ht="15" customHeight="1" x14ac:dyDescent="0.25">
      <c r="A994" s="111">
        <v>2433</v>
      </c>
      <c r="B994" s="128" t="str">
        <f t="shared" si="715"/>
        <v>N</v>
      </c>
      <c r="C994" s="128" t="str">
        <f t="shared" si="716"/>
        <v>N</v>
      </c>
      <c r="D994" s="117">
        <v>1712072</v>
      </c>
      <c r="E994" s="135">
        <f t="shared" si="717"/>
        <v>4</v>
      </c>
      <c r="F994" s="124">
        <v>41000</v>
      </c>
      <c r="G994" s="125">
        <v>41002</v>
      </c>
      <c r="H994" s="117">
        <v>1712072</v>
      </c>
      <c r="I994" s="124">
        <v>41000</v>
      </c>
      <c r="J994" s="124">
        <v>41002</v>
      </c>
      <c r="K994" s="126">
        <v>15000</v>
      </c>
      <c r="L994" s="127" t="s">
        <v>571</v>
      </c>
      <c r="N994" s="129" t="str">
        <f t="shared" si="744"/>
        <v>N</v>
      </c>
      <c r="O994" s="128" t="s">
        <v>917</v>
      </c>
      <c r="P994" s="129" t="s">
        <v>39</v>
      </c>
      <c r="Q994" s="111">
        <f t="shared" si="739"/>
        <v>3</v>
      </c>
      <c r="R994" s="111">
        <f t="shared" si="737"/>
        <v>3</v>
      </c>
      <c r="S994" s="129">
        <v>3</v>
      </c>
      <c r="T994" s="129">
        <v>3</v>
      </c>
      <c r="U994" s="129">
        <v>1</v>
      </c>
      <c r="W994" s="111"/>
      <c r="AC994" s="130"/>
      <c r="AD994" s="130">
        <v>29296</v>
      </c>
      <c r="AE994" s="128" t="s">
        <v>32</v>
      </c>
      <c r="AF994" s="128" t="s">
        <v>69</v>
      </c>
      <c r="AG994" s="128" t="s">
        <v>874</v>
      </c>
      <c r="AH994" s="108" t="s">
        <v>31</v>
      </c>
      <c r="AI994" s="128" t="s">
        <v>118</v>
      </c>
      <c r="AJ994" s="129" t="s">
        <v>89</v>
      </c>
      <c r="AK994" s="129">
        <v>1</v>
      </c>
      <c r="AL994" s="3" t="s">
        <v>991</v>
      </c>
      <c r="AO994" s="128">
        <v>180</v>
      </c>
      <c r="AP994" s="129" t="s">
        <v>175</v>
      </c>
      <c r="AR994" s="128" t="s">
        <v>44</v>
      </c>
      <c r="AS994" s="129" t="s">
        <v>45</v>
      </c>
      <c r="BC994" s="129" t="s">
        <v>38</v>
      </c>
      <c r="BF994" s="111">
        <f t="shared" si="740"/>
        <v>3</v>
      </c>
      <c r="BG994" s="111">
        <f t="shared" si="710"/>
        <v>3</v>
      </c>
      <c r="BH994" s="111">
        <f t="shared" si="712"/>
        <v>3</v>
      </c>
      <c r="BI994" s="111">
        <f t="shared" si="713"/>
        <v>31.978142076502731</v>
      </c>
      <c r="BJ994" s="129">
        <f t="shared" si="718"/>
        <v>0</v>
      </c>
      <c r="BK994" s="129">
        <f t="shared" si="714"/>
        <v>0</v>
      </c>
      <c r="BL994" s="129" t="str">
        <f t="shared" si="742"/>
        <v>CONVICTION</v>
      </c>
      <c r="BM994" s="129" t="str">
        <f t="shared" si="719"/>
        <v>NONE</v>
      </c>
      <c r="BN994" s="129" t="s">
        <v>566</v>
      </c>
      <c r="BP994" s="137" t="str">
        <f t="shared" si="720"/>
        <v>CONVICTION</v>
      </c>
      <c r="BQ994" s="128" t="str">
        <f t="shared" si="721"/>
        <v>Y</v>
      </c>
      <c r="BR994" s="129" t="str">
        <f t="shared" si="722"/>
        <v>DETAINED</v>
      </c>
      <c r="BS994" s="129" t="str">
        <f t="shared" si="723"/>
        <v>DISPOSED</v>
      </c>
      <c r="BT994" s="129" t="str">
        <f t="shared" si="724"/>
        <v>Y</v>
      </c>
      <c r="BU994" s="109">
        <f t="shared" si="735"/>
        <v>1</v>
      </c>
      <c r="BV994" s="109">
        <f t="shared" si="725"/>
        <v>1</v>
      </c>
      <c r="BW994" s="109">
        <f t="shared" si="743"/>
        <v>0</v>
      </c>
      <c r="BX994" s="111">
        <f t="shared" si="726"/>
        <v>0</v>
      </c>
      <c r="BY994" s="129">
        <f t="shared" si="727"/>
        <v>-3</v>
      </c>
      <c r="BZ994" s="111">
        <f t="shared" si="728"/>
        <v>0</v>
      </c>
      <c r="CA994" s="138">
        <f t="shared" si="729"/>
        <v>3</v>
      </c>
      <c r="CB994" s="111" t="e">
        <f t="shared" si="741"/>
        <v>#VALUE!</v>
      </c>
      <c r="CC994" s="129">
        <f>G994-I994+1</f>
        <v>3</v>
      </c>
      <c r="CD994" s="129">
        <f>G994-J994</f>
        <v>0</v>
      </c>
      <c r="CE994" s="129">
        <f t="shared" si="730"/>
        <v>0</v>
      </c>
      <c r="CG994" s="129" t="str">
        <f t="shared" si="731"/>
        <v>Y</v>
      </c>
      <c r="CI994" s="129" t="str">
        <f t="shared" si="732"/>
        <v>0-10 DAYS</v>
      </c>
      <c r="CJ994" s="137">
        <f t="shared" si="733"/>
        <v>1</v>
      </c>
      <c r="CK994" s="129" t="str">
        <f t="shared" si="734"/>
        <v>Booked</v>
      </c>
    </row>
    <row r="995" spans="1:89" ht="15.75" customHeight="1" x14ac:dyDescent="0.25">
      <c r="A995" s="111">
        <v>2265</v>
      </c>
      <c r="B995" s="128" t="str">
        <f t="shared" si="715"/>
        <v>N</v>
      </c>
      <c r="C995" s="128" t="str">
        <f t="shared" si="716"/>
        <v>N</v>
      </c>
      <c r="D995" s="117">
        <v>1713091</v>
      </c>
      <c r="E995" s="135">
        <f t="shared" si="717"/>
        <v>1</v>
      </c>
      <c r="F995" s="124">
        <v>40995</v>
      </c>
      <c r="G995" s="125">
        <v>41142</v>
      </c>
      <c r="H995" s="117">
        <v>1713091</v>
      </c>
      <c r="I995" s="124">
        <v>40995</v>
      </c>
      <c r="J995" s="124">
        <v>41142</v>
      </c>
      <c r="K995" s="126">
        <v>400000</v>
      </c>
      <c r="L995" s="129" t="s">
        <v>572</v>
      </c>
      <c r="N995" s="129" t="str">
        <f t="shared" si="744"/>
        <v>N</v>
      </c>
      <c r="O995" s="128" t="s">
        <v>917</v>
      </c>
      <c r="P995" s="129" t="s">
        <v>55</v>
      </c>
      <c r="Q995" s="111">
        <f t="shared" si="739"/>
        <v>148</v>
      </c>
      <c r="R995" s="111">
        <f t="shared" si="737"/>
        <v>148</v>
      </c>
      <c r="S995" s="129">
        <v>6</v>
      </c>
      <c r="T995" s="129">
        <v>3</v>
      </c>
      <c r="U995" s="129">
        <v>2</v>
      </c>
      <c r="W995" s="111"/>
      <c r="AC995" s="130"/>
      <c r="AD995" s="130">
        <v>29780</v>
      </c>
      <c r="AE995" s="128" t="s">
        <v>32</v>
      </c>
      <c r="AF995" s="128" t="s">
        <v>33</v>
      </c>
      <c r="AG995" s="128" t="s">
        <v>872</v>
      </c>
      <c r="AH995" s="108" t="s">
        <v>31</v>
      </c>
      <c r="AI995" s="128" t="s">
        <v>59</v>
      </c>
      <c r="AJ995" s="129" t="s">
        <v>55</v>
      </c>
      <c r="AL995" s="3" t="s">
        <v>55</v>
      </c>
      <c r="AP995" s="129" t="s">
        <v>101</v>
      </c>
      <c r="AR995" s="128" t="s">
        <v>67</v>
      </c>
      <c r="AS995" s="129" t="s">
        <v>64</v>
      </c>
      <c r="BC995" s="129" t="s">
        <v>52</v>
      </c>
      <c r="BF995" s="111">
        <f t="shared" si="740"/>
        <v>148</v>
      </c>
      <c r="BG995" s="111">
        <f t="shared" si="710"/>
        <v>148</v>
      </c>
      <c r="BH995" s="111">
        <f t="shared" si="712"/>
        <v>148</v>
      </c>
      <c r="BI995" s="111">
        <f t="shared" si="713"/>
        <v>30.642076502732241</v>
      </c>
      <c r="BJ995" s="129">
        <f t="shared" si="718"/>
        <v>0</v>
      </c>
      <c r="BK995" s="129">
        <f t="shared" si="714"/>
        <v>0</v>
      </c>
      <c r="BL995" s="129" t="str">
        <f t="shared" si="742"/>
        <v>NO CONVICTION</v>
      </c>
      <c r="BM995" s="129" t="str">
        <f t="shared" si="719"/>
        <v>NONE</v>
      </c>
      <c r="BN995" s="129" t="s">
        <v>566</v>
      </c>
      <c r="BP995" s="137" t="str">
        <f t="shared" si="720"/>
        <v>NO CONVICTION</v>
      </c>
      <c r="BQ995" s="128" t="str">
        <f t="shared" si="721"/>
        <v>Y</v>
      </c>
      <c r="BR995" s="129" t="str">
        <f t="shared" si="722"/>
        <v>DETAINED</v>
      </c>
      <c r="BS995" s="129" t="str">
        <f t="shared" si="723"/>
        <v>DISPOSED</v>
      </c>
      <c r="BT995" s="129" t="str">
        <f t="shared" si="724"/>
        <v>Y</v>
      </c>
      <c r="BU995" s="109">
        <f>IFERROR(Q995/R995,BR995)</f>
        <v>1</v>
      </c>
      <c r="BV995" s="109">
        <f t="shared" si="725"/>
        <v>1</v>
      </c>
      <c r="BW995" s="109">
        <f t="shared" si="743"/>
        <v>0</v>
      </c>
      <c r="BX995" s="111">
        <f t="shared" si="726"/>
        <v>0</v>
      </c>
      <c r="BY995" s="129">
        <f t="shared" si="727"/>
        <v>-148</v>
      </c>
      <c r="BZ995" s="111">
        <f t="shared" si="728"/>
        <v>0</v>
      </c>
      <c r="CA995" s="138">
        <f t="shared" si="729"/>
        <v>148</v>
      </c>
      <c r="CB995" s="111" t="e">
        <f t="shared" si="741"/>
        <v>#VALUE!</v>
      </c>
      <c r="CC995" s="129">
        <f>G995-I995+1</f>
        <v>148</v>
      </c>
      <c r="CD995" s="129">
        <f>G995-J995</f>
        <v>0</v>
      </c>
      <c r="CE995" s="129">
        <f t="shared" si="730"/>
        <v>0</v>
      </c>
      <c r="CG995" s="129" t="str">
        <f t="shared" si="731"/>
        <v>Y</v>
      </c>
      <c r="CI995" s="129" t="str">
        <f t="shared" si="732"/>
        <v>121-365 DAYS</v>
      </c>
      <c r="CJ995" s="137">
        <f t="shared" si="733"/>
        <v>6</v>
      </c>
      <c r="CK995" s="129" t="str">
        <f t="shared" si="734"/>
        <v>Booked</v>
      </c>
    </row>
    <row r="996" spans="1:89" ht="15.75" customHeight="1" x14ac:dyDescent="0.25">
      <c r="A996" s="111">
        <v>2663</v>
      </c>
      <c r="B996" s="128" t="str">
        <f t="shared" si="715"/>
        <v>Y</v>
      </c>
      <c r="C996" s="128" t="str">
        <f t="shared" si="716"/>
        <v>N</v>
      </c>
      <c r="D996" s="117">
        <v>1713724</v>
      </c>
      <c r="E996" s="135">
        <f t="shared" si="717"/>
        <v>1</v>
      </c>
      <c r="F996" s="124">
        <v>41008</v>
      </c>
      <c r="G996" s="125">
        <v>41025</v>
      </c>
      <c r="H996" s="117">
        <v>1713724</v>
      </c>
      <c r="I996" s="124" t="s">
        <v>562</v>
      </c>
      <c r="J996" s="124" t="s">
        <v>562</v>
      </c>
      <c r="K996" s="126" t="s">
        <v>564</v>
      </c>
      <c r="L996" s="127" t="s">
        <v>564</v>
      </c>
      <c r="N996" s="124" t="s">
        <v>1342</v>
      </c>
      <c r="O996" s="128" t="s">
        <v>917</v>
      </c>
      <c r="P996" s="129" t="s">
        <v>55</v>
      </c>
      <c r="Q996" s="111">
        <f t="shared" si="739"/>
        <v>0</v>
      </c>
      <c r="R996" s="111">
        <f t="shared" si="737"/>
        <v>18</v>
      </c>
      <c r="S996" s="129">
        <v>3</v>
      </c>
      <c r="T996" s="129">
        <v>0</v>
      </c>
      <c r="U996" s="129">
        <v>2</v>
      </c>
      <c r="W996" s="111"/>
      <c r="AC996" s="130"/>
      <c r="AD996" s="130">
        <v>29095</v>
      </c>
      <c r="AE996" s="128" t="s">
        <v>32</v>
      </c>
      <c r="AF996" s="128" t="s">
        <v>69</v>
      </c>
      <c r="AG996" s="128" t="s">
        <v>874</v>
      </c>
      <c r="AH996" s="108" t="s">
        <v>58</v>
      </c>
      <c r="AI996" s="128" t="s">
        <v>80</v>
      </c>
      <c r="AJ996" s="129" t="s">
        <v>55</v>
      </c>
      <c r="AK996" s="129">
        <v>2</v>
      </c>
      <c r="AL996" s="3" t="s">
        <v>55</v>
      </c>
      <c r="AP996" s="129" t="s">
        <v>56</v>
      </c>
      <c r="AR996" s="128" t="s">
        <v>50</v>
      </c>
      <c r="AS996" s="129" t="s">
        <v>57</v>
      </c>
      <c r="BC996" s="129" t="s">
        <v>79</v>
      </c>
      <c r="BD996" s="129" t="s">
        <v>1212</v>
      </c>
      <c r="BF996" s="111">
        <v>0</v>
      </c>
      <c r="BG996" s="111">
        <v>0</v>
      </c>
      <c r="BH996" s="111">
        <f t="shared" si="712"/>
        <v>18</v>
      </c>
      <c r="BI996" s="111">
        <f t="shared" si="713"/>
        <v>32.549180327868854</v>
      </c>
      <c r="BJ996" s="129" t="e">
        <f>(G996-J996)+(M996-G996)</f>
        <v>#VALUE!</v>
      </c>
      <c r="BK996" s="129" t="e">
        <f t="shared" si="714"/>
        <v>#VALUE!</v>
      </c>
      <c r="BL996" s="129" t="str">
        <f t="shared" si="742"/>
        <v>NO CONVICTION</v>
      </c>
      <c r="BM996" s="129" t="str">
        <f t="shared" si="719"/>
        <v>NONE</v>
      </c>
      <c r="BN996" s="129" t="s">
        <v>566</v>
      </c>
      <c r="BP996" s="137" t="str">
        <f t="shared" si="720"/>
        <v>NO CONVICTION</v>
      </c>
      <c r="BQ996" s="128">
        <f t="shared" si="721"/>
        <v>0</v>
      </c>
      <c r="BR996" s="129" t="s">
        <v>1345</v>
      </c>
      <c r="BS996" s="129" t="str">
        <f t="shared" si="723"/>
        <v>DISPOSED</v>
      </c>
      <c r="BT996" s="129" t="str">
        <f t="shared" si="724"/>
        <v>Y</v>
      </c>
      <c r="BU996" s="109">
        <f>IFERROR(Q996/R996,BR996)</f>
        <v>0</v>
      </c>
      <c r="BV996" s="109">
        <v>0</v>
      </c>
      <c r="BW996" s="109">
        <f t="shared" si="743"/>
        <v>0</v>
      </c>
      <c r="BX996" s="111">
        <f t="shared" si="726"/>
        <v>0</v>
      </c>
      <c r="BY996" s="129" t="e">
        <f t="shared" si="727"/>
        <v>#VALUE!</v>
      </c>
      <c r="BZ996" s="111" t="e">
        <f t="shared" si="728"/>
        <v>#VALUE!</v>
      </c>
      <c r="CA996" s="138" t="e">
        <f t="shared" si="729"/>
        <v>#VALUE!</v>
      </c>
      <c r="CB996" s="111">
        <v>0</v>
      </c>
      <c r="CC996" s="129">
        <v>0</v>
      </c>
      <c r="CE996" s="129" t="e">
        <f t="shared" si="730"/>
        <v>#VALUE!</v>
      </c>
      <c r="CG996" s="129" t="str">
        <f t="shared" si="731"/>
        <v>Y</v>
      </c>
      <c r="CI996" s="129" t="str">
        <f t="shared" si="732"/>
        <v>0-10 DAYS</v>
      </c>
      <c r="CJ996" s="137">
        <f t="shared" si="733"/>
        <v>1</v>
      </c>
      <c r="CK996" s="129" t="str">
        <f t="shared" si="734"/>
        <v>Not Booked</v>
      </c>
    </row>
    <row r="997" spans="1:89" ht="15" customHeight="1" x14ac:dyDescent="0.25">
      <c r="A997" s="111">
        <v>1530</v>
      </c>
      <c r="B997" s="128" t="str">
        <f t="shared" si="715"/>
        <v>N</v>
      </c>
      <c r="C997" s="128" t="str">
        <f t="shared" si="716"/>
        <v>N</v>
      </c>
      <c r="D997" s="117">
        <v>1713753</v>
      </c>
      <c r="E997" s="135">
        <f t="shared" si="717"/>
        <v>1</v>
      </c>
      <c r="F997" s="124">
        <v>40965</v>
      </c>
      <c r="G997" s="125">
        <v>41087</v>
      </c>
      <c r="H997" s="117">
        <v>1713753</v>
      </c>
      <c r="I997" s="124">
        <v>40965</v>
      </c>
      <c r="J997" s="124">
        <v>40967</v>
      </c>
      <c r="K997" s="126">
        <v>10000</v>
      </c>
      <c r="L997" s="127" t="s">
        <v>570</v>
      </c>
      <c r="M997" s="125">
        <v>40967</v>
      </c>
      <c r="N997" s="129" t="str">
        <f>IF(M997&gt;1/1/1,"Y","N")</f>
        <v>Y</v>
      </c>
      <c r="O997" s="128" t="s">
        <v>76</v>
      </c>
      <c r="P997" s="129" t="s">
        <v>55</v>
      </c>
      <c r="Q997" s="111">
        <f t="shared" si="739"/>
        <v>3</v>
      </c>
      <c r="R997" s="111">
        <f t="shared" si="737"/>
        <v>123</v>
      </c>
      <c r="S997" s="129">
        <v>0</v>
      </c>
      <c r="T997" s="129">
        <v>0</v>
      </c>
      <c r="W997" s="111"/>
      <c r="AC997" s="130"/>
      <c r="AD997" s="130">
        <v>26256</v>
      </c>
      <c r="AE997" s="128" t="s">
        <v>32</v>
      </c>
      <c r="AF997" s="128" t="s">
        <v>33</v>
      </c>
      <c r="AG997" s="128" t="s">
        <v>872</v>
      </c>
      <c r="AH997" s="108" t="s">
        <v>58</v>
      </c>
      <c r="AI997" s="128" t="s">
        <v>83</v>
      </c>
      <c r="AJ997" s="129" t="s">
        <v>55</v>
      </c>
      <c r="AK997" s="129">
        <v>5</v>
      </c>
      <c r="AL997" s="3" t="s">
        <v>55</v>
      </c>
      <c r="AP997" s="129" t="s">
        <v>249</v>
      </c>
      <c r="AR997" s="128" t="s">
        <v>50</v>
      </c>
      <c r="AS997" s="129" t="s">
        <v>163</v>
      </c>
      <c r="BC997" s="129" t="s">
        <v>52</v>
      </c>
      <c r="BF997" s="111">
        <f>IF(J997&gt;1/1/1900,((J997+1)-I997),"STILL OPEN")</f>
        <v>3</v>
      </c>
      <c r="BG997" s="111">
        <f>IF(G997&gt;1/1/1900,((G997+1)-I997),"STILL OPEN")</f>
        <v>123</v>
      </c>
      <c r="BH997" s="111">
        <f t="shared" si="712"/>
        <v>123</v>
      </c>
      <c r="BI997" s="111">
        <f t="shared" si="713"/>
        <v>40.188524590163937</v>
      </c>
      <c r="BJ997" s="129">
        <f>(G997-J997)+(M997-G997)</f>
        <v>0</v>
      </c>
      <c r="BK997" s="129">
        <f t="shared" si="714"/>
        <v>-120</v>
      </c>
      <c r="BL997" s="129" t="str">
        <f t="shared" si="742"/>
        <v>NO CONVICTION</v>
      </c>
      <c r="BM997" s="129" t="s">
        <v>76</v>
      </c>
      <c r="BN997" s="129" t="s">
        <v>88</v>
      </c>
      <c r="BP997" s="137" t="str">
        <f t="shared" si="720"/>
        <v>NO CONVICTION</v>
      </c>
      <c r="BQ997" s="128" t="str">
        <f t="shared" si="721"/>
        <v>Y</v>
      </c>
      <c r="BR997" s="129" t="str">
        <f t="shared" si="722"/>
        <v>ON BOND</v>
      </c>
      <c r="BS997" s="129" t="str">
        <f t="shared" si="723"/>
        <v>DISPOSED</v>
      </c>
      <c r="BT997" s="129" t="str">
        <f t="shared" si="724"/>
        <v>N</v>
      </c>
      <c r="BU997" s="109">
        <f>IFERROR(Q997/R997,BR997)</f>
        <v>2.4390243902439025E-2</v>
      </c>
      <c r="BV997" s="109">
        <f t="shared" si="725"/>
        <v>2.4390243902439025E-2</v>
      </c>
      <c r="BW997" s="109">
        <f t="shared" si="743"/>
        <v>0</v>
      </c>
      <c r="BX997" s="111">
        <f t="shared" si="726"/>
        <v>0</v>
      </c>
      <c r="BY997" s="129">
        <f t="shared" si="727"/>
        <v>-3</v>
      </c>
      <c r="BZ997" s="111">
        <f t="shared" si="728"/>
        <v>0</v>
      </c>
      <c r="CA997" s="138">
        <f t="shared" si="729"/>
        <v>3</v>
      </c>
      <c r="CB997" s="111" t="e">
        <f>IF(AF997&gt;1/1/1900,((AF997+1)-AE997),"STILL OPEN")</f>
        <v>#VALUE!</v>
      </c>
      <c r="CC997" s="129">
        <f>M997-I997+1</f>
        <v>3</v>
      </c>
      <c r="CD997" s="111">
        <f>CC997-BF997</f>
        <v>0</v>
      </c>
      <c r="CE997" s="129">
        <f t="shared" si="730"/>
        <v>120</v>
      </c>
      <c r="CG997" s="129" t="str">
        <f t="shared" si="731"/>
        <v>N</v>
      </c>
      <c r="CI997" s="129" t="str">
        <f t="shared" si="732"/>
        <v>0-10 DAYS</v>
      </c>
      <c r="CJ997" s="137">
        <f t="shared" si="733"/>
        <v>1</v>
      </c>
      <c r="CK997" s="129" t="str">
        <f t="shared" si="734"/>
        <v>Booked</v>
      </c>
    </row>
    <row r="998" spans="1:89" ht="15.75" customHeight="1" x14ac:dyDescent="0.25">
      <c r="A998" s="111">
        <v>2409</v>
      </c>
      <c r="B998" s="128" t="str">
        <f t="shared" si="715"/>
        <v>N</v>
      </c>
      <c r="C998" s="128" t="str">
        <f t="shared" si="716"/>
        <v>N</v>
      </c>
      <c r="D998" s="117">
        <v>1714934</v>
      </c>
      <c r="E998" s="135">
        <f t="shared" si="717"/>
        <v>1</v>
      </c>
      <c r="F998" s="124">
        <v>40999</v>
      </c>
      <c r="G998" s="125">
        <v>41088</v>
      </c>
      <c r="H998" s="117">
        <v>1714934</v>
      </c>
      <c r="I998" s="124">
        <v>40999</v>
      </c>
      <c r="J998" s="124">
        <v>41019</v>
      </c>
      <c r="K998" s="126">
        <v>5000</v>
      </c>
      <c r="L998" s="127" t="s">
        <v>569</v>
      </c>
      <c r="M998" s="125">
        <v>41019</v>
      </c>
      <c r="N998" s="129" t="str">
        <f>IF(M998&gt;1/1/1,"Y","N")</f>
        <v>Y</v>
      </c>
      <c r="O998" s="128" t="s">
        <v>76</v>
      </c>
      <c r="P998" s="129" t="s">
        <v>55</v>
      </c>
      <c r="Q998" s="111">
        <f t="shared" si="739"/>
        <v>21</v>
      </c>
      <c r="R998" s="111">
        <f t="shared" si="737"/>
        <v>90</v>
      </c>
      <c r="S998" s="129">
        <v>0</v>
      </c>
      <c r="T998" s="129">
        <v>2</v>
      </c>
      <c r="W998" s="111"/>
      <c r="AC998" s="130"/>
      <c r="AD998" s="130">
        <v>19925</v>
      </c>
      <c r="AE998" s="128" t="s">
        <v>32</v>
      </c>
      <c r="AF998" s="128" t="s">
        <v>138</v>
      </c>
      <c r="AG998" s="128" t="s">
        <v>873</v>
      </c>
      <c r="AH998" s="108" t="s">
        <v>58</v>
      </c>
      <c r="AI998" s="128" t="s">
        <v>34</v>
      </c>
      <c r="AJ998" s="129" t="s">
        <v>55</v>
      </c>
      <c r="AK998" s="129">
        <v>5</v>
      </c>
      <c r="AL998" s="3" t="s">
        <v>55</v>
      </c>
      <c r="AP998" s="129" t="s">
        <v>98</v>
      </c>
      <c r="AR998" s="128" t="s">
        <v>44</v>
      </c>
      <c r="AS998" s="129" t="s">
        <v>64</v>
      </c>
      <c r="BC998" s="129" t="s">
        <v>52</v>
      </c>
      <c r="BF998" s="111">
        <f>IF(J998&gt;1/1/1900,((J998+1)-I998),"STILL OPEN")</f>
        <v>21</v>
      </c>
      <c r="BG998" s="111">
        <f>IF(G998&gt;1/1/1900,((G998+1)-I998),"STILL OPEN")</f>
        <v>90</v>
      </c>
      <c r="BH998" s="111">
        <f t="shared" si="712"/>
        <v>90</v>
      </c>
      <c r="BI998" s="111">
        <f t="shared" si="713"/>
        <v>57.579234972677597</v>
      </c>
      <c r="BJ998" s="129">
        <f>(G998-J998)+(M998-G998)</f>
        <v>0</v>
      </c>
      <c r="BK998" s="129">
        <f t="shared" si="714"/>
        <v>-69</v>
      </c>
      <c r="BL998" s="129" t="str">
        <f t="shared" si="742"/>
        <v>NO CONVICTION</v>
      </c>
      <c r="BM998" s="129" t="s">
        <v>76</v>
      </c>
      <c r="BN998" s="129" t="s">
        <v>88</v>
      </c>
      <c r="BP998" s="137" t="str">
        <f t="shared" si="720"/>
        <v>NO CONVICTION</v>
      </c>
      <c r="BQ998" s="128" t="str">
        <f t="shared" si="721"/>
        <v>Y</v>
      </c>
      <c r="BR998" s="129" t="str">
        <f t="shared" si="722"/>
        <v>ON BOND</v>
      </c>
      <c r="BS998" s="129" t="str">
        <f t="shared" si="723"/>
        <v>DISPOSED</v>
      </c>
      <c r="BT998" s="129" t="str">
        <f t="shared" si="724"/>
        <v>N</v>
      </c>
      <c r="BU998" s="109">
        <f>IFERROR(Q998/R998,BR998)</f>
        <v>0.23333333333333334</v>
      </c>
      <c r="BV998" s="109">
        <f t="shared" si="725"/>
        <v>0.23333333333333334</v>
      </c>
      <c r="BW998" s="109">
        <f t="shared" si="743"/>
        <v>0</v>
      </c>
      <c r="BX998" s="111">
        <f t="shared" si="726"/>
        <v>0</v>
      </c>
      <c r="BY998" s="129">
        <f t="shared" si="727"/>
        <v>-21</v>
      </c>
      <c r="BZ998" s="111">
        <f t="shared" si="728"/>
        <v>0</v>
      </c>
      <c r="CA998" s="138">
        <f t="shared" si="729"/>
        <v>21</v>
      </c>
      <c r="CB998" s="111" t="e">
        <f>IF(AF998&gt;1/1/1900,((AF998+1)-AE998),"STILL OPEN")</f>
        <v>#VALUE!</v>
      </c>
      <c r="CC998" s="129">
        <f>M998-I998+1</f>
        <v>21</v>
      </c>
      <c r="CD998" s="111">
        <f>CC998-BF998</f>
        <v>0</v>
      </c>
      <c r="CE998" s="129">
        <f t="shared" si="730"/>
        <v>69</v>
      </c>
      <c r="CG998" s="129" t="str">
        <f t="shared" si="731"/>
        <v>Y</v>
      </c>
      <c r="CI998" s="129" t="str">
        <f t="shared" si="732"/>
        <v>11-30 DAYS</v>
      </c>
      <c r="CJ998" s="137">
        <f t="shared" si="733"/>
        <v>2</v>
      </c>
      <c r="CK998" s="129" t="str">
        <f t="shared" si="734"/>
        <v>Booked</v>
      </c>
    </row>
    <row r="999" spans="1:89" ht="15.75" customHeight="1" x14ac:dyDescent="0.25">
      <c r="A999" s="111">
        <v>1902</v>
      </c>
      <c r="B999" s="128" t="str">
        <f t="shared" si="715"/>
        <v>N</v>
      </c>
      <c r="C999" s="128" t="str">
        <f t="shared" si="716"/>
        <v>N</v>
      </c>
      <c r="D999" s="117">
        <v>1715727</v>
      </c>
      <c r="E999" s="135">
        <f t="shared" si="717"/>
        <v>4</v>
      </c>
      <c r="F999" s="124">
        <v>40979</v>
      </c>
      <c r="G999" s="125">
        <v>40981</v>
      </c>
      <c r="H999" s="117">
        <v>1715727</v>
      </c>
      <c r="I999" s="124">
        <v>40979</v>
      </c>
      <c r="J999" s="124">
        <v>40981</v>
      </c>
      <c r="K999" s="126" t="s">
        <v>564</v>
      </c>
      <c r="L999" s="127" t="s">
        <v>564</v>
      </c>
      <c r="N999" s="129" t="s">
        <v>566</v>
      </c>
      <c r="O999" s="128" t="s">
        <v>917</v>
      </c>
      <c r="P999" s="129" t="s">
        <v>39</v>
      </c>
      <c r="Q999" s="111">
        <f t="shared" si="739"/>
        <v>3</v>
      </c>
      <c r="R999" s="111">
        <f t="shared" si="737"/>
        <v>3</v>
      </c>
      <c r="S999" s="129">
        <v>2</v>
      </c>
      <c r="T999" s="129">
        <v>0</v>
      </c>
      <c r="U999" s="129">
        <v>1</v>
      </c>
      <c r="W999" s="111"/>
      <c r="AC999" s="130"/>
      <c r="AD999" s="130">
        <v>30229</v>
      </c>
      <c r="AE999" s="128" t="s">
        <v>32</v>
      </c>
      <c r="AF999" s="128" t="s">
        <v>138</v>
      </c>
      <c r="AG999" s="128" t="s">
        <v>873</v>
      </c>
      <c r="AH999" s="108" t="s">
        <v>58</v>
      </c>
      <c r="AI999" s="128" t="s">
        <v>72</v>
      </c>
      <c r="AJ999" s="129" t="s">
        <v>89</v>
      </c>
      <c r="AK999" s="129">
        <v>2</v>
      </c>
      <c r="AL999" s="3" t="s">
        <v>991</v>
      </c>
      <c r="AO999" s="128">
        <v>365</v>
      </c>
      <c r="AP999" s="129" t="s">
        <v>387</v>
      </c>
      <c r="AR999" s="128" t="s">
        <v>67</v>
      </c>
      <c r="AS999" s="129" t="s">
        <v>74</v>
      </c>
      <c r="BC999" s="129" t="s">
        <v>52</v>
      </c>
      <c r="BF999" s="111">
        <f>IF(J999&gt;1/1/1900,((J999+1)-I999),"STILL OPEN")</f>
        <v>3</v>
      </c>
      <c r="BG999" s="111">
        <f>IF(G999&gt;1/1/1900,((G999+1)-I999),"STILL OPEN")</f>
        <v>3</v>
      </c>
      <c r="BH999" s="111">
        <f t="shared" si="712"/>
        <v>3</v>
      </c>
      <c r="BI999" s="111">
        <f t="shared" si="713"/>
        <v>29.371584699453553</v>
      </c>
      <c r="BJ999" s="129">
        <f t="shared" si="718"/>
        <v>0</v>
      </c>
      <c r="BK999" s="129">
        <f t="shared" si="714"/>
        <v>0</v>
      </c>
      <c r="BL999" s="129" t="str">
        <f t="shared" si="742"/>
        <v>CONVICTION</v>
      </c>
      <c r="BM999" s="129" t="str">
        <f t="shared" si="719"/>
        <v>NONE</v>
      </c>
      <c r="BN999" s="129" t="s">
        <v>566</v>
      </c>
      <c r="BP999" s="137" t="str">
        <f t="shared" si="720"/>
        <v>CONVICTION</v>
      </c>
      <c r="BQ999" s="128" t="str">
        <f t="shared" si="721"/>
        <v>Y</v>
      </c>
      <c r="BR999" s="129" t="str">
        <f t="shared" si="722"/>
        <v>DETAINED</v>
      </c>
      <c r="BS999" s="129" t="str">
        <f t="shared" si="723"/>
        <v>DISPOSED</v>
      </c>
      <c r="BT999" s="129" t="str">
        <f t="shared" si="724"/>
        <v>Y</v>
      </c>
      <c r="BU999" s="109">
        <f t="shared" si="735"/>
        <v>1</v>
      </c>
      <c r="BV999" s="109">
        <f t="shared" si="725"/>
        <v>1</v>
      </c>
      <c r="BW999" s="109">
        <f t="shared" si="743"/>
        <v>0</v>
      </c>
      <c r="BX999" s="111">
        <f t="shared" si="726"/>
        <v>0</v>
      </c>
      <c r="BY999" s="129">
        <f t="shared" si="727"/>
        <v>-3</v>
      </c>
      <c r="BZ999" s="111">
        <f t="shared" si="728"/>
        <v>0</v>
      </c>
      <c r="CA999" s="138">
        <f t="shared" si="729"/>
        <v>3</v>
      </c>
      <c r="CB999" s="111" t="e">
        <f>IF(AF999&gt;1/1/1900,((AF999+1)-AE999),"STILL OPEN")</f>
        <v>#VALUE!</v>
      </c>
      <c r="CC999" s="129">
        <f>G999-I999+1</f>
        <v>3</v>
      </c>
      <c r="CD999" s="129">
        <f>G999-J999</f>
        <v>0</v>
      </c>
      <c r="CE999" s="129">
        <f t="shared" si="730"/>
        <v>0</v>
      </c>
      <c r="CG999" s="129" t="str">
        <f t="shared" si="731"/>
        <v>Y</v>
      </c>
      <c r="CI999" s="129" t="str">
        <f t="shared" si="732"/>
        <v>0-10 DAYS</v>
      </c>
      <c r="CJ999" s="137">
        <f t="shared" si="733"/>
        <v>1</v>
      </c>
      <c r="CK999" s="129" t="str">
        <f t="shared" si="734"/>
        <v>Booked</v>
      </c>
    </row>
    <row r="1000" spans="1:89" ht="15.75" customHeight="1" x14ac:dyDescent="0.25">
      <c r="A1000" s="111">
        <v>2943</v>
      </c>
      <c r="B1000" s="128" t="str">
        <f t="shared" si="715"/>
        <v>N</v>
      </c>
      <c r="C1000" s="128" t="str">
        <f t="shared" si="716"/>
        <v>N</v>
      </c>
      <c r="D1000" s="117">
        <v>1716445</v>
      </c>
      <c r="E1000" s="135">
        <f t="shared" si="717"/>
        <v>2</v>
      </c>
      <c r="F1000" s="124">
        <v>41017</v>
      </c>
      <c r="G1000" s="125">
        <v>41019</v>
      </c>
      <c r="H1000" s="117">
        <v>1716445</v>
      </c>
      <c r="I1000" s="124">
        <v>41018</v>
      </c>
      <c r="J1000" s="124">
        <v>41019</v>
      </c>
      <c r="K1000" s="126">
        <v>10000</v>
      </c>
      <c r="L1000" s="127" t="s">
        <v>570</v>
      </c>
      <c r="N1000" s="129" t="str">
        <f>IF(M1000&gt;1/1/1,"Y","N")</f>
        <v>N</v>
      </c>
      <c r="O1000" s="128" t="s">
        <v>917</v>
      </c>
      <c r="P1000" s="129" t="s">
        <v>589</v>
      </c>
      <c r="Q1000" s="111">
        <f t="shared" si="739"/>
        <v>2</v>
      </c>
      <c r="R1000" s="111">
        <f t="shared" si="737"/>
        <v>3</v>
      </c>
      <c r="S1000" s="129">
        <v>0</v>
      </c>
      <c r="T1000" s="129">
        <v>9</v>
      </c>
      <c r="W1000" s="111"/>
      <c r="AC1000" s="130"/>
      <c r="AD1000" s="130">
        <v>29296</v>
      </c>
      <c r="AE1000" s="128" t="s">
        <v>32</v>
      </c>
      <c r="AF1000" s="128" t="s">
        <v>33</v>
      </c>
      <c r="AG1000" s="128" t="s">
        <v>872</v>
      </c>
      <c r="AH1000" s="108" t="s">
        <v>58</v>
      </c>
      <c r="AI1000" s="128" t="s">
        <v>118</v>
      </c>
      <c r="AJ1000" s="129" t="s">
        <v>48</v>
      </c>
      <c r="AL1000" s="3" t="s">
        <v>48</v>
      </c>
      <c r="AP1000" s="129" t="s">
        <v>150</v>
      </c>
      <c r="AR1000" s="128" t="s">
        <v>67</v>
      </c>
      <c r="AS1000" s="129" t="s">
        <v>74</v>
      </c>
      <c r="AT1000" s="129" t="s">
        <v>503</v>
      </c>
      <c r="BC1000" s="129" t="s">
        <v>38</v>
      </c>
      <c r="BF1000" s="111">
        <f>IF(J1000&gt;1/1/1900,((J1000+1)-I1000),"STILL OPEN")</f>
        <v>2</v>
      </c>
      <c r="BG1000" s="111">
        <f>IF(G1000&gt;1/1/1900,((G1000+1)-I1000),"STILL OPEN")</f>
        <v>2</v>
      </c>
      <c r="BH1000" s="111">
        <f t="shared" si="712"/>
        <v>3</v>
      </c>
      <c r="BI1000" s="111">
        <f t="shared" si="713"/>
        <v>32.024590163934427</v>
      </c>
      <c r="BJ1000" s="129">
        <f t="shared" si="718"/>
        <v>0</v>
      </c>
      <c r="BK1000" s="129">
        <f t="shared" si="714"/>
        <v>0</v>
      </c>
      <c r="BL1000" s="129" t="str">
        <f t="shared" si="742"/>
        <v>DEFERRED</v>
      </c>
      <c r="BM1000" s="129" t="str">
        <f t="shared" si="719"/>
        <v>NONE</v>
      </c>
      <c r="BN1000" s="129" t="s">
        <v>566</v>
      </c>
      <c r="BP1000" s="137" t="str">
        <f t="shared" si="720"/>
        <v>DEFERRED</v>
      </c>
      <c r="BQ1000" s="128" t="str">
        <f t="shared" si="721"/>
        <v>Y</v>
      </c>
      <c r="BR1000" s="129" t="str">
        <f t="shared" si="722"/>
        <v>DETAINED</v>
      </c>
      <c r="BS1000" s="129" t="str">
        <f t="shared" si="723"/>
        <v>DISPOSED</v>
      </c>
      <c r="BT1000" s="129" t="str">
        <f t="shared" si="724"/>
        <v>N</v>
      </c>
      <c r="BU1000" s="109">
        <f t="shared" si="735"/>
        <v>0.66666666666666663</v>
      </c>
      <c r="BV1000" s="109">
        <f t="shared" si="725"/>
        <v>1</v>
      </c>
      <c r="BW1000" s="109">
        <f t="shared" si="743"/>
        <v>0.33333333333333337</v>
      </c>
      <c r="BX1000" s="111">
        <f t="shared" si="726"/>
        <v>0</v>
      </c>
      <c r="BY1000" s="129">
        <f t="shared" si="727"/>
        <v>-2</v>
      </c>
      <c r="BZ1000" s="111">
        <f t="shared" si="728"/>
        <v>0</v>
      </c>
      <c r="CA1000" s="138">
        <f t="shared" si="729"/>
        <v>2</v>
      </c>
      <c r="CB1000" s="111" t="e">
        <f>IF(AF1000&gt;1/1/1900,((AF1000+1)-AE1000),"STILL OPEN")</f>
        <v>#VALUE!</v>
      </c>
      <c r="CC1000" s="129">
        <f>G1000-I1000+1</f>
        <v>2</v>
      </c>
      <c r="CD1000" s="129">
        <f>G1000-J1000</f>
        <v>0</v>
      </c>
      <c r="CE1000" s="129">
        <f t="shared" si="730"/>
        <v>0</v>
      </c>
      <c r="CG1000" s="129" t="str">
        <f t="shared" si="731"/>
        <v>Y</v>
      </c>
      <c r="CI1000" s="129" t="str">
        <f t="shared" si="732"/>
        <v>0-10 DAYS</v>
      </c>
      <c r="CJ1000" s="137">
        <f t="shared" si="733"/>
        <v>1</v>
      </c>
      <c r="CK1000" s="129" t="str">
        <f t="shared" si="734"/>
        <v>Booked</v>
      </c>
    </row>
    <row r="1001" spans="1:89" ht="15" customHeight="1" x14ac:dyDescent="0.25">
      <c r="A1001" s="111">
        <v>112</v>
      </c>
      <c r="B1001" s="128" t="str">
        <f t="shared" si="715"/>
        <v>N</v>
      </c>
      <c r="C1001" s="128" t="str">
        <f t="shared" si="716"/>
        <v>N</v>
      </c>
      <c r="D1001" s="117">
        <v>1718195</v>
      </c>
      <c r="E1001" s="135">
        <f t="shared" si="717"/>
        <v>6</v>
      </c>
      <c r="F1001" s="124">
        <v>40913</v>
      </c>
      <c r="G1001" s="125">
        <v>41016</v>
      </c>
      <c r="H1001" s="117">
        <v>1718195</v>
      </c>
      <c r="I1001" s="124">
        <v>40914</v>
      </c>
      <c r="J1001" s="124">
        <v>40915</v>
      </c>
      <c r="K1001" s="126">
        <v>20000</v>
      </c>
      <c r="L1001" s="127" t="s">
        <v>571</v>
      </c>
      <c r="M1001" s="125">
        <v>40915</v>
      </c>
      <c r="N1001" s="129" t="str">
        <f>IF(M1001&gt;1/1/1,"Y","N")</f>
        <v>Y</v>
      </c>
      <c r="O1001" s="128" t="s">
        <v>585</v>
      </c>
      <c r="P1001" s="129" t="s">
        <v>39</v>
      </c>
      <c r="Q1001" s="111">
        <f t="shared" si="739"/>
        <v>2</v>
      </c>
      <c r="R1001" s="111">
        <f t="shared" si="737"/>
        <v>104</v>
      </c>
      <c r="S1001" s="129">
        <v>2</v>
      </c>
      <c r="T1001" s="129">
        <v>6</v>
      </c>
      <c r="U1001" s="129">
        <v>2</v>
      </c>
      <c r="W1001" s="111"/>
      <c r="AC1001" s="130"/>
      <c r="AD1001" s="130">
        <v>28444</v>
      </c>
      <c r="AE1001" s="128" t="s">
        <v>32</v>
      </c>
      <c r="AF1001" s="128" t="s">
        <v>33</v>
      </c>
      <c r="AG1001" s="128" t="s">
        <v>872</v>
      </c>
      <c r="AH1001" s="108" t="s">
        <v>58</v>
      </c>
      <c r="AI1001" s="128" t="s">
        <v>90</v>
      </c>
      <c r="AJ1001" s="129" t="s">
        <v>89</v>
      </c>
      <c r="AK1001" s="129">
        <v>5</v>
      </c>
      <c r="AL1001" s="3" t="s">
        <v>362</v>
      </c>
      <c r="AM1001" s="117">
        <v>5</v>
      </c>
      <c r="AP1001" s="129" t="s">
        <v>148</v>
      </c>
      <c r="AR1001" s="128" t="s">
        <v>67</v>
      </c>
      <c r="AS1001" s="129" t="s">
        <v>45</v>
      </c>
      <c r="BC1001" s="129" t="s">
        <v>38</v>
      </c>
      <c r="BF1001" s="111">
        <f>IF(J1001&gt;1/1/1900,((J1001+1)-I1001),"STILL OPEN")</f>
        <v>2</v>
      </c>
      <c r="BG1001" s="111">
        <f>IF(G1001&gt;1/1/1900,((G1001+1)-I1001),"STILL OPEN")</f>
        <v>103</v>
      </c>
      <c r="BH1001" s="111">
        <f t="shared" si="712"/>
        <v>104</v>
      </c>
      <c r="BI1001" s="111">
        <f t="shared" si="713"/>
        <v>34.068306010928964</v>
      </c>
      <c r="BJ1001" s="129">
        <f>(G1001-J1001)+(M1001-G1001)</f>
        <v>0</v>
      </c>
      <c r="BK1001" s="129">
        <f t="shared" si="714"/>
        <v>-101</v>
      </c>
      <c r="BL1001" s="129" t="str">
        <f t="shared" si="742"/>
        <v>CONVICTION</v>
      </c>
      <c r="BM1001" s="129" t="s">
        <v>76</v>
      </c>
      <c r="BN1001" s="129" t="s">
        <v>88</v>
      </c>
      <c r="BP1001" s="137" t="str">
        <f t="shared" si="720"/>
        <v>CONVICTION</v>
      </c>
      <c r="BQ1001" s="128" t="str">
        <f t="shared" si="721"/>
        <v>Y</v>
      </c>
      <c r="BR1001" s="129" t="str">
        <f>IF(J1001&lt;G1001,"ON BOND",0)</f>
        <v>ON BOND</v>
      </c>
      <c r="BS1001" s="129" t="str">
        <f t="shared" si="723"/>
        <v>DISPOSED</v>
      </c>
      <c r="BT1001" s="129" t="str">
        <f t="shared" si="724"/>
        <v>Y</v>
      </c>
      <c r="BU1001" s="109">
        <f t="shared" si="735"/>
        <v>1.9230769230769232E-2</v>
      </c>
      <c r="BV1001" s="109">
        <f t="shared" si="725"/>
        <v>1.9417475728155338E-2</v>
      </c>
      <c r="BW1001" s="109">
        <f t="shared" si="743"/>
        <v>1.8670649738610628E-4</v>
      </c>
      <c r="BX1001" s="111">
        <f t="shared" si="726"/>
        <v>0</v>
      </c>
      <c r="BY1001" s="129">
        <f t="shared" si="727"/>
        <v>-2</v>
      </c>
      <c r="BZ1001" s="111">
        <f t="shared" si="728"/>
        <v>0</v>
      </c>
      <c r="CA1001" s="138">
        <f t="shared" si="729"/>
        <v>2</v>
      </c>
      <c r="CB1001" s="111" t="e">
        <f>IF(AF1001&gt;1/1/1900,((AF1001+1)-AE1001),"STILL OPEN")</f>
        <v>#VALUE!</v>
      </c>
      <c r="CC1001" s="129">
        <f>M1001-I1001+1</f>
        <v>2</v>
      </c>
      <c r="CD1001" s="111">
        <f>CC1001-BF1001</f>
        <v>0</v>
      </c>
      <c r="CE1001" s="129">
        <f t="shared" si="730"/>
        <v>101</v>
      </c>
      <c r="CG1001" s="129" t="str">
        <f t="shared" si="731"/>
        <v>Y</v>
      </c>
      <c r="CI1001" s="129" t="str">
        <f t="shared" si="732"/>
        <v>0-10 DAYS</v>
      </c>
      <c r="CJ1001" s="137">
        <f t="shared" si="733"/>
        <v>1</v>
      </c>
      <c r="CK1001" s="129" t="str">
        <f t="shared" si="734"/>
        <v>Booked</v>
      </c>
    </row>
    <row r="1002" spans="1:89" ht="15.75" customHeight="1" x14ac:dyDescent="0.25">
      <c r="A1002" s="111">
        <v>1200</v>
      </c>
      <c r="B1002" s="128" t="str">
        <f t="shared" si="715"/>
        <v>N</v>
      </c>
      <c r="C1002" s="128" t="str">
        <f t="shared" si="716"/>
        <v>N</v>
      </c>
      <c r="D1002" s="117">
        <v>1718252</v>
      </c>
      <c r="E1002" s="135">
        <f t="shared" si="717"/>
        <v>1</v>
      </c>
      <c r="F1002" s="124">
        <v>40952</v>
      </c>
      <c r="G1002" s="125">
        <v>41010</v>
      </c>
      <c r="H1002" s="117">
        <v>1718252</v>
      </c>
      <c r="I1002" s="124" t="s">
        <v>562</v>
      </c>
      <c r="J1002" s="124" t="s">
        <v>562</v>
      </c>
      <c r="K1002" s="126">
        <v>10000</v>
      </c>
      <c r="L1002" s="127" t="s">
        <v>570</v>
      </c>
      <c r="M1002" s="125">
        <v>40953</v>
      </c>
      <c r="N1002" s="129" t="str">
        <f>IF(M1002&gt;1/1/1,"Y",IF(Q1002="0","","N"))</f>
        <v>Y</v>
      </c>
      <c r="O1002" s="128" t="s">
        <v>76</v>
      </c>
      <c r="P1002" s="129" t="s">
        <v>55</v>
      </c>
      <c r="Q1002" s="111">
        <f t="shared" si="739"/>
        <v>0</v>
      </c>
      <c r="R1002" s="111">
        <f t="shared" si="737"/>
        <v>59</v>
      </c>
      <c r="S1002" s="129">
        <v>1</v>
      </c>
      <c r="T1002" s="129">
        <v>3</v>
      </c>
      <c r="U1002" s="129">
        <v>1</v>
      </c>
      <c r="W1002" s="111"/>
      <c r="AC1002" s="130"/>
      <c r="AD1002" s="130">
        <v>29708</v>
      </c>
      <c r="AE1002" s="128" t="s">
        <v>32</v>
      </c>
      <c r="AF1002" s="128" t="s">
        <v>40</v>
      </c>
      <c r="AG1002" s="128" t="s">
        <v>41</v>
      </c>
      <c r="AH1002" s="108" t="s">
        <v>41</v>
      </c>
      <c r="AI1002" s="128" t="s">
        <v>141</v>
      </c>
      <c r="AJ1002" s="129" t="s">
        <v>55</v>
      </c>
      <c r="AK1002" s="129">
        <v>3</v>
      </c>
      <c r="AL1002" s="3" t="s">
        <v>55</v>
      </c>
      <c r="AP1002" s="129" t="s">
        <v>148</v>
      </c>
      <c r="AR1002" s="128" t="s">
        <v>67</v>
      </c>
      <c r="AS1002" s="129" t="s">
        <v>45</v>
      </c>
      <c r="AT1002" s="129" t="s">
        <v>304</v>
      </c>
      <c r="BC1002" s="129" t="s">
        <v>52</v>
      </c>
      <c r="BF1002" s="111">
        <v>0</v>
      </c>
      <c r="BG1002" s="111">
        <v>0</v>
      </c>
      <c r="BH1002" s="111">
        <f t="shared" si="712"/>
        <v>59</v>
      </c>
      <c r="BI1002" s="111">
        <f t="shared" si="713"/>
        <v>30.721311475409838</v>
      </c>
      <c r="BJ1002" s="129" t="e">
        <f>(G1002-J1002)+(M1002-G1002)</f>
        <v>#VALUE!</v>
      </c>
      <c r="BK1002" s="129" t="e">
        <f t="shared" si="714"/>
        <v>#VALUE!</v>
      </c>
      <c r="BL1002" s="129" t="str">
        <f t="shared" si="742"/>
        <v>NO CONVICTION</v>
      </c>
      <c r="BM1002" s="129" t="s">
        <v>76</v>
      </c>
      <c r="BN1002" s="129" t="s">
        <v>88</v>
      </c>
      <c r="BP1002" s="137" t="str">
        <f t="shared" si="720"/>
        <v>NO CONVICTION</v>
      </c>
      <c r="BQ1002" s="128">
        <f t="shared" si="721"/>
        <v>0</v>
      </c>
      <c r="BR1002" s="129" t="s">
        <v>575</v>
      </c>
      <c r="BS1002" s="129" t="str">
        <f t="shared" si="723"/>
        <v>DISPOSED</v>
      </c>
      <c r="BT1002" s="129" t="str">
        <f t="shared" si="724"/>
        <v>Y</v>
      </c>
      <c r="BU1002" s="109">
        <f>IFERROR(Q1002/R1002,BR1002)</f>
        <v>0</v>
      </c>
      <c r="BV1002" s="109">
        <v>0</v>
      </c>
      <c r="BW1002" s="109">
        <f t="shared" si="743"/>
        <v>0</v>
      </c>
      <c r="BX1002" s="111">
        <f t="shared" si="726"/>
        <v>0</v>
      </c>
      <c r="BY1002" s="129" t="e">
        <f t="shared" si="727"/>
        <v>#VALUE!</v>
      </c>
      <c r="BZ1002" s="111" t="e">
        <f t="shared" si="728"/>
        <v>#VALUE!</v>
      </c>
      <c r="CA1002" s="138" t="e">
        <f t="shared" si="729"/>
        <v>#VALUE!</v>
      </c>
      <c r="CB1002" s="111">
        <v>0</v>
      </c>
      <c r="CC1002" s="129">
        <v>0</v>
      </c>
      <c r="CD1002" s="111">
        <f>CC1002-BF1002</f>
        <v>0</v>
      </c>
      <c r="CE1002" s="129" t="e">
        <f t="shared" si="730"/>
        <v>#VALUE!</v>
      </c>
      <c r="CG1002" s="129" t="str">
        <f t="shared" si="731"/>
        <v>Y</v>
      </c>
      <c r="CI1002" s="129" t="str">
        <f t="shared" si="732"/>
        <v>0-10 DAYS</v>
      </c>
      <c r="CJ1002" s="137">
        <f t="shared" si="733"/>
        <v>1</v>
      </c>
      <c r="CK1002" s="129" t="str">
        <f t="shared" si="734"/>
        <v>Not Booked</v>
      </c>
    </row>
    <row r="1003" spans="1:89" ht="15.75" customHeight="1" x14ac:dyDescent="0.25">
      <c r="A1003" s="111">
        <v>2389</v>
      </c>
      <c r="B1003" s="128" t="str">
        <f t="shared" si="715"/>
        <v>N</v>
      </c>
      <c r="C1003" s="128" t="str">
        <f t="shared" si="716"/>
        <v>N</v>
      </c>
      <c r="D1003" s="117">
        <v>1718506</v>
      </c>
      <c r="E1003" s="135">
        <f t="shared" si="717"/>
        <v>6</v>
      </c>
      <c r="F1003" s="124">
        <v>40998</v>
      </c>
      <c r="G1003" s="125">
        <v>41142</v>
      </c>
      <c r="H1003" s="117">
        <v>1718506</v>
      </c>
      <c r="I1003" s="124">
        <v>40999</v>
      </c>
      <c r="J1003" s="124">
        <v>41142</v>
      </c>
      <c r="K1003" s="126" t="s">
        <v>564</v>
      </c>
      <c r="L1003" s="127" t="s">
        <v>564</v>
      </c>
      <c r="N1003" s="129" t="s">
        <v>566</v>
      </c>
      <c r="O1003" s="128" t="s">
        <v>917</v>
      </c>
      <c r="P1003" s="129" t="s">
        <v>39</v>
      </c>
      <c r="Q1003" s="111">
        <f t="shared" si="739"/>
        <v>144</v>
      </c>
      <c r="R1003" s="111">
        <f t="shared" si="737"/>
        <v>145</v>
      </c>
      <c r="S1003" s="129">
        <v>2</v>
      </c>
      <c r="T1003" s="129">
        <v>3</v>
      </c>
      <c r="U1003" s="129">
        <v>2</v>
      </c>
      <c r="W1003" s="111"/>
      <c r="AC1003" s="130"/>
      <c r="AD1003" s="130">
        <v>29343</v>
      </c>
      <c r="AE1003" s="128" t="s">
        <v>32</v>
      </c>
      <c r="AF1003" s="128" t="s">
        <v>33</v>
      </c>
      <c r="AG1003" s="128" t="s">
        <v>872</v>
      </c>
      <c r="AH1003" s="108" t="s">
        <v>58</v>
      </c>
      <c r="AI1003" s="128" t="s">
        <v>70</v>
      </c>
      <c r="AJ1003" s="129" t="s">
        <v>89</v>
      </c>
      <c r="AK1003" s="129">
        <v>7</v>
      </c>
      <c r="AL1003" s="3" t="s">
        <v>362</v>
      </c>
      <c r="AM1003" s="117">
        <v>7</v>
      </c>
      <c r="AP1003" s="129" t="s">
        <v>435</v>
      </c>
      <c r="AR1003" s="128" t="s">
        <v>92</v>
      </c>
      <c r="AS1003" s="129" t="s">
        <v>45</v>
      </c>
      <c r="BC1003" s="129" t="s">
        <v>52</v>
      </c>
      <c r="BF1003" s="111">
        <f t="shared" ref="BF1003:BF1008" si="745">IF(J1003&gt;1/1/1900,((J1003+1)-I1003),"STILL OPEN")</f>
        <v>144</v>
      </c>
      <c r="BG1003" s="111">
        <f t="shared" ref="BG1003:BG1008" si="746">IF(G1003&gt;1/1/1900,((G1003+1)-I1003),"STILL OPEN")</f>
        <v>144</v>
      </c>
      <c r="BH1003" s="111">
        <f t="shared" si="712"/>
        <v>145</v>
      </c>
      <c r="BI1003" s="111">
        <f t="shared" si="713"/>
        <v>31.844262295081968</v>
      </c>
      <c r="BJ1003" s="129">
        <f t="shared" si="718"/>
        <v>0</v>
      </c>
      <c r="BK1003" s="129">
        <f t="shared" si="714"/>
        <v>0</v>
      </c>
      <c r="BL1003" s="129" t="str">
        <f t="shared" si="742"/>
        <v>CONVICTION</v>
      </c>
      <c r="BM1003" s="129" t="str">
        <f t="shared" si="719"/>
        <v>NONE</v>
      </c>
      <c r="BN1003" s="129" t="s">
        <v>566</v>
      </c>
      <c r="BP1003" s="137" t="str">
        <f t="shared" si="720"/>
        <v>CONVICTION</v>
      </c>
      <c r="BQ1003" s="128" t="str">
        <f t="shared" si="721"/>
        <v>Y</v>
      </c>
      <c r="BR1003" s="129" t="str">
        <f t="shared" si="722"/>
        <v>DETAINED</v>
      </c>
      <c r="BS1003" s="129" t="str">
        <f t="shared" si="723"/>
        <v>DISPOSED</v>
      </c>
      <c r="BT1003" s="129" t="str">
        <f t="shared" si="724"/>
        <v>Y</v>
      </c>
      <c r="BU1003" s="109">
        <f t="shared" si="735"/>
        <v>0.99310344827586206</v>
      </c>
      <c r="BV1003" s="109">
        <f t="shared" si="725"/>
        <v>1</v>
      </c>
      <c r="BW1003" s="109">
        <f t="shared" si="743"/>
        <v>6.8965517241379448E-3</v>
      </c>
      <c r="BX1003" s="111">
        <f t="shared" si="726"/>
        <v>0</v>
      </c>
      <c r="BY1003" s="129">
        <f t="shared" si="727"/>
        <v>-144</v>
      </c>
      <c r="BZ1003" s="111">
        <f t="shared" si="728"/>
        <v>0</v>
      </c>
      <c r="CA1003" s="138">
        <f t="shared" si="729"/>
        <v>144</v>
      </c>
      <c r="CB1003" s="111" t="e">
        <f t="shared" ref="CB1003:CB1008" si="747">IF(AF1003&gt;1/1/1900,((AF1003+1)-AE1003),"STILL OPEN")</f>
        <v>#VALUE!</v>
      </c>
      <c r="CC1003" s="129">
        <f>G1003-I1003+1</f>
        <v>144</v>
      </c>
      <c r="CD1003" s="129">
        <f>G1003-J1003</f>
        <v>0</v>
      </c>
      <c r="CE1003" s="129">
        <f t="shared" si="730"/>
        <v>0</v>
      </c>
      <c r="CG1003" s="129" t="str">
        <f t="shared" si="731"/>
        <v>Y</v>
      </c>
      <c r="CI1003" s="129" t="str">
        <f t="shared" si="732"/>
        <v>121-365 DAYS</v>
      </c>
      <c r="CJ1003" s="137">
        <f t="shared" si="733"/>
        <v>6</v>
      </c>
      <c r="CK1003" s="129" t="str">
        <f t="shared" si="734"/>
        <v>Booked</v>
      </c>
    </row>
    <row r="1004" spans="1:89" ht="15" customHeight="1" x14ac:dyDescent="0.25">
      <c r="A1004" s="111">
        <v>2301</v>
      </c>
      <c r="B1004" s="128" t="str">
        <f t="shared" si="715"/>
        <v>N</v>
      </c>
      <c r="C1004" s="128" t="str">
        <f t="shared" si="716"/>
        <v>N</v>
      </c>
      <c r="D1004" s="117">
        <v>1718649</v>
      </c>
      <c r="E1004" s="135">
        <f t="shared" si="717"/>
        <v>1</v>
      </c>
      <c r="F1004" s="124">
        <v>40996</v>
      </c>
      <c r="G1004" s="125">
        <v>41031</v>
      </c>
      <c r="H1004" s="117">
        <v>1718649</v>
      </c>
      <c r="I1004" s="124">
        <v>40996</v>
      </c>
      <c r="J1004" s="124">
        <v>40997</v>
      </c>
      <c r="K1004" s="126">
        <v>5000</v>
      </c>
      <c r="L1004" s="127" t="s">
        <v>569</v>
      </c>
      <c r="M1004" s="125">
        <v>40997</v>
      </c>
      <c r="N1004" s="129" t="str">
        <f>IF(M1004&gt;1/1/1,"Y","N")</f>
        <v>Y</v>
      </c>
      <c r="O1004" s="128" t="s">
        <v>76</v>
      </c>
      <c r="P1004" s="129" t="s">
        <v>55</v>
      </c>
      <c r="Q1004" s="111">
        <f t="shared" si="739"/>
        <v>2</v>
      </c>
      <c r="R1004" s="111">
        <f t="shared" si="737"/>
        <v>36</v>
      </c>
      <c r="S1004" s="129">
        <v>1</v>
      </c>
      <c r="T1004" s="129">
        <v>2</v>
      </c>
      <c r="W1004" s="111"/>
      <c r="AC1004" s="130"/>
      <c r="AD1004" s="130">
        <v>29872</v>
      </c>
      <c r="AE1004" s="128" t="s">
        <v>32</v>
      </c>
      <c r="AF1004" s="128" t="s">
        <v>33</v>
      </c>
      <c r="AG1004" s="128" t="s">
        <v>872</v>
      </c>
      <c r="AH1004" s="108" t="s">
        <v>58</v>
      </c>
      <c r="AI1004" s="128" t="s">
        <v>97</v>
      </c>
      <c r="AJ1004" s="129" t="s">
        <v>55</v>
      </c>
      <c r="AK1004" s="129">
        <v>3</v>
      </c>
      <c r="AL1004" s="3" t="s">
        <v>55</v>
      </c>
      <c r="AP1004" s="129" t="s">
        <v>148</v>
      </c>
      <c r="AR1004" s="128" t="s">
        <v>67</v>
      </c>
      <c r="AS1004" s="129" t="s">
        <v>45</v>
      </c>
      <c r="BC1004" s="129" t="s">
        <v>79</v>
      </c>
      <c r="BF1004" s="111">
        <f t="shared" si="745"/>
        <v>2</v>
      </c>
      <c r="BG1004" s="111">
        <f t="shared" si="746"/>
        <v>36</v>
      </c>
      <c r="BH1004" s="111">
        <f t="shared" si="712"/>
        <v>36</v>
      </c>
      <c r="BI1004" s="111">
        <f t="shared" si="713"/>
        <v>30.393442622950818</v>
      </c>
      <c r="BJ1004" s="129">
        <f>(G1004-J1004)+(M1004-G1004)</f>
        <v>0</v>
      </c>
      <c r="BK1004" s="129">
        <f t="shared" si="714"/>
        <v>-34</v>
      </c>
      <c r="BL1004" s="129" t="str">
        <f t="shared" si="742"/>
        <v>NO CONVICTION</v>
      </c>
      <c r="BM1004" s="129" t="s">
        <v>76</v>
      </c>
      <c r="BN1004" s="129" t="s">
        <v>88</v>
      </c>
      <c r="BP1004" s="137" t="str">
        <f t="shared" si="720"/>
        <v>NO CONVICTION</v>
      </c>
      <c r="BQ1004" s="128" t="str">
        <f t="shared" si="721"/>
        <v>Y</v>
      </c>
      <c r="BR1004" s="129" t="str">
        <f t="shared" si="722"/>
        <v>ON BOND</v>
      </c>
      <c r="BS1004" s="129" t="str">
        <f t="shared" si="723"/>
        <v>DISPOSED</v>
      </c>
      <c r="BT1004" s="129" t="str">
        <f t="shared" si="724"/>
        <v>Y</v>
      </c>
      <c r="BU1004" s="109">
        <f>IFERROR(Q1004/R1004,BR1004)</f>
        <v>5.5555555555555552E-2</v>
      </c>
      <c r="BV1004" s="109">
        <f t="shared" si="725"/>
        <v>5.5555555555555552E-2</v>
      </c>
      <c r="BW1004" s="109">
        <f t="shared" si="743"/>
        <v>0</v>
      </c>
      <c r="BX1004" s="111">
        <f t="shared" si="726"/>
        <v>0</v>
      </c>
      <c r="BY1004" s="129">
        <f t="shared" si="727"/>
        <v>-2</v>
      </c>
      <c r="BZ1004" s="111">
        <f t="shared" si="728"/>
        <v>0</v>
      </c>
      <c r="CA1004" s="138">
        <f t="shared" si="729"/>
        <v>2</v>
      </c>
      <c r="CB1004" s="111" t="e">
        <f t="shared" si="747"/>
        <v>#VALUE!</v>
      </c>
      <c r="CC1004" s="129">
        <f>M1004-I1004+1</f>
        <v>2</v>
      </c>
      <c r="CD1004" s="111">
        <f>CC1004-BF1004</f>
        <v>0</v>
      </c>
      <c r="CE1004" s="129">
        <f t="shared" si="730"/>
        <v>34</v>
      </c>
      <c r="CG1004" s="129" t="str">
        <f t="shared" si="731"/>
        <v>Y</v>
      </c>
      <c r="CI1004" s="129" t="str">
        <f t="shared" si="732"/>
        <v>0-10 DAYS</v>
      </c>
      <c r="CJ1004" s="137">
        <f t="shared" si="733"/>
        <v>1</v>
      </c>
      <c r="CK1004" s="129" t="str">
        <f t="shared" si="734"/>
        <v>Booked</v>
      </c>
    </row>
    <row r="1005" spans="1:89" ht="15" customHeight="1" x14ac:dyDescent="0.25">
      <c r="A1005" s="111">
        <v>1685</v>
      </c>
      <c r="B1005" s="128" t="str">
        <f t="shared" si="715"/>
        <v>N</v>
      </c>
      <c r="C1005" s="128" t="str">
        <f t="shared" si="716"/>
        <v>N</v>
      </c>
      <c r="D1005" s="117">
        <v>1719252</v>
      </c>
      <c r="E1005" s="135">
        <f t="shared" si="717"/>
        <v>1</v>
      </c>
      <c r="F1005" s="124">
        <v>40971</v>
      </c>
      <c r="G1005" s="125">
        <v>40998</v>
      </c>
      <c r="H1005" s="117">
        <v>1719252</v>
      </c>
      <c r="I1005" s="124">
        <v>40971</v>
      </c>
      <c r="J1005" s="124">
        <v>40998</v>
      </c>
      <c r="K1005" s="126">
        <v>5000</v>
      </c>
      <c r="L1005" s="127" t="s">
        <v>569</v>
      </c>
      <c r="N1005" s="129" t="str">
        <f>IF(M1005&gt;1/1/1,"Y","N")</f>
        <v>N</v>
      </c>
      <c r="O1005" s="128" t="s">
        <v>917</v>
      </c>
      <c r="P1005" s="116" t="s">
        <v>55</v>
      </c>
      <c r="Q1005" s="111">
        <f t="shared" si="739"/>
        <v>28</v>
      </c>
      <c r="R1005" s="111">
        <f t="shared" si="737"/>
        <v>28</v>
      </c>
      <c r="S1005" s="129">
        <v>0</v>
      </c>
      <c r="T1005" s="129">
        <v>0</v>
      </c>
      <c r="W1005" s="111"/>
      <c r="AC1005" s="130"/>
      <c r="AD1005" s="130">
        <v>28929</v>
      </c>
      <c r="AE1005" s="128" t="s">
        <v>46</v>
      </c>
      <c r="AF1005" s="128" t="s">
        <v>69</v>
      </c>
      <c r="AG1005" s="128" t="s">
        <v>874</v>
      </c>
      <c r="AH1005" s="108" t="s">
        <v>31</v>
      </c>
      <c r="AI1005" s="128" t="s">
        <v>113</v>
      </c>
      <c r="AJ1005" s="129" t="s">
        <v>55</v>
      </c>
      <c r="AK1005" s="129">
        <v>3</v>
      </c>
      <c r="AL1005" s="3" t="s">
        <v>55</v>
      </c>
      <c r="AP1005" s="129" t="s">
        <v>148</v>
      </c>
      <c r="AR1005" s="128" t="s">
        <v>67</v>
      </c>
      <c r="AS1005" s="129" t="s">
        <v>45</v>
      </c>
      <c r="BC1005" s="129" t="s">
        <v>38</v>
      </c>
      <c r="BF1005" s="111">
        <f t="shared" si="745"/>
        <v>28</v>
      </c>
      <c r="BG1005" s="111">
        <f t="shared" si="746"/>
        <v>28</v>
      </c>
      <c r="BH1005" s="111">
        <f t="shared" si="712"/>
        <v>28</v>
      </c>
      <c r="BI1005" s="111">
        <f t="shared" si="713"/>
        <v>32.901639344262293</v>
      </c>
      <c r="BJ1005" s="129">
        <f t="shared" si="718"/>
        <v>0</v>
      </c>
      <c r="BK1005" s="129">
        <f t="shared" si="714"/>
        <v>0</v>
      </c>
      <c r="BL1005" s="129" t="str">
        <f t="shared" si="742"/>
        <v>NO CONVICTION</v>
      </c>
      <c r="BM1005" s="129" t="str">
        <f t="shared" si="719"/>
        <v>NONE</v>
      </c>
      <c r="BN1005" s="129" t="s">
        <v>566</v>
      </c>
      <c r="BP1005" s="137" t="str">
        <f t="shared" si="720"/>
        <v>NO CONVICTION</v>
      </c>
      <c r="BQ1005" s="128" t="str">
        <f t="shared" si="721"/>
        <v>Y</v>
      </c>
      <c r="BR1005" s="129" t="str">
        <f t="shared" si="722"/>
        <v>DETAINED</v>
      </c>
      <c r="BS1005" s="129" t="str">
        <f t="shared" si="723"/>
        <v>DISPOSED</v>
      </c>
      <c r="BT1005" s="129" t="str">
        <f t="shared" si="724"/>
        <v>N</v>
      </c>
      <c r="BU1005" s="109">
        <f>IFERROR(Q1005/R1005,BR1005)</f>
        <v>1</v>
      </c>
      <c r="BV1005" s="109">
        <f t="shared" si="725"/>
        <v>1</v>
      </c>
      <c r="BW1005" s="109">
        <f t="shared" si="743"/>
        <v>0</v>
      </c>
      <c r="BX1005" s="111">
        <f t="shared" si="726"/>
        <v>0</v>
      </c>
      <c r="BY1005" s="129">
        <f t="shared" si="727"/>
        <v>-28</v>
      </c>
      <c r="BZ1005" s="111">
        <f t="shared" si="728"/>
        <v>0</v>
      </c>
      <c r="CA1005" s="138">
        <f t="shared" si="729"/>
        <v>28</v>
      </c>
      <c r="CB1005" s="111" t="e">
        <f t="shared" si="747"/>
        <v>#VALUE!</v>
      </c>
      <c r="CC1005" s="129">
        <f>G1005-I1005+1</f>
        <v>28</v>
      </c>
      <c r="CD1005" s="129">
        <f>G1005-J1005</f>
        <v>0</v>
      </c>
      <c r="CE1005" s="129">
        <f t="shared" si="730"/>
        <v>0</v>
      </c>
      <c r="CG1005" s="129" t="str">
        <f t="shared" si="731"/>
        <v>N</v>
      </c>
      <c r="CI1005" s="129" t="str">
        <f t="shared" si="732"/>
        <v>11-30 DAYS</v>
      </c>
      <c r="CJ1005" s="137">
        <f t="shared" si="733"/>
        <v>2</v>
      </c>
      <c r="CK1005" s="129" t="str">
        <f t="shared" si="734"/>
        <v>Booked</v>
      </c>
    </row>
    <row r="1006" spans="1:89" ht="15" customHeight="1" x14ac:dyDescent="0.25">
      <c r="A1006" s="111">
        <v>1282</v>
      </c>
      <c r="B1006" s="128" t="str">
        <f t="shared" si="715"/>
        <v>N</v>
      </c>
      <c r="C1006" s="128" t="str">
        <f t="shared" si="716"/>
        <v>N</v>
      </c>
      <c r="D1006" s="117">
        <v>1720133</v>
      </c>
      <c r="E1006" s="135">
        <f t="shared" si="717"/>
        <v>6</v>
      </c>
      <c r="F1006" s="124">
        <v>40955</v>
      </c>
      <c r="G1006" s="125">
        <v>41340</v>
      </c>
      <c r="H1006" s="117">
        <v>1720133</v>
      </c>
      <c r="I1006" s="124">
        <v>40956</v>
      </c>
      <c r="J1006" s="125">
        <v>41340</v>
      </c>
      <c r="K1006" s="126">
        <v>70000</v>
      </c>
      <c r="L1006" s="129" t="s">
        <v>572</v>
      </c>
      <c r="N1006" s="129" t="str">
        <f>IF(M1006&gt;1/1/1,"Y","N")</f>
        <v>N</v>
      </c>
      <c r="O1006" s="128" t="s">
        <v>917</v>
      </c>
      <c r="P1006" s="129" t="s">
        <v>39</v>
      </c>
      <c r="Q1006" s="111">
        <f t="shared" si="739"/>
        <v>385</v>
      </c>
      <c r="R1006" s="111">
        <f t="shared" si="737"/>
        <v>386</v>
      </c>
      <c r="S1006" s="129">
        <v>1</v>
      </c>
      <c r="T1006" s="129">
        <v>1</v>
      </c>
      <c r="V1006" s="117">
        <v>1</v>
      </c>
      <c r="W1006" s="111"/>
      <c r="AB1006" s="131" t="s">
        <v>112</v>
      </c>
      <c r="AC1006" s="130"/>
      <c r="AD1006" s="130">
        <v>22636</v>
      </c>
      <c r="AE1006" s="128" t="s">
        <v>32</v>
      </c>
      <c r="AF1006" s="128" t="s">
        <v>40</v>
      </c>
      <c r="AG1006" s="128" t="s">
        <v>41</v>
      </c>
      <c r="AH1006" s="108" t="s">
        <v>31</v>
      </c>
      <c r="AI1006" s="128" t="s">
        <v>83</v>
      </c>
      <c r="AJ1006" s="129" t="s">
        <v>89</v>
      </c>
      <c r="AK1006" s="129">
        <v>16</v>
      </c>
      <c r="AL1006" s="3" t="s">
        <v>362</v>
      </c>
      <c r="AM1006" s="117">
        <v>4</v>
      </c>
      <c r="AP1006" s="129" t="s">
        <v>129</v>
      </c>
      <c r="AR1006" s="128" t="s">
        <v>92</v>
      </c>
      <c r="AS1006" s="129" t="s">
        <v>126</v>
      </c>
      <c r="BC1006" s="129" t="s">
        <v>38</v>
      </c>
      <c r="BF1006" s="111">
        <f t="shared" si="745"/>
        <v>385</v>
      </c>
      <c r="BG1006" s="111">
        <f t="shared" si="746"/>
        <v>385</v>
      </c>
      <c r="BH1006" s="111">
        <f t="shared" si="712"/>
        <v>386</v>
      </c>
      <c r="BI1006" s="111">
        <f t="shared" si="713"/>
        <v>50.051912568306008</v>
      </c>
      <c r="BJ1006" s="129">
        <f t="shared" si="718"/>
        <v>0</v>
      </c>
      <c r="BK1006" s="129">
        <f t="shared" si="714"/>
        <v>0</v>
      </c>
      <c r="BL1006" s="129" t="str">
        <f t="shared" si="742"/>
        <v>CONVICTION</v>
      </c>
      <c r="BM1006" s="129" t="str">
        <f t="shared" si="719"/>
        <v>NONE</v>
      </c>
      <c r="BN1006" s="129" t="s">
        <v>566</v>
      </c>
      <c r="BP1006" s="137" t="str">
        <f t="shared" si="720"/>
        <v>CONVICTION</v>
      </c>
      <c r="BQ1006" s="128" t="str">
        <f t="shared" si="721"/>
        <v>Y</v>
      </c>
      <c r="BR1006" s="129" t="str">
        <f t="shared" si="722"/>
        <v>DETAINED</v>
      </c>
      <c r="BS1006" s="129" t="str">
        <f t="shared" si="723"/>
        <v>DISPOSED</v>
      </c>
      <c r="BT1006" s="129" t="str">
        <f t="shared" si="724"/>
        <v>Y</v>
      </c>
      <c r="BU1006" s="109">
        <f t="shared" si="735"/>
        <v>0.99740932642487046</v>
      </c>
      <c r="BV1006" s="109">
        <f t="shared" si="725"/>
        <v>1</v>
      </c>
      <c r="BW1006" s="109">
        <f t="shared" si="743"/>
        <v>2.5906735751295429E-3</v>
      </c>
      <c r="BX1006" s="111">
        <f t="shared" si="726"/>
        <v>0</v>
      </c>
      <c r="BY1006" s="129">
        <f t="shared" si="727"/>
        <v>-385</v>
      </c>
      <c r="BZ1006" s="111">
        <f t="shared" si="728"/>
        <v>0</v>
      </c>
      <c r="CA1006" s="138">
        <f t="shared" si="729"/>
        <v>385</v>
      </c>
      <c r="CB1006" s="111" t="e">
        <f t="shared" si="747"/>
        <v>#VALUE!</v>
      </c>
      <c r="CC1006" s="129">
        <f>G1006-I1006+1</f>
        <v>385</v>
      </c>
      <c r="CD1006" s="129">
        <f>G1006-J1006</f>
        <v>0</v>
      </c>
      <c r="CE1006" s="129">
        <f t="shared" si="730"/>
        <v>0</v>
      </c>
      <c r="CG1006" s="129" t="str">
        <f t="shared" si="731"/>
        <v>Y</v>
      </c>
      <c r="CI1006" s="129" t="str">
        <f t="shared" si="732"/>
        <v xml:space="preserve"> &gt;1YRS&lt;2YRS</v>
      </c>
      <c r="CJ1006" s="137">
        <f t="shared" si="733"/>
        <v>0</v>
      </c>
      <c r="CK1006" s="129" t="str">
        <f t="shared" si="734"/>
        <v>Booked</v>
      </c>
    </row>
    <row r="1007" spans="1:89" ht="15.75" customHeight="1" x14ac:dyDescent="0.25">
      <c r="A1007" s="111">
        <v>1387</v>
      </c>
      <c r="B1007" s="128" t="str">
        <f t="shared" si="715"/>
        <v>N</v>
      </c>
      <c r="C1007" s="128" t="str">
        <f t="shared" si="716"/>
        <v>N</v>
      </c>
      <c r="D1007" s="117">
        <v>1723273</v>
      </c>
      <c r="E1007" s="135">
        <f t="shared" si="717"/>
        <v>6</v>
      </c>
      <c r="F1007" s="124">
        <v>40960</v>
      </c>
      <c r="G1007" s="125">
        <v>41417</v>
      </c>
      <c r="H1007" s="117">
        <v>1723273</v>
      </c>
      <c r="I1007" s="124">
        <v>40960</v>
      </c>
      <c r="J1007" s="124">
        <v>40979</v>
      </c>
      <c r="K1007" s="126">
        <v>40000</v>
      </c>
      <c r="L1007" s="129" t="s">
        <v>572</v>
      </c>
      <c r="M1007" s="124">
        <v>40979</v>
      </c>
      <c r="N1007" s="129" t="str">
        <f>IF(M1007&gt;1/1/1,"Y","N")</f>
        <v>Y</v>
      </c>
      <c r="O1007" s="128" t="s">
        <v>76</v>
      </c>
      <c r="P1007" s="129" t="s">
        <v>39</v>
      </c>
      <c r="Q1007" s="111">
        <f t="shared" si="739"/>
        <v>20</v>
      </c>
      <c r="R1007" s="111">
        <f t="shared" si="737"/>
        <v>458</v>
      </c>
      <c r="S1007" s="129">
        <v>4</v>
      </c>
      <c r="T1007" s="129">
        <v>12</v>
      </c>
      <c r="U1007" s="129">
        <v>2</v>
      </c>
      <c r="W1007" s="111"/>
      <c r="AC1007" s="130"/>
      <c r="AD1007" s="130">
        <v>29635</v>
      </c>
      <c r="AE1007" s="128" t="s">
        <v>32</v>
      </c>
      <c r="AF1007" s="128" t="s">
        <v>69</v>
      </c>
      <c r="AG1007" s="128" t="s">
        <v>874</v>
      </c>
      <c r="AH1007" s="108" t="s">
        <v>58</v>
      </c>
      <c r="AI1007" s="128" t="s">
        <v>65</v>
      </c>
      <c r="AJ1007" s="129" t="s">
        <v>89</v>
      </c>
      <c r="AK1007" s="129">
        <v>22</v>
      </c>
      <c r="AL1007" s="3" t="s">
        <v>362</v>
      </c>
      <c r="AM1007" s="117">
        <v>4</v>
      </c>
      <c r="AP1007" s="129" t="s">
        <v>132</v>
      </c>
      <c r="AR1007" s="128" t="s">
        <v>92</v>
      </c>
      <c r="AS1007" s="129" t="s">
        <v>82</v>
      </c>
      <c r="AT1007" s="129" t="s">
        <v>330</v>
      </c>
      <c r="BC1007" s="129" t="s">
        <v>38</v>
      </c>
      <c r="BF1007" s="111">
        <f t="shared" si="745"/>
        <v>20</v>
      </c>
      <c r="BG1007" s="111">
        <f t="shared" si="746"/>
        <v>458</v>
      </c>
      <c r="BH1007" s="111">
        <f t="shared" si="712"/>
        <v>458</v>
      </c>
      <c r="BI1007" s="111">
        <f t="shared" si="713"/>
        <v>30.942622950819672</v>
      </c>
      <c r="BJ1007" s="129">
        <f>(G1007-J1007)+(M1007-G1007)</f>
        <v>0</v>
      </c>
      <c r="BK1007" s="129">
        <f t="shared" si="714"/>
        <v>-438</v>
      </c>
      <c r="BL1007" s="129" t="str">
        <f t="shared" si="742"/>
        <v>CONVICTION</v>
      </c>
      <c r="BM1007" s="129" t="s">
        <v>76</v>
      </c>
      <c r="BN1007" s="129" t="s">
        <v>88</v>
      </c>
      <c r="BP1007" s="137" t="str">
        <f t="shared" si="720"/>
        <v>CONVICTION</v>
      </c>
      <c r="BQ1007" s="128" t="str">
        <f t="shared" si="721"/>
        <v>Y</v>
      </c>
      <c r="BR1007" s="129" t="str">
        <f>IF(J1007&lt;G1007,"ON BOND",0)</f>
        <v>ON BOND</v>
      </c>
      <c r="BS1007" s="129" t="str">
        <f t="shared" si="723"/>
        <v>DISPOSED</v>
      </c>
      <c r="BT1007" s="129" t="str">
        <f t="shared" si="724"/>
        <v>Y</v>
      </c>
      <c r="BU1007" s="109">
        <f t="shared" si="735"/>
        <v>4.3668122270742356E-2</v>
      </c>
      <c r="BV1007" s="109">
        <f t="shared" si="725"/>
        <v>4.3668122270742356E-2</v>
      </c>
      <c r="BW1007" s="109">
        <f t="shared" si="743"/>
        <v>0</v>
      </c>
      <c r="BX1007" s="111">
        <f t="shared" si="726"/>
        <v>0</v>
      </c>
      <c r="BY1007" s="129">
        <f t="shared" si="727"/>
        <v>-20</v>
      </c>
      <c r="BZ1007" s="111">
        <f t="shared" si="728"/>
        <v>0</v>
      </c>
      <c r="CA1007" s="138">
        <f t="shared" si="729"/>
        <v>20</v>
      </c>
      <c r="CB1007" s="111" t="e">
        <f t="shared" si="747"/>
        <v>#VALUE!</v>
      </c>
      <c r="CC1007" s="129">
        <f>M1007-I1007+1</f>
        <v>20</v>
      </c>
      <c r="CD1007" s="111">
        <f>CC1007-BF1007</f>
        <v>0</v>
      </c>
      <c r="CE1007" s="129">
        <f t="shared" si="730"/>
        <v>438</v>
      </c>
      <c r="CG1007" s="129" t="str">
        <f t="shared" si="731"/>
        <v>Y</v>
      </c>
      <c r="CI1007" s="129" t="str">
        <f t="shared" si="732"/>
        <v>11-30 DAYS</v>
      </c>
      <c r="CJ1007" s="137">
        <f t="shared" si="733"/>
        <v>2</v>
      </c>
      <c r="CK1007" s="129" t="str">
        <f t="shared" si="734"/>
        <v>Booked</v>
      </c>
    </row>
    <row r="1008" spans="1:89" ht="15" customHeight="1" x14ac:dyDescent="0.25">
      <c r="A1008" s="111">
        <v>1178</v>
      </c>
      <c r="B1008" s="128" t="str">
        <f t="shared" si="715"/>
        <v>N</v>
      </c>
      <c r="C1008" s="128" t="str">
        <f t="shared" si="716"/>
        <v>N</v>
      </c>
      <c r="D1008" s="117">
        <v>1724395</v>
      </c>
      <c r="E1008" s="135">
        <f t="shared" si="717"/>
        <v>1</v>
      </c>
      <c r="F1008" s="124">
        <v>40951</v>
      </c>
      <c r="G1008" s="125">
        <v>41004</v>
      </c>
      <c r="H1008" s="117">
        <v>1724395</v>
      </c>
      <c r="I1008" s="124">
        <v>40952</v>
      </c>
      <c r="J1008" s="124">
        <v>40952</v>
      </c>
      <c r="K1008" s="126">
        <v>5000</v>
      </c>
      <c r="L1008" s="127" t="s">
        <v>569</v>
      </c>
      <c r="M1008" s="125">
        <v>40952</v>
      </c>
      <c r="N1008" s="129" t="str">
        <f>IF(M1008&gt;1/1/1,"Y","N")</f>
        <v>Y</v>
      </c>
      <c r="O1008" s="128" t="s">
        <v>76</v>
      </c>
      <c r="P1008" s="129" t="s">
        <v>55</v>
      </c>
      <c r="Q1008" s="111">
        <f t="shared" si="739"/>
        <v>1</v>
      </c>
      <c r="R1008" s="111">
        <f t="shared" si="737"/>
        <v>54</v>
      </c>
      <c r="S1008" s="129">
        <v>1</v>
      </c>
      <c r="T1008" s="129">
        <v>1</v>
      </c>
      <c r="V1008" s="117">
        <v>1</v>
      </c>
      <c r="W1008" s="111"/>
      <c r="AC1008" s="130"/>
      <c r="AD1008" s="130">
        <v>28036</v>
      </c>
      <c r="AE1008" s="128" t="s">
        <v>46</v>
      </c>
      <c r="AF1008" s="128" t="s">
        <v>33</v>
      </c>
      <c r="AG1008" s="128" t="s">
        <v>872</v>
      </c>
      <c r="AH1008" s="108" t="s">
        <v>58</v>
      </c>
      <c r="AI1008" s="128" t="s">
        <v>62</v>
      </c>
      <c r="AJ1008" s="129" t="s">
        <v>55</v>
      </c>
      <c r="AK1008" s="129">
        <v>3</v>
      </c>
      <c r="AL1008" s="3" t="s">
        <v>55</v>
      </c>
      <c r="AP1008" s="129" t="s">
        <v>136</v>
      </c>
      <c r="AR1008" s="128" t="s">
        <v>67</v>
      </c>
      <c r="AS1008" s="129" t="s">
        <v>64</v>
      </c>
      <c r="AT1008" s="32" t="s">
        <v>616</v>
      </c>
      <c r="BC1008" s="129" t="s">
        <v>38</v>
      </c>
      <c r="BF1008" s="111">
        <f t="shared" si="745"/>
        <v>1</v>
      </c>
      <c r="BG1008" s="111">
        <f t="shared" si="746"/>
        <v>53</v>
      </c>
      <c r="BH1008" s="111">
        <f t="shared" si="712"/>
        <v>54</v>
      </c>
      <c r="BI1008" s="111">
        <f t="shared" si="713"/>
        <v>35.286885245901637</v>
      </c>
      <c r="BJ1008" s="129">
        <f>(G1008-J1008)+(M1008-G1008)</f>
        <v>0</v>
      </c>
      <c r="BK1008" s="129">
        <f t="shared" si="714"/>
        <v>-52</v>
      </c>
      <c r="BL1008" s="129" t="str">
        <f t="shared" si="742"/>
        <v>NO CONVICTION</v>
      </c>
      <c r="BM1008" s="129" t="s">
        <v>76</v>
      </c>
      <c r="BN1008" s="129" t="s">
        <v>88</v>
      </c>
      <c r="BP1008" s="137" t="str">
        <f t="shared" si="720"/>
        <v>NO CONVICTION</v>
      </c>
      <c r="BQ1008" s="128" t="str">
        <f t="shared" si="721"/>
        <v>Y</v>
      </c>
      <c r="BR1008" s="129" t="str">
        <f t="shared" si="722"/>
        <v>ON BOND</v>
      </c>
      <c r="BS1008" s="129" t="str">
        <f t="shared" si="723"/>
        <v>DISPOSED</v>
      </c>
      <c r="BT1008" s="129" t="str">
        <f t="shared" si="724"/>
        <v>Y</v>
      </c>
      <c r="BU1008" s="109">
        <f>IFERROR(Q1008/R1008,BR1008)</f>
        <v>1.8518518518518517E-2</v>
      </c>
      <c r="BV1008" s="109">
        <f t="shared" si="725"/>
        <v>1.8867924528301886E-2</v>
      </c>
      <c r="BW1008" s="109">
        <f t="shared" si="743"/>
        <v>3.4940600978336858E-4</v>
      </c>
      <c r="BX1008" s="111">
        <f t="shared" si="726"/>
        <v>0</v>
      </c>
      <c r="BY1008" s="129">
        <f t="shared" si="727"/>
        <v>-1</v>
      </c>
      <c r="BZ1008" s="111">
        <f t="shared" si="728"/>
        <v>0</v>
      </c>
      <c r="CA1008" s="138">
        <f t="shared" si="729"/>
        <v>1</v>
      </c>
      <c r="CB1008" s="111" t="e">
        <f t="shared" si="747"/>
        <v>#VALUE!</v>
      </c>
      <c r="CC1008" s="129">
        <f>M1008-I1008+1</f>
        <v>1</v>
      </c>
      <c r="CD1008" s="111">
        <f>CC1008-BF1008</f>
        <v>0</v>
      </c>
      <c r="CE1008" s="129">
        <f t="shared" si="730"/>
        <v>52</v>
      </c>
      <c r="CG1008" s="129" t="str">
        <f t="shared" si="731"/>
        <v>Y</v>
      </c>
      <c r="CI1008" s="129" t="str">
        <f t="shared" si="732"/>
        <v>0-10 DAYS</v>
      </c>
      <c r="CJ1008" s="137">
        <f t="shared" si="733"/>
        <v>1</v>
      </c>
      <c r="CK1008" s="129" t="str">
        <f t="shared" si="734"/>
        <v>Booked</v>
      </c>
    </row>
    <row r="1009" spans="1:89" ht="15.75" customHeight="1" x14ac:dyDescent="0.25">
      <c r="A1009" s="111">
        <v>1729</v>
      </c>
      <c r="B1009" s="128" t="str">
        <f t="shared" si="715"/>
        <v>N</v>
      </c>
      <c r="C1009" s="128" t="str">
        <f t="shared" si="716"/>
        <v>N</v>
      </c>
      <c r="D1009" s="117">
        <v>1724603</v>
      </c>
      <c r="E1009" s="135">
        <f t="shared" si="717"/>
        <v>3</v>
      </c>
      <c r="F1009" s="124">
        <v>40973</v>
      </c>
      <c r="G1009" s="125">
        <v>41164</v>
      </c>
      <c r="H1009" s="117">
        <v>1724603</v>
      </c>
      <c r="I1009" s="124" t="s">
        <v>562</v>
      </c>
      <c r="J1009" s="124" t="s">
        <v>562</v>
      </c>
      <c r="K1009" s="126">
        <v>5000</v>
      </c>
      <c r="L1009" s="127" t="s">
        <v>569</v>
      </c>
      <c r="M1009" s="125">
        <v>40974</v>
      </c>
      <c r="N1009" s="129" t="str">
        <f>IF(M1009&gt;1/1/1,"Y",IF(Q1009="0","","N"))</f>
        <v>Y</v>
      </c>
      <c r="O1009" s="128" t="s">
        <v>585</v>
      </c>
      <c r="P1009" s="129" t="s">
        <v>39</v>
      </c>
      <c r="Q1009" s="111">
        <f t="shared" si="739"/>
        <v>0</v>
      </c>
      <c r="R1009" s="111">
        <f t="shared" si="737"/>
        <v>192</v>
      </c>
      <c r="S1009" s="129">
        <v>1</v>
      </c>
      <c r="T1009" s="129">
        <v>9</v>
      </c>
      <c r="U1009" s="129">
        <v>1</v>
      </c>
      <c r="W1009" s="111"/>
      <c r="AC1009" s="130"/>
      <c r="AD1009" s="130">
        <v>29279</v>
      </c>
      <c r="AE1009" s="128" t="s">
        <v>32</v>
      </c>
      <c r="AF1009" s="128" t="s">
        <v>69</v>
      </c>
      <c r="AG1009" s="128" t="s">
        <v>874</v>
      </c>
      <c r="AH1009" s="108" t="s">
        <v>58</v>
      </c>
      <c r="AI1009" s="128" t="s">
        <v>90</v>
      </c>
      <c r="AJ1009" s="129" t="s">
        <v>89</v>
      </c>
      <c r="AK1009" s="129">
        <v>13</v>
      </c>
      <c r="AL1009" s="3" t="s">
        <v>185</v>
      </c>
      <c r="AP1009" s="129" t="s">
        <v>66</v>
      </c>
      <c r="AR1009" s="128" t="s">
        <v>67</v>
      </c>
      <c r="AS1009" s="129" t="s">
        <v>68</v>
      </c>
      <c r="BC1009" s="129" t="s">
        <v>52</v>
      </c>
      <c r="BF1009" s="111">
        <v>0</v>
      </c>
      <c r="BG1009" s="111">
        <v>0</v>
      </c>
      <c r="BH1009" s="111">
        <f t="shared" si="712"/>
        <v>192</v>
      </c>
      <c r="BI1009" s="111">
        <f t="shared" si="713"/>
        <v>31.950819672131146</v>
      </c>
      <c r="BJ1009" s="129" t="e">
        <f>(G1009-J1009)+(M1009-G1009)</f>
        <v>#VALUE!</v>
      </c>
      <c r="BK1009" s="129" t="e">
        <f t="shared" si="714"/>
        <v>#VALUE!</v>
      </c>
      <c r="BL1009" s="129" t="str">
        <f t="shared" si="742"/>
        <v>CONVICTION</v>
      </c>
      <c r="BM1009" s="129" t="s">
        <v>76</v>
      </c>
      <c r="BN1009" s="129" t="s">
        <v>88</v>
      </c>
      <c r="BP1009" s="137" t="str">
        <f t="shared" si="720"/>
        <v>CONVICTION</v>
      </c>
      <c r="BQ1009" s="128">
        <f t="shared" si="721"/>
        <v>0</v>
      </c>
      <c r="BR1009" s="129" t="s">
        <v>575</v>
      </c>
      <c r="BS1009" s="129" t="str">
        <f t="shared" si="723"/>
        <v>DISPOSED</v>
      </c>
      <c r="BT1009" s="129" t="str">
        <f t="shared" si="724"/>
        <v>Y</v>
      </c>
      <c r="BU1009" s="109">
        <f t="shared" si="735"/>
        <v>0</v>
      </c>
      <c r="BV1009" s="109">
        <v>0</v>
      </c>
      <c r="BW1009" s="109">
        <f t="shared" si="743"/>
        <v>0</v>
      </c>
      <c r="BX1009" s="111">
        <f t="shared" si="726"/>
        <v>0</v>
      </c>
      <c r="BY1009" s="129" t="e">
        <f t="shared" si="727"/>
        <v>#VALUE!</v>
      </c>
      <c r="BZ1009" s="111" t="e">
        <f t="shared" si="728"/>
        <v>#VALUE!</v>
      </c>
      <c r="CA1009" s="138" t="e">
        <f t="shared" si="729"/>
        <v>#VALUE!</v>
      </c>
      <c r="CB1009" s="111">
        <v>0</v>
      </c>
      <c r="CC1009" s="129">
        <v>0</v>
      </c>
      <c r="CD1009" s="111">
        <f>CC1009-BF1009</f>
        <v>0</v>
      </c>
      <c r="CE1009" s="129" t="e">
        <f t="shared" si="730"/>
        <v>#VALUE!</v>
      </c>
      <c r="CG1009" s="129" t="str">
        <f t="shared" si="731"/>
        <v>Y</v>
      </c>
      <c r="CI1009" s="129" t="str">
        <f t="shared" si="732"/>
        <v>0-10 DAYS</v>
      </c>
      <c r="CJ1009" s="137">
        <f t="shared" si="733"/>
        <v>1</v>
      </c>
      <c r="CK1009" s="129" t="str">
        <f t="shared" si="734"/>
        <v>Not Booked</v>
      </c>
    </row>
    <row r="1010" spans="1:89" ht="15" customHeight="1" x14ac:dyDescent="0.25">
      <c r="A1010" s="111">
        <v>1444</v>
      </c>
      <c r="B1010" s="128" t="str">
        <f t="shared" si="715"/>
        <v>Y</v>
      </c>
      <c r="C1010" s="128" t="str">
        <f t="shared" si="716"/>
        <v>N</v>
      </c>
      <c r="D1010" s="117">
        <v>1724958</v>
      </c>
      <c r="E1010" s="135">
        <f t="shared" si="717"/>
        <v>4</v>
      </c>
      <c r="F1010" s="124">
        <v>40962</v>
      </c>
      <c r="G1010" s="125">
        <v>41387</v>
      </c>
      <c r="H1010" s="117">
        <v>1724958</v>
      </c>
      <c r="I1010" s="124">
        <v>40962</v>
      </c>
      <c r="J1010" s="124">
        <v>40964</v>
      </c>
      <c r="K1010" s="126">
        <v>20000</v>
      </c>
      <c r="L1010" s="127" t="s">
        <v>571</v>
      </c>
      <c r="M1010" s="125">
        <v>40964</v>
      </c>
      <c r="N1010" s="129" t="str">
        <f>IF(M1010&gt;1/1/1,"Y","N")</f>
        <v>Y</v>
      </c>
      <c r="O1010" s="128" t="s">
        <v>76</v>
      </c>
      <c r="P1010" s="129" t="s">
        <v>39</v>
      </c>
      <c r="Q1010" s="111">
        <f t="shared" si="739"/>
        <v>3</v>
      </c>
      <c r="R1010" s="111">
        <f t="shared" si="737"/>
        <v>426</v>
      </c>
      <c r="S1010" s="129">
        <v>5</v>
      </c>
      <c r="T1010" s="129">
        <v>5</v>
      </c>
      <c r="U1010" s="129">
        <v>4</v>
      </c>
      <c r="W1010" s="111"/>
      <c r="AC1010" s="130"/>
      <c r="AD1010" s="130">
        <v>29143</v>
      </c>
      <c r="AE1010" s="128" t="s">
        <v>32</v>
      </c>
      <c r="AF1010" s="128" t="s">
        <v>33</v>
      </c>
      <c r="AG1010" s="128" t="s">
        <v>872</v>
      </c>
      <c r="AH1010" s="108" t="s">
        <v>31</v>
      </c>
      <c r="AI1010" s="128" t="s">
        <v>95</v>
      </c>
      <c r="AJ1010" s="129" t="s">
        <v>89</v>
      </c>
      <c r="AK1010" s="129">
        <v>19</v>
      </c>
      <c r="AL1010" s="3" t="s">
        <v>991</v>
      </c>
      <c r="AO1010" s="128">
        <v>90</v>
      </c>
      <c r="AP1010" s="129" t="s">
        <v>43</v>
      </c>
      <c r="AR1010" s="128" t="s">
        <v>44</v>
      </c>
      <c r="AS1010" s="129" t="s">
        <v>45</v>
      </c>
      <c r="AT1010" s="129" t="s">
        <v>1145</v>
      </c>
      <c r="BC1010" s="129" t="s">
        <v>52</v>
      </c>
      <c r="BD1010" s="129" t="s">
        <v>1146</v>
      </c>
      <c r="BF1010" s="111">
        <f>IF(J1010&gt;1/1/1900,((J1010+1)-I1010),"STILL OPEN")</f>
        <v>3</v>
      </c>
      <c r="BG1010" s="111">
        <f>IF(G1010&gt;1/1/1900,((G1010+1)-I1010),"STILL OPEN")</f>
        <v>426</v>
      </c>
      <c r="BH1010" s="111">
        <f t="shared" si="712"/>
        <v>426</v>
      </c>
      <c r="BI1010" s="111">
        <f t="shared" si="713"/>
        <v>32.292349726775953</v>
      </c>
      <c r="BJ1010" s="129">
        <f>(G1010-J1010)+(M1010-G1010)</f>
        <v>0</v>
      </c>
      <c r="BK1010" s="129">
        <f t="shared" si="714"/>
        <v>-423</v>
      </c>
      <c r="BL1010" s="129" t="str">
        <f t="shared" si="742"/>
        <v>CONVICTION</v>
      </c>
      <c r="BM1010" s="129" t="s">
        <v>76</v>
      </c>
      <c r="BN1010" s="129" t="s">
        <v>566</v>
      </c>
      <c r="BP1010" s="137" t="str">
        <f t="shared" si="720"/>
        <v>CONVICTION</v>
      </c>
      <c r="BQ1010" s="128" t="str">
        <f t="shared" si="721"/>
        <v>Y</v>
      </c>
      <c r="BR1010" s="129" t="str">
        <f>IF(J1010&lt;G1010,"ON BOND",0)</f>
        <v>ON BOND</v>
      </c>
      <c r="BS1010" s="129" t="str">
        <f t="shared" si="723"/>
        <v>DISPOSED</v>
      </c>
      <c r="BT1010" s="129" t="str">
        <f t="shared" si="724"/>
        <v>Y</v>
      </c>
      <c r="BU1010" s="109">
        <f t="shared" si="735"/>
        <v>7.0422535211267607E-3</v>
      </c>
      <c r="BV1010" s="109">
        <f t="shared" si="725"/>
        <v>7.0422535211267607E-3</v>
      </c>
      <c r="BW1010" s="109">
        <f t="shared" si="743"/>
        <v>0</v>
      </c>
      <c r="BX1010" s="111">
        <f t="shared" si="726"/>
        <v>0</v>
      </c>
      <c r="BY1010" s="129">
        <f t="shared" si="727"/>
        <v>-3</v>
      </c>
      <c r="BZ1010" s="111">
        <f t="shared" si="728"/>
        <v>0</v>
      </c>
      <c r="CA1010" s="138">
        <f t="shared" si="729"/>
        <v>3</v>
      </c>
      <c r="CB1010" s="111" t="e">
        <f>IF(AF1010&gt;1/1/1900,((AF1010+1)-AE1010),"STILL OPEN")</f>
        <v>#VALUE!</v>
      </c>
      <c r="CC1010" s="129">
        <f>M1010-I1010+1</f>
        <v>3</v>
      </c>
      <c r="CD1010" s="111">
        <f>CC1010-BF1010</f>
        <v>0</v>
      </c>
      <c r="CE1010" s="129">
        <f t="shared" si="730"/>
        <v>423</v>
      </c>
      <c r="CG1010" s="129" t="str">
        <f t="shared" si="731"/>
        <v>Y</v>
      </c>
      <c r="CI1010" s="129" t="str">
        <f t="shared" si="732"/>
        <v>0-10 DAYS</v>
      </c>
      <c r="CJ1010" s="137">
        <f t="shared" si="733"/>
        <v>1</v>
      </c>
      <c r="CK1010" s="129" t="str">
        <f t="shared" si="734"/>
        <v>Booked</v>
      </c>
    </row>
    <row r="1011" spans="1:89" ht="15.75" customHeight="1" x14ac:dyDescent="0.25">
      <c r="A1011" s="111">
        <v>1691</v>
      </c>
      <c r="B1011" s="128" t="str">
        <f t="shared" si="715"/>
        <v>N</v>
      </c>
      <c r="C1011" s="128" t="str">
        <f t="shared" si="716"/>
        <v>N</v>
      </c>
      <c r="D1011" s="117">
        <v>1725474</v>
      </c>
      <c r="E1011" s="135">
        <f t="shared" si="717"/>
        <v>2</v>
      </c>
      <c r="F1011" s="124">
        <v>40971</v>
      </c>
      <c r="G1011" s="125">
        <v>41101</v>
      </c>
      <c r="H1011" s="117">
        <v>1725474</v>
      </c>
      <c r="I1011" s="124" t="s">
        <v>562</v>
      </c>
      <c r="J1011" s="124" t="s">
        <v>562</v>
      </c>
      <c r="K1011" s="126">
        <v>2000</v>
      </c>
      <c r="L1011" s="127" t="s">
        <v>568</v>
      </c>
      <c r="M1011" s="125">
        <v>40972</v>
      </c>
      <c r="N1011" s="129" t="str">
        <f>IF(M1011&gt;1/1/1,"Y",IF(Q1011="0","","N"))</f>
        <v>Y</v>
      </c>
      <c r="O1011" s="128" t="s">
        <v>585</v>
      </c>
      <c r="P1011" s="129" t="s">
        <v>589</v>
      </c>
      <c r="Q1011" s="111">
        <f t="shared" si="739"/>
        <v>0</v>
      </c>
      <c r="R1011" s="111">
        <f t="shared" si="737"/>
        <v>131</v>
      </c>
      <c r="S1011" s="129">
        <v>1</v>
      </c>
      <c r="T1011" s="129">
        <v>1</v>
      </c>
      <c r="W1011" s="111"/>
      <c r="AC1011" s="130"/>
      <c r="AD1011" s="130">
        <v>27784</v>
      </c>
      <c r="AE1011" s="128" t="s">
        <v>32</v>
      </c>
      <c r="AF1011" s="128" t="s">
        <v>33</v>
      </c>
      <c r="AG1011" s="128" t="s">
        <v>872</v>
      </c>
      <c r="AH1011" s="108" t="s">
        <v>58</v>
      </c>
      <c r="AI1011" s="128" t="s">
        <v>118</v>
      </c>
      <c r="AJ1011" s="129" t="s">
        <v>48</v>
      </c>
      <c r="AK1011" s="129">
        <v>6</v>
      </c>
      <c r="AL1011" s="3" t="s">
        <v>48</v>
      </c>
      <c r="AP1011" s="129" t="s">
        <v>43</v>
      </c>
      <c r="AR1011" s="128" t="s">
        <v>44</v>
      </c>
      <c r="AS1011" s="129" t="s">
        <v>45</v>
      </c>
      <c r="BC1011" s="129" t="s">
        <v>52</v>
      </c>
      <c r="BF1011" s="111">
        <v>0</v>
      </c>
      <c r="BG1011" s="111">
        <v>0</v>
      </c>
      <c r="BH1011" s="111">
        <f t="shared" si="712"/>
        <v>131</v>
      </c>
      <c r="BI1011" s="111">
        <f t="shared" si="713"/>
        <v>36.030054644808743</v>
      </c>
      <c r="BJ1011" s="129" t="e">
        <f>(G1011-J1011)+(M1011-G1011)</f>
        <v>#VALUE!</v>
      </c>
      <c r="BK1011" s="129" t="e">
        <f t="shared" si="714"/>
        <v>#VALUE!</v>
      </c>
      <c r="BL1011" s="129" t="str">
        <f t="shared" si="742"/>
        <v>DEFERRED</v>
      </c>
      <c r="BM1011" s="129" t="s">
        <v>76</v>
      </c>
      <c r="BN1011" s="129" t="s">
        <v>88</v>
      </c>
      <c r="BP1011" s="137" t="str">
        <f t="shared" si="720"/>
        <v>DEFERRED</v>
      </c>
      <c r="BQ1011" s="128">
        <f t="shared" si="721"/>
        <v>0</v>
      </c>
      <c r="BR1011" s="129" t="s">
        <v>575</v>
      </c>
      <c r="BS1011" s="129" t="str">
        <f t="shared" si="723"/>
        <v>DISPOSED</v>
      </c>
      <c r="BT1011" s="129" t="str">
        <f t="shared" si="724"/>
        <v>Y</v>
      </c>
      <c r="BU1011" s="109">
        <f t="shared" si="735"/>
        <v>0</v>
      </c>
      <c r="BV1011" s="109">
        <v>0</v>
      </c>
      <c r="BW1011" s="109">
        <f t="shared" si="743"/>
        <v>0</v>
      </c>
      <c r="BX1011" s="111">
        <f t="shared" si="726"/>
        <v>0</v>
      </c>
      <c r="BY1011" s="129" t="e">
        <f t="shared" si="727"/>
        <v>#VALUE!</v>
      </c>
      <c r="BZ1011" s="111" t="e">
        <f t="shared" si="728"/>
        <v>#VALUE!</v>
      </c>
      <c r="CA1011" s="138" t="e">
        <f t="shared" si="729"/>
        <v>#VALUE!</v>
      </c>
      <c r="CB1011" s="111">
        <v>0</v>
      </c>
      <c r="CC1011" s="129">
        <v>0</v>
      </c>
      <c r="CD1011" s="111">
        <f>CC1011-BF1011</f>
        <v>0</v>
      </c>
      <c r="CE1011" s="129" t="e">
        <f t="shared" si="730"/>
        <v>#VALUE!</v>
      </c>
      <c r="CG1011" s="129" t="str">
        <f t="shared" si="731"/>
        <v>Y</v>
      </c>
      <c r="CI1011" s="129" t="str">
        <f t="shared" si="732"/>
        <v>0-10 DAYS</v>
      </c>
      <c r="CJ1011" s="137">
        <f t="shared" si="733"/>
        <v>1</v>
      </c>
      <c r="CK1011" s="129" t="str">
        <f t="shared" si="734"/>
        <v>Not Booked</v>
      </c>
    </row>
    <row r="1012" spans="1:89" ht="15.75" customHeight="1" x14ac:dyDescent="0.25">
      <c r="A1012" s="111">
        <v>148</v>
      </c>
      <c r="B1012" s="128" t="str">
        <f t="shared" si="715"/>
        <v>N</v>
      </c>
      <c r="C1012" s="128" t="str">
        <f t="shared" si="716"/>
        <v>N</v>
      </c>
      <c r="D1012" s="117">
        <v>1726277</v>
      </c>
      <c r="E1012" s="135">
        <f t="shared" si="717"/>
        <v>6</v>
      </c>
      <c r="F1012" s="124">
        <v>40915</v>
      </c>
      <c r="G1012" s="125">
        <v>41239</v>
      </c>
      <c r="H1012" s="117">
        <v>1726277</v>
      </c>
      <c r="I1012" s="124">
        <v>40915</v>
      </c>
      <c r="J1012" s="124">
        <v>41239</v>
      </c>
      <c r="K1012" s="126">
        <v>30000</v>
      </c>
      <c r="L1012" s="129" t="s">
        <v>572</v>
      </c>
      <c r="N1012" s="129" t="str">
        <f t="shared" ref="N1012:N1017" si="748">IF(M1012&gt;1/1/1,"Y","N")</f>
        <v>N</v>
      </c>
      <c r="O1012" s="128" t="s">
        <v>917</v>
      </c>
      <c r="P1012" s="129" t="s">
        <v>39</v>
      </c>
      <c r="Q1012" s="111">
        <f t="shared" si="739"/>
        <v>325</v>
      </c>
      <c r="R1012" s="111">
        <f t="shared" si="737"/>
        <v>325</v>
      </c>
      <c r="S1012" s="129">
        <v>3</v>
      </c>
      <c r="T1012" s="129">
        <v>1</v>
      </c>
      <c r="U1012" s="129">
        <v>1</v>
      </c>
      <c r="W1012" s="111"/>
      <c r="AC1012" s="130"/>
      <c r="AD1012" s="130">
        <v>29409</v>
      </c>
      <c r="AE1012" s="128" t="s">
        <v>32</v>
      </c>
      <c r="AF1012" s="128" t="s">
        <v>69</v>
      </c>
      <c r="AG1012" s="128" t="s">
        <v>874</v>
      </c>
      <c r="AH1012" s="108" t="s">
        <v>31</v>
      </c>
      <c r="AI1012" s="128" t="s">
        <v>47</v>
      </c>
      <c r="AJ1012" s="129" t="s">
        <v>89</v>
      </c>
      <c r="AK1012" s="129">
        <v>11</v>
      </c>
      <c r="AL1012" s="3" t="s">
        <v>362</v>
      </c>
      <c r="AM1012" s="117">
        <v>2</v>
      </c>
      <c r="AP1012" s="129" t="s">
        <v>105</v>
      </c>
      <c r="AR1012" s="128" t="s">
        <v>92</v>
      </c>
      <c r="AS1012" s="129" t="s">
        <v>106</v>
      </c>
      <c r="BC1012" s="129" t="s">
        <v>52</v>
      </c>
      <c r="BF1012" s="111">
        <f t="shared" ref="BF1012:BF1017" si="749">IF(J1012&gt;1/1/1900,((J1012+1)-I1012),"STILL OPEN")</f>
        <v>325</v>
      </c>
      <c r="BG1012" s="111">
        <f t="shared" ref="BG1012:BG1017" si="750">IF(G1012&gt;1/1/1900,((G1012+1)-I1012),"STILL OPEN")</f>
        <v>325</v>
      </c>
      <c r="BH1012" s="111">
        <f t="shared" si="712"/>
        <v>325</v>
      </c>
      <c r="BI1012" s="111">
        <f t="shared" si="713"/>
        <v>31.437158469945356</v>
      </c>
      <c r="BJ1012" s="129">
        <f t="shared" si="718"/>
        <v>0</v>
      </c>
      <c r="BK1012" s="129">
        <f t="shared" si="714"/>
        <v>0</v>
      </c>
      <c r="BL1012" s="129" t="str">
        <f t="shared" si="742"/>
        <v>CONVICTION</v>
      </c>
      <c r="BM1012" s="129" t="str">
        <f t="shared" si="719"/>
        <v>NONE</v>
      </c>
      <c r="BN1012" s="129" t="s">
        <v>566</v>
      </c>
      <c r="BP1012" s="137" t="str">
        <f t="shared" si="720"/>
        <v>CONVICTION</v>
      </c>
      <c r="BQ1012" s="128" t="str">
        <f t="shared" si="721"/>
        <v>Y</v>
      </c>
      <c r="BR1012" s="129" t="str">
        <f t="shared" si="722"/>
        <v>DETAINED</v>
      </c>
      <c r="BS1012" s="129" t="str">
        <f t="shared" si="723"/>
        <v>DISPOSED</v>
      </c>
      <c r="BT1012" s="129" t="str">
        <f t="shared" si="724"/>
        <v>Y</v>
      </c>
      <c r="BU1012" s="109">
        <f t="shared" si="735"/>
        <v>1</v>
      </c>
      <c r="BV1012" s="109">
        <f t="shared" si="725"/>
        <v>1</v>
      </c>
      <c r="BW1012" s="109">
        <f t="shared" si="743"/>
        <v>0</v>
      </c>
      <c r="BX1012" s="111">
        <f t="shared" si="726"/>
        <v>0</v>
      </c>
      <c r="BY1012" s="129">
        <f t="shared" si="727"/>
        <v>-325</v>
      </c>
      <c r="BZ1012" s="111">
        <f t="shared" si="728"/>
        <v>0</v>
      </c>
      <c r="CA1012" s="138">
        <f t="shared" si="729"/>
        <v>325</v>
      </c>
      <c r="CB1012" s="111" t="e">
        <f t="shared" ref="CB1012:CB1017" si="751">IF(AF1012&gt;1/1/1900,((AF1012+1)-AE1012),"STILL OPEN")</f>
        <v>#VALUE!</v>
      </c>
      <c r="CC1012" s="129">
        <f>G1012-I1012+1</f>
        <v>325</v>
      </c>
      <c r="CD1012" s="129">
        <f>G1012-J1012</f>
        <v>0</v>
      </c>
      <c r="CE1012" s="129">
        <f t="shared" si="730"/>
        <v>0</v>
      </c>
      <c r="CG1012" s="129" t="str">
        <f t="shared" si="731"/>
        <v>Y</v>
      </c>
      <c r="CI1012" s="129" t="str">
        <f t="shared" si="732"/>
        <v>121-365 DAYS</v>
      </c>
      <c r="CJ1012" s="137">
        <f t="shared" si="733"/>
        <v>6</v>
      </c>
      <c r="CK1012" s="129" t="str">
        <f t="shared" si="734"/>
        <v>Booked</v>
      </c>
    </row>
    <row r="1013" spans="1:89" ht="15" customHeight="1" x14ac:dyDescent="0.25">
      <c r="A1013" s="111">
        <v>165</v>
      </c>
      <c r="B1013" s="128" t="str">
        <f t="shared" si="715"/>
        <v>N</v>
      </c>
      <c r="C1013" s="128" t="str">
        <f t="shared" si="716"/>
        <v>N</v>
      </c>
      <c r="D1013" s="117">
        <v>1726743</v>
      </c>
      <c r="E1013" s="135">
        <f t="shared" si="717"/>
        <v>1</v>
      </c>
      <c r="F1013" s="124">
        <v>40916</v>
      </c>
      <c r="G1013" s="125">
        <v>41058</v>
      </c>
      <c r="H1013" s="117">
        <v>1726743</v>
      </c>
      <c r="I1013" s="124">
        <v>40916</v>
      </c>
      <c r="J1013" s="124">
        <v>40917</v>
      </c>
      <c r="K1013" s="126">
        <v>10000</v>
      </c>
      <c r="L1013" s="127" t="s">
        <v>570</v>
      </c>
      <c r="M1013" s="125">
        <v>40917</v>
      </c>
      <c r="N1013" s="129" t="str">
        <f t="shared" si="748"/>
        <v>Y</v>
      </c>
      <c r="O1013" s="128" t="s">
        <v>76</v>
      </c>
      <c r="P1013" s="129" t="s">
        <v>55</v>
      </c>
      <c r="Q1013" s="111">
        <f t="shared" si="739"/>
        <v>2</v>
      </c>
      <c r="R1013" s="111">
        <f t="shared" si="737"/>
        <v>143</v>
      </c>
      <c r="S1013" s="129">
        <v>2</v>
      </c>
      <c r="T1013" s="129">
        <v>2</v>
      </c>
      <c r="U1013" s="129">
        <v>1</v>
      </c>
      <c r="W1013" s="111"/>
      <c r="AC1013" s="130"/>
      <c r="AD1013" s="130">
        <v>29966</v>
      </c>
      <c r="AE1013" s="128" t="s">
        <v>32</v>
      </c>
      <c r="AF1013" s="128" t="s">
        <v>33</v>
      </c>
      <c r="AG1013" s="128" t="s">
        <v>872</v>
      </c>
      <c r="AH1013" s="108" t="s">
        <v>58</v>
      </c>
      <c r="AI1013" s="128" t="s">
        <v>47</v>
      </c>
      <c r="AJ1013" s="129" t="s">
        <v>55</v>
      </c>
      <c r="AK1013" s="129">
        <v>6</v>
      </c>
      <c r="AL1013" s="3" t="s">
        <v>55</v>
      </c>
      <c r="AP1013" s="129" t="s">
        <v>93</v>
      </c>
      <c r="AR1013" s="128" t="s">
        <v>67</v>
      </c>
      <c r="AS1013" s="129" t="s">
        <v>45</v>
      </c>
      <c r="BC1013" s="129" t="s">
        <v>52</v>
      </c>
      <c r="BF1013" s="111">
        <f t="shared" si="749"/>
        <v>2</v>
      </c>
      <c r="BG1013" s="111">
        <f t="shared" si="750"/>
        <v>143</v>
      </c>
      <c r="BH1013" s="111">
        <f t="shared" si="712"/>
        <v>143</v>
      </c>
      <c r="BI1013" s="111">
        <f t="shared" si="713"/>
        <v>29.918032786885245</v>
      </c>
      <c r="BJ1013" s="129">
        <f>(G1013-J1013)+(M1013-G1013)</f>
        <v>0</v>
      </c>
      <c r="BK1013" s="129">
        <f t="shared" si="714"/>
        <v>-141</v>
      </c>
      <c r="BL1013" s="129" t="str">
        <f t="shared" si="742"/>
        <v>NO CONVICTION</v>
      </c>
      <c r="BM1013" s="129" t="s">
        <v>76</v>
      </c>
      <c r="BN1013" s="129" t="s">
        <v>88</v>
      </c>
      <c r="BP1013" s="137" t="str">
        <f t="shared" si="720"/>
        <v>NO CONVICTION</v>
      </c>
      <c r="BQ1013" s="128" t="str">
        <f t="shared" si="721"/>
        <v>Y</v>
      </c>
      <c r="BR1013" s="129" t="str">
        <f t="shared" si="722"/>
        <v>ON BOND</v>
      </c>
      <c r="BS1013" s="129" t="str">
        <f t="shared" si="723"/>
        <v>DISPOSED</v>
      </c>
      <c r="BT1013" s="129" t="str">
        <f t="shared" si="724"/>
        <v>Y</v>
      </c>
      <c r="BU1013" s="109">
        <f>IFERROR(Q1013/R1013,BR1013)</f>
        <v>1.3986013986013986E-2</v>
      </c>
      <c r="BV1013" s="109">
        <f t="shared" si="725"/>
        <v>1.3986013986013986E-2</v>
      </c>
      <c r="BW1013" s="109">
        <f t="shared" si="743"/>
        <v>0</v>
      </c>
      <c r="BX1013" s="111">
        <f t="shared" si="726"/>
        <v>0</v>
      </c>
      <c r="BY1013" s="129">
        <f t="shared" si="727"/>
        <v>-2</v>
      </c>
      <c r="BZ1013" s="111">
        <f t="shared" si="728"/>
        <v>0</v>
      </c>
      <c r="CA1013" s="138">
        <f t="shared" si="729"/>
        <v>2</v>
      </c>
      <c r="CB1013" s="111" t="e">
        <f t="shared" si="751"/>
        <v>#VALUE!</v>
      </c>
      <c r="CC1013" s="129">
        <f>M1013-I1013+1</f>
        <v>2</v>
      </c>
      <c r="CD1013" s="111">
        <f>CC1013-BF1013</f>
        <v>0</v>
      </c>
      <c r="CE1013" s="129">
        <f t="shared" si="730"/>
        <v>141</v>
      </c>
      <c r="CG1013" s="129" t="str">
        <f t="shared" si="731"/>
        <v>Y</v>
      </c>
      <c r="CI1013" s="129" t="str">
        <f t="shared" si="732"/>
        <v>0-10 DAYS</v>
      </c>
      <c r="CJ1013" s="137">
        <f t="shared" si="733"/>
        <v>1</v>
      </c>
      <c r="CK1013" s="129" t="str">
        <f t="shared" si="734"/>
        <v>Booked</v>
      </c>
    </row>
    <row r="1014" spans="1:89" ht="15" customHeight="1" x14ac:dyDescent="0.25">
      <c r="A1014" s="111">
        <v>709</v>
      </c>
      <c r="B1014" s="128" t="str">
        <f t="shared" si="715"/>
        <v>N</v>
      </c>
      <c r="C1014" s="128" t="str">
        <f t="shared" si="716"/>
        <v>N</v>
      </c>
      <c r="D1014" s="117">
        <v>1727068</v>
      </c>
      <c r="E1014" s="135">
        <f t="shared" si="717"/>
        <v>6</v>
      </c>
      <c r="F1014" s="124">
        <v>40936</v>
      </c>
      <c r="G1014" s="125">
        <v>40963</v>
      </c>
      <c r="H1014" s="117">
        <v>1727068</v>
      </c>
      <c r="I1014" s="124">
        <v>40937</v>
      </c>
      <c r="J1014" s="124">
        <v>40963</v>
      </c>
      <c r="K1014" s="126">
        <v>5000</v>
      </c>
      <c r="L1014" s="127" t="s">
        <v>569</v>
      </c>
      <c r="N1014" s="129" t="str">
        <f t="shared" si="748"/>
        <v>N</v>
      </c>
      <c r="O1014" s="128" t="s">
        <v>917</v>
      </c>
      <c r="P1014" s="129" t="s">
        <v>39</v>
      </c>
      <c r="Q1014" s="111">
        <f t="shared" si="739"/>
        <v>27</v>
      </c>
      <c r="R1014" s="111">
        <f t="shared" si="737"/>
        <v>28</v>
      </c>
      <c r="S1014" s="129">
        <v>1</v>
      </c>
      <c r="T1014" s="129">
        <v>0</v>
      </c>
      <c r="W1014" s="111"/>
      <c r="AC1014" s="130"/>
      <c r="AD1014" s="130">
        <v>29795</v>
      </c>
      <c r="AE1014" s="128" t="s">
        <v>32</v>
      </c>
      <c r="AF1014" s="128" t="s">
        <v>69</v>
      </c>
      <c r="AG1014" s="128" t="s">
        <v>874</v>
      </c>
      <c r="AH1014" s="108" t="s">
        <v>58</v>
      </c>
      <c r="AI1014" s="128" t="s">
        <v>87</v>
      </c>
      <c r="AJ1014" s="129" t="s">
        <v>89</v>
      </c>
      <c r="AK1014" s="129">
        <v>2</v>
      </c>
      <c r="AL1014" s="3" t="s">
        <v>362</v>
      </c>
      <c r="AM1014" s="117">
        <v>2</v>
      </c>
      <c r="AP1014" s="129" t="s">
        <v>101</v>
      </c>
      <c r="AR1014" s="128" t="s">
        <v>67</v>
      </c>
      <c r="AS1014" s="129" t="s">
        <v>64</v>
      </c>
      <c r="BC1014" s="129" t="s">
        <v>38</v>
      </c>
      <c r="BF1014" s="111">
        <f t="shared" si="749"/>
        <v>27</v>
      </c>
      <c r="BG1014" s="111">
        <f t="shared" si="750"/>
        <v>27</v>
      </c>
      <c r="BH1014" s="111">
        <f t="shared" si="712"/>
        <v>28</v>
      </c>
      <c r="BI1014" s="111">
        <f t="shared" si="713"/>
        <v>30.439890710382514</v>
      </c>
      <c r="BJ1014" s="129">
        <f t="shared" si="718"/>
        <v>0</v>
      </c>
      <c r="BK1014" s="129">
        <f t="shared" si="714"/>
        <v>0</v>
      </c>
      <c r="BL1014" s="129" t="str">
        <f t="shared" si="742"/>
        <v>CONVICTION</v>
      </c>
      <c r="BM1014" s="129" t="str">
        <f t="shared" si="719"/>
        <v>NONE</v>
      </c>
      <c r="BN1014" s="129" t="s">
        <v>566</v>
      </c>
      <c r="BP1014" s="137" t="str">
        <f t="shared" si="720"/>
        <v>CONVICTION</v>
      </c>
      <c r="BQ1014" s="128" t="str">
        <f t="shared" si="721"/>
        <v>Y</v>
      </c>
      <c r="BR1014" s="129" t="str">
        <f t="shared" si="722"/>
        <v>DETAINED</v>
      </c>
      <c r="BS1014" s="129" t="str">
        <f t="shared" si="723"/>
        <v>DISPOSED</v>
      </c>
      <c r="BT1014" s="129" t="str">
        <f t="shared" si="724"/>
        <v>Y</v>
      </c>
      <c r="BU1014" s="109">
        <f t="shared" si="735"/>
        <v>0.9642857142857143</v>
      </c>
      <c r="BV1014" s="109">
        <f t="shared" si="725"/>
        <v>1</v>
      </c>
      <c r="BW1014" s="109">
        <f t="shared" si="743"/>
        <v>3.5714285714285698E-2</v>
      </c>
      <c r="BX1014" s="111">
        <f t="shared" si="726"/>
        <v>0</v>
      </c>
      <c r="BY1014" s="129">
        <f t="shared" si="727"/>
        <v>-27</v>
      </c>
      <c r="BZ1014" s="111">
        <f t="shared" si="728"/>
        <v>0</v>
      </c>
      <c r="CA1014" s="138">
        <f t="shared" si="729"/>
        <v>27</v>
      </c>
      <c r="CB1014" s="111" t="e">
        <f t="shared" si="751"/>
        <v>#VALUE!</v>
      </c>
      <c r="CC1014" s="129">
        <f>G1014-I1014+1</f>
        <v>27</v>
      </c>
      <c r="CD1014" s="129">
        <f>G1014-J1014</f>
        <v>0</v>
      </c>
      <c r="CE1014" s="129">
        <f t="shared" si="730"/>
        <v>0</v>
      </c>
      <c r="CG1014" s="129" t="str">
        <f t="shared" si="731"/>
        <v>Y</v>
      </c>
      <c r="CI1014" s="129" t="str">
        <f t="shared" si="732"/>
        <v>11-30 DAYS</v>
      </c>
      <c r="CJ1014" s="137">
        <f t="shared" si="733"/>
        <v>2</v>
      </c>
      <c r="CK1014" s="129" t="str">
        <f t="shared" si="734"/>
        <v>Booked</v>
      </c>
    </row>
    <row r="1015" spans="1:89" ht="15.75" customHeight="1" x14ac:dyDescent="0.25">
      <c r="A1015" s="111">
        <v>2986</v>
      </c>
      <c r="B1015" s="128" t="str">
        <f t="shared" si="715"/>
        <v>N</v>
      </c>
      <c r="C1015" s="128" t="str">
        <f t="shared" si="716"/>
        <v>N</v>
      </c>
      <c r="D1015" s="117">
        <v>1728220</v>
      </c>
      <c r="E1015" s="135">
        <f t="shared" si="717"/>
        <v>5</v>
      </c>
      <c r="F1015" s="124">
        <v>41019</v>
      </c>
      <c r="G1015" s="125">
        <v>41022</v>
      </c>
      <c r="H1015" s="117">
        <v>1728220</v>
      </c>
      <c r="I1015" s="124">
        <v>41019</v>
      </c>
      <c r="J1015" s="124">
        <v>41022</v>
      </c>
      <c r="K1015" s="126">
        <v>15000</v>
      </c>
      <c r="L1015" s="127" t="s">
        <v>571</v>
      </c>
      <c r="N1015" s="129" t="str">
        <f t="shared" si="748"/>
        <v>N</v>
      </c>
      <c r="O1015" s="128" t="s">
        <v>917</v>
      </c>
      <c r="P1015" s="129" t="s">
        <v>39</v>
      </c>
      <c r="Q1015" s="111">
        <f t="shared" si="739"/>
        <v>4</v>
      </c>
      <c r="R1015" s="111">
        <f t="shared" si="737"/>
        <v>4</v>
      </c>
      <c r="S1015" s="129">
        <v>12</v>
      </c>
      <c r="T1015" s="129">
        <v>3</v>
      </c>
      <c r="U1015" s="129">
        <v>8</v>
      </c>
      <c r="W1015" s="111"/>
      <c r="AC1015" s="130"/>
      <c r="AD1015" s="130">
        <v>24883</v>
      </c>
      <c r="AE1015" s="128" t="s">
        <v>32</v>
      </c>
      <c r="AF1015" s="128" t="s">
        <v>33</v>
      </c>
      <c r="AG1015" s="128" t="s">
        <v>872</v>
      </c>
      <c r="AH1015" s="108" t="s">
        <v>58</v>
      </c>
      <c r="AI1015" s="128" t="s">
        <v>65</v>
      </c>
      <c r="AJ1015" s="129" t="s">
        <v>89</v>
      </c>
      <c r="AK1015" s="129">
        <v>1</v>
      </c>
      <c r="AL1015" s="3" t="s">
        <v>992</v>
      </c>
      <c r="AN1015" s="117">
        <v>6</v>
      </c>
      <c r="AP1015" s="129" t="s">
        <v>43</v>
      </c>
      <c r="AR1015" s="128" t="s">
        <v>44</v>
      </c>
      <c r="AS1015" s="129" t="s">
        <v>45</v>
      </c>
      <c r="BC1015" s="129" t="s">
        <v>38</v>
      </c>
      <c r="BF1015" s="111">
        <f t="shared" si="749"/>
        <v>4</v>
      </c>
      <c r="BG1015" s="111">
        <f t="shared" si="750"/>
        <v>4</v>
      </c>
      <c r="BH1015" s="111">
        <f t="shared" si="712"/>
        <v>4</v>
      </c>
      <c r="BI1015" s="111">
        <f t="shared" si="713"/>
        <v>44.087431693989068</v>
      </c>
      <c r="BJ1015" s="129">
        <f t="shared" si="718"/>
        <v>0</v>
      </c>
      <c r="BK1015" s="129">
        <f t="shared" si="714"/>
        <v>0</v>
      </c>
      <c r="BL1015" s="129" t="str">
        <f t="shared" si="742"/>
        <v>CONVICTION</v>
      </c>
      <c r="BM1015" s="129" t="str">
        <f t="shared" si="719"/>
        <v>NONE</v>
      </c>
      <c r="BN1015" s="129" t="s">
        <v>566</v>
      </c>
      <c r="BP1015" s="137" t="str">
        <f t="shared" si="720"/>
        <v>CONVICTION</v>
      </c>
      <c r="BQ1015" s="128" t="str">
        <f t="shared" si="721"/>
        <v>Y</v>
      </c>
      <c r="BR1015" s="129" t="str">
        <f t="shared" si="722"/>
        <v>DETAINED</v>
      </c>
      <c r="BS1015" s="129" t="str">
        <f t="shared" si="723"/>
        <v>DISPOSED</v>
      </c>
      <c r="BT1015" s="129" t="str">
        <f t="shared" si="724"/>
        <v>Y</v>
      </c>
      <c r="BU1015" s="109">
        <f t="shared" si="735"/>
        <v>1</v>
      </c>
      <c r="BV1015" s="109">
        <f t="shared" si="725"/>
        <v>1</v>
      </c>
      <c r="BW1015" s="109">
        <f t="shared" si="743"/>
        <v>0</v>
      </c>
      <c r="BX1015" s="111">
        <f t="shared" si="726"/>
        <v>0</v>
      </c>
      <c r="BY1015" s="129">
        <f t="shared" si="727"/>
        <v>-4</v>
      </c>
      <c r="BZ1015" s="111">
        <f t="shared" si="728"/>
        <v>0</v>
      </c>
      <c r="CA1015" s="138">
        <f t="shared" si="729"/>
        <v>4</v>
      </c>
      <c r="CB1015" s="111" t="e">
        <f t="shared" si="751"/>
        <v>#VALUE!</v>
      </c>
      <c r="CC1015" s="129">
        <f>G1015-I1015+1</f>
        <v>4</v>
      </c>
      <c r="CD1015" s="129">
        <f>G1015-J1015</f>
        <v>0</v>
      </c>
      <c r="CE1015" s="129">
        <f t="shared" si="730"/>
        <v>0</v>
      </c>
      <c r="CG1015" s="129" t="str">
        <f t="shared" si="731"/>
        <v>Y</v>
      </c>
      <c r="CI1015" s="129" t="str">
        <f t="shared" si="732"/>
        <v>0-10 DAYS</v>
      </c>
      <c r="CJ1015" s="137">
        <f t="shared" si="733"/>
        <v>1</v>
      </c>
      <c r="CK1015" s="129" t="str">
        <f t="shared" si="734"/>
        <v>Booked</v>
      </c>
    </row>
    <row r="1016" spans="1:89" ht="15.75" customHeight="1" x14ac:dyDescent="0.25">
      <c r="A1016" s="111">
        <v>1577</v>
      </c>
      <c r="B1016" s="128" t="str">
        <f t="shared" si="715"/>
        <v>N</v>
      </c>
      <c r="C1016" s="128" t="str">
        <f t="shared" si="716"/>
        <v>N</v>
      </c>
      <c r="D1016" s="117">
        <v>1728328</v>
      </c>
      <c r="E1016" s="135">
        <f t="shared" si="717"/>
        <v>2</v>
      </c>
      <c r="F1016" s="124">
        <v>40967</v>
      </c>
      <c r="G1016" s="125">
        <v>41079</v>
      </c>
      <c r="H1016" s="117">
        <v>1728328</v>
      </c>
      <c r="I1016" s="124">
        <v>40968</v>
      </c>
      <c r="J1016" s="124">
        <v>40968</v>
      </c>
      <c r="K1016" s="126">
        <v>2000</v>
      </c>
      <c r="L1016" s="127" t="s">
        <v>568</v>
      </c>
      <c r="M1016" s="125">
        <v>40968</v>
      </c>
      <c r="N1016" s="129" t="str">
        <f t="shared" si="748"/>
        <v>Y</v>
      </c>
      <c r="O1016" s="128" t="s">
        <v>76</v>
      </c>
      <c r="P1016" s="129" t="s">
        <v>589</v>
      </c>
      <c r="Q1016" s="111">
        <f t="shared" si="739"/>
        <v>1</v>
      </c>
      <c r="R1016" s="111">
        <f t="shared" si="737"/>
        <v>113</v>
      </c>
      <c r="S1016" s="129">
        <v>1</v>
      </c>
      <c r="T1016" s="129">
        <v>3</v>
      </c>
      <c r="V1016" s="117">
        <v>1</v>
      </c>
      <c r="W1016" s="111"/>
      <c r="AC1016" s="130"/>
      <c r="AD1016" s="130">
        <v>25898</v>
      </c>
      <c r="AE1016" s="128" t="s">
        <v>46</v>
      </c>
      <c r="AF1016" s="128" t="s">
        <v>69</v>
      </c>
      <c r="AG1016" s="128" t="s">
        <v>874</v>
      </c>
      <c r="AH1016" s="108" t="s">
        <v>58</v>
      </c>
      <c r="AI1016" s="128" t="s">
        <v>80</v>
      </c>
      <c r="AJ1016" s="129" t="s">
        <v>48</v>
      </c>
      <c r="AK1016" s="129">
        <v>6</v>
      </c>
      <c r="AL1016" s="3" t="s">
        <v>48</v>
      </c>
      <c r="AP1016" s="129" t="s">
        <v>98</v>
      </c>
      <c r="AR1016" s="128" t="s">
        <v>44</v>
      </c>
      <c r="AS1016" s="129" t="s">
        <v>64</v>
      </c>
      <c r="BC1016" s="129" t="s">
        <v>52</v>
      </c>
      <c r="BF1016" s="111">
        <f t="shared" si="749"/>
        <v>1</v>
      </c>
      <c r="BG1016" s="111">
        <f t="shared" si="750"/>
        <v>112</v>
      </c>
      <c r="BH1016" s="111">
        <f t="shared" si="712"/>
        <v>113</v>
      </c>
      <c r="BI1016" s="111">
        <f t="shared" si="713"/>
        <v>41.172131147540981</v>
      </c>
      <c r="BJ1016" s="129">
        <f>(G1016-J1016)+(M1016-G1016)</f>
        <v>0</v>
      </c>
      <c r="BK1016" s="129">
        <f t="shared" si="714"/>
        <v>-111</v>
      </c>
      <c r="BL1016" s="129" t="str">
        <f t="shared" si="742"/>
        <v>DEFERRED</v>
      </c>
      <c r="BM1016" s="129" t="s">
        <v>76</v>
      </c>
      <c r="BN1016" s="129" t="s">
        <v>88</v>
      </c>
      <c r="BP1016" s="137" t="str">
        <f t="shared" si="720"/>
        <v>DEFERRED</v>
      </c>
      <c r="BQ1016" s="128" t="str">
        <f t="shared" si="721"/>
        <v>Y</v>
      </c>
      <c r="BR1016" s="129" t="str">
        <f t="shared" si="722"/>
        <v>ON BOND</v>
      </c>
      <c r="BS1016" s="129" t="str">
        <f t="shared" si="723"/>
        <v>DISPOSED</v>
      </c>
      <c r="BT1016" s="129" t="str">
        <f t="shared" si="724"/>
        <v>Y</v>
      </c>
      <c r="BU1016" s="109">
        <f t="shared" si="735"/>
        <v>8.8495575221238937E-3</v>
      </c>
      <c r="BV1016" s="109">
        <f t="shared" si="725"/>
        <v>8.9285714285714281E-3</v>
      </c>
      <c r="BW1016" s="109">
        <f t="shared" si="743"/>
        <v>7.9013906447534393E-5</v>
      </c>
      <c r="BX1016" s="111">
        <f t="shared" si="726"/>
        <v>0</v>
      </c>
      <c r="BY1016" s="129">
        <f t="shared" si="727"/>
        <v>-1</v>
      </c>
      <c r="BZ1016" s="111">
        <f t="shared" si="728"/>
        <v>0</v>
      </c>
      <c r="CA1016" s="138">
        <f t="shared" si="729"/>
        <v>1</v>
      </c>
      <c r="CB1016" s="111" t="e">
        <f t="shared" si="751"/>
        <v>#VALUE!</v>
      </c>
      <c r="CC1016" s="129">
        <f>M1016-I1016+1</f>
        <v>1</v>
      </c>
      <c r="CD1016" s="111">
        <f>CC1016-BF1016</f>
        <v>0</v>
      </c>
      <c r="CE1016" s="129">
        <f t="shared" si="730"/>
        <v>111</v>
      </c>
      <c r="CG1016" s="129" t="str">
        <f t="shared" si="731"/>
        <v>Y</v>
      </c>
      <c r="CI1016" s="129" t="str">
        <f t="shared" si="732"/>
        <v>0-10 DAYS</v>
      </c>
      <c r="CJ1016" s="137">
        <f t="shared" si="733"/>
        <v>1</v>
      </c>
      <c r="CK1016" s="129" t="str">
        <f t="shared" si="734"/>
        <v>Booked</v>
      </c>
    </row>
    <row r="1017" spans="1:89" ht="15.75" customHeight="1" x14ac:dyDescent="0.25">
      <c r="A1017" s="111">
        <v>3091</v>
      </c>
      <c r="B1017" s="128" t="str">
        <f t="shared" si="715"/>
        <v>N</v>
      </c>
      <c r="C1017" s="128" t="str">
        <f t="shared" si="716"/>
        <v>N</v>
      </c>
      <c r="D1017" s="117">
        <v>1728497</v>
      </c>
      <c r="E1017" s="135">
        <f t="shared" si="717"/>
        <v>5</v>
      </c>
      <c r="F1017" s="124">
        <v>41023</v>
      </c>
      <c r="G1017" s="125">
        <v>41095</v>
      </c>
      <c r="H1017" s="117">
        <v>1728497</v>
      </c>
      <c r="I1017" s="124">
        <v>41024</v>
      </c>
      <c r="J1017" s="124">
        <v>41095</v>
      </c>
      <c r="K1017" s="126">
        <v>10000</v>
      </c>
      <c r="L1017" s="127" t="s">
        <v>570</v>
      </c>
      <c r="N1017" s="129" t="str">
        <f t="shared" si="748"/>
        <v>N</v>
      </c>
      <c r="O1017" s="128" t="s">
        <v>917</v>
      </c>
      <c r="P1017" s="129" t="s">
        <v>39</v>
      </c>
      <c r="Q1017" s="111">
        <f t="shared" si="739"/>
        <v>72</v>
      </c>
      <c r="R1017" s="111">
        <f t="shared" si="737"/>
        <v>73</v>
      </c>
      <c r="S1017" s="129">
        <v>1</v>
      </c>
      <c r="T1017" s="129">
        <v>1</v>
      </c>
      <c r="U1017" s="129">
        <v>1</v>
      </c>
      <c r="W1017" s="111"/>
      <c r="AB1017" s="131" t="s">
        <v>112</v>
      </c>
      <c r="AC1017" s="130"/>
      <c r="AD1017" s="130">
        <v>29422</v>
      </c>
      <c r="AE1017" s="128" t="s">
        <v>32</v>
      </c>
      <c r="AF1017" s="128" t="s">
        <v>40</v>
      </c>
      <c r="AG1017" s="128" t="s">
        <v>41</v>
      </c>
      <c r="AH1017" s="108" t="s">
        <v>31</v>
      </c>
      <c r="AI1017" s="128" t="s">
        <v>59</v>
      </c>
      <c r="AJ1017" s="129" t="s">
        <v>89</v>
      </c>
      <c r="AK1017" s="129">
        <v>4</v>
      </c>
      <c r="AL1017" s="3" t="s">
        <v>992</v>
      </c>
      <c r="AN1017" s="117">
        <v>6</v>
      </c>
      <c r="AP1017" s="129" t="s">
        <v>150</v>
      </c>
      <c r="AR1017" s="128" t="s">
        <v>67</v>
      </c>
      <c r="AS1017" s="129" t="s">
        <v>74</v>
      </c>
      <c r="BC1017" s="129" t="s">
        <v>38</v>
      </c>
      <c r="BF1017" s="111">
        <f t="shared" si="749"/>
        <v>72</v>
      </c>
      <c r="BG1017" s="111">
        <f t="shared" si="750"/>
        <v>72</v>
      </c>
      <c r="BH1017" s="111">
        <f t="shared" si="712"/>
        <v>73</v>
      </c>
      <c r="BI1017" s="111">
        <f t="shared" si="713"/>
        <v>31.696721311475411</v>
      </c>
      <c r="BJ1017" s="129">
        <f t="shared" si="718"/>
        <v>0</v>
      </c>
      <c r="BK1017" s="129">
        <f t="shared" si="714"/>
        <v>0</v>
      </c>
      <c r="BL1017" s="129" t="str">
        <f t="shared" si="742"/>
        <v>CONVICTION</v>
      </c>
      <c r="BM1017" s="129" t="str">
        <f t="shared" si="719"/>
        <v>NONE</v>
      </c>
      <c r="BN1017" s="129" t="s">
        <v>566</v>
      </c>
      <c r="BP1017" s="137" t="str">
        <f t="shared" si="720"/>
        <v>CONVICTION</v>
      </c>
      <c r="BQ1017" s="128" t="str">
        <f t="shared" si="721"/>
        <v>Y</v>
      </c>
      <c r="BR1017" s="129" t="str">
        <f t="shared" si="722"/>
        <v>DETAINED</v>
      </c>
      <c r="BS1017" s="129" t="str">
        <f t="shared" si="723"/>
        <v>DISPOSED</v>
      </c>
      <c r="BT1017" s="129" t="str">
        <f t="shared" si="724"/>
        <v>Y</v>
      </c>
      <c r="BU1017" s="109">
        <f t="shared" si="735"/>
        <v>0.98630136986301364</v>
      </c>
      <c r="BV1017" s="109">
        <f t="shared" si="725"/>
        <v>1</v>
      </c>
      <c r="BW1017" s="109">
        <f t="shared" si="743"/>
        <v>1.3698630136986356E-2</v>
      </c>
      <c r="BX1017" s="111">
        <f t="shared" si="726"/>
        <v>0</v>
      </c>
      <c r="BY1017" s="129">
        <f t="shared" si="727"/>
        <v>-72</v>
      </c>
      <c r="BZ1017" s="111">
        <f t="shared" si="728"/>
        <v>0</v>
      </c>
      <c r="CA1017" s="138">
        <f t="shared" si="729"/>
        <v>72</v>
      </c>
      <c r="CB1017" s="111" t="e">
        <f t="shared" si="751"/>
        <v>#VALUE!</v>
      </c>
      <c r="CC1017" s="129">
        <f>G1017-I1017+1</f>
        <v>72</v>
      </c>
      <c r="CD1017" s="129">
        <f>G1017-J1017</f>
        <v>0</v>
      </c>
      <c r="CE1017" s="129">
        <f t="shared" si="730"/>
        <v>0</v>
      </c>
      <c r="CG1017" s="129" t="str">
        <f t="shared" si="731"/>
        <v>Y</v>
      </c>
      <c r="CI1017" s="129" t="str">
        <f t="shared" si="732"/>
        <v>61-90 DAYS</v>
      </c>
      <c r="CJ1017" s="137">
        <f t="shared" si="733"/>
        <v>4</v>
      </c>
      <c r="CK1017" s="129" t="str">
        <f t="shared" si="734"/>
        <v>Booked</v>
      </c>
    </row>
    <row r="1018" spans="1:89" ht="15" customHeight="1" x14ac:dyDescent="0.25">
      <c r="A1018" s="111">
        <v>514</v>
      </c>
      <c r="B1018" s="128" t="str">
        <f t="shared" si="715"/>
        <v>N</v>
      </c>
      <c r="C1018" s="128" t="str">
        <f t="shared" si="716"/>
        <v>N</v>
      </c>
      <c r="D1018" s="117">
        <v>1729537</v>
      </c>
      <c r="E1018" s="135">
        <f t="shared" si="717"/>
        <v>3</v>
      </c>
      <c r="F1018" s="124">
        <v>40929</v>
      </c>
      <c r="G1018" s="125">
        <v>41012</v>
      </c>
      <c r="H1018" s="117">
        <v>1729537</v>
      </c>
      <c r="I1018" s="124" t="s">
        <v>562</v>
      </c>
      <c r="J1018" s="124" t="s">
        <v>562</v>
      </c>
      <c r="K1018" s="126">
        <v>10000</v>
      </c>
      <c r="L1018" s="127" t="s">
        <v>570</v>
      </c>
      <c r="M1018" s="125">
        <v>40930</v>
      </c>
      <c r="N1018" s="129" t="str">
        <f>IF(M1018&gt;1/1/1,"Y",IF(Q1018="0","","N"))</f>
        <v>Y</v>
      </c>
      <c r="O1018" s="128" t="s">
        <v>76</v>
      </c>
      <c r="P1018" s="129" t="s">
        <v>39</v>
      </c>
      <c r="Q1018" s="111">
        <f t="shared" si="739"/>
        <v>0</v>
      </c>
      <c r="R1018" s="111">
        <f t="shared" si="737"/>
        <v>84</v>
      </c>
      <c r="S1018" s="129">
        <v>0</v>
      </c>
      <c r="T1018" s="129">
        <v>3</v>
      </c>
      <c r="W1018" s="111"/>
      <c r="AC1018" s="130"/>
      <c r="AD1018" s="130">
        <v>19808</v>
      </c>
      <c r="AE1018" s="128" t="s">
        <v>32</v>
      </c>
      <c r="AF1018" s="128" t="s">
        <v>40</v>
      </c>
      <c r="AG1018" s="128" t="s">
        <v>41</v>
      </c>
      <c r="AH1018" s="108" t="s">
        <v>41</v>
      </c>
      <c r="AI1018" s="128" t="s">
        <v>90</v>
      </c>
      <c r="AJ1018" s="129" t="s">
        <v>89</v>
      </c>
      <c r="AK1018" s="129">
        <v>5</v>
      </c>
      <c r="AL1018" s="3" t="s">
        <v>185</v>
      </c>
      <c r="AO1018" s="128">
        <v>10</v>
      </c>
      <c r="AP1018" s="129" t="s">
        <v>66</v>
      </c>
      <c r="AR1018" s="128" t="s">
        <v>67</v>
      </c>
      <c r="AS1018" s="129" t="s">
        <v>68</v>
      </c>
      <c r="AT1018" s="129" t="s">
        <v>218</v>
      </c>
      <c r="BC1018" s="129" t="s">
        <v>52</v>
      </c>
      <c r="BF1018" s="111">
        <v>0</v>
      </c>
      <c r="BG1018" s="111">
        <v>0</v>
      </c>
      <c r="BH1018" s="111">
        <f t="shared" si="712"/>
        <v>84</v>
      </c>
      <c r="BI1018" s="111">
        <f t="shared" si="713"/>
        <v>57.707650273224047</v>
      </c>
      <c r="BJ1018" s="129" t="e">
        <f>(G1018-J1018)+(M1018-G1018)</f>
        <v>#VALUE!</v>
      </c>
      <c r="BK1018" s="129" t="e">
        <f t="shared" si="714"/>
        <v>#VALUE!</v>
      </c>
      <c r="BL1018" s="129" t="str">
        <f t="shared" si="742"/>
        <v>CONVICTION</v>
      </c>
      <c r="BM1018" s="129" t="s">
        <v>76</v>
      </c>
      <c r="BN1018" s="129" t="s">
        <v>88</v>
      </c>
      <c r="BP1018" s="137" t="str">
        <f t="shared" si="720"/>
        <v>CONVICTION</v>
      </c>
      <c r="BQ1018" s="128">
        <f t="shared" si="721"/>
        <v>0</v>
      </c>
      <c r="BR1018" s="129" t="s">
        <v>575</v>
      </c>
      <c r="BS1018" s="129" t="str">
        <f t="shared" si="723"/>
        <v>DISPOSED</v>
      </c>
      <c r="BT1018" s="129" t="str">
        <f t="shared" si="724"/>
        <v>N</v>
      </c>
      <c r="BU1018" s="109">
        <f t="shared" si="735"/>
        <v>0</v>
      </c>
      <c r="BV1018" s="109">
        <v>0</v>
      </c>
      <c r="BW1018" s="109">
        <f t="shared" si="743"/>
        <v>0</v>
      </c>
      <c r="BX1018" s="111">
        <f t="shared" si="726"/>
        <v>0</v>
      </c>
      <c r="BY1018" s="129" t="e">
        <f t="shared" si="727"/>
        <v>#VALUE!</v>
      </c>
      <c r="BZ1018" s="111" t="e">
        <f t="shared" si="728"/>
        <v>#VALUE!</v>
      </c>
      <c r="CA1018" s="138" t="e">
        <f t="shared" si="729"/>
        <v>#VALUE!</v>
      </c>
      <c r="CB1018" s="111">
        <v>0</v>
      </c>
      <c r="CC1018" s="129">
        <v>0</v>
      </c>
      <c r="CD1018" s="111">
        <f>CC1018-BF1018</f>
        <v>0</v>
      </c>
      <c r="CE1018" s="129" t="e">
        <f t="shared" si="730"/>
        <v>#VALUE!</v>
      </c>
      <c r="CG1018" s="129" t="str">
        <f t="shared" si="731"/>
        <v>Y</v>
      </c>
      <c r="CI1018" s="129" t="str">
        <f t="shared" si="732"/>
        <v>0-10 DAYS</v>
      </c>
      <c r="CJ1018" s="137">
        <f t="shared" si="733"/>
        <v>1</v>
      </c>
      <c r="CK1018" s="129" t="str">
        <f t="shared" si="734"/>
        <v>Not Booked</v>
      </c>
    </row>
    <row r="1019" spans="1:89" ht="15" customHeight="1" x14ac:dyDescent="0.25">
      <c r="A1019" s="111">
        <v>1059</v>
      </c>
      <c r="B1019" s="128" t="str">
        <f t="shared" si="715"/>
        <v>N</v>
      </c>
      <c r="C1019" s="128" t="str">
        <f t="shared" si="716"/>
        <v>N</v>
      </c>
      <c r="D1019" s="117">
        <v>1730691</v>
      </c>
      <c r="E1019" s="135">
        <f t="shared" si="717"/>
        <v>1</v>
      </c>
      <c r="F1019" s="124">
        <v>40948</v>
      </c>
      <c r="G1019" s="125">
        <v>41158</v>
      </c>
      <c r="H1019" s="117">
        <v>1730691</v>
      </c>
      <c r="I1019" s="124">
        <v>40948</v>
      </c>
      <c r="J1019" s="124">
        <v>40950</v>
      </c>
      <c r="K1019" s="126">
        <v>2000</v>
      </c>
      <c r="L1019" s="127" t="s">
        <v>568</v>
      </c>
      <c r="M1019" s="125">
        <v>40950</v>
      </c>
      <c r="N1019" s="129" t="str">
        <f>IF(M1019&gt;1/1/1,"Y","N")</f>
        <v>Y</v>
      </c>
      <c r="O1019" s="128" t="s">
        <v>76</v>
      </c>
      <c r="P1019" s="129" t="s">
        <v>55</v>
      </c>
      <c r="Q1019" s="111">
        <f t="shared" si="739"/>
        <v>3</v>
      </c>
      <c r="R1019" s="111">
        <f t="shared" si="737"/>
        <v>211</v>
      </c>
      <c r="S1019" s="129">
        <v>0</v>
      </c>
      <c r="T1019" s="129">
        <v>2</v>
      </c>
      <c r="W1019" s="111"/>
      <c r="AC1019" s="130"/>
      <c r="AD1019" s="130">
        <v>25054</v>
      </c>
      <c r="AE1019" s="128" t="s">
        <v>46</v>
      </c>
      <c r="AF1019" s="128" t="s">
        <v>69</v>
      </c>
      <c r="AG1019" s="128" t="s">
        <v>874</v>
      </c>
      <c r="AH1019" s="108" t="s">
        <v>31</v>
      </c>
      <c r="AI1019" s="128" t="s">
        <v>95</v>
      </c>
      <c r="AJ1019" s="129" t="s">
        <v>55</v>
      </c>
      <c r="AK1019" s="129">
        <v>10</v>
      </c>
      <c r="AL1019" s="3" t="s">
        <v>55</v>
      </c>
      <c r="AP1019" s="129" t="s">
        <v>103</v>
      </c>
      <c r="AR1019" s="128" t="s">
        <v>44</v>
      </c>
      <c r="AS1019" s="129" t="s">
        <v>45</v>
      </c>
      <c r="BC1019" s="129" t="s">
        <v>99</v>
      </c>
      <c r="BF1019" s="111">
        <f t="shared" ref="BF1019:BF1025" si="752">IF(J1019&gt;1/1/1900,((J1019+1)-I1019),"STILL OPEN")</f>
        <v>3</v>
      </c>
      <c r="BG1019" s="111">
        <f t="shared" ref="BG1019:BG1034" si="753">IF(G1019&gt;1/1/1900,((G1019+1)-I1019),"STILL OPEN")</f>
        <v>211</v>
      </c>
      <c r="BH1019" s="111">
        <f t="shared" si="712"/>
        <v>211</v>
      </c>
      <c r="BI1019" s="111">
        <f t="shared" si="713"/>
        <v>43.42622950819672</v>
      </c>
      <c r="BJ1019" s="129">
        <f>(G1019-J1019)+(M1019-G1019)</f>
        <v>0</v>
      </c>
      <c r="BK1019" s="129">
        <f t="shared" si="714"/>
        <v>-208</v>
      </c>
      <c r="BL1019" s="129" t="str">
        <f t="shared" si="742"/>
        <v>NO CONVICTION</v>
      </c>
      <c r="BM1019" s="129" t="s">
        <v>76</v>
      </c>
      <c r="BN1019" s="129" t="s">
        <v>88</v>
      </c>
      <c r="BP1019" s="137" t="str">
        <f t="shared" si="720"/>
        <v>NO CONVICTION</v>
      </c>
      <c r="BQ1019" s="128" t="str">
        <f t="shared" si="721"/>
        <v>Y</v>
      </c>
      <c r="BR1019" s="129" t="str">
        <f t="shared" si="722"/>
        <v>ON BOND</v>
      </c>
      <c r="BS1019" s="129" t="str">
        <f t="shared" si="723"/>
        <v>DISPOSED</v>
      </c>
      <c r="BT1019" s="129" t="str">
        <f t="shared" si="724"/>
        <v>N</v>
      </c>
      <c r="BU1019" s="109">
        <f>IFERROR(Q1019/R1019,BR1019)</f>
        <v>1.4218009478672985E-2</v>
      </c>
      <c r="BV1019" s="109">
        <f t="shared" si="725"/>
        <v>1.4218009478672985E-2</v>
      </c>
      <c r="BW1019" s="109">
        <f t="shared" si="743"/>
        <v>0</v>
      </c>
      <c r="BX1019" s="111">
        <f t="shared" si="726"/>
        <v>0</v>
      </c>
      <c r="BY1019" s="129">
        <f t="shared" si="727"/>
        <v>-3</v>
      </c>
      <c r="BZ1019" s="111">
        <f t="shared" si="728"/>
        <v>0</v>
      </c>
      <c r="CA1019" s="138">
        <f t="shared" si="729"/>
        <v>3</v>
      </c>
      <c r="CB1019" s="111" t="e">
        <f t="shared" ref="CB1019:CB1025" si="754">IF(AF1019&gt;1/1/1900,((AF1019+1)-AE1019),"STILL OPEN")</f>
        <v>#VALUE!</v>
      </c>
      <c r="CC1019" s="129">
        <f>M1019-I1019+1</f>
        <v>3</v>
      </c>
      <c r="CD1019" s="111">
        <f>CC1019-BF1019</f>
        <v>0</v>
      </c>
      <c r="CE1019" s="129">
        <f t="shared" si="730"/>
        <v>208</v>
      </c>
      <c r="CG1019" s="129" t="str">
        <f t="shared" si="731"/>
        <v>Y</v>
      </c>
      <c r="CI1019" s="129" t="str">
        <f t="shared" si="732"/>
        <v>0-10 DAYS</v>
      </c>
      <c r="CJ1019" s="137">
        <f t="shared" si="733"/>
        <v>1</v>
      </c>
      <c r="CK1019" s="129" t="str">
        <f t="shared" si="734"/>
        <v>Booked</v>
      </c>
    </row>
    <row r="1020" spans="1:89" ht="15" customHeight="1" x14ac:dyDescent="0.25">
      <c r="A1020" s="111">
        <v>334</v>
      </c>
      <c r="B1020" s="128" t="str">
        <f t="shared" si="715"/>
        <v>N</v>
      </c>
      <c r="C1020" s="128" t="str">
        <f t="shared" si="716"/>
        <v>N</v>
      </c>
      <c r="D1020" s="117">
        <v>1731842</v>
      </c>
      <c r="E1020" s="135">
        <f t="shared" si="717"/>
        <v>1</v>
      </c>
      <c r="F1020" s="124">
        <v>40921</v>
      </c>
      <c r="G1020" s="125">
        <v>41151</v>
      </c>
      <c r="H1020" s="117">
        <v>1731842</v>
      </c>
      <c r="I1020" s="124">
        <v>40922</v>
      </c>
      <c r="J1020" s="124">
        <v>41151</v>
      </c>
      <c r="K1020" s="126" t="s">
        <v>564</v>
      </c>
      <c r="L1020" s="127" t="s">
        <v>564</v>
      </c>
      <c r="N1020" s="129" t="s">
        <v>566</v>
      </c>
      <c r="O1020" s="128" t="s">
        <v>917</v>
      </c>
      <c r="P1020" s="129" t="s">
        <v>55</v>
      </c>
      <c r="Q1020" s="111">
        <f t="shared" si="739"/>
        <v>230</v>
      </c>
      <c r="R1020" s="111">
        <f t="shared" si="737"/>
        <v>231</v>
      </c>
      <c r="S1020" s="129">
        <v>2</v>
      </c>
      <c r="T1020" s="129">
        <v>2</v>
      </c>
      <c r="U1020" s="129">
        <v>1</v>
      </c>
      <c r="W1020" s="111"/>
      <c r="AC1020" s="130"/>
      <c r="AD1020" s="130">
        <v>29353</v>
      </c>
      <c r="AE1020" s="128" t="s">
        <v>32</v>
      </c>
      <c r="AF1020" s="128" t="s">
        <v>33</v>
      </c>
      <c r="AG1020" s="128" t="s">
        <v>872</v>
      </c>
      <c r="AH1020" s="108" t="s">
        <v>58</v>
      </c>
      <c r="AI1020" s="128" t="s">
        <v>97</v>
      </c>
      <c r="AJ1020" s="129" t="s">
        <v>55</v>
      </c>
      <c r="AK1020" s="129">
        <v>9</v>
      </c>
      <c r="AL1020" s="3" t="s">
        <v>55</v>
      </c>
      <c r="AP1020" s="129" t="s">
        <v>81</v>
      </c>
      <c r="AR1020" s="128" t="s">
        <v>50</v>
      </c>
      <c r="AS1020" s="129" t="s">
        <v>82</v>
      </c>
      <c r="BC1020" s="129" t="s">
        <v>52</v>
      </c>
      <c r="BF1020" s="111">
        <f t="shared" si="752"/>
        <v>230</v>
      </c>
      <c r="BG1020" s="111">
        <f t="shared" si="753"/>
        <v>230</v>
      </c>
      <c r="BH1020" s="111">
        <f t="shared" si="712"/>
        <v>231</v>
      </c>
      <c r="BI1020" s="111">
        <f t="shared" si="713"/>
        <v>31.606557377049182</v>
      </c>
      <c r="BJ1020" s="129">
        <f t="shared" si="718"/>
        <v>0</v>
      </c>
      <c r="BK1020" s="129">
        <f t="shared" si="714"/>
        <v>0</v>
      </c>
      <c r="BL1020" s="129" t="str">
        <f t="shared" si="742"/>
        <v>NO CONVICTION</v>
      </c>
      <c r="BM1020" s="129" t="str">
        <f t="shared" si="719"/>
        <v>NONE</v>
      </c>
      <c r="BN1020" s="129" t="s">
        <v>566</v>
      </c>
      <c r="BP1020" s="137" t="str">
        <f t="shared" si="720"/>
        <v>NO CONVICTION</v>
      </c>
      <c r="BQ1020" s="128" t="str">
        <f t="shared" si="721"/>
        <v>Y</v>
      </c>
      <c r="BR1020" s="129" t="str">
        <f t="shared" si="722"/>
        <v>DETAINED</v>
      </c>
      <c r="BS1020" s="129" t="str">
        <f t="shared" si="723"/>
        <v>DISPOSED</v>
      </c>
      <c r="BT1020" s="129" t="str">
        <f t="shared" si="724"/>
        <v>Y</v>
      </c>
      <c r="BU1020" s="109">
        <f>IFERROR(Q1020/R1020,BR1020)</f>
        <v>0.99567099567099571</v>
      </c>
      <c r="BV1020" s="109">
        <f t="shared" si="725"/>
        <v>1</v>
      </c>
      <c r="BW1020" s="109">
        <f t="shared" si="743"/>
        <v>4.3290043290042934E-3</v>
      </c>
      <c r="BX1020" s="111">
        <f t="shared" si="726"/>
        <v>0</v>
      </c>
      <c r="BY1020" s="129">
        <f t="shared" si="727"/>
        <v>-230</v>
      </c>
      <c r="BZ1020" s="111">
        <f t="shared" si="728"/>
        <v>0</v>
      </c>
      <c r="CA1020" s="138">
        <f t="shared" si="729"/>
        <v>230</v>
      </c>
      <c r="CB1020" s="111" t="e">
        <f t="shared" si="754"/>
        <v>#VALUE!</v>
      </c>
      <c r="CC1020" s="129">
        <f t="shared" ref="CC1020:CC1028" si="755">G1020-I1020+1</f>
        <v>230</v>
      </c>
      <c r="CD1020" s="129">
        <f t="shared" ref="CD1020:CD1028" si="756">G1020-J1020</f>
        <v>0</v>
      </c>
      <c r="CE1020" s="129">
        <f t="shared" si="730"/>
        <v>0</v>
      </c>
      <c r="CG1020" s="129" t="str">
        <f t="shared" si="731"/>
        <v>Y</v>
      </c>
      <c r="CI1020" s="129" t="str">
        <f t="shared" si="732"/>
        <v>121-365 DAYS</v>
      </c>
      <c r="CJ1020" s="137">
        <f t="shared" si="733"/>
        <v>6</v>
      </c>
      <c r="CK1020" s="129" t="str">
        <f t="shared" si="734"/>
        <v>Booked</v>
      </c>
    </row>
    <row r="1021" spans="1:89" ht="15" customHeight="1" x14ac:dyDescent="0.25">
      <c r="A1021" s="111">
        <v>1563</v>
      </c>
      <c r="B1021" s="128" t="str">
        <f t="shared" si="715"/>
        <v>N</v>
      </c>
      <c r="C1021" s="128" t="str">
        <f t="shared" si="716"/>
        <v>N</v>
      </c>
      <c r="D1021" s="117">
        <v>1732543</v>
      </c>
      <c r="E1021" s="135">
        <f t="shared" si="717"/>
        <v>1</v>
      </c>
      <c r="F1021" s="124">
        <v>40967</v>
      </c>
      <c r="G1021" s="125">
        <v>41003</v>
      </c>
      <c r="H1021" s="117">
        <v>1732543</v>
      </c>
      <c r="I1021" s="124">
        <v>40967</v>
      </c>
      <c r="J1021" s="124">
        <v>41003</v>
      </c>
      <c r="K1021" s="126" t="s">
        <v>564</v>
      </c>
      <c r="L1021" s="127" t="s">
        <v>564</v>
      </c>
      <c r="N1021" s="129" t="s">
        <v>566</v>
      </c>
      <c r="O1021" s="128" t="s">
        <v>917</v>
      </c>
      <c r="P1021" s="129" t="s">
        <v>55</v>
      </c>
      <c r="Q1021" s="111">
        <f t="shared" si="739"/>
        <v>37</v>
      </c>
      <c r="R1021" s="111">
        <f t="shared" si="737"/>
        <v>37</v>
      </c>
      <c r="S1021" s="129">
        <v>4</v>
      </c>
      <c r="T1021" s="129">
        <v>1</v>
      </c>
      <c r="U1021" s="129">
        <v>2</v>
      </c>
      <c r="V1021" s="117">
        <v>1</v>
      </c>
      <c r="W1021" s="111"/>
      <c r="AC1021" s="130"/>
      <c r="AD1021" s="130">
        <v>29782</v>
      </c>
      <c r="AE1021" s="128" t="s">
        <v>32</v>
      </c>
      <c r="AF1021" s="128" t="s">
        <v>33</v>
      </c>
      <c r="AG1021" s="128" t="s">
        <v>872</v>
      </c>
      <c r="AH1021" s="108" t="s">
        <v>58</v>
      </c>
      <c r="AI1021" s="128" t="s">
        <v>90</v>
      </c>
      <c r="AJ1021" s="129" t="s">
        <v>55</v>
      </c>
      <c r="AK1021" s="129">
        <v>5</v>
      </c>
      <c r="AL1021" s="3" t="s">
        <v>55</v>
      </c>
      <c r="AP1021" s="129" t="s">
        <v>347</v>
      </c>
      <c r="AR1021" s="128" t="s">
        <v>92</v>
      </c>
      <c r="AS1021" s="129" t="s">
        <v>45</v>
      </c>
      <c r="BC1021" s="129" t="s">
        <v>38</v>
      </c>
      <c r="BF1021" s="111">
        <f t="shared" si="752"/>
        <v>37</v>
      </c>
      <c r="BG1021" s="111">
        <f t="shared" si="753"/>
        <v>37</v>
      </c>
      <c r="BH1021" s="111">
        <f t="shared" si="712"/>
        <v>37</v>
      </c>
      <c r="BI1021" s="111">
        <f t="shared" si="713"/>
        <v>30.560109289617486</v>
      </c>
      <c r="BJ1021" s="129">
        <f t="shared" si="718"/>
        <v>0</v>
      </c>
      <c r="BK1021" s="129">
        <f t="shared" si="714"/>
        <v>0</v>
      </c>
      <c r="BL1021" s="129" t="str">
        <f t="shared" si="742"/>
        <v>NO CONVICTION</v>
      </c>
      <c r="BM1021" s="129" t="str">
        <f t="shared" si="719"/>
        <v>NONE</v>
      </c>
      <c r="BN1021" s="129" t="s">
        <v>566</v>
      </c>
      <c r="BP1021" s="137" t="str">
        <f t="shared" si="720"/>
        <v>NO CONVICTION</v>
      </c>
      <c r="BQ1021" s="128" t="str">
        <f t="shared" si="721"/>
        <v>Y</v>
      </c>
      <c r="BR1021" s="129" t="str">
        <f t="shared" si="722"/>
        <v>DETAINED</v>
      </c>
      <c r="BS1021" s="129" t="str">
        <f t="shared" si="723"/>
        <v>DISPOSED</v>
      </c>
      <c r="BT1021" s="129" t="str">
        <f t="shared" si="724"/>
        <v>Y</v>
      </c>
      <c r="BU1021" s="109">
        <f>IFERROR(Q1021/R1021,BR1021)</f>
        <v>1</v>
      </c>
      <c r="BV1021" s="109">
        <f t="shared" si="725"/>
        <v>1</v>
      </c>
      <c r="BW1021" s="109">
        <f t="shared" si="743"/>
        <v>0</v>
      </c>
      <c r="BX1021" s="111">
        <f t="shared" si="726"/>
        <v>0</v>
      </c>
      <c r="BY1021" s="129">
        <f t="shared" si="727"/>
        <v>-37</v>
      </c>
      <c r="BZ1021" s="111">
        <f t="shared" si="728"/>
        <v>0</v>
      </c>
      <c r="CA1021" s="138">
        <f t="shared" si="729"/>
        <v>37</v>
      </c>
      <c r="CB1021" s="111" t="e">
        <f t="shared" si="754"/>
        <v>#VALUE!</v>
      </c>
      <c r="CC1021" s="129">
        <f t="shared" si="755"/>
        <v>37</v>
      </c>
      <c r="CD1021" s="129">
        <f t="shared" si="756"/>
        <v>0</v>
      </c>
      <c r="CE1021" s="129">
        <f t="shared" si="730"/>
        <v>0</v>
      </c>
      <c r="CG1021" s="129" t="str">
        <f t="shared" si="731"/>
        <v>Y</v>
      </c>
      <c r="CI1021" s="129" t="str">
        <f t="shared" si="732"/>
        <v>31-60 DAYS</v>
      </c>
      <c r="CJ1021" s="137">
        <f t="shared" si="733"/>
        <v>3</v>
      </c>
      <c r="CK1021" s="129" t="str">
        <f t="shared" si="734"/>
        <v>Booked</v>
      </c>
    </row>
    <row r="1022" spans="1:89" ht="15" customHeight="1" x14ac:dyDescent="0.25">
      <c r="A1022" s="111">
        <v>3226</v>
      </c>
      <c r="B1022" s="128" t="str">
        <f t="shared" si="715"/>
        <v>N</v>
      </c>
      <c r="C1022" s="128" t="str">
        <f t="shared" si="716"/>
        <v>N</v>
      </c>
      <c r="D1022" s="117">
        <v>1734451</v>
      </c>
      <c r="E1022" s="135">
        <f t="shared" si="717"/>
        <v>6</v>
      </c>
      <c r="F1022" s="124">
        <v>41028</v>
      </c>
      <c r="G1022" s="125">
        <v>41151</v>
      </c>
      <c r="H1022" s="117">
        <v>1734451</v>
      </c>
      <c r="I1022" s="124">
        <v>41028</v>
      </c>
      <c r="J1022" s="124">
        <v>41151</v>
      </c>
      <c r="K1022" s="126">
        <v>15000</v>
      </c>
      <c r="L1022" s="127" t="s">
        <v>571</v>
      </c>
      <c r="N1022" s="129" t="str">
        <f>IF(M1022&gt;1/1/1,"Y","N")</f>
        <v>N</v>
      </c>
      <c r="O1022" s="128" t="s">
        <v>917</v>
      </c>
      <c r="P1022" s="129" t="s">
        <v>39</v>
      </c>
      <c r="Q1022" s="111">
        <f t="shared" si="739"/>
        <v>124</v>
      </c>
      <c r="R1022" s="111">
        <f t="shared" si="737"/>
        <v>124</v>
      </c>
      <c r="S1022" s="129">
        <v>5</v>
      </c>
      <c r="T1022" s="129">
        <v>1</v>
      </c>
      <c r="U1022" s="129">
        <v>3</v>
      </c>
      <c r="W1022" s="111"/>
      <c r="AC1022" s="130"/>
      <c r="AD1022" s="130">
        <v>30134</v>
      </c>
      <c r="AE1022" s="128" t="s">
        <v>32</v>
      </c>
      <c r="AF1022" s="128" t="s">
        <v>40</v>
      </c>
      <c r="AG1022" s="128" t="s">
        <v>41</v>
      </c>
      <c r="AH1022" s="108" t="s">
        <v>41</v>
      </c>
      <c r="AI1022" s="128" t="s">
        <v>95</v>
      </c>
      <c r="AJ1022" s="129" t="s">
        <v>89</v>
      </c>
      <c r="AK1022" s="129">
        <v>5</v>
      </c>
      <c r="AL1022" s="3" t="s">
        <v>362</v>
      </c>
      <c r="AM1022" s="117">
        <v>10</v>
      </c>
      <c r="AP1022" s="129" t="s">
        <v>535</v>
      </c>
      <c r="AS1022" s="129" t="s">
        <v>370</v>
      </c>
      <c r="BC1022" s="129" t="s">
        <v>38</v>
      </c>
      <c r="BF1022" s="111">
        <f t="shared" si="752"/>
        <v>124</v>
      </c>
      <c r="BG1022" s="111">
        <f t="shared" si="753"/>
        <v>124</v>
      </c>
      <c r="BH1022" s="111">
        <f t="shared" si="712"/>
        <v>124</v>
      </c>
      <c r="BI1022" s="111">
        <f t="shared" si="713"/>
        <v>29.765027322404372</v>
      </c>
      <c r="BJ1022" s="129">
        <f t="shared" si="718"/>
        <v>0</v>
      </c>
      <c r="BK1022" s="129">
        <f t="shared" si="714"/>
        <v>0</v>
      </c>
      <c r="BL1022" s="129" t="str">
        <f t="shared" si="742"/>
        <v>CONVICTION</v>
      </c>
      <c r="BM1022" s="129" t="str">
        <f t="shared" si="719"/>
        <v>NONE</v>
      </c>
      <c r="BN1022" s="129" t="s">
        <v>566</v>
      </c>
      <c r="BP1022" s="137" t="str">
        <f t="shared" si="720"/>
        <v>CONVICTION</v>
      </c>
      <c r="BQ1022" s="128" t="str">
        <f t="shared" si="721"/>
        <v>Y</v>
      </c>
      <c r="BR1022" s="129" t="str">
        <f t="shared" si="722"/>
        <v>DETAINED</v>
      </c>
      <c r="BS1022" s="129" t="str">
        <f t="shared" si="723"/>
        <v>DISPOSED</v>
      </c>
      <c r="BT1022" s="129" t="str">
        <f t="shared" si="724"/>
        <v>Y</v>
      </c>
      <c r="BU1022" s="109">
        <f t="shared" si="735"/>
        <v>1</v>
      </c>
      <c r="BV1022" s="109">
        <f t="shared" si="725"/>
        <v>1</v>
      </c>
      <c r="BW1022" s="109">
        <f t="shared" si="743"/>
        <v>0</v>
      </c>
      <c r="BX1022" s="111">
        <f t="shared" si="726"/>
        <v>0</v>
      </c>
      <c r="BY1022" s="129">
        <f t="shared" si="727"/>
        <v>-124</v>
      </c>
      <c r="BZ1022" s="111">
        <f t="shared" si="728"/>
        <v>0</v>
      </c>
      <c r="CA1022" s="138">
        <f t="shared" si="729"/>
        <v>124</v>
      </c>
      <c r="CB1022" s="111" t="e">
        <f t="shared" si="754"/>
        <v>#VALUE!</v>
      </c>
      <c r="CC1022" s="129">
        <f t="shared" si="755"/>
        <v>124</v>
      </c>
      <c r="CD1022" s="129">
        <f t="shared" si="756"/>
        <v>0</v>
      </c>
      <c r="CE1022" s="129">
        <f t="shared" si="730"/>
        <v>0</v>
      </c>
      <c r="CG1022" s="129" t="str">
        <f t="shared" si="731"/>
        <v>Y</v>
      </c>
      <c r="CI1022" s="129" t="str">
        <f t="shared" si="732"/>
        <v>121-365 DAYS</v>
      </c>
      <c r="CJ1022" s="137">
        <f t="shared" si="733"/>
        <v>6</v>
      </c>
      <c r="CK1022" s="129" t="str">
        <f t="shared" si="734"/>
        <v>Booked</v>
      </c>
    </row>
    <row r="1023" spans="1:89" ht="15" customHeight="1" x14ac:dyDescent="0.25">
      <c r="A1023" s="111">
        <v>1345</v>
      </c>
      <c r="B1023" s="128" t="str">
        <f t="shared" si="715"/>
        <v>N</v>
      </c>
      <c r="C1023" s="128" t="str">
        <f t="shared" si="716"/>
        <v>N</v>
      </c>
      <c r="D1023" s="117">
        <v>1734458</v>
      </c>
      <c r="E1023" s="135">
        <f t="shared" si="717"/>
        <v>6</v>
      </c>
      <c r="F1023" s="124">
        <v>40957</v>
      </c>
      <c r="G1023" s="125">
        <v>40981</v>
      </c>
      <c r="H1023" s="117">
        <v>1734458</v>
      </c>
      <c r="I1023" s="124">
        <v>40970</v>
      </c>
      <c r="J1023" s="124">
        <v>40981</v>
      </c>
      <c r="K1023" s="126" t="s">
        <v>564</v>
      </c>
      <c r="L1023" s="127" t="s">
        <v>564</v>
      </c>
      <c r="N1023" s="129" t="s">
        <v>566</v>
      </c>
      <c r="O1023" s="128" t="s">
        <v>917</v>
      </c>
      <c r="P1023" s="129" t="s">
        <v>39</v>
      </c>
      <c r="Q1023" s="111">
        <f t="shared" si="739"/>
        <v>12</v>
      </c>
      <c r="R1023" s="111">
        <f t="shared" si="737"/>
        <v>25</v>
      </c>
      <c r="S1023" s="129">
        <v>1</v>
      </c>
      <c r="T1023" s="129">
        <v>4</v>
      </c>
      <c r="U1023" s="129">
        <v>1</v>
      </c>
      <c r="W1023" s="111"/>
      <c r="AC1023" s="130"/>
      <c r="AD1023" s="130">
        <v>30130</v>
      </c>
      <c r="AE1023" s="128" t="s">
        <v>32</v>
      </c>
      <c r="AF1023" s="128" t="s">
        <v>40</v>
      </c>
      <c r="AG1023" s="128" t="s">
        <v>41</v>
      </c>
      <c r="AH1023" s="108" t="s">
        <v>41</v>
      </c>
      <c r="AI1023" s="128" t="s">
        <v>34</v>
      </c>
      <c r="AJ1023" s="129" t="s">
        <v>89</v>
      </c>
      <c r="AK1023" s="129">
        <v>2</v>
      </c>
      <c r="AL1023" s="3" t="s">
        <v>362</v>
      </c>
      <c r="AM1023" s="117">
        <v>3</v>
      </c>
      <c r="AP1023" s="129" t="s">
        <v>56</v>
      </c>
      <c r="AR1023" s="128" t="s">
        <v>50</v>
      </c>
      <c r="AS1023" s="129" t="s">
        <v>57</v>
      </c>
      <c r="BC1023" s="129" t="s">
        <v>38</v>
      </c>
      <c r="BF1023" s="111">
        <f t="shared" si="752"/>
        <v>12</v>
      </c>
      <c r="BG1023" s="111">
        <f t="shared" si="753"/>
        <v>12</v>
      </c>
      <c r="BH1023" s="111">
        <f t="shared" si="712"/>
        <v>25</v>
      </c>
      <c r="BI1023" s="111">
        <f t="shared" si="713"/>
        <v>29.581967213114755</v>
      </c>
      <c r="BJ1023" s="129">
        <f t="shared" si="718"/>
        <v>0</v>
      </c>
      <c r="BK1023" s="129">
        <f t="shared" si="714"/>
        <v>0</v>
      </c>
      <c r="BL1023" s="129" t="str">
        <f t="shared" si="742"/>
        <v>CONVICTION</v>
      </c>
      <c r="BM1023" s="129" t="str">
        <f t="shared" si="719"/>
        <v>NONE</v>
      </c>
      <c r="BN1023" s="129" t="s">
        <v>566</v>
      </c>
      <c r="BP1023" s="137" t="str">
        <f t="shared" si="720"/>
        <v>CONVICTION</v>
      </c>
      <c r="BQ1023" s="128" t="str">
        <f t="shared" si="721"/>
        <v>Y</v>
      </c>
      <c r="BR1023" s="129" t="str">
        <f t="shared" si="722"/>
        <v>DETAINED</v>
      </c>
      <c r="BS1023" s="129" t="str">
        <f t="shared" si="723"/>
        <v>DISPOSED</v>
      </c>
      <c r="BT1023" s="129" t="str">
        <f t="shared" si="724"/>
        <v>Y</v>
      </c>
      <c r="BU1023" s="109">
        <f t="shared" si="735"/>
        <v>0.48</v>
      </c>
      <c r="BV1023" s="109">
        <f t="shared" si="725"/>
        <v>1</v>
      </c>
      <c r="BW1023" s="109">
        <f t="shared" si="743"/>
        <v>0.52</v>
      </c>
      <c r="BX1023" s="111">
        <f t="shared" si="726"/>
        <v>0</v>
      </c>
      <c r="BY1023" s="129">
        <f t="shared" si="727"/>
        <v>-12</v>
      </c>
      <c r="BZ1023" s="111">
        <f t="shared" si="728"/>
        <v>0</v>
      </c>
      <c r="CA1023" s="138">
        <f t="shared" si="729"/>
        <v>12</v>
      </c>
      <c r="CB1023" s="111" t="e">
        <f t="shared" si="754"/>
        <v>#VALUE!</v>
      </c>
      <c r="CC1023" s="129">
        <f t="shared" si="755"/>
        <v>12</v>
      </c>
      <c r="CD1023" s="129">
        <f t="shared" si="756"/>
        <v>0</v>
      </c>
      <c r="CE1023" s="129">
        <f t="shared" si="730"/>
        <v>0</v>
      </c>
      <c r="CG1023" s="129" t="str">
        <f t="shared" si="731"/>
        <v>Y</v>
      </c>
      <c r="CI1023" s="129" t="str">
        <f t="shared" si="732"/>
        <v>11-30 DAYS</v>
      </c>
      <c r="CJ1023" s="137">
        <f t="shared" si="733"/>
        <v>2</v>
      </c>
      <c r="CK1023" s="129" t="str">
        <f t="shared" si="734"/>
        <v>Booked</v>
      </c>
    </row>
    <row r="1024" spans="1:89" ht="15" customHeight="1" x14ac:dyDescent="0.25">
      <c r="A1024" s="111">
        <v>3159</v>
      </c>
      <c r="B1024" s="128" t="str">
        <f t="shared" si="715"/>
        <v>N</v>
      </c>
      <c r="C1024" s="128" t="str">
        <f t="shared" si="716"/>
        <v>N</v>
      </c>
      <c r="D1024" s="117">
        <v>1734692</v>
      </c>
      <c r="E1024" s="135">
        <f t="shared" si="717"/>
        <v>6</v>
      </c>
      <c r="F1024" s="124">
        <v>41025</v>
      </c>
      <c r="G1024" s="125">
        <v>41036</v>
      </c>
      <c r="H1024" s="117">
        <v>1734692</v>
      </c>
      <c r="I1024" s="124">
        <v>41026</v>
      </c>
      <c r="J1024" s="124">
        <v>41036</v>
      </c>
      <c r="K1024" s="126" t="s">
        <v>564</v>
      </c>
      <c r="L1024" s="127" t="s">
        <v>564</v>
      </c>
      <c r="N1024" s="129" t="s">
        <v>566</v>
      </c>
      <c r="O1024" s="128" t="s">
        <v>917</v>
      </c>
      <c r="P1024" s="129" t="s">
        <v>39</v>
      </c>
      <c r="Q1024" s="111">
        <f t="shared" si="739"/>
        <v>11</v>
      </c>
      <c r="R1024" s="111">
        <f t="shared" si="737"/>
        <v>12</v>
      </c>
      <c r="S1024" s="129">
        <v>2</v>
      </c>
      <c r="T1024" s="129">
        <v>3</v>
      </c>
      <c r="U1024" s="129">
        <v>1</v>
      </c>
      <c r="W1024" s="111"/>
      <c r="AC1024" s="130"/>
      <c r="AD1024" s="130">
        <v>30037</v>
      </c>
      <c r="AE1024" s="128" t="s">
        <v>32</v>
      </c>
      <c r="AF1024" s="128" t="s">
        <v>69</v>
      </c>
      <c r="AG1024" s="128" t="s">
        <v>874</v>
      </c>
      <c r="AH1024" s="108" t="s">
        <v>58</v>
      </c>
      <c r="AI1024" s="128" t="s">
        <v>59</v>
      </c>
      <c r="AJ1024" s="129" t="s">
        <v>89</v>
      </c>
      <c r="AK1024" s="129">
        <v>2</v>
      </c>
      <c r="AL1024" s="3" t="s">
        <v>362</v>
      </c>
      <c r="AM1024" s="117">
        <v>3</v>
      </c>
      <c r="AP1024" s="129" t="s">
        <v>98</v>
      </c>
      <c r="AR1024" s="128" t="s">
        <v>44</v>
      </c>
      <c r="AS1024" s="129" t="s">
        <v>64</v>
      </c>
      <c r="BC1024" s="129" t="s">
        <v>38</v>
      </c>
      <c r="BF1024" s="111">
        <f t="shared" si="752"/>
        <v>11</v>
      </c>
      <c r="BG1024" s="111">
        <f t="shared" si="753"/>
        <v>11</v>
      </c>
      <c r="BH1024" s="111">
        <f t="shared" si="712"/>
        <v>12</v>
      </c>
      <c r="BI1024" s="111">
        <f t="shared" si="713"/>
        <v>30.021857923497269</v>
      </c>
      <c r="BJ1024" s="129">
        <f t="shared" si="718"/>
        <v>0</v>
      </c>
      <c r="BK1024" s="129">
        <f t="shared" si="714"/>
        <v>0</v>
      </c>
      <c r="BL1024" s="129" t="str">
        <f t="shared" si="742"/>
        <v>CONVICTION</v>
      </c>
      <c r="BM1024" s="129" t="str">
        <f t="shared" si="719"/>
        <v>NONE</v>
      </c>
      <c r="BN1024" s="129" t="s">
        <v>566</v>
      </c>
      <c r="BP1024" s="137" t="str">
        <f t="shared" si="720"/>
        <v>CONVICTION</v>
      </c>
      <c r="BQ1024" s="128" t="str">
        <f t="shared" si="721"/>
        <v>Y</v>
      </c>
      <c r="BR1024" s="129" t="str">
        <f t="shared" si="722"/>
        <v>DETAINED</v>
      </c>
      <c r="BS1024" s="129" t="str">
        <f t="shared" si="723"/>
        <v>DISPOSED</v>
      </c>
      <c r="BT1024" s="129" t="str">
        <f t="shared" si="724"/>
        <v>Y</v>
      </c>
      <c r="BU1024" s="109">
        <f t="shared" si="735"/>
        <v>0.91666666666666663</v>
      </c>
      <c r="BV1024" s="109">
        <f t="shared" si="725"/>
        <v>1</v>
      </c>
      <c r="BW1024" s="109">
        <f t="shared" si="743"/>
        <v>8.333333333333337E-2</v>
      </c>
      <c r="BX1024" s="111">
        <f t="shared" si="726"/>
        <v>0</v>
      </c>
      <c r="BY1024" s="129">
        <f t="shared" si="727"/>
        <v>-11</v>
      </c>
      <c r="BZ1024" s="111">
        <f t="shared" si="728"/>
        <v>0</v>
      </c>
      <c r="CA1024" s="138">
        <f t="shared" si="729"/>
        <v>11</v>
      </c>
      <c r="CB1024" s="111" t="e">
        <f t="shared" si="754"/>
        <v>#VALUE!</v>
      </c>
      <c r="CC1024" s="129">
        <f t="shared" si="755"/>
        <v>11</v>
      </c>
      <c r="CD1024" s="129">
        <f t="shared" si="756"/>
        <v>0</v>
      </c>
      <c r="CE1024" s="129">
        <f t="shared" si="730"/>
        <v>0</v>
      </c>
      <c r="CG1024" s="129" t="str">
        <f t="shared" si="731"/>
        <v>Y</v>
      </c>
      <c r="CI1024" s="129" t="str">
        <f t="shared" si="732"/>
        <v>11-30 DAYS</v>
      </c>
      <c r="CJ1024" s="137">
        <f t="shared" si="733"/>
        <v>2</v>
      </c>
      <c r="CK1024" s="129" t="str">
        <f t="shared" si="734"/>
        <v>Booked</v>
      </c>
    </row>
    <row r="1025" spans="1:89" ht="15" customHeight="1" x14ac:dyDescent="0.25">
      <c r="A1025" s="111">
        <v>2341</v>
      </c>
      <c r="B1025" s="128" t="str">
        <f t="shared" si="715"/>
        <v>N</v>
      </c>
      <c r="C1025" s="128" t="str">
        <f t="shared" si="716"/>
        <v>N</v>
      </c>
      <c r="D1025" s="117">
        <v>1736327</v>
      </c>
      <c r="E1025" s="135">
        <f t="shared" si="717"/>
        <v>6</v>
      </c>
      <c r="F1025" s="124">
        <v>40997</v>
      </c>
      <c r="G1025" s="125">
        <v>41250</v>
      </c>
      <c r="H1025" s="117">
        <v>1736327</v>
      </c>
      <c r="I1025" s="124">
        <v>40997</v>
      </c>
      <c r="J1025" s="125">
        <v>41250</v>
      </c>
      <c r="K1025" s="126">
        <v>60000</v>
      </c>
      <c r="L1025" s="129" t="s">
        <v>572</v>
      </c>
      <c r="N1025" s="129" t="str">
        <f>IF(M1025&gt;1/1/1,"Y","N")</f>
        <v>N</v>
      </c>
      <c r="O1025" s="128" t="s">
        <v>917</v>
      </c>
      <c r="P1025" s="129" t="s">
        <v>39</v>
      </c>
      <c r="Q1025" s="111">
        <f t="shared" si="739"/>
        <v>254</v>
      </c>
      <c r="R1025" s="111">
        <f t="shared" si="737"/>
        <v>254</v>
      </c>
      <c r="S1025" s="129">
        <v>0</v>
      </c>
      <c r="T1025" s="129">
        <v>3</v>
      </c>
      <c r="W1025" s="111"/>
      <c r="AC1025" s="130"/>
      <c r="AD1025" s="130">
        <v>29159</v>
      </c>
      <c r="AE1025" s="128" t="s">
        <v>32</v>
      </c>
      <c r="AF1025" s="128" t="s">
        <v>69</v>
      </c>
      <c r="AG1025" s="128" t="s">
        <v>874</v>
      </c>
      <c r="AH1025" s="108" t="s">
        <v>58</v>
      </c>
      <c r="AI1025" s="128" t="s">
        <v>83</v>
      </c>
      <c r="AJ1025" s="129" t="s">
        <v>89</v>
      </c>
      <c r="AK1025" s="129">
        <v>10</v>
      </c>
      <c r="AL1025" s="3" t="s">
        <v>362</v>
      </c>
      <c r="AM1025" s="117">
        <v>12</v>
      </c>
      <c r="AP1025" s="129" t="s">
        <v>129</v>
      </c>
      <c r="AR1025" s="128" t="s">
        <v>92</v>
      </c>
      <c r="AS1025" s="129" t="s">
        <v>126</v>
      </c>
      <c r="BC1025" s="129" t="s">
        <v>38</v>
      </c>
      <c r="BF1025" s="111">
        <f t="shared" si="752"/>
        <v>254</v>
      </c>
      <c r="BG1025" s="111">
        <f t="shared" si="753"/>
        <v>254</v>
      </c>
      <c r="BH1025" s="111">
        <f t="shared" ref="BH1025:BH1088" si="757">IF(G1025&gt;1/1/1900,((G1025+1)-F1025),"STILL OPEN")</f>
        <v>254</v>
      </c>
      <c r="BI1025" s="111">
        <f t="shared" ref="BI1025:BI1088" si="758">(F1025-AD1025)/366</f>
        <v>32.344262295081968</v>
      </c>
      <c r="BJ1025" s="129">
        <f t="shared" si="718"/>
        <v>0</v>
      </c>
      <c r="BK1025" s="129">
        <f t="shared" ref="BK1025:BK1088" si="759">J1025-G1025</f>
        <v>0</v>
      </c>
      <c r="BL1025" s="129" t="str">
        <f t="shared" si="742"/>
        <v>CONVICTION</v>
      </c>
      <c r="BM1025" s="129" t="str">
        <f t="shared" si="719"/>
        <v>NONE</v>
      </c>
      <c r="BN1025" s="129" t="s">
        <v>566</v>
      </c>
      <c r="BP1025" s="137" t="str">
        <f t="shared" si="720"/>
        <v>CONVICTION</v>
      </c>
      <c r="BQ1025" s="128" t="str">
        <f t="shared" si="721"/>
        <v>Y</v>
      </c>
      <c r="BR1025" s="129" t="str">
        <f t="shared" si="722"/>
        <v>DETAINED</v>
      </c>
      <c r="BS1025" s="129" t="str">
        <f t="shared" si="723"/>
        <v>DISPOSED</v>
      </c>
      <c r="BT1025" s="129" t="str">
        <f t="shared" si="724"/>
        <v>N</v>
      </c>
      <c r="BU1025" s="109">
        <f t="shared" si="735"/>
        <v>1</v>
      </c>
      <c r="BV1025" s="109">
        <f t="shared" si="725"/>
        <v>1</v>
      </c>
      <c r="BW1025" s="109">
        <f t="shared" si="743"/>
        <v>0</v>
      </c>
      <c r="BX1025" s="111">
        <f t="shared" si="726"/>
        <v>0</v>
      </c>
      <c r="BY1025" s="129">
        <f t="shared" si="727"/>
        <v>-254</v>
      </c>
      <c r="BZ1025" s="111">
        <f t="shared" si="728"/>
        <v>0</v>
      </c>
      <c r="CA1025" s="138">
        <f t="shared" si="729"/>
        <v>254</v>
      </c>
      <c r="CB1025" s="111" t="e">
        <f t="shared" si="754"/>
        <v>#VALUE!</v>
      </c>
      <c r="CC1025" s="129">
        <f t="shared" si="755"/>
        <v>254</v>
      </c>
      <c r="CD1025" s="129">
        <f t="shared" si="756"/>
        <v>0</v>
      </c>
      <c r="CE1025" s="129">
        <f t="shared" si="730"/>
        <v>0</v>
      </c>
      <c r="CG1025" s="129" t="str">
        <f t="shared" si="731"/>
        <v>Y</v>
      </c>
      <c r="CI1025" s="129" t="str">
        <f t="shared" si="732"/>
        <v>121-365 DAYS</v>
      </c>
      <c r="CJ1025" s="137">
        <f t="shared" si="733"/>
        <v>6</v>
      </c>
      <c r="CK1025" s="129" t="str">
        <f t="shared" si="734"/>
        <v>Booked</v>
      </c>
    </row>
    <row r="1026" spans="1:89" ht="15.75" customHeight="1" x14ac:dyDescent="0.25">
      <c r="A1026" s="111">
        <v>2470</v>
      </c>
      <c r="B1026" s="128" t="str">
        <f t="shared" ref="B1026:B1089" si="760">IF(BD1026&lt;&gt;"","Y","N")</f>
        <v>Y</v>
      </c>
      <c r="C1026" s="128" t="str">
        <f>IF((AND(AV1026="",AX1026="",AY1026="")),"N","Y")</f>
        <v>Y</v>
      </c>
      <c r="D1026" s="117">
        <v>1736534</v>
      </c>
      <c r="E1026" s="135">
        <f t="shared" ref="E1026:E1089" si="761">IF(OR(AL1026="ACQUITTAL",AL1026="ACQUIT",AL1026="acq insane",AL1026="DISMISSED",AL1026="NO BILL"),1,IF(AL1026="DEFERRED",2,IF(AL1026="PROBATION",3,IF(OR(AL1026="HCJ",AL1026="fine"),4,IF(AL1026="STJ",5,IF(AL1026="TDC",6,""))))))</f>
        <v>2</v>
      </c>
      <c r="F1026" s="124">
        <v>41002</v>
      </c>
      <c r="G1026" s="125">
        <v>41100</v>
      </c>
      <c r="H1026" s="117">
        <v>1736534</v>
      </c>
      <c r="I1026" s="124">
        <v>41002</v>
      </c>
      <c r="J1026" s="124">
        <v>41035</v>
      </c>
      <c r="K1026" s="126">
        <v>2000</v>
      </c>
      <c r="L1026" s="127" t="s">
        <v>568</v>
      </c>
      <c r="M1026" s="125">
        <v>41035</v>
      </c>
      <c r="N1026" s="129" t="str">
        <f>IF(M1026&gt;1/1/1,"Y","N")</f>
        <v>Y</v>
      </c>
      <c r="O1026" s="128" t="s">
        <v>585</v>
      </c>
      <c r="P1026" s="129" t="s">
        <v>589</v>
      </c>
      <c r="Q1026" s="111">
        <v>58</v>
      </c>
      <c r="R1026" s="111">
        <f t="shared" si="737"/>
        <v>99</v>
      </c>
      <c r="S1026" s="129">
        <v>0</v>
      </c>
      <c r="T1026" s="129">
        <v>2</v>
      </c>
      <c r="W1026" s="111"/>
      <c r="AC1026" s="130"/>
      <c r="AD1026" s="130">
        <v>27766</v>
      </c>
      <c r="AE1026" s="128" t="s">
        <v>32</v>
      </c>
      <c r="AF1026" s="128" t="s">
        <v>69</v>
      </c>
      <c r="AG1026" s="128" t="s">
        <v>874</v>
      </c>
      <c r="AH1026" s="108" t="s">
        <v>31</v>
      </c>
      <c r="AI1026" s="128" t="s">
        <v>90</v>
      </c>
      <c r="AJ1026" s="129" t="s">
        <v>48</v>
      </c>
      <c r="AK1026" s="129">
        <v>9</v>
      </c>
      <c r="AL1026" s="3" t="s">
        <v>48</v>
      </c>
      <c r="AP1026" s="129" t="s">
        <v>43</v>
      </c>
      <c r="AR1026" s="128" t="s">
        <v>44</v>
      </c>
      <c r="AS1026" s="129" t="s">
        <v>45</v>
      </c>
      <c r="AT1026" s="129" t="s">
        <v>1094</v>
      </c>
      <c r="AV1026" s="3" t="s">
        <v>88</v>
      </c>
      <c r="AW1026" s="129" t="s">
        <v>771</v>
      </c>
      <c r="BA1026" s="125">
        <v>41106</v>
      </c>
      <c r="BB1026" s="129">
        <v>235</v>
      </c>
      <c r="BC1026" s="129" t="s">
        <v>38</v>
      </c>
      <c r="BD1026" s="129" t="s">
        <v>1096</v>
      </c>
      <c r="BF1026" s="111">
        <v>58</v>
      </c>
      <c r="BG1026" s="111">
        <f t="shared" si="753"/>
        <v>99</v>
      </c>
      <c r="BH1026" s="111">
        <f t="shared" si="757"/>
        <v>99</v>
      </c>
      <c r="BI1026" s="111">
        <f t="shared" si="758"/>
        <v>36.16393442622951</v>
      </c>
      <c r="BJ1026" s="129">
        <f>(G1026-J1026)+(M1026-G1026)</f>
        <v>0</v>
      </c>
      <c r="BK1026" s="129">
        <f t="shared" si="759"/>
        <v>-65</v>
      </c>
      <c r="BL1026" s="129" t="str">
        <f t="shared" si="742"/>
        <v>DEFERRED</v>
      </c>
      <c r="BM1026" s="129" t="s">
        <v>76</v>
      </c>
      <c r="BN1026" s="129" t="s">
        <v>566</v>
      </c>
      <c r="BP1026" s="137" t="str">
        <f t="shared" ref="BP1026:BP1089" si="762">IF(OR(AJ1026="AQUITTAL",AJ1026="DISMISSED",AJ1026="FINE",AJ1026="NO BILL"),"NO CONVICTION",IF(OR(AJ1026="HCJ",AJ1026="MHH",AJ1026="PROBATION",AJ1026="STJ",AJ1026="TDC",AJ1026="CONVICTED"),"CONVICTION",IF(AJ1026="DEFERRED","DEFERRED","")))</f>
        <v>DEFERRED</v>
      </c>
      <c r="BQ1026" s="128" t="str">
        <f t="shared" ref="BQ1026:BQ1089" si="763">IF(BF1026&gt;0,"Y",BF1026)</f>
        <v>Y</v>
      </c>
      <c r="BR1026" s="129" t="s">
        <v>574</v>
      </c>
      <c r="BS1026" s="129" t="str">
        <f t="shared" ref="BS1026:BS1089" si="764">IF(G1026&lt;&gt;"","DISPOSED","")</f>
        <v>DISPOSED</v>
      </c>
      <c r="BT1026" s="129" t="str">
        <f t="shared" ref="BT1026:BT1089" si="765">IF(S1026&gt;0,"Y","N")</f>
        <v>N</v>
      </c>
      <c r="BU1026" s="109">
        <f t="shared" ref="BU1026:BU1089" si="766">Q1026/R1026</f>
        <v>0.58585858585858586</v>
      </c>
      <c r="BV1026" s="109">
        <f t="shared" ref="BV1026:BV1089" si="767">IF(I1026&gt;F1026,((J1026-I1026+1)/(G1026-I1026+1)),(J1026-I1026+1)/(G1026-F1026+1))</f>
        <v>0.34343434343434343</v>
      </c>
      <c r="BW1026" s="109">
        <f t="shared" si="743"/>
        <v>-0.24242424242424243</v>
      </c>
      <c r="BX1026" s="111">
        <f t="shared" ref="BX1026:BX1089" si="768">+Q1026-BF1026</f>
        <v>0</v>
      </c>
      <c r="BY1026" s="129">
        <f t="shared" ref="BY1026:BY1089" si="769">I1026-J1026-1</f>
        <v>-34</v>
      </c>
      <c r="BZ1026" s="111">
        <f t="shared" ref="BZ1026:BZ1089" si="770">BY1026+BF1026</f>
        <v>24</v>
      </c>
      <c r="CA1026" s="138">
        <f t="shared" ref="CA1026:CA1089" si="771">IF(AND(BS1026="DISPOSED",BR1026="DETAINED"),G1026-I1026+1,IF(AND(BS1026="DISPOSED",BR1026="ON BOND"),M1026-I1026+1,IF(AND(BS1026="STILL OPEN","STILL OPEN"),"NOT BOOKED")))</f>
        <v>99</v>
      </c>
      <c r="CB1026" s="111">
        <v>58</v>
      </c>
      <c r="CC1026" s="129">
        <f t="shared" si="755"/>
        <v>99</v>
      </c>
      <c r="CD1026" s="129">
        <f t="shared" si="756"/>
        <v>65</v>
      </c>
      <c r="CE1026" s="129">
        <f t="shared" ref="CE1026:CE1089" si="772">G1026-J1026</f>
        <v>65</v>
      </c>
      <c r="CG1026" s="129" t="str">
        <f t="shared" ref="CG1026:CG1089" si="773">IF((S1026+T1026+U1026)&gt;0,"Y","N")</f>
        <v>Y</v>
      </c>
      <c r="CI1026" s="129" t="str">
        <f t="shared" si="732"/>
        <v>31-60 DAYS</v>
      </c>
      <c r="CJ1026" s="137">
        <f t="shared" si="733"/>
        <v>3</v>
      </c>
      <c r="CK1026" s="129" t="str">
        <f t="shared" si="734"/>
        <v>Booked</v>
      </c>
    </row>
    <row r="1027" spans="1:89" ht="15" customHeight="1" x14ac:dyDescent="0.25">
      <c r="A1027" s="111">
        <v>692</v>
      </c>
      <c r="B1027" s="128" t="str">
        <f t="shared" si="760"/>
        <v>N</v>
      </c>
      <c r="C1027" s="128" t="str">
        <f t="shared" ref="C1027:C1089" si="774">IF((AND(AV1027="",AX1027="",AY1027="")),"N","Y")</f>
        <v>N</v>
      </c>
      <c r="D1027" s="117">
        <v>1736825</v>
      </c>
      <c r="E1027" s="135">
        <f t="shared" si="761"/>
        <v>2</v>
      </c>
      <c r="F1027" s="124">
        <v>40936</v>
      </c>
      <c r="G1027" s="125">
        <v>40938</v>
      </c>
      <c r="H1027" s="117">
        <v>1736825</v>
      </c>
      <c r="I1027" s="124">
        <v>40936</v>
      </c>
      <c r="J1027" s="124">
        <v>40938</v>
      </c>
      <c r="K1027" s="126">
        <v>2000</v>
      </c>
      <c r="L1027" s="127" t="s">
        <v>568</v>
      </c>
      <c r="N1027" s="129" t="str">
        <f>IF(M1027&gt;1/1/1,"Y","N")</f>
        <v>N</v>
      </c>
      <c r="O1027" s="128" t="s">
        <v>917</v>
      </c>
      <c r="P1027" s="129" t="s">
        <v>589</v>
      </c>
      <c r="Q1027" s="111">
        <f t="shared" ref="Q1027:Q1073" si="775">BF1027</f>
        <v>3</v>
      </c>
      <c r="R1027" s="111">
        <f t="shared" si="737"/>
        <v>3</v>
      </c>
      <c r="S1027" s="129">
        <v>0</v>
      </c>
      <c r="T1027" s="129">
        <v>0</v>
      </c>
      <c r="W1027" s="111"/>
      <c r="AC1027" s="130"/>
      <c r="AD1027" s="130">
        <v>29440</v>
      </c>
      <c r="AE1027" s="128" t="s">
        <v>32</v>
      </c>
      <c r="AF1027" s="128" t="s">
        <v>69</v>
      </c>
      <c r="AG1027" s="128" t="s">
        <v>874</v>
      </c>
      <c r="AH1027" s="108" t="s">
        <v>58</v>
      </c>
      <c r="AI1027" s="128" t="s">
        <v>118</v>
      </c>
      <c r="AJ1027" s="129" t="s">
        <v>48</v>
      </c>
      <c r="AK1027" s="129">
        <v>1</v>
      </c>
      <c r="AL1027" s="3" t="s">
        <v>48</v>
      </c>
      <c r="AP1027" s="129" t="s">
        <v>43</v>
      </c>
      <c r="AR1027" s="128" t="s">
        <v>44</v>
      </c>
      <c r="AS1027" s="129" t="s">
        <v>45</v>
      </c>
      <c r="BC1027" s="129" t="s">
        <v>38</v>
      </c>
      <c r="BF1027" s="111">
        <f t="shared" ref="BF1027:BF1034" si="776">IF(J1027&gt;1/1/1900,((J1027+1)-I1027),"STILL OPEN")</f>
        <v>3</v>
      </c>
      <c r="BG1027" s="111">
        <f t="shared" si="753"/>
        <v>3</v>
      </c>
      <c r="BH1027" s="111">
        <f t="shared" si="757"/>
        <v>3</v>
      </c>
      <c r="BI1027" s="111">
        <f t="shared" si="758"/>
        <v>31.409836065573771</v>
      </c>
      <c r="BJ1027" s="129">
        <f t="shared" ref="BJ1027:BJ1088" si="777">G1027-J1027-M1027</f>
        <v>0</v>
      </c>
      <c r="BK1027" s="129">
        <f t="shared" si="759"/>
        <v>0</v>
      </c>
      <c r="BL1027" s="129" t="str">
        <f t="shared" si="742"/>
        <v>DEFERRED</v>
      </c>
      <c r="BM1027" s="129" t="str">
        <f t="shared" ref="BM1027:BM1088" si="778">O1027</f>
        <v>NONE</v>
      </c>
      <c r="BN1027" s="129" t="s">
        <v>566</v>
      </c>
      <c r="BP1027" s="137" t="str">
        <f t="shared" si="762"/>
        <v>DEFERRED</v>
      </c>
      <c r="BQ1027" s="128" t="str">
        <f t="shared" si="763"/>
        <v>Y</v>
      </c>
      <c r="BR1027" s="129" t="str">
        <f t="shared" ref="BR1027:BR1088" si="779">IF(AND(J1027="NOT BOOKED",M1027&gt;1/1/1),"BONDED - BEFORE BOOKED",IF(BG1027="STILL OPEN","STILL OPEN",IF(N1027="Y","ON BOND",IF(J1027&gt;=G1027,"DETAINED","RELEASED"))))</f>
        <v>DETAINED</v>
      </c>
      <c r="BS1027" s="129" t="str">
        <f t="shared" si="764"/>
        <v>DISPOSED</v>
      </c>
      <c r="BT1027" s="129" t="str">
        <f t="shared" si="765"/>
        <v>N</v>
      </c>
      <c r="BU1027" s="109">
        <f t="shared" si="766"/>
        <v>1</v>
      </c>
      <c r="BV1027" s="109">
        <f t="shared" si="767"/>
        <v>1</v>
      </c>
      <c r="BW1027" s="109">
        <f t="shared" si="743"/>
        <v>0</v>
      </c>
      <c r="BX1027" s="111">
        <f t="shared" si="768"/>
        <v>0</v>
      </c>
      <c r="BY1027" s="129">
        <f t="shared" si="769"/>
        <v>-3</v>
      </c>
      <c r="BZ1027" s="111">
        <f t="shared" si="770"/>
        <v>0</v>
      </c>
      <c r="CA1027" s="138">
        <f t="shared" si="771"/>
        <v>3</v>
      </c>
      <c r="CB1027" s="111" t="e">
        <f t="shared" ref="CB1027:CB1034" si="780">IF(AF1027&gt;1/1/1900,((AF1027+1)-AE1027),"STILL OPEN")</f>
        <v>#VALUE!</v>
      </c>
      <c r="CC1027" s="129">
        <f t="shared" si="755"/>
        <v>3</v>
      </c>
      <c r="CD1027" s="129">
        <f t="shared" si="756"/>
        <v>0</v>
      </c>
      <c r="CE1027" s="129">
        <f t="shared" si="772"/>
        <v>0</v>
      </c>
      <c r="CG1027" s="129" t="str">
        <f t="shared" si="773"/>
        <v>N</v>
      </c>
      <c r="CI1027" s="129" t="str">
        <f t="shared" ref="CI1027:CI1090" si="781">IF(BF1027&lt;11,"0-10 DAYS",IF(AND(BF1027&gt;10,BF1027&lt;31),"11-30 DAYS",IF((AND(BF1027&gt;30,BF1027&lt;61)),"31-60 DAYS",IF(AND(BF1027&gt;60,BF1027&lt;91),"61-90 DAYS",IF(AND(BF1027&gt;90,BF1027&lt;121),"91-120 DAYS",IF(AND(BF1027&gt;120,BF1027&lt;366),"121-365 DAYS",IF(AND(BF1027&gt;365,BF1027&lt;730)," &gt;1YRS&lt;2YRS",IF(AND(BF1027&gt;729,BF1027&lt;1095),"&gt;2YRS&lt;3YRS",IF(BF1027&gt;1094,"&gt;3YRS")))))))))</f>
        <v>0-10 DAYS</v>
      </c>
      <c r="CJ1027" s="137">
        <f t="shared" ref="CJ1027:CJ1090" si="782">IF(CI1027="0-10 DAYS",1,IF(CI1027="11-30 DAYS",2,IF(CI1027="31-60 DAYS",3,IF(CI1027="61-90 DAYS",4,IF(CK1027="91-120 DAYS",5,IF(CI1027="121-365 DAYS",6,IF(CI1027="&gt;1YRS&lt;2YRS",7,IF(CI1027="&gt;2YRS&lt;3YRS",8,IF(CI1027="&gt;3YRS",9,0)))))))))</f>
        <v>1</v>
      </c>
      <c r="CK1027" s="129" t="str">
        <f t="shared" ref="CK1027:CK1090" si="783">IF(I1027="Not Booked","Not Booked","Booked")</f>
        <v>Booked</v>
      </c>
    </row>
    <row r="1028" spans="1:89" ht="15.75" customHeight="1" x14ac:dyDescent="0.25">
      <c r="A1028" s="111">
        <v>2343</v>
      </c>
      <c r="B1028" s="128" t="str">
        <f t="shared" si="760"/>
        <v>N</v>
      </c>
      <c r="C1028" s="128" t="str">
        <f t="shared" si="774"/>
        <v>N</v>
      </c>
      <c r="D1028" s="117">
        <v>1736983</v>
      </c>
      <c r="E1028" s="135">
        <f t="shared" si="761"/>
        <v>6</v>
      </c>
      <c r="F1028" s="124">
        <v>40991</v>
      </c>
      <c r="G1028" s="125">
        <v>41068</v>
      </c>
      <c r="H1028" s="117">
        <v>1736983</v>
      </c>
      <c r="I1028" s="124">
        <v>40997</v>
      </c>
      <c r="J1028" s="124">
        <v>41068</v>
      </c>
      <c r="K1028" s="126" t="s">
        <v>564</v>
      </c>
      <c r="L1028" s="127" t="s">
        <v>564</v>
      </c>
      <c r="N1028" s="129" t="s">
        <v>566</v>
      </c>
      <c r="O1028" s="128" t="s">
        <v>917</v>
      </c>
      <c r="P1028" s="129" t="s">
        <v>39</v>
      </c>
      <c r="Q1028" s="111">
        <f t="shared" si="775"/>
        <v>72</v>
      </c>
      <c r="R1028" s="111">
        <f t="shared" si="737"/>
        <v>78</v>
      </c>
      <c r="S1028" s="129">
        <v>7</v>
      </c>
      <c r="T1028" s="129">
        <v>5</v>
      </c>
      <c r="U1028" s="129">
        <v>4</v>
      </c>
      <c r="W1028" s="111"/>
      <c r="AC1028" s="130"/>
      <c r="AD1028" s="130">
        <v>29146</v>
      </c>
      <c r="AE1028" s="128" t="s">
        <v>32</v>
      </c>
      <c r="AF1028" s="128" t="s">
        <v>33</v>
      </c>
      <c r="AG1028" s="128" t="s">
        <v>872</v>
      </c>
      <c r="AH1028" s="108" t="s">
        <v>58</v>
      </c>
      <c r="AI1028" s="128" t="s">
        <v>83</v>
      </c>
      <c r="AJ1028" s="129" t="s">
        <v>89</v>
      </c>
      <c r="AK1028" s="129">
        <v>5</v>
      </c>
      <c r="AL1028" s="3" t="s">
        <v>362</v>
      </c>
      <c r="AM1028" s="117">
        <v>10</v>
      </c>
      <c r="AP1028" s="129" t="s">
        <v>93</v>
      </c>
      <c r="AR1028" s="128" t="s">
        <v>67</v>
      </c>
      <c r="AS1028" s="129" t="s">
        <v>45</v>
      </c>
      <c r="BC1028" s="129" t="s">
        <v>38</v>
      </c>
      <c r="BF1028" s="111">
        <f t="shared" si="776"/>
        <v>72</v>
      </c>
      <c r="BG1028" s="111">
        <f t="shared" si="753"/>
        <v>72</v>
      </c>
      <c r="BH1028" s="111">
        <f t="shared" si="757"/>
        <v>78</v>
      </c>
      <c r="BI1028" s="111">
        <f t="shared" si="758"/>
        <v>32.363387978142079</v>
      </c>
      <c r="BJ1028" s="129">
        <f t="shared" si="777"/>
        <v>0</v>
      </c>
      <c r="BK1028" s="129">
        <f t="shared" si="759"/>
        <v>0</v>
      </c>
      <c r="BL1028" s="129" t="str">
        <f t="shared" si="742"/>
        <v>CONVICTION</v>
      </c>
      <c r="BM1028" s="129" t="str">
        <f t="shared" si="778"/>
        <v>NONE</v>
      </c>
      <c r="BN1028" s="129" t="s">
        <v>566</v>
      </c>
      <c r="BP1028" s="137" t="str">
        <f t="shared" si="762"/>
        <v>CONVICTION</v>
      </c>
      <c r="BQ1028" s="128" t="str">
        <f t="shared" si="763"/>
        <v>Y</v>
      </c>
      <c r="BR1028" s="129" t="str">
        <f t="shared" si="779"/>
        <v>DETAINED</v>
      </c>
      <c r="BS1028" s="129" t="str">
        <f t="shared" si="764"/>
        <v>DISPOSED</v>
      </c>
      <c r="BT1028" s="129" t="str">
        <f t="shared" si="765"/>
        <v>Y</v>
      </c>
      <c r="BU1028" s="109">
        <f t="shared" si="766"/>
        <v>0.92307692307692313</v>
      </c>
      <c r="BV1028" s="109">
        <f t="shared" si="767"/>
        <v>1</v>
      </c>
      <c r="BW1028" s="109">
        <f t="shared" si="743"/>
        <v>7.6923076923076872E-2</v>
      </c>
      <c r="BX1028" s="111">
        <f t="shared" si="768"/>
        <v>0</v>
      </c>
      <c r="BY1028" s="129">
        <f t="shared" si="769"/>
        <v>-72</v>
      </c>
      <c r="BZ1028" s="111">
        <f t="shared" si="770"/>
        <v>0</v>
      </c>
      <c r="CA1028" s="138">
        <f t="shared" si="771"/>
        <v>72</v>
      </c>
      <c r="CB1028" s="111" t="e">
        <f t="shared" si="780"/>
        <v>#VALUE!</v>
      </c>
      <c r="CC1028" s="129">
        <f t="shared" si="755"/>
        <v>72</v>
      </c>
      <c r="CD1028" s="129">
        <f t="shared" si="756"/>
        <v>0</v>
      </c>
      <c r="CE1028" s="129">
        <f t="shared" si="772"/>
        <v>0</v>
      </c>
      <c r="CG1028" s="129" t="str">
        <f t="shared" si="773"/>
        <v>Y</v>
      </c>
      <c r="CI1028" s="129" t="str">
        <f t="shared" si="781"/>
        <v>61-90 DAYS</v>
      </c>
      <c r="CJ1028" s="137">
        <f t="shared" si="782"/>
        <v>4</v>
      </c>
      <c r="CK1028" s="129" t="str">
        <f t="shared" si="783"/>
        <v>Booked</v>
      </c>
    </row>
    <row r="1029" spans="1:89" ht="15" customHeight="1" x14ac:dyDescent="0.25">
      <c r="A1029" s="111">
        <v>1957</v>
      </c>
      <c r="B1029" s="128" t="str">
        <f t="shared" si="760"/>
        <v>N</v>
      </c>
      <c r="C1029" s="128" t="str">
        <f t="shared" si="774"/>
        <v>N</v>
      </c>
      <c r="D1029" s="117">
        <v>1739708</v>
      </c>
      <c r="E1029" s="135">
        <f t="shared" si="761"/>
        <v>2</v>
      </c>
      <c r="F1029" s="124">
        <v>40982</v>
      </c>
      <c r="G1029" s="125">
        <v>41037</v>
      </c>
      <c r="H1029" s="117">
        <v>1739708</v>
      </c>
      <c r="I1029" s="124">
        <v>40984</v>
      </c>
      <c r="J1029" s="124">
        <v>40985</v>
      </c>
      <c r="K1029" s="126">
        <v>5000</v>
      </c>
      <c r="L1029" s="127" t="s">
        <v>569</v>
      </c>
      <c r="M1029" s="125">
        <v>40985</v>
      </c>
      <c r="N1029" s="129" t="str">
        <f t="shared" ref="N1029:N1034" si="784">IF(M1029&gt;1/1/1,"Y","N")</f>
        <v>Y</v>
      </c>
      <c r="O1029" s="128" t="s">
        <v>76</v>
      </c>
      <c r="P1029" s="129" t="s">
        <v>589</v>
      </c>
      <c r="Q1029" s="111">
        <f t="shared" si="775"/>
        <v>2</v>
      </c>
      <c r="R1029" s="111">
        <f t="shared" si="737"/>
        <v>56</v>
      </c>
      <c r="S1029" s="129">
        <v>0</v>
      </c>
      <c r="T1029" s="129">
        <v>0</v>
      </c>
      <c r="W1029" s="111"/>
      <c r="AC1029" s="130"/>
      <c r="AD1029" s="130">
        <v>27915</v>
      </c>
      <c r="AE1029" s="128" t="s">
        <v>46</v>
      </c>
      <c r="AF1029" s="128" t="s">
        <v>33</v>
      </c>
      <c r="AG1029" s="128" t="s">
        <v>872</v>
      </c>
      <c r="AH1029" s="108" t="s">
        <v>31</v>
      </c>
      <c r="AI1029" s="128" t="s">
        <v>118</v>
      </c>
      <c r="AJ1029" s="129" t="s">
        <v>48</v>
      </c>
      <c r="AK1029" s="129">
        <v>4</v>
      </c>
      <c r="AL1029" s="3" t="s">
        <v>48</v>
      </c>
      <c r="AP1029" s="129" t="s">
        <v>94</v>
      </c>
      <c r="AR1029" s="128" t="s">
        <v>67</v>
      </c>
      <c r="AS1029" s="129" t="s">
        <v>82</v>
      </c>
      <c r="AT1029" s="129" t="s">
        <v>643</v>
      </c>
      <c r="BC1029" s="129" t="s">
        <v>52</v>
      </c>
      <c r="BF1029" s="111">
        <f t="shared" si="776"/>
        <v>2</v>
      </c>
      <c r="BG1029" s="111">
        <f t="shared" si="753"/>
        <v>54</v>
      </c>
      <c r="BH1029" s="111">
        <f t="shared" si="757"/>
        <v>56</v>
      </c>
      <c r="BI1029" s="111">
        <f t="shared" si="758"/>
        <v>35.702185792349724</v>
      </c>
      <c r="BJ1029" s="129">
        <f>(G1029-J1029)+(M1029-G1029)</f>
        <v>0</v>
      </c>
      <c r="BK1029" s="129">
        <f t="shared" si="759"/>
        <v>-52</v>
      </c>
      <c r="BL1029" s="129" t="str">
        <f t="shared" si="742"/>
        <v>DEFERRED</v>
      </c>
      <c r="BM1029" s="129" t="s">
        <v>76</v>
      </c>
      <c r="BN1029" s="129" t="s">
        <v>88</v>
      </c>
      <c r="BP1029" s="137" t="str">
        <f t="shared" si="762"/>
        <v>DEFERRED</v>
      </c>
      <c r="BQ1029" s="128" t="str">
        <f t="shared" si="763"/>
        <v>Y</v>
      </c>
      <c r="BR1029" s="129" t="str">
        <f t="shared" si="779"/>
        <v>ON BOND</v>
      </c>
      <c r="BS1029" s="129" t="str">
        <f t="shared" si="764"/>
        <v>DISPOSED</v>
      </c>
      <c r="BT1029" s="129" t="str">
        <f t="shared" si="765"/>
        <v>N</v>
      </c>
      <c r="BU1029" s="109">
        <f t="shared" si="766"/>
        <v>3.5714285714285712E-2</v>
      </c>
      <c r="BV1029" s="109">
        <f t="shared" si="767"/>
        <v>3.7037037037037035E-2</v>
      </c>
      <c r="BW1029" s="109">
        <f t="shared" si="743"/>
        <v>1.3227513227513227E-3</v>
      </c>
      <c r="BX1029" s="111">
        <f t="shared" si="768"/>
        <v>0</v>
      </c>
      <c r="BY1029" s="129">
        <f t="shared" si="769"/>
        <v>-2</v>
      </c>
      <c r="BZ1029" s="111">
        <f t="shared" si="770"/>
        <v>0</v>
      </c>
      <c r="CA1029" s="138">
        <f t="shared" si="771"/>
        <v>2</v>
      </c>
      <c r="CB1029" s="111" t="e">
        <f t="shared" si="780"/>
        <v>#VALUE!</v>
      </c>
      <c r="CC1029" s="129">
        <f>M1029-I1029+1</f>
        <v>2</v>
      </c>
      <c r="CD1029" s="111">
        <f>CC1029-BF1029</f>
        <v>0</v>
      </c>
      <c r="CE1029" s="129">
        <f t="shared" si="772"/>
        <v>52</v>
      </c>
      <c r="CG1029" s="129" t="str">
        <f t="shared" si="773"/>
        <v>N</v>
      </c>
      <c r="CI1029" s="129" t="str">
        <f t="shared" si="781"/>
        <v>0-10 DAYS</v>
      </c>
      <c r="CJ1029" s="137">
        <f t="shared" si="782"/>
        <v>1</v>
      </c>
      <c r="CK1029" s="129" t="str">
        <f t="shared" si="783"/>
        <v>Booked</v>
      </c>
    </row>
    <row r="1030" spans="1:89" ht="15.75" customHeight="1" x14ac:dyDescent="0.25">
      <c r="A1030" s="111">
        <v>1862</v>
      </c>
      <c r="B1030" s="128" t="str">
        <f t="shared" si="760"/>
        <v>N</v>
      </c>
      <c r="C1030" s="128" t="str">
        <f t="shared" si="774"/>
        <v>N</v>
      </c>
      <c r="D1030" s="117">
        <v>1739926</v>
      </c>
      <c r="E1030" s="135">
        <f t="shared" si="761"/>
        <v>2</v>
      </c>
      <c r="F1030" s="124">
        <v>40977</v>
      </c>
      <c r="G1030" s="125">
        <v>41200</v>
      </c>
      <c r="H1030" s="117">
        <v>1739926</v>
      </c>
      <c r="I1030" s="124">
        <v>40977</v>
      </c>
      <c r="J1030" s="124">
        <v>40990</v>
      </c>
      <c r="K1030" s="126">
        <v>2000</v>
      </c>
      <c r="L1030" s="127" t="s">
        <v>568</v>
      </c>
      <c r="M1030" s="125">
        <v>40990</v>
      </c>
      <c r="N1030" s="129" t="str">
        <f t="shared" si="784"/>
        <v>Y</v>
      </c>
      <c r="O1030" s="128" t="s">
        <v>76</v>
      </c>
      <c r="P1030" s="129" t="s">
        <v>589</v>
      </c>
      <c r="Q1030" s="111">
        <f t="shared" si="775"/>
        <v>14</v>
      </c>
      <c r="R1030" s="111">
        <f t="shared" si="737"/>
        <v>224</v>
      </c>
      <c r="S1030" s="129">
        <v>0</v>
      </c>
      <c r="T1030" s="129">
        <v>1</v>
      </c>
      <c r="W1030" s="111"/>
      <c r="AC1030" s="130"/>
      <c r="AD1030" s="130">
        <v>29824</v>
      </c>
      <c r="AE1030" s="128" t="s">
        <v>32</v>
      </c>
      <c r="AF1030" s="128" t="s">
        <v>33</v>
      </c>
      <c r="AG1030" s="128" t="s">
        <v>872</v>
      </c>
      <c r="AH1030" s="108" t="s">
        <v>31</v>
      </c>
      <c r="AI1030" s="128" t="s">
        <v>80</v>
      </c>
      <c r="AJ1030" s="129" t="s">
        <v>48</v>
      </c>
      <c r="AK1030" s="129">
        <v>8</v>
      </c>
      <c r="AL1030" s="3" t="s">
        <v>48</v>
      </c>
      <c r="AP1030" s="129" t="s">
        <v>98</v>
      </c>
      <c r="AR1030" s="128" t="s">
        <v>44</v>
      </c>
      <c r="AS1030" s="129" t="s">
        <v>64</v>
      </c>
      <c r="BC1030" s="129" t="s">
        <v>38</v>
      </c>
      <c r="BF1030" s="111">
        <f t="shared" si="776"/>
        <v>14</v>
      </c>
      <c r="BG1030" s="111">
        <f t="shared" si="753"/>
        <v>224</v>
      </c>
      <c r="BH1030" s="111">
        <f t="shared" si="757"/>
        <v>224</v>
      </c>
      <c r="BI1030" s="111">
        <f t="shared" si="758"/>
        <v>30.472677595628415</v>
      </c>
      <c r="BJ1030" s="129">
        <f>(G1030-J1030)+(M1030-G1030)</f>
        <v>0</v>
      </c>
      <c r="BK1030" s="129">
        <f t="shared" si="759"/>
        <v>-210</v>
      </c>
      <c r="BL1030" s="129" t="str">
        <f t="shared" si="742"/>
        <v>DEFERRED</v>
      </c>
      <c r="BM1030" s="129" t="s">
        <v>76</v>
      </c>
      <c r="BN1030" s="129" t="s">
        <v>88</v>
      </c>
      <c r="BP1030" s="137" t="str">
        <f t="shared" si="762"/>
        <v>DEFERRED</v>
      </c>
      <c r="BQ1030" s="128" t="str">
        <f t="shared" si="763"/>
        <v>Y</v>
      </c>
      <c r="BR1030" s="129" t="str">
        <f t="shared" si="779"/>
        <v>ON BOND</v>
      </c>
      <c r="BS1030" s="129" t="str">
        <f t="shared" si="764"/>
        <v>DISPOSED</v>
      </c>
      <c r="BT1030" s="129" t="str">
        <f t="shared" si="765"/>
        <v>N</v>
      </c>
      <c r="BU1030" s="109">
        <f t="shared" si="766"/>
        <v>6.25E-2</v>
      </c>
      <c r="BV1030" s="109">
        <f t="shared" si="767"/>
        <v>6.25E-2</v>
      </c>
      <c r="BW1030" s="109">
        <f t="shared" si="743"/>
        <v>0</v>
      </c>
      <c r="BX1030" s="111">
        <f t="shared" si="768"/>
        <v>0</v>
      </c>
      <c r="BY1030" s="129">
        <f t="shared" si="769"/>
        <v>-14</v>
      </c>
      <c r="BZ1030" s="111">
        <f t="shared" si="770"/>
        <v>0</v>
      </c>
      <c r="CA1030" s="138">
        <f t="shared" si="771"/>
        <v>14</v>
      </c>
      <c r="CB1030" s="111" t="e">
        <f t="shared" si="780"/>
        <v>#VALUE!</v>
      </c>
      <c r="CC1030" s="129">
        <f>M1030-I1030+1</f>
        <v>14</v>
      </c>
      <c r="CD1030" s="111">
        <f>CC1030-BF1030</f>
        <v>0</v>
      </c>
      <c r="CE1030" s="129">
        <f t="shared" si="772"/>
        <v>210</v>
      </c>
      <c r="CG1030" s="129" t="str">
        <f t="shared" si="773"/>
        <v>Y</v>
      </c>
      <c r="CI1030" s="129" t="str">
        <f t="shared" si="781"/>
        <v>11-30 DAYS</v>
      </c>
      <c r="CJ1030" s="137">
        <f t="shared" si="782"/>
        <v>2</v>
      </c>
      <c r="CK1030" s="129" t="str">
        <f t="shared" si="783"/>
        <v>Booked</v>
      </c>
    </row>
    <row r="1031" spans="1:89" ht="15.75" customHeight="1" x14ac:dyDescent="0.25">
      <c r="A1031" s="111">
        <v>1272</v>
      </c>
      <c r="B1031" s="128" t="str">
        <f t="shared" si="760"/>
        <v>N</v>
      </c>
      <c r="C1031" s="128" t="str">
        <f t="shared" si="774"/>
        <v>N</v>
      </c>
      <c r="D1031" s="117">
        <v>1740567</v>
      </c>
      <c r="E1031" s="135">
        <f t="shared" si="761"/>
        <v>6</v>
      </c>
      <c r="F1031" s="124">
        <v>40955</v>
      </c>
      <c r="G1031" s="125">
        <v>40959</v>
      </c>
      <c r="H1031" s="117">
        <v>1740567</v>
      </c>
      <c r="I1031" s="124">
        <v>40955</v>
      </c>
      <c r="J1031" s="124">
        <v>40959</v>
      </c>
      <c r="K1031" s="126">
        <v>40000</v>
      </c>
      <c r="L1031" s="129" t="s">
        <v>572</v>
      </c>
      <c r="N1031" s="129" t="str">
        <f t="shared" si="784"/>
        <v>N</v>
      </c>
      <c r="O1031" s="128" t="s">
        <v>917</v>
      </c>
      <c r="P1031" s="129" t="s">
        <v>39</v>
      </c>
      <c r="Q1031" s="111">
        <f t="shared" si="775"/>
        <v>5</v>
      </c>
      <c r="R1031" s="111">
        <f t="shared" si="737"/>
        <v>5</v>
      </c>
      <c r="S1031" s="129">
        <v>5</v>
      </c>
      <c r="T1031" s="129">
        <v>1</v>
      </c>
      <c r="U1031" s="129">
        <v>4</v>
      </c>
      <c r="W1031" s="111"/>
      <c r="AC1031" s="130"/>
      <c r="AD1031" s="130">
        <v>29656</v>
      </c>
      <c r="AE1031" s="128" t="s">
        <v>32</v>
      </c>
      <c r="AF1031" s="128" t="s">
        <v>40</v>
      </c>
      <c r="AG1031" s="128" t="s">
        <v>41</v>
      </c>
      <c r="AH1031" s="108" t="s">
        <v>41</v>
      </c>
      <c r="AI1031" s="128" t="s">
        <v>95</v>
      </c>
      <c r="AJ1031" s="129" t="s">
        <v>89</v>
      </c>
      <c r="AK1031" s="129">
        <v>1</v>
      </c>
      <c r="AL1031" s="3" t="s">
        <v>362</v>
      </c>
      <c r="AM1031" s="117">
        <v>3</v>
      </c>
      <c r="AP1031" s="129" t="s">
        <v>93</v>
      </c>
      <c r="AR1031" s="128" t="s">
        <v>67</v>
      </c>
      <c r="AS1031" s="129" t="s">
        <v>45</v>
      </c>
      <c r="BC1031" s="129" t="s">
        <v>38</v>
      </c>
      <c r="BF1031" s="111">
        <f t="shared" si="776"/>
        <v>5</v>
      </c>
      <c r="BG1031" s="111">
        <f t="shared" si="753"/>
        <v>5</v>
      </c>
      <c r="BH1031" s="111">
        <f t="shared" si="757"/>
        <v>5</v>
      </c>
      <c r="BI1031" s="111">
        <f t="shared" si="758"/>
        <v>30.871584699453553</v>
      </c>
      <c r="BJ1031" s="129">
        <f t="shared" si="777"/>
        <v>0</v>
      </c>
      <c r="BK1031" s="129">
        <f t="shared" si="759"/>
        <v>0</v>
      </c>
      <c r="BL1031" s="129" t="str">
        <f t="shared" si="742"/>
        <v>CONVICTION</v>
      </c>
      <c r="BM1031" s="129" t="str">
        <f t="shared" si="778"/>
        <v>NONE</v>
      </c>
      <c r="BN1031" s="129" t="s">
        <v>566</v>
      </c>
      <c r="BP1031" s="137" t="str">
        <f t="shared" si="762"/>
        <v>CONVICTION</v>
      </c>
      <c r="BQ1031" s="128" t="str">
        <f t="shared" si="763"/>
        <v>Y</v>
      </c>
      <c r="BR1031" s="129" t="str">
        <f t="shared" si="779"/>
        <v>DETAINED</v>
      </c>
      <c r="BS1031" s="129" t="str">
        <f t="shared" si="764"/>
        <v>DISPOSED</v>
      </c>
      <c r="BT1031" s="129" t="str">
        <f t="shared" si="765"/>
        <v>Y</v>
      </c>
      <c r="BU1031" s="109">
        <f t="shared" si="766"/>
        <v>1</v>
      </c>
      <c r="BV1031" s="109">
        <f t="shared" si="767"/>
        <v>1</v>
      </c>
      <c r="BW1031" s="109">
        <f t="shared" si="743"/>
        <v>0</v>
      </c>
      <c r="BX1031" s="111">
        <f t="shared" si="768"/>
        <v>0</v>
      </c>
      <c r="BY1031" s="129">
        <f t="shared" si="769"/>
        <v>-5</v>
      </c>
      <c r="BZ1031" s="111">
        <f t="shared" si="770"/>
        <v>0</v>
      </c>
      <c r="CA1031" s="138">
        <f t="shared" si="771"/>
        <v>5</v>
      </c>
      <c r="CB1031" s="111" t="e">
        <f t="shared" si="780"/>
        <v>#VALUE!</v>
      </c>
      <c r="CC1031" s="129">
        <f>G1031-I1031+1</f>
        <v>5</v>
      </c>
      <c r="CD1031" s="129">
        <f>G1031-J1031</f>
        <v>0</v>
      </c>
      <c r="CE1031" s="129">
        <f t="shared" si="772"/>
        <v>0</v>
      </c>
      <c r="CG1031" s="129" t="str">
        <f t="shared" si="773"/>
        <v>Y</v>
      </c>
      <c r="CI1031" s="129" t="str">
        <f t="shared" si="781"/>
        <v>0-10 DAYS</v>
      </c>
      <c r="CJ1031" s="137">
        <f t="shared" si="782"/>
        <v>1</v>
      </c>
      <c r="CK1031" s="129" t="str">
        <f t="shared" si="783"/>
        <v>Booked</v>
      </c>
    </row>
    <row r="1032" spans="1:89" ht="15.75" customHeight="1" x14ac:dyDescent="0.25">
      <c r="A1032" s="111">
        <v>1625</v>
      </c>
      <c r="B1032" s="128" t="str">
        <f t="shared" si="760"/>
        <v>N</v>
      </c>
      <c r="C1032" s="128" t="str">
        <f t="shared" si="774"/>
        <v>N</v>
      </c>
      <c r="D1032" s="117">
        <v>1741865</v>
      </c>
      <c r="E1032" s="135">
        <f t="shared" si="761"/>
        <v>2</v>
      </c>
      <c r="F1032" s="124">
        <v>40969</v>
      </c>
      <c r="G1032" s="125">
        <v>40989</v>
      </c>
      <c r="H1032" s="117">
        <v>1741865</v>
      </c>
      <c r="I1032" s="124">
        <v>40969</v>
      </c>
      <c r="J1032" s="124">
        <v>40989</v>
      </c>
      <c r="K1032" s="126">
        <v>25000</v>
      </c>
      <c r="L1032" s="129" t="s">
        <v>572</v>
      </c>
      <c r="N1032" s="129" t="str">
        <f t="shared" si="784"/>
        <v>N</v>
      </c>
      <c r="O1032" s="128" t="s">
        <v>917</v>
      </c>
      <c r="P1032" s="129" t="s">
        <v>589</v>
      </c>
      <c r="Q1032" s="111">
        <f t="shared" si="775"/>
        <v>21</v>
      </c>
      <c r="R1032" s="111">
        <f t="shared" si="737"/>
        <v>21</v>
      </c>
      <c r="S1032" s="129">
        <v>6</v>
      </c>
      <c r="T1032" s="129">
        <v>3</v>
      </c>
      <c r="U1032" s="129">
        <v>5</v>
      </c>
      <c r="W1032" s="111"/>
      <c r="AC1032" s="130"/>
      <c r="AD1032" s="130">
        <v>29372</v>
      </c>
      <c r="AE1032" s="128" t="s">
        <v>32</v>
      </c>
      <c r="AF1032" s="128" t="s">
        <v>40</v>
      </c>
      <c r="AG1032" s="128" t="s">
        <v>41</v>
      </c>
      <c r="AH1032" s="108" t="s">
        <v>41</v>
      </c>
      <c r="AI1032" s="128" t="s">
        <v>70</v>
      </c>
      <c r="AJ1032" s="129" t="s">
        <v>48</v>
      </c>
      <c r="AK1032" s="129">
        <v>4</v>
      </c>
      <c r="AL1032" s="3" t="s">
        <v>48</v>
      </c>
      <c r="AP1032" s="129" t="s">
        <v>43</v>
      </c>
      <c r="AR1032" s="128" t="s">
        <v>44</v>
      </c>
      <c r="AS1032" s="129" t="s">
        <v>45</v>
      </c>
      <c r="BC1032" s="129" t="s">
        <v>38</v>
      </c>
      <c r="BF1032" s="111">
        <f t="shared" si="776"/>
        <v>21</v>
      </c>
      <c r="BG1032" s="111">
        <f t="shared" si="753"/>
        <v>21</v>
      </c>
      <c r="BH1032" s="111">
        <f t="shared" si="757"/>
        <v>21</v>
      </c>
      <c r="BI1032" s="111">
        <f t="shared" si="758"/>
        <v>31.685792349726775</v>
      </c>
      <c r="BJ1032" s="129">
        <f t="shared" si="777"/>
        <v>0</v>
      </c>
      <c r="BK1032" s="129">
        <f t="shared" si="759"/>
        <v>0</v>
      </c>
      <c r="BL1032" s="129" t="str">
        <f t="shared" si="742"/>
        <v>DEFERRED</v>
      </c>
      <c r="BM1032" s="129" t="str">
        <f t="shared" si="778"/>
        <v>NONE</v>
      </c>
      <c r="BN1032" s="129" t="s">
        <v>566</v>
      </c>
      <c r="BP1032" s="137" t="str">
        <f t="shared" si="762"/>
        <v>DEFERRED</v>
      </c>
      <c r="BQ1032" s="128" t="str">
        <f t="shared" si="763"/>
        <v>Y</v>
      </c>
      <c r="BR1032" s="129" t="str">
        <f t="shared" si="779"/>
        <v>DETAINED</v>
      </c>
      <c r="BS1032" s="129" t="str">
        <f t="shared" si="764"/>
        <v>DISPOSED</v>
      </c>
      <c r="BT1032" s="129" t="str">
        <f t="shared" si="765"/>
        <v>Y</v>
      </c>
      <c r="BU1032" s="109">
        <f t="shared" si="766"/>
        <v>1</v>
      </c>
      <c r="BV1032" s="109">
        <f t="shared" si="767"/>
        <v>1</v>
      </c>
      <c r="BW1032" s="109">
        <f t="shared" si="743"/>
        <v>0</v>
      </c>
      <c r="BX1032" s="111">
        <f t="shared" si="768"/>
        <v>0</v>
      </c>
      <c r="BY1032" s="129">
        <f t="shared" si="769"/>
        <v>-21</v>
      </c>
      <c r="BZ1032" s="111">
        <f t="shared" si="770"/>
        <v>0</v>
      </c>
      <c r="CA1032" s="138">
        <f t="shared" si="771"/>
        <v>21</v>
      </c>
      <c r="CB1032" s="111" t="e">
        <f t="shared" si="780"/>
        <v>#VALUE!</v>
      </c>
      <c r="CC1032" s="129">
        <f>G1032-I1032+1</f>
        <v>21</v>
      </c>
      <c r="CD1032" s="129">
        <f>G1032-J1032</f>
        <v>0</v>
      </c>
      <c r="CE1032" s="129">
        <f t="shared" si="772"/>
        <v>0</v>
      </c>
      <c r="CG1032" s="129" t="str">
        <f t="shared" si="773"/>
        <v>Y</v>
      </c>
      <c r="CI1032" s="129" t="str">
        <f t="shared" si="781"/>
        <v>11-30 DAYS</v>
      </c>
      <c r="CJ1032" s="137">
        <f t="shared" si="782"/>
        <v>2</v>
      </c>
      <c r="CK1032" s="129" t="str">
        <f t="shared" si="783"/>
        <v>Booked</v>
      </c>
    </row>
    <row r="1033" spans="1:89" ht="15" customHeight="1" x14ac:dyDescent="0.25">
      <c r="A1033" s="111">
        <v>730</v>
      </c>
      <c r="B1033" s="128" t="str">
        <f t="shared" si="760"/>
        <v>N</v>
      </c>
      <c r="C1033" s="128" t="str">
        <f t="shared" si="774"/>
        <v>N</v>
      </c>
      <c r="D1033" s="117">
        <v>1742171</v>
      </c>
      <c r="E1033" s="135">
        <f t="shared" si="761"/>
        <v>5</v>
      </c>
      <c r="F1033" s="124">
        <v>40937</v>
      </c>
      <c r="G1033" s="125">
        <v>41022</v>
      </c>
      <c r="H1033" s="117">
        <v>1742171</v>
      </c>
      <c r="I1033" s="124">
        <v>40938</v>
      </c>
      <c r="J1033" s="124">
        <v>41022</v>
      </c>
      <c r="K1033" s="126">
        <v>15000</v>
      </c>
      <c r="L1033" s="127" t="s">
        <v>571</v>
      </c>
      <c r="N1033" s="129" t="str">
        <f t="shared" si="784"/>
        <v>N</v>
      </c>
      <c r="O1033" s="128" t="s">
        <v>917</v>
      </c>
      <c r="P1033" s="129" t="s">
        <v>39</v>
      </c>
      <c r="Q1033" s="111">
        <f t="shared" si="775"/>
        <v>85</v>
      </c>
      <c r="R1033" s="111">
        <f t="shared" si="737"/>
        <v>86</v>
      </c>
      <c r="S1033" s="129">
        <v>4</v>
      </c>
      <c r="T1033" s="129">
        <v>5</v>
      </c>
      <c r="U1033" s="129">
        <v>2</v>
      </c>
      <c r="W1033" s="111"/>
      <c r="AC1033" s="130"/>
      <c r="AD1033" s="130">
        <v>29623</v>
      </c>
      <c r="AE1033" s="128" t="s">
        <v>32</v>
      </c>
      <c r="AF1033" s="128" t="s">
        <v>33</v>
      </c>
      <c r="AG1033" s="128" t="s">
        <v>872</v>
      </c>
      <c r="AH1033" s="108" t="s">
        <v>31</v>
      </c>
      <c r="AI1033" s="128" t="s">
        <v>113</v>
      </c>
      <c r="AJ1033" s="129" t="s">
        <v>89</v>
      </c>
      <c r="AK1033" s="129">
        <v>6</v>
      </c>
      <c r="AL1033" s="3" t="s">
        <v>992</v>
      </c>
      <c r="AN1033" s="117">
        <v>14</v>
      </c>
      <c r="AP1033" s="129" t="s">
        <v>107</v>
      </c>
      <c r="AR1033" s="128" t="s">
        <v>44</v>
      </c>
      <c r="AS1033" s="129" t="s">
        <v>57</v>
      </c>
      <c r="BC1033" s="129" t="s">
        <v>38</v>
      </c>
      <c r="BD1033" s="3"/>
      <c r="BF1033" s="111">
        <f t="shared" si="776"/>
        <v>85</v>
      </c>
      <c r="BG1033" s="111">
        <f t="shared" si="753"/>
        <v>85</v>
      </c>
      <c r="BH1033" s="111">
        <f t="shared" si="757"/>
        <v>86</v>
      </c>
      <c r="BI1033" s="111">
        <f t="shared" si="758"/>
        <v>30.912568306010929</v>
      </c>
      <c r="BJ1033" s="129">
        <f t="shared" si="777"/>
        <v>0</v>
      </c>
      <c r="BK1033" s="129">
        <f t="shared" si="759"/>
        <v>0</v>
      </c>
      <c r="BL1033" s="129" t="str">
        <f t="shared" si="742"/>
        <v>CONVICTION</v>
      </c>
      <c r="BM1033" s="129" t="str">
        <f t="shared" si="778"/>
        <v>NONE</v>
      </c>
      <c r="BN1033" s="129" t="s">
        <v>566</v>
      </c>
      <c r="BP1033" s="137" t="str">
        <f t="shared" si="762"/>
        <v>CONVICTION</v>
      </c>
      <c r="BQ1033" s="128" t="str">
        <f t="shared" si="763"/>
        <v>Y</v>
      </c>
      <c r="BR1033" s="129" t="str">
        <f t="shared" si="779"/>
        <v>DETAINED</v>
      </c>
      <c r="BS1033" s="129" t="str">
        <f t="shared" si="764"/>
        <v>DISPOSED</v>
      </c>
      <c r="BT1033" s="129" t="str">
        <f t="shared" si="765"/>
        <v>Y</v>
      </c>
      <c r="BU1033" s="109">
        <f t="shared" si="766"/>
        <v>0.98837209302325579</v>
      </c>
      <c r="BV1033" s="109">
        <f t="shared" si="767"/>
        <v>1</v>
      </c>
      <c r="BW1033" s="109">
        <f t="shared" si="743"/>
        <v>1.1627906976744207E-2</v>
      </c>
      <c r="BX1033" s="111">
        <f t="shared" si="768"/>
        <v>0</v>
      </c>
      <c r="BY1033" s="129">
        <f t="shared" si="769"/>
        <v>-85</v>
      </c>
      <c r="BZ1033" s="111">
        <f t="shared" si="770"/>
        <v>0</v>
      </c>
      <c r="CA1033" s="138">
        <f t="shared" si="771"/>
        <v>85</v>
      </c>
      <c r="CB1033" s="111" t="e">
        <f t="shared" si="780"/>
        <v>#VALUE!</v>
      </c>
      <c r="CC1033" s="129">
        <f>G1033-I1033+1</f>
        <v>85</v>
      </c>
      <c r="CD1033" s="129">
        <f>G1033-J1033</f>
        <v>0</v>
      </c>
      <c r="CE1033" s="129">
        <f t="shared" si="772"/>
        <v>0</v>
      </c>
      <c r="CG1033" s="129" t="str">
        <f t="shared" si="773"/>
        <v>Y</v>
      </c>
      <c r="CI1033" s="129" t="str">
        <f t="shared" si="781"/>
        <v>61-90 DAYS</v>
      </c>
      <c r="CJ1033" s="137">
        <f t="shared" si="782"/>
        <v>4</v>
      </c>
      <c r="CK1033" s="129" t="str">
        <f t="shared" si="783"/>
        <v>Booked</v>
      </c>
    </row>
    <row r="1034" spans="1:89" ht="15" customHeight="1" x14ac:dyDescent="0.25">
      <c r="A1034" s="111">
        <v>622</v>
      </c>
      <c r="B1034" s="128" t="str">
        <f t="shared" si="760"/>
        <v>N</v>
      </c>
      <c r="C1034" s="128" t="str">
        <f t="shared" si="774"/>
        <v>N</v>
      </c>
      <c r="D1034" s="117">
        <v>1742410</v>
      </c>
      <c r="E1034" s="135">
        <f t="shared" si="761"/>
        <v>1</v>
      </c>
      <c r="F1034" s="124">
        <v>40933</v>
      </c>
      <c r="G1034" s="125">
        <v>40969</v>
      </c>
      <c r="H1034" s="117">
        <v>1742410</v>
      </c>
      <c r="I1034" s="124">
        <v>40933</v>
      </c>
      <c r="J1034" s="124">
        <v>40935</v>
      </c>
      <c r="K1034" s="126">
        <v>10000</v>
      </c>
      <c r="L1034" s="127" t="s">
        <v>570</v>
      </c>
      <c r="M1034" s="125">
        <v>40935</v>
      </c>
      <c r="N1034" s="129" t="str">
        <f t="shared" si="784"/>
        <v>Y</v>
      </c>
      <c r="O1034" s="128" t="s">
        <v>76</v>
      </c>
      <c r="P1034" s="129" t="s">
        <v>123</v>
      </c>
      <c r="Q1034" s="111">
        <f t="shared" si="775"/>
        <v>3</v>
      </c>
      <c r="R1034" s="111">
        <f t="shared" si="737"/>
        <v>37</v>
      </c>
      <c r="S1034" s="129">
        <v>2</v>
      </c>
      <c r="T1034" s="129">
        <v>4</v>
      </c>
      <c r="U1034" s="129">
        <v>2</v>
      </c>
      <c r="W1034" s="111"/>
      <c r="AC1034" s="130"/>
      <c r="AD1034" s="130">
        <v>30087</v>
      </c>
      <c r="AE1034" s="128" t="s">
        <v>32</v>
      </c>
      <c r="AF1034" s="128" t="s">
        <v>33</v>
      </c>
      <c r="AG1034" s="128" t="s">
        <v>872</v>
      </c>
      <c r="AH1034" s="108" t="s">
        <v>31</v>
      </c>
      <c r="AI1034" s="128" t="s">
        <v>85</v>
      </c>
      <c r="AJ1034" s="129" t="s">
        <v>123</v>
      </c>
      <c r="AK1034" s="129">
        <v>3</v>
      </c>
      <c r="AL1034" s="3" t="s">
        <v>123</v>
      </c>
      <c r="AP1034" s="129" t="s">
        <v>198</v>
      </c>
      <c r="AR1034" s="128" t="s">
        <v>46</v>
      </c>
      <c r="AS1034" s="129" t="s">
        <v>45</v>
      </c>
      <c r="BC1034" s="129" t="s">
        <v>38</v>
      </c>
      <c r="BF1034" s="111">
        <f t="shared" si="776"/>
        <v>3</v>
      </c>
      <c r="BG1034" s="111">
        <f t="shared" si="753"/>
        <v>37</v>
      </c>
      <c r="BH1034" s="111">
        <f t="shared" si="757"/>
        <v>37</v>
      </c>
      <c r="BI1034" s="111">
        <f t="shared" si="758"/>
        <v>29.633879781420767</v>
      </c>
      <c r="BJ1034" s="129">
        <f>(G1034-J1034)+(M1034-G1034)</f>
        <v>0</v>
      </c>
      <c r="BK1034" s="129">
        <f t="shared" si="759"/>
        <v>-34</v>
      </c>
      <c r="BL1034" s="129" t="str">
        <f t="shared" si="742"/>
        <v>NO CONVICTION</v>
      </c>
      <c r="BM1034" s="129" t="s">
        <v>76</v>
      </c>
      <c r="BN1034" s="129" t="s">
        <v>88</v>
      </c>
      <c r="BP1034" s="137" t="str">
        <f t="shared" si="762"/>
        <v>NO CONVICTION</v>
      </c>
      <c r="BQ1034" s="128" t="str">
        <f t="shared" si="763"/>
        <v>Y</v>
      </c>
      <c r="BR1034" s="129" t="str">
        <f t="shared" si="779"/>
        <v>ON BOND</v>
      </c>
      <c r="BS1034" s="129" t="str">
        <f t="shared" si="764"/>
        <v>DISPOSED</v>
      </c>
      <c r="BT1034" s="129" t="str">
        <f t="shared" si="765"/>
        <v>Y</v>
      </c>
      <c r="BU1034" s="109">
        <f>IFERROR(Q1034/R1034,BR1034)</f>
        <v>8.1081081081081086E-2</v>
      </c>
      <c r="BV1034" s="109">
        <f t="shared" si="767"/>
        <v>8.1081081081081086E-2</v>
      </c>
      <c r="BW1034" s="109">
        <f t="shared" si="743"/>
        <v>0</v>
      </c>
      <c r="BX1034" s="111">
        <f t="shared" si="768"/>
        <v>0</v>
      </c>
      <c r="BY1034" s="129">
        <f t="shared" si="769"/>
        <v>-3</v>
      </c>
      <c r="BZ1034" s="111">
        <f t="shared" si="770"/>
        <v>0</v>
      </c>
      <c r="CA1034" s="138">
        <f t="shared" si="771"/>
        <v>3</v>
      </c>
      <c r="CB1034" s="111" t="e">
        <f t="shared" si="780"/>
        <v>#VALUE!</v>
      </c>
      <c r="CC1034" s="129">
        <f>M1034-I1034+1</f>
        <v>3</v>
      </c>
      <c r="CD1034" s="111">
        <f>CC1034-BF1034</f>
        <v>0</v>
      </c>
      <c r="CE1034" s="129">
        <f t="shared" si="772"/>
        <v>34</v>
      </c>
      <c r="CG1034" s="129" t="str">
        <f t="shared" si="773"/>
        <v>Y</v>
      </c>
      <c r="CI1034" s="129" t="str">
        <f t="shared" si="781"/>
        <v>0-10 DAYS</v>
      </c>
      <c r="CJ1034" s="137">
        <f t="shared" si="782"/>
        <v>1</v>
      </c>
      <c r="CK1034" s="129" t="str">
        <f t="shared" si="783"/>
        <v>Booked</v>
      </c>
    </row>
    <row r="1035" spans="1:89" ht="15.75" customHeight="1" x14ac:dyDescent="0.25">
      <c r="A1035" s="111">
        <v>1441</v>
      </c>
      <c r="B1035" s="128" t="str">
        <f t="shared" si="760"/>
        <v>Y</v>
      </c>
      <c r="C1035" s="128" t="str">
        <f t="shared" si="774"/>
        <v>Y</v>
      </c>
      <c r="D1035" s="117">
        <v>1742677</v>
      </c>
      <c r="E1035" s="135">
        <f t="shared" si="761"/>
        <v>1</v>
      </c>
      <c r="F1035" s="124">
        <v>40962</v>
      </c>
      <c r="G1035" s="125">
        <v>41046</v>
      </c>
      <c r="H1035" s="117">
        <v>1742677</v>
      </c>
      <c r="I1035" s="124">
        <v>40978</v>
      </c>
      <c r="J1035" s="124">
        <v>41011</v>
      </c>
      <c r="K1035" s="126">
        <v>40000</v>
      </c>
      <c r="L1035" s="129" t="s">
        <v>572</v>
      </c>
      <c r="M1035" s="125">
        <v>40964</v>
      </c>
      <c r="N1035" s="129" t="str">
        <f>IF(M1035&gt;1/1/1,"Y",IF(Q1035="0","","N"))</f>
        <v>Y</v>
      </c>
      <c r="O1035" s="128" t="s">
        <v>585</v>
      </c>
      <c r="P1035" s="129" t="s">
        <v>55</v>
      </c>
      <c r="Q1035" s="111">
        <f t="shared" si="775"/>
        <v>33</v>
      </c>
      <c r="R1035" s="111">
        <f t="shared" si="737"/>
        <v>85</v>
      </c>
      <c r="S1035" s="129">
        <v>6</v>
      </c>
      <c r="T1035" s="129">
        <v>9</v>
      </c>
      <c r="U1035" s="129">
        <v>2</v>
      </c>
      <c r="W1035" s="111"/>
      <c r="AC1035" s="130"/>
      <c r="AD1035" s="130">
        <v>29610</v>
      </c>
      <c r="AE1035" s="128" t="s">
        <v>32</v>
      </c>
      <c r="AF1035" s="128" t="s">
        <v>33</v>
      </c>
      <c r="AG1035" s="128" t="s">
        <v>872</v>
      </c>
      <c r="AH1035" s="108" t="s">
        <v>58</v>
      </c>
      <c r="AI1035" s="128" t="s">
        <v>53</v>
      </c>
      <c r="AJ1035" s="129" t="s">
        <v>55</v>
      </c>
      <c r="AK1035" s="129">
        <v>6</v>
      </c>
      <c r="AL1035" s="3" t="s">
        <v>55</v>
      </c>
      <c r="AP1035" s="129" t="s">
        <v>148</v>
      </c>
      <c r="AR1035" s="128" t="s">
        <v>67</v>
      </c>
      <c r="AS1035" s="129" t="s">
        <v>45</v>
      </c>
      <c r="AT1035" s="3" t="s">
        <v>725</v>
      </c>
      <c r="AU1035" s="3" t="s">
        <v>725</v>
      </c>
      <c r="AX1035" s="32" t="s">
        <v>88</v>
      </c>
      <c r="BC1035" s="129" t="s">
        <v>52</v>
      </c>
      <c r="BD1035" s="129" t="s">
        <v>1286</v>
      </c>
      <c r="BF1035" s="111">
        <v>33</v>
      </c>
      <c r="BG1035" s="111">
        <v>0</v>
      </c>
      <c r="BH1035" s="111">
        <f t="shared" si="757"/>
        <v>85</v>
      </c>
      <c r="BI1035" s="111">
        <f t="shared" si="758"/>
        <v>31.016393442622952</v>
      </c>
      <c r="BJ1035" s="129">
        <f>(G1035-J1035)+(M1035-G1035)</f>
        <v>-47</v>
      </c>
      <c r="BK1035" s="129">
        <f t="shared" si="759"/>
        <v>-35</v>
      </c>
      <c r="BL1035" s="129" t="str">
        <f t="shared" si="742"/>
        <v>NO CONVICTION</v>
      </c>
      <c r="BM1035" s="129" t="s">
        <v>76</v>
      </c>
      <c r="BN1035" s="129" t="s">
        <v>88</v>
      </c>
      <c r="BP1035" s="137" t="str">
        <f t="shared" si="762"/>
        <v>NO CONVICTION</v>
      </c>
      <c r="BQ1035" s="128" t="str">
        <f t="shared" si="763"/>
        <v>Y</v>
      </c>
      <c r="BR1035" s="129" t="s">
        <v>575</v>
      </c>
      <c r="BS1035" s="129" t="str">
        <f t="shared" si="764"/>
        <v>DISPOSED</v>
      </c>
      <c r="BT1035" s="129" t="str">
        <f t="shared" si="765"/>
        <v>Y</v>
      </c>
      <c r="BU1035" s="109">
        <f>IFERROR(Q1035/R1035,BR1035)</f>
        <v>0.38823529411764707</v>
      </c>
      <c r="BV1035" s="109">
        <f t="shared" si="767"/>
        <v>0.49275362318840582</v>
      </c>
      <c r="BW1035" s="109">
        <f t="shared" si="743"/>
        <v>0.10451832907075875</v>
      </c>
      <c r="BX1035" s="111">
        <f t="shared" si="768"/>
        <v>0</v>
      </c>
      <c r="BY1035" s="129">
        <f t="shared" si="769"/>
        <v>-34</v>
      </c>
      <c r="BZ1035" s="111">
        <f t="shared" si="770"/>
        <v>-1</v>
      </c>
      <c r="CA1035" s="138">
        <f t="shared" si="771"/>
        <v>-13</v>
      </c>
      <c r="CB1035" s="111">
        <v>33</v>
      </c>
      <c r="CD1035" s="129">
        <f>G1035-J1035</f>
        <v>35</v>
      </c>
      <c r="CE1035" s="129">
        <f t="shared" si="772"/>
        <v>35</v>
      </c>
      <c r="CG1035" s="129" t="str">
        <f t="shared" si="773"/>
        <v>Y</v>
      </c>
      <c r="CI1035" s="129" t="str">
        <f t="shared" si="781"/>
        <v>31-60 DAYS</v>
      </c>
      <c r="CJ1035" s="137">
        <f t="shared" si="782"/>
        <v>3</v>
      </c>
      <c r="CK1035" s="129" t="str">
        <f t="shared" si="783"/>
        <v>Booked</v>
      </c>
    </row>
    <row r="1036" spans="1:89" ht="15.75" customHeight="1" x14ac:dyDescent="0.25">
      <c r="A1036" s="111">
        <v>1803</v>
      </c>
      <c r="B1036" s="128" t="str">
        <f t="shared" si="760"/>
        <v>N</v>
      </c>
      <c r="C1036" s="128" t="str">
        <f t="shared" si="774"/>
        <v>N</v>
      </c>
      <c r="D1036" s="117">
        <v>1742990</v>
      </c>
      <c r="E1036" s="135">
        <f t="shared" si="761"/>
        <v>5</v>
      </c>
      <c r="F1036" s="124">
        <v>40976</v>
      </c>
      <c r="G1036" s="125">
        <v>41030</v>
      </c>
      <c r="H1036" s="117">
        <v>1742990</v>
      </c>
      <c r="I1036" s="124">
        <v>40979</v>
      </c>
      <c r="J1036" s="124">
        <v>41030</v>
      </c>
      <c r="K1036" s="126" t="s">
        <v>564</v>
      </c>
      <c r="L1036" s="127" t="s">
        <v>564</v>
      </c>
      <c r="N1036" s="129" t="s">
        <v>566</v>
      </c>
      <c r="O1036" s="128" t="s">
        <v>917</v>
      </c>
      <c r="P1036" s="129" t="s">
        <v>39</v>
      </c>
      <c r="Q1036" s="111">
        <f t="shared" si="775"/>
        <v>52</v>
      </c>
      <c r="R1036" s="111">
        <f t="shared" si="737"/>
        <v>55</v>
      </c>
      <c r="S1036" s="129">
        <v>2</v>
      </c>
      <c r="T1036" s="129">
        <v>3</v>
      </c>
      <c r="U1036" s="129">
        <v>3</v>
      </c>
      <c r="W1036" s="111"/>
      <c r="AC1036" s="130"/>
      <c r="AD1036" s="130">
        <v>28059</v>
      </c>
      <c r="AE1036" s="128" t="s">
        <v>32</v>
      </c>
      <c r="AF1036" s="128" t="s">
        <v>69</v>
      </c>
      <c r="AG1036" s="128" t="s">
        <v>874</v>
      </c>
      <c r="AH1036" s="108" t="s">
        <v>58</v>
      </c>
      <c r="AI1036" s="128" t="s">
        <v>113</v>
      </c>
      <c r="AJ1036" s="129" t="s">
        <v>89</v>
      </c>
      <c r="AK1036" s="129">
        <v>5</v>
      </c>
      <c r="AL1036" s="3" t="s">
        <v>992</v>
      </c>
      <c r="AN1036" s="117">
        <v>13</v>
      </c>
      <c r="AP1036" s="129" t="s">
        <v>341</v>
      </c>
      <c r="AR1036" s="128" t="s">
        <v>44</v>
      </c>
      <c r="AS1036" s="129" t="s">
        <v>74</v>
      </c>
      <c r="BC1036" s="129" t="s">
        <v>38</v>
      </c>
      <c r="BF1036" s="111">
        <f>IF(J1036&gt;1/1/1900,((J1036+1)-I1036),"STILL OPEN")</f>
        <v>52</v>
      </c>
      <c r="BG1036" s="111">
        <f t="shared" ref="BG1036:BG1041" si="785">IF(G1036&gt;1/1/1900,((G1036+1)-I1036),"STILL OPEN")</f>
        <v>52</v>
      </c>
      <c r="BH1036" s="111">
        <f t="shared" si="757"/>
        <v>55</v>
      </c>
      <c r="BI1036" s="111">
        <f t="shared" si="758"/>
        <v>35.292349726775953</v>
      </c>
      <c r="BJ1036" s="129">
        <f t="shared" si="777"/>
        <v>0</v>
      </c>
      <c r="BK1036" s="129">
        <f t="shared" si="759"/>
        <v>0</v>
      </c>
      <c r="BL1036" s="129" t="str">
        <f t="shared" si="742"/>
        <v>CONVICTION</v>
      </c>
      <c r="BM1036" s="129" t="str">
        <f t="shared" si="778"/>
        <v>NONE</v>
      </c>
      <c r="BN1036" s="129" t="s">
        <v>566</v>
      </c>
      <c r="BP1036" s="137" t="str">
        <f t="shared" si="762"/>
        <v>CONVICTION</v>
      </c>
      <c r="BQ1036" s="128" t="str">
        <f t="shared" si="763"/>
        <v>Y</v>
      </c>
      <c r="BR1036" s="129" t="str">
        <f t="shared" si="779"/>
        <v>DETAINED</v>
      </c>
      <c r="BS1036" s="129" t="str">
        <f t="shared" si="764"/>
        <v>DISPOSED</v>
      </c>
      <c r="BT1036" s="129" t="str">
        <f t="shared" si="765"/>
        <v>Y</v>
      </c>
      <c r="BU1036" s="109">
        <f t="shared" si="766"/>
        <v>0.94545454545454544</v>
      </c>
      <c r="BV1036" s="109">
        <f t="shared" si="767"/>
        <v>1</v>
      </c>
      <c r="BW1036" s="109">
        <f t="shared" si="743"/>
        <v>5.4545454545454564E-2</v>
      </c>
      <c r="BX1036" s="111">
        <f t="shared" si="768"/>
        <v>0</v>
      </c>
      <c r="BY1036" s="129">
        <f t="shared" si="769"/>
        <v>-52</v>
      </c>
      <c r="BZ1036" s="111">
        <f t="shared" si="770"/>
        <v>0</v>
      </c>
      <c r="CA1036" s="138">
        <f t="shared" si="771"/>
        <v>52</v>
      </c>
      <c r="CB1036" s="111" t="e">
        <f>IF(AF1036&gt;1/1/1900,((AF1036+1)-AE1036),"STILL OPEN")</f>
        <v>#VALUE!</v>
      </c>
      <c r="CC1036" s="129">
        <f>G1036-I1036+1</f>
        <v>52</v>
      </c>
      <c r="CD1036" s="129">
        <f>G1036-J1036</f>
        <v>0</v>
      </c>
      <c r="CE1036" s="129">
        <f t="shared" si="772"/>
        <v>0</v>
      </c>
      <c r="CG1036" s="129" t="str">
        <f t="shared" si="773"/>
        <v>Y</v>
      </c>
      <c r="CI1036" s="129" t="str">
        <f t="shared" si="781"/>
        <v>31-60 DAYS</v>
      </c>
      <c r="CJ1036" s="137">
        <f t="shared" si="782"/>
        <v>3</v>
      </c>
      <c r="CK1036" s="129" t="str">
        <f t="shared" si="783"/>
        <v>Booked</v>
      </c>
    </row>
    <row r="1037" spans="1:89" ht="15.75" customHeight="1" x14ac:dyDescent="0.25">
      <c r="A1037" s="111">
        <v>940</v>
      </c>
      <c r="B1037" s="128" t="str">
        <f t="shared" si="760"/>
        <v>N</v>
      </c>
      <c r="C1037" s="128" t="str">
        <f t="shared" si="774"/>
        <v>N</v>
      </c>
      <c r="D1037" s="117">
        <v>1743109</v>
      </c>
      <c r="E1037" s="135">
        <f t="shared" si="761"/>
        <v>4</v>
      </c>
      <c r="F1037" s="124">
        <v>40943</v>
      </c>
      <c r="G1037" s="125">
        <v>40946</v>
      </c>
      <c r="H1037" s="117">
        <v>1743109</v>
      </c>
      <c r="I1037" s="124">
        <v>40943</v>
      </c>
      <c r="J1037" s="124">
        <v>40946</v>
      </c>
      <c r="K1037" s="126">
        <v>15000</v>
      </c>
      <c r="L1037" s="127" t="s">
        <v>571</v>
      </c>
      <c r="N1037" s="129" t="str">
        <f>IF(M1037&gt;1/1/1,"Y","N")</f>
        <v>N</v>
      </c>
      <c r="O1037" s="128" t="s">
        <v>917</v>
      </c>
      <c r="P1037" s="129" t="s">
        <v>39</v>
      </c>
      <c r="Q1037" s="111">
        <f t="shared" si="775"/>
        <v>4</v>
      </c>
      <c r="R1037" s="111">
        <f t="shared" si="737"/>
        <v>4</v>
      </c>
      <c r="S1037" s="129">
        <v>4</v>
      </c>
      <c r="T1037" s="129">
        <v>7</v>
      </c>
      <c r="U1037" s="129">
        <v>2</v>
      </c>
      <c r="W1037" s="111"/>
      <c r="AC1037" s="130"/>
      <c r="AD1037" s="130">
        <v>29846</v>
      </c>
      <c r="AE1037" s="128" t="s">
        <v>32</v>
      </c>
      <c r="AF1037" s="128" t="s">
        <v>69</v>
      </c>
      <c r="AG1037" s="128" t="s">
        <v>874</v>
      </c>
      <c r="AH1037" s="108" t="s">
        <v>31</v>
      </c>
      <c r="AI1037" s="128" t="s">
        <v>62</v>
      </c>
      <c r="AJ1037" s="129" t="s">
        <v>89</v>
      </c>
      <c r="AK1037" s="129">
        <v>2</v>
      </c>
      <c r="AL1037" s="3" t="s">
        <v>991</v>
      </c>
      <c r="AO1037" s="128">
        <v>180</v>
      </c>
      <c r="AP1037" s="129" t="s">
        <v>43</v>
      </c>
      <c r="AR1037" s="128" t="s">
        <v>44</v>
      </c>
      <c r="AS1037" s="129" t="s">
        <v>45</v>
      </c>
      <c r="BC1037" s="129" t="s">
        <v>38</v>
      </c>
      <c r="BF1037" s="111">
        <f>IF(J1037&gt;1/1/1900,((J1037+1)-I1037),"STILL OPEN")</f>
        <v>4</v>
      </c>
      <c r="BG1037" s="111">
        <f t="shared" si="785"/>
        <v>4</v>
      </c>
      <c r="BH1037" s="111">
        <f t="shared" si="757"/>
        <v>4</v>
      </c>
      <c r="BI1037" s="111">
        <f t="shared" si="758"/>
        <v>30.319672131147541</v>
      </c>
      <c r="BJ1037" s="129">
        <f t="shared" si="777"/>
        <v>0</v>
      </c>
      <c r="BK1037" s="129">
        <f t="shared" si="759"/>
        <v>0</v>
      </c>
      <c r="BL1037" s="129" t="str">
        <f t="shared" si="742"/>
        <v>CONVICTION</v>
      </c>
      <c r="BM1037" s="129" t="str">
        <f t="shared" si="778"/>
        <v>NONE</v>
      </c>
      <c r="BN1037" s="129" t="s">
        <v>566</v>
      </c>
      <c r="BP1037" s="137" t="str">
        <f t="shared" si="762"/>
        <v>CONVICTION</v>
      </c>
      <c r="BQ1037" s="128" t="str">
        <f t="shared" si="763"/>
        <v>Y</v>
      </c>
      <c r="BR1037" s="129" t="str">
        <f t="shared" si="779"/>
        <v>DETAINED</v>
      </c>
      <c r="BS1037" s="129" t="str">
        <f t="shared" si="764"/>
        <v>DISPOSED</v>
      </c>
      <c r="BT1037" s="129" t="str">
        <f t="shared" si="765"/>
        <v>Y</v>
      </c>
      <c r="BU1037" s="109">
        <f t="shared" si="766"/>
        <v>1</v>
      </c>
      <c r="BV1037" s="109">
        <f t="shared" si="767"/>
        <v>1</v>
      </c>
      <c r="BW1037" s="109">
        <f t="shared" si="743"/>
        <v>0</v>
      </c>
      <c r="BX1037" s="111">
        <f t="shared" si="768"/>
        <v>0</v>
      </c>
      <c r="BY1037" s="129">
        <f t="shared" si="769"/>
        <v>-4</v>
      </c>
      <c r="BZ1037" s="111">
        <f t="shared" si="770"/>
        <v>0</v>
      </c>
      <c r="CA1037" s="138">
        <f t="shared" si="771"/>
        <v>4</v>
      </c>
      <c r="CB1037" s="111" t="e">
        <f>IF(AF1037&gt;1/1/1900,((AF1037+1)-AE1037),"STILL OPEN")</f>
        <v>#VALUE!</v>
      </c>
      <c r="CC1037" s="129">
        <f>G1037-I1037+1</f>
        <v>4</v>
      </c>
      <c r="CD1037" s="129">
        <f>G1037-J1037</f>
        <v>0</v>
      </c>
      <c r="CE1037" s="129">
        <f t="shared" si="772"/>
        <v>0</v>
      </c>
      <c r="CG1037" s="129" t="str">
        <f t="shared" si="773"/>
        <v>Y</v>
      </c>
      <c r="CI1037" s="129" t="str">
        <f t="shared" si="781"/>
        <v>0-10 DAYS</v>
      </c>
      <c r="CJ1037" s="137">
        <f t="shared" si="782"/>
        <v>1</v>
      </c>
      <c r="CK1037" s="129" t="str">
        <f t="shared" si="783"/>
        <v>Booked</v>
      </c>
    </row>
    <row r="1038" spans="1:89" ht="15.75" customHeight="1" x14ac:dyDescent="0.25">
      <c r="A1038" s="111">
        <v>2626</v>
      </c>
      <c r="B1038" s="128" t="str">
        <f t="shared" si="760"/>
        <v>N</v>
      </c>
      <c r="C1038" s="128" t="str">
        <f t="shared" si="774"/>
        <v>N</v>
      </c>
      <c r="D1038" s="117">
        <v>1744443</v>
      </c>
      <c r="E1038" s="135">
        <f t="shared" si="761"/>
        <v>2</v>
      </c>
      <c r="F1038" s="124">
        <v>41006</v>
      </c>
      <c r="G1038" s="125">
        <v>41108</v>
      </c>
      <c r="H1038" s="117">
        <v>1744443</v>
      </c>
      <c r="I1038" s="124">
        <v>41006</v>
      </c>
      <c r="J1038" s="124">
        <v>41007</v>
      </c>
      <c r="K1038" s="126">
        <v>2000</v>
      </c>
      <c r="L1038" s="127" t="s">
        <v>568</v>
      </c>
      <c r="M1038" s="125">
        <v>41007</v>
      </c>
      <c r="N1038" s="129" t="str">
        <f>IF(M1038&gt;1/1/1,"Y","N")</f>
        <v>Y</v>
      </c>
      <c r="O1038" s="128" t="s">
        <v>76</v>
      </c>
      <c r="P1038" s="129" t="s">
        <v>589</v>
      </c>
      <c r="Q1038" s="111">
        <f t="shared" si="775"/>
        <v>2</v>
      </c>
      <c r="R1038" s="111">
        <f t="shared" si="737"/>
        <v>103</v>
      </c>
      <c r="S1038" s="129">
        <v>0</v>
      </c>
      <c r="T1038" s="129">
        <v>1</v>
      </c>
      <c r="W1038" s="111"/>
      <c r="AC1038" s="130"/>
      <c r="AD1038" s="130">
        <v>30103</v>
      </c>
      <c r="AE1038" s="128" t="s">
        <v>32</v>
      </c>
      <c r="AF1038" s="128" t="s">
        <v>69</v>
      </c>
      <c r="AG1038" s="128" t="s">
        <v>874</v>
      </c>
      <c r="AH1038" s="108" t="s">
        <v>31</v>
      </c>
      <c r="AI1038" s="128" t="s">
        <v>34</v>
      </c>
      <c r="AJ1038" s="129" t="s">
        <v>48</v>
      </c>
      <c r="AK1038" s="129">
        <v>5</v>
      </c>
      <c r="AL1038" s="3" t="s">
        <v>48</v>
      </c>
      <c r="AP1038" s="129" t="s">
        <v>43</v>
      </c>
      <c r="AR1038" s="128" t="s">
        <v>44</v>
      </c>
      <c r="AS1038" s="129" t="s">
        <v>45</v>
      </c>
      <c r="BC1038" s="129" t="s">
        <v>52</v>
      </c>
      <c r="BF1038" s="111">
        <f>IF(J1038&gt;1/1/1900,((J1038+1)-I1038),"STILL OPEN")</f>
        <v>2</v>
      </c>
      <c r="BG1038" s="111">
        <f t="shared" si="785"/>
        <v>103</v>
      </c>
      <c r="BH1038" s="111">
        <f t="shared" si="757"/>
        <v>103</v>
      </c>
      <c r="BI1038" s="111">
        <f t="shared" si="758"/>
        <v>29.789617486338798</v>
      </c>
      <c r="BJ1038" s="129">
        <f>(G1038-J1038)+(M1038-G1038)</f>
        <v>0</v>
      </c>
      <c r="BK1038" s="129">
        <f t="shared" si="759"/>
        <v>-101</v>
      </c>
      <c r="BL1038" s="129" t="str">
        <f t="shared" si="742"/>
        <v>DEFERRED</v>
      </c>
      <c r="BM1038" s="129" t="s">
        <v>76</v>
      </c>
      <c r="BN1038" s="129" t="s">
        <v>88</v>
      </c>
      <c r="BP1038" s="137" t="str">
        <f t="shared" si="762"/>
        <v>DEFERRED</v>
      </c>
      <c r="BQ1038" s="128" t="str">
        <f t="shared" si="763"/>
        <v>Y</v>
      </c>
      <c r="BR1038" s="129" t="str">
        <f t="shared" si="779"/>
        <v>ON BOND</v>
      </c>
      <c r="BS1038" s="129" t="str">
        <f t="shared" si="764"/>
        <v>DISPOSED</v>
      </c>
      <c r="BT1038" s="129" t="str">
        <f t="shared" si="765"/>
        <v>N</v>
      </c>
      <c r="BU1038" s="109">
        <f t="shared" si="766"/>
        <v>1.9417475728155338E-2</v>
      </c>
      <c r="BV1038" s="109">
        <f t="shared" si="767"/>
        <v>1.9417475728155338E-2</v>
      </c>
      <c r="BW1038" s="109">
        <f t="shared" si="743"/>
        <v>0</v>
      </c>
      <c r="BX1038" s="111">
        <f t="shared" si="768"/>
        <v>0</v>
      </c>
      <c r="BY1038" s="129">
        <f t="shared" si="769"/>
        <v>-2</v>
      </c>
      <c r="BZ1038" s="111">
        <f t="shared" si="770"/>
        <v>0</v>
      </c>
      <c r="CA1038" s="138">
        <f t="shared" si="771"/>
        <v>2</v>
      </c>
      <c r="CB1038" s="111" t="e">
        <f>IF(AF1038&gt;1/1/1900,((AF1038+1)-AE1038),"STILL OPEN")</f>
        <v>#VALUE!</v>
      </c>
      <c r="CC1038" s="129">
        <f>M1038-I1038+1</f>
        <v>2</v>
      </c>
      <c r="CD1038" s="111">
        <f>CC1038-BF1038</f>
        <v>0</v>
      </c>
      <c r="CE1038" s="129">
        <f t="shared" si="772"/>
        <v>101</v>
      </c>
      <c r="CG1038" s="129" t="str">
        <f t="shared" si="773"/>
        <v>Y</v>
      </c>
      <c r="CI1038" s="129" t="str">
        <f t="shared" si="781"/>
        <v>0-10 DAYS</v>
      </c>
      <c r="CJ1038" s="137">
        <f t="shared" si="782"/>
        <v>1</v>
      </c>
      <c r="CK1038" s="129" t="str">
        <f t="shared" si="783"/>
        <v>Booked</v>
      </c>
    </row>
    <row r="1039" spans="1:89" ht="15.75" customHeight="1" x14ac:dyDescent="0.25">
      <c r="A1039" s="111">
        <v>895</v>
      </c>
      <c r="B1039" s="128" t="str">
        <f t="shared" si="760"/>
        <v>N</v>
      </c>
      <c r="C1039" s="128" t="str">
        <f t="shared" si="774"/>
        <v>N</v>
      </c>
      <c r="D1039" s="117">
        <v>1745378</v>
      </c>
      <c r="E1039" s="135">
        <f t="shared" si="761"/>
        <v>6</v>
      </c>
      <c r="F1039" s="124">
        <v>40942</v>
      </c>
      <c r="G1039" s="125">
        <v>41144</v>
      </c>
      <c r="H1039" s="117">
        <v>1745378</v>
      </c>
      <c r="I1039" s="124">
        <v>40942</v>
      </c>
      <c r="J1039" s="124">
        <v>41144</v>
      </c>
      <c r="K1039" s="126" t="s">
        <v>564</v>
      </c>
      <c r="L1039" s="127" t="s">
        <v>564</v>
      </c>
      <c r="N1039" s="129" t="s">
        <v>566</v>
      </c>
      <c r="O1039" s="128" t="s">
        <v>917</v>
      </c>
      <c r="P1039" s="129" t="s">
        <v>39</v>
      </c>
      <c r="Q1039" s="111">
        <f t="shared" si="775"/>
        <v>203</v>
      </c>
      <c r="R1039" s="111">
        <f t="shared" si="737"/>
        <v>203</v>
      </c>
      <c r="S1039" s="129">
        <v>5</v>
      </c>
      <c r="T1039" s="129">
        <v>6</v>
      </c>
      <c r="U1039" s="129">
        <v>3</v>
      </c>
      <c r="W1039" s="111"/>
      <c r="AB1039" s="131" t="s">
        <v>112</v>
      </c>
      <c r="AC1039" s="130"/>
      <c r="AD1039" s="130">
        <v>29825</v>
      </c>
      <c r="AE1039" s="128" t="s">
        <v>32</v>
      </c>
      <c r="AF1039" s="128" t="s">
        <v>40</v>
      </c>
      <c r="AG1039" s="128" t="s">
        <v>41</v>
      </c>
      <c r="AH1039" s="108" t="s">
        <v>31</v>
      </c>
      <c r="AI1039" s="128" t="s">
        <v>70</v>
      </c>
      <c r="AJ1039" s="129" t="s">
        <v>89</v>
      </c>
      <c r="AK1039" s="129">
        <v>10</v>
      </c>
      <c r="AL1039" s="3" t="s">
        <v>362</v>
      </c>
      <c r="AM1039" s="117">
        <v>10</v>
      </c>
      <c r="AP1039" s="129" t="s">
        <v>149</v>
      </c>
      <c r="AR1039" s="128" t="s">
        <v>92</v>
      </c>
      <c r="AS1039" s="129" t="s">
        <v>82</v>
      </c>
      <c r="BC1039" s="129" t="s">
        <v>38</v>
      </c>
      <c r="BF1039" s="111">
        <f>IF(J1039&gt;1/1/1900,((J1039+1)-I1039),"STILL OPEN")</f>
        <v>203</v>
      </c>
      <c r="BG1039" s="111">
        <f t="shared" si="785"/>
        <v>203</v>
      </c>
      <c r="BH1039" s="111">
        <f t="shared" si="757"/>
        <v>203</v>
      </c>
      <c r="BI1039" s="111">
        <f t="shared" si="758"/>
        <v>30.374316939890711</v>
      </c>
      <c r="BJ1039" s="129">
        <f t="shared" si="777"/>
        <v>0</v>
      </c>
      <c r="BK1039" s="129">
        <f t="shared" si="759"/>
        <v>0</v>
      </c>
      <c r="BL1039" s="129" t="str">
        <f t="shared" si="742"/>
        <v>CONVICTION</v>
      </c>
      <c r="BM1039" s="129" t="str">
        <f t="shared" si="778"/>
        <v>NONE</v>
      </c>
      <c r="BN1039" s="129" t="s">
        <v>566</v>
      </c>
      <c r="BP1039" s="137" t="str">
        <f t="shared" si="762"/>
        <v>CONVICTION</v>
      </c>
      <c r="BQ1039" s="128" t="str">
        <f t="shared" si="763"/>
        <v>Y</v>
      </c>
      <c r="BR1039" s="129" t="str">
        <f t="shared" si="779"/>
        <v>DETAINED</v>
      </c>
      <c r="BS1039" s="129" t="str">
        <f t="shared" si="764"/>
        <v>DISPOSED</v>
      </c>
      <c r="BT1039" s="129" t="str">
        <f t="shared" si="765"/>
        <v>Y</v>
      </c>
      <c r="BU1039" s="109">
        <f t="shared" si="766"/>
        <v>1</v>
      </c>
      <c r="BV1039" s="109">
        <f t="shared" si="767"/>
        <v>1</v>
      </c>
      <c r="BW1039" s="109">
        <f t="shared" si="743"/>
        <v>0</v>
      </c>
      <c r="BX1039" s="111">
        <f t="shared" si="768"/>
        <v>0</v>
      </c>
      <c r="BY1039" s="129">
        <f t="shared" si="769"/>
        <v>-203</v>
      </c>
      <c r="BZ1039" s="111">
        <f t="shared" si="770"/>
        <v>0</v>
      </c>
      <c r="CA1039" s="138">
        <f t="shared" si="771"/>
        <v>203</v>
      </c>
      <c r="CB1039" s="111" t="e">
        <f>IF(AF1039&gt;1/1/1900,((AF1039+1)-AE1039),"STILL OPEN")</f>
        <v>#VALUE!</v>
      </c>
      <c r="CC1039" s="129">
        <f>G1039-I1039+1</f>
        <v>203</v>
      </c>
      <c r="CD1039" s="129">
        <f>G1039-J1039</f>
        <v>0</v>
      </c>
      <c r="CE1039" s="129">
        <f t="shared" si="772"/>
        <v>0</v>
      </c>
      <c r="CG1039" s="129" t="str">
        <f t="shared" si="773"/>
        <v>Y</v>
      </c>
      <c r="CI1039" s="129" t="str">
        <f t="shared" si="781"/>
        <v>121-365 DAYS</v>
      </c>
      <c r="CJ1039" s="137">
        <f t="shared" si="782"/>
        <v>6</v>
      </c>
      <c r="CK1039" s="129" t="str">
        <f t="shared" si="783"/>
        <v>Booked</v>
      </c>
    </row>
    <row r="1040" spans="1:89" ht="15" customHeight="1" x14ac:dyDescent="0.25">
      <c r="A1040" s="111">
        <v>2043</v>
      </c>
      <c r="B1040" s="128" t="str">
        <f t="shared" si="760"/>
        <v>N</v>
      </c>
      <c r="C1040" s="128" t="str">
        <f t="shared" si="774"/>
        <v>N</v>
      </c>
      <c r="D1040" s="117">
        <v>1746643</v>
      </c>
      <c r="E1040" s="135">
        <f t="shared" si="761"/>
        <v>5</v>
      </c>
      <c r="F1040" s="124">
        <v>40985</v>
      </c>
      <c r="G1040" s="125">
        <v>40987</v>
      </c>
      <c r="H1040" s="117">
        <v>1746643</v>
      </c>
      <c r="I1040" s="124">
        <v>40986</v>
      </c>
      <c r="J1040" s="124">
        <v>40987</v>
      </c>
      <c r="K1040" s="126">
        <v>15000</v>
      </c>
      <c r="L1040" s="127" t="s">
        <v>571</v>
      </c>
      <c r="N1040" s="129" t="str">
        <f>IF(M1040&gt;1/1/1,"Y","N")</f>
        <v>N</v>
      </c>
      <c r="O1040" s="128" t="s">
        <v>917</v>
      </c>
      <c r="P1040" s="129" t="s">
        <v>39</v>
      </c>
      <c r="Q1040" s="111">
        <f t="shared" si="775"/>
        <v>2</v>
      </c>
      <c r="R1040" s="111">
        <f t="shared" si="737"/>
        <v>3</v>
      </c>
      <c r="S1040" s="129">
        <v>4</v>
      </c>
      <c r="T1040" s="129">
        <v>1</v>
      </c>
      <c r="U1040" s="129">
        <v>1</v>
      </c>
      <c r="W1040" s="111"/>
      <c r="AC1040" s="130"/>
      <c r="AD1040" s="130">
        <v>29110</v>
      </c>
      <c r="AE1040" s="128" t="s">
        <v>32</v>
      </c>
      <c r="AF1040" s="128" t="s">
        <v>33</v>
      </c>
      <c r="AG1040" s="128" t="s">
        <v>872</v>
      </c>
      <c r="AH1040" s="108" t="s">
        <v>58</v>
      </c>
      <c r="AI1040" s="128" t="s">
        <v>59</v>
      </c>
      <c r="AJ1040" s="129" t="s">
        <v>89</v>
      </c>
      <c r="AK1040" s="129">
        <v>1</v>
      </c>
      <c r="AL1040" s="3" t="s">
        <v>992</v>
      </c>
      <c r="AN1040" s="117">
        <v>9</v>
      </c>
      <c r="AP1040" s="129" t="s">
        <v>43</v>
      </c>
      <c r="AR1040" s="128" t="s">
        <v>44</v>
      </c>
      <c r="AS1040" s="129" t="s">
        <v>45</v>
      </c>
      <c r="BC1040" s="129" t="s">
        <v>38</v>
      </c>
      <c r="BF1040" s="111">
        <f>IF(J1040&gt;1/1/1900,((J1040+1)-I1040),"STILL OPEN")</f>
        <v>2</v>
      </c>
      <c r="BG1040" s="111">
        <f t="shared" si="785"/>
        <v>2</v>
      </c>
      <c r="BH1040" s="111">
        <f t="shared" si="757"/>
        <v>3</v>
      </c>
      <c r="BI1040" s="111">
        <f t="shared" si="758"/>
        <v>32.44535519125683</v>
      </c>
      <c r="BJ1040" s="129">
        <f t="shared" si="777"/>
        <v>0</v>
      </c>
      <c r="BK1040" s="129">
        <f t="shared" si="759"/>
        <v>0</v>
      </c>
      <c r="BL1040" s="129" t="str">
        <f t="shared" si="742"/>
        <v>CONVICTION</v>
      </c>
      <c r="BM1040" s="129" t="str">
        <f t="shared" si="778"/>
        <v>NONE</v>
      </c>
      <c r="BN1040" s="129" t="s">
        <v>566</v>
      </c>
      <c r="BP1040" s="137" t="str">
        <f t="shared" si="762"/>
        <v>CONVICTION</v>
      </c>
      <c r="BQ1040" s="128" t="str">
        <f t="shared" si="763"/>
        <v>Y</v>
      </c>
      <c r="BR1040" s="129" t="str">
        <f t="shared" si="779"/>
        <v>DETAINED</v>
      </c>
      <c r="BS1040" s="129" t="str">
        <f t="shared" si="764"/>
        <v>DISPOSED</v>
      </c>
      <c r="BT1040" s="129" t="str">
        <f t="shared" si="765"/>
        <v>Y</v>
      </c>
      <c r="BU1040" s="109">
        <f t="shared" si="766"/>
        <v>0.66666666666666663</v>
      </c>
      <c r="BV1040" s="109">
        <f t="shared" si="767"/>
        <v>1</v>
      </c>
      <c r="BW1040" s="109">
        <f t="shared" si="743"/>
        <v>0.33333333333333337</v>
      </c>
      <c r="BX1040" s="111">
        <f t="shared" si="768"/>
        <v>0</v>
      </c>
      <c r="BY1040" s="129">
        <f t="shared" si="769"/>
        <v>-2</v>
      </c>
      <c r="BZ1040" s="111">
        <f t="shared" si="770"/>
        <v>0</v>
      </c>
      <c r="CA1040" s="138">
        <f t="shared" si="771"/>
        <v>2</v>
      </c>
      <c r="CB1040" s="111" t="e">
        <f>IF(AF1040&gt;1/1/1900,((AF1040+1)-AE1040),"STILL OPEN")</f>
        <v>#VALUE!</v>
      </c>
      <c r="CC1040" s="129">
        <f>G1040-I1040+1</f>
        <v>2</v>
      </c>
      <c r="CD1040" s="129">
        <f>G1040-J1040</f>
        <v>0</v>
      </c>
      <c r="CE1040" s="129">
        <f t="shared" si="772"/>
        <v>0</v>
      </c>
      <c r="CG1040" s="129" t="str">
        <f t="shared" si="773"/>
        <v>Y</v>
      </c>
      <c r="CI1040" s="129" t="str">
        <f t="shared" si="781"/>
        <v>0-10 DAYS</v>
      </c>
      <c r="CJ1040" s="137">
        <f t="shared" si="782"/>
        <v>1</v>
      </c>
      <c r="CK1040" s="129" t="str">
        <f t="shared" si="783"/>
        <v>Booked</v>
      </c>
    </row>
    <row r="1041" spans="1:89" ht="15" customHeight="1" x14ac:dyDescent="0.25">
      <c r="A1041" s="111">
        <v>2961</v>
      </c>
      <c r="B1041" s="128" t="str">
        <f t="shared" si="760"/>
        <v>Y</v>
      </c>
      <c r="C1041" s="128" t="str">
        <f t="shared" si="774"/>
        <v>Y</v>
      </c>
      <c r="D1041" s="117">
        <v>1748371</v>
      </c>
      <c r="E1041" s="135">
        <f t="shared" si="761"/>
        <v>6</v>
      </c>
      <c r="F1041" s="124">
        <v>41018</v>
      </c>
      <c r="G1041" s="125">
        <v>41662</v>
      </c>
      <c r="H1041" s="117">
        <v>1748371</v>
      </c>
      <c r="I1041" s="124">
        <v>41377</v>
      </c>
      <c r="J1041" s="124">
        <v>41377</v>
      </c>
      <c r="K1041" s="126">
        <v>20000</v>
      </c>
      <c r="L1041" s="127" t="s">
        <v>571</v>
      </c>
      <c r="M1041" s="125">
        <v>41019</v>
      </c>
      <c r="N1041" s="129" t="str">
        <f>IF(M1041&gt;1/1/1,"Y",IF(Q1041="NOT BOOKED","","N"))</f>
        <v>Y</v>
      </c>
      <c r="O1041" s="128" t="s">
        <v>76</v>
      </c>
      <c r="P1041" s="129" t="s">
        <v>39</v>
      </c>
      <c r="Q1041" s="111">
        <v>106</v>
      </c>
      <c r="R1041" s="111">
        <f t="shared" si="737"/>
        <v>645</v>
      </c>
      <c r="S1041" s="129">
        <v>1</v>
      </c>
      <c r="T1041" s="129">
        <v>4</v>
      </c>
      <c r="U1041" s="129">
        <v>1</v>
      </c>
      <c r="W1041" s="111"/>
      <c r="AB1041" s="131" t="s">
        <v>112</v>
      </c>
      <c r="AC1041" s="130"/>
      <c r="AD1041" s="130">
        <v>29096</v>
      </c>
      <c r="AE1041" s="128" t="s">
        <v>32</v>
      </c>
      <c r="AF1041" s="128" t="s">
        <v>40</v>
      </c>
      <c r="AG1041" s="128" t="s">
        <v>41</v>
      </c>
      <c r="AH1041" s="108" t="s">
        <v>31</v>
      </c>
      <c r="AI1041" s="128" t="s">
        <v>95</v>
      </c>
      <c r="AJ1041" s="129" t="s">
        <v>89</v>
      </c>
      <c r="AK1041" s="129">
        <v>5</v>
      </c>
      <c r="AL1041" s="3" t="s">
        <v>362</v>
      </c>
      <c r="AM1041" s="117">
        <v>4</v>
      </c>
      <c r="AP1041" s="129" t="s">
        <v>132</v>
      </c>
      <c r="AR1041" s="128" t="s">
        <v>92</v>
      </c>
      <c r="AS1041" s="129" t="s">
        <v>82</v>
      </c>
      <c r="AT1041" s="129" t="s">
        <v>1250</v>
      </c>
      <c r="AX1041" s="32" t="s">
        <v>88</v>
      </c>
      <c r="BC1041" s="129" t="s">
        <v>52</v>
      </c>
      <c r="BD1041" s="129" t="s">
        <v>1271</v>
      </c>
      <c r="BE1041" s="129" t="s">
        <v>574</v>
      </c>
      <c r="BF1041" s="111">
        <v>106</v>
      </c>
      <c r="BG1041" s="111">
        <f t="shared" si="785"/>
        <v>286</v>
      </c>
      <c r="BH1041" s="111">
        <f t="shared" si="757"/>
        <v>645</v>
      </c>
      <c r="BI1041" s="111">
        <f t="shared" si="758"/>
        <v>32.57377049180328</v>
      </c>
      <c r="BJ1041" s="129">
        <f>(G1041-J1041)+(M1041-G1041)</f>
        <v>-358</v>
      </c>
      <c r="BK1041" s="129">
        <f t="shared" si="759"/>
        <v>-285</v>
      </c>
      <c r="BL1041" s="129" t="str">
        <f t="shared" si="742"/>
        <v>CONVICTION</v>
      </c>
      <c r="BM1041" s="129" t="s">
        <v>76</v>
      </c>
      <c r="BN1041" s="129" t="s">
        <v>88</v>
      </c>
      <c r="BP1041" s="137" t="str">
        <f t="shared" si="762"/>
        <v>CONVICTION</v>
      </c>
      <c r="BQ1041" s="128" t="str">
        <f t="shared" si="763"/>
        <v>Y</v>
      </c>
      <c r="BR1041" s="129" t="s">
        <v>574</v>
      </c>
      <c r="BS1041" s="129" t="str">
        <f t="shared" si="764"/>
        <v>DISPOSED</v>
      </c>
      <c r="BT1041" s="129" t="str">
        <f t="shared" si="765"/>
        <v>Y</v>
      </c>
      <c r="BU1041" s="109">
        <f>IFERROR(Q1041/R1041,BR1041)</f>
        <v>0.16434108527131783</v>
      </c>
      <c r="BV1041" s="139">
        <v>0.1643</v>
      </c>
      <c r="BW1041" s="109">
        <v>0</v>
      </c>
      <c r="BX1041" s="111">
        <f t="shared" si="768"/>
        <v>0</v>
      </c>
      <c r="BY1041" s="129">
        <f t="shared" si="769"/>
        <v>-1</v>
      </c>
      <c r="BZ1041" s="111">
        <f t="shared" si="770"/>
        <v>105</v>
      </c>
      <c r="CA1041" s="138">
        <f t="shared" si="771"/>
        <v>286</v>
      </c>
      <c r="CB1041" s="111" t="e">
        <v>#VALUE!</v>
      </c>
      <c r="CC1041" s="129">
        <v>106</v>
      </c>
      <c r="CE1041" s="129">
        <f t="shared" si="772"/>
        <v>285</v>
      </c>
      <c r="CG1041" s="129" t="str">
        <f t="shared" si="773"/>
        <v>Y</v>
      </c>
      <c r="CH1041" s="129" t="e">
        <v>#N/A</v>
      </c>
      <c r="CI1041" s="129" t="str">
        <f t="shared" si="781"/>
        <v>91-120 DAYS</v>
      </c>
      <c r="CJ1041" s="137">
        <f t="shared" si="782"/>
        <v>0</v>
      </c>
      <c r="CK1041" s="129" t="str">
        <f t="shared" si="783"/>
        <v>Booked</v>
      </c>
    </row>
    <row r="1042" spans="1:89" ht="15" customHeight="1" x14ac:dyDescent="0.25">
      <c r="A1042" s="111">
        <v>1360</v>
      </c>
      <c r="B1042" s="128" t="str">
        <f t="shared" si="760"/>
        <v>N</v>
      </c>
      <c r="C1042" s="128" t="str">
        <f t="shared" si="774"/>
        <v>N</v>
      </c>
      <c r="D1042" s="117">
        <v>1748705</v>
      </c>
      <c r="E1042" s="135">
        <f t="shared" si="761"/>
        <v>2</v>
      </c>
      <c r="F1042" s="124">
        <v>40958</v>
      </c>
      <c r="G1042" s="125">
        <v>40980</v>
      </c>
      <c r="H1042" s="117">
        <v>1748705</v>
      </c>
      <c r="I1042" s="124" t="s">
        <v>562</v>
      </c>
      <c r="J1042" s="124" t="s">
        <v>562</v>
      </c>
      <c r="K1042" s="126">
        <v>5000</v>
      </c>
      <c r="L1042" s="127" t="s">
        <v>569</v>
      </c>
      <c r="M1042" s="125">
        <v>40959</v>
      </c>
      <c r="N1042" s="129" t="str">
        <f>IF(M1042&gt;1/1/1,"Y",IF(Q1042="0","","N"))</f>
        <v>Y</v>
      </c>
      <c r="O1042" s="128" t="s">
        <v>76</v>
      </c>
      <c r="P1042" s="129" t="s">
        <v>589</v>
      </c>
      <c r="Q1042" s="111">
        <f t="shared" si="775"/>
        <v>0</v>
      </c>
      <c r="R1042" s="111">
        <f t="shared" ref="R1042:R1105" si="786">BH1042</f>
        <v>23</v>
      </c>
      <c r="S1042" s="129">
        <v>0</v>
      </c>
      <c r="T1042" s="129">
        <v>0</v>
      </c>
      <c r="W1042" s="111"/>
      <c r="AC1042" s="130"/>
      <c r="AD1042" s="130">
        <v>29752</v>
      </c>
      <c r="AE1042" s="128" t="s">
        <v>32</v>
      </c>
      <c r="AF1042" s="128" t="s">
        <v>40</v>
      </c>
      <c r="AG1042" s="128" t="s">
        <v>41</v>
      </c>
      <c r="AH1042" s="108" t="s">
        <v>41</v>
      </c>
      <c r="AI1042" s="128" t="s">
        <v>59</v>
      </c>
      <c r="AJ1042" s="129" t="s">
        <v>48</v>
      </c>
      <c r="AK1042" s="129">
        <v>2</v>
      </c>
      <c r="AL1042" s="3" t="s">
        <v>48</v>
      </c>
      <c r="AP1042" s="129" t="s">
        <v>43</v>
      </c>
      <c r="AR1042" s="128" t="s">
        <v>44</v>
      </c>
      <c r="AS1042" s="129" t="s">
        <v>45</v>
      </c>
      <c r="BC1042" s="129" t="s">
        <v>52</v>
      </c>
      <c r="BF1042" s="111">
        <v>0</v>
      </c>
      <c r="BG1042" s="111">
        <v>0</v>
      </c>
      <c r="BH1042" s="111">
        <f t="shared" si="757"/>
        <v>23</v>
      </c>
      <c r="BI1042" s="111">
        <f t="shared" si="758"/>
        <v>30.617486338797814</v>
      </c>
      <c r="BJ1042" s="129" t="e">
        <f>(G1042-J1042)+(M1042-G1042)</f>
        <v>#VALUE!</v>
      </c>
      <c r="BK1042" s="129" t="e">
        <f t="shared" si="759"/>
        <v>#VALUE!</v>
      </c>
      <c r="BL1042" s="129" t="str">
        <f t="shared" si="742"/>
        <v>DEFERRED</v>
      </c>
      <c r="BM1042" s="129" t="s">
        <v>76</v>
      </c>
      <c r="BN1042" s="129" t="s">
        <v>88</v>
      </c>
      <c r="BP1042" s="137" t="str">
        <f t="shared" si="762"/>
        <v>DEFERRED</v>
      </c>
      <c r="BQ1042" s="128">
        <f t="shared" si="763"/>
        <v>0</v>
      </c>
      <c r="BR1042" s="129" t="s">
        <v>575</v>
      </c>
      <c r="BS1042" s="129" t="str">
        <f t="shared" si="764"/>
        <v>DISPOSED</v>
      </c>
      <c r="BT1042" s="129" t="str">
        <f t="shared" si="765"/>
        <v>N</v>
      </c>
      <c r="BU1042" s="109">
        <f t="shared" si="766"/>
        <v>0</v>
      </c>
      <c r="BV1042" s="109">
        <v>0</v>
      </c>
      <c r="BW1042" s="109">
        <f t="shared" ref="BW1042:BW1053" si="787">BV1042-BU1042</f>
        <v>0</v>
      </c>
      <c r="BX1042" s="111">
        <f t="shared" si="768"/>
        <v>0</v>
      </c>
      <c r="BY1042" s="129" t="e">
        <f t="shared" si="769"/>
        <v>#VALUE!</v>
      </c>
      <c r="BZ1042" s="111" t="e">
        <f t="shared" si="770"/>
        <v>#VALUE!</v>
      </c>
      <c r="CA1042" s="138" t="e">
        <f t="shared" si="771"/>
        <v>#VALUE!</v>
      </c>
      <c r="CB1042" s="111">
        <v>0</v>
      </c>
      <c r="CC1042" s="129">
        <v>0</v>
      </c>
      <c r="CD1042" s="111">
        <f>CC1042-BF1042</f>
        <v>0</v>
      </c>
      <c r="CE1042" s="129" t="e">
        <f t="shared" si="772"/>
        <v>#VALUE!</v>
      </c>
      <c r="CG1042" s="129" t="str">
        <f t="shared" si="773"/>
        <v>N</v>
      </c>
      <c r="CI1042" s="129" t="str">
        <f t="shared" si="781"/>
        <v>0-10 DAYS</v>
      </c>
      <c r="CJ1042" s="137">
        <f t="shared" si="782"/>
        <v>1</v>
      </c>
      <c r="CK1042" s="129" t="str">
        <f t="shared" si="783"/>
        <v>Not Booked</v>
      </c>
    </row>
    <row r="1043" spans="1:89" ht="15" customHeight="1" x14ac:dyDescent="0.25">
      <c r="A1043" s="111">
        <v>2016</v>
      </c>
      <c r="B1043" s="128" t="str">
        <f t="shared" si="760"/>
        <v>N</v>
      </c>
      <c r="C1043" s="128" t="str">
        <f t="shared" si="774"/>
        <v>N</v>
      </c>
      <c r="D1043" s="117">
        <v>1749754</v>
      </c>
      <c r="E1043" s="135">
        <f t="shared" si="761"/>
        <v>5</v>
      </c>
      <c r="F1043" s="124">
        <v>40984</v>
      </c>
      <c r="G1043" s="125">
        <v>40987</v>
      </c>
      <c r="H1043" s="117">
        <v>1749754</v>
      </c>
      <c r="I1043" s="124">
        <v>40985</v>
      </c>
      <c r="J1043" s="124">
        <v>40987</v>
      </c>
      <c r="K1043" s="126">
        <v>15000</v>
      </c>
      <c r="L1043" s="127" t="s">
        <v>571</v>
      </c>
      <c r="N1043" s="129" t="str">
        <f>IF(M1043&gt;1/1/1,"Y","N")</f>
        <v>N</v>
      </c>
      <c r="O1043" s="128" t="s">
        <v>917</v>
      </c>
      <c r="P1043" s="129" t="s">
        <v>39</v>
      </c>
      <c r="Q1043" s="111">
        <f t="shared" si="775"/>
        <v>3</v>
      </c>
      <c r="R1043" s="111">
        <f t="shared" si="786"/>
        <v>4</v>
      </c>
      <c r="S1043" s="129">
        <v>1</v>
      </c>
      <c r="T1043" s="129">
        <v>2</v>
      </c>
      <c r="U1043" s="129">
        <v>1</v>
      </c>
      <c r="W1043" s="111"/>
      <c r="AC1043" s="130"/>
      <c r="AD1043" s="130">
        <v>30201</v>
      </c>
      <c r="AE1043" s="128" t="s">
        <v>46</v>
      </c>
      <c r="AF1043" s="128" t="s">
        <v>40</v>
      </c>
      <c r="AG1043" s="128" t="s">
        <v>41</v>
      </c>
      <c r="AH1043" s="108" t="s">
        <v>41</v>
      </c>
      <c r="AI1043" s="128" t="s">
        <v>118</v>
      </c>
      <c r="AJ1043" s="129" t="s">
        <v>89</v>
      </c>
      <c r="AK1043" s="129">
        <v>1</v>
      </c>
      <c r="AL1043" s="3" t="s">
        <v>992</v>
      </c>
      <c r="AN1043" s="117">
        <v>8</v>
      </c>
      <c r="AP1043" s="129" t="s">
        <v>60</v>
      </c>
      <c r="AR1043" s="128" t="s">
        <v>44</v>
      </c>
      <c r="AS1043" s="129" t="s">
        <v>61</v>
      </c>
      <c r="BC1043" s="129" t="s">
        <v>38</v>
      </c>
      <c r="BF1043" s="111">
        <f>IF(J1043&gt;1/1/1900,((J1043+1)-I1043),"STILL OPEN")</f>
        <v>3</v>
      </c>
      <c r="BG1043" s="111">
        <f>IF(G1043&gt;1/1/1900,((G1043+1)-I1043),"STILL OPEN")</f>
        <v>3</v>
      </c>
      <c r="BH1043" s="111">
        <f t="shared" si="757"/>
        <v>4</v>
      </c>
      <c r="BI1043" s="111">
        <f t="shared" si="758"/>
        <v>29.461748633879782</v>
      </c>
      <c r="BJ1043" s="129">
        <f t="shared" si="777"/>
        <v>0</v>
      </c>
      <c r="BK1043" s="129">
        <f t="shared" si="759"/>
        <v>0</v>
      </c>
      <c r="BL1043" s="129" t="str">
        <f t="shared" si="742"/>
        <v>CONVICTION</v>
      </c>
      <c r="BM1043" s="129" t="str">
        <f t="shared" si="778"/>
        <v>NONE</v>
      </c>
      <c r="BN1043" s="129" t="s">
        <v>566</v>
      </c>
      <c r="BP1043" s="137" t="str">
        <f t="shared" si="762"/>
        <v>CONVICTION</v>
      </c>
      <c r="BQ1043" s="128" t="str">
        <f t="shared" si="763"/>
        <v>Y</v>
      </c>
      <c r="BR1043" s="129" t="str">
        <f t="shared" si="779"/>
        <v>DETAINED</v>
      </c>
      <c r="BS1043" s="129" t="str">
        <f t="shared" si="764"/>
        <v>DISPOSED</v>
      </c>
      <c r="BT1043" s="129" t="str">
        <f t="shared" si="765"/>
        <v>Y</v>
      </c>
      <c r="BU1043" s="109">
        <f t="shared" si="766"/>
        <v>0.75</v>
      </c>
      <c r="BV1043" s="109">
        <f t="shared" si="767"/>
        <v>1</v>
      </c>
      <c r="BW1043" s="109">
        <f t="shared" si="787"/>
        <v>0.25</v>
      </c>
      <c r="BX1043" s="111">
        <f t="shared" si="768"/>
        <v>0</v>
      </c>
      <c r="BY1043" s="129">
        <f t="shared" si="769"/>
        <v>-3</v>
      </c>
      <c r="BZ1043" s="111">
        <f t="shared" si="770"/>
        <v>0</v>
      </c>
      <c r="CA1043" s="138">
        <f t="shared" si="771"/>
        <v>3</v>
      </c>
      <c r="CB1043" s="111" t="e">
        <f>IF(AF1043&gt;1/1/1900,((AF1043+1)-AE1043),"STILL OPEN")</f>
        <v>#VALUE!</v>
      </c>
      <c r="CC1043" s="129">
        <f>G1043-I1043+1</f>
        <v>3</v>
      </c>
      <c r="CD1043" s="129">
        <f>G1043-J1043</f>
        <v>0</v>
      </c>
      <c r="CE1043" s="129">
        <f t="shared" si="772"/>
        <v>0</v>
      </c>
      <c r="CG1043" s="129" t="str">
        <f t="shared" si="773"/>
        <v>Y</v>
      </c>
      <c r="CI1043" s="129" t="str">
        <f t="shared" si="781"/>
        <v>0-10 DAYS</v>
      </c>
      <c r="CJ1043" s="137">
        <f t="shared" si="782"/>
        <v>1</v>
      </c>
      <c r="CK1043" s="129" t="str">
        <f t="shared" si="783"/>
        <v>Booked</v>
      </c>
    </row>
    <row r="1044" spans="1:89" ht="15.75" customHeight="1" x14ac:dyDescent="0.25">
      <c r="A1044" s="111">
        <v>2190</v>
      </c>
      <c r="B1044" s="128" t="str">
        <f t="shared" si="760"/>
        <v>N</v>
      </c>
      <c r="C1044" s="128" t="str">
        <f t="shared" si="774"/>
        <v>N</v>
      </c>
      <c r="D1044" s="117">
        <v>1750145</v>
      </c>
      <c r="E1044" s="135">
        <f t="shared" si="761"/>
        <v>4</v>
      </c>
      <c r="F1044" s="124">
        <v>40990</v>
      </c>
      <c r="G1044" s="125">
        <v>41030</v>
      </c>
      <c r="H1044" s="117">
        <v>1750145</v>
      </c>
      <c r="I1044" s="124">
        <v>40991</v>
      </c>
      <c r="J1044" s="124">
        <v>40992</v>
      </c>
      <c r="K1044" s="126">
        <v>10000</v>
      </c>
      <c r="L1044" s="127" t="s">
        <v>570</v>
      </c>
      <c r="M1044" s="125">
        <v>40992</v>
      </c>
      <c r="N1044" s="129" t="str">
        <f>IF(M1044&gt;1/1/1,"Y","N")</f>
        <v>Y</v>
      </c>
      <c r="O1044" s="128" t="s">
        <v>76</v>
      </c>
      <c r="P1044" s="129" t="s">
        <v>39</v>
      </c>
      <c r="Q1044" s="111">
        <f t="shared" si="775"/>
        <v>2</v>
      </c>
      <c r="R1044" s="111">
        <f t="shared" si="786"/>
        <v>41</v>
      </c>
      <c r="S1044" s="129">
        <v>2</v>
      </c>
      <c r="T1044" s="129">
        <v>2</v>
      </c>
      <c r="U1044" s="129">
        <v>1</v>
      </c>
      <c r="W1044" s="111"/>
      <c r="AC1044" s="130"/>
      <c r="AD1044" s="130">
        <v>29945</v>
      </c>
      <c r="AE1044" s="128" t="s">
        <v>32</v>
      </c>
      <c r="AF1044" s="128" t="s">
        <v>33</v>
      </c>
      <c r="AG1044" s="128" t="s">
        <v>872</v>
      </c>
      <c r="AH1044" s="108" t="s">
        <v>31</v>
      </c>
      <c r="AI1044" s="128" t="s">
        <v>85</v>
      </c>
      <c r="AJ1044" s="129" t="s">
        <v>89</v>
      </c>
      <c r="AK1044" s="129">
        <v>3</v>
      </c>
      <c r="AL1044" s="3" t="s">
        <v>991</v>
      </c>
      <c r="AO1044" s="128">
        <v>300</v>
      </c>
      <c r="AP1044" s="129" t="s">
        <v>43</v>
      </c>
      <c r="AR1044" s="128" t="s">
        <v>44</v>
      </c>
      <c r="AS1044" s="129" t="s">
        <v>45</v>
      </c>
      <c r="AT1044" s="129" t="s">
        <v>411</v>
      </c>
      <c r="BC1044" s="129" t="s">
        <v>99</v>
      </c>
      <c r="BF1044" s="111">
        <f>IF(J1044&gt;1/1/1900,((J1044+1)-I1044),"STILL OPEN")</f>
        <v>2</v>
      </c>
      <c r="BG1044" s="111">
        <f>IF(G1044&gt;1/1/1900,((G1044+1)-I1044),"STILL OPEN")</f>
        <v>40</v>
      </c>
      <c r="BH1044" s="111">
        <f t="shared" si="757"/>
        <v>41</v>
      </c>
      <c r="BI1044" s="111">
        <f t="shared" si="758"/>
        <v>30.1775956284153</v>
      </c>
      <c r="BJ1044" s="129">
        <f>(G1044-J1044)+(M1044-G1044)</f>
        <v>0</v>
      </c>
      <c r="BK1044" s="129">
        <f t="shared" si="759"/>
        <v>-38</v>
      </c>
      <c r="BL1044" s="129" t="str">
        <f t="shared" si="742"/>
        <v>CONVICTION</v>
      </c>
      <c r="BM1044" s="129" t="s">
        <v>76</v>
      </c>
      <c r="BN1044" s="129" t="s">
        <v>88</v>
      </c>
      <c r="BP1044" s="137" t="str">
        <f t="shared" si="762"/>
        <v>CONVICTION</v>
      </c>
      <c r="BQ1044" s="128" t="str">
        <f t="shared" si="763"/>
        <v>Y</v>
      </c>
      <c r="BR1044" s="129" t="str">
        <f>IF(J1044&lt;G1044,"ON BOND",0)</f>
        <v>ON BOND</v>
      </c>
      <c r="BS1044" s="129" t="str">
        <f t="shared" si="764"/>
        <v>DISPOSED</v>
      </c>
      <c r="BT1044" s="129" t="str">
        <f t="shared" si="765"/>
        <v>Y</v>
      </c>
      <c r="BU1044" s="109">
        <f t="shared" si="766"/>
        <v>4.878048780487805E-2</v>
      </c>
      <c r="BV1044" s="109">
        <f t="shared" si="767"/>
        <v>0.05</v>
      </c>
      <c r="BW1044" s="109">
        <f t="shared" si="787"/>
        <v>1.2195121951219523E-3</v>
      </c>
      <c r="BX1044" s="111">
        <f t="shared" si="768"/>
        <v>0</v>
      </c>
      <c r="BY1044" s="129">
        <f t="shared" si="769"/>
        <v>-2</v>
      </c>
      <c r="BZ1044" s="111">
        <f t="shared" si="770"/>
        <v>0</v>
      </c>
      <c r="CA1044" s="138">
        <f t="shared" si="771"/>
        <v>2</v>
      </c>
      <c r="CB1044" s="111" t="e">
        <f>IF(AF1044&gt;1/1/1900,((AF1044+1)-AE1044),"STILL OPEN")</f>
        <v>#VALUE!</v>
      </c>
      <c r="CC1044" s="129">
        <f>M1044-I1044+1</f>
        <v>2</v>
      </c>
      <c r="CD1044" s="111">
        <f>CC1044-BF1044</f>
        <v>0</v>
      </c>
      <c r="CE1044" s="129">
        <f t="shared" si="772"/>
        <v>38</v>
      </c>
      <c r="CG1044" s="129" t="str">
        <f t="shared" si="773"/>
        <v>Y</v>
      </c>
      <c r="CI1044" s="129" t="str">
        <f t="shared" si="781"/>
        <v>0-10 DAYS</v>
      </c>
      <c r="CJ1044" s="137">
        <f t="shared" si="782"/>
        <v>1</v>
      </c>
      <c r="CK1044" s="129" t="str">
        <f t="shared" si="783"/>
        <v>Booked</v>
      </c>
    </row>
    <row r="1045" spans="1:89" ht="15.75" customHeight="1" x14ac:dyDescent="0.25">
      <c r="A1045" s="111">
        <v>59</v>
      </c>
      <c r="B1045" s="128" t="str">
        <f t="shared" si="760"/>
        <v>N</v>
      </c>
      <c r="C1045" s="128" t="str">
        <f t="shared" si="774"/>
        <v>N</v>
      </c>
      <c r="D1045" s="117">
        <v>1750647</v>
      </c>
      <c r="E1045" s="135">
        <f t="shared" si="761"/>
        <v>1</v>
      </c>
      <c r="F1045" s="124">
        <v>40912</v>
      </c>
      <c r="G1045" s="125">
        <v>40953</v>
      </c>
      <c r="H1045" s="117">
        <v>1750647</v>
      </c>
      <c r="I1045" s="124">
        <v>40912</v>
      </c>
      <c r="J1045" s="124">
        <v>40953</v>
      </c>
      <c r="K1045" s="126">
        <v>5000</v>
      </c>
      <c r="L1045" s="127" t="s">
        <v>569</v>
      </c>
      <c r="N1045" s="129" t="str">
        <f>IF(M1045&gt;1/1/1,"Y","N")</f>
        <v>N</v>
      </c>
      <c r="O1045" s="128" t="s">
        <v>917</v>
      </c>
      <c r="P1045" s="129" t="s">
        <v>55</v>
      </c>
      <c r="Q1045" s="111">
        <f t="shared" si="775"/>
        <v>42</v>
      </c>
      <c r="R1045" s="111">
        <f t="shared" si="786"/>
        <v>42</v>
      </c>
      <c r="S1045" s="129">
        <v>3</v>
      </c>
      <c r="T1045" s="129">
        <v>3</v>
      </c>
      <c r="U1045" s="129">
        <v>2</v>
      </c>
      <c r="W1045" s="111"/>
      <c r="AC1045" s="130"/>
      <c r="AD1045" s="130">
        <v>24515</v>
      </c>
      <c r="AE1045" s="128" t="s">
        <v>46</v>
      </c>
      <c r="AF1045" s="128" t="s">
        <v>69</v>
      </c>
      <c r="AG1045" s="128" t="s">
        <v>874</v>
      </c>
      <c r="AH1045" s="108" t="s">
        <v>58</v>
      </c>
      <c r="AI1045" s="128" t="s">
        <v>100</v>
      </c>
      <c r="AJ1045" s="129" t="s">
        <v>55</v>
      </c>
      <c r="AK1045" s="129">
        <v>2</v>
      </c>
      <c r="AL1045" s="3" t="s">
        <v>55</v>
      </c>
      <c r="AP1045" s="129" t="s">
        <v>121</v>
      </c>
      <c r="AR1045" s="128" t="s">
        <v>44</v>
      </c>
      <c r="AS1045" s="129" t="s">
        <v>122</v>
      </c>
      <c r="BC1045" s="129" t="s">
        <v>38</v>
      </c>
      <c r="BF1045" s="111">
        <f>IF(J1045&gt;1/1/1900,((J1045+1)-I1045),"STILL OPEN")</f>
        <v>42</v>
      </c>
      <c r="BG1045" s="111">
        <f>IF(G1045&gt;1/1/1900,((G1045+1)-I1045),"STILL OPEN")</f>
        <v>42</v>
      </c>
      <c r="BH1045" s="111">
        <f t="shared" si="757"/>
        <v>42</v>
      </c>
      <c r="BI1045" s="111">
        <f t="shared" si="758"/>
        <v>44.800546448087431</v>
      </c>
      <c r="BJ1045" s="129">
        <f t="shared" si="777"/>
        <v>0</v>
      </c>
      <c r="BK1045" s="129">
        <f t="shared" si="759"/>
        <v>0</v>
      </c>
      <c r="BL1045" s="129" t="str">
        <f t="shared" si="742"/>
        <v>NO CONVICTION</v>
      </c>
      <c r="BM1045" s="129" t="str">
        <f t="shared" si="778"/>
        <v>NONE</v>
      </c>
      <c r="BN1045" s="129" t="s">
        <v>566</v>
      </c>
      <c r="BP1045" s="137" t="str">
        <f t="shared" si="762"/>
        <v>NO CONVICTION</v>
      </c>
      <c r="BQ1045" s="128" t="str">
        <f t="shared" si="763"/>
        <v>Y</v>
      </c>
      <c r="BR1045" s="129" t="str">
        <f t="shared" si="779"/>
        <v>DETAINED</v>
      </c>
      <c r="BS1045" s="129" t="str">
        <f t="shared" si="764"/>
        <v>DISPOSED</v>
      </c>
      <c r="BT1045" s="129" t="str">
        <f t="shared" si="765"/>
        <v>Y</v>
      </c>
      <c r="BU1045" s="109">
        <f>IFERROR(Q1045/R1045,BR1045)</f>
        <v>1</v>
      </c>
      <c r="BV1045" s="109">
        <f t="shared" si="767"/>
        <v>1</v>
      </c>
      <c r="BW1045" s="109">
        <f t="shared" si="787"/>
        <v>0</v>
      </c>
      <c r="BX1045" s="111">
        <f t="shared" si="768"/>
        <v>0</v>
      </c>
      <c r="BY1045" s="129">
        <f t="shared" si="769"/>
        <v>-42</v>
      </c>
      <c r="BZ1045" s="111">
        <f t="shared" si="770"/>
        <v>0</v>
      </c>
      <c r="CA1045" s="138">
        <f t="shared" si="771"/>
        <v>42</v>
      </c>
      <c r="CB1045" s="111" t="e">
        <f>IF(AF1045&gt;1/1/1900,((AF1045+1)-AE1045),"STILL OPEN")</f>
        <v>#VALUE!</v>
      </c>
      <c r="CC1045" s="129">
        <f>G1045-I1045+1</f>
        <v>42</v>
      </c>
      <c r="CD1045" s="129">
        <f>G1045-J1045</f>
        <v>0</v>
      </c>
      <c r="CE1045" s="129">
        <f t="shared" si="772"/>
        <v>0</v>
      </c>
      <c r="CG1045" s="129" t="str">
        <f t="shared" si="773"/>
        <v>Y</v>
      </c>
      <c r="CI1045" s="129" t="str">
        <f t="shared" si="781"/>
        <v>31-60 DAYS</v>
      </c>
      <c r="CJ1045" s="137">
        <f t="shared" si="782"/>
        <v>3</v>
      </c>
      <c r="CK1045" s="129" t="str">
        <f t="shared" si="783"/>
        <v>Booked</v>
      </c>
    </row>
    <row r="1046" spans="1:89" ht="15.75" customHeight="1" x14ac:dyDescent="0.25">
      <c r="A1046" s="111">
        <v>2933</v>
      </c>
      <c r="B1046" s="128" t="str">
        <f t="shared" si="760"/>
        <v>N</v>
      </c>
      <c r="C1046" s="128" t="str">
        <f t="shared" si="774"/>
        <v>N</v>
      </c>
      <c r="D1046" s="117">
        <v>1754434</v>
      </c>
      <c r="E1046" s="135">
        <f t="shared" si="761"/>
        <v>4</v>
      </c>
      <c r="F1046" s="124">
        <v>41017</v>
      </c>
      <c r="G1046" s="125">
        <v>41197</v>
      </c>
      <c r="H1046" s="117">
        <v>1754434</v>
      </c>
      <c r="I1046" s="124">
        <v>41017</v>
      </c>
      <c r="J1046" s="124">
        <v>41197</v>
      </c>
      <c r="K1046" s="126" t="s">
        <v>564</v>
      </c>
      <c r="L1046" s="127" t="s">
        <v>564</v>
      </c>
      <c r="N1046" s="129" t="s">
        <v>566</v>
      </c>
      <c r="O1046" s="128" t="s">
        <v>917</v>
      </c>
      <c r="P1046" s="129" t="s">
        <v>39</v>
      </c>
      <c r="Q1046" s="111">
        <f t="shared" si="775"/>
        <v>181</v>
      </c>
      <c r="R1046" s="111">
        <f t="shared" si="786"/>
        <v>181</v>
      </c>
      <c r="S1046" s="129">
        <v>2</v>
      </c>
      <c r="T1046" s="129">
        <v>3</v>
      </c>
      <c r="U1046" s="129">
        <v>2</v>
      </c>
      <c r="W1046" s="111"/>
      <c r="AC1046" s="130"/>
      <c r="AD1046" s="130">
        <v>29130</v>
      </c>
      <c r="AE1046" s="128" t="s">
        <v>32</v>
      </c>
      <c r="AF1046" s="128" t="s">
        <v>33</v>
      </c>
      <c r="AG1046" s="128" t="s">
        <v>872</v>
      </c>
      <c r="AH1046" s="108" t="s">
        <v>58</v>
      </c>
      <c r="AI1046" s="128" t="s">
        <v>42</v>
      </c>
      <c r="AJ1046" s="129" t="s">
        <v>89</v>
      </c>
      <c r="AK1046" s="129">
        <v>8</v>
      </c>
      <c r="AL1046" s="3" t="s">
        <v>991</v>
      </c>
      <c r="AO1046" s="128">
        <v>210</v>
      </c>
      <c r="AP1046" s="129" t="s">
        <v>227</v>
      </c>
      <c r="AR1046" s="128" t="s">
        <v>50</v>
      </c>
      <c r="AS1046" s="129" t="s">
        <v>64</v>
      </c>
      <c r="BC1046" s="129" t="s">
        <v>52</v>
      </c>
      <c r="BF1046" s="111">
        <f>IF(J1046&gt;1/1/1900,((J1046+1)-I1046),"STILL OPEN")</f>
        <v>181</v>
      </c>
      <c r="BG1046" s="111">
        <f>IF(G1046&gt;1/1/1900,((G1046+1)-I1046),"STILL OPEN")</f>
        <v>181</v>
      </c>
      <c r="BH1046" s="111">
        <f t="shared" si="757"/>
        <v>181</v>
      </c>
      <c r="BI1046" s="111">
        <f t="shared" si="758"/>
        <v>32.478142076502735</v>
      </c>
      <c r="BJ1046" s="129">
        <f t="shared" si="777"/>
        <v>0</v>
      </c>
      <c r="BK1046" s="129">
        <f t="shared" si="759"/>
        <v>0</v>
      </c>
      <c r="BL1046" s="129" t="str">
        <f t="shared" si="742"/>
        <v>CONVICTION</v>
      </c>
      <c r="BM1046" s="129" t="str">
        <f t="shared" si="778"/>
        <v>NONE</v>
      </c>
      <c r="BN1046" s="129" t="s">
        <v>566</v>
      </c>
      <c r="BP1046" s="137" t="str">
        <f t="shared" si="762"/>
        <v>CONVICTION</v>
      </c>
      <c r="BQ1046" s="128" t="str">
        <f t="shared" si="763"/>
        <v>Y</v>
      </c>
      <c r="BR1046" s="129" t="str">
        <f t="shared" si="779"/>
        <v>DETAINED</v>
      </c>
      <c r="BS1046" s="129" t="str">
        <f t="shared" si="764"/>
        <v>DISPOSED</v>
      </c>
      <c r="BT1046" s="129" t="str">
        <f t="shared" si="765"/>
        <v>Y</v>
      </c>
      <c r="BU1046" s="109">
        <f t="shared" si="766"/>
        <v>1</v>
      </c>
      <c r="BV1046" s="109">
        <f t="shared" si="767"/>
        <v>1</v>
      </c>
      <c r="BW1046" s="109">
        <f t="shared" si="787"/>
        <v>0</v>
      </c>
      <c r="BX1046" s="111">
        <f t="shared" si="768"/>
        <v>0</v>
      </c>
      <c r="BY1046" s="129">
        <f t="shared" si="769"/>
        <v>-181</v>
      </c>
      <c r="BZ1046" s="111">
        <f t="shared" si="770"/>
        <v>0</v>
      </c>
      <c r="CA1046" s="138">
        <f t="shared" si="771"/>
        <v>181</v>
      </c>
      <c r="CB1046" s="111" t="e">
        <f>IF(AF1046&gt;1/1/1900,((AF1046+1)-AE1046),"STILL OPEN")</f>
        <v>#VALUE!</v>
      </c>
      <c r="CC1046" s="129">
        <f>G1046-I1046+1</f>
        <v>181</v>
      </c>
      <c r="CD1046" s="129">
        <f>G1046-J1046</f>
        <v>0</v>
      </c>
      <c r="CE1046" s="129">
        <f t="shared" si="772"/>
        <v>0</v>
      </c>
      <c r="CG1046" s="129" t="str">
        <f t="shared" si="773"/>
        <v>Y</v>
      </c>
      <c r="CI1046" s="129" t="str">
        <f t="shared" si="781"/>
        <v>121-365 DAYS</v>
      </c>
      <c r="CJ1046" s="137">
        <f t="shared" si="782"/>
        <v>6</v>
      </c>
      <c r="CK1046" s="129" t="str">
        <f t="shared" si="783"/>
        <v>Booked</v>
      </c>
    </row>
    <row r="1047" spans="1:89" ht="15.75" customHeight="1" x14ac:dyDescent="0.25">
      <c r="A1047" s="111">
        <v>1449</v>
      </c>
      <c r="B1047" s="128" t="str">
        <f t="shared" si="760"/>
        <v>N</v>
      </c>
      <c r="C1047" s="128" t="str">
        <f t="shared" si="774"/>
        <v>N</v>
      </c>
      <c r="D1047" s="117">
        <v>1754998</v>
      </c>
      <c r="E1047" s="135">
        <f t="shared" si="761"/>
        <v>2</v>
      </c>
      <c r="F1047" s="124">
        <v>40962</v>
      </c>
      <c r="G1047" s="125">
        <v>41024</v>
      </c>
      <c r="H1047" s="117">
        <v>1754998</v>
      </c>
      <c r="I1047" s="124">
        <v>40962</v>
      </c>
      <c r="J1047" s="124">
        <v>40963</v>
      </c>
      <c r="K1047" s="126">
        <v>2000</v>
      </c>
      <c r="L1047" s="127" t="s">
        <v>568</v>
      </c>
      <c r="M1047" s="125">
        <v>40963</v>
      </c>
      <c r="N1047" s="129" t="str">
        <f>IF(M1047&gt;1/1/1,"Y","N")</f>
        <v>Y</v>
      </c>
      <c r="O1047" s="128" t="s">
        <v>76</v>
      </c>
      <c r="P1047" s="129" t="s">
        <v>589</v>
      </c>
      <c r="Q1047" s="111">
        <f t="shared" si="775"/>
        <v>2</v>
      </c>
      <c r="R1047" s="111">
        <f t="shared" si="786"/>
        <v>63</v>
      </c>
      <c r="S1047" s="129">
        <v>1</v>
      </c>
      <c r="T1047" s="129">
        <v>0</v>
      </c>
      <c r="W1047" s="111"/>
      <c r="AC1047" s="130"/>
      <c r="AD1047" s="130">
        <v>29535</v>
      </c>
      <c r="AE1047" s="128" t="s">
        <v>32</v>
      </c>
      <c r="AF1047" s="128" t="s">
        <v>69</v>
      </c>
      <c r="AG1047" s="128" t="s">
        <v>874</v>
      </c>
      <c r="AH1047" s="108" t="s">
        <v>31</v>
      </c>
      <c r="AI1047" s="128" t="s">
        <v>100</v>
      </c>
      <c r="AJ1047" s="129" t="s">
        <v>48</v>
      </c>
      <c r="AK1047" s="129">
        <v>3</v>
      </c>
      <c r="AL1047" s="3" t="s">
        <v>48</v>
      </c>
      <c r="AP1047" s="129" t="s">
        <v>43</v>
      </c>
      <c r="AR1047" s="128" t="s">
        <v>44</v>
      </c>
      <c r="AS1047" s="129" t="s">
        <v>45</v>
      </c>
      <c r="AT1047" s="129" t="s">
        <v>338</v>
      </c>
      <c r="BC1047" s="129" t="s">
        <v>52</v>
      </c>
      <c r="BF1047" s="111">
        <f>IF(J1047&gt;1/1/1900,((J1047+1)-I1047),"STILL OPEN")</f>
        <v>2</v>
      </c>
      <c r="BG1047" s="111">
        <f>IF(G1047&gt;1/1/1900,((G1047+1)-I1047),"STILL OPEN")</f>
        <v>63</v>
      </c>
      <c r="BH1047" s="111">
        <f t="shared" si="757"/>
        <v>63</v>
      </c>
      <c r="BI1047" s="111">
        <f t="shared" si="758"/>
        <v>31.221311475409838</v>
      </c>
      <c r="BJ1047" s="129">
        <f>(G1047-J1047)+(M1047-G1047)</f>
        <v>0</v>
      </c>
      <c r="BK1047" s="129">
        <f t="shared" si="759"/>
        <v>-61</v>
      </c>
      <c r="BL1047" s="129" t="str">
        <f t="shared" si="742"/>
        <v>DEFERRED</v>
      </c>
      <c r="BM1047" s="129" t="s">
        <v>76</v>
      </c>
      <c r="BN1047" s="129" t="s">
        <v>88</v>
      </c>
      <c r="BP1047" s="137" t="str">
        <f t="shared" si="762"/>
        <v>DEFERRED</v>
      </c>
      <c r="BQ1047" s="128" t="str">
        <f t="shared" si="763"/>
        <v>Y</v>
      </c>
      <c r="BR1047" s="129" t="str">
        <f t="shared" si="779"/>
        <v>ON BOND</v>
      </c>
      <c r="BS1047" s="129" t="str">
        <f t="shared" si="764"/>
        <v>DISPOSED</v>
      </c>
      <c r="BT1047" s="129" t="str">
        <f t="shared" si="765"/>
        <v>Y</v>
      </c>
      <c r="BU1047" s="109">
        <f t="shared" si="766"/>
        <v>3.1746031746031744E-2</v>
      </c>
      <c r="BV1047" s="109">
        <f t="shared" si="767"/>
        <v>3.1746031746031744E-2</v>
      </c>
      <c r="BW1047" s="109">
        <f t="shared" si="787"/>
        <v>0</v>
      </c>
      <c r="BX1047" s="111">
        <f t="shared" si="768"/>
        <v>0</v>
      </c>
      <c r="BY1047" s="129">
        <f t="shared" si="769"/>
        <v>-2</v>
      </c>
      <c r="BZ1047" s="111">
        <f t="shared" si="770"/>
        <v>0</v>
      </c>
      <c r="CA1047" s="138">
        <f t="shared" si="771"/>
        <v>2</v>
      </c>
      <c r="CB1047" s="111" t="e">
        <f>IF(AF1047&gt;1/1/1900,((AF1047+1)-AE1047),"STILL OPEN")</f>
        <v>#VALUE!</v>
      </c>
      <c r="CC1047" s="129">
        <f>M1047-I1047+1</f>
        <v>2</v>
      </c>
      <c r="CD1047" s="111">
        <f>CC1047-BF1047</f>
        <v>0</v>
      </c>
      <c r="CE1047" s="129">
        <f t="shared" si="772"/>
        <v>61</v>
      </c>
      <c r="CG1047" s="129" t="str">
        <f t="shared" si="773"/>
        <v>Y</v>
      </c>
      <c r="CI1047" s="129" t="str">
        <f t="shared" si="781"/>
        <v>0-10 DAYS</v>
      </c>
      <c r="CJ1047" s="137">
        <f t="shared" si="782"/>
        <v>1</v>
      </c>
      <c r="CK1047" s="129" t="str">
        <f t="shared" si="783"/>
        <v>Booked</v>
      </c>
    </row>
    <row r="1048" spans="1:89" ht="15.75" customHeight="1" x14ac:dyDescent="0.25">
      <c r="A1048" s="111">
        <v>1016</v>
      </c>
      <c r="B1048" s="128" t="str">
        <f t="shared" si="760"/>
        <v>N</v>
      </c>
      <c r="C1048" s="128" t="str">
        <f t="shared" si="774"/>
        <v>N</v>
      </c>
      <c r="D1048" s="117">
        <v>1755199</v>
      </c>
      <c r="E1048" s="135">
        <f t="shared" si="761"/>
        <v>1</v>
      </c>
      <c r="F1048" s="124">
        <v>40946</v>
      </c>
      <c r="G1048" s="125">
        <v>41025</v>
      </c>
      <c r="H1048" s="117">
        <v>1755199</v>
      </c>
      <c r="I1048" s="124" t="s">
        <v>562</v>
      </c>
      <c r="J1048" s="124" t="s">
        <v>562</v>
      </c>
      <c r="K1048" s="126">
        <v>2000</v>
      </c>
      <c r="L1048" s="127" t="s">
        <v>568</v>
      </c>
      <c r="N1048" s="124" t="s">
        <v>1343</v>
      </c>
      <c r="O1048" s="128" t="s">
        <v>917</v>
      </c>
      <c r="P1048" s="129" t="s">
        <v>55</v>
      </c>
      <c r="Q1048" s="111">
        <f t="shared" si="775"/>
        <v>0</v>
      </c>
      <c r="R1048" s="111">
        <f t="shared" si="786"/>
        <v>80</v>
      </c>
      <c r="S1048" s="129">
        <v>0</v>
      </c>
      <c r="T1048" s="129">
        <v>0</v>
      </c>
      <c r="W1048" s="111"/>
      <c r="AC1048" s="130"/>
      <c r="AD1048" s="130">
        <v>29192</v>
      </c>
      <c r="AE1048" s="128" t="s">
        <v>46</v>
      </c>
      <c r="AF1048" s="128" t="s">
        <v>40</v>
      </c>
      <c r="AG1048" s="128" t="s">
        <v>41</v>
      </c>
      <c r="AH1048" s="108" t="s">
        <v>41</v>
      </c>
      <c r="AI1048" s="128" t="s">
        <v>95</v>
      </c>
      <c r="AJ1048" s="129" t="s">
        <v>55</v>
      </c>
      <c r="AK1048" s="129">
        <v>4</v>
      </c>
      <c r="AL1048" s="3" t="s">
        <v>55</v>
      </c>
      <c r="AP1048" s="129" t="s">
        <v>63</v>
      </c>
      <c r="AR1048" s="128" t="s">
        <v>44</v>
      </c>
      <c r="AS1048" s="129" t="s">
        <v>64</v>
      </c>
      <c r="BC1048" s="129" t="s">
        <v>52</v>
      </c>
      <c r="BF1048" s="111">
        <v>0</v>
      </c>
      <c r="BG1048" s="111">
        <v>0</v>
      </c>
      <c r="BH1048" s="111">
        <f t="shared" si="757"/>
        <v>80</v>
      </c>
      <c r="BI1048" s="111">
        <f t="shared" si="758"/>
        <v>32.114754098360656</v>
      </c>
      <c r="BJ1048" s="129" t="e">
        <f>(G1048-J1048)+(M1048-G1048)</f>
        <v>#VALUE!</v>
      </c>
      <c r="BK1048" s="129" t="e">
        <f t="shared" si="759"/>
        <v>#VALUE!</v>
      </c>
      <c r="BL1048" s="129" t="str">
        <f t="shared" ref="BL1048:BL1111" si="788">IF(OR(AL1048="AQUITTAL",AL1048="DISMISSED",AL1048="FINE",AL1048="NO BILL"),"NO CONVICTION",IF(OR(AL1048="HCJ",AL1048="MHH",AL1048="PROBATION",AL1048="STJ",AL1048="TDC"),"CONVICTION",IF(AL1048="DEFERRED","DEFERRED",0)))</f>
        <v>NO CONVICTION</v>
      </c>
      <c r="BM1048" s="129" t="str">
        <f t="shared" si="778"/>
        <v>NONE</v>
      </c>
      <c r="BN1048" s="129" t="s">
        <v>566</v>
      </c>
      <c r="BP1048" s="137" t="str">
        <f t="shared" si="762"/>
        <v>NO CONVICTION</v>
      </c>
      <c r="BQ1048" s="128">
        <f t="shared" si="763"/>
        <v>0</v>
      </c>
      <c r="BR1048" s="129" t="s">
        <v>1345</v>
      </c>
      <c r="BS1048" s="129" t="str">
        <f t="shared" si="764"/>
        <v>DISPOSED</v>
      </c>
      <c r="BT1048" s="129" t="str">
        <f t="shared" si="765"/>
        <v>N</v>
      </c>
      <c r="BU1048" s="109">
        <f>IFERROR(Q1048/R1048,BR1048)</f>
        <v>0</v>
      </c>
      <c r="BV1048" s="109">
        <v>0</v>
      </c>
      <c r="BW1048" s="109">
        <f t="shared" si="787"/>
        <v>0</v>
      </c>
      <c r="BX1048" s="111">
        <f t="shared" si="768"/>
        <v>0</v>
      </c>
      <c r="BY1048" s="129" t="e">
        <f t="shared" si="769"/>
        <v>#VALUE!</v>
      </c>
      <c r="BZ1048" s="111" t="e">
        <f t="shared" si="770"/>
        <v>#VALUE!</v>
      </c>
      <c r="CA1048" s="138" t="e">
        <f t="shared" si="771"/>
        <v>#VALUE!</v>
      </c>
      <c r="CB1048" s="111">
        <v>0</v>
      </c>
      <c r="CC1048" s="129">
        <v>0</v>
      </c>
      <c r="CE1048" s="129" t="e">
        <f t="shared" si="772"/>
        <v>#VALUE!</v>
      </c>
      <c r="CG1048" s="129" t="str">
        <f t="shared" si="773"/>
        <v>N</v>
      </c>
      <c r="CI1048" s="129" t="str">
        <f t="shared" si="781"/>
        <v>0-10 DAYS</v>
      </c>
      <c r="CJ1048" s="137">
        <f t="shared" si="782"/>
        <v>1</v>
      </c>
      <c r="CK1048" s="129" t="str">
        <f t="shared" si="783"/>
        <v>Not Booked</v>
      </c>
    </row>
    <row r="1049" spans="1:89" ht="15" customHeight="1" x14ac:dyDescent="0.25">
      <c r="A1049" s="111">
        <v>3050</v>
      </c>
      <c r="B1049" s="128" t="str">
        <f t="shared" si="760"/>
        <v>N</v>
      </c>
      <c r="C1049" s="128" t="str">
        <f t="shared" si="774"/>
        <v>N</v>
      </c>
      <c r="D1049" s="117">
        <v>1755511</v>
      </c>
      <c r="E1049" s="135">
        <f t="shared" si="761"/>
        <v>1</v>
      </c>
      <c r="F1049" s="124">
        <v>41022</v>
      </c>
      <c r="G1049" s="125">
        <v>41052</v>
      </c>
      <c r="H1049" s="117">
        <v>1755511</v>
      </c>
      <c r="I1049" s="124">
        <v>41022</v>
      </c>
      <c r="J1049" s="124">
        <v>41052</v>
      </c>
      <c r="K1049" s="126">
        <v>50000</v>
      </c>
      <c r="L1049" s="129" t="s">
        <v>572</v>
      </c>
      <c r="N1049" s="129" t="str">
        <f>IF(M1049&gt;1/1/1,"Y","N")</f>
        <v>N</v>
      </c>
      <c r="O1049" s="128" t="s">
        <v>917</v>
      </c>
      <c r="P1049" s="129" t="s">
        <v>55</v>
      </c>
      <c r="Q1049" s="111">
        <f t="shared" si="775"/>
        <v>31</v>
      </c>
      <c r="R1049" s="111">
        <f t="shared" si="786"/>
        <v>31</v>
      </c>
      <c r="S1049" s="129">
        <v>4</v>
      </c>
      <c r="T1049" s="129">
        <v>7</v>
      </c>
      <c r="U1049" s="129">
        <v>2</v>
      </c>
      <c r="W1049" s="111"/>
      <c r="AC1049" s="130"/>
      <c r="AD1049" s="130">
        <v>29819</v>
      </c>
      <c r="AE1049" s="128" t="s">
        <v>32</v>
      </c>
      <c r="AF1049" s="128" t="s">
        <v>33</v>
      </c>
      <c r="AG1049" s="128" t="s">
        <v>872</v>
      </c>
      <c r="AH1049" s="108" t="s">
        <v>31</v>
      </c>
      <c r="AI1049" s="128" t="s">
        <v>113</v>
      </c>
      <c r="AJ1049" s="129" t="s">
        <v>55</v>
      </c>
      <c r="AK1049" s="129">
        <v>4</v>
      </c>
      <c r="AL1049" s="3" t="s">
        <v>55</v>
      </c>
      <c r="AP1049" s="129" t="s">
        <v>110</v>
      </c>
      <c r="AR1049" s="128" t="s">
        <v>50</v>
      </c>
      <c r="AS1049" s="129" t="s">
        <v>74</v>
      </c>
      <c r="AT1049" s="129" t="s">
        <v>518</v>
      </c>
      <c r="BC1049" s="129" t="s">
        <v>38</v>
      </c>
      <c r="BF1049" s="111">
        <f>IF(J1049&gt;1/1/1900,((J1049+1)-I1049),"STILL OPEN")</f>
        <v>31</v>
      </c>
      <c r="BG1049" s="111">
        <f>IF(G1049&gt;1/1/1900,((G1049+1)-I1049),"STILL OPEN")</f>
        <v>31</v>
      </c>
      <c r="BH1049" s="111">
        <f t="shared" si="757"/>
        <v>31</v>
      </c>
      <c r="BI1049" s="111">
        <f t="shared" si="758"/>
        <v>30.60928961748634</v>
      </c>
      <c r="BJ1049" s="129">
        <f t="shared" si="777"/>
        <v>0</v>
      </c>
      <c r="BK1049" s="129">
        <f t="shared" si="759"/>
        <v>0</v>
      </c>
      <c r="BL1049" s="129" t="str">
        <f t="shared" si="788"/>
        <v>NO CONVICTION</v>
      </c>
      <c r="BM1049" s="129" t="str">
        <f t="shared" si="778"/>
        <v>NONE</v>
      </c>
      <c r="BN1049" s="129" t="s">
        <v>566</v>
      </c>
      <c r="BP1049" s="137" t="str">
        <f t="shared" si="762"/>
        <v>NO CONVICTION</v>
      </c>
      <c r="BQ1049" s="128" t="str">
        <f t="shared" si="763"/>
        <v>Y</v>
      </c>
      <c r="BR1049" s="129" t="str">
        <f t="shared" si="779"/>
        <v>DETAINED</v>
      </c>
      <c r="BS1049" s="129" t="str">
        <f t="shared" si="764"/>
        <v>DISPOSED</v>
      </c>
      <c r="BT1049" s="129" t="str">
        <f t="shared" si="765"/>
        <v>Y</v>
      </c>
      <c r="BU1049" s="109">
        <f>IFERROR(Q1049/R1049,BR1049)</f>
        <v>1</v>
      </c>
      <c r="BV1049" s="109">
        <f t="shared" si="767"/>
        <v>1</v>
      </c>
      <c r="BW1049" s="109">
        <f t="shared" si="787"/>
        <v>0</v>
      </c>
      <c r="BX1049" s="111">
        <f t="shared" si="768"/>
        <v>0</v>
      </c>
      <c r="BY1049" s="129">
        <f t="shared" si="769"/>
        <v>-31</v>
      </c>
      <c r="BZ1049" s="111">
        <f t="shared" si="770"/>
        <v>0</v>
      </c>
      <c r="CA1049" s="138">
        <f t="shared" si="771"/>
        <v>31</v>
      </c>
      <c r="CB1049" s="111" t="e">
        <f>IF(AF1049&gt;1/1/1900,((AF1049+1)-AE1049),"STILL OPEN")</f>
        <v>#VALUE!</v>
      </c>
      <c r="CC1049" s="129">
        <f>G1049-I1049+1</f>
        <v>31</v>
      </c>
      <c r="CD1049" s="129">
        <f>G1049-J1049</f>
        <v>0</v>
      </c>
      <c r="CE1049" s="129">
        <f t="shared" si="772"/>
        <v>0</v>
      </c>
      <c r="CG1049" s="129" t="str">
        <f t="shared" si="773"/>
        <v>Y</v>
      </c>
      <c r="CI1049" s="129" t="str">
        <f t="shared" si="781"/>
        <v>31-60 DAYS</v>
      </c>
      <c r="CJ1049" s="137">
        <f t="shared" si="782"/>
        <v>3</v>
      </c>
      <c r="CK1049" s="129" t="str">
        <f t="shared" si="783"/>
        <v>Booked</v>
      </c>
    </row>
    <row r="1050" spans="1:89" ht="15.75" customHeight="1" x14ac:dyDescent="0.25">
      <c r="A1050" s="111">
        <v>684</v>
      </c>
      <c r="B1050" s="128" t="str">
        <f t="shared" si="760"/>
        <v>N</v>
      </c>
      <c r="C1050" s="128" t="str">
        <f t="shared" si="774"/>
        <v>N</v>
      </c>
      <c r="D1050" s="117">
        <v>1756356</v>
      </c>
      <c r="E1050" s="135">
        <f t="shared" si="761"/>
        <v>1</v>
      </c>
      <c r="F1050" s="124">
        <v>40935</v>
      </c>
      <c r="G1050" s="125">
        <v>40981</v>
      </c>
      <c r="H1050" s="117">
        <v>1756356</v>
      </c>
      <c r="I1050" s="124" t="s">
        <v>562</v>
      </c>
      <c r="J1050" s="124" t="s">
        <v>562</v>
      </c>
      <c r="K1050" s="126">
        <v>15000</v>
      </c>
      <c r="L1050" s="127" t="s">
        <v>571</v>
      </c>
      <c r="N1050" s="124" t="s">
        <v>1343</v>
      </c>
      <c r="O1050" s="128" t="s">
        <v>917</v>
      </c>
      <c r="P1050" s="129" t="s">
        <v>55</v>
      </c>
      <c r="Q1050" s="111">
        <f t="shared" si="775"/>
        <v>0</v>
      </c>
      <c r="R1050" s="111">
        <f t="shared" si="786"/>
        <v>47</v>
      </c>
      <c r="S1050" s="129">
        <v>4</v>
      </c>
      <c r="T1050" s="129">
        <v>3</v>
      </c>
      <c r="U1050" s="129">
        <v>3</v>
      </c>
      <c r="W1050" s="111"/>
      <c r="AC1050" s="130"/>
      <c r="AD1050" s="130">
        <v>25653</v>
      </c>
      <c r="AE1050" s="128" t="s">
        <v>32</v>
      </c>
      <c r="AF1050" s="128" t="s">
        <v>33</v>
      </c>
      <c r="AG1050" s="128" t="s">
        <v>872</v>
      </c>
      <c r="AH1050" s="108" t="s">
        <v>58</v>
      </c>
      <c r="AI1050" s="128" t="s">
        <v>118</v>
      </c>
      <c r="AJ1050" s="129" t="s">
        <v>55</v>
      </c>
      <c r="AK1050" s="129">
        <v>2</v>
      </c>
      <c r="AL1050" s="3" t="s">
        <v>55</v>
      </c>
      <c r="AP1050" s="129" t="s">
        <v>43</v>
      </c>
      <c r="AR1050" s="128" t="s">
        <v>44</v>
      </c>
      <c r="AS1050" s="129" t="s">
        <v>45</v>
      </c>
      <c r="BC1050" s="129" t="s">
        <v>38</v>
      </c>
      <c r="BF1050" s="111">
        <v>0</v>
      </c>
      <c r="BG1050" s="111">
        <v>0</v>
      </c>
      <c r="BH1050" s="111">
        <f t="shared" si="757"/>
        <v>47</v>
      </c>
      <c r="BI1050" s="111">
        <f t="shared" si="758"/>
        <v>41.754098360655739</v>
      </c>
      <c r="BJ1050" s="129" t="e">
        <f>(G1050-J1050)+(M1050-G1050)</f>
        <v>#VALUE!</v>
      </c>
      <c r="BK1050" s="129" t="e">
        <f t="shared" si="759"/>
        <v>#VALUE!</v>
      </c>
      <c r="BL1050" s="129" t="str">
        <f t="shared" si="788"/>
        <v>NO CONVICTION</v>
      </c>
      <c r="BM1050" s="129" t="str">
        <f t="shared" si="778"/>
        <v>NONE</v>
      </c>
      <c r="BN1050" s="129" t="s">
        <v>566</v>
      </c>
      <c r="BP1050" s="137" t="str">
        <f t="shared" si="762"/>
        <v>NO CONVICTION</v>
      </c>
      <c r="BQ1050" s="128">
        <f t="shared" si="763"/>
        <v>0</v>
      </c>
      <c r="BR1050" s="129" t="s">
        <v>1345</v>
      </c>
      <c r="BS1050" s="129" t="str">
        <f t="shared" si="764"/>
        <v>DISPOSED</v>
      </c>
      <c r="BT1050" s="129" t="str">
        <f t="shared" si="765"/>
        <v>Y</v>
      </c>
      <c r="BU1050" s="109">
        <f>IFERROR(Q1050/R1050,BR1050)</f>
        <v>0</v>
      </c>
      <c r="BV1050" s="109">
        <v>0</v>
      </c>
      <c r="BW1050" s="109">
        <f t="shared" si="787"/>
        <v>0</v>
      </c>
      <c r="BX1050" s="111">
        <f t="shared" si="768"/>
        <v>0</v>
      </c>
      <c r="BY1050" s="129" t="e">
        <f t="shared" si="769"/>
        <v>#VALUE!</v>
      </c>
      <c r="BZ1050" s="111" t="e">
        <f t="shared" si="770"/>
        <v>#VALUE!</v>
      </c>
      <c r="CA1050" s="138" t="e">
        <f t="shared" si="771"/>
        <v>#VALUE!</v>
      </c>
      <c r="CB1050" s="111">
        <v>0</v>
      </c>
      <c r="CC1050" s="129">
        <v>0</v>
      </c>
      <c r="CE1050" s="129" t="e">
        <f t="shared" si="772"/>
        <v>#VALUE!</v>
      </c>
      <c r="CG1050" s="129" t="str">
        <f t="shared" si="773"/>
        <v>Y</v>
      </c>
      <c r="CI1050" s="129" t="str">
        <f t="shared" si="781"/>
        <v>0-10 DAYS</v>
      </c>
      <c r="CJ1050" s="137">
        <f t="shared" si="782"/>
        <v>1</v>
      </c>
      <c r="CK1050" s="129" t="str">
        <f t="shared" si="783"/>
        <v>Not Booked</v>
      </c>
    </row>
    <row r="1051" spans="1:89" ht="15.75" customHeight="1" x14ac:dyDescent="0.25">
      <c r="A1051" s="111">
        <v>2411</v>
      </c>
      <c r="B1051" s="128" t="str">
        <f t="shared" si="760"/>
        <v>N</v>
      </c>
      <c r="C1051" s="128" t="str">
        <f t="shared" si="774"/>
        <v>N</v>
      </c>
      <c r="D1051" s="117">
        <v>1756581</v>
      </c>
      <c r="E1051" s="135">
        <f t="shared" si="761"/>
        <v>5</v>
      </c>
      <c r="F1051" s="124">
        <v>41000</v>
      </c>
      <c r="G1051" s="125">
        <v>41045</v>
      </c>
      <c r="H1051" s="117">
        <v>1756581</v>
      </c>
      <c r="I1051" s="124">
        <v>41000</v>
      </c>
      <c r="J1051" s="124">
        <v>41045</v>
      </c>
      <c r="K1051" s="126">
        <v>15000</v>
      </c>
      <c r="L1051" s="127" t="s">
        <v>571</v>
      </c>
      <c r="N1051" s="129" t="str">
        <f>IF(M1051&gt;1/1/1,"Y","N")</f>
        <v>N</v>
      </c>
      <c r="O1051" s="128" t="s">
        <v>917</v>
      </c>
      <c r="P1051" s="129" t="s">
        <v>39</v>
      </c>
      <c r="Q1051" s="111">
        <f t="shared" si="775"/>
        <v>46</v>
      </c>
      <c r="R1051" s="111">
        <f t="shared" si="786"/>
        <v>46</v>
      </c>
      <c r="S1051" s="129">
        <v>8</v>
      </c>
      <c r="T1051" s="129">
        <v>2</v>
      </c>
      <c r="U1051" s="129">
        <v>1</v>
      </c>
      <c r="W1051" s="111"/>
      <c r="AC1051" s="130"/>
      <c r="AD1051" s="130">
        <v>26427</v>
      </c>
      <c r="AE1051" s="128" t="s">
        <v>32</v>
      </c>
      <c r="AF1051" s="128" t="s">
        <v>69</v>
      </c>
      <c r="AG1051" s="128" t="s">
        <v>874</v>
      </c>
      <c r="AH1051" s="108" t="s">
        <v>31</v>
      </c>
      <c r="AI1051" s="128" t="s">
        <v>71</v>
      </c>
      <c r="AJ1051" s="129" t="s">
        <v>89</v>
      </c>
      <c r="AK1051" s="129">
        <v>3</v>
      </c>
      <c r="AL1051" s="3" t="s">
        <v>992</v>
      </c>
      <c r="AN1051" s="117">
        <v>6</v>
      </c>
      <c r="AP1051" s="129" t="s">
        <v>60</v>
      </c>
      <c r="AR1051" s="128" t="s">
        <v>44</v>
      </c>
      <c r="AS1051" s="129" t="s">
        <v>61</v>
      </c>
      <c r="AT1051" s="129" t="s">
        <v>436</v>
      </c>
      <c r="BC1051" s="129" t="s">
        <v>38</v>
      </c>
      <c r="BF1051" s="111">
        <f t="shared" ref="BF1051:BF1073" si="789">IF(J1051&gt;1/1/1900,((J1051+1)-I1051),"STILL OPEN")</f>
        <v>46</v>
      </c>
      <c r="BG1051" s="111">
        <f t="shared" ref="BG1051:BG1098" si="790">IF(G1051&gt;1/1/1900,((G1051+1)-I1051),"STILL OPEN")</f>
        <v>46</v>
      </c>
      <c r="BH1051" s="111">
        <f t="shared" si="757"/>
        <v>46</v>
      </c>
      <c r="BI1051" s="111">
        <f t="shared" si="758"/>
        <v>39.81693989071038</v>
      </c>
      <c r="BJ1051" s="129">
        <f t="shared" si="777"/>
        <v>0</v>
      </c>
      <c r="BK1051" s="129">
        <f t="shared" si="759"/>
        <v>0</v>
      </c>
      <c r="BL1051" s="129" t="str">
        <f t="shared" si="788"/>
        <v>CONVICTION</v>
      </c>
      <c r="BM1051" s="129" t="str">
        <f t="shared" si="778"/>
        <v>NONE</v>
      </c>
      <c r="BN1051" s="129" t="s">
        <v>566</v>
      </c>
      <c r="BP1051" s="137" t="str">
        <f t="shared" si="762"/>
        <v>CONVICTION</v>
      </c>
      <c r="BQ1051" s="128" t="str">
        <f t="shared" si="763"/>
        <v>Y</v>
      </c>
      <c r="BR1051" s="129" t="str">
        <f t="shared" si="779"/>
        <v>DETAINED</v>
      </c>
      <c r="BS1051" s="129" t="str">
        <f t="shared" si="764"/>
        <v>DISPOSED</v>
      </c>
      <c r="BT1051" s="129" t="str">
        <f t="shared" si="765"/>
        <v>Y</v>
      </c>
      <c r="BU1051" s="109">
        <f t="shared" si="766"/>
        <v>1</v>
      </c>
      <c r="BV1051" s="109">
        <f t="shared" si="767"/>
        <v>1</v>
      </c>
      <c r="BW1051" s="109">
        <f t="shared" si="787"/>
        <v>0</v>
      </c>
      <c r="BX1051" s="111">
        <f t="shared" si="768"/>
        <v>0</v>
      </c>
      <c r="BY1051" s="129">
        <f t="shared" si="769"/>
        <v>-46</v>
      </c>
      <c r="BZ1051" s="111">
        <f t="shared" si="770"/>
        <v>0</v>
      </c>
      <c r="CA1051" s="138">
        <f t="shared" si="771"/>
        <v>46</v>
      </c>
      <c r="CB1051" s="111" t="e">
        <f t="shared" ref="CB1051:CB1073" si="791">IF(AF1051&gt;1/1/1900,((AF1051+1)-AE1051),"STILL OPEN")</f>
        <v>#VALUE!</v>
      </c>
      <c r="CC1051" s="129">
        <f>G1051-I1051+1</f>
        <v>46</v>
      </c>
      <c r="CD1051" s="129">
        <f>G1051-J1051</f>
        <v>0</v>
      </c>
      <c r="CE1051" s="129">
        <f t="shared" si="772"/>
        <v>0</v>
      </c>
      <c r="CG1051" s="129" t="str">
        <f t="shared" si="773"/>
        <v>Y</v>
      </c>
      <c r="CI1051" s="129" t="str">
        <f t="shared" si="781"/>
        <v>31-60 DAYS</v>
      </c>
      <c r="CJ1051" s="137">
        <f t="shared" si="782"/>
        <v>3</v>
      </c>
      <c r="CK1051" s="129" t="str">
        <f t="shared" si="783"/>
        <v>Booked</v>
      </c>
    </row>
    <row r="1052" spans="1:89" ht="15" customHeight="1" x14ac:dyDescent="0.25">
      <c r="A1052" s="111">
        <v>2414</v>
      </c>
      <c r="B1052" s="128" t="str">
        <f t="shared" si="760"/>
        <v>N</v>
      </c>
      <c r="C1052" s="128" t="str">
        <f t="shared" si="774"/>
        <v>N</v>
      </c>
      <c r="D1052" s="117">
        <v>1757073</v>
      </c>
      <c r="E1052" s="135">
        <f t="shared" si="761"/>
        <v>3</v>
      </c>
      <c r="F1052" s="124">
        <v>41000</v>
      </c>
      <c r="G1052" s="125">
        <v>41001</v>
      </c>
      <c r="H1052" s="117">
        <v>1757073</v>
      </c>
      <c r="I1052" s="124">
        <v>41000</v>
      </c>
      <c r="J1052" s="124">
        <v>41001</v>
      </c>
      <c r="K1052" s="126">
        <v>10000</v>
      </c>
      <c r="L1052" s="127" t="s">
        <v>570</v>
      </c>
      <c r="M1052" s="125">
        <v>41001</v>
      </c>
      <c r="N1052" s="129" t="str">
        <f>IF(M1052&gt;1/1/1,"Y","N")</f>
        <v>Y</v>
      </c>
      <c r="O1052" s="128" t="s">
        <v>76</v>
      </c>
      <c r="P1052" s="129" t="s">
        <v>39</v>
      </c>
      <c r="Q1052" s="111">
        <f t="shared" si="775"/>
        <v>2</v>
      </c>
      <c r="R1052" s="111">
        <f t="shared" si="786"/>
        <v>2</v>
      </c>
      <c r="S1052" s="129">
        <v>0</v>
      </c>
      <c r="T1052" s="129">
        <v>0</v>
      </c>
      <c r="W1052" s="111"/>
      <c r="AC1052" s="130"/>
      <c r="AD1052" s="130">
        <v>22314</v>
      </c>
      <c r="AE1052" s="128" t="s">
        <v>32</v>
      </c>
      <c r="AF1052" s="128" t="s">
        <v>40</v>
      </c>
      <c r="AG1052" s="128" t="s">
        <v>41</v>
      </c>
      <c r="AH1052" s="108" t="s">
        <v>41</v>
      </c>
      <c r="AI1052" s="128" t="s">
        <v>85</v>
      </c>
      <c r="AJ1052" s="129" t="s">
        <v>89</v>
      </c>
      <c r="AK1052" s="129">
        <v>1</v>
      </c>
      <c r="AL1052" s="3" t="s">
        <v>185</v>
      </c>
      <c r="AP1052" s="129" t="s">
        <v>66</v>
      </c>
      <c r="AR1052" s="128" t="s">
        <v>67</v>
      </c>
      <c r="AS1052" s="129" t="s">
        <v>68</v>
      </c>
      <c r="BC1052" s="129" t="s">
        <v>38</v>
      </c>
      <c r="BF1052" s="111">
        <f t="shared" si="789"/>
        <v>2</v>
      </c>
      <c r="BG1052" s="111">
        <f t="shared" si="790"/>
        <v>2</v>
      </c>
      <c r="BH1052" s="111">
        <f t="shared" si="757"/>
        <v>2</v>
      </c>
      <c r="BI1052" s="111">
        <f t="shared" si="758"/>
        <v>51.05464480874317</v>
      </c>
      <c r="BJ1052" s="129">
        <f>G1052-J1052</f>
        <v>0</v>
      </c>
      <c r="BK1052" s="129">
        <f t="shared" si="759"/>
        <v>0</v>
      </c>
      <c r="BL1052" s="129" t="str">
        <f t="shared" si="788"/>
        <v>CONVICTION</v>
      </c>
      <c r="BM1052" s="129" t="s">
        <v>76</v>
      </c>
      <c r="BN1052" s="129" t="s">
        <v>88</v>
      </c>
      <c r="BP1052" s="137" t="str">
        <f t="shared" si="762"/>
        <v>CONVICTION</v>
      </c>
      <c r="BQ1052" s="128" t="str">
        <f t="shared" si="763"/>
        <v>Y</v>
      </c>
      <c r="BR1052" s="129" t="s">
        <v>575</v>
      </c>
      <c r="BS1052" s="129" t="str">
        <f t="shared" si="764"/>
        <v>DISPOSED</v>
      </c>
      <c r="BT1052" s="129" t="str">
        <f t="shared" si="765"/>
        <v>N</v>
      </c>
      <c r="BU1052" s="109">
        <f t="shared" si="766"/>
        <v>1</v>
      </c>
      <c r="BV1052" s="109">
        <f t="shared" si="767"/>
        <v>1</v>
      </c>
      <c r="BW1052" s="109">
        <f t="shared" si="787"/>
        <v>0</v>
      </c>
      <c r="BX1052" s="111">
        <f t="shared" si="768"/>
        <v>0</v>
      </c>
      <c r="BY1052" s="129">
        <f t="shared" si="769"/>
        <v>-2</v>
      </c>
      <c r="BZ1052" s="111">
        <f t="shared" si="770"/>
        <v>0</v>
      </c>
      <c r="CA1052" s="138">
        <f t="shared" si="771"/>
        <v>2</v>
      </c>
      <c r="CB1052" s="111" t="e">
        <f t="shared" si="791"/>
        <v>#VALUE!</v>
      </c>
      <c r="CC1052" s="129">
        <f>M1052-I1052+1</f>
        <v>2</v>
      </c>
      <c r="CD1052" s="111">
        <f>CC1052-BF1052</f>
        <v>0</v>
      </c>
      <c r="CE1052" s="129">
        <f t="shared" si="772"/>
        <v>0</v>
      </c>
      <c r="CG1052" s="129" t="str">
        <f t="shared" si="773"/>
        <v>N</v>
      </c>
      <c r="CI1052" s="129" t="str">
        <f t="shared" si="781"/>
        <v>0-10 DAYS</v>
      </c>
      <c r="CJ1052" s="137">
        <f t="shared" si="782"/>
        <v>1</v>
      </c>
      <c r="CK1052" s="129" t="str">
        <f t="shared" si="783"/>
        <v>Booked</v>
      </c>
    </row>
    <row r="1053" spans="1:89" ht="15.75" customHeight="1" x14ac:dyDescent="0.25">
      <c r="A1053" s="111">
        <v>690</v>
      </c>
      <c r="B1053" s="128" t="str">
        <f t="shared" si="760"/>
        <v>N</v>
      </c>
      <c r="C1053" s="128" t="str">
        <f t="shared" si="774"/>
        <v>N</v>
      </c>
      <c r="D1053" s="117">
        <v>1757960</v>
      </c>
      <c r="E1053" s="135">
        <f t="shared" si="761"/>
        <v>6</v>
      </c>
      <c r="F1053" s="124">
        <v>40936</v>
      </c>
      <c r="G1053" s="125">
        <v>41046</v>
      </c>
      <c r="H1053" s="117">
        <v>1757960</v>
      </c>
      <c r="I1053" s="124">
        <v>40941</v>
      </c>
      <c r="J1053" s="124">
        <v>41046</v>
      </c>
      <c r="K1053" s="126" t="s">
        <v>564</v>
      </c>
      <c r="L1053" s="127" t="s">
        <v>564</v>
      </c>
      <c r="N1053" s="129" t="s">
        <v>566</v>
      </c>
      <c r="O1053" s="128" t="s">
        <v>917</v>
      </c>
      <c r="P1053" s="129" t="s">
        <v>39</v>
      </c>
      <c r="Q1053" s="111">
        <f t="shared" si="775"/>
        <v>106</v>
      </c>
      <c r="R1053" s="111">
        <f t="shared" si="786"/>
        <v>111</v>
      </c>
      <c r="S1053" s="129">
        <v>3</v>
      </c>
      <c r="T1053" s="129">
        <v>9</v>
      </c>
      <c r="U1053" s="129">
        <v>2</v>
      </c>
      <c r="W1053" s="111"/>
      <c r="AB1053" s="131" t="s">
        <v>112</v>
      </c>
      <c r="AC1053" s="130"/>
      <c r="AD1053" s="130">
        <v>30000</v>
      </c>
      <c r="AE1053" s="128" t="s">
        <v>32</v>
      </c>
      <c r="AF1053" s="128" t="s">
        <v>40</v>
      </c>
      <c r="AG1053" s="128" t="s">
        <v>41</v>
      </c>
      <c r="AH1053" s="108" t="s">
        <v>31</v>
      </c>
      <c r="AI1053" s="128" t="s">
        <v>65</v>
      </c>
      <c r="AJ1053" s="129" t="s">
        <v>89</v>
      </c>
      <c r="AK1053" s="129">
        <v>6</v>
      </c>
      <c r="AL1053" s="3" t="s">
        <v>362</v>
      </c>
      <c r="AM1053" s="117">
        <v>3</v>
      </c>
      <c r="AP1053" s="129" t="s">
        <v>107</v>
      </c>
      <c r="AR1053" s="128" t="s">
        <v>44</v>
      </c>
      <c r="AS1053" s="129" t="s">
        <v>57</v>
      </c>
      <c r="BC1053" s="129" t="s">
        <v>38</v>
      </c>
      <c r="BF1053" s="111">
        <f t="shared" si="789"/>
        <v>106</v>
      </c>
      <c r="BG1053" s="111">
        <f t="shared" si="790"/>
        <v>106</v>
      </c>
      <c r="BH1053" s="111">
        <f t="shared" si="757"/>
        <v>111</v>
      </c>
      <c r="BI1053" s="111">
        <f t="shared" si="758"/>
        <v>29.879781420765028</v>
      </c>
      <c r="BJ1053" s="129">
        <f t="shared" si="777"/>
        <v>0</v>
      </c>
      <c r="BK1053" s="129">
        <f t="shared" si="759"/>
        <v>0</v>
      </c>
      <c r="BL1053" s="129" t="str">
        <f t="shared" si="788"/>
        <v>CONVICTION</v>
      </c>
      <c r="BM1053" s="129" t="str">
        <f t="shared" si="778"/>
        <v>NONE</v>
      </c>
      <c r="BN1053" s="129" t="s">
        <v>566</v>
      </c>
      <c r="BP1053" s="137" t="str">
        <f t="shared" si="762"/>
        <v>CONVICTION</v>
      </c>
      <c r="BQ1053" s="128" t="str">
        <f t="shared" si="763"/>
        <v>Y</v>
      </c>
      <c r="BR1053" s="129" t="str">
        <f t="shared" si="779"/>
        <v>DETAINED</v>
      </c>
      <c r="BS1053" s="129" t="str">
        <f t="shared" si="764"/>
        <v>DISPOSED</v>
      </c>
      <c r="BT1053" s="129" t="str">
        <f t="shared" si="765"/>
        <v>Y</v>
      </c>
      <c r="BU1053" s="109">
        <f t="shared" si="766"/>
        <v>0.95495495495495497</v>
      </c>
      <c r="BV1053" s="109">
        <f t="shared" si="767"/>
        <v>1</v>
      </c>
      <c r="BW1053" s="109">
        <f t="shared" si="787"/>
        <v>4.5045045045045029E-2</v>
      </c>
      <c r="BX1053" s="111">
        <f t="shared" si="768"/>
        <v>0</v>
      </c>
      <c r="BY1053" s="129">
        <f t="shared" si="769"/>
        <v>-106</v>
      </c>
      <c r="BZ1053" s="111">
        <f t="shared" si="770"/>
        <v>0</v>
      </c>
      <c r="CA1053" s="138">
        <f t="shared" si="771"/>
        <v>106</v>
      </c>
      <c r="CB1053" s="111" t="e">
        <f t="shared" si="791"/>
        <v>#VALUE!</v>
      </c>
      <c r="CC1053" s="129">
        <f>G1053-I1053+1</f>
        <v>106</v>
      </c>
      <c r="CD1053" s="129">
        <f>G1053-J1053</f>
        <v>0</v>
      </c>
      <c r="CE1053" s="129">
        <f t="shared" si="772"/>
        <v>0</v>
      </c>
      <c r="CG1053" s="129" t="str">
        <f t="shared" si="773"/>
        <v>Y</v>
      </c>
      <c r="CI1053" s="129" t="str">
        <f t="shared" si="781"/>
        <v>91-120 DAYS</v>
      </c>
      <c r="CJ1053" s="137">
        <f t="shared" si="782"/>
        <v>0</v>
      </c>
      <c r="CK1053" s="129" t="str">
        <f t="shared" si="783"/>
        <v>Booked</v>
      </c>
    </row>
    <row r="1054" spans="1:89" ht="15" customHeight="1" x14ac:dyDescent="0.25">
      <c r="A1054" s="111">
        <v>230</v>
      </c>
      <c r="B1054" s="128" t="str">
        <f t="shared" si="760"/>
        <v>N</v>
      </c>
      <c r="C1054" s="128" t="str">
        <f t="shared" si="774"/>
        <v>N</v>
      </c>
      <c r="D1054" s="117">
        <v>1761473</v>
      </c>
      <c r="E1054" s="135">
        <f t="shared" si="761"/>
        <v>6</v>
      </c>
      <c r="F1054" s="124">
        <v>40916</v>
      </c>
      <c r="G1054" s="125">
        <v>41675</v>
      </c>
      <c r="H1054" s="117">
        <v>1761473</v>
      </c>
      <c r="I1054" s="124">
        <v>40919</v>
      </c>
      <c r="J1054" s="124">
        <v>41675</v>
      </c>
      <c r="K1054" s="126">
        <v>60000</v>
      </c>
      <c r="L1054" s="129" t="s">
        <v>572</v>
      </c>
      <c r="N1054" s="129" t="s">
        <v>566</v>
      </c>
      <c r="O1054" s="128" t="s">
        <v>917</v>
      </c>
      <c r="P1054" s="129" t="s">
        <v>39</v>
      </c>
      <c r="Q1054" s="111">
        <v>760</v>
      </c>
      <c r="R1054" s="111">
        <f t="shared" si="786"/>
        <v>760</v>
      </c>
      <c r="S1054" s="129">
        <v>4</v>
      </c>
      <c r="T1054" s="129">
        <v>2</v>
      </c>
      <c r="U1054" s="129">
        <v>2</v>
      </c>
      <c r="W1054" s="111"/>
      <c r="AC1054" s="130"/>
      <c r="AD1054" s="130">
        <v>30333</v>
      </c>
      <c r="AE1054" s="128" t="s">
        <v>32</v>
      </c>
      <c r="AF1054" s="128" t="s">
        <v>40</v>
      </c>
      <c r="AG1054" s="128" t="s">
        <v>41</v>
      </c>
      <c r="AH1054" s="108" t="s">
        <v>41</v>
      </c>
      <c r="AI1054" s="128" t="s">
        <v>80</v>
      </c>
      <c r="AJ1054" s="129" t="s">
        <v>89</v>
      </c>
      <c r="AK1054" s="129">
        <v>39</v>
      </c>
      <c r="AL1054" s="3" t="s">
        <v>362</v>
      </c>
      <c r="AM1054" s="117">
        <v>20</v>
      </c>
      <c r="AP1054" s="129" t="s">
        <v>105</v>
      </c>
      <c r="AR1054" s="128" t="s">
        <v>92</v>
      </c>
      <c r="AS1054" s="129" t="s">
        <v>106</v>
      </c>
      <c r="AT1054" s="129" t="s">
        <v>1356</v>
      </c>
      <c r="BC1054" s="129" t="s">
        <v>38</v>
      </c>
      <c r="BF1054" s="111">
        <v>760</v>
      </c>
      <c r="BG1054" s="111">
        <v>760</v>
      </c>
      <c r="BH1054" s="111">
        <f t="shared" si="757"/>
        <v>760</v>
      </c>
      <c r="BI1054" s="111">
        <f t="shared" si="758"/>
        <v>28.915300546448087</v>
      </c>
      <c r="BJ1054" s="129">
        <f t="shared" si="777"/>
        <v>0</v>
      </c>
      <c r="BK1054" s="129">
        <f t="shared" si="759"/>
        <v>0</v>
      </c>
      <c r="BL1054" s="129" t="str">
        <f t="shared" si="788"/>
        <v>CONVICTION</v>
      </c>
      <c r="BM1054" s="129" t="str">
        <f t="shared" si="778"/>
        <v>NONE</v>
      </c>
      <c r="BN1054" s="129" t="s">
        <v>566</v>
      </c>
      <c r="BP1054" s="137" t="str">
        <f t="shared" si="762"/>
        <v>CONVICTION</v>
      </c>
      <c r="BQ1054" s="128" t="str">
        <f t="shared" si="763"/>
        <v>Y</v>
      </c>
      <c r="BR1054" s="129" t="s">
        <v>574</v>
      </c>
      <c r="BS1054" s="129" t="s">
        <v>1259</v>
      </c>
      <c r="BT1054" s="129" t="str">
        <f t="shared" si="765"/>
        <v>Y</v>
      </c>
      <c r="BU1054" s="109">
        <f>IFERROR(Q1054/R1054,BR1054)</f>
        <v>1</v>
      </c>
      <c r="BV1054" s="139">
        <v>1</v>
      </c>
      <c r="BW1054" s="109">
        <v>0</v>
      </c>
      <c r="BX1054" s="111">
        <f t="shared" si="768"/>
        <v>0</v>
      </c>
      <c r="BY1054" s="129">
        <f t="shared" si="769"/>
        <v>-757</v>
      </c>
      <c r="BZ1054" s="111">
        <f t="shared" si="770"/>
        <v>3</v>
      </c>
      <c r="CA1054" s="138">
        <f t="shared" si="771"/>
        <v>757</v>
      </c>
      <c r="CB1054" s="111" t="e">
        <v>#VALUE!</v>
      </c>
      <c r="CC1054" s="129">
        <v>760</v>
      </c>
      <c r="CE1054" s="129">
        <f t="shared" si="772"/>
        <v>0</v>
      </c>
      <c r="CG1054" s="129" t="str">
        <f t="shared" si="773"/>
        <v>Y</v>
      </c>
      <c r="CH1054" s="129" t="e">
        <v>#N/A</v>
      </c>
      <c r="CI1054" s="129" t="str">
        <f t="shared" si="781"/>
        <v>&gt;2YRS&lt;3YRS</v>
      </c>
      <c r="CJ1054" s="137">
        <f t="shared" si="782"/>
        <v>8</v>
      </c>
      <c r="CK1054" s="129" t="str">
        <f t="shared" si="783"/>
        <v>Booked</v>
      </c>
    </row>
    <row r="1055" spans="1:89" ht="15.75" customHeight="1" x14ac:dyDescent="0.25">
      <c r="A1055" s="111">
        <v>1764</v>
      </c>
      <c r="B1055" s="128" t="str">
        <f t="shared" si="760"/>
        <v>N</v>
      </c>
      <c r="C1055" s="128" t="str">
        <f t="shared" si="774"/>
        <v>N</v>
      </c>
      <c r="D1055" s="117">
        <v>1761823</v>
      </c>
      <c r="E1055" s="135">
        <f t="shared" si="761"/>
        <v>4</v>
      </c>
      <c r="F1055" s="124">
        <v>40974</v>
      </c>
      <c r="G1055" s="125">
        <v>41435</v>
      </c>
      <c r="H1055" s="117">
        <v>1761823</v>
      </c>
      <c r="I1055" s="124">
        <v>40975</v>
      </c>
      <c r="J1055" s="124">
        <v>40977</v>
      </c>
      <c r="K1055" s="126">
        <v>10000</v>
      </c>
      <c r="L1055" s="127" t="s">
        <v>570</v>
      </c>
      <c r="M1055" s="125">
        <v>40977</v>
      </c>
      <c r="N1055" s="129" t="str">
        <f>IF(M1055&gt;1/1/1,"Y","N")</f>
        <v>Y</v>
      </c>
      <c r="O1055" s="128" t="s">
        <v>76</v>
      </c>
      <c r="P1055" s="129" t="s">
        <v>39</v>
      </c>
      <c r="Q1055" s="111">
        <f t="shared" si="775"/>
        <v>3</v>
      </c>
      <c r="R1055" s="111">
        <f t="shared" si="786"/>
        <v>462</v>
      </c>
      <c r="S1055" s="129">
        <v>2</v>
      </c>
      <c r="T1055" s="129">
        <v>2</v>
      </c>
      <c r="U1055" s="129">
        <v>2</v>
      </c>
      <c r="W1055" s="111"/>
      <c r="AC1055" s="130"/>
      <c r="AD1055" s="130">
        <v>30110</v>
      </c>
      <c r="AE1055" s="128" t="s">
        <v>32</v>
      </c>
      <c r="AF1055" s="128" t="s">
        <v>69</v>
      </c>
      <c r="AG1055" s="128" t="s">
        <v>874</v>
      </c>
      <c r="AH1055" s="108" t="s">
        <v>58</v>
      </c>
      <c r="AI1055" s="128" t="s">
        <v>85</v>
      </c>
      <c r="AJ1055" s="129" t="s">
        <v>89</v>
      </c>
      <c r="AK1055" s="129">
        <v>14</v>
      </c>
      <c r="AL1055" s="3" t="s">
        <v>991</v>
      </c>
      <c r="AO1055" s="128">
        <v>45</v>
      </c>
      <c r="AP1055" s="129" t="s">
        <v>175</v>
      </c>
      <c r="AR1055" s="128" t="s">
        <v>44</v>
      </c>
      <c r="AS1055" s="129" t="s">
        <v>45</v>
      </c>
      <c r="BC1055" s="129" t="s">
        <v>52</v>
      </c>
      <c r="BF1055" s="111">
        <f t="shared" si="789"/>
        <v>3</v>
      </c>
      <c r="BG1055" s="111">
        <f t="shared" si="790"/>
        <v>461</v>
      </c>
      <c r="BH1055" s="111">
        <f t="shared" si="757"/>
        <v>462</v>
      </c>
      <c r="BI1055" s="111">
        <f t="shared" si="758"/>
        <v>29.683060109289617</v>
      </c>
      <c r="BJ1055" s="129">
        <f>(G1055-J1055)+(M1055-G1055)</f>
        <v>0</v>
      </c>
      <c r="BK1055" s="129">
        <f t="shared" si="759"/>
        <v>-458</v>
      </c>
      <c r="BL1055" s="129" t="str">
        <f t="shared" si="788"/>
        <v>CONVICTION</v>
      </c>
      <c r="BM1055" s="129" t="s">
        <v>76</v>
      </c>
      <c r="BN1055" s="129" t="s">
        <v>88</v>
      </c>
      <c r="BP1055" s="137" t="str">
        <f t="shared" si="762"/>
        <v>CONVICTION</v>
      </c>
      <c r="BQ1055" s="128" t="str">
        <f t="shared" si="763"/>
        <v>Y</v>
      </c>
      <c r="BR1055" s="129" t="str">
        <f>IF(J1055&lt;G1055,"ON BOND",0)</f>
        <v>ON BOND</v>
      </c>
      <c r="BS1055" s="129" t="str">
        <f t="shared" si="764"/>
        <v>DISPOSED</v>
      </c>
      <c r="BT1055" s="129" t="str">
        <f t="shared" si="765"/>
        <v>Y</v>
      </c>
      <c r="BU1055" s="109">
        <f t="shared" si="766"/>
        <v>6.4935064935064939E-3</v>
      </c>
      <c r="BV1055" s="109">
        <f t="shared" si="767"/>
        <v>6.5075921908893707E-3</v>
      </c>
      <c r="BW1055" s="109">
        <f t="shared" ref="BW1055:BW1118" si="792">BV1055-BU1055</f>
        <v>1.4085697382876759E-5</v>
      </c>
      <c r="BX1055" s="111">
        <f t="shared" si="768"/>
        <v>0</v>
      </c>
      <c r="BY1055" s="129">
        <f t="shared" si="769"/>
        <v>-3</v>
      </c>
      <c r="BZ1055" s="111">
        <f t="shared" si="770"/>
        <v>0</v>
      </c>
      <c r="CA1055" s="138">
        <f t="shared" si="771"/>
        <v>3</v>
      </c>
      <c r="CB1055" s="111" t="e">
        <f t="shared" si="791"/>
        <v>#VALUE!</v>
      </c>
      <c r="CC1055" s="129">
        <f>M1055-I1055+1</f>
        <v>3</v>
      </c>
      <c r="CD1055" s="111">
        <f>CC1055-BF1055</f>
        <v>0</v>
      </c>
      <c r="CE1055" s="129">
        <f t="shared" si="772"/>
        <v>458</v>
      </c>
      <c r="CG1055" s="129" t="str">
        <f t="shared" si="773"/>
        <v>Y</v>
      </c>
      <c r="CI1055" s="129" t="str">
        <f t="shared" si="781"/>
        <v>0-10 DAYS</v>
      </c>
      <c r="CJ1055" s="137">
        <f t="shared" si="782"/>
        <v>1</v>
      </c>
      <c r="CK1055" s="129" t="str">
        <f t="shared" si="783"/>
        <v>Booked</v>
      </c>
    </row>
    <row r="1056" spans="1:89" ht="15.75" customHeight="1" x14ac:dyDescent="0.25">
      <c r="A1056" s="111">
        <v>1337</v>
      </c>
      <c r="B1056" s="128" t="str">
        <f t="shared" si="760"/>
        <v>N</v>
      </c>
      <c r="C1056" s="128" t="str">
        <f t="shared" si="774"/>
        <v>N</v>
      </c>
      <c r="D1056" s="117">
        <v>1762061</v>
      </c>
      <c r="E1056" s="135">
        <f t="shared" si="761"/>
        <v>6</v>
      </c>
      <c r="F1056" s="124">
        <v>40957</v>
      </c>
      <c r="G1056" s="125">
        <v>41128</v>
      </c>
      <c r="H1056" s="117">
        <v>1762061</v>
      </c>
      <c r="I1056" s="124">
        <v>40958</v>
      </c>
      <c r="J1056" s="124">
        <v>41128</v>
      </c>
      <c r="K1056" s="126">
        <v>35000</v>
      </c>
      <c r="L1056" s="129" t="s">
        <v>572</v>
      </c>
      <c r="N1056" s="129" t="str">
        <f>IF(M1056&gt;1/1/1,"Y","N")</f>
        <v>N</v>
      </c>
      <c r="O1056" s="128" t="s">
        <v>917</v>
      </c>
      <c r="P1056" s="129" t="s">
        <v>39</v>
      </c>
      <c r="Q1056" s="111">
        <f t="shared" si="775"/>
        <v>171</v>
      </c>
      <c r="R1056" s="111">
        <f t="shared" si="786"/>
        <v>172</v>
      </c>
      <c r="S1056" s="129">
        <v>0</v>
      </c>
      <c r="T1056" s="129">
        <v>2</v>
      </c>
      <c r="W1056" s="111"/>
      <c r="AB1056" s="131" t="s">
        <v>112</v>
      </c>
      <c r="AC1056" s="130"/>
      <c r="AD1056" s="130">
        <v>25495</v>
      </c>
      <c r="AE1056" s="128" t="s">
        <v>32</v>
      </c>
      <c r="AF1056" s="128" t="s">
        <v>40</v>
      </c>
      <c r="AG1056" s="128" t="s">
        <v>41</v>
      </c>
      <c r="AH1056" s="108" t="s">
        <v>31</v>
      </c>
      <c r="AI1056" s="128" t="s">
        <v>97</v>
      </c>
      <c r="AJ1056" s="129" t="s">
        <v>89</v>
      </c>
      <c r="AK1056" s="129">
        <v>10</v>
      </c>
      <c r="AL1056" s="3" t="s">
        <v>362</v>
      </c>
      <c r="AM1056" s="117">
        <v>2</v>
      </c>
      <c r="AP1056" s="129" t="s">
        <v>66</v>
      </c>
      <c r="AR1056" s="128" t="s">
        <v>67</v>
      </c>
      <c r="AS1056" s="129" t="s">
        <v>68</v>
      </c>
      <c r="BC1056" s="129" t="s">
        <v>52</v>
      </c>
      <c r="BF1056" s="111">
        <f t="shared" si="789"/>
        <v>171</v>
      </c>
      <c r="BG1056" s="111">
        <f t="shared" si="790"/>
        <v>171</v>
      </c>
      <c r="BH1056" s="111">
        <f t="shared" si="757"/>
        <v>172</v>
      </c>
      <c r="BI1056" s="111">
        <f t="shared" si="758"/>
        <v>42.245901639344261</v>
      </c>
      <c r="BJ1056" s="129">
        <f t="shared" si="777"/>
        <v>0</v>
      </c>
      <c r="BK1056" s="129">
        <f t="shared" si="759"/>
        <v>0</v>
      </c>
      <c r="BL1056" s="129" t="str">
        <f t="shared" si="788"/>
        <v>CONVICTION</v>
      </c>
      <c r="BM1056" s="129" t="str">
        <f t="shared" si="778"/>
        <v>NONE</v>
      </c>
      <c r="BN1056" s="129" t="s">
        <v>566</v>
      </c>
      <c r="BP1056" s="137" t="str">
        <f t="shared" si="762"/>
        <v>CONVICTION</v>
      </c>
      <c r="BQ1056" s="128" t="str">
        <f t="shared" si="763"/>
        <v>Y</v>
      </c>
      <c r="BR1056" s="129" t="str">
        <f t="shared" si="779"/>
        <v>DETAINED</v>
      </c>
      <c r="BS1056" s="129" t="str">
        <f t="shared" si="764"/>
        <v>DISPOSED</v>
      </c>
      <c r="BT1056" s="129" t="str">
        <f t="shared" si="765"/>
        <v>N</v>
      </c>
      <c r="BU1056" s="109">
        <f t="shared" si="766"/>
        <v>0.9941860465116279</v>
      </c>
      <c r="BV1056" s="109">
        <f t="shared" si="767"/>
        <v>1</v>
      </c>
      <c r="BW1056" s="109">
        <f t="shared" si="792"/>
        <v>5.8139534883721034E-3</v>
      </c>
      <c r="BX1056" s="111">
        <f t="shared" si="768"/>
        <v>0</v>
      </c>
      <c r="BY1056" s="129">
        <f t="shared" si="769"/>
        <v>-171</v>
      </c>
      <c r="BZ1056" s="111">
        <f t="shared" si="770"/>
        <v>0</v>
      </c>
      <c r="CA1056" s="138">
        <f t="shared" si="771"/>
        <v>171</v>
      </c>
      <c r="CB1056" s="111" t="e">
        <f t="shared" si="791"/>
        <v>#VALUE!</v>
      </c>
      <c r="CC1056" s="129">
        <f>G1056-I1056+1</f>
        <v>171</v>
      </c>
      <c r="CD1056" s="129">
        <f>G1056-J1056</f>
        <v>0</v>
      </c>
      <c r="CE1056" s="129">
        <f t="shared" si="772"/>
        <v>0</v>
      </c>
      <c r="CG1056" s="129" t="str">
        <f t="shared" si="773"/>
        <v>Y</v>
      </c>
      <c r="CI1056" s="129" t="str">
        <f t="shared" si="781"/>
        <v>121-365 DAYS</v>
      </c>
      <c r="CJ1056" s="137">
        <f t="shared" si="782"/>
        <v>6</v>
      </c>
      <c r="CK1056" s="129" t="str">
        <f t="shared" si="783"/>
        <v>Booked</v>
      </c>
    </row>
    <row r="1057" spans="1:89" ht="15.75" customHeight="1" x14ac:dyDescent="0.25">
      <c r="A1057" s="111">
        <v>2788</v>
      </c>
      <c r="B1057" s="128" t="str">
        <f t="shared" si="760"/>
        <v>N</v>
      </c>
      <c r="C1057" s="128" t="str">
        <f t="shared" si="774"/>
        <v>N</v>
      </c>
      <c r="D1057" s="117">
        <v>1762204</v>
      </c>
      <c r="E1057" s="135">
        <f t="shared" si="761"/>
        <v>4</v>
      </c>
      <c r="F1057" s="124">
        <v>41012</v>
      </c>
      <c r="G1057" s="125">
        <v>41241</v>
      </c>
      <c r="H1057" s="117">
        <v>1762204</v>
      </c>
      <c r="I1057" s="124">
        <v>41012</v>
      </c>
      <c r="J1057" s="124">
        <v>41013</v>
      </c>
      <c r="K1057" s="126">
        <v>10000</v>
      </c>
      <c r="L1057" s="127" t="s">
        <v>570</v>
      </c>
      <c r="M1057" s="125">
        <v>41013</v>
      </c>
      <c r="N1057" s="129" t="str">
        <f>IF(M1057&gt;1/1/1,"Y","N")</f>
        <v>Y</v>
      </c>
      <c r="O1057" s="128" t="s">
        <v>76</v>
      </c>
      <c r="P1057" s="129" t="s">
        <v>39</v>
      </c>
      <c r="Q1057" s="111">
        <f t="shared" si="775"/>
        <v>2</v>
      </c>
      <c r="R1057" s="111">
        <f t="shared" si="786"/>
        <v>230</v>
      </c>
      <c r="S1057" s="129">
        <v>2</v>
      </c>
      <c r="T1057" s="129">
        <v>10</v>
      </c>
      <c r="U1057" s="129">
        <v>1</v>
      </c>
      <c r="W1057" s="111"/>
      <c r="AC1057" s="130"/>
      <c r="AD1057" s="130">
        <v>30184</v>
      </c>
      <c r="AE1057" s="128" t="s">
        <v>32</v>
      </c>
      <c r="AF1057" s="128" t="s">
        <v>33</v>
      </c>
      <c r="AG1057" s="128" t="s">
        <v>872</v>
      </c>
      <c r="AH1057" s="108" t="s">
        <v>31</v>
      </c>
      <c r="AI1057" s="128" t="s">
        <v>141</v>
      </c>
      <c r="AJ1057" s="129" t="s">
        <v>89</v>
      </c>
      <c r="AK1057" s="129">
        <v>10</v>
      </c>
      <c r="AL1057" s="3" t="s">
        <v>991</v>
      </c>
      <c r="AO1057" s="128">
        <v>362</v>
      </c>
      <c r="AP1057" s="129" t="s">
        <v>136</v>
      </c>
      <c r="AR1057" s="128" t="s">
        <v>67</v>
      </c>
      <c r="AS1057" s="129" t="s">
        <v>64</v>
      </c>
      <c r="BC1057" s="129" t="s">
        <v>52</v>
      </c>
      <c r="BF1057" s="111">
        <f t="shared" si="789"/>
        <v>2</v>
      </c>
      <c r="BG1057" s="111">
        <f t="shared" si="790"/>
        <v>230</v>
      </c>
      <c r="BH1057" s="111">
        <f t="shared" si="757"/>
        <v>230</v>
      </c>
      <c r="BI1057" s="111">
        <f t="shared" si="758"/>
        <v>29.584699453551913</v>
      </c>
      <c r="BJ1057" s="129">
        <f>(G1057-J1057)+(M1057-G1057)</f>
        <v>0</v>
      </c>
      <c r="BK1057" s="129">
        <f t="shared" si="759"/>
        <v>-228</v>
      </c>
      <c r="BL1057" s="129" t="str">
        <f t="shared" si="788"/>
        <v>CONVICTION</v>
      </c>
      <c r="BM1057" s="129" t="s">
        <v>76</v>
      </c>
      <c r="BN1057" s="129" t="s">
        <v>88</v>
      </c>
      <c r="BP1057" s="137" t="str">
        <f t="shared" si="762"/>
        <v>CONVICTION</v>
      </c>
      <c r="BQ1057" s="128" t="str">
        <f t="shared" si="763"/>
        <v>Y</v>
      </c>
      <c r="BR1057" s="129" t="str">
        <f>IF(J1057&lt;G1057,"ON BOND",0)</f>
        <v>ON BOND</v>
      </c>
      <c r="BS1057" s="129" t="str">
        <f t="shared" si="764"/>
        <v>DISPOSED</v>
      </c>
      <c r="BT1057" s="129" t="str">
        <f t="shared" si="765"/>
        <v>Y</v>
      </c>
      <c r="BU1057" s="109">
        <f t="shared" si="766"/>
        <v>8.6956521739130436E-3</v>
      </c>
      <c r="BV1057" s="109">
        <f t="shared" si="767"/>
        <v>8.6956521739130436E-3</v>
      </c>
      <c r="BW1057" s="109">
        <f t="shared" si="792"/>
        <v>0</v>
      </c>
      <c r="BX1057" s="111">
        <f t="shared" si="768"/>
        <v>0</v>
      </c>
      <c r="BY1057" s="129">
        <f t="shared" si="769"/>
        <v>-2</v>
      </c>
      <c r="BZ1057" s="111">
        <f t="shared" si="770"/>
        <v>0</v>
      </c>
      <c r="CA1057" s="138">
        <f t="shared" si="771"/>
        <v>2</v>
      </c>
      <c r="CB1057" s="111" t="e">
        <f t="shared" si="791"/>
        <v>#VALUE!</v>
      </c>
      <c r="CC1057" s="129">
        <f>M1057-I1057+1</f>
        <v>2</v>
      </c>
      <c r="CD1057" s="111">
        <f>CC1057-BF1057</f>
        <v>0</v>
      </c>
      <c r="CE1057" s="129">
        <f t="shared" si="772"/>
        <v>228</v>
      </c>
      <c r="CG1057" s="129" t="str">
        <f t="shared" si="773"/>
        <v>Y</v>
      </c>
      <c r="CI1057" s="129" t="str">
        <f t="shared" si="781"/>
        <v>0-10 DAYS</v>
      </c>
      <c r="CJ1057" s="137">
        <f t="shared" si="782"/>
        <v>1</v>
      </c>
      <c r="CK1057" s="129" t="str">
        <f t="shared" si="783"/>
        <v>Booked</v>
      </c>
    </row>
    <row r="1058" spans="1:89" ht="15.75" customHeight="1" x14ac:dyDescent="0.25">
      <c r="A1058" s="111">
        <v>986</v>
      </c>
      <c r="B1058" s="128" t="str">
        <f t="shared" si="760"/>
        <v>N</v>
      </c>
      <c r="C1058" s="128" t="str">
        <f t="shared" si="774"/>
        <v>Y</v>
      </c>
      <c r="D1058" s="117">
        <v>1763437</v>
      </c>
      <c r="E1058" s="135">
        <f t="shared" si="761"/>
        <v>6</v>
      </c>
      <c r="F1058" s="124">
        <v>40945</v>
      </c>
      <c r="G1058" s="125">
        <v>41227</v>
      </c>
      <c r="H1058" s="117">
        <v>1763437</v>
      </c>
      <c r="I1058" s="124">
        <v>40980</v>
      </c>
      <c r="J1058" s="125">
        <v>41227</v>
      </c>
      <c r="K1058" s="126">
        <v>30000</v>
      </c>
      <c r="L1058" s="129" t="s">
        <v>572</v>
      </c>
      <c r="M1058" s="125">
        <v>40980</v>
      </c>
      <c r="N1058" s="129" t="str">
        <f>IF(M1058&gt;1/1/1,"Y","N")</f>
        <v>Y</v>
      </c>
      <c r="O1058" s="128" t="s">
        <v>76</v>
      </c>
      <c r="P1058" s="129" t="s">
        <v>39</v>
      </c>
      <c r="Q1058" s="111">
        <f t="shared" si="775"/>
        <v>248</v>
      </c>
      <c r="R1058" s="111">
        <f t="shared" si="786"/>
        <v>283</v>
      </c>
      <c r="S1058" s="129">
        <v>0</v>
      </c>
      <c r="T1058" s="129">
        <v>1</v>
      </c>
      <c r="W1058" s="111"/>
      <c r="AB1058" s="131" t="s">
        <v>112</v>
      </c>
      <c r="AC1058" s="130"/>
      <c r="AD1058" s="130">
        <v>25012</v>
      </c>
      <c r="AE1058" s="128" t="s">
        <v>32</v>
      </c>
      <c r="AF1058" s="128" t="s">
        <v>40</v>
      </c>
      <c r="AG1058" s="128" t="s">
        <v>41</v>
      </c>
      <c r="AH1058" s="108" t="s">
        <v>31</v>
      </c>
      <c r="AI1058" s="128" t="s">
        <v>42</v>
      </c>
      <c r="AJ1058" s="129" t="s">
        <v>89</v>
      </c>
      <c r="AK1058" s="129">
        <v>3</v>
      </c>
      <c r="AL1058" s="3" t="s">
        <v>362</v>
      </c>
      <c r="AM1058" s="117">
        <v>5</v>
      </c>
      <c r="AP1058" s="129" t="s">
        <v>125</v>
      </c>
      <c r="AR1058" s="128" t="s">
        <v>50</v>
      </c>
      <c r="AS1058" s="129" t="s">
        <v>126</v>
      </c>
      <c r="AT1058" s="129" t="s">
        <v>1261</v>
      </c>
      <c r="AU1058" s="3" t="s">
        <v>812</v>
      </c>
      <c r="AV1058" s="147" t="s">
        <v>88</v>
      </c>
      <c r="AW1058" s="123" t="s">
        <v>703</v>
      </c>
      <c r="BA1058" s="125">
        <v>41072</v>
      </c>
      <c r="BB1058" s="129">
        <v>244</v>
      </c>
      <c r="BC1058" s="129" t="s">
        <v>52</v>
      </c>
      <c r="BF1058" s="111">
        <f>IF(J1058&gt;1/1/1900,((G1058+1)-I1058),"STILL OPEN")</f>
        <v>248</v>
      </c>
      <c r="BG1058" s="111">
        <f t="shared" si="790"/>
        <v>248</v>
      </c>
      <c r="BH1058" s="111">
        <f t="shared" si="757"/>
        <v>283</v>
      </c>
      <c r="BI1058" s="111">
        <f t="shared" si="758"/>
        <v>43.532786885245905</v>
      </c>
      <c r="BJ1058" s="129">
        <f>G1058-J1058</f>
        <v>0</v>
      </c>
      <c r="BK1058" s="129">
        <f t="shared" si="759"/>
        <v>0</v>
      </c>
      <c r="BL1058" s="129" t="str">
        <f t="shared" si="788"/>
        <v>CONVICTION</v>
      </c>
      <c r="BM1058" s="129" t="s">
        <v>76</v>
      </c>
      <c r="BN1058" s="129" t="s">
        <v>88</v>
      </c>
      <c r="BP1058" s="137" t="str">
        <f t="shared" si="762"/>
        <v>CONVICTION</v>
      </c>
      <c r="BQ1058" s="128" t="str">
        <f t="shared" si="763"/>
        <v>Y</v>
      </c>
      <c r="BR1058" s="129" t="s">
        <v>574</v>
      </c>
      <c r="BS1058" s="129" t="str">
        <f t="shared" si="764"/>
        <v>DISPOSED</v>
      </c>
      <c r="BT1058" s="129" t="str">
        <f t="shared" si="765"/>
        <v>N</v>
      </c>
      <c r="BU1058" s="109">
        <f t="shared" si="766"/>
        <v>0.87632508833922262</v>
      </c>
      <c r="BV1058" s="109">
        <f t="shared" si="767"/>
        <v>1</v>
      </c>
      <c r="BW1058" s="109">
        <f t="shared" si="792"/>
        <v>0.12367491166077738</v>
      </c>
      <c r="BX1058" s="111">
        <f t="shared" si="768"/>
        <v>0</v>
      </c>
      <c r="BY1058" s="129">
        <f t="shared" si="769"/>
        <v>-248</v>
      </c>
      <c r="BZ1058" s="111">
        <f t="shared" si="770"/>
        <v>0</v>
      </c>
      <c r="CA1058" s="138">
        <f t="shared" si="771"/>
        <v>248</v>
      </c>
      <c r="CB1058" s="111" t="e">
        <f t="shared" si="791"/>
        <v>#VALUE!</v>
      </c>
      <c r="CC1058" s="129">
        <f>G1058-I1058+1</f>
        <v>248</v>
      </c>
      <c r="CD1058" s="129">
        <f>G1058-J1058</f>
        <v>0</v>
      </c>
      <c r="CE1058" s="129">
        <f t="shared" si="772"/>
        <v>0</v>
      </c>
      <c r="CG1058" s="129" t="str">
        <f t="shared" si="773"/>
        <v>Y</v>
      </c>
      <c r="CI1058" s="129" t="str">
        <f t="shared" si="781"/>
        <v>121-365 DAYS</v>
      </c>
      <c r="CJ1058" s="137">
        <f t="shared" si="782"/>
        <v>6</v>
      </c>
      <c r="CK1058" s="129" t="str">
        <f t="shared" si="783"/>
        <v>Booked</v>
      </c>
    </row>
    <row r="1059" spans="1:89" ht="15.75" customHeight="1" x14ac:dyDescent="0.25">
      <c r="A1059" s="111">
        <v>1787</v>
      </c>
      <c r="B1059" s="128" t="str">
        <f t="shared" si="760"/>
        <v>N</v>
      </c>
      <c r="C1059" s="128" t="str">
        <f t="shared" si="774"/>
        <v>N</v>
      </c>
      <c r="D1059" s="117">
        <v>1763607</v>
      </c>
      <c r="E1059" s="135">
        <f t="shared" si="761"/>
        <v>5</v>
      </c>
      <c r="F1059" s="124">
        <v>40975</v>
      </c>
      <c r="G1059" s="125">
        <v>41109</v>
      </c>
      <c r="H1059" s="117">
        <v>1763607</v>
      </c>
      <c r="I1059" s="124">
        <v>40976</v>
      </c>
      <c r="J1059" s="124">
        <v>41109</v>
      </c>
      <c r="K1059" s="126" t="s">
        <v>564</v>
      </c>
      <c r="L1059" s="127" t="s">
        <v>564</v>
      </c>
      <c r="N1059" s="129" t="s">
        <v>566</v>
      </c>
      <c r="O1059" s="128" t="s">
        <v>917</v>
      </c>
      <c r="P1059" s="129" t="s">
        <v>39</v>
      </c>
      <c r="Q1059" s="111">
        <f t="shared" si="775"/>
        <v>134</v>
      </c>
      <c r="R1059" s="111">
        <f t="shared" si="786"/>
        <v>135</v>
      </c>
      <c r="S1059" s="129">
        <v>4</v>
      </c>
      <c r="T1059" s="129">
        <v>5</v>
      </c>
      <c r="U1059" s="129">
        <v>2</v>
      </c>
      <c r="W1059" s="111"/>
      <c r="AC1059" s="130"/>
      <c r="AD1059" s="130">
        <v>29986</v>
      </c>
      <c r="AE1059" s="128" t="s">
        <v>32</v>
      </c>
      <c r="AF1059" s="128" t="s">
        <v>69</v>
      </c>
      <c r="AG1059" s="128" t="s">
        <v>874</v>
      </c>
      <c r="AH1059" s="108" t="s">
        <v>58</v>
      </c>
      <c r="AI1059" s="128" t="s">
        <v>42</v>
      </c>
      <c r="AJ1059" s="129" t="s">
        <v>89</v>
      </c>
      <c r="AK1059" s="129">
        <v>5</v>
      </c>
      <c r="AL1059" s="3" t="s">
        <v>992</v>
      </c>
      <c r="AN1059" s="117">
        <v>7</v>
      </c>
      <c r="AP1059" s="129" t="s">
        <v>109</v>
      </c>
      <c r="AR1059" s="128" t="s">
        <v>67</v>
      </c>
      <c r="AS1059" s="129" t="s">
        <v>61</v>
      </c>
      <c r="BC1059" s="129" t="s">
        <v>52</v>
      </c>
      <c r="BF1059" s="111">
        <f t="shared" si="789"/>
        <v>134</v>
      </c>
      <c r="BG1059" s="111">
        <f t="shared" si="790"/>
        <v>134</v>
      </c>
      <c r="BH1059" s="111">
        <f t="shared" si="757"/>
        <v>135</v>
      </c>
      <c r="BI1059" s="111">
        <f t="shared" si="758"/>
        <v>30.024590163934427</v>
      </c>
      <c r="BJ1059" s="129">
        <f t="shared" si="777"/>
        <v>0</v>
      </c>
      <c r="BK1059" s="129">
        <f t="shared" si="759"/>
        <v>0</v>
      </c>
      <c r="BL1059" s="129" t="str">
        <f t="shared" si="788"/>
        <v>CONVICTION</v>
      </c>
      <c r="BM1059" s="129" t="str">
        <f t="shared" si="778"/>
        <v>NONE</v>
      </c>
      <c r="BN1059" s="129" t="s">
        <v>566</v>
      </c>
      <c r="BP1059" s="137" t="str">
        <f t="shared" si="762"/>
        <v>CONVICTION</v>
      </c>
      <c r="BQ1059" s="128" t="str">
        <f t="shared" si="763"/>
        <v>Y</v>
      </c>
      <c r="BR1059" s="129" t="str">
        <f t="shared" si="779"/>
        <v>DETAINED</v>
      </c>
      <c r="BS1059" s="129" t="str">
        <f t="shared" si="764"/>
        <v>DISPOSED</v>
      </c>
      <c r="BT1059" s="129" t="str">
        <f t="shared" si="765"/>
        <v>Y</v>
      </c>
      <c r="BU1059" s="109">
        <f t="shared" si="766"/>
        <v>0.99259259259259258</v>
      </c>
      <c r="BV1059" s="109">
        <f t="shared" si="767"/>
        <v>1</v>
      </c>
      <c r="BW1059" s="109">
        <f t="shared" si="792"/>
        <v>7.4074074074074181E-3</v>
      </c>
      <c r="BX1059" s="111">
        <f t="shared" si="768"/>
        <v>0</v>
      </c>
      <c r="BY1059" s="129">
        <f t="shared" si="769"/>
        <v>-134</v>
      </c>
      <c r="BZ1059" s="111">
        <f t="shared" si="770"/>
        <v>0</v>
      </c>
      <c r="CA1059" s="138">
        <f t="shared" si="771"/>
        <v>134</v>
      </c>
      <c r="CB1059" s="111" t="e">
        <f t="shared" si="791"/>
        <v>#VALUE!</v>
      </c>
      <c r="CC1059" s="129">
        <f>G1059-I1059+1</f>
        <v>134</v>
      </c>
      <c r="CD1059" s="129">
        <f>G1059-J1059</f>
        <v>0</v>
      </c>
      <c r="CE1059" s="129">
        <f t="shared" si="772"/>
        <v>0</v>
      </c>
      <c r="CG1059" s="129" t="str">
        <f t="shared" si="773"/>
        <v>Y</v>
      </c>
      <c r="CI1059" s="129" t="str">
        <f t="shared" si="781"/>
        <v>121-365 DAYS</v>
      </c>
      <c r="CJ1059" s="137">
        <f t="shared" si="782"/>
        <v>6</v>
      </c>
      <c r="CK1059" s="129" t="str">
        <f t="shared" si="783"/>
        <v>Booked</v>
      </c>
    </row>
    <row r="1060" spans="1:89" ht="15.75" customHeight="1" x14ac:dyDescent="0.25">
      <c r="A1060" s="111">
        <v>548</v>
      </c>
      <c r="B1060" s="128" t="str">
        <f t="shared" si="760"/>
        <v>N</v>
      </c>
      <c r="C1060" s="128" t="str">
        <f t="shared" si="774"/>
        <v>N</v>
      </c>
      <c r="D1060" s="117">
        <v>1763818</v>
      </c>
      <c r="E1060" s="135">
        <f t="shared" si="761"/>
        <v>6</v>
      </c>
      <c r="F1060" s="124">
        <v>40930</v>
      </c>
      <c r="G1060" s="125">
        <v>40932</v>
      </c>
      <c r="H1060" s="117">
        <v>1763818</v>
      </c>
      <c r="I1060" s="124">
        <v>40931</v>
      </c>
      <c r="J1060" s="124">
        <v>40932</v>
      </c>
      <c r="K1060" s="126">
        <v>15000</v>
      </c>
      <c r="L1060" s="127" t="s">
        <v>571</v>
      </c>
      <c r="N1060" s="129" t="str">
        <f>IF(M1060&gt;1/1/1,"Y","N")</f>
        <v>N</v>
      </c>
      <c r="O1060" s="128" t="s">
        <v>917</v>
      </c>
      <c r="P1060" s="129" t="s">
        <v>589</v>
      </c>
      <c r="Q1060" s="111">
        <f t="shared" si="775"/>
        <v>2</v>
      </c>
      <c r="R1060" s="111">
        <f t="shared" si="786"/>
        <v>3</v>
      </c>
      <c r="S1060" s="129">
        <v>2</v>
      </c>
      <c r="T1060" s="129">
        <v>1</v>
      </c>
      <c r="U1060" s="129">
        <v>2</v>
      </c>
      <c r="W1060" s="111"/>
      <c r="AC1060" s="130"/>
      <c r="AD1060" s="130">
        <v>28684</v>
      </c>
      <c r="AE1060" s="128" t="s">
        <v>32</v>
      </c>
      <c r="AF1060" s="128" t="s">
        <v>40</v>
      </c>
      <c r="AG1060" s="128" t="s">
        <v>41</v>
      </c>
      <c r="AH1060" s="108" t="s">
        <v>41</v>
      </c>
      <c r="AI1060" s="128" t="s">
        <v>114</v>
      </c>
      <c r="AJ1060" s="129" t="s">
        <v>89</v>
      </c>
      <c r="AK1060" s="129">
        <v>1</v>
      </c>
      <c r="AL1060" s="3" t="s">
        <v>362</v>
      </c>
      <c r="AM1060" s="117">
        <v>2</v>
      </c>
      <c r="AP1060" s="129" t="s">
        <v>221</v>
      </c>
      <c r="AR1060" s="128" t="s">
        <v>67</v>
      </c>
      <c r="AS1060" s="129" t="s">
        <v>64</v>
      </c>
      <c r="BC1060" s="129" t="s">
        <v>38</v>
      </c>
      <c r="BF1060" s="111">
        <f t="shared" si="789"/>
        <v>2</v>
      </c>
      <c r="BG1060" s="111">
        <f t="shared" si="790"/>
        <v>2</v>
      </c>
      <c r="BH1060" s="111">
        <f t="shared" si="757"/>
        <v>3</v>
      </c>
      <c r="BI1060" s="111">
        <f t="shared" si="758"/>
        <v>33.459016393442624</v>
      </c>
      <c r="BJ1060" s="129">
        <f t="shared" si="777"/>
        <v>0</v>
      </c>
      <c r="BK1060" s="129">
        <f t="shared" si="759"/>
        <v>0</v>
      </c>
      <c r="BL1060" s="129" t="str">
        <f t="shared" si="788"/>
        <v>CONVICTION</v>
      </c>
      <c r="BM1060" s="129" t="str">
        <f t="shared" si="778"/>
        <v>NONE</v>
      </c>
      <c r="BN1060" s="129" t="s">
        <v>566</v>
      </c>
      <c r="BP1060" s="137" t="str">
        <f t="shared" si="762"/>
        <v>CONVICTION</v>
      </c>
      <c r="BQ1060" s="128" t="str">
        <f t="shared" si="763"/>
        <v>Y</v>
      </c>
      <c r="BR1060" s="129" t="str">
        <f t="shared" si="779"/>
        <v>DETAINED</v>
      </c>
      <c r="BS1060" s="129" t="str">
        <f t="shared" si="764"/>
        <v>DISPOSED</v>
      </c>
      <c r="BT1060" s="129" t="str">
        <f t="shared" si="765"/>
        <v>Y</v>
      </c>
      <c r="BU1060" s="109">
        <f t="shared" si="766"/>
        <v>0.66666666666666663</v>
      </c>
      <c r="BV1060" s="109">
        <f t="shared" si="767"/>
        <v>1</v>
      </c>
      <c r="BW1060" s="109">
        <f t="shared" si="792"/>
        <v>0.33333333333333337</v>
      </c>
      <c r="BX1060" s="111">
        <f t="shared" si="768"/>
        <v>0</v>
      </c>
      <c r="BY1060" s="129">
        <f t="shared" si="769"/>
        <v>-2</v>
      </c>
      <c r="BZ1060" s="111">
        <f t="shared" si="770"/>
        <v>0</v>
      </c>
      <c r="CA1060" s="138">
        <f t="shared" si="771"/>
        <v>2</v>
      </c>
      <c r="CB1060" s="111" t="e">
        <f t="shared" si="791"/>
        <v>#VALUE!</v>
      </c>
      <c r="CC1060" s="129">
        <f>G1060-I1060+1</f>
        <v>2</v>
      </c>
      <c r="CD1060" s="129">
        <f>G1060-J1060</f>
        <v>0</v>
      </c>
      <c r="CE1060" s="129">
        <f t="shared" si="772"/>
        <v>0</v>
      </c>
      <c r="CG1060" s="129" t="str">
        <f t="shared" si="773"/>
        <v>Y</v>
      </c>
      <c r="CI1060" s="129" t="str">
        <f t="shared" si="781"/>
        <v>0-10 DAYS</v>
      </c>
      <c r="CJ1060" s="137">
        <f t="shared" si="782"/>
        <v>1</v>
      </c>
      <c r="CK1060" s="129" t="str">
        <f t="shared" si="783"/>
        <v>Booked</v>
      </c>
    </row>
    <row r="1061" spans="1:89" ht="15" customHeight="1" x14ac:dyDescent="0.25">
      <c r="A1061" s="111">
        <v>2679</v>
      </c>
      <c r="B1061" s="128" t="str">
        <f t="shared" si="760"/>
        <v>N</v>
      </c>
      <c r="C1061" s="128" t="str">
        <f t="shared" si="774"/>
        <v>N</v>
      </c>
      <c r="D1061" s="117">
        <v>1765542</v>
      </c>
      <c r="E1061" s="135">
        <f t="shared" si="761"/>
        <v>6</v>
      </c>
      <c r="F1061" s="124">
        <v>41008</v>
      </c>
      <c r="G1061" s="125">
        <v>41088</v>
      </c>
      <c r="H1061" s="117">
        <v>1765542</v>
      </c>
      <c r="I1061" s="124">
        <v>41009</v>
      </c>
      <c r="J1061" s="124">
        <v>41015</v>
      </c>
      <c r="K1061" s="126">
        <v>20000</v>
      </c>
      <c r="L1061" s="127" t="s">
        <v>571</v>
      </c>
      <c r="M1061" s="125">
        <v>41015</v>
      </c>
      <c r="N1061" s="129" t="str">
        <f>IF(M1061&gt;1/1/1,"Y","N")</f>
        <v>Y</v>
      </c>
      <c r="O1061" s="128" t="s">
        <v>76</v>
      </c>
      <c r="P1061" s="129" t="s">
        <v>39</v>
      </c>
      <c r="Q1061" s="111">
        <f t="shared" si="775"/>
        <v>7</v>
      </c>
      <c r="R1061" s="111">
        <f t="shared" si="786"/>
        <v>81</v>
      </c>
      <c r="S1061" s="129">
        <v>4</v>
      </c>
      <c r="T1061" s="129">
        <v>7</v>
      </c>
      <c r="U1061" s="129">
        <v>2</v>
      </c>
      <c r="W1061" s="111"/>
      <c r="AC1061" s="130"/>
      <c r="AD1061" s="130">
        <v>30327</v>
      </c>
      <c r="AE1061" s="128" t="s">
        <v>32</v>
      </c>
      <c r="AF1061" s="128" t="s">
        <v>33</v>
      </c>
      <c r="AG1061" s="128" t="s">
        <v>872</v>
      </c>
      <c r="AH1061" s="108" t="s">
        <v>58</v>
      </c>
      <c r="AI1061" s="128" t="s">
        <v>83</v>
      </c>
      <c r="AJ1061" s="129" t="s">
        <v>89</v>
      </c>
      <c r="AK1061" s="129">
        <v>5</v>
      </c>
      <c r="AL1061" s="3" t="s">
        <v>362</v>
      </c>
      <c r="AM1061" s="117">
        <v>3</v>
      </c>
      <c r="AP1061" s="129" t="s">
        <v>93</v>
      </c>
      <c r="AR1061" s="128" t="s">
        <v>67</v>
      </c>
      <c r="AS1061" s="129" t="s">
        <v>45</v>
      </c>
      <c r="BC1061" s="129" t="s">
        <v>38</v>
      </c>
      <c r="BF1061" s="111">
        <f t="shared" si="789"/>
        <v>7</v>
      </c>
      <c r="BG1061" s="111">
        <f t="shared" si="790"/>
        <v>80</v>
      </c>
      <c r="BH1061" s="111">
        <f t="shared" si="757"/>
        <v>81</v>
      </c>
      <c r="BI1061" s="111">
        <f t="shared" si="758"/>
        <v>29.183060109289617</v>
      </c>
      <c r="BJ1061" s="129">
        <f>(G1061-J1061)+(M1061-G1061)</f>
        <v>0</v>
      </c>
      <c r="BK1061" s="129">
        <f t="shared" si="759"/>
        <v>-73</v>
      </c>
      <c r="BL1061" s="129" t="str">
        <f t="shared" si="788"/>
        <v>CONVICTION</v>
      </c>
      <c r="BM1061" s="129" t="s">
        <v>76</v>
      </c>
      <c r="BN1061" s="129" t="s">
        <v>88</v>
      </c>
      <c r="BP1061" s="137" t="str">
        <f t="shared" si="762"/>
        <v>CONVICTION</v>
      </c>
      <c r="BQ1061" s="128" t="str">
        <f t="shared" si="763"/>
        <v>Y</v>
      </c>
      <c r="BR1061" s="129" t="str">
        <f>IF(J1061&lt;G1061,"ON BOND",0)</f>
        <v>ON BOND</v>
      </c>
      <c r="BS1061" s="129" t="str">
        <f t="shared" si="764"/>
        <v>DISPOSED</v>
      </c>
      <c r="BT1061" s="129" t="str">
        <f t="shared" si="765"/>
        <v>Y</v>
      </c>
      <c r="BU1061" s="109">
        <f t="shared" si="766"/>
        <v>8.6419753086419748E-2</v>
      </c>
      <c r="BV1061" s="109">
        <f t="shared" si="767"/>
        <v>8.7499999999999994E-2</v>
      </c>
      <c r="BW1061" s="109">
        <f t="shared" si="792"/>
        <v>1.0802469135802462E-3</v>
      </c>
      <c r="BX1061" s="111">
        <f t="shared" si="768"/>
        <v>0</v>
      </c>
      <c r="BY1061" s="129">
        <f t="shared" si="769"/>
        <v>-7</v>
      </c>
      <c r="BZ1061" s="111">
        <f t="shared" si="770"/>
        <v>0</v>
      </c>
      <c r="CA1061" s="138">
        <f t="shared" si="771"/>
        <v>7</v>
      </c>
      <c r="CB1061" s="111" t="e">
        <f t="shared" si="791"/>
        <v>#VALUE!</v>
      </c>
      <c r="CC1061" s="129">
        <f>M1061-I1061+1</f>
        <v>7</v>
      </c>
      <c r="CD1061" s="111">
        <f>CC1061-BF1061</f>
        <v>0</v>
      </c>
      <c r="CE1061" s="129">
        <f t="shared" si="772"/>
        <v>73</v>
      </c>
      <c r="CG1061" s="129" t="str">
        <f t="shared" si="773"/>
        <v>Y</v>
      </c>
      <c r="CI1061" s="129" t="str">
        <f t="shared" si="781"/>
        <v>0-10 DAYS</v>
      </c>
      <c r="CJ1061" s="137">
        <f t="shared" si="782"/>
        <v>1</v>
      </c>
      <c r="CK1061" s="129" t="str">
        <f t="shared" si="783"/>
        <v>Booked</v>
      </c>
    </row>
    <row r="1062" spans="1:89" ht="15" customHeight="1" x14ac:dyDescent="0.25">
      <c r="A1062" s="111">
        <v>585</v>
      </c>
      <c r="B1062" s="128" t="str">
        <f t="shared" si="760"/>
        <v>N</v>
      </c>
      <c r="C1062" s="128" t="str">
        <f t="shared" si="774"/>
        <v>N</v>
      </c>
      <c r="D1062" s="117">
        <v>1765586</v>
      </c>
      <c r="E1062" s="135">
        <f t="shared" si="761"/>
        <v>2</v>
      </c>
      <c r="F1062" s="124">
        <v>40932</v>
      </c>
      <c r="G1062" s="125">
        <v>41022</v>
      </c>
      <c r="H1062" s="117">
        <v>1765586</v>
      </c>
      <c r="I1062" s="124">
        <v>40955</v>
      </c>
      <c r="J1062" s="124">
        <v>41022</v>
      </c>
      <c r="K1062" s="126">
        <v>10000</v>
      </c>
      <c r="L1062" s="127" t="s">
        <v>570</v>
      </c>
      <c r="M1062" s="125">
        <v>40933</v>
      </c>
      <c r="N1062" s="129" t="str">
        <f>IF(M1062&gt;1/1/1,"Y","N")</f>
        <v>Y</v>
      </c>
      <c r="O1062" s="128" t="s">
        <v>585</v>
      </c>
      <c r="P1062" s="129" t="s">
        <v>589</v>
      </c>
      <c r="Q1062" s="111">
        <f t="shared" si="775"/>
        <v>68</v>
      </c>
      <c r="R1062" s="111">
        <f t="shared" si="786"/>
        <v>91</v>
      </c>
      <c r="S1062" s="129">
        <v>3</v>
      </c>
      <c r="T1062" s="129">
        <v>2</v>
      </c>
      <c r="U1062" s="129">
        <v>1</v>
      </c>
      <c r="W1062" s="111"/>
      <c r="AC1062" s="130"/>
      <c r="AD1062" s="130">
        <v>30195</v>
      </c>
      <c r="AE1062" s="128" t="s">
        <v>32</v>
      </c>
      <c r="AF1062" s="128" t="s">
        <v>33</v>
      </c>
      <c r="AG1062" s="128" t="s">
        <v>872</v>
      </c>
      <c r="AH1062" s="108" t="s">
        <v>58</v>
      </c>
      <c r="AI1062" s="128" t="s">
        <v>70</v>
      </c>
      <c r="AJ1062" s="129" t="s">
        <v>48</v>
      </c>
      <c r="AK1062" s="129">
        <v>6</v>
      </c>
      <c r="AL1062" s="3" t="s">
        <v>48</v>
      </c>
      <c r="AP1062" s="129" t="s">
        <v>93</v>
      </c>
      <c r="AR1062" s="128" t="s">
        <v>67</v>
      </c>
      <c r="AS1062" s="129" t="s">
        <v>45</v>
      </c>
      <c r="BC1062" s="129" t="s">
        <v>38</v>
      </c>
      <c r="BF1062" s="111">
        <f t="shared" si="789"/>
        <v>68</v>
      </c>
      <c r="BG1062" s="111">
        <f t="shared" si="790"/>
        <v>68</v>
      </c>
      <c r="BH1062" s="111">
        <f t="shared" si="757"/>
        <v>91</v>
      </c>
      <c r="BI1062" s="111">
        <f t="shared" si="758"/>
        <v>29.33606557377049</v>
      </c>
      <c r="BJ1062" s="129">
        <f>G1062-J1062</f>
        <v>0</v>
      </c>
      <c r="BK1062" s="129">
        <f t="shared" si="759"/>
        <v>0</v>
      </c>
      <c r="BL1062" s="129" t="str">
        <f t="shared" si="788"/>
        <v>DEFERRED</v>
      </c>
      <c r="BM1062" s="129" t="s">
        <v>76</v>
      </c>
      <c r="BN1062" s="129" t="s">
        <v>88</v>
      </c>
      <c r="BP1062" s="137" t="str">
        <f t="shared" si="762"/>
        <v>DEFERRED</v>
      </c>
      <c r="BQ1062" s="128" t="str">
        <f t="shared" si="763"/>
        <v>Y</v>
      </c>
      <c r="BR1062" s="129" t="str">
        <f t="shared" si="779"/>
        <v>ON BOND</v>
      </c>
      <c r="BS1062" s="129" t="str">
        <f t="shared" si="764"/>
        <v>DISPOSED</v>
      </c>
      <c r="BT1062" s="129" t="str">
        <f t="shared" si="765"/>
        <v>Y</v>
      </c>
      <c r="BU1062" s="109">
        <f t="shared" si="766"/>
        <v>0.74725274725274726</v>
      </c>
      <c r="BV1062" s="109">
        <f t="shared" si="767"/>
        <v>1</v>
      </c>
      <c r="BW1062" s="109">
        <f t="shared" si="792"/>
        <v>0.25274725274725274</v>
      </c>
      <c r="BX1062" s="111">
        <f t="shared" si="768"/>
        <v>0</v>
      </c>
      <c r="BY1062" s="129">
        <f t="shared" si="769"/>
        <v>-68</v>
      </c>
      <c r="BZ1062" s="111">
        <f t="shared" si="770"/>
        <v>0</v>
      </c>
      <c r="CA1062" s="138">
        <f t="shared" si="771"/>
        <v>-21</v>
      </c>
      <c r="CB1062" s="111" t="e">
        <f t="shared" si="791"/>
        <v>#VALUE!</v>
      </c>
      <c r="CC1062" s="129">
        <f>M1062-I1062+1</f>
        <v>-21</v>
      </c>
      <c r="CD1062" s="111">
        <f>CC1062-BF1062</f>
        <v>-89</v>
      </c>
      <c r="CE1062" s="129">
        <f t="shared" si="772"/>
        <v>0</v>
      </c>
      <c r="CG1062" s="129" t="str">
        <f t="shared" si="773"/>
        <v>Y</v>
      </c>
      <c r="CI1062" s="129" t="str">
        <f t="shared" si="781"/>
        <v>61-90 DAYS</v>
      </c>
      <c r="CJ1062" s="137">
        <f t="shared" si="782"/>
        <v>4</v>
      </c>
      <c r="CK1062" s="129" t="str">
        <f t="shared" si="783"/>
        <v>Booked</v>
      </c>
    </row>
    <row r="1063" spans="1:89" ht="15.75" customHeight="1" x14ac:dyDescent="0.25">
      <c r="A1063" s="111">
        <v>2113</v>
      </c>
      <c r="B1063" s="128" t="str">
        <f t="shared" si="760"/>
        <v>N</v>
      </c>
      <c r="C1063" s="128" t="str">
        <f t="shared" si="774"/>
        <v>N</v>
      </c>
      <c r="D1063" s="117">
        <v>1765768</v>
      </c>
      <c r="E1063" s="135">
        <f t="shared" si="761"/>
        <v>5</v>
      </c>
      <c r="F1063" s="124">
        <v>40988</v>
      </c>
      <c r="G1063" s="125">
        <v>40989</v>
      </c>
      <c r="H1063" s="117">
        <v>1765768</v>
      </c>
      <c r="I1063" s="124">
        <v>40988</v>
      </c>
      <c r="J1063" s="124">
        <v>40989</v>
      </c>
      <c r="K1063" s="126">
        <v>15000</v>
      </c>
      <c r="L1063" s="127" t="s">
        <v>571</v>
      </c>
      <c r="N1063" s="129" t="str">
        <f>IF(M1063&gt;1/1/1,"Y","N")</f>
        <v>N</v>
      </c>
      <c r="O1063" s="128" t="s">
        <v>917</v>
      </c>
      <c r="P1063" s="129" t="s">
        <v>39</v>
      </c>
      <c r="Q1063" s="111">
        <f t="shared" si="775"/>
        <v>2</v>
      </c>
      <c r="R1063" s="111">
        <f t="shared" si="786"/>
        <v>2</v>
      </c>
      <c r="S1063" s="129">
        <v>4</v>
      </c>
      <c r="T1063" s="129">
        <v>8</v>
      </c>
      <c r="U1063" s="129">
        <v>4</v>
      </c>
      <c r="W1063" s="111"/>
      <c r="AC1063" s="130"/>
      <c r="AD1063" s="130">
        <v>30105</v>
      </c>
      <c r="AE1063" s="128" t="s">
        <v>32</v>
      </c>
      <c r="AF1063" s="128" t="s">
        <v>33</v>
      </c>
      <c r="AG1063" s="128" t="s">
        <v>872</v>
      </c>
      <c r="AH1063" s="108" t="s">
        <v>31</v>
      </c>
      <c r="AI1063" s="128" t="s">
        <v>47</v>
      </c>
      <c r="AJ1063" s="129" t="s">
        <v>89</v>
      </c>
      <c r="AK1063" s="129">
        <v>1</v>
      </c>
      <c r="AL1063" s="3" t="s">
        <v>992</v>
      </c>
      <c r="AN1063" s="117">
        <v>8</v>
      </c>
      <c r="AP1063" s="129" t="s">
        <v>127</v>
      </c>
      <c r="AR1063" s="128" t="s">
        <v>44</v>
      </c>
      <c r="AS1063" s="129" t="s">
        <v>82</v>
      </c>
      <c r="BC1063" s="129" t="s">
        <v>38</v>
      </c>
      <c r="BF1063" s="111">
        <f t="shared" si="789"/>
        <v>2</v>
      </c>
      <c r="BG1063" s="111">
        <f t="shared" si="790"/>
        <v>2</v>
      </c>
      <c r="BH1063" s="111">
        <f t="shared" si="757"/>
        <v>2</v>
      </c>
      <c r="BI1063" s="111">
        <f t="shared" si="758"/>
        <v>29.734972677595628</v>
      </c>
      <c r="BJ1063" s="129">
        <f t="shared" si="777"/>
        <v>0</v>
      </c>
      <c r="BK1063" s="129">
        <f t="shared" si="759"/>
        <v>0</v>
      </c>
      <c r="BL1063" s="129" t="str">
        <f t="shared" si="788"/>
        <v>CONVICTION</v>
      </c>
      <c r="BM1063" s="129" t="str">
        <f t="shared" si="778"/>
        <v>NONE</v>
      </c>
      <c r="BN1063" s="129" t="s">
        <v>566</v>
      </c>
      <c r="BP1063" s="137" t="str">
        <f t="shared" si="762"/>
        <v>CONVICTION</v>
      </c>
      <c r="BQ1063" s="128" t="str">
        <f t="shared" si="763"/>
        <v>Y</v>
      </c>
      <c r="BR1063" s="129" t="str">
        <f t="shared" si="779"/>
        <v>DETAINED</v>
      </c>
      <c r="BS1063" s="129" t="str">
        <f t="shared" si="764"/>
        <v>DISPOSED</v>
      </c>
      <c r="BT1063" s="129" t="str">
        <f t="shared" si="765"/>
        <v>Y</v>
      </c>
      <c r="BU1063" s="109">
        <f t="shared" si="766"/>
        <v>1</v>
      </c>
      <c r="BV1063" s="109">
        <f t="shared" si="767"/>
        <v>1</v>
      </c>
      <c r="BW1063" s="109">
        <f t="shared" si="792"/>
        <v>0</v>
      </c>
      <c r="BX1063" s="111">
        <f t="shared" si="768"/>
        <v>0</v>
      </c>
      <c r="BY1063" s="129">
        <f t="shared" si="769"/>
        <v>-2</v>
      </c>
      <c r="BZ1063" s="111">
        <f t="shared" si="770"/>
        <v>0</v>
      </c>
      <c r="CA1063" s="138">
        <f t="shared" si="771"/>
        <v>2</v>
      </c>
      <c r="CB1063" s="111" t="e">
        <f t="shared" si="791"/>
        <v>#VALUE!</v>
      </c>
      <c r="CC1063" s="129">
        <f>G1063-I1063+1</f>
        <v>2</v>
      </c>
      <c r="CD1063" s="129">
        <f>G1063-J1063</f>
        <v>0</v>
      </c>
      <c r="CE1063" s="129">
        <f t="shared" si="772"/>
        <v>0</v>
      </c>
      <c r="CG1063" s="129" t="str">
        <f t="shared" si="773"/>
        <v>Y</v>
      </c>
      <c r="CI1063" s="129" t="str">
        <f t="shared" si="781"/>
        <v>0-10 DAYS</v>
      </c>
      <c r="CJ1063" s="137">
        <f t="shared" si="782"/>
        <v>1</v>
      </c>
      <c r="CK1063" s="129" t="str">
        <f t="shared" si="783"/>
        <v>Booked</v>
      </c>
    </row>
    <row r="1064" spans="1:89" ht="15.75" customHeight="1" x14ac:dyDescent="0.25">
      <c r="A1064" s="111">
        <v>3117</v>
      </c>
      <c r="B1064" s="128" t="str">
        <f t="shared" si="760"/>
        <v>N</v>
      </c>
      <c r="C1064" s="128" t="str">
        <f t="shared" si="774"/>
        <v>N</v>
      </c>
      <c r="D1064" s="117">
        <v>1766907</v>
      </c>
      <c r="E1064" s="135">
        <f t="shared" si="761"/>
        <v>6</v>
      </c>
      <c r="F1064" s="124">
        <v>41024</v>
      </c>
      <c r="G1064" s="125">
        <v>41122</v>
      </c>
      <c r="H1064" s="117">
        <v>1766907</v>
      </c>
      <c r="I1064" s="124">
        <v>41024</v>
      </c>
      <c r="J1064" s="124">
        <v>41122</v>
      </c>
      <c r="K1064" s="126" t="s">
        <v>564</v>
      </c>
      <c r="L1064" s="127" t="s">
        <v>564</v>
      </c>
      <c r="N1064" s="129" t="s">
        <v>566</v>
      </c>
      <c r="O1064" s="128" t="s">
        <v>917</v>
      </c>
      <c r="P1064" s="129" t="s">
        <v>39</v>
      </c>
      <c r="Q1064" s="111">
        <f t="shared" si="775"/>
        <v>99</v>
      </c>
      <c r="R1064" s="111">
        <f t="shared" si="786"/>
        <v>99</v>
      </c>
      <c r="S1064" s="129">
        <v>7</v>
      </c>
      <c r="T1064" s="129">
        <v>4</v>
      </c>
      <c r="U1064" s="129">
        <v>5</v>
      </c>
      <c r="W1064" s="111"/>
      <c r="AC1064" s="130"/>
      <c r="AD1064" s="130">
        <v>29823</v>
      </c>
      <c r="AE1064" s="128" t="s">
        <v>32</v>
      </c>
      <c r="AF1064" s="128" t="s">
        <v>33</v>
      </c>
      <c r="AG1064" s="128" t="s">
        <v>872</v>
      </c>
      <c r="AH1064" s="108" t="s">
        <v>58</v>
      </c>
      <c r="AI1064" s="128" t="s">
        <v>62</v>
      </c>
      <c r="AJ1064" s="129" t="s">
        <v>89</v>
      </c>
      <c r="AK1064" s="129">
        <v>6</v>
      </c>
      <c r="AL1064" s="3" t="s">
        <v>362</v>
      </c>
      <c r="AM1064" s="117">
        <v>5</v>
      </c>
      <c r="AP1064" s="129" t="s">
        <v>101</v>
      </c>
      <c r="AR1064" s="128" t="s">
        <v>67</v>
      </c>
      <c r="AS1064" s="129" t="s">
        <v>64</v>
      </c>
      <c r="BC1064" s="129" t="s">
        <v>38</v>
      </c>
      <c r="BF1064" s="111">
        <f t="shared" si="789"/>
        <v>99</v>
      </c>
      <c r="BG1064" s="111">
        <f t="shared" si="790"/>
        <v>99</v>
      </c>
      <c r="BH1064" s="111">
        <f t="shared" si="757"/>
        <v>99</v>
      </c>
      <c r="BI1064" s="111">
        <f t="shared" si="758"/>
        <v>30.603825136612024</v>
      </c>
      <c r="BJ1064" s="129">
        <f t="shared" si="777"/>
        <v>0</v>
      </c>
      <c r="BK1064" s="129">
        <f t="shared" si="759"/>
        <v>0</v>
      </c>
      <c r="BL1064" s="129" t="str">
        <f t="shared" si="788"/>
        <v>CONVICTION</v>
      </c>
      <c r="BM1064" s="129" t="str">
        <f t="shared" si="778"/>
        <v>NONE</v>
      </c>
      <c r="BN1064" s="129" t="s">
        <v>566</v>
      </c>
      <c r="BP1064" s="137" t="str">
        <f t="shared" si="762"/>
        <v>CONVICTION</v>
      </c>
      <c r="BQ1064" s="128" t="str">
        <f t="shared" si="763"/>
        <v>Y</v>
      </c>
      <c r="BR1064" s="129" t="str">
        <f t="shared" si="779"/>
        <v>DETAINED</v>
      </c>
      <c r="BS1064" s="129" t="str">
        <f t="shared" si="764"/>
        <v>DISPOSED</v>
      </c>
      <c r="BT1064" s="129" t="str">
        <f t="shared" si="765"/>
        <v>Y</v>
      </c>
      <c r="BU1064" s="109">
        <f t="shared" si="766"/>
        <v>1</v>
      </c>
      <c r="BV1064" s="109">
        <f t="shared" si="767"/>
        <v>1</v>
      </c>
      <c r="BW1064" s="109">
        <f t="shared" si="792"/>
        <v>0</v>
      </c>
      <c r="BX1064" s="111">
        <f t="shared" si="768"/>
        <v>0</v>
      </c>
      <c r="BY1064" s="129">
        <f t="shared" si="769"/>
        <v>-99</v>
      </c>
      <c r="BZ1064" s="111">
        <f t="shared" si="770"/>
        <v>0</v>
      </c>
      <c r="CA1064" s="138">
        <f t="shared" si="771"/>
        <v>99</v>
      </c>
      <c r="CB1064" s="111" t="e">
        <f t="shared" si="791"/>
        <v>#VALUE!</v>
      </c>
      <c r="CC1064" s="129">
        <f>G1064-I1064+1</f>
        <v>99</v>
      </c>
      <c r="CD1064" s="129">
        <f>G1064-J1064</f>
        <v>0</v>
      </c>
      <c r="CE1064" s="129">
        <f t="shared" si="772"/>
        <v>0</v>
      </c>
      <c r="CG1064" s="129" t="str">
        <f t="shared" si="773"/>
        <v>Y</v>
      </c>
      <c r="CI1064" s="129" t="str">
        <f t="shared" si="781"/>
        <v>91-120 DAYS</v>
      </c>
      <c r="CJ1064" s="137">
        <f t="shared" si="782"/>
        <v>0</v>
      </c>
      <c r="CK1064" s="129" t="str">
        <f t="shared" si="783"/>
        <v>Booked</v>
      </c>
    </row>
    <row r="1065" spans="1:89" ht="15" customHeight="1" x14ac:dyDescent="0.25">
      <c r="A1065" s="111">
        <v>913</v>
      </c>
      <c r="B1065" s="128" t="str">
        <f t="shared" si="760"/>
        <v>N</v>
      </c>
      <c r="C1065" s="128" t="str">
        <f t="shared" si="774"/>
        <v>N</v>
      </c>
      <c r="D1065" s="117">
        <v>1767021</v>
      </c>
      <c r="E1065" s="135">
        <f t="shared" si="761"/>
        <v>1</v>
      </c>
      <c r="F1065" s="124">
        <v>40942</v>
      </c>
      <c r="G1065" s="125">
        <v>41060</v>
      </c>
      <c r="H1065" s="117">
        <v>1767021</v>
      </c>
      <c r="I1065" s="124">
        <v>40946</v>
      </c>
      <c r="J1065" s="124">
        <v>40948</v>
      </c>
      <c r="K1065" s="126">
        <v>30000</v>
      </c>
      <c r="L1065" s="129" t="s">
        <v>572</v>
      </c>
      <c r="M1065" s="125">
        <v>40948</v>
      </c>
      <c r="N1065" s="129" t="str">
        <f t="shared" ref="N1065:N1080" si="793">IF(M1065&gt;1/1/1,"Y","N")</f>
        <v>Y</v>
      </c>
      <c r="O1065" s="128" t="s">
        <v>585</v>
      </c>
      <c r="P1065" s="129" t="s">
        <v>123</v>
      </c>
      <c r="Q1065" s="111">
        <f t="shared" si="775"/>
        <v>3</v>
      </c>
      <c r="R1065" s="111">
        <f t="shared" si="786"/>
        <v>119</v>
      </c>
      <c r="S1065" s="129">
        <v>0</v>
      </c>
      <c r="T1065" s="129">
        <v>6</v>
      </c>
      <c r="W1065" s="111"/>
      <c r="AC1065" s="130"/>
      <c r="AD1065" s="130">
        <v>29298</v>
      </c>
      <c r="AE1065" s="128" t="s">
        <v>32</v>
      </c>
      <c r="AF1065" s="128" t="s">
        <v>69</v>
      </c>
      <c r="AG1065" s="128" t="s">
        <v>874</v>
      </c>
      <c r="AH1065" s="108" t="s">
        <v>58</v>
      </c>
      <c r="AI1065" s="128" t="s">
        <v>85</v>
      </c>
      <c r="AJ1065" s="129" t="s">
        <v>123</v>
      </c>
      <c r="AL1065" s="3" t="s">
        <v>123</v>
      </c>
      <c r="AP1065" s="129" t="s">
        <v>249</v>
      </c>
      <c r="AR1065" s="128" t="s">
        <v>50</v>
      </c>
      <c r="AS1065" s="129" t="s">
        <v>163</v>
      </c>
      <c r="BC1065" s="129" t="s">
        <v>52</v>
      </c>
      <c r="BF1065" s="111">
        <f t="shared" si="789"/>
        <v>3</v>
      </c>
      <c r="BG1065" s="111">
        <f t="shared" si="790"/>
        <v>115</v>
      </c>
      <c r="BH1065" s="111">
        <f t="shared" si="757"/>
        <v>119</v>
      </c>
      <c r="BI1065" s="111">
        <f t="shared" si="758"/>
        <v>31.814207650273225</v>
      </c>
      <c r="BJ1065" s="129">
        <f>(G1065-J1065)+(M1065-G1065)</f>
        <v>0</v>
      </c>
      <c r="BK1065" s="129">
        <f t="shared" si="759"/>
        <v>-112</v>
      </c>
      <c r="BL1065" s="129" t="str">
        <f t="shared" si="788"/>
        <v>NO CONVICTION</v>
      </c>
      <c r="BM1065" s="129" t="s">
        <v>76</v>
      </c>
      <c r="BN1065" s="129" t="s">
        <v>88</v>
      </c>
      <c r="BP1065" s="137" t="str">
        <f t="shared" si="762"/>
        <v>NO CONVICTION</v>
      </c>
      <c r="BQ1065" s="128" t="str">
        <f t="shared" si="763"/>
        <v>Y</v>
      </c>
      <c r="BR1065" s="129" t="str">
        <f t="shared" si="779"/>
        <v>ON BOND</v>
      </c>
      <c r="BS1065" s="129" t="str">
        <f t="shared" si="764"/>
        <v>DISPOSED</v>
      </c>
      <c r="BT1065" s="129" t="str">
        <f t="shared" si="765"/>
        <v>N</v>
      </c>
      <c r="BU1065" s="109">
        <f>IFERROR(Q1065/R1065,BR1065)</f>
        <v>2.5210084033613446E-2</v>
      </c>
      <c r="BV1065" s="109">
        <f t="shared" si="767"/>
        <v>2.6086956521739129E-2</v>
      </c>
      <c r="BW1065" s="109">
        <f t="shared" si="792"/>
        <v>8.76872488125683E-4</v>
      </c>
      <c r="BX1065" s="111">
        <f t="shared" si="768"/>
        <v>0</v>
      </c>
      <c r="BY1065" s="129">
        <f t="shared" si="769"/>
        <v>-3</v>
      </c>
      <c r="BZ1065" s="111">
        <f t="shared" si="770"/>
        <v>0</v>
      </c>
      <c r="CA1065" s="138">
        <f t="shared" si="771"/>
        <v>3</v>
      </c>
      <c r="CB1065" s="111" t="e">
        <f t="shared" si="791"/>
        <v>#VALUE!</v>
      </c>
      <c r="CC1065" s="129">
        <f>M1065-I1065+1</f>
        <v>3</v>
      </c>
      <c r="CD1065" s="111">
        <f>CC1065-BF1065</f>
        <v>0</v>
      </c>
      <c r="CE1065" s="129">
        <f t="shared" si="772"/>
        <v>112</v>
      </c>
      <c r="CG1065" s="129" t="str">
        <f t="shared" si="773"/>
        <v>Y</v>
      </c>
      <c r="CI1065" s="129" t="str">
        <f t="shared" si="781"/>
        <v>0-10 DAYS</v>
      </c>
      <c r="CJ1065" s="137">
        <f t="shared" si="782"/>
        <v>1</v>
      </c>
      <c r="CK1065" s="129" t="str">
        <f t="shared" si="783"/>
        <v>Booked</v>
      </c>
    </row>
    <row r="1066" spans="1:89" ht="15" customHeight="1" x14ac:dyDescent="0.25">
      <c r="A1066" s="111">
        <v>91</v>
      </c>
      <c r="B1066" s="128" t="str">
        <f t="shared" si="760"/>
        <v>N</v>
      </c>
      <c r="C1066" s="128" t="str">
        <f t="shared" si="774"/>
        <v>N</v>
      </c>
      <c r="D1066" s="117">
        <v>1767189</v>
      </c>
      <c r="E1066" s="135">
        <f t="shared" si="761"/>
        <v>4</v>
      </c>
      <c r="F1066" s="124">
        <v>40913</v>
      </c>
      <c r="G1066" s="125">
        <v>40917</v>
      </c>
      <c r="H1066" s="117">
        <v>1767189</v>
      </c>
      <c r="I1066" s="124">
        <v>40913</v>
      </c>
      <c r="J1066" s="124">
        <v>40917</v>
      </c>
      <c r="K1066" s="126">
        <v>15000</v>
      </c>
      <c r="L1066" s="127" t="s">
        <v>571</v>
      </c>
      <c r="N1066" s="129" t="str">
        <f t="shared" si="793"/>
        <v>N</v>
      </c>
      <c r="O1066" s="128" t="s">
        <v>917</v>
      </c>
      <c r="P1066" s="129" t="s">
        <v>39</v>
      </c>
      <c r="Q1066" s="111">
        <f t="shared" si="775"/>
        <v>5</v>
      </c>
      <c r="R1066" s="111">
        <f t="shared" si="786"/>
        <v>5</v>
      </c>
      <c r="S1066" s="129">
        <v>5</v>
      </c>
      <c r="T1066" s="129">
        <v>6</v>
      </c>
      <c r="U1066" s="129">
        <v>5</v>
      </c>
      <c r="W1066" s="111"/>
      <c r="AC1066" s="130"/>
      <c r="AD1066" s="130">
        <v>25659</v>
      </c>
      <c r="AE1066" s="128" t="s">
        <v>46</v>
      </c>
      <c r="AF1066" s="128" t="s">
        <v>33</v>
      </c>
      <c r="AG1066" s="128" t="s">
        <v>872</v>
      </c>
      <c r="AH1066" s="108" t="s">
        <v>58</v>
      </c>
      <c r="AI1066" s="128" t="s">
        <v>47</v>
      </c>
      <c r="AJ1066" s="129" t="s">
        <v>89</v>
      </c>
      <c r="AK1066" s="129">
        <v>2</v>
      </c>
      <c r="AL1066" s="3" t="s">
        <v>991</v>
      </c>
      <c r="AO1066" s="128">
        <v>180</v>
      </c>
      <c r="AP1066" s="129" t="s">
        <v>116</v>
      </c>
      <c r="AR1066" s="128" t="s">
        <v>44</v>
      </c>
      <c r="AS1066" s="129" t="s">
        <v>64</v>
      </c>
      <c r="BC1066" s="129" t="s">
        <v>38</v>
      </c>
      <c r="BF1066" s="111">
        <f t="shared" si="789"/>
        <v>5</v>
      </c>
      <c r="BG1066" s="111">
        <f t="shared" si="790"/>
        <v>5</v>
      </c>
      <c r="BH1066" s="111">
        <f t="shared" si="757"/>
        <v>5</v>
      </c>
      <c r="BI1066" s="111">
        <f t="shared" si="758"/>
        <v>41.677595628415304</v>
      </c>
      <c r="BJ1066" s="129">
        <f t="shared" si="777"/>
        <v>0</v>
      </c>
      <c r="BK1066" s="129">
        <f t="shared" si="759"/>
        <v>0</v>
      </c>
      <c r="BL1066" s="129" t="str">
        <f t="shared" si="788"/>
        <v>CONVICTION</v>
      </c>
      <c r="BM1066" s="129" t="str">
        <f t="shared" si="778"/>
        <v>NONE</v>
      </c>
      <c r="BN1066" s="129" t="s">
        <v>566</v>
      </c>
      <c r="BP1066" s="137" t="str">
        <f t="shared" si="762"/>
        <v>CONVICTION</v>
      </c>
      <c r="BQ1066" s="128" t="str">
        <f t="shared" si="763"/>
        <v>Y</v>
      </c>
      <c r="BR1066" s="129" t="str">
        <f t="shared" si="779"/>
        <v>DETAINED</v>
      </c>
      <c r="BS1066" s="129" t="str">
        <f t="shared" si="764"/>
        <v>DISPOSED</v>
      </c>
      <c r="BT1066" s="129" t="str">
        <f t="shared" si="765"/>
        <v>Y</v>
      </c>
      <c r="BU1066" s="109">
        <f t="shared" si="766"/>
        <v>1</v>
      </c>
      <c r="BV1066" s="109">
        <f t="shared" si="767"/>
        <v>1</v>
      </c>
      <c r="BW1066" s="109">
        <f t="shared" si="792"/>
        <v>0</v>
      </c>
      <c r="BX1066" s="111">
        <f t="shared" si="768"/>
        <v>0</v>
      </c>
      <c r="BY1066" s="129">
        <f t="shared" si="769"/>
        <v>-5</v>
      </c>
      <c r="BZ1066" s="111">
        <f t="shared" si="770"/>
        <v>0</v>
      </c>
      <c r="CA1066" s="138">
        <f t="shared" si="771"/>
        <v>5</v>
      </c>
      <c r="CB1066" s="111" t="e">
        <f t="shared" si="791"/>
        <v>#VALUE!</v>
      </c>
      <c r="CC1066" s="129">
        <f>G1066-I1066+1</f>
        <v>5</v>
      </c>
      <c r="CD1066" s="129">
        <f>G1066-J1066</f>
        <v>0</v>
      </c>
      <c r="CE1066" s="129">
        <f t="shared" si="772"/>
        <v>0</v>
      </c>
      <c r="CG1066" s="129" t="str">
        <f t="shared" si="773"/>
        <v>Y</v>
      </c>
      <c r="CI1066" s="129" t="str">
        <f t="shared" si="781"/>
        <v>0-10 DAYS</v>
      </c>
      <c r="CJ1066" s="137">
        <f t="shared" si="782"/>
        <v>1</v>
      </c>
      <c r="CK1066" s="129" t="str">
        <f t="shared" si="783"/>
        <v>Booked</v>
      </c>
    </row>
    <row r="1067" spans="1:89" ht="15.75" customHeight="1" x14ac:dyDescent="0.25">
      <c r="A1067" s="111">
        <v>3201</v>
      </c>
      <c r="B1067" s="128" t="str">
        <f t="shared" si="760"/>
        <v>N</v>
      </c>
      <c r="C1067" s="128" t="str">
        <f t="shared" si="774"/>
        <v>N</v>
      </c>
      <c r="D1067" s="117">
        <v>1767561</v>
      </c>
      <c r="E1067" s="135">
        <f t="shared" si="761"/>
        <v>2</v>
      </c>
      <c r="F1067" s="124">
        <v>41026</v>
      </c>
      <c r="G1067" s="125">
        <v>41085</v>
      </c>
      <c r="H1067" s="117">
        <v>1767561</v>
      </c>
      <c r="I1067" s="124">
        <v>41027</v>
      </c>
      <c r="J1067" s="124">
        <v>41085</v>
      </c>
      <c r="K1067" s="126">
        <v>20000</v>
      </c>
      <c r="L1067" s="127" t="s">
        <v>571</v>
      </c>
      <c r="N1067" s="129" t="str">
        <f t="shared" si="793"/>
        <v>N</v>
      </c>
      <c r="O1067" s="128" t="s">
        <v>917</v>
      </c>
      <c r="P1067" s="129" t="s">
        <v>589</v>
      </c>
      <c r="Q1067" s="111">
        <f t="shared" si="775"/>
        <v>59</v>
      </c>
      <c r="R1067" s="111">
        <f t="shared" si="786"/>
        <v>60</v>
      </c>
      <c r="S1067" s="129">
        <v>1</v>
      </c>
      <c r="T1067" s="129">
        <v>3</v>
      </c>
      <c r="U1067" s="129">
        <v>1</v>
      </c>
      <c r="W1067" s="111"/>
      <c r="AB1067" s="131" t="s">
        <v>112</v>
      </c>
      <c r="AC1067" s="130"/>
      <c r="AD1067" s="130">
        <v>30043</v>
      </c>
      <c r="AE1067" s="128" t="s">
        <v>32</v>
      </c>
      <c r="AF1067" s="128" t="s">
        <v>40</v>
      </c>
      <c r="AG1067" s="128" t="s">
        <v>41</v>
      </c>
      <c r="AH1067" s="108" t="s">
        <v>31</v>
      </c>
      <c r="AI1067" s="128" t="s">
        <v>62</v>
      </c>
      <c r="AJ1067" s="129" t="s">
        <v>48</v>
      </c>
      <c r="AK1067" s="129">
        <v>3</v>
      </c>
      <c r="AL1067" s="3" t="s">
        <v>48</v>
      </c>
      <c r="AP1067" s="129" t="s">
        <v>56</v>
      </c>
      <c r="AR1067" s="128" t="s">
        <v>50</v>
      </c>
      <c r="AS1067" s="129" t="s">
        <v>57</v>
      </c>
      <c r="BC1067" s="129" t="s">
        <v>38</v>
      </c>
      <c r="BF1067" s="111">
        <f t="shared" si="789"/>
        <v>59</v>
      </c>
      <c r="BG1067" s="111">
        <f t="shared" si="790"/>
        <v>59</v>
      </c>
      <c r="BH1067" s="111">
        <f t="shared" si="757"/>
        <v>60</v>
      </c>
      <c r="BI1067" s="111">
        <f t="shared" si="758"/>
        <v>30.008196721311474</v>
      </c>
      <c r="BJ1067" s="129">
        <f t="shared" si="777"/>
        <v>0</v>
      </c>
      <c r="BK1067" s="129">
        <f t="shared" si="759"/>
        <v>0</v>
      </c>
      <c r="BL1067" s="129" t="str">
        <f t="shared" si="788"/>
        <v>DEFERRED</v>
      </c>
      <c r="BM1067" s="129" t="str">
        <f t="shared" si="778"/>
        <v>NONE</v>
      </c>
      <c r="BN1067" s="129" t="s">
        <v>566</v>
      </c>
      <c r="BP1067" s="137" t="str">
        <f t="shared" si="762"/>
        <v>DEFERRED</v>
      </c>
      <c r="BQ1067" s="128" t="str">
        <f t="shared" si="763"/>
        <v>Y</v>
      </c>
      <c r="BR1067" s="129" t="str">
        <f t="shared" si="779"/>
        <v>DETAINED</v>
      </c>
      <c r="BS1067" s="129" t="str">
        <f t="shared" si="764"/>
        <v>DISPOSED</v>
      </c>
      <c r="BT1067" s="129" t="str">
        <f t="shared" si="765"/>
        <v>Y</v>
      </c>
      <c r="BU1067" s="109">
        <f t="shared" si="766"/>
        <v>0.98333333333333328</v>
      </c>
      <c r="BV1067" s="109">
        <f t="shared" si="767"/>
        <v>1</v>
      </c>
      <c r="BW1067" s="109">
        <f t="shared" si="792"/>
        <v>1.6666666666666718E-2</v>
      </c>
      <c r="BX1067" s="111">
        <f t="shared" si="768"/>
        <v>0</v>
      </c>
      <c r="BY1067" s="129">
        <f t="shared" si="769"/>
        <v>-59</v>
      </c>
      <c r="BZ1067" s="111">
        <f t="shared" si="770"/>
        <v>0</v>
      </c>
      <c r="CA1067" s="138">
        <f t="shared" si="771"/>
        <v>59</v>
      </c>
      <c r="CB1067" s="111" t="e">
        <f t="shared" si="791"/>
        <v>#VALUE!</v>
      </c>
      <c r="CC1067" s="129">
        <f>G1067-I1067+1</f>
        <v>59</v>
      </c>
      <c r="CD1067" s="129">
        <f>G1067-J1067</f>
        <v>0</v>
      </c>
      <c r="CE1067" s="129">
        <f t="shared" si="772"/>
        <v>0</v>
      </c>
      <c r="CG1067" s="129" t="str">
        <f t="shared" si="773"/>
        <v>Y</v>
      </c>
      <c r="CI1067" s="129" t="str">
        <f t="shared" si="781"/>
        <v>31-60 DAYS</v>
      </c>
      <c r="CJ1067" s="137">
        <f t="shared" si="782"/>
        <v>3</v>
      </c>
      <c r="CK1067" s="129" t="str">
        <f t="shared" si="783"/>
        <v>Booked</v>
      </c>
    </row>
    <row r="1068" spans="1:89" ht="15.75" customHeight="1" x14ac:dyDescent="0.25">
      <c r="A1068" s="111">
        <v>2954</v>
      </c>
      <c r="B1068" s="128" t="str">
        <f t="shared" si="760"/>
        <v>N</v>
      </c>
      <c r="C1068" s="128" t="str">
        <f t="shared" si="774"/>
        <v>N</v>
      </c>
      <c r="D1068" s="117">
        <v>1768547</v>
      </c>
      <c r="E1068" s="135">
        <f t="shared" si="761"/>
        <v>5</v>
      </c>
      <c r="F1068" s="124">
        <v>41017</v>
      </c>
      <c r="G1068" s="125">
        <v>41120</v>
      </c>
      <c r="H1068" s="117">
        <v>1768547</v>
      </c>
      <c r="I1068" s="124">
        <v>41018</v>
      </c>
      <c r="J1068" s="124">
        <v>41120</v>
      </c>
      <c r="K1068" s="126">
        <v>30000</v>
      </c>
      <c r="L1068" s="129" t="s">
        <v>572</v>
      </c>
      <c r="N1068" s="129" t="str">
        <f t="shared" si="793"/>
        <v>N</v>
      </c>
      <c r="O1068" s="128" t="s">
        <v>917</v>
      </c>
      <c r="P1068" s="129" t="s">
        <v>39</v>
      </c>
      <c r="Q1068" s="111">
        <f t="shared" si="775"/>
        <v>103</v>
      </c>
      <c r="R1068" s="111">
        <f t="shared" si="786"/>
        <v>104</v>
      </c>
      <c r="S1068" s="129">
        <v>2</v>
      </c>
      <c r="T1068" s="129">
        <v>3</v>
      </c>
      <c r="W1068" s="111"/>
      <c r="AC1068" s="130"/>
      <c r="AD1068" s="130">
        <v>29785</v>
      </c>
      <c r="AE1068" s="128" t="s">
        <v>32</v>
      </c>
      <c r="AF1068" s="128" t="s">
        <v>69</v>
      </c>
      <c r="AG1068" s="128" t="s">
        <v>874</v>
      </c>
      <c r="AH1068" s="108" t="s">
        <v>58</v>
      </c>
      <c r="AI1068" s="128" t="s">
        <v>65</v>
      </c>
      <c r="AJ1068" s="129" t="s">
        <v>89</v>
      </c>
      <c r="AK1068" s="129">
        <v>5</v>
      </c>
      <c r="AL1068" s="3" t="s">
        <v>992</v>
      </c>
      <c r="AN1068" s="117">
        <v>6</v>
      </c>
      <c r="AP1068" s="129" t="s">
        <v>121</v>
      </c>
      <c r="AR1068" s="128" t="s">
        <v>44</v>
      </c>
      <c r="AS1068" s="129" t="s">
        <v>122</v>
      </c>
      <c r="BC1068" s="129" t="s">
        <v>52</v>
      </c>
      <c r="BF1068" s="111">
        <f t="shared" si="789"/>
        <v>103</v>
      </c>
      <c r="BG1068" s="111">
        <f t="shared" si="790"/>
        <v>103</v>
      </c>
      <c r="BH1068" s="111">
        <f t="shared" si="757"/>
        <v>104</v>
      </c>
      <c r="BI1068" s="111">
        <f t="shared" si="758"/>
        <v>30.688524590163933</v>
      </c>
      <c r="BJ1068" s="129">
        <f t="shared" si="777"/>
        <v>0</v>
      </c>
      <c r="BK1068" s="129">
        <f t="shared" si="759"/>
        <v>0</v>
      </c>
      <c r="BL1068" s="129" t="str">
        <f t="shared" si="788"/>
        <v>CONVICTION</v>
      </c>
      <c r="BM1068" s="129" t="str">
        <f t="shared" si="778"/>
        <v>NONE</v>
      </c>
      <c r="BN1068" s="129" t="s">
        <v>566</v>
      </c>
      <c r="BP1068" s="137" t="str">
        <f t="shared" si="762"/>
        <v>CONVICTION</v>
      </c>
      <c r="BQ1068" s="128" t="str">
        <f t="shared" si="763"/>
        <v>Y</v>
      </c>
      <c r="BR1068" s="129" t="str">
        <f t="shared" si="779"/>
        <v>DETAINED</v>
      </c>
      <c r="BS1068" s="129" t="str">
        <f t="shared" si="764"/>
        <v>DISPOSED</v>
      </c>
      <c r="BT1068" s="129" t="str">
        <f t="shared" si="765"/>
        <v>Y</v>
      </c>
      <c r="BU1068" s="109">
        <f t="shared" si="766"/>
        <v>0.99038461538461542</v>
      </c>
      <c r="BV1068" s="109">
        <f t="shared" si="767"/>
        <v>1</v>
      </c>
      <c r="BW1068" s="109">
        <f t="shared" si="792"/>
        <v>9.6153846153845812E-3</v>
      </c>
      <c r="BX1068" s="111">
        <f t="shared" si="768"/>
        <v>0</v>
      </c>
      <c r="BY1068" s="129">
        <f t="shared" si="769"/>
        <v>-103</v>
      </c>
      <c r="BZ1068" s="111">
        <f t="shared" si="770"/>
        <v>0</v>
      </c>
      <c r="CA1068" s="138">
        <f t="shared" si="771"/>
        <v>103</v>
      </c>
      <c r="CB1068" s="111" t="e">
        <f t="shared" si="791"/>
        <v>#VALUE!</v>
      </c>
      <c r="CC1068" s="129">
        <f>G1068-I1068+1</f>
        <v>103</v>
      </c>
      <c r="CD1068" s="129">
        <f>G1068-J1068</f>
        <v>0</v>
      </c>
      <c r="CE1068" s="129">
        <f t="shared" si="772"/>
        <v>0</v>
      </c>
      <c r="CG1068" s="129" t="str">
        <f t="shared" si="773"/>
        <v>Y</v>
      </c>
      <c r="CI1068" s="129" t="str">
        <f t="shared" si="781"/>
        <v>91-120 DAYS</v>
      </c>
      <c r="CJ1068" s="137">
        <f t="shared" si="782"/>
        <v>0</v>
      </c>
      <c r="CK1068" s="129" t="str">
        <f t="shared" si="783"/>
        <v>Booked</v>
      </c>
    </row>
    <row r="1069" spans="1:89" ht="15" customHeight="1" x14ac:dyDescent="0.25">
      <c r="A1069" s="111">
        <v>2540</v>
      </c>
      <c r="B1069" s="128" t="str">
        <f t="shared" si="760"/>
        <v>N</v>
      </c>
      <c r="C1069" s="128" t="str">
        <f t="shared" si="774"/>
        <v>N</v>
      </c>
      <c r="D1069" s="117">
        <v>1769574</v>
      </c>
      <c r="E1069" s="135">
        <f t="shared" si="761"/>
        <v>2</v>
      </c>
      <c r="F1069" s="124">
        <v>41003</v>
      </c>
      <c r="G1069" s="125">
        <v>41008</v>
      </c>
      <c r="H1069" s="117">
        <v>1769574</v>
      </c>
      <c r="I1069" s="124">
        <v>41004</v>
      </c>
      <c r="J1069" s="124">
        <v>41008</v>
      </c>
      <c r="K1069" s="126">
        <v>7000</v>
      </c>
      <c r="L1069" s="127" t="s">
        <v>570</v>
      </c>
      <c r="N1069" s="129" t="str">
        <f t="shared" si="793"/>
        <v>N</v>
      </c>
      <c r="O1069" s="128" t="s">
        <v>917</v>
      </c>
      <c r="P1069" s="129" t="s">
        <v>589</v>
      </c>
      <c r="Q1069" s="111">
        <f t="shared" si="775"/>
        <v>5</v>
      </c>
      <c r="R1069" s="111">
        <f t="shared" si="786"/>
        <v>6</v>
      </c>
      <c r="S1069" s="129">
        <v>0</v>
      </c>
      <c r="T1069" s="129">
        <v>1</v>
      </c>
      <c r="W1069" s="111"/>
      <c r="AC1069" s="130"/>
      <c r="AD1069" s="130">
        <v>30253</v>
      </c>
      <c r="AE1069" s="128" t="s">
        <v>46</v>
      </c>
      <c r="AF1069" s="128" t="s">
        <v>40</v>
      </c>
      <c r="AG1069" s="128" t="s">
        <v>41</v>
      </c>
      <c r="AH1069" s="108" t="s">
        <v>41</v>
      </c>
      <c r="AI1069" s="128" t="s">
        <v>85</v>
      </c>
      <c r="AJ1069" s="129" t="s">
        <v>48</v>
      </c>
      <c r="AK1069" s="129">
        <v>1</v>
      </c>
      <c r="AL1069" s="3" t="s">
        <v>48</v>
      </c>
      <c r="AP1069" s="129" t="s">
        <v>108</v>
      </c>
      <c r="AR1069" s="128" t="s">
        <v>44</v>
      </c>
      <c r="AS1069" s="129" t="s">
        <v>61</v>
      </c>
      <c r="BC1069" s="129" t="s">
        <v>38</v>
      </c>
      <c r="BF1069" s="111">
        <f t="shared" si="789"/>
        <v>5</v>
      </c>
      <c r="BG1069" s="111">
        <f t="shared" si="790"/>
        <v>5</v>
      </c>
      <c r="BH1069" s="111">
        <f t="shared" si="757"/>
        <v>6</v>
      </c>
      <c r="BI1069" s="111">
        <f t="shared" si="758"/>
        <v>29.371584699453553</v>
      </c>
      <c r="BJ1069" s="129">
        <f t="shared" si="777"/>
        <v>0</v>
      </c>
      <c r="BK1069" s="129">
        <f t="shared" si="759"/>
        <v>0</v>
      </c>
      <c r="BL1069" s="129" t="str">
        <f t="shared" si="788"/>
        <v>DEFERRED</v>
      </c>
      <c r="BM1069" s="129" t="str">
        <f t="shared" si="778"/>
        <v>NONE</v>
      </c>
      <c r="BN1069" s="129" t="s">
        <v>566</v>
      </c>
      <c r="BP1069" s="137" t="str">
        <f t="shared" si="762"/>
        <v>DEFERRED</v>
      </c>
      <c r="BQ1069" s="128" t="str">
        <f t="shared" si="763"/>
        <v>Y</v>
      </c>
      <c r="BR1069" s="129" t="str">
        <f t="shared" si="779"/>
        <v>DETAINED</v>
      </c>
      <c r="BS1069" s="129" t="str">
        <f t="shared" si="764"/>
        <v>DISPOSED</v>
      </c>
      <c r="BT1069" s="129" t="str">
        <f t="shared" si="765"/>
        <v>N</v>
      </c>
      <c r="BU1069" s="109">
        <f t="shared" si="766"/>
        <v>0.83333333333333337</v>
      </c>
      <c r="BV1069" s="109">
        <f t="shared" si="767"/>
        <v>1</v>
      </c>
      <c r="BW1069" s="109">
        <f t="shared" si="792"/>
        <v>0.16666666666666663</v>
      </c>
      <c r="BX1069" s="111">
        <f t="shared" si="768"/>
        <v>0</v>
      </c>
      <c r="BY1069" s="129">
        <f t="shared" si="769"/>
        <v>-5</v>
      </c>
      <c r="BZ1069" s="111">
        <f t="shared" si="770"/>
        <v>0</v>
      </c>
      <c r="CA1069" s="138">
        <f t="shared" si="771"/>
        <v>5</v>
      </c>
      <c r="CB1069" s="111" t="e">
        <f t="shared" si="791"/>
        <v>#VALUE!</v>
      </c>
      <c r="CC1069" s="129">
        <f>G1069-I1069+1</f>
        <v>5</v>
      </c>
      <c r="CD1069" s="129">
        <f>G1069-J1069</f>
        <v>0</v>
      </c>
      <c r="CE1069" s="129">
        <f t="shared" si="772"/>
        <v>0</v>
      </c>
      <c r="CG1069" s="129" t="str">
        <f t="shared" si="773"/>
        <v>Y</v>
      </c>
      <c r="CI1069" s="129" t="str">
        <f t="shared" si="781"/>
        <v>0-10 DAYS</v>
      </c>
      <c r="CJ1069" s="137">
        <f t="shared" si="782"/>
        <v>1</v>
      </c>
      <c r="CK1069" s="129" t="str">
        <f t="shared" si="783"/>
        <v>Booked</v>
      </c>
    </row>
    <row r="1070" spans="1:89" ht="15" customHeight="1" x14ac:dyDescent="0.25">
      <c r="A1070" s="111">
        <v>2147</v>
      </c>
      <c r="B1070" s="128" t="str">
        <f t="shared" si="760"/>
        <v>N</v>
      </c>
      <c r="C1070" s="128" t="str">
        <f t="shared" si="774"/>
        <v>N</v>
      </c>
      <c r="D1070" s="117">
        <v>1769645</v>
      </c>
      <c r="E1070" s="135">
        <f t="shared" si="761"/>
        <v>5</v>
      </c>
      <c r="F1070" s="124">
        <v>40989</v>
      </c>
      <c r="G1070" s="125">
        <v>41018</v>
      </c>
      <c r="H1070" s="117">
        <v>1769645</v>
      </c>
      <c r="I1070" s="124">
        <v>41018</v>
      </c>
      <c r="J1070" s="124">
        <v>41018</v>
      </c>
      <c r="K1070" s="126">
        <v>15000</v>
      </c>
      <c r="L1070" s="127" t="s">
        <v>571</v>
      </c>
      <c r="N1070" s="129" t="str">
        <f t="shared" si="793"/>
        <v>N</v>
      </c>
      <c r="O1070" s="128" t="s">
        <v>917</v>
      </c>
      <c r="P1070" s="129" t="s">
        <v>39</v>
      </c>
      <c r="Q1070" s="111">
        <f t="shared" si="775"/>
        <v>1</v>
      </c>
      <c r="R1070" s="111">
        <f t="shared" si="786"/>
        <v>30</v>
      </c>
      <c r="S1070" s="129">
        <v>5</v>
      </c>
      <c r="T1070" s="32">
        <v>25</v>
      </c>
      <c r="W1070" s="111"/>
      <c r="AC1070" s="130"/>
      <c r="AD1070" s="130">
        <v>30193</v>
      </c>
      <c r="AE1070" s="128" t="s">
        <v>32</v>
      </c>
      <c r="AF1070" s="128" t="s">
        <v>33</v>
      </c>
      <c r="AG1070" s="128" t="s">
        <v>872</v>
      </c>
      <c r="AH1070" s="108" t="s">
        <v>58</v>
      </c>
      <c r="AI1070" s="128" t="s">
        <v>87</v>
      </c>
      <c r="AJ1070" s="129" t="s">
        <v>89</v>
      </c>
      <c r="AK1070" s="129">
        <v>2</v>
      </c>
      <c r="AL1070" s="3" t="s">
        <v>992</v>
      </c>
      <c r="AN1070" s="117">
        <v>6</v>
      </c>
      <c r="AP1070" s="129" t="s">
        <v>60</v>
      </c>
      <c r="AR1070" s="128" t="s">
        <v>44</v>
      </c>
      <c r="AS1070" s="129" t="s">
        <v>61</v>
      </c>
      <c r="BC1070" s="129" t="s">
        <v>38</v>
      </c>
      <c r="BF1070" s="111">
        <f t="shared" si="789"/>
        <v>1</v>
      </c>
      <c r="BG1070" s="111">
        <f t="shared" si="790"/>
        <v>1</v>
      </c>
      <c r="BH1070" s="111">
        <f t="shared" si="757"/>
        <v>30</v>
      </c>
      <c r="BI1070" s="111">
        <f t="shared" si="758"/>
        <v>29.497267759562842</v>
      </c>
      <c r="BJ1070" s="129">
        <f t="shared" si="777"/>
        <v>0</v>
      </c>
      <c r="BK1070" s="129">
        <f t="shared" si="759"/>
        <v>0</v>
      </c>
      <c r="BL1070" s="129" t="str">
        <f t="shared" si="788"/>
        <v>CONVICTION</v>
      </c>
      <c r="BM1070" s="129" t="str">
        <f t="shared" si="778"/>
        <v>NONE</v>
      </c>
      <c r="BN1070" s="129" t="s">
        <v>566</v>
      </c>
      <c r="BP1070" s="137" t="str">
        <f t="shared" si="762"/>
        <v>CONVICTION</v>
      </c>
      <c r="BQ1070" s="128" t="str">
        <f t="shared" si="763"/>
        <v>Y</v>
      </c>
      <c r="BR1070" s="129" t="str">
        <f t="shared" si="779"/>
        <v>DETAINED</v>
      </c>
      <c r="BS1070" s="129" t="str">
        <f t="shared" si="764"/>
        <v>DISPOSED</v>
      </c>
      <c r="BT1070" s="129" t="str">
        <f t="shared" si="765"/>
        <v>Y</v>
      </c>
      <c r="BU1070" s="109">
        <f t="shared" si="766"/>
        <v>3.3333333333333333E-2</v>
      </c>
      <c r="BV1070" s="109">
        <f t="shared" si="767"/>
        <v>1</v>
      </c>
      <c r="BW1070" s="109">
        <f t="shared" si="792"/>
        <v>0.96666666666666667</v>
      </c>
      <c r="BX1070" s="111">
        <f t="shared" si="768"/>
        <v>0</v>
      </c>
      <c r="BY1070" s="129">
        <f t="shared" si="769"/>
        <v>-1</v>
      </c>
      <c r="BZ1070" s="111">
        <f t="shared" si="770"/>
        <v>0</v>
      </c>
      <c r="CA1070" s="138">
        <f t="shared" si="771"/>
        <v>1</v>
      </c>
      <c r="CB1070" s="111" t="e">
        <f t="shared" si="791"/>
        <v>#VALUE!</v>
      </c>
      <c r="CC1070" s="129">
        <f>G1070-I1070+1</f>
        <v>1</v>
      </c>
      <c r="CD1070" s="129">
        <f>G1070-J1070</f>
        <v>0</v>
      </c>
      <c r="CE1070" s="129">
        <f t="shared" si="772"/>
        <v>0</v>
      </c>
      <c r="CG1070" s="129" t="str">
        <f t="shared" si="773"/>
        <v>Y</v>
      </c>
      <c r="CI1070" s="129" t="str">
        <f t="shared" si="781"/>
        <v>0-10 DAYS</v>
      </c>
      <c r="CJ1070" s="137">
        <f t="shared" si="782"/>
        <v>1</v>
      </c>
      <c r="CK1070" s="129" t="str">
        <f t="shared" si="783"/>
        <v>Booked</v>
      </c>
    </row>
    <row r="1071" spans="1:89" ht="15.75" customHeight="1" x14ac:dyDescent="0.25">
      <c r="A1071" s="111">
        <v>780</v>
      </c>
      <c r="B1071" s="128" t="str">
        <f t="shared" si="760"/>
        <v>N</v>
      </c>
      <c r="C1071" s="128" t="str">
        <f t="shared" si="774"/>
        <v>N</v>
      </c>
      <c r="D1071" s="117">
        <v>1769819</v>
      </c>
      <c r="E1071" s="135">
        <f t="shared" si="761"/>
        <v>1</v>
      </c>
      <c r="F1071" s="124">
        <v>40939</v>
      </c>
      <c r="G1071" s="125">
        <v>41099</v>
      </c>
      <c r="H1071" s="117">
        <v>1769819</v>
      </c>
      <c r="I1071" s="124">
        <v>40943</v>
      </c>
      <c r="J1071" s="124">
        <v>40948</v>
      </c>
      <c r="K1071" s="126">
        <v>10000</v>
      </c>
      <c r="L1071" s="127" t="s">
        <v>570</v>
      </c>
      <c r="M1071" s="125">
        <v>40948</v>
      </c>
      <c r="N1071" s="129" t="str">
        <f t="shared" si="793"/>
        <v>Y</v>
      </c>
      <c r="O1071" s="128" t="s">
        <v>76</v>
      </c>
      <c r="P1071" s="129" t="s">
        <v>55</v>
      </c>
      <c r="Q1071" s="111">
        <f t="shared" si="775"/>
        <v>6</v>
      </c>
      <c r="R1071" s="111">
        <f t="shared" si="786"/>
        <v>161</v>
      </c>
      <c r="S1071" s="129">
        <v>0</v>
      </c>
      <c r="T1071" s="129">
        <v>3</v>
      </c>
      <c r="W1071" s="111"/>
      <c r="AC1071" s="130"/>
      <c r="AD1071" s="130">
        <v>28110</v>
      </c>
      <c r="AE1071" s="128" t="s">
        <v>46</v>
      </c>
      <c r="AF1071" s="128" t="s">
        <v>33</v>
      </c>
      <c r="AG1071" s="128" t="s">
        <v>872</v>
      </c>
      <c r="AH1071" s="108" t="s">
        <v>58</v>
      </c>
      <c r="AI1071" s="128" t="s">
        <v>65</v>
      </c>
      <c r="AJ1071" s="129" t="s">
        <v>55</v>
      </c>
      <c r="AK1071" s="129">
        <v>9</v>
      </c>
      <c r="AL1071" s="3" t="s">
        <v>55</v>
      </c>
      <c r="AP1071" s="129" t="s">
        <v>144</v>
      </c>
      <c r="AR1071" s="128" t="s">
        <v>67</v>
      </c>
      <c r="AS1071" s="129" t="s">
        <v>74</v>
      </c>
      <c r="BC1071" s="129" t="s">
        <v>52</v>
      </c>
      <c r="BF1071" s="111">
        <f t="shared" si="789"/>
        <v>6</v>
      </c>
      <c r="BG1071" s="111">
        <f t="shared" si="790"/>
        <v>157</v>
      </c>
      <c r="BH1071" s="111">
        <f t="shared" si="757"/>
        <v>161</v>
      </c>
      <c r="BI1071" s="111">
        <f t="shared" si="758"/>
        <v>35.051912568306008</v>
      </c>
      <c r="BJ1071" s="129">
        <f>(G1071-J1071)+(M1071-G1071)</f>
        <v>0</v>
      </c>
      <c r="BK1071" s="129">
        <f t="shared" si="759"/>
        <v>-151</v>
      </c>
      <c r="BL1071" s="129" t="str">
        <f t="shared" si="788"/>
        <v>NO CONVICTION</v>
      </c>
      <c r="BM1071" s="129" t="s">
        <v>76</v>
      </c>
      <c r="BN1071" s="129" t="s">
        <v>88</v>
      </c>
      <c r="BP1071" s="137" t="str">
        <f t="shared" si="762"/>
        <v>NO CONVICTION</v>
      </c>
      <c r="BQ1071" s="128" t="str">
        <f t="shared" si="763"/>
        <v>Y</v>
      </c>
      <c r="BR1071" s="129" t="str">
        <f t="shared" si="779"/>
        <v>ON BOND</v>
      </c>
      <c r="BS1071" s="129" t="str">
        <f t="shared" si="764"/>
        <v>DISPOSED</v>
      </c>
      <c r="BT1071" s="129" t="str">
        <f t="shared" si="765"/>
        <v>N</v>
      </c>
      <c r="BU1071" s="109">
        <f>IFERROR(Q1071/R1071,BR1071)</f>
        <v>3.7267080745341616E-2</v>
      </c>
      <c r="BV1071" s="109">
        <f t="shared" si="767"/>
        <v>3.8216560509554139E-2</v>
      </c>
      <c r="BW1071" s="109">
        <f t="shared" si="792"/>
        <v>9.4947976421252273E-4</v>
      </c>
      <c r="BX1071" s="111">
        <f t="shared" si="768"/>
        <v>0</v>
      </c>
      <c r="BY1071" s="129">
        <f t="shared" si="769"/>
        <v>-6</v>
      </c>
      <c r="BZ1071" s="111">
        <f t="shared" si="770"/>
        <v>0</v>
      </c>
      <c r="CA1071" s="138">
        <f t="shared" si="771"/>
        <v>6</v>
      </c>
      <c r="CB1071" s="111" t="e">
        <f t="shared" si="791"/>
        <v>#VALUE!</v>
      </c>
      <c r="CC1071" s="129">
        <f>M1071-I1071+1</f>
        <v>6</v>
      </c>
      <c r="CD1071" s="111">
        <f>CC1071-BF1071</f>
        <v>0</v>
      </c>
      <c r="CE1071" s="129">
        <f t="shared" si="772"/>
        <v>151</v>
      </c>
      <c r="CG1071" s="129" t="str">
        <f t="shared" si="773"/>
        <v>Y</v>
      </c>
      <c r="CI1071" s="129" t="str">
        <f t="shared" si="781"/>
        <v>0-10 DAYS</v>
      </c>
      <c r="CJ1071" s="137">
        <f t="shared" si="782"/>
        <v>1</v>
      </c>
      <c r="CK1071" s="129" t="str">
        <f t="shared" si="783"/>
        <v>Booked</v>
      </c>
    </row>
    <row r="1072" spans="1:89" ht="15.75" customHeight="1" x14ac:dyDescent="0.25">
      <c r="A1072" s="111">
        <v>2699</v>
      </c>
      <c r="B1072" s="128" t="str">
        <f t="shared" si="760"/>
        <v>N</v>
      </c>
      <c r="C1072" s="128" t="str">
        <f t="shared" si="774"/>
        <v>N</v>
      </c>
      <c r="D1072" s="117">
        <v>1770151</v>
      </c>
      <c r="E1072" s="135">
        <f t="shared" si="761"/>
        <v>6</v>
      </c>
      <c r="F1072" s="124">
        <v>41009</v>
      </c>
      <c r="G1072" s="125">
        <v>41367</v>
      </c>
      <c r="H1072" s="117">
        <v>1770151</v>
      </c>
      <c r="I1072" s="124">
        <v>41010</v>
      </c>
      <c r="J1072" s="124">
        <v>41109</v>
      </c>
      <c r="K1072" s="126">
        <v>75000</v>
      </c>
      <c r="L1072" s="129" t="s">
        <v>572</v>
      </c>
      <c r="M1072" s="125">
        <v>41109</v>
      </c>
      <c r="N1072" s="129" t="str">
        <f t="shared" si="793"/>
        <v>Y</v>
      </c>
      <c r="O1072" s="128" t="s">
        <v>76</v>
      </c>
      <c r="P1072" s="129" t="s">
        <v>39</v>
      </c>
      <c r="Q1072" s="111">
        <f t="shared" si="775"/>
        <v>100</v>
      </c>
      <c r="R1072" s="111">
        <f t="shared" si="786"/>
        <v>359</v>
      </c>
      <c r="S1072" s="129">
        <v>6</v>
      </c>
      <c r="T1072" s="129">
        <v>1</v>
      </c>
      <c r="U1072" s="129">
        <v>4</v>
      </c>
      <c r="W1072" s="111"/>
      <c r="AB1072" s="131" t="s">
        <v>112</v>
      </c>
      <c r="AC1072" s="130"/>
      <c r="AD1072" s="130">
        <v>30108</v>
      </c>
      <c r="AE1072" s="128" t="s">
        <v>32</v>
      </c>
      <c r="AF1072" s="128" t="s">
        <v>40</v>
      </c>
      <c r="AG1072" s="128" t="s">
        <v>41</v>
      </c>
      <c r="AH1072" s="108" t="s">
        <v>31</v>
      </c>
      <c r="AI1072" s="128" t="s">
        <v>118</v>
      </c>
      <c r="AJ1072" s="129" t="s">
        <v>89</v>
      </c>
      <c r="AK1072" s="129">
        <v>13</v>
      </c>
      <c r="AL1072" s="3" t="s">
        <v>362</v>
      </c>
      <c r="AM1072" s="117">
        <v>5</v>
      </c>
      <c r="AP1072" s="129" t="s">
        <v>476</v>
      </c>
      <c r="AR1072" s="128" t="s">
        <v>92</v>
      </c>
      <c r="AS1072" s="129" t="s">
        <v>45</v>
      </c>
      <c r="BC1072" s="129" t="s">
        <v>52</v>
      </c>
      <c r="BF1072" s="111">
        <f t="shared" si="789"/>
        <v>100</v>
      </c>
      <c r="BG1072" s="111">
        <f t="shared" si="790"/>
        <v>358</v>
      </c>
      <c r="BH1072" s="111">
        <f t="shared" si="757"/>
        <v>359</v>
      </c>
      <c r="BI1072" s="111">
        <f t="shared" si="758"/>
        <v>29.784153005464482</v>
      </c>
      <c r="BJ1072" s="129">
        <f>(G1072-J1072)+(M1072-G1072)</f>
        <v>0</v>
      </c>
      <c r="BK1072" s="129">
        <f t="shared" si="759"/>
        <v>-258</v>
      </c>
      <c r="BL1072" s="129" t="str">
        <f t="shared" si="788"/>
        <v>CONVICTION</v>
      </c>
      <c r="BM1072" s="129" t="s">
        <v>76</v>
      </c>
      <c r="BN1072" s="129" t="s">
        <v>88</v>
      </c>
      <c r="BP1072" s="137" t="str">
        <f t="shared" si="762"/>
        <v>CONVICTION</v>
      </c>
      <c r="BQ1072" s="128" t="str">
        <f t="shared" si="763"/>
        <v>Y</v>
      </c>
      <c r="BR1072" s="129" t="str">
        <f>IF(J1072&lt;G1072,"ON BOND",0)</f>
        <v>ON BOND</v>
      </c>
      <c r="BS1072" s="129" t="str">
        <f t="shared" si="764"/>
        <v>DISPOSED</v>
      </c>
      <c r="BT1072" s="129" t="str">
        <f t="shared" si="765"/>
        <v>Y</v>
      </c>
      <c r="BU1072" s="109">
        <f t="shared" si="766"/>
        <v>0.2785515320334262</v>
      </c>
      <c r="BV1072" s="109">
        <f t="shared" si="767"/>
        <v>0.27932960893854747</v>
      </c>
      <c r="BW1072" s="109">
        <f t="shared" si="792"/>
        <v>7.7807690512127214E-4</v>
      </c>
      <c r="BX1072" s="111">
        <f t="shared" si="768"/>
        <v>0</v>
      </c>
      <c r="BY1072" s="129">
        <f t="shared" si="769"/>
        <v>-100</v>
      </c>
      <c r="BZ1072" s="111">
        <f t="shared" si="770"/>
        <v>0</v>
      </c>
      <c r="CA1072" s="138">
        <f t="shared" si="771"/>
        <v>100</v>
      </c>
      <c r="CB1072" s="111" t="e">
        <f t="shared" si="791"/>
        <v>#VALUE!</v>
      </c>
      <c r="CC1072" s="129">
        <f>M1072-I1072+1</f>
        <v>100</v>
      </c>
      <c r="CD1072" s="111">
        <f>CC1072-BF1072</f>
        <v>0</v>
      </c>
      <c r="CE1072" s="129">
        <f t="shared" si="772"/>
        <v>258</v>
      </c>
      <c r="CG1072" s="129" t="str">
        <f t="shared" si="773"/>
        <v>Y</v>
      </c>
      <c r="CI1072" s="129" t="str">
        <f t="shared" si="781"/>
        <v>91-120 DAYS</v>
      </c>
      <c r="CJ1072" s="137">
        <f t="shared" si="782"/>
        <v>0</v>
      </c>
      <c r="CK1072" s="129" t="str">
        <f t="shared" si="783"/>
        <v>Booked</v>
      </c>
    </row>
    <row r="1073" spans="1:89" ht="15" customHeight="1" x14ac:dyDescent="0.25">
      <c r="A1073" s="111">
        <v>866</v>
      </c>
      <c r="B1073" s="128" t="str">
        <f t="shared" si="760"/>
        <v>N</v>
      </c>
      <c r="C1073" s="128" t="str">
        <f t="shared" si="774"/>
        <v>N</v>
      </c>
      <c r="D1073" s="117">
        <v>1772511</v>
      </c>
      <c r="E1073" s="135">
        <f t="shared" si="761"/>
        <v>4</v>
      </c>
      <c r="F1073" s="124">
        <v>40941</v>
      </c>
      <c r="G1073" s="125">
        <v>40997</v>
      </c>
      <c r="H1073" s="117">
        <v>1772511</v>
      </c>
      <c r="I1073" s="124">
        <v>40968</v>
      </c>
      <c r="J1073" s="124">
        <v>40997</v>
      </c>
      <c r="K1073" s="126">
        <v>15000</v>
      </c>
      <c r="L1073" s="127" t="s">
        <v>571</v>
      </c>
      <c r="N1073" s="129" t="str">
        <f t="shared" si="793"/>
        <v>N</v>
      </c>
      <c r="O1073" s="128" t="s">
        <v>917</v>
      </c>
      <c r="P1073" s="129" t="s">
        <v>39</v>
      </c>
      <c r="Q1073" s="111">
        <f t="shared" si="775"/>
        <v>30</v>
      </c>
      <c r="R1073" s="111">
        <f t="shared" si="786"/>
        <v>57</v>
      </c>
      <c r="S1073" s="129">
        <v>9</v>
      </c>
      <c r="T1073" s="129">
        <v>4</v>
      </c>
      <c r="U1073" s="129">
        <v>7</v>
      </c>
      <c r="W1073" s="111"/>
      <c r="AC1073" s="130"/>
      <c r="AD1073" s="130">
        <v>29885</v>
      </c>
      <c r="AE1073" s="128" t="s">
        <v>46</v>
      </c>
      <c r="AF1073" s="128" t="s">
        <v>33</v>
      </c>
      <c r="AG1073" s="128" t="s">
        <v>872</v>
      </c>
      <c r="AH1073" s="108" t="s">
        <v>31</v>
      </c>
      <c r="AI1073" s="128" t="s">
        <v>83</v>
      </c>
      <c r="AJ1073" s="129" t="s">
        <v>89</v>
      </c>
      <c r="AK1073" s="129">
        <v>3</v>
      </c>
      <c r="AL1073" s="3" t="s">
        <v>991</v>
      </c>
      <c r="AO1073" s="128">
        <v>180</v>
      </c>
      <c r="AP1073" s="129" t="s">
        <v>63</v>
      </c>
      <c r="AR1073" s="128" t="s">
        <v>44</v>
      </c>
      <c r="AS1073" s="129" t="s">
        <v>64</v>
      </c>
      <c r="AT1073" s="129" t="s">
        <v>257</v>
      </c>
      <c r="BC1073" s="129" t="s">
        <v>38</v>
      </c>
      <c r="BF1073" s="111">
        <f t="shared" si="789"/>
        <v>30</v>
      </c>
      <c r="BG1073" s="111">
        <f t="shared" si="790"/>
        <v>30</v>
      </c>
      <c r="BH1073" s="111">
        <f t="shared" si="757"/>
        <v>57</v>
      </c>
      <c r="BI1073" s="111">
        <f t="shared" si="758"/>
        <v>30.207650273224044</v>
      </c>
      <c r="BJ1073" s="129">
        <f t="shared" si="777"/>
        <v>0</v>
      </c>
      <c r="BK1073" s="129">
        <f t="shared" si="759"/>
        <v>0</v>
      </c>
      <c r="BL1073" s="129" t="str">
        <f t="shared" si="788"/>
        <v>CONVICTION</v>
      </c>
      <c r="BM1073" s="129" t="str">
        <f t="shared" si="778"/>
        <v>NONE</v>
      </c>
      <c r="BN1073" s="129" t="s">
        <v>566</v>
      </c>
      <c r="BP1073" s="137" t="str">
        <f t="shared" si="762"/>
        <v>CONVICTION</v>
      </c>
      <c r="BQ1073" s="128" t="str">
        <f t="shared" si="763"/>
        <v>Y</v>
      </c>
      <c r="BR1073" s="129" t="str">
        <f t="shared" si="779"/>
        <v>DETAINED</v>
      </c>
      <c r="BS1073" s="129" t="str">
        <f t="shared" si="764"/>
        <v>DISPOSED</v>
      </c>
      <c r="BT1073" s="129" t="str">
        <f t="shared" si="765"/>
        <v>Y</v>
      </c>
      <c r="BU1073" s="109">
        <f t="shared" si="766"/>
        <v>0.52631578947368418</v>
      </c>
      <c r="BV1073" s="109">
        <f t="shared" si="767"/>
        <v>1</v>
      </c>
      <c r="BW1073" s="109">
        <f t="shared" si="792"/>
        <v>0.47368421052631582</v>
      </c>
      <c r="BX1073" s="111">
        <f t="shared" si="768"/>
        <v>0</v>
      </c>
      <c r="BY1073" s="129">
        <f t="shared" si="769"/>
        <v>-30</v>
      </c>
      <c r="BZ1073" s="111">
        <f t="shared" si="770"/>
        <v>0</v>
      </c>
      <c r="CA1073" s="138">
        <f t="shared" si="771"/>
        <v>30</v>
      </c>
      <c r="CB1073" s="111" t="e">
        <f t="shared" si="791"/>
        <v>#VALUE!</v>
      </c>
      <c r="CC1073" s="129">
        <f>G1073-I1073+1</f>
        <v>30</v>
      </c>
      <c r="CD1073" s="129">
        <f>G1073-J1073</f>
        <v>0</v>
      </c>
      <c r="CE1073" s="129">
        <f t="shared" si="772"/>
        <v>0</v>
      </c>
      <c r="CG1073" s="129" t="str">
        <f t="shared" si="773"/>
        <v>Y</v>
      </c>
      <c r="CI1073" s="129" t="str">
        <f t="shared" si="781"/>
        <v>11-30 DAYS</v>
      </c>
      <c r="CJ1073" s="137">
        <f t="shared" si="782"/>
        <v>2</v>
      </c>
      <c r="CK1073" s="129" t="str">
        <f t="shared" si="783"/>
        <v>Booked</v>
      </c>
    </row>
    <row r="1074" spans="1:89" ht="15" customHeight="1" x14ac:dyDescent="0.25">
      <c r="A1074" s="111">
        <v>995</v>
      </c>
      <c r="B1074" s="128" t="str">
        <f t="shared" si="760"/>
        <v>N</v>
      </c>
      <c r="C1074" s="128" t="str">
        <f t="shared" si="774"/>
        <v>Y</v>
      </c>
      <c r="D1074" s="117">
        <v>1772638</v>
      </c>
      <c r="E1074" s="135">
        <f t="shared" si="761"/>
        <v>6</v>
      </c>
      <c r="F1074" s="124">
        <v>40946</v>
      </c>
      <c r="G1074" s="125">
        <v>41106</v>
      </c>
      <c r="H1074" s="117">
        <v>1772638</v>
      </c>
      <c r="I1074" s="124">
        <v>40946</v>
      </c>
      <c r="J1074" s="124">
        <v>41028</v>
      </c>
      <c r="K1074" s="126">
        <v>50000</v>
      </c>
      <c r="L1074" s="129" t="s">
        <v>572</v>
      </c>
      <c r="M1074" s="125">
        <v>41028</v>
      </c>
      <c r="N1074" s="129" t="str">
        <f t="shared" si="793"/>
        <v>Y</v>
      </c>
      <c r="O1074" s="128" t="s">
        <v>76</v>
      </c>
      <c r="P1074" s="129" t="s">
        <v>39</v>
      </c>
      <c r="Q1074" s="111">
        <v>108</v>
      </c>
      <c r="R1074" s="111">
        <f t="shared" si="786"/>
        <v>161</v>
      </c>
      <c r="S1074" s="129">
        <v>2</v>
      </c>
      <c r="T1074" s="129">
        <v>18</v>
      </c>
      <c r="U1074" s="129">
        <v>1</v>
      </c>
      <c r="W1074" s="111"/>
      <c r="AC1074" s="130"/>
      <c r="AD1074" s="130">
        <v>30275</v>
      </c>
      <c r="AE1074" s="128" t="s">
        <v>32</v>
      </c>
      <c r="AF1074" s="128" t="s">
        <v>33</v>
      </c>
      <c r="AG1074" s="128" t="s">
        <v>872</v>
      </c>
      <c r="AH1074" s="108" t="s">
        <v>58</v>
      </c>
      <c r="AI1074" s="128" t="s">
        <v>118</v>
      </c>
      <c r="AJ1074" s="129" t="s">
        <v>89</v>
      </c>
      <c r="AK1074" s="129">
        <v>9</v>
      </c>
      <c r="AL1074" s="3" t="s">
        <v>362</v>
      </c>
      <c r="AM1074" s="117">
        <v>3</v>
      </c>
      <c r="AP1074" s="129" t="s">
        <v>132</v>
      </c>
      <c r="AR1074" s="128" t="s">
        <v>92</v>
      </c>
      <c r="AS1074" s="129" t="s">
        <v>82</v>
      </c>
      <c r="AT1074" s="129" t="s">
        <v>1086</v>
      </c>
      <c r="AU1074" s="3" t="s">
        <v>813</v>
      </c>
      <c r="AV1074" s="3" t="s">
        <v>88</v>
      </c>
      <c r="AW1074" s="123" t="s">
        <v>705</v>
      </c>
      <c r="BA1074" s="125" t="s">
        <v>1192</v>
      </c>
      <c r="BB1074" s="129">
        <v>470</v>
      </c>
      <c r="BC1074" s="129" t="s">
        <v>38</v>
      </c>
      <c r="BF1074" s="111">
        <v>108</v>
      </c>
      <c r="BG1074" s="111">
        <f t="shared" si="790"/>
        <v>161</v>
      </c>
      <c r="BH1074" s="111">
        <f t="shared" si="757"/>
        <v>161</v>
      </c>
      <c r="BI1074" s="111">
        <f t="shared" si="758"/>
        <v>29.155737704918032</v>
      </c>
      <c r="BJ1074" s="129">
        <f>(G1074-J1074)+(M1074-G1074)</f>
        <v>0</v>
      </c>
      <c r="BK1074" s="129">
        <f t="shared" si="759"/>
        <v>-78</v>
      </c>
      <c r="BL1074" s="129" t="str">
        <f t="shared" si="788"/>
        <v>CONVICTION</v>
      </c>
      <c r="BM1074" s="129" t="s">
        <v>76</v>
      </c>
      <c r="BN1074" s="129" t="s">
        <v>566</v>
      </c>
      <c r="BP1074" s="137" t="str">
        <f t="shared" si="762"/>
        <v>CONVICTION</v>
      </c>
      <c r="BQ1074" s="128" t="str">
        <f t="shared" si="763"/>
        <v>Y</v>
      </c>
      <c r="BR1074" s="129" t="s">
        <v>574</v>
      </c>
      <c r="BS1074" s="129" t="str">
        <f t="shared" si="764"/>
        <v>DISPOSED</v>
      </c>
      <c r="BT1074" s="129" t="str">
        <f t="shared" si="765"/>
        <v>Y</v>
      </c>
      <c r="BU1074" s="109">
        <f t="shared" si="766"/>
        <v>0.67080745341614911</v>
      </c>
      <c r="BV1074" s="109">
        <f t="shared" si="767"/>
        <v>0.51552795031055898</v>
      </c>
      <c r="BW1074" s="109">
        <f t="shared" si="792"/>
        <v>-0.15527950310559013</v>
      </c>
      <c r="BX1074" s="111">
        <f t="shared" si="768"/>
        <v>0</v>
      </c>
      <c r="BY1074" s="129">
        <f t="shared" si="769"/>
        <v>-83</v>
      </c>
      <c r="BZ1074" s="111">
        <f t="shared" si="770"/>
        <v>25</v>
      </c>
      <c r="CA1074" s="138">
        <f t="shared" si="771"/>
        <v>161</v>
      </c>
      <c r="CB1074" s="111">
        <v>108</v>
      </c>
      <c r="CC1074" s="129">
        <f>G1074-I1074+1</f>
        <v>161</v>
      </c>
      <c r="CD1074" s="129">
        <f>G1074-J1074</f>
        <v>78</v>
      </c>
      <c r="CE1074" s="129">
        <f t="shared" si="772"/>
        <v>78</v>
      </c>
      <c r="CG1074" s="129" t="str">
        <f t="shared" si="773"/>
        <v>Y</v>
      </c>
      <c r="CI1074" s="129" t="str">
        <f t="shared" si="781"/>
        <v>91-120 DAYS</v>
      </c>
      <c r="CJ1074" s="137">
        <f t="shared" si="782"/>
        <v>0</v>
      </c>
      <c r="CK1074" s="129" t="str">
        <f t="shared" si="783"/>
        <v>Booked</v>
      </c>
    </row>
    <row r="1075" spans="1:89" ht="15.75" customHeight="1" x14ac:dyDescent="0.25">
      <c r="A1075" s="111">
        <v>2573</v>
      </c>
      <c r="B1075" s="128" t="str">
        <f t="shared" si="760"/>
        <v>N</v>
      </c>
      <c r="C1075" s="128" t="str">
        <f t="shared" si="774"/>
        <v>N</v>
      </c>
      <c r="D1075" s="117">
        <v>1773868</v>
      </c>
      <c r="E1075" s="135">
        <f t="shared" si="761"/>
        <v>4</v>
      </c>
      <c r="F1075" s="124">
        <v>41004</v>
      </c>
      <c r="G1075" s="125">
        <v>41285</v>
      </c>
      <c r="H1075" s="117">
        <v>1773868</v>
      </c>
      <c r="I1075" s="124">
        <v>41030</v>
      </c>
      <c r="J1075" s="124">
        <v>41034</v>
      </c>
      <c r="K1075" s="126">
        <v>30000</v>
      </c>
      <c r="L1075" s="129" t="s">
        <v>572</v>
      </c>
      <c r="M1075" s="125">
        <v>41034</v>
      </c>
      <c r="N1075" s="129" t="str">
        <f t="shared" si="793"/>
        <v>Y</v>
      </c>
      <c r="O1075" s="128" t="s">
        <v>76</v>
      </c>
      <c r="P1075" s="129" t="s">
        <v>39</v>
      </c>
      <c r="Q1075" s="111">
        <f>BF1075</f>
        <v>5</v>
      </c>
      <c r="R1075" s="111">
        <f t="shared" si="786"/>
        <v>282</v>
      </c>
      <c r="S1075" s="129">
        <v>1</v>
      </c>
      <c r="T1075" s="129">
        <v>1</v>
      </c>
      <c r="V1075" s="117">
        <v>1</v>
      </c>
      <c r="W1075" s="111"/>
      <c r="AC1075" s="130"/>
      <c r="AD1075" s="130">
        <v>27328</v>
      </c>
      <c r="AE1075" s="128" t="s">
        <v>32</v>
      </c>
      <c r="AF1075" s="128" t="s">
        <v>40</v>
      </c>
      <c r="AG1075" s="128" t="s">
        <v>41</v>
      </c>
      <c r="AH1075" s="108" t="s">
        <v>41</v>
      </c>
      <c r="AI1075" s="128" t="s">
        <v>118</v>
      </c>
      <c r="AJ1075" s="129" t="s">
        <v>89</v>
      </c>
      <c r="AK1075" s="129">
        <v>10</v>
      </c>
      <c r="AL1075" s="3" t="s">
        <v>991</v>
      </c>
      <c r="AO1075" s="128">
        <v>10</v>
      </c>
      <c r="AP1075" s="129" t="s">
        <v>110</v>
      </c>
      <c r="AR1075" s="128" t="s">
        <v>50</v>
      </c>
      <c r="AS1075" s="129" t="s">
        <v>74</v>
      </c>
      <c r="BC1075" s="129" t="s">
        <v>52</v>
      </c>
      <c r="BF1075" s="111">
        <f>IF(J1075&gt;1/1/1900,((J1075+1)-I1075),"STILL OPEN")</f>
        <v>5</v>
      </c>
      <c r="BG1075" s="111">
        <f t="shared" si="790"/>
        <v>256</v>
      </c>
      <c r="BH1075" s="111">
        <f t="shared" si="757"/>
        <v>282</v>
      </c>
      <c r="BI1075" s="111">
        <f t="shared" si="758"/>
        <v>37.366120218579233</v>
      </c>
      <c r="BJ1075" s="129">
        <f>(G1075-J1075)+(M1075-G1075)</f>
        <v>0</v>
      </c>
      <c r="BK1075" s="129">
        <f t="shared" si="759"/>
        <v>-251</v>
      </c>
      <c r="BL1075" s="129" t="str">
        <f t="shared" si="788"/>
        <v>CONVICTION</v>
      </c>
      <c r="BM1075" s="129" t="s">
        <v>76</v>
      </c>
      <c r="BN1075" s="129" t="s">
        <v>88</v>
      </c>
      <c r="BP1075" s="137" t="str">
        <f t="shared" si="762"/>
        <v>CONVICTION</v>
      </c>
      <c r="BQ1075" s="128" t="str">
        <f t="shared" si="763"/>
        <v>Y</v>
      </c>
      <c r="BR1075" s="129" t="str">
        <f>IF(J1075&lt;G1075,"ON BOND",0)</f>
        <v>ON BOND</v>
      </c>
      <c r="BS1075" s="129" t="str">
        <f t="shared" si="764"/>
        <v>DISPOSED</v>
      </c>
      <c r="BT1075" s="129" t="str">
        <f t="shared" si="765"/>
        <v>Y</v>
      </c>
      <c r="BU1075" s="109">
        <f t="shared" si="766"/>
        <v>1.7730496453900711E-2</v>
      </c>
      <c r="BV1075" s="109">
        <f t="shared" si="767"/>
        <v>1.953125E-2</v>
      </c>
      <c r="BW1075" s="109">
        <f t="shared" si="792"/>
        <v>1.8007535460992895E-3</v>
      </c>
      <c r="BX1075" s="111">
        <f t="shared" si="768"/>
        <v>0</v>
      </c>
      <c r="BY1075" s="129">
        <f t="shared" si="769"/>
        <v>-5</v>
      </c>
      <c r="BZ1075" s="111">
        <f t="shared" si="770"/>
        <v>0</v>
      </c>
      <c r="CA1075" s="138">
        <f t="shared" si="771"/>
        <v>5</v>
      </c>
      <c r="CB1075" s="111" t="e">
        <f>IF(AF1075&gt;1/1/1900,((AF1075+1)-AE1075),"STILL OPEN")</f>
        <v>#VALUE!</v>
      </c>
      <c r="CC1075" s="129">
        <f>M1075-I1075+1</f>
        <v>5</v>
      </c>
      <c r="CD1075" s="111">
        <f>CC1075-BF1075</f>
        <v>0</v>
      </c>
      <c r="CE1075" s="129">
        <f t="shared" si="772"/>
        <v>251</v>
      </c>
      <c r="CG1075" s="129" t="str">
        <f t="shared" si="773"/>
        <v>Y</v>
      </c>
      <c r="CI1075" s="129" t="str">
        <f t="shared" si="781"/>
        <v>0-10 DAYS</v>
      </c>
      <c r="CJ1075" s="137">
        <f t="shared" si="782"/>
        <v>1</v>
      </c>
      <c r="CK1075" s="129" t="str">
        <f t="shared" si="783"/>
        <v>Booked</v>
      </c>
    </row>
    <row r="1076" spans="1:89" ht="15.75" customHeight="1" x14ac:dyDescent="0.25">
      <c r="A1076" s="111">
        <v>753</v>
      </c>
      <c r="B1076" s="128" t="str">
        <f t="shared" si="760"/>
        <v>Y</v>
      </c>
      <c r="C1076" s="128" t="str">
        <f t="shared" si="774"/>
        <v>Y</v>
      </c>
      <c r="D1076" s="117">
        <v>1774459</v>
      </c>
      <c r="E1076" s="135">
        <f t="shared" si="761"/>
        <v>1</v>
      </c>
      <c r="F1076" s="124">
        <v>40938</v>
      </c>
      <c r="G1076" s="125">
        <v>41066</v>
      </c>
      <c r="H1076" s="117">
        <v>1774459</v>
      </c>
      <c r="I1076" s="124">
        <v>40938</v>
      </c>
      <c r="J1076" s="124">
        <v>40940</v>
      </c>
      <c r="K1076" s="126">
        <v>10000</v>
      </c>
      <c r="L1076" s="127" t="s">
        <v>570</v>
      </c>
      <c r="M1076" s="125">
        <v>40940</v>
      </c>
      <c r="N1076" s="129" t="str">
        <f t="shared" si="793"/>
        <v>Y</v>
      </c>
      <c r="O1076" s="128" t="s">
        <v>585</v>
      </c>
      <c r="P1076" s="116" t="s">
        <v>55</v>
      </c>
      <c r="Q1076" s="111">
        <v>31</v>
      </c>
      <c r="R1076" s="111">
        <f t="shared" si="786"/>
        <v>129</v>
      </c>
      <c r="S1076" s="129">
        <v>2</v>
      </c>
      <c r="T1076" s="129">
        <v>6</v>
      </c>
      <c r="U1076" s="129">
        <v>2</v>
      </c>
      <c r="W1076" s="111"/>
      <c r="AC1076" s="130"/>
      <c r="AD1076" s="130">
        <v>30664</v>
      </c>
      <c r="AE1076" s="128" t="s">
        <v>32</v>
      </c>
      <c r="AF1076" s="128" t="s">
        <v>33</v>
      </c>
      <c r="AG1076" s="128" t="s">
        <v>872</v>
      </c>
      <c r="AH1076" s="108" t="s">
        <v>58</v>
      </c>
      <c r="AI1076" s="128" t="s">
        <v>113</v>
      </c>
      <c r="AJ1076" s="129" t="s">
        <v>55</v>
      </c>
      <c r="AK1076" s="129">
        <v>5</v>
      </c>
      <c r="AL1076" s="3" t="s">
        <v>55</v>
      </c>
      <c r="AP1076" s="129" t="s">
        <v>107</v>
      </c>
      <c r="AR1076" s="128" t="s">
        <v>44</v>
      </c>
      <c r="AS1076" s="129" t="s">
        <v>57</v>
      </c>
      <c r="AU1076" s="3" t="s">
        <v>694</v>
      </c>
      <c r="AX1076" s="32" t="s">
        <v>88</v>
      </c>
      <c r="BC1076" s="129" t="s">
        <v>52</v>
      </c>
      <c r="BD1076" s="129" t="s">
        <v>1287</v>
      </c>
      <c r="BF1076" s="111">
        <v>31</v>
      </c>
      <c r="BG1076" s="111">
        <f t="shared" si="790"/>
        <v>129</v>
      </c>
      <c r="BH1076" s="111">
        <f t="shared" si="757"/>
        <v>129</v>
      </c>
      <c r="BI1076" s="111">
        <f t="shared" si="758"/>
        <v>28.071038251366119</v>
      </c>
      <c r="BJ1076" s="129">
        <f>(G1076-J1076)+(M1076-G1076)</f>
        <v>0</v>
      </c>
      <c r="BK1076" s="129">
        <f t="shared" si="759"/>
        <v>-126</v>
      </c>
      <c r="BL1076" s="129" t="str">
        <f t="shared" si="788"/>
        <v>NO CONVICTION</v>
      </c>
      <c r="BM1076" s="129" t="s">
        <v>76</v>
      </c>
      <c r="BN1076" s="129" t="s">
        <v>88</v>
      </c>
      <c r="BP1076" s="137" t="str">
        <f t="shared" si="762"/>
        <v>NO CONVICTION</v>
      </c>
      <c r="BQ1076" s="128" t="str">
        <f t="shared" si="763"/>
        <v>Y</v>
      </c>
      <c r="BR1076" s="129" t="s">
        <v>574</v>
      </c>
      <c r="BS1076" s="129" t="str">
        <f t="shared" si="764"/>
        <v>DISPOSED</v>
      </c>
      <c r="BT1076" s="129" t="str">
        <f t="shared" si="765"/>
        <v>Y</v>
      </c>
      <c r="BU1076" s="109">
        <f>IFERROR(Q1076/R1076,BR1076)</f>
        <v>0.24031007751937986</v>
      </c>
      <c r="BV1076" s="109">
        <f t="shared" si="767"/>
        <v>2.3255813953488372E-2</v>
      </c>
      <c r="BW1076" s="109">
        <f t="shared" si="792"/>
        <v>-0.21705426356589147</v>
      </c>
      <c r="BX1076" s="111">
        <f t="shared" si="768"/>
        <v>0</v>
      </c>
      <c r="BY1076" s="129">
        <f t="shared" si="769"/>
        <v>-3</v>
      </c>
      <c r="BZ1076" s="111">
        <f t="shared" si="770"/>
        <v>28</v>
      </c>
      <c r="CA1076" s="138">
        <f t="shared" si="771"/>
        <v>129</v>
      </c>
      <c r="CB1076" s="111">
        <v>31</v>
      </c>
      <c r="CC1076" s="129">
        <f>G1076-I1076+1</f>
        <v>129</v>
      </c>
      <c r="CD1076" s="129">
        <f>G1076-J1076</f>
        <v>126</v>
      </c>
      <c r="CE1076" s="129">
        <f t="shared" si="772"/>
        <v>126</v>
      </c>
      <c r="CG1076" s="129" t="str">
        <f t="shared" si="773"/>
        <v>Y</v>
      </c>
      <c r="CI1076" s="129" t="str">
        <f t="shared" si="781"/>
        <v>31-60 DAYS</v>
      </c>
      <c r="CJ1076" s="137">
        <f t="shared" si="782"/>
        <v>3</v>
      </c>
      <c r="CK1076" s="129" t="str">
        <f t="shared" si="783"/>
        <v>Booked</v>
      </c>
    </row>
    <row r="1077" spans="1:89" ht="15" customHeight="1" x14ac:dyDescent="0.25">
      <c r="A1077" s="111">
        <v>2319</v>
      </c>
      <c r="B1077" s="128" t="str">
        <f t="shared" si="760"/>
        <v>N</v>
      </c>
      <c r="C1077" s="128" t="str">
        <f t="shared" si="774"/>
        <v>N</v>
      </c>
      <c r="D1077" s="117">
        <v>1775102</v>
      </c>
      <c r="E1077" s="135">
        <f t="shared" si="761"/>
        <v>5</v>
      </c>
      <c r="F1077" s="124">
        <v>40996</v>
      </c>
      <c r="G1077" s="125">
        <v>41096</v>
      </c>
      <c r="H1077" s="117">
        <v>1775102</v>
      </c>
      <c r="I1077" s="124">
        <v>40996</v>
      </c>
      <c r="J1077" s="124">
        <v>40998</v>
      </c>
      <c r="K1077" s="126">
        <v>15000</v>
      </c>
      <c r="L1077" s="127" t="s">
        <v>571</v>
      </c>
      <c r="M1077" s="125">
        <v>40998</v>
      </c>
      <c r="N1077" s="129" t="str">
        <f t="shared" si="793"/>
        <v>Y</v>
      </c>
      <c r="O1077" s="128" t="s">
        <v>76</v>
      </c>
      <c r="P1077" s="129" t="s">
        <v>39</v>
      </c>
      <c r="Q1077" s="111">
        <f>BF1077</f>
        <v>3</v>
      </c>
      <c r="R1077" s="111">
        <f t="shared" si="786"/>
        <v>101</v>
      </c>
      <c r="S1077" s="129">
        <v>9</v>
      </c>
      <c r="T1077" s="129">
        <v>8</v>
      </c>
      <c r="U1077" s="129">
        <v>6</v>
      </c>
      <c r="W1077" s="111"/>
      <c r="AC1077" s="130"/>
      <c r="AD1077" s="130">
        <v>30132</v>
      </c>
      <c r="AE1077" s="128" t="s">
        <v>32</v>
      </c>
      <c r="AF1077" s="128" t="s">
        <v>33</v>
      </c>
      <c r="AG1077" s="128" t="s">
        <v>872</v>
      </c>
      <c r="AH1077" s="108" t="s">
        <v>58</v>
      </c>
      <c r="AI1077" s="128" t="s">
        <v>113</v>
      </c>
      <c r="AJ1077" s="129" t="s">
        <v>89</v>
      </c>
      <c r="AK1077" s="129">
        <v>6</v>
      </c>
      <c r="AL1077" s="3" t="s">
        <v>992</v>
      </c>
      <c r="AN1077" s="117">
        <v>6</v>
      </c>
      <c r="AP1077" s="129" t="s">
        <v>43</v>
      </c>
      <c r="AR1077" s="128" t="s">
        <v>44</v>
      </c>
      <c r="AS1077" s="129" t="s">
        <v>45</v>
      </c>
      <c r="BC1077" s="129" t="s">
        <v>52</v>
      </c>
      <c r="BF1077" s="111">
        <f>IF(J1077&gt;1/1/1900,((J1077+1)-I1077),"STILL OPEN")</f>
        <v>3</v>
      </c>
      <c r="BG1077" s="111">
        <f t="shared" si="790"/>
        <v>101</v>
      </c>
      <c r="BH1077" s="111">
        <f t="shared" si="757"/>
        <v>101</v>
      </c>
      <c r="BI1077" s="111">
        <f t="shared" si="758"/>
        <v>29.683060109289617</v>
      </c>
      <c r="BJ1077" s="129">
        <f>(G1077-J1077)+(M1077-G1077)</f>
        <v>0</v>
      </c>
      <c r="BK1077" s="129">
        <f t="shared" si="759"/>
        <v>-98</v>
      </c>
      <c r="BL1077" s="129" t="str">
        <f t="shared" si="788"/>
        <v>CONVICTION</v>
      </c>
      <c r="BM1077" s="129" t="s">
        <v>76</v>
      </c>
      <c r="BN1077" s="129" t="s">
        <v>88</v>
      </c>
      <c r="BP1077" s="137" t="str">
        <f t="shared" si="762"/>
        <v>CONVICTION</v>
      </c>
      <c r="BQ1077" s="128" t="str">
        <f t="shared" si="763"/>
        <v>Y</v>
      </c>
      <c r="BR1077" s="129" t="str">
        <f>IF(J1077&lt;G1077,"ON BOND",0)</f>
        <v>ON BOND</v>
      </c>
      <c r="BS1077" s="129" t="str">
        <f t="shared" si="764"/>
        <v>DISPOSED</v>
      </c>
      <c r="BT1077" s="129" t="str">
        <f t="shared" si="765"/>
        <v>Y</v>
      </c>
      <c r="BU1077" s="109">
        <f t="shared" si="766"/>
        <v>2.9702970297029702E-2</v>
      </c>
      <c r="BV1077" s="109">
        <f t="shared" si="767"/>
        <v>2.9702970297029702E-2</v>
      </c>
      <c r="BW1077" s="109">
        <f t="shared" si="792"/>
        <v>0</v>
      </c>
      <c r="BX1077" s="111">
        <f t="shared" si="768"/>
        <v>0</v>
      </c>
      <c r="BY1077" s="129">
        <f t="shared" si="769"/>
        <v>-3</v>
      </c>
      <c r="BZ1077" s="111">
        <f t="shared" si="770"/>
        <v>0</v>
      </c>
      <c r="CA1077" s="138">
        <f t="shared" si="771"/>
        <v>3</v>
      </c>
      <c r="CB1077" s="111" t="e">
        <f>IF(AF1077&gt;1/1/1900,((AF1077+1)-AE1077),"STILL OPEN")</f>
        <v>#VALUE!</v>
      </c>
      <c r="CC1077" s="129">
        <f>M1077-I1077+1</f>
        <v>3</v>
      </c>
      <c r="CD1077" s="111">
        <f>CC1077-BF1077</f>
        <v>0</v>
      </c>
      <c r="CE1077" s="129">
        <f t="shared" si="772"/>
        <v>98</v>
      </c>
      <c r="CG1077" s="129" t="str">
        <f t="shared" si="773"/>
        <v>Y</v>
      </c>
      <c r="CI1077" s="129" t="str">
        <f t="shared" si="781"/>
        <v>0-10 DAYS</v>
      </c>
      <c r="CJ1077" s="137">
        <f t="shared" si="782"/>
        <v>1</v>
      </c>
      <c r="CK1077" s="129" t="str">
        <f t="shared" si="783"/>
        <v>Booked</v>
      </c>
    </row>
    <row r="1078" spans="1:89" ht="15.75" customHeight="1" x14ac:dyDescent="0.25">
      <c r="A1078" s="111">
        <v>2851</v>
      </c>
      <c r="B1078" s="128" t="str">
        <f t="shared" si="760"/>
        <v>N</v>
      </c>
      <c r="C1078" s="128" t="str">
        <f t="shared" si="774"/>
        <v>N</v>
      </c>
      <c r="D1078" s="117">
        <v>1776109</v>
      </c>
      <c r="E1078" s="135">
        <f t="shared" si="761"/>
        <v>5</v>
      </c>
      <c r="F1078" s="124">
        <v>41014</v>
      </c>
      <c r="G1078" s="125">
        <v>41016</v>
      </c>
      <c r="H1078" s="117">
        <v>1776109</v>
      </c>
      <c r="I1078" s="124">
        <v>41015</v>
      </c>
      <c r="J1078" s="124">
        <v>41016</v>
      </c>
      <c r="K1078" s="126">
        <v>10000</v>
      </c>
      <c r="L1078" s="127" t="s">
        <v>570</v>
      </c>
      <c r="N1078" s="129" t="str">
        <f t="shared" si="793"/>
        <v>N</v>
      </c>
      <c r="O1078" s="128" t="s">
        <v>917</v>
      </c>
      <c r="P1078" s="129" t="s">
        <v>39</v>
      </c>
      <c r="Q1078" s="111">
        <f>BF1078</f>
        <v>2</v>
      </c>
      <c r="R1078" s="111">
        <f t="shared" si="786"/>
        <v>3</v>
      </c>
      <c r="S1078" s="129">
        <v>1</v>
      </c>
      <c r="T1078" s="129">
        <v>3</v>
      </c>
      <c r="V1078" s="117">
        <v>1</v>
      </c>
      <c r="W1078" s="111"/>
      <c r="AB1078" s="131" t="s">
        <v>112</v>
      </c>
      <c r="AC1078" s="130"/>
      <c r="AD1078" s="130">
        <v>29779</v>
      </c>
      <c r="AE1078" s="128" t="s">
        <v>46</v>
      </c>
      <c r="AF1078" s="128" t="s">
        <v>40</v>
      </c>
      <c r="AG1078" s="128" t="s">
        <v>41</v>
      </c>
      <c r="AH1078" s="108" t="s">
        <v>31</v>
      </c>
      <c r="AI1078" s="128" t="s">
        <v>90</v>
      </c>
      <c r="AJ1078" s="129" t="s">
        <v>89</v>
      </c>
      <c r="AK1078" s="129">
        <v>2</v>
      </c>
      <c r="AL1078" s="3" t="s">
        <v>992</v>
      </c>
      <c r="AN1078" s="117">
        <v>6</v>
      </c>
      <c r="AP1078" s="129" t="s">
        <v>107</v>
      </c>
      <c r="AR1078" s="128" t="s">
        <v>44</v>
      </c>
      <c r="AS1078" s="129" t="s">
        <v>57</v>
      </c>
      <c r="AT1078" s="129" t="s">
        <v>493</v>
      </c>
      <c r="BC1078" s="129" t="s">
        <v>38</v>
      </c>
      <c r="BF1078" s="111">
        <f>IF(J1078&gt;1/1/1900,((J1078+1)-I1078),"STILL OPEN")</f>
        <v>2</v>
      </c>
      <c r="BG1078" s="111">
        <f t="shared" si="790"/>
        <v>2</v>
      </c>
      <c r="BH1078" s="111">
        <f t="shared" si="757"/>
        <v>3</v>
      </c>
      <c r="BI1078" s="111">
        <f t="shared" si="758"/>
        <v>30.696721311475411</v>
      </c>
      <c r="BJ1078" s="129">
        <f t="shared" si="777"/>
        <v>0</v>
      </c>
      <c r="BK1078" s="129">
        <f t="shared" si="759"/>
        <v>0</v>
      </c>
      <c r="BL1078" s="129" t="str">
        <f t="shared" si="788"/>
        <v>CONVICTION</v>
      </c>
      <c r="BM1078" s="129" t="str">
        <f t="shared" si="778"/>
        <v>NONE</v>
      </c>
      <c r="BN1078" s="129" t="s">
        <v>566</v>
      </c>
      <c r="BP1078" s="137" t="str">
        <f t="shared" si="762"/>
        <v>CONVICTION</v>
      </c>
      <c r="BQ1078" s="128" t="str">
        <f t="shared" si="763"/>
        <v>Y</v>
      </c>
      <c r="BR1078" s="129" t="str">
        <f t="shared" si="779"/>
        <v>DETAINED</v>
      </c>
      <c r="BS1078" s="129" t="str">
        <f t="shared" si="764"/>
        <v>DISPOSED</v>
      </c>
      <c r="BT1078" s="129" t="str">
        <f t="shared" si="765"/>
        <v>Y</v>
      </c>
      <c r="BU1078" s="109">
        <f t="shared" si="766"/>
        <v>0.66666666666666663</v>
      </c>
      <c r="BV1078" s="109">
        <f t="shared" si="767"/>
        <v>1</v>
      </c>
      <c r="BW1078" s="109">
        <f t="shared" si="792"/>
        <v>0.33333333333333337</v>
      </c>
      <c r="BX1078" s="111">
        <f t="shared" si="768"/>
        <v>0</v>
      </c>
      <c r="BY1078" s="129">
        <f t="shared" si="769"/>
        <v>-2</v>
      </c>
      <c r="BZ1078" s="111">
        <f t="shared" si="770"/>
        <v>0</v>
      </c>
      <c r="CA1078" s="138">
        <f t="shared" si="771"/>
        <v>2</v>
      </c>
      <c r="CB1078" s="111" t="e">
        <f>IF(AF1078&gt;1/1/1900,((AF1078+1)-AE1078),"STILL OPEN")</f>
        <v>#VALUE!</v>
      </c>
      <c r="CC1078" s="129">
        <f t="shared" ref="CC1078:CC1088" si="794">G1078-I1078+1</f>
        <v>2</v>
      </c>
      <c r="CD1078" s="129">
        <f t="shared" ref="CD1078:CD1088" si="795">G1078-J1078</f>
        <v>0</v>
      </c>
      <c r="CE1078" s="129">
        <f t="shared" si="772"/>
        <v>0</v>
      </c>
      <c r="CG1078" s="129" t="str">
        <f t="shared" si="773"/>
        <v>Y</v>
      </c>
      <c r="CI1078" s="129" t="str">
        <f t="shared" si="781"/>
        <v>0-10 DAYS</v>
      </c>
      <c r="CJ1078" s="137">
        <f t="shared" si="782"/>
        <v>1</v>
      </c>
      <c r="CK1078" s="129" t="str">
        <f t="shared" si="783"/>
        <v>Booked</v>
      </c>
    </row>
    <row r="1079" spans="1:89" ht="15.75" customHeight="1" x14ac:dyDescent="0.25">
      <c r="A1079" s="111">
        <v>1883</v>
      </c>
      <c r="B1079" s="128" t="str">
        <f t="shared" si="760"/>
        <v>N</v>
      </c>
      <c r="C1079" s="128" t="str">
        <f t="shared" si="774"/>
        <v>N</v>
      </c>
      <c r="D1079" s="117">
        <v>1776236</v>
      </c>
      <c r="E1079" s="135">
        <f t="shared" si="761"/>
        <v>5</v>
      </c>
      <c r="F1079" s="124">
        <v>40978</v>
      </c>
      <c r="G1079" s="125">
        <v>40980</v>
      </c>
      <c r="H1079" s="117">
        <v>1776236</v>
      </c>
      <c r="I1079" s="124">
        <v>40978</v>
      </c>
      <c r="J1079" s="124">
        <v>40980</v>
      </c>
      <c r="K1079" s="126">
        <v>5000</v>
      </c>
      <c r="L1079" s="127" t="s">
        <v>569</v>
      </c>
      <c r="N1079" s="129" t="str">
        <f t="shared" si="793"/>
        <v>N</v>
      </c>
      <c r="O1079" s="128" t="s">
        <v>917</v>
      </c>
      <c r="P1079" s="129" t="s">
        <v>39</v>
      </c>
      <c r="Q1079" s="111">
        <f>BF1079</f>
        <v>3</v>
      </c>
      <c r="R1079" s="111">
        <f t="shared" si="786"/>
        <v>3</v>
      </c>
      <c r="S1079" s="129">
        <v>0</v>
      </c>
      <c r="T1079" s="129">
        <v>0</v>
      </c>
      <c r="W1079" s="111"/>
      <c r="AC1079" s="130"/>
      <c r="AD1079" s="130">
        <v>25229</v>
      </c>
      <c r="AE1079" s="128" t="s">
        <v>32</v>
      </c>
      <c r="AF1079" s="128" t="s">
        <v>33</v>
      </c>
      <c r="AG1079" s="128" t="s">
        <v>872</v>
      </c>
      <c r="AH1079" s="108" t="s">
        <v>58</v>
      </c>
      <c r="AI1079" s="128" t="s">
        <v>65</v>
      </c>
      <c r="AJ1079" s="129" t="s">
        <v>89</v>
      </c>
      <c r="AK1079" s="129">
        <v>1</v>
      </c>
      <c r="AL1079" s="3" t="s">
        <v>992</v>
      </c>
      <c r="AN1079" s="117">
        <v>10</v>
      </c>
      <c r="AP1079" s="129" t="s">
        <v>142</v>
      </c>
      <c r="AR1079" s="128" t="s">
        <v>44</v>
      </c>
      <c r="AS1079" s="129" t="s">
        <v>64</v>
      </c>
      <c r="AT1079" s="129" t="s">
        <v>384</v>
      </c>
      <c r="BC1079" s="129" t="s">
        <v>38</v>
      </c>
      <c r="BF1079" s="111">
        <f>IF(J1079&gt;1/1/1900,((J1079+1)-I1079),"STILL OPEN")</f>
        <v>3</v>
      </c>
      <c r="BG1079" s="111">
        <f t="shared" si="790"/>
        <v>3</v>
      </c>
      <c r="BH1079" s="111">
        <f t="shared" si="757"/>
        <v>3</v>
      </c>
      <c r="BI1079" s="111">
        <f t="shared" si="758"/>
        <v>43.030054644808743</v>
      </c>
      <c r="BJ1079" s="129">
        <f t="shared" si="777"/>
        <v>0</v>
      </c>
      <c r="BK1079" s="129">
        <f t="shared" si="759"/>
        <v>0</v>
      </c>
      <c r="BL1079" s="129" t="str">
        <f t="shared" si="788"/>
        <v>CONVICTION</v>
      </c>
      <c r="BM1079" s="129" t="str">
        <f t="shared" si="778"/>
        <v>NONE</v>
      </c>
      <c r="BN1079" s="129" t="s">
        <v>566</v>
      </c>
      <c r="BP1079" s="137" t="str">
        <f t="shared" si="762"/>
        <v>CONVICTION</v>
      </c>
      <c r="BQ1079" s="128" t="str">
        <f t="shared" si="763"/>
        <v>Y</v>
      </c>
      <c r="BR1079" s="129" t="str">
        <f t="shared" si="779"/>
        <v>DETAINED</v>
      </c>
      <c r="BS1079" s="129" t="str">
        <f t="shared" si="764"/>
        <v>DISPOSED</v>
      </c>
      <c r="BT1079" s="129" t="str">
        <f t="shared" si="765"/>
        <v>N</v>
      </c>
      <c r="BU1079" s="109">
        <f t="shared" si="766"/>
        <v>1</v>
      </c>
      <c r="BV1079" s="109">
        <f t="shared" si="767"/>
        <v>1</v>
      </c>
      <c r="BW1079" s="109">
        <f t="shared" si="792"/>
        <v>0</v>
      </c>
      <c r="BX1079" s="111">
        <f t="shared" si="768"/>
        <v>0</v>
      </c>
      <c r="BY1079" s="129">
        <f t="shared" si="769"/>
        <v>-3</v>
      </c>
      <c r="BZ1079" s="111">
        <f t="shared" si="770"/>
        <v>0</v>
      </c>
      <c r="CA1079" s="138">
        <f t="shared" si="771"/>
        <v>3</v>
      </c>
      <c r="CB1079" s="111" t="e">
        <f>IF(AF1079&gt;1/1/1900,((AF1079+1)-AE1079),"STILL OPEN")</f>
        <v>#VALUE!</v>
      </c>
      <c r="CC1079" s="129">
        <f t="shared" si="794"/>
        <v>3</v>
      </c>
      <c r="CD1079" s="129">
        <f t="shared" si="795"/>
        <v>0</v>
      </c>
      <c r="CE1079" s="129">
        <f t="shared" si="772"/>
        <v>0</v>
      </c>
      <c r="CG1079" s="129" t="str">
        <f t="shared" si="773"/>
        <v>N</v>
      </c>
      <c r="CI1079" s="129" t="str">
        <f t="shared" si="781"/>
        <v>0-10 DAYS</v>
      </c>
      <c r="CJ1079" s="137">
        <f t="shared" si="782"/>
        <v>1</v>
      </c>
      <c r="CK1079" s="129" t="str">
        <f t="shared" si="783"/>
        <v>Booked</v>
      </c>
    </row>
    <row r="1080" spans="1:89" ht="15" customHeight="1" x14ac:dyDescent="0.25">
      <c r="A1080" s="111">
        <v>3216</v>
      </c>
      <c r="B1080" s="128" t="str">
        <f t="shared" si="760"/>
        <v>N</v>
      </c>
      <c r="C1080" s="128" t="str">
        <f t="shared" si="774"/>
        <v>Y</v>
      </c>
      <c r="D1080" s="114">
        <v>1776301</v>
      </c>
      <c r="E1080" s="135">
        <f t="shared" si="761"/>
        <v>5</v>
      </c>
      <c r="F1080" s="124">
        <v>41027</v>
      </c>
      <c r="G1080" s="125">
        <v>41243</v>
      </c>
      <c r="H1080" s="114">
        <v>1776301</v>
      </c>
      <c r="I1080" s="124">
        <v>41027</v>
      </c>
      <c r="J1080" s="124">
        <v>41033</v>
      </c>
      <c r="K1080" s="126">
        <v>15000</v>
      </c>
      <c r="L1080" s="127" t="s">
        <v>571</v>
      </c>
      <c r="M1080" s="125">
        <v>41033</v>
      </c>
      <c r="N1080" s="129" t="str">
        <f t="shared" si="793"/>
        <v>Y</v>
      </c>
      <c r="O1080" s="128" t="s">
        <v>76</v>
      </c>
      <c r="P1080" s="129" t="s">
        <v>39</v>
      </c>
      <c r="Q1080" s="111">
        <v>35</v>
      </c>
      <c r="R1080" s="111">
        <f t="shared" si="786"/>
        <v>217</v>
      </c>
      <c r="S1080" s="129">
        <v>3</v>
      </c>
      <c r="T1080" s="129">
        <v>0</v>
      </c>
      <c r="U1080" s="129">
        <v>3</v>
      </c>
      <c r="W1080" s="111"/>
      <c r="AC1080" s="130"/>
      <c r="AD1080" s="130">
        <v>29671</v>
      </c>
      <c r="AE1080" s="128" t="s">
        <v>32</v>
      </c>
      <c r="AF1080" s="128" t="s">
        <v>33</v>
      </c>
      <c r="AG1080" s="128" t="s">
        <v>872</v>
      </c>
      <c r="AH1080" s="108" t="s">
        <v>31</v>
      </c>
      <c r="AI1080" s="128" t="s">
        <v>87</v>
      </c>
      <c r="AJ1080" s="129" t="s">
        <v>89</v>
      </c>
      <c r="AK1080" s="129">
        <v>8</v>
      </c>
      <c r="AL1080" s="3" t="s">
        <v>992</v>
      </c>
      <c r="AN1080" s="117">
        <v>7</v>
      </c>
      <c r="AP1080" s="129" t="s">
        <v>121</v>
      </c>
      <c r="AR1080" s="128" t="s">
        <v>44</v>
      </c>
      <c r="AS1080" s="129" t="s">
        <v>122</v>
      </c>
      <c r="AT1080" s="129" t="s">
        <v>1114</v>
      </c>
      <c r="AV1080" s="3" t="s">
        <v>88</v>
      </c>
      <c r="AW1080" s="129" t="s">
        <v>800</v>
      </c>
      <c r="AY1080" s="123"/>
      <c r="BA1080" s="125">
        <v>41226</v>
      </c>
      <c r="BB1080" s="129">
        <v>411</v>
      </c>
      <c r="BC1080" s="129" t="s">
        <v>38</v>
      </c>
      <c r="BF1080" s="111">
        <v>35</v>
      </c>
      <c r="BG1080" s="111">
        <f t="shared" si="790"/>
        <v>217</v>
      </c>
      <c r="BH1080" s="111">
        <f t="shared" si="757"/>
        <v>217</v>
      </c>
      <c r="BI1080" s="111">
        <f t="shared" si="758"/>
        <v>31.027322404371585</v>
      </c>
      <c r="BJ1080" s="129">
        <f>(G1080-J1080)+(M1080-G1080)</f>
        <v>0</v>
      </c>
      <c r="BK1080" s="129">
        <f t="shared" si="759"/>
        <v>-210</v>
      </c>
      <c r="BL1080" s="129" t="str">
        <f t="shared" si="788"/>
        <v>CONVICTION</v>
      </c>
      <c r="BM1080" s="129" t="s">
        <v>76</v>
      </c>
      <c r="BN1080" s="129" t="s">
        <v>566</v>
      </c>
      <c r="BP1080" s="137" t="str">
        <f t="shared" si="762"/>
        <v>CONVICTION</v>
      </c>
      <c r="BQ1080" s="128" t="str">
        <f t="shared" si="763"/>
        <v>Y</v>
      </c>
      <c r="BR1080" s="129" t="s">
        <v>574</v>
      </c>
      <c r="BS1080" s="129" t="str">
        <f t="shared" si="764"/>
        <v>DISPOSED</v>
      </c>
      <c r="BT1080" s="129" t="str">
        <f t="shared" si="765"/>
        <v>Y</v>
      </c>
      <c r="BU1080" s="109">
        <f t="shared" si="766"/>
        <v>0.16129032258064516</v>
      </c>
      <c r="BV1080" s="109">
        <f t="shared" si="767"/>
        <v>3.2258064516129031E-2</v>
      </c>
      <c r="BW1080" s="109">
        <f t="shared" si="792"/>
        <v>-0.12903225806451613</v>
      </c>
      <c r="BX1080" s="111">
        <f t="shared" si="768"/>
        <v>0</v>
      </c>
      <c r="BY1080" s="129">
        <f t="shared" si="769"/>
        <v>-7</v>
      </c>
      <c r="BZ1080" s="111">
        <f t="shared" si="770"/>
        <v>28</v>
      </c>
      <c r="CA1080" s="138">
        <f t="shared" si="771"/>
        <v>217</v>
      </c>
      <c r="CB1080" s="111">
        <v>35</v>
      </c>
      <c r="CC1080" s="129">
        <f t="shared" si="794"/>
        <v>217</v>
      </c>
      <c r="CD1080" s="129">
        <f t="shared" si="795"/>
        <v>210</v>
      </c>
      <c r="CE1080" s="129">
        <f t="shared" si="772"/>
        <v>210</v>
      </c>
      <c r="CG1080" s="129" t="str">
        <f t="shared" si="773"/>
        <v>Y</v>
      </c>
      <c r="CI1080" s="129" t="str">
        <f t="shared" si="781"/>
        <v>31-60 DAYS</v>
      </c>
      <c r="CJ1080" s="137">
        <f t="shared" si="782"/>
        <v>3</v>
      </c>
      <c r="CK1080" s="129" t="str">
        <f t="shared" si="783"/>
        <v>Booked</v>
      </c>
    </row>
    <row r="1081" spans="1:89" ht="15.75" customHeight="1" x14ac:dyDescent="0.25">
      <c r="A1081" s="111">
        <v>1561</v>
      </c>
      <c r="B1081" s="128" t="str">
        <f t="shared" si="760"/>
        <v>N</v>
      </c>
      <c r="C1081" s="128" t="str">
        <f t="shared" si="774"/>
        <v>N</v>
      </c>
      <c r="D1081" s="117">
        <v>1779831</v>
      </c>
      <c r="E1081" s="135">
        <f t="shared" si="761"/>
        <v>6</v>
      </c>
      <c r="F1081" s="124">
        <v>40967</v>
      </c>
      <c r="G1081" s="125">
        <v>41137</v>
      </c>
      <c r="H1081" s="117">
        <v>1779831</v>
      </c>
      <c r="I1081" s="124">
        <v>40967</v>
      </c>
      <c r="J1081" s="124">
        <v>41137</v>
      </c>
      <c r="K1081" s="126" t="s">
        <v>564</v>
      </c>
      <c r="L1081" s="127" t="s">
        <v>564</v>
      </c>
      <c r="N1081" s="129" t="s">
        <v>566</v>
      </c>
      <c r="O1081" s="128" t="s">
        <v>917</v>
      </c>
      <c r="P1081" s="129" t="s">
        <v>39</v>
      </c>
      <c r="Q1081" s="111">
        <f t="shared" ref="Q1081:Q1118" si="796">BF1081</f>
        <v>171</v>
      </c>
      <c r="R1081" s="111">
        <f t="shared" si="786"/>
        <v>171</v>
      </c>
      <c r="S1081" s="129">
        <v>1</v>
      </c>
      <c r="T1081" s="129">
        <v>1</v>
      </c>
      <c r="U1081" s="129">
        <v>1</v>
      </c>
      <c r="W1081" s="111"/>
      <c r="AC1081" s="130"/>
      <c r="AD1081" s="130">
        <v>29189</v>
      </c>
      <c r="AE1081" s="128" t="s">
        <v>32</v>
      </c>
      <c r="AF1081" s="128" t="s">
        <v>33</v>
      </c>
      <c r="AG1081" s="128" t="s">
        <v>872</v>
      </c>
      <c r="AH1081" s="108" t="s">
        <v>31</v>
      </c>
      <c r="AI1081" s="128" t="s">
        <v>114</v>
      </c>
      <c r="AJ1081" s="129" t="s">
        <v>89</v>
      </c>
      <c r="AK1081" s="129">
        <v>7</v>
      </c>
      <c r="AL1081" s="3" t="s">
        <v>362</v>
      </c>
      <c r="AM1081" s="117">
        <v>5</v>
      </c>
      <c r="AP1081" s="129" t="s">
        <v>132</v>
      </c>
      <c r="AR1081" s="128" t="s">
        <v>92</v>
      </c>
      <c r="AS1081" s="129" t="s">
        <v>82</v>
      </c>
      <c r="BC1081" s="129" t="s">
        <v>52</v>
      </c>
      <c r="BF1081" s="111">
        <f t="shared" ref="BF1081:BF1098" si="797">IF(J1081&gt;1/1/1900,((J1081+1)-I1081),"STILL OPEN")</f>
        <v>171</v>
      </c>
      <c r="BG1081" s="111">
        <f t="shared" si="790"/>
        <v>171</v>
      </c>
      <c r="BH1081" s="111">
        <f t="shared" si="757"/>
        <v>171</v>
      </c>
      <c r="BI1081" s="111">
        <f t="shared" si="758"/>
        <v>32.180327868852459</v>
      </c>
      <c r="BJ1081" s="129">
        <f t="shared" si="777"/>
        <v>0</v>
      </c>
      <c r="BK1081" s="129">
        <f t="shared" si="759"/>
        <v>0</v>
      </c>
      <c r="BL1081" s="129" t="str">
        <f t="shared" si="788"/>
        <v>CONVICTION</v>
      </c>
      <c r="BM1081" s="129" t="str">
        <f t="shared" si="778"/>
        <v>NONE</v>
      </c>
      <c r="BN1081" s="129" t="s">
        <v>566</v>
      </c>
      <c r="BP1081" s="137" t="str">
        <f t="shared" si="762"/>
        <v>CONVICTION</v>
      </c>
      <c r="BQ1081" s="128" t="str">
        <f t="shared" si="763"/>
        <v>Y</v>
      </c>
      <c r="BR1081" s="129" t="str">
        <f t="shared" si="779"/>
        <v>DETAINED</v>
      </c>
      <c r="BS1081" s="129" t="str">
        <f t="shared" si="764"/>
        <v>DISPOSED</v>
      </c>
      <c r="BT1081" s="129" t="str">
        <f t="shared" si="765"/>
        <v>Y</v>
      </c>
      <c r="BU1081" s="109">
        <f t="shared" si="766"/>
        <v>1</v>
      </c>
      <c r="BV1081" s="109">
        <f t="shared" si="767"/>
        <v>1</v>
      </c>
      <c r="BW1081" s="109">
        <f t="shared" si="792"/>
        <v>0</v>
      </c>
      <c r="BX1081" s="111">
        <f t="shared" si="768"/>
        <v>0</v>
      </c>
      <c r="BY1081" s="129">
        <f t="shared" si="769"/>
        <v>-171</v>
      </c>
      <c r="BZ1081" s="111">
        <f t="shared" si="770"/>
        <v>0</v>
      </c>
      <c r="CA1081" s="138">
        <f t="shared" si="771"/>
        <v>171</v>
      </c>
      <c r="CB1081" s="111" t="e">
        <f t="shared" ref="CB1081:CB1098" si="798">IF(AF1081&gt;1/1/1900,((AF1081+1)-AE1081),"STILL OPEN")</f>
        <v>#VALUE!</v>
      </c>
      <c r="CC1081" s="129">
        <f t="shared" si="794"/>
        <v>171</v>
      </c>
      <c r="CD1081" s="129">
        <f t="shared" si="795"/>
        <v>0</v>
      </c>
      <c r="CE1081" s="129">
        <f t="shared" si="772"/>
        <v>0</v>
      </c>
      <c r="CG1081" s="129" t="str">
        <f t="shared" si="773"/>
        <v>Y</v>
      </c>
      <c r="CI1081" s="129" t="str">
        <f t="shared" si="781"/>
        <v>121-365 DAYS</v>
      </c>
      <c r="CJ1081" s="137">
        <f t="shared" si="782"/>
        <v>6</v>
      </c>
      <c r="CK1081" s="129" t="str">
        <f t="shared" si="783"/>
        <v>Booked</v>
      </c>
    </row>
    <row r="1082" spans="1:89" ht="15.75" customHeight="1" x14ac:dyDescent="0.25">
      <c r="A1082" s="111">
        <v>2093</v>
      </c>
      <c r="B1082" s="128" t="str">
        <f t="shared" si="760"/>
        <v>N</v>
      </c>
      <c r="C1082" s="128" t="str">
        <f t="shared" si="774"/>
        <v>N</v>
      </c>
      <c r="D1082" s="117">
        <v>1781709</v>
      </c>
      <c r="E1082" s="135">
        <f t="shared" si="761"/>
        <v>5</v>
      </c>
      <c r="F1082" s="124">
        <v>40987</v>
      </c>
      <c r="G1082" s="125">
        <v>40989</v>
      </c>
      <c r="H1082" s="117">
        <v>1781709</v>
      </c>
      <c r="I1082" s="124">
        <v>40987</v>
      </c>
      <c r="J1082" s="124">
        <v>40989</v>
      </c>
      <c r="K1082" s="126">
        <v>15000</v>
      </c>
      <c r="L1082" s="127" t="s">
        <v>571</v>
      </c>
      <c r="N1082" s="129" t="str">
        <f>IF(M1082&gt;1/1/1,"Y","N")</f>
        <v>N</v>
      </c>
      <c r="O1082" s="128" t="s">
        <v>917</v>
      </c>
      <c r="P1082" s="129" t="s">
        <v>39</v>
      </c>
      <c r="Q1082" s="111">
        <f t="shared" si="796"/>
        <v>3</v>
      </c>
      <c r="R1082" s="111">
        <f t="shared" si="786"/>
        <v>3</v>
      </c>
      <c r="S1082" s="129">
        <v>6</v>
      </c>
      <c r="T1082" s="129">
        <v>6</v>
      </c>
      <c r="U1082" s="129">
        <v>3</v>
      </c>
      <c r="W1082" s="111"/>
      <c r="AC1082" s="130"/>
      <c r="AD1082" s="130">
        <v>26866</v>
      </c>
      <c r="AE1082" s="128" t="s">
        <v>46</v>
      </c>
      <c r="AF1082" s="128" t="s">
        <v>33</v>
      </c>
      <c r="AG1082" s="128" t="s">
        <v>872</v>
      </c>
      <c r="AH1082" s="108" t="s">
        <v>58</v>
      </c>
      <c r="AI1082" s="128" t="s">
        <v>71</v>
      </c>
      <c r="AJ1082" s="129" t="s">
        <v>89</v>
      </c>
      <c r="AK1082" s="129">
        <v>1</v>
      </c>
      <c r="AL1082" s="3" t="s">
        <v>992</v>
      </c>
      <c r="AN1082" s="117">
        <v>9</v>
      </c>
      <c r="AP1082" s="129" t="s">
        <v>60</v>
      </c>
      <c r="AR1082" s="128" t="s">
        <v>44</v>
      </c>
      <c r="AS1082" s="129" t="s">
        <v>61</v>
      </c>
      <c r="BC1082" s="129" t="s">
        <v>38</v>
      </c>
      <c r="BF1082" s="111">
        <f t="shared" si="797"/>
        <v>3</v>
      </c>
      <c r="BG1082" s="111">
        <f t="shared" si="790"/>
        <v>3</v>
      </c>
      <c r="BH1082" s="111">
        <f t="shared" si="757"/>
        <v>3</v>
      </c>
      <c r="BI1082" s="111">
        <f t="shared" si="758"/>
        <v>38.581967213114751</v>
      </c>
      <c r="BJ1082" s="129">
        <f t="shared" si="777"/>
        <v>0</v>
      </c>
      <c r="BK1082" s="129">
        <f t="shared" si="759"/>
        <v>0</v>
      </c>
      <c r="BL1082" s="129" t="str">
        <f t="shared" si="788"/>
        <v>CONVICTION</v>
      </c>
      <c r="BM1082" s="129" t="str">
        <f t="shared" si="778"/>
        <v>NONE</v>
      </c>
      <c r="BN1082" s="129" t="s">
        <v>566</v>
      </c>
      <c r="BP1082" s="137" t="str">
        <f t="shared" si="762"/>
        <v>CONVICTION</v>
      </c>
      <c r="BQ1082" s="128" t="str">
        <f t="shared" si="763"/>
        <v>Y</v>
      </c>
      <c r="BR1082" s="129" t="str">
        <f t="shared" si="779"/>
        <v>DETAINED</v>
      </c>
      <c r="BS1082" s="129" t="str">
        <f t="shared" si="764"/>
        <v>DISPOSED</v>
      </c>
      <c r="BT1082" s="129" t="str">
        <f t="shared" si="765"/>
        <v>Y</v>
      </c>
      <c r="BU1082" s="109">
        <f t="shared" si="766"/>
        <v>1</v>
      </c>
      <c r="BV1082" s="109">
        <f t="shared" si="767"/>
        <v>1</v>
      </c>
      <c r="BW1082" s="109">
        <f t="shared" si="792"/>
        <v>0</v>
      </c>
      <c r="BX1082" s="111">
        <f t="shared" si="768"/>
        <v>0</v>
      </c>
      <c r="BY1082" s="129">
        <f t="shared" si="769"/>
        <v>-3</v>
      </c>
      <c r="BZ1082" s="111">
        <f t="shared" si="770"/>
        <v>0</v>
      </c>
      <c r="CA1082" s="138">
        <f t="shared" si="771"/>
        <v>3</v>
      </c>
      <c r="CB1082" s="111" t="e">
        <f t="shared" si="798"/>
        <v>#VALUE!</v>
      </c>
      <c r="CC1082" s="129">
        <f t="shared" si="794"/>
        <v>3</v>
      </c>
      <c r="CD1082" s="129">
        <f t="shared" si="795"/>
        <v>0</v>
      </c>
      <c r="CE1082" s="129">
        <f t="shared" si="772"/>
        <v>0</v>
      </c>
      <c r="CG1082" s="129" t="str">
        <f t="shared" si="773"/>
        <v>Y</v>
      </c>
      <c r="CI1082" s="129" t="str">
        <f t="shared" si="781"/>
        <v>0-10 DAYS</v>
      </c>
      <c r="CJ1082" s="137">
        <f t="shared" si="782"/>
        <v>1</v>
      </c>
      <c r="CK1082" s="129" t="str">
        <f t="shared" si="783"/>
        <v>Booked</v>
      </c>
    </row>
    <row r="1083" spans="1:89" ht="15" customHeight="1" x14ac:dyDescent="0.25">
      <c r="A1083" s="111">
        <v>1708</v>
      </c>
      <c r="B1083" s="128" t="str">
        <f t="shared" si="760"/>
        <v>N</v>
      </c>
      <c r="C1083" s="128" t="str">
        <f t="shared" si="774"/>
        <v>N</v>
      </c>
      <c r="D1083" s="117">
        <v>1781722</v>
      </c>
      <c r="E1083" s="135">
        <f t="shared" si="761"/>
        <v>6</v>
      </c>
      <c r="F1083" s="124">
        <v>40972</v>
      </c>
      <c r="G1083" s="125">
        <v>41201</v>
      </c>
      <c r="H1083" s="117">
        <v>1781722</v>
      </c>
      <c r="I1083" s="124">
        <v>40972</v>
      </c>
      <c r="J1083" s="124">
        <v>41201</v>
      </c>
      <c r="K1083" s="126" t="s">
        <v>564</v>
      </c>
      <c r="L1083" s="127" t="s">
        <v>564</v>
      </c>
      <c r="N1083" s="129" t="s">
        <v>566</v>
      </c>
      <c r="O1083" s="128" t="s">
        <v>917</v>
      </c>
      <c r="P1083" s="129" t="s">
        <v>39</v>
      </c>
      <c r="Q1083" s="111">
        <f t="shared" si="796"/>
        <v>230</v>
      </c>
      <c r="R1083" s="111">
        <f t="shared" si="786"/>
        <v>230</v>
      </c>
      <c r="S1083" s="129">
        <v>4</v>
      </c>
      <c r="T1083" s="129">
        <v>0</v>
      </c>
      <c r="U1083" s="129">
        <v>2</v>
      </c>
      <c r="W1083" s="111"/>
      <c r="AC1083" s="130"/>
      <c r="AD1083" s="130">
        <v>30572</v>
      </c>
      <c r="AE1083" s="128" t="s">
        <v>32</v>
      </c>
      <c r="AF1083" s="128" t="s">
        <v>40</v>
      </c>
      <c r="AG1083" s="128" t="s">
        <v>41</v>
      </c>
      <c r="AH1083" s="108" t="s">
        <v>41</v>
      </c>
      <c r="AI1083" s="128" t="s">
        <v>97</v>
      </c>
      <c r="AJ1083" s="129" t="s">
        <v>89</v>
      </c>
      <c r="AK1083" s="129">
        <v>8</v>
      </c>
      <c r="AL1083" s="3" t="s">
        <v>362</v>
      </c>
      <c r="AM1083" s="114">
        <v>12</v>
      </c>
      <c r="AN1083" s="114"/>
      <c r="AP1083" s="129" t="s">
        <v>132</v>
      </c>
      <c r="AR1083" s="128" t="s">
        <v>92</v>
      </c>
      <c r="AS1083" s="129" t="s">
        <v>82</v>
      </c>
      <c r="BC1083" s="129" t="s">
        <v>52</v>
      </c>
      <c r="BF1083" s="111">
        <f t="shared" si="797"/>
        <v>230</v>
      </c>
      <c r="BG1083" s="111">
        <f t="shared" si="790"/>
        <v>230</v>
      </c>
      <c r="BH1083" s="111">
        <f t="shared" si="757"/>
        <v>230</v>
      </c>
      <c r="BI1083" s="111">
        <f t="shared" si="758"/>
        <v>28.415300546448087</v>
      </c>
      <c r="BJ1083" s="129">
        <f t="shared" si="777"/>
        <v>0</v>
      </c>
      <c r="BK1083" s="129">
        <f t="shared" si="759"/>
        <v>0</v>
      </c>
      <c r="BL1083" s="129" t="str">
        <f t="shared" si="788"/>
        <v>CONVICTION</v>
      </c>
      <c r="BM1083" s="129" t="str">
        <f t="shared" si="778"/>
        <v>NONE</v>
      </c>
      <c r="BN1083" s="129" t="s">
        <v>566</v>
      </c>
      <c r="BP1083" s="137" t="str">
        <f t="shared" si="762"/>
        <v>CONVICTION</v>
      </c>
      <c r="BQ1083" s="128" t="str">
        <f t="shared" si="763"/>
        <v>Y</v>
      </c>
      <c r="BR1083" s="129" t="str">
        <f t="shared" si="779"/>
        <v>DETAINED</v>
      </c>
      <c r="BS1083" s="129" t="str">
        <f t="shared" si="764"/>
        <v>DISPOSED</v>
      </c>
      <c r="BT1083" s="129" t="str">
        <f t="shared" si="765"/>
        <v>Y</v>
      </c>
      <c r="BU1083" s="109">
        <f t="shared" si="766"/>
        <v>1</v>
      </c>
      <c r="BV1083" s="109">
        <f t="shared" si="767"/>
        <v>1</v>
      </c>
      <c r="BW1083" s="109">
        <f t="shared" si="792"/>
        <v>0</v>
      </c>
      <c r="BX1083" s="111">
        <f t="shared" si="768"/>
        <v>0</v>
      </c>
      <c r="BY1083" s="129">
        <f t="shared" si="769"/>
        <v>-230</v>
      </c>
      <c r="BZ1083" s="111">
        <f t="shared" si="770"/>
        <v>0</v>
      </c>
      <c r="CA1083" s="138">
        <f t="shared" si="771"/>
        <v>230</v>
      </c>
      <c r="CB1083" s="111" t="e">
        <f t="shared" si="798"/>
        <v>#VALUE!</v>
      </c>
      <c r="CC1083" s="129">
        <f t="shared" si="794"/>
        <v>230</v>
      </c>
      <c r="CD1083" s="129">
        <f t="shared" si="795"/>
        <v>0</v>
      </c>
      <c r="CE1083" s="129">
        <f t="shared" si="772"/>
        <v>0</v>
      </c>
      <c r="CG1083" s="129" t="str">
        <f t="shared" si="773"/>
        <v>Y</v>
      </c>
      <c r="CI1083" s="129" t="str">
        <f t="shared" si="781"/>
        <v>121-365 DAYS</v>
      </c>
      <c r="CJ1083" s="137">
        <f t="shared" si="782"/>
        <v>6</v>
      </c>
      <c r="CK1083" s="129" t="str">
        <f t="shared" si="783"/>
        <v>Booked</v>
      </c>
    </row>
    <row r="1084" spans="1:89" ht="15" customHeight="1" x14ac:dyDescent="0.25">
      <c r="A1084" s="111">
        <v>1057</v>
      </c>
      <c r="B1084" s="128" t="str">
        <f t="shared" si="760"/>
        <v>N</v>
      </c>
      <c r="C1084" s="128" t="str">
        <f t="shared" si="774"/>
        <v>N</v>
      </c>
      <c r="D1084" s="117">
        <v>1782291</v>
      </c>
      <c r="E1084" s="135">
        <f t="shared" si="761"/>
        <v>2</v>
      </c>
      <c r="F1084" s="124">
        <v>40948</v>
      </c>
      <c r="G1084" s="125">
        <v>41078</v>
      </c>
      <c r="H1084" s="117">
        <v>1782291</v>
      </c>
      <c r="I1084" s="124">
        <v>40948</v>
      </c>
      <c r="J1084" s="124">
        <v>41078</v>
      </c>
      <c r="K1084" s="126">
        <v>15000</v>
      </c>
      <c r="L1084" s="127" t="s">
        <v>571</v>
      </c>
      <c r="N1084" s="129" t="str">
        <f>IF(M1084&gt;1/1/1,"Y","N")</f>
        <v>N</v>
      </c>
      <c r="O1084" s="128" t="s">
        <v>917</v>
      </c>
      <c r="P1084" s="129" t="s">
        <v>589</v>
      </c>
      <c r="Q1084" s="111">
        <f t="shared" si="796"/>
        <v>131</v>
      </c>
      <c r="R1084" s="111">
        <f t="shared" si="786"/>
        <v>131</v>
      </c>
      <c r="S1084" s="129">
        <v>1</v>
      </c>
      <c r="T1084" s="129">
        <v>3</v>
      </c>
      <c r="W1084" s="111"/>
      <c r="AC1084" s="130"/>
      <c r="AD1084" s="130">
        <v>30112</v>
      </c>
      <c r="AE1084" s="128" t="s">
        <v>46</v>
      </c>
      <c r="AF1084" s="128" t="s">
        <v>33</v>
      </c>
      <c r="AG1084" s="128" t="s">
        <v>872</v>
      </c>
      <c r="AH1084" s="108" t="s">
        <v>58</v>
      </c>
      <c r="AI1084" s="128" t="s">
        <v>59</v>
      </c>
      <c r="AJ1084" s="129" t="s">
        <v>48</v>
      </c>
      <c r="AK1084" s="129">
        <v>12</v>
      </c>
      <c r="AL1084" s="3" t="s">
        <v>48</v>
      </c>
      <c r="AP1084" s="129" t="s">
        <v>60</v>
      </c>
      <c r="AR1084" s="128" t="s">
        <v>44</v>
      </c>
      <c r="AS1084" s="129" t="s">
        <v>61</v>
      </c>
      <c r="BC1084" s="129" t="s">
        <v>99</v>
      </c>
      <c r="BF1084" s="111">
        <f t="shared" si="797"/>
        <v>131</v>
      </c>
      <c r="BG1084" s="111">
        <f t="shared" si="790"/>
        <v>131</v>
      </c>
      <c r="BH1084" s="111">
        <f t="shared" si="757"/>
        <v>131</v>
      </c>
      <c r="BI1084" s="111">
        <f t="shared" si="758"/>
        <v>29.606557377049182</v>
      </c>
      <c r="BJ1084" s="129">
        <f t="shared" si="777"/>
        <v>0</v>
      </c>
      <c r="BK1084" s="129">
        <f t="shared" si="759"/>
        <v>0</v>
      </c>
      <c r="BL1084" s="129" t="str">
        <f t="shared" si="788"/>
        <v>DEFERRED</v>
      </c>
      <c r="BM1084" s="129" t="str">
        <f t="shared" si="778"/>
        <v>NONE</v>
      </c>
      <c r="BN1084" s="129" t="s">
        <v>566</v>
      </c>
      <c r="BP1084" s="137" t="str">
        <f t="shared" si="762"/>
        <v>DEFERRED</v>
      </c>
      <c r="BQ1084" s="128" t="str">
        <f t="shared" si="763"/>
        <v>Y</v>
      </c>
      <c r="BR1084" s="129" t="str">
        <f t="shared" si="779"/>
        <v>DETAINED</v>
      </c>
      <c r="BS1084" s="129" t="str">
        <f t="shared" si="764"/>
        <v>DISPOSED</v>
      </c>
      <c r="BT1084" s="129" t="str">
        <f t="shared" si="765"/>
        <v>Y</v>
      </c>
      <c r="BU1084" s="109">
        <f t="shared" si="766"/>
        <v>1</v>
      </c>
      <c r="BV1084" s="109">
        <f t="shared" si="767"/>
        <v>1</v>
      </c>
      <c r="BW1084" s="109">
        <f t="shared" si="792"/>
        <v>0</v>
      </c>
      <c r="BX1084" s="111">
        <f t="shared" si="768"/>
        <v>0</v>
      </c>
      <c r="BY1084" s="129">
        <f t="shared" si="769"/>
        <v>-131</v>
      </c>
      <c r="BZ1084" s="111">
        <f t="shared" si="770"/>
        <v>0</v>
      </c>
      <c r="CA1084" s="138">
        <f t="shared" si="771"/>
        <v>131</v>
      </c>
      <c r="CB1084" s="111" t="e">
        <f t="shared" si="798"/>
        <v>#VALUE!</v>
      </c>
      <c r="CC1084" s="129">
        <f t="shared" si="794"/>
        <v>131</v>
      </c>
      <c r="CD1084" s="129">
        <f t="shared" si="795"/>
        <v>0</v>
      </c>
      <c r="CE1084" s="129">
        <f t="shared" si="772"/>
        <v>0</v>
      </c>
      <c r="CG1084" s="129" t="str">
        <f t="shared" si="773"/>
        <v>Y</v>
      </c>
      <c r="CI1084" s="129" t="str">
        <f t="shared" si="781"/>
        <v>121-365 DAYS</v>
      </c>
      <c r="CJ1084" s="137">
        <f t="shared" si="782"/>
        <v>6</v>
      </c>
      <c r="CK1084" s="129" t="str">
        <f t="shared" si="783"/>
        <v>Booked</v>
      </c>
    </row>
    <row r="1085" spans="1:89" ht="15.75" customHeight="1" x14ac:dyDescent="0.25">
      <c r="A1085" s="111">
        <v>2780</v>
      </c>
      <c r="B1085" s="128" t="str">
        <f t="shared" si="760"/>
        <v>N</v>
      </c>
      <c r="C1085" s="128" t="str">
        <f t="shared" si="774"/>
        <v>N</v>
      </c>
      <c r="D1085" s="117">
        <v>1783723</v>
      </c>
      <c r="E1085" s="135">
        <f t="shared" si="761"/>
        <v>1</v>
      </c>
      <c r="F1085" s="124">
        <v>41011</v>
      </c>
      <c r="G1085" s="125">
        <v>41015</v>
      </c>
      <c r="H1085" s="117">
        <v>1783723</v>
      </c>
      <c r="I1085" s="124">
        <v>41012</v>
      </c>
      <c r="J1085" s="124">
        <v>41015</v>
      </c>
      <c r="K1085" s="126">
        <v>10000</v>
      </c>
      <c r="L1085" s="127" t="s">
        <v>570</v>
      </c>
      <c r="N1085" s="129" t="str">
        <f>IF(M1085&gt;1/1/1,"Y","N")</f>
        <v>N</v>
      </c>
      <c r="O1085" s="128" t="s">
        <v>917</v>
      </c>
      <c r="P1085" s="129" t="s">
        <v>55</v>
      </c>
      <c r="Q1085" s="111">
        <f t="shared" si="796"/>
        <v>4</v>
      </c>
      <c r="R1085" s="111">
        <f t="shared" si="786"/>
        <v>5</v>
      </c>
      <c r="S1085" s="129">
        <v>1</v>
      </c>
      <c r="T1085" s="129">
        <v>5</v>
      </c>
      <c r="U1085" s="129">
        <v>1</v>
      </c>
      <c r="W1085" s="111"/>
      <c r="AB1085" s="131" t="s">
        <v>112</v>
      </c>
      <c r="AC1085" s="130"/>
      <c r="AD1085" s="130">
        <v>30151</v>
      </c>
      <c r="AE1085" s="128" t="s">
        <v>32</v>
      </c>
      <c r="AF1085" s="128" t="s">
        <v>40</v>
      </c>
      <c r="AG1085" s="128" t="s">
        <v>41</v>
      </c>
      <c r="AH1085" s="108" t="s">
        <v>31</v>
      </c>
      <c r="AI1085" s="128" t="s">
        <v>47</v>
      </c>
      <c r="AJ1085" s="129" t="s">
        <v>55</v>
      </c>
      <c r="AK1085" s="129">
        <v>1</v>
      </c>
      <c r="AL1085" s="3" t="s">
        <v>55</v>
      </c>
      <c r="AP1085" s="129" t="s">
        <v>101</v>
      </c>
      <c r="AR1085" s="128" t="s">
        <v>67</v>
      </c>
      <c r="AS1085" s="129" t="s">
        <v>64</v>
      </c>
      <c r="BC1085" s="129" t="s">
        <v>38</v>
      </c>
      <c r="BF1085" s="111">
        <f t="shared" si="797"/>
        <v>4</v>
      </c>
      <c r="BG1085" s="111">
        <f t="shared" si="790"/>
        <v>4</v>
      </c>
      <c r="BH1085" s="111">
        <f t="shared" si="757"/>
        <v>5</v>
      </c>
      <c r="BI1085" s="111">
        <f t="shared" si="758"/>
        <v>29.672131147540984</v>
      </c>
      <c r="BJ1085" s="129">
        <f t="shared" si="777"/>
        <v>0</v>
      </c>
      <c r="BK1085" s="129">
        <f t="shared" si="759"/>
        <v>0</v>
      </c>
      <c r="BL1085" s="129" t="str">
        <f t="shared" si="788"/>
        <v>NO CONVICTION</v>
      </c>
      <c r="BM1085" s="129" t="str">
        <f t="shared" si="778"/>
        <v>NONE</v>
      </c>
      <c r="BN1085" s="129" t="s">
        <v>566</v>
      </c>
      <c r="BP1085" s="137" t="str">
        <f t="shared" si="762"/>
        <v>NO CONVICTION</v>
      </c>
      <c r="BQ1085" s="128" t="str">
        <f t="shared" si="763"/>
        <v>Y</v>
      </c>
      <c r="BR1085" s="129" t="str">
        <f t="shared" si="779"/>
        <v>DETAINED</v>
      </c>
      <c r="BS1085" s="129" t="str">
        <f t="shared" si="764"/>
        <v>DISPOSED</v>
      </c>
      <c r="BT1085" s="129" t="str">
        <f t="shared" si="765"/>
        <v>Y</v>
      </c>
      <c r="BU1085" s="109">
        <f>IFERROR(Q1085/R1085,BR1085)</f>
        <v>0.8</v>
      </c>
      <c r="BV1085" s="109">
        <f t="shared" si="767"/>
        <v>1</v>
      </c>
      <c r="BW1085" s="109">
        <f t="shared" si="792"/>
        <v>0.19999999999999996</v>
      </c>
      <c r="BX1085" s="111">
        <f t="shared" si="768"/>
        <v>0</v>
      </c>
      <c r="BY1085" s="129">
        <f t="shared" si="769"/>
        <v>-4</v>
      </c>
      <c r="BZ1085" s="111">
        <f t="shared" si="770"/>
        <v>0</v>
      </c>
      <c r="CA1085" s="138">
        <f t="shared" si="771"/>
        <v>4</v>
      </c>
      <c r="CB1085" s="111" t="e">
        <f t="shared" si="798"/>
        <v>#VALUE!</v>
      </c>
      <c r="CC1085" s="129">
        <f t="shared" si="794"/>
        <v>4</v>
      </c>
      <c r="CD1085" s="129">
        <f t="shared" si="795"/>
        <v>0</v>
      </c>
      <c r="CE1085" s="129">
        <f t="shared" si="772"/>
        <v>0</v>
      </c>
      <c r="CG1085" s="129" t="str">
        <f t="shared" si="773"/>
        <v>Y</v>
      </c>
      <c r="CI1085" s="129" t="str">
        <f t="shared" si="781"/>
        <v>0-10 DAYS</v>
      </c>
      <c r="CJ1085" s="137">
        <f t="shared" si="782"/>
        <v>1</v>
      </c>
      <c r="CK1085" s="129" t="str">
        <f t="shared" si="783"/>
        <v>Booked</v>
      </c>
    </row>
    <row r="1086" spans="1:89" ht="15" customHeight="1" x14ac:dyDescent="0.25">
      <c r="A1086" s="111">
        <v>1615</v>
      </c>
      <c r="B1086" s="128" t="str">
        <f t="shared" si="760"/>
        <v>N</v>
      </c>
      <c r="C1086" s="128" t="str">
        <f t="shared" si="774"/>
        <v>N</v>
      </c>
      <c r="D1086" s="117">
        <v>1787708</v>
      </c>
      <c r="E1086" s="135">
        <f t="shared" si="761"/>
        <v>2</v>
      </c>
      <c r="F1086" s="124">
        <v>40968</v>
      </c>
      <c r="G1086" s="125">
        <v>40970</v>
      </c>
      <c r="H1086" s="117">
        <v>1787708</v>
      </c>
      <c r="I1086" s="124">
        <v>40969</v>
      </c>
      <c r="J1086" s="124">
        <v>40970</v>
      </c>
      <c r="K1086" s="126">
        <v>35000</v>
      </c>
      <c r="L1086" s="129" t="s">
        <v>572</v>
      </c>
      <c r="N1086" s="129" t="str">
        <f>IF(M1086&gt;1/1/1,"Y","N")</f>
        <v>N</v>
      </c>
      <c r="O1086" s="128" t="s">
        <v>917</v>
      </c>
      <c r="P1086" s="129" t="s">
        <v>589</v>
      </c>
      <c r="Q1086" s="111">
        <f t="shared" si="796"/>
        <v>2</v>
      </c>
      <c r="R1086" s="111">
        <f t="shared" si="786"/>
        <v>3</v>
      </c>
      <c r="S1086" s="129">
        <v>0</v>
      </c>
      <c r="T1086" s="129">
        <v>1</v>
      </c>
      <c r="W1086" s="111"/>
      <c r="AB1086" s="131" t="s">
        <v>112</v>
      </c>
      <c r="AC1086" s="130"/>
      <c r="AD1086" s="130">
        <v>26479</v>
      </c>
      <c r="AE1086" s="128" t="s">
        <v>32</v>
      </c>
      <c r="AF1086" s="128" t="s">
        <v>40</v>
      </c>
      <c r="AG1086" s="128" t="s">
        <v>41</v>
      </c>
      <c r="AH1086" s="108" t="s">
        <v>31</v>
      </c>
      <c r="AI1086" s="128" t="s">
        <v>118</v>
      </c>
      <c r="AJ1086" s="129" t="s">
        <v>48</v>
      </c>
      <c r="AK1086" s="129">
        <v>1</v>
      </c>
      <c r="AL1086" s="3" t="s">
        <v>48</v>
      </c>
      <c r="AP1086" s="129" t="s">
        <v>43</v>
      </c>
      <c r="AR1086" s="128" t="s">
        <v>44</v>
      </c>
      <c r="AS1086" s="129" t="s">
        <v>45</v>
      </c>
      <c r="BC1086" s="129" t="s">
        <v>38</v>
      </c>
      <c r="BF1086" s="111">
        <f t="shared" si="797"/>
        <v>2</v>
      </c>
      <c r="BG1086" s="111">
        <f t="shared" si="790"/>
        <v>2</v>
      </c>
      <c r="BH1086" s="111">
        <f t="shared" si="757"/>
        <v>3</v>
      </c>
      <c r="BI1086" s="111">
        <f t="shared" si="758"/>
        <v>39.587431693989068</v>
      </c>
      <c r="BJ1086" s="129">
        <f t="shared" si="777"/>
        <v>0</v>
      </c>
      <c r="BK1086" s="129">
        <f t="shared" si="759"/>
        <v>0</v>
      </c>
      <c r="BL1086" s="129" t="str">
        <f t="shared" si="788"/>
        <v>DEFERRED</v>
      </c>
      <c r="BM1086" s="129" t="str">
        <f t="shared" si="778"/>
        <v>NONE</v>
      </c>
      <c r="BN1086" s="129" t="s">
        <v>566</v>
      </c>
      <c r="BP1086" s="137" t="str">
        <f t="shared" si="762"/>
        <v>DEFERRED</v>
      </c>
      <c r="BQ1086" s="128" t="str">
        <f t="shared" si="763"/>
        <v>Y</v>
      </c>
      <c r="BR1086" s="129" t="str">
        <f t="shared" si="779"/>
        <v>DETAINED</v>
      </c>
      <c r="BS1086" s="129" t="str">
        <f t="shared" si="764"/>
        <v>DISPOSED</v>
      </c>
      <c r="BT1086" s="129" t="str">
        <f t="shared" si="765"/>
        <v>N</v>
      </c>
      <c r="BU1086" s="109">
        <f t="shared" si="766"/>
        <v>0.66666666666666663</v>
      </c>
      <c r="BV1086" s="109">
        <f t="shared" si="767"/>
        <v>1</v>
      </c>
      <c r="BW1086" s="109">
        <f t="shared" si="792"/>
        <v>0.33333333333333337</v>
      </c>
      <c r="BX1086" s="111">
        <f t="shared" si="768"/>
        <v>0</v>
      </c>
      <c r="BY1086" s="129">
        <f t="shared" si="769"/>
        <v>-2</v>
      </c>
      <c r="BZ1086" s="111">
        <f t="shared" si="770"/>
        <v>0</v>
      </c>
      <c r="CA1086" s="138">
        <f t="shared" si="771"/>
        <v>2</v>
      </c>
      <c r="CB1086" s="111" t="e">
        <f t="shared" si="798"/>
        <v>#VALUE!</v>
      </c>
      <c r="CC1086" s="129">
        <f t="shared" si="794"/>
        <v>2</v>
      </c>
      <c r="CD1086" s="129">
        <f t="shared" si="795"/>
        <v>0</v>
      </c>
      <c r="CE1086" s="129">
        <f t="shared" si="772"/>
        <v>0</v>
      </c>
      <c r="CG1086" s="129" t="str">
        <f t="shared" si="773"/>
        <v>Y</v>
      </c>
      <c r="CI1086" s="129" t="str">
        <f t="shared" si="781"/>
        <v>0-10 DAYS</v>
      </c>
      <c r="CJ1086" s="137">
        <f t="shared" si="782"/>
        <v>1</v>
      </c>
      <c r="CK1086" s="129" t="str">
        <f t="shared" si="783"/>
        <v>Booked</v>
      </c>
    </row>
    <row r="1087" spans="1:89" ht="15.75" customHeight="1" x14ac:dyDescent="0.25">
      <c r="A1087" s="111">
        <v>893</v>
      </c>
      <c r="B1087" s="128" t="str">
        <f t="shared" si="760"/>
        <v>N</v>
      </c>
      <c r="C1087" s="128" t="str">
        <f t="shared" si="774"/>
        <v>N</v>
      </c>
      <c r="D1087" s="117">
        <v>1788635</v>
      </c>
      <c r="E1087" s="135">
        <f t="shared" si="761"/>
        <v>5</v>
      </c>
      <c r="F1087" s="124">
        <v>40941</v>
      </c>
      <c r="G1087" s="125">
        <v>40953</v>
      </c>
      <c r="H1087" s="117">
        <v>1788635</v>
      </c>
      <c r="I1087" s="124">
        <v>40942</v>
      </c>
      <c r="J1087" s="124">
        <v>40953</v>
      </c>
      <c r="K1087" s="126" t="s">
        <v>564</v>
      </c>
      <c r="L1087" s="127" t="s">
        <v>564</v>
      </c>
      <c r="N1087" s="129" t="s">
        <v>566</v>
      </c>
      <c r="O1087" s="128" t="s">
        <v>917</v>
      </c>
      <c r="P1087" s="129" t="s">
        <v>39</v>
      </c>
      <c r="Q1087" s="111">
        <f t="shared" si="796"/>
        <v>12</v>
      </c>
      <c r="R1087" s="111">
        <f t="shared" si="786"/>
        <v>13</v>
      </c>
      <c r="S1087" s="129">
        <v>3</v>
      </c>
      <c r="T1087" s="129">
        <v>3</v>
      </c>
      <c r="U1087" s="129">
        <v>1</v>
      </c>
      <c r="V1087" s="117">
        <v>1</v>
      </c>
      <c r="W1087" s="111"/>
      <c r="AC1087" s="130"/>
      <c r="AD1087" s="130">
        <v>28824</v>
      </c>
      <c r="AE1087" s="128" t="s">
        <v>32</v>
      </c>
      <c r="AF1087" s="128" t="s">
        <v>40</v>
      </c>
      <c r="AG1087" s="128" t="s">
        <v>41</v>
      </c>
      <c r="AH1087" s="108" t="s">
        <v>41</v>
      </c>
      <c r="AI1087" s="128" t="s">
        <v>83</v>
      </c>
      <c r="AJ1087" s="129" t="s">
        <v>89</v>
      </c>
      <c r="AK1087" s="129">
        <v>2</v>
      </c>
      <c r="AL1087" s="3" t="s">
        <v>992</v>
      </c>
      <c r="AN1087" s="117">
        <v>6</v>
      </c>
      <c r="AP1087" s="129" t="s">
        <v>60</v>
      </c>
      <c r="AR1087" s="128" t="s">
        <v>44</v>
      </c>
      <c r="AS1087" s="129" t="s">
        <v>61</v>
      </c>
      <c r="BC1087" s="129" t="s">
        <v>38</v>
      </c>
      <c r="BF1087" s="111">
        <f t="shared" si="797"/>
        <v>12</v>
      </c>
      <c r="BG1087" s="111">
        <f t="shared" si="790"/>
        <v>12</v>
      </c>
      <c r="BH1087" s="111">
        <f t="shared" si="757"/>
        <v>13</v>
      </c>
      <c r="BI1087" s="111">
        <f t="shared" si="758"/>
        <v>33.106557377049178</v>
      </c>
      <c r="BJ1087" s="129">
        <f t="shared" si="777"/>
        <v>0</v>
      </c>
      <c r="BK1087" s="129">
        <f t="shared" si="759"/>
        <v>0</v>
      </c>
      <c r="BL1087" s="129" t="str">
        <f t="shared" si="788"/>
        <v>CONVICTION</v>
      </c>
      <c r="BM1087" s="129" t="str">
        <f t="shared" si="778"/>
        <v>NONE</v>
      </c>
      <c r="BN1087" s="129" t="s">
        <v>566</v>
      </c>
      <c r="BP1087" s="137" t="str">
        <f t="shared" si="762"/>
        <v>CONVICTION</v>
      </c>
      <c r="BQ1087" s="128" t="str">
        <f t="shared" si="763"/>
        <v>Y</v>
      </c>
      <c r="BR1087" s="129" t="str">
        <f t="shared" si="779"/>
        <v>DETAINED</v>
      </c>
      <c r="BS1087" s="129" t="str">
        <f t="shared" si="764"/>
        <v>DISPOSED</v>
      </c>
      <c r="BT1087" s="129" t="str">
        <f t="shared" si="765"/>
        <v>Y</v>
      </c>
      <c r="BU1087" s="109">
        <f t="shared" si="766"/>
        <v>0.92307692307692313</v>
      </c>
      <c r="BV1087" s="109">
        <f t="shared" si="767"/>
        <v>1</v>
      </c>
      <c r="BW1087" s="109">
        <f t="shared" si="792"/>
        <v>7.6923076923076872E-2</v>
      </c>
      <c r="BX1087" s="111">
        <f t="shared" si="768"/>
        <v>0</v>
      </c>
      <c r="BY1087" s="129">
        <f t="shared" si="769"/>
        <v>-12</v>
      </c>
      <c r="BZ1087" s="111">
        <f t="shared" si="770"/>
        <v>0</v>
      </c>
      <c r="CA1087" s="138">
        <f t="shared" si="771"/>
        <v>12</v>
      </c>
      <c r="CB1087" s="111" t="e">
        <f t="shared" si="798"/>
        <v>#VALUE!</v>
      </c>
      <c r="CC1087" s="129">
        <f t="shared" si="794"/>
        <v>12</v>
      </c>
      <c r="CD1087" s="129">
        <f t="shared" si="795"/>
        <v>0</v>
      </c>
      <c r="CE1087" s="129">
        <f t="shared" si="772"/>
        <v>0</v>
      </c>
      <c r="CG1087" s="129" t="str">
        <f t="shared" si="773"/>
        <v>Y</v>
      </c>
      <c r="CI1087" s="129" t="str">
        <f t="shared" si="781"/>
        <v>11-30 DAYS</v>
      </c>
      <c r="CJ1087" s="137">
        <f t="shared" si="782"/>
        <v>2</v>
      </c>
      <c r="CK1087" s="129" t="str">
        <f t="shared" si="783"/>
        <v>Booked</v>
      </c>
    </row>
    <row r="1088" spans="1:89" ht="15.75" customHeight="1" x14ac:dyDescent="0.25">
      <c r="A1088" s="111">
        <v>2110</v>
      </c>
      <c r="B1088" s="128" t="str">
        <f t="shared" si="760"/>
        <v>N</v>
      </c>
      <c r="C1088" s="128" t="str">
        <f t="shared" si="774"/>
        <v>N</v>
      </c>
      <c r="D1088" s="117">
        <v>1789425</v>
      </c>
      <c r="E1088" s="135">
        <f t="shared" si="761"/>
        <v>5</v>
      </c>
      <c r="F1088" s="124">
        <v>40988</v>
      </c>
      <c r="G1088" s="125">
        <v>41054</v>
      </c>
      <c r="H1088" s="117">
        <v>1789425</v>
      </c>
      <c r="I1088" s="124">
        <v>40988</v>
      </c>
      <c r="J1088" s="124">
        <v>41054</v>
      </c>
      <c r="K1088" s="126">
        <v>15000</v>
      </c>
      <c r="L1088" s="127" t="s">
        <v>571</v>
      </c>
      <c r="N1088" s="129" t="str">
        <f t="shared" ref="N1088:N1098" si="799">IF(M1088&gt;1/1/1,"Y","N")</f>
        <v>N</v>
      </c>
      <c r="O1088" s="128" t="s">
        <v>917</v>
      </c>
      <c r="P1088" s="129" t="s">
        <v>39</v>
      </c>
      <c r="Q1088" s="111">
        <f t="shared" si="796"/>
        <v>67</v>
      </c>
      <c r="R1088" s="111">
        <f t="shared" si="786"/>
        <v>67</v>
      </c>
      <c r="S1088" s="129">
        <v>9</v>
      </c>
      <c r="T1088" s="129">
        <v>1</v>
      </c>
      <c r="U1088" s="129">
        <v>2</v>
      </c>
      <c r="W1088" s="111"/>
      <c r="AC1088" s="130"/>
      <c r="AD1088" s="130">
        <v>29923</v>
      </c>
      <c r="AE1088" s="128" t="s">
        <v>32</v>
      </c>
      <c r="AF1088" s="128" t="s">
        <v>33</v>
      </c>
      <c r="AG1088" s="128" t="s">
        <v>872</v>
      </c>
      <c r="AH1088" s="108" t="s">
        <v>58</v>
      </c>
      <c r="AI1088" s="128" t="s">
        <v>118</v>
      </c>
      <c r="AJ1088" s="129" t="s">
        <v>89</v>
      </c>
      <c r="AK1088" s="129">
        <v>4</v>
      </c>
      <c r="AL1088" s="3" t="s">
        <v>992</v>
      </c>
      <c r="AN1088" s="117">
        <v>6</v>
      </c>
      <c r="AP1088" s="129" t="s">
        <v>43</v>
      </c>
      <c r="AR1088" s="128" t="s">
        <v>44</v>
      </c>
      <c r="AS1088" s="129" t="s">
        <v>45</v>
      </c>
      <c r="BC1088" s="129" t="s">
        <v>38</v>
      </c>
      <c r="BF1088" s="111">
        <f t="shared" si="797"/>
        <v>67</v>
      </c>
      <c r="BG1088" s="111">
        <f t="shared" si="790"/>
        <v>67</v>
      </c>
      <c r="BH1088" s="111">
        <f t="shared" si="757"/>
        <v>67</v>
      </c>
      <c r="BI1088" s="111">
        <f t="shared" si="758"/>
        <v>30.23224043715847</v>
      </c>
      <c r="BJ1088" s="129">
        <f t="shared" si="777"/>
        <v>0</v>
      </c>
      <c r="BK1088" s="129">
        <f t="shared" si="759"/>
        <v>0</v>
      </c>
      <c r="BL1088" s="129" t="str">
        <f t="shared" si="788"/>
        <v>CONVICTION</v>
      </c>
      <c r="BM1088" s="129" t="str">
        <f t="shared" si="778"/>
        <v>NONE</v>
      </c>
      <c r="BN1088" s="129" t="s">
        <v>566</v>
      </c>
      <c r="BP1088" s="137" t="str">
        <f t="shared" si="762"/>
        <v>CONVICTION</v>
      </c>
      <c r="BQ1088" s="128" t="str">
        <f t="shared" si="763"/>
        <v>Y</v>
      </c>
      <c r="BR1088" s="129" t="str">
        <f t="shared" si="779"/>
        <v>DETAINED</v>
      </c>
      <c r="BS1088" s="129" t="str">
        <f t="shared" si="764"/>
        <v>DISPOSED</v>
      </c>
      <c r="BT1088" s="129" t="str">
        <f t="shared" si="765"/>
        <v>Y</v>
      </c>
      <c r="BU1088" s="109">
        <f t="shared" si="766"/>
        <v>1</v>
      </c>
      <c r="BV1088" s="109">
        <f t="shared" si="767"/>
        <v>1</v>
      </c>
      <c r="BW1088" s="109">
        <f t="shared" si="792"/>
        <v>0</v>
      </c>
      <c r="BX1088" s="111">
        <f t="shared" si="768"/>
        <v>0</v>
      </c>
      <c r="BY1088" s="129">
        <f t="shared" si="769"/>
        <v>-67</v>
      </c>
      <c r="BZ1088" s="111">
        <f t="shared" si="770"/>
        <v>0</v>
      </c>
      <c r="CA1088" s="138">
        <f t="shared" si="771"/>
        <v>67</v>
      </c>
      <c r="CB1088" s="111" t="e">
        <f t="shared" si="798"/>
        <v>#VALUE!</v>
      </c>
      <c r="CC1088" s="129">
        <f t="shared" si="794"/>
        <v>67</v>
      </c>
      <c r="CD1088" s="129">
        <f t="shared" si="795"/>
        <v>0</v>
      </c>
      <c r="CE1088" s="129">
        <f t="shared" si="772"/>
        <v>0</v>
      </c>
      <c r="CG1088" s="129" t="str">
        <f t="shared" si="773"/>
        <v>Y</v>
      </c>
      <c r="CI1088" s="129" t="str">
        <f t="shared" si="781"/>
        <v>61-90 DAYS</v>
      </c>
      <c r="CJ1088" s="137">
        <f t="shared" si="782"/>
        <v>4</v>
      </c>
      <c r="CK1088" s="129" t="str">
        <f t="shared" si="783"/>
        <v>Booked</v>
      </c>
    </row>
    <row r="1089" spans="1:89" ht="15.75" customHeight="1" x14ac:dyDescent="0.25">
      <c r="A1089" s="111">
        <v>2231</v>
      </c>
      <c r="B1089" s="128" t="str">
        <f t="shared" si="760"/>
        <v>N</v>
      </c>
      <c r="C1089" s="128" t="str">
        <f t="shared" si="774"/>
        <v>N</v>
      </c>
      <c r="D1089" s="117">
        <v>1789995</v>
      </c>
      <c r="E1089" s="135">
        <f t="shared" si="761"/>
        <v>5</v>
      </c>
      <c r="F1089" s="124">
        <v>40993</v>
      </c>
      <c r="G1089" s="125">
        <v>41200</v>
      </c>
      <c r="H1089" s="117">
        <v>1789995</v>
      </c>
      <c r="I1089" s="124">
        <v>40993</v>
      </c>
      <c r="J1089" s="124">
        <v>40994</v>
      </c>
      <c r="K1089" s="126">
        <v>10000</v>
      </c>
      <c r="L1089" s="127" t="s">
        <v>570</v>
      </c>
      <c r="M1089" s="125">
        <v>40994</v>
      </c>
      <c r="N1089" s="129" t="str">
        <f t="shared" si="799"/>
        <v>Y</v>
      </c>
      <c r="O1089" s="128" t="s">
        <v>76</v>
      </c>
      <c r="P1089" s="129" t="s">
        <v>39</v>
      </c>
      <c r="Q1089" s="111">
        <f t="shared" si="796"/>
        <v>2</v>
      </c>
      <c r="R1089" s="111">
        <f t="shared" si="786"/>
        <v>208</v>
      </c>
      <c r="S1089" s="129">
        <v>3</v>
      </c>
      <c r="T1089" s="129">
        <v>3</v>
      </c>
      <c r="U1089" s="129">
        <v>1</v>
      </c>
      <c r="W1089" s="111"/>
      <c r="AC1089" s="130"/>
      <c r="AD1089" s="130">
        <v>30330</v>
      </c>
      <c r="AE1089" s="128" t="s">
        <v>32</v>
      </c>
      <c r="AF1089" s="128" t="s">
        <v>33</v>
      </c>
      <c r="AG1089" s="128" t="s">
        <v>872</v>
      </c>
      <c r="AH1089" s="108" t="s">
        <v>58</v>
      </c>
      <c r="AI1089" s="128" t="s">
        <v>118</v>
      </c>
      <c r="AJ1089" s="129" t="s">
        <v>89</v>
      </c>
      <c r="AK1089" s="129">
        <v>8</v>
      </c>
      <c r="AL1089" s="3" t="s">
        <v>992</v>
      </c>
      <c r="AN1089" s="117">
        <v>7</v>
      </c>
      <c r="AP1089" s="129" t="s">
        <v>49</v>
      </c>
      <c r="AR1089" s="128" t="s">
        <v>50</v>
      </c>
      <c r="AS1089" s="129" t="s">
        <v>45</v>
      </c>
      <c r="BC1089" s="129" t="s">
        <v>52</v>
      </c>
      <c r="BF1089" s="111">
        <f t="shared" si="797"/>
        <v>2</v>
      </c>
      <c r="BG1089" s="111">
        <f t="shared" si="790"/>
        <v>208</v>
      </c>
      <c r="BH1089" s="111">
        <f t="shared" ref="BH1089:BH1152" si="800">IF(G1089&gt;1/1/1900,((G1089+1)-F1089),"STILL OPEN")</f>
        <v>208</v>
      </c>
      <c r="BI1089" s="111">
        <f t="shared" ref="BI1089:BI1152" si="801">(F1089-AD1089)/366</f>
        <v>29.133879781420767</v>
      </c>
      <c r="BJ1089" s="129">
        <f>(G1089-J1089)+(M1089-G1089)</f>
        <v>0</v>
      </c>
      <c r="BK1089" s="129">
        <f t="shared" ref="BK1089:BK1152" si="802">J1089-G1089</f>
        <v>-206</v>
      </c>
      <c r="BL1089" s="129" t="str">
        <f t="shared" si="788"/>
        <v>CONVICTION</v>
      </c>
      <c r="BM1089" s="129" t="s">
        <v>76</v>
      </c>
      <c r="BN1089" s="129" t="s">
        <v>88</v>
      </c>
      <c r="BP1089" s="137" t="str">
        <f t="shared" si="762"/>
        <v>CONVICTION</v>
      </c>
      <c r="BQ1089" s="128" t="str">
        <f t="shared" si="763"/>
        <v>Y</v>
      </c>
      <c r="BR1089" s="129" t="str">
        <f>IF(J1089&lt;G1089,"ON BOND",0)</f>
        <v>ON BOND</v>
      </c>
      <c r="BS1089" s="129" t="str">
        <f t="shared" si="764"/>
        <v>DISPOSED</v>
      </c>
      <c r="BT1089" s="129" t="str">
        <f t="shared" si="765"/>
        <v>Y</v>
      </c>
      <c r="BU1089" s="109">
        <f t="shared" si="766"/>
        <v>9.6153846153846159E-3</v>
      </c>
      <c r="BV1089" s="109">
        <f t="shared" si="767"/>
        <v>9.6153846153846159E-3</v>
      </c>
      <c r="BW1089" s="109">
        <f t="shared" si="792"/>
        <v>0</v>
      </c>
      <c r="BX1089" s="111">
        <f t="shared" si="768"/>
        <v>0</v>
      </c>
      <c r="BY1089" s="129">
        <f t="shared" si="769"/>
        <v>-2</v>
      </c>
      <c r="BZ1089" s="111">
        <f t="shared" si="770"/>
        <v>0</v>
      </c>
      <c r="CA1089" s="138">
        <f t="shared" si="771"/>
        <v>2</v>
      </c>
      <c r="CB1089" s="111" t="e">
        <f t="shared" si="798"/>
        <v>#VALUE!</v>
      </c>
      <c r="CC1089" s="129">
        <f>M1089-I1089+1</f>
        <v>2</v>
      </c>
      <c r="CD1089" s="111">
        <f>CC1089-BF1089</f>
        <v>0</v>
      </c>
      <c r="CE1089" s="129">
        <f t="shared" si="772"/>
        <v>206</v>
      </c>
      <c r="CG1089" s="129" t="str">
        <f t="shared" si="773"/>
        <v>Y</v>
      </c>
      <c r="CI1089" s="129" t="str">
        <f t="shared" si="781"/>
        <v>0-10 DAYS</v>
      </c>
      <c r="CJ1089" s="137">
        <f t="shared" si="782"/>
        <v>1</v>
      </c>
      <c r="CK1089" s="129" t="str">
        <f t="shared" si="783"/>
        <v>Booked</v>
      </c>
    </row>
    <row r="1090" spans="1:89" ht="15" customHeight="1" x14ac:dyDescent="0.25">
      <c r="A1090" s="111">
        <v>297</v>
      </c>
      <c r="B1090" s="128" t="str">
        <f t="shared" ref="B1090:B1153" si="803">IF(BD1090&lt;&gt;"","Y","N")</f>
        <v>N</v>
      </c>
      <c r="C1090" s="128" t="str">
        <f t="shared" ref="C1090:C1153" si="804">IF((AND(AV1090="",AX1090="",AY1090="")),"N","Y")</f>
        <v>N</v>
      </c>
      <c r="D1090" s="117">
        <v>1790251</v>
      </c>
      <c r="E1090" s="135">
        <f t="shared" ref="E1090:E1153" si="805">IF(OR(AL1090="ACQUITTAL",AL1090="ACQUIT",AL1090="acq insane",AL1090="DISMISSED",AL1090="NO BILL"),1,IF(AL1090="DEFERRED",2,IF(AL1090="PROBATION",3,IF(OR(AL1090="HCJ",AL1090="fine"),4,IF(AL1090="STJ",5,IF(AL1090="TDC",6,""))))))</f>
        <v>1</v>
      </c>
      <c r="F1090" s="124">
        <v>40920</v>
      </c>
      <c r="G1090" s="125">
        <v>41369</v>
      </c>
      <c r="H1090" s="117">
        <v>1790251</v>
      </c>
      <c r="I1090" s="124">
        <v>40921</v>
      </c>
      <c r="J1090" s="125">
        <v>41369</v>
      </c>
      <c r="K1090" s="126" t="s">
        <v>564</v>
      </c>
      <c r="L1090" s="127" t="s">
        <v>564</v>
      </c>
      <c r="N1090" s="129" t="str">
        <f t="shared" si="799"/>
        <v>N</v>
      </c>
      <c r="O1090" s="128" t="s">
        <v>917</v>
      </c>
      <c r="P1090" s="129" t="s">
        <v>55</v>
      </c>
      <c r="Q1090" s="111">
        <f t="shared" si="796"/>
        <v>449</v>
      </c>
      <c r="R1090" s="111">
        <f t="shared" si="786"/>
        <v>450</v>
      </c>
      <c r="S1090" s="129">
        <v>8</v>
      </c>
      <c r="T1090" s="129">
        <v>4</v>
      </c>
      <c r="U1090" s="129">
        <v>7</v>
      </c>
      <c r="W1090" s="111"/>
      <c r="AC1090" s="130"/>
      <c r="AD1090" s="130">
        <v>30142</v>
      </c>
      <c r="AE1090" s="128" t="s">
        <v>32</v>
      </c>
      <c r="AF1090" s="128" t="s">
        <v>33</v>
      </c>
      <c r="AG1090" s="128" t="s">
        <v>872</v>
      </c>
      <c r="AH1090" s="108" t="s">
        <v>58</v>
      </c>
      <c r="AI1090" s="128" t="s">
        <v>53</v>
      </c>
      <c r="AJ1090" s="129" t="s">
        <v>55</v>
      </c>
      <c r="AK1090" s="129">
        <v>9</v>
      </c>
      <c r="AL1090" s="3" t="s">
        <v>55</v>
      </c>
      <c r="AP1090" s="129" t="s">
        <v>43</v>
      </c>
      <c r="AR1090" s="128" t="s">
        <v>44</v>
      </c>
      <c r="AS1090" s="129" t="s">
        <v>45</v>
      </c>
      <c r="AT1090" s="129" t="s">
        <v>1185</v>
      </c>
      <c r="BC1090" s="129" t="s">
        <v>38</v>
      </c>
      <c r="BF1090" s="111">
        <f t="shared" si="797"/>
        <v>449</v>
      </c>
      <c r="BG1090" s="111">
        <f t="shared" si="790"/>
        <v>449</v>
      </c>
      <c r="BH1090" s="111">
        <f t="shared" si="800"/>
        <v>450</v>
      </c>
      <c r="BI1090" s="111">
        <f t="shared" si="801"/>
        <v>29.448087431693988</v>
      </c>
      <c r="BJ1090" s="129">
        <f t="shared" ref="BJ1090:BJ1153" si="806">G1090-J1090-M1090</f>
        <v>0</v>
      </c>
      <c r="BK1090" s="129">
        <f t="shared" si="802"/>
        <v>0</v>
      </c>
      <c r="BL1090" s="129" t="str">
        <f t="shared" si="788"/>
        <v>NO CONVICTION</v>
      </c>
      <c r="BM1090" s="129" t="str">
        <f t="shared" ref="BM1090:BM1153" si="807">O1090</f>
        <v>NONE</v>
      </c>
      <c r="BN1090" s="129" t="s">
        <v>566</v>
      </c>
      <c r="BP1090" s="137" t="str">
        <f t="shared" ref="BP1090:BP1153" si="808">IF(OR(AJ1090="AQUITTAL",AJ1090="DISMISSED",AJ1090="FINE",AJ1090="NO BILL"),"NO CONVICTION",IF(OR(AJ1090="HCJ",AJ1090="MHH",AJ1090="PROBATION",AJ1090="STJ",AJ1090="TDC",AJ1090="CONVICTED"),"CONVICTION",IF(AJ1090="DEFERRED","DEFERRED","")))</f>
        <v>NO CONVICTION</v>
      </c>
      <c r="BQ1090" s="128" t="str">
        <f t="shared" ref="BQ1090:BQ1153" si="809">IF(BF1090&gt;0,"Y",BF1090)</f>
        <v>Y</v>
      </c>
      <c r="BR1090" s="129" t="str">
        <f t="shared" ref="BR1090:BR1153" si="810">IF(AND(J1090="NOT BOOKED",M1090&gt;1/1/1),"BONDED - BEFORE BOOKED",IF(BG1090="STILL OPEN","STILL OPEN",IF(N1090="Y","ON BOND",IF(J1090&gt;=G1090,"DETAINED","RELEASED"))))</f>
        <v>DETAINED</v>
      </c>
      <c r="BS1090" s="129" t="str">
        <f t="shared" ref="BS1090:BS1153" si="811">IF(G1090&lt;&gt;"","DISPOSED","")</f>
        <v>DISPOSED</v>
      </c>
      <c r="BT1090" s="129" t="str">
        <f t="shared" ref="BT1090:BT1153" si="812">IF(S1090&gt;0,"Y","N")</f>
        <v>Y</v>
      </c>
      <c r="BU1090" s="109">
        <f>IFERROR(Q1090/R1090,BR1090)</f>
        <v>0.99777777777777776</v>
      </c>
      <c r="BV1090" s="109">
        <f t="shared" ref="BV1090:BV1153" si="813">IF(I1090&gt;F1090,((J1090-I1090+1)/(G1090-I1090+1)),(J1090-I1090+1)/(G1090-F1090+1))</f>
        <v>1</v>
      </c>
      <c r="BW1090" s="109">
        <f t="shared" si="792"/>
        <v>2.2222222222222365E-3</v>
      </c>
      <c r="BX1090" s="111">
        <f t="shared" ref="BX1090:BX1153" si="814">+Q1090-BF1090</f>
        <v>0</v>
      </c>
      <c r="BY1090" s="129">
        <f t="shared" ref="BY1090:BY1153" si="815">I1090-J1090-1</f>
        <v>-449</v>
      </c>
      <c r="BZ1090" s="111">
        <f t="shared" ref="BZ1090:BZ1153" si="816">BY1090+BF1090</f>
        <v>0</v>
      </c>
      <c r="CA1090" s="138">
        <f t="shared" ref="CA1090:CA1153" si="817">IF(AND(BS1090="DISPOSED",BR1090="DETAINED"),G1090-I1090+1,IF(AND(BS1090="DISPOSED",BR1090="ON BOND"),M1090-I1090+1,IF(AND(BS1090="STILL OPEN","STILL OPEN"),"NOT BOOKED")))</f>
        <v>449</v>
      </c>
      <c r="CB1090" s="111" t="e">
        <f t="shared" si="798"/>
        <v>#VALUE!</v>
      </c>
      <c r="CC1090" s="129">
        <f t="shared" ref="CC1090:CC1097" si="818">G1090-I1090+1</f>
        <v>449</v>
      </c>
      <c r="CD1090" s="129">
        <f t="shared" ref="CD1090:CD1097" si="819">G1090-J1090</f>
        <v>0</v>
      </c>
      <c r="CE1090" s="129">
        <f t="shared" ref="CE1090:CE1153" si="820">G1090-J1090</f>
        <v>0</v>
      </c>
      <c r="CG1090" s="129" t="str">
        <f t="shared" ref="CG1090:CG1153" si="821">IF((S1090+T1090+U1090)&gt;0,"Y","N")</f>
        <v>Y</v>
      </c>
      <c r="CI1090" s="129" t="str">
        <f t="shared" si="781"/>
        <v xml:space="preserve"> &gt;1YRS&lt;2YRS</v>
      </c>
      <c r="CJ1090" s="137">
        <f t="shared" si="782"/>
        <v>0</v>
      </c>
      <c r="CK1090" s="129" t="str">
        <f t="shared" si="783"/>
        <v>Booked</v>
      </c>
    </row>
    <row r="1091" spans="1:89" ht="15" customHeight="1" x14ac:dyDescent="0.25">
      <c r="A1091" s="111">
        <v>2272</v>
      </c>
      <c r="B1091" s="128" t="str">
        <f t="shared" si="803"/>
        <v>N</v>
      </c>
      <c r="C1091" s="128" t="str">
        <f t="shared" si="804"/>
        <v>N</v>
      </c>
      <c r="D1091" s="117">
        <v>1790272</v>
      </c>
      <c r="E1091" s="135">
        <f t="shared" si="805"/>
        <v>2</v>
      </c>
      <c r="F1091" s="124">
        <v>40995</v>
      </c>
      <c r="G1091" s="125">
        <v>41038</v>
      </c>
      <c r="H1091" s="117">
        <v>1790272</v>
      </c>
      <c r="I1091" s="124">
        <v>40995</v>
      </c>
      <c r="J1091" s="124">
        <v>41038</v>
      </c>
      <c r="K1091" s="126">
        <v>30000</v>
      </c>
      <c r="L1091" s="129" t="s">
        <v>572</v>
      </c>
      <c r="N1091" s="129" t="str">
        <f t="shared" si="799"/>
        <v>N</v>
      </c>
      <c r="O1091" s="128" t="s">
        <v>917</v>
      </c>
      <c r="P1091" s="129" t="s">
        <v>589</v>
      </c>
      <c r="Q1091" s="111">
        <f t="shared" si="796"/>
        <v>44</v>
      </c>
      <c r="R1091" s="111">
        <f t="shared" si="786"/>
        <v>44</v>
      </c>
      <c r="S1091" s="129">
        <v>1</v>
      </c>
      <c r="T1091" s="129">
        <v>4</v>
      </c>
      <c r="U1091" s="129">
        <v>1</v>
      </c>
      <c r="W1091" s="111"/>
      <c r="AC1091" s="130"/>
      <c r="AD1091" s="130">
        <v>30319</v>
      </c>
      <c r="AE1091" s="128" t="s">
        <v>32</v>
      </c>
      <c r="AF1091" s="128" t="s">
        <v>40</v>
      </c>
      <c r="AG1091" s="128" t="s">
        <v>41</v>
      </c>
      <c r="AH1091" s="108" t="s">
        <v>41</v>
      </c>
      <c r="AI1091" s="128" t="s">
        <v>114</v>
      </c>
      <c r="AJ1091" s="129" t="s">
        <v>48</v>
      </c>
      <c r="AK1091" s="129">
        <v>4</v>
      </c>
      <c r="AL1091" s="3" t="s">
        <v>48</v>
      </c>
      <c r="AP1091" s="129" t="s">
        <v>73</v>
      </c>
      <c r="AR1091" s="128" t="s">
        <v>50</v>
      </c>
      <c r="AS1091" s="129" t="s">
        <v>74</v>
      </c>
      <c r="BC1091" s="129" t="s">
        <v>38</v>
      </c>
      <c r="BF1091" s="111">
        <f t="shared" si="797"/>
        <v>44</v>
      </c>
      <c r="BG1091" s="111">
        <f t="shared" si="790"/>
        <v>44</v>
      </c>
      <c r="BH1091" s="111">
        <f t="shared" si="800"/>
        <v>44</v>
      </c>
      <c r="BI1091" s="111">
        <f t="shared" si="801"/>
        <v>29.169398907103826</v>
      </c>
      <c r="BJ1091" s="129">
        <f t="shared" si="806"/>
        <v>0</v>
      </c>
      <c r="BK1091" s="129">
        <f t="shared" si="802"/>
        <v>0</v>
      </c>
      <c r="BL1091" s="129" t="str">
        <f t="shared" si="788"/>
        <v>DEFERRED</v>
      </c>
      <c r="BM1091" s="129" t="str">
        <f t="shared" si="807"/>
        <v>NONE</v>
      </c>
      <c r="BN1091" s="129" t="s">
        <v>566</v>
      </c>
      <c r="BP1091" s="137" t="str">
        <f t="shared" si="808"/>
        <v>DEFERRED</v>
      </c>
      <c r="BQ1091" s="128" t="str">
        <f t="shared" si="809"/>
        <v>Y</v>
      </c>
      <c r="BR1091" s="129" t="str">
        <f t="shared" si="810"/>
        <v>DETAINED</v>
      </c>
      <c r="BS1091" s="129" t="str">
        <f t="shared" si="811"/>
        <v>DISPOSED</v>
      </c>
      <c r="BT1091" s="129" t="str">
        <f t="shared" si="812"/>
        <v>Y</v>
      </c>
      <c r="BU1091" s="109">
        <f t="shared" ref="BU1091:BU1152" si="822">Q1091/R1091</f>
        <v>1</v>
      </c>
      <c r="BV1091" s="109">
        <f t="shared" si="813"/>
        <v>1</v>
      </c>
      <c r="BW1091" s="109">
        <f t="shared" si="792"/>
        <v>0</v>
      </c>
      <c r="BX1091" s="111">
        <f t="shared" si="814"/>
        <v>0</v>
      </c>
      <c r="BY1091" s="129">
        <f t="shared" si="815"/>
        <v>-44</v>
      </c>
      <c r="BZ1091" s="111">
        <f t="shared" si="816"/>
        <v>0</v>
      </c>
      <c r="CA1091" s="138">
        <f t="shared" si="817"/>
        <v>44</v>
      </c>
      <c r="CB1091" s="111" t="e">
        <f t="shared" si="798"/>
        <v>#VALUE!</v>
      </c>
      <c r="CC1091" s="129">
        <f t="shared" si="818"/>
        <v>44</v>
      </c>
      <c r="CD1091" s="129">
        <f t="shared" si="819"/>
        <v>0</v>
      </c>
      <c r="CE1091" s="129">
        <f t="shared" si="820"/>
        <v>0</v>
      </c>
      <c r="CG1091" s="129" t="str">
        <f t="shared" si="821"/>
        <v>Y</v>
      </c>
      <c r="CI1091" s="129" t="str">
        <f t="shared" ref="CI1091:CI1154" si="823">IF(BF1091&lt;11,"0-10 DAYS",IF(AND(BF1091&gt;10,BF1091&lt;31),"11-30 DAYS",IF((AND(BF1091&gt;30,BF1091&lt;61)),"31-60 DAYS",IF(AND(BF1091&gt;60,BF1091&lt;91),"61-90 DAYS",IF(AND(BF1091&gt;90,BF1091&lt;121),"91-120 DAYS",IF(AND(BF1091&gt;120,BF1091&lt;366),"121-365 DAYS",IF(AND(BF1091&gt;365,BF1091&lt;730)," &gt;1YRS&lt;2YRS",IF(AND(BF1091&gt;729,BF1091&lt;1095),"&gt;2YRS&lt;3YRS",IF(BF1091&gt;1094,"&gt;3YRS")))))))))</f>
        <v>31-60 DAYS</v>
      </c>
      <c r="CJ1091" s="137">
        <f t="shared" ref="CJ1091:CJ1154" si="824">IF(CI1091="0-10 DAYS",1,IF(CI1091="11-30 DAYS",2,IF(CI1091="31-60 DAYS",3,IF(CI1091="61-90 DAYS",4,IF(CK1091="91-120 DAYS",5,IF(CI1091="121-365 DAYS",6,IF(CI1091="&gt;1YRS&lt;2YRS",7,IF(CI1091="&gt;2YRS&lt;3YRS",8,IF(CI1091="&gt;3YRS",9,0)))))))))</f>
        <v>3</v>
      </c>
      <c r="CK1091" s="129" t="str">
        <f t="shared" ref="CK1091:CK1154" si="825">IF(I1091="Not Booked","Not Booked","Booked")</f>
        <v>Booked</v>
      </c>
    </row>
    <row r="1092" spans="1:89" ht="15.75" customHeight="1" x14ac:dyDescent="0.25">
      <c r="A1092" s="111">
        <v>787</v>
      </c>
      <c r="B1092" s="128" t="str">
        <f t="shared" si="803"/>
        <v>Y</v>
      </c>
      <c r="C1092" s="128" t="str">
        <f t="shared" si="804"/>
        <v>Y</v>
      </c>
      <c r="D1092" s="117">
        <v>1791218</v>
      </c>
      <c r="E1092" s="135">
        <f t="shared" si="805"/>
        <v>2</v>
      </c>
      <c r="F1092" s="124">
        <v>40939</v>
      </c>
      <c r="G1092" s="125">
        <v>41193</v>
      </c>
      <c r="H1092" s="117">
        <v>1791218</v>
      </c>
      <c r="I1092" s="124">
        <v>40954</v>
      </c>
      <c r="J1092" s="124">
        <v>41033</v>
      </c>
      <c r="K1092" s="126">
        <v>30000</v>
      </c>
      <c r="L1092" s="129" t="s">
        <v>572</v>
      </c>
      <c r="M1092" s="125">
        <v>41033</v>
      </c>
      <c r="N1092" s="129" t="str">
        <f t="shared" si="799"/>
        <v>Y</v>
      </c>
      <c r="O1092" s="128" t="s">
        <v>76</v>
      </c>
      <c r="P1092" s="129" t="s">
        <v>589</v>
      </c>
      <c r="Q1092" s="111">
        <v>176</v>
      </c>
      <c r="R1092" s="111">
        <f t="shared" si="786"/>
        <v>255</v>
      </c>
      <c r="S1092" s="129">
        <v>2</v>
      </c>
      <c r="T1092" s="129">
        <v>5</v>
      </c>
      <c r="V1092" s="117">
        <v>1</v>
      </c>
      <c r="W1092" s="111"/>
      <c r="AC1092" s="130"/>
      <c r="AD1092" s="130">
        <v>29956</v>
      </c>
      <c r="AE1092" s="128" t="s">
        <v>32</v>
      </c>
      <c r="AF1092" s="128" t="s">
        <v>40</v>
      </c>
      <c r="AG1092" s="128" t="s">
        <v>41</v>
      </c>
      <c r="AH1092" s="108" t="s">
        <v>41</v>
      </c>
      <c r="AI1092" s="128" t="s">
        <v>59</v>
      </c>
      <c r="AJ1092" s="129" t="s">
        <v>48</v>
      </c>
      <c r="AK1092" s="129">
        <v>13</v>
      </c>
      <c r="AL1092" s="3" t="s">
        <v>48</v>
      </c>
      <c r="AP1092" s="129" t="s">
        <v>129</v>
      </c>
      <c r="AR1092" s="128" t="s">
        <v>92</v>
      </c>
      <c r="AS1092" s="129" t="s">
        <v>126</v>
      </c>
      <c r="AU1092" s="3" t="s">
        <v>808</v>
      </c>
      <c r="AX1092" s="32" t="s">
        <v>88</v>
      </c>
      <c r="BC1092" s="129" t="s">
        <v>99</v>
      </c>
      <c r="BD1092" s="129" t="s">
        <v>1288</v>
      </c>
      <c r="BF1092" s="111">
        <v>176</v>
      </c>
      <c r="BG1092" s="111">
        <f t="shared" si="790"/>
        <v>240</v>
      </c>
      <c r="BH1092" s="111">
        <f t="shared" si="800"/>
        <v>255</v>
      </c>
      <c r="BI1092" s="111">
        <f t="shared" si="801"/>
        <v>30.008196721311474</v>
      </c>
      <c r="BJ1092" s="129">
        <f>(G1092-J1092)+(M1092-G1092)</f>
        <v>0</v>
      </c>
      <c r="BK1092" s="129">
        <f t="shared" si="802"/>
        <v>-160</v>
      </c>
      <c r="BL1092" s="129" t="str">
        <f t="shared" si="788"/>
        <v>DEFERRED</v>
      </c>
      <c r="BM1092" s="129" t="s">
        <v>76</v>
      </c>
      <c r="BN1092" s="129" t="s">
        <v>88</v>
      </c>
      <c r="BP1092" s="137" t="str">
        <f t="shared" si="808"/>
        <v>DEFERRED</v>
      </c>
      <c r="BQ1092" s="128" t="str">
        <f t="shared" si="809"/>
        <v>Y</v>
      </c>
      <c r="BR1092" s="129" t="s">
        <v>574</v>
      </c>
      <c r="BS1092" s="129" t="str">
        <f t="shared" si="811"/>
        <v>DISPOSED</v>
      </c>
      <c r="BT1092" s="129" t="str">
        <f t="shared" si="812"/>
        <v>Y</v>
      </c>
      <c r="BU1092" s="109">
        <f t="shared" si="822"/>
        <v>0.69019607843137254</v>
      </c>
      <c r="BV1092" s="109">
        <f t="shared" si="813"/>
        <v>0.33333333333333331</v>
      </c>
      <c r="BW1092" s="109">
        <f t="shared" si="792"/>
        <v>-0.35686274509803922</v>
      </c>
      <c r="BX1092" s="111">
        <f t="shared" si="814"/>
        <v>0</v>
      </c>
      <c r="BY1092" s="129">
        <f t="shared" si="815"/>
        <v>-80</v>
      </c>
      <c r="BZ1092" s="111">
        <f t="shared" si="816"/>
        <v>96</v>
      </c>
      <c r="CA1092" s="138">
        <f t="shared" si="817"/>
        <v>240</v>
      </c>
      <c r="CB1092" s="111">
        <v>176</v>
      </c>
      <c r="CC1092" s="129">
        <f t="shared" si="818"/>
        <v>240</v>
      </c>
      <c r="CD1092" s="129">
        <f t="shared" si="819"/>
        <v>160</v>
      </c>
      <c r="CE1092" s="129">
        <f t="shared" si="820"/>
        <v>160</v>
      </c>
      <c r="CG1092" s="129" t="str">
        <f t="shared" si="821"/>
        <v>Y</v>
      </c>
      <c r="CI1092" s="129" t="str">
        <f t="shared" si="823"/>
        <v>121-365 DAYS</v>
      </c>
      <c r="CJ1092" s="137">
        <f t="shared" si="824"/>
        <v>6</v>
      </c>
      <c r="CK1092" s="129" t="str">
        <f t="shared" si="825"/>
        <v>Booked</v>
      </c>
    </row>
    <row r="1093" spans="1:89" ht="15" customHeight="1" x14ac:dyDescent="0.25">
      <c r="A1093" s="111">
        <v>3133</v>
      </c>
      <c r="B1093" s="128" t="str">
        <f t="shared" si="803"/>
        <v>N</v>
      </c>
      <c r="C1093" s="128" t="str">
        <f t="shared" si="804"/>
        <v>N</v>
      </c>
      <c r="D1093" s="117">
        <v>1791485</v>
      </c>
      <c r="E1093" s="135">
        <f t="shared" si="805"/>
        <v>4</v>
      </c>
      <c r="F1093" s="124">
        <v>41024</v>
      </c>
      <c r="G1093" s="125">
        <v>41120</v>
      </c>
      <c r="H1093" s="117">
        <v>1791485</v>
      </c>
      <c r="I1093" s="124">
        <v>41024</v>
      </c>
      <c r="J1093" s="124">
        <v>41120</v>
      </c>
      <c r="K1093" s="126">
        <v>5000</v>
      </c>
      <c r="L1093" s="127" t="s">
        <v>569</v>
      </c>
      <c r="N1093" s="129" t="str">
        <f t="shared" si="799"/>
        <v>N</v>
      </c>
      <c r="O1093" s="128" t="s">
        <v>917</v>
      </c>
      <c r="P1093" s="129" t="s">
        <v>39</v>
      </c>
      <c r="Q1093" s="111">
        <f t="shared" si="796"/>
        <v>97</v>
      </c>
      <c r="R1093" s="111">
        <f t="shared" si="786"/>
        <v>97</v>
      </c>
      <c r="S1093" s="129">
        <v>1</v>
      </c>
      <c r="T1093" s="129">
        <v>4</v>
      </c>
      <c r="U1093" s="129">
        <v>1</v>
      </c>
      <c r="W1093" s="111"/>
      <c r="AC1093" s="130"/>
      <c r="AD1093" s="130">
        <v>30175</v>
      </c>
      <c r="AE1093" s="128" t="s">
        <v>32</v>
      </c>
      <c r="AF1093" s="128" t="s">
        <v>33</v>
      </c>
      <c r="AG1093" s="128" t="s">
        <v>872</v>
      </c>
      <c r="AH1093" s="108" t="s">
        <v>58</v>
      </c>
      <c r="AI1093" s="128" t="s">
        <v>100</v>
      </c>
      <c r="AJ1093" s="129" t="s">
        <v>89</v>
      </c>
      <c r="AK1093" s="129">
        <v>4</v>
      </c>
      <c r="AL1093" s="3" t="s">
        <v>991</v>
      </c>
      <c r="AO1093" s="128">
        <v>240</v>
      </c>
      <c r="AP1093" s="129" t="s">
        <v>150</v>
      </c>
      <c r="AR1093" s="128" t="s">
        <v>67</v>
      </c>
      <c r="AS1093" s="129" t="s">
        <v>74</v>
      </c>
      <c r="BC1093" s="129" t="s">
        <v>38</v>
      </c>
      <c r="BF1093" s="111">
        <f t="shared" si="797"/>
        <v>97</v>
      </c>
      <c r="BG1093" s="111">
        <f t="shared" si="790"/>
        <v>97</v>
      </c>
      <c r="BH1093" s="111">
        <f t="shared" si="800"/>
        <v>97</v>
      </c>
      <c r="BI1093" s="111">
        <f t="shared" si="801"/>
        <v>29.642076502732241</v>
      </c>
      <c r="BJ1093" s="129">
        <f t="shared" si="806"/>
        <v>0</v>
      </c>
      <c r="BK1093" s="129">
        <f t="shared" si="802"/>
        <v>0</v>
      </c>
      <c r="BL1093" s="129" t="str">
        <f t="shared" si="788"/>
        <v>CONVICTION</v>
      </c>
      <c r="BM1093" s="129" t="str">
        <f t="shared" si="807"/>
        <v>NONE</v>
      </c>
      <c r="BN1093" s="129" t="s">
        <v>566</v>
      </c>
      <c r="BP1093" s="137" t="str">
        <f t="shared" si="808"/>
        <v>CONVICTION</v>
      </c>
      <c r="BQ1093" s="128" t="str">
        <f t="shared" si="809"/>
        <v>Y</v>
      </c>
      <c r="BR1093" s="129" t="str">
        <f t="shared" si="810"/>
        <v>DETAINED</v>
      </c>
      <c r="BS1093" s="129" t="str">
        <f t="shared" si="811"/>
        <v>DISPOSED</v>
      </c>
      <c r="BT1093" s="129" t="str">
        <f t="shared" si="812"/>
        <v>Y</v>
      </c>
      <c r="BU1093" s="109">
        <f t="shared" si="822"/>
        <v>1</v>
      </c>
      <c r="BV1093" s="109">
        <f t="shared" si="813"/>
        <v>1</v>
      </c>
      <c r="BW1093" s="109">
        <f t="shared" si="792"/>
        <v>0</v>
      </c>
      <c r="BX1093" s="111">
        <f t="shared" si="814"/>
        <v>0</v>
      </c>
      <c r="BY1093" s="129">
        <f t="shared" si="815"/>
        <v>-97</v>
      </c>
      <c r="BZ1093" s="111">
        <f t="shared" si="816"/>
        <v>0</v>
      </c>
      <c r="CA1093" s="138">
        <f t="shared" si="817"/>
        <v>97</v>
      </c>
      <c r="CB1093" s="111" t="e">
        <f t="shared" si="798"/>
        <v>#VALUE!</v>
      </c>
      <c r="CC1093" s="129">
        <f t="shared" si="818"/>
        <v>97</v>
      </c>
      <c r="CD1093" s="129">
        <f t="shared" si="819"/>
        <v>0</v>
      </c>
      <c r="CE1093" s="129">
        <f t="shared" si="820"/>
        <v>0</v>
      </c>
      <c r="CG1093" s="129" t="str">
        <f t="shared" si="821"/>
        <v>Y</v>
      </c>
      <c r="CI1093" s="129" t="str">
        <f t="shared" si="823"/>
        <v>91-120 DAYS</v>
      </c>
      <c r="CJ1093" s="137">
        <f t="shared" si="824"/>
        <v>0</v>
      </c>
      <c r="CK1093" s="129" t="str">
        <f t="shared" si="825"/>
        <v>Booked</v>
      </c>
    </row>
    <row r="1094" spans="1:89" ht="15" customHeight="1" x14ac:dyDescent="0.25">
      <c r="A1094" s="111">
        <v>506</v>
      </c>
      <c r="B1094" s="128" t="str">
        <f t="shared" si="803"/>
        <v>N</v>
      </c>
      <c r="C1094" s="128" t="str">
        <f t="shared" si="804"/>
        <v>N</v>
      </c>
      <c r="D1094" s="117">
        <v>1791761</v>
      </c>
      <c r="E1094" s="135">
        <f t="shared" si="805"/>
        <v>4</v>
      </c>
      <c r="F1094" s="124">
        <v>40929</v>
      </c>
      <c r="G1094" s="125">
        <v>40931</v>
      </c>
      <c r="H1094" s="117">
        <v>1791761</v>
      </c>
      <c r="I1094" s="124">
        <v>40929</v>
      </c>
      <c r="J1094" s="124">
        <v>40931</v>
      </c>
      <c r="K1094" s="126">
        <v>5000</v>
      </c>
      <c r="L1094" s="127" t="s">
        <v>569</v>
      </c>
      <c r="N1094" s="129" t="str">
        <f t="shared" si="799"/>
        <v>N</v>
      </c>
      <c r="O1094" s="128" t="s">
        <v>917</v>
      </c>
      <c r="P1094" s="129" t="s">
        <v>39</v>
      </c>
      <c r="Q1094" s="111">
        <f t="shared" si="796"/>
        <v>3</v>
      </c>
      <c r="R1094" s="111">
        <f t="shared" si="786"/>
        <v>3</v>
      </c>
      <c r="S1094" s="129">
        <v>0</v>
      </c>
      <c r="T1094" s="129">
        <v>4</v>
      </c>
      <c r="U1094" s="129">
        <v>1</v>
      </c>
      <c r="W1094" s="111"/>
      <c r="AC1094" s="130"/>
      <c r="AD1094" s="130">
        <v>30167</v>
      </c>
      <c r="AE1094" s="128" t="s">
        <v>32</v>
      </c>
      <c r="AF1094" s="128" t="s">
        <v>33</v>
      </c>
      <c r="AG1094" s="128" t="s">
        <v>872</v>
      </c>
      <c r="AH1094" s="108" t="s">
        <v>58</v>
      </c>
      <c r="AI1094" s="128" t="s">
        <v>80</v>
      </c>
      <c r="AJ1094" s="129" t="s">
        <v>89</v>
      </c>
      <c r="AK1094" s="129">
        <v>1</v>
      </c>
      <c r="AL1094" s="3" t="s">
        <v>991</v>
      </c>
      <c r="AO1094" s="128">
        <v>90</v>
      </c>
      <c r="AP1094" s="129" t="s">
        <v>171</v>
      </c>
      <c r="AR1094" s="128" t="s">
        <v>44</v>
      </c>
      <c r="AS1094" s="129" t="s">
        <v>64</v>
      </c>
      <c r="AT1094" s="129" t="s">
        <v>217</v>
      </c>
      <c r="BC1094" s="129" t="s">
        <v>38</v>
      </c>
      <c r="BF1094" s="111">
        <f t="shared" si="797"/>
        <v>3</v>
      </c>
      <c r="BG1094" s="111">
        <f t="shared" si="790"/>
        <v>3</v>
      </c>
      <c r="BH1094" s="111">
        <f t="shared" si="800"/>
        <v>3</v>
      </c>
      <c r="BI1094" s="111">
        <f t="shared" si="801"/>
        <v>29.404371584699454</v>
      </c>
      <c r="BJ1094" s="129">
        <f t="shared" si="806"/>
        <v>0</v>
      </c>
      <c r="BK1094" s="129">
        <f t="shared" si="802"/>
        <v>0</v>
      </c>
      <c r="BL1094" s="129" t="str">
        <f t="shared" si="788"/>
        <v>CONVICTION</v>
      </c>
      <c r="BM1094" s="129" t="str">
        <f t="shared" si="807"/>
        <v>NONE</v>
      </c>
      <c r="BN1094" s="129" t="s">
        <v>566</v>
      </c>
      <c r="BP1094" s="137" t="str">
        <f t="shared" si="808"/>
        <v>CONVICTION</v>
      </c>
      <c r="BQ1094" s="128" t="str">
        <f t="shared" si="809"/>
        <v>Y</v>
      </c>
      <c r="BR1094" s="129" t="str">
        <f t="shared" si="810"/>
        <v>DETAINED</v>
      </c>
      <c r="BS1094" s="129" t="str">
        <f t="shared" si="811"/>
        <v>DISPOSED</v>
      </c>
      <c r="BT1094" s="129" t="str">
        <f t="shared" si="812"/>
        <v>N</v>
      </c>
      <c r="BU1094" s="109">
        <f t="shared" si="822"/>
        <v>1</v>
      </c>
      <c r="BV1094" s="109">
        <f t="shared" si="813"/>
        <v>1</v>
      </c>
      <c r="BW1094" s="109">
        <f t="shared" si="792"/>
        <v>0</v>
      </c>
      <c r="BX1094" s="111">
        <f t="shared" si="814"/>
        <v>0</v>
      </c>
      <c r="BY1094" s="129">
        <f t="shared" si="815"/>
        <v>-3</v>
      </c>
      <c r="BZ1094" s="111">
        <f t="shared" si="816"/>
        <v>0</v>
      </c>
      <c r="CA1094" s="138">
        <f t="shared" si="817"/>
        <v>3</v>
      </c>
      <c r="CB1094" s="111" t="e">
        <f t="shared" si="798"/>
        <v>#VALUE!</v>
      </c>
      <c r="CC1094" s="129">
        <f t="shared" si="818"/>
        <v>3</v>
      </c>
      <c r="CD1094" s="129">
        <f t="shared" si="819"/>
        <v>0</v>
      </c>
      <c r="CE1094" s="129">
        <f t="shared" si="820"/>
        <v>0</v>
      </c>
      <c r="CG1094" s="129" t="str">
        <f t="shared" si="821"/>
        <v>Y</v>
      </c>
      <c r="CI1094" s="129" t="str">
        <f t="shared" si="823"/>
        <v>0-10 DAYS</v>
      </c>
      <c r="CJ1094" s="137">
        <f t="shared" si="824"/>
        <v>1</v>
      </c>
      <c r="CK1094" s="129" t="str">
        <f t="shared" si="825"/>
        <v>Booked</v>
      </c>
    </row>
    <row r="1095" spans="1:89" ht="15.75" customHeight="1" x14ac:dyDescent="0.25">
      <c r="A1095" s="111">
        <v>1433</v>
      </c>
      <c r="B1095" s="128" t="str">
        <f t="shared" si="803"/>
        <v>N</v>
      </c>
      <c r="C1095" s="128" t="str">
        <f t="shared" si="804"/>
        <v>N</v>
      </c>
      <c r="D1095" s="117">
        <v>1791785</v>
      </c>
      <c r="E1095" s="135">
        <f t="shared" si="805"/>
        <v>4</v>
      </c>
      <c r="F1095" s="124">
        <v>40961</v>
      </c>
      <c r="G1095" s="125">
        <v>40963</v>
      </c>
      <c r="H1095" s="117">
        <v>1791785</v>
      </c>
      <c r="I1095" s="124">
        <v>40962</v>
      </c>
      <c r="J1095" s="124">
        <v>40963</v>
      </c>
      <c r="K1095" s="126">
        <v>5000</v>
      </c>
      <c r="L1095" s="127" t="s">
        <v>569</v>
      </c>
      <c r="N1095" s="129" t="str">
        <f t="shared" si="799"/>
        <v>N</v>
      </c>
      <c r="O1095" s="128" t="s">
        <v>917</v>
      </c>
      <c r="P1095" s="129" t="s">
        <v>39</v>
      </c>
      <c r="Q1095" s="111">
        <f t="shared" si="796"/>
        <v>2</v>
      </c>
      <c r="R1095" s="111">
        <f t="shared" si="786"/>
        <v>3</v>
      </c>
      <c r="S1095" s="129">
        <v>1</v>
      </c>
      <c r="T1095" s="129">
        <v>6</v>
      </c>
      <c r="W1095" s="111"/>
      <c r="AC1095" s="130"/>
      <c r="AD1095" s="130">
        <v>29893</v>
      </c>
      <c r="AE1095" s="128" t="s">
        <v>32</v>
      </c>
      <c r="AF1095" s="128" t="s">
        <v>33</v>
      </c>
      <c r="AG1095" s="128" t="s">
        <v>872</v>
      </c>
      <c r="AH1095" s="108" t="s">
        <v>58</v>
      </c>
      <c r="AI1095" s="128" t="s">
        <v>62</v>
      </c>
      <c r="AJ1095" s="129" t="s">
        <v>89</v>
      </c>
      <c r="AK1095" s="129">
        <v>1</v>
      </c>
      <c r="AL1095" s="3" t="s">
        <v>991</v>
      </c>
      <c r="AO1095" s="128">
        <v>150</v>
      </c>
      <c r="AP1095" s="129" t="s">
        <v>175</v>
      </c>
      <c r="AR1095" s="128" t="s">
        <v>44</v>
      </c>
      <c r="AS1095" s="129" t="s">
        <v>45</v>
      </c>
      <c r="BC1095" s="129" t="s">
        <v>38</v>
      </c>
      <c r="BF1095" s="111">
        <f t="shared" si="797"/>
        <v>2</v>
      </c>
      <c r="BG1095" s="111">
        <f t="shared" si="790"/>
        <v>2</v>
      </c>
      <c r="BH1095" s="111">
        <f t="shared" si="800"/>
        <v>3</v>
      </c>
      <c r="BI1095" s="111">
        <f t="shared" si="801"/>
        <v>30.240437158469945</v>
      </c>
      <c r="BJ1095" s="129">
        <f t="shared" si="806"/>
        <v>0</v>
      </c>
      <c r="BK1095" s="129">
        <f t="shared" si="802"/>
        <v>0</v>
      </c>
      <c r="BL1095" s="129" t="str">
        <f t="shared" si="788"/>
        <v>CONVICTION</v>
      </c>
      <c r="BM1095" s="129" t="str">
        <f t="shared" si="807"/>
        <v>NONE</v>
      </c>
      <c r="BN1095" s="129" t="s">
        <v>566</v>
      </c>
      <c r="BP1095" s="137" t="str">
        <f t="shared" si="808"/>
        <v>CONVICTION</v>
      </c>
      <c r="BQ1095" s="128" t="str">
        <f t="shared" si="809"/>
        <v>Y</v>
      </c>
      <c r="BR1095" s="129" t="str">
        <f t="shared" si="810"/>
        <v>DETAINED</v>
      </c>
      <c r="BS1095" s="129" t="str">
        <f t="shared" si="811"/>
        <v>DISPOSED</v>
      </c>
      <c r="BT1095" s="129" t="str">
        <f t="shared" si="812"/>
        <v>Y</v>
      </c>
      <c r="BU1095" s="109">
        <f t="shared" si="822"/>
        <v>0.66666666666666663</v>
      </c>
      <c r="BV1095" s="109">
        <f t="shared" si="813"/>
        <v>1</v>
      </c>
      <c r="BW1095" s="109">
        <f t="shared" si="792"/>
        <v>0.33333333333333337</v>
      </c>
      <c r="BX1095" s="111">
        <f t="shared" si="814"/>
        <v>0</v>
      </c>
      <c r="BY1095" s="129">
        <f t="shared" si="815"/>
        <v>-2</v>
      </c>
      <c r="BZ1095" s="111">
        <f t="shared" si="816"/>
        <v>0</v>
      </c>
      <c r="CA1095" s="138">
        <f t="shared" si="817"/>
        <v>2</v>
      </c>
      <c r="CB1095" s="111" t="e">
        <f t="shared" si="798"/>
        <v>#VALUE!</v>
      </c>
      <c r="CC1095" s="129">
        <f t="shared" si="818"/>
        <v>2</v>
      </c>
      <c r="CD1095" s="129">
        <f t="shared" si="819"/>
        <v>0</v>
      </c>
      <c r="CE1095" s="129">
        <f t="shared" si="820"/>
        <v>0</v>
      </c>
      <c r="CG1095" s="129" t="str">
        <f t="shared" si="821"/>
        <v>Y</v>
      </c>
      <c r="CI1095" s="129" t="str">
        <f t="shared" si="823"/>
        <v>0-10 DAYS</v>
      </c>
      <c r="CJ1095" s="137">
        <f t="shared" si="824"/>
        <v>1</v>
      </c>
      <c r="CK1095" s="129" t="str">
        <f t="shared" si="825"/>
        <v>Booked</v>
      </c>
    </row>
    <row r="1096" spans="1:89" ht="15.75" customHeight="1" x14ac:dyDescent="0.25">
      <c r="A1096" s="111">
        <v>255</v>
      </c>
      <c r="B1096" s="128" t="str">
        <f t="shared" si="803"/>
        <v>N</v>
      </c>
      <c r="C1096" s="128" t="str">
        <f t="shared" si="804"/>
        <v>N</v>
      </c>
      <c r="D1096" s="117">
        <v>1794327</v>
      </c>
      <c r="E1096" s="135">
        <f t="shared" si="805"/>
        <v>5</v>
      </c>
      <c r="F1096" s="124">
        <v>40919</v>
      </c>
      <c r="G1096" s="125">
        <v>40967</v>
      </c>
      <c r="H1096" s="117">
        <v>1794327</v>
      </c>
      <c r="I1096" s="124">
        <v>40920</v>
      </c>
      <c r="J1096" s="124">
        <v>40967</v>
      </c>
      <c r="K1096" s="126">
        <v>5000</v>
      </c>
      <c r="L1096" s="127" t="s">
        <v>569</v>
      </c>
      <c r="N1096" s="129" t="str">
        <f t="shared" si="799"/>
        <v>N</v>
      </c>
      <c r="O1096" s="128" t="s">
        <v>917</v>
      </c>
      <c r="P1096" s="129" t="s">
        <v>39</v>
      </c>
      <c r="Q1096" s="111">
        <f t="shared" si="796"/>
        <v>48</v>
      </c>
      <c r="R1096" s="111">
        <f t="shared" si="786"/>
        <v>49</v>
      </c>
      <c r="S1096" s="129">
        <v>4</v>
      </c>
      <c r="T1096" s="129">
        <v>7</v>
      </c>
      <c r="W1096" s="111"/>
      <c r="AC1096" s="130"/>
      <c r="AD1096" s="130">
        <v>29351</v>
      </c>
      <c r="AE1096" s="128" t="s">
        <v>32</v>
      </c>
      <c r="AF1096" s="128" t="s">
        <v>33</v>
      </c>
      <c r="AG1096" s="128" t="s">
        <v>872</v>
      </c>
      <c r="AH1096" s="108" t="s">
        <v>58</v>
      </c>
      <c r="AI1096" s="128" t="s">
        <v>47</v>
      </c>
      <c r="AJ1096" s="129" t="s">
        <v>89</v>
      </c>
      <c r="AK1096" s="129">
        <v>2</v>
      </c>
      <c r="AL1096" s="3" t="s">
        <v>992</v>
      </c>
      <c r="AN1096" s="117">
        <v>6</v>
      </c>
      <c r="AP1096" s="129" t="s">
        <v>60</v>
      </c>
      <c r="AR1096" s="128" t="s">
        <v>44</v>
      </c>
      <c r="AS1096" s="129" t="s">
        <v>61</v>
      </c>
      <c r="BC1096" s="129" t="s">
        <v>38</v>
      </c>
      <c r="BF1096" s="111">
        <f t="shared" si="797"/>
        <v>48</v>
      </c>
      <c r="BG1096" s="111">
        <f t="shared" si="790"/>
        <v>48</v>
      </c>
      <c r="BH1096" s="111">
        <f t="shared" si="800"/>
        <v>49</v>
      </c>
      <c r="BI1096" s="111">
        <f t="shared" si="801"/>
        <v>31.606557377049182</v>
      </c>
      <c r="BJ1096" s="129">
        <f t="shared" si="806"/>
        <v>0</v>
      </c>
      <c r="BK1096" s="129">
        <f t="shared" si="802"/>
        <v>0</v>
      </c>
      <c r="BL1096" s="129" t="str">
        <f t="shared" si="788"/>
        <v>CONVICTION</v>
      </c>
      <c r="BM1096" s="129" t="str">
        <f t="shared" si="807"/>
        <v>NONE</v>
      </c>
      <c r="BN1096" s="129" t="s">
        <v>566</v>
      </c>
      <c r="BP1096" s="137" t="str">
        <f t="shared" si="808"/>
        <v>CONVICTION</v>
      </c>
      <c r="BQ1096" s="128" t="str">
        <f t="shared" si="809"/>
        <v>Y</v>
      </c>
      <c r="BR1096" s="129" t="str">
        <f t="shared" si="810"/>
        <v>DETAINED</v>
      </c>
      <c r="BS1096" s="129" t="str">
        <f t="shared" si="811"/>
        <v>DISPOSED</v>
      </c>
      <c r="BT1096" s="129" t="str">
        <f t="shared" si="812"/>
        <v>Y</v>
      </c>
      <c r="BU1096" s="109">
        <f t="shared" si="822"/>
        <v>0.97959183673469385</v>
      </c>
      <c r="BV1096" s="109">
        <f t="shared" si="813"/>
        <v>1</v>
      </c>
      <c r="BW1096" s="109">
        <f t="shared" si="792"/>
        <v>2.0408163265306145E-2</v>
      </c>
      <c r="BX1096" s="111">
        <f t="shared" si="814"/>
        <v>0</v>
      </c>
      <c r="BY1096" s="129">
        <f t="shared" si="815"/>
        <v>-48</v>
      </c>
      <c r="BZ1096" s="111">
        <f t="shared" si="816"/>
        <v>0</v>
      </c>
      <c r="CA1096" s="138">
        <f t="shared" si="817"/>
        <v>48</v>
      </c>
      <c r="CB1096" s="111" t="e">
        <f t="shared" si="798"/>
        <v>#VALUE!</v>
      </c>
      <c r="CC1096" s="129">
        <f t="shared" si="818"/>
        <v>48</v>
      </c>
      <c r="CD1096" s="129">
        <f t="shared" si="819"/>
        <v>0</v>
      </c>
      <c r="CE1096" s="129">
        <f t="shared" si="820"/>
        <v>0</v>
      </c>
      <c r="CG1096" s="129" t="str">
        <f t="shared" si="821"/>
        <v>Y</v>
      </c>
      <c r="CI1096" s="129" t="str">
        <f t="shared" si="823"/>
        <v>31-60 DAYS</v>
      </c>
      <c r="CJ1096" s="137">
        <f t="shared" si="824"/>
        <v>3</v>
      </c>
      <c r="CK1096" s="129" t="str">
        <f t="shared" si="825"/>
        <v>Booked</v>
      </c>
    </row>
    <row r="1097" spans="1:89" ht="15.75" customHeight="1" x14ac:dyDescent="0.25">
      <c r="A1097" s="111">
        <v>916</v>
      </c>
      <c r="B1097" s="128" t="str">
        <f t="shared" si="803"/>
        <v>N</v>
      </c>
      <c r="C1097" s="128" t="str">
        <f t="shared" si="804"/>
        <v>N</v>
      </c>
      <c r="D1097" s="117">
        <v>1794771</v>
      </c>
      <c r="E1097" s="135">
        <f t="shared" si="805"/>
        <v>5</v>
      </c>
      <c r="F1097" s="124">
        <v>40942</v>
      </c>
      <c r="G1097" s="125">
        <v>41053</v>
      </c>
      <c r="H1097" s="117">
        <v>1794771</v>
      </c>
      <c r="I1097" s="124">
        <v>40943</v>
      </c>
      <c r="J1097" s="124">
        <v>41053</v>
      </c>
      <c r="K1097" s="126">
        <v>15000</v>
      </c>
      <c r="L1097" s="127" t="s">
        <v>571</v>
      </c>
      <c r="N1097" s="129" t="str">
        <f t="shared" si="799"/>
        <v>N</v>
      </c>
      <c r="O1097" s="128" t="s">
        <v>917</v>
      </c>
      <c r="P1097" s="129" t="s">
        <v>39</v>
      </c>
      <c r="Q1097" s="111">
        <f t="shared" si="796"/>
        <v>111</v>
      </c>
      <c r="R1097" s="111">
        <f t="shared" si="786"/>
        <v>112</v>
      </c>
      <c r="S1097" s="129">
        <v>6</v>
      </c>
      <c r="T1097" s="129">
        <v>1</v>
      </c>
      <c r="U1097" s="129">
        <v>5</v>
      </c>
      <c r="W1097" s="111"/>
      <c r="AC1097" s="130"/>
      <c r="AD1097" s="130">
        <v>28124</v>
      </c>
      <c r="AE1097" s="128" t="s">
        <v>32</v>
      </c>
      <c r="AF1097" s="128" t="s">
        <v>33</v>
      </c>
      <c r="AG1097" s="128" t="s">
        <v>872</v>
      </c>
      <c r="AH1097" s="108" t="s">
        <v>31</v>
      </c>
      <c r="AI1097" s="128" t="s">
        <v>42</v>
      </c>
      <c r="AJ1097" s="129" t="s">
        <v>89</v>
      </c>
      <c r="AK1097" s="129">
        <v>5</v>
      </c>
      <c r="AL1097" s="3" t="s">
        <v>992</v>
      </c>
      <c r="AN1097" s="117">
        <v>6</v>
      </c>
      <c r="AP1097" s="129" t="s">
        <v>43</v>
      </c>
      <c r="AR1097" s="128" t="s">
        <v>44</v>
      </c>
      <c r="AS1097" s="129" t="s">
        <v>45</v>
      </c>
      <c r="BC1097" s="129" t="s">
        <v>38</v>
      </c>
      <c r="BF1097" s="111">
        <f t="shared" si="797"/>
        <v>111</v>
      </c>
      <c r="BG1097" s="111">
        <f t="shared" si="790"/>
        <v>111</v>
      </c>
      <c r="BH1097" s="111">
        <f t="shared" si="800"/>
        <v>112</v>
      </c>
      <c r="BI1097" s="111">
        <f t="shared" si="801"/>
        <v>35.021857923497265</v>
      </c>
      <c r="BJ1097" s="129">
        <f t="shared" si="806"/>
        <v>0</v>
      </c>
      <c r="BK1097" s="129">
        <f t="shared" si="802"/>
        <v>0</v>
      </c>
      <c r="BL1097" s="129" t="str">
        <f t="shared" si="788"/>
        <v>CONVICTION</v>
      </c>
      <c r="BM1097" s="129" t="str">
        <f t="shared" si="807"/>
        <v>NONE</v>
      </c>
      <c r="BN1097" s="129" t="s">
        <v>566</v>
      </c>
      <c r="BP1097" s="137" t="str">
        <f t="shared" si="808"/>
        <v>CONVICTION</v>
      </c>
      <c r="BQ1097" s="128" t="str">
        <f t="shared" si="809"/>
        <v>Y</v>
      </c>
      <c r="BR1097" s="129" t="str">
        <f t="shared" si="810"/>
        <v>DETAINED</v>
      </c>
      <c r="BS1097" s="129" t="str">
        <f t="shared" si="811"/>
        <v>DISPOSED</v>
      </c>
      <c r="BT1097" s="129" t="str">
        <f t="shared" si="812"/>
        <v>Y</v>
      </c>
      <c r="BU1097" s="109">
        <f t="shared" si="822"/>
        <v>0.9910714285714286</v>
      </c>
      <c r="BV1097" s="109">
        <f t="shared" si="813"/>
        <v>1</v>
      </c>
      <c r="BW1097" s="109">
        <f t="shared" si="792"/>
        <v>8.9285714285713969E-3</v>
      </c>
      <c r="BX1097" s="111">
        <f t="shared" si="814"/>
        <v>0</v>
      </c>
      <c r="BY1097" s="129">
        <f t="shared" si="815"/>
        <v>-111</v>
      </c>
      <c r="BZ1097" s="111">
        <f t="shared" si="816"/>
        <v>0</v>
      </c>
      <c r="CA1097" s="138">
        <f t="shared" si="817"/>
        <v>111</v>
      </c>
      <c r="CB1097" s="111" t="e">
        <f t="shared" si="798"/>
        <v>#VALUE!</v>
      </c>
      <c r="CC1097" s="129">
        <f t="shared" si="818"/>
        <v>111</v>
      </c>
      <c r="CD1097" s="129">
        <f t="shared" si="819"/>
        <v>0</v>
      </c>
      <c r="CE1097" s="129">
        <f t="shared" si="820"/>
        <v>0</v>
      </c>
      <c r="CG1097" s="129" t="str">
        <f t="shared" si="821"/>
        <v>Y</v>
      </c>
      <c r="CI1097" s="129" t="str">
        <f t="shared" si="823"/>
        <v>91-120 DAYS</v>
      </c>
      <c r="CJ1097" s="137">
        <f t="shared" si="824"/>
        <v>0</v>
      </c>
      <c r="CK1097" s="129" t="str">
        <f t="shared" si="825"/>
        <v>Booked</v>
      </c>
    </row>
    <row r="1098" spans="1:89" ht="15.75" customHeight="1" x14ac:dyDescent="0.25">
      <c r="A1098" s="111">
        <v>2522</v>
      </c>
      <c r="B1098" s="128" t="str">
        <f t="shared" si="803"/>
        <v>N</v>
      </c>
      <c r="C1098" s="128" t="str">
        <f t="shared" si="804"/>
        <v>N</v>
      </c>
      <c r="D1098" s="117">
        <v>1794840</v>
      </c>
      <c r="E1098" s="135">
        <f t="shared" si="805"/>
        <v>2</v>
      </c>
      <c r="F1098" s="124">
        <v>41003</v>
      </c>
      <c r="G1098" s="125">
        <v>41047</v>
      </c>
      <c r="H1098" s="117">
        <v>1794840</v>
      </c>
      <c r="I1098" s="124">
        <v>41003</v>
      </c>
      <c r="J1098" s="124">
        <v>41005</v>
      </c>
      <c r="K1098" s="126">
        <v>10000</v>
      </c>
      <c r="L1098" s="127" t="s">
        <v>570</v>
      </c>
      <c r="M1098" s="124">
        <v>41005</v>
      </c>
      <c r="N1098" s="129" t="str">
        <f t="shared" si="799"/>
        <v>Y</v>
      </c>
      <c r="O1098" s="128" t="s">
        <v>76</v>
      </c>
      <c r="P1098" s="129" t="s">
        <v>589</v>
      </c>
      <c r="Q1098" s="111">
        <f t="shared" si="796"/>
        <v>3</v>
      </c>
      <c r="R1098" s="111">
        <f t="shared" si="786"/>
        <v>45</v>
      </c>
      <c r="S1098" s="129">
        <v>1</v>
      </c>
      <c r="T1098" s="129">
        <v>2</v>
      </c>
      <c r="V1098" s="117">
        <v>1</v>
      </c>
      <c r="W1098" s="111"/>
      <c r="AC1098" s="130"/>
      <c r="AD1098" s="130">
        <v>28529</v>
      </c>
      <c r="AE1098" s="128" t="s">
        <v>32</v>
      </c>
      <c r="AF1098" s="128" t="s">
        <v>40</v>
      </c>
      <c r="AG1098" s="128" t="s">
        <v>41</v>
      </c>
      <c r="AH1098" s="108" t="s">
        <v>41</v>
      </c>
      <c r="AI1098" s="128" t="s">
        <v>114</v>
      </c>
      <c r="AJ1098" s="129" t="s">
        <v>48</v>
      </c>
      <c r="AK1098" s="129">
        <v>3</v>
      </c>
      <c r="AL1098" s="3" t="s">
        <v>48</v>
      </c>
      <c r="AP1098" s="129" t="s">
        <v>150</v>
      </c>
      <c r="AR1098" s="128" t="s">
        <v>67</v>
      </c>
      <c r="AS1098" s="129" t="s">
        <v>74</v>
      </c>
      <c r="BC1098" s="129" t="s">
        <v>52</v>
      </c>
      <c r="BF1098" s="111">
        <f t="shared" si="797"/>
        <v>3</v>
      </c>
      <c r="BG1098" s="111">
        <f t="shared" si="790"/>
        <v>45</v>
      </c>
      <c r="BH1098" s="111">
        <f t="shared" si="800"/>
        <v>45</v>
      </c>
      <c r="BI1098" s="111">
        <f t="shared" si="801"/>
        <v>34.081967213114751</v>
      </c>
      <c r="BJ1098" s="129">
        <f>(G1098-J1098)+(M1098-G1098)</f>
        <v>0</v>
      </c>
      <c r="BK1098" s="129">
        <f t="shared" si="802"/>
        <v>-42</v>
      </c>
      <c r="BL1098" s="129" t="str">
        <f t="shared" si="788"/>
        <v>DEFERRED</v>
      </c>
      <c r="BM1098" s="129" t="s">
        <v>76</v>
      </c>
      <c r="BN1098" s="129" t="s">
        <v>88</v>
      </c>
      <c r="BP1098" s="137" t="str">
        <f t="shared" si="808"/>
        <v>DEFERRED</v>
      </c>
      <c r="BQ1098" s="128" t="str">
        <f t="shared" si="809"/>
        <v>Y</v>
      </c>
      <c r="BR1098" s="129" t="str">
        <f t="shared" si="810"/>
        <v>ON BOND</v>
      </c>
      <c r="BS1098" s="129" t="str">
        <f t="shared" si="811"/>
        <v>DISPOSED</v>
      </c>
      <c r="BT1098" s="129" t="str">
        <f t="shared" si="812"/>
        <v>Y</v>
      </c>
      <c r="BU1098" s="109">
        <f t="shared" si="822"/>
        <v>6.6666666666666666E-2</v>
      </c>
      <c r="BV1098" s="109">
        <f t="shared" si="813"/>
        <v>6.6666666666666666E-2</v>
      </c>
      <c r="BW1098" s="109">
        <f t="shared" si="792"/>
        <v>0</v>
      </c>
      <c r="BX1098" s="111">
        <f t="shared" si="814"/>
        <v>0</v>
      </c>
      <c r="BY1098" s="129">
        <f t="shared" si="815"/>
        <v>-3</v>
      </c>
      <c r="BZ1098" s="111">
        <f t="shared" si="816"/>
        <v>0</v>
      </c>
      <c r="CA1098" s="138">
        <f t="shared" si="817"/>
        <v>3</v>
      </c>
      <c r="CB1098" s="111" t="e">
        <f t="shared" si="798"/>
        <v>#VALUE!</v>
      </c>
      <c r="CC1098" s="129">
        <f>M1098-I1098+1</f>
        <v>3</v>
      </c>
      <c r="CD1098" s="111">
        <f>CC1098-BF1098</f>
        <v>0</v>
      </c>
      <c r="CE1098" s="129">
        <f t="shared" si="820"/>
        <v>42</v>
      </c>
      <c r="CG1098" s="129" t="str">
        <f t="shared" si="821"/>
        <v>Y</v>
      </c>
      <c r="CI1098" s="129" t="str">
        <f t="shared" si="823"/>
        <v>0-10 DAYS</v>
      </c>
      <c r="CJ1098" s="137">
        <f t="shared" si="824"/>
        <v>1</v>
      </c>
      <c r="CK1098" s="129" t="str">
        <f t="shared" si="825"/>
        <v>Booked</v>
      </c>
    </row>
    <row r="1099" spans="1:89" ht="15" customHeight="1" x14ac:dyDescent="0.25">
      <c r="A1099" s="111">
        <v>2079</v>
      </c>
      <c r="B1099" s="128" t="str">
        <f t="shared" si="803"/>
        <v>N</v>
      </c>
      <c r="C1099" s="128" t="str">
        <f t="shared" si="804"/>
        <v>N</v>
      </c>
      <c r="D1099" s="117">
        <v>1797749</v>
      </c>
      <c r="E1099" s="135">
        <f t="shared" si="805"/>
        <v>2</v>
      </c>
      <c r="F1099" s="124">
        <v>40987</v>
      </c>
      <c r="G1099" s="125">
        <v>41193</v>
      </c>
      <c r="H1099" s="117">
        <v>1797749</v>
      </c>
      <c r="I1099" s="124" t="s">
        <v>562</v>
      </c>
      <c r="J1099" s="124" t="s">
        <v>562</v>
      </c>
      <c r="K1099" s="126">
        <v>30000</v>
      </c>
      <c r="L1099" s="129" t="s">
        <v>572</v>
      </c>
      <c r="M1099" s="125">
        <v>41012</v>
      </c>
      <c r="N1099" s="129" t="str">
        <f>IF(M1099&gt;1/1/1,"Y",IF(Q1099="0","","N"))</f>
        <v>Y</v>
      </c>
      <c r="O1099" s="128" t="s">
        <v>76</v>
      </c>
      <c r="P1099" s="129" t="s">
        <v>589</v>
      </c>
      <c r="Q1099" s="111">
        <f t="shared" si="796"/>
        <v>0</v>
      </c>
      <c r="R1099" s="111">
        <f t="shared" si="786"/>
        <v>207</v>
      </c>
      <c r="S1099" s="129">
        <v>0</v>
      </c>
      <c r="T1099" s="129">
        <v>1</v>
      </c>
      <c r="W1099" s="111"/>
      <c r="AB1099" s="131" t="s">
        <v>112</v>
      </c>
      <c r="AC1099" s="130"/>
      <c r="AD1099" s="130">
        <v>30455</v>
      </c>
      <c r="AE1099" s="128" t="s">
        <v>32</v>
      </c>
      <c r="AF1099" s="128" t="s">
        <v>40</v>
      </c>
      <c r="AG1099" s="128" t="s">
        <v>41</v>
      </c>
      <c r="AH1099" s="108" t="s">
        <v>31</v>
      </c>
      <c r="AI1099" s="128" t="s">
        <v>72</v>
      </c>
      <c r="AJ1099" s="129" t="s">
        <v>48</v>
      </c>
      <c r="AK1099" s="129">
        <v>7</v>
      </c>
      <c r="AL1099" s="3" t="s">
        <v>48</v>
      </c>
      <c r="AP1099" s="129" t="s">
        <v>73</v>
      </c>
      <c r="AR1099" s="128" t="s">
        <v>50</v>
      </c>
      <c r="AS1099" s="129" t="s">
        <v>74</v>
      </c>
      <c r="BC1099" s="129" t="s">
        <v>52</v>
      </c>
      <c r="BF1099" s="111">
        <v>0</v>
      </c>
      <c r="BG1099" s="111">
        <v>0</v>
      </c>
      <c r="BH1099" s="111">
        <f t="shared" si="800"/>
        <v>207</v>
      </c>
      <c r="BI1099" s="111">
        <f t="shared" si="801"/>
        <v>28.775956284153004</v>
      </c>
      <c r="BJ1099" s="129" t="e">
        <f>(G1099-J1099)+(M1099-G1099)</f>
        <v>#VALUE!</v>
      </c>
      <c r="BK1099" s="129" t="e">
        <f t="shared" si="802"/>
        <v>#VALUE!</v>
      </c>
      <c r="BL1099" s="129" t="str">
        <f t="shared" si="788"/>
        <v>DEFERRED</v>
      </c>
      <c r="BM1099" s="129" t="s">
        <v>76</v>
      </c>
      <c r="BN1099" s="129" t="s">
        <v>88</v>
      </c>
      <c r="BP1099" s="137" t="str">
        <f t="shared" si="808"/>
        <v>DEFERRED</v>
      </c>
      <c r="BQ1099" s="128">
        <f t="shared" si="809"/>
        <v>0</v>
      </c>
      <c r="BR1099" s="129" t="s">
        <v>575</v>
      </c>
      <c r="BS1099" s="129" t="str">
        <f t="shared" si="811"/>
        <v>DISPOSED</v>
      </c>
      <c r="BT1099" s="129" t="str">
        <f t="shared" si="812"/>
        <v>N</v>
      </c>
      <c r="BU1099" s="109">
        <f t="shared" si="822"/>
        <v>0</v>
      </c>
      <c r="BV1099" s="109">
        <v>0</v>
      </c>
      <c r="BW1099" s="109">
        <f t="shared" si="792"/>
        <v>0</v>
      </c>
      <c r="BX1099" s="111">
        <f t="shared" si="814"/>
        <v>0</v>
      </c>
      <c r="BY1099" s="129" t="e">
        <f t="shared" si="815"/>
        <v>#VALUE!</v>
      </c>
      <c r="BZ1099" s="111" t="e">
        <f t="shared" si="816"/>
        <v>#VALUE!</v>
      </c>
      <c r="CA1099" s="138" t="e">
        <f t="shared" si="817"/>
        <v>#VALUE!</v>
      </c>
      <c r="CB1099" s="111">
        <v>0</v>
      </c>
      <c r="CC1099" s="129">
        <v>0</v>
      </c>
      <c r="CD1099" s="111">
        <f>CC1099-BF1099</f>
        <v>0</v>
      </c>
      <c r="CE1099" s="129" t="e">
        <f t="shared" si="820"/>
        <v>#VALUE!</v>
      </c>
      <c r="CG1099" s="129" t="str">
        <f t="shared" si="821"/>
        <v>Y</v>
      </c>
      <c r="CI1099" s="129" t="str">
        <f t="shared" si="823"/>
        <v>0-10 DAYS</v>
      </c>
      <c r="CJ1099" s="137">
        <f t="shared" si="824"/>
        <v>1</v>
      </c>
      <c r="CK1099" s="129" t="str">
        <f t="shared" si="825"/>
        <v>Not Booked</v>
      </c>
    </row>
    <row r="1100" spans="1:89" ht="15.75" customHeight="1" x14ac:dyDescent="0.25">
      <c r="A1100" s="111">
        <v>387</v>
      </c>
      <c r="B1100" s="128" t="str">
        <f t="shared" si="803"/>
        <v>N</v>
      </c>
      <c r="C1100" s="128" t="str">
        <f t="shared" si="804"/>
        <v>N</v>
      </c>
      <c r="D1100" s="117">
        <v>1797810</v>
      </c>
      <c r="E1100" s="135">
        <f t="shared" si="805"/>
        <v>5</v>
      </c>
      <c r="F1100" s="124">
        <v>40925</v>
      </c>
      <c r="G1100" s="125">
        <v>41194</v>
      </c>
      <c r="H1100" s="117">
        <v>1797810</v>
      </c>
      <c r="I1100" s="124">
        <v>40925</v>
      </c>
      <c r="J1100" s="124">
        <v>40947</v>
      </c>
      <c r="K1100" s="126">
        <v>20000</v>
      </c>
      <c r="L1100" s="127" t="s">
        <v>571</v>
      </c>
      <c r="M1100" s="125">
        <v>40947</v>
      </c>
      <c r="N1100" s="129" t="str">
        <f t="shared" ref="N1100:N1106" si="826">IF(M1100&gt;1/1/1,"Y","N")</f>
        <v>Y</v>
      </c>
      <c r="O1100" s="128" t="s">
        <v>76</v>
      </c>
      <c r="P1100" s="129" t="s">
        <v>39</v>
      </c>
      <c r="Q1100" s="111">
        <f t="shared" si="796"/>
        <v>23</v>
      </c>
      <c r="R1100" s="111">
        <f t="shared" si="786"/>
        <v>270</v>
      </c>
      <c r="S1100" s="129">
        <v>2</v>
      </c>
      <c r="T1100" s="129">
        <v>4</v>
      </c>
      <c r="U1100" s="129">
        <v>2</v>
      </c>
      <c r="W1100" s="111"/>
      <c r="AC1100" s="130"/>
      <c r="AD1100" s="130">
        <v>28919</v>
      </c>
      <c r="AE1100" s="128" t="s">
        <v>32</v>
      </c>
      <c r="AF1100" s="128" t="s">
        <v>33</v>
      </c>
      <c r="AG1100" s="128" t="s">
        <v>872</v>
      </c>
      <c r="AH1100" s="108" t="s">
        <v>58</v>
      </c>
      <c r="AI1100" s="128" t="s">
        <v>95</v>
      </c>
      <c r="AJ1100" s="129" t="s">
        <v>89</v>
      </c>
      <c r="AK1100" s="129">
        <v>10</v>
      </c>
      <c r="AL1100" s="3" t="s">
        <v>992</v>
      </c>
      <c r="AN1100" s="117">
        <v>12</v>
      </c>
      <c r="AP1100" s="129" t="s">
        <v>136</v>
      </c>
      <c r="AR1100" s="128" t="s">
        <v>67</v>
      </c>
      <c r="AS1100" s="129" t="s">
        <v>64</v>
      </c>
      <c r="BC1100" s="129" t="s">
        <v>52</v>
      </c>
      <c r="BF1100" s="111">
        <f t="shared" ref="BF1100:BF1113" si="827">IF(J1100&gt;1/1/1900,((J1100+1)-I1100),"STILL OPEN")</f>
        <v>23</v>
      </c>
      <c r="BG1100" s="111">
        <f t="shared" ref="BG1100:BG1113" si="828">IF(G1100&gt;1/1/1900,((G1100+1)-I1100),"STILL OPEN")</f>
        <v>270</v>
      </c>
      <c r="BH1100" s="111">
        <f t="shared" si="800"/>
        <v>270</v>
      </c>
      <c r="BI1100" s="111">
        <f t="shared" si="801"/>
        <v>32.803278688524593</v>
      </c>
      <c r="BJ1100" s="129">
        <f>(G1100-J1100)+(M1100-G1100)</f>
        <v>0</v>
      </c>
      <c r="BK1100" s="129">
        <f t="shared" si="802"/>
        <v>-247</v>
      </c>
      <c r="BL1100" s="129" t="str">
        <f t="shared" si="788"/>
        <v>CONVICTION</v>
      </c>
      <c r="BM1100" s="129" t="s">
        <v>76</v>
      </c>
      <c r="BN1100" s="129" t="s">
        <v>88</v>
      </c>
      <c r="BP1100" s="137" t="str">
        <f t="shared" si="808"/>
        <v>CONVICTION</v>
      </c>
      <c r="BQ1100" s="128" t="str">
        <f t="shared" si="809"/>
        <v>Y</v>
      </c>
      <c r="BR1100" s="129" t="str">
        <f>IF(J1100&lt;G1100,"ON BOND",0)</f>
        <v>ON BOND</v>
      </c>
      <c r="BS1100" s="129" t="str">
        <f t="shared" si="811"/>
        <v>DISPOSED</v>
      </c>
      <c r="BT1100" s="129" t="str">
        <f t="shared" si="812"/>
        <v>Y</v>
      </c>
      <c r="BU1100" s="109">
        <f t="shared" si="822"/>
        <v>8.5185185185185183E-2</v>
      </c>
      <c r="BV1100" s="109">
        <f t="shared" si="813"/>
        <v>8.5185185185185183E-2</v>
      </c>
      <c r="BW1100" s="109">
        <f t="shared" si="792"/>
        <v>0</v>
      </c>
      <c r="BX1100" s="111">
        <f t="shared" si="814"/>
        <v>0</v>
      </c>
      <c r="BY1100" s="129">
        <f t="shared" si="815"/>
        <v>-23</v>
      </c>
      <c r="BZ1100" s="111">
        <f t="shared" si="816"/>
        <v>0</v>
      </c>
      <c r="CA1100" s="138">
        <f t="shared" si="817"/>
        <v>23</v>
      </c>
      <c r="CB1100" s="111" t="e">
        <f t="shared" ref="CB1100:CB1113" si="829">IF(AF1100&gt;1/1/1900,((AF1100+1)-AE1100),"STILL OPEN")</f>
        <v>#VALUE!</v>
      </c>
      <c r="CC1100" s="129">
        <f>M1100-I1100+1</f>
        <v>23</v>
      </c>
      <c r="CD1100" s="111">
        <f>CC1100-BF1100</f>
        <v>0</v>
      </c>
      <c r="CE1100" s="129">
        <f t="shared" si="820"/>
        <v>247</v>
      </c>
      <c r="CG1100" s="129" t="str">
        <f t="shared" si="821"/>
        <v>Y</v>
      </c>
      <c r="CI1100" s="129" t="str">
        <f t="shared" si="823"/>
        <v>11-30 DAYS</v>
      </c>
      <c r="CJ1100" s="137">
        <f t="shared" si="824"/>
        <v>2</v>
      </c>
      <c r="CK1100" s="129" t="str">
        <f t="shared" si="825"/>
        <v>Booked</v>
      </c>
    </row>
    <row r="1101" spans="1:89" ht="15.75" customHeight="1" x14ac:dyDescent="0.25">
      <c r="A1101" s="111">
        <v>635</v>
      </c>
      <c r="B1101" s="128" t="str">
        <f t="shared" si="803"/>
        <v>N</v>
      </c>
      <c r="C1101" s="128" t="str">
        <f t="shared" si="804"/>
        <v>N</v>
      </c>
      <c r="D1101" s="117">
        <v>1799062</v>
      </c>
      <c r="E1101" s="135">
        <f t="shared" si="805"/>
        <v>1</v>
      </c>
      <c r="F1101" s="124">
        <v>40933</v>
      </c>
      <c r="G1101" s="125">
        <v>40976</v>
      </c>
      <c r="H1101" s="117">
        <v>1799062</v>
      </c>
      <c r="I1101" s="124">
        <v>40934</v>
      </c>
      <c r="J1101" s="124">
        <v>40935</v>
      </c>
      <c r="K1101" s="126">
        <v>5000</v>
      </c>
      <c r="L1101" s="127" t="s">
        <v>569</v>
      </c>
      <c r="M1101" s="125">
        <v>40935</v>
      </c>
      <c r="N1101" s="129" t="str">
        <f t="shared" si="826"/>
        <v>Y</v>
      </c>
      <c r="O1101" s="128" t="s">
        <v>76</v>
      </c>
      <c r="P1101" s="129" t="s">
        <v>55</v>
      </c>
      <c r="Q1101" s="111">
        <f t="shared" si="796"/>
        <v>2</v>
      </c>
      <c r="R1101" s="111">
        <f t="shared" si="786"/>
        <v>44</v>
      </c>
      <c r="S1101" s="129">
        <v>1</v>
      </c>
      <c r="T1101" s="129">
        <v>2</v>
      </c>
      <c r="U1101" s="129">
        <v>1</v>
      </c>
      <c r="W1101" s="111"/>
      <c r="AC1101" s="130"/>
      <c r="AD1101" s="130">
        <v>27563</v>
      </c>
      <c r="AE1101" s="128" t="s">
        <v>32</v>
      </c>
      <c r="AF1101" s="128" t="s">
        <v>33</v>
      </c>
      <c r="AG1101" s="128" t="s">
        <v>872</v>
      </c>
      <c r="AH1101" s="108" t="s">
        <v>58</v>
      </c>
      <c r="AI1101" s="128" t="s">
        <v>70</v>
      </c>
      <c r="AJ1101" s="129" t="s">
        <v>55</v>
      </c>
      <c r="AK1101" s="129">
        <v>3</v>
      </c>
      <c r="AL1101" s="3" t="s">
        <v>55</v>
      </c>
      <c r="AP1101" s="129" t="s">
        <v>43</v>
      </c>
      <c r="AR1101" s="128" t="s">
        <v>44</v>
      </c>
      <c r="AS1101" s="129" t="s">
        <v>45</v>
      </c>
      <c r="BC1101" s="129" t="s">
        <v>79</v>
      </c>
      <c r="BF1101" s="111">
        <f t="shared" si="827"/>
        <v>2</v>
      </c>
      <c r="BG1101" s="111">
        <f t="shared" si="828"/>
        <v>43</v>
      </c>
      <c r="BH1101" s="111">
        <f t="shared" si="800"/>
        <v>44</v>
      </c>
      <c r="BI1101" s="111">
        <f t="shared" si="801"/>
        <v>36.530054644808743</v>
      </c>
      <c r="BJ1101" s="129">
        <f>(G1101-J1101)+(M1101-G1101)</f>
        <v>0</v>
      </c>
      <c r="BK1101" s="129">
        <f t="shared" si="802"/>
        <v>-41</v>
      </c>
      <c r="BL1101" s="129" t="str">
        <f t="shared" si="788"/>
        <v>NO CONVICTION</v>
      </c>
      <c r="BM1101" s="129" t="s">
        <v>76</v>
      </c>
      <c r="BN1101" s="129" t="s">
        <v>88</v>
      </c>
      <c r="BP1101" s="137" t="str">
        <f t="shared" si="808"/>
        <v>NO CONVICTION</v>
      </c>
      <c r="BQ1101" s="128" t="str">
        <f t="shared" si="809"/>
        <v>Y</v>
      </c>
      <c r="BR1101" s="129" t="str">
        <f t="shared" si="810"/>
        <v>ON BOND</v>
      </c>
      <c r="BS1101" s="129" t="str">
        <f t="shared" si="811"/>
        <v>DISPOSED</v>
      </c>
      <c r="BT1101" s="129" t="str">
        <f t="shared" si="812"/>
        <v>Y</v>
      </c>
      <c r="BU1101" s="109">
        <f>IFERROR(Q1101/R1101,BR1101)</f>
        <v>4.5454545454545456E-2</v>
      </c>
      <c r="BV1101" s="109">
        <f t="shared" si="813"/>
        <v>4.6511627906976744E-2</v>
      </c>
      <c r="BW1101" s="109">
        <f t="shared" si="792"/>
        <v>1.0570824524312877E-3</v>
      </c>
      <c r="BX1101" s="111">
        <f t="shared" si="814"/>
        <v>0</v>
      </c>
      <c r="BY1101" s="129">
        <f t="shared" si="815"/>
        <v>-2</v>
      </c>
      <c r="BZ1101" s="111">
        <f t="shared" si="816"/>
        <v>0</v>
      </c>
      <c r="CA1101" s="138">
        <f t="shared" si="817"/>
        <v>2</v>
      </c>
      <c r="CB1101" s="111" t="e">
        <f t="shared" si="829"/>
        <v>#VALUE!</v>
      </c>
      <c r="CC1101" s="129">
        <f>M1101-I1101+1</f>
        <v>2</v>
      </c>
      <c r="CD1101" s="111">
        <f>CC1101-BF1101</f>
        <v>0</v>
      </c>
      <c r="CE1101" s="129">
        <f t="shared" si="820"/>
        <v>41</v>
      </c>
      <c r="CG1101" s="129" t="str">
        <f t="shared" si="821"/>
        <v>Y</v>
      </c>
      <c r="CI1101" s="129" t="str">
        <f t="shared" si="823"/>
        <v>0-10 DAYS</v>
      </c>
      <c r="CJ1101" s="137">
        <f t="shared" si="824"/>
        <v>1</v>
      </c>
      <c r="CK1101" s="129" t="str">
        <f t="shared" si="825"/>
        <v>Booked</v>
      </c>
    </row>
    <row r="1102" spans="1:89" ht="15.75" customHeight="1" x14ac:dyDescent="0.25">
      <c r="A1102" s="111">
        <v>64</v>
      </c>
      <c r="B1102" s="128" t="str">
        <f t="shared" si="803"/>
        <v>N</v>
      </c>
      <c r="C1102" s="128" t="str">
        <f t="shared" si="804"/>
        <v>N</v>
      </c>
      <c r="D1102" s="117">
        <v>1799241</v>
      </c>
      <c r="E1102" s="135">
        <f t="shared" si="805"/>
        <v>6</v>
      </c>
      <c r="F1102" s="124">
        <v>40912</v>
      </c>
      <c r="G1102" s="125">
        <v>40976</v>
      </c>
      <c r="H1102" s="117">
        <v>1799241</v>
      </c>
      <c r="I1102" s="124">
        <v>40912</v>
      </c>
      <c r="J1102" s="124">
        <v>40976</v>
      </c>
      <c r="K1102" s="126">
        <v>30000</v>
      </c>
      <c r="L1102" s="129" t="s">
        <v>572</v>
      </c>
      <c r="N1102" s="129" t="str">
        <f t="shared" si="826"/>
        <v>N</v>
      </c>
      <c r="O1102" s="128" t="s">
        <v>917</v>
      </c>
      <c r="P1102" s="129" t="s">
        <v>39</v>
      </c>
      <c r="Q1102" s="111">
        <f t="shared" si="796"/>
        <v>65</v>
      </c>
      <c r="R1102" s="111">
        <f t="shared" si="786"/>
        <v>65</v>
      </c>
      <c r="S1102" s="129">
        <v>5</v>
      </c>
      <c r="T1102" s="129">
        <v>11</v>
      </c>
      <c r="U1102" s="129">
        <v>5</v>
      </c>
      <c r="W1102" s="111"/>
      <c r="AC1102" s="130"/>
      <c r="AD1102" s="130">
        <v>30504</v>
      </c>
      <c r="AE1102" s="128" t="s">
        <v>32</v>
      </c>
      <c r="AF1102" s="128" t="s">
        <v>40</v>
      </c>
      <c r="AG1102" s="128" t="s">
        <v>41</v>
      </c>
      <c r="AH1102" s="108" t="s">
        <v>41</v>
      </c>
      <c r="AI1102" s="128" t="s">
        <v>113</v>
      </c>
      <c r="AJ1102" s="129" t="s">
        <v>89</v>
      </c>
      <c r="AK1102" s="129">
        <v>4</v>
      </c>
      <c r="AL1102" s="3" t="s">
        <v>362</v>
      </c>
      <c r="AM1102" s="117">
        <v>7</v>
      </c>
      <c r="AP1102" s="129" t="s">
        <v>125</v>
      </c>
      <c r="AR1102" s="128" t="s">
        <v>50</v>
      </c>
      <c r="AS1102" s="129" t="s">
        <v>126</v>
      </c>
      <c r="BC1102" s="129" t="s">
        <v>38</v>
      </c>
      <c r="BF1102" s="111">
        <f t="shared" si="827"/>
        <v>65</v>
      </c>
      <c r="BG1102" s="111">
        <f t="shared" si="828"/>
        <v>65</v>
      </c>
      <c r="BH1102" s="111">
        <f t="shared" si="800"/>
        <v>65</v>
      </c>
      <c r="BI1102" s="111">
        <f t="shared" si="801"/>
        <v>28.437158469945356</v>
      </c>
      <c r="BJ1102" s="129">
        <f t="shared" si="806"/>
        <v>0</v>
      </c>
      <c r="BK1102" s="129">
        <f t="shared" si="802"/>
        <v>0</v>
      </c>
      <c r="BL1102" s="129" t="str">
        <f t="shared" si="788"/>
        <v>CONVICTION</v>
      </c>
      <c r="BM1102" s="129" t="str">
        <f t="shared" si="807"/>
        <v>NONE</v>
      </c>
      <c r="BN1102" s="129" t="s">
        <v>566</v>
      </c>
      <c r="BP1102" s="137" t="str">
        <f t="shared" si="808"/>
        <v>CONVICTION</v>
      </c>
      <c r="BQ1102" s="128" t="str">
        <f t="shared" si="809"/>
        <v>Y</v>
      </c>
      <c r="BR1102" s="129" t="str">
        <f t="shared" si="810"/>
        <v>DETAINED</v>
      </c>
      <c r="BS1102" s="129" t="str">
        <f t="shared" si="811"/>
        <v>DISPOSED</v>
      </c>
      <c r="BT1102" s="129" t="str">
        <f t="shared" si="812"/>
        <v>Y</v>
      </c>
      <c r="BU1102" s="109">
        <f t="shared" si="822"/>
        <v>1</v>
      </c>
      <c r="BV1102" s="109">
        <f t="shared" si="813"/>
        <v>1</v>
      </c>
      <c r="BW1102" s="109">
        <f t="shared" si="792"/>
        <v>0</v>
      </c>
      <c r="BX1102" s="111">
        <f t="shared" si="814"/>
        <v>0</v>
      </c>
      <c r="BY1102" s="129">
        <f t="shared" si="815"/>
        <v>-65</v>
      </c>
      <c r="BZ1102" s="111">
        <f t="shared" si="816"/>
        <v>0</v>
      </c>
      <c r="CA1102" s="138">
        <f t="shared" si="817"/>
        <v>65</v>
      </c>
      <c r="CB1102" s="111" t="e">
        <f t="shared" si="829"/>
        <v>#VALUE!</v>
      </c>
      <c r="CC1102" s="129">
        <f>G1102-I1102+1</f>
        <v>65</v>
      </c>
      <c r="CD1102" s="129">
        <f>G1102-J1102</f>
        <v>0</v>
      </c>
      <c r="CE1102" s="129">
        <f t="shared" si="820"/>
        <v>0</v>
      </c>
      <c r="CG1102" s="129" t="str">
        <f t="shared" si="821"/>
        <v>Y</v>
      </c>
      <c r="CI1102" s="129" t="str">
        <f t="shared" si="823"/>
        <v>61-90 DAYS</v>
      </c>
      <c r="CJ1102" s="137">
        <f t="shared" si="824"/>
        <v>4</v>
      </c>
      <c r="CK1102" s="129" t="str">
        <f t="shared" si="825"/>
        <v>Booked</v>
      </c>
    </row>
    <row r="1103" spans="1:89" ht="15.75" customHeight="1" x14ac:dyDescent="0.25">
      <c r="A1103" s="111">
        <v>742</v>
      </c>
      <c r="B1103" s="128" t="str">
        <f t="shared" si="803"/>
        <v>N</v>
      </c>
      <c r="C1103" s="128" t="str">
        <f t="shared" si="804"/>
        <v>N</v>
      </c>
      <c r="D1103" s="117">
        <v>1799556</v>
      </c>
      <c r="E1103" s="135">
        <f t="shared" si="805"/>
        <v>4</v>
      </c>
      <c r="F1103" s="124">
        <v>40938</v>
      </c>
      <c r="G1103" s="125">
        <v>40960</v>
      </c>
      <c r="H1103" s="117">
        <v>1799556</v>
      </c>
      <c r="I1103" s="124">
        <v>40938</v>
      </c>
      <c r="J1103" s="124">
        <v>40960</v>
      </c>
      <c r="K1103" s="126">
        <v>2000</v>
      </c>
      <c r="L1103" s="127" t="s">
        <v>568</v>
      </c>
      <c r="N1103" s="129" t="str">
        <f t="shared" si="826"/>
        <v>N</v>
      </c>
      <c r="O1103" s="128" t="s">
        <v>917</v>
      </c>
      <c r="P1103" s="129" t="s">
        <v>39</v>
      </c>
      <c r="Q1103" s="111">
        <f t="shared" si="796"/>
        <v>23</v>
      </c>
      <c r="R1103" s="111">
        <f t="shared" si="786"/>
        <v>23</v>
      </c>
      <c r="S1103" s="129">
        <v>0</v>
      </c>
      <c r="T1103" s="129">
        <v>4</v>
      </c>
      <c r="W1103" s="111"/>
      <c r="AB1103" s="131" t="s">
        <v>112</v>
      </c>
      <c r="AC1103" s="130"/>
      <c r="AD1103" s="130">
        <v>25331</v>
      </c>
      <c r="AE1103" s="128" t="s">
        <v>46</v>
      </c>
      <c r="AF1103" s="128" t="s">
        <v>40</v>
      </c>
      <c r="AG1103" s="128" t="s">
        <v>41</v>
      </c>
      <c r="AH1103" s="108" t="s">
        <v>31</v>
      </c>
      <c r="AI1103" s="128" t="s">
        <v>100</v>
      </c>
      <c r="AJ1103" s="129" t="s">
        <v>89</v>
      </c>
      <c r="AK1103" s="129">
        <v>3</v>
      </c>
      <c r="AL1103" s="3" t="s">
        <v>991</v>
      </c>
      <c r="AO1103" s="128">
        <v>365</v>
      </c>
      <c r="AP1103" s="129" t="s">
        <v>60</v>
      </c>
      <c r="AR1103" s="128" t="s">
        <v>44</v>
      </c>
      <c r="AS1103" s="129" t="s">
        <v>61</v>
      </c>
      <c r="BC1103" s="129" t="s">
        <v>38</v>
      </c>
      <c r="BF1103" s="111">
        <f t="shared" si="827"/>
        <v>23</v>
      </c>
      <c r="BG1103" s="111">
        <f t="shared" si="828"/>
        <v>23</v>
      </c>
      <c r="BH1103" s="111">
        <f t="shared" si="800"/>
        <v>23</v>
      </c>
      <c r="BI1103" s="111">
        <f t="shared" si="801"/>
        <v>42.642076502732237</v>
      </c>
      <c r="BJ1103" s="129">
        <f t="shared" si="806"/>
        <v>0</v>
      </c>
      <c r="BK1103" s="129">
        <f t="shared" si="802"/>
        <v>0</v>
      </c>
      <c r="BL1103" s="129" t="str">
        <f t="shared" si="788"/>
        <v>CONVICTION</v>
      </c>
      <c r="BM1103" s="129" t="str">
        <f t="shared" si="807"/>
        <v>NONE</v>
      </c>
      <c r="BN1103" s="129" t="s">
        <v>566</v>
      </c>
      <c r="BP1103" s="137" t="str">
        <f t="shared" si="808"/>
        <v>CONVICTION</v>
      </c>
      <c r="BQ1103" s="128" t="str">
        <f t="shared" si="809"/>
        <v>Y</v>
      </c>
      <c r="BR1103" s="129" t="str">
        <f t="shared" si="810"/>
        <v>DETAINED</v>
      </c>
      <c r="BS1103" s="129" t="str">
        <f t="shared" si="811"/>
        <v>DISPOSED</v>
      </c>
      <c r="BT1103" s="129" t="str">
        <f t="shared" si="812"/>
        <v>N</v>
      </c>
      <c r="BU1103" s="109">
        <f t="shared" si="822"/>
        <v>1</v>
      </c>
      <c r="BV1103" s="109">
        <f t="shared" si="813"/>
        <v>1</v>
      </c>
      <c r="BW1103" s="109">
        <f t="shared" si="792"/>
        <v>0</v>
      </c>
      <c r="BX1103" s="111">
        <f t="shared" si="814"/>
        <v>0</v>
      </c>
      <c r="BY1103" s="129">
        <f t="shared" si="815"/>
        <v>-23</v>
      </c>
      <c r="BZ1103" s="111">
        <f t="shared" si="816"/>
        <v>0</v>
      </c>
      <c r="CA1103" s="138">
        <f t="shared" si="817"/>
        <v>23</v>
      </c>
      <c r="CB1103" s="111" t="e">
        <f t="shared" si="829"/>
        <v>#VALUE!</v>
      </c>
      <c r="CC1103" s="129">
        <f>G1103-I1103+1</f>
        <v>23</v>
      </c>
      <c r="CD1103" s="129">
        <f>G1103-J1103</f>
        <v>0</v>
      </c>
      <c r="CE1103" s="129">
        <f t="shared" si="820"/>
        <v>0</v>
      </c>
      <c r="CG1103" s="129" t="str">
        <f t="shared" si="821"/>
        <v>Y</v>
      </c>
      <c r="CI1103" s="129" t="str">
        <f t="shared" si="823"/>
        <v>11-30 DAYS</v>
      </c>
      <c r="CJ1103" s="137">
        <f t="shared" si="824"/>
        <v>2</v>
      </c>
      <c r="CK1103" s="129" t="str">
        <f t="shared" si="825"/>
        <v>Booked</v>
      </c>
    </row>
    <row r="1104" spans="1:89" ht="15" customHeight="1" x14ac:dyDescent="0.25">
      <c r="A1104" s="111">
        <v>17</v>
      </c>
      <c r="B1104" s="128" t="str">
        <f t="shared" si="803"/>
        <v>Y</v>
      </c>
      <c r="C1104" s="128" t="str">
        <f t="shared" si="804"/>
        <v>Y</v>
      </c>
      <c r="D1104" s="117">
        <v>1800669</v>
      </c>
      <c r="E1104" s="135">
        <f t="shared" si="805"/>
        <v>4</v>
      </c>
      <c r="F1104" s="124">
        <v>40910</v>
      </c>
      <c r="G1104" s="125">
        <v>41103</v>
      </c>
      <c r="H1104" s="117">
        <v>1800669</v>
      </c>
      <c r="I1104" s="124">
        <v>41003</v>
      </c>
      <c r="J1104" s="124">
        <v>41103</v>
      </c>
      <c r="K1104" s="126">
        <v>20000</v>
      </c>
      <c r="L1104" s="127" t="s">
        <v>571</v>
      </c>
      <c r="M1104" s="125">
        <v>40910</v>
      </c>
      <c r="N1104" s="129" t="str">
        <f t="shared" si="826"/>
        <v>Y</v>
      </c>
      <c r="O1104" s="128" t="s">
        <v>76</v>
      </c>
      <c r="P1104" s="129" t="s">
        <v>39</v>
      </c>
      <c r="Q1104" s="111">
        <f t="shared" si="796"/>
        <v>101</v>
      </c>
      <c r="R1104" s="111">
        <f t="shared" si="786"/>
        <v>194</v>
      </c>
      <c r="S1104" s="129">
        <v>2</v>
      </c>
      <c r="T1104" s="129">
        <v>5</v>
      </c>
      <c r="U1104" s="129">
        <v>2</v>
      </c>
      <c r="W1104" s="111"/>
      <c r="AC1104" s="130"/>
      <c r="AD1104" s="130">
        <v>30229</v>
      </c>
      <c r="AE1104" s="128" t="s">
        <v>32</v>
      </c>
      <c r="AF1104" s="128" t="s">
        <v>69</v>
      </c>
      <c r="AG1104" s="128" t="s">
        <v>874</v>
      </c>
      <c r="AH1104" s="108" t="s">
        <v>58</v>
      </c>
      <c r="AI1104" s="128" t="s">
        <v>87</v>
      </c>
      <c r="AJ1104" s="129" t="s">
        <v>89</v>
      </c>
      <c r="AK1104" s="129">
        <v>8</v>
      </c>
      <c r="AL1104" s="3" t="s">
        <v>991</v>
      </c>
      <c r="AO1104" s="128">
        <v>365</v>
      </c>
      <c r="AP1104" s="129" t="s">
        <v>56</v>
      </c>
      <c r="AR1104" s="128" t="s">
        <v>50</v>
      </c>
      <c r="AS1104" s="129" t="s">
        <v>57</v>
      </c>
      <c r="AU1104" s="121">
        <v>41002</v>
      </c>
      <c r="AW1104" s="125"/>
      <c r="AX1104" s="32" t="s">
        <v>88</v>
      </c>
      <c r="BC1104" s="129" t="s">
        <v>38</v>
      </c>
      <c r="BD1104" s="123" t="s">
        <v>1063</v>
      </c>
      <c r="BF1104" s="111">
        <f>IF(J1104&gt;1/1/1900,((G1104+1)-I1104),"STILL OPEN")</f>
        <v>101</v>
      </c>
      <c r="BG1104" s="111">
        <f t="shared" si="828"/>
        <v>101</v>
      </c>
      <c r="BH1104" s="111">
        <f t="shared" si="800"/>
        <v>194</v>
      </c>
      <c r="BI1104" s="111">
        <f t="shared" si="801"/>
        <v>29.183060109289617</v>
      </c>
      <c r="BJ1104" s="129">
        <f>G1104-J1104</f>
        <v>0</v>
      </c>
      <c r="BK1104" s="129">
        <f t="shared" si="802"/>
        <v>0</v>
      </c>
      <c r="BL1104" s="129" t="str">
        <f t="shared" si="788"/>
        <v>CONVICTION</v>
      </c>
      <c r="BM1104" s="129" t="s">
        <v>76</v>
      </c>
      <c r="BN1104" s="129" t="s">
        <v>88</v>
      </c>
      <c r="BP1104" s="137" t="str">
        <f t="shared" si="808"/>
        <v>CONVICTION</v>
      </c>
      <c r="BQ1104" s="128" t="str">
        <f t="shared" si="809"/>
        <v>Y</v>
      </c>
      <c r="BR1104" s="129" t="s">
        <v>574</v>
      </c>
      <c r="BS1104" s="129" t="str">
        <f t="shared" si="811"/>
        <v>DISPOSED</v>
      </c>
      <c r="BT1104" s="129" t="str">
        <f t="shared" si="812"/>
        <v>Y</v>
      </c>
      <c r="BU1104" s="109">
        <f t="shared" si="822"/>
        <v>0.52061855670103097</v>
      </c>
      <c r="BV1104" s="109">
        <f t="shared" si="813"/>
        <v>1</v>
      </c>
      <c r="BW1104" s="109">
        <f t="shared" si="792"/>
        <v>0.47938144329896903</v>
      </c>
      <c r="BX1104" s="111">
        <f t="shared" si="814"/>
        <v>0</v>
      </c>
      <c r="BY1104" s="129">
        <f t="shared" si="815"/>
        <v>-101</v>
      </c>
      <c r="BZ1104" s="111">
        <f t="shared" si="816"/>
        <v>0</v>
      </c>
      <c r="CA1104" s="138">
        <f t="shared" si="817"/>
        <v>101</v>
      </c>
      <c r="CB1104" s="111" t="e">
        <f t="shared" si="829"/>
        <v>#VALUE!</v>
      </c>
      <c r="CC1104" s="129">
        <f>G1104-I1104+1</f>
        <v>101</v>
      </c>
      <c r="CD1104" s="129">
        <f>G1104-J1104</f>
        <v>0</v>
      </c>
      <c r="CE1104" s="129">
        <f t="shared" si="820"/>
        <v>0</v>
      </c>
      <c r="CG1104" s="129" t="str">
        <f t="shared" si="821"/>
        <v>Y</v>
      </c>
      <c r="CI1104" s="129" t="str">
        <f t="shared" si="823"/>
        <v>91-120 DAYS</v>
      </c>
      <c r="CJ1104" s="137">
        <f t="shared" si="824"/>
        <v>0</v>
      </c>
      <c r="CK1104" s="129" t="str">
        <f t="shared" si="825"/>
        <v>Booked</v>
      </c>
    </row>
    <row r="1105" spans="1:89" ht="15.75" customHeight="1" x14ac:dyDescent="0.25">
      <c r="A1105" s="111">
        <v>369</v>
      </c>
      <c r="B1105" s="128" t="str">
        <f t="shared" si="803"/>
        <v>N</v>
      </c>
      <c r="C1105" s="128" t="str">
        <f t="shared" si="804"/>
        <v>N</v>
      </c>
      <c r="D1105" s="117">
        <v>1800922</v>
      </c>
      <c r="E1105" s="135">
        <f t="shared" si="805"/>
        <v>3</v>
      </c>
      <c r="F1105" s="124">
        <v>40924</v>
      </c>
      <c r="G1105" s="125">
        <v>40954</v>
      </c>
      <c r="H1105" s="117">
        <v>1800922</v>
      </c>
      <c r="I1105" s="124">
        <v>40924</v>
      </c>
      <c r="J1105" s="124">
        <v>40926</v>
      </c>
      <c r="K1105" s="126">
        <v>20000</v>
      </c>
      <c r="L1105" s="127" t="s">
        <v>571</v>
      </c>
      <c r="M1105" s="125">
        <v>40926</v>
      </c>
      <c r="N1105" s="129" t="str">
        <f t="shared" si="826"/>
        <v>Y</v>
      </c>
      <c r="O1105" s="128" t="s">
        <v>76</v>
      </c>
      <c r="P1105" s="129" t="s">
        <v>39</v>
      </c>
      <c r="Q1105" s="111">
        <f t="shared" si="796"/>
        <v>3</v>
      </c>
      <c r="R1105" s="111">
        <f t="shared" si="786"/>
        <v>31</v>
      </c>
      <c r="S1105" s="129">
        <v>3</v>
      </c>
      <c r="T1105" s="129">
        <v>3</v>
      </c>
      <c r="W1105" s="111"/>
      <c r="AC1105" s="130"/>
      <c r="AD1105" s="130">
        <v>29435</v>
      </c>
      <c r="AE1105" s="128" t="s">
        <v>32</v>
      </c>
      <c r="AF1105" s="128" t="s">
        <v>33</v>
      </c>
      <c r="AG1105" s="128" t="s">
        <v>872</v>
      </c>
      <c r="AH1105" s="108" t="s">
        <v>58</v>
      </c>
      <c r="AI1105" s="128" t="s">
        <v>34</v>
      </c>
      <c r="AJ1105" s="129" t="s">
        <v>89</v>
      </c>
      <c r="AK1105" s="129">
        <v>2</v>
      </c>
      <c r="AL1105" s="3" t="s">
        <v>185</v>
      </c>
      <c r="AP1105" s="129" t="s">
        <v>66</v>
      </c>
      <c r="AR1105" s="128" t="s">
        <v>67</v>
      </c>
      <c r="AS1105" s="129" t="s">
        <v>68</v>
      </c>
      <c r="BC1105" s="129" t="s">
        <v>99</v>
      </c>
      <c r="BF1105" s="111">
        <f t="shared" si="827"/>
        <v>3</v>
      </c>
      <c r="BG1105" s="111">
        <f t="shared" si="828"/>
        <v>31</v>
      </c>
      <c r="BH1105" s="111">
        <f t="shared" si="800"/>
        <v>31</v>
      </c>
      <c r="BI1105" s="111">
        <f t="shared" si="801"/>
        <v>31.39071038251366</v>
      </c>
      <c r="BJ1105" s="129">
        <f>(G1105-J1105)+(M1105-G1105)</f>
        <v>0</v>
      </c>
      <c r="BK1105" s="129">
        <f t="shared" si="802"/>
        <v>-28</v>
      </c>
      <c r="BL1105" s="129" t="str">
        <f t="shared" si="788"/>
        <v>CONVICTION</v>
      </c>
      <c r="BM1105" s="129" t="s">
        <v>76</v>
      </c>
      <c r="BN1105" s="129" t="s">
        <v>88</v>
      </c>
      <c r="BP1105" s="137" t="str">
        <f t="shared" si="808"/>
        <v>CONVICTION</v>
      </c>
      <c r="BQ1105" s="128" t="str">
        <f t="shared" si="809"/>
        <v>Y</v>
      </c>
      <c r="BR1105" s="129" t="str">
        <f>IF(J1105&lt;G1105,"ON BOND",0)</f>
        <v>ON BOND</v>
      </c>
      <c r="BS1105" s="129" t="str">
        <f t="shared" si="811"/>
        <v>DISPOSED</v>
      </c>
      <c r="BT1105" s="129" t="str">
        <f t="shared" si="812"/>
        <v>Y</v>
      </c>
      <c r="BU1105" s="109">
        <f t="shared" si="822"/>
        <v>9.6774193548387094E-2</v>
      </c>
      <c r="BV1105" s="109">
        <f t="shared" si="813"/>
        <v>9.6774193548387094E-2</v>
      </c>
      <c r="BW1105" s="109">
        <f t="shared" si="792"/>
        <v>0</v>
      </c>
      <c r="BX1105" s="111">
        <f t="shared" si="814"/>
        <v>0</v>
      </c>
      <c r="BY1105" s="129">
        <f t="shared" si="815"/>
        <v>-3</v>
      </c>
      <c r="BZ1105" s="111">
        <f t="shared" si="816"/>
        <v>0</v>
      </c>
      <c r="CA1105" s="138">
        <f t="shared" si="817"/>
        <v>3</v>
      </c>
      <c r="CB1105" s="111" t="e">
        <f t="shared" si="829"/>
        <v>#VALUE!</v>
      </c>
      <c r="CC1105" s="129">
        <f>M1105-I1105+1</f>
        <v>3</v>
      </c>
      <c r="CD1105" s="111">
        <f>CC1105-BF1105</f>
        <v>0</v>
      </c>
      <c r="CE1105" s="129">
        <f t="shared" si="820"/>
        <v>28</v>
      </c>
      <c r="CG1105" s="129" t="str">
        <f t="shared" si="821"/>
        <v>Y</v>
      </c>
      <c r="CI1105" s="129" t="str">
        <f t="shared" si="823"/>
        <v>0-10 DAYS</v>
      </c>
      <c r="CJ1105" s="137">
        <f t="shared" si="824"/>
        <v>1</v>
      </c>
      <c r="CK1105" s="129" t="str">
        <f t="shared" si="825"/>
        <v>Booked</v>
      </c>
    </row>
    <row r="1106" spans="1:89" ht="15.75" customHeight="1" x14ac:dyDescent="0.25">
      <c r="A1106" s="111">
        <v>549</v>
      </c>
      <c r="B1106" s="128" t="str">
        <f t="shared" si="803"/>
        <v>N</v>
      </c>
      <c r="C1106" s="128" t="str">
        <f t="shared" si="804"/>
        <v>N</v>
      </c>
      <c r="D1106" s="117">
        <v>1801210</v>
      </c>
      <c r="E1106" s="135">
        <f t="shared" si="805"/>
        <v>4</v>
      </c>
      <c r="F1106" s="124">
        <v>40930</v>
      </c>
      <c r="G1106" s="125">
        <v>41102</v>
      </c>
      <c r="H1106" s="117">
        <v>1801210</v>
      </c>
      <c r="I1106" s="124">
        <v>40931</v>
      </c>
      <c r="J1106" s="124">
        <v>41102</v>
      </c>
      <c r="K1106" s="126">
        <v>10000</v>
      </c>
      <c r="L1106" s="127" t="s">
        <v>570</v>
      </c>
      <c r="N1106" s="129" t="str">
        <f t="shared" si="826"/>
        <v>N</v>
      </c>
      <c r="O1106" s="128" t="s">
        <v>917</v>
      </c>
      <c r="P1106" s="129" t="s">
        <v>548</v>
      </c>
      <c r="Q1106" s="111">
        <f t="shared" si="796"/>
        <v>172</v>
      </c>
      <c r="R1106" s="111">
        <f t="shared" ref="R1106:R1169" si="830">BH1106</f>
        <v>173</v>
      </c>
      <c r="S1106" s="129">
        <v>0</v>
      </c>
      <c r="T1106" s="129">
        <v>1</v>
      </c>
      <c r="W1106" s="111"/>
      <c r="AC1106" s="130"/>
      <c r="AD1106" s="130">
        <v>30167</v>
      </c>
      <c r="AE1106" s="128" t="s">
        <v>32</v>
      </c>
      <c r="AF1106" s="128" t="s">
        <v>33</v>
      </c>
      <c r="AG1106" s="128" t="s">
        <v>872</v>
      </c>
      <c r="AH1106" s="108" t="s">
        <v>58</v>
      </c>
      <c r="AI1106" s="128" t="s">
        <v>95</v>
      </c>
      <c r="AJ1106" s="129" t="s">
        <v>89</v>
      </c>
      <c r="AK1106" s="129">
        <v>7</v>
      </c>
      <c r="AL1106" s="3" t="s">
        <v>991</v>
      </c>
      <c r="AO1106" s="128">
        <v>365</v>
      </c>
      <c r="AP1106" s="129" t="s">
        <v>158</v>
      </c>
      <c r="AR1106" s="128" t="s">
        <v>67</v>
      </c>
      <c r="AS1106" s="129" t="s">
        <v>64</v>
      </c>
      <c r="BC1106" s="129" t="s">
        <v>38</v>
      </c>
      <c r="BF1106" s="111">
        <f t="shared" si="827"/>
        <v>172</v>
      </c>
      <c r="BG1106" s="111">
        <f t="shared" si="828"/>
        <v>172</v>
      </c>
      <c r="BH1106" s="111">
        <f t="shared" si="800"/>
        <v>173</v>
      </c>
      <c r="BI1106" s="111">
        <f t="shared" si="801"/>
        <v>29.407103825136613</v>
      </c>
      <c r="BJ1106" s="129">
        <f t="shared" si="806"/>
        <v>0</v>
      </c>
      <c r="BK1106" s="129">
        <f t="shared" si="802"/>
        <v>0</v>
      </c>
      <c r="BL1106" s="129" t="str">
        <f t="shared" si="788"/>
        <v>CONVICTION</v>
      </c>
      <c r="BM1106" s="129" t="str">
        <f t="shared" si="807"/>
        <v>NONE</v>
      </c>
      <c r="BN1106" s="129" t="s">
        <v>566</v>
      </c>
      <c r="BP1106" s="137" t="str">
        <f t="shared" si="808"/>
        <v>CONVICTION</v>
      </c>
      <c r="BQ1106" s="128" t="str">
        <f t="shared" si="809"/>
        <v>Y</v>
      </c>
      <c r="BR1106" s="129" t="str">
        <f t="shared" si="810"/>
        <v>DETAINED</v>
      </c>
      <c r="BS1106" s="129" t="str">
        <f t="shared" si="811"/>
        <v>DISPOSED</v>
      </c>
      <c r="BT1106" s="129" t="str">
        <f t="shared" si="812"/>
        <v>N</v>
      </c>
      <c r="BU1106" s="109">
        <f t="shared" si="822"/>
        <v>0.9942196531791907</v>
      </c>
      <c r="BV1106" s="109">
        <f t="shared" si="813"/>
        <v>1</v>
      </c>
      <c r="BW1106" s="109">
        <f t="shared" si="792"/>
        <v>5.7803468208093012E-3</v>
      </c>
      <c r="BX1106" s="111">
        <f t="shared" si="814"/>
        <v>0</v>
      </c>
      <c r="BY1106" s="129">
        <f t="shared" si="815"/>
        <v>-172</v>
      </c>
      <c r="BZ1106" s="111">
        <f t="shared" si="816"/>
        <v>0</v>
      </c>
      <c r="CA1106" s="138">
        <f t="shared" si="817"/>
        <v>172</v>
      </c>
      <c r="CB1106" s="111" t="e">
        <f t="shared" si="829"/>
        <v>#VALUE!</v>
      </c>
      <c r="CC1106" s="129">
        <f>G1106-I1106+1</f>
        <v>172</v>
      </c>
      <c r="CD1106" s="129">
        <f>G1106-J1106</f>
        <v>0</v>
      </c>
      <c r="CE1106" s="129">
        <f t="shared" si="820"/>
        <v>0</v>
      </c>
      <c r="CG1106" s="129" t="str">
        <f t="shared" si="821"/>
        <v>Y</v>
      </c>
      <c r="CI1106" s="129" t="str">
        <f t="shared" si="823"/>
        <v>121-365 DAYS</v>
      </c>
      <c r="CJ1106" s="137">
        <f t="shared" si="824"/>
        <v>6</v>
      </c>
      <c r="CK1106" s="129" t="str">
        <f t="shared" si="825"/>
        <v>Booked</v>
      </c>
    </row>
    <row r="1107" spans="1:89" ht="15.75" customHeight="1" x14ac:dyDescent="0.25">
      <c r="A1107" s="111">
        <v>869</v>
      </c>
      <c r="B1107" s="128" t="str">
        <f t="shared" si="803"/>
        <v>N</v>
      </c>
      <c r="C1107" s="128" t="str">
        <f t="shared" si="804"/>
        <v>N</v>
      </c>
      <c r="D1107" s="117">
        <v>1802254</v>
      </c>
      <c r="E1107" s="135">
        <f t="shared" si="805"/>
        <v>5</v>
      </c>
      <c r="F1107" s="124">
        <v>40941</v>
      </c>
      <c r="G1107" s="125">
        <v>41078</v>
      </c>
      <c r="H1107" s="117">
        <v>1802254</v>
      </c>
      <c r="I1107" s="124">
        <v>40941</v>
      </c>
      <c r="J1107" s="124">
        <v>41078</v>
      </c>
      <c r="K1107" s="126" t="s">
        <v>564</v>
      </c>
      <c r="L1107" s="127" t="s">
        <v>564</v>
      </c>
      <c r="N1107" s="129" t="s">
        <v>566</v>
      </c>
      <c r="O1107" s="128" t="s">
        <v>917</v>
      </c>
      <c r="P1107" s="129" t="s">
        <v>39</v>
      </c>
      <c r="Q1107" s="111">
        <f t="shared" si="796"/>
        <v>138</v>
      </c>
      <c r="R1107" s="111">
        <f t="shared" si="830"/>
        <v>138</v>
      </c>
      <c r="S1107" s="129">
        <v>2</v>
      </c>
      <c r="T1107" s="129">
        <v>1</v>
      </c>
      <c r="U1107" s="129">
        <v>2</v>
      </c>
      <c r="W1107" s="111"/>
      <c r="AC1107" s="130"/>
      <c r="AD1107" s="130">
        <v>27955</v>
      </c>
      <c r="AE1107" s="128" t="s">
        <v>32</v>
      </c>
      <c r="AF1107" s="128" t="s">
        <v>33</v>
      </c>
      <c r="AG1107" s="128" t="s">
        <v>872</v>
      </c>
      <c r="AH1107" s="108" t="s">
        <v>58</v>
      </c>
      <c r="AI1107" s="128" t="s">
        <v>34</v>
      </c>
      <c r="AJ1107" s="129" t="s">
        <v>89</v>
      </c>
      <c r="AK1107" s="129">
        <v>6</v>
      </c>
      <c r="AL1107" s="3" t="s">
        <v>992</v>
      </c>
      <c r="AN1107" s="117">
        <v>12</v>
      </c>
      <c r="AP1107" s="129" t="s">
        <v>132</v>
      </c>
      <c r="AR1107" s="128" t="s">
        <v>92</v>
      </c>
      <c r="AS1107" s="129" t="s">
        <v>82</v>
      </c>
      <c r="BC1107" s="129" t="s">
        <v>52</v>
      </c>
      <c r="BF1107" s="111">
        <f t="shared" si="827"/>
        <v>138</v>
      </c>
      <c r="BG1107" s="111">
        <f t="shared" si="828"/>
        <v>138</v>
      </c>
      <c r="BH1107" s="111">
        <f t="shared" si="800"/>
        <v>138</v>
      </c>
      <c r="BI1107" s="111">
        <f t="shared" si="801"/>
        <v>35.480874316939889</v>
      </c>
      <c r="BJ1107" s="129">
        <f t="shared" si="806"/>
        <v>0</v>
      </c>
      <c r="BK1107" s="129">
        <f t="shared" si="802"/>
        <v>0</v>
      </c>
      <c r="BL1107" s="129" t="str">
        <f t="shared" si="788"/>
        <v>CONVICTION</v>
      </c>
      <c r="BM1107" s="129" t="str">
        <f t="shared" si="807"/>
        <v>NONE</v>
      </c>
      <c r="BN1107" s="129" t="s">
        <v>566</v>
      </c>
      <c r="BP1107" s="137" t="str">
        <f t="shared" si="808"/>
        <v>CONVICTION</v>
      </c>
      <c r="BQ1107" s="128" t="str">
        <f t="shared" si="809"/>
        <v>Y</v>
      </c>
      <c r="BR1107" s="129" t="str">
        <f t="shared" si="810"/>
        <v>DETAINED</v>
      </c>
      <c r="BS1107" s="129" t="str">
        <f t="shared" si="811"/>
        <v>DISPOSED</v>
      </c>
      <c r="BT1107" s="129" t="str">
        <f t="shared" si="812"/>
        <v>Y</v>
      </c>
      <c r="BU1107" s="109">
        <f t="shared" si="822"/>
        <v>1</v>
      </c>
      <c r="BV1107" s="109">
        <f t="shared" si="813"/>
        <v>1</v>
      </c>
      <c r="BW1107" s="109">
        <f t="shared" si="792"/>
        <v>0</v>
      </c>
      <c r="BX1107" s="111">
        <f t="shared" si="814"/>
        <v>0</v>
      </c>
      <c r="BY1107" s="129">
        <f t="shared" si="815"/>
        <v>-138</v>
      </c>
      <c r="BZ1107" s="111">
        <f t="shared" si="816"/>
        <v>0</v>
      </c>
      <c r="CA1107" s="138">
        <f t="shared" si="817"/>
        <v>138</v>
      </c>
      <c r="CB1107" s="111" t="e">
        <f t="shared" si="829"/>
        <v>#VALUE!</v>
      </c>
      <c r="CC1107" s="129">
        <f>G1107-I1107+1</f>
        <v>138</v>
      </c>
      <c r="CD1107" s="129">
        <f>G1107-J1107</f>
        <v>0</v>
      </c>
      <c r="CE1107" s="129">
        <f t="shared" si="820"/>
        <v>0</v>
      </c>
      <c r="CG1107" s="129" t="str">
        <f t="shared" si="821"/>
        <v>Y</v>
      </c>
      <c r="CI1107" s="129" t="str">
        <f t="shared" si="823"/>
        <v>121-365 DAYS</v>
      </c>
      <c r="CJ1107" s="137">
        <f t="shared" si="824"/>
        <v>6</v>
      </c>
      <c r="CK1107" s="129" t="str">
        <f t="shared" si="825"/>
        <v>Booked</v>
      </c>
    </row>
    <row r="1108" spans="1:89" ht="15.75" customHeight="1" x14ac:dyDescent="0.25">
      <c r="A1108" s="111">
        <v>2461</v>
      </c>
      <c r="B1108" s="128" t="str">
        <f t="shared" si="803"/>
        <v>N</v>
      </c>
      <c r="C1108" s="128" t="str">
        <f t="shared" si="804"/>
        <v>N</v>
      </c>
      <c r="D1108" s="117">
        <v>1802727</v>
      </c>
      <c r="E1108" s="135">
        <f t="shared" si="805"/>
        <v>1</v>
      </c>
      <c r="F1108" s="124">
        <v>41002</v>
      </c>
      <c r="G1108" s="125">
        <v>41439</v>
      </c>
      <c r="H1108" s="117">
        <v>1802727</v>
      </c>
      <c r="I1108" s="124">
        <v>41002</v>
      </c>
      <c r="J1108" s="124">
        <v>41006</v>
      </c>
      <c r="K1108" s="126">
        <v>20000</v>
      </c>
      <c r="L1108" s="127" t="s">
        <v>571</v>
      </c>
      <c r="M1108" s="125">
        <v>41006</v>
      </c>
      <c r="N1108" s="129" t="str">
        <f>IF(M1108&gt;1/1/1,"Y","N")</f>
        <v>Y</v>
      </c>
      <c r="O1108" s="128" t="s">
        <v>76</v>
      </c>
      <c r="P1108" s="129" t="s">
        <v>55</v>
      </c>
      <c r="Q1108" s="111">
        <f t="shared" si="796"/>
        <v>5</v>
      </c>
      <c r="R1108" s="111">
        <f t="shared" si="830"/>
        <v>438</v>
      </c>
      <c r="S1108" s="129">
        <v>2</v>
      </c>
      <c r="T1108" s="129">
        <v>1</v>
      </c>
      <c r="U1108" s="129">
        <v>1</v>
      </c>
      <c r="W1108" s="111"/>
      <c r="AC1108" s="130"/>
      <c r="AD1108" s="130">
        <v>28569</v>
      </c>
      <c r="AE1108" s="128" t="s">
        <v>46</v>
      </c>
      <c r="AF1108" s="128" t="s">
        <v>33</v>
      </c>
      <c r="AG1108" s="128" t="s">
        <v>872</v>
      </c>
      <c r="AH1108" s="108" t="s">
        <v>31</v>
      </c>
      <c r="AI1108" s="128" t="s">
        <v>80</v>
      </c>
      <c r="AJ1108" s="129" t="s">
        <v>55</v>
      </c>
      <c r="AK1108" s="129">
        <v>13</v>
      </c>
      <c r="AL1108" s="3" t="s">
        <v>55</v>
      </c>
      <c r="AP1108" s="129" t="s">
        <v>234</v>
      </c>
      <c r="AR1108" s="128" t="s">
        <v>50</v>
      </c>
      <c r="AS1108" s="129" t="s">
        <v>45</v>
      </c>
      <c r="BC1108" s="129" t="s">
        <v>52</v>
      </c>
      <c r="BF1108" s="111">
        <f t="shared" si="827"/>
        <v>5</v>
      </c>
      <c r="BG1108" s="111">
        <f t="shared" si="828"/>
        <v>438</v>
      </c>
      <c r="BH1108" s="111">
        <f t="shared" si="800"/>
        <v>438</v>
      </c>
      <c r="BI1108" s="111">
        <f t="shared" si="801"/>
        <v>33.969945355191257</v>
      </c>
      <c r="BJ1108" s="129">
        <f>(G1108-J1108)+(M1108-G1108)</f>
        <v>0</v>
      </c>
      <c r="BK1108" s="129">
        <f t="shared" si="802"/>
        <v>-433</v>
      </c>
      <c r="BL1108" s="129" t="str">
        <f t="shared" si="788"/>
        <v>NO CONVICTION</v>
      </c>
      <c r="BM1108" s="129" t="s">
        <v>76</v>
      </c>
      <c r="BN1108" s="129" t="s">
        <v>88</v>
      </c>
      <c r="BP1108" s="137" t="str">
        <f t="shared" si="808"/>
        <v>NO CONVICTION</v>
      </c>
      <c r="BQ1108" s="128" t="str">
        <f t="shared" si="809"/>
        <v>Y</v>
      </c>
      <c r="BR1108" s="129" t="str">
        <f t="shared" si="810"/>
        <v>ON BOND</v>
      </c>
      <c r="BS1108" s="129" t="str">
        <f t="shared" si="811"/>
        <v>DISPOSED</v>
      </c>
      <c r="BT1108" s="129" t="str">
        <f t="shared" si="812"/>
        <v>Y</v>
      </c>
      <c r="BU1108" s="109">
        <f>IFERROR(Q1108/R1108,BR1108)</f>
        <v>1.1415525114155251E-2</v>
      </c>
      <c r="BV1108" s="109">
        <f t="shared" si="813"/>
        <v>1.1415525114155251E-2</v>
      </c>
      <c r="BW1108" s="109">
        <f t="shared" si="792"/>
        <v>0</v>
      </c>
      <c r="BX1108" s="111">
        <f t="shared" si="814"/>
        <v>0</v>
      </c>
      <c r="BY1108" s="129">
        <f t="shared" si="815"/>
        <v>-5</v>
      </c>
      <c r="BZ1108" s="111">
        <f t="shared" si="816"/>
        <v>0</v>
      </c>
      <c r="CA1108" s="138">
        <f t="shared" si="817"/>
        <v>5</v>
      </c>
      <c r="CB1108" s="111" t="e">
        <f t="shared" si="829"/>
        <v>#VALUE!</v>
      </c>
      <c r="CC1108" s="129">
        <f>M1108-I1108+1</f>
        <v>5</v>
      </c>
      <c r="CD1108" s="111">
        <f>CC1108-BF1108</f>
        <v>0</v>
      </c>
      <c r="CE1108" s="129">
        <f t="shared" si="820"/>
        <v>433</v>
      </c>
      <c r="CG1108" s="129" t="str">
        <f t="shared" si="821"/>
        <v>Y</v>
      </c>
      <c r="CI1108" s="129" t="str">
        <f t="shared" si="823"/>
        <v>0-10 DAYS</v>
      </c>
      <c r="CJ1108" s="137">
        <f t="shared" si="824"/>
        <v>1</v>
      </c>
      <c r="CK1108" s="129" t="str">
        <f t="shared" si="825"/>
        <v>Booked</v>
      </c>
    </row>
    <row r="1109" spans="1:89" ht="15" customHeight="1" x14ac:dyDescent="0.25">
      <c r="A1109" s="111">
        <v>2490</v>
      </c>
      <c r="B1109" s="128" t="str">
        <f t="shared" si="803"/>
        <v>N</v>
      </c>
      <c r="C1109" s="128" t="str">
        <f t="shared" si="804"/>
        <v>N</v>
      </c>
      <c r="D1109" s="117">
        <v>1803040</v>
      </c>
      <c r="E1109" s="135">
        <f t="shared" si="805"/>
        <v>4</v>
      </c>
      <c r="F1109" s="124">
        <v>41002</v>
      </c>
      <c r="G1109" s="125">
        <v>41109</v>
      </c>
      <c r="H1109" s="117">
        <v>1803040</v>
      </c>
      <c r="I1109" s="124">
        <v>41003</v>
      </c>
      <c r="J1109" s="124">
        <v>41109</v>
      </c>
      <c r="K1109" s="126">
        <v>10000</v>
      </c>
      <c r="L1109" s="127" t="s">
        <v>570</v>
      </c>
      <c r="N1109" s="129" t="str">
        <f>IF(M1109&gt;1/1/1,"Y","N")</f>
        <v>N</v>
      </c>
      <c r="O1109" s="128" t="s">
        <v>917</v>
      </c>
      <c r="P1109" s="129" t="s">
        <v>39</v>
      </c>
      <c r="Q1109" s="111">
        <f t="shared" si="796"/>
        <v>107</v>
      </c>
      <c r="R1109" s="111">
        <f t="shared" si="830"/>
        <v>108</v>
      </c>
      <c r="S1109" s="129">
        <v>2</v>
      </c>
      <c r="T1109" s="129">
        <v>5</v>
      </c>
      <c r="U1109" s="129">
        <v>1</v>
      </c>
      <c r="V1109" s="117">
        <v>1</v>
      </c>
      <c r="W1109" s="111"/>
      <c r="AB1109" s="131" t="s">
        <v>112</v>
      </c>
      <c r="AC1109" s="130"/>
      <c r="AD1109" s="130">
        <v>30391</v>
      </c>
      <c r="AE1109" s="128" t="s">
        <v>46</v>
      </c>
      <c r="AF1109" s="128" t="s">
        <v>40</v>
      </c>
      <c r="AG1109" s="128" t="s">
        <v>41</v>
      </c>
      <c r="AH1109" s="108" t="s">
        <v>31</v>
      </c>
      <c r="AI1109" s="128" t="s">
        <v>47</v>
      </c>
      <c r="AJ1109" s="129" t="s">
        <v>89</v>
      </c>
      <c r="AK1109" s="129">
        <v>6</v>
      </c>
      <c r="AL1109" s="3" t="s">
        <v>991</v>
      </c>
      <c r="AO1109" s="128">
        <v>180</v>
      </c>
      <c r="AP1109" s="129" t="s">
        <v>186</v>
      </c>
      <c r="AR1109" s="128" t="s">
        <v>50</v>
      </c>
      <c r="AS1109" s="129" t="s">
        <v>106</v>
      </c>
      <c r="BC1109" s="129" t="s">
        <v>52</v>
      </c>
      <c r="BF1109" s="111">
        <f t="shared" si="827"/>
        <v>107</v>
      </c>
      <c r="BG1109" s="111">
        <f t="shared" si="828"/>
        <v>107</v>
      </c>
      <c r="BH1109" s="111">
        <f t="shared" si="800"/>
        <v>108</v>
      </c>
      <c r="BI1109" s="111">
        <f t="shared" si="801"/>
        <v>28.991803278688526</v>
      </c>
      <c r="BJ1109" s="129">
        <f t="shared" si="806"/>
        <v>0</v>
      </c>
      <c r="BK1109" s="129">
        <f t="shared" si="802"/>
        <v>0</v>
      </c>
      <c r="BL1109" s="129" t="str">
        <f t="shared" si="788"/>
        <v>CONVICTION</v>
      </c>
      <c r="BM1109" s="129" t="str">
        <f t="shared" si="807"/>
        <v>NONE</v>
      </c>
      <c r="BN1109" s="129" t="s">
        <v>566</v>
      </c>
      <c r="BP1109" s="137" t="str">
        <f t="shared" si="808"/>
        <v>CONVICTION</v>
      </c>
      <c r="BQ1109" s="128" t="str">
        <f t="shared" si="809"/>
        <v>Y</v>
      </c>
      <c r="BR1109" s="129" t="str">
        <f t="shared" si="810"/>
        <v>DETAINED</v>
      </c>
      <c r="BS1109" s="129" t="str">
        <f t="shared" si="811"/>
        <v>DISPOSED</v>
      </c>
      <c r="BT1109" s="129" t="str">
        <f t="shared" si="812"/>
        <v>Y</v>
      </c>
      <c r="BU1109" s="109">
        <f t="shared" si="822"/>
        <v>0.9907407407407407</v>
      </c>
      <c r="BV1109" s="109">
        <f t="shared" si="813"/>
        <v>1</v>
      </c>
      <c r="BW1109" s="109">
        <f t="shared" si="792"/>
        <v>9.2592592592593004E-3</v>
      </c>
      <c r="BX1109" s="111">
        <f t="shared" si="814"/>
        <v>0</v>
      </c>
      <c r="BY1109" s="129">
        <f t="shared" si="815"/>
        <v>-107</v>
      </c>
      <c r="BZ1109" s="111">
        <f t="shared" si="816"/>
        <v>0</v>
      </c>
      <c r="CA1109" s="138">
        <f t="shared" si="817"/>
        <v>107</v>
      </c>
      <c r="CB1109" s="111" t="e">
        <f t="shared" si="829"/>
        <v>#VALUE!</v>
      </c>
      <c r="CC1109" s="129">
        <f>G1109-I1109+1</f>
        <v>107</v>
      </c>
      <c r="CD1109" s="129">
        <f>G1109-J1109</f>
        <v>0</v>
      </c>
      <c r="CE1109" s="129">
        <f t="shared" si="820"/>
        <v>0</v>
      </c>
      <c r="CG1109" s="129" t="str">
        <f t="shared" si="821"/>
        <v>Y</v>
      </c>
      <c r="CI1109" s="129" t="str">
        <f t="shared" si="823"/>
        <v>91-120 DAYS</v>
      </c>
      <c r="CJ1109" s="137">
        <f t="shared" si="824"/>
        <v>0</v>
      </c>
      <c r="CK1109" s="129" t="str">
        <f t="shared" si="825"/>
        <v>Booked</v>
      </c>
    </row>
    <row r="1110" spans="1:89" ht="15" customHeight="1" x14ac:dyDescent="0.25">
      <c r="A1110" s="111">
        <v>1319</v>
      </c>
      <c r="B1110" s="128" t="str">
        <f t="shared" si="803"/>
        <v>N</v>
      </c>
      <c r="C1110" s="128" t="str">
        <f t="shared" si="804"/>
        <v>N</v>
      </c>
      <c r="D1110" s="117">
        <v>1803162</v>
      </c>
      <c r="E1110" s="135">
        <f t="shared" si="805"/>
        <v>6</v>
      </c>
      <c r="F1110" s="124">
        <v>40956</v>
      </c>
      <c r="G1110" s="125">
        <v>40996</v>
      </c>
      <c r="H1110" s="117">
        <v>1803162</v>
      </c>
      <c r="I1110" s="124">
        <v>40957</v>
      </c>
      <c r="J1110" s="124">
        <v>40996</v>
      </c>
      <c r="K1110" s="126">
        <v>40000</v>
      </c>
      <c r="L1110" s="129" t="s">
        <v>572</v>
      </c>
      <c r="N1110" s="129" t="str">
        <f>IF(M1110&gt;1/1/1,"Y","N")</f>
        <v>N</v>
      </c>
      <c r="O1110" s="128" t="s">
        <v>917</v>
      </c>
      <c r="P1110" s="129" t="s">
        <v>39</v>
      </c>
      <c r="Q1110" s="111">
        <f t="shared" si="796"/>
        <v>40</v>
      </c>
      <c r="R1110" s="111">
        <f t="shared" si="830"/>
        <v>41</v>
      </c>
      <c r="S1110" s="129">
        <v>2</v>
      </c>
      <c r="T1110" s="129">
        <v>2</v>
      </c>
      <c r="W1110" s="111"/>
      <c r="AC1110" s="130"/>
      <c r="AD1110" s="130">
        <v>29053</v>
      </c>
      <c r="AE1110" s="128" t="s">
        <v>32</v>
      </c>
      <c r="AF1110" s="128" t="s">
        <v>69</v>
      </c>
      <c r="AG1110" s="128" t="s">
        <v>874</v>
      </c>
      <c r="AH1110" s="108" t="s">
        <v>58</v>
      </c>
      <c r="AI1110" s="128" t="s">
        <v>34</v>
      </c>
      <c r="AJ1110" s="129" t="s">
        <v>89</v>
      </c>
      <c r="AK1110" s="129">
        <v>2</v>
      </c>
      <c r="AL1110" s="3" t="s">
        <v>362</v>
      </c>
      <c r="AM1110" s="117">
        <v>6</v>
      </c>
      <c r="AP1110" s="129" t="s">
        <v>56</v>
      </c>
      <c r="AR1110" s="128" t="s">
        <v>50</v>
      </c>
      <c r="AS1110" s="129" t="s">
        <v>57</v>
      </c>
      <c r="AX1110" s="32"/>
      <c r="BC1110" s="129" t="s">
        <v>38</v>
      </c>
      <c r="BF1110" s="111">
        <f t="shared" si="827"/>
        <v>40</v>
      </c>
      <c r="BG1110" s="111">
        <f t="shared" si="828"/>
        <v>40</v>
      </c>
      <c r="BH1110" s="111">
        <f t="shared" si="800"/>
        <v>41</v>
      </c>
      <c r="BI1110" s="111">
        <f t="shared" si="801"/>
        <v>32.521857923497265</v>
      </c>
      <c r="BJ1110" s="129">
        <f t="shared" si="806"/>
        <v>0</v>
      </c>
      <c r="BK1110" s="129">
        <f t="shared" si="802"/>
        <v>0</v>
      </c>
      <c r="BL1110" s="129" t="str">
        <f t="shared" si="788"/>
        <v>CONVICTION</v>
      </c>
      <c r="BM1110" s="129" t="str">
        <f t="shared" si="807"/>
        <v>NONE</v>
      </c>
      <c r="BN1110" s="129" t="s">
        <v>566</v>
      </c>
      <c r="BP1110" s="137" t="str">
        <f t="shared" si="808"/>
        <v>CONVICTION</v>
      </c>
      <c r="BQ1110" s="128" t="str">
        <f t="shared" si="809"/>
        <v>Y</v>
      </c>
      <c r="BR1110" s="129" t="str">
        <f t="shared" si="810"/>
        <v>DETAINED</v>
      </c>
      <c r="BS1110" s="129" t="str">
        <f t="shared" si="811"/>
        <v>DISPOSED</v>
      </c>
      <c r="BT1110" s="129" t="str">
        <f t="shared" si="812"/>
        <v>Y</v>
      </c>
      <c r="BU1110" s="109">
        <f t="shared" si="822"/>
        <v>0.97560975609756095</v>
      </c>
      <c r="BV1110" s="109">
        <f t="shared" si="813"/>
        <v>1</v>
      </c>
      <c r="BW1110" s="109">
        <f t="shared" si="792"/>
        <v>2.4390243902439046E-2</v>
      </c>
      <c r="BX1110" s="111">
        <f t="shared" si="814"/>
        <v>0</v>
      </c>
      <c r="BY1110" s="129">
        <f t="shared" si="815"/>
        <v>-40</v>
      </c>
      <c r="BZ1110" s="111">
        <f t="shared" si="816"/>
        <v>0</v>
      </c>
      <c r="CA1110" s="138">
        <f t="shared" si="817"/>
        <v>40</v>
      </c>
      <c r="CB1110" s="111" t="e">
        <f t="shared" si="829"/>
        <v>#VALUE!</v>
      </c>
      <c r="CC1110" s="129">
        <f>G1110-I1110+1</f>
        <v>40</v>
      </c>
      <c r="CD1110" s="129">
        <f>G1110-J1110</f>
        <v>0</v>
      </c>
      <c r="CE1110" s="129">
        <f t="shared" si="820"/>
        <v>0</v>
      </c>
      <c r="CG1110" s="129" t="str">
        <f t="shared" si="821"/>
        <v>Y</v>
      </c>
      <c r="CI1110" s="129" t="str">
        <f t="shared" si="823"/>
        <v>31-60 DAYS</v>
      </c>
      <c r="CJ1110" s="137">
        <f t="shared" si="824"/>
        <v>3</v>
      </c>
      <c r="CK1110" s="129" t="str">
        <f t="shared" si="825"/>
        <v>Booked</v>
      </c>
    </row>
    <row r="1111" spans="1:89" ht="15.75" customHeight="1" x14ac:dyDescent="0.25">
      <c r="A1111" s="111">
        <v>1412</v>
      </c>
      <c r="B1111" s="128" t="str">
        <f t="shared" si="803"/>
        <v>N</v>
      </c>
      <c r="C1111" s="128" t="str">
        <f t="shared" si="804"/>
        <v>N</v>
      </c>
      <c r="D1111" s="117">
        <v>1803259</v>
      </c>
      <c r="E1111" s="135">
        <f t="shared" si="805"/>
        <v>6</v>
      </c>
      <c r="F1111" s="124">
        <v>40961</v>
      </c>
      <c r="G1111" s="125">
        <v>41219</v>
      </c>
      <c r="H1111" s="117">
        <v>1803259</v>
      </c>
      <c r="I1111" s="124">
        <v>40961</v>
      </c>
      <c r="J1111" s="125">
        <v>41219</v>
      </c>
      <c r="K1111" s="126" t="s">
        <v>564</v>
      </c>
      <c r="L1111" s="127" t="s">
        <v>564</v>
      </c>
      <c r="N1111" s="129" t="s">
        <v>566</v>
      </c>
      <c r="O1111" s="128" t="s">
        <v>917</v>
      </c>
      <c r="P1111" s="129" t="s">
        <v>39</v>
      </c>
      <c r="Q1111" s="111">
        <f t="shared" si="796"/>
        <v>259</v>
      </c>
      <c r="R1111" s="111">
        <f t="shared" si="830"/>
        <v>259</v>
      </c>
      <c r="S1111" s="129">
        <v>2</v>
      </c>
      <c r="T1111" s="129">
        <v>1</v>
      </c>
      <c r="U1111" s="129">
        <v>1</v>
      </c>
      <c r="W1111" s="111"/>
      <c r="AC1111" s="130"/>
      <c r="AD1111" s="130">
        <v>28367</v>
      </c>
      <c r="AE1111" s="128" t="s">
        <v>32</v>
      </c>
      <c r="AF1111" s="128" t="s">
        <v>33</v>
      </c>
      <c r="AG1111" s="128" t="s">
        <v>872</v>
      </c>
      <c r="AH1111" s="108" t="s">
        <v>58</v>
      </c>
      <c r="AI1111" s="128" t="s">
        <v>118</v>
      </c>
      <c r="AJ1111" s="129" t="s">
        <v>89</v>
      </c>
      <c r="AK1111" s="129">
        <v>11</v>
      </c>
      <c r="AL1111" s="3" t="s">
        <v>362</v>
      </c>
      <c r="AM1111" s="114">
        <v>15</v>
      </c>
      <c r="AP1111" s="129" t="s">
        <v>336</v>
      </c>
      <c r="AR1111" s="128" t="s">
        <v>46</v>
      </c>
      <c r="AS1111" s="129" t="s">
        <v>82</v>
      </c>
      <c r="BC1111" s="129" t="s">
        <v>52</v>
      </c>
      <c r="BF1111" s="111">
        <f t="shared" si="827"/>
        <v>259</v>
      </c>
      <c r="BG1111" s="111">
        <f t="shared" si="828"/>
        <v>259</v>
      </c>
      <c r="BH1111" s="111">
        <f t="shared" si="800"/>
        <v>259</v>
      </c>
      <c r="BI1111" s="111">
        <f t="shared" si="801"/>
        <v>34.409836065573771</v>
      </c>
      <c r="BJ1111" s="129">
        <f t="shared" si="806"/>
        <v>0</v>
      </c>
      <c r="BK1111" s="129">
        <f t="shared" si="802"/>
        <v>0</v>
      </c>
      <c r="BL1111" s="129" t="str">
        <f t="shared" si="788"/>
        <v>CONVICTION</v>
      </c>
      <c r="BM1111" s="129" t="str">
        <f t="shared" si="807"/>
        <v>NONE</v>
      </c>
      <c r="BN1111" s="129" t="s">
        <v>566</v>
      </c>
      <c r="BP1111" s="137" t="str">
        <f t="shared" si="808"/>
        <v>CONVICTION</v>
      </c>
      <c r="BQ1111" s="128" t="str">
        <f t="shared" si="809"/>
        <v>Y</v>
      </c>
      <c r="BR1111" s="129" t="str">
        <f t="shared" si="810"/>
        <v>DETAINED</v>
      </c>
      <c r="BS1111" s="129" t="str">
        <f t="shared" si="811"/>
        <v>DISPOSED</v>
      </c>
      <c r="BT1111" s="129" t="str">
        <f t="shared" si="812"/>
        <v>Y</v>
      </c>
      <c r="BU1111" s="109">
        <f t="shared" si="822"/>
        <v>1</v>
      </c>
      <c r="BV1111" s="109">
        <f t="shared" si="813"/>
        <v>1</v>
      </c>
      <c r="BW1111" s="109">
        <f t="shared" si="792"/>
        <v>0</v>
      </c>
      <c r="BX1111" s="111">
        <f t="shared" si="814"/>
        <v>0</v>
      </c>
      <c r="BY1111" s="129">
        <f t="shared" si="815"/>
        <v>-259</v>
      </c>
      <c r="BZ1111" s="111">
        <f t="shared" si="816"/>
        <v>0</v>
      </c>
      <c r="CA1111" s="138">
        <f t="shared" si="817"/>
        <v>259</v>
      </c>
      <c r="CB1111" s="111" t="e">
        <f t="shared" si="829"/>
        <v>#VALUE!</v>
      </c>
      <c r="CC1111" s="129">
        <f>G1111-I1111+1</f>
        <v>259</v>
      </c>
      <c r="CD1111" s="129">
        <f>G1111-J1111</f>
        <v>0</v>
      </c>
      <c r="CE1111" s="129">
        <f t="shared" si="820"/>
        <v>0</v>
      </c>
      <c r="CG1111" s="129" t="str">
        <f t="shared" si="821"/>
        <v>Y</v>
      </c>
      <c r="CI1111" s="129" t="str">
        <f t="shared" si="823"/>
        <v>121-365 DAYS</v>
      </c>
      <c r="CJ1111" s="137">
        <f t="shared" si="824"/>
        <v>6</v>
      </c>
      <c r="CK1111" s="129" t="str">
        <f t="shared" si="825"/>
        <v>Booked</v>
      </c>
    </row>
    <row r="1112" spans="1:89" ht="15" customHeight="1" x14ac:dyDescent="0.25">
      <c r="A1112" s="111">
        <v>1073</v>
      </c>
      <c r="B1112" s="128" t="str">
        <f t="shared" si="803"/>
        <v>N</v>
      </c>
      <c r="C1112" s="128" t="str">
        <f t="shared" si="804"/>
        <v>N</v>
      </c>
      <c r="D1112" s="117">
        <v>1804022</v>
      </c>
      <c r="E1112" s="135">
        <f t="shared" si="805"/>
        <v>6</v>
      </c>
      <c r="F1112" s="124">
        <v>40948</v>
      </c>
      <c r="G1112" s="125">
        <v>40952</v>
      </c>
      <c r="H1112" s="117">
        <v>1804022</v>
      </c>
      <c r="I1112" s="124">
        <v>40949</v>
      </c>
      <c r="J1112" s="124">
        <v>40952</v>
      </c>
      <c r="K1112" s="126">
        <v>20000</v>
      </c>
      <c r="L1112" s="127" t="s">
        <v>571</v>
      </c>
      <c r="N1112" s="129" t="str">
        <f>IF(M1112&gt;1/1/1,"Y","N")</f>
        <v>N</v>
      </c>
      <c r="O1112" s="128" t="s">
        <v>917</v>
      </c>
      <c r="P1112" s="129" t="s">
        <v>39</v>
      </c>
      <c r="Q1112" s="111">
        <f t="shared" si="796"/>
        <v>4</v>
      </c>
      <c r="R1112" s="111">
        <f t="shared" si="830"/>
        <v>5</v>
      </c>
      <c r="S1112" s="129">
        <v>9</v>
      </c>
      <c r="T1112" s="129">
        <v>4</v>
      </c>
      <c r="U1112" s="129">
        <v>7</v>
      </c>
      <c r="W1112" s="111"/>
      <c r="AC1112" s="130"/>
      <c r="AD1112" s="130">
        <v>30307</v>
      </c>
      <c r="AE1112" s="128" t="s">
        <v>32</v>
      </c>
      <c r="AF1112" s="128" t="s">
        <v>33</v>
      </c>
      <c r="AG1112" s="128" t="s">
        <v>872</v>
      </c>
      <c r="AH1112" s="108" t="s">
        <v>58</v>
      </c>
      <c r="AI1112" s="128" t="s">
        <v>53</v>
      </c>
      <c r="AJ1112" s="129" t="s">
        <v>89</v>
      </c>
      <c r="AK1112" s="129">
        <v>2</v>
      </c>
      <c r="AL1112" s="3" t="s">
        <v>362</v>
      </c>
      <c r="AM1112" s="117">
        <v>6</v>
      </c>
      <c r="AP1112" s="129" t="s">
        <v>56</v>
      </c>
      <c r="AR1112" s="128" t="s">
        <v>50</v>
      </c>
      <c r="AS1112" s="129" t="s">
        <v>57</v>
      </c>
      <c r="AT1112" s="129" t="s">
        <v>612</v>
      </c>
      <c r="AW1112" s="123"/>
      <c r="AX1112" s="123"/>
      <c r="BC1112" s="129" t="s">
        <v>38</v>
      </c>
      <c r="BF1112" s="111">
        <f t="shared" si="827"/>
        <v>4</v>
      </c>
      <c r="BG1112" s="111">
        <f t="shared" si="828"/>
        <v>4</v>
      </c>
      <c r="BH1112" s="111">
        <f t="shared" si="800"/>
        <v>5</v>
      </c>
      <c r="BI1112" s="111">
        <f t="shared" si="801"/>
        <v>29.07377049180328</v>
      </c>
      <c r="BJ1112" s="129">
        <f t="shared" si="806"/>
        <v>0</v>
      </c>
      <c r="BK1112" s="129">
        <f t="shared" si="802"/>
        <v>0</v>
      </c>
      <c r="BL1112" s="129" t="str">
        <f t="shared" ref="BL1112:BL1175" si="831">IF(OR(AL1112="AQUITTAL",AL1112="DISMISSED",AL1112="FINE",AL1112="NO BILL"),"NO CONVICTION",IF(OR(AL1112="HCJ",AL1112="MHH",AL1112="PROBATION",AL1112="STJ",AL1112="TDC"),"CONVICTION",IF(AL1112="DEFERRED","DEFERRED",0)))</f>
        <v>CONVICTION</v>
      </c>
      <c r="BM1112" s="129" t="str">
        <f t="shared" si="807"/>
        <v>NONE</v>
      </c>
      <c r="BN1112" s="129" t="s">
        <v>566</v>
      </c>
      <c r="BP1112" s="137" t="str">
        <f t="shared" si="808"/>
        <v>CONVICTION</v>
      </c>
      <c r="BQ1112" s="128" t="str">
        <f t="shared" si="809"/>
        <v>Y</v>
      </c>
      <c r="BR1112" s="129" t="str">
        <f t="shared" si="810"/>
        <v>DETAINED</v>
      </c>
      <c r="BS1112" s="129" t="str">
        <f t="shared" si="811"/>
        <v>DISPOSED</v>
      </c>
      <c r="BT1112" s="129" t="str">
        <f t="shared" si="812"/>
        <v>Y</v>
      </c>
      <c r="BU1112" s="109">
        <f t="shared" si="822"/>
        <v>0.8</v>
      </c>
      <c r="BV1112" s="109">
        <f t="shared" si="813"/>
        <v>1</v>
      </c>
      <c r="BW1112" s="109">
        <f t="shared" si="792"/>
        <v>0.19999999999999996</v>
      </c>
      <c r="BX1112" s="111">
        <f t="shared" si="814"/>
        <v>0</v>
      </c>
      <c r="BY1112" s="129">
        <f t="shared" si="815"/>
        <v>-4</v>
      </c>
      <c r="BZ1112" s="111">
        <f t="shared" si="816"/>
        <v>0</v>
      </c>
      <c r="CA1112" s="138">
        <f t="shared" si="817"/>
        <v>4</v>
      </c>
      <c r="CB1112" s="111" t="e">
        <f t="shared" si="829"/>
        <v>#VALUE!</v>
      </c>
      <c r="CC1112" s="129">
        <f>G1112-I1112+1</f>
        <v>4</v>
      </c>
      <c r="CD1112" s="129">
        <f>G1112-J1112</f>
        <v>0</v>
      </c>
      <c r="CE1112" s="129">
        <f t="shared" si="820"/>
        <v>0</v>
      </c>
      <c r="CG1112" s="129" t="str">
        <f t="shared" si="821"/>
        <v>Y</v>
      </c>
      <c r="CI1112" s="129" t="str">
        <f t="shared" si="823"/>
        <v>0-10 DAYS</v>
      </c>
      <c r="CJ1112" s="137">
        <f t="shared" si="824"/>
        <v>1</v>
      </c>
      <c r="CK1112" s="129" t="str">
        <f t="shared" si="825"/>
        <v>Booked</v>
      </c>
    </row>
    <row r="1113" spans="1:89" ht="15.75" customHeight="1" x14ac:dyDescent="0.25">
      <c r="A1113" s="111">
        <v>1507</v>
      </c>
      <c r="B1113" s="128" t="str">
        <f t="shared" si="803"/>
        <v>N</v>
      </c>
      <c r="C1113" s="128" t="str">
        <f t="shared" si="804"/>
        <v>N</v>
      </c>
      <c r="D1113" s="117">
        <v>1804515</v>
      </c>
      <c r="E1113" s="135">
        <f t="shared" si="805"/>
        <v>6</v>
      </c>
      <c r="F1113" s="124">
        <v>40964</v>
      </c>
      <c r="G1113" s="125">
        <v>41044</v>
      </c>
      <c r="H1113" s="117">
        <v>1804515</v>
      </c>
      <c r="I1113" s="124">
        <v>40964</v>
      </c>
      <c r="J1113" s="124">
        <v>40965</v>
      </c>
      <c r="K1113" s="126">
        <v>10000</v>
      </c>
      <c r="L1113" s="127" t="s">
        <v>570</v>
      </c>
      <c r="M1113" s="125">
        <v>40965</v>
      </c>
      <c r="N1113" s="129" t="str">
        <f>IF(M1113&gt;1/1/1,"Y","N")</f>
        <v>Y</v>
      </c>
      <c r="O1113" s="128" t="s">
        <v>76</v>
      </c>
      <c r="P1113" s="129" t="s">
        <v>39</v>
      </c>
      <c r="Q1113" s="111">
        <f t="shared" si="796"/>
        <v>2</v>
      </c>
      <c r="R1113" s="111">
        <f t="shared" si="830"/>
        <v>81</v>
      </c>
      <c r="S1113" s="129">
        <v>2</v>
      </c>
      <c r="T1113" s="129">
        <v>5</v>
      </c>
      <c r="U1113" s="129">
        <v>2</v>
      </c>
      <c r="W1113" s="111"/>
      <c r="AC1113" s="130"/>
      <c r="AD1113" s="130">
        <v>29436</v>
      </c>
      <c r="AE1113" s="128" t="s">
        <v>32</v>
      </c>
      <c r="AF1113" s="128" t="s">
        <v>33</v>
      </c>
      <c r="AG1113" s="128" t="s">
        <v>872</v>
      </c>
      <c r="AH1113" s="108" t="s">
        <v>58</v>
      </c>
      <c r="AI1113" s="128" t="s">
        <v>42</v>
      </c>
      <c r="AJ1113" s="129" t="s">
        <v>89</v>
      </c>
      <c r="AK1113" s="129">
        <v>2</v>
      </c>
      <c r="AL1113" s="3" t="s">
        <v>362</v>
      </c>
      <c r="AM1113" s="117">
        <v>3</v>
      </c>
      <c r="AP1113" s="129" t="s">
        <v>101</v>
      </c>
      <c r="AR1113" s="128" t="s">
        <v>67</v>
      </c>
      <c r="AS1113" s="129" t="s">
        <v>64</v>
      </c>
      <c r="BC1113" s="129" t="s">
        <v>52</v>
      </c>
      <c r="BF1113" s="111">
        <f t="shared" si="827"/>
        <v>2</v>
      </c>
      <c r="BG1113" s="111">
        <f t="shared" si="828"/>
        <v>81</v>
      </c>
      <c r="BH1113" s="111">
        <f t="shared" si="800"/>
        <v>81</v>
      </c>
      <c r="BI1113" s="111">
        <f t="shared" si="801"/>
        <v>31.497267759562842</v>
      </c>
      <c r="BJ1113" s="129">
        <f>(G1113-J1113)+(M1113-G1113)</f>
        <v>0</v>
      </c>
      <c r="BK1113" s="129">
        <f t="shared" si="802"/>
        <v>-79</v>
      </c>
      <c r="BL1113" s="129" t="str">
        <f t="shared" si="831"/>
        <v>CONVICTION</v>
      </c>
      <c r="BM1113" s="129" t="s">
        <v>76</v>
      </c>
      <c r="BN1113" s="129" t="s">
        <v>88</v>
      </c>
      <c r="BP1113" s="137" t="str">
        <f t="shared" si="808"/>
        <v>CONVICTION</v>
      </c>
      <c r="BQ1113" s="128" t="str">
        <f t="shared" si="809"/>
        <v>Y</v>
      </c>
      <c r="BR1113" s="129" t="str">
        <f>IF(J1113&lt;G1113,"ON BOND",0)</f>
        <v>ON BOND</v>
      </c>
      <c r="BS1113" s="129" t="str">
        <f t="shared" si="811"/>
        <v>DISPOSED</v>
      </c>
      <c r="BT1113" s="129" t="str">
        <f t="shared" si="812"/>
        <v>Y</v>
      </c>
      <c r="BU1113" s="109">
        <f t="shared" si="822"/>
        <v>2.4691358024691357E-2</v>
      </c>
      <c r="BV1113" s="109">
        <f t="shared" si="813"/>
        <v>2.4691358024691357E-2</v>
      </c>
      <c r="BW1113" s="109">
        <f t="shared" si="792"/>
        <v>0</v>
      </c>
      <c r="BX1113" s="111">
        <f t="shared" si="814"/>
        <v>0</v>
      </c>
      <c r="BY1113" s="129">
        <f t="shared" si="815"/>
        <v>-2</v>
      </c>
      <c r="BZ1113" s="111">
        <f t="shared" si="816"/>
        <v>0</v>
      </c>
      <c r="CA1113" s="138">
        <f t="shared" si="817"/>
        <v>2</v>
      </c>
      <c r="CB1113" s="111" t="e">
        <f t="shared" si="829"/>
        <v>#VALUE!</v>
      </c>
      <c r="CC1113" s="129">
        <f>M1113-I1113+1</f>
        <v>2</v>
      </c>
      <c r="CD1113" s="111">
        <f>CC1113-BF1113</f>
        <v>0</v>
      </c>
      <c r="CE1113" s="129">
        <f t="shared" si="820"/>
        <v>79</v>
      </c>
      <c r="CG1113" s="129" t="str">
        <f t="shared" si="821"/>
        <v>Y</v>
      </c>
      <c r="CI1113" s="129" t="str">
        <f t="shared" si="823"/>
        <v>0-10 DAYS</v>
      </c>
      <c r="CJ1113" s="137">
        <f t="shared" si="824"/>
        <v>1</v>
      </c>
      <c r="CK1113" s="129" t="str">
        <f t="shared" si="825"/>
        <v>Booked</v>
      </c>
    </row>
    <row r="1114" spans="1:89" ht="15.75" customHeight="1" x14ac:dyDescent="0.25">
      <c r="A1114" s="111">
        <v>1262</v>
      </c>
      <c r="B1114" s="128" t="str">
        <f t="shared" si="803"/>
        <v>N</v>
      </c>
      <c r="C1114" s="128" t="str">
        <f t="shared" si="804"/>
        <v>N</v>
      </c>
      <c r="D1114" s="117">
        <v>1804700</v>
      </c>
      <c r="E1114" s="135">
        <f t="shared" si="805"/>
        <v>6</v>
      </c>
      <c r="F1114" s="124">
        <v>40955</v>
      </c>
      <c r="G1114" s="125">
        <v>41040</v>
      </c>
      <c r="H1114" s="117">
        <v>1804700</v>
      </c>
      <c r="I1114" s="124" t="s">
        <v>562</v>
      </c>
      <c r="J1114" s="124" t="s">
        <v>562</v>
      </c>
      <c r="K1114" s="126">
        <v>10000</v>
      </c>
      <c r="L1114" s="127" t="s">
        <v>570</v>
      </c>
      <c r="M1114" s="125">
        <v>40956</v>
      </c>
      <c r="N1114" s="129" t="str">
        <f>IF(M1114&gt;1/1/1,"Y",IF(Q1114="0","","N"))</f>
        <v>Y</v>
      </c>
      <c r="O1114" s="128" t="s">
        <v>76</v>
      </c>
      <c r="P1114" s="129" t="s">
        <v>39</v>
      </c>
      <c r="Q1114" s="111">
        <f t="shared" si="796"/>
        <v>0</v>
      </c>
      <c r="R1114" s="111">
        <f t="shared" si="830"/>
        <v>86</v>
      </c>
      <c r="S1114" s="129">
        <v>2</v>
      </c>
      <c r="T1114" s="129">
        <v>1</v>
      </c>
      <c r="U1114" s="129">
        <v>2</v>
      </c>
      <c r="W1114" s="111"/>
      <c r="AB1114" s="131" t="s">
        <v>112</v>
      </c>
      <c r="AC1114" s="130"/>
      <c r="AD1114" s="130">
        <v>30503</v>
      </c>
      <c r="AE1114" s="128" t="s">
        <v>32</v>
      </c>
      <c r="AF1114" s="128" t="s">
        <v>40</v>
      </c>
      <c r="AG1114" s="128" t="s">
        <v>41</v>
      </c>
      <c r="AH1114" s="108" t="s">
        <v>31</v>
      </c>
      <c r="AI1114" s="128" t="s">
        <v>113</v>
      </c>
      <c r="AJ1114" s="129" t="s">
        <v>89</v>
      </c>
      <c r="AK1114" s="129">
        <v>4</v>
      </c>
      <c r="AL1114" s="3" t="s">
        <v>362</v>
      </c>
      <c r="AM1114" s="117">
        <v>2</v>
      </c>
      <c r="AP1114" s="129" t="s">
        <v>101</v>
      </c>
      <c r="AR1114" s="128" t="s">
        <v>67</v>
      </c>
      <c r="AS1114" s="129" t="s">
        <v>64</v>
      </c>
      <c r="BC1114" s="129" t="s">
        <v>52</v>
      </c>
      <c r="BF1114" s="111">
        <v>0</v>
      </c>
      <c r="BG1114" s="111">
        <v>0</v>
      </c>
      <c r="BH1114" s="111">
        <f t="shared" si="800"/>
        <v>86</v>
      </c>
      <c r="BI1114" s="111">
        <f t="shared" si="801"/>
        <v>28.557377049180328</v>
      </c>
      <c r="BJ1114" s="129" t="e">
        <f>(G1114-J1114)+(M1114-G1114)</f>
        <v>#VALUE!</v>
      </c>
      <c r="BK1114" s="129" t="e">
        <f t="shared" si="802"/>
        <v>#VALUE!</v>
      </c>
      <c r="BL1114" s="129" t="str">
        <f t="shared" si="831"/>
        <v>CONVICTION</v>
      </c>
      <c r="BM1114" s="129" t="s">
        <v>76</v>
      </c>
      <c r="BN1114" s="129" t="s">
        <v>88</v>
      </c>
      <c r="BP1114" s="137" t="str">
        <f t="shared" si="808"/>
        <v>CONVICTION</v>
      </c>
      <c r="BQ1114" s="128">
        <f t="shared" si="809"/>
        <v>0</v>
      </c>
      <c r="BR1114" s="129" t="s">
        <v>575</v>
      </c>
      <c r="BS1114" s="129" t="str">
        <f t="shared" si="811"/>
        <v>DISPOSED</v>
      </c>
      <c r="BT1114" s="129" t="str">
        <f t="shared" si="812"/>
        <v>Y</v>
      </c>
      <c r="BU1114" s="109">
        <f t="shared" si="822"/>
        <v>0</v>
      </c>
      <c r="BV1114" s="109">
        <v>0</v>
      </c>
      <c r="BW1114" s="109">
        <f t="shared" si="792"/>
        <v>0</v>
      </c>
      <c r="BX1114" s="111">
        <f t="shared" si="814"/>
        <v>0</v>
      </c>
      <c r="BY1114" s="129" t="e">
        <f t="shared" si="815"/>
        <v>#VALUE!</v>
      </c>
      <c r="BZ1114" s="111" t="e">
        <f t="shared" si="816"/>
        <v>#VALUE!</v>
      </c>
      <c r="CA1114" s="138" t="e">
        <f t="shared" si="817"/>
        <v>#VALUE!</v>
      </c>
      <c r="CB1114" s="111">
        <v>0</v>
      </c>
      <c r="CC1114" s="129">
        <v>0</v>
      </c>
      <c r="CD1114" s="111">
        <f>CC1114-BF1114</f>
        <v>0</v>
      </c>
      <c r="CE1114" s="129" t="e">
        <f t="shared" si="820"/>
        <v>#VALUE!</v>
      </c>
      <c r="CG1114" s="129" t="str">
        <f t="shared" si="821"/>
        <v>Y</v>
      </c>
      <c r="CI1114" s="129" t="str">
        <f t="shared" si="823"/>
        <v>0-10 DAYS</v>
      </c>
      <c r="CJ1114" s="137">
        <f t="shared" si="824"/>
        <v>1</v>
      </c>
      <c r="CK1114" s="129" t="str">
        <f t="shared" si="825"/>
        <v>Not Booked</v>
      </c>
    </row>
    <row r="1115" spans="1:89" ht="15" customHeight="1" x14ac:dyDescent="0.25">
      <c r="A1115" s="111">
        <v>239</v>
      </c>
      <c r="B1115" s="128" t="str">
        <f t="shared" si="803"/>
        <v>N</v>
      </c>
      <c r="C1115" s="128" t="str">
        <f t="shared" si="804"/>
        <v>N</v>
      </c>
      <c r="D1115" s="117">
        <v>1805419</v>
      </c>
      <c r="E1115" s="135">
        <f t="shared" si="805"/>
        <v>6</v>
      </c>
      <c r="F1115" s="124">
        <v>40919</v>
      </c>
      <c r="G1115" s="125">
        <v>41212</v>
      </c>
      <c r="H1115" s="117">
        <v>1805419</v>
      </c>
      <c r="I1115" s="124">
        <v>40919</v>
      </c>
      <c r="J1115" s="125">
        <v>41212</v>
      </c>
      <c r="K1115" s="126" t="s">
        <v>564</v>
      </c>
      <c r="L1115" s="127" t="s">
        <v>564</v>
      </c>
      <c r="N1115" s="129" t="s">
        <v>566</v>
      </c>
      <c r="O1115" s="128" t="s">
        <v>917</v>
      </c>
      <c r="P1115" s="129" t="s">
        <v>39</v>
      </c>
      <c r="Q1115" s="111">
        <f t="shared" si="796"/>
        <v>294</v>
      </c>
      <c r="R1115" s="111">
        <f t="shared" si="830"/>
        <v>294</v>
      </c>
      <c r="S1115" s="129">
        <v>8</v>
      </c>
      <c r="T1115" s="129">
        <v>3</v>
      </c>
      <c r="U1115" s="129">
        <v>10</v>
      </c>
      <c r="W1115" s="111"/>
      <c r="AC1115" s="130"/>
      <c r="AD1115" s="130">
        <v>30149</v>
      </c>
      <c r="AE1115" s="128" t="s">
        <v>32</v>
      </c>
      <c r="AF1115" s="128" t="s">
        <v>33</v>
      </c>
      <c r="AG1115" s="128" t="s">
        <v>872</v>
      </c>
      <c r="AH1115" s="108" t="s">
        <v>31</v>
      </c>
      <c r="AI1115" s="128" t="s">
        <v>85</v>
      </c>
      <c r="AJ1115" s="129" t="s">
        <v>89</v>
      </c>
      <c r="AK1115" s="129">
        <v>7</v>
      </c>
      <c r="AL1115" s="3" t="s">
        <v>362</v>
      </c>
      <c r="AM1115" s="117">
        <v>2</v>
      </c>
      <c r="AP1115" s="129" t="s">
        <v>93</v>
      </c>
      <c r="AR1115" s="128" t="s">
        <v>67</v>
      </c>
      <c r="AS1115" s="129" t="s">
        <v>45</v>
      </c>
      <c r="AT1115" s="129" t="s">
        <v>599</v>
      </c>
      <c r="BC1115" s="129" t="s">
        <v>99</v>
      </c>
      <c r="BF1115" s="111">
        <f t="shared" ref="BF1115:BF1135" si="832">IF(J1115&gt;1/1/1900,((J1115+1)-I1115),"STILL OPEN")</f>
        <v>294</v>
      </c>
      <c r="BG1115" s="111">
        <f t="shared" ref="BG1115:BG1135" si="833">IF(G1115&gt;1/1/1900,((G1115+1)-I1115),"STILL OPEN")</f>
        <v>294</v>
      </c>
      <c r="BH1115" s="111">
        <f t="shared" si="800"/>
        <v>294</v>
      </c>
      <c r="BI1115" s="111">
        <f t="shared" si="801"/>
        <v>29.42622950819672</v>
      </c>
      <c r="BJ1115" s="129">
        <f t="shared" si="806"/>
        <v>0</v>
      </c>
      <c r="BK1115" s="129">
        <f t="shared" si="802"/>
        <v>0</v>
      </c>
      <c r="BL1115" s="129" t="str">
        <f t="shared" si="831"/>
        <v>CONVICTION</v>
      </c>
      <c r="BM1115" s="129" t="str">
        <f t="shared" si="807"/>
        <v>NONE</v>
      </c>
      <c r="BN1115" s="129" t="s">
        <v>566</v>
      </c>
      <c r="BP1115" s="137" t="str">
        <f t="shared" si="808"/>
        <v>CONVICTION</v>
      </c>
      <c r="BQ1115" s="128" t="str">
        <f t="shared" si="809"/>
        <v>Y</v>
      </c>
      <c r="BR1115" s="129" t="str">
        <f t="shared" si="810"/>
        <v>DETAINED</v>
      </c>
      <c r="BS1115" s="129" t="str">
        <f t="shared" si="811"/>
        <v>DISPOSED</v>
      </c>
      <c r="BT1115" s="129" t="str">
        <f t="shared" si="812"/>
        <v>Y</v>
      </c>
      <c r="BU1115" s="109">
        <f t="shared" si="822"/>
        <v>1</v>
      </c>
      <c r="BV1115" s="109">
        <f t="shared" si="813"/>
        <v>1</v>
      </c>
      <c r="BW1115" s="109">
        <f t="shared" si="792"/>
        <v>0</v>
      </c>
      <c r="BX1115" s="111">
        <f t="shared" si="814"/>
        <v>0</v>
      </c>
      <c r="BY1115" s="129">
        <f t="shared" si="815"/>
        <v>-294</v>
      </c>
      <c r="BZ1115" s="111">
        <f t="shared" si="816"/>
        <v>0</v>
      </c>
      <c r="CA1115" s="138">
        <f t="shared" si="817"/>
        <v>294</v>
      </c>
      <c r="CB1115" s="111" t="e">
        <f t="shared" ref="CB1115:CB1135" si="834">IF(AF1115&gt;1/1/1900,((AF1115+1)-AE1115),"STILL OPEN")</f>
        <v>#VALUE!</v>
      </c>
      <c r="CC1115" s="129">
        <f>G1115-I1115+1</f>
        <v>294</v>
      </c>
      <c r="CD1115" s="129">
        <f>G1115-J1115</f>
        <v>0</v>
      </c>
      <c r="CE1115" s="129">
        <f t="shared" si="820"/>
        <v>0</v>
      </c>
      <c r="CG1115" s="129" t="str">
        <f t="shared" si="821"/>
        <v>Y</v>
      </c>
      <c r="CI1115" s="129" t="str">
        <f t="shared" si="823"/>
        <v>121-365 DAYS</v>
      </c>
      <c r="CJ1115" s="137">
        <f t="shared" si="824"/>
        <v>6</v>
      </c>
      <c r="CK1115" s="129" t="str">
        <f t="shared" si="825"/>
        <v>Booked</v>
      </c>
    </row>
    <row r="1116" spans="1:89" ht="15.75" customHeight="1" x14ac:dyDescent="0.25">
      <c r="A1116" s="111">
        <v>434</v>
      </c>
      <c r="B1116" s="128" t="str">
        <f t="shared" si="803"/>
        <v>N</v>
      </c>
      <c r="C1116" s="128" t="str">
        <f t="shared" si="804"/>
        <v>N</v>
      </c>
      <c r="D1116" s="117">
        <v>1805685</v>
      </c>
      <c r="E1116" s="135">
        <f t="shared" si="805"/>
        <v>6</v>
      </c>
      <c r="F1116" s="124">
        <v>40926</v>
      </c>
      <c r="G1116" s="125">
        <v>41232</v>
      </c>
      <c r="H1116" s="117">
        <v>1805685</v>
      </c>
      <c r="I1116" s="124">
        <v>41052</v>
      </c>
      <c r="J1116" s="125">
        <v>41232</v>
      </c>
      <c r="K1116" s="126" t="s">
        <v>564</v>
      </c>
      <c r="L1116" s="127" t="s">
        <v>564</v>
      </c>
      <c r="N1116" s="129" t="s">
        <v>566</v>
      </c>
      <c r="O1116" s="128" t="s">
        <v>917</v>
      </c>
      <c r="P1116" s="129" t="s">
        <v>39</v>
      </c>
      <c r="Q1116" s="111">
        <f t="shared" si="796"/>
        <v>181</v>
      </c>
      <c r="R1116" s="111">
        <f t="shared" si="830"/>
        <v>307</v>
      </c>
      <c r="S1116" s="129">
        <v>2</v>
      </c>
      <c r="T1116" s="129">
        <v>2</v>
      </c>
      <c r="U1116" s="129">
        <v>2</v>
      </c>
      <c r="W1116" s="111"/>
      <c r="AC1116" s="130"/>
      <c r="AD1116" s="130">
        <v>30181</v>
      </c>
      <c r="AE1116" s="128" t="s">
        <v>32</v>
      </c>
      <c r="AF1116" s="128" t="s">
        <v>69</v>
      </c>
      <c r="AG1116" s="128" t="s">
        <v>874</v>
      </c>
      <c r="AH1116" s="108" t="s">
        <v>31</v>
      </c>
      <c r="AI1116" s="128" t="s">
        <v>70</v>
      </c>
      <c r="AJ1116" s="129" t="s">
        <v>89</v>
      </c>
      <c r="AK1116" s="129">
        <v>8</v>
      </c>
      <c r="AL1116" s="3" t="s">
        <v>362</v>
      </c>
      <c r="AM1116" s="117">
        <v>4</v>
      </c>
      <c r="AP1116" s="129" t="s">
        <v>206</v>
      </c>
      <c r="AR1116" s="128" t="s">
        <v>92</v>
      </c>
      <c r="AS1116" s="129" t="s">
        <v>106</v>
      </c>
      <c r="BC1116" s="129" t="s">
        <v>38</v>
      </c>
      <c r="BF1116" s="111">
        <f t="shared" si="832"/>
        <v>181</v>
      </c>
      <c r="BG1116" s="111">
        <f t="shared" si="833"/>
        <v>181</v>
      </c>
      <c r="BH1116" s="111">
        <f t="shared" si="800"/>
        <v>307</v>
      </c>
      <c r="BI1116" s="111">
        <f t="shared" si="801"/>
        <v>29.357923497267759</v>
      </c>
      <c r="BJ1116" s="129">
        <f t="shared" si="806"/>
        <v>0</v>
      </c>
      <c r="BK1116" s="129">
        <f t="shared" si="802"/>
        <v>0</v>
      </c>
      <c r="BL1116" s="129" t="str">
        <f t="shared" si="831"/>
        <v>CONVICTION</v>
      </c>
      <c r="BM1116" s="129" t="str">
        <f t="shared" si="807"/>
        <v>NONE</v>
      </c>
      <c r="BN1116" s="129" t="s">
        <v>566</v>
      </c>
      <c r="BP1116" s="137" t="str">
        <f t="shared" si="808"/>
        <v>CONVICTION</v>
      </c>
      <c r="BQ1116" s="128" t="str">
        <f t="shared" si="809"/>
        <v>Y</v>
      </c>
      <c r="BR1116" s="129" t="str">
        <f t="shared" si="810"/>
        <v>DETAINED</v>
      </c>
      <c r="BS1116" s="129" t="str">
        <f t="shared" si="811"/>
        <v>DISPOSED</v>
      </c>
      <c r="BT1116" s="129" t="str">
        <f t="shared" si="812"/>
        <v>Y</v>
      </c>
      <c r="BU1116" s="109">
        <f t="shared" si="822"/>
        <v>0.5895765472312704</v>
      </c>
      <c r="BV1116" s="109">
        <f t="shared" si="813"/>
        <v>1</v>
      </c>
      <c r="BW1116" s="109">
        <f t="shared" si="792"/>
        <v>0.4104234527687296</v>
      </c>
      <c r="BX1116" s="111">
        <f t="shared" si="814"/>
        <v>0</v>
      </c>
      <c r="BY1116" s="129">
        <f t="shared" si="815"/>
        <v>-181</v>
      </c>
      <c r="BZ1116" s="111">
        <f t="shared" si="816"/>
        <v>0</v>
      </c>
      <c r="CA1116" s="138">
        <f t="shared" si="817"/>
        <v>181</v>
      </c>
      <c r="CB1116" s="111" t="e">
        <f t="shared" si="834"/>
        <v>#VALUE!</v>
      </c>
      <c r="CC1116" s="129">
        <f>G1116-I1116+1</f>
        <v>181</v>
      </c>
      <c r="CD1116" s="129">
        <f>G1116-J1116</f>
        <v>0</v>
      </c>
      <c r="CE1116" s="129">
        <f t="shared" si="820"/>
        <v>0</v>
      </c>
      <c r="CG1116" s="129" t="str">
        <f t="shared" si="821"/>
        <v>Y</v>
      </c>
      <c r="CI1116" s="129" t="str">
        <f t="shared" si="823"/>
        <v>121-365 DAYS</v>
      </c>
      <c r="CJ1116" s="137">
        <f t="shared" si="824"/>
        <v>6</v>
      </c>
      <c r="CK1116" s="129" t="str">
        <f t="shared" si="825"/>
        <v>Booked</v>
      </c>
    </row>
    <row r="1117" spans="1:89" ht="15" customHeight="1" x14ac:dyDescent="0.25">
      <c r="A1117" s="111">
        <v>1274</v>
      </c>
      <c r="B1117" s="128" t="str">
        <f t="shared" si="803"/>
        <v>N</v>
      </c>
      <c r="C1117" s="128" t="str">
        <f t="shared" si="804"/>
        <v>N</v>
      </c>
      <c r="D1117" s="117">
        <v>1807035</v>
      </c>
      <c r="E1117" s="135">
        <f t="shared" si="805"/>
        <v>5</v>
      </c>
      <c r="F1117" s="124">
        <v>40955</v>
      </c>
      <c r="G1117" s="125">
        <v>40959</v>
      </c>
      <c r="H1117" s="117">
        <v>1807035</v>
      </c>
      <c r="I1117" s="124">
        <v>40955</v>
      </c>
      <c r="J1117" s="124">
        <v>40959</v>
      </c>
      <c r="K1117" s="126">
        <v>15000</v>
      </c>
      <c r="L1117" s="127" t="s">
        <v>571</v>
      </c>
      <c r="N1117" s="129" t="str">
        <f t="shared" ref="N1117:N1129" si="835">IF(M1117&gt;1/1/1,"Y","N")</f>
        <v>N</v>
      </c>
      <c r="O1117" s="128" t="s">
        <v>917</v>
      </c>
      <c r="P1117" s="129" t="s">
        <v>39</v>
      </c>
      <c r="Q1117" s="111">
        <f t="shared" si="796"/>
        <v>5</v>
      </c>
      <c r="R1117" s="111">
        <f t="shared" si="830"/>
        <v>5</v>
      </c>
      <c r="S1117" s="129">
        <v>3</v>
      </c>
      <c r="T1117" s="129">
        <v>1</v>
      </c>
      <c r="W1117" s="111"/>
      <c r="AC1117" s="130"/>
      <c r="AD1117" s="130">
        <v>29515</v>
      </c>
      <c r="AE1117" s="128" t="s">
        <v>32</v>
      </c>
      <c r="AF1117" s="128" t="s">
        <v>33</v>
      </c>
      <c r="AG1117" s="128" t="s">
        <v>872</v>
      </c>
      <c r="AH1117" s="108" t="s">
        <v>58</v>
      </c>
      <c r="AI1117" s="128" t="s">
        <v>97</v>
      </c>
      <c r="AJ1117" s="129" t="s">
        <v>89</v>
      </c>
      <c r="AK1117" s="129">
        <v>1</v>
      </c>
      <c r="AL1117" s="3" t="s">
        <v>992</v>
      </c>
      <c r="AN1117" s="117">
        <v>9</v>
      </c>
      <c r="AP1117" s="129" t="s">
        <v>43</v>
      </c>
      <c r="AR1117" s="128" t="s">
        <v>44</v>
      </c>
      <c r="AS1117" s="129" t="s">
        <v>45</v>
      </c>
      <c r="BC1117" s="129" t="s">
        <v>38</v>
      </c>
      <c r="BF1117" s="111">
        <f t="shared" si="832"/>
        <v>5</v>
      </c>
      <c r="BG1117" s="111">
        <f t="shared" si="833"/>
        <v>5</v>
      </c>
      <c r="BH1117" s="111">
        <f t="shared" si="800"/>
        <v>5</v>
      </c>
      <c r="BI1117" s="111">
        <f t="shared" si="801"/>
        <v>31.256830601092897</v>
      </c>
      <c r="BJ1117" s="129">
        <f t="shared" si="806"/>
        <v>0</v>
      </c>
      <c r="BK1117" s="129">
        <f t="shared" si="802"/>
        <v>0</v>
      </c>
      <c r="BL1117" s="129" t="str">
        <f t="shared" si="831"/>
        <v>CONVICTION</v>
      </c>
      <c r="BM1117" s="129" t="str">
        <f t="shared" si="807"/>
        <v>NONE</v>
      </c>
      <c r="BN1117" s="129" t="s">
        <v>566</v>
      </c>
      <c r="BP1117" s="137" t="str">
        <f t="shared" si="808"/>
        <v>CONVICTION</v>
      </c>
      <c r="BQ1117" s="128" t="str">
        <f t="shared" si="809"/>
        <v>Y</v>
      </c>
      <c r="BR1117" s="129" t="str">
        <f t="shared" si="810"/>
        <v>DETAINED</v>
      </c>
      <c r="BS1117" s="129" t="str">
        <f t="shared" si="811"/>
        <v>DISPOSED</v>
      </c>
      <c r="BT1117" s="129" t="str">
        <f t="shared" si="812"/>
        <v>Y</v>
      </c>
      <c r="BU1117" s="109">
        <f t="shared" si="822"/>
        <v>1</v>
      </c>
      <c r="BV1117" s="109">
        <f t="shared" si="813"/>
        <v>1</v>
      </c>
      <c r="BW1117" s="109">
        <f t="shared" si="792"/>
        <v>0</v>
      </c>
      <c r="BX1117" s="111">
        <f t="shared" si="814"/>
        <v>0</v>
      </c>
      <c r="BY1117" s="129">
        <f t="shared" si="815"/>
        <v>-5</v>
      </c>
      <c r="BZ1117" s="111">
        <f t="shared" si="816"/>
        <v>0</v>
      </c>
      <c r="CA1117" s="138">
        <f t="shared" si="817"/>
        <v>5</v>
      </c>
      <c r="CB1117" s="111" t="e">
        <f t="shared" si="834"/>
        <v>#VALUE!</v>
      </c>
      <c r="CC1117" s="129">
        <f>G1117-I1117+1</f>
        <v>5</v>
      </c>
      <c r="CD1117" s="129">
        <f>G1117-J1117</f>
        <v>0</v>
      </c>
      <c r="CE1117" s="129">
        <f t="shared" si="820"/>
        <v>0</v>
      </c>
      <c r="CG1117" s="129" t="str">
        <f t="shared" si="821"/>
        <v>Y</v>
      </c>
      <c r="CI1117" s="129" t="str">
        <f t="shared" si="823"/>
        <v>0-10 DAYS</v>
      </c>
      <c r="CJ1117" s="137">
        <f t="shared" si="824"/>
        <v>1</v>
      </c>
      <c r="CK1117" s="129" t="str">
        <f t="shared" si="825"/>
        <v>Booked</v>
      </c>
    </row>
    <row r="1118" spans="1:89" ht="15.75" customHeight="1" x14ac:dyDescent="0.25">
      <c r="A1118" s="111">
        <v>1655</v>
      </c>
      <c r="B1118" s="128" t="str">
        <f t="shared" si="803"/>
        <v>N</v>
      </c>
      <c r="C1118" s="128" t="str">
        <f t="shared" si="804"/>
        <v>N</v>
      </c>
      <c r="D1118" s="117">
        <v>1807387</v>
      </c>
      <c r="E1118" s="135">
        <f t="shared" si="805"/>
        <v>6</v>
      </c>
      <c r="F1118" s="124">
        <v>40969</v>
      </c>
      <c r="G1118" s="125">
        <v>41024</v>
      </c>
      <c r="H1118" s="117">
        <v>1807387</v>
      </c>
      <c r="I1118" s="124">
        <v>40944</v>
      </c>
      <c r="J1118" s="124">
        <v>40978</v>
      </c>
      <c r="K1118" s="126">
        <v>20000</v>
      </c>
      <c r="L1118" s="127" t="s">
        <v>571</v>
      </c>
      <c r="M1118" s="125">
        <v>40978</v>
      </c>
      <c r="N1118" s="129" t="str">
        <f t="shared" si="835"/>
        <v>Y</v>
      </c>
      <c r="O1118" s="128" t="s">
        <v>76</v>
      </c>
      <c r="P1118" s="129" t="s">
        <v>39</v>
      </c>
      <c r="Q1118" s="111">
        <f t="shared" si="796"/>
        <v>35</v>
      </c>
      <c r="R1118" s="111">
        <f t="shared" si="830"/>
        <v>56</v>
      </c>
      <c r="S1118" s="129">
        <v>3</v>
      </c>
      <c r="T1118" s="129">
        <v>3</v>
      </c>
      <c r="U1118" s="129">
        <v>1</v>
      </c>
      <c r="W1118" s="111"/>
      <c r="AC1118" s="130"/>
      <c r="AD1118" s="130">
        <v>30392</v>
      </c>
      <c r="AE1118" s="128" t="s">
        <v>46</v>
      </c>
      <c r="AF1118" s="128" t="s">
        <v>33</v>
      </c>
      <c r="AG1118" s="128" t="s">
        <v>872</v>
      </c>
      <c r="AH1118" s="108" t="s">
        <v>58</v>
      </c>
      <c r="AI1118" s="128" t="s">
        <v>100</v>
      </c>
      <c r="AJ1118" s="129" t="s">
        <v>89</v>
      </c>
      <c r="AK1118" s="129">
        <v>4</v>
      </c>
      <c r="AL1118" s="3" t="s">
        <v>362</v>
      </c>
      <c r="AM1118" s="117">
        <v>3</v>
      </c>
      <c r="AP1118" s="129" t="s">
        <v>56</v>
      </c>
      <c r="AR1118" s="128" t="s">
        <v>50</v>
      </c>
      <c r="AS1118" s="129" t="s">
        <v>57</v>
      </c>
      <c r="BC1118" s="129" t="s">
        <v>38</v>
      </c>
      <c r="BF1118" s="111">
        <f t="shared" si="832"/>
        <v>35</v>
      </c>
      <c r="BG1118" s="111">
        <f t="shared" si="833"/>
        <v>81</v>
      </c>
      <c r="BH1118" s="111">
        <f t="shared" si="800"/>
        <v>56</v>
      </c>
      <c r="BI1118" s="111">
        <f t="shared" si="801"/>
        <v>28.898907103825138</v>
      </c>
      <c r="BJ1118" s="129">
        <f>(G1118-J1118)+(M1118-G1118)</f>
        <v>0</v>
      </c>
      <c r="BK1118" s="129">
        <f t="shared" si="802"/>
        <v>-46</v>
      </c>
      <c r="BL1118" s="129" t="str">
        <f t="shared" si="831"/>
        <v>CONVICTION</v>
      </c>
      <c r="BM1118" s="129" t="s">
        <v>76</v>
      </c>
      <c r="BN1118" s="129" t="s">
        <v>88</v>
      </c>
      <c r="BP1118" s="137" t="str">
        <f t="shared" si="808"/>
        <v>CONVICTION</v>
      </c>
      <c r="BQ1118" s="128" t="str">
        <f t="shared" si="809"/>
        <v>Y</v>
      </c>
      <c r="BR1118" s="129" t="str">
        <f>IF(J1118&lt;G1118,"ON BOND",0)</f>
        <v>ON BOND</v>
      </c>
      <c r="BS1118" s="129" t="str">
        <f t="shared" si="811"/>
        <v>DISPOSED</v>
      </c>
      <c r="BT1118" s="129" t="str">
        <f t="shared" si="812"/>
        <v>Y</v>
      </c>
      <c r="BU1118" s="109">
        <f t="shared" si="822"/>
        <v>0.625</v>
      </c>
      <c r="BV1118" s="109">
        <f t="shared" si="813"/>
        <v>0.625</v>
      </c>
      <c r="BW1118" s="109">
        <f t="shared" si="792"/>
        <v>0</v>
      </c>
      <c r="BX1118" s="111">
        <f t="shared" si="814"/>
        <v>0</v>
      </c>
      <c r="BY1118" s="129">
        <f t="shared" si="815"/>
        <v>-35</v>
      </c>
      <c r="BZ1118" s="111">
        <f t="shared" si="816"/>
        <v>0</v>
      </c>
      <c r="CA1118" s="138">
        <f t="shared" si="817"/>
        <v>35</v>
      </c>
      <c r="CB1118" s="111" t="e">
        <f t="shared" si="834"/>
        <v>#VALUE!</v>
      </c>
      <c r="CC1118" s="129">
        <f>M1118-I1118+1</f>
        <v>35</v>
      </c>
      <c r="CD1118" s="111">
        <f>CC1118-BF1118</f>
        <v>0</v>
      </c>
      <c r="CE1118" s="129">
        <f t="shared" si="820"/>
        <v>46</v>
      </c>
      <c r="CG1118" s="129" t="str">
        <f t="shared" si="821"/>
        <v>Y</v>
      </c>
      <c r="CI1118" s="129" t="str">
        <f t="shared" si="823"/>
        <v>31-60 DAYS</v>
      </c>
      <c r="CJ1118" s="137">
        <f t="shared" si="824"/>
        <v>3</v>
      </c>
      <c r="CK1118" s="129" t="str">
        <f t="shared" si="825"/>
        <v>Booked</v>
      </c>
    </row>
    <row r="1119" spans="1:89" ht="15" customHeight="1" x14ac:dyDescent="0.25">
      <c r="A1119" s="111">
        <v>1416</v>
      </c>
      <c r="B1119" s="128" t="str">
        <f t="shared" si="803"/>
        <v>N</v>
      </c>
      <c r="C1119" s="128" t="str">
        <f t="shared" si="804"/>
        <v>N</v>
      </c>
      <c r="D1119" s="117">
        <v>1809803</v>
      </c>
      <c r="E1119" s="135">
        <f t="shared" si="805"/>
        <v>6</v>
      </c>
      <c r="F1119" s="124">
        <v>40961</v>
      </c>
      <c r="G1119" s="125">
        <v>41569</v>
      </c>
      <c r="H1119" s="117">
        <v>1809803</v>
      </c>
      <c r="I1119" s="124">
        <v>40961</v>
      </c>
      <c r="J1119" s="124">
        <v>40964</v>
      </c>
      <c r="K1119" s="126">
        <v>200000</v>
      </c>
      <c r="L1119" s="129" t="s">
        <v>572</v>
      </c>
      <c r="M1119" s="125">
        <v>40964</v>
      </c>
      <c r="N1119" s="129" t="str">
        <f t="shared" si="835"/>
        <v>Y</v>
      </c>
      <c r="O1119" s="128" t="s">
        <v>76</v>
      </c>
      <c r="P1119" s="129" t="s">
        <v>39</v>
      </c>
      <c r="Q1119" s="111">
        <v>4</v>
      </c>
      <c r="R1119" s="111">
        <f t="shared" si="830"/>
        <v>609</v>
      </c>
      <c r="S1119" s="129">
        <v>0</v>
      </c>
      <c r="T1119" s="129">
        <v>4</v>
      </c>
      <c r="W1119" s="111"/>
      <c r="AC1119" s="130"/>
      <c r="AD1119" s="130">
        <v>29928</v>
      </c>
      <c r="AE1119" s="128" t="s">
        <v>32</v>
      </c>
      <c r="AF1119" s="128" t="s">
        <v>40</v>
      </c>
      <c r="AG1119" s="128" t="s">
        <v>41</v>
      </c>
      <c r="AH1119" s="108" t="s">
        <v>41</v>
      </c>
      <c r="AI1119" s="128" t="s">
        <v>59</v>
      </c>
      <c r="AJ1119" s="129" t="s">
        <v>89</v>
      </c>
      <c r="AK1119" s="129">
        <v>20</v>
      </c>
      <c r="AL1119" s="3" t="s">
        <v>362</v>
      </c>
      <c r="AM1119" s="117">
        <v>4</v>
      </c>
      <c r="AP1119" s="129" t="s">
        <v>124</v>
      </c>
      <c r="AR1119" s="128" t="s">
        <v>67</v>
      </c>
      <c r="AS1119" s="129" t="s">
        <v>45</v>
      </c>
      <c r="BC1119" s="129" t="s">
        <v>52</v>
      </c>
      <c r="BF1119" s="111">
        <v>4</v>
      </c>
      <c r="BG1119" s="111">
        <f t="shared" si="833"/>
        <v>609</v>
      </c>
      <c r="BH1119" s="111">
        <f t="shared" si="800"/>
        <v>609</v>
      </c>
      <c r="BI1119" s="111">
        <f t="shared" si="801"/>
        <v>30.144808743169399</v>
      </c>
      <c r="BJ1119" s="129">
        <f>(G1119-J1119)+(M1119-G1119)</f>
        <v>0</v>
      </c>
      <c r="BK1119" s="129">
        <f t="shared" si="802"/>
        <v>-605</v>
      </c>
      <c r="BL1119" s="129" t="str">
        <f t="shared" si="831"/>
        <v>CONVICTION</v>
      </c>
      <c r="BM1119" s="129" t="s">
        <v>76</v>
      </c>
      <c r="BN1119" s="129" t="s">
        <v>566</v>
      </c>
      <c r="BP1119" s="137" t="str">
        <f t="shared" si="808"/>
        <v>CONVICTION</v>
      </c>
      <c r="BQ1119" s="128" t="str">
        <f t="shared" si="809"/>
        <v>Y</v>
      </c>
      <c r="BR1119" s="129" t="str">
        <f>IF(J1119&lt;G1119,"ON BOND",0)</f>
        <v>ON BOND</v>
      </c>
      <c r="BS1119" s="129" t="str">
        <f t="shared" si="811"/>
        <v>DISPOSED</v>
      </c>
      <c r="BT1119" s="129" t="str">
        <f t="shared" si="812"/>
        <v>N</v>
      </c>
      <c r="BU1119" s="109">
        <f t="shared" si="822"/>
        <v>6.5681444991789817E-3</v>
      </c>
      <c r="BV1119" s="109">
        <f t="shared" si="813"/>
        <v>6.5681444991789817E-3</v>
      </c>
      <c r="BW1119" s="109">
        <f t="shared" ref="BW1119:BW1179" si="836">BV1119-BU1119</f>
        <v>0</v>
      </c>
      <c r="BX1119" s="111">
        <f t="shared" si="814"/>
        <v>0</v>
      </c>
      <c r="BY1119" s="129">
        <f t="shared" si="815"/>
        <v>-4</v>
      </c>
      <c r="BZ1119" s="111">
        <f t="shared" si="816"/>
        <v>0</v>
      </c>
      <c r="CA1119" s="138">
        <f t="shared" si="817"/>
        <v>4</v>
      </c>
      <c r="CB1119" s="111">
        <v>4</v>
      </c>
      <c r="CC1119" s="129">
        <f>M1119-I1119+1</f>
        <v>4</v>
      </c>
      <c r="CD1119" s="111">
        <f>CC1119-BF1119</f>
        <v>0</v>
      </c>
      <c r="CE1119" s="129">
        <f t="shared" si="820"/>
        <v>605</v>
      </c>
      <c r="CG1119" s="129" t="str">
        <f t="shared" si="821"/>
        <v>Y</v>
      </c>
      <c r="CI1119" s="129" t="str">
        <f t="shared" si="823"/>
        <v>0-10 DAYS</v>
      </c>
      <c r="CJ1119" s="137">
        <f t="shared" si="824"/>
        <v>1</v>
      </c>
      <c r="CK1119" s="129" t="str">
        <f t="shared" si="825"/>
        <v>Booked</v>
      </c>
    </row>
    <row r="1120" spans="1:89" ht="15" customHeight="1" x14ac:dyDescent="0.25">
      <c r="A1120" s="111">
        <v>2714</v>
      </c>
      <c r="B1120" s="128" t="str">
        <f t="shared" si="803"/>
        <v>N</v>
      </c>
      <c r="C1120" s="128" t="str">
        <f t="shared" si="804"/>
        <v>N</v>
      </c>
      <c r="D1120" s="117">
        <v>1810194</v>
      </c>
      <c r="E1120" s="135">
        <f t="shared" si="805"/>
        <v>5</v>
      </c>
      <c r="F1120" s="124">
        <v>41009</v>
      </c>
      <c r="G1120" s="125">
        <v>41012</v>
      </c>
      <c r="H1120" s="117">
        <v>1810194</v>
      </c>
      <c r="I1120" s="124">
        <v>41010</v>
      </c>
      <c r="J1120" s="124">
        <v>41012</v>
      </c>
      <c r="K1120" s="126">
        <v>15000</v>
      </c>
      <c r="L1120" s="127" t="s">
        <v>571</v>
      </c>
      <c r="N1120" s="129" t="str">
        <f t="shared" si="835"/>
        <v>N</v>
      </c>
      <c r="O1120" s="128" t="s">
        <v>917</v>
      </c>
      <c r="P1120" s="129" t="s">
        <v>39</v>
      </c>
      <c r="Q1120" s="111">
        <f t="shared" ref="Q1120:Q1151" si="837">BF1120</f>
        <v>3</v>
      </c>
      <c r="R1120" s="111">
        <f t="shared" si="830"/>
        <v>4</v>
      </c>
      <c r="S1120" s="129">
        <v>2</v>
      </c>
      <c r="T1120" s="129">
        <v>2</v>
      </c>
      <c r="U1120" s="129">
        <v>2</v>
      </c>
      <c r="W1120" s="111"/>
      <c r="AC1120" s="130"/>
      <c r="AD1120" s="130">
        <v>29151</v>
      </c>
      <c r="AE1120" s="128" t="s">
        <v>32</v>
      </c>
      <c r="AF1120" s="128" t="s">
        <v>33</v>
      </c>
      <c r="AG1120" s="128" t="s">
        <v>872</v>
      </c>
      <c r="AH1120" s="108" t="s">
        <v>31</v>
      </c>
      <c r="AI1120" s="128" t="s">
        <v>83</v>
      </c>
      <c r="AJ1120" s="129" t="s">
        <v>89</v>
      </c>
      <c r="AK1120" s="129">
        <v>2</v>
      </c>
      <c r="AL1120" s="3" t="s">
        <v>992</v>
      </c>
      <c r="AN1120" s="117">
        <v>12</v>
      </c>
      <c r="AP1120" s="129" t="s">
        <v>121</v>
      </c>
      <c r="AR1120" s="128" t="s">
        <v>44</v>
      </c>
      <c r="AS1120" s="129" t="s">
        <v>122</v>
      </c>
      <c r="BC1120" s="129" t="s">
        <v>38</v>
      </c>
      <c r="BF1120" s="111">
        <f t="shared" si="832"/>
        <v>3</v>
      </c>
      <c r="BG1120" s="111">
        <f t="shared" si="833"/>
        <v>3</v>
      </c>
      <c r="BH1120" s="111">
        <f t="shared" si="800"/>
        <v>4</v>
      </c>
      <c r="BI1120" s="111">
        <f t="shared" si="801"/>
        <v>32.398907103825138</v>
      </c>
      <c r="BJ1120" s="129">
        <f t="shared" si="806"/>
        <v>0</v>
      </c>
      <c r="BK1120" s="129">
        <f t="shared" si="802"/>
        <v>0</v>
      </c>
      <c r="BL1120" s="129" t="str">
        <f t="shared" si="831"/>
        <v>CONVICTION</v>
      </c>
      <c r="BM1120" s="129" t="str">
        <f t="shared" si="807"/>
        <v>NONE</v>
      </c>
      <c r="BN1120" s="129" t="s">
        <v>566</v>
      </c>
      <c r="BP1120" s="137" t="str">
        <f t="shared" si="808"/>
        <v>CONVICTION</v>
      </c>
      <c r="BQ1120" s="128" t="str">
        <f t="shared" si="809"/>
        <v>Y</v>
      </c>
      <c r="BR1120" s="129" t="str">
        <f t="shared" si="810"/>
        <v>DETAINED</v>
      </c>
      <c r="BS1120" s="129" t="str">
        <f t="shared" si="811"/>
        <v>DISPOSED</v>
      </c>
      <c r="BT1120" s="129" t="str">
        <f t="shared" si="812"/>
        <v>Y</v>
      </c>
      <c r="BU1120" s="109">
        <f t="shared" si="822"/>
        <v>0.75</v>
      </c>
      <c r="BV1120" s="109">
        <f t="shared" si="813"/>
        <v>1</v>
      </c>
      <c r="BW1120" s="109">
        <f t="shared" si="836"/>
        <v>0.25</v>
      </c>
      <c r="BX1120" s="111">
        <f t="shared" si="814"/>
        <v>0</v>
      </c>
      <c r="BY1120" s="129">
        <f t="shared" si="815"/>
        <v>-3</v>
      </c>
      <c r="BZ1120" s="111">
        <f t="shared" si="816"/>
        <v>0</v>
      </c>
      <c r="CA1120" s="138">
        <f t="shared" si="817"/>
        <v>3</v>
      </c>
      <c r="CB1120" s="111" t="e">
        <f t="shared" si="834"/>
        <v>#VALUE!</v>
      </c>
      <c r="CC1120" s="129">
        <f t="shared" ref="CC1120:CC1125" si="838">G1120-I1120+1</f>
        <v>3</v>
      </c>
      <c r="CD1120" s="129">
        <f t="shared" ref="CD1120:CD1125" si="839">G1120-J1120</f>
        <v>0</v>
      </c>
      <c r="CE1120" s="129">
        <f t="shared" si="820"/>
        <v>0</v>
      </c>
      <c r="CG1120" s="129" t="str">
        <f t="shared" si="821"/>
        <v>Y</v>
      </c>
      <c r="CI1120" s="129" t="str">
        <f t="shared" si="823"/>
        <v>0-10 DAYS</v>
      </c>
      <c r="CJ1120" s="137">
        <f t="shared" si="824"/>
        <v>1</v>
      </c>
      <c r="CK1120" s="129" t="str">
        <f t="shared" si="825"/>
        <v>Booked</v>
      </c>
    </row>
    <row r="1121" spans="1:89" ht="15.75" customHeight="1" x14ac:dyDescent="0.25">
      <c r="A1121" s="111">
        <v>1478</v>
      </c>
      <c r="B1121" s="128" t="str">
        <f t="shared" si="803"/>
        <v>N</v>
      </c>
      <c r="C1121" s="128" t="str">
        <f t="shared" si="804"/>
        <v>N</v>
      </c>
      <c r="D1121" s="117">
        <v>1810517</v>
      </c>
      <c r="E1121" s="135">
        <f t="shared" si="805"/>
        <v>5</v>
      </c>
      <c r="F1121" s="124">
        <v>40963</v>
      </c>
      <c r="G1121" s="125">
        <v>40966</v>
      </c>
      <c r="H1121" s="117">
        <v>1810517</v>
      </c>
      <c r="I1121" s="124">
        <v>40963</v>
      </c>
      <c r="J1121" s="124">
        <v>40966</v>
      </c>
      <c r="K1121" s="126">
        <v>45000</v>
      </c>
      <c r="L1121" s="129" t="s">
        <v>572</v>
      </c>
      <c r="N1121" s="129" t="str">
        <f t="shared" si="835"/>
        <v>N</v>
      </c>
      <c r="O1121" s="128" t="s">
        <v>917</v>
      </c>
      <c r="P1121" s="129" t="s">
        <v>39</v>
      </c>
      <c r="Q1121" s="111">
        <f t="shared" si="837"/>
        <v>4</v>
      </c>
      <c r="R1121" s="111">
        <f t="shared" si="830"/>
        <v>4</v>
      </c>
      <c r="S1121" s="129">
        <v>3</v>
      </c>
      <c r="T1121" s="129">
        <v>2</v>
      </c>
      <c r="U1121" s="129">
        <v>1</v>
      </c>
      <c r="W1121" s="111"/>
      <c r="AC1121" s="130"/>
      <c r="AD1121" s="130">
        <v>30361</v>
      </c>
      <c r="AE1121" s="128" t="s">
        <v>46</v>
      </c>
      <c r="AF1121" s="128" t="s">
        <v>33</v>
      </c>
      <c r="AG1121" s="128" t="s">
        <v>872</v>
      </c>
      <c r="AH1121" s="108" t="s">
        <v>31</v>
      </c>
      <c r="AI1121" s="128" t="s">
        <v>65</v>
      </c>
      <c r="AJ1121" s="129" t="s">
        <v>89</v>
      </c>
      <c r="AK1121" s="129">
        <v>1</v>
      </c>
      <c r="AL1121" s="3" t="s">
        <v>992</v>
      </c>
      <c r="AN1121" s="117">
        <v>9</v>
      </c>
      <c r="AP1121" s="129" t="s">
        <v>60</v>
      </c>
      <c r="AR1121" s="128" t="s">
        <v>44</v>
      </c>
      <c r="AS1121" s="129" t="s">
        <v>61</v>
      </c>
      <c r="BC1121" s="129" t="s">
        <v>38</v>
      </c>
      <c r="BF1121" s="111">
        <f t="shared" si="832"/>
        <v>4</v>
      </c>
      <c r="BG1121" s="111">
        <f t="shared" si="833"/>
        <v>4</v>
      </c>
      <c r="BH1121" s="111">
        <f t="shared" si="800"/>
        <v>4</v>
      </c>
      <c r="BI1121" s="111">
        <f t="shared" si="801"/>
        <v>28.967213114754099</v>
      </c>
      <c r="BJ1121" s="129">
        <f t="shared" si="806"/>
        <v>0</v>
      </c>
      <c r="BK1121" s="129">
        <f t="shared" si="802"/>
        <v>0</v>
      </c>
      <c r="BL1121" s="129" t="str">
        <f t="shared" si="831"/>
        <v>CONVICTION</v>
      </c>
      <c r="BM1121" s="129" t="str">
        <f t="shared" si="807"/>
        <v>NONE</v>
      </c>
      <c r="BN1121" s="129" t="s">
        <v>566</v>
      </c>
      <c r="BP1121" s="137" t="str">
        <f t="shared" si="808"/>
        <v>CONVICTION</v>
      </c>
      <c r="BQ1121" s="128" t="str">
        <f t="shared" si="809"/>
        <v>Y</v>
      </c>
      <c r="BR1121" s="129" t="str">
        <f t="shared" si="810"/>
        <v>DETAINED</v>
      </c>
      <c r="BS1121" s="129" t="str">
        <f t="shared" si="811"/>
        <v>DISPOSED</v>
      </c>
      <c r="BT1121" s="129" t="str">
        <f t="shared" si="812"/>
        <v>Y</v>
      </c>
      <c r="BU1121" s="109">
        <f t="shared" si="822"/>
        <v>1</v>
      </c>
      <c r="BV1121" s="109">
        <f t="shared" si="813"/>
        <v>1</v>
      </c>
      <c r="BW1121" s="109">
        <f t="shared" si="836"/>
        <v>0</v>
      </c>
      <c r="BX1121" s="111">
        <f t="shared" si="814"/>
        <v>0</v>
      </c>
      <c r="BY1121" s="129">
        <f t="shared" si="815"/>
        <v>-4</v>
      </c>
      <c r="BZ1121" s="111">
        <f t="shared" si="816"/>
        <v>0</v>
      </c>
      <c r="CA1121" s="138">
        <f t="shared" si="817"/>
        <v>4</v>
      </c>
      <c r="CB1121" s="111" t="e">
        <f t="shared" si="834"/>
        <v>#VALUE!</v>
      </c>
      <c r="CC1121" s="129">
        <f t="shared" si="838"/>
        <v>4</v>
      </c>
      <c r="CD1121" s="129">
        <f t="shared" si="839"/>
        <v>0</v>
      </c>
      <c r="CE1121" s="129">
        <f t="shared" si="820"/>
        <v>0</v>
      </c>
      <c r="CG1121" s="129" t="str">
        <f t="shared" si="821"/>
        <v>Y</v>
      </c>
      <c r="CI1121" s="129" t="str">
        <f t="shared" si="823"/>
        <v>0-10 DAYS</v>
      </c>
      <c r="CJ1121" s="137">
        <f t="shared" si="824"/>
        <v>1</v>
      </c>
      <c r="CK1121" s="129" t="str">
        <f t="shared" si="825"/>
        <v>Booked</v>
      </c>
    </row>
    <row r="1122" spans="1:89" ht="15" customHeight="1" x14ac:dyDescent="0.25">
      <c r="A1122" s="111">
        <v>1202</v>
      </c>
      <c r="B1122" s="128" t="str">
        <f t="shared" si="803"/>
        <v>N</v>
      </c>
      <c r="C1122" s="128" t="str">
        <f t="shared" si="804"/>
        <v>Y</v>
      </c>
      <c r="D1122" s="117">
        <v>1812244</v>
      </c>
      <c r="E1122" s="135">
        <f t="shared" si="805"/>
        <v>3</v>
      </c>
      <c r="F1122" s="124">
        <v>40953</v>
      </c>
      <c r="G1122" s="125">
        <v>41002</v>
      </c>
      <c r="H1122" s="117">
        <v>1812244</v>
      </c>
      <c r="I1122" s="124">
        <v>40953</v>
      </c>
      <c r="J1122" s="124">
        <v>40954</v>
      </c>
      <c r="K1122" s="126">
        <v>12000</v>
      </c>
      <c r="L1122" s="127" t="s">
        <v>571</v>
      </c>
      <c r="M1122" s="125">
        <v>40954</v>
      </c>
      <c r="N1122" s="129" t="str">
        <f t="shared" si="835"/>
        <v>Y</v>
      </c>
      <c r="O1122" s="128" t="s">
        <v>585</v>
      </c>
      <c r="P1122" s="129" t="s">
        <v>39</v>
      </c>
      <c r="Q1122" s="111">
        <v>29</v>
      </c>
      <c r="R1122" s="111">
        <f t="shared" si="830"/>
        <v>50</v>
      </c>
      <c r="S1122" s="129">
        <v>0</v>
      </c>
      <c r="T1122" s="129">
        <v>3</v>
      </c>
      <c r="W1122" s="111"/>
      <c r="AC1122" s="130"/>
      <c r="AD1122" s="130">
        <v>29483</v>
      </c>
      <c r="AE1122" s="128" t="s">
        <v>46</v>
      </c>
      <c r="AF1122" s="128" t="s">
        <v>69</v>
      </c>
      <c r="AG1122" s="128" t="s">
        <v>874</v>
      </c>
      <c r="AH1122" s="108" t="s">
        <v>58</v>
      </c>
      <c r="AI1122" s="128" t="s">
        <v>42</v>
      </c>
      <c r="AJ1122" s="129" t="s">
        <v>89</v>
      </c>
      <c r="AK1122" s="129">
        <v>3</v>
      </c>
      <c r="AL1122" s="3" t="s">
        <v>185</v>
      </c>
      <c r="AP1122" s="129" t="s">
        <v>103</v>
      </c>
      <c r="AR1122" s="128" t="s">
        <v>44</v>
      </c>
      <c r="AS1122" s="129" t="s">
        <v>45</v>
      </c>
      <c r="AU1122" s="3" t="s">
        <v>715</v>
      </c>
      <c r="AX1122" s="32" t="s">
        <v>88</v>
      </c>
      <c r="BC1122" s="129" t="s">
        <v>52</v>
      </c>
      <c r="BF1122" s="111">
        <v>29</v>
      </c>
      <c r="BG1122" s="111">
        <f t="shared" si="833"/>
        <v>50</v>
      </c>
      <c r="BH1122" s="111">
        <f t="shared" si="800"/>
        <v>50</v>
      </c>
      <c r="BI1122" s="111">
        <f t="shared" si="801"/>
        <v>31.338797814207652</v>
      </c>
      <c r="BJ1122" s="129">
        <f>(G1122-J1122)+(M1122-G1122)</f>
        <v>0</v>
      </c>
      <c r="BK1122" s="129">
        <f t="shared" si="802"/>
        <v>-48</v>
      </c>
      <c r="BL1122" s="129" t="str">
        <f t="shared" si="831"/>
        <v>CONVICTION</v>
      </c>
      <c r="BM1122" s="129" t="s">
        <v>76</v>
      </c>
      <c r="BN1122" s="129" t="s">
        <v>88</v>
      </c>
      <c r="BP1122" s="137" t="str">
        <f t="shared" si="808"/>
        <v>CONVICTION</v>
      </c>
      <c r="BQ1122" s="128" t="str">
        <f t="shared" si="809"/>
        <v>Y</v>
      </c>
      <c r="BR1122" s="129" t="s">
        <v>574</v>
      </c>
      <c r="BS1122" s="129" t="str">
        <f t="shared" si="811"/>
        <v>DISPOSED</v>
      </c>
      <c r="BT1122" s="129" t="str">
        <f t="shared" si="812"/>
        <v>N</v>
      </c>
      <c r="BU1122" s="109">
        <f t="shared" si="822"/>
        <v>0.57999999999999996</v>
      </c>
      <c r="BV1122" s="109">
        <f t="shared" si="813"/>
        <v>0.04</v>
      </c>
      <c r="BW1122" s="109">
        <f t="shared" si="836"/>
        <v>-0.53999999999999992</v>
      </c>
      <c r="BX1122" s="111">
        <f t="shared" si="814"/>
        <v>0</v>
      </c>
      <c r="BY1122" s="129">
        <f t="shared" si="815"/>
        <v>-2</v>
      </c>
      <c r="BZ1122" s="111">
        <f t="shared" si="816"/>
        <v>27</v>
      </c>
      <c r="CA1122" s="138">
        <f t="shared" si="817"/>
        <v>50</v>
      </c>
      <c r="CB1122" s="111">
        <v>29</v>
      </c>
      <c r="CC1122" s="129">
        <f t="shared" si="838"/>
        <v>50</v>
      </c>
      <c r="CD1122" s="129">
        <f t="shared" si="839"/>
        <v>48</v>
      </c>
      <c r="CE1122" s="129">
        <f t="shared" si="820"/>
        <v>48</v>
      </c>
      <c r="CG1122" s="129" t="str">
        <f t="shared" si="821"/>
        <v>Y</v>
      </c>
      <c r="CI1122" s="129" t="str">
        <f t="shared" si="823"/>
        <v>11-30 DAYS</v>
      </c>
      <c r="CJ1122" s="137">
        <f t="shared" si="824"/>
        <v>2</v>
      </c>
      <c r="CK1122" s="129" t="str">
        <f t="shared" si="825"/>
        <v>Booked</v>
      </c>
    </row>
    <row r="1123" spans="1:89" ht="15" customHeight="1" x14ac:dyDescent="0.25">
      <c r="A1123" s="111">
        <v>1601</v>
      </c>
      <c r="B1123" s="128" t="str">
        <f t="shared" si="803"/>
        <v>N</v>
      </c>
      <c r="C1123" s="128" t="str">
        <f t="shared" si="804"/>
        <v>N</v>
      </c>
      <c r="D1123" s="117">
        <v>1812245</v>
      </c>
      <c r="E1123" s="135">
        <f t="shared" si="805"/>
        <v>6</v>
      </c>
      <c r="F1123" s="124">
        <v>40968</v>
      </c>
      <c r="G1123" s="125">
        <v>41024</v>
      </c>
      <c r="H1123" s="117">
        <v>1812245</v>
      </c>
      <c r="I1123" s="124">
        <v>40968</v>
      </c>
      <c r="J1123" s="124">
        <v>41024</v>
      </c>
      <c r="K1123" s="126">
        <v>20000</v>
      </c>
      <c r="L1123" s="127" t="s">
        <v>571</v>
      </c>
      <c r="N1123" s="129" t="str">
        <f t="shared" si="835"/>
        <v>N</v>
      </c>
      <c r="O1123" s="128" t="s">
        <v>917</v>
      </c>
      <c r="P1123" s="129" t="s">
        <v>39</v>
      </c>
      <c r="Q1123" s="111">
        <f t="shared" si="837"/>
        <v>57</v>
      </c>
      <c r="R1123" s="111">
        <f t="shared" si="830"/>
        <v>57</v>
      </c>
      <c r="S1123" s="129">
        <v>3</v>
      </c>
      <c r="T1123" s="129">
        <v>0</v>
      </c>
      <c r="U1123" s="129">
        <v>1</v>
      </c>
      <c r="W1123" s="111"/>
      <c r="AC1123" s="130"/>
      <c r="AD1123" s="130">
        <v>30168</v>
      </c>
      <c r="AE1123" s="128" t="s">
        <v>32</v>
      </c>
      <c r="AF1123" s="128" t="s">
        <v>40</v>
      </c>
      <c r="AG1123" s="128" t="s">
        <v>41</v>
      </c>
      <c r="AH1123" s="108" t="s">
        <v>41</v>
      </c>
      <c r="AI1123" s="128" t="s">
        <v>70</v>
      </c>
      <c r="AJ1123" s="129" t="s">
        <v>89</v>
      </c>
      <c r="AK1123" s="129">
        <v>4</v>
      </c>
      <c r="AL1123" s="3" t="s">
        <v>362</v>
      </c>
      <c r="AM1123" s="117">
        <v>3</v>
      </c>
      <c r="AP1123" s="129" t="s">
        <v>93</v>
      </c>
      <c r="AR1123" s="128" t="s">
        <v>67</v>
      </c>
      <c r="AS1123" s="129" t="s">
        <v>45</v>
      </c>
      <c r="BC1123" s="129" t="s">
        <v>38</v>
      </c>
      <c r="BF1123" s="111">
        <f t="shared" si="832"/>
        <v>57</v>
      </c>
      <c r="BG1123" s="111">
        <f t="shared" si="833"/>
        <v>57</v>
      </c>
      <c r="BH1123" s="111">
        <f t="shared" si="800"/>
        <v>57</v>
      </c>
      <c r="BI1123" s="111">
        <f t="shared" si="801"/>
        <v>29.508196721311474</v>
      </c>
      <c r="BJ1123" s="129">
        <f t="shared" si="806"/>
        <v>0</v>
      </c>
      <c r="BK1123" s="129">
        <f t="shared" si="802"/>
        <v>0</v>
      </c>
      <c r="BL1123" s="129" t="str">
        <f t="shared" si="831"/>
        <v>CONVICTION</v>
      </c>
      <c r="BM1123" s="129" t="str">
        <f t="shared" si="807"/>
        <v>NONE</v>
      </c>
      <c r="BN1123" s="129" t="s">
        <v>566</v>
      </c>
      <c r="BP1123" s="137" t="str">
        <f t="shared" si="808"/>
        <v>CONVICTION</v>
      </c>
      <c r="BQ1123" s="128" t="str">
        <f t="shared" si="809"/>
        <v>Y</v>
      </c>
      <c r="BR1123" s="129" t="str">
        <f t="shared" si="810"/>
        <v>DETAINED</v>
      </c>
      <c r="BS1123" s="129" t="str">
        <f t="shared" si="811"/>
        <v>DISPOSED</v>
      </c>
      <c r="BT1123" s="129" t="str">
        <f t="shared" si="812"/>
        <v>Y</v>
      </c>
      <c r="BU1123" s="109">
        <f t="shared" si="822"/>
        <v>1</v>
      </c>
      <c r="BV1123" s="109">
        <f t="shared" si="813"/>
        <v>1</v>
      </c>
      <c r="BW1123" s="109">
        <f t="shared" si="836"/>
        <v>0</v>
      </c>
      <c r="BX1123" s="111">
        <f t="shared" si="814"/>
        <v>0</v>
      </c>
      <c r="BY1123" s="129">
        <f t="shared" si="815"/>
        <v>-57</v>
      </c>
      <c r="BZ1123" s="111">
        <f t="shared" si="816"/>
        <v>0</v>
      </c>
      <c r="CA1123" s="138">
        <f t="shared" si="817"/>
        <v>57</v>
      </c>
      <c r="CB1123" s="111" t="e">
        <f t="shared" si="834"/>
        <v>#VALUE!</v>
      </c>
      <c r="CC1123" s="129">
        <f t="shared" si="838"/>
        <v>57</v>
      </c>
      <c r="CD1123" s="129">
        <f t="shared" si="839"/>
        <v>0</v>
      </c>
      <c r="CE1123" s="129">
        <f t="shared" si="820"/>
        <v>0</v>
      </c>
      <c r="CG1123" s="129" t="str">
        <f t="shared" si="821"/>
        <v>Y</v>
      </c>
      <c r="CI1123" s="129" t="str">
        <f t="shared" si="823"/>
        <v>31-60 DAYS</v>
      </c>
      <c r="CJ1123" s="137">
        <f t="shared" si="824"/>
        <v>3</v>
      </c>
      <c r="CK1123" s="129" t="str">
        <f t="shared" si="825"/>
        <v>Booked</v>
      </c>
    </row>
    <row r="1124" spans="1:89" ht="15" customHeight="1" x14ac:dyDescent="0.25">
      <c r="A1124" s="111">
        <v>3209</v>
      </c>
      <c r="B1124" s="128" t="str">
        <f t="shared" si="803"/>
        <v>N</v>
      </c>
      <c r="C1124" s="128" t="str">
        <f t="shared" si="804"/>
        <v>N</v>
      </c>
      <c r="D1124" s="117">
        <v>1813392</v>
      </c>
      <c r="E1124" s="135">
        <f t="shared" si="805"/>
        <v>6</v>
      </c>
      <c r="F1124" s="124">
        <v>41027</v>
      </c>
      <c r="G1124" s="125">
        <v>41087</v>
      </c>
      <c r="H1124" s="117">
        <v>1813392</v>
      </c>
      <c r="I1124" s="124">
        <v>41027</v>
      </c>
      <c r="J1124" s="124">
        <v>41087</v>
      </c>
      <c r="K1124" s="126">
        <v>20000</v>
      </c>
      <c r="L1124" s="127" t="s">
        <v>571</v>
      </c>
      <c r="N1124" s="129" t="str">
        <f t="shared" si="835"/>
        <v>N</v>
      </c>
      <c r="O1124" s="128" t="s">
        <v>917</v>
      </c>
      <c r="P1124" s="129" t="s">
        <v>39</v>
      </c>
      <c r="Q1124" s="111">
        <f t="shared" si="837"/>
        <v>61</v>
      </c>
      <c r="R1124" s="111">
        <f t="shared" si="830"/>
        <v>61</v>
      </c>
      <c r="S1124" s="129">
        <v>0</v>
      </c>
      <c r="T1124" s="129">
        <v>1</v>
      </c>
      <c r="W1124" s="111"/>
      <c r="AC1124" s="130"/>
      <c r="AD1124" s="130">
        <v>29997</v>
      </c>
      <c r="AE1124" s="128" t="s">
        <v>32</v>
      </c>
      <c r="AF1124" s="128" t="s">
        <v>69</v>
      </c>
      <c r="AG1124" s="128" t="s">
        <v>874</v>
      </c>
      <c r="AH1124" s="108" t="s">
        <v>58</v>
      </c>
      <c r="AI1124" s="128" t="s">
        <v>47</v>
      </c>
      <c r="AJ1124" s="129" t="s">
        <v>89</v>
      </c>
      <c r="AK1124" s="129">
        <v>3</v>
      </c>
      <c r="AL1124" s="3" t="s">
        <v>362</v>
      </c>
      <c r="AM1124" s="117">
        <v>3</v>
      </c>
      <c r="AP1124" s="129" t="s">
        <v>132</v>
      </c>
      <c r="AR1124" s="128" t="s">
        <v>92</v>
      </c>
      <c r="AS1124" s="129" t="s">
        <v>82</v>
      </c>
      <c r="BC1124" s="129" t="s">
        <v>38</v>
      </c>
      <c r="BF1124" s="111">
        <f t="shared" si="832"/>
        <v>61</v>
      </c>
      <c r="BG1124" s="111">
        <f t="shared" si="833"/>
        <v>61</v>
      </c>
      <c r="BH1124" s="111">
        <f t="shared" si="800"/>
        <v>61</v>
      </c>
      <c r="BI1124" s="111">
        <f t="shared" si="801"/>
        <v>30.136612021857925</v>
      </c>
      <c r="BJ1124" s="129">
        <f t="shared" si="806"/>
        <v>0</v>
      </c>
      <c r="BK1124" s="129">
        <f t="shared" si="802"/>
        <v>0</v>
      </c>
      <c r="BL1124" s="129" t="str">
        <f t="shared" si="831"/>
        <v>CONVICTION</v>
      </c>
      <c r="BM1124" s="129" t="str">
        <f t="shared" si="807"/>
        <v>NONE</v>
      </c>
      <c r="BN1124" s="129" t="s">
        <v>566</v>
      </c>
      <c r="BP1124" s="137" t="str">
        <f t="shared" si="808"/>
        <v>CONVICTION</v>
      </c>
      <c r="BQ1124" s="128" t="str">
        <f t="shared" si="809"/>
        <v>Y</v>
      </c>
      <c r="BR1124" s="129" t="str">
        <f t="shared" si="810"/>
        <v>DETAINED</v>
      </c>
      <c r="BS1124" s="129" t="str">
        <f t="shared" si="811"/>
        <v>DISPOSED</v>
      </c>
      <c r="BT1124" s="129" t="str">
        <f t="shared" si="812"/>
        <v>N</v>
      </c>
      <c r="BU1124" s="109">
        <f t="shared" si="822"/>
        <v>1</v>
      </c>
      <c r="BV1124" s="109">
        <f t="shared" si="813"/>
        <v>1</v>
      </c>
      <c r="BW1124" s="109">
        <f t="shared" si="836"/>
        <v>0</v>
      </c>
      <c r="BX1124" s="111">
        <f t="shared" si="814"/>
        <v>0</v>
      </c>
      <c r="BY1124" s="129">
        <f t="shared" si="815"/>
        <v>-61</v>
      </c>
      <c r="BZ1124" s="111">
        <f t="shared" si="816"/>
        <v>0</v>
      </c>
      <c r="CA1124" s="138">
        <f t="shared" si="817"/>
        <v>61</v>
      </c>
      <c r="CB1124" s="111" t="e">
        <f t="shared" si="834"/>
        <v>#VALUE!</v>
      </c>
      <c r="CC1124" s="129">
        <f t="shared" si="838"/>
        <v>61</v>
      </c>
      <c r="CD1124" s="129">
        <f t="shared" si="839"/>
        <v>0</v>
      </c>
      <c r="CE1124" s="129">
        <f t="shared" si="820"/>
        <v>0</v>
      </c>
      <c r="CG1124" s="129" t="str">
        <f t="shared" si="821"/>
        <v>Y</v>
      </c>
      <c r="CI1124" s="129" t="str">
        <f t="shared" si="823"/>
        <v>61-90 DAYS</v>
      </c>
      <c r="CJ1124" s="137">
        <f t="shared" si="824"/>
        <v>4</v>
      </c>
      <c r="CK1124" s="129" t="str">
        <f t="shared" si="825"/>
        <v>Booked</v>
      </c>
    </row>
    <row r="1125" spans="1:89" ht="15.75" customHeight="1" x14ac:dyDescent="0.25">
      <c r="A1125" s="111">
        <v>2487</v>
      </c>
      <c r="B1125" s="128" t="str">
        <f t="shared" si="803"/>
        <v>N</v>
      </c>
      <c r="C1125" s="128" t="str">
        <f t="shared" si="804"/>
        <v>N</v>
      </c>
      <c r="D1125" s="117">
        <v>1813451</v>
      </c>
      <c r="E1125" s="135">
        <f t="shared" si="805"/>
        <v>4</v>
      </c>
      <c r="F1125" s="124">
        <v>41002</v>
      </c>
      <c r="G1125" s="125">
        <v>41008</v>
      </c>
      <c r="H1125" s="117">
        <v>1813451</v>
      </c>
      <c r="I1125" s="124">
        <v>41003</v>
      </c>
      <c r="J1125" s="124">
        <v>41008</v>
      </c>
      <c r="K1125" s="126">
        <v>30000</v>
      </c>
      <c r="L1125" s="129" t="s">
        <v>572</v>
      </c>
      <c r="N1125" s="129" t="str">
        <f t="shared" si="835"/>
        <v>N</v>
      </c>
      <c r="O1125" s="128" t="s">
        <v>917</v>
      </c>
      <c r="P1125" s="129" t="s">
        <v>39</v>
      </c>
      <c r="Q1125" s="111">
        <f t="shared" si="837"/>
        <v>6</v>
      </c>
      <c r="R1125" s="111">
        <f t="shared" si="830"/>
        <v>7</v>
      </c>
      <c r="S1125" s="129">
        <v>3</v>
      </c>
      <c r="T1125" s="129">
        <v>2</v>
      </c>
      <c r="U1125" s="129">
        <v>2</v>
      </c>
      <c r="W1125" s="111"/>
      <c r="AC1125" s="130"/>
      <c r="AD1125" s="130">
        <v>30180</v>
      </c>
      <c r="AE1125" s="128" t="s">
        <v>46</v>
      </c>
      <c r="AF1125" s="128" t="s">
        <v>69</v>
      </c>
      <c r="AG1125" s="128" t="s">
        <v>874</v>
      </c>
      <c r="AH1125" s="108" t="s">
        <v>58</v>
      </c>
      <c r="AI1125" s="128" t="s">
        <v>62</v>
      </c>
      <c r="AJ1125" s="129" t="s">
        <v>89</v>
      </c>
      <c r="AK1125" s="129">
        <v>2</v>
      </c>
      <c r="AL1125" s="3" t="s">
        <v>991</v>
      </c>
      <c r="AO1125" s="128">
        <v>180</v>
      </c>
      <c r="AP1125" s="129" t="s">
        <v>43</v>
      </c>
      <c r="AR1125" s="128" t="s">
        <v>44</v>
      </c>
      <c r="AS1125" s="129" t="s">
        <v>45</v>
      </c>
      <c r="AT1125" s="129" t="s">
        <v>449</v>
      </c>
      <c r="BC1125" s="129" t="s">
        <v>38</v>
      </c>
      <c r="BF1125" s="111">
        <f t="shared" si="832"/>
        <v>6</v>
      </c>
      <c r="BG1125" s="111">
        <f t="shared" si="833"/>
        <v>6</v>
      </c>
      <c r="BH1125" s="111">
        <f t="shared" si="800"/>
        <v>7</v>
      </c>
      <c r="BI1125" s="111">
        <f t="shared" si="801"/>
        <v>29.568306010928961</v>
      </c>
      <c r="BJ1125" s="129">
        <f t="shared" si="806"/>
        <v>0</v>
      </c>
      <c r="BK1125" s="129">
        <f t="shared" si="802"/>
        <v>0</v>
      </c>
      <c r="BL1125" s="129" t="str">
        <f t="shared" si="831"/>
        <v>CONVICTION</v>
      </c>
      <c r="BM1125" s="129" t="str">
        <f t="shared" si="807"/>
        <v>NONE</v>
      </c>
      <c r="BN1125" s="129" t="s">
        <v>566</v>
      </c>
      <c r="BP1125" s="137" t="str">
        <f t="shared" si="808"/>
        <v>CONVICTION</v>
      </c>
      <c r="BQ1125" s="128" t="str">
        <f t="shared" si="809"/>
        <v>Y</v>
      </c>
      <c r="BR1125" s="129" t="str">
        <f t="shared" si="810"/>
        <v>DETAINED</v>
      </c>
      <c r="BS1125" s="129" t="str">
        <f t="shared" si="811"/>
        <v>DISPOSED</v>
      </c>
      <c r="BT1125" s="129" t="str">
        <f t="shared" si="812"/>
        <v>Y</v>
      </c>
      <c r="BU1125" s="109">
        <f t="shared" si="822"/>
        <v>0.8571428571428571</v>
      </c>
      <c r="BV1125" s="109">
        <f t="shared" si="813"/>
        <v>1</v>
      </c>
      <c r="BW1125" s="109">
        <f t="shared" si="836"/>
        <v>0.1428571428571429</v>
      </c>
      <c r="BX1125" s="111">
        <f t="shared" si="814"/>
        <v>0</v>
      </c>
      <c r="BY1125" s="129">
        <f t="shared" si="815"/>
        <v>-6</v>
      </c>
      <c r="BZ1125" s="111">
        <f t="shared" si="816"/>
        <v>0</v>
      </c>
      <c r="CA1125" s="138">
        <f t="shared" si="817"/>
        <v>6</v>
      </c>
      <c r="CB1125" s="111" t="e">
        <f t="shared" si="834"/>
        <v>#VALUE!</v>
      </c>
      <c r="CC1125" s="129">
        <f t="shared" si="838"/>
        <v>6</v>
      </c>
      <c r="CD1125" s="129">
        <f t="shared" si="839"/>
        <v>0</v>
      </c>
      <c r="CE1125" s="129">
        <f t="shared" si="820"/>
        <v>0</v>
      </c>
      <c r="CG1125" s="129" t="str">
        <f t="shared" si="821"/>
        <v>Y</v>
      </c>
      <c r="CI1125" s="129" t="str">
        <f t="shared" si="823"/>
        <v>0-10 DAYS</v>
      </c>
      <c r="CJ1125" s="137">
        <f t="shared" si="824"/>
        <v>1</v>
      </c>
      <c r="CK1125" s="129" t="str">
        <f t="shared" si="825"/>
        <v>Booked</v>
      </c>
    </row>
    <row r="1126" spans="1:89" ht="15" customHeight="1" x14ac:dyDescent="0.25">
      <c r="A1126" s="111">
        <v>906</v>
      </c>
      <c r="B1126" s="128" t="str">
        <f t="shared" si="803"/>
        <v>N</v>
      </c>
      <c r="C1126" s="128" t="str">
        <f t="shared" si="804"/>
        <v>N</v>
      </c>
      <c r="D1126" s="117">
        <v>1814533</v>
      </c>
      <c r="E1126" s="135">
        <f t="shared" si="805"/>
        <v>1</v>
      </c>
      <c r="F1126" s="124">
        <v>40942</v>
      </c>
      <c r="G1126" s="125">
        <v>41131</v>
      </c>
      <c r="H1126" s="117">
        <v>1814533</v>
      </c>
      <c r="I1126" s="124">
        <v>40961</v>
      </c>
      <c r="J1126" s="124">
        <v>40963</v>
      </c>
      <c r="K1126" s="126">
        <v>20000</v>
      </c>
      <c r="L1126" s="127" t="s">
        <v>571</v>
      </c>
      <c r="M1126" s="125">
        <v>40963</v>
      </c>
      <c r="N1126" s="129" t="str">
        <f t="shared" si="835"/>
        <v>Y</v>
      </c>
      <c r="O1126" s="128" t="s">
        <v>76</v>
      </c>
      <c r="P1126" s="129" t="s">
        <v>55</v>
      </c>
      <c r="Q1126" s="111">
        <f t="shared" si="837"/>
        <v>3</v>
      </c>
      <c r="R1126" s="111">
        <f t="shared" si="830"/>
        <v>190</v>
      </c>
      <c r="S1126" s="129">
        <v>1</v>
      </c>
      <c r="T1126" s="129">
        <v>0</v>
      </c>
      <c r="U1126" s="129">
        <v>1</v>
      </c>
      <c r="W1126" s="111"/>
      <c r="AC1126" s="130"/>
      <c r="AD1126" s="130">
        <v>17889</v>
      </c>
      <c r="AE1126" s="128" t="s">
        <v>32</v>
      </c>
      <c r="AF1126" s="128" t="s">
        <v>69</v>
      </c>
      <c r="AG1126" s="128" t="s">
        <v>874</v>
      </c>
      <c r="AH1126" s="108" t="s">
        <v>58</v>
      </c>
      <c r="AI1126" s="128" t="s">
        <v>34</v>
      </c>
      <c r="AJ1126" s="129" t="s">
        <v>55</v>
      </c>
      <c r="AK1126" s="129">
        <v>8</v>
      </c>
      <c r="AL1126" s="3" t="s">
        <v>55</v>
      </c>
      <c r="AP1126" s="129" t="s">
        <v>262</v>
      </c>
      <c r="AR1126" s="128" t="s">
        <v>50</v>
      </c>
      <c r="AS1126" s="129" t="s">
        <v>64</v>
      </c>
      <c r="BC1126" s="129" t="s">
        <v>52</v>
      </c>
      <c r="BF1126" s="111">
        <f t="shared" si="832"/>
        <v>3</v>
      </c>
      <c r="BG1126" s="111">
        <f t="shared" si="833"/>
        <v>171</v>
      </c>
      <c r="BH1126" s="111">
        <f t="shared" si="800"/>
        <v>190</v>
      </c>
      <c r="BI1126" s="111">
        <f t="shared" si="801"/>
        <v>62.986338797814206</v>
      </c>
      <c r="BJ1126" s="129">
        <f>(G1126-J1126)+(M1126-G1126)</f>
        <v>0</v>
      </c>
      <c r="BK1126" s="129">
        <f t="shared" si="802"/>
        <v>-168</v>
      </c>
      <c r="BL1126" s="129" t="str">
        <f t="shared" si="831"/>
        <v>NO CONVICTION</v>
      </c>
      <c r="BM1126" s="129" t="s">
        <v>76</v>
      </c>
      <c r="BN1126" s="129" t="s">
        <v>88</v>
      </c>
      <c r="BP1126" s="137" t="str">
        <f t="shared" si="808"/>
        <v>NO CONVICTION</v>
      </c>
      <c r="BQ1126" s="128" t="str">
        <f t="shared" si="809"/>
        <v>Y</v>
      </c>
      <c r="BR1126" s="129" t="str">
        <f t="shared" si="810"/>
        <v>ON BOND</v>
      </c>
      <c r="BS1126" s="129" t="str">
        <f t="shared" si="811"/>
        <v>DISPOSED</v>
      </c>
      <c r="BT1126" s="129" t="str">
        <f t="shared" si="812"/>
        <v>Y</v>
      </c>
      <c r="BU1126" s="109">
        <f>IFERROR(Q1126/R1126,BR1126)</f>
        <v>1.5789473684210527E-2</v>
      </c>
      <c r="BV1126" s="109">
        <f t="shared" si="813"/>
        <v>1.7543859649122806E-2</v>
      </c>
      <c r="BW1126" s="109">
        <f t="shared" si="836"/>
        <v>1.7543859649122792E-3</v>
      </c>
      <c r="BX1126" s="111">
        <f t="shared" si="814"/>
        <v>0</v>
      </c>
      <c r="BY1126" s="129">
        <f t="shared" si="815"/>
        <v>-3</v>
      </c>
      <c r="BZ1126" s="111">
        <f t="shared" si="816"/>
        <v>0</v>
      </c>
      <c r="CA1126" s="138">
        <f t="shared" si="817"/>
        <v>3</v>
      </c>
      <c r="CB1126" s="111" t="e">
        <f t="shared" si="834"/>
        <v>#VALUE!</v>
      </c>
      <c r="CC1126" s="129">
        <f>M1126-I1126+1</f>
        <v>3</v>
      </c>
      <c r="CD1126" s="111">
        <f>CC1126-BF1126</f>
        <v>0</v>
      </c>
      <c r="CE1126" s="129">
        <f t="shared" si="820"/>
        <v>168</v>
      </c>
      <c r="CG1126" s="129" t="str">
        <f t="shared" si="821"/>
        <v>Y</v>
      </c>
      <c r="CI1126" s="129" t="str">
        <f t="shared" si="823"/>
        <v>0-10 DAYS</v>
      </c>
      <c r="CJ1126" s="137">
        <f t="shared" si="824"/>
        <v>1</v>
      </c>
      <c r="CK1126" s="129" t="str">
        <f t="shared" si="825"/>
        <v>Booked</v>
      </c>
    </row>
    <row r="1127" spans="1:89" ht="15.75" customHeight="1" x14ac:dyDescent="0.25">
      <c r="A1127" s="111">
        <v>2434</v>
      </c>
      <c r="B1127" s="128" t="str">
        <f t="shared" si="803"/>
        <v>N</v>
      </c>
      <c r="C1127" s="128" t="str">
        <f t="shared" si="804"/>
        <v>N</v>
      </c>
      <c r="D1127" s="117">
        <v>1816820</v>
      </c>
      <c r="E1127" s="135">
        <f t="shared" si="805"/>
        <v>4</v>
      </c>
      <c r="F1127" s="124">
        <v>41000</v>
      </c>
      <c r="G1127" s="125">
        <v>41166</v>
      </c>
      <c r="H1127" s="117">
        <v>1816820</v>
      </c>
      <c r="I1127" s="124">
        <v>41001</v>
      </c>
      <c r="J1127" s="124">
        <v>41166</v>
      </c>
      <c r="K1127" s="126">
        <v>30000</v>
      </c>
      <c r="L1127" s="129" t="s">
        <v>572</v>
      </c>
      <c r="N1127" s="129" t="str">
        <f t="shared" si="835"/>
        <v>N</v>
      </c>
      <c r="O1127" s="128" t="s">
        <v>917</v>
      </c>
      <c r="P1127" s="129" t="s">
        <v>39</v>
      </c>
      <c r="Q1127" s="111">
        <f t="shared" si="837"/>
        <v>166</v>
      </c>
      <c r="R1127" s="111">
        <f t="shared" si="830"/>
        <v>167</v>
      </c>
      <c r="S1127" s="129">
        <v>5</v>
      </c>
      <c r="T1127" s="129">
        <v>3</v>
      </c>
      <c r="U1127" s="129">
        <v>1</v>
      </c>
      <c r="W1127" s="111"/>
      <c r="AC1127" s="130"/>
      <c r="AD1127" s="130">
        <v>28757</v>
      </c>
      <c r="AE1127" s="128" t="s">
        <v>32</v>
      </c>
      <c r="AF1127" s="128" t="s">
        <v>33</v>
      </c>
      <c r="AG1127" s="128" t="s">
        <v>872</v>
      </c>
      <c r="AH1127" s="108" t="s">
        <v>31</v>
      </c>
      <c r="AI1127" s="128" t="s">
        <v>65</v>
      </c>
      <c r="AJ1127" s="129" t="s">
        <v>89</v>
      </c>
      <c r="AK1127" s="129">
        <v>8</v>
      </c>
      <c r="AL1127" s="3" t="s">
        <v>991</v>
      </c>
      <c r="AO1127" s="128">
        <v>365</v>
      </c>
      <c r="AP1127" s="129" t="s">
        <v>110</v>
      </c>
      <c r="AR1127" s="128" t="s">
        <v>50</v>
      </c>
      <c r="AS1127" s="129" t="s">
        <v>74</v>
      </c>
      <c r="BC1127" s="129" t="s">
        <v>38</v>
      </c>
      <c r="BF1127" s="111">
        <f t="shared" si="832"/>
        <v>166</v>
      </c>
      <c r="BG1127" s="111">
        <f t="shared" si="833"/>
        <v>166</v>
      </c>
      <c r="BH1127" s="111">
        <f t="shared" si="800"/>
        <v>167</v>
      </c>
      <c r="BI1127" s="111">
        <f t="shared" si="801"/>
        <v>33.450819672131146</v>
      </c>
      <c r="BJ1127" s="129">
        <f t="shared" si="806"/>
        <v>0</v>
      </c>
      <c r="BK1127" s="129">
        <f t="shared" si="802"/>
        <v>0</v>
      </c>
      <c r="BL1127" s="129" t="str">
        <f t="shared" si="831"/>
        <v>CONVICTION</v>
      </c>
      <c r="BM1127" s="129" t="str">
        <f t="shared" si="807"/>
        <v>NONE</v>
      </c>
      <c r="BN1127" s="129" t="s">
        <v>566</v>
      </c>
      <c r="BP1127" s="137" t="str">
        <f t="shared" si="808"/>
        <v>CONVICTION</v>
      </c>
      <c r="BQ1127" s="128" t="str">
        <f t="shared" si="809"/>
        <v>Y</v>
      </c>
      <c r="BR1127" s="129" t="str">
        <f t="shared" si="810"/>
        <v>DETAINED</v>
      </c>
      <c r="BS1127" s="129" t="str">
        <f t="shared" si="811"/>
        <v>DISPOSED</v>
      </c>
      <c r="BT1127" s="129" t="str">
        <f t="shared" si="812"/>
        <v>Y</v>
      </c>
      <c r="BU1127" s="109">
        <f t="shared" si="822"/>
        <v>0.99401197604790414</v>
      </c>
      <c r="BV1127" s="109">
        <f t="shared" si="813"/>
        <v>1</v>
      </c>
      <c r="BW1127" s="109">
        <f t="shared" si="836"/>
        <v>5.9880239520958556E-3</v>
      </c>
      <c r="BX1127" s="111">
        <f t="shared" si="814"/>
        <v>0</v>
      </c>
      <c r="BY1127" s="129">
        <f t="shared" si="815"/>
        <v>-166</v>
      </c>
      <c r="BZ1127" s="111">
        <f t="shared" si="816"/>
        <v>0</v>
      </c>
      <c r="CA1127" s="138">
        <f t="shared" si="817"/>
        <v>166</v>
      </c>
      <c r="CB1127" s="111" t="e">
        <f t="shared" si="834"/>
        <v>#VALUE!</v>
      </c>
      <c r="CC1127" s="129">
        <f>G1127-I1127+1</f>
        <v>166</v>
      </c>
      <c r="CD1127" s="129">
        <f>G1127-J1127</f>
        <v>0</v>
      </c>
      <c r="CE1127" s="129">
        <f t="shared" si="820"/>
        <v>0</v>
      </c>
      <c r="CG1127" s="129" t="str">
        <f t="shared" si="821"/>
        <v>Y</v>
      </c>
      <c r="CI1127" s="129" t="str">
        <f t="shared" si="823"/>
        <v>121-365 DAYS</v>
      </c>
      <c r="CJ1127" s="137">
        <f t="shared" si="824"/>
        <v>6</v>
      </c>
      <c r="CK1127" s="129" t="str">
        <f t="shared" si="825"/>
        <v>Booked</v>
      </c>
    </row>
    <row r="1128" spans="1:89" ht="15.75" customHeight="1" x14ac:dyDescent="0.25">
      <c r="A1128" s="111">
        <v>2583</v>
      </c>
      <c r="B1128" s="128" t="str">
        <f t="shared" si="803"/>
        <v>N</v>
      </c>
      <c r="C1128" s="128" t="str">
        <f t="shared" si="804"/>
        <v>N</v>
      </c>
      <c r="D1128" s="117">
        <v>1816922</v>
      </c>
      <c r="E1128" s="135">
        <f t="shared" si="805"/>
        <v>6</v>
      </c>
      <c r="F1128" s="124">
        <v>41005</v>
      </c>
      <c r="G1128" s="125">
        <v>41173</v>
      </c>
      <c r="H1128" s="117">
        <v>1816922</v>
      </c>
      <c r="I1128" s="124">
        <v>41005</v>
      </c>
      <c r="J1128" s="124">
        <v>41173</v>
      </c>
      <c r="K1128" s="126">
        <v>20000</v>
      </c>
      <c r="L1128" s="127" t="s">
        <v>571</v>
      </c>
      <c r="N1128" s="129" t="str">
        <f t="shared" si="835"/>
        <v>N</v>
      </c>
      <c r="O1128" s="128" t="s">
        <v>917</v>
      </c>
      <c r="P1128" s="129" t="s">
        <v>39</v>
      </c>
      <c r="Q1128" s="111">
        <f t="shared" si="837"/>
        <v>169</v>
      </c>
      <c r="R1128" s="111">
        <f t="shared" si="830"/>
        <v>169</v>
      </c>
      <c r="S1128" s="129">
        <v>4</v>
      </c>
      <c r="T1128" s="129">
        <v>2</v>
      </c>
      <c r="U1128" s="129">
        <v>1</v>
      </c>
      <c r="W1128" s="111"/>
      <c r="AC1128" s="130"/>
      <c r="AD1128" s="130">
        <v>30516</v>
      </c>
      <c r="AE1128" s="128" t="s">
        <v>32</v>
      </c>
      <c r="AF1128" s="128" t="s">
        <v>33</v>
      </c>
      <c r="AG1128" s="128" t="s">
        <v>872</v>
      </c>
      <c r="AH1128" s="108" t="s">
        <v>58</v>
      </c>
      <c r="AI1128" s="128" t="s">
        <v>113</v>
      </c>
      <c r="AJ1128" s="129" t="s">
        <v>89</v>
      </c>
      <c r="AK1128" s="129">
        <v>7</v>
      </c>
      <c r="AL1128" s="3" t="s">
        <v>362</v>
      </c>
      <c r="AM1128" s="117">
        <v>10</v>
      </c>
      <c r="AP1128" s="129" t="s">
        <v>56</v>
      </c>
      <c r="AR1128" s="128" t="s">
        <v>50</v>
      </c>
      <c r="AS1128" s="129" t="s">
        <v>57</v>
      </c>
      <c r="BC1128" s="129" t="s">
        <v>38</v>
      </c>
      <c r="BF1128" s="111">
        <f t="shared" si="832"/>
        <v>169</v>
      </c>
      <c r="BG1128" s="111">
        <f t="shared" si="833"/>
        <v>169</v>
      </c>
      <c r="BH1128" s="111">
        <f t="shared" si="800"/>
        <v>169</v>
      </c>
      <c r="BI1128" s="111">
        <f t="shared" si="801"/>
        <v>28.65846994535519</v>
      </c>
      <c r="BJ1128" s="129">
        <f t="shared" si="806"/>
        <v>0</v>
      </c>
      <c r="BK1128" s="129">
        <f t="shared" si="802"/>
        <v>0</v>
      </c>
      <c r="BL1128" s="129" t="str">
        <f t="shared" si="831"/>
        <v>CONVICTION</v>
      </c>
      <c r="BM1128" s="129" t="str">
        <f t="shared" si="807"/>
        <v>NONE</v>
      </c>
      <c r="BN1128" s="129" t="s">
        <v>566</v>
      </c>
      <c r="BP1128" s="137" t="str">
        <f t="shared" si="808"/>
        <v>CONVICTION</v>
      </c>
      <c r="BQ1128" s="128" t="str">
        <f t="shared" si="809"/>
        <v>Y</v>
      </c>
      <c r="BR1128" s="129" t="str">
        <f t="shared" si="810"/>
        <v>DETAINED</v>
      </c>
      <c r="BS1128" s="129" t="str">
        <f t="shared" si="811"/>
        <v>DISPOSED</v>
      </c>
      <c r="BT1128" s="129" t="str">
        <f t="shared" si="812"/>
        <v>Y</v>
      </c>
      <c r="BU1128" s="109">
        <f t="shared" si="822"/>
        <v>1</v>
      </c>
      <c r="BV1128" s="109">
        <f t="shared" si="813"/>
        <v>1</v>
      </c>
      <c r="BW1128" s="109">
        <f t="shared" si="836"/>
        <v>0</v>
      </c>
      <c r="BX1128" s="111">
        <f t="shared" si="814"/>
        <v>0</v>
      </c>
      <c r="BY1128" s="129">
        <f t="shared" si="815"/>
        <v>-169</v>
      </c>
      <c r="BZ1128" s="111">
        <f t="shared" si="816"/>
        <v>0</v>
      </c>
      <c r="CA1128" s="138">
        <f t="shared" si="817"/>
        <v>169</v>
      </c>
      <c r="CB1128" s="111" t="e">
        <f t="shared" si="834"/>
        <v>#VALUE!</v>
      </c>
      <c r="CC1128" s="129">
        <f>G1128-I1128+1</f>
        <v>169</v>
      </c>
      <c r="CD1128" s="129">
        <f>G1128-J1128</f>
        <v>0</v>
      </c>
      <c r="CE1128" s="129">
        <f t="shared" si="820"/>
        <v>0</v>
      </c>
      <c r="CG1128" s="129" t="str">
        <f t="shared" si="821"/>
        <v>Y</v>
      </c>
      <c r="CI1128" s="129" t="str">
        <f t="shared" si="823"/>
        <v>121-365 DAYS</v>
      </c>
      <c r="CJ1128" s="137">
        <f t="shared" si="824"/>
        <v>6</v>
      </c>
      <c r="CK1128" s="129" t="str">
        <f t="shared" si="825"/>
        <v>Booked</v>
      </c>
    </row>
    <row r="1129" spans="1:89" ht="15.75" customHeight="1" x14ac:dyDescent="0.25">
      <c r="A1129" s="111">
        <v>421</v>
      </c>
      <c r="B1129" s="128" t="str">
        <f t="shared" si="803"/>
        <v>N</v>
      </c>
      <c r="C1129" s="128" t="str">
        <f t="shared" si="804"/>
        <v>N</v>
      </c>
      <c r="D1129" s="117">
        <v>1817080</v>
      </c>
      <c r="E1129" s="135">
        <f t="shared" si="805"/>
        <v>1</v>
      </c>
      <c r="F1129" s="124">
        <v>40926</v>
      </c>
      <c r="G1129" s="125">
        <v>41220</v>
      </c>
      <c r="H1129" s="117">
        <v>1817080</v>
      </c>
      <c r="I1129" s="124">
        <v>41101</v>
      </c>
      <c r="J1129" s="124">
        <v>41220</v>
      </c>
      <c r="K1129" s="126">
        <v>30000</v>
      </c>
      <c r="L1129" s="129" t="s">
        <v>572</v>
      </c>
      <c r="M1129" s="125"/>
      <c r="N1129" s="129" t="str">
        <f t="shared" si="835"/>
        <v>N</v>
      </c>
      <c r="O1129" s="128" t="s">
        <v>917</v>
      </c>
      <c r="P1129" s="129" t="s">
        <v>55</v>
      </c>
      <c r="Q1129" s="111">
        <f t="shared" si="837"/>
        <v>120</v>
      </c>
      <c r="R1129" s="111">
        <f t="shared" si="830"/>
        <v>295</v>
      </c>
      <c r="S1129" s="129">
        <v>1</v>
      </c>
      <c r="T1129" s="129">
        <v>1</v>
      </c>
      <c r="U1129" s="129">
        <v>1</v>
      </c>
      <c r="W1129" s="111"/>
      <c r="AC1129" s="130"/>
      <c r="AD1129" s="130">
        <v>29804</v>
      </c>
      <c r="AE1129" s="128" t="s">
        <v>32</v>
      </c>
      <c r="AF1129" s="128" t="s">
        <v>33</v>
      </c>
      <c r="AG1129" s="128" t="s">
        <v>872</v>
      </c>
      <c r="AH1129" s="108" t="s">
        <v>58</v>
      </c>
      <c r="AI1129" s="128" t="s">
        <v>34</v>
      </c>
      <c r="AJ1129" s="129" t="s">
        <v>55</v>
      </c>
      <c r="AK1129" s="129">
        <v>6</v>
      </c>
      <c r="AL1129" s="3" t="s">
        <v>55</v>
      </c>
      <c r="AP1129" s="129" t="s">
        <v>105</v>
      </c>
      <c r="AR1129" s="128" t="s">
        <v>92</v>
      </c>
      <c r="AS1129" s="129" t="s">
        <v>106</v>
      </c>
      <c r="BC1129" s="129" t="s">
        <v>38</v>
      </c>
      <c r="BF1129" s="111">
        <f t="shared" si="832"/>
        <v>120</v>
      </c>
      <c r="BG1129" s="111">
        <f t="shared" si="833"/>
        <v>120</v>
      </c>
      <c r="BH1129" s="111">
        <f t="shared" si="800"/>
        <v>295</v>
      </c>
      <c r="BI1129" s="111">
        <f t="shared" si="801"/>
        <v>30.387978142076502</v>
      </c>
      <c r="BJ1129" s="129">
        <f t="shared" si="806"/>
        <v>0</v>
      </c>
      <c r="BK1129" s="129">
        <f t="shared" si="802"/>
        <v>0</v>
      </c>
      <c r="BL1129" s="129" t="str">
        <f t="shared" si="831"/>
        <v>NO CONVICTION</v>
      </c>
      <c r="BM1129" s="129" t="str">
        <f t="shared" si="807"/>
        <v>NONE</v>
      </c>
      <c r="BN1129" s="129" t="s">
        <v>566</v>
      </c>
      <c r="BP1129" s="137" t="str">
        <f t="shared" si="808"/>
        <v>NO CONVICTION</v>
      </c>
      <c r="BQ1129" s="128" t="str">
        <f t="shared" si="809"/>
        <v>Y</v>
      </c>
      <c r="BR1129" s="129" t="str">
        <f t="shared" si="810"/>
        <v>DETAINED</v>
      </c>
      <c r="BS1129" s="129" t="str">
        <f t="shared" si="811"/>
        <v>DISPOSED</v>
      </c>
      <c r="BT1129" s="129" t="str">
        <f t="shared" si="812"/>
        <v>Y</v>
      </c>
      <c r="BU1129" s="109">
        <f>IFERROR(Q1129/R1129,BR1129)</f>
        <v>0.40677966101694918</v>
      </c>
      <c r="BV1129" s="109">
        <f t="shared" si="813"/>
        <v>1</v>
      </c>
      <c r="BW1129" s="109">
        <f t="shared" si="836"/>
        <v>0.59322033898305082</v>
      </c>
      <c r="BX1129" s="111">
        <f t="shared" si="814"/>
        <v>0</v>
      </c>
      <c r="BY1129" s="129">
        <f t="shared" si="815"/>
        <v>-120</v>
      </c>
      <c r="BZ1129" s="111">
        <f t="shared" si="816"/>
        <v>0</v>
      </c>
      <c r="CA1129" s="138">
        <f t="shared" si="817"/>
        <v>120</v>
      </c>
      <c r="CB1129" s="111" t="e">
        <f t="shared" si="834"/>
        <v>#VALUE!</v>
      </c>
      <c r="CC1129" s="129">
        <f>G1129-I1129+1</f>
        <v>120</v>
      </c>
      <c r="CD1129" s="129">
        <f>G1129-J1129</f>
        <v>0</v>
      </c>
      <c r="CE1129" s="129">
        <f t="shared" si="820"/>
        <v>0</v>
      </c>
      <c r="CG1129" s="129" t="str">
        <f t="shared" si="821"/>
        <v>Y</v>
      </c>
      <c r="CI1129" s="129" t="str">
        <f t="shared" si="823"/>
        <v>91-120 DAYS</v>
      </c>
      <c r="CJ1129" s="137">
        <f t="shared" si="824"/>
        <v>0</v>
      </c>
      <c r="CK1129" s="129" t="str">
        <f t="shared" si="825"/>
        <v>Booked</v>
      </c>
    </row>
    <row r="1130" spans="1:89" ht="15" customHeight="1" x14ac:dyDescent="0.25">
      <c r="A1130" s="111">
        <v>2305</v>
      </c>
      <c r="B1130" s="128" t="str">
        <f t="shared" si="803"/>
        <v>N</v>
      </c>
      <c r="C1130" s="128" t="str">
        <f t="shared" si="804"/>
        <v>N</v>
      </c>
      <c r="D1130" s="117">
        <v>1817184</v>
      </c>
      <c r="E1130" s="135">
        <f t="shared" si="805"/>
        <v>6</v>
      </c>
      <c r="F1130" s="124">
        <v>40996</v>
      </c>
      <c r="G1130" s="125">
        <v>41088</v>
      </c>
      <c r="H1130" s="117">
        <v>1817184</v>
      </c>
      <c r="I1130" s="124">
        <v>40996</v>
      </c>
      <c r="J1130" s="124">
        <f>G1130</f>
        <v>41088</v>
      </c>
      <c r="K1130" s="126" t="s">
        <v>564</v>
      </c>
      <c r="L1130" s="127" t="s">
        <v>564</v>
      </c>
      <c r="N1130" s="129" t="s">
        <v>566</v>
      </c>
      <c r="O1130" s="128" t="s">
        <v>917</v>
      </c>
      <c r="P1130" s="129" t="s">
        <v>39</v>
      </c>
      <c r="Q1130" s="111">
        <f t="shared" si="837"/>
        <v>93</v>
      </c>
      <c r="R1130" s="111">
        <f t="shared" si="830"/>
        <v>93</v>
      </c>
      <c r="S1130" s="129">
        <v>5</v>
      </c>
      <c r="T1130" s="129">
        <v>5</v>
      </c>
      <c r="U1130" s="129">
        <v>3</v>
      </c>
      <c r="W1130" s="111"/>
      <c r="AC1130" s="130"/>
      <c r="AD1130" s="130">
        <v>29029</v>
      </c>
      <c r="AE1130" s="128" t="s">
        <v>32</v>
      </c>
      <c r="AF1130" s="128" t="s">
        <v>33</v>
      </c>
      <c r="AG1130" s="128" t="s">
        <v>872</v>
      </c>
      <c r="AH1130" s="108" t="s">
        <v>31</v>
      </c>
      <c r="AI1130" s="128" t="s">
        <v>100</v>
      </c>
      <c r="AJ1130" s="129" t="s">
        <v>89</v>
      </c>
      <c r="AK1130" s="129">
        <v>4</v>
      </c>
      <c r="AL1130" s="3" t="s">
        <v>362</v>
      </c>
      <c r="AM1130" s="117">
        <v>3</v>
      </c>
      <c r="AP1130" s="129" t="s">
        <v>43</v>
      </c>
      <c r="AR1130" s="128" t="s">
        <v>44</v>
      </c>
      <c r="AS1130" s="129" t="s">
        <v>45</v>
      </c>
      <c r="BC1130" s="129" t="s">
        <v>52</v>
      </c>
      <c r="BF1130" s="111">
        <f t="shared" si="832"/>
        <v>93</v>
      </c>
      <c r="BG1130" s="111">
        <f t="shared" si="833"/>
        <v>93</v>
      </c>
      <c r="BH1130" s="111">
        <f t="shared" si="800"/>
        <v>93</v>
      </c>
      <c r="BI1130" s="111">
        <f t="shared" si="801"/>
        <v>32.696721311475407</v>
      </c>
      <c r="BJ1130" s="129">
        <f t="shared" si="806"/>
        <v>0</v>
      </c>
      <c r="BK1130" s="129">
        <f t="shared" si="802"/>
        <v>0</v>
      </c>
      <c r="BL1130" s="129" t="str">
        <f t="shared" si="831"/>
        <v>CONVICTION</v>
      </c>
      <c r="BM1130" s="129" t="str">
        <f t="shared" si="807"/>
        <v>NONE</v>
      </c>
      <c r="BN1130" s="129" t="s">
        <v>566</v>
      </c>
      <c r="BP1130" s="137" t="str">
        <f t="shared" si="808"/>
        <v>CONVICTION</v>
      </c>
      <c r="BQ1130" s="128" t="str">
        <f t="shared" si="809"/>
        <v>Y</v>
      </c>
      <c r="BR1130" s="129" t="str">
        <f t="shared" si="810"/>
        <v>DETAINED</v>
      </c>
      <c r="BS1130" s="129" t="str">
        <f t="shared" si="811"/>
        <v>DISPOSED</v>
      </c>
      <c r="BT1130" s="129" t="str">
        <f t="shared" si="812"/>
        <v>Y</v>
      </c>
      <c r="BU1130" s="109">
        <f t="shared" si="822"/>
        <v>1</v>
      </c>
      <c r="BV1130" s="109">
        <f t="shared" si="813"/>
        <v>1</v>
      </c>
      <c r="BW1130" s="109">
        <f t="shared" si="836"/>
        <v>0</v>
      </c>
      <c r="BX1130" s="111">
        <f t="shared" si="814"/>
        <v>0</v>
      </c>
      <c r="BY1130" s="129">
        <f t="shared" si="815"/>
        <v>-93</v>
      </c>
      <c r="BZ1130" s="111">
        <f t="shared" si="816"/>
        <v>0</v>
      </c>
      <c r="CA1130" s="138">
        <f t="shared" si="817"/>
        <v>93</v>
      </c>
      <c r="CB1130" s="111" t="e">
        <f t="shared" si="834"/>
        <v>#VALUE!</v>
      </c>
      <c r="CC1130" s="129">
        <f>G1130-I1130+1</f>
        <v>93</v>
      </c>
      <c r="CD1130" s="129">
        <f>G1130-J1130</f>
        <v>0</v>
      </c>
      <c r="CE1130" s="129">
        <f t="shared" si="820"/>
        <v>0</v>
      </c>
      <c r="CG1130" s="129" t="str">
        <f t="shared" si="821"/>
        <v>Y</v>
      </c>
      <c r="CI1130" s="129" t="str">
        <f t="shared" si="823"/>
        <v>91-120 DAYS</v>
      </c>
      <c r="CJ1130" s="137">
        <f t="shared" si="824"/>
        <v>0</v>
      </c>
      <c r="CK1130" s="129" t="str">
        <f t="shared" si="825"/>
        <v>Booked</v>
      </c>
    </row>
    <row r="1131" spans="1:89" ht="15" customHeight="1" x14ac:dyDescent="0.25">
      <c r="A1131" s="111">
        <v>1402</v>
      </c>
      <c r="B1131" s="128" t="str">
        <f t="shared" si="803"/>
        <v>N</v>
      </c>
      <c r="C1131" s="128" t="str">
        <f t="shared" si="804"/>
        <v>N</v>
      </c>
      <c r="D1131" s="117">
        <v>1817759</v>
      </c>
      <c r="E1131" s="135">
        <f t="shared" si="805"/>
        <v>5</v>
      </c>
      <c r="F1131" s="124">
        <v>40960</v>
      </c>
      <c r="G1131" s="125">
        <v>41059</v>
      </c>
      <c r="H1131" s="117">
        <v>1817759</v>
      </c>
      <c r="I1131" s="124">
        <v>40961</v>
      </c>
      <c r="J1131" s="124">
        <v>40963</v>
      </c>
      <c r="K1131" s="126">
        <v>15000</v>
      </c>
      <c r="L1131" s="127" t="s">
        <v>571</v>
      </c>
      <c r="M1131" s="125">
        <v>40963</v>
      </c>
      <c r="N1131" s="129" t="str">
        <f>IF(M1131&gt;1/1/1,"Y","N")</f>
        <v>Y</v>
      </c>
      <c r="O1131" s="128" t="s">
        <v>76</v>
      </c>
      <c r="P1131" s="129" t="s">
        <v>39</v>
      </c>
      <c r="Q1131" s="111">
        <f t="shared" si="837"/>
        <v>3</v>
      </c>
      <c r="R1131" s="111">
        <f t="shared" si="830"/>
        <v>100</v>
      </c>
      <c r="S1131" s="129">
        <v>8</v>
      </c>
      <c r="T1131" s="129">
        <v>0</v>
      </c>
      <c r="U1131" s="129">
        <v>6</v>
      </c>
      <c r="W1131" s="111"/>
      <c r="AC1131" s="130"/>
      <c r="AD1131" s="130">
        <v>29949</v>
      </c>
      <c r="AE1131" s="128" t="s">
        <v>32</v>
      </c>
      <c r="AF1131" s="128" t="s">
        <v>33</v>
      </c>
      <c r="AG1131" s="128" t="s">
        <v>872</v>
      </c>
      <c r="AH1131" s="108" t="s">
        <v>31</v>
      </c>
      <c r="AI1131" s="128" t="s">
        <v>114</v>
      </c>
      <c r="AJ1131" s="129" t="s">
        <v>89</v>
      </c>
      <c r="AK1131" s="129">
        <v>4</v>
      </c>
      <c r="AL1131" s="3" t="s">
        <v>992</v>
      </c>
      <c r="AN1131" s="117">
        <v>6</v>
      </c>
      <c r="AP1131" s="129" t="s">
        <v>43</v>
      </c>
      <c r="AR1131" s="128" t="s">
        <v>44</v>
      </c>
      <c r="AS1131" s="129" t="s">
        <v>45</v>
      </c>
      <c r="BC1131" s="129" t="s">
        <v>52</v>
      </c>
      <c r="BF1131" s="111">
        <f t="shared" si="832"/>
        <v>3</v>
      </c>
      <c r="BG1131" s="111">
        <f t="shared" si="833"/>
        <v>99</v>
      </c>
      <c r="BH1131" s="111">
        <f t="shared" si="800"/>
        <v>100</v>
      </c>
      <c r="BI1131" s="111">
        <f t="shared" si="801"/>
        <v>30.084699453551913</v>
      </c>
      <c r="BJ1131" s="129">
        <f>(G1131-J1131)+(M1131-G1131)</f>
        <v>0</v>
      </c>
      <c r="BK1131" s="129">
        <f t="shared" si="802"/>
        <v>-96</v>
      </c>
      <c r="BL1131" s="129" t="str">
        <f t="shared" si="831"/>
        <v>CONVICTION</v>
      </c>
      <c r="BM1131" s="129" t="s">
        <v>76</v>
      </c>
      <c r="BN1131" s="129" t="s">
        <v>88</v>
      </c>
      <c r="BP1131" s="137" t="str">
        <f t="shared" si="808"/>
        <v>CONVICTION</v>
      </c>
      <c r="BQ1131" s="128" t="str">
        <f t="shared" si="809"/>
        <v>Y</v>
      </c>
      <c r="BR1131" s="129" t="str">
        <f>IF(J1131&lt;G1131,"ON BOND",0)</f>
        <v>ON BOND</v>
      </c>
      <c r="BS1131" s="129" t="str">
        <f t="shared" si="811"/>
        <v>DISPOSED</v>
      </c>
      <c r="BT1131" s="129" t="str">
        <f t="shared" si="812"/>
        <v>Y</v>
      </c>
      <c r="BU1131" s="109">
        <f t="shared" si="822"/>
        <v>0.03</v>
      </c>
      <c r="BV1131" s="109">
        <f t="shared" si="813"/>
        <v>3.0303030303030304E-2</v>
      </c>
      <c r="BW1131" s="109">
        <f t="shared" si="836"/>
        <v>3.0303030303030498E-4</v>
      </c>
      <c r="BX1131" s="111">
        <f t="shared" si="814"/>
        <v>0</v>
      </c>
      <c r="BY1131" s="129">
        <f t="shared" si="815"/>
        <v>-3</v>
      </c>
      <c r="BZ1131" s="111">
        <f t="shared" si="816"/>
        <v>0</v>
      </c>
      <c r="CA1131" s="138">
        <f t="shared" si="817"/>
        <v>3</v>
      </c>
      <c r="CB1131" s="111" t="e">
        <f t="shared" si="834"/>
        <v>#VALUE!</v>
      </c>
      <c r="CC1131" s="129">
        <f>M1131-I1131+1</f>
        <v>3</v>
      </c>
      <c r="CD1131" s="111">
        <f>CC1131-BF1131</f>
        <v>0</v>
      </c>
      <c r="CE1131" s="129">
        <f t="shared" si="820"/>
        <v>96</v>
      </c>
      <c r="CG1131" s="129" t="str">
        <f t="shared" si="821"/>
        <v>Y</v>
      </c>
      <c r="CI1131" s="129" t="str">
        <f t="shared" si="823"/>
        <v>0-10 DAYS</v>
      </c>
      <c r="CJ1131" s="137">
        <f t="shared" si="824"/>
        <v>1</v>
      </c>
      <c r="CK1131" s="129" t="str">
        <f t="shared" si="825"/>
        <v>Booked</v>
      </c>
    </row>
    <row r="1132" spans="1:89" ht="15.75" customHeight="1" x14ac:dyDescent="0.25">
      <c r="A1132" s="111">
        <v>238</v>
      </c>
      <c r="B1132" s="128" t="str">
        <f t="shared" si="803"/>
        <v>N</v>
      </c>
      <c r="C1132" s="128" t="str">
        <f t="shared" si="804"/>
        <v>N</v>
      </c>
      <c r="D1132" s="117">
        <v>1821315</v>
      </c>
      <c r="E1132" s="135">
        <f t="shared" si="805"/>
        <v>6</v>
      </c>
      <c r="F1132" s="124">
        <v>40919</v>
      </c>
      <c r="G1132" s="125">
        <v>40920</v>
      </c>
      <c r="H1132" s="117">
        <v>1821315</v>
      </c>
      <c r="I1132" s="124">
        <v>40919</v>
      </c>
      <c r="J1132" s="124">
        <v>40920</v>
      </c>
      <c r="K1132" s="126">
        <v>25000</v>
      </c>
      <c r="L1132" s="129" t="s">
        <v>572</v>
      </c>
      <c r="N1132" s="129" t="str">
        <f>IF(M1132&gt;1/1/1,"Y","N")</f>
        <v>N</v>
      </c>
      <c r="O1132" s="128" t="s">
        <v>917</v>
      </c>
      <c r="P1132" s="129" t="s">
        <v>39</v>
      </c>
      <c r="Q1132" s="111">
        <f t="shared" si="837"/>
        <v>2</v>
      </c>
      <c r="R1132" s="111">
        <f t="shared" si="830"/>
        <v>2</v>
      </c>
      <c r="S1132" s="129">
        <v>4</v>
      </c>
      <c r="T1132" s="129">
        <v>3</v>
      </c>
      <c r="U1132" s="129">
        <v>3</v>
      </c>
      <c r="W1132" s="111"/>
      <c r="AC1132" s="130"/>
      <c r="AD1132" s="130">
        <v>29961</v>
      </c>
      <c r="AE1132" s="128" t="s">
        <v>32</v>
      </c>
      <c r="AF1132" s="128" t="s">
        <v>33</v>
      </c>
      <c r="AG1132" s="128" t="s">
        <v>872</v>
      </c>
      <c r="AH1132" s="108" t="s">
        <v>31</v>
      </c>
      <c r="AI1132" s="128" t="s">
        <v>65</v>
      </c>
      <c r="AJ1132" s="129" t="s">
        <v>89</v>
      </c>
      <c r="AK1132" s="129">
        <v>1</v>
      </c>
      <c r="AL1132" s="3" t="s">
        <v>362</v>
      </c>
      <c r="AM1132" s="117">
        <v>4</v>
      </c>
      <c r="AP1132" s="129" t="s">
        <v>101</v>
      </c>
      <c r="AR1132" s="128" t="s">
        <v>67</v>
      </c>
      <c r="AS1132" s="129" t="s">
        <v>64</v>
      </c>
      <c r="BC1132" s="129" t="s">
        <v>38</v>
      </c>
      <c r="BF1132" s="111">
        <f t="shared" si="832"/>
        <v>2</v>
      </c>
      <c r="BG1132" s="111">
        <f t="shared" si="833"/>
        <v>2</v>
      </c>
      <c r="BH1132" s="111">
        <f t="shared" si="800"/>
        <v>2</v>
      </c>
      <c r="BI1132" s="111">
        <f t="shared" si="801"/>
        <v>29.939890710382514</v>
      </c>
      <c r="BJ1132" s="129">
        <f t="shared" si="806"/>
        <v>0</v>
      </c>
      <c r="BK1132" s="129">
        <f t="shared" si="802"/>
        <v>0</v>
      </c>
      <c r="BL1132" s="129" t="str">
        <f t="shared" si="831"/>
        <v>CONVICTION</v>
      </c>
      <c r="BM1132" s="129" t="str">
        <f t="shared" si="807"/>
        <v>NONE</v>
      </c>
      <c r="BN1132" s="129" t="s">
        <v>566</v>
      </c>
      <c r="BP1132" s="137" t="str">
        <f t="shared" si="808"/>
        <v>CONVICTION</v>
      </c>
      <c r="BQ1132" s="128" t="str">
        <f t="shared" si="809"/>
        <v>Y</v>
      </c>
      <c r="BR1132" s="129" t="str">
        <f t="shared" si="810"/>
        <v>DETAINED</v>
      </c>
      <c r="BS1132" s="129" t="str">
        <f t="shared" si="811"/>
        <v>DISPOSED</v>
      </c>
      <c r="BT1132" s="129" t="str">
        <f t="shared" si="812"/>
        <v>Y</v>
      </c>
      <c r="BU1132" s="109">
        <f t="shared" si="822"/>
        <v>1</v>
      </c>
      <c r="BV1132" s="109">
        <f t="shared" si="813"/>
        <v>1</v>
      </c>
      <c r="BW1132" s="109">
        <f t="shared" si="836"/>
        <v>0</v>
      </c>
      <c r="BX1132" s="111">
        <f t="shared" si="814"/>
        <v>0</v>
      </c>
      <c r="BY1132" s="129">
        <f t="shared" si="815"/>
        <v>-2</v>
      </c>
      <c r="BZ1132" s="111">
        <f t="shared" si="816"/>
        <v>0</v>
      </c>
      <c r="CA1132" s="138">
        <f t="shared" si="817"/>
        <v>2</v>
      </c>
      <c r="CB1132" s="111" t="e">
        <f t="shared" si="834"/>
        <v>#VALUE!</v>
      </c>
      <c r="CC1132" s="129">
        <f>G1132-I1132+1</f>
        <v>2</v>
      </c>
      <c r="CD1132" s="129">
        <f>G1132-J1132</f>
        <v>0</v>
      </c>
      <c r="CE1132" s="129">
        <f t="shared" si="820"/>
        <v>0</v>
      </c>
      <c r="CG1132" s="129" t="str">
        <f t="shared" si="821"/>
        <v>Y</v>
      </c>
      <c r="CI1132" s="129" t="str">
        <f t="shared" si="823"/>
        <v>0-10 DAYS</v>
      </c>
      <c r="CJ1132" s="137">
        <f t="shared" si="824"/>
        <v>1</v>
      </c>
      <c r="CK1132" s="129" t="str">
        <f t="shared" si="825"/>
        <v>Booked</v>
      </c>
    </row>
    <row r="1133" spans="1:89" ht="15.75" customHeight="1" x14ac:dyDescent="0.25">
      <c r="A1133" s="111">
        <v>2877</v>
      </c>
      <c r="B1133" s="128" t="str">
        <f t="shared" si="803"/>
        <v>N</v>
      </c>
      <c r="C1133" s="128" t="str">
        <f t="shared" si="804"/>
        <v>N</v>
      </c>
      <c r="D1133" s="117">
        <v>1821487</v>
      </c>
      <c r="E1133" s="135">
        <f t="shared" si="805"/>
        <v>5</v>
      </c>
      <c r="F1133" s="124">
        <v>41016</v>
      </c>
      <c r="G1133" s="125">
        <v>41023</v>
      </c>
      <c r="H1133" s="117">
        <v>1821487</v>
      </c>
      <c r="I1133" s="124">
        <v>41016</v>
      </c>
      <c r="J1133" s="124">
        <v>41023</v>
      </c>
      <c r="K1133" s="126">
        <v>15000</v>
      </c>
      <c r="L1133" s="127" t="s">
        <v>571</v>
      </c>
      <c r="N1133" s="129" t="str">
        <f>IF(M1133&gt;1/1/1,"Y","N")</f>
        <v>N</v>
      </c>
      <c r="O1133" s="128" t="s">
        <v>917</v>
      </c>
      <c r="P1133" s="129" t="s">
        <v>39</v>
      </c>
      <c r="Q1133" s="111">
        <f t="shared" si="837"/>
        <v>8</v>
      </c>
      <c r="R1133" s="111">
        <f t="shared" si="830"/>
        <v>8</v>
      </c>
      <c r="S1133" s="129">
        <v>6</v>
      </c>
      <c r="T1133" s="129">
        <v>6</v>
      </c>
      <c r="U1133" s="129">
        <v>4</v>
      </c>
      <c r="W1133" s="111"/>
      <c r="AC1133" s="130"/>
      <c r="AD1133" s="130">
        <v>22673</v>
      </c>
      <c r="AE1133" s="128" t="s">
        <v>46</v>
      </c>
      <c r="AF1133" s="128" t="s">
        <v>69</v>
      </c>
      <c r="AG1133" s="128" t="s">
        <v>874</v>
      </c>
      <c r="AH1133" s="108" t="s">
        <v>58</v>
      </c>
      <c r="AI1133" s="128" t="s">
        <v>47</v>
      </c>
      <c r="AJ1133" s="129" t="s">
        <v>89</v>
      </c>
      <c r="AK1133" s="129">
        <v>2</v>
      </c>
      <c r="AL1133" s="3" t="s">
        <v>992</v>
      </c>
      <c r="AN1133" s="117">
        <v>6</v>
      </c>
      <c r="AP1133" s="129" t="s">
        <v>43</v>
      </c>
      <c r="AR1133" s="128" t="s">
        <v>44</v>
      </c>
      <c r="AS1133" s="129" t="s">
        <v>45</v>
      </c>
      <c r="BC1133" s="129" t="s">
        <v>38</v>
      </c>
      <c r="BF1133" s="111">
        <f t="shared" si="832"/>
        <v>8</v>
      </c>
      <c r="BG1133" s="111">
        <f t="shared" si="833"/>
        <v>8</v>
      </c>
      <c r="BH1133" s="111">
        <f t="shared" si="800"/>
        <v>8</v>
      </c>
      <c r="BI1133" s="111">
        <f t="shared" si="801"/>
        <v>50.117486338797811</v>
      </c>
      <c r="BJ1133" s="129">
        <f t="shared" si="806"/>
        <v>0</v>
      </c>
      <c r="BK1133" s="129">
        <f t="shared" si="802"/>
        <v>0</v>
      </c>
      <c r="BL1133" s="129" t="str">
        <f t="shared" si="831"/>
        <v>CONVICTION</v>
      </c>
      <c r="BM1133" s="129" t="str">
        <f t="shared" si="807"/>
        <v>NONE</v>
      </c>
      <c r="BN1133" s="129" t="s">
        <v>566</v>
      </c>
      <c r="BP1133" s="137" t="str">
        <f t="shared" si="808"/>
        <v>CONVICTION</v>
      </c>
      <c r="BQ1133" s="128" t="str">
        <f t="shared" si="809"/>
        <v>Y</v>
      </c>
      <c r="BR1133" s="129" t="str">
        <f t="shared" si="810"/>
        <v>DETAINED</v>
      </c>
      <c r="BS1133" s="129" t="str">
        <f t="shared" si="811"/>
        <v>DISPOSED</v>
      </c>
      <c r="BT1133" s="129" t="str">
        <f t="shared" si="812"/>
        <v>Y</v>
      </c>
      <c r="BU1133" s="109">
        <f t="shared" si="822"/>
        <v>1</v>
      </c>
      <c r="BV1133" s="109">
        <f t="shared" si="813"/>
        <v>1</v>
      </c>
      <c r="BW1133" s="109">
        <f t="shared" si="836"/>
        <v>0</v>
      </c>
      <c r="BX1133" s="111">
        <f t="shared" si="814"/>
        <v>0</v>
      </c>
      <c r="BY1133" s="129">
        <f t="shared" si="815"/>
        <v>-8</v>
      </c>
      <c r="BZ1133" s="111">
        <f t="shared" si="816"/>
        <v>0</v>
      </c>
      <c r="CA1133" s="138">
        <f t="shared" si="817"/>
        <v>8</v>
      </c>
      <c r="CB1133" s="111" t="e">
        <f t="shared" si="834"/>
        <v>#VALUE!</v>
      </c>
      <c r="CC1133" s="129">
        <f>G1133-I1133+1</f>
        <v>8</v>
      </c>
      <c r="CD1133" s="129">
        <f>G1133-J1133</f>
        <v>0</v>
      </c>
      <c r="CE1133" s="129">
        <f t="shared" si="820"/>
        <v>0</v>
      </c>
      <c r="CG1133" s="129" t="str">
        <f t="shared" si="821"/>
        <v>Y</v>
      </c>
      <c r="CI1133" s="129" t="str">
        <f t="shared" si="823"/>
        <v>0-10 DAYS</v>
      </c>
      <c r="CJ1133" s="137">
        <f t="shared" si="824"/>
        <v>1</v>
      </c>
      <c r="CK1133" s="129" t="str">
        <f t="shared" si="825"/>
        <v>Booked</v>
      </c>
    </row>
    <row r="1134" spans="1:89" ht="15" customHeight="1" x14ac:dyDescent="0.25">
      <c r="A1134" s="111">
        <v>3160</v>
      </c>
      <c r="B1134" s="128" t="str">
        <f t="shared" si="803"/>
        <v>N</v>
      </c>
      <c r="C1134" s="128" t="str">
        <f t="shared" si="804"/>
        <v>N</v>
      </c>
      <c r="D1134" s="117">
        <v>1821582</v>
      </c>
      <c r="E1134" s="135">
        <f t="shared" si="805"/>
        <v>5</v>
      </c>
      <c r="F1134" s="124">
        <v>41025</v>
      </c>
      <c r="G1134" s="125">
        <v>41229</v>
      </c>
      <c r="H1134" s="117">
        <v>1821582</v>
      </c>
      <c r="I1134" s="124">
        <v>41025</v>
      </c>
      <c r="J1134" s="125">
        <v>41229</v>
      </c>
      <c r="K1134" s="126">
        <v>20000</v>
      </c>
      <c r="L1134" s="127" t="s">
        <v>571</v>
      </c>
      <c r="N1134" s="129" t="str">
        <f>IF(M1134&gt;1/1/1,"Y","N")</f>
        <v>N</v>
      </c>
      <c r="O1134" s="128" t="s">
        <v>917</v>
      </c>
      <c r="P1134" s="129" t="s">
        <v>39</v>
      </c>
      <c r="Q1134" s="111">
        <f t="shared" si="837"/>
        <v>205</v>
      </c>
      <c r="R1134" s="111">
        <f t="shared" si="830"/>
        <v>205</v>
      </c>
      <c r="S1134" s="129">
        <v>2</v>
      </c>
      <c r="T1134" s="129">
        <v>4</v>
      </c>
      <c r="U1134" s="129">
        <v>1</v>
      </c>
      <c r="W1134" s="111"/>
      <c r="AC1134" s="130"/>
      <c r="AD1134" s="130">
        <v>28269</v>
      </c>
      <c r="AE1134" s="128" t="s">
        <v>32</v>
      </c>
      <c r="AF1134" s="128" t="s">
        <v>40</v>
      </c>
      <c r="AG1134" s="128" t="s">
        <v>41</v>
      </c>
      <c r="AH1134" s="108" t="s">
        <v>41</v>
      </c>
      <c r="AI1134" s="128" t="s">
        <v>87</v>
      </c>
      <c r="AJ1134" s="129" t="s">
        <v>89</v>
      </c>
      <c r="AK1134" s="129">
        <v>10</v>
      </c>
      <c r="AL1134" s="3" t="s">
        <v>992</v>
      </c>
      <c r="AN1134" s="117">
        <v>10</v>
      </c>
      <c r="AP1134" s="129" t="s">
        <v>127</v>
      </c>
      <c r="AR1134" s="128" t="s">
        <v>44</v>
      </c>
      <c r="AS1134" s="129" t="s">
        <v>82</v>
      </c>
      <c r="BC1134" s="129" t="s">
        <v>38</v>
      </c>
      <c r="BF1134" s="111">
        <f t="shared" si="832"/>
        <v>205</v>
      </c>
      <c r="BG1134" s="111">
        <f t="shared" si="833"/>
        <v>205</v>
      </c>
      <c r="BH1134" s="111">
        <f t="shared" si="800"/>
        <v>205</v>
      </c>
      <c r="BI1134" s="111">
        <f t="shared" si="801"/>
        <v>34.852459016393439</v>
      </c>
      <c r="BJ1134" s="129">
        <f t="shared" si="806"/>
        <v>0</v>
      </c>
      <c r="BK1134" s="129">
        <f t="shared" si="802"/>
        <v>0</v>
      </c>
      <c r="BL1134" s="129" t="str">
        <f t="shared" si="831"/>
        <v>CONVICTION</v>
      </c>
      <c r="BM1134" s="129" t="str">
        <f t="shared" si="807"/>
        <v>NONE</v>
      </c>
      <c r="BN1134" s="129" t="s">
        <v>566</v>
      </c>
      <c r="BP1134" s="137" t="str">
        <f t="shared" si="808"/>
        <v>CONVICTION</v>
      </c>
      <c r="BQ1134" s="128" t="str">
        <f t="shared" si="809"/>
        <v>Y</v>
      </c>
      <c r="BR1134" s="129" t="str">
        <f t="shared" si="810"/>
        <v>DETAINED</v>
      </c>
      <c r="BS1134" s="129" t="str">
        <f t="shared" si="811"/>
        <v>DISPOSED</v>
      </c>
      <c r="BT1134" s="129" t="str">
        <f t="shared" si="812"/>
        <v>Y</v>
      </c>
      <c r="BU1134" s="109">
        <f t="shared" si="822"/>
        <v>1</v>
      </c>
      <c r="BV1134" s="109">
        <f t="shared" si="813"/>
        <v>1</v>
      </c>
      <c r="BW1134" s="109">
        <f t="shared" si="836"/>
        <v>0</v>
      </c>
      <c r="BX1134" s="111">
        <f t="shared" si="814"/>
        <v>0</v>
      </c>
      <c r="BY1134" s="129">
        <f t="shared" si="815"/>
        <v>-205</v>
      </c>
      <c r="BZ1134" s="111">
        <f t="shared" si="816"/>
        <v>0</v>
      </c>
      <c r="CA1134" s="138">
        <f t="shared" si="817"/>
        <v>205</v>
      </c>
      <c r="CB1134" s="111" t="e">
        <f t="shared" si="834"/>
        <v>#VALUE!</v>
      </c>
      <c r="CC1134" s="129">
        <f>G1134-I1134+1</f>
        <v>205</v>
      </c>
      <c r="CD1134" s="129">
        <f>G1134-J1134</f>
        <v>0</v>
      </c>
      <c r="CE1134" s="129">
        <f t="shared" si="820"/>
        <v>0</v>
      </c>
      <c r="CG1134" s="129" t="str">
        <f t="shared" si="821"/>
        <v>Y</v>
      </c>
      <c r="CI1134" s="129" t="str">
        <f t="shared" si="823"/>
        <v>121-365 DAYS</v>
      </c>
      <c r="CJ1134" s="137">
        <f t="shared" si="824"/>
        <v>6</v>
      </c>
      <c r="CK1134" s="129" t="str">
        <f t="shared" si="825"/>
        <v>Booked</v>
      </c>
    </row>
    <row r="1135" spans="1:89" ht="15.75" customHeight="1" x14ac:dyDescent="0.25">
      <c r="A1135" s="111">
        <v>1648</v>
      </c>
      <c r="B1135" s="128" t="str">
        <f t="shared" si="803"/>
        <v>N</v>
      </c>
      <c r="C1135" s="128" t="str">
        <f t="shared" si="804"/>
        <v>N</v>
      </c>
      <c r="D1135" s="117">
        <v>1822050</v>
      </c>
      <c r="E1135" s="135">
        <f t="shared" si="805"/>
        <v>2</v>
      </c>
      <c r="F1135" s="124">
        <v>40969</v>
      </c>
      <c r="G1135" s="125">
        <v>40973</v>
      </c>
      <c r="H1135" s="117">
        <v>1822050</v>
      </c>
      <c r="I1135" s="124">
        <v>40970</v>
      </c>
      <c r="J1135" s="124">
        <v>40973</v>
      </c>
      <c r="K1135" s="126">
        <v>2000</v>
      </c>
      <c r="L1135" s="127" t="s">
        <v>568</v>
      </c>
      <c r="N1135" s="129" t="str">
        <f>IF(M1135&gt;1/1/1,"Y","N")</f>
        <v>N</v>
      </c>
      <c r="O1135" s="128" t="s">
        <v>917</v>
      </c>
      <c r="P1135" s="129" t="s">
        <v>589</v>
      </c>
      <c r="Q1135" s="111">
        <f t="shared" si="837"/>
        <v>4</v>
      </c>
      <c r="R1135" s="111">
        <f t="shared" si="830"/>
        <v>5</v>
      </c>
      <c r="S1135" s="129">
        <v>0</v>
      </c>
      <c r="T1135" s="129">
        <v>1</v>
      </c>
      <c r="W1135" s="111"/>
      <c r="AB1135" s="131" t="s">
        <v>112</v>
      </c>
      <c r="AC1135" s="130"/>
      <c r="AD1135" s="130">
        <v>28748</v>
      </c>
      <c r="AE1135" s="128" t="s">
        <v>46</v>
      </c>
      <c r="AF1135" s="128" t="s">
        <v>40</v>
      </c>
      <c r="AG1135" s="128" t="s">
        <v>41</v>
      </c>
      <c r="AH1135" s="108" t="s">
        <v>31</v>
      </c>
      <c r="AI1135" s="128" t="s">
        <v>53</v>
      </c>
      <c r="AJ1135" s="129" t="s">
        <v>48</v>
      </c>
      <c r="AK1135" s="129">
        <v>1</v>
      </c>
      <c r="AL1135" s="3" t="s">
        <v>48</v>
      </c>
      <c r="AP1135" s="129" t="s">
        <v>108</v>
      </c>
      <c r="AR1135" s="128" t="s">
        <v>44</v>
      </c>
      <c r="AS1135" s="129" t="s">
        <v>61</v>
      </c>
      <c r="BC1135" s="129" t="s">
        <v>38</v>
      </c>
      <c r="BF1135" s="111">
        <f t="shared" si="832"/>
        <v>4</v>
      </c>
      <c r="BG1135" s="111">
        <f t="shared" si="833"/>
        <v>4</v>
      </c>
      <c r="BH1135" s="111">
        <f t="shared" si="800"/>
        <v>5</v>
      </c>
      <c r="BI1135" s="111">
        <f t="shared" si="801"/>
        <v>33.39071038251366</v>
      </c>
      <c r="BJ1135" s="129">
        <f t="shared" si="806"/>
        <v>0</v>
      </c>
      <c r="BK1135" s="129">
        <f t="shared" si="802"/>
        <v>0</v>
      </c>
      <c r="BL1135" s="129" t="str">
        <f t="shared" si="831"/>
        <v>DEFERRED</v>
      </c>
      <c r="BM1135" s="129" t="str">
        <f t="shared" si="807"/>
        <v>NONE</v>
      </c>
      <c r="BN1135" s="129" t="s">
        <v>566</v>
      </c>
      <c r="BP1135" s="137" t="str">
        <f t="shared" si="808"/>
        <v>DEFERRED</v>
      </c>
      <c r="BQ1135" s="128" t="str">
        <f t="shared" si="809"/>
        <v>Y</v>
      </c>
      <c r="BR1135" s="129" t="str">
        <f t="shared" si="810"/>
        <v>DETAINED</v>
      </c>
      <c r="BS1135" s="129" t="str">
        <f t="shared" si="811"/>
        <v>DISPOSED</v>
      </c>
      <c r="BT1135" s="129" t="str">
        <f t="shared" si="812"/>
        <v>N</v>
      </c>
      <c r="BU1135" s="109">
        <f t="shared" si="822"/>
        <v>0.8</v>
      </c>
      <c r="BV1135" s="109">
        <f t="shared" si="813"/>
        <v>1</v>
      </c>
      <c r="BW1135" s="109">
        <f t="shared" si="836"/>
        <v>0.19999999999999996</v>
      </c>
      <c r="BX1135" s="111">
        <f t="shared" si="814"/>
        <v>0</v>
      </c>
      <c r="BY1135" s="129">
        <f t="shared" si="815"/>
        <v>-4</v>
      </c>
      <c r="BZ1135" s="111">
        <f t="shared" si="816"/>
        <v>0</v>
      </c>
      <c r="CA1135" s="138">
        <f t="shared" si="817"/>
        <v>4</v>
      </c>
      <c r="CB1135" s="111" t="e">
        <f t="shared" si="834"/>
        <v>#VALUE!</v>
      </c>
      <c r="CC1135" s="129">
        <f>G1135-I1135+1</f>
        <v>4</v>
      </c>
      <c r="CD1135" s="129">
        <f>G1135-J1135</f>
        <v>0</v>
      </c>
      <c r="CE1135" s="129">
        <f t="shared" si="820"/>
        <v>0</v>
      </c>
      <c r="CG1135" s="129" t="str">
        <f t="shared" si="821"/>
        <v>Y</v>
      </c>
      <c r="CI1135" s="129" t="str">
        <f t="shared" si="823"/>
        <v>0-10 DAYS</v>
      </c>
      <c r="CJ1135" s="137">
        <f t="shared" si="824"/>
        <v>1</v>
      </c>
      <c r="CK1135" s="129" t="str">
        <f t="shared" si="825"/>
        <v>Booked</v>
      </c>
    </row>
    <row r="1136" spans="1:89" ht="15.75" customHeight="1" x14ac:dyDescent="0.25">
      <c r="A1136" s="111">
        <v>3172</v>
      </c>
      <c r="B1136" s="128" t="str">
        <f t="shared" si="803"/>
        <v>N</v>
      </c>
      <c r="C1136" s="128" t="str">
        <f t="shared" si="804"/>
        <v>N</v>
      </c>
      <c r="D1136" s="117">
        <v>1823576</v>
      </c>
      <c r="E1136" s="135">
        <f t="shared" si="805"/>
        <v>1</v>
      </c>
      <c r="F1136" s="124">
        <v>41025</v>
      </c>
      <c r="G1136" s="125">
        <v>41032</v>
      </c>
      <c r="H1136" s="117">
        <v>1823576</v>
      </c>
      <c r="I1136" s="124" t="s">
        <v>562</v>
      </c>
      <c r="J1136" s="124" t="s">
        <v>562</v>
      </c>
      <c r="K1136" s="126">
        <v>5000</v>
      </c>
      <c r="L1136" s="127" t="s">
        <v>569</v>
      </c>
      <c r="M1136" s="125">
        <v>41033</v>
      </c>
      <c r="N1136" s="129" t="str">
        <f>IF(M1136&gt;1/1/1,"Y",IF(Q1136="0","","N"))</f>
        <v>Y</v>
      </c>
      <c r="O1136" s="128" t="s">
        <v>76</v>
      </c>
      <c r="P1136" s="129" t="s">
        <v>123</v>
      </c>
      <c r="Q1136" s="111">
        <f t="shared" si="837"/>
        <v>0</v>
      </c>
      <c r="R1136" s="111">
        <f t="shared" si="830"/>
        <v>8</v>
      </c>
      <c r="S1136" s="129">
        <v>0</v>
      </c>
      <c r="T1136" s="129">
        <v>1</v>
      </c>
      <c r="W1136" s="111"/>
      <c r="AB1136" s="131" t="s">
        <v>112</v>
      </c>
      <c r="AC1136" s="130"/>
      <c r="AD1136" s="130">
        <v>27638</v>
      </c>
      <c r="AE1136" s="128" t="s">
        <v>32</v>
      </c>
      <c r="AF1136" s="128" t="s">
        <v>40</v>
      </c>
      <c r="AG1136" s="128" t="s">
        <v>41</v>
      </c>
      <c r="AH1136" s="108" t="s">
        <v>31</v>
      </c>
      <c r="AI1136" s="128" t="s">
        <v>95</v>
      </c>
      <c r="AJ1136" s="129" t="s">
        <v>123</v>
      </c>
      <c r="AK1136" s="129">
        <v>2</v>
      </c>
      <c r="AL1136" s="3" t="s">
        <v>123</v>
      </c>
      <c r="AP1136" s="129" t="s">
        <v>84</v>
      </c>
      <c r="AR1136" s="128" t="s">
        <v>67</v>
      </c>
      <c r="AS1136" s="129" t="s">
        <v>74</v>
      </c>
      <c r="BC1136" s="129" t="s">
        <v>79</v>
      </c>
      <c r="BF1136" s="111">
        <v>0</v>
      </c>
      <c r="BG1136" s="111">
        <v>0</v>
      </c>
      <c r="BH1136" s="111">
        <f t="shared" si="800"/>
        <v>8</v>
      </c>
      <c r="BI1136" s="111">
        <f t="shared" si="801"/>
        <v>36.576502732240435</v>
      </c>
      <c r="BJ1136" s="129" t="e">
        <f>(G1136-J1136)+(M1136-G1136)</f>
        <v>#VALUE!</v>
      </c>
      <c r="BK1136" s="129" t="e">
        <f t="shared" si="802"/>
        <v>#VALUE!</v>
      </c>
      <c r="BL1136" s="129" t="str">
        <f t="shared" si="831"/>
        <v>NO CONVICTION</v>
      </c>
      <c r="BM1136" s="129" t="s">
        <v>76</v>
      </c>
      <c r="BN1136" s="129" t="s">
        <v>88</v>
      </c>
      <c r="BP1136" s="137" t="str">
        <f t="shared" si="808"/>
        <v>NO CONVICTION</v>
      </c>
      <c r="BQ1136" s="128">
        <f t="shared" si="809"/>
        <v>0</v>
      </c>
      <c r="BR1136" s="129" t="s">
        <v>575</v>
      </c>
      <c r="BS1136" s="129" t="str">
        <f t="shared" si="811"/>
        <v>DISPOSED</v>
      </c>
      <c r="BT1136" s="129" t="str">
        <f t="shared" si="812"/>
        <v>N</v>
      </c>
      <c r="BU1136" s="109">
        <f>IFERROR(Q1136/R1136,BR1136)</f>
        <v>0</v>
      </c>
      <c r="BV1136" s="109">
        <v>0</v>
      </c>
      <c r="BW1136" s="109">
        <f t="shared" si="836"/>
        <v>0</v>
      </c>
      <c r="BX1136" s="111">
        <f t="shared" si="814"/>
        <v>0</v>
      </c>
      <c r="BY1136" s="129" t="e">
        <f t="shared" si="815"/>
        <v>#VALUE!</v>
      </c>
      <c r="BZ1136" s="111" t="e">
        <f t="shared" si="816"/>
        <v>#VALUE!</v>
      </c>
      <c r="CA1136" s="138" t="e">
        <f t="shared" si="817"/>
        <v>#VALUE!</v>
      </c>
      <c r="CB1136" s="111">
        <v>0</v>
      </c>
      <c r="CC1136" s="129">
        <v>0</v>
      </c>
      <c r="CD1136" s="111">
        <f>CC1136-BF1136</f>
        <v>0</v>
      </c>
      <c r="CE1136" s="129" t="e">
        <f t="shared" si="820"/>
        <v>#VALUE!</v>
      </c>
      <c r="CG1136" s="129" t="str">
        <f t="shared" si="821"/>
        <v>Y</v>
      </c>
      <c r="CI1136" s="129" t="str">
        <f t="shared" si="823"/>
        <v>0-10 DAYS</v>
      </c>
      <c r="CJ1136" s="137">
        <f t="shared" si="824"/>
        <v>1</v>
      </c>
      <c r="CK1136" s="129" t="str">
        <f t="shared" si="825"/>
        <v>Not Booked</v>
      </c>
    </row>
    <row r="1137" spans="1:89" ht="15" customHeight="1" x14ac:dyDescent="0.25">
      <c r="A1137" s="111">
        <v>2591</v>
      </c>
      <c r="B1137" s="128" t="str">
        <f t="shared" si="803"/>
        <v>N</v>
      </c>
      <c r="C1137" s="128" t="str">
        <f t="shared" si="804"/>
        <v>Y</v>
      </c>
      <c r="D1137" s="117">
        <v>1823817</v>
      </c>
      <c r="E1137" s="135">
        <f t="shared" si="805"/>
        <v>6</v>
      </c>
      <c r="F1137" s="124">
        <v>41005</v>
      </c>
      <c r="G1137" s="125">
        <v>41452</v>
      </c>
      <c r="H1137" s="117">
        <v>1823817</v>
      </c>
      <c r="I1137" s="124">
        <v>41005</v>
      </c>
      <c r="J1137" s="124">
        <v>41020</v>
      </c>
      <c r="K1137" s="126">
        <v>75000</v>
      </c>
      <c r="L1137" s="129" t="s">
        <v>572</v>
      </c>
      <c r="M1137" s="125">
        <v>41020</v>
      </c>
      <c r="N1137" s="129" t="str">
        <f>IF(M1137&gt;1/1/1,"Y","N")</f>
        <v>Y</v>
      </c>
      <c r="O1137" s="128" t="s">
        <v>76</v>
      </c>
      <c r="P1137" s="129" t="s">
        <v>39</v>
      </c>
      <c r="Q1137" s="111">
        <v>148</v>
      </c>
      <c r="R1137" s="111">
        <f t="shared" si="830"/>
        <v>448</v>
      </c>
      <c r="S1137" s="129">
        <v>4</v>
      </c>
      <c r="T1137" s="129">
        <v>1</v>
      </c>
      <c r="U1137" s="129">
        <v>1</v>
      </c>
      <c r="W1137" s="111"/>
      <c r="AC1137" s="130"/>
      <c r="AD1137" s="130">
        <v>30040</v>
      </c>
      <c r="AE1137" s="128" t="s">
        <v>32</v>
      </c>
      <c r="AF1137" s="128" t="s">
        <v>40</v>
      </c>
      <c r="AG1137" s="128" t="s">
        <v>41</v>
      </c>
      <c r="AH1137" s="108" t="s">
        <v>41</v>
      </c>
      <c r="AI1137" s="128" t="s">
        <v>80</v>
      </c>
      <c r="AJ1137" s="129" t="s">
        <v>89</v>
      </c>
      <c r="AK1137" s="129">
        <v>14</v>
      </c>
      <c r="AL1137" s="3" t="s">
        <v>362</v>
      </c>
      <c r="AM1137" s="117">
        <v>5</v>
      </c>
      <c r="AP1137" s="129" t="s">
        <v>132</v>
      </c>
      <c r="AR1137" s="128" t="s">
        <v>92</v>
      </c>
      <c r="AS1137" s="129" t="s">
        <v>82</v>
      </c>
      <c r="AT1137" s="129" t="s">
        <v>1251</v>
      </c>
      <c r="AU1137" s="3" t="s">
        <v>849</v>
      </c>
      <c r="AX1137" s="32" t="s">
        <v>88</v>
      </c>
      <c r="BC1137" s="129" t="s">
        <v>52</v>
      </c>
      <c r="BF1137" s="111">
        <v>148</v>
      </c>
      <c r="BG1137" s="111">
        <f>IF(G1137&gt;1/1/1900,((G1137+1)-I1137),"STILL OPEN")</f>
        <v>448</v>
      </c>
      <c r="BH1137" s="111">
        <f t="shared" si="800"/>
        <v>448</v>
      </c>
      <c r="BI1137" s="111">
        <f t="shared" si="801"/>
        <v>29.959016393442624</v>
      </c>
      <c r="BJ1137" s="129">
        <f>(G1137-J1137)+(M1137-G1137)</f>
        <v>0</v>
      </c>
      <c r="BK1137" s="129">
        <f t="shared" si="802"/>
        <v>-432</v>
      </c>
      <c r="BL1137" s="129" t="str">
        <f t="shared" si="831"/>
        <v>CONVICTION</v>
      </c>
      <c r="BM1137" s="129" t="s">
        <v>76</v>
      </c>
      <c r="BN1137" s="129" t="s">
        <v>566</v>
      </c>
      <c r="BP1137" s="137" t="str">
        <f t="shared" si="808"/>
        <v>CONVICTION</v>
      </c>
      <c r="BQ1137" s="128" t="str">
        <f t="shared" si="809"/>
        <v>Y</v>
      </c>
      <c r="BR1137" s="129" t="s">
        <v>574</v>
      </c>
      <c r="BS1137" s="129" t="str">
        <f t="shared" si="811"/>
        <v>DISPOSED</v>
      </c>
      <c r="BT1137" s="129" t="str">
        <f t="shared" si="812"/>
        <v>Y</v>
      </c>
      <c r="BU1137" s="109">
        <f t="shared" si="822"/>
        <v>0.33035714285714285</v>
      </c>
      <c r="BV1137" s="109">
        <f t="shared" si="813"/>
        <v>3.5714285714285712E-2</v>
      </c>
      <c r="BW1137" s="109">
        <f t="shared" si="836"/>
        <v>-0.29464285714285715</v>
      </c>
      <c r="BX1137" s="111">
        <f t="shared" si="814"/>
        <v>0</v>
      </c>
      <c r="BY1137" s="129">
        <f t="shared" si="815"/>
        <v>-16</v>
      </c>
      <c r="BZ1137" s="111">
        <f t="shared" si="816"/>
        <v>132</v>
      </c>
      <c r="CA1137" s="138">
        <f t="shared" si="817"/>
        <v>448</v>
      </c>
      <c r="CB1137" s="111">
        <v>148</v>
      </c>
      <c r="CC1137" s="129">
        <f>G1137-I1137+1</f>
        <v>448</v>
      </c>
      <c r="CD1137" s="129">
        <f>G1137-J1137</f>
        <v>432</v>
      </c>
      <c r="CE1137" s="129">
        <f t="shared" si="820"/>
        <v>432</v>
      </c>
      <c r="CG1137" s="129" t="str">
        <f t="shared" si="821"/>
        <v>Y</v>
      </c>
      <c r="CI1137" s="129" t="str">
        <f t="shared" si="823"/>
        <v>121-365 DAYS</v>
      </c>
      <c r="CJ1137" s="137">
        <f t="shared" si="824"/>
        <v>6</v>
      </c>
      <c r="CK1137" s="129" t="str">
        <f t="shared" si="825"/>
        <v>Booked</v>
      </c>
    </row>
    <row r="1138" spans="1:89" ht="15" customHeight="1" x14ac:dyDescent="0.25">
      <c r="A1138" s="111">
        <v>1251</v>
      </c>
      <c r="B1138" s="128" t="str">
        <f t="shared" si="803"/>
        <v>N</v>
      </c>
      <c r="C1138" s="128" t="str">
        <f t="shared" si="804"/>
        <v>N</v>
      </c>
      <c r="D1138" s="117">
        <v>1824093</v>
      </c>
      <c r="E1138" s="135">
        <f t="shared" si="805"/>
        <v>1</v>
      </c>
      <c r="F1138" s="124">
        <v>40954</v>
      </c>
      <c r="G1138" s="125">
        <v>41031</v>
      </c>
      <c r="H1138" s="117">
        <v>1824093</v>
      </c>
      <c r="I1138" s="124">
        <v>40954</v>
      </c>
      <c r="J1138" s="124">
        <v>41031</v>
      </c>
      <c r="K1138" s="126" t="s">
        <v>564</v>
      </c>
      <c r="L1138" s="127" t="s">
        <v>564</v>
      </c>
      <c r="N1138" s="129" t="s">
        <v>566</v>
      </c>
      <c r="O1138" s="128" t="s">
        <v>917</v>
      </c>
      <c r="P1138" s="116" t="s">
        <v>55</v>
      </c>
      <c r="Q1138" s="111">
        <f t="shared" si="837"/>
        <v>78</v>
      </c>
      <c r="R1138" s="111">
        <f t="shared" si="830"/>
        <v>78</v>
      </c>
      <c r="S1138" s="129">
        <v>12</v>
      </c>
      <c r="T1138" s="129">
        <v>5</v>
      </c>
      <c r="U1138" s="129">
        <v>7</v>
      </c>
      <c r="W1138" s="111"/>
      <c r="AC1138" s="130"/>
      <c r="AD1138" s="130">
        <v>30236</v>
      </c>
      <c r="AE1138" s="128" t="s">
        <v>32</v>
      </c>
      <c r="AF1138" s="128" t="s">
        <v>138</v>
      </c>
      <c r="AG1138" s="128" t="s">
        <v>873</v>
      </c>
      <c r="AH1138" s="108" t="s">
        <v>31</v>
      </c>
      <c r="AI1138" s="128" t="s">
        <v>118</v>
      </c>
      <c r="AJ1138" s="129" t="s">
        <v>55</v>
      </c>
      <c r="AK1138" s="129">
        <v>2</v>
      </c>
      <c r="AL1138" s="3" t="s">
        <v>55</v>
      </c>
      <c r="AP1138" s="129" t="s">
        <v>56</v>
      </c>
      <c r="AR1138" s="128" t="s">
        <v>50</v>
      </c>
      <c r="AS1138" s="129" t="s">
        <v>57</v>
      </c>
      <c r="BC1138" s="129" t="s">
        <v>38</v>
      </c>
      <c r="BF1138" s="111">
        <f>IF(J1138&gt;1/1/1900,((J1138+1)-I1138),"STILL OPEN")</f>
        <v>78</v>
      </c>
      <c r="BG1138" s="111">
        <f>IF(G1138&gt;1/1/1900,((G1138+1)-I1138),"STILL OPEN")</f>
        <v>78</v>
      </c>
      <c r="BH1138" s="111">
        <f t="shared" si="800"/>
        <v>78</v>
      </c>
      <c r="BI1138" s="111">
        <f t="shared" si="801"/>
        <v>29.284153005464482</v>
      </c>
      <c r="BJ1138" s="129">
        <f t="shared" si="806"/>
        <v>0</v>
      </c>
      <c r="BK1138" s="129">
        <f t="shared" si="802"/>
        <v>0</v>
      </c>
      <c r="BL1138" s="129" t="str">
        <f t="shared" si="831"/>
        <v>NO CONVICTION</v>
      </c>
      <c r="BM1138" s="129" t="str">
        <f t="shared" si="807"/>
        <v>NONE</v>
      </c>
      <c r="BN1138" s="129" t="s">
        <v>566</v>
      </c>
      <c r="BP1138" s="137" t="str">
        <f t="shared" si="808"/>
        <v>NO CONVICTION</v>
      </c>
      <c r="BQ1138" s="128" t="str">
        <f t="shared" si="809"/>
        <v>Y</v>
      </c>
      <c r="BR1138" s="129" t="str">
        <f t="shared" si="810"/>
        <v>DETAINED</v>
      </c>
      <c r="BS1138" s="129" t="str">
        <f t="shared" si="811"/>
        <v>DISPOSED</v>
      </c>
      <c r="BT1138" s="129" t="str">
        <f t="shared" si="812"/>
        <v>Y</v>
      </c>
      <c r="BU1138" s="109">
        <f>IFERROR(Q1138/R1138,BR1138)</f>
        <v>1</v>
      </c>
      <c r="BV1138" s="109">
        <f t="shared" si="813"/>
        <v>1</v>
      </c>
      <c r="BW1138" s="109">
        <f t="shared" si="836"/>
        <v>0</v>
      </c>
      <c r="BX1138" s="111">
        <f t="shared" si="814"/>
        <v>0</v>
      </c>
      <c r="BY1138" s="129">
        <f t="shared" si="815"/>
        <v>-78</v>
      </c>
      <c r="BZ1138" s="111">
        <f t="shared" si="816"/>
        <v>0</v>
      </c>
      <c r="CA1138" s="138">
        <f t="shared" si="817"/>
        <v>78</v>
      </c>
      <c r="CB1138" s="111" t="e">
        <f>IF(AF1138&gt;1/1/1900,((AF1138+1)-AE1138),"STILL OPEN")</f>
        <v>#VALUE!</v>
      </c>
      <c r="CC1138" s="129">
        <f>G1138-I1138+1</f>
        <v>78</v>
      </c>
      <c r="CD1138" s="129">
        <f>G1138-J1138</f>
        <v>0</v>
      </c>
      <c r="CE1138" s="129">
        <f t="shared" si="820"/>
        <v>0</v>
      </c>
      <c r="CG1138" s="129" t="str">
        <f t="shared" si="821"/>
        <v>Y</v>
      </c>
      <c r="CI1138" s="129" t="str">
        <f t="shared" si="823"/>
        <v>61-90 DAYS</v>
      </c>
      <c r="CJ1138" s="137">
        <f t="shared" si="824"/>
        <v>4</v>
      </c>
      <c r="CK1138" s="129" t="str">
        <f t="shared" si="825"/>
        <v>Booked</v>
      </c>
    </row>
    <row r="1139" spans="1:89" ht="15" customHeight="1" x14ac:dyDescent="0.25">
      <c r="A1139" s="111">
        <v>1221</v>
      </c>
      <c r="B1139" s="128" t="str">
        <f t="shared" si="803"/>
        <v>N</v>
      </c>
      <c r="C1139" s="128" t="str">
        <f t="shared" si="804"/>
        <v>N</v>
      </c>
      <c r="D1139" s="117">
        <v>1824239</v>
      </c>
      <c r="E1139" s="135">
        <f t="shared" si="805"/>
        <v>6</v>
      </c>
      <c r="F1139" s="124">
        <v>40953</v>
      </c>
      <c r="G1139" s="125">
        <v>41330</v>
      </c>
      <c r="H1139" s="117">
        <v>1824239</v>
      </c>
      <c r="I1139" s="124">
        <v>41004</v>
      </c>
      <c r="J1139" s="124">
        <v>41022</v>
      </c>
      <c r="K1139" s="126">
        <v>45000</v>
      </c>
      <c r="L1139" s="129" t="s">
        <v>572</v>
      </c>
      <c r="M1139" s="125">
        <v>41022</v>
      </c>
      <c r="N1139" s="129" t="str">
        <f>IF(M1139&gt;1/1/1,"Y","N")</f>
        <v>Y</v>
      </c>
      <c r="O1139" s="128" t="s">
        <v>76</v>
      </c>
      <c r="P1139" s="129" t="s">
        <v>39</v>
      </c>
      <c r="Q1139" s="111">
        <f t="shared" si="837"/>
        <v>19</v>
      </c>
      <c r="R1139" s="111">
        <f t="shared" si="830"/>
        <v>378</v>
      </c>
      <c r="S1139" s="129">
        <v>7</v>
      </c>
      <c r="T1139" s="129">
        <v>2</v>
      </c>
      <c r="U1139" s="129">
        <v>5</v>
      </c>
      <c r="W1139" s="111"/>
      <c r="AC1139" s="130"/>
      <c r="AD1139" s="130">
        <v>30453</v>
      </c>
      <c r="AE1139" s="128" t="s">
        <v>32</v>
      </c>
      <c r="AF1139" s="128" t="s">
        <v>33</v>
      </c>
      <c r="AG1139" s="128" t="s">
        <v>872</v>
      </c>
      <c r="AH1139" s="108" t="s">
        <v>58</v>
      </c>
      <c r="AI1139" s="128" t="s">
        <v>95</v>
      </c>
      <c r="AJ1139" s="129" t="s">
        <v>89</v>
      </c>
      <c r="AK1139" s="129">
        <v>14</v>
      </c>
      <c r="AL1139" s="3" t="s">
        <v>362</v>
      </c>
      <c r="AM1139" s="117">
        <v>5</v>
      </c>
      <c r="AP1139" s="129" t="s">
        <v>107</v>
      </c>
      <c r="AR1139" s="128" t="s">
        <v>44</v>
      </c>
      <c r="AS1139" s="129" t="s">
        <v>57</v>
      </c>
      <c r="AT1139" s="129" t="s">
        <v>619</v>
      </c>
      <c r="AY1139" s="123"/>
      <c r="BC1139" s="129" t="s">
        <v>52</v>
      </c>
      <c r="BF1139" s="111">
        <f>IF(J1139&gt;1/1/1900,((J1139+1)-I1139),"STILL OPEN")</f>
        <v>19</v>
      </c>
      <c r="BG1139" s="111">
        <f>IF(G1139&gt;1/1/1900,((G1139+1)-I1139),"STILL OPEN")</f>
        <v>327</v>
      </c>
      <c r="BH1139" s="111">
        <f t="shared" si="800"/>
        <v>378</v>
      </c>
      <c r="BI1139" s="111">
        <f t="shared" si="801"/>
        <v>28.688524590163933</v>
      </c>
      <c r="BJ1139" s="129">
        <f>(G1139-J1139)+(M1139-G1139)</f>
        <v>0</v>
      </c>
      <c r="BK1139" s="129">
        <f t="shared" si="802"/>
        <v>-308</v>
      </c>
      <c r="BL1139" s="129" t="str">
        <f t="shared" si="831"/>
        <v>CONVICTION</v>
      </c>
      <c r="BM1139" s="129" t="s">
        <v>76</v>
      </c>
      <c r="BN1139" s="129" t="s">
        <v>88</v>
      </c>
      <c r="BP1139" s="137" t="str">
        <f t="shared" si="808"/>
        <v>CONVICTION</v>
      </c>
      <c r="BQ1139" s="128" t="str">
        <f t="shared" si="809"/>
        <v>Y</v>
      </c>
      <c r="BR1139" s="129" t="str">
        <f>IF(J1139&lt;G1139,"ON BOND",0)</f>
        <v>ON BOND</v>
      </c>
      <c r="BS1139" s="129" t="str">
        <f t="shared" si="811"/>
        <v>DISPOSED</v>
      </c>
      <c r="BT1139" s="129" t="str">
        <f t="shared" si="812"/>
        <v>Y</v>
      </c>
      <c r="BU1139" s="109">
        <f t="shared" si="822"/>
        <v>5.0264550264550262E-2</v>
      </c>
      <c r="BV1139" s="109">
        <f t="shared" si="813"/>
        <v>5.8103975535168197E-2</v>
      </c>
      <c r="BW1139" s="109">
        <f t="shared" si="836"/>
        <v>7.8394252706179349E-3</v>
      </c>
      <c r="BX1139" s="111">
        <f t="shared" si="814"/>
        <v>0</v>
      </c>
      <c r="BY1139" s="129">
        <f t="shared" si="815"/>
        <v>-19</v>
      </c>
      <c r="BZ1139" s="111">
        <f t="shared" si="816"/>
        <v>0</v>
      </c>
      <c r="CA1139" s="138">
        <f t="shared" si="817"/>
        <v>19</v>
      </c>
      <c r="CB1139" s="111" t="e">
        <f>IF(AF1139&gt;1/1/1900,((AF1139+1)-AE1139),"STILL OPEN")</f>
        <v>#VALUE!</v>
      </c>
      <c r="CC1139" s="129">
        <f>M1139-I1139+1</f>
        <v>19</v>
      </c>
      <c r="CD1139" s="111">
        <f>CC1139-BF1139</f>
        <v>0</v>
      </c>
      <c r="CE1139" s="129">
        <f t="shared" si="820"/>
        <v>308</v>
      </c>
      <c r="CG1139" s="129" t="str">
        <f t="shared" si="821"/>
        <v>Y</v>
      </c>
      <c r="CI1139" s="129" t="str">
        <f t="shared" si="823"/>
        <v>11-30 DAYS</v>
      </c>
      <c r="CJ1139" s="137">
        <f t="shared" si="824"/>
        <v>2</v>
      </c>
      <c r="CK1139" s="129" t="str">
        <f t="shared" si="825"/>
        <v>Booked</v>
      </c>
    </row>
    <row r="1140" spans="1:89" ht="15.75" customHeight="1" x14ac:dyDescent="0.25">
      <c r="A1140" s="111">
        <v>1692</v>
      </c>
      <c r="B1140" s="128" t="str">
        <f t="shared" si="803"/>
        <v>N</v>
      </c>
      <c r="C1140" s="128" t="str">
        <f t="shared" si="804"/>
        <v>N</v>
      </c>
      <c r="D1140" s="117">
        <v>1824604</v>
      </c>
      <c r="E1140" s="135">
        <f t="shared" si="805"/>
        <v>4</v>
      </c>
      <c r="F1140" s="124">
        <v>40971</v>
      </c>
      <c r="G1140" s="125">
        <v>41120</v>
      </c>
      <c r="H1140" s="117">
        <v>1824604</v>
      </c>
      <c r="I1140" s="124">
        <v>40971</v>
      </c>
      <c r="J1140" s="124">
        <v>41120</v>
      </c>
      <c r="K1140" s="126" t="s">
        <v>564</v>
      </c>
      <c r="L1140" s="127" t="s">
        <v>564</v>
      </c>
      <c r="N1140" s="129" t="s">
        <v>566</v>
      </c>
      <c r="O1140" s="128" t="s">
        <v>917</v>
      </c>
      <c r="P1140" s="129" t="s">
        <v>39</v>
      </c>
      <c r="Q1140" s="111">
        <f t="shared" si="837"/>
        <v>150</v>
      </c>
      <c r="R1140" s="111">
        <f t="shared" si="830"/>
        <v>150</v>
      </c>
      <c r="S1140" s="129">
        <v>7</v>
      </c>
      <c r="T1140" s="129">
        <v>11</v>
      </c>
      <c r="U1140" s="129">
        <v>4</v>
      </c>
      <c r="W1140" s="111"/>
      <c r="AC1140" s="130"/>
      <c r="AD1140" s="130">
        <v>30026</v>
      </c>
      <c r="AE1140" s="128" t="s">
        <v>32</v>
      </c>
      <c r="AF1140" s="128" t="s">
        <v>33</v>
      </c>
      <c r="AG1140" s="128" t="s">
        <v>872</v>
      </c>
      <c r="AH1140" s="108" t="s">
        <v>58</v>
      </c>
      <c r="AI1140" s="128" t="s">
        <v>113</v>
      </c>
      <c r="AJ1140" s="129" t="s">
        <v>89</v>
      </c>
      <c r="AK1140" s="129">
        <v>7</v>
      </c>
      <c r="AL1140" s="3" t="s">
        <v>991</v>
      </c>
      <c r="AO1140" s="128">
        <v>300</v>
      </c>
      <c r="AP1140" s="129" t="s">
        <v>158</v>
      </c>
      <c r="AR1140" s="128" t="s">
        <v>67</v>
      </c>
      <c r="AS1140" s="129" t="s">
        <v>64</v>
      </c>
      <c r="BC1140" s="129" t="s">
        <v>38</v>
      </c>
      <c r="BF1140" s="111">
        <f>IF(J1140&gt;1/1/1900,((J1140+1)-I1140),"STILL OPEN")</f>
        <v>150</v>
      </c>
      <c r="BG1140" s="111">
        <f>IF(G1140&gt;1/1/1900,((G1140+1)-I1140),"STILL OPEN")</f>
        <v>150</v>
      </c>
      <c r="BH1140" s="111">
        <f t="shared" si="800"/>
        <v>150</v>
      </c>
      <c r="BI1140" s="111">
        <f t="shared" si="801"/>
        <v>29.904371584699454</v>
      </c>
      <c r="BJ1140" s="129">
        <f t="shared" si="806"/>
        <v>0</v>
      </c>
      <c r="BK1140" s="129">
        <f t="shared" si="802"/>
        <v>0</v>
      </c>
      <c r="BL1140" s="129" t="str">
        <f t="shared" si="831"/>
        <v>CONVICTION</v>
      </c>
      <c r="BM1140" s="129" t="str">
        <f t="shared" si="807"/>
        <v>NONE</v>
      </c>
      <c r="BN1140" s="129" t="s">
        <v>566</v>
      </c>
      <c r="BP1140" s="137" t="str">
        <f t="shared" si="808"/>
        <v>CONVICTION</v>
      </c>
      <c r="BQ1140" s="128" t="str">
        <f t="shared" si="809"/>
        <v>Y</v>
      </c>
      <c r="BR1140" s="129" t="str">
        <f t="shared" si="810"/>
        <v>DETAINED</v>
      </c>
      <c r="BS1140" s="129" t="str">
        <f t="shared" si="811"/>
        <v>DISPOSED</v>
      </c>
      <c r="BT1140" s="129" t="str">
        <f t="shared" si="812"/>
        <v>Y</v>
      </c>
      <c r="BU1140" s="109">
        <f t="shared" si="822"/>
        <v>1</v>
      </c>
      <c r="BV1140" s="109">
        <f t="shared" si="813"/>
        <v>1</v>
      </c>
      <c r="BW1140" s="109">
        <f t="shared" si="836"/>
        <v>0</v>
      </c>
      <c r="BX1140" s="111">
        <f t="shared" si="814"/>
        <v>0</v>
      </c>
      <c r="BY1140" s="129">
        <f t="shared" si="815"/>
        <v>-150</v>
      </c>
      <c r="BZ1140" s="111">
        <f t="shared" si="816"/>
        <v>0</v>
      </c>
      <c r="CA1140" s="138">
        <f t="shared" si="817"/>
        <v>150</v>
      </c>
      <c r="CB1140" s="111" t="e">
        <f>IF(AF1140&gt;1/1/1900,((AF1140+1)-AE1140),"STILL OPEN")</f>
        <v>#VALUE!</v>
      </c>
      <c r="CC1140" s="129">
        <f>G1140-I1140+1</f>
        <v>150</v>
      </c>
      <c r="CD1140" s="129">
        <f>G1140-J1140</f>
        <v>0</v>
      </c>
      <c r="CE1140" s="129">
        <f t="shared" si="820"/>
        <v>0</v>
      </c>
      <c r="CG1140" s="129" t="str">
        <f t="shared" si="821"/>
        <v>Y</v>
      </c>
      <c r="CI1140" s="129" t="str">
        <f t="shared" si="823"/>
        <v>121-365 DAYS</v>
      </c>
      <c r="CJ1140" s="137">
        <f t="shared" si="824"/>
        <v>6</v>
      </c>
      <c r="CK1140" s="129" t="str">
        <f t="shared" si="825"/>
        <v>Booked</v>
      </c>
    </row>
    <row r="1141" spans="1:89" ht="15.75" customHeight="1" x14ac:dyDescent="0.25">
      <c r="A1141" s="111">
        <v>874</v>
      </c>
      <c r="B1141" s="128" t="str">
        <f t="shared" si="803"/>
        <v>N</v>
      </c>
      <c r="C1141" s="128" t="str">
        <f t="shared" si="804"/>
        <v>N</v>
      </c>
      <c r="D1141" s="117">
        <v>1825069</v>
      </c>
      <c r="E1141" s="135">
        <f t="shared" si="805"/>
        <v>2</v>
      </c>
      <c r="F1141" s="124">
        <v>40941</v>
      </c>
      <c r="G1141" s="125">
        <v>41025</v>
      </c>
      <c r="H1141" s="117">
        <v>1825069</v>
      </c>
      <c r="I1141" s="124" t="s">
        <v>562</v>
      </c>
      <c r="J1141" s="124" t="s">
        <v>562</v>
      </c>
      <c r="K1141" s="126">
        <v>2000</v>
      </c>
      <c r="L1141" s="127" t="s">
        <v>568</v>
      </c>
      <c r="M1141" s="125">
        <v>40948</v>
      </c>
      <c r="N1141" s="129" t="str">
        <f>IF(M1141&gt;1/1/1,"Y",IF(Q1141="0","","N"))</f>
        <v>Y</v>
      </c>
      <c r="O1141" s="128" t="s">
        <v>76</v>
      </c>
      <c r="P1141" s="129" t="s">
        <v>589</v>
      </c>
      <c r="Q1141" s="111">
        <f t="shared" si="837"/>
        <v>0</v>
      </c>
      <c r="R1141" s="111">
        <f t="shared" si="830"/>
        <v>85</v>
      </c>
      <c r="S1141" s="129">
        <v>0</v>
      </c>
      <c r="T1141" s="129">
        <v>1</v>
      </c>
      <c r="W1141" s="111"/>
      <c r="AC1141" s="130"/>
      <c r="AD1141" s="130">
        <v>29169</v>
      </c>
      <c r="AE1141" s="128" t="s">
        <v>32</v>
      </c>
      <c r="AF1141" s="128" t="s">
        <v>69</v>
      </c>
      <c r="AG1141" s="128" t="s">
        <v>874</v>
      </c>
      <c r="AH1141" s="108" t="s">
        <v>58</v>
      </c>
      <c r="AI1141" s="128" t="s">
        <v>65</v>
      </c>
      <c r="AJ1141" s="129" t="s">
        <v>48</v>
      </c>
      <c r="AK1141" s="129">
        <v>6</v>
      </c>
      <c r="AL1141" s="3" t="s">
        <v>48</v>
      </c>
      <c r="AP1141" s="129" t="s">
        <v>108</v>
      </c>
      <c r="AR1141" s="128" t="s">
        <v>44</v>
      </c>
      <c r="AS1141" s="129" t="s">
        <v>61</v>
      </c>
      <c r="BC1141" s="129" t="s">
        <v>38</v>
      </c>
      <c r="BF1141" s="111">
        <v>0</v>
      </c>
      <c r="BG1141" s="111">
        <v>0</v>
      </c>
      <c r="BH1141" s="111">
        <f t="shared" si="800"/>
        <v>85</v>
      </c>
      <c r="BI1141" s="111">
        <f t="shared" si="801"/>
        <v>32.16393442622951</v>
      </c>
      <c r="BJ1141" s="129" t="e">
        <f>(G1141-J1141)+(M1141-G1141)</f>
        <v>#VALUE!</v>
      </c>
      <c r="BK1141" s="129" t="e">
        <f t="shared" si="802"/>
        <v>#VALUE!</v>
      </c>
      <c r="BL1141" s="129" t="str">
        <f t="shared" si="831"/>
        <v>DEFERRED</v>
      </c>
      <c r="BM1141" s="129" t="s">
        <v>76</v>
      </c>
      <c r="BN1141" s="129" t="s">
        <v>88</v>
      </c>
      <c r="BP1141" s="137" t="str">
        <f t="shared" si="808"/>
        <v>DEFERRED</v>
      </c>
      <c r="BQ1141" s="128">
        <f t="shared" si="809"/>
        <v>0</v>
      </c>
      <c r="BR1141" s="129" t="s">
        <v>575</v>
      </c>
      <c r="BS1141" s="129" t="str">
        <f t="shared" si="811"/>
        <v>DISPOSED</v>
      </c>
      <c r="BT1141" s="129" t="str">
        <f t="shared" si="812"/>
        <v>N</v>
      </c>
      <c r="BU1141" s="109">
        <f t="shared" si="822"/>
        <v>0</v>
      </c>
      <c r="BV1141" s="109">
        <v>0</v>
      </c>
      <c r="BW1141" s="109">
        <f t="shared" si="836"/>
        <v>0</v>
      </c>
      <c r="BX1141" s="111">
        <f t="shared" si="814"/>
        <v>0</v>
      </c>
      <c r="BY1141" s="129" t="e">
        <f t="shared" si="815"/>
        <v>#VALUE!</v>
      </c>
      <c r="BZ1141" s="111" t="e">
        <f t="shared" si="816"/>
        <v>#VALUE!</v>
      </c>
      <c r="CA1141" s="138" t="e">
        <f t="shared" si="817"/>
        <v>#VALUE!</v>
      </c>
      <c r="CB1141" s="111">
        <v>0</v>
      </c>
      <c r="CC1141" s="129">
        <v>0</v>
      </c>
      <c r="CD1141" s="111">
        <f>CC1141-BF1141</f>
        <v>0</v>
      </c>
      <c r="CE1141" s="129" t="e">
        <f t="shared" si="820"/>
        <v>#VALUE!</v>
      </c>
      <c r="CG1141" s="129" t="str">
        <f t="shared" si="821"/>
        <v>Y</v>
      </c>
      <c r="CI1141" s="129" t="str">
        <f t="shared" si="823"/>
        <v>0-10 DAYS</v>
      </c>
      <c r="CJ1141" s="137">
        <f t="shared" si="824"/>
        <v>1</v>
      </c>
      <c r="CK1141" s="129" t="str">
        <f t="shared" si="825"/>
        <v>Not Booked</v>
      </c>
    </row>
    <row r="1142" spans="1:89" ht="15" customHeight="1" x14ac:dyDescent="0.25">
      <c r="A1142" s="111">
        <v>125</v>
      </c>
      <c r="B1142" s="128" t="str">
        <f t="shared" si="803"/>
        <v>N</v>
      </c>
      <c r="C1142" s="128" t="str">
        <f t="shared" si="804"/>
        <v>N</v>
      </c>
      <c r="D1142" s="117">
        <v>1826085</v>
      </c>
      <c r="E1142" s="135">
        <f t="shared" si="805"/>
        <v>2</v>
      </c>
      <c r="F1142" s="124">
        <v>40914</v>
      </c>
      <c r="G1142" s="125">
        <v>41003</v>
      </c>
      <c r="H1142" s="117">
        <v>1826085</v>
      </c>
      <c r="I1142" s="124">
        <v>40914</v>
      </c>
      <c r="J1142" s="124">
        <v>40915</v>
      </c>
      <c r="K1142" s="126">
        <v>10000</v>
      </c>
      <c r="L1142" s="127" t="s">
        <v>570</v>
      </c>
      <c r="M1142" s="125">
        <v>40915</v>
      </c>
      <c r="N1142" s="129" t="str">
        <f>IF(M1142&gt;1/1/1,"Y","N")</f>
        <v>Y</v>
      </c>
      <c r="O1142" s="128" t="s">
        <v>76</v>
      </c>
      <c r="P1142" s="129" t="s">
        <v>589</v>
      </c>
      <c r="Q1142" s="111">
        <f t="shared" si="837"/>
        <v>2</v>
      </c>
      <c r="R1142" s="111">
        <f t="shared" si="830"/>
        <v>90</v>
      </c>
      <c r="S1142" s="129">
        <v>0</v>
      </c>
      <c r="T1142" s="129">
        <v>0</v>
      </c>
      <c r="W1142" s="111"/>
      <c r="AC1142" s="130"/>
      <c r="AD1142" s="130">
        <v>27767</v>
      </c>
      <c r="AE1142" s="128" t="s">
        <v>32</v>
      </c>
      <c r="AF1142" s="128" t="s">
        <v>40</v>
      </c>
      <c r="AG1142" s="128" t="s">
        <v>41</v>
      </c>
      <c r="AH1142" s="108" t="s">
        <v>41</v>
      </c>
      <c r="AI1142" s="128" t="s">
        <v>95</v>
      </c>
      <c r="AJ1142" s="129" t="s">
        <v>48</v>
      </c>
      <c r="AK1142" s="129">
        <v>4</v>
      </c>
      <c r="AL1142" s="3" t="s">
        <v>48</v>
      </c>
      <c r="AP1142" s="129" t="s">
        <v>93</v>
      </c>
      <c r="AR1142" s="128" t="s">
        <v>67</v>
      </c>
      <c r="AS1142" s="129" t="s">
        <v>45</v>
      </c>
      <c r="BC1142" s="129" t="s">
        <v>52</v>
      </c>
      <c r="BF1142" s="111">
        <f>IF(J1142&gt;1/1/1900,((J1142+1)-I1142),"STILL OPEN")</f>
        <v>2</v>
      </c>
      <c r="BG1142" s="111">
        <f>IF(G1142&gt;1/1/1900,((G1142+1)-I1142),"STILL OPEN")</f>
        <v>90</v>
      </c>
      <c r="BH1142" s="111">
        <f t="shared" si="800"/>
        <v>90</v>
      </c>
      <c r="BI1142" s="111">
        <f t="shared" si="801"/>
        <v>35.920765027322403</v>
      </c>
      <c r="BJ1142" s="129">
        <f>(G1142-J1142)+(M1142-G1142)</f>
        <v>0</v>
      </c>
      <c r="BK1142" s="129">
        <f t="shared" si="802"/>
        <v>-88</v>
      </c>
      <c r="BL1142" s="129" t="str">
        <f t="shared" si="831"/>
        <v>DEFERRED</v>
      </c>
      <c r="BM1142" s="129" t="s">
        <v>76</v>
      </c>
      <c r="BN1142" s="129" t="s">
        <v>88</v>
      </c>
      <c r="BP1142" s="137" t="str">
        <f t="shared" si="808"/>
        <v>DEFERRED</v>
      </c>
      <c r="BQ1142" s="128" t="str">
        <f t="shared" si="809"/>
        <v>Y</v>
      </c>
      <c r="BR1142" s="129" t="str">
        <f t="shared" si="810"/>
        <v>ON BOND</v>
      </c>
      <c r="BS1142" s="129" t="str">
        <f t="shared" si="811"/>
        <v>DISPOSED</v>
      </c>
      <c r="BT1142" s="129" t="str">
        <f t="shared" si="812"/>
        <v>N</v>
      </c>
      <c r="BU1142" s="109">
        <f t="shared" si="822"/>
        <v>2.2222222222222223E-2</v>
      </c>
      <c r="BV1142" s="109">
        <f t="shared" si="813"/>
        <v>2.2222222222222223E-2</v>
      </c>
      <c r="BW1142" s="109">
        <f t="shared" si="836"/>
        <v>0</v>
      </c>
      <c r="BX1142" s="111">
        <f t="shared" si="814"/>
        <v>0</v>
      </c>
      <c r="BY1142" s="129">
        <f t="shared" si="815"/>
        <v>-2</v>
      </c>
      <c r="BZ1142" s="111">
        <f t="shared" si="816"/>
        <v>0</v>
      </c>
      <c r="CA1142" s="138">
        <f t="shared" si="817"/>
        <v>2</v>
      </c>
      <c r="CB1142" s="111" t="e">
        <f>IF(AF1142&gt;1/1/1900,((AF1142+1)-AE1142),"STILL OPEN")</f>
        <v>#VALUE!</v>
      </c>
      <c r="CC1142" s="129">
        <f>M1142-I1142+1</f>
        <v>2</v>
      </c>
      <c r="CD1142" s="111">
        <f>CC1142-BF1142</f>
        <v>0</v>
      </c>
      <c r="CE1142" s="129">
        <f t="shared" si="820"/>
        <v>88</v>
      </c>
      <c r="CG1142" s="129" t="str">
        <f t="shared" si="821"/>
        <v>N</v>
      </c>
      <c r="CI1142" s="129" t="str">
        <f t="shared" si="823"/>
        <v>0-10 DAYS</v>
      </c>
      <c r="CJ1142" s="137">
        <f t="shared" si="824"/>
        <v>1</v>
      </c>
      <c r="CK1142" s="129" t="str">
        <f t="shared" si="825"/>
        <v>Booked</v>
      </c>
    </row>
    <row r="1143" spans="1:89" ht="15.75" customHeight="1" x14ac:dyDescent="0.25">
      <c r="A1143" s="111">
        <v>1313</v>
      </c>
      <c r="B1143" s="128" t="str">
        <f t="shared" si="803"/>
        <v>N</v>
      </c>
      <c r="C1143" s="128" t="str">
        <f t="shared" si="804"/>
        <v>N</v>
      </c>
      <c r="D1143" s="117">
        <v>1826678</v>
      </c>
      <c r="E1143" s="135">
        <f t="shared" si="805"/>
        <v>1</v>
      </c>
      <c r="F1143" s="124">
        <v>40956</v>
      </c>
      <c r="G1143" s="125">
        <v>41338</v>
      </c>
      <c r="H1143" s="117">
        <v>1826678</v>
      </c>
      <c r="I1143" s="124" t="s">
        <v>562</v>
      </c>
      <c r="J1143" s="124" t="s">
        <v>562</v>
      </c>
      <c r="K1143" s="126">
        <v>2000</v>
      </c>
      <c r="L1143" s="127" t="s">
        <v>568</v>
      </c>
      <c r="M1143" s="125">
        <v>41076</v>
      </c>
      <c r="N1143" s="129" t="str">
        <f>IF(M1143&gt;1/1/1,"Y",IF(Q1143="0","","N"))</f>
        <v>Y</v>
      </c>
      <c r="O1143" s="128" t="s">
        <v>76</v>
      </c>
      <c r="P1143" s="116" t="s">
        <v>55</v>
      </c>
      <c r="Q1143" s="111">
        <f t="shared" si="837"/>
        <v>0</v>
      </c>
      <c r="R1143" s="111">
        <f t="shared" si="830"/>
        <v>383</v>
      </c>
      <c r="S1143" s="129">
        <v>1</v>
      </c>
      <c r="T1143" s="129">
        <v>0</v>
      </c>
      <c r="U1143" s="129">
        <v>1</v>
      </c>
      <c r="W1143" s="111"/>
      <c r="AC1143" s="130"/>
      <c r="AD1143" s="130">
        <v>30656</v>
      </c>
      <c r="AE1143" s="128" t="s">
        <v>32</v>
      </c>
      <c r="AF1143" s="128" t="s">
        <v>69</v>
      </c>
      <c r="AG1143" s="128" t="s">
        <v>874</v>
      </c>
      <c r="AH1143" s="108" t="s">
        <v>58</v>
      </c>
      <c r="AI1143" s="128" t="s">
        <v>65</v>
      </c>
      <c r="AJ1143" s="129" t="s">
        <v>55</v>
      </c>
      <c r="AK1143" s="129">
        <v>9</v>
      </c>
      <c r="AL1143" s="3" t="s">
        <v>55</v>
      </c>
      <c r="AP1143" s="129" t="s">
        <v>121</v>
      </c>
      <c r="AR1143" s="128" t="s">
        <v>44</v>
      </c>
      <c r="AS1143" s="129" t="s">
        <v>122</v>
      </c>
      <c r="AU1143" s="3" t="s">
        <v>832</v>
      </c>
      <c r="AW1143" s="32"/>
      <c r="AX1143" s="32"/>
      <c r="BC1143" s="129" t="s">
        <v>38</v>
      </c>
      <c r="BF1143" s="111">
        <v>0</v>
      </c>
      <c r="BG1143" s="111">
        <v>0</v>
      </c>
      <c r="BH1143" s="111">
        <f t="shared" si="800"/>
        <v>383</v>
      </c>
      <c r="BI1143" s="111">
        <f t="shared" si="801"/>
        <v>28.142076502732241</v>
      </c>
      <c r="BJ1143" s="129" t="e">
        <f>(G1143-J1143)+(M1143-G1143)</f>
        <v>#VALUE!</v>
      </c>
      <c r="BK1143" s="129" t="e">
        <f t="shared" si="802"/>
        <v>#VALUE!</v>
      </c>
      <c r="BL1143" s="129" t="str">
        <f t="shared" si="831"/>
        <v>NO CONVICTION</v>
      </c>
      <c r="BM1143" s="129" t="s">
        <v>76</v>
      </c>
      <c r="BN1143" s="129" t="s">
        <v>88</v>
      </c>
      <c r="BP1143" s="137" t="str">
        <f t="shared" si="808"/>
        <v>NO CONVICTION</v>
      </c>
      <c r="BQ1143" s="128">
        <f t="shared" si="809"/>
        <v>0</v>
      </c>
      <c r="BR1143" s="129" t="s">
        <v>575</v>
      </c>
      <c r="BS1143" s="129" t="str">
        <f t="shared" si="811"/>
        <v>DISPOSED</v>
      </c>
      <c r="BT1143" s="129" t="str">
        <f t="shared" si="812"/>
        <v>Y</v>
      </c>
      <c r="BU1143" s="109">
        <f>IFERROR(Q1143/R1143,BR1143)</f>
        <v>0</v>
      </c>
      <c r="BV1143" s="109">
        <v>0</v>
      </c>
      <c r="BW1143" s="109">
        <f t="shared" si="836"/>
        <v>0</v>
      </c>
      <c r="BX1143" s="111">
        <f t="shared" si="814"/>
        <v>0</v>
      </c>
      <c r="BY1143" s="129" t="e">
        <f t="shared" si="815"/>
        <v>#VALUE!</v>
      </c>
      <c r="BZ1143" s="111" t="e">
        <f t="shared" si="816"/>
        <v>#VALUE!</v>
      </c>
      <c r="CA1143" s="138" t="e">
        <f t="shared" si="817"/>
        <v>#VALUE!</v>
      </c>
      <c r="CB1143" s="111">
        <v>0</v>
      </c>
      <c r="CD1143" s="129" t="e">
        <f>G1143-J1143</f>
        <v>#VALUE!</v>
      </c>
      <c r="CE1143" s="129" t="e">
        <f t="shared" si="820"/>
        <v>#VALUE!</v>
      </c>
      <c r="CG1143" s="129" t="str">
        <f t="shared" si="821"/>
        <v>Y</v>
      </c>
      <c r="CI1143" s="129" t="str">
        <f t="shared" si="823"/>
        <v>0-10 DAYS</v>
      </c>
      <c r="CJ1143" s="137">
        <f t="shared" si="824"/>
        <v>1</v>
      </c>
      <c r="CK1143" s="129" t="str">
        <f t="shared" si="825"/>
        <v>Not Booked</v>
      </c>
    </row>
    <row r="1144" spans="1:89" ht="15" customHeight="1" x14ac:dyDescent="0.25">
      <c r="A1144" s="111">
        <v>572</v>
      </c>
      <c r="B1144" s="128" t="str">
        <f t="shared" si="803"/>
        <v>N</v>
      </c>
      <c r="C1144" s="128" t="str">
        <f t="shared" si="804"/>
        <v>N</v>
      </c>
      <c r="D1144" s="117">
        <v>1829413</v>
      </c>
      <c r="E1144" s="135">
        <f t="shared" si="805"/>
        <v>6</v>
      </c>
      <c r="F1144" s="124">
        <v>40931</v>
      </c>
      <c r="G1144" s="125">
        <v>41470</v>
      </c>
      <c r="H1144" s="117">
        <v>1829413</v>
      </c>
      <c r="I1144" s="124">
        <v>40934</v>
      </c>
      <c r="J1144" s="125">
        <v>41470</v>
      </c>
      <c r="K1144" s="126" t="s">
        <v>564</v>
      </c>
      <c r="L1144" s="127" t="s">
        <v>564</v>
      </c>
      <c r="N1144" s="129" t="s">
        <v>566</v>
      </c>
      <c r="O1144" s="128" t="s">
        <v>917</v>
      </c>
      <c r="P1144" s="129" t="s">
        <v>548</v>
      </c>
      <c r="Q1144" s="111">
        <f t="shared" si="837"/>
        <v>537</v>
      </c>
      <c r="R1144" s="111">
        <f t="shared" si="830"/>
        <v>540</v>
      </c>
      <c r="S1144" s="129">
        <v>6</v>
      </c>
      <c r="T1144" s="129">
        <v>5</v>
      </c>
      <c r="U1144" s="129">
        <v>2</v>
      </c>
      <c r="W1144" s="111"/>
      <c r="AC1144" s="130"/>
      <c r="AD1144" s="130">
        <v>30189</v>
      </c>
      <c r="AE1144" s="128" t="s">
        <v>32</v>
      </c>
      <c r="AF1144" s="128" t="s">
        <v>33</v>
      </c>
      <c r="AG1144" s="128" t="s">
        <v>872</v>
      </c>
      <c r="AH1144" s="108" t="s">
        <v>58</v>
      </c>
      <c r="AI1144" s="128" t="s">
        <v>65</v>
      </c>
      <c r="AJ1144" s="129" t="s">
        <v>89</v>
      </c>
      <c r="AK1144" s="129">
        <v>14</v>
      </c>
      <c r="AL1144" s="3" t="s">
        <v>362</v>
      </c>
      <c r="AM1144" s="117">
        <v>40</v>
      </c>
      <c r="AP1144" s="129" t="s">
        <v>223</v>
      </c>
      <c r="AR1144" s="128" t="s">
        <v>50</v>
      </c>
      <c r="AS1144" s="129" t="s">
        <v>74</v>
      </c>
      <c r="AT1144" s="129" t="s">
        <v>1133</v>
      </c>
      <c r="BC1144" s="129" t="s">
        <v>38</v>
      </c>
      <c r="BF1144" s="111">
        <f t="shared" ref="BF1144:BF1154" si="840">IF(J1144&gt;1/1/1900,((J1144+1)-I1144),"STILL OPEN")</f>
        <v>537</v>
      </c>
      <c r="BG1144" s="111">
        <f t="shared" ref="BG1144:BG1154" si="841">IF(G1144&gt;1/1/1900,((G1144+1)-I1144),"STILL OPEN")</f>
        <v>537</v>
      </c>
      <c r="BH1144" s="111">
        <f t="shared" si="800"/>
        <v>540</v>
      </c>
      <c r="BI1144" s="111">
        <f t="shared" si="801"/>
        <v>29.349726775956285</v>
      </c>
      <c r="BJ1144" s="129">
        <f t="shared" si="806"/>
        <v>0</v>
      </c>
      <c r="BK1144" s="129">
        <f t="shared" si="802"/>
        <v>0</v>
      </c>
      <c r="BL1144" s="129" t="str">
        <f t="shared" si="831"/>
        <v>CONVICTION</v>
      </c>
      <c r="BM1144" s="129" t="str">
        <f t="shared" si="807"/>
        <v>NONE</v>
      </c>
      <c r="BN1144" s="129" t="s">
        <v>566</v>
      </c>
      <c r="BP1144" s="137" t="str">
        <f t="shared" si="808"/>
        <v>CONVICTION</v>
      </c>
      <c r="BQ1144" s="128" t="str">
        <f t="shared" si="809"/>
        <v>Y</v>
      </c>
      <c r="BR1144" s="129" t="str">
        <f t="shared" si="810"/>
        <v>DETAINED</v>
      </c>
      <c r="BS1144" s="129" t="str">
        <f t="shared" si="811"/>
        <v>DISPOSED</v>
      </c>
      <c r="BT1144" s="129" t="str">
        <f t="shared" si="812"/>
        <v>Y</v>
      </c>
      <c r="BU1144" s="109">
        <f t="shared" si="822"/>
        <v>0.99444444444444446</v>
      </c>
      <c r="BV1144" s="109">
        <f t="shared" si="813"/>
        <v>1</v>
      </c>
      <c r="BW1144" s="109">
        <f t="shared" si="836"/>
        <v>5.5555555555555358E-3</v>
      </c>
      <c r="BX1144" s="111">
        <f t="shared" si="814"/>
        <v>0</v>
      </c>
      <c r="BY1144" s="129">
        <f t="shared" si="815"/>
        <v>-537</v>
      </c>
      <c r="BZ1144" s="111">
        <f t="shared" si="816"/>
        <v>0</v>
      </c>
      <c r="CA1144" s="138">
        <f t="shared" si="817"/>
        <v>537</v>
      </c>
      <c r="CB1144" s="111" t="e">
        <f t="shared" ref="CB1144:CB1154" si="842">IF(AF1144&gt;1/1/1900,((AF1144+1)-AE1144),"STILL OPEN")</f>
        <v>#VALUE!</v>
      </c>
      <c r="CC1144" s="129">
        <f>G1144-I1144+1</f>
        <v>537</v>
      </c>
      <c r="CD1144" s="129">
        <f>G1144-J1144</f>
        <v>0</v>
      </c>
      <c r="CE1144" s="129">
        <f t="shared" si="820"/>
        <v>0</v>
      </c>
      <c r="CG1144" s="129" t="str">
        <f t="shared" si="821"/>
        <v>Y</v>
      </c>
      <c r="CI1144" s="129" t="str">
        <f t="shared" si="823"/>
        <v xml:space="preserve"> &gt;1YRS&lt;2YRS</v>
      </c>
      <c r="CJ1144" s="137">
        <f t="shared" si="824"/>
        <v>0</v>
      </c>
      <c r="CK1144" s="129" t="str">
        <f t="shared" si="825"/>
        <v>Booked</v>
      </c>
    </row>
    <row r="1145" spans="1:89" ht="15.75" customHeight="1" x14ac:dyDescent="0.25">
      <c r="A1145" s="111">
        <v>3123</v>
      </c>
      <c r="B1145" s="128" t="str">
        <f t="shared" si="803"/>
        <v>N</v>
      </c>
      <c r="C1145" s="128" t="str">
        <f t="shared" si="804"/>
        <v>N</v>
      </c>
      <c r="D1145" s="117">
        <v>1829583</v>
      </c>
      <c r="E1145" s="135">
        <f t="shared" si="805"/>
        <v>2</v>
      </c>
      <c r="F1145" s="124">
        <v>41024</v>
      </c>
      <c r="G1145" s="125">
        <v>41079</v>
      </c>
      <c r="H1145" s="117">
        <v>1829583</v>
      </c>
      <c r="I1145" s="124">
        <v>41075</v>
      </c>
      <c r="J1145" s="124">
        <v>41079</v>
      </c>
      <c r="K1145" s="126">
        <v>2000</v>
      </c>
      <c r="L1145" s="127" t="s">
        <v>568</v>
      </c>
      <c r="N1145" s="129" t="str">
        <f t="shared" ref="N1145:N1154" si="843">IF(M1145&gt;1/1/1,"Y","N")</f>
        <v>N</v>
      </c>
      <c r="O1145" s="128" t="s">
        <v>917</v>
      </c>
      <c r="P1145" s="129" t="s">
        <v>589</v>
      </c>
      <c r="Q1145" s="111">
        <f t="shared" si="837"/>
        <v>5</v>
      </c>
      <c r="R1145" s="111">
        <f t="shared" si="830"/>
        <v>56</v>
      </c>
      <c r="S1145" s="129">
        <v>0</v>
      </c>
      <c r="T1145" s="129">
        <v>1</v>
      </c>
      <c r="W1145" s="111"/>
      <c r="AC1145" s="130"/>
      <c r="AD1145" s="130">
        <v>26885</v>
      </c>
      <c r="AE1145" s="128" t="s">
        <v>32</v>
      </c>
      <c r="AF1145" s="128" t="s">
        <v>69</v>
      </c>
      <c r="AG1145" s="128" t="s">
        <v>874</v>
      </c>
      <c r="AH1145" s="108" t="s">
        <v>58</v>
      </c>
      <c r="AI1145" s="128" t="s">
        <v>113</v>
      </c>
      <c r="AJ1145" s="129" t="s">
        <v>48</v>
      </c>
      <c r="AK1145" s="129">
        <v>2</v>
      </c>
      <c r="AL1145" s="3" t="s">
        <v>48</v>
      </c>
      <c r="AP1145" s="129" t="s">
        <v>63</v>
      </c>
      <c r="AR1145" s="128" t="s">
        <v>44</v>
      </c>
      <c r="AS1145" s="129" t="s">
        <v>64</v>
      </c>
      <c r="BC1145" s="129" t="s">
        <v>38</v>
      </c>
      <c r="BF1145" s="111">
        <f t="shared" si="840"/>
        <v>5</v>
      </c>
      <c r="BG1145" s="111">
        <f t="shared" si="841"/>
        <v>5</v>
      </c>
      <c r="BH1145" s="111">
        <f t="shared" si="800"/>
        <v>56</v>
      </c>
      <c r="BI1145" s="111">
        <f t="shared" si="801"/>
        <v>38.631147540983605</v>
      </c>
      <c r="BJ1145" s="129">
        <f t="shared" si="806"/>
        <v>0</v>
      </c>
      <c r="BK1145" s="129">
        <f t="shared" si="802"/>
        <v>0</v>
      </c>
      <c r="BL1145" s="129" t="str">
        <f t="shared" si="831"/>
        <v>DEFERRED</v>
      </c>
      <c r="BM1145" s="129" t="str">
        <f t="shared" si="807"/>
        <v>NONE</v>
      </c>
      <c r="BN1145" s="129" t="s">
        <v>566</v>
      </c>
      <c r="BP1145" s="137" t="str">
        <f t="shared" si="808"/>
        <v>DEFERRED</v>
      </c>
      <c r="BQ1145" s="128" t="str">
        <f t="shared" si="809"/>
        <v>Y</v>
      </c>
      <c r="BR1145" s="129" t="str">
        <f t="shared" si="810"/>
        <v>DETAINED</v>
      </c>
      <c r="BS1145" s="129" t="str">
        <f t="shared" si="811"/>
        <v>DISPOSED</v>
      </c>
      <c r="BT1145" s="129" t="str">
        <f t="shared" si="812"/>
        <v>N</v>
      </c>
      <c r="BU1145" s="109">
        <f t="shared" si="822"/>
        <v>8.9285714285714288E-2</v>
      </c>
      <c r="BV1145" s="109">
        <f t="shared" si="813"/>
        <v>1</v>
      </c>
      <c r="BW1145" s="109">
        <f t="shared" si="836"/>
        <v>0.9107142857142857</v>
      </c>
      <c r="BX1145" s="111">
        <f t="shared" si="814"/>
        <v>0</v>
      </c>
      <c r="BY1145" s="129">
        <f t="shared" si="815"/>
        <v>-5</v>
      </c>
      <c r="BZ1145" s="111">
        <f t="shared" si="816"/>
        <v>0</v>
      </c>
      <c r="CA1145" s="138">
        <f t="shared" si="817"/>
        <v>5</v>
      </c>
      <c r="CB1145" s="111" t="e">
        <f t="shared" si="842"/>
        <v>#VALUE!</v>
      </c>
      <c r="CC1145" s="129">
        <f>G1145-I1145+1</f>
        <v>5</v>
      </c>
      <c r="CD1145" s="129">
        <f>G1145-J1145</f>
        <v>0</v>
      </c>
      <c r="CE1145" s="129">
        <f t="shared" si="820"/>
        <v>0</v>
      </c>
      <c r="CG1145" s="129" t="str">
        <f t="shared" si="821"/>
        <v>Y</v>
      </c>
      <c r="CI1145" s="129" t="str">
        <f t="shared" si="823"/>
        <v>0-10 DAYS</v>
      </c>
      <c r="CJ1145" s="137">
        <f t="shared" si="824"/>
        <v>1</v>
      </c>
      <c r="CK1145" s="129" t="str">
        <f t="shared" si="825"/>
        <v>Booked</v>
      </c>
    </row>
    <row r="1146" spans="1:89" ht="15" customHeight="1" x14ac:dyDescent="0.25">
      <c r="A1146" s="111">
        <v>2384</v>
      </c>
      <c r="B1146" s="128" t="str">
        <f t="shared" si="803"/>
        <v>N</v>
      </c>
      <c r="C1146" s="128" t="str">
        <f t="shared" si="804"/>
        <v>N</v>
      </c>
      <c r="D1146" s="117">
        <v>1830932</v>
      </c>
      <c r="E1146" s="135">
        <f t="shared" si="805"/>
        <v>2</v>
      </c>
      <c r="F1146" s="124">
        <v>40998</v>
      </c>
      <c r="G1146" s="125">
        <v>41025</v>
      </c>
      <c r="H1146" s="117">
        <v>1830932</v>
      </c>
      <c r="I1146" s="124">
        <v>40999</v>
      </c>
      <c r="J1146" s="124">
        <v>41025</v>
      </c>
      <c r="K1146" s="126">
        <v>50000</v>
      </c>
      <c r="L1146" s="129" t="s">
        <v>572</v>
      </c>
      <c r="N1146" s="129" t="str">
        <f t="shared" si="843"/>
        <v>N</v>
      </c>
      <c r="O1146" s="128" t="s">
        <v>917</v>
      </c>
      <c r="P1146" s="129" t="s">
        <v>589</v>
      </c>
      <c r="Q1146" s="111">
        <f t="shared" si="837"/>
        <v>27</v>
      </c>
      <c r="R1146" s="111">
        <f t="shared" si="830"/>
        <v>28</v>
      </c>
      <c r="S1146" s="129">
        <v>0</v>
      </c>
      <c r="T1146" s="129">
        <v>0</v>
      </c>
      <c r="W1146" s="111"/>
      <c r="AC1146" s="130"/>
      <c r="AD1146" s="130">
        <v>30082</v>
      </c>
      <c r="AE1146" s="128" t="s">
        <v>46</v>
      </c>
      <c r="AF1146" s="128" t="s">
        <v>69</v>
      </c>
      <c r="AG1146" s="128" t="s">
        <v>874</v>
      </c>
      <c r="AH1146" s="108" t="s">
        <v>58</v>
      </c>
      <c r="AI1146" s="128" t="s">
        <v>72</v>
      </c>
      <c r="AJ1146" s="129" t="s">
        <v>48</v>
      </c>
      <c r="AK1146" s="129">
        <v>4</v>
      </c>
      <c r="AL1146" s="3" t="s">
        <v>48</v>
      </c>
      <c r="AP1146" s="129" t="s">
        <v>94</v>
      </c>
      <c r="AR1146" s="128" t="s">
        <v>67</v>
      </c>
      <c r="AS1146" s="129" t="s">
        <v>82</v>
      </c>
      <c r="AT1146" s="129" t="s">
        <v>434</v>
      </c>
      <c r="BC1146" s="129" t="s">
        <v>38</v>
      </c>
      <c r="BF1146" s="111">
        <f t="shared" si="840"/>
        <v>27</v>
      </c>
      <c r="BG1146" s="111">
        <f t="shared" si="841"/>
        <v>27</v>
      </c>
      <c r="BH1146" s="111">
        <f t="shared" si="800"/>
        <v>28</v>
      </c>
      <c r="BI1146" s="111">
        <f t="shared" si="801"/>
        <v>29.825136612021858</v>
      </c>
      <c r="BJ1146" s="129">
        <f t="shared" si="806"/>
        <v>0</v>
      </c>
      <c r="BK1146" s="129">
        <f t="shared" si="802"/>
        <v>0</v>
      </c>
      <c r="BL1146" s="129" t="str">
        <f t="shared" si="831"/>
        <v>DEFERRED</v>
      </c>
      <c r="BM1146" s="129" t="str">
        <f t="shared" si="807"/>
        <v>NONE</v>
      </c>
      <c r="BN1146" s="129" t="s">
        <v>566</v>
      </c>
      <c r="BP1146" s="137" t="str">
        <f t="shared" si="808"/>
        <v>DEFERRED</v>
      </c>
      <c r="BQ1146" s="128" t="str">
        <f t="shared" si="809"/>
        <v>Y</v>
      </c>
      <c r="BR1146" s="129" t="str">
        <f t="shared" si="810"/>
        <v>DETAINED</v>
      </c>
      <c r="BS1146" s="129" t="str">
        <f t="shared" si="811"/>
        <v>DISPOSED</v>
      </c>
      <c r="BT1146" s="129" t="str">
        <f t="shared" si="812"/>
        <v>N</v>
      </c>
      <c r="BU1146" s="109">
        <f t="shared" si="822"/>
        <v>0.9642857142857143</v>
      </c>
      <c r="BV1146" s="109">
        <f t="shared" si="813"/>
        <v>1</v>
      </c>
      <c r="BW1146" s="109">
        <f t="shared" si="836"/>
        <v>3.5714285714285698E-2</v>
      </c>
      <c r="BX1146" s="111">
        <f t="shared" si="814"/>
        <v>0</v>
      </c>
      <c r="BY1146" s="129">
        <f t="shared" si="815"/>
        <v>-27</v>
      </c>
      <c r="BZ1146" s="111">
        <f t="shared" si="816"/>
        <v>0</v>
      </c>
      <c r="CA1146" s="138">
        <f t="shared" si="817"/>
        <v>27</v>
      </c>
      <c r="CB1146" s="111" t="e">
        <f t="shared" si="842"/>
        <v>#VALUE!</v>
      </c>
      <c r="CC1146" s="129">
        <f>G1146-I1146+1</f>
        <v>27</v>
      </c>
      <c r="CD1146" s="129">
        <f>G1146-J1146</f>
        <v>0</v>
      </c>
      <c r="CE1146" s="129">
        <f t="shared" si="820"/>
        <v>0</v>
      </c>
      <c r="CG1146" s="129" t="str">
        <f t="shared" si="821"/>
        <v>N</v>
      </c>
      <c r="CI1146" s="129" t="str">
        <f t="shared" si="823"/>
        <v>11-30 DAYS</v>
      </c>
      <c r="CJ1146" s="137">
        <f t="shared" si="824"/>
        <v>2</v>
      </c>
      <c r="CK1146" s="129" t="str">
        <f t="shared" si="825"/>
        <v>Booked</v>
      </c>
    </row>
    <row r="1147" spans="1:89" ht="15.75" customHeight="1" x14ac:dyDescent="0.25">
      <c r="A1147" s="111">
        <v>900</v>
      </c>
      <c r="B1147" s="128" t="str">
        <f t="shared" si="803"/>
        <v>N</v>
      </c>
      <c r="C1147" s="128" t="str">
        <f t="shared" si="804"/>
        <v>N</v>
      </c>
      <c r="D1147" s="117">
        <v>1831780</v>
      </c>
      <c r="E1147" s="135">
        <f t="shared" si="805"/>
        <v>4</v>
      </c>
      <c r="F1147" s="124">
        <v>40942</v>
      </c>
      <c r="G1147" s="125">
        <v>41201</v>
      </c>
      <c r="H1147" s="117">
        <v>1831780</v>
      </c>
      <c r="I1147" s="124">
        <v>40942</v>
      </c>
      <c r="J1147" s="124">
        <v>40944</v>
      </c>
      <c r="K1147" s="126">
        <v>10000</v>
      </c>
      <c r="L1147" s="127" t="s">
        <v>570</v>
      </c>
      <c r="M1147" s="125">
        <v>40944</v>
      </c>
      <c r="N1147" s="129" t="str">
        <f t="shared" si="843"/>
        <v>Y</v>
      </c>
      <c r="O1147" s="128" t="s">
        <v>76</v>
      </c>
      <c r="P1147" s="129" t="s">
        <v>39</v>
      </c>
      <c r="Q1147" s="111">
        <f t="shared" si="837"/>
        <v>3</v>
      </c>
      <c r="R1147" s="111">
        <f t="shared" si="830"/>
        <v>260</v>
      </c>
      <c r="S1147" s="129">
        <v>1</v>
      </c>
      <c r="T1147" s="129">
        <v>1</v>
      </c>
      <c r="W1147" s="111"/>
      <c r="AB1147" s="131" t="s">
        <v>112</v>
      </c>
      <c r="AC1147" s="130"/>
      <c r="AD1147" s="130">
        <v>29881</v>
      </c>
      <c r="AE1147" s="128" t="s">
        <v>32</v>
      </c>
      <c r="AF1147" s="128" t="s">
        <v>40</v>
      </c>
      <c r="AG1147" s="128" t="s">
        <v>41</v>
      </c>
      <c r="AH1147" s="108" t="s">
        <v>31</v>
      </c>
      <c r="AI1147" s="128" t="s">
        <v>141</v>
      </c>
      <c r="AJ1147" s="129" t="s">
        <v>89</v>
      </c>
      <c r="AK1147" s="129">
        <v>10</v>
      </c>
      <c r="AL1147" s="3" t="s">
        <v>991</v>
      </c>
      <c r="AO1147" s="128">
        <v>120</v>
      </c>
      <c r="AP1147" s="129" t="s">
        <v>198</v>
      </c>
      <c r="AR1147" s="128" t="s">
        <v>46</v>
      </c>
      <c r="AS1147" s="129" t="s">
        <v>45</v>
      </c>
      <c r="BC1147" s="129" t="s">
        <v>52</v>
      </c>
      <c r="BF1147" s="111">
        <f t="shared" si="840"/>
        <v>3</v>
      </c>
      <c r="BG1147" s="111">
        <f t="shared" si="841"/>
        <v>260</v>
      </c>
      <c r="BH1147" s="111">
        <f t="shared" si="800"/>
        <v>260</v>
      </c>
      <c r="BI1147" s="111">
        <f t="shared" si="801"/>
        <v>30.221311475409838</v>
      </c>
      <c r="BJ1147" s="129">
        <f>(G1147-J1147)+(M1147-G1147)</f>
        <v>0</v>
      </c>
      <c r="BK1147" s="129">
        <f t="shared" si="802"/>
        <v>-257</v>
      </c>
      <c r="BL1147" s="129" t="str">
        <f t="shared" si="831"/>
        <v>CONVICTION</v>
      </c>
      <c r="BM1147" s="129" t="s">
        <v>76</v>
      </c>
      <c r="BN1147" s="129" t="s">
        <v>88</v>
      </c>
      <c r="BP1147" s="137" t="str">
        <f t="shared" si="808"/>
        <v>CONVICTION</v>
      </c>
      <c r="BQ1147" s="128" t="str">
        <f t="shared" si="809"/>
        <v>Y</v>
      </c>
      <c r="BR1147" s="129" t="str">
        <f>IF(J1147&lt;G1147,"ON BOND",0)</f>
        <v>ON BOND</v>
      </c>
      <c r="BS1147" s="129" t="str">
        <f t="shared" si="811"/>
        <v>DISPOSED</v>
      </c>
      <c r="BT1147" s="129" t="str">
        <f t="shared" si="812"/>
        <v>Y</v>
      </c>
      <c r="BU1147" s="109">
        <f t="shared" si="822"/>
        <v>1.1538461538461539E-2</v>
      </c>
      <c r="BV1147" s="109">
        <f t="shared" si="813"/>
        <v>1.1538461538461539E-2</v>
      </c>
      <c r="BW1147" s="109">
        <f t="shared" si="836"/>
        <v>0</v>
      </c>
      <c r="BX1147" s="111">
        <f t="shared" si="814"/>
        <v>0</v>
      </c>
      <c r="BY1147" s="129">
        <f t="shared" si="815"/>
        <v>-3</v>
      </c>
      <c r="BZ1147" s="111">
        <f t="shared" si="816"/>
        <v>0</v>
      </c>
      <c r="CA1147" s="138">
        <f t="shared" si="817"/>
        <v>3</v>
      </c>
      <c r="CB1147" s="111" t="e">
        <f t="shared" si="842"/>
        <v>#VALUE!</v>
      </c>
      <c r="CC1147" s="129">
        <f>M1147-I1147+1</f>
        <v>3</v>
      </c>
      <c r="CD1147" s="111">
        <f>CC1147-BF1147</f>
        <v>0</v>
      </c>
      <c r="CE1147" s="129">
        <f t="shared" si="820"/>
        <v>257</v>
      </c>
      <c r="CG1147" s="129" t="str">
        <f t="shared" si="821"/>
        <v>Y</v>
      </c>
      <c r="CI1147" s="129" t="str">
        <f t="shared" si="823"/>
        <v>0-10 DAYS</v>
      </c>
      <c r="CJ1147" s="137">
        <f t="shared" si="824"/>
        <v>1</v>
      </c>
      <c r="CK1147" s="129" t="str">
        <f t="shared" si="825"/>
        <v>Booked</v>
      </c>
    </row>
    <row r="1148" spans="1:89" ht="15" customHeight="1" x14ac:dyDescent="0.25">
      <c r="A1148" s="111">
        <v>52</v>
      </c>
      <c r="B1148" s="128" t="str">
        <f t="shared" si="803"/>
        <v>N</v>
      </c>
      <c r="C1148" s="128" t="str">
        <f t="shared" si="804"/>
        <v>Y</v>
      </c>
      <c r="D1148" s="117">
        <v>1832444</v>
      </c>
      <c r="E1148" s="135">
        <f t="shared" si="805"/>
        <v>6</v>
      </c>
      <c r="F1148" s="124">
        <v>40911</v>
      </c>
      <c r="G1148" s="125">
        <v>41059</v>
      </c>
      <c r="H1148" s="117">
        <v>1832444</v>
      </c>
      <c r="I1148" s="124">
        <v>40912</v>
      </c>
      <c r="J1148" s="124">
        <v>40914</v>
      </c>
      <c r="K1148" s="126">
        <v>15000</v>
      </c>
      <c r="L1148" s="127" t="s">
        <v>571</v>
      </c>
      <c r="M1148" s="125">
        <v>40914</v>
      </c>
      <c r="N1148" s="129" t="str">
        <f t="shared" si="843"/>
        <v>Y</v>
      </c>
      <c r="O1148" s="128" t="s">
        <v>76</v>
      </c>
      <c r="P1148" s="129" t="s">
        <v>39</v>
      </c>
      <c r="Q1148" s="111">
        <v>130</v>
      </c>
      <c r="R1148" s="111">
        <f t="shared" si="830"/>
        <v>149</v>
      </c>
      <c r="S1148" s="129">
        <v>4</v>
      </c>
      <c r="T1148" s="129">
        <v>1</v>
      </c>
      <c r="U1148" s="129">
        <v>2</v>
      </c>
      <c r="W1148" s="111"/>
      <c r="AC1148" s="130"/>
      <c r="AD1148" s="130">
        <v>30626</v>
      </c>
      <c r="AE1148" s="128" t="s">
        <v>32</v>
      </c>
      <c r="AF1148" s="128" t="s">
        <v>33</v>
      </c>
      <c r="AG1148" s="128" t="s">
        <v>872</v>
      </c>
      <c r="AH1148" s="108" t="s">
        <v>58</v>
      </c>
      <c r="AI1148" s="128" t="s">
        <v>85</v>
      </c>
      <c r="AJ1148" s="129" t="s">
        <v>89</v>
      </c>
      <c r="AK1148" s="129">
        <v>6</v>
      </c>
      <c r="AL1148" s="3" t="s">
        <v>362</v>
      </c>
      <c r="AM1148" s="117">
        <v>1</v>
      </c>
      <c r="AP1148" s="129" t="s">
        <v>43</v>
      </c>
      <c r="AR1148" s="128" t="s">
        <v>44</v>
      </c>
      <c r="AS1148" s="129" t="s">
        <v>45</v>
      </c>
      <c r="AU1148" s="3" t="s">
        <v>675</v>
      </c>
      <c r="AX1148" s="32" t="s">
        <v>88</v>
      </c>
      <c r="BC1148" s="129" t="s">
        <v>52</v>
      </c>
      <c r="BF1148" s="111">
        <v>130</v>
      </c>
      <c r="BG1148" s="111">
        <f t="shared" si="841"/>
        <v>148</v>
      </c>
      <c r="BH1148" s="111">
        <f t="shared" si="800"/>
        <v>149</v>
      </c>
      <c r="BI1148" s="111">
        <f t="shared" si="801"/>
        <v>28.101092896174862</v>
      </c>
      <c r="BJ1148" s="129">
        <f>(G1148-J1148)+(M1148-G1148)</f>
        <v>0</v>
      </c>
      <c r="BK1148" s="129">
        <f t="shared" si="802"/>
        <v>-145</v>
      </c>
      <c r="BL1148" s="129" t="str">
        <f t="shared" si="831"/>
        <v>CONVICTION</v>
      </c>
      <c r="BM1148" s="129" t="s">
        <v>76</v>
      </c>
      <c r="BN1148" s="129" t="s">
        <v>88</v>
      </c>
      <c r="BP1148" s="137" t="str">
        <f t="shared" si="808"/>
        <v>CONVICTION</v>
      </c>
      <c r="BQ1148" s="128" t="str">
        <f t="shared" si="809"/>
        <v>Y</v>
      </c>
      <c r="BR1148" s="129" t="s">
        <v>574</v>
      </c>
      <c r="BS1148" s="129" t="str">
        <f t="shared" si="811"/>
        <v>DISPOSED</v>
      </c>
      <c r="BT1148" s="129" t="str">
        <f t="shared" si="812"/>
        <v>Y</v>
      </c>
      <c r="BU1148" s="109">
        <f t="shared" si="822"/>
        <v>0.87248322147651003</v>
      </c>
      <c r="BV1148" s="109">
        <f t="shared" si="813"/>
        <v>2.0270270270270271E-2</v>
      </c>
      <c r="BW1148" s="109">
        <f t="shared" si="836"/>
        <v>-0.85221295120623974</v>
      </c>
      <c r="BX1148" s="111">
        <f t="shared" si="814"/>
        <v>0</v>
      </c>
      <c r="BY1148" s="129">
        <f t="shared" si="815"/>
        <v>-3</v>
      </c>
      <c r="BZ1148" s="111">
        <f t="shared" si="816"/>
        <v>127</v>
      </c>
      <c r="CA1148" s="138">
        <f t="shared" si="817"/>
        <v>148</v>
      </c>
      <c r="CB1148" s="111">
        <v>130</v>
      </c>
      <c r="CC1148" s="129">
        <f>G1148-I1148+1</f>
        <v>148</v>
      </c>
      <c r="CD1148" s="129">
        <f>G1148-J1148</f>
        <v>145</v>
      </c>
      <c r="CE1148" s="129">
        <f t="shared" si="820"/>
        <v>145</v>
      </c>
      <c r="CG1148" s="129" t="str">
        <f t="shared" si="821"/>
        <v>Y</v>
      </c>
      <c r="CI1148" s="129" t="str">
        <f t="shared" si="823"/>
        <v>121-365 DAYS</v>
      </c>
      <c r="CJ1148" s="137">
        <f t="shared" si="824"/>
        <v>6</v>
      </c>
      <c r="CK1148" s="129" t="str">
        <f t="shared" si="825"/>
        <v>Booked</v>
      </c>
    </row>
    <row r="1149" spans="1:89" ht="15.75" customHeight="1" x14ac:dyDescent="0.25">
      <c r="A1149" s="111">
        <v>1017</v>
      </c>
      <c r="B1149" s="128" t="str">
        <f t="shared" si="803"/>
        <v>N</v>
      </c>
      <c r="C1149" s="128" t="str">
        <f t="shared" si="804"/>
        <v>N</v>
      </c>
      <c r="D1149" s="117">
        <v>1833073</v>
      </c>
      <c r="E1149" s="135">
        <f t="shared" si="805"/>
        <v>1</v>
      </c>
      <c r="F1149" s="124">
        <v>40947</v>
      </c>
      <c r="G1149" s="125">
        <v>40948</v>
      </c>
      <c r="H1149" s="117">
        <v>1833073</v>
      </c>
      <c r="I1149" s="124">
        <v>40947</v>
      </c>
      <c r="J1149" s="124">
        <v>40948</v>
      </c>
      <c r="K1149" s="126">
        <v>20000</v>
      </c>
      <c r="L1149" s="127" t="s">
        <v>571</v>
      </c>
      <c r="N1149" s="129" t="str">
        <f t="shared" si="843"/>
        <v>N</v>
      </c>
      <c r="O1149" s="128" t="s">
        <v>917</v>
      </c>
      <c r="P1149" s="129" t="s">
        <v>55</v>
      </c>
      <c r="Q1149" s="111">
        <f t="shared" si="837"/>
        <v>2</v>
      </c>
      <c r="R1149" s="111">
        <f t="shared" si="830"/>
        <v>2</v>
      </c>
      <c r="S1149" s="129">
        <v>2</v>
      </c>
      <c r="T1149" s="129">
        <v>1</v>
      </c>
      <c r="U1149" s="129">
        <v>1</v>
      </c>
      <c r="V1149" s="117">
        <v>1</v>
      </c>
      <c r="W1149" s="111"/>
      <c r="AC1149" s="130"/>
      <c r="AD1149" s="130">
        <v>29757</v>
      </c>
      <c r="AE1149" s="128" t="s">
        <v>46</v>
      </c>
      <c r="AF1149" s="128" t="s">
        <v>69</v>
      </c>
      <c r="AG1149" s="128" t="s">
        <v>874</v>
      </c>
      <c r="AH1149" s="108" t="s">
        <v>58</v>
      </c>
      <c r="AI1149" s="128" t="s">
        <v>70</v>
      </c>
      <c r="AJ1149" s="129" t="s">
        <v>55</v>
      </c>
      <c r="AK1149" s="129">
        <v>1</v>
      </c>
      <c r="AL1149" s="3" t="s">
        <v>55</v>
      </c>
      <c r="AP1149" s="129" t="s">
        <v>176</v>
      </c>
      <c r="AR1149" s="128" t="s">
        <v>50</v>
      </c>
      <c r="AS1149" s="129" t="s">
        <v>45</v>
      </c>
      <c r="BC1149" s="129" t="s">
        <v>79</v>
      </c>
      <c r="BF1149" s="111">
        <f t="shared" si="840"/>
        <v>2</v>
      </c>
      <c r="BG1149" s="111">
        <f t="shared" si="841"/>
        <v>2</v>
      </c>
      <c r="BH1149" s="111">
        <f t="shared" si="800"/>
        <v>2</v>
      </c>
      <c r="BI1149" s="111">
        <f t="shared" si="801"/>
        <v>30.57377049180328</v>
      </c>
      <c r="BJ1149" s="129">
        <f t="shared" si="806"/>
        <v>0</v>
      </c>
      <c r="BK1149" s="129">
        <f t="shared" si="802"/>
        <v>0</v>
      </c>
      <c r="BL1149" s="129" t="str">
        <f t="shared" si="831"/>
        <v>NO CONVICTION</v>
      </c>
      <c r="BM1149" s="129" t="str">
        <f t="shared" si="807"/>
        <v>NONE</v>
      </c>
      <c r="BN1149" s="129" t="s">
        <v>566</v>
      </c>
      <c r="BP1149" s="137" t="str">
        <f t="shared" si="808"/>
        <v>NO CONVICTION</v>
      </c>
      <c r="BQ1149" s="128" t="str">
        <f t="shared" si="809"/>
        <v>Y</v>
      </c>
      <c r="BR1149" s="129" t="str">
        <f t="shared" si="810"/>
        <v>DETAINED</v>
      </c>
      <c r="BS1149" s="129" t="str">
        <f t="shared" si="811"/>
        <v>DISPOSED</v>
      </c>
      <c r="BT1149" s="129" t="str">
        <f t="shared" si="812"/>
        <v>Y</v>
      </c>
      <c r="BU1149" s="109">
        <f>IFERROR(Q1149/R1149,BR1149)</f>
        <v>1</v>
      </c>
      <c r="BV1149" s="109">
        <f t="shared" si="813"/>
        <v>1</v>
      </c>
      <c r="BW1149" s="109">
        <f t="shared" si="836"/>
        <v>0</v>
      </c>
      <c r="BX1149" s="111">
        <f t="shared" si="814"/>
        <v>0</v>
      </c>
      <c r="BY1149" s="129">
        <f t="shared" si="815"/>
        <v>-2</v>
      </c>
      <c r="BZ1149" s="111">
        <f t="shared" si="816"/>
        <v>0</v>
      </c>
      <c r="CA1149" s="138">
        <f t="shared" si="817"/>
        <v>2</v>
      </c>
      <c r="CB1149" s="111" t="e">
        <f t="shared" si="842"/>
        <v>#VALUE!</v>
      </c>
      <c r="CC1149" s="129">
        <f>G1149-I1149+1</f>
        <v>2</v>
      </c>
      <c r="CD1149" s="129">
        <f>G1149-J1149</f>
        <v>0</v>
      </c>
      <c r="CE1149" s="129">
        <f t="shared" si="820"/>
        <v>0</v>
      </c>
      <c r="CG1149" s="129" t="str">
        <f t="shared" si="821"/>
        <v>Y</v>
      </c>
      <c r="CI1149" s="129" t="str">
        <f t="shared" si="823"/>
        <v>0-10 DAYS</v>
      </c>
      <c r="CJ1149" s="137">
        <f t="shared" si="824"/>
        <v>1</v>
      </c>
      <c r="CK1149" s="129" t="str">
        <f t="shared" si="825"/>
        <v>Booked</v>
      </c>
    </row>
    <row r="1150" spans="1:89" ht="15" customHeight="1" x14ac:dyDescent="0.25">
      <c r="A1150" s="111">
        <v>3234</v>
      </c>
      <c r="B1150" s="128" t="str">
        <f t="shared" si="803"/>
        <v>N</v>
      </c>
      <c r="C1150" s="128" t="str">
        <f t="shared" si="804"/>
        <v>N</v>
      </c>
      <c r="D1150" s="117">
        <v>1833151</v>
      </c>
      <c r="E1150" s="135">
        <f t="shared" si="805"/>
        <v>1</v>
      </c>
      <c r="F1150" s="124">
        <v>41028</v>
      </c>
      <c r="G1150" s="125">
        <v>41122</v>
      </c>
      <c r="H1150" s="117">
        <v>1833151</v>
      </c>
      <c r="I1150" s="124">
        <v>41029</v>
      </c>
      <c r="J1150" s="124">
        <v>41122</v>
      </c>
      <c r="K1150" s="126">
        <v>35000</v>
      </c>
      <c r="L1150" s="129" t="s">
        <v>572</v>
      </c>
      <c r="N1150" s="129" t="str">
        <f t="shared" si="843"/>
        <v>N</v>
      </c>
      <c r="O1150" s="128" t="s">
        <v>917</v>
      </c>
      <c r="P1150" s="129" t="s">
        <v>55</v>
      </c>
      <c r="Q1150" s="111">
        <f t="shared" si="837"/>
        <v>94</v>
      </c>
      <c r="R1150" s="111">
        <f t="shared" si="830"/>
        <v>95</v>
      </c>
      <c r="S1150" s="129">
        <v>1</v>
      </c>
      <c r="T1150" s="129">
        <v>4</v>
      </c>
      <c r="W1150" s="111"/>
      <c r="AC1150" s="130"/>
      <c r="AD1150" s="130">
        <v>28620</v>
      </c>
      <c r="AE1150" s="128" t="s">
        <v>32</v>
      </c>
      <c r="AF1150" s="128" t="s">
        <v>40</v>
      </c>
      <c r="AG1150" s="128" t="s">
        <v>41</v>
      </c>
      <c r="AH1150" s="108" t="s">
        <v>41</v>
      </c>
      <c r="AI1150" s="128" t="s">
        <v>71</v>
      </c>
      <c r="AJ1150" s="129" t="s">
        <v>55</v>
      </c>
      <c r="AK1150" s="129">
        <v>5</v>
      </c>
      <c r="AL1150" s="3" t="s">
        <v>55</v>
      </c>
      <c r="AP1150" s="129" t="s">
        <v>66</v>
      </c>
      <c r="AR1150" s="128" t="s">
        <v>67</v>
      </c>
      <c r="AS1150" s="129" t="s">
        <v>68</v>
      </c>
      <c r="BC1150" s="129" t="s">
        <v>38</v>
      </c>
      <c r="BF1150" s="111">
        <f t="shared" si="840"/>
        <v>94</v>
      </c>
      <c r="BG1150" s="111">
        <f t="shared" si="841"/>
        <v>94</v>
      </c>
      <c r="BH1150" s="111">
        <f t="shared" si="800"/>
        <v>95</v>
      </c>
      <c r="BI1150" s="111">
        <f t="shared" si="801"/>
        <v>33.901639344262293</v>
      </c>
      <c r="BJ1150" s="129">
        <f t="shared" si="806"/>
        <v>0</v>
      </c>
      <c r="BK1150" s="129">
        <f t="shared" si="802"/>
        <v>0</v>
      </c>
      <c r="BL1150" s="129" t="str">
        <f t="shared" si="831"/>
        <v>NO CONVICTION</v>
      </c>
      <c r="BM1150" s="129" t="str">
        <f t="shared" si="807"/>
        <v>NONE</v>
      </c>
      <c r="BN1150" s="129" t="s">
        <v>566</v>
      </c>
      <c r="BP1150" s="137" t="str">
        <f t="shared" si="808"/>
        <v>NO CONVICTION</v>
      </c>
      <c r="BQ1150" s="128" t="str">
        <f t="shared" si="809"/>
        <v>Y</v>
      </c>
      <c r="BR1150" s="129" t="str">
        <f t="shared" si="810"/>
        <v>DETAINED</v>
      </c>
      <c r="BS1150" s="129" t="str">
        <f t="shared" si="811"/>
        <v>DISPOSED</v>
      </c>
      <c r="BT1150" s="129" t="str">
        <f t="shared" si="812"/>
        <v>Y</v>
      </c>
      <c r="BU1150" s="109">
        <f>IFERROR(Q1150/R1150,BR1150)</f>
        <v>0.98947368421052628</v>
      </c>
      <c r="BV1150" s="109">
        <f t="shared" si="813"/>
        <v>1</v>
      </c>
      <c r="BW1150" s="109">
        <f t="shared" si="836"/>
        <v>1.0526315789473717E-2</v>
      </c>
      <c r="BX1150" s="111">
        <f t="shared" si="814"/>
        <v>0</v>
      </c>
      <c r="BY1150" s="129">
        <f t="shared" si="815"/>
        <v>-94</v>
      </c>
      <c r="BZ1150" s="111">
        <f t="shared" si="816"/>
        <v>0</v>
      </c>
      <c r="CA1150" s="138">
        <f t="shared" si="817"/>
        <v>94</v>
      </c>
      <c r="CB1150" s="111" t="e">
        <f t="shared" si="842"/>
        <v>#VALUE!</v>
      </c>
      <c r="CC1150" s="129">
        <f>G1150-I1150+1</f>
        <v>94</v>
      </c>
      <c r="CD1150" s="129">
        <f>G1150-J1150</f>
        <v>0</v>
      </c>
      <c r="CE1150" s="129">
        <f t="shared" si="820"/>
        <v>0</v>
      </c>
      <c r="CG1150" s="129" t="str">
        <f t="shared" si="821"/>
        <v>Y</v>
      </c>
      <c r="CI1150" s="129" t="str">
        <f t="shared" si="823"/>
        <v>91-120 DAYS</v>
      </c>
      <c r="CJ1150" s="137">
        <f t="shared" si="824"/>
        <v>0</v>
      </c>
      <c r="CK1150" s="129" t="str">
        <f t="shared" si="825"/>
        <v>Booked</v>
      </c>
    </row>
    <row r="1151" spans="1:89" ht="15" customHeight="1" x14ac:dyDescent="0.25">
      <c r="A1151" s="111">
        <v>292</v>
      </c>
      <c r="B1151" s="128" t="str">
        <f t="shared" si="803"/>
        <v>N</v>
      </c>
      <c r="C1151" s="128" t="str">
        <f t="shared" si="804"/>
        <v>N</v>
      </c>
      <c r="D1151" s="117">
        <v>1833780</v>
      </c>
      <c r="E1151" s="135">
        <f t="shared" si="805"/>
        <v>6</v>
      </c>
      <c r="F1151" s="124">
        <v>40920</v>
      </c>
      <c r="G1151" s="125">
        <v>41144</v>
      </c>
      <c r="H1151" s="117">
        <v>1833780</v>
      </c>
      <c r="I1151" s="124">
        <v>40921</v>
      </c>
      <c r="J1151" s="124">
        <v>40929</v>
      </c>
      <c r="K1151" s="126">
        <v>30000</v>
      </c>
      <c r="L1151" s="129" t="s">
        <v>572</v>
      </c>
      <c r="M1151" s="125">
        <v>40929</v>
      </c>
      <c r="N1151" s="129" t="str">
        <f t="shared" si="843"/>
        <v>Y</v>
      </c>
      <c r="O1151" s="128" t="s">
        <v>76</v>
      </c>
      <c r="P1151" s="129" t="s">
        <v>39</v>
      </c>
      <c r="Q1151" s="111">
        <f t="shared" si="837"/>
        <v>9</v>
      </c>
      <c r="R1151" s="111">
        <f t="shared" si="830"/>
        <v>225</v>
      </c>
      <c r="S1151" s="129">
        <v>0</v>
      </c>
      <c r="T1151" s="129">
        <v>0</v>
      </c>
      <c r="W1151" s="111"/>
      <c r="AC1151" s="130"/>
      <c r="AD1151" s="130">
        <v>29749</v>
      </c>
      <c r="AE1151" s="128" t="s">
        <v>32</v>
      </c>
      <c r="AF1151" s="128" t="s">
        <v>69</v>
      </c>
      <c r="AG1151" s="128" t="s">
        <v>874</v>
      </c>
      <c r="AH1151" s="108" t="s">
        <v>58</v>
      </c>
      <c r="AI1151" s="128" t="s">
        <v>85</v>
      </c>
      <c r="AJ1151" s="129" t="s">
        <v>89</v>
      </c>
      <c r="AK1151" s="129">
        <v>7</v>
      </c>
      <c r="AL1151" s="3" t="s">
        <v>362</v>
      </c>
      <c r="AM1151" s="117">
        <v>4</v>
      </c>
      <c r="AP1151" s="129" t="s">
        <v>188</v>
      </c>
      <c r="AR1151" s="128" t="s">
        <v>67</v>
      </c>
      <c r="AS1151" s="129" t="s">
        <v>64</v>
      </c>
      <c r="BC1151" s="129" t="s">
        <v>52</v>
      </c>
      <c r="BF1151" s="111">
        <f t="shared" si="840"/>
        <v>9</v>
      </c>
      <c r="BG1151" s="111">
        <f t="shared" si="841"/>
        <v>224</v>
      </c>
      <c r="BH1151" s="111">
        <f t="shared" si="800"/>
        <v>225</v>
      </c>
      <c r="BI1151" s="111">
        <f t="shared" si="801"/>
        <v>30.521857923497269</v>
      </c>
      <c r="BJ1151" s="129">
        <f>(G1151-J1151)+(M1151-G1151)</f>
        <v>0</v>
      </c>
      <c r="BK1151" s="129">
        <f t="shared" si="802"/>
        <v>-215</v>
      </c>
      <c r="BL1151" s="129" t="str">
        <f t="shared" si="831"/>
        <v>CONVICTION</v>
      </c>
      <c r="BM1151" s="129" t="s">
        <v>76</v>
      </c>
      <c r="BN1151" s="129" t="s">
        <v>88</v>
      </c>
      <c r="BP1151" s="137" t="str">
        <f t="shared" si="808"/>
        <v>CONVICTION</v>
      </c>
      <c r="BQ1151" s="128" t="str">
        <f t="shared" si="809"/>
        <v>Y</v>
      </c>
      <c r="BR1151" s="129" t="str">
        <f>IF(J1151&lt;G1151,"ON BOND",0)</f>
        <v>ON BOND</v>
      </c>
      <c r="BS1151" s="129" t="str">
        <f t="shared" si="811"/>
        <v>DISPOSED</v>
      </c>
      <c r="BT1151" s="129" t="str">
        <f t="shared" si="812"/>
        <v>N</v>
      </c>
      <c r="BU1151" s="109">
        <f t="shared" si="822"/>
        <v>0.04</v>
      </c>
      <c r="BV1151" s="109">
        <f t="shared" si="813"/>
        <v>4.0178571428571432E-2</v>
      </c>
      <c r="BW1151" s="109">
        <f t="shared" si="836"/>
        <v>1.7857142857143071E-4</v>
      </c>
      <c r="BX1151" s="111">
        <f t="shared" si="814"/>
        <v>0</v>
      </c>
      <c r="BY1151" s="129">
        <f t="shared" si="815"/>
        <v>-9</v>
      </c>
      <c r="BZ1151" s="111">
        <f t="shared" si="816"/>
        <v>0</v>
      </c>
      <c r="CA1151" s="138">
        <f t="shared" si="817"/>
        <v>9</v>
      </c>
      <c r="CB1151" s="111" t="e">
        <f t="shared" si="842"/>
        <v>#VALUE!</v>
      </c>
      <c r="CC1151" s="129">
        <f>M1151-I1151+1</f>
        <v>9</v>
      </c>
      <c r="CD1151" s="111">
        <f>CC1151-BF1151</f>
        <v>0</v>
      </c>
      <c r="CE1151" s="129">
        <f t="shared" si="820"/>
        <v>215</v>
      </c>
      <c r="CG1151" s="129" t="str">
        <f t="shared" si="821"/>
        <v>N</v>
      </c>
      <c r="CI1151" s="129" t="str">
        <f t="shared" si="823"/>
        <v>0-10 DAYS</v>
      </c>
      <c r="CJ1151" s="137">
        <f t="shared" si="824"/>
        <v>1</v>
      </c>
      <c r="CK1151" s="129" t="str">
        <f t="shared" si="825"/>
        <v>Booked</v>
      </c>
    </row>
    <row r="1152" spans="1:89" ht="15.75" customHeight="1" x14ac:dyDescent="0.25">
      <c r="A1152" s="111">
        <v>465</v>
      </c>
      <c r="B1152" s="128" t="str">
        <f t="shared" si="803"/>
        <v>N</v>
      </c>
      <c r="C1152" s="128" t="str">
        <f t="shared" si="804"/>
        <v>N</v>
      </c>
      <c r="D1152" s="117">
        <v>1833868</v>
      </c>
      <c r="E1152" s="135">
        <f t="shared" si="805"/>
        <v>2</v>
      </c>
      <c r="F1152" s="124">
        <v>40927</v>
      </c>
      <c r="G1152" s="125">
        <v>40954</v>
      </c>
      <c r="H1152" s="117">
        <v>1833868</v>
      </c>
      <c r="I1152" s="124">
        <v>40928</v>
      </c>
      <c r="J1152" s="124">
        <v>40929</v>
      </c>
      <c r="K1152" s="126">
        <v>2000</v>
      </c>
      <c r="L1152" s="127" t="s">
        <v>568</v>
      </c>
      <c r="M1152" s="125">
        <v>40929</v>
      </c>
      <c r="N1152" s="129" t="str">
        <f t="shared" si="843"/>
        <v>Y</v>
      </c>
      <c r="O1152" s="128" t="s">
        <v>76</v>
      </c>
      <c r="P1152" s="129" t="s">
        <v>589</v>
      </c>
      <c r="Q1152" s="111">
        <f t="shared" ref="Q1152:Q1183" si="844">BF1152</f>
        <v>2</v>
      </c>
      <c r="R1152" s="111">
        <f t="shared" si="830"/>
        <v>28</v>
      </c>
      <c r="S1152" s="129">
        <v>0</v>
      </c>
      <c r="T1152" s="129">
        <v>5</v>
      </c>
      <c r="W1152" s="111"/>
      <c r="AC1152" s="130"/>
      <c r="AD1152" s="130">
        <v>29983</v>
      </c>
      <c r="AE1152" s="128" t="s">
        <v>32</v>
      </c>
      <c r="AF1152" s="128" t="s">
        <v>69</v>
      </c>
      <c r="AG1152" s="128" t="s">
        <v>874</v>
      </c>
      <c r="AH1152" s="108" t="s">
        <v>58</v>
      </c>
      <c r="AI1152" s="128" t="s">
        <v>65</v>
      </c>
      <c r="AJ1152" s="129" t="s">
        <v>48</v>
      </c>
      <c r="AK1152" s="129">
        <v>2</v>
      </c>
      <c r="AL1152" s="3" t="s">
        <v>48</v>
      </c>
      <c r="AP1152" s="129" t="s">
        <v>43</v>
      </c>
      <c r="AR1152" s="128" t="s">
        <v>44</v>
      </c>
      <c r="AS1152" s="129" t="s">
        <v>45</v>
      </c>
      <c r="BC1152" s="129" t="s">
        <v>38</v>
      </c>
      <c r="BF1152" s="111">
        <f t="shared" si="840"/>
        <v>2</v>
      </c>
      <c r="BG1152" s="111">
        <f t="shared" si="841"/>
        <v>27</v>
      </c>
      <c r="BH1152" s="111">
        <f t="shared" si="800"/>
        <v>28</v>
      </c>
      <c r="BI1152" s="111">
        <f t="shared" si="801"/>
        <v>29.901639344262296</v>
      </c>
      <c r="BJ1152" s="129">
        <f>(G1152-J1152)+(M1152-G1152)</f>
        <v>0</v>
      </c>
      <c r="BK1152" s="129">
        <f t="shared" si="802"/>
        <v>-25</v>
      </c>
      <c r="BL1152" s="129" t="str">
        <f t="shared" si="831"/>
        <v>DEFERRED</v>
      </c>
      <c r="BM1152" s="129" t="s">
        <v>76</v>
      </c>
      <c r="BN1152" s="129" t="s">
        <v>88</v>
      </c>
      <c r="BP1152" s="137" t="str">
        <f t="shared" si="808"/>
        <v>DEFERRED</v>
      </c>
      <c r="BQ1152" s="128" t="str">
        <f t="shared" si="809"/>
        <v>Y</v>
      </c>
      <c r="BR1152" s="129" t="str">
        <f t="shared" si="810"/>
        <v>ON BOND</v>
      </c>
      <c r="BS1152" s="129" t="str">
        <f t="shared" si="811"/>
        <v>DISPOSED</v>
      </c>
      <c r="BT1152" s="129" t="str">
        <f t="shared" si="812"/>
        <v>N</v>
      </c>
      <c r="BU1152" s="109">
        <f t="shared" si="822"/>
        <v>7.1428571428571425E-2</v>
      </c>
      <c r="BV1152" s="109">
        <f t="shared" si="813"/>
        <v>7.407407407407407E-2</v>
      </c>
      <c r="BW1152" s="109">
        <f t="shared" si="836"/>
        <v>2.6455026455026454E-3</v>
      </c>
      <c r="BX1152" s="111">
        <f t="shared" si="814"/>
        <v>0</v>
      </c>
      <c r="BY1152" s="129">
        <f t="shared" si="815"/>
        <v>-2</v>
      </c>
      <c r="BZ1152" s="111">
        <f t="shared" si="816"/>
        <v>0</v>
      </c>
      <c r="CA1152" s="138">
        <f t="shared" si="817"/>
        <v>2</v>
      </c>
      <c r="CB1152" s="111" t="e">
        <f t="shared" si="842"/>
        <v>#VALUE!</v>
      </c>
      <c r="CC1152" s="129">
        <f>M1152-I1152+1</f>
        <v>2</v>
      </c>
      <c r="CD1152" s="111">
        <f>CC1152-BF1152</f>
        <v>0</v>
      </c>
      <c r="CE1152" s="129">
        <f t="shared" si="820"/>
        <v>25</v>
      </c>
      <c r="CG1152" s="129" t="str">
        <f t="shared" si="821"/>
        <v>Y</v>
      </c>
      <c r="CI1152" s="129" t="str">
        <f t="shared" si="823"/>
        <v>0-10 DAYS</v>
      </c>
      <c r="CJ1152" s="137">
        <f t="shared" si="824"/>
        <v>1</v>
      </c>
      <c r="CK1152" s="129" t="str">
        <f t="shared" si="825"/>
        <v>Booked</v>
      </c>
    </row>
    <row r="1153" spans="1:89" ht="15" customHeight="1" x14ac:dyDescent="0.25">
      <c r="A1153" s="111">
        <v>976</v>
      </c>
      <c r="B1153" s="128" t="str">
        <f t="shared" si="803"/>
        <v>N</v>
      </c>
      <c r="C1153" s="128" t="str">
        <f t="shared" si="804"/>
        <v>N</v>
      </c>
      <c r="D1153" s="117">
        <v>1834067</v>
      </c>
      <c r="E1153" s="135">
        <f t="shared" si="805"/>
        <v>1</v>
      </c>
      <c r="F1153" s="124">
        <v>40945</v>
      </c>
      <c r="G1153" s="125">
        <v>41089</v>
      </c>
      <c r="H1153" s="117">
        <v>1834067</v>
      </c>
      <c r="I1153" s="124">
        <v>40945</v>
      </c>
      <c r="J1153" s="124">
        <v>41089</v>
      </c>
      <c r="K1153" s="126">
        <v>15000</v>
      </c>
      <c r="L1153" s="127" t="s">
        <v>571</v>
      </c>
      <c r="N1153" s="129" t="str">
        <f t="shared" si="843"/>
        <v>N</v>
      </c>
      <c r="O1153" s="128" t="s">
        <v>917</v>
      </c>
      <c r="P1153" s="129" t="s">
        <v>55</v>
      </c>
      <c r="Q1153" s="111">
        <f t="shared" si="844"/>
        <v>145</v>
      </c>
      <c r="R1153" s="111">
        <f t="shared" si="830"/>
        <v>145</v>
      </c>
      <c r="S1153" s="129">
        <v>5</v>
      </c>
      <c r="T1153" s="129">
        <v>6</v>
      </c>
      <c r="U1153" s="129">
        <v>5</v>
      </c>
      <c r="W1153" s="111"/>
      <c r="AC1153" s="130"/>
      <c r="AD1153" s="130">
        <v>29974</v>
      </c>
      <c r="AE1153" s="128" t="s">
        <v>32</v>
      </c>
      <c r="AF1153" s="128" t="s">
        <v>33</v>
      </c>
      <c r="AG1153" s="128" t="s">
        <v>872</v>
      </c>
      <c r="AH1153" s="108" t="s">
        <v>58</v>
      </c>
      <c r="AI1153" s="128" t="s">
        <v>53</v>
      </c>
      <c r="AJ1153" s="129" t="s">
        <v>55</v>
      </c>
      <c r="AK1153" s="129">
        <v>7</v>
      </c>
      <c r="AL1153" s="3" t="s">
        <v>55</v>
      </c>
      <c r="AP1153" s="129" t="s">
        <v>155</v>
      </c>
      <c r="AR1153" s="128" t="s">
        <v>44</v>
      </c>
      <c r="AS1153" s="129" t="s">
        <v>64</v>
      </c>
      <c r="AT1153" s="129" t="s">
        <v>271</v>
      </c>
      <c r="BC1153" s="129" t="s">
        <v>99</v>
      </c>
      <c r="BF1153" s="111">
        <f t="shared" si="840"/>
        <v>145</v>
      </c>
      <c r="BG1153" s="111">
        <f t="shared" si="841"/>
        <v>145</v>
      </c>
      <c r="BH1153" s="111">
        <f t="shared" ref="BH1153:BH1216" si="845">IF(G1153&gt;1/1/1900,((G1153+1)-F1153),"STILL OPEN")</f>
        <v>145</v>
      </c>
      <c r="BI1153" s="111">
        <f t="shared" ref="BI1153:BI1216" si="846">(F1153-AD1153)/366</f>
        <v>29.975409836065573</v>
      </c>
      <c r="BJ1153" s="129">
        <f t="shared" si="806"/>
        <v>0</v>
      </c>
      <c r="BK1153" s="129">
        <f t="shared" ref="BK1153:BK1216" si="847">J1153-G1153</f>
        <v>0</v>
      </c>
      <c r="BL1153" s="129" t="str">
        <f t="shared" si="831"/>
        <v>NO CONVICTION</v>
      </c>
      <c r="BM1153" s="129" t="str">
        <f t="shared" si="807"/>
        <v>NONE</v>
      </c>
      <c r="BN1153" s="129" t="s">
        <v>566</v>
      </c>
      <c r="BP1153" s="137" t="str">
        <f t="shared" si="808"/>
        <v>NO CONVICTION</v>
      </c>
      <c r="BQ1153" s="128" t="str">
        <f t="shared" si="809"/>
        <v>Y</v>
      </c>
      <c r="BR1153" s="129" t="str">
        <f t="shared" si="810"/>
        <v>DETAINED</v>
      </c>
      <c r="BS1153" s="129" t="str">
        <f t="shared" si="811"/>
        <v>DISPOSED</v>
      </c>
      <c r="BT1153" s="129" t="str">
        <f t="shared" si="812"/>
        <v>Y</v>
      </c>
      <c r="BU1153" s="109">
        <f>IFERROR(Q1153/R1153,BR1153)</f>
        <v>1</v>
      </c>
      <c r="BV1153" s="109">
        <f t="shared" si="813"/>
        <v>1</v>
      </c>
      <c r="BW1153" s="109">
        <f t="shared" si="836"/>
        <v>0</v>
      </c>
      <c r="BX1153" s="111">
        <f t="shared" si="814"/>
        <v>0</v>
      </c>
      <c r="BY1153" s="129">
        <f t="shared" si="815"/>
        <v>-145</v>
      </c>
      <c r="BZ1153" s="111">
        <f t="shared" si="816"/>
        <v>0</v>
      </c>
      <c r="CA1153" s="138">
        <f t="shared" si="817"/>
        <v>145</v>
      </c>
      <c r="CB1153" s="111" t="e">
        <f t="shared" si="842"/>
        <v>#VALUE!</v>
      </c>
      <c r="CC1153" s="129">
        <f>G1153-I1153+1</f>
        <v>145</v>
      </c>
      <c r="CD1153" s="129">
        <f>G1153-J1153</f>
        <v>0</v>
      </c>
      <c r="CE1153" s="129">
        <f t="shared" si="820"/>
        <v>0</v>
      </c>
      <c r="CG1153" s="129" t="str">
        <f t="shared" si="821"/>
        <v>Y</v>
      </c>
      <c r="CI1153" s="129" t="str">
        <f t="shared" si="823"/>
        <v>121-365 DAYS</v>
      </c>
      <c r="CJ1153" s="137">
        <f t="shared" si="824"/>
        <v>6</v>
      </c>
      <c r="CK1153" s="129" t="str">
        <f t="shared" si="825"/>
        <v>Booked</v>
      </c>
    </row>
    <row r="1154" spans="1:89" ht="15" customHeight="1" x14ac:dyDescent="0.25">
      <c r="A1154" s="111">
        <v>500</v>
      </c>
      <c r="B1154" s="128" t="str">
        <f t="shared" ref="B1154:B1217" si="848">IF(BD1154&lt;&gt;"","Y","N")</f>
        <v>N</v>
      </c>
      <c r="C1154" s="128" t="str">
        <f t="shared" ref="C1154:C1217" si="849">IF((AND(AV1154="",AX1154="",AY1154="")),"N","Y")</f>
        <v>N</v>
      </c>
      <c r="D1154" s="117">
        <v>1834284</v>
      </c>
      <c r="E1154" s="135">
        <f t="shared" ref="E1154:E1217" si="850">IF(OR(AL1154="ACQUITTAL",AL1154="ACQUIT",AL1154="acq insane",AL1154="DISMISSED",AL1154="NO BILL"),1,IF(AL1154="DEFERRED",2,IF(AL1154="PROBATION",3,IF(OR(AL1154="HCJ",AL1154="fine"),4,IF(AL1154="STJ",5,IF(AL1154="TDC",6,""))))))</f>
        <v>5</v>
      </c>
      <c r="F1154" s="124">
        <v>40928</v>
      </c>
      <c r="G1154" s="125">
        <v>41023</v>
      </c>
      <c r="H1154" s="117">
        <v>1834284</v>
      </c>
      <c r="I1154" s="124">
        <v>41015</v>
      </c>
      <c r="J1154" s="124">
        <v>41023</v>
      </c>
      <c r="K1154" s="126">
        <v>15000</v>
      </c>
      <c r="L1154" s="127" t="s">
        <v>571</v>
      </c>
      <c r="N1154" s="129" t="str">
        <f t="shared" si="843"/>
        <v>N</v>
      </c>
      <c r="O1154" s="128" t="s">
        <v>917</v>
      </c>
      <c r="P1154" s="129" t="s">
        <v>39</v>
      </c>
      <c r="Q1154" s="111">
        <f t="shared" si="844"/>
        <v>9</v>
      </c>
      <c r="R1154" s="111">
        <f t="shared" si="830"/>
        <v>96</v>
      </c>
      <c r="S1154" s="129">
        <v>2</v>
      </c>
      <c r="T1154" s="129">
        <v>0</v>
      </c>
      <c r="U1154" s="129">
        <v>1</v>
      </c>
      <c r="W1154" s="111"/>
      <c r="AC1154" s="130"/>
      <c r="AD1154" s="130">
        <v>30513</v>
      </c>
      <c r="AE1154" s="128" t="s">
        <v>32</v>
      </c>
      <c r="AF1154" s="128" t="s">
        <v>33</v>
      </c>
      <c r="AG1154" s="128" t="s">
        <v>872</v>
      </c>
      <c r="AH1154" s="108" t="s">
        <v>31</v>
      </c>
      <c r="AI1154" s="128" t="s">
        <v>71</v>
      </c>
      <c r="AJ1154" s="129" t="s">
        <v>89</v>
      </c>
      <c r="AK1154" s="129">
        <v>2</v>
      </c>
      <c r="AL1154" s="3" t="s">
        <v>992</v>
      </c>
      <c r="AN1154" s="117">
        <v>6</v>
      </c>
      <c r="AP1154" s="129" t="s">
        <v>63</v>
      </c>
      <c r="AR1154" s="128" t="s">
        <v>44</v>
      </c>
      <c r="AS1154" s="129" t="s">
        <v>64</v>
      </c>
      <c r="BC1154" s="129" t="s">
        <v>99</v>
      </c>
      <c r="BF1154" s="111">
        <f t="shared" si="840"/>
        <v>9</v>
      </c>
      <c r="BG1154" s="111">
        <f t="shared" si="841"/>
        <v>9</v>
      </c>
      <c r="BH1154" s="111">
        <f t="shared" si="845"/>
        <v>96</v>
      </c>
      <c r="BI1154" s="111">
        <f t="shared" si="846"/>
        <v>28.456284153005466</v>
      </c>
      <c r="BJ1154" s="129">
        <f t="shared" ref="BJ1154:BJ1217" si="851">G1154-J1154-M1154</f>
        <v>0</v>
      </c>
      <c r="BK1154" s="129">
        <f t="shared" si="847"/>
        <v>0</v>
      </c>
      <c r="BL1154" s="129" t="str">
        <f t="shared" si="831"/>
        <v>CONVICTION</v>
      </c>
      <c r="BM1154" s="129" t="str">
        <f t="shared" ref="BM1154:BM1217" si="852">O1154</f>
        <v>NONE</v>
      </c>
      <c r="BN1154" s="129" t="s">
        <v>566</v>
      </c>
      <c r="BP1154" s="137" t="str">
        <f t="shared" ref="BP1154:BP1217" si="853">IF(OR(AJ1154="AQUITTAL",AJ1154="DISMISSED",AJ1154="FINE",AJ1154="NO BILL"),"NO CONVICTION",IF(OR(AJ1154="HCJ",AJ1154="MHH",AJ1154="PROBATION",AJ1154="STJ",AJ1154="TDC",AJ1154="CONVICTED"),"CONVICTION",IF(AJ1154="DEFERRED","DEFERRED","")))</f>
        <v>CONVICTION</v>
      </c>
      <c r="BQ1154" s="128" t="str">
        <f t="shared" ref="BQ1154:BQ1217" si="854">IF(BF1154&gt;0,"Y",BF1154)</f>
        <v>Y</v>
      </c>
      <c r="BR1154" s="129" t="str">
        <f t="shared" ref="BR1154:BR1216" si="855">IF(AND(J1154="NOT BOOKED",M1154&gt;1/1/1),"BONDED - BEFORE BOOKED",IF(BG1154="STILL OPEN","STILL OPEN",IF(N1154="Y","ON BOND",IF(J1154&gt;=G1154,"DETAINED","RELEASED"))))</f>
        <v>DETAINED</v>
      </c>
      <c r="BS1154" s="129" t="str">
        <f t="shared" ref="BS1154:BS1217" si="856">IF(G1154&lt;&gt;"","DISPOSED","")</f>
        <v>DISPOSED</v>
      </c>
      <c r="BT1154" s="129" t="str">
        <f t="shared" ref="BT1154:BT1217" si="857">IF(S1154&gt;0,"Y","N")</f>
        <v>Y</v>
      </c>
      <c r="BU1154" s="109">
        <f t="shared" ref="BU1154:BU1217" si="858">Q1154/R1154</f>
        <v>9.375E-2</v>
      </c>
      <c r="BV1154" s="109">
        <f t="shared" ref="BV1154:BV1217" si="859">IF(I1154&gt;F1154,((J1154-I1154+1)/(G1154-I1154+1)),(J1154-I1154+1)/(G1154-F1154+1))</f>
        <v>1</v>
      </c>
      <c r="BW1154" s="109">
        <f t="shared" si="836"/>
        <v>0.90625</v>
      </c>
      <c r="BX1154" s="111">
        <f t="shared" ref="BX1154:BX1217" si="860">+Q1154-BF1154</f>
        <v>0</v>
      </c>
      <c r="BY1154" s="129">
        <f t="shared" ref="BY1154:BY1217" si="861">I1154-J1154-1</f>
        <v>-9</v>
      </c>
      <c r="BZ1154" s="111">
        <f t="shared" ref="BZ1154:BZ1217" si="862">BY1154+BF1154</f>
        <v>0</v>
      </c>
      <c r="CA1154" s="138">
        <f t="shared" ref="CA1154:CA1217" si="863">IF(AND(BS1154="DISPOSED",BR1154="DETAINED"),G1154-I1154+1,IF(AND(BS1154="DISPOSED",BR1154="ON BOND"),M1154-I1154+1,IF(AND(BS1154="STILL OPEN","STILL OPEN"),"NOT BOOKED")))</f>
        <v>9</v>
      </c>
      <c r="CB1154" s="111" t="e">
        <f t="shared" si="842"/>
        <v>#VALUE!</v>
      </c>
      <c r="CC1154" s="129">
        <f>G1154-I1154+1</f>
        <v>9</v>
      </c>
      <c r="CD1154" s="129">
        <f>G1154-J1154</f>
        <v>0</v>
      </c>
      <c r="CE1154" s="129">
        <f t="shared" ref="CE1154:CE1217" si="864">G1154-J1154</f>
        <v>0</v>
      </c>
      <c r="CG1154" s="129" t="str">
        <f t="shared" ref="CG1154:CG1217" si="865">IF((S1154+T1154+U1154)&gt;0,"Y","N")</f>
        <v>Y</v>
      </c>
      <c r="CI1154" s="129" t="str">
        <f t="shared" si="823"/>
        <v>0-10 DAYS</v>
      </c>
      <c r="CJ1154" s="137">
        <f t="shared" si="824"/>
        <v>1</v>
      </c>
      <c r="CK1154" s="129" t="str">
        <f t="shared" si="825"/>
        <v>Booked</v>
      </c>
    </row>
    <row r="1155" spans="1:89" ht="15" customHeight="1" x14ac:dyDescent="0.25">
      <c r="A1155" s="111">
        <v>96</v>
      </c>
      <c r="B1155" s="128" t="str">
        <f t="shared" si="848"/>
        <v>N</v>
      </c>
      <c r="C1155" s="128" t="str">
        <f t="shared" si="849"/>
        <v>N</v>
      </c>
      <c r="D1155" s="117">
        <v>1834553</v>
      </c>
      <c r="E1155" s="135">
        <f t="shared" si="850"/>
        <v>2</v>
      </c>
      <c r="F1155" s="124">
        <v>40913</v>
      </c>
      <c r="G1155" s="125">
        <v>41169</v>
      </c>
      <c r="H1155" s="117">
        <v>1834553</v>
      </c>
      <c r="I1155" s="124" t="s">
        <v>562</v>
      </c>
      <c r="J1155" s="124" t="s">
        <v>562</v>
      </c>
      <c r="K1155" s="126">
        <v>5000</v>
      </c>
      <c r="L1155" s="127" t="s">
        <v>569</v>
      </c>
      <c r="M1155" s="125">
        <v>40916</v>
      </c>
      <c r="N1155" s="129" t="str">
        <f>IF(M1155&gt;1/1/1,"Y",IF(Q1155="0","","N"))</f>
        <v>Y</v>
      </c>
      <c r="O1155" s="128" t="s">
        <v>76</v>
      </c>
      <c r="P1155" s="129" t="s">
        <v>589</v>
      </c>
      <c r="Q1155" s="111">
        <f t="shared" si="844"/>
        <v>0</v>
      </c>
      <c r="R1155" s="111">
        <f t="shared" si="830"/>
        <v>257</v>
      </c>
      <c r="S1155" s="129">
        <v>0</v>
      </c>
      <c r="T1155" s="129">
        <v>0</v>
      </c>
      <c r="W1155" s="111"/>
      <c r="AC1155" s="130"/>
      <c r="AD1155" s="130">
        <v>25640</v>
      </c>
      <c r="AE1155" s="128" t="s">
        <v>32</v>
      </c>
      <c r="AF1155" s="128" t="s">
        <v>69</v>
      </c>
      <c r="AG1155" s="128" t="s">
        <v>874</v>
      </c>
      <c r="AH1155" s="108" t="s">
        <v>31</v>
      </c>
      <c r="AI1155" s="128" t="s">
        <v>85</v>
      </c>
      <c r="AJ1155" s="129" t="s">
        <v>48</v>
      </c>
      <c r="AK1155" s="129">
        <v>11</v>
      </c>
      <c r="AL1155" s="3" t="s">
        <v>48</v>
      </c>
      <c r="AP1155" s="129" t="s">
        <v>109</v>
      </c>
      <c r="AR1155" s="128" t="s">
        <v>67</v>
      </c>
      <c r="AS1155" s="129" t="s">
        <v>61</v>
      </c>
      <c r="BC1155" s="129" t="s">
        <v>52</v>
      </c>
      <c r="BF1155" s="111">
        <v>0</v>
      </c>
      <c r="BG1155" s="111">
        <v>0</v>
      </c>
      <c r="BH1155" s="111">
        <f t="shared" si="845"/>
        <v>257</v>
      </c>
      <c r="BI1155" s="111">
        <f t="shared" si="846"/>
        <v>41.729508196721312</v>
      </c>
      <c r="BJ1155" s="129" t="e">
        <f>(G1155-J1155)+(M1155-G1155)</f>
        <v>#VALUE!</v>
      </c>
      <c r="BK1155" s="129" t="e">
        <f t="shared" si="847"/>
        <v>#VALUE!</v>
      </c>
      <c r="BL1155" s="129" t="str">
        <f t="shared" si="831"/>
        <v>DEFERRED</v>
      </c>
      <c r="BM1155" s="129" t="s">
        <v>76</v>
      </c>
      <c r="BN1155" s="129" t="s">
        <v>88</v>
      </c>
      <c r="BP1155" s="137" t="str">
        <f t="shared" si="853"/>
        <v>DEFERRED</v>
      </c>
      <c r="BQ1155" s="128">
        <f t="shared" si="854"/>
        <v>0</v>
      </c>
      <c r="BR1155" s="129" t="s">
        <v>575</v>
      </c>
      <c r="BS1155" s="129" t="str">
        <f t="shared" si="856"/>
        <v>DISPOSED</v>
      </c>
      <c r="BT1155" s="129" t="str">
        <f t="shared" si="857"/>
        <v>N</v>
      </c>
      <c r="BU1155" s="109">
        <f t="shared" si="858"/>
        <v>0</v>
      </c>
      <c r="BV1155" s="109">
        <v>0</v>
      </c>
      <c r="BW1155" s="109">
        <f t="shared" si="836"/>
        <v>0</v>
      </c>
      <c r="BX1155" s="111">
        <f t="shared" si="860"/>
        <v>0</v>
      </c>
      <c r="BY1155" s="129" t="e">
        <f t="shared" si="861"/>
        <v>#VALUE!</v>
      </c>
      <c r="BZ1155" s="111" t="e">
        <f t="shared" si="862"/>
        <v>#VALUE!</v>
      </c>
      <c r="CA1155" s="138" t="e">
        <f t="shared" si="863"/>
        <v>#VALUE!</v>
      </c>
      <c r="CB1155" s="111">
        <v>0</v>
      </c>
      <c r="CC1155" s="129">
        <v>0</v>
      </c>
      <c r="CD1155" s="111">
        <f>CC1155-BF1155</f>
        <v>0</v>
      </c>
      <c r="CE1155" s="129" t="e">
        <f t="shared" si="864"/>
        <v>#VALUE!</v>
      </c>
      <c r="CG1155" s="129" t="str">
        <f t="shared" si="865"/>
        <v>N</v>
      </c>
      <c r="CI1155" s="129" t="str">
        <f t="shared" ref="CI1155:CI1218" si="866">IF(BF1155&lt;11,"0-10 DAYS",IF(AND(BF1155&gt;10,BF1155&lt;31),"11-30 DAYS",IF((AND(BF1155&gt;30,BF1155&lt;61)),"31-60 DAYS",IF(AND(BF1155&gt;60,BF1155&lt;91),"61-90 DAYS",IF(AND(BF1155&gt;90,BF1155&lt;121),"91-120 DAYS",IF(AND(BF1155&gt;120,BF1155&lt;366),"121-365 DAYS",IF(AND(BF1155&gt;365,BF1155&lt;730)," &gt;1YRS&lt;2YRS",IF(AND(BF1155&gt;729,BF1155&lt;1095),"&gt;2YRS&lt;3YRS",IF(BF1155&gt;1094,"&gt;3YRS")))))))))</f>
        <v>0-10 DAYS</v>
      </c>
      <c r="CJ1155" s="137">
        <f t="shared" ref="CJ1155:CJ1218" si="867">IF(CI1155="0-10 DAYS",1,IF(CI1155="11-30 DAYS",2,IF(CI1155="31-60 DAYS",3,IF(CI1155="61-90 DAYS",4,IF(CK1155="91-120 DAYS",5,IF(CI1155="121-365 DAYS",6,IF(CI1155="&gt;1YRS&lt;2YRS",7,IF(CI1155="&gt;2YRS&lt;3YRS",8,IF(CI1155="&gt;3YRS",9,0)))))))))</f>
        <v>1</v>
      </c>
      <c r="CK1155" s="129" t="str">
        <f t="shared" ref="CK1155:CK1218" si="868">IF(I1155="Not Booked","Not Booked","Booked")</f>
        <v>Not Booked</v>
      </c>
    </row>
    <row r="1156" spans="1:89" ht="15.75" customHeight="1" x14ac:dyDescent="0.25">
      <c r="A1156" s="111">
        <v>675</v>
      </c>
      <c r="B1156" s="128" t="str">
        <f t="shared" si="848"/>
        <v>N</v>
      </c>
      <c r="C1156" s="128" t="str">
        <f t="shared" si="849"/>
        <v>N</v>
      </c>
      <c r="D1156" s="117">
        <v>1834777</v>
      </c>
      <c r="E1156" s="135">
        <f t="shared" si="850"/>
        <v>5</v>
      </c>
      <c r="F1156" s="124">
        <v>40935</v>
      </c>
      <c r="G1156" s="125">
        <v>40952</v>
      </c>
      <c r="H1156" s="117">
        <v>1834777</v>
      </c>
      <c r="I1156" s="124">
        <v>40951</v>
      </c>
      <c r="J1156" s="124">
        <v>40952</v>
      </c>
      <c r="K1156" s="126">
        <v>10000</v>
      </c>
      <c r="L1156" s="127" t="s">
        <v>570</v>
      </c>
      <c r="N1156" s="129" t="str">
        <f>IF(M1156&gt;1/1/1,"Y","N")</f>
        <v>N</v>
      </c>
      <c r="O1156" s="128" t="s">
        <v>917</v>
      </c>
      <c r="P1156" s="129" t="s">
        <v>39</v>
      </c>
      <c r="Q1156" s="111">
        <f t="shared" si="844"/>
        <v>2</v>
      </c>
      <c r="R1156" s="111">
        <f t="shared" si="830"/>
        <v>18</v>
      </c>
      <c r="S1156" s="129">
        <v>2</v>
      </c>
      <c r="T1156" s="129">
        <v>0</v>
      </c>
      <c r="U1156" s="129">
        <v>2</v>
      </c>
      <c r="W1156" s="111"/>
      <c r="AC1156" s="130"/>
      <c r="AD1156" s="130">
        <v>29471</v>
      </c>
      <c r="AE1156" s="128" t="s">
        <v>32</v>
      </c>
      <c r="AF1156" s="128" t="s">
        <v>33</v>
      </c>
      <c r="AG1156" s="128" t="s">
        <v>872</v>
      </c>
      <c r="AH1156" s="108" t="s">
        <v>31</v>
      </c>
      <c r="AI1156" s="128" t="s">
        <v>53</v>
      </c>
      <c r="AJ1156" s="129" t="s">
        <v>89</v>
      </c>
      <c r="AK1156" s="129">
        <v>2</v>
      </c>
      <c r="AL1156" s="3" t="s">
        <v>992</v>
      </c>
      <c r="AN1156" s="117">
        <v>6</v>
      </c>
      <c r="AP1156" s="129" t="s">
        <v>142</v>
      </c>
      <c r="AR1156" s="128" t="s">
        <v>44</v>
      </c>
      <c r="AS1156" s="129" t="s">
        <v>64</v>
      </c>
      <c r="BC1156" s="129" t="s">
        <v>38</v>
      </c>
      <c r="BF1156" s="111">
        <f t="shared" ref="BF1156:BF1173" si="869">IF(J1156&gt;1/1/1900,((J1156+1)-I1156),"STILL OPEN")</f>
        <v>2</v>
      </c>
      <c r="BG1156" s="111">
        <f t="shared" ref="BG1156:BG1173" si="870">IF(G1156&gt;1/1/1900,((G1156+1)-I1156),"STILL OPEN")</f>
        <v>2</v>
      </c>
      <c r="BH1156" s="111">
        <f t="shared" si="845"/>
        <v>18</v>
      </c>
      <c r="BI1156" s="111">
        <f t="shared" si="846"/>
        <v>31.3224043715847</v>
      </c>
      <c r="BJ1156" s="129">
        <f t="shared" si="851"/>
        <v>0</v>
      </c>
      <c r="BK1156" s="129">
        <f t="shared" si="847"/>
        <v>0</v>
      </c>
      <c r="BL1156" s="129" t="str">
        <f t="shared" si="831"/>
        <v>CONVICTION</v>
      </c>
      <c r="BM1156" s="129" t="str">
        <f t="shared" si="852"/>
        <v>NONE</v>
      </c>
      <c r="BN1156" s="129" t="s">
        <v>566</v>
      </c>
      <c r="BP1156" s="137" t="str">
        <f t="shared" si="853"/>
        <v>CONVICTION</v>
      </c>
      <c r="BQ1156" s="128" t="str">
        <f t="shared" si="854"/>
        <v>Y</v>
      </c>
      <c r="BR1156" s="129" t="str">
        <f t="shared" si="855"/>
        <v>DETAINED</v>
      </c>
      <c r="BS1156" s="129" t="str">
        <f t="shared" si="856"/>
        <v>DISPOSED</v>
      </c>
      <c r="BT1156" s="129" t="str">
        <f t="shared" si="857"/>
        <v>Y</v>
      </c>
      <c r="BU1156" s="109">
        <f t="shared" si="858"/>
        <v>0.1111111111111111</v>
      </c>
      <c r="BV1156" s="109">
        <f t="shared" si="859"/>
        <v>1</v>
      </c>
      <c r="BW1156" s="109">
        <f t="shared" si="836"/>
        <v>0.88888888888888884</v>
      </c>
      <c r="BX1156" s="111">
        <f t="shared" si="860"/>
        <v>0</v>
      </c>
      <c r="BY1156" s="129">
        <f t="shared" si="861"/>
        <v>-2</v>
      </c>
      <c r="BZ1156" s="111">
        <f t="shared" si="862"/>
        <v>0</v>
      </c>
      <c r="CA1156" s="138">
        <f t="shared" si="863"/>
        <v>2</v>
      </c>
      <c r="CB1156" s="111" t="e">
        <f t="shared" ref="CB1156:CB1173" si="871">IF(AF1156&gt;1/1/1900,((AF1156+1)-AE1156),"STILL OPEN")</f>
        <v>#VALUE!</v>
      </c>
      <c r="CC1156" s="129">
        <f>G1156-I1156+1</f>
        <v>2</v>
      </c>
      <c r="CD1156" s="129">
        <f>G1156-J1156</f>
        <v>0</v>
      </c>
      <c r="CE1156" s="129">
        <f t="shared" si="864"/>
        <v>0</v>
      </c>
      <c r="CG1156" s="129" t="str">
        <f t="shared" si="865"/>
        <v>Y</v>
      </c>
      <c r="CI1156" s="129" t="str">
        <f t="shared" si="866"/>
        <v>0-10 DAYS</v>
      </c>
      <c r="CJ1156" s="137">
        <f t="shared" si="867"/>
        <v>1</v>
      </c>
      <c r="CK1156" s="129" t="str">
        <f t="shared" si="868"/>
        <v>Booked</v>
      </c>
    </row>
    <row r="1157" spans="1:89" ht="15" customHeight="1" x14ac:dyDescent="0.25">
      <c r="A1157" s="111">
        <v>2369</v>
      </c>
      <c r="B1157" s="128" t="str">
        <f t="shared" si="848"/>
        <v>N</v>
      </c>
      <c r="C1157" s="128" t="str">
        <f t="shared" si="849"/>
        <v>N</v>
      </c>
      <c r="D1157" s="117">
        <v>1836082</v>
      </c>
      <c r="E1157" s="135">
        <f t="shared" si="850"/>
        <v>6</v>
      </c>
      <c r="F1157" s="124">
        <v>40998</v>
      </c>
      <c r="G1157" s="125">
        <v>41488</v>
      </c>
      <c r="H1157" s="117">
        <v>1836082</v>
      </c>
      <c r="I1157" s="124">
        <v>40998</v>
      </c>
      <c r="J1157" s="125">
        <v>41488</v>
      </c>
      <c r="K1157" s="126" t="s">
        <v>564</v>
      </c>
      <c r="L1157" s="127" t="s">
        <v>564</v>
      </c>
      <c r="N1157" s="129" t="s">
        <v>566</v>
      </c>
      <c r="O1157" s="128" t="s">
        <v>917</v>
      </c>
      <c r="P1157" s="129" t="s">
        <v>39</v>
      </c>
      <c r="Q1157" s="111">
        <f t="shared" si="844"/>
        <v>491</v>
      </c>
      <c r="R1157" s="111">
        <f t="shared" si="830"/>
        <v>491</v>
      </c>
      <c r="S1157" s="129">
        <v>3</v>
      </c>
      <c r="T1157" s="129">
        <v>3</v>
      </c>
      <c r="U1157" s="129">
        <v>2</v>
      </c>
      <c r="W1157" s="115"/>
      <c r="X1157" s="114"/>
      <c r="Y1157" s="32"/>
      <c r="Z1157" s="32"/>
      <c r="AC1157" s="130"/>
      <c r="AD1157" s="130">
        <v>30593</v>
      </c>
      <c r="AE1157" s="128" t="s">
        <v>32</v>
      </c>
      <c r="AF1157" s="128" t="s">
        <v>33</v>
      </c>
      <c r="AG1157" s="128" t="s">
        <v>872</v>
      </c>
      <c r="AH1157" s="108" t="s">
        <v>31</v>
      </c>
      <c r="AI1157" s="128" t="s">
        <v>80</v>
      </c>
      <c r="AJ1157" s="129" t="s">
        <v>89</v>
      </c>
      <c r="AK1157" s="129">
        <v>15</v>
      </c>
      <c r="AL1157" s="3" t="s">
        <v>362</v>
      </c>
      <c r="AM1157" s="117">
        <v>5</v>
      </c>
      <c r="AP1157" s="129" t="s">
        <v>132</v>
      </c>
      <c r="AR1157" s="128" t="s">
        <v>92</v>
      </c>
      <c r="AS1157" s="129" t="s">
        <v>82</v>
      </c>
      <c r="AT1157" s="129" t="s">
        <v>1170</v>
      </c>
      <c r="BC1157" s="129" t="s">
        <v>52</v>
      </c>
      <c r="BF1157" s="111">
        <f t="shared" si="869"/>
        <v>491</v>
      </c>
      <c r="BG1157" s="111">
        <f t="shared" si="870"/>
        <v>491</v>
      </c>
      <c r="BH1157" s="111">
        <f t="shared" si="845"/>
        <v>491</v>
      </c>
      <c r="BI1157" s="111">
        <f t="shared" si="846"/>
        <v>28.428961748633881</v>
      </c>
      <c r="BJ1157" s="129">
        <f t="shared" si="851"/>
        <v>0</v>
      </c>
      <c r="BK1157" s="129">
        <f t="shared" si="847"/>
        <v>0</v>
      </c>
      <c r="BL1157" s="129" t="str">
        <f t="shared" si="831"/>
        <v>CONVICTION</v>
      </c>
      <c r="BM1157" s="129" t="str">
        <f t="shared" si="852"/>
        <v>NONE</v>
      </c>
      <c r="BN1157" s="129" t="s">
        <v>566</v>
      </c>
      <c r="BP1157" s="137" t="str">
        <f t="shared" si="853"/>
        <v>CONVICTION</v>
      </c>
      <c r="BQ1157" s="128" t="str">
        <f t="shared" si="854"/>
        <v>Y</v>
      </c>
      <c r="BR1157" s="129" t="str">
        <f t="shared" si="855"/>
        <v>DETAINED</v>
      </c>
      <c r="BS1157" s="129" t="str">
        <f t="shared" si="856"/>
        <v>DISPOSED</v>
      </c>
      <c r="BT1157" s="129" t="str">
        <f t="shared" si="857"/>
        <v>Y</v>
      </c>
      <c r="BU1157" s="109">
        <f t="shared" si="858"/>
        <v>1</v>
      </c>
      <c r="BV1157" s="109">
        <f t="shared" si="859"/>
        <v>1</v>
      </c>
      <c r="BW1157" s="109">
        <f t="shared" si="836"/>
        <v>0</v>
      </c>
      <c r="BX1157" s="111">
        <f t="shared" si="860"/>
        <v>0</v>
      </c>
      <c r="BY1157" s="129">
        <f t="shared" si="861"/>
        <v>-491</v>
      </c>
      <c r="BZ1157" s="111">
        <f t="shared" si="862"/>
        <v>0</v>
      </c>
      <c r="CA1157" s="138">
        <f t="shared" si="863"/>
        <v>491</v>
      </c>
      <c r="CB1157" s="111" t="e">
        <f t="shared" si="871"/>
        <v>#VALUE!</v>
      </c>
      <c r="CC1157" s="129">
        <f>G1157-I1157+1</f>
        <v>491</v>
      </c>
      <c r="CD1157" s="129">
        <f>G1157-J1157</f>
        <v>0</v>
      </c>
      <c r="CE1157" s="129">
        <f t="shared" si="864"/>
        <v>0</v>
      </c>
      <c r="CG1157" s="129" t="str">
        <f t="shared" si="865"/>
        <v>Y</v>
      </c>
      <c r="CI1157" s="129" t="str">
        <f t="shared" si="866"/>
        <v xml:space="preserve"> &gt;1YRS&lt;2YRS</v>
      </c>
      <c r="CJ1157" s="137">
        <f t="shared" si="867"/>
        <v>0</v>
      </c>
      <c r="CK1157" s="129" t="str">
        <f t="shared" si="868"/>
        <v>Booked</v>
      </c>
    </row>
    <row r="1158" spans="1:89" ht="15" customHeight="1" x14ac:dyDescent="0.25">
      <c r="A1158" s="111">
        <v>394</v>
      </c>
      <c r="B1158" s="128" t="str">
        <f t="shared" si="848"/>
        <v>N</v>
      </c>
      <c r="C1158" s="128" t="str">
        <f t="shared" si="849"/>
        <v>N</v>
      </c>
      <c r="D1158" s="117">
        <v>1836122</v>
      </c>
      <c r="E1158" s="135">
        <f t="shared" si="850"/>
        <v>4</v>
      </c>
      <c r="F1158" s="124">
        <v>40925</v>
      </c>
      <c r="G1158" s="125">
        <v>41214</v>
      </c>
      <c r="H1158" s="117">
        <v>1836122</v>
      </c>
      <c r="I1158" s="124">
        <v>41094</v>
      </c>
      <c r="J1158" s="124">
        <v>41108</v>
      </c>
      <c r="K1158" s="126">
        <v>20000</v>
      </c>
      <c r="L1158" s="127" t="s">
        <v>571</v>
      </c>
      <c r="M1158" s="125">
        <v>41108</v>
      </c>
      <c r="N1158" s="129" t="str">
        <f t="shared" ref="N1158:N1163" si="872">IF(M1158&gt;1/1/1,"Y","N")</f>
        <v>Y</v>
      </c>
      <c r="O1158" s="128" t="s">
        <v>76</v>
      </c>
      <c r="P1158" s="129" t="s">
        <v>39</v>
      </c>
      <c r="Q1158" s="111">
        <f t="shared" si="844"/>
        <v>15</v>
      </c>
      <c r="R1158" s="111">
        <f t="shared" si="830"/>
        <v>290</v>
      </c>
      <c r="S1158" s="129">
        <v>0</v>
      </c>
      <c r="T1158" s="129">
        <v>0</v>
      </c>
      <c r="W1158" s="111"/>
      <c r="AC1158" s="130"/>
      <c r="AD1158" s="130">
        <v>26300</v>
      </c>
      <c r="AE1158" s="128" t="s">
        <v>32</v>
      </c>
      <c r="AF1158" s="128" t="s">
        <v>69</v>
      </c>
      <c r="AG1158" s="128" t="s">
        <v>874</v>
      </c>
      <c r="AH1158" s="108" t="s">
        <v>58</v>
      </c>
      <c r="AI1158" s="128" t="s">
        <v>47</v>
      </c>
      <c r="AJ1158" s="129" t="s">
        <v>89</v>
      </c>
      <c r="AK1158" s="129">
        <v>7</v>
      </c>
      <c r="AL1158" s="3" t="s">
        <v>991</v>
      </c>
      <c r="AO1158" s="128">
        <v>150</v>
      </c>
      <c r="AP1158" s="129" t="s">
        <v>150</v>
      </c>
      <c r="AR1158" s="128" t="s">
        <v>67</v>
      </c>
      <c r="AS1158" s="129" t="s">
        <v>74</v>
      </c>
      <c r="BC1158" s="129" t="s">
        <v>38</v>
      </c>
      <c r="BF1158" s="111">
        <f t="shared" si="869"/>
        <v>15</v>
      </c>
      <c r="BG1158" s="111">
        <f t="shared" si="870"/>
        <v>121</v>
      </c>
      <c r="BH1158" s="111">
        <f t="shared" si="845"/>
        <v>290</v>
      </c>
      <c r="BI1158" s="111">
        <f t="shared" si="846"/>
        <v>39.959016393442624</v>
      </c>
      <c r="BJ1158" s="129">
        <f>(G1158-J1158)+(M1158-G1158)</f>
        <v>0</v>
      </c>
      <c r="BK1158" s="129">
        <f t="shared" si="847"/>
        <v>-106</v>
      </c>
      <c r="BL1158" s="129" t="str">
        <f t="shared" si="831"/>
        <v>CONVICTION</v>
      </c>
      <c r="BM1158" s="129" t="s">
        <v>76</v>
      </c>
      <c r="BN1158" s="129" t="s">
        <v>88</v>
      </c>
      <c r="BP1158" s="137" t="str">
        <f t="shared" si="853"/>
        <v>CONVICTION</v>
      </c>
      <c r="BQ1158" s="128" t="str">
        <f t="shared" si="854"/>
        <v>Y</v>
      </c>
      <c r="BR1158" s="129" t="str">
        <f>IF(J1158&lt;G1158,"ON BOND",0)</f>
        <v>ON BOND</v>
      </c>
      <c r="BS1158" s="129" t="str">
        <f t="shared" si="856"/>
        <v>DISPOSED</v>
      </c>
      <c r="BT1158" s="129" t="str">
        <f t="shared" si="857"/>
        <v>N</v>
      </c>
      <c r="BU1158" s="109">
        <f t="shared" si="858"/>
        <v>5.1724137931034482E-2</v>
      </c>
      <c r="BV1158" s="109">
        <f t="shared" si="859"/>
        <v>0.12396694214876033</v>
      </c>
      <c r="BW1158" s="109">
        <f t="shared" si="836"/>
        <v>7.2242804217725859E-2</v>
      </c>
      <c r="BX1158" s="111">
        <f t="shared" si="860"/>
        <v>0</v>
      </c>
      <c r="BY1158" s="129">
        <f t="shared" si="861"/>
        <v>-15</v>
      </c>
      <c r="BZ1158" s="111">
        <f t="shared" si="862"/>
        <v>0</v>
      </c>
      <c r="CA1158" s="138">
        <f t="shared" si="863"/>
        <v>15</v>
      </c>
      <c r="CB1158" s="111" t="e">
        <f t="shared" si="871"/>
        <v>#VALUE!</v>
      </c>
      <c r="CC1158" s="129">
        <f>M1158-I1158+1</f>
        <v>15</v>
      </c>
      <c r="CD1158" s="111">
        <f>CC1158-BF1158</f>
        <v>0</v>
      </c>
      <c r="CE1158" s="129">
        <f t="shared" si="864"/>
        <v>106</v>
      </c>
      <c r="CG1158" s="129" t="str">
        <f t="shared" si="865"/>
        <v>N</v>
      </c>
      <c r="CI1158" s="129" t="str">
        <f t="shared" si="866"/>
        <v>11-30 DAYS</v>
      </c>
      <c r="CJ1158" s="137">
        <f t="shared" si="867"/>
        <v>2</v>
      </c>
      <c r="CK1158" s="129" t="str">
        <f t="shared" si="868"/>
        <v>Booked</v>
      </c>
    </row>
    <row r="1159" spans="1:89" ht="15" customHeight="1" x14ac:dyDescent="0.25">
      <c r="A1159" s="111">
        <v>2484</v>
      </c>
      <c r="B1159" s="128" t="str">
        <f t="shared" si="848"/>
        <v>N</v>
      </c>
      <c r="C1159" s="128" t="str">
        <f t="shared" si="849"/>
        <v>N</v>
      </c>
      <c r="D1159" s="117">
        <v>1836586</v>
      </c>
      <c r="E1159" s="135">
        <f t="shared" si="850"/>
        <v>2</v>
      </c>
      <c r="F1159" s="124">
        <v>41002</v>
      </c>
      <c r="G1159" s="125">
        <v>41004</v>
      </c>
      <c r="H1159" s="117">
        <v>1836586</v>
      </c>
      <c r="I1159" s="124">
        <v>41002</v>
      </c>
      <c r="J1159" s="124">
        <v>41004</v>
      </c>
      <c r="K1159" s="126">
        <v>5000</v>
      </c>
      <c r="L1159" s="127" t="s">
        <v>569</v>
      </c>
      <c r="N1159" s="129" t="str">
        <f t="shared" si="872"/>
        <v>N</v>
      </c>
      <c r="O1159" s="128" t="s">
        <v>917</v>
      </c>
      <c r="P1159" s="129" t="s">
        <v>589</v>
      </c>
      <c r="Q1159" s="111">
        <f t="shared" si="844"/>
        <v>3</v>
      </c>
      <c r="R1159" s="111">
        <f t="shared" si="830"/>
        <v>3</v>
      </c>
      <c r="S1159" s="129">
        <v>1</v>
      </c>
      <c r="T1159" s="129">
        <v>0</v>
      </c>
      <c r="W1159" s="111"/>
      <c r="AC1159" s="130"/>
      <c r="AD1159" s="130">
        <v>29442</v>
      </c>
      <c r="AE1159" s="128" t="s">
        <v>32</v>
      </c>
      <c r="AF1159" s="128" t="s">
        <v>33</v>
      </c>
      <c r="AG1159" s="128" t="s">
        <v>872</v>
      </c>
      <c r="AH1159" s="108" t="s">
        <v>31</v>
      </c>
      <c r="AI1159" s="128" t="s">
        <v>100</v>
      </c>
      <c r="AJ1159" s="129" t="s">
        <v>48</v>
      </c>
      <c r="AK1159" s="129">
        <v>1</v>
      </c>
      <c r="AL1159" s="3" t="s">
        <v>48</v>
      </c>
      <c r="AP1159" s="129" t="s">
        <v>63</v>
      </c>
      <c r="AR1159" s="128" t="s">
        <v>44</v>
      </c>
      <c r="AS1159" s="129" t="s">
        <v>64</v>
      </c>
      <c r="BC1159" s="129" t="s">
        <v>38</v>
      </c>
      <c r="BF1159" s="111">
        <f t="shared" si="869"/>
        <v>3</v>
      </c>
      <c r="BG1159" s="111">
        <f t="shared" si="870"/>
        <v>3</v>
      </c>
      <c r="BH1159" s="111">
        <f t="shared" si="845"/>
        <v>3</v>
      </c>
      <c r="BI1159" s="111">
        <f t="shared" si="846"/>
        <v>31.584699453551913</v>
      </c>
      <c r="BJ1159" s="129">
        <f t="shared" si="851"/>
        <v>0</v>
      </c>
      <c r="BK1159" s="129">
        <f t="shared" si="847"/>
        <v>0</v>
      </c>
      <c r="BL1159" s="129" t="str">
        <f t="shared" si="831"/>
        <v>DEFERRED</v>
      </c>
      <c r="BM1159" s="129" t="str">
        <f t="shared" si="852"/>
        <v>NONE</v>
      </c>
      <c r="BN1159" s="129" t="s">
        <v>566</v>
      </c>
      <c r="BP1159" s="137" t="str">
        <f t="shared" si="853"/>
        <v>DEFERRED</v>
      </c>
      <c r="BQ1159" s="128" t="str">
        <f t="shared" si="854"/>
        <v>Y</v>
      </c>
      <c r="BR1159" s="129" t="str">
        <f t="shared" si="855"/>
        <v>DETAINED</v>
      </c>
      <c r="BS1159" s="129" t="str">
        <f t="shared" si="856"/>
        <v>DISPOSED</v>
      </c>
      <c r="BT1159" s="129" t="str">
        <f t="shared" si="857"/>
        <v>Y</v>
      </c>
      <c r="BU1159" s="109">
        <f t="shared" si="858"/>
        <v>1</v>
      </c>
      <c r="BV1159" s="109">
        <f t="shared" si="859"/>
        <v>1</v>
      </c>
      <c r="BW1159" s="109">
        <f t="shared" si="836"/>
        <v>0</v>
      </c>
      <c r="BX1159" s="111">
        <f t="shared" si="860"/>
        <v>0</v>
      </c>
      <c r="BY1159" s="129">
        <f t="shared" si="861"/>
        <v>-3</v>
      </c>
      <c r="BZ1159" s="111">
        <f t="shared" si="862"/>
        <v>0</v>
      </c>
      <c r="CA1159" s="138">
        <f t="shared" si="863"/>
        <v>3</v>
      </c>
      <c r="CB1159" s="111" t="e">
        <f t="shared" si="871"/>
        <v>#VALUE!</v>
      </c>
      <c r="CC1159" s="129">
        <f t="shared" ref="CC1159:CC1164" si="873">G1159-I1159+1</f>
        <v>3</v>
      </c>
      <c r="CD1159" s="129">
        <f t="shared" ref="CD1159:CD1164" si="874">G1159-J1159</f>
        <v>0</v>
      </c>
      <c r="CE1159" s="129">
        <f t="shared" si="864"/>
        <v>0</v>
      </c>
      <c r="CG1159" s="129" t="str">
        <f t="shared" si="865"/>
        <v>Y</v>
      </c>
      <c r="CI1159" s="129" t="str">
        <f t="shared" si="866"/>
        <v>0-10 DAYS</v>
      </c>
      <c r="CJ1159" s="137">
        <f t="shared" si="867"/>
        <v>1</v>
      </c>
      <c r="CK1159" s="129" t="str">
        <f t="shared" si="868"/>
        <v>Booked</v>
      </c>
    </row>
    <row r="1160" spans="1:89" ht="15.75" customHeight="1" x14ac:dyDescent="0.25">
      <c r="A1160" s="111">
        <v>1035</v>
      </c>
      <c r="B1160" s="128" t="str">
        <f t="shared" si="848"/>
        <v>N</v>
      </c>
      <c r="C1160" s="128" t="str">
        <f t="shared" si="849"/>
        <v>N</v>
      </c>
      <c r="D1160" s="117">
        <v>1836597</v>
      </c>
      <c r="E1160" s="135">
        <f t="shared" si="850"/>
        <v>5</v>
      </c>
      <c r="F1160" s="124">
        <v>40947</v>
      </c>
      <c r="G1160" s="125">
        <v>40949</v>
      </c>
      <c r="H1160" s="117">
        <v>1836597</v>
      </c>
      <c r="I1160" s="124">
        <v>40948</v>
      </c>
      <c r="J1160" s="124">
        <v>40949</v>
      </c>
      <c r="K1160" s="126">
        <v>15000</v>
      </c>
      <c r="L1160" s="127" t="s">
        <v>571</v>
      </c>
      <c r="N1160" s="129" t="str">
        <f t="shared" si="872"/>
        <v>N</v>
      </c>
      <c r="O1160" s="128" t="s">
        <v>917</v>
      </c>
      <c r="P1160" s="129" t="s">
        <v>39</v>
      </c>
      <c r="Q1160" s="111">
        <f t="shared" si="844"/>
        <v>2</v>
      </c>
      <c r="R1160" s="111">
        <f t="shared" si="830"/>
        <v>3</v>
      </c>
      <c r="S1160" s="129">
        <v>4</v>
      </c>
      <c r="T1160" s="129">
        <v>1</v>
      </c>
      <c r="U1160" s="129">
        <v>4</v>
      </c>
      <c r="W1160" s="111"/>
      <c r="AB1160" s="131" t="s">
        <v>112</v>
      </c>
      <c r="AC1160" s="130"/>
      <c r="AD1160" s="130">
        <v>27243</v>
      </c>
      <c r="AE1160" s="128" t="s">
        <v>32</v>
      </c>
      <c r="AF1160" s="128" t="s">
        <v>40</v>
      </c>
      <c r="AG1160" s="128" t="s">
        <v>41</v>
      </c>
      <c r="AH1160" s="108" t="s">
        <v>31</v>
      </c>
      <c r="AI1160" s="128" t="s">
        <v>141</v>
      </c>
      <c r="AJ1160" s="129" t="s">
        <v>89</v>
      </c>
      <c r="AK1160" s="129">
        <v>1</v>
      </c>
      <c r="AL1160" s="3" t="s">
        <v>992</v>
      </c>
      <c r="AN1160" s="117">
        <v>12</v>
      </c>
      <c r="AP1160" s="129" t="s">
        <v>43</v>
      </c>
      <c r="AR1160" s="128" t="s">
        <v>44</v>
      </c>
      <c r="AS1160" s="129" t="s">
        <v>45</v>
      </c>
      <c r="BC1160" s="129" t="s">
        <v>38</v>
      </c>
      <c r="BF1160" s="111">
        <f t="shared" si="869"/>
        <v>2</v>
      </c>
      <c r="BG1160" s="111">
        <f t="shared" si="870"/>
        <v>2</v>
      </c>
      <c r="BH1160" s="111">
        <f t="shared" si="845"/>
        <v>3</v>
      </c>
      <c r="BI1160" s="111">
        <f t="shared" si="846"/>
        <v>37.442622950819676</v>
      </c>
      <c r="BJ1160" s="129">
        <f t="shared" si="851"/>
        <v>0</v>
      </c>
      <c r="BK1160" s="129">
        <f t="shared" si="847"/>
        <v>0</v>
      </c>
      <c r="BL1160" s="129" t="str">
        <f t="shared" si="831"/>
        <v>CONVICTION</v>
      </c>
      <c r="BM1160" s="129" t="str">
        <f t="shared" si="852"/>
        <v>NONE</v>
      </c>
      <c r="BN1160" s="129" t="s">
        <v>566</v>
      </c>
      <c r="BP1160" s="137" t="str">
        <f t="shared" si="853"/>
        <v>CONVICTION</v>
      </c>
      <c r="BQ1160" s="128" t="str">
        <f t="shared" si="854"/>
        <v>Y</v>
      </c>
      <c r="BR1160" s="129" t="str">
        <f t="shared" si="855"/>
        <v>DETAINED</v>
      </c>
      <c r="BS1160" s="129" t="str">
        <f t="shared" si="856"/>
        <v>DISPOSED</v>
      </c>
      <c r="BT1160" s="129" t="str">
        <f t="shared" si="857"/>
        <v>Y</v>
      </c>
      <c r="BU1160" s="109">
        <f t="shared" si="858"/>
        <v>0.66666666666666663</v>
      </c>
      <c r="BV1160" s="109">
        <f t="shared" si="859"/>
        <v>1</v>
      </c>
      <c r="BW1160" s="109">
        <f t="shared" si="836"/>
        <v>0.33333333333333337</v>
      </c>
      <c r="BX1160" s="111">
        <f t="shared" si="860"/>
        <v>0</v>
      </c>
      <c r="BY1160" s="129">
        <f t="shared" si="861"/>
        <v>-2</v>
      </c>
      <c r="BZ1160" s="111">
        <f t="shared" si="862"/>
        <v>0</v>
      </c>
      <c r="CA1160" s="138">
        <f t="shared" si="863"/>
        <v>2</v>
      </c>
      <c r="CB1160" s="111" t="e">
        <f t="shared" si="871"/>
        <v>#VALUE!</v>
      </c>
      <c r="CC1160" s="129">
        <f t="shared" si="873"/>
        <v>2</v>
      </c>
      <c r="CD1160" s="129">
        <f t="shared" si="874"/>
        <v>0</v>
      </c>
      <c r="CE1160" s="129">
        <f t="shared" si="864"/>
        <v>0</v>
      </c>
      <c r="CG1160" s="129" t="str">
        <f t="shared" si="865"/>
        <v>Y</v>
      </c>
      <c r="CI1160" s="129" t="str">
        <f t="shared" si="866"/>
        <v>0-10 DAYS</v>
      </c>
      <c r="CJ1160" s="137">
        <f t="shared" si="867"/>
        <v>1</v>
      </c>
      <c r="CK1160" s="129" t="str">
        <f t="shared" si="868"/>
        <v>Booked</v>
      </c>
    </row>
    <row r="1161" spans="1:89" ht="15" customHeight="1" x14ac:dyDescent="0.25">
      <c r="A1161" s="111">
        <v>2614</v>
      </c>
      <c r="B1161" s="128" t="str">
        <f t="shared" si="848"/>
        <v>N</v>
      </c>
      <c r="C1161" s="128" t="str">
        <f t="shared" si="849"/>
        <v>N</v>
      </c>
      <c r="D1161" s="117">
        <v>1837218</v>
      </c>
      <c r="E1161" s="135">
        <f t="shared" si="850"/>
        <v>5</v>
      </c>
      <c r="F1161" s="124">
        <v>41005</v>
      </c>
      <c r="G1161" s="125">
        <v>41008</v>
      </c>
      <c r="H1161" s="117">
        <v>1837218</v>
      </c>
      <c r="I1161" s="124">
        <v>41006</v>
      </c>
      <c r="J1161" s="124">
        <v>41008</v>
      </c>
      <c r="K1161" s="126">
        <v>15000</v>
      </c>
      <c r="L1161" s="127" t="s">
        <v>571</v>
      </c>
      <c r="N1161" s="129" t="str">
        <f t="shared" si="872"/>
        <v>N</v>
      </c>
      <c r="O1161" s="128" t="s">
        <v>917</v>
      </c>
      <c r="P1161" s="129" t="s">
        <v>39</v>
      </c>
      <c r="Q1161" s="111">
        <f t="shared" si="844"/>
        <v>3</v>
      </c>
      <c r="R1161" s="111">
        <f t="shared" si="830"/>
        <v>4</v>
      </c>
      <c r="S1161" s="129">
        <v>7</v>
      </c>
      <c r="T1161" s="129">
        <v>5</v>
      </c>
      <c r="U1161" s="129">
        <v>5</v>
      </c>
      <c r="W1161" s="111"/>
      <c r="AC1161" s="130"/>
      <c r="AD1161" s="130">
        <v>29963</v>
      </c>
      <c r="AE1161" s="128" t="s">
        <v>32</v>
      </c>
      <c r="AF1161" s="128" t="s">
        <v>69</v>
      </c>
      <c r="AG1161" s="128" t="s">
        <v>874</v>
      </c>
      <c r="AH1161" s="108" t="s">
        <v>58</v>
      </c>
      <c r="AI1161" s="128" t="s">
        <v>118</v>
      </c>
      <c r="AJ1161" s="129" t="s">
        <v>89</v>
      </c>
      <c r="AK1161" s="129">
        <v>1</v>
      </c>
      <c r="AL1161" s="3" t="s">
        <v>992</v>
      </c>
      <c r="AN1161" s="117">
        <v>7</v>
      </c>
      <c r="AP1161" s="129" t="s">
        <v>60</v>
      </c>
      <c r="AR1161" s="128" t="s">
        <v>44</v>
      </c>
      <c r="AS1161" s="129" t="s">
        <v>61</v>
      </c>
      <c r="BC1161" s="129" t="s">
        <v>38</v>
      </c>
      <c r="BF1161" s="111">
        <f t="shared" si="869"/>
        <v>3</v>
      </c>
      <c r="BG1161" s="111">
        <f t="shared" si="870"/>
        <v>3</v>
      </c>
      <c r="BH1161" s="111">
        <f t="shared" si="845"/>
        <v>4</v>
      </c>
      <c r="BI1161" s="111">
        <f t="shared" si="846"/>
        <v>30.169398907103826</v>
      </c>
      <c r="BJ1161" s="129">
        <f t="shared" si="851"/>
        <v>0</v>
      </c>
      <c r="BK1161" s="129">
        <f t="shared" si="847"/>
        <v>0</v>
      </c>
      <c r="BL1161" s="129" t="str">
        <f t="shared" si="831"/>
        <v>CONVICTION</v>
      </c>
      <c r="BM1161" s="129" t="str">
        <f t="shared" si="852"/>
        <v>NONE</v>
      </c>
      <c r="BN1161" s="129" t="s">
        <v>566</v>
      </c>
      <c r="BP1161" s="137" t="str">
        <f t="shared" si="853"/>
        <v>CONVICTION</v>
      </c>
      <c r="BQ1161" s="128" t="str">
        <f t="shared" si="854"/>
        <v>Y</v>
      </c>
      <c r="BR1161" s="129" t="str">
        <f t="shared" si="855"/>
        <v>DETAINED</v>
      </c>
      <c r="BS1161" s="129" t="str">
        <f t="shared" si="856"/>
        <v>DISPOSED</v>
      </c>
      <c r="BT1161" s="129" t="str">
        <f t="shared" si="857"/>
        <v>Y</v>
      </c>
      <c r="BU1161" s="109">
        <f t="shared" si="858"/>
        <v>0.75</v>
      </c>
      <c r="BV1161" s="109">
        <f t="shared" si="859"/>
        <v>1</v>
      </c>
      <c r="BW1161" s="109">
        <f t="shared" si="836"/>
        <v>0.25</v>
      </c>
      <c r="BX1161" s="111">
        <f t="shared" si="860"/>
        <v>0</v>
      </c>
      <c r="BY1161" s="129">
        <f t="shared" si="861"/>
        <v>-3</v>
      </c>
      <c r="BZ1161" s="111">
        <f t="shared" si="862"/>
        <v>0</v>
      </c>
      <c r="CA1161" s="138">
        <f t="shared" si="863"/>
        <v>3</v>
      </c>
      <c r="CB1161" s="111" t="e">
        <f t="shared" si="871"/>
        <v>#VALUE!</v>
      </c>
      <c r="CC1161" s="129">
        <f t="shared" si="873"/>
        <v>3</v>
      </c>
      <c r="CD1161" s="129">
        <f t="shared" si="874"/>
        <v>0</v>
      </c>
      <c r="CE1161" s="129">
        <f t="shared" si="864"/>
        <v>0</v>
      </c>
      <c r="CG1161" s="129" t="str">
        <f t="shared" si="865"/>
        <v>Y</v>
      </c>
      <c r="CI1161" s="129" t="str">
        <f t="shared" si="866"/>
        <v>0-10 DAYS</v>
      </c>
      <c r="CJ1161" s="137">
        <f t="shared" si="867"/>
        <v>1</v>
      </c>
      <c r="CK1161" s="129" t="str">
        <f t="shared" si="868"/>
        <v>Booked</v>
      </c>
    </row>
    <row r="1162" spans="1:89" ht="15" customHeight="1" x14ac:dyDescent="0.25">
      <c r="A1162" s="111">
        <v>1763</v>
      </c>
      <c r="B1162" s="128" t="str">
        <f t="shared" si="848"/>
        <v>N</v>
      </c>
      <c r="C1162" s="128" t="str">
        <f t="shared" si="849"/>
        <v>Y</v>
      </c>
      <c r="D1162" s="114">
        <v>1837850</v>
      </c>
      <c r="E1162" s="135">
        <f t="shared" si="850"/>
        <v>6</v>
      </c>
      <c r="F1162" s="124">
        <v>40974</v>
      </c>
      <c r="G1162" s="125">
        <v>41200</v>
      </c>
      <c r="H1162" s="114">
        <v>1837850</v>
      </c>
      <c r="I1162" s="124">
        <v>40975</v>
      </c>
      <c r="J1162" s="124">
        <v>40976</v>
      </c>
      <c r="K1162" s="126">
        <v>30000</v>
      </c>
      <c r="L1162" s="129" t="s">
        <v>572</v>
      </c>
      <c r="M1162" s="125">
        <v>40976</v>
      </c>
      <c r="N1162" s="129" t="str">
        <f t="shared" si="872"/>
        <v>Y</v>
      </c>
      <c r="O1162" s="128" t="s">
        <v>585</v>
      </c>
      <c r="P1162" s="129" t="s">
        <v>39</v>
      </c>
      <c r="Q1162" s="111">
        <v>9</v>
      </c>
      <c r="R1162" s="111">
        <f t="shared" si="830"/>
        <v>227</v>
      </c>
      <c r="S1162" s="129">
        <v>4</v>
      </c>
      <c r="T1162" s="129">
        <v>5</v>
      </c>
      <c r="U1162" s="129">
        <v>2</v>
      </c>
      <c r="W1162" s="111"/>
      <c r="AC1162" s="130"/>
      <c r="AD1162" s="130">
        <v>28599</v>
      </c>
      <c r="AE1162" s="128" t="s">
        <v>32</v>
      </c>
      <c r="AF1162" s="128" t="s">
        <v>40</v>
      </c>
      <c r="AG1162" s="128" t="s">
        <v>41</v>
      </c>
      <c r="AH1162" s="108" t="s">
        <v>41</v>
      </c>
      <c r="AI1162" s="128" t="s">
        <v>113</v>
      </c>
      <c r="AJ1162" s="129" t="s">
        <v>89</v>
      </c>
      <c r="AK1162" s="129">
        <v>4</v>
      </c>
      <c r="AL1162" s="3" t="s">
        <v>362</v>
      </c>
      <c r="AM1162" s="117">
        <v>5</v>
      </c>
      <c r="AP1162" s="129" t="s">
        <v>132</v>
      </c>
      <c r="AR1162" s="128" t="s">
        <v>92</v>
      </c>
      <c r="AS1162" s="129" t="s">
        <v>82</v>
      </c>
      <c r="AU1162" s="3" t="s">
        <v>737</v>
      </c>
      <c r="AW1162" s="3"/>
      <c r="AX1162" s="32" t="s">
        <v>88</v>
      </c>
      <c r="BC1162" s="129" t="s">
        <v>52</v>
      </c>
      <c r="BF1162" s="111">
        <v>9</v>
      </c>
      <c r="BG1162" s="111">
        <f t="shared" si="870"/>
        <v>226</v>
      </c>
      <c r="BH1162" s="111">
        <f t="shared" si="845"/>
        <v>227</v>
      </c>
      <c r="BI1162" s="111">
        <f t="shared" si="846"/>
        <v>33.811475409836063</v>
      </c>
      <c r="BJ1162" s="129">
        <f>(G1162-J1162)+(M1162-G1162)</f>
        <v>0</v>
      </c>
      <c r="BK1162" s="129">
        <f t="shared" si="847"/>
        <v>-224</v>
      </c>
      <c r="BL1162" s="129" t="str">
        <f t="shared" si="831"/>
        <v>CONVICTION</v>
      </c>
      <c r="BM1162" s="129" t="s">
        <v>76</v>
      </c>
      <c r="BN1162" s="129" t="s">
        <v>88</v>
      </c>
      <c r="BP1162" s="137" t="str">
        <f t="shared" si="853"/>
        <v>CONVICTION</v>
      </c>
      <c r="BQ1162" s="128" t="str">
        <f t="shared" si="854"/>
        <v>Y</v>
      </c>
      <c r="BR1162" s="129" t="s">
        <v>574</v>
      </c>
      <c r="BS1162" s="129" t="str">
        <f t="shared" si="856"/>
        <v>DISPOSED</v>
      </c>
      <c r="BT1162" s="129" t="str">
        <f t="shared" si="857"/>
        <v>Y</v>
      </c>
      <c r="BU1162" s="109">
        <f t="shared" si="858"/>
        <v>3.9647577092511016E-2</v>
      </c>
      <c r="BV1162" s="109">
        <f t="shared" si="859"/>
        <v>8.8495575221238937E-3</v>
      </c>
      <c r="BW1162" s="109">
        <f t="shared" si="836"/>
        <v>-3.0798019570387122E-2</v>
      </c>
      <c r="BX1162" s="111">
        <f t="shared" si="860"/>
        <v>0</v>
      </c>
      <c r="BY1162" s="129">
        <f t="shared" si="861"/>
        <v>-2</v>
      </c>
      <c r="BZ1162" s="111">
        <f t="shared" si="862"/>
        <v>7</v>
      </c>
      <c r="CA1162" s="138">
        <f t="shared" si="863"/>
        <v>226</v>
      </c>
      <c r="CB1162" s="111">
        <v>9</v>
      </c>
      <c r="CC1162" s="129">
        <f t="shared" si="873"/>
        <v>226</v>
      </c>
      <c r="CD1162" s="129">
        <f t="shared" si="874"/>
        <v>224</v>
      </c>
      <c r="CE1162" s="129">
        <f t="shared" si="864"/>
        <v>224</v>
      </c>
      <c r="CG1162" s="129" t="str">
        <f t="shared" si="865"/>
        <v>Y</v>
      </c>
      <c r="CI1162" s="129" t="str">
        <f t="shared" si="866"/>
        <v>0-10 DAYS</v>
      </c>
      <c r="CJ1162" s="137">
        <f t="shared" si="867"/>
        <v>1</v>
      </c>
      <c r="CK1162" s="129" t="str">
        <f t="shared" si="868"/>
        <v>Booked</v>
      </c>
    </row>
    <row r="1163" spans="1:89" ht="15.75" customHeight="1" x14ac:dyDescent="0.25">
      <c r="A1163" s="111">
        <v>1603</v>
      </c>
      <c r="B1163" s="128" t="str">
        <f t="shared" si="848"/>
        <v>N</v>
      </c>
      <c r="C1163" s="128" t="str">
        <f t="shared" si="849"/>
        <v>N</v>
      </c>
      <c r="D1163" s="117">
        <v>1840126</v>
      </c>
      <c r="E1163" s="135">
        <f t="shared" si="850"/>
        <v>6</v>
      </c>
      <c r="F1163" s="124">
        <v>40968</v>
      </c>
      <c r="G1163" s="125">
        <v>41086</v>
      </c>
      <c r="H1163" s="117">
        <v>1840126</v>
      </c>
      <c r="I1163" s="124">
        <v>40988</v>
      </c>
      <c r="J1163" s="124">
        <v>41086</v>
      </c>
      <c r="K1163" s="126">
        <v>20000</v>
      </c>
      <c r="L1163" s="127" t="s">
        <v>571</v>
      </c>
      <c r="N1163" s="129" t="str">
        <f t="shared" si="872"/>
        <v>N</v>
      </c>
      <c r="O1163" s="128" t="s">
        <v>917</v>
      </c>
      <c r="P1163" s="129" t="s">
        <v>39</v>
      </c>
      <c r="Q1163" s="111">
        <f t="shared" si="844"/>
        <v>99</v>
      </c>
      <c r="R1163" s="111">
        <f t="shared" si="830"/>
        <v>119</v>
      </c>
      <c r="S1163" s="129">
        <v>1</v>
      </c>
      <c r="T1163" s="129">
        <v>7</v>
      </c>
      <c r="U1163" s="129">
        <v>1</v>
      </c>
      <c r="W1163" s="111"/>
      <c r="AC1163" s="130"/>
      <c r="AD1163" s="130">
        <v>29303</v>
      </c>
      <c r="AE1163" s="128" t="s">
        <v>32</v>
      </c>
      <c r="AF1163" s="128" t="s">
        <v>33</v>
      </c>
      <c r="AG1163" s="128" t="s">
        <v>872</v>
      </c>
      <c r="AH1163" s="108" t="s">
        <v>31</v>
      </c>
      <c r="AI1163" s="128" t="s">
        <v>53</v>
      </c>
      <c r="AJ1163" s="129" t="s">
        <v>89</v>
      </c>
      <c r="AK1163" s="129">
        <v>7</v>
      </c>
      <c r="AL1163" s="3" t="s">
        <v>362</v>
      </c>
      <c r="AM1163" s="117">
        <v>4</v>
      </c>
      <c r="AP1163" s="129" t="s">
        <v>191</v>
      </c>
      <c r="AR1163" s="128" t="s">
        <v>50</v>
      </c>
      <c r="AS1163" s="129" t="s">
        <v>82</v>
      </c>
      <c r="BC1163" s="129" t="s">
        <v>38</v>
      </c>
      <c r="BF1163" s="111">
        <f t="shared" si="869"/>
        <v>99</v>
      </c>
      <c r="BG1163" s="111">
        <f t="shared" si="870"/>
        <v>99</v>
      </c>
      <c r="BH1163" s="111">
        <f t="shared" si="845"/>
        <v>119</v>
      </c>
      <c r="BI1163" s="111">
        <f t="shared" si="846"/>
        <v>31.871584699453553</v>
      </c>
      <c r="BJ1163" s="129">
        <f t="shared" si="851"/>
        <v>0</v>
      </c>
      <c r="BK1163" s="129">
        <f t="shared" si="847"/>
        <v>0</v>
      </c>
      <c r="BL1163" s="129" t="str">
        <f t="shared" si="831"/>
        <v>CONVICTION</v>
      </c>
      <c r="BM1163" s="129" t="str">
        <f t="shared" si="852"/>
        <v>NONE</v>
      </c>
      <c r="BN1163" s="129" t="s">
        <v>566</v>
      </c>
      <c r="BP1163" s="137" t="str">
        <f t="shared" si="853"/>
        <v>CONVICTION</v>
      </c>
      <c r="BQ1163" s="128" t="str">
        <f t="shared" si="854"/>
        <v>Y</v>
      </c>
      <c r="BR1163" s="129" t="str">
        <f t="shared" si="855"/>
        <v>DETAINED</v>
      </c>
      <c r="BS1163" s="129" t="str">
        <f t="shared" si="856"/>
        <v>DISPOSED</v>
      </c>
      <c r="BT1163" s="129" t="str">
        <f t="shared" si="857"/>
        <v>Y</v>
      </c>
      <c r="BU1163" s="109">
        <f t="shared" si="858"/>
        <v>0.83193277310924374</v>
      </c>
      <c r="BV1163" s="109">
        <f t="shared" si="859"/>
        <v>1</v>
      </c>
      <c r="BW1163" s="109">
        <f t="shared" si="836"/>
        <v>0.16806722689075626</v>
      </c>
      <c r="BX1163" s="111">
        <f t="shared" si="860"/>
        <v>0</v>
      </c>
      <c r="BY1163" s="129">
        <f t="shared" si="861"/>
        <v>-99</v>
      </c>
      <c r="BZ1163" s="111">
        <f t="shared" si="862"/>
        <v>0</v>
      </c>
      <c r="CA1163" s="138">
        <f t="shared" si="863"/>
        <v>99</v>
      </c>
      <c r="CB1163" s="111" t="e">
        <f t="shared" si="871"/>
        <v>#VALUE!</v>
      </c>
      <c r="CC1163" s="129">
        <f t="shared" si="873"/>
        <v>99</v>
      </c>
      <c r="CD1163" s="129">
        <f t="shared" si="874"/>
        <v>0</v>
      </c>
      <c r="CE1163" s="129">
        <f t="shared" si="864"/>
        <v>0</v>
      </c>
      <c r="CG1163" s="129" t="str">
        <f t="shared" si="865"/>
        <v>Y</v>
      </c>
      <c r="CI1163" s="129" t="str">
        <f t="shared" si="866"/>
        <v>91-120 DAYS</v>
      </c>
      <c r="CJ1163" s="137">
        <f t="shared" si="867"/>
        <v>0</v>
      </c>
      <c r="CK1163" s="129" t="str">
        <f t="shared" si="868"/>
        <v>Booked</v>
      </c>
    </row>
    <row r="1164" spans="1:89" ht="15" customHeight="1" x14ac:dyDescent="0.25">
      <c r="A1164" s="111">
        <v>33</v>
      </c>
      <c r="B1164" s="128" t="str">
        <f t="shared" si="848"/>
        <v>N</v>
      </c>
      <c r="C1164" s="128" t="str">
        <f t="shared" si="849"/>
        <v>N</v>
      </c>
      <c r="D1164" s="117">
        <v>1840393</v>
      </c>
      <c r="E1164" s="135">
        <f t="shared" si="850"/>
        <v>6</v>
      </c>
      <c r="F1164" s="124">
        <v>40911</v>
      </c>
      <c r="G1164" s="125">
        <v>41002</v>
      </c>
      <c r="H1164" s="117">
        <v>1840393</v>
      </c>
      <c r="I1164" s="124">
        <v>40911</v>
      </c>
      <c r="J1164" s="124">
        <v>41002</v>
      </c>
      <c r="K1164" s="126" t="s">
        <v>564</v>
      </c>
      <c r="L1164" s="127" t="s">
        <v>564</v>
      </c>
      <c r="N1164" s="129" t="s">
        <v>566</v>
      </c>
      <c r="O1164" s="128" t="s">
        <v>917</v>
      </c>
      <c r="P1164" s="129" t="s">
        <v>77</v>
      </c>
      <c r="Q1164" s="111">
        <f t="shared" si="844"/>
        <v>92</v>
      </c>
      <c r="R1164" s="111">
        <f t="shared" si="830"/>
        <v>92</v>
      </c>
      <c r="S1164" s="129">
        <v>4</v>
      </c>
      <c r="T1164" s="129">
        <v>3</v>
      </c>
      <c r="U1164" s="129">
        <v>1</v>
      </c>
      <c r="W1164" s="111"/>
      <c r="AC1164" s="130"/>
      <c r="AD1164" s="130">
        <v>30396</v>
      </c>
      <c r="AE1164" s="128" t="s">
        <v>32</v>
      </c>
      <c r="AF1164" s="128" t="s">
        <v>33</v>
      </c>
      <c r="AG1164" s="128" t="s">
        <v>872</v>
      </c>
      <c r="AH1164" s="108" t="s">
        <v>31</v>
      </c>
      <c r="AI1164" s="128" t="s">
        <v>62</v>
      </c>
      <c r="AJ1164" s="129" t="s">
        <v>89</v>
      </c>
      <c r="AK1164" s="129">
        <v>5</v>
      </c>
      <c r="AL1164" s="3" t="s">
        <v>362</v>
      </c>
      <c r="AM1164" s="117">
        <v>5</v>
      </c>
      <c r="AP1164" s="129" t="s">
        <v>84</v>
      </c>
      <c r="AR1164" s="128" t="s">
        <v>67</v>
      </c>
      <c r="AS1164" s="129" t="s">
        <v>74</v>
      </c>
      <c r="BC1164" s="129" t="s">
        <v>52</v>
      </c>
      <c r="BF1164" s="111">
        <f t="shared" si="869"/>
        <v>92</v>
      </c>
      <c r="BG1164" s="111">
        <f t="shared" si="870"/>
        <v>92</v>
      </c>
      <c r="BH1164" s="111">
        <f t="shared" si="845"/>
        <v>92</v>
      </c>
      <c r="BI1164" s="111">
        <f t="shared" si="846"/>
        <v>28.729508196721312</v>
      </c>
      <c r="BJ1164" s="129">
        <f t="shared" si="851"/>
        <v>0</v>
      </c>
      <c r="BK1164" s="129">
        <f t="shared" si="847"/>
        <v>0</v>
      </c>
      <c r="BL1164" s="129" t="str">
        <f t="shared" si="831"/>
        <v>CONVICTION</v>
      </c>
      <c r="BM1164" s="129" t="str">
        <f t="shared" si="852"/>
        <v>NONE</v>
      </c>
      <c r="BN1164" s="129" t="s">
        <v>566</v>
      </c>
      <c r="BP1164" s="137" t="str">
        <f t="shared" si="853"/>
        <v>CONVICTION</v>
      </c>
      <c r="BQ1164" s="128" t="str">
        <f t="shared" si="854"/>
        <v>Y</v>
      </c>
      <c r="BR1164" s="129" t="str">
        <f t="shared" si="855"/>
        <v>DETAINED</v>
      </c>
      <c r="BS1164" s="129" t="str">
        <f t="shared" si="856"/>
        <v>DISPOSED</v>
      </c>
      <c r="BT1164" s="129" t="str">
        <f t="shared" si="857"/>
        <v>Y</v>
      </c>
      <c r="BU1164" s="109">
        <f t="shared" si="858"/>
        <v>1</v>
      </c>
      <c r="BV1164" s="109">
        <f t="shared" si="859"/>
        <v>1</v>
      </c>
      <c r="BW1164" s="109">
        <f t="shared" si="836"/>
        <v>0</v>
      </c>
      <c r="BX1164" s="111">
        <f t="shared" si="860"/>
        <v>0</v>
      </c>
      <c r="BY1164" s="129">
        <f t="shared" si="861"/>
        <v>-92</v>
      </c>
      <c r="BZ1164" s="111">
        <f t="shared" si="862"/>
        <v>0</v>
      </c>
      <c r="CA1164" s="138">
        <f t="shared" si="863"/>
        <v>92</v>
      </c>
      <c r="CB1164" s="111" t="e">
        <f t="shared" si="871"/>
        <v>#VALUE!</v>
      </c>
      <c r="CC1164" s="129">
        <f t="shared" si="873"/>
        <v>92</v>
      </c>
      <c r="CD1164" s="129">
        <f t="shared" si="874"/>
        <v>0</v>
      </c>
      <c r="CE1164" s="129">
        <f t="shared" si="864"/>
        <v>0</v>
      </c>
      <c r="CG1164" s="129" t="str">
        <f t="shared" si="865"/>
        <v>Y</v>
      </c>
      <c r="CI1164" s="129" t="str">
        <f t="shared" si="866"/>
        <v>91-120 DAYS</v>
      </c>
      <c r="CJ1164" s="137">
        <f t="shared" si="867"/>
        <v>0</v>
      </c>
      <c r="CK1164" s="129" t="str">
        <f t="shared" si="868"/>
        <v>Booked</v>
      </c>
    </row>
    <row r="1165" spans="1:89" ht="15" customHeight="1" x14ac:dyDescent="0.25">
      <c r="A1165" s="111">
        <v>2101</v>
      </c>
      <c r="B1165" s="128" t="str">
        <f t="shared" si="848"/>
        <v>N</v>
      </c>
      <c r="C1165" s="128" t="str">
        <f t="shared" si="849"/>
        <v>N</v>
      </c>
      <c r="D1165" s="117">
        <v>1841049</v>
      </c>
      <c r="E1165" s="135">
        <f t="shared" si="850"/>
        <v>2</v>
      </c>
      <c r="F1165" s="124">
        <v>40988</v>
      </c>
      <c r="G1165" s="125">
        <v>41115</v>
      </c>
      <c r="H1165" s="117">
        <v>1841049</v>
      </c>
      <c r="I1165" s="124">
        <v>40994</v>
      </c>
      <c r="J1165" s="124">
        <v>41000</v>
      </c>
      <c r="K1165" s="126">
        <v>30000</v>
      </c>
      <c r="L1165" s="129" t="s">
        <v>572</v>
      </c>
      <c r="M1165" s="125">
        <v>41000</v>
      </c>
      <c r="N1165" s="129" t="str">
        <f>IF(M1165&gt;1/1/1,"Y","N")</f>
        <v>Y</v>
      </c>
      <c r="O1165" s="128" t="s">
        <v>76</v>
      </c>
      <c r="P1165" s="129" t="s">
        <v>589</v>
      </c>
      <c r="Q1165" s="111">
        <f t="shared" si="844"/>
        <v>7</v>
      </c>
      <c r="R1165" s="111">
        <f t="shared" si="830"/>
        <v>128</v>
      </c>
      <c r="S1165" s="129">
        <v>0</v>
      </c>
      <c r="T1165" s="129">
        <v>0</v>
      </c>
      <c r="W1165" s="111"/>
      <c r="AC1165" s="130"/>
      <c r="AD1165" s="130">
        <v>29632</v>
      </c>
      <c r="AE1165" s="128" t="s">
        <v>32</v>
      </c>
      <c r="AF1165" s="128" t="s">
        <v>33</v>
      </c>
      <c r="AG1165" s="128" t="s">
        <v>872</v>
      </c>
      <c r="AH1165" s="108" t="s">
        <v>31</v>
      </c>
      <c r="AI1165" s="128" t="s">
        <v>34</v>
      </c>
      <c r="AJ1165" s="129" t="s">
        <v>48</v>
      </c>
      <c r="AK1165" s="129">
        <v>6</v>
      </c>
      <c r="AL1165" s="3" t="s">
        <v>48</v>
      </c>
      <c r="AP1165" s="129" t="s">
        <v>73</v>
      </c>
      <c r="AR1165" s="128" t="s">
        <v>50</v>
      </c>
      <c r="AS1165" s="129" t="s">
        <v>74</v>
      </c>
      <c r="BC1165" s="129" t="s">
        <v>52</v>
      </c>
      <c r="BF1165" s="111">
        <f t="shared" si="869"/>
        <v>7</v>
      </c>
      <c r="BG1165" s="111">
        <f t="shared" si="870"/>
        <v>122</v>
      </c>
      <c r="BH1165" s="111">
        <f t="shared" si="845"/>
        <v>128</v>
      </c>
      <c r="BI1165" s="111">
        <f t="shared" si="846"/>
        <v>31.027322404371585</v>
      </c>
      <c r="BJ1165" s="129">
        <f>(G1165-J1165)+(M1165-G1165)</f>
        <v>0</v>
      </c>
      <c r="BK1165" s="129">
        <f t="shared" si="847"/>
        <v>-115</v>
      </c>
      <c r="BL1165" s="129" t="str">
        <f t="shared" si="831"/>
        <v>DEFERRED</v>
      </c>
      <c r="BM1165" s="129" t="s">
        <v>76</v>
      </c>
      <c r="BN1165" s="129" t="s">
        <v>88</v>
      </c>
      <c r="BP1165" s="137" t="str">
        <f t="shared" si="853"/>
        <v>DEFERRED</v>
      </c>
      <c r="BQ1165" s="128" t="str">
        <f t="shared" si="854"/>
        <v>Y</v>
      </c>
      <c r="BR1165" s="129" t="str">
        <f t="shared" si="855"/>
        <v>ON BOND</v>
      </c>
      <c r="BS1165" s="129" t="str">
        <f t="shared" si="856"/>
        <v>DISPOSED</v>
      </c>
      <c r="BT1165" s="129" t="str">
        <f t="shared" si="857"/>
        <v>N</v>
      </c>
      <c r="BU1165" s="109">
        <f t="shared" si="858"/>
        <v>5.46875E-2</v>
      </c>
      <c r="BV1165" s="109">
        <f t="shared" si="859"/>
        <v>5.737704918032787E-2</v>
      </c>
      <c r="BW1165" s="109">
        <f t="shared" si="836"/>
        <v>2.6895491803278701E-3</v>
      </c>
      <c r="BX1165" s="111">
        <f t="shared" si="860"/>
        <v>0</v>
      </c>
      <c r="BY1165" s="129">
        <f t="shared" si="861"/>
        <v>-7</v>
      </c>
      <c r="BZ1165" s="111">
        <f t="shared" si="862"/>
        <v>0</v>
      </c>
      <c r="CA1165" s="138">
        <f t="shared" si="863"/>
        <v>7</v>
      </c>
      <c r="CB1165" s="111" t="e">
        <f t="shared" si="871"/>
        <v>#VALUE!</v>
      </c>
      <c r="CC1165" s="129">
        <f>M1165-I1165+1</f>
        <v>7</v>
      </c>
      <c r="CD1165" s="111">
        <f>CC1165-BF1165</f>
        <v>0</v>
      </c>
      <c r="CE1165" s="129">
        <f t="shared" si="864"/>
        <v>115</v>
      </c>
      <c r="CG1165" s="129" t="str">
        <f t="shared" si="865"/>
        <v>N</v>
      </c>
      <c r="CI1165" s="129" t="str">
        <f t="shared" si="866"/>
        <v>0-10 DAYS</v>
      </c>
      <c r="CJ1165" s="137">
        <f t="shared" si="867"/>
        <v>1</v>
      </c>
      <c r="CK1165" s="129" t="str">
        <f t="shared" si="868"/>
        <v>Booked</v>
      </c>
    </row>
    <row r="1166" spans="1:89" ht="15.75" customHeight="1" x14ac:dyDescent="0.25">
      <c r="A1166" s="111">
        <v>201</v>
      </c>
      <c r="B1166" s="128" t="str">
        <f t="shared" si="848"/>
        <v>N</v>
      </c>
      <c r="C1166" s="128" t="str">
        <f t="shared" si="849"/>
        <v>N</v>
      </c>
      <c r="D1166" s="117">
        <v>1841694</v>
      </c>
      <c r="E1166" s="135">
        <f t="shared" si="850"/>
        <v>6</v>
      </c>
      <c r="F1166" s="124">
        <v>40745</v>
      </c>
      <c r="G1166" s="125">
        <v>41010</v>
      </c>
      <c r="H1166" s="117">
        <v>1841694</v>
      </c>
      <c r="I1166" s="124">
        <v>40918</v>
      </c>
      <c r="J1166" s="124">
        <v>41010</v>
      </c>
      <c r="K1166" s="126" t="s">
        <v>564</v>
      </c>
      <c r="L1166" s="127" t="s">
        <v>564</v>
      </c>
      <c r="N1166" s="129" t="s">
        <v>566</v>
      </c>
      <c r="O1166" s="128" t="s">
        <v>917</v>
      </c>
      <c r="P1166" s="129" t="s">
        <v>77</v>
      </c>
      <c r="Q1166" s="111">
        <f t="shared" si="844"/>
        <v>93</v>
      </c>
      <c r="R1166" s="111">
        <f t="shared" si="830"/>
        <v>266</v>
      </c>
      <c r="S1166" s="129">
        <v>8</v>
      </c>
      <c r="T1166" s="129">
        <v>5</v>
      </c>
      <c r="U1166" s="129">
        <v>4</v>
      </c>
      <c r="W1166" s="111"/>
      <c r="AC1166" s="130"/>
      <c r="AD1166" s="130">
        <v>29865</v>
      </c>
      <c r="AE1166" s="128" t="s">
        <v>32</v>
      </c>
      <c r="AF1166" s="128" t="s">
        <v>33</v>
      </c>
      <c r="AG1166" s="128" t="s">
        <v>872</v>
      </c>
      <c r="AH1166" s="108" t="s">
        <v>58</v>
      </c>
      <c r="AI1166" s="128" t="s">
        <v>42</v>
      </c>
      <c r="AJ1166" s="129" t="s">
        <v>89</v>
      </c>
      <c r="AK1166" s="129">
        <v>11</v>
      </c>
      <c r="AL1166" s="3" t="s">
        <v>362</v>
      </c>
      <c r="AM1166" s="117">
        <v>4</v>
      </c>
      <c r="AP1166" s="129" t="s">
        <v>108</v>
      </c>
      <c r="AR1166" s="128" t="s">
        <v>44</v>
      </c>
      <c r="AS1166" s="129" t="s">
        <v>61</v>
      </c>
      <c r="BC1166" s="129" t="s">
        <v>52</v>
      </c>
      <c r="BF1166" s="111">
        <f t="shared" si="869"/>
        <v>93</v>
      </c>
      <c r="BG1166" s="111">
        <f t="shared" si="870"/>
        <v>93</v>
      </c>
      <c r="BH1166" s="111">
        <f t="shared" si="845"/>
        <v>266</v>
      </c>
      <c r="BI1166" s="111">
        <f t="shared" si="846"/>
        <v>29.726775956284154</v>
      </c>
      <c r="BJ1166" s="129">
        <f t="shared" si="851"/>
        <v>0</v>
      </c>
      <c r="BK1166" s="129">
        <f t="shared" si="847"/>
        <v>0</v>
      </c>
      <c r="BL1166" s="129" t="str">
        <f t="shared" si="831"/>
        <v>CONVICTION</v>
      </c>
      <c r="BM1166" s="129" t="str">
        <f t="shared" si="852"/>
        <v>NONE</v>
      </c>
      <c r="BN1166" s="129" t="s">
        <v>566</v>
      </c>
      <c r="BP1166" s="137" t="str">
        <f t="shared" si="853"/>
        <v>CONVICTION</v>
      </c>
      <c r="BQ1166" s="128" t="str">
        <f t="shared" si="854"/>
        <v>Y</v>
      </c>
      <c r="BR1166" s="129" t="str">
        <f t="shared" si="855"/>
        <v>DETAINED</v>
      </c>
      <c r="BS1166" s="129" t="str">
        <f t="shared" si="856"/>
        <v>DISPOSED</v>
      </c>
      <c r="BT1166" s="129" t="str">
        <f t="shared" si="857"/>
        <v>Y</v>
      </c>
      <c r="BU1166" s="109">
        <f t="shared" si="858"/>
        <v>0.34962406015037595</v>
      </c>
      <c r="BV1166" s="109">
        <f t="shared" si="859"/>
        <v>1</v>
      </c>
      <c r="BW1166" s="109">
        <f t="shared" si="836"/>
        <v>0.65037593984962405</v>
      </c>
      <c r="BX1166" s="111">
        <f t="shared" si="860"/>
        <v>0</v>
      </c>
      <c r="BY1166" s="129">
        <f t="shared" si="861"/>
        <v>-93</v>
      </c>
      <c r="BZ1166" s="111">
        <f t="shared" si="862"/>
        <v>0</v>
      </c>
      <c r="CA1166" s="138">
        <f t="shared" si="863"/>
        <v>93</v>
      </c>
      <c r="CB1166" s="111" t="e">
        <f t="shared" si="871"/>
        <v>#VALUE!</v>
      </c>
      <c r="CC1166" s="129">
        <f>G1166-I1166+1</f>
        <v>93</v>
      </c>
      <c r="CD1166" s="129">
        <f t="shared" ref="CD1166:CD1171" si="875">G1166-J1166</f>
        <v>0</v>
      </c>
      <c r="CE1166" s="129">
        <f t="shared" si="864"/>
        <v>0</v>
      </c>
      <c r="CG1166" s="129" t="str">
        <f t="shared" si="865"/>
        <v>Y</v>
      </c>
      <c r="CI1166" s="129" t="str">
        <f t="shared" si="866"/>
        <v>91-120 DAYS</v>
      </c>
      <c r="CJ1166" s="137">
        <f t="shared" si="867"/>
        <v>0</v>
      </c>
      <c r="CK1166" s="129" t="str">
        <f t="shared" si="868"/>
        <v>Booked</v>
      </c>
    </row>
    <row r="1167" spans="1:89" ht="15" customHeight="1" x14ac:dyDescent="0.25">
      <c r="A1167" s="111">
        <v>1314</v>
      </c>
      <c r="B1167" s="128" t="str">
        <f t="shared" si="848"/>
        <v>N</v>
      </c>
      <c r="C1167" s="128" t="str">
        <f t="shared" si="849"/>
        <v>N</v>
      </c>
      <c r="D1167" s="117">
        <v>1842688</v>
      </c>
      <c r="E1167" s="135">
        <f t="shared" si="850"/>
        <v>5</v>
      </c>
      <c r="F1167" s="124">
        <v>40956</v>
      </c>
      <c r="G1167" s="125">
        <v>41135</v>
      </c>
      <c r="H1167" s="117">
        <v>1842688</v>
      </c>
      <c r="I1167" s="124">
        <v>40956</v>
      </c>
      <c r="J1167" s="124">
        <v>41135</v>
      </c>
      <c r="K1167" s="126" t="s">
        <v>564</v>
      </c>
      <c r="L1167" s="127" t="s">
        <v>564</v>
      </c>
      <c r="N1167" s="129" t="s">
        <v>566</v>
      </c>
      <c r="O1167" s="128" t="s">
        <v>917</v>
      </c>
      <c r="P1167" s="129" t="s">
        <v>39</v>
      </c>
      <c r="Q1167" s="111">
        <f t="shared" si="844"/>
        <v>180</v>
      </c>
      <c r="R1167" s="111">
        <f t="shared" si="830"/>
        <v>180</v>
      </c>
      <c r="S1167" s="129">
        <v>1</v>
      </c>
      <c r="T1167" s="129">
        <v>0</v>
      </c>
      <c r="W1167" s="111"/>
      <c r="AC1167" s="130"/>
      <c r="AD1167" s="130">
        <v>27101</v>
      </c>
      <c r="AE1167" s="128" t="s">
        <v>32</v>
      </c>
      <c r="AF1167" s="128" t="s">
        <v>69</v>
      </c>
      <c r="AG1167" s="128" t="s">
        <v>874</v>
      </c>
      <c r="AH1167" s="108" t="s">
        <v>58</v>
      </c>
      <c r="AI1167" s="128" t="s">
        <v>47</v>
      </c>
      <c r="AJ1167" s="129" t="s">
        <v>89</v>
      </c>
      <c r="AK1167" s="129">
        <v>7</v>
      </c>
      <c r="AL1167" s="3" t="s">
        <v>992</v>
      </c>
      <c r="AN1167" s="117">
        <v>6</v>
      </c>
      <c r="AP1167" s="129" t="s">
        <v>137</v>
      </c>
      <c r="AR1167" s="128" t="s">
        <v>67</v>
      </c>
      <c r="AS1167" s="129" t="s">
        <v>64</v>
      </c>
      <c r="BC1167" s="129" t="s">
        <v>38</v>
      </c>
      <c r="BF1167" s="111">
        <f t="shared" si="869"/>
        <v>180</v>
      </c>
      <c r="BG1167" s="111">
        <f t="shared" si="870"/>
        <v>180</v>
      </c>
      <c r="BH1167" s="111">
        <f t="shared" si="845"/>
        <v>180</v>
      </c>
      <c r="BI1167" s="111">
        <f t="shared" si="846"/>
        <v>37.855191256830601</v>
      </c>
      <c r="BJ1167" s="129">
        <f t="shared" si="851"/>
        <v>0</v>
      </c>
      <c r="BK1167" s="129">
        <f t="shared" si="847"/>
        <v>0</v>
      </c>
      <c r="BL1167" s="129" t="str">
        <f t="shared" si="831"/>
        <v>CONVICTION</v>
      </c>
      <c r="BM1167" s="129" t="str">
        <f t="shared" si="852"/>
        <v>NONE</v>
      </c>
      <c r="BN1167" s="129" t="s">
        <v>566</v>
      </c>
      <c r="BP1167" s="137" t="str">
        <f t="shared" si="853"/>
        <v>CONVICTION</v>
      </c>
      <c r="BQ1167" s="128" t="str">
        <f t="shared" si="854"/>
        <v>Y</v>
      </c>
      <c r="BR1167" s="129" t="str">
        <f t="shared" si="855"/>
        <v>DETAINED</v>
      </c>
      <c r="BS1167" s="129" t="str">
        <f t="shared" si="856"/>
        <v>DISPOSED</v>
      </c>
      <c r="BT1167" s="129" t="str">
        <f t="shared" si="857"/>
        <v>Y</v>
      </c>
      <c r="BU1167" s="109">
        <f t="shared" si="858"/>
        <v>1</v>
      </c>
      <c r="BV1167" s="109">
        <f t="shared" si="859"/>
        <v>1</v>
      </c>
      <c r="BW1167" s="109">
        <f t="shared" si="836"/>
        <v>0</v>
      </c>
      <c r="BX1167" s="111">
        <f t="shared" si="860"/>
        <v>0</v>
      </c>
      <c r="BY1167" s="129">
        <f t="shared" si="861"/>
        <v>-180</v>
      </c>
      <c r="BZ1167" s="111">
        <f t="shared" si="862"/>
        <v>0</v>
      </c>
      <c r="CA1167" s="138">
        <f t="shared" si="863"/>
        <v>180</v>
      </c>
      <c r="CB1167" s="111" t="e">
        <f t="shared" si="871"/>
        <v>#VALUE!</v>
      </c>
      <c r="CC1167" s="129">
        <f>G1167-I1167+1</f>
        <v>180</v>
      </c>
      <c r="CD1167" s="129">
        <f t="shared" si="875"/>
        <v>0</v>
      </c>
      <c r="CE1167" s="129">
        <f t="shared" si="864"/>
        <v>0</v>
      </c>
      <c r="CG1167" s="129" t="str">
        <f t="shared" si="865"/>
        <v>Y</v>
      </c>
      <c r="CI1167" s="129" t="str">
        <f t="shared" si="866"/>
        <v>121-365 DAYS</v>
      </c>
      <c r="CJ1167" s="137">
        <f t="shared" si="867"/>
        <v>6</v>
      </c>
      <c r="CK1167" s="129" t="str">
        <f t="shared" si="868"/>
        <v>Booked</v>
      </c>
    </row>
    <row r="1168" spans="1:89" ht="15.75" customHeight="1" x14ac:dyDescent="0.25">
      <c r="A1168" s="111">
        <v>825</v>
      </c>
      <c r="B1168" s="128" t="str">
        <f t="shared" si="848"/>
        <v>N</v>
      </c>
      <c r="C1168" s="128" t="str">
        <f t="shared" si="849"/>
        <v>N</v>
      </c>
      <c r="D1168" s="117">
        <v>1842765</v>
      </c>
      <c r="E1168" s="135">
        <f t="shared" si="850"/>
        <v>5</v>
      </c>
      <c r="F1168" s="124">
        <v>40940</v>
      </c>
      <c r="G1168" s="125">
        <v>40997</v>
      </c>
      <c r="H1168" s="117">
        <v>1842765</v>
      </c>
      <c r="I1168" s="124">
        <v>40940</v>
      </c>
      <c r="J1168" s="124">
        <v>40997</v>
      </c>
      <c r="K1168" s="126" t="s">
        <v>564</v>
      </c>
      <c r="L1168" s="127" t="s">
        <v>564</v>
      </c>
      <c r="N1168" s="129" t="s">
        <v>566</v>
      </c>
      <c r="O1168" s="128" t="s">
        <v>917</v>
      </c>
      <c r="P1168" s="129" t="s">
        <v>39</v>
      </c>
      <c r="Q1168" s="111">
        <f t="shared" si="844"/>
        <v>58</v>
      </c>
      <c r="R1168" s="111">
        <f t="shared" si="830"/>
        <v>58</v>
      </c>
      <c r="S1168" s="129">
        <v>0</v>
      </c>
      <c r="T1168" s="129">
        <v>7</v>
      </c>
      <c r="W1168" s="111"/>
      <c r="AC1168" s="130"/>
      <c r="AD1168" s="130">
        <v>30223</v>
      </c>
      <c r="AE1168" s="128" t="s">
        <v>32</v>
      </c>
      <c r="AF1168" s="128" t="s">
        <v>33</v>
      </c>
      <c r="AG1168" s="128" t="s">
        <v>872</v>
      </c>
      <c r="AH1168" s="108" t="s">
        <v>58</v>
      </c>
      <c r="AI1168" s="128" t="s">
        <v>71</v>
      </c>
      <c r="AJ1168" s="129" t="s">
        <v>89</v>
      </c>
      <c r="AK1168" s="129">
        <v>4</v>
      </c>
      <c r="AL1168" s="3" t="s">
        <v>992</v>
      </c>
      <c r="AN1168" s="117">
        <v>8</v>
      </c>
      <c r="AP1168" s="129" t="s">
        <v>43</v>
      </c>
      <c r="AR1168" s="128" t="s">
        <v>44</v>
      </c>
      <c r="AS1168" s="129" t="s">
        <v>45</v>
      </c>
      <c r="AW1168" s="32"/>
      <c r="AX1168" s="32"/>
      <c r="AY1168" s="32"/>
      <c r="BC1168" s="129" t="s">
        <v>52</v>
      </c>
      <c r="BF1168" s="111">
        <f t="shared" si="869"/>
        <v>58</v>
      </c>
      <c r="BG1168" s="111">
        <f t="shared" si="870"/>
        <v>58</v>
      </c>
      <c r="BH1168" s="111">
        <f t="shared" si="845"/>
        <v>58</v>
      </c>
      <c r="BI1168" s="111">
        <f t="shared" si="846"/>
        <v>29.281420765027324</v>
      </c>
      <c r="BJ1168" s="129">
        <f t="shared" si="851"/>
        <v>0</v>
      </c>
      <c r="BK1168" s="129">
        <f t="shared" si="847"/>
        <v>0</v>
      </c>
      <c r="BL1168" s="129" t="str">
        <f t="shared" si="831"/>
        <v>CONVICTION</v>
      </c>
      <c r="BM1168" s="129" t="str">
        <f t="shared" si="852"/>
        <v>NONE</v>
      </c>
      <c r="BN1168" s="129" t="s">
        <v>566</v>
      </c>
      <c r="BP1168" s="137" t="str">
        <f t="shared" si="853"/>
        <v>CONVICTION</v>
      </c>
      <c r="BQ1168" s="128" t="str">
        <f t="shared" si="854"/>
        <v>Y</v>
      </c>
      <c r="BR1168" s="129" t="str">
        <f t="shared" si="855"/>
        <v>DETAINED</v>
      </c>
      <c r="BS1168" s="129" t="str">
        <f t="shared" si="856"/>
        <v>DISPOSED</v>
      </c>
      <c r="BT1168" s="129" t="str">
        <f t="shared" si="857"/>
        <v>N</v>
      </c>
      <c r="BU1168" s="109">
        <f t="shared" si="858"/>
        <v>1</v>
      </c>
      <c r="BV1168" s="109">
        <f t="shared" si="859"/>
        <v>1</v>
      </c>
      <c r="BW1168" s="109">
        <f t="shared" si="836"/>
        <v>0</v>
      </c>
      <c r="BX1168" s="111">
        <f t="shared" si="860"/>
        <v>0</v>
      </c>
      <c r="BY1168" s="129">
        <f t="shared" si="861"/>
        <v>-58</v>
      </c>
      <c r="BZ1168" s="111">
        <f t="shared" si="862"/>
        <v>0</v>
      </c>
      <c r="CA1168" s="138">
        <f t="shared" si="863"/>
        <v>58</v>
      </c>
      <c r="CB1168" s="111" t="e">
        <f t="shared" si="871"/>
        <v>#VALUE!</v>
      </c>
      <c r="CC1168" s="129">
        <f>G1168-I1168+1</f>
        <v>58</v>
      </c>
      <c r="CD1168" s="129">
        <f t="shared" si="875"/>
        <v>0</v>
      </c>
      <c r="CE1168" s="129">
        <f t="shared" si="864"/>
        <v>0</v>
      </c>
      <c r="CG1168" s="129" t="str">
        <f t="shared" si="865"/>
        <v>Y</v>
      </c>
      <c r="CI1168" s="129" t="str">
        <f t="shared" si="866"/>
        <v>31-60 DAYS</v>
      </c>
      <c r="CJ1168" s="137">
        <f t="shared" si="867"/>
        <v>3</v>
      </c>
      <c r="CK1168" s="129" t="str">
        <f t="shared" si="868"/>
        <v>Booked</v>
      </c>
    </row>
    <row r="1169" spans="1:89" ht="15.75" customHeight="1" x14ac:dyDescent="0.25">
      <c r="A1169" s="111">
        <v>3108</v>
      </c>
      <c r="B1169" s="128" t="str">
        <f t="shared" si="848"/>
        <v>N</v>
      </c>
      <c r="C1169" s="128" t="str">
        <f t="shared" si="849"/>
        <v>N</v>
      </c>
      <c r="D1169" s="117">
        <v>1843984</v>
      </c>
      <c r="E1169" s="135">
        <f t="shared" si="850"/>
        <v>2</v>
      </c>
      <c r="F1169" s="124">
        <v>41024</v>
      </c>
      <c r="G1169" s="125">
        <v>41026</v>
      </c>
      <c r="H1169" s="117">
        <v>1843984</v>
      </c>
      <c r="I1169" s="124">
        <v>41024</v>
      </c>
      <c r="J1169" s="124">
        <v>41026</v>
      </c>
      <c r="K1169" s="126">
        <v>2000</v>
      </c>
      <c r="L1169" s="127" t="s">
        <v>568</v>
      </c>
      <c r="N1169" s="129" t="str">
        <f>IF(M1169&gt;1/1/1,"Y","N")</f>
        <v>N</v>
      </c>
      <c r="O1169" s="128" t="s">
        <v>917</v>
      </c>
      <c r="P1169" s="129" t="s">
        <v>589</v>
      </c>
      <c r="Q1169" s="111">
        <f t="shared" si="844"/>
        <v>3</v>
      </c>
      <c r="R1169" s="111">
        <f t="shared" si="830"/>
        <v>3</v>
      </c>
      <c r="S1169" s="129">
        <v>0</v>
      </c>
      <c r="T1169" s="129">
        <v>1</v>
      </c>
      <c r="W1169" s="111"/>
      <c r="AC1169" s="130"/>
      <c r="AD1169" s="130">
        <v>30478</v>
      </c>
      <c r="AE1169" s="128" t="s">
        <v>46</v>
      </c>
      <c r="AF1169" s="128" t="s">
        <v>69</v>
      </c>
      <c r="AG1169" s="128" t="s">
        <v>874</v>
      </c>
      <c r="AH1169" s="108" t="s">
        <v>31</v>
      </c>
      <c r="AI1169" s="128" t="s">
        <v>72</v>
      </c>
      <c r="AJ1169" s="129" t="s">
        <v>48</v>
      </c>
      <c r="AK1169" s="129">
        <v>2</v>
      </c>
      <c r="AL1169" s="3" t="s">
        <v>48</v>
      </c>
      <c r="AP1169" s="129" t="s">
        <v>108</v>
      </c>
      <c r="AR1169" s="128" t="s">
        <v>44</v>
      </c>
      <c r="AS1169" s="129" t="s">
        <v>61</v>
      </c>
      <c r="BC1169" s="129" t="s">
        <v>52</v>
      </c>
      <c r="BF1169" s="111">
        <f t="shared" si="869"/>
        <v>3</v>
      </c>
      <c r="BG1169" s="111">
        <f t="shared" si="870"/>
        <v>3</v>
      </c>
      <c r="BH1169" s="111">
        <f t="shared" si="845"/>
        <v>3</v>
      </c>
      <c r="BI1169" s="111">
        <f t="shared" si="846"/>
        <v>28.814207650273225</v>
      </c>
      <c r="BJ1169" s="129">
        <f t="shared" si="851"/>
        <v>0</v>
      </c>
      <c r="BK1169" s="129">
        <f t="shared" si="847"/>
        <v>0</v>
      </c>
      <c r="BL1169" s="129" t="str">
        <f t="shared" si="831"/>
        <v>DEFERRED</v>
      </c>
      <c r="BM1169" s="129" t="str">
        <f t="shared" si="852"/>
        <v>NONE</v>
      </c>
      <c r="BN1169" s="129" t="s">
        <v>566</v>
      </c>
      <c r="BP1169" s="137" t="str">
        <f t="shared" si="853"/>
        <v>DEFERRED</v>
      </c>
      <c r="BQ1169" s="128" t="str">
        <f t="shared" si="854"/>
        <v>Y</v>
      </c>
      <c r="BR1169" s="129" t="str">
        <f t="shared" si="855"/>
        <v>DETAINED</v>
      </c>
      <c r="BS1169" s="129" t="str">
        <f t="shared" si="856"/>
        <v>DISPOSED</v>
      </c>
      <c r="BT1169" s="129" t="str">
        <f t="shared" si="857"/>
        <v>N</v>
      </c>
      <c r="BU1169" s="109">
        <f t="shared" si="858"/>
        <v>1</v>
      </c>
      <c r="BV1169" s="109">
        <f t="shared" si="859"/>
        <v>1</v>
      </c>
      <c r="BW1169" s="109">
        <f t="shared" si="836"/>
        <v>0</v>
      </c>
      <c r="BX1169" s="111">
        <f t="shared" si="860"/>
        <v>0</v>
      </c>
      <c r="BY1169" s="129">
        <f t="shared" si="861"/>
        <v>-3</v>
      </c>
      <c r="BZ1169" s="111">
        <f t="shared" si="862"/>
        <v>0</v>
      </c>
      <c r="CA1169" s="138">
        <f t="shared" si="863"/>
        <v>3</v>
      </c>
      <c r="CB1169" s="111" t="e">
        <f t="shared" si="871"/>
        <v>#VALUE!</v>
      </c>
      <c r="CC1169" s="129">
        <f>G1169-I1169+1</f>
        <v>3</v>
      </c>
      <c r="CD1169" s="129">
        <f t="shared" si="875"/>
        <v>0</v>
      </c>
      <c r="CE1169" s="129">
        <f t="shared" si="864"/>
        <v>0</v>
      </c>
      <c r="CG1169" s="129" t="str">
        <f t="shared" si="865"/>
        <v>Y</v>
      </c>
      <c r="CI1169" s="129" t="str">
        <f t="shared" si="866"/>
        <v>0-10 DAYS</v>
      </c>
      <c r="CJ1169" s="137">
        <f t="shared" si="867"/>
        <v>1</v>
      </c>
      <c r="CK1169" s="129" t="str">
        <f t="shared" si="868"/>
        <v>Booked</v>
      </c>
    </row>
    <row r="1170" spans="1:89" ht="15.75" customHeight="1" x14ac:dyDescent="0.25">
      <c r="A1170" s="111">
        <v>2523</v>
      </c>
      <c r="B1170" s="128" t="str">
        <f t="shared" si="848"/>
        <v>N</v>
      </c>
      <c r="C1170" s="128" t="str">
        <f t="shared" si="849"/>
        <v>N</v>
      </c>
      <c r="D1170" s="117">
        <v>1844598</v>
      </c>
      <c r="E1170" s="135">
        <f t="shared" si="850"/>
        <v>5</v>
      </c>
      <c r="F1170" s="124">
        <v>41003</v>
      </c>
      <c r="G1170" s="125">
        <v>41032</v>
      </c>
      <c r="H1170" s="117">
        <v>1844598</v>
      </c>
      <c r="I1170" s="124">
        <v>41004</v>
      </c>
      <c r="J1170" s="124">
        <v>41032</v>
      </c>
      <c r="K1170" s="126">
        <v>15000</v>
      </c>
      <c r="L1170" s="127" t="s">
        <v>571</v>
      </c>
      <c r="N1170" s="129" t="str">
        <f>IF(M1170&gt;1/1/1,"Y","N")</f>
        <v>N</v>
      </c>
      <c r="O1170" s="128" t="s">
        <v>917</v>
      </c>
      <c r="P1170" s="129" t="s">
        <v>39</v>
      </c>
      <c r="Q1170" s="111">
        <f t="shared" si="844"/>
        <v>29</v>
      </c>
      <c r="R1170" s="111">
        <f t="shared" ref="R1170:R1233" si="876">BH1170</f>
        <v>30</v>
      </c>
      <c r="S1170" s="129">
        <v>4</v>
      </c>
      <c r="T1170" s="129">
        <v>2</v>
      </c>
      <c r="U1170" s="129">
        <v>1</v>
      </c>
      <c r="W1170" s="115"/>
      <c r="AC1170" s="130"/>
      <c r="AD1170" s="130">
        <v>29609</v>
      </c>
      <c r="AE1170" s="128" t="s">
        <v>32</v>
      </c>
      <c r="AF1170" s="128" t="s">
        <v>33</v>
      </c>
      <c r="AG1170" s="128" t="s">
        <v>872</v>
      </c>
      <c r="AH1170" s="108" t="s">
        <v>31</v>
      </c>
      <c r="AI1170" s="128" t="s">
        <v>87</v>
      </c>
      <c r="AJ1170" s="129" t="s">
        <v>89</v>
      </c>
      <c r="AK1170" s="129">
        <v>2</v>
      </c>
      <c r="AL1170" s="3" t="s">
        <v>992</v>
      </c>
      <c r="AN1170" s="117">
        <v>6</v>
      </c>
      <c r="AP1170" s="129" t="s">
        <v>43</v>
      </c>
      <c r="AR1170" s="128" t="s">
        <v>44</v>
      </c>
      <c r="AS1170" s="129" t="s">
        <v>45</v>
      </c>
      <c r="BC1170" s="129" t="s">
        <v>38</v>
      </c>
      <c r="BF1170" s="111">
        <f t="shared" si="869"/>
        <v>29</v>
      </c>
      <c r="BG1170" s="111">
        <f t="shared" si="870"/>
        <v>29</v>
      </c>
      <c r="BH1170" s="111">
        <f t="shared" si="845"/>
        <v>30</v>
      </c>
      <c r="BI1170" s="111">
        <f t="shared" si="846"/>
        <v>31.131147540983605</v>
      </c>
      <c r="BJ1170" s="129">
        <f t="shared" si="851"/>
        <v>0</v>
      </c>
      <c r="BK1170" s="129">
        <f t="shared" si="847"/>
        <v>0</v>
      </c>
      <c r="BL1170" s="129" t="str">
        <f t="shared" si="831"/>
        <v>CONVICTION</v>
      </c>
      <c r="BM1170" s="129" t="str">
        <f t="shared" si="852"/>
        <v>NONE</v>
      </c>
      <c r="BN1170" s="129" t="s">
        <v>566</v>
      </c>
      <c r="BP1170" s="137" t="str">
        <f t="shared" si="853"/>
        <v>CONVICTION</v>
      </c>
      <c r="BQ1170" s="128" t="str">
        <f t="shared" si="854"/>
        <v>Y</v>
      </c>
      <c r="BR1170" s="129" t="str">
        <f t="shared" si="855"/>
        <v>DETAINED</v>
      </c>
      <c r="BS1170" s="129" t="str">
        <f t="shared" si="856"/>
        <v>DISPOSED</v>
      </c>
      <c r="BT1170" s="129" t="str">
        <f t="shared" si="857"/>
        <v>Y</v>
      </c>
      <c r="BU1170" s="109">
        <f t="shared" si="858"/>
        <v>0.96666666666666667</v>
      </c>
      <c r="BV1170" s="109">
        <f t="shared" si="859"/>
        <v>1</v>
      </c>
      <c r="BW1170" s="109">
        <f t="shared" si="836"/>
        <v>3.3333333333333326E-2</v>
      </c>
      <c r="BX1170" s="111">
        <f t="shared" si="860"/>
        <v>0</v>
      </c>
      <c r="BY1170" s="129">
        <f t="shared" si="861"/>
        <v>-29</v>
      </c>
      <c r="BZ1170" s="111">
        <f t="shared" si="862"/>
        <v>0</v>
      </c>
      <c r="CA1170" s="138">
        <f t="shared" si="863"/>
        <v>29</v>
      </c>
      <c r="CB1170" s="111" t="e">
        <f t="shared" si="871"/>
        <v>#VALUE!</v>
      </c>
      <c r="CC1170" s="129">
        <f>G1170-I1170+1</f>
        <v>29</v>
      </c>
      <c r="CD1170" s="129">
        <f t="shared" si="875"/>
        <v>0</v>
      </c>
      <c r="CE1170" s="129">
        <f t="shared" si="864"/>
        <v>0</v>
      </c>
      <c r="CG1170" s="129" t="str">
        <f t="shared" si="865"/>
        <v>Y</v>
      </c>
      <c r="CI1170" s="129" t="str">
        <f t="shared" si="866"/>
        <v>11-30 DAYS</v>
      </c>
      <c r="CJ1170" s="137">
        <f t="shared" si="867"/>
        <v>2</v>
      </c>
      <c r="CK1170" s="129" t="str">
        <f t="shared" si="868"/>
        <v>Booked</v>
      </c>
    </row>
    <row r="1171" spans="1:89" ht="15.75" customHeight="1" x14ac:dyDescent="0.25">
      <c r="A1171" s="111">
        <v>1295</v>
      </c>
      <c r="B1171" s="128" t="str">
        <f t="shared" si="848"/>
        <v>N</v>
      </c>
      <c r="C1171" s="128" t="str">
        <f t="shared" si="849"/>
        <v>N</v>
      </c>
      <c r="D1171" s="117">
        <v>1844965</v>
      </c>
      <c r="E1171" s="135">
        <f t="shared" si="850"/>
        <v>5</v>
      </c>
      <c r="F1171" s="124">
        <v>40956</v>
      </c>
      <c r="G1171" s="125">
        <v>41162</v>
      </c>
      <c r="H1171" s="117">
        <v>1844965</v>
      </c>
      <c r="I1171" s="124">
        <v>40956</v>
      </c>
      <c r="J1171" s="124">
        <v>40956</v>
      </c>
      <c r="K1171" s="126">
        <v>5000</v>
      </c>
      <c r="L1171" s="127" t="s">
        <v>569</v>
      </c>
      <c r="M1171" s="125">
        <v>40956</v>
      </c>
      <c r="N1171" s="129" t="str">
        <f>IF(M1171&gt;1/1/1,"Y","N")</f>
        <v>Y</v>
      </c>
      <c r="O1171" s="128" t="s">
        <v>585</v>
      </c>
      <c r="P1171" s="129" t="s">
        <v>39</v>
      </c>
      <c r="Q1171" s="111">
        <f t="shared" si="844"/>
        <v>1</v>
      </c>
      <c r="R1171" s="111">
        <f t="shared" si="876"/>
        <v>207</v>
      </c>
      <c r="S1171" s="129">
        <v>3</v>
      </c>
      <c r="T1171" s="129">
        <v>2</v>
      </c>
      <c r="U1171" s="129">
        <v>1</v>
      </c>
      <c r="W1171" s="111"/>
      <c r="AC1171" s="130"/>
      <c r="AD1171" s="130">
        <v>30483</v>
      </c>
      <c r="AE1171" s="128" t="s">
        <v>32</v>
      </c>
      <c r="AF1171" s="128" t="s">
        <v>33</v>
      </c>
      <c r="AG1171" s="128" t="s">
        <v>872</v>
      </c>
      <c r="AH1171" s="108" t="s">
        <v>58</v>
      </c>
      <c r="AI1171" s="128" t="s">
        <v>70</v>
      </c>
      <c r="AJ1171" s="129" t="s">
        <v>89</v>
      </c>
      <c r="AK1171" s="129">
        <v>10</v>
      </c>
      <c r="AL1171" s="3" t="s">
        <v>992</v>
      </c>
      <c r="AN1171" s="117">
        <v>6</v>
      </c>
      <c r="AP1171" s="129" t="s">
        <v>175</v>
      </c>
      <c r="AR1171" s="128" t="s">
        <v>44</v>
      </c>
      <c r="AS1171" s="129" t="s">
        <v>45</v>
      </c>
      <c r="AT1171" s="3" t="s">
        <v>829</v>
      </c>
      <c r="AU1171" s="129"/>
      <c r="BC1171" s="129" t="s">
        <v>52</v>
      </c>
      <c r="BF1171" s="111">
        <v>1</v>
      </c>
      <c r="BG1171" s="111">
        <f t="shared" si="870"/>
        <v>207</v>
      </c>
      <c r="BH1171" s="111">
        <f t="shared" si="845"/>
        <v>207</v>
      </c>
      <c r="BI1171" s="111">
        <f t="shared" si="846"/>
        <v>28.614754098360656</v>
      </c>
      <c r="BJ1171" s="129">
        <f>(G1171-J1171)+(M1171-G1171)</f>
        <v>0</v>
      </c>
      <c r="BK1171" s="129">
        <f t="shared" si="847"/>
        <v>-206</v>
      </c>
      <c r="BL1171" s="129" t="str">
        <f t="shared" si="831"/>
        <v>CONVICTION</v>
      </c>
      <c r="BM1171" s="129" t="s">
        <v>76</v>
      </c>
      <c r="BN1171" s="129" t="s">
        <v>88</v>
      </c>
      <c r="BP1171" s="137" t="str">
        <f t="shared" si="853"/>
        <v>CONVICTION</v>
      </c>
      <c r="BQ1171" s="128" t="str">
        <f t="shared" si="854"/>
        <v>Y</v>
      </c>
      <c r="BR1171" s="129" t="str">
        <f>IF(J1171&lt;G1171,"ON BOND",0)</f>
        <v>ON BOND</v>
      </c>
      <c r="BS1171" s="129" t="str">
        <f t="shared" si="856"/>
        <v>DISPOSED</v>
      </c>
      <c r="BT1171" s="129" t="str">
        <f t="shared" si="857"/>
        <v>Y</v>
      </c>
      <c r="BU1171" s="109">
        <f t="shared" si="858"/>
        <v>4.830917874396135E-3</v>
      </c>
      <c r="BV1171" s="109">
        <f t="shared" si="859"/>
        <v>4.830917874396135E-3</v>
      </c>
      <c r="BW1171" s="109">
        <f t="shared" si="836"/>
        <v>0</v>
      </c>
      <c r="BX1171" s="111">
        <f t="shared" si="860"/>
        <v>0</v>
      </c>
      <c r="BY1171" s="129">
        <f t="shared" si="861"/>
        <v>-1</v>
      </c>
      <c r="BZ1171" s="111">
        <f t="shared" si="862"/>
        <v>0</v>
      </c>
      <c r="CA1171" s="138">
        <f t="shared" si="863"/>
        <v>1</v>
      </c>
      <c r="CB1171" s="111" t="e">
        <f t="shared" si="871"/>
        <v>#VALUE!</v>
      </c>
      <c r="CD1171" s="129">
        <f t="shared" si="875"/>
        <v>206</v>
      </c>
      <c r="CE1171" s="129">
        <f t="shared" si="864"/>
        <v>206</v>
      </c>
      <c r="CG1171" s="129" t="str">
        <f t="shared" si="865"/>
        <v>Y</v>
      </c>
      <c r="CI1171" s="129" t="str">
        <f t="shared" si="866"/>
        <v>0-10 DAYS</v>
      </c>
      <c r="CJ1171" s="137">
        <f t="shared" si="867"/>
        <v>1</v>
      </c>
      <c r="CK1171" s="129" t="str">
        <f t="shared" si="868"/>
        <v>Booked</v>
      </c>
    </row>
    <row r="1172" spans="1:89" ht="15" customHeight="1" x14ac:dyDescent="0.25">
      <c r="A1172" s="111">
        <v>2564</v>
      </c>
      <c r="B1172" s="128" t="str">
        <f t="shared" si="848"/>
        <v>N</v>
      </c>
      <c r="C1172" s="128" t="str">
        <f t="shared" si="849"/>
        <v>N</v>
      </c>
      <c r="D1172" s="117">
        <v>1846154</v>
      </c>
      <c r="E1172" s="135">
        <f t="shared" si="850"/>
        <v>2</v>
      </c>
      <c r="F1172" s="124">
        <v>41004</v>
      </c>
      <c r="G1172" s="125">
        <v>41089</v>
      </c>
      <c r="H1172" s="117">
        <v>1846154</v>
      </c>
      <c r="I1172" s="124">
        <v>41067</v>
      </c>
      <c r="J1172" s="124">
        <v>41075</v>
      </c>
      <c r="K1172" s="126">
        <v>10000</v>
      </c>
      <c r="L1172" s="127" t="s">
        <v>570</v>
      </c>
      <c r="M1172" s="125">
        <v>41075</v>
      </c>
      <c r="N1172" s="129" t="str">
        <f>IF(M1172&gt;1/1/1,"Y","N")</f>
        <v>Y</v>
      </c>
      <c r="O1172" s="128" t="s">
        <v>76</v>
      </c>
      <c r="P1172" s="129" t="s">
        <v>589</v>
      </c>
      <c r="Q1172" s="111">
        <f t="shared" si="844"/>
        <v>9</v>
      </c>
      <c r="R1172" s="111">
        <f t="shared" si="876"/>
        <v>86</v>
      </c>
      <c r="S1172" s="129">
        <v>0</v>
      </c>
      <c r="T1172" s="129">
        <v>2</v>
      </c>
      <c r="W1172" s="111"/>
      <c r="AC1172" s="130"/>
      <c r="AD1172" s="130">
        <v>29514</v>
      </c>
      <c r="AE1172" s="128" t="s">
        <v>32</v>
      </c>
      <c r="AF1172" s="128" t="s">
        <v>40</v>
      </c>
      <c r="AG1172" s="128" t="s">
        <v>41</v>
      </c>
      <c r="AH1172" s="108" t="s">
        <v>41</v>
      </c>
      <c r="AI1172" s="128" t="s">
        <v>114</v>
      </c>
      <c r="AJ1172" s="129" t="s">
        <v>48</v>
      </c>
      <c r="AK1172" s="129">
        <v>3</v>
      </c>
      <c r="AL1172" s="3" t="s">
        <v>48</v>
      </c>
      <c r="AP1172" s="129" t="s">
        <v>109</v>
      </c>
      <c r="AR1172" s="128" t="s">
        <v>67</v>
      </c>
      <c r="AS1172" s="129" t="s">
        <v>61</v>
      </c>
      <c r="BC1172" s="129" t="s">
        <v>38</v>
      </c>
      <c r="BF1172" s="111">
        <f t="shared" si="869"/>
        <v>9</v>
      </c>
      <c r="BG1172" s="111">
        <f t="shared" si="870"/>
        <v>23</v>
      </c>
      <c r="BH1172" s="111">
        <f t="shared" si="845"/>
        <v>86</v>
      </c>
      <c r="BI1172" s="111">
        <f t="shared" si="846"/>
        <v>31.393442622950818</v>
      </c>
      <c r="BJ1172" s="129">
        <f>(G1172-J1172)+(M1172-G1172)</f>
        <v>0</v>
      </c>
      <c r="BK1172" s="129">
        <f t="shared" si="847"/>
        <v>-14</v>
      </c>
      <c r="BL1172" s="129" t="str">
        <f t="shared" si="831"/>
        <v>DEFERRED</v>
      </c>
      <c r="BM1172" s="129" t="s">
        <v>76</v>
      </c>
      <c r="BN1172" s="129" t="s">
        <v>88</v>
      </c>
      <c r="BP1172" s="137" t="str">
        <f t="shared" si="853"/>
        <v>DEFERRED</v>
      </c>
      <c r="BQ1172" s="128" t="str">
        <f t="shared" si="854"/>
        <v>Y</v>
      </c>
      <c r="BR1172" s="129" t="str">
        <f t="shared" si="855"/>
        <v>ON BOND</v>
      </c>
      <c r="BS1172" s="129" t="str">
        <f t="shared" si="856"/>
        <v>DISPOSED</v>
      </c>
      <c r="BT1172" s="129" t="str">
        <f t="shared" si="857"/>
        <v>N</v>
      </c>
      <c r="BU1172" s="109">
        <f t="shared" si="858"/>
        <v>0.10465116279069768</v>
      </c>
      <c r="BV1172" s="109">
        <f t="shared" si="859"/>
        <v>0.39130434782608697</v>
      </c>
      <c r="BW1172" s="109">
        <f t="shared" si="836"/>
        <v>0.28665318503538928</v>
      </c>
      <c r="BX1172" s="111">
        <f t="shared" si="860"/>
        <v>0</v>
      </c>
      <c r="BY1172" s="129">
        <f t="shared" si="861"/>
        <v>-9</v>
      </c>
      <c r="BZ1172" s="111">
        <f t="shared" si="862"/>
        <v>0</v>
      </c>
      <c r="CA1172" s="138">
        <f t="shared" si="863"/>
        <v>9</v>
      </c>
      <c r="CB1172" s="111" t="e">
        <f t="shared" si="871"/>
        <v>#VALUE!</v>
      </c>
      <c r="CC1172" s="129">
        <f>M1172-I1172+1</f>
        <v>9</v>
      </c>
      <c r="CD1172" s="111">
        <f>CC1172-BF1172</f>
        <v>0</v>
      </c>
      <c r="CE1172" s="129">
        <f t="shared" si="864"/>
        <v>14</v>
      </c>
      <c r="CG1172" s="129" t="str">
        <f t="shared" si="865"/>
        <v>Y</v>
      </c>
      <c r="CI1172" s="129" t="str">
        <f t="shared" si="866"/>
        <v>0-10 DAYS</v>
      </c>
      <c r="CJ1172" s="137">
        <f t="shared" si="867"/>
        <v>1</v>
      </c>
      <c r="CK1172" s="129" t="str">
        <f t="shared" si="868"/>
        <v>Booked</v>
      </c>
    </row>
    <row r="1173" spans="1:89" ht="15" customHeight="1" x14ac:dyDescent="0.25">
      <c r="A1173" s="111">
        <v>610</v>
      </c>
      <c r="B1173" s="128" t="str">
        <f t="shared" si="848"/>
        <v>N</v>
      </c>
      <c r="C1173" s="128" t="str">
        <f t="shared" si="849"/>
        <v>N</v>
      </c>
      <c r="D1173" s="117">
        <v>1846596</v>
      </c>
      <c r="E1173" s="135">
        <f t="shared" si="850"/>
        <v>6</v>
      </c>
      <c r="F1173" s="124">
        <v>40932</v>
      </c>
      <c r="G1173" s="125">
        <v>40982</v>
      </c>
      <c r="H1173" s="117">
        <v>1846596</v>
      </c>
      <c r="I1173" s="124">
        <v>40933</v>
      </c>
      <c r="J1173" s="124">
        <v>40982</v>
      </c>
      <c r="K1173" s="126" t="s">
        <v>564</v>
      </c>
      <c r="L1173" s="127" t="s">
        <v>564</v>
      </c>
      <c r="N1173" s="129" t="s">
        <v>566</v>
      </c>
      <c r="O1173" s="128" t="s">
        <v>917</v>
      </c>
      <c r="P1173" s="129" t="s">
        <v>39</v>
      </c>
      <c r="Q1173" s="111">
        <f t="shared" si="844"/>
        <v>50</v>
      </c>
      <c r="R1173" s="111">
        <f t="shared" si="876"/>
        <v>51</v>
      </c>
      <c r="S1173" s="129">
        <v>4</v>
      </c>
      <c r="T1173" s="129">
        <v>12</v>
      </c>
      <c r="U1173" s="129">
        <v>2</v>
      </c>
      <c r="W1173" s="111"/>
      <c r="AC1173" s="130"/>
      <c r="AD1173" s="130">
        <v>29887</v>
      </c>
      <c r="AE1173" s="128" t="s">
        <v>32</v>
      </c>
      <c r="AF1173" s="128" t="s">
        <v>33</v>
      </c>
      <c r="AG1173" s="128" t="s">
        <v>872</v>
      </c>
      <c r="AH1173" s="108" t="s">
        <v>31</v>
      </c>
      <c r="AI1173" s="128" t="s">
        <v>71</v>
      </c>
      <c r="AJ1173" s="129" t="s">
        <v>89</v>
      </c>
      <c r="AK1173" s="129">
        <v>3</v>
      </c>
      <c r="AL1173" s="3" t="s">
        <v>362</v>
      </c>
      <c r="AM1173" s="117">
        <v>3</v>
      </c>
      <c r="AP1173" s="129" t="s">
        <v>127</v>
      </c>
      <c r="AR1173" s="128" t="s">
        <v>44</v>
      </c>
      <c r="AS1173" s="129" t="s">
        <v>82</v>
      </c>
      <c r="BC1173" s="129" t="s">
        <v>38</v>
      </c>
      <c r="BF1173" s="111">
        <f t="shared" si="869"/>
        <v>50</v>
      </c>
      <c r="BG1173" s="111">
        <f t="shared" si="870"/>
        <v>50</v>
      </c>
      <c r="BH1173" s="111">
        <f t="shared" si="845"/>
        <v>51</v>
      </c>
      <c r="BI1173" s="111">
        <f t="shared" si="846"/>
        <v>30.1775956284153</v>
      </c>
      <c r="BJ1173" s="129">
        <f t="shared" si="851"/>
        <v>0</v>
      </c>
      <c r="BK1173" s="129">
        <f t="shared" si="847"/>
        <v>0</v>
      </c>
      <c r="BL1173" s="129" t="str">
        <f t="shared" si="831"/>
        <v>CONVICTION</v>
      </c>
      <c r="BM1173" s="129" t="str">
        <f t="shared" si="852"/>
        <v>NONE</v>
      </c>
      <c r="BN1173" s="129" t="s">
        <v>566</v>
      </c>
      <c r="BP1173" s="137" t="str">
        <f t="shared" si="853"/>
        <v>CONVICTION</v>
      </c>
      <c r="BQ1173" s="128" t="str">
        <f t="shared" si="854"/>
        <v>Y</v>
      </c>
      <c r="BR1173" s="129" t="str">
        <f t="shared" si="855"/>
        <v>DETAINED</v>
      </c>
      <c r="BS1173" s="129" t="str">
        <f t="shared" si="856"/>
        <v>DISPOSED</v>
      </c>
      <c r="BT1173" s="129" t="str">
        <f t="shared" si="857"/>
        <v>Y</v>
      </c>
      <c r="BU1173" s="109">
        <f t="shared" si="858"/>
        <v>0.98039215686274506</v>
      </c>
      <c r="BV1173" s="109">
        <f t="shared" si="859"/>
        <v>1</v>
      </c>
      <c r="BW1173" s="109">
        <f t="shared" si="836"/>
        <v>1.9607843137254943E-2</v>
      </c>
      <c r="BX1173" s="111">
        <f t="shared" si="860"/>
        <v>0</v>
      </c>
      <c r="BY1173" s="129">
        <f t="shared" si="861"/>
        <v>-50</v>
      </c>
      <c r="BZ1173" s="111">
        <f t="shared" si="862"/>
        <v>0</v>
      </c>
      <c r="CA1173" s="138">
        <f t="shared" si="863"/>
        <v>50</v>
      </c>
      <c r="CB1173" s="111" t="e">
        <f t="shared" si="871"/>
        <v>#VALUE!</v>
      </c>
      <c r="CC1173" s="129">
        <f>G1173-I1173+1</f>
        <v>50</v>
      </c>
      <c r="CD1173" s="129">
        <f>G1173-J1173</f>
        <v>0</v>
      </c>
      <c r="CE1173" s="129">
        <f t="shared" si="864"/>
        <v>0</v>
      </c>
      <c r="CG1173" s="129" t="str">
        <f t="shared" si="865"/>
        <v>Y</v>
      </c>
      <c r="CI1173" s="129" t="str">
        <f t="shared" si="866"/>
        <v>31-60 DAYS</v>
      </c>
      <c r="CJ1173" s="137">
        <f t="shared" si="867"/>
        <v>3</v>
      </c>
      <c r="CK1173" s="129" t="str">
        <f t="shared" si="868"/>
        <v>Booked</v>
      </c>
    </row>
    <row r="1174" spans="1:89" ht="15" customHeight="1" x14ac:dyDescent="0.25">
      <c r="A1174" s="111">
        <v>2445</v>
      </c>
      <c r="B1174" s="128" t="str">
        <f t="shared" si="848"/>
        <v>N</v>
      </c>
      <c r="C1174" s="128" t="str">
        <f t="shared" si="849"/>
        <v>N</v>
      </c>
      <c r="D1174" s="117">
        <v>1846803</v>
      </c>
      <c r="E1174" s="135">
        <f t="shared" si="850"/>
        <v>2</v>
      </c>
      <c r="F1174" s="124">
        <v>41001</v>
      </c>
      <c r="G1174" s="125">
        <v>41099</v>
      </c>
      <c r="H1174" s="117">
        <v>1846803</v>
      </c>
      <c r="I1174" s="124" t="s">
        <v>562</v>
      </c>
      <c r="J1174" s="124" t="s">
        <v>562</v>
      </c>
      <c r="K1174" s="126">
        <v>2000</v>
      </c>
      <c r="L1174" s="127" t="s">
        <v>568</v>
      </c>
      <c r="M1174" s="125">
        <v>41002</v>
      </c>
      <c r="N1174" s="129" t="str">
        <f>IF(M1174&gt;1/1/1,"Y",IF(Q1174="0","","N"))</f>
        <v>Y</v>
      </c>
      <c r="O1174" s="128" t="s">
        <v>76</v>
      </c>
      <c r="P1174" s="129" t="s">
        <v>589</v>
      </c>
      <c r="Q1174" s="111">
        <f t="shared" si="844"/>
        <v>0</v>
      </c>
      <c r="R1174" s="111">
        <f t="shared" si="876"/>
        <v>99</v>
      </c>
      <c r="S1174" s="129">
        <v>0</v>
      </c>
      <c r="T1174" s="129">
        <v>0</v>
      </c>
      <c r="W1174" s="111"/>
      <c r="AC1174" s="130"/>
      <c r="AD1174" s="130">
        <v>19446</v>
      </c>
      <c r="AE1174" s="128" t="s">
        <v>46</v>
      </c>
      <c r="AF1174" s="128" t="s">
        <v>33</v>
      </c>
      <c r="AG1174" s="128" t="s">
        <v>872</v>
      </c>
      <c r="AH1174" s="108" t="s">
        <v>31</v>
      </c>
      <c r="AI1174" s="128" t="s">
        <v>95</v>
      </c>
      <c r="AJ1174" s="129" t="s">
        <v>48</v>
      </c>
      <c r="AK1174" s="129">
        <v>5</v>
      </c>
      <c r="AL1174" s="3" t="s">
        <v>48</v>
      </c>
      <c r="AP1174" s="129" t="s">
        <v>108</v>
      </c>
      <c r="AR1174" s="128" t="s">
        <v>44</v>
      </c>
      <c r="AS1174" s="129" t="s">
        <v>61</v>
      </c>
      <c r="BC1174" s="129" t="s">
        <v>38</v>
      </c>
      <c r="BF1174" s="111">
        <v>0</v>
      </c>
      <c r="BG1174" s="111">
        <v>0</v>
      </c>
      <c r="BH1174" s="111">
        <f t="shared" si="845"/>
        <v>99</v>
      </c>
      <c r="BI1174" s="111">
        <f t="shared" si="846"/>
        <v>58.893442622950822</v>
      </c>
      <c r="BJ1174" s="129" t="e">
        <f>(G1174-J1174)+(M1174-G1174)</f>
        <v>#VALUE!</v>
      </c>
      <c r="BK1174" s="129" t="e">
        <f t="shared" si="847"/>
        <v>#VALUE!</v>
      </c>
      <c r="BL1174" s="129" t="str">
        <f t="shared" si="831"/>
        <v>DEFERRED</v>
      </c>
      <c r="BM1174" s="129" t="s">
        <v>76</v>
      </c>
      <c r="BN1174" s="129" t="s">
        <v>88</v>
      </c>
      <c r="BP1174" s="137" t="str">
        <f t="shared" si="853"/>
        <v>DEFERRED</v>
      </c>
      <c r="BQ1174" s="128">
        <f t="shared" si="854"/>
        <v>0</v>
      </c>
      <c r="BR1174" s="129" t="s">
        <v>575</v>
      </c>
      <c r="BS1174" s="129" t="str">
        <f t="shared" si="856"/>
        <v>DISPOSED</v>
      </c>
      <c r="BT1174" s="129" t="str">
        <f t="shared" si="857"/>
        <v>N</v>
      </c>
      <c r="BU1174" s="109">
        <f t="shared" si="858"/>
        <v>0</v>
      </c>
      <c r="BV1174" s="109">
        <v>0</v>
      </c>
      <c r="BW1174" s="109">
        <f t="shared" si="836"/>
        <v>0</v>
      </c>
      <c r="BX1174" s="111">
        <f t="shared" si="860"/>
        <v>0</v>
      </c>
      <c r="BY1174" s="129" t="e">
        <f t="shared" si="861"/>
        <v>#VALUE!</v>
      </c>
      <c r="BZ1174" s="111" t="e">
        <f t="shared" si="862"/>
        <v>#VALUE!</v>
      </c>
      <c r="CA1174" s="138" t="e">
        <f t="shared" si="863"/>
        <v>#VALUE!</v>
      </c>
      <c r="CB1174" s="111">
        <v>0</v>
      </c>
      <c r="CC1174" s="129">
        <v>0</v>
      </c>
      <c r="CD1174" s="111">
        <f>CC1174-BF1174</f>
        <v>0</v>
      </c>
      <c r="CE1174" s="129" t="e">
        <f t="shared" si="864"/>
        <v>#VALUE!</v>
      </c>
      <c r="CG1174" s="129" t="str">
        <f t="shared" si="865"/>
        <v>N</v>
      </c>
      <c r="CI1174" s="129" t="str">
        <f t="shared" si="866"/>
        <v>0-10 DAYS</v>
      </c>
      <c r="CJ1174" s="137">
        <f t="shared" si="867"/>
        <v>1</v>
      </c>
      <c r="CK1174" s="129" t="str">
        <f t="shared" si="868"/>
        <v>Not Booked</v>
      </c>
    </row>
    <row r="1175" spans="1:89" ht="15.75" customHeight="1" x14ac:dyDescent="0.25">
      <c r="A1175" s="111">
        <v>1639</v>
      </c>
      <c r="B1175" s="128" t="str">
        <f t="shared" si="848"/>
        <v>N</v>
      </c>
      <c r="C1175" s="128" t="str">
        <f t="shared" si="849"/>
        <v>N</v>
      </c>
      <c r="D1175" s="117">
        <v>1847226</v>
      </c>
      <c r="E1175" s="135">
        <f t="shared" si="850"/>
        <v>2</v>
      </c>
      <c r="F1175" s="124">
        <v>40969</v>
      </c>
      <c r="G1175" s="125">
        <v>41032</v>
      </c>
      <c r="H1175" s="117">
        <v>1847226</v>
      </c>
      <c r="I1175" s="124">
        <v>40969</v>
      </c>
      <c r="J1175" s="124">
        <v>41032</v>
      </c>
      <c r="K1175" s="126" t="s">
        <v>564</v>
      </c>
      <c r="L1175" s="127" t="s">
        <v>564</v>
      </c>
      <c r="N1175" s="129" t="s">
        <v>566</v>
      </c>
      <c r="O1175" s="128" t="s">
        <v>917</v>
      </c>
      <c r="P1175" s="129" t="s">
        <v>589</v>
      </c>
      <c r="Q1175" s="111">
        <f t="shared" si="844"/>
        <v>64</v>
      </c>
      <c r="R1175" s="111">
        <f t="shared" si="876"/>
        <v>64</v>
      </c>
      <c r="S1175" s="129">
        <v>2</v>
      </c>
      <c r="T1175" s="129">
        <v>12</v>
      </c>
      <c r="W1175" s="111"/>
      <c r="AC1175" s="130"/>
      <c r="AD1175" s="130">
        <v>30311</v>
      </c>
      <c r="AE1175" s="128" t="s">
        <v>32</v>
      </c>
      <c r="AF1175" s="128" t="s">
        <v>33</v>
      </c>
      <c r="AG1175" s="128" t="s">
        <v>872</v>
      </c>
      <c r="AH1175" s="108" t="s">
        <v>58</v>
      </c>
      <c r="AI1175" s="128" t="s">
        <v>70</v>
      </c>
      <c r="AJ1175" s="129" t="s">
        <v>48</v>
      </c>
      <c r="AK1175" s="129">
        <v>3</v>
      </c>
      <c r="AL1175" s="3" t="s">
        <v>48</v>
      </c>
      <c r="AP1175" s="129" t="s">
        <v>43</v>
      </c>
      <c r="AR1175" s="128" t="s">
        <v>44</v>
      </c>
      <c r="AS1175" s="129" t="s">
        <v>45</v>
      </c>
      <c r="BC1175" s="129" t="s">
        <v>38</v>
      </c>
      <c r="BF1175" s="111">
        <f t="shared" ref="BF1175:BF1182" si="877">IF(J1175&gt;1/1/1900,((J1175+1)-I1175),"STILL OPEN")</f>
        <v>64</v>
      </c>
      <c r="BG1175" s="111">
        <f t="shared" ref="BG1175:BG1182" si="878">IF(G1175&gt;1/1/1900,((G1175+1)-I1175),"STILL OPEN")</f>
        <v>64</v>
      </c>
      <c r="BH1175" s="111">
        <f t="shared" si="845"/>
        <v>64</v>
      </c>
      <c r="BI1175" s="111">
        <f t="shared" si="846"/>
        <v>29.120218579234972</v>
      </c>
      <c r="BJ1175" s="129">
        <f t="shared" si="851"/>
        <v>0</v>
      </c>
      <c r="BK1175" s="129">
        <f t="shared" si="847"/>
        <v>0</v>
      </c>
      <c r="BL1175" s="129" t="str">
        <f t="shared" si="831"/>
        <v>DEFERRED</v>
      </c>
      <c r="BM1175" s="129" t="str">
        <f t="shared" si="852"/>
        <v>NONE</v>
      </c>
      <c r="BN1175" s="129" t="s">
        <v>566</v>
      </c>
      <c r="BP1175" s="137" t="str">
        <f t="shared" si="853"/>
        <v>DEFERRED</v>
      </c>
      <c r="BQ1175" s="128" t="str">
        <f t="shared" si="854"/>
        <v>Y</v>
      </c>
      <c r="BR1175" s="129" t="str">
        <f t="shared" si="855"/>
        <v>DETAINED</v>
      </c>
      <c r="BS1175" s="129" t="str">
        <f t="shared" si="856"/>
        <v>DISPOSED</v>
      </c>
      <c r="BT1175" s="129" t="str">
        <f t="shared" si="857"/>
        <v>Y</v>
      </c>
      <c r="BU1175" s="109">
        <f t="shared" si="858"/>
        <v>1</v>
      </c>
      <c r="BV1175" s="109">
        <f t="shared" si="859"/>
        <v>1</v>
      </c>
      <c r="BW1175" s="109">
        <f t="shared" si="836"/>
        <v>0</v>
      </c>
      <c r="BX1175" s="111">
        <f t="shared" si="860"/>
        <v>0</v>
      </c>
      <c r="BY1175" s="129">
        <f t="shared" si="861"/>
        <v>-64</v>
      </c>
      <c r="BZ1175" s="111">
        <f t="shared" si="862"/>
        <v>0</v>
      </c>
      <c r="CA1175" s="138">
        <f t="shared" si="863"/>
        <v>64</v>
      </c>
      <c r="CB1175" s="111" t="e">
        <f t="shared" ref="CB1175:CB1182" si="879">IF(AF1175&gt;1/1/1900,((AF1175+1)-AE1175),"STILL OPEN")</f>
        <v>#VALUE!</v>
      </c>
      <c r="CC1175" s="129">
        <f>G1175-I1175+1</f>
        <v>64</v>
      </c>
      <c r="CD1175" s="129">
        <f>G1175-J1175</f>
        <v>0</v>
      </c>
      <c r="CE1175" s="129">
        <f t="shared" si="864"/>
        <v>0</v>
      </c>
      <c r="CG1175" s="129" t="str">
        <f t="shared" si="865"/>
        <v>Y</v>
      </c>
      <c r="CI1175" s="129" t="str">
        <f t="shared" si="866"/>
        <v>61-90 DAYS</v>
      </c>
      <c r="CJ1175" s="137">
        <f t="shared" si="867"/>
        <v>4</v>
      </c>
      <c r="CK1175" s="129" t="str">
        <f t="shared" si="868"/>
        <v>Booked</v>
      </c>
    </row>
    <row r="1176" spans="1:89" ht="15.75" customHeight="1" x14ac:dyDescent="0.25">
      <c r="A1176" s="111">
        <v>1386</v>
      </c>
      <c r="B1176" s="128" t="str">
        <f t="shared" si="848"/>
        <v>N</v>
      </c>
      <c r="C1176" s="128" t="str">
        <f t="shared" si="849"/>
        <v>N</v>
      </c>
      <c r="D1176" s="117">
        <v>1847620</v>
      </c>
      <c r="E1176" s="135">
        <f t="shared" si="850"/>
        <v>5</v>
      </c>
      <c r="F1176" s="124">
        <v>40960</v>
      </c>
      <c r="G1176" s="125">
        <v>41003</v>
      </c>
      <c r="H1176" s="117">
        <v>1847620</v>
      </c>
      <c r="I1176" s="124">
        <v>40961</v>
      </c>
      <c r="J1176" s="124">
        <v>41003</v>
      </c>
      <c r="K1176" s="126">
        <v>10000</v>
      </c>
      <c r="L1176" s="127" t="s">
        <v>570</v>
      </c>
      <c r="N1176" s="129" t="str">
        <f t="shared" ref="N1176:N1181" si="880">IF(M1176&gt;1/1/1,"Y","N")</f>
        <v>N</v>
      </c>
      <c r="O1176" s="128" t="s">
        <v>917</v>
      </c>
      <c r="P1176" s="129" t="s">
        <v>39</v>
      </c>
      <c r="Q1176" s="111">
        <f t="shared" si="844"/>
        <v>43</v>
      </c>
      <c r="R1176" s="111">
        <f t="shared" si="876"/>
        <v>44</v>
      </c>
      <c r="S1176" s="129">
        <v>1</v>
      </c>
      <c r="T1176" s="129">
        <v>0</v>
      </c>
      <c r="U1176" s="129">
        <v>1</v>
      </c>
      <c r="W1176" s="111"/>
      <c r="AC1176" s="130"/>
      <c r="AD1176" s="130">
        <v>15607</v>
      </c>
      <c r="AE1176" s="128" t="s">
        <v>32</v>
      </c>
      <c r="AF1176" s="128" t="s">
        <v>40</v>
      </c>
      <c r="AG1176" s="128" t="s">
        <v>41</v>
      </c>
      <c r="AH1176" s="108" t="s">
        <v>41</v>
      </c>
      <c r="AI1176" s="128" t="s">
        <v>97</v>
      </c>
      <c r="AJ1176" s="129" t="s">
        <v>89</v>
      </c>
      <c r="AK1176" s="129">
        <v>6</v>
      </c>
      <c r="AL1176" s="3" t="s">
        <v>992</v>
      </c>
      <c r="AN1176" s="117">
        <v>6</v>
      </c>
      <c r="AP1176" s="129" t="s">
        <v>142</v>
      </c>
      <c r="AR1176" s="128" t="s">
        <v>44</v>
      </c>
      <c r="AS1176" s="129" t="s">
        <v>64</v>
      </c>
      <c r="BC1176" s="129" t="s">
        <v>38</v>
      </c>
      <c r="BF1176" s="111">
        <f t="shared" si="877"/>
        <v>43</v>
      </c>
      <c r="BG1176" s="111">
        <f t="shared" si="878"/>
        <v>43</v>
      </c>
      <c r="BH1176" s="111">
        <f t="shared" si="845"/>
        <v>44</v>
      </c>
      <c r="BI1176" s="111">
        <f t="shared" si="846"/>
        <v>69.270491803278688</v>
      </c>
      <c r="BJ1176" s="129">
        <f t="shared" si="851"/>
        <v>0</v>
      </c>
      <c r="BK1176" s="129">
        <f t="shared" si="847"/>
        <v>0</v>
      </c>
      <c r="BL1176" s="129" t="str">
        <f t="shared" ref="BL1176:BL1239" si="881">IF(OR(AL1176="AQUITTAL",AL1176="DISMISSED",AL1176="FINE",AL1176="NO BILL"),"NO CONVICTION",IF(OR(AL1176="HCJ",AL1176="MHH",AL1176="PROBATION",AL1176="STJ",AL1176="TDC"),"CONVICTION",IF(AL1176="DEFERRED","DEFERRED",0)))</f>
        <v>CONVICTION</v>
      </c>
      <c r="BM1176" s="129" t="str">
        <f t="shared" si="852"/>
        <v>NONE</v>
      </c>
      <c r="BN1176" s="129" t="s">
        <v>566</v>
      </c>
      <c r="BP1176" s="137" t="str">
        <f t="shared" si="853"/>
        <v>CONVICTION</v>
      </c>
      <c r="BQ1176" s="128" t="str">
        <f t="shared" si="854"/>
        <v>Y</v>
      </c>
      <c r="BR1176" s="129" t="str">
        <f t="shared" si="855"/>
        <v>DETAINED</v>
      </c>
      <c r="BS1176" s="129" t="str">
        <f t="shared" si="856"/>
        <v>DISPOSED</v>
      </c>
      <c r="BT1176" s="129" t="str">
        <f t="shared" si="857"/>
        <v>Y</v>
      </c>
      <c r="BU1176" s="109">
        <f t="shared" si="858"/>
        <v>0.97727272727272729</v>
      </c>
      <c r="BV1176" s="109">
        <f t="shared" si="859"/>
        <v>1</v>
      </c>
      <c r="BW1176" s="109">
        <f t="shared" si="836"/>
        <v>2.2727272727272707E-2</v>
      </c>
      <c r="BX1176" s="111">
        <f t="shared" si="860"/>
        <v>0</v>
      </c>
      <c r="BY1176" s="129">
        <f t="shared" si="861"/>
        <v>-43</v>
      </c>
      <c r="BZ1176" s="111">
        <f t="shared" si="862"/>
        <v>0</v>
      </c>
      <c r="CA1176" s="138">
        <f t="shared" si="863"/>
        <v>43</v>
      </c>
      <c r="CB1176" s="111" t="e">
        <f t="shared" si="879"/>
        <v>#VALUE!</v>
      </c>
      <c r="CC1176" s="129">
        <f>G1176-I1176+1</f>
        <v>43</v>
      </c>
      <c r="CD1176" s="129">
        <f>G1176-J1176</f>
        <v>0</v>
      </c>
      <c r="CE1176" s="129">
        <f t="shared" si="864"/>
        <v>0</v>
      </c>
      <c r="CG1176" s="129" t="str">
        <f t="shared" si="865"/>
        <v>Y</v>
      </c>
      <c r="CI1176" s="129" t="str">
        <f t="shared" si="866"/>
        <v>31-60 DAYS</v>
      </c>
      <c r="CJ1176" s="137">
        <f t="shared" si="867"/>
        <v>3</v>
      </c>
      <c r="CK1176" s="129" t="str">
        <f t="shared" si="868"/>
        <v>Booked</v>
      </c>
    </row>
    <row r="1177" spans="1:89" ht="15" customHeight="1" x14ac:dyDescent="0.25">
      <c r="A1177" s="111">
        <v>2769</v>
      </c>
      <c r="B1177" s="128" t="str">
        <f t="shared" si="848"/>
        <v>N</v>
      </c>
      <c r="C1177" s="128" t="str">
        <f t="shared" si="849"/>
        <v>N</v>
      </c>
      <c r="D1177" s="117">
        <v>1848375</v>
      </c>
      <c r="E1177" s="135">
        <f t="shared" si="850"/>
        <v>1</v>
      </c>
      <c r="F1177" s="124">
        <v>41011</v>
      </c>
      <c r="G1177" s="125">
        <v>41289</v>
      </c>
      <c r="H1177" s="117">
        <v>1848375</v>
      </c>
      <c r="I1177" s="124">
        <v>41074</v>
      </c>
      <c r="J1177" s="125">
        <v>41289</v>
      </c>
      <c r="K1177" s="126">
        <v>5000</v>
      </c>
      <c r="L1177" s="127" t="s">
        <v>569</v>
      </c>
      <c r="N1177" s="129" t="str">
        <f t="shared" si="880"/>
        <v>N</v>
      </c>
      <c r="O1177" s="128" t="s">
        <v>917</v>
      </c>
      <c r="P1177" s="129" t="s">
        <v>55</v>
      </c>
      <c r="Q1177" s="111">
        <f t="shared" si="844"/>
        <v>216</v>
      </c>
      <c r="R1177" s="111">
        <f t="shared" si="876"/>
        <v>279</v>
      </c>
      <c r="S1177" s="129">
        <v>0</v>
      </c>
      <c r="T1177" s="129">
        <v>1</v>
      </c>
      <c r="W1177" s="111"/>
      <c r="AC1177" s="130"/>
      <c r="AD1177" s="130">
        <v>30442</v>
      </c>
      <c r="AE1177" s="128" t="s">
        <v>32</v>
      </c>
      <c r="AF1177" s="128" t="s">
        <v>33</v>
      </c>
      <c r="AG1177" s="128" t="s">
        <v>872</v>
      </c>
      <c r="AH1177" s="108" t="s">
        <v>58</v>
      </c>
      <c r="AI1177" s="128" t="s">
        <v>47</v>
      </c>
      <c r="AJ1177" s="129" t="s">
        <v>55</v>
      </c>
      <c r="AK1177" s="129">
        <v>10</v>
      </c>
      <c r="AL1177" s="3" t="s">
        <v>55</v>
      </c>
      <c r="AP1177" s="129" t="s">
        <v>101</v>
      </c>
      <c r="AR1177" s="128" t="s">
        <v>67</v>
      </c>
      <c r="AS1177" s="129" t="s">
        <v>64</v>
      </c>
      <c r="AT1177" s="129" t="s">
        <v>658</v>
      </c>
      <c r="BC1177" s="129" t="s">
        <v>38</v>
      </c>
      <c r="BF1177" s="111">
        <f t="shared" si="877"/>
        <v>216</v>
      </c>
      <c r="BG1177" s="111">
        <f t="shared" si="878"/>
        <v>216</v>
      </c>
      <c r="BH1177" s="111">
        <f t="shared" si="845"/>
        <v>279</v>
      </c>
      <c r="BI1177" s="111">
        <f t="shared" si="846"/>
        <v>28.877049180327869</v>
      </c>
      <c r="BJ1177" s="129">
        <f t="shared" si="851"/>
        <v>0</v>
      </c>
      <c r="BK1177" s="129">
        <f t="shared" si="847"/>
        <v>0</v>
      </c>
      <c r="BL1177" s="129" t="str">
        <f t="shared" si="881"/>
        <v>NO CONVICTION</v>
      </c>
      <c r="BM1177" s="129" t="str">
        <f t="shared" si="852"/>
        <v>NONE</v>
      </c>
      <c r="BN1177" s="129" t="s">
        <v>566</v>
      </c>
      <c r="BP1177" s="137" t="str">
        <f t="shared" si="853"/>
        <v>NO CONVICTION</v>
      </c>
      <c r="BQ1177" s="128" t="str">
        <f t="shared" si="854"/>
        <v>Y</v>
      </c>
      <c r="BR1177" s="129" t="str">
        <f t="shared" si="855"/>
        <v>DETAINED</v>
      </c>
      <c r="BS1177" s="129" t="str">
        <f t="shared" si="856"/>
        <v>DISPOSED</v>
      </c>
      <c r="BT1177" s="129" t="str">
        <f t="shared" si="857"/>
        <v>N</v>
      </c>
      <c r="BU1177" s="109">
        <f>IFERROR(Q1177/R1177,BR1177)</f>
        <v>0.77419354838709675</v>
      </c>
      <c r="BV1177" s="109">
        <f t="shared" si="859"/>
        <v>1</v>
      </c>
      <c r="BW1177" s="109">
        <f t="shared" si="836"/>
        <v>0.22580645161290325</v>
      </c>
      <c r="BX1177" s="111">
        <f t="shared" si="860"/>
        <v>0</v>
      </c>
      <c r="BY1177" s="129">
        <f t="shared" si="861"/>
        <v>-216</v>
      </c>
      <c r="BZ1177" s="111">
        <f t="shared" si="862"/>
        <v>0</v>
      </c>
      <c r="CA1177" s="138">
        <f t="shared" si="863"/>
        <v>216</v>
      </c>
      <c r="CB1177" s="111" t="e">
        <f t="shared" si="879"/>
        <v>#VALUE!</v>
      </c>
      <c r="CC1177" s="129">
        <f>G1177-I1177+1</f>
        <v>216</v>
      </c>
      <c r="CD1177" s="129">
        <f>G1177-J1177</f>
        <v>0</v>
      </c>
      <c r="CE1177" s="129">
        <f t="shared" si="864"/>
        <v>0</v>
      </c>
      <c r="CG1177" s="129" t="str">
        <f t="shared" si="865"/>
        <v>Y</v>
      </c>
      <c r="CI1177" s="129" t="str">
        <f t="shared" si="866"/>
        <v>121-365 DAYS</v>
      </c>
      <c r="CJ1177" s="137">
        <f t="shared" si="867"/>
        <v>6</v>
      </c>
      <c r="CK1177" s="129" t="str">
        <f t="shared" si="868"/>
        <v>Booked</v>
      </c>
    </row>
    <row r="1178" spans="1:89" ht="15.75" customHeight="1" x14ac:dyDescent="0.25">
      <c r="A1178" s="111">
        <v>2025</v>
      </c>
      <c r="B1178" s="128" t="str">
        <f t="shared" si="848"/>
        <v>N</v>
      </c>
      <c r="C1178" s="128" t="str">
        <f t="shared" si="849"/>
        <v>N</v>
      </c>
      <c r="D1178" s="117">
        <v>1848381</v>
      </c>
      <c r="E1178" s="135">
        <f t="shared" si="850"/>
        <v>6</v>
      </c>
      <c r="F1178" s="124">
        <v>40985</v>
      </c>
      <c r="G1178" s="125">
        <v>41060</v>
      </c>
      <c r="H1178" s="117">
        <v>1848381</v>
      </c>
      <c r="I1178" s="124">
        <v>40985</v>
      </c>
      <c r="J1178" s="124">
        <v>41060</v>
      </c>
      <c r="K1178" s="126">
        <v>30000</v>
      </c>
      <c r="L1178" s="129" t="s">
        <v>572</v>
      </c>
      <c r="N1178" s="129" t="str">
        <f t="shared" si="880"/>
        <v>N</v>
      </c>
      <c r="O1178" s="128" t="s">
        <v>917</v>
      </c>
      <c r="P1178" s="129" t="s">
        <v>39</v>
      </c>
      <c r="Q1178" s="111">
        <f t="shared" si="844"/>
        <v>76</v>
      </c>
      <c r="R1178" s="111">
        <f t="shared" si="876"/>
        <v>76</v>
      </c>
      <c r="S1178" s="129">
        <v>3</v>
      </c>
      <c r="T1178" s="129">
        <v>6</v>
      </c>
      <c r="U1178" s="129">
        <v>2</v>
      </c>
      <c r="W1178" s="111"/>
      <c r="AC1178" s="130"/>
      <c r="AD1178" s="130">
        <v>30551</v>
      </c>
      <c r="AE1178" s="128" t="s">
        <v>32</v>
      </c>
      <c r="AF1178" s="128" t="s">
        <v>40</v>
      </c>
      <c r="AG1178" s="128" t="s">
        <v>41</v>
      </c>
      <c r="AH1178" s="108" t="s">
        <v>41</v>
      </c>
      <c r="AI1178" s="128" t="s">
        <v>85</v>
      </c>
      <c r="AJ1178" s="129" t="s">
        <v>89</v>
      </c>
      <c r="AK1178" s="129">
        <v>4</v>
      </c>
      <c r="AL1178" s="3" t="s">
        <v>362</v>
      </c>
      <c r="AM1178" s="117">
        <v>5</v>
      </c>
      <c r="AP1178" s="129" t="s">
        <v>143</v>
      </c>
      <c r="AR1178" s="128" t="s">
        <v>50</v>
      </c>
      <c r="AS1178" s="129" t="s">
        <v>82</v>
      </c>
      <c r="BC1178" s="129" t="s">
        <v>99</v>
      </c>
      <c r="BF1178" s="111">
        <f t="shared" si="877"/>
        <v>76</v>
      </c>
      <c r="BG1178" s="111">
        <f t="shared" si="878"/>
        <v>76</v>
      </c>
      <c r="BH1178" s="111">
        <f t="shared" si="845"/>
        <v>76</v>
      </c>
      <c r="BI1178" s="111">
        <f t="shared" si="846"/>
        <v>28.508196721311474</v>
      </c>
      <c r="BJ1178" s="129">
        <f t="shared" si="851"/>
        <v>0</v>
      </c>
      <c r="BK1178" s="129">
        <f t="shared" si="847"/>
        <v>0</v>
      </c>
      <c r="BL1178" s="129" t="str">
        <f t="shared" si="881"/>
        <v>CONVICTION</v>
      </c>
      <c r="BM1178" s="129" t="str">
        <f t="shared" si="852"/>
        <v>NONE</v>
      </c>
      <c r="BN1178" s="129" t="s">
        <v>566</v>
      </c>
      <c r="BP1178" s="137" t="str">
        <f t="shared" si="853"/>
        <v>CONVICTION</v>
      </c>
      <c r="BQ1178" s="128" t="str">
        <f t="shared" si="854"/>
        <v>Y</v>
      </c>
      <c r="BR1178" s="129" t="str">
        <f t="shared" si="855"/>
        <v>DETAINED</v>
      </c>
      <c r="BS1178" s="129" t="str">
        <f t="shared" si="856"/>
        <v>DISPOSED</v>
      </c>
      <c r="BT1178" s="129" t="str">
        <f t="shared" si="857"/>
        <v>Y</v>
      </c>
      <c r="BU1178" s="109">
        <f t="shared" si="858"/>
        <v>1</v>
      </c>
      <c r="BV1178" s="109">
        <f t="shared" si="859"/>
        <v>1</v>
      </c>
      <c r="BW1178" s="109">
        <f t="shared" si="836"/>
        <v>0</v>
      </c>
      <c r="BX1178" s="111">
        <f t="shared" si="860"/>
        <v>0</v>
      </c>
      <c r="BY1178" s="129">
        <f t="shared" si="861"/>
        <v>-76</v>
      </c>
      <c r="BZ1178" s="111">
        <f t="shared" si="862"/>
        <v>0</v>
      </c>
      <c r="CA1178" s="138">
        <f t="shared" si="863"/>
        <v>76</v>
      </c>
      <c r="CB1178" s="111" t="e">
        <f t="shared" si="879"/>
        <v>#VALUE!</v>
      </c>
      <c r="CC1178" s="129">
        <f>G1178-I1178+1</f>
        <v>76</v>
      </c>
      <c r="CD1178" s="129">
        <f>G1178-J1178</f>
        <v>0</v>
      </c>
      <c r="CE1178" s="129">
        <f t="shared" si="864"/>
        <v>0</v>
      </c>
      <c r="CG1178" s="129" t="str">
        <f t="shared" si="865"/>
        <v>Y</v>
      </c>
      <c r="CI1178" s="129" t="str">
        <f t="shared" si="866"/>
        <v>61-90 DAYS</v>
      </c>
      <c r="CJ1178" s="137">
        <f t="shared" si="867"/>
        <v>4</v>
      </c>
      <c r="CK1178" s="129" t="str">
        <f t="shared" si="868"/>
        <v>Booked</v>
      </c>
    </row>
    <row r="1179" spans="1:89" ht="15" customHeight="1" x14ac:dyDescent="0.25">
      <c r="A1179" s="111">
        <v>1961</v>
      </c>
      <c r="B1179" s="128" t="str">
        <f t="shared" si="848"/>
        <v>N</v>
      </c>
      <c r="C1179" s="128" t="str">
        <f t="shared" si="849"/>
        <v>N</v>
      </c>
      <c r="D1179" s="117">
        <v>1850395</v>
      </c>
      <c r="E1179" s="135">
        <f t="shared" si="850"/>
        <v>2</v>
      </c>
      <c r="F1179" s="124">
        <v>40984</v>
      </c>
      <c r="G1179" s="125">
        <v>41177</v>
      </c>
      <c r="H1179" s="117">
        <v>1850395</v>
      </c>
      <c r="I1179" s="124">
        <v>40990</v>
      </c>
      <c r="J1179" s="124">
        <v>41177</v>
      </c>
      <c r="K1179" s="126">
        <v>30000</v>
      </c>
      <c r="L1179" s="129" t="s">
        <v>572</v>
      </c>
      <c r="N1179" s="129" t="str">
        <f t="shared" si="880"/>
        <v>N</v>
      </c>
      <c r="O1179" s="128" t="s">
        <v>917</v>
      </c>
      <c r="P1179" s="129" t="s">
        <v>589</v>
      </c>
      <c r="Q1179" s="111">
        <f t="shared" si="844"/>
        <v>188</v>
      </c>
      <c r="R1179" s="111">
        <f t="shared" si="876"/>
        <v>194</v>
      </c>
      <c r="S1179" s="129">
        <v>8</v>
      </c>
      <c r="T1179" s="129">
        <v>7</v>
      </c>
      <c r="U1179" s="129">
        <v>6</v>
      </c>
      <c r="W1179" s="111"/>
      <c r="AC1179" s="130"/>
      <c r="AD1179" s="130">
        <v>30757</v>
      </c>
      <c r="AE1179" s="128" t="s">
        <v>32</v>
      </c>
      <c r="AF1179" s="128" t="s">
        <v>33</v>
      </c>
      <c r="AG1179" s="128" t="s">
        <v>872</v>
      </c>
      <c r="AH1179" s="108" t="s">
        <v>58</v>
      </c>
      <c r="AI1179" s="128" t="s">
        <v>80</v>
      </c>
      <c r="AJ1179" s="129" t="s">
        <v>48</v>
      </c>
      <c r="AK1179" s="129">
        <v>9</v>
      </c>
      <c r="AL1179" s="3" t="s">
        <v>48</v>
      </c>
      <c r="AP1179" s="129" t="s">
        <v>125</v>
      </c>
      <c r="AR1179" s="128" t="s">
        <v>50</v>
      </c>
      <c r="AS1179" s="129" t="s">
        <v>126</v>
      </c>
      <c r="BC1179" s="129" t="s">
        <v>38</v>
      </c>
      <c r="BF1179" s="111">
        <f t="shared" si="877"/>
        <v>188</v>
      </c>
      <c r="BG1179" s="111">
        <f t="shared" si="878"/>
        <v>188</v>
      </c>
      <c r="BH1179" s="111">
        <f t="shared" si="845"/>
        <v>194</v>
      </c>
      <c r="BI1179" s="111">
        <f t="shared" si="846"/>
        <v>27.942622950819672</v>
      </c>
      <c r="BJ1179" s="129">
        <f t="shared" si="851"/>
        <v>0</v>
      </c>
      <c r="BK1179" s="129">
        <f t="shared" si="847"/>
        <v>0</v>
      </c>
      <c r="BL1179" s="129" t="str">
        <f t="shared" si="881"/>
        <v>DEFERRED</v>
      </c>
      <c r="BM1179" s="129" t="str">
        <f t="shared" si="852"/>
        <v>NONE</v>
      </c>
      <c r="BN1179" s="129" t="s">
        <v>566</v>
      </c>
      <c r="BP1179" s="137" t="str">
        <f t="shared" si="853"/>
        <v>DEFERRED</v>
      </c>
      <c r="BQ1179" s="128" t="str">
        <f t="shared" si="854"/>
        <v>Y</v>
      </c>
      <c r="BR1179" s="129" t="str">
        <f t="shared" si="855"/>
        <v>DETAINED</v>
      </c>
      <c r="BS1179" s="129" t="str">
        <f t="shared" si="856"/>
        <v>DISPOSED</v>
      </c>
      <c r="BT1179" s="129" t="str">
        <f t="shared" si="857"/>
        <v>Y</v>
      </c>
      <c r="BU1179" s="109">
        <f t="shared" si="858"/>
        <v>0.96907216494845361</v>
      </c>
      <c r="BV1179" s="109">
        <f t="shared" si="859"/>
        <v>1</v>
      </c>
      <c r="BW1179" s="109">
        <f t="shared" si="836"/>
        <v>3.0927835051546393E-2</v>
      </c>
      <c r="BX1179" s="111">
        <f t="shared" si="860"/>
        <v>0</v>
      </c>
      <c r="BY1179" s="129">
        <f t="shared" si="861"/>
        <v>-188</v>
      </c>
      <c r="BZ1179" s="111">
        <f t="shared" si="862"/>
        <v>0</v>
      </c>
      <c r="CA1179" s="138">
        <f t="shared" si="863"/>
        <v>188</v>
      </c>
      <c r="CB1179" s="111" t="e">
        <f t="shared" si="879"/>
        <v>#VALUE!</v>
      </c>
      <c r="CC1179" s="129">
        <f>G1179-I1179+1</f>
        <v>188</v>
      </c>
      <c r="CD1179" s="129">
        <f>G1179-J1179</f>
        <v>0</v>
      </c>
      <c r="CE1179" s="129">
        <f t="shared" si="864"/>
        <v>0</v>
      </c>
      <c r="CG1179" s="129" t="str">
        <f t="shared" si="865"/>
        <v>Y</v>
      </c>
      <c r="CI1179" s="129" t="str">
        <f t="shared" si="866"/>
        <v>121-365 DAYS</v>
      </c>
      <c r="CJ1179" s="137">
        <f t="shared" si="867"/>
        <v>6</v>
      </c>
      <c r="CK1179" s="129" t="str">
        <f t="shared" si="868"/>
        <v>Booked</v>
      </c>
    </row>
    <row r="1180" spans="1:89" ht="15" customHeight="1" x14ac:dyDescent="0.25">
      <c r="A1180" s="111">
        <v>1812</v>
      </c>
      <c r="B1180" s="128" t="str">
        <f t="shared" si="848"/>
        <v>N</v>
      </c>
      <c r="C1180" s="128" t="str">
        <f t="shared" si="849"/>
        <v>N</v>
      </c>
      <c r="D1180" s="117">
        <v>1850494</v>
      </c>
      <c r="E1180" s="135">
        <f t="shared" si="850"/>
        <v>2</v>
      </c>
      <c r="F1180" s="124">
        <v>40976</v>
      </c>
      <c r="G1180" s="125">
        <v>41668</v>
      </c>
      <c r="H1180" s="117">
        <v>1850494</v>
      </c>
      <c r="I1180" s="124">
        <v>40991</v>
      </c>
      <c r="J1180" s="124">
        <v>41065</v>
      </c>
      <c r="K1180" s="126">
        <v>30000</v>
      </c>
      <c r="L1180" s="129" t="s">
        <v>572</v>
      </c>
      <c r="M1180" s="125">
        <v>41065</v>
      </c>
      <c r="N1180" s="129" t="str">
        <f t="shared" si="880"/>
        <v>Y</v>
      </c>
      <c r="O1180" s="128" t="s">
        <v>54</v>
      </c>
      <c r="P1180" s="129" t="s">
        <v>589</v>
      </c>
      <c r="Q1180" s="111">
        <v>74</v>
      </c>
      <c r="R1180" s="111">
        <f t="shared" si="876"/>
        <v>693</v>
      </c>
      <c r="S1180" s="129">
        <v>1</v>
      </c>
      <c r="T1180" s="129">
        <v>5</v>
      </c>
      <c r="U1180" s="129">
        <v>1</v>
      </c>
      <c r="W1180" s="111"/>
      <c r="AC1180" s="130"/>
      <c r="AD1180" s="130">
        <v>19965</v>
      </c>
      <c r="AE1180" s="128" t="s">
        <v>32</v>
      </c>
      <c r="AF1180" s="128" t="s">
        <v>33</v>
      </c>
      <c r="AG1180" s="128" t="s">
        <v>872</v>
      </c>
      <c r="AH1180" s="108" t="s">
        <v>31</v>
      </c>
      <c r="AI1180" s="128" t="s">
        <v>62</v>
      </c>
      <c r="AJ1180" s="129" t="s">
        <v>48</v>
      </c>
      <c r="AK1180" s="129">
        <v>18</v>
      </c>
      <c r="AL1180" s="3" t="s">
        <v>48</v>
      </c>
      <c r="AP1180" s="129" t="s">
        <v>110</v>
      </c>
      <c r="AR1180" s="128" t="s">
        <v>50</v>
      </c>
      <c r="AS1180" s="129" t="s">
        <v>74</v>
      </c>
      <c r="AX1180" s="32"/>
      <c r="BC1180" s="129" t="s">
        <v>38</v>
      </c>
      <c r="BF1180" s="111">
        <v>74</v>
      </c>
      <c r="BG1180" s="111">
        <f t="shared" si="878"/>
        <v>678</v>
      </c>
      <c r="BH1180" s="111">
        <f t="shared" si="845"/>
        <v>693</v>
      </c>
      <c r="BI1180" s="111">
        <f t="shared" si="846"/>
        <v>57.407103825136609</v>
      </c>
      <c r="BJ1180" s="129">
        <f>(G1180-J1180)+(M1180-G1180)</f>
        <v>0</v>
      </c>
      <c r="BK1180" s="129">
        <f t="shared" si="847"/>
        <v>-603</v>
      </c>
      <c r="BL1180" s="129" t="str">
        <f t="shared" si="881"/>
        <v>DEFERRED</v>
      </c>
      <c r="BM1180" s="129" t="s">
        <v>160</v>
      </c>
      <c r="BN1180" s="129" t="s">
        <v>88</v>
      </c>
      <c r="BP1180" s="137" t="str">
        <f t="shared" si="853"/>
        <v>DEFERRED</v>
      </c>
      <c r="BQ1180" s="128" t="str">
        <f t="shared" si="854"/>
        <v>Y</v>
      </c>
      <c r="BR1180" s="129" t="str">
        <f t="shared" si="855"/>
        <v>ON BOND</v>
      </c>
      <c r="BS1180" s="129" t="s">
        <v>1259</v>
      </c>
      <c r="BT1180" s="129" t="str">
        <f t="shared" si="857"/>
        <v>Y</v>
      </c>
      <c r="BU1180" s="109">
        <f>IFERROR(Q1180/R1180,BR1180)</f>
        <v>0.10678210678210678</v>
      </c>
      <c r="BV1180" s="139">
        <v>0.1081</v>
      </c>
      <c r="BW1180" s="109">
        <v>0</v>
      </c>
      <c r="BX1180" s="111">
        <f t="shared" si="860"/>
        <v>0</v>
      </c>
      <c r="BY1180" s="129">
        <f t="shared" si="861"/>
        <v>-75</v>
      </c>
      <c r="BZ1180" s="111">
        <f t="shared" si="862"/>
        <v>-1</v>
      </c>
      <c r="CA1180" s="138">
        <f t="shared" si="863"/>
        <v>75</v>
      </c>
      <c r="CB1180" s="111" t="e">
        <v>#VALUE!</v>
      </c>
      <c r="CC1180" s="129">
        <v>74</v>
      </c>
      <c r="CE1180" s="129">
        <f t="shared" si="864"/>
        <v>603</v>
      </c>
      <c r="CG1180" s="129" t="str">
        <f t="shared" si="865"/>
        <v>Y</v>
      </c>
      <c r="CH1180" s="129" t="e">
        <v>#N/A</v>
      </c>
      <c r="CI1180" s="129" t="str">
        <f t="shared" si="866"/>
        <v>61-90 DAYS</v>
      </c>
      <c r="CJ1180" s="137">
        <f t="shared" si="867"/>
        <v>4</v>
      </c>
      <c r="CK1180" s="129" t="str">
        <f t="shared" si="868"/>
        <v>Booked</v>
      </c>
    </row>
    <row r="1181" spans="1:89" ht="15.75" customHeight="1" x14ac:dyDescent="0.25">
      <c r="A1181" s="111">
        <v>2649</v>
      </c>
      <c r="B1181" s="128" t="str">
        <f t="shared" si="848"/>
        <v>N</v>
      </c>
      <c r="C1181" s="128" t="str">
        <f t="shared" si="849"/>
        <v>N</v>
      </c>
      <c r="D1181" s="117">
        <v>1850630</v>
      </c>
      <c r="E1181" s="135">
        <f t="shared" si="850"/>
        <v>6</v>
      </c>
      <c r="F1181" s="124">
        <v>41007</v>
      </c>
      <c r="G1181" s="125">
        <v>41138</v>
      </c>
      <c r="H1181" s="117">
        <v>1850630</v>
      </c>
      <c r="I1181" s="124">
        <v>41008</v>
      </c>
      <c r="J1181" s="124">
        <v>41138</v>
      </c>
      <c r="K1181" s="126">
        <v>35000</v>
      </c>
      <c r="L1181" s="129" t="s">
        <v>572</v>
      </c>
      <c r="N1181" s="129" t="str">
        <f t="shared" si="880"/>
        <v>N</v>
      </c>
      <c r="O1181" s="128" t="s">
        <v>917</v>
      </c>
      <c r="P1181" s="129" t="s">
        <v>39</v>
      </c>
      <c r="Q1181" s="111">
        <f t="shared" si="844"/>
        <v>131</v>
      </c>
      <c r="R1181" s="111">
        <f t="shared" si="876"/>
        <v>132</v>
      </c>
      <c r="S1181" s="129">
        <v>0</v>
      </c>
      <c r="T1181" s="129">
        <v>3</v>
      </c>
      <c r="W1181" s="111"/>
      <c r="AC1181" s="130"/>
      <c r="AD1181" s="130">
        <v>28139</v>
      </c>
      <c r="AE1181" s="128" t="s">
        <v>32</v>
      </c>
      <c r="AF1181" s="128" t="s">
        <v>40</v>
      </c>
      <c r="AG1181" s="128" t="s">
        <v>41</v>
      </c>
      <c r="AH1181" s="108" t="s">
        <v>41</v>
      </c>
      <c r="AI1181" s="128" t="s">
        <v>118</v>
      </c>
      <c r="AJ1181" s="129" t="s">
        <v>89</v>
      </c>
      <c r="AK1181" s="129">
        <v>4</v>
      </c>
      <c r="AL1181" s="3" t="s">
        <v>362</v>
      </c>
      <c r="AM1181" s="117">
        <v>2</v>
      </c>
      <c r="AP1181" s="129" t="s">
        <v>66</v>
      </c>
      <c r="AR1181" s="128" t="s">
        <v>67</v>
      </c>
      <c r="AS1181" s="129" t="s">
        <v>68</v>
      </c>
      <c r="BC1181" s="129" t="s">
        <v>38</v>
      </c>
      <c r="BF1181" s="111">
        <f t="shared" si="877"/>
        <v>131</v>
      </c>
      <c r="BG1181" s="111">
        <f t="shared" si="878"/>
        <v>131</v>
      </c>
      <c r="BH1181" s="111">
        <f t="shared" si="845"/>
        <v>132</v>
      </c>
      <c r="BI1181" s="111">
        <f t="shared" si="846"/>
        <v>35.158469945355193</v>
      </c>
      <c r="BJ1181" s="129">
        <f t="shared" si="851"/>
        <v>0</v>
      </c>
      <c r="BK1181" s="129">
        <f t="shared" si="847"/>
        <v>0</v>
      </c>
      <c r="BL1181" s="129" t="str">
        <f t="shared" si="881"/>
        <v>CONVICTION</v>
      </c>
      <c r="BM1181" s="129" t="str">
        <f t="shared" si="852"/>
        <v>NONE</v>
      </c>
      <c r="BN1181" s="129" t="s">
        <v>566</v>
      </c>
      <c r="BP1181" s="137" t="str">
        <f t="shared" si="853"/>
        <v>CONVICTION</v>
      </c>
      <c r="BQ1181" s="128" t="str">
        <f t="shared" si="854"/>
        <v>Y</v>
      </c>
      <c r="BR1181" s="129" t="str">
        <f t="shared" si="855"/>
        <v>DETAINED</v>
      </c>
      <c r="BS1181" s="129" t="str">
        <f t="shared" si="856"/>
        <v>DISPOSED</v>
      </c>
      <c r="BT1181" s="129" t="str">
        <f t="shared" si="857"/>
        <v>N</v>
      </c>
      <c r="BU1181" s="109">
        <f t="shared" si="858"/>
        <v>0.99242424242424243</v>
      </c>
      <c r="BV1181" s="109">
        <f t="shared" si="859"/>
        <v>1</v>
      </c>
      <c r="BW1181" s="109">
        <f t="shared" ref="BW1181:BW1199" si="882">BV1181-BU1181</f>
        <v>7.575757575757569E-3</v>
      </c>
      <c r="BX1181" s="111">
        <f t="shared" si="860"/>
        <v>0</v>
      </c>
      <c r="BY1181" s="129">
        <f t="shared" si="861"/>
        <v>-131</v>
      </c>
      <c r="BZ1181" s="111">
        <f t="shared" si="862"/>
        <v>0</v>
      </c>
      <c r="CA1181" s="138">
        <f t="shared" si="863"/>
        <v>131</v>
      </c>
      <c r="CB1181" s="111" t="e">
        <f t="shared" si="879"/>
        <v>#VALUE!</v>
      </c>
      <c r="CC1181" s="129">
        <f>G1181-I1181+1</f>
        <v>131</v>
      </c>
      <c r="CD1181" s="129">
        <f>G1181-J1181</f>
        <v>0</v>
      </c>
      <c r="CE1181" s="129">
        <f t="shared" si="864"/>
        <v>0</v>
      </c>
      <c r="CG1181" s="129" t="str">
        <f t="shared" si="865"/>
        <v>Y</v>
      </c>
      <c r="CI1181" s="129" t="str">
        <f t="shared" si="866"/>
        <v>121-365 DAYS</v>
      </c>
      <c r="CJ1181" s="137">
        <f t="shared" si="867"/>
        <v>6</v>
      </c>
      <c r="CK1181" s="129" t="str">
        <f t="shared" si="868"/>
        <v>Booked</v>
      </c>
    </row>
    <row r="1182" spans="1:89" ht="15" customHeight="1" x14ac:dyDescent="0.25">
      <c r="A1182" s="111">
        <v>671</v>
      </c>
      <c r="B1182" s="128" t="str">
        <f t="shared" si="848"/>
        <v>N</v>
      </c>
      <c r="C1182" s="128" t="str">
        <f t="shared" si="849"/>
        <v>N</v>
      </c>
      <c r="D1182" s="117">
        <v>1850914</v>
      </c>
      <c r="E1182" s="135">
        <f t="shared" si="850"/>
        <v>6</v>
      </c>
      <c r="F1182" s="124">
        <v>40936</v>
      </c>
      <c r="G1182" s="125">
        <v>41022</v>
      </c>
      <c r="H1182" s="117">
        <v>1850914</v>
      </c>
      <c r="I1182" s="124">
        <v>40936</v>
      </c>
      <c r="J1182" s="124">
        <v>41022</v>
      </c>
      <c r="K1182" s="126" t="s">
        <v>564</v>
      </c>
      <c r="L1182" s="127" t="s">
        <v>564</v>
      </c>
      <c r="N1182" s="129" t="s">
        <v>566</v>
      </c>
      <c r="O1182" s="128" t="s">
        <v>917</v>
      </c>
      <c r="P1182" s="129" t="s">
        <v>39</v>
      </c>
      <c r="Q1182" s="111">
        <f t="shared" si="844"/>
        <v>87</v>
      </c>
      <c r="R1182" s="111">
        <f t="shared" si="876"/>
        <v>87</v>
      </c>
      <c r="S1182" s="129">
        <v>5</v>
      </c>
      <c r="T1182" s="129">
        <v>5</v>
      </c>
      <c r="U1182" s="129">
        <v>4</v>
      </c>
      <c r="W1182" s="111"/>
      <c r="AC1182" s="130"/>
      <c r="AD1182" s="130">
        <v>30270</v>
      </c>
      <c r="AE1182" s="128" t="s">
        <v>32</v>
      </c>
      <c r="AF1182" s="128" t="s">
        <v>33</v>
      </c>
      <c r="AG1182" s="128" t="s">
        <v>872</v>
      </c>
      <c r="AH1182" s="108" t="s">
        <v>58</v>
      </c>
      <c r="AI1182" s="128" t="s">
        <v>141</v>
      </c>
      <c r="AJ1182" s="129" t="s">
        <v>89</v>
      </c>
      <c r="AK1182" s="129">
        <v>5</v>
      </c>
      <c r="AL1182" s="3" t="s">
        <v>362</v>
      </c>
      <c r="AM1182" s="117">
        <v>15</v>
      </c>
      <c r="AP1182" s="129" t="s">
        <v>105</v>
      </c>
      <c r="AR1182" s="128" t="s">
        <v>92</v>
      </c>
      <c r="AS1182" s="129" t="s">
        <v>106</v>
      </c>
      <c r="BC1182" s="129" t="s">
        <v>38</v>
      </c>
      <c r="BF1182" s="111">
        <f t="shared" si="877"/>
        <v>87</v>
      </c>
      <c r="BG1182" s="111">
        <f t="shared" si="878"/>
        <v>87</v>
      </c>
      <c r="BH1182" s="111">
        <f t="shared" si="845"/>
        <v>87</v>
      </c>
      <c r="BI1182" s="111">
        <f t="shared" si="846"/>
        <v>29.142076502732241</v>
      </c>
      <c r="BJ1182" s="129">
        <f t="shared" si="851"/>
        <v>0</v>
      </c>
      <c r="BK1182" s="129">
        <f t="shared" si="847"/>
        <v>0</v>
      </c>
      <c r="BL1182" s="129" t="str">
        <f t="shared" si="881"/>
        <v>CONVICTION</v>
      </c>
      <c r="BM1182" s="129" t="str">
        <f t="shared" si="852"/>
        <v>NONE</v>
      </c>
      <c r="BN1182" s="129" t="s">
        <v>566</v>
      </c>
      <c r="BP1182" s="137" t="str">
        <f t="shared" si="853"/>
        <v>CONVICTION</v>
      </c>
      <c r="BQ1182" s="128" t="str">
        <f t="shared" si="854"/>
        <v>Y</v>
      </c>
      <c r="BR1182" s="129" t="str">
        <f t="shared" si="855"/>
        <v>DETAINED</v>
      </c>
      <c r="BS1182" s="129" t="str">
        <f t="shared" si="856"/>
        <v>DISPOSED</v>
      </c>
      <c r="BT1182" s="129" t="str">
        <f t="shared" si="857"/>
        <v>Y</v>
      </c>
      <c r="BU1182" s="109">
        <f t="shared" si="858"/>
        <v>1</v>
      </c>
      <c r="BV1182" s="109">
        <f t="shared" si="859"/>
        <v>1</v>
      </c>
      <c r="BW1182" s="109">
        <f t="shared" si="882"/>
        <v>0</v>
      </c>
      <c r="BX1182" s="111">
        <f t="shared" si="860"/>
        <v>0</v>
      </c>
      <c r="BY1182" s="129">
        <f t="shared" si="861"/>
        <v>-87</v>
      </c>
      <c r="BZ1182" s="111">
        <f t="shared" si="862"/>
        <v>0</v>
      </c>
      <c r="CA1182" s="138">
        <f t="shared" si="863"/>
        <v>87</v>
      </c>
      <c r="CB1182" s="111" t="e">
        <f t="shared" si="879"/>
        <v>#VALUE!</v>
      </c>
      <c r="CC1182" s="129">
        <f>G1182-I1182+1</f>
        <v>87</v>
      </c>
      <c r="CD1182" s="129">
        <f>G1182-J1182</f>
        <v>0</v>
      </c>
      <c r="CE1182" s="129">
        <f t="shared" si="864"/>
        <v>0</v>
      </c>
      <c r="CG1182" s="129" t="str">
        <f t="shared" si="865"/>
        <v>Y</v>
      </c>
      <c r="CI1182" s="129" t="str">
        <f t="shared" si="866"/>
        <v>61-90 DAYS</v>
      </c>
      <c r="CJ1182" s="137">
        <f t="shared" si="867"/>
        <v>4</v>
      </c>
      <c r="CK1182" s="129" t="str">
        <f t="shared" si="868"/>
        <v>Booked</v>
      </c>
    </row>
    <row r="1183" spans="1:89" ht="15" customHeight="1" x14ac:dyDescent="0.25">
      <c r="A1183" s="111">
        <v>1899</v>
      </c>
      <c r="B1183" s="128" t="str">
        <f t="shared" si="848"/>
        <v>N</v>
      </c>
      <c r="C1183" s="128" t="str">
        <f t="shared" si="849"/>
        <v>N</v>
      </c>
      <c r="D1183" s="117">
        <v>1850967</v>
      </c>
      <c r="E1183" s="135">
        <f t="shared" si="850"/>
        <v>4</v>
      </c>
      <c r="F1183" s="124">
        <v>40979</v>
      </c>
      <c r="G1183" s="125">
        <v>41136</v>
      </c>
      <c r="H1183" s="117">
        <v>1850967</v>
      </c>
      <c r="I1183" s="124" t="s">
        <v>562</v>
      </c>
      <c r="J1183" s="124" t="s">
        <v>562</v>
      </c>
      <c r="K1183" s="126">
        <v>2000</v>
      </c>
      <c r="L1183" s="127" t="s">
        <v>568</v>
      </c>
      <c r="M1183" s="125">
        <v>40980</v>
      </c>
      <c r="N1183" s="129" t="str">
        <f>IF(M1183&gt;1/1/1,"Y",IF(Q1183="0","","N"))</f>
        <v>Y</v>
      </c>
      <c r="O1183" s="128" t="s">
        <v>76</v>
      </c>
      <c r="P1183" s="129" t="s">
        <v>39</v>
      </c>
      <c r="Q1183" s="111">
        <f t="shared" si="844"/>
        <v>0</v>
      </c>
      <c r="R1183" s="111">
        <f t="shared" si="876"/>
        <v>158</v>
      </c>
      <c r="S1183" s="129">
        <v>0</v>
      </c>
      <c r="T1183" s="129">
        <v>10</v>
      </c>
      <c r="W1183" s="111"/>
      <c r="AC1183" s="130"/>
      <c r="AD1183" s="130">
        <v>30716</v>
      </c>
      <c r="AE1183" s="128" t="s">
        <v>32</v>
      </c>
      <c r="AF1183" s="128" t="s">
        <v>69</v>
      </c>
      <c r="AG1183" s="128" t="s">
        <v>874</v>
      </c>
      <c r="AH1183" s="108" t="s">
        <v>58</v>
      </c>
      <c r="AI1183" s="128" t="s">
        <v>65</v>
      </c>
      <c r="AJ1183" s="129" t="s">
        <v>89</v>
      </c>
      <c r="AK1183" s="129">
        <v>7</v>
      </c>
      <c r="AL1183" s="3" t="s">
        <v>991</v>
      </c>
      <c r="AO1183" s="128">
        <v>180</v>
      </c>
      <c r="AP1183" s="129" t="s">
        <v>103</v>
      </c>
      <c r="AR1183" s="128" t="s">
        <v>44</v>
      </c>
      <c r="AS1183" s="129" t="s">
        <v>45</v>
      </c>
      <c r="BC1183" s="129" t="s">
        <v>52</v>
      </c>
      <c r="BF1183" s="111">
        <v>0</v>
      </c>
      <c r="BG1183" s="111">
        <v>0</v>
      </c>
      <c r="BH1183" s="111">
        <f t="shared" si="845"/>
        <v>158</v>
      </c>
      <c r="BI1183" s="111">
        <f t="shared" si="846"/>
        <v>28.040983606557376</v>
      </c>
      <c r="BJ1183" s="129" t="e">
        <f>(G1183-J1183)+(M1183-G1183)</f>
        <v>#VALUE!</v>
      </c>
      <c r="BK1183" s="129" t="e">
        <f t="shared" si="847"/>
        <v>#VALUE!</v>
      </c>
      <c r="BL1183" s="129" t="str">
        <f t="shared" si="881"/>
        <v>CONVICTION</v>
      </c>
      <c r="BM1183" s="129" t="s">
        <v>76</v>
      </c>
      <c r="BN1183" s="129" t="s">
        <v>88</v>
      </c>
      <c r="BP1183" s="137" t="str">
        <f t="shared" si="853"/>
        <v>CONVICTION</v>
      </c>
      <c r="BQ1183" s="128">
        <f t="shared" si="854"/>
        <v>0</v>
      </c>
      <c r="BR1183" s="129" t="s">
        <v>575</v>
      </c>
      <c r="BS1183" s="129" t="str">
        <f t="shared" si="856"/>
        <v>DISPOSED</v>
      </c>
      <c r="BT1183" s="129" t="str">
        <f t="shared" si="857"/>
        <v>N</v>
      </c>
      <c r="BU1183" s="109">
        <f t="shared" si="858"/>
        <v>0</v>
      </c>
      <c r="BV1183" s="109">
        <v>0</v>
      </c>
      <c r="BW1183" s="109">
        <f t="shared" si="882"/>
        <v>0</v>
      </c>
      <c r="BX1183" s="111">
        <f t="shared" si="860"/>
        <v>0</v>
      </c>
      <c r="BY1183" s="129" t="e">
        <f t="shared" si="861"/>
        <v>#VALUE!</v>
      </c>
      <c r="BZ1183" s="111" t="e">
        <f t="shared" si="862"/>
        <v>#VALUE!</v>
      </c>
      <c r="CA1183" s="138" t="e">
        <f t="shared" si="863"/>
        <v>#VALUE!</v>
      </c>
      <c r="CB1183" s="111">
        <v>0</v>
      </c>
      <c r="CC1183" s="129">
        <v>0</v>
      </c>
      <c r="CD1183" s="111">
        <f>CC1183-BF1183</f>
        <v>0</v>
      </c>
      <c r="CE1183" s="129" t="e">
        <f t="shared" si="864"/>
        <v>#VALUE!</v>
      </c>
      <c r="CG1183" s="129" t="str">
        <f t="shared" si="865"/>
        <v>Y</v>
      </c>
      <c r="CI1183" s="129" t="str">
        <f t="shared" si="866"/>
        <v>0-10 DAYS</v>
      </c>
      <c r="CJ1183" s="137">
        <f t="shared" si="867"/>
        <v>1</v>
      </c>
      <c r="CK1183" s="129" t="str">
        <f t="shared" si="868"/>
        <v>Not Booked</v>
      </c>
    </row>
    <row r="1184" spans="1:89" ht="15" customHeight="1" x14ac:dyDescent="0.25">
      <c r="A1184" s="111">
        <v>979</v>
      </c>
      <c r="B1184" s="128" t="str">
        <f t="shared" si="848"/>
        <v>N</v>
      </c>
      <c r="C1184" s="128" t="str">
        <f t="shared" si="849"/>
        <v>N</v>
      </c>
      <c r="D1184" s="117">
        <v>1852000</v>
      </c>
      <c r="E1184" s="135">
        <f t="shared" si="850"/>
        <v>1</v>
      </c>
      <c r="F1184" s="124">
        <v>40945</v>
      </c>
      <c r="G1184" s="125">
        <v>40960</v>
      </c>
      <c r="H1184" s="117">
        <v>1852000</v>
      </c>
      <c r="I1184" s="124" t="s">
        <v>562</v>
      </c>
      <c r="J1184" s="124" t="s">
        <v>562</v>
      </c>
      <c r="K1184" s="126">
        <v>5000</v>
      </c>
      <c r="L1184" s="127" t="s">
        <v>569</v>
      </c>
      <c r="M1184" s="125">
        <v>40946</v>
      </c>
      <c r="N1184" s="129" t="str">
        <f>IF(M1184&gt;1/1/1,"Y",IF(Q1184="0","","N"))</f>
        <v>Y</v>
      </c>
      <c r="O1184" s="128" t="s">
        <v>76</v>
      </c>
      <c r="P1184" s="129" t="s">
        <v>123</v>
      </c>
      <c r="Q1184" s="111">
        <f t="shared" ref="Q1184:Q1215" si="883">BF1184</f>
        <v>0</v>
      </c>
      <c r="R1184" s="111">
        <f t="shared" si="876"/>
        <v>16</v>
      </c>
      <c r="S1184" s="129">
        <v>1</v>
      </c>
      <c r="T1184" s="129">
        <v>4</v>
      </c>
      <c r="U1184" s="129">
        <v>1</v>
      </c>
      <c r="W1184" s="111"/>
      <c r="AB1184" s="131" t="s">
        <v>112</v>
      </c>
      <c r="AC1184" s="130"/>
      <c r="AD1184" s="130">
        <v>30123</v>
      </c>
      <c r="AE1184" s="128" t="s">
        <v>32</v>
      </c>
      <c r="AF1184" s="128" t="s">
        <v>40</v>
      </c>
      <c r="AG1184" s="128" t="s">
        <v>41</v>
      </c>
      <c r="AH1184" s="108" t="s">
        <v>31</v>
      </c>
      <c r="AI1184" s="128" t="s">
        <v>85</v>
      </c>
      <c r="AJ1184" s="129" t="s">
        <v>123</v>
      </c>
      <c r="AK1184" s="129">
        <v>2</v>
      </c>
      <c r="AL1184" s="3" t="s">
        <v>123</v>
      </c>
      <c r="AP1184" s="129" t="s">
        <v>101</v>
      </c>
      <c r="AR1184" s="128" t="s">
        <v>67</v>
      </c>
      <c r="AS1184" s="129" t="s">
        <v>64</v>
      </c>
      <c r="BC1184" s="129" t="s">
        <v>52</v>
      </c>
      <c r="BF1184" s="111">
        <v>0</v>
      </c>
      <c r="BG1184" s="111">
        <v>0</v>
      </c>
      <c r="BH1184" s="111">
        <f t="shared" si="845"/>
        <v>16</v>
      </c>
      <c r="BI1184" s="111">
        <f t="shared" si="846"/>
        <v>29.568306010928961</v>
      </c>
      <c r="BJ1184" s="129" t="e">
        <f>(G1184-J1184)+(M1184-G1184)</f>
        <v>#VALUE!</v>
      </c>
      <c r="BK1184" s="129" t="e">
        <f t="shared" si="847"/>
        <v>#VALUE!</v>
      </c>
      <c r="BL1184" s="129" t="str">
        <f t="shared" si="881"/>
        <v>NO CONVICTION</v>
      </c>
      <c r="BM1184" s="129" t="s">
        <v>76</v>
      </c>
      <c r="BN1184" s="129" t="s">
        <v>88</v>
      </c>
      <c r="BP1184" s="137" t="str">
        <f t="shared" si="853"/>
        <v>NO CONVICTION</v>
      </c>
      <c r="BQ1184" s="128">
        <f t="shared" si="854"/>
        <v>0</v>
      </c>
      <c r="BR1184" s="129" t="s">
        <v>575</v>
      </c>
      <c r="BS1184" s="129" t="str">
        <f t="shared" si="856"/>
        <v>DISPOSED</v>
      </c>
      <c r="BT1184" s="129" t="str">
        <f t="shared" si="857"/>
        <v>Y</v>
      </c>
      <c r="BU1184" s="109">
        <f>IFERROR(Q1184/R1184,BR1184)</f>
        <v>0</v>
      </c>
      <c r="BV1184" s="109">
        <v>0</v>
      </c>
      <c r="BW1184" s="109">
        <f t="shared" si="882"/>
        <v>0</v>
      </c>
      <c r="BX1184" s="111">
        <f t="shared" si="860"/>
        <v>0</v>
      </c>
      <c r="BY1184" s="129" t="e">
        <f t="shared" si="861"/>
        <v>#VALUE!</v>
      </c>
      <c r="BZ1184" s="111" t="e">
        <f t="shared" si="862"/>
        <v>#VALUE!</v>
      </c>
      <c r="CA1184" s="138" t="e">
        <f t="shared" si="863"/>
        <v>#VALUE!</v>
      </c>
      <c r="CB1184" s="111">
        <v>0</v>
      </c>
      <c r="CC1184" s="129">
        <v>0</v>
      </c>
      <c r="CD1184" s="111">
        <f>CC1184-BF1184</f>
        <v>0</v>
      </c>
      <c r="CE1184" s="129" t="e">
        <f t="shared" si="864"/>
        <v>#VALUE!</v>
      </c>
      <c r="CG1184" s="129" t="str">
        <f t="shared" si="865"/>
        <v>Y</v>
      </c>
      <c r="CI1184" s="129" t="str">
        <f t="shared" si="866"/>
        <v>0-10 DAYS</v>
      </c>
      <c r="CJ1184" s="137">
        <f t="shared" si="867"/>
        <v>1</v>
      </c>
      <c r="CK1184" s="129" t="str">
        <f t="shared" si="868"/>
        <v>Not Booked</v>
      </c>
    </row>
    <row r="1185" spans="1:89" ht="15.75" customHeight="1" x14ac:dyDescent="0.25">
      <c r="A1185" s="111">
        <v>253</v>
      </c>
      <c r="B1185" s="128" t="str">
        <f t="shared" si="848"/>
        <v>N</v>
      </c>
      <c r="C1185" s="128" t="str">
        <f t="shared" si="849"/>
        <v>N</v>
      </c>
      <c r="D1185" s="117">
        <v>1852302</v>
      </c>
      <c r="E1185" s="135">
        <f t="shared" si="850"/>
        <v>1</v>
      </c>
      <c r="F1185" s="124">
        <v>40919</v>
      </c>
      <c r="G1185" s="125">
        <v>41058</v>
      </c>
      <c r="H1185" s="117">
        <v>1852302</v>
      </c>
      <c r="I1185" s="124">
        <v>40919</v>
      </c>
      <c r="J1185" s="124">
        <v>40923</v>
      </c>
      <c r="K1185" s="126">
        <v>15000</v>
      </c>
      <c r="L1185" s="127" t="s">
        <v>571</v>
      </c>
      <c r="M1185" s="125">
        <v>40923</v>
      </c>
      <c r="N1185" s="129" t="str">
        <f t="shared" ref="N1185:N1192" si="884">IF(M1185&gt;1/1/1,"Y","N")</f>
        <v>Y</v>
      </c>
      <c r="O1185" s="128" t="s">
        <v>76</v>
      </c>
      <c r="P1185" s="129" t="s">
        <v>55</v>
      </c>
      <c r="Q1185" s="111">
        <f t="shared" si="883"/>
        <v>5</v>
      </c>
      <c r="R1185" s="111">
        <f t="shared" si="876"/>
        <v>140</v>
      </c>
      <c r="S1185" s="129">
        <v>0</v>
      </c>
      <c r="T1185" s="129">
        <v>2</v>
      </c>
      <c r="W1185" s="111"/>
      <c r="AC1185" s="130"/>
      <c r="AD1185" s="130">
        <v>29503</v>
      </c>
      <c r="AE1185" s="128" t="s">
        <v>32</v>
      </c>
      <c r="AF1185" s="128" t="s">
        <v>33</v>
      </c>
      <c r="AG1185" s="128" t="s">
        <v>872</v>
      </c>
      <c r="AH1185" s="108" t="s">
        <v>58</v>
      </c>
      <c r="AI1185" s="128" t="s">
        <v>141</v>
      </c>
      <c r="AJ1185" s="129" t="s">
        <v>55</v>
      </c>
      <c r="AK1185" s="129">
        <v>7</v>
      </c>
      <c r="AL1185" s="3" t="s">
        <v>55</v>
      </c>
      <c r="AP1185" s="129" t="s">
        <v>108</v>
      </c>
      <c r="AR1185" s="128" t="s">
        <v>44</v>
      </c>
      <c r="AS1185" s="129" t="s">
        <v>61</v>
      </c>
      <c r="BC1185" s="129" t="s">
        <v>52</v>
      </c>
      <c r="BF1185" s="111">
        <f t="shared" ref="BF1185:BF1201" si="885">IF(J1185&gt;1/1/1900,((J1185+1)-I1185),"STILL OPEN")</f>
        <v>5</v>
      </c>
      <c r="BG1185" s="111">
        <f t="shared" ref="BG1185:BG1201" si="886">IF(G1185&gt;1/1/1900,((G1185+1)-I1185),"STILL OPEN")</f>
        <v>140</v>
      </c>
      <c r="BH1185" s="111">
        <f t="shared" si="845"/>
        <v>140</v>
      </c>
      <c r="BI1185" s="111">
        <f t="shared" si="846"/>
        <v>31.191256830601095</v>
      </c>
      <c r="BJ1185" s="129">
        <f>(G1185-J1185)+(M1185-G1185)</f>
        <v>0</v>
      </c>
      <c r="BK1185" s="129">
        <f t="shared" si="847"/>
        <v>-135</v>
      </c>
      <c r="BL1185" s="129" t="str">
        <f t="shared" si="881"/>
        <v>NO CONVICTION</v>
      </c>
      <c r="BM1185" s="129" t="s">
        <v>76</v>
      </c>
      <c r="BN1185" s="129" t="s">
        <v>88</v>
      </c>
      <c r="BP1185" s="137" t="str">
        <f t="shared" si="853"/>
        <v>NO CONVICTION</v>
      </c>
      <c r="BQ1185" s="128" t="str">
        <f t="shared" si="854"/>
        <v>Y</v>
      </c>
      <c r="BR1185" s="129" t="str">
        <f t="shared" si="855"/>
        <v>ON BOND</v>
      </c>
      <c r="BS1185" s="129" t="str">
        <f t="shared" si="856"/>
        <v>DISPOSED</v>
      </c>
      <c r="BT1185" s="129" t="str">
        <f t="shared" si="857"/>
        <v>N</v>
      </c>
      <c r="BU1185" s="109">
        <f>IFERROR(Q1185/R1185,BR1185)</f>
        <v>3.5714285714285712E-2</v>
      </c>
      <c r="BV1185" s="109">
        <f t="shared" si="859"/>
        <v>3.5714285714285712E-2</v>
      </c>
      <c r="BW1185" s="109">
        <f t="shared" si="882"/>
        <v>0</v>
      </c>
      <c r="BX1185" s="111">
        <f t="shared" si="860"/>
        <v>0</v>
      </c>
      <c r="BY1185" s="129">
        <f t="shared" si="861"/>
        <v>-5</v>
      </c>
      <c r="BZ1185" s="111">
        <f t="shared" si="862"/>
        <v>0</v>
      </c>
      <c r="CA1185" s="138">
        <f t="shared" si="863"/>
        <v>5</v>
      </c>
      <c r="CB1185" s="111" t="e">
        <f t="shared" ref="CB1185:CB1202" si="887">IF(AF1185&gt;1/1/1900,((AF1185+1)-AE1185),"STILL OPEN")</f>
        <v>#VALUE!</v>
      </c>
      <c r="CC1185" s="129">
        <f>M1185-I1185+1</f>
        <v>5</v>
      </c>
      <c r="CD1185" s="111">
        <f>CC1185-BF1185</f>
        <v>0</v>
      </c>
      <c r="CE1185" s="129">
        <f t="shared" si="864"/>
        <v>135</v>
      </c>
      <c r="CG1185" s="129" t="str">
        <f t="shared" si="865"/>
        <v>Y</v>
      </c>
      <c r="CI1185" s="129" t="str">
        <f t="shared" si="866"/>
        <v>0-10 DAYS</v>
      </c>
      <c r="CJ1185" s="137">
        <f t="shared" si="867"/>
        <v>1</v>
      </c>
      <c r="CK1185" s="129" t="str">
        <f t="shared" si="868"/>
        <v>Booked</v>
      </c>
    </row>
    <row r="1186" spans="1:89" ht="15" customHeight="1" x14ac:dyDescent="0.25">
      <c r="A1186" s="111">
        <v>1778</v>
      </c>
      <c r="B1186" s="128" t="str">
        <f t="shared" si="848"/>
        <v>N</v>
      </c>
      <c r="C1186" s="128" t="str">
        <f t="shared" si="849"/>
        <v>Y</v>
      </c>
      <c r="D1186" s="117">
        <v>1852680</v>
      </c>
      <c r="E1186" s="135">
        <f t="shared" si="850"/>
        <v>6</v>
      </c>
      <c r="F1186" s="124">
        <v>40975</v>
      </c>
      <c r="G1186" s="125">
        <v>41172</v>
      </c>
      <c r="H1186" s="117">
        <v>1852680</v>
      </c>
      <c r="I1186" s="124">
        <v>40992</v>
      </c>
      <c r="J1186" s="124">
        <v>41044</v>
      </c>
      <c r="K1186" s="126">
        <v>50000</v>
      </c>
      <c r="L1186" s="129" t="s">
        <v>572</v>
      </c>
      <c r="M1186" s="125">
        <v>41044</v>
      </c>
      <c r="N1186" s="129" t="str">
        <f t="shared" si="884"/>
        <v>Y</v>
      </c>
      <c r="O1186" s="128" t="s">
        <v>76</v>
      </c>
      <c r="P1186" s="129" t="s">
        <v>39</v>
      </c>
      <c r="Q1186" s="111">
        <v>60</v>
      </c>
      <c r="R1186" s="111">
        <f t="shared" si="876"/>
        <v>198</v>
      </c>
      <c r="S1186" s="129">
        <v>1</v>
      </c>
      <c r="T1186" s="129">
        <v>4</v>
      </c>
      <c r="U1186" s="129">
        <v>1</v>
      </c>
      <c r="W1186" s="111"/>
      <c r="AB1186" s="131" t="s">
        <v>112</v>
      </c>
      <c r="AC1186" s="130"/>
      <c r="AD1186" s="130">
        <v>30553</v>
      </c>
      <c r="AE1186" s="128" t="s">
        <v>32</v>
      </c>
      <c r="AF1186" s="128" t="s">
        <v>40</v>
      </c>
      <c r="AG1186" s="128" t="s">
        <v>41</v>
      </c>
      <c r="AH1186" s="108" t="s">
        <v>31</v>
      </c>
      <c r="AI1186" s="128" t="s">
        <v>59</v>
      </c>
      <c r="AJ1186" s="129" t="s">
        <v>89</v>
      </c>
      <c r="AK1186" s="129">
        <v>10</v>
      </c>
      <c r="AL1186" s="3" t="s">
        <v>362</v>
      </c>
      <c r="AM1186" s="117">
        <v>4</v>
      </c>
      <c r="AP1186" s="129" t="s">
        <v>73</v>
      </c>
      <c r="AR1186" s="128" t="s">
        <v>50</v>
      </c>
      <c r="AS1186" s="129" t="s">
        <v>74</v>
      </c>
      <c r="AU1186" s="3" t="s">
        <v>738</v>
      </c>
      <c r="AX1186" s="32" t="s">
        <v>88</v>
      </c>
      <c r="BC1186" s="129" t="s">
        <v>52</v>
      </c>
      <c r="BF1186" s="111">
        <v>60</v>
      </c>
      <c r="BG1186" s="111">
        <f t="shared" si="886"/>
        <v>181</v>
      </c>
      <c r="BH1186" s="111">
        <f t="shared" si="845"/>
        <v>198</v>
      </c>
      <c r="BI1186" s="111">
        <f t="shared" si="846"/>
        <v>28.475409836065573</v>
      </c>
      <c r="BJ1186" s="129">
        <f>(G1186-J1186)+(M1186-G1186)</f>
        <v>0</v>
      </c>
      <c r="BK1186" s="129">
        <f t="shared" si="847"/>
        <v>-128</v>
      </c>
      <c r="BL1186" s="129" t="str">
        <f t="shared" si="881"/>
        <v>CONVICTION</v>
      </c>
      <c r="BM1186" s="129" t="s">
        <v>76</v>
      </c>
      <c r="BN1186" s="129" t="s">
        <v>88</v>
      </c>
      <c r="BP1186" s="137" t="str">
        <f t="shared" si="853"/>
        <v>CONVICTION</v>
      </c>
      <c r="BQ1186" s="128" t="str">
        <f t="shared" si="854"/>
        <v>Y</v>
      </c>
      <c r="BR1186" s="129" t="s">
        <v>574</v>
      </c>
      <c r="BS1186" s="129" t="str">
        <f t="shared" si="856"/>
        <v>DISPOSED</v>
      </c>
      <c r="BT1186" s="129" t="str">
        <f t="shared" si="857"/>
        <v>Y</v>
      </c>
      <c r="BU1186" s="109">
        <f t="shared" si="858"/>
        <v>0.30303030303030304</v>
      </c>
      <c r="BV1186" s="109">
        <f t="shared" si="859"/>
        <v>0.29281767955801102</v>
      </c>
      <c r="BW1186" s="109">
        <f t="shared" si="882"/>
        <v>-1.0212623472292015E-2</v>
      </c>
      <c r="BX1186" s="111">
        <f t="shared" si="860"/>
        <v>0</v>
      </c>
      <c r="BY1186" s="129">
        <f t="shared" si="861"/>
        <v>-53</v>
      </c>
      <c r="BZ1186" s="111">
        <f t="shared" si="862"/>
        <v>7</v>
      </c>
      <c r="CA1186" s="138">
        <f t="shared" si="863"/>
        <v>181</v>
      </c>
      <c r="CB1186" s="111">
        <v>60</v>
      </c>
      <c r="CC1186" s="129">
        <f t="shared" ref="CC1186:CC1191" si="888">G1186-I1186+1</f>
        <v>181</v>
      </c>
      <c r="CD1186" s="129">
        <f t="shared" ref="CD1186:CD1191" si="889">G1186-J1186</f>
        <v>128</v>
      </c>
      <c r="CE1186" s="129">
        <f t="shared" si="864"/>
        <v>128</v>
      </c>
      <c r="CG1186" s="129" t="str">
        <f t="shared" si="865"/>
        <v>Y</v>
      </c>
      <c r="CI1186" s="129" t="str">
        <f t="shared" si="866"/>
        <v>31-60 DAYS</v>
      </c>
      <c r="CJ1186" s="137">
        <f t="shared" si="867"/>
        <v>3</v>
      </c>
      <c r="CK1186" s="129" t="str">
        <f t="shared" si="868"/>
        <v>Booked</v>
      </c>
    </row>
    <row r="1187" spans="1:89" ht="15.75" customHeight="1" x14ac:dyDescent="0.25">
      <c r="A1187" s="111">
        <v>2220</v>
      </c>
      <c r="B1187" s="128" t="str">
        <f t="shared" si="848"/>
        <v>N</v>
      </c>
      <c r="C1187" s="128" t="str">
        <f t="shared" si="849"/>
        <v>N</v>
      </c>
      <c r="D1187" s="114">
        <v>1852861</v>
      </c>
      <c r="E1187" s="135">
        <f t="shared" si="850"/>
        <v>2</v>
      </c>
      <c r="F1187" s="124">
        <v>40992</v>
      </c>
      <c r="G1187" s="125">
        <v>41010</v>
      </c>
      <c r="H1187" s="114">
        <v>1852861</v>
      </c>
      <c r="I1187" s="124">
        <v>40992</v>
      </c>
      <c r="J1187" s="124">
        <v>41010</v>
      </c>
      <c r="K1187" s="126">
        <v>15000</v>
      </c>
      <c r="L1187" s="127" t="s">
        <v>571</v>
      </c>
      <c r="N1187" s="129" t="str">
        <f t="shared" si="884"/>
        <v>N</v>
      </c>
      <c r="O1187" s="128" t="s">
        <v>917</v>
      </c>
      <c r="P1187" s="129" t="s">
        <v>589</v>
      </c>
      <c r="Q1187" s="111">
        <f t="shared" si="883"/>
        <v>19</v>
      </c>
      <c r="R1187" s="111">
        <f t="shared" si="876"/>
        <v>19</v>
      </c>
      <c r="S1187" s="129">
        <v>1</v>
      </c>
      <c r="T1187" s="129">
        <v>0</v>
      </c>
      <c r="U1187" s="129">
        <v>1</v>
      </c>
      <c r="W1187" s="111"/>
      <c r="AC1187" s="130"/>
      <c r="AD1187" s="130">
        <v>30350</v>
      </c>
      <c r="AE1187" s="128" t="s">
        <v>46</v>
      </c>
      <c r="AF1187" s="128" t="s">
        <v>69</v>
      </c>
      <c r="AG1187" s="128" t="s">
        <v>874</v>
      </c>
      <c r="AH1187" s="108" t="s">
        <v>58</v>
      </c>
      <c r="AI1187" s="128" t="s">
        <v>70</v>
      </c>
      <c r="AJ1187" s="129" t="s">
        <v>48</v>
      </c>
      <c r="AK1187" s="129">
        <v>4</v>
      </c>
      <c r="AL1187" s="3" t="s">
        <v>48</v>
      </c>
      <c r="AP1187" s="129" t="s">
        <v>98</v>
      </c>
      <c r="AR1187" s="128" t="s">
        <v>44</v>
      </c>
      <c r="AS1187" s="129" t="s">
        <v>64</v>
      </c>
      <c r="BC1187" s="129" t="s">
        <v>38</v>
      </c>
      <c r="BF1187" s="111">
        <f t="shared" si="885"/>
        <v>19</v>
      </c>
      <c r="BG1187" s="111">
        <f t="shared" si="886"/>
        <v>19</v>
      </c>
      <c r="BH1187" s="111">
        <f t="shared" si="845"/>
        <v>19</v>
      </c>
      <c r="BI1187" s="111">
        <f t="shared" si="846"/>
        <v>29.076502732240439</v>
      </c>
      <c r="BJ1187" s="129">
        <f t="shared" si="851"/>
        <v>0</v>
      </c>
      <c r="BK1187" s="129">
        <f t="shared" si="847"/>
        <v>0</v>
      </c>
      <c r="BL1187" s="129" t="str">
        <f t="shared" si="881"/>
        <v>DEFERRED</v>
      </c>
      <c r="BM1187" s="129" t="str">
        <f t="shared" si="852"/>
        <v>NONE</v>
      </c>
      <c r="BN1187" s="129" t="s">
        <v>566</v>
      </c>
      <c r="BP1187" s="137" t="str">
        <f t="shared" si="853"/>
        <v>DEFERRED</v>
      </c>
      <c r="BQ1187" s="128" t="str">
        <f t="shared" si="854"/>
        <v>Y</v>
      </c>
      <c r="BR1187" s="129" t="str">
        <f t="shared" si="855"/>
        <v>DETAINED</v>
      </c>
      <c r="BS1187" s="129" t="str">
        <f t="shared" si="856"/>
        <v>DISPOSED</v>
      </c>
      <c r="BT1187" s="129" t="str">
        <f t="shared" si="857"/>
        <v>Y</v>
      </c>
      <c r="BU1187" s="109">
        <f t="shared" si="858"/>
        <v>1</v>
      </c>
      <c r="BV1187" s="109">
        <f t="shared" si="859"/>
        <v>1</v>
      </c>
      <c r="BW1187" s="109">
        <f t="shared" si="882"/>
        <v>0</v>
      </c>
      <c r="BX1187" s="111">
        <f t="shared" si="860"/>
        <v>0</v>
      </c>
      <c r="BY1187" s="129">
        <f t="shared" si="861"/>
        <v>-19</v>
      </c>
      <c r="BZ1187" s="111">
        <f t="shared" si="862"/>
        <v>0</v>
      </c>
      <c r="CA1187" s="138">
        <f t="shared" si="863"/>
        <v>19</v>
      </c>
      <c r="CB1187" s="111" t="e">
        <f t="shared" si="887"/>
        <v>#VALUE!</v>
      </c>
      <c r="CC1187" s="129">
        <f t="shared" si="888"/>
        <v>19</v>
      </c>
      <c r="CD1187" s="129">
        <f t="shared" si="889"/>
        <v>0</v>
      </c>
      <c r="CE1187" s="129">
        <f t="shared" si="864"/>
        <v>0</v>
      </c>
      <c r="CG1187" s="129" t="str">
        <f t="shared" si="865"/>
        <v>Y</v>
      </c>
      <c r="CI1187" s="129" t="str">
        <f t="shared" si="866"/>
        <v>11-30 DAYS</v>
      </c>
      <c r="CJ1187" s="137">
        <f t="shared" si="867"/>
        <v>2</v>
      </c>
      <c r="CK1187" s="129" t="str">
        <f t="shared" si="868"/>
        <v>Booked</v>
      </c>
    </row>
    <row r="1188" spans="1:89" ht="15" customHeight="1" x14ac:dyDescent="0.25">
      <c r="A1188" s="111">
        <v>2057</v>
      </c>
      <c r="B1188" s="128" t="str">
        <f t="shared" si="848"/>
        <v>N</v>
      </c>
      <c r="C1188" s="128" t="str">
        <f t="shared" si="849"/>
        <v>N</v>
      </c>
      <c r="D1188" s="117">
        <v>1852943</v>
      </c>
      <c r="E1188" s="135">
        <f t="shared" si="850"/>
        <v>5</v>
      </c>
      <c r="F1188" s="124">
        <v>40986</v>
      </c>
      <c r="G1188" s="125">
        <v>40987</v>
      </c>
      <c r="H1188" s="117">
        <v>1852943</v>
      </c>
      <c r="I1188" s="124">
        <v>40986</v>
      </c>
      <c r="J1188" s="124">
        <v>40987</v>
      </c>
      <c r="K1188" s="126">
        <v>10000</v>
      </c>
      <c r="L1188" s="127" t="s">
        <v>570</v>
      </c>
      <c r="N1188" s="129" t="str">
        <f t="shared" si="884"/>
        <v>N</v>
      </c>
      <c r="O1188" s="128" t="s">
        <v>917</v>
      </c>
      <c r="P1188" s="129" t="s">
        <v>39</v>
      </c>
      <c r="Q1188" s="111">
        <f t="shared" si="883"/>
        <v>2</v>
      </c>
      <c r="R1188" s="111">
        <f t="shared" si="876"/>
        <v>2</v>
      </c>
      <c r="S1188" s="129">
        <v>3</v>
      </c>
      <c r="T1188" s="129">
        <v>4</v>
      </c>
      <c r="U1188" s="129">
        <v>2</v>
      </c>
      <c r="W1188" s="111"/>
      <c r="AC1188" s="130"/>
      <c r="AD1188" s="130">
        <v>30639</v>
      </c>
      <c r="AE1188" s="128" t="s">
        <v>32</v>
      </c>
      <c r="AF1188" s="128" t="s">
        <v>69</v>
      </c>
      <c r="AG1188" s="128" t="s">
        <v>874</v>
      </c>
      <c r="AH1188" s="108" t="s">
        <v>58</v>
      </c>
      <c r="AI1188" s="128" t="s">
        <v>118</v>
      </c>
      <c r="AJ1188" s="129" t="s">
        <v>89</v>
      </c>
      <c r="AK1188" s="129">
        <v>1</v>
      </c>
      <c r="AL1188" s="3" t="s">
        <v>992</v>
      </c>
      <c r="AN1188" s="117">
        <v>8</v>
      </c>
      <c r="AP1188" s="129" t="s">
        <v>43</v>
      </c>
      <c r="AR1188" s="128" t="s">
        <v>44</v>
      </c>
      <c r="AS1188" s="129" t="s">
        <v>45</v>
      </c>
      <c r="BC1188" s="129" t="s">
        <v>38</v>
      </c>
      <c r="BF1188" s="111">
        <f t="shared" si="885"/>
        <v>2</v>
      </c>
      <c r="BG1188" s="111">
        <f t="shared" si="886"/>
        <v>2</v>
      </c>
      <c r="BH1188" s="111">
        <f t="shared" si="845"/>
        <v>2</v>
      </c>
      <c r="BI1188" s="111">
        <f t="shared" si="846"/>
        <v>28.270491803278688</v>
      </c>
      <c r="BJ1188" s="129">
        <f t="shared" si="851"/>
        <v>0</v>
      </c>
      <c r="BK1188" s="129">
        <f t="shared" si="847"/>
        <v>0</v>
      </c>
      <c r="BL1188" s="129" t="str">
        <f t="shared" si="881"/>
        <v>CONVICTION</v>
      </c>
      <c r="BM1188" s="129" t="str">
        <f t="shared" si="852"/>
        <v>NONE</v>
      </c>
      <c r="BN1188" s="129" t="s">
        <v>566</v>
      </c>
      <c r="BP1188" s="137" t="str">
        <f t="shared" si="853"/>
        <v>CONVICTION</v>
      </c>
      <c r="BQ1188" s="128" t="str">
        <f t="shared" si="854"/>
        <v>Y</v>
      </c>
      <c r="BR1188" s="129" t="str">
        <f t="shared" si="855"/>
        <v>DETAINED</v>
      </c>
      <c r="BS1188" s="129" t="str">
        <f t="shared" si="856"/>
        <v>DISPOSED</v>
      </c>
      <c r="BT1188" s="129" t="str">
        <f t="shared" si="857"/>
        <v>Y</v>
      </c>
      <c r="BU1188" s="109">
        <f t="shared" si="858"/>
        <v>1</v>
      </c>
      <c r="BV1188" s="109">
        <f t="shared" si="859"/>
        <v>1</v>
      </c>
      <c r="BW1188" s="109">
        <f t="shared" si="882"/>
        <v>0</v>
      </c>
      <c r="BX1188" s="111">
        <f t="shared" si="860"/>
        <v>0</v>
      </c>
      <c r="BY1188" s="129">
        <f t="shared" si="861"/>
        <v>-2</v>
      </c>
      <c r="BZ1188" s="111">
        <f t="shared" si="862"/>
        <v>0</v>
      </c>
      <c r="CA1188" s="138">
        <f t="shared" si="863"/>
        <v>2</v>
      </c>
      <c r="CB1188" s="111" t="e">
        <f t="shared" si="887"/>
        <v>#VALUE!</v>
      </c>
      <c r="CC1188" s="129">
        <f t="shared" si="888"/>
        <v>2</v>
      </c>
      <c r="CD1188" s="129">
        <f t="shared" si="889"/>
        <v>0</v>
      </c>
      <c r="CE1188" s="129">
        <f t="shared" si="864"/>
        <v>0</v>
      </c>
      <c r="CG1188" s="129" t="str">
        <f t="shared" si="865"/>
        <v>Y</v>
      </c>
      <c r="CI1188" s="129" t="str">
        <f t="shared" si="866"/>
        <v>0-10 DAYS</v>
      </c>
      <c r="CJ1188" s="137">
        <f t="shared" si="867"/>
        <v>1</v>
      </c>
      <c r="CK1188" s="129" t="str">
        <f t="shared" si="868"/>
        <v>Booked</v>
      </c>
    </row>
    <row r="1189" spans="1:89" ht="15" customHeight="1" x14ac:dyDescent="0.25">
      <c r="A1189" s="111">
        <v>1982</v>
      </c>
      <c r="B1189" s="128" t="str">
        <f t="shared" si="848"/>
        <v>N</v>
      </c>
      <c r="C1189" s="128" t="str">
        <f t="shared" si="849"/>
        <v>N</v>
      </c>
      <c r="D1189" s="117">
        <v>1854662</v>
      </c>
      <c r="E1189" s="135">
        <f t="shared" si="850"/>
        <v>5</v>
      </c>
      <c r="F1189" s="124">
        <v>40983</v>
      </c>
      <c r="G1189" s="125">
        <v>41134</v>
      </c>
      <c r="H1189" s="117">
        <v>1854662</v>
      </c>
      <c r="I1189" s="124">
        <v>40983</v>
      </c>
      <c r="J1189" s="124">
        <v>41134</v>
      </c>
      <c r="K1189" s="126">
        <v>5000</v>
      </c>
      <c r="L1189" s="127" t="s">
        <v>569</v>
      </c>
      <c r="N1189" s="129" t="str">
        <f t="shared" si="884"/>
        <v>N</v>
      </c>
      <c r="O1189" s="128" t="s">
        <v>917</v>
      </c>
      <c r="P1189" s="129" t="s">
        <v>39</v>
      </c>
      <c r="Q1189" s="111">
        <f t="shared" si="883"/>
        <v>152</v>
      </c>
      <c r="R1189" s="111">
        <f t="shared" si="876"/>
        <v>152</v>
      </c>
      <c r="S1189" s="129">
        <v>3</v>
      </c>
      <c r="T1189" s="129">
        <v>2</v>
      </c>
      <c r="U1189" s="129">
        <v>1</v>
      </c>
      <c r="W1189" s="111"/>
      <c r="AC1189" s="130"/>
      <c r="AD1189" s="130">
        <v>29684</v>
      </c>
      <c r="AE1189" s="128" t="s">
        <v>32</v>
      </c>
      <c r="AF1189" s="128" t="s">
        <v>33</v>
      </c>
      <c r="AG1189" s="128" t="s">
        <v>872</v>
      </c>
      <c r="AH1189" s="108" t="s">
        <v>31</v>
      </c>
      <c r="AI1189" s="128" t="s">
        <v>100</v>
      </c>
      <c r="AJ1189" s="129" t="s">
        <v>89</v>
      </c>
      <c r="AK1189" s="129">
        <v>7</v>
      </c>
      <c r="AL1189" s="3" t="s">
        <v>992</v>
      </c>
      <c r="AN1189" s="117">
        <v>6</v>
      </c>
      <c r="AP1189" s="129" t="s">
        <v>93</v>
      </c>
      <c r="AR1189" s="128" t="s">
        <v>67</v>
      </c>
      <c r="AS1189" s="129" t="s">
        <v>45</v>
      </c>
      <c r="BC1189" s="129" t="s">
        <v>99</v>
      </c>
      <c r="BF1189" s="111">
        <f t="shared" si="885"/>
        <v>152</v>
      </c>
      <c r="BG1189" s="111">
        <f t="shared" si="886"/>
        <v>152</v>
      </c>
      <c r="BH1189" s="111">
        <f t="shared" si="845"/>
        <v>152</v>
      </c>
      <c r="BI1189" s="111">
        <f t="shared" si="846"/>
        <v>30.871584699453553</v>
      </c>
      <c r="BJ1189" s="129">
        <f t="shared" si="851"/>
        <v>0</v>
      </c>
      <c r="BK1189" s="129">
        <f t="shared" si="847"/>
        <v>0</v>
      </c>
      <c r="BL1189" s="129" t="str">
        <f t="shared" si="881"/>
        <v>CONVICTION</v>
      </c>
      <c r="BM1189" s="129" t="str">
        <f t="shared" si="852"/>
        <v>NONE</v>
      </c>
      <c r="BN1189" s="129" t="s">
        <v>566</v>
      </c>
      <c r="BP1189" s="137" t="str">
        <f t="shared" si="853"/>
        <v>CONVICTION</v>
      </c>
      <c r="BQ1189" s="128" t="str">
        <f t="shared" si="854"/>
        <v>Y</v>
      </c>
      <c r="BR1189" s="129" t="str">
        <f t="shared" si="855"/>
        <v>DETAINED</v>
      </c>
      <c r="BS1189" s="129" t="str">
        <f t="shared" si="856"/>
        <v>DISPOSED</v>
      </c>
      <c r="BT1189" s="129" t="str">
        <f t="shared" si="857"/>
        <v>Y</v>
      </c>
      <c r="BU1189" s="109">
        <f t="shared" si="858"/>
        <v>1</v>
      </c>
      <c r="BV1189" s="109">
        <f t="shared" si="859"/>
        <v>1</v>
      </c>
      <c r="BW1189" s="109">
        <f t="shared" si="882"/>
        <v>0</v>
      </c>
      <c r="BX1189" s="111">
        <f t="shared" si="860"/>
        <v>0</v>
      </c>
      <c r="BY1189" s="129">
        <f t="shared" si="861"/>
        <v>-152</v>
      </c>
      <c r="BZ1189" s="111">
        <f t="shared" si="862"/>
        <v>0</v>
      </c>
      <c r="CA1189" s="138">
        <f t="shared" si="863"/>
        <v>152</v>
      </c>
      <c r="CB1189" s="111" t="e">
        <f t="shared" si="887"/>
        <v>#VALUE!</v>
      </c>
      <c r="CC1189" s="129">
        <f t="shared" si="888"/>
        <v>152</v>
      </c>
      <c r="CD1189" s="129">
        <f t="shared" si="889"/>
        <v>0</v>
      </c>
      <c r="CE1189" s="129">
        <f t="shared" si="864"/>
        <v>0</v>
      </c>
      <c r="CG1189" s="129" t="str">
        <f t="shared" si="865"/>
        <v>Y</v>
      </c>
      <c r="CI1189" s="129" t="str">
        <f t="shared" si="866"/>
        <v>121-365 DAYS</v>
      </c>
      <c r="CJ1189" s="137">
        <f t="shared" si="867"/>
        <v>6</v>
      </c>
      <c r="CK1189" s="129" t="str">
        <f t="shared" si="868"/>
        <v>Booked</v>
      </c>
    </row>
    <row r="1190" spans="1:89" ht="15" customHeight="1" x14ac:dyDescent="0.25">
      <c r="A1190" s="111">
        <v>2846</v>
      </c>
      <c r="B1190" s="128" t="str">
        <f t="shared" si="848"/>
        <v>N</v>
      </c>
      <c r="C1190" s="128" t="str">
        <f t="shared" si="849"/>
        <v>N</v>
      </c>
      <c r="D1190" s="117">
        <v>1855215</v>
      </c>
      <c r="E1190" s="135">
        <f t="shared" si="850"/>
        <v>5</v>
      </c>
      <c r="F1190" s="124">
        <v>41014</v>
      </c>
      <c r="G1190" s="125">
        <v>41053</v>
      </c>
      <c r="H1190" s="117">
        <v>1855215</v>
      </c>
      <c r="I1190" s="124">
        <v>41014</v>
      </c>
      <c r="J1190" s="124">
        <v>41053</v>
      </c>
      <c r="K1190" s="126">
        <v>5000</v>
      </c>
      <c r="L1190" s="127" t="s">
        <v>569</v>
      </c>
      <c r="N1190" s="129" t="str">
        <f t="shared" si="884"/>
        <v>N</v>
      </c>
      <c r="O1190" s="128" t="s">
        <v>917</v>
      </c>
      <c r="P1190" s="129" t="s">
        <v>39</v>
      </c>
      <c r="Q1190" s="111">
        <f t="shared" si="883"/>
        <v>40</v>
      </c>
      <c r="R1190" s="111">
        <f t="shared" si="876"/>
        <v>40</v>
      </c>
      <c r="S1190" s="129">
        <v>2</v>
      </c>
      <c r="T1190" s="129">
        <v>11</v>
      </c>
      <c r="W1190" s="111"/>
      <c r="AC1190" s="130"/>
      <c r="AD1190" s="130">
        <v>30308</v>
      </c>
      <c r="AE1190" s="128" t="s">
        <v>32</v>
      </c>
      <c r="AF1190" s="128" t="s">
        <v>33</v>
      </c>
      <c r="AG1190" s="128" t="s">
        <v>872</v>
      </c>
      <c r="AH1190" s="108" t="s">
        <v>58</v>
      </c>
      <c r="AI1190" s="128" t="s">
        <v>141</v>
      </c>
      <c r="AJ1190" s="129" t="s">
        <v>89</v>
      </c>
      <c r="AK1190" s="129">
        <v>4</v>
      </c>
      <c r="AL1190" s="3" t="s">
        <v>992</v>
      </c>
      <c r="AN1190" s="117">
        <v>8</v>
      </c>
      <c r="AP1190" s="129" t="s">
        <v>43</v>
      </c>
      <c r="AR1190" s="128" t="s">
        <v>44</v>
      </c>
      <c r="AS1190" s="129" t="s">
        <v>45</v>
      </c>
      <c r="BC1190" s="129" t="s">
        <v>38</v>
      </c>
      <c r="BF1190" s="111">
        <f t="shared" si="885"/>
        <v>40</v>
      </c>
      <c r="BG1190" s="111">
        <f t="shared" si="886"/>
        <v>40</v>
      </c>
      <c r="BH1190" s="111">
        <f t="shared" si="845"/>
        <v>40</v>
      </c>
      <c r="BI1190" s="111">
        <f t="shared" si="846"/>
        <v>29.251366120218581</v>
      </c>
      <c r="BJ1190" s="129">
        <f t="shared" si="851"/>
        <v>0</v>
      </c>
      <c r="BK1190" s="129">
        <f t="shared" si="847"/>
        <v>0</v>
      </c>
      <c r="BL1190" s="129" t="str">
        <f t="shared" si="881"/>
        <v>CONVICTION</v>
      </c>
      <c r="BM1190" s="129" t="str">
        <f t="shared" si="852"/>
        <v>NONE</v>
      </c>
      <c r="BN1190" s="129" t="s">
        <v>566</v>
      </c>
      <c r="BP1190" s="137" t="str">
        <f t="shared" si="853"/>
        <v>CONVICTION</v>
      </c>
      <c r="BQ1190" s="128" t="str">
        <f t="shared" si="854"/>
        <v>Y</v>
      </c>
      <c r="BR1190" s="129" t="str">
        <f t="shared" si="855"/>
        <v>DETAINED</v>
      </c>
      <c r="BS1190" s="129" t="str">
        <f t="shared" si="856"/>
        <v>DISPOSED</v>
      </c>
      <c r="BT1190" s="129" t="str">
        <f t="shared" si="857"/>
        <v>Y</v>
      </c>
      <c r="BU1190" s="109">
        <f t="shared" si="858"/>
        <v>1</v>
      </c>
      <c r="BV1190" s="109">
        <f t="shared" si="859"/>
        <v>1</v>
      </c>
      <c r="BW1190" s="109">
        <f t="shared" si="882"/>
        <v>0</v>
      </c>
      <c r="BX1190" s="111">
        <f t="shared" si="860"/>
        <v>0</v>
      </c>
      <c r="BY1190" s="129">
        <f t="shared" si="861"/>
        <v>-40</v>
      </c>
      <c r="BZ1190" s="111">
        <f t="shared" si="862"/>
        <v>0</v>
      </c>
      <c r="CA1190" s="138">
        <f t="shared" si="863"/>
        <v>40</v>
      </c>
      <c r="CB1190" s="111" t="e">
        <f t="shared" si="887"/>
        <v>#VALUE!</v>
      </c>
      <c r="CC1190" s="129">
        <f t="shared" si="888"/>
        <v>40</v>
      </c>
      <c r="CD1190" s="129">
        <f t="shared" si="889"/>
        <v>0</v>
      </c>
      <c r="CE1190" s="129">
        <f t="shared" si="864"/>
        <v>0</v>
      </c>
      <c r="CG1190" s="129" t="str">
        <f t="shared" si="865"/>
        <v>Y</v>
      </c>
      <c r="CI1190" s="129" t="str">
        <f t="shared" si="866"/>
        <v>31-60 DAYS</v>
      </c>
      <c r="CJ1190" s="137">
        <f t="shared" si="867"/>
        <v>3</v>
      </c>
      <c r="CK1190" s="129" t="str">
        <f t="shared" si="868"/>
        <v>Booked</v>
      </c>
    </row>
    <row r="1191" spans="1:89" ht="15.75" customHeight="1" x14ac:dyDescent="0.25">
      <c r="A1191" s="111">
        <v>2659</v>
      </c>
      <c r="B1191" s="128" t="str">
        <f t="shared" si="848"/>
        <v>N</v>
      </c>
      <c r="C1191" s="128" t="str">
        <f t="shared" si="849"/>
        <v>N</v>
      </c>
      <c r="D1191" s="117">
        <v>1855972</v>
      </c>
      <c r="E1191" s="135">
        <f t="shared" si="850"/>
        <v>5</v>
      </c>
      <c r="F1191" s="124">
        <v>41007</v>
      </c>
      <c r="G1191" s="125">
        <v>41009</v>
      </c>
      <c r="H1191" s="117">
        <v>1855972</v>
      </c>
      <c r="I1191" s="124">
        <v>41007</v>
      </c>
      <c r="J1191" s="124">
        <v>41009</v>
      </c>
      <c r="K1191" s="126">
        <v>15000</v>
      </c>
      <c r="L1191" s="127" t="s">
        <v>571</v>
      </c>
      <c r="N1191" s="129" t="str">
        <f t="shared" si="884"/>
        <v>N</v>
      </c>
      <c r="O1191" s="128" t="s">
        <v>917</v>
      </c>
      <c r="P1191" s="129" t="s">
        <v>39</v>
      </c>
      <c r="Q1191" s="111">
        <f t="shared" si="883"/>
        <v>3</v>
      </c>
      <c r="R1191" s="111">
        <f t="shared" si="876"/>
        <v>3</v>
      </c>
      <c r="S1191" s="129">
        <v>3</v>
      </c>
      <c r="T1191" s="129">
        <v>3</v>
      </c>
      <c r="W1191" s="111"/>
      <c r="AC1191" s="130"/>
      <c r="AD1191" s="130">
        <v>30294</v>
      </c>
      <c r="AE1191" s="128" t="s">
        <v>46</v>
      </c>
      <c r="AF1191" s="128" t="s">
        <v>69</v>
      </c>
      <c r="AG1191" s="128" t="s">
        <v>874</v>
      </c>
      <c r="AH1191" s="108" t="s">
        <v>58</v>
      </c>
      <c r="AI1191" s="128" t="s">
        <v>34</v>
      </c>
      <c r="AJ1191" s="129" t="s">
        <v>89</v>
      </c>
      <c r="AK1191" s="129">
        <v>1</v>
      </c>
      <c r="AL1191" s="3" t="s">
        <v>992</v>
      </c>
      <c r="AN1191" s="117">
        <v>6</v>
      </c>
      <c r="AP1191" s="129" t="s">
        <v>43</v>
      </c>
      <c r="AR1191" s="128" t="s">
        <v>44</v>
      </c>
      <c r="AS1191" s="129" t="s">
        <v>45</v>
      </c>
      <c r="BC1191" s="129" t="s">
        <v>38</v>
      </c>
      <c r="BF1191" s="111">
        <f t="shared" si="885"/>
        <v>3</v>
      </c>
      <c r="BG1191" s="111">
        <f t="shared" si="886"/>
        <v>3</v>
      </c>
      <c r="BH1191" s="111">
        <f t="shared" si="845"/>
        <v>3</v>
      </c>
      <c r="BI1191" s="111">
        <f t="shared" si="846"/>
        <v>29.270491803278688</v>
      </c>
      <c r="BJ1191" s="129">
        <f t="shared" si="851"/>
        <v>0</v>
      </c>
      <c r="BK1191" s="129">
        <f t="shared" si="847"/>
        <v>0</v>
      </c>
      <c r="BL1191" s="129" t="str">
        <f t="shared" si="881"/>
        <v>CONVICTION</v>
      </c>
      <c r="BM1191" s="129" t="str">
        <f t="shared" si="852"/>
        <v>NONE</v>
      </c>
      <c r="BN1191" s="129" t="s">
        <v>566</v>
      </c>
      <c r="BP1191" s="137" t="str">
        <f t="shared" si="853"/>
        <v>CONVICTION</v>
      </c>
      <c r="BQ1191" s="128" t="str">
        <f t="shared" si="854"/>
        <v>Y</v>
      </c>
      <c r="BR1191" s="129" t="str">
        <f t="shared" si="855"/>
        <v>DETAINED</v>
      </c>
      <c r="BS1191" s="129" t="str">
        <f t="shared" si="856"/>
        <v>DISPOSED</v>
      </c>
      <c r="BT1191" s="129" t="str">
        <f t="shared" si="857"/>
        <v>Y</v>
      </c>
      <c r="BU1191" s="109">
        <f t="shared" si="858"/>
        <v>1</v>
      </c>
      <c r="BV1191" s="109">
        <f t="shared" si="859"/>
        <v>1</v>
      </c>
      <c r="BW1191" s="109">
        <f t="shared" si="882"/>
        <v>0</v>
      </c>
      <c r="BX1191" s="111">
        <f t="shared" si="860"/>
        <v>0</v>
      </c>
      <c r="BY1191" s="129">
        <f t="shared" si="861"/>
        <v>-3</v>
      </c>
      <c r="BZ1191" s="111">
        <f t="shared" si="862"/>
        <v>0</v>
      </c>
      <c r="CA1191" s="138">
        <f t="shared" si="863"/>
        <v>3</v>
      </c>
      <c r="CB1191" s="111" t="e">
        <f t="shared" si="887"/>
        <v>#VALUE!</v>
      </c>
      <c r="CC1191" s="129">
        <f t="shared" si="888"/>
        <v>3</v>
      </c>
      <c r="CD1191" s="129">
        <f t="shared" si="889"/>
        <v>0</v>
      </c>
      <c r="CE1191" s="129">
        <f t="shared" si="864"/>
        <v>0</v>
      </c>
      <c r="CG1191" s="129" t="str">
        <f t="shared" si="865"/>
        <v>Y</v>
      </c>
      <c r="CI1191" s="129" t="str">
        <f t="shared" si="866"/>
        <v>0-10 DAYS</v>
      </c>
      <c r="CJ1191" s="137">
        <f t="shared" si="867"/>
        <v>1</v>
      </c>
      <c r="CK1191" s="129" t="str">
        <f t="shared" si="868"/>
        <v>Booked</v>
      </c>
    </row>
    <row r="1192" spans="1:89" ht="15.75" customHeight="1" x14ac:dyDescent="0.25">
      <c r="A1192" s="111">
        <v>2738</v>
      </c>
      <c r="B1192" s="128" t="str">
        <f t="shared" si="848"/>
        <v>N</v>
      </c>
      <c r="C1192" s="128" t="str">
        <f t="shared" si="849"/>
        <v>N</v>
      </c>
      <c r="D1192" s="117">
        <v>1856269</v>
      </c>
      <c r="E1192" s="135">
        <f t="shared" si="850"/>
        <v>1</v>
      </c>
      <c r="F1192" s="124">
        <v>41010</v>
      </c>
      <c r="G1192" s="125">
        <v>41051</v>
      </c>
      <c r="H1192" s="117">
        <v>1856269</v>
      </c>
      <c r="I1192" s="124">
        <v>41012</v>
      </c>
      <c r="J1192" s="124">
        <v>41018</v>
      </c>
      <c r="K1192" s="126">
        <v>10000</v>
      </c>
      <c r="L1192" s="127" t="s">
        <v>570</v>
      </c>
      <c r="M1192" s="125">
        <v>41018</v>
      </c>
      <c r="N1192" s="129" t="str">
        <f t="shared" si="884"/>
        <v>Y</v>
      </c>
      <c r="O1192" s="128" t="s">
        <v>76</v>
      </c>
      <c r="P1192" s="129" t="s">
        <v>55</v>
      </c>
      <c r="Q1192" s="111">
        <f t="shared" si="883"/>
        <v>7</v>
      </c>
      <c r="R1192" s="111">
        <f t="shared" si="876"/>
        <v>42</v>
      </c>
      <c r="S1192" s="129">
        <v>1</v>
      </c>
      <c r="T1192" s="129">
        <v>2</v>
      </c>
      <c r="W1192" s="111"/>
      <c r="AC1192" s="130"/>
      <c r="AD1192" s="130">
        <v>30139</v>
      </c>
      <c r="AE1192" s="128" t="s">
        <v>32</v>
      </c>
      <c r="AF1192" s="128" t="s">
        <v>33</v>
      </c>
      <c r="AG1192" s="128" t="s">
        <v>872</v>
      </c>
      <c r="AH1192" s="108" t="s">
        <v>58</v>
      </c>
      <c r="AI1192" s="128" t="s">
        <v>34</v>
      </c>
      <c r="AJ1192" s="129" t="s">
        <v>55</v>
      </c>
      <c r="AK1192" s="129">
        <v>3</v>
      </c>
      <c r="AL1192" s="3" t="s">
        <v>55</v>
      </c>
      <c r="AP1192" s="129" t="s">
        <v>101</v>
      </c>
      <c r="AR1192" s="128" t="s">
        <v>67</v>
      </c>
      <c r="AS1192" s="129" t="s">
        <v>64</v>
      </c>
      <c r="BC1192" s="129" t="s">
        <v>38</v>
      </c>
      <c r="BF1192" s="111">
        <f t="shared" si="885"/>
        <v>7</v>
      </c>
      <c r="BG1192" s="111">
        <f t="shared" si="886"/>
        <v>40</v>
      </c>
      <c r="BH1192" s="111">
        <f t="shared" si="845"/>
        <v>42</v>
      </c>
      <c r="BI1192" s="111">
        <f t="shared" si="846"/>
        <v>29.702185792349727</v>
      </c>
      <c r="BJ1192" s="129">
        <f>(G1192-J1192)+(M1192-G1192)</f>
        <v>0</v>
      </c>
      <c r="BK1192" s="129">
        <f t="shared" si="847"/>
        <v>-33</v>
      </c>
      <c r="BL1192" s="129" t="str">
        <f t="shared" si="881"/>
        <v>NO CONVICTION</v>
      </c>
      <c r="BM1192" s="129" t="s">
        <v>76</v>
      </c>
      <c r="BN1192" s="129" t="s">
        <v>88</v>
      </c>
      <c r="BP1192" s="137" t="str">
        <f t="shared" si="853"/>
        <v>NO CONVICTION</v>
      </c>
      <c r="BQ1192" s="128" t="str">
        <f t="shared" si="854"/>
        <v>Y</v>
      </c>
      <c r="BR1192" s="129" t="str">
        <f t="shared" si="855"/>
        <v>ON BOND</v>
      </c>
      <c r="BS1192" s="129" t="str">
        <f t="shared" si="856"/>
        <v>DISPOSED</v>
      </c>
      <c r="BT1192" s="129" t="str">
        <f t="shared" si="857"/>
        <v>Y</v>
      </c>
      <c r="BU1192" s="109">
        <f>IFERROR(Q1192/R1192,BR1192)</f>
        <v>0.16666666666666666</v>
      </c>
      <c r="BV1192" s="109">
        <f t="shared" si="859"/>
        <v>0.17499999999999999</v>
      </c>
      <c r="BW1192" s="109">
        <f t="shared" si="882"/>
        <v>8.3333333333333315E-3</v>
      </c>
      <c r="BX1192" s="111">
        <f t="shared" si="860"/>
        <v>0</v>
      </c>
      <c r="BY1192" s="129">
        <f t="shared" si="861"/>
        <v>-7</v>
      </c>
      <c r="BZ1192" s="111">
        <f t="shared" si="862"/>
        <v>0</v>
      </c>
      <c r="CA1192" s="138">
        <f t="shared" si="863"/>
        <v>7</v>
      </c>
      <c r="CB1192" s="111" t="e">
        <f t="shared" si="887"/>
        <v>#VALUE!</v>
      </c>
      <c r="CC1192" s="129">
        <f>M1192-I1192+1</f>
        <v>7</v>
      </c>
      <c r="CD1192" s="111">
        <f>CC1192-BF1192</f>
        <v>0</v>
      </c>
      <c r="CE1192" s="129">
        <f t="shared" si="864"/>
        <v>33</v>
      </c>
      <c r="CG1192" s="129" t="str">
        <f t="shared" si="865"/>
        <v>Y</v>
      </c>
      <c r="CI1192" s="129" t="str">
        <f t="shared" si="866"/>
        <v>0-10 DAYS</v>
      </c>
      <c r="CJ1192" s="137">
        <f t="shared" si="867"/>
        <v>1</v>
      </c>
      <c r="CK1192" s="129" t="str">
        <f t="shared" si="868"/>
        <v>Booked</v>
      </c>
    </row>
    <row r="1193" spans="1:89" ht="15" customHeight="1" x14ac:dyDescent="0.25">
      <c r="A1193" s="111">
        <v>2939</v>
      </c>
      <c r="B1193" s="128" t="str">
        <f t="shared" si="848"/>
        <v>N</v>
      </c>
      <c r="C1193" s="128" t="str">
        <f t="shared" si="849"/>
        <v>N</v>
      </c>
      <c r="D1193" s="117">
        <v>1856829</v>
      </c>
      <c r="E1193" s="135">
        <f t="shared" si="850"/>
        <v>5</v>
      </c>
      <c r="F1193" s="124">
        <v>41017</v>
      </c>
      <c r="G1193" s="125">
        <v>41288</v>
      </c>
      <c r="H1193" s="117">
        <v>1856829</v>
      </c>
      <c r="I1193" s="124">
        <v>41130</v>
      </c>
      <c r="J1193" s="125">
        <v>41288</v>
      </c>
      <c r="K1193" s="126" t="s">
        <v>564</v>
      </c>
      <c r="L1193" s="127" t="s">
        <v>564</v>
      </c>
      <c r="N1193" s="129" t="s">
        <v>566</v>
      </c>
      <c r="O1193" s="128" t="s">
        <v>917</v>
      </c>
      <c r="P1193" s="129" t="s">
        <v>39</v>
      </c>
      <c r="Q1193" s="111">
        <f t="shared" si="883"/>
        <v>159</v>
      </c>
      <c r="R1193" s="111">
        <f t="shared" si="876"/>
        <v>272</v>
      </c>
      <c r="S1193" s="129">
        <v>1</v>
      </c>
      <c r="T1193" s="129">
        <v>2</v>
      </c>
      <c r="U1193" s="129">
        <v>1</v>
      </c>
      <c r="W1193" s="111"/>
      <c r="AC1193" s="130"/>
      <c r="AD1193" s="130">
        <v>27984</v>
      </c>
      <c r="AE1193" s="128" t="s">
        <v>32</v>
      </c>
      <c r="AF1193" s="128" t="s">
        <v>33</v>
      </c>
      <c r="AG1193" s="128" t="s">
        <v>872</v>
      </c>
      <c r="AH1193" s="108" t="s">
        <v>58</v>
      </c>
      <c r="AI1193" s="128" t="s">
        <v>95</v>
      </c>
      <c r="AJ1193" s="129" t="s">
        <v>89</v>
      </c>
      <c r="AK1193" s="129">
        <v>7</v>
      </c>
      <c r="AL1193" s="3" t="s">
        <v>992</v>
      </c>
      <c r="AN1193" s="117">
        <v>6</v>
      </c>
      <c r="AP1193" s="129" t="s">
        <v>63</v>
      </c>
      <c r="AR1193" s="128" t="s">
        <v>44</v>
      </c>
      <c r="AS1193" s="129" t="s">
        <v>64</v>
      </c>
      <c r="BC1193" s="129" t="s">
        <v>38</v>
      </c>
      <c r="BF1193" s="111">
        <f t="shared" si="885"/>
        <v>159</v>
      </c>
      <c r="BG1193" s="111">
        <f t="shared" si="886"/>
        <v>159</v>
      </c>
      <c r="BH1193" s="111">
        <f t="shared" si="845"/>
        <v>272</v>
      </c>
      <c r="BI1193" s="111">
        <f t="shared" si="846"/>
        <v>35.60928961748634</v>
      </c>
      <c r="BJ1193" s="129">
        <f t="shared" si="851"/>
        <v>0</v>
      </c>
      <c r="BK1193" s="129">
        <f t="shared" si="847"/>
        <v>0</v>
      </c>
      <c r="BL1193" s="129" t="str">
        <f t="shared" si="881"/>
        <v>CONVICTION</v>
      </c>
      <c r="BM1193" s="129" t="str">
        <f t="shared" si="852"/>
        <v>NONE</v>
      </c>
      <c r="BN1193" s="129" t="s">
        <v>566</v>
      </c>
      <c r="BP1193" s="137" t="str">
        <f t="shared" si="853"/>
        <v>CONVICTION</v>
      </c>
      <c r="BQ1193" s="128" t="str">
        <f t="shared" si="854"/>
        <v>Y</v>
      </c>
      <c r="BR1193" s="129" t="str">
        <f t="shared" si="855"/>
        <v>DETAINED</v>
      </c>
      <c r="BS1193" s="129" t="str">
        <f t="shared" si="856"/>
        <v>DISPOSED</v>
      </c>
      <c r="BT1193" s="129" t="str">
        <f t="shared" si="857"/>
        <v>Y</v>
      </c>
      <c r="BU1193" s="109">
        <f t="shared" si="858"/>
        <v>0.5845588235294118</v>
      </c>
      <c r="BV1193" s="109">
        <f t="shared" si="859"/>
        <v>1</v>
      </c>
      <c r="BW1193" s="109">
        <f t="shared" si="882"/>
        <v>0.4154411764705882</v>
      </c>
      <c r="BX1193" s="111">
        <f t="shared" si="860"/>
        <v>0</v>
      </c>
      <c r="BY1193" s="129">
        <f t="shared" si="861"/>
        <v>-159</v>
      </c>
      <c r="BZ1193" s="111">
        <f t="shared" si="862"/>
        <v>0</v>
      </c>
      <c r="CA1193" s="138">
        <f t="shared" si="863"/>
        <v>159</v>
      </c>
      <c r="CB1193" s="111" t="e">
        <f t="shared" si="887"/>
        <v>#VALUE!</v>
      </c>
      <c r="CC1193" s="129">
        <f>G1193-I1193+1</f>
        <v>159</v>
      </c>
      <c r="CD1193" s="129">
        <f>G1193-J1193</f>
        <v>0</v>
      </c>
      <c r="CE1193" s="129">
        <f t="shared" si="864"/>
        <v>0</v>
      </c>
      <c r="CG1193" s="129" t="str">
        <f t="shared" si="865"/>
        <v>Y</v>
      </c>
      <c r="CI1193" s="129" t="str">
        <f t="shared" si="866"/>
        <v>121-365 DAYS</v>
      </c>
      <c r="CJ1193" s="137">
        <f t="shared" si="867"/>
        <v>6</v>
      </c>
      <c r="CK1193" s="129" t="str">
        <f t="shared" si="868"/>
        <v>Booked</v>
      </c>
    </row>
    <row r="1194" spans="1:89" ht="15.75" customHeight="1" x14ac:dyDescent="0.25">
      <c r="A1194" s="111">
        <v>2763</v>
      </c>
      <c r="B1194" s="128" t="str">
        <f t="shared" si="848"/>
        <v>N</v>
      </c>
      <c r="C1194" s="128" t="str">
        <f t="shared" si="849"/>
        <v>N</v>
      </c>
      <c r="D1194" s="117">
        <v>1857022</v>
      </c>
      <c r="E1194" s="135">
        <f t="shared" si="850"/>
        <v>6</v>
      </c>
      <c r="F1194" s="124">
        <v>41011</v>
      </c>
      <c r="G1194" s="125">
        <v>41113</v>
      </c>
      <c r="H1194" s="117">
        <v>1857022</v>
      </c>
      <c r="I1194" s="124">
        <v>41011</v>
      </c>
      <c r="J1194" s="124">
        <v>41113</v>
      </c>
      <c r="K1194" s="126" t="s">
        <v>564</v>
      </c>
      <c r="L1194" s="127" t="s">
        <v>564</v>
      </c>
      <c r="N1194" s="129" t="s">
        <v>566</v>
      </c>
      <c r="O1194" s="128" t="s">
        <v>917</v>
      </c>
      <c r="P1194" s="129" t="s">
        <v>39</v>
      </c>
      <c r="Q1194" s="111">
        <f t="shared" si="883"/>
        <v>103</v>
      </c>
      <c r="R1194" s="111">
        <f t="shared" si="876"/>
        <v>103</v>
      </c>
      <c r="S1194" s="129">
        <v>2</v>
      </c>
      <c r="T1194" s="129">
        <v>2</v>
      </c>
      <c r="U1194" s="129">
        <v>1</v>
      </c>
      <c r="W1194" s="111"/>
      <c r="AC1194" s="130"/>
      <c r="AD1194" s="130">
        <v>30560</v>
      </c>
      <c r="AE1194" s="128" t="s">
        <v>32</v>
      </c>
      <c r="AF1194" s="128" t="s">
        <v>69</v>
      </c>
      <c r="AG1194" s="128" t="s">
        <v>874</v>
      </c>
      <c r="AH1194" s="108" t="s">
        <v>31</v>
      </c>
      <c r="AI1194" s="128" t="s">
        <v>47</v>
      </c>
      <c r="AJ1194" s="129" t="s">
        <v>89</v>
      </c>
      <c r="AK1194" s="129">
        <v>4</v>
      </c>
      <c r="AL1194" s="3" t="s">
        <v>362</v>
      </c>
      <c r="AM1194" s="117">
        <v>4</v>
      </c>
      <c r="AP1194" s="129" t="s">
        <v>117</v>
      </c>
      <c r="AR1194" s="128" t="s">
        <v>67</v>
      </c>
      <c r="AS1194" s="129" t="s">
        <v>45</v>
      </c>
      <c r="BC1194" s="129" t="s">
        <v>38</v>
      </c>
      <c r="BF1194" s="111">
        <f t="shared" si="885"/>
        <v>103</v>
      </c>
      <c r="BG1194" s="111">
        <f t="shared" si="886"/>
        <v>103</v>
      </c>
      <c r="BH1194" s="111">
        <f t="shared" si="845"/>
        <v>103</v>
      </c>
      <c r="BI1194" s="111">
        <f t="shared" si="846"/>
        <v>28.55464480874317</v>
      </c>
      <c r="BJ1194" s="129">
        <f t="shared" si="851"/>
        <v>0</v>
      </c>
      <c r="BK1194" s="129">
        <f t="shared" si="847"/>
        <v>0</v>
      </c>
      <c r="BL1194" s="129" t="str">
        <f t="shared" si="881"/>
        <v>CONVICTION</v>
      </c>
      <c r="BM1194" s="129" t="str">
        <f t="shared" si="852"/>
        <v>NONE</v>
      </c>
      <c r="BN1194" s="129" t="s">
        <v>566</v>
      </c>
      <c r="BP1194" s="137" t="str">
        <f t="shared" si="853"/>
        <v>CONVICTION</v>
      </c>
      <c r="BQ1194" s="128" t="str">
        <f t="shared" si="854"/>
        <v>Y</v>
      </c>
      <c r="BR1194" s="129" t="str">
        <f t="shared" si="855"/>
        <v>DETAINED</v>
      </c>
      <c r="BS1194" s="129" t="str">
        <f t="shared" si="856"/>
        <v>DISPOSED</v>
      </c>
      <c r="BT1194" s="129" t="str">
        <f t="shared" si="857"/>
        <v>Y</v>
      </c>
      <c r="BU1194" s="109">
        <f t="shared" si="858"/>
        <v>1</v>
      </c>
      <c r="BV1194" s="109">
        <f t="shared" si="859"/>
        <v>1</v>
      </c>
      <c r="BW1194" s="109">
        <f t="shared" si="882"/>
        <v>0</v>
      </c>
      <c r="BX1194" s="111">
        <f t="shared" si="860"/>
        <v>0</v>
      </c>
      <c r="BY1194" s="129">
        <f t="shared" si="861"/>
        <v>-103</v>
      </c>
      <c r="BZ1194" s="111">
        <f t="shared" si="862"/>
        <v>0</v>
      </c>
      <c r="CA1194" s="138">
        <f t="shared" si="863"/>
        <v>103</v>
      </c>
      <c r="CB1194" s="111" t="e">
        <f t="shared" si="887"/>
        <v>#VALUE!</v>
      </c>
      <c r="CC1194" s="129">
        <f>G1194-I1194+1</f>
        <v>103</v>
      </c>
      <c r="CD1194" s="129">
        <f>G1194-J1194</f>
        <v>0</v>
      </c>
      <c r="CE1194" s="129">
        <f t="shared" si="864"/>
        <v>0</v>
      </c>
      <c r="CG1194" s="129" t="str">
        <f t="shared" si="865"/>
        <v>Y</v>
      </c>
      <c r="CI1194" s="129" t="str">
        <f t="shared" si="866"/>
        <v>91-120 DAYS</v>
      </c>
      <c r="CJ1194" s="137">
        <f t="shared" si="867"/>
        <v>0</v>
      </c>
      <c r="CK1194" s="129" t="str">
        <f t="shared" si="868"/>
        <v>Booked</v>
      </c>
    </row>
    <row r="1195" spans="1:89" ht="15.75" customHeight="1" x14ac:dyDescent="0.25">
      <c r="A1195" s="111">
        <v>1832</v>
      </c>
      <c r="B1195" s="128" t="str">
        <f t="shared" si="848"/>
        <v>N</v>
      </c>
      <c r="C1195" s="128" t="str">
        <f t="shared" si="849"/>
        <v>N</v>
      </c>
      <c r="D1195" s="117">
        <v>1857787</v>
      </c>
      <c r="E1195" s="135">
        <f t="shared" si="850"/>
        <v>5</v>
      </c>
      <c r="F1195" s="124">
        <v>40976</v>
      </c>
      <c r="G1195" s="125">
        <v>40980</v>
      </c>
      <c r="H1195" s="117">
        <v>1857787</v>
      </c>
      <c r="I1195" s="124">
        <v>40977</v>
      </c>
      <c r="J1195" s="124">
        <v>40980</v>
      </c>
      <c r="K1195" s="126">
        <v>15000</v>
      </c>
      <c r="L1195" s="127" t="s">
        <v>571</v>
      </c>
      <c r="N1195" s="129" t="str">
        <f>IF(M1195&gt;1/1/1,"Y","N")</f>
        <v>N</v>
      </c>
      <c r="O1195" s="128" t="s">
        <v>917</v>
      </c>
      <c r="P1195" s="129" t="s">
        <v>39</v>
      </c>
      <c r="Q1195" s="111">
        <f t="shared" si="883"/>
        <v>4</v>
      </c>
      <c r="R1195" s="111">
        <f t="shared" si="876"/>
        <v>5</v>
      </c>
      <c r="S1195" s="129">
        <v>3</v>
      </c>
      <c r="T1195" s="129">
        <v>2</v>
      </c>
      <c r="U1195" s="129">
        <v>3</v>
      </c>
      <c r="W1195" s="111"/>
      <c r="AC1195" s="130"/>
      <c r="AD1195" s="130">
        <v>25925</v>
      </c>
      <c r="AE1195" s="128" t="s">
        <v>32</v>
      </c>
      <c r="AF1195" s="128" t="s">
        <v>33</v>
      </c>
      <c r="AG1195" s="128" t="s">
        <v>872</v>
      </c>
      <c r="AH1195" s="108" t="s">
        <v>31</v>
      </c>
      <c r="AI1195" s="128" t="s">
        <v>80</v>
      </c>
      <c r="AJ1195" s="129" t="s">
        <v>89</v>
      </c>
      <c r="AK1195" s="129">
        <v>1</v>
      </c>
      <c r="AL1195" s="3" t="s">
        <v>992</v>
      </c>
      <c r="AN1195" s="117">
        <v>7</v>
      </c>
      <c r="AP1195" s="129" t="s">
        <v>127</v>
      </c>
      <c r="AR1195" s="128" t="s">
        <v>44</v>
      </c>
      <c r="AS1195" s="129" t="s">
        <v>82</v>
      </c>
      <c r="BC1195" s="129" t="s">
        <v>38</v>
      </c>
      <c r="BF1195" s="111">
        <f t="shared" si="885"/>
        <v>4</v>
      </c>
      <c r="BG1195" s="111">
        <f t="shared" si="886"/>
        <v>4</v>
      </c>
      <c r="BH1195" s="111">
        <f t="shared" si="845"/>
        <v>5</v>
      </c>
      <c r="BI1195" s="111">
        <f t="shared" si="846"/>
        <v>41.122950819672134</v>
      </c>
      <c r="BJ1195" s="129">
        <f t="shared" si="851"/>
        <v>0</v>
      </c>
      <c r="BK1195" s="129">
        <f t="shared" si="847"/>
        <v>0</v>
      </c>
      <c r="BL1195" s="129" t="str">
        <f t="shared" si="881"/>
        <v>CONVICTION</v>
      </c>
      <c r="BM1195" s="129" t="str">
        <f t="shared" si="852"/>
        <v>NONE</v>
      </c>
      <c r="BN1195" s="129" t="s">
        <v>566</v>
      </c>
      <c r="BP1195" s="137" t="str">
        <f t="shared" si="853"/>
        <v>CONVICTION</v>
      </c>
      <c r="BQ1195" s="128" t="str">
        <f t="shared" si="854"/>
        <v>Y</v>
      </c>
      <c r="BR1195" s="129" t="str">
        <f t="shared" si="855"/>
        <v>DETAINED</v>
      </c>
      <c r="BS1195" s="129" t="str">
        <f t="shared" si="856"/>
        <v>DISPOSED</v>
      </c>
      <c r="BT1195" s="129" t="str">
        <f t="shared" si="857"/>
        <v>Y</v>
      </c>
      <c r="BU1195" s="109">
        <f t="shared" si="858"/>
        <v>0.8</v>
      </c>
      <c r="BV1195" s="109">
        <f t="shared" si="859"/>
        <v>1</v>
      </c>
      <c r="BW1195" s="109">
        <f t="shared" si="882"/>
        <v>0.19999999999999996</v>
      </c>
      <c r="BX1195" s="111">
        <f t="shared" si="860"/>
        <v>0</v>
      </c>
      <c r="BY1195" s="129">
        <f t="shared" si="861"/>
        <v>-4</v>
      </c>
      <c r="BZ1195" s="111">
        <f t="shared" si="862"/>
        <v>0</v>
      </c>
      <c r="CA1195" s="138">
        <f t="shared" si="863"/>
        <v>4</v>
      </c>
      <c r="CB1195" s="111" t="e">
        <f t="shared" si="887"/>
        <v>#VALUE!</v>
      </c>
      <c r="CC1195" s="129">
        <f>G1195-I1195+1</f>
        <v>4</v>
      </c>
      <c r="CD1195" s="129">
        <f>G1195-J1195</f>
        <v>0</v>
      </c>
      <c r="CE1195" s="129">
        <f t="shared" si="864"/>
        <v>0</v>
      </c>
      <c r="CG1195" s="129" t="str">
        <f t="shared" si="865"/>
        <v>Y</v>
      </c>
      <c r="CI1195" s="129" t="str">
        <f t="shared" si="866"/>
        <v>0-10 DAYS</v>
      </c>
      <c r="CJ1195" s="137">
        <f t="shared" si="867"/>
        <v>1</v>
      </c>
      <c r="CK1195" s="129" t="str">
        <f t="shared" si="868"/>
        <v>Booked</v>
      </c>
    </row>
    <row r="1196" spans="1:89" ht="15.75" customHeight="1" x14ac:dyDescent="0.25">
      <c r="A1196" s="111">
        <v>2320</v>
      </c>
      <c r="B1196" s="128" t="str">
        <f t="shared" si="848"/>
        <v>N</v>
      </c>
      <c r="C1196" s="128" t="str">
        <f t="shared" si="849"/>
        <v>N</v>
      </c>
      <c r="D1196" s="117">
        <v>1858137</v>
      </c>
      <c r="E1196" s="135">
        <f t="shared" si="850"/>
        <v>2</v>
      </c>
      <c r="F1196" s="124">
        <v>40996</v>
      </c>
      <c r="G1196" s="125">
        <v>41010</v>
      </c>
      <c r="H1196" s="117">
        <v>1858137</v>
      </c>
      <c r="I1196" s="124">
        <v>41009</v>
      </c>
      <c r="J1196" s="124">
        <v>41010</v>
      </c>
      <c r="K1196" s="126" t="s">
        <v>564</v>
      </c>
      <c r="L1196" s="127" t="s">
        <v>564</v>
      </c>
      <c r="N1196" s="129" t="s">
        <v>566</v>
      </c>
      <c r="O1196" s="128" t="s">
        <v>917</v>
      </c>
      <c r="P1196" s="129" t="s">
        <v>589</v>
      </c>
      <c r="Q1196" s="111">
        <f t="shared" si="883"/>
        <v>2</v>
      </c>
      <c r="R1196" s="111">
        <f t="shared" si="876"/>
        <v>15</v>
      </c>
      <c r="S1196" s="129">
        <v>0</v>
      </c>
      <c r="T1196" s="129">
        <v>4</v>
      </c>
      <c r="W1196" s="111"/>
      <c r="AC1196" s="130"/>
      <c r="AD1196" s="130">
        <v>30414</v>
      </c>
      <c r="AE1196" s="128" t="s">
        <v>32</v>
      </c>
      <c r="AF1196" s="128" t="s">
        <v>33</v>
      </c>
      <c r="AG1196" s="128" t="s">
        <v>872</v>
      </c>
      <c r="AH1196" s="108" t="s">
        <v>58</v>
      </c>
      <c r="AI1196" s="128" t="s">
        <v>85</v>
      </c>
      <c r="AJ1196" s="129" t="s">
        <v>48</v>
      </c>
      <c r="AK1196" s="129">
        <v>2</v>
      </c>
      <c r="AL1196" s="3" t="s">
        <v>48</v>
      </c>
      <c r="AP1196" s="129" t="s">
        <v>150</v>
      </c>
      <c r="AR1196" s="128" t="s">
        <v>67</v>
      </c>
      <c r="AS1196" s="129" t="s">
        <v>74</v>
      </c>
      <c r="BC1196" s="129" t="s">
        <v>38</v>
      </c>
      <c r="BF1196" s="111">
        <f t="shared" si="885"/>
        <v>2</v>
      </c>
      <c r="BG1196" s="111">
        <f t="shared" si="886"/>
        <v>2</v>
      </c>
      <c r="BH1196" s="111">
        <f t="shared" si="845"/>
        <v>15</v>
      </c>
      <c r="BI1196" s="111">
        <f t="shared" si="846"/>
        <v>28.912568306010929</v>
      </c>
      <c r="BJ1196" s="129">
        <f t="shared" si="851"/>
        <v>0</v>
      </c>
      <c r="BK1196" s="129">
        <f t="shared" si="847"/>
        <v>0</v>
      </c>
      <c r="BL1196" s="129" t="str">
        <f t="shared" si="881"/>
        <v>DEFERRED</v>
      </c>
      <c r="BM1196" s="129" t="str">
        <f t="shared" si="852"/>
        <v>NONE</v>
      </c>
      <c r="BN1196" s="129" t="s">
        <v>566</v>
      </c>
      <c r="BP1196" s="137" t="str">
        <f t="shared" si="853"/>
        <v>DEFERRED</v>
      </c>
      <c r="BQ1196" s="128" t="str">
        <f t="shared" si="854"/>
        <v>Y</v>
      </c>
      <c r="BR1196" s="129" t="str">
        <f t="shared" si="855"/>
        <v>DETAINED</v>
      </c>
      <c r="BS1196" s="129" t="str">
        <f t="shared" si="856"/>
        <v>DISPOSED</v>
      </c>
      <c r="BT1196" s="129" t="str">
        <f t="shared" si="857"/>
        <v>N</v>
      </c>
      <c r="BU1196" s="109">
        <f t="shared" si="858"/>
        <v>0.13333333333333333</v>
      </c>
      <c r="BV1196" s="109">
        <f t="shared" si="859"/>
        <v>1</v>
      </c>
      <c r="BW1196" s="109">
        <f t="shared" si="882"/>
        <v>0.8666666666666667</v>
      </c>
      <c r="BX1196" s="111">
        <f t="shared" si="860"/>
        <v>0</v>
      </c>
      <c r="BY1196" s="129">
        <f t="shared" si="861"/>
        <v>-2</v>
      </c>
      <c r="BZ1196" s="111">
        <f t="shared" si="862"/>
        <v>0</v>
      </c>
      <c r="CA1196" s="138">
        <f t="shared" si="863"/>
        <v>2</v>
      </c>
      <c r="CB1196" s="111" t="e">
        <f t="shared" si="887"/>
        <v>#VALUE!</v>
      </c>
      <c r="CC1196" s="129">
        <f>G1196-I1196+1</f>
        <v>2</v>
      </c>
      <c r="CD1196" s="129">
        <f>G1196-J1196</f>
        <v>0</v>
      </c>
      <c r="CE1196" s="129">
        <f t="shared" si="864"/>
        <v>0</v>
      </c>
      <c r="CG1196" s="129" t="str">
        <f t="shared" si="865"/>
        <v>Y</v>
      </c>
      <c r="CI1196" s="129" t="str">
        <f t="shared" si="866"/>
        <v>0-10 DAYS</v>
      </c>
      <c r="CJ1196" s="137">
        <f t="shared" si="867"/>
        <v>1</v>
      </c>
      <c r="CK1196" s="129" t="str">
        <f t="shared" si="868"/>
        <v>Booked</v>
      </c>
    </row>
    <row r="1197" spans="1:89" ht="15.75" customHeight="1" x14ac:dyDescent="0.25">
      <c r="A1197" s="111">
        <v>2481</v>
      </c>
      <c r="B1197" s="128" t="str">
        <f t="shared" si="848"/>
        <v>N</v>
      </c>
      <c r="C1197" s="128" t="str">
        <f t="shared" si="849"/>
        <v>N</v>
      </c>
      <c r="D1197" s="117">
        <v>1858701</v>
      </c>
      <c r="E1197" s="135">
        <f t="shared" si="850"/>
        <v>1</v>
      </c>
      <c r="F1197" s="124">
        <v>41002</v>
      </c>
      <c r="G1197" s="125">
        <v>41087</v>
      </c>
      <c r="H1197" s="117">
        <v>1858701</v>
      </c>
      <c r="I1197" s="124">
        <v>41003</v>
      </c>
      <c r="J1197" s="124">
        <v>41005</v>
      </c>
      <c r="K1197" s="126">
        <v>10000</v>
      </c>
      <c r="L1197" s="127" t="s">
        <v>570</v>
      </c>
      <c r="M1197" s="125">
        <v>41005</v>
      </c>
      <c r="N1197" s="129" t="str">
        <f t="shared" ref="N1197:N1202" si="890">IF(M1197&gt;1/1/1,"Y","N")</f>
        <v>Y</v>
      </c>
      <c r="O1197" s="128" t="s">
        <v>76</v>
      </c>
      <c r="P1197" s="129" t="s">
        <v>55</v>
      </c>
      <c r="Q1197" s="111">
        <f t="shared" si="883"/>
        <v>3</v>
      </c>
      <c r="R1197" s="111">
        <f t="shared" si="876"/>
        <v>86</v>
      </c>
      <c r="S1197" s="129">
        <v>2</v>
      </c>
      <c r="T1197" s="129">
        <v>6</v>
      </c>
      <c r="U1197" s="129">
        <v>2</v>
      </c>
      <c r="W1197" s="111"/>
      <c r="AC1197" s="130"/>
      <c r="AD1197" s="130">
        <v>30830</v>
      </c>
      <c r="AE1197" s="128" t="s">
        <v>32</v>
      </c>
      <c r="AF1197" s="128" t="s">
        <v>33</v>
      </c>
      <c r="AG1197" s="128" t="s">
        <v>872</v>
      </c>
      <c r="AH1197" s="108" t="s">
        <v>58</v>
      </c>
      <c r="AI1197" s="128" t="s">
        <v>97</v>
      </c>
      <c r="AJ1197" s="129" t="s">
        <v>55</v>
      </c>
      <c r="AK1197" s="129">
        <v>4</v>
      </c>
      <c r="AL1197" s="3" t="s">
        <v>55</v>
      </c>
      <c r="AP1197" s="129" t="s">
        <v>186</v>
      </c>
      <c r="AR1197" s="128" t="s">
        <v>50</v>
      </c>
      <c r="AS1197" s="129" t="s">
        <v>106</v>
      </c>
      <c r="AT1197" s="129" t="s">
        <v>447</v>
      </c>
      <c r="BC1197" s="129" t="s">
        <v>38</v>
      </c>
      <c r="BF1197" s="111">
        <f t="shared" si="885"/>
        <v>3</v>
      </c>
      <c r="BG1197" s="111">
        <f t="shared" si="886"/>
        <v>85</v>
      </c>
      <c r="BH1197" s="111">
        <f t="shared" si="845"/>
        <v>86</v>
      </c>
      <c r="BI1197" s="111">
        <f t="shared" si="846"/>
        <v>27.792349726775956</v>
      </c>
      <c r="BJ1197" s="129">
        <f>(G1197-J1197)+(M1197-G1197)</f>
        <v>0</v>
      </c>
      <c r="BK1197" s="129">
        <f t="shared" si="847"/>
        <v>-82</v>
      </c>
      <c r="BL1197" s="129" t="str">
        <f t="shared" si="881"/>
        <v>NO CONVICTION</v>
      </c>
      <c r="BM1197" s="129" t="s">
        <v>76</v>
      </c>
      <c r="BN1197" s="129" t="s">
        <v>88</v>
      </c>
      <c r="BP1197" s="137" t="str">
        <f t="shared" si="853"/>
        <v>NO CONVICTION</v>
      </c>
      <c r="BQ1197" s="128" t="str">
        <f t="shared" si="854"/>
        <v>Y</v>
      </c>
      <c r="BR1197" s="129" t="str">
        <f t="shared" si="855"/>
        <v>ON BOND</v>
      </c>
      <c r="BS1197" s="129" t="str">
        <f t="shared" si="856"/>
        <v>DISPOSED</v>
      </c>
      <c r="BT1197" s="129" t="str">
        <f t="shared" si="857"/>
        <v>Y</v>
      </c>
      <c r="BU1197" s="109">
        <f>IFERROR(Q1197/R1197,BR1197)</f>
        <v>3.4883720930232558E-2</v>
      </c>
      <c r="BV1197" s="109">
        <f t="shared" si="859"/>
        <v>3.5294117647058823E-2</v>
      </c>
      <c r="BW1197" s="109">
        <f t="shared" si="882"/>
        <v>4.1039671682626538E-4</v>
      </c>
      <c r="BX1197" s="111">
        <f t="shared" si="860"/>
        <v>0</v>
      </c>
      <c r="BY1197" s="129">
        <f t="shared" si="861"/>
        <v>-3</v>
      </c>
      <c r="BZ1197" s="111">
        <f t="shared" si="862"/>
        <v>0</v>
      </c>
      <c r="CA1197" s="138">
        <f t="shared" si="863"/>
        <v>3</v>
      </c>
      <c r="CB1197" s="111" t="e">
        <f t="shared" si="887"/>
        <v>#VALUE!</v>
      </c>
      <c r="CC1197" s="129">
        <f>M1197-I1197+1</f>
        <v>3</v>
      </c>
      <c r="CD1197" s="111">
        <f>CC1197-BF1197</f>
        <v>0</v>
      </c>
      <c r="CE1197" s="129">
        <f t="shared" si="864"/>
        <v>82</v>
      </c>
      <c r="CG1197" s="129" t="str">
        <f t="shared" si="865"/>
        <v>Y</v>
      </c>
      <c r="CI1197" s="129" t="str">
        <f t="shared" si="866"/>
        <v>0-10 DAYS</v>
      </c>
      <c r="CJ1197" s="137">
        <f t="shared" si="867"/>
        <v>1</v>
      </c>
      <c r="CK1197" s="129" t="str">
        <f t="shared" si="868"/>
        <v>Booked</v>
      </c>
    </row>
    <row r="1198" spans="1:89" ht="15.75" customHeight="1" x14ac:dyDescent="0.25">
      <c r="A1198" s="111">
        <v>2377</v>
      </c>
      <c r="B1198" s="128" t="str">
        <f t="shared" si="848"/>
        <v>N</v>
      </c>
      <c r="C1198" s="128" t="str">
        <f t="shared" si="849"/>
        <v>N</v>
      </c>
      <c r="D1198" s="117">
        <v>1859546</v>
      </c>
      <c r="E1198" s="135">
        <f t="shared" si="850"/>
        <v>5</v>
      </c>
      <c r="F1198" s="124">
        <v>40998</v>
      </c>
      <c r="G1198" s="125">
        <v>41010</v>
      </c>
      <c r="H1198" s="117">
        <v>1859546</v>
      </c>
      <c r="I1198" s="124">
        <v>41009</v>
      </c>
      <c r="J1198" s="124">
        <v>41010</v>
      </c>
      <c r="K1198" s="126">
        <v>20000</v>
      </c>
      <c r="L1198" s="127" t="s">
        <v>571</v>
      </c>
      <c r="N1198" s="129" t="str">
        <f t="shared" si="890"/>
        <v>N</v>
      </c>
      <c r="O1198" s="128" t="s">
        <v>917</v>
      </c>
      <c r="P1198" s="129" t="s">
        <v>39</v>
      </c>
      <c r="Q1198" s="111">
        <f t="shared" si="883"/>
        <v>2</v>
      </c>
      <c r="R1198" s="111">
        <f t="shared" si="876"/>
        <v>13</v>
      </c>
      <c r="S1198" s="129">
        <v>3</v>
      </c>
      <c r="T1198" s="129">
        <v>1</v>
      </c>
      <c r="U1198" s="129">
        <v>3</v>
      </c>
      <c r="W1198" s="111"/>
      <c r="AB1198" s="131" t="s">
        <v>112</v>
      </c>
      <c r="AC1198" s="130"/>
      <c r="AD1198" s="130">
        <v>30693</v>
      </c>
      <c r="AE1198" s="128" t="s">
        <v>32</v>
      </c>
      <c r="AF1198" s="128" t="s">
        <v>40</v>
      </c>
      <c r="AG1198" s="128" t="s">
        <v>41</v>
      </c>
      <c r="AH1198" s="108" t="s">
        <v>31</v>
      </c>
      <c r="AI1198" s="128" t="s">
        <v>70</v>
      </c>
      <c r="AJ1198" s="129" t="s">
        <v>89</v>
      </c>
      <c r="AK1198" s="129">
        <v>2</v>
      </c>
      <c r="AL1198" s="3" t="s">
        <v>992</v>
      </c>
      <c r="AN1198" s="117">
        <v>6</v>
      </c>
      <c r="AP1198" s="129" t="s">
        <v>306</v>
      </c>
      <c r="AR1198" s="128" t="s">
        <v>44</v>
      </c>
      <c r="AS1198" s="129" t="s">
        <v>64</v>
      </c>
      <c r="BC1198" s="129" t="s">
        <v>38</v>
      </c>
      <c r="BF1198" s="111">
        <f t="shared" si="885"/>
        <v>2</v>
      </c>
      <c r="BG1198" s="111">
        <f t="shared" si="886"/>
        <v>2</v>
      </c>
      <c r="BH1198" s="111">
        <f t="shared" si="845"/>
        <v>13</v>
      </c>
      <c r="BI1198" s="111">
        <f t="shared" si="846"/>
        <v>28.155737704918032</v>
      </c>
      <c r="BJ1198" s="129">
        <f t="shared" si="851"/>
        <v>0</v>
      </c>
      <c r="BK1198" s="129">
        <f t="shared" si="847"/>
        <v>0</v>
      </c>
      <c r="BL1198" s="129" t="str">
        <f t="shared" si="881"/>
        <v>CONVICTION</v>
      </c>
      <c r="BM1198" s="129" t="str">
        <f t="shared" si="852"/>
        <v>NONE</v>
      </c>
      <c r="BN1198" s="129" t="s">
        <v>566</v>
      </c>
      <c r="BP1198" s="137" t="str">
        <f t="shared" si="853"/>
        <v>CONVICTION</v>
      </c>
      <c r="BQ1198" s="128" t="str">
        <f t="shared" si="854"/>
        <v>Y</v>
      </c>
      <c r="BR1198" s="129" t="str">
        <f t="shared" si="855"/>
        <v>DETAINED</v>
      </c>
      <c r="BS1198" s="129" t="str">
        <f t="shared" si="856"/>
        <v>DISPOSED</v>
      </c>
      <c r="BT1198" s="129" t="str">
        <f t="shared" si="857"/>
        <v>Y</v>
      </c>
      <c r="BU1198" s="109">
        <f t="shared" si="858"/>
        <v>0.15384615384615385</v>
      </c>
      <c r="BV1198" s="109">
        <f t="shared" si="859"/>
        <v>1</v>
      </c>
      <c r="BW1198" s="109">
        <f t="shared" si="882"/>
        <v>0.84615384615384615</v>
      </c>
      <c r="BX1198" s="111">
        <f t="shared" si="860"/>
        <v>0</v>
      </c>
      <c r="BY1198" s="129">
        <f t="shared" si="861"/>
        <v>-2</v>
      </c>
      <c r="BZ1198" s="111">
        <f t="shared" si="862"/>
        <v>0</v>
      </c>
      <c r="CA1198" s="138">
        <f t="shared" si="863"/>
        <v>2</v>
      </c>
      <c r="CB1198" s="111" t="e">
        <f t="shared" si="887"/>
        <v>#VALUE!</v>
      </c>
      <c r="CC1198" s="129">
        <f>G1198-I1198+1</f>
        <v>2</v>
      </c>
      <c r="CD1198" s="129">
        <f>G1198-J1198</f>
        <v>0</v>
      </c>
      <c r="CE1198" s="129">
        <f t="shared" si="864"/>
        <v>0</v>
      </c>
      <c r="CG1198" s="129" t="str">
        <f t="shared" si="865"/>
        <v>Y</v>
      </c>
      <c r="CI1198" s="129" t="str">
        <f t="shared" si="866"/>
        <v>0-10 DAYS</v>
      </c>
      <c r="CJ1198" s="137">
        <f t="shared" si="867"/>
        <v>1</v>
      </c>
      <c r="CK1198" s="129" t="str">
        <f t="shared" si="868"/>
        <v>Booked</v>
      </c>
    </row>
    <row r="1199" spans="1:89" ht="15.75" customHeight="1" x14ac:dyDescent="0.25">
      <c r="A1199" s="111">
        <v>1031</v>
      </c>
      <c r="B1199" s="128" t="str">
        <f t="shared" si="848"/>
        <v>N</v>
      </c>
      <c r="C1199" s="128" t="str">
        <f t="shared" si="849"/>
        <v>N</v>
      </c>
      <c r="D1199" s="117">
        <v>1860101</v>
      </c>
      <c r="E1199" s="135">
        <f t="shared" si="850"/>
        <v>4</v>
      </c>
      <c r="F1199" s="124">
        <v>40947</v>
      </c>
      <c r="G1199" s="125">
        <v>41085</v>
      </c>
      <c r="H1199" s="117">
        <v>1860101</v>
      </c>
      <c r="I1199" s="124">
        <v>40952</v>
      </c>
      <c r="J1199" s="124">
        <v>41085</v>
      </c>
      <c r="K1199" s="126">
        <v>2000</v>
      </c>
      <c r="L1199" s="127" t="s">
        <v>568</v>
      </c>
      <c r="N1199" s="129" t="str">
        <f t="shared" si="890"/>
        <v>N</v>
      </c>
      <c r="O1199" s="128" t="s">
        <v>917</v>
      </c>
      <c r="P1199" s="129" t="s">
        <v>39</v>
      </c>
      <c r="Q1199" s="111">
        <f t="shared" si="883"/>
        <v>134</v>
      </c>
      <c r="R1199" s="111">
        <f t="shared" si="876"/>
        <v>139</v>
      </c>
      <c r="S1199" s="129">
        <v>1</v>
      </c>
      <c r="T1199" s="129">
        <v>4</v>
      </c>
      <c r="W1199" s="111"/>
      <c r="AC1199" s="130"/>
      <c r="AD1199" s="130">
        <v>30201</v>
      </c>
      <c r="AE1199" s="128" t="s">
        <v>46</v>
      </c>
      <c r="AF1199" s="128" t="s">
        <v>33</v>
      </c>
      <c r="AG1199" s="128" t="s">
        <v>872</v>
      </c>
      <c r="AH1199" s="108" t="s">
        <v>58</v>
      </c>
      <c r="AI1199" s="128" t="s">
        <v>87</v>
      </c>
      <c r="AJ1199" s="129" t="s">
        <v>89</v>
      </c>
      <c r="AK1199" s="129">
        <v>7</v>
      </c>
      <c r="AL1199" s="3" t="s">
        <v>991</v>
      </c>
      <c r="AO1199" s="128">
        <v>240</v>
      </c>
      <c r="AP1199" s="129" t="s">
        <v>108</v>
      </c>
      <c r="AR1199" s="128" t="s">
        <v>44</v>
      </c>
      <c r="AS1199" s="129" t="s">
        <v>61</v>
      </c>
      <c r="BC1199" s="129" t="s">
        <v>38</v>
      </c>
      <c r="BF1199" s="111">
        <f t="shared" si="885"/>
        <v>134</v>
      </c>
      <c r="BG1199" s="111">
        <f t="shared" si="886"/>
        <v>134</v>
      </c>
      <c r="BH1199" s="111">
        <f t="shared" si="845"/>
        <v>139</v>
      </c>
      <c r="BI1199" s="111">
        <f t="shared" si="846"/>
        <v>29.360655737704917</v>
      </c>
      <c r="BJ1199" s="129">
        <f t="shared" si="851"/>
        <v>0</v>
      </c>
      <c r="BK1199" s="129">
        <f t="shared" si="847"/>
        <v>0</v>
      </c>
      <c r="BL1199" s="129" t="str">
        <f t="shared" si="881"/>
        <v>CONVICTION</v>
      </c>
      <c r="BM1199" s="129" t="str">
        <f t="shared" si="852"/>
        <v>NONE</v>
      </c>
      <c r="BN1199" s="129" t="s">
        <v>566</v>
      </c>
      <c r="BP1199" s="137" t="str">
        <f t="shared" si="853"/>
        <v>CONVICTION</v>
      </c>
      <c r="BQ1199" s="128" t="str">
        <f t="shared" si="854"/>
        <v>Y</v>
      </c>
      <c r="BR1199" s="129" t="str">
        <f t="shared" si="855"/>
        <v>DETAINED</v>
      </c>
      <c r="BS1199" s="129" t="str">
        <f t="shared" si="856"/>
        <v>DISPOSED</v>
      </c>
      <c r="BT1199" s="129" t="str">
        <f t="shared" si="857"/>
        <v>Y</v>
      </c>
      <c r="BU1199" s="109">
        <f t="shared" si="858"/>
        <v>0.96402877697841727</v>
      </c>
      <c r="BV1199" s="109">
        <f t="shared" si="859"/>
        <v>1</v>
      </c>
      <c r="BW1199" s="109">
        <f t="shared" si="882"/>
        <v>3.5971223021582732E-2</v>
      </c>
      <c r="BX1199" s="111">
        <f t="shared" si="860"/>
        <v>0</v>
      </c>
      <c r="BY1199" s="129">
        <f t="shared" si="861"/>
        <v>-134</v>
      </c>
      <c r="BZ1199" s="111">
        <f t="shared" si="862"/>
        <v>0</v>
      </c>
      <c r="CA1199" s="138">
        <f t="shared" si="863"/>
        <v>134</v>
      </c>
      <c r="CB1199" s="111" t="e">
        <f t="shared" si="887"/>
        <v>#VALUE!</v>
      </c>
      <c r="CC1199" s="129">
        <f>G1199-I1199+1</f>
        <v>134</v>
      </c>
      <c r="CD1199" s="129">
        <f>G1199-J1199</f>
        <v>0</v>
      </c>
      <c r="CE1199" s="129">
        <f t="shared" si="864"/>
        <v>0</v>
      </c>
      <c r="CG1199" s="129" t="str">
        <f t="shared" si="865"/>
        <v>Y</v>
      </c>
      <c r="CI1199" s="129" t="str">
        <f t="shared" si="866"/>
        <v>121-365 DAYS</v>
      </c>
      <c r="CJ1199" s="137">
        <f t="shared" si="867"/>
        <v>6</v>
      </c>
      <c r="CK1199" s="129" t="str">
        <f t="shared" si="868"/>
        <v>Booked</v>
      </c>
    </row>
    <row r="1200" spans="1:89" ht="15.75" customHeight="1" x14ac:dyDescent="0.25">
      <c r="A1200" s="111">
        <v>1823</v>
      </c>
      <c r="B1200" s="128" t="str">
        <f t="shared" si="848"/>
        <v>N</v>
      </c>
      <c r="C1200" s="128" t="str">
        <f t="shared" si="849"/>
        <v>Y</v>
      </c>
      <c r="D1200" s="114">
        <v>1860365</v>
      </c>
      <c r="E1200" s="135" t="str">
        <f t="shared" si="850"/>
        <v/>
      </c>
      <c r="F1200" s="124">
        <v>40976</v>
      </c>
      <c r="G1200" s="125"/>
      <c r="H1200" s="114">
        <v>1860365</v>
      </c>
      <c r="I1200" s="124">
        <v>40976</v>
      </c>
      <c r="J1200" s="124">
        <v>40978</v>
      </c>
      <c r="K1200" s="126">
        <v>2500</v>
      </c>
      <c r="L1200" s="127" t="s">
        <v>569</v>
      </c>
      <c r="M1200" s="125">
        <v>40978</v>
      </c>
      <c r="N1200" s="129" t="str">
        <f t="shared" si="890"/>
        <v>Y</v>
      </c>
      <c r="O1200" s="128" t="s">
        <v>585</v>
      </c>
      <c r="P1200" s="32" t="s">
        <v>605</v>
      </c>
      <c r="Q1200" s="111" t="str">
        <f>BF1200</f>
        <v>STILL OPEN - FUGITIVE</v>
      </c>
      <c r="R1200" s="111" t="str">
        <f t="shared" si="876"/>
        <v>STILL OPEN - FUGITIVE</v>
      </c>
      <c r="S1200" s="129">
        <v>1</v>
      </c>
      <c r="T1200" s="129">
        <v>1</v>
      </c>
      <c r="V1200" s="117">
        <v>1</v>
      </c>
      <c r="W1200" s="111"/>
      <c r="AC1200" s="130"/>
      <c r="AD1200" s="130">
        <v>30427</v>
      </c>
      <c r="AE1200" s="128" t="s">
        <v>32</v>
      </c>
      <c r="AF1200" s="128" t="s">
        <v>33</v>
      </c>
      <c r="AG1200" s="128" t="s">
        <v>872</v>
      </c>
      <c r="AH1200" s="108" t="s">
        <v>31</v>
      </c>
      <c r="AI1200" s="128" t="s">
        <v>71</v>
      </c>
      <c r="AJ1200" s="129" t="s">
        <v>31</v>
      </c>
      <c r="AP1200" s="129" t="s">
        <v>313</v>
      </c>
      <c r="AR1200" s="128" t="s">
        <v>46</v>
      </c>
      <c r="AS1200" s="129" t="s">
        <v>45</v>
      </c>
      <c r="AU1200" s="123" t="s">
        <v>743</v>
      </c>
      <c r="AV1200" s="3" t="s">
        <v>88</v>
      </c>
      <c r="AW1200" s="123" t="s">
        <v>868</v>
      </c>
      <c r="AX1200" s="123"/>
      <c r="AY1200" s="123" t="s">
        <v>88</v>
      </c>
      <c r="BA1200" s="125">
        <v>41409</v>
      </c>
      <c r="BB1200" s="32">
        <v>2823</v>
      </c>
      <c r="BC1200" s="129" t="s">
        <v>79</v>
      </c>
      <c r="BF1200" s="111" t="s">
        <v>1318</v>
      </c>
      <c r="BG1200" s="111" t="s">
        <v>1318</v>
      </c>
      <c r="BH1200" s="111" t="s">
        <v>1318</v>
      </c>
      <c r="BI1200" s="111">
        <f t="shared" si="846"/>
        <v>28.8224043715847</v>
      </c>
      <c r="BJ1200" s="129">
        <f>(G1200-J1200)+(M1200-G1200)</f>
        <v>0</v>
      </c>
      <c r="BK1200" s="129">
        <f t="shared" si="847"/>
        <v>40978</v>
      </c>
      <c r="BL1200" s="129">
        <f>IF(OR(AL1200="AQUITTAL",AL1200="DISMISSED",AL1200="FINE",AL1200="NO BILL"),"NO CONVICTION",IF(OR(AL1200="HCJ",AL1200="MHH",AL1200="PROBATION",AL1200="STJ",AL1200="TDC"),"CONVICTION",IF(AL1200="DEFERRED","DEFERRED",0)))</f>
        <v>0</v>
      </c>
      <c r="BM1200" s="129" t="s">
        <v>76</v>
      </c>
      <c r="BN1200" s="129" t="s">
        <v>566</v>
      </c>
      <c r="BP1200" s="137" t="str">
        <f t="shared" si="853"/>
        <v/>
      </c>
      <c r="BQ1200" s="128" t="str">
        <f t="shared" si="854"/>
        <v>Y</v>
      </c>
      <c r="BR1200" s="129" t="s">
        <v>1318</v>
      </c>
      <c r="BS1200" s="129" t="s">
        <v>588</v>
      </c>
      <c r="BT1200" s="129" t="str">
        <f t="shared" si="857"/>
        <v>Y</v>
      </c>
      <c r="BU1200" s="109" t="str">
        <f>IFERROR(Q1200/R1200,BR1200)</f>
        <v>STILL OPEN - FUGITIVE</v>
      </c>
      <c r="BV1200" s="129" t="s">
        <v>588</v>
      </c>
      <c r="BW1200" s="109">
        <v>0</v>
      </c>
      <c r="BX1200" s="111" t="e">
        <f t="shared" si="860"/>
        <v>#VALUE!</v>
      </c>
      <c r="BY1200" s="129">
        <f t="shared" si="861"/>
        <v>-3</v>
      </c>
      <c r="BZ1200" s="111" t="e">
        <f t="shared" si="862"/>
        <v>#VALUE!</v>
      </c>
      <c r="CA1200" s="138" t="e">
        <f t="shared" si="863"/>
        <v>#VALUE!</v>
      </c>
      <c r="CB1200" s="111" t="s">
        <v>1318</v>
      </c>
      <c r="CC1200" s="129" t="s">
        <v>588</v>
      </c>
      <c r="CE1200" s="129">
        <f t="shared" si="864"/>
        <v>-40978</v>
      </c>
      <c r="CG1200" s="129" t="str">
        <f t="shared" si="865"/>
        <v>Y</v>
      </c>
      <c r="CH1200" s="129" t="e">
        <v>#N/A</v>
      </c>
      <c r="CI1200" s="129" t="str">
        <f t="shared" si="866"/>
        <v>&gt;3YRS</v>
      </c>
      <c r="CJ1200" s="137">
        <f t="shared" si="867"/>
        <v>9</v>
      </c>
      <c r="CK1200" s="129" t="str">
        <f t="shared" si="868"/>
        <v>Booked</v>
      </c>
    </row>
    <row r="1201" spans="1:89" ht="15" customHeight="1" x14ac:dyDescent="0.25">
      <c r="A1201" s="111">
        <v>2687</v>
      </c>
      <c r="B1201" s="128" t="str">
        <f t="shared" si="848"/>
        <v>N</v>
      </c>
      <c r="C1201" s="128" t="str">
        <f t="shared" si="849"/>
        <v>N</v>
      </c>
      <c r="D1201" s="117">
        <v>1860697</v>
      </c>
      <c r="E1201" s="135">
        <f t="shared" si="850"/>
        <v>5</v>
      </c>
      <c r="F1201" s="124">
        <v>41009</v>
      </c>
      <c r="G1201" s="125">
        <v>41064</v>
      </c>
      <c r="H1201" s="117">
        <v>1860697</v>
      </c>
      <c r="I1201" s="124">
        <v>41009</v>
      </c>
      <c r="J1201" s="124">
        <v>41064</v>
      </c>
      <c r="K1201" s="126">
        <v>15000</v>
      </c>
      <c r="L1201" s="127" t="s">
        <v>571</v>
      </c>
      <c r="N1201" s="129" t="str">
        <f t="shared" si="890"/>
        <v>N</v>
      </c>
      <c r="O1201" s="128" t="s">
        <v>917</v>
      </c>
      <c r="P1201" s="129" t="s">
        <v>39</v>
      </c>
      <c r="Q1201" s="111">
        <f t="shared" si="883"/>
        <v>56</v>
      </c>
      <c r="R1201" s="111">
        <f t="shared" si="876"/>
        <v>56</v>
      </c>
      <c r="S1201" s="129">
        <v>3</v>
      </c>
      <c r="T1201" s="129">
        <v>8</v>
      </c>
      <c r="U1201" s="129">
        <v>3</v>
      </c>
      <c r="W1201" s="111"/>
      <c r="AC1201" s="130"/>
      <c r="AD1201" s="130">
        <v>30403</v>
      </c>
      <c r="AE1201" s="128" t="s">
        <v>32</v>
      </c>
      <c r="AF1201" s="128" t="s">
        <v>33</v>
      </c>
      <c r="AG1201" s="128" t="s">
        <v>872</v>
      </c>
      <c r="AH1201" s="108" t="s">
        <v>58</v>
      </c>
      <c r="AI1201" s="128" t="s">
        <v>97</v>
      </c>
      <c r="AJ1201" s="129" t="s">
        <v>89</v>
      </c>
      <c r="AK1201" s="129">
        <v>4</v>
      </c>
      <c r="AL1201" s="3" t="s">
        <v>992</v>
      </c>
      <c r="AN1201" s="117">
        <v>6</v>
      </c>
      <c r="AP1201" s="129" t="s">
        <v>221</v>
      </c>
      <c r="AR1201" s="128" t="s">
        <v>67</v>
      </c>
      <c r="AS1201" s="129" t="s">
        <v>64</v>
      </c>
      <c r="AY1201" s="123"/>
      <c r="BC1201" s="129" t="s">
        <v>38</v>
      </c>
      <c r="BF1201" s="111">
        <f t="shared" si="885"/>
        <v>56</v>
      </c>
      <c r="BG1201" s="111">
        <f t="shared" si="886"/>
        <v>56</v>
      </c>
      <c r="BH1201" s="111">
        <f t="shared" si="845"/>
        <v>56</v>
      </c>
      <c r="BI1201" s="111">
        <f t="shared" si="846"/>
        <v>28.978142076502731</v>
      </c>
      <c r="BJ1201" s="129">
        <f t="shared" si="851"/>
        <v>0</v>
      </c>
      <c r="BK1201" s="129">
        <f t="shared" si="847"/>
        <v>0</v>
      </c>
      <c r="BL1201" s="129" t="str">
        <f t="shared" si="881"/>
        <v>CONVICTION</v>
      </c>
      <c r="BM1201" s="129" t="str">
        <f t="shared" si="852"/>
        <v>NONE</v>
      </c>
      <c r="BN1201" s="129" t="s">
        <v>566</v>
      </c>
      <c r="BP1201" s="137" t="str">
        <f t="shared" si="853"/>
        <v>CONVICTION</v>
      </c>
      <c r="BQ1201" s="128" t="str">
        <f t="shared" si="854"/>
        <v>Y</v>
      </c>
      <c r="BR1201" s="129" t="str">
        <f t="shared" si="855"/>
        <v>DETAINED</v>
      </c>
      <c r="BS1201" s="129" t="str">
        <f t="shared" si="856"/>
        <v>DISPOSED</v>
      </c>
      <c r="BT1201" s="129" t="str">
        <f t="shared" si="857"/>
        <v>Y</v>
      </c>
      <c r="BU1201" s="109">
        <f t="shared" si="858"/>
        <v>1</v>
      </c>
      <c r="BV1201" s="109">
        <f t="shared" si="859"/>
        <v>1</v>
      </c>
      <c r="BW1201" s="109">
        <f>BV1201-BU1201</f>
        <v>0</v>
      </c>
      <c r="BX1201" s="111">
        <f t="shared" si="860"/>
        <v>0</v>
      </c>
      <c r="BY1201" s="129">
        <f t="shared" si="861"/>
        <v>-56</v>
      </c>
      <c r="BZ1201" s="111">
        <f t="shared" si="862"/>
        <v>0</v>
      </c>
      <c r="CA1201" s="138">
        <f t="shared" si="863"/>
        <v>56</v>
      </c>
      <c r="CB1201" s="111" t="e">
        <f t="shared" si="887"/>
        <v>#VALUE!</v>
      </c>
      <c r="CC1201" s="129">
        <f>G1201-I1201+1</f>
        <v>56</v>
      </c>
      <c r="CD1201" s="129">
        <f>G1201-J1201</f>
        <v>0</v>
      </c>
      <c r="CE1201" s="129">
        <f t="shared" si="864"/>
        <v>0</v>
      </c>
      <c r="CG1201" s="129" t="str">
        <f t="shared" si="865"/>
        <v>Y</v>
      </c>
      <c r="CI1201" s="129" t="str">
        <f t="shared" si="866"/>
        <v>31-60 DAYS</v>
      </c>
      <c r="CJ1201" s="137">
        <f t="shared" si="867"/>
        <v>3</v>
      </c>
      <c r="CK1201" s="129" t="str">
        <f t="shared" si="868"/>
        <v>Booked</v>
      </c>
    </row>
    <row r="1202" spans="1:89" ht="15.75" customHeight="1" x14ac:dyDescent="0.25">
      <c r="A1202" s="111">
        <v>1430</v>
      </c>
      <c r="B1202" s="128" t="str">
        <f t="shared" si="848"/>
        <v>N</v>
      </c>
      <c r="C1202" s="128" t="str">
        <f t="shared" si="849"/>
        <v>N</v>
      </c>
      <c r="D1202" s="117">
        <v>1860758</v>
      </c>
      <c r="E1202" s="135">
        <f t="shared" si="850"/>
        <v>6</v>
      </c>
      <c r="F1202" s="124">
        <v>40961</v>
      </c>
      <c r="G1202" s="125">
        <v>41977</v>
      </c>
      <c r="H1202" s="117">
        <v>1860758</v>
      </c>
      <c r="I1202" s="124">
        <v>41492</v>
      </c>
      <c r="J1202" s="125">
        <v>41977</v>
      </c>
      <c r="K1202" s="126" t="s">
        <v>564</v>
      </c>
      <c r="L1202" s="127" t="s">
        <v>564</v>
      </c>
      <c r="N1202" s="129" t="str">
        <f t="shared" si="890"/>
        <v>N</v>
      </c>
      <c r="O1202" s="128" t="s">
        <v>917</v>
      </c>
      <c r="P1202" s="129" t="s">
        <v>1144</v>
      </c>
      <c r="Q1202" s="111">
        <v>485</v>
      </c>
      <c r="R1202" s="111">
        <v>1006</v>
      </c>
      <c r="S1202" s="129">
        <v>4</v>
      </c>
      <c r="T1202" s="129">
        <v>4</v>
      </c>
      <c r="U1202" s="129">
        <v>2</v>
      </c>
      <c r="W1202" s="111"/>
      <c r="AC1202" s="130"/>
      <c r="AD1202" s="130">
        <v>30271</v>
      </c>
      <c r="AE1202" s="128" t="s">
        <v>32</v>
      </c>
      <c r="AF1202" s="128" t="s">
        <v>40</v>
      </c>
      <c r="AG1202" s="128" t="s">
        <v>41</v>
      </c>
      <c r="AH1202" s="108" t="s">
        <v>41</v>
      </c>
      <c r="AI1202" s="128" t="s">
        <v>87</v>
      </c>
      <c r="AJ1202" s="129" t="s">
        <v>89</v>
      </c>
      <c r="AK1202" s="129">
        <v>21</v>
      </c>
      <c r="AL1202" s="3" t="s">
        <v>362</v>
      </c>
      <c r="AM1202" s="117">
        <v>99</v>
      </c>
      <c r="AP1202" s="129" t="s">
        <v>179</v>
      </c>
      <c r="AR1202" s="128" t="s">
        <v>92</v>
      </c>
      <c r="AS1202" s="129" t="s">
        <v>180</v>
      </c>
      <c r="AT1202" s="129" t="s">
        <v>1357</v>
      </c>
      <c r="BC1202" s="129" t="s">
        <v>38</v>
      </c>
      <c r="BF1202" s="111">
        <v>485</v>
      </c>
      <c r="BG1202" s="111">
        <v>525</v>
      </c>
      <c r="BH1202" s="111">
        <v>1006</v>
      </c>
      <c r="BI1202" s="111">
        <f t="shared" si="846"/>
        <v>29.207650273224044</v>
      </c>
      <c r="BJ1202" s="129">
        <f t="shared" si="851"/>
        <v>0</v>
      </c>
      <c r="BK1202" s="129">
        <f t="shared" si="847"/>
        <v>0</v>
      </c>
      <c r="BL1202" s="129" t="str">
        <f t="shared" si="881"/>
        <v>CONVICTION</v>
      </c>
      <c r="BM1202" s="129" t="str">
        <f t="shared" si="852"/>
        <v>NONE</v>
      </c>
      <c r="BN1202" s="129" t="s">
        <v>566</v>
      </c>
      <c r="BP1202" s="137" t="str">
        <f t="shared" si="853"/>
        <v>CONVICTION</v>
      </c>
      <c r="BQ1202" s="128" t="str">
        <f t="shared" si="854"/>
        <v>Y</v>
      </c>
      <c r="BR1202" s="129" t="str">
        <f t="shared" si="855"/>
        <v>DETAINED</v>
      </c>
      <c r="BS1202" s="129" t="s">
        <v>1259</v>
      </c>
      <c r="BT1202" s="129" t="str">
        <f t="shared" si="857"/>
        <v>Y</v>
      </c>
      <c r="BU1202" s="109">
        <f>IFERROR(Q1202/R1202,BR1202)</f>
        <v>0.48210735586481113</v>
      </c>
      <c r="BV1202" s="139">
        <v>0.48209999999999997</v>
      </c>
      <c r="BW1202" s="109">
        <v>0</v>
      </c>
      <c r="BX1202" s="111">
        <f t="shared" si="860"/>
        <v>0</v>
      </c>
      <c r="BY1202" s="129">
        <f t="shared" si="861"/>
        <v>-486</v>
      </c>
      <c r="BZ1202" s="111">
        <f t="shared" si="862"/>
        <v>-1</v>
      </c>
      <c r="CA1202" s="138">
        <f t="shared" si="863"/>
        <v>486</v>
      </c>
      <c r="CB1202" s="111" t="e">
        <f t="shared" si="887"/>
        <v>#VALUE!</v>
      </c>
      <c r="CC1202" s="129">
        <v>485</v>
      </c>
      <c r="CE1202" s="129">
        <f t="shared" si="864"/>
        <v>0</v>
      </c>
      <c r="CG1202" s="129" t="str">
        <f t="shared" si="865"/>
        <v>Y</v>
      </c>
      <c r="CH1202" s="129" t="e">
        <v>#N/A</v>
      </c>
      <c r="CI1202" s="129" t="str">
        <f t="shared" si="866"/>
        <v xml:space="preserve"> &gt;1YRS&lt;2YRS</v>
      </c>
      <c r="CJ1202" s="137">
        <f t="shared" si="867"/>
        <v>0</v>
      </c>
      <c r="CK1202" s="129" t="str">
        <f t="shared" si="868"/>
        <v>Booked</v>
      </c>
    </row>
    <row r="1203" spans="1:89" ht="15" customHeight="1" x14ac:dyDescent="0.25">
      <c r="A1203" s="111">
        <v>862</v>
      </c>
      <c r="B1203" s="128" t="str">
        <f t="shared" si="848"/>
        <v>N</v>
      </c>
      <c r="C1203" s="128" t="str">
        <f t="shared" si="849"/>
        <v>N</v>
      </c>
      <c r="D1203" s="117">
        <v>1860874</v>
      </c>
      <c r="E1203" s="135" t="str">
        <f t="shared" si="850"/>
        <v/>
      </c>
      <c r="F1203" s="124">
        <v>40941</v>
      </c>
      <c r="G1203" s="125"/>
      <c r="H1203" s="117">
        <v>1860874</v>
      </c>
      <c r="I1203" s="124">
        <v>40946</v>
      </c>
      <c r="J1203" s="124"/>
      <c r="K1203" s="126" t="s">
        <v>564</v>
      </c>
      <c r="L1203" s="127" t="s">
        <v>564</v>
      </c>
      <c r="N1203" s="129" t="s">
        <v>566</v>
      </c>
      <c r="O1203" s="128" t="s">
        <v>917</v>
      </c>
      <c r="P1203" s="129" t="s">
        <v>31</v>
      </c>
      <c r="Q1203" s="111" t="str">
        <f t="shared" ref="Q1203" si="891">BF1203</f>
        <v>STILL OPEN</v>
      </c>
      <c r="R1203" s="111" t="str">
        <f t="shared" ref="R1203" si="892">BH1203</f>
        <v>STILL OPEN</v>
      </c>
      <c r="S1203" s="129">
        <v>1</v>
      </c>
      <c r="T1203" s="129">
        <v>1</v>
      </c>
      <c r="U1203" s="129">
        <v>1</v>
      </c>
      <c r="W1203" s="111"/>
      <c r="AC1203" s="130"/>
      <c r="AD1203" s="130">
        <v>30346</v>
      </c>
      <c r="AE1203" s="128" t="s">
        <v>32</v>
      </c>
      <c r="AF1203" s="128" t="s">
        <v>33</v>
      </c>
      <c r="AG1203" s="128" t="s">
        <v>872</v>
      </c>
      <c r="AH1203" s="108" t="s">
        <v>31</v>
      </c>
      <c r="AI1203" s="128" t="s">
        <v>80</v>
      </c>
      <c r="AJ1203" s="129" t="s">
        <v>31</v>
      </c>
      <c r="AP1203" s="129" t="s">
        <v>101</v>
      </c>
      <c r="AR1203" s="128" t="s">
        <v>67</v>
      </c>
      <c r="AS1203" s="129" t="s">
        <v>64</v>
      </c>
      <c r="AT1203" s="129" t="s">
        <v>1358</v>
      </c>
      <c r="BC1203" s="129" t="s">
        <v>38</v>
      </c>
      <c r="BF1203" s="111" t="s">
        <v>588</v>
      </c>
      <c r="BG1203" s="111" t="str">
        <f t="shared" ref="BG1203" si="893">IF(G1203&gt;1/1/1900,((G1203+1)-I1203),"STILL OPEN")</f>
        <v>STILL OPEN</v>
      </c>
      <c r="BH1203" s="111" t="str">
        <f t="shared" ref="BH1203" si="894">IF(G1203&gt;1/1/1900,((G1203+1)-F1203),"STILL OPEN")</f>
        <v>STILL OPEN</v>
      </c>
      <c r="BI1203" s="111">
        <f t="shared" si="846"/>
        <v>28.948087431693988</v>
      </c>
      <c r="BJ1203" s="129">
        <f t="shared" si="851"/>
        <v>0</v>
      </c>
      <c r="BK1203" s="129">
        <f t="shared" si="847"/>
        <v>0</v>
      </c>
      <c r="BL1203" s="129">
        <f t="shared" si="881"/>
        <v>0</v>
      </c>
      <c r="BM1203" s="129" t="str">
        <f t="shared" si="852"/>
        <v>NONE</v>
      </c>
      <c r="BN1203" s="129" t="s">
        <v>566</v>
      </c>
      <c r="BP1203" s="137" t="str">
        <f t="shared" si="853"/>
        <v/>
      </c>
      <c r="BQ1203" s="128" t="str">
        <f t="shared" si="854"/>
        <v>Y</v>
      </c>
      <c r="BR1203" s="129" t="s">
        <v>588</v>
      </c>
      <c r="BS1203" s="129" t="s">
        <v>588</v>
      </c>
      <c r="BT1203" s="129" t="str">
        <f t="shared" si="857"/>
        <v>Y</v>
      </c>
      <c r="BU1203" s="109" t="str">
        <f>IFERROR(Q1203/R1203,BR1203)</f>
        <v>STILL OPEN</v>
      </c>
      <c r="BV1203" s="129" t="s">
        <v>588</v>
      </c>
      <c r="BW1203" s="109">
        <v>0</v>
      </c>
      <c r="BX1203" s="111" t="e">
        <f t="shared" si="860"/>
        <v>#VALUE!</v>
      </c>
      <c r="BY1203" s="129">
        <f t="shared" si="861"/>
        <v>40945</v>
      </c>
      <c r="BZ1203" s="111" t="e">
        <f t="shared" si="862"/>
        <v>#VALUE!</v>
      </c>
      <c r="CA1203" s="138" t="e">
        <f t="shared" si="863"/>
        <v>#VALUE!</v>
      </c>
      <c r="CB1203" s="111" t="s">
        <v>588</v>
      </c>
      <c r="CC1203" s="129" t="s">
        <v>588</v>
      </c>
      <c r="CE1203" s="129">
        <f t="shared" si="864"/>
        <v>0</v>
      </c>
      <c r="CG1203" s="129" t="str">
        <f t="shared" si="865"/>
        <v>Y</v>
      </c>
      <c r="CH1203" s="129" t="e">
        <v>#N/A</v>
      </c>
      <c r="CI1203" s="129" t="str">
        <f t="shared" si="866"/>
        <v>&gt;3YRS</v>
      </c>
      <c r="CJ1203" s="137">
        <f t="shared" si="867"/>
        <v>9</v>
      </c>
      <c r="CK1203" s="129" t="str">
        <f t="shared" si="868"/>
        <v>Booked</v>
      </c>
    </row>
    <row r="1204" spans="1:89" ht="15.75" customHeight="1" x14ac:dyDescent="0.25">
      <c r="A1204" s="111">
        <v>2975</v>
      </c>
      <c r="B1204" s="128" t="str">
        <f t="shared" si="848"/>
        <v>N</v>
      </c>
      <c r="C1204" s="128" t="str">
        <f t="shared" si="849"/>
        <v>N</v>
      </c>
      <c r="D1204" s="117">
        <v>1861298</v>
      </c>
      <c r="E1204" s="135">
        <f t="shared" si="850"/>
        <v>1</v>
      </c>
      <c r="F1204" s="124">
        <v>41018</v>
      </c>
      <c r="G1204" s="125">
        <v>41403</v>
      </c>
      <c r="H1204" s="117">
        <v>1861298</v>
      </c>
      <c r="I1204" s="124" t="s">
        <v>562</v>
      </c>
      <c r="J1204" s="124" t="s">
        <v>562</v>
      </c>
      <c r="K1204" s="126">
        <v>50000</v>
      </c>
      <c r="L1204" s="129" t="s">
        <v>572</v>
      </c>
      <c r="M1204" s="125">
        <v>41023</v>
      </c>
      <c r="N1204" s="129" t="str">
        <f>IF(M1204&gt;1/1/1,"Y",IF(Q1204="NOT BOOKED","","N"))</f>
        <v>Y</v>
      </c>
      <c r="O1204" s="128" t="s">
        <v>585</v>
      </c>
      <c r="P1204" s="129" t="s">
        <v>31</v>
      </c>
      <c r="Q1204" s="111">
        <v>0</v>
      </c>
      <c r="R1204" s="111">
        <f t="shared" si="876"/>
        <v>386</v>
      </c>
      <c r="S1204" s="129">
        <v>0</v>
      </c>
      <c r="T1204" s="129">
        <v>1</v>
      </c>
      <c r="W1204" s="111"/>
      <c r="AC1204" s="130"/>
      <c r="AD1204" s="130">
        <v>29778</v>
      </c>
      <c r="AE1204" s="128" t="s">
        <v>32</v>
      </c>
      <c r="AF1204" s="128" t="s">
        <v>40</v>
      </c>
      <c r="AG1204" s="128" t="s">
        <v>41</v>
      </c>
      <c r="AH1204" s="108" t="s">
        <v>41</v>
      </c>
      <c r="AI1204" s="128" t="s">
        <v>71</v>
      </c>
      <c r="AJ1204" s="129" t="s">
        <v>55</v>
      </c>
      <c r="AK1204" s="129">
        <v>11</v>
      </c>
      <c r="AL1204" s="3" t="s">
        <v>55</v>
      </c>
      <c r="AP1204" s="129" t="s">
        <v>73</v>
      </c>
      <c r="AR1204" s="128" t="s">
        <v>50</v>
      </c>
      <c r="AS1204" s="129" t="s">
        <v>74</v>
      </c>
      <c r="BC1204" s="129" t="s">
        <v>52</v>
      </c>
      <c r="BF1204" s="111">
        <v>0</v>
      </c>
      <c r="BG1204" s="111" t="e">
        <f t="shared" ref="BG1204:BG1208" si="895">IF(G1204&gt;1/1/1900,((G1204+1)-I1204),"STILL OPEN")</f>
        <v>#VALUE!</v>
      </c>
      <c r="BH1204" s="111">
        <f t="shared" si="845"/>
        <v>386</v>
      </c>
      <c r="BI1204" s="111">
        <f t="shared" si="846"/>
        <v>30.710382513661202</v>
      </c>
      <c r="BJ1204" s="129" t="e">
        <f>(G1204-J1204)+(M1204-G1204)</f>
        <v>#VALUE!</v>
      </c>
      <c r="BK1204" s="129" t="e">
        <f t="shared" si="847"/>
        <v>#VALUE!</v>
      </c>
      <c r="BL1204" s="129" t="str">
        <f t="shared" si="881"/>
        <v>NO CONVICTION</v>
      </c>
      <c r="BM1204" s="129" t="s">
        <v>76</v>
      </c>
      <c r="BN1204" s="129" t="s">
        <v>88</v>
      </c>
      <c r="BP1204" s="137" t="str">
        <f t="shared" si="853"/>
        <v>NO CONVICTION</v>
      </c>
      <c r="BQ1204" s="128">
        <f t="shared" si="854"/>
        <v>0</v>
      </c>
      <c r="BR1204" s="129" t="s">
        <v>575</v>
      </c>
      <c r="BS1204" s="129" t="str">
        <f t="shared" si="856"/>
        <v>DISPOSED</v>
      </c>
      <c r="BT1204" s="129" t="str">
        <f t="shared" si="857"/>
        <v>N</v>
      </c>
      <c r="BU1204" s="109">
        <f>IFERROR(Q1204/R1204,BR1204)</f>
        <v>0</v>
      </c>
      <c r="BV1204" s="109">
        <v>0</v>
      </c>
      <c r="BW1204" s="109">
        <f t="shared" ref="BW1204:BW1238" si="896">BV1204-BU1204</f>
        <v>0</v>
      </c>
      <c r="BX1204" s="111">
        <f t="shared" si="860"/>
        <v>0</v>
      </c>
      <c r="BY1204" s="129" t="e">
        <f t="shared" si="861"/>
        <v>#VALUE!</v>
      </c>
      <c r="BZ1204" s="111" t="e">
        <f t="shared" si="862"/>
        <v>#VALUE!</v>
      </c>
      <c r="CA1204" s="138" t="e">
        <f t="shared" si="863"/>
        <v>#VALUE!</v>
      </c>
      <c r="CB1204" s="111" t="s">
        <v>562</v>
      </c>
      <c r="CC1204" s="129">
        <v>0</v>
      </c>
      <c r="CD1204" s="111">
        <f>CC1204-BF1204</f>
        <v>0</v>
      </c>
      <c r="CE1204" s="129" t="e">
        <f t="shared" si="864"/>
        <v>#VALUE!</v>
      </c>
      <c r="CG1204" s="129" t="str">
        <f t="shared" si="865"/>
        <v>Y</v>
      </c>
      <c r="CI1204" s="129" t="str">
        <f t="shared" si="866"/>
        <v>0-10 DAYS</v>
      </c>
      <c r="CJ1204" s="137">
        <f t="shared" si="867"/>
        <v>1</v>
      </c>
      <c r="CK1204" s="129" t="str">
        <f t="shared" si="868"/>
        <v>Not Booked</v>
      </c>
    </row>
    <row r="1205" spans="1:89" ht="15.75" customHeight="1" x14ac:dyDescent="0.25">
      <c r="A1205" s="111">
        <v>1936</v>
      </c>
      <c r="B1205" s="128" t="str">
        <f t="shared" si="848"/>
        <v>N</v>
      </c>
      <c r="C1205" s="128" t="str">
        <f t="shared" si="849"/>
        <v>Y</v>
      </c>
      <c r="D1205" s="117">
        <v>1861331</v>
      </c>
      <c r="E1205" s="135">
        <f t="shared" si="850"/>
        <v>6</v>
      </c>
      <c r="F1205" s="124">
        <v>40981</v>
      </c>
      <c r="G1205" s="125">
        <v>41319</v>
      </c>
      <c r="H1205" s="117">
        <v>1861331</v>
      </c>
      <c r="I1205" s="124">
        <v>40981</v>
      </c>
      <c r="J1205" s="124">
        <v>40982</v>
      </c>
      <c r="K1205" s="126">
        <v>15000</v>
      </c>
      <c r="L1205" s="127" t="s">
        <v>571</v>
      </c>
      <c r="M1205" s="125">
        <v>40982</v>
      </c>
      <c r="N1205" s="129" t="str">
        <f>IF(M1205&gt;1/1/1,"Y","N")</f>
        <v>Y</v>
      </c>
      <c r="O1205" s="128" t="s">
        <v>76</v>
      </c>
      <c r="P1205" s="129" t="s">
        <v>39</v>
      </c>
      <c r="Q1205" s="111">
        <v>190</v>
      </c>
      <c r="R1205" s="111">
        <f t="shared" si="876"/>
        <v>339</v>
      </c>
      <c r="S1205" s="129">
        <v>3</v>
      </c>
      <c r="T1205" s="129">
        <v>3</v>
      </c>
      <c r="U1205" s="129">
        <v>3</v>
      </c>
      <c r="W1205" s="111"/>
      <c r="AC1205" s="130"/>
      <c r="AD1205" s="130">
        <v>30744</v>
      </c>
      <c r="AE1205" s="128" t="s">
        <v>32</v>
      </c>
      <c r="AF1205" s="128" t="s">
        <v>33</v>
      </c>
      <c r="AG1205" s="128" t="s">
        <v>872</v>
      </c>
      <c r="AH1205" s="108" t="s">
        <v>31</v>
      </c>
      <c r="AI1205" s="128" t="s">
        <v>95</v>
      </c>
      <c r="AJ1205" s="129" t="s">
        <v>89</v>
      </c>
      <c r="AK1205" s="129">
        <v>9</v>
      </c>
      <c r="AL1205" s="3" t="s">
        <v>362</v>
      </c>
      <c r="AM1205" s="117">
        <v>3</v>
      </c>
      <c r="AP1205" s="129" t="s">
        <v>107</v>
      </c>
      <c r="AR1205" s="128" t="s">
        <v>44</v>
      </c>
      <c r="AS1205" s="129" t="s">
        <v>57</v>
      </c>
      <c r="AU1205" s="3" t="s">
        <v>748</v>
      </c>
      <c r="AX1205" s="32" t="s">
        <v>88</v>
      </c>
      <c r="BC1205" s="129" t="s">
        <v>38</v>
      </c>
      <c r="BF1205" s="111">
        <v>190</v>
      </c>
      <c r="BG1205" s="111">
        <f t="shared" si="895"/>
        <v>339</v>
      </c>
      <c r="BH1205" s="111">
        <f t="shared" si="845"/>
        <v>339</v>
      </c>
      <c r="BI1205" s="111">
        <f t="shared" si="846"/>
        <v>27.969945355191257</v>
      </c>
      <c r="BJ1205" s="129">
        <f>(G1205-J1205)+(M1205-G1205)</f>
        <v>0</v>
      </c>
      <c r="BK1205" s="129">
        <f t="shared" si="847"/>
        <v>-337</v>
      </c>
      <c r="BL1205" s="129" t="str">
        <f t="shared" si="881"/>
        <v>CONVICTION</v>
      </c>
      <c r="BM1205" s="129" t="s">
        <v>76</v>
      </c>
      <c r="BN1205" s="129" t="s">
        <v>88</v>
      </c>
      <c r="BP1205" s="137" t="str">
        <f t="shared" si="853"/>
        <v>CONVICTION</v>
      </c>
      <c r="BQ1205" s="128" t="str">
        <f t="shared" si="854"/>
        <v>Y</v>
      </c>
      <c r="BR1205" s="129" t="s">
        <v>574</v>
      </c>
      <c r="BS1205" s="129" t="str">
        <f t="shared" si="856"/>
        <v>DISPOSED</v>
      </c>
      <c r="BT1205" s="129" t="str">
        <f t="shared" si="857"/>
        <v>Y</v>
      </c>
      <c r="BU1205" s="109">
        <f t="shared" si="858"/>
        <v>0.56047197640117996</v>
      </c>
      <c r="BV1205" s="109">
        <f t="shared" si="859"/>
        <v>5.8997050147492625E-3</v>
      </c>
      <c r="BW1205" s="109">
        <f t="shared" si="896"/>
        <v>-0.55457227138643073</v>
      </c>
      <c r="BX1205" s="111">
        <f t="shared" si="860"/>
        <v>0</v>
      </c>
      <c r="BY1205" s="129">
        <f t="shared" si="861"/>
        <v>-2</v>
      </c>
      <c r="BZ1205" s="111">
        <f t="shared" si="862"/>
        <v>188</v>
      </c>
      <c r="CA1205" s="138">
        <f t="shared" si="863"/>
        <v>339</v>
      </c>
      <c r="CB1205" s="111">
        <v>190</v>
      </c>
      <c r="CC1205" s="129">
        <f>G1205-I1205+1</f>
        <v>339</v>
      </c>
      <c r="CD1205" s="129">
        <f>G1205-J1205</f>
        <v>337</v>
      </c>
      <c r="CE1205" s="129">
        <f t="shared" si="864"/>
        <v>337</v>
      </c>
      <c r="CG1205" s="129" t="str">
        <f t="shared" si="865"/>
        <v>Y</v>
      </c>
      <c r="CI1205" s="129" t="str">
        <f t="shared" si="866"/>
        <v>121-365 DAYS</v>
      </c>
      <c r="CJ1205" s="137">
        <f t="shared" si="867"/>
        <v>6</v>
      </c>
      <c r="CK1205" s="129" t="str">
        <f t="shared" si="868"/>
        <v>Booked</v>
      </c>
    </row>
    <row r="1206" spans="1:89" ht="15.75" customHeight="1" x14ac:dyDescent="0.25">
      <c r="A1206" s="111">
        <v>2862</v>
      </c>
      <c r="B1206" s="128" t="str">
        <f t="shared" si="848"/>
        <v>N</v>
      </c>
      <c r="C1206" s="128" t="str">
        <f t="shared" si="849"/>
        <v>N</v>
      </c>
      <c r="D1206" s="117">
        <v>1862622</v>
      </c>
      <c r="E1206" s="135">
        <f t="shared" si="850"/>
        <v>5</v>
      </c>
      <c r="F1206" s="124">
        <v>41014</v>
      </c>
      <c r="G1206" s="125">
        <v>41264</v>
      </c>
      <c r="H1206" s="117">
        <v>1862622</v>
      </c>
      <c r="I1206" s="124">
        <v>41015</v>
      </c>
      <c r="J1206" s="124">
        <v>41019</v>
      </c>
      <c r="K1206" s="126">
        <v>40000</v>
      </c>
      <c r="L1206" s="129" t="s">
        <v>572</v>
      </c>
      <c r="M1206" s="125">
        <v>41019</v>
      </c>
      <c r="N1206" s="129" t="str">
        <f>IF(M1206&gt;1/1/1,"Y","N")</f>
        <v>Y</v>
      </c>
      <c r="O1206" s="128" t="s">
        <v>76</v>
      </c>
      <c r="P1206" s="129" t="s">
        <v>39</v>
      </c>
      <c r="Q1206" s="111">
        <f t="shared" si="883"/>
        <v>5</v>
      </c>
      <c r="R1206" s="111">
        <f t="shared" si="876"/>
        <v>251</v>
      </c>
      <c r="S1206" s="129">
        <v>3</v>
      </c>
      <c r="T1206" s="129">
        <v>5</v>
      </c>
      <c r="U1206" s="129">
        <v>1</v>
      </c>
      <c r="W1206" s="111"/>
      <c r="AC1206" s="130"/>
      <c r="AD1206" s="130">
        <v>30655</v>
      </c>
      <c r="AE1206" s="128" t="s">
        <v>32</v>
      </c>
      <c r="AF1206" s="128" t="s">
        <v>33</v>
      </c>
      <c r="AG1206" s="128" t="s">
        <v>872</v>
      </c>
      <c r="AH1206" s="108" t="s">
        <v>31</v>
      </c>
      <c r="AI1206" s="128" t="s">
        <v>47</v>
      </c>
      <c r="AJ1206" s="129" t="s">
        <v>89</v>
      </c>
      <c r="AK1206" s="129">
        <v>11</v>
      </c>
      <c r="AL1206" s="3" t="s">
        <v>992</v>
      </c>
      <c r="AN1206" s="117">
        <v>9</v>
      </c>
      <c r="AP1206" s="129" t="s">
        <v>153</v>
      </c>
      <c r="AR1206" s="128" t="s">
        <v>92</v>
      </c>
      <c r="AS1206" s="129" t="s">
        <v>45</v>
      </c>
      <c r="BC1206" s="129" t="s">
        <v>38</v>
      </c>
      <c r="BF1206" s="111">
        <f>IF(J1206&gt;1/1/1900,((J1206+1)-I1206),"STILL OPEN")</f>
        <v>5</v>
      </c>
      <c r="BG1206" s="111">
        <f t="shared" si="895"/>
        <v>250</v>
      </c>
      <c r="BH1206" s="111">
        <f t="shared" si="845"/>
        <v>251</v>
      </c>
      <c r="BI1206" s="111">
        <f t="shared" si="846"/>
        <v>28.303278688524589</v>
      </c>
      <c r="BJ1206" s="129">
        <f>(G1206-J1206)+(M1206-G1206)</f>
        <v>0</v>
      </c>
      <c r="BK1206" s="129">
        <f t="shared" si="847"/>
        <v>-245</v>
      </c>
      <c r="BL1206" s="129" t="str">
        <f t="shared" si="881"/>
        <v>CONVICTION</v>
      </c>
      <c r="BM1206" s="129" t="s">
        <v>76</v>
      </c>
      <c r="BN1206" s="129" t="s">
        <v>88</v>
      </c>
      <c r="BP1206" s="137" t="str">
        <f t="shared" si="853"/>
        <v>CONVICTION</v>
      </c>
      <c r="BQ1206" s="128" t="str">
        <f t="shared" si="854"/>
        <v>Y</v>
      </c>
      <c r="BR1206" s="129" t="str">
        <f>IF(J1206&lt;G1206,"ON BOND",0)</f>
        <v>ON BOND</v>
      </c>
      <c r="BS1206" s="129" t="str">
        <f t="shared" si="856"/>
        <v>DISPOSED</v>
      </c>
      <c r="BT1206" s="129" t="str">
        <f t="shared" si="857"/>
        <v>Y</v>
      </c>
      <c r="BU1206" s="109">
        <f t="shared" si="858"/>
        <v>1.9920318725099601E-2</v>
      </c>
      <c r="BV1206" s="109">
        <f t="shared" si="859"/>
        <v>0.02</v>
      </c>
      <c r="BW1206" s="109">
        <f t="shared" si="896"/>
        <v>7.9681274900399168E-5</v>
      </c>
      <c r="BX1206" s="111">
        <f t="shared" si="860"/>
        <v>0</v>
      </c>
      <c r="BY1206" s="129">
        <f t="shared" si="861"/>
        <v>-5</v>
      </c>
      <c r="BZ1206" s="111">
        <f t="shared" si="862"/>
        <v>0</v>
      </c>
      <c r="CA1206" s="138">
        <f t="shared" si="863"/>
        <v>5</v>
      </c>
      <c r="CB1206" s="111" t="e">
        <f>IF(AF1206&gt;1/1/1900,((AF1206+1)-AE1206),"STILL OPEN")</f>
        <v>#VALUE!</v>
      </c>
      <c r="CC1206" s="129">
        <f>M1206-I1206+1</f>
        <v>5</v>
      </c>
      <c r="CD1206" s="111">
        <f>CC1206-BF1206</f>
        <v>0</v>
      </c>
      <c r="CE1206" s="129">
        <f t="shared" si="864"/>
        <v>245</v>
      </c>
      <c r="CG1206" s="129" t="str">
        <f t="shared" si="865"/>
        <v>Y</v>
      </c>
      <c r="CI1206" s="129" t="str">
        <f t="shared" si="866"/>
        <v>0-10 DAYS</v>
      </c>
      <c r="CJ1206" s="137">
        <f t="shared" si="867"/>
        <v>1</v>
      </c>
      <c r="CK1206" s="129" t="str">
        <f t="shared" si="868"/>
        <v>Booked</v>
      </c>
    </row>
    <row r="1207" spans="1:89" ht="15" customHeight="1" x14ac:dyDescent="0.25">
      <c r="A1207" s="111">
        <v>1105</v>
      </c>
      <c r="B1207" s="128" t="str">
        <f t="shared" si="848"/>
        <v>N</v>
      </c>
      <c r="C1207" s="128" t="str">
        <f t="shared" si="849"/>
        <v>N</v>
      </c>
      <c r="D1207" s="117">
        <v>1863626</v>
      </c>
      <c r="E1207" s="135">
        <f t="shared" si="850"/>
        <v>4</v>
      </c>
      <c r="F1207" s="124">
        <v>40949</v>
      </c>
      <c r="G1207" s="125">
        <v>40974</v>
      </c>
      <c r="H1207" s="117">
        <v>1863626</v>
      </c>
      <c r="I1207" s="124">
        <v>40949</v>
      </c>
      <c r="J1207" s="124">
        <v>40974</v>
      </c>
      <c r="K1207" s="126">
        <v>20000</v>
      </c>
      <c r="L1207" s="127" t="s">
        <v>571</v>
      </c>
      <c r="N1207" s="129" t="str">
        <f>IF(M1207&gt;1/1/1,"Y","N")</f>
        <v>N</v>
      </c>
      <c r="O1207" s="128" t="s">
        <v>917</v>
      </c>
      <c r="P1207" s="129" t="s">
        <v>39</v>
      </c>
      <c r="Q1207" s="111">
        <f t="shared" si="883"/>
        <v>26</v>
      </c>
      <c r="R1207" s="111">
        <f t="shared" si="876"/>
        <v>26</v>
      </c>
      <c r="S1207" s="129">
        <v>1</v>
      </c>
      <c r="T1207" s="129">
        <v>3</v>
      </c>
      <c r="U1207" s="129">
        <v>1</v>
      </c>
      <c r="W1207" s="111"/>
      <c r="AC1207" s="130"/>
      <c r="AD1207" s="130">
        <v>28704</v>
      </c>
      <c r="AE1207" s="128" t="s">
        <v>32</v>
      </c>
      <c r="AF1207" s="128" t="s">
        <v>33</v>
      </c>
      <c r="AG1207" s="128" t="s">
        <v>872</v>
      </c>
      <c r="AH1207" s="108" t="s">
        <v>31</v>
      </c>
      <c r="AI1207" s="128" t="s">
        <v>114</v>
      </c>
      <c r="AJ1207" s="129" t="s">
        <v>89</v>
      </c>
      <c r="AK1207" s="129">
        <v>2</v>
      </c>
      <c r="AL1207" s="3" t="s">
        <v>991</v>
      </c>
      <c r="AO1207" s="128">
        <v>30</v>
      </c>
      <c r="AP1207" s="129" t="s">
        <v>43</v>
      </c>
      <c r="AR1207" s="128" t="s">
        <v>44</v>
      </c>
      <c r="AS1207" s="129" t="s">
        <v>45</v>
      </c>
      <c r="BC1207" s="129" t="s">
        <v>38</v>
      </c>
      <c r="BF1207" s="111">
        <f>IF(J1207&gt;1/1/1900,((J1207+1)-I1207),"STILL OPEN")</f>
        <v>26</v>
      </c>
      <c r="BG1207" s="111">
        <f t="shared" si="895"/>
        <v>26</v>
      </c>
      <c r="BH1207" s="111">
        <f t="shared" si="845"/>
        <v>26</v>
      </c>
      <c r="BI1207" s="111">
        <f t="shared" si="846"/>
        <v>33.456284153005463</v>
      </c>
      <c r="BJ1207" s="129">
        <f t="shared" si="851"/>
        <v>0</v>
      </c>
      <c r="BK1207" s="129">
        <f t="shared" si="847"/>
        <v>0</v>
      </c>
      <c r="BL1207" s="129" t="str">
        <f t="shared" si="881"/>
        <v>CONVICTION</v>
      </c>
      <c r="BM1207" s="129" t="str">
        <f t="shared" si="852"/>
        <v>NONE</v>
      </c>
      <c r="BN1207" s="129" t="s">
        <v>566</v>
      </c>
      <c r="BP1207" s="137" t="str">
        <f t="shared" si="853"/>
        <v>CONVICTION</v>
      </c>
      <c r="BQ1207" s="128" t="str">
        <f t="shared" si="854"/>
        <v>Y</v>
      </c>
      <c r="BR1207" s="129" t="str">
        <f t="shared" si="855"/>
        <v>DETAINED</v>
      </c>
      <c r="BS1207" s="129" t="str">
        <f t="shared" si="856"/>
        <v>DISPOSED</v>
      </c>
      <c r="BT1207" s="129" t="str">
        <f t="shared" si="857"/>
        <v>Y</v>
      </c>
      <c r="BU1207" s="109">
        <f t="shared" si="858"/>
        <v>1</v>
      </c>
      <c r="BV1207" s="109">
        <f t="shared" si="859"/>
        <v>1</v>
      </c>
      <c r="BW1207" s="109">
        <f t="shared" si="896"/>
        <v>0</v>
      </c>
      <c r="BX1207" s="111">
        <f t="shared" si="860"/>
        <v>0</v>
      </c>
      <c r="BY1207" s="129">
        <f t="shared" si="861"/>
        <v>-26</v>
      </c>
      <c r="BZ1207" s="111">
        <f t="shared" si="862"/>
        <v>0</v>
      </c>
      <c r="CA1207" s="138">
        <f t="shared" si="863"/>
        <v>26</v>
      </c>
      <c r="CB1207" s="111" t="e">
        <f>IF(AF1207&gt;1/1/1900,((AF1207+1)-AE1207),"STILL OPEN")</f>
        <v>#VALUE!</v>
      </c>
      <c r="CC1207" s="129">
        <f>G1207-I1207+1</f>
        <v>26</v>
      </c>
      <c r="CD1207" s="129">
        <f>G1207-J1207</f>
        <v>0</v>
      </c>
      <c r="CE1207" s="129">
        <f t="shared" si="864"/>
        <v>0</v>
      </c>
      <c r="CG1207" s="129" t="str">
        <f t="shared" si="865"/>
        <v>Y</v>
      </c>
      <c r="CI1207" s="129" t="str">
        <f t="shared" si="866"/>
        <v>11-30 DAYS</v>
      </c>
      <c r="CJ1207" s="137">
        <f t="shared" si="867"/>
        <v>2</v>
      </c>
      <c r="CK1207" s="129" t="str">
        <f t="shared" si="868"/>
        <v>Booked</v>
      </c>
    </row>
    <row r="1208" spans="1:89" ht="15.75" customHeight="1" x14ac:dyDescent="0.25">
      <c r="A1208" s="111">
        <v>576</v>
      </c>
      <c r="B1208" s="128" t="str">
        <f t="shared" si="848"/>
        <v>N</v>
      </c>
      <c r="C1208" s="128" t="str">
        <f t="shared" si="849"/>
        <v>N</v>
      </c>
      <c r="D1208" s="117">
        <v>1864374</v>
      </c>
      <c r="E1208" s="135">
        <f t="shared" si="850"/>
        <v>4</v>
      </c>
      <c r="F1208" s="124">
        <v>40932</v>
      </c>
      <c r="G1208" s="125">
        <v>40934</v>
      </c>
      <c r="H1208" s="117">
        <v>1864374</v>
      </c>
      <c r="I1208" s="124">
        <v>40933</v>
      </c>
      <c r="J1208" s="124">
        <v>40934</v>
      </c>
      <c r="K1208" s="126">
        <v>37000</v>
      </c>
      <c r="L1208" s="129" t="s">
        <v>572</v>
      </c>
      <c r="N1208" s="129" t="str">
        <f>IF(M1208&gt;1/1/1,"Y","N")</f>
        <v>N</v>
      </c>
      <c r="O1208" s="128" t="s">
        <v>917</v>
      </c>
      <c r="P1208" s="129" t="s">
        <v>39</v>
      </c>
      <c r="Q1208" s="111">
        <f t="shared" si="883"/>
        <v>2</v>
      </c>
      <c r="R1208" s="111">
        <f t="shared" si="876"/>
        <v>3</v>
      </c>
      <c r="S1208" s="129">
        <v>0</v>
      </c>
      <c r="T1208" s="129">
        <v>2</v>
      </c>
      <c r="W1208" s="111"/>
      <c r="AB1208" s="131" t="s">
        <v>112</v>
      </c>
      <c r="AC1208" s="130"/>
      <c r="AD1208" s="130">
        <v>30792</v>
      </c>
      <c r="AE1208" s="128" t="s">
        <v>32</v>
      </c>
      <c r="AF1208" s="128" t="s">
        <v>40</v>
      </c>
      <c r="AG1208" s="128" t="s">
        <v>41</v>
      </c>
      <c r="AH1208" s="108" t="s">
        <v>31</v>
      </c>
      <c r="AI1208" s="128" t="s">
        <v>42</v>
      </c>
      <c r="AJ1208" s="129" t="s">
        <v>89</v>
      </c>
      <c r="AK1208" s="129">
        <v>2</v>
      </c>
      <c r="AL1208" s="3" t="s">
        <v>991</v>
      </c>
      <c r="AO1208" s="128">
        <v>150</v>
      </c>
      <c r="AP1208" s="129" t="s">
        <v>43</v>
      </c>
      <c r="AR1208" s="128" t="s">
        <v>44</v>
      </c>
      <c r="AS1208" s="129" t="s">
        <v>45</v>
      </c>
      <c r="BC1208" s="129" t="s">
        <v>38</v>
      </c>
      <c r="BF1208" s="111">
        <f>IF(J1208&gt;1/1/1900,((J1208+1)-I1208),"STILL OPEN")</f>
        <v>2</v>
      </c>
      <c r="BG1208" s="111">
        <f t="shared" si="895"/>
        <v>2</v>
      </c>
      <c r="BH1208" s="111">
        <f t="shared" si="845"/>
        <v>3</v>
      </c>
      <c r="BI1208" s="111">
        <f t="shared" si="846"/>
        <v>27.704918032786885</v>
      </c>
      <c r="BJ1208" s="129">
        <f t="shared" si="851"/>
        <v>0</v>
      </c>
      <c r="BK1208" s="129">
        <f t="shared" si="847"/>
        <v>0</v>
      </c>
      <c r="BL1208" s="129" t="str">
        <f t="shared" si="881"/>
        <v>CONVICTION</v>
      </c>
      <c r="BM1208" s="129" t="str">
        <f t="shared" si="852"/>
        <v>NONE</v>
      </c>
      <c r="BN1208" s="129" t="s">
        <v>566</v>
      </c>
      <c r="BP1208" s="137" t="str">
        <f t="shared" si="853"/>
        <v>CONVICTION</v>
      </c>
      <c r="BQ1208" s="128" t="str">
        <f t="shared" si="854"/>
        <v>Y</v>
      </c>
      <c r="BR1208" s="129" t="str">
        <f t="shared" si="855"/>
        <v>DETAINED</v>
      </c>
      <c r="BS1208" s="129" t="str">
        <f t="shared" si="856"/>
        <v>DISPOSED</v>
      </c>
      <c r="BT1208" s="129" t="str">
        <f t="shared" si="857"/>
        <v>N</v>
      </c>
      <c r="BU1208" s="109">
        <f t="shared" si="858"/>
        <v>0.66666666666666663</v>
      </c>
      <c r="BV1208" s="109">
        <f t="shared" si="859"/>
        <v>1</v>
      </c>
      <c r="BW1208" s="109">
        <f t="shared" si="896"/>
        <v>0.33333333333333337</v>
      </c>
      <c r="BX1208" s="111">
        <f t="shared" si="860"/>
        <v>0</v>
      </c>
      <c r="BY1208" s="129">
        <f t="shared" si="861"/>
        <v>-2</v>
      </c>
      <c r="BZ1208" s="111">
        <f t="shared" si="862"/>
        <v>0</v>
      </c>
      <c r="CA1208" s="138">
        <f t="shared" si="863"/>
        <v>2</v>
      </c>
      <c r="CB1208" s="111" t="e">
        <f>IF(AF1208&gt;1/1/1900,((AF1208+1)-AE1208),"STILL OPEN")</f>
        <v>#VALUE!</v>
      </c>
      <c r="CC1208" s="129">
        <f>G1208-I1208+1</f>
        <v>2</v>
      </c>
      <c r="CD1208" s="129">
        <f>G1208-J1208</f>
        <v>0</v>
      </c>
      <c r="CE1208" s="129">
        <f t="shared" si="864"/>
        <v>0</v>
      </c>
      <c r="CG1208" s="129" t="str">
        <f t="shared" si="865"/>
        <v>Y</v>
      </c>
      <c r="CI1208" s="129" t="str">
        <f t="shared" si="866"/>
        <v>0-10 DAYS</v>
      </c>
      <c r="CJ1208" s="137">
        <f t="shared" si="867"/>
        <v>1</v>
      </c>
      <c r="CK1208" s="129" t="str">
        <f t="shared" si="868"/>
        <v>Booked</v>
      </c>
    </row>
    <row r="1209" spans="1:89" ht="15" customHeight="1" x14ac:dyDescent="0.25">
      <c r="A1209" s="111">
        <v>1157</v>
      </c>
      <c r="B1209" s="128" t="str">
        <f t="shared" si="848"/>
        <v>N</v>
      </c>
      <c r="C1209" s="128" t="str">
        <f t="shared" si="849"/>
        <v>N</v>
      </c>
      <c r="D1209" s="117">
        <v>1864572</v>
      </c>
      <c r="E1209" s="135">
        <f t="shared" si="850"/>
        <v>1</v>
      </c>
      <c r="F1209" s="124">
        <v>40950</v>
      </c>
      <c r="G1209" s="125">
        <v>41180</v>
      </c>
      <c r="H1209" s="117">
        <v>1864572</v>
      </c>
      <c r="I1209" s="124" t="s">
        <v>562</v>
      </c>
      <c r="J1209" s="124" t="s">
        <v>562</v>
      </c>
      <c r="K1209" s="126">
        <v>5000</v>
      </c>
      <c r="L1209" s="127" t="s">
        <v>569</v>
      </c>
      <c r="M1209" s="125">
        <v>40959</v>
      </c>
      <c r="N1209" s="129" t="str">
        <f>IF(M1209&gt;1/1/1,"Y",IF(Q1209="0","","N"))</f>
        <v>Y</v>
      </c>
      <c r="O1209" s="128" t="s">
        <v>76</v>
      </c>
      <c r="P1209" s="129" t="s">
        <v>55</v>
      </c>
      <c r="Q1209" s="111">
        <f t="shared" si="883"/>
        <v>0</v>
      </c>
      <c r="R1209" s="111">
        <f t="shared" si="876"/>
        <v>231</v>
      </c>
      <c r="S1209" s="129">
        <v>1</v>
      </c>
      <c r="T1209" s="129">
        <v>2</v>
      </c>
      <c r="W1209" s="111"/>
      <c r="AC1209" s="130"/>
      <c r="AD1209" s="130">
        <v>29290</v>
      </c>
      <c r="AE1209" s="128" t="s">
        <v>32</v>
      </c>
      <c r="AF1209" s="128" t="s">
        <v>33</v>
      </c>
      <c r="AG1209" s="128" t="s">
        <v>872</v>
      </c>
      <c r="AH1209" s="108" t="s">
        <v>58</v>
      </c>
      <c r="AI1209" s="128" t="s">
        <v>62</v>
      </c>
      <c r="AJ1209" s="129" t="s">
        <v>55</v>
      </c>
      <c r="AK1209" s="129">
        <v>9</v>
      </c>
      <c r="AL1209" s="3" t="s">
        <v>55</v>
      </c>
      <c r="AP1209" s="129" t="s">
        <v>93</v>
      </c>
      <c r="AR1209" s="128" t="s">
        <v>67</v>
      </c>
      <c r="AS1209" s="129" t="s">
        <v>45</v>
      </c>
      <c r="BC1209" s="129" t="s">
        <v>52</v>
      </c>
      <c r="BF1209" s="111">
        <v>0</v>
      </c>
      <c r="BG1209" s="111">
        <v>0</v>
      </c>
      <c r="BH1209" s="111">
        <f t="shared" si="845"/>
        <v>231</v>
      </c>
      <c r="BI1209" s="111">
        <f t="shared" si="846"/>
        <v>31.857923497267759</v>
      </c>
      <c r="BJ1209" s="129" t="e">
        <f>(G1209-J1209)+(M1209-G1209)</f>
        <v>#VALUE!</v>
      </c>
      <c r="BK1209" s="129" t="e">
        <f t="shared" si="847"/>
        <v>#VALUE!</v>
      </c>
      <c r="BL1209" s="129" t="str">
        <f t="shared" si="881"/>
        <v>NO CONVICTION</v>
      </c>
      <c r="BM1209" s="129" t="s">
        <v>76</v>
      </c>
      <c r="BN1209" s="129" t="s">
        <v>88</v>
      </c>
      <c r="BP1209" s="137" t="str">
        <f t="shared" si="853"/>
        <v>NO CONVICTION</v>
      </c>
      <c r="BQ1209" s="128">
        <f t="shared" si="854"/>
        <v>0</v>
      </c>
      <c r="BR1209" s="129" t="s">
        <v>575</v>
      </c>
      <c r="BS1209" s="129" t="str">
        <f t="shared" si="856"/>
        <v>DISPOSED</v>
      </c>
      <c r="BT1209" s="129" t="str">
        <f t="shared" si="857"/>
        <v>Y</v>
      </c>
      <c r="BU1209" s="109">
        <f>IFERROR(Q1209/R1209,BR1209)</f>
        <v>0</v>
      </c>
      <c r="BV1209" s="109">
        <v>0</v>
      </c>
      <c r="BW1209" s="109">
        <f t="shared" si="896"/>
        <v>0</v>
      </c>
      <c r="BX1209" s="111">
        <f t="shared" si="860"/>
        <v>0</v>
      </c>
      <c r="BY1209" s="129" t="e">
        <f t="shared" si="861"/>
        <v>#VALUE!</v>
      </c>
      <c r="BZ1209" s="111" t="e">
        <f t="shared" si="862"/>
        <v>#VALUE!</v>
      </c>
      <c r="CA1209" s="138" t="e">
        <f t="shared" si="863"/>
        <v>#VALUE!</v>
      </c>
      <c r="CB1209" s="111">
        <v>0</v>
      </c>
      <c r="CC1209" s="129">
        <v>0</v>
      </c>
      <c r="CD1209" s="111">
        <f>CC1209-BF1209</f>
        <v>0</v>
      </c>
      <c r="CE1209" s="129" t="e">
        <f t="shared" si="864"/>
        <v>#VALUE!</v>
      </c>
      <c r="CG1209" s="129" t="str">
        <f t="shared" si="865"/>
        <v>Y</v>
      </c>
      <c r="CI1209" s="129" t="str">
        <f t="shared" si="866"/>
        <v>0-10 DAYS</v>
      </c>
      <c r="CJ1209" s="137">
        <f t="shared" si="867"/>
        <v>1</v>
      </c>
      <c r="CK1209" s="129" t="str">
        <f t="shared" si="868"/>
        <v>Not Booked</v>
      </c>
    </row>
    <row r="1210" spans="1:89" ht="15" customHeight="1" x14ac:dyDescent="0.25">
      <c r="A1210" s="111">
        <v>2363</v>
      </c>
      <c r="B1210" s="128" t="str">
        <f t="shared" si="848"/>
        <v>N</v>
      </c>
      <c r="C1210" s="128" t="str">
        <f t="shared" si="849"/>
        <v>N</v>
      </c>
      <c r="D1210" s="117">
        <v>1864665</v>
      </c>
      <c r="E1210" s="135">
        <f t="shared" si="850"/>
        <v>4</v>
      </c>
      <c r="F1210" s="124">
        <v>40998</v>
      </c>
      <c r="G1210" s="125">
        <v>41001</v>
      </c>
      <c r="H1210" s="117">
        <v>1864665</v>
      </c>
      <c r="I1210" s="124">
        <v>40998</v>
      </c>
      <c r="J1210" s="124">
        <v>41001</v>
      </c>
      <c r="K1210" s="126">
        <v>5000</v>
      </c>
      <c r="L1210" s="127" t="s">
        <v>569</v>
      </c>
      <c r="N1210" s="129" t="str">
        <f>IF(M1210&gt;1/1/1,"Y","N")</f>
        <v>N</v>
      </c>
      <c r="O1210" s="128" t="s">
        <v>917</v>
      </c>
      <c r="P1210" s="129" t="s">
        <v>39</v>
      </c>
      <c r="Q1210" s="111">
        <f t="shared" si="883"/>
        <v>4</v>
      </c>
      <c r="R1210" s="111">
        <f t="shared" si="876"/>
        <v>4</v>
      </c>
      <c r="S1210" s="129">
        <v>1</v>
      </c>
      <c r="T1210" s="129">
        <v>4</v>
      </c>
      <c r="W1210" s="111"/>
      <c r="AC1210" s="130"/>
      <c r="AD1210" s="130">
        <v>28797</v>
      </c>
      <c r="AE1210" s="128" t="s">
        <v>46</v>
      </c>
      <c r="AF1210" s="128" t="s">
        <v>33</v>
      </c>
      <c r="AG1210" s="128" t="s">
        <v>872</v>
      </c>
      <c r="AH1210" s="108" t="s">
        <v>31</v>
      </c>
      <c r="AI1210" s="128" t="s">
        <v>70</v>
      </c>
      <c r="AJ1210" s="129" t="s">
        <v>89</v>
      </c>
      <c r="AK1210" s="129">
        <v>1</v>
      </c>
      <c r="AL1210" s="3" t="s">
        <v>991</v>
      </c>
      <c r="AO1210" s="128">
        <v>90</v>
      </c>
      <c r="AP1210" s="129" t="s">
        <v>43</v>
      </c>
      <c r="AR1210" s="128" t="s">
        <v>44</v>
      </c>
      <c r="AS1210" s="129" t="s">
        <v>45</v>
      </c>
      <c r="BC1210" s="129" t="s">
        <v>38</v>
      </c>
      <c r="BF1210" s="111">
        <f>IF(J1210&gt;1/1/1900,((J1210+1)-I1210),"STILL OPEN")</f>
        <v>4</v>
      </c>
      <c r="BG1210" s="111">
        <f>IF(G1210&gt;1/1/1900,((G1210+1)-I1210),"STILL OPEN")</f>
        <v>4</v>
      </c>
      <c r="BH1210" s="111">
        <f t="shared" si="845"/>
        <v>4</v>
      </c>
      <c r="BI1210" s="111">
        <f t="shared" si="846"/>
        <v>33.33606557377049</v>
      </c>
      <c r="BJ1210" s="129">
        <f t="shared" si="851"/>
        <v>0</v>
      </c>
      <c r="BK1210" s="129">
        <f t="shared" si="847"/>
        <v>0</v>
      </c>
      <c r="BL1210" s="129" t="str">
        <f t="shared" si="881"/>
        <v>CONVICTION</v>
      </c>
      <c r="BM1210" s="129" t="str">
        <f t="shared" si="852"/>
        <v>NONE</v>
      </c>
      <c r="BN1210" s="129" t="s">
        <v>566</v>
      </c>
      <c r="BP1210" s="137" t="str">
        <f t="shared" si="853"/>
        <v>CONVICTION</v>
      </c>
      <c r="BQ1210" s="128" t="str">
        <f t="shared" si="854"/>
        <v>Y</v>
      </c>
      <c r="BR1210" s="129" t="str">
        <f t="shared" si="855"/>
        <v>DETAINED</v>
      </c>
      <c r="BS1210" s="129" t="str">
        <f t="shared" si="856"/>
        <v>DISPOSED</v>
      </c>
      <c r="BT1210" s="129" t="str">
        <f t="shared" si="857"/>
        <v>Y</v>
      </c>
      <c r="BU1210" s="109">
        <f t="shared" si="858"/>
        <v>1</v>
      </c>
      <c r="BV1210" s="109">
        <f t="shared" si="859"/>
        <v>1</v>
      </c>
      <c r="BW1210" s="109">
        <f t="shared" si="896"/>
        <v>0</v>
      </c>
      <c r="BX1210" s="111">
        <f t="shared" si="860"/>
        <v>0</v>
      </c>
      <c r="BY1210" s="129">
        <f t="shared" si="861"/>
        <v>-4</v>
      </c>
      <c r="BZ1210" s="111">
        <f t="shared" si="862"/>
        <v>0</v>
      </c>
      <c r="CA1210" s="138">
        <f t="shared" si="863"/>
        <v>4</v>
      </c>
      <c r="CB1210" s="111" t="e">
        <f>IF(AF1210&gt;1/1/1900,((AF1210+1)-AE1210),"STILL OPEN")</f>
        <v>#VALUE!</v>
      </c>
      <c r="CC1210" s="129">
        <f>G1210-I1210+1</f>
        <v>4</v>
      </c>
      <c r="CD1210" s="129">
        <f>G1210-J1210</f>
        <v>0</v>
      </c>
      <c r="CE1210" s="129">
        <f t="shared" si="864"/>
        <v>0</v>
      </c>
      <c r="CG1210" s="129" t="str">
        <f t="shared" si="865"/>
        <v>Y</v>
      </c>
      <c r="CI1210" s="129" t="str">
        <f t="shared" si="866"/>
        <v>0-10 DAYS</v>
      </c>
      <c r="CJ1210" s="137">
        <f t="shared" si="867"/>
        <v>1</v>
      </c>
      <c r="CK1210" s="129" t="str">
        <f t="shared" si="868"/>
        <v>Booked</v>
      </c>
    </row>
    <row r="1211" spans="1:89" ht="15" customHeight="1" x14ac:dyDescent="0.25">
      <c r="A1211" s="111">
        <v>3034</v>
      </c>
      <c r="B1211" s="128" t="str">
        <f t="shared" si="848"/>
        <v>N</v>
      </c>
      <c r="C1211" s="128" t="str">
        <f t="shared" si="849"/>
        <v>N</v>
      </c>
      <c r="D1211" s="117">
        <v>1865184</v>
      </c>
      <c r="E1211" s="135">
        <f t="shared" si="850"/>
        <v>2</v>
      </c>
      <c r="F1211" s="124">
        <v>41021</v>
      </c>
      <c r="G1211" s="125">
        <v>41298</v>
      </c>
      <c r="H1211" s="117">
        <v>1865184</v>
      </c>
      <c r="I1211" s="124">
        <v>41021</v>
      </c>
      <c r="J1211" s="124">
        <v>41080</v>
      </c>
      <c r="K1211" s="126">
        <v>20000</v>
      </c>
      <c r="L1211" s="127" t="s">
        <v>571</v>
      </c>
      <c r="M1211" s="125">
        <v>41080</v>
      </c>
      <c r="N1211" s="129" t="str">
        <f>IF(M1211&gt;1/1/1,"Y","N")</f>
        <v>Y</v>
      </c>
      <c r="O1211" s="128" t="s">
        <v>76</v>
      </c>
      <c r="P1211" s="129" t="s">
        <v>589</v>
      </c>
      <c r="Q1211" s="111">
        <f t="shared" si="883"/>
        <v>60</v>
      </c>
      <c r="R1211" s="111">
        <f t="shared" si="876"/>
        <v>278</v>
      </c>
      <c r="S1211" s="129">
        <v>3</v>
      </c>
      <c r="T1211" s="129">
        <v>6</v>
      </c>
      <c r="V1211" s="117">
        <v>2</v>
      </c>
      <c r="W1211" s="111"/>
      <c r="AC1211" s="130"/>
      <c r="AD1211" s="130">
        <v>30527</v>
      </c>
      <c r="AE1211" s="128" t="s">
        <v>32</v>
      </c>
      <c r="AF1211" s="128" t="s">
        <v>40</v>
      </c>
      <c r="AG1211" s="128" t="s">
        <v>41</v>
      </c>
      <c r="AH1211" s="108" t="s">
        <v>41</v>
      </c>
      <c r="AI1211" s="128" t="s">
        <v>83</v>
      </c>
      <c r="AJ1211" s="129" t="s">
        <v>48</v>
      </c>
      <c r="AK1211" s="129">
        <v>14</v>
      </c>
      <c r="AL1211" s="3" t="s">
        <v>48</v>
      </c>
      <c r="AP1211" s="129" t="s">
        <v>150</v>
      </c>
      <c r="AR1211" s="128" t="s">
        <v>67</v>
      </c>
      <c r="AS1211" s="129" t="s">
        <v>74</v>
      </c>
      <c r="BC1211" s="129" t="s">
        <v>38</v>
      </c>
      <c r="BF1211" s="111">
        <f>IF(J1211&gt;1/1/1900,((J1211+1)-I1211),"STILL OPEN")</f>
        <v>60</v>
      </c>
      <c r="BG1211" s="111">
        <f>IF(G1211&gt;1/1/1900,((G1211+1)-I1211),"STILL OPEN")</f>
        <v>278</v>
      </c>
      <c r="BH1211" s="111">
        <f t="shared" si="845"/>
        <v>278</v>
      </c>
      <c r="BI1211" s="111">
        <f t="shared" si="846"/>
        <v>28.672131147540984</v>
      </c>
      <c r="BJ1211" s="129">
        <f>(G1211-J1211)+(M1211-G1211)</f>
        <v>0</v>
      </c>
      <c r="BK1211" s="129">
        <f t="shared" si="847"/>
        <v>-218</v>
      </c>
      <c r="BL1211" s="129" t="str">
        <f t="shared" si="881"/>
        <v>DEFERRED</v>
      </c>
      <c r="BM1211" s="129" t="s">
        <v>76</v>
      </c>
      <c r="BN1211" s="129" t="s">
        <v>88</v>
      </c>
      <c r="BP1211" s="137" t="str">
        <f t="shared" si="853"/>
        <v>DEFERRED</v>
      </c>
      <c r="BQ1211" s="128" t="str">
        <f t="shared" si="854"/>
        <v>Y</v>
      </c>
      <c r="BR1211" s="129" t="str">
        <f t="shared" si="855"/>
        <v>ON BOND</v>
      </c>
      <c r="BS1211" s="129" t="str">
        <f t="shared" si="856"/>
        <v>DISPOSED</v>
      </c>
      <c r="BT1211" s="129" t="str">
        <f t="shared" si="857"/>
        <v>Y</v>
      </c>
      <c r="BU1211" s="109">
        <f t="shared" si="858"/>
        <v>0.21582733812949639</v>
      </c>
      <c r="BV1211" s="109">
        <f t="shared" si="859"/>
        <v>0.21582733812949639</v>
      </c>
      <c r="BW1211" s="109">
        <f t="shared" si="896"/>
        <v>0</v>
      </c>
      <c r="BX1211" s="111">
        <f t="shared" si="860"/>
        <v>0</v>
      </c>
      <c r="BY1211" s="129">
        <f t="shared" si="861"/>
        <v>-60</v>
      </c>
      <c r="BZ1211" s="111">
        <f t="shared" si="862"/>
        <v>0</v>
      </c>
      <c r="CA1211" s="138">
        <f t="shared" si="863"/>
        <v>60</v>
      </c>
      <c r="CB1211" s="111" t="e">
        <f>IF(AF1211&gt;1/1/1900,((AF1211+1)-AE1211),"STILL OPEN")</f>
        <v>#VALUE!</v>
      </c>
      <c r="CC1211" s="129">
        <f>M1211-I1211+1</f>
        <v>60</v>
      </c>
      <c r="CD1211" s="111">
        <f>CC1211-BF1211</f>
        <v>0</v>
      </c>
      <c r="CE1211" s="129">
        <f t="shared" si="864"/>
        <v>218</v>
      </c>
      <c r="CG1211" s="129" t="str">
        <f t="shared" si="865"/>
        <v>Y</v>
      </c>
      <c r="CI1211" s="129" t="str">
        <f t="shared" si="866"/>
        <v>31-60 DAYS</v>
      </c>
      <c r="CJ1211" s="137">
        <f t="shared" si="867"/>
        <v>3</v>
      </c>
      <c r="CK1211" s="129" t="str">
        <f t="shared" si="868"/>
        <v>Booked</v>
      </c>
    </row>
    <row r="1212" spans="1:89" ht="15.75" customHeight="1" x14ac:dyDescent="0.25">
      <c r="A1212" s="111">
        <v>2376</v>
      </c>
      <c r="B1212" s="128" t="str">
        <f t="shared" si="848"/>
        <v>N</v>
      </c>
      <c r="C1212" s="128" t="str">
        <f t="shared" si="849"/>
        <v>N</v>
      </c>
      <c r="D1212" s="117">
        <v>1867116</v>
      </c>
      <c r="E1212" s="135">
        <f t="shared" si="850"/>
        <v>1</v>
      </c>
      <c r="F1212" s="124">
        <v>40998</v>
      </c>
      <c r="G1212" s="125">
        <v>41214</v>
      </c>
      <c r="H1212" s="117">
        <v>1867116</v>
      </c>
      <c r="I1212" s="124" t="s">
        <v>562</v>
      </c>
      <c r="J1212" s="124" t="s">
        <v>562</v>
      </c>
      <c r="K1212" s="126">
        <v>30000</v>
      </c>
      <c r="L1212" s="129" t="s">
        <v>572</v>
      </c>
      <c r="M1212" s="125">
        <v>41003</v>
      </c>
      <c r="N1212" s="129" t="str">
        <f>IF(M1212&gt;1/1/1,"Y",IF(Q1212="0","","N"))</f>
        <v>Y</v>
      </c>
      <c r="O1212" s="128" t="s">
        <v>76</v>
      </c>
      <c r="P1212" s="129" t="s">
        <v>123</v>
      </c>
      <c r="Q1212" s="111">
        <f t="shared" si="883"/>
        <v>0</v>
      </c>
      <c r="R1212" s="111">
        <f t="shared" si="876"/>
        <v>217</v>
      </c>
      <c r="S1212" s="129">
        <v>1</v>
      </c>
      <c r="T1212" s="129">
        <v>0</v>
      </c>
      <c r="V1212" s="117">
        <v>1</v>
      </c>
      <c r="W1212" s="111"/>
      <c r="AC1212" s="130"/>
      <c r="AD1212" s="130">
        <v>27921</v>
      </c>
      <c r="AE1212" s="128" t="s">
        <v>32</v>
      </c>
      <c r="AF1212" s="128" t="s">
        <v>69</v>
      </c>
      <c r="AG1212" s="128" t="s">
        <v>874</v>
      </c>
      <c r="AH1212" s="108" t="s">
        <v>31</v>
      </c>
      <c r="AI1212" s="128" t="s">
        <v>95</v>
      </c>
      <c r="AJ1212" s="129" t="s">
        <v>123</v>
      </c>
      <c r="AK1212" s="129">
        <v>9</v>
      </c>
      <c r="AL1212" s="3" t="s">
        <v>123</v>
      </c>
      <c r="AP1212" s="129" t="s">
        <v>173</v>
      </c>
      <c r="AR1212" s="128" t="s">
        <v>50</v>
      </c>
      <c r="AS1212" s="129" t="s">
        <v>126</v>
      </c>
      <c r="BC1212" s="129" t="s">
        <v>52</v>
      </c>
      <c r="BF1212" s="111">
        <v>0</v>
      </c>
      <c r="BG1212" s="111">
        <v>0</v>
      </c>
      <c r="BH1212" s="111">
        <f t="shared" si="845"/>
        <v>217</v>
      </c>
      <c r="BI1212" s="111">
        <f t="shared" si="846"/>
        <v>35.729508196721312</v>
      </c>
      <c r="BJ1212" s="129" t="e">
        <f>(G1212-J1212)+(M1212-G1212)</f>
        <v>#VALUE!</v>
      </c>
      <c r="BK1212" s="129" t="e">
        <f t="shared" si="847"/>
        <v>#VALUE!</v>
      </c>
      <c r="BL1212" s="129" t="str">
        <f t="shared" si="881"/>
        <v>NO CONVICTION</v>
      </c>
      <c r="BM1212" s="129" t="s">
        <v>76</v>
      </c>
      <c r="BN1212" s="129" t="s">
        <v>88</v>
      </c>
      <c r="BP1212" s="137" t="str">
        <f t="shared" si="853"/>
        <v>NO CONVICTION</v>
      </c>
      <c r="BQ1212" s="128">
        <f t="shared" si="854"/>
        <v>0</v>
      </c>
      <c r="BR1212" s="129" t="s">
        <v>575</v>
      </c>
      <c r="BS1212" s="129" t="str">
        <f t="shared" si="856"/>
        <v>DISPOSED</v>
      </c>
      <c r="BT1212" s="129" t="str">
        <f t="shared" si="857"/>
        <v>Y</v>
      </c>
      <c r="BU1212" s="109">
        <f>IFERROR(Q1212/R1212,BR1212)</f>
        <v>0</v>
      </c>
      <c r="BV1212" s="109">
        <v>0</v>
      </c>
      <c r="BW1212" s="109">
        <f t="shared" si="896"/>
        <v>0</v>
      </c>
      <c r="BX1212" s="111">
        <f t="shared" si="860"/>
        <v>0</v>
      </c>
      <c r="BY1212" s="129" t="e">
        <f t="shared" si="861"/>
        <v>#VALUE!</v>
      </c>
      <c r="BZ1212" s="111" t="e">
        <f t="shared" si="862"/>
        <v>#VALUE!</v>
      </c>
      <c r="CA1212" s="138" t="e">
        <f t="shared" si="863"/>
        <v>#VALUE!</v>
      </c>
      <c r="CB1212" s="111">
        <v>0</v>
      </c>
      <c r="CC1212" s="129">
        <v>0</v>
      </c>
      <c r="CD1212" s="111">
        <f>CC1212-BF1212</f>
        <v>0</v>
      </c>
      <c r="CE1212" s="129" t="e">
        <f t="shared" si="864"/>
        <v>#VALUE!</v>
      </c>
      <c r="CG1212" s="129" t="str">
        <f t="shared" si="865"/>
        <v>Y</v>
      </c>
      <c r="CI1212" s="129" t="str">
        <f t="shared" si="866"/>
        <v>0-10 DAYS</v>
      </c>
      <c r="CJ1212" s="137">
        <f t="shared" si="867"/>
        <v>1</v>
      </c>
      <c r="CK1212" s="129" t="str">
        <f t="shared" si="868"/>
        <v>Not Booked</v>
      </c>
    </row>
    <row r="1213" spans="1:89" ht="15.75" customHeight="1" x14ac:dyDescent="0.25">
      <c r="A1213" s="111">
        <v>1339</v>
      </c>
      <c r="B1213" s="128" t="str">
        <f t="shared" si="848"/>
        <v>N</v>
      </c>
      <c r="C1213" s="128" t="str">
        <f t="shared" si="849"/>
        <v>N</v>
      </c>
      <c r="D1213" s="117">
        <v>1867394</v>
      </c>
      <c r="E1213" s="135">
        <f t="shared" si="850"/>
        <v>1</v>
      </c>
      <c r="F1213" s="124">
        <v>40957</v>
      </c>
      <c r="G1213" s="125">
        <v>41012</v>
      </c>
      <c r="H1213" s="117">
        <v>1867394</v>
      </c>
      <c r="I1213" s="124">
        <v>40957</v>
      </c>
      <c r="J1213" s="124">
        <v>41012</v>
      </c>
      <c r="K1213" s="126">
        <v>15000</v>
      </c>
      <c r="L1213" s="127" t="s">
        <v>571</v>
      </c>
      <c r="N1213" s="129" t="str">
        <f>IF(M1213&gt;1/1/1,"Y","N")</f>
        <v>N</v>
      </c>
      <c r="O1213" s="128" t="s">
        <v>917</v>
      </c>
      <c r="P1213" s="129" t="s">
        <v>55</v>
      </c>
      <c r="Q1213" s="111">
        <f t="shared" si="883"/>
        <v>56</v>
      </c>
      <c r="R1213" s="111">
        <f t="shared" si="876"/>
        <v>56</v>
      </c>
      <c r="S1213" s="129">
        <v>13</v>
      </c>
      <c r="T1213" s="129">
        <v>10</v>
      </c>
      <c r="U1213" s="129">
        <v>5</v>
      </c>
      <c r="W1213" s="111"/>
      <c r="AC1213" s="130"/>
      <c r="AD1213" s="130">
        <v>22075</v>
      </c>
      <c r="AE1213" s="128" t="s">
        <v>32</v>
      </c>
      <c r="AF1213" s="128" t="s">
        <v>33</v>
      </c>
      <c r="AG1213" s="128" t="s">
        <v>872</v>
      </c>
      <c r="AH1213" s="108" t="s">
        <v>58</v>
      </c>
      <c r="AI1213" s="128" t="s">
        <v>71</v>
      </c>
      <c r="AJ1213" s="129" t="s">
        <v>55</v>
      </c>
      <c r="AK1213" s="129">
        <v>3</v>
      </c>
      <c r="AL1213" s="3" t="s">
        <v>55</v>
      </c>
      <c r="AP1213" s="129" t="s">
        <v>43</v>
      </c>
      <c r="AR1213" s="128" t="s">
        <v>44</v>
      </c>
      <c r="AS1213" s="129" t="s">
        <v>45</v>
      </c>
      <c r="AT1213" s="129" t="s">
        <v>625</v>
      </c>
      <c r="BC1213" s="129" t="s">
        <v>38</v>
      </c>
      <c r="BF1213" s="111">
        <f t="shared" ref="BF1213:BF1218" si="897">IF(J1213&gt;1/1/1900,((J1213+1)-I1213),"STILL OPEN")</f>
        <v>56</v>
      </c>
      <c r="BG1213" s="111">
        <f t="shared" ref="BG1213:BG1218" si="898">IF(G1213&gt;1/1/1900,((G1213+1)-I1213),"STILL OPEN")</f>
        <v>56</v>
      </c>
      <c r="BH1213" s="111">
        <f t="shared" si="845"/>
        <v>56</v>
      </c>
      <c r="BI1213" s="111">
        <f t="shared" si="846"/>
        <v>51.590163934426229</v>
      </c>
      <c r="BJ1213" s="129">
        <f t="shared" si="851"/>
        <v>0</v>
      </c>
      <c r="BK1213" s="129">
        <f t="shared" si="847"/>
        <v>0</v>
      </c>
      <c r="BL1213" s="129" t="str">
        <f t="shared" si="881"/>
        <v>NO CONVICTION</v>
      </c>
      <c r="BM1213" s="129" t="str">
        <f t="shared" si="852"/>
        <v>NONE</v>
      </c>
      <c r="BN1213" s="129" t="s">
        <v>566</v>
      </c>
      <c r="BP1213" s="137" t="str">
        <f t="shared" si="853"/>
        <v>NO CONVICTION</v>
      </c>
      <c r="BQ1213" s="128" t="str">
        <f t="shared" si="854"/>
        <v>Y</v>
      </c>
      <c r="BR1213" s="129" t="str">
        <f t="shared" si="855"/>
        <v>DETAINED</v>
      </c>
      <c r="BS1213" s="129" t="str">
        <f t="shared" si="856"/>
        <v>DISPOSED</v>
      </c>
      <c r="BT1213" s="129" t="str">
        <f t="shared" si="857"/>
        <v>Y</v>
      </c>
      <c r="BU1213" s="109">
        <f>IFERROR(Q1213/R1213,BR1213)</f>
        <v>1</v>
      </c>
      <c r="BV1213" s="109">
        <f t="shared" si="859"/>
        <v>1</v>
      </c>
      <c r="BW1213" s="109">
        <f t="shared" si="896"/>
        <v>0</v>
      </c>
      <c r="BX1213" s="111">
        <f t="shared" si="860"/>
        <v>0</v>
      </c>
      <c r="BY1213" s="129">
        <f t="shared" si="861"/>
        <v>-56</v>
      </c>
      <c r="BZ1213" s="111">
        <f t="shared" si="862"/>
        <v>0</v>
      </c>
      <c r="CA1213" s="138">
        <f t="shared" si="863"/>
        <v>56</v>
      </c>
      <c r="CB1213" s="111" t="e">
        <f t="shared" ref="CB1213:CB1218" si="899">IF(AF1213&gt;1/1/1900,((AF1213+1)-AE1213),"STILL OPEN")</f>
        <v>#VALUE!</v>
      </c>
      <c r="CC1213" s="129">
        <f>G1213-I1213+1</f>
        <v>56</v>
      </c>
      <c r="CD1213" s="129">
        <f>G1213-J1213</f>
        <v>0</v>
      </c>
      <c r="CE1213" s="129">
        <f t="shared" si="864"/>
        <v>0</v>
      </c>
      <c r="CG1213" s="129" t="str">
        <f t="shared" si="865"/>
        <v>Y</v>
      </c>
      <c r="CI1213" s="129" t="str">
        <f t="shared" si="866"/>
        <v>31-60 DAYS</v>
      </c>
      <c r="CJ1213" s="137">
        <f t="shared" si="867"/>
        <v>3</v>
      </c>
      <c r="CK1213" s="129" t="str">
        <f t="shared" si="868"/>
        <v>Booked</v>
      </c>
    </row>
    <row r="1214" spans="1:89" ht="15.75" customHeight="1" x14ac:dyDescent="0.25">
      <c r="A1214" s="111">
        <v>661</v>
      </c>
      <c r="B1214" s="128" t="str">
        <f t="shared" si="848"/>
        <v>N</v>
      </c>
      <c r="C1214" s="128" t="str">
        <f t="shared" si="849"/>
        <v>N</v>
      </c>
      <c r="D1214" s="117">
        <v>1867977</v>
      </c>
      <c r="E1214" s="135">
        <f t="shared" si="850"/>
        <v>5</v>
      </c>
      <c r="F1214" s="124">
        <v>40935</v>
      </c>
      <c r="G1214" s="125">
        <v>40954</v>
      </c>
      <c r="H1214" s="117">
        <v>1867977</v>
      </c>
      <c r="I1214" s="124">
        <v>40935</v>
      </c>
      <c r="J1214" s="124">
        <v>40954</v>
      </c>
      <c r="K1214" s="126">
        <v>5000</v>
      </c>
      <c r="L1214" s="127" t="s">
        <v>569</v>
      </c>
      <c r="N1214" s="129" t="str">
        <f>IF(M1214&gt;1/1/1,"Y","N")</f>
        <v>N</v>
      </c>
      <c r="O1214" s="128" t="s">
        <v>917</v>
      </c>
      <c r="P1214" s="129" t="s">
        <v>39</v>
      </c>
      <c r="Q1214" s="111">
        <f t="shared" si="883"/>
        <v>20</v>
      </c>
      <c r="R1214" s="111">
        <f t="shared" si="876"/>
        <v>20</v>
      </c>
      <c r="S1214" s="129">
        <v>4</v>
      </c>
      <c r="T1214" s="129">
        <v>3</v>
      </c>
      <c r="U1214" s="129">
        <v>2</v>
      </c>
      <c r="W1214" s="111"/>
      <c r="AC1214" s="130"/>
      <c r="AD1214" s="130">
        <v>30545</v>
      </c>
      <c r="AE1214" s="128" t="s">
        <v>32</v>
      </c>
      <c r="AF1214" s="128" t="s">
        <v>33</v>
      </c>
      <c r="AG1214" s="128" t="s">
        <v>872</v>
      </c>
      <c r="AH1214" s="108" t="s">
        <v>31</v>
      </c>
      <c r="AI1214" s="128" t="s">
        <v>113</v>
      </c>
      <c r="AJ1214" s="129" t="s">
        <v>89</v>
      </c>
      <c r="AK1214" s="129">
        <v>3</v>
      </c>
      <c r="AL1214" s="3" t="s">
        <v>992</v>
      </c>
      <c r="AN1214" s="117">
        <v>6</v>
      </c>
      <c r="AP1214" s="129" t="s">
        <v>121</v>
      </c>
      <c r="AR1214" s="128" t="s">
        <v>44</v>
      </c>
      <c r="AS1214" s="129" t="s">
        <v>122</v>
      </c>
      <c r="BC1214" s="129" t="s">
        <v>38</v>
      </c>
      <c r="BF1214" s="111">
        <f t="shared" si="897"/>
        <v>20</v>
      </c>
      <c r="BG1214" s="111">
        <f t="shared" si="898"/>
        <v>20</v>
      </c>
      <c r="BH1214" s="111">
        <f t="shared" si="845"/>
        <v>20</v>
      </c>
      <c r="BI1214" s="111">
        <f t="shared" si="846"/>
        <v>28.387978142076502</v>
      </c>
      <c r="BJ1214" s="129">
        <f t="shared" si="851"/>
        <v>0</v>
      </c>
      <c r="BK1214" s="129">
        <f t="shared" si="847"/>
        <v>0</v>
      </c>
      <c r="BL1214" s="129" t="str">
        <f t="shared" si="881"/>
        <v>CONVICTION</v>
      </c>
      <c r="BM1214" s="129" t="str">
        <f t="shared" si="852"/>
        <v>NONE</v>
      </c>
      <c r="BN1214" s="129" t="s">
        <v>566</v>
      </c>
      <c r="BP1214" s="137" t="str">
        <f t="shared" si="853"/>
        <v>CONVICTION</v>
      </c>
      <c r="BQ1214" s="128" t="str">
        <f t="shared" si="854"/>
        <v>Y</v>
      </c>
      <c r="BR1214" s="129" t="str">
        <f t="shared" si="855"/>
        <v>DETAINED</v>
      </c>
      <c r="BS1214" s="129" t="str">
        <f t="shared" si="856"/>
        <v>DISPOSED</v>
      </c>
      <c r="BT1214" s="129" t="str">
        <f t="shared" si="857"/>
        <v>Y</v>
      </c>
      <c r="BU1214" s="109">
        <f t="shared" si="858"/>
        <v>1</v>
      </c>
      <c r="BV1214" s="109">
        <f t="shared" si="859"/>
        <v>1</v>
      </c>
      <c r="BW1214" s="109">
        <f t="shared" si="896"/>
        <v>0</v>
      </c>
      <c r="BX1214" s="111">
        <f t="shared" si="860"/>
        <v>0</v>
      </c>
      <c r="BY1214" s="129">
        <f t="shared" si="861"/>
        <v>-20</v>
      </c>
      <c r="BZ1214" s="111">
        <f t="shared" si="862"/>
        <v>0</v>
      </c>
      <c r="CA1214" s="138">
        <f t="shared" si="863"/>
        <v>20</v>
      </c>
      <c r="CB1214" s="111" t="e">
        <f t="shared" si="899"/>
        <v>#VALUE!</v>
      </c>
      <c r="CC1214" s="129">
        <f>G1214-I1214+1</f>
        <v>20</v>
      </c>
      <c r="CD1214" s="129">
        <f>G1214-J1214</f>
        <v>0</v>
      </c>
      <c r="CE1214" s="129">
        <f t="shared" si="864"/>
        <v>0</v>
      </c>
      <c r="CG1214" s="129" t="str">
        <f t="shared" si="865"/>
        <v>Y</v>
      </c>
      <c r="CI1214" s="129" t="str">
        <f t="shared" si="866"/>
        <v>11-30 DAYS</v>
      </c>
      <c r="CJ1214" s="137">
        <f t="shared" si="867"/>
        <v>2</v>
      </c>
      <c r="CK1214" s="129" t="str">
        <f t="shared" si="868"/>
        <v>Booked</v>
      </c>
    </row>
    <row r="1215" spans="1:89" ht="15" customHeight="1" x14ac:dyDescent="0.25">
      <c r="A1215" s="111">
        <v>1303</v>
      </c>
      <c r="B1215" s="128" t="str">
        <f t="shared" si="848"/>
        <v>N</v>
      </c>
      <c r="C1215" s="128" t="str">
        <f t="shared" si="849"/>
        <v>N</v>
      </c>
      <c r="D1215" s="117">
        <v>1868268</v>
      </c>
      <c r="E1215" s="135">
        <f t="shared" si="850"/>
        <v>4</v>
      </c>
      <c r="F1215" s="124">
        <v>40956</v>
      </c>
      <c r="G1215" s="125">
        <v>41116</v>
      </c>
      <c r="H1215" s="117">
        <v>1868268</v>
      </c>
      <c r="I1215" s="124">
        <v>40956</v>
      </c>
      <c r="J1215" s="124">
        <v>40972</v>
      </c>
      <c r="K1215" s="126">
        <v>5000</v>
      </c>
      <c r="L1215" s="127" t="s">
        <v>569</v>
      </c>
      <c r="M1215" s="125">
        <v>40972</v>
      </c>
      <c r="N1215" s="129" t="str">
        <f>IF(M1215&gt;1/1/1,"Y","N")</f>
        <v>Y</v>
      </c>
      <c r="O1215" s="128" t="s">
        <v>585</v>
      </c>
      <c r="P1215" s="129" t="s">
        <v>39</v>
      </c>
      <c r="Q1215" s="111">
        <f t="shared" si="883"/>
        <v>17</v>
      </c>
      <c r="R1215" s="111">
        <f t="shared" si="876"/>
        <v>161</v>
      </c>
      <c r="S1215" s="129">
        <v>0</v>
      </c>
      <c r="T1215" s="129">
        <v>1</v>
      </c>
      <c r="W1215" s="111"/>
      <c r="AC1215" s="130"/>
      <c r="AD1215" s="130">
        <v>29409</v>
      </c>
      <c r="AE1215" s="128" t="s">
        <v>32</v>
      </c>
      <c r="AF1215" s="128" t="s">
        <v>40</v>
      </c>
      <c r="AG1215" s="128" t="s">
        <v>41</v>
      </c>
      <c r="AH1215" s="108" t="s">
        <v>41</v>
      </c>
      <c r="AI1215" s="128" t="s">
        <v>71</v>
      </c>
      <c r="AJ1215" s="129" t="s">
        <v>89</v>
      </c>
      <c r="AK1215" s="129">
        <v>6</v>
      </c>
      <c r="AL1215" s="3" t="s">
        <v>991</v>
      </c>
      <c r="AO1215" s="128">
        <v>30</v>
      </c>
      <c r="AP1215" s="129" t="s">
        <v>43</v>
      </c>
      <c r="AR1215" s="128" t="s">
        <v>44</v>
      </c>
      <c r="AS1215" s="129" t="s">
        <v>45</v>
      </c>
      <c r="AX1215" s="32"/>
      <c r="BC1215" s="129" t="s">
        <v>52</v>
      </c>
      <c r="BF1215" s="111">
        <f t="shared" si="897"/>
        <v>17</v>
      </c>
      <c r="BG1215" s="111">
        <f t="shared" si="898"/>
        <v>161</v>
      </c>
      <c r="BH1215" s="111">
        <f t="shared" si="845"/>
        <v>161</v>
      </c>
      <c r="BI1215" s="111">
        <f t="shared" si="846"/>
        <v>31.549180327868854</v>
      </c>
      <c r="BJ1215" s="129">
        <f>(G1215-J1215)+(M1215-G1215)</f>
        <v>0</v>
      </c>
      <c r="BK1215" s="129">
        <f t="shared" si="847"/>
        <v>-144</v>
      </c>
      <c r="BL1215" s="129" t="str">
        <f t="shared" si="881"/>
        <v>CONVICTION</v>
      </c>
      <c r="BM1215" s="129" t="s">
        <v>76</v>
      </c>
      <c r="BN1215" s="129" t="s">
        <v>88</v>
      </c>
      <c r="BP1215" s="137" t="str">
        <f t="shared" si="853"/>
        <v>CONVICTION</v>
      </c>
      <c r="BQ1215" s="128" t="str">
        <f t="shared" si="854"/>
        <v>Y</v>
      </c>
      <c r="BR1215" s="129" t="str">
        <f>IF(J1215&lt;G1215,"ON BOND",0)</f>
        <v>ON BOND</v>
      </c>
      <c r="BS1215" s="129" t="str">
        <f t="shared" si="856"/>
        <v>DISPOSED</v>
      </c>
      <c r="BT1215" s="129" t="str">
        <f t="shared" si="857"/>
        <v>N</v>
      </c>
      <c r="BU1215" s="109">
        <f t="shared" si="858"/>
        <v>0.10559006211180125</v>
      </c>
      <c r="BV1215" s="109">
        <f t="shared" si="859"/>
        <v>0.10559006211180125</v>
      </c>
      <c r="BW1215" s="109">
        <f t="shared" si="896"/>
        <v>0</v>
      </c>
      <c r="BX1215" s="111">
        <f t="shared" si="860"/>
        <v>0</v>
      </c>
      <c r="BY1215" s="129">
        <f t="shared" si="861"/>
        <v>-17</v>
      </c>
      <c r="BZ1215" s="111">
        <f t="shared" si="862"/>
        <v>0</v>
      </c>
      <c r="CA1215" s="138">
        <f t="shared" si="863"/>
        <v>17</v>
      </c>
      <c r="CB1215" s="111" t="e">
        <f t="shared" si="899"/>
        <v>#VALUE!</v>
      </c>
      <c r="CC1215" s="129">
        <f>M1215-I1215+1</f>
        <v>17</v>
      </c>
      <c r="CD1215" s="111">
        <f>CC1215-BF1215</f>
        <v>0</v>
      </c>
      <c r="CE1215" s="129">
        <f t="shared" si="864"/>
        <v>144</v>
      </c>
      <c r="CG1215" s="129" t="str">
        <f t="shared" si="865"/>
        <v>Y</v>
      </c>
      <c r="CI1215" s="129" t="str">
        <f t="shared" si="866"/>
        <v>11-30 DAYS</v>
      </c>
      <c r="CJ1215" s="137">
        <f t="shared" si="867"/>
        <v>2</v>
      </c>
      <c r="CK1215" s="129" t="str">
        <f t="shared" si="868"/>
        <v>Booked</v>
      </c>
    </row>
    <row r="1216" spans="1:89" ht="15.75" customHeight="1" x14ac:dyDescent="0.25">
      <c r="A1216" s="111">
        <v>1422</v>
      </c>
      <c r="B1216" s="128" t="str">
        <f t="shared" si="848"/>
        <v>N</v>
      </c>
      <c r="C1216" s="128" t="str">
        <f t="shared" si="849"/>
        <v>N</v>
      </c>
      <c r="D1216" s="117">
        <v>1868613</v>
      </c>
      <c r="E1216" s="135">
        <f t="shared" si="850"/>
        <v>6</v>
      </c>
      <c r="F1216" s="124">
        <v>40961</v>
      </c>
      <c r="G1216" s="125">
        <v>41030</v>
      </c>
      <c r="H1216" s="117">
        <v>1868613</v>
      </c>
      <c r="I1216" s="124">
        <v>41028</v>
      </c>
      <c r="J1216" s="124">
        <v>41030</v>
      </c>
      <c r="K1216" s="126" t="s">
        <v>564</v>
      </c>
      <c r="L1216" s="127" t="s">
        <v>564</v>
      </c>
      <c r="N1216" s="129" t="s">
        <v>566</v>
      </c>
      <c r="O1216" s="128" t="s">
        <v>917</v>
      </c>
      <c r="P1216" s="129" t="s">
        <v>39</v>
      </c>
      <c r="Q1216" s="111">
        <f t="shared" ref="Q1216:Q1236" si="900">BF1216</f>
        <v>3</v>
      </c>
      <c r="R1216" s="111">
        <f t="shared" si="876"/>
        <v>70</v>
      </c>
      <c r="S1216" s="129">
        <v>3</v>
      </c>
      <c r="T1216" s="129">
        <v>3</v>
      </c>
      <c r="U1216" s="129">
        <v>1</v>
      </c>
      <c r="W1216" s="111"/>
      <c r="AC1216" s="130"/>
      <c r="AD1216" s="130">
        <v>30740</v>
      </c>
      <c r="AE1216" s="128" t="s">
        <v>32</v>
      </c>
      <c r="AF1216" s="128" t="s">
        <v>40</v>
      </c>
      <c r="AG1216" s="128" t="s">
        <v>41</v>
      </c>
      <c r="AH1216" s="108" t="s">
        <v>41</v>
      </c>
      <c r="AI1216" s="128" t="s">
        <v>70</v>
      </c>
      <c r="AJ1216" s="129" t="s">
        <v>89</v>
      </c>
      <c r="AK1216" s="129">
        <v>3</v>
      </c>
      <c r="AL1216" s="3" t="s">
        <v>362</v>
      </c>
      <c r="AM1216" s="117">
        <v>4</v>
      </c>
      <c r="AP1216" s="129" t="s">
        <v>208</v>
      </c>
      <c r="AR1216" s="128" t="s">
        <v>67</v>
      </c>
      <c r="AS1216" s="129" t="s">
        <v>57</v>
      </c>
      <c r="BC1216" s="129" t="s">
        <v>38</v>
      </c>
      <c r="BF1216" s="111">
        <f t="shared" si="897"/>
        <v>3</v>
      </c>
      <c r="BG1216" s="111">
        <f t="shared" si="898"/>
        <v>3</v>
      </c>
      <c r="BH1216" s="111">
        <f t="shared" si="845"/>
        <v>70</v>
      </c>
      <c r="BI1216" s="111">
        <f t="shared" si="846"/>
        <v>27.92622950819672</v>
      </c>
      <c r="BJ1216" s="129">
        <f t="shared" si="851"/>
        <v>0</v>
      </c>
      <c r="BK1216" s="129">
        <f t="shared" si="847"/>
        <v>0</v>
      </c>
      <c r="BL1216" s="129" t="str">
        <f t="shared" si="881"/>
        <v>CONVICTION</v>
      </c>
      <c r="BM1216" s="129" t="str">
        <f t="shared" si="852"/>
        <v>NONE</v>
      </c>
      <c r="BN1216" s="129" t="s">
        <v>566</v>
      </c>
      <c r="BP1216" s="137" t="str">
        <f t="shared" si="853"/>
        <v>CONVICTION</v>
      </c>
      <c r="BQ1216" s="128" t="str">
        <f t="shared" si="854"/>
        <v>Y</v>
      </c>
      <c r="BR1216" s="129" t="str">
        <f t="shared" si="855"/>
        <v>DETAINED</v>
      </c>
      <c r="BS1216" s="129" t="str">
        <f t="shared" si="856"/>
        <v>DISPOSED</v>
      </c>
      <c r="BT1216" s="129" t="str">
        <f t="shared" si="857"/>
        <v>Y</v>
      </c>
      <c r="BU1216" s="109">
        <f t="shared" si="858"/>
        <v>4.2857142857142858E-2</v>
      </c>
      <c r="BV1216" s="109">
        <f t="shared" si="859"/>
        <v>1</v>
      </c>
      <c r="BW1216" s="109">
        <f t="shared" si="896"/>
        <v>0.95714285714285718</v>
      </c>
      <c r="BX1216" s="111">
        <f t="shared" si="860"/>
        <v>0</v>
      </c>
      <c r="BY1216" s="129">
        <f t="shared" si="861"/>
        <v>-3</v>
      </c>
      <c r="BZ1216" s="111">
        <f t="shared" si="862"/>
        <v>0</v>
      </c>
      <c r="CA1216" s="138">
        <f t="shared" si="863"/>
        <v>3</v>
      </c>
      <c r="CB1216" s="111" t="e">
        <f t="shared" si="899"/>
        <v>#VALUE!</v>
      </c>
      <c r="CC1216" s="129">
        <f>G1216-I1216+1</f>
        <v>3</v>
      </c>
      <c r="CD1216" s="129">
        <f>G1216-J1216</f>
        <v>0</v>
      </c>
      <c r="CE1216" s="129">
        <f t="shared" si="864"/>
        <v>0</v>
      </c>
      <c r="CG1216" s="129" t="str">
        <f t="shared" si="865"/>
        <v>Y</v>
      </c>
      <c r="CI1216" s="129" t="str">
        <f t="shared" si="866"/>
        <v>0-10 DAYS</v>
      </c>
      <c r="CJ1216" s="137">
        <f t="shared" si="867"/>
        <v>1</v>
      </c>
      <c r="CK1216" s="129" t="str">
        <f t="shared" si="868"/>
        <v>Booked</v>
      </c>
    </row>
    <row r="1217" spans="1:89" ht="15.75" customHeight="1" x14ac:dyDescent="0.25">
      <c r="A1217" s="111">
        <v>1523</v>
      </c>
      <c r="B1217" s="128" t="str">
        <f t="shared" si="848"/>
        <v>Y</v>
      </c>
      <c r="C1217" s="128" t="str">
        <f t="shared" si="849"/>
        <v>Y</v>
      </c>
      <c r="D1217" s="117">
        <v>1868724</v>
      </c>
      <c r="E1217" s="135">
        <f t="shared" si="850"/>
        <v>6</v>
      </c>
      <c r="F1217" s="124">
        <v>40965</v>
      </c>
      <c r="G1217" s="125">
        <v>41551</v>
      </c>
      <c r="H1217" s="117">
        <v>1868724</v>
      </c>
      <c r="I1217" s="124">
        <v>41009</v>
      </c>
      <c r="J1217" s="125">
        <v>40966</v>
      </c>
      <c r="K1217" s="126">
        <v>15000</v>
      </c>
      <c r="L1217" s="127" t="s">
        <v>571</v>
      </c>
      <c r="M1217" s="125">
        <v>40966</v>
      </c>
      <c r="N1217" s="125" t="s">
        <v>88</v>
      </c>
      <c r="O1217" s="128" t="s">
        <v>76</v>
      </c>
      <c r="P1217" s="129" t="s">
        <v>1144</v>
      </c>
      <c r="Q1217" s="111">
        <f>+G1217-I1217+1+2</f>
        <v>545</v>
      </c>
      <c r="R1217" s="111">
        <f t="shared" si="876"/>
        <v>587</v>
      </c>
      <c r="S1217" s="129">
        <v>3</v>
      </c>
      <c r="T1217" s="129">
        <v>7</v>
      </c>
      <c r="U1217" s="129">
        <v>2</v>
      </c>
      <c r="W1217" s="111"/>
      <c r="AC1217" s="130"/>
      <c r="AD1217" s="130">
        <v>29078</v>
      </c>
      <c r="AE1217" s="128" t="s">
        <v>32</v>
      </c>
      <c r="AF1217" s="128" t="s">
        <v>33</v>
      </c>
      <c r="AG1217" s="128" t="s">
        <v>872</v>
      </c>
      <c r="AH1217" s="108" t="s">
        <v>58</v>
      </c>
      <c r="AI1217" s="128" t="s">
        <v>72</v>
      </c>
      <c r="AJ1217" s="129" t="s">
        <v>89</v>
      </c>
      <c r="AK1217" s="129">
        <v>23</v>
      </c>
      <c r="AL1217" s="3" t="s">
        <v>362</v>
      </c>
      <c r="AM1217" s="117">
        <v>45</v>
      </c>
      <c r="AP1217" s="129" t="s">
        <v>179</v>
      </c>
      <c r="AR1217" s="128" t="s">
        <v>50</v>
      </c>
      <c r="AS1217" s="129" t="s">
        <v>74</v>
      </c>
      <c r="AT1217" s="129" t="s">
        <v>1151</v>
      </c>
      <c r="AU1217" s="3" t="s">
        <v>728</v>
      </c>
      <c r="AX1217" s="32" t="s">
        <v>88</v>
      </c>
      <c r="BC1217" s="129" t="s">
        <v>38</v>
      </c>
      <c r="BD1217" s="129" t="s">
        <v>1150</v>
      </c>
      <c r="BF1217" s="111">
        <f t="shared" si="897"/>
        <v>-42</v>
      </c>
      <c r="BG1217" s="111">
        <f t="shared" si="898"/>
        <v>543</v>
      </c>
      <c r="BH1217" s="111">
        <f t="shared" ref="BH1217:BH1280" si="901">IF(G1217&gt;1/1/1900,((G1217+1)-F1217),"STILL OPEN")</f>
        <v>587</v>
      </c>
      <c r="BI1217" s="111">
        <f t="shared" ref="BI1217:BI1280" si="902">(F1217-AD1217)/366</f>
        <v>32.478142076502735</v>
      </c>
      <c r="BJ1217" s="129">
        <f t="shared" si="851"/>
        <v>-40381</v>
      </c>
      <c r="BK1217" s="129">
        <f t="shared" ref="BK1217:BK1280" si="903">J1217-G1217</f>
        <v>-585</v>
      </c>
      <c r="BL1217" s="129" t="str">
        <f t="shared" si="881"/>
        <v>CONVICTION</v>
      </c>
      <c r="BM1217" s="129" t="str">
        <f t="shared" si="852"/>
        <v>SURETY</v>
      </c>
      <c r="BN1217" s="129" t="s">
        <v>88</v>
      </c>
      <c r="BP1217" s="137" t="str">
        <f t="shared" si="853"/>
        <v>CONVICTION</v>
      </c>
      <c r="BQ1217" s="128">
        <f t="shared" si="854"/>
        <v>-42</v>
      </c>
      <c r="BR1217" s="129" t="s">
        <v>574</v>
      </c>
      <c r="BS1217" s="129" t="str">
        <f t="shared" si="856"/>
        <v>DISPOSED</v>
      </c>
      <c r="BT1217" s="129" t="str">
        <f t="shared" si="857"/>
        <v>Y</v>
      </c>
      <c r="BU1217" s="109">
        <f t="shared" si="858"/>
        <v>0.92844974446337314</v>
      </c>
      <c r="BV1217" s="109">
        <f t="shared" si="859"/>
        <v>-7.7348066298342538E-2</v>
      </c>
      <c r="BW1217" s="109">
        <f t="shared" si="896"/>
        <v>-1.0057978107617156</v>
      </c>
      <c r="BX1217" s="111">
        <f t="shared" si="860"/>
        <v>587</v>
      </c>
      <c r="BY1217" s="129">
        <f t="shared" si="861"/>
        <v>42</v>
      </c>
      <c r="BZ1217" s="111">
        <f t="shared" si="862"/>
        <v>0</v>
      </c>
      <c r="CA1217" s="138">
        <f t="shared" si="863"/>
        <v>543</v>
      </c>
      <c r="CB1217" s="111" t="e">
        <f t="shared" si="899"/>
        <v>#VALUE!</v>
      </c>
      <c r="CC1217" s="129">
        <f>G1217-I1217+1</f>
        <v>543</v>
      </c>
      <c r="CD1217" s="129">
        <f>G1217-J1217</f>
        <v>585</v>
      </c>
      <c r="CE1217" s="129">
        <f t="shared" si="864"/>
        <v>585</v>
      </c>
      <c r="CG1217" s="129" t="str">
        <f t="shared" si="865"/>
        <v>Y</v>
      </c>
      <c r="CI1217" s="129" t="str">
        <f t="shared" si="866"/>
        <v>0-10 DAYS</v>
      </c>
      <c r="CJ1217" s="137">
        <f t="shared" si="867"/>
        <v>1</v>
      </c>
      <c r="CK1217" s="129" t="str">
        <f t="shared" si="868"/>
        <v>Booked</v>
      </c>
    </row>
    <row r="1218" spans="1:89" ht="15.75" customHeight="1" x14ac:dyDescent="0.25">
      <c r="A1218" s="111">
        <v>2774</v>
      </c>
      <c r="B1218" s="128" t="str">
        <f t="shared" ref="B1218:B1281" si="904">IF(BD1218&lt;&gt;"","Y","N")</f>
        <v>N</v>
      </c>
      <c r="C1218" s="128" t="str">
        <f t="shared" ref="C1218:C1281" si="905">IF((AND(AV1218="",AX1218="",AY1218="")),"N","Y")</f>
        <v>N</v>
      </c>
      <c r="D1218" s="117">
        <v>1869331</v>
      </c>
      <c r="E1218" s="135">
        <f t="shared" ref="E1218:E1281" si="906">IF(OR(AL1218="ACQUITTAL",AL1218="ACQUIT",AL1218="acq insane",AL1218="DISMISSED",AL1218="NO BILL"),1,IF(AL1218="DEFERRED",2,IF(AL1218="PROBATION",3,IF(OR(AL1218="HCJ",AL1218="fine"),4,IF(AL1218="STJ",5,IF(AL1218="TDC",6,""))))))</f>
        <v>6</v>
      </c>
      <c r="F1218" s="124">
        <v>41011</v>
      </c>
      <c r="G1218" s="125">
        <v>41285</v>
      </c>
      <c r="H1218" s="117">
        <v>1869331</v>
      </c>
      <c r="I1218" s="124">
        <v>41020</v>
      </c>
      <c r="J1218" s="125">
        <v>41285</v>
      </c>
      <c r="K1218" s="126">
        <v>40000</v>
      </c>
      <c r="L1218" s="129" t="s">
        <v>572</v>
      </c>
      <c r="N1218" s="129" t="str">
        <f>IF(M1218&gt;1/1/1,"Y","N")</f>
        <v>N</v>
      </c>
      <c r="O1218" s="128" t="s">
        <v>917</v>
      </c>
      <c r="P1218" s="129" t="s">
        <v>39</v>
      </c>
      <c r="Q1218" s="111">
        <f t="shared" si="900"/>
        <v>266</v>
      </c>
      <c r="R1218" s="111">
        <f t="shared" si="876"/>
        <v>275</v>
      </c>
      <c r="S1218" s="129">
        <v>3</v>
      </c>
      <c r="T1218" s="129">
        <v>6</v>
      </c>
      <c r="U1218" s="129">
        <v>1</v>
      </c>
      <c r="W1218" s="111"/>
      <c r="AC1218" s="130"/>
      <c r="AD1218" s="130">
        <v>30230</v>
      </c>
      <c r="AE1218" s="128" t="s">
        <v>32</v>
      </c>
      <c r="AF1218" s="128" t="s">
        <v>33</v>
      </c>
      <c r="AG1218" s="128" t="s">
        <v>872</v>
      </c>
      <c r="AH1218" s="108" t="s">
        <v>58</v>
      </c>
      <c r="AI1218" s="128" t="s">
        <v>118</v>
      </c>
      <c r="AJ1218" s="129" t="s">
        <v>89</v>
      </c>
      <c r="AK1218" s="129">
        <v>8</v>
      </c>
      <c r="AL1218" s="3" t="s">
        <v>362</v>
      </c>
      <c r="AM1218" s="117">
        <v>4</v>
      </c>
      <c r="AP1218" s="129" t="s">
        <v>73</v>
      </c>
      <c r="AR1218" s="128" t="s">
        <v>50</v>
      </c>
      <c r="AS1218" s="129" t="s">
        <v>74</v>
      </c>
      <c r="BC1218" s="129" t="s">
        <v>38</v>
      </c>
      <c r="BF1218" s="111">
        <f t="shared" si="897"/>
        <v>266</v>
      </c>
      <c r="BG1218" s="111">
        <f t="shared" si="898"/>
        <v>266</v>
      </c>
      <c r="BH1218" s="111">
        <f t="shared" si="901"/>
        <v>275</v>
      </c>
      <c r="BI1218" s="111">
        <f t="shared" si="902"/>
        <v>29.456284153005466</v>
      </c>
      <c r="BJ1218" s="129">
        <f t="shared" ref="BJ1218:BJ1279" si="907">G1218-J1218-M1218</f>
        <v>0</v>
      </c>
      <c r="BK1218" s="129">
        <f t="shared" si="903"/>
        <v>0</v>
      </c>
      <c r="BL1218" s="129" t="str">
        <f t="shared" si="881"/>
        <v>CONVICTION</v>
      </c>
      <c r="BM1218" s="129" t="str">
        <f t="shared" ref="BM1218:BM1279" si="908">O1218</f>
        <v>NONE</v>
      </c>
      <c r="BN1218" s="129" t="s">
        <v>566</v>
      </c>
      <c r="BP1218" s="137" t="str">
        <f t="shared" ref="BP1218:BP1281" si="909">IF(OR(AJ1218="AQUITTAL",AJ1218="DISMISSED",AJ1218="FINE",AJ1218="NO BILL"),"NO CONVICTION",IF(OR(AJ1218="HCJ",AJ1218="MHH",AJ1218="PROBATION",AJ1218="STJ",AJ1218="TDC",AJ1218="CONVICTED"),"CONVICTION",IF(AJ1218="DEFERRED","DEFERRED","")))</f>
        <v>CONVICTION</v>
      </c>
      <c r="BQ1218" s="128" t="str">
        <f t="shared" ref="BQ1218:BQ1281" si="910">IF(BF1218&gt;0,"Y",BF1218)</f>
        <v>Y</v>
      </c>
      <c r="BR1218" s="129" t="str">
        <f t="shared" ref="BR1218:BR1281" si="911">IF(AND(J1218="NOT BOOKED",M1218&gt;1/1/1),"BONDED - BEFORE BOOKED",IF(BG1218="STILL OPEN","STILL OPEN",IF(N1218="Y","ON BOND",IF(J1218&gt;=G1218,"DETAINED","RELEASED"))))</f>
        <v>DETAINED</v>
      </c>
      <c r="BS1218" s="129" t="str">
        <f t="shared" ref="BS1218:BS1281" si="912">IF(G1218&lt;&gt;"","DISPOSED","")</f>
        <v>DISPOSED</v>
      </c>
      <c r="BT1218" s="129" t="str">
        <f t="shared" ref="BT1218:BT1281" si="913">IF(S1218&gt;0,"Y","N")</f>
        <v>Y</v>
      </c>
      <c r="BU1218" s="109">
        <f t="shared" ref="BU1218:BU1280" si="914">Q1218/R1218</f>
        <v>0.96727272727272728</v>
      </c>
      <c r="BV1218" s="109">
        <f t="shared" ref="BV1218:BV1281" si="915">IF(I1218&gt;F1218,((J1218-I1218+1)/(G1218-I1218+1)),(J1218-I1218+1)/(G1218-F1218+1))</f>
        <v>1</v>
      </c>
      <c r="BW1218" s="109">
        <f t="shared" si="896"/>
        <v>3.2727272727272716E-2</v>
      </c>
      <c r="BX1218" s="111">
        <f t="shared" ref="BX1218:BX1281" si="916">+Q1218-BF1218</f>
        <v>0</v>
      </c>
      <c r="BY1218" s="129">
        <f t="shared" ref="BY1218:BY1281" si="917">I1218-J1218-1</f>
        <v>-266</v>
      </c>
      <c r="BZ1218" s="111">
        <f t="shared" ref="BZ1218:BZ1281" si="918">BY1218+BF1218</f>
        <v>0</v>
      </c>
      <c r="CA1218" s="138">
        <f t="shared" ref="CA1218:CA1281" si="919">IF(AND(BS1218="DISPOSED",BR1218="DETAINED"),G1218-I1218+1,IF(AND(BS1218="DISPOSED",BR1218="ON BOND"),M1218-I1218+1,IF(AND(BS1218="STILL OPEN","STILL OPEN"),"NOT BOOKED")))</f>
        <v>266</v>
      </c>
      <c r="CB1218" s="111" t="e">
        <f t="shared" si="899"/>
        <v>#VALUE!</v>
      </c>
      <c r="CC1218" s="129">
        <f>G1218-I1218+1</f>
        <v>266</v>
      </c>
      <c r="CD1218" s="129">
        <f>G1218-J1218</f>
        <v>0</v>
      </c>
      <c r="CE1218" s="129">
        <f t="shared" ref="CE1218:CE1277" si="920">G1218-J1218</f>
        <v>0</v>
      </c>
      <c r="CG1218" s="129" t="str">
        <f t="shared" ref="CG1218:CG1281" si="921">IF((S1218+T1218+U1218)&gt;0,"Y","N")</f>
        <v>Y</v>
      </c>
      <c r="CI1218" s="129" t="str">
        <f t="shared" si="866"/>
        <v>121-365 DAYS</v>
      </c>
      <c r="CJ1218" s="137">
        <f t="shared" si="867"/>
        <v>6</v>
      </c>
      <c r="CK1218" s="129" t="str">
        <f t="shared" si="868"/>
        <v>Booked</v>
      </c>
    </row>
    <row r="1219" spans="1:89" ht="15" customHeight="1" x14ac:dyDescent="0.25">
      <c r="A1219" s="111">
        <v>737</v>
      </c>
      <c r="B1219" s="128" t="str">
        <f t="shared" si="904"/>
        <v>N</v>
      </c>
      <c r="C1219" s="128" t="str">
        <f t="shared" si="905"/>
        <v>N</v>
      </c>
      <c r="D1219" s="117">
        <v>1869373</v>
      </c>
      <c r="E1219" s="135">
        <f t="shared" si="906"/>
        <v>1</v>
      </c>
      <c r="F1219" s="124">
        <v>40937</v>
      </c>
      <c r="G1219" s="125">
        <v>40939</v>
      </c>
      <c r="H1219" s="117">
        <v>1869373</v>
      </c>
      <c r="I1219" s="124" t="s">
        <v>562</v>
      </c>
      <c r="J1219" s="124" t="s">
        <v>562</v>
      </c>
      <c r="K1219" s="126">
        <v>2000</v>
      </c>
      <c r="L1219" s="127" t="s">
        <v>568</v>
      </c>
      <c r="M1219" s="125">
        <v>40938</v>
      </c>
      <c r="N1219" s="129" t="str">
        <f>IF(M1219&gt;1/1/1,"Y",IF(Q1219="0","","N"))</f>
        <v>Y</v>
      </c>
      <c r="O1219" s="128" t="s">
        <v>76</v>
      </c>
      <c r="P1219" s="129" t="s">
        <v>55</v>
      </c>
      <c r="Q1219" s="111">
        <f t="shared" si="900"/>
        <v>0</v>
      </c>
      <c r="R1219" s="111">
        <f t="shared" si="876"/>
        <v>3</v>
      </c>
      <c r="S1219" s="129">
        <v>2</v>
      </c>
      <c r="T1219" s="129">
        <v>7</v>
      </c>
      <c r="V1219" s="117">
        <v>1</v>
      </c>
      <c r="W1219" s="111"/>
      <c r="AC1219" s="130"/>
      <c r="AD1219" s="130">
        <v>30396</v>
      </c>
      <c r="AE1219" s="128" t="s">
        <v>32</v>
      </c>
      <c r="AF1219" s="128" t="s">
        <v>69</v>
      </c>
      <c r="AG1219" s="128" t="s">
        <v>874</v>
      </c>
      <c r="AH1219" s="108" t="s">
        <v>58</v>
      </c>
      <c r="AI1219" s="128" t="s">
        <v>62</v>
      </c>
      <c r="AJ1219" s="129" t="s">
        <v>55</v>
      </c>
      <c r="AL1219" s="3" t="s">
        <v>55</v>
      </c>
      <c r="AP1219" s="129" t="s">
        <v>103</v>
      </c>
      <c r="AR1219" s="128" t="s">
        <v>44</v>
      </c>
      <c r="AS1219" s="129" t="s">
        <v>45</v>
      </c>
      <c r="AT1219" s="129" t="s">
        <v>244</v>
      </c>
      <c r="BC1219" s="129" t="s">
        <v>52</v>
      </c>
      <c r="BF1219" s="111">
        <v>0</v>
      </c>
      <c r="BG1219" s="111">
        <v>0</v>
      </c>
      <c r="BH1219" s="111">
        <f t="shared" si="901"/>
        <v>3</v>
      </c>
      <c r="BI1219" s="111">
        <f t="shared" si="902"/>
        <v>28.800546448087431</v>
      </c>
      <c r="BJ1219" s="129" t="e">
        <f>(G1219-J1219)+(M1219-G1219)</f>
        <v>#VALUE!</v>
      </c>
      <c r="BK1219" s="129" t="e">
        <f t="shared" si="903"/>
        <v>#VALUE!</v>
      </c>
      <c r="BL1219" s="129" t="str">
        <f t="shared" si="881"/>
        <v>NO CONVICTION</v>
      </c>
      <c r="BM1219" s="129" t="s">
        <v>76</v>
      </c>
      <c r="BN1219" s="129" t="s">
        <v>88</v>
      </c>
      <c r="BP1219" s="137" t="str">
        <f t="shared" si="909"/>
        <v>NO CONVICTION</v>
      </c>
      <c r="BQ1219" s="128">
        <f t="shared" si="910"/>
        <v>0</v>
      </c>
      <c r="BR1219" s="129" t="s">
        <v>575</v>
      </c>
      <c r="BS1219" s="129" t="str">
        <f t="shared" si="912"/>
        <v>DISPOSED</v>
      </c>
      <c r="BT1219" s="129" t="str">
        <f t="shared" si="913"/>
        <v>Y</v>
      </c>
      <c r="BU1219" s="109">
        <f>IFERROR(Q1219/R1219,BR1219)</f>
        <v>0</v>
      </c>
      <c r="BV1219" s="109">
        <v>0</v>
      </c>
      <c r="BW1219" s="109">
        <f t="shared" si="896"/>
        <v>0</v>
      </c>
      <c r="BX1219" s="111">
        <f t="shared" si="916"/>
        <v>0</v>
      </c>
      <c r="BY1219" s="129" t="e">
        <f t="shared" si="917"/>
        <v>#VALUE!</v>
      </c>
      <c r="BZ1219" s="111" t="e">
        <f t="shared" si="918"/>
        <v>#VALUE!</v>
      </c>
      <c r="CA1219" s="138" t="e">
        <f t="shared" si="919"/>
        <v>#VALUE!</v>
      </c>
      <c r="CB1219" s="111">
        <v>0</v>
      </c>
      <c r="CC1219" s="129">
        <v>0</v>
      </c>
      <c r="CD1219" s="111">
        <f>CC1219-BF1219</f>
        <v>0</v>
      </c>
      <c r="CE1219" s="129" t="e">
        <f t="shared" si="920"/>
        <v>#VALUE!</v>
      </c>
      <c r="CG1219" s="129" t="str">
        <f t="shared" si="921"/>
        <v>Y</v>
      </c>
      <c r="CI1219" s="129" t="str">
        <f t="shared" ref="CI1219:CI1282" si="922">IF(BF1219&lt;11,"0-10 DAYS",IF(AND(BF1219&gt;10,BF1219&lt;31),"11-30 DAYS",IF((AND(BF1219&gt;30,BF1219&lt;61)),"31-60 DAYS",IF(AND(BF1219&gt;60,BF1219&lt;91),"61-90 DAYS",IF(AND(BF1219&gt;90,BF1219&lt;121),"91-120 DAYS",IF(AND(BF1219&gt;120,BF1219&lt;366),"121-365 DAYS",IF(AND(BF1219&gt;365,BF1219&lt;730)," &gt;1YRS&lt;2YRS",IF(AND(BF1219&gt;729,BF1219&lt;1095),"&gt;2YRS&lt;3YRS",IF(BF1219&gt;1094,"&gt;3YRS")))))))))</f>
        <v>0-10 DAYS</v>
      </c>
      <c r="CJ1219" s="137">
        <f t="shared" ref="CJ1219:CJ1282" si="923">IF(CI1219="0-10 DAYS",1,IF(CI1219="11-30 DAYS",2,IF(CI1219="31-60 DAYS",3,IF(CI1219="61-90 DAYS",4,IF(CK1219="91-120 DAYS",5,IF(CI1219="121-365 DAYS",6,IF(CI1219="&gt;1YRS&lt;2YRS",7,IF(CI1219="&gt;2YRS&lt;3YRS",8,IF(CI1219="&gt;3YRS",9,0)))))))))</f>
        <v>1</v>
      </c>
      <c r="CK1219" s="129" t="str">
        <f t="shared" ref="CK1219:CK1282" si="924">IF(I1219="Not Booked","Not Booked","Booked")</f>
        <v>Not Booked</v>
      </c>
    </row>
    <row r="1220" spans="1:89" ht="15.75" customHeight="1" x14ac:dyDescent="0.25">
      <c r="A1220" s="111">
        <v>846</v>
      </c>
      <c r="B1220" s="128" t="str">
        <f t="shared" si="904"/>
        <v>N</v>
      </c>
      <c r="C1220" s="128" t="str">
        <f t="shared" si="905"/>
        <v>N</v>
      </c>
      <c r="D1220" s="117">
        <v>1869555</v>
      </c>
      <c r="E1220" s="135">
        <f t="shared" si="906"/>
        <v>6</v>
      </c>
      <c r="F1220" s="124">
        <v>40940</v>
      </c>
      <c r="G1220" s="125">
        <v>41099</v>
      </c>
      <c r="H1220" s="117">
        <v>1869555</v>
      </c>
      <c r="I1220" s="124">
        <v>40941</v>
      </c>
      <c r="J1220" s="124">
        <v>40942</v>
      </c>
      <c r="K1220" s="126">
        <v>2000</v>
      </c>
      <c r="L1220" s="127" t="s">
        <v>568</v>
      </c>
      <c r="M1220" s="125">
        <v>40942</v>
      </c>
      <c r="N1220" s="129" t="str">
        <f t="shared" ref="N1220:N1233" si="925">IF(M1220&gt;1/1/1,"Y","N")</f>
        <v>Y</v>
      </c>
      <c r="O1220" s="128" t="s">
        <v>76</v>
      </c>
      <c r="P1220" s="129" t="s">
        <v>39</v>
      </c>
      <c r="Q1220" s="111">
        <f t="shared" si="900"/>
        <v>2</v>
      </c>
      <c r="R1220" s="111">
        <f t="shared" si="876"/>
        <v>160</v>
      </c>
      <c r="S1220" s="129">
        <v>0</v>
      </c>
      <c r="T1220" s="129">
        <v>3</v>
      </c>
      <c r="W1220" s="111"/>
      <c r="AC1220" s="130"/>
      <c r="AD1220" s="130">
        <v>23232</v>
      </c>
      <c r="AE1220" s="128" t="s">
        <v>32</v>
      </c>
      <c r="AF1220" s="128" t="s">
        <v>40</v>
      </c>
      <c r="AG1220" s="128" t="s">
        <v>41</v>
      </c>
      <c r="AH1220" s="108" t="s">
        <v>41</v>
      </c>
      <c r="AI1220" s="128" t="s">
        <v>141</v>
      </c>
      <c r="AJ1220" s="129" t="s">
        <v>89</v>
      </c>
      <c r="AK1220" s="129">
        <v>10</v>
      </c>
      <c r="AL1220" s="3" t="s">
        <v>362</v>
      </c>
      <c r="AM1220" s="117">
        <v>1</v>
      </c>
      <c r="AP1220" s="129" t="s">
        <v>108</v>
      </c>
      <c r="AR1220" s="128" t="s">
        <v>44</v>
      </c>
      <c r="AS1220" s="129" t="s">
        <v>61</v>
      </c>
      <c r="AW1220" s="32"/>
      <c r="AX1220" s="32"/>
      <c r="AY1220" s="32"/>
      <c r="BC1220" s="129" t="s">
        <v>52</v>
      </c>
      <c r="BF1220" s="111">
        <f t="shared" ref="BF1220:BF1236" si="926">IF(J1220&gt;1/1/1900,((J1220+1)-I1220),"STILL OPEN")</f>
        <v>2</v>
      </c>
      <c r="BG1220" s="111">
        <f t="shared" ref="BG1220:BG1251" si="927">IF(G1220&gt;1/1/1900,((G1220+1)-I1220),"STILL OPEN")</f>
        <v>159</v>
      </c>
      <c r="BH1220" s="111">
        <f t="shared" si="901"/>
        <v>160</v>
      </c>
      <c r="BI1220" s="111">
        <f t="shared" si="902"/>
        <v>48.382513661202189</v>
      </c>
      <c r="BJ1220" s="129">
        <f>(G1220-J1220)+(M1220-G1220)</f>
        <v>0</v>
      </c>
      <c r="BK1220" s="129">
        <f t="shared" si="903"/>
        <v>-157</v>
      </c>
      <c r="BL1220" s="129" t="str">
        <f t="shared" si="881"/>
        <v>CONVICTION</v>
      </c>
      <c r="BM1220" s="129" t="s">
        <v>76</v>
      </c>
      <c r="BN1220" s="129" t="s">
        <v>88</v>
      </c>
      <c r="BP1220" s="137" t="str">
        <f t="shared" si="909"/>
        <v>CONVICTION</v>
      </c>
      <c r="BQ1220" s="128" t="str">
        <f t="shared" si="910"/>
        <v>Y</v>
      </c>
      <c r="BR1220" s="129" t="str">
        <f>IF(J1220&lt;G1220,"ON BOND",0)</f>
        <v>ON BOND</v>
      </c>
      <c r="BS1220" s="129" t="str">
        <f t="shared" si="912"/>
        <v>DISPOSED</v>
      </c>
      <c r="BT1220" s="129" t="str">
        <f t="shared" si="913"/>
        <v>N</v>
      </c>
      <c r="BU1220" s="109">
        <f t="shared" si="914"/>
        <v>1.2500000000000001E-2</v>
      </c>
      <c r="BV1220" s="109">
        <f t="shared" si="915"/>
        <v>1.2578616352201259E-2</v>
      </c>
      <c r="BW1220" s="109">
        <f t="shared" si="896"/>
        <v>7.8616352201257844E-5</v>
      </c>
      <c r="BX1220" s="111">
        <f t="shared" si="916"/>
        <v>0</v>
      </c>
      <c r="BY1220" s="129">
        <f t="shared" si="917"/>
        <v>-2</v>
      </c>
      <c r="BZ1220" s="111">
        <f t="shared" si="918"/>
        <v>0</v>
      </c>
      <c r="CA1220" s="138">
        <f t="shared" si="919"/>
        <v>2</v>
      </c>
      <c r="CB1220" s="111" t="e">
        <f t="shared" ref="CB1220:CB1236" si="928">IF(AF1220&gt;1/1/1900,((AF1220+1)-AE1220),"STILL OPEN")</f>
        <v>#VALUE!</v>
      </c>
      <c r="CC1220" s="129">
        <f>M1220-I1220+1</f>
        <v>2</v>
      </c>
      <c r="CD1220" s="111">
        <f>CC1220-BF1220</f>
        <v>0</v>
      </c>
      <c r="CE1220" s="129">
        <f t="shared" si="920"/>
        <v>157</v>
      </c>
      <c r="CG1220" s="129" t="str">
        <f t="shared" si="921"/>
        <v>Y</v>
      </c>
      <c r="CI1220" s="129" t="str">
        <f t="shared" si="922"/>
        <v>0-10 DAYS</v>
      </c>
      <c r="CJ1220" s="137">
        <f t="shared" si="923"/>
        <v>1</v>
      </c>
      <c r="CK1220" s="129" t="str">
        <f t="shared" si="924"/>
        <v>Booked</v>
      </c>
    </row>
    <row r="1221" spans="1:89" ht="15.75" customHeight="1" x14ac:dyDescent="0.25">
      <c r="A1221" s="111">
        <v>744</v>
      </c>
      <c r="B1221" s="128" t="str">
        <f t="shared" si="904"/>
        <v>N</v>
      </c>
      <c r="C1221" s="128" t="str">
        <f t="shared" si="905"/>
        <v>N</v>
      </c>
      <c r="D1221" s="117">
        <v>1870302</v>
      </c>
      <c r="E1221" s="135">
        <f t="shared" si="906"/>
        <v>3</v>
      </c>
      <c r="F1221" s="124">
        <v>40938</v>
      </c>
      <c r="G1221" s="125">
        <v>41128</v>
      </c>
      <c r="H1221" s="117">
        <v>1870302</v>
      </c>
      <c r="I1221" s="124">
        <v>40938</v>
      </c>
      <c r="J1221" s="124">
        <v>41128</v>
      </c>
      <c r="K1221" s="126">
        <v>10000</v>
      </c>
      <c r="L1221" s="127" t="s">
        <v>570</v>
      </c>
      <c r="N1221" s="129" t="str">
        <f t="shared" si="925"/>
        <v>N</v>
      </c>
      <c r="O1221" s="128" t="s">
        <v>917</v>
      </c>
      <c r="P1221" s="129" t="s">
        <v>39</v>
      </c>
      <c r="Q1221" s="111">
        <f t="shared" si="900"/>
        <v>191</v>
      </c>
      <c r="R1221" s="111">
        <f t="shared" si="876"/>
        <v>191</v>
      </c>
      <c r="S1221" s="129">
        <v>0</v>
      </c>
      <c r="T1221" s="129">
        <v>0</v>
      </c>
      <c r="W1221" s="111"/>
      <c r="AC1221" s="130"/>
      <c r="AD1221" s="130">
        <v>29848</v>
      </c>
      <c r="AE1221" s="128" t="s">
        <v>32</v>
      </c>
      <c r="AF1221" s="128" t="s">
        <v>69</v>
      </c>
      <c r="AG1221" s="128" t="s">
        <v>874</v>
      </c>
      <c r="AH1221" s="108" t="s">
        <v>31</v>
      </c>
      <c r="AI1221" s="128" t="s">
        <v>42</v>
      </c>
      <c r="AJ1221" s="129" t="s">
        <v>89</v>
      </c>
      <c r="AK1221" s="129">
        <v>7</v>
      </c>
      <c r="AL1221" s="3" t="s">
        <v>185</v>
      </c>
      <c r="AP1221" s="129" t="s">
        <v>236</v>
      </c>
      <c r="AR1221" s="128" t="s">
        <v>67</v>
      </c>
      <c r="AS1221" s="129" t="s">
        <v>74</v>
      </c>
      <c r="AY1221" s="32"/>
      <c r="BC1221" s="129" t="s">
        <v>38</v>
      </c>
      <c r="BF1221" s="111">
        <f t="shared" si="926"/>
        <v>191</v>
      </c>
      <c r="BG1221" s="111">
        <f t="shared" si="927"/>
        <v>191</v>
      </c>
      <c r="BH1221" s="111">
        <f t="shared" si="901"/>
        <v>191</v>
      </c>
      <c r="BI1221" s="111">
        <f t="shared" si="902"/>
        <v>30.300546448087431</v>
      </c>
      <c r="BJ1221" s="129">
        <f t="shared" si="907"/>
        <v>0</v>
      </c>
      <c r="BK1221" s="129">
        <f t="shared" si="903"/>
        <v>0</v>
      </c>
      <c r="BL1221" s="129" t="str">
        <f t="shared" si="881"/>
        <v>CONVICTION</v>
      </c>
      <c r="BM1221" s="129" t="str">
        <f t="shared" si="908"/>
        <v>NONE</v>
      </c>
      <c r="BN1221" s="129" t="s">
        <v>566</v>
      </c>
      <c r="BP1221" s="137" t="str">
        <f t="shared" si="909"/>
        <v>CONVICTION</v>
      </c>
      <c r="BQ1221" s="128" t="str">
        <f t="shared" si="910"/>
        <v>Y</v>
      </c>
      <c r="BR1221" s="129" t="str">
        <f t="shared" si="911"/>
        <v>DETAINED</v>
      </c>
      <c r="BS1221" s="129" t="str">
        <f t="shared" si="912"/>
        <v>DISPOSED</v>
      </c>
      <c r="BT1221" s="129" t="str">
        <f t="shared" si="913"/>
        <v>N</v>
      </c>
      <c r="BU1221" s="109">
        <f t="shared" si="914"/>
        <v>1</v>
      </c>
      <c r="BV1221" s="109">
        <f t="shared" si="915"/>
        <v>1</v>
      </c>
      <c r="BW1221" s="109">
        <f t="shared" si="896"/>
        <v>0</v>
      </c>
      <c r="BX1221" s="111">
        <f t="shared" si="916"/>
        <v>0</v>
      </c>
      <c r="BY1221" s="129">
        <f t="shared" si="917"/>
        <v>-191</v>
      </c>
      <c r="BZ1221" s="111">
        <f t="shared" si="918"/>
        <v>0</v>
      </c>
      <c r="CA1221" s="138">
        <f t="shared" si="919"/>
        <v>191</v>
      </c>
      <c r="CB1221" s="111" t="e">
        <f t="shared" si="928"/>
        <v>#VALUE!</v>
      </c>
      <c r="CC1221" s="129">
        <f t="shared" ref="CC1221:CC1232" si="929">G1221-I1221+1</f>
        <v>191</v>
      </c>
      <c r="CD1221" s="129">
        <f t="shared" ref="CD1221:CD1232" si="930">G1221-J1221</f>
        <v>0</v>
      </c>
      <c r="CE1221" s="129">
        <f t="shared" si="920"/>
        <v>0</v>
      </c>
      <c r="CG1221" s="129" t="str">
        <f t="shared" si="921"/>
        <v>N</v>
      </c>
      <c r="CI1221" s="129" t="str">
        <f t="shared" si="922"/>
        <v>121-365 DAYS</v>
      </c>
      <c r="CJ1221" s="137">
        <f t="shared" si="923"/>
        <v>6</v>
      </c>
      <c r="CK1221" s="129" t="str">
        <f t="shared" si="924"/>
        <v>Booked</v>
      </c>
    </row>
    <row r="1222" spans="1:89" ht="15" customHeight="1" x14ac:dyDescent="0.25">
      <c r="A1222" s="111">
        <v>1112</v>
      </c>
      <c r="B1222" s="128" t="str">
        <f t="shared" si="904"/>
        <v>N</v>
      </c>
      <c r="C1222" s="128" t="str">
        <f t="shared" si="905"/>
        <v>N</v>
      </c>
      <c r="D1222" s="117">
        <v>1870507</v>
      </c>
      <c r="E1222" s="135">
        <f t="shared" si="906"/>
        <v>6</v>
      </c>
      <c r="F1222" s="124">
        <v>40949</v>
      </c>
      <c r="G1222" s="125">
        <v>41016</v>
      </c>
      <c r="H1222" s="117">
        <v>1870507</v>
      </c>
      <c r="I1222" s="124">
        <v>40949</v>
      </c>
      <c r="J1222" s="124">
        <v>41016</v>
      </c>
      <c r="K1222" s="126">
        <v>30000</v>
      </c>
      <c r="L1222" s="129" t="s">
        <v>572</v>
      </c>
      <c r="N1222" s="129" t="str">
        <f t="shared" si="925"/>
        <v>N</v>
      </c>
      <c r="O1222" s="128" t="s">
        <v>917</v>
      </c>
      <c r="P1222" s="129" t="s">
        <v>39</v>
      </c>
      <c r="Q1222" s="111">
        <f t="shared" si="900"/>
        <v>68</v>
      </c>
      <c r="R1222" s="111">
        <f t="shared" si="876"/>
        <v>68</v>
      </c>
      <c r="S1222" s="129">
        <v>5</v>
      </c>
      <c r="T1222" s="129">
        <v>1</v>
      </c>
      <c r="U1222" s="129">
        <v>3</v>
      </c>
      <c r="W1222" s="111"/>
      <c r="AB1222" s="131" t="s">
        <v>112</v>
      </c>
      <c r="AC1222" s="130"/>
      <c r="AD1222" s="130">
        <v>29821</v>
      </c>
      <c r="AE1222" s="128" t="s">
        <v>32</v>
      </c>
      <c r="AF1222" s="128" t="s">
        <v>40</v>
      </c>
      <c r="AG1222" s="128" t="s">
        <v>41</v>
      </c>
      <c r="AH1222" s="108" t="s">
        <v>31</v>
      </c>
      <c r="AI1222" s="128" t="s">
        <v>72</v>
      </c>
      <c r="AJ1222" s="129" t="s">
        <v>89</v>
      </c>
      <c r="AK1222" s="129">
        <v>3</v>
      </c>
      <c r="AL1222" s="3" t="s">
        <v>362</v>
      </c>
      <c r="AM1222" s="117">
        <v>5</v>
      </c>
      <c r="AP1222" s="129" t="s">
        <v>49</v>
      </c>
      <c r="AR1222" s="128" t="s">
        <v>50</v>
      </c>
      <c r="AS1222" s="129" t="s">
        <v>45</v>
      </c>
      <c r="AX1222" s="32"/>
      <c r="BC1222" s="129" t="s">
        <v>38</v>
      </c>
      <c r="BF1222" s="111">
        <f t="shared" si="926"/>
        <v>68</v>
      </c>
      <c r="BG1222" s="111">
        <f t="shared" si="927"/>
        <v>68</v>
      </c>
      <c r="BH1222" s="111">
        <f t="shared" si="901"/>
        <v>68</v>
      </c>
      <c r="BI1222" s="111">
        <f t="shared" si="902"/>
        <v>30.404371584699454</v>
      </c>
      <c r="BJ1222" s="129">
        <f t="shared" si="907"/>
        <v>0</v>
      </c>
      <c r="BK1222" s="129">
        <f t="shared" si="903"/>
        <v>0</v>
      </c>
      <c r="BL1222" s="129" t="str">
        <f t="shared" si="881"/>
        <v>CONVICTION</v>
      </c>
      <c r="BM1222" s="129" t="str">
        <f t="shared" si="908"/>
        <v>NONE</v>
      </c>
      <c r="BN1222" s="129" t="s">
        <v>566</v>
      </c>
      <c r="BP1222" s="137" t="str">
        <f t="shared" si="909"/>
        <v>CONVICTION</v>
      </c>
      <c r="BQ1222" s="128" t="str">
        <f t="shared" si="910"/>
        <v>Y</v>
      </c>
      <c r="BR1222" s="129" t="str">
        <f t="shared" si="911"/>
        <v>DETAINED</v>
      </c>
      <c r="BS1222" s="129" t="str">
        <f t="shared" si="912"/>
        <v>DISPOSED</v>
      </c>
      <c r="BT1222" s="129" t="str">
        <f t="shared" si="913"/>
        <v>Y</v>
      </c>
      <c r="BU1222" s="109">
        <f t="shared" si="914"/>
        <v>1</v>
      </c>
      <c r="BV1222" s="109">
        <f t="shared" si="915"/>
        <v>1</v>
      </c>
      <c r="BW1222" s="109">
        <f t="shared" si="896"/>
        <v>0</v>
      </c>
      <c r="BX1222" s="111">
        <f t="shared" si="916"/>
        <v>0</v>
      </c>
      <c r="BY1222" s="129">
        <f t="shared" si="917"/>
        <v>-68</v>
      </c>
      <c r="BZ1222" s="111">
        <f t="shared" si="918"/>
        <v>0</v>
      </c>
      <c r="CA1222" s="138">
        <f t="shared" si="919"/>
        <v>68</v>
      </c>
      <c r="CB1222" s="111" t="e">
        <f t="shared" si="928"/>
        <v>#VALUE!</v>
      </c>
      <c r="CC1222" s="129">
        <f t="shared" si="929"/>
        <v>68</v>
      </c>
      <c r="CD1222" s="129">
        <f t="shared" si="930"/>
        <v>0</v>
      </c>
      <c r="CE1222" s="129">
        <f t="shared" si="920"/>
        <v>0</v>
      </c>
      <c r="CG1222" s="129" t="str">
        <f t="shared" si="921"/>
        <v>Y</v>
      </c>
      <c r="CI1222" s="129" t="str">
        <f t="shared" si="922"/>
        <v>61-90 DAYS</v>
      </c>
      <c r="CJ1222" s="137">
        <f t="shared" si="923"/>
        <v>4</v>
      </c>
      <c r="CK1222" s="129" t="str">
        <f t="shared" si="924"/>
        <v>Booked</v>
      </c>
    </row>
    <row r="1223" spans="1:89" ht="15" customHeight="1" x14ac:dyDescent="0.25">
      <c r="A1223" s="111">
        <v>867</v>
      </c>
      <c r="B1223" s="128" t="str">
        <f t="shared" si="904"/>
        <v>Y</v>
      </c>
      <c r="C1223" s="128" t="str">
        <f t="shared" si="905"/>
        <v>N</v>
      </c>
      <c r="D1223" s="117">
        <v>1872513</v>
      </c>
      <c r="E1223" s="135">
        <f t="shared" si="906"/>
        <v>1</v>
      </c>
      <c r="F1223" s="124">
        <v>40941</v>
      </c>
      <c r="G1223" s="125">
        <v>40997</v>
      </c>
      <c r="H1223" s="117">
        <v>1872513</v>
      </c>
      <c r="I1223" s="124">
        <v>40994</v>
      </c>
      <c r="J1223" s="125">
        <v>40997</v>
      </c>
      <c r="K1223" s="126">
        <v>5000</v>
      </c>
      <c r="L1223" s="127" t="s">
        <v>569</v>
      </c>
      <c r="N1223" s="129" t="str">
        <f t="shared" si="925"/>
        <v>N</v>
      </c>
      <c r="O1223" s="128" t="s">
        <v>917</v>
      </c>
      <c r="P1223" s="129" t="s">
        <v>55</v>
      </c>
      <c r="Q1223" s="111">
        <f t="shared" si="900"/>
        <v>4</v>
      </c>
      <c r="R1223" s="111">
        <f t="shared" si="876"/>
        <v>57</v>
      </c>
      <c r="S1223" s="129">
        <v>2</v>
      </c>
      <c r="T1223" s="129">
        <v>1</v>
      </c>
      <c r="U1223" s="129">
        <v>1</v>
      </c>
      <c r="V1223" s="117">
        <v>1</v>
      </c>
      <c r="W1223" s="111"/>
      <c r="AC1223" s="130"/>
      <c r="AD1223" s="130">
        <v>30838</v>
      </c>
      <c r="AE1223" s="128" t="s">
        <v>32</v>
      </c>
      <c r="AF1223" s="128" t="s">
        <v>33</v>
      </c>
      <c r="AG1223" s="128" t="s">
        <v>872</v>
      </c>
      <c r="AH1223" s="108" t="s">
        <v>58</v>
      </c>
      <c r="AI1223" s="128" t="s">
        <v>83</v>
      </c>
      <c r="AJ1223" s="129" t="s">
        <v>55</v>
      </c>
      <c r="AK1223" s="129">
        <v>2</v>
      </c>
      <c r="AL1223" s="3" t="s">
        <v>55</v>
      </c>
      <c r="AP1223" s="129" t="s">
        <v>63</v>
      </c>
      <c r="AR1223" s="128" t="s">
        <v>44</v>
      </c>
      <c r="AS1223" s="129" t="s">
        <v>64</v>
      </c>
      <c r="AT1223" s="129" t="s">
        <v>258</v>
      </c>
      <c r="BC1223" s="129" t="s">
        <v>38</v>
      </c>
      <c r="BD1223" s="129" t="s">
        <v>258</v>
      </c>
      <c r="BF1223" s="111">
        <f t="shared" si="926"/>
        <v>4</v>
      </c>
      <c r="BG1223" s="111">
        <f t="shared" si="927"/>
        <v>4</v>
      </c>
      <c r="BH1223" s="111">
        <f t="shared" si="901"/>
        <v>57</v>
      </c>
      <c r="BI1223" s="111">
        <f t="shared" si="902"/>
        <v>27.603825136612024</v>
      </c>
      <c r="BJ1223" s="129">
        <f t="shared" si="907"/>
        <v>0</v>
      </c>
      <c r="BK1223" s="129">
        <f t="shared" si="903"/>
        <v>0</v>
      </c>
      <c r="BL1223" s="129" t="str">
        <f t="shared" si="881"/>
        <v>NO CONVICTION</v>
      </c>
      <c r="BM1223" s="129" t="str">
        <f t="shared" si="908"/>
        <v>NONE</v>
      </c>
      <c r="BN1223" s="129" t="s">
        <v>566</v>
      </c>
      <c r="BP1223" s="137" t="str">
        <f t="shared" si="909"/>
        <v>NO CONVICTION</v>
      </c>
      <c r="BQ1223" s="128" t="str">
        <f t="shared" si="910"/>
        <v>Y</v>
      </c>
      <c r="BR1223" s="129" t="str">
        <f t="shared" si="911"/>
        <v>DETAINED</v>
      </c>
      <c r="BS1223" s="129" t="str">
        <f t="shared" si="912"/>
        <v>DISPOSED</v>
      </c>
      <c r="BT1223" s="129" t="str">
        <f t="shared" si="913"/>
        <v>Y</v>
      </c>
      <c r="BU1223" s="109">
        <f>IFERROR(Q1223/R1223,BR1223)</f>
        <v>7.0175438596491224E-2</v>
      </c>
      <c r="BV1223" s="109">
        <f t="shared" si="915"/>
        <v>1</v>
      </c>
      <c r="BW1223" s="109">
        <f t="shared" si="896"/>
        <v>0.92982456140350878</v>
      </c>
      <c r="BX1223" s="111">
        <f t="shared" si="916"/>
        <v>0</v>
      </c>
      <c r="BY1223" s="129">
        <f t="shared" si="917"/>
        <v>-4</v>
      </c>
      <c r="BZ1223" s="111">
        <f t="shared" si="918"/>
        <v>0</v>
      </c>
      <c r="CA1223" s="138">
        <f t="shared" si="919"/>
        <v>4</v>
      </c>
      <c r="CB1223" s="111" t="e">
        <f t="shared" si="928"/>
        <v>#VALUE!</v>
      </c>
      <c r="CC1223" s="129">
        <f t="shared" si="929"/>
        <v>4</v>
      </c>
      <c r="CD1223" s="129">
        <f t="shared" si="930"/>
        <v>0</v>
      </c>
      <c r="CE1223" s="129">
        <f t="shared" si="920"/>
        <v>0</v>
      </c>
      <c r="CG1223" s="129" t="str">
        <f t="shared" si="921"/>
        <v>Y</v>
      </c>
      <c r="CI1223" s="129" t="str">
        <f t="shared" si="922"/>
        <v>0-10 DAYS</v>
      </c>
      <c r="CJ1223" s="137">
        <f t="shared" si="923"/>
        <v>1</v>
      </c>
      <c r="CK1223" s="129" t="str">
        <f t="shared" si="924"/>
        <v>Booked</v>
      </c>
    </row>
    <row r="1224" spans="1:89" ht="15" customHeight="1" x14ac:dyDescent="0.25">
      <c r="A1224" s="111">
        <v>1592</v>
      </c>
      <c r="B1224" s="128" t="str">
        <f t="shared" si="904"/>
        <v>N</v>
      </c>
      <c r="C1224" s="128" t="str">
        <f t="shared" si="905"/>
        <v>N</v>
      </c>
      <c r="D1224" s="117">
        <v>1874175</v>
      </c>
      <c r="E1224" s="135">
        <f t="shared" si="906"/>
        <v>5</v>
      </c>
      <c r="F1224" s="124">
        <v>40968</v>
      </c>
      <c r="G1224" s="125">
        <v>41129</v>
      </c>
      <c r="H1224" s="117">
        <v>1874175</v>
      </c>
      <c r="I1224" s="124">
        <v>40968</v>
      </c>
      <c r="J1224" s="124">
        <v>41129</v>
      </c>
      <c r="K1224" s="126">
        <v>15000</v>
      </c>
      <c r="L1224" s="127" t="s">
        <v>571</v>
      </c>
      <c r="N1224" s="129" t="str">
        <f t="shared" si="925"/>
        <v>N</v>
      </c>
      <c r="O1224" s="128" t="s">
        <v>917</v>
      </c>
      <c r="P1224" s="129" t="s">
        <v>39</v>
      </c>
      <c r="Q1224" s="111">
        <f t="shared" si="900"/>
        <v>162</v>
      </c>
      <c r="R1224" s="111">
        <f t="shared" si="876"/>
        <v>162</v>
      </c>
      <c r="S1224" s="129">
        <v>11</v>
      </c>
      <c r="T1224" s="129">
        <v>4</v>
      </c>
      <c r="U1224" s="129">
        <v>8</v>
      </c>
      <c r="W1224" s="111"/>
      <c r="AC1224" s="130"/>
      <c r="AD1224" s="130">
        <v>30759</v>
      </c>
      <c r="AE1224" s="128" t="s">
        <v>32</v>
      </c>
      <c r="AF1224" s="128" t="s">
        <v>33</v>
      </c>
      <c r="AG1224" s="128" t="s">
        <v>872</v>
      </c>
      <c r="AH1224" s="108" t="s">
        <v>58</v>
      </c>
      <c r="AI1224" s="128" t="s">
        <v>72</v>
      </c>
      <c r="AJ1224" s="129" t="s">
        <v>89</v>
      </c>
      <c r="AK1224" s="129">
        <v>6</v>
      </c>
      <c r="AL1224" s="3" t="s">
        <v>992</v>
      </c>
      <c r="AN1224" s="117">
        <v>7</v>
      </c>
      <c r="AP1224" s="129" t="s">
        <v>43</v>
      </c>
      <c r="AR1224" s="128" t="s">
        <v>44</v>
      </c>
      <c r="AS1224" s="129" t="s">
        <v>45</v>
      </c>
      <c r="AX1224" s="32"/>
      <c r="AY1224" s="125"/>
      <c r="BC1224" s="129" t="s">
        <v>38</v>
      </c>
      <c r="BF1224" s="111">
        <f t="shared" si="926"/>
        <v>162</v>
      </c>
      <c r="BG1224" s="111">
        <f t="shared" si="927"/>
        <v>162</v>
      </c>
      <c r="BH1224" s="111">
        <f t="shared" si="901"/>
        <v>162</v>
      </c>
      <c r="BI1224" s="111">
        <f t="shared" si="902"/>
        <v>27.893442622950818</v>
      </c>
      <c r="BJ1224" s="129">
        <f t="shared" si="907"/>
        <v>0</v>
      </c>
      <c r="BK1224" s="129">
        <f t="shared" si="903"/>
        <v>0</v>
      </c>
      <c r="BL1224" s="129" t="str">
        <f t="shared" si="881"/>
        <v>CONVICTION</v>
      </c>
      <c r="BM1224" s="129" t="str">
        <f t="shared" si="908"/>
        <v>NONE</v>
      </c>
      <c r="BN1224" s="129" t="s">
        <v>566</v>
      </c>
      <c r="BP1224" s="137" t="str">
        <f t="shared" si="909"/>
        <v>CONVICTION</v>
      </c>
      <c r="BQ1224" s="128" t="str">
        <f t="shared" si="910"/>
        <v>Y</v>
      </c>
      <c r="BR1224" s="129" t="str">
        <f t="shared" si="911"/>
        <v>DETAINED</v>
      </c>
      <c r="BS1224" s="129" t="str">
        <f t="shared" si="912"/>
        <v>DISPOSED</v>
      </c>
      <c r="BT1224" s="129" t="str">
        <f t="shared" si="913"/>
        <v>Y</v>
      </c>
      <c r="BU1224" s="109">
        <f t="shared" si="914"/>
        <v>1</v>
      </c>
      <c r="BV1224" s="109">
        <f t="shared" si="915"/>
        <v>1</v>
      </c>
      <c r="BW1224" s="109">
        <f t="shared" si="896"/>
        <v>0</v>
      </c>
      <c r="BX1224" s="111">
        <f t="shared" si="916"/>
        <v>0</v>
      </c>
      <c r="BY1224" s="129">
        <f t="shared" si="917"/>
        <v>-162</v>
      </c>
      <c r="BZ1224" s="111">
        <f t="shared" si="918"/>
        <v>0</v>
      </c>
      <c r="CA1224" s="138">
        <f t="shared" si="919"/>
        <v>162</v>
      </c>
      <c r="CB1224" s="111" t="e">
        <f t="shared" si="928"/>
        <v>#VALUE!</v>
      </c>
      <c r="CC1224" s="129">
        <f t="shared" si="929"/>
        <v>162</v>
      </c>
      <c r="CD1224" s="129">
        <f t="shared" si="930"/>
        <v>0</v>
      </c>
      <c r="CE1224" s="129">
        <f t="shared" si="920"/>
        <v>0</v>
      </c>
      <c r="CG1224" s="129" t="str">
        <f t="shared" si="921"/>
        <v>Y</v>
      </c>
      <c r="CI1224" s="129" t="str">
        <f t="shared" si="922"/>
        <v>121-365 DAYS</v>
      </c>
      <c r="CJ1224" s="137">
        <f t="shared" si="923"/>
        <v>6</v>
      </c>
      <c r="CK1224" s="129" t="str">
        <f t="shared" si="924"/>
        <v>Booked</v>
      </c>
    </row>
    <row r="1225" spans="1:89" ht="15" customHeight="1" x14ac:dyDescent="0.25">
      <c r="A1225" s="111">
        <v>2242</v>
      </c>
      <c r="B1225" s="128" t="str">
        <f t="shared" si="904"/>
        <v>N</v>
      </c>
      <c r="C1225" s="128" t="str">
        <f t="shared" si="905"/>
        <v>N</v>
      </c>
      <c r="D1225" s="117">
        <v>1876091</v>
      </c>
      <c r="E1225" s="135">
        <f t="shared" si="906"/>
        <v>4</v>
      </c>
      <c r="F1225" s="124">
        <v>40993</v>
      </c>
      <c r="G1225" s="125">
        <v>41001</v>
      </c>
      <c r="H1225" s="117">
        <v>1876091</v>
      </c>
      <c r="I1225" s="124">
        <v>40995</v>
      </c>
      <c r="J1225" s="124">
        <v>41001</v>
      </c>
      <c r="K1225" s="126">
        <v>5000</v>
      </c>
      <c r="L1225" s="127" t="s">
        <v>569</v>
      </c>
      <c r="N1225" s="129" t="str">
        <f t="shared" si="925"/>
        <v>N</v>
      </c>
      <c r="O1225" s="128" t="s">
        <v>917</v>
      </c>
      <c r="P1225" s="129" t="s">
        <v>39</v>
      </c>
      <c r="Q1225" s="111">
        <f t="shared" si="900"/>
        <v>7</v>
      </c>
      <c r="R1225" s="111">
        <f t="shared" si="876"/>
        <v>9</v>
      </c>
      <c r="S1225" s="129">
        <v>1</v>
      </c>
      <c r="T1225" s="129">
        <v>2</v>
      </c>
      <c r="U1225" s="129">
        <v>1</v>
      </c>
      <c r="W1225" s="111"/>
      <c r="AC1225" s="130"/>
      <c r="AD1225" s="130">
        <v>27895</v>
      </c>
      <c r="AE1225" s="128" t="s">
        <v>46</v>
      </c>
      <c r="AF1225" s="128" t="s">
        <v>69</v>
      </c>
      <c r="AG1225" s="128" t="s">
        <v>874</v>
      </c>
      <c r="AH1225" s="108" t="s">
        <v>58</v>
      </c>
      <c r="AI1225" s="128" t="s">
        <v>80</v>
      </c>
      <c r="AJ1225" s="129" t="s">
        <v>89</v>
      </c>
      <c r="AK1225" s="129">
        <v>4</v>
      </c>
      <c r="AL1225" s="3" t="s">
        <v>991</v>
      </c>
      <c r="AO1225" s="128">
        <v>20</v>
      </c>
      <c r="AP1225" s="129" t="s">
        <v>60</v>
      </c>
      <c r="AR1225" s="128" t="s">
        <v>44</v>
      </c>
      <c r="AS1225" s="129" t="s">
        <v>61</v>
      </c>
      <c r="BC1225" s="129" t="s">
        <v>38</v>
      </c>
      <c r="BF1225" s="111">
        <f t="shared" si="926"/>
        <v>7</v>
      </c>
      <c r="BG1225" s="111">
        <f t="shared" si="927"/>
        <v>7</v>
      </c>
      <c r="BH1225" s="111">
        <f t="shared" si="901"/>
        <v>9</v>
      </c>
      <c r="BI1225" s="111">
        <f t="shared" si="902"/>
        <v>35.786885245901637</v>
      </c>
      <c r="BJ1225" s="129">
        <f t="shared" si="907"/>
        <v>0</v>
      </c>
      <c r="BK1225" s="129">
        <f t="shared" si="903"/>
        <v>0</v>
      </c>
      <c r="BL1225" s="129" t="str">
        <f t="shared" si="881"/>
        <v>CONVICTION</v>
      </c>
      <c r="BM1225" s="129" t="str">
        <f t="shared" si="908"/>
        <v>NONE</v>
      </c>
      <c r="BN1225" s="129" t="s">
        <v>566</v>
      </c>
      <c r="BP1225" s="137" t="str">
        <f t="shared" si="909"/>
        <v>CONVICTION</v>
      </c>
      <c r="BQ1225" s="128" t="str">
        <f t="shared" si="910"/>
        <v>Y</v>
      </c>
      <c r="BR1225" s="129" t="str">
        <f t="shared" si="911"/>
        <v>DETAINED</v>
      </c>
      <c r="BS1225" s="129" t="str">
        <f t="shared" si="912"/>
        <v>DISPOSED</v>
      </c>
      <c r="BT1225" s="129" t="str">
        <f t="shared" si="913"/>
        <v>Y</v>
      </c>
      <c r="BU1225" s="109">
        <f t="shared" si="914"/>
        <v>0.77777777777777779</v>
      </c>
      <c r="BV1225" s="109">
        <f t="shared" si="915"/>
        <v>1</v>
      </c>
      <c r="BW1225" s="109">
        <f t="shared" si="896"/>
        <v>0.22222222222222221</v>
      </c>
      <c r="BX1225" s="111">
        <f t="shared" si="916"/>
        <v>0</v>
      </c>
      <c r="BY1225" s="129">
        <f t="shared" si="917"/>
        <v>-7</v>
      </c>
      <c r="BZ1225" s="111">
        <f t="shared" si="918"/>
        <v>0</v>
      </c>
      <c r="CA1225" s="138">
        <f t="shared" si="919"/>
        <v>7</v>
      </c>
      <c r="CB1225" s="111" t="e">
        <f t="shared" si="928"/>
        <v>#VALUE!</v>
      </c>
      <c r="CC1225" s="129">
        <f t="shared" si="929"/>
        <v>7</v>
      </c>
      <c r="CD1225" s="129">
        <f t="shared" si="930"/>
        <v>0</v>
      </c>
      <c r="CE1225" s="129">
        <f t="shared" si="920"/>
        <v>0</v>
      </c>
      <c r="CG1225" s="129" t="str">
        <f t="shared" si="921"/>
        <v>Y</v>
      </c>
      <c r="CI1225" s="129" t="str">
        <f t="shared" si="922"/>
        <v>0-10 DAYS</v>
      </c>
      <c r="CJ1225" s="137">
        <f t="shared" si="923"/>
        <v>1</v>
      </c>
      <c r="CK1225" s="129" t="str">
        <f t="shared" si="924"/>
        <v>Booked</v>
      </c>
    </row>
    <row r="1226" spans="1:89" ht="15" customHeight="1" x14ac:dyDescent="0.25">
      <c r="A1226" s="111">
        <v>150</v>
      </c>
      <c r="B1226" s="128" t="str">
        <f t="shared" si="904"/>
        <v>N</v>
      </c>
      <c r="C1226" s="128" t="str">
        <f t="shared" si="905"/>
        <v>Y</v>
      </c>
      <c r="D1226" s="117">
        <v>1876423</v>
      </c>
      <c r="E1226" s="135">
        <f t="shared" si="906"/>
        <v>1</v>
      </c>
      <c r="F1226" s="124">
        <v>40915</v>
      </c>
      <c r="G1226" s="125">
        <v>41019</v>
      </c>
      <c r="H1226" s="117">
        <v>1876423</v>
      </c>
      <c r="I1226" s="124">
        <v>40973</v>
      </c>
      <c r="J1226" s="125">
        <v>41019</v>
      </c>
      <c r="K1226" s="126">
        <v>10000</v>
      </c>
      <c r="L1226" s="127" t="s">
        <v>570</v>
      </c>
      <c r="M1226" s="125">
        <v>40919</v>
      </c>
      <c r="N1226" s="129" t="str">
        <f t="shared" si="925"/>
        <v>Y</v>
      </c>
      <c r="O1226" s="128" t="s">
        <v>76</v>
      </c>
      <c r="P1226" s="129" t="s">
        <v>55</v>
      </c>
      <c r="Q1226" s="111">
        <f t="shared" si="900"/>
        <v>47</v>
      </c>
      <c r="R1226" s="111">
        <f t="shared" si="876"/>
        <v>105</v>
      </c>
      <c r="S1226" s="129">
        <v>2</v>
      </c>
      <c r="T1226" s="129">
        <v>3</v>
      </c>
      <c r="U1226" s="129">
        <v>2</v>
      </c>
      <c r="W1226" s="111"/>
      <c r="AC1226" s="130"/>
      <c r="AD1226" s="130">
        <v>29767</v>
      </c>
      <c r="AE1226" s="128" t="s">
        <v>32</v>
      </c>
      <c r="AF1226" s="128" t="s">
        <v>69</v>
      </c>
      <c r="AG1226" s="128" t="s">
        <v>874</v>
      </c>
      <c r="AH1226" s="108" t="s">
        <v>58</v>
      </c>
      <c r="AI1226" s="128" t="s">
        <v>71</v>
      </c>
      <c r="AJ1226" s="129" t="s">
        <v>55</v>
      </c>
      <c r="AK1226" s="129">
        <v>6</v>
      </c>
      <c r="AL1226" s="3" t="s">
        <v>55</v>
      </c>
      <c r="AP1226" s="129" t="s">
        <v>111</v>
      </c>
      <c r="AR1226" s="128" t="s">
        <v>67</v>
      </c>
      <c r="AS1226" s="129" t="s">
        <v>45</v>
      </c>
      <c r="AT1226" s="129" t="s">
        <v>157</v>
      </c>
      <c r="AU1226" s="119">
        <v>40974</v>
      </c>
      <c r="AX1226" s="129" t="s">
        <v>88</v>
      </c>
      <c r="BC1226" s="129" t="s">
        <v>52</v>
      </c>
      <c r="BF1226" s="111">
        <f>IF(J1226&gt;1/1/1900,((G1226+1)-I1226),"STILL OPEN")</f>
        <v>47</v>
      </c>
      <c r="BG1226" s="111">
        <f t="shared" si="927"/>
        <v>47</v>
      </c>
      <c r="BH1226" s="111">
        <f t="shared" si="901"/>
        <v>105</v>
      </c>
      <c r="BI1226" s="111">
        <f t="shared" si="902"/>
        <v>30.459016393442624</v>
      </c>
      <c r="BJ1226" s="129">
        <f>G1226-J1226</f>
        <v>0</v>
      </c>
      <c r="BK1226" s="129">
        <f t="shared" si="903"/>
        <v>0</v>
      </c>
      <c r="BL1226" s="129" t="str">
        <f t="shared" si="881"/>
        <v>NO CONVICTION</v>
      </c>
      <c r="BM1226" s="129" t="s">
        <v>76</v>
      </c>
      <c r="BN1226" s="129" t="s">
        <v>88</v>
      </c>
      <c r="BP1226" s="137" t="str">
        <f t="shared" si="909"/>
        <v>NO CONVICTION</v>
      </c>
      <c r="BQ1226" s="128" t="str">
        <f t="shared" si="910"/>
        <v>Y</v>
      </c>
      <c r="BR1226" s="129" t="s">
        <v>574</v>
      </c>
      <c r="BS1226" s="129" t="str">
        <f t="shared" si="912"/>
        <v>DISPOSED</v>
      </c>
      <c r="BT1226" s="129" t="str">
        <f t="shared" si="913"/>
        <v>Y</v>
      </c>
      <c r="BU1226" s="109">
        <f>IFERROR(Q1226/R1226,BR1226)</f>
        <v>0.44761904761904764</v>
      </c>
      <c r="BV1226" s="109">
        <f t="shared" si="915"/>
        <v>1</v>
      </c>
      <c r="BW1226" s="109">
        <f t="shared" si="896"/>
        <v>0.55238095238095242</v>
      </c>
      <c r="BX1226" s="111">
        <f t="shared" si="916"/>
        <v>0</v>
      </c>
      <c r="BY1226" s="129">
        <f t="shared" si="917"/>
        <v>-47</v>
      </c>
      <c r="BZ1226" s="111">
        <f t="shared" si="918"/>
        <v>0</v>
      </c>
      <c r="CA1226" s="138">
        <f t="shared" si="919"/>
        <v>47</v>
      </c>
      <c r="CB1226" s="111" t="e">
        <f t="shared" si="928"/>
        <v>#VALUE!</v>
      </c>
      <c r="CC1226" s="129">
        <f t="shared" si="929"/>
        <v>47</v>
      </c>
      <c r="CD1226" s="129">
        <f t="shared" si="930"/>
        <v>0</v>
      </c>
      <c r="CE1226" s="129">
        <f t="shared" si="920"/>
        <v>0</v>
      </c>
      <c r="CG1226" s="129" t="str">
        <f t="shared" si="921"/>
        <v>Y</v>
      </c>
      <c r="CI1226" s="129" t="str">
        <f t="shared" si="922"/>
        <v>31-60 DAYS</v>
      </c>
      <c r="CJ1226" s="137">
        <f t="shared" si="923"/>
        <v>3</v>
      </c>
      <c r="CK1226" s="129" t="str">
        <f t="shared" si="924"/>
        <v>Booked</v>
      </c>
    </row>
    <row r="1227" spans="1:89" ht="15" customHeight="1" x14ac:dyDescent="0.25">
      <c r="A1227" s="111">
        <v>2628</v>
      </c>
      <c r="B1227" s="128" t="str">
        <f t="shared" si="904"/>
        <v>Y</v>
      </c>
      <c r="C1227" s="128" t="str">
        <f t="shared" si="905"/>
        <v>N</v>
      </c>
      <c r="D1227" s="117">
        <v>1876496</v>
      </c>
      <c r="E1227" s="135">
        <f t="shared" si="906"/>
        <v>1</v>
      </c>
      <c r="F1227" s="124">
        <v>41006</v>
      </c>
      <c r="G1227" s="125">
        <v>41009</v>
      </c>
      <c r="H1227" s="117">
        <v>1876496</v>
      </c>
      <c r="I1227" s="124">
        <v>41008</v>
      </c>
      <c r="J1227" s="124">
        <v>41009</v>
      </c>
      <c r="K1227" s="126">
        <v>15000</v>
      </c>
      <c r="L1227" s="127" t="s">
        <v>571</v>
      </c>
      <c r="N1227" s="129" t="str">
        <f t="shared" si="925"/>
        <v>N</v>
      </c>
      <c r="O1227" s="128" t="s">
        <v>917</v>
      </c>
      <c r="P1227" s="129" t="s">
        <v>55</v>
      </c>
      <c r="Q1227" s="111">
        <f t="shared" si="900"/>
        <v>2</v>
      </c>
      <c r="R1227" s="111">
        <f t="shared" si="876"/>
        <v>4</v>
      </c>
      <c r="S1227" s="129">
        <v>3</v>
      </c>
      <c r="T1227" s="129">
        <v>0</v>
      </c>
      <c r="U1227" s="129">
        <v>2</v>
      </c>
      <c r="W1227" s="111"/>
      <c r="AC1227" s="130"/>
      <c r="AD1227" s="130">
        <v>29310</v>
      </c>
      <c r="AE1227" s="128" t="s">
        <v>32</v>
      </c>
      <c r="AF1227" s="128" t="s">
        <v>69</v>
      </c>
      <c r="AG1227" s="128" t="s">
        <v>874</v>
      </c>
      <c r="AH1227" s="108" t="s">
        <v>58</v>
      </c>
      <c r="AI1227" s="128" t="s">
        <v>70</v>
      </c>
      <c r="AJ1227" s="129" t="s">
        <v>55</v>
      </c>
      <c r="AK1227" s="129">
        <v>2</v>
      </c>
      <c r="AL1227" s="3" t="s">
        <v>55</v>
      </c>
      <c r="AP1227" s="129" t="s">
        <v>108</v>
      </c>
      <c r="AR1227" s="128" t="s">
        <v>44</v>
      </c>
      <c r="AS1227" s="129" t="s">
        <v>61</v>
      </c>
      <c r="AT1227" s="129" t="s">
        <v>465</v>
      </c>
      <c r="BC1227" s="129" t="s">
        <v>79</v>
      </c>
      <c r="BD1227" s="129" t="s">
        <v>1213</v>
      </c>
      <c r="BF1227" s="111">
        <f t="shared" si="926"/>
        <v>2</v>
      </c>
      <c r="BG1227" s="111">
        <f t="shared" si="927"/>
        <v>2</v>
      </c>
      <c r="BH1227" s="111">
        <f t="shared" si="901"/>
        <v>4</v>
      </c>
      <c r="BI1227" s="111">
        <f t="shared" si="902"/>
        <v>31.956284153005466</v>
      </c>
      <c r="BJ1227" s="129">
        <f t="shared" si="907"/>
        <v>0</v>
      </c>
      <c r="BK1227" s="129">
        <f t="shared" si="903"/>
        <v>0</v>
      </c>
      <c r="BL1227" s="129" t="str">
        <f t="shared" si="881"/>
        <v>NO CONVICTION</v>
      </c>
      <c r="BM1227" s="129" t="str">
        <f t="shared" si="908"/>
        <v>NONE</v>
      </c>
      <c r="BN1227" s="129" t="s">
        <v>566</v>
      </c>
      <c r="BP1227" s="137" t="str">
        <f t="shared" si="909"/>
        <v>NO CONVICTION</v>
      </c>
      <c r="BQ1227" s="128" t="str">
        <f t="shared" si="910"/>
        <v>Y</v>
      </c>
      <c r="BR1227" s="129" t="str">
        <f t="shared" si="911"/>
        <v>DETAINED</v>
      </c>
      <c r="BS1227" s="129" t="str">
        <f t="shared" si="912"/>
        <v>DISPOSED</v>
      </c>
      <c r="BT1227" s="129" t="str">
        <f t="shared" si="913"/>
        <v>Y</v>
      </c>
      <c r="BU1227" s="109">
        <f>IFERROR(Q1227/R1227,BR1227)</f>
        <v>0.5</v>
      </c>
      <c r="BV1227" s="109">
        <f t="shared" si="915"/>
        <v>1</v>
      </c>
      <c r="BW1227" s="109">
        <f t="shared" si="896"/>
        <v>0.5</v>
      </c>
      <c r="BX1227" s="111">
        <f t="shared" si="916"/>
        <v>0</v>
      </c>
      <c r="BY1227" s="129">
        <f t="shared" si="917"/>
        <v>-2</v>
      </c>
      <c r="BZ1227" s="111">
        <f t="shared" si="918"/>
        <v>0</v>
      </c>
      <c r="CA1227" s="138">
        <f t="shared" si="919"/>
        <v>2</v>
      </c>
      <c r="CB1227" s="111" t="e">
        <f t="shared" si="928"/>
        <v>#VALUE!</v>
      </c>
      <c r="CC1227" s="129">
        <f t="shared" si="929"/>
        <v>2</v>
      </c>
      <c r="CD1227" s="129">
        <f t="shared" si="930"/>
        <v>0</v>
      </c>
      <c r="CE1227" s="129">
        <f t="shared" si="920"/>
        <v>0</v>
      </c>
      <c r="CG1227" s="129" t="str">
        <f t="shared" si="921"/>
        <v>Y</v>
      </c>
      <c r="CI1227" s="129" t="str">
        <f t="shared" si="922"/>
        <v>0-10 DAYS</v>
      </c>
      <c r="CJ1227" s="137">
        <f t="shared" si="923"/>
        <v>1</v>
      </c>
      <c r="CK1227" s="129" t="str">
        <f t="shared" si="924"/>
        <v>Booked</v>
      </c>
    </row>
    <row r="1228" spans="1:89" ht="15.75" customHeight="1" x14ac:dyDescent="0.25">
      <c r="A1228" s="111">
        <v>2827</v>
      </c>
      <c r="B1228" s="128" t="str">
        <f t="shared" si="904"/>
        <v>N</v>
      </c>
      <c r="C1228" s="128" t="str">
        <f t="shared" si="905"/>
        <v>N</v>
      </c>
      <c r="D1228" s="117">
        <v>1877543</v>
      </c>
      <c r="E1228" s="135">
        <f t="shared" si="906"/>
        <v>2</v>
      </c>
      <c r="F1228" s="124">
        <v>41013</v>
      </c>
      <c r="G1228" s="125">
        <v>41015</v>
      </c>
      <c r="H1228" s="117">
        <v>1877543</v>
      </c>
      <c r="I1228" s="124">
        <v>41013</v>
      </c>
      <c r="J1228" s="124">
        <v>41015</v>
      </c>
      <c r="K1228" s="126">
        <v>2000</v>
      </c>
      <c r="L1228" s="127" t="s">
        <v>568</v>
      </c>
      <c r="N1228" s="129" t="str">
        <f t="shared" si="925"/>
        <v>N</v>
      </c>
      <c r="O1228" s="128" t="s">
        <v>917</v>
      </c>
      <c r="P1228" s="129" t="s">
        <v>589</v>
      </c>
      <c r="Q1228" s="111">
        <f t="shared" si="900"/>
        <v>3</v>
      </c>
      <c r="R1228" s="111">
        <f t="shared" si="876"/>
        <v>3</v>
      </c>
      <c r="S1228" s="129">
        <v>1</v>
      </c>
      <c r="T1228" s="129">
        <v>2</v>
      </c>
      <c r="U1228" s="129">
        <v>1</v>
      </c>
      <c r="W1228" s="111"/>
      <c r="AC1228" s="130"/>
      <c r="AD1228" s="130">
        <v>30810</v>
      </c>
      <c r="AE1228" s="128" t="s">
        <v>32</v>
      </c>
      <c r="AF1228" s="128" t="s">
        <v>33</v>
      </c>
      <c r="AG1228" s="128" t="s">
        <v>872</v>
      </c>
      <c r="AH1228" s="108" t="s">
        <v>58</v>
      </c>
      <c r="AI1228" s="128" t="s">
        <v>97</v>
      </c>
      <c r="AJ1228" s="129" t="s">
        <v>48</v>
      </c>
      <c r="AK1228" s="129">
        <v>1</v>
      </c>
      <c r="AL1228" s="3" t="s">
        <v>48</v>
      </c>
      <c r="AP1228" s="129" t="s">
        <v>43</v>
      </c>
      <c r="AR1228" s="128" t="s">
        <v>44</v>
      </c>
      <c r="AS1228" s="129" t="s">
        <v>45</v>
      </c>
      <c r="AT1228" s="129" t="s">
        <v>1412</v>
      </c>
      <c r="BC1228" s="129" t="s">
        <v>99</v>
      </c>
      <c r="BF1228" s="111">
        <f t="shared" si="926"/>
        <v>3</v>
      </c>
      <c r="BG1228" s="111">
        <f t="shared" si="927"/>
        <v>3</v>
      </c>
      <c r="BH1228" s="111">
        <f t="shared" si="901"/>
        <v>3</v>
      </c>
      <c r="BI1228" s="111">
        <f t="shared" si="902"/>
        <v>27.877049180327869</v>
      </c>
      <c r="BJ1228" s="129">
        <f t="shared" si="907"/>
        <v>0</v>
      </c>
      <c r="BK1228" s="129">
        <f t="shared" si="903"/>
        <v>0</v>
      </c>
      <c r="BL1228" s="129" t="str">
        <f t="shared" si="881"/>
        <v>DEFERRED</v>
      </c>
      <c r="BM1228" s="129" t="str">
        <f t="shared" si="908"/>
        <v>NONE</v>
      </c>
      <c r="BN1228" s="129" t="s">
        <v>566</v>
      </c>
      <c r="BP1228" s="137" t="str">
        <f t="shared" si="909"/>
        <v>DEFERRED</v>
      </c>
      <c r="BQ1228" s="128" t="str">
        <f t="shared" si="910"/>
        <v>Y</v>
      </c>
      <c r="BR1228" s="129" t="str">
        <f t="shared" si="911"/>
        <v>DETAINED</v>
      </c>
      <c r="BS1228" s="129" t="str">
        <f t="shared" si="912"/>
        <v>DISPOSED</v>
      </c>
      <c r="BT1228" s="129" t="str">
        <f t="shared" si="913"/>
        <v>Y</v>
      </c>
      <c r="BU1228" s="109">
        <f t="shared" si="914"/>
        <v>1</v>
      </c>
      <c r="BV1228" s="109">
        <f t="shared" si="915"/>
        <v>1</v>
      </c>
      <c r="BW1228" s="109">
        <f t="shared" si="896"/>
        <v>0</v>
      </c>
      <c r="BX1228" s="111">
        <f t="shared" si="916"/>
        <v>0</v>
      </c>
      <c r="BY1228" s="129">
        <f t="shared" si="917"/>
        <v>-3</v>
      </c>
      <c r="BZ1228" s="111">
        <f t="shared" si="918"/>
        <v>0</v>
      </c>
      <c r="CA1228" s="138">
        <f t="shared" si="919"/>
        <v>3</v>
      </c>
      <c r="CB1228" s="111" t="e">
        <f t="shared" si="928"/>
        <v>#VALUE!</v>
      </c>
      <c r="CC1228" s="129">
        <f t="shared" si="929"/>
        <v>3</v>
      </c>
      <c r="CD1228" s="129">
        <f t="shared" si="930"/>
        <v>0</v>
      </c>
      <c r="CE1228" s="129">
        <f t="shared" si="920"/>
        <v>0</v>
      </c>
      <c r="CG1228" s="129" t="str">
        <f t="shared" si="921"/>
        <v>Y</v>
      </c>
      <c r="CI1228" s="129" t="str">
        <f t="shared" si="922"/>
        <v>0-10 DAYS</v>
      </c>
      <c r="CJ1228" s="137">
        <f t="shared" si="923"/>
        <v>1</v>
      </c>
      <c r="CK1228" s="129" t="str">
        <f t="shared" si="924"/>
        <v>Booked</v>
      </c>
    </row>
    <row r="1229" spans="1:89" ht="15.75" customHeight="1" x14ac:dyDescent="0.25">
      <c r="A1229" s="111">
        <v>260</v>
      </c>
      <c r="B1229" s="128" t="str">
        <f t="shared" si="904"/>
        <v>N</v>
      </c>
      <c r="C1229" s="128" t="str">
        <f t="shared" si="905"/>
        <v>N</v>
      </c>
      <c r="D1229" s="117">
        <v>1877864</v>
      </c>
      <c r="E1229" s="135">
        <f t="shared" si="906"/>
        <v>5</v>
      </c>
      <c r="F1229" s="124">
        <v>40919</v>
      </c>
      <c r="G1229" s="125">
        <v>40925</v>
      </c>
      <c r="H1229" s="117">
        <v>1877864</v>
      </c>
      <c r="I1229" s="124">
        <v>40920</v>
      </c>
      <c r="J1229" s="124">
        <v>40925</v>
      </c>
      <c r="K1229" s="126">
        <v>2000</v>
      </c>
      <c r="L1229" s="127" t="s">
        <v>568</v>
      </c>
      <c r="N1229" s="129" t="str">
        <f t="shared" si="925"/>
        <v>N</v>
      </c>
      <c r="O1229" s="128" t="s">
        <v>917</v>
      </c>
      <c r="P1229" s="129" t="s">
        <v>39</v>
      </c>
      <c r="Q1229" s="111">
        <f t="shared" si="900"/>
        <v>6</v>
      </c>
      <c r="R1229" s="111">
        <f t="shared" si="876"/>
        <v>7</v>
      </c>
      <c r="S1229" s="129">
        <v>2</v>
      </c>
      <c r="T1229" s="129">
        <v>5</v>
      </c>
      <c r="W1229" s="111"/>
      <c r="AC1229" s="130"/>
      <c r="AD1229" s="130">
        <v>30804</v>
      </c>
      <c r="AE1229" s="128" t="s">
        <v>32</v>
      </c>
      <c r="AF1229" s="128" t="s">
        <v>33</v>
      </c>
      <c r="AG1229" s="128" t="s">
        <v>872</v>
      </c>
      <c r="AH1229" s="108" t="s">
        <v>31</v>
      </c>
      <c r="AI1229" s="128" t="s">
        <v>34</v>
      </c>
      <c r="AJ1229" s="129" t="s">
        <v>89</v>
      </c>
      <c r="AK1229" s="129">
        <v>2</v>
      </c>
      <c r="AL1229" s="3" t="s">
        <v>992</v>
      </c>
      <c r="AN1229" s="117">
        <v>6</v>
      </c>
      <c r="AP1229" s="129" t="s">
        <v>43</v>
      </c>
      <c r="AR1229" s="128" t="s">
        <v>44</v>
      </c>
      <c r="AS1229" s="129" t="s">
        <v>45</v>
      </c>
      <c r="BC1229" s="129" t="s">
        <v>38</v>
      </c>
      <c r="BF1229" s="111">
        <f t="shared" si="926"/>
        <v>6</v>
      </c>
      <c r="BG1229" s="111">
        <f t="shared" si="927"/>
        <v>6</v>
      </c>
      <c r="BH1229" s="111">
        <f t="shared" si="901"/>
        <v>7</v>
      </c>
      <c r="BI1229" s="111">
        <f t="shared" si="902"/>
        <v>27.636612021857925</v>
      </c>
      <c r="BJ1229" s="129">
        <f t="shared" si="907"/>
        <v>0</v>
      </c>
      <c r="BK1229" s="129">
        <f t="shared" si="903"/>
        <v>0</v>
      </c>
      <c r="BL1229" s="129" t="str">
        <f t="shared" si="881"/>
        <v>CONVICTION</v>
      </c>
      <c r="BM1229" s="129" t="str">
        <f t="shared" si="908"/>
        <v>NONE</v>
      </c>
      <c r="BN1229" s="129" t="s">
        <v>566</v>
      </c>
      <c r="BP1229" s="137" t="str">
        <f t="shared" si="909"/>
        <v>CONVICTION</v>
      </c>
      <c r="BQ1229" s="128" t="str">
        <f t="shared" si="910"/>
        <v>Y</v>
      </c>
      <c r="BR1229" s="129" t="str">
        <f t="shared" si="911"/>
        <v>DETAINED</v>
      </c>
      <c r="BS1229" s="129" t="str">
        <f t="shared" si="912"/>
        <v>DISPOSED</v>
      </c>
      <c r="BT1229" s="129" t="str">
        <f t="shared" si="913"/>
        <v>Y</v>
      </c>
      <c r="BU1229" s="109">
        <f t="shared" si="914"/>
        <v>0.8571428571428571</v>
      </c>
      <c r="BV1229" s="109">
        <f t="shared" si="915"/>
        <v>1</v>
      </c>
      <c r="BW1229" s="109">
        <f t="shared" si="896"/>
        <v>0.1428571428571429</v>
      </c>
      <c r="BX1229" s="111">
        <f t="shared" si="916"/>
        <v>0</v>
      </c>
      <c r="BY1229" s="129">
        <f t="shared" si="917"/>
        <v>-6</v>
      </c>
      <c r="BZ1229" s="111">
        <f t="shared" si="918"/>
        <v>0</v>
      </c>
      <c r="CA1229" s="138">
        <f t="shared" si="919"/>
        <v>6</v>
      </c>
      <c r="CB1229" s="111" t="e">
        <f t="shared" si="928"/>
        <v>#VALUE!</v>
      </c>
      <c r="CC1229" s="129">
        <f t="shared" si="929"/>
        <v>6</v>
      </c>
      <c r="CD1229" s="129">
        <f t="shared" si="930"/>
        <v>0</v>
      </c>
      <c r="CE1229" s="129">
        <f t="shared" si="920"/>
        <v>0</v>
      </c>
      <c r="CG1229" s="129" t="str">
        <f t="shared" si="921"/>
        <v>Y</v>
      </c>
      <c r="CI1229" s="129" t="str">
        <f t="shared" si="922"/>
        <v>0-10 DAYS</v>
      </c>
      <c r="CJ1229" s="137">
        <f t="shared" si="923"/>
        <v>1</v>
      </c>
      <c r="CK1229" s="129" t="str">
        <f t="shared" si="924"/>
        <v>Booked</v>
      </c>
    </row>
    <row r="1230" spans="1:89" ht="15" customHeight="1" x14ac:dyDescent="0.25">
      <c r="A1230" s="111">
        <v>783</v>
      </c>
      <c r="B1230" s="128" t="str">
        <f t="shared" si="904"/>
        <v>N</v>
      </c>
      <c r="C1230" s="128" t="str">
        <f t="shared" si="905"/>
        <v>N</v>
      </c>
      <c r="D1230" s="117">
        <v>1877940</v>
      </c>
      <c r="E1230" s="135">
        <f t="shared" si="906"/>
        <v>6</v>
      </c>
      <c r="F1230" s="124">
        <v>40939</v>
      </c>
      <c r="G1230" s="125">
        <v>40939</v>
      </c>
      <c r="H1230" s="117">
        <v>1877940</v>
      </c>
      <c r="I1230" s="124">
        <v>40939</v>
      </c>
      <c r="J1230" s="124">
        <v>40939</v>
      </c>
      <c r="K1230" s="126">
        <v>5000</v>
      </c>
      <c r="L1230" s="127" t="s">
        <v>569</v>
      </c>
      <c r="N1230" s="129" t="str">
        <f t="shared" si="925"/>
        <v>N</v>
      </c>
      <c r="O1230" s="128" t="s">
        <v>917</v>
      </c>
      <c r="P1230" s="129" t="s">
        <v>39</v>
      </c>
      <c r="Q1230" s="111">
        <f t="shared" si="900"/>
        <v>1</v>
      </c>
      <c r="R1230" s="111">
        <f t="shared" si="876"/>
        <v>1</v>
      </c>
      <c r="S1230" s="129">
        <v>2</v>
      </c>
      <c r="T1230" s="129">
        <v>2</v>
      </c>
      <c r="U1230" s="129">
        <v>1</v>
      </c>
      <c r="W1230" s="111"/>
      <c r="AC1230" s="130"/>
      <c r="AD1230" s="130">
        <v>29988</v>
      </c>
      <c r="AE1230" s="128" t="s">
        <v>32</v>
      </c>
      <c r="AF1230" s="128" t="s">
        <v>33</v>
      </c>
      <c r="AG1230" s="128" t="s">
        <v>872</v>
      </c>
      <c r="AH1230" s="108" t="s">
        <v>31</v>
      </c>
      <c r="AI1230" s="128" t="s">
        <v>80</v>
      </c>
      <c r="AJ1230" s="129" t="s">
        <v>89</v>
      </c>
      <c r="AK1230" s="129">
        <v>1</v>
      </c>
      <c r="AL1230" s="3" t="s">
        <v>362</v>
      </c>
      <c r="AM1230" s="117">
        <v>2</v>
      </c>
      <c r="AP1230" s="129" t="s">
        <v>224</v>
      </c>
      <c r="AR1230" s="128" t="s">
        <v>67</v>
      </c>
      <c r="AS1230" s="129" t="s">
        <v>64</v>
      </c>
      <c r="AT1230" s="32" t="s">
        <v>1214</v>
      </c>
      <c r="AX1230" s="32"/>
      <c r="BC1230" s="129" t="s">
        <v>79</v>
      </c>
      <c r="BF1230" s="111">
        <f t="shared" si="926"/>
        <v>1</v>
      </c>
      <c r="BG1230" s="111">
        <f t="shared" si="927"/>
        <v>1</v>
      </c>
      <c r="BH1230" s="111">
        <f t="shared" si="901"/>
        <v>1</v>
      </c>
      <c r="BI1230" s="111">
        <f t="shared" si="902"/>
        <v>29.920765027322403</v>
      </c>
      <c r="BJ1230" s="129">
        <f t="shared" si="907"/>
        <v>0</v>
      </c>
      <c r="BK1230" s="129">
        <f t="shared" si="903"/>
        <v>0</v>
      </c>
      <c r="BL1230" s="129" t="str">
        <f t="shared" si="881"/>
        <v>CONVICTION</v>
      </c>
      <c r="BM1230" s="129" t="str">
        <f t="shared" si="908"/>
        <v>NONE</v>
      </c>
      <c r="BN1230" s="129" t="s">
        <v>566</v>
      </c>
      <c r="BP1230" s="137" t="str">
        <f t="shared" si="909"/>
        <v>CONVICTION</v>
      </c>
      <c r="BQ1230" s="128" t="str">
        <f t="shared" si="910"/>
        <v>Y</v>
      </c>
      <c r="BR1230" s="129" t="str">
        <f t="shared" si="911"/>
        <v>DETAINED</v>
      </c>
      <c r="BS1230" s="129" t="str">
        <f t="shared" si="912"/>
        <v>DISPOSED</v>
      </c>
      <c r="BT1230" s="129" t="str">
        <f t="shared" si="913"/>
        <v>Y</v>
      </c>
      <c r="BU1230" s="109">
        <f t="shared" si="914"/>
        <v>1</v>
      </c>
      <c r="BV1230" s="109">
        <f t="shared" si="915"/>
        <v>1</v>
      </c>
      <c r="BW1230" s="109">
        <f t="shared" si="896"/>
        <v>0</v>
      </c>
      <c r="BX1230" s="111">
        <f t="shared" si="916"/>
        <v>0</v>
      </c>
      <c r="BY1230" s="129">
        <f t="shared" si="917"/>
        <v>-1</v>
      </c>
      <c r="BZ1230" s="111">
        <f t="shared" si="918"/>
        <v>0</v>
      </c>
      <c r="CA1230" s="138">
        <f t="shared" si="919"/>
        <v>1</v>
      </c>
      <c r="CB1230" s="111" t="e">
        <f t="shared" si="928"/>
        <v>#VALUE!</v>
      </c>
      <c r="CC1230" s="129">
        <f t="shared" si="929"/>
        <v>1</v>
      </c>
      <c r="CD1230" s="129">
        <f t="shared" si="930"/>
        <v>0</v>
      </c>
      <c r="CE1230" s="129">
        <f t="shared" si="920"/>
        <v>0</v>
      </c>
      <c r="CG1230" s="129" t="str">
        <f t="shared" si="921"/>
        <v>Y</v>
      </c>
      <c r="CI1230" s="129" t="str">
        <f t="shared" si="922"/>
        <v>0-10 DAYS</v>
      </c>
      <c r="CJ1230" s="137">
        <f t="shared" si="923"/>
        <v>1</v>
      </c>
      <c r="CK1230" s="129" t="str">
        <f t="shared" si="924"/>
        <v>Booked</v>
      </c>
    </row>
    <row r="1231" spans="1:89" ht="15.75" customHeight="1" x14ac:dyDescent="0.25">
      <c r="A1231" s="111">
        <v>420</v>
      </c>
      <c r="B1231" s="128" t="str">
        <f t="shared" si="904"/>
        <v>N</v>
      </c>
      <c r="C1231" s="128" t="str">
        <f t="shared" si="905"/>
        <v>N</v>
      </c>
      <c r="D1231" s="117">
        <v>1877954</v>
      </c>
      <c r="E1231" s="135">
        <f t="shared" si="906"/>
        <v>6</v>
      </c>
      <c r="F1231" s="124">
        <v>40926</v>
      </c>
      <c r="G1231" s="125">
        <v>41183</v>
      </c>
      <c r="H1231" s="117">
        <v>1877954</v>
      </c>
      <c r="I1231" s="124">
        <v>41178</v>
      </c>
      <c r="J1231" s="124">
        <v>41183</v>
      </c>
      <c r="K1231" s="126">
        <v>30000</v>
      </c>
      <c r="L1231" s="129" t="s">
        <v>572</v>
      </c>
      <c r="N1231" s="129" t="str">
        <f t="shared" si="925"/>
        <v>N</v>
      </c>
      <c r="O1231" s="128" t="s">
        <v>917</v>
      </c>
      <c r="P1231" s="129" t="s">
        <v>39</v>
      </c>
      <c r="Q1231" s="111">
        <f t="shared" si="900"/>
        <v>6</v>
      </c>
      <c r="R1231" s="111">
        <f t="shared" si="876"/>
        <v>258</v>
      </c>
      <c r="S1231" s="129">
        <v>0</v>
      </c>
      <c r="T1231" s="129">
        <v>0</v>
      </c>
      <c r="W1231" s="111"/>
      <c r="AC1231" s="130"/>
      <c r="AD1231" s="130">
        <v>30134</v>
      </c>
      <c r="AE1231" s="128" t="s">
        <v>32</v>
      </c>
      <c r="AF1231" s="128" t="s">
        <v>69</v>
      </c>
      <c r="AG1231" s="128" t="s">
        <v>874</v>
      </c>
      <c r="AH1231" s="108" t="s">
        <v>31</v>
      </c>
      <c r="AI1231" s="128" t="s">
        <v>83</v>
      </c>
      <c r="AJ1231" s="129" t="s">
        <v>89</v>
      </c>
      <c r="AK1231" s="129">
        <v>2</v>
      </c>
      <c r="AL1231" s="3" t="s">
        <v>362</v>
      </c>
      <c r="AM1231" s="117">
        <v>2</v>
      </c>
      <c r="AP1231" s="129" t="s">
        <v>173</v>
      </c>
      <c r="AR1231" s="128" t="s">
        <v>50</v>
      </c>
      <c r="AS1231" s="129" t="s">
        <v>126</v>
      </c>
      <c r="BC1231" s="129" t="s">
        <v>38</v>
      </c>
      <c r="BF1231" s="111">
        <f t="shared" si="926"/>
        <v>6</v>
      </c>
      <c r="BG1231" s="111">
        <f t="shared" si="927"/>
        <v>6</v>
      </c>
      <c r="BH1231" s="111">
        <f t="shared" si="901"/>
        <v>258</v>
      </c>
      <c r="BI1231" s="111">
        <f t="shared" si="902"/>
        <v>29.486338797814209</v>
      </c>
      <c r="BJ1231" s="129">
        <f t="shared" si="907"/>
        <v>0</v>
      </c>
      <c r="BK1231" s="129">
        <f t="shared" si="903"/>
        <v>0</v>
      </c>
      <c r="BL1231" s="129" t="str">
        <f t="shared" si="881"/>
        <v>CONVICTION</v>
      </c>
      <c r="BM1231" s="129" t="str">
        <f t="shared" si="908"/>
        <v>NONE</v>
      </c>
      <c r="BN1231" s="129" t="s">
        <v>566</v>
      </c>
      <c r="BP1231" s="137" t="str">
        <f t="shared" si="909"/>
        <v>CONVICTION</v>
      </c>
      <c r="BQ1231" s="128" t="str">
        <f t="shared" si="910"/>
        <v>Y</v>
      </c>
      <c r="BR1231" s="129" t="str">
        <f t="shared" si="911"/>
        <v>DETAINED</v>
      </c>
      <c r="BS1231" s="129" t="str">
        <f t="shared" si="912"/>
        <v>DISPOSED</v>
      </c>
      <c r="BT1231" s="129" t="str">
        <f t="shared" si="913"/>
        <v>N</v>
      </c>
      <c r="BU1231" s="109">
        <f t="shared" si="914"/>
        <v>2.3255813953488372E-2</v>
      </c>
      <c r="BV1231" s="109">
        <f t="shared" si="915"/>
        <v>1</v>
      </c>
      <c r="BW1231" s="109">
        <f t="shared" si="896"/>
        <v>0.97674418604651159</v>
      </c>
      <c r="BX1231" s="111">
        <f t="shared" si="916"/>
        <v>0</v>
      </c>
      <c r="BY1231" s="129">
        <f t="shared" si="917"/>
        <v>-6</v>
      </c>
      <c r="BZ1231" s="111">
        <f t="shared" si="918"/>
        <v>0</v>
      </c>
      <c r="CA1231" s="138">
        <f t="shared" si="919"/>
        <v>6</v>
      </c>
      <c r="CB1231" s="111" t="e">
        <f t="shared" si="928"/>
        <v>#VALUE!</v>
      </c>
      <c r="CC1231" s="129">
        <f t="shared" si="929"/>
        <v>6</v>
      </c>
      <c r="CD1231" s="129">
        <f t="shared" si="930"/>
        <v>0</v>
      </c>
      <c r="CE1231" s="129">
        <f t="shared" si="920"/>
        <v>0</v>
      </c>
      <c r="CG1231" s="129" t="str">
        <f t="shared" si="921"/>
        <v>N</v>
      </c>
      <c r="CI1231" s="129" t="str">
        <f t="shared" si="922"/>
        <v>0-10 DAYS</v>
      </c>
      <c r="CJ1231" s="137">
        <f t="shared" si="923"/>
        <v>1</v>
      </c>
      <c r="CK1231" s="129" t="str">
        <f t="shared" si="924"/>
        <v>Booked</v>
      </c>
    </row>
    <row r="1232" spans="1:89" ht="15.75" customHeight="1" x14ac:dyDescent="0.25">
      <c r="A1232" s="111">
        <v>639</v>
      </c>
      <c r="B1232" s="128" t="str">
        <f t="shared" si="904"/>
        <v>N</v>
      </c>
      <c r="C1232" s="128" t="str">
        <f t="shared" si="905"/>
        <v>N</v>
      </c>
      <c r="D1232" s="117">
        <v>1879208</v>
      </c>
      <c r="E1232" s="135">
        <f t="shared" si="906"/>
        <v>6</v>
      </c>
      <c r="F1232" s="124">
        <v>40934</v>
      </c>
      <c r="G1232" s="125">
        <v>40988</v>
      </c>
      <c r="H1232" s="117">
        <v>1879208</v>
      </c>
      <c r="I1232" s="124">
        <v>40939</v>
      </c>
      <c r="J1232" s="124">
        <v>40988</v>
      </c>
      <c r="K1232" s="126">
        <v>10000</v>
      </c>
      <c r="L1232" s="127" t="s">
        <v>570</v>
      </c>
      <c r="N1232" s="129" t="str">
        <f t="shared" si="925"/>
        <v>N</v>
      </c>
      <c r="O1232" s="128" t="s">
        <v>917</v>
      </c>
      <c r="P1232" s="129" t="s">
        <v>39</v>
      </c>
      <c r="Q1232" s="111">
        <f t="shared" si="900"/>
        <v>50</v>
      </c>
      <c r="R1232" s="111">
        <f t="shared" si="876"/>
        <v>55</v>
      </c>
      <c r="S1232" s="129">
        <v>4</v>
      </c>
      <c r="T1232" s="129">
        <v>6</v>
      </c>
      <c r="U1232" s="129">
        <v>2</v>
      </c>
      <c r="W1232" s="111"/>
      <c r="AC1232" s="130"/>
      <c r="AD1232" s="130">
        <v>30803</v>
      </c>
      <c r="AE1232" s="128" t="s">
        <v>32</v>
      </c>
      <c r="AF1232" s="128" t="s">
        <v>33</v>
      </c>
      <c r="AG1232" s="128" t="s">
        <v>872</v>
      </c>
      <c r="AH1232" s="108" t="s">
        <v>31</v>
      </c>
      <c r="AI1232" s="128" t="s">
        <v>90</v>
      </c>
      <c r="AJ1232" s="129" t="s">
        <v>89</v>
      </c>
      <c r="AK1232" s="129">
        <v>5</v>
      </c>
      <c r="AL1232" s="3" t="s">
        <v>362</v>
      </c>
      <c r="AM1232" s="117">
        <v>1</v>
      </c>
      <c r="AP1232" s="129" t="s">
        <v>235</v>
      </c>
      <c r="AR1232" s="128" t="s">
        <v>44</v>
      </c>
      <c r="AS1232" s="129" t="s">
        <v>64</v>
      </c>
      <c r="BC1232" s="129" t="s">
        <v>38</v>
      </c>
      <c r="BF1232" s="111">
        <f t="shared" si="926"/>
        <v>50</v>
      </c>
      <c r="BG1232" s="111">
        <f t="shared" si="927"/>
        <v>50</v>
      </c>
      <c r="BH1232" s="111">
        <f t="shared" si="901"/>
        <v>55</v>
      </c>
      <c r="BI1232" s="111">
        <f t="shared" si="902"/>
        <v>27.680327868852459</v>
      </c>
      <c r="BJ1232" s="129">
        <f t="shared" si="907"/>
        <v>0</v>
      </c>
      <c r="BK1232" s="129">
        <f t="shared" si="903"/>
        <v>0</v>
      </c>
      <c r="BL1232" s="129" t="str">
        <f t="shared" si="881"/>
        <v>CONVICTION</v>
      </c>
      <c r="BM1232" s="129" t="str">
        <f t="shared" si="908"/>
        <v>NONE</v>
      </c>
      <c r="BN1232" s="129" t="s">
        <v>566</v>
      </c>
      <c r="BP1232" s="137" t="str">
        <f t="shared" si="909"/>
        <v>CONVICTION</v>
      </c>
      <c r="BQ1232" s="128" t="str">
        <f t="shared" si="910"/>
        <v>Y</v>
      </c>
      <c r="BR1232" s="129" t="str">
        <f t="shared" si="911"/>
        <v>DETAINED</v>
      </c>
      <c r="BS1232" s="129" t="str">
        <f t="shared" si="912"/>
        <v>DISPOSED</v>
      </c>
      <c r="BT1232" s="129" t="str">
        <f t="shared" si="913"/>
        <v>Y</v>
      </c>
      <c r="BU1232" s="109">
        <f t="shared" si="914"/>
        <v>0.90909090909090906</v>
      </c>
      <c r="BV1232" s="109">
        <f t="shared" si="915"/>
        <v>1</v>
      </c>
      <c r="BW1232" s="109">
        <f t="shared" si="896"/>
        <v>9.0909090909090939E-2</v>
      </c>
      <c r="BX1232" s="111">
        <f t="shared" si="916"/>
        <v>0</v>
      </c>
      <c r="BY1232" s="129">
        <f t="shared" si="917"/>
        <v>-50</v>
      </c>
      <c r="BZ1232" s="111">
        <f t="shared" si="918"/>
        <v>0</v>
      </c>
      <c r="CA1232" s="138">
        <f t="shared" si="919"/>
        <v>50</v>
      </c>
      <c r="CB1232" s="111" t="e">
        <f t="shared" si="928"/>
        <v>#VALUE!</v>
      </c>
      <c r="CC1232" s="129">
        <f t="shared" si="929"/>
        <v>50</v>
      </c>
      <c r="CD1232" s="129">
        <f t="shared" si="930"/>
        <v>0</v>
      </c>
      <c r="CE1232" s="129">
        <f t="shared" si="920"/>
        <v>0</v>
      </c>
      <c r="CG1232" s="129" t="str">
        <f t="shared" si="921"/>
        <v>Y</v>
      </c>
      <c r="CI1232" s="129" t="str">
        <f t="shared" si="922"/>
        <v>31-60 DAYS</v>
      </c>
      <c r="CJ1232" s="137">
        <f t="shared" si="923"/>
        <v>3</v>
      </c>
      <c r="CK1232" s="129" t="str">
        <f t="shared" si="924"/>
        <v>Booked</v>
      </c>
    </row>
    <row r="1233" spans="1:89" ht="15.75" customHeight="1" x14ac:dyDescent="0.25">
      <c r="A1233" s="111">
        <v>395</v>
      </c>
      <c r="B1233" s="128" t="str">
        <f t="shared" si="904"/>
        <v>N</v>
      </c>
      <c r="C1233" s="128" t="str">
        <f t="shared" si="905"/>
        <v>N</v>
      </c>
      <c r="D1233" s="117">
        <v>1879297</v>
      </c>
      <c r="E1233" s="135">
        <f t="shared" si="906"/>
        <v>1</v>
      </c>
      <c r="F1233" s="124">
        <v>40925</v>
      </c>
      <c r="G1233" s="125">
        <v>41016</v>
      </c>
      <c r="H1233" s="117">
        <v>1879297</v>
      </c>
      <c r="I1233" s="124">
        <v>40925</v>
      </c>
      <c r="J1233" s="124">
        <v>40929</v>
      </c>
      <c r="K1233" s="126">
        <v>10000</v>
      </c>
      <c r="L1233" s="127" t="s">
        <v>570</v>
      </c>
      <c r="M1233" s="125">
        <v>40929</v>
      </c>
      <c r="N1233" s="129" t="str">
        <f t="shared" si="925"/>
        <v>Y</v>
      </c>
      <c r="O1233" s="128" t="s">
        <v>76</v>
      </c>
      <c r="P1233" s="129" t="s">
        <v>123</v>
      </c>
      <c r="Q1233" s="111">
        <f t="shared" si="900"/>
        <v>5</v>
      </c>
      <c r="R1233" s="111">
        <f t="shared" si="876"/>
        <v>92</v>
      </c>
      <c r="S1233" s="129">
        <v>1</v>
      </c>
      <c r="T1233" s="129">
        <v>3</v>
      </c>
      <c r="W1233" s="111"/>
      <c r="AC1233" s="130"/>
      <c r="AD1233" s="130">
        <v>30349</v>
      </c>
      <c r="AE1233" s="128" t="s">
        <v>46</v>
      </c>
      <c r="AF1233" s="128" t="s">
        <v>33</v>
      </c>
      <c r="AG1233" s="128" t="s">
        <v>872</v>
      </c>
      <c r="AH1233" s="108" t="s">
        <v>58</v>
      </c>
      <c r="AI1233" s="128" t="s">
        <v>90</v>
      </c>
      <c r="AJ1233" s="129" t="s">
        <v>123</v>
      </c>
      <c r="AK1233" s="129">
        <v>5</v>
      </c>
      <c r="AL1233" s="3" t="s">
        <v>123</v>
      </c>
      <c r="AP1233" s="129" t="s">
        <v>203</v>
      </c>
      <c r="AR1233" s="128" t="s">
        <v>92</v>
      </c>
      <c r="AS1233" s="129" t="s">
        <v>74</v>
      </c>
      <c r="BC1233" s="129" t="s">
        <v>52</v>
      </c>
      <c r="BF1233" s="111">
        <f t="shared" si="926"/>
        <v>5</v>
      </c>
      <c r="BG1233" s="111">
        <f t="shared" si="927"/>
        <v>92</v>
      </c>
      <c r="BH1233" s="111">
        <f t="shared" si="901"/>
        <v>92</v>
      </c>
      <c r="BI1233" s="111">
        <f t="shared" si="902"/>
        <v>28.896174863387976</v>
      </c>
      <c r="BJ1233" s="129">
        <f>(G1233-J1233)+(M1233-G1233)</f>
        <v>0</v>
      </c>
      <c r="BK1233" s="129">
        <f t="shared" si="903"/>
        <v>-87</v>
      </c>
      <c r="BL1233" s="129" t="str">
        <f t="shared" si="881"/>
        <v>NO CONVICTION</v>
      </c>
      <c r="BM1233" s="129" t="s">
        <v>76</v>
      </c>
      <c r="BN1233" s="129" t="s">
        <v>88</v>
      </c>
      <c r="BP1233" s="137" t="str">
        <f t="shared" si="909"/>
        <v>NO CONVICTION</v>
      </c>
      <c r="BQ1233" s="128" t="str">
        <f t="shared" si="910"/>
        <v>Y</v>
      </c>
      <c r="BR1233" s="129" t="str">
        <f t="shared" si="911"/>
        <v>ON BOND</v>
      </c>
      <c r="BS1233" s="129" t="str">
        <f t="shared" si="912"/>
        <v>DISPOSED</v>
      </c>
      <c r="BT1233" s="129" t="str">
        <f t="shared" si="913"/>
        <v>Y</v>
      </c>
      <c r="BU1233" s="109">
        <f>IFERROR(Q1233/R1233,BR1233)</f>
        <v>5.434782608695652E-2</v>
      </c>
      <c r="BV1233" s="109">
        <f t="shared" si="915"/>
        <v>5.434782608695652E-2</v>
      </c>
      <c r="BW1233" s="109">
        <f t="shared" si="896"/>
        <v>0</v>
      </c>
      <c r="BX1233" s="111">
        <f t="shared" si="916"/>
        <v>0</v>
      </c>
      <c r="BY1233" s="129">
        <f t="shared" si="917"/>
        <v>-5</v>
      </c>
      <c r="BZ1233" s="111">
        <f t="shared" si="918"/>
        <v>0</v>
      </c>
      <c r="CA1233" s="138">
        <f t="shared" si="919"/>
        <v>5</v>
      </c>
      <c r="CB1233" s="111" t="e">
        <f t="shared" si="928"/>
        <v>#VALUE!</v>
      </c>
      <c r="CC1233" s="129">
        <f>M1233-I1233+1</f>
        <v>5</v>
      </c>
      <c r="CD1233" s="111">
        <f>CC1233-BF1233</f>
        <v>0</v>
      </c>
      <c r="CE1233" s="129">
        <f t="shared" si="920"/>
        <v>87</v>
      </c>
      <c r="CG1233" s="129" t="str">
        <f t="shared" si="921"/>
        <v>Y</v>
      </c>
      <c r="CI1233" s="129" t="str">
        <f t="shared" si="922"/>
        <v>0-10 DAYS</v>
      </c>
      <c r="CJ1233" s="137">
        <f t="shared" si="923"/>
        <v>1</v>
      </c>
      <c r="CK1233" s="129" t="str">
        <f t="shared" si="924"/>
        <v>Booked</v>
      </c>
    </row>
    <row r="1234" spans="1:89" ht="15" customHeight="1" x14ac:dyDescent="0.25">
      <c r="A1234" s="111">
        <v>2730</v>
      </c>
      <c r="B1234" s="128" t="str">
        <f t="shared" si="904"/>
        <v>N</v>
      </c>
      <c r="C1234" s="128" t="str">
        <f t="shared" si="905"/>
        <v>N</v>
      </c>
      <c r="D1234" s="117">
        <v>1879579</v>
      </c>
      <c r="E1234" s="135">
        <f t="shared" si="906"/>
        <v>2</v>
      </c>
      <c r="F1234" s="124">
        <v>41010</v>
      </c>
      <c r="G1234" s="125">
        <v>41614</v>
      </c>
      <c r="H1234" s="117">
        <v>1879579</v>
      </c>
      <c r="I1234" s="124">
        <v>41016</v>
      </c>
      <c r="J1234" s="125">
        <v>41614</v>
      </c>
      <c r="K1234" s="126" t="s">
        <v>564</v>
      </c>
      <c r="L1234" s="127" t="s">
        <v>564</v>
      </c>
      <c r="N1234" s="129" t="s">
        <v>566</v>
      </c>
      <c r="O1234" s="128" t="s">
        <v>917</v>
      </c>
      <c r="P1234" s="129" t="s">
        <v>589</v>
      </c>
      <c r="Q1234" s="111">
        <f t="shared" si="900"/>
        <v>599</v>
      </c>
      <c r="R1234" s="111">
        <f t="shared" ref="R1234:R1297" si="931">BH1234</f>
        <v>605</v>
      </c>
      <c r="S1234" s="129">
        <v>3</v>
      </c>
      <c r="T1234" s="129">
        <v>0</v>
      </c>
      <c r="U1234" s="129">
        <v>1</v>
      </c>
      <c r="W1234" s="111"/>
      <c r="AC1234" s="130"/>
      <c r="AD1234" s="130">
        <v>30498</v>
      </c>
      <c r="AE1234" s="128" t="s">
        <v>32</v>
      </c>
      <c r="AF1234" s="128" t="s">
        <v>33</v>
      </c>
      <c r="AG1234" s="128" t="s">
        <v>872</v>
      </c>
      <c r="AH1234" s="108" t="s">
        <v>31</v>
      </c>
      <c r="AI1234" s="128" t="s">
        <v>72</v>
      </c>
      <c r="AJ1234" s="129" t="s">
        <v>48</v>
      </c>
      <c r="AK1234" s="129">
        <v>11</v>
      </c>
      <c r="AL1234" s="3" t="s">
        <v>48</v>
      </c>
      <c r="AP1234" s="129" t="s">
        <v>105</v>
      </c>
      <c r="AR1234" s="128" t="s">
        <v>92</v>
      </c>
      <c r="AS1234" s="129" t="s">
        <v>106</v>
      </c>
      <c r="AY1234" s="123"/>
      <c r="BC1234" s="129" t="s">
        <v>52</v>
      </c>
      <c r="BF1234" s="111">
        <f t="shared" si="926"/>
        <v>599</v>
      </c>
      <c r="BG1234" s="111">
        <f t="shared" si="927"/>
        <v>599</v>
      </c>
      <c r="BH1234" s="111">
        <f t="shared" si="901"/>
        <v>605</v>
      </c>
      <c r="BI1234" s="111">
        <f t="shared" si="902"/>
        <v>28.721311475409838</v>
      </c>
      <c r="BJ1234" s="129">
        <f t="shared" si="907"/>
        <v>0</v>
      </c>
      <c r="BK1234" s="129">
        <f t="shared" si="903"/>
        <v>0</v>
      </c>
      <c r="BL1234" s="129" t="str">
        <f t="shared" si="881"/>
        <v>DEFERRED</v>
      </c>
      <c r="BM1234" s="129" t="str">
        <f t="shared" si="908"/>
        <v>NONE</v>
      </c>
      <c r="BN1234" s="129" t="s">
        <v>566</v>
      </c>
      <c r="BP1234" s="137" t="str">
        <f t="shared" si="909"/>
        <v>DEFERRED</v>
      </c>
      <c r="BQ1234" s="128" t="str">
        <f t="shared" si="910"/>
        <v>Y</v>
      </c>
      <c r="BR1234" s="129" t="str">
        <f t="shared" si="911"/>
        <v>DETAINED</v>
      </c>
      <c r="BS1234" s="129" t="str">
        <f t="shared" si="912"/>
        <v>DISPOSED</v>
      </c>
      <c r="BT1234" s="129" t="str">
        <f t="shared" si="913"/>
        <v>Y</v>
      </c>
      <c r="BU1234" s="109">
        <f t="shared" si="914"/>
        <v>0.99008264462809914</v>
      </c>
      <c r="BV1234" s="109">
        <f t="shared" si="915"/>
        <v>1</v>
      </c>
      <c r="BW1234" s="109">
        <f t="shared" si="896"/>
        <v>9.91735537190086E-3</v>
      </c>
      <c r="BX1234" s="111">
        <f t="shared" si="916"/>
        <v>0</v>
      </c>
      <c r="BY1234" s="129">
        <f t="shared" si="917"/>
        <v>-599</v>
      </c>
      <c r="BZ1234" s="111">
        <f t="shared" si="918"/>
        <v>0</v>
      </c>
      <c r="CA1234" s="138">
        <f t="shared" si="919"/>
        <v>599</v>
      </c>
      <c r="CB1234" s="111" t="e">
        <f t="shared" si="928"/>
        <v>#VALUE!</v>
      </c>
      <c r="CC1234" s="129">
        <f>G1234-I1234+1</f>
        <v>599</v>
      </c>
      <c r="CD1234" s="129">
        <f>G1234-J1234</f>
        <v>0</v>
      </c>
      <c r="CE1234" s="129">
        <f t="shared" si="920"/>
        <v>0</v>
      </c>
      <c r="CG1234" s="129" t="str">
        <f t="shared" si="921"/>
        <v>Y</v>
      </c>
      <c r="CI1234" s="129" t="str">
        <f t="shared" si="922"/>
        <v xml:space="preserve"> &gt;1YRS&lt;2YRS</v>
      </c>
      <c r="CJ1234" s="137">
        <f t="shared" si="923"/>
        <v>0</v>
      </c>
      <c r="CK1234" s="129" t="str">
        <f t="shared" si="924"/>
        <v>Booked</v>
      </c>
    </row>
    <row r="1235" spans="1:89" ht="15.75" customHeight="1" x14ac:dyDescent="0.25">
      <c r="A1235" s="111">
        <v>806</v>
      </c>
      <c r="B1235" s="128" t="str">
        <f t="shared" si="904"/>
        <v>N</v>
      </c>
      <c r="C1235" s="128" t="str">
        <f t="shared" si="905"/>
        <v>N</v>
      </c>
      <c r="D1235" s="117">
        <v>1880759</v>
      </c>
      <c r="E1235" s="135">
        <f t="shared" si="906"/>
        <v>4</v>
      </c>
      <c r="F1235" s="124">
        <v>40868</v>
      </c>
      <c r="G1235" s="125">
        <v>40977</v>
      </c>
      <c r="H1235" s="117">
        <v>1880759</v>
      </c>
      <c r="I1235" s="124">
        <v>40868</v>
      </c>
      <c r="J1235" s="124">
        <v>40869</v>
      </c>
      <c r="K1235" s="126">
        <v>5000</v>
      </c>
      <c r="L1235" s="127" t="s">
        <v>569</v>
      </c>
      <c r="M1235" s="125">
        <v>40869</v>
      </c>
      <c r="N1235" s="129" t="str">
        <f>IF(M1235&gt;1/1/1,"Y","N")</f>
        <v>Y</v>
      </c>
      <c r="O1235" s="128" t="s">
        <v>76</v>
      </c>
      <c r="P1235" s="129" t="s">
        <v>77</v>
      </c>
      <c r="Q1235" s="111">
        <f t="shared" si="900"/>
        <v>2</v>
      </c>
      <c r="R1235" s="111">
        <f t="shared" si="931"/>
        <v>110</v>
      </c>
      <c r="S1235" s="129">
        <v>2</v>
      </c>
      <c r="T1235" s="129">
        <v>2</v>
      </c>
      <c r="V1235" s="117">
        <v>1</v>
      </c>
      <c r="W1235" s="111"/>
      <c r="AC1235" s="130"/>
      <c r="AD1235" s="130">
        <v>29390</v>
      </c>
      <c r="AE1235" s="128" t="s">
        <v>46</v>
      </c>
      <c r="AF1235" s="128" t="s">
        <v>69</v>
      </c>
      <c r="AG1235" s="128" t="s">
        <v>874</v>
      </c>
      <c r="AH1235" s="108" t="s">
        <v>31</v>
      </c>
      <c r="AI1235" s="128" t="s">
        <v>65</v>
      </c>
      <c r="AJ1235" s="129" t="s">
        <v>89</v>
      </c>
      <c r="AK1235" s="129">
        <v>6</v>
      </c>
      <c r="AL1235" s="3" t="s">
        <v>991</v>
      </c>
      <c r="AO1235" s="128">
        <v>270</v>
      </c>
      <c r="AP1235" s="129" t="s">
        <v>43</v>
      </c>
      <c r="AR1235" s="128" t="s">
        <v>44</v>
      </c>
      <c r="AS1235" s="129" t="s">
        <v>45</v>
      </c>
      <c r="BC1235" s="129" t="s">
        <v>38</v>
      </c>
      <c r="BF1235" s="111">
        <f t="shared" si="926"/>
        <v>2</v>
      </c>
      <c r="BG1235" s="111">
        <f t="shared" si="927"/>
        <v>110</v>
      </c>
      <c r="BH1235" s="111">
        <f t="shared" si="901"/>
        <v>110</v>
      </c>
      <c r="BI1235" s="111">
        <f t="shared" si="902"/>
        <v>31.360655737704917</v>
      </c>
      <c r="BJ1235" s="129">
        <f>(G1235-J1235)+(M1235-G1235)</f>
        <v>0</v>
      </c>
      <c r="BK1235" s="129">
        <f t="shared" si="903"/>
        <v>-108</v>
      </c>
      <c r="BL1235" s="129" t="str">
        <f t="shared" si="881"/>
        <v>CONVICTION</v>
      </c>
      <c r="BM1235" s="129" t="s">
        <v>76</v>
      </c>
      <c r="BN1235" s="129" t="s">
        <v>88</v>
      </c>
      <c r="BP1235" s="137" t="str">
        <f t="shared" si="909"/>
        <v>CONVICTION</v>
      </c>
      <c r="BQ1235" s="128" t="str">
        <f t="shared" si="910"/>
        <v>Y</v>
      </c>
      <c r="BR1235" s="129" t="str">
        <f t="shared" si="911"/>
        <v>ON BOND</v>
      </c>
      <c r="BS1235" s="129" t="str">
        <f t="shared" si="912"/>
        <v>DISPOSED</v>
      </c>
      <c r="BT1235" s="129" t="str">
        <f t="shared" si="913"/>
        <v>Y</v>
      </c>
      <c r="BU1235" s="109">
        <f t="shared" si="914"/>
        <v>1.8181818181818181E-2</v>
      </c>
      <c r="BV1235" s="109">
        <f t="shared" si="915"/>
        <v>1.8181818181818181E-2</v>
      </c>
      <c r="BW1235" s="109">
        <f t="shared" si="896"/>
        <v>0</v>
      </c>
      <c r="BX1235" s="111">
        <f t="shared" si="916"/>
        <v>0</v>
      </c>
      <c r="BY1235" s="129">
        <f t="shared" si="917"/>
        <v>-2</v>
      </c>
      <c r="BZ1235" s="111">
        <f t="shared" si="918"/>
        <v>0</v>
      </c>
      <c r="CA1235" s="138">
        <f t="shared" si="919"/>
        <v>2</v>
      </c>
      <c r="CB1235" s="111" t="e">
        <f t="shared" si="928"/>
        <v>#VALUE!</v>
      </c>
      <c r="CC1235" s="129">
        <f>M1235-I1235+1</f>
        <v>2</v>
      </c>
      <c r="CD1235" s="111">
        <f>CC1235-BF1235</f>
        <v>0</v>
      </c>
      <c r="CE1235" s="129">
        <f t="shared" si="920"/>
        <v>108</v>
      </c>
      <c r="CG1235" s="129" t="str">
        <f t="shared" si="921"/>
        <v>Y</v>
      </c>
      <c r="CI1235" s="129" t="str">
        <f t="shared" si="922"/>
        <v>0-10 DAYS</v>
      </c>
      <c r="CJ1235" s="137">
        <f t="shared" si="923"/>
        <v>1</v>
      </c>
      <c r="CK1235" s="129" t="str">
        <f t="shared" si="924"/>
        <v>Booked</v>
      </c>
    </row>
    <row r="1236" spans="1:89" ht="15" customHeight="1" x14ac:dyDescent="0.25">
      <c r="A1236" s="111">
        <v>2483</v>
      </c>
      <c r="B1236" s="128" t="str">
        <f t="shared" si="904"/>
        <v>N</v>
      </c>
      <c r="C1236" s="128" t="str">
        <f t="shared" si="905"/>
        <v>N</v>
      </c>
      <c r="D1236" s="117">
        <v>1880773</v>
      </c>
      <c r="E1236" s="135">
        <f t="shared" si="906"/>
        <v>1</v>
      </c>
      <c r="F1236" s="124">
        <v>41002</v>
      </c>
      <c r="G1236" s="125">
        <v>41087</v>
      </c>
      <c r="H1236" s="117">
        <v>1880773</v>
      </c>
      <c r="I1236" s="124">
        <v>41003</v>
      </c>
      <c r="J1236" s="124">
        <v>41087</v>
      </c>
      <c r="K1236" s="126" t="s">
        <v>564</v>
      </c>
      <c r="L1236" s="127" t="s">
        <v>564</v>
      </c>
      <c r="N1236" s="129" t="s">
        <v>566</v>
      </c>
      <c r="O1236" s="128" t="s">
        <v>917</v>
      </c>
      <c r="P1236" s="129" t="s">
        <v>123</v>
      </c>
      <c r="Q1236" s="111">
        <f t="shared" si="900"/>
        <v>85</v>
      </c>
      <c r="R1236" s="111">
        <f t="shared" si="931"/>
        <v>86</v>
      </c>
      <c r="S1236" s="129">
        <v>7</v>
      </c>
      <c r="T1236" s="129">
        <v>4</v>
      </c>
      <c r="U1236" s="129">
        <v>6</v>
      </c>
      <c r="W1236" s="111"/>
      <c r="AC1236" s="130"/>
      <c r="AD1236" s="130">
        <v>30366</v>
      </c>
      <c r="AE1236" s="128" t="s">
        <v>32</v>
      </c>
      <c r="AF1236" s="128" t="s">
        <v>33</v>
      </c>
      <c r="AG1236" s="128" t="s">
        <v>872</v>
      </c>
      <c r="AH1236" s="108" t="s">
        <v>31</v>
      </c>
      <c r="AI1236" s="128" t="s">
        <v>87</v>
      </c>
      <c r="AJ1236" s="129" t="s">
        <v>123</v>
      </c>
      <c r="AK1236" s="129">
        <v>5</v>
      </c>
      <c r="AL1236" s="3" t="s">
        <v>123</v>
      </c>
      <c r="AP1236" s="129" t="s">
        <v>150</v>
      </c>
      <c r="AR1236" s="128" t="s">
        <v>67</v>
      </c>
      <c r="AS1236" s="129" t="s">
        <v>74</v>
      </c>
      <c r="BC1236" s="129" t="s">
        <v>38</v>
      </c>
      <c r="BF1236" s="111">
        <f t="shared" si="926"/>
        <v>85</v>
      </c>
      <c r="BG1236" s="111">
        <f t="shared" si="927"/>
        <v>85</v>
      </c>
      <c r="BH1236" s="111">
        <f t="shared" si="901"/>
        <v>86</v>
      </c>
      <c r="BI1236" s="111">
        <f t="shared" si="902"/>
        <v>29.060109289617486</v>
      </c>
      <c r="BJ1236" s="129">
        <f t="shared" si="907"/>
        <v>0</v>
      </c>
      <c r="BK1236" s="129">
        <f t="shared" si="903"/>
        <v>0</v>
      </c>
      <c r="BL1236" s="129" t="str">
        <f t="shared" si="881"/>
        <v>NO CONVICTION</v>
      </c>
      <c r="BM1236" s="129" t="str">
        <f t="shared" si="908"/>
        <v>NONE</v>
      </c>
      <c r="BN1236" s="129" t="s">
        <v>566</v>
      </c>
      <c r="BP1236" s="137" t="str">
        <f t="shared" si="909"/>
        <v>NO CONVICTION</v>
      </c>
      <c r="BQ1236" s="128" t="str">
        <f t="shared" si="910"/>
        <v>Y</v>
      </c>
      <c r="BR1236" s="129" t="str">
        <f t="shared" si="911"/>
        <v>DETAINED</v>
      </c>
      <c r="BS1236" s="129" t="str">
        <f t="shared" si="912"/>
        <v>DISPOSED</v>
      </c>
      <c r="BT1236" s="129" t="str">
        <f t="shared" si="913"/>
        <v>Y</v>
      </c>
      <c r="BU1236" s="109">
        <f>IFERROR(Q1236/R1236,BR1236)</f>
        <v>0.98837209302325579</v>
      </c>
      <c r="BV1236" s="109">
        <f t="shared" si="915"/>
        <v>1</v>
      </c>
      <c r="BW1236" s="109">
        <f t="shared" si="896"/>
        <v>1.1627906976744207E-2</v>
      </c>
      <c r="BX1236" s="111">
        <f t="shared" si="916"/>
        <v>0</v>
      </c>
      <c r="BY1236" s="129">
        <f t="shared" si="917"/>
        <v>-85</v>
      </c>
      <c r="BZ1236" s="111">
        <f t="shared" si="918"/>
        <v>0</v>
      </c>
      <c r="CA1236" s="138">
        <f t="shared" si="919"/>
        <v>85</v>
      </c>
      <c r="CB1236" s="111" t="e">
        <f t="shared" si="928"/>
        <v>#VALUE!</v>
      </c>
      <c r="CC1236" s="129">
        <f>G1236-I1236+1</f>
        <v>85</v>
      </c>
      <c r="CD1236" s="129">
        <f>G1236-J1236</f>
        <v>0</v>
      </c>
      <c r="CE1236" s="129">
        <f t="shared" si="920"/>
        <v>0</v>
      </c>
      <c r="CG1236" s="129" t="str">
        <f t="shared" si="921"/>
        <v>Y</v>
      </c>
      <c r="CI1236" s="129" t="str">
        <f t="shared" si="922"/>
        <v>61-90 DAYS</v>
      </c>
      <c r="CJ1236" s="137">
        <f t="shared" si="923"/>
        <v>4</v>
      </c>
      <c r="CK1236" s="129" t="str">
        <f t="shared" si="924"/>
        <v>Booked</v>
      </c>
    </row>
    <row r="1237" spans="1:89" ht="15.75" customHeight="1" x14ac:dyDescent="0.25">
      <c r="A1237" s="111">
        <v>2211</v>
      </c>
      <c r="B1237" s="128" t="str">
        <f t="shared" si="904"/>
        <v>N</v>
      </c>
      <c r="C1237" s="128" t="str">
        <f t="shared" si="905"/>
        <v>Y</v>
      </c>
      <c r="D1237" s="117">
        <v>1882503</v>
      </c>
      <c r="E1237" s="135">
        <f t="shared" si="906"/>
        <v>5</v>
      </c>
      <c r="F1237" s="124">
        <v>40992</v>
      </c>
      <c r="G1237" s="125">
        <v>41165</v>
      </c>
      <c r="H1237" s="117">
        <v>1882503</v>
      </c>
      <c r="I1237" s="124">
        <v>40992</v>
      </c>
      <c r="J1237" s="124">
        <v>41003</v>
      </c>
      <c r="K1237" s="126">
        <v>50000</v>
      </c>
      <c r="L1237" s="129" t="s">
        <v>572</v>
      </c>
      <c r="M1237" s="125">
        <v>41003</v>
      </c>
      <c r="N1237" s="129" t="str">
        <f>IF(M1237&gt;1/1/1,"Y","N")</f>
        <v>Y</v>
      </c>
      <c r="O1237" s="128" t="s">
        <v>76</v>
      </c>
      <c r="P1237" s="129" t="s">
        <v>39</v>
      </c>
      <c r="Q1237" s="111">
        <v>18</v>
      </c>
      <c r="R1237" s="111">
        <f t="shared" si="931"/>
        <v>174</v>
      </c>
      <c r="S1237" s="129">
        <v>1</v>
      </c>
      <c r="T1237" s="129">
        <v>0</v>
      </c>
      <c r="U1237" s="129">
        <v>1</v>
      </c>
      <c r="W1237" s="111"/>
      <c r="AC1237" s="130"/>
      <c r="AD1237" s="130">
        <v>30035</v>
      </c>
      <c r="AE1237" s="128" t="s">
        <v>32</v>
      </c>
      <c r="AF1237" s="128" t="s">
        <v>33</v>
      </c>
      <c r="AG1237" s="128" t="s">
        <v>872</v>
      </c>
      <c r="AH1237" s="108" t="s">
        <v>31</v>
      </c>
      <c r="AI1237" s="128" t="s">
        <v>141</v>
      </c>
      <c r="AJ1237" s="129" t="s">
        <v>89</v>
      </c>
      <c r="AK1237" s="129">
        <v>10</v>
      </c>
      <c r="AL1237" s="3" t="s">
        <v>992</v>
      </c>
      <c r="AN1237" s="117">
        <v>12</v>
      </c>
      <c r="AP1237" s="129" t="s">
        <v>56</v>
      </c>
      <c r="AR1237" s="128" t="s">
        <v>50</v>
      </c>
      <c r="AS1237" s="129" t="s">
        <v>57</v>
      </c>
      <c r="AT1237" s="129" t="s">
        <v>414</v>
      </c>
      <c r="AV1237" s="3" t="s">
        <v>88</v>
      </c>
      <c r="AW1237" s="129" t="s">
        <v>760</v>
      </c>
      <c r="BA1237" s="125">
        <v>41330</v>
      </c>
      <c r="BB1237" s="129">
        <v>235</v>
      </c>
      <c r="BC1237" s="129" t="s">
        <v>38</v>
      </c>
      <c r="BF1237" s="111">
        <v>18</v>
      </c>
      <c r="BG1237" s="111">
        <f t="shared" si="927"/>
        <v>174</v>
      </c>
      <c r="BH1237" s="111">
        <f t="shared" si="901"/>
        <v>174</v>
      </c>
      <c r="BI1237" s="111">
        <f t="shared" si="902"/>
        <v>29.937158469945356</v>
      </c>
      <c r="BJ1237" s="129">
        <f>(G1237-J1237)+(M1237-G1237)</f>
        <v>0</v>
      </c>
      <c r="BK1237" s="129">
        <f t="shared" si="903"/>
        <v>-162</v>
      </c>
      <c r="BL1237" s="129" t="str">
        <f t="shared" si="881"/>
        <v>CONVICTION</v>
      </c>
      <c r="BM1237" s="129" t="s">
        <v>76</v>
      </c>
      <c r="BN1237" s="129" t="s">
        <v>566</v>
      </c>
      <c r="BP1237" s="137" t="str">
        <f t="shared" si="909"/>
        <v>CONVICTION</v>
      </c>
      <c r="BQ1237" s="128" t="str">
        <f t="shared" si="910"/>
        <v>Y</v>
      </c>
      <c r="BR1237" s="129" t="s">
        <v>574</v>
      </c>
      <c r="BS1237" s="129" t="str">
        <f t="shared" si="912"/>
        <v>DISPOSED</v>
      </c>
      <c r="BT1237" s="129" t="str">
        <f t="shared" si="913"/>
        <v>Y</v>
      </c>
      <c r="BU1237" s="109">
        <f t="shared" si="914"/>
        <v>0.10344827586206896</v>
      </c>
      <c r="BV1237" s="109">
        <f t="shared" si="915"/>
        <v>6.8965517241379309E-2</v>
      </c>
      <c r="BW1237" s="109">
        <f t="shared" si="896"/>
        <v>-3.4482758620689655E-2</v>
      </c>
      <c r="BX1237" s="111">
        <f t="shared" si="916"/>
        <v>0</v>
      </c>
      <c r="BY1237" s="129">
        <f t="shared" si="917"/>
        <v>-12</v>
      </c>
      <c r="BZ1237" s="111">
        <f t="shared" si="918"/>
        <v>6</v>
      </c>
      <c r="CA1237" s="138">
        <f t="shared" si="919"/>
        <v>174</v>
      </c>
      <c r="CB1237" s="111">
        <v>18</v>
      </c>
      <c r="CC1237" s="129">
        <f>G1237-I1237+1</f>
        <v>174</v>
      </c>
      <c r="CD1237" s="129">
        <f>G1237-J1237</f>
        <v>162</v>
      </c>
      <c r="CE1237" s="129">
        <f t="shared" si="920"/>
        <v>162</v>
      </c>
      <c r="CG1237" s="129" t="str">
        <f t="shared" si="921"/>
        <v>Y</v>
      </c>
      <c r="CI1237" s="129" t="str">
        <f t="shared" si="922"/>
        <v>11-30 DAYS</v>
      </c>
      <c r="CJ1237" s="137">
        <f t="shared" si="923"/>
        <v>2</v>
      </c>
      <c r="CK1237" s="129" t="str">
        <f t="shared" si="924"/>
        <v>Booked</v>
      </c>
    </row>
    <row r="1238" spans="1:89" ht="15" customHeight="1" x14ac:dyDescent="0.25">
      <c r="A1238" s="111">
        <v>2660</v>
      </c>
      <c r="B1238" s="128" t="str">
        <f t="shared" si="904"/>
        <v>N</v>
      </c>
      <c r="C1238" s="128" t="str">
        <f t="shared" si="905"/>
        <v>N</v>
      </c>
      <c r="D1238" s="117">
        <v>1882775</v>
      </c>
      <c r="E1238" s="135">
        <f t="shared" si="906"/>
        <v>6</v>
      </c>
      <c r="F1238" s="124">
        <v>41007</v>
      </c>
      <c r="G1238" s="125">
        <v>41100</v>
      </c>
      <c r="H1238" s="117">
        <v>1882775</v>
      </c>
      <c r="I1238" s="124">
        <v>41008</v>
      </c>
      <c r="J1238" s="124">
        <v>41100</v>
      </c>
      <c r="K1238" s="126" t="s">
        <v>564</v>
      </c>
      <c r="L1238" s="127" t="s">
        <v>564</v>
      </c>
      <c r="N1238" s="129" t="s">
        <v>566</v>
      </c>
      <c r="O1238" s="128" t="s">
        <v>917</v>
      </c>
      <c r="P1238" s="129" t="s">
        <v>39</v>
      </c>
      <c r="Q1238" s="111">
        <f t="shared" ref="Q1238:Q1245" si="932">BF1238</f>
        <v>93</v>
      </c>
      <c r="R1238" s="111">
        <f t="shared" si="931"/>
        <v>94</v>
      </c>
      <c r="S1238" s="129">
        <v>6</v>
      </c>
      <c r="T1238" s="129">
        <v>2</v>
      </c>
      <c r="U1238" s="129">
        <v>5</v>
      </c>
      <c r="W1238" s="111"/>
      <c r="AC1238" s="130"/>
      <c r="AD1238" s="130">
        <v>30634</v>
      </c>
      <c r="AE1238" s="128" t="s">
        <v>32</v>
      </c>
      <c r="AF1238" s="128" t="s">
        <v>69</v>
      </c>
      <c r="AG1238" s="128" t="s">
        <v>874</v>
      </c>
      <c r="AH1238" s="108" t="s">
        <v>31</v>
      </c>
      <c r="AI1238" s="128" t="s">
        <v>95</v>
      </c>
      <c r="AJ1238" s="129" t="s">
        <v>89</v>
      </c>
      <c r="AK1238" s="129">
        <v>4</v>
      </c>
      <c r="AL1238" s="3" t="s">
        <v>362</v>
      </c>
      <c r="AM1238" s="117">
        <v>3</v>
      </c>
      <c r="AP1238" s="129" t="s">
        <v>73</v>
      </c>
      <c r="AR1238" s="128" t="s">
        <v>50</v>
      </c>
      <c r="AS1238" s="129" t="s">
        <v>74</v>
      </c>
      <c r="BC1238" s="129" t="s">
        <v>38</v>
      </c>
      <c r="BF1238" s="111">
        <f t="shared" ref="BF1238:BF1245" si="933">IF(J1238&gt;1/1/1900,((J1238+1)-I1238),"STILL OPEN")</f>
        <v>93</v>
      </c>
      <c r="BG1238" s="111">
        <f t="shared" si="927"/>
        <v>93</v>
      </c>
      <c r="BH1238" s="111">
        <f t="shared" si="901"/>
        <v>94</v>
      </c>
      <c r="BI1238" s="111">
        <f t="shared" si="902"/>
        <v>28.34153005464481</v>
      </c>
      <c r="BJ1238" s="129">
        <f t="shared" si="907"/>
        <v>0</v>
      </c>
      <c r="BK1238" s="129">
        <f t="shared" si="903"/>
        <v>0</v>
      </c>
      <c r="BL1238" s="129" t="str">
        <f t="shared" si="881"/>
        <v>CONVICTION</v>
      </c>
      <c r="BM1238" s="129" t="str">
        <f t="shared" si="908"/>
        <v>NONE</v>
      </c>
      <c r="BN1238" s="129" t="s">
        <v>566</v>
      </c>
      <c r="BP1238" s="137" t="str">
        <f t="shared" si="909"/>
        <v>CONVICTION</v>
      </c>
      <c r="BQ1238" s="128" t="str">
        <f t="shared" si="910"/>
        <v>Y</v>
      </c>
      <c r="BR1238" s="129" t="str">
        <f t="shared" si="911"/>
        <v>DETAINED</v>
      </c>
      <c r="BS1238" s="129" t="str">
        <f t="shared" si="912"/>
        <v>DISPOSED</v>
      </c>
      <c r="BT1238" s="129" t="str">
        <f t="shared" si="913"/>
        <v>Y</v>
      </c>
      <c r="BU1238" s="109">
        <f t="shared" si="914"/>
        <v>0.98936170212765961</v>
      </c>
      <c r="BV1238" s="109">
        <f t="shared" si="915"/>
        <v>1</v>
      </c>
      <c r="BW1238" s="109">
        <f t="shared" si="896"/>
        <v>1.0638297872340385E-2</v>
      </c>
      <c r="BX1238" s="111">
        <f t="shared" si="916"/>
        <v>0</v>
      </c>
      <c r="BY1238" s="129">
        <f t="shared" si="917"/>
        <v>-93</v>
      </c>
      <c r="BZ1238" s="111">
        <f t="shared" si="918"/>
        <v>0</v>
      </c>
      <c r="CA1238" s="138">
        <f t="shared" si="919"/>
        <v>93</v>
      </c>
      <c r="CB1238" s="111" t="e">
        <f t="shared" ref="CB1238:CB1245" si="934">IF(AF1238&gt;1/1/1900,((AF1238+1)-AE1238),"STILL OPEN")</f>
        <v>#VALUE!</v>
      </c>
      <c r="CC1238" s="129">
        <f>G1238-I1238+1</f>
        <v>93</v>
      </c>
      <c r="CD1238" s="129">
        <f>G1238-J1238</f>
        <v>0</v>
      </c>
      <c r="CE1238" s="129">
        <f t="shared" si="920"/>
        <v>0</v>
      </c>
      <c r="CG1238" s="129" t="str">
        <f t="shared" si="921"/>
        <v>Y</v>
      </c>
      <c r="CI1238" s="129" t="str">
        <f t="shared" si="922"/>
        <v>91-120 DAYS</v>
      </c>
      <c r="CJ1238" s="137">
        <f t="shared" si="923"/>
        <v>0</v>
      </c>
      <c r="CK1238" s="129" t="str">
        <f t="shared" si="924"/>
        <v>Booked</v>
      </c>
    </row>
    <row r="1239" spans="1:89" ht="15" customHeight="1" x14ac:dyDescent="0.25">
      <c r="A1239" s="111">
        <v>352</v>
      </c>
      <c r="B1239" s="128" t="str">
        <f t="shared" si="904"/>
        <v>N</v>
      </c>
      <c r="C1239" s="128" t="str">
        <f t="shared" si="905"/>
        <v>N</v>
      </c>
      <c r="D1239" s="117">
        <v>1882787</v>
      </c>
      <c r="E1239" s="135">
        <f t="shared" si="906"/>
        <v>6</v>
      </c>
      <c r="F1239" s="124">
        <v>40922</v>
      </c>
      <c r="G1239" s="125">
        <v>41676</v>
      </c>
      <c r="H1239" s="117">
        <v>1882787</v>
      </c>
      <c r="I1239" s="124">
        <v>41438</v>
      </c>
      <c r="J1239" s="124">
        <v>41676</v>
      </c>
      <c r="K1239" s="126">
        <v>40000</v>
      </c>
      <c r="L1239" s="129" t="s">
        <v>572</v>
      </c>
      <c r="M1239" s="124"/>
      <c r="N1239" s="129" t="str">
        <f>IF(M1239&gt;1/1/1,"Y","N")</f>
        <v>N</v>
      </c>
      <c r="O1239" s="128" t="s">
        <v>917</v>
      </c>
      <c r="P1239" s="129" t="s">
        <v>1352</v>
      </c>
      <c r="Q1239" s="111">
        <v>239</v>
      </c>
      <c r="R1239" s="111">
        <f t="shared" si="931"/>
        <v>755</v>
      </c>
      <c r="S1239" s="129">
        <v>1</v>
      </c>
      <c r="T1239" s="129">
        <v>2</v>
      </c>
      <c r="U1239" s="129">
        <v>1</v>
      </c>
      <c r="W1239" s="111"/>
      <c r="AC1239" s="130"/>
      <c r="AD1239" s="130">
        <v>30242</v>
      </c>
      <c r="AE1239" s="128" t="s">
        <v>32</v>
      </c>
      <c r="AF1239" s="128" t="s">
        <v>33</v>
      </c>
      <c r="AG1239" s="128" t="s">
        <v>872</v>
      </c>
      <c r="AH1239" s="108" t="s">
        <v>58</v>
      </c>
      <c r="AI1239" s="128" t="s">
        <v>141</v>
      </c>
      <c r="AJ1239" s="129" t="s">
        <v>89</v>
      </c>
      <c r="AK1239" s="129">
        <v>28</v>
      </c>
      <c r="AL1239" s="3" t="s">
        <v>362</v>
      </c>
      <c r="AM1239" s="117">
        <v>33</v>
      </c>
      <c r="AP1239" s="129" t="s">
        <v>105</v>
      </c>
      <c r="AR1239" s="128" t="s">
        <v>92</v>
      </c>
      <c r="AS1239" s="129" t="s">
        <v>106</v>
      </c>
      <c r="AT1239" s="129" t="s">
        <v>1359</v>
      </c>
      <c r="AU1239" s="3" t="s">
        <v>1360</v>
      </c>
      <c r="BC1239" s="129" t="s">
        <v>38</v>
      </c>
      <c r="BF1239" s="111">
        <v>239</v>
      </c>
      <c r="BG1239" s="111">
        <f t="shared" si="927"/>
        <v>239</v>
      </c>
      <c r="BH1239" s="111">
        <f t="shared" si="901"/>
        <v>755</v>
      </c>
      <c r="BI1239" s="111">
        <f t="shared" si="902"/>
        <v>29.180327868852459</v>
      </c>
      <c r="BJ1239" s="129">
        <f>(G1239-J1239)+(M1239-G1239)</f>
        <v>-41676</v>
      </c>
      <c r="BK1239" s="129">
        <f t="shared" si="903"/>
        <v>0</v>
      </c>
      <c r="BL1239" s="129" t="str">
        <f t="shared" si="881"/>
        <v>CONVICTION</v>
      </c>
      <c r="BM1239" s="129" t="s">
        <v>917</v>
      </c>
      <c r="BN1239" s="129" t="s">
        <v>566</v>
      </c>
      <c r="BP1239" s="137" t="str">
        <f t="shared" si="909"/>
        <v>CONVICTION</v>
      </c>
      <c r="BQ1239" s="128" t="str">
        <f t="shared" si="910"/>
        <v>Y</v>
      </c>
      <c r="BR1239" s="129" t="str">
        <f t="shared" si="911"/>
        <v>DETAINED</v>
      </c>
      <c r="BS1239" s="129" t="s">
        <v>1259</v>
      </c>
      <c r="BT1239" s="129" t="str">
        <f t="shared" si="913"/>
        <v>Y</v>
      </c>
      <c r="BU1239" s="109">
        <f>IFERROR(Q1239/R1239,BR1239)</f>
        <v>0.31655629139072849</v>
      </c>
      <c r="BV1239" s="139">
        <v>0.31659999999999999</v>
      </c>
      <c r="BW1239" s="109">
        <v>0</v>
      </c>
      <c r="BX1239" s="111">
        <f t="shared" si="916"/>
        <v>0</v>
      </c>
      <c r="BY1239" s="129">
        <f t="shared" si="917"/>
        <v>-239</v>
      </c>
      <c r="BZ1239" s="111">
        <f t="shared" si="918"/>
        <v>0</v>
      </c>
      <c r="CA1239" s="138">
        <f t="shared" si="919"/>
        <v>239</v>
      </c>
      <c r="CB1239" s="111" t="e">
        <f t="shared" si="934"/>
        <v>#VALUE!</v>
      </c>
      <c r="CC1239" s="129">
        <v>239</v>
      </c>
      <c r="CD1239" s="129">
        <f>G1239-J1239</f>
        <v>0</v>
      </c>
      <c r="CE1239" s="129">
        <f t="shared" si="920"/>
        <v>0</v>
      </c>
      <c r="CG1239" s="129" t="str">
        <f t="shared" si="921"/>
        <v>Y</v>
      </c>
      <c r="CH1239" s="129" t="e">
        <v>#N/A</v>
      </c>
      <c r="CI1239" s="129" t="str">
        <f t="shared" si="922"/>
        <v>121-365 DAYS</v>
      </c>
      <c r="CJ1239" s="137">
        <f t="shared" si="923"/>
        <v>6</v>
      </c>
      <c r="CK1239" s="129" t="str">
        <f t="shared" si="924"/>
        <v>Booked</v>
      </c>
    </row>
    <row r="1240" spans="1:89" ht="15" customHeight="1" x14ac:dyDescent="0.25">
      <c r="A1240" s="111">
        <v>873</v>
      </c>
      <c r="B1240" s="128" t="str">
        <f t="shared" si="904"/>
        <v>N</v>
      </c>
      <c r="C1240" s="128" t="str">
        <f t="shared" si="905"/>
        <v>N</v>
      </c>
      <c r="D1240" s="117">
        <v>1883526</v>
      </c>
      <c r="E1240" s="135">
        <f t="shared" si="906"/>
        <v>5</v>
      </c>
      <c r="F1240" s="124">
        <v>40941</v>
      </c>
      <c r="G1240" s="125">
        <v>41026</v>
      </c>
      <c r="H1240" s="117">
        <v>1883526</v>
      </c>
      <c r="I1240" s="124">
        <v>40947</v>
      </c>
      <c r="J1240" s="124">
        <v>41026</v>
      </c>
      <c r="K1240" s="126">
        <v>5000</v>
      </c>
      <c r="L1240" s="127" t="s">
        <v>569</v>
      </c>
      <c r="N1240" s="129" t="str">
        <f>IF(M1240&gt;1/1/1,"Y","N")</f>
        <v>N</v>
      </c>
      <c r="O1240" s="128" t="s">
        <v>917</v>
      </c>
      <c r="P1240" s="129" t="s">
        <v>39</v>
      </c>
      <c r="Q1240" s="111">
        <f t="shared" si="932"/>
        <v>80</v>
      </c>
      <c r="R1240" s="111">
        <f t="shared" si="931"/>
        <v>86</v>
      </c>
      <c r="S1240" s="129">
        <v>5</v>
      </c>
      <c r="T1240" s="129">
        <v>3</v>
      </c>
      <c r="U1240" s="129">
        <v>4</v>
      </c>
      <c r="W1240" s="111"/>
      <c r="AB1240" s="131" t="s">
        <v>112</v>
      </c>
      <c r="AC1240" s="130"/>
      <c r="AD1240" s="130">
        <v>29443</v>
      </c>
      <c r="AE1240" s="128" t="s">
        <v>32</v>
      </c>
      <c r="AF1240" s="128" t="s">
        <v>40</v>
      </c>
      <c r="AG1240" s="128" t="s">
        <v>41</v>
      </c>
      <c r="AH1240" s="108" t="s">
        <v>31</v>
      </c>
      <c r="AI1240" s="128" t="s">
        <v>62</v>
      </c>
      <c r="AJ1240" s="129" t="s">
        <v>89</v>
      </c>
      <c r="AK1240" s="129">
        <v>7</v>
      </c>
      <c r="AL1240" s="3" t="s">
        <v>992</v>
      </c>
      <c r="AN1240" s="117">
        <v>7</v>
      </c>
      <c r="AP1240" s="129" t="s">
        <v>60</v>
      </c>
      <c r="AR1240" s="128" t="s">
        <v>44</v>
      </c>
      <c r="AS1240" s="129" t="s">
        <v>61</v>
      </c>
      <c r="BC1240" s="129" t="s">
        <v>38</v>
      </c>
      <c r="BF1240" s="111">
        <f t="shared" si="933"/>
        <v>80</v>
      </c>
      <c r="BG1240" s="111">
        <f t="shared" si="927"/>
        <v>80</v>
      </c>
      <c r="BH1240" s="111">
        <f t="shared" si="901"/>
        <v>86</v>
      </c>
      <c r="BI1240" s="111">
        <f t="shared" si="902"/>
        <v>31.415300546448087</v>
      </c>
      <c r="BJ1240" s="129">
        <f t="shared" si="907"/>
        <v>0</v>
      </c>
      <c r="BK1240" s="129">
        <f t="shared" si="903"/>
        <v>0</v>
      </c>
      <c r="BL1240" s="129" t="str">
        <f t="shared" ref="BL1240:BL1303" si="935">IF(OR(AL1240="AQUITTAL",AL1240="DISMISSED",AL1240="FINE",AL1240="NO BILL"),"NO CONVICTION",IF(OR(AL1240="HCJ",AL1240="MHH",AL1240="PROBATION",AL1240="STJ",AL1240="TDC"),"CONVICTION",IF(AL1240="DEFERRED","DEFERRED",0)))</f>
        <v>CONVICTION</v>
      </c>
      <c r="BM1240" s="129" t="str">
        <f t="shared" si="908"/>
        <v>NONE</v>
      </c>
      <c r="BN1240" s="129" t="s">
        <v>566</v>
      </c>
      <c r="BP1240" s="137" t="str">
        <f t="shared" si="909"/>
        <v>CONVICTION</v>
      </c>
      <c r="BQ1240" s="128" t="str">
        <f t="shared" si="910"/>
        <v>Y</v>
      </c>
      <c r="BR1240" s="129" t="str">
        <f t="shared" si="911"/>
        <v>DETAINED</v>
      </c>
      <c r="BS1240" s="129" t="str">
        <f t="shared" si="912"/>
        <v>DISPOSED</v>
      </c>
      <c r="BT1240" s="129" t="str">
        <f t="shared" si="913"/>
        <v>Y</v>
      </c>
      <c r="BU1240" s="109">
        <f t="shared" si="914"/>
        <v>0.93023255813953487</v>
      </c>
      <c r="BV1240" s="109">
        <f t="shared" si="915"/>
        <v>1</v>
      </c>
      <c r="BW1240" s="109">
        <f t="shared" ref="BW1240:BW1270" si="936">BV1240-BU1240</f>
        <v>6.9767441860465129E-2</v>
      </c>
      <c r="BX1240" s="111">
        <f t="shared" si="916"/>
        <v>0</v>
      </c>
      <c r="BY1240" s="129">
        <f t="shared" si="917"/>
        <v>-80</v>
      </c>
      <c r="BZ1240" s="111">
        <f t="shared" si="918"/>
        <v>0</v>
      </c>
      <c r="CA1240" s="138">
        <f t="shared" si="919"/>
        <v>80</v>
      </c>
      <c r="CB1240" s="111" t="e">
        <f t="shared" si="934"/>
        <v>#VALUE!</v>
      </c>
      <c r="CC1240" s="129">
        <f t="shared" ref="CC1240:CC1246" si="937">G1240-I1240+1</f>
        <v>80</v>
      </c>
      <c r="CD1240" s="129">
        <f t="shared" ref="CD1240:CD1246" si="938">G1240-J1240</f>
        <v>0</v>
      </c>
      <c r="CE1240" s="129">
        <f t="shared" si="920"/>
        <v>0</v>
      </c>
      <c r="CG1240" s="129" t="str">
        <f t="shared" si="921"/>
        <v>Y</v>
      </c>
      <c r="CI1240" s="129" t="str">
        <f t="shared" si="922"/>
        <v>61-90 DAYS</v>
      </c>
      <c r="CJ1240" s="137">
        <f t="shared" si="923"/>
        <v>4</v>
      </c>
      <c r="CK1240" s="129" t="str">
        <f t="shared" si="924"/>
        <v>Booked</v>
      </c>
    </row>
    <row r="1241" spans="1:89" ht="15" customHeight="1" x14ac:dyDescent="0.25">
      <c r="A1241" s="111">
        <v>2924</v>
      </c>
      <c r="B1241" s="128" t="str">
        <f t="shared" si="904"/>
        <v>N</v>
      </c>
      <c r="C1241" s="128" t="str">
        <f t="shared" si="905"/>
        <v>N</v>
      </c>
      <c r="D1241" s="117">
        <v>1885305</v>
      </c>
      <c r="E1241" s="135">
        <f t="shared" si="906"/>
        <v>1</v>
      </c>
      <c r="F1241" s="124">
        <v>41017</v>
      </c>
      <c r="G1241" s="125">
        <v>41018</v>
      </c>
      <c r="H1241" s="117">
        <v>1885305</v>
      </c>
      <c r="I1241" s="124">
        <v>41017</v>
      </c>
      <c r="J1241" s="124">
        <v>41018</v>
      </c>
      <c r="K1241" s="126" t="s">
        <v>564</v>
      </c>
      <c r="L1241" s="127" t="s">
        <v>564</v>
      </c>
      <c r="N1241" s="129" t="s">
        <v>566</v>
      </c>
      <c r="O1241" s="128" t="s">
        <v>917</v>
      </c>
      <c r="P1241" s="129" t="s">
        <v>55</v>
      </c>
      <c r="Q1241" s="111">
        <f t="shared" si="932"/>
        <v>2</v>
      </c>
      <c r="R1241" s="111">
        <f t="shared" si="931"/>
        <v>2</v>
      </c>
      <c r="S1241" s="129">
        <v>2</v>
      </c>
      <c r="T1241" s="129">
        <v>5</v>
      </c>
      <c r="W1241" s="111"/>
      <c r="AC1241" s="130"/>
      <c r="AD1241" s="130">
        <v>30421</v>
      </c>
      <c r="AE1241" s="128" t="s">
        <v>32</v>
      </c>
      <c r="AF1241" s="128" t="s">
        <v>69</v>
      </c>
      <c r="AG1241" s="128" t="s">
        <v>874</v>
      </c>
      <c r="AH1241" s="108" t="s">
        <v>58</v>
      </c>
      <c r="AI1241" s="128" t="s">
        <v>87</v>
      </c>
      <c r="AJ1241" s="129" t="s">
        <v>55</v>
      </c>
      <c r="AK1241" s="129">
        <v>1</v>
      </c>
      <c r="AL1241" s="3" t="s">
        <v>55</v>
      </c>
      <c r="AP1241" s="129" t="s">
        <v>150</v>
      </c>
      <c r="AR1241" s="128" t="s">
        <v>67</v>
      </c>
      <c r="AS1241" s="129" t="s">
        <v>74</v>
      </c>
      <c r="AT1241" s="129" t="s">
        <v>501</v>
      </c>
      <c r="BC1241" s="129" t="s">
        <v>38</v>
      </c>
      <c r="BF1241" s="111">
        <f t="shared" si="933"/>
        <v>2</v>
      </c>
      <c r="BG1241" s="111">
        <f t="shared" si="927"/>
        <v>2</v>
      </c>
      <c r="BH1241" s="111">
        <f t="shared" si="901"/>
        <v>2</v>
      </c>
      <c r="BI1241" s="111">
        <f t="shared" si="902"/>
        <v>28.950819672131146</v>
      </c>
      <c r="BJ1241" s="129">
        <f t="shared" si="907"/>
        <v>0</v>
      </c>
      <c r="BK1241" s="129">
        <f t="shared" si="903"/>
        <v>0</v>
      </c>
      <c r="BL1241" s="129" t="str">
        <f t="shared" si="935"/>
        <v>NO CONVICTION</v>
      </c>
      <c r="BM1241" s="129" t="str">
        <f t="shared" si="908"/>
        <v>NONE</v>
      </c>
      <c r="BN1241" s="129" t="s">
        <v>566</v>
      </c>
      <c r="BP1241" s="137" t="str">
        <f t="shared" si="909"/>
        <v>NO CONVICTION</v>
      </c>
      <c r="BQ1241" s="128" t="str">
        <f t="shared" si="910"/>
        <v>Y</v>
      </c>
      <c r="BR1241" s="129" t="str">
        <f t="shared" si="911"/>
        <v>DETAINED</v>
      </c>
      <c r="BS1241" s="129" t="str">
        <f t="shared" si="912"/>
        <v>DISPOSED</v>
      </c>
      <c r="BT1241" s="129" t="str">
        <f t="shared" si="913"/>
        <v>Y</v>
      </c>
      <c r="BU1241" s="109">
        <f>IFERROR(Q1241/R1241,BR1241)</f>
        <v>1</v>
      </c>
      <c r="BV1241" s="109">
        <f t="shared" si="915"/>
        <v>1</v>
      </c>
      <c r="BW1241" s="109">
        <f t="shared" si="936"/>
        <v>0</v>
      </c>
      <c r="BX1241" s="111">
        <f t="shared" si="916"/>
        <v>0</v>
      </c>
      <c r="BY1241" s="129">
        <f t="shared" si="917"/>
        <v>-2</v>
      </c>
      <c r="BZ1241" s="111">
        <f t="shared" si="918"/>
        <v>0</v>
      </c>
      <c r="CA1241" s="138">
        <f t="shared" si="919"/>
        <v>2</v>
      </c>
      <c r="CB1241" s="111" t="e">
        <f t="shared" si="934"/>
        <v>#VALUE!</v>
      </c>
      <c r="CC1241" s="129">
        <f t="shared" si="937"/>
        <v>2</v>
      </c>
      <c r="CD1241" s="129">
        <f t="shared" si="938"/>
        <v>0</v>
      </c>
      <c r="CE1241" s="129">
        <f t="shared" si="920"/>
        <v>0</v>
      </c>
      <c r="CG1241" s="129" t="str">
        <f t="shared" si="921"/>
        <v>Y</v>
      </c>
      <c r="CI1241" s="129" t="str">
        <f t="shared" si="922"/>
        <v>0-10 DAYS</v>
      </c>
      <c r="CJ1241" s="137">
        <f t="shared" si="923"/>
        <v>1</v>
      </c>
      <c r="CK1241" s="129" t="str">
        <f t="shared" si="924"/>
        <v>Booked</v>
      </c>
    </row>
    <row r="1242" spans="1:89" ht="15.75" customHeight="1" x14ac:dyDescent="0.25">
      <c r="A1242" s="111">
        <v>1291</v>
      </c>
      <c r="B1242" s="128" t="str">
        <f t="shared" si="904"/>
        <v>N</v>
      </c>
      <c r="C1242" s="128" t="str">
        <f t="shared" si="905"/>
        <v>N</v>
      </c>
      <c r="D1242" s="117">
        <v>1887021</v>
      </c>
      <c r="E1242" s="135">
        <f t="shared" si="906"/>
        <v>5</v>
      </c>
      <c r="F1242" s="124">
        <v>40956</v>
      </c>
      <c r="G1242" s="125">
        <v>40974</v>
      </c>
      <c r="H1242" s="117">
        <v>1887021</v>
      </c>
      <c r="I1242" s="124">
        <v>40956</v>
      </c>
      <c r="J1242" s="124">
        <v>40974</v>
      </c>
      <c r="K1242" s="126">
        <v>15000</v>
      </c>
      <c r="L1242" s="127" t="s">
        <v>571</v>
      </c>
      <c r="N1242" s="129" t="str">
        <f>IF(M1242&gt;1/1/1,"Y","N")</f>
        <v>N</v>
      </c>
      <c r="O1242" s="128" t="s">
        <v>917</v>
      </c>
      <c r="P1242" s="129" t="s">
        <v>39</v>
      </c>
      <c r="Q1242" s="111">
        <f t="shared" si="932"/>
        <v>19</v>
      </c>
      <c r="R1242" s="111">
        <f t="shared" si="931"/>
        <v>19</v>
      </c>
      <c r="S1242" s="129">
        <v>2</v>
      </c>
      <c r="T1242" s="129">
        <v>3</v>
      </c>
      <c r="U1242" s="129">
        <v>2</v>
      </c>
      <c r="W1242" s="111"/>
      <c r="AB1242" s="131" t="s">
        <v>112</v>
      </c>
      <c r="AC1242" s="130"/>
      <c r="AD1242" s="130">
        <v>26672</v>
      </c>
      <c r="AE1242" s="128" t="s">
        <v>32</v>
      </c>
      <c r="AF1242" s="128" t="s">
        <v>40</v>
      </c>
      <c r="AG1242" s="128" t="s">
        <v>41</v>
      </c>
      <c r="AH1242" s="108" t="s">
        <v>31</v>
      </c>
      <c r="AI1242" s="128" t="s">
        <v>90</v>
      </c>
      <c r="AJ1242" s="129" t="s">
        <v>89</v>
      </c>
      <c r="AK1242" s="129">
        <v>2</v>
      </c>
      <c r="AL1242" s="3" t="s">
        <v>992</v>
      </c>
      <c r="AN1242" s="117">
        <v>6</v>
      </c>
      <c r="AP1242" s="129" t="s">
        <v>43</v>
      </c>
      <c r="AR1242" s="128" t="s">
        <v>44</v>
      </c>
      <c r="AS1242" s="129" t="s">
        <v>45</v>
      </c>
      <c r="BC1242" s="129" t="s">
        <v>52</v>
      </c>
      <c r="BF1242" s="111">
        <f t="shared" si="933"/>
        <v>19</v>
      </c>
      <c r="BG1242" s="111">
        <f t="shared" si="927"/>
        <v>19</v>
      </c>
      <c r="BH1242" s="111">
        <f t="shared" si="901"/>
        <v>19</v>
      </c>
      <c r="BI1242" s="111">
        <f t="shared" si="902"/>
        <v>39.027322404371581</v>
      </c>
      <c r="BJ1242" s="129">
        <f t="shared" si="907"/>
        <v>0</v>
      </c>
      <c r="BK1242" s="129">
        <f t="shared" si="903"/>
        <v>0</v>
      </c>
      <c r="BL1242" s="129" t="str">
        <f t="shared" si="935"/>
        <v>CONVICTION</v>
      </c>
      <c r="BM1242" s="129" t="str">
        <f t="shared" si="908"/>
        <v>NONE</v>
      </c>
      <c r="BN1242" s="129" t="s">
        <v>566</v>
      </c>
      <c r="BP1242" s="137" t="str">
        <f t="shared" si="909"/>
        <v>CONVICTION</v>
      </c>
      <c r="BQ1242" s="128" t="str">
        <f t="shared" si="910"/>
        <v>Y</v>
      </c>
      <c r="BR1242" s="129" t="str">
        <f t="shared" si="911"/>
        <v>DETAINED</v>
      </c>
      <c r="BS1242" s="129" t="str">
        <f t="shared" si="912"/>
        <v>DISPOSED</v>
      </c>
      <c r="BT1242" s="129" t="str">
        <f t="shared" si="913"/>
        <v>Y</v>
      </c>
      <c r="BU1242" s="109">
        <f t="shared" si="914"/>
        <v>1</v>
      </c>
      <c r="BV1242" s="109">
        <f t="shared" si="915"/>
        <v>1</v>
      </c>
      <c r="BW1242" s="109">
        <f t="shared" si="936"/>
        <v>0</v>
      </c>
      <c r="BX1242" s="111">
        <f t="shared" si="916"/>
        <v>0</v>
      </c>
      <c r="BY1242" s="129">
        <f t="shared" si="917"/>
        <v>-19</v>
      </c>
      <c r="BZ1242" s="111">
        <f t="shared" si="918"/>
        <v>0</v>
      </c>
      <c r="CA1242" s="138">
        <f t="shared" si="919"/>
        <v>19</v>
      </c>
      <c r="CB1242" s="111" t="e">
        <f t="shared" si="934"/>
        <v>#VALUE!</v>
      </c>
      <c r="CC1242" s="129">
        <f t="shared" si="937"/>
        <v>19</v>
      </c>
      <c r="CD1242" s="129">
        <f t="shared" si="938"/>
        <v>0</v>
      </c>
      <c r="CE1242" s="129">
        <f t="shared" si="920"/>
        <v>0</v>
      </c>
      <c r="CG1242" s="129" t="str">
        <f t="shared" si="921"/>
        <v>Y</v>
      </c>
      <c r="CI1242" s="129" t="str">
        <f t="shared" si="922"/>
        <v>11-30 DAYS</v>
      </c>
      <c r="CJ1242" s="137">
        <f t="shared" si="923"/>
        <v>2</v>
      </c>
      <c r="CK1242" s="129" t="str">
        <f t="shared" si="924"/>
        <v>Booked</v>
      </c>
    </row>
    <row r="1243" spans="1:89" ht="15" customHeight="1" x14ac:dyDescent="0.25">
      <c r="A1243" s="111">
        <v>1372</v>
      </c>
      <c r="B1243" s="128" t="str">
        <f t="shared" si="904"/>
        <v>N</v>
      </c>
      <c r="C1243" s="128" t="str">
        <f t="shared" si="905"/>
        <v>N</v>
      </c>
      <c r="D1243" s="117">
        <v>1887772</v>
      </c>
      <c r="E1243" s="135">
        <f t="shared" si="906"/>
        <v>1</v>
      </c>
      <c r="F1243" s="124">
        <v>40959</v>
      </c>
      <c r="G1243" s="125">
        <v>40975</v>
      </c>
      <c r="H1243" s="117">
        <v>1887772</v>
      </c>
      <c r="I1243" s="124">
        <v>40962</v>
      </c>
      <c r="J1243" s="124">
        <v>40975</v>
      </c>
      <c r="K1243" s="126">
        <v>20000</v>
      </c>
      <c r="L1243" s="127" t="s">
        <v>571</v>
      </c>
      <c r="N1243" s="129" t="str">
        <f>IF(M1243&gt;1/1/1,"Y","N")</f>
        <v>N</v>
      </c>
      <c r="O1243" s="128" t="s">
        <v>917</v>
      </c>
      <c r="P1243" s="129" t="s">
        <v>123</v>
      </c>
      <c r="Q1243" s="111">
        <f t="shared" si="932"/>
        <v>14</v>
      </c>
      <c r="R1243" s="111">
        <f t="shared" si="931"/>
        <v>17</v>
      </c>
      <c r="S1243" s="129">
        <v>0</v>
      </c>
      <c r="T1243" s="129">
        <v>2</v>
      </c>
      <c r="W1243" s="111"/>
      <c r="AB1243" s="131" t="s">
        <v>112</v>
      </c>
      <c r="AC1243" s="130"/>
      <c r="AD1243" s="130">
        <v>28743</v>
      </c>
      <c r="AE1243" s="128" t="s">
        <v>46</v>
      </c>
      <c r="AF1243" s="128" t="s">
        <v>40</v>
      </c>
      <c r="AG1243" s="128" t="s">
        <v>41</v>
      </c>
      <c r="AH1243" s="108" t="s">
        <v>31</v>
      </c>
      <c r="AI1243" s="128" t="s">
        <v>97</v>
      </c>
      <c r="AJ1243" s="129" t="s">
        <v>123</v>
      </c>
      <c r="AK1243" s="129">
        <v>3</v>
      </c>
      <c r="AL1243" s="3" t="s">
        <v>123</v>
      </c>
      <c r="AP1243" s="129" t="s">
        <v>326</v>
      </c>
      <c r="AR1243" s="128" t="s">
        <v>44</v>
      </c>
      <c r="AS1243" s="129" t="s">
        <v>64</v>
      </c>
      <c r="BC1243" s="129" t="s">
        <v>38</v>
      </c>
      <c r="BF1243" s="111">
        <f t="shared" si="933"/>
        <v>14</v>
      </c>
      <c r="BG1243" s="111">
        <f t="shared" si="927"/>
        <v>14</v>
      </c>
      <c r="BH1243" s="111">
        <f t="shared" si="901"/>
        <v>17</v>
      </c>
      <c r="BI1243" s="111">
        <f t="shared" si="902"/>
        <v>33.377049180327866</v>
      </c>
      <c r="BJ1243" s="129">
        <f t="shared" si="907"/>
        <v>0</v>
      </c>
      <c r="BK1243" s="129">
        <f t="shared" si="903"/>
        <v>0</v>
      </c>
      <c r="BL1243" s="129" t="str">
        <f t="shared" si="935"/>
        <v>NO CONVICTION</v>
      </c>
      <c r="BM1243" s="129" t="str">
        <f t="shared" si="908"/>
        <v>NONE</v>
      </c>
      <c r="BN1243" s="129" t="s">
        <v>566</v>
      </c>
      <c r="BP1243" s="137" t="str">
        <f t="shared" si="909"/>
        <v>NO CONVICTION</v>
      </c>
      <c r="BQ1243" s="128" t="str">
        <f t="shared" si="910"/>
        <v>Y</v>
      </c>
      <c r="BR1243" s="129" t="str">
        <f t="shared" si="911"/>
        <v>DETAINED</v>
      </c>
      <c r="BS1243" s="129" t="str">
        <f t="shared" si="912"/>
        <v>DISPOSED</v>
      </c>
      <c r="BT1243" s="129" t="str">
        <f t="shared" si="913"/>
        <v>N</v>
      </c>
      <c r="BU1243" s="109">
        <f>IFERROR(Q1243/R1243,BR1243)</f>
        <v>0.82352941176470584</v>
      </c>
      <c r="BV1243" s="109">
        <f t="shared" si="915"/>
        <v>1</v>
      </c>
      <c r="BW1243" s="109">
        <f t="shared" si="936"/>
        <v>0.17647058823529416</v>
      </c>
      <c r="BX1243" s="111">
        <f t="shared" si="916"/>
        <v>0</v>
      </c>
      <c r="BY1243" s="129">
        <f t="shared" si="917"/>
        <v>-14</v>
      </c>
      <c r="BZ1243" s="111">
        <f t="shared" si="918"/>
        <v>0</v>
      </c>
      <c r="CA1243" s="138">
        <f t="shared" si="919"/>
        <v>14</v>
      </c>
      <c r="CB1243" s="111" t="e">
        <f t="shared" si="934"/>
        <v>#VALUE!</v>
      </c>
      <c r="CC1243" s="129">
        <f t="shared" si="937"/>
        <v>14</v>
      </c>
      <c r="CD1243" s="129">
        <f t="shared" si="938"/>
        <v>0</v>
      </c>
      <c r="CE1243" s="129">
        <f t="shared" si="920"/>
        <v>0</v>
      </c>
      <c r="CG1243" s="129" t="str">
        <f t="shared" si="921"/>
        <v>Y</v>
      </c>
      <c r="CI1243" s="129" t="str">
        <f t="shared" si="922"/>
        <v>11-30 DAYS</v>
      </c>
      <c r="CJ1243" s="137">
        <f t="shared" si="923"/>
        <v>2</v>
      </c>
      <c r="CK1243" s="129" t="str">
        <f t="shared" si="924"/>
        <v>Booked</v>
      </c>
    </row>
    <row r="1244" spans="1:89" ht="15.75" customHeight="1" x14ac:dyDescent="0.25">
      <c r="A1244" s="111">
        <v>821</v>
      </c>
      <c r="B1244" s="128" t="str">
        <f t="shared" si="904"/>
        <v>N</v>
      </c>
      <c r="C1244" s="128" t="str">
        <f t="shared" si="905"/>
        <v>N</v>
      </c>
      <c r="D1244" s="117">
        <v>1889272</v>
      </c>
      <c r="E1244" s="135">
        <f t="shared" si="906"/>
        <v>5</v>
      </c>
      <c r="F1244" s="124">
        <v>40940</v>
      </c>
      <c r="G1244" s="125">
        <v>41026</v>
      </c>
      <c r="H1244" s="117">
        <v>1889272</v>
      </c>
      <c r="I1244" s="124">
        <v>40940</v>
      </c>
      <c r="J1244" s="124">
        <v>41026</v>
      </c>
      <c r="K1244" s="126">
        <v>40000</v>
      </c>
      <c r="L1244" s="129" t="s">
        <v>572</v>
      </c>
      <c r="N1244" s="129" t="str">
        <f>IF(M1244&gt;1/1/1,"Y","N")</f>
        <v>N</v>
      </c>
      <c r="O1244" s="128" t="s">
        <v>917</v>
      </c>
      <c r="P1244" s="129" t="s">
        <v>39</v>
      </c>
      <c r="Q1244" s="111">
        <f t="shared" si="932"/>
        <v>87</v>
      </c>
      <c r="R1244" s="111">
        <f t="shared" si="931"/>
        <v>87</v>
      </c>
      <c r="S1244" s="129">
        <v>2</v>
      </c>
      <c r="T1244" s="129">
        <v>9</v>
      </c>
      <c r="W1244" s="111"/>
      <c r="AC1244" s="130"/>
      <c r="AD1244" s="130">
        <v>30490</v>
      </c>
      <c r="AE1244" s="128" t="s">
        <v>32</v>
      </c>
      <c r="AF1244" s="128" t="s">
        <v>33</v>
      </c>
      <c r="AG1244" s="128" t="s">
        <v>872</v>
      </c>
      <c r="AH1244" s="108" t="s">
        <v>58</v>
      </c>
      <c r="AI1244" s="128" t="s">
        <v>62</v>
      </c>
      <c r="AJ1244" s="129" t="s">
        <v>89</v>
      </c>
      <c r="AK1244" s="129">
        <v>4</v>
      </c>
      <c r="AL1244" s="3" t="s">
        <v>992</v>
      </c>
      <c r="AN1244" s="117">
        <v>6</v>
      </c>
      <c r="AP1244" s="129" t="s">
        <v>43</v>
      </c>
      <c r="AR1244" s="128" t="s">
        <v>44</v>
      </c>
      <c r="AS1244" s="129" t="s">
        <v>45</v>
      </c>
      <c r="BC1244" s="129" t="s">
        <v>38</v>
      </c>
      <c r="BF1244" s="111">
        <f t="shared" si="933"/>
        <v>87</v>
      </c>
      <c r="BG1244" s="111">
        <f t="shared" si="927"/>
        <v>87</v>
      </c>
      <c r="BH1244" s="111">
        <f t="shared" si="901"/>
        <v>87</v>
      </c>
      <c r="BI1244" s="111">
        <f t="shared" si="902"/>
        <v>28.551912568306012</v>
      </c>
      <c r="BJ1244" s="129">
        <f t="shared" si="907"/>
        <v>0</v>
      </c>
      <c r="BK1244" s="129">
        <f t="shared" si="903"/>
        <v>0</v>
      </c>
      <c r="BL1244" s="129" t="str">
        <f t="shared" si="935"/>
        <v>CONVICTION</v>
      </c>
      <c r="BM1244" s="129" t="str">
        <f t="shared" si="908"/>
        <v>NONE</v>
      </c>
      <c r="BN1244" s="129" t="s">
        <v>566</v>
      </c>
      <c r="BP1244" s="137" t="str">
        <f t="shared" si="909"/>
        <v>CONVICTION</v>
      </c>
      <c r="BQ1244" s="128" t="str">
        <f t="shared" si="910"/>
        <v>Y</v>
      </c>
      <c r="BR1244" s="129" t="str">
        <f t="shared" si="911"/>
        <v>DETAINED</v>
      </c>
      <c r="BS1244" s="129" t="str">
        <f t="shared" si="912"/>
        <v>DISPOSED</v>
      </c>
      <c r="BT1244" s="129" t="str">
        <f t="shared" si="913"/>
        <v>Y</v>
      </c>
      <c r="BU1244" s="109">
        <f t="shared" si="914"/>
        <v>1</v>
      </c>
      <c r="BV1244" s="109">
        <f t="shared" si="915"/>
        <v>1</v>
      </c>
      <c r="BW1244" s="109">
        <f t="shared" si="936"/>
        <v>0</v>
      </c>
      <c r="BX1244" s="111">
        <f t="shared" si="916"/>
        <v>0</v>
      </c>
      <c r="BY1244" s="129">
        <f t="shared" si="917"/>
        <v>-87</v>
      </c>
      <c r="BZ1244" s="111">
        <f t="shared" si="918"/>
        <v>0</v>
      </c>
      <c r="CA1244" s="138">
        <f t="shared" si="919"/>
        <v>87</v>
      </c>
      <c r="CB1244" s="111" t="e">
        <f t="shared" si="934"/>
        <v>#VALUE!</v>
      </c>
      <c r="CC1244" s="129">
        <f t="shared" si="937"/>
        <v>87</v>
      </c>
      <c r="CD1244" s="129">
        <f t="shared" si="938"/>
        <v>0</v>
      </c>
      <c r="CE1244" s="129">
        <f t="shared" si="920"/>
        <v>0</v>
      </c>
      <c r="CG1244" s="129" t="str">
        <f t="shared" si="921"/>
        <v>Y</v>
      </c>
      <c r="CI1244" s="129" t="str">
        <f t="shared" si="922"/>
        <v>61-90 DAYS</v>
      </c>
      <c r="CJ1244" s="137">
        <f t="shared" si="923"/>
        <v>4</v>
      </c>
      <c r="CK1244" s="129" t="str">
        <f t="shared" si="924"/>
        <v>Booked</v>
      </c>
    </row>
    <row r="1245" spans="1:89" ht="15.75" customHeight="1" x14ac:dyDescent="0.25">
      <c r="A1245" s="111">
        <v>1491</v>
      </c>
      <c r="B1245" s="128" t="str">
        <f t="shared" si="904"/>
        <v>N</v>
      </c>
      <c r="C1245" s="128" t="str">
        <f t="shared" si="905"/>
        <v>N</v>
      </c>
      <c r="D1245" s="117">
        <v>1890532</v>
      </c>
      <c r="E1245" s="135">
        <f t="shared" si="906"/>
        <v>2</v>
      </c>
      <c r="F1245" s="124">
        <v>40963</v>
      </c>
      <c r="G1245" s="125">
        <v>40966</v>
      </c>
      <c r="H1245" s="117">
        <v>1890532</v>
      </c>
      <c r="I1245" s="124">
        <v>40963</v>
      </c>
      <c r="J1245" s="124">
        <v>40966</v>
      </c>
      <c r="K1245" s="126" t="s">
        <v>564</v>
      </c>
      <c r="L1245" s="127" t="s">
        <v>564</v>
      </c>
      <c r="N1245" s="129" t="s">
        <v>566</v>
      </c>
      <c r="O1245" s="128" t="s">
        <v>917</v>
      </c>
      <c r="P1245" s="129" t="s">
        <v>589</v>
      </c>
      <c r="Q1245" s="111">
        <f t="shared" si="932"/>
        <v>4</v>
      </c>
      <c r="R1245" s="111">
        <f t="shared" si="931"/>
        <v>4</v>
      </c>
      <c r="S1245" s="129">
        <v>0</v>
      </c>
      <c r="T1245" s="129">
        <v>3</v>
      </c>
      <c r="W1245" s="111"/>
      <c r="AC1245" s="130"/>
      <c r="AD1245" s="130">
        <v>30239</v>
      </c>
      <c r="AE1245" s="128" t="s">
        <v>32</v>
      </c>
      <c r="AF1245" s="128" t="s">
        <v>33</v>
      </c>
      <c r="AG1245" s="128" t="s">
        <v>872</v>
      </c>
      <c r="AH1245" s="108" t="s">
        <v>58</v>
      </c>
      <c r="AI1245" s="128" t="s">
        <v>118</v>
      </c>
      <c r="AJ1245" s="129" t="s">
        <v>48</v>
      </c>
      <c r="AK1245" s="129">
        <v>1</v>
      </c>
      <c r="AL1245" s="3" t="s">
        <v>48</v>
      </c>
      <c r="AP1245" s="129" t="s">
        <v>150</v>
      </c>
      <c r="AR1245" s="128" t="s">
        <v>67</v>
      </c>
      <c r="AS1245" s="129" t="s">
        <v>74</v>
      </c>
      <c r="BC1245" s="129" t="s">
        <v>38</v>
      </c>
      <c r="BF1245" s="111">
        <f t="shared" si="933"/>
        <v>4</v>
      </c>
      <c r="BG1245" s="111">
        <f t="shared" si="927"/>
        <v>4</v>
      </c>
      <c r="BH1245" s="111">
        <f t="shared" si="901"/>
        <v>4</v>
      </c>
      <c r="BI1245" s="111">
        <f t="shared" si="902"/>
        <v>29.300546448087431</v>
      </c>
      <c r="BJ1245" s="129">
        <f t="shared" si="907"/>
        <v>0</v>
      </c>
      <c r="BK1245" s="129">
        <f t="shared" si="903"/>
        <v>0</v>
      </c>
      <c r="BL1245" s="129" t="str">
        <f t="shared" si="935"/>
        <v>DEFERRED</v>
      </c>
      <c r="BM1245" s="129" t="str">
        <f t="shared" si="908"/>
        <v>NONE</v>
      </c>
      <c r="BN1245" s="129" t="s">
        <v>566</v>
      </c>
      <c r="BP1245" s="137" t="str">
        <f t="shared" si="909"/>
        <v>DEFERRED</v>
      </c>
      <c r="BQ1245" s="128" t="str">
        <f t="shared" si="910"/>
        <v>Y</v>
      </c>
      <c r="BR1245" s="129" t="str">
        <f t="shared" si="911"/>
        <v>DETAINED</v>
      </c>
      <c r="BS1245" s="129" t="str">
        <f t="shared" si="912"/>
        <v>DISPOSED</v>
      </c>
      <c r="BT1245" s="129" t="str">
        <f t="shared" si="913"/>
        <v>N</v>
      </c>
      <c r="BU1245" s="109">
        <f t="shared" si="914"/>
        <v>1</v>
      </c>
      <c r="BV1245" s="109">
        <f t="shared" si="915"/>
        <v>1</v>
      </c>
      <c r="BW1245" s="109">
        <f t="shared" si="936"/>
        <v>0</v>
      </c>
      <c r="BX1245" s="111">
        <f t="shared" si="916"/>
        <v>0</v>
      </c>
      <c r="BY1245" s="129">
        <f t="shared" si="917"/>
        <v>-4</v>
      </c>
      <c r="BZ1245" s="111">
        <f t="shared" si="918"/>
        <v>0</v>
      </c>
      <c r="CA1245" s="138">
        <f t="shared" si="919"/>
        <v>4</v>
      </c>
      <c r="CB1245" s="111" t="e">
        <f t="shared" si="934"/>
        <v>#VALUE!</v>
      </c>
      <c r="CC1245" s="129">
        <f t="shared" si="937"/>
        <v>4</v>
      </c>
      <c r="CD1245" s="129">
        <f t="shared" si="938"/>
        <v>0</v>
      </c>
      <c r="CE1245" s="129">
        <f t="shared" si="920"/>
        <v>0</v>
      </c>
      <c r="CG1245" s="129" t="str">
        <f t="shared" si="921"/>
        <v>Y</v>
      </c>
      <c r="CI1245" s="129" t="str">
        <f t="shared" si="922"/>
        <v>0-10 DAYS</v>
      </c>
      <c r="CJ1245" s="137">
        <f t="shared" si="923"/>
        <v>1</v>
      </c>
      <c r="CK1245" s="129" t="str">
        <f t="shared" si="924"/>
        <v>Booked</v>
      </c>
    </row>
    <row r="1246" spans="1:89" ht="15" customHeight="1" x14ac:dyDescent="0.25">
      <c r="A1246" s="111">
        <v>993</v>
      </c>
      <c r="B1246" s="128" t="str">
        <f t="shared" si="904"/>
        <v>Y</v>
      </c>
      <c r="C1246" s="128" t="str">
        <f t="shared" si="905"/>
        <v>Y</v>
      </c>
      <c r="D1246" s="117">
        <v>1891866</v>
      </c>
      <c r="E1246" s="135">
        <f t="shared" si="906"/>
        <v>6</v>
      </c>
      <c r="F1246" s="124">
        <v>40946</v>
      </c>
      <c r="G1246" s="125">
        <v>41375</v>
      </c>
      <c r="H1246" s="117">
        <v>1891866</v>
      </c>
      <c r="I1246" s="124">
        <v>40973</v>
      </c>
      <c r="J1246" s="124">
        <v>41125</v>
      </c>
      <c r="K1246" s="126">
        <v>35000</v>
      </c>
      <c r="L1246" s="129" t="s">
        <v>572</v>
      </c>
      <c r="M1246" s="125">
        <v>41125</v>
      </c>
      <c r="N1246" s="129" t="str">
        <f t="shared" ref="N1246:N1251" si="939">IF(M1246&gt;1/1/1,"Y","N")</f>
        <v>Y</v>
      </c>
      <c r="O1246" s="128" t="s">
        <v>76</v>
      </c>
      <c r="P1246" s="129" t="s">
        <v>39</v>
      </c>
      <c r="Q1246" s="111">
        <v>292</v>
      </c>
      <c r="R1246" s="111">
        <f t="shared" si="931"/>
        <v>430</v>
      </c>
      <c r="S1246" s="129">
        <v>6</v>
      </c>
      <c r="T1246" s="129">
        <v>8</v>
      </c>
      <c r="U1246" s="129">
        <v>2</v>
      </c>
      <c r="W1246" s="111"/>
      <c r="AC1246" s="130"/>
      <c r="AD1246" s="130">
        <v>30959</v>
      </c>
      <c r="AE1246" s="128" t="s">
        <v>32</v>
      </c>
      <c r="AF1246" s="128" t="s">
        <v>33</v>
      </c>
      <c r="AG1246" s="128" t="s">
        <v>872</v>
      </c>
      <c r="AH1246" s="108" t="s">
        <v>58</v>
      </c>
      <c r="AI1246" s="128" t="s">
        <v>59</v>
      </c>
      <c r="AJ1246" s="129" t="s">
        <v>31</v>
      </c>
      <c r="AK1246" s="129">
        <v>9</v>
      </c>
      <c r="AL1246" s="3" t="s">
        <v>362</v>
      </c>
      <c r="AM1246" s="117">
        <v>2</v>
      </c>
      <c r="AP1246" s="129" t="s">
        <v>56</v>
      </c>
      <c r="AR1246" s="128" t="s">
        <v>50</v>
      </c>
      <c r="AS1246" s="129" t="s">
        <v>57</v>
      </c>
      <c r="AT1246" s="129" t="s">
        <v>945</v>
      </c>
      <c r="AU1246" s="3" t="s">
        <v>946</v>
      </c>
      <c r="AX1246" s="32" t="s">
        <v>51</v>
      </c>
      <c r="BC1246" s="129" t="s">
        <v>38</v>
      </c>
      <c r="BD1246" s="32" t="s">
        <v>1141</v>
      </c>
      <c r="BF1246" s="111">
        <v>292</v>
      </c>
      <c r="BG1246" s="111">
        <f t="shared" si="927"/>
        <v>403</v>
      </c>
      <c r="BH1246" s="111">
        <f t="shared" si="901"/>
        <v>430</v>
      </c>
      <c r="BI1246" s="111">
        <f t="shared" si="902"/>
        <v>27.28688524590164</v>
      </c>
      <c r="BJ1246" s="129">
        <f>(G1246-J1246)+(M1246-G1246)</f>
        <v>0</v>
      </c>
      <c r="BK1246" s="129">
        <f t="shared" si="903"/>
        <v>-250</v>
      </c>
      <c r="BL1246" s="129" t="str">
        <f t="shared" si="935"/>
        <v>CONVICTION</v>
      </c>
      <c r="BM1246" s="129" t="s">
        <v>76</v>
      </c>
      <c r="BN1246" s="129" t="s">
        <v>566</v>
      </c>
      <c r="BP1246" s="137" t="s">
        <v>1057</v>
      </c>
      <c r="BQ1246" s="128" t="str">
        <f t="shared" si="910"/>
        <v>Y</v>
      </c>
      <c r="BR1246" s="129" t="s">
        <v>574</v>
      </c>
      <c r="BS1246" s="129" t="str">
        <f t="shared" si="912"/>
        <v>DISPOSED</v>
      </c>
      <c r="BT1246" s="129" t="str">
        <f t="shared" si="913"/>
        <v>Y</v>
      </c>
      <c r="BU1246" s="109">
        <f>IFERROR(Q1246/R1246,BR1246)</f>
        <v>0.67906976744186043</v>
      </c>
      <c r="BV1246" s="109">
        <f t="shared" si="915"/>
        <v>0.37965260545905705</v>
      </c>
      <c r="BW1246" s="109">
        <f t="shared" si="936"/>
        <v>-0.29941716198280338</v>
      </c>
      <c r="BX1246" s="111">
        <f t="shared" si="916"/>
        <v>0</v>
      </c>
      <c r="BY1246" s="129">
        <f t="shared" si="917"/>
        <v>-153</v>
      </c>
      <c r="BZ1246" s="111">
        <f t="shared" si="918"/>
        <v>139</v>
      </c>
      <c r="CA1246" s="138">
        <f t="shared" si="919"/>
        <v>403</v>
      </c>
      <c r="CB1246" s="111">
        <v>292</v>
      </c>
      <c r="CC1246" s="129">
        <f t="shared" si="937"/>
        <v>403</v>
      </c>
      <c r="CD1246" s="129">
        <f t="shared" si="938"/>
        <v>250</v>
      </c>
      <c r="CE1246" s="129">
        <f t="shared" si="920"/>
        <v>250</v>
      </c>
      <c r="CG1246" s="129" t="str">
        <f t="shared" si="921"/>
        <v>Y</v>
      </c>
      <c r="CI1246" s="129" t="str">
        <f t="shared" si="922"/>
        <v>121-365 DAYS</v>
      </c>
      <c r="CJ1246" s="137">
        <f t="shared" si="923"/>
        <v>6</v>
      </c>
      <c r="CK1246" s="129" t="str">
        <f t="shared" si="924"/>
        <v>Booked</v>
      </c>
    </row>
    <row r="1247" spans="1:89" ht="15.75" customHeight="1" x14ac:dyDescent="0.25">
      <c r="A1247" s="111">
        <v>2452</v>
      </c>
      <c r="B1247" s="128" t="str">
        <f t="shared" si="904"/>
        <v>N</v>
      </c>
      <c r="C1247" s="128" t="str">
        <f t="shared" si="905"/>
        <v>N</v>
      </c>
      <c r="D1247" s="117">
        <v>1893414</v>
      </c>
      <c r="E1247" s="135">
        <f t="shared" si="906"/>
        <v>2</v>
      </c>
      <c r="F1247" s="124">
        <v>41001</v>
      </c>
      <c r="G1247" s="125">
        <v>41079</v>
      </c>
      <c r="H1247" s="117">
        <v>1893414</v>
      </c>
      <c r="I1247" s="124">
        <v>41009</v>
      </c>
      <c r="J1247" s="124">
        <v>41009</v>
      </c>
      <c r="K1247" s="126">
        <v>2000</v>
      </c>
      <c r="L1247" s="127" t="s">
        <v>568</v>
      </c>
      <c r="M1247" s="124">
        <v>41009</v>
      </c>
      <c r="N1247" s="129" t="str">
        <f t="shared" si="939"/>
        <v>Y</v>
      </c>
      <c r="O1247" s="128" t="s">
        <v>585</v>
      </c>
      <c r="P1247" s="129" t="s">
        <v>589</v>
      </c>
      <c r="Q1247" s="111">
        <f t="shared" ref="Q1247:Q1284" si="940">BF1247</f>
        <v>1</v>
      </c>
      <c r="R1247" s="111">
        <f t="shared" si="931"/>
        <v>79</v>
      </c>
      <c r="S1247" s="129">
        <v>0</v>
      </c>
      <c r="T1247" s="129">
        <v>0</v>
      </c>
      <c r="W1247" s="111"/>
      <c r="AC1247" s="130"/>
      <c r="AD1247" s="130">
        <v>29661</v>
      </c>
      <c r="AE1247" s="128" t="s">
        <v>32</v>
      </c>
      <c r="AF1247" s="128" t="s">
        <v>138</v>
      </c>
      <c r="AG1247" s="128" t="s">
        <v>873</v>
      </c>
      <c r="AH1247" s="108" t="s">
        <v>58</v>
      </c>
      <c r="AI1247" s="128" t="s">
        <v>90</v>
      </c>
      <c r="AJ1247" s="129" t="s">
        <v>48</v>
      </c>
      <c r="AK1247" s="129">
        <v>6</v>
      </c>
      <c r="AL1247" s="3" t="s">
        <v>48</v>
      </c>
      <c r="AP1247" s="129" t="s">
        <v>127</v>
      </c>
      <c r="AR1247" s="128" t="s">
        <v>44</v>
      </c>
      <c r="AS1247" s="129" t="s">
        <v>82</v>
      </c>
      <c r="BC1247" s="129" t="s">
        <v>52</v>
      </c>
      <c r="BF1247" s="111">
        <f>IF(J1247&gt;1/1/1900,((J1247+1)-I1247),"STILL OPEN")</f>
        <v>1</v>
      </c>
      <c r="BG1247" s="111">
        <f t="shared" si="927"/>
        <v>71</v>
      </c>
      <c r="BH1247" s="111">
        <f t="shared" si="901"/>
        <v>79</v>
      </c>
      <c r="BI1247" s="111">
        <f t="shared" si="902"/>
        <v>30.983606557377048</v>
      </c>
      <c r="BJ1247" s="129">
        <f>(G1247-J1247)+(M1247-G1247)</f>
        <v>0</v>
      </c>
      <c r="BK1247" s="129">
        <f t="shared" si="903"/>
        <v>-70</v>
      </c>
      <c r="BL1247" s="129" t="str">
        <f t="shared" si="935"/>
        <v>DEFERRED</v>
      </c>
      <c r="BM1247" s="129" t="s">
        <v>76</v>
      </c>
      <c r="BN1247" s="129" t="s">
        <v>88</v>
      </c>
      <c r="BP1247" s="137" t="str">
        <f t="shared" si="909"/>
        <v>DEFERRED</v>
      </c>
      <c r="BQ1247" s="128" t="str">
        <f t="shared" si="910"/>
        <v>Y</v>
      </c>
      <c r="BR1247" s="129" t="str">
        <f t="shared" si="911"/>
        <v>ON BOND</v>
      </c>
      <c r="BS1247" s="129" t="str">
        <f t="shared" si="912"/>
        <v>DISPOSED</v>
      </c>
      <c r="BT1247" s="129" t="str">
        <f t="shared" si="913"/>
        <v>N</v>
      </c>
      <c r="BU1247" s="109">
        <f t="shared" si="914"/>
        <v>1.2658227848101266E-2</v>
      </c>
      <c r="BV1247" s="109">
        <f t="shared" si="915"/>
        <v>1.4084507042253521E-2</v>
      </c>
      <c r="BW1247" s="109">
        <f t="shared" si="936"/>
        <v>1.4262791941522558E-3</v>
      </c>
      <c r="BX1247" s="111">
        <f t="shared" si="916"/>
        <v>0</v>
      </c>
      <c r="BY1247" s="129">
        <f t="shared" si="917"/>
        <v>-1</v>
      </c>
      <c r="BZ1247" s="111">
        <f t="shared" si="918"/>
        <v>0</v>
      </c>
      <c r="CA1247" s="138">
        <f t="shared" si="919"/>
        <v>1</v>
      </c>
      <c r="CB1247" s="111" t="e">
        <f>IF(AF1247&gt;1/1/1900,((AF1247+1)-AE1247),"STILL OPEN")</f>
        <v>#VALUE!</v>
      </c>
      <c r="CC1247" s="129">
        <f>M1247-I1247+1</f>
        <v>1</v>
      </c>
      <c r="CD1247" s="111">
        <f>CC1247-BF1247</f>
        <v>0</v>
      </c>
      <c r="CE1247" s="129">
        <f t="shared" si="920"/>
        <v>70</v>
      </c>
      <c r="CG1247" s="129" t="str">
        <f t="shared" si="921"/>
        <v>N</v>
      </c>
      <c r="CI1247" s="129" t="str">
        <f t="shared" si="922"/>
        <v>0-10 DAYS</v>
      </c>
      <c r="CJ1247" s="137">
        <f t="shared" si="923"/>
        <v>1</v>
      </c>
      <c r="CK1247" s="129" t="str">
        <f t="shared" si="924"/>
        <v>Booked</v>
      </c>
    </row>
    <row r="1248" spans="1:89" ht="15.75" customHeight="1" x14ac:dyDescent="0.25">
      <c r="A1248" s="111">
        <v>1668</v>
      </c>
      <c r="B1248" s="128" t="str">
        <f t="shared" si="904"/>
        <v>N</v>
      </c>
      <c r="C1248" s="128" t="str">
        <f t="shared" si="905"/>
        <v>Y</v>
      </c>
      <c r="D1248" s="117">
        <v>1893933</v>
      </c>
      <c r="E1248" s="135">
        <f t="shared" si="906"/>
        <v>5</v>
      </c>
      <c r="F1248" s="124">
        <v>40970</v>
      </c>
      <c r="G1248" s="125">
        <v>41109</v>
      </c>
      <c r="H1248" s="117">
        <v>1893933</v>
      </c>
      <c r="I1248" s="124">
        <v>40990</v>
      </c>
      <c r="J1248" s="124">
        <v>41109</v>
      </c>
      <c r="K1248" s="126">
        <v>15000</v>
      </c>
      <c r="L1248" s="127" t="s">
        <v>571</v>
      </c>
      <c r="M1248" s="125">
        <v>40975</v>
      </c>
      <c r="N1248" s="129" t="str">
        <f t="shared" si="939"/>
        <v>Y</v>
      </c>
      <c r="O1248" s="128" t="s">
        <v>76</v>
      </c>
      <c r="P1248" s="129" t="s">
        <v>39</v>
      </c>
      <c r="Q1248" s="111">
        <f t="shared" si="940"/>
        <v>120</v>
      </c>
      <c r="R1248" s="111">
        <f t="shared" si="931"/>
        <v>140</v>
      </c>
      <c r="S1248" s="129">
        <v>3</v>
      </c>
      <c r="T1248" s="129">
        <v>0</v>
      </c>
      <c r="U1248" s="129">
        <v>1</v>
      </c>
      <c r="W1248" s="111"/>
      <c r="AC1248" s="130"/>
      <c r="AD1248" s="130">
        <v>26543</v>
      </c>
      <c r="AE1248" s="128" t="s">
        <v>32</v>
      </c>
      <c r="AF1248" s="128" t="s">
        <v>69</v>
      </c>
      <c r="AG1248" s="128" t="s">
        <v>874</v>
      </c>
      <c r="AH1248" s="108" t="s">
        <v>58</v>
      </c>
      <c r="AI1248" s="128" t="s">
        <v>72</v>
      </c>
      <c r="AJ1248" s="129" t="s">
        <v>89</v>
      </c>
      <c r="AK1248" s="129">
        <v>7</v>
      </c>
      <c r="AL1248" s="3" t="s">
        <v>992</v>
      </c>
      <c r="AN1248" s="117">
        <v>12</v>
      </c>
      <c r="AP1248" s="129" t="s">
        <v>142</v>
      </c>
      <c r="AR1248" s="128" t="s">
        <v>44</v>
      </c>
      <c r="AS1248" s="129" t="s">
        <v>64</v>
      </c>
      <c r="AV1248" s="3" t="s">
        <v>88</v>
      </c>
      <c r="AW1248" s="129" t="s">
        <v>733</v>
      </c>
      <c r="BA1248" s="125">
        <v>41031</v>
      </c>
      <c r="BB1248" s="129">
        <v>235</v>
      </c>
      <c r="BC1248" s="129" t="s">
        <v>38</v>
      </c>
      <c r="BF1248" s="111">
        <f>IF(J1248&gt;1/1/1900,((G1248+1)-I1248),"STILL OPEN")</f>
        <v>120</v>
      </c>
      <c r="BG1248" s="111">
        <f t="shared" si="927"/>
        <v>120</v>
      </c>
      <c r="BH1248" s="111">
        <f t="shared" si="901"/>
        <v>140</v>
      </c>
      <c r="BI1248" s="111">
        <f t="shared" si="902"/>
        <v>39.418032786885249</v>
      </c>
      <c r="BJ1248" s="129">
        <f>G1248-J1248</f>
        <v>0</v>
      </c>
      <c r="BK1248" s="129">
        <f t="shared" si="903"/>
        <v>0</v>
      </c>
      <c r="BL1248" s="129" t="str">
        <f t="shared" si="935"/>
        <v>CONVICTION</v>
      </c>
      <c r="BM1248" s="129" t="s">
        <v>76</v>
      </c>
      <c r="BN1248" s="129" t="s">
        <v>88</v>
      </c>
      <c r="BP1248" s="137" t="str">
        <f t="shared" si="909"/>
        <v>CONVICTION</v>
      </c>
      <c r="BQ1248" s="128" t="str">
        <f t="shared" si="910"/>
        <v>Y</v>
      </c>
      <c r="BR1248" s="129" t="s">
        <v>574</v>
      </c>
      <c r="BS1248" s="129" t="str">
        <f t="shared" si="912"/>
        <v>DISPOSED</v>
      </c>
      <c r="BT1248" s="129" t="str">
        <f t="shared" si="913"/>
        <v>Y</v>
      </c>
      <c r="BU1248" s="109">
        <f t="shared" si="914"/>
        <v>0.8571428571428571</v>
      </c>
      <c r="BV1248" s="109">
        <f t="shared" si="915"/>
        <v>1</v>
      </c>
      <c r="BW1248" s="109">
        <f t="shared" si="936"/>
        <v>0.1428571428571429</v>
      </c>
      <c r="BX1248" s="111">
        <f t="shared" si="916"/>
        <v>0</v>
      </c>
      <c r="BY1248" s="129">
        <f t="shared" si="917"/>
        <v>-120</v>
      </c>
      <c r="BZ1248" s="111">
        <f t="shared" si="918"/>
        <v>0</v>
      </c>
      <c r="CA1248" s="138">
        <f t="shared" si="919"/>
        <v>120</v>
      </c>
      <c r="CB1248" s="111" t="e">
        <f>IF(AF1248&gt;1/1/1900,((AF1248+1)-AE1248),"STILL OPEN")</f>
        <v>#VALUE!</v>
      </c>
      <c r="CC1248" s="129">
        <f>G1248-I1248+1</f>
        <v>120</v>
      </c>
      <c r="CD1248" s="129">
        <f>G1248-J1248</f>
        <v>0</v>
      </c>
      <c r="CE1248" s="129">
        <f t="shared" si="920"/>
        <v>0</v>
      </c>
      <c r="CG1248" s="129" t="str">
        <f t="shared" si="921"/>
        <v>Y</v>
      </c>
      <c r="CI1248" s="129" t="str">
        <f t="shared" si="922"/>
        <v>91-120 DAYS</v>
      </c>
      <c r="CJ1248" s="137">
        <f t="shared" si="923"/>
        <v>0</v>
      </c>
      <c r="CK1248" s="129" t="str">
        <f t="shared" si="924"/>
        <v>Booked</v>
      </c>
    </row>
    <row r="1249" spans="1:89" ht="15" customHeight="1" x14ac:dyDescent="0.25">
      <c r="A1249" s="111">
        <v>464</v>
      </c>
      <c r="B1249" s="128" t="str">
        <f t="shared" si="904"/>
        <v>N</v>
      </c>
      <c r="C1249" s="128" t="str">
        <f t="shared" si="905"/>
        <v>N</v>
      </c>
      <c r="D1249" s="117">
        <v>1896243</v>
      </c>
      <c r="E1249" s="135">
        <f t="shared" si="906"/>
        <v>1</v>
      </c>
      <c r="F1249" s="124">
        <v>40927</v>
      </c>
      <c r="G1249" s="125">
        <v>41022</v>
      </c>
      <c r="H1249" s="117">
        <v>1896243</v>
      </c>
      <c r="I1249" s="124">
        <v>40928</v>
      </c>
      <c r="J1249" s="124">
        <v>40936</v>
      </c>
      <c r="K1249" s="126">
        <v>30000</v>
      </c>
      <c r="L1249" s="129" t="s">
        <v>572</v>
      </c>
      <c r="M1249" s="125">
        <v>40936</v>
      </c>
      <c r="N1249" s="129" t="str">
        <f t="shared" si="939"/>
        <v>Y</v>
      </c>
      <c r="O1249" s="128" t="s">
        <v>76</v>
      </c>
      <c r="P1249" s="129" t="s">
        <v>123</v>
      </c>
      <c r="Q1249" s="111">
        <f t="shared" si="940"/>
        <v>9</v>
      </c>
      <c r="R1249" s="111">
        <f t="shared" si="931"/>
        <v>96</v>
      </c>
      <c r="S1249" s="129">
        <v>3</v>
      </c>
      <c r="T1249" s="129">
        <v>1</v>
      </c>
      <c r="U1249" s="129">
        <v>2</v>
      </c>
      <c r="W1249" s="111"/>
      <c r="AC1249" s="130"/>
      <c r="AD1249" s="130">
        <v>30684</v>
      </c>
      <c r="AE1249" s="128" t="s">
        <v>32</v>
      </c>
      <c r="AF1249" s="128" t="s">
        <v>33</v>
      </c>
      <c r="AG1249" s="128" t="s">
        <v>872</v>
      </c>
      <c r="AH1249" s="108" t="s">
        <v>58</v>
      </c>
      <c r="AI1249" s="128" t="s">
        <v>95</v>
      </c>
      <c r="AJ1249" s="129" t="s">
        <v>123</v>
      </c>
      <c r="AK1249" s="129">
        <v>5</v>
      </c>
      <c r="AL1249" s="3" t="s">
        <v>123</v>
      </c>
      <c r="AP1249" s="129" t="s">
        <v>209</v>
      </c>
      <c r="AR1249" s="128" t="s">
        <v>92</v>
      </c>
      <c r="AS1249" s="129" t="s">
        <v>106</v>
      </c>
      <c r="BC1249" s="129" t="s">
        <v>52</v>
      </c>
      <c r="BF1249" s="111">
        <f>IF(J1249&gt;1/1/1900,((J1249+1)-I1249),"STILL OPEN")</f>
        <v>9</v>
      </c>
      <c r="BG1249" s="111">
        <f t="shared" si="927"/>
        <v>95</v>
      </c>
      <c r="BH1249" s="111">
        <f t="shared" si="901"/>
        <v>96</v>
      </c>
      <c r="BI1249" s="111">
        <f t="shared" si="902"/>
        <v>27.986338797814209</v>
      </c>
      <c r="BJ1249" s="129">
        <f>(G1249-J1249)+(M1249-G1249)</f>
        <v>0</v>
      </c>
      <c r="BK1249" s="129">
        <f t="shared" si="903"/>
        <v>-86</v>
      </c>
      <c r="BL1249" s="129" t="str">
        <f t="shared" si="935"/>
        <v>NO CONVICTION</v>
      </c>
      <c r="BM1249" s="129" t="s">
        <v>76</v>
      </c>
      <c r="BN1249" s="129" t="s">
        <v>88</v>
      </c>
      <c r="BP1249" s="137" t="str">
        <f t="shared" si="909"/>
        <v>NO CONVICTION</v>
      </c>
      <c r="BQ1249" s="128" t="str">
        <f t="shared" si="910"/>
        <v>Y</v>
      </c>
      <c r="BR1249" s="129" t="str">
        <f t="shared" si="911"/>
        <v>ON BOND</v>
      </c>
      <c r="BS1249" s="129" t="str">
        <f t="shared" si="912"/>
        <v>DISPOSED</v>
      </c>
      <c r="BT1249" s="129" t="str">
        <f t="shared" si="913"/>
        <v>Y</v>
      </c>
      <c r="BU1249" s="109">
        <f>IFERROR(Q1249/R1249,BR1249)</f>
        <v>9.375E-2</v>
      </c>
      <c r="BV1249" s="109">
        <f t="shared" si="915"/>
        <v>9.4736842105263161E-2</v>
      </c>
      <c r="BW1249" s="109">
        <f t="shared" si="936"/>
        <v>9.8684210526316096E-4</v>
      </c>
      <c r="BX1249" s="111">
        <f t="shared" si="916"/>
        <v>0</v>
      </c>
      <c r="BY1249" s="129">
        <f t="shared" si="917"/>
        <v>-9</v>
      </c>
      <c r="BZ1249" s="111">
        <f t="shared" si="918"/>
        <v>0</v>
      </c>
      <c r="CA1249" s="138">
        <f t="shared" si="919"/>
        <v>9</v>
      </c>
      <c r="CB1249" s="111" t="e">
        <f>IF(AF1249&gt;1/1/1900,((AF1249+1)-AE1249),"STILL OPEN")</f>
        <v>#VALUE!</v>
      </c>
      <c r="CC1249" s="129">
        <f>M1249-I1249+1</f>
        <v>9</v>
      </c>
      <c r="CD1249" s="111">
        <f>CC1249-BF1249</f>
        <v>0</v>
      </c>
      <c r="CE1249" s="129">
        <f t="shared" si="920"/>
        <v>86</v>
      </c>
      <c r="CG1249" s="129" t="str">
        <f t="shared" si="921"/>
        <v>Y</v>
      </c>
      <c r="CI1249" s="129" t="str">
        <f t="shared" si="922"/>
        <v>0-10 DAYS</v>
      </c>
      <c r="CJ1249" s="137">
        <f t="shared" si="923"/>
        <v>1</v>
      </c>
      <c r="CK1249" s="129" t="str">
        <f t="shared" si="924"/>
        <v>Booked</v>
      </c>
    </row>
    <row r="1250" spans="1:89" ht="15.75" customHeight="1" x14ac:dyDescent="0.25">
      <c r="A1250" s="111">
        <v>2226</v>
      </c>
      <c r="B1250" s="128" t="str">
        <f t="shared" si="904"/>
        <v>N</v>
      </c>
      <c r="C1250" s="128" t="str">
        <f t="shared" si="905"/>
        <v>N</v>
      </c>
      <c r="D1250" s="117">
        <v>1896630</v>
      </c>
      <c r="E1250" s="135">
        <f t="shared" si="906"/>
        <v>2</v>
      </c>
      <c r="F1250" s="124">
        <v>40992</v>
      </c>
      <c r="G1250" s="125">
        <v>41023</v>
      </c>
      <c r="H1250" s="117">
        <v>1896630</v>
      </c>
      <c r="I1250" s="124">
        <v>40993</v>
      </c>
      <c r="J1250" s="124">
        <v>40993</v>
      </c>
      <c r="K1250" s="126">
        <v>20000</v>
      </c>
      <c r="L1250" s="127" t="s">
        <v>571</v>
      </c>
      <c r="M1250" s="125">
        <v>40993</v>
      </c>
      <c r="N1250" s="129" t="str">
        <f t="shared" si="939"/>
        <v>Y</v>
      </c>
      <c r="O1250" s="128" t="s">
        <v>76</v>
      </c>
      <c r="P1250" s="129" t="s">
        <v>589</v>
      </c>
      <c r="Q1250" s="111">
        <f t="shared" si="940"/>
        <v>1</v>
      </c>
      <c r="R1250" s="111">
        <f t="shared" si="931"/>
        <v>32</v>
      </c>
      <c r="S1250" s="129">
        <v>0</v>
      </c>
      <c r="T1250" s="129">
        <v>2</v>
      </c>
      <c r="W1250" s="111"/>
      <c r="AB1250" s="131" t="s">
        <v>112</v>
      </c>
      <c r="AC1250" s="130"/>
      <c r="AD1250" s="130">
        <v>30889</v>
      </c>
      <c r="AE1250" s="128" t="s">
        <v>32</v>
      </c>
      <c r="AF1250" s="128" t="s">
        <v>40</v>
      </c>
      <c r="AG1250" s="128" t="s">
        <v>41</v>
      </c>
      <c r="AH1250" s="108" t="s">
        <v>31</v>
      </c>
      <c r="AI1250" s="128" t="s">
        <v>42</v>
      </c>
      <c r="AJ1250" s="129" t="s">
        <v>48</v>
      </c>
      <c r="AK1250" s="129">
        <v>2</v>
      </c>
      <c r="AL1250" s="3" t="s">
        <v>48</v>
      </c>
      <c r="AP1250" s="129" t="s">
        <v>93</v>
      </c>
      <c r="AR1250" s="128" t="s">
        <v>67</v>
      </c>
      <c r="AS1250" s="129" t="s">
        <v>45</v>
      </c>
      <c r="BC1250" s="129" t="s">
        <v>52</v>
      </c>
      <c r="BF1250" s="111">
        <f>IF(J1250&gt;1/1/1900,((J1250+1)-I1250),"STILL OPEN")</f>
        <v>1</v>
      </c>
      <c r="BG1250" s="111">
        <f t="shared" si="927"/>
        <v>31</v>
      </c>
      <c r="BH1250" s="111">
        <f t="shared" si="901"/>
        <v>32</v>
      </c>
      <c r="BI1250" s="111">
        <f t="shared" si="902"/>
        <v>27.603825136612024</v>
      </c>
      <c r="BJ1250" s="129">
        <f>(G1250-J1250)+(M1250-G1250)</f>
        <v>0</v>
      </c>
      <c r="BK1250" s="129">
        <f t="shared" si="903"/>
        <v>-30</v>
      </c>
      <c r="BL1250" s="129" t="str">
        <f t="shared" si="935"/>
        <v>DEFERRED</v>
      </c>
      <c r="BM1250" s="129" t="s">
        <v>76</v>
      </c>
      <c r="BN1250" s="129" t="s">
        <v>88</v>
      </c>
      <c r="BP1250" s="137" t="str">
        <f t="shared" si="909"/>
        <v>DEFERRED</v>
      </c>
      <c r="BQ1250" s="128" t="str">
        <f t="shared" si="910"/>
        <v>Y</v>
      </c>
      <c r="BR1250" s="129" t="str">
        <f t="shared" si="911"/>
        <v>ON BOND</v>
      </c>
      <c r="BS1250" s="129" t="str">
        <f t="shared" si="912"/>
        <v>DISPOSED</v>
      </c>
      <c r="BT1250" s="129" t="str">
        <f t="shared" si="913"/>
        <v>N</v>
      </c>
      <c r="BU1250" s="109">
        <f t="shared" si="914"/>
        <v>3.125E-2</v>
      </c>
      <c r="BV1250" s="109">
        <f t="shared" si="915"/>
        <v>3.2258064516129031E-2</v>
      </c>
      <c r="BW1250" s="109">
        <f t="shared" si="936"/>
        <v>1.0080645161290314E-3</v>
      </c>
      <c r="BX1250" s="111">
        <f t="shared" si="916"/>
        <v>0</v>
      </c>
      <c r="BY1250" s="129">
        <f t="shared" si="917"/>
        <v>-1</v>
      </c>
      <c r="BZ1250" s="111">
        <f t="shared" si="918"/>
        <v>0</v>
      </c>
      <c r="CA1250" s="138">
        <f t="shared" si="919"/>
        <v>1</v>
      </c>
      <c r="CB1250" s="111" t="e">
        <f>IF(AF1250&gt;1/1/1900,((AF1250+1)-AE1250),"STILL OPEN")</f>
        <v>#VALUE!</v>
      </c>
      <c r="CC1250" s="129">
        <f>M1250-I1250+1</f>
        <v>1</v>
      </c>
      <c r="CD1250" s="111">
        <f>CC1250-BF1250</f>
        <v>0</v>
      </c>
      <c r="CE1250" s="129">
        <f t="shared" si="920"/>
        <v>30</v>
      </c>
      <c r="CG1250" s="129" t="str">
        <f t="shared" si="921"/>
        <v>Y</v>
      </c>
      <c r="CI1250" s="129" t="str">
        <f t="shared" si="922"/>
        <v>0-10 DAYS</v>
      </c>
      <c r="CJ1250" s="137">
        <f t="shared" si="923"/>
        <v>1</v>
      </c>
      <c r="CK1250" s="129" t="str">
        <f t="shared" si="924"/>
        <v>Booked</v>
      </c>
    </row>
    <row r="1251" spans="1:89" ht="15" customHeight="1" x14ac:dyDescent="0.25">
      <c r="A1251" s="111">
        <v>1940</v>
      </c>
      <c r="B1251" s="128" t="str">
        <f t="shared" si="904"/>
        <v>N</v>
      </c>
      <c r="C1251" s="128" t="str">
        <f t="shared" si="905"/>
        <v>Y</v>
      </c>
      <c r="D1251" s="117">
        <v>1897986</v>
      </c>
      <c r="E1251" s="135">
        <f t="shared" si="906"/>
        <v>6</v>
      </c>
      <c r="F1251" s="124">
        <v>40981</v>
      </c>
      <c r="G1251" s="125">
        <v>41143</v>
      </c>
      <c r="H1251" s="117">
        <v>1897986</v>
      </c>
      <c r="I1251" s="124">
        <v>40982</v>
      </c>
      <c r="J1251" s="124">
        <v>40994</v>
      </c>
      <c r="K1251" s="126">
        <v>10000</v>
      </c>
      <c r="L1251" s="127" t="s">
        <v>570</v>
      </c>
      <c r="M1251" s="125">
        <v>40994</v>
      </c>
      <c r="N1251" s="129" t="str">
        <f t="shared" si="939"/>
        <v>Y</v>
      </c>
      <c r="O1251" s="128" t="s">
        <v>585</v>
      </c>
      <c r="P1251" s="129" t="s">
        <v>39</v>
      </c>
      <c r="Q1251" s="111">
        <v>110</v>
      </c>
      <c r="R1251" s="111">
        <f t="shared" si="931"/>
        <v>163</v>
      </c>
      <c r="S1251" s="129">
        <v>3</v>
      </c>
      <c r="T1251" s="129">
        <v>4</v>
      </c>
      <c r="W1251" s="111"/>
      <c r="AC1251" s="130"/>
      <c r="AD1251" s="130">
        <v>29430</v>
      </c>
      <c r="AE1251" s="128" t="s">
        <v>46</v>
      </c>
      <c r="AF1251" s="128" t="s">
        <v>33</v>
      </c>
      <c r="AG1251" s="128" t="s">
        <v>872</v>
      </c>
      <c r="AH1251" s="108" t="s">
        <v>58</v>
      </c>
      <c r="AI1251" s="128" t="s">
        <v>42</v>
      </c>
      <c r="AJ1251" s="129" t="s">
        <v>89</v>
      </c>
      <c r="AK1251" s="129">
        <v>7</v>
      </c>
      <c r="AL1251" s="3" t="s">
        <v>362</v>
      </c>
      <c r="AM1251" s="117">
        <v>2</v>
      </c>
      <c r="AP1251" s="129" t="s">
        <v>93</v>
      </c>
      <c r="AR1251" s="128" t="s">
        <v>67</v>
      </c>
      <c r="AS1251" s="129" t="s">
        <v>45</v>
      </c>
      <c r="AU1251" s="3" t="s">
        <v>749</v>
      </c>
      <c r="AX1251" s="32" t="s">
        <v>88</v>
      </c>
      <c r="BC1251" s="129" t="s">
        <v>52</v>
      </c>
      <c r="BF1251" s="111">
        <v>110</v>
      </c>
      <c r="BG1251" s="111">
        <f t="shared" si="927"/>
        <v>162</v>
      </c>
      <c r="BH1251" s="111">
        <f t="shared" si="901"/>
        <v>163</v>
      </c>
      <c r="BI1251" s="111">
        <f t="shared" si="902"/>
        <v>31.560109289617486</v>
      </c>
      <c r="BJ1251" s="129">
        <f>(G1251-J1251)+(M1251-G1251)</f>
        <v>0</v>
      </c>
      <c r="BK1251" s="129">
        <f t="shared" si="903"/>
        <v>-149</v>
      </c>
      <c r="BL1251" s="129" t="str">
        <f t="shared" si="935"/>
        <v>CONVICTION</v>
      </c>
      <c r="BM1251" s="129" t="s">
        <v>76</v>
      </c>
      <c r="BN1251" s="129" t="s">
        <v>88</v>
      </c>
      <c r="BP1251" s="137" t="str">
        <f t="shared" si="909"/>
        <v>CONVICTION</v>
      </c>
      <c r="BQ1251" s="128" t="str">
        <f t="shared" si="910"/>
        <v>Y</v>
      </c>
      <c r="BR1251" s="129" t="s">
        <v>574</v>
      </c>
      <c r="BS1251" s="129" t="str">
        <f t="shared" si="912"/>
        <v>DISPOSED</v>
      </c>
      <c r="BT1251" s="129" t="str">
        <f t="shared" si="913"/>
        <v>Y</v>
      </c>
      <c r="BU1251" s="109">
        <f t="shared" si="914"/>
        <v>0.67484662576687116</v>
      </c>
      <c r="BV1251" s="109">
        <f t="shared" si="915"/>
        <v>8.0246913580246909E-2</v>
      </c>
      <c r="BW1251" s="109">
        <f t="shared" si="936"/>
        <v>-0.59459971218662422</v>
      </c>
      <c r="BX1251" s="111">
        <f t="shared" si="916"/>
        <v>0</v>
      </c>
      <c r="BY1251" s="129">
        <f t="shared" si="917"/>
        <v>-13</v>
      </c>
      <c r="BZ1251" s="111">
        <f t="shared" si="918"/>
        <v>97</v>
      </c>
      <c r="CA1251" s="138">
        <f t="shared" si="919"/>
        <v>162</v>
      </c>
      <c r="CB1251" s="111">
        <v>110</v>
      </c>
      <c r="CC1251" s="129">
        <f>G1251-I1251+1</f>
        <v>162</v>
      </c>
      <c r="CD1251" s="129">
        <f>G1251-J1251</f>
        <v>149</v>
      </c>
      <c r="CE1251" s="129">
        <f t="shared" si="920"/>
        <v>149</v>
      </c>
      <c r="CG1251" s="129" t="str">
        <f t="shared" si="921"/>
        <v>Y</v>
      </c>
      <c r="CI1251" s="129" t="str">
        <f t="shared" si="922"/>
        <v>91-120 DAYS</v>
      </c>
      <c r="CJ1251" s="137">
        <f t="shared" si="923"/>
        <v>0</v>
      </c>
      <c r="CK1251" s="129" t="str">
        <f t="shared" si="924"/>
        <v>Booked</v>
      </c>
    </row>
    <row r="1252" spans="1:89" ht="15.75" customHeight="1" x14ac:dyDescent="0.25">
      <c r="A1252" s="111">
        <v>2352</v>
      </c>
      <c r="B1252" s="128" t="str">
        <f t="shared" si="904"/>
        <v>N</v>
      </c>
      <c r="C1252" s="128" t="str">
        <f t="shared" si="905"/>
        <v>N</v>
      </c>
      <c r="D1252" s="117">
        <v>1898102</v>
      </c>
      <c r="E1252" s="135">
        <f t="shared" si="906"/>
        <v>5</v>
      </c>
      <c r="F1252" s="124">
        <v>40997</v>
      </c>
      <c r="G1252" s="125">
        <v>41109</v>
      </c>
      <c r="H1252" s="117">
        <v>1898102</v>
      </c>
      <c r="I1252" s="124" t="s">
        <v>562</v>
      </c>
      <c r="J1252" s="124" t="s">
        <v>562</v>
      </c>
      <c r="K1252" s="126">
        <v>2000</v>
      </c>
      <c r="L1252" s="127" t="s">
        <v>568</v>
      </c>
      <c r="M1252" s="125">
        <v>41038</v>
      </c>
      <c r="N1252" s="129" t="str">
        <f>IF(M1252&gt;1/1/1,"Y",IF(Q1252="0","","N"))</f>
        <v>Y</v>
      </c>
      <c r="O1252" s="128" t="s">
        <v>76</v>
      </c>
      <c r="P1252" s="129" t="s">
        <v>39</v>
      </c>
      <c r="Q1252" s="111">
        <f t="shared" si="940"/>
        <v>0</v>
      </c>
      <c r="R1252" s="111">
        <f t="shared" si="931"/>
        <v>113</v>
      </c>
      <c r="S1252" s="129">
        <v>1</v>
      </c>
      <c r="T1252" s="129">
        <v>3</v>
      </c>
      <c r="W1252" s="111"/>
      <c r="AC1252" s="130"/>
      <c r="AD1252" s="130">
        <v>29234</v>
      </c>
      <c r="AE1252" s="128" t="s">
        <v>46</v>
      </c>
      <c r="AF1252" s="128" t="s">
        <v>33</v>
      </c>
      <c r="AG1252" s="128" t="s">
        <v>872</v>
      </c>
      <c r="AH1252" s="108" t="s">
        <v>31</v>
      </c>
      <c r="AI1252" s="128" t="s">
        <v>90</v>
      </c>
      <c r="AJ1252" s="129" t="s">
        <v>89</v>
      </c>
      <c r="AK1252" s="129">
        <v>7</v>
      </c>
      <c r="AL1252" s="3" t="s">
        <v>992</v>
      </c>
      <c r="AN1252" s="117">
        <v>9</v>
      </c>
      <c r="AP1252" s="129" t="s">
        <v>60</v>
      </c>
      <c r="AR1252" s="128" t="s">
        <v>44</v>
      </c>
      <c r="AS1252" s="129" t="s">
        <v>61</v>
      </c>
      <c r="AT1252" s="3" t="s">
        <v>846</v>
      </c>
      <c r="AU1252" s="129"/>
      <c r="BC1252" s="129" t="s">
        <v>52</v>
      </c>
      <c r="BF1252" s="111">
        <v>0</v>
      </c>
      <c r="BG1252" s="111">
        <v>0</v>
      </c>
      <c r="BH1252" s="111">
        <f t="shared" si="901"/>
        <v>113</v>
      </c>
      <c r="BI1252" s="111">
        <f t="shared" si="902"/>
        <v>32.139344262295083</v>
      </c>
      <c r="BJ1252" s="129" t="e">
        <f>(G1252-J1252)+(M1252-G1252)</f>
        <v>#VALUE!</v>
      </c>
      <c r="BK1252" s="129" t="e">
        <f t="shared" si="903"/>
        <v>#VALUE!</v>
      </c>
      <c r="BL1252" s="129" t="str">
        <f t="shared" si="935"/>
        <v>CONVICTION</v>
      </c>
      <c r="BM1252" s="129" t="s">
        <v>76</v>
      </c>
      <c r="BN1252" s="129" t="s">
        <v>88</v>
      </c>
      <c r="BP1252" s="137" t="str">
        <f t="shared" si="909"/>
        <v>CONVICTION</v>
      </c>
      <c r="BQ1252" s="128">
        <f t="shared" si="910"/>
        <v>0</v>
      </c>
      <c r="BR1252" s="129" t="s">
        <v>575</v>
      </c>
      <c r="BS1252" s="129" t="str">
        <f t="shared" si="912"/>
        <v>DISPOSED</v>
      </c>
      <c r="BT1252" s="129" t="str">
        <f t="shared" si="913"/>
        <v>Y</v>
      </c>
      <c r="BU1252" s="109">
        <f t="shared" si="914"/>
        <v>0</v>
      </c>
      <c r="BV1252" s="109">
        <v>0</v>
      </c>
      <c r="BW1252" s="109">
        <f t="shared" si="936"/>
        <v>0</v>
      </c>
      <c r="BX1252" s="111">
        <f t="shared" si="916"/>
        <v>0</v>
      </c>
      <c r="BY1252" s="129" t="e">
        <f t="shared" si="917"/>
        <v>#VALUE!</v>
      </c>
      <c r="BZ1252" s="111" t="e">
        <f t="shared" si="918"/>
        <v>#VALUE!</v>
      </c>
      <c r="CA1252" s="138" t="e">
        <f t="shared" si="919"/>
        <v>#VALUE!</v>
      </c>
      <c r="CB1252" s="111">
        <v>0</v>
      </c>
      <c r="CD1252" s="129" t="e">
        <f>G1252-J1252</f>
        <v>#VALUE!</v>
      </c>
      <c r="CE1252" s="129" t="e">
        <f t="shared" si="920"/>
        <v>#VALUE!</v>
      </c>
      <c r="CG1252" s="129" t="str">
        <f t="shared" si="921"/>
        <v>Y</v>
      </c>
      <c r="CI1252" s="129" t="str">
        <f t="shared" si="922"/>
        <v>0-10 DAYS</v>
      </c>
      <c r="CJ1252" s="137">
        <f t="shared" si="923"/>
        <v>1</v>
      </c>
      <c r="CK1252" s="129" t="str">
        <f t="shared" si="924"/>
        <v>Not Booked</v>
      </c>
    </row>
    <row r="1253" spans="1:89" ht="15.75" customHeight="1" x14ac:dyDescent="0.25">
      <c r="A1253" s="111">
        <v>505</v>
      </c>
      <c r="B1253" s="128" t="str">
        <f t="shared" si="904"/>
        <v>N</v>
      </c>
      <c r="C1253" s="128" t="str">
        <f t="shared" si="905"/>
        <v>N</v>
      </c>
      <c r="D1253" s="117">
        <v>1899332</v>
      </c>
      <c r="E1253" s="135">
        <f t="shared" si="906"/>
        <v>2</v>
      </c>
      <c r="F1253" s="124">
        <v>40929</v>
      </c>
      <c r="G1253" s="125">
        <v>41037</v>
      </c>
      <c r="H1253" s="117">
        <v>1899332</v>
      </c>
      <c r="I1253" s="124">
        <v>40929</v>
      </c>
      <c r="J1253" s="124">
        <v>40930</v>
      </c>
      <c r="K1253" s="126">
        <v>5000</v>
      </c>
      <c r="L1253" s="127" t="s">
        <v>569</v>
      </c>
      <c r="M1253" s="125">
        <v>40930</v>
      </c>
      <c r="N1253" s="129" t="str">
        <f>IF(M1253&gt;1/1/1,"Y","N")</f>
        <v>Y</v>
      </c>
      <c r="O1253" s="128" t="s">
        <v>76</v>
      </c>
      <c r="P1253" s="129" t="s">
        <v>589</v>
      </c>
      <c r="Q1253" s="111">
        <f t="shared" si="940"/>
        <v>2</v>
      </c>
      <c r="R1253" s="111">
        <f t="shared" si="931"/>
        <v>109</v>
      </c>
      <c r="S1253" s="129">
        <v>0</v>
      </c>
      <c r="T1253" s="129">
        <v>2</v>
      </c>
      <c r="W1253" s="111"/>
      <c r="AB1253" s="131" t="s">
        <v>112</v>
      </c>
      <c r="AC1253" s="130"/>
      <c r="AD1253" s="130">
        <v>30237</v>
      </c>
      <c r="AE1253" s="128" t="s">
        <v>32</v>
      </c>
      <c r="AF1253" s="128" t="s">
        <v>40</v>
      </c>
      <c r="AG1253" s="128" t="s">
        <v>41</v>
      </c>
      <c r="AH1253" s="108" t="s">
        <v>31</v>
      </c>
      <c r="AI1253" s="128" t="s">
        <v>97</v>
      </c>
      <c r="AJ1253" s="129" t="s">
        <v>48</v>
      </c>
      <c r="AK1253" s="129">
        <v>5</v>
      </c>
      <c r="AL1253" s="3" t="s">
        <v>48</v>
      </c>
      <c r="AP1253" s="129" t="s">
        <v>43</v>
      </c>
      <c r="AR1253" s="128" t="s">
        <v>44</v>
      </c>
      <c r="AS1253" s="129" t="s">
        <v>45</v>
      </c>
      <c r="BC1253" s="129" t="s">
        <v>52</v>
      </c>
      <c r="BF1253" s="111">
        <f t="shared" ref="BF1253:BF1284" si="941">IF(J1253&gt;1/1/1900,((J1253+1)-I1253),"STILL OPEN")</f>
        <v>2</v>
      </c>
      <c r="BG1253" s="111">
        <f t="shared" ref="BG1253:BG1298" si="942">IF(G1253&gt;1/1/1900,((G1253+1)-I1253),"STILL OPEN")</f>
        <v>109</v>
      </c>
      <c r="BH1253" s="111">
        <f t="shared" si="901"/>
        <v>109</v>
      </c>
      <c r="BI1253" s="111">
        <f t="shared" si="902"/>
        <v>29.21311475409836</v>
      </c>
      <c r="BJ1253" s="129">
        <f>(G1253-J1253)+(M1253-G1253)</f>
        <v>0</v>
      </c>
      <c r="BK1253" s="129">
        <f t="shared" si="903"/>
        <v>-107</v>
      </c>
      <c r="BL1253" s="129" t="str">
        <f t="shared" si="935"/>
        <v>DEFERRED</v>
      </c>
      <c r="BM1253" s="129" t="s">
        <v>76</v>
      </c>
      <c r="BN1253" s="129" t="s">
        <v>88</v>
      </c>
      <c r="BP1253" s="137" t="str">
        <f t="shared" si="909"/>
        <v>DEFERRED</v>
      </c>
      <c r="BQ1253" s="128" t="str">
        <f t="shared" si="910"/>
        <v>Y</v>
      </c>
      <c r="BR1253" s="129" t="str">
        <f t="shared" si="911"/>
        <v>ON BOND</v>
      </c>
      <c r="BS1253" s="129" t="str">
        <f t="shared" si="912"/>
        <v>DISPOSED</v>
      </c>
      <c r="BT1253" s="129" t="str">
        <f t="shared" si="913"/>
        <v>N</v>
      </c>
      <c r="BU1253" s="109">
        <f t="shared" si="914"/>
        <v>1.834862385321101E-2</v>
      </c>
      <c r="BV1253" s="109">
        <f t="shared" si="915"/>
        <v>1.834862385321101E-2</v>
      </c>
      <c r="BW1253" s="109">
        <f t="shared" si="936"/>
        <v>0</v>
      </c>
      <c r="BX1253" s="111">
        <f t="shared" si="916"/>
        <v>0</v>
      </c>
      <c r="BY1253" s="129">
        <f t="shared" si="917"/>
        <v>-2</v>
      </c>
      <c r="BZ1253" s="111">
        <f t="shared" si="918"/>
        <v>0</v>
      </c>
      <c r="CA1253" s="138">
        <f t="shared" si="919"/>
        <v>2</v>
      </c>
      <c r="CB1253" s="111" t="e">
        <f t="shared" ref="CB1253:CB1284" si="943">IF(AF1253&gt;1/1/1900,((AF1253+1)-AE1253),"STILL OPEN")</f>
        <v>#VALUE!</v>
      </c>
      <c r="CC1253" s="129">
        <f>M1253-I1253+1</f>
        <v>2</v>
      </c>
      <c r="CD1253" s="111">
        <f>CC1253-BF1253</f>
        <v>0</v>
      </c>
      <c r="CE1253" s="129">
        <f t="shared" si="920"/>
        <v>107</v>
      </c>
      <c r="CG1253" s="129" t="str">
        <f t="shared" si="921"/>
        <v>Y</v>
      </c>
      <c r="CI1253" s="129" t="str">
        <f t="shared" si="922"/>
        <v>0-10 DAYS</v>
      </c>
      <c r="CJ1253" s="137">
        <f t="shared" si="923"/>
        <v>1</v>
      </c>
      <c r="CK1253" s="129" t="str">
        <f t="shared" si="924"/>
        <v>Booked</v>
      </c>
    </row>
    <row r="1254" spans="1:89" ht="15.75" customHeight="1" x14ac:dyDescent="0.25">
      <c r="A1254" s="111">
        <v>2771</v>
      </c>
      <c r="B1254" s="128" t="str">
        <f t="shared" si="904"/>
        <v>N</v>
      </c>
      <c r="C1254" s="128" t="str">
        <f t="shared" si="905"/>
        <v>N</v>
      </c>
      <c r="D1254" s="117">
        <v>1900491</v>
      </c>
      <c r="E1254" s="135">
        <f t="shared" si="906"/>
        <v>2</v>
      </c>
      <c r="F1254" s="124">
        <v>41011</v>
      </c>
      <c r="G1254" s="125">
        <v>41015</v>
      </c>
      <c r="H1254" s="117">
        <v>1900491</v>
      </c>
      <c r="I1254" s="124">
        <v>41012</v>
      </c>
      <c r="J1254" s="124">
        <v>41015</v>
      </c>
      <c r="K1254" s="126">
        <v>15000</v>
      </c>
      <c r="L1254" s="127" t="s">
        <v>571</v>
      </c>
      <c r="N1254" s="129" t="str">
        <f>IF(M1254&gt;1/1/1,"Y","N")</f>
        <v>N</v>
      </c>
      <c r="O1254" s="128" t="s">
        <v>917</v>
      </c>
      <c r="P1254" s="129" t="s">
        <v>589</v>
      </c>
      <c r="Q1254" s="111">
        <f t="shared" si="940"/>
        <v>4</v>
      </c>
      <c r="R1254" s="111">
        <f t="shared" si="931"/>
        <v>5</v>
      </c>
      <c r="S1254" s="129">
        <v>2</v>
      </c>
      <c r="T1254" s="129">
        <v>0</v>
      </c>
      <c r="W1254" s="111"/>
      <c r="AC1254" s="130"/>
      <c r="AD1254" s="130">
        <v>26471</v>
      </c>
      <c r="AE1254" s="128" t="s">
        <v>32</v>
      </c>
      <c r="AF1254" s="128" t="s">
        <v>69</v>
      </c>
      <c r="AG1254" s="128" t="s">
        <v>874</v>
      </c>
      <c r="AH1254" s="108" t="s">
        <v>58</v>
      </c>
      <c r="AI1254" s="128" t="s">
        <v>113</v>
      </c>
      <c r="AJ1254" s="129" t="s">
        <v>48</v>
      </c>
      <c r="AK1254" s="129">
        <v>1</v>
      </c>
      <c r="AL1254" s="3" t="s">
        <v>48</v>
      </c>
      <c r="AP1254" s="129" t="s">
        <v>43</v>
      </c>
      <c r="AR1254" s="128" t="s">
        <v>44</v>
      </c>
      <c r="AS1254" s="129" t="s">
        <v>45</v>
      </c>
      <c r="AT1254" s="129" t="s">
        <v>488</v>
      </c>
      <c r="BC1254" s="129" t="s">
        <v>38</v>
      </c>
      <c r="BF1254" s="111">
        <f t="shared" si="941"/>
        <v>4</v>
      </c>
      <c r="BG1254" s="111">
        <f t="shared" si="942"/>
        <v>4</v>
      </c>
      <c r="BH1254" s="111">
        <f t="shared" si="901"/>
        <v>5</v>
      </c>
      <c r="BI1254" s="111">
        <f t="shared" si="902"/>
        <v>39.72677595628415</v>
      </c>
      <c r="BJ1254" s="129">
        <f t="shared" si="907"/>
        <v>0</v>
      </c>
      <c r="BK1254" s="129">
        <f t="shared" si="903"/>
        <v>0</v>
      </c>
      <c r="BL1254" s="129" t="str">
        <f t="shared" si="935"/>
        <v>DEFERRED</v>
      </c>
      <c r="BM1254" s="129" t="str">
        <f t="shared" si="908"/>
        <v>NONE</v>
      </c>
      <c r="BN1254" s="129" t="s">
        <v>566</v>
      </c>
      <c r="BP1254" s="137" t="str">
        <f t="shared" si="909"/>
        <v>DEFERRED</v>
      </c>
      <c r="BQ1254" s="128" t="str">
        <f t="shared" si="910"/>
        <v>Y</v>
      </c>
      <c r="BR1254" s="129" t="str">
        <f t="shared" si="911"/>
        <v>DETAINED</v>
      </c>
      <c r="BS1254" s="129" t="str">
        <f t="shared" si="912"/>
        <v>DISPOSED</v>
      </c>
      <c r="BT1254" s="129" t="str">
        <f t="shared" si="913"/>
        <v>Y</v>
      </c>
      <c r="BU1254" s="109">
        <f t="shared" si="914"/>
        <v>0.8</v>
      </c>
      <c r="BV1254" s="109">
        <f t="shared" si="915"/>
        <v>1</v>
      </c>
      <c r="BW1254" s="109">
        <f t="shared" si="936"/>
        <v>0.19999999999999996</v>
      </c>
      <c r="BX1254" s="111">
        <f t="shared" si="916"/>
        <v>0</v>
      </c>
      <c r="BY1254" s="129">
        <f t="shared" si="917"/>
        <v>-4</v>
      </c>
      <c r="BZ1254" s="111">
        <f t="shared" si="918"/>
        <v>0</v>
      </c>
      <c r="CA1254" s="138">
        <f t="shared" si="919"/>
        <v>4</v>
      </c>
      <c r="CB1254" s="111" t="e">
        <f t="shared" si="943"/>
        <v>#VALUE!</v>
      </c>
      <c r="CC1254" s="129">
        <f>G1254-I1254+1</f>
        <v>4</v>
      </c>
      <c r="CD1254" s="129">
        <f>G1254-J1254</f>
        <v>0</v>
      </c>
      <c r="CE1254" s="129">
        <f t="shared" si="920"/>
        <v>0</v>
      </c>
      <c r="CG1254" s="129" t="str">
        <f t="shared" si="921"/>
        <v>Y</v>
      </c>
      <c r="CI1254" s="129" t="str">
        <f t="shared" si="922"/>
        <v>0-10 DAYS</v>
      </c>
      <c r="CJ1254" s="137">
        <f t="shared" si="923"/>
        <v>1</v>
      </c>
      <c r="CK1254" s="129" t="str">
        <f t="shared" si="924"/>
        <v>Booked</v>
      </c>
    </row>
    <row r="1255" spans="1:89" ht="15.75" customHeight="1" x14ac:dyDescent="0.25">
      <c r="A1255" s="111">
        <v>988</v>
      </c>
      <c r="B1255" s="128" t="str">
        <f t="shared" si="904"/>
        <v>N</v>
      </c>
      <c r="C1255" s="128" t="str">
        <f t="shared" si="905"/>
        <v>N</v>
      </c>
      <c r="D1255" s="117">
        <v>1904348</v>
      </c>
      <c r="E1255" s="135">
        <f t="shared" si="906"/>
        <v>6</v>
      </c>
      <c r="F1255" s="124">
        <v>40945</v>
      </c>
      <c r="G1255" s="125">
        <v>40947</v>
      </c>
      <c r="H1255" s="117">
        <v>1904348</v>
      </c>
      <c r="I1255" s="124">
        <v>40946</v>
      </c>
      <c r="J1255" s="124">
        <v>40947</v>
      </c>
      <c r="K1255" s="126">
        <v>10000</v>
      </c>
      <c r="L1255" s="127" t="s">
        <v>570</v>
      </c>
      <c r="N1255" s="129" t="str">
        <f>IF(M1255&gt;1/1/1,"Y","N")</f>
        <v>N</v>
      </c>
      <c r="O1255" s="128" t="s">
        <v>917</v>
      </c>
      <c r="P1255" s="129" t="s">
        <v>39</v>
      </c>
      <c r="Q1255" s="111">
        <f t="shared" si="940"/>
        <v>2</v>
      </c>
      <c r="R1255" s="111">
        <f t="shared" si="931"/>
        <v>3</v>
      </c>
      <c r="S1255" s="129">
        <v>1</v>
      </c>
      <c r="T1255" s="129">
        <v>4</v>
      </c>
      <c r="U1255" s="129">
        <v>1</v>
      </c>
      <c r="W1255" s="111"/>
      <c r="AC1255" s="130"/>
      <c r="AD1255" s="130">
        <v>29916</v>
      </c>
      <c r="AE1255" s="128" t="s">
        <v>32</v>
      </c>
      <c r="AF1255" s="128" t="s">
        <v>69</v>
      </c>
      <c r="AG1255" s="128" t="s">
        <v>874</v>
      </c>
      <c r="AH1255" s="108" t="s">
        <v>58</v>
      </c>
      <c r="AI1255" s="128" t="s">
        <v>85</v>
      </c>
      <c r="AJ1255" s="129" t="s">
        <v>89</v>
      </c>
      <c r="AK1255" s="129">
        <v>1</v>
      </c>
      <c r="AL1255" s="3" t="s">
        <v>362</v>
      </c>
      <c r="AM1255" s="117">
        <v>5</v>
      </c>
      <c r="AP1255" s="129" t="s">
        <v>66</v>
      </c>
      <c r="AR1255" s="128" t="s">
        <v>67</v>
      </c>
      <c r="AS1255" s="129" t="s">
        <v>68</v>
      </c>
      <c r="AV1255" s="147"/>
      <c r="AW1255" s="123"/>
      <c r="AX1255" s="123"/>
      <c r="BC1255" s="129" t="s">
        <v>38</v>
      </c>
      <c r="BF1255" s="111">
        <f t="shared" si="941"/>
        <v>2</v>
      </c>
      <c r="BG1255" s="111">
        <f t="shared" si="942"/>
        <v>2</v>
      </c>
      <c r="BH1255" s="111">
        <f t="shared" si="901"/>
        <v>3</v>
      </c>
      <c r="BI1255" s="111">
        <f t="shared" si="902"/>
        <v>30.133879781420767</v>
      </c>
      <c r="BJ1255" s="129">
        <f t="shared" si="907"/>
        <v>0</v>
      </c>
      <c r="BK1255" s="129">
        <f t="shared" si="903"/>
        <v>0</v>
      </c>
      <c r="BL1255" s="129" t="str">
        <f t="shared" si="935"/>
        <v>CONVICTION</v>
      </c>
      <c r="BM1255" s="129" t="str">
        <f t="shared" si="908"/>
        <v>NONE</v>
      </c>
      <c r="BN1255" s="129" t="s">
        <v>566</v>
      </c>
      <c r="BP1255" s="137" t="str">
        <f t="shared" si="909"/>
        <v>CONVICTION</v>
      </c>
      <c r="BQ1255" s="128" t="str">
        <f t="shared" si="910"/>
        <v>Y</v>
      </c>
      <c r="BR1255" s="129" t="str">
        <f t="shared" si="911"/>
        <v>DETAINED</v>
      </c>
      <c r="BS1255" s="129" t="str">
        <f t="shared" si="912"/>
        <v>DISPOSED</v>
      </c>
      <c r="BT1255" s="129" t="str">
        <f t="shared" si="913"/>
        <v>Y</v>
      </c>
      <c r="BU1255" s="109">
        <f t="shared" si="914"/>
        <v>0.66666666666666663</v>
      </c>
      <c r="BV1255" s="109">
        <f t="shared" si="915"/>
        <v>1</v>
      </c>
      <c r="BW1255" s="109">
        <f t="shared" si="936"/>
        <v>0.33333333333333337</v>
      </c>
      <c r="BX1255" s="111">
        <f t="shared" si="916"/>
        <v>0</v>
      </c>
      <c r="BY1255" s="129">
        <f t="shared" si="917"/>
        <v>-2</v>
      </c>
      <c r="BZ1255" s="111">
        <f t="shared" si="918"/>
        <v>0</v>
      </c>
      <c r="CA1255" s="138">
        <f t="shared" si="919"/>
        <v>2</v>
      </c>
      <c r="CB1255" s="111" t="e">
        <f t="shared" si="943"/>
        <v>#VALUE!</v>
      </c>
      <c r="CC1255" s="129">
        <f>G1255-I1255+1</f>
        <v>2</v>
      </c>
      <c r="CD1255" s="129">
        <f>G1255-J1255</f>
        <v>0</v>
      </c>
      <c r="CE1255" s="129">
        <f t="shared" si="920"/>
        <v>0</v>
      </c>
      <c r="CG1255" s="129" t="str">
        <f t="shared" si="921"/>
        <v>Y</v>
      </c>
      <c r="CI1255" s="129" t="str">
        <f t="shared" si="922"/>
        <v>0-10 DAYS</v>
      </c>
      <c r="CJ1255" s="137">
        <f t="shared" si="923"/>
        <v>1</v>
      </c>
      <c r="CK1255" s="129" t="str">
        <f t="shared" si="924"/>
        <v>Booked</v>
      </c>
    </row>
    <row r="1256" spans="1:89" ht="31.5" customHeight="1" x14ac:dyDescent="0.25">
      <c r="A1256" s="111">
        <v>185</v>
      </c>
      <c r="B1256" s="128" t="str">
        <f t="shared" si="904"/>
        <v>N</v>
      </c>
      <c r="C1256" s="128" t="str">
        <f t="shared" si="905"/>
        <v>N</v>
      </c>
      <c r="D1256" s="117">
        <v>1904595</v>
      </c>
      <c r="E1256" s="135">
        <f t="shared" si="906"/>
        <v>2</v>
      </c>
      <c r="F1256" s="124">
        <v>40917</v>
      </c>
      <c r="G1256" s="125">
        <v>40970</v>
      </c>
      <c r="H1256" s="117">
        <v>1904595</v>
      </c>
      <c r="I1256" s="124">
        <v>40917</v>
      </c>
      <c r="J1256" s="125">
        <v>40970</v>
      </c>
      <c r="K1256" s="126">
        <v>5000</v>
      </c>
      <c r="L1256" s="127" t="s">
        <v>569</v>
      </c>
      <c r="N1256" s="129" t="str">
        <f>IF(M1256&gt;1/1/1,"Y","N")</f>
        <v>N</v>
      </c>
      <c r="O1256" s="128" t="s">
        <v>917</v>
      </c>
      <c r="P1256" s="129" t="s">
        <v>589</v>
      </c>
      <c r="Q1256" s="111">
        <f t="shared" si="940"/>
        <v>54</v>
      </c>
      <c r="R1256" s="111">
        <f t="shared" si="931"/>
        <v>54</v>
      </c>
      <c r="S1256" s="129">
        <v>1</v>
      </c>
      <c r="T1256" s="129">
        <v>1</v>
      </c>
      <c r="V1256" s="117">
        <v>1</v>
      </c>
      <c r="W1256" s="111"/>
      <c r="AC1256" s="130"/>
      <c r="AD1256" s="130">
        <v>29354</v>
      </c>
      <c r="AE1256" s="128" t="s">
        <v>46</v>
      </c>
      <c r="AF1256" s="128" t="s">
        <v>69</v>
      </c>
      <c r="AG1256" s="128" t="s">
        <v>874</v>
      </c>
      <c r="AH1256" s="108" t="s">
        <v>31</v>
      </c>
      <c r="AI1256" s="128" t="s">
        <v>95</v>
      </c>
      <c r="AJ1256" s="129" t="s">
        <v>48</v>
      </c>
      <c r="AK1256" s="129">
        <v>4</v>
      </c>
      <c r="AL1256" s="3" t="s">
        <v>48</v>
      </c>
      <c r="AP1256" s="129" t="s">
        <v>93</v>
      </c>
      <c r="AR1256" s="128" t="s">
        <v>67</v>
      </c>
      <c r="AS1256" s="129" t="s">
        <v>45</v>
      </c>
      <c r="BC1256" s="129" t="s">
        <v>38</v>
      </c>
      <c r="BF1256" s="111">
        <f t="shared" si="941"/>
        <v>54</v>
      </c>
      <c r="BG1256" s="111">
        <f t="shared" si="942"/>
        <v>54</v>
      </c>
      <c r="BH1256" s="111">
        <f t="shared" si="901"/>
        <v>54</v>
      </c>
      <c r="BI1256" s="111">
        <f t="shared" si="902"/>
        <v>31.592896174863387</v>
      </c>
      <c r="BJ1256" s="129">
        <f t="shared" si="907"/>
        <v>0</v>
      </c>
      <c r="BK1256" s="129">
        <f t="shared" si="903"/>
        <v>0</v>
      </c>
      <c r="BL1256" s="129" t="str">
        <f t="shared" si="935"/>
        <v>DEFERRED</v>
      </c>
      <c r="BM1256" s="129" t="str">
        <f t="shared" si="908"/>
        <v>NONE</v>
      </c>
      <c r="BN1256" s="129" t="s">
        <v>566</v>
      </c>
      <c r="BP1256" s="137" t="str">
        <f t="shared" si="909"/>
        <v>DEFERRED</v>
      </c>
      <c r="BQ1256" s="128" t="str">
        <f t="shared" si="910"/>
        <v>Y</v>
      </c>
      <c r="BR1256" s="129" t="str">
        <f t="shared" si="911"/>
        <v>DETAINED</v>
      </c>
      <c r="BS1256" s="129" t="str">
        <f t="shared" si="912"/>
        <v>DISPOSED</v>
      </c>
      <c r="BT1256" s="129" t="str">
        <f t="shared" si="913"/>
        <v>Y</v>
      </c>
      <c r="BU1256" s="109">
        <f t="shared" si="914"/>
        <v>1</v>
      </c>
      <c r="BV1256" s="109">
        <f t="shared" si="915"/>
        <v>1</v>
      </c>
      <c r="BW1256" s="109">
        <f t="shared" si="936"/>
        <v>0</v>
      </c>
      <c r="BX1256" s="111">
        <f t="shared" si="916"/>
        <v>0</v>
      </c>
      <c r="BY1256" s="129">
        <f t="shared" si="917"/>
        <v>-54</v>
      </c>
      <c r="BZ1256" s="111">
        <f t="shared" si="918"/>
        <v>0</v>
      </c>
      <c r="CA1256" s="138">
        <f t="shared" si="919"/>
        <v>54</v>
      </c>
      <c r="CB1256" s="111" t="e">
        <f t="shared" si="943"/>
        <v>#VALUE!</v>
      </c>
      <c r="CC1256" s="129">
        <f>G1256-I1256+1</f>
        <v>54</v>
      </c>
      <c r="CD1256" s="129">
        <f>G1256-J1256</f>
        <v>0</v>
      </c>
      <c r="CE1256" s="129">
        <f t="shared" si="920"/>
        <v>0</v>
      </c>
      <c r="CG1256" s="129" t="str">
        <f t="shared" si="921"/>
        <v>Y</v>
      </c>
      <c r="CI1256" s="129" t="str">
        <f t="shared" si="922"/>
        <v>31-60 DAYS</v>
      </c>
      <c r="CJ1256" s="137">
        <f t="shared" si="923"/>
        <v>3</v>
      </c>
      <c r="CK1256" s="129" t="str">
        <f t="shared" si="924"/>
        <v>Booked</v>
      </c>
    </row>
    <row r="1257" spans="1:89" ht="15.75" customHeight="1" x14ac:dyDescent="0.25">
      <c r="A1257" s="111">
        <v>1236</v>
      </c>
      <c r="B1257" s="128" t="str">
        <f t="shared" si="904"/>
        <v>N</v>
      </c>
      <c r="C1257" s="128" t="str">
        <f t="shared" si="905"/>
        <v>N</v>
      </c>
      <c r="D1257" s="117">
        <v>1904676</v>
      </c>
      <c r="E1257" s="135">
        <f t="shared" si="906"/>
        <v>2</v>
      </c>
      <c r="F1257" s="124">
        <v>40954</v>
      </c>
      <c r="G1257" s="125">
        <v>41116</v>
      </c>
      <c r="H1257" s="117">
        <v>1904676</v>
      </c>
      <c r="I1257" s="124">
        <v>40954</v>
      </c>
      <c r="J1257" s="124">
        <v>40955</v>
      </c>
      <c r="K1257" s="126">
        <v>20000</v>
      </c>
      <c r="L1257" s="127" t="s">
        <v>571</v>
      </c>
      <c r="M1257" s="125">
        <v>40955</v>
      </c>
      <c r="N1257" s="129" t="str">
        <f>IF(M1257&gt;1/1/1,"Y","N")</f>
        <v>Y</v>
      </c>
      <c r="O1257" s="128" t="s">
        <v>585</v>
      </c>
      <c r="P1257" s="129" t="s">
        <v>589</v>
      </c>
      <c r="Q1257" s="111">
        <f t="shared" si="940"/>
        <v>2</v>
      </c>
      <c r="R1257" s="111">
        <f t="shared" si="931"/>
        <v>163</v>
      </c>
      <c r="S1257" s="129">
        <v>1</v>
      </c>
      <c r="T1257" s="129">
        <v>4</v>
      </c>
      <c r="U1257" s="129">
        <v>1</v>
      </c>
      <c r="W1257" s="111"/>
      <c r="AC1257" s="130"/>
      <c r="AD1257" s="130">
        <v>31012</v>
      </c>
      <c r="AE1257" s="128" t="s">
        <v>46</v>
      </c>
      <c r="AF1257" s="128" t="s">
        <v>69</v>
      </c>
      <c r="AG1257" s="128" t="s">
        <v>874</v>
      </c>
      <c r="AH1257" s="108" t="s">
        <v>31</v>
      </c>
      <c r="AI1257" s="128" t="s">
        <v>70</v>
      </c>
      <c r="AJ1257" s="129" t="s">
        <v>48</v>
      </c>
      <c r="AK1257" s="129">
        <v>8</v>
      </c>
      <c r="AL1257" s="3" t="s">
        <v>48</v>
      </c>
      <c r="AP1257" s="129" t="s">
        <v>93</v>
      </c>
      <c r="AR1257" s="128" t="s">
        <v>67</v>
      </c>
      <c r="AS1257" s="129" t="s">
        <v>45</v>
      </c>
      <c r="BC1257" s="129" t="s">
        <v>52</v>
      </c>
      <c r="BF1257" s="111">
        <f t="shared" si="941"/>
        <v>2</v>
      </c>
      <c r="BG1257" s="111">
        <f t="shared" si="942"/>
        <v>163</v>
      </c>
      <c r="BH1257" s="111">
        <f t="shared" si="901"/>
        <v>163</v>
      </c>
      <c r="BI1257" s="111">
        <f t="shared" si="902"/>
        <v>27.16393442622951</v>
      </c>
      <c r="BJ1257" s="129">
        <f>(G1257-J1257)+(M1257-G1257)</f>
        <v>0</v>
      </c>
      <c r="BK1257" s="129">
        <f t="shared" si="903"/>
        <v>-161</v>
      </c>
      <c r="BL1257" s="129" t="str">
        <f t="shared" si="935"/>
        <v>DEFERRED</v>
      </c>
      <c r="BM1257" s="129" t="s">
        <v>76</v>
      </c>
      <c r="BN1257" s="129" t="s">
        <v>88</v>
      </c>
      <c r="BP1257" s="137" t="str">
        <f t="shared" si="909"/>
        <v>DEFERRED</v>
      </c>
      <c r="BQ1257" s="128" t="str">
        <f t="shared" si="910"/>
        <v>Y</v>
      </c>
      <c r="BR1257" s="129" t="str">
        <f t="shared" si="911"/>
        <v>ON BOND</v>
      </c>
      <c r="BS1257" s="129" t="str">
        <f t="shared" si="912"/>
        <v>DISPOSED</v>
      </c>
      <c r="BT1257" s="129" t="str">
        <f t="shared" si="913"/>
        <v>Y</v>
      </c>
      <c r="BU1257" s="109">
        <f t="shared" si="914"/>
        <v>1.2269938650306749E-2</v>
      </c>
      <c r="BV1257" s="109">
        <f t="shared" si="915"/>
        <v>1.2269938650306749E-2</v>
      </c>
      <c r="BW1257" s="109">
        <f t="shared" si="936"/>
        <v>0</v>
      </c>
      <c r="BX1257" s="111">
        <f t="shared" si="916"/>
        <v>0</v>
      </c>
      <c r="BY1257" s="129">
        <f t="shared" si="917"/>
        <v>-2</v>
      </c>
      <c r="BZ1257" s="111">
        <f t="shared" si="918"/>
        <v>0</v>
      </c>
      <c r="CA1257" s="138">
        <f t="shared" si="919"/>
        <v>2</v>
      </c>
      <c r="CB1257" s="111" t="e">
        <f t="shared" si="943"/>
        <v>#VALUE!</v>
      </c>
      <c r="CC1257" s="129">
        <f>M1257-I1257+1</f>
        <v>2</v>
      </c>
      <c r="CD1257" s="111">
        <f>CC1257-BF1257</f>
        <v>0</v>
      </c>
      <c r="CE1257" s="129">
        <f t="shared" si="920"/>
        <v>161</v>
      </c>
      <c r="CG1257" s="129" t="str">
        <f t="shared" si="921"/>
        <v>Y</v>
      </c>
      <c r="CI1257" s="129" t="str">
        <f t="shared" si="922"/>
        <v>0-10 DAYS</v>
      </c>
      <c r="CJ1257" s="137">
        <f t="shared" si="923"/>
        <v>1</v>
      </c>
      <c r="CK1257" s="129" t="str">
        <f t="shared" si="924"/>
        <v>Booked</v>
      </c>
    </row>
    <row r="1258" spans="1:89" ht="15" customHeight="1" x14ac:dyDescent="0.25">
      <c r="A1258" s="111">
        <v>307</v>
      </c>
      <c r="B1258" s="128" t="str">
        <f t="shared" si="904"/>
        <v>N</v>
      </c>
      <c r="C1258" s="128" t="str">
        <f t="shared" si="905"/>
        <v>N</v>
      </c>
      <c r="D1258" s="117">
        <v>1907541</v>
      </c>
      <c r="E1258" s="135">
        <f t="shared" si="906"/>
        <v>5</v>
      </c>
      <c r="F1258" s="124">
        <v>40921</v>
      </c>
      <c r="G1258" s="125">
        <v>41127</v>
      </c>
      <c r="H1258" s="117">
        <v>1907541</v>
      </c>
      <c r="I1258" s="124">
        <v>41045</v>
      </c>
      <c r="J1258" s="124">
        <v>41127</v>
      </c>
      <c r="K1258" s="126" t="s">
        <v>564</v>
      </c>
      <c r="L1258" s="127" t="s">
        <v>564</v>
      </c>
      <c r="N1258" s="129" t="s">
        <v>566</v>
      </c>
      <c r="O1258" s="128" t="s">
        <v>917</v>
      </c>
      <c r="P1258" s="129" t="s">
        <v>39</v>
      </c>
      <c r="Q1258" s="111">
        <f t="shared" si="940"/>
        <v>83</v>
      </c>
      <c r="R1258" s="111">
        <f t="shared" si="931"/>
        <v>207</v>
      </c>
      <c r="S1258" s="129">
        <v>4</v>
      </c>
      <c r="T1258" s="129">
        <v>2</v>
      </c>
      <c r="U1258" s="129">
        <v>4</v>
      </c>
      <c r="W1258" s="111"/>
      <c r="AC1258" s="130"/>
      <c r="AD1258" s="130">
        <v>30550</v>
      </c>
      <c r="AE1258" s="128" t="s">
        <v>32</v>
      </c>
      <c r="AF1258" s="128" t="s">
        <v>40</v>
      </c>
      <c r="AG1258" s="128" t="s">
        <v>41</v>
      </c>
      <c r="AH1258" s="108" t="s">
        <v>41</v>
      </c>
      <c r="AI1258" s="128" t="s">
        <v>70</v>
      </c>
      <c r="AJ1258" s="129" t="s">
        <v>89</v>
      </c>
      <c r="AK1258" s="129">
        <v>4</v>
      </c>
      <c r="AL1258" s="3" t="s">
        <v>992</v>
      </c>
      <c r="AN1258" s="117">
        <v>13</v>
      </c>
      <c r="AP1258" s="129" t="s">
        <v>109</v>
      </c>
      <c r="AR1258" s="128" t="s">
        <v>67</v>
      </c>
      <c r="AS1258" s="129" t="s">
        <v>61</v>
      </c>
      <c r="BC1258" s="129" t="s">
        <v>38</v>
      </c>
      <c r="BF1258" s="111">
        <f t="shared" si="941"/>
        <v>83</v>
      </c>
      <c r="BG1258" s="111">
        <f t="shared" si="942"/>
        <v>83</v>
      </c>
      <c r="BH1258" s="111">
        <f t="shared" si="901"/>
        <v>207</v>
      </c>
      <c r="BI1258" s="111">
        <f t="shared" si="902"/>
        <v>28.33606557377049</v>
      </c>
      <c r="BJ1258" s="129">
        <f t="shared" si="907"/>
        <v>0</v>
      </c>
      <c r="BK1258" s="129">
        <f t="shared" si="903"/>
        <v>0</v>
      </c>
      <c r="BL1258" s="129" t="str">
        <f t="shared" si="935"/>
        <v>CONVICTION</v>
      </c>
      <c r="BM1258" s="129" t="str">
        <f t="shared" si="908"/>
        <v>NONE</v>
      </c>
      <c r="BN1258" s="129" t="s">
        <v>566</v>
      </c>
      <c r="BP1258" s="137" t="str">
        <f t="shared" si="909"/>
        <v>CONVICTION</v>
      </c>
      <c r="BQ1258" s="128" t="str">
        <f t="shared" si="910"/>
        <v>Y</v>
      </c>
      <c r="BR1258" s="129" t="str">
        <f t="shared" si="911"/>
        <v>DETAINED</v>
      </c>
      <c r="BS1258" s="129" t="str">
        <f t="shared" si="912"/>
        <v>DISPOSED</v>
      </c>
      <c r="BT1258" s="129" t="str">
        <f t="shared" si="913"/>
        <v>Y</v>
      </c>
      <c r="BU1258" s="109">
        <f t="shared" si="914"/>
        <v>0.40096618357487923</v>
      </c>
      <c r="BV1258" s="109">
        <f t="shared" si="915"/>
        <v>1</v>
      </c>
      <c r="BW1258" s="109">
        <f t="shared" si="936"/>
        <v>0.59903381642512077</v>
      </c>
      <c r="BX1258" s="111">
        <f t="shared" si="916"/>
        <v>0</v>
      </c>
      <c r="BY1258" s="129">
        <f t="shared" si="917"/>
        <v>-83</v>
      </c>
      <c r="BZ1258" s="111">
        <f t="shared" si="918"/>
        <v>0</v>
      </c>
      <c r="CA1258" s="138">
        <f t="shared" si="919"/>
        <v>83</v>
      </c>
      <c r="CB1258" s="111" t="e">
        <f t="shared" si="943"/>
        <v>#VALUE!</v>
      </c>
      <c r="CC1258" s="129">
        <f>G1258-I1258+1</f>
        <v>83</v>
      </c>
      <c r="CD1258" s="129">
        <f>G1258-J1258</f>
        <v>0</v>
      </c>
      <c r="CE1258" s="129">
        <f t="shared" si="920"/>
        <v>0</v>
      </c>
      <c r="CG1258" s="129" t="str">
        <f t="shared" si="921"/>
        <v>Y</v>
      </c>
      <c r="CI1258" s="129" t="str">
        <f t="shared" si="922"/>
        <v>61-90 DAYS</v>
      </c>
      <c r="CJ1258" s="137">
        <f t="shared" si="923"/>
        <v>4</v>
      </c>
      <c r="CK1258" s="129" t="str">
        <f t="shared" si="924"/>
        <v>Booked</v>
      </c>
    </row>
    <row r="1259" spans="1:89" ht="15.75" customHeight="1" x14ac:dyDescent="0.25">
      <c r="A1259" s="111">
        <v>2028</v>
      </c>
      <c r="B1259" s="128" t="str">
        <f t="shared" si="904"/>
        <v>N</v>
      </c>
      <c r="C1259" s="128" t="str">
        <f t="shared" si="905"/>
        <v>N</v>
      </c>
      <c r="D1259" s="117">
        <v>1908313</v>
      </c>
      <c r="E1259" s="135">
        <f t="shared" si="906"/>
        <v>2</v>
      </c>
      <c r="F1259" s="124">
        <v>40985</v>
      </c>
      <c r="G1259" s="125">
        <v>41143</v>
      </c>
      <c r="H1259" s="117">
        <v>1908313</v>
      </c>
      <c r="I1259" s="124">
        <v>40985</v>
      </c>
      <c r="J1259" s="124">
        <v>40986</v>
      </c>
      <c r="K1259" s="126">
        <v>2000</v>
      </c>
      <c r="L1259" s="127" t="s">
        <v>568</v>
      </c>
      <c r="M1259" s="125">
        <v>40986</v>
      </c>
      <c r="N1259" s="129" t="str">
        <f>IF(M1259&gt;1/1/1,"Y","N")</f>
        <v>Y</v>
      </c>
      <c r="O1259" s="128" t="s">
        <v>76</v>
      </c>
      <c r="P1259" s="129" t="s">
        <v>589</v>
      </c>
      <c r="Q1259" s="111">
        <f t="shared" si="940"/>
        <v>2</v>
      </c>
      <c r="R1259" s="111">
        <f t="shared" si="931"/>
        <v>159</v>
      </c>
      <c r="S1259" s="129">
        <v>0</v>
      </c>
      <c r="T1259" s="129">
        <v>4</v>
      </c>
      <c r="W1259" s="111"/>
      <c r="AC1259" s="130"/>
      <c r="AD1259" s="130">
        <v>28548</v>
      </c>
      <c r="AE1259" s="128" t="s">
        <v>32</v>
      </c>
      <c r="AF1259" s="128" t="s">
        <v>33</v>
      </c>
      <c r="AG1259" s="128" t="s">
        <v>872</v>
      </c>
      <c r="AH1259" s="108" t="s">
        <v>58</v>
      </c>
      <c r="AI1259" s="128" t="s">
        <v>34</v>
      </c>
      <c r="AJ1259" s="129" t="s">
        <v>48</v>
      </c>
      <c r="AK1259" s="129">
        <v>7</v>
      </c>
      <c r="AL1259" s="3" t="s">
        <v>48</v>
      </c>
      <c r="AP1259" s="129" t="s">
        <v>43</v>
      </c>
      <c r="AR1259" s="128" t="s">
        <v>44</v>
      </c>
      <c r="AS1259" s="129" t="s">
        <v>45</v>
      </c>
      <c r="BC1259" s="129" t="s">
        <v>52</v>
      </c>
      <c r="BF1259" s="111">
        <f t="shared" si="941"/>
        <v>2</v>
      </c>
      <c r="BG1259" s="111">
        <f t="shared" si="942"/>
        <v>159</v>
      </c>
      <c r="BH1259" s="111">
        <f t="shared" si="901"/>
        <v>159</v>
      </c>
      <c r="BI1259" s="111">
        <f t="shared" si="902"/>
        <v>33.980874316939889</v>
      </c>
      <c r="BJ1259" s="129">
        <f>(G1259-J1259)+(M1259-G1259)</f>
        <v>0</v>
      </c>
      <c r="BK1259" s="129">
        <f t="shared" si="903"/>
        <v>-157</v>
      </c>
      <c r="BL1259" s="129" t="str">
        <f t="shared" si="935"/>
        <v>DEFERRED</v>
      </c>
      <c r="BM1259" s="129" t="s">
        <v>76</v>
      </c>
      <c r="BN1259" s="129" t="s">
        <v>88</v>
      </c>
      <c r="BP1259" s="137" t="str">
        <f t="shared" si="909"/>
        <v>DEFERRED</v>
      </c>
      <c r="BQ1259" s="128" t="str">
        <f t="shared" si="910"/>
        <v>Y</v>
      </c>
      <c r="BR1259" s="129" t="str">
        <f t="shared" si="911"/>
        <v>ON BOND</v>
      </c>
      <c r="BS1259" s="129" t="str">
        <f t="shared" si="912"/>
        <v>DISPOSED</v>
      </c>
      <c r="BT1259" s="129" t="str">
        <f t="shared" si="913"/>
        <v>N</v>
      </c>
      <c r="BU1259" s="109">
        <f t="shared" si="914"/>
        <v>1.2578616352201259E-2</v>
      </c>
      <c r="BV1259" s="109">
        <f t="shared" si="915"/>
        <v>1.2578616352201259E-2</v>
      </c>
      <c r="BW1259" s="109">
        <f t="shared" si="936"/>
        <v>0</v>
      </c>
      <c r="BX1259" s="111">
        <f t="shared" si="916"/>
        <v>0</v>
      </c>
      <c r="BY1259" s="129">
        <f t="shared" si="917"/>
        <v>-2</v>
      </c>
      <c r="BZ1259" s="111">
        <f t="shared" si="918"/>
        <v>0</v>
      </c>
      <c r="CA1259" s="138">
        <f t="shared" si="919"/>
        <v>2</v>
      </c>
      <c r="CB1259" s="111" t="e">
        <f t="shared" si="943"/>
        <v>#VALUE!</v>
      </c>
      <c r="CC1259" s="129">
        <f>M1259-I1259+1</f>
        <v>2</v>
      </c>
      <c r="CD1259" s="111">
        <f>CC1259-BF1259</f>
        <v>0</v>
      </c>
      <c r="CE1259" s="129">
        <f t="shared" si="920"/>
        <v>157</v>
      </c>
      <c r="CG1259" s="129" t="str">
        <f t="shared" si="921"/>
        <v>Y</v>
      </c>
      <c r="CI1259" s="129" t="str">
        <f t="shared" si="922"/>
        <v>0-10 DAYS</v>
      </c>
      <c r="CJ1259" s="137">
        <f t="shared" si="923"/>
        <v>1</v>
      </c>
      <c r="CK1259" s="129" t="str">
        <f t="shared" si="924"/>
        <v>Booked</v>
      </c>
    </row>
    <row r="1260" spans="1:89" ht="15.75" customHeight="1" x14ac:dyDescent="0.25">
      <c r="A1260" s="111">
        <v>2630</v>
      </c>
      <c r="B1260" s="128" t="str">
        <f t="shared" si="904"/>
        <v>N</v>
      </c>
      <c r="C1260" s="128" t="str">
        <f t="shared" si="905"/>
        <v>N</v>
      </c>
      <c r="D1260" s="117">
        <v>1908981</v>
      </c>
      <c r="E1260" s="135">
        <f t="shared" si="906"/>
        <v>6</v>
      </c>
      <c r="F1260" s="124">
        <v>41006</v>
      </c>
      <c r="G1260" s="125">
        <v>41086</v>
      </c>
      <c r="H1260" s="117">
        <v>1908981</v>
      </c>
      <c r="I1260" s="124">
        <v>41006</v>
      </c>
      <c r="J1260" s="124">
        <v>41086</v>
      </c>
      <c r="K1260" s="126">
        <v>10000</v>
      </c>
      <c r="L1260" s="127" t="s">
        <v>570</v>
      </c>
      <c r="N1260" s="129" t="str">
        <f>IF(M1260&gt;1/1/1,"Y","N")</f>
        <v>N</v>
      </c>
      <c r="O1260" s="128" t="s">
        <v>917</v>
      </c>
      <c r="P1260" s="129" t="s">
        <v>39</v>
      </c>
      <c r="Q1260" s="111">
        <f t="shared" si="940"/>
        <v>81</v>
      </c>
      <c r="R1260" s="111">
        <f t="shared" si="931"/>
        <v>81</v>
      </c>
      <c r="S1260" s="129">
        <v>0</v>
      </c>
      <c r="T1260" s="129">
        <v>4</v>
      </c>
      <c r="W1260" s="111"/>
      <c r="AC1260" s="130"/>
      <c r="AD1260" s="130">
        <v>30046</v>
      </c>
      <c r="AE1260" s="128" t="s">
        <v>32</v>
      </c>
      <c r="AF1260" s="128" t="s">
        <v>33</v>
      </c>
      <c r="AG1260" s="128" t="s">
        <v>872</v>
      </c>
      <c r="AH1260" s="108" t="s">
        <v>31</v>
      </c>
      <c r="AI1260" s="128" t="s">
        <v>71</v>
      </c>
      <c r="AJ1260" s="129" t="s">
        <v>89</v>
      </c>
      <c r="AK1260" s="129">
        <v>4</v>
      </c>
      <c r="AL1260" s="3" t="s">
        <v>362</v>
      </c>
      <c r="AM1260" s="117">
        <v>3</v>
      </c>
      <c r="AP1260" s="129" t="s">
        <v>101</v>
      </c>
      <c r="AR1260" s="128" t="s">
        <v>67</v>
      </c>
      <c r="AS1260" s="129" t="s">
        <v>64</v>
      </c>
      <c r="BC1260" s="129" t="s">
        <v>38</v>
      </c>
      <c r="BF1260" s="111">
        <f t="shared" si="941"/>
        <v>81</v>
      </c>
      <c r="BG1260" s="111">
        <f t="shared" si="942"/>
        <v>81</v>
      </c>
      <c r="BH1260" s="111">
        <f t="shared" si="901"/>
        <v>81</v>
      </c>
      <c r="BI1260" s="111">
        <f t="shared" si="902"/>
        <v>29.94535519125683</v>
      </c>
      <c r="BJ1260" s="129">
        <f t="shared" si="907"/>
        <v>0</v>
      </c>
      <c r="BK1260" s="129">
        <f t="shared" si="903"/>
        <v>0</v>
      </c>
      <c r="BL1260" s="129" t="str">
        <f t="shared" si="935"/>
        <v>CONVICTION</v>
      </c>
      <c r="BM1260" s="129" t="str">
        <f t="shared" si="908"/>
        <v>NONE</v>
      </c>
      <c r="BN1260" s="129" t="s">
        <v>566</v>
      </c>
      <c r="BP1260" s="137" t="str">
        <f t="shared" si="909"/>
        <v>CONVICTION</v>
      </c>
      <c r="BQ1260" s="128" t="str">
        <f t="shared" si="910"/>
        <v>Y</v>
      </c>
      <c r="BR1260" s="129" t="str">
        <f t="shared" si="911"/>
        <v>DETAINED</v>
      </c>
      <c r="BS1260" s="129" t="str">
        <f t="shared" si="912"/>
        <v>DISPOSED</v>
      </c>
      <c r="BT1260" s="129" t="str">
        <f t="shared" si="913"/>
        <v>N</v>
      </c>
      <c r="BU1260" s="109">
        <f t="shared" si="914"/>
        <v>1</v>
      </c>
      <c r="BV1260" s="109">
        <f t="shared" si="915"/>
        <v>1</v>
      </c>
      <c r="BW1260" s="109">
        <f t="shared" si="936"/>
        <v>0</v>
      </c>
      <c r="BX1260" s="111">
        <f t="shared" si="916"/>
        <v>0</v>
      </c>
      <c r="BY1260" s="129">
        <f t="shared" si="917"/>
        <v>-81</v>
      </c>
      <c r="BZ1260" s="111">
        <f t="shared" si="918"/>
        <v>0</v>
      </c>
      <c r="CA1260" s="138">
        <f t="shared" si="919"/>
        <v>81</v>
      </c>
      <c r="CB1260" s="111" t="e">
        <f t="shared" si="943"/>
        <v>#VALUE!</v>
      </c>
      <c r="CC1260" s="129">
        <f>G1260-I1260+1</f>
        <v>81</v>
      </c>
      <c r="CD1260" s="129">
        <f>G1260-J1260</f>
        <v>0</v>
      </c>
      <c r="CE1260" s="129">
        <f t="shared" si="920"/>
        <v>0</v>
      </c>
      <c r="CG1260" s="129" t="str">
        <f t="shared" si="921"/>
        <v>Y</v>
      </c>
      <c r="CI1260" s="129" t="str">
        <f t="shared" si="922"/>
        <v>61-90 DAYS</v>
      </c>
      <c r="CJ1260" s="137">
        <f t="shared" si="923"/>
        <v>4</v>
      </c>
      <c r="CK1260" s="129" t="str">
        <f t="shared" si="924"/>
        <v>Booked</v>
      </c>
    </row>
    <row r="1261" spans="1:89" ht="15.75" customHeight="1" x14ac:dyDescent="0.25">
      <c r="A1261" s="111">
        <v>2213</v>
      </c>
      <c r="B1261" s="128" t="str">
        <f t="shared" si="904"/>
        <v>N</v>
      </c>
      <c r="C1261" s="128" t="str">
        <f t="shared" si="905"/>
        <v>N</v>
      </c>
      <c r="D1261" s="117">
        <v>1910014</v>
      </c>
      <c r="E1261" s="135">
        <f t="shared" si="906"/>
        <v>6</v>
      </c>
      <c r="F1261" s="124">
        <v>40992</v>
      </c>
      <c r="G1261" s="125">
        <v>41151</v>
      </c>
      <c r="H1261" s="117">
        <v>1910014</v>
      </c>
      <c r="I1261" s="124">
        <v>40992</v>
      </c>
      <c r="J1261" s="124">
        <v>41151</v>
      </c>
      <c r="K1261" s="126" t="s">
        <v>564</v>
      </c>
      <c r="L1261" s="127" t="s">
        <v>564</v>
      </c>
      <c r="N1261" s="129" t="s">
        <v>566</v>
      </c>
      <c r="O1261" s="128" t="s">
        <v>917</v>
      </c>
      <c r="P1261" s="129" t="s">
        <v>39</v>
      </c>
      <c r="Q1261" s="111">
        <f t="shared" si="940"/>
        <v>160</v>
      </c>
      <c r="R1261" s="111">
        <f t="shared" si="931"/>
        <v>160</v>
      </c>
      <c r="S1261" s="129">
        <v>2</v>
      </c>
      <c r="T1261" s="129">
        <v>2</v>
      </c>
      <c r="U1261" s="129">
        <v>2</v>
      </c>
      <c r="W1261" s="111"/>
      <c r="AC1261" s="130"/>
      <c r="AD1261" s="130">
        <v>31213</v>
      </c>
      <c r="AE1261" s="128" t="s">
        <v>32</v>
      </c>
      <c r="AF1261" s="128" t="s">
        <v>33</v>
      </c>
      <c r="AG1261" s="128" t="s">
        <v>872</v>
      </c>
      <c r="AH1261" s="108" t="s">
        <v>58</v>
      </c>
      <c r="AI1261" s="128" t="s">
        <v>95</v>
      </c>
      <c r="AJ1261" s="129" t="s">
        <v>89</v>
      </c>
      <c r="AK1261" s="129">
        <v>7</v>
      </c>
      <c r="AL1261" s="3" t="s">
        <v>362</v>
      </c>
      <c r="AM1261" s="117">
        <v>5</v>
      </c>
      <c r="AP1261" s="129" t="s">
        <v>137</v>
      </c>
      <c r="AR1261" s="128" t="s">
        <v>67</v>
      </c>
      <c r="AS1261" s="129" t="s">
        <v>64</v>
      </c>
      <c r="AT1261" s="129" t="s">
        <v>415</v>
      </c>
      <c r="AU1261" s="3" t="s">
        <v>844</v>
      </c>
      <c r="AX1261" s="32"/>
      <c r="BC1261" s="129" t="s">
        <v>99</v>
      </c>
      <c r="BF1261" s="111">
        <f t="shared" si="941"/>
        <v>160</v>
      </c>
      <c r="BG1261" s="111">
        <f t="shared" si="942"/>
        <v>160</v>
      </c>
      <c r="BH1261" s="111">
        <f t="shared" si="901"/>
        <v>160</v>
      </c>
      <c r="BI1261" s="111">
        <f t="shared" si="902"/>
        <v>26.718579234972676</v>
      </c>
      <c r="BJ1261" s="129">
        <f t="shared" si="907"/>
        <v>0</v>
      </c>
      <c r="BK1261" s="129">
        <f t="shared" si="903"/>
        <v>0</v>
      </c>
      <c r="BL1261" s="129" t="str">
        <f t="shared" si="935"/>
        <v>CONVICTION</v>
      </c>
      <c r="BM1261" s="129" t="str">
        <f t="shared" si="908"/>
        <v>NONE</v>
      </c>
      <c r="BN1261" s="129" t="s">
        <v>566</v>
      </c>
      <c r="BP1261" s="137" t="str">
        <f t="shared" si="909"/>
        <v>CONVICTION</v>
      </c>
      <c r="BQ1261" s="128" t="str">
        <f t="shared" si="910"/>
        <v>Y</v>
      </c>
      <c r="BR1261" s="129" t="str">
        <f t="shared" si="911"/>
        <v>DETAINED</v>
      </c>
      <c r="BS1261" s="129" t="str">
        <f t="shared" si="912"/>
        <v>DISPOSED</v>
      </c>
      <c r="BT1261" s="129" t="str">
        <f t="shared" si="913"/>
        <v>Y</v>
      </c>
      <c r="BU1261" s="109">
        <f t="shared" si="914"/>
        <v>1</v>
      </c>
      <c r="BV1261" s="109">
        <f t="shared" si="915"/>
        <v>1</v>
      </c>
      <c r="BW1261" s="109">
        <f t="shared" si="936"/>
        <v>0</v>
      </c>
      <c r="BX1261" s="111">
        <f t="shared" si="916"/>
        <v>0</v>
      </c>
      <c r="BY1261" s="129">
        <f t="shared" si="917"/>
        <v>-160</v>
      </c>
      <c r="BZ1261" s="111">
        <f t="shared" si="918"/>
        <v>0</v>
      </c>
      <c r="CA1261" s="138">
        <f t="shared" si="919"/>
        <v>160</v>
      </c>
      <c r="CB1261" s="111" t="e">
        <f t="shared" si="943"/>
        <v>#VALUE!</v>
      </c>
      <c r="CC1261" s="129">
        <f>G1261-I1261+1</f>
        <v>160</v>
      </c>
      <c r="CD1261" s="129">
        <f>G1261-J1261</f>
        <v>0</v>
      </c>
      <c r="CE1261" s="129">
        <f t="shared" si="920"/>
        <v>0</v>
      </c>
      <c r="CG1261" s="129" t="str">
        <f t="shared" si="921"/>
        <v>Y</v>
      </c>
      <c r="CI1261" s="129" t="str">
        <f t="shared" si="922"/>
        <v>121-365 DAYS</v>
      </c>
      <c r="CJ1261" s="137">
        <f t="shared" si="923"/>
        <v>6</v>
      </c>
      <c r="CK1261" s="129" t="str">
        <f t="shared" si="924"/>
        <v>Booked</v>
      </c>
    </row>
    <row r="1262" spans="1:89" ht="15" customHeight="1" x14ac:dyDescent="0.25">
      <c r="A1262" s="111">
        <v>2537</v>
      </c>
      <c r="B1262" s="128" t="str">
        <f t="shared" si="904"/>
        <v>N</v>
      </c>
      <c r="C1262" s="128" t="str">
        <f t="shared" si="905"/>
        <v>N</v>
      </c>
      <c r="D1262" s="117">
        <v>1910352</v>
      </c>
      <c r="E1262" s="135">
        <f t="shared" si="906"/>
        <v>2</v>
      </c>
      <c r="F1262" s="124">
        <v>41003</v>
      </c>
      <c r="G1262" s="125">
        <v>41129</v>
      </c>
      <c r="H1262" s="117">
        <v>1910352</v>
      </c>
      <c r="I1262" s="124">
        <v>41004</v>
      </c>
      <c r="J1262" s="124">
        <v>41005</v>
      </c>
      <c r="K1262" s="126">
        <v>2000</v>
      </c>
      <c r="L1262" s="127" t="s">
        <v>568</v>
      </c>
      <c r="M1262" s="125">
        <v>41005</v>
      </c>
      <c r="N1262" s="129" t="str">
        <f>IF(M1262&gt;1/1/1,"Y","N")</f>
        <v>Y</v>
      </c>
      <c r="O1262" s="128" t="s">
        <v>76</v>
      </c>
      <c r="P1262" s="129" t="s">
        <v>589</v>
      </c>
      <c r="Q1262" s="111">
        <f t="shared" si="940"/>
        <v>2</v>
      </c>
      <c r="R1262" s="111">
        <f t="shared" si="931"/>
        <v>127</v>
      </c>
      <c r="S1262" s="129">
        <v>0</v>
      </c>
      <c r="T1262" s="129">
        <v>0</v>
      </c>
      <c r="W1262" s="111"/>
      <c r="AC1262" s="130"/>
      <c r="AD1262" s="130">
        <v>30112</v>
      </c>
      <c r="AE1262" s="128" t="s">
        <v>46</v>
      </c>
      <c r="AF1262" s="128" t="s">
        <v>33</v>
      </c>
      <c r="AG1262" s="128" t="s">
        <v>872</v>
      </c>
      <c r="AH1262" s="108" t="s">
        <v>58</v>
      </c>
      <c r="AI1262" s="128" t="s">
        <v>95</v>
      </c>
      <c r="AJ1262" s="129" t="s">
        <v>48</v>
      </c>
      <c r="AK1262" s="129">
        <v>6</v>
      </c>
      <c r="AL1262" s="3" t="s">
        <v>48</v>
      </c>
      <c r="AP1262" s="129" t="s">
        <v>108</v>
      </c>
      <c r="AR1262" s="128" t="s">
        <v>44</v>
      </c>
      <c r="AS1262" s="129" t="s">
        <v>61</v>
      </c>
      <c r="BC1262" s="129" t="s">
        <v>52</v>
      </c>
      <c r="BF1262" s="111">
        <f t="shared" si="941"/>
        <v>2</v>
      </c>
      <c r="BG1262" s="111">
        <f t="shared" si="942"/>
        <v>126</v>
      </c>
      <c r="BH1262" s="111">
        <f t="shared" si="901"/>
        <v>127</v>
      </c>
      <c r="BI1262" s="111">
        <f t="shared" si="902"/>
        <v>29.756830601092897</v>
      </c>
      <c r="BJ1262" s="129">
        <f>(G1262-J1262)+(M1262-G1262)</f>
        <v>0</v>
      </c>
      <c r="BK1262" s="129">
        <f t="shared" si="903"/>
        <v>-124</v>
      </c>
      <c r="BL1262" s="129" t="str">
        <f t="shared" si="935"/>
        <v>DEFERRED</v>
      </c>
      <c r="BM1262" s="129" t="s">
        <v>76</v>
      </c>
      <c r="BN1262" s="129" t="s">
        <v>88</v>
      </c>
      <c r="BP1262" s="137" t="str">
        <f t="shared" si="909"/>
        <v>DEFERRED</v>
      </c>
      <c r="BQ1262" s="128" t="str">
        <f t="shared" si="910"/>
        <v>Y</v>
      </c>
      <c r="BR1262" s="129" t="str">
        <f t="shared" si="911"/>
        <v>ON BOND</v>
      </c>
      <c r="BS1262" s="129" t="str">
        <f t="shared" si="912"/>
        <v>DISPOSED</v>
      </c>
      <c r="BT1262" s="129" t="str">
        <f t="shared" si="913"/>
        <v>N</v>
      </c>
      <c r="BU1262" s="109">
        <f t="shared" si="914"/>
        <v>1.5748031496062992E-2</v>
      </c>
      <c r="BV1262" s="109">
        <f t="shared" si="915"/>
        <v>1.5873015873015872E-2</v>
      </c>
      <c r="BW1262" s="109">
        <f t="shared" si="936"/>
        <v>1.2498437695288023E-4</v>
      </c>
      <c r="BX1262" s="111">
        <f t="shared" si="916"/>
        <v>0</v>
      </c>
      <c r="BY1262" s="129">
        <f t="shared" si="917"/>
        <v>-2</v>
      </c>
      <c r="BZ1262" s="111">
        <f t="shared" si="918"/>
        <v>0</v>
      </c>
      <c r="CA1262" s="138">
        <f t="shared" si="919"/>
        <v>2</v>
      </c>
      <c r="CB1262" s="111" t="e">
        <f t="shared" si="943"/>
        <v>#VALUE!</v>
      </c>
      <c r="CC1262" s="129">
        <f>M1262-I1262+1</f>
        <v>2</v>
      </c>
      <c r="CD1262" s="111">
        <f>CC1262-BF1262</f>
        <v>0</v>
      </c>
      <c r="CE1262" s="129">
        <f t="shared" si="920"/>
        <v>124</v>
      </c>
      <c r="CG1262" s="129" t="str">
        <f t="shared" si="921"/>
        <v>N</v>
      </c>
      <c r="CI1262" s="129" t="str">
        <f t="shared" si="922"/>
        <v>0-10 DAYS</v>
      </c>
      <c r="CJ1262" s="137">
        <f t="shared" si="923"/>
        <v>1</v>
      </c>
      <c r="CK1262" s="129" t="str">
        <f t="shared" si="924"/>
        <v>Booked</v>
      </c>
    </row>
    <row r="1263" spans="1:89" ht="15" customHeight="1" x14ac:dyDescent="0.25">
      <c r="A1263" s="111">
        <v>2759</v>
      </c>
      <c r="B1263" s="128" t="str">
        <f t="shared" si="904"/>
        <v>N</v>
      </c>
      <c r="C1263" s="128" t="str">
        <f t="shared" si="905"/>
        <v>N</v>
      </c>
      <c r="D1263" s="117">
        <v>1910621</v>
      </c>
      <c r="E1263" s="135">
        <f t="shared" si="906"/>
        <v>5</v>
      </c>
      <c r="F1263" s="124">
        <v>41011</v>
      </c>
      <c r="G1263" s="125">
        <v>41050</v>
      </c>
      <c r="H1263" s="117">
        <v>1910621</v>
      </c>
      <c r="I1263" s="124">
        <v>41011</v>
      </c>
      <c r="J1263" s="124">
        <v>41021</v>
      </c>
      <c r="K1263" s="126">
        <v>15000</v>
      </c>
      <c r="L1263" s="127" t="s">
        <v>571</v>
      </c>
      <c r="M1263" s="125">
        <v>41021</v>
      </c>
      <c r="N1263" s="129" t="str">
        <f>IF(M1263&gt;1/1/1,"Y","N")</f>
        <v>Y</v>
      </c>
      <c r="O1263" s="128" t="s">
        <v>76</v>
      </c>
      <c r="P1263" s="129" t="s">
        <v>39</v>
      </c>
      <c r="Q1263" s="111">
        <f t="shared" si="940"/>
        <v>11</v>
      </c>
      <c r="R1263" s="111">
        <f t="shared" si="931"/>
        <v>40</v>
      </c>
      <c r="S1263" s="129">
        <v>11</v>
      </c>
      <c r="T1263" s="129">
        <v>5</v>
      </c>
      <c r="U1263" s="129">
        <v>5</v>
      </c>
      <c r="W1263" s="111"/>
      <c r="AC1263" s="130"/>
      <c r="AD1263" s="130">
        <v>30595</v>
      </c>
      <c r="AE1263" s="128" t="s">
        <v>46</v>
      </c>
      <c r="AF1263" s="128" t="s">
        <v>40</v>
      </c>
      <c r="AG1263" s="128" t="s">
        <v>41</v>
      </c>
      <c r="AH1263" s="108" t="s">
        <v>41</v>
      </c>
      <c r="AI1263" s="128" t="s">
        <v>70</v>
      </c>
      <c r="AJ1263" s="129" t="s">
        <v>89</v>
      </c>
      <c r="AK1263" s="129">
        <v>4</v>
      </c>
      <c r="AL1263" s="3" t="s">
        <v>992</v>
      </c>
      <c r="AN1263" s="117">
        <v>8</v>
      </c>
      <c r="AP1263" s="129" t="s">
        <v>43</v>
      </c>
      <c r="AR1263" s="128" t="s">
        <v>44</v>
      </c>
      <c r="AS1263" s="129" t="s">
        <v>45</v>
      </c>
      <c r="BC1263" s="129" t="s">
        <v>38</v>
      </c>
      <c r="BF1263" s="111">
        <f t="shared" si="941"/>
        <v>11</v>
      </c>
      <c r="BG1263" s="111">
        <f t="shared" si="942"/>
        <v>40</v>
      </c>
      <c r="BH1263" s="111">
        <f t="shared" si="901"/>
        <v>40</v>
      </c>
      <c r="BI1263" s="111">
        <f t="shared" si="902"/>
        <v>28.459016393442624</v>
      </c>
      <c r="BJ1263" s="129">
        <f>(G1263-J1263)+(M1263-G1263)</f>
        <v>0</v>
      </c>
      <c r="BK1263" s="129">
        <f t="shared" si="903"/>
        <v>-29</v>
      </c>
      <c r="BL1263" s="129" t="str">
        <f t="shared" si="935"/>
        <v>CONVICTION</v>
      </c>
      <c r="BM1263" s="129" t="s">
        <v>76</v>
      </c>
      <c r="BN1263" s="129" t="s">
        <v>88</v>
      </c>
      <c r="BP1263" s="137" t="str">
        <f t="shared" si="909"/>
        <v>CONVICTION</v>
      </c>
      <c r="BQ1263" s="128" t="str">
        <f t="shared" si="910"/>
        <v>Y</v>
      </c>
      <c r="BR1263" s="129" t="str">
        <f>IF(J1263&lt;G1263,"ON BOND",0)</f>
        <v>ON BOND</v>
      </c>
      <c r="BS1263" s="129" t="str">
        <f t="shared" si="912"/>
        <v>DISPOSED</v>
      </c>
      <c r="BT1263" s="129" t="str">
        <f t="shared" si="913"/>
        <v>Y</v>
      </c>
      <c r="BU1263" s="109">
        <f t="shared" si="914"/>
        <v>0.27500000000000002</v>
      </c>
      <c r="BV1263" s="109">
        <f t="shared" si="915"/>
        <v>0.27500000000000002</v>
      </c>
      <c r="BW1263" s="109">
        <f t="shared" si="936"/>
        <v>0</v>
      </c>
      <c r="BX1263" s="111">
        <f t="shared" si="916"/>
        <v>0</v>
      </c>
      <c r="BY1263" s="129">
        <f t="shared" si="917"/>
        <v>-11</v>
      </c>
      <c r="BZ1263" s="111">
        <f t="shared" si="918"/>
        <v>0</v>
      </c>
      <c r="CA1263" s="138">
        <f t="shared" si="919"/>
        <v>11</v>
      </c>
      <c r="CB1263" s="111" t="e">
        <f t="shared" si="943"/>
        <v>#VALUE!</v>
      </c>
      <c r="CC1263" s="129">
        <f>M1263-I1263+1</f>
        <v>11</v>
      </c>
      <c r="CD1263" s="111">
        <f>CC1263-BF1263</f>
        <v>0</v>
      </c>
      <c r="CE1263" s="129">
        <f t="shared" si="920"/>
        <v>29</v>
      </c>
      <c r="CG1263" s="129" t="str">
        <f t="shared" si="921"/>
        <v>Y</v>
      </c>
      <c r="CI1263" s="129" t="str">
        <f t="shared" si="922"/>
        <v>11-30 DAYS</v>
      </c>
      <c r="CJ1263" s="137">
        <f t="shared" si="923"/>
        <v>2</v>
      </c>
      <c r="CK1263" s="129" t="str">
        <f t="shared" si="924"/>
        <v>Booked</v>
      </c>
    </row>
    <row r="1264" spans="1:89" ht="15" customHeight="1" x14ac:dyDescent="0.25">
      <c r="A1264" s="111">
        <v>1885</v>
      </c>
      <c r="B1264" s="128" t="str">
        <f t="shared" si="904"/>
        <v>N</v>
      </c>
      <c r="C1264" s="128" t="str">
        <f t="shared" si="905"/>
        <v>N</v>
      </c>
      <c r="D1264" s="117">
        <v>1910694</v>
      </c>
      <c r="E1264" s="135">
        <f t="shared" si="906"/>
        <v>6</v>
      </c>
      <c r="F1264" s="124">
        <v>40978</v>
      </c>
      <c r="G1264" s="125">
        <v>41117</v>
      </c>
      <c r="H1264" s="117">
        <v>1910694</v>
      </c>
      <c r="I1264" s="124">
        <v>40978</v>
      </c>
      <c r="J1264" s="124">
        <v>41117</v>
      </c>
      <c r="K1264" s="126">
        <v>40000</v>
      </c>
      <c r="L1264" s="129" t="s">
        <v>572</v>
      </c>
      <c r="N1264" s="129" t="str">
        <f>IF(M1264&gt;1/1/1,"Y","N")</f>
        <v>N</v>
      </c>
      <c r="O1264" s="128" t="s">
        <v>917</v>
      </c>
      <c r="P1264" s="129" t="s">
        <v>39</v>
      </c>
      <c r="Q1264" s="111">
        <f t="shared" si="940"/>
        <v>140</v>
      </c>
      <c r="R1264" s="111">
        <f t="shared" si="931"/>
        <v>140</v>
      </c>
      <c r="S1264" s="129">
        <v>2</v>
      </c>
      <c r="T1264" s="129">
        <v>3</v>
      </c>
      <c r="U1264" s="129">
        <v>1</v>
      </c>
      <c r="V1264" s="117">
        <v>1</v>
      </c>
      <c r="W1264" s="111"/>
      <c r="AC1264" s="130"/>
      <c r="AD1264" s="130">
        <v>24838</v>
      </c>
      <c r="AE1264" s="128" t="s">
        <v>32</v>
      </c>
      <c r="AF1264" s="128" t="s">
        <v>33</v>
      </c>
      <c r="AG1264" s="128" t="s">
        <v>872</v>
      </c>
      <c r="AH1264" s="108" t="s">
        <v>31</v>
      </c>
      <c r="AI1264" s="128" t="s">
        <v>47</v>
      </c>
      <c r="AJ1264" s="129" t="s">
        <v>89</v>
      </c>
      <c r="AK1264" s="129">
        <v>8</v>
      </c>
      <c r="AL1264" s="3" t="s">
        <v>362</v>
      </c>
      <c r="AM1264" s="117">
        <v>4</v>
      </c>
      <c r="AP1264" s="129" t="s">
        <v>66</v>
      </c>
      <c r="AR1264" s="128" t="s">
        <v>67</v>
      </c>
      <c r="AS1264" s="129" t="s">
        <v>68</v>
      </c>
      <c r="BC1264" s="129" t="s">
        <v>52</v>
      </c>
      <c r="BF1264" s="111">
        <f t="shared" si="941"/>
        <v>140</v>
      </c>
      <c r="BG1264" s="111">
        <f t="shared" si="942"/>
        <v>140</v>
      </c>
      <c r="BH1264" s="111">
        <f t="shared" si="901"/>
        <v>140</v>
      </c>
      <c r="BI1264" s="111">
        <f t="shared" si="902"/>
        <v>44.098360655737707</v>
      </c>
      <c r="BJ1264" s="129">
        <f t="shared" si="907"/>
        <v>0</v>
      </c>
      <c r="BK1264" s="129">
        <f t="shared" si="903"/>
        <v>0</v>
      </c>
      <c r="BL1264" s="129" t="str">
        <f t="shared" si="935"/>
        <v>CONVICTION</v>
      </c>
      <c r="BM1264" s="129" t="str">
        <f t="shared" si="908"/>
        <v>NONE</v>
      </c>
      <c r="BN1264" s="129" t="s">
        <v>566</v>
      </c>
      <c r="BP1264" s="137" t="str">
        <f t="shared" si="909"/>
        <v>CONVICTION</v>
      </c>
      <c r="BQ1264" s="128" t="str">
        <f t="shared" si="910"/>
        <v>Y</v>
      </c>
      <c r="BR1264" s="129" t="str">
        <f t="shared" si="911"/>
        <v>DETAINED</v>
      </c>
      <c r="BS1264" s="129" t="str">
        <f t="shared" si="912"/>
        <v>DISPOSED</v>
      </c>
      <c r="BT1264" s="129" t="str">
        <f t="shared" si="913"/>
        <v>Y</v>
      </c>
      <c r="BU1264" s="109">
        <f t="shared" si="914"/>
        <v>1</v>
      </c>
      <c r="BV1264" s="109">
        <f t="shared" si="915"/>
        <v>1</v>
      </c>
      <c r="BW1264" s="109">
        <f t="shared" si="936"/>
        <v>0</v>
      </c>
      <c r="BX1264" s="111">
        <f t="shared" si="916"/>
        <v>0</v>
      </c>
      <c r="BY1264" s="129">
        <f t="shared" si="917"/>
        <v>-140</v>
      </c>
      <c r="BZ1264" s="111">
        <f t="shared" si="918"/>
        <v>0</v>
      </c>
      <c r="CA1264" s="138">
        <f t="shared" si="919"/>
        <v>140</v>
      </c>
      <c r="CB1264" s="111" t="e">
        <f t="shared" si="943"/>
        <v>#VALUE!</v>
      </c>
      <c r="CC1264" s="129">
        <f>G1264-I1264+1</f>
        <v>140</v>
      </c>
      <c r="CD1264" s="129">
        <f>G1264-J1264</f>
        <v>0</v>
      </c>
      <c r="CE1264" s="129">
        <f t="shared" si="920"/>
        <v>0</v>
      </c>
      <c r="CG1264" s="129" t="str">
        <f t="shared" si="921"/>
        <v>Y</v>
      </c>
      <c r="CI1264" s="129" t="str">
        <f t="shared" si="922"/>
        <v>121-365 DAYS</v>
      </c>
      <c r="CJ1264" s="137">
        <f t="shared" si="923"/>
        <v>6</v>
      </c>
      <c r="CK1264" s="129" t="str">
        <f t="shared" si="924"/>
        <v>Booked</v>
      </c>
    </row>
    <row r="1265" spans="1:89" ht="15.75" customHeight="1" x14ac:dyDescent="0.25">
      <c r="A1265" s="111">
        <v>2695</v>
      </c>
      <c r="B1265" s="128" t="str">
        <f t="shared" si="904"/>
        <v>N</v>
      </c>
      <c r="C1265" s="128" t="str">
        <f t="shared" si="905"/>
        <v>N</v>
      </c>
      <c r="D1265" s="117">
        <v>1912829</v>
      </c>
      <c r="E1265" s="135">
        <f t="shared" si="906"/>
        <v>6</v>
      </c>
      <c r="F1265" s="124">
        <v>41009</v>
      </c>
      <c r="G1265" s="125">
        <v>41186</v>
      </c>
      <c r="H1265" s="117">
        <v>1912829</v>
      </c>
      <c r="I1265" s="124">
        <v>41015</v>
      </c>
      <c r="J1265" s="124">
        <v>41186</v>
      </c>
      <c r="K1265" s="126" t="s">
        <v>564</v>
      </c>
      <c r="L1265" s="127" t="s">
        <v>564</v>
      </c>
      <c r="N1265" s="129" t="s">
        <v>566</v>
      </c>
      <c r="O1265" s="128" t="s">
        <v>917</v>
      </c>
      <c r="P1265" s="129" t="s">
        <v>39</v>
      </c>
      <c r="Q1265" s="111">
        <f t="shared" si="940"/>
        <v>172</v>
      </c>
      <c r="R1265" s="111">
        <f t="shared" si="931"/>
        <v>178</v>
      </c>
      <c r="S1265" s="129">
        <v>0</v>
      </c>
      <c r="T1265" s="129">
        <v>1</v>
      </c>
      <c r="W1265" s="111"/>
      <c r="AC1265" s="130"/>
      <c r="AD1265" s="130">
        <v>27566</v>
      </c>
      <c r="AE1265" s="128" t="s">
        <v>32</v>
      </c>
      <c r="AF1265" s="128" t="s">
        <v>40</v>
      </c>
      <c r="AG1265" s="128" t="s">
        <v>41</v>
      </c>
      <c r="AH1265" s="108" t="s">
        <v>41</v>
      </c>
      <c r="AI1265" s="128" t="s">
        <v>47</v>
      </c>
      <c r="AJ1265" s="129" t="s">
        <v>89</v>
      </c>
      <c r="AK1265" s="129">
        <v>6</v>
      </c>
      <c r="AL1265" s="3" t="s">
        <v>362</v>
      </c>
      <c r="AM1265" s="117">
        <v>2</v>
      </c>
      <c r="AP1265" s="129" t="s">
        <v>56</v>
      </c>
      <c r="AR1265" s="128" t="s">
        <v>50</v>
      </c>
      <c r="AS1265" s="129" t="s">
        <v>57</v>
      </c>
      <c r="BC1265" s="129" t="s">
        <v>38</v>
      </c>
      <c r="BF1265" s="111">
        <f t="shared" si="941"/>
        <v>172</v>
      </c>
      <c r="BG1265" s="111">
        <f t="shared" si="942"/>
        <v>172</v>
      </c>
      <c r="BH1265" s="111">
        <f t="shared" si="901"/>
        <v>178</v>
      </c>
      <c r="BI1265" s="111">
        <f t="shared" si="902"/>
        <v>36.729508196721312</v>
      </c>
      <c r="BJ1265" s="129">
        <f t="shared" si="907"/>
        <v>0</v>
      </c>
      <c r="BK1265" s="129">
        <f t="shared" si="903"/>
        <v>0</v>
      </c>
      <c r="BL1265" s="129" t="str">
        <f t="shared" si="935"/>
        <v>CONVICTION</v>
      </c>
      <c r="BM1265" s="129" t="str">
        <f t="shared" si="908"/>
        <v>NONE</v>
      </c>
      <c r="BN1265" s="129" t="s">
        <v>566</v>
      </c>
      <c r="BP1265" s="137" t="str">
        <f t="shared" si="909"/>
        <v>CONVICTION</v>
      </c>
      <c r="BQ1265" s="128" t="str">
        <f t="shared" si="910"/>
        <v>Y</v>
      </c>
      <c r="BR1265" s="129" t="str">
        <f t="shared" si="911"/>
        <v>DETAINED</v>
      </c>
      <c r="BS1265" s="129" t="str">
        <f t="shared" si="912"/>
        <v>DISPOSED</v>
      </c>
      <c r="BT1265" s="129" t="str">
        <f t="shared" si="913"/>
        <v>N</v>
      </c>
      <c r="BU1265" s="109">
        <f t="shared" si="914"/>
        <v>0.9662921348314607</v>
      </c>
      <c r="BV1265" s="109">
        <f t="shared" si="915"/>
        <v>1</v>
      </c>
      <c r="BW1265" s="109">
        <f t="shared" si="936"/>
        <v>3.3707865168539297E-2</v>
      </c>
      <c r="BX1265" s="111">
        <f t="shared" si="916"/>
        <v>0</v>
      </c>
      <c r="BY1265" s="129">
        <f t="shared" si="917"/>
        <v>-172</v>
      </c>
      <c r="BZ1265" s="111">
        <f t="shared" si="918"/>
        <v>0</v>
      </c>
      <c r="CA1265" s="138">
        <f t="shared" si="919"/>
        <v>172</v>
      </c>
      <c r="CB1265" s="111" t="e">
        <f t="shared" si="943"/>
        <v>#VALUE!</v>
      </c>
      <c r="CC1265" s="129">
        <f>G1265-I1265+1</f>
        <v>172</v>
      </c>
      <c r="CD1265" s="129">
        <f>G1265-J1265</f>
        <v>0</v>
      </c>
      <c r="CE1265" s="129">
        <f t="shared" si="920"/>
        <v>0</v>
      </c>
      <c r="CG1265" s="129" t="str">
        <f t="shared" si="921"/>
        <v>Y</v>
      </c>
      <c r="CI1265" s="129" t="str">
        <f t="shared" si="922"/>
        <v>121-365 DAYS</v>
      </c>
      <c r="CJ1265" s="137">
        <f t="shared" si="923"/>
        <v>6</v>
      </c>
      <c r="CK1265" s="129" t="str">
        <f t="shared" si="924"/>
        <v>Booked</v>
      </c>
    </row>
    <row r="1266" spans="1:89" ht="15" customHeight="1" x14ac:dyDescent="0.25">
      <c r="A1266" s="111">
        <v>264</v>
      </c>
      <c r="B1266" s="128" t="str">
        <f t="shared" si="904"/>
        <v>N</v>
      </c>
      <c r="C1266" s="128" t="str">
        <f t="shared" si="905"/>
        <v>N</v>
      </c>
      <c r="D1266" s="117">
        <v>1913651</v>
      </c>
      <c r="E1266" s="135">
        <f t="shared" si="906"/>
        <v>4</v>
      </c>
      <c r="F1266" s="124">
        <v>40920</v>
      </c>
      <c r="G1266" s="125">
        <v>40945</v>
      </c>
      <c r="H1266" s="117">
        <v>1913651</v>
      </c>
      <c r="I1266" s="124">
        <v>40920</v>
      </c>
      <c r="J1266" s="124">
        <v>40945</v>
      </c>
      <c r="K1266" s="126">
        <v>5000</v>
      </c>
      <c r="L1266" s="127" t="s">
        <v>569</v>
      </c>
      <c r="N1266" s="129" t="str">
        <f t="shared" ref="N1266:N1282" si="944">IF(M1266&gt;1/1/1,"Y","N")</f>
        <v>N</v>
      </c>
      <c r="O1266" s="128" t="s">
        <v>917</v>
      </c>
      <c r="P1266" s="129" t="s">
        <v>39</v>
      </c>
      <c r="Q1266" s="111">
        <f t="shared" si="940"/>
        <v>26</v>
      </c>
      <c r="R1266" s="111">
        <f t="shared" si="931"/>
        <v>26</v>
      </c>
      <c r="S1266" s="129">
        <v>1</v>
      </c>
      <c r="T1266" s="129">
        <v>20</v>
      </c>
      <c r="U1266" s="129">
        <v>1</v>
      </c>
      <c r="W1266" s="111"/>
      <c r="AC1266" s="130"/>
      <c r="AD1266" s="130">
        <v>30290</v>
      </c>
      <c r="AE1266" s="128" t="s">
        <v>32</v>
      </c>
      <c r="AF1266" s="128" t="s">
        <v>40</v>
      </c>
      <c r="AG1266" s="128" t="s">
        <v>41</v>
      </c>
      <c r="AH1266" s="108" t="s">
        <v>41</v>
      </c>
      <c r="AI1266" s="128" t="s">
        <v>34</v>
      </c>
      <c r="AJ1266" s="129" t="s">
        <v>89</v>
      </c>
      <c r="AK1266" s="129">
        <v>2</v>
      </c>
      <c r="AL1266" s="3" t="s">
        <v>991</v>
      </c>
      <c r="AO1266" s="128">
        <v>335</v>
      </c>
      <c r="AP1266" s="129" t="s">
        <v>184</v>
      </c>
      <c r="AR1266" s="128" t="s">
        <v>44</v>
      </c>
      <c r="AS1266" s="129" t="s">
        <v>64</v>
      </c>
      <c r="BC1266" s="129" t="s">
        <v>38</v>
      </c>
      <c r="BF1266" s="111">
        <f t="shared" si="941"/>
        <v>26</v>
      </c>
      <c r="BG1266" s="111">
        <f t="shared" si="942"/>
        <v>26</v>
      </c>
      <c r="BH1266" s="111">
        <f t="shared" si="901"/>
        <v>26</v>
      </c>
      <c r="BI1266" s="111">
        <f t="shared" si="902"/>
        <v>29.043715846994534</v>
      </c>
      <c r="BJ1266" s="129">
        <f t="shared" si="907"/>
        <v>0</v>
      </c>
      <c r="BK1266" s="129">
        <f t="shared" si="903"/>
        <v>0</v>
      </c>
      <c r="BL1266" s="129" t="str">
        <f t="shared" si="935"/>
        <v>CONVICTION</v>
      </c>
      <c r="BM1266" s="129" t="str">
        <f t="shared" si="908"/>
        <v>NONE</v>
      </c>
      <c r="BN1266" s="129" t="s">
        <v>566</v>
      </c>
      <c r="BP1266" s="137" t="str">
        <f t="shared" si="909"/>
        <v>CONVICTION</v>
      </c>
      <c r="BQ1266" s="128" t="str">
        <f t="shared" si="910"/>
        <v>Y</v>
      </c>
      <c r="BR1266" s="129" t="str">
        <f t="shared" si="911"/>
        <v>DETAINED</v>
      </c>
      <c r="BS1266" s="129" t="str">
        <f t="shared" si="912"/>
        <v>DISPOSED</v>
      </c>
      <c r="BT1266" s="129" t="str">
        <f t="shared" si="913"/>
        <v>Y</v>
      </c>
      <c r="BU1266" s="109">
        <f t="shared" si="914"/>
        <v>1</v>
      </c>
      <c r="BV1266" s="109">
        <f t="shared" si="915"/>
        <v>1</v>
      </c>
      <c r="BW1266" s="109">
        <f t="shared" si="936"/>
        <v>0</v>
      </c>
      <c r="BX1266" s="111">
        <f t="shared" si="916"/>
        <v>0</v>
      </c>
      <c r="BY1266" s="129">
        <f t="shared" si="917"/>
        <v>-26</v>
      </c>
      <c r="BZ1266" s="111">
        <f t="shared" si="918"/>
        <v>0</v>
      </c>
      <c r="CA1266" s="138">
        <f t="shared" si="919"/>
        <v>26</v>
      </c>
      <c r="CB1266" s="111" t="e">
        <f t="shared" si="943"/>
        <v>#VALUE!</v>
      </c>
      <c r="CC1266" s="129">
        <f>G1266-I1266+1</f>
        <v>26</v>
      </c>
      <c r="CD1266" s="129">
        <f>G1266-J1266</f>
        <v>0</v>
      </c>
      <c r="CE1266" s="129">
        <f t="shared" si="920"/>
        <v>0</v>
      </c>
      <c r="CG1266" s="129" t="str">
        <f t="shared" si="921"/>
        <v>Y</v>
      </c>
      <c r="CI1266" s="129" t="str">
        <f t="shared" si="922"/>
        <v>11-30 DAYS</v>
      </c>
      <c r="CJ1266" s="137">
        <f t="shared" si="923"/>
        <v>2</v>
      </c>
      <c r="CK1266" s="129" t="str">
        <f t="shared" si="924"/>
        <v>Booked</v>
      </c>
    </row>
    <row r="1267" spans="1:89" ht="15" customHeight="1" x14ac:dyDescent="0.25">
      <c r="A1267" s="111">
        <v>3070</v>
      </c>
      <c r="B1267" s="128" t="str">
        <f t="shared" si="904"/>
        <v>N</v>
      </c>
      <c r="C1267" s="128" t="str">
        <f t="shared" si="905"/>
        <v>N</v>
      </c>
      <c r="D1267" s="117">
        <v>1913693</v>
      </c>
      <c r="E1267" s="135">
        <f t="shared" si="906"/>
        <v>5</v>
      </c>
      <c r="F1267" s="124">
        <v>41023</v>
      </c>
      <c r="G1267" s="125">
        <v>41093</v>
      </c>
      <c r="H1267" s="117">
        <v>1913693</v>
      </c>
      <c r="I1267" s="124">
        <v>41023</v>
      </c>
      <c r="J1267" s="124">
        <v>41093</v>
      </c>
      <c r="K1267" s="126">
        <v>5000</v>
      </c>
      <c r="L1267" s="127" t="s">
        <v>569</v>
      </c>
      <c r="N1267" s="129" t="str">
        <f t="shared" si="944"/>
        <v>N</v>
      </c>
      <c r="O1267" s="128" t="s">
        <v>917</v>
      </c>
      <c r="P1267" s="129" t="s">
        <v>39</v>
      </c>
      <c r="Q1267" s="111">
        <f t="shared" si="940"/>
        <v>71</v>
      </c>
      <c r="R1267" s="111">
        <f t="shared" si="931"/>
        <v>71</v>
      </c>
      <c r="S1267" s="129">
        <v>5</v>
      </c>
      <c r="T1267" s="129">
        <v>5</v>
      </c>
      <c r="U1267" s="129">
        <v>1</v>
      </c>
      <c r="W1267" s="111"/>
      <c r="AC1267" s="130"/>
      <c r="AD1267" s="130">
        <v>28948</v>
      </c>
      <c r="AE1267" s="128" t="s">
        <v>32</v>
      </c>
      <c r="AF1267" s="128" t="s">
        <v>69</v>
      </c>
      <c r="AG1267" s="128" t="s">
        <v>874</v>
      </c>
      <c r="AH1267" s="108" t="s">
        <v>58</v>
      </c>
      <c r="AI1267" s="128" t="s">
        <v>90</v>
      </c>
      <c r="AJ1267" s="129" t="s">
        <v>89</v>
      </c>
      <c r="AK1267" s="129">
        <v>4</v>
      </c>
      <c r="AL1267" s="3" t="s">
        <v>992</v>
      </c>
      <c r="AN1267" s="117">
        <v>7</v>
      </c>
      <c r="AP1267" s="129" t="s">
        <v>151</v>
      </c>
      <c r="AR1267" s="128" t="s">
        <v>67</v>
      </c>
      <c r="AS1267" s="129" t="s">
        <v>64</v>
      </c>
      <c r="BC1267" s="129" t="s">
        <v>38</v>
      </c>
      <c r="BF1267" s="111">
        <f t="shared" si="941"/>
        <v>71</v>
      </c>
      <c r="BG1267" s="111">
        <f t="shared" si="942"/>
        <v>71</v>
      </c>
      <c r="BH1267" s="111">
        <f t="shared" si="901"/>
        <v>71</v>
      </c>
      <c r="BI1267" s="111">
        <f t="shared" si="902"/>
        <v>32.991803278688522</v>
      </c>
      <c r="BJ1267" s="129">
        <f t="shared" si="907"/>
        <v>0</v>
      </c>
      <c r="BK1267" s="129">
        <f t="shared" si="903"/>
        <v>0</v>
      </c>
      <c r="BL1267" s="129" t="str">
        <f t="shared" si="935"/>
        <v>CONVICTION</v>
      </c>
      <c r="BM1267" s="129" t="str">
        <f t="shared" si="908"/>
        <v>NONE</v>
      </c>
      <c r="BN1267" s="129" t="s">
        <v>566</v>
      </c>
      <c r="BP1267" s="137" t="str">
        <f t="shared" si="909"/>
        <v>CONVICTION</v>
      </c>
      <c r="BQ1267" s="128" t="str">
        <f t="shared" si="910"/>
        <v>Y</v>
      </c>
      <c r="BR1267" s="129" t="str">
        <f t="shared" si="911"/>
        <v>DETAINED</v>
      </c>
      <c r="BS1267" s="129" t="str">
        <f t="shared" si="912"/>
        <v>DISPOSED</v>
      </c>
      <c r="BT1267" s="129" t="str">
        <f t="shared" si="913"/>
        <v>Y</v>
      </c>
      <c r="BU1267" s="109">
        <f t="shared" si="914"/>
        <v>1</v>
      </c>
      <c r="BV1267" s="109">
        <f t="shared" si="915"/>
        <v>1</v>
      </c>
      <c r="BW1267" s="109">
        <f t="shared" si="936"/>
        <v>0</v>
      </c>
      <c r="BX1267" s="111">
        <f t="shared" si="916"/>
        <v>0</v>
      </c>
      <c r="BY1267" s="129">
        <f t="shared" si="917"/>
        <v>-71</v>
      </c>
      <c r="BZ1267" s="111">
        <f t="shared" si="918"/>
        <v>0</v>
      </c>
      <c r="CA1267" s="138">
        <f t="shared" si="919"/>
        <v>71</v>
      </c>
      <c r="CB1267" s="111" t="e">
        <f t="shared" si="943"/>
        <v>#VALUE!</v>
      </c>
      <c r="CC1267" s="129">
        <f>G1267-I1267+1</f>
        <v>71</v>
      </c>
      <c r="CD1267" s="129">
        <f>G1267-J1267</f>
        <v>0</v>
      </c>
      <c r="CE1267" s="129">
        <f t="shared" si="920"/>
        <v>0</v>
      </c>
      <c r="CG1267" s="129" t="str">
        <f t="shared" si="921"/>
        <v>Y</v>
      </c>
      <c r="CI1267" s="129" t="str">
        <f t="shared" si="922"/>
        <v>61-90 DAYS</v>
      </c>
      <c r="CJ1267" s="137">
        <f t="shared" si="923"/>
        <v>4</v>
      </c>
      <c r="CK1267" s="129" t="str">
        <f t="shared" si="924"/>
        <v>Booked</v>
      </c>
    </row>
    <row r="1268" spans="1:89" ht="15" customHeight="1" x14ac:dyDescent="0.25">
      <c r="A1268" s="111">
        <v>3222</v>
      </c>
      <c r="B1268" s="128" t="str">
        <f t="shared" si="904"/>
        <v>N</v>
      </c>
      <c r="C1268" s="128" t="str">
        <f t="shared" si="905"/>
        <v>N</v>
      </c>
      <c r="D1268" s="117">
        <v>1915330</v>
      </c>
      <c r="E1268" s="135">
        <f t="shared" si="906"/>
        <v>5</v>
      </c>
      <c r="F1268" s="124">
        <v>41027</v>
      </c>
      <c r="G1268" s="125">
        <v>41029</v>
      </c>
      <c r="H1268" s="117">
        <v>1915330</v>
      </c>
      <c r="I1268" s="124">
        <v>41028</v>
      </c>
      <c r="J1268" s="124">
        <v>41029</v>
      </c>
      <c r="K1268" s="126">
        <v>15000</v>
      </c>
      <c r="L1268" s="127" t="s">
        <v>571</v>
      </c>
      <c r="N1268" s="129" t="str">
        <f t="shared" si="944"/>
        <v>N</v>
      </c>
      <c r="O1268" s="128" t="s">
        <v>917</v>
      </c>
      <c r="P1268" s="129" t="s">
        <v>39</v>
      </c>
      <c r="Q1268" s="111">
        <f t="shared" si="940"/>
        <v>2</v>
      </c>
      <c r="R1268" s="111">
        <f t="shared" si="931"/>
        <v>3</v>
      </c>
      <c r="S1268" s="129">
        <v>4</v>
      </c>
      <c r="T1268" s="129">
        <v>7</v>
      </c>
      <c r="U1268" s="129">
        <v>2</v>
      </c>
      <c r="W1268" s="111"/>
      <c r="AC1268" s="130"/>
      <c r="AD1268" s="130">
        <v>30680</v>
      </c>
      <c r="AE1268" s="128" t="s">
        <v>32</v>
      </c>
      <c r="AF1268" s="128" t="s">
        <v>33</v>
      </c>
      <c r="AG1268" s="128" t="s">
        <v>872</v>
      </c>
      <c r="AH1268" s="108" t="s">
        <v>31</v>
      </c>
      <c r="AI1268" s="128" t="s">
        <v>141</v>
      </c>
      <c r="AJ1268" s="129" t="s">
        <v>89</v>
      </c>
      <c r="AK1268" s="129">
        <v>2</v>
      </c>
      <c r="AL1268" s="3" t="s">
        <v>992</v>
      </c>
      <c r="AN1268" s="117">
        <v>10</v>
      </c>
      <c r="AP1268" s="129" t="s">
        <v>127</v>
      </c>
      <c r="AR1268" s="128" t="s">
        <v>44</v>
      </c>
      <c r="AS1268" s="129" t="s">
        <v>82</v>
      </c>
      <c r="BC1268" s="129" t="s">
        <v>38</v>
      </c>
      <c r="BF1268" s="111">
        <f t="shared" si="941"/>
        <v>2</v>
      </c>
      <c r="BG1268" s="111">
        <f t="shared" si="942"/>
        <v>2</v>
      </c>
      <c r="BH1268" s="111">
        <f t="shared" si="901"/>
        <v>3</v>
      </c>
      <c r="BI1268" s="111">
        <f t="shared" si="902"/>
        <v>28.270491803278688</v>
      </c>
      <c r="BJ1268" s="129">
        <f t="shared" si="907"/>
        <v>0</v>
      </c>
      <c r="BK1268" s="129">
        <f t="shared" si="903"/>
        <v>0</v>
      </c>
      <c r="BL1268" s="129" t="str">
        <f t="shared" si="935"/>
        <v>CONVICTION</v>
      </c>
      <c r="BM1268" s="129" t="str">
        <f t="shared" si="908"/>
        <v>NONE</v>
      </c>
      <c r="BN1268" s="129" t="s">
        <v>566</v>
      </c>
      <c r="BP1268" s="137" t="str">
        <f t="shared" si="909"/>
        <v>CONVICTION</v>
      </c>
      <c r="BQ1268" s="128" t="str">
        <f t="shared" si="910"/>
        <v>Y</v>
      </c>
      <c r="BR1268" s="129" t="str">
        <f t="shared" si="911"/>
        <v>DETAINED</v>
      </c>
      <c r="BS1268" s="129" t="str">
        <f t="shared" si="912"/>
        <v>DISPOSED</v>
      </c>
      <c r="BT1268" s="129" t="str">
        <f t="shared" si="913"/>
        <v>Y</v>
      </c>
      <c r="BU1268" s="109">
        <f t="shared" si="914"/>
        <v>0.66666666666666663</v>
      </c>
      <c r="BV1268" s="109">
        <f t="shared" si="915"/>
        <v>1</v>
      </c>
      <c r="BW1268" s="109">
        <f t="shared" si="936"/>
        <v>0.33333333333333337</v>
      </c>
      <c r="BX1268" s="111">
        <f t="shared" si="916"/>
        <v>0</v>
      </c>
      <c r="BY1268" s="129">
        <f t="shared" si="917"/>
        <v>-2</v>
      </c>
      <c r="BZ1268" s="111">
        <f t="shared" si="918"/>
        <v>0</v>
      </c>
      <c r="CA1268" s="138">
        <f t="shared" si="919"/>
        <v>2</v>
      </c>
      <c r="CB1268" s="111" t="e">
        <f t="shared" si="943"/>
        <v>#VALUE!</v>
      </c>
      <c r="CC1268" s="129">
        <f>G1268-I1268+1</f>
        <v>2</v>
      </c>
      <c r="CD1268" s="129">
        <f>G1268-J1268</f>
        <v>0</v>
      </c>
      <c r="CE1268" s="129">
        <f t="shared" si="920"/>
        <v>0</v>
      </c>
      <c r="CG1268" s="129" t="str">
        <f t="shared" si="921"/>
        <v>Y</v>
      </c>
      <c r="CI1268" s="129" t="str">
        <f t="shared" si="922"/>
        <v>0-10 DAYS</v>
      </c>
      <c r="CJ1268" s="137">
        <f t="shared" si="923"/>
        <v>1</v>
      </c>
      <c r="CK1268" s="129" t="str">
        <f t="shared" si="924"/>
        <v>Booked</v>
      </c>
    </row>
    <row r="1269" spans="1:89" ht="15.75" customHeight="1" x14ac:dyDescent="0.25">
      <c r="A1269" s="111">
        <v>248</v>
      </c>
      <c r="B1269" s="128" t="str">
        <f t="shared" si="904"/>
        <v>N</v>
      </c>
      <c r="C1269" s="128" t="str">
        <f t="shared" si="905"/>
        <v>N</v>
      </c>
      <c r="D1269" s="117">
        <v>1918160</v>
      </c>
      <c r="E1269" s="135">
        <f t="shared" si="906"/>
        <v>4</v>
      </c>
      <c r="F1269" s="124">
        <v>40919</v>
      </c>
      <c r="G1269" s="125">
        <v>41053</v>
      </c>
      <c r="H1269" s="117">
        <v>1918160</v>
      </c>
      <c r="I1269" s="124">
        <v>40938</v>
      </c>
      <c r="J1269" s="124">
        <v>40939</v>
      </c>
      <c r="K1269" s="126">
        <v>15000</v>
      </c>
      <c r="L1269" s="127" t="s">
        <v>571</v>
      </c>
      <c r="M1269" s="125">
        <v>40939</v>
      </c>
      <c r="N1269" s="129" t="str">
        <f t="shared" si="944"/>
        <v>Y</v>
      </c>
      <c r="O1269" s="128" t="s">
        <v>76</v>
      </c>
      <c r="P1269" s="129" t="s">
        <v>39</v>
      </c>
      <c r="Q1269" s="111">
        <f t="shared" si="940"/>
        <v>2</v>
      </c>
      <c r="R1269" s="111">
        <f t="shared" si="931"/>
        <v>135</v>
      </c>
      <c r="S1269" s="129">
        <v>6</v>
      </c>
      <c r="T1269" s="129">
        <v>3</v>
      </c>
      <c r="U1269" s="129">
        <v>2</v>
      </c>
      <c r="W1269" s="111"/>
      <c r="AC1269" s="130"/>
      <c r="AD1269" s="130">
        <v>30365</v>
      </c>
      <c r="AE1269" s="128" t="s">
        <v>32</v>
      </c>
      <c r="AF1269" s="128" t="s">
        <v>69</v>
      </c>
      <c r="AG1269" s="128" t="s">
        <v>874</v>
      </c>
      <c r="AH1269" s="108" t="s">
        <v>31</v>
      </c>
      <c r="AI1269" s="128" t="s">
        <v>80</v>
      </c>
      <c r="AJ1269" s="129" t="s">
        <v>89</v>
      </c>
      <c r="AK1269" s="129">
        <v>5</v>
      </c>
      <c r="AL1269" s="3" t="s">
        <v>991</v>
      </c>
      <c r="AO1269" s="128">
        <v>120</v>
      </c>
      <c r="AP1269" s="129" t="s">
        <v>60</v>
      </c>
      <c r="AR1269" s="128" t="s">
        <v>44</v>
      </c>
      <c r="AS1269" s="129" t="s">
        <v>61</v>
      </c>
      <c r="BC1269" s="129" t="s">
        <v>52</v>
      </c>
      <c r="BF1269" s="111">
        <f t="shared" si="941"/>
        <v>2</v>
      </c>
      <c r="BG1269" s="111">
        <f t="shared" si="942"/>
        <v>116</v>
      </c>
      <c r="BH1269" s="111">
        <f t="shared" si="901"/>
        <v>135</v>
      </c>
      <c r="BI1269" s="111">
        <f t="shared" si="902"/>
        <v>28.83606557377049</v>
      </c>
      <c r="BJ1269" s="129">
        <f>(G1269-J1269)+(M1269-G1269)</f>
        <v>0</v>
      </c>
      <c r="BK1269" s="129">
        <f t="shared" si="903"/>
        <v>-114</v>
      </c>
      <c r="BL1269" s="129" t="str">
        <f t="shared" si="935"/>
        <v>CONVICTION</v>
      </c>
      <c r="BM1269" s="129" t="s">
        <v>76</v>
      </c>
      <c r="BN1269" s="129" t="s">
        <v>88</v>
      </c>
      <c r="BP1269" s="137" t="str">
        <f t="shared" si="909"/>
        <v>CONVICTION</v>
      </c>
      <c r="BQ1269" s="128" t="str">
        <f t="shared" si="910"/>
        <v>Y</v>
      </c>
      <c r="BR1269" s="129" t="str">
        <f>IF(J1269&lt;G1269,"ON BOND",0)</f>
        <v>ON BOND</v>
      </c>
      <c r="BS1269" s="129" t="str">
        <f t="shared" si="912"/>
        <v>DISPOSED</v>
      </c>
      <c r="BT1269" s="129" t="str">
        <f t="shared" si="913"/>
        <v>Y</v>
      </c>
      <c r="BU1269" s="109">
        <f t="shared" si="914"/>
        <v>1.4814814814814815E-2</v>
      </c>
      <c r="BV1269" s="109">
        <f t="shared" si="915"/>
        <v>1.7241379310344827E-2</v>
      </c>
      <c r="BW1269" s="109">
        <f t="shared" si="936"/>
        <v>2.426564495530012E-3</v>
      </c>
      <c r="BX1269" s="111">
        <f t="shared" si="916"/>
        <v>0</v>
      </c>
      <c r="BY1269" s="129">
        <f t="shared" si="917"/>
        <v>-2</v>
      </c>
      <c r="BZ1269" s="111">
        <f t="shared" si="918"/>
        <v>0</v>
      </c>
      <c r="CA1269" s="138">
        <f t="shared" si="919"/>
        <v>2</v>
      </c>
      <c r="CB1269" s="111" t="e">
        <f t="shared" si="943"/>
        <v>#VALUE!</v>
      </c>
      <c r="CC1269" s="129">
        <f>M1269-I1269+1</f>
        <v>2</v>
      </c>
      <c r="CD1269" s="111">
        <f>CC1269-BF1269</f>
        <v>0</v>
      </c>
      <c r="CE1269" s="129">
        <f t="shared" si="920"/>
        <v>114</v>
      </c>
      <c r="CG1269" s="129" t="str">
        <f t="shared" si="921"/>
        <v>Y</v>
      </c>
      <c r="CI1269" s="129" t="str">
        <f t="shared" si="922"/>
        <v>0-10 DAYS</v>
      </c>
      <c r="CJ1269" s="137">
        <f t="shared" si="923"/>
        <v>1</v>
      </c>
      <c r="CK1269" s="129" t="str">
        <f t="shared" si="924"/>
        <v>Booked</v>
      </c>
    </row>
    <row r="1270" spans="1:89" ht="15.75" customHeight="1" x14ac:dyDescent="0.25">
      <c r="A1270" s="111">
        <v>2973</v>
      </c>
      <c r="B1270" s="128" t="str">
        <f t="shared" si="904"/>
        <v>N</v>
      </c>
      <c r="C1270" s="128" t="str">
        <f t="shared" si="905"/>
        <v>N</v>
      </c>
      <c r="D1270" s="117">
        <v>1918360</v>
      </c>
      <c r="E1270" s="135">
        <f t="shared" si="906"/>
        <v>1</v>
      </c>
      <c r="F1270" s="124">
        <v>41018</v>
      </c>
      <c r="G1270" s="125">
        <v>41080</v>
      </c>
      <c r="H1270" s="117">
        <v>1918360</v>
      </c>
      <c r="I1270" s="124">
        <v>41018</v>
      </c>
      <c r="J1270" s="124">
        <v>41080</v>
      </c>
      <c r="K1270" s="126">
        <v>50000</v>
      </c>
      <c r="L1270" s="129" t="s">
        <v>572</v>
      </c>
      <c r="N1270" s="129" t="str">
        <f t="shared" si="944"/>
        <v>N</v>
      </c>
      <c r="O1270" s="128" t="s">
        <v>917</v>
      </c>
      <c r="P1270" s="129" t="s">
        <v>123</v>
      </c>
      <c r="Q1270" s="111">
        <f t="shared" si="940"/>
        <v>63</v>
      </c>
      <c r="R1270" s="111">
        <f t="shared" si="931"/>
        <v>63</v>
      </c>
      <c r="S1270" s="129">
        <v>9</v>
      </c>
      <c r="T1270" s="129">
        <v>9</v>
      </c>
      <c r="U1270" s="129">
        <v>5</v>
      </c>
      <c r="W1270" s="111"/>
      <c r="AC1270" s="130"/>
      <c r="AD1270" s="130">
        <v>31084</v>
      </c>
      <c r="AE1270" s="128" t="s">
        <v>32</v>
      </c>
      <c r="AF1270" s="128" t="s">
        <v>40</v>
      </c>
      <c r="AG1270" s="128" t="s">
        <v>41</v>
      </c>
      <c r="AH1270" s="108" t="s">
        <v>41</v>
      </c>
      <c r="AI1270" s="128" t="s">
        <v>87</v>
      </c>
      <c r="AJ1270" s="129" t="s">
        <v>123</v>
      </c>
      <c r="AK1270" s="129">
        <v>3</v>
      </c>
      <c r="AL1270" s="3" t="s">
        <v>123</v>
      </c>
      <c r="AP1270" s="129" t="s">
        <v>125</v>
      </c>
      <c r="AR1270" s="128" t="s">
        <v>50</v>
      </c>
      <c r="AS1270" s="129" t="s">
        <v>126</v>
      </c>
      <c r="BC1270" s="129" t="s">
        <v>38</v>
      </c>
      <c r="BF1270" s="111">
        <f t="shared" si="941"/>
        <v>63</v>
      </c>
      <c r="BG1270" s="111">
        <f t="shared" si="942"/>
        <v>63</v>
      </c>
      <c r="BH1270" s="111">
        <f t="shared" si="901"/>
        <v>63</v>
      </c>
      <c r="BI1270" s="111">
        <f t="shared" si="902"/>
        <v>27.142076502732241</v>
      </c>
      <c r="BJ1270" s="129">
        <f t="shared" si="907"/>
        <v>0</v>
      </c>
      <c r="BK1270" s="129">
        <f t="shared" si="903"/>
        <v>0</v>
      </c>
      <c r="BL1270" s="129" t="str">
        <f t="shared" si="935"/>
        <v>NO CONVICTION</v>
      </c>
      <c r="BM1270" s="129" t="str">
        <f t="shared" si="908"/>
        <v>NONE</v>
      </c>
      <c r="BN1270" s="129" t="s">
        <v>566</v>
      </c>
      <c r="BP1270" s="137" t="str">
        <f t="shared" si="909"/>
        <v>NO CONVICTION</v>
      </c>
      <c r="BQ1270" s="128" t="str">
        <f t="shared" si="910"/>
        <v>Y</v>
      </c>
      <c r="BR1270" s="129" t="str">
        <f t="shared" si="911"/>
        <v>DETAINED</v>
      </c>
      <c r="BS1270" s="129" t="str">
        <f t="shared" si="912"/>
        <v>DISPOSED</v>
      </c>
      <c r="BT1270" s="129" t="str">
        <f t="shared" si="913"/>
        <v>Y</v>
      </c>
      <c r="BU1270" s="109">
        <f>IFERROR(Q1270/R1270,BR1270)</f>
        <v>1</v>
      </c>
      <c r="BV1270" s="109">
        <f t="shared" si="915"/>
        <v>1</v>
      </c>
      <c r="BW1270" s="109">
        <f t="shared" si="936"/>
        <v>0</v>
      </c>
      <c r="BX1270" s="111">
        <f t="shared" si="916"/>
        <v>0</v>
      </c>
      <c r="BY1270" s="129">
        <f t="shared" si="917"/>
        <v>-63</v>
      </c>
      <c r="BZ1270" s="111">
        <f t="shared" si="918"/>
        <v>0</v>
      </c>
      <c r="CA1270" s="138">
        <f t="shared" si="919"/>
        <v>63</v>
      </c>
      <c r="CB1270" s="111" t="e">
        <f t="shared" si="943"/>
        <v>#VALUE!</v>
      </c>
      <c r="CC1270" s="129">
        <f>G1270-I1270+1</f>
        <v>63</v>
      </c>
      <c r="CD1270" s="129">
        <f>G1270-J1270</f>
        <v>0</v>
      </c>
      <c r="CE1270" s="129">
        <f t="shared" si="920"/>
        <v>0</v>
      </c>
      <c r="CG1270" s="129" t="str">
        <f t="shared" si="921"/>
        <v>Y</v>
      </c>
      <c r="CI1270" s="129" t="str">
        <f t="shared" si="922"/>
        <v>61-90 DAYS</v>
      </c>
      <c r="CJ1270" s="137">
        <f t="shared" si="923"/>
        <v>4</v>
      </c>
      <c r="CK1270" s="129" t="str">
        <f t="shared" si="924"/>
        <v>Booked</v>
      </c>
    </row>
    <row r="1271" spans="1:89" ht="15.75" customHeight="1" x14ac:dyDescent="0.25">
      <c r="A1271" s="111">
        <v>1230</v>
      </c>
      <c r="B1271" s="128" t="str">
        <f t="shared" si="904"/>
        <v>N</v>
      </c>
      <c r="C1271" s="128" t="str">
        <f t="shared" si="905"/>
        <v>Y</v>
      </c>
      <c r="D1271" s="114">
        <v>1918392</v>
      </c>
      <c r="E1271" s="135">
        <f t="shared" si="906"/>
        <v>1</v>
      </c>
      <c r="F1271" s="124">
        <v>40953</v>
      </c>
      <c r="G1271" s="125">
        <v>42031</v>
      </c>
      <c r="H1271" s="114">
        <v>1918392</v>
      </c>
      <c r="I1271" s="124">
        <v>40954</v>
      </c>
      <c r="J1271" s="124">
        <v>40961</v>
      </c>
      <c r="K1271" s="126">
        <v>50000</v>
      </c>
      <c r="L1271" s="129" t="s">
        <v>572</v>
      </c>
      <c r="M1271" s="125">
        <v>40961</v>
      </c>
      <c r="N1271" s="129" t="str">
        <f t="shared" si="944"/>
        <v>Y</v>
      </c>
      <c r="O1271" s="128" t="s">
        <v>585</v>
      </c>
      <c r="P1271" s="32" t="s">
        <v>1361</v>
      </c>
      <c r="Q1271" s="111">
        <v>8</v>
      </c>
      <c r="R1271" s="111">
        <v>1076</v>
      </c>
      <c r="S1271" s="129">
        <v>2</v>
      </c>
      <c r="T1271" s="129">
        <v>0</v>
      </c>
      <c r="U1271" s="129">
        <v>2</v>
      </c>
      <c r="W1271" s="111"/>
      <c r="AC1271" s="130"/>
      <c r="AD1271" s="130">
        <v>30470</v>
      </c>
      <c r="AE1271" s="128" t="s">
        <v>32</v>
      </c>
      <c r="AF1271" s="128" t="s">
        <v>33</v>
      </c>
      <c r="AG1271" s="128" t="s">
        <v>872</v>
      </c>
      <c r="AH1271" s="108" t="s">
        <v>31</v>
      </c>
      <c r="AI1271" s="128" t="s">
        <v>53</v>
      </c>
      <c r="AJ1271" s="129" t="s">
        <v>55</v>
      </c>
      <c r="AK1271" s="129">
        <v>15</v>
      </c>
      <c r="AL1271" s="3" t="s">
        <v>55</v>
      </c>
      <c r="AP1271" s="129" t="s">
        <v>148</v>
      </c>
      <c r="AR1271" s="128" t="s">
        <v>67</v>
      </c>
      <c r="AS1271" s="129" t="s">
        <v>45</v>
      </c>
      <c r="AT1271" s="129" t="s">
        <v>1413</v>
      </c>
      <c r="AU1271" s="3" t="s">
        <v>1362</v>
      </c>
      <c r="AV1271" s="129"/>
      <c r="AW1271" s="3"/>
      <c r="AX1271" s="32" t="s">
        <v>88</v>
      </c>
      <c r="AY1271" s="123"/>
      <c r="AZ1271" s="123"/>
      <c r="BC1271" s="129" t="s">
        <v>52</v>
      </c>
      <c r="BF1271" s="111">
        <v>74</v>
      </c>
      <c r="BG1271" s="111"/>
      <c r="BH1271" s="111">
        <v>1076</v>
      </c>
      <c r="BI1271" s="111">
        <f t="shared" si="902"/>
        <v>28.642076502732241</v>
      </c>
      <c r="BJ1271" s="129">
        <f>(G1271-J1271)+(M1271-G1271)</f>
        <v>0</v>
      </c>
      <c r="BK1271" s="129">
        <f t="shared" si="903"/>
        <v>-1070</v>
      </c>
      <c r="BL1271" s="129" t="str">
        <f t="shared" si="935"/>
        <v>NO CONVICTION</v>
      </c>
      <c r="BM1271" s="129" t="s">
        <v>76</v>
      </c>
      <c r="BN1271" s="129" t="s">
        <v>88</v>
      </c>
      <c r="BP1271" s="137" t="str">
        <f t="shared" si="909"/>
        <v>NO CONVICTION</v>
      </c>
      <c r="BQ1271" s="128" t="str">
        <f t="shared" si="910"/>
        <v>Y</v>
      </c>
      <c r="BR1271" s="129" t="s">
        <v>575</v>
      </c>
      <c r="BS1271" s="129" t="s">
        <v>1259</v>
      </c>
      <c r="BT1271" s="129" t="str">
        <f t="shared" si="913"/>
        <v>Y</v>
      </c>
      <c r="BU1271" s="109">
        <v>6.8699999999999997E-2</v>
      </c>
      <c r="BV1271" s="129"/>
      <c r="BW1271" s="109">
        <v>0</v>
      </c>
      <c r="BX1271" s="111">
        <f t="shared" si="916"/>
        <v>-66</v>
      </c>
      <c r="BY1271" s="129">
        <f t="shared" si="917"/>
        <v>-8</v>
      </c>
      <c r="BZ1271" s="111">
        <f t="shared" si="918"/>
        <v>66</v>
      </c>
      <c r="CA1271" s="138">
        <f t="shared" si="919"/>
        <v>8</v>
      </c>
      <c r="CB1271" s="111" t="e">
        <v>#VALUE!</v>
      </c>
      <c r="CC1271" s="129">
        <v>74</v>
      </c>
      <c r="CE1271" s="129">
        <f t="shared" si="920"/>
        <v>1070</v>
      </c>
      <c r="CG1271" s="129" t="str">
        <f t="shared" si="921"/>
        <v>Y</v>
      </c>
      <c r="CH1271" s="129" t="e">
        <v>#N/A</v>
      </c>
      <c r="CI1271" s="129" t="str">
        <f t="shared" si="922"/>
        <v>61-90 DAYS</v>
      </c>
      <c r="CJ1271" s="137">
        <f t="shared" si="923"/>
        <v>4</v>
      </c>
      <c r="CK1271" s="129" t="str">
        <f t="shared" si="924"/>
        <v>Booked</v>
      </c>
    </row>
    <row r="1272" spans="1:89" ht="15" customHeight="1" x14ac:dyDescent="0.25">
      <c r="A1272" s="111">
        <v>1346</v>
      </c>
      <c r="B1272" s="128" t="str">
        <f t="shared" si="904"/>
        <v>N</v>
      </c>
      <c r="C1272" s="128" t="str">
        <f t="shared" si="905"/>
        <v>N</v>
      </c>
      <c r="D1272" s="117">
        <v>1918923</v>
      </c>
      <c r="E1272" s="135">
        <f t="shared" si="906"/>
        <v>1</v>
      </c>
      <c r="F1272" s="124">
        <v>40957</v>
      </c>
      <c r="G1272" s="125">
        <v>41031</v>
      </c>
      <c r="H1272" s="117">
        <v>1918923</v>
      </c>
      <c r="I1272" s="124">
        <v>40957</v>
      </c>
      <c r="J1272" s="124">
        <v>40967</v>
      </c>
      <c r="K1272" s="126">
        <v>30000</v>
      </c>
      <c r="L1272" s="129" t="s">
        <v>572</v>
      </c>
      <c r="M1272" s="125">
        <v>40967</v>
      </c>
      <c r="N1272" s="129" t="str">
        <f t="shared" si="944"/>
        <v>Y</v>
      </c>
      <c r="O1272" s="128" t="s">
        <v>585</v>
      </c>
      <c r="P1272" s="129" t="s">
        <v>55</v>
      </c>
      <c r="Q1272" s="111">
        <f t="shared" si="940"/>
        <v>11</v>
      </c>
      <c r="R1272" s="111">
        <f t="shared" si="931"/>
        <v>75</v>
      </c>
      <c r="S1272" s="129">
        <v>5</v>
      </c>
      <c r="T1272" s="129">
        <v>2</v>
      </c>
      <c r="U1272" s="129">
        <v>1</v>
      </c>
      <c r="W1272" s="111"/>
      <c r="AC1272" s="130"/>
      <c r="AD1272" s="130">
        <v>30529</v>
      </c>
      <c r="AE1272" s="128" t="s">
        <v>32</v>
      </c>
      <c r="AF1272" s="128" t="s">
        <v>33</v>
      </c>
      <c r="AG1272" s="128" t="s">
        <v>872</v>
      </c>
      <c r="AH1272" s="108" t="s">
        <v>31</v>
      </c>
      <c r="AI1272" s="128" t="s">
        <v>53</v>
      </c>
      <c r="AJ1272" s="129" t="s">
        <v>55</v>
      </c>
      <c r="AK1272" s="129">
        <v>5</v>
      </c>
      <c r="AL1272" s="3" t="s">
        <v>55</v>
      </c>
      <c r="AP1272" s="129" t="s">
        <v>43</v>
      </c>
      <c r="AR1272" s="128" t="s">
        <v>44</v>
      </c>
      <c r="AS1272" s="129" t="s">
        <v>45</v>
      </c>
      <c r="AT1272" s="129" t="s">
        <v>324</v>
      </c>
      <c r="BC1272" s="129" t="s">
        <v>52</v>
      </c>
      <c r="BF1272" s="111">
        <f t="shared" si="941"/>
        <v>11</v>
      </c>
      <c r="BG1272" s="111">
        <f t="shared" si="942"/>
        <v>75</v>
      </c>
      <c r="BH1272" s="111">
        <f t="shared" si="901"/>
        <v>75</v>
      </c>
      <c r="BI1272" s="111">
        <f t="shared" si="902"/>
        <v>28.491803278688526</v>
      </c>
      <c r="BJ1272" s="129">
        <f>(G1272-J1272)+(M1272-G1272)</f>
        <v>0</v>
      </c>
      <c r="BK1272" s="129">
        <f t="shared" si="903"/>
        <v>-64</v>
      </c>
      <c r="BL1272" s="129" t="str">
        <f t="shared" si="935"/>
        <v>NO CONVICTION</v>
      </c>
      <c r="BM1272" s="129" t="s">
        <v>76</v>
      </c>
      <c r="BN1272" s="129" t="s">
        <v>88</v>
      </c>
      <c r="BP1272" s="137" t="str">
        <f t="shared" si="909"/>
        <v>NO CONVICTION</v>
      </c>
      <c r="BQ1272" s="128" t="str">
        <f t="shared" si="910"/>
        <v>Y</v>
      </c>
      <c r="BR1272" s="129" t="str">
        <f t="shared" si="911"/>
        <v>ON BOND</v>
      </c>
      <c r="BS1272" s="129" t="str">
        <f t="shared" si="912"/>
        <v>DISPOSED</v>
      </c>
      <c r="BT1272" s="129" t="str">
        <f t="shared" si="913"/>
        <v>Y</v>
      </c>
      <c r="BU1272" s="109">
        <f>IFERROR(Q1272/R1272,BR1272)</f>
        <v>0.14666666666666667</v>
      </c>
      <c r="BV1272" s="109">
        <f t="shared" si="915"/>
        <v>0.14666666666666667</v>
      </c>
      <c r="BW1272" s="109">
        <f t="shared" ref="BW1272:BW1325" si="945">BV1272-BU1272</f>
        <v>0</v>
      </c>
      <c r="BX1272" s="111">
        <f t="shared" si="916"/>
        <v>0</v>
      </c>
      <c r="BY1272" s="129">
        <f t="shared" si="917"/>
        <v>-11</v>
      </c>
      <c r="BZ1272" s="111">
        <f t="shared" si="918"/>
        <v>0</v>
      </c>
      <c r="CA1272" s="138">
        <f t="shared" si="919"/>
        <v>11</v>
      </c>
      <c r="CB1272" s="111" t="e">
        <f t="shared" si="943"/>
        <v>#VALUE!</v>
      </c>
      <c r="CC1272" s="129">
        <f>M1272-I1272+1</f>
        <v>11</v>
      </c>
      <c r="CD1272" s="111">
        <f>CC1272-BF1272</f>
        <v>0</v>
      </c>
      <c r="CE1272" s="129">
        <f t="shared" si="920"/>
        <v>64</v>
      </c>
      <c r="CG1272" s="129" t="str">
        <f t="shared" si="921"/>
        <v>Y</v>
      </c>
      <c r="CI1272" s="129" t="str">
        <f t="shared" si="922"/>
        <v>11-30 DAYS</v>
      </c>
      <c r="CJ1272" s="137">
        <f t="shared" si="923"/>
        <v>2</v>
      </c>
      <c r="CK1272" s="129" t="str">
        <f t="shared" si="924"/>
        <v>Booked</v>
      </c>
    </row>
    <row r="1273" spans="1:89" ht="15" customHeight="1" x14ac:dyDescent="0.25">
      <c r="A1273" s="111">
        <v>924</v>
      </c>
      <c r="B1273" s="128" t="str">
        <f t="shared" si="904"/>
        <v>N</v>
      </c>
      <c r="C1273" s="128" t="str">
        <f t="shared" si="905"/>
        <v>N</v>
      </c>
      <c r="D1273" s="117">
        <v>1920027</v>
      </c>
      <c r="E1273" s="135">
        <f t="shared" si="906"/>
        <v>2</v>
      </c>
      <c r="F1273" s="124">
        <v>40943</v>
      </c>
      <c r="G1273" s="125">
        <v>41108</v>
      </c>
      <c r="H1273" s="117">
        <v>1920027</v>
      </c>
      <c r="I1273" s="124">
        <v>40943</v>
      </c>
      <c r="J1273" s="124">
        <v>40948</v>
      </c>
      <c r="K1273" s="126">
        <v>20000</v>
      </c>
      <c r="L1273" s="127" t="s">
        <v>571</v>
      </c>
      <c r="M1273" s="125">
        <v>40948</v>
      </c>
      <c r="N1273" s="129" t="str">
        <f t="shared" si="944"/>
        <v>Y</v>
      </c>
      <c r="O1273" s="128" t="s">
        <v>585</v>
      </c>
      <c r="P1273" s="129" t="s">
        <v>589</v>
      </c>
      <c r="Q1273" s="111">
        <f t="shared" si="940"/>
        <v>6</v>
      </c>
      <c r="R1273" s="111">
        <f t="shared" si="931"/>
        <v>166</v>
      </c>
      <c r="S1273" s="129">
        <v>0</v>
      </c>
      <c r="T1273" s="129">
        <v>2</v>
      </c>
      <c r="W1273" s="111"/>
      <c r="AC1273" s="130"/>
      <c r="AD1273" s="130">
        <v>28947</v>
      </c>
      <c r="AE1273" s="128" t="s">
        <v>32</v>
      </c>
      <c r="AF1273" s="128" t="s">
        <v>40</v>
      </c>
      <c r="AG1273" s="128" t="s">
        <v>41</v>
      </c>
      <c r="AH1273" s="108" t="s">
        <v>41</v>
      </c>
      <c r="AI1273" s="128" t="s">
        <v>70</v>
      </c>
      <c r="AJ1273" s="129" t="s">
        <v>48</v>
      </c>
      <c r="AK1273" s="129">
        <v>8</v>
      </c>
      <c r="AL1273" s="3" t="s">
        <v>48</v>
      </c>
      <c r="AP1273" s="129" t="s">
        <v>132</v>
      </c>
      <c r="AR1273" s="128" t="s">
        <v>92</v>
      </c>
      <c r="AS1273" s="129" t="s">
        <v>82</v>
      </c>
      <c r="BC1273" s="129" t="s">
        <v>52</v>
      </c>
      <c r="BF1273" s="111">
        <f t="shared" si="941"/>
        <v>6</v>
      </c>
      <c r="BG1273" s="111">
        <f t="shared" si="942"/>
        <v>166</v>
      </c>
      <c r="BH1273" s="111">
        <f t="shared" si="901"/>
        <v>166</v>
      </c>
      <c r="BI1273" s="111">
        <f t="shared" si="902"/>
        <v>32.775956284153004</v>
      </c>
      <c r="BJ1273" s="129">
        <f>(G1273-J1273)+(M1273-G1273)</f>
        <v>0</v>
      </c>
      <c r="BK1273" s="129">
        <f t="shared" si="903"/>
        <v>-160</v>
      </c>
      <c r="BL1273" s="129" t="str">
        <f t="shared" si="935"/>
        <v>DEFERRED</v>
      </c>
      <c r="BM1273" s="129" t="s">
        <v>76</v>
      </c>
      <c r="BN1273" s="129" t="s">
        <v>88</v>
      </c>
      <c r="BP1273" s="137" t="str">
        <f t="shared" si="909"/>
        <v>DEFERRED</v>
      </c>
      <c r="BQ1273" s="128" t="str">
        <f t="shared" si="910"/>
        <v>Y</v>
      </c>
      <c r="BR1273" s="129" t="str">
        <f t="shared" si="911"/>
        <v>ON BOND</v>
      </c>
      <c r="BS1273" s="129" t="str">
        <f t="shared" si="912"/>
        <v>DISPOSED</v>
      </c>
      <c r="BT1273" s="129" t="str">
        <f t="shared" si="913"/>
        <v>N</v>
      </c>
      <c r="BU1273" s="109">
        <f t="shared" si="914"/>
        <v>3.614457831325301E-2</v>
      </c>
      <c r="BV1273" s="109">
        <f t="shared" si="915"/>
        <v>3.614457831325301E-2</v>
      </c>
      <c r="BW1273" s="109">
        <f t="shared" si="945"/>
        <v>0</v>
      </c>
      <c r="BX1273" s="111">
        <f t="shared" si="916"/>
        <v>0</v>
      </c>
      <c r="BY1273" s="129">
        <f t="shared" si="917"/>
        <v>-6</v>
      </c>
      <c r="BZ1273" s="111">
        <f t="shared" si="918"/>
        <v>0</v>
      </c>
      <c r="CA1273" s="138">
        <f t="shared" si="919"/>
        <v>6</v>
      </c>
      <c r="CB1273" s="111" t="e">
        <f t="shared" si="943"/>
        <v>#VALUE!</v>
      </c>
      <c r="CC1273" s="129">
        <f>M1273-I1273+1</f>
        <v>6</v>
      </c>
      <c r="CD1273" s="111">
        <f>CC1273-BF1273</f>
        <v>0</v>
      </c>
      <c r="CE1273" s="129">
        <f t="shared" si="920"/>
        <v>160</v>
      </c>
      <c r="CG1273" s="129" t="str">
        <f t="shared" si="921"/>
        <v>Y</v>
      </c>
      <c r="CI1273" s="129" t="str">
        <f t="shared" si="922"/>
        <v>0-10 DAYS</v>
      </c>
      <c r="CJ1273" s="137">
        <f t="shared" si="923"/>
        <v>1</v>
      </c>
      <c r="CK1273" s="129" t="str">
        <f t="shared" si="924"/>
        <v>Booked</v>
      </c>
    </row>
    <row r="1274" spans="1:89" ht="15" customHeight="1" x14ac:dyDescent="0.25">
      <c r="A1274" s="111">
        <v>2581</v>
      </c>
      <c r="B1274" s="128" t="str">
        <f t="shared" si="904"/>
        <v>N</v>
      </c>
      <c r="C1274" s="128" t="str">
        <f t="shared" si="905"/>
        <v>N</v>
      </c>
      <c r="D1274" s="117">
        <v>1920111</v>
      </c>
      <c r="E1274" s="135">
        <f t="shared" si="906"/>
        <v>4</v>
      </c>
      <c r="F1274" s="124">
        <v>41005</v>
      </c>
      <c r="G1274" s="125">
        <v>41008</v>
      </c>
      <c r="H1274" s="117">
        <v>1920111</v>
      </c>
      <c r="I1274" s="124">
        <v>41005</v>
      </c>
      <c r="J1274" s="124">
        <v>41008</v>
      </c>
      <c r="K1274" s="126">
        <v>5000</v>
      </c>
      <c r="L1274" s="127" t="s">
        <v>569</v>
      </c>
      <c r="N1274" s="129" t="str">
        <f t="shared" si="944"/>
        <v>N</v>
      </c>
      <c r="O1274" s="128" t="s">
        <v>917</v>
      </c>
      <c r="P1274" s="129" t="s">
        <v>39</v>
      </c>
      <c r="Q1274" s="111">
        <f t="shared" si="940"/>
        <v>4</v>
      </c>
      <c r="R1274" s="111">
        <f t="shared" si="931"/>
        <v>4</v>
      </c>
      <c r="S1274" s="129">
        <v>3</v>
      </c>
      <c r="T1274" s="129">
        <v>4</v>
      </c>
      <c r="U1274" s="129">
        <v>1</v>
      </c>
      <c r="W1274" s="111"/>
      <c r="AC1274" s="130"/>
      <c r="AD1274" s="130">
        <v>30068</v>
      </c>
      <c r="AE1274" s="128" t="s">
        <v>46</v>
      </c>
      <c r="AF1274" s="128" t="s">
        <v>33</v>
      </c>
      <c r="AG1274" s="128" t="s">
        <v>872</v>
      </c>
      <c r="AH1274" s="108" t="s">
        <v>31</v>
      </c>
      <c r="AI1274" s="128" t="s">
        <v>47</v>
      </c>
      <c r="AJ1274" s="129" t="s">
        <v>89</v>
      </c>
      <c r="AK1274" s="129">
        <v>1</v>
      </c>
      <c r="AL1274" s="3" t="s">
        <v>991</v>
      </c>
      <c r="AO1274" s="128">
        <v>180</v>
      </c>
      <c r="AP1274" s="129" t="s">
        <v>60</v>
      </c>
      <c r="AR1274" s="128" t="s">
        <v>44</v>
      </c>
      <c r="AS1274" s="129" t="s">
        <v>61</v>
      </c>
      <c r="BC1274" s="129" t="s">
        <v>38</v>
      </c>
      <c r="BF1274" s="111">
        <f t="shared" si="941"/>
        <v>4</v>
      </c>
      <c r="BG1274" s="111">
        <f t="shared" si="942"/>
        <v>4</v>
      </c>
      <c r="BH1274" s="111">
        <f t="shared" si="901"/>
        <v>4</v>
      </c>
      <c r="BI1274" s="111">
        <f t="shared" si="902"/>
        <v>29.882513661202186</v>
      </c>
      <c r="BJ1274" s="129">
        <f t="shared" si="907"/>
        <v>0</v>
      </c>
      <c r="BK1274" s="129">
        <f t="shared" si="903"/>
        <v>0</v>
      </c>
      <c r="BL1274" s="129" t="str">
        <f t="shared" si="935"/>
        <v>CONVICTION</v>
      </c>
      <c r="BM1274" s="129" t="str">
        <f t="shared" si="908"/>
        <v>NONE</v>
      </c>
      <c r="BN1274" s="129" t="s">
        <v>566</v>
      </c>
      <c r="BP1274" s="137" t="str">
        <f t="shared" si="909"/>
        <v>CONVICTION</v>
      </c>
      <c r="BQ1274" s="128" t="str">
        <f t="shared" si="910"/>
        <v>Y</v>
      </c>
      <c r="BR1274" s="129" t="str">
        <f t="shared" si="911"/>
        <v>DETAINED</v>
      </c>
      <c r="BS1274" s="129" t="str">
        <f t="shared" si="912"/>
        <v>DISPOSED</v>
      </c>
      <c r="BT1274" s="129" t="str">
        <f t="shared" si="913"/>
        <v>Y</v>
      </c>
      <c r="BU1274" s="109">
        <f t="shared" si="914"/>
        <v>1</v>
      </c>
      <c r="BV1274" s="109">
        <f t="shared" si="915"/>
        <v>1</v>
      </c>
      <c r="BW1274" s="109">
        <f t="shared" si="945"/>
        <v>0</v>
      </c>
      <c r="BX1274" s="111">
        <f t="shared" si="916"/>
        <v>0</v>
      </c>
      <c r="BY1274" s="129">
        <f t="shared" si="917"/>
        <v>-4</v>
      </c>
      <c r="BZ1274" s="111">
        <f t="shared" si="918"/>
        <v>0</v>
      </c>
      <c r="CA1274" s="138">
        <f t="shared" si="919"/>
        <v>4</v>
      </c>
      <c r="CB1274" s="111" t="e">
        <f t="shared" si="943"/>
        <v>#VALUE!</v>
      </c>
      <c r="CC1274" s="129">
        <f>G1274-I1274+1</f>
        <v>4</v>
      </c>
      <c r="CD1274" s="129">
        <f>G1274-J1274</f>
        <v>0</v>
      </c>
      <c r="CE1274" s="129">
        <f t="shared" si="920"/>
        <v>0</v>
      </c>
      <c r="CG1274" s="129" t="str">
        <f t="shared" si="921"/>
        <v>Y</v>
      </c>
      <c r="CI1274" s="129" t="str">
        <f t="shared" si="922"/>
        <v>0-10 DAYS</v>
      </c>
      <c r="CJ1274" s="137">
        <f t="shared" si="923"/>
        <v>1</v>
      </c>
      <c r="CK1274" s="129" t="str">
        <f t="shared" si="924"/>
        <v>Booked</v>
      </c>
    </row>
    <row r="1275" spans="1:89" ht="15.75" customHeight="1" x14ac:dyDescent="0.25">
      <c r="A1275" s="111">
        <v>2931</v>
      </c>
      <c r="B1275" s="128" t="str">
        <f t="shared" si="904"/>
        <v>N</v>
      </c>
      <c r="C1275" s="128" t="str">
        <f t="shared" si="905"/>
        <v>N</v>
      </c>
      <c r="D1275" s="117">
        <v>1920178</v>
      </c>
      <c r="E1275" s="135">
        <f t="shared" si="906"/>
        <v>5</v>
      </c>
      <c r="F1275" s="124">
        <v>41017</v>
      </c>
      <c r="G1275" s="125">
        <v>41051</v>
      </c>
      <c r="H1275" s="117">
        <v>1920178</v>
      </c>
      <c r="I1275" s="124">
        <v>41017</v>
      </c>
      <c r="J1275" s="124">
        <v>41051</v>
      </c>
      <c r="K1275" s="126">
        <v>5000</v>
      </c>
      <c r="L1275" s="127" t="s">
        <v>569</v>
      </c>
      <c r="N1275" s="129" t="str">
        <f t="shared" si="944"/>
        <v>N</v>
      </c>
      <c r="O1275" s="128" t="s">
        <v>917</v>
      </c>
      <c r="P1275" s="129" t="s">
        <v>39</v>
      </c>
      <c r="Q1275" s="111">
        <f t="shared" si="940"/>
        <v>35</v>
      </c>
      <c r="R1275" s="111">
        <f t="shared" si="931"/>
        <v>35</v>
      </c>
      <c r="S1275" s="129">
        <v>2</v>
      </c>
      <c r="T1275" s="129">
        <v>2</v>
      </c>
      <c r="W1275" s="111"/>
      <c r="AC1275" s="130"/>
      <c r="AD1275" s="130">
        <v>29820</v>
      </c>
      <c r="AE1275" s="128" t="s">
        <v>32</v>
      </c>
      <c r="AF1275" s="128" t="s">
        <v>33</v>
      </c>
      <c r="AG1275" s="128" t="s">
        <v>872</v>
      </c>
      <c r="AH1275" s="108" t="s">
        <v>58</v>
      </c>
      <c r="AI1275" s="128" t="s">
        <v>97</v>
      </c>
      <c r="AJ1275" s="129" t="s">
        <v>89</v>
      </c>
      <c r="AK1275" s="129">
        <v>4</v>
      </c>
      <c r="AL1275" s="3" t="s">
        <v>992</v>
      </c>
      <c r="AN1275" s="117">
        <v>6</v>
      </c>
      <c r="AP1275" s="129" t="s">
        <v>43</v>
      </c>
      <c r="AR1275" s="128" t="s">
        <v>44</v>
      </c>
      <c r="AS1275" s="129" t="s">
        <v>45</v>
      </c>
      <c r="BC1275" s="129" t="s">
        <v>38</v>
      </c>
      <c r="BF1275" s="111">
        <f t="shared" si="941"/>
        <v>35</v>
      </c>
      <c r="BG1275" s="111">
        <f t="shared" si="942"/>
        <v>35</v>
      </c>
      <c r="BH1275" s="111">
        <f t="shared" si="901"/>
        <v>35</v>
      </c>
      <c r="BI1275" s="111">
        <f t="shared" si="902"/>
        <v>30.592896174863387</v>
      </c>
      <c r="BJ1275" s="129">
        <f t="shared" si="907"/>
        <v>0</v>
      </c>
      <c r="BK1275" s="129">
        <f t="shared" si="903"/>
        <v>0</v>
      </c>
      <c r="BL1275" s="129" t="str">
        <f t="shared" si="935"/>
        <v>CONVICTION</v>
      </c>
      <c r="BM1275" s="129" t="str">
        <f t="shared" si="908"/>
        <v>NONE</v>
      </c>
      <c r="BN1275" s="129" t="s">
        <v>566</v>
      </c>
      <c r="BP1275" s="137" t="str">
        <f t="shared" si="909"/>
        <v>CONVICTION</v>
      </c>
      <c r="BQ1275" s="128" t="str">
        <f t="shared" si="910"/>
        <v>Y</v>
      </c>
      <c r="BR1275" s="129" t="str">
        <f t="shared" si="911"/>
        <v>DETAINED</v>
      </c>
      <c r="BS1275" s="129" t="str">
        <f t="shared" si="912"/>
        <v>DISPOSED</v>
      </c>
      <c r="BT1275" s="129" t="str">
        <f t="shared" si="913"/>
        <v>Y</v>
      </c>
      <c r="BU1275" s="109">
        <f t="shared" si="914"/>
        <v>1</v>
      </c>
      <c r="BV1275" s="109">
        <f t="shared" si="915"/>
        <v>1</v>
      </c>
      <c r="BW1275" s="109">
        <f t="shared" si="945"/>
        <v>0</v>
      </c>
      <c r="BX1275" s="111">
        <f t="shared" si="916"/>
        <v>0</v>
      </c>
      <c r="BY1275" s="129">
        <f t="shared" si="917"/>
        <v>-35</v>
      </c>
      <c r="BZ1275" s="111">
        <f t="shared" si="918"/>
        <v>0</v>
      </c>
      <c r="CA1275" s="138">
        <f t="shared" si="919"/>
        <v>35</v>
      </c>
      <c r="CB1275" s="111" t="e">
        <f t="shared" si="943"/>
        <v>#VALUE!</v>
      </c>
      <c r="CC1275" s="129">
        <f>G1275-I1275+1</f>
        <v>35</v>
      </c>
      <c r="CD1275" s="129">
        <f>G1275-J1275</f>
        <v>0</v>
      </c>
      <c r="CE1275" s="129">
        <f t="shared" si="920"/>
        <v>0</v>
      </c>
      <c r="CG1275" s="129" t="str">
        <f t="shared" si="921"/>
        <v>Y</v>
      </c>
      <c r="CI1275" s="129" t="str">
        <f t="shared" si="922"/>
        <v>31-60 DAYS</v>
      </c>
      <c r="CJ1275" s="137">
        <f t="shared" si="923"/>
        <v>3</v>
      </c>
      <c r="CK1275" s="129" t="str">
        <f t="shared" si="924"/>
        <v>Booked</v>
      </c>
    </row>
    <row r="1276" spans="1:89" ht="15.75" customHeight="1" x14ac:dyDescent="0.25">
      <c r="A1276" s="111">
        <v>2982</v>
      </c>
      <c r="B1276" s="128" t="str">
        <f t="shared" si="904"/>
        <v>N</v>
      </c>
      <c r="C1276" s="128" t="str">
        <f t="shared" si="905"/>
        <v>N</v>
      </c>
      <c r="D1276" s="117">
        <v>1920777</v>
      </c>
      <c r="E1276" s="135">
        <f t="shared" si="906"/>
        <v>5</v>
      </c>
      <c r="F1276" s="124">
        <v>41018</v>
      </c>
      <c r="G1276" s="125">
        <v>41022</v>
      </c>
      <c r="H1276" s="117">
        <v>1920777</v>
      </c>
      <c r="I1276" s="124">
        <v>41019</v>
      </c>
      <c r="J1276" s="124">
        <v>41022</v>
      </c>
      <c r="K1276" s="126">
        <v>15000</v>
      </c>
      <c r="L1276" s="127" t="s">
        <v>571</v>
      </c>
      <c r="N1276" s="129" t="str">
        <f t="shared" si="944"/>
        <v>N</v>
      </c>
      <c r="O1276" s="128" t="s">
        <v>917</v>
      </c>
      <c r="P1276" s="129" t="s">
        <v>39</v>
      </c>
      <c r="Q1276" s="111">
        <f t="shared" si="940"/>
        <v>4</v>
      </c>
      <c r="R1276" s="111">
        <f t="shared" si="931"/>
        <v>5</v>
      </c>
      <c r="S1276" s="129">
        <v>4</v>
      </c>
      <c r="T1276" s="129">
        <v>1</v>
      </c>
      <c r="U1276" s="129">
        <v>2</v>
      </c>
      <c r="W1276" s="111"/>
      <c r="AC1276" s="130"/>
      <c r="AD1276" s="130">
        <v>30105</v>
      </c>
      <c r="AE1276" s="128" t="s">
        <v>32</v>
      </c>
      <c r="AF1276" s="128" t="s">
        <v>33</v>
      </c>
      <c r="AG1276" s="128" t="s">
        <v>872</v>
      </c>
      <c r="AH1276" s="108" t="s">
        <v>58</v>
      </c>
      <c r="AI1276" s="128" t="s">
        <v>141</v>
      </c>
      <c r="AJ1276" s="129" t="s">
        <v>89</v>
      </c>
      <c r="AK1276" s="129">
        <v>1</v>
      </c>
      <c r="AL1276" s="3" t="s">
        <v>992</v>
      </c>
      <c r="AN1276" s="117">
        <v>6</v>
      </c>
      <c r="AP1276" s="129" t="s">
        <v>60</v>
      </c>
      <c r="AR1276" s="128" t="s">
        <v>44</v>
      </c>
      <c r="AS1276" s="129" t="s">
        <v>61</v>
      </c>
      <c r="BC1276" s="129" t="s">
        <v>38</v>
      </c>
      <c r="BF1276" s="111">
        <f t="shared" si="941"/>
        <v>4</v>
      </c>
      <c r="BG1276" s="111">
        <f t="shared" si="942"/>
        <v>4</v>
      </c>
      <c r="BH1276" s="111">
        <f t="shared" si="901"/>
        <v>5</v>
      </c>
      <c r="BI1276" s="111">
        <f t="shared" si="902"/>
        <v>29.816939890710383</v>
      </c>
      <c r="BJ1276" s="129">
        <f t="shared" si="907"/>
        <v>0</v>
      </c>
      <c r="BK1276" s="129">
        <f t="shared" si="903"/>
        <v>0</v>
      </c>
      <c r="BL1276" s="129" t="str">
        <f t="shared" si="935"/>
        <v>CONVICTION</v>
      </c>
      <c r="BM1276" s="129" t="str">
        <f t="shared" si="908"/>
        <v>NONE</v>
      </c>
      <c r="BN1276" s="129" t="s">
        <v>566</v>
      </c>
      <c r="BP1276" s="137" t="str">
        <f t="shared" si="909"/>
        <v>CONVICTION</v>
      </c>
      <c r="BQ1276" s="128" t="str">
        <f t="shared" si="910"/>
        <v>Y</v>
      </c>
      <c r="BR1276" s="129" t="str">
        <f t="shared" si="911"/>
        <v>DETAINED</v>
      </c>
      <c r="BS1276" s="129" t="str">
        <f t="shared" si="912"/>
        <v>DISPOSED</v>
      </c>
      <c r="BT1276" s="129" t="str">
        <f t="shared" si="913"/>
        <v>Y</v>
      </c>
      <c r="BU1276" s="109">
        <f t="shared" si="914"/>
        <v>0.8</v>
      </c>
      <c r="BV1276" s="109">
        <f t="shared" si="915"/>
        <v>1</v>
      </c>
      <c r="BW1276" s="109">
        <f t="shared" si="945"/>
        <v>0.19999999999999996</v>
      </c>
      <c r="BX1276" s="111">
        <f t="shared" si="916"/>
        <v>0</v>
      </c>
      <c r="BY1276" s="129">
        <f t="shared" si="917"/>
        <v>-4</v>
      </c>
      <c r="BZ1276" s="111">
        <f t="shared" si="918"/>
        <v>0</v>
      </c>
      <c r="CA1276" s="138">
        <f t="shared" si="919"/>
        <v>4</v>
      </c>
      <c r="CB1276" s="111" t="e">
        <f t="shared" si="943"/>
        <v>#VALUE!</v>
      </c>
      <c r="CC1276" s="129">
        <f>G1276-I1276+1</f>
        <v>4</v>
      </c>
      <c r="CD1276" s="129">
        <f>G1276-J1276</f>
        <v>0</v>
      </c>
      <c r="CE1276" s="129">
        <f t="shared" si="920"/>
        <v>0</v>
      </c>
      <c r="CG1276" s="129" t="str">
        <f t="shared" si="921"/>
        <v>Y</v>
      </c>
      <c r="CI1276" s="129" t="str">
        <f t="shared" si="922"/>
        <v>0-10 DAYS</v>
      </c>
      <c r="CJ1276" s="137">
        <f t="shared" si="923"/>
        <v>1</v>
      </c>
      <c r="CK1276" s="129" t="str">
        <f t="shared" si="924"/>
        <v>Booked</v>
      </c>
    </row>
    <row r="1277" spans="1:89" ht="15.75" customHeight="1" x14ac:dyDescent="0.25">
      <c r="A1277" s="111">
        <v>1753</v>
      </c>
      <c r="B1277" s="128" t="str">
        <f t="shared" si="904"/>
        <v>N</v>
      </c>
      <c r="C1277" s="128" t="str">
        <f t="shared" si="905"/>
        <v>N</v>
      </c>
      <c r="D1277" s="117">
        <v>1923102</v>
      </c>
      <c r="E1277" s="135">
        <f t="shared" si="906"/>
        <v>2</v>
      </c>
      <c r="F1277" s="124">
        <v>40974</v>
      </c>
      <c r="G1277" s="125">
        <v>41011</v>
      </c>
      <c r="H1277" s="117">
        <v>1923102</v>
      </c>
      <c r="I1277" s="124">
        <v>40974</v>
      </c>
      <c r="J1277" s="124">
        <v>40977</v>
      </c>
      <c r="K1277" s="126">
        <v>10000</v>
      </c>
      <c r="L1277" s="127" t="s">
        <v>570</v>
      </c>
      <c r="M1277" s="125">
        <v>40977</v>
      </c>
      <c r="N1277" s="129" t="str">
        <f t="shared" si="944"/>
        <v>Y</v>
      </c>
      <c r="O1277" s="128" t="s">
        <v>76</v>
      </c>
      <c r="P1277" s="129" t="s">
        <v>589</v>
      </c>
      <c r="Q1277" s="111">
        <f t="shared" si="940"/>
        <v>4</v>
      </c>
      <c r="R1277" s="111">
        <f t="shared" si="931"/>
        <v>38</v>
      </c>
      <c r="S1277" s="129">
        <v>0</v>
      </c>
      <c r="T1277" s="129">
        <v>0</v>
      </c>
      <c r="W1277" s="111"/>
      <c r="AC1277" s="130"/>
      <c r="AD1277" s="130">
        <v>30322</v>
      </c>
      <c r="AE1277" s="128" t="s">
        <v>32</v>
      </c>
      <c r="AF1277" s="128" t="s">
        <v>69</v>
      </c>
      <c r="AG1277" s="128" t="s">
        <v>874</v>
      </c>
      <c r="AH1277" s="108" t="s">
        <v>58</v>
      </c>
      <c r="AI1277" s="128" t="s">
        <v>85</v>
      </c>
      <c r="AJ1277" s="129" t="s">
        <v>48</v>
      </c>
      <c r="AK1277" s="129">
        <v>5</v>
      </c>
      <c r="AL1277" s="3" t="s">
        <v>48</v>
      </c>
      <c r="AP1277" s="129" t="s">
        <v>108</v>
      </c>
      <c r="AR1277" s="128" t="s">
        <v>44</v>
      </c>
      <c r="AS1277" s="129" t="s">
        <v>61</v>
      </c>
      <c r="BC1277" s="129" t="s">
        <v>38</v>
      </c>
      <c r="BF1277" s="111">
        <f t="shared" si="941"/>
        <v>4</v>
      </c>
      <c r="BG1277" s="111">
        <f t="shared" si="942"/>
        <v>38</v>
      </c>
      <c r="BH1277" s="111">
        <f t="shared" si="901"/>
        <v>38</v>
      </c>
      <c r="BI1277" s="111">
        <f t="shared" si="902"/>
        <v>29.103825136612024</v>
      </c>
      <c r="BJ1277" s="129">
        <f>(G1277-J1277)+(M1277-G1277)</f>
        <v>0</v>
      </c>
      <c r="BK1277" s="129">
        <f t="shared" si="903"/>
        <v>-34</v>
      </c>
      <c r="BL1277" s="129" t="str">
        <f t="shared" si="935"/>
        <v>DEFERRED</v>
      </c>
      <c r="BM1277" s="129" t="s">
        <v>76</v>
      </c>
      <c r="BN1277" s="129" t="s">
        <v>88</v>
      </c>
      <c r="BP1277" s="137" t="str">
        <f t="shared" si="909"/>
        <v>DEFERRED</v>
      </c>
      <c r="BQ1277" s="128" t="str">
        <f t="shared" si="910"/>
        <v>Y</v>
      </c>
      <c r="BR1277" s="129" t="str">
        <f t="shared" si="911"/>
        <v>ON BOND</v>
      </c>
      <c r="BS1277" s="129" t="str">
        <f t="shared" si="912"/>
        <v>DISPOSED</v>
      </c>
      <c r="BT1277" s="129" t="str">
        <f t="shared" si="913"/>
        <v>N</v>
      </c>
      <c r="BU1277" s="109">
        <f t="shared" si="914"/>
        <v>0.10526315789473684</v>
      </c>
      <c r="BV1277" s="109">
        <f t="shared" si="915"/>
        <v>0.10526315789473684</v>
      </c>
      <c r="BW1277" s="109">
        <f t="shared" si="945"/>
        <v>0</v>
      </c>
      <c r="BX1277" s="111">
        <f t="shared" si="916"/>
        <v>0</v>
      </c>
      <c r="BY1277" s="129">
        <f t="shared" si="917"/>
        <v>-4</v>
      </c>
      <c r="BZ1277" s="111">
        <f t="shared" si="918"/>
        <v>0</v>
      </c>
      <c r="CA1277" s="138">
        <f t="shared" si="919"/>
        <v>4</v>
      </c>
      <c r="CB1277" s="111" t="e">
        <f t="shared" si="943"/>
        <v>#VALUE!</v>
      </c>
      <c r="CC1277" s="129">
        <f>M1277-I1277+1</f>
        <v>4</v>
      </c>
      <c r="CD1277" s="111">
        <f>CC1277-BF1277</f>
        <v>0</v>
      </c>
      <c r="CE1277" s="129">
        <f t="shared" si="920"/>
        <v>34</v>
      </c>
      <c r="CG1277" s="129" t="str">
        <f t="shared" si="921"/>
        <v>N</v>
      </c>
      <c r="CI1277" s="129" t="str">
        <f t="shared" si="922"/>
        <v>0-10 DAYS</v>
      </c>
      <c r="CJ1277" s="137">
        <f t="shared" si="923"/>
        <v>1</v>
      </c>
      <c r="CK1277" s="129" t="str">
        <f t="shared" si="924"/>
        <v>Booked</v>
      </c>
    </row>
    <row r="1278" spans="1:89" ht="15" customHeight="1" x14ac:dyDescent="0.25">
      <c r="A1278" s="111">
        <v>2978</v>
      </c>
      <c r="B1278" s="128" t="str">
        <f t="shared" si="904"/>
        <v>Y</v>
      </c>
      <c r="C1278" s="128" t="str">
        <f t="shared" si="905"/>
        <v>N</v>
      </c>
      <c r="D1278" s="117">
        <v>1924291</v>
      </c>
      <c r="E1278" s="135">
        <f t="shared" si="906"/>
        <v>4</v>
      </c>
      <c r="F1278" s="124">
        <v>41018</v>
      </c>
      <c r="G1278" s="125">
        <v>41354</v>
      </c>
      <c r="H1278" s="117">
        <v>1924291</v>
      </c>
      <c r="I1278" s="124">
        <v>41058</v>
      </c>
      <c r="J1278" s="124">
        <v>41112</v>
      </c>
      <c r="K1278" s="126">
        <v>15000</v>
      </c>
      <c r="L1278" s="127" t="s">
        <v>571</v>
      </c>
      <c r="M1278" s="125">
        <v>41112</v>
      </c>
      <c r="N1278" s="129" t="str">
        <f t="shared" si="944"/>
        <v>Y</v>
      </c>
      <c r="O1278" s="128" t="s">
        <v>76</v>
      </c>
      <c r="P1278" s="129" t="s">
        <v>39</v>
      </c>
      <c r="Q1278" s="111">
        <v>111</v>
      </c>
      <c r="R1278" s="111">
        <f t="shared" si="931"/>
        <v>337</v>
      </c>
      <c r="S1278" s="129">
        <v>7</v>
      </c>
      <c r="T1278" s="129">
        <v>3</v>
      </c>
      <c r="U1278" s="129">
        <v>5</v>
      </c>
      <c r="W1278" s="111"/>
      <c r="AC1278" s="130"/>
      <c r="AD1278" s="130">
        <v>30941</v>
      </c>
      <c r="AE1278" s="128" t="s">
        <v>32</v>
      </c>
      <c r="AF1278" s="128" t="s">
        <v>33</v>
      </c>
      <c r="AG1278" s="128" t="s">
        <v>872</v>
      </c>
      <c r="AH1278" s="108" t="s">
        <v>31</v>
      </c>
      <c r="AI1278" s="128" t="s">
        <v>62</v>
      </c>
      <c r="AJ1278" s="129" t="s">
        <v>89</v>
      </c>
      <c r="AK1278" s="129">
        <v>17</v>
      </c>
      <c r="AL1278" s="3" t="s">
        <v>991</v>
      </c>
      <c r="AO1278" s="128">
        <v>365</v>
      </c>
      <c r="AP1278" s="129" t="s">
        <v>98</v>
      </c>
      <c r="AR1278" s="128" t="s">
        <v>44</v>
      </c>
      <c r="AS1278" s="129" t="s">
        <v>64</v>
      </c>
      <c r="AT1278" s="129" t="s">
        <v>1279</v>
      </c>
      <c r="BC1278" s="129" t="s">
        <v>38</v>
      </c>
      <c r="BD1278" s="129" t="s">
        <v>1280</v>
      </c>
      <c r="BF1278" s="111">
        <v>111</v>
      </c>
      <c r="BG1278" s="111">
        <f t="shared" si="942"/>
        <v>297</v>
      </c>
      <c r="BH1278" s="111">
        <f t="shared" si="901"/>
        <v>337</v>
      </c>
      <c r="BI1278" s="111">
        <f t="shared" si="902"/>
        <v>27.532786885245901</v>
      </c>
      <c r="BJ1278" s="129">
        <f>(G1278-J1278)+(M1278-G1278)</f>
        <v>0</v>
      </c>
      <c r="BK1278" s="129">
        <f t="shared" si="903"/>
        <v>-242</v>
      </c>
      <c r="BL1278" s="129" t="str">
        <f t="shared" si="935"/>
        <v>CONVICTION</v>
      </c>
      <c r="BM1278" s="129" t="s">
        <v>76</v>
      </c>
      <c r="BN1278" s="129" t="s">
        <v>88</v>
      </c>
      <c r="BP1278" s="137" t="str">
        <f t="shared" si="909"/>
        <v>CONVICTION</v>
      </c>
      <c r="BQ1278" s="128" t="str">
        <f t="shared" si="910"/>
        <v>Y</v>
      </c>
      <c r="BR1278" s="129" t="s">
        <v>574</v>
      </c>
      <c r="BS1278" s="129" t="str">
        <f t="shared" si="912"/>
        <v>DISPOSED</v>
      </c>
      <c r="BT1278" s="129" t="str">
        <f t="shared" si="913"/>
        <v>Y</v>
      </c>
      <c r="BU1278" s="109">
        <f>IFERROR(Q1278/R1278,BR1278)</f>
        <v>0.32937685459940652</v>
      </c>
      <c r="BV1278" s="109">
        <f t="shared" si="915"/>
        <v>0.18518518518518517</v>
      </c>
      <c r="BW1278" s="109">
        <f t="shared" si="945"/>
        <v>-0.14419166941422135</v>
      </c>
      <c r="BX1278" s="111">
        <f t="shared" si="916"/>
        <v>0</v>
      </c>
      <c r="BY1278" s="129">
        <f t="shared" si="917"/>
        <v>-55</v>
      </c>
      <c r="BZ1278" s="111">
        <f t="shared" si="918"/>
        <v>56</v>
      </c>
      <c r="CA1278" s="138">
        <f t="shared" si="919"/>
        <v>297</v>
      </c>
      <c r="CB1278" s="111">
        <v>111</v>
      </c>
      <c r="CC1278" s="129">
        <f>G1278-I1278+1</f>
        <v>297</v>
      </c>
      <c r="CD1278" s="129">
        <f>G1278-J1278</f>
        <v>242</v>
      </c>
      <c r="CE1278" s="129" t="s">
        <v>1326</v>
      </c>
      <c r="CG1278" s="129" t="str">
        <f t="shared" si="921"/>
        <v>Y</v>
      </c>
      <c r="CI1278" s="129" t="str">
        <f t="shared" si="922"/>
        <v>91-120 DAYS</v>
      </c>
      <c r="CJ1278" s="137">
        <f t="shared" si="923"/>
        <v>0</v>
      </c>
      <c r="CK1278" s="129" t="str">
        <f t="shared" si="924"/>
        <v>Booked</v>
      </c>
    </row>
    <row r="1279" spans="1:89" ht="15" customHeight="1" x14ac:dyDescent="0.25">
      <c r="A1279" s="111">
        <v>968</v>
      </c>
      <c r="B1279" s="128" t="str">
        <f t="shared" si="904"/>
        <v>N</v>
      </c>
      <c r="C1279" s="128" t="str">
        <f t="shared" si="905"/>
        <v>N</v>
      </c>
      <c r="D1279" s="117">
        <v>1924559</v>
      </c>
      <c r="E1279" s="135">
        <f t="shared" si="906"/>
        <v>4</v>
      </c>
      <c r="F1279" s="124">
        <v>40944</v>
      </c>
      <c r="G1279" s="125">
        <v>40946</v>
      </c>
      <c r="H1279" s="117">
        <v>1924559</v>
      </c>
      <c r="I1279" s="124">
        <v>40944</v>
      </c>
      <c r="J1279" s="124">
        <v>40946</v>
      </c>
      <c r="K1279" s="126">
        <v>20000</v>
      </c>
      <c r="L1279" s="127" t="s">
        <v>571</v>
      </c>
      <c r="N1279" s="129" t="str">
        <f t="shared" si="944"/>
        <v>N</v>
      </c>
      <c r="O1279" s="128" t="s">
        <v>917</v>
      </c>
      <c r="P1279" s="129" t="s">
        <v>39</v>
      </c>
      <c r="Q1279" s="111">
        <f t="shared" si="940"/>
        <v>3</v>
      </c>
      <c r="R1279" s="111">
        <f t="shared" si="931"/>
        <v>3</v>
      </c>
      <c r="S1279" s="129">
        <v>3</v>
      </c>
      <c r="T1279" s="129">
        <v>1</v>
      </c>
      <c r="U1279" s="129">
        <v>2</v>
      </c>
      <c r="W1279" s="111"/>
      <c r="AC1279" s="130"/>
      <c r="AD1279" s="130">
        <v>30688</v>
      </c>
      <c r="AE1279" s="128" t="s">
        <v>46</v>
      </c>
      <c r="AF1279" s="128" t="s">
        <v>33</v>
      </c>
      <c r="AG1279" s="128" t="s">
        <v>872</v>
      </c>
      <c r="AH1279" s="108" t="s">
        <v>58</v>
      </c>
      <c r="AI1279" s="128" t="s">
        <v>62</v>
      </c>
      <c r="AJ1279" s="129" t="s">
        <v>89</v>
      </c>
      <c r="AK1279" s="129">
        <v>2</v>
      </c>
      <c r="AL1279" s="3" t="s">
        <v>991</v>
      </c>
      <c r="AO1279" s="128">
        <v>120</v>
      </c>
      <c r="AP1279" s="129" t="s">
        <v>43</v>
      </c>
      <c r="AR1279" s="128" t="s">
        <v>44</v>
      </c>
      <c r="AS1279" s="129" t="s">
        <v>45</v>
      </c>
      <c r="BC1279" s="129" t="s">
        <v>38</v>
      </c>
      <c r="BF1279" s="111">
        <f t="shared" si="941"/>
        <v>3</v>
      </c>
      <c r="BG1279" s="111">
        <f t="shared" si="942"/>
        <v>3</v>
      </c>
      <c r="BH1279" s="111">
        <f t="shared" si="901"/>
        <v>3</v>
      </c>
      <c r="BI1279" s="111">
        <f t="shared" si="902"/>
        <v>28.021857923497269</v>
      </c>
      <c r="BJ1279" s="129">
        <f t="shared" si="907"/>
        <v>0</v>
      </c>
      <c r="BK1279" s="129">
        <f t="shared" si="903"/>
        <v>0</v>
      </c>
      <c r="BL1279" s="129" t="str">
        <f t="shared" si="935"/>
        <v>CONVICTION</v>
      </c>
      <c r="BM1279" s="129" t="str">
        <f t="shared" si="908"/>
        <v>NONE</v>
      </c>
      <c r="BN1279" s="129" t="s">
        <v>566</v>
      </c>
      <c r="BP1279" s="137" t="str">
        <f t="shared" si="909"/>
        <v>CONVICTION</v>
      </c>
      <c r="BQ1279" s="128" t="str">
        <f t="shared" si="910"/>
        <v>Y</v>
      </c>
      <c r="BR1279" s="129" t="str">
        <f t="shared" si="911"/>
        <v>DETAINED</v>
      </c>
      <c r="BS1279" s="129" t="str">
        <f t="shared" si="912"/>
        <v>DISPOSED</v>
      </c>
      <c r="BT1279" s="129" t="str">
        <f t="shared" si="913"/>
        <v>Y</v>
      </c>
      <c r="BU1279" s="109">
        <f t="shared" si="914"/>
        <v>1</v>
      </c>
      <c r="BV1279" s="109">
        <f t="shared" si="915"/>
        <v>1</v>
      </c>
      <c r="BW1279" s="109">
        <f t="shared" si="945"/>
        <v>0</v>
      </c>
      <c r="BX1279" s="111">
        <f t="shared" si="916"/>
        <v>0</v>
      </c>
      <c r="BY1279" s="129">
        <f t="shared" si="917"/>
        <v>-3</v>
      </c>
      <c r="BZ1279" s="111">
        <f t="shared" si="918"/>
        <v>0</v>
      </c>
      <c r="CA1279" s="138">
        <f t="shared" si="919"/>
        <v>3</v>
      </c>
      <c r="CB1279" s="111" t="e">
        <f t="shared" si="943"/>
        <v>#VALUE!</v>
      </c>
      <c r="CC1279" s="129">
        <f>G1279-I1279+1</f>
        <v>3</v>
      </c>
      <c r="CD1279" s="129">
        <f>G1279-J1279</f>
        <v>0</v>
      </c>
      <c r="CG1279" s="129" t="str">
        <f t="shared" si="921"/>
        <v>Y</v>
      </c>
      <c r="CI1279" s="129" t="str">
        <f t="shared" si="922"/>
        <v>0-10 DAYS</v>
      </c>
      <c r="CJ1279" s="137">
        <f t="shared" si="923"/>
        <v>1</v>
      </c>
      <c r="CK1279" s="129" t="str">
        <f t="shared" si="924"/>
        <v>Booked</v>
      </c>
    </row>
    <row r="1280" spans="1:89" ht="15.75" customHeight="1" x14ac:dyDescent="0.25">
      <c r="A1280" s="111">
        <v>1183</v>
      </c>
      <c r="B1280" s="128" t="str">
        <f t="shared" si="904"/>
        <v>N</v>
      </c>
      <c r="C1280" s="128" t="str">
        <f t="shared" si="905"/>
        <v>N</v>
      </c>
      <c r="D1280" s="117">
        <v>1925193</v>
      </c>
      <c r="E1280" s="135">
        <f t="shared" si="906"/>
        <v>4</v>
      </c>
      <c r="F1280" s="124">
        <v>40952</v>
      </c>
      <c r="G1280" s="125">
        <v>41344</v>
      </c>
      <c r="H1280" s="117">
        <v>1925193</v>
      </c>
      <c r="I1280" s="124">
        <v>40952</v>
      </c>
      <c r="J1280" s="124">
        <v>40956</v>
      </c>
      <c r="K1280" s="126">
        <v>10000</v>
      </c>
      <c r="L1280" s="127" t="s">
        <v>570</v>
      </c>
      <c r="M1280" s="125">
        <v>40956</v>
      </c>
      <c r="N1280" s="129" t="str">
        <f t="shared" si="944"/>
        <v>Y</v>
      </c>
      <c r="O1280" s="128" t="s">
        <v>76</v>
      </c>
      <c r="P1280" s="129" t="s">
        <v>39</v>
      </c>
      <c r="Q1280" s="111">
        <f t="shared" si="940"/>
        <v>5</v>
      </c>
      <c r="R1280" s="111">
        <f t="shared" si="931"/>
        <v>393</v>
      </c>
      <c r="S1280" s="129">
        <v>1</v>
      </c>
      <c r="T1280" s="129">
        <v>0</v>
      </c>
      <c r="U1280" s="129">
        <v>1</v>
      </c>
      <c r="W1280" s="111"/>
      <c r="AC1280" s="130"/>
      <c r="AD1280" s="130">
        <v>30018</v>
      </c>
      <c r="AE1280" s="128" t="s">
        <v>32</v>
      </c>
      <c r="AF1280" s="128" t="s">
        <v>33</v>
      </c>
      <c r="AG1280" s="128" t="s">
        <v>872</v>
      </c>
      <c r="AH1280" s="108" t="s">
        <v>58</v>
      </c>
      <c r="AI1280" s="128" t="s">
        <v>80</v>
      </c>
      <c r="AJ1280" s="129" t="s">
        <v>89</v>
      </c>
      <c r="AK1280" s="129">
        <v>10</v>
      </c>
      <c r="AL1280" s="3" t="s">
        <v>991</v>
      </c>
      <c r="AO1280" s="128">
        <v>120</v>
      </c>
      <c r="AP1280" s="129" t="s">
        <v>136</v>
      </c>
      <c r="AR1280" s="128" t="s">
        <v>67</v>
      </c>
      <c r="AS1280" s="129" t="s">
        <v>64</v>
      </c>
      <c r="BC1280" s="129" t="s">
        <v>52</v>
      </c>
      <c r="BF1280" s="111">
        <f t="shared" si="941"/>
        <v>5</v>
      </c>
      <c r="BG1280" s="111">
        <f t="shared" si="942"/>
        <v>393</v>
      </c>
      <c r="BH1280" s="111">
        <f t="shared" si="901"/>
        <v>393</v>
      </c>
      <c r="BI1280" s="111">
        <f t="shared" si="902"/>
        <v>29.874316939890711</v>
      </c>
      <c r="BJ1280" s="129">
        <f>(G1280-J1280)+(M1280-G1280)</f>
        <v>0</v>
      </c>
      <c r="BK1280" s="129">
        <f t="shared" si="903"/>
        <v>-388</v>
      </c>
      <c r="BL1280" s="129" t="str">
        <f t="shared" si="935"/>
        <v>CONVICTION</v>
      </c>
      <c r="BM1280" s="129" t="s">
        <v>76</v>
      </c>
      <c r="BN1280" s="129" t="s">
        <v>88</v>
      </c>
      <c r="BP1280" s="137" t="str">
        <f t="shared" si="909"/>
        <v>CONVICTION</v>
      </c>
      <c r="BQ1280" s="128" t="str">
        <f t="shared" si="910"/>
        <v>Y</v>
      </c>
      <c r="BR1280" s="129" t="str">
        <f>IF(J1280&lt;G1280,"ON BOND",0)</f>
        <v>ON BOND</v>
      </c>
      <c r="BS1280" s="129" t="str">
        <f t="shared" si="912"/>
        <v>DISPOSED</v>
      </c>
      <c r="BT1280" s="129" t="str">
        <f t="shared" si="913"/>
        <v>Y</v>
      </c>
      <c r="BU1280" s="109">
        <f t="shared" si="914"/>
        <v>1.2722646310432569E-2</v>
      </c>
      <c r="BV1280" s="109">
        <f t="shared" si="915"/>
        <v>1.2722646310432569E-2</v>
      </c>
      <c r="BW1280" s="109">
        <f t="shared" si="945"/>
        <v>0</v>
      </c>
      <c r="BX1280" s="111">
        <f t="shared" si="916"/>
        <v>0</v>
      </c>
      <c r="BY1280" s="129">
        <f t="shared" si="917"/>
        <v>-5</v>
      </c>
      <c r="BZ1280" s="111">
        <f t="shared" si="918"/>
        <v>0</v>
      </c>
      <c r="CA1280" s="138">
        <f t="shared" si="919"/>
        <v>5</v>
      </c>
      <c r="CB1280" s="111" t="e">
        <f t="shared" si="943"/>
        <v>#VALUE!</v>
      </c>
      <c r="CC1280" s="129">
        <f>M1280-I1280+1</f>
        <v>5</v>
      </c>
      <c r="CD1280" s="111">
        <f>CC1280-BF1280</f>
        <v>0</v>
      </c>
      <c r="CG1280" s="129" t="str">
        <f t="shared" si="921"/>
        <v>Y</v>
      </c>
      <c r="CI1280" s="129" t="str">
        <f t="shared" si="922"/>
        <v>0-10 DAYS</v>
      </c>
      <c r="CJ1280" s="137">
        <f t="shared" si="923"/>
        <v>1</v>
      </c>
      <c r="CK1280" s="129" t="str">
        <f t="shared" si="924"/>
        <v>Booked</v>
      </c>
    </row>
    <row r="1281" spans="1:89" ht="15.75" customHeight="1" x14ac:dyDescent="0.25">
      <c r="A1281" s="111">
        <v>212</v>
      </c>
      <c r="B1281" s="128" t="str">
        <f t="shared" si="904"/>
        <v>N</v>
      </c>
      <c r="C1281" s="128" t="str">
        <f t="shared" si="905"/>
        <v>N</v>
      </c>
      <c r="D1281" s="117">
        <v>1925210</v>
      </c>
      <c r="E1281" s="135">
        <f t="shared" si="906"/>
        <v>1</v>
      </c>
      <c r="F1281" s="124">
        <v>40918</v>
      </c>
      <c r="G1281" s="125">
        <v>41032</v>
      </c>
      <c r="H1281" s="117">
        <v>1925210</v>
      </c>
      <c r="I1281" s="124">
        <v>40920</v>
      </c>
      <c r="J1281" s="124">
        <v>40921</v>
      </c>
      <c r="K1281" s="126">
        <v>10000</v>
      </c>
      <c r="L1281" s="127" t="s">
        <v>570</v>
      </c>
      <c r="M1281" s="125">
        <v>40921</v>
      </c>
      <c r="N1281" s="129" t="str">
        <f t="shared" si="944"/>
        <v>Y</v>
      </c>
      <c r="O1281" s="128" t="s">
        <v>585</v>
      </c>
      <c r="P1281" s="129" t="s">
        <v>55</v>
      </c>
      <c r="Q1281" s="111">
        <f t="shared" si="940"/>
        <v>2</v>
      </c>
      <c r="R1281" s="111">
        <f t="shared" si="931"/>
        <v>115</v>
      </c>
      <c r="S1281" s="129">
        <v>0</v>
      </c>
      <c r="T1281" s="129">
        <v>0</v>
      </c>
      <c r="W1281" s="111"/>
      <c r="AC1281" s="130"/>
      <c r="AD1281" s="130">
        <v>29905</v>
      </c>
      <c r="AE1281" s="128" t="s">
        <v>46</v>
      </c>
      <c r="AF1281" s="128" t="s">
        <v>69</v>
      </c>
      <c r="AG1281" s="128" t="s">
        <v>874</v>
      </c>
      <c r="AH1281" s="108" t="s">
        <v>31</v>
      </c>
      <c r="AI1281" s="128" t="s">
        <v>90</v>
      </c>
      <c r="AJ1281" s="129" t="s">
        <v>55</v>
      </c>
      <c r="AK1281" s="129">
        <v>8</v>
      </c>
      <c r="AL1281" s="3" t="s">
        <v>55</v>
      </c>
      <c r="AP1281" s="129" t="s">
        <v>56</v>
      </c>
      <c r="AR1281" s="128" t="s">
        <v>50</v>
      </c>
      <c r="AS1281" s="129" t="s">
        <v>57</v>
      </c>
      <c r="AT1281" s="129" t="s">
        <v>172</v>
      </c>
      <c r="BC1281" s="129" t="s">
        <v>52</v>
      </c>
      <c r="BF1281" s="111">
        <f t="shared" si="941"/>
        <v>2</v>
      </c>
      <c r="BG1281" s="111">
        <f t="shared" si="942"/>
        <v>113</v>
      </c>
      <c r="BH1281" s="111">
        <f t="shared" ref="BH1281:BH1344" si="946">IF(G1281&gt;1/1/1900,((G1281+1)-F1281),"STILL OPEN")</f>
        <v>115</v>
      </c>
      <c r="BI1281" s="111">
        <f t="shared" ref="BI1281:BI1344" si="947">(F1281-AD1281)/366</f>
        <v>30.090163934426229</v>
      </c>
      <c r="BJ1281" s="129">
        <f>(G1281-J1281)+(M1281-G1281)</f>
        <v>0</v>
      </c>
      <c r="BK1281" s="129">
        <f t="shared" ref="BK1281:BK1344" si="948">J1281-G1281</f>
        <v>-111</v>
      </c>
      <c r="BL1281" s="129" t="str">
        <f t="shared" si="935"/>
        <v>NO CONVICTION</v>
      </c>
      <c r="BM1281" s="129" t="s">
        <v>76</v>
      </c>
      <c r="BN1281" s="129" t="s">
        <v>88</v>
      </c>
      <c r="BP1281" s="137" t="str">
        <f t="shared" si="909"/>
        <v>NO CONVICTION</v>
      </c>
      <c r="BQ1281" s="128" t="str">
        <f t="shared" si="910"/>
        <v>Y</v>
      </c>
      <c r="BR1281" s="129" t="str">
        <f t="shared" si="911"/>
        <v>ON BOND</v>
      </c>
      <c r="BS1281" s="129" t="str">
        <f t="shared" si="912"/>
        <v>DISPOSED</v>
      </c>
      <c r="BT1281" s="129" t="str">
        <f t="shared" si="913"/>
        <v>N</v>
      </c>
      <c r="BU1281" s="109">
        <f>IFERROR(Q1281/R1281,BR1281)</f>
        <v>1.7391304347826087E-2</v>
      </c>
      <c r="BV1281" s="109">
        <f t="shared" si="915"/>
        <v>1.7699115044247787E-2</v>
      </c>
      <c r="BW1281" s="109">
        <f t="shared" si="945"/>
        <v>3.078106964217002E-4</v>
      </c>
      <c r="BX1281" s="111">
        <f t="shared" si="916"/>
        <v>0</v>
      </c>
      <c r="BY1281" s="129">
        <f t="shared" si="917"/>
        <v>-2</v>
      </c>
      <c r="BZ1281" s="111">
        <f t="shared" si="918"/>
        <v>0</v>
      </c>
      <c r="CA1281" s="138">
        <f t="shared" si="919"/>
        <v>2</v>
      </c>
      <c r="CB1281" s="111" t="e">
        <f t="shared" si="943"/>
        <v>#VALUE!</v>
      </c>
      <c r="CC1281" s="129">
        <f>M1281-I1281+1</f>
        <v>2</v>
      </c>
      <c r="CD1281" s="111">
        <f>CC1281-BF1281</f>
        <v>0</v>
      </c>
      <c r="CG1281" s="129" t="str">
        <f t="shared" si="921"/>
        <v>N</v>
      </c>
      <c r="CI1281" s="129" t="str">
        <f t="shared" si="922"/>
        <v>0-10 DAYS</v>
      </c>
      <c r="CJ1281" s="137">
        <f t="shared" si="923"/>
        <v>1</v>
      </c>
      <c r="CK1281" s="129" t="str">
        <f t="shared" si="924"/>
        <v>Booked</v>
      </c>
    </row>
    <row r="1282" spans="1:89" ht="15" customHeight="1" x14ac:dyDescent="0.25">
      <c r="A1282" s="111">
        <v>2861</v>
      </c>
      <c r="B1282" s="128" t="str">
        <f t="shared" ref="B1282:B1345" si="949">IF(BD1282&lt;&gt;"","Y","N")</f>
        <v>N</v>
      </c>
      <c r="C1282" s="128" t="str">
        <f t="shared" ref="C1282:C1345" si="950">IF((AND(AV1282="",AX1282="",AY1282="")),"N","Y")</f>
        <v>N</v>
      </c>
      <c r="D1282" s="117">
        <v>1925765</v>
      </c>
      <c r="E1282" s="135">
        <f t="shared" ref="E1282:E1345" si="951">IF(OR(AL1282="ACQUITTAL",AL1282="ACQUIT",AL1282="acq insane",AL1282="DISMISSED",AL1282="NO BILL"),1,IF(AL1282="DEFERRED",2,IF(AL1282="PROBATION",3,IF(OR(AL1282="HCJ",AL1282="fine"),4,IF(AL1282="STJ",5,IF(AL1282="TDC",6,""))))))</f>
        <v>6</v>
      </c>
      <c r="F1282" s="124">
        <v>41014</v>
      </c>
      <c r="G1282" s="125">
        <v>41019</v>
      </c>
      <c r="H1282" s="117">
        <v>1925765</v>
      </c>
      <c r="I1282" s="124">
        <v>41015</v>
      </c>
      <c r="J1282" s="124">
        <v>41019</v>
      </c>
      <c r="K1282" s="126">
        <v>20000</v>
      </c>
      <c r="L1282" s="127" t="s">
        <v>571</v>
      </c>
      <c r="N1282" s="129" t="str">
        <f t="shared" si="944"/>
        <v>N</v>
      </c>
      <c r="O1282" s="128" t="s">
        <v>917</v>
      </c>
      <c r="P1282" s="129" t="s">
        <v>39</v>
      </c>
      <c r="Q1282" s="111">
        <f t="shared" si="940"/>
        <v>5</v>
      </c>
      <c r="R1282" s="111">
        <f t="shared" si="931"/>
        <v>6</v>
      </c>
      <c r="S1282" s="129">
        <v>5</v>
      </c>
      <c r="T1282" s="129">
        <v>3</v>
      </c>
      <c r="U1282" s="129">
        <v>1</v>
      </c>
      <c r="V1282" s="117">
        <v>1</v>
      </c>
      <c r="W1282" s="111"/>
      <c r="AC1282" s="130"/>
      <c r="AD1282" s="130">
        <v>30579</v>
      </c>
      <c r="AE1282" s="128" t="s">
        <v>32</v>
      </c>
      <c r="AF1282" s="128" t="s">
        <v>33</v>
      </c>
      <c r="AG1282" s="128" t="s">
        <v>872</v>
      </c>
      <c r="AH1282" s="108" t="s">
        <v>58</v>
      </c>
      <c r="AI1282" s="128" t="s">
        <v>95</v>
      </c>
      <c r="AJ1282" s="129" t="s">
        <v>89</v>
      </c>
      <c r="AK1282" s="129">
        <v>2</v>
      </c>
      <c r="AL1282" s="3" t="s">
        <v>362</v>
      </c>
      <c r="AM1282" s="117">
        <v>2</v>
      </c>
      <c r="AP1282" s="129" t="s">
        <v>49</v>
      </c>
      <c r="AR1282" s="128" t="s">
        <v>50</v>
      </c>
      <c r="AS1282" s="129" t="s">
        <v>45</v>
      </c>
      <c r="AT1282" s="129" t="s">
        <v>1214</v>
      </c>
      <c r="BC1282" s="129" t="s">
        <v>79</v>
      </c>
      <c r="BF1282" s="111">
        <f t="shared" si="941"/>
        <v>5</v>
      </c>
      <c r="BG1282" s="111">
        <f t="shared" si="942"/>
        <v>5</v>
      </c>
      <c r="BH1282" s="111">
        <f t="shared" si="946"/>
        <v>6</v>
      </c>
      <c r="BI1282" s="111">
        <f t="shared" si="947"/>
        <v>28.510928961748633</v>
      </c>
      <c r="BJ1282" s="129">
        <f t="shared" ref="BJ1282:BJ1345" si="952">G1282-J1282-M1282</f>
        <v>0</v>
      </c>
      <c r="BK1282" s="129">
        <f t="shared" si="948"/>
        <v>0</v>
      </c>
      <c r="BL1282" s="129" t="str">
        <f t="shared" si="935"/>
        <v>CONVICTION</v>
      </c>
      <c r="BM1282" s="129" t="str">
        <f t="shared" ref="BM1282:BM1345" si="953">O1282</f>
        <v>NONE</v>
      </c>
      <c r="BN1282" s="129" t="s">
        <v>566</v>
      </c>
      <c r="BP1282" s="137" t="str">
        <f t="shared" ref="BP1282:BP1345" si="954">IF(OR(AJ1282="AQUITTAL",AJ1282="DISMISSED",AJ1282="FINE",AJ1282="NO BILL"),"NO CONVICTION",IF(OR(AJ1282="HCJ",AJ1282="MHH",AJ1282="PROBATION",AJ1282="STJ",AJ1282="TDC",AJ1282="CONVICTED"),"CONVICTION",IF(AJ1282="DEFERRED","DEFERRED","")))</f>
        <v>CONVICTION</v>
      </c>
      <c r="BQ1282" s="128" t="str">
        <f t="shared" ref="BQ1282:BQ1345" si="955">IF(BF1282&gt;0,"Y",BF1282)</f>
        <v>Y</v>
      </c>
      <c r="BR1282" s="129" t="str">
        <f t="shared" ref="BR1282:BR1345" si="956">IF(AND(J1282="NOT BOOKED",M1282&gt;1/1/1),"BONDED - BEFORE BOOKED",IF(BG1282="STILL OPEN","STILL OPEN",IF(N1282="Y","ON BOND",IF(J1282&gt;=G1282,"DETAINED","RELEASED"))))</f>
        <v>DETAINED</v>
      </c>
      <c r="BS1282" s="129" t="str">
        <f t="shared" ref="BS1282:BS1345" si="957">IF(G1282&lt;&gt;"","DISPOSED","")</f>
        <v>DISPOSED</v>
      </c>
      <c r="BT1282" s="129" t="str">
        <f t="shared" ref="BT1282:BT1345" si="958">IF(S1282&gt;0,"Y","N")</f>
        <v>Y</v>
      </c>
      <c r="BU1282" s="109">
        <f t="shared" ref="BU1282:BU1345" si="959">Q1282/R1282</f>
        <v>0.83333333333333337</v>
      </c>
      <c r="BV1282" s="109">
        <f t="shared" ref="BV1282:BV1345" si="960">IF(I1282&gt;F1282,((J1282-I1282+1)/(G1282-I1282+1)),(J1282-I1282+1)/(G1282-F1282+1))</f>
        <v>1</v>
      </c>
      <c r="BW1282" s="109">
        <f t="shared" si="945"/>
        <v>0.16666666666666663</v>
      </c>
      <c r="BX1282" s="111">
        <f t="shared" ref="BX1282:BX1345" si="961">+Q1282-BF1282</f>
        <v>0</v>
      </c>
      <c r="BY1282" s="129">
        <f t="shared" ref="BY1282:BY1345" si="962">I1282-J1282-1</f>
        <v>-5</v>
      </c>
      <c r="BZ1282" s="111">
        <f t="shared" ref="BZ1282:BZ1345" si="963">BY1282+BF1282</f>
        <v>0</v>
      </c>
      <c r="CA1282" s="138">
        <f t="shared" ref="CA1282:CA1345" si="964">IF(AND(BS1282="DISPOSED",BR1282="DETAINED"),G1282-I1282+1,IF(AND(BS1282="DISPOSED",BR1282="ON BOND"),M1282-I1282+1,IF(AND(BS1282="STILL OPEN","STILL OPEN"),"NOT BOOKED")))</f>
        <v>5</v>
      </c>
      <c r="CB1282" s="111" t="e">
        <f t="shared" si="943"/>
        <v>#VALUE!</v>
      </c>
      <c r="CC1282" s="129">
        <f>G1282-I1282+1</f>
        <v>5</v>
      </c>
      <c r="CD1282" s="129">
        <f>G1282-J1282</f>
        <v>0</v>
      </c>
      <c r="CG1282" s="129" t="str">
        <f t="shared" ref="CG1282:CG1345" si="965">IF((S1282+T1282+U1282)&gt;0,"Y","N")</f>
        <v>Y</v>
      </c>
      <c r="CI1282" s="129" t="str">
        <f t="shared" si="922"/>
        <v>0-10 DAYS</v>
      </c>
      <c r="CJ1282" s="137">
        <f t="shared" si="923"/>
        <v>1</v>
      </c>
      <c r="CK1282" s="129" t="str">
        <f t="shared" si="924"/>
        <v>Booked</v>
      </c>
    </row>
    <row r="1283" spans="1:89" ht="15" customHeight="1" x14ac:dyDescent="0.25">
      <c r="A1283" s="111">
        <v>1366</v>
      </c>
      <c r="B1283" s="128" t="str">
        <f t="shared" si="949"/>
        <v>N</v>
      </c>
      <c r="C1283" s="128" t="str">
        <f t="shared" si="950"/>
        <v>N</v>
      </c>
      <c r="D1283" s="117">
        <v>1926110</v>
      </c>
      <c r="E1283" s="135">
        <f t="shared" si="951"/>
        <v>6</v>
      </c>
      <c r="F1283" s="124">
        <v>40958</v>
      </c>
      <c r="G1283" s="125">
        <v>41003</v>
      </c>
      <c r="H1283" s="117">
        <v>1926110</v>
      </c>
      <c r="I1283" s="124">
        <v>40959</v>
      </c>
      <c r="J1283" s="124">
        <v>41003</v>
      </c>
      <c r="K1283" s="126" t="s">
        <v>564</v>
      </c>
      <c r="L1283" s="127" t="s">
        <v>564</v>
      </c>
      <c r="N1283" s="129" t="s">
        <v>566</v>
      </c>
      <c r="O1283" s="128" t="s">
        <v>917</v>
      </c>
      <c r="P1283" s="129" t="s">
        <v>39</v>
      </c>
      <c r="Q1283" s="111">
        <f t="shared" si="940"/>
        <v>45</v>
      </c>
      <c r="R1283" s="111">
        <f t="shared" si="931"/>
        <v>46</v>
      </c>
      <c r="S1283" s="129">
        <v>3</v>
      </c>
      <c r="T1283" s="129">
        <v>8</v>
      </c>
      <c r="U1283" s="129">
        <v>3</v>
      </c>
      <c r="W1283" s="111"/>
      <c r="AC1283" s="130"/>
      <c r="AD1283" s="130">
        <v>30700</v>
      </c>
      <c r="AE1283" s="128" t="s">
        <v>32</v>
      </c>
      <c r="AF1283" s="128" t="s">
        <v>33</v>
      </c>
      <c r="AG1283" s="128" t="s">
        <v>872</v>
      </c>
      <c r="AH1283" s="108" t="s">
        <v>58</v>
      </c>
      <c r="AI1283" s="128" t="s">
        <v>71</v>
      </c>
      <c r="AJ1283" s="129" t="s">
        <v>89</v>
      </c>
      <c r="AK1283" s="129">
        <v>4</v>
      </c>
      <c r="AL1283" s="3" t="s">
        <v>362</v>
      </c>
      <c r="AM1283" s="117">
        <v>3</v>
      </c>
      <c r="AP1283" s="129" t="s">
        <v>49</v>
      </c>
      <c r="AR1283" s="128" t="s">
        <v>50</v>
      </c>
      <c r="AS1283" s="129" t="s">
        <v>45</v>
      </c>
      <c r="BC1283" s="129" t="s">
        <v>38</v>
      </c>
      <c r="BF1283" s="111">
        <f t="shared" si="941"/>
        <v>45</v>
      </c>
      <c r="BG1283" s="111">
        <f t="shared" si="942"/>
        <v>45</v>
      </c>
      <c r="BH1283" s="111">
        <f t="shared" si="946"/>
        <v>46</v>
      </c>
      <c r="BI1283" s="111">
        <f t="shared" si="947"/>
        <v>28.027322404371585</v>
      </c>
      <c r="BJ1283" s="129">
        <f t="shared" si="952"/>
        <v>0</v>
      </c>
      <c r="BK1283" s="129">
        <f t="shared" si="948"/>
        <v>0</v>
      </c>
      <c r="BL1283" s="129" t="str">
        <f t="shared" si="935"/>
        <v>CONVICTION</v>
      </c>
      <c r="BM1283" s="129" t="str">
        <f t="shared" si="953"/>
        <v>NONE</v>
      </c>
      <c r="BN1283" s="129" t="s">
        <v>566</v>
      </c>
      <c r="BP1283" s="137" t="str">
        <f t="shared" si="954"/>
        <v>CONVICTION</v>
      </c>
      <c r="BQ1283" s="128" t="str">
        <f t="shared" si="955"/>
        <v>Y</v>
      </c>
      <c r="BR1283" s="129" t="str">
        <f t="shared" si="956"/>
        <v>DETAINED</v>
      </c>
      <c r="BS1283" s="129" t="str">
        <f t="shared" si="957"/>
        <v>DISPOSED</v>
      </c>
      <c r="BT1283" s="129" t="str">
        <f t="shared" si="958"/>
        <v>Y</v>
      </c>
      <c r="BU1283" s="109">
        <f t="shared" si="959"/>
        <v>0.97826086956521741</v>
      </c>
      <c r="BV1283" s="109">
        <f t="shared" si="960"/>
        <v>1</v>
      </c>
      <c r="BW1283" s="109">
        <f t="shared" si="945"/>
        <v>2.1739130434782594E-2</v>
      </c>
      <c r="BX1283" s="111">
        <f t="shared" si="961"/>
        <v>0</v>
      </c>
      <c r="BY1283" s="129">
        <f t="shared" si="962"/>
        <v>-45</v>
      </c>
      <c r="BZ1283" s="111">
        <f t="shared" si="963"/>
        <v>0</v>
      </c>
      <c r="CA1283" s="138">
        <f t="shared" si="964"/>
        <v>45</v>
      </c>
      <c r="CB1283" s="111" t="e">
        <f t="shared" si="943"/>
        <v>#VALUE!</v>
      </c>
      <c r="CC1283" s="129">
        <f>G1283-I1283+1</f>
        <v>45</v>
      </c>
      <c r="CD1283" s="129">
        <f>G1283-J1283</f>
        <v>0</v>
      </c>
      <c r="CG1283" s="129" t="str">
        <f t="shared" si="965"/>
        <v>Y</v>
      </c>
      <c r="CI1283" s="129" t="str">
        <f t="shared" ref="CI1283:CI1346" si="966">IF(BF1283&lt;11,"0-10 DAYS",IF(AND(BF1283&gt;10,BF1283&lt;31),"11-30 DAYS",IF((AND(BF1283&gt;30,BF1283&lt;61)),"31-60 DAYS",IF(AND(BF1283&gt;60,BF1283&lt;91),"61-90 DAYS",IF(AND(BF1283&gt;90,BF1283&lt;121),"91-120 DAYS",IF(AND(BF1283&gt;120,BF1283&lt;366),"121-365 DAYS",IF(AND(BF1283&gt;365,BF1283&lt;730)," &gt;1YRS&lt;2YRS",IF(AND(BF1283&gt;729,BF1283&lt;1095),"&gt;2YRS&lt;3YRS",IF(BF1283&gt;1094,"&gt;3YRS")))))))))</f>
        <v>31-60 DAYS</v>
      </c>
      <c r="CJ1283" s="137">
        <f t="shared" ref="CJ1283:CJ1346" si="967">IF(CI1283="0-10 DAYS",1,IF(CI1283="11-30 DAYS",2,IF(CI1283="31-60 DAYS",3,IF(CI1283="61-90 DAYS",4,IF(CK1283="91-120 DAYS",5,IF(CI1283="121-365 DAYS",6,IF(CI1283="&gt;1YRS&lt;2YRS",7,IF(CI1283="&gt;2YRS&lt;3YRS",8,IF(CI1283="&gt;3YRS",9,0)))))))))</f>
        <v>3</v>
      </c>
      <c r="CK1283" s="129" t="str">
        <f t="shared" ref="CK1283:CK1346" si="968">IF(I1283="Not Booked","Not Booked","Booked")</f>
        <v>Booked</v>
      </c>
    </row>
    <row r="1284" spans="1:89" ht="15" customHeight="1" x14ac:dyDescent="0.25">
      <c r="A1284" s="111">
        <v>2612</v>
      </c>
      <c r="B1284" s="128" t="str">
        <f t="shared" si="949"/>
        <v>N</v>
      </c>
      <c r="C1284" s="128" t="str">
        <f t="shared" si="950"/>
        <v>N</v>
      </c>
      <c r="D1284" s="117">
        <v>1926701</v>
      </c>
      <c r="E1284" s="135">
        <f t="shared" si="951"/>
        <v>6</v>
      </c>
      <c r="F1284" s="124">
        <v>41005</v>
      </c>
      <c r="G1284" s="125">
        <v>41121</v>
      </c>
      <c r="H1284" s="117">
        <v>1926701</v>
      </c>
      <c r="I1284" s="124">
        <v>41006</v>
      </c>
      <c r="J1284" s="124">
        <v>41121</v>
      </c>
      <c r="K1284" s="126" t="s">
        <v>564</v>
      </c>
      <c r="L1284" s="127" t="s">
        <v>564</v>
      </c>
      <c r="N1284" s="129" t="s">
        <v>566</v>
      </c>
      <c r="O1284" s="128" t="s">
        <v>917</v>
      </c>
      <c r="P1284" s="129" t="s">
        <v>39</v>
      </c>
      <c r="Q1284" s="111">
        <f t="shared" si="940"/>
        <v>116</v>
      </c>
      <c r="R1284" s="111">
        <f t="shared" si="931"/>
        <v>117</v>
      </c>
      <c r="S1284" s="129">
        <v>5</v>
      </c>
      <c r="T1284" s="129">
        <v>4</v>
      </c>
      <c r="U1284" s="129">
        <v>4</v>
      </c>
      <c r="W1284" s="111"/>
      <c r="AC1284" s="130"/>
      <c r="AD1284" s="130">
        <v>30641</v>
      </c>
      <c r="AE1284" s="128" t="s">
        <v>32</v>
      </c>
      <c r="AF1284" s="128" t="s">
        <v>33</v>
      </c>
      <c r="AG1284" s="128" t="s">
        <v>872</v>
      </c>
      <c r="AH1284" s="108" t="s">
        <v>58</v>
      </c>
      <c r="AI1284" s="128" t="s">
        <v>83</v>
      </c>
      <c r="AJ1284" s="129" t="s">
        <v>89</v>
      </c>
      <c r="AK1284" s="129">
        <v>4</v>
      </c>
      <c r="AL1284" s="3" t="s">
        <v>362</v>
      </c>
      <c r="AM1284" s="117">
        <v>4</v>
      </c>
      <c r="AP1284" s="129" t="s">
        <v>93</v>
      </c>
      <c r="AR1284" s="128" t="s">
        <v>67</v>
      </c>
      <c r="AS1284" s="129" t="s">
        <v>45</v>
      </c>
      <c r="BC1284" s="129" t="s">
        <v>52</v>
      </c>
      <c r="BF1284" s="111">
        <f t="shared" si="941"/>
        <v>116</v>
      </c>
      <c r="BG1284" s="111">
        <f t="shared" si="942"/>
        <v>116</v>
      </c>
      <c r="BH1284" s="111">
        <f t="shared" si="946"/>
        <v>117</v>
      </c>
      <c r="BI1284" s="111">
        <f t="shared" si="947"/>
        <v>28.316939890710383</v>
      </c>
      <c r="BJ1284" s="129">
        <f t="shared" si="952"/>
        <v>0</v>
      </c>
      <c r="BK1284" s="129">
        <f t="shared" si="948"/>
        <v>0</v>
      </c>
      <c r="BL1284" s="129" t="str">
        <f t="shared" si="935"/>
        <v>CONVICTION</v>
      </c>
      <c r="BM1284" s="129" t="str">
        <f t="shared" si="953"/>
        <v>NONE</v>
      </c>
      <c r="BN1284" s="129" t="s">
        <v>566</v>
      </c>
      <c r="BP1284" s="137" t="str">
        <f t="shared" si="954"/>
        <v>CONVICTION</v>
      </c>
      <c r="BQ1284" s="128" t="str">
        <f t="shared" si="955"/>
        <v>Y</v>
      </c>
      <c r="BR1284" s="129" t="str">
        <f t="shared" si="956"/>
        <v>DETAINED</v>
      </c>
      <c r="BS1284" s="129" t="str">
        <f t="shared" si="957"/>
        <v>DISPOSED</v>
      </c>
      <c r="BT1284" s="129" t="str">
        <f t="shared" si="958"/>
        <v>Y</v>
      </c>
      <c r="BU1284" s="109">
        <f t="shared" si="959"/>
        <v>0.99145299145299148</v>
      </c>
      <c r="BV1284" s="109">
        <f t="shared" si="960"/>
        <v>1</v>
      </c>
      <c r="BW1284" s="109">
        <f t="shared" si="945"/>
        <v>8.5470085470085166E-3</v>
      </c>
      <c r="BX1284" s="111">
        <f t="shared" si="961"/>
        <v>0</v>
      </c>
      <c r="BY1284" s="129">
        <f t="shared" si="962"/>
        <v>-116</v>
      </c>
      <c r="BZ1284" s="111">
        <f t="shared" si="963"/>
        <v>0</v>
      </c>
      <c r="CA1284" s="138">
        <f t="shared" si="964"/>
        <v>116</v>
      </c>
      <c r="CB1284" s="111" t="e">
        <f t="shared" si="943"/>
        <v>#VALUE!</v>
      </c>
      <c r="CC1284" s="129">
        <f>G1284-I1284+1</f>
        <v>116</v>
      </c>
      <c r="CD1284" s="129">
        <f>G1284-J1284</f>
        <v>0</v>
      </c>
      <c r="CG1284" s="129" t="str">
        <f t="shared" si="965"/>
        <v>Y</v>
      </c>
      <c r="CI1284" s="129" t="str">
        <f t="shared" si="966"/>
        <v>91-120 DAYS</v>
      </c>
      <c r="CJ1284" s="137">
        <f t="shared" si="967"/>
        <v>0</v>
      </c>
      <c r="CK1284" s="129" t="str">
        <f t="shared" si="968"/>
        <v>Booked</v>
      </c>
    </row>
    <row r="1285" spans="1:89" ht="15.75" customHeight="1" x14ac:dyDescent="0.25">
      <c r="A1285" s="111">
        <v>209</v>
      </c>
      <c r="B1285" s="128" t="str">
        <f t="shared" si="949"/>
        <v>N</v>
      </c>
      <c r="C1285" s="128" t="str">
        <f t="shared" si="950"/>
        <v>Y</v>
      </c>
      <c r="D1285" s="117">
        <v>1927441</v>
      </c>
      <c r="E1285" s="135">
        <f t="shared" si="951"/>
        <v>6</v>
      </c>
      <c r="F1285" s="124">
        <v>40918</v>
      </c>
      <c r="G1285" s="125">
        <v>41570</v>
      </c>
      <c r="H1285" s="117">
        <v>1927441</v>
      </c>
      <c r="I1285" s="124">
        <v>40928</v>
      </c>
      <c r="J1285" s="124">
        <v>40941</v>
      </c>
      <c r="K1285" s="126">
        <v>150000</v>
      </c>
      <c r="L1285" s="129" t="s">
        <v>572</v>
      </c>
      <c r="M1285" s="125">
        <v>40941</v>
      </c>
      <c r="N1285" s="129" t="str">
        <f>IF(M1285&gt;1/1/1,"Y","N")</f>
        <v>Y</v>
      </c>
      <c r="O1285" s="128" t="s">
        <v>76</v>
      </c>
      <c r="P1285" s="129" t="s">
        <v>39</v>
      </c>
      <c r="Q1285" s="111">
        <v>634</v>
      </c>
      <c r="R1285" s="111">
        <f t="shared" si="931"/>
        <v>653</v>
      </c>
      <c r="S1285" s="129">
        <v>3</v>
      </c>
      <c r="T1285" s="129">
        <v>6</v>
      </c>
      <c r="U1285" s="129">
        <v>3</v>
      </c>
      <c r="W1285" s="111"/>
      <c r="AC1285" s="130"/>
      <c r="AD1285" s="130">
        <v>30719</v>
      </c>
      <c r="AE1285" s="128" t="s">
        <v>32</v>
      </c>
      <c r="AF1285" s="128" t="s">
        <v>69</v>
      </c>
      <c r="AG1285" s="128" t="s">
        <v>874</v>
      </c>
      <c r="AH1285" s="108" t="s">
        <v>31</v>
      </c>
      <c r="AI1285" s="128" t="s">
        <v>59</v>
      </c>
      <c r="AJ1285" s="129" t="s">
        <v>89</v>
      </c>
      <c r="AK1285" s="129">
        <v>19</v>
      </c>
      <c r="AL1285" s="3" t="s">
        <v>362</v>
      </c>
      <c r="AM1285" s="117">
        <v>10</v>
      </c>
      <c r="AP1285" s="129" t="s">
        <v>150</v>
      </c>
      <c r="AR1285" s="128" t="s">
        <v>67</v>
      </c>
      <c r="AS1285" s="129" t="s">
        <v>74</v>
      </c>
      <c r="AU1285" s="3" t="s">
        <v>688</v>
      </c>
      <c r="AX1285" s="32" t="s">
        <v>88</v>
      </c>
      <c r="BC1285" s="129" t="s">
        <v>52</v>
      </c>
      <c r="BF1285" s="111">
        <v>634</v>
      </c>
      <c r="BG1285" s="111">
        <f t="shared" si="942"/>
        <v>643</v>
      </c>
      <c r="BH1285" s="111">
        <f t="shared" si="946"/>
        <v>653</v>
      </c>
      <c r="BI1285" s="111">
        <f t="shared" si="947"/>
        <v>27.866120218579233</v>
      </c>
      <c r="BJ1285" s="129">
        <f>(G1285-J1285)+(M1285-G1285)</f>
        <v>0</v>
      </c>
      <c r="BK1285" s="129">
        <f t="shared" si="948"/>
        <v>-629</v>
      </c>
      <c r="BL1285" s="129" t="str">
        <f t="shared" si="935"/>
        <v>CONVICTION</v>
      </c>
      <c r="BM1285" s="129" t="s">
        <v>76</v>
      </c>
      <c r="BN1285" s="129" t="s">
        <v>566</v>
      </c>
      <c r="BP1285" s="137" t="str">
        <f t="shared" si="954"/>
        <v>CONVICTION</v>
      </c>
      <c r="BQ1285" s="128" t="str">
        <f t="shared" si="955"/>
        <v>Y</v>
      </c>
      <c r="BR1285" s="129" t="s">
        <v>574</v>
      </c>
      <c r="BS1285" s="129" t="str">
        <f t="shared" si="957"/>
        <v>DISPOSED</v>
      </c>
      <c r="BT1285" s="129" t="str">
        <f t="shared" si="958"/>
        <v>Y</v>
      </c>
      <c r="BU1285" s="109">
        <f t="shared" si="959"/>
        <v>0.9709035222052067</v>
      </c>
      <c r="BV1285" s="109">
        <f t="shared" si="960"/>
        <v>2.177293934681182E-2</v>
      </c>
      <c r="BW1285" s="109">
        <f t="shared" si="945"/>
        <v>-0.94913058285839491</v>
      </c>
      <c r="BX1285" s="111">
        <f t="shared" si="961"/>
        <v>0</v>
      </c>
      <c r="BY1285" s="129">
        <f t="shared" si="962"/>
        <v>-14</v>
      </c>
      <c r="BZ1285" s="111">
        <f t="shared" si="963"/>
        <v>620</v>
      </c>
      <c r="CA1285" s="138">
        <f t="shared" si="964"/>
        <v>643</v>
      </c>
      <c r="CB1285" s="111">
        <v>634</v>
      </c>
      <c r="CC1285" s="129">
        <f>G1285-I1285+1</f>
        <v>643</v>
      </c>
      <c r="CD1285" s="129">
        <f>G1285-J1285</f>
        <v>629</v>
      </c>
      <c r="CG1285" s="129" t="str">
        <f t="shared" si="965"/>
        <v>Y</v>
      </c>
      <c r="CI1285" s="129" t="str">
        <f t="shared" si="966"/>
        <v xml:space="preserve"> &gt;1YRS&lt;2YRS</v>
      </c>
      <c r="CJ1285" s="137">
        <f t="shared" si="967"/>
        <v>0</v>
      </c>
      <c r="CK1285" s="129" t="str">
        <f t="shared" si="968"/>
        <v>Booked</v>
      </c>
    </row>
    <row r="1286" spans="1:89" ht="15.75" customHeight="1" x14ac:dyDescent="0.25">
      <c r="A1286" s="111">
        <v>489</v>
      </c>
      <c r="B1286" s="128" t="str">
        <f t="shared" si="949"/>
        <v>N</v>
      </c>
      <c r="C1286" s="128" t="str">
        <f t="shared" si="950"/>
        <v>N</v>
      </c>
      <c r="D1286" s="117">
        <v>1927743</v>
      </c>
      <c r="E1286" s="135">
        <f t="shared" si="951"/>
        <v>6</v>
      </c>
      <c r="F1286" s="124">
        <v>40928</v>
      </c>
      <c r="G1286" s="125">
        <v>41453</v>
      </c>
      <c r="H1286" s="117">
        <v>1927743</v>
      </c>
      <c r="I1286" s="124">
        <v>40929</v>
      </c>
      <c r="J1286" s="125">
        <v>41453</v>
      </c>
      <c r="K1286" s="126">
        <v>70000</v>
      </c>
      <c r="L1286" s="129" t="s">
        <v>572</v>
      </c>
      <c r="N1286" s="129" t="str">
        <f>IF(M1286&gt;1/1/1,"Y","N")</f>
        <v>N</v>
      </c>
      <c r="O1286" s="128" t="s">
        <v>917</v>
      </c>
      <c r="P1286" s="129" t="s">
        <v>39</v>
      </c>
      <c r="Q1286" s="111">
        <f t="shared" ref="Q1286:Q1317" si="969">BF1286</f>
        <v>525</v>
      </c>
      <c r="R1286" s="111">
        <f t="shared" si="931"/>
        <v>526</v>
      </c>
      <c r="S1286" s="129">
        <v>3</v>
      </c>
      <c r="T1286" s="129">
        <v>2</v>
      </c>
      <c r="U1286" s="129">
        <v>3</v>
      </c>
      <c r="W1286" s="111"/>
      <c r="AB1286" s="131" t="s">
        <v>112</v>
      </c>
      <c r="AC1286" s="130"/>
      <c r="AD1286" s="130">
        <v>30322</v>
      </c>
      <c r="AE1286" s="128" t="s">
        <v>32</v>
      </c>
      <c r="AF1286" s="128" t="s">
        <v>40</v>
      </c>
      <c r="AG1286" s="128" t="s">
        <v>41</v>
      </c>
      <c r="AH1286" s="108" t="s">
        <v>31</v>
      </c>
      <c r="AI1286" s="128" t="s">
        <v>80</v>
      </c>
      <c r="AJ1286" s="129" t="s">
        <v>89</v>
      </c>
      <c r="AK1286" s="129">
        <v>16</v>
      </c>
      <c r="AL1286" s="3" t="s">
        <v>362</v>
      </c>
      <c r="AM1286" s="117">
        <v>10</v>
      </c>
      <c r="AP1286" s="129" t="s">
        <v>108</v>
      </c>
      <c r="AR1286" s="128" t="s">
        <v>44</v>
      </c>
      <c r="AS1286" s="129" t="s">
        <v>61</v>
      </c>
      <c r="BC1286" s="129" t="s">
        <v>38</v>
      </c>
      <c r="BF1286" s="111">
        <f t="shared" ref="BF1286:BF1298" si="970">IF(J1286&gt;1/1/1900,((J1286+1)-I1286),"STILL OPEN")</f>
        <v>525</v>
      </c>
      <c r="BG1286" s="111">
        <f t="shared" si="942"/>
        <v>525</v>
      </c>
      <c r="BH1286" s="111">
        <f t="shared" si="946"/>
        <v>526</v>
      </c>
      <c r="BI1286" s="111">
        <f t="shared" si="947"/>
        <v>28.978142076502731</v>
      </c>
      <c r="BJ1286" s="129">
        <f t="shared" si="952"/>
        <v>0</v>
      </c>
      <c r="BK1286" s="129">
        <f t="shared" si="948"/>
        <v>0</v>
      </c>
      <c r="BL1286" s="129" t="str">
        <f t="shared" si="935"/>
        <v>CONVICTION</v>
      </c>
      <c r="BM1286" s="129" t="str">
        <f t="shared" si="953"/>
        <v>NONE</v>
      </c>
      <c r="BN1286" s="129" t="s">
        <v>566</v>
      </c>
      <c r="BP1286" s="137" t="str">
        <f t="shared" si="954"/>
        <v>CONVICTION</v>
      </c>
      <c r="BQ1286" s="128" t="str">
        <f t="shared" si="955"/>
        <v>Y</v>
      </c>
      <c r="BR1286" s="129" t="str">
        <f t="shared" si="956"/>
        <v>DETAINED</v>
      </c>
      <c r="BS1286" s="129" t="str">
        <f t="shared" si="957"/>
        <v>DISPOSED</v>
      </c>
      <c r="BT1286" s="129" t="str">
        <f t="shared" si="958"/>
        <v>Y</v>
      </c>
      <c r="BU1286" s="109">
        <f t="shared" si="959"/>
        <v>0.99809885931558939</v>
      </c>
      <c r="BV1286" s="109">
        <f t="shared" si="960"/>
        <v>1</v>
      </c>
      <c r="BW1286" s="109">
        <f t="shared" si="945"/>
        <v>1.9011406844106071E-3</v>
      </c>
      <c r="BX1286" s="111">
        <f t="shared" si="961"/>
        <v>0</v>
      </c>
      <c r="BY1286" s="129">
        <f t="shared" si="962"/>
        <v>-525</v>
      </c>
      <c r="BZ1286" s="111">
        <f t="shared" si="963"/>
        <v>0</v>
      </c>
      <c r="CA1286" s="138">
        <f t="shared" si="964"/>
        <v>525</v>
      </c>
      <c r="CB1286" s="111" t="e">
        <f t="shared" ref="CB1286:CB1298" si="971">IF(AF1286&gt;1/1/1900,((AF1286+1)-AE1286),"STILL OPEN")</f>
        <v>#VALUE!</v>
      </c>
      <c r="CC1286" s="129">
        <f>G1286-I1286+1</f>
        <v>525</v>
      </c>
      <c r="CD1286" s="129">
        <f>G1286-J1286</f>
        <v>0</v>
      </c>
      <c r="CG1286" s="129" t="str">
        <f t="shared" si="965"/>
        <v>Y</v>
      </c>
      <c r="CI1286" s="129" t="str">
        <f t="shared" si="966"/>
        <v xml:space="preserve"> &gt;1YRS&lt;2YRS</v>
      </c>
      <c r="CJ1286" s="137">
        <f t="shared" si="967"/>
        <v>0</v>
      </c>
      <c r="CK1286" s="129" t="str">
        <f t="shared" si="968"/>
        <v>Booked</v>
      </c>
    </row>
    <row r="1287" spans="1:89" ht="15.75" customHeight="1" x14ac:dyDescent="0.25">
      <c r="A1287" s="111">
        <v>3033</v>
      </c>
      <c r="B1287" s="128" t="str">
        <f t="shared" si="949"/>
        <v>N</v>
      </c>
      <c r="C1287" s="128" t="str">
        <f t="shared" si="950"/>
        <v>N</v>
      </c>
      <c r="D1287" s="117">
        <v>1927918</v>
      </c>
      <c r="E1287" s="135">
        <f t="shared" si="951"/>
        <v>2</v>
      </c>
      <c r="F1287" s="124">
        <v>41021</v>
      </c>
      <c r="G1287" s="125">
        <v>41263</v>
      </c>
      <c r="H1287" s="117">
        <v>1927918</v>
      </c>
      <c r="I1287" s="124">
        <v>41021</v>
      </c>
      <c r="J1287" s="124">
        <v>41022</v>
      </c>
      <c r="K1287" s="126">
        <v>2000</v>
      </c>
      <c r="L1287" s="127" t="s">
        <v>568</v>
      </c>
      <c r="M1287" s="125">
        <v>41022</v>
      </c>
      <c r="N1287" s="129" t="str">
        <f>IF(M1287&gt;1/1/1,"Y","N")</f>
        <v>Y</v>
      </c>
      <c r="O1287" s="128" t="s">
        <v>76</v>
      </c>
      <c r="P1287" s="129" t="s">
        <v>589</v>
      </c>
      <c r="Q1287" s="111">
        <f t="shared" si="969"/>
        <v>2</v>
      </c>
      <c r="R1287" s="111">
        <f t="shared" si="931"/>
        <v>243</v>
      </c>
      <c r="S1287" s="129">
        <v>1</v>
      </c>
      <c r="T1287" s="129">
        <v>0</v>
      </c>
      <c r="V1287" s="117">
        <v>1</v>
      </c>
      <c r="W1287" s="111"/>
      <c r="AC1287" s="130"/>
      <c r="AD1287" s="130">
        <v>27414</v>
      </c>
      <c r="AE1287" s="128" t="s">
        <v>46</v>
      </c>
      <c r="AF1287" s="128" t="s">
        <v>40</v>
      </c>
      <c r="AG1287" s="128" t="s">
        <v>41</v>
      </c>
      <c r="AH1287" s="108" t="s">
        <v>41</v>
      </c>
      <c r="AI1287" s="128" t="s">
        <v>47</v>
      </c>
      <c r="AJ1287" s="129" t="s">
        <v>48</v>
      </c>
      <c r="AK1287" s="129">
        <v>10</v>
      </c>
      <c r="AL1287" s="3" t="s">
        <v>48</v>
      </c>
      <c r="AP1287" s="129" t="s">
        <v>43</v>
      </c>
      <c r="AR1287" s="128" t="s">
        <v>44</v>
      </c>
      <c r="AS1287" s="129" t="s">
        <v>45</v>
      </c>
      <c r="AX1287" s="32"/>
      <c r="BC1287" s="129" t="s">
        <v>52</v>
      </c>
      <c r="BF1287" s="111">
        <f t="shared" si="970"/>
        <v>2</v>
      </c>
      <c r="BG1287" s="111">
        <f t="shared" si="942"/>
        <v>243</v>
      </c>
      <c r="BH1287" s="111">
        <f t="shared" si="946"/>
        <v>243</v>
      </c>
      <c r="BI1287" s="111">
        <f t="shared" si="947"/>
        <v>37.177595628415304</v>
      </c>
      <c r="BJ1287" s="129">
        <f>(G1287-J1287)+(M1287-G1287)</f>
        <v>0</v>
      </c>
      <c r="BK1287" s="129">
        <f t="shared" si="948"/>
        <v>-241</v>
      </c>
      <c r="BL1287" s="129" t="str">
        <f t="shared" si="935"/>
        <v>DEFERRED</v>
      </c>
      <c r="BM1287" s="129" t="s">
        <v>76</v>
      </c>
      <c r="BN1287" s="129" t="s">
        <v>88</v>
      </c>
      <c r="BP1287" s="137" t="str">
        <f t="shared" si="954"/>
        <v>DEFERRED</v>
      </c>
      <c r="BQ1287" s="128" t="str">
        <f t="shared" si="955"/>
        <v>Y</v>
      </c>
      <c r="BR1287" s="129" t="str">
        <f t="shared" si="956"/>
        <v>ON BOND</v>
      </c>
      <c r="BS1287" s="129" t="str">
        <f t="shared" si="957"/>
        <v>DISPOSED</v>
      </c>
      <c r="BT1287" s="129" t="str">
        <f t="shared" si="958"/>
        <v>Y</v>
      </c>
      <c r="BU1287" s="109">
        <f t="shared" si="959"/>
        <v>8.23045267489712E-3</v>
      </c>
      <c r="BV1287" s="109">
        <f t="shared" si="960"/>
        <v>8.23045267489712E-3</v>
      </c>
      <c r="BW1287" s="109">
        <f t="shared" si="945"/>
        <v>0</v>
      </c>
      <c r="BX1287" s="111">
        <f t="shared" si="961"/>
        <v>0</v>
      </c>
      <c r="BY1287" s="129">
        <f t="shared" si="962"/>
        <v>-2</v>
      </c>
      <c r="BZ1287" s="111">
        <f t="shared" si="963"/>
        <v>0</v>
      </c>
      <c r="CA1287" s="138">
        <f t="shared" si="964"/>
        <v>2</v>
      </c>
      <c r="CB1287" s="111" t="e">
        <f t="shared" si="971"/>
        <v>#VALUE!</v>
      </c>
      <c r="CC1287" s="129">
        <f>M1287-I1287+1</f>
        <v>2</v>
      </c>
      <c r="CD1287" s="111">
        <f>CC1287-BF1287</f>
        <v>0</v>
      </c>
      <c r="CG1287" s="129" t="str">
        <f t="shared" si="965"/>
        <v>Y</v>
      </c>
      <c r="CI1287" s="129" t="str">
        <f t="shared" si="966"/>
        <v>0-10 DAYS</v>
      </c>
      <c r="CJ1287" s="137">
        <f t="shared" si="967"/>
        <v>1</v>
      </c>
      <c r="CK1287" s="129" t="str">
        <f t="shared" si="968"/>
        <v>Booked</v>
      </c>
    </row>
    <row r="1288" spans="1:89" ht="15.75" customHeight="1" x14ac:dyDescent="0.25">
      <c r="A1288" s="111">
        <v>2556</v>
      </c>
      <c r="B1288" s="128" t="str">
        <f t="shared" si="949"/>
        <v>N</v>
      </c>
      <c r="C1288" s="128" t="str">
        <f t="shared" si="950"/>
        <v>N</v>
      </c>
      <c r="D1288" s="117">
        <v>1928137</v>
      </c>
      <c r="E1288" s="135">
        <f t="shared" si="951"/>
        <v>2</v>
      </c>
      <c r="F1288" s="124">
        <v>41004</v>
      </c>
      <c r="G1288" s="125">
        <v>41117</v>
      </c>
      <c r="H1288" s="117">
        <v>1928137</v>
      </c>
      <c r="I1288" s="124">
        <v>41005</v>
      </c>
      <c r="J1288" s="124">
        <v>41005</v>
      </c>
      <c r="K1288" s="126">
        <v>5000</v>
      </c>
      <c r="L1288" s="127" t="s">
        <v>569</v>
      </c>
      <c r="M1288" s="125">
        <v>41005</v>
      </c>
      <c r="N1288" s="129" t="str">
        <f>IF(M1288&gt;1/1/1,"Y","N")</f>
        <v>Y</v>
      </c>
      <c r="O1288" s="128" t="s">
        <v>76</v>
      </c>
      <c r="P1288" s="129" t="s">
        <v>589</v>
      </c>
      <c r="Q1288" s="111">
        <f t="shared" si="969"/>
        <v>1</v>
      </c>
      <c r="R1288" s="111">
        <f t="shared" si="931"/>
        <v>114</v>
      </c>
      <c r="S1288" s="129">
        <v>0</v>
      </c>
      <c r="T1288" s="129">
        <v>0</v>
      </c>
      <c r="W1288" s="111"/>
      <c r="AC1288" s="130"/>
      <c r="AD1288" s="130">
        <v>29590</v>
      </c>
      <c r="AE1288" s="128" t="s">
        <v>32</v>
      </c>
      <c r="AF1288" s="128" t="s">
        <v>33</v>
      </c>
      <c r="AG1288" s="128" t="s">
        <v>872</v>
      </c>
      <c r="AH1288" s="108" t="s">
        <v>58</v>
      </c>
      <c r="AI1288" s="128" t="s">
        <v>114</v>
      </c>
      <c r="AJ1288" s="129" t="s">
        <v>48</v>
      </c>
      <c r="AK1288" s="129">
        <v>5</v>
      </c>
      <c r="AL1288" s="3" t="s">
        <v>48</v>
      </c>
      <c r="AP1288" s="129" t="s">
        <v>117</v>
      </c>
      <c r="AR1288" s="128" t="s">
        <v>67</v>
      </c>
      <c r="AS1288" s="129" t="s">
        <v>45</v>
      </c>
      <c r="BC1288" s="129" t="s">
        <v>38</v>
      </c>
      <c r="BF1288" s="111">
        <f t="shared" si="970"/>
        <v>1</v>
      </c>
      <c r="BG1288" s="111">
        <f t="shared" si="942"/>
        <v>113</v>
      </c>
      <c r="BH1288" s="111">
        <f t="shared" si="946"/>
        <v>114</v>
      </c>
      <c r="BI1288" s="111">
        <f t="shared" si="947"/>
        <v>31.185792349726775</v>
      </c>
      <c r="BJ1288" s="129">
        <f>(G1288-J1288)+(M1288-G1288)</f>
        <v>0</v>
      </c>
      <c r="BK1288" s="129">
        <f t="shared" si="948"/>
        <v>-112</v>
      </c>
      <c r="BL1288" s="129" t="str">
        <f t="shared" si="935"/>
        <v>DEFERRED</v>
      </c>
      <c r="BM1288" s="129" t="s">
        <v>76</v>
      </c>
      <c r="BN1288" s="129" t="s">
        <v>88</v>
      </c>
      <c r="BP1288" s="137" t="str">
        <f t="shared" si="954"/>
        <v>DEFERRED</v>
      </c>
      <c r="BQ1288" s="128" t="str">
        <f t="shared" si="955"/>
        <v>Y</v>
      </c>
      <c r="BR1288" s="129" t="str">
        <f t="shared" si="956"/>
        <v>ON BOND</v>
      </c>
      <c r="BS1288" s="129" t="str">
        <f t="shared" si="957"/>
        <v>DISPOSED</v>
      </c>
      <c r="BT1288" s="129" t="str">
        <f t="shared" si="958"/>
        <v>N</v>
      </c>
      <c r="BU1288" s="109">
        <f t="shared" si="959"/>
        <v>8.771929824561403E-3</v>
      </c>
      <c r="BV1288" s="109">
        <f t="shared" si="960"/>
        <v>8.8495575221238937E-3</v>
      </c>
      <c r="BW1288" s="109">
        <f t="shared" si="945"/>
        <v>7.7627697562490661E-5</v>
      </c>
      <c r="BX1288" s="111">
        <f t="shared" si="961"/>
        <v>0</v>
      </c>
      <c r="BY1288" s="129">
        <f t="shared" si="962"/>
        <v>-1</v>
      </c>
      <c r="BZ1288" s="111">
        <f t="shared" si="963"/>
        <v>0</v>
      </c>
      <c r="CA1288" s="138">
        <f t="shared" si="964"/>
        <v>1</v>
      </c>
      <c r="CB1288" s="111" t="e">
        <f t="shared" si="971"/>
        <v>#VALUE!</v>
      </c>
      <c r="CC1288" s="129">
        <f>M1288-I1288+1</f>
        <v>1</v>
      </c>
      <c r="CD1288" s="111">
        <f>CC1288-BF1288</f>
        <v>0</v>
      </c>
      <c r="CG1288" s="129" t="str">
        <f t="shared" si="965"/>
        <v>N</v>
      </c>
      <c r="CI1288" s="129" t="str">
        <f t="shared" si="966"/>
        <v>0-10 DAYS</v>
      </c>
      <c r="CJ1288" s="137">
        <f t="shared" si="967"/>
        <v>1</v>
      </c>
      <c r="CK1288" s="129" t="str">
        <f t="shared" si="968"/>
        <v>Booked</v>
      </c>
    </row>
    <row r="1289" spans="1:89" ht="15.75" customHeight="1" x14ac:dyDescent="0.25">
      <c r="A1289" s="111">
        <v>890</v>
      </c>
      <c r="B1289" s="128" t="str">
        <f t="shared" si="949"/>
        <v>N</v>
      </c>
      <c r="C1289" s="128" t="str">
        <f t="shared" si="950"/>
        <v>N</v>
      </c>
      <c r="D1289" s="117">
        <v>1928731</v>
      </c>
      <c r="E1289" s="135">
        <f t="shared" si="951"/>
        <v>6</v>
      </c>
      <c r="F1289" s="124">
        <v>40941</v>
      </c>
      <c r="G1289" s="125">
        <v>40952</v>
      </c>
      <c r="H1289" s="117">
        <v>1928731</v>
      </c>
      <c r="I1289" s="124">
        <v>40942</v>
      </c>
      <c r="J1289" s="124">
        <v>40952</v>
      </c>
      <c r="K1289" s="126" t="s">
        <v>564</v>
      </c>
      <c r="L1289" s="127" t="s">
        <v>564</v>
      </c>
      <c r="N1289" s="129" t="s">
        <v>566</v>
      </c>
      <c r="O1289" s="128" t="s">
        <v>917</v>
      </c>
      <c r="P1289" s="129" t="s">
        <v>39</v>
      </c>
      <c r="Q1289" s="111">
        <f t="shared" si="969"/>
        <v>11</v>
      </c>
      <c r="R1289" s="111">
        <f t="shared" si="931"/>
        <v>12</v>
      </c>
      <c r="S1289" s="129">
        <v>4</v>
      </c>
      <c r="T1289" s="129">
        <v>2</v>
      </c>
      <c r="U1289" s="129">
        <v>3</v>
      </c>
      <c r="W1289" s="111"/>
      <c r="AC1289" s="130"/>
      <c r="AD1289" s="130">
        <v>30735</v>
      </c>
      <c r="AE1289" s="128" t="s">
        <v>32</v>
      </c>
      <c r="AF1289" s="128" t="s">
        <v>33</v>
      </c>
      <c r="AG1289" s="128" t="s">
        <v>872</v>
      </c>
      <c r="AH1289" s="108" t="s">
        <v>31</v>
      </c>
      <c r="AI1289" s="128" t="s">
        <v>59</v>
      </c>
      <c r="AJ1289" s="129" t="s">
        <v>89</v>
      </c>
      <c r="AK1289" s="129">
        <v>2</v>
      </c>
      <c r="AL1289" s="3" t="s">
        <v>362</v>
      </c>
      <c r="AM1289" s="117">
        <v>7</v>
      </c>
      <c r="AP1289" s="129" t="s">
        <v>49</v>
      </c>
      <c r="AR1289" s="128" t="s">
        <v>50</v>
      </c>
      <c r="AS1289" s="129" t="s">
        <v>45</v>
      </c>
      <c r="BC1289" s="129" t="s">
        <v>38</v>
      </c>
      <c r="BF1289" s="111">
        <f t="shared" si="970"/>
        <v>11</v>
      </c>
      <c r="BG1289" s="111">
        <f t="shared" si="942"/>
        <v>11</v>
      </c>
      <c r="BH1289" s="111">
        <f t="shared" si="946"/>
        <v>12</v>
      </c>
      <c r="BI1289" s="111">
        <f t="shared" si="947"/>
        <v>27.885245901639344</v>
      </c>
      <c r="BJ1289" s="129">
        <f t="shared" si="952"/>
        <v>0</v>
      </c>
      <c r="BK1289" s="129">
        <f t="shared" si="948"/>
        <v>0</v>
      </c>
      <c r="BL1289" s="129" t="str">
        <f t="shared" si="935"/>
        <v>CONVICTION</v>
      </c>
      <c r="BM1289" s="129" t="str">
        <f t="shared" si="953"/>
        <v>NONE</v>
      </c>
      <c r="BN1289" s="129" t="s">
        <v>566</v>
      </c>
      <c r="BP1289" s="137" t="str">
        <f t="shared" si="954"/>
        <v>CONVICTION</v>
      </c>
      <c r="BQ1289" s="128" t="str">
        <f t="shared" si="955"/>
        <v>Y</v>
      </c>
      <c r="BR1289" s="129" t="str">
        <f t="shared" si="956"/>
        <v>DETAINED</v>
      </c>
      <c r="BS1289" s="129" t="str">
        <f t="shared" si="957"/>
        <v>DISPOSED</v>
      </c>
      <c r="BT1289" s="129" t="str">
        <f t="shared" si="958"/>
        <v>Y</v>
      </c>
      <c r="BU1289" s="109">
        <f t="shared" si="959"/>
        <v>0.91666666666666663</v>
      </c>
      <c r="BV1289" s="109">
        <f t="shared" si="960"/>
        <v>1</v>
      </c>
      <c r="BW1289" s="109">
        <f t="shared" si="945"/>
        <v>8.333333333333337E-2</v>
      </c>
      <c r="BX1289" s="111">
        <f t="shared" si="961"/>
        <v>0</v>
      </c>
      <c r="BY1289" s="129">
        <f t="shared" si="962"/>
        <v>-11</v>
      </c>
      <c r="BZ1289" s="111">
        <f t="shared" si="963"/>
        <v>0</v>
      </c>
      <c r="CA1289" s="138">
        <f t="shared" si="964"/>
        <v>11</v>
      </c>
      <c r="CB1289" s="111" t="e">
        <f t="shared" si="971"/>
        <v>#VALUE!</v>
      </c>
      <c r="CC1289" s="129">
        <f>G1289-I1289+1</f>
        <v>11</v>
      </c>
      <c r="CD1289" s="129">
        <f>G1289-J1289</f>
        <v>0</v>
      </c>
      <c r="CG1289" s="129" t="str">
        <f t="shared" si="965"/>
        <v>Y</v>
      </c>
      <c r="CI1289" s="129" t="str">
        <f t="shared" si="966"/>
        <v>11-30 DAYS</v>
      </c>
      <c r="CJ1289" s="137">
        <f t="shared" si="967"/>
        <v>2</v>
      </c>
      <c r="CK1289" s="129" t="str">
        <f t="shared" si="968"/>
        <v>Booked</v>
      </c>
    </row>
    <row r="1290" spans="1:89" ht="15" customHeight="1" x14ac:dyDescent="0.25">
      <c r="A1290" s="111">
        <v>2001</v>
      </c>
      <c r="B1290" s="128" t="str">
        <f t="shared" si="949"/>
        <v>N</v>
      </c>
      <c r="C1290" s="128" t="str">
        <f t="shared" si="950"/>
        <v>N</v>
      </c>
      <c r="D1290" s="117">
        <v>1931056</v>
      </c>
      <c r="E1290" s="135">
        <f t="shared" si="951"/>
        <v>4</v>
      </c>
      <c r="F1290" s="124">
        <v>40984</v>
      </c>
      <c r="G1290" s="125">
        <v>41197</v>
      </c>
      <c r="H1290" s="117">
        <v>1931056</v>
      </c>
      <c r="I1290" s="124">
        <v>40984</v>
      </c>
      <c r="J1290" s="124">
        <v>40990</v>
      </c>
      <c r="K1290" s="126">
        <v>20000</v>
      </c>
      <c r="L1290" s="127" t="s">
        <v>571</v>
      </c>
      <c r="M1290" s="125">
        <v>40990</v>
      </c>
      <c r="N1290" s="129" t="str">
        <f>IF(M1290&gt;1/1/1,"Y","N")</f>
        <v>Y</v>
      </c>
      <c r="O1290" s="128" t="s">
        <v>76</v>
      </c>
      <c r="P1290" s="129" t="s">
        <v>39</v>
      </c>
      <c r="Q1290" s="111">
        <f t="shared" si="969"/>
        <v>7</v>
      </c>
      <c r="R1290" s="111">
        <f t="shared" si="931"/>
        <v>214</v>
      </c>
      <c r="S1290" s="129">
        <v>8</v>
      </c>
      <c r="T1290" s="129">
        <v>1</v>
      </c>
      <c r="U1290" s="129">
        <v>4</v>
      </c>
      <c r="V1290" s="117">
        <v>1</v>
      </c>
      <c r="W1290" s="111"/>
      <c r="AC1290" s="130"/>
      <c r="AD1290" s="130">
        <v>31082</v>
      </c>
      <c r="AE1290" s="128" t="s">
        <v>46</v>
      </c>
      <c r="AF1290" s="128" t="s">
        <v>33</v>
      </c>
      <c r="AG1290" s="128" t="s">
        <v>872</v>
      </c>
      <c r="AH1290" s="108" t="s">
        <v>58</v>
      </c>
      <c r="AI1290" s="128" t="s">
        <v>59</v>
      </c>
      <c r="AJ1290" s="129" t="s">
        <v>89</v>
      </c>
      <c r="AK1290" s="129">
        <v>10</v>
      </c>
      <c r="AL1290" s="3" t="s">
        <v>991</v>
      </c>
      <c r="AO1290" s="128">
        <v>10</v>
      </c>
      <c r="AP1290" s="129" t="s">
        <v>191</v>
      </c>
      <c r="AR1290" s="128" t="s">
        <v>50</v>
      </c>
      <c r="AS1290" s="129" t="s">
        <v>82</v>
      </c>
      <c r="BC1290" s="129" t="s">
        <v>52</v>
      </c>
      <c r="BF1290" s="111">
        <f t="shared" si="970"/>
        <v>7</v>
      </c>
      <c r="BG1290" s="111">
        <f t="shared" si="942"/>
        <v>214</v>
      </c>
      <c r="BH1290" s="111">
        <f t="shared" si="946"/>
        <v>214</v>
      </c>
      <c r="BI1290" s="111">
        <f t="shared" si="947"/>
        <v>27.05464480874317</v>
      </c>
      <c r="BJ1290" s="129">
        <f>(G1290-J1290)+(M1290-G1290)</f>
        <v>0</v>
      </c>
      <c r="BK1290" s="129">
        <f t="shared" si="948"/>
        <v>-207</v>
      </c>
      <c r="BL1290" s="129" t="str">
        <f t="shared" si="935"/>
        <v>CONVICTION</v>
      </c>
      <c r="BM1290" s="129" t="s">
        <v>76</v>
      </c>
      <c r="BN1290" s="129" t="s">
        <v>88</v>
      </c>
      <c r="BP1290" s="137" t="str">
        <f t="shared" si="954"/>
        <v>CONVICTION</v>
      </c>
      <c r="BQ1290" s="128" t="str">
        <f t="shared" si="955"/>
        <v>Y</v>
      </c>
      <c r="BR1290" s="129" t="str">
        <f>IF(J1290&lt;G1290,"ON BOND",0)</f>
        <v>ON BOND</v>
      </c>
      <c r="BS1290" s="129" t="str">
        <f t="shared" si="957"/>
        <v>DISPOSED</v>
      </c>
      <c r="BT1290" s="129" t="str">
        <f t="shared" si="958"/>
        <v>Y</v>
      </c>
      <c r="BU1290" s="109">
        <f t="shared" si="959"/>
        <v>3.2710280373831772E-2</v>
      </c>
      <c r="BV1290" s="109">
        <f t="shared" si="960"/>
        <v>3.2710280373831772E-2</v>
      </c>
      <c r="BW1290" s="109">
        <f t="shared" si="945"/>
        <v>0</v>
      </c>
      <c r="BX1290" s="111">
        <f t="shared" si="961"/>
        <v>0</v>
      </c>
      <c r="BY1290" s="129">
        <f t="shared" si="962"/>
        <v>-7</v>
      </c>
      <c r="BZ1290" s="111">
        <f t="shared" si="963"/>
        <v>0</v>
      </c>
      <c r="CA1290" s="138">
        <f t="shared" si="964"/>
        <v>7</v>
      </c>
      <c r="CB1290" s="111" t="e">
        <f t="shared" si="971"/>
        <v>#VALUE!</v>
      </c>
      <c r="CC1290" s="129">
        <f>M1290-I1290+1</f>
        <v>7</v>
      </c>
      <c r="CD1290" s="111">
        <f>CC1290-BF1290</f>
        <v>0</v>
      </c>
      <c r="CG1290" s="129" t="str">
        <f t="shared" si="965"/>
        <v>Y</v>
      </c>
      <c r="CI1290" s="129" t="str">
        <f t="shared" si="966"/>
        <v>0-10 DAYS</v>
      </c>
      <c r="CJ1290" s="137">
        <f t="shared" si="967"/>
        <v>1</v>
      </c>
      <c r="CK1290" s="129" t="str">
        <f t="shared" si="968"/>
        <v>Booked</v>
      </c>
    </row>
    <row r="1291" spans="1:89" ht="15.75" customHeight="1" x14ac:dyDescent="0.25">
      <c r="A1291" s="111">
        <v>526</v>
      </c>
      <c r="B1291" s="128" t="str">
        <f t="shared" si="949"/>
        <v>N</v>
      </c>
      <c r="C1291" s="128" t="str">
        <f t="shared" si="950"/>
        <v>N</v>
      </c>
      <c r="D1291" s="117">
        <v>1931347</v>
      </c>
      <c r="E1291" s="135">
        <f t="shared" si="951"/>
        <v>5</v>
      </c>
      <c r="F1291" s="124">
        <v>40929</v>
      </c>
      <c r="G1291" s="125">
        <v>40941</v>
      </c>
      <c r="H1291" s="117">
        <v>1931347</v>
      </c>
      <c r="I1291" s="124">
        <v>40930</v>
      </c>
      <c r="J1291" s="124">
        <v>40941</v>
      </c>
      <c r="K1291" s="126" t="s">
        <v>564</v>
      </c>
      <c r="L1291" s="127" t="s">
        <v>564</v>
      </c>
      <c r="N1291" s="129" t="s">
        <v>566</v>
      </c>
      <c r="O1291" s="128" t="s">
        <v>917</v>
      </c>
      <c r="P1291" s="129" t="s">
        <v>39</v>
      </c>
      <c r="Q1291" s="111">
        <f t="shared" si="969"/>
        <v>12</v>
      </c>
      <c r="R1291" s="111">
        <f t="shared" si="931"/>
        <v>13</v>
      </c>
      <c r="S1291" s="129">
        <v>5</v>
      </c>
      <c r="T1291" s="129">
        <v>3</v>
      </c>
      <c r="U1291" s="129">
        <v>5</v>
      </c>
      <c r="W1291" s="111"/>
      <c r="AC1291" s="130"/>
      <c r="AD1291" s="130">
        <v>29709</v>
      </c>
      <c r="AE1291" s="128" t="s">
        <v>32</v>
      </c>
      <c r="AF1291" s="128" t="s">
        <v>33</v>
      </c>
      <c r="AG1291" s="128" t="s">
        <v>872</v>
      </c>
      <c r="AH1291" s="108" t="s">
        <v>58</v>
      </c>
      <c r="AI1291" s="128" t="s">
        <v>97</v>
      </c>
      <c r="AJ1291" s="129" t="s">
        <v>89</v>
      </c>
      <c r="AK1291" s="129">
        <v>2</v>
      </c>
      <c r="AL1291" s="3" t="s">
        <v>992</v>
      </c>
      <c r="AN1291" s="117">
        <v>8</v>
      </c>
      <c r="AP1291" s="129" t="s">
        <v>107</v>
      </c>
      <c r="AR1291" s="128" t="s">
        <v>44</v>
      </c>
      <c r="AS1291" s="129" t="s">
        <v>57</v>
      </c>
      <c r="BC1291" s="129" t="s">
        <v>38</v>
      </c>
      <c r="BF1291" s="111">
        <f t="shared" si="970"/>
        <v>12</v>
      </c>
      <c r="BG1291" s="111">
        <f t="shared" si="942"/>
        <v>12</v>
      </c>
      <c r="BH1291" s="111">
        <f t="shared" si="946"/>
        <v>13</v>
      </c>
      <c r="BI1291" s="111">
        <f t="shared" si="947"/>
        <v>30.655737704918032</v>
      </c>
      <c r="BJ1291" s="129">
        <f t="shared" si="952"/>
        <v>0</v>
      </c>
      <c r="BK1291" s="129">
        <f t="shared" si="948"/>
        <v>0</v>
      </c>
      <c r="BL1291" s="129" t="str">
        <f t="shared" si="935"/>
        <v>CONVICTION</v>
      </c>
      <c r="BM1291" s="129" t="str">
        <f t="shared" si="953"/>
        <v>NONE</v>
      </c>
      <c r="BN1291" s="129" t="s">
        <v>566</v>
      </c>
      <c r="BP1291" s="137" t="str">
        <f t="shared" si="954"/>
        <v>CONVICTION</v>
      </c>
      <c r="BQ1291" s="128" t="str">
        <f t="shared" si="955"/>
        <v>Y</v>
      </c>
      <c r="BR1291" s="129" t="str">
        <f t="shared" si="956"/>
        <v>DETAINED</v>
      </c>
      <c r="BS1291" s="129" t="str">
        <f t="shared" si="957"/>
        <v>DISPOSED</v>
      </c>
      <c r="BT1291" s="129" t="str">
        <f t="shared" si="958"/>
        <v>Y</v>
      </c>
      <c r="BU1291" s="109">
        <f t="shared" si="959"/>
        <v>0.92307692307692313</v>
      </c>
      <c r="BV1291" s="109">
        <f t="shared" si="960"/>
        <v>1</v>
      </c>
      <c r="BW1291" s="109">
        <f t="shared" si="945"/>
        <v>7.6923076923076872E-2</v>
      </c>
      <c r="BX1291" s="111">
        <f t="shared" si="961"/>
        <v>0</v>
      </c>
      <c r="BY1291" s="129">
        <f t="shared" si="962"/>
        <v>-12</v>
      </c>
      <c r="BZ1291" s="111">
        <f t="shared" si="963"/>
        <v>0</v>
      </c>
      <c r="CA1291" s="138">
        <f t="shared" si="964"/>
        <v>12</v>
      </c>
      <c r="CB1291" s="111" t="e">
        <f t="shared" si="971"/>
        <v>#VALUE!</v>
      </c>
      <c r="CC1291" s="129">
        <f>G1291-I1291+1</f>
        <v>12</v>
      </c>
      <c r="CD1291" s="129">
        <f>G1291-J1291</f>
        <v>0</v>
      </c>
      <c r="CG1291" s="129" t="str">
        <f t="shared" si="965"/>
        <v>Y</v>
      </c>
      <c r="CI1291" s="129" t="str">
        <f t="shared" si="966"/>
        <v>11-30 DAYS</v>
      </c>
      <c r="CJ1291" s="137">
        <f t="shared" si="967"/>
        <v>2</v>
      </c>
      <c r="CK1291" s="129" t="str">
        <f t="shared" si="968"/>
        <v>Booked</v>
      </c>
    </row>
    <row r="1292" spans="1:89" ht="15" customHeight="1" x14ac:dyDescent="0.25">
      <c r="A1292" s="111">
        <v>443</v>
      </c>
      <c r="B1292" s="128" t="str">
        <f t="shared" si="949"/>
        <v>N</v>
      </c>
      <c r="C1292" s="128" t="str">
        <f t="shared" si="950"/>
        <v>N</v>
      </c>
      <c r="D1292" s="117">
        <v>1931744</v>
      </c>
      <c r="E1292" s="135">
        <f t="shared" si="951"/>
        <v>1</v>
      </c>
      <c r="F1292" s="124">
        <v>40927</v>
      </c>
      <c r="G1292" s="125">
        <v>41089</v>
      </c>
      <c r="H1292" s="117">
        <v>1931744</v>
      </c>
      <c r="I1292" s="124">
        <v>40927</v>
      </c>
      <c r="J1292" s="124">
        <v>40928</v>
      </c>
      <c r="K1292" s="126">
        <v>20000</v>
      </c>
      <c r="L1292" s="127" t="s">
        <v>571</v>
      </c>
      <c r="M1292" s="125">
        <v>40928</v>
      </c>
      <c r="N1292" s="129" t="str">
        <f t="shared" ref="N1292:N1297" si="972">IF(M1292&gt;1/1/1,"Y","N")</f>
        <v>Y</v>
      </c>
      <c r="O1292" s="128" t="s">
        <v>76</v>
      </c>
      <c r="P1292" s="129" t="s">
        <v>55</v>
      </c>
      <c r="Q1292" s="111">
        <f t="shared" si="969"/>
        <v>2</v>
      </c>
      <c r="R1292" s="111">
        <f t="shared" si="931"/>
        <v>163</v>
      </c>
      <c r="S1292" s="129">
        <v>3</v>
      </c>
      <c r="T1292" s="129">
        <v>4</v>
      </c>
      <c r="U1292" s="129">
        <v>2</v>
      </c>
      <c r="W1292" s="111"/>
      <c r="AC1292" s="130"/>
      <c r="AD1292" s="130">
        <v>30623</v>
      </c>
      <c r="AE1292" s="128" t="s">
        <v>32</v>
      </c>
      <c r="AF1292" s="128" t="s">
        <v>33</v>
      </c>
      <c r="AG1292" s="128" t="s">
        <v>872</v>
      </c>
      <c r="AH1292" s="108" t="s">
        <v>58</v>
      </c>
      <c r="AI1292" s="128" t="s">
        <v>113</v>
      </c>
      <c r="AJ1292" s="129" t="s">
        <v>55</v>
      </c>
      <c r="AK1292" s="129">
        <v>9</v>
      </c>
      <c r="AL1292" s="3" t="s">
        <v>55</v>
      </c>
      <c r="AP1292" s="129" t="s">
        <v>207</v>
      </c>
      <c r="AR1292" s="128" t="s">
        <v>92</v>
      </c>
      <c r="AS1292" s="129" t="s">
        <v>82</v>
      </c>
      <c r="BC1292" s="129" t="s">
        <v>52</v>
      </c>
      <c r="BF1292" s="111">
        <f t="shared" si="970"/>
        <v>2</v>
      </c>
      <c r="BG1292" s="111">
        <f t="shared" si="942"/>
        <v>163</v>
      </c>
      <c r="BH1292" s="111">
        <f t="shared" si="946"/>
        <v>163</v>
      </c>
      <c r="BI1292" s="111">
        <f t="shared" si="947"/>
        <v>28.153005464480874</v>
      </c>
      <c r="BJ1292" s="129">
        <f>(G1292-J1292)+(M1292-G1292)</f>
        <v>0</v>
      </c>
      <c r="BK1292" s="129">
        <f t="shared" si="948"/>
        <v>-161</v>
      </c>
      <c r="BL1292" s="129" t="str">
        <f t="shared" si="935"/>
        <v>NO CONVICTION</v>
      </c>
      <c r="BM1292" s="129" t="s">
        <v>76</v>
      </c>
      <c r="BN1292" s="129" t="s">
        <v>88</v>
      </c>
      <c r="BP1292" s="137" t="str">
        <f t="shared" si="954"/>
        <v>NO CONVICTION</v>
      </c>
      <c r="BQ1292" s="128" t="str">
        <f t="shared" si="955"/>
        <v>Y</v>
      </c>
      <c r="BR1292" s="129" t="str">
        <f t="shared" si="956"/>
        <v>ON BOND</v>
      </c>
      <c r="BS1292" s="129" t="str">
        <f t="shared" si="957"/>
        <v>DISPOSED</v>
      </c>
      <c r="BT1292" s="129" t="str">
        <f t="shared" si="958"/>
        <v>Y</v>
      </c>
      <c r="BU1292" s="109">
        <f>IFERROR(Q1292/R1292,BR1292)</f>
        <v>1.2269938650306749E-2</v>
      </c>
      <c r="BV1292" s="109">
        <f t="shared" si="960"/>
        <v>1.2269938650306749E-2</v>
      </c>
      <c r="BW1292" s="109">
        <f t="shared" si="945"/>
        <v>0</v>
      </c>
      <c r="BX1292" s="111">
        <f t="shared" si="961"/>
        <v>0</v>
      </c>
      <c r="BY1292" s="129">
        <f t="shared" si="962"/>
        <v>-2</v>
      </c>
      <c r="BZ1292" s="111">
        <f t="shared" si="963"/>
        <v>0</v>
      </c>
      <c r="CA1292" s="138">
        <f t="shared" si="964"/>
        <v>2</v>
      </c>
      <c r="CB1292" s="111" t="e">
        <f t="shared" si="971"/>
        <v>#VALUE!</v>
      </c>
      <c r="CC1292" s="129">
        <f>M1292-I1292+1</f>
        <v>2</v>
      </c>
      <c r="CD1292" s="111">
        <f>CC1292-BF1292</f>
        <v>0</v>
      </c>
      <c r="CG1292" s="129" t="str">
        <f t="shared" si="965"/>
        <v>Y</v>
      </c>
      <c r="CI1292" s="129" t="str">
        <f t="shared" si="966"/>
        <v>0-10 DAYS</v>
      </c>
      <c r="CJ1292" s="137">
        <f t="shared" si="967"/>
        <v>1</v>
      </c>
      <c r="CK1292" s="129" t="str">
        <f t="shared" si="968"/>
        <v>Booked</v>
      </c>
    </row>
    <row r="1293" spans="1:89" ht="15.75" customHeight="1" x14ac:dyDescent="0.25">
      <c r="A1293" s="111">
        <v>1379</v>
      </c>
      <c r="B1293" s="128" t="str">
        <f t="shared" si="949"/>
        <v>N</v>
      </c>
      <c r="C1293" s="128" t="str">
        <f t="shared" si="950"/>
        <v>N</v>
      </c>
      <c r="D1293" s="117">
        <v>1931800</v>
      </c>
      <c r="E1293" s="135">
        <f t="shared" si="951"/>
        <v>5</v>
      </c>
      <c r="F1293" s="124">
        <v>40959</v>
      </c>
      <c r="G1293" s="125">
        <v>41075</v>
      </c>
      <c r="H1293" s="117">
        <v>1931800</v>
      </c>
      <c r="I1293" s="124">
        <v>40960</v>
      </c>
      <c r="J1293" s="124">
        <v>40971</v>
      </c>
      <c r="K1293" s="126">
        <v>15000</v>
      </c>
      <c r="L1293" s="127" t="s">
        <v>571</v>
      </c>
      <c r="M1293" s="125">
        <v>40971</v>
      </c>
      <c r="N1293" s="129" t="str">
        <f t="shared" si="972"/>
        <v>Y</v>
      </c>
      <c r="O1293" s="128" t="s">
        <v>76</v>
      </c>
      <c r="P1293" s="129" t="s">
        <v>39</v>
      </c>
      <c r="Q1293" s="111">
        <f t="shared" si="969"/>
        <v>12</v>
      </c>
      <c r="R1293" s="111">
        <f t="shared" si="931"/>
        <v>117</v>
      </c>
      <c r="S1293" s="129">
        <v>4</v>
      </c>
      <c r="T1293" s="129">
        <v>7</v>
      </c>
      <c r="U1293" s="129">
        <v>2</v>
      </c>
      <c r="V1293" s="117">
        <v>1</v>
      </c>
      <c r="W1293" s="111"/>
      <c r="AC1293" s="130"/>
      <c r="AD1293" s="130">
        <v>31066</v>
      </c>
      <c r="AE1293" s="128" t="s">
        <v>32</v>
      </c>
      <c r="AF1293" s="128" t="s">
        <v>33</v>
      </c>
      <c r="AG1293" s="128" t="s">
        <v>872</v>
      </c>
      <c r="AH1293" s="108" t="s">
        <v>58</v>
      </c>
      <c r="AI1293" s="128" t="s">
        <v>34</v>
      </c>
      <c r="AJ1293" s="129" t="s">
        <v>89</v>
      </c>
      <c r="AK1293" s="129">
        <v>7</v>
      </c>
      <c r="AL1293" s="3" t="s">
        <v>992</v>
      </c>
      <c r="AN1293" s="117">
        <v>10</v>
      </c>
      <c r="AP1293" s="129" t="s">
        <v>60</v>
      </c>
      <c r="AR1293" s="128" t="s">
        <v>44</v>
      </c>
      <c r="AS1293" s="129" t="s">
        <v>61</v>
      </c>
      <c r="AT1293" s="129" t="s">
        <v>327</v>
      </c>
      <c r="BC1293" s="129" t="s">
        <v>38</v>
      </c>
      <c r="BF1293" s="111">
        <f t="shared" si="970"/>
        <v>12</v>
      </c>
      <c r="BG1293" s="111">
        <f t="shared" si="942"/>
        <v>116</v>
      </c>
      <c r="BH1293" s="111">
        <f t="shared" si="946"/>
        <v>117</v>
      </c>
      <c r="BI1293" s="111">
        <f t="shared" si="947"/>
        <v>27.030054644808743</v>
      </c>
      <c r="BJ1293" s="129">
        <f>(G1293-J1293)+(M1293-G1293)</f>
        <v>0</v>
      </c>
      <c r="BK1293" s="129">
        <f t="shared" si="948"/>
        <v>-104</v>
      </c>
      <c r="BL1293" s="129" t="str">
        <f t="shared" si="935"/>
        <v>CONVICTION</v>
      </c>
      <c r="BM1293" s="129" t="s">
        <v>76</v>
      </c>
      <c r="BN1293" s="129" t="s">
        <v>88</v>
      </c>
      <c r="BP1293" s="137" t="str">
        <f t="shared" si="954"/>
        <v>CONVICTION</v>
      </c>
      <c r="BQ1293" s="128" t="str">
        <f t="shared" si="955"/>
        <v>Y</v>
      </c>
      <c r="BR1293" s="129" t="str">
        <f>IF(J1293&lt;G1293,"ON BOND",0)</f>
        <v>ON BOND</v>
      </c>
      <c r="BS1293" s="129" t="str">
        <f t="shared" si="957"/>
        <v>DISPOSED</v>
      </c>
      <c r="BT1293" s="129" t="str">
        <f t="shared" si="958"/>
        <v>Y</v>
      </c>
      <c r="BU1293" s="109">
        <f t="shared" si="959"/>
        <v>0.10256410256410256</v>
      </c>
      <c r="BV1293" s="109">
        <f t="shared" si="960"/>
        <v>0.10344827586206896</v>
      </c>
      <c r="BW1293" s="109">
        <f t="shared" si="945"/>
        <v>8.8417329796640354E-4</v>
      </c>
      <c r="BX1293" s="111">
        <f t="shared" si="961"/>
        <v>0</v>
      </c>
      <c r="BY1293" s="129">
        <f t="shared" si="962"/>
        <v>-12</v>
      </c>
      <c r="BZ1293" s="111">
        <f t="shared" si="963"/>
        <v>0</v>
      </c>
      <c r="CA1293" s="138">
        <f t="shared" si="964"/>
        <v>12</v>
      </c>
      <c r="CB1293" s="111" t="e">
        <f t="shared" si="971"/>
        <v>#VALUE!</v>
      </c>
      <c r="CC1293" s="129">
        <f>M1293-I1293+1</f>
        <v>12</v>
      </c>
      <c r="CD1293" s="111">
        <f>CC1293-BF1293</f>
        <v>0</v>
      </c>
      <c r="CG1293" s="129" t="str">
        <f t="shared" si="965"/>
        <v>Y</v>
      </c>
      <c r="CI1293" s="129" t="str">
        <f t="shared" si="966"/>
        <v>11-30 DAYS</v>
      </c>
      <c r="CJ1293" s="137">
        <f t="shared" si="967"/>
        <v>2</v>
      </c>
      <c r="CK1293" s="129" t="str">
        <f t="shared" si="968"/>
        <v>Booked</v>
      </c>
    </row>
    <row r="1294" spans="1:89" ht="15.75" customHeight="1" x14ac:dyDescent="0.25">
      <c r="A1294" s="111">
        <v>3087</v>
      </c>
      <c r="B1294" s="128" t="str">
        <f t="shared" si="949"/>
        <v>N</v>
      </c>
      <c r="C1294" s="128" t="str">
        <f t="shared" si="950"/>
        <v>N</v>
      </c>
      <c r="D1294" s="117">
        <v>1931816</v>
      </c>
      <c r="E1294" s="135">
        <f t="shared" si="951"/>
        <v>4</v>
      </c>
      <c r="F1294" s="124">
        <v>41023</v>
      </c>
      <c r="G1294" s="125">
        <v>41096</v>
      </c>
      <c r="H1294" s="117">
        <v>1931816</v>
      </c>
      <c r="I1294" s="124">
        <v>41053</v>
      </c>
      <c r="J1294" s="124">
        <v>41096</v>
      </c>
      <c r="K1294" s="126">
        <v>20000</v>
      </c>
      <c r="L1294" s="127" t="s">
        <v>571</v>
      </c>
      <c r="N1294" s="129" t="str">
        <f t="shared" si="972"/>
        <v>N</v>
      </c>
      <c r="O1294" s="128" t="s">
        <v>917</v>
      </c>
      <c r="P1294" s="129" t="s">
        <v>39</v>
      </c>
      <c r="Q1294" s="111">
        <f t="shared" si="969"/>
        <v>44</v>
      </c>
      <c r="R1294" s="111">
        <f t="shared" si="931"/>
        <v>74</v>
      </c>
      <c r="S1294" s="129">
        <v>3</v>
      </c>
      <c r="T1294" s="129">
        <v>3</v>
      </c>
      <c r="U1294" s="129">
        <v>1</v>
      </c>
      <c r="W1294" s="111"/>
      <c r="AC1294" s="130"/>
      <c r="AD1294" s="130">
        <v>23102</v>
      </c>
      <c r="AE1294" s="128" t="s">
        <v>32</v>
      </c>
      <c r="AF1294" s="128" t="s">
        <v>33</v>
      </c>
      <c r="AG1294" s="128" t="s">
        <v>872</v>
      </c>
      <c r="AH1294" s="108" t="s">
        <v>31</v>
      </c>
      <c r="AI1294" s="128" t="s">
        <v>62</v>
      </c>
      <c r="AJ1294" s="129" t="s">
        <v>89</v>
      </c>
      <c r="AK1294" s="129">
        <v>3</v>
      </c>
      <c r="AL1294" s="3" t="s">
        <v>991</v>
      </c>
      <c r="AO1294" s="128">
        <v>240</v>
      </c>
      <c r="AP1294" s="129" t="s">
        <v>131</v>
      </c>
      <c r="AR1294" s="128" t="s">
        <v>50</v>
      </c>
      <c r="AS1294" s="129" t="s">
        <v>106</v>
      </c>
      <c r="BC1294" s="129" t="s">
        <v>38</v>
      </c>
      <c r="BF1294" s="111">
        <f t="shared" si="970"/>
        <v>44</v>
      </c>
      <c r="BG1294" s="111">
        <f t="shared" si="942"/>
        <v>44</v>
      </c>
      <c r="BH1294" s="111">
        <f t="shared" si="946"/>
        <v>74</v>
      </c>
      <c r="BI1294" s="111">
        <f t="shared" si="947"/>
        <v>48.964480874316941</v>
      </c>
      <c r="BJ1294" s="129">
        <f t="shared" si="952"/>
        <v>0</v>
      </c>
      <c r="BK1294" s="129">
        <f t="shared" si="948"/>
        <v>0</v>
      </c>
      <c r="BL1294" s="129" t="str">
        <f t="shared" si="935"/>
        <v>CONVICTION</v>
      </c>
      <c r="BM1294" s="129" t="str">
        <f t="shared" si="953"/>
        <v>NONE</v>
      </c>
      <c r="BN1294" s="129" t="s">
        <v>566</v>
      </c>
      <c r="BP1294" s="137" t="str">
        <f t="shared" si="954"/>
        <v>CONVICTION</v>
      </c>
      <c r="BQ1294" s="128" t="str">
        <f t="shared" si="955"/>
        <v>Y</v>
      </c>
      <c r="BR1294" s="129" t="str">
        <f t="shared" si="956"/>
        <v>DETAINED</v>
      </c>
      <c r="BS1294" s="129" t="str">
        <f t="shared" si="957"/>
        <v>DISPOSED</v>
      </c>
      <c r="BT1294" s="129" t="str">
        <f t="shared" si="958"/>
        <v>Y</v>
      </c>
      <c r="BU1294" s="109">
        <f t="shared" si="959"/>
        <v>0.59459459459459463</v>
      </c>
      <c r="BV1294" s="109">
        <f t="shared" si="960"/>
        <v>1</v>
      </c>
      <c r="BW1294" s="109">
        <f t="shared" si="945"/>
        <v>0.40540540540540537</v>
      </c>
      <c r="BX1294" s="111">
        <f t="shared" si="961"/>
        <v>0</v>
      </c>
      <c r="BY1294" s="129">
        <f t="shared" si="962"/>
        <v>-44</v>
      </c>
      <c r="BZ1294" s="111">
        <f t="shared" si="963"/>
        <v>0</v>
      </c>
      <c r="CA1294" s="138">
        <f t="shared" si="964"/>
        <v>44</v>
      </c>
      <c r="CB1294" s="111" t="e">
        <f t="shared" si="971"/>
        <v>#VALUE!</v>
      </c>
      <c r="CC1294" s="129">
        <f>G1294-I1294+1</f>
        <v>44</v>
      </c>
      <c r="CD1294" s="129">
        <f>G1294-J1294</f>
        <v>0</v>
      </c>
      <c r="CG1294" s="129" t="str">
        <f t="shared" si="965"/>
        <v>Y</v>
      </c>
      <c r="CI1294" s="129" t="str">
        <f t="shared" si="966"/>
        <v>31-60 DAYS</v>
      </c>
      <c r="CJ1294" s="137">
        <f t="shared" si="967"/>
        <v>3</v>
      </c>
      <c r="CK1294" s="129" t="str">
        <f t="shared" si="968"/>
        <v>Booked</v>
      </c>
    </row>
    <row r="1295" spans="1:89" ht="15" customHeight="1" x14ac:dyDescent="0.25">
      <c r="A1295" s="111">
        <v>3015</v>
      </c>
      <c r="B1295" s="128" t="str">
        <f t="shared" si="949"/>
        <v>N</v>
      </c>
      <c r="C1295" s="128" t="str">
        <f t="shared" si="950"/>
        <v>N</v>
      </c>
      <c r="D1295" s="117">
        <v>1932515</v>
      </c>
      <c r="E1295" s="135">
        <f t="shared" si="951"/>
        <v>6</v>
      </c>
      <c r="F1295" s="124">
        <v>41020</v>
      </c>
      <c r="G1295" s="125">
        <v>41306</v>
      </c>
      <c r="H1295" s="117">
        <v>1932515</v>
      </c>
      <c r="I1295" s="124">
        <v>41020</v>
      </c>
      <c r="J1295" s="124">
        <v>41023</v>
      </c>
      <c r="K1295" s="126">
        <v>10000</v>
      </c>
      <c r="L1295" s="127" t="s">
        <v>570</v>
      </c>
      <c r="M1295" s="125">
        <v>41023</v>
      </c>
      <c r="N1295" s="129" t="str">
        <f t="shared" si="972"/>
        <v>Y</v>
      </c>
      <c r="O1295" s="128" t="s">
        <v>585</v>
      </c>
      <c r="P1295" s="129" t="s">
        <v>39</v>
      </c>
      <c r="Q1295" s="111">
        <f t="shared" si="969"/>
        <v>4</v>
      </c>
      <c r="R1295" s="111">
        <f t="shared" si="931"/>
        <v>287</v>
      </c>
      <c r="S1295" s="129">
        <v>1</v>
      </c>
      <c r="T1295" s="129">
        <v>1</v>
      </c>
      <c r="U1295" s="129">
        <v>1</v>
      </c>
      <c r="W1295" s="111"/>
      <c r="AC1295" s="130"/>
      <c r="AD1295" s="130">
        <v>30601</v>
      </c>
      <c r="AE1295" s="128" t="s">
        <v>32</v>
      </c>
      <c r="AF1295" s="128" t="s">
        <v>33</v>
      </c>
      <c r="AG1295" s="128" t="s">
        <v>872</v>
      </c>
      <c r="AH1295" s="108" t="s">
        <v>31</v>
      </c>
      <c r="AI1295" s="128" t="s">
        <v>87</v>
      </c>
      <c r="AJ1295" s="129" t="s">
        <v>89</v>
      </c>
      <c r="AK1295" s="129">
        <v>13</v>
      </c>
      <c r="AL1295" s="3" t="s">
        <v>362</v>
      </c>
      <c r="AM1295" s="117">
        <v>2</v>
      </c>
      <c r="AP1295" s="129" t="s">
        <v>101</v>
      </c>
      <c r="AR1295" s="128" t="s">
        <v>67</v>
      </c>
      <c r="AS1295" s="129" t="s">
        <v>64</v>
      </c>
      <c r="BC1295" s="129" t="s">
        <v>38</v>
      </c>
      <c r="BF1295" s="111">
        <f t="shared" si="970"/>
        <v>4</v>
      </c>
      <c r="BG1295" s="111">
        <f t="shared" si="942"/>
        <v>287</v>
      </c>
      <c r="BH1295" s="111">
        <f t="shared" si="946"/>
        <v>287</v>
      </c>
      <c r="BI1295" s="111">
        <f t="shared" si="947"/>
        <v>28.467213114754099</v>
      </c>
      <c r="BJ1295" s="129">
        <f>(G1295-J1295)+(M1295-G1295)</f>
        <v>0</v>
      </c>
      <c r="BK1295" s="129">
        <f t="shared" si="948"/>
        <v>-283</v>
      </c>
      <c r="BL1295" s="129" t="str">
        <f t="shared" si="935"/>
        <v>CONVICTION</v>
      </c>
      <c r="BM1295" s="129" t="s">
        <v>76</v>
      </c>
      <c r="BN1295" s="129" t="s">
        <v>88</v>
      </c>
      <c r="BP1295" s="137" t="str">
        <f t="shared" si="954"/>
        <v>CONVICTION</v>
      </c>
      <c r="BQ1295" s="128" t="str">
        <f t="shared" si="955"/>
        <v>Y</v>
      </c>
      <c r="BR1295" s="129" t="str">
        <f>IF(J1295&lt;G1295,"ON BOND",0)</f>
        <v>ON BOND</v>
      </c>
      <c r="BS1295" s="129" t="str">
        <f t="shared" si="957"/>
        <v>DISPOSED</v>
      </c>
      <c r="BT1295" s="129" t="str">
        <f t="shared" si="958"/>
        <v>Y</v>
      </c>
      <c r="BU1295" s="109">
        <f t="shared" si="959"/>
        <v>1.3937282229965157E-2</v>
      </c>
      <c r="BV1295" s="109">
        <f t="shared" si="960"/>
        <v>1.3937282229965157E-2</v>
      </c>
      <c r="BW1295" s="109">
        <f t="shared" si="945"/>
        <v>0</v>
      </c>
      <c r="BX1295" s="111">
        <f t="shared" si="961"/>
        <v>0</v>
      </c>
      <c r="BY1295" s="129">
        <f t="shared" si="962"/>
        <v>-4</v>
      </c>
      <c r="BZ1295" s="111">
        <f t="shared" si="963"/>
        <v>0</v>
      </c>
      <c r="CA1295" s="138">
        <f t="shared" si="964"/>
        <v>4</v>
      </c>
      <c r="CB1295" s="111" t="e">
        <f t="shared" si="971"/>
        <v>#VALUE!</v>
      </c>
      <c r="CC1295" s="129">
        <f>M1295-I1295+1</f>
        <v>4</v>
      </c>
      <c r="CD1295" s="111">
        <f>CC1295-BF1295</f>
        <v>0</v>
      </c>
      <c r="CG1295" s="129" t="str">
        <f t="shared" si="965"/>
        <v>Y</v>
      </c>
      <c r="CI1295" s="129" t="str">
        <f t="shared" si="966"/>
        <v>0-10 DAYS</v>
      </c>
      <c r="CJ1295" s="137">
        <f t="shared" si="967"/>
        <v>1</v>
      </c>
      <c r="CK1295" s="129" t="str">
        <f t="shared" si="968"/>
        <v>Booked</v>
      </c>
    </row>
    <row r="1296" spans="1:89" ht="15.75" customHeight="1" x14ac:dyDescent="0.25">
      <c r="A1296" s="111">
        <v>1383</v>
      </c>
      <c r="B1296" s="128" t="str">
        <f t="shared" si="949"/>
        <v>N</v>
      </c>
      <c r="C1296" s="128" t="str">
        <f t="shared" si="950"/>
        <v>N</v>
      </c>
      <c r="D1296" s="117">
        <v>1934177</v>
      </c>
      <c r="E1296" s="135">
        <f t="shared" si="951"/>
        <v>2</v>
      </c>
      <c r="F1296" s="124">
        <v>40960</v>
      </c>
      <c r="G1296" s="125">
        <v>40962</v>
      </c>
      <c r="H1296" s="117">
        <v>1934177</v>
      </c>
      <c r="I1296" s="124">
        <v>40960</v>
      </c>
      <c r="J1296" s="124">
        <v>40962</v>
      </c>
      <c r="K1296" s="126">
        <v>2000</v>
      </c>
      <c r="L1296" s="127" t="s">
        <v>568</v>
      </c>
      <c r="N1296" s="129" t="str">
        <f t="shared" si="972"/>
        <v>N</v>
      </c>
      <c r="O1296" s="128" t="s">
        <v>917</v>
      </c>
      <c r="P1296" s="129" t="s">
        <v>589</v>
      </c>
      <c r="Q1296" s="111">
        <f t="shared" si="969"/>
        <v>3</v>
      </c>
      <c r="R1296" s="111">
        <f t="shared" si="931"/>
        <v>3</v>
      </c>
      <c r="S1296" s="129">
        <v>0</v>
      </c>
      <c r="T1296" s="129">
        <v>0</v>
      </c>
      <c r="W1296" s="111"/>
      <c r="AC1296" s="130"/>
      <c r="AD1296" s="130">
        <v>29478</v>
      </c>
      <c r="AE1296" s="128" t="s">
        <v>32</v>
      </c>
      <c r="AF1296" s="128" t="s">
        <v>69</v>
      </c>
      <c r="AG1296" s="128" t="s">
        <v>874</v>
      </c>
      <c r="AH1296" s="108" t="s">
        <v>31</v>
      </c>
      <c r="AI1296" s="128" t="s">
        <v>53</v>
      </c>
      <c r="AJ1296" s="129" t="s">
        <v>48</v>
      </c>
      <c r="AK1296" s="129">
        <v>2</v>
      </c>
      <c r="AL1296" s="3" t="s">
        <v>48</v>
      </c>
      <c r="AP1296" s="129" t="s">
        <v>263</v>
      </c>
      <c r="AR1296" s="128" t="s">
        <v>44</v>
      </c>
      <c r="AS1296" s="129" t="s">
        <v>82</v>
      </c>
      <c r="BC1296" s="129" t="s">
        <v>38</v>
      </c>
      <c r="BF1296" s="111">
        <f t="shared" si="970"/>
        <v>3</v>
      </c>
      <c r="BG1296" s="111">
        <f t="shared" si="942"/>
        <v>3</v>
      </c>
      <c r="BH1296" s="111">
        <f t="shared" si="946"/>
        <v>3</v>
      </c>
      <c r="BI1296" s="111">
        <f t="shared" si="947"/>
        <v>31.371584699453553</v>
      </c>
      <c r="BJ1296" s="129">
        <f t="shared" si="952"/>
        <v>0</v>
      </c>
      <c r="BK1296" s="129">
        <f t="shared" si="948"/>
        <v>0</v>
      </c>
      <c r="BL1296" s="129" t="str">
        <f t="shared" si="935"/>
        <v>DEFERRED</v>
      </c>
      <c r="BM1296" s="129" t="str">
        <f t="shared" si="953"/>
        <v>NONE</v>
      </c>
      <c r="BN1296" s="129" t="s">
        <v>566</v>
      </c>
      <c r="BP1296" s="137" t="str">
        <f t="shared" si="954"/>
        <v>DEFERRED</v>
      </c>
      <c r="BQ1296" s="128" t="str">
        <f t="shared" si="955"/>
        <v>Y</v>
      </c>
      <c r="BR1296" s="129" t="str">
        <f t="shared" si="956"/>
        <v>DETAINED</v>
      </c>
      <c r="BS1296" s="129" t="str">
        <f t="shared" si="957"/>
        <v>DISPOSED</v>
      </c>
      <c r="BT1296" s="129" t="str">
        <f t="shared" si="958"/>
        <v>N</v>
      </c>
      <c r="BU1296" s="109">
        <f t="shared" si="959"/>
        <v>1</v>
      </c>
      <c r="BV1296" s="109">
        <f t="shared" si="960"/>
        <v>1</v>
      </c>
      <c r="BW1296" s="109">
        <f t="shared" si="945"/>
        <v>0</v>
      </c>
      <c r="BX1296" s="111">
        <f t="shared" si="961"/>
        <v>0</v>
      </c>
      <c r="BY1296" s="129">
        <f t="shared" si="962"/>
        <v>-3</v>
      </c>
      <c r="BZ1296" s="111">
        <f t="shared" si="963"/>
        <v>0</v>
      </c>
      <c r="CA1296" s="138">
        <f t="shared" si="964"/>
        <v>3</v>
      </c>
      <c r="CB1296" s="111" t="e">
        <f t="shared" si="971"/>
        <v>#VALUE!</v>
      </c>
      <c r="CC1296" s="129">
        <f>G1296-I1296+1</f>
        <v>3</v>
      </c>
      <c r="CD1296" s="129">
        <f>G1296-J1296</f>
        <v>0</v>
      </c>
      <c r="CG1296" s="129" t="str">
        <f t="shared" si="965"/>
        <v>N</v>
      </c>
      <c r="CI1296" s="129" t="str">
        <f t="shared" si="966"/>
        <v>0-10 DAYS</v>
      </c>
      <c r="CJ1296" s="137">
        <f t="shared" si="967"/>
        <v>1</v>
      </c>
      <c r="CK1296" s="129" t="str">
        <f t="shared" si="968"/>
        <v>Booked</v>
      </c>
    </row>
    <row r="1297" spans="1:89" ht="15" customHeight="1" x14ac:dyDescent="0.25">
      <c r="A1297" s="111">
        <v>296</v>
      </c>
      <c r="B1297" s="128" t="str">
        <f t="shared" si="949"/>
        <v>N</v>
      </c>
      <c r="C1297" s="128" t="str">
        <f t="shared" si="950"/>
        <v>N</v>
      </c>
      <c r="D1297" s="117">
        <v>1934818</v>
      </c>
      <c r="E1297" s="135">
        <f t="shared" si="951"/>
        <v>5</v>
      </c>
      <c r="F1297" s="124">
        <v>40920</v>
      </c>
      <c r="G1297" s="125">
        <v>41122</v>
      </c>
      <c r="H1297" s="117">
        <v>1934818</v>
      </c>
      <c r="I1297" s="124">
        <v>40921</v>
      </c>
      <c r="J1297" s="124">
        <v>40956</v>
      </c>
      <c r="K1297" s="126">
        <v>10000</v>
      </c>
      <c r="L1297" s="127" t="s">
        <v>570</v>
      </c>
      <c r="M1297" s="125">
        <v>40956</v>
      </c>
      <c r="N1297" s="129" t="str">
        <f t="shared" si="972"/>
        <v>Y</v>
      </c>
      <c r="O1297" s="128" t="s">
        <v>585</v>
      </c>
      <c r="P1297" s="129" t="s">
        <v>39</v>
      </c>
      <c r="Q1297" s="111">
        <f t="shared" si="969"/>
        <v>36</v>
      </c>
      <c r="R1297" s="111">
        <f t="shared" si="931"/>
        <v>203</v>
      </c>
      <c r="S1297" s="129">
        <v>3</v>
      </c>
      <c r="T1297" s="129">
        <v>3</v>
      </c>
      <c r="U1297" s="129">
        <v>1</v>
      </c>
      <c r="W1297" s="111"/>
      <c r="AC1297" s="130"/>
      <c r="AD1297" s="130">
        <v>30984</v>
      </c>
      <c r="AE1297" s="128" t="s">
        <v>32</v>
      </c>
      <c r="AF1297" s="128" t="s">
        <v>33</v>
      </c>
      <c r="AG1297" s="128" t="s">
        <v>872</v>
      </c>
      <c r="AH1297" s="108" t="s">
        <v>58</v>
      </c>
      <c r="AI1297" s="128" t="s">
        <v>71</v>
      </c>
      <c r="AJ1297" s="129" t="s">
        <v>89</v>
      </c>
      <c r="AK1297" s="129">
        <v>10</v>
      </c>
      <c r="AL1297" s="3" t="s">
        <v>992</v>
      </c>
      <c r="AN1297" s="117">
        <v>6</v>
      </c>
      <c r="AP1297" s="129" t="s">
        <v>43</v>
      </c>
      <c r="AR1297" s="128" t="s">
        <v>44</v>
      </c>
      <c r="AS1297" s="129" t="s">
        <v>45</v>
      </c>
      <c r="BC1297" s="129" t="s">
        <v>52</v>
      </c>
      <c r="BF1297" s="111">
        <f t="shared" si="970"/>
        <v>36</v>
      </c>
      <c r="BG1297" s="111">
        <f t="shared" si="942"/>
        <v>202</v>
      </c>
      <c r="BH1297" s="111">
        <f t="shared" si="946"/>
        <v>203</v>
      </c>
      <c r="BI1297" s="111">
        <f t="shared" si="947"/>
        <v>27.147540983606557</v>
      </c>
      <c r="BJ1297" s="129">
        <f>(G1297-J1297)+(M1297-G1297)</f>
        <v>0</v>
      </c>
      <c r="BK1297" s="129">
        <f t="shared" si="948"/>
        <v>-166</v>
      </c>
      <c r="BL1297" s="129" t="str">
        <f t="shared" si="935"/>
        <v>CONVICTION</v>
      </c>
      <c r="BM1297" s="129" t="s">
        <v>76</v>
      </c>
      <c r="BN1297" s="129" t="s">
        <v>88</v>
      </c>
      <c r="BP1297" s="137" t="str">
        <f t="shared" si="954"/>
        <v>CONVICTION</v>
      </c>
      <c r="BQ1297" s="128" t="str">
        <f t="shared" si="955"/>
        <v>Y</v>
      </c>
      <c r="BR1297" s="129" t="str">
        <f>IF(J1297&lt;G1297,"ON BOND",0)</f>
        <v>ON BOND</v>
      </c>
      <c r="BS1297" s="129" t="str">
        <f t="shared" si="957"/>
        <v>DISPOSED</v>
      </c>
      <c r="BT1297" s="129" t="str">
        <f t="shared" si="958"/>
        <v>Y</v>
      </c>
      <c r="BU1297" s="109">
        <f t="shared" si="959"/>
        <v>0.17733990147783252</v>
      </c>
      <c r="BV1297" s="109">
        <f t="shared" si="960"/>
        <v>0.17821782178217821</v>
      </c>
      <c r="BW1297" s="109">
        <f t="shared" si="945"/>
        <v>8.7792030434569179E-4</v>
      </c>
      <c r="BX1297" s="111">
        <f t="shared" si="961"/>
        <v>0</v>
      </c>
      <c r="BY1297" s="129">
        <f t="shared" si="962"/>
        <v>-36</v>
      </c>
      <c r="BZ1297" s="111">
        <f t="shared" si="963"/>
        <v>0</v>
      </c>
      <c r="CA1297" s="138">
        <f t="shared" si="964"/>
        <v>36</v>
      </c>
      <c r="CB1297" s="111" t="e">
        <f t="shared" si="971"/>
        <v>#VALUE!</v>
      </c>
      <c r="CC1297" s="129">
        <f>M1297-I1297+1</f>
        <v>36</v>
      </c>
      <c r="CD1297" s="111">
        <f>CC1297-BF1297</f>
        <v>0</v>
      </c>
      <c r="CG1297" s="129" t="str">
        <f t="shared" si="965"/>
        <v>Y</v>
      </c>
      <c r="CI1297" s="129" t="str">
        <f t="shared" si="966"/>
        <v>31-60 DAYS</v>
      </c>
      <c r="CJ1297" s="137">
        <f t="shared" si="967"/>
        <v>3</v>
      </c>
      <c r="CK1297" s="129" t="str">
        <f t="shared" si="968"/>
        <v>Booked</v>
      </c>
    </row>
    <row r="1298" spans="1:89" ht="15" customHeight="1" x14ac:dyDescent="0.25">
      <c r="A1298" s="111">
        <v>119</v>
      </c>
      <c r="B1298" s="128" t="str">
        <f t="shared" si="949"/>
        <v>N</v>
      </c>
      <c r="C1298" s="128" t="str">
        <f t="shared" si="950"/>
        <v>N</v>
      </c>
      <c r="D1298" s="117">
        <v>1935656</v>
      </c>
      <c r="E1298" s="135">
        <f t="shared" si="951"/>
        <v>1</v>
      </c>
      <c r="F1298" s="124">
        <v>40913</v>
      </c>
      <c r="G1298" s="125">
        <v>40966</v>
      </c>
      <c r="H1298" s="117">
        <v>1935656</v>
      </c>
      <c r="I1298" s="124">
        <v>40914</v>
      </c>
      <c r="J1298" s="124">
        <v>40966</v>
      </c>
      <c r="K1298" s="126" t="s">
        <v>564</v>
      </c>
      <c r="L1298" s="127" t="s">
        <v>564</v>
      </c>
      <c r="N1298" s="129" t="s">
        <v>566</v>
      </c>
      <c r="O1298" s="128" t="s">
        <v>917</v>
      </c>
      <c r="P1298" s="129" t="s">
        <v>55</v>
      </c>
      <c r="Q1298" s="111">
        <f t="shared" si="969"/>
        <v>53</v>
      </c>
      <c r="R1298" s="111">
        <f t="shared" ref="R1298:R1361" si="973">BH1298</f>
        <v>54</v>
      </c>
      <c r="S1298" s="129">
        <v>1</v>
      </c>
      <c r="T1298" s="129">
        <v>2</v>
      </c>
      <c r="V1298" s="129">
        <v>2</v>
      </c>
      <c r="W1298" s="111"/>
      <c r="X1298" s="129"/>
      <c r="AC1298" s="130"/>
      <c r="AD1298" s="130">
        <v>31078</v>
      </c>
      <c r="AE1298" s="128" t="s">
        <v>32</v>
      </c>
      <c r="AF1298" s="128" t="s">
        <v>33</v>
      </c>
      <c r="AG1298" s="128" t="s">
        <v>872</v>
      </c>
      <c r="AH1298" s="108" t="s">
        <v>58</v>
      </c>
      <c r="AI1298" s="128" t="s">
        <v>113</v>
      </c>
      <c r="AJ1298" s="129" t="s">
        <v>55</v>
      </c>
      <c r="AK1298" s="129">
        <v>4</v>
      </c>
      <c r="AL1298" s="3" t="s">
        <v>55</v>
      </c>
      <c r="AP1298" s="129" t="s">
        <v>136</v>
      </c>
      <c r="AR1298" s="128" t="s">
        <v>67</v>
      </c>
      <c r="AS1298" s="129" t="s">
        <v>64</v>
      </c>
      <c r="BC1298" s="129" t="s">
        <v>38</v>
      </c>
      <c r="BE1298" s="111"/>
      <c r="BF1298" s="111">
        <f t="shared" si="970"/>
        <v>53</v>
      </c>
      <c r="BG1298" s="111">
        <f t="shared" si="942"/>
        <v>53</v>
      </c>
      <c r="BH1298" s="111">
        <f t="shared" si="946"/>
        <v>54</v>
      </c>
      <c r="BI1298" s="111">
        <f t="shared" si="947"/>
        <v>26.871584699453553</v>
      </c>
      <c r="BJ1298" s="129">
        <f t="shared" si="952"/>
        <v>0</v>
      </c>
      <c r="BK1298" s="129">
        <f t="shared" si="948"/>
        <v>0</v>
      </c>
      <c r="BL1298" s="129" t="str">
        <f t="shared" si="935"/>
        <v>NO CONVICTION</v>
      </c>
      <c r="BM1298" s="129" t="str">
        <f t="shared" si="953"/>
        <v>NONE</v>
      </c>
      <c r="BN1298" s="129" t="s">
        <v>566</v>
      </c>
      <c r="BP1298" s="137" t="str">
        <f t="shared" si="954"/>
        <v>NO CONVICTION</v>
      </c>
      <c r="BQ1298" s="128" t="str">
        <f t="shared" si="955"/>
        <v>Y</v>
      </c>
      <c r="BR1298" s="129" t="str">
        <f t="shared" si="956"/>
        <v>DETAINED</v>
      </c>
      <c r="BS1298" s="129" t="str">
        <f t="shared" si="957"/>
        <v>DISPOSED</v>
      </c>
      <c r="BT1298" s="129" t="str">
        <f t="shared" si="958"/>
        <v>Y</v>
      </c>
      <c r="BU1298" s="109">
        <f>IFERROR(Q1298/R1298,BR1298)</f>
        <v>0.98148148148148151</v>
      </c>
      <c r="BV1298" s="109">
        <f t="shared" si="960"/>
        <v>1</v>
      </c>
      <c r="BW1298" s="109">
        <f t="shared" si="945"/>
        <v>1.851851851851849E-2</v>
      </c>
      <c r="BX1298" s="111">
        <f t="shared" si="961"/>
        <v>0</v>
      </c>
      <c r="BY1298" s="129">
        <f t="shared" si="962"/>
        <v>-53</v>
      </c>
      <c r="BZ1298" s="111">
        <f t="shared" si="963"/>
        <v>0</v>
      </c>
      <c r="CA1298" s="138">
        <f t="shared" si="964"/>
        <v>53</v>
      </c>
      <c r="CB1298" s="111" t="e">
        <f t="shared" si="971"/>
        <v>#VALUE!</v>
      </c>
      <c r="CC1298" s="129">
        <f>G1298-I1298+1</f>
        <v>53</v>
      </c>
      <c r="CD1298" s="129">
        <f>G1298-J1298</f>
        <v>0</v>
      </c>
      <c r="CG1298" s="129" t="str">
        <f t="shared" si="965"/>
        <v>Y</v>
      </c>
      <c r="CI1298" s="129" t="str">
        <f t="shared" si="966"/>
        <v>31-60 DAYS</v>
      </c>
      <c r="CJ1298" s="137">
        <f t="shared" si="967"/>
        <v>3</v>
      </c>
      <c r="CK1298" s="129" t="str">
        <f t="shared" si="968"/>
        <v>Booked</v>
      </c>
    </row>
    <row r="1299" spans="1:89" ht="15.75" customHeight="1" x14ac:dyDescent="0.25">
      <c r="A1299" s="111">
        <v>2063</v>
      </c>
      <c r="B1299" s="128" t="str">
        <f t="shared" si="949"/>
        <v>N</v>
      </c>
      <c r="C1299" s="128" t="str">
        <f t="shared" si="950"/>
        <v>N</v>
      </c>
      <c r="D1299" s="117">
        <v>1936138</v>
      </c>
      <c r="E1299" s="135">
        <f t="shared" si="951"/>
        <v>2</v>
      </c>
      <c r="F1299" s="124">
        <v>40986</v>
      </c>
      <c r="G1299" s="125">
        <v>41122</v>
      </c>
      <c r="H1299" s="117">
        <v>1936138</v>
      </c>
      <c r="I1299" s="124" t="s">
        <v>562</v>
      </c>
      <c r="J1299" s="124" t="s">
        <v>562</v>
      </c>
      <c r="K1299" s="126">
        <v>5000</v>
      </c>
      <c r="L1299" s="127" t="s">
        <v>569</v>
      </c>
      <c r="M1299" s="125">
        <v>40988</v>
      </c>
      <c r="N1299" s="129" t="str">
        <f>IF(M1299&gt;1/1/1,"Y",IF(Q1299="0","","N"))</f>
        <v>Y</v>
      </c>
      <c r="O1299" s="128" t="s">
        <v>76</v>
      </c>
      <c r="P1299" s="129" t="s">
        <v>589</v>
      </c>
      <c r="Q1299" s="111">
        <f t="shared" si="969"/>
        <v>0</v>
      </c>
      <c r="R1299" s="111">
        <f t="shared" si="973"/>
        <v>137</v>
      </c>
      <c r="S1299" s="129">
        <v>0</v>
      </c>
      <c r="T1299" s="129">
        <v>1</v>
      </c>
      <c r="W1299" s="111"/>
      <c r="AC1299" s="130"/>
      <c r="AD1299" s="130">
        <v>29326</v>
      </c>
      <c r="AE1299" s="128" t="s">
        <v>46</v>
      </c>
      <c r="AF1299" s="128" t="s">
        <v>33</v>
      </c>
      <c r="AG1299" s="128" t="s">
        <v>872</v>
      </c>
      <c r="AH1299" s="108" t="s">
        <v>58</v>
      </c>
      <c r="AI1299" s="128" t="s">
        <v>118</v>
      </c>
      <c r="AJ1299" s="129" t="s">
        <v>48</v>
      </c>
      <c r="AK1299" s="129">
        <v>5</v>
      </c>
      <c r="AL1299" s="3" t="s">
        <v>48</v>
      </c>
      <c r="AP1299" s="129" t="s">
        <v>93</v>
      </c>
      <c r="AR1299" s="128" t="s">
        <v>67</v>
      </c>
      <c r="AS1299" s="129" t="s">
        <v>45</v>
      </c>
      <c r="BC1299" s="129" t="s">
        <v>52</v>
      </c>
      <c r="BF1299" s="111">
        <v>0</v>
      </c>
      <c r="BG1299" s="111">
        <v>0</v>
      </c>
      <c r="BH1299" s="111">
        <f t="shared" si="946"/>
        <v>137</v>
      </c>
      <c r="BI1299" s="111">
        <f t="shared" si="947"/>
        <v>31.857923497267759</v>
      </c>
      <c r="BJ1299" s="129" t="e">
        <f>(G1299-J1299)+(M1299-G1299)</f>
        <v>#VALUE!</v>
      </c>
      <c r="BK1299" s="129" t="e">
        <f t="shared" si="948"/>
        <v>#VALUE!</v>
      </c>
      <c r="BL1299" s="129" t="str">
        <f t="shared" si="935"/>
        <v>DEFERRED</v>
      </c>
      <c r="BM1299" s="129" t="s">
        <v>76</v>
      </c>
      <c r="BN1299" s="129" t="s">
        <v>88</v>
      </c>
      <c r="BP1299" s="137" t="str">
        <f t="shared" si="954"/>
        <v>DEFERRED</v>
      </c>
      <c r="BQ1299" s="128">
        <f t="shared" si="955"/>
        <v>0</v>
      </c>
      <c r="BR1299" s="129" t="s">
        <v>575</v>
      </c>
      <c r="BS1299" s="129" t="str">
        <f t="shared" si="957"/>
        <v>DISPOSED</v>
      </c>
      <c r="BT1299" s="129" t="str">
        <f t="shared" si="958"/>
        <v>N</v>
      </c>
      <c r="BU1299" s="109">
        <f t="shared" si="959"/>
        <v>0</v>
      </c>
      <c r="BV1299" s="109">
        <v>0</v>
      </c>
      <c r="BW1299" s="109">
        <f t="shared" si="945"/>
        <v>0</v>
      </c>
      <c r="BX1299" s="111">
        <f t="shared" si="961"/>
        <v>0</v>
      </c>
      <c r="BY1299" s="129" t="e">
        <f t="shared" si="962"/>
        <v>#VALUE!</v>
      </c>
      <c r="BZ1299" s="111" t="e">
        <f t="shared" si="963"/>
        <v>#VALUE!</v>
      </c>
      <c r="CA1299" s="138" t="e">
        <f t="shared" si="964"/>
        <v>#VALUE!</v>
      </c>
      <c r="CB1299" s="111">
        <v>0</v>
      </c>
      <c r="CC1299" s="129">
        <v>0</v>
      </c>
      <c r="CD1299" s="111">
        <f>CC1299-BF1299</f>
        <v>0</v>
      </c>
      <c r="CG1299" s="129" t="str">
        <f t="shared" si="965"/>
        <v>Y</v>
      </c>
      <c r="CI1299" s="129" t="str">
        <f t="shared" si="966"/>
        <v>0-10 DAYS</v>
      </c>
      <c r="CJ1299" s="137">
        <f t="shared" si="967"/>
        <v>1</v>
      </c>
      <c r="CK1299" s="129" t="str">
        <f t="shared" si="968"/>
        <v>Not Booked</v>
      </c>
    </row>
    <row r="1300" spans="1:89" ht="15.75" customHeight="1" x14ac:dyDescent="0.25">
      <c r="A1300" s="111">
        <v>1245</v>
      </c>
      <c r="B1300" s="128" t="str">
        <f t="shared" si="949"/>
        <v>N</v>
      </c>
      <c r="C1300" s="128" t="str">
        <f t="shared" si="950"/>
        <v>N</v>
      </c>
      <c r="D1300" s="117">
        <v>1936361</v>
      </c>
      <c r="E1300" s="135">
        <f t="shared" si="951"/>
        <v>6</v>
      </c>
      <c r="F1300" s="124">
        <v>40954</v>
      </c>
      <c r="G1300" s="125">
        <v>41191</v>
      </c>
      <c r="H1300" s="117">
        <v>1936361</v>
      </c>
      <c r="I1300" s="124">
        <v>40954</v>
      </c>
      <c r="J1300" s="124">
        <v>41191</v>
      </c>
      <c r="K1300" s="126">
        <v>30000</v>
      </c>
      <c r="L1300" s="129" t="s">
        <v>572</v>
      </c>
      <c r="N1300" s="129" t="str">
        <f t="shared" ref="N1300:N1305" si="974">IF(M1300&gt;1/1/1,"Y","N")</f>
        <v>N</v>
      </c>
      <c r="O1300" s="128" t="s">
        <v>917</v>
      </c>
      <c r="P1300" s="129" t="s">
        <v>39</v>
      </c>
      <c r="Q1300" s="111">
        <f t="shared" si="969"/>
        <v>238</v>
      </c>
      <c r="R1300" s="111">
        <f t="shared" si="973"/>
        <v>238</v>
      </c>
      <c r="S1300" s="129">
        <v>0</v>
      </c>
      <c r="T1300" s="129">
        <v>3</v>
      </c>
      <c r="W1300" s="111"/>
      <c r="AC1300" s="130"/>
      <c r="AD1300" s="130">
        <v>28601</v>
      </c>
      <c r="AE1300" s="128" t="s">
        <v>46</v>
      </c>
      <c r="AF1300" s="128" t="s">
        <v>33</v>
      </c>
      <c r="AG1300" s="128" t="s">
        <v>872</v>
      </c>
      <c r="AH1300" s="108" t="s">
        <v>58</v>
      </c>
      <c r="AI1300" s="128" t="s">
        <v>100</v>
      </c>
      <c r="AJ1300" s="129" t="s">
        <v>89</v>
      </c>
      <c r="AK1300" s="129">
        <v>8</v>
      </c>
      <c r="AL1300" s="3" t="s">
        <v>362</v>
      </c>
      <c r="AM1300" s="117">
        <v>8</v>
      </c>
      <c r="AP1300" s="129" t="s">
        <v>91</v>
      </c>
      <c r="AR1300" s="128" t="s">
        <v>92</v>
      </c>
      <c r="AS1300" s="129" t="s">
        <v>74</v>
      </c>
      <c r="BC1300" s="129" t="s">
        <v>38</v>
      </c>
      <c r="BF1300" s="111">
        <f t="shared" ref="BF1300:BF1305" si="975">IF(J1300&gt;1/1/1900,((J1300+1)-I1300),"STILL OPEN")</f>
        <v>238</v>
      </c>
      <c r="BG1300" s="111">
        <f t="shared" ref="BG1300:BG1305" si="976">IF(G1300&gt;1/1/1900,((G1300+1)-I1300),"STILL OPEN")</f>
        <v>238</v>
      </c>
      <c r="BH1300" s="111">
        <f t="shared" si="946"/>
        <v>238</v>
      </c>
      <c r="BI1300" s="111">
        <f t="shared" si="947"/>
        <v>33.751366120218577</v>
      </c>
      <c r="BJ1300" s="129">
        <f t="shared" si="952"/>
        <v>0</v>
      </c>
      <c r="BK1300" s="129">
        <f t="shared" si="948"/>
        <v>0</v>
      </c>
      <c r="BL1300" s="129" t="str">
        <f t="shared" si="935"/>
        <v>CONVICTION</v>
      </c>
      <c r="BM1300" s="129" t="str">
        <f t="shared" si="953"/>
        <v>NONE</v>
      </c>
      <c r="BN1300" s="129" t="s">
        <v>566</v>
      </c>
      <c r="BP1300" s="137" t="str">
        <f t="shared" si="954"/>
        <v>CONVICTION</v>
      </c>
      <c r="BQ1300" s="128" t="str">
        <f t="shared" si="955"/>
        <v>Y</v>
      </c>
      <c r="BR1300" s="129" t="str">
        <f t="shared" si="956"/>
        <v>DETAINED</v>
      </c>
      <c r="BS1300" s="129" t="str">
        <f t="shared" si="957"/>
        <v>DISPOSED</v>
      </c>
      <c r="BT1300" s="129" t="str">
        <f t="shared" si="958"/>
        <v>N</v>
      </c>
      <c r="BU1300" s="109">
        <f t="shared" si="959"/>
        <v>1</v>
      </c>
      <c r="BV1300" s="109">
        <f t="shared" si="960"/>
        <v>1</v>
      </c>
      <c r="BW1300" s="109">
        <f t="shared" si="945"/>
        <v>0</v>
      </c>
      <c r="BX1300" s="111">
        <f t="shared" si="961"/>
        <v>0</v>
      </c>
      <c r="BY1300" s="129">
        <f t="shared" si="962"/>
        <v>-238</v>
      </c>
      <c r="BZ1300" s="111">
        <f t="shared" si="963"/>
        <v>0</v>
      </c>
      <c r="CA1300" s="138">
        <f t="shared" si="964"/>
        <v>238</v>
      </c>
      <c r="CB1300" s="111" t="e">
        <f t="shared" ref="CB1300:CB1305" si="977">IF(AF1300&gt;1/1/1900,((AF1300+1)-AE1300),"STILL OPEN")</f>
        <v>#VALUE!</v>
      </c>
      <c r="CC1300" s="129">
        <f>G1300-I1300+1</f>
        <v>238</v>
      </c>
      <c r="CD1300" s="129">
        <f>G1300-J1300</f>
        <v>0</v>
      </c>
      <c r="CG1300" s="129" t="str">
        <f t="shared" si="965"/>
        <v>Y</v>
      </c>
      <c r="CI1300" s="129" t="str">
        <f t="shared" si="966"/>
        <v>121-365 DAYS</v>
      </c>
      <c r="CJ1300" s="137">
        <f t="shared" si="967"/>
        <v>6</v>
      </c>
      <c r="CK1300" s="129" t="str">
        <f t="shared" si="968"/>
        <v>Booked</v>
      </c>
    </row>
    <row r="1301" spans="1:89" ht="15.75" customHeight="1" x14ac:dyDescent="0.25">
      <c r="A1301" s="111">
        <v>275</v>
      </c>
      <c r="B1301" s="128" t="str">
        <f t="shared" si="949"/>
        <v>N</v>
      </c>
      <c r="C1301" s="128" t="str">
        <f t="shared" si="950"/>
        <v>N</v>
      </c>
      <c r="D1301" s="117">
        <v>1936546</v>
      </c>
      <c r="E1301" s="135">
        <f t="shared" si="951"/>
        <v>3</v>
      </c>
      <c r="F1301" s="124">
        <v>40920</v>
      </c>
      <c r="G1301" s="125">
        <v>41144</v>
      </c>
      <c r="H1301" s="117">
        <v>1936546</v>
      </c>
      <c r="I1301" s="124">
        <v>40920</v>
      </c>
      <c r="J1301" s="124">
        <v>40922</v>
      </c>
      <c r="K1301" s="126">
        <v>10000</v>
      </c>
      <c r="L1301" s="127" t="s">
        <v>570</v>
      </c>
      <c r="M1301" s="125">
        <v>40922</v>
      </c>
      <c r="N1301" s="129" t="str">
        <f t="shared" si="974"/>
        <v>Y</v>
      </c>
      <c r="O1301" s="128" t="s">
        <v>76</v>
      </c>
      <c r="P1301" s="129" t="s">
        <v>39</v>
      </c>
      <c r="Q1301" s="111">
        <f t="shared" si="969"/>
        <v>3</v>
      </c>
      <c r="R1301" s="111">
        <f t="shared" si="973"/>
        <v>225</v>
      </c>
      <c r="S1301" s="129">
        <v>0</v>
      </c>
      <c r="T1301" s="129">
        <v>7</v>
      </c>
      <c r="W1301" s="111"/>
      <c r="AC1301" s="130"/>
      <c r="AD1301" s="130">
        <v>31070</v>
      </c>
      <c r="AE1301" s="128" t="s">
        <v>32</v>
      </c>
      <c r="AF1301" s="128" t="s">
        <v>69</v>
      </c>
      <c r="AG1301" s="128" t="s">
        <v>874</v>
      </c>
      <c r="AH1301" s="108" t="s">
        <v>58</v>
      </c>
      <c r="AI1301" s="128" t="s">
        <v>118</v>
      </c>
      <c r="AJ1301" s="129" t="s">
        <v>89</v>
      </c>
      <c r="AK1301" s="129">
        <v>8</v>
      </c>
      <c r="AL1301" s="3" t="s">
        <v>185</v>
      </c>
      <c r="AP1301" s="129" t="s">
        <v>66</v>
      </c>
      <c r="AR1301" s="128" t="s">
        <v>67</v>
      </c>
      <c r="AS1301" s="129" t="s">
        <v>68</v>
      </c>
      <c r="BC1301" s="129" t="s">
        <v>52</v>
      </c>
      <c r="BF1301" s="111">
        <f t="shared" si="975"/>
        <v>3</v>
      </c>
      <c r="BG1301" s="111">
        <f t="shared" si="976"/>
        <v>225</v>
      </c>
      <c r="BH1301" s="111">
        <f t="shared" si="946"/>
        <v>225</v>
      </c>
      <c r="BI1301" s="111">
        <f t="shared" si="947"/>
        <v>26.912568306010929</v>
      </c>
      <c r="BJ1301" s="129">
        <f>(G1301-J1301)+(M1301-G1301)</f>
        <v>0</v>
      </c>
      <c r="BK1301" s="129">
        <f t="shared" si="948"/>
        <v>-222</v>
      </c>
      <c r="BL1301" s="129" t="str">
        <f t="shared" si="935"/>
        <v>CONVICTION</v>
      </c>
      <c r="BM1301" s="129" t="s">
        <v>76</v>
      </c>
      <c r="BN1301" s="129" t="s">
        <v>88</v>
      </c>
      <c r="BP1301" s="137" t="str">
        <f t="shared" si="954"/>
        <v>CONVICTION</v>
      </c>
      <c r="BQ1301" s="128" t="str">
        <f t="shared" si="955"/>
        <v>Y</v>
      </c>
      <c r="BR1301" s="129" t="str">
        <f>IF(J1301&lt;G1301,"ON BOND",0)</f>
        <v>ON BOND</v>
      </c>
      <c r="BS1301" s="129" t="str">
        <f t="shared" si="957"/>
        <v>DISPOSED</v>
      </c>
      <c r="BT1301" s="129" t="str">
        <f t="shared" si="958"/>
        <v>N</v>
      </c>
      <c r="BU1301" s="109">
        <f t="shared" si="959"/>
        <v>1.3333333333333334E-2</v>
      </c>
      <c r="BV1301" s="109">
        <f t="shared" si="960"/>
        <v>1.3333333333333334E-2</v>
      </c>
      <c r="BW1301" s="109">
        <f t="shared" si="945"/>
        <v>0</v>
      </c>
      <c r="BX1301" s="111">
        <f t="shared" si="961"/>
        <v>0</v>
      </c>
      <c r="BY1301" s="129">
        <f t="shared" si="962"/>
        <v>-3</v>
      </c>
      <c r="BZ1301" s="111">
        <f t="shared" si="963"/>
        <v>0</v>
      </c>
      <c r="CA1301" s="138">
        <f t="shared" si="964"/>
        <v>3</v>
      </c>
      <c r="CB1301" s="111" t="e">
        <f t="shared" si="977"/>
        <v>#VALUE!</v>
      </c>
      <c r="CC1301" s="129">
        <f>M1301-I1301+1</f>
        <v>3</v>
      </c>
      <c r="CD1301" s="111">
        <f>CC1301-BF1301</f>
        <v>0</v>
      </c>
      <c r="CG1301" s="129" t="str">
        <f t="shared" si="965"/>
        <v>Y</v>
      </c>
      <c r="CI1301" s="129" t="str">
        <f t="shared" si="966"/>
        <v>0-10 DAYS</v>
      </c>
      <c r="CJ1301" s="137">
        <f t="shared" si="967"/>
        <v>1</v>
      </c>
      <c r="CK1301" s="129" t="str">
        <f t="shared" si="968"/>
        <v>Booked</v>
      </c>
    </row>
    <row r="1302" spans="1:89" ht="15.75" customHeight="1" x14ac:dyDescent="0.25">
      <c r="A1302" s="111">
        <v>1052</v>
      </c>
      <c r="B1302" s="128" t="str">
        <f t="shared" si="949"/>
        <v>N</v>
      </c>
      <c r="C1302" s="128" t="str">
        <f t="shared" si="950"/>
        <v>N</v>
      </c>
      <c r="D1302" s="117">
        <v>1936667</v>
      </c>
      <c r="E1302" s="135">
        <f t="shared" si="951"/>
        <v>2</v>
      </c>
      <c r="F1302" s="124">
        <v>40947</v>
      </c>
      <c r="G1302" s="125">
        <v>40949</v>
      </c>
      <c r="H1302" s="117">
        <v>1936667</v>
      </c>
      <c r="I1302" s="124">
        <v>40948</v>
      </c>
      <c r="J1302" s="124">
        <v>40949</v>
      </c>
      <c r="K1302" s="126">
        <v>20000</v>
      </c>
      <c r="L1302" s="127" t="s">
        <v>571</v>
      </c>
      <c r="N1302" s="129" t="str">
        <f t="shared" si="974"/>
        <v>N</v>
      </c>
      <c r="O1302" s="128" t="s">
        <v>917</v>
      </c>
      <c r="P1302" s="129" t="s">
        <v>589</v>
      </c>
      <c r="Q1302" s="111">
        <f t="shared" si="969"/>
        <v>2</v>
      </c>
      <c r="R1302" s="111">
        <f t="shared" si="973"/>
        <v>3</v>
      </c>
      <c r="S1302" s="129">
        <v>2</v>
      </c>
      <c r="T1302" s="129">
        <v>3</v>
      </c>
      <c r="U1302" s="129">
        <v>1</v>
      </c>
      <c r="W1302" s="111"/>
      <c r="AC1302" s="130"/>
      <c r="AD1302" s="130">
        <v>30645</v>
      </c>
      <c r="AE1302" s="128" t="s">
        <v>46</v>
      </c>
      <c r="AF1302" s="128" t="s">
        <v>33</v>
      </c>
      <c r="AG1302" s="128" t="s">
        <v>872</v>
      </c>
      <c r="AH1302" s="108" t="s">
        <v>31</v>
      </c>
      <c r="AI1302" s="128" t="s">
        <v>83</v>
      </c>
      <c r="AJ1302" s="129" t="s">
        <v>48</v>
      </c>
      <c r="AK1302" s="129">
        <v>1</v>
      </c>
      <c r="AL1302" s="3" t="s">
        <v>48</v>
      </c>
      <c r="AP1302" s="129" t="s">
        <v>49</v>
      </c>
      <c r="AR1302" s="128" t="s">
        <v>50</v>
      </c>
      <c r="AS1302" s="129" t="s">
        <v>45</v>
      </c>
      <c r="BC1302" s="129" t="s">
        <v>38</v>
      </c>
      <c r="BF1302" s="111">
        <f t="shared" si="975"/>
        <v>2</v>
      </c>
      <c r="BG1302" s="111">
        <f t="shared" si="976"/>
        <v>2</v>
      </c>
      <c r="BH1302" s="111">
        <f t="shared" si="946"/>
        <v>3</v>
      </c>
      <c r="BI1302" s="111">
        <f t="shared" si="947"/>
        <v>28.147540983606557</v>
      </c>
      <c r="BJ1302" s="129">
        <f t="shared" si="952"/>
        <v>0</v>
      </c>
      <c r="BK1302" s="129">
        <f t="shared" si="948"/>
        <v>0</v>
      </c>
      <c r="BL1302" s="129" t="str">
        <f t="shared" si="935"/>
        <v>DEFERRED</v>
      </c>
      <c r="BM1302" s="129" t="str">
        <f t="shared" si="953"/>
        <v>NONE</v>
      </c>
      <c r="BN1302" s="129" t="s">
        <v>566</v>
      </c>
      <c r="BP1302" s="137" t="str">
        <f t="shared" si="954"/>
        <v>DEFERRED</v>
      </c>
      <c r="BQ1302" s="128" t="str">
        <f t="shared" si="955"/>
        <v>Y</v>
      </c>
      <c r="BR1302" s="129" t="str">
        <f t="shared" si="956"/>
        <v>DETAINED</v>
      </c>
      <c r="BS1302" s="129" t="str">
        <f t="shared" si="957"/>
        <v>DISPOSED</v>
      </c>
      <c r="BT1302" s="129" t="str">
        <f t="shared" si="958"/>
        <v>Y</v>
      </c>
      <c r="BU1302" s="109">
        <f t="shared" si="959"/>
        <v>0.66666666666666663</v>
      </c>
      <c r="BV1302" s="109">
        <f t="shared" si="960"/>
        <v>1</v>
      </c>
      <c r="BW1302" s="109">
        <f t="shared" si="945"/>
        <v>0.33333333333333337</v>
      </c>
      <c r="BX1302" s="111">
        <f t="shared" si="961"/>
        <v>0</v>
      </c>
      <c r="BY1302" s="129">
        <f t="shared" si="962"/>
        <v>-2</v>
      </c>
      <c r="BZ1302" s="111">
        <f t="shared" si="963"/>
        <v>0</v>
      </c>
      <c r="CA1302" s="138">
        <f t="shared" si="964"/>
        <v>2</v>
      </c>
      <c r="CB1302" s="111" t="e">
        <f t="shared" si="977"/>
        <v>#VALUE!</v>
      </c>
      <c r="CC1302" s="129">
        <f>G1302-I1302+1</f>
        <v>2</v>
      </c>
      <c r="CD1302" s="129">
        <f>G1302-J1302</f>
        <v>0</v>
      </c>
      <c r="CG1302" s="129" t="str">
        <f t="shared" si="965"/>
        <v>Y</v>
      </c>
      <c r="CI1302" s="129" t="str">
        <f t="shared" si="966"/>
        <v>0-10 DAYS</v>
      </c>
      <c r="CJ1302" s="137">
        <f t="shared" si="967"/>
        <v>1</v>
      </c>
      <c r="CK1302" s="129" t="str">
        <f t="shared" si="968"/>
        <v>Booked</v>
      </c>
    </row>
    <row r="1303" spans="1:89" ht="15" customHeight="1" x14ac:dyDescent="0.25">
      <c r="A1303" s="111">
        <v>2447</v>
      </c>
      <c r="B1303" s="128" t="str">
        <f t="shared" si="949"/>
        <v>N</v>
      </c>
      <c r="C1303" s="128" t="str">
        <f t="shared" si="950"/>
        <v>N</v>
      </c>
      <c r="D1303" s="117">
        <v>1937128</v>
      </c>
      <c r="E1303" s="135">
        <f t="shared" si="951"/>
        <v>5</v>
      </c>
      <c r="F1303" s="124">
        <v>41001</v>
      </c>
      <c r="G1303" s="125">
        <v>41003</v>
      </c>
      <c r="H1303" s="117">
        <v>1937128</v>
      </c>
      <c r="I1303" s="124">
        <v>41001</v>
      </c>
      <c r="J1303" s="124">
        <v>41003</v>
      </c>
      <c r="K1303" s="126">
        <v>10000</v>
      </c>
      <c r="L1303" s="127" t="s">
        <v>570</v>
      </c>
      <c r="N1303" s="129" t="str">
        <f t="shared" si="974"/>
        <v>N</v>
      </c>
      <c r="O1303" s="128" t="s">
        <v>917</v>
      </c>
      <c r="P1303" s="129" t="s">
        <v>39</v>
      </c>
      <c r="Q1303" s="111">
        <f t="shared" si="969"/>
        <v>3</v>
      </c>
      <c r="R1303" s="111">
        <f t="shared" si="973"/>
        <v>3</v>
      </c>
      <c r="S1303" s="129">
        <v>0</v>
      </c>
      <c r="T1303" s="129">
        <v>4</v>
      </c>
      <c r="W1303" s="111"/>
      <c r="AB1303" s="131" t="s">
        <v>112</v>
      </c>
      <c r="AC1303" s="130"/>
      <c r="AD1303" s="130">
        <v>30872</v>
      </c>
      <c r="AE1303" s="128" t="s">
        <v>32</v>
      </c>
      <c r="AF1303" s="128" t="s">
        <v>40</v>
      </c>
      <c r="AG1303" s="128" t="s">
        <v>41</v>
      </c>
      <c r="AH1303" s="108" t="s">
        <v>31</v>
      </c>
      <c r="AI1303" s="128" t="s">
        <v>100</v>
      </c>
      <c r="AJ1303" s="129" t="s">
        <v>89</v>
      </c>
      <c r="AK1303" s="129">
        <v>1</v>
      </c>
      <c r="AL1303" s="3" t="s">
        <v>992</v>
      </c>
      <c r="AN1303" s="117">
        <v>8</v>
      </c>
      <c r="AP1303" s="129" t="s">
        <v>197</v>
      </c>
      <c r="AR1303" s="128" t="s">
        <v>44</v>
      </c>
      <c r="AS1303" s="129" t="s">
        <v>61</v>
      </c>
      <c r="BC1303" s="129" t="s">
        <v>38</v>
      </c>
      <c r="BF1303" s="111">
        <f t="shared" si="975"/>
        <v>3</v>
      </c>
      <c r="BG1303" s="111">
        <f t="shared" si="976"/>
        <v>3</v>
      </c>
      <c r="BH1303" s="111">
        <f t="shared" si="946"/>
        <v>3</v>
      </c>
      <c r="BI1303" s="111">
        <f t="shared" si="947"/>
        <v>27.674863387978142</v>
      </c>
      <c r="BJ1303" s="129">
        <f t="shared" si="952"/>
        <v>0</v>
      </c>
      <c r="BK1303" s="129">
        <f t="shared" si="948"/>
        <v>0</v>
      </c>
      <c r="BL1303" s="129" t="str">
        <f t="shared" si="935"/>
        <v>CONVICTION</v>
      </c>
      <c r="BM1303" s="129" t="str">
        <f t="shared" si="953"/>
        <v>NONE</v>
      </c>
      <c r="BN1303" s="129" t="s">
        <v>566</v>
      </c>
      <c r="BP1303" s="137" t="str">
        <f t="shared" si="954"/>
        <v>CONVICTION</v>
      </c>
      <c r="BQ1303" s="128" t="str">
        <f t="shared" si="955"/>
        <v>Y</v>
      </c>
      <c r="BR1303" s="129" t="str">
        <f t="shared" si="956"/>
        <v>DETAINED</v>
      </c>
      <c r="BS1303" s="129" t="str">
        <f t="shared" si="957"/>
        <v>DISPOSED</v>
      </c>
      <c r="BT1303" s="129" t="str">
        <f t="shared" si="958"/>
        <v>N</v>
      </c>
      <c r="BU1303" s="109">
        <f t="shared" si="959"/>
        <v>1</v>
      </c>
      <c r="BV1303" s="109">
        <f t="shared" si="960"/>
        <v>1</v>
      </c>
      <c r="BW1303" s="109">
        <f t="shared" si="945"/>
        <v>0</v>
      </c>
      <c r="BX1303" s="111">
        <f t="shared" si="961"/>
        <v>0</v>
      </c>
      <c r="BY1303" s="129">
        <f t="shared" si="962"/>
        <v>-3</v>
      </c>
      <c r="BZ1303" s="111">
        <f t="shared" si="963"/>
        <v>0</v>
      </c>
      <c r="CA1303" s="138">
        <f t="shared" si="964"/>
        <v>3</v>
      </c>
      <c r="CB1303" s="111" t="e">
        <f t="shared" si="977"/>
        <v>#VALUE!</v>
      </c>
      <c r="CC1303" s="129">
        <f>G1303-I1303+1</f>
        <v>3</v>
      </c>
      <c r="CD1303" s="129">
        <f>G1303-J1303</f>
        <v>0</v>
      </c>
      <c r="CG1303" s="129" t="str">
        <f t="shared" si="965"/>
        <v>Y</v>
      </c>
      <c r="CI1303" s="129" t="str">
        <f t="shared" si="966"/>
        <v>0-10 DAYS</v>
      </c>
      <c r="CJ1303" s="137">
        <f t="shared" si="967"/>
        <v>1</v>
      </c>
      <c r="CK1303" s="129" t="str">
        <f t="shared" si="968"/>
        <v>Booked</v>
      </c>
    </row>
    <row r="1304" spans="1:89" ht="15" customHeight="1" x14ac:dyDescent="0.25">
      <c r="A1304" s="111">
        <v>596</v>
      </c>
      <c r="B1304" s="128" t="str">
        <f t="shared" si="949"/>
        <v>N</v>
      </c>
      <c r="C1304" s="128" t="str">
        <f t="shared" si="950"/>
        <v>N</v>
      </c>
      <c r="D1304" s="117">
        <v>1937203</v>
      </c>
      <c r="E1304" s="135">
        <f t="shared" si="951"/>
        <v>4</v>
      </c>
      <c r="F1304" s="124">
        <v>40932</v>
      </c>
      <c r="G1304" s="124">
        <v>41193</v>
      </c>
      <c r="H1304" s="117">
        <v>1937203</v>
      </c>
      <c r="I1304" s="124">
        <v>40932</v>
      </c>
      <c r="J1304" s="124">
        <v>41193</v>
      </c>
      <c r="K1304" s="126">
        <v>2000</v>
      </c>
      <c r="L1304" s="127" t="s">
        <v>568</v>
      </c>
      <c r="N1304" s="129" t="str">
        <f t="shared" si="974"/>
        <v>N</v>
      </c>
      <c r="O1304" s="128" t="s">
        <v>917</v>
      </c>
      <c r="P1304" s="129" t="s">
        <v>39</v>
      </c>
      <c r="Q1304" s="111">
        <f t="shared" si="969"/>
        <v>262</v>
      </c>
      <c r="R1304" s="111">
        <f t="shared" si="973"/>
        <v>262</v>
      </c>
      <c r="S1304" s="129">
        <v>0</v>
      </c>
      <c r="T1304" s="129">
        <v>2</v>
      </c>
      <c r="W1304" s="111"/>
      <c r="AC1304" s="130"/>
      <c r="AD1304" s="130">
        <v>28006</v>
      </c>
      <c r="AE1304" s="128" t="s">
        <v>32</v>
      </c>
      <c r="AF1304" s="128" t="s">
        <v>33</v>
      </c>
      <c r="AG1304" s="128" t="s">
        <v>872</v>
      </c>
      <c r="AH1304" s="108" t="s">
        <v>58</v>
      </c>
      <c r="AI1304" s="128" t="s">
        <v>141</v>
      </c>
      <c r="AJ1304" s="32" t="s">
        <v>89</v>
      </c>
      <c r="AK1304" s="129">
        <v>8</v>
      </c>
      <c r="AL1304" s="3" t="s">
        <v>991</v>
      </c>
      <c r="AO1304" s="128">
        <v>200</v>
      </c>
      <c r="AP1304" s="129" t="s">
        <v>104</v>
      </c>
      <c r="AR1304" s="128" t="s">
        <v>44</v>
      </c>
      <c r="AS1304" s="129" t="s">
        <v>64</v>
      </c>
      <c r="AT1304" s="129" t="s">
        <v>1281</v>
      </c>
      <c r="BC1304" s="129" t="s">
        <v>38</v>
      </c>
      <c r="BF1304" s="111">
        <f t="shared" si="975"/>
        <v>262</v>
      </c>
      <c r="BG1304" s="111">
        <f t="shared" si="976"/>
        <v>262</v>
      </c>
      <c r="BH1304" s="111">
        <f t="shared" si="946"/>
        <v>262</v>
      </c>
      <c r="BI1304" s="111">
        <f t="shared" si="947"/>
        <v>35.31693989071038</v>
      </c>
      <c r="BJ1304" s="129">
        <f t="shared" si="952"/>
        <v>0</v>
      </c>
      <c r="BK1304" s="129">
        <f t="shared" si="948"/>
        <v>0</v>
      </c>
      <c r="BL1304" s="129" t="str">
        <f t="shared" ref="BL1304:BL1363" si="978">IF(OR(AL1304="AQUITTAL",AL1304="DISMISSED",AL1304="FINE",AL1304="NO BILL"),"NO CONVICTION",IF(OR(AL1304="HCJ",AL1304="MHH",AL1304="PROBATION",AL1304="STJ",AL1304="TDC"),"CONVICTION",IF(AL1304="DEFERRED","DEFERRED",0)))</f>
        <v>CONVICTION</v>
      </c>
      <c r="BM1304" s="129" t="str">
        <f t="shared" si="953"/>
        <v>NONE</v>
      </c>
      <c r="BN1304" s="129" t="s">
        <v>566</v>
      </c>
      <c r="BP1304" s="137" t="str">
        <f t="shared" si="954"/>
        <v>CONVICTION</v>
      </c>
      <c r="BQ1304" s="128" t="str">
        <f t="shared" si="955"/>
        <v>Y</v>
      </c>
      <c r="BR1304" s="129" t="str">
        <f t="shared" si="956"/>
        <v>DETAINED</v>
      </c>
      <c r="BS1304" s="129" t="str">
        <f t="shared" si="957"/>
        <v>DISPOSED</v>
      </c>
      <c r="BT1304" s="129" t="str">
        <f t="shared" si="958"/>
        <v>N</v>
      </c>
      <c r="BU1304" s="109">
        <f t="shared" si="959"/>
        <v>1</v>
      </c>
      <c r="BV1304" s="109">
        <f t="shared" si="960"/>
        <v>1</v>
      </c>
      <c r="BW1304" s="109">
        <f t="shared" si="945"/>
        <v>0</v>
      </c>
      <c r="BX1304" s="111">
        <f t="shared" si="961"/>
        <v>0</v>
      </c>
      <c r="BY1304" s="129">
        <f t="shared" si="962"/>
        <v>-262</v>
      </c>
      <c r="BZ1304" s="111">
        <f t="shared" si="963"/>
        <v>0</v>
      </c>
      <c r="CA1304" s="138">
        <f t="shared" si="964"/>
        <v>262</v>
      </c>
      <c r="CB1304" s="111" t="e">
        <f t="shared" si="977"/>
        <v>#VALUE!</v>
      </c>
      <c r="CC1304" s="129">
        <f>G1304-I1304+1</f>
        <v>262</v>
      </c>
      <c r="CD1304" s="129">
        <f>G1304-J1304</f>
        <v>0</v>
      </c>
      <c r="CG1304" s="129" t="str">
        <f t="shared" si="965"/>
        <v>Y</v>
      </c>
      <c r="CI1304" s="129" t="str">
        <f t="shared" si="966"/>
        <v>121-365 DAYS</v>
      </c>
      <c r="CJ1304" s="137">
        <f t="shared" si="967"/>
        <v>6</v>
      </c>
      <c r="CK1304" s="129" t="str">
        <f t="shared" si="968"/>
        <v>Booked</v>
      </c>
    </row>
    <row r="1305" spans="1:89" ht="15" customHeight="1" x14ac:dyDescent="0.25">
      <c r="A1305" s="111">
        <v>2550</v>
      </c>
      <c r="B1305" s="128" t="str">
        <f t="shared" si="949"/>
        <v>N</v>
      </c>
      <c r="C1305" s="128" t="str">
        <f t="shared" si="950"/>
        <v>N</v>
      </c>
      <c r="D1305" s="117">
        <v>1938906</v>
      </c>
      <c r="E1305" s="135">
        <f t="shared" si="951"/>
        <v>6</v>
      </c>
      <c r="F1305" s="124">
        <v>41004</v>
      </c>
      <c r="G1305" s="125">
        <v>41169</v>
      </c>
      <c r="H1305" s="117">
        <v>1938906</v>
      </c>
      <c r="I1305" s="124">
        <v>41023</v>
      </c>
      <c r="J1305" s="124">
        <v>41025</v>
      </c>
      <c r="K1305" s="126">
        <v>10000</v>
      </c>
      <c r="L1305" s="127" t="s">
        <v>570</v>
      </c>
      <c r="M1305" s="125">
        <v>41025</v>
      </c>
      <c r="N1305" s="129" t="str">
        <f t="shared" si="974"/>
        <v>Y</v>
      </c>
      <c r="O1305" s="128" t="s">
        <v>76</v>
      </c>
      <c r="P1305" s="129" t="s">
        <v>39</v>
      </c>
      <c r="Q1305" s="111">
        <f t="shared" si="969"/>
        <v>3</v>
      </c>
      <c r="R1305" s="111">
        <f t="shared" si="973"/>
        <v>166</v>
      </c>
      <c r="S1305" s="129">
        <v>1</v>
      </c>
      <c r="T1305" s="129">
        <v>4</v>
      </c>
      <c r="V1305" s="117">
        <v>1</v>
      </c>
      <c r="W1305" s="111"/>
      <c r="AC1305" s="130"/>
      <c r="AD1305" s="130">
        <v>30571</v>
      </c>
      <c r="AE1305" s="128" t="s">
        <v>32</v>
      </c>
      <c r="AF1305" s="128" t="s">
        <v>40</v>
      </c>
      <c r="AG1305" s="128" t="s">
        <v>41</v>
      </c>
      <c r="AH1305" s="108" t="s">
        <v>41</v>
      </c>
      <c r="AI1305" s="128" t="s">
        <v>118</v>
      </c>
      <c r="AJ1305" s="129" t="s">
        <v>89</v>
      </c>
      <c r="AK1305" s="129">
        <v>5</v>
      </c>
      <c r="AL1305" s="3" t="s">
        <v>362</v>
      </c>
      <c r="AM1305" s="117">
        <v>10</v>
      </c>
      <c r="AP1305" s="129" t="s">
        <v>132</v>
      </c>
      <c r="AR1305" s="128" t="s">
        <v>92</v>
      </c>
      <c r="AS1305" s="129" t="s">
        <v>82</v>
      </c>
      <c r="BC1305" s="129" t="s">
        <v>52</v>
      </c>
      <c r="BF1305" s="111">
        <f t="shared" si="975"/>
        <v>3</v>
      </c>
      <c r="BG1305" s="111">
        <f t="shared" si="976"/>
        <v>147</v>
      </c>
      <c r="BH1305" s="111">
        <f t="shared" si="946"/>
        <v>166</v>
      </c>
      <c r="BI1305" s="111">
        <f t="shared" si="947"/>
        <v>28.505464480874316</v>
      </c>
      <c r="BJ1305" s="129">
        <f>(G1305-J1305)+(M1305-G1305)</f>
        <v>0</v>
      </c>
      <c r="BK1305" s="129">
        <f t="shared" si="948"/>
        <v>-144</v>
      </c>
      <c r="BL1305" s="129" t="str">
        <f t="shared" si="978"/>
        <v>CONVICTION</v>
      </c>
      <c r="BM1305" s="129" t="s">
        <v>76</v>
      </c>
      <c r="BN1305" s="129" t="s">
        <v>88</v>
      </c>
      <c r="BP1305" s="137" t="str">
        <f t="shared" si="954"/>
        <v>CONVICTION</v>
      </c>
      <c r="BQ1305" s="128" t="str">
        <f t="shared" si="955"/>
        <v>Y</v>
      </c>
      <c r="BR1305" s="129" t="str">
        <f>IF(J1305&lt;G1305,"ON BOND",0)</f>
        <v>ON BOND</v>
      </c>
      <c r="BS1305" s="129" t="str">
        <f t="shared" si="957"/>
        <v>DISPOSED</v>
      </c>
      <c r="BT1305" s="129" t="str">
        <f t="shared" si="958"/>
        <v>Y</v>
      </c>
      <c r="BU1305" s="109">
        <f t="shared" si="959"/>
        <v>1.8072289156626505E-2</v>
      </c>
      <c r="BV1305" s="109">
        <f t="shared" si="960"/>
        <v>2.0408163265306121E-2</v>
      </c>
      <c r="BW1305" s="109">
        <f t="shared" si="945"/>
        <v>2.3358741086796156E-3</v>
      </c>
      <c r="BX1305" s="111">
        <f t="shared" si="961"/>
        <v>0</v>
      </c>
      <c r="BY1305" s="129">
        <f t="shared" si="962"/>
        <v>-3</v>
      </c>
      <c r="BZ1305" s="111">
        <f t="shared" si="963"/>
        <v>0</v>
      </c>
      <c r="CA1305" s="138">
        <f t="shared" si="964"/>
        <v>3</v>
      </c>
      <c r="CB1305" s="111" t="e">
        <f t="shared" si="977"/>
        <v>#VALUE!</v>
      </c>
      <c r="CC1305" s="129">
        <f>M1305-I1305+1</f>
        <v>3</v>
      </c>
      <c r="CD1305" s="111">
        <f>CC1305-BF1305</f>
        <v>0</v>
      </c>
      <c r="CG1305" s="129" t="str">
        <f t="shared" si="965"/>
        <v>Y</v>
      </c>
      <c r="CI1305" s="129" t="str">
        <f t="shared" si="966"/>
        <v>0-10 DAYS</v>
      </c>
      <c r="CJ1305" s="137">
        <f t="shared" si="967"/>
        <v>1</v>
      </c>
      <c r="CK1305" s="129" t="str">
        <f t="shared" si="968"/>
        <v>Booked</v>
      </c>
    </row>
    <row r="1306" spans="1:89" ht="15.75" customHeight="1" x14ac:dyDescent="0.25">
      <c r="A1306" s="111">
        <v>1744</v>
      </c>
      <c r="B1306" s="128" t="str">
        <f t="shared" si="949"/>
        <v>N</v>
      </c>
      <c r="C1306" s="128" t="str">
        <f t="shared" si="950"/>
        <v>N</v>
      </c>
      <c r="D1306" s="117">
        <v>1939518</v>
      </c>
      <c r="E1306" s="135">
        <f t="shared" si="951"/>
        <v>6</v>
      </c>
      <c r="F1306" s="124">
        <v>40973</v>
      </c>
      <c r="G1306" s="125">
        <v>41177</v>
      </c>
      <c r="H1306" s="117">
        <v>1939518</v>
      </c>
      <c r="I1306" s="124" t="s">
        <v>562</v>
      </c>
      <c r="J1306" s="124" t="s">
        <v>562</v>
      </c>
      <c r="K1306" s="126">
        <v>20000</v>
      </c>
      <c r="L1306" s="127" t="s">
        <v>571</v>
      </c>
      <c r="M1306" s="125">
        <v>40976</v>
      </c>
      <c r="N1306" s="129" t="str">
        <f>IF(M1306&gt;1/1/1,"Y",IF(Q1306="0","","N"))</f>
        <v>Y</v>
      </c>
      <c r="O1306" s="128" t="s">
        <v>585</v>
      </c>
      <c r="P1306" s="129" t="s">
        <v>39</v>
      </c>
      <c r="Q1306" s="111">
        <f t="shared" si="969"/>
        <v>0</v>
      </c>
      <c r="R1306" s="111">
        <f t="shared" si="973"/>
        <v>205</v>
      </c>
      <c r="S1306" s="129">
        <v>1</v>
      </c>
      <c r="T1306" s="129">
        <v>1</v>
      </c>
      <c r="U1306" s="129">
        <v>1</v>
      </c>
      <c r="W1306" s="111"/>
      <c r="AC1306" s="130"/>
      <c r="AD1306" s="130">
        <v>30839</v>
      </c>
      <c r="AE1306" s="128" t="s">
        <v>32</v>
      </c>
      <c r="AF1306" s="128" t="s">
        <v>33</v>
      </c>
      <c r="AG1306" s="128" t="s">
        <v>872</v>
      </c>
      <c r="AH1306" s="108" t="s">
        <v>58</v>
      </c>
      <c r="AI1306" s="128" t="s">
        <v>90</v>
      </c>
      <c r="AJ1306" s="129" t="s">
        <v>89</v>
      </c>
      <c r="AK1306" s="129">
        <v>8</v>
      </c>
      <c r="AL1306" s="3" t="s">
        <v>362</v>
      </c>
      <c r="AM1306" s="117">
        <v>6</v>
      </c>
      <c r="AP1306" s="129" t="s">
        <v>111</v>
      </c>
      <c r="AR1306" s="128" t="s">
        <v>67</v>
      </c>
      <c r="AS1306" s="129" t="s">
        <v>45</v>
      </c>
      <c r="BC1306" s="129" t="s">
        <v>52</v>
      </c>
      <c r="BF1306" s="111">
        <v>0</v>
      </c>
      <c r="BG1306" s="111">
        <v>0</v>
      </c>
      <c r="BH1306" s="111">
        <f t="shared" si="946"/>
        <v>205</v>
      </c>
      <c r="BI1306" s="111">
        <f t="shared" si="947"/>
        <v>27.688524590163933</v>
      </c>
      <c r="BJ1306" s="129" t="e">
        <f>(G1306-J1306)+(M1306-G1306)</f>
        <v>#VALUE!</v>
      </c>
      <c r="BK1306" s="129" t="e">
        <f t="shared" si="948"/>
        <v>#VALUE!</v>
      </c>
      <c r="BL1306" s="129" t="str">
        <f t="shared" si="978"/>
        <v>CONVICTION</v>
      </c>
      <c r="BM1306" s="129" t="s">
        <v>76</v>
      </c>
      <c r="BN1306" s="129" t="s">
        <v>88</v>
      </c>
      <c r="BP1306" s="137" t="str">
        <f t="shared" si="954"/>
        <v>CONVICTION</v>
      </c>
      <c r="BQ1306" s="128">
        <f t="shared" si="955"/>
        <v>0</v>
      </c>
      <c r="BR1306" s="129" t="s">
        <v>575</v>
      </c>
      <c r="BS1306" s="129" t="str">
        <f t="shared" si="957"/>
        <v>DISPOSED</v>
      </c>
      <c r="BT1306" s="129" t="str">
        <f t="shared" si="958"/>
        <v>Y</v>
      </c>
      <c r="BU1306" s="109">
        <f t="shared" si="959"/>
        <v>0</v>
      </c>
      <c r="BV1306" s="109">
        <v>0</v>
      </c>
      <c r="BW1306" s="109">
        <f t="shared" si="945"/>
        <v>0</v>
      </c>
      <c r="BX1306" s="111">
        <f t="shared" si="961"/>
        <v>0</v>
      </c>
      <c r="BY1306" s="129" t="e">
        <f t="shared" si="962"/>
        <v>#VALUE!</v>
      </c>
      <c r="BZ1306" s="111" t="e">
        <f t="shared" si="963"/>
        <v>#VALUE!</v>
      </c>
      <c r="CA1306" s="138" t="e">
        <f t="shared" si="964"/>
        <v>#VALUE!</v>
      </c>
      <c r="CB1306" s="111">
        <v>0</v>
      </c>
      <c r="CC1306" s="129">
        <v>0</v>
      </c>
      <c r="CD1306" s="111">
        <f>CC1306-BF1306</f>
        <v>0</v>
      </c>
      <c r="CG1306" s="129" t="str">
        <f t="shared" si="965"/>
        <v>Y</v>
      </c>
      <c r="CI1306" s="129" t="str">
        <f t="shared" si="966"/>
        <v>0-10 DAYS</v>
      </c>
      <c r="CJ1306" s="137">
        <f t="shared" si="967"/>
        <v>1</v>
      </c>
      <c r="CK1306" s="129" t="str">
        <f t="shared" si="968"/>
        <v>Not Booked</v>
      </c>
    </row>
    <row r="1307" spans="1:89" ht="15.75" customHeight="1" x14ac:dyDescent="0.25">
      <c r="A1307" s="111">
        <v>159</v>
      </c>
      <c r="B1307" s="128" t="str">
        <f t="shared" si="949"/>
        <v>N</v>
      </c>
      <c r="C1307" s="128" t="str">
        <f t="shared" si="950"/>
        <v>N</v>
      </c>
      <c r="D1307" s="117">
        <v>1940060</v>
      </c>
      <c r="E1307" s="135">
        <f t="shared" si="951"/>
        <v>2</v>
      </c>
      <c r="F1307" s="124">
        <v>40915</v>
      </c>
      <c r="G1307" s="125">
        <v>40918</v>
      </c>
      <c r="H1307" s="117">
        <v>1940060</v>
      </c>
      <c r="I1307" s="124">
        <v>40915</v>
      </c>
      <c r="J1307" s="124">
        <v>40918</v>
      </c>
      <c r="K1307" s="126" t="s">
        <v>564</v>
      </c>
      <c r="L1307" s="127" t="s">
        <v>564</v>
      </c>
      <c r="N1307" s="129" t="s">
        <v>566</v>
      </c>
      <c r="O1307" s="128" t="s">
        <v>917</v>
      </c>
      <c r="P1307" s="129" t="s">
        <v>589</v>
      </c>
      <c r="Q1307" s="111">
        <f t="shared" si="969"/>
        <v>4</v>
      </c>
      <c r="R1307" s="111">
        <f t="shared" si="973"/>
        <v>4</v>
      </c>
      <c r="S1307" s="129">
        <v>0</v>
      </c>
      <c r="T1307" s="129">
        <v>3</v>
      </c>
      <c r="W1307" s="111"/>
      <c r="AC1307" s="130"/>
      <c r="AD1307" s="130">
        <v>30462</v>
      </c>
      <c r="AE1307" s="128" t="s">
        <v>46</v>
      </c>
      <c r="AF1307" s="128" t="s">
        <v>33</v>
      </c>
      <c r="AG1307" s="128" t="s">
        <v>872</v>
      </c>
      <c r="AH1307" s="108" t="s">
        <v>58</v>
      </c>
      <c r="AI1307" s="128" t="s">
        <v>141</v>
      </c>
      <c r="AJ1307" s="129" t="s">
        <v>48</v>
      </c>
      <c r="AK1307" s="129">
        <v>2</v>
      </c>
      <c r="AL1307" s="3" t="s">
        <v>48</v>
      </c>
      <c r="AP1307" s="129" t="s">
        <v>63</v>
      </c>
      <c r="AR1307" s="128" t="s">
        <v>44</v>
      </c>
      <c r="AS1307" s="129" t="s">
        <v>64</v>
      </c>
      <c r="BC1307" s="129" t="s">
        <v>38</v>
      </c>
      <c r="BF1307" s="111">
        <f t="shared" ref="BF1307:BF1318" si="979">IF(J1307&gt;1/1/1900,((J1307+1)-I1307),"STILL OPEN")</f>
        <v>4</v>
      </c>
      <c r="BG1307" s="111">
        <f t="shared" ref="BG1307:BG1318" si="980">IF(G1307&gt;1/1/1900,((G1307+1)-I1307),"STILL OPEN")</f>
        <v>4</v>
      </c>
      <c r="BH1307" s="111">
        <f t="shared" si="946"/>
        <v>4</v>
      </c>
      <c r="BI1307" s="111">
        <f t="shared" si="947"/>
        <v>28.560109289617486</v>
      </c>
      <c r="BJ1307" s="129">
        <f t="shared" si="952"/>
        <v>0</v>
      </c>
      <c r="BK1307" s="129">
        <f t="shared" si="948"/>
        <v>0</v>
      </c>
      <c r="BL1307" s="129" t="str">
        <f t="shared" si="978"/>
        <v>DEFERRED</v>
      </c>
      <c r="BM1307" s="129" t="str">
        <f t="shared" si="953"/>
        <v>NONE</v>
      </c>
      <c r="BN1307" s="129" t="s">
        <v>566</v>
      </c>
      <c r="BP1307" s="137" t="str">
        <f t="shared" si="954"/>
        <v>DEFERRED</v>
      </c>
      <c r="BQ1307" s="128" t="str">
        <f t="shared" si="955"/>
        <v>Y</v>
      </c>
      <c r="BR1307" s="129" t="str">
        <f t="shared" si="956"/>
        <v>DETAINED</v>
      </c>
      <c r="BS1307" s="129" t="str">
        <f t="shared" si="957"/>
        <v>DISPOSED</v>
      </c>
      <c r="BT1307" s="129" t="str">
        <f t="shared" si="958"/>
        <v>N</v>
      </c>
      <c r="BU1307" s="109">
        <f t="shared" si="959"/>
        <v>1</v>
      </c>
      <c r="BV1307" s="109">
        <f t="shared" si="960"/>
        <v>1</v>
      </c>
      <c r="BW1307" s="109">
        <f t="shared" si="945"/>
        <v>0</v>
      </c>
      <c r="BX1307" s="111">
        <f t="shared" si="961"/>
        <v>0</v>
      </c>
      <c r="BY1307" s="129">
        <f t="shared" si="962"/>
        <v>-4</v>
      </c>
      <c r="BZ1307" s="111">
        <f t="shared" si="963"/>
        <v>0</v>
      </c>
      <c r="CA1307" s="138">
        <f t="shared" si="964"/>
        <v>4</v>
      </c>
      <c r="CB1307" s="111" t="e">
        <f t="shared" ref="CB1307:CB1318" si="981">IF(AF1307&gt;1/1/1900,((AF1307+1)-AE1307),"STILL OPEN")</f>
        <v>#VALUE!</v>
      </c>
      <c r="CC1307" s="129">
        <f>G1307-I1307+1</f>
        <v>4</v>
      </c>
      <c r="CD1307" s="129">
        <f>G1307-J1307</f>
        <v>0</v>
      </c>
      <c r="CG1307" s="129" t="str">
        <f t="shared" si="965"/>
        <v>Y</v>
      </c>
      <c r="CI1307" s="129" t="str">
        <f t="shared" si="966"/>
        <v>0-10 DAYS</v>
      </c>
      <c r="CJ1307" s="137">
        <f t="shared" si="967"/>
        <v>1</v>
      </c>
      <c r="CK1307" s="129" t="str">
        <f t="shared" si="968"/>
        <v>Booked</v>
      </c>
    </row>
    <row r="1308" spans="1:89" ht="15" customHeight="1" x14ac:dyDescent="0.25">
      <c r="A1308" s="111">
        <v>1684</v>
      </c>
      <c r="B1308" s="128" t="str">
        <f t="shared" si="949"/>
        <v>N</v>
      </c>
      <c r="C1308" s="128" t="str">
        <f t="shared" si="950"/>
        <v>N</v>
      </c>
      <c r="D1308" s="117">
        <v>1940220</v>
      </c>
      <c r="E1308" s="135">
        <f t="shared" si="951"/>
        <v>2</v>
      </c>
      <c r="F1308" s="124">
        <v>40971</v>
      </c>
      <c r="G1308" s="125">
        <v>41172</v>
      </c>
      <c r="H1308" s="117">
        <v>1940220</v>
      </c>
      <c r="I1308" s="124">
        <v>41043</v>
      </c>
      <c r="J1308" s="124">
        <v>41045</v>
      </c>
      <c r="K1308" s="126">
        <v>5000</v>
      </c>
      <c r="L1308" s="127" t="s">
        <v>569</v>
      </c>
      <c r="M1308" s="125">
        <v>41045</v>
      </c>
      <c r="N1308" s="129" t="str">
        <f t="shared" ref="N1308:N1316" si="982">IF(M1308&gt;1/1/1,"Y","N")</f>
        <v>Y</v>
      </c>
      <c r="O1308" s="128" t="s">
        <v>585</v>
      </c>
      <c r="P1308" s="129" t="s">
        <v>589</v>
      </c>
      <c r="Q1308" s="111">
        <f t="shared" si="969"/>
        <v>3</v>
      </c>
      <c r="R1308" s="111">
        <f t="shared" si="973"/>
        <v>202</v>
      </c>
      <c r="S1308" s="129">
        <v>1</v>
      </c>
      <c r="T1308" s="129">
        <v>3</v>
      </c>
      <c r="V1308" s="117">
        <v>1</v>
      </c>
      <c r="W1308" s="111"/>
      <c r="AC1308" s="130"/>
      <c r="AD1308" s="130">
        <v>30740</v>
      </c>
      <c r="AE1308" s="128" t="s">
        <v>32</v>
      </c>
      <c r="AF1308" s="128" t="s">
        <v>33</v>
      </c>
      <c r="AG1308" s="128" t="s">
        <v>872</v>
      </c>
      <c r="AH1308" s="108" t="s">
        <v>58</v>
      </c>
      <c r="AI1308" s="128" t="s">
        <v>71</v>
      </c>
      <c r="AJ1308" s="129" t="s">
        <v>48</v>
      </c>
      <c r="AK1308" s="129">
        <v>11</v>
      </c>
      <c r="AL1308" s="3" t="s">
        <v>48</v>
      </c>
      <c r="AP1308" s="129" t="s">
        <v>93</v>
      </c>
      <c r="AR1308" s="128" t="s">
        <v>67</v>
      </c>
      <c r="AS1308" s="129" t="s">
        <v>45</v>
      </c>
      <c r="BC1308" s="129" t="s">
        <v>52</v>
      </c>
      <c r="BF1308" s="111">
        <f t="shared" si="979"/>
        <v>3</v>
      </c>
      <c r="BG1308" s="111">
        <f t="shared" si="980"/>
        <v>130</v>
      </c>
      <c r="BH1308" s="111">
        <f t="shared" si="946"/>
        <v>202</v>
      </c>
      <c r="BI1308" s="111">
        <f t="shared" si="947"/>
        <v>27.953551912568305</v>
      </c>
      <c r="BJ1308" s="129">
        <f>(G1308-J1308)+(M1308-G1308)</f>
        <v>0</v>
      </c>
      <c r="BK1308" s="129">
        <f t="shared" si="948"/>
        <v>-127</v>
      </c>
      <c r="BL1308" s="129" t="str">
        <f t="shared" si="978"/>
        <v>DEFERRED</v>
      </c>
      <c r="BM1308" s="129" t="s">
        <v>76</v>
      </c>
      <c r="BN1308" s="129" t="s">
        <v>88</v>
      </c>
      <c r="BP1308" s="137" t="str">
        <f t="shared" si="954"/>
        <v>DEFERRED</v>
      </c>
      <c r="BQ1308" s="128" t="str">
        <f t="shared" si="955"/>
        <v>Y</v>
      </c>
      <c r="BR1308" s="129" t="str">
        <f t="shared" si="956"/>
        <v>ON BOND</v>
      </c>
      <c r="BS1308" s="129" t="str">
        <f t="shared" si="957"/>
        <v>DISPOSED</v>
      </c>
      <c r="BT1308" s="129" t="str">
        <f t="shared" si="958"/>
        <v>Y</v>
      </c>
      <c r="BU1308" s="109">
        <f t="shared" si="959"/>
        <v>1.4851485148514851E-2</v>
      </c>
      <c r="BV1308" s="109">
        <f t="shared" si="960"/>
        <v>2.3076923076923078E-2</v>
      </c>
      <c r="BW1308" s="109">
        <f t="shared" si="945"/>
        <v>8.2254379284082274E-3</v>
      </c>
      <c r="BX1308" s="111">
        <f t="shared" si="961"/>
        <v>0</v>
      </c>
      <c r="BY1308" s="129">
        <f t="shared" si="962"/>
        <v>-3</v>
      </c>
      <c r="BZ1308" s="111">
        <f t="shared" si="963"/>
        <v>0</v>
      </c>
      <c r="CA1308" s="138">
        <f t="shared" si="964"/>
        <v>3</v>
      </c>
      <c r="CB1308" s="111" t="e">
        <f t="shared" si="981"/>
        <v>#VALUE!</v>
      </c>
      <c r="CC1308" s="129">
        <f>M1308-I1308+1</f>
        <v>3</v>
      </c>
      <c r="CD1308" s="111">
        <f>CC1308-BF1308</f>
        <v>0</v>
      </c>
      <c r="CG1308" s="129" t="str">
        <f t="shared" si="965"/>
        <v>Y</v>
      </c>
      <c r="CI1308" s="129" t="str">
        <f t="shared" si="966"/>
        <v>0-10 DAYS</v>
      </c>
      <c r="CJ1308" s="137">
        <f t="shared" si="967"/>
        <v>1</v>
      </c>
      <c r="CK1308" s="129" t="str">
        <f t="shared" si="968"/>
        <v>Booked</v>
      </c>
    </row>
    <row r="1309" spans="1:89" ht="15" customHeight="1" x14ac:dyDescent="0.25">
      <c r="A1309" s="111">
        <v>152</v>
      </c>
      <c r="B1309" s="128" t="str">
        <f t="shared" si="949"/>
        <v>N</v>
      </c>
      <c r="C1309" s="128" t="str">
        <f t="shared" si="950"/>
        <v>Y</v>
      </c>
      <c r="D1309" s="117">
        <v>1940225</v>
      </c>
      <c r="E1309" s="135">
        <f t="shared" si="951"/>
        <v>6</v>
      </c>
      <c r="F1309" s="124">
        <v>40915</v>
      </c>
      <c r="G1309" s="125">
        <v>41194</v>
      </c>
      <c r="H1309" s="117">
        <v>1940225</v>
      </c>
      <c r="I1309" s="124">
        <v>40915</v>
      </c>
      <c r="J1309" s="124">
        <v>40992</v>
      </c>
      <c r="K1309" s="126">
        <v>20000</v>
      </c>
      <c r="L1309" s="127" t="s">
        <v>571</v>
      </c>
      <c r="M1309" s="125">
        <v>40992</v>
      </c>
      <c r="N1309" s="129" t="str">
        <f t="shared" si="982"/>
        <v>Y</v>
      </c>
      <c r="O1309" s="128" t="s">
        <v>76</v>
      </c>
      <c r="P1309" s="129" t="s">
        <v>39</v>
      </c>
      <c r="Q1309" s="111">
        <v>196</v>
      </c>
      <c r="R1309" s="111">
        <f t="shared" si="973"/>
        <v>280</v>
      </c>
      <c r="S1309" s="129">
        <v>1</v>
      </c>
      <c r="T1309" s="129">
        <v>2</v>
      </c>
      <c r="U1309" s="129">
        <v>1</v>
      </c>
      <c r="W1309" s="111"/>
      <c r="AC1309" s="130"/>
      <c r="AD1309" s="130">
        <v>30147</v>
      </c>
      <c r="AE1309" s="128" t="s">
        <v>32</v>
      </c>
      <c r="AF1309" s="128" t="s">
        <v>33</v>
      </c>
      <c r="AG1309" s="128" t="s">
        <v>872</v>
      </c>
      <c r="AH1309" s="108" t="s">
        <v>31</v>
      </c>
      <c r="AI1309" s="128" t="s">
        <v>100</v>
      </c>
      <c r="AJ1309" s="129" t="s">
        <v>89</v>
      </c>
      <c r="AK1309" s="129">
        <v>12</v>
      </c>
      <c r="AL1309" s="3" t="s">
        <v>362</v>
      </c>
      <c r="AM1309" s="117">
        <v>3</v>
      </c>
      <c r="AP1309" s="129" t="s">
        <v>56</v>
      </c>
      <c r="AR1309" s="128" t="s">
        <v>50</v>
      </c>
      <c r="AS1309" s="129" t="s">
        <v>57</v>
      </c>
      <c r="AU1309" s="121" t="s">
        <v>685</v>
      </c>
      <c r="AV1309" s="121"/>
      <c r="AX1309" s="32" t="s">
        <v>88</v>
      </c>
      <c r="AZ1309" s="140"/>
      <c r="BC1309" s="129" t="s">
        <v>38</v>
      </c>
      <c r="BF1309" s="111">
        <v>196</v>
      </c>
      <c r="BG1309" s="111">
        <f t="shared" si="980"/>
        <v>280</v>
      </c>
      <c r="BH1309" s="111">
        <f t="shared" si="946"/>
        <v>280</v>
      </c>
      <c r="BI1309" s="111">
        <f t="shared" si="947"/>
        <v>29.420765027322403</v>
      </c>
      <c r="BJ1309" s="129">
        <f>(G1309-J1309)+(M1309-G1309)</f>
        <v>0</v>
      </c>
      <c r="BK1309" s="129">
        <f t="shared" si="948"/>
        <v>-202</v>
      </c>
      <c r="BL1309" s="129" t="str">
        <f t="shared" si="978"/>
        <v>CONVICTION</v>
      </c>
      <c r="BM1309" s="129" t="s">
        <v>76</v>
      </c>
      <c r="BN1309" s="129" t="s">
        <v>88</v>
      </c>
      <c r="BP1309" s="137" t="str">
        <f t="shared" si="954"/>
        <v>CONVICTION</v>
      </c>
      <c r="BQ1309" s="128" t="str">
        <f t="shared" si="955"/>
        <v>Y</v>
      </c>
      <c r="BR1309" s="129" t="s">
        <v>574</v>
      </c>
      <c r="BS1309" s="129" t="str">
        <f t="shared" si="957"/>
        <v>DISPOSED</v>
      </c>
      <c r="BT1309" s="129" t="str">
        <f t="shared" si="958"/>
        <v>Y</v>
      </c>
      <c r="BU1309" s="109">
        <f t="shared" si="959"/>
        <v>0.7</v>
      </c>
      <c r="BV1309" s="109">
        <f t="shared" si="960"/>
        <v>0.27857142857142858</v>
      </c>
      <c r="BW1309" s="109">
        <f t="shared" si="945"/>
        <v>-0.42142857142857137</v>
      </c>
      <c r="BX1309" s="111">
        <f t="shared" si="961"/>
        <v>0</v>
      </c>
      <c r="BY1309" s="129">
        <f t="shared" si="962"/>
        <v>-78</v>
      </c>
      <c r="BZ1309" s="111">
        <f t="shared" si="963"/>
        <v>118</v>
      </c>
      <c r="CA1309" s="138">
        <f t="shared" si="964"/>
        <v>280</v>
      </c>
      <c r="CB1309" s="111">
        <v>196</v>
      </c>
      <c r="CC1309" s="129">
        <f>G1309-I1309+1</f>
        <v>280</v>
      </c>
      <c r="CD1309" s="129">
        <f>G1309-J1309</f>
        <v>202</v>
      </c>
      <c r="CG1309" s="129" t="str">
        <f t="shared" si="965"/>
        <v>Y</v>
      </c>
      <c r="CI1309" s="129" t="str">
        <f t="shared" si="966"/>
        <v>121-365 DAYS</v>
      </c>
      <c r="CJ1309" s="137">
        <f t="shared" si="967"/>
        <v>6</v>
      </c>
      <c r="CK1309" s="129" t="str">
        <f t="shared" si="968"/>
        <v>Booked</v>
      </c>
    </row>
    <row r="1310" spans="1:89" ht="15" customHeight="1" x14ac:dyDescent="0.25">
      <c r="A1310" s="111">
        <v>133</v>
      </c>
      <c r="B1310" s="128" t="str">
        <f t="shared" si="949"/>
        <v>N</v>
      </c>
      <c r="C1310" s="128" t="str">
        <f t="shared" si="950"/>
        <v>Y</v>
      </c>
      <c r="D1310" s="117">
        <v>1940385</v>
      </c>
      <c r="E1310" s="135">
        <f t="shared" si="951"/>
        <v>6</v>
      </c>
      <c r="F1310" s="124">
        <v>40914</v>
      </c>
      <c r="G1310" s="125">
        <v>41207</v>
      </c>
      <c r="H1310" s="117">
        <v>1940385</v>
      </c>
      <c r="I1310" s="124">
        <v>40914</v>
      </c>
      <c r="J1310" s="124">
        <v>40962</v>
      </c>
      <c r="K1310" s="126">
        <v>30000</v>
      </c>
      <c r="L1310" s="129" t="s">
        <v>572</v>
      </c>
      <c r="M1310" s="125">
        <v>40962</v>
      </c>
      <c r="N1310" s="129" t="str">
        <f t="shared" si="982"/>
        <v>Y</v>
      </c>
      <c r="O1310" s="128" t="s">
        <v>76</v>
      </c>
      <c r="P1310" s="129" t="s">
        <v>39</v>
      </c>
      <c r="Q1310" s="111">
        <f>BF1310</f>
        <v>49</v>
      </c>
      <c r="R1310" s="111">
        <f t="shared" si="973"/>
        <v>294</v>
      </c>
      <c r="S1310" s="129">
        <v>8</v>
      </c>
      <c r="T1310" s="129">
        <v>4</v>
      </c>
      <c r="U1310" s="129">
        <v>5</v>
      </c>
      <c r="W1310" s="111"/>
      <c r="AC1310" s="130"/>
      <c r="AD1310" s="130">
        <v>30797</v>
      </c>
      <c r="AE1310" s="128" t="s">
        <v>32</v>
      </c>
      <c r="AF1310" s="128" t="s">
        <v>33</v>
      </c>
      <c r="AG1310" s="128" t="s">
        <v>872</v>
      </c>
      <c r="AH1310" s="108" t="s">
        <v>58</v>
      </c>
      <c r="AI1310" s="128" t="s">
        <v>59</v>
      </c>
      <c r="AJ1310" s="129" t="s">
        <v>89</v>
      </c>
      <c r="AK1310" s="129">
        <v>6</v>
      </c>
      <c r="AL1310" s="3" t="s">
        <v>362</v>
      </c>
      <c r="AM1310" s="117">
        <v>5</v>
      </c>
      <c r="AP1310" s="129" t="s">
        <v>132</v>
      </c>
      <c r="AR1310" s="128" t="s">
        <v>92</v>
      </c>
      <c r="AS1310" s="129" t="s">
        <v>82</v>
      </c>
      <c r="AU1310" s="3" t="s">
        <v>804</v>
      </c>
      <c r="AX1310" s="32" t="s">
        <v>88</v>
      </c>
      <c r="BC1310" s="129" t="s">
        <v>99</v>
      </c>
      <c r="BF1310" s="111">
        <v>49</v>
      </c>
      <c r="BG1310" s="111">
        <f t="shared" si="980"/>
        <v>294</v>
      </c>
      <c r="BH1310" s="111">
        <f t="shared" si="946"/>
        <v>294</v>
      </c>
      <c r="BI1310" s="111">
        <f t="shared" si="947"/>
        <v>27.642076502732241</v>
      </c>
      <c r="BJ1310" s="129">
        <f>(G1310-J1310)+(M1310-G1310)</f>
        <v>0</v>
      </c>
      <c r="BK1310" s="129">
        <f t="shared" si="948"/>
        <v>-245</v>
      </c>
      <c r="BL1310" s="129" t="str">
        <f t="shared" si="978"/>
        <v>CONVICTION</v>
      </c>
      <c r="BM1310" s="129" t="s">
        <v>76</v>
      </c>
      <c r="BN1310" s="129" t="s">
        <v>88</v>
      </c>
      <c r="BP1310" s="137" t="str">
        <f t="shared" si="954"/>
        <v>CONVICTION</v>
      </c>
      <c r="BQ1310" s="128" t="str">
        <f t="shared" si="955"/>
        <v>Y</v>
      </c>
      <c r="BR1310" s="129" t="str">
        <f>IF(J1310&lt;G1310,"ON BOND",0)</f>
        <v>ON BOND</v>
      </c>
      <c r="BS1310" s="129" t="str">
        <f t="shared" si="957"/>
        <v>DISPOSED</v>
      </c>
      <c r="BT1310" s="129" t="str">
        <f t="shared" si="958"/>
        <v>Y</v>
      </c>
      <c r="BU1310" s="109">
        <f t="shared" si="959"/>
        <v>0.16666666666666666</v>
      </c>
      <c r="BV1310" s="109">
        <f t="shared" si="960"/>
        <v>0.16666666666666666</v>
      </c>
      <c r="BW1310" s="109">
        <f t="shared" si="945"/>
        <v>0</v>
      </c>
      <c r="BX1310" s="111">
        <f t="shared" si="961"/>
        <v>0</v>
      </c>
      <c r="BY1310" s="129">
        <f t="shared" si="962"/>
        <v>-49</v>
      </c>
      <c r="BZ1310" s="111">
        <f t="shared" si="963"/>
        <v>0</v>
      </c>
      <c r="CA1310" s="138">
        <f t="shared" si="964"/>
        <v>49</v>
      </c>
      <c r="CB1310" s="111" t="e">
        <f t="shared" si="981"/>
        <v>#VALUE!</v>
      </c>
      <c r="CD1310" s="129">
        <f>G1310-J1310</f>
        <v>245</v>
      </c>
      <c r="CG1310" s="129" t="str">
        <f t="shared" si="965"/>
        <v>Y</v>
      </c>
      <c r="CI1310" s="129" t="str">
        <f t="shared" si="966"/>
        <v>31-60 DAYS</v>
      </c>
      <c r="CJ1310" s="137">
        <f t="shared" si="967"/>
        <v>3</v>
      </c>
      <c r="CK1310" s="129" t="str">
        <f t="shared" si="968"/>
        <v>Booked</v>
      </c>
    </row>
    <row r="1311" spans="1:89" ht="15" customHeight="1" x14ac:dyDescent="0.25">
      <c r="A1311" s="111">
        <v>799</v>
      </c>
      <c r="B1311" s="128" t="str">
        <f t="shared" si="949"/>
        <v>N</v>
      </c>
      <c r="C1311" s="128" t="str">
        <f t="shared" si="950"/>
        <v>N</v>
      </c>
      <c r="D1311" s="117">
        <v>1940405</v>
      </c>
      <c r="E1311" s="135">
        <f t="shared" si="951"/>
        <v>1</v>
      </c>
      <c r="F1311" s="124">
        <v>40939</v>
      </c>
      <c r="G1311" s="125">
        <v>40941</v>
      </c>
      <c r="H1311" s="117">
        <v>1940405</v>
      </c>
      <c r="I1311" s="124">
        <v>40940</v>
      </c>
      <c r="J1311" s="124">
        <v>40941</v>
      </c>
      <c r="K1311" s="126">
        <v>5000</v>
      </c>
      <c r="L1311" s="127" t="s">
        <v>569</v>
      </c>
      <c r="N1311" s="129" t="str">
        <f t="shared" si="982"/>
        <v>N</v>
      </c>
      <c r="O1311" s="128" t="s">
        <v>917</v>
      </c>
      <c r="P1311" s="116" t="s">
        <v>55</v>
      </c>
      <c r="Q1311" s="111">
        <f t="shared" si="969"/>
        <v>2</v>
      </c>
      <c r="R1311" s="111">
        <f t="shared" si="973"/>
        <v>3</v>
      </c>
      <c r="S1311" s="129">
        <v>2</v>
      </c>
      <c r="T1311" s="129">
        <v>3</v>
      </c>
      <c r="U1311" s="129">
        <v>1</v>
      </c>
      <c r="W1311" s="111"/>
      <c r="AC1311" s="130"/>
      <c r="AD1311" s="130">
        <v>31062</v>
      </c>
      <c r="AE1311" s="128" t="s">
        <v>32</v>
      </c>
      <c r="AF1311" s="128" t="s">
        <v>33</v>
      </c>
      <c r="AG1311" s="128" t="s">
        <v>872</v>
      </c>
      <c r="AH1311" s="108" t="s">
        <v>31</v>
      </c>
      <c r="AI1311" s="128">
        <v>232</v>
      </c>
      <c r="AJ1311" s="129" t="s">
        <v>55</v>
      </c>
      <c r="AK1311" s="129">
        <v>1</v>
      </c>
      <c r="AL1311" s="3" t="s">
        <v>55</v>
      </c>
      <c r="AP1311" s="129" t="s">
        <v>43</v>
      </c>
      <c r="AR1311" s="128" t="s">
        <v>44</v>
      </c>
      <c r="AS1311" s="129" t="s">
        <v>45</v>
      </c>
      <c r="BC1311" s="129" t="s">
        <v>99</v>
      </c>
      <c r="BF1311" s="111">
        <f t="shared" si="979"/>
        <v>2</v>
      </c>
      <c r="BG1311" s="111">
        <f t="shared" si="980"/>
        <v>2</v>
      </c>
      <c r="BH1311" s="111">
        <f t="shared" si="946"/>
        <v>3</v>
      </c>
      <c r="BI1311" s="111">
        <f t="shared" si="947"/>
        <v>26.986338797814209</v>
      </c>
      <c r="BJ1311" s="129">
        <f t="shared" si="952"/>
        <v>0</v>
      </c>
      <c r="BK1311" s="129">
        <f t="shared" si="948"/>
        <v>0</v>
      </c>
      <c r="BL1311" s="129" t="str">
        <f t="shared" si="978"/>
        <v>NO CONVICTION</v>
      </c>
      <c r="BM1311" s="129" t="str">
        <f t="shared" si="953"/>
        <v>NONE</v>
      </c>
      <c r="BN1311" s="129" t="s">
        <v>566</v>
      </c>
      <c r="BP1311" s="137" t="str">
        <f t="shared" si="954"/>
        <v>NO CONVICTION</v>
      </c>
      <c r="BQ1311" s="128" t="str">
        <f t="shared" si="955"/>
        <v>Y</v>
      </c>
      <c r="BR1311" s="129" t="str">
        <f t="shared" si="956"/>
        <v>DETAINED</v>
      </c>
      <c r="BS1311" s="129" t="str">
        <f t="shared" si="957"/>
        <v>DISPOSED</v>
      </c>
      <c r="BT1311" s="129" t="str">
        <f t="shared" si="958"/>
        <v>Y</v>
      </c>
      <c r="BU1311" s="109">
        <f>IFERROR(Q1311/R1311,BR1311)</f>
        <v>0.66666666666666663</v>
      </c>
      <c r="BV1311" s="109">
        <f t="shared" si="960"/>
        <v>1</v>
      </c>
      <c r="BW1311" s="109">
        <f t="shared" si="945"/>
        <v>0.33333333333333337</v>
      </c>
      <c r="BX1311" s="111">
        <f t="shared" si="961"/>
        <v>0</v>
      </c>
      <c r="BY1311" s="129">
        <f t="shared" si="962"/>
        <v>-2</v>
      </c>
      <c r="BZ1311" s="111">
        <f t="shared" si="963"/>
        <v>0</v>
      </c>
      <c r="CA1311" s="138">
        <f t="shared" si="964"/>
        <v>2</v>
      </c>
      <c r="CB1311" s="111" t="e">
        <f t="shared" si="981"/>
        <v>#VALUE!</v>
      </c>
      <c r="CC1311" s="129">
        <f>G1311-I1311+1</f>
        <v>2</v>
      </c>
      <c r="CD1311" s="129">
        <f>G1311-J1311</f>
        <v>0</v>
      </c>
      <c r="CG1311" s="129" t="str">
        <f t="shared" si="965"/>
        <v>Y</v>
      </c>
      <c r="CI1311" s="129" t="str">
        <f t="shared" si="966"/>
        <v>0-10 DAYS</v>
      </c>
      <c r="CJ1311" s="137">
        <f t="shared" si="967"/>
        <v>1</v>
      </c>
      <c r="CK1311" s="129" t="str">
        <f t="shared" si="968"/>
        <v>Booked</v>
      </c>
    </row>
    <row r="1312" spans="1:89" ht="15.75" customHeight="1" x14ac:dyDescent="0.25">
      <c r="A1312" s="111">
        <v>2202</v>
      </c>
      <c r="B1312" s="128" t="str">
        <f t="shared" si="949"/>
        <v>N</v>
      </c>
      <c r="C1312" s="128" t="str">
        <f t="shared" si="950"/>
        <v>N</v>
      </c>
      <c r="D1312" s="117">
        <v>1941014</v>
      </c>
      <c r="E1312" s="135">
        <f t="shared" si="951"/>
        <v>1</v>
      </c>
      <c r="F1312" s="124">
        <v>40991</v>
      </c>
      <c r="G1312" s="125">
        <v>41023</v>
      </c>
      <c r="H1312" s="117">
        <v>1941014</v>
      </c>
      <c r="I1312" s="124">
        <v>40991</v>
      </c>
      <c r="J1312" s="124">
        <v>41023</v>
      </c>
      <c r="K1312" s="126">
        <v>20000</v>
      </c>
      <c r="L1312" s="127" t="s">
        <v>571</v>
      </c>
      <c r="N1312" s="129" t="str">
        <f t="shared" si="982"/>
        <v>N</v>
      </c>
      <c r="O1312" s="128" t="s">
        <v>917</v>
      </c>
      <c r="P1312" s="129" t="s">
        <v>55</v>
      </c>
      <c r="Q1312" s="111">
        <f t="shared" si="969"/>
        <v>33</v>
      </c>
      <c r="R1312" s="111">
        <f t="shared" si="973"/>
        <v>33</v>
      </c>
      <c r="S1312" s="129">
        <v>3</v>
      </c>
      <c r="T1312" s="129">
        <v>6</v>
      </c>
      <c r="U1312" s="129">
        <v>1</v>
      </c>
      <c r="W1312" s="111"/>
      <c r="AC1312" s="130"/>
      <c r="AD1312" s="130">
        <v>30373</v>
      </c>
      <c r="AE1312" s="128" t="s">
        <v>32</v>
      </c>
      <c r="AF1312" s="128" t="s">
        <v>33</v>
      </c>
      <c r="AG1312" s="128" t="s">
        <v>872</v>
      </c>
      <c r="AH1312" s="108" t="s">
        <v>58</v>
      </c>
      <c r="AI1312" s="128" t="s">
        <v>47</v>
      </c>
      <c r="AJ1312" s="129" t="s">
        <v>55</v>
      </c>
      <c r="AK1312" s="129">
        <v>2</v>
      </c>
      <c r="AL1312" s="3" t="s">
        <v>55</v>
      </c>
      <c r="AP1312" s="129" t="s">
        <v>56</v>
      </c>
      <c r="AR1312" s="128" t="s">
        <v>50</v>
      </c>
      <c r="AS1312" s="129" t="s">
        <v>57</v>
      </c>
      <c r="AT1312" s="129" t="s">
        <v>648</v>
      </c>
      <c r="BC1312" s="129" t="s">
        <v>38</v>
      </c>
      <c r="BF1312" s="111">
        <f t="shared" si="979"/>
        <v>33</v>
      </c>
      <c r="BG1312" s="111">
        <f t="shared" si="980"/>
        <v>33</v>
      </c>
      <c r="BH1312" s="111">
        <f t="shared" si="946"/>
        <v>33</v>
      </c>
      <c r="BI1312" s="111">
        <f t="shared" si="947"/>
        <v>29.010928961748633</v>
      </c>
      <c r="BJ1312" s="129">
        <f t="shared" si="952"/>
        <v>0</v>
      </c>
      <c r="BK1312" s="129">
        <f t="shared" si="948"/>
        <v>0</v>
      </c>
      <c r="BL1312" s="129" t="str">
        <f t="shared" si="978"/>
        <v>NO CONVICTION</v>
      </c>
      <c r="BM1312" s="129" t="str">
        <f t="shared" si="953"/>
        <v>NONE</v>
      </c>
      <c r="BN1312" s="129" t="s">
        <v>566</v>
      </c>
      <c r="BP1312" s="137" t="str">
        <f t="shared" si="954"/>
        <v>NO CONVICTION</v>
      </c>
      <c r="BQ1312" s="128" t="str">
        <f t="shared" si="955"/>
        <v>Y</v>
      </c>
      <c r="BR1312" s="129" t="str">
        <f t="shared" si="956"/>
        <v>DETAINED</v>
      </c>
      <c r="BS1312" s="129" t="str">
        <f t="shared" si="957"/>
        <v>DISPOSED</v>
      </c>
      <c r="BT1312" s="129" t="str">
        <f t="shared" si="958"/>
        <v>Y</v>
      </c>
      <c r="BU1312" s="109">
        <f>IFERROR(Q1312/R1312,BR1312)</f>
        <v>1</v>
      </c>
      <c r="BV1312" s="109">
        <f t="shared" si="960"/>
        <v>1</v>
      </c>
      <c r="BW1312" s="109">
        <f t="shared" si="945"/>
        <v>0</v>
      </c>
      <c r="BX1312" s="111">
        <f t="shared" si="961"/>
        <v>0</v>
      </c>
      <c r="BY1312" s="129">
        <f t="shared" si="962"/>
        <v>-33</v>
      </c>
      <c r="BZ1312" s="111">
        <f t="shared" si="963"/>
        <v>0</v>
      </c>
      <c r="CA1312" s="138">
        <f t="shared" si="964"/>
        <v>33</v>
      </c>
      <c r="CB1312" s="111" t="e">
        <f t="shared" si="981"/>
        <v>#VALUE!</v>
      </c>
      <c r="CC1312" s="129">
        <f>G1312-I1312+1</f>
        <v>33</v>
      </c>
      <c r="CD1312" s="129">
        <f>G1312-J1312</f>
        <v>0</v>
      </c>
      <c r="CG1312" s="129" t="str">
        <f t="shared" si="965"/>
        <v>Y</v>
      </c>
      <c r="CI1312" s="129" t="str">
        <f t="shared" si="966"/>
        <v>31-60 DAYS</v>
      </c>
      <c r="CJ1312" s="137">
        <f t="shared" si="967"/>
        <v>3</v>
      </c>
      <c r="CK1312" s="129" t="str">
        <f t="shared" si="968"/>
        <v>Booked</v>
      </c>
    </row>
    <row r="1313" spans="1:89" ht="15" customHeight="1" x14ac:dyDescent="0.25">
      <c r="A1313" s="111">
        <v>1877</v>
      </c>
      <c r="B1313" s="128" t="str">
        <f t="shared" si="949"/>
        <v>N</v>
      </c>
      <c r="C1313" s="128" t="str">
        <f t="shared" si="950"/>
        <v>N</v>
      </c>
      <c r="D1313" s="117">
        <v>1941706</v>
      </c>
      <c r="E1313" s="135">
        <f t="shared" si="951"/>
        <v>2</v>
      </c>
      <c r="F1313" s="124">
        <v>40978</v>
      </c>
      <c r="G1313" s="125">
        <v>40981</v>
      </c>
      <c r="H1313" s="117">
        <v>1941706</v>
      </c>
      <c r="I1313" s="124">
        <v>40978</v>
      </c>
      <c r="J1313" s="124">
        <v>40981</v>
      </c>
      <c r="K1313" s="126">
        <v>15000</v>
      </c>
      <c r="L1313" s="127" t="s">
        <v>571</v>
      </c>
      <c r="N1313" s="129" t="str">
        <f t="shared" si="982"/>
        <v>N</v>
      </c>
      <c r="O1313" s="128" t="s">
        <v>917</v>
      </c>
      <c r="P1313" s="129" t="s">
        <v>589</v>
      </c>
      <c r="Q1313" s="111">
        <f t="shared" si="969"/>
        <v>4</v>
      </c>
      <c r="R1313" s="111">
        <f t="shared" si="973"/>
        <v>4</v>
      </c>
      <c r="S1313" s="129">
        <v>1</v>
      </c>
      <c r="T1313" s="129">
        <v>2</v>
      </c>
      <c r="U1313" s="129">
        <v>1</v>
      </c>
      <c r="W1313" s="111"/>
      <c r="AC1313" s="130"/>
      <c r="AD1313" s="130">
        <v>30756</v>
      </c>
      <c r="AE1313" s="128" t="s">
        <v>32</v>
      </c>
      <c r="AF1313" s="128" t="s">
        <v>69</v>
      </c>
      <c r="AG1313" s="128" t="s">
        <v>874</v>
      </c>
      <c r="AH1313" s="108" t="s">
        <v>31</v>
      </c>
      <c r="AI1313" s="128" t="s">
        <v>114</v>
      </c>
      <c r="AJ1313" s="129" t="s">
        <v>48</v>
      </c>
      <c r="AK1313" s="129">
        <v>2</v>
      </c>
      <c r="AL1313" s="3" t="s">
        <v>48</v>
      </c>
      <c r="AP1313" s="129" t="s">
        <v>43</v>
      </c>
      <c r="AR1313" s="128" t="s">
        <v>44</v>
      </c>
      <c r="AS1313" s="129" t="s">
        <v>45</v>
      </c>
      <c r="AX1313" s="32"/>
      <c r="BC1313" s="129" t="s">
        <v>38</v>
      </c>
      <c r="BF1313" s="111">
        <f t="shared" si="979"/>
        <v>4</v>
      </c>
      <c r="BG1313" s="111">
        <f t="shared" si="980"/>
        <v>4</v>
      </c>
      <c r="BH1313" s="111">
        <f t="shared" si="946"/>
        <v>4</v>
      </c>
      <c r="BI1313" s="111">
        <f t="shared" si="947"/>
        <v>27.928961748633881</v>
      </c>
      <c r="BJ1313" s="129">
        <f t="shared" si="952"/>
        <v>0</v>
      </c>
      <c r="BK1313" s="129">
        <f t="shared" si="948"/>
        <v>0</v>
      </c>
      <c r="BL1313" s="129" t="str">
        <f t="shared" si="978"/>
        <v>DEFERRED</v>
      </c>
      <c r="BM1313" s="129" t="str">
        <f t="shared" si="953"/>
        <v>NONE</v>
      </c>
      <c r="BN1313" s="129" t="s">
        <v>566</v>
      </c>
      <c r="BP1313" s="137" t="str">
        <f t="shared" si="954"/>
        <v>DEFERRED</v>
      </c>
      <c r="BQ1313" s="128" t="str">
        <f t="shared" si="955"/>
        <v>Y</v>
      </c>
      <c r="BR1313" s="129" t="str">
        <f t="shared" si="956"/>
        <v>DETAINED</v>
      </c>
      <c r="BS1313" s="129" t="str">
        <f t="shared" si="957"/>
        <v>DISPOSED</v>
      </c>
      <c r="BT1313" s="129" t="str">
        <f t="shared" si="958"/>
        <v>Y</v>
      </c>
      <c r="BU1313" s="109">
        <f t="shared" si="959"/>
        <v>1</v>
      </c>
      <c r="BV1313" s="109">
        <f t="shared" si="960"/>
        <v>1</v>
      </c>
      <c r="BW1313" s="109">
        <f t="shared" si="945"/>
        <v>0</v>
      </c>
      <c r="BX1313" s="111">
        <f t="shared" si="961"/>
        <v>0</v>
      </c>
      <c r="BY1313" s="129">
        <f t="shared" si="962"/>
        <v>-4</v>
      </c>
      <c r="BZ1313" s="111">
        <f t="shared" si="963"/>
        <v>0</v>
      </c>
      <c r="CA1313" s="138">
        <f t="shared" si="964"/>
        <v>4</v>
      </c>
      <c r="CB1313" s="111" t="e">
        <f t="shared" si="981"/>
        <v>#VALUE!</v>
      </c>
      <c r="CC1313" s="129">
        <f>G1313-I1313+1</f>
        <v>4</v>
      </c>
      <c r="CD1313" s="129">
        <f>G1313-J1313</f>
        <v>0</v>
      </c>
      <c r="CG1313" s="129" t="str">
        <f t="shared" si="965"/>
        <v>Y</v>
      </c>
      <c r="CI1313" s="129" t="str">
        <f t="shared" si="966"/>
        <v>0-10 DAYS</v>
      </c>
      <c r="CJ1313" s="137">
        <f t="shared" si="967"/>
        <v>1</v>
      </c>
      <c r="CK1313" s="129" t="str">
        <f t="shared" si="968"/>
        <v>Booked</v>
      </c>
    </row>
    <row r="1314" spans="1:89" ht="15" customHeight="1" x14ac:dyDescent="0.25">
      <c r="A1314" s="111">
        <v>1153</v>
      </c>
      <c r="B1314" s="128" t="str">
        <f t="shared" si="949"/>
        <v>N</v>
      </c>
      <c r="C1314" s="128" t="str">
        <f t="shared" si="950"/>
        <v>N</v>
      </c>
      <c r="D1314" s="117">
        <v>1941827</v>
      </c>
      <c r="E1314" s="135">
        <f t="shared" si="951"/>
        <v>4</v>
      </c>
      <c r="F1314" s="124">
        <v>40950</v>
      </c>
      <c r="G1314" s="125">
        <v>41179</v>
      </c>
      <c r="H1314" s="117">
        <v>1941827</v>
      </c>
      <c r="I1314" s="124">
        <v>40950</v>
      </c>
      <c r="J1314" s="124">
        <v>40953</v>
      </c>
      <c r="K1314" s="126">
        <v>15000</v>
      </c>
      <c r="L1314" s="127" t="s">
        <v>571</v>
      </c>
      <c r="M1314" s="125">
        <v>40953</v>
      </c>
      <c r="N1314" s="129" t="str">
        <f t="shared" si="982"/>
        <v>Y</v>
      </c>
      <c r="O1314" s="128" t="s">
        <v>76</v>
      </c>
      <c r="P1314" s="129" t="s">
        <v>39</v>
      </c>
      <c r="Q1314" s="111">
        <f t="shared" si="969"/>
        <v>4</v>
      </c>
      <c r="R1314" s="111">
        <f t="shared" si="973"/>
        <v>230</v>
      </c>
      <c r="S1314" s="129">
        <v>0</v>
      </c>
      <c r="T1314" s="129">
        <v>0</v>
      </c>
      <c r="W1314" s="111"/>
      <c r="AC1314" s="130"/>
      <c r="AD1314" s="130">
        <v>30581</v>
      </c>
      <c r="AE1314" s="128" t="s">
        <v>32</v>
      </c>
      <c r="AF1314" s="128" t="s">
        <v>69</v>
      </c>
      <c r="AG1314" s="128" t="s">
        <v>874</v>
      </c>
      <c r="AH1314" s="108" t="s">
        <v>31</v>
      </c>
      <c r="AI1314" s="128" t="s">
        <v>62</v>
      </c>
      <c r="AJ1314" s="129" t="s">
        <v>89</v>
      </c>
      <c r="AK1314" s="129">
        <v>8</v>
      </c>
      <c r="AL1314" s="3" t="s">
        <v>991</v>
      </c>
      <c r="AO1314" s="128">
        <v>90</v>
      </c>
      <c r="AP1314" s="129" t="s">
        <v>93</v>
      </c>
      <c r="AR1314" s="128" t="s">
        <v>67</v>
      </c>
      <c r="AS1314" s="129" t="s">
        <v>45</v>
      </c>
      <c r="AX1314" s="32"/>
      <c r="BC1314" s="129" t="s">
        <v>52</v>
      </c>
      <c r="BF1314" s="111">
        <f t="shared" si="979"/>
        <v>4</v>
      </c>
      <c r="BG1314" s="111">
        <f t="shared" si="980"/>
        <v>230</v>
      </c>
      <c r="BH1314" s="111">
        <f t="shared" si="946"/>
        <v>230</v>
      </c>
      <c r="BI1314" s="111">
        <f t="shared" si="947"/>
        <v>28.330601092896174</v>
      </c>
      <c r="BJ1314" s="129">
        <f>(G1314-J1314)+(M1314-G1314)</f>
        <v>0</v>
      </c>
      <c r="BK1314" s="129">
        <f t="shared" si="948"/>
        <v>-226</v>
      </c>
      <c r="BL1314" s="129" t="str">
        <f t="shared" si="978"/>
        <v>CONVICTION</v>
      </c>
      <c r="BM1314" s="129" t="s">
        <v>76</v>
      </c>
      <c r="BN1314" s="129" t="s">
        <v>88</v>
      </c>
      <c r="BP1314" s="137" t="str">
        <f t="shared" si="954"/>
        <v>CONVICTION</v>
      </c>
      <c r="BQ1314" s="128" t="str">
        <f t="shared" si="955"/>
        <v>Y</v>
      </c>
      <c r="BR1314" s="129" t="str">
        <f>IF(J1314&lt;G1314,"ON BOND",0)</f>
        <v>ON BOND</v>
      </c>
      <c r="BS1314" s="129" t="str">
        <f t="shared" si="957"/>
        <v>DISPOSED</v>
      </c>
      <c r="BT1314" s="129" t="str">
        <f t="shared" si="958"/>
        <v>N</v>
      </c>
      <c r="BU1314" s="109">
        <f t="shared" si="959"/>
        <v>1.7391304347826087E-2</v>
      </c>
      <c r="BV1314" s="109">
        <f t="shared" si="960"/>
        <v>1.7391304347826087E-2</v>
      </c>
      <c r="BW1314" s="109">
        <f t="shared" si="945"/>
        <v>0</v>
      </c>
      <c r="BX1314" s="111">
        <f t="shared" si="961"/>
        <v>0</v>
      </c>
      <c r="BY1314" s="129">
        <f t="shared" si="962"/>
        <v>-4</v>
      </c>
      <c r="BZ1314" s="111">
        <f t="shared" si="963"/>
        <v>0</v>
      </c>
      <c r="CA1314" s="138">
        <f t="shared" si="964"/>
        <v>4</v>
      </c>
      <c r="CB1314" s="111" t="e">
        <f t="shared" si="981"/>
        <v>#VALUE!</v>
      </c>
      <c r="CC1314" s="129">
        <f>M1314-I1314+1</f>
        <v>4</v>
      </c>
      <c r="CD1314" s="111">
        <f>CC1314-BF1314</f>
        <v>0</v>
      </c>
      <c r="CG1314" s="129" t="str">
        <f t="shared" si="965"/>
        <v>N</v>
      </c>
      <c r="CI1314" s="129" t="str">
        <f t="shared" si="966"/>
        <v>0-10 DAYS</v>
      </c>
      <c r="CJ1314" s="137">
        <f t="shared" si="967"/>
        <v>1</v>
      </c>
      <c r="CK1314" s="129" t="str">
        <f t="shared" si="968"/>
        <v>Booked</v>
      </c>
    </row>
    <row r="1315" spans="1:89" ht="15.75" customHeight="1" x14ac:dyDescent="0.25">
      <c r="A1315" s="111">
        <v>1113</v>
      </c>
      <c r="B1315" s="128" t="str">
        <f t="shared" si="949"/>
        <v>N</v>
      </c>
      <c r="C1315" s="128" t="str">
        <f t="shared" si="950"/>
        <v>N</v>
      </c>
      <c r="D1315" s="117">
        <v>1943401</v>
      </c>
      <c r="E1315" s="135">
        <f t="shared" si="951"/>
        <v>6</v>
      </c>
      <c r="F1315" s="124">
        <v>40949</v>
      </c>
      <c r="G1315" s="125">
        <v>40952</v>
      </c>
      <c r="H1315" s="117">
        <v>1943401</v>
      </c>
      <c r="I1315" s="124">
        <v>40949</v>
      </c>
      <c r="J1315" s="124">
        <v>40952</v>
      </c>
      <c r="K1315" s="126">
        <v>15000</v>
      </c>
      <c r="L1315" s="127" t="s">
        <v>571</v>
      </c>
      <c r="N1315" s="129" t="str">
        <f t="shared" si="982"/>
        <v>N</v>
      </c>
      <c r="O1315" s="128" t="s">
        <v>917</v>
      </c>
      <c r="P1315" s="129" t="s">
        <v>39</v>
      </c>
      <c r="Q1315" s="111">
        <f t="shared" si="969"/>
        <v>4</v>
      </c>
      <c r="R1315" s="111">
        <f t="shared" si="973"/>
        <v>4</v>
      </c>
      <c r="S1315" s="129">
        <v>6</v>
      </c>
      <c r="T1315" s="129">
        <v>8</v>
      </c>
      <c r="U1315" s="129">
        <v>4</v>
      </c>
      <c r="W1315" s="111"/>
      <c r="AC1315" s="130"/>
      <c r="AD1315" s="130">
        <v>30057</v>
      </c>
      <c r="AE1315" s="128" t="s">
        <v>32</v>
      </c>
      <c r="AF1315" s="128" t="s">
        <v>33</v>
      </c>
      <c r="AG1315" s="128" t="s">
        <v>872</v>
      </c>
      <c r="AH1315" s="108" t="s">
        <v>31</v>
      </c>
      <c r="AI1315" s="128" t="s">
        <v>118</v>
      </c>
      <c r="AJ1315" s="129" t="s">
        <v>89</v>
      </c>
      <c r="AK1315" s="129">
        <v>1</v>
      </c>
      <c r="AL1315" s="3" t="s">
        <v>362</v>
      </c>
      <c r="AM1315" s="117">
        <v>1</v>
      </c>
      <c r="AP1315" s="129" t="s">
        <v>290</v>
      </c>
      <c r="AR1315" s="128" t="s">
        <v>50</v>
      </c>
      <c r="AS1315" s="129" t="s">
        <v>64</v>
      </c>
      <c r="BC1315" s="129" t="s">
        <v>38</v>
      </c>
      <c r="BF1315" s="111">
        <f t="shared" si="979"/>
        <v>4</v>
      </c>
      <c r="BG1315" s="111">
        <f t="shared" si="980"/>
        <v>4</v>
      </c>
      <c r="BH1315" s="111">
        <f t="shared" si="946"/>
        <v>4</v>
      </c>
      <c r="BI1315" s="111">
        <f t="shared" si="947"/>
        <v>29.759562841530055</v>
      </c>
      <c r="BJ1315" s="129">
        <f t="shared" si="952"/>
        <v>0</v>
      </c>
      <c r="BK1315" s="129">
        <f t="shared" si="948"/>
        <v>0</v>
      </c>
      <c r="BL1315" s="129" t="str">
        <f t="shared" si="978"/>
        <v>CONVICTION</v>
      </c>
      <c r="BM1315" s="129" t="str">
        <f t="shared" si="953"/>
        <v>NONE</v>
      </c>
      <c r="BN1315" s="129" t="s">
        <v>566</v>
      </c>
      <c r="BP1315" s="137" t="str">
        <f t="shared" si="954"/>
        <v>CONVICTION</v>
      </c>
      <c r="BQ1315" s="128" t="str">
        <f t="shared" si="955"/>
        <v>Y</v>
      </c>
      <c r="BR1315" s="129" t="str">
        <f t="shared" si="956"/>
        <v>DETAINED</v>
      </c>
      <c r="BS1315" s="129" t="str">
        <f t="shared" si="957"/>
        <v>DISPOSED</v>
      </c>
      <c r="BT1315" s="129" t="str">
        <f t="shared" si="958"/>
        <v>Y</v>
      </c>
      <c r="BU1315" s="109">
        <f t="shared" si="959"/>
        <v>1</v>
      </c>
      <c r="BV1315" s="109">
        <f t="shared" si="960"/>
        <v>1</v>
      </c>
      <c r="BW1315" s="109">
        <f t="shared" si="945"/>
        <v>0</v>
      </c>
      <c r="BX1315" s="111">
        <f t="shared" si="961"/>
        <v>0</v>
      </c>
      <c r="BY1315" s="129">
        <f t="shared" si="962"/>
        <v>-4</v>
      </c>
      <c r="BZ1315" s="111">
        <f t="shared" si="963"/>
        <v>0</v>
      </c>
      <c r="CA1315" s="138">
        <f t="shared" si="964"/>
        <v>4</v>
      </c>
      <c r="CB1315" s="111" t="e">
        <f t="shared" si="981"/>
        <v>#VALUE!</v>
      </c>
      <c r="CC1315" s="129">
        <f>G1315-I1315+1</f>
        <v>4</v>
      </c>
      <c r="CD1315" s="129">
        <f>G1315-J1315</f>
        <v>0</v>
      </c>
      <c r="CG1315" s="129" t="str">
        <f t="shared" si="965"/>
        <v>Y</v>
      </c>
      <c r="CI1315" s="129" t="str">
        <f t="shared" si="966"/>
        <v>0-10 DAYS</v>
      </c>
      <c r="CJ1315" s="137">
        <f t="shared" si="967"/>
        <v>1</v>
      </c>
      <c r="CK1315" s="129" t="str">
        <f t="shared" si="968"/>
        <v>Booked</v>
      </c>
    </row>
    <row r="1316" spans="1:89" ht="15.75" customHeight="1" x14ac:dyDescent="0.25">
      <c r="A1316" s="111">
        <v>2627</v>
      </c>
      <c r="B1316" s="128" t="str">
        <f t="shared" si="949"/>
        <v>N</v>
      </c>
      <c r="C1316" s="128" t="str">
        <f t="shared" si="950"/>
        <v>N</v>
      </c>
      <c r="D1316" s="117">
        <v>1944335</v>
      </c>
      <c r="E1316" s="135">
        <f t="shared" si="951"/>
        <v>4</v>
      </c>
      <c r="F1316" s="124">
        <v>41006</v>
      </c>
      <c r="G1316" s="125">
        <v>41122</v>
      </c>
      <c r="H1316" s="117">
        <v>1944335</v>
      </c>
      <c r="I1316" s="124">
        <v>41007</v>
      </c>
      <c r="J1316" s="124">
        <v>41122</v>
      </c>
      <c r="K1316" s="126">
        <v>20000</v>
      </c>
      <c r="L1316" s="127" t="s">
        <v>571</v>
      </c>
      <c r="N1316" s="129" t="str">
        <f t="shared" si="982"/>
        <v>N</v>
      </c>
      <c r="O1316" s="128" t="s">
        <v>917</v>
      </c>
      <c r="P1316" s="129" t="s">
        <v>39</v>
      </c>
      <c r="Q1316" s="111">
        <f t="shared" si="969"/>
        <v>116</v>
      </c>
      <c r="R1316" s="111">
        <f t="shared" si="973"/>
        <v>117</v>
      </c>
      <c r="S1316" s="129">
        <v>3</v>
      </c>
      <c r="T1316" s="129">
        <v>2</v>
      </c>
      <c r="U1316" s="129">
        <v>1</v>
      </c>
      <c r="W1316" s="111"/>
      <c r="AC1316" s="130"/>
      <c r="AD1316" s="130">
        <v>29829</v>
      </c>
      <c r="AE1316" s="128" t="s">
        <v>32</v>
      </c>
      <c r="AF1316" s="128" t="s">
        <v>33</v>
      </c>
      <c r="AG1316" s="128" t="s">
        <v>872</v>
      </c>
      <c r="AH1316" s="108" t="s">
        <v>58</v>
      </c>
      <c r="AI1316" s="128" t="s">
        <v>97</v>
      </c>
      <c r="AJ1316" s="129" t="s">
        <v>89</v>
      </c>
      <c r="AK1316" s="129">
        <v>5</v>
      </c>
      <c r="AL1316" s="3" t="s">
        <v>991</v>
      </c>
      <c r="AO1316" s="128">
        <v>365</v>
      </c>
      <c r="AP1316" s="129" t="s">
        <v>150</v>
      </c>
      <c r="AR1316" s="128" t="s">
        <v>67</v>
      </c>
      <c r="AS1316" s="129" t="s">
        <v>74</v>
      </c>
      <c r="AT1316" s="129" t="s">
        <v>464</v>
      </c>
      <c r="AY1316" s="123"/>
      <c r="BC1316" s="129" t="s">
        <v>38</v>
      </c>
      <c r="BF1316" s="111">
        <f t="shared" si="979"/>
        <v>116</v>
      </c>
      <c r="BG1316" s="111">
        <f t="shared" si="980"/>
        <v>116</v>
      </c>
      <c r="BH1316" s="111">
        <f t="shared" si="946"/>
        <v>117</v>
      </c>
      <c r="BI1316" s="111">
        <f t="shared" si="947"/>
        <v>30.538251366120218</v>
      </c>
      <c r="BJ1316" s="129">
        <f t="shared" si="952"/>
        <v>0</v>
      </c>
      <c r="BK1316" s="129">
        <f t="shared" si="948"/>
        <v>0</v>
      </c>
      <c r="BL1316" s="129" t="str">
        <f t="shared" si="978"/>
        <v>CONVICTION</v>
      </c>
      <c r="BM1316" s="129" t="str">
        <f t="shared" si="953"/>
        <v>NONE</v>
      </c>
      <c r="BN1316" s="129" t="s">
        <v>566</v>
      </c>
      <c r="BP1316" s="137" t="str">
        <f t="shared" si="954"/>
        <v>CONVICTION</v>
      </c>
      <c r="BQ1316" s="128" t="str">
        <f t="shared" si="955"/>
        <v>Y</v>
      </c>
      <c r="BR1316" s="129" t="str">
        <f t="shared" si="956"/>
        <v>DETAINED</v>
      </c>
      <c r="BS1316" s="129" t="str">
        <f t="shared" si="957"/>
        <v>DISPOSED</v>
      </c>
      <c r="BT1316" s="129" t="str">
        <f t="shared" si="958"/>
        <v>Y</v>
      </c>
      <c r="BU1316" s="109">
        <f t="shared" si="959"/>
        <v>0.99145299145299148</v>
      </c>
      <c r="BV1316" s="109">
        <f t="shared" si="960"/>
        <v>1</v>
      </c>
      <c r="BW1316" s="109">
        <f t="shared" si="945"/>
        <v>8.5470085470085166E-3</v>
      </c>
      <c r="BX1316" s="111">
        <f t="shared" si="961"/>
        <v>0</v>
      </c>
      <c r="BY1316" s="129">
        <f t="shared" si="962"/>
        <v>-116</v>
      </c>
      <c r="BZ1316" s="111">
        <f t="shared" si="963"/>
        <v>0</v>
      </c>
      <c r="CA1316" s="138">
        <f t="shared" si="964"/>
        <v>116</v>
      </c>
      <c r="CB1316" s="111" t="e">
        <f t="shared" si="981"/>
        <v>#VALUE!</v>
      </c>
      <c r="CC1316" s="129">
        <f>G1316-I1316+1</f>
        <v>116</v>
      </c>
      <c r="CD1316" s="129">
        <f>G1316-J1316</f>
        <v>0</v>
      </c>
      <c r="CG1316" s="129" t="str">
        <f t="shared" si="965"/>
        <v>Y</v>
      </c>
      <c r="CI1316" s="129" t="str">
        <f t="shared" si="966"/>
        <v>91-120 DAYS</v>
      </c>
      <c r="CJ1316" s="137">
        <f t="shared" si="967"/>
        <v>0</v>
      </c>
      <c r="CK1316" s="129" t="str">
        <f t="shared" si="968"/>
        <v>Booked</v>
      </c>
    </row>
    <row r="1317" spans="1:89" ht="15.75" customHeight="1" x14ac:dyDescent="0.25">
      <c r="A1317" s="111">
        <v>1660</v>
      </c>
      <c r="B1317" s="128" t="str">
        <f t="shared" si="949"/>
        <v>N</v>
      </c>
      <c r="C1317" s="128" t="str">
        <f t="shared" si="950"/>
        <v>N</v>
      </c>
      <c r="D1317" s="117">
        <v>1946238</v>
      </c>
      <c r="E1317" s="135">
        <f t="shared" si="951"/>
        <v>4</v>
      </c>
      <c r="F1317" s="124">
        <v>40974</v>
      </c>
      <c r="G1317" s="125">
        <v>40980</v>
      </c>
      <c r="H1317" s="117">
        <v>1946238</v>
      </c>
      <c r="I1317" s="124">
        <v>40975</v>
      </c>
      <c r="J1317" s="124">
        <v>40980</v>
      </c>
      <c r="K1317" s="126" t="s">
        <v>564</v>
      </c>
      <c r="L1317" s="127" t="s">
        <v>564</v>
      </c>
      <c r="N1317" s="129" t="s">
        <v>566</v>
      </c>
      <c r="O1317" s="128" t="s">
        <v>917</v>
      </c>
      <c r="P1317" s="129" t="s">
        <v>39</v>
      </c>
      <c r="Q1317" s="111">
        <f t="shared" si="969"/>
        <v>6</v>
      </c>
      <c r="R1317" s="111">
        <f t="shared" si="973"/>
        <v>7</v>
      </c>
      <c r="S1317" s="129">
        <v>1</v>
      </c>
      <c r="T1317" s="129">
        <v>3</v>
      </c>
      <c r="W1317" s="111"/>
      <c r="AC1317" s="130"/>
      <c r="AD1317" s="130">
        <v>30730</v>
      </c>
      <c r="AE1317" s="128" t="s">
        <v>46</v>
      </c>
      <c r="AF1317" s="128" t="s">
        <v>33</v>
      </c>
      <c r="AG1317" s="128" t="s">
        <v>872</v>
      </c>
      <c r="AH1317" s="108" t="s">
        <v>58</v>
      </c>
      <c r="AI1317" s="128" t="s">
        <v>65</v>
      </c>
      <c r="AJ1317" s="129" t="s">
        <v>89</v>
      </c>
      <c r="AK1317" s="129">
        <v>2</v>
      </c>
      <c r="AL1317" s="3" t="s">
        <v>991</v>
      </c>
      <c r="AO1317" s="128">
        <v>365</v>
      </c>
      <c r="AP1317" s="129" t="s">
        <v>361</v>
      </c>
      <c r="AR1317" s="128" t="s">
        <v>67</v>
      </c>
      <c r="AS1317" s="129" t="s">
        <v>64</v>
      </c>
      <c r="BC1317" s="129" t="s">
        <v>38</v>
      </c>
      <c r="BF1317" s="111">
        <f t="shared" si="979"/>
        <v>6</v>
      </c>
      <c r="BG1317" s="111">
        <f t="shared" si="980"/>
        <v>6</v>
      </c>
      <c r="BH1317" s="111">
        <f t="shared" si="946"/>
        <v>7</v>
      </c>
      <c r="BI1317" s="111">
        <f t="shared" si="947"/>
        <v>27.989071038251367</v>
      </c>
      <c r="BJ1317" s="129">
        <f t="shared" si="952"/>
        <v>0</v>
      </c>
      <c r="BK1317" s="129">
        <f t="shared" si="948"/>
        <v>0</v>
      </c>
      <c r="BL1317" s="129" t="str">
        <f t="shared" si="978"/>
        <v>CONVICTION</v>
      </c>
      <c r="BM1317" s="129" t="str">
        <f t="shared" si="953"/>
        <v>NONE</v>
      </c>
      <c r="BN1317" s="129" t="s">
        <v>566</v>
      </c>
      <c r="BP1317" s="137" t="str">
        <f t="shared" si="954"/>
        <v>CONVICTION</v>
      </c>
      <c r="BQ1317" s="128" t="str">
        <f t="shared" si="955"/>
        <v>Y</v>
      </c>
      <c r="BR1317" s="129" t="str">
        <f t="shared" si="956"/>
        <v>DETAINED</v>
      </c>
      <c r="BS1317" s="129" t="str">
        <f t="shared" si="957"/>
        <v>DISPOSED</v>
      </c>
      <c r="BT1317" s="129" t="str">
        <f t="shared" si="958"/>
        <v>Y</v>
      </c>
      <c r="BU1317" s="109">
        <f t="shared" si="959"/>
        <v>0.8571428571428571</v>
      </c>
      <c r="BV1317" s="109">
        <f t="shared" si="960"/>
        <v>1</v>
      </c>
      <c r="BW1317" s="109">
        <f t="shared" si="945"/>
        <v>0.1428571428571429</v>
      </c>
      <c r="BX1317" s="111">
        <f t="shared" si="961"/>
        <v>0</v>
      </c>
      <c r="BY1317" s="129">
        <f t="shared" si="962"/>
        <v>-6</v>
      </c>
      <c r="BZ1317" s="111">
        <f t="shared" si="963"/>
        <v>0</v>
      </c>
      <c r="CA1317" s="138">
        <f t="shared" si="964"/>
        <v>6</v>
      </c>
      <c r="CB1317" s="111" t="e">
        <f t="shared" si="981"/>
        <v>#VALUE!</v>
      </c>
      <c r="CC1317" s="129">
        <f>G1317-I1317+1</f>
        <v>6</v>
      </c>
      <c r="CD1317" s="129">
        <f>G1317-J1317</f>
        <v>0</v>
      </c>
      <c r="CG1317" s="129" t="str">
        <f t="shared" si="965"/>
        <v>Y</v>
      </c>
      <c r="CI1317" s="129" t="str">
        <f t="shared" si="966"/>
        <v>0-10 DAYS</v>
      </c>
      <c r="CJ1317" s="137">
        <f t="shared" si="967"/>
        <v>1</v>
      </c>
      <c r="CK1317" s="129" t="str">
        <f t="shared" si="968"/>
        <v>Booked</v>
      </c>
    </row>
    <row r="1318" spans="1:89" ht="15" customHeight="1" x14ac:dyDescent="0.25">
      <c r="A1318" s="111">
        <v>2684</v>
      </c>
      <c r="B1318" s="128" t="str">
        <f t="shared" si="949"/>
        <v>N</v>
      </c>
      <c r="C1318" s="128" t="str">
        <f t="shared" si="950"/>
        <v>N</v>
      </c>
      <c r="D1318" s="117">
        <v>1947118</v>
      </c>
      <c r="E1318" s="135">
        <f t="shared" si="951"/>
        <v>3</v>
      </c>
      <c r="F1318" s="124">
        <v>41008</v>
      </c>
      <c r="G1318" s="125">
        <v>41303</v>
      </c>
      <c r="H1318" s="117">
        <v>1947118</v>
      </c>
      <c r="I1318" s="124">
        <v>41009</v>
      </c>
      <c r="J1318" s="124">
        <v>41010</v>
      </c>
      <c r="K1318" s="126">
        <v>5000</v>
      </c>
      <c r="L1318" s="127" t="s">
        <v>569</v>
      </c>
      <c r="M1318" s="125">
        <v>41010</v>
      </c>
      <c r="N1318" s="129" t="str">
        <f>IF(M1318&gt;1/1/1,"Y","N")</f>
        <v>Y</v>
      </c>
      <c r="O1318" s="128" t="s">
        <v>76</v>
      </c>
      <c r="P1318" s="129" t="s">
        <v>659</v>
      </c>
      <c r="Q1318" s="111">
        <f t="shared" ref="Q1318:Q1349" si="983">BF1318</f>
        <v>2</v>
      </c>
      <c r="R1318" s="111">
        <f t="shared" si="973"/>
        <v>296</v>
      </c>
      <c r="S1318" s="129">
        <v>1</v>
      </c>
      <c r="T1318" s="129">
        <v>2</v>
      </c>
      <c r="W1318" s="111"/>
      <c r="AC1318" s="130"/>
      <c r="AD1318" s="130">
        <v>30961</v>
      </c>
      <c r="AE1318" s="128" t="s">
        <v>32</v>
      </c>
      <c r="AF1318" s="128" t="s">
        <v>33</v>
      </c>
      <c r="AG1318" s="128" t="s">
        <v>872</v>
      </c>
      <c r="AH1318" s="108" t="s">
        <v>31</v>
      </c>
      <c r="AI1318" s="128" t="s">
        <v>85</v>
      </c>
      <c r="AJ1318" s="129" t="s">
        <v>89</v>
      </c>
      <c r="AK1318" s="129">
        <v>13</v>
      </c>
      <c r="AL1318" s="3" t="s">
        <v>185</v>
      </c>
      <c r="AO1318" s="128">
        <v>90</v>
      </c>
      <c r="AP1318" s="129" t="s">
        <v>43</v>
      </c>
      <c r="AR1318" s="128" t="s">
        <v>44</v>
      </c>
      <c r="AS1318" s="129" t="s">
        <v>45</v>
      </c>
      <c r="BC1318" s="129" t="s">
        <v>52</v>
      </c>
      <c r="BF1318" s="111">
        <f t="shared" si="979"/>
        <v>2</v>
      </c>
      <c r="BG1318" s="111">
        <f t="shared" si="980"/>
        <v>295</v>
      </c>
      <c r="BH1318" s="111">
        <f t="shared" si="946"/>
        <v>296</v>
      </c>
      <c r="BI1318" s="111">
        <f t="shared" si="947"/>
        <v>27.450819672131146</v>
      </c>
      <c r="BJ1318" s="129">
        <f>(G1318-J1318)+(M1318-G1318)</f>
        <v>0</v>
      </c>
      <c r="BK1318" s="129">
        <f t="shared" si="948"/>
        <v>-293</v>
      </c>
      <c r="BL1318" s="129" t="str">
        <f t="shared" si="978"/>
        <v>CONVICTION</v>
      </c>
      <c r="BM1318" s="129" t="s">
        <v>76</v>
      </c>
      <c r="BN1318" s="129" t="s">
        <v>88</v>
      </c>
      <c r="BP1318" s="137" t="str">
        <f t="shared" si="954"/>
        <v>CONVICTION</v>
      </c>
      <c r="BQ1318" s="128" t="str">
        <f t="shared" si="955"/>
        <v>Y</v>
      </c>
      <c r="BR1318" s="129" t="str">
        <f t="shared" si="956"/>
        <v>ON BOND</v>
      </c>
      <c r="BS1318" s="129" t="str">
        <f t="shared" si="957"/>
        <v>DISPOSED</v>
      </c>
      <c r="BT1318" s="129" t="str">
        <f t="shared" si="958"/>
        <v>Y</v>
      </c>
      <c r="BU1318" s="109">
        <f t="shared" si="959"/>
        <v>6.7567567567567571E-3</v>
      </c>
      <c r="BV1318" s="109">
        <f t="shared" si="960"/>
        <v>6.7796610169491523E-3</v>
      </c>
      <c r="BW1318" s="109">
        <f t="shared" si="945"/>
        <v>2.2904260192395214E-5</v>
      </c>
      <c r="BX1318" s="111">
        <f t="shared" si="961"/>
        <v>0</v>
      </c>
      <c r="BY1318" s="129">
        <f t="shared" si="962"/>
        <v>-2</v>
      </c>
      <c r="BZ1318" s="111">
        <f t="shared" si="963"/>
        <v>0</v>
      </c>
      <c r="CA1318" s="138">
        <f t="shared" si="964"/>
        <v>2</v>
      </c>
      <c r="CB1318" s="111" t="e">
        <f t="shared" si="981"/>
        <v>#VALUE!</v>
      </c>
      <c r="CC1318" s="129">
        <f>M1318-I1318+1</f>
        <v>2</v>
      </c>
      <c r="CD1318" s="111">
        <f>CC1318-BF1318</f>
        <v>0</v>
      </c>
      <c r="CG1318" s="129" t="str">
        <f t="shared" si="965"/>
        <v>Y</v>
      </c>
      <c r="CI1318" s="129" t="str">
        <f t="shared" si="966"/>
        <v>0-10 DAYS</v>
      </c>
      <c r="CJ1318" s="137">
        <f t="shared" si="967"/>
        <v>1</v>
      </c>
      <c r="CK1318" s="129" t="str">
        <f t="shared" si="968"/>
        <v>Booked</v>
      </c>
    </row>
    <row r="1319" spans="1:89" ht="15.75" customHeight="1" x14ac:dyDescent="0.25">
      <c r="A1319" s="111">
        <v>931</v>
      </c>
      <c r="B1319" s="128" t="str">
        <f t="shared" si="949"/>
        <v>N</v>
      </c>
      <c r="C1319" s="128" t="str">
        <f t="shared" si="950"/>
        <v>N</v>
      </c>
      <c r="D1319" s="117">
        <v>1947508</v>
      </c>
      <c r="E1319" s="135">
        <f t="shared" si="951"/>
        <v>6</v>
      </c>
      <c r="F1319" s="124">
        <v>40943</v>
      </c>
      <c r="G1319" s="125">
        <v>41023</v>
      </c>
      <c r="H1319" s="117">
        <v>1947508</v>
      </c>
      <c r="I1319" s="124" t="s">
        <v>562</v>
      </c>
      <c r="J1319" s="124"/>
      <c r="K1319" s="126">
        <v>20000</v>
      </c>
      <c r="L1319" s="127" t="s">
        <v>571</v>
      </c>
      <c r="M1319" s="125">
        <v>40944</v>
      </c>
      <c r="N1319" s="129" t="str">
        <f>IF(M1319&gt;1/1/1,"Y",IF(Q1319="0","","N"))</f>
        <v>Y</v>
      </c>
      <c r="O1319" s="128" t="s">
        <v>76</v>
      </c>
      <c r="P1319" s="129" t="s">
        <v>39</v>
      </c>
      <c r="Q1319" s="111">
        <f t="shared" si="983"/>
        <v>0</v>
      </c>
      <c r="R1319" s="111">
        <f t="shared" si="973"/>
        <v>81</v>
      </c>
      <c r="S1319" s="129">
        <v>1</v>
      </c>
      <c r="T1319" s="129">
        <v>0</v>
      </c>
      <c r="U1319" s="129">
        <v>1</v>
      </c>
      <c r="W1319" s="111"/>
      <c r="AC1319" s="130"/>
      <c r="AD1319" s="130">
        <v>29629</v>
      </c>
      <c r="AE1319" s="128" t="s">
        <v>32</v>
      </c>
      <c r="AF1319" s="128" t="s">
        <v>40</v>
      </c>
      <c r="AG1319" s="128" t="s">
        <v>41</v>
      </c>
      <c r="AH1319" s="108" t="s">
        <v>41</v>
      </c>
      <c r="AI1319" s="128" t="s">
        <v>113</v>
      </c>
      <c r="AJ1319" s="129" t="s">
        <v>89</v>
      </c>
      <c r="AK1319" s="129">
        <v>5</v>
      </c>
      <c r="AL1319" s="3" t="s">
        <v>362</v>
      </c>
      <c r="AM1319" s="117">
        <v>5</v>
      </c>
      <c r="AP1319" s="129" t="s">
        <v>49</v>
      </c>
      <c r="AR1319" s="128" t="s">
        <v>50</v>
      </c>
      <c r="AS1319" s="129" t="s">
        <v>45</v>
      </c>
      <c r="BC1319" s="129" t="s">
        <v>52</v>
      </c>
      <c r="BF1319" s="111">
        <v>0</v>
      </c>
      <c r="BG1319" s="111">
        <v>0</v>
      </c>
      <c r="BH1319" s="111">
        <f t="shared" si="946"/>
        <v>81</v>
      </c>
      <c r="BI1319" s="111">
        <f t="shared" si="947"/>
        <v>30.912568306010929</v>
      </c>
      <c r="BJ1319" s="129">
        <f>(G1319-J1319)+(M1319-G1319)</f>
        <v>40944</v>
      </c>
      <c r="BK1319" s="129">
        <f t="shared" si="948"/>
        <v>-41023</v>
      </c>
      <c r="BL1319" s="129" t="str">
        <f t="shared" si="978"/>
        <v>CONVICTION</v>
      </c>
      <c r="BM1319" s="129" t="s">
        <v>76</v>
      </c>
      <c r="BN1319" s="129" t="s">
        <v>88</v>
      </c>
      <c r="BP1319" s="137" t="str">
        <f t="shared" si="954"/>
        <v>CONVICTION</v>
      </c>
      <c r="BQ1319" s="128">
        <f t="shared" si="955"/>
        <v>0</v>
      </c>
      <c r="BR1319" s="129" t="str">
        <f>IF(J1319&lt;G1319,"ON BOND",0)</f>
        <v>ON BOND</v>
      </c>
      <c r="BS1319" s="129" t="str">
        <f t="shared" si="957"/>
        <v>DISPOSED</v>
      </c>
      <c r="BT1319" s="129" t="str">
        <f t="shared" si="958"/>
        <v>Y</v>
      </c>
      <c r="BU1319" s="109">
        <f t="shared" si="959"/>
        <v>0</v>
      </c>
      <c r="BV1319" s="109">
        <v>0</v>
      </c>
      <c r="BW1319" s="109">
        <f t="shared" si="945"/>
        <v>0</v>
      </c>
      <c r="BX1319" s="111">
        <f t="shared" si="961"/>
        <v>0</v>
      </c>
      <c r="BY1319" s="129" t="e">
        <f t="shared" si="962"/>
        <v>#VALUE!</v>
      </c>
      <c r="BZ1319" s="111" t="e">
        <f t="shared" si="963"/>
        <v>#VALUE!</v>
      </c>
      <c r="CA1319" s="138" t="e">
        <f t="shared" si="964"/>
        <v>#VALUE!</v>
      </c>
      <c r="CB1319" s="111">
        <v>0</v>
      </c>
      <c r="CC1319" s="129">
        <v>0</v>
      </c>
      <c r="CD1319" s="111">
        <f>CC1319-BF1319</f>
        <v>0</v>
      </c>
      <c r="CG1319" s="129" t="str">
        <f t="shared" si="965"/>
        <v>Y</v>
      </c>
      <c r="CI1319" s="129" t="str">
        <f t="shared" si="966"/>
        <v>0-10 DAYS</v>
      </c>
      <c r="CJ1319" s="137">
        <f t="shared" si="967"/>
        <v>1</v>
      </c>
      <c r="CK1319" s="129" t="str">
        <f t="shared" si="968"/>
        <v>Not Booked</v>
      </c>
    </row>
    <row r="1320" spans="1:89" ht="15" customHeight="1" x14ac:dyDescent="0.25">
      <c r="A1320" s="111">
        <v>3202</v>
      </c>
      <c r="B1320" s="128" t="str">
        <f t="shared" si="949"/>
        <v>N</v>
      </c>
      <c r="C1320" s="128" t="str">
        <f t="shared" si="950"/>
        <v>N</v>
      </c>
      <c r="D1320" s="117">
        <v>1948297</v>
      </c>
      <c r="E1320" s="135">
        <f t="shared" si="951"/>
        <v>2</v>
      </c>
      <c r="F1320" s="124">
        <v>41026</v>
      </c>
      <c r="G1320" s="125">
        <v>41241</v>
      </c>
      <c r="H1320" s="117">
        <v>1948297</v>
      </c>
      <c r="I1320" s="124" t="s">
        <v>562</v>
      </c>
      <c r="J1320" s="124" t="s">
        <v>562</v>
      </c>
      <c r="K1320" s="126">
        <v>5000</v>
      </c>
      <c r="L1320" s="127" t="s">
        <v>569</v>
      </c>
      <c r="M1320" s="125">
        <v>41030</v>
      </c>
      <c r="N1320" s="129" t="str">
        <f>IF(M1320&gt;1/1/1,"Y",IF(Q1320="0","","N"))</f>
        <v>Y</v>
      </c>
      <c r="O1320" s="128" t="s">
        <v>76</v>
      </c>
      <c r="P1320" s="129" t="s">
        <v>589</v>
      </c>
      <c r="Q1320" s="111">
        <f t="shared" si="983"/>
        <v>0</v>
      </c>
      <c r="R1320" s="111">
        <f t="shared" si="973"/>
        <v>216</v>
      </c>
      <c r="S1320" s="129">
        <v>0</v>
      </c>
      <c r="T1320" s="129">
        <v>0</v>
      </c>
      <c r="W1320" s="111"/>
      <c r="AC1320" s="130"/>
      <c r="AD1320" s="130">
        <v>27164</v>
      </c>
      <c r="AE1320" s="128" t="s">
        <v>46</v>
      </c>
      <c r="AF1320" s="128" t="s">
        <v>69</v>
      </c>
      <c r="AG1320" s="128" t="s">
        <v>874</v>
      </c>
      <c r="AH1320" s="108" t="s">
        <v>31</v>
      </c>
      <c r="AI1320" s="128" t="s">
        <v>118</v>
      </c>
      <c r="AJ1320" s="129" t="s">
        <v>48</v>
      </c>
      <c r="AK1320" s="129">
        <v>8</v>
      </c>
      <c r="AL1320" s="3" t="s">
        <v>48</v>
      </c>
      <c r="AP1320" s="129" t="s">
        <v>43</v>
      </c>
      <c r="AR1320" s="128" t="s">
        <v>44</v>
      </c>
      <c r="AS1320" s="129" t="s">
        <v>45</v>
      </c>
      <c r="BC1320" s="129" t="s">
        <v>52</v>
      </c>
      <c r="BF1320" s="111">
        <v>0</v>
      </c>
      <c r="BG1320" s="111">
        <v>0</v>
      </c>
      <c r="BH1320" s="111">
        <f t="shared" si="946"/>
        <v>216</v>
      </c>
      <c r="BI1320" s="111">
        <f t="shared" si="947"/>
        <v>37.874316939890711</v>
      </c>
      <c r="BJ1320" s="129" t="e">
        <f>(G1320-J1320)+(M1320-G1320)</f>
        <v>#VALUE!</v>
      </c>
      <c r="BK1320" s="129" t="e">
        <f t="shared" si="948"/>
        <v>#VALUE!</v>
      </c>
      <c r="BL1320" s="129" t="str">
        <f t="shared" si="978"/>
        <v>DEFERRED</v>
      </c>
      <c r="BM1320" s="129" t="s">
        <v>76</v>
      </c>
      <c r="BN1320" s="129" t="s">
        <v>88</v>
      </c>
      <c r="BP1320" s="137" t="str">
        <f t="shared" si="954"/>
        <v>DEFERRED</v>
      </c>
      <c r="BQ1320" s="128">
        <f t="shared" si="955"/>
        <v>0</v>
      </c>
      <c r="BR1320" s="129" t="s">
        <v>575</v>
      </c>
      <c r="BS1320" s="129" t="str">
        <f t="shared" si="957"/>
        <v>DISPOSED</v>
      </c>
      <c r="BT1320" s="129" t="str">
        <f t="shared" si="958"/>
        <v>N</v>
      </c>
      <c r="BU1320" s="109">
        <f t="shared" si="959"/>
        <v>0</v>
      </c>
      <c r="BV1320" s="109">
        <v>0</v>
      </c>
      <c r="BW1320" s="109">
        <f t="shared" si="945"/>
        <v>0</v>
      </c>
      <c r="BX1320" s="111">
        <f t="shared" si="961"/>
        <v>0</v>
      </c>
      <c r="BY1320" s="129" t="e">
        <f t="shared" si="962"/>
        <v>#VALUE!</v>
      </c>
      <c r="BZ1320" s="111" t="e">
        <f t="shared" si="963"/>
        <v>#VALUE!</v>
      </c>
      <c r="CA1320" s="138" t="e">
        <f t="shared" si="964"/>
        <v>#VALUE!</v>
      </c>
      <c r="CB1320" s="111">
        <v>0</v>
      </c>
      <c r="CC1320" s="129">
        <v>0</v>
      </c>
      <c r="CD1320" s="111">
        <f>CC1320-BF1320</f>
        <v>0</v>
      </c>
      <c r="CG1320" s="129" t="str">
        <f t="shared" si="965"/>
        <v>N</v>
      </c>
      <c r="CI1320" s="129" t="str">
        <f t="shared" si="966"/>
        <v>0-10 DAYS</v>
      </c>
      <c r="CJ1320" s="137">
        <f t="shared" si="967"/>
        <v>1</v>
      </c>
      <c r="CK1320" s="129" t="str">
        <f t="shared" si="968"/>
        <v>Not Booked</v>
      </c>
    </row>
    <row r="1321" spans="1:89" ht="15" customHeight="1" x14ac:dyDescent="0.25">
      <c r="A1321" s="111">
        <v>1584</v>
      </c>
      <c r="B1321" s="128" t="str">
        <f t="shared" si="949"/>
        <v>N</v>
      </c>
      <c r="C1321" s="128" t="str">
        <f t="shared" si="950"/>
        <v>Y</v>
      </c>
      <c r="D1321" s="114">
        <v>1948460</v>
      </c>
      <c r="E1321" s="135">
        <f t="shared" si="951"/>
        <v>6</v>
      </c>
      <c r="F1321" s="124">
        <v>40967</v>
      </c>
      <c r="G1321" s="125">
        <v>41185</v>
      </c>
      <c r="H1321" s="114">
        <v>1948460</v>
      </c>
      <c r="I1321" s="124">
        <v>40968</v>
      </c>
      <c r="J1321" s="124">
        <v>40998</v>
      </c>
      <c r="K1321" s="126">
        <v>60000</v>
      </c>
      <c r="L1321" s="129" t="s">
        <v>572</v>
      </c>
      <c r="M1321" s="125">
        <v>40998</v>
      </c>
      <c r="N1321" s="129" t="str">
        <f>IF(M1321&gt;1/1/1,"Y","N")</f>
        <v>Y</v>
      </c>
      <c r="O1321" s="128" t="s">
        <v>585</v>
      </c>
      <c r="P1321" s="129" t="s">
        <v>39</v>
      </c>
      <c r="Q1321" s="111">
        <f t="shared" si="983"/>
        <v>31</v>
      </c>
      <c r="R1321" s="111">
        <f t="shared" si="973"/>
        <v>219</v>
      </c>
      <c r="S1321" s="129">
        <v>4</v>
      </c>
      <c r="T1321" s="129">
        <v>0</v>
      </c>
      <c r="U1321" s="129">
        <v>3</v>
      </c>
      <c r="W1321" s="111"/>
      <c r="AC1321" s="130"/>
      <c r="AD1321" s="130">
        <v>31366</v>
      </c>
      <c r="AE1321" s="128" t="s">
        <v>32</v>
      </c>
      <c r="AF1321" s="128" t="s">
        <v>33</v>
      </c>
      <c r="AG1321" s="128" t="s">
        <v>872</v>
      </c>
      <c r="AH1321" s="108" t="s">
        <v>58</v>
      </c>
      <c r="AI1321" s="128" t="s">
        <v>90</v>
      </c>
      <c r="AJ1321" s="129" t="s">
        <v>89</v>
      </c>
      <c r="AK1321" s="129">
        <v>10</v>
      </c>
      <c r="AL1321" s="3" t="s">
        <v>362</v>
      </c>
      <c r="AM1321" s="117">
        <v>9</v>
      </c>
      <c r="AP1321" s="129" t="s">
        <v>132</v>
      </c>
      <c r="AR1321" s="128" t="s">
        <v>92</v>
      </c>
      <c r="AS1321" s="129" t="s">
        <v>82</v>
      </c>
      <c r="AU1321" s="3" t="s">
        <v>834</v>
      </c>
      <c r="AX1321" s="32" t="s">
        <v>88</v>
      </c>
      <c r="BC1321" s="129" t="s">
        <v>52</v>
      </c>
      <c r="BF1321" s="111">
        <v>31</v>
      </c>
      <c r="BG1321" s="111">
        <f>IF(G1321&gt;1/1/1900,((G1321+1)-I1321),"STILL OPEN")</f>
        <v>218</v>
      </c>
      <c r="BH1321" s="111">
        <f t="shared" si="946"/>
        <v>219</v>
      </c>
      <c r="BI1321" s="111">
        <f t="shared" si="947"/>
        <v>26.23224043715847</v>
      </c>
      <c r="BJ1321" s="129">
        <f>(G1321-J1321)+(M1321-G1321)</f>
        <v>0</v>
      </c>
      <c r="BK1321" s="129">
        <f t="shared" si="948"/>
        <v>-187</v>
      </c>
      <c r="BL1321" s="129" t="str">
        <f t="shared" si="978"/>
        <v>CONVICTION</v>
      </c>
      <c r="BM1321" s="129" t="s">
        <v>76</v>
      </c>
      <c r="BN1321" s="129" t="s">
        <v>88</v>
      </c>
      <c r="BP1321" s="137" t="str">
        <f t="shared" si="954"/>
        <v>CONVICTION</v>
      </c>
      <c r="BQ1321" s="128" t="str">
        <f t="shared" si="955"/>
        <v>Y</v>
      </c>
      <c r="BR1321" s="129" t="str">
        <f>IF(J1321&lt;G1321,"ON BOND",0)</f>
        <v>ON BOND</v>
      </c>
      <c r="BS1321" s="129" t="str">
        <f t="shared" si="957"/>
        <v>DISPOSED</v>
      </c>
      <c r="BT1321" s="129" t="str">
        <f t="shared" si="958"/>
        <v>Y</v>
      </c>
      <c r="BU1321" s="109">
        <f t="shared" si="959"/>
        <v>0.14155251141552511</v>
      </c>
      <c r="BV1321" s="109">
        <f t="shared" si="960"/>
        <v>0.14220183486238533</v>
      </c>
      <c r="BW1321" s="109">
        <f t="shared" si="945"/>
        <v>6.493234468602227E-4</v>
      </c>
      <c r="BX1321" s="111">
        <f t="shared" si="961"/>
        <v>0</v>
      </c>
      <c r="BY1321" s="129">
        <f t="shared" si="962"/>
        <v>-31</v>
      </c>
      <c r="BZ1321" s="111">
        <f t="shared" si="963"/>
        <v>0</v>
      </c>
      <c r="CA1321" s="138">
        <f t="shared" si="964"/>
        <v>31</v>
      </c>
      <c r="CB1321" s="111" t="e">
        <f>IF(AF1321&gt;1/1/1900,((AF1321+1)-AE1321),"STILL OPEN")</f>
        <v>#VALUE!</v>
      </c>
      <c r="CD1321" s="129">
        <f>G1321-J1321</f>
        <v>187</v>
      </c>
      <c r="CG1321" s="129" t="str">
        <f t="shared" si="965"/>
        <v>Y</v>
      </c>
      <c r="CI1321" s="129" t="str">
        <f t="shared" si="966"/>
        <v>31-60 DAYS</v>
      </c>
      <c r="CJ1321" s="137">
        <f t="shared" si="967"/>
        <v>3</v>
      </c>
      <c r="CK1321" s="129" t="str">
        <f t="shared" si="968"/>
        <v>Booked</v>
      </c>
    </row>
    <row r="1322" spans="1:89" ht="15.75" customHeight="1" x14ac:dyDescent="0.25">
      <c r="A1322" s="111">
        <v>3041</v>
      </c>
      <c r="B1322" s="128" t="str">
        <f t="shared" si="949"/>
        <v>N</v>
      </c>
      <c r="C1322" s="128" t="str">
        <f t="shared" si="950"/>
        <v>N</v>
      </c>
      <c r="D1322" s="117">
        <v>1948614</v>
      </c>
      <c r="E1322" s="135">
        <f t="shared" si="951"/>
        <v>1</v>
      </c>
      <c r="F1322" s="124">
        <v>41021</v>
      </c>
      <c r="G1322" s="125">
        <v>41163</v>
      </c>
      <c r="H1322" s="117">
        <v>1948614</v>
      </c>
      <c r="I1322" s="124" t="s">
        <v>562</v>
      </c>
      <c r="J1322" s="124" t="s">
        <v>562</v>
      </c>
      <c r="K1322" s="126">
        <v>2000</v>
      </c>
      <c r="L1322" s="127" t="s">
        <v>568</v>
      </c>
      <c r="M1322" s="125">
        <v>41022</v>
      </c>
      <c r="N1322" s="129" t="str">
        <f>IF(M1322&gt;1/1/1,"Y",IF(Q1322="0","","N"))</f>
        <v>Y</v>
      </c>
      <c r="O1322" s="128" t="s">
        <v>76</v>
      </c>
      <c r="P1322" s="129" t="s">
        <v>55</v>
      </c>
      <c r="Q1322" s="111">
        <f t="shared" si="983"/>
        <v>0</v>
      </c>
      <c r="R1322" s="111">
        <f t="shared" si="973"/>
        <v>143</v>
      </c>
      <c r="S1322" s="129">
        <v>0</v>
      </c>
      <c r="T1322" s="129">
        <v>1</v>
      </c>
      <c r="W1322" s="115"/>
      <c r="X1322" s="114"/>
      <c r="Y1322" s="32"/>
      <c r="Z1322" s="32"/>
      <c r="AB1322" s="131" t="s">
        <v>112</v>
      </c>
      <c r="AC1322" s="130"/>
      <c r="AD1322" s="130">
        <v>30749</v>
      </c>
      <c r="AE1322" s="128" t="s">
        <v>32</v>
      </c>
      <c r="AF1322" s="128" t="s">
        <v>40</v>
      </c>
      <c r="AG1322" s="128" t="s">
        <v>41</v>
      </c>
      <c r="AH1322" s="108" t="s">
        <v>31</v>
      </c>
      <c r="AI1322" s="128" t="s">
        <v>118</v>
      </c>
      <c r="AJ1322" s="129" t="s">
        <v>55</v>
      </c>
      <c r="AK1322" s="129">
        <v>5</v>
      </c>
      <c r="AL1322" s="3" t="s">
        <v>55</v>
      </c>
      <c r="AP1322" s="129" t="s">
        <v>98</v>
      </c>
      <c r="AR1322" s="128" t="s">
        <v>44</v>
      </c>
      <c r="AS1322" s="129" t="s">
        <v>64</v>
      </c>
      <c r="BC1322" s="129" t="s">
        <v>52</v>
      </c>
      <c r="BF1322" s="111">
        <v>0</v>
      </c>
      <c r="BG1322" s="111">
        <v>0</v>
      </c>
      <c r="BH1322" s="111">
        <f t="shared" si="946"/>
        <v>143</v>
      </c>
      <c r="BI1322" s="111">
        <f t="shared" si="947"/>
        <v>28.065573770491802</v>
      </c>
      <c r="BJ1322" s="129" t="e">
        <f>(G1322-J1322)+(M1322-G1322)</f>
        <v>#VALUE!</v>
      </c>
      <c r="BK1322" s="129" t="e">
        <f t="shared" si="948"/>
        <v>#VALUE!</v>
      </c>
      <c r="BL1322" s="129" t="str">
        <f t="shared" si="978"/>
        <v>NO CONVICTION</v>
      </c>
      <c r="BM1322" s="129" t="s">
        <v>76</v>
      </c>
      <c r="BN1322" s="129" t="s">
        <v>88</v>
      </c>
      <c r="BP1322" s="137" t="str">
        <f t="shared" si="954"/>
        <v>NO CONVICTION</v>
      </c>
      <c r="BQ1322" s="128">
        <f t="shared" si="955"/>
        <v>0</v>
      </c>
      <c r="BR1322" s="129" t="s">
        <v>575</v>
      </c>
      <c r="BS1322" s="129" t="str">
        <f t="shared" si="957"/>
        <v>DISPOSED</v>
      </c>
      <c r="BT1322" s="129" t="str">
        <f t="shared" si="958"/>
        <v>N</v>
      </c>
      <c r="BU1322" s="109">
        <f>IFERROR(Q1322/R1322,BR1322)</f>
        <v>0</v>
      </c>
      <c r="BV1322" s="109">
        <v>0</v>
      </c>
      <c r="BW1322" s="109">
        <f t="shared" si="945"/>
        <v>0</v>
      </c>
      <c r="BX1322" s="111">
        <f t="shared" si="961"/>
        <v>0</v>
      </c>
      <c r="BY1322" s="129" t="e">
        <f t="shared" si="962"/>
        <v>#VALUE!</v>
      </c>
      <c r="BZ1322" s="111" t="e">
        <f t="shared" si="963"/>
        <v>#VALUE!</v>
      </c>
      <c r="CA1322" s="138" t="e">
        <f t="shared" si="964"/>
        <v>#VALUE!</v>
      </c>
      <c r="CB1322" s="111">
        <v>0</v>
      </c>
      <c r="CC1322" s="129">
        <v>0</v>
      </c>
      <c r="CD1322" s="111">
        <f>CC1322-BF1322</f>
        <v>0</v>
      </c>
      <c r="CG1322" s="129" t="str">
        <f t="shared" si="965"/>
        <v>Y</v>
      </c>
      <c r="CI1322" s="129" t="str">
        <f t="shared" si="966"/>
        <v>0-10 DAYS</v>
      </c>
      <c r="CJ1322" s="137">
        <f t="shared" si="967"/>
        <v>1</v>
      </c>
      <c r="CK1322" s="129" t="str">
        <f t="shared" si="968"/>
        <v>Not Booked</v>
      </c>
    </row>
    <row r="1323" spans="1:89" ht="15.75" customHeight="1" x14ac:dyDescent="0.25">
      <c r="A1323" s="111">
        <v>3171</v>
      </c>
      <c r="B1323" s="128" t="str">
        <f t="shared" si="949"/>
        <v>N</v>
      </c>
      <c r="C1323" s="128" t="str">
        <f t="shared" si="950"/>
        <v>N</v>
      </c>
      <c r="D1323" s="117">
        <v>1948625</v>
      </c>
      <c r="E1323" s="135">
        <f t="shared" si="951"/>
        <v>6</v>
      </c>
      <c r="F1323" s="124">
        <v>41025</v>
      </c>
      <c r="G1323" s="125">
        <v>41442</v>
      </c>
      <c r="H1323" s="117">
        <v>1948625</v>
      </c>
      <c r="I1323" s="124">
        <v>41033</v>
      </c>
      <c r="J1323" s="125">
        <v>41442</v>
      </c>
      <c r="K1323" s="126">
        <v>75000</v>
      </c>
      <c r="L1323" s="129" t="s">
        <v>572</v>
      </c>
      <c r="N1323" s="129" t="str">
        <f>IF(M1323&gt;1/1/1,"Y","N")</f>
        <v>N</v>
      </c>
      <c r="O1323" s="128" t="s">
        <v>917</v>
      </c>
      <c r="P1323" s="129" t="s">
        <v>39</v>
      </c>
      <c r="Q1323" s="111">
        <f t="shared" si="983"/>
        <v>410</v>
      </c>
      <c r="R1323" s="111">
        <f t="shared" si="973"/>
        <v>418</v>
      </c>
      <c r="S1323" s="129">
        <v>5</v>
      </c>
      <c r="T1323" s="129">
        <v>8</v>
      </c>
      <c r="U1323" s="129">
        <v>4</v>
      </c>
      <c r="W1323" s="111"/>
      <c r="AB1323" s="131" t="s">
        <v>112</v>
      </c>
      <c r="AC1323" s="130"/>
      <c r="AD1323" s="130">
        <v>30934</v>
      </c>
      <c r="AE1323" s="128" t="s">
        <v>32</v>
      </c>
      <c r="AF1323" s="128" t="s">
        <v>40</v>
      </c>
      <c r="AG1323" s="128" t="s">
        <v>41</v>
      </c>
      <c r="AH1323" s="108" t="s">
        <v>31</v>
      </c>
      <c r="AI1323" s="128" t="s">
        <v>87</v>
      </c>
      <c r="AJ1323" s="129" t="s">
        <v>89</v>
      </c>
      <c r="AK1323" s="129">
        <v>10</v>
      </c>
      <c r="AL1323" s="3" t="s">
        <v>362</v>
      </c>
      <c r="AM1323" s="117">
        <v>15</v>
      </c>
      <c r="AP1323" s="129" t="s">
        <v>130</v>
      </c>
      <c r="AR1323" s="128" t="s">
        <v>92</v>
      </c>
      <c r="AS1323" s="129" t="s">
        <v>57</v>
      </c>
      <c r="BC1323" s="129" t="s">
        <v>38</v>
      </c>
      <c r="BF1323" s="111">
        <f>IF(J1323&gt;1/1/1900,((J1323+1)-I1323),"STILL OPEN")</f>
        <v>410</v>
      </c>
      <c r="BG1323" s="111">
        <f t="shared" ref="BG1323:BG1340" si="984">IF(G1323&gt;1/1/1900,((G1323+1)-I1323),"STILL OPEN")</f>
        <v>410</v>
      </c>
      <c r="BH1323" s="111">
        <f t="shared" si="946"/>
        <v>418</v>
      </c>
      <c r="BI1323" s="111">
        <f t="shared" si="947"/>
        <v>27.571038251366119</v>
      </c>
      <c r="BJ1323" s="129">
        <f t="shared" si="952"/>
        <v>0</v>
      </c>
      <c r="BK1323" s="129">
        <f t="shared" si="948"/>
        <v>0</v>
      </c>
      <c r="BL1323" s="129" t="str">
        <f t="shared" si="978"/>
        <v>CONVICTION</v>
      </c>
      <c r="BM1323" s="129" t="str">
        <f t="shared" si="953"/>
        <v>NONE</v>
      </c>
      <c r="BP1323" s="137" t="str">
        <f t="shared" si="954"/>
        <v>CONVICTION</v>
      </c>
      <c r="BQ1323" s="128" t="str">
        <f t="shared" si="955"/>
        <v>Y</v>
      </c>
      <c r="BR1323" s="129" t="str">
        <f t="shared" si="956"/>
        <v>DETAINED</v>
      </c>
      <c r="BS1323" s="129" t="str">
        <f t="shared" si="957"/>
        <v>DISPOSED</v>
      </c>
      <c r="BT1323" s="129" t="str">
        <f t="shared" si="958"/>
        <v>Y</v>
      </c>
      <c r="BU1323" s="109">
        <f t="shared" si="959"/>
        <v>0.98086124401913877</v>
      </c>
      <c r="BV1323" s="109">
        <f t="shared" si="960"/>
        <v>1</v>
      </c>
      <c r="BW1323" s="109">
        <f t="shared" si="945"/>
        <v>1.9138755980861233E-2</v>
      </c>
      <c r="BX1323" s="111">
        <f t="shared" si="961"/>
        <v>0</v>
      </c>
      <c r="BY1323" s="129">
        <f t="shared" si="962"/>
        <v>-410</v>
      </c>
      <c r="BZ1323" s="111">
        <f t="shared" si="963"/>
        <v>0</v>
      </c>
      <c r="CA1323" s="138">
        <f t="shared" si="964"/>
        <v>410</v>
      </c>
      <c r="CB1323" s="111" t="e">
        <f>IF(AF1323&gt;1/1/1900,((AF1323+1)-AE1323),"STILL OPEN")</f>
        <v>#VALUE!</v>
      </c>
      <c r="CC1323" s="129">
        <f>G1323-I1323+1</f>
        <v>410</v>
      </c>
      <c r="CD1323" s="129">
        <f>G1323-J1323</f>
        <v>0</v>
      </c>
      <c r="CG1323" s="129" t="str">
        <f t="shared" si="965"/>
        <v>Y</v>
      </c>
      <c r="CI1323" s="129" t="str">
        <f t="shared" si="966"/>
        <v xml:space="preserve"> &gt;1YRS&lt;2YRS</v>
      </c>
      <c r="CJ1323" s="137">
        <f t="shared" si="967"/>
        <v>0</v>
      </c>
      <c r="CK1323" s="129" t="str">
        <f t="shared" si="968"/>
        <v>Booked</v>
      </c>
    </row>
    <row r="1324" spans="1:89" ht="15.75" customHeight="1" x14ac:dyDescent="0.25">
      <c r="A1324" s="111">
        <v>484</v>
      </c>
      <c r="B1324" s="128" t="str">
        <f t="shared" si="949"/>
        <v>N</v>
      </c>
      <c r="C1324" s="128" t="str">
        <f t="shared" si="950"/>
        <v>N</v>
      </c>
      <c r="D1324" s="117">
        <v>1949284</v>
      </c>
      <c r="E1324" s="135">
        <f t="shared" si="951"/>
        <v>2</v>
      </c>
      <c r="F1324" s="124">
        <v>40928</v>
      </c>
      <c r="G1324" s="125">
        <v>40987</v>
      </c>
      <c r="H1324" s="117">
        <v>1949284</v>
      </c>
      <c r="I1324" s="124">
        <v>40973</v>
      </c>
      <c r="J1324" s="124">
        <v>40987</v>
      </c>
      <c r="K1324" s="126" t="s">
        <v>564</v>
      </c>
      <c r="L1324" s="127" t="s">
        <v>564</v>
      </c>
      <c r="N1324" s="129" t="s">
        <v>566</v>
      </c>
      <c r="O1324" s="128" t="s">
        <v>917</v>
      </c>
      <c r="P1324" s="129" t="s">
        <v>589</v>
      </c>
      <c r="Q1324" s="111">
        <f t="shared" si="983"/>
        <v>15</v>
      </c>
      <c r="R1324" s="111">
        <f t="shared" si="973"/>
        <v>60</v>
      </c>
      <c r="S1324" s="129">
        <v>0</v>
      </c>
      <c r="T1324" s="129">
        <v>1</v>
      </c>
      <c r="W1324" s="111"/>
      <c r="AB1324" s="131" t="s">
        <v>112</v>
      </c>
      <c r="AC1324" s="130"/>
      <c r="AD1324" s="130">
        <v>29467</v>
      </c>
      <c r="AE1324" s="128" t="s">
        <v>32</v>
      </c>
      <c r="AF1324" s="128" t="s">
        <v>40</v>
      </c>
      <c r="AG1324" s="128" t="s">
        <v>41</v>
      </c>
      <c r="AH1324" s="108" t="s">
        <v>31</v>
      </c>
      <c r="AI1324" s="128" t="s">
        <v>42</v>
      </c>
      <c r="AJ1324" s="129" t="s">
        <v>48</v>
      </c>
      <c r="AK1324" s="129">
        <v>4</v>
      </c>
      <c r="AL1324" s="3" t="s">
        <v>48</v>
      </c>
      <c r="AP1324" s="129" t="s">
        <v>215</v>
      </c>
      <c r="AR1324" s="128" t="s">
        <v>44</v>
      </c>
      <c r="AS1324" s="129" t="s">
        <v>64</v>
      </c>
      <c r="BC1324" s="129" t="s">
        <v>52</v>
      </c>
      <c r="BF1324" s="111">
        <f>IF(J1324&gt;1/1/1900,((J1324+1)-I1324),"STILL OPEN")</f>
        <v>15</v>
      </c>
      <c r="BG1324" s="111">
        <f t="shared" si="984"/>
        <v>15</v>
      </c>
      <c r="BH1324" s="111">
        <f t="shared" si="946"/>
        <v>60</v>
      </c>
      <c r="BI1324" s="111">
        <f t="shared" si="947"/>
        <v>31.314207650273225</v>
      </c>
      <c r="BJ1324" s="129">
        <f t="shared" si="952"/>
        <v>0</v>
      </c>
      <c r="BK1324" s="129">
        <f t="shared" si="948"/>
        <v>0</v>
      </c>
      <c r="BL1324" s="129" t="str">
        <f t="shared" si="978"/>
        <v>DEFERRED</v>
      </c>
      <c r="BM1324" s="129" t="str">
        <f t="shared" si="953"/>
        <v>NONE</v>
      </c>
      <c r="BN1324" s="129" t="s">
        <v>566</v>
      </c>
      <c r="BP1324" s="137" t="str">
        <f t="shared" si="954"/>
        <v>DEFERRED</v>
      </c>
      <c r="BQ1324" s="128" t="str">
        <f t="shared" si="955"/>
        <v>Y</v>
      </c>
      <c r="BR1324" s="129" t="str">
        <f t="shared" si="956"/>
        <v>DETAINED</v>
      </c>
      <c r="BS1324" s="129" t="str">
        <f t="shared" si="957"/>
        <v>DISPOSED</v>
      </c>
      <c r="BT1324" s="129" t="str">
        <f t="shared" si="958"/>
        <v>N</v>
      </c>
      <c r="BU1324" s="109">
        <f t="shared" si="959"/>
        <v>0.25</v>
      </c>
      <c r="BV1324" s="109">
        <f t="shared" si="960"/>
        <v>1</v>
      </c>
      <c r="BW1324" s="109">
        <f t="shared" si="945"/>
        <v>0.75</v>
      </c>
      <c r="BX1324" s="111">
        <f t="shared" si="961"/>
        <v>0</v>
      </c>
      <c r="BY1324" s="129">
        <f t="shared" si="962"/>
        <v>-15</v>
      </c>
      <c r="BZ1324" s="111">
        <f t="shared" si="963"/>
        <v>0</v>
      </c>
      <c r="CA1324" s="138">
        <f t="shared" si="964"/>
        <v>15</v>
      </c>
      <c r="CB1324" s="111" t="e">
        <f>IF(AF1324&gt;1/1/1900,((AF1324+1)-AE1324),"STILL OPEN")</f>
        <v>#VALUE!</v>
      </c>
      <c r="CC1324" s="129">
        <f>G1324-I1324+1</f>
        <v>15</v>
      </c>
      <c r="CD1324" s="129">
        <f>G1324-J1324</f>
        <v>0</v>
      </c>
      <c r="CG1324" s="129" t="str">
        <f t="shared" si="965"/>
        <v>Y</v>
      </c>
      <c r="CI1324" s="129" t="str">
        <f t="shared" si="966"/>
        <v>11-30 DAYS</v>
      </c>
      <c r="CJ1324" s="137">
        <f t="shared" si="967"/>
        <v>2</v>
      </c>
      <c r="CK1324" s="129" t="str">
        <f t="shared" si="968"/>
        <v>Booked</v>
      </c>
    </row>
    <row r="1325" spans="1:89" ht="15" customHeight="1" x14ac:dyDescent="0.25">
      <c r="A1325" s="111">
        <v>1805</v>
      </c>
      <c r="B1325" s="128" t="str">
        <f t="shared" si="949"/>
        <v>N</v>
      </c>
      <c r="C1325" s="128" t="str">
        <f t="shared" si="950"/>
        <v>N</v>
      </c>
      <c r="D1325" s="117">
        <v>1950112</v>
      </c>
      <c r="E1325" s="135">
        <f t="shared" si="951"/>
        <v>4</v>
      </c>
      <c r="F1325" s="124">
        <v>40976</v>
      </c>
      <c r="G1325" s="125">
        <v>40980</v>
      </c>
      <c r="H1325" s="117">
        <v>1950112</v>
      </c>
      <c r="I1325" s="124">
        <v>40976</v>
      </c>
      <c r="J1325" s="124">
        <v>40980</v>
      </c>
      <c r="K1325" s="126">
        <v>15000</v>
      </c>
      <c r="L1325" s="127" t="s">
        <v>571</v>
      </c>
      <c r="N1325" s="129" t="str">
        <f>IF(M1325&gt;1/1/1,"Y","N")</f>
        <v>N</v>
      </c>
      <c r="O1325" s="128" t="s">
        <v>917</v>
      </c>
      <c r="P1325" s="129" t="s">
        <v>39</v>
      </c>
      <c r="Q1325" s="111">
        <f t="shared" si="983"/>
        <v>5</v>
      </c>
      <c r="R1325" s="111">
        <f t="shared" si="973"/>
        <v>5</v>
      </c>
      <c r="S1325" s="129">
        <v>3</v>
      </c>
      <c r="T1325" s="129">
        <v>1</v>
      </c>
      <c r="U1325" s="129">
        <v>3</v>
      </c>
      <c r="W1325" s="111"/>
      <c r="AC1325" s="130"/>
      <c r="AD1325" s="130">
        <v>31253</v>
      </c>
      <c r="AE1325" s="128" t="s">
        <v>32</v>
      </c>
      <c r="AF1325" s="128" t="s">
        <v>33</v>
      </c>
      <c r="AG1325" s="128" t="s">
        <v>872</v>
      </c>
      <c r="AH1325" s="108" t="s">
        <v>58</v>
      </c>
      <c r="AI1325" s="128" t="s">
        <v>100</v>
      </c>
      <c r="AJ1325" s="129" t="s">
        <v>89</v>
      </c>
      <c r="AK1325" s="129">
        <v>2</v>
      </c>
      <c r="AL1325" s="3" t="s">
        <v>991</v>
      </c>
      <c r="AO1325" s="128">
        <v>365</v>
      </c>
      <c r="AP1325" s="129" t="s">
        <v>43</v>
      </c>
      <c r="AR1325" s="128" t="s">
        <v>44</v>
      </c>
      <c r="AS1325" s="129" t="s">
        <v>45</v>
      </c>
      <c r="BC1325" s="129" t="s">
        <v>38</v>
      </c>
      <c r="BF1325" s="111">
        <f>IF(J1325&gt;1/1/1900,((J1325+1)-I1325),"STILL OPEN")</f>
        <v>5</v>
      </c>
      <c r="BG1325" s="111">
        <f t="shared" si="984"/>
        <v>5</v>
      </c>
      <c r="BH1325" s="111">
        <f t="shared" si="946"/>
        <v>5</v>
      </c>
      <c r="BI1325" s="111">
        <f t="shared" si="947"/>
        <v>26.565573770491802</v>
      </c>
      <c r="BJ1325" s="129">
        <f t="shared" si="952"/>
        <v>0</v>
      </c>
      <c r="BK1325" s="129">
        <f t="shared" si="948"/>
        <v>0</v>
      </c>
      <c r="BL1325" s="129" t="str">
        <f t="shared" si="978"/>
        <v>CONVICTION</v>
      </c>
      <c r="BM1325" s="129" t="str">
        <f t="shared" si="953"/>
        <v>NONE</v>
      </c>
      <c r="BN1325" s="129" t="s">
        <v>566</v>
      </c>
      <c r="BP1325" s="137" t="str">
        <f t="shared" si="954"/>
        <v>CONVICTION</v>
      </c>
      <c r="BQ1325" s="128" t="str">
        <f t="shared" si="955"/>
        <v>Y</v>
      </c>
      <c r="BR1325" s="129" t="str">
        <f t="shared" si="956"/>
        <v>DETAINED</v>
      </c>
      <c r="BS1325" s="129" t="str">
        <f t="shared" si="957"/>
        <v>DISPOSED</v>
      </c>
      <c r="BT1325" s="129" t="str">
        <f t="shared" si="958"/>
        <v>Y</v>
      </c>
      <c r="BU1325" s="109">
        <f t="shared" si="959"/>
        <v>1</v>
      </c>
      <c r="BV1325" s="109">
        <f t="shared" si="960"/>
        <v>1</v>
      </c>
      <c r="BW1325" s="109">
        <f t="shared" si="945"/>
        <v>0</v>
      </c>
      <c r="BX1325" s="111">
        <f t="shared" si="961"/>
        <v>0</v>
      </c>
      <c r="BY1325" s="129">
        <f t="shared" si="962"/>
        <v>-5</v>
      </c>
      <c r="BZ1325" s="111">
        <f t="shared" si="963"/>
        <v>0</v>
      </c>
      <c r="CA1325" s="138">
        <f t="shared" si="964"/>
        <v>5</v>
      </c>
      <c r="CB1325" s="111" t="e">
        <f>IF(AF1325&gt;1/1/1900,((AF1325+1)-AE1325),"STILL OPEN")</f>
        <v>#VALUE!</v>
      </c>
      <c r="CC1325" s="129">
        <f>G1325-I1325+1</f>
        <v>5</v>
      </c>
      <c r="CD1325" s="129">
        <f>G1325-J1325</f>
        <v>0</v>
      </c>
      <c r="CG1325" s="129" t="str">
        <f t="shared" si="965"/>
        <v>Y</v>
      </c>
      <c r="CI1325" s="129" t="str">
        <f t="shared" si="966"/>
        <v>0-10 DAYS</v>
      </c>
      <c r="CJ1325" s="137">
        <f t="shared" si="967"/>
        <v>1</v>
      </c>
      <c r="CK1325" s="129" t="str">
        <f t="shared" si="968"/>
        <v>Booked</v>
      </c>
    </row>
    <row r="1326" spans="1:89" ht="15.75" customHeight="1" x14ac:dyDescent="0.25">
      <c r="A1326" s="111">
        <v>875</v>
      </c>
      <c r="B1326" s="128" t="str">
        <f t="shared" si="949"/>
        <v>N</v>
      </c>
      <c r="C1326" s="128" t="str">
        <f t="shared" si="950"/>
        <v>N</v>
      </c>
      <c r="D1326" s="114">
        <v>1953389</v>
      </c>
      <c r="E1326" s="135">
        <f t="shared" si="951"/>
        <v>2</v>
      </c>
      <c r="F1326" s="124">
        <v>40941</v>
      </c>
      <c r="G1326" s="125">
        <v>41712</v>
      </c>
      <c r="H1326" s="114">
        <v>1953389</v>
      </c>
      <c r="I1326" s="124" t="s">
        <v>562</v>
      </c>
      <c r="J1326" s="124" t="s">
        <v>562</v>
      </c>
      <c r="K1326" s="126">
        <v>2000</v>
      </c>
      <c r="L1326" s="127" t="s">
        <v>568</v>
      </c>
      <c r="M1326" s="125">
        <v>41538</v>
      </c>
      <c r="N1326" s="129" t="str">
        <f>IF(M1326&gt;1/1/1,"Y",IF(Q1326="NOT BOOKED","NO BOND NOT BOOKED","N"))</f>
        <v>Y</v>
      </c>
      <c r="O1326" s="128" t="s">
        <v>76</v>
      </c>
      <c r="P1326" s="129" t="s">
        <v>589</v>
      </c>
      <c r="Q1326" s="111">
        <v>0</v>
      </c>
      <c r="R1326" s="111">
        <f t="shared" si="973"/>
        <v>772</v>
      </c>
      <c r="S1326" s="129">
        <v>0</v>
      </c>
      <c r="T1326" s="129">
        <v>0</v>
      </c>
      <c r="W1326" s="111"/>
      <c r="AC1326" s="130"/>
      <c r="AD1326" s="130">
        <v>30369</v>
      </c>
      <c r="AE1326" s="128" t="s">
        <v>32</v>
      </c>
      <c r="AF1326" s="128" t="s">
        <v>69</v>
      </c>
      <c r="AG1326" s="128" t="s">
        <v>874</v>
      </c>
      <c r="AH1326" s="108" t="s">
        <v>31</v>
      </c>
      <c r="AI1326" s="128" t="s">
        <v>70</v>
      </c>
      <c r="AJ1326" s="129" t="s">
        <v>48</v>
      </c>
      <c r="AK1326" s="129">
        <v>8</v>
      </c>
      <c r="AL1326" s="3" t="s">
        <v>48</v>
      </c>
      <c r="AP1326" s="129" t="s">
        <v>108</v>
      </c>
      <c r="AR1326" s="128" t="s">
        <v>44</v>
      </c>
      <c r="AS1326" s="129" t="s">
        <v>61</v>
      </c>
      <c r="AY1326" s="123"/>
      <c r="BC1326" s="129" t="s">
        <v>38</v>
      </c>
      <c r="BF1326" s="111">
        <v>0</v>
      </c>
      <c r="BG1326" s="111">
        <v>0</v>
      </c>
      <c r="BH1326" s="111">
        <f t="shared" si="946"/>
        <v>772</v>
      </c>
      <c r="BI1326" s="111">
        <f t="shared" si="947"/>
        <v>28.885245901639344</v>
      </c>
      <c r="BJ1326" s="129" t="e">
        <f>(G1326-J1326)+(M1326-G1326)</f>
        <v>#VALUE!</v>
      </c>
      <c r="BK1326" s="129">
        <v>0</v>
      </c>
      <c r="BL1326" s="129" t="str">
        <f t="shared" si="978"/>
        <v>DEFERRED</v>
      </c>
      <c r="BM1326" s="129" t="s">
        <v>76</v>
      </c>
      <c r="BN1326" s="129" t="s">
        <v>88</v>
      </c>
      <c r="BP1326" s="137" t="str">
        <f t="shared" si="954"/>
        <v>DEFERRED</v>
      </c>
      <c r="BQ1326" s="128">
        <f t="shared" si="955"/>
        <v>0</v>
      </c>
      <c r="BR1326" s="129" t="s">
        <v>575</v>
      </c>
      <c r="BS1326" s="129" t="s">
        <v>1259</v>
      </c>
      <c r="BT1326" s="129" t="str">
        <f t="shared" si="958"/>
        <v>N</v>
      </c>
      <c r="BU1326" s="109">
        <f>IFERROR(Q1326/R1326,BR1326)</f>
        <v>0</v>
      </c>
      <c r="BV1326" s="139">
        <v>0</v>
      </c>
      <c r="BW1326" s="109">
        <v>0</v>
      </c>
      <c r="BX1326" s="111">
        <f t="shared" si="961"/>
        <v>0</v>
      </c>
      <c r="BY1326" s="129" t="e">
        <f t="shared" si="962"/>
        <v>#VALUE!</v>
      </c>
      <c r="BZ1326" s="111" t="e">
        <f t="shared" si="963"/>
        <v>#VALUE!</v>
      </c>
      <c r="CA1326" s="138" t="e">
        <f t="shared" si="964"/>
        <v>#VALUE!</v>
      </c>
      <c r="CB1326" s="111" t="e">
        <v>#VALUE!</v>
      </c>
      <c r="CC1326" s="129">
        <v>0</v>
      </c>
      <c r="CG1326" s="129" t="str">
        <f t="shared" si="965"/>
        <v>N</v>
      </c>
      <c r="CH1326" s="129" t="e">
        <v>#N/A</v>
      </c>
      <c r="CI1326" s="129" t="str">
        <f t="shared" si="966"/>
        <v>0-10 DAYS</v>
      </c>
      <c r="CJ1326" s="137">
        <f t="shared" si="967"/>
        <v>1</v>
      </c>
      <c r="CK1326" s="129" t="str">
        <f t="shared" si="968"/>
        <v>Not Booked</v>
      </c>
    </row>
    <row r="1327" spans="1:89" ht="15.75" customHeight="1" x14ac:dyDescent="0.25">
      <c r="A1327" s="111">
        <v>3105</v>
      </c>
      <c r="B1327" s="128" t="str">
        <f t="shared" si="949"/>
        <v>N</v>
      </c>
      <c r="C1327" s="128" t="str">
        <f t="shared" si="950"/>
        <v>N</v>
      </c>
      <c r="D1327" s="117">
        <v>1953469</v>
      </c>
      <c r="E1327" s="135">
        <f t="shared" si="951"/>
        <v>6</v>
      </c>
      <c r="F1327" s="124">
        <v>41023</v>
      </c>
      <c r="G1327" s="125">
        <v>41110</v>
      </c>
      <c r="H1327" s="117">
        <v>1953469</v>
      </c>
      <c r="I1327" s="124">
        <v>41024</v>
      </c>
      <c r="J1327" s="124">
        <v>41110</v>
      </c>
      <c r="K1327" s="126">
        <v>5000</v>
      </c>
      <c r="L1327" s="127" t="s">
        <v>569</v>
      </c>
      <c r="N1327" s="129" t="str">
        <f t="shared" ref="N1327:N1334" si="985">IF(M1327&gt;1/1/1,"Y","N")</f>
        <v>N</v>
      </c>
      <c r="O1327" s="128" t="s">
        <v>917</v>
      </c>
      <c r="P1327" s="129" t="s">
        <v>39</v>
      </c>
      <c r="Q1327" s="111">
        <f t="shared" si="983"/>
        <v>87</v>
      </c>
      <c r="R1327" s="111">
        <f t="shared" si="973"/>
        <v>88</v>
      </c>
      <c r="S1327" s="129">
        <v>4</v>
      </c>
      <c r="T1327" s="129">
        <v>2</v>
      </c>
      <c r="U1327" s="129">
        <v>2</v>
      </c>
      <c r="W1327" s="111"/>
      <c r="AC1327" s="130"/>
      <c r="AD1327" s="130">
        <v>30853</v>
      </c>
      <c r="AE1327" s="128" t="s">
        <v>32</v>
      </c>
      <c r="AF1327" s="128" t="s">
        <v>69</v>
      </c>
      <c r="AG1327" s="128" t="s">
        <v>874</v>
      </c>
      <c r="AH1327" s="108" t="s">
        <v>31</v>
      </c>
      <c r="AI1327" s="128" t="s">
        <v>87</v>
      </c>
      <c r="AJ1327" s="129" t="s">
        <v>89</v>
      </c>
      <c r="AK1327" s="129">
        <v>5</v>
      </c>
      <c r="AL1327" s="3" t="s">
        <v>362</v>
      </c>
      <c r="AM1327" s="117">
        <v>2</v>
      </c>
      <c r="AP1327" s="129" t="s">
        <v>121</v>
      </c>
      <c r="AR1327" s="128" t="s">
        <v>44</v>
      </c>
      <c r="AS1327" s="129" t="s">
        <v>122</v>
      </c>
      <c r="BC1327" s="129" t="s">
        <v>52</v>
      </c>
      <c r="BF1327" s="111">
        <f t="shared" ref="BF1327:BF1340" si="986">IF(J1327&gt;1/1/1900,((J1327+1)-I1327),"STILL OPEN")</f>
        <v>87</v>
      </c>
      <c r="BG1327" s="111">
        <f t="shared" si="984"/>
        <v>87</v>
      </c>
      <c r="BH1327" s="111">
        <f t="shared" si="946"/>
        <v>88</v>
      </c>
      <c r="BI1327" s="111">
        <f t="shared" si="947"/>
        <v>27.78688524590164</v>
      </c>
      <c r="BJ1327" s="129">
        <f t="shared" si="952"/>
        <v>0</v>
      </c>
      <c r="BK1327" s="129">
        <f t="shared" si="948"/>
        <v>0</v>
      </c>
      <c r="BL1327" s="129" t="str">
        <f t="shared" si="978"/>
        <v>CONVICTION</v>
      </c>
      <c r="BM1327" s="129" t="str">
        <f t="shared" si="953"/>
        <v>NONE</v>
      </c>
      <c r="BN1327" s="129" t="s">
        <v>566</v>
      </c>
      <c r="BP1327" s="137" t="str">
        <f t="shared" si="954"/>
        <v>CONVICTION</v>
      </c>
      <c r="BQ1327" s="128" t="str">
        <f t="shared" si="955"/>
        <v>Y</v>
      </c>
      <c r="BR1327" s="129" t="str">
        <f t="shared" si="956"/>
        <v>DETAINED</v>
      </c>
      <c r="BS1327" s="129" t="str">
        <f t="shared" si="957"/>
        <v>DISPOSED</v>
      </c>
      <c r="BT1327" s="129" t="str">
        <f t="shared" si="958"/>
        <v>Y</v>
      </c>
      <c r="BU1327" s="109">
        <f t="shared" si="959"/>
        <v>0.98863636363636365</v>
      </c>
      <c r="BV1327" s="109">
        <f t="shared" si="960"/>
        <v>1</v>
      </c>
      <c r="BW1327" s="109">
        <f t="shared" ref="BW1327:BW1332" si="987">BV1327-BU1327</f>
        <v>1.1363636363636354E-2</v>
      </c>
      <c r="BX1327" s="111">
        <f t="shared" si="961"/>
        <v>0</v>
      </c>
      <c r="BY1327" s="129">
        <f t="shared" si="962"/>
        <v>-87</v>
      </c>
      <c r="BZ1327" s="111">
        <f t="shared" si="963"/>
        <v>0</v>
      </c>
      <c r="CA1327" s="138">
        <f t="shared" si="964"/>
        <v>87</v>
      </c>
      <c r="CB1327" s="111" t="e">
        <f t="shared" ref="CB1327:CB1340" si="988">IF(AF1327&gt;1/1/1900,((AF1327+1)-AE1327),"STILL OPEN")</f>
        <v>#VALUE!</v>
      </c>
      <c r="CC1327" s="129">
        <f>G1327-I1327+1</f>
        <v>87</v>
      </c>
      <c r="CD1327" s="129">
        <f>G1327-J1327</f>
        <v>0</v>
      </c>
      <c r="CG1327" s="129" t="str">
        <f t="shared" si="965"/>
        <v>Y</v>
      </c>
      <c r="CI1327" s="129" t="str">
        <f t="shared" si="966"/>
        <v>61-90 DAYS</v>
      </c>
      <c r="CJ1327" s="137">
        <f t="shared" si="967"/>
        <v>4</v>
      </c>
      <c r="CK1327" s="129" t="str">
        <f t="shared" si="968"/>
        <v>Booked</v>
      </c>
    </row>
    <row r="1328" spans="1:89" ht="15" customHeight="1" x14ac:dyDescent="0.25">
      <c r="A1328" s="111">
        <v>2965</v>
      </c>
      <c r="B1328" s="128" t="str">
        <f t="shared" si="949"/>
        <v>N</v>
      </c>
      <c r="C1328" s="128" t="str">
        <f t="shared" si="950"/>
        <v>N</v>
      </c>
      <c r="D1328" s="117">
        <v>1954511</v>
      </c>
      <c r="E1328" s="135">
        <f t="shared" si="951"/>
        <v>5</v>
      </c>
      <c r="F1328" s="124">
        <v>41018</v>
      </c>
      <c r="G1328" s="125">
        <v>41019</v>
      </c>
      <c r="H1328" s="117">
        <v>1954511</v>
      </c>
      <c r="I1328" s="124">
        <v>41018</v>
      </c>
      <c r="J1328" s="124">
        <v>41019</v>
      </c>
      <c r="K1328" s="126">
        <v>15000</v>
      </c>
      <c r="L1328" s="127" t="s">
        <v>571</v>
      </c>
      <c r="N1328" s="129" t="str">
        <f t="shared" si="985"/>
        <v>N</v>
      </c>
      <c r="O1328" s="128" t="s">
        <v>917</v>
      </c>
      <c r="P1328" s="129" t="s">
        <v>39</v>
      </c>
      <c r="Q1328" s="111">
        <f t="shared" si="983"/>
        <v>2</v>
      </c>
      <c r="R1328" s="111">
        <f t="shared" si="973"/>
        <v>2</v>
      </c>
      <c r="S1328" s="129">
        <v>2</v>
      </c>
      <c r="T1328" s="129">
        <v>2</v>
      </c>
      <c r="U1328" s="129">
        <v>4</v>
      </c>
      <c r="W1328" s="115"/>
      <c r="X1328" s="114"/>
      <c r="Y1328" s="32"/>
      <c r="Z1328" s="32"/>
      <c r="AC1328" s="130"/>
      <c r="AD1328" s="130">
        <v>26610</v>
      </c>
      <c r="AE1328" s="128" t="s">
        <v>32</v>
      </c>
      <c r="AF1328" s="128" t="s">
        <v>69</v>
      </c>
      <c r="AG1328" s="128" t="s">
        <v>874</v>
      </c>
      <c r="AH1328" s="108" t="s">
        <v>31</v>
      </c>
      <c r="AI1328" s="128" t="s">
        <v>42</v>
      </c>
      <c r="AJ1328" s="129" t="s">
        <v>89</v>
      </c>
      <c r="AK1328" s="129">
        <v>1</v>
      </c>
      <c r="AL1328" s="3" t="s">
        <v>992</v>
      </c>
      <c r="AN1328" s="117">
        <v>6</v>
      </c>
      <c r="AP1328" s="129" t="s">
        <v>43</v>
      </c>
      <c r="AR1328" s="128" t="s">
        <v>44</v>
      </c>
      <c r="AS1328" s="129" t="s">
        <v>45</v>
      </c>
      <c r="BC1328" s="129" t="s">
        <v>38</v>
      </c>
      <c r="BF1328" s="111">
        <f t="shared" si="986"/>
        <v>2</v>
      </c>
      <c r="BG1328" s="111">
        <f t="shared" si="984"/>
        <v>2</v>
      </c>
      <c r="BH1328" s="111">
        <f t="shared" si="946"/>
        <v>2</v>
      </c>
      <c r="BI1328" s="111">
        <f t="shared" si="947"/>
        <v>39.366120218579233</v>
      </c>
      <c r="BJ1328" s="129">
        <f t="shared" si="952"/>
        <v>0</v>
      </c>
      <c r="BK1328" s="129">
        <f t="shared" si="948"/>
        <v>0</v>
      </c>
      <c r="BL1328" s="129" t="str">
        <f t="shared" si="978"/>
        <v>CONVICTION</v>
      </c>
      <c r="BM1328" s="129" t="str">
        <f t="shared" si="953"/>
        <v>NONE</v>
      </c>
      <c r="BN1328" s="129" t="s">
        <v>566</v>
      </c>
      <c r="BP1328" s="137" t="str">
        <f t="shared" si="954"/>
        <v>CONVICTION</v>
      </c>
      <c r="BQ1328" s="128" t="str">
        <f t="shared" si="955"/>
        <v>Y</v>
      </c>
      <c r="BR1328" s="129" t="str">
        <f t="shared" si="956"/>
        <v>DETAINED</v>
      </c>
      <c r="BS1328" s="129" t="str">
        <f t="shared" si="957"/>
        <v>DISPOSED</v>
      </c>
      <c r="BT1328" s="129" t="str">
        <f t="shared" si="958"/>
        <v>Y</v>
      </c>
      <c r="BU1328" s="109">
        <f t="shared" si="959"/>
        <v>1</v>
      </c>
      <c r="BV1328" s="109">
        <f t="shared" si="960"/>
        <v>1</v>
      </c>
      <c r="BW1328" s="109">
        <f t="shared" si="987"/>
        <v>0</v>
      </c>
      <c r="BX1328" s="111">
        <f t="shared" si="961"/>
        <v>0</v>
      </c>
      <c r="BY1328" s="129">
        <f t="shared" si="962"/>
        <v>-2</v>
      </c>
      <c r="BZ1328" s="111">
        <f t="shared" si="963"/>
        <v>0</v>
      </c>
      <c r="CA1328" s="138">
        <f t="shared" si="964"/>
        <v>2</v>
      </c>
      <c r="CB1328" s="111" t="e">
        <f t="shared" si="988"/>
        <v>#VALUE!</v>
      </c>
      <c r="CC1328" s="129">
        <f>G1328-I1328+1</f>
        <v>2</v>
      </c>
      <c r="CD1328" s="129">
        <f>G1328-J1328</f>
        <v>0</v>
      </c>
      <c r="CG1328" s="129" t="str">
        <f t="shared" si="965"/>
        <v>Y</v>
      </c>
      <c r="CI1328" s="129" t="str">
        <f t="shared" si="966"/>
        <v>0-10 DAYS</v>
      </c>
      <c r="CJ1328" s="137">
        <f t="shared" si="967"/>
        <v>1</v>
      </c>
      <c r="CK1328" s="129" t="str">
        <f t="shared" si="968"/>
        <v>Booked</v>
      </c>
    </row>
    <row r="1329" spans="1:89" ht="15" customHeight="1" x14ac:dyDescent="0.25">
      <c r="A1329" s="111">
        <v>449</v>
      </c>
      <c r="B1329" s="128" t="str">
        <f t="shared" si="949"/>
        <v>N</v>
      </c>
      <c r="C1329" s="128" t="str">
        <f t="shared" si="950"/>
        <v>N</v>
      </c>
      <c r="D1329" s="117">
        <v>1955962</v>
      </c>
      <c r="E1329" s="135">
        <f t="shared" si="951"/>
        <v>6</v>
      </c>
      <c r="F1329" s="124">
        <v>40927</v>
      </c>
      <c r="G1329" s="125">
        <v>41353</v>
      </c>
      <c r="H1329" s="117">
        <v>1955962</v>
      </c>
      <c r="I1329" s="124">
        <v>40935</v>
      </c>
      <c r="J1329" s="125">
        <v>41353</v>
      </c>
      <c r="K1329" s="126">
        <v>500000</v>
      </c>
      <c r="L1329" s="129" t="s">
        <v>572</v>
      </c>
      <c r="N1329" s="129" t="str">
        <f t="shared" si="985"/>
        <v>N</v>
      </c>
      <c r="O1329" s="128" t="s">
        <v>917</v>
      </c>
      <c r="P1329" s="129" t="s">
        <v>39</v>
      </c>
      <c r="Q1329" s="111">
        <f t="shared" si="983"/>
        <v>419</v>
      </c>
      <c r="R1329" s="111">
        <f t="shared" si="973"/>
        <v>427</v>
      </c>
      <c r="S1329" s="129">
        <v>1</v>
      </c>
      <c r="T1329" s="129">
        <v>7</v>
      </c>
      <c r="W1329" s="111"/>
      <c r="AC1329" s="130"/>
      <c r="AD1329" s="130">
        <v>31289</v>
      </c>
      <c r="AE1329" s="128" t="s">
        <v>32</v>
      </c>
      <c r="AF1329" s="128" t="s">
        <v>33</v>
      </c>
      <c r="AG1329" s="128" t="s">
        <v>872</v>
      </c>
      <c r="AH1329" s="108" t="s">
        <v>31</v>
      </c>
      <c r="AI1329" s="128" t="s">
        <v>71</v>
      </c>
      <c r="AJ1329" s="129" t="s">
        <v>89</v>
      </c>
      <c r="AK1329" s="129">
        <v>16</v>
      </c>
      <c r="AL1329" s="3" t="s">
        <v>362</v>
      </c>
      <c r="AM1329" s="117">
        <v>20</v>
      </c>
      <c r="AP1329" s="129" t="s">
        <v>105</v>
      </c>
      <c r="AR1329" s="128" t="s">
        <v>92</v>
      </c>
      <c r="AS1329" s="129" t="s">
        <v>106</v>
      </c>
      <c r="BC1329" s="129" t="s">
        <v>99</v>
      </c>
      <c r="BF1329" s="111">
        <f t="shared" si="986"/>
        <v>419</v>
      </c>
      <c r="BG1329" s="111">
        <f t="shared" si="984"/>
        <v>419</v>
      </c>
      <c r="BH1329" s="111">
        <f t="shared" si="946"/>
        <v>427</v>
      </c>
      <c r="BI1329" s="111">
        <f t="shared" si="947"/>
        <v>26.333333333333332</v>
      </c>
      <c r="BJ1329" s="129">
        <f t="shared" si="952"/>
        <v>0</v>
      </c>
      <c r="BK1329" s="129">
        <f t="shared" si="948"/>
        <v>0</v>
      </c>
      <c r="BL1329" s="129" t="str">
        <f t="shared" si="978"/>
        <v>CONVICTION</v>
      </c>
      <c r="BM1329" s="129" t="str">
        <f t="shared" si="953"/>
        <v>NONE</v>
      </c>
      <c r="BN1329" s="129" t="s">
        <v>566</v>
      </c>
      <c r="BP1329" s="137" t="str">
        <f t="shared" si="954"/>
        <v>CONVICTION</v>
      </c>
      <c r="BQ1329" s="128" t="str">
        <f t="shared" si="955"/>
        <v>Y</v>
      </c>
      <c r="BR1329" s="129" t="str">
        <f t="shared" si="956"/>
        <v>DETAINED</v>
      </c>
      <c r="BS1329" s="129" t="str">
        <f t="shared" si="957"/>
        <v>DISPOSED</v>
      </c>
      <c r="BT1329" s="129" t="str">
        <f t="shared" si="958"/>
        <v>Y</v>
      </c>
      <c r="BU1329" s="109">
        <f t="shared" si="959"/>
        <v>0.9812646370023419</v>
      </c>
      <c r="BV1329" s="109">
        <f t="shared" si="960"/>
        <v>1</v>
      </c>
      <c r="BW1329" s="109">
        <f t="shared" si="987"/>
        <v>1.87353629976581E-2</v>
      </c>
      <c r="BX1329" s="111">
        <f t="shared" si="961"/>
        <v>0</v>
      </c>
      <c r="BY1329" s="129">
        <f t="shared" si="962"/>
        <v>-419</v>
      </c>
      <c r="BZ1329" s="111">
        <f t="shared" si="963"/>
        <v>0</v>
      </c>
      <c r="CA1329" s="138">
        <f t="shared" si="964"/>
        <v>419</v>
      </c>
      <c r="CB1329" s="111" t="e">
        <f t="shared" si="988"/>
        <v>#VALUE!</v>
      </c>
      <c r="CC1329" s="129">
        <f>G1329-I1329+1</f>
        <v>419</v>
      </c>
      <c r="CD1329" s="129">
        <f>G1329-J1329</f>
        <v>0</v>
      </c>
      <c r="CG1329" s="129" t="str">
        <f t="shared" si="965"/>
        <v>Y</v>
      </c>
      <c r="CI1329" s="129" t="str">
        <f t="shared" si="966"/>
        <v xml:space="preserve"> &gt;1YRS&lt;2YRS</v>
      </c>
      <c r="CJ1329" s="137">
        <f t="shared" si="967"/>
        <v>0</v>
      </c>
      <c r="CK1329" s="129" t="str">
        <f t="shared" si="968"/>
        <v>Booked</v>
      </c>
    </row>
    <row r="1330" spans="1:89" ht="15.75" customHeight="1" x14ac:dyDescent="0.25">
      <c r="A1330" s="111">
        <v>2275</v>
      </c>
      <c r="B1330" s="128" t="str">
        <f t="shared" si="949"/>
        <v>N</v>
      </c>
      <c r="C1330" s="128" t="str">
        <f t="shared" si="950"/>
        <v>N</v>
      </c>
      <c r="D1330" s="117">
        <v>1957734</v>
      </c>
      <c r="E1330" s="135">
        <f t="shared" si="951"/>
        <v>5</v>
      </c>
      <c r="F1330" s="124">
        <v>40995</v>
      </c>
      <c r="G1330" s="125">
        <v>41072</v>
      </c>
      <c r="H1330" s="117">
        <v>1957734</v>
      </c>
      <c r="I1330" s="124">
        <v>40995</v>
      </c>
      <c r="J1330" s="124">
        <v>41072</v>
      </c>
      <c r="K1330" s="126">
        <v>15000</v>
      </c>
      <c r="L1330" s="127" t="s">
        <v>571</v>
      </c>
      <c r="N1330" s="129" t="str">
        <f t="shared" si="985"/>
        <v>N</v>
      </c>
      <c r="O1330" s="128" t="s">
        <v>917</v>
      </c>
      <c r="P1330" s="129" t="s">
        <v>39</v>
      </c>
      <c r="Q1330" s="111">
        <f t="shared" si="983"/>
        <v>78</v>
      </c>
      <c r="R1330" s="111">
        <f t="shared" si="973"/>
        <v>78</v>
      </c>
      <c r="S1330" s="129">
        <v>3</v>
      </c>
      <c r="T1330" s="129">
        <v>6</v>
      </c>
      <c r="U1330" s="129">
        <v>2</v>
      </c>
      <c r="W1330" s="111"/>
      <c r="AC1330" s="130"/>
      <c r="AD1330" s="130">
        <v>31227</v>
      </c>
      <c r="AE1330" s="128" t="s">
        <v>32</v>
      </c>
      <c r="AF1330" s="128" t="s">
        <v>69</v>
      </c>
      <c r="AG1330" s="128" t="s">
        <v>874</v>
      </c>
      <c r="AH1330" s="108" t="s">
        <v>31</v>
      </c>
      <c r="AI1330" s="128" t="s">
        <v>72</v>
      </c>
      <c r="AJ1330" s="129" t="s">
        <v>89</v>
      </c>
      <c r="AK1330" s="129">
        <v>3</v>
      </c>
      <c r="AL1330" s="3" t="s">
        <v>992</v>
      </c>
      <c r="AN1330" s="117">
        <v>6</v>
      </c>
      <c r="AP1330" s="129" t="s">
        <v>43</v>
      </c>
      <c r="AR1330" s="128" t="s">
        <v>44</v>
      </c>
      <c r="AS1330" s="129" t="s">
        <v>45</v>
      </c>
      <c r="BC1330" s="129" t="s">
        <v>38</v>
      </c>
      <c r="BF1330" s="111">
        <f t="shared" si="986"/>
        <v>78</v>
      </c>
      <c r="BG1330" s="111">
        <f t="shared" si="984"/>
        <v>78</v>
      </c>
      <c r="BH1330" s="111">
        <f t="shared" si="946"/>
        <v>78</v>
      </c>
      <c r="BI1330" s="111">
        <f t="shared" si="947"/>
        <v>26.688524590163933</v>
      </c>
      <c r="BJ1330" s="129">
        <f t="shared" si="952"/>
        <v>0</v>
      </c>
      <c r="BK1330" s="129">
        <f t="shared" si="948"/>
        <v>0</v>
      </c>
      <c r="BL1330" s="129" t="str">
        <f t="shared" si="978"/>
        <v>CONVICTION</v>
      </c>
      <c r="BM1330" s="129" t="str">
        <f t="shared" si="953"/>
        <v>NONE</v>
      </c>
      <c r="BN1330" s="129" t="s">
        <v>566</v>
      </c>
      <c r="BP1330" s="137" t="str">
        <f t="shared" si="954"/>
        <v>CONVICTION</v>
      </c>
      <c r="BQ1330" s="128" t="str">
        <f t="shared" si="955"/>
        <v>Y</v>
      </c>
      <c r="BR1330" s="129" t="str">
        <f t="shared" si="956"/>
        <v>DETAINED</v>
      </c>
      <c r="BS1330" s="129" t="str">
        <f t="shared" si="957"/>
        <v>DISPOSED</v>
      </c>
      <c r="BT1330" s="129" t="str">
        <f t="shared" si="958"/>
        <v>Y</v>
      </c>
      <c r="BU1330" s="109">
        <f t="shared" si="959"/>
        <v>1</v>
      </c>
      <c r="BV1330" s="109">
        <f t="shared" si="960"/>
        <v>1</v>
      </c>
      <c r="BW1330" s="109">
        <f t="shared" si="987"/>
        <v>0</v>
      </c>
      <c r="BX1330" s="111">
        <f t="shared" si="961"/>
        <v>0</v>
      </c>
      <c r="BY1330" s="129">
        <f t="shared" si="962"/>
        <v>-78</v>
      </c>
      <c r="BZ1330" s="111">
        <f t="shared" si="963"/>
        <v>0</v>
      </c>
      <c r="CA1330" s="138">
        <f t="shared" si="964"/>
        <v>78</v>
      </c>
      <c r="CB1330" s="111" t="e">
        <f t="shared" si="988"/>
        <v>#VALUE!</v>
      </c>
      <c r="CC1330" s="129">
        <f>G1330-I1330+1</f>
        <v>78</v>
      </c>
      <c r="CD1330" s="129">
        <f>G1330-J1330</f>
        <v>0</v>
      </c>
      <c r="CG1330" s="129" t="str">
        <f t="shared" si="965"/>
        <v>Y</v>
      </c>
      <c r="CI1330" s="129" t="str">
        <f t="shared" si="966"/>
        <v>61-90 DAYS</v>
      </c>
      <c r="CJ1330" s="137">
        <f t="shared" si="967"/>
        <v>4</v>
      </c>
      <c r="CK1330" s="129" t="str">
        <f t="shared" si="968"/>
        <v>Booked</v>
      </c>
    </row>
    <row r="1331" spans="1:89" ht="15" customHeight="1" x14ac:dyDescent="0.25">
      <c r="A1331" s="111">
        <v>3008</v>
      </c>
      <c r="B1331" s="128" t="str">
        <f t="shared" si="949"/>
        <v>N</v>
      </c>
      <c r="C1331" s="128" t="str">
        <f t="shared" si="950"/>
        <v>N</v>
      </c>
      <c r="D1331" s="117">
        <v>1958599</v>
      </c>
      <c r="E1331" s="135">
        <f t="shared" si="951"/>
        <v>2</v>
      </c>
      <c r="F1331" s="124">
        <v>41019</v>
      </c>
      <c r="G1331" s="125">
        <v>41144</v>
      </c>
      <c r="H1331" s="117">
        <v>1958599</v>
      </c>
      <c r="I1331" s="124">
        <v>41020</v>
      </c>
      <c r="J1331" s="124">
        <v>41021</v>
      </c>
      <c r="K1331" s="126">
        <v>2000</v>
      </c>
      <c r="L1331" s="127" t="s">
        <v>568</v>
      </c>
      <c r="M1331" s="125">
        <v>41021</v>
      </c>
      <c r="N1331" s="129" t="str">
        <f t="shared" si="985"/>
        <v>Y</v>
      </c>
      <c r="O1331" s="128" t="s">
        <v>76</v>
      </c>
      <c r="P1331" s="129" t="s">
        <v>589</v>
      </c>
      <c r="Q1331" s="111">
        <f t="shared" si="983"/>
        <v>2</v>
      </c>
      <c r="R1331" s="111">
        <f t="shared" si="973"/>
        <v>126</v>
      </c>
      <c r="S1331" s="129">
        <v>0</v>
      </c>
      <c r="T1331" s="129">
        <v>2</v>
      </c>
      <c r="W1331" s="111"/>
      <c r="AC1331" s="130"/>
      <c r="AD1331" s="130">
        <v>30334</v>
      </c>
      <c r="AE1331" s="128" t="s">
        <v>46</v>
      </c>
      <c r="AF1331" s="128" t="s">
        <v>33</v>
      </c>
      <c r="AG1331" s="128" t="s">
        <v>872</v>
      </c>
      <c r="AH1331" s="108" t="s">
        <v>31</v>
      </c>
      <c r="AI1331" s="128" t="s">
        <v>95</v>
      </c>
      <c r="AJ1331" s="129" t="s">
        <v>48</v>
      </c>
      <c r="AK1331" s="129">
        <v>5</v>
      </c>
      <c r="AL1331" s="3" t="s">
        <v>48</v>
      </c>
      <c r="AP1331" s="129" t="s">
        <v>139</v>
      </c>
      <c r="AR1331" s="128" t="s">
        <v>44</v>
      </c>
      <c r="AS1331" s="129" t="s">
        <v>64</v>
      </c>
      <c r="BC1331" s="129" t="s">
        <v>52</v>
      </c>
      <c r="BF1331" s="111">
        <f t="shared" si="986"/>
        <v>2</v>
      </c>
      <c r="BG1331" s="111">
        <f t="shared" si="984"/>
        <v>125</v>
      </c>
      <c r="BH1331" s="111">
        <f t="shared" si="946"/>
        <v>126</v>
      </c>
      <c r="BI1331" s="111">
        <f t="shared" si="947"/>
        <v>29.193989071038253</v>
      </c>
      <c r="BJ1331" s="129">
        <f>(G1331-J1331)+(M1331-G1331)</f>
        <v>0</v>
      </c>
      <c r="BK1331" s="129">
        <f t="shared" si="948"/>
        <v>-123</v>
      </c>
      <c r="BL1331" s="129" t="str">
        <f t="shared" si="978"/>
        <v>DEFERRED</v>
      </c>
      <c r="BM1331" s="129" t="s">
        <v>76</v>
      </c>
      <c r="BN1331" s="129" t="s">
        <v>88</v>
      </c>
      <c r="BP1331" s="137" t="str">
        <f t="shared" si="954"/>
        <v>DEFERRED</v>
      </c>
      <c r="BQ1331" s="128" t="str">
        <f t="shared" si="955"/>
        <v>Y</v>
      </c>
      <c r="BR1331" s="129" t="str">
        <f t="shared" si="956"/>
        <v>ON BOND</v>
      </c>
      <c r="BS1331" s="129" t="str">
        <f t="shared" si="957"/>
        <v>DISPOSED</v>
      </c>
      <c r="BT1331" s="129" t="str">
        <f t="shared" si="958"/>
        <v>N</v>
      </c>
      <c r="BU1331" s="109">
        <f t="shared" si="959"/>
        <v>1.5873015873015872E-2</v>
      </c>
      <c r="BV1331" s="109">
        <f t="shared" si="960"/>
        <v>1.6E-2</v>
      </c>
      <c r="BW1331" s="109">
        <f t="shared" si="987"/>
        <v>1.269841269841282E-4</v>
      </c>
      <c r="BX1331" s="111">
        <f t="shared" si="961"/>
        <v>0</v>
      </c>
      <c r="BY1331" s="129">
        <f t="shared" si="962"/>
        <v>-2</v>
      </c>
      <c r="BZ1331" s="111">
        <f t="shared" si="963"/>
        <v>0</v>
      </c>
      <c r="CA1331" s="138">
        <f t="shared" si="964"/>
        <v>2</v>
      </c>
      <c r="CB1331" s="111" t="e">
        <f t="shared" si="988"/>
        <v>#VALUE!</v>
      </c>
      <c r="CC1331" s="129">
        <f>M1331-I1331+1</f>
        <v>2</v>
      </c>
      <c r="CD1331" s="111">
        <f>CC1331-BF1331</f>
        <v>0</v>
      </c>
      <c r="CG1331" s="129" t="str">
        <f t="shared" si="965"/>
        <v>Y</v>
      </c>
      <c r="CI1331" s="129" t="str">
        <f t="shared" si="966"/>
        <v>0-10 DAYS</v>
      </c>
      <c r="CJ1331" s="137">
        <f t="shared" si="967"/>
        <v>1</v>
      </c>
      <c r="CK1331" s="129" t="str">
        <f t="shared" si="968"/>
        <v>Booked</v>
      </c>
    </row>
    <row r="1332" spans="1:89" ht="15.75" customHeight="1" x14ac:dyDescent="0.25">
      <c r="A1332" s="111">
        <v>1062</v>
      </c>
      <c r="B1332" s="128" t="str">
        <f t="shared" si="949"/>
        <v>N</v>
      </c>
      <c r="C1332" s="128" t="str">
        <f t="shared" si="950"/>
        <v>N</v>
      </c>
      <c r="D1332" s="117">
        <v>1958608</v>
      </c>
      <c r="E1332" s="135">
        <f t="shared" si="951"/>
        <v>4</v>
      </c>
      <c r="F1332" s="124">
        <v>40948</v>
      </c>
      <c r="G1332" s="125">
        <v>41096</v>
      </c>
      <c r="H1332" s="117">
        <v>1958608</v>
      </c>
      <c r="I1332" s="124">
        <v>40948</v>
      </c>
      <c r="J1332" s="124">
        <v>40956</v>
      </c>
      <c r="K1332" s="126">
        <v>5000</v>
      </c>
      <c r="L1332" s="127" t="s">
        <v>569</v>
      </c>
      <c r="M1332" s="125">
        <v>40956</v>
      </c>
      <c r="N1332" s="129" t="str">
        <f t="shared" si="985"/>
        <v>Y</v>
      </c>
      <c r="O1332" s="128" t="s">
        <v>585</v>
      </c>
      <c r="P1332" s="129" t="s">
        <v>39</v>
      </c>
      <c r="Q1332" s="111">
        <f t="shared" si="983"/>
        <v>9</v>
      </c>
      <c r="R1332" s="111">
        <f t="shared" si="973"/>
        <v>149</v>
      </c>
      <c r="S1332" s="129">
        <v>0</v>
      </c>
      <c r="T1332" s="129">
        <v>1</v>
      </c>
      <c r="W1332" s="111"/>
      <c r="AC1332" s="130"/>
      <c r="AD1332" s="130">
        <v>22660</v>
      </c>
      <c r="AE1332" s="128" t="s">
        <v>32</v>
      </c>
      <c r="AF1332" s="128" t="s">
        <v>69</v>
      </c>
      <c r="AG1332" s="128" t="s">
        <v>874</v>
      </c>
      <c r="AH1332" s="108" t="s">
        <v>31</v>
      </c>
      <c r="AI1332" s="128" t="s">
        <v>62</v>
      </c>
      <c r="AJ1332" s="129" t="s">
        <v>89</v>
      </c>
      <c r="AK1332" s="129">
        <v>6</v>
      </c>
      <c r="AL1332" s="3" t="s">
        <v>991</v>
      </c>
      <c r="AO1332" s="128">
        <v>90</v>
      </c>
      <c r="AP1332" s="129" t="s">
        <v>66</v>
      </c>
      <c r="AR1332" s="128" t="s">
        <v>67</v>
      </c>
      <c r="AS1332" s="129" t="s">
        <v>68</v>
      </c>
      <c r="BC1332" s="129" t="s">
        <v>38</v>
      </c>
      <c r="BF1332" s="111">
        <f t="shared" si="986"/>
        <v>9</v>
      </c>
      <c r="BG1332" s="111">
        <f t="shared" si="984"/>
        <v>149</v>
      </c>
      <c r="BH1332" s="111">
        <f t="shared" si="946"/>
        <v>149</v>
      </c>
      <c r="BI1332" s="111">
        <f t="shared" si="947"/>
        <v>49.967213114754095</v>
      </c>
      <c r="BJ1332" s="129">
        <f>(G1332-J1332)+(M1332-G1332)</f>
        <v>0</v>
      </c>
      <c r="BK1332" s="129">
        <f t="shared" si="948"/>
        <v>-140</v>
      </c>
      <c r="BL1332" s="129" t="str">
        <f t="shared" si="978"/>
        <v>CONVICTION</v>
      </c>
      <c r="BM1332" s="129" t="s">
        <v>76</v>
      </c>
      <c r="BN1332" s="129" t="s">
        <v>88</v>
      </c>
      <c r="BP1332" s="137" t="str">
        <f t="shared" si="954"/>
        <v>CONVICTION</v>
      </c>
      <c r="BQ1332" s="128" t="str">
        <f t="shared" si="955"/>
        <v>Y</v>
      </c>
      <c r="BR1332" s="129" t="str">
        <f>IF(J1332&lt;G1332,"ON BOND",0)</f>
        <v>ON BOND</v>
      </c>
      <c r="BS1332" s="129" t="str">
        <f t="shared" si="957"/>
        <v>DISPOSED</v>
      </c>
      <c r="BT1332" s="129" t="str">
        <f t="shared" si="958"/>
        <v>N</v>
      </c>
      <c r="BU1332" s="109">
        <f t="shared" si="959"/>
        <v>6.0402684563758392E-2</v>
      </c>
      <c r="BV1332" s="109">
        <f t="shared" si="960"/>
        <v>6.0402684563758392E-2</v>
      </c>
      <c r="BW1332" s="109">
        <f t="shared" si="987"/>
        <v>0</v>
      </c>
      <c r="BX1332" s="111">
        <f t="shared" si="961"/>
        <v>0</v>
      </c>
      <c r="BY1332" s="129">
        <f t="shared" si="962"/>
        <v>-9</v>
      </c>
      <c r="BZ1332" s="111">
        <f t="shared" si="963"/>
        <v>0</v>
      </c>
      <c r="CA1332" s="138">
        <f t="shared" si="964"/>
        <v>9</v>
      </c>
      <c r="CB1332" s="111" t="e">
        <f t="shared" si="988"/>
        <v>#VALUE!</v>
      </c>
      <c r="CC1332" s="129">
        <f>M1332-I1332+1</f>
        <v>9</v>
      </c>
      <c r="CD1332" s="111">
        <f>CC1332-BF1332</f>
        <v>0</v>
      </c>
      <c r="CG1332" s="129" t="str">
        <f t="shared" si="965"/>
        <v>Y</v>
      </c>
      <c r="CI1332" s="129" t="str">
        <f t="shared" si="966"/>
        <v>0-10 DAYS</v>
      </c>
      <c r="CJ1332" s="137">
        <f t="shared" si="967"/>
        <v>1</v>
      </c>
      <c r="CK1332" s="129" t="str">
        <f t="shared" si="968"/>
        <v>Booked</v>
      </c>
    </row>
    <row r="1333" spans="1:89" ht="15" customHeight="1" x14ac:dyDescent="0.25">
      <c r="A1333" s="111">
        <v>3036</v>
      </c>
      <c r="B1333" s="128" t="str">
        <f t="shared" si="949"/>
        <v>Y</v>
      </c>
      <c r="C1333" s="128" t="str">
        <f t="shared" si="950"/>
        <v>Y</v>
      </c>
      <c r="D1333" s="117">
        <v>1959517</v>
      </c>
      <c r="E1333" s="135">
        <f t="shared" si="951"/>
        <v>2</v>
      </c>
      <c r="F1333" s="124">
        <v>41021</v>
      </c>
      <c r="G1333" s="125">
        <v>41660</v>
      </c>
      <c r="H1333" s="117">
        <v>1959517</v>
      </c>
      <c r="I1333" s="124">
        <v>41021</v>
      </c>
      <c r="J1333" s="124">
        <v>41025</v>
      </c>
      <c r="K1333" s="126">
        <v>15000</v>
      </c>
      <c r="L1333" s="127" t="s">
        <v>571</v>
      </c>
      <c r="M1333" s="125">
        <v>41025</v>
      </c>
      <c r="N1333" s="129" t="str">
        <f t="shared" si="985"/>
        <v>Y</v>
      </c>
      <c r="O1333" s="128" t="s">
        <v>76</v>
      </c>
      <c r="P1333" s="129" t="s">
        <v>589</v>
      </c>
      <c r="Q1333" s="111">
        <v>137</v>
      </c>
      <c r="R1333" s="111">
        <f t="shared" si="973"/>
        <v>640</v>
      </c>
      <c r="S1333" s="129">
        <v>2</v>
      </c>
      <c r="T1333" s="129">
        <v>0</v>
      </c>
      <c r="W1333" s="111"/>
      <c r="AC1333" s="130"/>
      <c r="AD1333" s="130">
        <v>21181</v>
      </c>
      <c r="AE1333" s="128" t="s">
        <v>32</v>
      </c>
      <c r="AF1333" s="128" t="s">
        <v>33</v>
      </c>
      <c r="AG1333" s="128" t="s">
        <v>872</v>
      </c>
      <c r="AH1333" s="108" t="s">
        <v>58</v>
      </c>
      <c r="AI1333" s="128" t="s">
        <v>95</v>
      </c>
      <c r="AJ1333" s="129" t="s">
        <v>48</v>
      </c>
      <c r="AK1333" s="129">
        <v>16</v>
      </c>
      <c r="AL1333" s="3" t="s">
        <v>48</v>
      </c>
      <c r="AP1333" s="129" t="s">
        <v>43</v>
      </c>
      <c r="AR1333" s="128" t="s">
        <v>44</v>
      </c>
      <c r="AS1333" s="129" t="s">
        <v>45</v>
      </c>
      <c r="AT1333" s="129" t="s">
        <v>1363</v>
      </c>
      <c r="AU1333" s="3" t="s">
        <v>1364</v>
      </c>
      <c r="AX1333" s="32" t="s">
        <v>88</v>
      </c>
      <c r="BC1333" s="129" t="s">
        <v>38</v>
      </c>
      <c r="BD1333" s="129" t="s">
        <v>1365</v>
      </c>
      <c r="BF1333" s="111">
        <v>137</v>
      </c>
      <c r="BG1333" s="111">
        <f t="shared" si="984"/>
        <v>640</v>
      </c>
      <c r="BH1333" s="111">
        <f t="shared" si="946"/>
        <v>640</v>
      </c>
      <c r="BI1333" s="111">
        <f t="shared" si="947"/>
        <v>54.207650273224047</v>
      </c>
      <c r="BJ1333" s="129">
        <f>(G1333-J1333)+(M1333-G1333)</f>
        <v>0</v>
      </c>
      <c r="BK1333" s="129">
        <f t="shared" si="948"/>
        <v>-635</v>
      </c>
      <c r="BL1333" s="129" t="str">
        <f t="shared" si="978"/>
        <v>DEFERRED</v>
      </c>
      <c r="BM1333" s="129" t="s">
        <v>76</v>
      </c>
      <c r="BN1333" s="129" t="s">
        <v>88</v>
      </c>
      <c r="BP1333" s="137" t="str">
        <f t="shared" si="954"/>
        <v>DEFERRED</v>
      </c>
      <c r="BQ1333" s="128" t="str">
        <f t="shared" si="955"/>
        <v>Y</v>
      </c>
      <c r="BR1333" s="129" t="str">
        <f t="shared" ref="BR1333" si="989">IF(AND(J1333="NOT BOOKED",M1333&gt;1/1/1),"BONDED - BEFORE BOOKED",IF(BG1333="STILL OPEN","STILL OPEN",IF(N1333="Y","ON BOND",IF(J1333&gt;=G1333,"DETAINED","RELEASED"))))</f>
        <v>ON BOND</v>
      </c>
      <c r="BS1333" s="129" t="s">
        <v>1259</v>
      </c>
      <c r="BT1333" s="129" t="str">
        <f t="shared" si="958"/>
        <v>Y</v>
      </c>
      <c r="BU1333" s="109">
        <f>IFERROR(Q1333/R1333,BR1333)</f>
        <v>0.21406249999999999</v>
      </c>
      <c r="BV1333" s="139">
        <v>0.21410000000000001</v>
      </c>
      <c r="BW1333" s="109">
        <v>0</v>
      </c>
      <c r="BX1333" s="111">
        <f t="shared" si="961"/>
        <v>0</v>
      </c>
      <c r="BY1333" s="129">
        <f t="shared" si="962"/>
        <v>-5</v>
      </c>
      <c r="BZ1333" s="111">
        <f t="shared" si="963"/>
        <v>132</v>
      </c>
      <c r="CA1333" s="138">
        <v>137</v>
      </c>
      <c r="CB1333" s="111" t="e">
        <v>#VALUE!</v>
      </c>
      <c r="CC1333" s="129">
        <v>137</v>
      </c>
      <c r="CG1333" s="129" t="str">
        <f t="shared" si="965"/>
        <v>Y</v>
      </c>
      <c r="CH1333" s="129" t="e">
        <v>#N/A</v>
      </c>
      <c r="CI1333" s="129" t="str">
        <f t="shared" si="966"/>
        <v>121-365 DAYS</v>
      </c>
      <c r="CJ1333" s="137">
        <f t="shared" si="967"/>
        <v>6</v>
      </c>
      <c r="CK1333" s="129" t="str">
        <f t="shared" si="968"/>
        <v>Booked</v>
      </c>
    </row>
    <row r="1334" spans="1:89" ht="15.75" customHeight="1" x14ac:dyDescent="0.25">
      <c r="A1334" s="111">
        <v>1246</v>
      </c>
      <c r="B1334" s="128" t="str">
        <f t="shared" si="949"/>
        <v>N</v>
      </c>
      <c r="C1334" s="128" t="str">
        <f t="shared" si="950"/>
        <v>N</v>
      </c>
      <c r="D1334" s="117">
        <v>1960356</v>
      </c>
      <c r="E1334" s="135">
        <f t="shared" si="951"/>
        <v>6</v>
      </c>
      <c r="F1334" s="124">
        <v>40954</v>
      </c>
      <c r="G1334" s="125">
        <v>40956</v>
      </c>
      <c r="H1334" s="117">
        <v>1960356</v>
      </c>
      <c r="I1334" s="124">
        <v>40955</v>
      </c>
      <c r="J1334" s="124">
        <v>40956</v>
      </c>
      <c r="K1334" s="126">
        <v>15000</v>
      </c>
      <c r="L1334" s="127" t="s">
        <v>571</v>
      </c>
      <c r="N1334" s="129" t="str">
        <f t="shared" si="985"/>
        <v>N</v>
      </c>
      <c r="O1334" s="128" t="s">
        <v>917</v>
      </c>
      <c r="P1334" s="129" t="s">
        <v>39</v>
      </c>
      <c r="Q1334" s="111">
        <f t="shared" si="983"/>
        <v>2</v>
      </c>
      <c r="R1334" s="111">
        <f t="shared" si="973"/>
        <v>3</v>
      </c>
      <c r="S1334" s="129">
        <v>6</v>
      </c>
      <c r="T1334" s="129">
        <v>11</v>
      </c>
      <c r="U1334" s="129">
        <v>4</v>
      </c>
      <c r="W1334" s="111"/>
      <c r="AC1334" s="130"/>
      <c r="AD1334" s="130">
        <v>30485</v>
      </c>
      <c r="AE1334" s="128" t="s">
        <v>32</v>
      </c>
      <c r="AF1334" s="128" t="s">
        <v>40</v>
      </c>
      <c r="AG1334" s="128" t="s">
        <v>41</v>
      </c>
      <c r="AH1334" s="108" t="s">
        <v>41</v>
      </c>
      <c r="AI1334" s="128" t="s">
        <v>114</v>
      </c>
      <c r="AJ1334" s="129" t="s">
        <v>89</v>
      </c>
      <c r="AK1334" s="129">
        <v>1</v>
      </c>
      <c r="AL1334" s="3" t="s">
        <v>362</v>
      </c>
      <c r="AM1334" s="117">
        <v>2</v>
      </c>
      <c r="AP1334" s="129" t="s">
        <v>107</v>
      </c>
      <c r="AR1334" s="128" t="s">
        <v>44</v>
      </c>
      <c r="AS1334" s="129" t="s">
        <v>57</v>
      </c>
      <c r="BC1334" s="129" t="s">
        <v>38</v>
      </c>
      <c r="BF1334" s="111">
        <f t="shared" si="986"/>
        <v>2</v>
      </c>
      <c r="BG1334" s="111">
        <f t="shared" si="984"/>
        <v>2</v>
      </c>
      <c r="BH1334" s="111">
        <f t="shared" si="946"/>
        <v>3</v>
      </c>
      <c r="BI1334" s="111">
        <f t="shared" si="947"/>
        <v>28.603825136612024</v>
      </c>
      <c r="BJ1334" s="129">
        <f t="shared" si="952"/>
        <v>0</v>
      </c>
      <c r="BK1334" s="129">
        <f t="shared" si="948"/>
        <v>0</v>
      </c>
      <c r="BL1334" s="129" t="str">
        <f t="shared" si="978"/>
        <v>CONVICTION</v>
      </c>
      <c r="BM1334" s="129" t="str">
        <f t="shared" si="953"/>
        <v>NONE</v>
      </c>
      <c r="BN1334" s="129" t="s">
        <v>566</v>
      </c>
      <c r="BP1334" s="137" t="str">
        <f t="shared" si="954"/>
        <v>CONVICTION</v>
      </c>
      <c r="BQ1334" s="128" t="str">
        <f t="shared" si="955"/>
        <v>Y</v>
      </c>
      <c r="BR1334" s="129" t="str">
        <f t="shared" si="956"/>
        <v>DETAINED</v>
      </c>
      <c r="BS1334" s="129" t="str">
        <f t="shared" si="957"/>
        <v>DISPOSED</v>
      </c>
      <c r="BT1334" s="129" t="str">
        <f t="shared" si="958"/>
        <v>Y</v>
      </c>
      <c r="BU1334" s="109">
        <f t="shared" si="959"/>
        <v>0.66666666666666663</v>
      </c>
      <c r="BV1334" s="109">
        <f t="shared" si="960"/>
        <v>1</v>
      </c>
      <c r="BW1334" s="109">
        <f t="shared" ref="BW1334:BW1397" si="990">BV1334-BU1334</f>
        <v>0.33333333333333337</v>
      </c>
      <c r="BX1334" s="111">
        <f t="shared" si="961"/>
        <v>0</v>
      </c>
      <c r="BY1334" s="129">
        <f t="shared" si="962"/>
        <v>-2</v>
      </c>
      <c r="BZ1334" s="111">
        <f t="shared" si="963"/>
        <v>0</v>
      </c>
      <c r="CA1334" s="138">
        <f t="shared" si="964"/>
        <v>2</v>
      </c>
      <c r="CB1334" s="111" t="e">
        <f t="shared" si="988"/>
        <v>#VALUE!</v>
      </c>
      <c r="CC1334" s="129">
        <f>G1334-I1334+1</f>
        <v>2</v>
      </c>
      <c r="CD1334" s="129">
        <f>G1334-J1334</f>
        <v>0</v>
      </c>
      <c r="CG1334" s="129" t="str">
        <f t="shared" si="965"/>
        <v>Y</v>
      </c>
      <c r="CI1334" s="129" t="str">
        <f t="shared" si="966"/>
        <v>0-10 DAYS</v>
      </c>
      <c r="CJ1334" s="137">
        <f t="shared" si="967"/>
        <v>1</v>
      </c>
      <c r="CK1334" s="129" t="str">
        <f t="shared" si="968"/>
        <v>Booked</v>
      </c>
    </row>
    <row r="1335" spans="1:89" ht="15" customHeight="1" x14ac:dyDescent="0.25">
      <c r="A1335" s="111">
        <v>559</v>
      </c>
      <c r="B1335" s="128" t="str">
        <f t="shared" si="949"/>
        <v>N</v>
      </c>
      <c r="C1335" s="128" t="str">
        <f t="shared" si="950"/>
        <v>N</v>
      </c>
      <c r="D1335" s="117">
        <v>1961234</v>
      </c>
      <c r="E1335" s="135">
        <f t="shared" si="951"/>
        <v>6</v>
      </c>
      <c r="F1335" s="124">
        <v>40931</v>
      </c>
      <c r="G1335" s="125">
        <v>41108</v>
      </c>
      <c r="H1335" s="117">
        <v>1961234</v>
      </c>
      <c r="I1335" s="124">
        <v>40931</v>
      </c>
      <c r="J1335" s="124">
        <v>41108</v>
      </c>
      <c r="K1335" s="126" t="s">
        <v>564</v>
      </c>
      <c r="L1335" s="127" t="s">
        <v>564</v>
      </c>
      <c r="N1335" s="129" t="s">
        <v>566</v>
      </c>
      <c r="O1335" s="128" t="s">
        <v>917</v>
      </c>
      <c r="P1335" s="129" t="s">
        <v>39</v>
      </c>
      <c r="Q1335" s="111">
        <f t="shared" si="983"/>
        <v>178</v>
      </c>
      <c r="R1335" s="111">
        <f t="shared" si="973"/>
        <v>178</v>
      </c>
      <c r="S1335" s="129">
        <v>3</v>
      </c>
      <c r="T1335" s="129">
        <v>5</v>
      </c>
      <c r="U1335" s="129">
        <v>3</v>
      </c>
      <c r="W1335" s="111"/>
      <c r="AC1335" s="130"/>
      <c r="AD1335" s="130">
        <v>30775</v>
      </c>
      <c r="AE1335" s="128" t="s">
        <v>32</v>
      </c>
      <c r="AF1335" s="128" t="s">
        <v>33</v>
      </c>
      <c r="AG1335" s="128" t="s">
        <v>872</v>
      </c>
      <c r="AH1335" s="108" t="s">
        <v>58</v>
      </c>
      <c r="AI1335" s="128" t="s">
        <v>114</v>
      </c>
      <c r="AJ1335" s="129" t="s">
        <v>89</v>
      </c>
      <c r="AK1335" s="129">
        <v>9</v>
      </c>
      <c r="AL1335" s="3" t="s">
        <v>362</v>
      </c>
      <c r="AM1335" s="117">
        <v>5</v>
      </c>
      <c r="AP1335" s="129" t="s">
        <v>105</v>
      </c>
      <c r="AR1335" s="128" t="s">
        <v>92</v>
      </c>
      <c r="AS1335" s="129" t="s">
        <v>106</v>
      </c>
      <c r="BC1335" s="129" t="s">
        <v>52</v>
      </c>
      <c r="BF1335" s="111">
        <f t="shared" si="986"/>
        <v>178</v>
      </c>
      <c r="BG1335" s="111">
        <f t="shared" si="984"/>
        <v>178</v>
      </c>
      <c r="BH1335" s="111">
        <f t="shared" si="946"/>
        <v>178</v>
      </c>
      <c r="BI1335" s="111">
        <f t="shared" si="947"/>
        <v>27.748633879781419</v>
      </c>
      <c r="BJ1335" s="129">
        <f t="shared" si="952"/>
        <v>0</v>
      </c>
      <c r="BK1335" s="129">
        <f t="shared" si="948"/>
        <v>0</v>
      </c>
      <c r="BL1335" s="129" t="str">
        <f t="shared" si="978"/>
        <v>CONVICTION</v>
      </c>
      <c r="BM1335" s="129" t="str">
        <f t="shared" si="953"/>
        <v>NONE</v>
      </c>
      <c r="BN1335" s="129" t="s">
        <v>566</v>
      </c>
      <c r="BP1335" s="137" t="str">
        <f t="shared" si="954"/>
        <v>CONVICTION</v>
      </c>
      <c r="BQ1335" s="128" t="str">
        <f t="shared" si="955"/>
        <v>Y</v>
      </c>
      <c r="BR1335" s="129" t="str">
        <f t="shared" si="956"/>
        <v>DETAINED</v>
      </c>
      <c r="BS1335" s="129" t="str">
        <f t="shared" si="957"/>
        <v>DISPOSED</v>
      </c>
      <c r="BT1335" s="129" t="str">
        <f t="shared" si="958"/>
        <v>Y</v>
      </c>
      <c r="BU1335" s="109">
        <f t="shared" si="959"/>
        <v>1</v>
      </c>
      <c r="BV1335" s="109">
        <f t="shared" si="960"/>
        <v>1</v>
      </c>
      <c r="BW1335" s="109">
        <f t="shared" si="990"/>
        <v>0</v>
      </c>
      <c r="BX1335" s="111">
        <f t="shared" si="961"/>
        <v>0</v>
      </c>
      <c r="BY1335" s="129">
        <f t="shared" si="962"/>
        <v>-178</v>
      </c>
      <c r="BZ1335" s="111">
        <f t="shared" si="963"/>
        <v>0</v>
      </c>
      <c r="CA1335" s="138">
        <f t="shared" si="964"/>
        <v>178</v>
      </c>
      <c r="CB1335" s="111" t="e">
        <f t="shared" si="988"/>
        <v>#VALUE!</v>
      </c>
      <c r="CC1335" s="129">
        <f>G1335-I1335+1</f>
        <v>178</v>
      </c>
      <c r="CD1335" s="129">
        <f>G1335-J1335</f>
        <v>0</v>
      </c>
      <c r="CG1335" s="129" t="str">
        <f t="shared" si="965"/>
        <v>Y</v>
      </c>
      <c r="CI1335" s="129" t="str">
        <f t="shared" si="966"/>
        <v>121-365 DAYS</v>
      </c>
      <c r="CJ1335" s="137">
        <f t="shared" si="967"/>
        <v>6</v>
      </c>
      <c r="CK1335" s="129" t="str">
        <f t="shared" si="968"/>
        <v>Booked</v>
      </c>
    </row>
    <row r="1336" spans="1:89" ht="15.75" customHeight="1" x14ac:dyDescent="0.25">
      <c r="A1336" s="111">
        <v>1794</v>
      </c>
      <c r="B1336" s="128" t="str">
        <f t="shared" si="949"/>
        <v>N</v>
      </c>
      <c r="C1336" s="128" t="str">
        <f t="shared" si="950"/>
        <v>N</v>
      </c>
      <c r="D1336" s="117">
        <v>1962217</v>
      </c>
      <c r="E1336" s="135">
        <f t="shared" si="951"/>
        <v>2</v>
      </c>
      <c r="F1336" s="124">
        <v>40975</v>
      </c>
      <c r="G1336" s="125">
        <v>41073</v>
      </c>
      <c r="H1336" s="117">
        <v>1962217</v>
      </c>
      <c r="I1336" s="124">
        <v>40976</v>
      </c>
      <c r="J1336" s="124">
        <v>40977</v>
      </c>
      <c r="K1336" s="126">
        <v>2000</v>
      </c>
      <c r="L1336" s="127" t="s">
        <v>568</v>
      </c>
      <c r="M1336" s="125">
        <v>40977</v>
      </c>
      <c r="N1336" s="129" t="str">
        <f>IF(M1336&gt;1/1/1,"Y","N")</f>
        <v>Y</v>
      </c>
      <c r="O1336" s="128" t="s">
        <v>585</v>
      </c>
      <c r="P1336" s="129" t="s">
        <v>589</v>
      </c>
      <c r="Q1336" s="111">
        <f t="shared" si="983"/>
        <v>2</v>
      </c>
      <c r="R1336" s="111">
        <f t="shared" si="973"/>
        <v>99</v>
      </c>
      <c r="S1336" s="129">
        <v>1</v>
      </c>
      <c r="T1336" s="129">
        <v>3</v>
      </c>
      <c r="V1336" s="117">
        <v>1</v>
      </c>
      <c r="W1336" s="111"/>
      <c r="AC1336" s="130"/>
      <c r="AD1336" s="130">
        <v>30450</v>
      </c>
      <c r="AE1336" s="128" t="s">
        <v>46</v>
      </c>
      <c r="AF1336" s="128" t="s">
        <v>33</v>
      </c>
      <c r="AG1336" s="128" t="s">
        <v>872</v>
      </c>
      <c r="AH1336" s="108" t="s">
        <v>31</v>
      </c>
      <c r="AI1336" s="128" t="s">
        <v>71</v>
      </c>
      <c r="AJ1336" s="129" t="s">
        <v>48</v>
      </c>
      <c r="AK1336" s="129">
        <v>4</v>
      </c>
      <c r="AL1336" s="3" t="s">
        <v>48</v>
      </c>
      <c r="AP1336" s="129" t="s">
        <v>60</v>
      </c>
      <c r="AR1336" s="128" t="s">
        <v>44</v>
      </c>
      <c r="AS1336" s="129" t="s">
        <v>61</v>
      </c>
      <c r="BC1336" s="129" t="s">
        <v>38</v>
      </c>
      <c r="BF1336" s="111">
        <f t="shared" si="986"/>
        <v>2</v>
      </c>
      <c r="BG1336" s="111">
        <f t="shared" si="984"/>
        <v>98</v>
      </c>
      <c r="BH1336" s="111">
        <f t="shared" si="946"/>
        <v>99</v>
      </c>
      <c r="BI1336" s="111">
        <f t="shared" si="947"/>
        <v>28.756830601092897</v>
      </c>
      <c r="BJ1336" s="129">
        <f>(G1336-J1336)+(M1336-G1336)</f>
        <v>0</v>
      </c>
      <c r="BK1336" s="129">
        <f t="shared" si="948"/>
        <v>-96</v>
      </c>
      <c r="BL1336" s="129" t="str">
        <f t="shared" si="978"/>
        <v>DEFERRED</v>
      </c>
      <c r="BM1336" s="129" t="s">
        <v>76</v>
      </c>
      <c r="BN1336" s="129" t="s">
        <v>88</v>
      </c>
      <c r="BP1336" s="137" t="str">
        <f t="shared" si="954"/>
        <v>DEFERRED</v>
      </c>
      <c r="BQ1336" s="128" t="str">
        <f t="shared" si="955"/>
        <v>Y</v>
      </c>
      <c r="BR1336" s="129" t="str">
        <f t="shared" si="956"/>
        <v>ON BOND</v>
      </c>
      <c r="BS1336" s="129" t="str">
        <f t="shared" si="957"/>
        <v>DISPOSED</v>
      </c>
      <c r="BT1336" s="129" t="str">
        <f t="shared" si="958"/>
        <v>Y</v>
      </c>
      <c r="BU1336" s="109">
        <f t="shared" si="959"/>
        <v>2.0202020202020204E-2</v>
      </c>
      <c r="BV1336" s="109">
        <f t="shared" si="960"/>
        <v>2.0408163265306121E-2</v>
      </c>
      <c r="BW1336" s="109">
        <f t="shared" si="990"/>
        <v>2.0614306328591708E-4</v>
      </c>
      <c r="BX1336" s="111">
        <f t="shared" si="961"/>
        <v>0</v>
      </c>
      <c r="BY1336" s="129">
        <f t="shared" si="962"/>
        <v>-2</v>
      </c>
      <c r="BZ1336" s="111">
        <f t="shared" si="963"/>
        <v>0</v>
      </c>
      <c r="CA1336" s="138">
        <f t="shared" si="964"/>
        <v>2</v>
      </c>
      <c r="CB1336" s="111" t="e">
        <f t="shared" si="988"/>
        <v>#VALUE!</v>
      </c>
      <c r="CC1336" s="129">
        <f>M1336-I1336+1</f>
        <v>2</v>
      </c>
      <c r="CD1336" s="111">
        <f>CC1336-BF1336</f>
        <v>0</v>
      </c>
      <c r="CG1336" s="129" t="str">
        <f t="shared" si="965"/>
        <v>Y</v>
      </c>
      <c r="CI1336" s="129" t="str">
        <f t="shared" si="966"/>
        <v>0-10 DAYS</v>
      </c>
      <c r="CJ1336" s="137">
        <f t="shared" si="967"/>
        <v>1</v>
      </c>
      <c r="CK1336" s="129" t="str">
        <f t="shared" si="968"/>
        <v>Booked</v>
      </c>
    </row>
    <row r="1337" spans="1:89" ht="15.75" customHeight="1" x14ac:dyDescent="0.25">
      <c r="A1337" s="111">
        <v>2002</v>
      </c>
      <c r="B1337" s="128" t="str">
        <f t="shared" si="949"/>
        <v>N</v>
      </c>
      <c r="C1337" s="128" t="str">
        <f t="shared" si="950"/>
        <v>N</v>
      </c>
      <c r="D1337" s="117">
        <v>1962643</v>
      </c>
      <c r="E1337" s="135">
        <f t="shared" si="951"/>
        <v>5</v>
      </c>
      <c r="F1337" s="124">
        <v>40984</v>
      </c>
      <c r="G1337" s="125">
        <v>41004</v>
      </c>
      <c r="H1337" s="117">
        <v>1962643</v>
      </c>
      <c r="I1337" s="124">
        <v>40984</v>
      </c>
      <c r="J1337" s="124">
        <v>41004</v>
      </c>
      <c r="K1337" s="126">
        <v>10000</v>
      </c>
      <c r="L1337" s="127" t="s">
        <v>570</v>
      </c>
      <c r="N1337" s="129" t="str">
        <f>IF(M1337&gt;1/1/1,"Y","N")</f>
        <v>N</v>
      </c>
      <c r="O1337" s="128" t="s">
        <v>917</v>
      </c>
      <c r="P1337" s="129" t="s">
        <v>39</v>
      </c>
      <c r="Q1337" s="111">
        <f t="shared" si="983"/>
        <v>21</v>
      </c>
      <c r="R1337" s="111">
        <f t="shared" si="973"/>
        <v>21</v>
      </c>
      <c r="S1337" s="129">
        <v>2</v>
      </c>
      <c r="T1337" s="129">
        <v>4</v>
      </c>
      <c r="U1337" s="129">
        <v>1</v>
      </c>
      <c r="W1337" s="111"/>
      <c r="AC1337" s="130"/>
      <c r="AD1337" s="130">
        <v>30936</v>
      </c>
      <c r="AE1337" s="128" t="s">
        <v>32</v>
      </c>
      <c r="AF1337" s="128" t="s">
        <v>33</v>
      </c>
      <c r="AG1337" s="128" t="s">
        <v>872</v>
      </c>
      <c r="AH1337" s="108" t="s">
        <v>31</v>
      </c>
      <c r="AI1337" s="128" t="s">
        <v>65</v>
      </c>
      <c r="AJ1337" s="129" t="s">
        <v>89</v>
      </c>
      <c r="AK1337" s="129">
        <v>2</v>
      </c>
      <c r="AL1337" s="3" t="s">
        <v>992</v>
      </c>
      <c r="AN1337" s="117">
        <v>6</v>
      </c>
      <c r="AP1337" s="129" t="s">
        <v>43</v>
      </c>
      <c r="AR1337" s="128" t="s">
        <v>44</v>
      </c>
      <c r="AS1337" s="129" t="s">
        <v>45</v>
      </c>
      <c r="BC1337" s="129" t="s">
        <v>38</v>
      </c>
      <c r="BF1337" s="111">
        <f t="shared" si="986"/>
        <v>21</v>
      </c>
      <c r="BG1337" s="111">
        <f t="shared" si="984"/>
        <v>21</v>
      </c>
      <c r="BH1337" s="111">
        <f t="shared" si="946"/>
        <v>21</v>
      </c>
      <c r="BI1337" s="111">
        <f t="shared" si="947"/>
        <v>27.453551912568305</v>
      </c>
      <c r="BJ1337" s="129">
        <f t="shared" si="952"/>
        <v>0</v>
      </c>
      <c r="BK1337" s="129">
        <f t="shared" si="948"/>
        <v>0</v>
      </c>
      <c r="BL1337" s="129" t="str">
        <f t="shared" si="978"/>
        <v>CONVICTION</v>
      </c>
      <c r="BM1337" s="129" t="str">
        <f t="shared" si="953"/>
        <v>NONE</v>
      </c>
      <c r="BN1337" s="129" t="s">
        <v>566</v>
      </c>
      <c r="BP1337" s="137" t="str">
        <f t="shared" si="954"/>
        <v>CONVICTION</v>
      </c>
      <c r="BQ1337" s="128" t="str">
        <f t="shared" si="955"/>
        <v>Y</v>
      </c>
      <c r="BR1337" s="129" t="str">
        <f t="shared" si="956"/>
        <v>DETAINED</v>
      </c>
      <c r="BS1337" s="129" t="str">
        <f t="shared" si="957"/>
        <v>DISPOSED</v>
      </c>
      <c r="BT1337" s="129" t="str">
        <f t="shared" si="958"/>
        <v>Y</v>
      </c>
      <c r="BU1337" s="109">
        <f t="shared" si="959"/>
        <v>1</v>
      </c>
      <c r="BV1337" s="109">
        <f t="shared" si="960"/>
        <v>1</v>
      </c>
      <c r="BW1337" s="109">
        <f t="shared" si="990"/>
        <v>0</v>
      </c>
      <c r="BX1337" s="111">
        <f t="shared" si="961"/>
        <v>0</v>
      </c>
      <c r="BY1337" s="129">
        <f t="shared" si="962"/>
        <v>-21</v>
      </c>
      <c r="BZ1337" s="111">
        <f t="shared" si="963"/>
        <v>0</v>
      </c>
      <c r="CA1337" s="138">
        <f t="shared" si="964"/>
        <v>21</v>
      </c>
      <c r="CB1337" s="111" t="e">
        <f t="shared" si="988"/>
        <v>#VALUE!</v>
      </c>
      <c r="CC1337" s="129">
        <f>G1337-I1337+1</f>
        <v>21</v>
      </c>
      <c r="CD1337" s="129">
        <f>G1337-J1337</f>
        <v>0</v>
      </c>
      <c r="CG1337" s="129" t="str">
        <f t="shared" si="965"/>
        <v>Y</v>
      </c>
      <c r="CI1337" s="129" t="str">
        <f t="shared" si="966"/>
        <v>11-30 DAYS</v>
      </c>
      <c r="CJ1337" s="137">
        <f t="shared" si="967"/>
        <v>2</v>
      </c>
      <c r="CK1337" s="129" t="str">
        <f t="shared" si="968"/>
        <v>Booked</v>
      </c>
    </row>
    <row r="1338" spans="1:89" ht="15.75" customHeight="1" x14ac:dyDescent="0.25">
      <c r="A1338" s="111">
        <v>733</v>
      </c>
      <c r="B1338" s="128" t="str">
        <f t="shared" si="949"/>
        <v>N</v>
      </c>
      <c r="C1338" s="128" t="str">
        <f t="shared" si="950"/>
        <v>N</v>
      </c>
      <c r="D1338" s="117">
        <v>1963694</v>
      </c>
      <c r="E1338" s="135">
        <f t="shared" si="951"/>
        <v>6</v>
      </c>
      <c r="F1338" s="124">
        <v>40937</v>
      </c>
      <c r="G1338" s="125">
        <v>41032</v>
      </c>
      <c r="H1338" s="117">
        <v>1963694</v>
      </c>
      <c r="I1338" s="124">
        <v>40937</v>
      </c>
      <c r="J1338" s="124">
        <v>41032</v>
      </c>
      <c r="K1338" s="126" t="s">
        <v>564</v>
      </c>
      <c r="L1338" s="127" t="s">
        <v>564</v>
      </c>
      <c r="N1338" s="129" t="s">
        <v>566</v>
      </c>
      <c r="O1338" s="128" t="s">
        <v>917</v>
      </c>
      <c r="P1338" s="129" t="s">
        <v>39</v>
      </c>
      <c r="Q1338" s="111">
        <f t="shared" si="983"/>
        <v>96</v>
      </c>
      <c r="R1338" s="111">
        <f t="shared" si="973"/>
        <v>96</v>
      </c>
      <c r="S1338" s="129">
        <v>1</v>
      </c>
      <c r="T1338" s="129">
        <v>4</v>
      </c>
      <c r="U1338" s="129">
        <v>1</v>
      </c>
      <c r="W1338" s="111"/>
      <c r="AB1338" s="131" t="s">
        <v>112</v>
      </c>
      <c r="AC1338" s="130"/>
      <c r="AD1338" s="130">
        <v>30924</v>
      </c>
      <c r="AE1338" s="128" t="s">
        <v>32</v>
      </c>
      <c r="AF1338" s="128" t="s">
        <v>40</v>
      </c>
      <c r="AG1338" s="128" t="s">
        <v>41</v>
      </c>
      <c r="AH1338" s="108" t="s">
        <v>58</v>
      </c>
      <c r="AI1338" s="128" t="s">
        <v>34</v>
      </c>
      <c r="AJ1338" s="129" t="s">
        <v>89</v>
      </c>
      <c r="AK1338" s="129">
        <v>5</v>
      </c>
      <c r="AL1338" s="3" t="s">
        <v>362</v>
      </c>
      <c r="AM1338" s="117">
        <v>4</v>
      </c>
      <c r="AP1338" s="129" t="s">
        <v>66</v>
      </c>
      <c r="AR1338" s="128" t="s">
        <v>67</v>
      </c>
      <c r="AS1338" s="129" t="s">
        <v>68</v>
      </c>
      <c r="BC1338" s="129" t="s">
        <v>52</v>
      </c>
      <c r="BF1338" s="111">
        <f t="shared" si="986"/>
        <v>96</v>
      </c>
      <c r="BG1338" s="111">
        <f t="shared" si="984"/>
        <v>96</v>
      </c>
      <c r="BH1338" s="111">
        <f t="shared" si="946"/>
        <v>96</v>
      </c>
      <c r="BI1338" s="111">
        <f t="shared" si="947"/>
        <v>27.357923497267759</v>
      </c>
      <c r="BJ1338" s="129">
        <f t="shared" si="952"/>
        <v>0</v>
      </c>
      <c r="BK1338" s="129">
        <f t="shared" si="948"/>
        <v>0</v>
      </c>
      <c r="BL1338" s="129" t="str">
        <f t="shared" si="978"/>
        <v>CONVICTION</v>
      </c>
      <c r="BM1338" s="129" t="str">
        <f t="shared" si="953"/>
        <v>NONE</v>
      </c>
      <c r="BN1338" s="129" t="s">
        <v>566</v>
      </c>
      <c r="BP1338" s="137" t="str">
        <f t="shared" si="954"/>
        <v>CONVICTION</v>
      </c>
      <c r="BQ1338" s="128" t="str">
        <f t="shared" si="955"/>
        <v>Y</v>
      </c>
      <c r="BR1338" s="129" t="str">
        <f t="shared" si="956"/>
        <v>DETAINED</v>
      </c>
      <c r="BS1338" s="129" t="str">
        <f t="shared" si="957"/>
        <v>DISPOSED</v>
      </c>
      <c r="BT1338" s="129" t="str">
        <f t="shared" si="958"/>
        <v>Y</v>
      </c>
      <c r="BU1338" s="109">
        <f t="shared" si="959"/>
        <v>1</v>
      </c>
      <c r="BV1338" s="109">
        <f t="shared" si="960"/>
        <v>1</v>
      </c>
      <c r="BW1338" s="109">
        <f t="shared" si="990"/>
        <v>0</v>
      </c>
      <c r="BX1338" s="111">
        <f t="shared" si="961"/>
        <v>0</v>
      </c>
      <c r="BY1338" s="129">
        <f t="shared" si="962"/>
        <v>-96</v>
      </c>
      <c r="BZ1338" s="111">
        <f t="shared" si="963"/>
        <v>0</v>
      </c>
      <c r="CA1338" s="138">
        <f t="shared" si="964"/>
        <v>96</v>
      </c>
      <c r="CB1338" s="111" t="e">
        <f t="shared" si="988"/>
        <v>#VALUE!</v>
      </c>
      <c r="CC1338" s="129">
        <f>G1338-I1338+1</f>
        <v>96</v>
      </c>
      <c r="CD1338" s="129">
        <f>G1338-J1338</f>
        <v>0</v>
      </c>
      <c r="CG1338" s="129" t="str">
        <f t="shared" si="965"/>
        <v>Y</v>
      </c>
      <c r="CI1338" s="129" t="str">
        <f t="shared" si="966"/>
        <v>91-120 DAYS</v>
      </c>
      <c r="CJ1338" s="137">
        <f t="shared" si="967"/>
        <v>0</v>
      </c>
      <c r="CK1338" s="129" t="str">
        <f t="shared" si="968"/>
        <v>Booked</v>
      </c>
    </row>
    <row r="1339" spans="1:89" ht="15" customHeight="1" x14ac:dyDescent="0.25">
      <c r="A1339" s="111">
        <v>2789</v>
      </c>
      <c r="B1339" s="128" t="str">
        <f t="shared" si="949"/>
        <v>N</v>
      </c>
      <c r="C1339" s="128" t="str">
        <f t="shared" si="950"/>
        <v>N</v>
      </c>
      <c r="D1339" s="117">
        <v>1964522</v>
      </c>
      <c r="E1339" s="135">
        <f t="shared" si="951"/>
        <v>6</v>
      </c>
      <c r="F1339" s="124">
        <v>41012</v>
      </c>
      <c r="G1339" s="125">
        <v>41040</v>
      </c>
      <c r="H1339" s="117">
        <v>1964522</v>
      </c>
      <c r="I1339" s="124">
        <v>41012</v>
      </c>
      <c r="J1339" s="124">
        <v>41040</v>
      </c>
      <c r="K1339" s="126">
        <v>20000</v>
      </c>
      <c r="L1339" s="127" t="s">
        <v>571</v>
      </c>
      <c r="N1339" s="129" t="str">
        <f>IF(M1339&gt;1/1/1,"Y","N")</f>
        <v>N</v>
      </c>
      <c r="O1339" s="128" t="s">
        <v>917</v>
      </c>
      <c r="P1339" s="129" t="s">
        <v>39</v>
      </c>
      <c r="Q1339" s="111">
        <f t="shared" si="983"/>
        <v>29</v>
      </c>
      <c r="R1339" s="111">
        <f t="shared" si="973"/>
        <v>29</v>
      </c>
      <c r="S1339" s="129">
        <v>1</v>
      </c>
      <c r="T1339" s="129">
        <v>2</v>
      </c>
      <c r="U1339" s="129">
        <v>1</v>
      </c>
      <c r="W1339" s="111"/>
      <c r="AB1339" s="131" t="s">
        <v>112</v>
      </c>
      <c r="AC1339" s="130"/>
      <c r="AD1339" s="130">
        <v>30664</v>
      </c>
      <c r="AE1339" s="128" t="s">
        <v>32</v>
      </c>
      <c r="AF1339" s="128" t="s">
        <v>40</v>
      </c>
      <c r="AG1339" s="128" t="s">
        <v>41</v>
      </c>
      <c r="AH1339" s="108" t="s">
        <v>31</v>
      </c>
      <c r="AI1339" s="128" t="s">
        <v>65</v>
      </c>
      <c r="AJ1339" s="129" t="s">
        <v>89</v>
      </c>
      <c r="AK1339" s="129">
        <v>2</v>
      </c>
      <c r="AL1339" s="3" t="s">
        <v>362</v>
      </c>
      <c r="AM1339" s="117">
        <v>3</v>
      </c>
      <c r="AP1339" s="129" t="s">
        <v>49</v>
      </c>
      <c r="AR1339" s="128" t="s">
        <v>50</v>
      </c>
      <c r="AS1339" s="129" t="s">
        <v>45</v>
      </c>
      <c r="BC1339" s="129" t="s">
        <v>38</v>
      </c>
      <c r="BF1339" s="111">
        <f t="shared" si="986"/>
        <v>29</v>
      </c>
      <c r="BG1339" s="111">
        <f t="shared" si="984"/>
        <v>29</v>
      </c>
      <c r="BH1339" s="111">
        <f t="shared" si="946"/>
        <v>29</v>
      </c>
      <c r="BI1339" s="111">
        <f t="shared" si="947"/>
        <v>28.273224043715846</v>
      </c>
      <c r="BJ1339" s="129">
        <f t="shared" si="952"/>
        <v>0</v>
      </c>
      <c r="BK1339" s="129">
        <f t="shared" si="948"/>
        <v>0</v>
      </c>
      <c r="BL1339" s="129" t="str">
        <f t="shared" si="978"/>
        <v>CONVICTION</v>
      </c>
      <c r="BM1339" s="129" t="str">
        <f t="shared" si="953"/>
        <v>NONE</v>
      </c>
      <c r="BN1339" s="129" t="s">
        <v>566</v>
      </c>
      <c r="BP1339" s="137" t="str">
        <f t="shared" si="954"/>
        <v>CONVICTION</v>
      </c>
      <c r="BQ1339" s="128" t="str">
        <f t="shared" si="955"/>
        <v>Y</v>
      </c>
      <c r="BR1339" s="129" t="str">
        <f t="shared" si="956"/>
        <v>DETAINED</v>
      </c>
      <c r="BS1339" s="129" t="str">
        <f t="shared" si="957"/>
        <v>DISPOSED</v>
      </c>
      <c r="BT1339" s="129" t="str">
        <f t="shared" si="958"/>
        <v>Y</v>
      </c>
      <c r="BU1339" s="109">
        <f t="shared" si="959"/>
        <v>1</v>
      </c>
      <c r="BV1339" s="109">
        <f t="shared" si="960"/>
        <v>1</v>
      </c>
      <c r="BW1339" s="109">
        <f t="shared" si="990"/>
        <v>0</v>
      </c>
      <c r="BX1339" s="111">
        <f t="shared" si="961"/>
        <v>0</v>
      </c>
      <c r="BY1339" s="129">
        <f t="shared" si="962"/>
        <v>-29</v>
      </c>
      <c r="BZ1339" s="111">
        <f t="shared" si="963"/>
        <v>0</v>
      </c>
      <c r="CA1339" s="138">
        <f t="shared" si="964"/>
        <v>29</v>
      </c>
      <c r="CB1339" s="111" t="e">
        <f t="shared" si="988"/>
        <v>#VALUE!</v>
      </c>
      <c r="CC1339" s="129">
        <f>G1339-I1339+1</f>
        <v>29</v>
      </c>
      <c r="CD1339" s="129">
        <f>G1339-J1339</f>
        <v>0</v>
      </c>
      <c r="CG1339" s="129" t="str">
        <f t="shared" si="965"/>
        <v>Y</v>
      </c>
      <c r="CI1339" s="129" t="str">
        <f t="shared" si="966"/>
        <v>11-30 DAYS</v>
      </c>
      <c r="CJ1339" s="137">
        <f t="shared" si="967"/>
        <v>2</v>
      </c>
      <c r="CK1339" s="129" t="str">
        <f t="shared" si="968"/>
        <v>Booked</v>
      </c>
    </row>
    <row r="1340" spans="1:89" ht="15.75" customHeight="1" x14ac:dyDescent="0.25">
      <c r="A1340" s="111">
        <v>1637</v>
      </c>
      <c r="B1340" s="128" t="str">
        <f t="shared" si="949"/>
        <v>N</v>
      </c>
      <c r="C1340" s="128" t="str">
        <f t="shared" si="950"/>
        <v>N</v>
      </c>
      <c r="D1340" s="117">
        <v>1964789</v>
      </c>
      <c r="E1340" s="135">
        <f t="shared" si="951"/>
        <v>5</v>
      </c>
      <c r="F1340" s="124">
        <v>40969</v>
      </c>
      <c r="G1340" s="124">
        <v>41025</v>
      </c>
      <c r="H1340" s="117">
        <v>1964789</v>
      </c>
      <c r="I1340" s="124">
        <v>40969</v>
      </c>
      <c r="J1340" s="124">
        <v>41025</v>
      </c>
      <c r="K1340" s="126" t="s">
        <v>564</v>
      </c>
      <c r="L1340" s="127" t="s">
        <v>564</v>
      </c>
      <c r="N1340" s="129" t="s">
        <v>566</v>
      </c>
      <c r="O1340" s="128" t="s">
        <v>917</v>
      </c>
      <c r="P1340" s="129" t="s">
        <v>39</v>
      </c>
      <c r="Q1340" s="111">
        <f t="shared" si="983"/>
        <v>57</v>
      </c>
      <c r="R1340" s="111">
        <f t="shared" si="973"/>
        <v>57</v>
      </c>
      <c r="S1340" s="129">
        <v>1</v>
      </c>
      <c r="T1340" s="129">
        <v>1</v>
      </c>
      <c r="U1340" s="129">
        <v>1</v>
      </c>
      <c r="W1340" s="111"/>
      <c r="AC1340" s="130"/>
      <c r="AD1340" s="130">
        <v>30088</v>
      </c>
      <c r="AE1340" s="128" t="s">
        <v>32</v>
      </c>
      <c r="AF1340" s="128" t="s">
        <v>69</v>
      </c>
      <c r="AG1340" s="128" t="s">
        <v>874</v>
      </c>
      <c r="AH1340" s="108" t="s">
        <v>31</v>
      </c>
      <c r="AI1340" s="128" t="s">
        <v>118</v>
      </c>
      <c r="AJ1340" s="129" t="s">
        <v>89</v>
      </c>
      <c r="AK1340" s="129">
        <v>3</v>
      </c>
      <c r="AL1340" s="3" t="s">
        <v>992</v>
      </c>
      <c r="AN1340" s="117">
        <v>7</v>
      </c>
      <c r="AP1340" s="129" t="s">
        <v>63</v>
      </c>
      <c r="AR1340" s="128" t="s">
        <v>44</v>
      </c>
      <c r="AS1340" s="129" t="s">
        <v>64</v>
      </c>
      <c r="BC1340" s="129" t="s">
        <v>38</v>
      </c>
      <c r="BF1340" s="111">
        <f t="shared" si="986"/>
        <v>57</v>
      </c>
      <c r="BG1340" s="111">
        <f t="shared" si="984"/>
        <v>57</v>
      </c>
      <c r="BH1340" s="111">
        <f t="shared" si="946"/>
        <v>57</v>
      </c>
      <c r="BI1340" s="111">
        <f t="shared" si="947"/>
        <v>29.729508196721312</v>
      </c>
      <c r="BJ1340" s="129">
        <f t="shared" si="952"/>
        <v>0</v>
      </c>
      <c r="BK1340" s="129">
        <f t="shared" si="948"/>
        <v>0</v>
      </c>
      <c r="BL1340" s="129" t="str">
        <f t="shared" si="978"/>
        <v>CONVICTION</v>
      </c>
      <c r="BM1340" s="129" t="str">
        <f t="shared" si="953"/>
        <v>NONE</v>
      </c>
      <c r="BN1340" s="129" t="s">
        <v>566</v>
      </c>
      <c r="BP1340" s="137" t="str">
        <f t="shared" si="954"/>
        <v>CONVICTION</v>
      </c>
      <c r="BQ1340" s="128" t="str">
        <f t="shared" si="955"/>
        <v>Y</v>
      </c>
      <c r="BR1340" s="129" t="str">
        <f t="shared" si="956"/>
        <v>DETAINED</v>
      </c>
      <c r="BS1340" s="129" t="str">
        <f t="shared" si="957"/>
        <v>DISPOSED</v>
      </c>
      <c r="BT1340" s="129" t="str">
        <f t="shared" si="958"/>
        <v>Y</v>
      </c>
      <c r="BU1340" s="109">
        <f t="shared" si="959"/>
        <v>1</v>
      </c>
      <c r="BV1340" s="109">
        <f t="shared" si="960"/>
        <v>1</v>
      </c>
      <c r="BW1340" s="109">
        <f t="shared" si="990"/>
        <v>0</v>
      </c>
      <c r="BX1340" s="111">
        <f t="shared" si="961"/>
        <v>0</v>
      </c>
      <c r="BY1340" s="129">
        <f t="shared" si="962"/>
        <v>-57</v>
      </c>
      <c r="BZ1340" s="111">
        <f t="shared" si="963"/>
        <v>0</v>
      </c>
      <c r="CA1340" s="138">
        <f t="shared" si="964"/>
        <v>57</v>
      </c>
      <c r="CB1340" s="111" t="e">
        <f t="shared" si="988"/>
        <v>#VALUE!</v>
      </c>
      <c r="CC1340" s="129">
        <f>G1340-I1340+1</f>
        <v>57</v>
      </c>
      <c r="CD1340" s="129">
        <f>G1340-J1340</f>
        <v>0</v>
      </c>
      <c r="CG1340" s="129" t="str">
        <f t="shared" si="965"/>
        <v>Y</v>
      </c>
      <c r="CI1340" s="129" t="str">
        <f t="shared" si="966"/>
        <v>31-60 DAYS</v>
      </c>
      <c r="CJ1340" s="137">
        <f t="shared" si="967"/>
        <v>3</v>
      </c>
      <c r="CK1340" s="129" t="str">
        <f t="shared" si="968"/>
        <v>Booked</v>
      </c>
    </row>
    <row r="1341" spans="1:89" ht="15" customHeight="1" x14ac:dyDescent="0.25">
      <c r="A1341" s="111">
        <v>3111</v>
      </c>
      <c r="B1341" s="128" t="str">
        <f t="shared" si="949"/>
        <v>N</v>
      </c>
      <c r="C1341" s="128" t="str">
        <f t="shared" si="950"/>
        <v>N</v>
      </c>
      <c r="D1341" s="117">
        <v>1964879</v>
      </c>
      <c r="E1341" s="135">
        <f t="shared" si="951"/>
        <v>5</v>
      </c>
      <c r="F1341" s="124">
        <v>41024</v>
      </c>
      <c r="G1341" s="125">
        <v>41185</v>
      </c>
      <c r="H1341" s="117">
        <v>1964879</v>
      </c>
      <c r="I1341" s="124" t="s">
        <v>562</v>
      </c>
      <c r="J1341" s="124" t="s">
        <v>562</v>
      </c>
      <c r="K1341" s="126">
        <v>5000</v>
      </c>
      <c r="L1341" s="127" t="s">
        <v>569</v>
      </c>
      <c r="M1341" s="125">
        <v>41025</v>
      </c>
      <c r="N1341" s="129" t="str">
        <f>IF(M1341&gt;1/1/1,"Y",IF(Q1341="0","","N"))</f>
        <v>Y</v>
      </c>
      <c r="O1341" s="128" t="s">
        <v>76</v>
      </c>
      <c r="P1341" s="129" t="s">
        <v>39</v>
      </c>
      <c r="Q1341" s="111">
        <f t="shared" si="983"/>
        <v>0</v>
      </c>
      <c r="R1341" s="111">
        <f t="shared" si="973"/>
        <v>162</v>
      </c>
      <c r="S1341" s="129">
        <v>1</v>
      </c>
      <c r="T1341" s="129">
        <v>3</v>
      </c>
      <c r="U1341" s="129">
        <v>1</v>
      </c>
      <c r="W1341" s="111"/>
      <c r="AB1341" s="131" t="s">
        <v>112</v>
      </c>
      <c r="AC1341" s="130"/>
      <c r="AD1341" s="130">
        <v>29293</v>
      </c>
      <c r="AE1341" s="128" t="s">
        <v>32</v>
      </c>
      <c r="AF1341" s="128" t="s">
        <v>40</v>
      </c>
      <c r="AG1341" s="128" t="s">
        <v>41</v>
      </c>
      <c r="AH1341" s="108" t="s">
        <v>31</v>
      </c>
      <c r="AI1341" s="128" t="s">
        <v>72</v>
      </c>
      <c r="AJ1341" s="129" t="s">
        <v>89</v>
      </c>
      <c r="AK1341" s="129">
        <v>6</v>
      </c>
      <c r="AL1341" s="3" t="s">
        <v>992</v>
      </c>
      <c r="AN1341" s="117">
        <v>7</v>
      </c>
      <c r="AP1341" s="129" t="s">
        <v>101</v>
      </c>
      <c r="AR1341" s="128" t="s">
        <v>67</v>
      </c>
      <c r="AS1341" s="129" t="s">
        <v>64</v>
      </c>
      <c r="BC1341" s="129" t="s">
        <v>52</v>
      </c>
      <c r="BF1341" s="111">
        <v>0</v>
      </c>
      <c r="BG1341" s="111">
        <v>0</v>
      </c>
      <c r="BH1341" s="111">
        <f t="shared" si="946"/>
        <v>162</v>
      </c>
      <c r="BI1341" s="111">
        <f t="shared" si="947"/>
        <v>32.051912568306008</v>
      </c>
      <c r="BJ1341" s="129" t="e">
        <f>(G1341-J1341)+(M1341-G1341)</f>
        <v>#VALUE!</v>
      </c>
      <c r="BK1341" s="129" t="e">
        <f t="shared" si="948"/>
        <v>#VALUE!</v>
      </c>
      <c r="BL1341" s="129" t="str">
        <f t="shared" si="978"/>
        <v>CONVICTION</v>
      </c>
      <c r="BM1341" s="129" t="s">
        <v>76</v>
      </c>
      <c r="BN1341" s="129" t="s">
        <v>88</v>
      </c>
      <c r="BP1341" s="137" t="str">
        <f t="shared" si="954"/>
        <v>CONVICTION</v>
      </c>
      <c r="BQ1341" s="128">
        <f t="shared" si="955"/>
        <v>0</v>
      </c>
      <c r="BR1341" s="129" t="s">
        <v>575</v>
      </c>
      <c r="BS1341" s="129" t="str">
        <f t="shared" si="957"/>
        <v>DISPOSED</v>
      </c>
      <c r="BT1341" s="129" t="str">
        <f t="shared" si="958"/>
        <v>Y</v>
      </c>
      <c r="BU1341" s="109">
        <f t="shared" si="959"/>
        <v>0</v>
      </c>
      <c r="BV1341" s="109">
        <v>0</v>
      </c>
      <c r="BW1341" s="109">
        <f t="shared" si="990"/>
        <v>0</v>
      </c>
      <c r="BX1341" s="111">
        <f t="shared" si="961"/>
        <v>0</v>
      </c>
      <c r="BY1341" s="129" t="e">
        <f t="shared" si="962"/>
        <v>#VALUE!</v>
      </c>
      <c r="BZ1341" s="111" t="e">
        <f t="shared" si="963"/>
        <v>#VALUE!</v>
      </c>
      <c r="CA1341" s="138" t="e">
        <f t="shared" si="964"/>
        <v>#VALUE!</v>
      </c>
      <c r="CB1341" s="111">
        <v>0</v>
      </c>
      <c r="CC1341" s="129">
        <v>0</v>
      </c>
      <c r="CD1341" s="111">
        <f>CC1341-BF1341</f>
        <v>0</v>
      </c>
      <c r="CG1341" s="129" t="str">
        <f t="shared" si="965"/>
        <v>Y</v>
      </c>
      <c r="CI1341" s="129" t="str">
        <f t="shared" si="966"/>
        <v>0-10 DAYS</v>
      </c>
      <c r="CJ1341" s="137">
        <f t="shared" si="967"/>
        <v>1</v>
      </c>
      <c r="CK1341" s="129" t="str">
        <f t="shared" si="968"/>
        <v>Not Booked</v>
      </c>
    </row>
    <row r="1342" spans="1:89" ht="15" customHeight="1" x14ac:dyDescent="0.25">
      <c r="A1342" s="111">
        <v>2853</v>
      </c>
      <c r="B1342" s="128" t="str">
        <f t="shared" si="949"/>
        <v>N</v>
      </c>
      <c r="C1342" s="128" t="str">
        <f t="shared" si="950"/>
        <v>N</v>
      </c>
      <c r="D1342" s="117">
        <v>1965302</v>
      </c>
      <c r="E1342" s="135">
        <f t="shared" si="951"/>
        <v>3</v>
      </c>
      <c r="F1342" s="124">
        <v>41014</v>
      </c>
      <c r="G1342" s="125">
        <v>41253</v>
      </c>
      <c r="H1342" s="117">
        <v>1965302</v>
      </c>
      <c r="I1342" s="124">
        <v>41014</v>
      </c>
      <c r="J1342" s="124">
        <v>41015</v>
      </c>
      <c r="K1342" s="126">
        <v>10000</v>
      </c>
      <c r="L1342" s="127" t="s">
        <v>570</v>
      </c>
      <c r="M1342" s="125">
        <v>41015</v>
      </c>
      <c r="N1342" s="129" t="str">
        <f t="shared" ref="N1342:N1369" si="991">IF(M1342&gt;1/1/1,"Y","N")</f>
        <v>Y</v>
      </c>
      <c r="O1342" s="128" t="s">
        <v>585</v>
      </c>
      <c r="P1342" s="129" t="s">
        <v>39</v>
      </c>
      <c r="Q1342" s="111">
        <f t="shared" si="983"/>
        <v>2</v>
      </c>
      <c r="R1342" s="111">
        <f t="shared" si="973"/>
        <v>240</v>
      </c>
      <c r="S1342" s="129">
        <v>0</v>
      </c>
      <c r="T1342" s="129">
        <v>0</v>
      </c>
      <c r="W1342" s="111"/>
      <c r="AC1342" s="130"/>
      <c r="AD1342" s="130">
        <v>27866</v>
      </c>
      <c r="AE1342" s="128" t="s">
        <v>32</v>
      </c>
      <c r="AF1342" s="128" t="s">
        <v>69</v>
      </c>
      <c r="AG1342" s="128" t="s">
        <v>874</v>
      </c>
      <c r="AH1342" s="108" t="s">
        <v>31</v>
      </c>
      <c r="AI1342" s="128" t="s">
        <v>34</v>
      </c>
      <c r="AJ1342" s="129" t="s">
        <v>89</v>
      </c>
      <c r="AK1342" s="129">
        <v>8</v>
      </c>
      <c r="AL1342" s="3" t="s">
        <v>185</v>
      </c>
      <c r="AO1342" s="128">
        <v>365</v>
      </c>
      <c r="AP1342" s="129" t="s">
        <v>236</v>
      </c>
      <c r="AR1342" s="128" t="s">
        <v>67</v>
      </c>
      <c r="AS1342" s="129" t="s">
        <v>74</v>
      </c>
      <c r="BC1342" s="129" t="s">
        <v>52</v>
      </c>
      <c r="BF1342" s="111">
        <f t="shared" ref="BF1342:BF1357" si="992">IF(J1342&gt;1/1/1900,((J1342+1)-I1342),"STILL OPEN")</f>
        <v>2</v>
      </c>
      <c r="BG1342" s="111">
        <f t="shared" ref="BG1342:BG1373" si="993">IF(G1342&gt;1/1/1900,((G1342+1)-I1342),"STILL OPEN")</f>
        <v>240</v>
      </c>
      <c r="BH1342" s="111">
        <f t="shared" si="946"/>
        <v>240</v>
      </c>
      <c r="BI1342" s="111">
        <f t="shared" si="947"/>
        <v>35.923497267759565</v>
      </c>
      <c r="BJ1342" s="129">
        <f>(G1342-J1342)+(M1342-G1342)</f>
        <v>0</v>
      </c>
      <c r="BK1342" s="129">
        <f t="shared" si="948"/>
        <v>-238</v>
      </c>
      <c r="BL1342" s="129" t="str">
        <f t="shared" si="978"/>
        <v>CONVICTION</v>
      </c>
      <c r="BM1342" s="129" t="s">
        <v>76</v>
      </c>
      <c r="BN1342" s="129" t="s">
        <v>88</v>
      </c>
      <c r="BP1342" s="137" t="str">
        <f t="shared" si="954"/>
        <v>CONVICTION</v>
      </c>
      <c r="BQ1342" s="128" t="str">
        <f t="shared" si="955"/>
        <v>Y</v>
      </c>
      <c r="BR1342" s="129" t="str">
        <f>IF(J1342&lt;G1342,"ON BOND",0)</f>
        <v>ON BOND</v>
      </c>
      <c r="BS1342" s="129" t="str">
        <f t="shared" si="957"/>
        <v>DISPOSED</v>
      </c>
      <c r="BT1342" s="129" t="str">
        <f t="shared" si="958"/>
        <v>N</v>
      </c>
      <c r="BU1342" s="109">
        <f t="shared" si="959"/>
        <v>8.3333333333333332E-3</v>
      </c>
      <c r="BV1342" s="109">
        <f t="shared" si="960"/>
        <v>8.3333333333333332E-3</v>
      </c>
      <c r="BW1342" s="109">
        <f t="shared" si="990"/>
        <v>0</v>
      </c>
      <c r="BX1342" s="111">
        <f t="shared" si="961"/>
        <v>0</v>
      </c>
      <c r="BY1342" s="129">
        <f t="shared" si="962"/>
        <v>-2</v>
      </c>
      <c r="BZ1342" s="111">
        <f t="shared" si="963"/>
        <v>0</v>
      </c>
      <c r="CA1342" s="138">
        <f t="shared" si="964"/>
        <v>2</v>
      </c>
      <c r="CB1342" s="111" t="e">
        <f t="shared" ref="CB1342:CB1357" si="994">IF(AF1342&gt;1/1/1900,((AF1342+1)-AE1342),"STILL OPEN")</f>
        <v>#VALUE!</v>
      </c>
      <c r="CC1342" s="129">
        <f>M1342-I1342+1</f>
        <v>2</v>
      </c>
      <c r="CD1342" s="111">
        <f>CC1342-BF1342</f>
        <v>0</v>
      </c>
      <c r="CG1342" s="129" t="str">
        <f t="shared" si="965"/>
        <v>N</v>
      </c>
      <c r="CI1342" s="129" t="str">
        <f t="shared" si="966"/>
        <v>0-10 DAYS</v>
      </c>
      <c r="CJ1342" s="137">
        <f t="shared" si="967"/>
        <v>1</v>
      </c>
      <c r="CK1342" s="129" t="str">
        <f t="shared" si="968"/>
        <v>Booked</v>
      </c>
    </row>
    <row r="1343" spans="1:89" ht="15" customHeight="1" x14ac:dyDescent="0.25">
      <c r="A1343" s="111">
        <v>1492</v>
      </c>
      <c r="B1343" s="128" t="str">
        <f t="shared" si="949"/>
        <v>N</v>
      </c>
      <c r="C1343" s="128" t="str">
        <f t="shared" si="950"/>
        <v>N</v>
      </c>
      <c r="D1343" s="117">
        <v>1965582</v>
      </c>
      <c r="E1343" s="135">
        <f t="shared" si="951"/>
        <v>5</v>
      </c>
      <c r="F1343" s="124">
        <v>40963</v>
      </c>
      <c r="G1343" s="125">
        <v>40966</v>
      </c>
      <c r="H1343" s="117">
        <v>1965582</v>
      </c>
      <c r="I1343" s="124">
        <v>40964</v>
      </c>
      <c r="J1343" s="124">
        <v>40966</v>
      </c>
      <c r="K1343" s="126">
        <v>30000</v>
      </c>
      <c r="L1343" s="129" t="s">
        <v>572</v>
      </c>
      <c r="N1343" s="129" t="str">
        <f t="shared" si="991"/>
        <v>N</v>
      </c>
      <c r="O1343" s="128" t="s">
        <v>917</v>
      </c>
      <c r="P1343" s="129" t="s">
        <v>39</v>
      </c>
      <c r="Q1343" s="111">
        <f t="shared" si="983"/>
        <v>3</v>
      </c>
      <c r="R1343" s="111">
        <f t="shared" si="973"/>
        <v>4</v>
      </c>
      <c r="S1343" s="129">
        <v>2</v>
      </c>
      <c r="T1343" s="129">
        <v>4</v>
      </c>
      <c r="U1343" s="129">
        <v>2</v>
      </c>
      <c r="W1343" s="111"/>
      <c r="AC1343" s="130"/>
      <c r="AD1343" s="130">
        <v>29456</v>
      </c>
      <c r="AE1343" s="128" t="s">
        <v>32</v>
      </c>
      <c r="AF1343" s="128" t="s">
        <v>33</v>
      </c>
      <c r="AG1343" s="128" t="s">
        <v>872</v>
      </c>
      <c r="AH1343" s="108" t="s">
        <v>31</v>
      </c>
      <c r="AI1343" s="128" t="s">
        <v>47</v>
      </c>
      <c r="AJ1343" s="129" t="s">
        <v>89</v>
      </c>
      <c r="AK1343" s="129">
        <v>1</v>
      </c>
      <c r="AL1343" s="3" t="s">
        <v>992</v>
      </c>
      <c r="AN1343" s="117">
        <v>6</v>
      </c>
      <c r="AP1343" s="129" t="s">
        <v>43</v>
      </c>
      <c r="AR1343" s="128" t="s">
        <v>44</v>
      </c>
      <c r="AS1343" s="129" t="s">
        <v>45</v>
      </c>
      <c r="BC1343" s="129" t="s">
        <v>38</v>
      </c>
      <c r="BF1343" s="111">
        <f t="shared" si="992"/>
        <v>3</v>
      </c>
      <c r="BG1343" s="111">
        <f t="shared" si="993"/>
        <v>3</v>
      </c>
      <c r="BH1343" s="111">
        <f t="shared" si="946"/>
        <v>4</v>
      </c>
      <c r="BI1343" s="111">
        <f t="shared" si="947"/>
        <v>31.439890710382514</v>
      </c>
      <c r="BJ1343" s="129">
        <f t="shared" si="952"/>
        <v>0</v>
      </c>
      <c r="BK1343" s="129">
        <f t="shared" si="948"/>
        <v>0</v>
      </c>
      <c r="BL1343" s="129" t="str">
        <f t="shared" si="978"/>
        <v>CONVICTION</v>
      </c>
      <c r="BM1343" s="129" t="str">
        <f t="shared" si="953"/>
        <v>NONE</v>
      </c>
      <c r="BN1343" s="129" t="s">
        <v>566</v>
      </c>
      <c r="BP1343" s="137" t="str">
        <f t="shared" si="954"/>
        <v>CONVICTION</v>
      </c>
      <c r="BQ1343" s="128" t="str">
        <f t="shared" si="955"/>
        <v>Y</v>
      </c>
      <c r="BR1343" s="129" t="str">
        <f t="shared" si="956"/>
        <v>DETAINED</v>
      </c>
      <c r="BS1343" s="129" t="str">
        <f t="shared" si="957"/>
        <v>DISPOSED</v>
      </c>
      <c r="BT1343" s="129" t="str">
        <f t="shared" si="958"/>
        <v>Y</v>
      </c>
      <c r="BU1343" s="109">
        <f t="shared" si="959"/>
        <v>0.75</v>
      </c>
      <c r="BV1343" s="109">
        <f t="shared" si="960"/>
        <v>1</v>
      </c>
      <c r="BW1343" s="109">
        <f t="shared" si="990"/>
        <v>0.25</v>
      </c>
      <c r="BX1343" s="111">
        <f t="shared" si="961"/>
        <v>0</v>
      </c>
      <c r="BY1343" s="129">
        <f t="shared" si="962"/>
        <v>-3</v>
      </c>
      <c r="BZ1343" s="111">
        <f t="shared" si="963"/>
        <v>0</v>
      </c>
      <c r="CA1343" s="138">
        <f t="shared" si="964"/>
        <v>3</v>
      </c>
      <c r="CB1343" s="111" t="e">
        <f t="shared" si="994"/>
        <v>#VALUE!</v>
      </c>
      <c r="CC1343" s="129">
        <f>G1343-I1343+1</f>
        <v>3</v>
      </c>
      <c r="CD1343" s="129">
        <f>G1343-J1343</f>
        <v>0</v>
      </c>
      <c r="CG1343" s="129" t="str">
        <f t="shared" si="965"/>
        <v>Y</v>
      </c>
      <c r="CI1343" s="129" t="str">
        <f t="shared" si="966"/>
        <v>0-10 DAYS</v>
      </c>
      <c r="CJ1343" s="137">
        <f t="shared" si="967"/>
        <v>1</v>
      </c>
      <c r="CK1343" s="129" t="str">
        <f t="shared" si="968"/>
        <v>Booked</v>
      </c>
    </row>
    <row r="1344" spans="1:89" ht="15" customHeight="1" x14ac:dyDescent="0.25">
      <c r="A1344" s="111">
        <v>1835</v>
      </c>
      <c r="B1344" s="128" t="str">
        <f t="shared" si="949"/>
        <v>N</v>
      </c>
      <c r="C1344" s="128" t="str">
        <f t="shared" si="950"/>
        <v>N</v>
      </c>
      <c r="D1344" s="117">
        <v>1966845</v>
      </c>
      <c r="E1344" s="135">
        <f t="shared" si="951"/>
        <v>5</v>
      </c>
      <c r="F1344" s="124">
        <v>40976</v>
      </c>
      <c r="G1344" s="125">
        <v>40995</v>
      </c>
      <c r="H1344" s="117">
        <v>1966845</v>
      </c>
      <c r="I1344" s="124">
        <v>40977</v>
      </c>
      <c r="J1344" s="124">
        <v>40995</v>
      </c>
      <c r="K1344" s="126">
        <v>15000</v>
      </c>
      <c r="L1344" s="127" t="s">
        <v>571</v>
      </c>
      <c r="N1344" s="129" t="str">
        <f t="shared" si="991"/>
        <v>N</v>
      </c>
      <c r="O1344" s="128" t="s">
        <v>917</v>
      </c>
      <c r="P1344" s="129" t="s">
        <v>39</v>
      </c>
      <c r="Q1344" s="111">
        <f t="shared" si="983"/>
        <v>19</v>
      </c>
      <c r="R1344" s="111">
        <f t="shared" si="973"/>
        <v>20</v>
      </c>
      <c r="S1344" s="129">
        <v>3</v>
      </c>
      <c r="T1344" s="129">
        <v>10</v>
      </c>
      <c r="U1344" s="129">
        <v>1</v>
      </c>
      <c r="W1344" s="111"/>
      <c r="AC1344" s="130"/>
      <c r="AD1344" s="130">
        <v>30981</v>
      </c>
      <c r="AE1344" s="128" t="s">
        <v>32</v>
      </c>
      <c r="AF1344" s="128" t="s">
        <v>69</v>
      </c>
      <c r="AG1344" s="128" t="s">
        <v>874</v>
      </c>
      <c r="AH1344" s="108" t="s">
        <v>58</v>
      </c>
      <c r="AI1344" s="128" t="s">
        <v>141</v>
      </c>
      <c r="AJ1344" s="129" t="s">
        <v>89</v>
      </c>
      <c r="AK1344" s="129">
        <v>2</v>
      </c>
      <c r="AL1344" s="3" t="s">
        <v>992</v>
      </c>
      <c r="AN1344" s="117">
        <v>6</v>
      </c>
      <c r="AP1344" s="129" t="s">
        <v>60</v>
      </c>
      <c r="AR1344" s="128" t="s">
        <v>44</v>
      </c>
      <c r="AS1344" s="129" t="s">
        <v>61</v>
      </c>
      <c r="BC1344" s="129" t="s">
        <v>38</v>
      </c>
      <c r="BF1344" s="111">
        <f t="shared" si="992"/>
        <v>19</v>
      </c>
      <c r="BG1344" s="111">
        <f t="shared" si="993"/>
        <v>19</v>
      </c>
      <c r="BH1344" s="111">
        <f t="shared" si="946"/>
        <v>20</v>
      </c>
      <c r="BI1344" s="111">
        <f t="shared" si="947"/>
        <v>27.308743169398905</v>
      </c>
      <c r="BJ1344" s="129">
        <f t="shared" si="952"/>
        <v>0</v>
      </c>
      <c r="BK1344" s="129">
        <f t="shared" si="948"/>
        <v>0</v>
      </c>
      <c r="BL1344" s="129" t="str">
        <f t="shared" si="978"/>
        <v>CONVICTION</v>
      </c>
      <c r="BM1344" s="129" t="str">
        <f t="shared" si="953"/>
        <v>NONE</v>
      </c>
      <c r="BN1344" s="129" t="s">
        <v>566</v>
      </c>
      <c r="BP1344" s="137" t="str">
        <f t="shared" si="954"/>
        <v>CONVICTION</v>
      </c>
      <c r="BQ1344" s="128" t="str">
        <f t="shared" si="955"/>
        <v>Y</v>
      </c>
      <c r="BR1344" s="129" t="str">
        <f t="shared" si="956"/>
        <v>DETAINED</v>
      </c>
      <c r="BS1344" s="129" t="str">
        <f t="shared" si="957"/>
        <v>DISPOSED</v>
      </c>
      <c r="BT1344" s="129" t="str">
        <f t="shared" si="958"/>
        <v>Y</v>
      </c>
      <c r="BU1344" s="109">
        <f t="shared" si="959"/>
        <v>0.95</v>
      </c>
      <c r="BV1344" s="109">
        <f t="shared" si="960"/>
        <v>1</v>
      </c>
      <c r="BW1344" s="109">
        <f t="shared" si="990"/>
        <v>5.0000000000000044E-2</v>
      </c>
      <c r="BX1344" s="111">
        <f t="shared" si="961"/>
        <v>0</v>
      </c>
      <c r="BY1344" s="129">
        <f t="shared" si="962"/>
        <v>-19</v>
      </c>
      <c r="BZ1344" s="111">
        <f t="shared" si="963"/>
        <v>0</v>
      </c>
      <c r="CA1344" s="138">
        <f t="shared" si="964"/>
        <v>19</v>
      </c>
      <c r="CB1344" s="111" t="e">
        <f t="shared" si="994"/>
        <v>#VALUE!</v>
      </c>
      <c r="CC1344" s="129">
        <f>G1344-I1344+1</f>
        <v>19</v>
      </c>
      <c r="CD1344" s="129">
        <f>G1344-J1344</f>
        <v>0</v>
      </c>
      <c r="CG1344" s="129" t="str">
        <f t="shared" si="965"/>
        <v>Y</v>
      </c>
      <c r="CI1344" s="129" t="str">
        <f t="shared" si="966"/>
        <v>11-30 DAYS</v>
      </c>
      <c r="CJ1344" s="137">
        <f t="shared" si="967"/>
        <v>2</v>
      </c>
      <c r="CK1344" s="129" t="str">
        <f t="shared" si="968"/>
        <v>Booked</v>
      </c>
    </row>
    <row r="1345" spans="1:89" ht="15" customHeight="1" x14ac:dyDescent="0.25">
      <c r="A1345" s="111">
        <v>435</v>
      </c>
      <c r="B1345" s="128" t="str">
        <f t="shared" si="949"/>
        <v>N</v>
      </c>
      <c r="C1345" s="128" t="str">
        <f t="shared" si="950"/>
        <v>N</v>
      </c>
      <c r="D1345" s="117">
        <v>1967024</v>
      </c>
      <c r="E1345" s="135">
        <f t="shared" si="951"/>
        <v>5</v>
      </c>
      <c r="F1345" s="124">
        <v>40926</v>
      </c>
      <c r="G1345" s="125">
        <v>41045</v>
      </c>
      <c r="H1345" s="117">
        <v>1967024</v>
      </c>
      <c r="I1345" s="124">
        <v>40927</v>
      </c>
      <c r="J1345" s="124">
        <v>41045</v>
      </c>
      <c r="K1345" s="126">
        <v>15000</v>
      </c>
      <c r="L1345" s="127" t="s">
        <v>571</v>
      </c>
      <c r="N1345" s="129" t="str">
        <f t="shared" si="991"/>
        <v>N</v>
      </c>
      <c r="O1345" s="128" t="s">
        <v>917</v>
      </c>
      <c r="P1345" s="129" t="s">
        <v>39</v>
      </c>
      <c r="Q1345" s="111">
        <f t="shared" si="983"/>
        <v>119</v>
      </c>
      <c r="R1345" s="111">
        <f t="shared" si="973"/>
        <v>120</v>
      </c>
      <c r="S1345" s="129">
        <v>8</v>
      </c>
      <c r="T1345" s="129">
        <v>4</v>
      </c>
      <c r="U1345" s="129">
        <v>3</v>
      </c>
      <c r="V1345" s="117">
        <v>3</v>
      </c>
      <c r="W1345" s="111"/>
      <c r="AC1345" s="130"/>
      <c r="AD1345" s="130">
        <v>30619</v>
      </c>
      <c r="AE1345" s="128" t="s">
        <v>32</v>
      </c>
      <c r="AF1345" s="128" t="s">
        <v>33</v>
      </c>
      <c r="AG1345" s="128" t="s">
        <v>872</v>
      </c>
      <c r="AH1345" s="108" t="s">
        <v>58</v>
      </c>
      <c r="AI1345" s="128" t="s">
        <v>47</v>
      </c>
      <c r="AJ1345" s="129" t="s">
        <v>89</v>
      </c>
      <c r="AK1345" s="129">
        <v>7</v>
      </c>
      <c r="AL1345" s="3" t="s">
        <v>992</v>
      </c>
      <c r="AN1345" s="117">
        <v>6</v>
      </c>
      <c r="AP1345" s="129" t="s">
        <v>175</v>
      </c>
      <c r="AR1345" s="128" t="s">
        <v>44</v>
      </c>
      <c r="AS1345" s="129" t="s">
        <v>45</v>
      </c>
      <c r="BC1345" s="129" t="s">
        <v>52</v>
      </c>
      <c r="BF1345" s="111">
        <f t="shared" si="992"/>
        <v>119</v>
      </c>
      <c r="BG1345" s="111">
        <f t="shared" si="993"/>
        <v>119</v>
      </c>
      <c r="BH1345" s="111">
        <f t="shared" ref="BH1345:BH1408" si="995">IF(G1345&gt;1/1/1900,((G1345+1)-F1345),"STILL OPEN")</f>
        <v>120</v>
      </c>
      <c r="BI1345" s="111">
        <f t="shared" ref="BI1345:BI1408" si="996">(F1345-AD1345)/366</f>
        <v>28.161202185792348</v>
      </c>
      <c r="BJ1345" s="129">
        <f t="shared" si="952"/>
        <v>0</v>
      </c>
      <c r="BK1345" s="129">
        <f t="shared" ref="BK1345:BK1408" si="997">J1345-G1345</f>
        <v>0</v>
      </c>
      <c r="BL1345" s="129" t="str">
        <f t="shared" si="978"/>
        <v>CONVICTION</v>
      </c>
      <c r="BM1345" s="129" t="str">
        <f t="shared" si="953"/>
        <v>NONE</v>
      </c>
      <c r="BN1345" s="129" t="s">
        <v>566</v>
      </c>
      <c r="BP1345" s="137" t="str">
        <f t="shared" si="954"/>
        <v>CONVICTION</v>
      </c>
      <c r="BQ1345" s="128" t="str">
        <f t="shared" si="955"/>
        <v>Y</v>
      </c>
      <c r="BR1345" s="129" t="str">
        <f t="shared" si="956"/>
        <v>DETAINED</v>
      </c>
      <c r="BS1345" s="129" t="str">
        <f t="shared" si="957"/>
        <v>DISPOSED</v>
      </c>
      <c r="BT1345" s="129" t="str">
        <f t="shared" si="958"/>
        <v>Y</v>
      </c>
      <c r="BU1345" s="109">
        <f t="shared" si="959"/>
        <v>0.9916666666666667</v>
      </c>
      <c r="BV1345" s="109">
        <f t="shared" si="960"/>
        <v>1</v>
      </c>
      <c r="BW1345" s="109">
        <f t="shared" si="990"/>
        <v>8.3333333333333037E-3</v>
      </c>
      <c r="BX1345" s="111">
        <f t="shared" si="961"/>
        <v>0</v>
      </c>
      <c r="BY1345" s="129">
        <f t="shared" si="962"/>
        <v>-119</v>
      </c>
      <c r="BZ1345" s="111">
        <f t="shared" si="963"/>
        <v>0</v>
      </c>
      <c r="CA1345" s="138">
        <f t="shared" si="964"/>
        <v>119</v>
      </c>
      <c r="CB1345" s="111" t="e">
        <f t="shared" si="994"/>
        <v>#VALUE!</v>
      </c>
      <c r="CC1345" s="129">
        <f>G1345-I1345+1</f>
        <v>119</v>
      </c>
      <c r="CD1345" s="129">
        <f>G1345-J1345</f>
        <v>0</v>
      </c>
      <c r="CG1345" s="129" t="str">
        <f t="shared" si="965"/>
        <v>Y</v>
      </c>
      <c r="CI1345" s="129" t="str">
        <f t="shared" si="966"/>
        <v>91-120 DAYS</v>
      </c>
      <c r="CJ1345" s="137">
        <f t="shared" si="967"/>
        <v>0</v>
      </c>
      <c r="CK1345" s="129" t="str">
        <f t="shared" si="968"/>
        <v>Booked</v>
      </c>
    </row>
    <row r="1346" spans="1:89" ht="15.75" customHeight="1" x14ac:dyDescent="0.25">
      <c r="A1346" s="111">
        <v>1750</v>
      </c>
      <c r="B1346" s="128" t="str">
        <f t="shared" ref="B1346:B1409" si="998">IF(BD1346&lt;&gt;"","Y","N")</f>
        <v>N</v>
      </c>
      <c r="C1346" s="128" t="str">
        <f t="shared" ref="C1346:C1409" si="999">IF((AND(AV1346="",AX1346="",AY1346="")),"N","Y")</f>
        <v>N</v>
      </c>
      <c r="D1346" s="117">
        <v>1967041</v>
      </c>
      <c r="E1346" s="135">
        <f t="shared" ref="E1346:E1409" si="1000">IF(OR(AL1346="ACQUITTAL",AL1346="ACQUIT",AL1346="acq insane",AL1346="DISMISSED",AL1346="NO BILL"),1,IF(AL1346="DEFERRED",2,IF(AL1346="PROBATION",3,IF(OR(AL1346="HCJ",AL1346="fine"),4,IF(AL1346="STJ",5,IF(AL1346="TDC",6,""))))))</f>
        <v>1</v>
      </c>
      <c r="F1346" s="124">
        <v>40974</v>
      </c>
      <c r="G1346" s="125">
        <v>41136</v>
      </c>
      <c r="H1346" s="117">
        <v>1967041</v>
      </c>
      <c r="I1346" s="124">
        <v>40977</v>
      </c>
      <c r="J1346" s="124">
        <v>40978</v>
      </c>
      <c r="K1346" s="126">
        <v>20000</v>
      </c>
      <c r="L1346" s="127" t="s">
        <v>571</v>
      </c>
      <c r="M1346" s="125">
        <v>40978</v>
      </c>
      <c r="N1346" s="129" t="str">
        <f t="shared" si="991"/>
        <v>Y</v>
      </c>
      <c r="O1346" s="128" t="s">
        <v>583</v>
      </c>
      <c r="P1346" s="129" t="s">
        <v>55</v>
      </c>
      <c r="Q1346" s="111">
        <f t="shared" si="983"/>
        <v>2</v>
      </c>
      <c r="R1346" s="111">
        <f t="shared" si="973"/>
        <v>163</v>
      </c>
      <c r="S1346" s="129">
        <v>0</v>
      </c>
      <c r="T1346" s="129">
        <v>2</v>
      </c>
      <c r="W1346" s="111"/>
      <c r="AC1346" s="130"/>
      <c r="AD1346" s="130">
        <v>27649</v>
      </c>
      <c r="AE1346" s="128" t="s">
        <v>32</v>
      </c>
      <c r="AF1346" s="128" t="s">
        <v>69</v>
      </c>
      <c r="AG1346" s="128" t="s">
        <v>874</v>
      </c>
      <c r="AH1346" s="108" t="s">
        <v>31</v>
      </c>
      <c r="AI1346" s="128" t="s">
        <v>62</v>
      </c>
      <c r="AJ1346" s="129" t="s">
        <v>55</v>
      </c>
      <c r="AK1346" s="129">
        <v>8</v>
      </c>
      <c r="AL1346" s="3" t="s">
        <v>55</v>
      </c>
      <c r="AP1346" s="129" t="s">
        <v>56</v>
      </c>
      <c r="AR1346" s="128" t="s">
        <v>50</v>
      </c>
      <c r="AS1346" s="129" t="s">
        <v>57</v>
      </c>
      <c r="BC1346" s="129" t="s">
        <v>52</v>
      </c>
      <c r="BF1346" s="111">
        <f t="shared" si="992"/>
        <v>2</v>
      </c>
      <c r="BG1346" s="111">
        <f t="shared" si="993"/>
        <v>160</v>
      </c>
      <c r="BH1346" s="111">
        <f t="shared" si="995"/>
        <v>163</v>
      </c>
      <c r="BI1346" s="111">
        <f t="shared" si="996"/>
        <v>36.407103825136609</v>
      </c>
      <c r="BJ1346" s="129">
        <f>(G1346-J1346)+(M1346-G1346)</f>
        <v>0</v>
      </c>
      <c r="BK1346" s="129">
        <f t="shared" si="997"/>
        <v>-158</v>
      </c>
      <c r="BL1346" s="129" t="str">
        <f t="shared" si="978"/>
        <v>NO CONVICTION</v>
      </c>
      <c r="BM1346" s="129" t="s">
        <v>583</v>
      </c>
      <c r="BN1346" s="129" t="s">
        <v>88</v>
      </c>
      <c r="BP1346" s="137" t="str">
        <f t="shared" ref="BP1346:BP1409" si="1001">IF(OR(AJ1346="AQUITTAL",AJ1346="DISMISSED",AJ1346="FINE",AJ1346="NO BILL"),"NO CONVICTION",IF(OR(AJ1346="HCJ",AJ1346="MHH",AJ1346="PROBATION",AJ1346="STJ",AJ1346="TDC",AJ1346="CONVICTED"),"CONVICTION",IF(AJ1346="DEFERRED","DEFERRED","")))</f>
        <v>NO CONVICTION</v>
      </c>
      <c r="BQ1346" s="128" t="str">
        <f t="shared" ref="BQ1346:BQ1409" si="1002">IF(BF1346&gt;0,"Y",BF1346)</f>
        <v>Y</v>
      </c>
      <c r="BR1346" s="129" t="str">
        <f t="shared" ref="BR1346:BR1409" si="1003">IF(AND(J1346="NOT BOOKED",M1346&gt;1/1/1),"BONDED - BEFORE BOOKED",IF(BG1346="STILL OPEN","STILL OPEN",IF(N1346="Y","ON BOND",IF(J1346&gt;=G1346,"DETAINED","RELEASED"))))</f>
        <v>ON BOND</v>
      </c>
      <c r="BS1346" s="129" t="str">
        <f t="shared" ref="BS1346:BS1409" si="1004">IF(G1346&lt;&gt;"","DISPOSED","")</f>
        <v>DISPOSED</v>
      </c>
      <c r="BT1346" s="129" t="str">
        <f t="shared" ref="BT1346:BT1409" si="1005">IF(S1346&gt;0,"Y","N")</f>
        <v>N</v>
      </c>
      <c r="BU1346" s="109">
        <f>IFERROR(Q1346/R1346,BR1346)</f>
        <v>1.2269938650306749E-2</v>
      </c>
      <c r="BV1346" s="109">
        <f t="shared" ref="BV1346:BV1409" si="1006">IF(I1346&gt;F1346,((J1346-I1346+1)/(G1346-I1346+1)),(J1346-I1346+1)/(G1346-F1346+1))</f>
        <v>1.2500000000000001E-2</v>
      </c>
      <c r="BW1346" s="109">
        <f t="shared" si="990"/>
        <v>2.3006134969325194E-4</v>
      </c>
      <c r="BX1346" s="111">
        <f t="shared" ref="BX1346:BX1409" si="1007">+Q1346-BF1346</f>
        <v>0</v>
      </c>
      <c r="BY1346" s="129">
        <f t="shared" ref="BY1346:BY1409" si="1008">I1346-J1346-1</f>
        <v>-2</v>
      </c>
      <c r="BZ1346" s="111">
        <f t="shared" ref="BZ1346:BZ1409" si="1009">BY1346+BF1346</f>
        <v>0</v>
      </c>
      <c r="CA1346" s="138">
        <f t="shared" ref="CA1346:CA1409" si="1010">IF(AND(BS1346="DISPOSED",BR1346="DETAINED"),G1346-I1346+1,IF(AND(BS1346="DISPOSED",BR1346="ON BOND"),M1346-I1346+1,IF(AND(BS1346="STILL OPEN","STILL OPEN"),"NOT BOOKED")))</f>
        <v>2</v>
      </c>
      <c r="CB1346" s="111" t="e">
        <f t="shared" si="994"/>
        <v>#VALUE!</v>
      </c>
      <c r="CC1346" s="129">
        <f>M1346-I1346+1</f>
        <v>2</v>
      </c>
      <c r="CD1346" s="111">
        <f>CC1346-BF1346</f>
        <v>0</v>
      </c>
      <c r="CG1346" s="129" t="str">
        <f t="shared" ref="CG1346:CG1409" si="1011">IF((S1346+T1346+U1346)&gt;0,"Y","N")</f>
        <v>Y</v>
      </c>
      <c r="CI1346" s="129" t="str">
        <f t="shared" si="966"/>
        <v>0-10 DAYS</v>
      </c>
      <c r="CJ1346" s="137">
        <f t="shared" si="967"/>
        <v>1</v>
      </c>
      <c r="CK1346" s="129" t="str">
        <f t="shared" si="968"/>
        <v>Booked</v>
      </c>
    </row>
    <row r="1347" spans="1:89" ht="15.75" customHeight="1" x14ac:dyDescent="0.25">
      <c r="A1347" s="111">
        <v>1804</v>
      </c>
      <c r="B1347" s="128" t="str">
        <f t="shared" si="998"/>
        <v>N</v>
      </c>
      <c r="C1347" s="128" t="str">
        <f t="shared" si="999"/>
        <v>Y</v>
      </c>
      <c r="D1347" s="117">
        <v>1968091</v>
      </c>
      <c r="E1347" s="135">
        <f t="shared" si="1000"/>
        <v>6</v>
      </c>
      <c r="F1347" s="124">
        <v>40976</v>
      </c>
      <c r="G1347" s="125">
        <v>41173</v>
      </c>
      <c r="H1347" s="117">
        <v>1968091</v>
      </c>
      <c r="I1347" s="124">
        <v>40976</v>
      </c>
      <c r="J1347" s="124">
        <v>40999</v>
      </c>
      <c r="K1347" s="126">
        <v>50000</v>
      </c>
      <c r="L1347" s="129" t="s">
        <v>572</v>
      </c>
      <c r="M1347" s="125">
        <v>40999</v>
      </c>
      <c r="N1347" s="129" t="str">
        <f t="shared" si="991"/>
        <v>Y</v>
      </c>
      <c r="O1347" s="128" t="s">
        <v>585</v>
      </c>
      <c r="P1347" s="129" t="s">
        <v>39</v>
      </c>
      <c r="Q1347" s="111">
        <f t="shared" si="983"/>
        <v>24</v>
      </c>
      <c r="R1347" s="111">
        <f t="shared" si="973"/>
        <v>198</v>
      </c>
      <c r="S1347" s="129">
        <v>5</v>
      </c>
      <c r="T1347" s="129">
        <v>6</v>
      </c>
      <c r="U1347" s="129">
        <v>3</v>
      </c>
      <c r="W1347" s="111"/>
      <c r="AC1347" s="130"/>
      <c r="AD1347" s="130">
        <v>31337</v>
      </c>
      <c r="AE1347" s="128" t="s">
        <v>32</v>
      </c>
      <c r="AF1347" s="128" t="s">
        <v>33</v>
      </c>
      <c r="AG1347" s="128" t="s">
        <v>872</v>
      </c>
      <c r="AH1347" s="108" t="s">
        <v>58</v>
      </c>
      <c r="AI1347" s="128" t="s">
        <v>90</v>
      </c>
      <c r="AJ1347" s="129" t="s">
        <v>89</v>
      </c>
      <c r="AK1347" s="129">
        <v>10</v>
      </c>
      <c r="AL1347" s="3" t="s">
        <v>362</v>
      </c>
      <c r="AM1347" s="117">
        <v>2</v>
      </c>
      <c r="AP1347" s="129" t="s">
        <v>101</v>
      </c>
      <c r="AR1347" s="128" t="s">
        <v>67</v>
      </c>
      <c r="AS1347" s="129" t="s">
        <v>64</v>
      </c>
      <c r="AU1347" s="3" t="s">
        <v>739</v>
      </c>
      <c r="AX1347" s="32" t="s">
        <v>88</v>
      </c>
      <c r="BC1347" s="129" t="s">
        <v>52</v>
      </c>
      <c r="BF1347" s="111">
        <v>24</v>
      </c>
      <c r="BG1347" s="111">
        <f t="shared" si="993"/>
        <v>198</v>
      </c>
      <c r="BH1347" s="111">
        <f t="shared" si="995"/>
        <v>198</v>
      </c>
      <c r="BI1347" s="111">
        <f t="shared" si="996"/>
        <v>26.33606557377049</v>
      </c>
      <c r="BJ1347" s="129">
        <f>(G1347-J1347)+(M1347-G1347)</f>
        <v>0</v>
      </c>
      <c r="BK1347" s="129">
        <f t="shared" si="997"/>
        <v>-174</v>
      </c>
      <c r="BL1347" s="129" t="str">
        <f t="shared" si="978"/>
        <v>CONVICTION</v>
      </c>
      <c r="BM1347" s="129" t="s">
        <v>76</v>
      </c>
      <c r="BN1347" s="129" t="s">
        <v>88</v>
      </c>
      <c r="BP1347" s="137" t="str">
        <f t="shared" si="1001"/>
        <v>CONVICTION</v>
      </c>
      <c r="BQ1347" s="128" t="str">
        <f t="shared" si="1002"/>
        <v>Y</v>
      </c>
      <c r="BR1347" s="129" t="str">
        <f>IF(J1347&lt;G1347,"ON BOND",0)</f>
        <v>ON BOND</v>
      </c>
      <c r="BS1347" s="129" t="str">
        <f t="shared" si="1004"/>
        <v>DISPOSED</v>
      </c>
      <c r="BT1347" s="129" t="str">
        <f t="shared" si="1005"/>
        <v>Y</v>
      </c>
      <c r="BU1347" s="109">
        <f t="shared" ref="BU1347:BU1409" si="1012">Q1347/R1347</f>
        <v>0.12121212121212122</v>
      </c>
      <c r="BV1347" s="109">
        <f t="shared" si="1006"/>
        <v>0.12121212121212122</v>
      </c>
      <c r="BW1347" s="109">
        <f t="shared" si="990"/>
        <v>0</v>
      </c>
      <c r="BX1347" s="111">
        <f t="shared" si="1007"/>
        <v>0</v>
      </c>
      <c r="BY1347" s="129">
        <f t="shared" si="1008"/>
        <v>-24</v>
      </c>
      <c r="BZ1347" s="111">
        <f t="shared" si="1009"/>
        <v>0</v>
      </c>
      <c r="CA1347" s="138">
        <f t="shared" si="1010"/>
        <v>24</v>
      </c>
      <c r="CB1347" s="111" t="e">
        <f t="shared" si="994"/>
        <v>#VALUE!</v>
      </c>
      <c r="CD1347" s="129">
        <f>G1347-J1347</f>
        <v>174</v>
      </c>
      <c r="CG1347" s="129" t="str">
        <f t="shared" si="1011"/>
        <v>Y</v>
      </c>
      <c r="CI1347" s="129" t="str">
        <f t="shared" ref="CI1347:CI1410" si="1013">IF(BF1347&lt;11,"0-10 DAYS",IF(AND(BF1347&gt;10,BF1347&lt;31),"11-30 DAYS",IF((AND(BF1347&gt;30,BF1347&lt;61)),"31-60 DAYS",IF(AND(BF1347&gt;60,BF1347&lt;91),"61-90 DAYS",IF(AND(BF1347&gt;90,BF1347&lt;121),"91-120 DAYS",IF(AND(BF1347&gt;120,BF1347&lt;366),"121-365 DAYS",IF(AND(BF1347&gt;365,BF1347&lt;730)," &gt;1YRS&lt;2YRS",IF(AND(BF1347&gt;729,BF1347&lt;1095),"&gt;2YRS&lt;3YRS",IF(BF1347&gt;1094,"&gt;3YRS")))))))))</f>
        <v>11-30 DAYS</v>
      </c>
      <c r="CJ1347" s="137">
        <f t="shared" ref="CJ1347:CJ1410" si="1014">IF(CI1347="0-10 DAYS",1,IF(CI1347="11-30 DAYS",2,IF(CI1347="31-60 DAYS",3,IF(CI1347="61-90 DAYS",4,IF(CK1347="91-120 DAYS",5,IF(CI1347="121-365 DAYS",6,IF(CI1347="&gt;1YRS&lt;2YRS",7,IF(CI1347="&gt;2YRS&lt;3YRS",8,IF(CI1347="&gt;3YRS",9,0)))))))))</f>
        <v>2</v>
      </c>
      <c r="CK1347" s="129" t="str">
        <f t="shared" ref="CK1347:CK1410" si="1015">IF(I1347="Not Booked","Not Booked","Booked")</f>
        <v>Booked</v>
      </c>
    </row>
    <row r="1348" spans="1:89" ht="15.75" customHeight="1" x14ac:dyDescent="0.25">
      <c r="A1348" s="111">
        <v>997</v>
      </c>
      <c r="B1348" s="128" t="str">
        <f t="shared" si="998"/>
        <v>N</v>
      </c>
      <c r="C1348" s="128" t="str">
        <f t="shared" si="999"/>
        <v>N</v>
      </c>
      <c r="D1348" s="117">
        <v>1968581</v>
      </c>
      <c r="E1348" s="135">
        <f t="shared" si="1000"/>
        <v>2</v>
      </c>
      <c r="F1348" s="124">
        <v>40946</v>
      </c>
      <c r="G1348" s="125">
        <v>41081</v>
      </c>
      <c r="H1348" s="117">
        <v>1968581</v>
      </c>
      <c r="I1348" s="124">
        <v>40946</v>
      </c>
      <c r="J1348" s="124">
        <v>40948</v>
      </c>
      <c r="K1348" s="126">
        <v>2000</v>
      </c>
      <c r="L1348" s="127" t="s">
        <v>568</v>
      </c>
      <c r="M1348" s="125">
        <v>40948</v>
      </c>
      <c r="N1348" s="129" t="str">
        <f t="shared" si="991"/>
        <v>Y</v>
      </c>
      <c r="O1348" s="128" t="s">
        <v>585</v>
      </c>
      <c r="P1348" s="129" t="s">
        <v>589</v>
      </c>
      <c r="Q1348" s="111">
        <f t="shared" si="983"/>
        <v>3</v>
      </c>
      <c r="R1348" s="111">
        <f t="shared" si="973"/>
        <v>136</v>
      </c>
      <c r="S1348" s="129">
        <v>1</v>
      </c>
      <c r="T1348" s="129">
        <v>0</v>
      </c>
      <c r="W1348" s="111"/>
      <c r="AC1348" s="130"/>
      <c r="AD1348" s="130">
        <v>30677</v>
      </c>
      <c r="AE1348" s="128" t="s">
        <v>32</v>
      </c>
      <c r="AF1348" s="128" t="s">
        <v>33</v>
      </c>
      <c r="AG1348" s="128" t="s">
        <v>872</v>
      </c>
      <c r="AH1348" s="108" t="s">
        <v>31</v>
      </c>
      <c r="AI1348" s="128" t="s">
        <v>90</v>
      </c>
      <c r="AJ1348" s="129" t="s">
        <v>48</v>
      </c>
      <c r="AK1348" s="129">
        <v>8</v>
      </c>
      <c r="AL1348" s="3" t="s">
        <v>48</v>
      </c>
      <c r="AP1348" s="129" t="s">
        <v>175</v>
      </c>
      <c r="AR1348" s="128" t="s">
        <v>44</v>
      </c>
      <c r="AS1348" s="129" t="s">
        <v>45</v>
      </c>
      <c r="BC1348" s="129" t="s">
        <v>52</v>
      </c>
      <c r="BF1348" s="111">
        <f t="shared" si="992"/>
        <v>3</v>
      </c>
      <c r="BG1348" s="111">
        <f t="shared" si="993"/>
        <v>136</v>
      </c>
      <c r="BH1348" s="111">
        <f t="shared" si="995"/>
        <v>136</v>
      </c>
      <c r="BI1348" s="111">
        <f t="shared" si="996"/>
        <v>28.057377049180328</v>
      </c>
      <c r="BJ1348" s="129">
        <f>(G1348-J1348)+(M1348-G1348)</f>
        <v>0</v>
      </c>
      <c r="BK1348" s="129">
        <f t="shared" si="997"/>
        <v>-133</v>
      </c>
      <c r="BL1348" s="129" t="str">
        <f t="shared" si="978"/>
        <v>DEFERRED</v>
      </c>
      <c r="BM1348" s="129" t="s">
        <v>76</v>
      </c>
      <c r="BN1348" s="129" t="s">
        <v>88</v>
      </c>
      <c r="BP1348" s="137" t="str">
        <f t="shared" si="1001"/>
        <v>DEFERRED</v>
      </c>
      <c r="BQ1348" s="128" t="str">
        <f t="shared" si="1002"/>
        <v>Y</v>
      </c>
      <c r="BR1348" s="129" t="str">
        <f t="shared" si="1003"/>
        <v>ON BOND</v>
      </c>
      <c r="BS1348" s="129" t="str">
        <f t="shared" si="1004"/>
        <v>DISPOSED</v>
      </c>
      <c r="BT1348" s="129" t="str">
        <f t="shared" si="1005"/>
        <v>Y</v>
      </c>
      <c r="BU1348" s="109">
        <f t="shared" si="1012"/>
        <v>2.2058823529411766E-2</v>
      </c>
      <c r="BV1348" s="109">
        <f t="shared" si="1006"/>
        <v>2.2058823529411766E-2</v>
      </c>
      <c r="BW1348" s="109">
        <f t="shared" si="990"/>
        <v>0</v>
      </c>
      <c r="BX1348" s="111">
        <f t="shared" si="1007"/>
        <v>0</v>
      </c>
      <c r="BY1348" s="129">
        <f t="shared" si="1008"/>
        <v>-3</v>
      </c>
      <c r="BZ1348" s="111">
        <f t="shared" si="1009"/>
        <v>0</v>
      </c>
      <c r="CA1348" s="138">
        <f t="shared" si="1010"/>
        <v>3</v>
      </c>
      <c r="CB1348" s="111" t="e">
        <f t="shared" si="994"/>
        <v>#VALUE!</v>
      </c>
      <c r="CC1348" s="129">
        <f>M1348-I1348+1</f>
        <v>3</v>
      </c>
      <c r="CD1348" s="111">
        <f>CC1348-BF1348</f>
        <v>0</v>
      </c>
      <c r="CG1348" s="129" t="str">
        <f t="shared" si="1011"/>
        <v>Y</v>
      </c>
      <c r="CI1348" s="129" t="str">
        <f t="shared" si="1013"/>
        <v>0-10 DAYS</v>
      </c>
      <c r="CJ1348" s="137">
        <f t="shared" si="1014"/>
        <v>1</v>
      </c>
      <c r="CK1348" s="129" t="str">
        <f t="shared" si="1015"/>
        <v>Booked</v>
      </c>
    </row>
    <row r="1349" spans="1:89" ht="15.75" customHeight="1" x14ac:dyDescent="0.25">
      <c r="A1349" s="111">
        <v>3130</v>
      </c>
      <c r="B1349" s="128" t="str">
        <f t="shared" si="998"/>
        <v>N</v>
      </c>
      <c r="C1349" s="128" t="str">
        <f t="shared" si="999"/>
        <v>N</v>
      </c>
      <c r="D1349" s="117">
        <v>1969203</v>
      </c>
      <c r="E1349" s="135">
        <f t="shared" si="1000"/>
        <v>1</v>
      </c>
      <c r="F1349" s="124">
        <v>41024</v>
      </c>
      <c r="G1349" s="125">
        <v>41026</v>
      </c>
      <c r="H1349" s="117">
        <v>1969203</v>
      </c>
      <c r="I1349" s="124">
        <v>41024</v>
      </c>
      <c r="J1349" s="124">
        <v>41026</v>
      </c>
      <c r="K1349" s="126">
        <v>10000</v>
      </c>
      <c r="L1349" s="127" t="s">
        <v>570</v>
      </c>
      <c r="N1349" s="129" t="str">
        <f t="shared" si="991"/>
        <v>N</v>
      </c>
      <c r="O1349" s="128" t="s">
        <v>917</v>
      </c>
      <c r="P1349" s="129" t="s">
        <v>55</v>
      </c>
      <c r="Q1349" s="111">
        <f t="shared" si="983"/>
        <v>3</v>
      </c>
      <c r="R1349" s="111">
        <f t="shared" si="973"/>
        <v>3</v>
      </c>
      <c r="S1349" s="129">
        <v>3</v>
      </c>
      <c r="T1349" s="129">
        <v>1</v>
      </c>
      <c r="U1349" s="129">
        <v>2</v>
      </c>
      <c r="W1349" s="111"/>
      <c r="AC1349" s="130"/>
      <c r="AD1349" s="130">
        <v>27773</v>
      </c>
      <c r="AE1349" s="128" t="s">
        <v>32</v>
      </c>
      <c r="AF1349" s="128" t="s">
        <v>33</v>
      </c>
      <c r="AG1349" s="128" t="s">
        <v>872</v>
      </c>
      <c r="AH1349" s="108" t="s">
        <v>58</v>
      </c>
      <c r="AI1349" s="128" t="s">
        <v>95</v>
      </c>
      <c r="AJ1349" s="129" t="s">
        <v>55</v>
      </c>
      <c r="AK1349" s="129">
        <v>1</v>
      </c>
      <c r="AL1349" s="3" t="s">
        <v>55</v>
      </c>
      <c r="AP1349" s="129" t="s">
        <v>136</v>
      </c>
      <c r="AR1349" s="128" t="s">
        <v>67</v>
      </c>
      <c r="AS1349" s="129" t="s">
        <v>64</v>
      </c>
      <c r="BC1349" s="129" t="s">
        <v>79</v>
      </c>
      <c r="BF1349" s="111">
        <f t="shared" si="992"/>
        <v>3</v>
      </c>
      <c r="BG1349" s="111">
        <f t="shared" si="993"/>
        <v>3</v>
      </c>
      <c r="BH1349" s="111">
        <f t="shared" si="995"/>
        <v>3</v>
      </c>
      <c r="BI1349" s="111">
        <f t="shared" si="996"/>
        <v>36.204918032786885</v>
      </c>
      <c r="BJ1349" s="129">
        <f t="shared" ref="BJ1349:BJ1409" si="1016">G1349-J1349-M1349</f>
        <v>0</v>
      </c>
      <c r="BK1349" s="129">
        <f t="shared" si="997"/>
        <v>0</v>
      </c>
      <c r="BL1349" s="129" t="str">
        <f t="shared" si="978"/>
        <v>NO CONVICTION</v>
      </c>
      <c r="BM1349" s="129" t="str">
        <f t="shared" ref="BM1349:BM1409" si="1017">O1349</f>
        <v>NONE</v>
      </c>
      <c r="BN1349" s="129" t="s">
        <v>566</v>
      </c>
      <c r="BP1349" s="137" t="str">
        <f t="shared" si="1001"/>
        <v>NO CONVICTION</v>
      </c>
      <c r="BQ1349" s="128" t="str">
        <f t="shared" si="1002"/>
        <v>Y</v>
      </c>
      <c r="BR1349" s="129" t="str">
        <f t="shared" si="1003"/>
        <v>DETAINED</v>
      </c>
      <c r="BS1349" s="129" t="str">
        <f t="shared" si="1004"/>
        <v>DISPOSED</v>
      </c>
      <c r="BT1349" s="129" t="str">
        <f t="shared" si="1005"/>
        <v>Y</v>
      </c>
      <c r="BU1349" s="109">
        <f>IFERROR(Q1349/R1349,BR1349)</f>
        <v>1</v>
      </c>
      <c r="BV1349" s="109">
        <f t="shared" si="1006"/>
        <v>1</v>
      </c>
      <c r="BW1349" s="109">
        <f t="shared" si="990"/>
        <v>0</v>
      </c>
      <c r="BX1349" s="111">
        <f t="shared" si="1007"/>
        <v>0</v>
      </c>
      <c r="BY1349" s="129">
        <f t="shared" si="1008"/>
        <v>-3</v>
      </c>
      <c r="BZ1349" s="111">
        <f t="shared" si="1009"/>
        <v>0</v>
      </c>
      <c r="CA1349" s="138">
        <f t="shared" si="1010"/>
        <v>3</v>
      </c>
      <c r="CB1349" s="111" t="e">
        <f t="shared" si="994"/>
        <v>#VALUE!</v>
      </c>
      <c r="CC1349" s="129">
        <f t="shared" ref="CC1349:CC1357" si="1018">G1349-I1349+1</f>
        <v>3</v>
      </c>
      <c r="CD1349" s="129">
        <f t="shared" ref="CD1349:CD1357" si="1019">G1349-J1349</f>
        <v>0</v>
      </c>
      <c r="CG1349" s="129" t="str">
        <f t="shared" si="1011"/>
        <v>Y</v>
      </c>
      <c r="CI1349" s="129" t="str">
        <f t="shared" si="1013"/>
        <v>0-10 DAYS</v>
      </c>
      <c r="CJ1349" s="137">
        <f t="shared" si="1014"/>
        <v>1</v>
      </c>
      <c r="CK1349" s="129" t="str">
        <f t="shared" si="1015"/>
        <v>Booked</v>
      </c>
    </row>
    <row r="1350" spans="1:89" ht="15.75" customHeight="1" x14ac:dyDescent="0.25">
      <c r="A1350" s="111">
        <v>1784</v>
      </c>
      <c r="B1350" s="128" t="str">
        <f t="shared" si="998"/>
        <v>N</v>
      </c>
      <c r="C1350" s="128" t="str">
        <f t="shared" si="999"/>
        <v>N</v>
      </c>
      <c r="D1350" s="117">
        <v>1970810</v>
      </c>
      <c r="E1350" s="135">
        <f t="shared" si="1000"/>
        <v>6</v>
      </c>
      <c r="F1350" s="124">
        <v>40975</v>
      </c>
      <c r="G1350" s="125">
        <v>41618</v>
      </c>
      <c r="H1350" s="117">
        <v>1970810</v>
      </c>
      <c r="I1350" s="124">
        <v>40976</v>
      </c>
      <c r="J1350" s="125">
        <v>41618</v>
      </c>
      <c r="K1350" s="126">
        <v>200000</v>
      </c>
      <c r="L1350" s="129" t="s">
        <v>572</v>
      </c>
      <c r="N1350" s="129" t="str">
        <f t="shared" si="991"/>
        <v>N</v>
      </c>
      <c r="O1350" s="128" t="s">
        <v>917</v>
      </c>
      <c r="P1350" s="129" t="s">
        <v>39</v>
      </c>
      <c r="Q1350" s="111">
        <f t="shared" ref="Q1350:Q1357" si="1020">BF1350</f>
        <v>643</v>
      </c>
      <c r="R1350" s="111">
        <f t="shared" si="973"/>
        <v>644</v>
      </c>
      <c r="S1350" s="129">
        <v>1</v>
      </c>
      <c r="T1350" s="129">
        <v>1</v>
      </c>
      <c r="U1350" s="129">
        <v>1</v>
      </c>
      <c r="W1350" s="111"/>
      <c r="AB1350" s="131" t="s">
        <v>112</v>
      </c>
      <c r="AC1350" s="130"/>
      <c r="AD1350" s="130">
        <v>24875</v>
      </c>
      <c r="AE1350" s="128" t="s">
        <v>32</v>
      </c>
      <c r="AF1350" s="128" t="s">
        <v>40</v>
      </c>
      <c r="AG1350" s="128" t="s">
        <v>41</v>
      </c>
      <c r="AH1350" s="108" t="s">
        <v>31</v>
      </c>
      <c r="AI1350" s="128" t="s">
        <v>80</v>
      </c>
      <c r="AJ1350" s="129" t="s">
        <v>89</v>
      </c>
      <c r="AK1350" s="129">
        <v>19</v>
      </c>
      <c r="AL1350" s="3" t="s">
        <v>362</v>
      </c>
      <c r="AM1350" s="117">
        <v>2</v>
      </c>
      <c r="AP1350" s="129" t="s">
        <v>73</v>
      </c>
      <c r="AR1350" s="128" t="s">
        <v>50</v>
      </c>
      <c r="AS1350" s="129" t="s">
        <v>74</v>
      </c>
      <c r="BC1350" s="129" t="s">
        <v>38</v>
      </c>
      <c r="BF1350" s="111">
        <f t="shared" si="992"/>
        <v>643</v>
      </c>
      <c r="BG1350" s="111">
        <f t="shared" si="993"/>
        <v>643</v>
      </c>
      <c r="BH1350" s="111">
        <f t="shared" si="995"/>
        <v>644</v>
      </c>
      <c r="BI1350" s="111">
        <f t="shared" si="996"/>
        <v>43.989071038251367</v>
      </c>
      <c r="BJ1350" s="129">
        <f t="shared" si="1016"/>
        <v>0</v>
      </c>
      <c r="BK1350" s="129">
        <f t="shared" si="997"/>
        <v>0</v>
      </c>
      <c r="BL1350" s="129" t="str">
        <f t="shared" si="978"/>
        <v>CONVICTION</v>
      </c>
      <c r="BM1350" s="129" t="str">
        <f t="shared" si="1017"/>
        <v>NONE</v>
      </c>
      <c r="BN1350" s="129" t="s">
        <v>88</v>
      </c>
      <c r="BP1350" s="137" t="str">
        <f t="shared" si="1001"/>
        <v>CONVICTION</v>
      </c>
      <c r="BQ1350" s="128" t="str">
        <f t="shared" si="1002"/>
        <v>Y</v>
      </c>
      <c r="BR1350" s="129" t="str">
        <f t="shared" si="1003"/>
        <v>DETAINED</v>
      </c>
      <c r="BS1350" s="129" t="str">
        <f t="shared" si="1004"/>
        <v>DISPOSED</v>
      </c>
      <c r="BT1350" s="129" t="str">
        <f t="shared" si="1005"/>
        <v>Y</v>
      </c>
      <c r="BU1350" s="109">
        <f t="shared" si="1012"/>
        <v>0.99844720496894412</v>
      </c>
      <c r="BV1350" s="109">
        <f t="shared" si="1006"/>
        <v>1</v>
      </c>
      <c r="BW1350" s="109">
        <f t="shared" si="990"/>
        <v>1.5527950310558758E-3</v>
      </c>
      <c r="BX1350" s="111">
        <f t="shared" si="1007"/>
        <v>0</v>
      </c>
      <c r="BY1350" s="129">
        <f t="shared" si="1008"/>
        <v>-643</v>
      </c>
      <c r="BZ1350" s="111">
        <f t="shared" si="1009"/>
        <v>0</v>
      </c>
      <c r="CA1350" s="138">
        <f t="shared" si="1010"/>
        <v>643</v>
      </c>
      <c r="CB1350" s="111" t="e">
        <f t="shared" si="994"/>
        <v>#VALUE!</v>
      </c>
      <c r="CC1350" s="129">
        <f t="shared" si="1018"/>
        <v>643</v>
      </c>
      <c r="CD1350" s="129">
        <f t="shared" si="1019"/>
        <v>0</v>
      </c>
      <c r="CG1350" s="129" t="str">
        <f t="shared" si="1011"/>
        <v>Y</v>
      </c>
      <c r="CI1350" s="129" t="str">
        <f t="shared" si="1013"/>
        <v xml:space="preserve"> &gt;1YRS&lt;2YRS</v>
      </c>
      <c r="CJ1350" s="137">
        <f t="shared" si="1014"/>
        <v>0</v>
      </c>
      <c r="CK1350" s="129" t="str">
        <f t="shared" si="1015"/>
        <v>Booked</v>
      </c>
    </row>
    <row r="1351" spans="1:89" ht="15.75" customHeight="1" x14ac:dyDescent="0.25">
      <c r="A1351" s="111">
        <v>2156</v>
      </c>
      <c r="B1351" s="128" t="str">
        <f t="shared" si="998"/>
        <v>N</v>
      </c>
      <c r="C1351" s="128" t="str">
        <f t="shared" si="999"/>
        <v>N</v>
      </c>
      <c r="D1351" s="117">
        <v>1971109</v>
      </c>
      <c r="E1351" s="135">
        <f t="shared" si="1000"/>
        <v>5</v>
      </c>
      <c r="F1351" s="124">
        <v>40990</v>
      </c>
      <c r="G1351" s="125">
        <v>41052</v>
      </c>
      <c r="H1351" s="117">
        <v>1971109</v>
      </c>
      <c r="I1351" s="124">
        <v>40990</v>
      </c>
      <c r="J1351" s="124">
        <v>41052</v>
      </c>
      <c r="K1351" s="126">
        <v>15000</v>
      </c>
      <c r="L1351" s="127" t="s">
        <v>571</v>
      </c>
      <c r="N1351" s="129" t="str">
        <f t="shared" si="991"/>
        <v>N</v>
      </c>
      <c r="O1351" s="128" t="s">
        <v>917</v>
      </c>
      <c r="P1351" s="129" t="s">
        <v>39</v>
      </c>
      <c r="Q1351" s="111">
        <f t="shared" si="1020"/>
        <v>63</v>
      </c>
      <c r="R1351" s="111">
        <f t="shared" si="973"/>
        <v>63</v>
      </c>
      <c r="S1351" s="129">
        <v>11</v>
      </c>
      <c r="T1351" s="129">
        <v>8</v>
      </c>
      <c r="U1351" s="129">
        <v>5</v>
      </c>
      <c r="W1351" s="111"/>
      <c r="AC1351" s="130"/>
      <c r="AD1351" s="130">
        <v>31214</v>
      </c>
      <c r="AE1351" s="128" t="s">
        <v>46</v>
      </c>
      <c r="AF1351" s="128" t="s">
        <v>33</v>
      </c>
      <c r="AG1351" s="128" t="s">
        <v>872</v>
      </c>
      <c r="AH1351" s="108" t="s">
        <v>58</v>
      </c>
      <c r="AI1351" s="128" t="s">
        <v>71</v>
      </c>
      <c r="AJ1351" s="129" t="s">
        <v>89</v>
      </c>
      <c r="AK1351" s="129">
        <v>5</v>
      </c>
      <c r="AL1351" s="3" t="s">
        <v>992</v>
      </c>
      <c r="AN1351" s="117">
        <v>6</v>
      </c>
      <c r="AP1351" s="129" t="s">
        <v>116</v>
      </c>
      <c r="AR1351" s="128" t="s">
        <v>44</v>
      </c>
      <c r="AS1351" s="129" t="s">
        <v>64</v>
      </c>
      <c r="BC1351" s="129" t="s">
        <v>38</v>
      </c>
      <c r="BF1351" s="111">
        <f t="shared" si="992"/>
        <v>63</v>
      </c>
      <c r="BG1351" s="111">
        <f t="shared" si="993"/>
        <v>63</v>
      </c>
      <c r="BH1351" s="111">
        <f t="shared" si="995"/>
        <v>63</v>
      </c>
      <c r="BI1351" s="111">
        <f t="shared" si="996"/>
        <v>26.710382513661202</v>
      </c>
      <c r="BJ1351" s="129">
        <f t="shared" si="1016"/>
        <v>0</v>
      </c>
      <c r="BK1351" s="129">
        <f t="shared" si="997"/>
        <v>0</v>
      </c>
      <c r="BL1351" s="129" t="str">
        <f t="shared" si="978"/>
        <v>CONVICTION</v>
      </c>
      <c r="BM1351" s="129" t="str">
        <f t="shared" si="1017"/>
        <v>NONE</v>
      </c>
      <c r="BN1351" s="129" t="s">
        <v>566</v>
      </c>
      <c r="BP1351" s="137" t="str">
        <f t="shared" si="1001"/>
        <v>CONVICTION</v>
      </c>
      <c r="BQ1351" s="128" t="str">
        <f t="shared" si="1002"/>
        <v>Y</v>
      </c>
      <c r="BR1351" s="129" t="str">
        <f t="shared" si="1003"/>
        <v>DETAINED</v>
      </c>
      <c r="BS1351" s="129" t="str">
        <f t="shared" si="1004"/>
        <v>DISPOSED</v>
      </c>
      <c r="BT1351" s="129" t="str">
        <f t="shared" si="1005"/>
        <v>Y</v>
      </c>
      <c r="BU1351" s="109">
        <f t="shared" si="1012"/>
        <v>1</v>
      </c>
      <c r="BV1351" s="109">
        <f t="shared" si="1006"/>
        <v>1</v>
      </c>
      <c r="BW1351" s="109">
        <f t="shared" si="990"/>
        <v>0</v>
      </c>
      <c r="BX1351" s="111">
        <f t="shared" si="1007"/>
        <v>0</v>
      </c>
      <c r="BY1351" s="129">
        <f t="shared" si="1008"/>
        <v>-63</v>
      </c>
      <c r="BZ1351" s="111">
        <f t="shared" si="1009"/>
        <v>0</v>
      </c>
      <c r="CA1351" s="138">
        <f t="shared" si="1010"/>
        <v>63</v>
      </c>
      <c r="CB1351" s="111" t="e">
        <f t="shared" si="994"/>
        <v>#VALUE!</v>
      </c>
      <c r="CC1351" s="129">
        <f t="shared" si="1018"/>
        <v>63</v>
      </c>
      <c r="CD1351" s="129">
        <f t="shared" si="1019"/>
        <v>0</v>
      </c>
      <c r="CG1351" s="129" t="str">
        <f t="shared" si="1011"/>
        <v>Y</v>
      </c>
      <c r="CI1351" s="129" t="str">
        <f t="shared" si="1013"/>
        <v>61-90 DAYS</v>
      </c>
      <c r="CJ1351" s="137">
        <f t="shared" si="1014"/>
        <v>4</v>
      </c>
      <c r="CK1351" s="129" t="str">
        <f t="shared" si="1015"/>
        <v>Booked</v>
      </c>
    </row>
    <row r="1352" spans="1:89" ht="15.75" customHeight="1" x14ac:dyDescent="0.25">
      <c r="A1352" s="111">
        <v>1808</v>
      </c>
      <c r="B1352" s="128" t="str">
        <f t="shared" si="998"/>
        <v>N</v>
      </c>
      <c r="C1352" s="128" t="str">
        <f t="shared" si="999"/>
        <v>Y</v>
      </c>
      <c r="D1352" s="117">
        <v>1971682</v>
      </c>
      <c r="E1352" s="135">
        <f t="shared" si="1000"/>
        <v>2</v>
      </c>
      <c r="F1352" s="124">
        <v>40976</v>
      </c>
      <c r="G1352" s="125">
        <v>41019</v>
      </c>
      <c r="H1352" s="117">
        <v>1971682</v>
      </c>
      <c r="I1352" s="124">
        <v>40998</v>
      </c>
      <c r="J1352" s="124">
        <v>41019</v>
      </c>
      <c r="K1352" s="126">
        <v>2000</v>
      </c>
      <c r="L1352" s="127" t="s">
        <v>568</v>
      </c>
      <c r="M1352" s="125">
        <v>40977</v>
      </c>
      <c r="N1352" s="129" t="str">
        <f t="shared" si="991"/>
        <v>Y</v>
      </c>
      <c r="O1352" s="128" t="s">
        <v>585</v>
      </c>
      <c r="P1352" s="129" t="s">
        <v>589</v>
      </c>
      <c r="Q1352" s="111">
        <f t="shared" si="1020"/>
        <v>22</v>
      </c>
      <c r="R1352" s="111">
        <f t="shared" si="973"/>
        <v>44</v>
      </c>
      <c r="S1352" s="129">
        <v>0</v>
      </c>
      <c r="T1352" s="129">
        <v>0</v>
      </c>
      <c r="W1352" s="111"/>
      <c r="AB1352" s="131" t="s">
        <v>112</v>
      </c>
      <c r="AC1352" s="130"/>
      <c r="AD1352" s="130">
        <v>29097</v>
      </c>
      <c r="AE1352" s="128" t="s">
        <v>32</v>
      </c>
      <c r="AF1352" s="128" t="s">
        <v>40</v>
      </c>
      <c r="AG1352" s="128" t="s">
        <v>41</v>
      </c>
      <c r="AH1352" s="108" t="s">
        <v>31</v>
      </c>
      <c r="AI1352" s="128" t="s">
        <v>42</v>
      </c>
      <c r="AJ1352" s="129" t="s">
        <v>48</v>
      </c>
      <c r="AK1352" s="129">
        <v>3</v>
      </c>
      <c r="AL1352" s="3" t="s">
        <v>48</v>
      </c>
      <c r="AP1352" s="129" t="s">
        <v>43</v>
      </c>
      <c r="AR1352" s="128" t="s">
        <v>44</v>
      </c>
      <c r="AS1352" s="129" t="s">
        <v>45</v>
      </c>
      <c r="AU1352" s="3" t="s">
        <v>741</v>
      </c>
      <c r="AX1352" s="32" t="s">
        <v>88</v>
      </c>
      <c r="BC1352" s="129" t="s">
        <v>38</v>
      </c>
      <c r="BF1352" s="111">
        <f>IF(J1352&gt;1/1/1900,((G1352+1)-I1352),"STILL OPEN")</f>
        <v>22</v>
      </c>
      <c r="BG1352" s="111">
        <f t="shared" si="993"/>
        <v>22</v>
      </c>
      <c r="BH1352" s="111">
        <f t="shared" si="995"/>
        <v>44</v>
      </c>
      <c r="BI1352" s="111">
        <f t="shared" si="996"/>
        <v>32.456284153005463</v>
      </c>
      <c r="BJ1352" s="129">
        <f>G1352-J1352</f>
        <v>0</v>
      </c>
      <c r="BK1352" s="129">
        <f t="shared" si="997"/>
        <v>0</v>
      </c>
      <c r="BL1352" s="129" t="str">
        <f t="shared" si="978"/>
        <v>DEFERRED</v>
      </c>
      <c r="BM1352" s="129" t="s">
        <v>76</v>
      </c>
      <c r="BN1352" s="129" t="s">
        <v>88</v>
      </c>
      <c r="BP1352" s="137" t="str">
        <f t="shared" si="1001"/>
        <v>DEFERRED</v>
      </c>
      <c r="BQ1352" s="128" t="str">
        <f t="shared" si="1002"/>
        <v>Y</v>
      </c>
      <c r="BR1352" s="129" t="s">
        <v>574</v>
      </c>
      <c r="BS1352" s="129" t="str">
        <f t="shared" si="1004"/>
        <v>DISPOSED</v>
      </c>
      <c r="BT1352" s="129" t="str">
        <f t="shared" si="1005"/>
        <v>N</v>
      </c>
      <c r="BU1352" s="109">
        <f t="shared" si="1012"/>
        <v>0.5</v>
      </c>
      <c r="BV1352" s="109">
        <f t="shared" si="1006"/>
        <v>1</v>
      </c>
      <c r="BW1352" s="109">
        <f t="shared" si="990"/>
        <v>0.5</v>
      </c>
      <c r="BX1352" s="111">
        <f t="shared" si="1007"/>
        <v>0</v>
      </c>
      <c r="BY1352" s="129">
        <f t="shared" si="1008"/>
        <v>-22</v>
      </c>
      <c r="BZ1352" s="111">
        <f t="shared" si="1009"/>
        <v>0</v>
      </c>
      <c r="CA1352" s="138">
        <f t="shared" si="1010"/>
        <v>22</v>
      </c>
      <c r="CB1352" s="111" t="e">
        <f t="shared" si="994"/>
        <v>#VALUE!</v>
      </c>
      <c r="CC1352" s="129">
        <f t="shared" si="1018"/>
        <v>22</v>
      </c>
      <c r="CD1352" s="129">
        <f t="shared" si="1019"/>
        <v>0</v>
      </c>
      <c r="CG1352" s="129" t="str">
        <f t="shared" si="1011"/>
        <v>N</v>
      </c>
      <c r="CI1352" s="129" t="str">
        <f t="shared" si="1013"/>
        <v>11-30 DAYS</v>
      </c>
      <c r="CJ1352" s="137">
        <f t="shared" si="1014"/>
        <v>2</v>
      </c>
      <c r="CK1352" s="129" t="str">
        <f t="shared" si="1015"/>
        <v>Booked</v>
      </c>
    </row>
    <row r="1353" spans="1:89" ht="15.75" customHeight="1" x14ac:dyDescent="0.25">
      <c r="A1353" s="111">
        <v>1176</v>
      </c>
      <c r="B1353" s="128" t="str">
        <f t="shared" si="998"/>
        <v>N</v>
      </c>
      <c r="C1353" s="128" t="str">
        <f t="shared" si="999"/>
        <v>N</v>
      </c>
      <c r="D1353" s="117">
        <v>1971833</v>
      </c>
      <c r="E1353" s="135">
        <f t="shared" si="1000"/>
        <v>6</v>
      </c>
      <c r="F1353" s="124">
        <v>40951</v>
      </c>
      <c r="G1353" s="125">
        <v>40953</v>
      </c>
      <c r="H1353" s="117">
        <v>1971833</v>
      </c>
      <c r="I1353" s="124">
        <v>40951</v>
      </c>
      <c r="J1353" s="124">
        <v>40953</v>
      </c>
      <c r="K1353" s="126">
        <v>25000</v>
      </c>
      <c r="L1353" s="129" t="s">
        <v>572</v>
      </c>
      <c r="N1353" s="129" t="str">
        <f t="shared" si="991"/>
        <v>N</v>
      </c>
      <c r="O1353" s="128" t="s">
        <v>917</v>
      </c>
      <c r="P1353" s="129" t="s">
        <v>39</v>
      </c>
      <c r="Q1353" s="111">
        <f t="shared" si="1020"/>
        <v>3</v>
      </c>
      <c r="R1353" s="111">
        <f t="shared" si="973"/>
        <v>3</v>
      </c>
      <c r="S1353" s="129">
        <v>5</v>
      </c>
      <c r="T1353" s="129">
        <v>1</v>
      </c>
      <c r="U1353" s="129">
        <v>4</v>
      </c>
      <c r="W1353" s="111"/>
      <c r="AC1353" s="130"/>
      <c r="AD1353" s="130">
        <v>30433</v>
      </c>
      <c r="AE1353" s="128" t="s">
        <v>32</v>
      </c>
      <c r="AF1353" s="128" t="s">
        <v>33</v>
      </c>
      <c r="AG1353" s="128" t="s">
        <v>872</v>
      </c>
      <c r="AH1353" s="108" t="s">
        <v>58</v>
      </c>
      <c r="AI1353" s="128" t="s">
        <v>100</v>
      </c>
      <c r="AJ1353" s="129" t="s">
        <v>89</v>
      </c>
      <c r="AK1353" s="129">
        <v>1</v>
      </c>
      <c r="AL1353" s="3" t="s">
        <v>362</v>
      </c>
      <c r="AM1353" s="117">
        <v>2</v>
      </c>
      <c r="AP1353" s="129" t="s">
        <v>148</v>
      </c>
      <c r="AR1353" s="128" t="s">
        <v>67</v>
      </c>
      <c r="AS1353" s="129" t="s">
        <v>45</v>
      </c>
      <c r="BC1353" s="129" t="s">
        <v>38</v>
      </c>
      <c r="BF1353" s="111">
        <f t="shared" si="992"/>
        <v>3</v>
      </c>
      <c r="BG1353" s="111">
        <f t="shared" si="993"/>
        <v>3</v>
      </c>
      <c r="BH1353" s="111">
        <f t="shared" si="995"/>
        <v>3</v>
      </c>
      <c r="BI1353" s="111">
        <f t="shared" si="996"/>
        <v>28.737704918032787</v>
      </c>
      <c r="BJ1353" s="129">
        <f t="shared" si="1016"/>
        <v>0</v>
      </c>
      <c r="BK1353" s="129">
        <f t="shared" si="997"/>
        <v>0</v>
      </c>
      <c r="BL1353" s="129" t="str">
        <f t="shared" si="978"/>
        <v>CONVICTION</v>
      </c>
      <c r="BM1353" s="129" t="str">
        <f t="shared" si="1017"/>
        <v>NONE</v>
      </c>
      <c r="BN1353" s="129" t="s">
        <v>566</v>
      </c>
      <c r="BP1353" s="137" t="str">
        <f t="shared" si="1001"/>
        <v>CONVICTION</v>
      </c>
      <c r="BQ1353" s="128" t="str">
        <f t="shared" si="1002"/>
        <v>Y</v>
      </c>
      <c r="BR1353" s="129" t="str">
        <f t="shared" si="1003"/>
        <v>DETAINED</v>
      </c>
      <c r="BS1353" s="129" t="str">
        <f t="shared" si="1004"/>
        <v>DISPOSED</v>
      </c>
      <c r="BT1353" s="129" t="str">
        <f t="shared" si="1005"/>
        <v>Y</v>
      </c>
      <c r="BU1353" s="109">
        <f t="shared" si="1012"/>
        <v>1</v>
      </c>
      <c r="BV1353" s="109">
        <f t="shared" si="1006"/>
        <v>1</v>
      </c>
      <c r="BW1353" s="109">
        <f t="shared" si="990"/>
        <v>0</v>
      </c>
      <c r="BX1353" s="111">
        <f t="shared" si="1007"/>
        <v>0</v>
      </c>
      <c r="BY1353" s="129">
        <f t="shared" si="1008"/>
        <v>-3</v>
      </c>
      <c r="BZ1353" s="111">
        <f t="shared" si="1009"/>
        <v>0</v>
      </c>
      <c r="CA1353" s="138">
        <f t="shared" si="1010"/>
        <v>3</v>
      </c>
      <c r="CB1353" s="111" t="e">
        <f t="shared" si="994"/>
        <v>#VALUE!</v>
      </c>
      <c r="CC1353" s="129">
        <f t="shared" si="1018"/>
        <v>3</v>
      </c>
      <c r="CD1353" s="129">
        <f t="shared" si="1019"/>
        <v>0</v>
      </c>
      <c r="CG1353" s="129" t="str">
        <f t="shared" si="1011"/>
        <v>Y</v>
      </c>
      <c r="CI1353" s="129" t="str">
        <f t="shared" si="1013"/>
        <v>0-10 DAYS</v>
      </c>
      <c r="CJ1353" s="137">
        <f t="shared" si="1014"/>
        <v>1</v>
      </c>
      <c r="CK1353" s="129" t="str">
        <f t="shared" si="1015"/>
        <v>Booked</v>
      </c>
    </row>
    <row r="1354" spans="1:89" ht="15" customHeight="1" x14ac:dyDescent="0.25">
      <c r="A1354" s="111">
        <v>848</v>
      </c>
      <c r="B1354" s="128" t="str">
        <f t="shared" si="998"/>
        <v>N</v>
      </c>
      <c r="C1354" s="128" t="str">
        <f t="shared" si="999"/>
        <v>N</v>
      </c>
      <c r="D1354" s="117">
        <v>1972382</v>
      </c>
      <c r="E1354" s="135">
        <f t="shared" si="1000"/>
        <v>5</v>
      </c>
      <c r="F1354" s="124">
        <v>40940</v>
      </c>
      <c r="G1354" s="125">
        <v>40942</v>
      </c>
      <c r="H1354" s="117">
        <v>1972382</v>
      </c>
      <c r="I1354" s="124">
        <v>40941</v>
      </c>
      <c r="J1354" s="124">
        <v>40942</v>
      </c>
      <c r="K1354" s="126">
        <v>10000</v>
      </c>
      <c r="L1354" s="127" t="s">
        <v>570</v>
      </c>
      <c r="N1354" s="129" t="str">
        <f t="shared" si="991"/>
        <v>N</v>
      </c>
      <c r="O1354" s="128" t="s">
        <v>917</v>
      </c>
      <c r="P1354" s="129" t="s">
        <v>39</v>
      </c>
      <c r="Q1354" s="111">
        <f t="shared" si="1020"/>
        <v>2</v>
      </c>
      <c r="R1354" s="111">
        <f t="shared" si="973"/>
        <v>3</v>
      </c>
      <c r="S1354" s="129">
        <v>4</v>
      </c>
      <c r="T1354" s="129">
        <v>4</v>
      </c>
      <c r="U1354" s="129">
        <v>3</v>
      </c>
      <c r="W1354" s="111"/>
      <c r="AC1354" s="130"/>
      <c r="AD1354" s="130">
        <v>31318</v>
      </c>
      <c r="AE1354" s="128" t="s">
        <v>32</v>
      </c>
      <c r="AF1354" s="128" t="s">
        <v>33</v>
      </c>
      <c r="AG1354" s="128" t="s">
        <v>872</v>
      </c>
      <c r="AH1354" s="108" t="s">
        <v>58</v>
      </c>
      <c r="AI1354" s="128" t="s">
        <v>65</v>
      </c>
      <c r="AJ1354" s="129" t="s">
        <v>89</v>
      </c>
      <c r="AK1354" s="129">
        <v>1</v>
      </c>
      <c r="AL1354" s="3" t="s">
        <v>992</v>
      </c>
      <c r="AN1354" s="117">
        <v>8</v>
      </c>
      <c r="AP1354" s="129" t="s">
        <v>43</v>
      </c>
      <c r="AR1354" s="128" t="s">
        <v>44</v>
      </c>
      <c r="AS1354" s="129" t="s">
        <v>45</v>
      </c>
      <c r="BC1354" s="129" t="s">
        <v>38</v>
      </c>
      <c r="BF1354" s="111">
        <f t="shared" si="992"/>
        <v>2</v>
      </c>
      <c r="BG1354" s="111">
        <f t="shared" si="993"/>
        <v>2</v>
      </c>
      <c r="BH1354" s="111">
        <f t="shared" si="995"/>
        <v>3</v>
      </c>
      <c r="BI1354" s="111">
        <f t="shared" si="996"/>
        <v>26.289617486338798</v>
      </c>
      <c r="BJ1354" s="129">
        <f t="shared" si="1016"/>
        <v>0</v>
      </c>
      <c r="BK1354" s="129">
        <f t="shared" si="997"/>
        <v>0</v>
      </c>
      <c r="BL1354" s="129" t="str">
        <f t="shared" si="978"/>
        <v>CONVICTION</v>
      </c>
      <c r="BM1354" s="129" t="str">
        <f t="shared" si="1017"/>
        <v>NONE</v>
      </c>
      <c r="BN1354" s="129" t="s">
        <v>566</v>
      </c>
      <c r="BP1354" s="137" t="str">
        <f t="shared" si="1001"/>
        <v>CONVICTION</v>
      </c>
      <c r="BQ1354" s="128" t="str">
        <f t="shared" si="1002"/>
        <v>Y</v>
      </c>
      <c r="BR1354" s="129" t="str">
        <f t="shared" si="1003"/>
        <v>DETAINED</v>
      </c>
      <c r="BS1354" s="129" t="str">
        <f t="shared" si="1004"/>
        <v>DISPOSED</v>
      </c>
      <c r="BT1354" s="129" t="str">
        <f t="shared" si="1005"/>
        <v>Y</v>
      </c>
      <c r="BU1354" s="109">
        <f t="shared" si="1012"/>
        <v>0.66666666666666663</v>
      </c>
      <c r="BV1354" s="109">
        <f t="shared" si="1006"/>
        <v>1</v>
      </c>
      <c r="BW1354" s="109">
        <f t="shared" si="990"/>
        <v>0.33333333333333337</v>
      </c>
      <c r="BX1354" s="111">
        <f t="shared" si="1007"/>
        <v>0</v>
      </c>
      <c r="BY1354" s="129">
        <f t="shared" si="1008"/>
        <v>-2</v>
      </c>
      <c r="BZ1354" s="111">
        <f t="shared" si="1009"/>
        <v>0</v>
      </c>
      <c r="CA1354" s="138">
        <f t="shared" si="1010"/>
        <v>2</v>
      </c>
      <c r="CB1354" s="111" t="e">
        <f t="shared" si="994"/>
        <v>#VALUE!</v>
      </c>
      <c r="CC1354" s="129">
        <f t="shared" si="1018"/>
        <v>2</v>
      </c>
      <c r="CD1354" s="129">
        <f t="shared" si="1019"/>
        <v>0</v>
      </c>
      <c r="CG1354" s="129" t="str">
        <f t="shared" si="1011"/>
        <v>Y</v>
      </c>
      <c r="CI1354" s="129" t="str">
        <f t="shared" si="1013"/>
        <v>0-10 DAYS</v>
      </c>
      <c r="CJ1354" s="137">
        <f t="shared" si="1014"/>
        <v>1</v>
      </c>
      <c r="CK1354" s="129" t="str">
        <f t="shared" si="1015"/>
        <v>Booked</v>
      </c>
    </row>
    <row r="1355" spans="1:89" ht="15" customHeight="1" x14ac:dyDescent="0.25">
      <c r="A1355" s="111">
        <v>223</v>
      </c>
      <c r="B1355" s="128" t="str">
        <f t="shared" si="998"/>
        <v>N</v>
      </c>
      <c r="C1355" s="128" t="str">
        <f t="shared" si="999"/>
        <v>N</v>
      </c>
      <c r="D1355" s="117">
        <v>1973125</v>
      </c>
      <c r="E1355" s="135">
        <f t="shared" si="1000"/>
        <v>2</v>
      </c>
      <c r="F1355" s="124">
        <v>40918</v>
      </c>
      <c r="G1355" s="125">
        <v>40920</v>
      </c>
      <c r="H1355" s="117">
        <v>1973125</v>
      </c>
      <c r="I1355" s="124">
        <v>40919</v>
      </c>
      <c r="J1355" s="124">
        <v>40920</v>
      </c>
      <c r="K1355" s="126">
        <v>10000</v>
      </c>
      <c r="L1355" s="127" t="s">
        <v>570</v>
      </c>
      <c r="N1355" s="129" t="str">
        <f t="shared" si="991"/>
        <v>N</v>
      </c>
      <c r="O1355" s="128" t="s">
        <v>917</v>
      </c>
      <c r="P1355" s="129" t="s">
        <v>589</v>
      </c>
      <c r="Q1355" s="111">
        <f t="shared" si="1020"/>
        <v>2</v>
      </c>
      <c r="R1355" s="111">
        <f t="shared" si="973"/>
        <v>3</v>
      </c>
      <c r="S1355" s="129">
        <v>2</v>
      </c>
      <c r="T1355" s="129">
        <v>7</v>
      </c>
      <c r="W1355" s="111"/>
      <c r="AB1355" s="131" t="s">
        <v>112</v>
      </c>
      <c r="AC1355" s="130"/>
      <c r="AD1355" s="130">
        <v>31057</v>
      </c>
      <c r="AE1355" s="128" t="s">
        <v>32</v>
      </c>
      <c r="AF1355" s="128" t="s">
        <v>40</v>
      </c>
      <c r="AG1355" s="128" t="s">
        <v>41</v>
      </c>
      <c r="AH1355" s="108" t="s">
        <v>31</v>
      </c>
      <c r="AI1355" s="128" t="s">
        <v>114</v>
      </c>
      <c r="AJ1355" s="129" t="s">
        <v>48</v>
      </c>
      <c r="AK1355" s="129">
        <v>1</v>
      </c>
      <c r="AL1355" s="3" t="s">
        <v>48</v>
      </c>
      <c r="AP1355" s="129" t="s">
        <v>175</v>
      </c>
      <c r="AR1355" s="128" t="s">
        <v>44</v>
      </c>
      <c r="AS1355" s="129" t="s">
        <v>45</v>
      </c>
      <c r="BC1355" s="129" t="s">
        <v>52</v>
      </c>
      <c r="BF1355" s="111">
        <f t="shared" si="992"/>
        <v>2</v>
      </c>
      <c r="BG1355" s="111">
        <f t="shared" si="993"/>
        <v>2</v>
      </c>
      <c r="BH1355" s="111">
        <f t="shared" si="995"/>
        <v>3</v>
      </c>
      <c r="BI1355" s="111">
        <f t="shared" si="996"/>
        <v>26.942622950819672</v>
      </c>
      <c r="BJ1355" s="129">
        <f t="shared" si="1016"/>
        <v>0</v>
      </c>
      <c r="BK1355" s="129">
        <f t="shared" si="997"/>
        <v>0</v>
      </c>
      <c r="BL1355" s="129" t="str">
        <f t="shared" si="978"/>
        <v>DEFERRED</v>
      </c>
      <c r="BM1355" s="129" t="str">
        <f t="shared" si="1017"/>
        <v>NONE</v>
      </c>
      <c r="BN1355" s="129" t="s">
        <v>566</v>
      </c>
      <c r="BP1355" s="137" t="str">
        <f t="shared" si="1001"/>
        <v>DEFERRED</v>
      </c>
      <c r="BQ1355" s="128" t="str">
        <f t="shared" si="1002"/>
        <v>Y</v>
      </c>
      <c r="BR1355" s="129" t="str">
        <f t="shared" si="1003"/>
        <v>DETAINED</v>
      </c>
      <c r="BS1355" s="129" t="str">
        <f t="shared" si="1004"/>
        <v>DISPOSED</v>
      </c>
      <c r="BT1355" s="129" t="str">
        <f t="shared" si="1005"/>
        <v>Y</v>
      </c>
      <c r="BU1355" s="109">
        <f t="shared" si="1012"/>
        <v>0.66666666666666663</v>
      </c>
      <c r="BV1355" s="109">
        <f t="shared" si="1006"/>
        <v>1</v>
      </c>
      <c r="BW1355" s="109">
        <f t="shared" si="990"/>
        <v>0.33333333333333337</v>
      </c>
      <c r="BX1355" s="111">
        <f t="shared" si="1007"/>
        <v>0</v>
      </c>
      <c r="BY1355" s="129">
        <f t="shared" si="1008"/>
        <v>-2</v>
      </c>
      <c r="BZ1355" s="111">
        <f t="shared" si="1009"/>
        <v>0</v>
      </c>
      <c r="CA1355" s="138">
        <f t="shared" si="1010"/>
        <v>2</v>
      </c>
      <c r="CB1355" s="111" t="e">
        <f t="shared" si="994"/>
        <v>#VALUE!</v>
      </c>
      <c r="CC1355" s="129">
        <f t="shared" si="1018"/>
        <v>2</v>
      </c>
      <c r="CD1355" s="129">
        <f t="shared" si="1019"/>
        <v>0</v>
      </c>
      <c r="CG1355" s="129" t="str">
        <f t="shared" si="1011"/>
        <v>Y</v>
      </c>
      <c r="CI1355" s="129" t="str">
        <f t="shared" si="1013"/>
        <v>0-10 DAYS</v>
      </c>
      <c r="CJ1355" s="137">
        <f t="shared" si="1014"/>
        <v>1</v>
      </c>
      <c r="CK1355" s="129" t="str">
        <f t="shared" si="1015"/>
        <v>Booked</v>
      </c>
    </row>
    <row r="1356" spans="1:89" ht="15" customHeight="1" x14ac:dyDescent="0.25">
      <c r="A1356" s="111">
        <v>767</v>
      </c>
      <c r="B1356" s="128" t="str">
        <f t="shared" si="998"/>
        <v>N</v>
      </c>
      <c r="C1356" s="128" t="str">
        <f t="shared" si="999"/>
        <v>N</v>
      </c>
      <c r="D1356" s="117">
        <v>1973529</v>
      </c>
      <c r="E1356" s="135">
        <f t="shared" si="1000"/>
        <v>5</v>
      </c>
      <c r="F1356" s="124">
        <v>40938</v>
      </c>
      <c r="G1356" s="125">
        <v>40940</v>
      </c>
      <c r="H1356" s="117">
        <v>1973529</v>
      </c>
      <c r="I1356" s="124">
        <v>40939</v>
      </c>
      <c r="J1356" s="124">
        <v>40940</v>
      </c>
      <c r="K1356" s="126">
        <v>10000</v>
      </c>
      <c r="L1356" s="127" t="s">
        <v>570</v>
      </c>
      <c r="N1356" s="129" t="str">
        <f t="shared" si="991"/>
        <v>N</v>
      </c>
      <c r="O1356" s="128" t="s">
        <v>917</v>
      </c>
      <c r="P1356" s="129" t="s">
        <v>39</v>
      </c>
      <c r="Q1356" s="111">
        <f t="shared" si="1020"/>
        <v>2</v>
      </c>
      <c r="R1356" s="111">
        <f t="shared" si="973"/>
        <v>3</v>
      </c>
      <c r="S1356" s="129">
        <v>4</v>
      </c>
      <c r="T1356" s="129">
        <v>1</v>
      </c>
      <c r="U1356" s="129">
        <v>1</v>
      </c>
      <c r="W1356" s="111"/>
      <c r="AC1356" s="130"/>
      <c r="AD1356" s="130">
        <v>30858</v>
      </c>
      <c r="AE1356" s="128" t="s">
        <v>32</v>
      </c>
      <c r="AF1356" s="128" t="s">
        <v>33</v>
      </c>
      <c r="AG1356" s="128" t="s">
        <v>872</v>
      </c>
      <c r="AH1356" s="108" t="s">
        <v>58</v>
      </c>
      <c r="AI1356" s="128" t="s">
        <v>97</v>
      </c>
      <c r="AJ1356" s="129" t="s">
        <v>89</v>
      </c>
      <c r="AK1356" s="129">
        <v>1</v>
      </c>
      <c r="AL1356" s="3" t="s">
        <v>992</v>
      </c>
      <c r="AN1356" s="117">
        <v>9</v>
      </c>
      <c r="AP1356" s="129" t="s">
        <v>43</v>
      </c>
      <c r="AR1356" s="128" t="s">
        <v>44</v>
      </c>
      <c r="AS1356" s="129" t="s">
        <v>45</v>
      </c>
      <c r="BC1356" s="129" t="s">
        <v>99</v>
      </c>
      <c r="BF1356" s="111">
        <f t="shared" si="992"/>
        <v>2</v>
      </c>
      <c r="BG1356" s="111">
        <f t="shared" si="993"/>
        <v>2</v>
      </c>
      <c r="BH1356" s="111">
        <f t="shared" si="995"/>
        <v>3</v>
      </c>
      <c r="BI1356" s="111">
        <f t="shared" si="996"/>
        <v>27.540983606557376</v>
      </c>
      <c r="BJ1356" s="129">
        <f t="shared" si="1016"/>
        <v>0</v>
      </c>
      <c r="BK1356" s="129">
        <f t="shared" si="997"/>
        <v>0</v>
      </c>
      <c r="BL1356" s="129" t="str">
        <f t="shared" si="978"/>
        <v>CONVICTION</v>
      </c>
      <c r="BM1356" s="129" t="str">
        <f t="shared" si="1017"/>
        <v>NONE</v>
      </c>
      <c r="BN1356" s="129" t="s">
        <v>566</v>
      </c>
      <c r="BP1356" s="137" t="str">
        <f t="shared" si="1001"/>
        <v>CONVICTION</v>
      </c>
      <c r="BQ1356" s="128" t="str">
        <f t="shared" si="1002"/>
        <v>Y</v>
      </c>
      <c r="BR1356" s="129" t="str">
        <f t="shared" si="1003"/>
        <v>DETAINED</v>
      </c>
      <c r="BS1356" s="129" t="str">
        <f t="shared" si="1004"/>
        <v>DISPOSED</v>
      </c>
      <c r="BT1356" s="129" t="str">
        <f t="shared" si="1005"/>
        <v>Y</v>
      </c>
      <c r="BU1356" s="109">
        <f t="shared" si="1012"/>
        <v>0.66666666666666663</v>
      </c>
      <c r="BV1356" s="109">
        <f t="shared" si="1006"/>
        <v>1</v>
      </c>
      <c r="BW1356" s="109">
        <f t="shared" si="990"/>
        <v>0.33333333333333337</v>
      </c>
      <c r="BX1356" s="111">
        <f t="shared" si="1007"/>
        <v>0</v>
      </c>
      <c r="BY1356" s="129">
        <f t="shared" si="1008"/>
        <v>-2</v>
      </c>
      <c r="BZ1356" s="111">
        <f t="shared" si="1009"/>
        <v>0</v>
      </c>
      <c r="CA1356" s="138">
        <f t="shared" si="1010"/>
        <v>2</v>
      </c>
      <c r="CB1356" s="111" t="e">
        <f t="shared" si="994"/>
        <v>#VALUE!</v>
      </c>
      <c r="CC1356" s="129">
        <f t="shared" si="1018"/>
        <v>2</v>
      </c>
      <c r="CD1356" s="129">
        <f t="shared" si="1019"/>
        <v>0</v>
      </c>
      <c r="CG1356" s="129" t="str">
        <f t="shared" si="1011"/>
        <v>Y</v>
      </c>
      <c r="CI1356" s="129" t="str">
        <f t="shared" si="1013"/>
        <v>0-10 DAYS</v>
      </c>
      <c r="CJ1356" s="137">
        <f t="shared" si="1014"/>
        <v>1</v>
      </c>
      <c r="CK1356" s="129" t="str">
        <f t="shared" si="1015"/>
        <v>Booked</v>
      </c>
    </row>
    <row r="1357" spans="1:89" ht="15" customHeight="1" x14ac:dyDescent="0.25">
      <c r="A1357" s="111">
        <v>1721</v>
      </c>
      <c r="B1357" s="128" t="str">
        <f t="shared" si="998"/>
        <v>N</v>
      </c>
      <c r="C1357" s="128" t="str">
        <f t="shared" si="999"/>
        <v>N</v>
      </c>
      <c r="D1357" s="117">
        <v>1979453</v>
      </c>
      <c r="E1357" s="135">
        <f t="shared" si="1000"/>
        <v>5</v>
      </c>
      <c r="F1357" s="124">
        <v>40972</v>
      </c>
      <c r="G1357" s="125">
        <v>40976</v>
      </c>
      <c r="H1357" s="117">
        <v>1979453</v>
      </c>
      <c r="I1357" s="124">
        <v>40973</v>
      </c>
      <c r="J1357" s="124">
        <v>40976</v>
      </c>
      <c r="K1357" s="126">
        <v>20000</v>
      </c>
      <c r="L1357" s="127" t="s">
        <v>571</v>
      </c>
      <c r="N1357" s="129" t="str">
        <f t="shared" si="991"/>
        <v>N</v>
      </c>
      <c r="O1357" s="128" t="s">
        <v>917</v>
      </c>
      <c r="P1357" s="129" t="s">
        <v>39</v>
      </c>
      <c r="Q1357" s="111">
        <f t="shared" si="1020"/>
        <v>4</v>
      </c>
      <c r="R1357" s="111">
        <f t="shared" si="973"/>
        <v>5</v>
      </c>
      <c r="S1357" s="129">
        <v>3</v>
      </c>
      <c r="T1357" s="129">
        <v>4</v>
      </c>
      <c r="U1357" s="129">
        <v>1</v>
      </c>
      <c r="W1357" s="111"/>
      <c r="AC1357" s="130"/>
      <c r="AD1357" s="130">
        <v>31115</v>
      </c>
      <c r="AE1357" s="128" t="s">
        <v>32</v>
      </c>
      <c r="AF1357" s="128" t="s">
        <v>40</v>
      </c>
      <c r="AG1357" s="128" t="s">
        <v>41</v>
      </c>
      <c r="AH1357" s="108" t="s">
        <v>41</v>
      </c>
      <c r="AI1357" s="128" t="s">
        <v>34</v>
      </c>
      <c r="AJ1357" s="129" t="s">
        <v>89</v>
      </c>
      <c r="AK1357" s="129">
        <v>3</v>
      </c>
      <c r="AL1357" s="3" t="s">
        <v>992</v>
      </c>
      <c r="AN1357" s="117">
        <v>7</v>
      </c>
      <c r="AP1357" s="129" t="s">
        <v>197</v>
      </c>
      <c r="AR1357" s="128" t="s">
        <v>44</v>
      </c>
      <c r="AS1357" s="129" t="s">
        <v>61</v>
      </c>
      <c r="BC1357" s="129" t="s">
        <v>38</v>
      </c>
      <c r="BF1357" s="111">
        <f t="shared" si="992"/>
        <v>4</v>
      </c>
      <c r="BG1357" s="111">
        <f t="shared" si="993"/>
        <v>4</v>
      </c>
      <c r="BH1357" s="111">
        <f t="shared" si="995"/>
        <v>5</v>
      </c>
      <c r="BI1357" s="111">
        <f t="shared" si="996"/>
        <v>26.931693989071039</v>
      </c>
      <c r="BJ1357" s="129">
        <f t="shared" si="1016"/>
        <v>0</v>
      </c>
      <c r="BK1357" s="129">
        <f t="shared" si="997"/>
        <v>0</v>
      </c>
      <c r="BL1357" s="129" t="str">
        <f t="shared" si="978"/>
        <v>CONVICTION</v>
      </c>
      <c r="BM1357" s="129" t="str">
        <f t="shared" si="1017"/>
        <v>NONE</v>
      </c>
      <c r="BN1357" s="129" t="s">
        <v>566</v>
      </c>
      <c r="BP1357" s="137" t="str">
        <f t="shared" si="1001"/>
        <v>CONVICTION</v>
      </c>
      <c r="BQ1357" s="128" t="str">
        <f t="shared" si="1002"/>
        <v>Y</v>
      </c>
      <c r="BR1357" s="129" t="str">
        <f t="shared" si="1003"/>
        <v>DETAINED</v>
      </c>
      <c r="BS1357" s="129" t="str">
        <f t="shared" si="1004"/>
        <v>DISPOSED</v>
      </c>
      <c r="BT1357" s="129" t="str">
        <f t="shared" si="1005"/>
        <v>Y</v>
      </c>
      <c r="BU1357" s="109">
        <f t="shared" si="1012"/>
        <v>0.8</v>
      </c>
      <c r="BV1357" s="109">
        <f t="shared" si="1006"/>
        <v>1</v>
      </c>
      <c r="BW1357" s="109">
        <f t="shared" si="990"/>
        <v>0.19999999999999996</v>
      </c>
      <c r="BX1357" s="111">
        <f t="shared" si="1007"/>
        <v>0</v>
      </c>
      <c r="BY1357" s="129">
        <f t="shared" si="1008"/>
        <v>-4</v>
      </c>
      <c r="BZ1357" s="111">
        <f t="shared" si="1009"/>
        <v>0</v>
      </c>
      <c r="CA1357" s="138">
        <f t="shared" si="1010"/>
        <v>4</v>
      </c>
      <c r="CB1357" s="111" t="e">
        <f t="shared" si="994"/>
        <v>#VALUE!</v>
      </c>
      <c r="CC1357" s="129">
        <f t="shared" si="1018"/>
        <v>4</v>
      </c>
      <c r="CD1357" s="129">
        <f t="shared" si="1019"/>
        <v>0</v>
      </c>
      <c r="CG1357" s="129" t="str">
        <f t="shared" si="1011"/>
        <v>Y</v>
      </c>
      <c r="CI1357" s="129" t="str">
        <f t="shared" si="1013"/>
        <v>0-10 DAYS</v>
      </c>
      <c r="CJ1357" s="137">
        <f t="shared" si="1014"/>
        <v>1</v>
      </c>
      <c r="CK1357" s="129" t="str">
        <f t="shared" si="1015"/>
        <v>Booked</v>
      </c>
    </row>
    <row r="1358" spans="1:89" ht="15.75" customHeight="1" x14ac:dyDescent="0.25">
      <c r="A1358" s="111">
        <v>2031</v>
      </c>
      <c r="B1358" s="128" t="str">
        <f t="shared" si="998"/>
        <v>N</v>
      </c>
      <c r="C1358" s="128" t="str">
        <f t="shared" si="999"/>
        <v>Y</v>
      </c>
      <c r="D1358" s="117">
        <v>1979863</v>
      </c>
      <c r="E1358" s="135">
        <f t="shared" si="1000"/>
        <v>4</v>
      </c>
      <c r="F1358" s="124">
        <v>40985</v>
      </c>
      <c r="G1358" s="125">
        <v>41537</v>
      </c>
      <c r="H1358" s="117">
        <v>1979863</v>
      </c>
      <c r="I1358" s="124">
        <v>40985</v>
      </c>
      <c r="J1358" s="124">
        <v>40986</v>
      </c>
      <c r="K1358" s="126">
        <v>35000</v>
      </c>
      <c r="L1358" s="129" t="s">
        <v>572</v>
      </c>
      <c r="M1358" s="125">
        <v>40986</v>
      </c>
      <c r="N1358" s="129" t="str">
        <f t="shared" si="991"/>
        <v>Y</v>
      </c>
      <c r="O1358" s="128" t="s">
        <v>585</v>
      </c>
      <c r="P1358" s="129" t="s">
        <v>39</v>
      </c>
      <c r="Q1358" s="111">
        <v>5</v>
      </c>
      <c r="R1358" s="111">
        <f t="shared" si="973"/>
        <v>553</v>
      </c>
      <c r="S1358" s="129">
        <v>0</v>
      </c>
      <c r="T1358" s="129">
        <v>1</v>
      </c>
      <c r="W1358" s="111"/>
      <c r="AC1358" s="130"/>
      <c r="AD1358" s="130">
        <v>27465</v>
      </c>
      <c r="AE1358" s="128" t="s">
        <v>32</v>
      </c>
      <c r="AF1358" s="128" t="s">
        <v>69</v>
      </c>
      <c r="AG1358" s="128" t="s">
        <v>874</v>
      </c>
      <c r="AH1358" s="108" t="s">
        <v>58</v>
      </c>
      <c r="AI1358" s="128" t="s">
        <v>141</v>
      </c>
      <c r="AJ1358" s="129" t="s">
        <v>89</v>
      </c>
      <c r="AK1358" s="129">
        <v>13</v>
      </c>
      <c r="AL1358" s="3" t="s">
        <v>991</v>
      </c>
      <c r="AO1358" s="128">
        <v>180</v>
      </c>
      <c r="AP1358" s="129" t="s">
        <v>66</v>
      </c>
      <c r="AR1358" s="128" t="s">
        <v>67</v>
      </c>
      <c r="AS1358" s="129" t="s">
        <v>68</v>
      </c>
      <c r="AU1358" s="121">
        <v>41473</v>
      </c>
      <c r="AX1358" s="129" t="s">
        <v>88</v>
      </c>
      <c r="BC1358" s="129" t="s">
        <v>52</v>
      </c>
      <c r="BF1358" s="111">
        <v>5</v>
      </c>
      <c r="BG1358" s="111">
        <f t="shared" si="993"/>
        <v>553</v>
      </c>
      <c r="BH1358" s="111">
        <f t="shared" si="995"/>
        <v>553</v>
      </c>
      <c r="BI1358" s="111">
        <f t="shared" si="996"/>
        <v>36.939890710382514</v>
      </c>
      <c r="BJ1358" s="129">
        <f>(G1358-J1358)+(M1358-G1358)</f>
        <v>0</v>
      </c>
      <c r="BK1358" s="129">
        <f t="shared" si="997"/>
        <v>-551</v>
      </c>
      <c r="BL1358" s="129" t="str">
        <f t="shared" si="978"/>
        <v>CONVICTION</v>
      </c>
      <c r="BM1358" s="129" t="s">
        <v>76</v>
      </c>
      <c r="BN1358" s="129" t="s">
        <v>566</v>
      </c>
      <c r="BP1358" s="137" t="str">
        <f t="shared" si="1001"/>
        <v>CONVICTION</v>
      </c>
      <c r="BQ1358" s="128" t="str">
        <f t="shared" si="1002"/>
        <v>Y</v>
      </c>
      <c r="BR1358" s="129" t="str">
        <f>IF(J1358&lt;G1358,"ON BOND",0)</f>
        <v>ON BOND</v>
      </c>
      <c r="BS1358" s="129" t="str">
        <f t="shared" si="1004"/>
        <v>DISPOSED</v>
      </c>
      <c r="BT1358" s="129" t="str">
        <f t="shared" si="1005"/>
        <v>N</v>
      </c>
      <c r="BU1358" s="109">
        <f t="shared" si="1012"/>
        <v>9.0415913200723331E-3</v>
      </c>
      <c r="BV1358" s="109">
        <f t="shared" si="1006"/>
        <v>3.616636528028933E-3</v>
      </c>
      <c r="BW1358" s="109">
        <f t="shared" si="990"/>
        <v>-5.4249547920434005E-3</v>
      </c>
      <c r="BX1358" s="111">
        <f t="shared" si="1007"/>
        <v>0</v>
      </c>
      <c r="BY1358" s="129">
        <f t="shared" si="1008"/>
        <v>-2</v>
      </c>
      <c r="BZ1358" s="111">
        <f t="shared" si="1009"/>
        <v>3</v>
      </c>
      <c r="CA1358" s="138">
        <f t="shared" si="1010"/>
        <v>2</v>
      </c>
      <c r="CB1358" s="111">
        <v>5</v>
      </c>
      <c r="CD1358" s="129">
        <f>G1358-J1358</f>
        <v>551</v>
      </c>
      <c r="CG1358" s="129" t="str">
        <f t="shared" si="1011"/>
        <v>Y</v>
      </c>
      <c r="CI1358" s="129" t="str">
        <f t="shared" si="1013"/>
        <v>0-10 DAYS</v>
      </c>
      <c r="CJ1358" s="137">
        <f t="shared" si="1014"/>
        <v>1</v>
      </c>
      <c r="CK1358" s="129" t="str">
        <f t="shared" si="1015"/>
        <v>Booked</v>
      </c>
    </row>
    <row r="1359" spans="1:89" ht="15.75" customHeight="1" x14ac:dyDescent="0.25">
      <c r="A1359" s="111">
        <v>771</v>
      </c>
      <c r="B1359" s="128" t="str">
        <f t="shared" si="998"/>
        <v>N</v>
      </c>
      <c r="C1359" s="128" t="str">
        <f t="shared" si="999"/>
        <v>N</v>
      </c>
      <c r="D1359" s="117">
        <v>1979971</v>
      </c>
      <c r="E1359" s="135">
        <f t="shared" si="1000"/>
        <v>2</v>
      </c>
      <c r="F1359" s="124">
        <v>40939</v>
      </c>
      <c r="G1359" s="125">
        <v>41403</v>
      </c>
      <c r="H1359" s="117">
        <v>1979971</v>
      </c>
      <c r="I1359" s="124">
        <v>40939</v>
      </c>
      <c r="J1359" s="124">
        <v>40946</v>
      </c>
      <c r="K1359" s="126">
        <v>30000</v>
      </c>
      <c r="L1359" s="129" t="s">
        <v>572</v>
      </c>
      <c r="M1359" s="125">
        <v>40946</v>
      </c>
      <c r="N1359" s="129" t="str">
        <f t="shared" si="991"/>
        <v>Y</v>
      </c>
      <c r="O1359" s="128" t="s">
        <v>585</v>
      </c>
      <c r="P1359" s="129" t="s">
        <v>589</v>
      </c>
      <c r="Q1359" s="111">
        <f>BF1359</f>
        <v>8</v>
      </c>
      <c r="R1359" s="111">
        <f t="shared" si="973"/>
        <v>465</v>
      </c>
      <c r="S1359" s="129">
        <v>1</v>
      </c>
      <c r="T1359" s="129">
        <v>8</v>
      </c>
      <c r="V1359" s="117">
        <v>1</v>
      </c>
      <c r="W1359" s="111"/>
      <c r="AB1359" s="131" t="s">
        <v>112</v>
      </c>
      <c r="AC1359" s="130"/>
      <c r="AD1359" s="130">
        <v>30292</v>
      </c>
      <c r="AE1359" s="128" t="s">
        <v>32</v>
      </c>
      <c r="AF1359" s="128" t="s">
        <v>40</v>
      </c>
      <c r="AG1359" s="128" t="s">
        <v>41</v>
      </c>
      <c r="AH1359" s="108" t="s">
        <v>31</v>
      </c>
      <c r="AI1359" s="128" t="s">
        <v>95</v>
      </c>
      <c r="AJ1359" s="129" t="s">
        <v>48</v>
      </c>
      <c r="AK1359" s="129">
        <v>17</v>
      </c>
      <c r="AL1359" s="3" t="s">
        <v>48</v>
      </c>
      <c r="AP1359" s="129" t="s">
        <v>132</v>
      </c>
      <c r="AR1359" s="128" t="s">
        <v>92</v>
      </c>
      <c r="AS1359" s="129" t="s">
        <v>82</v>
      </c>
      <c r="BC1359" s="129" t="s">
        <v>52</v>
      </c>
      <c r="BF1359" s="111">
        <f>IF(J1359&gt;1/1/1900,((J1359+1)-I1359),"STILL OPEN")</f>
        <v>8</v>
      </c>
      <c r="BG1359" s="111">
        <f t="shared" si="993"/>
        <v>465</v>
      </c>
      <c r="BH1359" s="111">
        <f t="shared" si="995"/>
        <v>465</v>
      </c>
      <c r="BI1359" s="111">
        <f t="shared" si="996"/>
        <v>29.090163934426229</v>
      </c>
      <c r="BJ1359" s="129">
        <f>(G1359-J1359)+(M1359-G1359)</f>
        <v>0</v>
      </c>
      <c r="BK1359" s="129">
        <f t="shared" si="997"/>
        <v>-457</v>
      </c>
      <c r="BL1359" s="129" t="str">
        <f t="shared" si="978"/>
        <v>DEFERRED</v>
      </c>
      <c r="BM1359" s="129" t="s">
        <v>76</v>
      </c>
      <c r="BN1359" s="129" t="s">
        <v>88</v>
      </c>
      <c r="BP1359" s="137" t="str">
        <f t="shared" si="1001"/>
        <v>DEFERRED</v>
      </c>
      <c r="BQ1359" s="128" t="str">
        <f t="shared" si="1002"/>
        <v>Y</v>
      </c>
      <c r="BR1359" s="129" t="str">
        <f t="shared" si="1003"/>
        <v>ON BOND</v>
      </c>
      <c r="BS1359" s="129" t="str">
        <f t="shared" si="1004"/>
        <v>DISPOSED</v>
      </c>
      <c r="BT1359" s="129" t="str">
        <f t="shared" si="1005"/>
        <v>Y</v>
      </c>
      <c r="BU1359" s="109">
        <f t="shared" si="1012"/>
        <v>1.7204301075268817E-2</v>
      </c>
      <c r="BV1359" s="109">
        <f t="shared" si="1006"/>
        <v>1.7204301075268817E-2</v>
      </c>
      <c r="BW1359" s="109">
        <f t="shared" si="990"/>
        <v>0</v>
      </c>
      <c r="BX1359" s="111">
        <f t="shared" si="1007"/>
        <v>0</v>
      </c>
      <c r="BY1359" s="129">
        <f t="shared" si="1008"/>
        <v>-8</v>
      </c>
      <c r="BZ1359" s="111">
        <f t="shared" si="1009"/>
        <v>0</v>
      </c>
      <c r="CA1359" s="138">
        <f t="shared" si="1010"/>
        <v>8</v>
      </c>
      <c r="CB1359" s="111" t="e">
        <f>IF(AF1359&gt;1/1/1900,((AF1359+1)-AE1359),"STILL OPEN")</f>
        <v>#VALUE!</v>
      </c>
      <c r="CC1359" s="129">
        <f>M1359-I1359+1</f>
        <v>8</v>
      </c>
      <c r="CD1359" s="111">
        <f>CC1359-BF1359</f>
        <v>0</v>
      </c>
      <c r="CG1359" s="129" t="str">
        <f t="shared" si="1011"/>
        <v>Y</v>
      </c>
      <c r="CI1359" s="129" t="str">
        <f t="shared" si="1013"/>
        <v>0-10 DAYS</v>
      </c>
      <c r="CJ1359" s="137">
        <f t="shared" si="1014"/>
        <v>1</v>
      </c>
      <c r="CK1359" s="129" t="str">
        <f t="shared" si="1015"/>
        <v>Booked</v>
      </c>
    </row>
    <row r="1360" spans="1:89" ht="15.75" customHeight="1" x14ac:dyDescent="0.25">
      <c r="A1360" s="111">
        <v>2073</v>
      </c>
      <c r="B1360" s="128" t="str">
        <f t="shared" si="998"/>
        <v>N</v>
      </c>
      <c r="C1360" s="128" t="str">
        <f t="shared" si="999"/>
        <v>N</v>
      </c>
      <c r="D1360" s="117">
        <v>1980366</v>
      </c>
      <c r="E1360" s="135">
        <f t="shared" si="1000"/>
        <v>1</v>
      </c>
      <c r="F1360" s="124">
        <v>40987</v>
      </c>
      <c r="G1360" s="125">
        <v>41052</v>
      </c>
      <c r="H1360" s="117">
        <v>1980366</v>
      </c>
      <c r="I1360" s="124">
        <v>40987</v>
      </c>
      <c r="J1360" s="124">
        <v>40990</v>
      </c>
      <c r="K1360" s="126">
        <v>5000</v>
      </c>
      <c r="L1360" s="127" t="s">
        <v>569</v>
      </c>
      <c r="M1360" s="125">
        <v>40990</v>
      </c>
      <c r="N1360" s="129" t="str">
        <f t="shared" si="991"/>
        <v>Y</v>
      </c>
      <c r="O1360" s="128" t="s">
        <v>76</v>
      </c>
      <c r="P1360" s="129" t="s">
        <v>123</v>
      </c>
      <c r="Q1360" s="111">
        <f>BF1360</f>
        <v>4</v>
      </c>
      <c r="R1360" s="111">
        <f t="shared" si="973"/>
        <v>66</v>
      </c>
      <c r="S1360" s="129">
        <v>0</v>
      </c>
      <c r="T1360" s="129">
        <v>0</v>
      </c>
      <c r="W1360" s="111"/>
      <c r="AC1360" s="130"/>
      <c r="AD1360" s="130">
        <v>27345</v>
      </c>
      <c r="AE1360" s="128" t="s">
        <v>46</v>
      </c>
      <c r="AF1360" s="128" t="s">
        <v>40</v>
      </c>
      <c r="AG1360" s="128" t="s">
        <v>41</v>
      </c>
      <c r="AH1360" s="108" t="s">
        <v>41</v>
      </c>
      <c r="AI1360" s="128" t="s">
        <v>83</v>
      </c>
      <c r="AJ1360" s="129" t="s">
        <v>123</v>
      </c>
      <c r="AK1360" s="129">
        <v>3</v>
      </c>
      <c r="AL1360" s="3" t="s">
        <v>123</v>
      </c>
      <c r="AP1360" s="129" t="s">
        <v>93</v>
      </c>
      <c r="AR1360" s="128" t="s">
        <v>67</v>
      </c>
      <c r="AS1360" s="129" t="s">
        <v>45</v>
      </c>
      <c r="BC1360" s="129" t="s">
        <v>52</v>
      </c>
      <c r="BF1360" s="111">
        <f>IF(J1360&gt;1/1/1900,((J1360+1)-I1360),"STILL OPEN")</f>
        <v>4</v>
      </c>
      <c r="BG1360" s="111">
        <f t="shared" si="993"/>
        <v>66</v>
      </c>
      <c r="BH1360" s="111">
        <f t="shared" si="995"/>
        <v>66</v>
      </c>
      <c r="BI1360" s="111">
        <f t="shared" si="996"/>
        <v>37.27322404371585</v>
      </c>
      <c r="BJ1360" s="129">
        <f>(G1360-J1360)+(M1360-G1360)</f>
        <v>0</v>
      </c>
      <c r="BK1360" s="129">
        <f t="shared" si="997"/>
        <v>-62</v>
      </c>
      <c r="BL1360" s="129" t="str">
        <f t="shared" si="978"/>
        <v>NO CONVICTION</v>
      </c>
      <c r="BM1360" s="129" t="s">
        <v>76</v>
      </c>
      <c r="BN1360" s="129" t="s">
        <v>88</v>
      </c>
      <c r="BP1360" s="137" t="str">
        <f t="shared" si="1001"/>
        <v>NO CONVICTION</v>
      </c>
      <c r="BQ1360" s="128" t="str">
        <f t="shared" si="1002"/>
        <v>Y</v>
      </c>
      <c r="BR1360" s="129" t="str">
        <f t="shared" si="1003"/>
        <v>ON BOND</v>
      </c>
      <c r="BS1360" s="129" t="str">
        <f t="shared" si="1004"/>
        <v>DISPOSED</v>
      </c>
      <c r="BT1360" s="129" t="str">
        <f t="shared" si="1005"/>
        <v>N</v>
      </c>
      <c r="BU1360" s="109">
        <f>IFERROR(Q1360/R1360,BR1360)</f>
        <v>6.0606060606060608E-2</v>
      </c>
      <c r="BV1360" s="109">
        <f t="shared" si="1006"/>
        <v>6.0606060606060608E-2</v>
      </c>
      <c r="BW1360" s="109">
        <f t="shared" si="990"/>
        <v>0</v>
      </c>
      <c r="BX1360" s="111">
        <f t="shared" si="1007"/>
        <v>0</v>
      </c>
      <c r="BY1360" s="129">
        <f t="shared" si="1008"/>
        <v>-4</v>
      </c>
      <c r="BZ1360" s="111">
        <f t="shared" si="1009"/>
        <v>0</v>
      </c>
      <c r="CA1360" s="138">
        <f t="shared" si="1010"/>
        <v>4</v>
      </c>
      <c r="CB1360" s="111" t="e">
        <f>IF(AF1360&gt;1/1/1900,((AF1360+1)-AE1360),"STILL OPEN")</f>
        <v>#VALUE!</v>
      </c>
      <c r="CC1360" s="129">
        <f>M1360-I1360+1</f>
        <v>4</v>
      </c>
      <c r="CD1360" s="111">
        <f>CC1360-BF1360</f>
        <v>0</v>
      </c>
      <c r="CG1360" s="129" t="str">
        <f t="shared" si="1011"/>
        <v>N</v>
      </c>
      <c r="CI1360" s="129" t="str">
        <f t="shared" si="1013"/>
        <v>0-10 DAYS</v>
      </c>
      <c r="CJ1360" s="137">
        <f t="shared" si="1014"/>
        <v>1</v>
      </c>
      <c r="CK1360" s="129" t="str">
        <f t="shared" si="1015"/>
        <v>Booked</v>
      </c>
    </row>
    <row r="1361" spans="1:89" ht="15" customHeight="1" x14ac:dyDescent="0.25">
      <c r="A1361" s="111">
        <v>2984</v>
      </c>
      <c r="B1361" s="128" t="str">
        <f t="shared" si="998"/>
        <v>N</v>
      </c>
      <c r="C1361" s="128" t="str">
        <f t="shared" si="999"/>
        <v>Y</v>
      </c>
      <c r="D1361" s="117">
        <v>1980559</v>
      </c>
      <c r="E1361" s="135">
        <f t="shared" si="1000"/>
        <v>5</v>
      </c>
      <c r="F1361" s="124">
        <v>41019</v>
      </c>
      <c r="G1361" s="125">
        <v>41285</v>
      </c>
      <c r="H1361" s="117">
        <v>1980559</v>
      </c>
      <c r="I1361" s="124">
        <v>41019</v>
      </c>
      <c r="J1361" s="124">
        <v>41023</v>
      </c>
      <c r="K1361" s="126">
        <v>25000</v>
      </c>
      <c r="L1361" s="129" t="s">
        <v>572</v>
      </c>
      <c r="M1361" s="125">
        <v>41023</v>
      </c>
      <c r="N1361" s="129" t="str">
        <f t="shared" si="991"/>
        <v>Y</v>
      </c>
      <c r="O1361" s="128" t="s">
        <v>76</v>
      </c>
      <c r="P1361" s="129" t="s">
        <v>39</v>
      </c>
      <c r="Q1361" s="111">
        <v>131</v>
      </c>
      <c r="R1361" s="111">
        <f t="shared" si="973"/>
        <v>267</v>
      </c>
      <c r="S1361" s="129">
        <v>3</v>
      </c>
      <c r="T1361" s="129">
        <v>6</v>
      </c>
      <c r="V1361" s="117">
        <v>1</v>
      </c>
      <c r="W1361" s="111"/>
      <c r="AC1361" s="130"/>
      <c r="AD1361" s="130">
        <v>30628</v>
      </c>
      <c r="AE1361" s="128" t="s">
        <v>32</v>
      </c>
      <c r="AF1361" s="128" t="s">
        <v>40</v>
      </c>
      <c r="AG1361" s="128" t="s">
        <v>41</v>
      </c>
      <c r="AH1361" s="108" t="s">
        <v>41</v>
      </c>
      <c r="AI1361" s="128" t="s">
        <v>95</v>
      </c>
      <c r="AJ1361" s="129" t="s">
        <v>89</v>
      </c>
      <c r="AK1361" s="129">
        <v>10</v>
      </c>
      <c r="AL1361" s="3" t="s">
        <v>992</v>
      </c>
      <c r="AN1361" s="117">
        <v>10</v>
      </c>
      <c r="AP1361" s="129" t="s">
        <v>186</v>
      </c>
      <c r="AR1361" s="128" t="s">
        <v>50</v>
      </c>
      <c r="AS1361" s="129" t="s">
        <v>106</v>
      </c>
      <c r="AT1361" s="129" t="s">
        <v>662</v>
      </c>
      <c r="AU1361" s="3" t="s">
        <v>788</v>
      </c>
      <c r="AX1361" s="32" t="s">
        <v>88</v>
      </c>
      <c r="BC1361" s="129" t="s">
        <v>52</v>
      </c>
      <c r="BF1361" s="111">
        <v>131</v>
      </c>
      <c r="BG1361" s="111">
        <f t="shared" si="993"/>
        <v>267</v>
      </c>
      <c r="BH1361" s="111">
        <f t="shared" si="995"/>
        <v>267</v>
      </c>
      <c r="BI1361" s="111">
        <f t="shared" si="996"/>
        <v>28.39071038251366</v>
      </c>
      <c r="BJ1361" s="129">
        <f>(G1361-J1361)+(M1361-G1361)</f>
        <v>0</v>
      </c>
      <c r="BK1361" s="129">
        <f t="shared" si="997"/>
        <v>-262</v>
      </c>
      <c r="BL1361" s="129" t="str">
        <f t="shared" si="978"/>
        <v>CONVICTION</v>
      </c>
      <c r="BM1361" s="129" t="s">
        <v>76</v>
      </c>
      <c r="BN1361" s="129" t="s">
        <v>88</v>
      </c>
      <c r="BP1361" s="137" t="str">
        <f t="shared" si="1001"/>
        <v>CONVICTION</v>
      </c>
      <c r="BQ1361" s="128" t="str">
        <f t="shared" si="1002"/>
        <v>Y</v>
      </c>
      <c r="BR1361" s="129" t="s">
        <v>574</v>
      </c>
      <c r="BS1361" s="129" t="str">
        <f t="shared" si="1004"/>
        <v>DISPOSED</v>
      </c>
      <c r="BT1361" s="129" t="str">
        <f t="shared" si="1005"/>
        <v>Y</v>
      </c>
      <c r="BU1361" s="109">
        <f t="shared" si="1012"/>
        <v>0.49063670411985016</v>
      </c>
      <c r="BV1361" s="109">
        <f t="shared" si="1006"/>
        <v>1.8726591760299626E-2</v>
      </c>
      <c r="BW1361" s="109">
        <f t="shared" si="990"/>
        <v>-0.47191011235955055</v>
      </c>
      <c r="BX1361" s="111">
        <f t="shared" si="1007"/>
        <v>0</v>
      </c>
      <c r="BY1361" s="129">
        <f t="shared" si="1008"/>
        <v>-5</v>
      </c>
      <c r="BZ1361" s="111">
        <f t="shared" si="1009"/>
        <v>126</v>
      </c>
      <c r="CA1361" s="138">
        <f t="shared" si="1010"/>
        <v>267</v>
      </c>
      <c r="CB1361" s="111">
        <v>131</v>
      </c>
      <c r="CC1361" s="129">
        <f>G1361-I1361+1</f>
        <v>267</v>
      </c>
      <c r="CD1361" s="129">
        <f>G1361-J1361</f>
        <v>262</v>
      </c>
      <c r="CG1361" s="129" t="str">
        <f t="shared" si="1011"/>
        <v>Y</v>
      </c>
      <c r="CI1361" s="129" t="str">
        <f t="shared" si="1013"/>
        <v>121-365 DAYS</v>
      </c>
      <c r="CJ1361" s="137">
        <f t="shared" si="1014"/>
        <v>6</v>
      </c>
      <c r="CK1361" s="129" t="str">
        <f t="shared" si="1015"/>
        <v>Booked</v>
      </c>
    </row>
    <row r="1362" spans="1:89" ht="15.75" customHeight="1" x14ac:dyDescent="0.25">
      <c r="A1362" s="111">
        <v>310</v>
      </c>
      <c r="B1362" s="128" t="str">
        <f t="shared" si="998"/>
        <v>N</v>
      </c>
      <c r="C1362" s="128" t="str">
        <f t="shared" si="999"/>
        <v>N</v>
      </c>
      <c r="D1362" s="117">
        <v>1981681</v>
      </c>
      <c r="E1362" s="135">
        <f t="shared" si="1000"/>
        <v>2</v>
      </c>
      <c r="F1362" s="124">
        <v>40921</v>
      </c>
      <c r="G1362" s="125">
        <v>40925</v>
      </c>
      <c r="H1362" s="117">
        <v>1981681</v>
      </c>
      <c r="I1362" s="124">
        <v>40921</v>
      </c>
      <c r="J1362" s="124">
        <v>40925</v>
      </c>
      <c r="K1362" s="126">
        <v>2000</v>
      </c>
      <c r="L1362" s="127" t="s">
        <v>568</v>
      </c>
      <c r="N1362" s="129" t="str">
        <f t="shared" si="991"/>
        <v>N</v>
      </c>
      <c r="O1362" s="128" t="s">
        <v>917</v>
      </c>
      <c r="P1362" s="129" t="s">
        <v>589</v>
      </c>
      <c r="Q1362" s="111">
        <f>BF1362</f>
        <v>5</v>
      </c>
      <c r="R1362" s="111">
        <f t="shared" ref="R1362:R1425" si="1021">BH1362</f>
        <v>5</v>
      </c>
      <c r="S1362" s="129">
        <v>1</v>
      </c>
      <c r="T1362" s="129">
        <v>1</v>
      </c>
      <c r="V1362" s="117">
        <v>1</v>
      </c>
      <c r="W1362" s="111"/>
      <c r="AC1362" s="130"/>
      <c r="AD1362" s="130">
        <v>22588</v>
      </c>
      <c r="AE1362" s="128" t="s">
        <v>32</v>
      </c>
      <c r="AF1362" s="128" t="s">
        <v>33</v>
      </c>
      <c r="AG1362" s="128" t="s">
        <v>872</v>
      </c>
      <c r="AH1362" s="108" t="s">
        <v>31</v>
      </c>
      <c r="AI1362" s="128" t="s">
        <v>34</v>
      </c>
      <c r="AJ1362" s="129" t="s">
        <v>48</v>
      </c>
      <c r="AK1362" s="129">
        <v>1</v>
      </c>
      <c r="AL1362" s="3" t="s">
        <v>48</v>
      </c>
      <c r="AP1362" s="129" t="s">
        <v>43</v>
      </c>
      <c r="AR1362" s="128" t="s">
        <v>44</v>
      </c>
      <c r="AS1362" s="129" t="s">
        <v>45</v>
      </c>
      <c r="BC1362" s="129" t="s">
        <v>38</v>
      </c>
      <c r="BF1362" s="111">
        <f>IF(J1362&gt;1/1/1900,((J1362+1)-I1362),"STILL OPEN")</f>
        <v>5</v>
      </c>
      <c r="BG1362" s="111">
        <f t="shared" si="993"/>
        <v>5</v>
      </c>
      <c r="BH1362" s="111">
        <f t="shared" si="995"/>
        <v>5</v>
      </c>
      <c r="BI1362" s="111">
        <f t="shared" si="996"/>
        <v>50.090163934426229</v>
      </c>
      <c r="BJ1362" s="129">
        <f t="shared" si="1016"/>
        <v>0</v>
      </c>
      <c r="BK1362" s="129">
        <f t="shared" si="997"/>
        <v>0</v>
      </c>
      <c r="BL1362" s="129" t="str">
        <f t="shared" si="978"/>
        <v>DEFERRED</v>
      </c>
      <c r="BM1362" s="129" t="str">
        <f t="shared" si="1017"/>
        <v>NONE</v>
      </c>
      <c r="BN1362" s="129" t="s">
        <v>566</v>
      </c>
      <c r="BP1362" s="137" t="str">
        <f t="shared" si="1001"/>
        <v>DEFERRED</v>
      </c>
      <c r="BQ1362" s="128" t="str">
        <f t="shared" si="1002"/>
        <v>Y</v>
      </c>
      <c r="BR1362" s="129" t="str">
        <f t="shared" si="1003"/>
        <v>DETAINED</v>
      </c>
      <c r="BS1362" s="129" t="str">
        <f t="shared" si="1004"/>
        <v>DISPOSED</v>
      </c>
      <c r="BT1362" s="129" t="str">
        <f t="shared" si="1005"/>
        <v>Y</v>
      </c>
      <c r="BU1362" s="109">
        <f t="shared" si="1012"/>
        <v>1</v>
      </c>
      <c r="BV1362" s="109">
        <f t="shared" si="1006"/>
        <v>1</v>
      </c>
      <c r="BW1362" s="109">
        <f t="shared" si="990"/>
        <v>0</v>
      </c>
      <c r="BX1362" s="111">
        <f t="shared" si="1007"/>
        <v>0</v>
      </c>
      <c r="BY1362" s="129">
        <f t="shared" si="1008"/>
        <v>-5</v>
      </c>
      <c r="BZ1362" s="111">
        <f t="shared" si="1009"/>
        <v>0</v>
      </c>
      <c r="CA1362" s="138">
        <f t="shared" si="1010"/>
        <v>5</v>
      </c>
      <c r="CB1362" s="111" t="e">
        <f>IF(AF1362&gt;1/1/1900,((AF1362+1)-AE1362),"STILL OPEN")</f>
        <v>#VALUE!</v>
      </c>
      <c r="CC1362" s="129">
        <f>G1362-I1362+1</f>
        <v>5</v>
      </c>
      <c r="CD1362" s="129">
        <f>G1362-J1362</f>
        <v>0</v>
      </c>
      <c r="CG1362" s="129" t="str">
        <f t="shared" si="1011"/>
        <v>Y</v>
      </c>
      <c r="CI1362" s="129" t="str">
        <f t="shared" si="1013"/>
        <v>0-10 DAYS</v>
      </c>
      <c r="CJ1362" s="137">
        <f t="shared" si="1014"/>
        <v>1</v>
      </c>
      <c r="CK1362" s="129" t="str">
        <f t="shared" si="1015"/>
        <v>Booked</v>
      </c>
    </row>
    <row r="1363" spans="1:89" ht="15" customHeight="1" x14ac:dyDescent="0.25">
      <c r="A1363" s="111">
        <v>116</v>
      </c>
      <c r="B1363" s="128" t="str">
        <f t="shared" si="998"/>
        <v>N</v>
      </c>
      <c r="C1363" s="128" t="str">
        <f t="shared" si="999"/>
        <v>N</v>
      </c>
      <c r="D1363" s="117">
        <v>1982037</v>
      </c>
      <c r="E1363" s="135">
        <f t="shared" si="1000"/>
        <v>5</v>
      </c>
      <c r="F1363" s="124">
        <v>40914</v>
      </c>
      <c r="G1363" s="125">
        <v>41037</v>
      </c>
      <c r="H1363" s="117">
        <v>1982037</v>
      </c>
      <c r="I1363" s="124">
        <v>40914</v>
      </c>
      <c r="J1363" s="124">
        <v>40926</v>
      </c>
      <c r="K1363" s="126">
        <v>15000</v>
      </c>
      <c r="L1363" s="127" t="s">
        <v>571</v>
      </c>
      <c r="M1363" s="125">
        <v>40926</v>
      </c>
      <c r="N1363" s="129" t="str">
        <f t="shared" si="991"/>
        <v>Y</v>
      </c>
      <c r="O1363" s="128" t="s">
        <v>76</v>
      </c>
      <c r="P1363" s="129" t="s">
        <v>39</v>
      </c>
      <c r="Q1363" s="111">
        <f>BF1363</f>
        <v>13</v>
      </c>
      <c r="R1363" s="111">
        <f t="shared" si="1021"/>
        <v>124</v>
      </c>
      <c r="S1363" s="129">
        <v>6</v>
      </c>
      <c r="T1363" s="129">
        <v>3</v>
      </c>
      <c r="U1363" s="129">
        <v>4</v>
      </c>
      <c r="W1363" s="111"/>
      <c r="AC1363" s="130"/>
      <c r="AD1363" s="130">
        <v>28970</v>
      </c>
      <c r="AE1363" s="128" t="s">
        <v>46</v>
      </c>
      <c r="AF1363" s="128" t="s">
        <v>69</v>
      </c>
      <c r="AG1363" s="128" t="s">
        <v>874</v>
      </c>
      <c r="AH1363" s="108" t="s">
        <v>58</v>
      </c>
      <c r="AI1363" s="128" t="s">
        <v>34</v>
      </c>
      <c r="AJ1363" s="129" t="s">
        <v>89</v>
      </c>
      <c r="AK1363" s="129">
        <v>5</v>
      </c>
      <c r="AL1363" s="3" t="s">
        <v>992</v>
      </c>
      <c r="AN1363" s="117">
        <v>6</v>
      </c>
      <c r="AP1363" s="129" t="s">
        <v>43</v>
      </c>
      <c r="AR1363" s="128" t="s">
        <v>44</v>
      </c>
      <c r="AS1363" s="129" t="s">
        <v>45</v>
      </c>
      <c r="AT1363" s="129" t="s">
        <v>594</v>
      </c>
      <c r="AZ1363" s="140"/>
      <c r="BC1363" s="129" t="s">
        <v>38</v>
      </c>
      <c r="BF1363" s="111">
        <f>IF(J1363&gt;1/1/1900,((J1363+1)-I1363),"STILL OPEN")</f>
        <v>13</v>
      </c>
      <c r="BG1363" s="111">
        <f t="shared" si="993"/>
        <v>124</v>
      </c>
      <c r="BH1363" s="111">
        <f t="shared" si="995"/>
        <v>124</v>
      </c>
      <c r="BI1363" s="111">
        <f t="shared" si="996"/>
        <v>32.633879781420767</v>
      </c>
      <c r="BJ1363" s="129">
        <f>(G1363-J1363)+(M1363-G1363)</f>
        <v>0</v>
      </c>
      <c r="BK1363" s="129">
        <f t="shared" si="997"/>
        <v>-111</v>
      </c>
      <c r="BL1363" s="129" t="str">
        <f t="shared" si="978"/>
        <v>CONVICTION</v>
      </c>
      <c r="BM1363" s="129" t="s">
        <v>76</v>
      </c>
      <c r="BN1363" s="129" t="s">
        <v>88</v>
      </c>
      <c r="BP1363" s="137" t="str">
        <f t="shared" si="1001"/>
        <v>CONVICTION</v>
      </c>
      <c r="BQ1363" s="128" t="str">
        <f t="shared" si="1002"/>
        <v>Y</v>
      </c>
      <c r="BR1363" s="129" t="str">
        <f>IF(J1363&lt;G1363,"ON BOND",0)</f>
        <v>ON BOND</v>
      </c>
      <c r="BS1363" s="129" t="str">
        <f t="shared" si="1004"/>
        <v>DISPOSED</v>
      </c>
      <c r="BT1363" s="129" t="str">
        <f t="shared" si="1005"/>
        <v>Y</v>
      </c>
      <c r="BU1363" s="109">
        <f t="shared" si="1012"/>
        <v>0.10483870967741936</v>
      </c>
      <c r="BV1363" s="109">
        <f t="shared" si="1006"/>
        <v>0.10483870967741936</v>
      </c>
      <c r="BW1363" s="109">
        <f t="shared" si="990"/>
        <v>0</v>
      </c>
      <c r="BX1363" s="111">
        <f t="shared" si="1007"/>
        <v>0</v>
      </c>
      <c r="BY1363" s="129">
        <f t="shared" si="1008"/>
        <v>-13</v>
      </c>
      <c r="BZ1363" s="111">
        <f t="shared" si="1009"/>
        <v>0</v>
      </c>
      <c r="CA1363" s="138">
        <f t="shared" si="1010"/>
        <v>13</v>
      </c>
      <c r="CB1363" s="111" t="e">
        <f>IF(AF1363&gt;1/1/1900,((AF1363+1)-AE1363),"STILL OPEN")</f>
        <v>#VALUE!</v>
      </c>
      <c r="CC1363" s="129">
        <f>M1363-I1363+1</f>
        <v>13</v>
      </c>
      <c r="CD1363" s="111">
        <f>CC1363-BF1363</f>
        <v>0</v>
      </c>
      <c r="CG1363" s="129" t="str">
        <f t="shared" si="1011"/>
        <v>Y</v>
      </c>
      <c r="CI1363" s="129" t="str">
        <f t="shared" si="1013"/>
        <v>11-30 DAYS</v>
      </c>
      <c r="CJ1363" s="137">
        <f t="shared" si="1014"/>
        <v>2</v>
      </c>
      <c r="CK1363" s="129" t="str">
        <f t="shared" si="1015"/>
        <v>Booked</v>
      </c>
    </row>
    <row r="1364" spans="1:89" ht="15.75" customHeight="1" x14ac:dyDescent="0.25">
      <c r="A1364" s="111">
        <v>593</v>
      </c>
      <c r="B1364" s="128" t="str">
        <f t="shared" si="998"/>
        <v>N</v>
      </c>
      <c r="C1364" s="128" t="str">
        <f t="shared" si="999"/>
        <v>Y</v>
      </c>
      <c r="D1364" s="117">
        <v>1982441</v>
      </c>
      <c r="E1364" s="135">
        <f t="shared" si="1000"/>
        <v>1</v>
      </c>
      <c r="F1364" s="124">
        <v>40932</v>
      </c>
      <c r="G1364" s="125">
        <v>41407</v>
      </c>
      <c r="H1364" s="117">
        <v>1982441</v>
      </c>
      <c r="I1364" s="124">
        <v>40991</v>
      </c>
      <c r="J1364" s="124">
        <v>40995</v>
      </c>
      <c r="K1364" s="126">
        <v>10000</v>
      </c>
      <c r="L1364" s="127" t="s">
        <v>570</v>
      </c>
      <c r="M1364" s="125">
        <v>40995</v>
      </c>
      <c r="N1364" s="129" t="str">
        <f t="shared" si="991"/>
        <v>Y</v>
      </c>
      <c r="O1364" s="128" t="s">
        <v>585</v>
      </c>
      <c r="P1364" s="129" t="s">
        <v>55</v>
      </c>
      <c r="Q1364" s="111">
        <v>18</v>
      </c>
      <c r="R1364" s="111">
        <f t="shared" si="1021"/>
        <v>476</v>
      </c>
      <c r="S1364" s="129">
        <v>0</v>
      </c>
      <c r="T1364" s="129">
        <v>6</v>
      </c>
      <c r="W1364" s="111"/>
      <c r="AC1364" s="130"/>
      <c r="AD1364" s="130">
        <v>31283</v>
      </c>
      <c r="AE1364" s="128" t="s">
        <v>32</v>
      </c>
      <c r="AF1364" s="128" t="s">
        <v>33</v>
      </c>
      <c r="AG1364" s="128" t="s">
        <v>872</v>
      </c>
      <c r="AH1364" s="108" t="s">
        <v>58</v>
      </c>
      <c r="AI1364" s="128" t="s">
        <v>100</v>
      </c>
      <c r="AJ1364" s="129" t="s">
        <v>31</v>
      </c>
      <c r="AK1364" s="129">
        <v>14</v>
      </c>
      <c r="AL1364" s="3" t="s">
        <v>55</v>
      </c>
      <c r="AP1364" s="129" t="s">
        <v>56</v>
      </c>
      <c r="AR1364" s="128" t="s">
        <v>50</v>
      </c>
      <c r="AS1364" s="129" t="s">
        <v>57</v>
      </c>
      <c r="AT1364" s="129" t="s">
        <v>1134</v>
      </c>
      <c r="AU1364" s="121">
        <v>41025</v>
      </c>
      <c r="AX1364" s="129" t="s">
        <v>88</v>
      </c>
      <c r="BC1364" s="129" t="s">
        <v>52</v>
      </c>
      <c r="BF1364" s="111">
        <v>18</v>
      </c>
      <c r="BG1364" s="111">
        <f t="shared" si="993"/>
        <v>417</v>
      </c>
      <c r="BH1364" s="111">
        <f t="shared" si="995"/>
        <v>476</v>
      </c>
      <c r="BI1364" s="111">
        <f t="shared" si="996"/>
        <v>26.363387978142075</v>
      </c>
      <c r="BJ1364" s="129">
        <f>(G1364-J1364)+(M1364-G1364)</f>
        <v>0</v>
      </c>
      <c r="BK1364" s="129">
        <f t="shared" si="997"/>
        <v>-412</v>
      </c>
      <c r="BL1364" s="129" t="s">
        <v>55</v>
      </c>
      <c r="BM1364" s="129" t="s">
        <v>76</v>
      </c>
      <c r="BN1364" s="129" t="s">
        <v>88</v>
      </c>
      <c r="BP1364" s="137" t="str">
        <f t="shared" si="1001"/>
        <v/>
      </c>
      <c r="BQ1364" s="128" t="str">
        <f t="shared" si="1002"/>
        <v>Y</v>
      </c>
      <c r="BR1364" s="129" t="str">
        <f t="shared" si="1003"/>
        <v>ON BOND</v>
      </c>
      <c r="BS1364" s="129" t="str">
        <f t="shared" si="1004"/>
        <v>DISPOSED</v>
      </c>
      <c r="BT1364" s="129" t="str">
        <f t="shared" si="1005"/>
        <v>N</v>
      </c>
      <c r="BU1364" s="109">
        <f>IFERROR(Q1364/R1364,BR1364)</f>
        <v>3.7815126050420166E-2</v>
      </c>
      <c r="BV1364" s="109">
        <f t="shared" si="1006"/>
        <v>1.1990407673860911E-2</v>
      </c>
      <c r="BW1364" s="109">
        <f t="shared" si="990"/>
        <v>-2.5824718376559253E-2</v>
      </c>
      <c r="BX1364" s="111">
        <f t="shared" si="1007"/>
        <v>0</v>
      </c>
      <c r="BY1364" s="129">
        <f t="shared" si="1008"/>
        <v>-5</v>
      </c>
      <c r="BZ1364" s="111">
        <f t="shared" si="1009"/>
        <v>13</v>
      </c>
      <c r="CA1364" s="138">
        <f t="shared" si="1010"/>
        <v>5</v>
      </c>
      <c r="CB1364" s="111">
        <v>18</v>
      </c>
      <c r="CD1364" s="129">
        <f>G1364-J1364</f>
        <v>412</v>
      </c>
      <c r="CG1364" s="129" t="str">
        <f t="shared" si="1011"/>
        <v>Y</v>
      </c>
      <c r="CI1364" s="129" t="str">
        <f t="shared" si="1013"/>
        <v>11-30 DAYS</v>
      </c>
      <c r="CJ1364" s="137">
        <f t="shared" si="1014"/>
        <v>2</v>
      </c>
      <c r="CK1364" s="129" t="str">
        <f t="shared" si="1015"/>
        <v>Booked</v>
      </c>
    </row>
    <row r="1365" spans="1:89" ht="15.75" customHeight="1" x14ac:dyDescent="0.25">
      <c r="A1365" s="111">
        <v>3260</v>
      </c>
      <c r="B1365" s="128" t="str">
        <f t="shared" si="998"/>
        <v>N</v>
      </c>
      <c r="C1365" s="128" t="str">
        <f t="shared" si="999"/>
        <v>N</v>
      </c>
      <c r="D1365" s="117">
        <v>1983685</v>
      </c>
      <c r="E1365" s="135">
        <f t="shared" si="1000"/>
        <v>5</v>
      </c>
      <c r="F1365" s="124">
        <v>41029</v>
      </c>
      <c r="G1365" s="125">
        <v>41130</v>
      </c>
      <c r="H1365" s="117">
        <v>1983685</v>
      </c>
      <c r="I1365" s="124">
        <v>41030</v>
      </c>
      <c r="J1365" s="124">
        <v>41130</v>
      </c>
      <c r="K1365" s="126">
        <v>10000</v>
      </c>
      <c r="L1365" s="127" t="s">
        <v>570</v>
      </c>
      <c r="N1365" s="129" t="str">
        <f t="shared" si="991"/>
        <v>N</v>
      </c>
      <c r="O1365" s="128" t="s">
        <v>917</v>
      </c>
      <c r="P1365" s="129" t="s">
        <v>39</v>
      </c>
      <c r="Q1365" s="111">
        <f t="shared" ref="Q1365:Q1402" si="1022">BF1365</f>
        <v>101</v>
      </c>
      <c r="R1365" s="111">
        <f t="shared" si="1021"/>
        <v>102</v>
      </c>
      <c r="S1365" s="129">
        <v>6</v>
      </c>
      <c r="T1365" s="129">
        <v>10</v>
      </c>
      <c r="U1365" s="129">
        <v>3</v>
      </c>
      <c r="W1365" s="111"/>
      <c r="AC1365" s="130"/>
      <c r="AD1365" s="130">
        <v>31065</v>
      </c>
      <c r="AE1365" s="128" t="s">
        <v>32</v>
      </c>
      <c r="AF1365" s="128" t="s">
        <v>33</v>
      </c>
      <c r="AG1365" s="128" t="s">
        <v>872</v>
      </c>
      <c r="AH1365" s="108" t="s">
        <v>58</v>
      </c>
      <c r="AI1365" s="128" t="s">
        <v>95</v>
      </c>
      <c r="AJ1365" s="129" t="s">
        <v>89</v>
      </c>
      <c r="AK1365" s="129">
        <v>6</v>
      </c>
      <c r="AL1365" s="3" t="s">
        <v>992</v>
      </c>
      <c r="AN1365" s="117">
        <v>12</v>
      </c>
      <c r="AP1365" s="129" t="s">
        <v>93</v>
      </c>
      <c r="AR1365" s="128" t="s">
        <v>67</v>
      </c>
      <c r="AS1365" s="129" t="s">
        <v>45</v>
      </c>
      <c r="BC1365" s="129" t="s">
        <v>38</v>
      </c>
      <c r="BF1365" s="111">
        <f t="shared" ref="BF1365:BF1402" si="1023">IF(J1365&gt;1/1/1900,((J1365+1)-I1365),"STILL OPEN")</f>
        <v>101</v>
      </c>
      <c r="BG1365" s="111">
        <f t="shared" si="993"/>
        <v>101</v>
      </c>
      <c r="BH1365" s="111">
        <f t="shared" si="995"/>
        <v>102</v>
      </c>
      <c r="BI1365" s="111">
        <f t="shared" si="996"/>
        <v>27.224043715846996</v>
      </c>
      <c r="BJ1365" s="129">
        <f t="shared" si="1016"/>
        <v>0</v>
      </c>
      <c r="BK1365" s="129">
        <f t="shared" si="997"/>
        <v>0</v>
      </c>
      <c r="BL1365" s="129" t="str">
        <f t="shared" ref="BL1365:BL1428" si="1024">IF(OR(AL1365="AQUITTAL",AL1365="DISMISSED",AL1365="FINE",AL1365="NO BILL"),"NO CONVICTION",IF(OR(AL1365="HCJ",AL1365="MHH",AL1365="PROBATION",AL1365="STJ",AL1365="TDC"),"CONVICTION",IF(AL1365="DEFERRED","DEFERRED",0)))</f>
        <v>CONVICTION</v>
      </c>
      <c r="BM1365" s="129" t="str">
        <f t="shared" si="1017"/>
        <v>NONE</v>
      </c>
      <c r="BN1365" s="129" t="s">
        <v>566</v>
      </c>
      <c r="BP1365" s="137" t="str">
        <f t="shared" si="1001"/>
        <v>CONVICTION</v>
      </c>
      <c r="BQ1365" s="128" t="str">
        <f t="shared" si="1002"/>
        <v>Y</v>
      </c>
      <c r="BR1365" s="129" t="str">
        <f t="shared" si="1003"/>
        <v>DETAINED</v>
      </c>
      <c r="BS1365" s="129" t="str">
        <f t="shared" si="1004"/>
        <v>DISPOSED</v>
      </c>
      <c r="BT1365" s="129" t="str">
        <f t="shared" si="1005"/>
        <v>Y</v>
      </c>
      <c r="BU1365" s="109">
        <f t="shared" si="1012"/>
        <v>0.99019607843137258</v>
      </c>
      <c r="BV1365" s="109">
        <f t="shared" si="1006"/>
        <v>1</v>
      </c>
      <c r="BW1365" s="109">
        <f t="shared" si="990"/>
        <v>9.8039215686274161E-3</v>
      </c>
      <c r="BX1365" s="111">
        <f t="shared" si="1007"/>
        <v>0</v>
      </c>
      <c r="BY1365" s="129">
        <f t="shared" si="1008"/>
        <v>-101</v>
      </c>
      <c r="BZ1365" s="111">
        <f t="shared" si="1009"/>
        <v>0</v>
      </c>
      <c r="CA1365" s="138">
        <f t="shared" si="1010"/>
        <v>101</v>
      </c>
      <c r="CB1365" s="111" t="e">
        <f t="shared" ref="CB1365:CB1402" si="1025">IF(AF1365&gt;1/1/1900,((AF1365+1)-AE1365),"STILL OPEN")</f>
        <v>#VALUE!</v>
      </c>
      <c r="CC1365" s="129">
        <f>G1365-I1365+1</f>
        <v>101</v>
      </c>
      <c r="CD1365" s="129">
        <f>G1365-J1365</f>
        <v>0</v>
      </c>
      <c r="CG1365" s="129" t="str">
        <f t="shared" si="1011"/>
        <v>Y</v>
      </c>
      <c r="CI1365" s="129" t="str">
        <f t="shared" si="1013"/>
        <v>91-120 DAYS</v>
      </c>
      <c r="CJ1365" s="137">
        <f t="shared" si="1014"/>
        <v>0</v>
      </c>
      <c r="CK1365" s="129" t="str">
        <f t="shared" si="1015"/>
        <v>Booked</v>
      </c>
    </row>
    <row r="1366" spans="1:89" ht="15.75" customHeight="1" x14ac:dyDescent="0.25">
      <c r="A1366" s="111">
        <v>2859</v>
      </c>
      <c r="B1366" s="128" t="str">
        <f t="shared" si="998"/>
        <v>Y</v>
      </c>
      <c r="C1366" s="128" t="str">
        <f t="shared" si="999"/>
        <v>N</v>
      </c>
      <c r="D1366" s="117">
        <v>1984477</v>
      </c>
      <c r="E1366" s="135">
        <f t="shared" si="1000"/>
        <v>4</v>
      </c>
      <c r="F1366" s="124">
        <v>41014</v>
      </c>
      <c r="G1366" s="125">
        <v>41515</v>
      </c>
      <c r="H1366" s="117">
        <v>1984477</v>
      </c>
      <c r="I1366" s="124">
        <v>41015</v>
      </c>
      <c r="J1366" s="124">
        <v>41016</v>
      </c>
      <c r="K1366" s="126">
        <v>5000</v>
      </c>
      <c r="L1366" s="127" t="s">
        <v>569</v>
      </c>
      <c r="M1366" s="125">
        <v>41016</v>
      </c>
      <c r="N1366" s="129" t="str">
        <f t="shared" si="991"/>
        <v>Y</v>
      </c>
      <c r="O1366" s="128" t="s">
        <v>76</v>
      </c>
      <c r="P1366" s="129" t="s">
        <v>39</v>
      </c>
      <c r="Q1366" s="111">
        <f t="shared" si="1022"/>
        <v>2</v>
      </c>
      <c r="R1366" s="111">
        <f t="shared" si="1021"/>
        <v>502</v>
      </c>
      <c r="S1366" s="129">
        <v>1</v>
      </c>
      <c r="T1366" s="129">
        <v>2</v>
      </c>
      <c r="W1366" s="111"/>
      <c r="AC1366" s="130"/>
      <c r="AD1366" s="130">
        <v>31023</v>
      </c>
      <c r="AE1366" s="128" t="s">
        <v>32</v>
      </c>
      <c r="AF1366" s="128" t="s">
        <v>40</v>
      </c>
      <c r="AG1366" s="128" t="s">
        <v>41</v>
      </c>
      <c r="AH1366" s="108" t="s">
        <v>41</v>
      </c>
      <c r="AI1366" s="128" t="s">
        <v>87</v>
      </c>
      <c r="AJ1366" s="129" t="s">
        <v>89</v>
      </c>
      <c r="AK1366" s="129">
        <v>13</v>
      </c>
      <c r="AL1366" s="3" t="s">
        <v>991</v>
      </c>
      <c r="AO1366" s="128">
        <v>6</v>
      </c>
      <c r="AP1366" s="129" t="s">
        <v>43</v>
      </c>
      <c r="AR1366" s="128" t="s">
        <v>44</v>
      </c>
      <c r="AS1366" s="129" t="s">
        <v>45</v>
      </c>
      <c r="AT1366" s="129" t="s">
        <v>1108</v>
      </c>
      <c r="BC1366" s="129" t="s">
        <v>52</v>
      </c>
      <c r="BD1366" s="129" t="s">
        <v>1107</v>
      </c>
      <c r="BF1366" s="111">
        <f t="shared" si="1023"/>
        <v>2</v>
      </c>
      <c r="BG1366" s="111">
        <f t="shared" si="993"/>
        <v>501</v>
      </c>
      <c r="BH1366" s="111">
        <f t="shared" si="995"/>
        <v>502</v>
      </c>
      <c r="BI1366" s="111">
        <f t="shared" si="996"/>
        <v>27.297814207650273</v>
      </c>
      <c r="BJ1366" s="129">
        <f>(G1366-J1366)+(M1366-G1366)</f>
        <v>0</v>
      </c>
      <c r="BK1366" s="129">
        <f t="shared" si="997"/>
        <v>-499</v>
      </c>
      <c r="BL1366" s="129" t="str">
        <f t="shared" si="1024"/>
        <v>CONVICTION</v>
      </c>
      <c r="BM1366" s="129" t="s">
        <v>76</v>
      </c>
      <c r="BN1366" s="129" t="s">
        <v>88</v>
      </c>
      <c r="BP1366" s="137" t="str">
        <f t="shared" si="1001"/>
        <v>CONVICTION</v>
      </c>
      <c r="BQ1366" s="128" t="str">
        <f t="shared" si="1002"/>
        <v>Y</v>
      </c>
      <c r="BR1366" s="129" t="str">
        <f>IF(J1366&lt;G1366,"ON BOND",0)</f>
        <v>ON BOND</v>
      </c>
      <c r="BS1366" s="129" t="str">
        <f t="shared" si="1004"/>
        <v>DISPOSED</v>
      </c>
      <c r="BT1366" s="129" t="str">
        <f t="shared" si="1005"/>
        <v>Y</v>
      </c>
      <c r="BU1366" s="109">
        <f t="shared" si="1012"/>
        <v>3.9840637450199202E-3</v>
      </c>
      <c r="BV1366" s="109">
        <f t="shared" si="1006"/>
        <v>3.9920159680638719E-3</v>
      </c>
      <c r="BW1366" s="109">
        <f t="shared" si="990"/>
        <v>7.95222304395167E-6</v>
      </c>
      <c r="BX1366" s="111">
        <f t="shared" si="1007"/>
        <v>0</v>
      </c>
      <c r="BY1366" s="129">
        <f t="shared" si="1008"/>
        <v>-2</v>
      </c>
      <c r="BZ1366" s="111">
        <f t="shared" si="1009"/>
        <v>0</v>
      </c>
      <c r="CA1366" s="138">
        <f t="shared" si="1010"/>
        <v>2</v>
      </c>
      <c r="CB1366" s="111" t="e">
        <f t="shared" si="1025"/>
        <v>#VALUE!</v>
      </c>
      <c r="CC1366" s="129">
        <f>M1366-I1366+1</f>
        <v>2</v>
      </c>
      <c r="CD1366" s="111">
        <f>CC1366-BF1366</f>
        <v>0</v>
      </c>
      <c r="CG1366" s="129" t="str">
        <f t="shared" si="1011"/>
        <v>Y</v>
      </c>
      <c r="CI1366" s="129" t="str">
        <f t="shared" si="1013"/>
        <v>0-10 DAYS</v>
      </c>
      <c r="CJ1366" s="137">
        <f t="shared" si="1014"/>
        <v>1</v>
      </c>
      <c r="CK1366" s="129" t="str">
        <f t="shared" si="1015"/>
        <v>Booked</v>
      </c>
    </row>
    <row r="1367" spans="1:89" ht="15" customHeight="1" x14ac:dyDescent="0.25">
      <c r="A1367" s="111">
        <v>1707</v>
      </c>
      <c r="B1367" s="128" t="str">
        <f t="shared" si="998"/>
        <v>N</v>
      </c>
      <c r="C1367" s="128" t="str">
        <f t="shared" si="999"/>
        <v>N</v>
      </c>
      <c r="D1367" s="117">
        <v>1985113</v>
      </c>
      <c r="E1367" s="135">
        <f t="shared" si="1000"/>
        <v>1</v>
      </c>
      <c r="F1367" s="124">
        <v>40972</v>
      </c>
      <c r="G1367" s="125">
        <v>41052</v>
      </c>
      <c r="H1367" s="117">
        <v>1985113</v>
      </c>
      <c r="I1367" s="124">
        <v>40972</v>
      </c>
      <c r="J1367" s="124">
        <v>40977</v>
      </c>
      <c r="K1367" s="126">
        <v>30000</v>
      </c>
      <c r="L1367" s="129" t="s">
        <v>572</v>
      </c>
      <c r="M1367" s="125">
        <v>40977</v>
      </c>
      <c r="N1367" s="129" t="str">
        <f t="shared" si="991"/>
        <v>Y</v>
      </c>
      <c r="O1367" s="128" t="s">
        <v>76</v>
      </c>
      <c r="P1367" s="129" t="s">
        <v>55</v>
      </c>
      <c r="Q1367" s="111">
        <f t="shared" si="1022"/>
        <v>6</v>
      </c>
      <c r="R1367" s="111">
        <f t="shared" si="1021"/>
        <v>81</v>
      </c>
      <c r="S1367" s="129">
        <v>5</v>
      </c>
      <c r="T1367" s="129">
        <v>3</v>
      </c>
      <c r="U1367" s="129">
        <v>3</v>
      </c>
      <c r="W1367" s="111"/>
      <c r="AC1367" s="130"/>
      <c r="AD1367" s="130">
        <v>30758</v>
      </c>
      <c r="AE1367" s="128" t="s">
        <v>32</v>
      </c>
      <c r="AF1367" s="128" t="s">
        <v>33</v>
      </c>
      <c r="AG1367" s="128" t="s">
        <v>872</v>
      </c>
      <c r="AH1367" s="108" t="s">
        <v>31</v>
      </c>
      <c r="AI1367" s="128" t="s">
        <v>72</v>
      </c>
      <c r="AJ1367" s="129" t="s">
        <v>55</v>
      </c>
      <c r="AK1367" s="129">
        <v>3</v>
      </c>
      <c r="AL1367" s="3" t="s">
        <v>55</v>
      </c>
      <c r="AP1367" s="129" t="s">
        <v>132</v>
      </c>
      <c r="AR1367" s="128" t="s">
        <v>92</v>
      </c>
      <c r="AS1367" s="129" t="s">
        <v>82</v>
      </c>
      <c r="AT1367" s="129" t="s">
        <v>366</v>
      </c>
      <c r="BC1367" s="129" t="s">
        <v>38</v>
      </c>
      <c r="BF1367" s="111">
        <f t="shared" si="1023"/>
        <v>6</v>
      </c>
      <c r="BG1367" s="111">
        <f t="shared" si="993"/>
        <v>81</v>
      </c>
      <c r="BH1367" s="111">
        <f t="shared" si="995"/>
        <v>81</v>
      </c>
      <c r="BI1367" s="111">
        <f t="shared" si="996"/>
        <v>27.907103825136613</v>
      </c>
      <c r="BJ1367" s="129">
        <f>(G1367-J1367)+(M1367-G1367)</f>
        <v>0</v>
      </c>
      <c r="BK1367" s="129">
        <f t="shared" si="997"/>
        <v>-75</v>
      </c>
      <c r="BL1367" s="129" t="str">
        <f t="shared" si="1024"/>
        <v>NO CONVICTION</v>
      </c>
      <c r="BM1367" s="129" t="s">
        <v>76</v>
      </c>
      <c r="BN1367" s="129" t="s">
        <v>88</v>
      </c>
      <c r="BP1367" s="137" t="str">
        <f t="shared" si="1001"/>
        <v>NO CONVICTION</v>
      </c>
      <c r="BQ1367" s="128" t="str">
        <f t="shared" si="1002"/>
        <v>Y</v>
      </c>
      <c r="BR1367" s="129" t="str">
        <f t="shared" si="1003"/>
        <v>ON BOND</v>
      </c>
      <c r="BS1367" s="129" t="str">
        <f t="shared" si="1004"/>
        <v>DISPOSED</v>
      </c>
      <c r="BT1367" s="129" t="str">
        <f t="shared" si="1005"/>
        <v>Y</v>
      </c>
      <c r="BU1367" s="109">
        <f>IFERROR(Q1367/R1367,BR1367)</f>
        <v>7.407407407407407E-2</v>
      </c>
      <c r="BV1367" s="109">
        <f t="shared" si="1006"/>
        <v>7.407407407407407E-2</v>
      </c>
      <c r="BW1367" s="109">
        <f t="shared" si="990"/>
        <v>0</v>
      </c>
      <c r="BX1367" s="111">
        <f t="shared" si="1007"/>
        <v>0</v>
      </c>
      <c r="BY1367" s="129">
        <f t="shared" si="1008"/>
        <v>-6</v>
      </c>
      <c r="BZ1367" s="111">
        <f t="shared" si="1009"/>
        <v>0</v>
      </c>
      <c r="CA1367" s="138">
        <f t="shared" si="1010"/>
        <v>6</v>
      </c>
      <c r="CB1367" s="111" t="e">
        <f t="shared" si="1025"/>
        <v>#VALUE!</v>
      </c>
      <c r="CC1367" s="129">
        <f>M1367-I1367+1</f>
        <v>6</v>
      </c>
      <c r="CD1367" s="111">
        <f>CC1367-BF1367</f>
        <v>0</v>
      </c>
      <c r="CG1367" s="129" t="str">
        <f t="shared" si="1011"/>
        <v>Y</v>
      </c>
      <c r="CI1367" s="129" t="str">
        <f t="shared" si="1013"/>
        <v>0-10 DAYS</v>
      </c>
      <c r="CJ1367" s="137">
        <f t="shared" si="1014"/>
        <v>1</v>
      </c>
      <c r="CK1367" s="129" t="str">
        <f t="shared" si="1015"/>
        <v>Booked</v>
      </c>
    </row>
    <row r="1368" spans="1:89" ht="15.75" customHeight="1" x14ac:dyDescent="0.25">
      <c r="A1368" s="111">
        <v>952</v>
      </c>
      <c r="B1368" s="128" t="str">
        <f t="shared" si="998"/>
        <v>N</v>
      </c>
      <c r="C1368" s="128" t="str">
        <f t="shared" si="999"/>
        <v>N</v>
      </c>
      <c r="D1368" s="117">
        <v>1985260</v>
      </c>
      <c r="E1368" s="135">
        <f t="shared" si="1000"/>
        <v>4</v>
      </c>
      <c r="F1368" s="124">
        <v>40943</v>
      </c>
      <c r="G1368" s="125">
        <v>41148</v>
      </c>
      <c r="H1368" s="117">
        <v>1985260</v>
      </c>
      <c r="I1368" s="124">
        <v>40948</v>
      </c>
      <c r="J1368" s="124">
        <v>41148</v>
      </c>
      <c r="K1368" s="126">
        <v>40000</v>
      </c>
      <c r="L1368" s="129" t="s">
        <v>572</v>
      </c>
      <c r="N1368" s="129" t="str">
        <f t="shared" si="991"/>
        <v>N</v>
      </c>
      <c r="O1368" s="128" t="s">
        <v>917</v>
      </c>
      <c r="P1368" s="129" t="s">
        <v>39</v>
      </c>
      <c r="Q1368" s="111">
        <f t="shared" si="1022"/>
        <v>201</v>
      </c>
      <c r="R1368" s="111">
        <f t="shared" si="1021"/>
        <v>206</v>
      </c>
      <c r="S1368" s="129">
        <v>2</v>
      </c>
      <c r="T1368" s="129">
        <v>7</v>
      </c>
      <c r="U1368" s="129">
        <v>2</v>
      </c>
      <c r="W1368" s="111"/>
      <c r="AC1368" s="130"/>
      <c r="AD1368" s="130">
        <v>31161</v>
      </c>
      <c r="AE1368" s="128" t="s">
        <v>32</v>
      </c>
      <c r="AF1368" s="128" t="s">
        <v>40</v>
      </c>
      <c r="AG1368" s="128" t="s">
        <v>41</v>
      </c>
      <c r="AH1368" s="108" t="s">
        <v>41</v>
      </c>
      <c r="AI1368" s="128" t="s">
        <v>71</v>
      </c>
      <c r="AJ1368" s="129" t="s">
        <v>89</v>
      </c>
      <c r="AK1368" s="129">
        <v>12</v>
      </c>
      <c r="AL1368" s="3" t="s">
        <v>991</v>
      </c>
      <c r="AO1368" s="128">
        <v>365</v>
      </c>
      <c r="AP1368" s="129" t="s">
        <v>223</v>
      </c>
      <c r="AR1368" s="128" t="s">
        <v>50</v>
      </c>
      <c r="AS1368" s="129" t="s">
        <v>74</v>
      </c>
      <c r="BC1368" s="129" t="s">
        <v>38</v>
      </c>
      <c r="BF1368" s="111">
        <f t="shared" si="1023"/>
        <v>201</v>
      </c>
      <c r="BG1368" s="111">
        <f t="shared" si="993"/>
        <v>201</v>
      </c>
      <c r="BH1368" s="111">
        <f t="shared" si="995"/>
        <v>206</v>
      </c>
      <c r="BI1368" s="111">
        <f t="shared" si="996"/>
        <v>26.726775956284154</v>
      </c>
      <c r="BJ1368" s="129">
        <f t="shared" si="1016"/>
        <v>0</v>
      </c>
      <c r="BK1368" s="129">
        <f t="shared" si="997"/>
        <v>0</v>
      </c>
      <c r="BL1368" s="129" t="str">
        <f t="shared" si="1024"/>
        <v>CONVICTION</v>
      </c>
      <c r="BM1368" s="129" t="str">
        <f t="shared" si="1017"/>
        <v>NONE</v>
      </c>
      <c r="BN1368" s="129" t="s">
        <v>566</v>
      </c>
      <c r="BP1368" s="137" t="str">
        <f t="shared" si="1001"/>
        <v>CONVICTION</v>
      </c>
      <c r="BQ1368" s="128" t="str">
        <f t="shared" si="1002"/>
        <v>Y</v>
      </c>
      <c r="BR1368" s="129" t="str">
        <f t="shared" si="1003"/>
        <v>DETAINED</v>
      </c>
      <c r="BS1368" s="129" t="str">
        <f t="shared" si="1004"/>
        <v>DISPOSED</v>
      </c>
      <c r="BT1368" s="129" t="str">
        <f t="shared" si="1005"/>
        <v>Y</v>
      </c>
      <c r="BU1368" s="109">
        <f t="shared" si="1012"/>
        <v>0.97572815533980584</v>
      </c>
      <c r="BV1368" s="109">
        <f t="shared" si="1006"/>
        <v>1</v>
      </c>
      <c r="BW1368" s="109">
        <f t="shared" si="990"/>
        <v>2.4271844660194164E-2</v>
      </c>
      <c r="BX1368" s="111">
        <f t="shared" si="1007"/>
        <v>0</v>
      </c>
      <c r="BY1368" s="129">
        <f t="shared" si="1008"/>
        <v>-201</v>
      </c>
      <c r="BZ1368" s="111">
        <f t="shared" si="1009"/>
        <v>0</v>
      </c>
      <c r="CA1368" s="138">
        <f t="shared" si="1010"/>
        <v>201</v>
      </c>
      <c r="CB1368" s="111" t="e">
        <f t="shared" si="1025"/>
        <v>#VALUE!</v>
      </c>
      <c r="CC1368" s="129">
        <f>G1368-I1368+1</f>
        <v>201</v>
      </c>
      <c r="CD1368" s="129">
        <f>G1368-J1368</f>
        <v>0</v>
      </c>
      <c r="CG1368" s="129" t="str">
        <f t="shared" si="1011"/>
        <v>Y</v>
      </c>
      <c r="CI1368" s="129" t="str">
        <f t="shared" si="1013"/>
        <v>121-365 DAYS</v>
      </c>
      <c r="CJ1368" s="137">
        <f t="shared" si="1014"/>
        <v>6</v>
      </c>
      <c r="CK1368" s="129" t="str">
        <f t="shared" si="1015"/>
        <v>Booked</v>
      </c>
    </row>
    <row r="1369" spans="1:89" ht="15.75" customHeight="1" x14ac:dyDescent="0.25">
      <c r="A1369" s="111">
        <v>636</v>
      </c>
      <c r="B1369" s="128" t="str">
        <f t="shared" si="998"/>
        <v>N</v>
      </c>
      <c r="C1369" s="128" t="str">
        <f t="shared" si="999"/>
        <v>N</v>
      </c>
      <c r="D1369" s="117">
        <v>1986176</v>
      </c>
      <c r="E1369" s="135">
        <f t="shared" si="1000"/>
        <v>1</v>
      </c>
      <c r="F1369" s="124">
        <v>40933</v>
      </c>
      <c r="G1369" s="125">
        <v>41030</v>
      </c>
      <c r="H1369" s="117">
        <v>1986176</v>
      </c>
      <c r="I1369" s="124">
        <v>40934</v>
      </c>
      <c r="J1369" s="124">
        <v>40935</v>
      </c>
      <c r="K1369" s="126">
        <v>10000</v>
      </c>
      <c r="L1369" s="127" t="s">
        <v>570</v>
      </c>
      <c r="M1369" s="125">
        <v>40935</v>
      </c>
      <c r="N1369" s="129" t="str">
        <f t="shared" si="991"/>
        <v>Y</v>
      </c>
      <c r="O1369" s="128" t="s">
        <v>76</v>
      </c>
      <c r="P1369" s="116" t="s">
        <v>55</v>
      </c>
      <c r="Q1369" s="111">
        <f t="shared" si="1022"/>
        <v>2</v>
      </c>
      <c r="R1369" s="111">
        <f t="shared" si="1021"/>
        <v>98</v>
      </c>
      <c r="S1369" s="129">
        <v>0</v>
      </c>
      <c r="T1369" s="129">
        <v>3</v>
      </c>
      <c r="W1369" s="111"/>
      <c r="AC1369" s="130"/>
      <c r="AD1369" s="130">
        <v>30323</v>
      </c>
      <c r="AE1369" s="128" t="s">
        <v>32</v>
      </c>
      <c r="AF1369" s="128" t="s">
        <v>69</v>
      </c>
      <c r="AG1369" s="128" t="s">
        <v>874</v>
      </c>
      <c r="AH1369" s="108" t="s">
        <v>31</v>
      </c>
      <c r="AI1369" s="128" t="s">
        <v>47</v>
      </c>
      <c r="AJ1369" s="129" t="s">
        <v>55</v>
      </c>
      <c r="AK1369" s="129">
        <v>5</v>
      </c>
      <c r="AL1369" s="3" t="s">
        <v>55</v>
      </c>
      <c r="AP1369" s="129" t="s">
        <v>150</v>
      </c>
      <c r="AR1369" s="128" t="s">
        <v>67</v>
      </c>
      <c r="AS1369" s="129" t="s">
        <v>74</v>
      </c>
      <c r="BC1369" s="129" t="s">
        <v>52</v>
      </c>
      <c r="BF1369" s="111">
        <f t="shared" si="1023"/>
        <v>2</v>
      </c>
      <c r="BG1369" s="111">
        <f t="shared" si="993"/>
        <v>97</v>
      </c>
      <c r="BH1369" s="111">
        <f t="shared" si="995"/>
        <v>98</v>
      </c>
      <c r="BI1369" s="111">
        <f t="shared" si="996"/>
        <v>28.989071038251367</v>
      </c>
      <c r="BJ1369" s="129">
        <f>(G1369-J1369)+(M1369-G1369)</f>
        <v>0</v>
      </c>
      <c r="BK1369" s="129">
        <f t="shared" si="997"/>
        <v>-95</v>
      </c>
      <c r="BL1369" s="129" t="str">
        <f t="shared" si="1024"/>
        <v>NO CONVICTION</v>
      </c>
      <c r="BM1369" s="129" t="s">
        <v>76</v>
      </c>
      <c r="BN1369" s="129" t="s">
        <v>88</v>
      </c>
      <c r="BP1369" s="137" t="str">
        <f t="shared" si="1001"/>
        <v>NO CONVICTION</v>
      </c>
      <c r="BQ1369" s="128" t="str">
        <f t="shared" si="1002"/>
        <v>Y</v>
      </c>
      <c r="BR1369" s="129" t="str">
        <f t="shared" si="1003"/>
        <v>ON BOND</v>
      </c>
      <c r="BS1369" s="129" t="str">
        <f t="shared" si="1004"/>
        <v>DISPOSED</v>
      </c>
      <c r="BT1369" s="129" t="str">
        <f t="shared" si="1005"/>
        <v>N</v>
      </c>
      <c r="BU1369" s="109">
        <f>IFERROR(Q1369/R1369,BR1369)</f>
        <v>2.0408163265306121E-2</v>
      </c>
      <c r="BV1369" s="109">
        <f t="shared" si="1006"/>
        <v>2.0618556701030927E-2</v>
      </c>
      <c r="BW1369" s="109">
        <f t="shared" si="990"/>
        <v>2.1039343572480662E-4</v>
      </c>
      <c r="BX1369" s="111">
        <f t="shared" si="1007"/>
        <v>0</v>
      </c>
      <c r="BY1369" s="129">
        <f t="shared" si="1008"/>
        <v>-2</v>
      </c>
      <c r="BZ1369" s="111">
        <f t="shared" si="1009"/>
        <v>0</v>
      </c>
      <c r="CA1369" s="138">
        <f t="shared" si="1010"/>
        <v>2</v>
      </c>
      <c r="CB1369" s="111" t="e">
        <f t="shared" si="1025"/>
        <v>#VALUE!</v>
      </c>
      <c r="CC1369" s="129">
        <f>M1369-I1369+1</f>
        <v>2</v>
      </c>
      <c r="CD1369" s="111">
        <f>CC1369-BF1369</f>
        <v>0</v>
      </c>
      <c r="CG1369" s="129" t="str">
        <f t="shared" si="1011"/>
        <v>Y</v>
      </c>
      <c r="CI1369" s="129" t="str">
        <f t="shared" si="1013"/>
        <v>0-10 DAYS</v>
      </c>
      <c r="CJ1369" s="137">
        <f t="shared" si="1014"/>
        <v>1</v>
      </c>
      <c r="CK1369" s="129" t="str">
        <f t="shared" si="1015"/>
        <v>Booked</v>
      </c>
    </row>
    <row r="1370" spans="1:89" ht="15" customHeight="1" x14ac:dyDescent="0.25">
      <c r="A1370" s="111">
        <v>2713</v>
      </c>
      <c r="B1370" s="128" t="str">
        <f t="shared" si="998"/>
        <v>N</v>
      </c>
      <c r="C1370" s="128" t="str">
        <f t="shared" si="999"/>
        <v>N</v>
      </c>
      <c r="D1370" s="117">
        <v>1986802</v>
      </c>
      <c r="E1370" s="135">
        <f t="shared" si="1000"/>
        <v>6</v>
      </c>
      <c r="F1370" s="124">
        <v>41009</v>
      </c>
      <c r="G1370" s="125">
        <v>41164</v>
      </c>
      <c r="H1370" s="117">
        <v>1986802</v>
      </c>
      <c r="I1370" s="124">
        <v>41010</v>
      </c>
      <c r="J1370" s="124">
        <f>G1370</f>
        <v>41164</v>
      </c>
      <c r="K1370" s="126" t="s">
        <v>564</v>
      </c>
      <c r="L1370" s="127" t="s">
        <v>564</v>
      </c>
      <c r="N1370" s="129" t="s">
        <v>566</v>
      </c>
      <c r="O1370" s="128" t="s">
        <v>917</v>
      </c>
      <c r="P1370" s="129" t="s">
        <v>39</v>
      </c>
      <c r="Q1370" s="111">
        <f t="shared" si="1022"/>
        <v>155</v>
      </c>
      <c r="R1370" s="111">
        <f t="shared" si="1021"/>
        <v>156</v>
      </c>
      <c r="S1370" s="129">
        <v>2</v>
      </c>
      <c r="T1370" s="129">
        <v>5</v>
      </c>
      <c r="U1370" s="129">
        <v>1</v>
      </c>
      <c r="W1370" s="111"/>
      <c r="AC1370" s="130"/>
      <c r="AD1370" s="130">
        <v>30775</v>
      </c>
      <c r="AE1370" s="128" t="s">
        <v>46</v>
      </c>
      <c r="AF1370" s="128" t="s">
        <v>69</v>
      </c>
      <c r="AG1370" s="128" t="s">
        <v>874</v>
      </c>
      <c r="AH1370" s="108" t="s">
        <v>58</v>
      </c>
      <c r="AI1370" s="128" t="s">
        <v>113</v>
      </c>
      <c r="AJ1370" s="129" t="s">
        <v>89</v>
      </c>
      <c r="AK1370" s="129">
        <v>8</v>
      </c>
      <c r="AL1370" s="3" t="s">
        <v>362</v>
      </c>
      <c r="AM1370" s="117">
        <v>5</v>
      </c>
      <c r="AP1370" s="129" t="s">
        <v>49</v>
      </c>
      <c r="AR1370" s="128" t="s">
        <v>44</v>
      </c>
      <c r="AS1370" s="129" t="s">
        <v>45</v>
      </c>
      <c r="AT1370" s="32" t="s">
        <v>1103</v>
      </c>
      <c r="AU1370" s="3" t="s">
        <v>852</v>
      </c>
      <c r="BA1370" s="125"/>
      <c r="BC1370" s="129" t="s">
        <v>38</v>
      </c>
      <c r="BF1370" s="111">
        <f t="shared" si="1023"/>
        <v>155</v>
      </c>
      <c r="BG1370" s="111">
        <f t="shared" si="993"/>
        <v>155</v>
      </c>
      <c r="BH1370" s="111">
        <f t="shared" si="995"/>
        <v>156</v>
      </c>
      <c r="BI1370" s="111">
        <f t="shared" si="996"/>
        <v>27.961748633879782</v>
      </c>
      <c r="BJ1370" s="129">
        <f t="shared" si="1016"/>
        <v>0</v>
      </c>
      <c r="BK1370" s="129">
        <f t="shared" si="997"/>
        <v>0</v>
      </c>
      <c r="BL1370" s="129" t="str">
        <f t="shared" si="1024"/>
        <v>CONVICTION</v>
      </c>
      <c r="BM1370" s="129" t="str">
        <f t="shared" si="1017"/>
        <v>NONE</v>
      </c>
      <c r="BN1370" s="129" t="s">
        <v>566</v>
      </c>
      <c r="BP1370" s="137" t="str">
        <f t="shared" si="1001"/>
        <v>CONVICTION</v>
      </c>
      <c r="BQ1370" s="128" t="str">
        <f t="shared" si="1002"/>
        <v>Y</v>
      </c>
      <c r="BR1370" s="129" t="str">
        <f t="shared" si="1003"/>
        <v>DETAINED</v>
      </c>
      <c r="BS1370" s="129" t="str">
        <f t="shared" si="1004"/>
        <v>DISPOSED</v>
      </c>
      <c r="BT1370" s="129" t="str">
        <f t="shared" si="1005"/>
        <v>Y</v>
      </c>
      <c r="BU1370" s="109">
        <f t="shared" si="1012"/>
        <v>0.99358974358974361</v>
      </c>
      <c r="BV1370" s="109">
        <f t="shared" si="1006"/>
        <v>1</v>
      </c>
      <c r="BW1370" s="109">
        <f t="shared" si="990"/>
        <v>6.4102564102563875E-3</v>
      </c>
      <c r="BX1370" s="111">
        <f t="shared" si="1007"/>
        <v>0</v>
      </c>
      <c r="BY1370" s="129">
        <f t="shared" si="1008"/>
        <v>-155</v>
      </c>
      <c r="BZ1370" s="111">
        <f t="shared" si="1009"/>
        <v>0</v>
      </c>
      <c r="CA1370" s="138">
        <f t="shared" si="1010"/>
        <v>155</v>
      </c>
      <c r="CB1370" s="111" t="e">
        <f t="shared" si="1025"/>
        <v>#VALUE!</v>
      </c>
      <c r="CC1370" s="129">
        <f t="shared" ref="CC1370:CC1375" si="1026">G1370-I1370+1</f>
        <v>155</v>
      </c>
      <c r="CD1370" s="129">
        <f t="shared" ref="CD1370:CD1375" si="1027">G1370-J1370</f>
        <v>0</v>
      </c>
      <c r="CG1370" s="129" t="str">
        <f t="shared" si="1011"/>
        <v>Y</v>
      </c>
      <c r="CI1370" s="129" t="str">
        <f t="shared" si="1013"/>
        <v>121-365 DAYS</v>
      </c>
      <c r="CJ1370" s="137">
        <f t="shared" si="1014"/>
        <v>6</v>
      </c>
      <c r="CK1370" s="129" t="str">
        <f t="shared" si="1015"/>
        <v>Booked</v>
      </c>
    </row>
    <row r="1371" spans="1:89" ht="15.75" customHeight="1" x14ac:dyDescent="0.25">
      <c r="A1371" s="111">
        <v>1381</v>
      </c>
      <c r="B1371" s="128" t="str">
        <f t="shared" si="998"/>
        <v>N</v>
      </c>
      <c r="C1371" s="128" t="str">
        <f t="shared" si="999"/>
        <v>N</v>
      </c>
      <c r="D1371" s="117">
        <v>1987440</v>
      </c>
      <c r="E1371" s="135">
        <f t="shared" si="1000"/>
        <v>5</v>
      </c>
      <c r="F1371" s="124">
        <v>40959</v>
      </c>
      <c r="G1371" s="125">
        <v>41030</v>
      </c>
      <c r="H1371" s="117">
        <v>1987440</v>
      </c>
      <c r="I1371" s="124">
        <v>40960</v>
      </c>
      <c r="J1371" s="124">
        <v>41030</v>
      </c>
      <c r="K1371" s="126">
        <v>2000</v>
      </c>
      <c r="L1371" s="127" t="s">
        <v>568</v>
      </c>
      <c r="N1371" s="129" t="str">
        <f>IF(M1371&gt;1/1/1,"Y","N")</f>
        <v>N</v>
      </c>
      <c r="O1371" s="128" t="s">
        <v>917</v>
      </c>
      <c r="P1371" s="129" t="s">
        <v>39</v>
      </c>
      <c r="Q1371" s="111">
        <f t="shared" si="1022"/>
        <v>71</v>
      </c>
      <c r="R1371" s="111">
        <f t="shared" si="1021"/>
        <v>72</v>
      </c>
      <c r="S1371" s="129">
        <v>0</v>
      </c>
      <c r="T1371" s="129">
        <v>0</v>
      </c>
      <c r="W1371" s="111"/>
      <c r="AC1371" s="130"/>
      <c r="AD1371" s="130">
        <v>29858</v>
      </c>
      <c r="AE1371" s="128" t="s">
        <v>32</v>
      </c>
      <c r="AF1371" s="128" t="s">
        <v>69</v>
      </c>
      <c r="AG1371" s="128" t="s">
        <v>874</v>
      </c>
      <c r="AH1371" s="108" t="s">
        <v>58</v>
      </c>
      <c r="AI1371" s="128" t="s">
        <v>118</v>
      </c>
      <c r="AJ1371" s="129" t="s">
        <v>89</v>
      </c>
      <c r="AK1371" s="129">
        <v>4</v>
      </c>
      <c r="AL1371" s="3" t="s">
        <v>992</v>
      </c>
      <c r="AN1371" s="117">
        <v>8</v>
      </c>
      <c r="AP1371" s="129" t="s">
        <v>328</v>
      </c>
      <c r="AR1371" s="128" t="s">
        <v>44</v>
      </c>
      <c r="AS1371" s="129" t="s">
        <v>45</v>
      </c>
      <c r="BC1371" s="129" t="s">
        <v>38</v>
      </c>
      <c r="BF1371" s="111">
        <f t="shared" si="1023"/>
        <v>71</v>
      </c>
      <c r="BG1371" s="111">
        <f t="shared" si="993"/>
        <v>71</v>
      </c>
      <c r="BH1371" s="111">
        <f t="shared" si="995"/>
        <v>72</v>
      </c>
      <c r="BI1371" s="111">
        <f t="shared" si="996"/>
        <v>30.330601092896174</v>
      </c>
      <c r="BJ1371" s="129">
        <f t="shared" si="1016"/>
        <v>0</v>
      </c>
      <c r="BK1371" s="129">
        <f t="shared" si="997"/>
        <v>0</v>
      </c>
      <c r="BL1371" s="129" t="str">
        <f t="shared" si="1024"/>
        <v>CONVICTION</v>
      </c>
      <c r="BM1371" s="129" t="str">
        <f t="shared" si="1017"/>
        <v>NONE</v>
      </c>
      <c r="BN1371" s="129" t="s">
        <v>566</v>
      </c>
      <c r="BP1371" s="137" t="str">
        <f t="shared" si="1001"/>
        <v>CONVICTION</v>
      </c>
      <c r="BQ1371" s="128" t="str">
        <f t="shared" si="1002"/>
        <v>Y</v>
      </c>
      <c r="BR1371" s="129" t="str">
        <f t="shared" si="1003"/>
        <v>DETAINED</v>
      </c>
      <c r="BS1371" s="129" t="str">
        <f t="shared" si="1004"/>
        <v>DISPOSED</v>
      </c>
      <c r="BT1371" s="129" t="str">
        <f t="shared" si="1005"/>
        <v>N</v>
      </c>
      <c r="BU1371" s="109">
        <f t="shared" si="1012"/>
        <v>0.98611111111111116</v>
      </c>
      <c r="BV1371" s="109">
        <f t="shared" si="1006"/>
        <v>1</v>
      </c>
      <c r="BW1371" s="109">
        <f t="shared" si="990"/>
        <v>1.388888888888884E-2</v>
      </c>
      <c r="BX1371" s="111">
        <f t="shared" si="1007"/>
        <v>0</v>
      </c>
      <c r="BY1371" s="129">
        <f t="shared" si="1008"/>
        <v>-71</v>
      </c>
      <c r="BZ1371" s="111">
        <f t="shared" si="1009"/>
        <v>0</v>
      </c>
      <c r="CA1371" s="138">
        <f t="shared" si="1010"/>
        <v>71</v>
      </c>
      <c r="CB1371" s="111" t="e">
        <f t="shared" si="1025"/>
        <v>#VALUE!</v>
      </c>
      <c r="CC1371" s="129">
        <f t="shared" si="1026"/>
        <v>71</v>
      </c>
      <c r="CD1371" s="129">
        <f t="shared" si="1027"/>
        <v>0</v>
      </c>
      <c r="CG1371" s="129" t="str">
        <f t="shared" si="1011"/>
        <v>N</v>
      </c>
      <c r="CI1371" s="129" t="str">
        <f t="shared" si="1013"/>
        <v>61-90 DAYS</v>
      </c>
      <c r="CJ1371" s="137">
        <f t="shared" si="1014"/>
        <v>4</v>
      </c>
      <c r="CK1371" s="129" t="str">
        <f t="shared" si="1015"/>
        <v>Booked</v>
      </c>
    </row>
    <row r="1372" spans="1:89" ht="15.75" customHeight="1" x14ac:dyDescent="0.25">
      <c r="A1372" s="111">
        <v>1735</v>
      </c>
      <c r="B1372" s="128" t="str">
        <f t="shared" si="998"/>
        <v>N</v>
      </c>
      <c r="C1372" s="128" t="str">
        <f t="shared" si="999"/>
        <v>N</v>
      </c>
      <c r="D1372" s="117">
        <v>1987449</v>
      </c>
      <c r="E1372" s="135">
        <f t="shared" si="1000"/>
        <v>1</v>
      </c>
      <c r="F1372" s="124">
        <v>40973</v>
      </c>
      <c r="G1372" s="125">
        <v>41019</v>
      </c>
      <c r="H1372" s="117">
        <v>1987449</v>
      </c>
      <c r="I1372" s="124">
        <v>40987</v>
      </c>
      <c r="J1372" s="124">
        <v>41019</v>
      </c>
      <c r="K1372" s="126">
        <v>15000</v>
      </c>
      <c r="L1372" s="127" t="s">
        <v>571</v>
      </c>
      <c r="N1372" s="129" t="str">
        <f>IF(M1372&gt;1/1/1,"Y","N")</f>
        <v>N</v>
      </c>
      <c r="O1372" s="128" t="s">
        <v>917</v>
      </c>
      <c r="P1372" s="129" t="s">
        <v>55</v>
      </c>
      <c r="Q1372" s="111">
        <f t="shared" si="1022"/>
        <v>33</v>
      </c>
      <c r="R1372" s="111">
        <f t="shared" si="1021"/>
        <v>47</v>
      </c>
      <c r="S1372" s="129">
        <v>6</v>
      </c>
      <c r="T1372" s="129">
        <v>4</v>
      </c>
      <c r="U1372" s="129">
        <v>3</v>
      </c>
      <c r="W1372" s="111"/>
      <c r="AC1372" s="130"/>
      <c r="AD1372" s="130">
        <v>31090</v>
      </c>
      <c r="AE1372" s="128" t="s">
        <v>32</v>
      </c>
      <c r="AF1372" s="128" t="s">
        <v>33</v>
      </c>
      <c r="AG1372" s="128" t="s">
        <v>872</v>
      </c>
      <c r="AH1372" s="108" t="s">
        <v>31</v>
      </c>
      <c r="AI1372" s="128" t="s">
        <v>118</v>
      </c>
      <c r="AJ1372" s="129" t="s">
        <v>55</v>
      </c>
      <c r="AK1372" s="129">
        <v>3</v>
      </c>
      <c r="AL1372" s="3" t="s">
        <v>55</v>
      </c>
      <c r="AP1372" s="129" t="s">
        <v>43</v>
      </c>
      <c r="AR1372" s="128" t="s">
        <v>44</v>
      </c>
      <c r="AS1372" s="129" t="s">
        <v>45</v>
      </c>
      <c r="AT1372" s="129" t="s">
        <v>374</v>
      </c>
      <c r="AX1372" s="32"/>
      <c r="BC1372" s="129" t="s">
        <v>38</v>
      </c>
      <c r="BF1372" s="111">
        <f t="shared" si="1023"/>
        <v>33</v>
      </c>
      <c r="BG1372" s="111">
        <f t="shared" si="993"/>
        <v>33</v>
      </c>
      <c r="BH1372" s="111">
        <f t="shared" si="995"/>
        <v>47</v>
      </c>
      <c r="BI1372" s="111">
        <f t="shared" si="996"/>
        <v>27.002732240437158</v>
      </c>
      <c r="BJ1372" s="129">
        <f t="shared" si="1016"/>
        <v>0</v>
      </c>
      <c r="BK1372" s="129">
        <f t="shared" si="997"/>
        <v>0</v>
      </c>
      <c r="BL1372" s="129" t="str">
        <f t="shared" si="1024"/>
        <v>NO CONVICTION</v>
      </c>
      <c r="BM1372" s="129" t="str">
        <f t="shared" si="1017"/>
        <v>NONE</v>
      </c>
      <c r="BN1372" s="129" t="s">
        <v>566</v>
      </c>
      <c r="BP1372" s="137" t="str">
        <f t="shared" si="1001"/>
        <v>NO CONVICTION</v>
      </c>
      <c r="BQ1372" s="128" t="str">
        <f t="shared" si="1002"/>
        <v>Y</v>
      </c>
      <c r="BR1372" s="129" t="str">
        <f t="shared" si="1003"/>
        <v>DETAINED</v>
      </c>
      <c r="BS1372" s="129" t="str">
        <f t="shared" si="1004"/>
        <v>DISPOSED</v>
      </c>
      <c r="BT1372" s="129" t="str">
        <f t="shared" si="1005"/>
        <v>Y</v>
      </c>
      <c r="BU1372" s="109">
        <f>IFERROR(Q1372/R1372,BR1372)</f>
        <v>0.7021276595744681</v>
      </c>
      <c r="BV1372" s="109">
        <f t="shared" si="1006"/>
        <v>1</v>
      </c>
      <c r="BW1372" s="109">
        <f t="shared" si="990"/>
        <v>0.2978723404255319</v>
      </c>
      <c r="BX1372" s="111">
        <f t="shared" si="1007"/>
        <v>0</v>
      </c>
      <c r="BY1372" s="129">
        <f t="shared" si="1008"/>
        <v>-33</v>
      </c>
      <c r="BZ1372" s="111">
        <f t="shared" si="1009"/>
        <v>0</v>
      </c>
      <c r="CA1372" s="138">
        <f t="shared" si="1010"/>
        <v>33</v>
      </c>
      <c r="CB1372" s="111" t="e">
        <f t="shared" si="1025"/>
        <v>#VALUE!</v>
      </c>
      <c r="CC1372" s="129">
        <f t="shared" si="1026"/>
        <v>33</v>
      </c>
      <c r="CD1372" s="129">
        <f t="shared" si="1027"/>
        <v>0</v>
      </c>
      <c r="CG1372" s="129" t="str">
        <f t="shared" si="1011"/>
        <v>Y</v>
      </c>
      <c r="CI1372" s="129" t="str">
        <f t="shared" si="1013"/>
        <v>31-60 DAYS</v>
      </c>
      <c r="CJ1372" s="137">
        <f t="shared" si="1014"/>
        <v>3</v>
      </c>
      <c r="CK1372" s="129" t="str">
        <f t="shared" si="1015"/>
        <v>Booked</v>
      </c>
    </row>
    <row r="1373" spans="1:89" ht="15.75" customHeight="1" x14ac:dyDescent="0.25">
      <c r="A1373" s="111">
        <v>57</v>
      </c>
      <c r="B1373" s="128" t="str">
        <f t="shared" si="998"/>
        <v>N</v>
      </c>
      <c r="C1373" s="128" t="str">
        <f t="shared" si="999"/>
        <v>N</v>
      </c>
      <c r="D1373" s="117">
        <v>1987544</v>
      </c>
      <c r="E1373" s="135">
        <f t="shared" si="1000"/>
        <v>2</v>
      </c>
      <c r="F1373" s="124">
        <v>40911</v>
      </c>
      <c r="G1373" s="125">
        <v>40948</v>
      </c>
      <c r="H1373" s="117">
        <v>1987544</v>
      </c>
      <c r="I1373" s="124">
        <v>40927</v>
      </c>
      <c r="J1373" s="124">
        <v>40948</v>
      </c>
      <c r="K1373" s="126">
        <v>2000</v>
      </c>
      <c r="L1373" s="127" t="s">
        <v>568</v>
      </c>
      <c r="N1373" s="129" t="str">
        <f>IF(M1373&gt;1/1/1,"Y","N")</f>
        <v>N</v>
      </c>
      <c r="O1373" s="128" t="s">
        <v>917</v>
      </c>
      <c r="P1373" s="129" t="s">
        <v>589</v>
      </c>
      <c r="Q1373" s="111">
        <f t="shared" si="1022"/>
        <v>22</v>
      </c>
      <c r="R1373" s="111">
        <f t="shared" si="1021"/>
        <v>38</v>
      </c>
      <c r="S1373" s="129">
        <v>0</v>
      </c>
      <c r="T1373" s="129">
        <v>6</v>
      </c>
      <c r="W1373" s="111"/>
      <c r="AC1373" s="130"/>
      <c r="AD1373" s="130">
        <v>31272</v>
      </c>
      <c r="AE1373" s="128" t="s">
        <v>32</v>
      </c>
      <c r="AF1373" s="128" t="s">
        <v>40</v>
      </c>
      <c r="AG1373" s="128" t="s">
        <v>41</v>
      </c>
      <c r="AH1373" s="108" t="s">
        <v>41</v>
      </c>
      <c r="AI1373" s="128" t="s">
        <v>65</v>
      </c>
      <c r="AJ1373" s="129" t="s">
        <v>48</v>
      </c>
      <c r="AK1373" s="129">
        <v>6</v>
      </c>
      <c r="AL1373" s="3" t="s">
        <v>48</v>
      </c>
      <c r="AP1373" s="129" t="s">
        <v>60</v>
      </c>
      <c r="AR1373" s="128" t="s">
        <v>44</v>
      </c>
      <c r="AS1373" s="129" t="s">
        <v>61</v>
      </c>
      <c r="AT1373" s="129" t="s">
        <v>120</v>
      </c>
      <c r="BC1373" s="129" t="s">
        <v>38</v>
      </c>
      <c r="BF1373" s="111">
        <f t="shared" si="1023"/>
        <v>22</v>
      </c>
      <c r="BG1373" s="111">
        <f t="shared" si="993"/>
        <v>22</v>
      </c>
      <c r="BH1373" s="111">
        <f t="shared" si="995"/>
        <v>38</v>
      </c>
      <c r="BI1373" s="111">
        <f t="shared" si="996"/>
        <v>26.33606557377049</v>
      </c>
      <c r="BJ1373" s="129">
        <f t="shared" si="1016"/>
        <v>0</v>
      </c>
      <c r="BK1373" s="129">
        <f t="shared" si="997"/>
        <v>0</v>
      </c>
      <c r="BL1373" s="129" t="str">
        <f t="shared" si="1024"/>
        <v>DEFERRED</v>
      </c>
      <c r="BM1373" s="129" t="str">
        <f t="shared" si="1017"/>
        <v>NONE</v>
      </c>
      <c r="BN1373" s="129" t="s">
        <v>566</v>
      </c>
      <c r="BP1373" s="137" t="str">
        <f t="shared" si="1001"/>
        <v>DEFERRED</v>
      </c>
      <c r="BQ1373" s="128" t="str">
        <f t="shared" si="1002"/>
        <v>Y</v>
      </c>
      <c r="BR1373" s="129" t="str">
        <f t="shared" si="1003"/>
        <v>DETAINED</v>
      </c>
      <c r="BS1373" s="129" t="str">
        <f t="shared" si="1004"/>
        <v>DISPOSED</v>
      </c>
      <c r="BT1373" s="129" t="str">
        <f t="shared" si="1005"/>
        <v>N</v>
      </c>
      <c r="BU1373" s="109">
        <f t="shared" si="1012"/>
        <v>0.57894736842105265</v>
      </c>
      <c r="BV1373" s="109">
        <f t="shared" si="1006"/>
        <v>1</v>
      </c>
      <c r="BW1373" s="109">
        <f t="shared" si="990"/>
        <v>0.42105263157894735</v>
      </c>
      <c r="BX1373" s="111">
        <f t="shared" si="1007"/>
        <v>0</v>
      </c>
      <c r="BY1373" s="129">
        <f t="shared" si="1008"/>
        <v>-22</v>
      </c>
      <c r="BZ1373" s="111">
        <f t="shared" si="1009"/>
        <v>0</v>
      </c>
      <c r="CA1373" s="138">
        <f t="shared" si="1010"/>
        <v>22</v>
      </c>
      <c r="CB1373" s="111" t="e">
        <f t="shared" si="1025"/>
        <v>#VALUE!</v>
      </c>
      <c r="CC1373" s="129">
        <f t="shared" si="1026"/>
        <v>22</v>
      </c>
      <c r="CD1373" s="129">
        <f t="shared" si="1027"/>
        <v>0</v>
      </c>
      <c r="CG1373" s="129" t="str">
        <f t="shared" si="1011"/>
        <v>Y</v>
      </c>
      <c r="CI1373" s="129" t="str">
        <f t="shared" si="1013"/>
        <v>11-30 DAYS</v>
      </c>
      <c r="CJ1373" s="137">
        <f t="shared" si="1014"/>
        <v>2</v>
      </c>
      <c r="CK1373" s="129" t="str">
        <f t="shared" si="1015"/>
        <v>Booked</v>
      </c>
    </row>
    <row r="1374" spans="1:89" ht="15" customHeight="1" x14ac:dyDescent="0.25">
      <c r="A1374" s="111">
        <v>1380</v>
      </c>
      <c r="B1374" s="128" t="str">
        <f t="shared" si="998"/>
        <v>N</v>
      </c>
      <c r="C1374" s="128" t="str">
        <f t="shared" si="999"/>
        <v>N</v>
      </c>
      <c r="D1374" s="117">
        <v>1987757</v>
      </c>
      <c r="E1374" s="135">
        <f t="shared" si="1000"/>
        <v>5</v>
      </c>
      <c r="F1374" s="124">
        <v>40959</v>
      </c>
      <c r="G1374" s="125">
        <v>40961</v>
      </c>
      <c r="H1374" s="117">
        <v>1987757</v>
      </c>
      <c r="I1374" s="124">
        <v>40960</v>
      </c>
      <c r="J1374" s="124">
        <v>40961</v>
      </c>
      <c r="K1374" s="126">
        <v>30000</v>
      </c>
      <c r="L1374" s="129" t="s">
        <v>572</v>
      </c>
      <c r="N1374" s="129" t="str">
        <f>IF(M1374&gt;1/1/1,"Y","N")</f>
        <v>N</v>
      </c>
      <c r="O1374" s="128" t="s">
        <v>917</v>
      </c>
      <c r="P1374" s="129" t="s">
        <v>39</v>
      </c>
      <c r="Q1374" s="111">
        <f t="shared" si="1022"/>
        <v>2</v>
      </c>
      <c r="R1374" s="111">
        <f t="shared" si="1021"/>
        <v>3</v>
      </c>
      <c r="S1374" s="129">
        <v>7</v>
      </c>
      <c r="T1374" s="129">
        <v>1</v>
      </c>
      <c r="U1374" s="129">
        <v>5</v>
      </c>
      <c r="W1374" s="111"/>
      <c r="AC1374" s="130"/>
      <c r="AD1374" s="130">
        <v>31332</v>
      </c>
      <c r="AE1374" s="128" t="s">
        <v>32</v>
      </c>
      <c r="AF1374" s="128" t="s">
        <v>33</v>
      </c>
      <c r="AG1374" s="128" t="s">
        <v>872</v>
      </c>
      <c r="AH1374" s="108" t="s">
        <v>58</v>
      </c>
      <c r="AI1374" s="128" t="s">
        <v>42</v>
      </c>
      <c r="AJ1374" s="129" t="s">
        <v>89</v>
      </c>
      <c r="AK1374" s="129">
        <v>1</v>
      </c>
      <c r="AL1374" s="3" t="s">
        <v>992</v>
      </c>
      <c r="AN1374" s="117">
        <v>10</v>
      </c>
      <c r="AP1374" s="129" t="s">
        <v>43</v>
      </c>
      <c r="AR1374" s="128" t="s">
        <v>44</v>
      </c>
      <c r="AS1374" s="129" t="s">
        <v>45</v>
      </c>
      <c r="BC1374" s="129" t="s">
        <v>38</v>
      </c>
      <c r="BF1374" s="111">
        <f t="shared" si="1023"/>
        <v>2</v>
      </c>
      <c r="BG1374" s="111">
        <f t="shared" ref="BG1374:BG1409" si="1028">IF(G1374&gt;1/1/1900,((G1374+1)-I1374),"STILL OPEN")</f>
        <v>2</v>
      </c>
      <c r="BH1374" s="111">
        <f t="shared" si="995"/>
        <v>3</v>
      </c>
      <c r="BI1374" s="111">
        <f t="shared" si="996"/>
        <v>26.303278688524589</v>
      </c>
      <c r="BJ1374" s="129">
        <f t="shared" si="1016"/>
        <v>0</v>
      </c>
      <c r="BK1374" s="129">
        <f t="shared" si="997"/>
        <v>0</v>
      </c>
      <c r="BL1374" s="129" t="str">
        <f t="shared" si="1024"/>
        <v>CONVICTION</v>
      </c>
      <c r="BM1374" s="129" t="str">
        <f t="shared" si="1017"/>
        <v>NONE</v>
      </c>
      <c r="BN1374" s="129" t="s">
        <v>566</v>
      </c>
      <c r="BP1374" s="137" t="str">
        <f t="shared" si="1001"/>
        <v>CONVICTION</v>
      </c>
      <c r="BQ1374" s="128" t="str">
        <f t="shared" si="1002"/>
        <v>Y</v>
      </c>
      <c r="BR1374" s="129" t="str">
        <f t="shared" si="1003"/>
        <v>DETAINED</v>
      </c>
      <c r="BS1374" s="129" t="str">
        <f t="shared" si="1004"/>
        <v>DISPOSED</v>
      </c>
      <c r="BT1374" s="129" t="str">
        <f t="shared" si="1005"/>
        <v>Y</v>
      </c>
      <c r="BU1374" s="109">
        <f t="shared" si="1012"/>
        <v>0.66666666666666663</v>
      </c>
      <c r="BV1374" s="109">
        <f t="shared" si="1006"/>
        <v>1</v>
      </c>
      <c r="BW1374" s="109">
        <f t="shared" si="990"/>
        <v>0.33333333333333337</v>
      </c>
      <c r="BX1374" s="111">
        <f t="shared" si="1007"/>
        <v>0</v>
      </c>
      <c r="BY1374" s="129">
        <f t="shared" si="1008"/>
        <v>-2</v>
      </c>
      <c r="BZ1374" s="111">
        <f t="shared" si="1009"/>
        <v>0</v>
      </c>
      <c r="CA1374" s="138">
        <f t="shared" si="1010"/>
        <v>2</v>
      </c>
      <c r="CB1374" s="111" t="e">
        <f t="shared" si="1025"/>
        <v>#VALUE!</v>
      </c>
      <c r="CC1374" s="129">
        <f t="shared" si="1026"/>
        <v>2</v>
      </c>
      <c r="CD1374" s="129">
        <f t="shared" si="1027"/>
        <v>0</v>
      </c>
      <c r="CG1374" s="129" t="str">
        <f t="shared" si="1011"/>
        <v>Y</v>
      </c>
      <c r="CI1374" s="129" t="str">
        <f t="shared" si="1013"/>
        <v>0-10 DAYS</v>
      </c>
      <c r="CJ1374" s="137">
        <f t="shared" si="1014"/>
        <v>1</v>
      </c>
      <c r="CK1374" s="129" t="str">
        <f t="shared" si="1015"/>
        <v>Booked</v>
      </c>
    </row>
    <row r="1375" spans="1:89" ht="15.75" customHeight="1" x14ac:dyDescent="0.25">
      <c r="A1375" s="111">
        <v>117</v>
      </c>
      <c r="B1375" s="128" t="str">
        <f t="shared" si="998"/>
        <v>N</v>
      </c>
      <c r="C1375" s="128" t="str">
        <f t="shared" si="999"/>
        <v>N</v>
      </c>
      <c r="D1375" s="117">
        <v>1989929</v>
      </c>
      <c r="E1375" s="135">
        <f t="shared" si="1000"/>
        <v>6</v>
      </c>
      <c r="F1375" s="124">
        <v>40914</v>
      </c>
      <c r="G1375" s="125">
        <v>41060</v>
      </c>
      <c r="H1375" s="117">
        <v>1989929</v>
      </c>
      <c r="I1375" s="124">
        <v>40914</v>
      </c>
      <c r="J1375" s="124">
        <v>41060</v>
      </c>
      <c r="K1375" s="126" t="s">
        <v>564</v>
      </c>
      <c r="L1375" s="127" t="s">
        <v>564</v>
      </c>
      <c r="M1375" s="125"/>
      <c r="N1375" s="129" t="s">
        <v>566</v>
      </c>
      <c r="O1375" s="128" t="s">
        <v>917</v>
      </c>
      <c r="P1375" s="129" t="s">
        <v>39</v>
      </c>
      <c r="Q1375" s="111">
        <f t="shared" si="1022"/>
        <v>147</v>
      </c>
      <c r="R1375" s="111">
        <f t="shared" si="1021"/>
        <v>147</v>
      </c>
      <c r="S1375" s="129">
        <v>1</v>
      </c>
      <c r="T1375" s="129">
        <v>2</v>
      </c>
      <c r="U1375" s="129">
        <v>1</v>
      </c>
      <c r="W1375" s="111"/>
      <c r="AC1375" s="130"/>
      <c r="AD1375" s="130">
        <v>31326</v>
      </c>
      <c r="AE1375" s="128" t="s">
        <v>32</v>
      </c>
      <c r="AF1375" s="128" t="s">
        <v>40</v>
      </c>
      <c r="AG1375" s="128" t="s">
        <v>41</v>
      </c>
      <c r="AH1375" s="108" t="s">
        <v>41</v>
      </c>
      <c r="AI1375" s="128" t="s">
        <v>100</v>
      </c>
      <c r="AJ1375" s="129" t="s">
        <v>89</v>
      </c>
      <c r="AK1375" s="129">
        <v>5</v>
      </c>
      <c r="AL1375" s="3" t="s">
        <v>362</v>
      </c>
      <c r="AM1375" s="117">
        <v>15</v>
      </c>
      <c r="AP1375" s="129" t="s">
        <v>149</v>
      </c>
      <c r="AR1375" s="128" t="s">
        <v>92</v>
      </c>
      <c r="AS1375" s="129" t="s">
        <v>82</v>
      </c>
      <c r="BC1375" s="129" t="s">
        <v>38</v>
      </c>
      <c r="BF1375" s="111">
        <f t="shared" si="1023"/>
        <v>147</v>
      </c>
      <c r="BG1375" s="111">
        <f t="shared" si="1028"/>
        <v>147</v>
      </c>
      <c r="BH1375" s="111">
        <f t="shared" si="995"/>
        <v>147</v>
      </c>
      <c r="BI1375" s="111">
        <f t="shared" si="996"/>
        <v>26.196721311475411</v>
      </c>
      <c r="BJ1375" s="129">
        <f t="shared" si="1016"/>
        <v>0</v>
      </c>
      <c r="BK1375" s="129">
        <f t="shared" si="997"/>
        <v>0</v>
      </c>
      <c r="BL1375" s="129" t="str">
        <f t="shared" si="1024"/>
        <v>CONVICTION</v>
      </c>
      <c r="BM1375" s="129" t="str">
        <f t="shared" si="1017"/>
        <v>NONE</v>
      </c>
      <c r="BN1375" s="129" t="s">
        <v>566</v>
      </c>
      <c r="BP1375" s="137" t="str">
        <f t="shared" si="1001"/>
        <v>CONVICTION</v>
      </c>
      <c r="BQ1375" s="128" t="str">
        <f t="shared" si="1002"/>
        <v>Y</v>
      </c>
      <c r="BR1375" s="129" t="str">
        <f t="shared" si="1003"/>
        <v>DETAINED</v>
      </c>
      <c r="BS1375" s="129" t="str">
        <f t="shared" si="1004"/>
        <v>DISPOSED</v>
      </c>
      <c r="BT1375" s="129" t="str">
        <f t="shared" si="1005"/>
        <v>Y</v>
      </c>
      <c r="BU1375" s="109">
        <f t="shared" si="1012"/>
        <v>1</v>
      </c>
      <c r="BV1375" s="109">
        <f t="shared" si="1006"/>
        <v>1</v>
      </c>
      <c r="BW1375" s="109">
        <f t="shared" si="990"/>
        <v>0</v>
      </c>
      <c r="BX1375" s="111">
        <f t="shared" si="1007"/>
        <v>0</v>
      </c>
      <c r="BY1375" s="129">
        <f t="shared" si="1008"/>
        <v>-147</v>
      </c>
      <c r="BZ1375" s="111">
        <f t="shared" si="1009"/>
        <v>0</v>
      </c>
      <c r="CA1375" s="138">
        <f t="shared" si="1010"/>
        <v>147</v>
      </c>
      <c r="CB1375" s="111" t="e">
        <f t="shared" si="1025"/>
        <v>#VALUE!</v>
      </c>
      <c r="CC1375" s="129">
        <f t="shared" si="1026"/>
        <v>147</v>
      </c>
      <c r="CD1375" s="129">
        <f t="shared" si="1027"/>
        <v>0</v>
      </c>
      <c r="CG1375" s="129" t="str">
        <f t="shared" si="1011"/>
        <v>Y</v>
      </c>
      <c r="CI1375" s="129" t="str">
        <f t="shared" si="1013"/>
        <v>121-365 DAYS</v>
      </c>
      <c r="CJ1375" s="137">
        <f t="shared" si="1014"/>
        <v>6</v>
      </c>
      <c r="CK1375" s="129" t="str">
        <f t="shared" si="1015"/>
        <v>Booked</v>
      </c>
    </row>
    <row r="1376" spans="1:89" ht="15" customHeight="1" x14ac:dyDescent="0.25">
      <c r="A1376" s="111">
        <v>1177</v>
      </c>
      <c r="B1376" s="128" t="str">
        <f t="shared" si="998"/>
        <v>N</v>
      </c>
      <c r="C1376" s="128" t="str">
        <f t="shared" si="999"/>
        <v>N</v>
      </c>
      <c r="D1376" s="117">
        <v>1989959</v>
      </c>
      <c r="E1376" s="135">
        <f t="shared" si="1000"/>
        <v>3</v>
      </c>
      <c r="F1376" s="124">
        <v>40951</v>
      </c>
      <c r="G1376" s="125">
        <v>41129</v>
      </c>
      <c r="H1376" s="117">
        <v>1989959</v>
      </c>
      <c r="I1376" s="124">
        <v>40951</v>
      </c>
      <c r="J1376" s="124">
        <v>40952</v>
      </c>
      <c r="K1376" s="126">
        <v>10000</v>
      </c>
      <c r="L1376" s="127" t="s">
        <v>570</v>
      </c>
      <c r="M1376" s="125">
        <v>40952</v>
      </c>
      <c r="N1376" s="129" t="str">
        <f>IF(M1376&gt;1/1/1,"Y","N")</f>
        <v>Y</v>
      </c>
      <c r="O1376" s="128" t="s">
        <v>585</v>
      </c>
      <c r="P1376" s="129" t="s">
        <v>39</v>
      </c>
      <c r="Q1376" s="111">
        <f t="shared" si="1022"/>
        <v>2</v>
      </c>
      <c r="R1376" s="111">
        <f t="shared" si="1021"/>
        <v>179</v>
      </c>
      <c r="S1376" s="129">
        <v>1</v>
      </c>
      <c r="T1376" s="129">
        <v>2</v>
      </c>
      <c r="U1376" s="129">
        <v>1</v>
      </c>
      <c r="W1376" s="111"/>
      <c r="AB1376" s="131" t="s">
        <v>112</v>
      </c>
      <c r="AC1376" s="130"/>
      <c r="AD1376" s="130">
        <v>28764</v>
      </c>
      <c r="AE1376" s="128" t="s">
        <v>32</v>
      </c>
      <c r="AF1376" s="128" t="s">
        <v>40</v>
      </c>
      <c r="AG1376" s="128" t="s">
        <v>41</v>
      </c>
      <c r="AH1376" s="108" t="s">
        <v>31</v>
      </c>
      <c r="AI1376" s="128" t="s">
        <v>114</v>
      </c>
      <c r="AJ1376" s="129" t="s">
        <v>89</v>
      </c>
      <c r="AK1376" s="129">
        <v>6</v>
      </c>
      <c r="AL1376" s="3" t="s">
        <v>185</v>
      </c>
      <c r="AP1376" s="129" t="s">
        <v>66</v>
      </c>
      <c r="AR1376" s="128" t="s">
        <v>67</v>
      </c>
      <c r="AS1376" s="129" t="s">
        <v>68</v>
      </c>
      <c r="BC1376" s="129" t="s">
        <v>52</v>
      </c>
      <c r="BF1376" s="111">
        <f t="shared" si="1023"/>
        <v>2</v>
      </c>
      <c r="BG1376" s="111">
        <f t="shared" si="1028"/>
        <v>179</v>
      </c>
      <c r="BH1376" s="111">
        <f t="shared" si="995"/>
        <v>179</v>
      </c>
      <c r="BI1376" s="111">
        <f t="shared" si="996"/>
        <v>33.297814207650276</v>
      </c>
      <c r="BJ1376" s="129">
        <f>(G1376-J1376)+(M1376-G1376)</f>
        <v>0</v>
      </c>
      <c r="BK1376" s="129">
        <f t="shared" si="997"/>
        <v>-177</v>
      </c>
      <c r="BL1376" s="129" t="str">
        <f t="shared" si="1024"/>
        <v>CONVICTION</v>
      </c>
      <c r="BM1376" s="129" t="s">
        <v>76</v>
      </c>
      <c r="BN1376" s="129" t="s">
        <v>88</v>
      </c>
      <c r="BP1376" s="137" t="str">
        <f t="shared" si="1001"/>
        <v>CONVICTION</v>
      </c>
      <c r="BQ1376" s="128" t="str">
        <f t="shared" si="1002"/>
        <v>Y</v>
      </c>
      <c r="BR1376" s="129" t="str">
        <f>IF(J1376&lt;G1376,"ON BOND",0)</f>
        <v>ON BOND</v>
      </c>
      <c r="BS1376" s="129" t="str">
        <f t="shared" si="1004"/>
        <v>DISPOSED</v>
      </c>
      <c r="BT1376" s="129" t="str">
        <f t="shared" si="1005"/>
        <v>Y</v>
      </c>
      <c r="BU1376" s="109">
        <f t="shared" si="1012"/>
        <v>1.11731843575419E-2</v>
      </c>
      <c r="BV1376" s="109">
        <f t="shared" si="1006"/>
        <v>1.11731843575419E-2</v>
      </c>
      <c r="BW1376" s="109">
        <f t="shared" si="990"/>
        <v>0</v>
      </c>
      <c r="BX1376" s="111">
        <f t="shared" si="1007"/>
        <v>0</v>
      </c>
      <c r="BY1376" s="129">
        <f t="shared" si="1008"/>
        <v>-2</v>
      </c>
      <c r="BZ1376" s="111">
        <f t="shared" si="1009"/>
        <v>0</v>
      </c>
      <c r="CA1376" s="138">
        <f t="shared" si="1010"/>
        <v>2</v>
      </c>
      <c r="CB1376" s="111" t="e">
        <f t="shared" si="1025"/>
        <v>#VALUE!</v>
      </c>
      <c r="CC1376" s="129">
        <f>M1376-I1376+1</f>
        <v>2</v>
      </c>
      <c r="CD1376" s="111">
        <f>CC1376-BF1376</f>
        <v>0</v>
      </c>
      <c r="CG1376" s="129" t="str">
        <f t="shared" si="1011"/>
        <v>Y</v>
      </c>
      <c r="CI1376" s="129" t="str">
        <f t="shared" si="1013"/>
        <v>0-10 DAYS</v>
      </c>
      <c r="CJ1376" s="137">
        <f t="shared" si="1014"/>
        <v>1</v>
      </c>
      <c r="CK1376" s="129" t="str">
        <f t="shared" si="1015"/>
        <v>Booked</v>
      </c>
    </row>
    <row r="1377" spans="1:89" ht="15" customHeight="1" x14ac:dyDescent="0.25">
      <c r="A1377" s="111">
        <v>1322</v>
      </c>
      <c r="B1377" s="128" t="str">
        <f t="shared" si="998"/>
        <v>N</v>
      </c>
      <c r="C1377" s="128" t="str">
        <f t="shared" si="999"/>
        <v>N</v>
      </c>
      <c r="D1377" s="117">
        <v>1991770</v>
      </c>
      <c r="E1377" s="135">
        <f t="shared" si="1000"/>
        <v>6</v>
      </c>
      <c r="F1377" s="124">
        <v>40956</v>
      </c>
      <c r="G1377" s="125">
        <v>41016</v>
      </c>
      <c r="H1377" s="117">
        <v>1991770</v>
      </c>
      <c r="I1377" s="124">
        <v>40956</v>
      </c>
      <c r="J1377" s="124">
        <v>41016</v>
      </c>
      <c r="K1377" s="126" t="s">
        <v>564</v>
      </c>
      <c r="L1377" s="127" t="s">
        <v>564</v>
      </c>
      <c r="N1377" s="129" t="s">
        <v>566</v>
      </c>
      <c r="O1377" s="128" t="s">
        <v>917</v>
      </c>
      <c r="P1377" s="129" t="s">
        <v>39</v>
      </c>
      <c r="Q1377" s="111">
        <f t="shared" si="1022"/>
        <v>61</v>
      </c>
      <c r="R1377" s="111">
        <f t="shared" si="1021"/>
        <v>61</v>
      </c>
      <c r="S1377" s="129">
        <v>3</v>
      </c>
      <c r="T1377" s="129">
        <v>1</v>
      </c>
      <c r="U1377" s="129">
        <v>1</v>
      </c>
      <c r="W1377" s="111"/>
      <c r="AC1377" s="130"/>
      <c r="AD1377" s="130">
        <v>30304</v>
      </c>
      <c r="AE1377" s="128" t="s">
        <v>32</v>
      </c>
      <c r="AF1377" s="128" t="s">
        <v>33</v>
      </c>
      <c r="AG1377" s="128" t="s">
        <v>872</v>
      </c>
      <c r="AH1377" s="108" t="s">
        <v>31</v>
      </c>
      <c r="AI1377" s="128" t="s">
        <v>118</v>
      </c>
      <c r="AJ1377" s="129" t="s">
        <v>89</v>
      </c>
      <c r="AK1377" s="129">
        <v>3</v>
      </c>
      <c r="AL1377" s="3" t="s">
        <v>362</v>
      </c>
      <c r="AM1377" s="117">
        <v>15</v>
      </c>
      <c r="AP1377" s="129" t="s">
        <v>101</v>
      </c>
      <c r="AR1377" s="128" t="s">
        <v>67</v>
      </c>
      <c r="AS1377" s="129" t="s">
        <v>64</v>
      </c>
      <c r="AW1377" s="32"/>
      <c r="AX1377" s="32"/>
      <c r="AY1377" s="123"/>
      <c r="BC1377" s="129" t="s">
        <v>38</v>
      </c>
      <c r="BF1377" s="111">
        <f t="shared" si="1023"/>
        <v>61</v>
      </c>
      <c r="BG1377" s="111">
        <f t="shared" si="1028"/>
        <v>61</v>
      </c>
      <c r="BH1377" s="111">
        <f t="shared" si="995"/>
        <v>61</v>
      </c>
      <c r="BI1377" s="111">
        <f t="shared" si="996"/>
        <v>29.103825136612024</v>
      </c>
      <c r="BJ1377" s="129">
        <f t="shared" si="1016"/>
        <v>0</v>
      </c>
      <c r="BK1377" s="129">
        <f t="shared" si="997"/>
        <v>0</v>
      </c>
      <c r="BL1377" s="129" t="str">
        <f t="shared" si="1024"/>
        <v>CONVICTION</v>
      </c>
      <c r="BM1377" s="129" t="str">
        <f t="shared" si="1017"/>
        <v>NONE</v>
      </c>
      <c r="BN1377" s="129" t="s">
        <v>566</v>
      </c>
      <c r="BP1377" s="137" t="str">
        <f t="shared" si="1001"/>
        <v>CONVICTION</v>
      </c>
      <c r="BQ1377" s="128" t="str">
        <f t="shared" si="1002"/>
        <v>Y</v>
      </c>
      <c r="BR1377" s="129" t="str">
        <f t="shared" si="1003"/>
        <v>DETAINED</v>
      </c>
      <c r="BS1377" s="129" t="str">
        <f t="shared" si="1004"/>
        <v>DISPOSED</v>
      </c>
      <c r="BT1377" s="129" t="str">
        <f t="shared" si="1005"/>
        <v>Y</v>
      </c>
      <c r="BU1377" s="109">
        <f t="shared" si="1012"/>
        <v>1</v>
      </c>
      <c r="BV1377" s="109">
        <f t="shared" si="1006"/>
        <v>1</v>
      </c>
      <c r="BW1377" s="109">
        <f t="shared" si="990"/>
        <v>0</v>
      </c>
      <c r="BX1377" s="111">
        <f t="shared" si="1007"/>
        <v>0</v>
      </c>
      <c r="BY1377" s="129">
        <f t="shared" si="1008"/>
        <v>-61</v>
      </c>
      <c r="BZ1377" s="111">
        <f t="shared" si="1009"/>
        <v>0</v>
      </c>
      <c r="CA1377" s="138">
        <f t="shared" si="1010"/>
        <v>61</v>
      </c>
      <c r="CB1377" s="111" t="e">
        <f t="shared" si="1025"/>
        <v>#VALUE!</v>
      </c>
      <c r="CC1377" s="129">
        <f>G1377-I1377+1</f>
        <v>61</v>
      </c>
      <c r="CD1377" s="129">
        <f>G1377-J1377</f>
        <v>0</v>
      </c>
      <c r="CG1377" s="129" t="str">
        <f t="shared" si="1011"/>
        <v>Y</v>
      </c>
      <c r="CI1377" s="129" t="str">
        <f t="shared" si="1013"/>
        <v>61-90 DAYS</v>
      </c>
      <c r="CJ1377" s="137">
        <f t="shared" si="1014"/>
        <v>4</v>
      </c>
      <c r="CK1377" s="129" t="str">
        <f t="shared" si="1015"/>
        <v>Booked</v>
      </c>
    </row>
    <row r="1378" spans="1:89" ht="15.75" customHeight="1" x14ac:dyDescent="0.25">
      <c r="A1378" s="111">
        <v>2185</v>
      </c>
      <c r="B1378" s="128" t="str">
        <f t="shared" si="998"/>
        <v>N</v>
      </c>
      <c r="C1378" s="128" t="str">
        <f t="shared" si="999"/>
        <v>N</v>
      </c>
      <c r="D1378" s="117">
        <v>1992086</v>
      </c>
      <c r="E1378" s="135">
        <f t="shared" si="1000"/>
        <v>6</v>
      </c>
      <c r="F1378" s="124">
        <v>40990</v>
      </c>
      <c r="G1378" s="125">
        <v>40994</v>
      </c>
      <c r="H1378" s="117">
        <v>1992086</v>
      </c>
      <c r="I1378" s="124">
        <v>40991</v>
      </c>
      <c r="J1378" s="124">
        <v>40994</v>
      </c>
      <c r="K1378" s="126">
        <v>10000</v>
      </c>
      <c r="L1378" s="127" t="s">
        <v>570</v>
      </c>
      <c r="N1378" s="129" t="str">
        <f t="shared" ref="N1378:N1387" si="1029">IF(M1378&gt;1/1/1,"Y","N")</f>
        <v>N</v>
      </c>
      <c r="O1378" s="128" t="s">
        <v>917</v>
      </c>
      <c r="P1378" s="129" t="s">
        <v>39</v>
      </c>
      <c r="Q1378" s="111">
        <f t="shared" si="1022"/>
        <v>4</v>
      </c>
      <c r="R1378" s="111">
        <f t="shared" si="1021"/>
        <v>5</v>
      </c>
      <c r="S1378" s="129">
        <v>12</v>
      </c>
      <c r="T1378" s="129">
        <v>1</v>
      </c>
      <c r="U1378" s="129">
        <v>3</v>
      </c>
      <c r="W1378" s="111"/>
      <c r="AC1378" s="130"/>
      <c r="AD1378" s="130">
        <v>31002</v>
      </c>
      <c r="AE1378" s="128" t="s">
        <v>32</v>
      </c>
      <c r="AF1378" s="128" t="s">
        <v>69</v>
      </c>
      <c r="AG1378" s="128" t="s">
        <v>874</v>
      </c>
      <c r="AH1378" s="108" t="s">
        <v>58</v>
      </c>
      <c r="AI1378" s="128" t="s">
        <v>59</v>
      </c>
      <c r="AJ1378" s="129" t="s">
        <v>89</v>
      </c>
      <c r="AK1378" s="129">
        <v>1</v>
      </c>
      <c r="AL1378" s="3" t="s">
        <v>362</v>
      </c>
      <c r="AM1378" s="117">
        <v>2</v>
      </c>
      <c r="AP1378" s="129" t="s">
        <v>93</v>
      </c>
      <c r="AR1378" s="128" t="s">
        <v>67</v>
      </c>
      <c r="AS1378" s="129" t="s">
        <v>45</v>
      </c>
      <c r="BC1378" s="129" t="s">
        <v>38</v>
      </c>
      <c r="BF1378" s="111">
        <f t="shared" si="1023"/>
        <v>4</v>
      </c>
      <c r="BG1378" s="111">
        <f t="shared" si="1028"/>
        <v>4</v>
      </c>
      <c r="BH1378" s="111">
        <f t="shared" si="995"/>
        <v>5</v>
      </c>
      <c r="BI1378" s="111">
        <f t="shared" si="996"/>
        <v>27.289617486338798</v>
      </c>
      <c r="BJ1378" s="129">
        <f t="shared" si="1016"/>
        <v>0</v>
      </c>
      <c r="BK1378" s="129">
        <f t="shared" si="997"/>
        <v>0</v>
      </c>
      <c r="BL1378" s="129" t="str">
        <f t="shared" si="1024"/>
        <v>CONVICTION</v>
      </c>
      <c r="BM1378" s="129" t="str">
        <f t="shared" si="1017"/>
        <v>NONE</v>
      </c>
      <c r="BN1378" s="129" t="s">
        <v>566</v>
      </c>
      <c r="BP1378" s="137" t="str">
        <f t="shared" si="1001"/>
        <v>CONVICTION</v>
      </c>
      <c r="BQ1378" s="128" t="str">
        <f t="shared" si="1002"/>
        <v>Y</v>
      </c>
      <c r="BR1378" s="129" t="str">
        <f t="shared" si="1003"/>
        <v>DETAINED</v>
      </c>
      <c r="BS1378" s="129" t="str">
        <f t="shared" si="1004"/>
        <v>DISPOSED</v>
      </c>
      <c r="BT1378" s="129" t="str">
        <f t="shared" si="1005"/>
        <v>Y</v>
      </c>
      <c r="BU1378" s="109">
        <f t="shared" si="1012"/>
        <v>0.8</v>
      </c>
      <c r="BV1378" s="109">
        <f t="shared" si="1006"/>
        <v>1</v>
      </c>
      <c r="BW1378" s="109">
        <f t="shared" si="990"/>
        <v>0.19999999999999996</v>
      </c>
      <c r="BX1378" s="111">
        <f t="shared" si="1007"/>
        <v>0</v>
      </c>
      <c r="BY1378" s="129">
        <f t="shared" si="1008"/>
        <v>-4</v>
      </c>
      <c r="BZ1378" s="111">
        <f t="shared" si="1009"/>
        <v>0</v>
      </c>
      <c r="CA1378" s="138">
        <f t="shared" si="1010"/>
        <v>4</v>
      </c>
      <c r="CB1378" s="111" t="e">
        <f t="shared" si="1025"/>
        <v>#VALUE!</v>
      </c>
      <c r="CC1378" s="129">
        <f>G1378-I1378+1</f>
        <v>4</v>
      </c>
      <c r="CD1378" s="129">
        <f>G1378-J1378</f>
        <v>0</v>
      </c>
      <c r="CG1378" s="129" t="str">
        <f t="shared" si="1011"/>
        <v>Y</v>
      </c>
      <c r="CI1378" s="129" t="str">
        <f t="shared" si="1013"/>
        <v>0-10 DAYS</v>
      </c>
      <c r="CJ1378" s="137">
        <f t="shared" si="1014"/>
        <v>1</v>
      </c>
      <c r="CK1378" s="129" t="str">
        <f t="shared" si="1015"/>
        <v>Booked</v>
      </c>
    </row>
    <row r="1379" spans="1:89" ht="15" customHeight="1" x14ac:dyDescent="0.25">
      <c r="A1379" s="111">
        <v>1292</v>
      </c>
      <c r="B1379" s="128" t="str">
        <f t="shared" si="998"/>
        <v>N</v>
      </c>
      <c r="C1379" s="128" t="str">
        <f t="shared" si="999"/>
        <v>N</v>
      </c>
      <c r="D1379" s="117">
        <v>1992194</v>
      </c>
      <c r="E1379" s="135">
        <f t="shared" si="1000"/>
        <v>5</v>
      </c>
      <c r="F1379" s="124">
        <v>40956</v>
      </c>
      <c r="G1379" s="125">
        <v>40976</v>
      </c>
      <c r="H1379" s="117">
        <v>1992194</v>
      </c>
      <c r="I1379" s="124">
        <v>40956</v>
      </c>
      <c r="J1379" s="124">
        <v>40976</v>
      </c>
      <c r="K1379" s="126">
        <v>10000</v>
      </c>
      <c r="L1379" s="127" t="s">
        <v>570</v>
      </c>
      <c r="N1379" s="129" t="str">
        <f t="shared" si="1029"/>
        <v>N</v>
      </c>
      <c r="O1379" s="128" t="s">
        <v>917</v>
      </c>
      <c r="P1379" s="129" t="s">
        <v>39</v>
      </c>
      <c r="Q1379" s="111">
        <f t="shared" si="1022"/>
        <v>21</v>
      </c>
      <c r="R1379" s="111">
        <f t="shared" si="1021"/>
        <v>21</v>
      </c>
      <c r="S1379" s="129">
        <v>6</v>
      </c>
      <c r="T1379" s="129">
        <v>8</v>
      </c>
      <c r="U1379" s="129">
        <v>3</v>
      </c>
      <c r="W1379" s="111"/>
      <c r="AC1379" s="130"/>
      <c r="AD1379" s="130">
        <v>30923</v>
      </c>
      <c r="AE1379" s="128" t="s">
        <v>32</v>
      </c>
      <c r="AF1379" s="128" t="s">
        <v>40</v>
      </c>
      <c r="AG1379" s="128" t="s">
        <v>41</v>
      </c>
      <c r="AH1379" s="108" t="s">
        <v>41</v>
      </c>
      <c r="AI1379" s="128" t="s">
        <v>85</v>
      </c>
      <c r="AJ1379" s="129" t="s">
        <v>89</v>
      </c>
      <c r="AK1379" s="129">
        <v>2</v>
      </c>
      <c r="AL1379" s="3" t="s">
        <v>992</v>
      </c>
      <c r="AN1379" s="117">
        <v>8</v>
      </c>
      <c r="AP1379" s="129" t="s">
        <v>108</v>
      </c>
      <c r="AR1379" s="128" t="s">
        <v>44</v>
      </c>
      <c r="AS1379" s="129" t="s">
        <v>61</v>
      </c>
      <c r="AX1379" s="32"/>
      <c r="BC1379" s="129" t="s">
        <v>38</v>
      </c>
      <c r="BF1379" s="111">
        <f t="shared" si="1023"/>
        <v>21</v>
      </c>
      <c r="BG1379" s="111">
        <f t="shared" si="1028"/>
        <v>21</v>
      </c>
      <c r="BH1379" s="111">
        <f t="shared" si="995"/>
        <v>21</v>
      </c>
      <c r="BI1379" s="111">
        <f t="shared" si="996"/>
        <v>27.412568306010929</v>
      </c>
      <c r="BJ1379" s="129">
        <f t="shared" si="1016"/>
        <v>0</v>
      </c>
      <c r="BK1379" s="129">
        <f t="shared" si="997"/>
        <v>0</v>
      </c>
      <c r="BL1379" s="129" t="str">
        <f t="shared" si="1024"/>
        <v>CONVICTION</v>
      </c>
      <c r="BM1379" s="129" t="str">
        <f t="shared" si="1017"/>
        <v>NONE</v>
      </c>
      <c r="BN1379" s="129" t="s">
        <v>566</v>
      </c>
      <c r="BP1379" s="137" t="str">
        <f t="shared" si="1001"/>
        <v>CONVICTION</v>
      </c>
      <c r="BQ1379" s="128" t="str">
        <f t="shared" si="1002"/>
        <v>Y</v>
      </c>
      <c r="BR1379" s="129" t="str">
        <f t="shared" si="1003"/>
        <v>DETAINED</v>
      </c>
      <c r="BS1379" s="129" t="str">
        <f t="shared" si="1004"/>
        <v>DISPOSED</v>
      </c>
      <c r="BT1379" s="129" t="str">
        <f t="shared" si="1005"/>
        <v>Y</v>
      </c>
      <c r="BU1379" s="109">
        <f t="shared" si="1012"/>
        <v>1</v>
      </c>
      <c r="BV1379" s="109">
        <f t="shared" si="1006"/>
        <v>1</v>
      </c>
      <c r="BW1379" s="109">
        <f t="shared" si="990"/>
        <v>0</v>
      </c>
      <c r="BX1379" s="111">
        <f t="shared" si="1007"/>
        <v>0</v>
      </c>
      <c r="BY1379" s="129">
        <f t="shared" si="1008"/>
        <v>-21</v>
      </c>
      <c r="BZ1379" s="111">
        <f t="shared" si="1009"/>
        <v>0</v>
      </c>
      <c r="CA1379" s="138">
        <f t="shared" si="1010"/>
        <v>21</v>
      </c>
      <c r="CB1379" s="111" t="e">
        <f t="shared" si="1025"/>
        <v>#VALUE!</v>
      </c>
      <c r="CC1379" s="129">
        <f>G1379-I1379+1</f>
        <v>21</v>
      </c>
      <c r="CD1379" s="129">
        <f>G1379-J1379</f>
        <v>0</v>
      </c>
      <c r="CG1379" s="129" t="str">
        <f t="shared" si="1011"/>
        <v>Y</v>
      </c>
      <c r="CI1379" s="129" t="str">
        <f t="shared" si="1013"/>
        <v>11-30 DAYS</v>
      </c>
      <c r="CJ1379" s="137">
        <f t="shared" si="1014"/>
        <v>2</v>
      </c>
      <c r="CK1379" s="129" t="str">
        <f t="shared" si="1015"/>
        <v>Booked</v>
      </c>
    </row>
    <row r="1380" spans="1:89" ht="15" customHeight="1" x14ac:dyDescent="0.25">
      <c r="A1380" s="111">
        <v>1725</v>
      </c>
      <c r="B1380" s="128" t="str">
        <f t="shared" si="998"/>
        <v>N</v>
      </c>
      <c r="C1380" s="128" t="str">
        <f t="shared" si="999"/>
        <v>N</v>
      </c>
      <c r="D1380" s="117">
        <v>1992228</v>
      </c>
      <c r="E1380" s="135">
        <f t="shared" si="1000"/>
        <v>5</v>
      </c>
      <c r="F1380" s="124">
        <v>40973</v>
      </c>
      <c r="G1380" s="125">
        <v>41150</v>
      </c>
      <c r="H1380" s="117">
        <v>1992228</v>
      </c>
      <c r="I1380" s="124">
        <v>40974</v>
      </c>
      <c r="J1380" s="124">
        <v>41150</v>
      </c>
      <c r="K1380" s="126">
        <v>15000</v>
      </c>
      <c r="L1380" s="127" t="s">
        <v>571</v>
      </c>
      <c r="N1380" s="129" t="str">
        <f t="shared" si="1029"/>
        <v>N</v>
      </c>
      <c r="O1380" s="128" t="s">
        <v>917</v>
      </c>
      <c r="P1380" s="129" t="s">
        <v>39</v>
      </c>
      <c r="Q1380" s="111">
        <f t="shared" si="1022"/>
        <v>177</v>
      </c>
      <c r="R1380" s="111">
        <f t="shared" si="1021"/>
        <v>178</v>
      </c>
      <c r="S1380" s="129">
        <v>12</v>
      </c>
      <c r="T1380" s="129">
        <v>13</v>
      </c>
      <c r="U1380" s="129">
        <v>5</v>
      </c>
      <c r="W1380" s="111"/>
      <c r="AC1380" s="130"/>
      <c r="AD1380" s="130">
        <v>29761</v>
      </c>
      <c r="AE1380" s="128" t="s">
        <v>32</v>
      </c>
      <c r="AF1380" s="128" t="s">
        <v>33</v>
      </c>
      <c r="AG1380" s="128" t="s">
        <v>872</v>
      </c>
      <c r="AH1380" s="108" t="s">
        <v>58</v>
      </c>
      <c r="AI1380" s="128" t="s">
        <v>59</v>
      </c>
      <c r="AJ1380" s="129" t="s">
        <v>89</v>
      </c>
      <c r="AK1380" s="129">
        <v>9</v>
      </c>
      <c r="AL1380" s="3" t="s">
        <v>992</v>
      </c>
      <c r="AN1380" s="117">
        <v>6</v>
      </c>
      <c r="AP1380" s="129" t="s">
        <v>43</v>
      </c>
      <c r="AR1380" s="128" t="s">
        <v>44</v>
      </c>
      <c r="AS1380" s="129" t="s">
        <v>45</v>
      </c>
      <c r="BC1380" s="129" t="s">
        <v>38</v>
      </c>
      <c r="BF1380" s="111">
        <f t="shared" si="1023"/>
        <v>177</v>
      </c>
      <c r="BG1380" s="111">
        <f t="shared" si="1028"/>
        <v>177</v>
      </c>
      <c r="BH1380" s="111">
        <f t="shared" si="995"/>
        <v>178</v>
      </c>
      <c r="BI1380" s="111">
        <f t="shared" si="996"/>
        <v>30.633879781420767</v>
      </c>
      <c r="BJ1380" s="129">
        <f t="shared" si="1016"/>
        <v>0</v>
      </c>
      <c r="BK1380" s="129">
        <f t="shared" si="997"/>
        <v>0</v>
      </c>
      <c r="BL1380" s="129" t="str">
        <f t="shared" si="1024"/>
        <v>CONVICTION</v>
      </c>
      <c r="BM1380" s="129" t="str">
        <f t="shared" si="1017"/>
        <v>NONE</v>
      </c>
      <c r="BN1380" s="129" t="s">
        <v>566</v>
      </c>
      <c r="BP1380" s="137" t="str">
        <f t="shared" si="1001"/>
        <v>CONVICTION</v>
      </c>
      <c r="BQ1380" s="128" t="str">
        <f t="shared" si="1002"/>
        <v>Y</v>
      </c>
      <c r="BR1380" s="129" t="str">
        <f t="shared" si="1003"/>
        <v>DETAINED</v>
      </c>
      <c r="BS1380" s="129" t="str">
        <f t="shared" si="1004"/>
        <v>DISPOSED</v>
      </c>
      <c r="BT1380" s="129" t="str">
        <f t="shared" si="1005"/>
        <v>Y</v>
      </c>
      <c r="BU1380" s="109">
        <f t="shared" si="1012"/>
        <v>0.9943820224719101</v>
      </c>
      <c r="BV1380" s="109">
        <f t="shared" si="1006"/>
        <v>1</v>
      </c>
      <c r="BW1380" s="109">
        <f t="shared" si="990"/>
        <v>5.6179775280899014E-3</v>
      </c>
      <c r="BX1380" s="111">
        <f t="shared" si="1007"/>
        <v>0</v>
      </c>
      <c r="BY1380" s="129">
        <f t="shared" si="1008"/>
        <v>-177</v>
      </c>
      <c r="BZ1380" s="111">
        <f t="shared" si="1009"/>
        <v>0</v>
      </c>
      <c r="CA1380" s="138">
        <f t="shared" si="1010"/>
        <v>177</v>
      </c>
      <c r="CB1380" s="111" t="e">
        <f t="shared" si="1025"/>
        <v>#VALUE!</v>
      </c>
      <c r="CC1380" s="129">
        <f>G1380-I1380+1</f>
        <v>177</v>
      </c>
      <c r="CD1380" s="129">
        <f>G1380-J1380</f>
        <v>0</v>
      </c>
      <c r="CG1380" s="129" t="str">
        <f t="shared" si="1011"/>
        <v>Y</v>
      </c>
      <c r="CI1380" s="129" t="str">
        <f t="shared" si="1013"/>
        <v>121-365 DAYS</v>
      </c>
      <c r="CJ1380" s="137">
        <f t="shared" si="1014"/>
        <v>6</v>
      </c>
      <c r="CK1380" s="129" t="str">
        <f t="shared" si="1015"/>
        <v>Booked</v>
      </c>
    </row>
    <row r="1381" spans="1:89" ht="15" customHeight="1" x14ac:dyDescent="0.25">
      <c r="A1381" s="111">
        <v>838</v>
      </c>
      <c r="B1381" s="128" t="str">
        <f t="shared" si="998"/>
        <v>N</v>
      </c>
      <c r="C1381" s="128" t="str">
        <f t="shared" si="999"/>
        <v>N</v>
      </c>
      <c r="D1381" s="117">
        <v>1993453</v>
      </c>
      <c r="E1381" s="135">
        <f t="shared" si="1000"/>
        <v>2</v>
      </c>
      <c r="F1381" s="124">
        <v>40940</v>
      </c>
      <c r="G1381" s="125">
        <v>41086</v>
      </c>
      <c r="H1381" s="117">
        <v>1993453</v>
      </c>
      <c r="I1381" s="124">
        <v>40940</v>
      </c>
      <c r="J1381" s="124">
        <v>40989</v>
      </c>
      <c r="K1381" s="126">
        <v>10000</v>
      </c>
      <c r="L1381" s="127" t="s">
        <v>570</v>
      </c>
      <c r="M1381" s="125">
        <v>40989</v>
      </c>
      <c r="N1381" s="129" t="str">
        <f t="shared" si="1029"/>
        <v>Y</v>
      </c>
      <c r="O1381" s="112" t="s">
        <v>160</v>
      </c>
      <c r="P1381" s="129" t="s">
        <v>589</v>
      </c>
      <c r="Q1381" s="111">
        <f t="shared" si="1022"/>
        <v>50</v>
      </c>
      <c r="R1381" s="111">
        <f t="shared" si="1021"/>
        <v>147</v>
      </c>
      <c r="S1381" s="129">
        <v>6</v>
      </c>
      <c r="T1381" s="129">
        <v>0</v>
      </c>
      <c r="W1381" s="111"/>
      <c r="AC1381" s="130"/>
      <c r="AD1381" s="130">
        <v>17384</v>
      </c>
      <c r="AE1381" s="128" t="s">
        <v>32</v>
      </c>
      <c r="AF1381" s="128" t="s">
        <v>33</v>
      </c>
      <c r="AG1381" s="128" t="s">
        <v>872</v>
      </c>
      <c r="AH1381" s="108" t="s">
        <v>58</v>
      </c>
      <c r="AI1381" s="128" t="s">
        <v>85</v>
      </c>
      <c r="AJ1381" s="129" t="s">
        <v>48</v>
      </c>
      <c r="AK1381" s="129">
        <v>17</v>
      </c>
      <c r="AL1381" s="3" t="s">
        <v>48</v>
      </c>
      <c r="AP1381" s="129" t="s">
        <v>84</v>
      </c>
      <c r="AR1381" s="128" t="s">
        <v>67</v>
      </c>
      <c r="AS1381" s="129" t="s">
        <v>74</v>
      </c>
      <c r="BC1381" s="129" t="s">
        <v>38</v>
      </c>
      <c r="BF1381" s="111">
        <f t="shared" si="1023"/>
        <v>50</v>
      </c>
      <c r="BG1381" s="111">
        <f t="shared" si="1028"/>
        <v>147</v>
      </c>
      <c r="BH1381" s="111">
        <f t="shared" si="995"/>
        <v>147</v>
      </c>
      <c r="BI1381" s="111">
        <f t="shared" si="996"/>
        <v>64.360655737704917</v>
      </c>
      <c r="BJ1381" s="129">
        <f>(G1381-J1381)+(M1381-G1381)</f>
        <v>0</v>
      </c>
      <c r="BK1381" s="129">
        <f t="shared" si="997"/>
        <v>-97</v>
      </c>
      <c r="BL1381" s="129" t="str">
        <f t="shared" si="1024"/>
        <v>DEFERRED</v>
      </c>
      <c r="BM1381" s="129" t="s">
        <v>160</v>
      </c>
      <c r="BN1381" s="129" t="s">
        <v>88</v>
      </c>
      <c r="BP1381" s="137" t="str">
        <f t="shared" si="1001"/>
        <v>DEFERRED</v>
      </c>
      <c r="BQ1381" s="128" t="str">
        <f t="shared" si="1002"/>
        <v>Y</v>
      </c>
      <c r="BR1381" s="129" t="str">
        <f t="shared" si="1003"/>
        <v>ON BOND</v>
      </c>
      <c r="BS1381" s="129" t="str">
        <f t="shared" si="1004"/>
        <v>DISPOSED</v>
      </c>
      <c r="BT1381" s="129" t="str">
        <f t="shared" si="1005"/>
        <v>Y</v>
      </c>
      <c r="BU1381" s="109">
        <f t="shared" si="1012"/>
        <v>0.3401360544217687</v>
      </c>
      <c r="BV1381" s="109">
        <f t="shared" si="1006"/>
        <v>0.3401360544217687</v>
      </c>
      <c r="BW1381" s="109">
        <f t="shared" si="990"/>
        <v>0</v>
      </c>
      <c r="BX1381" s="111">
        <f t="shared" si="1007"/>
        <v>0</v>
      </c>
      <c r="BY1381" s="129">
        <f t="shared" si="1008"/>
        <v>-50</v>
      </c>
      <c r="BZ1381" s="111">
        <f t="shared" si="1009"/>
        <v>0</v>
      </c>
      <c r="CA1381" s="138">
        <f t="shared" si="1010"/>
        <v>50</v>
      </c>
      <c r="CB1381" s="111" t="e">
        <f t="shared" si="1025"/>
        <v>#VALUE!</v>
      </c>
      <c r="CC1381" s="129">
        <f>M1381-I1381+1</f>
        <v>50</v>
      </c>
      <c r="CD1381" s="111">
        <f>CC1381-BF1381</f>
        <v>0</v>
      </c>
      <c r="CG1381" s="129" t="str">
        <f t="shared" si="1011"/>
        <v>Y</v>
      </c>
      <c r="CI1381" s="129" t="str">
        <f t="shared" si="1013"/>
        <v>31-60 DAYS</v>
      </c>
      <c r="CJ1381" s="137">
        <f t="shared" si="1014"/>
        <v>3</v>
      </c>
      <c r="CK1381" s="129" t="str">
        <f t="shared" si="1015"/>
        <v>Booked</v>
      </c>
    </row>
    <row r="1382" spans="1:89" ht="15.75" customHeight="1" x14ac:dyDescent="0.25">
      <c r="A1382" s="111">
        <v>717</v>
      </c>
      <c r="B1382" s="128" t="str">
        <f t="shared" si="998"/>
        <v>N</v>
      </c>
      <c r="C1382" s="128" t="str">
        <f t="shared" si="999"/>
        <v>N</v>
      </c>
      <c r="D1382" s="117">
        <v>1995219</v>
      </c>
      <c r="E1382" s="135">
        <f t="shared" si="1000"/>
        <v>2</v>
      </c>
      <c r="F1382" s="124">
        <v>40936</v>
      </c>
      <c r="G1382" s="125">
        <v>41080</v>
      </c>
      <c r="H1382" s="117">
        <v>1995219</v>
      </c>
      <c r="I1382" s="124">
        <v>40937</v>
      </c>
      <c r="J1382" s="124">
        <v>40941</v>
      </c>
      <c r="K1382" s="126">
        <v>10000</v>
      </c>
      <c r="L1382" s="127" t="s">
        <v>570</v>
      </c>
      <c r="M1382" s="124">
        <v>40941</v>
      </c>
      <c r="N1382" s="129" t="str">
        <f t="shared" si="1029"/>
        <v>Y</v>
      </c>
      <c r="O1382" s="128" t="s">
        <v>76</v>
      </c>
      <c r="P1382" s="129" t="s">
        <v>589</v>
      </c>
      <c r="Q1382" s="111">
        <f t="shared" si="1022"/>
        <v>5</v>
      </c>
      <c r="R1382" s="111">
        <f t="shared" si="1021"/>
        <v>145</v>
      </c>
      <c r="S1382" s="129">
        <v>1</v>
      </c>
      <c r="T1382" s="129">
        <v>2</v>
      </c>
      <c r="U1382" s="129">
        <v>1</v>
      </c>
      <c r="W1382" s="111"/>
      <c r="AB1382" s="131" t="s">
        <v>112</v>
      </c>
      <c r="AC1382" s="130"/>
      <c r="AD1382" s="130">
        <v>30551</v>
      </c>
      <c r="AE1382" s="128" t="s">
        <v>32</v>
      </c>
      <c r="AF1382" s="128" t="s">
        <v>40</v>
      </c>
      <c r="AG1382" s="128" t="s">
        <v>41</v>
      </c>
      <c r="AH1382" s="108" t="s">
        <v>31</v>
      </c>
      <c r="AI1382" s="128" t="s">
        <v>34</v>
      </c>
      <c r="AJ1382" s="129" t="s">
        <v>48</v>
      </c>
      <c r="AK1382" s="129">
        <v>7</v>
      </c>
      <c r="AL1382" s="3" t="s">
        <v>48</v>
      </c>
      <c r="AP1382" s="129" t="s">
        <v>43</v>
      </c>
      <c r="AR1382" s="128" t="s">
        <v>44</v>
      </c>
      <c r="AS1382" s="129" t="s">
        <v>45</v>
      </c>
      <c r="BC1382" s="129" t="s">
        <v>52</v>
      </c>
      <c r="BF1382" s="111">
        <f t="shared" si="1023"/>
        <v>5</v>
      </c>
      <c r="BG1382" s="111">
        <f t="shared" si="1028"/>
        <v>144</v>
      </c>
      <c r="BH1382" s="111">
        <f t="shared" si="995"/>
        <v>145</v>
      </c>
      <c r="BI1382" s="111">
        <f t="shared" si="996"/>
        <v>28.374316939890711</v>
      </c>
      <c r="BJ1382" s="129">
        <f>(G1382-J1382)+(M1382-G1382)</f>
        <v>0</v>
      </c>
      <c r="BK1382" s="129">
        <f t="shared" si="997"/>
        <v>-139</v>
      </c>
      <c r="BL1382" s="129" t="str">
        <f t="shared" si="1024"/>
        <v>DEFERRED</v>
      </c>
      <c r="BM1382" s="129" t="s">
        <v>76</v>
      </c>
      <c r="BN1382" s="129" t="s">
        <v>88</v>
      </c>
      <c r="BP1382" s="137" t="str">
        <f t="shared" si="1001"/>
        <v>DEFERRED</v>
      </c>
      <c r="BQ1382" s="128" t="str">
        <f t="shared" si="1002"/>
        <v>Y</v>
      </c>
      <c r="BR1382" s="129" t="str">
        <f t="shared" si="1003"/>
        <v>ON BOND</v>
      </c>
      <c r="BS1382" s="129" t="str">
        <f t="shared" si="1004"/>
        <v>DISPOSED</v>
      </c>
      <c r="BT1382" s="129" t="str">
        <f t="shared" si="1005"/>
        <v>Y</v>
      </c>
      <c r="BU1382" s="109">
        <f t="shared" si="1012"/>
        <v>3.4482758620689655E-2</v>
      </c>
      <c r="BV1382" s="109">
        <f t="shared" si="1006"/>
        <v>3.4722222222222224E-2</v>
      </c>
      <c r="BW1382" s="109">
        <f t="shared" si="990"/>
        <v>2.3946360153256907E-4</v>
      </c>
      <c r="BX1382" s="111">
        <f t="shared" si="1007"/>
        <v>0</v>
      </c>
      <c r="BY1382" s="129">
        <f t="shared" si="1008"/>
        <v>-5</v>
      </c>
      <c r="BZ1382" s="111">
        <f t="shared" si="1009"/>
        <v>0</v>
      </c>
      <c r="CA1382" s="138">
        <f t="shared" si="1010"/>
        <v>5</v>
      </c>
      <c r="CB1382" s="111" t="e">
        <f t="shared" si="1025"/>
        <v>#VALUE!</v>
      </c>
      <c r="CC1382" s="129">
        <f>M1382-I1382+1</f>
        <v>5</v>
      </c>
      <c r="CD1382" s="111">
        <f>CC1382-BF1382</f>
        <v>0</v>
      </c>
      <c r="CG1382" s="129" t="str">
        <f t="shared" si="1011"/>
        <v>Y</v>
      </c>
      <c r="CI1382" s="129" t="str">
        <f t="shared" si="1013"/>
        <v>0-10 DAYS</v>
      </c>
      <c r="CJ1382" s="137">
        <f t="shared" si="1014"/>
        <v>1</v>
      </c>
      <c r="CK1382" s="129" t="str">
        <f t="shared" si="1015"/>
        <v>Booked</v>
      </c>
    </row>
    <row r="1383" spans="1:89" ht="15" customHeight="1" x14ac:dyDescent="0.25">
      <c r="A1383" s="111">
        <v>666</v>
      </c>
      <c r="B1383" s="128" t="str">
        <f t="shared" si="998"/>
        <v>N</v>
      </c>
      <c r="C1383" s="128" t="str">
        <f t="shared" si="999"/>
        <v>N</v>
      </c>
      <c r="D1383" s="117">
        <v>1996350</v>
      </c>
      <c r="E1383" s="135">
        <f t="shared" si="1000"/>
        <v>6</v>
      </c>
      <c r="F1383" s="124">
        <v>40935</v>
      </c>
      <c r="G1383" s="125">
        <v>41121</v>
      </c>
      <c r="H1383" s="117">
        <v>1996350</v>
      </c>
      <c r="I1383" s="124">
        <v>40935</v>
      </c>
      <c r="J1383" s="124">
        <v>40936</v>
      </c>
      <c r="K1383" s="126">
        <v>50000</v>
      </c>
      <c r="L1383" s="129" t="s">
        <v>572</v>
      </c>
      <c r="M1383" s="125">
        <v>40936</v>
      </c>
      <c r="N1383" s="129" t="str">
        <f t="shared" si="1029"/>
        <v>Y</v>
      </c>
      <c r="O1383" s="128" t="s">
        <v>76</v>
      </c>
      <c r="P1383" s="129" t="s">
        <v>39</v>
      </c>
      <c r="Q1383" s="111">
        <f t="shared" si="1022"/>
        <v>2</v>
      </c>
      <c r="R1383" s="111">
        <f t="shared" si="1021"/>
        <v>187</v>
      </c>
      <c r="S1383" s="129">
        <v>7</v>
      </c>
      <c r="T1383" s="129">
        <v>1</v>
      </c>
      <c r="U1383" s="129">
        <v>6</v>
      </c>
      <c r="W1383" s="111"/>
      <c r="AC1383" s="130"/>
      <c r="AD1383" s="130">
        <v>31371</v>
      </c>
      <c r="AE1383" s="128" t="s">
        <v>32</v>
      </c>
      <c r="AF1383" s="128" t="s">
        <v>33</v>
      </c>
      <c r="AG1383" s="128" t="s">
        <v>872</v>
      </c>
      <c r="AH1383" s="108" t="s">
        <v>58</v>
      </c>
      <c r="AI1383" s="128" t="s">
        <v>114</v>
      </c>
      <c r="AJ1383" s="129" t="s">
        <v>89</v>
      </c>
      <c r="AK1383" s="129">
        <v>8</v>
      </c>
      <c r="AL1383" s="3" t="s">
        <v>362</v>
      </c>
      <c r="AM1383" s="117">
        <v>6</v>
      </c>
      <c r="AP1383" s="129" t="s">
        <v>101</v>
      </c>
      <c r="AR1383" s="128" t="s">
        <v>67</v>
      </c>
      <c r="AS1383" s="129" t="s">
        <v>64</v>
      </c>
      <c r="BC1383" s="129" t="s">
        <v>52</v>
      </c>
      <c r="BF1383" s="111">
        <f t="shared" si="1023"/>
        <v>2</v>
      </c>
      <c r="BG1383" s="111">
        <f t="shared" si="1028"/>
        <v>187</v>
      </c>
      <c r="BH1383" s="111">
        <f t="shared" si="995"/>
        <v>187</v>
      </c>
      <c r="BI1383" s="111">
        <f t="shared" si="996"/>
        <v>26.131147540983605</v>
      </c>
      <c r="BJ1383" s="129">
        <f>(G1383-J1383)+(M1383-G1383)</f>
        <v>0</v>
      </c>
      <c r="BK1383" s="129">
        <f t="shared" si="997"/>
        <v>-185</v>
      </c>
      <c r="BL1383" s="129" t="str">
        <f t="shared" si="1024"/>
        <v>CONVICTION</v>
      </c>
      <c r="BM1383" s="129" t="s">
        <v>76</v>
      </c>
      <c r="BN1383" s="129" t="s">
        <v>88</v>
      </c>
      <c r="BP1383" s="137" t="str">
        <f t="shared" si="1001"/>
        <v>CONVICTION</v>
      </c>
      <c r="BQ1383" s="128" t="str">
        <f t="shared" si="1002"/>
        <v>Y</v>
      </c>
      <c r="BR1383" s="129" t="str">
        <f>IF(J1383&lt;G1383,"ON BOND",0)</f>
        <v>ON BOND</v>
      </c>
      <c r="BS1383" s="129" t="str">
        <f t="shared" si="1004"/>
        <v>DISPOSED</v>
      </c>
      <c r="BT1383" s="129" t="str">
        <f t="shared" si="1005"/>
        <v>Y</v>
      </c>
      <c r="BU1383" s="109">
        <f t="shared" si="1012"/>
        <v>1.06951871657754E-2</v>
      </c>
      <c r="BV1383" s="109">
        <f t="shared" si="1006"/>
        <v>1.06951871657754E-2</v>
      </c>
      <c r="BW1383" s="109">
        <f t="shared" si="990"/>
        <v>0</v>
      </c>
      <c r="BX1383" s="111">
        <f t="shared" si="1007"/>
        <v>0</v>
      </c>
      <c r="BY1383" s="129">
        <f t="shared" si="1008"/>
        <v>-2</v>
      </c>
      <c r="BZ1383" s="111">
        <f t="shared" si="1009"/>
        <v>0</v>
      </c>
      <c r="CA1383" s="138">
        <f t="shared" si="1010"/>
        <v>2</v>
      </c>
      <c r="CB1383" s="111" t="e">
        <f t="shared" si="1025"/>
        <v>#VALUE!</v>
      </c>
      <c r="CC1383" s="129">
        <f>M1383-I1383+1</f>
        <v>2</v>
      </c>
      <c r="CD1383" s="111">
        <f>CC1383-BF1383</f>
        <v>0</v>
      </c>
      <c r="CG1383" s="129" t="str">
        <f t="shared" si="1011"/>
        <v>Y</v>
      </c>
      <c r="CI1383" s="129" t="str">
        <f t="shared" si="1013"/>
        <v>0-10 DAYS</v>
      </c>
      <c r="CJ1383" s="137">
        <f t="shared" si="1014"/>
        <v>1</v>
      </c>
      <c r="CK1383" s="129" t="str">
        <f t="shared" si="1015"/>
        <v>Booked</v>
      </c>
    </row>
    <row r="1384" spans="1:89" ht="15" customHeight="1" x14ac:dyDescent="0.25">
      <c r="A1384" s="111">
        <v>1469</v>
      </c>
      <c r="B1384" s="128" t="str">
        <f t="shared" si="998"/>
        <v>N</v>
      </c>
      <c r="C1384" s="128" t="str">
        <f t="shared" si="999"/>
        <v>N</v>
      </c>
      <c r="D1384" s="117">
        <v>1997518</v>
      </c>
      <c r="E1384" s="135">
        <f t="shared" si="1000"/>
        <v>5</v>
      </c>
      <c r="F1384" s="124">
        <v>40962</v>
      </c>
      <c r="G1384" s="125">
        <v>41074</v>
      </c>
      <c r="H1384" s="117">
        <v>1997518</v>
      </c>
      <c r="I1384" s="124">
        <v>40963</v>
      </c>
      <c r="J1384" s="124">
        <v>41074</v>
      </c>
      <c r="K1384" s="126">
        <v>15000</v>
      </c>
      <c r="L1384" s="127" t="s">
        <v>571</v>
      </c>
      <c r="N1384" s="129" t="str">
        <f t="shared" si="1029"/>
        <v>N</v>
      </c>
      <c r="O1384" s="128" t="s">
        <v>917</v>
      </c>
      <c r="P1384" s="129" t="s">
        <v>39</v>
      </c>
      <c r="Q1384" s="111">
        <f t="shared" si="1022"/>
        <v>112</v>
      </c>
      <c r="R1384" s="111">
        <f t="shared" si="1021"/>
        <v>113</v>
      </c>
      <c r="S1384" s="129">
        <v>8</v>
      </c>
      <c r="T1384" s="129">
        <v>1</v>
      </c>
      <c r="U1384" s="129">
        <v>4</v>
      </c>
      <c r="V1384" s="117">
        <v>1</v>
      </c>
      <c r="W1384" s="111"/>
      <c r="AC1384" s="130"/>
      <c r="AD1384" s="130">
        <v>31388</v>
      </c>
      <c r="AE1384" s="128" t="s">
        <v>32</v>
      </c>
      <c r="AF1384" s="128" t="s">
        <v>33</v>
      </c>
      <c r="AG1384" s="128" t="s">
        <v>872</v>
      </c>
      <c r="AH1384" s="108" t="s">
        <v>58</v>
      </c>
      <c r="AI1384" s="128" t="s">
        <v>71</v>
      </c>
      <c r="AJ1384" s="129" t="s">
        <v>89</v>
      </c>
      <c r="AK1384" s="129">
        <v>5</v>
      </c>
      <c r="AL1384" s="3" t="s">
        <v>992</v>
      </c>
      <c r="AN1384" s="117">
        <v>6</v>
      </c>
      <c r="AP1384" s="129" t="s">
        <v>43</v>
      </c>
      <c r="AR1384" s="128" t="s">
        <v>44</v>
      </c>
      <c r="AS1384" s="129" t="s">
        <v>45</v>
      </c>
      <c r="BC1384" s="129" t="s">
        <v>38</v>
      </c>
      <c r="BF1384" s="111">
        <f t="shared" si="1023"/>
        <v>112</v>
      </c>
      <c r="BG1384" s="111">
        <f t="shared" si="1028"/>
        <v>112</v>
      </c>
      <c r="BH1384" s="111">
        <f t="shared" si="995"/>
        <v>113</v>
      </c>
      <c r="BI1384" s="111">
        <f t="shared" si="996"/>
        <v>26.15846994535519</v>
      </c>
      <c r="BJ1384" s="129">
        <f t="shared" si="1016"/>
        <v>0</v>
      </c>
      <c r="BK1384" s="129">
        <f t="shared" si="997"/>
        <v>0</v>
      </c>
      <c r="BL1384" s="129" t="str">
        <f t="shared" si="1024"/>
        <v>CONVICTION</v>
      </c>
      <c r="BM1384" s="129" t="str">
        <f t="shared" si="1017"/>
        <v>NONE</v>
      </c>
      <c r="BN1384" s="129" t="s">
        <v>566</v>
      </c>
      <c r="BP1384" s="137" t="str">
        <f t="shared" si="1001"/>
        <v>CONVICTION</v>
      </c>
      <c r="BQ1384" s="128" t="str">
        <f t="shared" si="1002"/>
        <v>Y</v>
      </c>
      <c r="BR1384" s="129" t="str">
        <f t="shared" si="1003"/>
        <v>DETAINED</v>
      </c>
      <c r="BS1384" s="129" t="str">
        <f t="shared" si="1004"/>
        <v>DISPOSED</v>
      </c>
      <c r="BT1384" s="129" t="str">
        <f t="shared" si="1005"/>
        <v>Y</v>
      </c>
      <c r="BU1384" s="109">
        <f t="shared" si="1012"/>
        <v>0.99115044247787609</v>
      </c>
      <c r="BV1384" s="109">
        <f t="shared" si="1006"/>
        <v>1</v>
      </c>
      <c r="BW1384" s="109">
        <f t="shared" si="990"/>
        <v>8.8495575221239076E-3</v>
      </c>
      <c r="BX1384" s="111">
        <f t="shared" si="1007"/>
        <v>0</v>
      </c>
      <c r="BY1384" s="129">
        <f t="shared" si="1008"/>
        <v>-112</v>
      </c>
      <c r="BZ1384" s="111">
        <f t="shared" si="1009"/>
        <v>0</v>
      </c>
      <c r="CA1384" s="138">
        <f t="shared" si="1010"/>
        <v>112</v>
      </c>
      <c r="CB1384" s="111" t="e">
        <f t="shared" si="1025"/>
        <v>#VALUE!</v>
      </c>
      <c r="CC1384" s="129">
        <f t="shared" ref="CC1384:CC1394" si="1030">G1384-I1384+1</f>
        <v>112</v>
      </c>
      <c r="CD1384" s="129">
        <f t="shared" ref="CD1384:CD1394" si="1031">G1384-J1384</f>
        <v>0</v>
      </c>
      <c r="CG1384" s="129" t="str">
        <f t="shared" si="1011"/>
        <v>Y</v>
      </c>
      <c r="CI1384" s="129" t="str">
        <f t="shared" si="1013"/>
        <v>91-120 DAYS</v>
      </c>
      <c r="CJ1384" s="137">
        <f t="shared" si="1014"/>
        <v>0</v>
      </c>
      <c r="CK1384" s="129" t="str">
        <f t="shared" si="1015"/>
        <v>Booked</v>
      </c>
    </row>
    <row r="1385" spans="1:89" ht="15" customHeight="1" x14ac:dyDescent="0.25">
      <c r="A1385" s="111">
        <v>493</v>
      </c>
      <c r="B1385" s="128" t="str">
        <f t="shared" si="998"/>
        <v>N</v>
      </c>
      <c r="C1385" s="128" t="str">
        <f t="shared" si="999"/>
        <v>N</v>
      </c>
      <c r="D1385" s="117">
        <v>1998011</v>
      </c>
      <c r="E1385" s="135">
        <f t="shared" si="1000"/>
        <v>1</v>
      </c>
      <c r="F1385" s="124">
        <v>40928</v>
      </c>
      <c r="G1385" s="125">
        <v>40949</v>
      </c>
      <c r="H1385" s="117">
        <v>1998011</v>
      </c>
      <c r="I1385" s="124">
        <v>40929</v>
      </c>
      <c r="J1385" s="124">
        <v>40949</v>
      </c>
      <c r="K1385" s="126">
        <v>15000</v>
      </c>
      <c r="L1385" s="127" t="s">
        <v>571</v>
      </c>
      <c r="N1385" s="129" t="str">
        <f t="shared" si="1029"/>
        <v>N</v>
      </c>
      <c r="O1385" s="128" t="s">
        <v>917</v>
      </c>
      <c r="P1385" s="116" t="s">
        <v>55</v>
      </c>
      <c r="Q1385" s="111">
        <f t="shared" si="1022"/>
        <v>21</v>
      </c>
      <c r="R1385" s="111">
        <f t="shared" si="1021"/>
        <v>22</v>
      </c>
      <c r="S1385" s="129">
        <v>2</v>
      </c>
      <c r="T1385" s="129">
        <v>7</v>
      </c>
      <c r="U1385" s="129">
        <v>2</v>
      </c>
      <c r="W1385" s="111"/>
      <c r="AC1385" s="130"/>
      <c r="AD1385" s="130">
        <v>31008</v>
      </c>
      <c r="AE1385" s="128" t="s">
        <v>32</v>
      </c>
      <c r="AF1385" s="128" t="s">
        <v>33</v>
      </c>
      <c r="AG1385" s="128" t="s">
        <v>872</v>
      </c>
      <c r="AH1385" s="108" t="s">
        <v>31</v>
      </c>
      <c r="AI1385" s="128" t="s">
        <v>42</v>
      </c>
      <c r="AJ1385" s="129" t="s">
        <v>55</v>
      </c>
      <c r="AK1385" s="129">
        <v>3</v>
      </c>
      <c r="AL1385" s="3" t="s">
        <v>55</v>
      </c>
      <c r="AP1385" s="129" t="s">
        <v>121</v>
      </c>
      <c r="AR1385" s="128" t="s">
        <v>44</v>
      </c>
      <c r="AS1385" s="129" t="s">
        <v>122</v>
      </c>
      <c r="BC1385" s="129" t="s">
        <v>38</v>
      </c>
      <c r="BF1385" s="111">
        <f t="shared" si="1023"/>
        <v>21</v>
      </c>
      <c r="BG1385" s="111">
        <f t="shared" si="1028"/>
        <v>21</v>
      </c>
      <c r="BH1385" s="111">
        <f t="shared" si="995"/>
        <v>22</v>
      </c>
      <c r="BI1385" s="111">
        <f t="shared" si="996"/>
        <v>27.103825136612024</v>
      </c>
      <c r="BJ1385" s="129">
        <f t="shared" si="1016"/>
        <v>0</v>
      </c>
      <c r="BK1385" s="129">
        <f t="shared" si="997"/>
        <v>0</v>
      </c>
      <c r="BL1385" s="129" t="str">
        <f t="shared" si="1024"/>
        <v>NO CONVICTION</v>
      </c>
      <c r="BM1385" s="129" t="str">
        <f t="shared" si="1017"/>
        <v>NONE</v>
      </c>
      <c r="BN1385" s="129" t="s">
        <v>566</v>
      </c>
      <c r="BP1385" s="137" t="str">
        <f t="shared" si="1001"/>
        <v>NO CONVICTION</v>
      </c>
      <c r="BQ1385" s="128" t="str">
        <f t="shared" si="1002"/>
        <v>Y</v>
      </c>
      <c r="BR1385" s="129" t="str">
        <f t="shared" si="1003"/>
        <v>DETAINED</v>
      </c>
      <c r="BS1385" s="129" t="str">
        <f t="shared" si="1004"/>
        <v>DISPOSED</v>
      </c>
      <c r="BT1385" s="129" t="str">
        <f t="shared" si="1005"/>
        <v>Y</v>
      </c>
      <c r="BU1385" s="109">
        <f>IFERROR(Q1385/R1385,BR1385)</f>
        <v>0.95454545454545459</v>
      </c>
      <c r="BV1385" s="109">
        <f t="shared" si="1006"/>
        <v>1</v>
      </c>
      <c r="BW1385" s="109">
        <f t="shared" si="990"/>
        <v>4.5454545454545414E-2</v>
      </c>
      <c r="BX1385" s="111">
        <f t="shared" si="1007"/>
        <v>0</v>
      </c>
      <c r="BY1385" s="129">
        <f t="shared" si="1008"/>
        <v>-21</v>
      </c>
      <c r="BZ1385" s="111">
        <f t="shared" si="1009"/>
        <v>0</v>
      </c>
      <c r="CA1385" s="138">
        <f t="shared" si="1010"/>
        <v>21</v>
      </c>
      <c r="CB1385" s="111" t="e">
        <f t="shared" si="1025"/>
        <v>#VALUE!</v>
      </c>
      <c r="CC1385" s="129">
        <f t="shared" si="1030"/>
        <v>21</v>
      </c>
      <c r="CD1385" s="129">
        <f t="shared" si="1031"/>
        <v>0</v>
      </c>
      <c r="CG1385" s="129" t="str">
        <f t="shared" si="1011"/>
        <v>Y</v>
      </c>
      <c r="CI1385" s="129" t="str">
        <f t="shared" si="1013"/>
        <v>11-30 DAYS</v>
      </c>
      <c r="CJ1385" s="137">
        <f t="shared" si="1014"/>
        <v>2</v>
      </c>
      <c r="CK1385" s="129" t="str">
        <f t="shared" si="1015"/>
        <v>Booked</v>
      </c>
    </row>
    <row r="1386" spans="1:89" ht="15.75" customHeight="1" x14ac:dyDescent="0.25">
      <c r="A1386" s="111">
        <v>2391</v>
      </c>
      <c r="B1386" s="128" t="str">
        <f t="shared" si="998"/>
        <v>N</v>
      </c>
      <c r="C1386" s="128" t="str">
        <f t="shared" si="999"/>
        <v>N</v>
      </c>
      <c r="D1386" s="117">
        <v>1998709</v>
      </c>
      <c r="E1386" s="135">
        <f t="shared" si="1000"/>
        <v>5</v>
      </c>
      <c r="F1386" s="124">
        <v>40999</v>
      </c>
      <c r="G1386" s="125">
        <v>41177</v>
      </c>
      <c r="H1386" s="117">
        <v>1998709</v>
      </c>
      <c r="I1386" s="124">
        <v>40999</v>
      </c>
      <c r="J1386" s="124">
        <v>41177</v>
      </c>
      <c r="K1386" s="126">
        <v>20000</v>
      </c>
      <c r="L1386" s="127" t="s">
        <v>571</v>
      </c>
      <c r="N1386" s="129" t="str">
        <f t="shared" si="1029"/>
        <v>N</v>
      </c>
      <c r="O1386" s="128" t="s">
        <v>917</v>
      </c>
      <c r="P1386" s="129" t="s">
        <v>39</v>
      </c>
      <c r="Q1386" s="111">
        <f t="shared" si="1022"/>
        <v>179</v>
      </c>
      <c r="R1386" s="111">
        <f t="shared" si="1021"/>
        <v>179</v>
      </c>
      <c r="S1386" s="129">
        <v>7</v>
      </c>
      <c r="T1386" s="129">
        <v>9</v>
      </c>
      <c r="U1386" s="129">
        <v>4</v>
      </c>
      <c r="W1386" s="111"/>
      <c r="AC1386" s="130"/>
      <c r="AD1386" s="130">
        <v>31042</v>
      </c>
      <c r="AE1386" s="128" t="s">
        <v>32</v>
      </c>
      <c r="AF1386" s="128" t="s">
        <v>40</v>
      </c>
      <c r="AG1386" s="128" t="s">
        <v>41</v>
      </c>
      <c r="AH1386" s="108" t="s">
        <v>41</v>
      </c>
      <c r="AI1386" s="128" t="s">
        <v>118</v>
      </c>
      <c r="AJ1386" s="129" t="s">
        <v>89</v>
      </c>
      <c r="AK1386" s="129">
        <v>9</v>
      </c>
      <c r="AL1386" s="3" t="s">
        <v>992</v>
      </c>
      <c r="AN1386" s="117">
        <v>6</v>
      </c>
      <c r="AP1386" s="129" t="s">
        <v>175</v>
      </c>
      <c r="AR1386" s="128" t="s">
        <v>44</v>
      </c>
      <c r="AS1386" s="129" t="s">
        <v>45</v>
      </c>
      <c r="BC1386" s="129" t="s">
        <v>52</v>
      </c>
      <c r="BF1386" s="111">
        <f t="shared" si="1023"/>
        <v>179</v>
      </c>
      <c r="BG1386" s="111">
        <f t="shared" si="1028"/>
        <v>179</v>
      </c>
      <c r="BH1386" s="111">
        <f t="shared" si="995"/>
        <v>179</v>
      </c>
      <c r="BI1386" s="111">
        <f t="shared" si="996"/>
        <v>27.204918032786885</v>
      </c>
      <c r="BJ1386" s="129">
        <f t="shared" si="1016"/>
        <v>0</v>
      </c>
      <c r="BK1386" s="129">
        <f t="shared" si="997"/>
        <v>0</v>
      </c>
      <c r="BL1386" s="129" t="str">
        <f t="shared" si="1024"/>
        <v>CONVICTION</v>
      </c>
      <c r="BM1386" s="129" t="str">
        <f t="shared" si="1017"/>
        <v>NONE</v>
      </c>
      <c r="BN1386" s="129" t="s">
        <v>566</v>
      </c>
      <c r="BP1386" s="137" t="str">
        <f t="shared" si="1001"/>
        <v>CONVICTION</v>
      </c>
      <c r="BQ1386" s="128" t="str">
        <f t="shared" si="1002"/>
        <v>Y</v>
      </c>
      <c r="BR1386" s="129" t="str">
        <f t="shared" si="1003"/>
        <v>DETAINED</v>
      </c>
      <c r="BS1386" s="129" t="str">
        <f t="shared" si="1004"/>
        <v>DISPOSED</v>
      </c>
      <c r="BT1386" s="129" t="str">
        <f t="shared" si="1005"/>
        <v>Y</v>
      </c>
      <c r="BU1386" s="109">
        <f t="shared" si="1012"/>
        <v>1</v>
      </c>
      <c r="BV1386" s="109">
        <f t="shared" si="1006"/>
        <v>1</v>
      </c>
      <c r="BW1386" s="109">
        <f t="shared" si="990"/>
        <v>0</v>
      </c>
      <c r="BX1386" s="111">
        <f t="shared" si="1007"/>
        <v>0</v>
      </c>
      <c r="BY1386" s="129">
        <f t="shared" si="1008"/>
        <v>-179</v>
      </c>
      <c r="BZ1386" s="111">
        <f t="shared" si="1009"/>
        <v>0</v>
      </c>
      <c r="CA1386" s="138">
        <f t="shared" si="1010"/>
        <v>179</v>
      </c>
      <c r="CB1386" s="111" t="e">
        <f t="shared" si="1025"/>
        <v>#VALUE!</v>
      </c>
      <c r="CC1386" s="129">
        <f t="shared" si="1030"/>
        <v>179</v>
      </c>
      <c r="CD1386" s="129">
        <f t="shared" si="1031"/>
        <v>0</v>
      </c>
      <c r="CG1386" s="129" t="str">
        <f t="shared" si="1011"/>
        <v>Y</v>
      </c>
      <c r="CI1386" s="129" t="str">
        <f t="shared" si="1013"/>
        <v>121-365 DAYS</v>
      </c>
      <c r="CJ1386" s="137">
        <f t="shared" si="1014"/>
        <v>6</v>
      </c>
      <c r="CK1386" s="129" t="str">
        <f t="shared" si="1015"/>
        <v>Booked</v>
      </c>
    </row>
    <row r="1387" spans="1:89" ht="15.75" customHeight="1" x14ac:dyDescent="0.25">
      <c r="A1387" s="111">
        <v>726</v>
      </c>
      <c r="B1387" s="128" t="str">
        <f t="shared" si="998"/>
        <v>N</v>
      </c>
      <c r="C1387" s="128" t="str">
        <f t="shared" si="999"/>
        <v>N</v>
      </c>
      <c r="D1387" s="117">
        <v>1998965</v>
      </c>
      <c r="E1387" s="135">
        <f t="shared" si="1000"/>
        <v>5</v>
      </c>
      <c r="F1387" s="124">
        <v>40937</v>
      </c>
      <c r="G1387" s="125">
        <v>40983</v>
      </c>
      <c r="H1387" s="117">
        <v>1998965</v>
      </c>
      <c r="I1387" s="124">
        <v>40937</v>
      </c>
      <c r="J1387" s="124">
        <v>40983</v>
      </c>
      <c r="K1387" s="126">
        <v>15000</v>
      </c>
      <c r="L1387" s="127" t="s">
        <v>571</v>
      </c>
      <c r="N1387" s="129" t="str">
        <f t="shared" si="1029"/>
        <v>N</v>
      </c>
      <c r="O1387" s="128" t="s">
        <v>917</v>
      </c>
      <c r="P1387" s="129" t="s">
        <v>39</v>
      </c>
      <c r="Q1387" s="111">
        <f t="shared" si="1022"/>
        <v>47</v>
      </c>
      <c r="R1387" s="111">
        <f t="shared" si="1021"/>
        <v>47</v>
      </c>
      <c r="S1387" s="129">
        <v>3</v>
      </c>
      <c r="T1387" s="129">
        <v>0</v>
      </c>
      <c r="U1387" s="129">
        <v>3</v>
      </c>
      <c r="W1387" s="111"/>
      <c r="AB1387" s="131" t="s">
        <v>112</v>
      </c>
      <c r="AC1387" s="130"/>
      <c r="AD1387" s="130">
        <v>31499</v>
      </c>
      <c r="AE1387" s="128" t="s">
        <v>32</v>
      </c>
      <c r="AF1387" s="128" t="s">
        <v>40</v>
      </c>
      <c r="AG1387" s="128" t="s">
        <v>41</v>
      </c>
      <c r="AH1387" s="108" t="s">
        <v>58</v>
      </c>
      <c r="AI1387" s="128" t="s">
        <v>71</v>
      </c>
      <c r="AJ1387" s="129" t="s">
        <v>89</v>
      </c>
      <c r="AK1387" s="129">
        <v>3</v>
      </c>
      <c r="AL1387" s="3" t="s">
        <v>992</v>
      </c>
      <c r="AN1387" s="117">
        <v>6</v>
      </c>
      <c r="AP1387" s="129" t="s">
        <v>43</v>
      </c>
      <c r="AR1387" s="128" t="s">
        <v>44</v>
      </c>
      <c r="AS1387" s="129" t="s">
        <v>45</v>
      </c>
      <c r="BC1387" s="129" t="s">
        <v>38</v>
      </c>
      <c r="BF1387" s="111">
        <f t="shared" si="1023"/>
        <v>47</v>
      </c>
      <c r="BG1387" s="111">
        <f t="shared" si="1028"/>
        <v>47</v>
      </c>
      <c r="BH1387" s="111">
        <f t="shared" si="995"/>
        <v>47</v>
      </c>
      <c r="BI1387" s="111">
        <f t="shared" si="996"/>
        <v>25.78688524590164</v>
      </c>
      <c r="BJ1387" s="129">
        <f t="shared" si="1016"/>
        <v>0</v>
      </c>
      <c r="BK1387" s="129">
        <f t="shared" si="997"/>
        <v>0</v>
      </c>
      <c r="BL1387" s="129" t="str">
        <f t="shared" si="1024"/>
        <v>CONVICTION</v>
      </c>
      <c r="BM1387" s="129" t="str">
        <f t="shared" si="1017"/>
        <v>NONE</v>
      </c>
      <c r="BN1387" s="129" t="s">
        <v>566</v>
      </c>
      <c r="BP1387" s="137" t="str">
        <f t="shared" si="1001"/>
        <v>CONVICTION</v>
      </c>
      <c r="BQ1387" s="128" t="str">
        <f t="shared" si="1002"/>
        <v>Y</v>
      </c>
      <c r="BR1387" s="129" t="str">
        <f t="shared" si="1003"/>
        <v>DETAINED</v>
      </c>
      <c r="BS1387" s="129" t="str">
        <f t="shared" si="1004"/>
        <v>DISPOSED</v>
      </c>
      <c r="BT1387" s="129" t="str">
        <f t="shared" si="1005"/>
        <v>Y</v>
      </c>
      <c r="BU1387" s="109">
        <f t="shared" si="1012"/>
        <v>1</v>
      </c>
      <c r="BV1387" s="109">
        <f t="shared" si="1006"/>
        <v>1</v>
      </c>
      <c r="BW1387" s="109">
        <f t="shared" si="990"/>
        <v>0</v>
      </c>
      <c r="BX1387" s="111">
        <f t="shared" si="1007"/>
        <v>0</v>
      </c>
      <c r="BY1387" s="129">
        <f t="shared" si="1008"/>
        <v>-47</v>
      </c>
      <c r="BZ1387" s="111">
        <f t="shared" si="1009"/>
        <v>0</v>
      </c>
      <c r="CA1387" s="138">
        <f t="shared" si="1010"/>
        <v>47</v>
      </c>
      <c r="CB1387" s="111" t="e">
        <f t="shared" si="1025"/>
        <v>#VALUE!</v>
      </c>
      <c r="CC1387" s="129">
        <f t="shared" si="1030"/>
        <v>47</v>
      </c>
      <c r="CD1387" s="129">
        <f t="shared" si="1031"/>
        <v>0</v>
      </c>
      <c r="CG1387" s="129" t="str">
        <f t="shared" si="1011"/>
        <v>Y</v>
      </c>
      <c r="CI1387" s="129" t="str">
        <f t="shared" si="1013"/>
        <v>31-60 DAYS</v>
      </c>
      <c r="CJ1387" s="137">
        <f t="shared" si="1014"/>
        <v>3</v>
      </c>
      <c r="CK1387" s="129" t="str">
        <f t="shared" si="1015"/>
        <v>Booked</v>
      </c>
    </row>
    <row r="1388" spans="1:89" ht="15.75" customHeight="1" x14ac:dyDescent="0.25">
      <c r="A1388" s="111">
        <v>1497</v>
      </c>
      <c r="B1388" s="128" t="str">
        <f t="shared" si="998"/>
        <v>N</v>
      </c>
      <c r="C1388" s="128" t="str">
        <f t="shared" si="999"/>
        <v>N</v>
      </c>
      <c r="D1388" s="117">
        <v>1998967</v>
      </c>
      <c r="E1388" s="135">
        <f t="shared" si="1000"/>
        <v>6</v>
      </c>
      <c r="F1388" s="124">
        <v>40964</v>
      </c>
      <c r="G1388" s="125">
        <v>41443</v>
      </c>
      <c r="H1388" s="117">
        <v>1998967</v>
      </c>
      <c r="I1388" s="124">
        <v>40964</v>
      </c>
      <c r="J1388" s="125">
        <v>41443</v>
      </c>
      <c r="K1388" s="126" t="s">
        <v>564</v>
      </c>
      <c r="L1388" s="127" t="s">
        <v>564</v>
      </c>
      <c r="N1388" s="129" t="s">
        <v>566</v>
      </c>
      <c r="O1388" s="128" t="s">
        <v>917</v>
      </c>
      <c r="P1388" s="129" t="s">
        <v>39</v>
      </c>
      <c r="Q1388" s="111">
        <f t="shared" si="1022"/>
        <v>480</v>
      </c>
      <c r="R1388" s="111">
        <f t="shared" si="1021"/>
        <v>480</v>
      </c>
      <c r="S1388" s="129">
        <v>2</v>
      </c>
      <c r="T1388" s="129">
        <v>3</v>
      </c>
      <c r="U1388" s="129">
        <v>2</v>
      </c>
      <c r="W1388" s="111"/>
      <c r="AC1388" s="130"/>
      <c r="AD1388" s="130">
        <v>31265</v>
      </c>
      <c r="AE1388" s="128" t="s">
        <v>32</v>
      </c>
      <c r="AF1388" s="128" t="s">
        <v>69</v>
      </c>
      <c r="AG1388" s="128" t="s">
        <v>874</v>
      </c>
      <c r="AH1388" s="108" t="s">
        <v>58</v>
      </c>
      <c r="AI1388" s="128" t="s">
        <v>87</v>
      </c>
      <c r="AJ1388" s="129" t="s">
        <v>89</v>
      </c>
      <c r="AK1388" s="129">
        <v>17</v>
      </c>
      <c r="AL1388" s="3" t="s">
        <v>362</v>
      </c>
      <c r="AM1388" s="117">
        <v>10</v>
      </c>
      <c r="AP1388" s="129" t="s">
        <v>73</v>
      </c>
      <c r="AR1388" s="128" t="s">
        <v>50</v>
      </c>
      <c r="AS1388" s="129" t="s">
        <v>74</v>
      </c>
      <c r="AT1388" s="129" t="s">
        <v>1148</v>
      </c>
      <c r="BC1388" s="129" t="s">
        <v>38</v>
      </c>
      <c r="BF1388" s="111">
        <f t="shared" si="1023"/>
        <v>480</v>
      </c>
      <c r="BG1388" s="111">
        <f t="shared" si="1028"/>
        <v>480</v>
      </c>
      <c r="BH1388" s="111">
        <f t="shared" si="995"/>
        <v>480</v>
      </c>
      <c r="BI1388" s="111">
        <f t="shared" si="996"/>
        <v>26.5</v>
      </c>
      <c r="BJ1388" s="129">
        <f t="shared" si="1016"/>
        <v>0</v>
      </c>
      <c r="BK1388" s="129">
        <f t="shared" si="997"/>
        <v>0</v>
      </c>
      <c r="BL1388" s="129" t="str">
        <f t="shared" si="1024"/>
        <v>CONVICTION</v>
      </c>
      <c r="BM1388" s="129" t="str">
        <f t="shared" si="1017"/>
        <v>NONE</v>
      </c>
      <c r="BN1388" s="129" t="s">
        <v>566</v>
      </c>
      <c r="BP1388" s="137" t="str">
        <f t="shared" si="1001"/>
        <v>CONVICTION</v>
      </c>
      <c r="BQ1388" s="128" t="str">
        <f t="shared" si="1002"/>
        <v>Y</v>
      </c>
      <c r="BR1388" s="129" t="str">
        <f t="shared" si="1003"/>
        <v>DETAINED</v>
      </c>
      <c r="BS1388" s="129" t="str">
        <f t="shared" si="1004"/>
        <v>DISPOSED</v>
      </c>
      <c r="BT1388" s="129" t="str">
        <f t="shared" si="1005"/>
        <v>Y</v>
      </c>
      <c r="BU1388" s="109">
        <f t="shared" si="1012"/>
        <v>1</v>
      </c>
      <c r="BV1388" s="109">
        <f t="shared" si="1006"/>
        <v>1</v>
      </c>
      <c r="BW1388" s="109">
        <f t="shared" si="990"/>
        <v>0</v>
      </c>
      <c r="BX1388" s="111">
        <f t="shared" si="1007"/>
        <v>0</v>
      </c>
      <c r="BY1388" s="129">
        <f t="shared" si="1008"/>
        <v>-480</v>
      </c>
      <c r="BZ1388" s="111">
        <f t="shared" si="1009"/>
        <v>0</v>
      </c>
      <c r="CA1388" s="138">
        <f t="shared" si="1010"/>
        <v>480</v>
      </c>
      <c r="CB1388" s="111" t="e">
        <f t="shared" si="1025"/>
        <v>#VALUE!</v>
      </c>
      <c r="CC1388" s="129">
        <f t="shared" si="1030"/>
        <v>480</v>
      </c>
      <c r="CD1388" s="129">
        <f t="shared" si="1031"/>
        <v>0</v>
      </c>
      <c r="CG1388" s="129" t="str">
        <f t="shared" si="1011"/>
        <v>Y</v>
      </c>
      <c r="CI1388" s="129" t="str">
        <f t="shared" si="1013"/>
        <v xml:space="preserve"> &gt;1YRS&lt;2YRS</v>
      </c>
      <c r="CJ1388" s="137">
        <f t="shared" si="1014"/>
        <v>0</v>
      </c>
      <c r="CK1388" s="129" t="str">
        <f t="shared" si="1015"/>
        <v>Booked</v>
      </c>
    </row>
    <row r="1389" spans="1:89" ht="15" customHeight="1" x14ac:dyDescent="0.25">
      <c r="A1389" s="111">
        <v>438</v>
      </c>
      <c r="B1389" s="128" t="str">
        <f t="shared" si="998"/>
        <v>N</v>
      </c>
      <c r="C1389" s="128" t="str">
        <f t="shared" si="999"/>
        <v>N</v>
      </c>
      <c r="D1389" s="117">
        <v>1999283</v>
      </c>
      <c r="E1389" s="135">
        <f t="shared" si="1000"/>
        <v>6</v>
      </c>
      <c r="F1389" s="124">
        <v>40927</v>
      </c>
      <c r="G1389" s="125">
        <v>40962</v>
      </c>
      <c r="H1389" s="117">
        <v>1999283</v>
      </c>
      <c r="I1389" s="124">
        <v>40927</v>
      </c>
      <c r="J1389" s="124">
        <v>40962</v>
      </c>
      <c r="K1389" s="126">
        <v>15000</v>
      </c>
      <c r="L1389" s="127" t="s">
        <v>571</v>
      </c>
      <c r="N1389" s="129" t="str">
        <f>IF(M1389&gt;1/1/1,"Y","N")</f>
        <v>N</v>
      </c>
      <c r="O1389" s="128" t="s">
        <v>917</v>
      </c>
      <c r="P1389" s="129" t="s">
        <v>39</v>
      </c>
      <c r="Q1389" s="111">
        <f t="shared" si="1022"/>
        <v>36</v>
      </c>
      <c r="R1389" s="111">
        <f t="shared" si="1021"/>
        <v>36</v>
      </c>
      <c r="S1389" s="129">
        <v>5</v>
      </c>
      <c r="T1389" s="129">
        <v>3</v>
      </c>
      <c r="U1389" s="129">
        <v>4</v>
      </c>
      <c r="W1389" s="111"/>
      <c r="AC1389" s="130"/>
      <c r="AD1389" s="130">
        <v>29365</v>
      </c>
      <c r="AE1389" s="128" t="s">
        <v>32</v>
      </c>
      <c r="AF1389" s="128" t="s">
        <v>40</v>
      </c>
      <c r="AG1389" s="128" t="s">
        <v>41</v>
      </c>
      <c r="AH1389" s="108" t="s">
        <v>41</v>
      </c>
      <c r="AI1389" s="128" t="s">
        <v>118</v>
      </c>
      <c r="AJ1389" s="129" t="s">
        <v>89</v>
      </c>
      <c r="AK1389" s="129">
        <v>2</v>
      </c>
      <c r="AL1389" s="3" t="s">
        <v>362</v>
      </c>
      <c r="AM1389" s="117">
        <v>1</v>
      </c>
      <c r="AP1389" s="129" t="s">
        <v>60</v>
      </c>
      <c r="AR1389" s="128" t="s">
        <v>44</v>
      </c>
      <c r="AS1389" s="129" t="s">
        <v>61</v>
      </c>
      <c r="BC1389" s="129" t="s">
        <v>38</v>
      </c>
      <c r="BF1389" s="111">
        <f t="shared" si="1023"/>
        <v>36</v>
      </c>
      <c r="BG1389" s="111">
        <f t="shared" si="1028"/>
        <v>36</v>
      </c>
      <c r="BH1389" s="111">
        <f t="shared" si="995"/>
        <v>36</v>
      </c>
      <c r="BI1389" s="111">
        <f t="shared" si="996"/>
        <v>31.590163934426229</v>
      </c>
      <c r="BJ1389" s="129">
        <f t="shared" si="1016"/>
        <v>0</v>
      </c>
      <c r="BK1389" s="129">
        <f t="shared" si="997"/>
        <v>0</v>
      </c>
      <c r="BL1389" s="129" t="str">
        <f t="shared" si="1024"/>
        <v>CONVICTION</v>
      </c>
      <c r="BM1389" s="129" t="str">
        <f t="shared" si="1017"/>
        <v>NONE</v>
      </c>
      <c r="BN1389" s="129" t="s">
        <v>566</v>
      </c>
      <c r="BP1389" s="137" t="str">
        <f t="shared" si="1001"/>
        <v>CONVICTION</v>
      </c>
      <c r="BQ1389" s="128" t="str">
        <f t="shared" si="1002"/>
        <v>Y</v>
      </c>
      <c r="BR1389" s="129" t="str">
        <f t="shared" si="1003"/>
        <v>DETAINED</v>
      </c>
      <c r="BS1389" s="129" t="str">
        <f t="shared" si="1004"/>
        <v>DISPOSED</v>
      </c>
      <c r="BT1389" s="129" t="str">
        <f t="shared" si="1005"/>
        <v>Y</v>
      </c>
      <c r="BU1389" s="109">
        <f t="shared" si="1012"/>
        <v>1</v>
      </c>
      <c r="BV1389" s="109">
        <f t="shared" si="1006"/>
        <v>1</v>
      </c>
      <c r="BW1389" s="109">
        <f t="shared" si="990"/>
        <v>0</v>
      </c>
      <c r="BX1389" s="111">
        <f t="shared" si="1007"/>
        <v>0</v>
      </c>
      <c r="BY1389" s="129">
        <f t="shared" si="1008"/>
        <v>-36</v>
      </c>
      <c r="BZ1389" s="111">
        <f t="shared" si="1009"/>
        <v>0</v>
      </c>
      <c r="CA1389" s="138">
        <f t="shared" si="1010"/>
        <v>36</v>
      </c>
      <c r="CB1389" s="111" t="e">
        <f t="shared" si="1025"/>
        <v>#VALUE!</v>
      </c>
      <c r="CC1389" s="129">
        <f t="shared" si="1030"/>
        <v>36</v>
      </c>
      <c r="CD1389" s="129">
        <f t="shared" si="1031"/>
        <v>0</v>
      </c>
      <c r="CG1389" s="129" t="str">
        <f t="shared" si="1011"/>
        <v>Y</v>
      </c>
      <c r="CI1389" s="129" t="str">
        <f t="shared" si="1013"/>
        <v>31-60 DAYS</v>
      </c>
      <c r="CJ1389" s="137">
        <f t="shared" si="1014"/>
        <v>3</v>
      </c>
      <c r="CK1389" s="129" t="str">
        <f t="shared" si="1015"/>
        <v>Booked</v>
      </c>
    </row>
    <row r="1390" spans="1:89" ht="15" customHeight="1" x14ac:dyDescent="0.25">
      <c r="A1390" s="111">
        <v>633</v>
      </c>
      <c r="B1390" s="128" t="str">
        <f t="shared" si="998"/>
        <v>N</v>
      </c>
      <c r="C1390" s="128" t="str">
        <f t="shared" si="999"/>
        <v>N</v>
      </c>
      <c r="D1390" s="117">
        <v>2000125</v>
      </c>
      <c r="E1390" s="135">
        <f t="shared" si="1000"/>
        <v>6</v>
      </c>
      <c r="F1390" s="124">
        <v>40933</v>
      </c>
      <c r="G1390" s="125">
        <v>41074</v>
      </c>
      <c r="H1390" s="117">
        <v>2000125</v>
      </c>
      <c r="I1390" s="124">
        <v>40934</v>
      </c>
      <c r="J1390" s="124">
        <v>41074</v>
      </c>
      <c r="K1390" s="126">
        <v>30000</v>
      </c>
      <c r="L1390" s="129" t="s">
        <v>572</v>
      </c>
      <c r="N1390" s="129" t="str">
        <f>IF(M1390&gt;1/1/1,"Y","N")</f>
        <v>N</v>
      </c>
      <c r="O1390" s="128" t="s">
        <v>917</v>
      </c>
      <c r="P1390" s="129" t="s">
        <v>39</v>
      </c>
      <c r="Q1390" s="111">
        <f t="shared" si="1022"/>
        <v>141</v>
      </c>
      <c r="R1390" s="111">
        <f t="shared" si="1021"/>
        <v>142</v>
      </c>
      <c r="S1390" s="129">
        <v>2</v>
      </c>
      <c r="T1390" s="129">
        <v>4</v>
      </c>
      <c r="U1390" s="129">
        <v>2</v>
      </c>
      <c r="W1390" s="111"/>
      <c r="AC1390" s="130"/>
      <c r="AD1390" s="130">
        <v>30990</v>
      </c>
      <c r="AE1390" s="128" t="s">
        <v>32</v>
      </c>
      <c r="AF1390" s="128" t="s">
        <v>33</v>
      </c>
      <c r="AG1390" s="128" t="s">
        <v>872</v>
      </c>
      <c r="AH1390" s="108" t="s">
        <v>31</v>
      </c>
      <c r="AI1390" s="128" t="s">
        <v>118</v>
      </c>
      <c r="AJ1390" s="129" t="s">
        <v>89</v>
      </c>
      <c r="AK1390" s="129">
        <v>4</v>
      </c>
      <c r="AL1390" s="3" t="s">
        <v>362</v>
      </c>
      <c r="AM1390" s="117">
        <v>6</v>
      </c>
      <c r="AP1390" s="129" t="s">
        <v>234</v>
      </c>
      <c r="AR1390" s="128" t="s">
        <v>50</v>
      </c>
      <c r="AS1390" s="129" t="s">
        <v>45</v>
      </c>
      <c r="BC1390" s="129" t="s">
        <v>38</v>
      </c>
      <c r="BF1390" s="111">
        <f t="shared" si="1023"/>
        <v>141</v>
      </c>
      <c r="BG1390" s="111">
        <f t="shared" si="1028"/>
        <v>141</v>
      </c>
      <c r="BH1390" s="111">
        <f t="shared" si="995"/>
        <v>142</v>
      </c>
      <c r="BI1390" s="111">
        <f t="shared" si="996"/>
        <v>27.166666666666668</v>
      </c>
      <c r="BJ1390" s="129">
        <f t="shared" si="1016"/>
        <v>0</v>
      </c>
      <c r="BK1390" s="129">
        <f t="shared" si="997"/>
        <v>0</v>
      </c>
      <c r="BL1390" s="129" t="str">
        <f t="shared" si="1024"/>
        <v>CONVICTION</v>
      </c>
      <c r="BM1390" s="129" t="str">
        <f t="shared" si="1017"/>
        <v>NONE</v>
      </c>
      <c r="BN1390" s="129" t="s">
        <v>566</v>
      </c>
      <c r="BP1390" s="137" t="str">
        <f t="shared" si="1001"/>
        <v>CONVICTION</v>
      </c>
      <c r="BQ1390" s="128" t="str">
        <f t="shared" si="1002"/>
        <v>Y</v>
      </c>
      <c r="BR1390" s="129" t="str">
        <f t="shared" si="1003"/>
        <v>DETAINED</v>
      </c>
      <c r="BS1390" s="129" t="str">
        <f t="shared" si="1004"/>
        <v>DISPOSED</v>
      </c>
      <c r="BT1390" s="129" t="str">
        <f t="shared" si="1005"/>
        <v>Y</v>
      </c>
      <c r="BU1390" s="109">
        <f t="shared" si="1012"/>
        <v>0.99295774647887325</v>
      </c>
      <c r="BV1390" s="109">
        <f t="shared" si="1006"/>
        <v>1</v>
      </c>
      <c r="BW1390" s="109">
        <f t="shared" si="990"/>
        <v>7.0422535211267512E-3</v>
      </c>
      <c r="BX1390" s="111">
        <f t="shared" si="1007"/>
        <v>0</v>
      </c>
      <c r="BY1390" s="129">
        <f t="shared" si="1008"/>
        <v>-141</v>
      </c>
      <c r="BZ1390" s="111">
        <f t="shared" si="1009"/>
        <v>0</v>
      </c>
      <c r="CA1390" s="138">
        <f t="shared" si="1010"/>
        <v>141</v>
      </c>
      <c r="CB1390" s="111" t="e">
        <f t="shared" si="1025"/>
        <v>#VALUE!</v>
      </c>
      <c r="CC1390" s="129">
        <f t="shared" si="1030"/>
        <v>141</v>
      </c>
      <c r="CD1390" s="129">
        <f t="shared" si="1031"/>
        <v>0</v>
      </c>
      <c r="CG1390" s="129" t="str">
        <f t="shared" si="1011"/>
        <v>Y</v>
      </c>
      <c r="CI1390" s="129" t="str">
        <f t="shared" si="1013"/>
        <v>121-365 DAYS</v>
      </c>
      <c r="CJ1390" s="137">
        <f t="shared" si="1014"/>
        <v>6</v>
      </c>
      <c r="CK1390" s="129" t="str">
        <f t="shared" si="1015"/>
        <v>Booked</v>
      </c>
    </row>
    <row r="1391" spans="1:89" ht="15.75" customHeight="1" x14ac:dyDescent="0.25">
      <c r="A1391" s="111">
        <v>3116</v>
      </c>
      <c r="B1391" s="128" t="str">
        <f t="shared" si="998"/>
        <v>N</v>
      </c>
      <c r="C1391" s="128" t="str">
        <f t="shared" si="999"/>
        <v>N</v>
      </c>
      <c r="D1391" s="117">
        <v>2001238</v>
      </c>
      <c r="E1391" s="135">
        <f t="shared" si="1000"/>
        <v>2</v>
      </c>
      <c r="F1391" s="124">
        <v>41024</v>
      </c>
      <c r="G1391" s="125">
        <v>41025</v>
      </c>
      <c r="H1391" s="117">
        <v>2001238</v>
      </c>
      <c r="I1391" s="124">
        <v>41024</v>
      </c>
      <c r="J1391" s="124">
        <v>41025</v>
      </c>
      <c r="K1391" s="126">
        <v>5000</v>
      </c>
      <c r="L1391" s="127" t="s">
        <v>569</v>
      </c>
      <c r="N1391" s="129" t="str">
        <f>IF(M1391&gt;1/1/1,"Y","N")</f>
        <v>N</v>
      </c>
      <c r="O1391" s="128" t="s">
        <v>917</v>
      </c>
      <c r="P1391" s="129" t="s">
        <v>589</v>
      </c>
      <c r="Q1391" s="111">
        <f t="shared" si="1022"/>
        <v>2</v>
      </c>
      <c r="R1391" s="111">
        <f t="shared" si="1021"/>
        <v>2</v>
      </c>
      <c r="S1391" s="129">
        <v>1</v>
      </c>
      <c r="T1391" s="129">
        <v>1</v>
      </c>
      <c r="U1391" s="129">
        <v>1</v>
      </c>
      <c r="W1391" s="111"/>
      <c r="AC1391" s="130"/>
      <c r="AD1391" s="130">
        <v>30465</v>
      </c>
      <c r="AE1391" s="128" t="s">
        <v>32</v>
      </c>
      <c r="AF1391" s="128" t="s">
        <v>40</v>
      </c>
      <c r="AG1391" s="128" t="s">
        <v>41</v>
      </c>
      <c r="AH1391" s="108" t="s">
        <v>41</v>
      </c>
      <c r="AI1391" s="128" t="s">
        <v>114</v>
      </c>
      <c r="AJ1391" s="129" t="s">
        <v>48</v>
      </c>
      <c r="AK1391" s="129">
        <v>1</v>
      </c>
      <c r="AL1391" s="3" t="s">
        <v>48</v>
      </c>
      <c r="AP1391" s="129" t="s">
        <v>43</v>
      </c>
      <c r="AR1391" s="128" t="s">
        <v>44</v>
      </c>
      <c r="AS1391" s="129" t="s">
        <v>45</v>
      </c>
      <c r="AT1391" s="129" t="s">
        <v>526</v>
      </c>
      <c r="BC1391" s="129" t="s">
        <v>38</v>
      </c>
      <c r="BF1391" s="111">
        <f t="shared" si="1023"/>
        <v>2</v>
      </c>
      <c r="BG1391" s="111">
        <f t="shared" si="1028"/>
        <v>2</v>
      </c>
      <c r="BH1391" s="111">
        <f t="shared" si="995"/>
        <v>2</v>
      </c>
      <c r="BI1391" s="111">
        <f t="shared" si="996"/>
        <v>28.849726775956285</v>
      </c>
      <c r="BJ1391" s="129">
        <f t="shared" si="1016"/>
        <v>0</v>
      </c>
      <c r="BK1391" s="129">
        <f t="shared" si="997"/>
        <v>0</v>
      </c>
      <c r="BL1391" s="129" t="str">
        <f t="shared" si="1024"/>
        <v>DEFERRED</v>
      </c>
      <c r="BM1391" s="129" t="str">
        <f t="shared" si="1017"/>
        <v>NONE</v>
      </c>
      <c r="BN1391" s="129" t="s">
        <v>566</v>
      </c>
      <c r="BP1391" s="137" t="str">
        <f t="shared" si="1001"/>
        <v>DEFERRED</v>
      </c>
      <c r="BQ1391" s="128" t="str">
        <f t="shared" si="1002"/>
        <v>Y</v>
      </c>
      <c r="BR1391" s="129" t="str">
        <f t="shared" si="1003"/>
        <v>DETAINED</v>
      </c>
      <c r="BS1391" s="129" t="str">
        <f t="shared" si="1004"/>
        <v>DISPOSED</v>
      </c>
      <c r="BT1391" s="129" t="str">
        <f t="shared" si="1005"/>
        <v>Y</v>
      </c>
      <c r="BU1391" s="109">
        <f t="shared" si="1012"/>
        <v>1</v>
      </c>
      <c r="BV1391" s="109">
        <f t="shared" si="1006"/>
        <v>1</v>
      </c>
      <c r="BW1391" s="109">
        <f t="shared" si="990"/>
        <v>0</v>
      </c>
      <c r="BX1391" s="111">
        <f t="shared" si="1007"/>
        <v>0</v>
      </c>
      <c r="BY1391" s="129">
        <f t="shared" si="1008"/>
        <v>-2</v>
      </c>
      <c r="BZ1391" s="111">
        <f t="shared" si="1009"/>
        <v>0</v>
      </c>
      <c r="CA1391" s="138">
        <f t="shared" si="1010"/>
        <v>2</v>
      </c>
      <c r="CB1391" s="111" t="e">
        <f t="shared" si="1025"/>
        <v>#VALUE!</v>
      </c>
      <c r="CC1391" s="129">
        <f t="shared" si="1030"/>
        <v>2</v>
      </c>
      <c r="CD1391" s="129">
        <f t="shared" si="1031"/>
        <v>0</v>
      </c>
      <c r="CG1391" s="129" t="str">
        <f t="shared" si="1011"/>
        <v>Y</v>
      </c>
      <c r="CI1391" s="129" t="str">
        <f t="shared" si="1013"/>
        <v>0-10 DAYS</v>
      </c>
      <c r="CJ1391" s="137">
        <f t="shared" si="1014"/>
        <v>1</v>
      </c>
      <c r="CK1391" s="129" t="str">
        <f t="shared" si="1015"/>
        <v>Booked</v>
      </c>
    </row>
    <row r="1392" spans="1:89" ht="15" customHeight="1" x14ac:dyDescent="0.25">
      <c r="A1392" s="111">
        <v>357</v>
      </c>
      <c r="B1392" s="128" t="str">
        <f t="shared" si="998"/>
        <v>N</v>
      </c>
      <c r="C1392" s="128" t="str">
        <f t="shared" si="999"/>
        <v>N</v>
      </c>
      <c r="D1392" s="117">
        <v>2001543</v>
      </c>
      <c r="E1392" s="135">
        <f t="shared" si="1000"/>
        <v>6</v>
      </c>
      <c r="F1392" s="124">
        <v>40923</v>
      </c>
      <c r="G1392" s="125">
        <v>40990</v>
      </c>
      <c r="H1392" s="117">
        <v>2001543</v>
      </c>
      <c r="I1392" s="124">
        <v>40923</v>
      </c>
      <c r="J1392" s="124">
        <v>40990</v>
      </c>
      <c r="K1392" s="126" t="s">
        <v>564</v>
      </c>
      <c r="L1392" s="127" t="s">
        <v>564</v>
      </c>
      <c r="N1392" s="129" t="s">
        <v>566</v>
      </c>
      <c r="O1392" s="128" t="s">
        <v>917</v>
      </c>
      <c r="P1392" s="129" t="s">
        <v>39</v>
      </c>
      <c r="Q1392" s="111">
        <f t="shared" si="1022"/>
        <v>68</v>
      </c>
      <c r="R1392" s="111">
        <f t="shared" si="1021"/>
        <v>68</v>
      </c>
      <c r="S1392" s="129">
        <v>0</v>
      </c>
      <c r="T1392" s="129">
        <v>5</v>
      </c>
      <c r="W1392" s="111"/>
      <c r="AC1392" s="130"/>
      <c r="AD1392" s="130">
        <v>27618</v>
      </c>
      <c r="AE1392" s="128" t="s">
        <v>32</v>
      </c>
      <c r="AF1392" s="128" t="s">
        <v>40</v>
      </c>
      <c r="AG1392" s="128" t="s">
        <v>41</v>
      </c>
      <c r="AH1392" s="108" t="s">
        <v>41</v>
      </c>
      <c r="AI1392" s="128" t="s">
        <v>72</v>
      </c>
      <c r="AJ1392" s="129" t="s">
        <v>89</v>
      </c>
      <c r="AK1392" s="129">
        <v>4</v>
      </c>
      <c r="AL1392" s="3" t="s">
        <v>362</v>
      </c>
      <c r="AM1392" s="117">
        <v>2</v>
      </c>
      <c r="AP1392" s="129" t="s">
        <v>66</v>
      </c>
      <c r="AR1392" s="128" t="s">
        <v>67</v>
      </c>
      <c r="AS1392" s="129" t="s">
        <v>68</v>
      </c>
      <c r="BC1392" s="129" t="s">
        <v>38</v>
      </c>
      <c r="BF1392" s="111">
        <f t="shared" si="1023"/>
        <v>68</v>
      </c>
      <c r="BG1392" s="111">
        <f t="shared" si="1028"/>
        <v>68</v>
      </c>
      <c r="BH1392" s="111">
        <f t="shared" si="995"/>
        <v>68</v>
      </c>
      <c r="BI1392" s="111">
        <f t="shared" si="996"/>
        <v>36.352459016393439</v>
      </c>
      <c r="BJ1392" s="129">
        <f t="shared" si="1016"/>
        <v>0</v>
      </c>
      <c r="BK1392" s="129">
        <f t="shared" si="997"/>
        <v>0</v>
      </c>
      <c r="BL1392" s="129" t="str">
        <f t="shared" si="1024"/>
        <v>CONVICTION</v>
      </c>
      <c r="BM1392" s="129" t="str">
        <f t="shared" si="1017"/>
        <v>NONE</v>
      </c>
      <c r="BN1392" s="129" t="s">
        <v>566</v>
      </c>
      <c r="BP1392" s="137" t="str">
        <f t="shared" si="1001"/>
        <v>CONVICTION</v>
      </c>
      <c r="BQ1392" s="128" t="str">
        <f t="shared" si="1002"/>
        <v>Y</v>
      </c>
      <c r="BR1392" s="129" t="str">
        <f t="shared" si="1003"/>
        <v>DETAINED</v>
      </c>
      <c r="BS1392" s="129" t="str">
        <f t="shared" si="1004"/>
        <v>DISPOSED</v>
      </c>
      <c r="BT1392" s="129" t="str">
        <f t="shared" si="1005"/>
        <v>N</v>
      </c>
      <c r="BU1392" s="109">
        <f t="shared" si="1012"/>
        <v>1</v>
      </c>
      <c r="BV1392" s="109">
        <f t="shared" si="1006"/>
        <v>1</v>
      </c>
      <c r="BW1392" s="109">
        <f t="shared" si="990"/>
        <v>0</v>
      </c>
      <c r="BX1392" s="111">
        <f t="shared" si="1007"/>
        <v>0</v>
      </c>
      <c r="BY1392" s="129">
        <f t="shared" si="1008"/>
        <v>-68</v>
      </c>
      <c r="BZ1392" s="111">
        <f t="shared" si="1009"/>
        <v>0</v>
      </c>
      <c r="CA1392" s="138">
        <f t="shared" si="1010"/>
        <v>68</v>
      </c>
      <c r="CB1392" s="111" t="e">
        <f t="shared" si="1025"/>
        <v>#VALUE!</v>
      </c>
      <c r="CC1392" s="129">
        <f t="shared" si="1030"/>
        <v>68</v>
      </c>
      <c r="CD1392" s="129">
        <f t="shared" si="1031"/>
        <v>0</v>
      </c>
      <c r="CG1392" s="129" t="str">
        <f t="shared" si="1011"/>
        <v>Y</v>
      </c>
      <c r="CI1392" s="129" t="str">
        <f t="shared" si="1013"/>
        <v>61-90 DAYS</v>
      </c>
      <c r="CJ1392" s="137">
        <f t="shared" si="1014"/>
        <v>4</v>
      </c>
      <c r="CK1392" s="129" t="str">
        <f t="shared" si="1015"/>
        <v>Booked</v>
      </c>
    </row>
    <row r="1393" spans="1:89" ht="15.75" customHeight="1" x14ac:dyDescent="0.25">
      <c r="A1393" s="111">
        <v>144</v>
      </c>
      <c r="B1393" s="128" t="str">
        <f t="shared" si="998"/>
        <v>N</v>
      </c>
      <c r="C1393" s="128" t="str">
        <f t="shared" si="999"/>
        <v>N</v>
      </c>
      <c r="D1393" s="117">
        <v>2001643</v>
      </c>
      <c r="E1393" s="135">
        <f t="shared" si="1000"/>
        <v>4</v>
      </c>
      <c r="F1393" s="124">
        <v>40915</v>
      </c>
      <c r="G1393" s="125">
        <v>40917</v>
      </c>
      <c r="H1393" s="117">
        <v>2001643</v>
      </c>
      <c r="I1393" s="124">
        <v>40915</v>
      </c>
      <c r="J1393" s="124">
        <v>40917</v>
      </c>
      <c r="K1393" s="126">
        <v>15000</v>
      </c>
      <c r="L1393" s="127" t="s">
        <v>571</v>
      </c>
      <c r="N1393" s="129" t="str">
        <f>IF(M1393&gt;1/1/1,"Y","N")</f>
        <v>N</v>
      </c>
      <c r="O1393" s="128" t="s">
        <v>917</v>
      </c>
      <c r="P1393" s="129" t="s">
        <v>39</v>
      </c>
      <c r="Q1393" s="111">
        <f t="shared" si="1022"/>
        <v>3</v>
      </c>
      <c r="R1393" s="111">
        <f t="shared" si="1021"/>
        <v>3</v>
      </c>
      <c r="S1393" s="129">
        <v>1</v>
      </c>
      <c r="T1393" s="129">
        <v>0</v>
      </c>
      <c r="U1393" s="129">
        <v>1</v>
      </c>
      <c r="W1393" s="111"/>
      <c r="AC1393" s="130"/>
      <c r="AD1393" s="130">
        <v>27815</v>
      </c>
      <c r="AE1393" s="128" t="s">
        <v>32</v>
      </c>
      <c r="AF1393" s="128" t="s">
        <v>33</v>
      </c>
      <c r="AG1393" s="128" t="s">
        <v>872</v>
      </c>
      <c r="AH1393" s="108" t="s">
        <v>58</v>
      </c>
      <c r="AI1393" s="128" t="s">
        <v>70</v>
      </c>
      <c r="AJ1393" s="129" t="s">
        <v>89</v>
      </c>
      <c r="AK1393" s="129">
        <v>1</v>
      </c>
      <c r="AL1393" s="3" t="s">
        <v>991</v>
      </c>
      <c r="AO1393" s="128">
        <v>365</v>
      </c>
      <c r="AP1393" s="129" t="s">
        <v>155</v>
      </c>
      <c r="AR1393" s="128" t="s">
        <v>44</v>
      </c>
      <c r="AS1393" s="129" t="s">
        <v>64</v>
      </c>
      <c r="BC1393" s="129" t="s">
        <v>38</v>
      </c>
      <c r="BF1393" s="111">
        <f t="shared" si="1023"/>
        <v>3</v>
      </c>
      <c r="BG1393" s="111">
        <f t="shared" si="1028"/>
        <v>3</v>
      </c>
      <c r="BH1393" s="111">
        <f t="shared" si="995"/>
        <v>3</v>
      </c>
      <c r="BI1393" s="111">
        <f t="shared" si="996"/>
        <v>35.792349726775953</v>
      </c>
      <c r="BJ1393" s="129">
        <f t="shared" si="1016"/>
        <v>0</v>
      </c>
      <c r="BK1393" s="129">
        <f t="shared" si="997"/>
        <v>0</v>
      </c>
      <c r="BL1393" s="129" t="str">
        <f t="shared" si="1024"/>
        <v>CONVICTION</v>
      </c>
      <c r="BM1393" s="129" t="str">
        <f t="shared" si="1017"/>
        <v>NONE</v>
      </c>
      <c r="BN1393" s="129" t="s">
        <v>566</v>
      </c>
      <c r="BP1393" s="137" t="str">
        <f t="shared" si="1001"/>
        <v>CONVICTION</v>
      </c>
      <c r="BQ1393" s="128" t="str">
        <f t="shared" si="1002"/>
        <v>Y</v>
      </c>
      <c r="BR1393" s="129" t="str">
        <f t="shared" si="1003"/>
        <v>DETAINED</v>
      </c>
      <c r="BS1393" s="129" t="str">
        <f t="shared" si="1004"/>
        <v>DISPOSED</v>
      </c>
      <c r="BT1393" s="129" t="str">
        <f t="shared" si="1005"/>
        <v>Y</v>
      </c>
      <c r="BU1393" s="109">
        <f t="shared" si="1012"/>
        <v>1</v>
      </c>
      <c r="BV1393" s="109">
        <f t="shared" si="1006"/>
        <v>1</v>
      </c>
      <c r="BW1393" s="109">
        <f t="shared" si="990"/>
        <v>0</v>
      </c>
      <c r="BX1393" s="111">
        <f t="shared" si="1007"/>
        <v>0</v>
      </c>
      <c r="BY1393" s="129">
        <f t="shared" si="1008"/>
        <v>-3</v>
      </c>
      <c r="BZ1393" s="111">
        <f t="shared" si="1009"/>
        <v>0</v>
      </c>
      <c r="CA1393" s="138">
        <f t="shared" si="1010"/>
        <v>3</v>
      </c>
      <c r="CB1393" s="111" t="e">
        <f t="shared" si="1025"/>
        <v>#VALUE!</v>
      </c>
      <c r="CC1393" s="129">
        <f t="shared" si="1030"/>
        <v>3</v>
      </c>
      <c r="CD1393" s="129">
        <f t="shared" si="1031"/>
        <v>0</v>
      </c>
      <c r="CG1393" s="129" t="str">
        <f t="shared" si="1011"/>
        <v>Y</v>
      </c>
      <c r="CI1393" s="129" t="str">
        <f t="shared" si="1013"/>
        <v>0-10 DAYS</v>
      </c>
      <c r="CJ1393" s="137">
        <f t="shared" si="1014"/>
        <v>1</v>
      </c>
      <c r="CK1393" s="129" t="str">
        <f t="shared" si="1015"/>
        <v>Booked</v>
      </c>
    </row>
    <row r="1394" spans="1:89" ht="15.75" customHeight="1" x14ac:dyDescent="0.25">
      <c r="A1394" s="111">
        <v>1614</v>
      </c>
      <c r="B1394" s="128" t="str">
        <f t="shared" si="998"/>
        <v>N</v>
      </c>
      <c r="C1394" s="128" t="str">
        <f t="shared" si="999"/>
        <v>N</v>
      </c>
      <c r="D1394" s="117">
        <v>2001944</v>
      </c>
      <c r="E1394" s="135">
        <f t="shared" si="1000"/>
        <v>5</v>
      </c>
      <c r="F1394" s="124">
        <v>40968</v>
      </c>
      <c r="G1394" s="125">
        <v>41114</v>
      </c>
      <c r="H1394" s="117">
        <v>2001944</v>
      </c>
      <c r="I1394" s="124">
        <v>40969</v>
      </c>
      <c r="J1394" s="124">
        <v>41114</v>
      </c>
      <c r="K1394" s="126">
        <v>30000</v>
      </c>
      <c r="L1394" s="129" t="s">
        <v>572</v>
      </c>
      <c r="N1394" s="129" t="str">
        <f>IF(M1394&gt;1/1/1,"Y","N")</f>
        <v>N</v>
      </c>
      <c r="O1394" s="128" t="s">
        <v>917</v>
      </c>
      <c r="P1394" s="129" t="s">
        <v>39</v>
      </c>
      <c r="Q1394" s="111">
        <f t="shared" si="1022"/>
        <v>146</v>
      </c>
      <c r="R1394" s="111">
        <f t="shared" si="1021"/>
        <v>147</v>
      </c>
      <c r="S1394" s="129">
        <v>1</v>
      </c>
      <c r="T1394" s="129">
        <v>7</v>
      </c>
      <c r="W1394" s="111"/>
      <c r="AC1394" s="130"/>
      <c r="AD1394" s="130">
        <v>31506</v>
      </c>
      <c r="AE1394" s="128" t="s">
        <v>32</v>
      </c>
      <c r="AF1394" s="128" t="s">
        <v>33</v>
      </c>
      <c r="AG1394" s="128" t="s">
        <v>872</v>
      </c>
      <c r="AH1394" s="108" t="s">
        <v>58</v>
      </c>
      <c r="AI1394" s="128" t="s">
        <v>42</v>
      </c>
      <c r="AJ1394" s="129" t="s">
        <v>89</v>
      </c>
      <c r="AK1394" s="129">
        <v>6</v>
      </c>
      <c r="AL1394" s="3" t="s">
        <v>992</v>
      </c>
      <c r="AN1394" s="117">
        <v>6</v>
      </c>
      <c r="AP1394" s="129" t="s">
        <v>206</v>
      </c>
      <c r="AR1394" s="128" t="s">
        <v>92</v>
      </c>
      <c r="AS1394" s="129" t="s">
        <v>106</v>
      </c>
      <c r="BC1394" s="129" t="s">
        <v>99</v>
      </c>
      <c r="BF1394" s="111">
        <f t="shared" si="1023"/>
        <v>146</v>
      </c>
      <c r="BG1394" s="111">
        <f t="shared" si="1028"/>
        <v>146</v>
      </c>
      <c r="BH1394" s="111">
        <f t="shared" si="995"/>
        <v>147</v>
      </c>
      <c r="BI1394" s="111">
        <f t="shared" si="996"/>
        <v>25.852459016393443</v>
      </c>
      <c r="BJ1394" s="129">
        <f t="shared" si="1016"/>
        <v>0</v>
      </c>
      <c r="BK1394" s="129">
        <f t="shared" si="997"/>
        <v>0</v>
      </c>
      <c r="BL1394" s="129" t="str">
        <f t="shared" si="1024"/>
        <v>CONVICTION</v>
      </c>
      <c r="BM1394" s="129" t="str">
        <f t="shared" si="1017"/>
        <v>NONE</v>
      </c>
      <c r="BN1394" s="129" t="s">
        <v>566</v>
      </c>
      <c r="BP1394" s="137" t="str">
        <f t="shared" si="1001"/>
        <v>CONVICTION</v>
      </c>
      <c r="BQ1394" s="128" t="str">
        <f t="shared" si="1002"/>
        <v>Y</v>
      </c>
      <c r="BR1394" s="129" t="str">
        <f t="shared" si="1003"/>
        <v>DETAINED</v>
      </c>
      <c r="BS1394" s="129" t="str">
        <f t="shared" si="1004"/>
        <v>DISPOSED</v>
      </c>
      <c r="BT1394" s="129" t="str">
        <f t="shared" si="1005"/>
        <v>Y</v>
      </c>
      <c r="BU1394" s="109">
        <f t="shared" si="1012"/>
        <v>0.99319727891156462</v>
      </c>
      <c r="BV1394" s="109">
        <f t="shared" si="1006"/>
        <v>1</v>
      </c>
      <c r="BW1394" s="109">
        <f t="shared" si="990"/>
        <v>6.8027210884353817E-3</v>
      </c>
      <c r="BX1394" s="111">
        <f t="shared" si="1007"/>
        <v>0</v>
      </c>
      <c r="BY1394" s="129">
        <f t="shared" si="1008"/>
        <v>-146</v>
      </c>
      <c r="BZ1394" s="111">
        <f t="shared" si="1009"/>
        <v>0</v>
      </c>
      <c r="CA1394" s="138">
        <f t="shared" si="1010"/>
        <v>146</v>
      </c>
      <c r="CB1394" s="111" t="e">
        <f t="shared" si="1025"/>
        <v>#VALUE!</v>
      </c>
      <c r="CC1394" s="129">
        <f t="shared" si="1030"/>
        <v>146</v>
      </c>
      <c r="CD1394" s="129">
        <f t="shared" si="1031"/>
        <v>0</v>
      </c>
      <c r="CG1394" s="129" t="str">
        <f t="shared" si="1011"/>
        <v>Y</v>
      </c>
      <c r="CI1394" s="129" t="str">
        <f t="shared" si="1013"/>
        <v>121-365 DAYS</v>
      </c>
      <c r="CJ1394" s="137">
        <f t="shared" si="1014"/>
        <v>6</v>
      </c>
      <c r="CK1394" s="129" t="str">
        <f t="shared" si="1015"/>
        <v>Booked</v>
      </c>
    </row>
    <row r="1395" spans="1:89" ht="15.75" customHeight="1" x14ac:dyDescent="0.25">
      <c r="A1395" s="111">
        <v>889</v>
      </c>
      <c r="B1395" s="128" t="str">
        <f t="shared" si="998"/>
        <v>N</v>
      </c>
      <c r="C1395" s="128" t="str">
        <f t="shared" si="999"/>
        <v>N</v>
      </c>
      <c r="D1395" s="117">
        <v>2002380</v>
      </c>
      <c r="E1395" s="135">
        <f t="shared" si="1000"/>
        <v>6</v>
      </c>
      <c r="F1395" s="124">
        <v>40941</v>
      </c>
      <c r="G1395" s="125">
        <v>41205</v>
      </c>
      <c r="H1395" s="117">
        <v>2002380</v>
      </c>
      <c r="I1395" s="124">
        <v>40942</v>
      </c>
      <c r="J1395" s="124">
        <v>40978</v>
      </c>
      <c r="K1395" s="126">
        <v>50000</v>
      </c>
      <c r="L1395" s="129" t="s">
        <v>572</v>
      </c>
      <c r="M1395" s="125">
        <v>40978</v>
      </c>
      <c r="N1395" s="129" t="str">
        <f>IF(M1395&gt;1/1/1,"Y","N")</f>
        <v>Y</v>
      </c>
      <c r="O1395" s="128" t="s">
        <v>585</v>
      </c>
      <c r="P1395" s="129" t="s">
        <v>39</v>
      </c>
      <c r="Q1395" s="111">
        <f t="shared" si="1022"/>
        <v>37</v>
      </c>
      <c r="R1395" s="111">
        <f t="shared" si="1021"/>
        <v>265</v>
      </c>
      <c r="S1395" s="129">
        <v>0</v>
      </c>
      <c r="T1395" s="129">
        <v>1</v>
      </c>
      <c r="W1395" s="111"/>
      <c r="AC1395" s="130"/>
      <c r="AD1395" s="130">
        <v>27376</v>
      </c>
      <c r="AE1395" s="128" t="s">
        <v>32</v>
      </c>
      <c r="AF1395" s="128" t="s">
        <v>33</v>
      </c>
      <c r="AG1395" s="128" t="s">
        <v>872</v>
      </c>
      <c r="AH1395" s="108" t="s">
        <v>31</v>
      </c>
      <c r="AI1395" s="128" t="s">
        <v>141</v>
      </c>
      <c r="AJ1395" s="129" t="s">
        <v>89</v>
      </c>
      <c r="AK1395" s="129">
        <v>9</v>
      </c>
      <c r="AL1395" s="3" t="s">
        <v>362</v>
      </c>
      <c r="AM1395" s="117">
        <v>10</v>
      </c>
      <c r="AP1395" s="129" t="s">
        <v>254</v>
      </c>
      <c r="AR1395" s="128" t="s">
        <v>92</v>
      </c>
      <c r="AS1395" s="129" t="s">
        <v>82</v>
      </c>
      <c r="BC1395" s="129" t="s">
        <v>52</v>
      </c>
      <c r="BF1395" s="111">
        <f t="shared" si="1023"/>
        <v>37</v>
      </c>
      <c r="BG1395" s="111">
        <f t="shared" si="1028"/>
        <v>264</v>
      </c>
      <c r="BH1395" s="111">
        <f t="shared" si="995"/>
        <v>265</v>
      </c>
      <c r="BI1395" s="111">
        <f t="shared" si="996"/>
        <v>37.062841530054648</v>
      </c>
      <c r="BJ1395" s="129">
        <f>(G1395-J1395)+(M1395-G1395)</f>
        <v>0</v>
      </c>
      <c r="BK1395" s="129">
        <f t="shared" si="997"/>
        <v>-227</v>
      </c>
      <c r="BL1395" s="129" t="str">
        <f t="shared" si="1024"/>
        <v>CONVICTION</v>
      </c>
      <c r="BM1395" s="129" t="s">
        <v>76</v>
      </c>
      <c r="BN1395" s="129" t="s">
        <v>88</v>
      </c>
      <c r="BP1395" s="137" t="str">
        <f t="shared" si="1001"/>
        <v>CONVICTION</v>
      </c>
      <c r="BQ1395" s="128" t="str">
        <f t="shared" si="1002"/>
        <v>Y</v>
      </c>
      <c r="BR1395" s="129" t="str">
        <f>IF(J1395&lt;G1395,"ON BOND",0)</f>
        <v>ON BOND</v>
      </c>
      <c r="BS1395" s="129" t="str">
        <f t="shared" si="1004"/>
        <v>DISPOSED</v>
      </c>
      <c r="BT1395" s="129" t="str">
        <f t="shared" si="1005"/>
        <v>N</v>
      </c>
      <c r="BU1395" s="109">
        <f t="shared" si="1012"/>
        <v>0.13962264150943396</v>
      </c>
      <c r="BV1395" s="109">
        <f t="shared" si="1006"/>
        <v>0.14015151515151514</v>
      </c>
      <c r="BW1395" s="109">
        <f t="shared" si="990"/>
        <v>5.2887364208117904E-4</v>
      </c>
      <c r="BX1395" s="111">
        <f t="shared" si="1007"/>
        <v>0</v>
      </c>
      <c r="BY1395" s="129">
        <f t="shared" si="1008"/>
        <v>-37</v>
      </c>
      <c r="BZ1395" s="111">
        <f t="shared" si="1009"/>
        <v>0</v>
      </c>
      <c r="CA1395" s="138">
        <f t="shared" si="1010"/>
        <v>37</v>
      </c>
      <c r="CB1395" s="111" t="e">
        <f t="shared" si="1025"/>
        <v>#VALUE!</v>
      </c>
      <c r="CC1395" s="129">
        <f>M1395-I1395+1</f>
        <v>37</v>
      </c>
      <c r="CD1395" s="111">
        <f>CC1395-BF1395</f>
        <v>0</v>
      </c>
      <c r="CG1395" s="129" t="str">
        <f t="shared" si="1011"/>
        <v>Y</v>
      </c>
      <c r="CI1395" s="129" t="str">
        <f t="shared" si="1013"/>
        <v>31-60 DAYS</v>
      </c>
      <c r="CJ1395" s="137">
        <f t="shared" si="1014"/>
        <v>3</v>
      </c>
      <c r="CK1395" s="129" t="str">
        <f t="shared" si="1015"/>
        <v>Booked</v>
      </c>
    </row>
    <row r="1396" spans="1:89" ht="15" customHeight="1" x14ac:dyDescent="0.25">
      <c r="A1396" s="111">
        <v>2844</v>
      </c>
      <c r="B1396" s="128" t="str">
        <f t="shared" si="998"/>
        <v>N</v>
      </c>
      <c r="C1396" s="128" t="str">
        <f t="shared" si="999"/>
        <v>N</v>
      </c>
      <c r="D1396" s="117">
        <v>2002800</v>
      </c>
      <c r="E1396" s="135">
        <f t="shared" si="1000"/>
        <v>6</v>
      </c>
      <c r="F1396" s="124">
        <v>41014</v>
      </c>
      <c r="G1396" s="125">
        <v>41128</v>
      </c>
      <c r="H1396" s="117">
        <v>2002800</v>
      </c>
      <c r="I1396" s="124">
        <v>41014</v>
      </c>
      <c r="J1396" s="124">
        <v>41128</v>
      </c>
      <c r="K1396" s="126">
        <v>45000</v>
      </c>
      <c r="L1396" s="129" t="s">
        <v>572</v>
      </c>
      <c r="N1396" s="129" t="str">
        <f>IF(M1396&gt;1/1/1,"Y","N")</f>
        <v>N</v>
      </c>
      <c r="O1396" s="128" t="s">
        <v>917</v>
      </c>
      <c r="P1396" s="129" t="s">
        <v>39</v>
      </c>
      <c r="Q1396" s="111">
        <f t="shared" si="1022"/>
        <v>115</v>
      </c>
      <c r="R1396" s="111">
        <f t="shared" si="1021"/>
        <v>115</v>
      </c>
      <c r="S1396" s="129">
        <v>0</v>
      </c>
      <c r="T1396" s="129">
        <v>3</v>
      </c>
      <c r="W1396" s="111"/>
      <c r="AC1396" s="130"/>
      <c r="AD1396" s="130">
        <v>29813</v>
      </c>
      <c r="AE1396" s="128" t="s">
        <v>32</v>
      </c>
      <c r="AF1396" s="128" t="s">
        <v>40</v>
      </c>
      <c r="AG1396" s="128" t="s">
        <v>41</v>
      </c>
      <c r="AH1396" s="108" t="s">
        <v>41</v>
      </c>
      <c r="AI1396" s="128" t="s">
        <v>70</v>
      </c>
      <c r="AJ1396" s="129" t="s">
        <v>89</v>
      </c>
      <c r="AK1396" s="129">
        <v>6</v>
      </c>
      <c r="AL1396" s="3" t="s">
        <v>362</v>
      </c>
      <c r="AM1396" s="117">
        <v>2</v>
      </c>
      <c r="AP1396" s="129" t="s">
        <v>66</v>
      </c>
      <c r="AR1396" s="128" t="s">
        <v>67</v>
      </c>
      <c r="AS1396" s="129" t="s">
        <v>68</v>
      </c>
      <c r="BC1396" s="129" t="s">
        <v>99</v>
      </c>
      <c r="BF1396" s="111">
        <f t="shared" si="1023"/>
        <v>115</v>
      </c>
      <c r="BG1396" s="111">
        <f t="shared" si="1028"/>
        <v>115</v>
      </c>
      <c r="BH1396" s="111">
        <f t="shared" si="995"/>
        <v>115</v>
      </c>
      <c r="BI1396" s="111">
        <f t="shared" si="996"/>
        <v>30.603825136612024</v>
      </c>
      <c r="BJ1396" s="129">
        <f t="shared" si="1016"/>
        <v>0</v>
      </c>
      <c r="BK1396" s="129">
        <f t="shared" si="997"/>
        <v>0</v>
      </c>
      <c r="BL1396" s="129" t="str">
        <f t="shared" si="1024"/>
        <v>CONVICTION</v>
      </c>
      <c r="BM1396" s="129" t="str">
        <f t="shared" si="1017"/>
        <v>NONE</v>
      </c>
      <c r="BN1396" s="129" t="s">
        <v>566</v>
      </c>
      <c r="BP1396" s="137" t="str">
        <f t="shared" si="1001"/>
        <v>CONVICTION</v>
      </c>
      <c r="BQ1396" s="128" t="str">
        <f t="shared" si="1002"/>
        <v>Y</v>
      </c>
      <c r="BR1396" s="129" t="str">
        <f t="shared" si="1003"/>
        <v>DETAINED</v>
      </c>
      <c r="BS1396" s="129" t="str">
        <f t="shared" si="1004"/>
        <v>DISPOSED</v>
      </c>
      <c r="BT1396" s="129" t="str">
        <f t="shared" si="1005"/>
        <v>N</v>
      </c>
      <c r="BU1396" s="109">
        <f t="shared" si="1012"/>
        <v>1</v>
      </c>
      <c r="BV1396" s="109">
        <f t="shared" si="1006"/>
        <v>1</v>
      </c>
      <c r="BW1396" s="109">
        <f t="shared" si="990"/>
        <v>0</v>
      </c>
      <c r="BX1396" s="111">
        <f t="shared" si="1007"/>
        <v>0</v>
      </c>
      <c r="BY1396" s="129">
        <f t="shared" si="1008"/>
        <v>-115</v>
      </c>
      <c r="BZ1396" s="111">
        <f t="shared" si="1009"/>
        <v>0</v>
      </c>
      <c r="CA1396" s="138">
        <f t="shared" si="1010"/>
        <v>115</v>
      </c>
      <c r="CB1396" s="111" t="e">
        <f t="shared" si="1025"/>
        <v>#VALUE!</v>
      </c>
      <c r="CC1396" s="129">
        <f t="shared" ref="CC1396:CC1401" si="1032">G1396-I1396+1</f>
        <v>115</v>
      </c>
      <c r="CD1396" s="129">
        <f t="shared" ref="CD1396:CD1401" si="1033">G1396-J1396</f>
        <v>0</v>
      </c>
      <c r="CG1396" s="129" t="str">
        <f t="shared" si="1011"/>
        <v>Y</v>
      </c>
      <c r="CI1396" s="129" t="str">
        <f t="shared" si="1013"/>
        <v>91-120 DAYS</v>
      </c>
      <c r="CJ1396" s="137">
        <f t="shared" si="1014"/>
        <v>0</v>
      </c>
      <c r="CK1396" s="129" t="str">
        <f t="shared" si="1015"/>
        <v>Booked</v>
      </c>
    </row>
    <row r="1397" spans="1:89" ht="15.75" customHeight="1" x14ac:dyDescent="0.25">
      <c r="A1397" s="111">
        <v>342</v>
      </c>
      <c r="B1397" s="128" t="str">
        <f t="shared" si="998"/>
        <v>N</v>
      </c>
      <c r="C1397" s="128" t="str">
        <f t="shared" si="999"/>
        <v>N</v>
      </c>
      <c r="D1397" s="117">
        <v>2002962</v>
      </c>
      <c r="E1397" s="135">
        <f t="shared" si="1000"/>
        <v>6</v>
      </c>
      <c r="F1397" s="124">
        <v>40922</v>
      </c>
      <c r="G1397" s="125">
        <v>40991</v>
      </c>
      <c r="H1397" s="117">
        <v>2002962</v>
      </c>
      <c r="I1397" s="124">
        <v>40922</v>
      </c>
      <c r="J1397" s="124">
        <v>40991</v>
      </c>
      <c r="K1397" s="126" t="s">
        <v>564</v>
      </c>
      <c r="L1397" s="127" t="s">
        <v>564</v>
      </c>
      <c r="N1397" s="129" t="s">
        <v>566</v>
      </c>
      <c r="O1397" s="128" t="s">
        <v>917</v>
      </c>
      <c r="P1397" s="129" t="s">
        <v>39</v>
      </c>
      <c r="Q1397" s="111">
        <f t="shared" si="1022"/>
        <v>70</v>
      </c>
      <c r="R1397" s="111">
        <f t="shared" si="1021"/>
        <v>70</v>
      </c>
      <c r="S1397" s="129">
        <v>9</v>
      </c>
      <c r="T1397" s="129">
        <v>0</v>
      </c>
      <c r="U1397" s="129">
        <v>8</v>
      </c>
      <c r="W1397" s="111"/>
      <c r="AC1397" s="130"/>
      <c r="AD1397" s="130">
        <v>31358</v>
      </c>
      <c r="AE1397" s="128" t="s">
        <v>32</v>
      </c>
      <c r="AF1397" s="128" t="s">
        <v>33</v>
      </c>
      <c r="AG1397" s="128" t="s">
        <v>872</v>
      </c>
      <c r="AH1397" s="108" t="s">
        <v>58</v>
      </c>
      <c r="AI1397" s="128" t="s">
        <v>59</v>
      </c>
      <c r="AJ1397" s="129" t="s">
        <v>89</v>
      </c>
      <c r="AK1397" s="129">
        <v>4</v>
      </c>
      <c r="AL1397" s="3" t="s">
        <v>362</v>
      </c>
      <c r="AM1397" s="114">
        <v>15</v>
      </c>
      <c r="AN1397" s="114"/>
      <c r="AP1397" s="129" t="s">
        <v>132</v>
      </c>
      <c r="AR1397" s="128" t="s">
        <v>92</v>
      </c>
      <c r="AS1397" s="129" t="s">
        <v>82</v>
      </c>
      <c r="BC1397" s="129" t="s">
        <v>52</v>
      </c>
      <c r="BF1397" s="111">
        <f t="shared" si="1023"/>
        <v>70</v>
      </c>
      <c r="BG1397" s="111">
        <f t="shared" si="1028"/>
        <v>70</v>
      </c>
      <c r="BH1397" s="111">
        <f t="shared" si="995"/>
        <v>70</v>
      </c>
      <c r="BI1397" s="111">
        <f t="shared" si="996"/>
        <v>26.131147540983605</v>
      </c>
      <c r="BJ1397" s="129">
        <f t="shared" si="1016"/>
        <v>0</v>
      </c>
      <c r="BK1397" s="129">
        <f t="shared" si="997"/>
        <v>0</v>
      </c>
      <c r="BL1397" s="129" t="str">
        <f t="shared" si="1024"/>
        <v>CONVICTION</v>
      </c>
      <c r="BM1397" s="129" t="str">
        <f t="shared" si="1017"/>
        <v>NONE</v>
      </c>
      <c r="BN1397" s="129" t="s">
        <v>566</v>
      </c>
      <c r="BP1397" s="137" t="str">
        <f t="shared" si="1001"/>
        <v>CONVICTION</v>
      </c>
      <c r="BQ1397" s="128" t="str">
        <f t="shared" si="1002"/>
        <v>Y</v>
      </c>
      <c r="BR1397" s="129" t="str">
        <f t="shared" si="1003"/>
        <v>DETAINED</v>
      </c>
      <c r="BS1397" s="129" t="str">
        <f t="shared" si="1004"/>
        <v>DISPOSED</v>
      </c>
      <c r="BT1397" s="129" t="str">
        <f t="shared" si="1005"/>
        <v>Y</v>
      </c>
      <c r="BU1397" s="109">
        <f t="shared" si="1012"/>
        <v>1</v>
      </c>
      <c r="BV1397" s="109">
        <f t="shared" si="1006"/>
        <v>1</v>
      </c>
      <c r="BW1397" s="109">
        <f t="shared" si="990"/>
        <v>0</v>
      </c>
      <c r="BX1397" s="111">
        <f t="shared" si="1007"/>
        <v>0</v>
      </c>
      <c r="BY1397" s="129">
        <f t="shared" si="1008"/>
        <v>-70</v>
      </c>
      <c r="BZ1397" s="111">
        <f t="shared" si="1009"/>
        <v>0</v>
      </c>
      <c r="CA1397" s="138">
        <f t="shared" si="1010"/>
        <v>70</v>
      </c>
      <c r="CB1397" s="111" t="e">
        <f t="shared" si="1025"/>
        <v>#VALUE!</v>
      </c>
      <c r="CC1397" s="129">
        <f t="shared" si="1032"/>
        <v>70</v>
      </c>
      <c r="CD1397" s="129">
        <f t="shared" si="1033"/>
        <v>0</v>
      </c>
      <c r="CG1397" s="129" t="str">
        <f t="shared" si="1011"/>
        <v>Y</v>
      </c>
      <c r="CI1397" s="129" t="str">
        <f t="shared" si="1013"/>
        <v>61-90 DAYS</v>
      </c>
      <c r="CJ1397" s="137">
        <f t="shared" si="1014"/>
        <v>4</v>
      </c>
      <c r="CK1397" s="129" t="str">
        <f t="shared" si="1015"/>
        <v>Booked</v>
      </c>
    </row>
    <row r="1398" spans="1:89" ht="15.75" customHeight="1" x14ac:dyDescent="0.25">
      <c r="A1398" s="111">
        <v>390</v>
      </c>
      <c r="B1398" s="128" t="str">
        <f t="shared" si="998"/>
        <v>N</v>
      </c>
      <c r="C1398" s="128" t="str">
        <f t="shared" si="999"/>
        <v>N</v>
      </c>
      <c r="D1398" s="117">
        <v>2003458</v>
      </c>
      <c r="E1398" s="135">
        <f t="shared" si="1000"/>
        <v>5</v>
      </c>
      <c r="F1398" s="124">
        <v>40925</v>
      </c>
      <c r="G1398" s="125">
        <v>41009</v>
      </c>
      <c r="H1398" s="117">
        <v>2003458</v>
      </c>
      <c r="I1398" s="124">
        <v>40925</v>
      </c>
      <c r="J1398" s="124">
        <v>41009</v>
      </c>
      <c r="K1398" s="126">
        <v>5000</v>
      </c>
      <c r="L1398" s="127" t="s">
        <v>569</v>
      </c>
      <c r="N1398" s="129" t="str">
        <f t="shared" ref="N1398:N1405" si="1034">IF(M1398&gt;1/1/1,"Y","N")</f>
        <v>N</v>
      </c>
      <c r="O1398" s="128" t="s">
        <v>917</v>
      </c>
      <c r="P1398" s="129" t="s">
        <v>77</v>
      </c>
      <c r="Q1398" s="111">
        <f t="shared" si="1022"/>
        <v>85</v>
      </c>
      <c r="R1398" s="111">
        <f t="shared" si="1021"/>
        <v>85</v>
      </c>
      <c r="S1398" s="129">
        <v>2</v>
      </c>
      <c r="T1398" s="129">
        <v>3</v>
      </c>
      <c r="U1398" s="129">
        <v>2</v>
      </c>
      <c r="W1398" s="111"/>
      <c r="AC1398" s="130"/>
      <c r="AD1398" s="130">
        <v>31243</v>
      </c>
      <c r="AE1398" s="128" t="s">
        <v>32</v>
      </c>
      <c r="AF1398" s="128" t="s">
        <v>69</v>
      </c>
      <c r="AG1398" s="128" t="s">
        <v>874</v>
      </c>
      <c r="AH1398" s="108" t="s">
        <v>58</v>
      </c>
      <c r="AI1398" s="128" t="s">
        <v>70</v>
      </c>
      <c r="AJ1398" s="129" t="s">
        <v>89</v>
      </c>
      <c r="AK1398" s="129">
        <v>5</v>
      </c>
      <c r="AL1398" s="3" t="s">
        <v>992</v>
      </c>
      <c r="AN1398" s="117">
        <v>9</v>
      </c>
      <c r="AP1398" s="129" t="s">
        <v>108</v>
      </c>
      <c r="AR1398" s="128" t="s">
        <v>44</v>
      </c>
      <c r="AS1398" s="129" t="s">
        <v>61</v>
      </c>
      <c r="BC1398" s="129" t="s">
        <v>38</v>
      </c>
      <c r="BF1398" s="111">
        <f t="shared" si="1023"/>
        <v>85</v>
      </c>
      <c r="BG1398" s="111">
        <f t="shared" si="1028"/>
        <v>85</v>
      </c>
      <c r="BH1398" s="111">
        <f t="shared" si="995"/>
        <v>85</v>
      </c>
      <c r="BI1398" s="111">
        <f t="shared" si="996"/>
        <v>26.453551912568305</v>
      </c>
      <c r="BJ1398" s="129">
        <f t="shared" si="1016"/>
        <v>0</v>
      </c>
      <c r="BK1398" s="129">
        <f t="shared" si="997"/>
        <v>0</v>
      </c>
      <c r="BL1398" s="129" t="str">
        <f t="shared" si="1024"/>
        <v>CONVICTION</v>
      </c>
      <c r="BM1398" s="129" t="str">
        <f t="shared" si="1017"/>
        <v>NONE</v>
      </c>
      <c r="BN1398" s="129" t="s">
        <v>566</v>
      </c>
      <c r="BP1398" s="137" t="str">
        <f t="shared" si="1001"/>
        <v>CONVICTION</v>
      </c>
      <c r="BQ1398" s="128" t="str">
        <f t="shared" si="1002"/>
        <v>Y</v>
      </c>
      <c r="BR1398" s="129" t="str">
        <f t="shared" si="1003"/>
        <v>DETAINED</v>
      </c>
      <c r="BS1398" s="129" t="str">
        <f t="shared" si="1004"/>
        <v>DISPOSED</v>
      </c>
      <c r="BT1398" s="129" t="str">
        <f t="shared" si="1005"/>
        <v>Y</v>
      </c>
      <c r="BU1398" s="109">
        <f t="shared" si="1012"/>
        <v>1</v>
      </c>
      <c r="BV1398" s="109">
        <f t="shared" si="1006"/>
        <v>1</v>
      </c>
      <c r="BW1398" s="109">
        <f t="shared" ref="BW1398:BW1450" si="1035">BV1398-BU1398</f>
        <v>0</v>
      </c>
      <c r="BX1398" s="111">
        <f t="shared" si="1007"/>
        <v>0</v>
      </c>
      <c r="BY1398" s="129">
        <f t="shared" si="1008"/>
        <v>-85</v>
      </c>
      <c r="BZ1398" s="111">
        <f t="shared" si="1009"/>
        <v>0</v>
      </c>
      <c r="CA1398" s="138">
        <f t="shared" si="1010"/>
        <v>85</v>
      </c>
      <c r="CB1398" s="111" t="e">
        <f t="shared" si="1025"/>
        <v>#VALUE!</v>
      </c>
      <c r="CC1398" s="129">
        <f t="shared" si="1032"/>
        <v>85</v>
      </c>
      <c r="CD1398" s="129">
        <f t="shared" si="1033"/>
        <v>0</v>
      </c>
      <c r="CG1398" s="129" t="str">
        <f t="shared" si="1011"/>
        <v>Y</v>
      </c>
      <c r="CI1398" s="129" t="str">
        <f t="shared" si="1013"/>
        <v>61-90 DAYS</v>
      </c>
      <c r="CJ1398" s="137">
        <f t="shared" si="1014"/>
        <v>4</v>
      </c>
      <c r="CK1398" s="129" t="str">
        <f t="shared" si="1015"/>
        <v>Booked</v>
      </c>
    </row>
    <row r="1399" spans="1:89" ht="15.75" customHeight="1" x14ac:dyDescent="0.25">
      <c r="A1399" s="111">
        <v>1686</v>
      </c>
      <c r="B1399" s="128" t="str">
        <f t="shared" si="998"/>
        <v>N</v>
      </c>
      <c r="C1399" s="128" t="str">
        <f t="shared" si="999"/>
        <v>N</v>
      </c>
      <c r="D1399" s="117">
        <v>2004552</v>
      </c>
      <c r="E1399" s="135">
        <f t="shared" si="1000"/>
        <v>1</v>
      </c>
      <c r="F1399" s="124">
        <v>40971</v>
      </c>
      <c r="G1399" s="125">
        <v>41121</v>
      </c>
      <c r="H1399" s="117">
        <v>2004552</v>
      </c>
      <c r="I1399" s="124">
        <v>40971</v>
      </c>
      <c r="J1399" s="124">
        <v>41121</v>
      </c>
      <c r="K1399" s="126">
        <v>35000</v>
      </c>
      <c r="L1399" s="129" t="s">
        <v>572</v>
      </c>
      <c r="N1399" s="129" t="str">
        <f t="shared" si="1034"/>
        <v>N</v>
      </c>
      <c r="O1399" s="128" t="s">
        <v>917</v>
      </c>
      <c r="P1399" s="129" t="s">
        <v>55</v>
      </c>
      <c r="Q1399" s="111">
        <f t="shared" si="1022"/>
        <v>151</v>
      </c>
      <c r="R1399" s="111">
        <f t="shared" si="1021"/>
        <v>151</v>
      </c>
      <c r="S1399" s="129">
        <v>0</v>
      </c>
      <c r="T1399" s="129">
        <v>2</v>
      </c>
      <c r="W1399" s="111"/>
      <c r="AB1399" s="131" t="s">
        <v>112</v>
      </c>
      <c r="AC1399" s="130"/>
      <c r="AD1399" s="130">
        <v>27292</v>
      </c>
      <c r="AE1399" s="128" t="s">
        <v>32</v>
      </c>
      <c r="AF1399" s="128" t="s">
        <v>40</v>
      </c>
      <c r="AG1399" s="128" t="s">
        <v>41</v>
      </c>
      <c r="AH1399" s="108" t="s">
        <v>31</v>
      </c>
      <c r="AI1399" s="128" t="s">
        <v>34</v>
      </c>
      <c r="AJ1399" s="129" t="s">
        <v>55</v>
      </c>
      <c r="AK1399" s="129">
        <v>8</v>
      </c>
      <c r="AL1399" s="3" t="s">
        <v>55</v>
      </c>
      <c r="AP1399" s="129" t="s">
        <v>73</v>
      </c>
      <c r="AR1399" s="128" t="s">
        <v>50</v>
      </c>
      <c r="AS1399" s="129" t="s">
        <v>74</v>
      </c>
      <c r="BC1399" s="129" t="s">
        <v>99</v>
      </c>
      <c r="BF1399" s="111">
        <f t="shared" si="1023"/>
        <v>151</v>
      </c>
      <c r="BG1399" s="111">
        <f t="shared" si="1028"/>
        <v>151</v>
      </c>
      <c r="BH1399" s="111">
        <f t="shared" si="995"/>
        <v>151</v>
      </c>
      <c r="BI1399" s="111">
        <f t="shared" si="996"/>
        <v>37.374316939890711</v>
      </c>
      <c r="BJ1399" s="129">
        <f t="shared" si="1016"/>
        <v>0</v>
      </c>
      <c r="BK1399" s="129">
        <f t="shared" si="997"/>
        <v>0</v>
      </c>
      <c r="BL1399" s="129" t="str">
        <f t="shared" si="1024"/>
        <v>NO CONVICTION</v>
      </c>
      <c r="BM1399" s="129" t="str">
        <f t="shared" si="1017"/>
        <v>NONE</v>
      </c>
      <c r="BN1399" s="129" t="s">
        <v>566</v>
      </c>
      <c r="BP1399" s="137" t="str">
        <f t="shared" si="1001"/>
        <v>NO CONVICTION</v>
      </c>
      <c r="BQ1399" s="128" t="str">
        <f t="shared" si="1002"/>
        <v>Y</v>
      </c>
      <c r="BR1399" s="129" t="str">
        <f t="shared" si="1003"/>
        <v>DETAINED</v>
      </c>
      <c r="BS1399" s="129" t="str">
        <f t="shared" si="1004"/>
        <v>DISPOSED</v>
      </c>
      <c r="BT1399" s="129" t="str">
        <f t="shared" si="1005"/>
        <v>N</v>
      </c>
      <c r="BU1399" s="109">
        <f>IFERROR(Q1399/R1399,BR1399)</f>
        <v>1</v>
      </c>
      <c r="BV1399" s="109">
        <f t="shared" si="1006"/>
        <v>1</v>
      </c>
      <c r="BW1399" s="109">
        <f t="shared" si="1035"/>
        <v>0</v>
      </c>
      <c r="BX1399" s="111">
        <f t="shared" si="1007"/>
        <v>0</v>
      </c>
      <c r="BY1399" s="129">
        <f t="shared" si="1008"/>
        <v>-151</v>
      </c>
      <c r="BZ1399" s="111">
        <f t="shared" si="1009"/>
        <v>0</v>
      </c>
      <c r="CA1399" s="138">
        <f t="shared" si="1010"/>
        <v>151</v>
      </c>
      <c r="CB1399" s="111" t="e">
        <f t="shared" si="1025"/>
        <v>#VALUE!</v>
      </c>
      <c r="CC1399" s="129">
        <f t="shared" si="1032"/>
        <v>151</v>
      </c>
      <c r="CD1399" s="129">
        <f t="shared" si="1033"/>
        <v>0</v>
      </c>
      <c r="CG1399" s="129" t="str">
        <f t="shared" si="1011"/>
        <v>Y</v>
      </c>
      <c r="CI1399" s="129" t="str">
        <f t="shared" si="1013"/>
        <v>121-365 DAYS</v>
      </c>
      <c r="CJ1399" s="137">
        <f t="shared" si="1014"/>
        <v>6</v>
      </c>
      <c r="CK1399" s="129" t="str">
        <f t="shared" si="1015"/>
        <v>Booked</v>
      </c>
    </row>
    <row r="1400" spans="1:89" ht="15.75" customHeight="1" x14ac:dyDescent="0.25">
      <c r="A1400" s="111">
        <v>1891</v>
      </c>
      <c r="B1400" s="128" t="str">
        <f t="shared" si="998"/>
        <v>N</v>
      </c>
      <c r="C1400" s="128" t="str">
        <f t="shared" si="999"/>
        <v>N</v>
      </c>
      <c r="D1400" s="117">
        <v>2005140</v>
      </c>
      <c r="E1400" s="135">
        <f t="shared" si="1000"/>
        <v>5</v>
      </c>
      <c r="F1400" s="124">
        <v>40979</v>
      </c>
      <c r="G1400" s="125">
        <v>40980</v>
      </c>
      <c r="H1400" s="117">
        <v>2005140</v>
      </c>
      <c r="I1400" s="124">
        <v>40979</v>
      </c>
      <c r="J1400" s="124">
        <v>40980</v>
      </c>
      <c r="K1400" s="126">
        <v>15000</v>
      </c>
      <c r="L1400" s="127" t="s">
        <v>571</v>
      </c>
      <c r="N1400" s="129" t="str">
        <f t="shared" si="1034"/>
        <v>N</v>
      </c>
      <c r="O1400" s="128" t="s">
        <v>917</v>
      </c>
      <c r="P1400" s="129" t="s">
        <v>39</v>
      </c>
      <c r="Q1400" s="111">
        <f t="shared" si="1022"/>
        <v>2</v>
      </c>
      <c r="R1400" s="111">
        <f t="shared" si="1021"/>
        <v>2</v>
      </c>
      <c r="S1400" s="129">
        <v>6</v>
      </c>
      <c r="T1400" s="129">
        <v>4</v>
      </c>
      <c r="U1400" s="129">
        <v>3</v>
      </c>
      <c r="W1400" s="111"/>
      <c r="AC1400" s="130"/>
      <c r="AD1400" s="130">
        <v>29481</v>
      </c>
      <c r="AE1400" s="128" t="s">
        <v>46</v>
      </c>
      <c r="AF1400" s="128" t="s">
        <v>33</v>
      </c>
      <c r="AG1400" s="128" t="s">
        <v>872</v>
      </c>
      <c r="AH1400" s="108" t="s">
        <v>58</v>
      </c>
      <c r="AI1400" s="128" t="s">
        <v>83</v>
      </c>
      <c r="AJ1400" s="129" t="s">
        <v>89</v>
      </c>
      <c r="AK1400" s="129">
        <v>1</v>
      </c>
      <c r="AL1400" s="3" t="s">
        <v>992</v>
      </c>
      <c r="AN1400" s="117">
        <v>6</v>
      </c>
      <c r="AP1400" s="129" t="s">
        <v>60</v>
      </c>
      <c r="AR1400" s="128" t="s">
        <v>44</v>
      </c>
      <c r="AS1400" s="129" t="s">
        <v>61</v>
      </c>
      <c r="BC1400" s="129" t="s">
        <v>38</v>
      </c>
      <c r="BF1400" s="111">
        <f t="shared" si="1023"/>
        <v>2</v>
      </c>
      <c r="BG1400" s="111">
        <f t="shared" si="1028"/>
        <v>2</v>
      </c>
      <c r="BH1400" s="111">
        <f t="shared" si="995"/>
        <v>2</v>
      </c>
      <c r="BI1400" s="111">
        <f t="shared" si="996"/>
        <v>31.415300546448087</v>
      </c>
      <c r="BJ1400" s="129">
        <f t="shared" si="1016"/>
        <v>0</v>
      </c>
      <c r="BK1400" s="129">
        <f t="shared" si="997"/>
        <v>0</v>
      </c>
      <c r="BL1400" s="129" t="str">
        <f t="shared" si="1024"/>
        <v>CONVICTION</v>
      </c>
      <c r="BM1400" s="129" t="str">
        <f t="shared" si="1017"/>
        <v>NONE</v>
      </c>
      <c r="BN1400" s="129" t="s">
        <v>566</v>
      </c>
      <c r="BP1400" s="137" t="str">
        <f t="shared" si="1001"/>
        <v>CONVICTION</v>
      </c>
      <c r="BQ1400" s="128" t="str">
        <f t="shared" si="1002"/>
        <v>Y</v>
      </c>
      <c r="BR1400" s="129" t="str">
        <f t="shared" si="1003"/>
        <v>DETAINED</v>
      </c>
      <c r="BS1400" s="129" t="str">
        <f t="shared" si="1004"/>
        <v>DISPOSED</v>
      </c>
      <c r="BT1400" s="129" t="str">
        <f t="shared" si="1005"/>
        <v>Y</v>
      </c>
      <c r="BU1400" s="109">
        <f t="shared" si="1012"/>
        <v>1</v>
      </c>
      <c r="BV1400" s="109">
        <f t="shared" si="1006"/>
        <v>1</v>
      </c>
      <c r="BW1400" s="109">
        <f t="shared" si="1035"/>
        <v>0</v>
      </c>
      <c r="BX1400" s="111">
        <f t="shared" si="1007"/>
        <v>0</v>
      </c>
      <c r="BY1400" s="129">
        <f t="shared" si="1008"/>
        <v>-2</v>
      </c>
      <c r="BZ1400" s="111">
        <f t="shared" si="1009"/>
        <v>0</v>
      </c>
      <c r="CA1400" s="138">
        <f t="shared" si="1010"/>
        <v>2</v>
      </c>
      <c r="CB1400" s="111" t="e">
        <f t="shared" si="1025"/>
        <v>#VALUE!</v>
      </c>
      <c r="CC1400" s="129">
        <f t="shared" si="1032"/>
        <v>2</v>
      </c>
      <c r="CD1400" s="129">
        <f t="shared" si="1033"/>
        <v>0</v>
      </c>
      <c r="CG1400" s="129" t="str">
        <f t="shared" si="1011"/>
        <v>Y</v>
      </c>
      <c r="CI1400" s="129" t="str">
        <f t="shared" si="1013"/>
        <v>0-10 DAYS</v>
      </c>
      <c r="CJ1400" s="137">
        <f t="shared" si="1014"/>
        <v>1</v>
      </c>
      <c r="CK1400" s="129" t="str">
        <f t="shared" si="1015"/>
        <v>Booked</v>
      </c>
    </row>
    <row r="1401" spans="1:89" ht="15" customHeight="1" x14ac:dyDescent="0.25">
      <c r="A1401" s="111">
        <v>200</v>
      </c>
      <c r="B1401" s="128" t="str">
        <f t="shared" si="998"/>
        <v>N</v>
      </c>
      <c r="C1401" s="128" t="str">
        <f t="shared" si="999"/>
        <v>N</v>
      </c>
      <c r="D1401" s="117">
        <v>2005741</v>
      </c>
      <c r="E1401" s="135">
        <f t="shared" si="1000"/>
        <v>5</v>
      </c>
      <c r="F1401" s="124">
        <v>40917</v>
      </c>
      <c r="G1401" s="125">
        <v>41008</v>
      </c>
      <c r="H1401" s="117">
        <v>2005741</v>
      </c>
      <c r="I1401" s="124">
        <v>40918</v>
      </c>
      <c r="J1401" s="124">
        <v>41008</v>
      </c>
      <c r="K1401" s="126">
        <v>10000</v>
      </c>
      <c r="L1401" s="127" t="s">
        <v>570</v>
      </c>
      <c r="N1401" s="129" t="str">
        <f t="shared" si="1034"/>
        <v>N</v>
      </c>
      <c r="O1401" s="128" t="s">
        <v>917</v>
      </c>
      <c r="P1401" s="129" t="s">
        <v>39</v>
      </c>
      <c r="Q1401" s="111">
        <f t="shared" si="1022"/>
        <v>91</v>
      </c>
      <c r="R1401" s="111">
        <f t="shared" si="1021"/>
        <v>92</v>
      </c>
      <c r="S1401" s="129">
        <v>5</v>
      </c>
      <c r="T1401" s="129">
        <v>5</v>
      </c>
      <c r="U1401" s="129">
        <v>3</v>
      </c>
      <c r="W1401" s="111"/>
      <c r="AC1401" s="130"/>
      <c r="AD1401" s="130">
        <v>31022</v>
      </c>
      <c r="AE1401" s="128" t="s">
        <v>32</v>
      </c>
      <c r="AF1401" s="128" t="s">
        <v>33</v>
      </c>
      <c r="AG1401" s="128" t="s">
        <v>872</v>
      </c>
      <c r="AH1401" s="108" t="s">
        <v>58</v>
      </c>
      <c r="AI1401" s="128" t="s">
        <v>83</v>
      </c>
      <c r="AJ1401" s="129" t="s">
        <v>89</v>
      </c>
      <c r="AK1401" s="129">
        <v>4</v>
      </c>
      <c r="AL1401" s="3" t="s">
        <v>992</v>
      </c>
      <c r="AN1401" s="117">
        <v>9</v>
      </c>
      <c r="AP1401" s="129" t="s">
        <v>43</v>
      </c>
      <c r="AR1401" s="128" t="s">
        <v>44</v>
      </c>
      <c r="AS1401" s="129" t="s">
        <v>45</v>
      </c>
      <c r="BC1401" s="129" t="s">
        <v>38</v>
      </c>
      <c r="BF1401" s="111">
        <f t="shared" si="1023"/>
        <v>91</v>
      </c>
      <c r="BG1401" s="111">
        <f t="shared" si="1028"/>
        <v>91</v>
      </c>
      <c r="BH1401" s="111">
        <f t="shared" si="995"/>
        <v>92</v>
      </c>
      <c r="BI1401" s="111">
        <f t="shared" si="996"/>
        <v>27.035519125683059</v>
      </c>
      <c r="BJ1401" s="129">
        <f t="shared" si="1016"/>
        <v>0</v>
      </c>
      <c r="BK1401" s="129">
        <f t="shared" si="997"/>
        <v>0</v>
      </c>
      <c r="BL1401" s="129" t="str">
        <f t="shared" si="1024"/>
        <v>CONVICTION</v>
      </c>
      <c r="BM1401" s="129" t="str">
        <f t="shared" si="1017"/>
        <v>NONE</v>
      </c>
      <c r="BN1401" s="129" t="s">
        <v>566</v>
      </c>
      <c r="BP1401" s="137" t="str">
        <f t="shared" si="1001"/>
        <v>CONVICTION</v>
      </c>
      <c r="BQ1401" s="128" t="str">
        <f t="shared" si="1002"/>
        <v>Y</v>
      </c>
      <c r="BR1401" s="129" t="str">
        <f t="shared" si="1003"/>
        <v>DETAINED</v>
      </c>
      <c r="BS1401" s="129" t="str">
        <f t="shared" si="1004"/>
        <v>DISPOSED</v>
      </c>
      <c r="BT1401" s="129" t="str">
        <f t="shared" si="1005"/>
        <v>Y</v>
      </c>
      <c r="BU1401" s="109">
        <f t="shared" si="1012"/>
        <v>0.98913043478260865</v>
      </c>
      <c r="BV1401" s="109">
        <f t="shared" si="1006"/>
        <v>1</v>
      </c>
      <c r="BW1401" s="109">
        <f t="shared" si="1035"/>
        <v>1.0869565217391353E-2</v>
      </c>
      <c r="BX1401" s="111">
        <f t="shared" si="1007"/>
        <v>0</v>
      </c>
      <c r="BY1401" s="129">
        <f t="shared" si="1008"/>
        <v>-91</v>
      </c>
      <c r="BZ1401" s="111">
        <f t="shared" si="1009"/>
        <v>0</v>
      </c>
      <c r="CA1401" s="138">
        <f t="shared" si="1010"/>
        <v>91</v>
      </c>
      <c r="CB1401" s="111" t="e">
        <f t="shared" si="1025"/>
        <v>#VALUE!</v>
      </c>
      <c r="CC1401" s="129">
        <f t="shared" si="1032"/>
        <v>91</v>
      </c>
      <c r="CD1401" s="129">
        <f t="shared" si="1033"/>
        <v>0</v>
      </c>
      <c r="CG1401" s="129" t="str">
        <f t="shared" si="1011"/>
        <v>Y</v>
      </c>
      <c r="CI1401" s="129" t="str">
        <f t="shared" si="1013"/>
        <v>91-120 DAYS</v>
      </c>
      <c r="CJ1401" s="137">
        <f t="shared" si="1014"/>
        <v>0</v>
      </c>
      <c r="CK1401" s="129" t="str">
        <f t="shared" si="1015"/>
        <v>Booked</v>
      </c>
    </row>
    <row r="1402" spans="1:89" ht="15.75" customHeight="1" x14ac:dyDescent="0.25">
      <c r="A1402" s="111">
        <v>2991</v>
      </c>
      <c r="B1402" s="128" t="str">
        <f t="shared" si="998"/>
        <v>N</v>
      </c>
      <c r="C1402" s="128" t="str">
        <f t="shared" si="999"/>
        <v>N</v>
      </c>
      <c r="D1402" s="117">
        <v>2006680</v>
      </c>
      <c r="E1402" s="135">
        <f t="shared" si="1000"/>
        <v>2</v>
      </c>
      <c r="F1402" s="124">
        <v>41019</v>
      </c>
      <c r="G1402" s="125">
        <v>41129</v>
      </c>
      <c r="H1402" s="117">
        <v>2006680</v>
      </c>
      <c r="I1402" s="124">
        <v>41019</v>
      </c>
      <c r="J1402" s="124">
        <v>41020</v>
      </c>
      <c r="K1402" s="126">
        <v>20000</v>
      </c>
      <c r="L1402" s="127" t="s">
        <v>571</v>
      </c>
      <c r="M1402" s="125">
        <v>41020</v>
      </c>
      <c r="N1402" s="129" t="str">
        <f t="shared" si="1034"/>
        <v>Y</v>
      </c>
      <c r="O1402" s="128" t="s">
        <v>76</v>
      </c>
      <c r="P1402" s="129" t="s">
        <v>589</v>
      </c>
      <c r="Q1402" s="111">
        <f t="shared" si="1022"/>
        <v>2</v>
      </c>
      <c r="R1402" s="111">
        <f t="shared" si="1021"/>
        <v>111</v>
      </c>
      <c r="S1402" s="129">
        <v>0</v>
      </c>
      <c r="T1402" s="129">
        <v>2</v>
      </c>
      <c r="W1402" s="111"/>
      <c r="AB1402" s="131" t="s">
        <v>112</v>
      </c>
      <c r="AC1402" s="130"/>
      <c r="AD1402" s="130">
        <v>29191</v>
      </c>
      <c r="AE1402" s="128" t="s">
        <v>32</v>
      </c>
      <c r="AF1402" s="128" t="s">
        <v>40</v>
      </c>
      <c r="AG1402" s="128" t="s">
        <v>41</v>
      </c>
      <c r="AH1402" s="108" t="s">
        <v>31</v>
      </c>
      <c r="AI1402" s="128" t="s">
        <v>72</v>
      </c>
      <c r="AJ1402" s="129" t="s">
        <v>48</v>
      </c>
      <c r="AK1402" s="129">
        <v>4</v>
      </c>
      <c r="AL1402" s="3" t="s">
        <v>48</v>
      </c>
      <c r="AP1402" s="129" t="s">
        <v>150</v>
      </c>
      <c r="AR1402" s="128" t="s">
        <v>67</v>
      </c>
      <c r="AS1402" s="129" t="s">
        <v>74</v>
      </c>
      <c r="BC1402" s="129" t="s">
        <v>52</v>
      </c>
      <c r="BF1402" s="111">
        <f t="shared" si="1023"/>
        <v>2</v>
      </c>
      <c r="BG1402" s="111">
        <f t="shared" si="1028"/>
        <v>111</v>
      </c>
      <c r="BH1402" s="111">
        <f t="shared" si="995"/>
        <v>111</v>
      </c>
      <c r="BI1402" s="111">
        <f t="shared" si="996"/>
        <v>32.31693989071038</v>
      </c>
      <c r="BJ1402" s="129">
        <f>(G1402-J1402)+(M1402-G1402)</f>
        <v>0</v>
      </c>
      <c r="BK1402" s="129">
        <f t="shared" si="997"/>
        <v>-109</v>
      </c>
      <c r="BL1402" s="129" t="str">
        <f t="shared" si="1024"/>
        <v>DEFERRED</v>
      </c>
      <c r="BM1402" s="129" t="s">
        <v>76</v>
      </c>
      <c r="BN1402" s="129" t="s">
        <v>88</v>
      </c>
      <c r="BP1402" s="137" t="str">
        <f t="shared" si="1001"/>
        <v>DEFERRED</v>
      </c>
      <c r="BQ1402" s="128" t="str">
        <f t="shared" si="1002"/>
        <v>Y</v>
      </c>
      <c r="BR1402" s="129" t="str">
        <f t="shared" si="1003"/>
        <v>ON BOND</v>
      </c>
      <c r="BS1402" s="129" t="str">
        <f t="shared" si="1004"/>
        <v>DISPOSED</v>
      </c>
      <c r="BT1402" s="129" t="str">
        <f t="shared" si="1005"/>
        <v>N</v>
      </c>
      <c r="BU1402" s="109">
        <f t="shared" si="1012"/>
        <v>1.8018018018018018E-2</v>
      </c>
      <c r="BV1402" s="109">
        <f t="shared" si="1006"/>
        <v>1.8018018018018018E-2</v>
      </c>
      <c r="BW1402" s="109">
        <f t="shared" si="1035"/>
        <v>0</v>
      </c>
      <c r="BX1402" s="111">
        <f t="shared" si="1007"/>
        <v>0</v>
      </c>
      <c r="BY1402" s="129">
        <f t="shared" si="1008"/>
        <v>-2</v>
      </c>
      <c r="BZ1402" s="111">
        <f t="shared" si="1009"/>
        <v>0</v>
      </c>
      <c r="CA1402" s="138">
        <f t="shared" si="1010"/>
        <v>2</v>
      </c>
      <c r="CB1402" s="111" t="e">
        <f t="shared" si="1025"/>
        <v>#VALUE!</v>
      </c>
      <c r="CC1402" s="129">
        <f>M1402-I1402+1</f>
        <v>2</v>
      </c>
      <c r="CD1402" s="111">
        <f>CC1402-BF1402</f>
        <v>0</v>
      </c>
      <c r="CG1402" s="129" t="str">
        <f t="shared" si="1011"/>
        <v>Y</v>
      </c>
      <c r="CI1402" s="129" t="str">
        <f t="shared" si="1013"/>
        <v>0-10 DAYS</v>
      </c>
      <c r="CJ1402" s="137">
        <f t="shared" si="1014"/>
        <v>1</v>
      </c>
      <c r="CK1402" s="129" t="str">
        <f t="shared" si="1015"/>
        <v>Booked</v>
      </c>
    </row>
    <row r="1403" spans="1:89" ht="15.75" customHeight="1" x14ac:dyDescent="0.25">
      <c r="A1403" s="111">
        <v>3214</v>
      </c>
      <c r="B1403" s="128" t="str">
        <f t="shared" si="998"/>
        <v>N</v>
      </c>
      <c r="C1403" s="128" t="str">
        <f t="shared" si="999"/>
        <v>Y</v>
      </c>
      <c r="D1403" s="117">
        <v>2006902</v>
      </c>
      <c r="E1403" s="135">
        <f t="shared" si="1000"/>
        <v>5</v>
      </c>
      <c r="F1403" s="124">
        <v>41027</v>
      </c>
      <c r="G1403" s="125">
        <v>41150</v>
      </c>
      <c r="H1403" s="117">
        <v>2006902</v>
      </c>
      <c r="I1403" s="124">
        <v>41027</v>
      </c>
      <c r="J1403" s="124">
        <v>41030</v>
      </c>
      <c r="K1403" s="126">
        <v>45000</v>
      </c>
      <c r="L1403" s="129" t="s">
        <v>572</v>
      </c>
      <c r="M1403" s="125">
        <v>41030</v>
      </c>
      <c r="N1403" s="129" t="str">
        <f t="shared" si="1034"/>
        <v>Y</v>
      </c>
      <c r="O1403" s="128" t="s">
        <v>76</v>
      </c>
      <c r="P1403" s="129" t="s">
        <v>39</v>
      </c>
      <c r="Q1403" s="111">
        <v>19</v>
      </c>
      <c r="R1403" s="111">
        <f t="shared" si="1021"/>
        <v>124</v>
      </c>
      <c r="S1403" s="129">
        <v>6</v>
      </c>
      <c r="T1403" s="129">
        <v>7</v>
      </c>
      <c r="U1403" s="129">
        <v>4</v>
      </c>
      <c r="W1403" s="111"/>
      <c r="AC1403" s="130"/>
      <c r="AD1403" s="130">
        <v>31071</v>
      </c>
      <c r="AE1403" s="128" t="s">
        <v>32</v>
      </c>
      <c r="AF1403" s="128" t="s">
        <v>33</v>
      </c>
      <c r="AG1403" s="128" t="s">
        <v>872</v>
      </c>
      <c r="AH1403" s="108" t="s">
        <v>58</v>
      </c>
      <c r="AI1403" s="128" t="s">
        <v>100</v>
      </c>
      <c r="AJ1403" s="129" t="s">
        <v>89</v>
      </c>
      <c r="AK1403" s="129">
        <v>7</v>
      </c>
      <c r="AL1403" s="3" t="s">
        <v>992</v>
      </c>
      <c r="AN1403" s="117">
        <v>6</v>
      </c>
      <c r="AP1403" s="129" t="s">
        <v>211</v>
      </c>
      <c r="AR1403" s="128" t="s">
        <v>44</v>
      </c>
      <c r="AS1403" s="129" t="s">
        <v>82</v>
      </c>
      <c r="AV1403" s="3" t="s">
        <v>88</v>
      </c>
      <c r="AW1403" s="129" t="s">
        <v>799</v>
      </c>
      <c r="BC1403" s="129" t="s">
        <v>38</v>
      </c>
      <c r="BF1403" s="111">
        <v>19</v>
      </c>
      <c r="BG1403" s="111">
        <f t="shared" si="1028"/>
        <v>124</v>
      </c>
      <c r="BH1403" s="111">
        <f t="shared" si="995"/>
        <v>124</v>
      </c>
      <c r="BI1403" s="111">
        <f t="shared" si="996"/>
        <v>27.202185792349727</v>
      </c>
      <c r="BJ1403" s="129">
        <f>(G1403-J1403)+(M1403-G1403)</f>
        <v>0</v>
      </c>
      <c r="BK1403" s="129">
        <f t="shared" si="997"/>
        <v>-120</v>
      </c>
      <c r="BL1403" s="129" t="str">
        <f t="shared" si="1024"/>
        <v>CONVICTION</v>
      </c>
      <c r="BM1403" s="129" t="s">
        <v>76</v>
      </c>
      <c r="BN1403" s="129" t="s">
        <v>51</v>
      </c>
      <c r="BP1403" s="137" t="str">
        <f t="shared" si="1001"/>
        <v>CONVICTION</v>
      </c>
      <c r="BQ1403" s="128" t="str">
        <f t="shared" si="1002"/>
        <v>Y</v>
      </c>
      <c r="BR1403" s="129" t="str">
        <f>IF(J1403&lt;G1403,"ON BOND",0)</f>
        <v>ON BOND</v>
      </c>
      <c r="BS1403" s="129" t="str">
        <f t="shared" si="1004"/>
        <v>DISPOSED</v>
      </c>
      <c r="BT1403" s="129" t="str">
        <f t="shared" si="1005"/>
        <v>Y</v>
      </c>
      <c r="BU1403" s="109">
        <f t="shared" si="1012"/>
        <v>0.15322580645161291</v>
      </c>
      <c r="BV1403" s="109">
        <f t="shared" si="1006"/>
        <v>3.2258064516129031E-2</v>
      </c>
      <c r="BW1403" s="109">
        <f t="shared" si="1035"/>
        <v>-0.12096774193548387</v>
      </c>
      <c r="BX1403" s="111">
        <f t="shared" si="1007"/>
        <v>0</v>
      </c>
      <c r="BY1403" s="129">
        <f t="shared" si="1008"/>
        <v>-4</v>
      </c>
      <c r="BZ1403" s="111">
        <f t="shared" si="1009"/>
        <v>15</v>
      </c>
      <c r="CA1403" s="138">
        <f t="shared" si="1010"/>
        <v>4</v>
      </c>
      <c r="CB1403" s="111">
        <v>19</v>
      </c>
      <c r="CD1403" s="129">
        <f>G1403-J1403</f>
        <v>120</v>
      </c>
      <c r="CG1403" s="129" t="str">
        <f t="shared" si="1011"/>
        <v>Y</v>
      </c>
      <c r="CI1403" s="129" t="str">
        <f t="shared" si="1013"/>
        <v>11-30 DAYS</v>
      </c>
      <c r="CJ1403" s="137">
        <f t="shared" si="1014"/>
        <v>2</v>
      </c>
      <c r="CK1403" s="129" t="str">
        <f t="shared" si="1015"/>
        <v>Booked</v>
      </c>
    </row>
    <row r="1404" spans="1:89" ht="15.75" customHeight="1" x14ac:dyDescent="0.25">
      <c r="A1404" s="111">
        <v>24</v>
      </c>
      <c r="B1404" s="128" t="str">
        <f t="shared" si="998"/>
        <v>N</v>
      </c>
      <c r="C1404" s="128" t="str">
        <f t="shared" si="999"/>
        <v>N</v>
      </c>
      <c r="D1404" s="117">
        <v>2007436</v>
      </c>
      <c r="E1404" s="135">
        <f t="shared" si="1000"/>
        <v>5</v>
      </c>
      <c r="F1404" s="124">
        <v>40910</v>
      </c>
      <c r="G1404" s="125">
        <v>40980</v>
      </c>
      <c r="H1404" s="117">
        <v>2007436</v>
      </c>
      <c r="I1404" s="124">
        <v>40910</v>
      </c>
      <c r="J1404" s="124">
        <v>40980</v>
      </c>
      <c r="K1404" s="126">
        <v>15000</v>
      </c>
      <c r="L1404" s="127" t="s">
        <v>571</v>
      </c>
      <c r="N1404" s="129" t="str">
        <f t="shared" si="1034"/>
        <v>N</v>
      </c>
      <c r="O1404" s="128" t="s">
        <v>917</v>
      </c>
      <c r="P1404" s="129" t="s">
        <v>39</v>
      </c>
      <c r="Q1404" s="111">
        <f t="shared" ref="Q1404:Q1435" si="1036">BF1404</f>
        <v>71</v>
      </c>
      <c r="R1404" s="111">
        <f t="shared" si="1021"/>
        <v>71</v>
      </c>
      <c r="S1404" s="129">
        <v>6</v>
      </c>
      <c r="T1404" s="129">
        <v>13</v>
      </c>
      <c r="U1404" s="129">
        <v>2</v>
      </c>
      <c r="W1404" s="111"/>
      <c r="AC1404" s="130"/>
      <c r="AD1404" s="130">
        <v>31403</v>
      </c>
      <c r="AE1404" s="128" t="s">
        <v>32</v>
      </c>
      <c r="AF1404" s="128" t="s">
        <v>69</v>
      </c>
      <c r="AG1404" s="128" t="s">
        <v>874</v>
      </c>
      <c r="AH1404" s="108" t="s">
        <v>58</v>
      </c>
      <c r="AI1404" s="128" t="s">
        <v>59</v>
      </c>
      <c r="AJ1404" s="129" t="s">
        <v>89</v>
      </c>
      <c r="AK1404" s="129">
        <v>3</v>
      </c>
      <c r="AL1404" s="3" t="s">
        <v>992</v>
      </c>
      <c r="AN1404" s="117">
        <v>9</v>
      </c>
      <c r="AP1404" s="129" t="s">
        <v>43</v>
      </c>
      <c r="AR1404" s="128" t="s">
        <v>44</v>
      </c>
      <c r="AS1404" s="129" t="s">
        <v>45</v>
      </c>
      <c r="BC1404" s="129" t="s">
        <v>38</v>
      </c>
      <c r="BF1404" s="111">
        <f t="shared" ref="BF1404:BF1409" si="1037">IF(J1404&gt;1/1/1900,((J1404+1)-I1404),"STILL OPEN")</f>
        <v>71</v>
      </c>
      <c r="BG1404" s="111">
        <f t="shared" si="1028"/>
        <v>71</v>
      </c>
      <c r="BH1404" s="111">
        <f t="shared" si="995"/>
        <v>71</v>
      </c>
      <c r="BI1404" s="111">
        <f t="shared" si="996"/>
        <v>25.975409836065573</v>
      </c>
      <c r="BJ1404" s="129">
        <f t="shared" si="1016"/>
        <v>0</v>
      </c>
      <c r="BK1404" s="129">
        <f t="shared" si="997"/>
        <v>0</v>
      </c>
      <c r="BL1404" s="129" t="str">
        <f t="shared" si="1024"/>
        <v>CONVICTION</v>
      </c>
      <c r="BM1404" s="129" t="str">
        <f t="shared" si="1017"/>
        <v>NONE</v>
      </c>
      <c r="BN1404" s="129" t="s">
        <v>566</v>
      </c>
      <c r="BP1404" s="137" t="str">
        <f t="shared" si="1001"/>
        <v>CONVICTION</v>
      </c>
      <c r="BQ1404" s="128" t="str">
        <f t="shared" si="1002"/>
        <v>Y</v>
      </c>
      <c r="BR1404" s="129" t="str">
        <f t="shared" si="1003"/>
        <v>DETAINED</v>
      </c>
      <c r="BS1404" s="129" t="str">
        <f t="shared" si="1004"/>
        <v>DISPOSED</v>
      </c>
      <c r="BT1404" s="129" t="str">
        <f t="shared" si="1005"/>
        <v>Y</v>
      </c>
      <c r="BU1404" s="109">
        <f t="shared" si="1012"/>
        <v>1</v>
      </c>
      <c r="BV1404" s="109">
        <f t="shared" si="1006"/>
        <v>1</v>
      </c>
      <c r="BW1404" s="109">
        <f t="shared" si="1035"/>
        <v>0</v>
      </c>
      <c r="BX1404" s="111">
        <f t="shared" si="1007"/>
        <v>0</v>
      </c>
      <c r="BY1404" s="129">
        <f t="shared" si="1008"/>
        <v>-71</v>
      </c>
      <c r="BZ1404" s="111">
        <f t="shared" si="1009"/>
        <v>0</v>
      </c>
      <c r="CA1404" s="138">
        <f t="shared" si="1010"/>
        <v>71</v>
      </c>
      <c r="CB1404" s="111" t="e">
        <f t="shared" ref="CB1404:CB1409" si="1038">IF(AF1404&gt;1/1/1900,((AF1404+1)-AE1404),"STILL OPEN")</f>
        <v>#VALUE!</v>
      </c>
      <c r="CC1404" s="129">
        <f>G1404-I1404+1</f>
        <v>71</v>
      </c>
      <c r="CD1404" s="129">
        <f>G1404-J1404</f>
        <v>0</v>
      </c>
      <c r="CG1404" s="129" t="str">
        <f t="shared" si="1011"/>
        <v>Y</v>
      </c>
      <c r="CI1404" s="129" t="str">
        <f t="shared" si="1013"/>
        <v>61-90 DAYS</v>
      </c>
      <c r="CJ1404" s="137">
        <f t="shared" si="1014"/>
        <v>4</v>
      </c>
      <c r="CK1404" s="129" t="str">
        <f t="shared" si="1015"/>
        <v>Booked</v>
      </c>
    </row>
    <row r="1405" spans="1:89" ht="15.75" customHeight="1" x14ac:dyDescent="0.25">
      <c r="A1405" s="111">
        <v>269</v>
      </c>
      <c r="B1405" s="128" t="str">
        <f t="shared" si="998"/>
        <v>N</v>
      </c>
      <c r="C1405" s="128" t="str">
        <f t="shared" si="999"/>
        <v>N</v>
      </c>
      <c r="D1405" s="117">
        <v>2007939</v>
      </c>
      <c r="E1405" s="135">
        <f t="shared" si="1000"/>
        <v>1</v>
      </c>
      <c r="F1405" s="124">
        <v>40920</v>
      </c>
      <c r="G1405" s="125">
        <v>41121</v>
      </c>
      <c r="H1405" s="117">
        <v>2007939</v>
      </c>
      <c r="I1405" s="124">
        <v>40920</v>
      </c>
      <c r="J1405" s="124">
        <v>40921</v>
      </c>
      <c r="K1405" s="126">
        <v>30000</v>
      </c>
      <c r="L1405" s="129" t="s">
        <v>572</v>
      </c>
      <c r="M1405" s="125">
        <v>40921</v>
      </c>
      <c r="N1405" s="129" t="str">
        <f t="shared" si="1034"/>
        <v>Y</v>
      </c>
      <c r="O1405" s="128" t="s">
        <v>76</v>
      </c>
      <c r="P1405" s="129" t="s">
        <v>55</v>
      </c>
      <c r="Q1405" s="111">
        <f t="shared" si="1036"/>
        <v>2</v>
      </c>
      <c r="R1405" s="111">
        <f t="shared" si="1021"/>
        <v>202</v>
      </c>
      <c r="S1405" s="129">
        <v>2</v>
      </c>
      <c r="T1405" s="129">
        <v>3</v>
      </c>
      <c r="U1405" s="129">
        <v>1</v>
      </c>
      <c r="W1405" s="111"/>
      <c r="AC1405" s="130"/>
      <c r="AD1405" s="130">
        <v>30563</v>
      </c>
      <c r="AE1405" s="128" t="s">
        <v>32</v>
      </c>
      <c r="AF1405" s="128" t="s">
        <v>69</v>
      </c>
      <c r="AG1405" s="128" t="s">
        <v>874</v>
      </c>
      <c r="AH1405" s="108" t="s">
        <v>31</v>
      </c>
      <c r="AI1405" s="128" t="s">
        <v>47</v>
      </c>
      <c r="AJ1405" s="129" t="s">
        <v>55</v>
      </c>
      <c r="AK1405" s="129">
        <v>10</v>
      </c>
      <c r="AL1405" s="3" t="s">
        <v>55</v>
      </c>
      <c r="AP1405" s="129" t="s">
        <v>49</v>
      </c>
      <c r="AR1405" s="128" t="s">
        <v>50</v>
      </c>
      <c r="AS1405" s="129" t="s">
        <v>45</v>
      </c>
      <c r="BC1405" s="129" t="s">
        <v>52</v>
      </c>
      <c r="BF1405" s="111">
        <f t="shared" si="1037"/>
        <v>2</v>
      </c>
      <c r="BG1405" s="111">
        <f t="shared" si="1028"/>
        <v>202</v>
      </c>
      <c r="BH1405" s="111">
        <f t="shared" si="995"/>
        <v>202</v>
      </c>
      <c r="BI1405" s="111">
        <f t="shared" si="996"/>
        <v>28.297814207650273</v>
      </c>
      <c r="BJ1405" s="129">
        <f>(G1405-J1405)+(M1405-G1405)</f>
        <v>0</v>
      </c>
      <c r="BK1405" s="129">
        <f t="shared" si="997"/>
        <v>-200</v>
      </c>
      <c r="BL1405" s="129" t="str">
        <f t="shared" si="1024"/>
        <v>NO CONVICTION</v>
      </c>
      <c r="BM1405" s="129" t="s">
        <v>76</v>
      </c>
      <c r="BN1405" s="129" t="s">
        <v>88</v>
      </c>
      <c r="BP1405" s="137" t="str">
        <f t="shared" si="1001"/>
        <v>NO CONVICTION</v>
      </c>
      <c r="BQ1405" s="128" t="str">
        <f t="shared" si="1002"/>
        <v>Y</v>
      </c>
      <c r="BR1405" s="129" t="str">
        <f t="shared" si="1003"/>
        <v>ON BOND</v>
      </c>
      <c r="BS1405" s="129" t="str">
        <f t="shared" si="1004"/>
        <v>DISPOSED</v>
      </c>
      <c r="BT1405" s="129" t="str">
        <f t="shared" si="1005"/>
        <v>Y</v>
      </c>
      <c r="BU1405" s="109">
        <f>IFERROR(Q1405/R1405,BR1405)</f>
        <v>9.9009900990099011E-3</v>
      </c>
      <c r="BV1405" s="109">
        <f t="shared" si="1006"/>
        <v>9.9009900990099011E-3</v>
      </c>
      <c r="BW1405" s="109">
        <f t="shared" si="1035"/>
        <v>0</v>
      </c>
      <c r="BX1405" s="111">
        <f t="shared" si="1007"/>
        <v>0</v>
      </c>
      <c r="BY1405" s="129">
        <f t="shared" si="1008"/>
        <v>-2</v>
      </c>
      <c r="BZ1405" s="111">
        <f t="shared" si="1009"/>
        <v>0</v>
      </c>
      <c r="CA1405" s="138">
        <f t="shared" si="1010"/>
        <v>2</v>
      </c>
      <c r="CB1405" s="111" t="e">
        <f t="shared" si="1038"/>
        <v>#VALUE!</v>
      </c>
      <c r="CC1405" s="129">
        <f>M1405-I1405+1</f>
        <v>2</v>
      </c>
      <c r="CD1405" s="111">
        <f>CC1405-BF1405</f>
        <v>0</v>
      </c>
      <c r="CG1405" s="129" t="str">
        <f t="shared" si="1011"/>
        <v>Y</v>
      </c>
      <c r="CI1405" s="129" t="str">
        <f t="shared" si="1013"/>
        <v>0-10 DAYS</v>
      </c>
      <c r="CJ1405" s="137">
        <f t="shared" si="1014"/>
        <v>1</v>
      </c>
      <c r="CK1405" s="129" t="str">
        <f t="shared" si="1015"/>
        <v>Booked</v>
      </c>
    </row>
    <row r="1406" spans="1:89" ht="15.75" customHeight="1" x14ac:dyDescent="0.25">
      <c r="A1406" s="111">
        <v>2052</v>
      </c>
      <c r="B1406" s="128" t="str">
        <f t="shared" si="998"/>
        <v>N</v>
      </c>
      <c r="C1406" s="128" t="str">
        <f t="shared" si="999"/>
        <v>N</v>
      </c>
      <c r="D1406" s="117">
        <v>2008446</v>
      </c>
      <c r="E1406" s="135">
        <f t="shared" si="1000"/>
        <v>6</v>
      </c>
      <c r="F1406" s="124">
        <v>40986</v>
      </c>
      <c r="G1406" s="125">
        <v>41045</v>
      </c>
      <c r="H1406" s="117">
        <v>2008446</v>
      </c>
      <c r="I1406" s="124">
        <v>40986</v>
      </c>
      <c r="J1406" s="124">
        <v>41045</v>
      </c>
      <c r="K1406" s="126" t="s">
        <v>564</v>
      </c>
      <c r="L1406" s="127" t="s">
        <v>564</v>
      </c>
      <c r="N1406" s="129" t="s">
        <v>566</v>
      </c>
      <c r="O1406" s="128" t="s">
        <v>917</v>
      </c>
      <c r="P1406" s="129" t="s">
        <v>39</v>
      </c>
      <c r="Q1406" s="111">
        <f t="shared" si="1036"/>
        <v>60</v>
      </c>
      <c r="R1406" s="111">
        <f t="shared" si="1021"/>
        <v>60</v>
      </c>
      <c r="S1406" s="129">
        <v>1</v>
      </c>
      <c r="T1406" s="129">
        <v>16</v>
      </c>
      <c r="U1406" s="129">
        <v>1</v>
      </c>
      <c r="W1406" s="111"/>
      <c r="AC1406" s="130"/>
      <c r="AD1406" s="130">
        <v>31430</v>
      </c>
      <c r="AE1406" s="128" t="s">
        <v>32</v>
      </c>
      <c r="AF1406" s="128" t="s">
        <v>69</v>
      </c>
      <c r="AG1406" s="128" t="s">
        <v>874</v>
      </c>
      <c r="AH1406" s="108" t="s">
        <v>58</v>
      </c>
      <c r="AI1406" s="128" t="s">
        <v>83</v>
      </c>
      <c r="AJ1406" s="129" t="s">
        <v>89</v>
      </c>
      <c r="AK1406" s="129">
        <v>4</v>
      </c>
      <c r="AL1406" s="3" t="s">
        <v>362</v>
      </c>
      <c r="AM1406" s="117">
        <v>3</v>
      </c>
      <c r="AP1406" s="129" t="s">
        <v>150</v>
      </c>
      <c r="AR1406" s="128" t="s">
        <v>67</v>
      </c>
      <c r="AS1406" s="129" t="s">
        <v>74</v>
      </c>
      <c r="BC1406" s="129" t="s">
        <v>38</v>
      </c>
      <c r="BF1406" s="111">
        <f t="shared" si="1037"/>
        <v>60</v>
      </c>
      <c r="BG1406" s="111">
        <f t="shared" si="1028"/>
        <v>60</v>
      </c>
      <c r="BH1406" s="111">
        <f t="shared" si="995"/>
        <v>60</v>
      </c>
      <c r="BI1406" s="111">
        <f t="shared" si="996"/>
        <v>26.10928961748634</v>
      </c>
      <c r="BJ1406" s="129">
        <f t="shared" si="1016"/>
        <v>0</v>
      </c>
      <c r="BK1406" s="129">
        <f t="shared" si="997"/>
        <v>0</v>
      </c>
      <c r="BL1406" s="129" t="str">
        <f t="shared" si="1024"/>
        <v>CONVICTION</v>
      </c>
      <c r="BM1406" s="129" t="str">
        <f t="shared" si="1017"/>
        <v>NONE</v>
      </c>
      <c r="BN1406" s="129" t="s">
        <v>566</v>
      </c>
      <c r="BP1406" s="137" t="str">
        <f t="shared" si="1001"/>
        <v>CONVICTION</v>
      </c>
      <c r="BQ1406" s="128" t="str">
        <f t="shared" si="1002"/>
        <v>Y</v>
      </c>
      <c r="BR1406" s="129" t="str">
        <f t="shared" si="1003"/>
        <v>DETAINED</v>
      </c>
      <c r="BS1406" s="129" t="str">
        <f t="shared" si="1004"/>
        <v>DISPOSED</v>
      </c>
      <c r="BT1406" s="129" t="str">
        <f t="shared" si="1005"/>
        <v>Y</v>
      </c>
      <c r="BU1406" s="109">
        <f t="shared" si="1012"/>
        <v>1</v>
      </c>
      <c r="BV1406" s="109">
        <f t="shared" si="1006"/>
        <v>1</v>
      </c>
      <c r="BW1406" s="109">
        <f t="shared" si="1035"/>
        <v>0</v>
      </c>
      <c r="BX1406" s="111">
        <f t="shared" si="1007"/>
        <v>0</v>
      </c>
      <c r="BY1406" s="129">
        <f t="shared" si="1008"/>
        <v>-60</v>
      </c>
      <c r="BZ1406" s="111">
        <f t="shared" si="1009"/>
        <v>0</v>
      </c>
      <c r="CA1406" s="138">
        <f t="shared" si="1010"/>
        <v>60</v>
      </c>
      <c r="CB1406" s="111" t="e">
        <f t="shared" si="1038"/>
        <v>#VALUE!</v>
      </c>
      <c r="CC1406" s="129">
        <f>G1406-I1406+1</f>
        <v>60</v>
      </c>
      <c r="CD1406" s="129">
        <f>G1406-J1406</f>
        <v>0</v>
      </c>
      <c r="CG1406" s="129" t="str">
        <f t="shared" si="1011"/>
        <v>Y</v>
      </c>
      <c r="CI1406" s="129" t="str">
        <f t="shared" si="1013"/>
        <v>31-60 DAYS</v>
      </c>
      <c r="CJ1406" s="137">
        <f t="shared" si="1014"/>
        <v>3</v>
      </c>
      <c r="CK1406" s="129" t="str">
        <f t="shared" si="1015"/>
        <v>Booked</v>
      </c>
    </row>
    <row r="1407" spans="1:89" ht="15" customHeight="1" x14ac:dyDescent="0.25">
      <c r="A1407" s="111">
        <v>110</v>
      </c>
      <c r="B1407" s="128" t="str">
        <f t="shared" si="998"/>
        <v>N</v>
      </c>
      <c r="C1407" s="128" t="str">
        <f t="shared" si="999"/>
        <v>N</v>
      </c>
      <c r="D1407" s="117">
        <v>2009566</v>
      </c>
      <c r="E1407" s="135">
        <f t="shared" si="1000"/>
        <v>6</v>
      </c>
      <c r="F1407" s="124">
        <v>40913</v>
      </c>
      <c r="G1407" s="125">
        <v>40947</v>
      </c>
      <c r="H1407" s="117">
        <v>2009566</v>
      </c>
      <c r="I1407" s="124">
        <v>40914</v>
      </c>
      <c r="J1407" s="124">
        <v>40947</v>
      </c>
      <c r="K1407" s="126">
        <v>20000</v>
      </c>
      <c r="L1407" s="127" t="s">
        <v>571</v>
      </c>
      <c r="N1407" s="129" t="str">
        <f>IF(M1407&gt;1/1/1,"Y","N")</f>
        <v>N</v>
      </c>
      <c r="O1407" s="128" t="s">
        <v>917</v>
      </c>
      <c r="P1407" s="129" t="s">
        <v>39</v>
      </c>
      <c r="Q1407" s="111">
        <f t="shared" si="1036"/>
        <v>34</v>
      </c>
      <c r="R1407" s="111">
        <f t="shared" si="1021"/>
        <v>35</v>
      </c>
      <c r="S1407" s="129">
        <v>2</v>
      </c>
      <c r="T1407" s="129">
        <v>3</v>
      </c>
      <c r="U1407" s="129">
        <v>2</v>
      </c>
      <c r="W1407" s="111"/>
      <c r="AC1407" s="130"/>
      <c r="AD1407" s="130">
        <v>30599</v>
      </c>
      <c r="AE1407" s="128" t="s">
        <v>32</v>
      </c>
      <c r="AF1407" s="128" t="s">
        <v>33</v>
      </c>
      <c r="AG1407" s="128" t="s">
        <v>872</v>
      </c>
      <c r="AH1407" s="108" t="s">
        <v>58</v>
      </c>
      <c r="AI1407" s="128" t="s">
        <v>47</v>
      </c>
      <c r="AJ1407" s="129" t="s">
        <v>89</v>
      </c>
      <c r="AK1407" s="129">
        <v>2</v>
      </c>
      <c r="AL1407" s="3" t="s">
        <v>362</v>
      </c>
      <c r="AM1407" s="117">
        <v>2</v>
      </c>
      <c r="AP1407" s="129" t="s">
        <v>111</v>
      </c>
      <c r="AR1407" s="128" t="s">
        <v>67</v>
      </c>
      <c r="AS1407" s="129" t="s">
        <v>45</v>
      </c>
      <c r="BC1407" s="129" t="s">
        <v>38</v>
      </c>
      <c r="BF1407" s="111">
        <f t="shared" si="1037"/>
        <v>34</v>
      </c>
      <c r="BG1407" s="111">
        <f t="shared" si="1028"/>
        <v>34</v>
      </c>
      <c r="BH1407" s="111">
        <f t="shared" si="995"/>
        <v>35</v>
      </c>
      <c r="BI1407" s="111">
        <f t="shared" si="996"/>
        <v>28.180327868852459</v>
      </c>
      <c r="BJ1407" s="129">
        <f t="shared" si="1016"/>
        <v>0</v>
      </c>
      <c r="BK1407" s="129">
        <f t="shared" si="997"/>
        <v>0</v>
      </c>
      <c r="BL1407" s="129" t="str">
        <f t="shared" si="1024"/>
        <v>CONVICTION</v>
      </c>
      <c r="BM1407" s="129" t="str">
        <f t="shared" si="1017"/>
        <v>NONE</v>
      </c>
      <c r="BN1407" s="129" t="s">
        <v>566</v>
      </c>
      <c r="BP1407" s="137" t="str">
        <f t="shared" si="1001"/>
        <v>CONVICTION</v>
      </c>
      <c r="BQ1407" s="128" t="str">
        <f t="shared" si="1002"/>
        <v>Y</v>
      </c>
      <c r="BR1407" s="129" t="str">
        <f t="shared" si="1003"/>
        <v>DETAINED</v>
      </c>
      <c r="BS1407" s="129" t="str">
        <f t="shared" si="1004"/>
        <v>DISPOSED</v>
      </c>
      <c r="BT1407" s="129" t="str">
        <f t="shared" si="1005"/>
        <v>Y</v>
      </c>
      <c r="BU1407" s="109">
        <f t="shared" si="1012"/>
        <v>0.97142857142857142</v>
      </c>
      <c r="BV1407" s="109">
        <f t="shared" si="1006"/>
        <v>1</v>
      </c>
      <c r="BW1407" s="109">
        <f t="shared" si="1035"/>
        <v>2.8571428571428581E-2</v>
      </c>
      <c r="BX1407" s="111">
        <f t="shared" si="1007"/>
        <v>0</v>
      </c>
      <c r="BY1407" s="129">
        <f t="shared" si="1008"/>
        <v>-34</v>
      </c>
      <c r="BZ1407" s="111">
        <f t="shared" si="1009"/>
        <v>0</v>
      </c>
      <c r="CA1407" s="138">
        <f t="shared" si="1010"/>
        <v>34</v>
      </c>
      <c r="CB1407" s="111" t="e">
        <f t="shared" si="1038"/>
        <v>#VALUE!</v>
      </c>
      <c r="CC1407" s="129">
        <f>G1407-I1407+1</f>
        <v>34</v>
      </c>
      <c r="CD1407" s="129">
        <f>G1407-J1407</f>
        <v>0</v>
      </c>
      <c r="CG1407" s="129" t="str">
        <f t="shared" si="1011"/>
        <v>Y</v>
      </c>
      <c r="CI1407" s="129" t="str">
        <f t="shared" si="1013"/>
        <v>31-60 DAYS</v>
      </c>
      <c r="CJ1407" s="137">
        <f t="shared" si="1014"/>
        <v>3</v>
      </c>
      <c r="CK1407" s="129" t="str">
        <f t="shared" si="1015"/>
        <v>Booked</v>
      </c>
    </row>
    <row r="1408" spans="1:89" ht="15" customHeight="1" x14ac:dyDescent="0.25">
      <c r="A1408" s="111">
        <v>2367</v>
      </c>
      <c r="B1408" s="128" t="str">
        <f t="shared" si="998"/>
        <v>N</v>
      </c>
      <c r="C1408" s="128" t="str">
        <f t="shared" si="999"/>
        <v>N</v>
      </c>
      <c r="D1408" s="117">
        <v>2012351</v>
      </c>
      <c r="E1408" s="135">
        <f t="shared" si="1000"/>
        <v>2</v>
      </c>
      <c r="F1408" s="124">
        <v>40998</v>
      </c>
      <c r="G1408" s="125">
        <v>41197</v>
      </c>
      <c r="H1408" s="117">
        <v>2012351</v>
      </c>
      <c r="I1408" s="124">
        <v>40998</v>
      </c>
      <c r="J1408" s="124">
        <v>41007</v>
      </c>
      <c r="K1408" s="126">
        <v>15000</v>
      </c>
      <c r="L1408" s="127" t="s">
        <v>571</v>
      </c>
      <c r="M1408" s="125">
        <v>41007</v>
      </c>
      <c r="N1408" s="129" t="str">
        <f>IF(M1408&gt;1/1/1,"Y","N")</f>
        <v>Y</v>
      </c>
      <c r="O1408" s="128" t="s">
        <v>76</v>
      </c>
      <c r="P1408" s="129" t="s">
        <v>589</v>
      </c>
      <c r="Q1408" s="111">
        <f t="shared" si="1036"/>
        <v>10</v>
      </c>
      <c r="R1408" s="111">
        <f t="shared" si="1021"/>
        <v>200</v>
      </c>
      <c r="S1408" s="129">
        <v>2</v>
      </c>
      <c r="T1408" s="129">
        <v>0</v>
      </c>
      <c r="U1408" s="129">
        <v>1</v>
      </c>
      <c r="W1408" s="111"/>
      <c r="AC1408" s="130"/>
      <c r="AD1408" s="130">
        <v>30571</v>
      </c>
      <c r="AE1408" s="128" t="s">
        <v>32</v>
      </c>
      <c r="AF1408" s="128" t="s">
        <v>33</v>
      </c>
      <c r="AG1408" s="128" t="s">
        <v>872</v>
      </c>
      <c r="AH1408" s="108" t="s">
        <v>31</v>
      </c>
      <c r="AI1408" s="128" t="s">
        <v>83</v>
      </c>
      <c r="AJ1408" s="129" t="s">
        <v>48</v>
      </c>
      <c r="AK1408" s="129">
        <v>12</v>
      </c>
      <c r="AL1408" s="3" t="s">
        <v>48</v>
      </c>
      <c r="AP1408" s="129" t="s">
        <v>101</v>
      </c>
      <c r="AR1408" s="128" t="s">
        <v>67</v>
      </c>
      <c r="AS1408" s="129" t="s">
        <v>64</v>
      </c>
      <c r="BC1408" s="129" t="s">
        <v>52</v>
      </c>
      <c r="BF1408" s="111">
        <f t="shared" si="1037"/>
        <v>10</v>
      </c>
      <c r="BG1408" s="111">
        <f t="shared" si="1028"/>
        <v>200</v>
      </c>
      <c r="BH1408" s="111">
        <f t="shared" si="995"/>
        <v>200</v>
      </c>
      <c r="BI1408" s="111">
        <f t="shared" si="996"/>
        <v>28.489071038251367</v>
      </c>
      <c r="BJ1408" s="129">
        <f>(G1408-J1408)+(M1408-G1408)</f>
        <v>0</v>
      </c>
      <c r="BK1408" s="129">
        <f t="shared" si="997"/>
        <v>-190</v>
      </c>
      <c r="BL1408" s="129" t="str">
        <f t="shared" si="1024"/>
        <v>DEFERRED</v>
      </c>
      <c r="BM1408" s="129" t="s">
        <v>76</v>
      </c>
      <c r="BN1408" s="129" t="s">
        <v>88</v>
      </c>
      <c r="BP1408" s="137" t="str">
        <f t="shared" si="1001"/>
        <v>DEFERRED</v>
      </c>
      <c r="BQ1408" s="128" t="str">
        <f t="shared" si="1002"/>
        <v>Y</v>
      </c>
      <c r="BR1408" s="129" t="str">
        <f t="shared" si="1003"/>
        <v>ON BOND</v>
      </c>
      <c r="BS1408" s="129" t="str">
        <f t="shared" si="1004"/>
        <v>DISPOSED</v>
      </c>
      <c r="BT1408" s="129" t="str">
        <f t="shared" si="1005"/>
        <v>Y</v>
      </c>
      <c r="BU1408" s="109">
        <f t="shared" si="1012"/>
        <v>0.05</v>
      </c>
      <c r="BV1408" s="109">
        <f t="shared" si="1006"/>
        <v>0.05</v>
      </c>
      <c r="BW1408" s="109">
        <f t="shared" si="1035"/>
        <v>0</v>
      </c>
      <c r="BX1408" s="111">
        <f t="shared" si="1007"/>
        <v>0</v>
      </c>
      <c r="BY1408" s="129">
        <f t="shared" si="1008"/>
        <v>-10</v>
      </c>
      <c r="BZ1408" s="111">
        <f t="shared" si="1009"/>
        <v>0</v>
      </c>
      <c r="CA1408" s="138">
        <f t="shared" si="1010"/>
        <v>10</v>
      </c>
      <c r="CB1408" s="111" t="e">
        <f t="shared" si="1038"/>
        <v>#VALUE!</v>
      </c>
      <c r="CC1408" s="129">
        <f>M1408-I1408+1</f>
        <v>10</v>
      </c>
      <c r="CD1408" s="111">
        <f>CC1408-BF1408</f>
        <v>0</v>
      </c>
      <c r="CG1408" s="129" t="str">
        <f t="shared" si="1011"/>
        <v>Y</v>
      </c>
      <c r="CI1408" s="129" t="str">
        <f t="shared" si="1013"/>
        <v>0-10 DAYS</v>
      </c>
      <c r="CJ1408" s="137">
        <f t="shared" si="1014"/>
        <v>1</v>
      </c>
      <c r="CK1408" s="129" t="str">
        <f t="shared" si="1015"/>
        <v>Booked</v>
      </c>
    </row>
    <row r="1409" spans="1:89" ht="15.75" customHeight="1" x14ac:dyDescent="0.25">
      <c r="A1409" s="111">
        <v>2979</v>
      </c>
      <c r="B1409" s="128" t="str">
        <f t="shared" si="998"/>
        <v>N</v>
      </c>
      <c r="C1409" s="128" t="str">
        <f t="shared" si="999"/>
        <v>N</v>
      </c>
      <c r="D1409" s="117">
        <v>2012398</v>
      </c>
      <c r="E1409" s="135">
        <f t="shared" si="1000"/>
        <v>5</v>
      </c>
      <c r="F1409" s="124">
        <v>41018</v>
      </c>
      <c r="G1409" s="125">
        <v>41032</v>
      </c>
      <c r="H1409" s="117">
        <v>2012398</v>
      </c>
      <c r="I1409" s="124">
        <v>41019</v>
      </c>
      <c r="J1409" s="124">
        <v>41032</v>
      </c>
      <c r="K1409" s="126">
        <v>5000</v>
      </c>
      <c r="L1409" s="127" t="s">
        <v>569</v>
      </c>
      <c r="N1409" s="129" t="str">
        <f>IF(M1409&gt;1/1/1,"Y","N")</f>
        <v>N</v>
      </c>
      <c r="O1409" s="128" t="s">
        <v>917</v>
      </c>
      <c r="P1409" s="129" t="s">
        <v>39</v>
      </c>
      <c r="Q1409" s="111">
        <f t="shared" si="1036"/>
        <v>14</v>
      </c>
      <c r="R1409" s="111">
        <f t="shared" si="1021"/>
        <v>15</v>
      </c>
      <c r="S1409" s="129">
        <v>1</v>
      </c>
      <c r="T1409" s="129">
        <v>2</v>
      </c>
      <c r="U1409" s="129">
        <v>1</v>
      </c>
      <c r="W1409" s="111"/>
      <c r="AC1409" s="130"/>
      <c r="AD1409" s="130">
        <v>30864</v>
      </c>
      <c r="AE1409" s="128" t="s">
        <v>32</v>
      </c>
      <c r="AF1409" s="128" t="s">
        <v>33</v>
      </c>
      <c r="AG1409" s="128" t="s">
        <v>872</v>
      </c>
      <c r="AH1409" s="108" t="s">
        <v>31</v>
      </c>
      <c r="AI1409" s="128" t="s">
        <v>47</v>
      </c>
      <c r="AJ1409" s="129" t="s">
        <v>89</v>
      </c>
      <c r="AK1409" s="129">
        <v>3</v>
      </c>
      <c r="AL1409" s="3" t="s">
        <v>992</v>
      </c>
      <c r="AN1409" s="117">
        <v>9</v>
      </c>
      <c r="AP1409" s="129" t="s">
        <v>43</v>
      </c>
      <c r="AR1409" s="128" t="s">
        <v>44</v>
      </c>
      <c r="AS1409" s="129" t="s">
        <v>45</v>
      </c>
      <c r="BC1409" s="129" t="s">
        <v>38</v>
      </c>
      <c r="BF1409" s="111">
        <f t="shared" si="1037"/>
        <v>14</v>
      </c>
      <c r="BG1409" s="111">
        <f t="shared" si="1028"/>
        <v>14</v>
      </c>
      <c r="BH1409" s="111">
        <f t="shared" ref="BH1409:BH1472" si="1039">IF(G1409&gt;1/1/1900,((G1409+1)-F1409),"STILL OPEN")</f>
        <v>15</v>
      </c>
      <c r="BI1409" s="111">
        <f t="shared" ref="BI1409:BI1472" si="1040">(F1409-AD1409)/366</f>
        <v>27.743169398907103</v>
      </c>
      <c r="BJ1409" s="129">
        <f t="shared" si="1016"/>
        <v>0</v>
      </c>
      <c r="BK1409" s="129">
        <f t="shared" ref="BK1409:BK1472" si="1041">J1409-G1409</f>
        <v>0</v>
      </c>
      <c r="BL1409" s="129" t="str">
        <f t="shared" si="1024"/>
        <v>CONVICTION</v>
      </c>
      <c r="BM1409" s="129" t="str">
        <f t="shared" si="1017"/>
        <v>NONE</v>
      </c>
      <c r="BN1409" s="129" t="s">
        <v>566</v>
      </c>
      <c r="BP1409" s="137" t="str">
        <f t="shared" si="1001"/>
        <v>CONVICTION</v>
      </c>
      <c r="BQ1409" s="128" t="str">
        <f t="shared" si="1002"/>
        <v>Y</v>
      </c>
      <c r="BR1409" s="129" t="str">
        <f t="shared" si="1003"/>
        <v>DETAINED</v>
      </c>
      <c r="BS1409" s="129" t="str">
        <f t="shared" si="1004"/>
        <v>DISPOSED</v>
      </c>
      <c r="BT1409" s="129" t="str">
        <f t="shared" si="1005"/>
        <v>Y</v>
      </c>
      <c r="BU1409" s="109">
        <f t="shared" si="1012"/>
        <v>0.93333333333333335</v>
      </c>
      <c r="BV1409" s="109">
        <f t="shared" si="1006"/>
        <v>1</v>
      </c>
      <c r="BW1409" s="109">
        <f t="shared" si="1035"/>
        <v>6.6666666666666652E-2</v>
      </c>
      <c r="BX1409" s="111">
        <f t="shared" si="1007"/>
        <v>0</v>
      </c>
      <c r="BY1409" s="129">
        <f t="shared" si="1008"/>
        <v>-14</v>
      </c>
      <c r="BZ1409" s="111">
        <f t="shared" si="1009"/>
        <v>0</v>
      </c>
      <c r="CA1409" s="138">
        <f t="shared" si="1010"/>
        <v>14</v>
      </c>
      <c r="CB1409" s="111" t="e">
        <f t="shared" si="1038"/>
        <v>#VALUE!</v>
      </c>
      <c r="CC1409" s="129">
        <f>G1409-I1409+1</f>
        <v>14</v>
      </c>
      <c r="CD1409" s="129">
        <f>G1409-J1409</f>
        <v>0</v>
      </c>
      <c r="CG1409" s="129" t="str">
        <f t="shared" si="1011"/>
        <v>Y</v>
      </c>
      <c r="CI1409" s="129" t="str">
        <f t="shared" si="1013"/>
        <v>11-30 DAYS</v>
      </c>
      <c r="CJ1409" s="137">
        <f t="shared" si="1014"/>
        <v>2</v>
      </c>
      <c r="CK1409" s="129" t="str">
        <f t="shared" si="1015"/>
        <v>Booked</v>
      </c>
    </row>
    <row r="1410" spans="1:89" ht="15.75" customHeight="1" x14ac:dyDescent="0.25">
      <c r="A1410" s="111">
        <v>393</v>
      </c>
      <c r="B1410" s="128" t="str">
        <f t="shared" ref="B1410:B1473" si="1042">IF(BD1410&lt;&gt;"","Y","N")</f>
        <v>N</v>
      </c>
      <c r="C1410" s="128" t="str">
        <f t="shared" ref="C1410:C1473" si="1043">IF((AND(AV1410="",AX1410="",AY1410="")),"N","Y")</f>
        <v>N</v>
      </c>
      <c r="D1410" s="117">
        <v>2012545</v>
      </c>
      <c r="E1410" s="135">
        <f t="shared" ref="E1410:E1473" si="1044">IF(OR(AL1410="ACQUITTAL",AL1410="ACQUIT",AL1410="acq insane",AL1410="DISMISSED",AL1410="NO BILL"),1,IF(AL1410="DEFERRED",2,IF(AL1410="PROBATION",3,IF(OR(AL1410="HCJ",AL1410="fine"),4,IF(AL1410="STJ",5,IF(AL1410="TDC",6,""))))))</f>
        <v>1</v>
      </c>
      <c r="F1410" s="124">
        <v>40925</v>
      </c>
      <c r="G1410" s="125">
        <v>41080</v>
      </c>
      <c r="H1410" s="117">
        <v>2012545</v>
      </c>
      <c r="I1410" s="124" t="s">
        <v>562</v>
      </c>
      <c r="J1410" s="124" t="s">
        <v>562</v>
      </c>
      <c r="K1410" s="126">
        <v>10000</v>
      </c>
      <c r="L1410" s="127" t="s">
        <v>570</v>
      </c>
      <c r="M1410" s="125">
        <v>40927</v>
      </c>
      <c r="N1410" s="129" t="str">
        <f>IF(M1410&gt;1/1/1,"Y",IF(Q1410="0","","N"))</f>
        <v>Y</v>
      </c>
      <c r="O1410" s="128" t="s">
        <v>76</v>
      </c>
      <c r="P1410" s="129" t="s">
        <v>55</v>
      </c>
      <c r="Q1410" s="111">
        <f t="shared" si="1036"/>
        <v>0</v>
      </c>
      <c r="R1410" s="111">
        <f t="shared" si="1021"/>
        <v>156</v>
      </c>
      <c r="S1410" s="129">
        <v>0</v>
      </c>
      <c r="T1410" s="129">
        <v>0</v>
      </c>
      <c r="W1410" s="111"/>
      <c r="AC1410" s="130"/>
      <c r="AD1410" s="130">
        <v>31025</v>
      </c>
      <c r="AE1410" s="128" t="s">
        <v>32</v>
      </c>
      <c r="AF1410" s="128" t="s">
        <v>33</v>
      </c>
      <c r="AG1410" s="128" t="s">
        <v>872</v>
      </c>
      <c r="AH1410" s="108" t="s">
        <v>58</v>
      </c>
      <c r="AI1410" s="128" t="s">
        <v>85</v>
      </c>
      <c r="AJ1410" s="129" t="s">
        <v>55</v>
      </c>
      <c r="AK1410" s="129">
        <v>8</v>
      </c>
      <c r="AL1410" s="3" t="s">
        <v>55</v>
      </c>
      <c r="AP1410" s="129" t="s">
        <v>186</v>
      </c>
      <c r="AR1410" s="128" t="s">
        <v>50</v>
      </c>
      <c r="AS1410" s="129" t="s">
        <v>106</v>
      </c>
      <c r="BC1410" s="129" t="s">
        <v>99</v>
      </c>
      <c r="BF1410" s="111">
        <v>0</v>
      </c>
      <c r="BG1410" s="111">
        <v>0</v>
      </c>
      <c r="BH1410" s="111">
        <f t="shared" si="1039"/>
        <v>156</v>
      </c>
      <c r="BI1410" s="111">
        <f t="shared" si="1040"/>
        <v>27.049180327868854</v>
      </c>
      <c r="BJ1410" s="129" t="e">
        <f>(G1410-J1410)+(M1410-G1410)</f>
        <v>#VALUE!</v>
      </c>
      <c r="BK1410" s="129" t="e">
        <f t="shared" si="1041"/>
        <v>#VALUE!</v>
      </c>
      <c r="BL1410" s="129" t="str">
        <f t="shared" si="1024"/>
        <v>NO CONVICTION</v>
      </c>
      <c r="BM1410" s="129" t="s">
        <v>76</v>
      </c>
      <c r="BN1410" s="129" t="s">
        <v>88</v>
      </c>
      <c r="BP1410" s="137" t="str">
        <f t="shared" ref="BP1410:BP1473" si="1045">IF(OR(AJ1410="AQUITTAL",AJ1410="DISMISSED",AJ1410="FINE",AJ1410="NO BILL"),"NO CONVICTION",IF(OR(AJ1410="HCJ",AJ1410="MHH",AJ1410="PROBATION",AJ1410="STJ",AJ1410="TDC",AJ1410="CONVICTED"),"CONVICTION",IF(AJ1410="DEFERRED","DEFERRED","")))</f>
        <v>NO CONVICTION</v>
      </c>
      <c r="BQ1410" s="128">
        <f t="shared" ref="BQ1410:BQ1473" si="1046">IF(BF1410&gt;0,"Y",BF1410)</f>
        <v>0</v>
      </c>
      <c r="BR1410" s="129" t="s">
        <v>575</v>
      </c>
      <c r="BS1410" s="129" t="str">
        <f t="shared" ref="BS1410:BS1473" si="1047">IF(G1410&lt;&gt;"","DISPOSED","")</f>
        <v>DISPOSED</v>
      </c>
      <c r="BT1410" s="129" t="str">
        <f t="shared" ref="BT1410:BT1473" si="1048">IF(S1410&gt;0,"Y","N")</f>
        <v>N</v>
      </c>
      <c r="BU1410" s="109">
        <f>IFERROR(Q1410/R1410,BR1410)</f>
        <v>0</v>
      </c>
      <c r="BV1410" s="109">
        <v>0</v>
      </c>
      <c r="BW1410" s="109">
        <f t="shared" si="1035"/>
        <v>0</v>
      </c>
      <c r="BX1410" s="111">
        <f t="shared" ref="BX1410:BX1473" si="1049">+Q1410-BF1410</f>
        <v>0</v>
      </c>
      <c r="BY1410" s="129" t="e">
        <f t="shared" ref="BY1410:BY1473" si="1050">I1410-J1410-1</f>
        <v>#VALUE!</v>
      </c>
      <c r="BZ1410" s="111" t="e">
        <f t="shared" ref="BZ1410:BZ1473" si="1051">BY1410+BF1410</f>
        <v>#VALUE!</v>
      </c>
      <c r="CA1410" s="138" t="e">
        <f t="shared" ref="CA1410:CA1473" si="1052">IF(AND(BS1410="DISPOSED",BR1410="DETAINED"),G1410-I1410+1,IF(AND(BS1410="DISPOSED",BR1410="ON BOND"),M1410-I1410+1,IF(AND(BS1410="STILL OPEN","STILL OPEN"),"NOT BOOKED")))</f>
        <v>#VALUE!</v>
      </c>
      <c r="CB1410" s="111">
        <v>0</v>
      </c>
      <c r="CC1410" s="129">
        <v>0</v>
      </c>
      <c r="CD1410" s="111">
        <f>CC1410-BF1410</f>
        <v>0</v>
      </c>
      <c r="CG1410" s="129" t="str">
        <f t="shared" ref="CG1410:CG1473" si="1053">IF((S1410+T1410+U1410)&gt;0,"Y","N")</f>
        <v>N</v>
      </c>
      <c r="CI1410" s="129" t="str">
        <f t="shared" si="1013"/>
        <v>0-10 DAYS</v>
      </c>
      <c r="CJ1410" s="137">
        <f t="shared" si="1014"/>
        <v>1</v>
      </c>
      <c r="CK1410" s="129" t="str">
        <f t="shared" si="1015"/>
        <v>Not Booked</v>
      </c>
    </row>
    <row r="1411" spans="1:89" ht="15.75" customHeight="1" x14ac:dyDescent="0.25">
      <c r="A1411" s="111">
        <v>1448</v>
      </c>
      <c r="B1411" s="128" t="str">
        <f t="shared" si="1042"/>
        <v>N</v>
      </c>
      <c r="C1411" s="128" t="str">
        <f t="shared" si="1043"/>
        <v>N</v>
      </c>
      <c r="D1411" s="117">
        <v>2013438</v>
      </c>
      <c r="E1411" s="135">
        <f t="shared" si="1044"/>
        <v>4</v>
      </c>
      <c r="F1411" s="124">
        <v>40962</v>
      </c>
      <c r="G1411" s="125">
        <v>41092</v>
      </c>
      <c r="H1411" s="117">
        <v>2013438</v>
      </c>
      <c r="I1411" s="124">
        <v>40962</v>
      </c>
      <c r="J1411" s="124">
        <v>40964</v>
      </c>
      <c r="K1411" s="126">
        <v>5000</v>
      </c>
      <c r="L1411" s="127" t="s">
        <v>569</v>
      </c>
      <c r="M1411" s="125">
        <v>40964</v>
      </c>
      <c r="N1411" s="129" t="str">
        <f>IF(M1411&gt;1/1/1,"Y","N")</f>
        <v>Y</v>
      </c>
      <c r="O1411" s="128" t="s">
        <v>76</v>
      </c>
      <c r="P1411" s="129" t="s">
        <v>39</v>
      </c>
      <c r="Q1411" s="111">
        <f t="shared" si="1036"/>
        <v>3</v>
      </c>
      <c r="R1411" s="111">
        <f t="shared" si="1021"/>
        <v>131</v>
      </c>
      <c r="S1411" s="129">
        <v>1</v>
      </c>
      <c r="T1411" s="129">
        <v>1</v>
      </c>
      <c r="W1411" s="111"/>
      <c r="AC1411" s="130"/>
      <c r="AD1411" s="130">
        <v>30779</v>
      </c>
      <c r="AE1411" s="128" t="s">
        <v>46</v>
      </c>
      <c r="AF1411" s="128" t="s">
        <v>69</v>
      </c>
      <c r="AG1411" s="128" t="s">
        <v>874</v>
      </c>
      <c r="AH1411" s="108" t="s">
        <v>58</v>
      </c>
      <c r="AI1411" s="128" t="s">
        <v>90</v>
      </c>
      <c r="AJ1411" s="129" t="s">
        <v>89</v>
      </c>
      <c r="AK1411" s="129">
        <v>7</v>
      </c>
      <c r="AL1411" s="3" t="s">
        <v>991</v>
      </c>
      <c r="AO1411" s="128">
        <v>90</v>
      </c>
      <c r="AP1411" s="129" t="s">
        <v>43</v>
      </c>
      <c r="AR1411" s="128" t="s">
        <v>44</v>
      </c>
      <c r="AS1411" s="129" t="s">
        <v>45</v>
      </c>
      <c r="BC1411" s="129" t="s">
        <v>52</v>
      </c>
      <c r="BF1411" s="111">
        <f t="shared" ref="BF1411:BF1420" si="1054">IF(J1411&gt;1/1/1900,((J1411+1)-I1411),"STILL OPEN")</f>
        <v>3</v>
      </c>
      <c r="BG1411" s="111">
        <f t="shared" ref="BG1411:BG1420" si="1055">IF(G1411&gt;1/1/1900,((G1411+1)-I1411),"STILL OPEN")</f>
        <v>131</v>
      </c>
      <c r="BH1411" s="111">
        <f t="shared" si="1039"/>
        <v>131</v>
      </c>
      <c r="BI1411" s="111">
        <f t="shared" si="1040"/>
        <v>27.8224043715847</v>
      </c>
      <c r="BJ1411" s="129">
        <f>(G1411-J1411)+(M1411-G1411)</f>
        <v>0</v>
      </c>
      <c r="BK1411" s="129">
        <f t="shared" si="1041"/>
        <v>-128</v>
      </c>
      <c r="BL1411" s="129" t="str">
        <f t="shared" si="1024"/>
        <v>CONVICTION</v>
      </c>
      <c r="BM1411" s="129" t="s">
        <v>76</v>
      </c>
      <c r="BN1411" s="129" t="s">
        <v>88</v>
      </c>
      <c r="BP1411" s="137" t="str">
        <f t="shared" si="1045"/>
        <v>CONVICTION</v>
      </c>
      <c r="BQ1411" s="128" t="str">
        <f t="shared" si="1046"/>
        <v>Y</v>
      </c>
      <c r="BR1411" s="129" t="str">
        <f>IF(J1411&lt;G1411,"ON BOND",0)</f>
        <v>ON BOND</v>
      </c>
      <c r="BS1411" s="129" t="str">
        <f t="shared" si="1047"/>
        <v>DISPOSED</v>
      </c>
      <c r="BT1411" s="129" t="str">
        <f t="shared" si="1048"/>
        <v>Y</v>
      </c>
      <c r="BU1411" s="109">
        <f t="shared" ref="BU1411:BU1472" si="1056">Q1411/R1411</f>
        <v>2.2900763358778626E-2</v>
      </c>
      <c r="BV1411" s="109">
        <f t="shared" ref="BV1411:BV1474" si="1057">IF(I1411&gt;F1411,((J1411-I1411+1)/(G1411-I1411+1)),(J1411-I1411+1)/(G1411-F1411+1))</f>
        <v>2.2900763358778626E-2</v>
      </c>
      <c r="BW1411" s="109">
        <f t="shared" si="1035"/>
        <v>0</v>
      </c>
      <c r="BX1411" s="111">
        <f t="shared" si="1049"/>
        <v>0</v>
      </c>
      <c r="BY1411" s="129">
        <f t="shared" si="1050"/>
        <v>-3</v>
      </c>
      <c r="BZ1411" s="111">
        <f t="shared" si="1051"/>
        <v>0</v>
      </c>
      <c r="CA1411" s="138">
        <f t="shared" si="1052"/>
        <v>3</v>
      </c>
      <c r="CB1411" s="111" t="e">
        <f t="shared" ref="CB1411:CB1420" si="1058">IF(AF1411&gt;1/1/1900,((AF1411+1)-AE1411),"STILL OPEN")</f>
        <v>#VALUE!</v>
      </c>
      <c r="CC1411" s="129">
        <f>M1411-I1411+1</f>
        <v>3</v>
      </c>
      <c r="CD1411" s="111">
        <f>CC1411-BF1411</f>
        <v>0</v>
      </c>
      <c r="CG1411" s="129" t="str">
        <f t="shared" si="1053"/>
        <v>Y</v>
      </c>
      <c r="CI1411" s="129" t="str">
        <f t="shared" ref="CI1411:CI1474" si="1059">IF(BF1411&lt;11,"0-10 DAYS",IF(AND(BF1411&gt;10,BF1411&lt;31),"11-30 DAYS",IF((AND(BF1411&gt;30,BF1411&lt;61)),"31-60 DAYS",IF(AND(BF1411&gt;60,BF1411&lt;91),"61-90 DAYS",IF(AND(BF1411&gt;90,BF1411&lt;121),"91-120 DAYS",IF(AND(BF1411&gt;120,BF1411&lt;366),"121-365 DAYS",IF(AND(BF1411&gt;365,BF1411&lt;730)," &gt;1YRS&lt;2YRS",IF(AND(BF1411&gt;729,BF1411&lt;1095),"&gt;2YRS&lt;3YRS",IF(BF1411&gt;1094,"&gt;3YRS")))))))))</f>
        <v>0-10 DAYS</v>
      </c>
      <c r="CJ1411" s="137">
        <f t="shared" ref="CJ1411:CJ1474" si="1060">IF(CI1411="0-10 DAYS",1,IF(CI1411="11-30 DAYS",2,IF(CI1411="31-60 DAYS",3,IF(CI1411="61-90 DAYS",4,IF(CK1411="91-120 DAYS",5,IF(CI1411="121-365 DAYS",6,IF(CI1411="&gt;1YRS&lt;2YRS",7,IF(CI1411="&gt;2YRS&lt;3YRS",8,IF(CI1411="&gt;3YRS",9,0)))))))))</f>
        <v>1</v>
      </c>
      <c r="CK1411" s="129" t="str">
        <f t="shared" ref="CK1411:CK1474" si="1061">IF(I1411="Not Booked","Not Booked","Booked")</f>
        <v>Booked</v>
      </c>
    </row>
    <row r="1412" spans="1:89" ht="15.75" customHeight="1" x14ac:dyDescent="0.25">
      <c r="A1412" s="111">
        <v>2140</v>
      </c>
      <c r="B1412" s="128" t="str">
        <f t="shared" si="1042"/>
        <v>N</v>
      </c>
      <c r="C1412" s="128" t="str">
        <f t="shared" si="1043"/>
        <v>N</v>
      </c>
      <c r="D1412" s="117">
        <v>2013548</v>
      </c>
      <c r="E1412" s="135">
        <f t="shared" si="1044"/>
        <v>2</v>
      </c>
      <c r="F1412" s="124">
        <v>40989</v>
      </c>
      <c r="G1412" s="125">
        <v>41109</v>
      </c>
      <c r="H1412" s="117">
        <v>2013548</v>
      </c>
      <c r="I1412" s="124">
        <v>40989</v>
      </c>
      <c r="J1412" s="124">
        <v>40994</v>
      </c>
      <c r="K1412" s="126">
        <v>5000</v>
      </c>
      <c r="L1412" s="127" t="s">
        <v>569</v>
      </c>
      <c r="M1412" s="125">
        <v>40994</v>
      </c>
      <c r="N1412" s="129" t="str">
        <f>IF(M1412&gt;1/1/1,"Y","N")</f>
        <v>Y</v>
      </c>
      <c r="O1412" s="128" t="s">
        <v>585</v>
      </c>
      <c r="P1412" s="129" t="s">
        <v>589</v>
      </c>
      <c r="Q1412" s="111">
        <f t="shared" si="1036"/>
        <v>6</v>
      </c>
      <c r="R1412" s="111">
        <f t="shared" si="1021"/>
        <v>121</v>
      </c>
      <c r="S1412" s="129">
        <v>1</v>
      </c>
      <c r="T1412" s="129">
        <v>1</v>
      </c>
      <c r="U1412" s="129">
        <v>1</v>
      </c>
      <c r="W1412" s="111"/>
      <c r="AC1412" s="130"/>
      <c r="AD1412" s="130">
        <v>29712</v>
      </c>
      <c r="AE1412" s="128" t="s">
        <v>46</v>
      </c>
      <c r="AF1412" s="128" t="s">
        <v>40</v>
      </c>
      <c r="AG1412" s="128" t="s">
        <v>41</v>
      </c>
      <c r="AH1412" s="108" t="s">
        <v>41</v>
      </c>
      <c r="AI1412" s="128" t="s">
        <v>70</v>
      </c>
      <c r="AJ1412" s="129" t="s">
        <v>48</v>
      </c>
      <c r="AK1412" s="129">
        <v>6</v>
      </c>
      <c r="AL1412" s="3" t="s">
        <v>48</v>
      </c>
      <c r="AP1412" s="129" t="s">
        <v>43</v>
      </c>
      <c r="AR1412" s="128" t="s">
        <v>44</v>
      </c>
      <c r="AS1412" s="129" t="s">
        <v>45</v>
      </c>
      <c r="AX1412" s="32"/>
      <c r="BC1412" s="129" t="s">
        <v>52</v>
      </c>
      <c r="BF1412" s="111">
        <f t="shared" si="1054"/>
        <v>6</v>
      </c>
      <c r="BG1412" s="111">
        <f t="shared" si="1055"/>
        <v>121</v>
      </c>
      <c r="BH1412" s="111">
        <f t="shared" si="1039"/>
        <v>121</v>
      </c>
      <c r="BI1412" s="111">
        <f t="shared" si="1040"/>
        <v>30.811475409836067</v>
      </c>
      <c r="BJ1412" s="129">
        <f>(G1412-J1412)+(M1412-G1412)</f>
        <v>0</v>
      </c>
      <c r="BK1412" s="129">
        <f t="shared" si="1041"/>
        <v>-115</v>
      </c>
      <c r="BL1412" s="129" t="str">
        <f t="shared" si="1024"/>
        <v>DEFERRED</v>
      </c>
      <c r="BM1412" s="129" t="s">
        <v>76</v>
      </c>
      <c r="BN1412" s="129" t="s">
        <v>88</v>
      </c>
      <c r="BP1412" s="137" t="str">
        <f t="shared" si="1045"/>
        <v>DEFERRED</v>
      </c>
      <c r="BQ1412" s="128" t="str">
        <f t="shared" si="1046"/>
        <v>Y</v>
      </c>
      <c r="BR1412" s="129" t="str">
        <f t="shared" ref="BR1412:BR1472" si="1062">IF(AND(J1412="NOT BOOKED",M1412&gt;1/1/1),"BONDED - BEFORE BOOKED",IF(BG1412="STILL OPEN","STILL OPEN",IF(N1412="Y","ON BOND",IF(J1412&gt;=G1412,"DETAINED","RELEASED"))))</f>
        <v>ON BOND</v>
      </c>
      <c r="BS1412" s="129" t="str">
        <f t="shared" si="1047"/>
        <v>DISPOSED</v>
      </c>
      <c r="BT1412" s="129" t="str">
        <f t="shared" si="1048"/>
        <v>Y</v>
      </c>
      <c r="BU1412" s="109">
        <f t="shared" si="1056"/>
        <v>4.9586776859504134E-2</v>
      </c>
      <c r="BV1412" s="109">
        <f t="shared" si="1057"/>
        <v>4.9586776859504134E-2</v>
      </c>
      <c r="BW1412" s="109">
        <f t="shared" si="1035"/>
        <v>0</v>
      </c>
      <c r="BX1412" s="111">
        <f t="shared" si="1049"/>
        <v>0</v>
      </c>
      <c r="BY1412" s="129">
        <f t="shared" si="1050"/>
        <v>-6</v>
      </c>
      <c r="BZ1412" s="111">
        <f t="shared" si="1051"/>
        <v>0</v>
      </c>
      <c r="CA1412" s="138">
        <f t="shared" si="1052"/>
        <v>6</v>
      </c>
      <c r="CB1412" s="111" t="e">
        <f t="shared" si="1058"/>
        <v>#VALUE!</v>
      </c>
      <c r="CC1412" s="129">
        <f>M1412-I1412+1</f>
        <v>6</v>
      </c>
      <c r="CD1412" s="111">
        <f>CC1412-BF1412</f>
        <v>0</v>
      </c>
      <c r="CG1412" s="129" t="str">
        <f t="shared" si="1053"/>
        <v>Y</v>
      </c>
      <c r="CI1412" s="129" t="str">
        <f t="shared" si="1059"/>
        <v>0-10 DAYS</v>
      </c>
      <c r="CJ1412" s="137">
        <f t="shared" si="1060"/>
        <v>1</v>
      </c>
      <c r="CK1412" s="129" t="str">
        <f t="shared" si="1061"/>
        <v>Booked</v>
      </c>
    </row>
    <row r="1413" spans="1:89" ht="15.75" customHeight="1" x14ac:dyDescent="0.25">
      <c r="A1413" s="111">
        <v>1751</v>
      </c>
      <c r="B1413" s="128" t="str">
        <f t="shared" si="1042"/>
        <v>N</v>
      </c>
      <c r="C1413" s="128" t="str">
        <f t="shared" si="1043"/>
        <v>N</v>
      </c>
      <c r="D1413" s="117">
        <v>2014307</v>
      </c>
      <c r="E1413" s="135">
        <f t="shared" si="1044"/>
        <v>2</v>
      </c>
      <c r="F1413" s="124">
        <v>40974</v>
      </c>
      <c r="G1413" s="125">
        <v>41103</v>
      </c>
      <c r="H1413" s="117">
        <v>2014307</v>
      </c>
      <c r="I1413" s="124">
        <v>40979</v>
      </c>
      <c r="J1413" s="124">
        <v>41103</v>
      </c>
      <c r="K1413" s="126">
        <v>60000</v>
      </c>
      <c r="L1413" s="129" t="s">
        <v>572</v>
      </c>
      <c r="N1413" s="129" t="str">
        <f>IF(M1413&gt;1/1/1,"Y","N")</f>
        <v>N</v>
      </c>
      <c r="O1413" s="128" t="s">
        <v>917</v>
      </c>
      <c r="P1413" s="129" t="s">
        <v>589</v>
      </c>
      <c r="Q1413" s="111">
        <f t="shared" si="1036"/>
        <v>125</v>
      </c>
      <c r="R1413" s="111">
        <f t="shared" si="1021"/>
        <v>130</v>
      </c>
      <c r="S1413" s="129">
        <v>0</v>
      </c>
      <c r="T1413" s="129">
        <v>4</v>
      </c>
      <c r="W1413" s="111"/>
      <c r="AB1413" s="131" t="s">
        <v>112</v>
      </c>
      <c r="AC1413" s="130"/>
      <c r="AD1413" s="130">
        <v>31474</v>
      </c>
      <c r="AE1413" s="128" t="s">
        <v>32</v>
      </c>
      <c r="AF1413" s="128" t="s">
        <v>40</v>
      </c>
      <c r="AG1413" s="128" t="s">
        <v>41</v>
      </c>
      <c r="AH1413" s="108" t="s">
        <v>31</v>
      </c>
      <c r="AI1413" s="128" t="s">
        <v>80</v>
      </c>
      <c r="AJ1413" s="129" t="s">
        <v>48</v>
      </c>
      <c r="AK1413" s="129">
        <v>5</v>
      </c>
      <c r="AL1413" s="3" t="s">
        <v>48</v>
      </c>
      <c r="AP1413" s="129" t="s">
        <v>206</v>
      </c>
      <c r="AR1413" s="128" t="s">
        <v>92</v>
      </c>
      <c r="AS1413" s="129" t="s">
        <v>106</v>
      </c>
      <c r="AT1413" s="129" t="s">
        <v>377</v>
      </c>
      <c r="BC1413" s="129" t="s">
        <v>52</v>
      </c>
      <c r="BF1413" s="111">
        <f t="shared" si="1054"/>
        <v>125</v>
      </c>
      <c r="BG1413" s="111">
        <f t="shared" si="1055"/>
        <v>125</v>
      </c>
      <c r="BH1413" s="111">
        <f t="shared" si="1039"/>
        <v>130</v>
      </c>
      <c r="BI1413" s="111">
        <f t="shared" si="1040"/>
        <v>25.956284153005466</v>
      </c>
      <c r="BJ1413" s="129">
        <f t="shared" ref="BJ1413:BJ1470" si="1063">G1413-J1413-M1413</f>
        <v>0</v>
      </c>
      <c r="BK1413" s="129">
        <f t="shared" si="1041"/>
        <v>0</v>
      </c>
      <c r="BL1413" s="129" t="str">
        <f t="shared" si="1024"/>
        <v>DEFERRED</v>
      </c>
      <c r="BM1413" s="129" t="str">
        <f t="shared" ref="BM1413:BM1470" si="1064">O1413</f>
        <v>NONE</v>
      </c>
      <c r="BN1413" s="129" t="s">
        <v>566</v>
      </c>
      <c r="BP1413" s="137" t="str">
        <f t="shared" si="1045"/>
        <v>DEFERRED</v>
      </c>
      <c r="BQ1413" s="128" t="str">
        <f t="shared" si="1046"/>
        <v>Y</v>
      </c>
      <c r="BR1413" s="129" t="str">
        <f t="shared" si="1062"/>
        <v>DETAINED</v>
      </c>
      <c r="BS1413" s="129" t="str">
        <f t="shared" si="1047"/>
        <v>DISPOSED</v>
      </c>
      <c r="BT1413" s="129" t="str">
        <f t="shared" si="1048"/>
        <v>N</v>
      </c>
      <c r="BU1413" s="109">
        <f t="shared" si="1056"/>
        <v>0.96153846153846156</v>
      </c>
      <c r="BV1413" s="109">
        <f t="shared" si="1057"/>
        <v>1</v>
      </c>
      <c r="BW1413" s="109">
        <f t="shared" si="1035"/>
        <v>3.8461538461538436E-2</v>
      </c>
      <c r="BX1413" s="111">
        <f t="shared" si="1049"/>
        <v>0</v>
      </c>
      <c r="BY1413" s="129">
        <f t="shared" si="1050"/>
        <v>-125</v>
      </c>
      <c r="BZ1413" s="111">
        <f t="shared" si="1051"/>
        <v>0</v>
      </c>
      <c r="CA1413" s="138">
        <f t="shared" si="1052"/>
        <v>125</v>
      </c>
      <c r="CB1413" s="111" t="e">
        <f t="shared" si="1058"/>
        <v>#VALUE!</v>
      </c>
      <c r="CC1413" s="129">
        <f>G1413-I1413+1</f>
        <v>125</v>
      </c>
      <c r="CD1413" s="129">
        <f>G1413-J1413</f>
        <v>0</v>
      </c>
      <c r="CG1413" s="129" t="str">
        <f t="shared" si="1053"/>
        <v>Y</v>
      </c>
      <c r="CI1413" s="129" t="str">
        <f t="shared" si="1059"/>
        <v>121-365 DAYS</v>
      </c>
      <c r="CJ1413" s="137">
        <f t="shared" si="1060"/>
        <v>6</v>
      </c>
      <c r="CK1413" s="129" t="str">
        <f t="shared" si="1061"/>
        <v>Booked</v>
      </c>
    </row>
    <row r="1414" spans="1:89" ht="15" customHeight="1" x14ac:dyDescent="0.25">
      <c r="A1414" s="111">
        <v>1050</v>
      </c>
      <c r="B1414" s="128" t="str">
        <f t="shared" si="1042"/>
        <v>N</v>
      </c>
      <c r="C1414" s="128" t="str">
        <f t="shared" si="1043"/>
        <v>N</v>
      </c>
      <c r="D1414" s="117">
        <v>2014374</v>
      </c>
      <c r="E1414" s="135">
        <f t="shared" si="1044"/>
        <v>6</v>
      </c>
      <c r="F1414" s="124">
        <v>40947</v>
      </c>
      <c r="G1414" s="125">
        <v>41150</v>
      </c>
      <c r="H1414" s="117">
        <v>2014374</v>
      </c>
      <c r="I1414" s="124">
        <v>40948</v>
      </c>
      <c r="J1414" s="124">
        <v>41150</v>
      </c>
      <c r="K1414" s="126" t="s">
        <v>564</v>
      </c>
      <c r="L1414" s="127" t="s">
        <v>564</v>
      </c>
      <c r="N1414" s="129" t="s">
        <v>566</v>
      </c>
      <c r="O1414" s="128" t="s">
        <v>917</v>
      </c>
      <c r="P1414" s="129" t="s">
        <v>39</v>
      </c>
      <c r="Q1414" s="111">
        <f t="shared" si="1036"/>
        <v>203</v>
      </c>
      <c r="R1414" s="111">
        <f t="shared" si="1021"/>
        <v>204</v>
      </c>
      <c r="S1414" s="129">
        <v>1</v>
      </c>
      <c r="T1414" s="129">
        <v>4</v>
      </c>
      <c r="U1414" s="129">
        <v>1</v>
      </c>
      <c r="W1414" s="111"/>
      <c r="AB1414" s="131" t="s">
        <v>112</v>
      </c>
      <c r="AC1414" s="130"/>
      <c r="AD1414" s="130">
        <v>31214</v>
      </c>
      <c r="AE1414" s="128" t="s">
        <v>32</v>
      </c>
      <c r="AF1414" s="128" t="s">
        <v>40</v>
      </c>
      <c r="AG1414" s="128" t="s">
        <v>41</v>
      </c>
      <c r="AH1414" s="108" t="s">
        <v>31</v>
      </c>
      <c r="AI1414" s="128" t="s">
        <v>47</v>
      </c>
      <c r="AJ1414" s="129" t="s">
        <v>89</v>
      </c>
      <c r="AK1414" s="129">
        <v>15</v>
      </c>
      <c r="AL1414" s="3" t="s">
        <v>362</v>
      </c>
      <c r="AM1414" s="117">
        <v>4</v>
      </c>
      <c r="AP1414" s="129" t="s">
        <v>56</v>
      </c>
      <c r="AR1414" s="128" t="s">
        <v>50</v>
      </c>
      <c r="AS1414" s="129" t="s">
        <v>57</v>
      </c>
      <c r="BC1414" s="129" t="s">
        <v>52</v>
      </c>
      <c r="BF1414" s="111">
        <f t="shared" si="1054"/>
        <v>203</v>
      </c>
      <c r="BG1414" s="111">
        <f t="shared" si="1055"/>
        <v>203</v>
      </c>
      <c r="BH1414" s="111">
        <f t="shared" si="1039"/>
        <v>204</v>
      </c>
      <c r="BI1414" s="111">
        <f t="shared" si="1040"/>
        <v>26.592896174863387</v>
      </c>
      <c r="BJ1414" s="129">
        <f t="shared" si="1063"/>
        <v>0</v>
      </c>
      <c r="BK1414" s="129">
        <f t="shared" si="1041"/>
        <v>0</v>
      </c>
      <c r="BL1414" s="129" t="str">
        <f t="shared" si="1024"/>
        <v>CONVICTION</v>
      </c>
      <c r="BM1414" s="129" t="str">
        <f t="shared" si="1064"/>
        <v>NONE</v>
      </c>
      <c r="BN1414" s="129" t="s">
        <v>566</v>
      </c>
      <c r="BP1414" s="137" t="str">
        <f t="shared" si="1045"/>
        <v>CONVICTION</v>
      </c>
      <c r="BQ1414" s="128" t="str">
        <f t="shared" si="1046"/>
        <v>Y</v>
      </c>
      <c r="BR1414" s="129" t="str">
        <f t="shared" si="1062"/>
        <v>DETAINED</v>
      </c>
      <c r="BS1414" s="129" t="str">
        <f t="shared" si="1047"/>
        <v>DISPOSED</v>
      </c>
      <c r="BT1414" s="129" t="str">
        <f t="shared" si="1048"/>
        <v>Y</v>
      </c>
      <c r="BU1414" s="109">
        <f t="shared" si="1056"/>
        <v>0.99509803921568629</v>
      </c>
      <c r="BV1414" s="109">
        <f t="shared" si="1057"/>
        <v>1</v>
      </c>
      <c r="BW1414" s="109">
        <f t="shared" si="1035"/>
        <v>4.9019607843137081E-3</v>
      </c>
      <c r="BX1414" s="111">
        <f t="shared" si="1049"/>
        <v>0</v>
      </c>
      <c r="BY1414" s="129">
        <f t="shared" si="1050"/>
        <v>-203</v>
      </c>
      <c r="BZ1414" s="111">
        <f t="shared" si="1051"/>
        <v>0</v>
      </c>
      <c r="CA1414" s="138">
        <f t="shared" si="1052"/>
        <v>203</v>
      </c>
      <c r="CB1414" s="111" t="e">
        <f t="shared" si="1058"/>
        <v>#VALUE!</v>
      </c>
      <c r="CC1414" s="129">
        <f>G1414-I1414+1</f>
        <v>203</v>
      </c>
      <c r="CD1414" s="129">
        <f>G1414-J1414</f>
        <v>0</v>
      </c>
      <c r="CG1414" s="129" t="str">
        <f t="shared" si="1053"/>
        <v>Y</v>
      </c>
      <c r="CI1414" s="129" t="str">
        <f t="shared" si="1059"/>
        <v>121-365 DAYS</v>
      </c>
      <c r="CJ1414" s="137">
        <f t="shared" si="1060"/>
        <v>6</v>
      </c>
      <c r="CK1414" s="129" t="str">
        <f t="shared" si="1061"/>
        <v>Booked</v>
      </c>
    </row>
    <row r="1415" spans="1:89" ht="15.75" customHeight="1" x14ac:dyDescent="0.25">
      <c r="A1415" s="111">
        <v>476</v>
      </c>
      <c r="B1415" s="128" t="str">
        <f t="shared" si="1042"/>
        <v>N</v>
      </c>
      <c r="C1415" s="128" t="str">
        <f t="shared" si="1043"/>
        <v>N</v>
      </c>
      <c r="D1415" s="117">
        <v>2015983</v>
      </c>
      <c r="E1415" s="135">
        <f t="shared" si="1044"/>
        <v>2</v>
      </c>
      <c r="F1415" s="124">
        <v>40928</v>
      </c>
      <c r="G1415" s="125">
        <v>40931</v>
      </c>
      <c r="H1415" s="117">
        <v>2015983</v>
      </c>
      <c r="I1415" s="124">
        <v>40928</v>
      </c>
      <c r="J1415" s="124">
        <v>40931</v>
      </c>
      <c r="K1415" s="126">
        <v>2000</v>
      </c>
      <c r="L1415" s="127" t="s">
        <v>568</v>
      </c>
      <c r="N1415" s="129" t="str">
        <f t="shared" ref="N1415:N1420" si="1065">IF(M1415&gt;1/1/1,"Y","N")</f>
        <v>N</v>
      </c>
      <c r="O1415" s="128" t="s">
        <v>917</v>
      </c>
      <c r="P1415" s="129" t="s">
        <v>589</v>
      </c>
      <c r="Q1415" s="111">
        <f t="shared" si="1036"/>
        <v>4</v>
      </c>
      <c r="R1415" s="111">
        <f t="shared" si="1021"/>
        <v>4</v>
      </c>
      <c r="S1415" s="129">
        <v>0</v>
      </c>
      <c r="T1415" s="129">
        <v>7</v>
      </c>
      <c r="W1415" s="111"/>
      <c r="AC1415" s="130"/>
      <c r="AD1415" s="130">
        <v>24303</v>
      </c>
      <c r="AE1415" s="128" t="s">
        <v>32</v>
      </c>
      <c r="AF1415" s="128" t="s">
        <v>33</v>
      </c>
      <c r="AG1415" s="128" t="s">
        <v>872</v>
      </c>
      <c r="AH1415" s="108" t="s">
        <v>58</v>
      </c>
      <c r="AI1415" s="128" t="s">
        <v>72</v>
      </c>
      <c r="AJ1415" s="129" t="s">
        <v>48</v>
      </c>
      <c r="AK1415" s="129">
        <v>1</v>
      </c>
      <c r="AL1415" s="3" t="s">
        <v>48</v>
      </c>
      <c r="AP1415" s="129" t="s">
        <v>211</v>
      </c>
      <c r="AR1415" s="128" t="s">
        <v>44</v>
      </c>
      <c r="AS1415" s="129" t="s">
        <v>82</v>
      </c>
      <c r="BC1415" s="129" t="s">
        <v>38</v>
      </c>
      <c r="BF1415" s="111">
        <f t="shared" si="1054"/>
        <v>4</v>
      </c>
      <c r="BG1415" s="111">
        <f t="shared" si="1055"/>
        <v>4</v>
      </c>
      <c r="BH1415" s="111">
        <f t="shared" si="1039"/>
        <v>4</v>
      </c>
      <c r="BI1415" s="111">
        <f t="shared" si="1040"/>
        <v>45.423497267759565</v>
      </c>
      <c r="BJ1415" s="129">
        <f t="shared" si="1063"/>
        <v>0</v>
      </c>
      <c r="BK1415" s="129">
        <f t="shared" si="1041"/>
        <v>0</v>
      </c>
      <c r="BL1415" s="129" t="str">
        <f t="shared" si="1024"/>
        <v>DEFERRED</v>
      </c>
      <c r="BM1415" s="129" t="str">
        <f t="shared" si="1064"/>
        <v>NONE</v>
      </c>
      <c r="BN1415" s="129" t="s">
        <v>566</v>
      </c>
      <c r="BP1415" s="137" t="str">
        <f t="shared" si="1045"/>
        <v>DEFERRED</v>
      </c>
      <c r="BQ1415" s="128" t="str">
        <f t="shared" si="1046"/>
        <v>Y</v>
      </c>
      <c r="BR1415" s="129" t="str">
        <f t="shared" si="1062"/>
        <v>DETAINED</v>
      </c>
      <c r="BS1415" s="129" t="str">
        <f t="shared" si="1047"/>
        <v>DISPOSED</v>
      </c>
      <c r="BT1415" s="129" t="str">
        <f t="shared" si="1048"/>
        <v>N</v>
      </c>
      <c r="BU1415" s="109">
        <f t="shared" si="1056"/>
        <v>1</v>
      </c>
      <c r="BV1415" s="109">
        <f t="shared" si="1057"/>
        <v>1</v>
      </c>
      <c r="BW1415" s="109">
        <f t="shared" si="1035"/>
        <v>0</v>
      </c>
      <c r="BX1415" s="111">
        <f t="shared" si="1049"/>
        <v>0</v>
      </c>
      <c r="BY1415" s="129">
        <f t="shared" si="1050"/>
        <v>-4</v>
      </c>
      <c r="BZ1415" s="111">
        <f t="shared" si="1051"/>
        <v>0</v>
      </c>
      <c r="CA1415" s="138">
        <f t="shared" si="1052"/>
        <v>4</v>
      </c>
      <c r="CB1415" s="111" t="e">
        <f t="shared" si="1058"/>
        <v>#VALUE!</v>
      </c>
      <c r="CC1415" s="129">
        <f>G1415-I1415+1</f>
        <v>4</v>
      </c>
      <c r="CD1415" s="129">
        <f>G1415-J1415</f>
        <v>0</v>
      </c>
      <c r="CG1415" s="129" t="str">
        <f t="shared" si="1053"/>
        <v>Y</v>
      </c>
      <c r="CI1415" s="129" t="str">
        <f t="shared" si="1059"/>
        <v>0-10 DAYS</v>
      </c>
      <c r="CJ1415" s="137">
        <f t="shared" si="1060"/>
        <v>1</v>
      </c>
      <c r="CK1415" s="129" t="str">
        <f t="shared" si="1061"/>
        <v>Booked</v>
      </c>
    </row>
    <row r="1416" spans="1:89" ht="15" customHeight="1" x14ac:dyDescent="0.25">
      <c r="A1416" s="111">
        <v>2545</v>
      </c>
      <c r="B1416" s="128" t="str">
        <f t="shared" si="1042"/>
        <v>N</v>
      </c>
      <c r="C1416" s="128" t="str">
        <f t="shared" si="1043"/>
        <v>N</v>
      </c>
      <c r="D1416" s="117">
        <v>2016018</v>
      </c>
      <c r="E1416" s="135">
        <f t="shared" si="1044"/>
        <v>5</v>
      </c>
      <c r="F1416" s="124">
        <v>41004</v>
      </c>
      <c r="G1416" s="125">
        <v>41032</v>
      </c>
      <c r="H1416" s="117">
        <v>2016018</v>
      </c>
      <c r="I1416" s="124">
        <v>41004</v>
      </c>
      <c r="J1416" s="124">
        <v>41032</v>
      </c>
      <c r="K1416" s="126">
        <v>15000</v>
      </c>
      <c r="L1416" s="127" t="s">
        <v>571</v>
      </c>
      <c r="N1416" s="129" t="str">
        <f t="shared" si="1065"/>
        <v>N</v>
      </c>
      <c r="O1416" s="128" t="s">
        <v>917</v>
      </c>
      <c r="P1416" s="129" t="s">
        <v>39</v>
      </c>
      <c r="Q1416" s="111">
        <f t="shared" si="1036"/>
        <v>29</v>
      </c>
      <c r="R1416" s="111">
        <f t="shared" si="1021"/>
        <v>29</v>
      </c>
      <c r="S1416" s="129">
        <v>4</v>
      </c>
      <c r="T1416" s="129">
        <v>1</v>
      </c>
      <c r="U1416" s="129">
        <v>2</v>
      </c>
      <c r="W1416" s="111"/>
      <c r="AC1416" s="130"/>
      <c r="AD1416" s="130">
        <v>31432</v>
      </c>
      <c r="AE1416" s="128" t="s">
        <v>32</v>
      </c>
      <c r="AF1416" s="128" t="s">
        <v>33</v>
      </c>
      <c r="AG1416" s="128" t="s">
        <v>872</v>
      </c>
      <c r="AH1416" s="108" t="s">
        <v>31</v>
      </c>
      <c r="AI1416" s="128" t="s">
        <v>65</v>
      </c>
      <c r="AJ1416" s="129" t="s">
        <v>89</v>
      </c>
      <c r="AK1416" s="129">
        <v>2</v>
      </c>
      <c r="AL1416" s="3" t="s">
        <v>992</v>
      </c>
      <c r="AN1416" s="117">
        <v>6</v>
      </c>
      <c r="AP1416" s="129" t="s">
        <v>43</v>
      </c>
      <c r="AR1416" s="128" t="s">
        <v>44</v>
      </c>
      <c r="AS1416" s="129" t="s">
        <v>45</v>
      </c>
      <c r="BC1416" s="129" t="s">
        <v>38</v>
      </c>
      <c r="BF1416" s="111">
        <f t="shared" si="1054"/>
        <v>29</v>
      </c>
      <c r="BG1416" s="111">
        <f t="shared" si="1055"/>
        <v>29</v>
      </c>
      <c r="BH1416" s="111">
        <f t="shared" si="1039"/>
        <v>29</v>
      </c>
      <c r="BI1416" s="111">
        <f t="shared" si="1040"/>
        <v>26.153005464480874</v>
      </c>
      <c r="BJ1416" s="129">
        <f t="shared" si="1063"/>
        <v>0</v>
      </c>
      <c r="BK1416" s="129">
        <f t="shared" si="1041"/>
        <v>0</v>
      </c>
      <c r="BL1416" s="129" t="str">
        <f t="shared" si="1024"/>
        <v>CONVICTION</v>
      </c>
      <c r="BM1416" s="129" t="str">
        <f t="shared" si="1064"/>
        <v>NONE</v>
      </c>
      <c r="BN1416" s="129" t="s">
        <v>566</v>
      </c>
      <c r="BP1416" s="137" t="str">
        <f t="shared" si="1045"/>
        <v>CONVICTION</v>
      </c>
      <c r="BQ1416" s="128" t="str">
        <f t="shared" si="1046"/>
        <v>Y</v>
      </c>
      <c r="BR1416" s="129" t="str">
        <f t="shared" si="1062"/>
        <v>DETAINED</v>
      </c>
      <c r="BS1416" s="129" t="str">
        <f t="shared" si="1047"/>
        <v>DISPOSED</v>
      </c>
      <c r="BT1416" s="129" t="str">
        <f t="shared" si="1048"/>
        <v>Y</v>
      </c>
      <c r="BU1416" s="109">
        <f t="shared" si="1056"/>
        <v>1</v>
      </c>
      <c r="BV1416" s="109">
        <f t="shared" si="1057"/>
        <v>1</v>
      </c>
      <c r="BW1416" s="109">
        <f t="shared" si="1035"/>
        <v>0</v>
      </c>
      <c r="BX1416" s="111">
        <f t="shared" si="1049"/>
        <v>0</v>
      </c>
      <c r="BY1416" s="129">
        <f t="shared" si="1050"/>
        <v>-29</v>
      </c>
      <c r="BZ1416" s="111">
        <f t="shared" si="1051"/>
        <v>0</v>
      </c>
      <c r="CA1416" s="138">
        <f t="shared" si="1052"/>
        <v>29</v>
      </c>
      <c r="CB1416" s="111" t="e">
        <f t="shared" si="1058"/>
        <v>#VALUE!</v>
      </c>
      <c r="CC1416" s="129">
        <f>G1416-I1416+1</f>
        <v>29</v>
      </c>
      <c r="CD1416" s="129">
        <f>G1416-J1416</f>
        <v>0</v>
      </c>
      <c r="CG1416" s="129" t="str">
        <f t="shared" si="1053"/>
        <v>Y</v>
      </c>
      <c r="CI1416" s="129" t="str">
        <f t="shared" si="1059"/>
        <v>11-30 DAYS</v>
      </c>
      <c r="CJ1416" s="137">
        <f t="shared" si="1060"/>
        <v>2</v>
      </c>
      <c r="CK1416" s="129" t="str">
        <f t="shared" si="1061"/>
        <v>Booked</v>
      </c>
    </row>
    <row r="1417" spans="1:89" ht="15" customHeight="1" x14ac:dyDescent="0.25">
      <c r="A1417" s="111">
        <v>1524</v>
      </c>
      <c r="B1417" s="128" t="str">
        <f t="shared" si="1042"/>
        <v>N</v>
      </c>
      <c r="C1417" s="128" t="str">
        <f t="shared" si="1043"/>
        <v>N</v>
      </c>
      <c r="D1417" s="117">
        <v>2016186</v>
      </c>
      <c r="E1417" s="135">
        <f t="shared" si="1044"/>
        <v>2</v>
      </c>
      <c r="F1417" s="124">
        <v>40965</v>
      </c>
      <c r="G1417" s="125">
        <v>41058</v>
      </c>
      <c r="H1417" s="117">
        <v>2016186</v>
      </c>
      <c r="I1417" s="124">
        <v>40965</v>
      </c>
      <c r="J1417" s="124">
        <v>40966</v>
      </c>
      <c r="K1417" s="126">
        <v>2000</v>
      </c>
      <c r="L1417" s="127" t="s">
        <v>568</v>
      </c>
      <c r="M1417" s="125">
        <v>40966</v>
      </c>
      <c r="N1417" s="129" t="str">
        <f t="shared" si="1065"/>
        <v>Y</v>
      </c>
      <c r="O1417" s="128" t="s">
        <v>76</v>
      </c>
      <c r="P1417" s="129" t="s">
        <v>589</v>
      </c>
      <c r="Q1417" s="111">
        <f t="shared" si="1036"/>
        <v>2</v>
      </c>
      <c r="R1417" s="111">
        <f t="shared" si="1021"/>
        <v>94</v>
      </c>
      <c r="S1417" s="129">
        <v>0</v>
      </c>
      <c r="T1417" s="129">
        <v>1</v>
      </c>
      <c r="W1417" s="111"/>
      <c r="AC1417" s="130"/>
      <c r="AD1417" s="130">
        <v>32421</v>
      </c>
      <c r="AE1417" s="128" t="s">
        <v>46</v>
      </c>
      <c r="AF1417" s="128" t="s">
        <v>69</v>
      </c>
      <c r="AG1417" s="128" t="s">
        <v>874</v>
      </c>
      <c r="AH1417" s="108" t="s">
        <v>58</v>
      </c>
      <c r="AI1417" s="128" t="s">
        <v>95</v>
      </c>
      <c r="AJ1417" s="129" t="s">
        <v>48</v>
      </c>
      <c r="AK1417" s="129">
        <v>5</v>
      </c>
      <c r="AL1417" s="3" t="s">
        <v>48</v>
      </c>
      <c r="AP1417" s="129" t="s">
        <v>139</v>
      </c>
      <c r="AR1417" s="128" t="s">
        <v>44</v>
      </c>
      <c r="AS1417" s="129" t="s">
        <v>64</v>
      </c>
      <c r="BC1417" s="129" t="s">
        <v>38</v>
      </c>
      <c r="BF1417" s="111">
        <f t="shared" si="1054"/>
        <v>2</v>
      </c>
      <c r="BG1417" s="111">
        <f t="shared" si="1055"/>
        <v>94</v>
      </c>
      <c r="BH1417" s="111">
        <f t="shared" si="1039"/>
        <v>94</v>
      </c>
      <c r="BI1417" s="111">
        <f t="shared" si="1040"/>
        <v>23.344262295081968</v>
      </c>
      <c r="BJ1417" s="129">
        <f>(G1417-J1417)+(M1417-G1417)</f>
        <v>0</v>
      </c>
      <c r="BK1417" s="129">
        <f t="shared" si="1041"/>
        <v>-92</v>
      </c>
      <c r="BL1417" s="129" t="str">
        <f t="shared" si="1024"/>
        <v>DEFERRED</v>
      </c>
      <c r="BM1417" s="129" t="s">
        <v>76</v>
      </c>
      <c r="BN1417" s="129" t="s">
        <v>88</v>
      </c>
      <c r="BP1417" s="137" t="str">
        <f t="shared" si="1045"/>
        <v>DEFERRED</v>
      </c>
      <c r="BQ1417" s="128" t="str">
        <f t="shared" si="1046"/>
        <v>Y</v>
      </c>
      <c r="BR1417" s="129" t="str">
        <f t="shared" si="1062"/>
        <v>ON BOND</v>
      </c>
      <c r="BS1417" s="129" t="str">
        <f t="shared" si="1047"/>
        <v>DISPOSED</v>
      </c>
      <c r="BT1417" s="129" t="str">
        <f t="shared" si="1048"/>
        <v>N</v>
      </c>
      <c r="BU1417" s="109">
        <f t="shared" si="1056"/>
        <v>2.1276595744680851E-2</v>
      </c>
      <c r="BV1417" s="109">
        <f t="shared" si="1057"/>
        <v>2.1276595744680851E-2</v>
      </c>
      <c r="BW1417" s="109">
        <f t="shared" si="1035"/>
        <v>0</v>
      </c>
      <c r="BX1417" s="111">
        <f t="shared" si="1049"/>
        <v>0</v>
      </c>
      <c r="BY1417" s="129">
        <f t="shared" si="1050"/>
        <v>-2</v>
      </c>
      <c r="BZ1417" s="111">
        <f t="shared" si="1051"/>
        <v>0</v>
      </c>
      <c r="CA1417" s="138">
        <f t="shared" si="1052"/>
        <v>2</v>
      </c>
      <c r="CB1417" s="111" t="e">
        <f t="shared" si="1058"/>
        <v>#VALUE!</v>
      </c>
      <c r="CC1417" s="129">
        <f>M1417-I1417+1</f>
        <v>2</v>
      </c>
      <c r="CD1417" s="111">
        <f>CC1417-BF1417</f>
        <v>0</v>
      </c>
      <c r="CG1417" s="129" t="str">
        <f t="shared" si="1053"/>
        <v>Y</v>
      </c>
      <c r="CI1417" s="129" t="str">
        <f t="shared" si="1059"/>
        <v>0-10 DAYS</v>
      </c>
      <c r="CJ1417" s="137">
        <f t="shared" si="1060"/>
        <v>1</v>
      </c>
      <c r="CK1417" s="129" t="str">
        <f t="shared" si="1061"/>
        <v>Booked</v>
      </c>
    </row>
    <row r="1418" spans="1:89" ht="15.75" customHeight="1" x14ac:dyDescent="0.25">
      <c r="A1418" s="111">
        <v>2637</v>
      </c>
      <c r="B1418" s="128" t="str">
        <f t="shared" si="1042"/>
        <v>N</v>
      </c>
      <c r="C1418" s="128" t="str">
        <f t="shared" si="1043"/>
        <v>N</v>
      </c>
      <c r="D1418" s="117">
        <v>2017343</v>
      </c>
      <c r="E1418" s="135">
        <f t="shared" si="1044"/>
        <v>4</v>
      </c>
      <c r="F1418" s="124">
        <v>41006</v>
      </c>
      <c r="G1418" s="125">
        <v>41010</v>
      </c>
      <c r="H1418" s="117">
        <v>2017343</v>
      </c>
      <c r="I1418" s="124">
        <v>41008</v>
      </c>
      <c r="J1418" s="124">
        <v>41010</v>
      </c>
      <c r="K1418" s="126">
        <v>50000</v>
      </c>
      <c r="L1418" s="129" t="s">
        <v>572</v>
      </c>
      <c r="N1418" s="129" t="str">
        <f t="shared" si="1065"/>
        <v>N</v>
      </c>
      <c r="O1418" s="128" t="s">
        <v>917</v>
      </c>
      <c r="P1418" s="129" t="s">
        <v>39</v>
      </c>
      <c r="Q1418" s="111">
        <f t="shared" si="1036"/>
        <v>3</v>
      </c>
      <c r="R1418" s="111">
        <f t="shared" si="1021"/>
        <v>5</v>
      </c>
      <c r="S1418" s="129">
        <v>1</v>
      </c>
      <c r="T1418" s="129">
        <v>0</v>
      </c>
      <c r="U1418" s="129">
        <v>1</v>
      </c>
      <c r="W1418" s="111"/>
      <c r="AC1418" s="130"/>
      <c r="AD1418" s="130">
        <v>29549</v>
      </c>
      <c r="AE1418" s="128" t="s">
        <v>32</v>
      </c>
      <c r="AF1418" s="128" t="s">
        <v>69</v>
      </c>
      <c r="AG1418" s="128" t="s">
        <v>874</v>
      </c>
      <c r="AH1418" s="108" t="s">
        <v>31</v>
      </c>
      <c r="AI1418" s="128" t="s">
        <v>72</v>
      </c>
      <c r="AJ1418" s="129" t="s">
        <v>89</v>
      </c>
      <c r="AK1418" s="129">
        <v>2</v>
      </c>
      <c r="AL1418" s="3" t="s">
        <v>991</v>
      </c>
      <c r="AO1418" s="128">
        <v>90</v>
      </c>
      <c r="AP1418" s="129" t="s">
        <v>104</v>
      </c>
      <c r="AR1418" s="128" t="s">
        <v>44</v>
      </c>
      <c r="AS1418" s="129" t="s">
        <v>64</v>
      </c>
      <c r="AT1418" s="129" t="s">
        <v>466</v>
      </c>
      <c r="BC1418" s="129" t="s">
        <v>38</v>
      </c>
      <c r="BF1418" s="111">
        <f t="shared" si="1054"/>
        <v>3</v>
      </c>
      <c r="BG1418" s="111">
        <f t="shared" si="1055"/>
        <v>3</v>
      </c>
      <c r="BH1418" s="111">
        <f t="shared" si="1039"/>
        <v>5</v>
      </c>
      <c r="BI1418" s="111">
        <f t="shared" si="1040"/>
        <v>31.303278688524589</v>
      </c>
      <c r="BJ1418" s="129">
        <f t="shared" si="1063"/>
        <v>0</v>
      </c>
      <c r="BK1418" s="129">
        <f t="shared" si="1041"/>
        <v>0</v>
      </c>
      <c r="BL1418" s="129" t="str">
        <f t="shared" si="1024"/>
        <v>CONVICTION</v>
      </c>
      <c r="BM1418" s="129" t="str">
        <f t="shared" si="1064"/>
        <v>NONE</v>
      </c>
      <c r="BN1418" s="129" t="s">
        <v>566</v>
      </c>
      <c r="BP1418" s="137" t="str">
        <f t="shared" si="1045"/>
        <v>CONVICTION</v>
      </c>
      <c r="BQ1418" s="128" t="str">
        <f t="shared" si="1046"/>
        <v>Y</v>
      </c>
      <c r="BR1418" s="129" t="str">
        <f t="shared" si="1062"/>
        <v>DETAINED</v>
      </c>
      <c r="BS1418" s="129" t="str">
        <f t="shared" si="1047"/>
        <v>DISPOSED</v>
      </c>
      <c r="BT1418" s="129" t="str">
        <f t="shared" si="1048"/>
        <v>Y</v>
      </c>
      <c r="BU1418" s="109">
        <f t="shared" si="1056"/>
        <v>0.6</v>
      </c>
      <c r="BV1418" s="109">
        <f t="shared" si="1057"/>
        <v>1</v>
      </c>
      <c r="BW1418" s="109">
        <f t="shared" si="1035"/>
        <v>0.4</v>
      </c>
      <c r="BX1418" s="111">
        <f t="shared" si="1049"/>
        <v>0</v>
      </c>
      <c r="BY1418" s="129">
        <f t="shared" si="1050"/>
        <v>-3</v>
      </c>
      <c r="BZ1418" s="111">
        <f t="shared" si="1051"/>
        <v>0</v>
      </c>
      <c r="CA1418" s="138">
        <f t="shared" si="1052"/>
        <v>3</v>
      </c>
      <c r="CB1418" s="111" t="e">
        <f t="shared" si="1058"/>
        <v>#VALUE!</v>
      </c>
      <c r="CC1418" s="129">
        <f>G1418-I1418+1</f>
        <v>3</v>
      </c>
      <c r="CD1418" s="129">
        <f>G1418-J1418</f>
        <v>0</v>
      </c>
      <c r="CG1418" s="129" t="str">
        <f t="shared" si="1053"/>
        <v>Y</v>
      </c>
      <c r="CI1418" s="129" t="str">
        <f t="shared" si="1059"/>
        <v>0-10 DAYS</v>
      </c>
      <c r="CJ1418" s="137">
        <f t="shared" si="1060"/>
        <v>1</v>
      </c>
      <c r="CK1418" s="129" t="str">
        <f t="shared" si="1061"/>
        <v>Booked</v>
      </c>
    </row>
    <row r="1419" spans="1:89" ht="15.75" customHeight="1" x14ac:dyDescent="0.25">
      <c r="A1419" s="111">
        <v>2992</v>
      </c>
      <c r="B1419" s="128" t="str">
        <f t="shared" si="1042"/>
        <v>N</v>
      </c>
      <c r="C1419" s="128" t="str">
        <f t="shared" si="1043"/>
        <v>N</v>
      </c>
      <c r="D1419" s="117">
        <v>2018394</v>
      </c>
      <c r="E1419" s="135">
        <f t="shared" si="1044"/>
        <v>2</v>
      </c>
      <c r="F1419" s="124">
        <v>41019</v>
      </c>
      <c r="G1419" s="125">
        <v>41022</v>
      </c>
      <c r="H1419" s="117">
        <v>2018394</v>
      </c>
      <c r="I1419" s="124">
        <v>41019</v>
      </c>
      <c r="J1419" s="124">
        <v>41022</v>
      </c>
      <c r="K1419" s="126">
        <v>2000</v>
      </c>
      <c r="L1419" s="127" t="s">
        <v>568</v>
      </c>
      <c r="N1419" s="129" t="str">
        <f t="shared" si="1065"/>
        <v>N</v>
      </c>
      <c r="O1419" s="128" t="s">
        <v>917</v>
      </c>
      <c r="P1419" s="129" t="s">
        <v>589</v>
      </c>
      <c r="Q1419" s="111">
        <f t="shared" si="1036"/>
        <v>4</v>
      </c>
      <c r="R1419" s="111">
        <f t="shared" si="1021"/>
        <v>4</v>
      </c>
      <c r="S1419" s="129">
        <v>0</v>
      </c>
      <c r="T1419" s="129">
        <v>3</v>
      </c>
      <c r="W1419" s="111"/>
      <c r="AB1419" s="131" t="s">
        <v>112</v>
      </c>
      <c r="AC1419" s="130"/>
      <c r="AD1419" s="130">
        <v>24036</v>
      </c>
      <c r="AE1419" s="128" t="s">
        <v>32</v>
      </c>
      <c r="AF1419" s="128" t="s">
        <v>40</v>
      </c>
      <c r="AG1419" s="128" t="s">
        <v>41</v>
      </c>
      <c r="AH1419" s="108" t="s">
        <v>31</v>
      </c>
      <c r="AI1419" s="128" t="s">
        <v>87</v>
      </c>
      <c r="AJ1419" s="129" t="s">
        <v>48</v>
      </c>
      <c r="AK1419" s="129">
        <v>1</v>
      </c>
      <c r="AL1419" s="3" t="s">
        <v>48</v>
      </c>
      <c r="AP1419" s="129" t="s">
        <v>43</v>
      </c>
      <c r="AR1419" s="128" t="s">
        <v>44</v>
      </c>
      <c r="AS1419" s="129" t="s">
        <v>45</v>
      </c>
      <c r="BC1419" s="129" t="s">
        <v>38</v>
      </c>
      <c r="BF1419" s="111">
        <f t="shared" si="1054"/>
        <v>4</v>
      </c>
      <c r="BG1419" s="111">
        <f t="shared" si="1055"/>
        <v>4</v>
      </c>
      <c r="BH1419" s="111">
        <f t="shared" si="1039"/>
        <v>4</v>
      </c>
      <c r="BI1419" s="111">
        <f t="shared" si="1040"/>
        <v>46.401639344262293</v>
      </c>
      <c r="BJ1419" s="129">
        <f t="shared" si="1063"/>
        <v>0</v>
      </c>
      <c r="BK1419" s="129">
        <f t="shared" si="1041"/>
        <v>0</v>
      </c>
      <c r="BL1419" s="129" t="str">
        <f t="shared" si="1024"/>
        <v>DEFERRED</v>
      </c>
      <c r="BM1419" s="129" t="str">
        <f t="shared" si="1064"/>
        <v>NONE</v>
      </c>
      <c r="BN1419" s="129" t="s">
        <v>566</v>
      </c>
      <c r="BP1419" s="137" t="str">
        <f t="shared" si="1045"/>
        <v>DEFERRED</v>
      </c>
      <c r="BQ1419" s="128" t="str">
        <f t="shared" si="1046"/>
        <v>Y</v>
      </c>
      <c r="BR1419" s="129" t="str">
        <f t="shared" si="1062"/>
        <v>DETAINED</v>
      </c>
      <c r="BS1419" s="129" t="str">
        <f t="shared" si="1047"/>
        <v>DISPOSED</v>
      </c>
      <c r="BT1419" s="129" t="str">
        <f t="shared" si="1048"/>
        <v>N</v>
      </c>
      <c r="BU1419" s="109">
        <f t="shared" si="1056"/>
        <v>1</v>
      </c>
      <c r="BV1419" s="109">
        <f t="shared" si="1057"/>
        <v>1</v>
      </c>
      <c r="BW1419" s="109">
        <f t="shared" si="1035"/>
        <v>0</v>
      </c>
      <c r="BX1419" s="111">
        <f t="shared" si="1049"/>
        <v>0</v>
      </c>
      <c r="BY1419" s="129">
        <f t="shared" si="1050"/>
        <v>-4</v>
      </c>
      <c r="BZ1419" s="111">
        <f t="shared" si="1051"/>
        <v>0</v>
      </c>
      <c r="CA1419" s="138">
        <f t="shared" si="1052"/>
        <v>4</v>
      </c>
      <c r="CB1419" s="111" t="e">
        <f t="shared" si="1058"/>
        <v>#VALUE!</v>
      </c>
      <c r="CC1419" s="129">
        <f>G1419-I1419+1</f>
        <v>4</v>
      </c>
      <c r="CD1419" s="129">
        <f>G1419-J1419</f>
        <v>0</v>
      </c>
      <c r="CG1419" s="129" t="str">
        <f t="shared" si="1053"/>
        <v>Y</v>
      </c>
      <c r="CI1419" s="129" t="str">
        <f t="shared" si="1059"/>
        <v>0-10 DAYS</v>
      </c>
      <c r="CJ1419" s="137">
        <f t="shared" si="1060"/>
        <v>1</v>
      </c>
      <c r="CK1419" s="129" t="str">
        <f t="shared" si="1061"/>
        <v>Booked</v>
      </c>
    </row>
    <row r="1420" spans="1:89" ht="15.75" customHeight="1" x14ac:dyDescent="0.25">
      <c r="A1420" s="111">
        <v>2234</v>
      </c>
      <c r="B1420" s="128" t="str">
        <f t="shared" si="1042"/>
        <v>N</v>
      </c>
      <c r="C1420" s="128" t="str">
        <f t="shared" si="1043"/>
        <v>N</v>
      </c>
      <c r="D1420" s="117">
        <v>2019227</v>
      </c>
      <c r="E1420" s="135">
        <f t="shared" si="1044"/>
        <v>4</v>
      </c>
      <c r="F1420" s="124">
        <v>40993</v>
      </c>
      <c r="G1420" s="125">
        <v>41165</v>
      </c>
      <c r="H1420" s="117">
        <v>2019227</v>
      </c>
      <c r="I1420" s="124">
        <v>40993</v>
      </c>
      <c r="J1420" s="124">
        <v>41165</v>
      </c>
      <c r="K1420" s="126">
        <v>35000</v>
      </c>
      <c r="L1420" s="129" t="s">
        <v>572</v>
      </c>
      <c r="N1420" s="129" t="str">
        <f t="shared" si="1065"/>
        <v>N</v>
      </c>
      <c r="O1420" s="128" t="s">
        <v>917</v>
      </c>
      <c r="P1420" s="129" t="s">
        <v>39</v>
      </c>
      <c r="Q1420" s="111">
        <f t="shared" si="1036"/>
        <v>173</v>
      </c>
      <c r="R1420" s="111">
        <f t="shared" si="1021"/>
        <v>173</v>
      </c>
      <c r="S1420" s="129">
        <v>0</v>
      </c>
      <c r="T1420" s="129">
        <v>0</v>
      </c>
      <c r="W1420" s="111"/>
      <c r="AB1420" s="131" t="s">
        <v>112</v>
      </c>
      <c r="AC1420" s="130"/>
      <c r="AD1420" s="130">
        <v>28925</v>
      </c>
      <c r="AE1420" s="128" t="s">
        <v>32</v>
      </c>
      <c r="AF1420" s="128" t="s">
        <v>40</v>
      </c>
      <c r="AG1420" s="128" t="s">
        <v>41</v>
      </c>
      <c r="AH1420" s="108" t="s">
        <v>31</v>
      </c>
      <c r="AI1420" s="128" t="s">
        <v>47</v>
      </c>
      <c r="AJ1420" s="129" t="s">
        <v>89</v>
      </c>
      <c r="AK1420" s="129">
        <v>7</v>
      </c>
      <c r="AL1420" s="3" t="s">
        <v>991</v>
      </c>
      <c r="AO1420" s="128">
        <v>180</v>
      </c>
      <c r="AP1420" s="129" t="s">
        <v>73</v>
      </c>
      <c r="AR1420" s="128" t="s">
        <v>50</v>
      </c>
      <c r="AS1420" s="129" t="s">
        <v>74</v>
      </c>
      <c r="BC1420" s="129" t="s">
        <v>52</v>
      </c>
      <c r="BF1420" s="111">
        <f t="shared" si="1054"/>
        <v>173</v>
      </c>
      <c r="BG1420" s="111">
        <f t="shared" si="1055"/>
        <v>173</v>
      </c>
      <c r="BH1420" s="111">
        <f t="shared" si="1039"/>
        <v>173</v>
      </c>
      <c r="BI1420" s="111">
        <f t="shared" si="1040"/>
        <v>32.972677595628419</v>
      </c>
      <c r="BJ1420" s="129">
        <f t="shared" si="1063"/>
        <v>0</v>
      </c>
      <c r="BK1420" s="129">
        <f t="shared" si="1041"/>
        <v>0</v>
      </c>
      <c r="BL1420" s="129" t="str">
        <f t="shared" si="1024"/>
        <v>CONVICTION</v>
      </c>
      <c r="BM1420" s="129" t="str">
        <f t="shared" si="1064"/>
        <v>NONE</v>
      </c>
      <c r="BN1420" s="129" t="s">
        <v>566</v>
      </c>
      <c r="BP1420" s="137" t="str">
        <f t="shared" si="1045"/>
        <v>CONVICTION</v>
      </c>
      <c r="BQ1420" s="128" t="str">
        <f t="shared" si="1046"/>
        <v>Y</v>
      </c>
      <c r="BR1420" s="129" t="str">
        <f t="shared" si="1062"/>
        <v>DETAINED</v>
      </c>
      <c r="BS1420" s="129" t="str">
        <f t="shared" si="1047"/>
        <v>DISPOSED</v>
      </c>
      <c r="BT1420" s="129" t="str">
        <f t="shared" si="1048"/>
        <v>N</v>
      </c>
      <c r="BU1420" s="109">
        <f t="shared" si="1056"/>
        <v>1</v>
      </c>
      <c r="BV1420" s="109">
        <f t="shared" si="1057"/>
        <v>1</v>
      </c>
      <c r="BW1420" s="109">
        <f t="shared" si="1035"/>
        <v>0</v>
      </c>
      <c r="BX1420" s="111">
        <f t="shared" si="1049"/>
        <v>0</v>
      </c>
      <c r="BY1420" s="129">
        <f t="shared" si="1050"/>
        <v>-173</v>
      </c>
      <c r="BZ1420" s="111">
        <f t="shared" si="1051"/>
        <v>0</v>
      </c>
      <c r="CA1420" s="138">
        <f t="shared" si="1052"/>
        <v>173</v>
      </c>
      <c r="CB1420" s="111" t="e">
        <f t="shared" si="1058"/>
        <v>#VALUE!</v>
      </c>
      <c r="CC1420" s="129">
        <f>G1420-I1420+1</f>
        <v>173</v>
      </c>
      <c r="CD1420" s="129">
        <f>G1420-J1420</f>
        <v>0</v>
      </c>
      <c r="CG1420" s="129" t="str">
        <f t="shared" si="1053"/>
        <v>N</v>
      </c>
      <c r="CI1420" s="129" t="str">
        <f t="shared" si="1059"/>
        <v>121-365 DAYS</v>
      </c>
      <c r="CJ1420" s="137">
        <f t="shared" si="1060"/>
        <v>6</v>
      </c>
      <c r="CK1420" s="129" t="str">
        <f t="shared" si="1061"/>
        <v>Booked</v>
      </c>
    </row>
    <row r="1421" spans="1:89" ht="15" customHeight="1" x14ac:dyDescent="0.25">
      <c r="A1421" s="111">
        <v>1410</v>
      </c>
      <c r="B1421" s="128" t="str">
        <f t="shared" si="1042"/>
        <v>N</v>
      </c>
      <c r="C1421" s="128" t="str">
        <f t="shared" si="1043"/>
        <v>N</v>
      </c>
      <c r="D1421" s="117">
        <v>2019238</v>
      </c>
      <c r="E1421" s="135">
        <f t="shared" si="1044"/>
        <v>5</v>
      </c>
      <c r="F1421" s="124">
        <v>40961</v>
      </c>
      <c r="G1421" s="125">
        <v>41201</v>
      </c>
      <c r="H1421" s="117">
        <v>2019238</v>
      </c>
      <c r="I1421" s="124" t="s">
        <v>562</v>
      </c>
      <c r="J1421" s="124" t="s">
        <v>562</v>
      </c>
      <c r="K1421" s="126">
        <v>5000</v>
      </c>
      <c r="L1421" s="127" t="s">
        <v>569</v>
      </c>
      <c r="M1421" s="125">
        <v>40963</v>
      </c>
      <c r="N1421" s="129" t="str">
        <f>IF(M1421&gt;1/1/1,"Y",IF(Q1421="0","","N"))</f>
        <v>Y</v>
      </c>
      <c r="O1421" s="128" t="s">
        <v>76</v>
      </c>
      <c r="P1421" s="129" t="s">
        <v>39</v>
      </c>
      <c r="Q1421" s="111">
        <f t="shared" si="1036"/>
        <v>0</v>
      </c>
      <c r="R1421" s="111">
        <f t="shared" si="1021"/>
        <v>241</v>
      </c>
      <c r="S1421" s="129">
        <v>4</v>
      </c>
      <c r="T1421" s="129">
        <v>4</v>
      </c>
      <c r="U1421" s="129">
        <v>3</v>
      </c>
      <c r="W1421" s="111"/>
      <c r="AC1421" s="130"/>
      <c r="AD1421" s="130">
        <v>29556</v>
      </c>
      <c r="AE1421" s="128" t="s">
        <v>46</v>
      </c>
      <c r="AF1421" s="128" t="s">
        <v>33</v>
      </c>
      <c r="AG1421" s="128" t="s">
        <v>872</v>
      </c>
      <c r="AH1421" s="108" t="s">
        <v>58</v>
      </c>
      <c r="AI1421" s="128" t="s">
        <v>34</v>
      </c>
      <c r="AJ1421" s="129" t="s">
        <v>89</v>
      </c>
      <c r="AK1421" s="129">
        <v>11</v>
      </c>
      <c r="AL1421" s="3" t="s">
        <v>992</v>
      </c>
      <c r="AN1421" s="117">
        <v>12</v>
      </c>
      <c r="AP1421" s="129" t="s">
        <v>60</v>
      </c>
      <c r="AR1421" s="128" t="s">
        <v>44</v>
      </c>
      <c r="AS1421" s="129" t="s">
        <v>61</v>
      </c>
      <c r="BC1421" s="129" t="s">
        <v>52</v>
      </c>
      <c r="BF1421" s="111">
        <v>0</v>
      </c>
      <c r="BG1421" s="111">
        <v>0</v>
      </c>
      <c r="BH1421" s="111">
        <f t="shared" si="1039"/>
        <v>241</v>
      </c>
      <c r="BI1421" s="111">
        <f t="shared" si="1040"/>
        <v>31.161202185792348</v>
      </c>
      <c r="BJ1421" s="129" t="e">
        <f>(G1421-J1421)+(M1421-G1421)</f>
        <v>#VALUE!</v>
      </c>
      <c r="BK1421" s="129" t="e">
        <f t="shared" si="1041"/>
        <v>#VALUE!</v>
      </c>
      <c r="BL1421" s="129" t="str">
        <f t="shared" si="1024"/>
        <v>CONVICTION</v>
      </c>
      <c r="BM1421" s="129" t="s">
        <v>76</v>
      </c>
      <c r="BN1421" s="129" t="s">
        <v>88</v>
      </c>
      <c r="BP1421" s="137" t="str">
        <f t="shared" si="1045"/>
        <v>CONVICTION</v>
      </c>
      <c r="BQ1421" s="128">
        <f t="shared" si="1046"/>
        <v>0</v>
      </c>
      <c r="BR1421" s="129" t="s">
        <v>575</v>
      </c>
      <c r="BS1421" s="129" t="str">
        <f t="shared" si="1047"/>
        <v>DISPOSED</v>
      </c>
      <c r="BT1421" s="129" t="str">
        <f t="shared" si="1048"/>
        <v>Y</v>
      </c>
      <c r="BU1421" s="109">
        <f t="shared" si="1056"/>
        <v>0</v>
      </c>
      <c r="BV1421" s="109">
        <v>0</v>
      </c>
      <c r="BW1421" s="109">
        <f t="shared" si="1035"/>
        <v>0</v>
      </c>
      <c r="BX1421" s="111">
        <f t="shared" si="1049"/>
        <v>0</v>
      </c>
      <c r="BY1421" s="129" t="e">
        <f t="shared" si="1050"/>
        <v>#VALUE!</v>
      </c>
      <c r="BZ1421" s="111" t="e">
        <f t="shared" si="1051"/>
        <v>#VALUE!</v>
      </c>
      <c r="CA1421" s="138" t="e">
        <f t="shared" si="1052"/>
        <v>#VALUE!</v>
      </c>
      <c r="CB1421" s="111">
        <v>0</v>
      </c>
      <c r="CC1421" s="129">
        <v>0</v>
      </c>
      <c r="CD1421" s="111">
        <f>CC1421-BF1421</f>
        <v>0</v>
      </c>
      <c r="CG1421" s="129" t="str">
        <f t="shared" si="1053"/>
        <v>Y</v>
      </c>
      <c r="CI1421" s="129" t="str">
        <f t="shared" si="1059"/>
        <v>0-10 DAYS</v>
      </c>
      <c r="CJ1421" s="137">
        <f t="shared" si="1060"/>
        <v>1</v>
      </c>
      <c r="CK1421" s="129" t="str">
        <f t="shared" si="1061"/>
        <v>Not Booked</v>
      </c>
    </row>
    <row r="1422" spans="1:89" ht="15.75" customHeight="1" x14ac:dyDescent="0.25">
      <c r="A1422" s="111">
        <v>1657</v>
      </c>
      <c r="B1422" s="128" t="str">
        <f t="shared" si="1042"/>
        <v>N</v>
      </c>
      <c r="C1422" s="128" t="str">
        <f t="shared" si="1043"/>
        <v>N</v>
      </c>
      <c r="D1422" s="117">
        <v>2019966</v>
      </c>
      <c r="E1422" s="135">
        <f t="shared" si="1044"/>
        <v>2</v>
      </c>
      <c r="F1422" s="124">
        <v>40970</v>
      </c>
      <c r="G1422" s="125">
        <v>40973</v>
      </c>
      <c r="H1422" s="117">
        <v>2019966</v>
      </c>
      <c r="I1422" s="124">
        <v>40970</v>
      </c>
      <c r="J1422" s="124">
        <v>40973</v>
      </c>
      <c r="K1422" s="126">
        <v>10000</v>
      </c>
      <c r="L1422" s="127" t="s">
        <v>570</v>
      </c>
      <c r="N1422" s="129" t="str">
        <f t="shared" ref="N1422:N1427" si="1066">IF(M1422&gt;1/1/1,"Y","N")</f>
        <v>N</v>
      </c>
      <c r="O1422" s="128" t="s">
        <v>917</v>
      </c>
      <c r="P1422" s="129" t="s">
        <v>589</v>
      </c>
      <c r="Q1422" s="111">
        <f t="shared" si="1036"/>
        <v>4</v>
      </c>
      <c r="R1422" s="111">
        <f t="shared" si="1021"/>
        <v>4</v>
      </c>
      <c r="S1422" s="129">
        <v>0</v>
      </c>
      <c r="T1422" s="129">
        <v>2</v>
      </c>
      <c r="W1422" s="111"/>
      <c r="AC1422" s="130"/>
      <c r="AD1422" s="130">
        <v>30759</v>
      </c>
      <c r="AE1422" s="128" t="s">
        <v>32</v>
      </c>
      <c r="AF1422" s="128" t="s">
        <v>69</v>
      </c>
      <c r="AG1422" s="128" t="s">
        <v>874</v>
      </c>
      <c r="AH1422" s="108" t="s">
        <v>58</v>
      </c>
      <c r="AI1422" s="128" t="s">
        <v>114</v>
      </c>
      <c r="AJ1422" s="129" t="s">
        <v>48</v>
      </c>
      <c r="AK1422" s="129">
        <v>1</v>
      </c>
      <c r="AL1422" s="3" t="s">
        <v>48</v>
      </c>
      <c r="AP1422" s="129" t="s">
        <v>49</v>
      </c>
      <c r="AR1422" s="128" t="s">
        <v>50</v>
      </c>
      <c r="AS1422" s="129" t="s">
        <v>45</v>
      </c>
      <c r="AT1422" s="129" t="s">
        <v>360</v>
      </c>
      <c r="BC1422" s="129" t="s">
        <v>38</v>
      </c>
      <c r="BF1422" s="111">
        <f t="shared" ref="BF1422:BF1427" si="1067">IF(J1422&gt;1/1/1900,((J1422+1)-I1422),"STILL OPEN")</f>
        <v>4</v>
      </c>
      <c r="BG1422" s="111">
        <f t="shared" ref="BG1422:BG1427" si="1068">IF(G1422&gt;1/1/1900,((G1422+1)-I1422),"STILL OPEN")</f>
        <v>4</v>
      </c>
      <c r="BH1422" s="111">
        <f t="shared" si="1039"/>
        <v>4</v>
      </c>
      <c r="BI1422" s="111">
        <f t="shared" si="1040"/>
        <v>27.898907103825138</v>
      </c>
      <c r="BJ1422" s="129">
        <f t="shared" si="1063"/>
        <v>0</v>
      </c>
      <c r="BK1422" s="129">
        <f t="shared" si="1041"/>
        <v>0</v>
      </c>
      <c r="BL1422" s="129" t="str">
        <f t="shared" si="1024"/>
        <v>DEFERRED</v>
      </c>
      <c r="BM1422" s="129" t="str">
        <f t="shared" si="1064"/>
        <v>NONE</v>
      </c>
      <c r="BN1422" s="129" t="s">
        <v>566</v>
      </c>
      <c r="BP1422" s="137" t="str">
        <f t="shared" si="1045"/>
        <v>DEFERRED</v>
      </c>
      <c r="BQ1422" s="128" t="str">
        <f t="shared" si="1046"/>
        <v>Y</v>
      </c>
      <c r="BR1422" s="129" t="str">
        <f t="shared" si="1062"/>
        <v>DETAINED</v>
      </c>
      <c r="BS1422" s="129" t="str">
        <f t="shared" si="1047"/>
        <v>DISPOSED</v>
      </c>
      <c r="BT1422" s="129" t="str">
        <f t="shared" si="1048"/>
        <v>N</v>
      </c>
      <c r="BU1422" s="109">
        <f t="shared" si="1056"/>
        <v>1</v>
      </c>
      <c r="BV1422" s="109">
        <f t="shared" si="1057"/>
        <v>1</v>
      </c>
      <c r="BW1422" s="109">
        <f t="shared" si="1035"/>
        <v>0</v>
      </c>
      <c r="BX1422" s="111">
        <f t="shared" si="1049"/>
        <v>0</v>
      </c>
      <c r="BY1422" s="129">
        <f t="shared" si="1050"/>
        <v>-4</v>
      </c>
      <c r="BZ1422" s="111">
        <f t="shared" si="1051"/>
        <v>0</v>
      </c>
      <c r="CA1422" s="138">
        <f t="shared" si="1052"/>
        <v>4</v>
      </c>
      <c r="CB1422" s="111" t="e">
        <f t="shared" ref="CB1422:CB1427" si="1069">IF(AF1422&gt;1/1/1900,((AF1422+1)-AE1422),"STILL OPEN")</f>
        <v>#VALUE!</v>
      </c>
      <c r="CC1422" s="129">
        <f>G1422-I1422+1</f>
        <v>4</v>
      </c>
      <c r="CD1422" s="129">
        <f>G1422-J1422</f>
        <v>0</v>
      </c>
      <c r="CG1422" s="129" t="str">
        <f t="shared" si="1053"/>
        <v>Y</v>
      </c>
      <c r="CI1422" s="129" t="str">
        <f t="shared" si="1059"/>
        <v>0-10 DAYS</v>
      </c>
      <c r="CJ1422" s="137">
        <f t="shared" si="1060"/>
        <v>1</v>
      </c>
      <c r="CK1422" s="129" t="str">
        <f t="shared" si="1061"/>
        <v>Booked</v>
      </c>
    </row>
    <row r="1423" spans="1:89" ht="15.75" customHeight="1" x14ac:dyDescent="0.25">
      <c r="A1423" s="111">
        <v>2139</v>
      </c>
      <c r="B1423" s="128" t="str">
        <f t="shared" si="1042"/>
        <v>N</v>
      </c>
      <c r="C1423" s="128" t="str">
        <f t="shared" si="1043"/>
        <v>N</v>
      </c>
      <c r="D1423" s="117">
        <v>2020114</v>
      </c>
      <c r="E1423" s="135">
        <f t="shared" si="1044"/>
        <v>2</v>
      </c>
      <c r="F1423" s="124">
        <v>40989</v>
      </c>
      <c r="G1423" s="125">
        <v>41103</v>
      </c>
      <c r="H1423" s="117">
        <v>2020114</v>
      </c>
      <c r="I1423" s="124">
        <v>40989</v>
      </c>
      <c r="J1423" s="124">
        <v>40990</v>
      </c>
      <c r="K1423" s="126">
        <v>2000</v>
      </c>
      <c r="L1423" s="127" t="s">
        <v>568</v>
      </c>
      <c r="M1423" s="124">
        <v>40990</v>
      </c>
      <c r="N1423" s="129" t="str">
        <f t="shared" si="1066"/>
        <v>Y</v>
      </c>
      <c r="O1423" s="128" t="s">
        <v>76</v>
      </c>
      <c r="P1423" s="129" t="s">
        <v>589</v>
      </c>
      <c r="Q1423" s="111">
        <f t="shared" si="1036"/>
        <v>2</v>
      </c>
      <c r="R1423" s="111">
        <f t="shared" si="1021"/>
        <v>115</v>
      </c>
      <c r="S1423" s="129">
        <v>0</v>
      </c>
      <c r="T1423" s="129">
        <v>0</v>
      </c>
      <c r="W1423" s="111"/>
      <c r="AC1423" s="130"/>
      <c r="AD1423" s="130">
        <v>31009</v>
      </c>
      <c r="AE1423" s="128" t="s">
        <v>32</v>
      </c>
      <c r="AF1423" s="128" t="s">
        <v>40</v>
      </c>
      <c r="AG1423" s="128" t="s">
        <v>41</v>
      </c>
      <c r="AH1423" s="108" t="s">
        <v>41</v>
      </c>
      <c r="AI1423" s="128" t="s">
        <v>97</v>
      </c>
      <c r="AJ1423" s="129" t="s">
        <v>48</v>
      </c>
      <c r="AK1423" s="129">
        <v>5</v>
      </c>
      <c r="AL1423" s="3" t="s">
        <v>48</v>
      </c>
      <c r="AP1423" s="129" t="s">
        <v>43</v>
      </c>
      <c r="AR1423" s="128" t="s">
        <v>44</v>
      </c>
      <c r="AS1423" s="129" t="s">
        <v>45</v>
      </c>
      <c r="BC1423" s="129" t="s">
        <v>52</v>
      </c>
      <c r="BF1423" s="111">
        <f t="shared" si="1067"/>
        <v>2</v>
      </c>
      <c r="BG1423" s="111">
        <f t="shared" si="1068"/>
        <v>115</v>
      </c>
      <c r="BH1423" s="111">
        <f t="shared" si="1039"/>
        <v>115</v>
      </c>
      <c r="BI1423" s="111">
        <f t="shared" si="1040"/>
        <v>27.26775956284153</v>
      </c>
      <c r="BJ1423" s="129">
        <f>(G1423-J1423)+(M1423-G1423)</f>
        <v>0</v>
      </c>
      <c r="BK1423" s="129">
        <f t="shared" si="1041"/>
        <v>-113</v>
      </c>
      <c r="BL1423" s="129" t="str">
        <f t="shared" si="1024"/>
        <v>DEFERRED</v>
      </c>
      <c r="BM1423" s="129" t="s">
        <v>76</v>
      </c>
      <c r="BN1423" s="129" t="s">
        <v>88</v>
      </c>
      <c r="BP1423" s="137" t="str">
        <f t="shared" si="1045"/>
        <v>DEFERRED</v>
      </c>
      <c r="BQ1423" s="128" t="str">
        <f t="shared" si="1046"/>
        <v>Y</v>
      </c>
      <c r="BR1423" s="129" t="str">
        <f t="shared" si="1062"/>
        <v>ON BOND</v>
      </c>
      <c r="BS1423" s="129" t="str">
        <f t="shared" si="1047"/>
        <v>DISPOSED</v>
      </c>
      <c r="BT1423" s="129" t="str">
        <f t="shared" si="1048"/>
        <v>N</v>
      </c>
      <c r="BU1423" s="109">
        <f t="shared" si="1056"/>
        <v>1.7391304347826087E-2</v>
      </c>
      <c r="BV1423" s="109">
        <f t="shared" si="1057"/>
        <v>1.7391304347826087E-2</v>
      </c>
      <c r="BW1423" s="109">
        <f t="shared" si="1035"/>
        <v>0</v>
      </c>
      <c r="BX1423" s="111">
        <f t="shared" si="1049"/>
        <v>0</v>
      </c>
      <c r="BY1423" s="129">
        <f t="shared" si="1050"/>
        <v>-2</v>
      </c>
      <c r="BZ1423" s="111">
        <f t="shared" si="1051"/>
        <v>0</v>
      </c>
      <c r="CA1423" s="138">
        <f t="shared" si="1052"/>
        <v>2</v>
      </c>
      <c r="CB1423" s="111" t="e">
        <f t="shared" si="1069"/>
        <v>#VALUE!</v>
      </c>
      <c r="CC1423" s="129">
        <f>M1423-I1423+1</f>
        <v>2</v>
      </c>
      <c r="CD1423" s="111">
        <f>CC1423-BF1423</f>
        <v>0</v>
      </c>
      <c r="CG1423" s="129" t="str">
        <f t="shared" si="1053"/>
        <v>N</v>
      </c>
      <c r="CI1423" s="129" t="str">
        <f t="shared" si="1059"/>
        <v>0-10 DAYS</v>
      </c>
      <c r="CJ1423" s="137">
        <f t="shared" si="1060"/>
        <v>1</v>
      </c>
      <c r="CK1423" s="129" t="str">
        <f t="shared" si="1061"/>
        <v>Booked</v>
      </c>
    </row>
    <row r="1424" spans="1:89" ht="15" customHeight="1" x14ac:dyDescent="0.25">
      <c r="A1424" s="111">
        <v>1754</v>
      </c>
      <c r="B1424" s="128" t="str">
        <f t="shared" si="1042"/>
        <v>N</v>
      </c>
      <c r="C1424" s="128" t="str">
        <f t="shared" si="1043"/>
        <v>N</v>
      </c>
      <c r="D1424" s="117">
        <v>2020941</v>
      </c>
      <c r="E1424" s="135">
        <f t="shared" si="1044"/>
        <v>5</v>
      </c>
      <c r="F1424" s="124">
        <v>40974</v>
      </c>
      <c r="G1424" s="125">
        <v>40976</v>
      </c>
      <c r="H1424" s="117">
        <v>2020941</v>
      </c>
      <c r="I1424" s="124">
        <v>40974</v>
      </c>
      <c r="J1424" s="124">
        <v>40976</v>
      </c>
      <c r="K1424" s="126">
        <v>15000</v>
      </c>
      <c r="L1424" s="127" t="s">
        <v>571</v>
      </c>
      <c r="N1424" s="129" t="str">
        <f t="shared" si="1066"/>
        <v>N</v>
      </c>
      <c r="O1424" s="128" t="s">
        <v>917</v>
      </c>
      <c r="P1424" s="129" t="s">
        <v>39</v>
      </c>
      <c r="Q1424" s="111">
        <f t="shared" si="1036"/>
        <v>3</v>
      </c>
      <c r="R1424" s="111">
        <f t="shared" si="1021"/>
        <v>3</v>
      </c>
      <c r="S1424" s="129">
        <v>6</v>
      </c>
      <c r="T1424" s="129">
        <v>6</v>
      </c>
      <c r="U1424" s="129">
        <v>5</v>
      </c>
      <c r="W1424" s="111"/>
      <c r="AC1424" s="130"/>
      <c r="AD1424" s="130">
        <v>30161</v>
      </c>
      <c r="AE1424" s="128" t="s">
        <v>46</v>
      </c>
      <c r="AF1424" s="128" t="s">
        <v>33</v>
      </c>
      <c r="AG1424" s="128" t="s">
        <v>872</v>
      </c>
      <c r="AH1424" s="108" t="s">
        <v>58</v>
      </c>
      <c r="AI1424" s="128" t="s">
        <v>34</v>
      </c>
      <c r="AJ1424" s="129" t="s">
        <v>89</v>
      </c>
      <c r="AK1424" s="129">
        <v>1</v>
      </c>
      <c r="AL1424" s="3" t="s">
        <v>992</v>
      </c>
      <c r="AN1424" s="117">
        <v>6</v>
      </c>
      <c r="AP1424" s="129" t="s">
        <v>60</v>
      </c>
      <c r="AR1424" s="128" t="s">
        <v>44</v>
      </c>
      <c r="AS1424" s="129" t="s">
        <v>61</v>
      </c>
      <c r="BC1424" s="129" t="s">
        <v>38</v>
      </c>
      <c r="BF1424" s="111">
        <f t="shared" si="1067"/>
        <v>3</v>
      </c>
      <c r="BG1424" s="111">
        <f t="shared" si="1068"/>
        <v>3</v>
      </c>
      <c r="BH1424" s="111">
        <f t="shared" si="1039"/>
        <v>3</v>
      </c>
      <c r="BI1424" s="111">
        <f t="shared" si="1040"/>
        <v>29.543715846994534</v>
      </c>
      <c r="BJ1424" s="129">
        <f t="shared" si="1063"/>
        <v>0</v>
      </c>
      <c r="BK1424" s="129">
        <f t="shared" si="1041"/>
        <v>0</v>
      </c>
      <c r="BL1424" s="129" t="str">
        <f t="shared" si="1024"/>
        <v>CONVICTION</v>
      </c>
      <c r="BM1424" s="129" t="str">
        <f t="shared" si="1064"/>
        <v>NONE</v>
      </c>
      <c r="BN1424" s="129" t="s">
        <v>566</v>
      </c>
      <c r="BP1424" s="137" t="str">
        <f t="shared" si="1045"/>
        <v>CONVICTION</v>
      </c>
      <c r="BQ1424" s="128" t="str">
        <f t="shared" si="1046"/>
        <v>Y</v>
      </c>
      <c r="BR1424" s="129" t="str">
        <f t="shared" si="1062"/>
        <v>DETAINED</v>
      </c>
      <c r="BS1424" s="129" t="str">
        <f t="shared" si="1047"/>
        <v>DISPOSED</v>
      </c>
      <c r="BT1424" s="129" t="str">
        <f t="shared" si="1048"/>
        <v>Y</v>
      </c>
      <c r="BU1424" s="109">
        <f t="shared" si="1056"/>
        <v>1</v>
      </c>
      <c r="BV1424" s="109">
        <f t="shared" si="1057"/>
        <v>1</v>
      </c>
      <c r="BW1424" s="109">
        <f t="shared" si="1035"/>
        <v>0</v>
      </c>
      <c r="BX1424" s="111">
        <f t="shared" si="1049"/>
        <v>0</v>
      </c>
      <c r="BY1424" s="129">
        <f t="shared" si="1050"/>
        <v>-3</v>
      </c>
      <c r="BZ1424" s="111">
        <f t="shared" si="1051"/>
        <v>0</v>
      </c>
      <c r="CA1424" s="138">
        <f t="shared" si="1052"/>
        <v>3</v>
      </c>
      <c r="CB1424" s="111" t="e">
        <f t="shared" si="1069"/>
        <v>#VALUE!</v>
      </c>
      <c r="CC1424" s="129">
        <f>G1424-I1424+1</f>
        <v>3</v>
      </c>
      <c r="CD1424" s="129">
        <f>G1424-J1424</f>
        <v>0</v>
      </c>
      <c r="CG1424" s="129" t="str">
        <f t="shared" si="1053"/>
        <v>Y</v>
      </c>
      <c r="CI1424" s="129" t="str">
        <f t="shared" si="1059"/>
        <v>0-10 DAYS</v>
      </c>
      <c r="CJ1424" s="137">
        <f t="shared" si="1060"/>
        <v>1</v>
      </c>
      <c r="CK1424" s="129" t="str">
        <f t="shared" si="1061"/>
        <v>Booked</v>
      </c>
    </row>
    <row r="1425" spans="1:89" ht="15.75" customHeight="1" x14ac:dyDescent="0.25">
      <c r="A1425" s="111">
        <v>901</v>
      </c>
      <c r="B1425" s="128" t="str">
        <f t="shared" si="1042"/>
        <v>N</v>
      </c>
      <c r="C1425" s="128" t="str">
        <f t="shared" si="1043"/>
        <v>N</v>
      </c>
      <c r="D1425" s="117">
        <v>2021855</v>
      </c>
      <c r="E1425" s="135">
        <f t="shared" si="1044"/>
        <v>4</v>
      </c>
      <c r="F1425" s="124">
        <v>40942</v>
      </c>
      <c r="G1425" s="125">
        <v>40945</v>
      </c>
      <c r="H1425" s="117">
        <v>2021855</v>
      </c>
      <c r="I1425" s="124">
        <v>40942</v>
      </c>
      <c r="J1425" s="124">
        <v>40945</v>
      </c>
      <c r="K1425" s="126">
        <v>5000</v>
      </c>
      <c r="L1425" s="127" t="s">
        <v>569</v>
      </c>
      <c r="N1425" s="129" t="str">
        <f t="shared" si="1066"/>
        <v>N</v>
      </c>
      <c r="O1425" s="128" t="s">
        <v>917</v>
      </c>
      <c r="P1425" s="129" t="s">
        <v>39</v>
      </c>
      <c r="Q1425" s="111">
        <f t="shared" si="1036"/>
        <v>4</v>
      </c>
      <c r="R1425" s="111">
        <f t="shared" si="1021"/>
        <v>4</v>
      </c>
      <c r="S1425" s="129">
        <v>1</v>
      </c>
      <c r="T1425" s="129">
        <v>5</v>
      </c>
      <c r="U1425" s="129">
        <v>1</v>
      </c>
      <c r="W1425" s="111"/>
      <c r="AC1425" s="130"/>
      <c r="AD1425" s="130">
        <v>28409</v>
      </c>
      <c r="AE1425" s="128" t="s">
        <v>32</v>
      </c>
      <c r="AF1425" s="128" t="s">
        <v>33</v>
      </c>
      <c r="AG1425" s="128" t="s">
        <v>872</v>
      </c>
      <c r="AH1425" s="108" t="s">
        <v>31</v>
      </c>
      <c r="AI1425" s="128" t="s">
        <v>114</v>
      </c>
      <c r="AJ1425" s="129" t="s">
        <v>89</v>
      </c>
      <c r="AK1425" s="129">
        <v>1</v>
      </c>
      <c r="AL1425" s="3" t="s">
        <v>991</v>
      </c>
      <c r="AO1425" s="128">
        <v>365</v>
      </c>
      <c r="AP1425" s="129" t="s">
        <v>43</v>
      </c>
      <c r="AR1425" s="128" t="s">
        <v>44</v>
      </c>
      <c r="AS1425" s="129" t="s">
        <v>45</v>
      </c>
      <c r="BC1425" s="129" t="s">
        <v>38</v>
      </c>
      <c r="BF1425" s="111">
        <f t="shared" si="1067"/>
        <v>4</v>
      </c>
      <c r="BG1425" s="111">
        <f t="shared" si="1068"/>
        <v>4</v>
      </c>
      <c r="BH1425" s="111">
        <f t="shared" si="1039"/>
        <v>4</v>
      </c>
      <c r="BI1425" s="111">
        <f t="shared" si="1040"/>
        <v>34.243169398907106</v>
      </c>
      <c r="BJ1425" s="129">
        <f t="shared" si="1063"/>
        <v>0</v>
      </c>
      <c r="BK1425" s="129">
        <f t="shared" si="1041"/>
        <v>0</v>
      </c>
      <c r="BL1425" s="129" t="str">
        <f t="shared" si="1024"/>
        <v>CONVICTION</v>
      </c>
      <c r="BM1425" s="129" t="str">
        <f t="shared" si="1064"/>
        <v>NONE</v>
      </c>
      <c r="BN1425" s="129" t="s">
        <v>566</v>
      </c>
      <c r="BP1425" s="137" t="str">
        <f t="shared" si="1045"/>
        <v>CONVICTION</v>
      </c>
      <c r="BQ1425" s="128" t="str">
        <f t="shared" si="1046"/>
        <v>Y</v>
      </c>
      <c r="BR1425" s="129" t="str">
        <f t="shared" si="1062"/>
        <v>DETAINED</v>
      </c>
      <c r="BS1425" s="129" t="str">
        <f t="shared" si="1047"/>
        <v>DISPOSED</v>
      </c>
      <c r="BT1425" s="129" t="str">
        <f t="shared" si="1048"/>
        <v>Y</v>
      </c>
      <c r="BU1425" s="109">
        <f t="shared" si="1056"/>
        <v>1</v>
      </c>
      <c r="BV1425" s="109">
        <f t="shared" si="1057"/>
        <v>1</v>
      </c>
      <c r="BW1425" s="109">
        <f t="shared" si="1035"/>
        <v>0</v>
      </c>
      <c r="BX1425" s="111">
        <f t="shared" si="1049"/>
        <v>0</v>
      </c>
      <c r="BY1425" s="129">
        <f t="shared" si="1050"/>
        <v>-4</v>
      </c>
      <c r="BZ1425" s="111">
        <f t="shared" si="1051"/>
        <v>0</v>
      </c>
      <c r="CA1425" s="138">
        <f t="shared" si="1052"/>
        <v>4</v>
      </c>
      <c r="CB1425" s="111" t="e">
        <f t="shared" si="1069"/>
        <v>#VALUE!</v>
      </c>
      <c r="CC1425" s="129">
        <f>G1425-I1425+1</f>
        <v>4</v>
      </c>
      <c r="CD1425" s="129">
        <f>G1425-J1425</f>
        <v>0</v>
      </c>
      <c r="CG1425" s="129" t="str">
        <f t="shared" si="1053"/>
        <v>Y</v>
      </c>
      <c r="CI1425" s="129" t="str">
        <f t="shared" si="1059"/>
        <v>0-10 DAYS</v>
      </c>
      <c r="CJ1425" s="137">
        <f t="shared" si="1060"/>
        <v>1</v>
      </c>
      <c r="CK1425" s="129" t="str">
        <f t="shared" si="1061"/>
        <v>Booked</v>
      </c>
    </row>
    <row r="1426" spans="1:89" ht="15" customHeight="1" x14ac:dyDescent="0.25">
      <c r="A1426" s="111">
        <v>3194</v>
      </c>
      <c r="B1426" s="128" t="str">
        <f t="shared" si="1042"/>
        <v>N</v>
      </c>
      <c r="C1426" s="128" t="str">
        <f t="shared" si="1043"/>
        <v>N</v>
      </c>
      <c r="D1426" s="117">
        <v>2022720</v>
      </c>
      <c r="E1426" s="135">
        <f t="shared" si="1044"/>
        <v>2</v>
      </c>
      <c r="F1426" s="124">
        <v>41026</v>
      </c>
      <c r="G1426" s="125">
        <v>41191</v>
      </c>
      <c r="H1426" s="117">
        <v>2022720</v>
      </c>
      <c r="I1426" s="124">
        <v>41039</v>
      </c>
      <c r="J1426" s="124">
        <v>41041</v>
      </c>
      <c r="K1426" s="126">
        <v>30000</v>
      </c>
      <c r="L1426" s="129" t="s">
        <v>572</v>
      </c>
      <c r="M1426" s="125">
        <v>41041</v>
      </c>
      <c r="N1426" s="129" t="str">
        <f t="shared" si="1066"/>
        <v>Y</v>
      </c>
      <c r="O1426" s="128" t="s">
        <v>585</v>
      </c>
      <c r="P1426" s="129" t="s">
        <v>589</v>
      </c>
      <c r="Q1426" s="111">
        <f t="shared" si="1036"/>
        <v>3</v>
      </c>
      <c r="R1426" s="111">
        <f t="shared" ref="R1426:R1489" si="1070">BH1426</f>
        <v>166</v>
      </c>
      <c r="S1426" s="129">
        <v>0</v>
      </c>
      <c r="T1426" s="129">
        <v>1</v>
      </c>
      <c r="W1426" s="111"/>
      <c r="AC1426" s="130"/>
      <c r="AD1426" s="130">
        <v>30748</v>
      </c>
      <c r="AE1426" s="128" t="s">
        <v>46</v>
      </c>
      <c r="AF1426" s="128" t="s">
        <v>33</v>
      </c>
      <c r="AG1426" s="128" t="s">
        <v>872</v>
      </c>
      <c r="AH1426" s="108" t="s">
        <v>31</v>
      </c>
      <c r="AI1426" s="128" t="s">
        <v>90</v>
      </c>
      <c r="AJ1426" s="129" t="s">
        <v>48</v>
      </c>
      <c r="AK1426" s="129">
        <v>11</v>
      </c>
      <c r="AL1426" s="3" t="s">
        <v>48</v>
      </c>
      <c r="AP1426" s="129" t="s">
        <v>73</v>
      </c>
      <c r="AR1426" s="128" t="s">
        <v>50</v>
      </c>
      <c r="AS1426" s="129" t="s">
        <v>74</v>
      </c>
      <c r="BC1426" s="129" t="s">
        <v>52</v>
      </c>
      <c r="BF1426" s="111">
        <f t="shared" si="1067"/>
        <v>3</v>
      </c>
      <c r="BG1426" s="111">
        <f t="shared" si="1068"/>
        <v>153</v>
      </c>
      <c r="BH1426" s="111">
        <f t="shared" si="1039"/>
        <v>166</v>
      </c>
      <c r="BI1426" s="111">
        <f t="shared" si="1040"/>
        <v>28.081967213114755</v>
      </c>
      <c r="BJ1426" s="129">
        <f>(G1426-J1426)+(M1426-G1426)</f>
        <v>0</v>
      </c>
      <c r="BK1426" s="129">
        <f t="shared" si="1041"/>
        <v>-150</v>
      </c>
      <c r="BL1426" s="129" t="str">
        <f t="shared" si="1024"/>
        <v>DEFERRED</v>
      </c>
      <c r="BM1426" s="129" t="s">
        <v>76</v>
      </c>
      <c r="BN1426" s="129" t="s">
        <v>88</v>
      </c>
      <c r="BP1426" s="137" t="str">
        <f t="shared" si="1045"/>
        <v>DEFERRED</v>
      </c>
      <c r="BQ1426" s="128" t="str">
        <f t="shared" si="1046"/>
        <v>Y</v>
      </c>
      <c r="BR1426" s="129" t="str">
        <f t="shared" si="1062"/>
        <v>ON BOND</v>
      </c>
      <c r="BS1426" s="129" t="str">
        <f t="shared" si="1047"/>
        <v>DISPOSED</v>
      </c>
      <c r="BT1426" s="129" t="str">
        <f t="shared" si="1048"/>
        <v>N</v>
      </c>
      <c r="BU1426" s="109">
        <f t="shared" si="1056"/>
        <v>1.8072289156626505E-2</v>
      </c>
      <c r="BV1426" s="109">
        <f t="shared" si="1057"/>
        <v>1.9607843137254902E-2</v>
      </c>
      <c r="BW1426" s="109">
        <f t="shared" si="1035"/>
        <v>1.5355539806283965E-3</v>
      </c>
      <c r="BX1426" s="111">
        <f t="shared" si="1049"/>
        <v>0</v>
      </c>
      <c r="BY1426" s="129">
        <f t="shared" si="1050"/>
        <v>-3</v>
      </c>
      <c r="BZ1426" s="111">
        <f t="shared" si="1051"/>
        <v>0</v>
      </c>
      <c r="CA1426" s="138">
        <f t="shared" si="1052"/>
        <v>3</v>
      </c>
      <c r="CB1426" s="111" t="e">
        <f t="shared" si="1069"/>
        <v>#VALUE!</v>
      </c>
      <c r="CC1426" s="129">
        <f>M1426-I1426+1</f>
        <v>3</v>
      </c>
      <c r="CD1426" s="111">
        <f>CC1426-BF1426</f>
        <v>0</v>
      </c>
      <c r="CG1426" s="129" t="str">
        <f t="shared" si="1053"/>
        <v>Y</v>
      </c>
      <c r="CI1426" s="129" t="str">
        <f t="shared" si="1059"/>
        <v>0-10 DAYS</v>
      </c>
      <c r="CJ1426" s="137">
        <f t="shared" si="1060"/>
        <v>1</v>
      </c>
      <c r="CK1426" s="129" t="str">
        <f t="shared" si="1061"/>
        <v>Booked</v>
      </c>
    </row>
    <row r="1427" spans="1:89" ht="15" customHeight="1" x14ac:dyDescent="0.25">
      <c r="A1427" s="111">
        <v>1209</v>
      </c>
      <c r="B1427" s="128" t="str">
        <f t="shared" si="1042"/>
        <v>N</v>
      </c>
      <c r="C1427" s="128" t="str">
        <f t="shared" si="1043"/>
        <v>N</v>
      </c>
      <c r="D1427" s="117">
        <v>2023877</v>
      </c>
      <c r="E1427" s="135">
        <f t="shared" si="1044"/>
        <v>1</v>
      </c>
      <c r="F1427" s="124">
        <v>40953</v>
      </c>
      <c r="G1427" s="125">
        <v>41106</v>
      </c>
      <c r="H1427" s="117">
        <v>2023877</v>
      </c>
      <c r="I1427" s="124">
        <v>40953</v>
      </c>
      <c r="J1427" s="124">
        <v>40954</v>
      </c>
      <c r="K1427" s="126">
        <v>2000</v>
      </c>
      <c r="L1427" s="127" t="s">
        <v>568</v>
      </c>
      <c r="M1427" s="125">
        <v>40954</v>
      </c>
      <c r="N1427" s="129" t="str">
        <f t="shared" si="1066"/>
        <v>Y</v>
      </c>
      <c r="O1427" s="128" t="s">
        <v>585</v>
      </c>
      <c r="P1427" s="129" t="s">
        <v>55</v>
      </c>
      <c r="Q1427" s="111">
        <f t="shared" si="1036"/>
        <v>2</v>
      </c>
      <c r="R1427" s="111">
        <f t="shared" si="1070"/>
        <v>154</v>
      </c>
      <c r="S1427" s="129">
        <v>0</v>
      </c>
      <c r="T1427" s="129">
        <v>1</v>
      </c>
      <c r="W1427" s="111"/>
      <c r="AC1427" s="130"/>
      <c r="AD1427" s="130">
        <v>30612</v>
      </c>
      <c r="AE1427" s="128" t="s">
        <v>46</v>
      </c>
      <c r="AF1427" s="128" t="s">
        <v>69</v>
      </c>
      <c r="AG1427" s="128" t="s">
        <v>874</v>
      </c>
      <c r="AH1427" s="108" t="s">
        <v>31</v>
      </c>
      <c r="AI1427" s="128" t="s">
        <v>53</v>
      </c>
      <c r="AJ1427" s="129" t="s">
        <v>55</v>
      </c>
      <c r="AK1427" s="129">
        <v>8</v>
      </c>
      <c r="AL1427" s="3" t="s">
        <v>55</v>
      </c>
      <c r="AP1427" s="129" t="s">
        <v>43</v>
      </c>
      <c r="AR1427" s="128" t="s">
        <v>44</v>
      </c>
      <c r="AS1427" s="129" t="s">
        <v>45</v>
      </c>
      <c r="BC1427" s="129" t="s">
        <v>52</v>
      </c>
      <c r="BF1427" s="111">
        <f t="shared" si="1067"/>
        <v>2</v>
      </c>
      <c r="BG1427" s="111">
        <f t="shared" si="1068"/>
        <v>154</v>
      </c>
      <c r="BH1427" s="111">
        <f t="shared" si="1039"/>
        <v>154</v>
      </c>
      <c r="BI1427" s="111">
        <f t="shared" si="1040"/>
        <v>28.254098360655739</v>
      </c>
      <c r="BJ1427" s="129">
        <f>(G1427-J1427)+(M1427-G1427)</f>
        <v>0</v>
      </c>
      <c r="BK1427" s="129">
        <f t="shared" si="1041"/>
        <v>-152</v>
      </c>
      <c r="BL1427" s="129" t="str">
        <f t="shared" si="1024"/>
        <v>NO CONVICTION</v>
      </c>
      <c r="BM1427" s="129" t="s">
        <v>76</v>
      </c>
      <c r="BN1427" s="129" t="s">
        <v>88</v>
      </c>
      <c r="BP1427" s="137" t="str">
        <f t="shared" si="1045"/>
        <v>NO CONVICTION</v>
      </c>
      <c r="BQ1427" s="128" t="str">
        <f t="shared" si="1046"/>
        <v>Y</v>
      </c>
      <c r="BR1427" s="129" t="str">
        <f t="shared" si="1062"/>
        <v>ON BOND</v>
      </c>
      <c r="BS1427" s="129" t="str">
        <f t="shared" si="1047"/>
        <v>DISPOSED</v>
      </c>
      <c r="BT1427" s="129" t="str">
        <f t="shared" si="1048"/>
        <v>N</v>
      </c>
      <c r="BU1427" s="109">
        <f>IFERROR(Q1427/R1427,BR1427)</f>
        <v>1.2987012987012988E-2</v>
      </c>
      <c r="BV1427" s="109">
        <f t="shared" si="1057"/>
        <v>1.2987012987012988E-2</v>
      </c>
      <c r="BW1427" s="109">
        <f t="shared" si="1035"/>
        <v>0</v>
      </c>
      <c r="BX1427" s="111">
        <f t="shared" si="1049"/>
        <v>0</v>
      </c>
      <c r="BY1427" s="129">
        <f t="shared" si="1050"/>
        <v>-2</v>
      </c>
      <c r="BZ1427" s="111">
        <f t="shared" si="1051"/>
        <v>0</v>
      </c>
      <c r="CA1427" s="138">
        <f t="shared" si="1052"/>
        <v>2</v>
      </c>
      <c r="CB1427" s="111" t="e">
        <f t="shared" si="1069"/>
        <v>#VALUE!</v>
      </c>
      <c r="CC1427" s="129">
        <f>M1427-I1427+1</f>
        <v>2</v>
      </c>
      <c r="CD1427" s="111">
        <f>CC1427-BF1427</f>
        <v>0</v>
      </c>
      <c r="CG1427" s="129" t="str">
        <f t="shared" si="1053"/>
        <v>Y</v>
      </c>
      <c r="CI1427" s="129" t="str">
        <f t="shared" si="1059"/>
        <v>0-10 DAYS</v>
      </c>
      <c r="CJ1427" s="137">
        <f t="shared" si="1060"/>
        <v>1</v>
      </c>
      <c r="CK1427" s="129" t="str">
        <f t="shared" si="1061"/>
        <v>Booked</v>
      </c>
    </row>
    <row r="1428" spans="1:89" ht="15.75" customHeight="1" x14ac:dyDescent="0.25">
      <c r="A1428" s="111">
        <v>2958</v>
      </c>
      <c r="B1428" s="128" t="str">
        <f t="shared" si="1042"/>
        <v>N</v>
      </c>
      <c r="C1428" s="128" t="str">
        <f t="shared" si="1043"/>
        <v>N</v>
      </c>
      <c r="D1428" s="117">
        <v>2025016</v>
      </c>
      <c r="E1428" s="135">
        <f t="shared" si="1044"/>
        <v>2</v>
      </c>
      <c r="F1428" s="124">
        <v>41018</v>
      </c>
      <c r="G1428" s="125">
        <v>41205</v>
      </c>
      <c r="H1428" s="117">
        <v>2025016</v>
      </c>
      <c r="I1428" s="124" t="s">
        <v>562</v>
      </c>
      <c r="J1428" s="124" t="s">
        <v>562</v>
      </c>
      <c r="K1428" s="126">
        <v>20000</v>
      </c>
      <c r="L1428" s="127" t="s">
        <v>571</v>
      </c>
      <c r="M1428" s="125">
        <v>41019</v>
      </c>
      <c r="N1428" s="129" t="str">
        <f>IF(M1428&gt;1/1/1,"Y",IF(Q1428="0","","N"))</f>
        <v>Y</v>
      </c>
      <c r="O1428" s="128" t="s">
        <v>76</v>
      </c>
      <c r="P1428" s="129" t="s">
        <v>589</v>
      </c>
      <c r="Q1428" s="111">
        <f t="shared" si="1036"/>
        <v>0</v>
      </c>
      <c r="R1428" s="111">
        <f t="shared" si="1070"/>
        <v>188</v>
      </c>
      <c r="S1428" s="129">
        <v>0</v>
      </c>
      <c r="T1428" s="129">
        <v>0</v>
      </c>
      <c r="W1428" s="111"/>
      <c r="AC1428" s="130"/>
      <c r="AD1428" s="130">
        <v>27797</v>
      </c>
      <c r="AE1428" s="128" t="s">
        <v>32</v>
      </c>
      <c r="AF1428" s="128" t="s">
        <v>69</v>
      </c>
      <c r="AG1428" s="128" t="s">
        <v>874</v>
      </c>
      <c r="AH1428" s="108" t="s">
        <v>31</v>
      </c>
      <c r="AI1428" s="128" t="s">
        <v>95</v>
      </c>
      <c r="AJ1428" s="129" t="s">
        <v>48</v>
      </c>
      <c r="AK1428" s="129">
        <v>8</v>
      </c>
      <c r="AL1428" s="3" t="s">
        <v>48</v>
      </c>
      <c r="AP1428" s="129" t="s">
        <v>164</v>
      </c>
      <c r="AR1428" s="128" t="s">
        <v>92</v>
      </c>
      <c r="AS1428" s="129" t="s">
        <v>82</v>
      </c>
      <c r="BC1428" s="129" t="s">
        <v>38</v>
      </c>
      <c r="BF1428" s="111">
        <v>0</v>
      </c>
      <c r="BG1428" s="111">
        <v>0</v>
      </c>
      <c r="BH1428" s="111">
        <f t="shared" si="1039"/>
        <v>188</v>
      </c>
      <c r="BI1428" s="111">
        <f t="shared" si="1040"/>
        <v>36.122950819672134</v>
      </c>
      <c r="BJ1428" s="129" t="e">
        <f>(G1428-J1428)+(M1428-G1428)</f>
        <v>#VALUE!</v>
      </c>
      <c r="BK1428" s="129" t="e">
        <f t="shared" si="1041"/>
        <v>#VALUE!</v>
      </c>
      <c r="BL1428" s="129" t="str">
        <f t="shared" si="1024"/>
        <v>DEFERRED</v>
      </c>
      <c r="BM1428" s="129" t="s">
        <v>76</v>
      </c>
      <c r="BN1428" s="129" t="s">
        <v>88</v>
      </c>
      <c r="BP1428" s="137" t="str">
        <f t="shared" si="1045"/>
        <v>DEFERRED</v>
      </c>
      <c r="BQ1428" s="128">
        <f t="shared" si="1046"/>
        <v>0</v>
      </c>
      <c r="BR1428" s="129" t="s">
        <v>575</v>
      </c>
      <c r="BS1428" s="129" t="str">
        <f t="shared" si="1047"/>
        <v>DISPOSED</v>
      </c>
      <c r="BT1428" s="129" t="str">
        <f t="shared" si="1048"/>
        <v>N</v>
      </c>
      <c r="BU1428" s="109">
        <f t="shared" si="1056"/>
        <v>0</v>
      </c>
      <c r="BV1428" s="109">
        <v>0</v>
      </c>
      <c r="BW1428" s="109">
        <f t="shared" si="1035"/>
        <v>0</v>
      </c>
      <c r="BX1428" s="111">
        <f t="shared" si="1049"/>
        <v>0</v>
      </c>
      <c r="BY1428" s="129" t="e">
        <f t="shared" si="1050"/>
        <v>#VALUE!</v>
      </c>
      <c r="BZ1428" s="111" t="e">
        <f t="shared" si="1051"/>
        <v>#VALUE!</v>
      </c>
      <c r="CA1428" s="138" t="e">
        <f t="shared" si="1052"/>
        <v>#VALUE!</v>
      </c>
      <c r="CB1428" s="111">
        <v>0</v>
      </c>
      <c r="CC1428" s="129">
        <v>0</v>
      </c>
      <c r="CD1428" s="111">
        <f>CC1428-BF1428</f>
        <v>0</v>
      </c>
      <c r="CG1428" s="129" t="str">
        <f t="shared" si="1053"/>
        <v>N</v>
      </c>
      <c r="CI1428" s="129" t="str">
        <f t="shared" si="1059"/>
        <v>0-10 DAYS</v>
      </c>
      <c r="CJ1428" s="137">
        <f t="shared" si="1060"/>
        <v>1</v>
      </c>
      <c r="CK1428" s="129" t="str">
        <f t="shared" si="1061"/>
        <v>Not Booked</v>
      </c>
    </row>
    <row r="1429" spans="1:89" ht="15.75" customHeight="1" x14ac:dyDescent="0.25">
      <c r="A1429" s="111">
        <v>1519</v>
      </c>
      <c r="B1429" s="128" t="str">
        <f t="shared" si="1042"/>
        <v>N</v>
      </c>
      <c r="C1429" s="128" t="str">
        <f t="shared" si="1043"/>
        <v>N</v>
      </c>
      <c r="D1429" s="117">
        <v>2026342</v>
      </c>
      <c r="E1429" s="135">
        <f t="shared" si="1044"/>
        <v>4</v>
      </c>
      <c r="F1429" s="124">
        <v>40964</v>
      </c>
      <c r="G1429" s="125">
        <v>40966</v>
      </c>
      <c r="H1429" s="117">
        <v>2026342</v>
      </c>
      <c r="I1429" s="124">
        <v>40965</v>
      </c>
      <c r="J1429" s="124">
        <v>40966</v>
      </c>
      <c r="K1429" s="126">
        <v>15000</v>
      </c>
      <c r="L1429" s="127" t="s">
        <v>571</v>
      </c>
      <c r="N1429" s="129" t="str">
        <f>IF(M1429&gt;1/1/1,"Y","N")</f>
        <v>N</v>
      </c>
      <c r="O1429" s="128" t="s">
        <v>917</v>
      </c>
      <c r="P1429" s="129" t="s">
        <v>39</v>
      </c>
      <c r="Q1429" s="111">
        <f t="shared" si="1036"/>
        <v>2</v>
      </c>
      <c r="R1429" s="111">
        <f t="shared" si="1070"/>
        <v>3</v>
      </c>
      <c r="S1429" s="129">
        <v>7</v>
      </c>
      <c r="T1429" s="129">
        <v>0</v>
      </c>
      <c r="U1429" s="129">
        <v>5</v>
      </c>
      <c r="W1429" s="111"/>
      <c r="AC1429" s="130"/>
      <c r="AD1429" s="130">
        <v>31567</v>
      </c>
      <c r="AE1429" s="128" t="s">
        <v>46</v>
      </c>
      <c r="AF1429" s="128" t="s">
        <v>69</v>
      </c>
      <c r="AG1429" s="128" t="s">
        <v>874</v>
      </c>
      <c r="AH1429" s="108" t="s">
        <v>58</v>
      </c>
      <c r="AI1429" s="128" t="s">
        <v>85</v>
      </c>
      <c r="AJ1429" s="129" t="s">
        <v>89</v>
      </c>
      <c r="AK1429" s="129">
        <v>1</v>
      </c>
      <c r="AL1429" s="3" t="s">
        <v>991</v>
      </c>
      <c r="AO1429" s="128">
        <v>30</v>
      </c>
      <c r="AP1429" s="129" t="s">
        <v>43</v>
      </c>
      <c r="AR1429" s="128" t="s">
        <v>44</v>
      </c>
      <c r="AS1429" s="129" t="s">
        <v>45</v>
      </c>
      <c r="BC1429" s="129" t="s">
        <v>38</v>
      </c>
      <c r="BF1429" s="111">
        <f t="shared" ref="BF1429:BF1455" si="1071">IF(J1429&gt;1/1/1900,((J1429+1)-I1429),"STILL OPEN")</f>
        <v>2</v>
      </c>
      <c r="BG1429" s="111">
        <f t="shared" ref="BG1429:BG1476" si="1072">IF(G1429&gt;1/1/1900,((G1429+1)-I1429),"STILL OPEN")</f>
        <v>2</v>
      </c>
      <c r="BH1429" s="111">
        <f t="shared" si="1039"/>
        <v>3</v>
      </c>
      <c r="BI1429" s="111">
        <f t="shared" si="1040"/>
        <v>25.674863387978142</v>
      </c>
      <c r="BJ1429" s="129">
        <f t="shared" si="1063"/>
        <v>0</v>
      </c>
      <c r="BK1429" s="129">
        <f t="shared" si="1041"/>
        <v>0</v>
      </c>
      <c r="BL1429" s="129" t="str">
        <f t="shared" ref="BL1429:BL1492" si="1073">IF(OR(AL1429="AQUITTAL",AL1429="DISMISSED",AL1429="FINE",AL1429="NO BILL"),"NO CONVICTION",IF(OR(AL1429="HCJ",AL1429="MHH",AL1429="PROBATION",AL1429="STJ",AL1429="TDC"),"CONVICTION",IF(AL1429="DEFERRED","DEFERRED",0)))</f>
        <v>CONVICTION</v>
      </c>
      <c r="BM1429" s="129" t="str">
        <f t="shared" si="1064"/>
        <v>NONE</v>
      </c>
      <c r="BN1429" s="129" t="s">
        <v>566</v>
      </c>
      <c r="BP1429" s="137" t="str">
        <f t="shared" si="1045"/>
        <v>CONVICTION</v>
      </c>
      <c r="BQ1429" s="128" t="str">
        <f t="shared" si="1046"/>
        <v>Y</v>
      </c>
      <c r="BR1429" s="129" t="str">
        <f t="shared" si="1062"/>
        <v>DETAINED</v>
      </c>
      <c r="BS1429" s="129" t="str">
        <f t="shared" si="1047"/>
        <v>DISPOSED</v>
      </c>
      <c r="BT1429" s="129" t="str">
        <f t="shared" si="1048"/>
        <v>Y</v>
      </c>
      <c r="BU1429" s="109">
        <f t="shared" si="1056"/>
        <v>0.66666666666666663</v>
      </c>
      <c r="BV1429" s="109">
        <f t="shared" si="1057"/>
        <v>1</v>
      </c>
      <c r="BW1429" s="109">
        <f t="shared" si="1035"/>
        <v>0.33333333333333337</v>
      </c>
      <c r="BX1429" s="111">
        <f t="shared" si="1049"/>
        <v>0</v>
      </c>
      <c r="BY1429" s="129">
        <f t="shared" si="1050"/>
        <v>-2</v>
      </c>
      <c r="BZ1429" s="111">
        <f t="shared" si="1051"/>
        <v>0</v>
      </c>
      <c r="CA1429" s="138">
        <f t="shared" si="1052"/>
        <v>2</v>
      </c>
      <c r="CB1429" s="111" t="e">
        <f t="shared" ref="CB1429:CB1455" si="1074">IF(AF1429&gt;1/1/1900,((AF1429+1)-AE1429),"STILL OPEN")</f>
        <v>#VALUE!</v>
      </c>
      <c r="CC1429" s="129">
        <f>G1429-I1429+1</f>
        <v>2</v>
      </c>
      <c r="CD1429" s="129">
        <f>G1429-J1429</f>
        <v>0</v>
      </c>
      <c r="CG1429" s="129" t="str">
        <f t="shared" si="1053"/>
        <v>Y</v>
      </c>
      <c r="CI1429" s="129" t="str">
        <f t="shared" si="1059"/>
        <v>0-10 DAYS</v>
      </c>
      <c r="CJ1429" s="137">
        <f t="shared" si="1060"/>
        <v>1</v>
      </c>
      <c r="CK1429" s="129" t="str">
        <f t="shared" si="1061"/>
        <v>Booked</v>
      </c>
    </row>
    <row r="1430" spans="1:89" ht="15.75" customHeight="1" x14ac:dyDescent="0.25">
      <c r="A1430" s="111">
        <v>327</v>
      </c>
      <c r="B1430" s="128" t="str">
        <f t="shared" si="1042"/>
        <v>N</v>
      </c>
      <c r="C1430" s="128" t="str">
        <f t="shared" si="1043"/>
        <v>N</v>
      </c>
      <c r="D1430" s="117">
        <v>2026667</v>
      </c>
      <c r="E1430" s="135">
        <f t="shared" si="1044"/>
        <v>5</v>
      </c>
      <c r="F1430" s="124">
        <v>40921</v>
      </c>
      <c r="G1430" s="125">
        <v>41201</v>
      </c>
      <c r="H1430" s="117">
        <v>2026667</v>
      </c>
      <c r="I1430" s="124">
        <v>41025</v>
      </c>
      <c r="J1430" s="124">
        <v>41027</v>
      </c>
      <c r="K1430" s="126">
        <v>30000</v>
      </c>
      <c r="L1430" s="129" t="s">
        <v>572</v>
      </c>
      <c r="M1430" s="125">
        <v>41027</v>
      </c>
      <c r="N1430" s="129" t="str">
        <f>IF(M1430&gt;1/1/1,"Y","N")</f>
        <v>Y</v>
      </c>
      <c r="O1430" s="128" t="s">
        <v>76</v>
      </c>
      <c r="P1430" s="129" t="s">
        <v>39</v>
      </c>
      <c r="Q1430" s="111">
        <f t="shared" si="1036"/>
        <v>3</v>
      </c>
      <c r="R1430" s="111">
        <f t="shared" si="1070"/>
        <v>281</v>
      </c>
      <c r="S1430" s="129">
        <v>7</v>
      </c>
      <c r="T1430" s="129">
        <v>5</v>
      </c>
      <c r="U1430" s="129">
        <v>3</v>
      </c>
      <c r="V1430" s="117">
        <v>1</v>
      </c>
      <c r="W1430" s="111"/>
      <c r="AC1430" s="130"/>
      <c r="AD1430" s="130">
        <v>31550</v>
      </c>
      <c r="AE1430" s="128" t="s">
        <v>32</v>
      </c>
      <c r="AF1430" s="128" t="s">
        <v>33</v>
      </c>
      <c r="AG1430" s="128" t="s">
        <v>872</v>
      </c>
      <c r="AH1430" s="108" t="s">
        <v>31</v>
      </c>
      <c r="AI1430" s="128" t="s">
        <v>113</v>
      </c>
      <c r="AJ1430" s="129" t="s">
        <v>89</v>
      </c>
      <c r="AK1430" s="129">
        <v>8</v>
      </c>
      <c r="AL1430" s="3" t="s">
        <v>992</v>
      </c>
      <c r="AN1430" s="117">
        <v>6</v>
      </c>
      <c r="AP1430" s="129" t="s">
        <v>108</v>
      </c>
      <c r="AR1430" s="128" t="s">
        <v>44</v>
      </c>
      <c r="AS1430" s="129" t="s">
        <v>61</v>
      </c>
      <c r="BC1430" s="129" t="s">
        <v>52</v>
      </c>
      <c r="BF1430" s="111">
        <f t="shared" si="1071"/>
        <v>3</v>
      </c>
      <c r="BG1430" s="111">
        <f t="shared" si="1072"/>
        <v>177</v>
      </c>
      <c r="BH1430" s="111">
        <f t="shared" si="1039"/>
        <v>281</v>
      </c>
      <c r="BI1430" s="111">
        <f t="shared" si="1040"/>
        <v>25.603825136612024</v>
      </c>
      <c r="BJ1430" s="129">
        <f>(G1430-J1430)+(M1430-G1430)</f>
        <v>0</v>
      </c>
      <c r="BK1430" s="129">
        <f t="shared" si="1041"/>
        <v>-174</v>
      </c>
      <c r="BL1430" s="129" t="str">
        <f t="shared" si="1073"/>
        <v>CONVICTION</v>
      </c>
      <c r="BM1430" s="129" t="s">
        <v>76</v>
      </c>
      <c r="BN1430" s="129" t="s">
        <v>88</v>
      </c>
      <c r="BP1430" s="137" t="str">
        <f t="shared" si="1045"/>
        <v>CONVICTION</v>
      </c>
      <c r="BQ1430" s="128" t="str">
        <f t="shared" si="1046"/>
        <v>Y</v>
      </c>
      <c r="BR1430" s="129" t="str">
        <f>IF(J1430&lt;G1430,"ON BOND",0)</f>
        <v>ON BOND</v>
      </c>
      <c r="BS1430" s="129" t="str">
        <f t="shared" si="1047"/>
        <v>DISPOSED</v>
      </c>
      <c r="BT1430" s="129" t="str">
        <f t="shared" si="1048"/>
        <v>Y</v>
      </c>
      <c r="BU1430" s="109">
        <f t="shared" si="1056"/>
        <v>1.0676156583629894E-2</v>
      </c>
      <c r="BV1430" s="109">
        <f t="shared" si="1057"/>
        <v>1.6949152542372881E-2</v>
      </c>
      <c r="BW1430" s="109">
        <f t="shared" si="1035"/>
        <v>6.2729959587429877E-3</v>
      </c>
      <c r="BX1430" s="111">
        <f t="shared" si="1049"/>
        <v>0</v>
      </c>
      <c r="BY1430" s="129">
        <f t="shared" si="1050"/>
        <v>-3</v>
      </c>
      <c r="BZ1430" s="111">
        <f t="shared" si="1051"/>
        <v>0</v>
      </c>
      <c r="CA1430" s="138">
        <f t="shared" si="1052"/>
        <v>3</v>
      </c>
      <c r="CB1430" s="111" t="e">
        <f t="shared" si="1074"/>
        <v>#VALUE!</v>
      </c>
      <c r="CC1430" s="129">
        <f>M1430-I1430+1</f>
        <v>3</v>
      </c>
      <c r="CD1430" s="111">
        <f>CC1430-BF1430</f>
        <v>0</v>
      </c>
      <c r="CG1430" s="129" t="str">
        <f t="shared" si="1053"/>
        <v>Y</v>
      </c>
      <c r="CI1430" s="129" t="str">
        <f t="shared" si="1059"/>
        <v>0-10 DAYS</v>
      </c>
      <c r="CJ1430" s="137">
        <f t="shared" si="1060"/>
        <v>1</v>
      </c>
      <c r="CK1430" s="129" t="str">
        <f t="shared" si="1061"/>
        <v>Booked</v>
      </c>
    </row>
    <row r="1431" spans="1:89" ht="15.75" customHeight="1" x14ac:dyDescent="0.25">
      <c r="A1431" s="111">
        <v>2987</v>
      </c>
      <c r="B1431" s="128" t="str">
        <f t="shared" si="1042"/>
        <v>N</v>
      </c>
      <c r="C1431" s="128" t="str">
        <f t="shared" si="1043"/>
        <v>Y</v>
      </c>
      <c r="D1431" s="117">
        <v>2027900</v>
      </c>
      <c r="E1431" s="135">
        <f t="shared" si="1044"/>
        <v>6</v>
      </c>
      <c r="F1431" s="124">
        <v>41019</v>
      </c>
      <c r="G1431" s="125">
        <v>41290</v>
      </c>
      <c r="H1431" s="117">
        <v>2027900</v>
      </c>
      <c r="I1431" s="124">
        <v>41019</v>
      </c>
      <c r="J1431" s="124">
        <v>41021</v>
      </c>
      <c r="K1431" s="126">
        <v>15000</v>
      </c>
      <c r="L1431" s="127" t="s">
        <v>571</v>
      </c>
      <c r="M1431" s="125">
        <v>41021</v>
      </c>
      <c r="N1431" s="129" t="str">
        <f>IF(M1431&gt;1/1/1,"Y","N")</f>
        <v>Y</v>
      </c>
      <c r="O1431" s="128" t="s">
        <v>585</v>
      </c>
      <c r="P1431" s="129" t="s">
        <v>39</v>
      </c>
      <c r="Q1431" s="111">
        <v>248</v>
      </c>
      <c r="R1431" s="111">
        <f t="shared" si="1070"/>
        <v>272</v>
      </c>
      <c r="S1431" s="129">
        <v>6</v>
      </c>
      <c r="T1431" s="129">
        <v>9</v>
      </c>
      <c r="U1431" s="129">
        <v>4</v>
      </c>
      <c r="W1431" s="111"/>
      <c r="AC1431" s="130"/>
      <c r="AD1431" s="130">
        <v>31195</v>
      </c>
      <c r="AE1431" s="128" t="s">
        <v>32</v>
      </c>
      <c r="AF1431" s="128" t="s">
        <v>33</v>
      </c>
      <c r="AG1431" s="128" t="s">
        <v>872</v>
      </c>
      <c r="AH1431" s="108" t="s">
        <v>58</v>
      </c>
      <c r="AI1431" s="128" t="s">
        <v>71</v>
      </c>
      <c r="AJ1431" s="129" t="s">
        <v>89</v>
      </c>
      <c r="AK1431" s="129">
        <v>13</v>
      </c>
      <c r="AL1431" s="3" t="s">
        <v>362</v>
      </c>
      <c r="AM1431" s="117">
        <v>4</v>
      </c>
      <c r="AP1431" s="129" t="s">
        <v>43</v>
      </c>
      <c r="AR1431" s="128" t="s">
        <v>44</v>
      </c>
      <c r="AS1431" s="129" t="s">
        <v>45</v>
      </c>
      <c r="AU1431" s="3" t="s">
        <v>854</v>
      </c>
      <c r="AX1431" s="32" t="s">
        <v>88</v>
      </c>
      <c r="BC1431" s="129" t="s">
        <v>38</v>
      </c>
      <c r="BF1431" s="111">
        <v>248</v>
      </c>
      <c r="BG1431" s="111">
        <f t="shared" si="1072"/>
        <v>272</v>
      </c>
      <c r="BH1431" s="111">
        <f t="shared" si="1039"/>
        <v>272</v>
      </c>
      <c r="BI1431" s="111">
        <f t="shared" si="1040"/>
        <v>26.84153005464481</v>
      </c>
      <c r="BJ1431" s="129">
        <f>(G1431-J1431)+(M1431-G1431)</f>
        <v>0</v>
      </c>
      <c r="BK1431" s="129">
        <f t="shared" si="1041"/>
        <v>-269</v>
      </c>
      <c r="BL1431" s="129" t="str">
        <f t="shared" si="1073"/>
        <v>CONVICTION</v>
      </c>
      <c r="BM1431" s="129" t="s">
        <v>76</v>
      </c>
      <c r="BN1431" s="129" t="s">
        <v>88</v>
      </c>
      <c r="BP1431" s="137" t="str">
        <f t="shared" si="1045"/>
        <v>CONVICTION</v>
      </c>
      <c r="BQ1431" s="128" t="str">
        <f t="shared" si="1046"/>
        <v>Y</v>
      </c>
      <c r="BR1431" s="129" t="s">
        <v>574</v>
      </c>
      <c r="BS1431" s="129" t="str">
        <f t="shared" si="1047"/>
        <v>DISPOSED</v>
      </c>
      <c r="BT1431" s="129" t="str">
        <f t="shared" si="1048"/>
        <v>Y</v>
      </c>
      <c r="BU1431" s="109">
        <f t="shared" si="1056"/>
        <v>0.91176470588235292</v>
      </c>
      <c r="BV1431" s="109">
        <f t="shared" si="1057"/>
        <v>1.1029411764705883E-2</v>
      </c>
      <c r="BW1431" s="109">
        <f t="shared" si="1035"/>
        <v>-0.90073529411764708</v>
      </c>
      <c r="BX1431" s="111">
        <f t="shared" si="1049"/>
        <v>0</v>
      </c>
      <c r="BY1431" s="129">
        <f t="shared" si="1050"/>
        <v>-3</v>
      </c>
      <c r="BZ1431" s="111">
        <f t="shared" si="1051"/>
        <v>245</v>
      </c>
      <c r="CA1431" s="138">
        <f t="shared" si="1052"/>
        <v>272</v>
      </c>
      <c r="CB1431" s="111">
        <v>248</v>
      </c>
      <c r="CC1431" s="129">
        <f>G1431-I1431+1</f>
        <v>272</v>
      </c>
      <c r="CD1431" s="129">
        <f>G1431-J1431</f>
        <v>269</v>
      </c>
      <c r="CG1431" s="129" t="str">
        <f t="shared" si="1053"/>
        <v>Y</v>
      </c>
      <c r="CI1431" s="129" t="str">
        <f t="shared" si="1059"/>
        <v>121-365 DAYS</v>
      </c>
      <c r="CJ1431" s="137">
        <f t="shared" si="1060"/>
        <v>6</v>
      </c>
      <c r="CK1431" s="129" t="str">
        <f t="shared" si="1061"/>
        <v>Booked</v>
      </c>
    </row>
    <row r="1432" spans="1:89" ht="15" customHeight="1" x14ac:dyDescent="0.25">
      <c r="A1432" s="111">
        <v>1407</v>
      </c>
      <c r="B1432" s="128" t="str">
        <f t="shared" si="1042"/>
        <v>Y</v>
      </c>
      <c r="C1432" s="128" t="str">
        <f t="shared" si="1043"/>
        <v>N</v>
      </c>
      <c r="D1432" s="117">
        <v>2028729</v>
      </c>
      <c r="E1432" s="135">
        <f t="shared" si="1044"/>
        <v>2</v>
      </c>
      <c r="F1432" s="124">
        <v>40960</v>
      </c>
      <c r="G1432" s="125">
        <v>40963</v>
      </c>
      <c r="H1432" s="117">
        <v>2028729</v>
      </c>
      <c r="I1432" s="124">
        <v>40962</v>
      </c>
      <c r="J1432" s="124">
        <v>40963</v>
      </c>
      <c r="K1432" s="126">
        <v>15000</v>
      </c>
      <c r="L1432" s="127" t="s">
        <v>571</v>
      </c>
      <c r="N1432" s="129" t="str">
        <f>IF(M1432&gt;1/1/1,"Y","N")</f>
        <v>N</v>
      </c>
      <c r="O1432" s="128" t="s">
        <v>917</v>
      </c>
      <c r="P1432" s="129" t="s">
        <v>589</v>
      </c>
      <c r="Q1432" s="111">
        <f t="shared" si="1036"/>
        <v>2</v>
      </c>
      <c r="R1432" s="111">
        <f t="shared" si="1070"/>
        <v>4</v>
      </c>
      <c r="S1432" s="129">
        <v>7</v>
      </c>
      <c r="T1432" s="129">
        <v>1</v>
      </c>
      <c r="U1432" s="129">
        <v>2</v>
      </c>
      <c r="V1432" s="117">
        <v>1</v>
      </c>
      <c r="W1432" s="111"/>
      <c r="AC1432" s="130"/>
      <c r="AD1432" s="130">
        <v>25653</v>
      </c>
      <c r="AE1432" s="128" t="s">
        <v>32</v>
      </c>
      <c r="AF1432" s="128" t="s">
        <v>33</v>
      </c>
      <c r="AG1432" s="128" t="s">
        <v>872</v>
      </c>
      <c r="AH1432" s="108" t="s">
        <v>58</v>
      </c>
      <c r="AI1432" s="128" t="s">
        <v>71</v>
      </c>
      <c r="AJ1432" s="129" t="s">
        <v>48</v>
      </c>
      <c r="AK1432" s="129">
        <v>2</v>
      </c>
      <c r="AL1432" s="3" t="s">
        <v>48</v>
      </c>
      <c r="AP1432" s="129" t="s">
        <v>43</v>
      </c>
      <c r="AR1432" s="128" t="s">
        <v>44</v>
      </c>
      <c r="AS1432" s="129" t="s">
        <v>45</v>
      </c>
      <c r="AT1432" s="129" t="s">
        <v>335</v>
      </c>
      <c r="BC1432" s="129" t="s">
        <v>38</v>
      </c>
      <c r="BD1432" s="129" t="s">
        <v>1186</v>
      </c>
      <c r="BF1432" s="111">
        <f t="shared" si="1071"/>
        <v>2</v>
      </c>
      <c r="BG1432" s="111">
        <f t="shared" si="1072"/>
        <v>2</v>
      </c>
      <c r="BH1432" s="111">
        <f t="shared" si="1039"/>
        <v>4</v>
      </c>
      <c r="BI1432" s="111">
        <f t="shared" si="1040"/>
        <v>41.822404371584696</v>
      </c>
      <c r="BJ1432" s="129">
        <f t="shared" si="1063"/>
        <v>0</v>
      </c>
      <c r="BK1432" s="129">
        <f t="shared" si="1041"/>
        <v>0</v>
      </c>
      <c r="BL1432" s="129" t="str">
        <f t="shared" si="1073"/>
        <v>DEFERRED</v>
      </c>
      <c r="BM1432" s="129" t="str">
        <f t="shared" si="1064"/>
        <v>NONE</v>
      </c>
      <c r="BN1432" s="129" t="s">
        <v>566</v>
      </c>
      <c r="BP1432" s="137" t="str">
        <f t="shared" si="1045"/>
        <v>DEFERRED</v>
      </c>
      <c r="BQ1432" s="128" t="str">
        <f t="shared" si="1046"/>
        <v>Y</v>
      </c>
      <c r="BR1432" s="129" t="str">
        <f t="shared" si="1062"/>
        <v>DETAINED</v>
      </c>
      <c r="BS1432" s="129" t="str">
        <f t="shared" si="1047"/>
        <v>DISPOSED</v>
      </c>
      <c r="BT1432" s="129" t="str">
        <f t="shared" si="1048"/>
        <v>Y</v>
      </c>
      <c r="BU1432" s="109">
        <f t="shared" si="1056"/>
        <v>0.5</v>
      </c>
      <c r="BV1432" s="109">
        <f t="shared" si="1057"/>
        <v>1</v>
      </c>
      <c r="BW1432" s="109">
        <f t="shared" si="1035"/>
        <v>0.5</v>
      </c>
      <c r="BX1432" s="111">
        <f t="shared" si="1049"/>
        <v>0</v>
      </c>
      <c r="BY1432" s="129">
        <f t="shared" si="1050"/>
        <v>-2</v>
      </c>
      <c r="BZ1432" s="111">
        <f t="shared" si="1051"/>
        <v>0</v>
      </c>
      <c r="CA1432" s="138">
        <f t="shared" si="1052"/>
        <v>2</v>
      </c>
      <c r="CB1432" s="111" t="e">
        <f t="shared" si="1074"/>
        <v>#VALUE!</v>
      </c>
      <c r="CC1432" s="129">
        <f>G1432-I1432+1</f>
        <v>2</v>
      </c>
      <c r="CD1432" s="129">
        <f>G1432-J1432</f>
        <v>0</v>
      </c>
      <c r="CG1432" s="129" t="str">
        <f t="shared" si="1053"/>
        <v>Y</v>
      </c>
      <c r="CI1432" s="129" t="str">
        <f t="shared" si="1059"/>
        <v>0-10 DAYS</v>
      </c>
      <c r="CJ1432" s="137">
        <f t="shared" si="1060"/>
        <v>1</v>
      </c>
      <c r="CK1432" s="129" t="str">
        <f t="shared" si="1061"/>
        <v>Booked</v>
      </c>
    </row>
    <row r="1433" spans="1:89" ht="15.75" customHeight="1" x14ac:dyDescent="0.25">
      <c r="A1433" s="111">
        <v>3066</v>
      </c>
      <c r="B1433" s="128" t="str">
        <f t="shared" si="1042"/>
        <v>N</v>
      </c>
      <c r="C1433" s="128" t="str">
        <f t="shared" si="1043"/>
        <v>N</v>
      </c>
      <c r="D1433" s="117">
        <v>2029141</v>
      </c>
      <c r="E1433" s="135">
        <f t="shared" si="1044"/>
        <v>1</v>
      </c>
      <c r="F1433" s="124">
        <v>41022</v>
      </c>
      <c r="G1433" s="125">
        <v>41337</v>
      </c>
      <c r="H1433" s="117">
        <v>2029141</v>
      </c>
      <c r="I1433" s="124">
        <v>41023</v>
      </c>
      <c r="J1433" s="124">
        <v>41118</v>
      </c>
      <c r="K1433" s="126">
        <v>10000</v>
      </c>
      <c r="L1433" s="127" t="s">
        <v>570</v>
      </c>
      <c r="M1433" s="125">
        <v>41118</v>
      </c>
      <c r="N1433" s="129" t="str">
        <f>IF(M1433&gt;1/1/1,"Y","N")</f>
        <v>Y</v>
      </c>
      <c r="O1433" s="128" t="s">
        <v>76</v>
      </c>
      <c r="P1433" s="129" t="s">
        <v>55</v>
      </c>
      <c r="Q1433" s="111">
        <f t="shared" si="1036"/>
        <v>96</v>
      </c>
      <c r="R1433" s="111">
        <f t="shared" si="1070"/>
        <v>316</v>
      </c>
      <c r="S1433" s="129">
        <v>2</v>
      </c>
      <c r="T1433" s="129">
        <v>0</v>
      </c>
      <c r="U1433" s="129">
        <v>1</v>
      </c>
      <c r="W1433" s="111"/>
      <c r="AC1433" s="130"/>
      <c r="AD1433" s="130">
        <v>30553</v>
      </c>
      <c r="AE1433" s="128" t="s">
        <v>32</v>
      </c>
      <c r="AF1433" s="128" t="s">
        <v>33</v>
      </c>
      <c r="AG1433" s="128" t="s">
        <v>872</v>
      </c>
      <c r="AH1433" s="108" t="s">
        <v>31</v>
      </c>
      <c r="AI1433" s="128" t="s">
        <v>141</v>
      </c>
      <c r="AJ1433" s="129" t="s">
        <v>55</v>
      </c>
      <c r="AK1433" s="129">
        <v>15</v>
      </c>
      <c r="AL1433" s="3" t="s">
        <v>55</v>
      </c>
      <c r="AP1433" s="129" t="s">
        <v>111</v>
      </c>
      <c r="AR1433" s="128" t="s">
        <v>67</v>
      </c>
      <c r="AS1433" s="129" t="s">
        <v>45</v>
      </c>
      <c r="BC1433" s="129" t="s">
        <v>38</v>
      </c>
      <c r="BF1433" s="111">
        <f t="shared" si="1071"/>
        <v>96</v>
      </c>
      <c r="BG1433" s="111">
        <f t="shared" si="1072"/>
        <v>315</v>
      </c>
      <c r="BH1433" s="111">
        <f t="shared" si="1039"/>
        <v>316</v>
      </c>
      <c r="BI1433" s="111">
        <f t="shared" si="1040"/>
        <v>28.603825136612024</v>
      </c>
      <c r="BJ1433" s="129">
        <f>(G1433-J1433)+(M1433-G1433)</f>
        <v>0</v>
      </c>
      <c r="BK1433" s="129">
        <f t="shared" si="1041"/>
        <v>-219</v>
      </c>
      <c r="BL1433" s="129" t="str">
        <f t="shared" si="1073"/>
        <v>NO CONVICTION</v>
      </c>
      <c r="BM1433" s="129" t="s">
        <v>76</v>
      </c>
      <c r="BN1433" s="129" t="s">
        <v>88</v>
      </c>
      <c r="BP1433" s="137" t="str">
        <f t="shared" si="1045"/>
        <v>NO CONVICTION</v>
      </c>
      <c r="BQ1433" s="128" t="str">
        <f t="shared" si="1046"/>
        <v>Y</v>
      </c>
      <c r="BR1433" s="129" t="str">
        <f t="shared" si="1062"/>
        <v>ON BOND</v>
      </c>
      <c r="BS1433" s="129" t="str">
        <f t="shared" si="1047"/>
        <v>DISPOSED</v>
      </c>
      <c r="BT1433" s="129" t="str">
        <f t="shared" si="1048"/>
        <v>Y</v>
      </c>
      <c r="BU1433" s="109">
        <f>IFERROR(Q1433/R1433,BR1433)</f>
        <v>0.30379746835443039</v>
      </c>
      <c r="BV1433" s="109">
        <f t="shared" si="1057"/>
        <v>0.30476190476190479</v>
      </c>
      <c r="BW1433" s="109">
        <f t="shared" si="1035"/>
        <v>9.6443640747440051E-4</v>
      </c>
      <c r="BX1433" s="111">
        <f t="shared" si="1049"/>
        <v>0</v>
      </c>
      <c r="BY1433" s="129">
        <f t="shared" si="1050"/>
        <v>-96</v>
      </c>
      <c r="BZ1433" s="111">
        <f t="shared" si="1051"/>
        <v>0</v>
      </c>
      <c r="CA1433" s="138">
        <f t="shared" si="1052"/>
        <v>96</v>
      </c>
      <c r="CB1433" s="111" t="e">
        <f t="shared" si="1074"/>
        <v>#VALUE!</v>
      </c>
      <c r="CC1433" s="129">
        <f>M1433-I1433+1</f>
        <v>96</v>
      </c>
      <c r="CD1433" s="111">
        <f>CC1433-BF1433</f>
        <v>0</v>
      </c>
      <c r="CG1433" s="129" t="str">
        <f t="shared" si="1053"/>
        <v>Y</v>
      </c>
      <c r="CI1433" s="129" t="str">
        <f t="shared" si="1059"/>
        <v>91-120 DAYS</v>
      </c>
      <c r="CJ1433" s="137">
        <f t="shared" si="1060"/>
        <v>0</v>
      </c>
      <c r="CK1433" s="129" t="str">
        <f t="shared" si="1061"/>
        <v>Booked</v>
      </c>
    </row>
    <row r="1434" spans="1:89" ht="15.75" customHeight="1" x14ac:dyDescent="0.25">
      <c r="A1434" s="111">
        <v>2741</v>
      </c>
      <c r="B1434" s="128" t="str">
        <f t="shared" si="1042"/>
        <v>N</v>
      </c>
      <c r="C1434" s="128" t="str">
        <f t="shared" si="1043"/>
        <v>N</v>
      </c>
      <c r="D1434" s="117">
        <v>2029305</v>
      </c>
      <c r="E1434" s="135">
        <f t="shared" si="1044"/>
        <v>5</v>
      </c>
      <c r="F1434" s="124">
        <v>41010</v>
      </c>
      <c r="G1434" s="125">
        <v>41012</v>
      </c>
      <c r="H1434" s="117">
        <v>2029305</v>
      </c>
      <c r="I1434" s="124">
        <v>41011</v>
      </c>
      <c r="J1434" s="124">
        <v>41012</v>
      </c>
      <c r="K1434" s="126" t="s">
        <v>564</v>
      </c>
      <c r="L1434" s="127" t="s">
        <v>564</v>
      </c>
      <c r="N1434" s="129" t="s">
        <v>566</v>
      </c>
      <c r="O1434" s="128" t="s">
        <v>917</v>
      </c>
      <c r="P1434" s="129" t="s">
        <v>39</v>
      </c>
      <c r="Q1434" s="111">
        <f t="shared" si="1036"/>
        <v>2</v>
      </c>
      <c r="R1434" s="111">
        <f t="shared" si="1070"/>
        <v>3</v>
      </c>
      <c r="S1434" s="129">
        <v>1</v>
      </c>
      <c r="T1434" s="129">
        <v>3</v>
      </c>
      <c r="U1434" s="129">
        <v>1</v>
      </c>
      <c r="W1434" s="115"/>
      <c r="X1434" s="114"/>
      <c r="Y1434" s="32"/>
      <c r="Z1434" s="32"/>
      <c r="AC1434" s="130"/>
      <c r="AD1434" s="130">
        <v>31237</v>
      </c>
      <c r="AE1434" s="128" t="s">
        <v>32</v>
      </c>
      <c r="AF1434" s="128" t="s">
        <v>33</v>
      </c>
      <c r="AG1434" s="128" t="s">
        <v>872</v>
      </c>
      <c r="AH1434" s="108" t="s">
        <v>31</v>
      </c>
      <c r="AI1434" s="128" t="s">
        <v>118</v>
      </c>
      <c r="AJ1434" s="129" t="s">
        <v>89</v>
      </c>
      <c r="AK1434" s="129">
        <v>1</v>
      </c>
      <c r="AL1434" s="3" t="s">
        <v>992</v>
      </c>
      <c r="AN1434" s="117">
        <v>6</v>
      </c>
      <c r="AP1434" s="129" t="s">
        <v>43</v>
      </c>
      <c r="AR1434" s="128" t="s">
        <v>44</v>
      </c>
      <c r="AS1434" s="129" t="s">
        <v>45</v>
      </c>
      <c r="BC1434" s="129" t="s">
        <v>38</v>
      </c>
      <c r="BF1434" s="111">
        <f t="shared" si="1071"/>
        <v>2</v>
      </c>
      <c r="BG1434" s="111">
        <f t="shared" si="1072"/>
        <v>2</v>
      </c>
      <c r="BH1434" s="111">
        <f t="shared" si="1039"/>
        <v>3</v>
      </c>
      <c r="BI1434" s="111">
        <f t="shared" si="1040"/>
        <v>26.702185792349727</v>
      </c>
      <c r="BJ1434" s="129">
        <f t="shared" si="1063"/>
        <v>0</v>
      </c>
      <c r="BK1434" s="129">
        <f t="shared" si="1041"/>
        <v>0</v>
      </c>
      <c r="BL1434" s="129" t="str">
        <f t="shared" si="1073"/>
        <v>CONVICTION</v>
      </c>
      <c r="BM1434" s="129" t="str">
        <f t="shared" si="1064"/>
        <v>NONE</v>
      </c>
      <c r="BN1434" s="129" t="s">
        <v>566</v>
      </c>
      <c r="BP1434" s="137" t="str">
        <f t="shared" si="1045"/>
        <v>CONVICTION</v>
      </c>
      <c r="BQ1434" s="128" t="str">
        <f t="shared" si="1046"/>
        <v>Y</v>
      </c>
      <c r="BR1434" s="129" t="str">
        <f t="shared" si="1062"/>
        <v>DETAINED</v>
      </c>
      <c r="BS1434" s="129" t="str">
        <f t="shared" si="1047"/>
        <v>DISPOSED</v>
      </c>
      <c r="BT1434" s="129" t="str">
        <f t="shared" si="1048"/>
        <v>Y</v>
      </c>
      <c r="BU1434" s="109">
        <f t="shared" si="1056"/>
        <v>0.66666666666666663</v>
      </c>
      <c r="BV1434" s="109">
        <f t="shared" si="1057"/>
        <v>1</v>
      </c>
      <c r="BW1434" s="109">
        <f t="shared" si="1035"/>
        <v>0.33333333333333337</v>
      </c>
      <c r="BX1434" s="111">
        <f t="shared" si="1049"/>
        <v>0</v>
      </c>
      <c r="BY1434" s="129">
        <f t="shared" si="1050"/>
        <v>-2</v>
      </c>
      <c r="BZ1434" s="111">
        <f t="shared" si="1051"/>
        <v>0</v>
      </c>
      <c r="CA1434" s="138">
        <f t="shared" si="1052"/>
        <v>2</v>
      </c>
      <c r="CB1434" s="111" t="e">
        <f t="shared" si="1074"/>
        <v>#VALUE!</v>
      </c>
      <c r="CC1434" s="129">
        <f>G1434-I1434+1</f>
        <v>2</v>
      </c>
      <c r="CD1434" s="129">
        <f>G1434-J1434</f>
        <v>0</v>
      </c>
      <c r="CG1434" s="129" t="str">
        <f t="shared" si="1053"/>
        <v>Y</v>
      </c>
      <c r="CI1434" s="129" t="str">
        <f t="shared" si="1059"/>
        <v>0-10 DAYS</v>
      </c>
      <c r="CJ1434" s="137">
        <f t="shared" si="1060"/>
        <v>1</v>
      </c>
      <c r="CK1434" s="129" t="str">
        <f t="shared" si="1061"/>
        <v>Booked</v>
      </c>
    </row>
    <row r="1435" spans="1:89" ht="15" customHeight="1" x14ac:dyDescent="0.25">
      <c r="A1435" s="111">
        <v>1247</v>
      </c>
      <c r="B1435" s="128" t="str">
        <f t="shared" si="1042"/>
        <v>N</v>
      </c>
      <c r="C1435" s="128" t="str">
        <f t="shared" si="1043"/>
        <v>N</v>
      </c>
      <c r="D1435" s="117">
        <v>2029569</v>
      </c>
      <c r="E1435" s="135">
        <f t="shared" si="1044"/>
        <v>6</v>
      </c>
      <c r="F1435" s="124">
        <v>40954</v>
      </c>
      <c r="G1435" s="125">
        <v>41023</v>
      </c>
      <c r="H1435" s="117">
        <v>2029569</v>
      </c>
      <c r="I1435" s="124">
        <v>40954</v>
      </c>
      <c r="J1435" s="124">
        <v>41023</v>
      </c>
      <c r="K1435" s="126" t="s">
        <v>564</v>
      </c>
      <c r="L1435" s="127" t="s">
        <v>564</v>
      </c>
      <c r="N1435" s="129" t="s">
        <v>566</v>
      </c>
      <c r="O1435" s="128" t="s">
        <v>917</v>
      </c>
      <c r="P1435" s="129" t="s">
        <v>39</v>
      </c>
      <c r="Q1435" s="111">
        <f t="shared" si="1036"/>
        <v>70</v>
      </c>
      <c r="R1435" s="111">
        <f t="shared" si="1070"/>
        <v>70</v>
      </c>
      <c r="S1435" s="129">
        <v>2</v>
      </c>
      <c r="T1435" s="129">
        <v>3</v>
      </c>
      <c r="U1435" s="129">
        <v>1</v>
      </c>
      <c r="W1435" s="111"/>
      <c r="AC1435" s="130"/>
      <c r="AD1435" s="130">
        <v>31142</v>
      </c>
      <c r="AE1435" s="128" t="s">
        <v>32</v>
      </c>
      <c r="AF1435" s="128" t="s">
        <v>138</v>
      </c>
      <c r="AG1435" s="128" t="s">
        <v>873</v>
      </c>
      <c r="AH1435" s="108" t="s">
        <v>31</v>
      </c>
      <c r="AI1435" s="128" t="s">
        <v>141</v>
      </c>
      <c r="AJ1435" s="129" t="s">
        <v>89</v>
      </c>
      <c r="AK1435" s="129">
        <v>3</v>
      </c>
      <c r="AL1435" s="3" t="s">
        <v>362</v>
      </c>
      <c r="AM1435" s="117">
        <v>4</v>
      </c>
      <c r="AP1435" s="129" t="s">
        <v>66</v>
      </c>
      <c r="AR1435" s="128" t="s">
        <v>67</v>
      </c>
      <c r="AS1435" s="129" t="s">
        <v>68</v>
      </c>
      <c r="BC1435" s="129" t="s">
        <v>38</v>
      </c>
      <c r="BF1435" s="111">
        <f t="shared" si="1071"/>
        <v>70</v>
      </c>
      <c r="BG1435" s="111">
        <f t="shared" si="1072"/>
        <v>70</v>
      </c>
      <c r="BH1435" s="111">
        <f t="shared" si="1039"/>
        <v>70</v>
      </c>
      <c r="BI1435" s="111">
        <f t="shared" si="1040"/>
        <v>26.808743169398905</v>
      </c>
      <c r="BJ1435" s="129">
        <f t="shared" si="1063"/>
        <v>0</v>
      </c>
      <c r="BK1435" s="129">
        <f t="shared" si="1041"/>
        <v>0</v>
      </c>
      <c r="BL1435" s="129" t="str">
        <f t="shared" si="1073"/>
        <v>CONVICTION</v>
      </c>
      <c r="BM1435" s="129" t="str">
        <f t="shared" si="1064"/>
        <v>NONE</v>
      </c>
      <c r="BN1435" s="129" t="s">
        <v>566</v>
      </c>
      <c r="BP1435" s="137" t="str">
        <f t="shared" si="1045"/>
        <v>CONVICTION</v>
      </c>
      <c r="BQ1435" s="128" t="str">
        <f t="shared" si="1046"/>
        <v>Y</v>
      </c>
      <c r="BR1435" s="129" t="str">
        <f t="shared" si="1062"/>
        <v>DETAINED</v>
      </c>
      <c r="BS1435" s="129" t="str">
        <f t="shared" si="1047"/>
        <v>DISPOSED</v>
      </c>
      <c r="BT1435" s="129" t="str">
        <f t="shared" si="1048"/>
        <v>Y</v>
      </c>
      <c r="BU1435" s="109">
        <f t="shared" si="1056"/>
        <v>1</v>
      </c>
      <c r="BV1435" s="109">
        <f t="shared" si="1057"/>
        <v>1</v>
      </c>
      <c r="BW1435" s="109">
        <f t="shared" si="1035"/>
        <v>0</v>
      </c>
      <c r="BX1435" s="111">
        <f t="shared" si="1049"/>
        <v>0</v>
      </c>
      <c r="BY1435" s="129">
        <f t="shared" si="1050"/>
        <v>-70</v>
      </c>
      <c r="BZ1435" s="111">
        <f t="shared" si="1051"/>
        <v>0</v>
      </c>
      <c r="CA1435" s="138">
        <f t="shared" si="1052"/>
        <v>70</v>
      </c>
      <c r="CB1435" s="111" t="e">
        <f t="shared" si="1074"/>
        <v>#VALUE!</v>
      </c>
      <c r="CC1435" s="129">
        <f>G1435-I1435+1</f>
        <v>70</v>
      </c>
      <c r="CD1435" s="129">
        <f>G1435-J1435</f>
        <v>0</v>
      </c>
      <c r="CG1435" s="129" t="str">
        <f t="shared" si="1053"/>
        <v>Y</v>
      </c>
      <c r="CI1435" s="129" t="str">
        <f t="shared" si="1059"/>
        <v>61-90 DAYS</v>
      </c>
      <c r="CJ1435" s="137">
        <f t="shared" si="1060"/>
        <v>4</v>
      </c>
      <c r="CK1435" s="129" t="str">
        <f t="shared" si="1061"/>
        <v>Booked</v>
      </c>
    </row>
    <row r="1436" spans="1:89" ht="15" customHeight="1" x14ac:dyDescent="0.25">
      <c r="A1436" s="111">
        <v>977</v>
      </c>
      <c r="B1436" s="128" t="str">
        <f t="shared" si="1042"/>
        <v>N</v>
      </c>
      <c r="C1436" s="128" t="str">
        <f t="shared" si="1043"/>
        <v>N</v>
      </c>
      <c r="D1436" s="117">
        <v>2030948</v>
      </c>
      <c r="E1436" s="135">
        <f t="shared" si="1044"/>
        <v>1</v>
      </c>
      <c r="F1436" s="124">
        <v>40945</v>
      </c>
      <c r="G1436" s="125">
        <v>41047</v>
      </c>
      <c r="H1436" s="117">
        <v>2030948</v>
      </c>
      <c r="I1436" s="124">
        <v>40945</v>
      </c>
      <c r="J1436" s="124">
        <v>40946</v>
      </c>
      <c r="K1436" s="126">
        <v>2000</v>
      </c>
      <c r="L1436" s="127" t="s">
        <v>568</v>
      </c>
      <c r="M1436" s="125">
        <v>40946</v>
      </c>
      <c r="N1436" s="129" t="str">
        <f t="shared" ref="N1436:N1446" si="1075">IF(M1436&gt;1/1/1,"Y","N")</f>
        <v>Y</v>
      </c>
      <c r="O1436" s="128" t="s">
        <v>76</v>
      </c>
      <c r="P1436" s="129" t="s">
        <v>55</v>
      </c>
      <c r="Q1436" s="111">
        <f t="shared" ref="Q1436:Q1455" si="1076">BF1436</f>
        <v>2</v>
      </c>
      <c r="R1436" s="111">
        <f t="shared" si="1070"/>
        <v>103</v>
      </c>
      <c r="S1436" s="129">
        <v>0</v>
      </c>
      <c r="T1436" s="129">
        <v>2</v>
      </c>
      <c r="W1436" s="111"/>
      <c r="AC1436" s="130"/>
      <c r="AD1436" s="130">
        <v>29905</v>
      </c>
      <c r="AE1436" s="128" t="s">
        <v>32</v>
      </c>
      <c r="AF1436" s="128" t="s">
        <v>33</v>
      </c>
      <c r="AG1436" s="128" t="s">
        <v>872</v>
      </c>
      <c r="AH1436" s="108" t="s">
        <v>31</v>
      </c>
      <c r="AI1436" s="128" t="s">
        <v>80</v>
      </c>
      <c r="AJ1436" s="129" t="s">
        <v>55</v>
      </c>
      <c r="AK1436" s="129">
        <v>5</v>
      </c>
      <c r="AL1436" s="3" t="s">
        <v>55</v>
      </c>
      <c r="AP1436" s="129" t="s">
        <v>155</v>
      </c>
      <c r="AR1436" s="128" t="s">
        <v>44</v>
      </c>
      <c r="AS1436" s="129" t="s">
        <v>64</v>
      </c>
      <c r="BC1436" s="129" t="s">
        <v>52</v>
      </c>
      <c r="BF1436" s="111">
        <f t="shared" si="1071"/>
        <v>2</v>
      </c>
      <c r="BG1436" s="111">
        <f t="shared" si="1072"/>
        <v>103</v>
      </c>
      <c r="BH1436" s="111">
        <f t="shared" si="1039"/>
        <v>103</v>
      </c>
      <c r="BI1436" s="111">
        <f t="shared" si="1040"/>
        <v>30.16393442622951</v>
      </c>
      <c r="BJ1436" s="129">
        <f>(G1436-J1436)+(M1436-G1436)</f>
        <v>0</v>
      </c>
      <c r="BK1436" s="129">
        <f t="shared" si="1041"/>
        <v>-101</v>
      </c>
      <c r="BL1436" s="129" t="str">
        <f t="shared" si="1073"/>
        <v>NO CONVICTION</v>
      </c>
      <c r="BM1436" s="129" t="s">
        <v>76</v>
      </c>
      <c r="BN1436" s="129" t="s">
        <v>88</v>
      </c>
      <c r="BP1436" s="137" t="str">
        <f t="shared" si="1045"/>
        <v>NO CONVICTION</v>
      </c>
      <c r="BQ1436" s="128" t="str">
        <f t="shared" si="1046"/>
        <v>Y</v>
      </c>
      <c r="BR1436" s="129" t="str">
        <f t="shared" si="1062"/>
        <v>ON BOND</v>
      </c>
      <c r="BS1436" s="129" t="str">
        <f t="shared" si="1047"/>
        <v>DISPOSED</v>
      </c>
      <c r="BT1436" s="129" t="str">
        <f t="shared" si="1048"/>
        <v>N</v>
      </c>
      <c r="BU1436" s="109">
        <f>IFERROR(Q1436/R1436,BR1436)</f>
        <v>1.9417475728155338E-2</v>
      </c>
      <c r="BV1436" s="109">
        <f t="shared" si="1057"/>
        <v>1.9417475728155338E-2</v>
      </c>
      <c r="BW1436" s="109">
        <f t="shared" si="1035"/>
        <v>0</v>
      </c>
      <c r="BX1436" s="111">
        <f t="shared" si="1049"/>
        <v>0</v>
      </c>
      <c r="BY1436" s="129">
        <f t="shared" si="1050"/>
        <v>-2</v>
      </c>
      <c r="BZ1436" s="111">
        <f t="shared" si="1051"/>
        <v>0</v>
      </c>
      <c r="CA1436" s="138">
        <f t="shared" si="1052"/>
        <v>2</v>
      </c>
      <c r="CB1436" s="111" t="e">
        <f t="shared" si="1074"/>
        <v>#VALUE!</v>
      </c>
      <c r="CC1436" s="129">
        <f>M1436-I1436+1</f>
        <v>2</v>
      </c>
      <c r="CD1436" s="111">
        <f>CC1436-BF1436</f>
        <v>0</v>
      </c>
      <c r="CG1436" s="129" t="str">
        <f t="shared" si="1053"/>
        <v>Y</v>
      </c>
      <c r="CI1436" s="129" t="str">
        <f t="shared" si="1059"/>
        <v>0-10 DAYS</v>
      </c>
      <c r="CJ1436" s="137">
        <f t="shared" si="1060"/>
        <v>1</v>
      </c>
      <c r="CK1436" s="129" t="str">
        <f t="shared" si="1061"/>
        <v>Booked</v>
      </c>
    </row>
    <row r="1437" spans="1:89" ht="15" customHeight="1" x14ac:dyDescent="0.25">
      <c r="A1437" s="111">
        <v>2075</v>
      </c>
      <c r="B1437" s="128" t="str">
        <f t="shared" si="1042"/>
        <v>N</v>
      </c>
      <c r="C1437" s="128" t="str">
        <f t="shared" si="1043"/>
        <v>N</v>
      </c>
      <c r="D1437" s="117">
        <v>2031049</v>
      </c>
      <c r="E1437" s="135">
        <f t="shared" si="1044"/>
        <v>1</v>
      </c>
      <c r="F1437" s="124">
        <v>40987</v>
      </c>
      <c r="G1437" s="125">
        <v>41359</v>
      </c>
      <c r="H1437" s="117">
        <v>2031049</v>
      </c>
      <c r="I1437" s="124">
        <v>41026</v>
      </c>
      <c r="J1437" s="124">
        <v>41027</v>
      </c>
      <c r="K1437" s="126">
        <v>10000</v>
      </c>
      <c r="L1437" s="127" t="s">
        <v>570</v>
      </c>
      <c r="M1437" s="125">
        <v>41027</v>
      </c>
      <c r="N1437" s="129" t="str">
        <f t="shared" si="1075"/>
        <v>Y</v>
      </c>
      <c r="O1437" s="128" t="s">
        <v>76</v>
      </c>
      <c r="P1437" s="129" t="s">
        <v>55</v>
      </c>
      <c r="Q1437" s="111">
        <f t="shared" si="1076"/>
        <v>2</v>
      </c>
      <c r="R1437" s="111">
        <f t="shared" si="1070"/>
        <v>373</v>
      </c>
      <c r="S1437" s="129">
        <v>0</v>
      </c>
      <c r="T1437" s="129">
        <v>0</v>
      </c>
      <c r="W1437" s="111"/>
      <c r="AC1437" s="130"/>
      <c r="AD1437" s="130">
        <v>28770</v>
      </c>
      <c r="AE1437" s="128" t="s">
        <v>32</v>
      </c>
      <c r="AF1437" s="128" t="s">
        <v>33</v>
      </c>
      <c r="AG1437" s="128" t="s">
        <v>872</v>
      </c>
      <c r="AH1437" s="108" t="s">
        <v>58</v>
      </c>
      <c r="AI1437" s="128" t="s">
        <v>62</v>
      </c>
      <c r="AJ1437" s="129" t="s">
        <v>55</v>
      </c>
      <c r="AK1437" s="129">
        <v>15</v>
      </c>
      <c r="AL1437" s="3" t="s">
        <v>55</v>
      </c>
      <c r="AP1437" s="129" t="s">
        <v>110</v>
      </c>
      <c r="AR1437" s="128" t="s">
        <v>50</v>
      </c>
      <c r="AS1437" s="129" t="s">
        <v>74</v>
      </c>
      <c r="BC1437" s="129" t="s">
        <v>52</v>
      </c>
      <c r="BF1437" s="111">
        <f t="shared" si="1071"/>
        <v>2</v>
      </c>
      <c r="BG1437" s="111">
        <f t="shared" si="1072"/>
        <v>334</v>
      </c>
      <c r="BH1437" s="111">
        <f t="shared" si="1039"/>
        <v>373</v>
      </c>
      <c r="BI1437" s="111">
        <f t="shared" si="1040"/>
        <v>33.379781420765028</v>
      </c>
      <c r="BJ1437" s="129">
        <f>(G1437-J1437)+(M1437-G1437)</f>
        <v>0</v>
      </c>
      <c r="BK1437" s="129">
        <f t="shared" si="1041"/>
        <v>-332</v>
      </c>
      <c r="BL1437" s="129" t="str">
        <f t="shared" si="1073"/>
        <v>NO CONVICTION</v>
      </c>
      <c r="BM1437" s="129" t="s">
        <v>76</v>
      </c>
      <c r="BN1437" s="129" t="s">
        <v>88</v>
      </c>
      <c r="BP1437" s="137" t="str">
        <f t="shared" si="1045"/>
        <v>NO CONVICTION</v>
      </c>
      <c r="BQ1437" s="128" t="str">
        <f t="shared" si="1046"/>
        <v>Y</v>
      </c>
      <c r="BR1437" s="129" t="str">
        <f t="shared" si="1062"/>
        <v>ON BOND</v>
      </c>
      <c r="BS1437" s="129" t="str">
        <f t="shared" si="1047"/>
        <v>DISPOSED</v>
      </c>
      <c r="BT1437" s="129" t="str">
        <f t="shared" si="1048"/>
        <v>N</v>
      </c>
      <c r="BU1437" s="109">
        <f>IFERROR(Q1437/R1437,BR1437)</f>
        <v>5.3619302949061663E-3</v>
      </c>
      <c r="BV1437" s="109">
        <f t="shared" si="1057"/>
        <v>5.9880239520958087E-3</v>
      </c>
      <c r="BW1437" s="109">
        <f t="shared" si="1035"/>
        <v>6.2609365718964242E-4</v>
      </c>
      <c r="BX1437" s="111">
        <f t="shared" si="1049"/>
        <v>0</v>
      </c>
      <c r="BY1437" s="129">
        <f t="shared" si="1050"/>
        <v>-2</v>
      </c>
      <c r="BZ1437" s="111">
        <f t="shared" si="1051"/>
        <v>0</v>
      </c>
      <c r="CA1437" s="138">
        <f t="shared" si="1052"/>
        <v>2</v>
      </c>
      <c r="CB1437" s="111" t="e">
        <f t="shared" si="1074"/>
        <v>#VALUE!</v>
      </c>
      <c r="CC1437" s="129">
        <f>M1437-I1437+1</f>
        <v>2</v>
      </c>
      <c r="CD1437" s="111">
        <f>CC1437-BF1437</f>
        <v>0</v>
      </c>
      <c r="CG1437" s="129" t="str">
        <f t="shared" si="1053"/>
        <v>N</v>
      </c>
      <c r="CI1437" s="129" t="str">
        <f t="shared" si="1059"/>
        <v>0-10 DAYS</v>
      </c>
      <c r="CJ1437" s="137">
        <f t="shared" si="1060"/>
        <v>1</v>
      </c>
      <c r="CK1437" s="129" t="str">
        <f t="shared" si="1061"/>
        <v>Booked</v>
      </c>
    </row>
    <row r="1438" spans="1:89" ht="15.75" customHeight="1" x14ac:dyDescent="0.25">
      <c r="A1438" s="111">
        <v>2298</v>
      </c>
      <c r="B1438" s="128" t="str">
        <f t="shared" si="1042"/>
        <v>N</v>
      </c>
      <c r="C1438" s="128" t="str">
        <f t="shared" si="1043"/>
        <v>N</v>
      </c>
      <c r="D1438" s="117">
        <v>2031109</v>
      </c>
      <c r="E1438" s="135">
        <f t="shared" si="1044"/>
        <v>5</v>
      </c>
      <c r="F1438" s="124">
        <v>40996</v>
      </c>
      <c r="G1438" s="125">
        <v>41058</v>
      </c>
      <c r="H1438" s="117">
        <v>2031109</v>
      </c>
      <c r="I1438" s="124">
        <v>40996</v>
      </c>
      <c r="J1438" s="124">
        <v>41058</v>
      </c>
      <c r="K1438" s="126">
        <v>15000</v>
      </c>
      <c r="L1438" s="127" t="s">
        <v>571</v>
      </c>
      <c r="N1438" s="129" t="str">
        <f t="shared" si="1075"/>
        <v>N</v>
      </c>
      <c r="O1438" s="128" t="s">
        <v>917</v>
      </c>
      <c r="P1438" s="129" t="s">
        <v>39</v>
      </c>
      <c r="Q1438" s="111">
        <f t="shared" si="1076"/>
        <v>63</v>
      </c>
      <c r="R1438" s="111">
        <f t="shared" si="1070"/>
        <v>63</v>
      </c>
      <c r="S1438" s="32">
        <v>14</v>
      </c>
      <c r="T1438" s="32">
        <v>17</v>
      </c>
      <c r="U1438" s="32">
        <v>6</v>
      </c>
      <c r="V1438" s="114"/>
      <c r="W1438" s="111"/>
      <c r="AC1438" s="130"/>
      <c r="AD1438" s="130">
        <v>24791</v>
      </c>
      <c r="AE1438" s="128" t="s">
        <v>32</v>
      </c>
      <c r="AF1438" s="128" t="s">
        <v>33</v>
      </c>
      <c r="AG1438" s="128" t="s">
        <v>872</v>
      </c>
      <c r="AH1438" s="108" t="s">
        <v>31</v>
      </c>
      <c r="AI1438" s="128" t="s">
        <v>72</v>
      </c>
      <c r="AJ1438" s="129" t="s">
        <v>89</v>
      </c>
      <c r="AK1438" s="129">
        <v>3</v>
      </c>
      <c r="AL1438" s="3" t="s">
        <v>992</v>
      </c>
      <c r="AN1438" s="117">
        <v>9</v>
      </c>
      <c r="AP1438" s="129" t="s">
        <v>127</v>
      </c>
      <c r="AR1438" s="128" t="s">
        <v>44</v>
      </c>
      <c r="AS1438" s="129" t="s">
        <v>82</v>
      </c>
      <c r="BC1438" s="129" t="s">
        <v>38</v>
      </c>
      <c r="BF1438" s="111">
        <f t="shared" si="1071"/>
        <v>63</v>
      </c>
      <c r="BG1438" s="111">
        <f t="shared" si="1072"/>
        <v>63</v>
      </c>
      <c r="BH1438" s="111">
        <f t="shared" si="1039"/>
        <v>63</v>
      </c>
      <c r="BI1438" s="111">
        <f t="shared" si="1040"/>
        <v>44.275956284153004</v>
      </c>
      <c r="BJ1438" s="129">
        <f t="shared" si="1063"/>
        <v>0</v>
      </c>
      <c r="BK1438" s="129">
        <f t="shared" si="1041"/>
        <v>0</v>
      </c>
      <c r="BL1438" s="129" t="str">
        <f t="shared" si="1073"/>
        <v>CONVICTION</v>
      </c>
      <c r="BM1438" s="129" t="str">
        <f t="shared" si="1064"/>
        <v>NONE</v>
      </c>
      <c r="BN1438" s="129" t="s">
        <v>566</v>
      </c>
      <c r="BP1438" s="137" t="str">
        <f t="shared" si="1045"/>
        <v>CONVICTION</v>
      </c>
      <c r="BQ1438" s="128" t="str">
        <f t="shared" si="1046"/>
        <v>Y</v>
      </c>
      <c r="BR1438" s="129" t="str">
        <f t="shared" si="1062"/>
        <v>DETAINED</v>
      </c>
      <c r="BS1438" s="129" t="str">
        <f t="shared" si="1047"/>
        <v>DISPOSED</v>
      </c>
      <c r="BT1438" s="129" t="str">
        <f t="shared" si="1048"/>
        <v>Y</v>
      </c>
      <c r="BU1438" s="109">
        <f t="shared" si="1056"/>
        <v>1</v>
      </c>
      <c r="BV1438" s="109">
        <f t="shared" si="1057"/>
        <v>1</v>
      </c>
      <c r="BW1438" s="109">
        <f t="shared" si="1035"/>
        <v>0</v>
      </c>
      <c r="BX1438" s="111">
        <f t="shared" si="1049"/>
        <v>0</v>
      </c>
      <c r="BY1438" s="129">
        <f t="shared" si="1050"/>
        <v>-63</v>
      </c>
      <c r="BZ1438" s="111">
        <f t="shared" si="1051"/>
        <v>0</v>
      </c>
      <c r="CA1438" s="138">
        <f t="shared" si="1052"/>
        <v>63</v>
      </c>
      <c r="CB1438" s="111" t="e">
        <f t="shared" si="1074"/>
        <v>#VALUE!</v>
      </c>
      <c r="CC1438" s="129">
        <f>G1438-I1438+1</f>
        <v>63</v>
      </c>
      <c r="CD1438" s="129">
        <f>G1438-J1438</f>
        <v>0</v>
      </c>
      <c r="CG1438" s="129" t="str">
        <f t="shared" si="1053"/>
        <v>Y</v>
      </c>
      <c r="CI1438" s="129" t="str">
        <f t="shared" si="1059"/>
        <v>61-90 DAYS</v>
      </c>
      <c r="CJ1438" s="137">
        <f t="shared" si="1060"/>
        <v>4</v>
      </c>
      <c r="CK1438" s="129" t="str">
        <f t="shared" si="1061"/>
        <v>Booked</v>
      </c>
    </row>
    <row r="1439" spans="1:89" ht="15.75" customHeight="1" x14ac:dyDescent="0.25">
      <c r="A1439" s="111">
        <v>3258</v>
      </c>
      <c r="B1439" s="128" t="str">
        <f t="shared" si="1042"/>
        <v>N</v>
      </c>
      <c r="C1439" s="128" t="str">
        <f t="shared" si="1043"/>
        <v>N</v>
      </c>
      <c r="D1439" s="117">
        <v>2032047</v>
      </c>
      <c r="E1439" s="135">
        <f t="shared" si="1044"/>
        <v>4</v>
      </c>
      <c r="F1439" s="124">
        <v>41029</v>
      </c>
      <c r="G1439" s="125">
        <v>41303</v>
      </c>
      <c r="H1439" s="117">
        <v>2032047</v>
      </c>
      <c r="I1439" s="124">
        <v>41030</v>
      </c>
      <c r="J1439" s="124">
        <v>41031</v>
      </c>
      <c r="K1439" s="126">
        <v>5000</v>
      </c>
      <c r="L1439" s="127" t="s">
        <v>569</v>
      </c>
      <c r="M1439" s="125">
        <v>41031</v>
      </c>
      <c r="N1439" s="129" t="str">
        <f t="shared" si="1075"/>
        <v>Y</v>
      </c>
      <c r="O1439" s="128" t="s">
        <v>76</v>
      </c>
      <c r="P1439" s="129" t="s">
        <v>39</v>
      </c>
      <c r="Q1439" s="111">
        <f t="shared" si="1076"/>
        <v>2</v>
      </c>
      <c r="R1439" s="111">
        <f t="shared" si="1070"/>
        <v>275</v>
      </c>
      <c r="S1439" s="129">
        <v>0</v>
      </c>
      <c r="T1439" s="129">
        <v>0</v>
      </c>
      <c r="W1439" s="111"/>
      <c r="AC1439" s="150"/>
      <c r="AD1439" s="150">
        <v>24098</v>
      </c>
      <c r="AE1439" s="128" t="s">
        <v>46</v>
      </c>
      <c r="AF1439" s="128" t="s">
        <v>40</v>
      </c>
      <c r="AG1439" s="128" t="s">
        <v>41</v>
      </c>
      <c r="AH1439" s="108" t="s">
        <v>41</v>
      </c>
      <c r="AI1439" s="128" t="s">
        <v>47</v>
      </c>
      <c r="AJ1439" s="129" t="s">
        <v>89</v>
      </c>
      <c r="AK1439" s="129">
        <v>9</v>
      </c>
      <c r="AL1439" s="3" t="s">
        <v>991</v>
      </c>
      <c r="AO1439" s="128">
        <v>2</v>
      </c>
      <c r="AP1439" s="129" t="s">
        <v>540</v>
      </c>
      <c r="AR1439" s="128" t="s">
        <v>46</v>
      </c>
      <c r="AS1439" s="129" t="s">
        <v>64</v>
      </c>
      <c r="BC1439" s="129" t="s">
        <v>52</v>
      </c>
      <c r="BF1439" s="111">
        <f t="shared" si="1071"/>
        <v>2</v>
      </c>
      <c r="BG1439" s="111">
        <f t="shared" si="1072"/>
        <v>274</v>
      </c>
      <c r="BH1439" s="111">
        <f t="shared" si="1039"/>
        <v>275</v>
      </c>
      <c r="BI1439" s="111">
        <f t="shared" si="1040"/>
        <v>46.259562841530055</v>
      </c>
      <c r="BJ1439" s="129">
        <f>(G1439-J1439)+(M1439-G1439)</f>
        <v>0</v>
      </c>
      <c r="BK1439" s="129">
        <f t="shared" si="1041"/>
        <v>-272</v>
      </c>
      <c r="BL1439" s="129" t="str">
        <f t="shared" si="1073"/>
        <v>CONVICTION</v>
      </c>
      <c r="BM1439" s="129" t="s">
        <v>76</v>
      </c>
      <c r="BN1439" s="129" t="s">
        <v>88</v>
      </c>
      <c r="BP1439" s="137" t="str">
        <f t="shared" si="1045"/>
        <v>CONVICTION</v>
      </c>
      <c r="BQ1439" s="128" t="str">
        <f t="shared" si="1046"/>
        <v>Y</v>
      </c>
      <c r="BR1439" s="129" t="str">
        <f>IF(J1439&lt;G1439,"ON BOND",0)</f>
        <v>ON BOND</v>
      </c>
      <c r="BS1439" s="129" t="str">
        <f t="shared" si="1047"/>
        <v>DISPOSED</v>
      </c>
      <c r="BT1439" s="129" t="str">
        <f t="shared" si="1048"/>
        <v>N</v>
      </c>
      <c r="BU1439" s="109">
        <f t="shared" si="1056"/>
        <v>7.2727272727272727E-3</v>
      </c>
      <c r="BV1439" s="109">
        <f t="shared" si="1057"/>
        <v>7.2992700729927005E-3</v>
      </c>
      <c r="BW1439" s="109">
        <f t="shared" si="1035"/>
        <v>2.6542800265427768E-5</v>
      </c>
      <c r="BX1439" s="111">
        <f t="shared" si="1049"/>
        <v>0</v>
      </c>
      <c r="BY1439" s="129">
        <f t="shared" si="1050"/>
        <v>-2</v>
      </c>
      <c r="BZ1439" s="111">
        <f t="shared" si="1051"/>
        <v>0</v>
      </c>
      <c r="CA1439" s="138">
        <f t="shared" si="1052"/>
        <v>2</v>
      </c>
      <c r="CB1439" s="111" t="e">
        <f t="shared" si="1074"/>
        <v>#VALUE!</v>
      </c>
      <c r="CC1439" s="129">
        <f>M1439-I1439+1</f>
        <v>2</v>
      </c>
      <c r="CD1439" s="111">
        <f>CC1439-BF1439</f>
        <v>0</v>
      </c>
      <c r="CG1439" s="129" t="str">
        <f t="shared" si="1053"/>
        <v>N</v>
      </c>
      <c r="CI1439" s="129" t="str">
        <f t="shared" si="1059"/>
        <v>0-10 DAYS</v>
      </c>
      <c r="CJ1439" s="137">
        <f t="shared" si="1060"/>
        <v>1</v>
      </c>
      <c r="CK1439" s="129" t="str">
        <f t="shared" si="1061"/>
        <v>Booked</v>
      </c>
    </row>
    <row r="1440" spans="1:89" ht="15.75" customHeight="1" x14ac:dyDescent="0.25">
      <c r="A1440" s="111">
        <v>2562</v>
      </c>
      <c r="B1440" s="128" t="str">
        <f t="shared" si="1042"/>
        <v>N</v>
      </c>
      <c r="C1440" s="128" t="str">
        <f t="shared" si="1043"/>
        <v>N</v>
      </c>
      <c r="D1440" s="117">
        <v>2032321</v>
      </c>
      <c r="E1440" s="135">
        <f t="shared" si="1044"/>
        <v>6</v>
      </c>
      <c r="F1440" s="124">
        <v>41004</v>
      </c>
      <c r="G1440" s="125">
        <v>41144</v>
      </c>
      <c r="H1440" s="117">
        <v>2032321</v>
      </c>
      <c r="I1440" s="124">
        <v>41005</v>
      </c>
      <c r="J1440" s="124">
        <v>41144</v>
      </c>
      <c r="K1440" s="126">
        <v>15000</v>
      </c>
      <c r="L1440" s="127" t="s">
        <v>571</v>
      </c>
      <c r="N1440" s="129" t="str">
        <f t="shared" si="1075"/>
        <v>N</v>
      </c>
      <c r="O1440" s="128" t="s">
        <v>917</v>
      </c>
      <c r="P1440" s="129" t="s">
        <v>39</v>
      </c>
      <c r="Q1440" s="111">
        <f t="shared" si="1076"/>
        <v>140</v>
      </c>
      <c r="R1440" s="111">
        <f t="shared" si="1070"/>
        <v>141</v>
      </c>
      <c r="S1440" s="129">
        <v>3</v>
      </c>
      <c r="T1440" s="129">
        <v>3</v>
      </c>
      <c r="U1440" s="129">
        <v>1</v>
      </c>
      <c r="V1440" s="117">
        <v>1</v>
      </c>
      <c r="W1440" s="115"/>
      <c r="X1440" s="114"/>
      <c r="Y1440" s="32"/>
      <c r="Z1440" s="32"/>
      <c r="AC1440" s="130"/>
      <c r="AD1440" s="130">
        <v>31629</v>
      </c>
      <c r="AE1440" s="128" t="s">
        <v>32</v>
      </c>
      <c r="AF1440" s="128" t="s">
        <v>33</v>
      </c>
      <c r="AG1440" s="128" t="s">
        <v>872</v>
      </c>
      <c r="AH1440" s="108" t="s">
        <v>58</v>
      </c>
      <c r="AI1440" s="128" t="s">
        <v>65</v>
      </c>
      <c r="AJ1440" s="129" t="s">
        <v>89</v>
      </c>
      <c r="AK1440" s="129">
        <v>9</v>
      </c>
      <c r="AL1440" s="3" t="s">
        <v>362</v>
      </c>
      <c r="AM1440" s="117">
        <v>2</v>
      </c>
      <c r="AP1440" s="129" t="s">
        <v>221</v>
      </c>
      <c r="AR1440" s="128" t="s">
        <v>67</v>
      </c>
      <c r="AS1440" s="129" t="s">
        <v>64</v>
      </c>
      <c r="AT1440" s="129" t="s">
        <v>455</v>
      </c>
      <c r="BC1440" s="129" t="s">
        <v>38</v>
      </c>
      <c r="BF1440" s="111">
        <f t="shared" si="1071"/>
        <v>140</v>
      </c>
      <c r="BG1440" s="111">
        <f t="shared" si="1072"/>
        <v>140</v>
      </c>
      <c r="BH1440" s="111">
        <f t="shared" si="1039"/>
        <v>141</v>
      </c>
      <c r="BI1440" s="111">
        <f t="shared" si="1040"/>
        <v>25.614754098360656</v>
      </c>
      <c r="BJ1440" s="129">
        <f t="shared" si="1063"/>
        <v>0</v>
      </c>
      <c r="BK1440" s="129">
        <f t="shared" si="1041"/>
        <v>0</v>
      </c>
      <c r="BL1440" s="129" t="str">
        <f t="shared" si="1073"/>
        <v>CONVICTION</v>
      </c>
      <c r="BM1440" s="129" t="str">
        <f t="shared" si="1064"/>
        <v>NONE</v>
      </c>
      <c r="BN1440" s="129" t="s">
        <v>566</v>
      </c>
      <c r="BP1440" s="137" t="str">
        <f t="shared" si="1045"/>
        <v>CONVICTION</v>
      </c>
      <c r="BQ1440" s="128" t="str">
        <f t="shared" si="1046"/>
        <v>Y</v>
      </c>
      <c r="BR1440" s="129" t="str">
        <f t="shared" si="1062"/>
        <v>DETAINED</v>
      </c>
      <c r="BS1440" s="129" t="str">
        <f t="shared" si="1047"/>
        <v>DISPOSED</v>
      </c>
      <c r="BT1440" s="129" t="str">
        <f t="shared" si="1048"/>
        <v>Y</v>
      </c>
      <c r="BU1440" s="109">
        <f t="shared" si="1056"/>
        <v>0.99290780141843971</v>
      </c>
      <c r="BV1440" s="109">
        <f t="shared" si="1057"/>
        <v>1</v>
      </c>
      <c r="BW1440" s="109">
        <f t="shared" si="1035"/>
        <v>7.0921985815602939E-3</v>
      </c>
      <c r="BX1440" s="111">
        <f t="shared" si="1049"/>
        <v>0</v>
      </c>
      <c r="BY1440" s="129">
        <f t="shared" si="1050"/>
        <v>-140</v>
      </c>
      <c r="BZ1440" s="111">
        <f t="shared" si="1051"/>
        <v>0</v>
      </c>
      <c r="CA1440" s="138">
        <f t="shared" si="1052"/>
        <v>140</v>
      </c>
      <c r="CB1440" s="111" t="e">
        <f t="shared" si="1074"/>
        <v>#VALUE!</v>
      </c>
      <c r="CC1440" s="129">
        <f>G1440-I1440+1</f>
        <v>140</v>
      </c>
      <c r="CD1440" s="129">
        <f>G1440-J1440</f>
        <v>0</v>
      </c>
      <c r="CG1440" s="129" t="str">
        <f t="shared" si="1053"/>
        <v>Y</v>
      </c>
      <c r="CI1440" s="129" t="str">
        <f t="shared" si="1059"/>
        <v>121-365 DAYS</v>
      </c>
      <c r="CJ1440" s="137">
        <f t="shared" si="1060"/>
        <v>6</v>
      </c>
      <c r="CK1440" s="129" t="str">
        <f t="shared" si="1061"/>
        <v>Booked</v>
      </c>
    </row>
    <row r="1441" spans="1:89" ht="15" customHeight="1" x14ac:dyDescent="0.25">
      <c r="A1441" s="111">
        <v>2064</v>
      </c>
      <c r="B1441" s="128" t="str">
        <f t="shared" si="1042"/>
        <v>N</v>
      </c>
      <c r="C1441" s="128" t="str">
        <f t="shared" si="1043"/>
        <v>N</v>
      </c>
      <c r="D1441" s="117">
        <v>2032420</v>
      </c>
      <c r="E1441" s="135">
        <f t="shared" si="1044"/>
        <v>2</v>
      </c>
      <c r="F1441" s="124">
        <v>40986</v>
      </c>
      <c r="G1441" s="125">
        <v>41298</v>
      </c>
      <c r="H1441" s="117">
        <v>2032420</v>
      </c>
      <c r="I1441" s="124">
        <v>40986</v>
      </c>
      <c r="J1441" s="124">
        <v>40988</v>
      </c>
      <c r="K1441" s="126">
        <v>20000</v>
      </c>
      <c r="L1441" s="127" t="s">
        <v>571</v>
      </c>
      <c r="M1441" s="125">
        <v>40988</v>
      </c>
      <c r="N1441" s="129" t="str">
        <f t="shared" si="1075"/>
        <v>Y</v>
      </c>
      <c r="O1441" s="128" t="s">
        <v>76</v>
      </c>
      <c r="P1441" s="129" t="s">
        <v>589</v>
      </c>
      <c r="Q1441" s="111">
        <f t="shared" si="1076"/>
        <v>3</v>
      </c>
      <c r="R1441" s="111">
        <f t="shared" si="1070"/>
        <v>313</v>
      </c>
      <c r="S1441" s="129">
        <v>1</v>
      </c>
      <c r="T1441" s="129">
        <v>2</v>
      </c>
      <c r="W1441" s="111"/>
      <c r="AC1441" s="130"/>
      <c r="AD1441" s="130">
        <v>31659</v>
      </c>
      <c r="AE1441" s="128" t="s">
        <v>32</v>
      </c>
      <c r="AF1441" s="128" t="s">
        <v>69</v>
      </c>
      <c r="AG1441" s="128" t="s">
        <v>874</v>
      </c>
      <c r="AH1441" s="108" t="s">
        <v>31</v>
      </c>
      <c r="AI1441" s="128" t="s">
        <v>65</v>
      </c>
      <c r="AJ1441" s="129" t="s">
        <v>48</v>
      </c>
      <c r="AK1441" s="129">
        <v>9</v>
      </c>
      <c r="AL1441" s="3" t="s">
        <v>48</v>
      </c>
      <c r="AP1441" s="129" t="s">
        <v>73</v>
      </c>
      <c r="AR1441" s="128" t="s">
        <v>50</v>
      </c>
      <c r="AS1441" s="129" t="s">
        <v>74</v>
      </c>
      <c r="BC1441" s="129" t="s">
        <v>38</v>
      </c>
      <c r="BF1441" s="111">
        <f t="shared" si="1071"/>
        <v>3</v>
      </c>
      <c r="BG1441" s="111">
        <f t="shared" si="1072"/>
        <v>313</v>
      </c>
      <c r="BH1441" s="111">
        <f t="shared" si="1039"/>
        <v>313</v>
      </c>
      <c r="BI1441" s="111">
        <f t="shared" si="1040"/>
        <v>25.483606557377048</v>
      </c>
      <c r="BJ1441" s="129">
        <f>(G1441-J1441)+(M1441-G1441)</f>
        <v>0</v>
      </c>
      <c r="BK1441" s="129">
        <f t="shared" si="1041"/>
        <v>-310</v>
      </c>
      <c r="BL1441" s="129" t="str">
        <f t="shared" si="1073"/>
        <v>DEFERRED</v>
      </c>
      <c r="BM1441" s="129" t="s">
        <v>76</v>
      </c>
      <c r="BN1441" s="129" t="s">
        <v>88</v>
      </c>
      <c r="BP1441" s="137" t="str">
        <f t="shared" si="1045"/>
        <v>DEFERRED</v>
      </c>
      <c r="BQ1441" s="128" t="str">
        <f t="shared" si="1046"/>
        <v>Y</v>
      </c>
      <c r="BR1441" s="129" t="str">
        <f t="shared" si="1062"/>
        <v>ON BOND</v>
      </c>
      <c r="BS1441" s="129" t="str">
        <f t="shared" si="1047"/>
        <v>DISPOSED</v>
      </c>
      <c r="BT1441" s="129" t="str">
        <f t="shared" si="1048"/>
        <v>Y</v>
      </c>
      <c r="BU1441" s="109">
        <f t="shared" si="1056"/>
        <v>9.5846645367412137E-3</v>
      </c>
      <c r="BV1441" s="109">
        <f t="shared" si="1057"/>
        <v>9.5846645367412137E-3</v>
      </c>
      <c r="BW1441" s="109">
        <f t="shared" si="1035"/>
        <v>0</v>
      </c>
      <c r="BX1441" s="111">
        <f t="shared" si="1049"/>
        <v>0</v>
      </c>
      <c r="BY1441" s="129">
        <f t="shared" si="1050"/>
        <v>-3</v>
      </c>
      <c r="BZ1441" s="111">
        <f t="shared" si="1051"/>
        <v>0</v>
      </c>
      <c r="CA1441" s="138">
        <f t="shared" si="1052"/>
        <v>3</v>
      </c>
      <c r="CB1441" s="111" t="e">
        <f t="shared" si="1074"/>
        <v>#VALUE!</v>
      </c>
      <c r="CC1441" s="129">
        <f>M1441-I1441+1</f>
        <v>3</v>
      </c>
      <c r="CD1441" s="111">
        <f>CC1441-BF1441</f>
        <v>0</v>
      </c>
      <c r="CG1441" s="129" t="str">
        <f t="shared" si="1053"/>
        <v>Y</v>
      </c>
      <c r="CI1441" s="129" t="str">
        <f t="shared" si="1059"/>
        <v>0-10 DAYS</v>
      </c>
      <c r="CJ1441" s="137">
        <f t="shared" si="1060"/>
        <v>1</v>
      </c>
      <c r="CK1441" s="129" t="str">
        <f t="shared" si="1061"/>
        <v>Booked</v>
      </c>
    </row>
    <row r="1442" spans="1:89" ht="15" customHeight="1" x14ac:dyDescent="0.25">
      <c r="A1442" s="111">
        <v>2382</v>
      </c>
      <c r="B1442" s="128" t="str">
        <f t="shared" si="1042"/>
        <v>N</v>
      </c>
      <c r="C1442" s="128" t="str">
        <f t="shared" si="1043"/>
        <v>N</v>
      </c>
      <c r="D1442" s="117">
        <v>2033009</v>
      </c>
      <c r="E1442" s="135">
        <f t="shared" si="1044"/>
        <v>1</v>
      </c>
      <c r="F1442" s="124">
        <v>40998</v>
      </c>
      <c r="G1442" s="125">
        <v>41002</v>
      </c>
      <c r="H1442" s="117">
        <v>2033009</v>
      </c>
      <c r="I1442" s="124">
        <v>40999</v>
      </c>
      <c r="J1442" s="124">
        <v>41002</v>
      </c>
      <c r="K1442" s="126">
        <v>15000</v>
      </c>
      <c r="L1442" s="127" t="s">
        <v>571</v>
      </c>
      <c r="N1442" s="129" t="str">
        <f t="shared" si="1075"/>
        <v>N</v>
      </c>
      <c r="O1442" s="128" t="s">
        <v>917</v>
      </c>
      <c r="P1442" s="129" t="s">
        <v>55</v>
      </c>
      <c r="Q1442" s="111">
        <f t="shared" si="1076"/>
        <v>4</v>
      </c>
      <c r="R1442" s="111">
        <f t="shared" si="1070"/>
        <v>5</v>
      </c>
      <c r="S1442" s="129">
        <v>6</v>
      </c>
      <c r="T1442" s="129">
        <v>2</v>
      </c>
      <c r="U1442" s="129">
        <v>1</v>
      </c>
      <c r="W1442" s="111"/>
      <c r="AC1442" s="130"/>
      <c r="AD1442" s="130">
        <v>31140</v>
      </c>
      <c r="AE1442" s="128" t="s">
        <v>46</v>
      </c>
      <c r="AF1442" s="128" t="s">
        <v>33</v>
      </c>
      <c r="AG1442" s="128" t="s">
        <v>872</v>
      </c>
      <c r="AH1442" s="108" t="s">
        <v>58</v>
      </c>
      <c r="AI1442" s="128" t="s">
        <v>34</v>
      </c>
      <c r="AJ1442" s="129" t="s">
        <v>55</v>
      </c>
      <c r="AK1442" s="129">
        <v>2</v>
      </c>
      <c r="AL1442" s="3" t="s">
        <v>55</v>
      </c>
      <c r="AP1442" s="129" t="s">
        <v>121</v>
      </c>
      <c r="AR1442" s="128" t="s">
        <v>44</v>
      </c>
      <c r="AS1442" s="129" t="s">
        <v>122</v>
      </c>
      <c r="BC1442" s="129" t="s">
        <v>38</v>
      </c>
      <c r="BF1442" s="111">
        <f t="shared" si="1071"/>
        <v>4</v>
      </c>
      <c r="BG1442" s="111">
        <f t="shared" si="1072"/>
        <v>4</v>
      </c>
      <c r="BH1442" s="111">
        <f t="shared" si="1039"/>
        <v>5</v>
      </c>
      <c r="BI1442" s="111">
        <f t="shared" si="1040"/>
        <v>26.934426229508198</v>
      </c>
      <c r="BJ1442" s="129">
        <f t="shared" si="1063"/>
        <v>0</v>
      </c>
      <c r="BK1442" s="129">
        <f t="shared" si="1041"/>
        <v>0</v>
      </c>
      <c r="BL1442" s="129" t="str">
        <f t="shared" si="1073"/>
        <v>NO CONVICTION</v>
      </c>
      <c r="BM1442" s="129" t="str">
        <f t="shared" si="1064"/>
        <v>NONE</v>
      </c>
      <c r="BN1442" s="129" t="s">
        <v>566</v>
      </c>
      <c r="BP1442" s="137" t="str">
        <f t="shared" si="1045"/>
        <v>NO CONVICTION</v>
      </c>
      <c r="BQ1442" s="128" t="str">
        <f t="shared" si="1046"/>
        <v>Y</v>
      </c>
      <c r="BR1442" s="129" t="str">
        <f t="shared" si="1062"/>
        <v>DETAINED</v>
      </c>
      <c r="BS1442" s="129" t="str">
        <f t="shared" si="1047"/>
        <v>DISPOSED</v>
      </c>
      <c r="BT1442" s="129" t="str">
        <f t="shared" si="1048"/>
        <v>Y</v>
      </c>
      <c r="BU1442" s="109">
        <f>IFERROR(Q1442/R1442,BR1442)</f>
        <v>0.8</v>
      </c>
      <c r="BV1442" s="109">
        <f t="shared" si="1057"/>
        <v>1</v>
      </c>
      <c r="BW1442" s="109">
        <f t="shared" si="1035"/>
        <v>0.19999999999999996</v>
      </c>
      <c r="BX1442" s="111">
        <f t="shared" si="1049"/>
        <v>0</v>
      </c>
      <c r="BY1442" s="129">
        <f t="shared" si="1050"/>
        <v>-4</v>
      </c>
      <c r="BZ1442" s="111">
        <f t="shared" si="1051"/>
        <v>0</v>
      </c>
      <c r="CA1442" s="138">
        <f t="shared" si="1052"/>
        <v>4</v>
      </c>
      <c r="CB1442" s="111" t="e">
        <f t="shared" si="1074"/>
        <v>#VALUE!</v>
      </c>
      <c r="CC1442" s="129">
        <f>G1442-I1442+1</f>
        <v>4</v>
      </c>
      <c r="CD1442" s="129">
        <f>G1442-J1442</f>
        <v>0</v>
      </c>
      <c r="CG1442" s="129" t="str">
        <f t="shared" si="1053"/>
        <v>Y</v>
      </c>
      <c r="CI1442" s="129" t="str">
        <f t="shared" si="1059"/>
        <v>0-10 DAYS</v>
      </c>
      <c r="CJ1442" s="137">
        <f t="shared" si="1060"/>
        <v>1</v>
      </c>
      <c r="CK1442" s="129" t="str">
        <f t="shared" si="1061"/>
        <v>Booked</v>
      </c>
    </row>
    <row r="1443" spans="1:89" ht="15.75" customHeight="1" x14ac:dyDescent="0.25">
      <c r="A1443" s="111">
        <v>1627</v>
      </c>
      <c r="B1443" s="128" t="str">
        <f t="shared" si="1042"/>
        <v>N</v>
      </c>
      <c r="C1443" s="128" t="str">
        <f t="shared" si="1043"/>
        <v>N</v>
      </c>
      <c r="D1443" s="117">
        <v>2033408</v>
      </c>
      <c r="E1443" s="135">
        <f t="shared" si="1044"/>
        <v>4</v>
      </c>
      <c r="F1443" s="124">
        <v>40969</v>
      </c>
      <c r="G1443" s="125">
        <v>41003</v>
      </c>
      <c r="H1443" s="117">
        <v>2033408</v>
      </c>
      <c r="I1443" s="124">
        <v>40969</v>
      </c>
      <c r="J1443" s="124">
        <v>41003</v>
      </c>
      <c r="K1443" s="126">
        <v>15000</v>
      </c>
      <c r="L1443" s="127" t="s">
        <v>571</v>
      </c>
      <c r="N1443" s="129" t="str">
        <f t="shared" si="1075"/>
        <v>N</v>
      </c>
      <c r="O1443" s="128" t="s">
        <v>917</v>
      </c>
      <c r="P1443" s="129" t="s">
        <v>39</v>
      </c>
      <c r="Q1443" s="111">
        <f t="shared" si="1076"/>
        <v>35</v>
      </c>
      <c r="R1443" s="111">
        <f t="shared" si="1070"/>
        <v>35</v>
      </c>
      <c r="S1443" s="129">
        <v>1</v>
      </c>
      <c r="T1443" s="129">
        <v>0</v>
      </c>
      <c r="W1443" s="111"/>
      <c r="AC1443" s="130"/>
      <c r="AD1443" s="130">
        <v>30027</v>
      </c>
      <c r="AE1443" s="128" t="s">
        <v>32</v>
      </c>
      <c r="AF1443" s="128" t="s">
        <v>69</v>
      </c>
      <c r="AG1443" s="128" t="s">
        <v>874</v>
      </c>
      <c r="AH1443" s="108" t="s">
        <v>58</v>
      </c>
      <c r="AI1443" s="128" t="s">
        <v>47</v>
      </c>
      <c r="AJ1443" s="129" t="s">
        <v>89</v>
      </c>
      <c r="AK1443" s="129">
        <v>4</v>
      </c>
      <c r="AL1443" s="3" t="s">
        <v>991</v>
      </c>
      <c r="AO1443" s="128">
        <v>150</v>
      </c>
      <c r="AP1443" s="129" t="s">
        <v>43</v>
      </c>
      <c r="AR1443" s="128" t="s">
        <v>44</v>
      </c>
      <c r="AS1443" s="129" t="s">
        <v>45</v>
      </c>
      <c r="BC1443" s="129" t="s">
        <v>52</v>
      </c>
      <c r="BF1443" s="111">
        <f t="shared" si="1071"/>
        <v>35</v>
      </c>
      <c r="BG1443" s="111">
        <f t="shared" si="1072"/>
        <v>35</v>
      </c>
      <c r="BH1443" s="111">
        <f t="shared" si="1039"/>
        <v>35</v>
      </c>
      <c r="BI1443" s="111">
        <f t="shared" si="1040"/>
        <v>29.896174863387976</v>
      </c>
      <c r="BJ1443" s="129">
        <f t="shared" si="1063"/>
        <v>0</v>
      </c>
      <c r="BK1443" s="129">
        <f t="shared" si="1041"/>
        <v>0</v>
      </c>
      <c r="BL1443" s="129" t="str">
        <f t="shared" si="1073"/>
        <v>CONVICTION</v>
      </c>
      <c r="BM1443" s="129" t="str">
        <f t="shared" si="1064"/>
        <v>NONE</v>
      </c>
      <c r="BN1443" s="129" t="s">
        <v>566</v>
      </c>
      <c r="BP1443" s="137" t="str">
        <f t="shared" si="1045"/>
        <v>CONVICTION</v>
      </c>
      <c r="BQ1443" s="128" t="str">
        <f t="shared" si="1046"/>
        <v>Y</v>
      </c>
      <c r="BR1443" s="129" t="str">
        <f t="shared" si="1062"/>
        <v>DETAINED</v>
      </c>
      <c r="BS1443" s="129" t="str">
        <f t="shared" si="1047"/>
        <v>DISPOSED</v>
      </c>
      <c r="BT1443" s="129" t="str">
        <f t="shared" si="1048"/>
        <v>Y</v>
      </c>
      <c r="BU1443" s="109">
        <f t="shared" si="1056"/>
        <v>1</v>
      </c>
      <c r="BV1443" s="109">
        <f t="shared" si="1057"/>
        <v>1</v>
      </c>
      <c r="BW1443" s="109">
        <f t="shared" si="1035"/>
        <v>0</v>
      </c>
      <c r="BX1443" s="111">
        <f t="shared" si="1049"/>
        <v>0</v>
      </c>
      <c r="BY1443" s="129">
        <f t="shared" si="1050"/>
        <v>-35</v>
      </c>
      <c r="BZ1443" s="111">
        <f t="shared" si="1051"/>
        <v>0</v>
      </c>
      <c r="CA1443" s="138">
        <f t="shared" si="1052"/>
        <v>35</v>
      </c>
      <c r="CB1443" s="111" t="e">
        <f t="shared" si="1074"/>
        <v>#VALUE!</v>
      </c>
      <c r="CC1443" s="129">
        <f>G1443-I1443+1</f>
        <v>35</v>
      </c>
      <c r="CD1443" s="129">
        <f>G1443-J1443</f>
        <v>0</v>
      </c>
      <c r="CG1443" s="129" t="str">
        <f t="shared" si="1053"/>
        <v>Y</v>
      </c>
      <c r="CI1443" s="129" t="str">
        <f t="shared" si="1059"/>
        <v>31-60 DAYS</v>
      </c>
      <c r="CJ1443" s="137">
        <f t="shared" si="1060"/>
        <v>3</v>
      </c>
      <c r="CK1443" s="129" t="str">
        <f t="shared" si="1061"/>
        <v>Booked</v>
      </c>
    </row>
    <row r="1444" spans="1:89" ht="15.75" customHeight="1" x14ac:dyDescent="0.25">
      <c r="A1444" s="111">
        <v>2500</v>
      </c>
      <c r="B1444" s="128" t="str">
        <f t="shared" si="1042"/>
        <v>N</v>
      </c>
      <c r="C1444" s="128" t="str">
        <f t="shared" si="1043"/>
        <v>N</v>
      </c>
      <c r="D1444" s="117">
        <v>2033834</v>
      </c>
      <c r="E1444" s="135">
        <f t="shared" si="1044"/>
        <v>2</v>
      </c>
      <c r="F1444" s="124">
        <v>41003</v>
      </c>
      <c r="G1444" s="125">
        <v>41221</v>
      </c>
      <c r="H1444" s="117">
        <v>2033834</v>
      </c>
      <c r="I1444" s="124">
        <v>41003</v>
      </c>
      <c r="J1444" s="124">
        <v>41004</v>
      </c>
      <c r="K1444" s="126">
        <v>15000</v>
      </c>
      <c r="L1444" s="127" t="s">
        <v>571</v>
      </c>
      <c r="M1444" s="125">
        <v>41004</v>
      </c>
      <c r="N1444" s="129" t="str">
        <f t="shared" si="1075"/>
        <v>Y</v>
      </c>
      <c r="O1444" s="128" t="s">
        <v>76</v>
      </c>
      <c r="P1444" s="129" t="s">
        <v>589</v>
      </c>
      <c r="Q1444" s="111">
        <f t="shared" si="1076"/>
        <v>2</v>
      </c>
      <c r="R1444" s="111">
        <f t="shared" si="1070"/>
        <v>219</v>
      </c>
      <c r="S1444" s="129">
        <v>0</v>
      </c>
      <c r="T1444" s="129">
        <v>1</v>
      </c>
      <c r="W1444" s="111"/>
      <c r="AC1444" s="130"/>
      <c r="AD1444" s="130">
        <v>29451</v>
      </c>
      <c r="AE1444" s="128" t="s">
        <v>32</v>
      </c>
      <c r="AF1444" s="128" t="s">
        <v>33</v>
      </c>
      <c r="AG1444" s="128" t="s">
        <v>872</v>
      </c>
      <c r="AH1444" s="108" t="s">
        <v>31</v>
      </c>
      <c r="AI1444" s="128" t="s">
        <v>114</v>
      </c>
      <c r="AJ1444" s="129" t="s">
        <v>48</v>
      </c>
      <c r="AK1444" s="129">
        <v>10</v>
      </c>
      <c r="AL1444" s="3" t="s">
        <v>48</v>
      </c>
      <c r="AP1444" s="129" t="s">
        <v>131</v>
      </c>
      <c r="AR1444" s="128" t="s">
        <v>50</v>
      </c>
      <c r="AS1444" s="129" t="s">
        <v>106</v>
      </c>
      <c r="AT1444" s="129" t="s">
        <v>654</v>
      </c>
      <c r="BC1444" s="129" t="s">
        <v>52</v>
      </c>
      <c r="BF1444" s="111">
        <f t="shared" si="1071"/>
        <v>2</v>
      </c>
      <c r="BG1444" s="111">
        <f t="shared" si="1072"/>
        <v>219</v>
      </c>
      <c r="BH1444" s="111">
        <f t="shared" si="1039"/>
        <v>219</v>
      </c>
      <c r="BI1444" s="111">
        <f t="shared" si="1040"/>
        <v>31.562841530054644</v>
      </c>
      <c r="BJ1444" s="129">
        <f>(G1444-J1444)+(M1444-G1444)</f>
        <v>0</v>
      </c>
      <c r="BK1444" s="129">
        <f t="shared" si="1041"/>
        <v>-217</v>
      </c>
      <c r="BL1444" s="129" t="str">
        <f t="shared" si="1073"/>
        <v>DEFERRED</v>
      </c>
      <c r="BM1444" s="129" t="s">
        <v>76</v>
      </c>
      <c r="BN1444" s="129" t="s">
        <v>88</v>
      </c>
      <c r="BP1444" s="137" t="str">
        <f t="shared" si="1045"/>
        <v>DEFERRED</v>
      </c>
      <c r="BQ1444" s="128" t="str">
        <f t="shared" si="1046"/>
        <v>Y</v>
      </c>
      <c r="BR1444" s="129" t="str">
        <f t="shared" si="1062"/>
        <v>ON BOND</v>
      </c>
      <c r="BS1444" s="129" t="str">
        <f t="shared" si="1047"/>
        <v>DISPOSED</v>
      </c>
      <c r="BT1444" s="129" t="str">
        <f t="shared" si="1048"/>
        <v>N</v>
      </c>
      <c r="BU1444" s="109">
        <f t="shared" si="1056"/>
        <v>9.1324200913242004E-3</v>
      </c>
      <c r="BV1444" s="109">
        <f t="shared" si="1057"/>
        <v>9.1324200913242004E-3</v>
      </c>
      <c r="BW1444" s="109">
        <f t="shared" si="1035"/>
        <v>0</v>
      </c>
      <c r="BX1444" s="111">
        <f t="shared" si="1049"/>
        <v>0</v>
      </c>
      <c r="BY1444" s="129">
        <f t="shared" si="1050"/>
        <v>-2</v>
      </c>
      <c r="BZ1444" s="111">
        <f t="shared" si="1051"/>
        <v>0</v>
      </c>
      <c r="CA1444" s="138">
        <f t="shared" si="1052"/>
        <v>2</v>
      </c>
      <c r="CB1444" s="111" t="e">
        <f t="shared" si="1074"/>
        <v>#VALUE!</v>
      </c>
      <c r="CC1444" s="129">
        <f>M1444-I1444+1</f>
        <v>2</v>
      </c>
      <c r="CD1444" s="111">
        <f>CC1444-BF1444</f>
        <v>0</v>
      </c>
      <c r="CG1444" s="129" t="str">
        <f t="shared" si="1053"/>
        <v>Y</v>
      </c>
      <c r="CI1444" s="129" t="str">
        <f t="shared" si="1059"/>
        <v>0-10 DAYS</v>
      </c>
      <c r="CJ1444" s="137">
        <f t="shared" si="1060"/>
        <v>1</v>
      </c>
      <c r="CK1444" s="129" t="str">
        <f t="shared" si="1061"/>
        <v>Booked</v>
      </c>
    </row>
    <row r="1445" spans="1:89" ht="15.75" customHeight="1" x14ac:dyDescent="0.25">
      <c r="A1445" s="111">
        <v>2456</v>
      </c>
      <c r="B1445" s="128" t="str">
        <f t="shared" si="1042"/>
        <v>N</v>
      </c>
      <c r="C1445" s="128" t="str">
        <f t="shared" si="1043"/>
        <v>N</v>
      </c>
      <c r="D1445" s="117">
        <v>2034494</v>
      </c>
      <c r="E1445" s="135">
        <f t="shared" si="1044"/>
        <v>5</v>
      </c>
      <c r="F1445" s="124">
        <v>41001</v>
      </c>
      <c r="G1445" s="125">
        <v>41093</v>
      </c>
      <c r="H1445" s="117">
        <v>2034494</v>
      </c>
      <c r="I1445" s="124">
        <v>41002</v>
      </c>
      <c r="J1445" s="124">
        <v>41005</v>
      </c>
      <c r="K1445" s="126">
        <v>10000</v>
      </c>
      <c r="L1445" s="127" t="s">
        <v>570</v>
      </c>
      <c r="M1445" s="125">
        <v>41005</v>
      </c>
      <c r="N1445" s="129" t="str">
        <f t="shared" si="1075"/>
        <v>Y</v>
      </c>
      <c r="O1445" s="128" t="s">
        <v>76</v>
      </c>
      <c r="P1445" s="129" t="s">
        <v>39</v>
      </c>
      <c r="Q1445" s="111">
        <f t="shared" si="1076"/>
        <v>4</v>
      </c>
      <c r="R1445" s="111">
        <f t="shared" si="1070"/>
        <v>93</v>
      </c>
      <c r="S1445" s="129">
        <v>4</v>
      </c>
      <c r="T1445" s="129">
        <v>8</v>
      </c>
      <c r="U1445" s="129">
        <v>2</v>
      </c>
      <c r="W1445" s="111"/>
      <c r="AC1445" s="130"/>
      <c r="AD1445" s="130">
        <v>31376</v>
      </c>
      <c r="AE1445" s="128" t="s">
        <v>32</v>
      </c>
      <c r="AF1445" s="128" t="s">
        <v>33</v>
      </c>
      <c r="AG1445" s="128" t="s">
        <v>872</v>
      </c>
      <c r="AH1445" s="108" t="s">
        <v>58</v>
      </c>
      <c r="AI1445" s="128" t="s">
        <v>71</v>
      </c>
      <c r="AJ1445" s="129" t="s">
        <v>89</v>
      </c>
      <c r="AK1445" s="129">
        <v>5</v>
      </c>
      <c r="AL1445" s="3" t="s">
        <v>992</v>
      </c>
      <c r="AN1445" s="117">
        <v>6</v>
      </c>
      <c r="AP1445" s="129" t="s">
        <v>60</v>
      </c>
      <c r="AR1445" s="128" t="s">
        <v>44</v>
      </c>
      <c r="AS1445" s="129" t="s">
        <v>61</v>
      </c>
      <c r="BC1445" s="129" t="s">
        <v>38</v>
      </c>
      <c r="BF1445" s="111">
        <f t="shared" si="1071"/>
        <v>4</v>
      </c>
      <c r="BG1445" s="111">
        <f t="shared" si="1072"/>
        <v>92</v>
      </c>
      <c r="BH1445" s="111">
        <f t="shared" si="1039"/>
        <v>93</v>
      </c>
      <c r="BI1445" s="111">
        <f t="shared" si="1040"/>
        <v>26.297814207650273</v>
      </c>
      <c r="BJ1445" s="129">
        <f>(G1445-J1445)+(M1445-G1445)</f>
        <v>0</v>
      </c>
      <c r="BK1445" s="129">
        <f t="shared" si="1041"/>
        <v>-88</v>
      </c>
      <c r="BL1445" s="129" t="str">
        <f t="shared" si="1073"/>
        <v>CONVICTION</v>
      </c>
      <c r="BM1445" s="129" t="s">
        <v>76</v>
      </c>
      <c r="BN1445" s="129" t="s">
        <v>88</v>
      </c>
      <c r="BP1445" s="137" t="str">
        <f t="shared" si="1045"/>
        <v>CONVICTION</v>
      </c>
      <c r="BQ1445" s="128" t="str">
        <f t="shared" si="1046"/>
        <v>Y</v>
      </c>
      <c r="BR1445" s="129" t="str">
        <f>IF(J1445&lt;G1445,"ON BOND",0)</f>
        <v>ON BOND</v>
      </c>
      <c r="BS1445" s="129" t="str">
        <f t="shared" si="1047"/>
        <v>DISPOSED</v>
      </c>
      <c r="BT1445" s="129" t="str">
        <f t="shared" si="1048"/>
        <v>Y</v>
      </c>
      <c r="BU1445" s="109">
        <f t="shared" si="1056"/>
        <v>4.3010752688172046E-2</v>
      </c>
      <c r="BV1445" s="109">
        <f t="shared" si="1057"/>
        <v>4.3478260869565216E-2</v>
      </c>
      <c r="BW1445" s="109">
        <f t="shared" si="1035"/>
        <v>4.6750818139316974E-4</v>
      </c>
      <c r="BX1445" s="111">
        <f t="shared" si="1049"/>
        <v>0</v>
      </c>
      <c r="BY1445" s="129">
        <f t="shared" si="1050"/>
        <v>-4</v>
      </c>
      <c r="BZ1445" s="111">
        <f t="shared" si="1051"/>
        <v>0</v>
      </c>
      <c r="CA1445" s="138">
        <f t="shared" si="1052"/>
        <v>4</v>
      </c>
      <c r="CB1445" s="111" t="e">
        <f t="shared" si="1074"/>
        <v>#VALUE!</v>
      </c>
      <c r="CC1445" s="129">
        <f>M1445-I1445+1</f>
        <v>4</v>
      </c>
      <c r="CD1445" s="111">
        <f>CC1445-BF1445</f>
        <v>0</v>
      </c>
      <c r="CG1445" s="129" t="str">
        <f t="shared" si="1053"/>
        <v>Y</v>
      </c>
      <c r="CI1445" s="129" t="str">
        <f t="shared" si="1059"/>
        <v>0-10 DAYS</v>
      </c>
      <c r="CJ1445" s="137">
        <f t="shared" si="1060"/>
        <v>1</v>
      </c>
      <c r="CK1445" s="129" t="str">
        <f t="shared" si="1061"/>
        <v>Booked</v>
      </c>
    </row>
    <row r="1446" spans="1:89" ht="15.75" customHeight="1" x14ac:dyDescent="0.25">
      <c r="A1446" s="111">
        <v>2338</v>
      </c>
      <c r="B1446" s="128" t="str">
        <f t="shared" si="1042"/>
        <v>N</v>
      </c>
      <c r="C1446" s="128" t="str">
        <f t="shared" si="1043"/>
        <v>N</v>
      </c>
      <c r="D1446" s="117">
        <v>2034600</v>
      </c>
      <c r="E1446" s="135">
        <f t="shared" si="1044"/>
        <v>4</v>
      </c>
      <c r="F1446" s="124">
        <v>40997</v>
      </c>
      <c r="G1446" s="125">
        <v>40998</v>
      </c>
      <c r="H1446" s="117">
        <v>2034600</v>
      </c>
      <c r="I1446" s="124">
        <v>40997</v>
      </c>
      <c r="J1446" s="124">
        <v>40998</v>
      </c>
      <c r="K1446" s="126">
        <v>2000</v>
      </c>
      <c r="L1446" s="127" t="s">
        <v>568</v>
      </c>
      <c r="N1446" s="129" t="str">
        <f t="shared" si="1075"/>
        <v>N</v>
      </c>
      <c r="O1446" s="128" t="s">
        <v>917</v>
      </c>
      <c r="P1446" s="129" t="s">
        <v>39</v>
      </c>
      <c r="Q1446" s="111">
        <f t="shared" si="1076"/>
        <v>2</v>
      </c>
      <c r="R1446" s="111">
        <f t="shared" si="1070"/>
        <v>2</v>
      </c>
      <c r="S1446" s="129">
        <v>0</v>
      </c>
      <c r="T1446" s="129">
        <v>3</v>
      </c>
      <c r="W1446" s="111"/>
      <c r="AC1446" s="130"/>
      <c r="AD1446" s="130">
        <v>28600</v>
      </c>
      <c r="AE1446" s="128" t="s">
        <v>46</v>
      </c>
      <c r="AF1446" s="128" t="s">
        <v>33</v>
      </c>
      <c r="AG1446" s="128" t="s">
        <v>872</v>
      </c>
      <c r="AH1446" s="108" t="s">
        <v>58</v>
      </c>
      <c r="AI1446" s="128" t="s">
        <v>62</v>
      </c>
      <c r="AJ1446" s="129" t="s">
        <v>89</v>
      </c>
      <c r="AK1446" s="129">
        <v>1</v>
      </c>
      <c r="AL1446" s="3" t="s">
        <v>991</v>
      </c>
      <c r="AO1446" s="128">
        <v>60</v>
      </c>
      <c r="AP1446" s="129" t="s">
        <v>60</v>
      </c>
      <c r="AR1446" s="128" t="s">
        <v>44</v>
      </c>
      <c r="AS1446" s="129" t="s">
        <v>61</v>
      </c>
      <c r="BC1446" s="129" t="s">
        <v>38</v>
      </c>
      <c r="BF1446" s="111">
        <f t="shared" si="1071"/>
        <v>2</v>
      </c>
      <c r="BG1446" s="111">
        <f t="shared" si="1072"/>
        <v>2</v>
      </c>
      <c r="BH1446" s="111">
        <f t="shared" si="1039"/>
        <v>2</v>
      </c>
      <c r="BI1446" s="111">
        <f t="shared" si="1040"/>
        <v>33.87158469945355</v>
      </c>
      <c r="BJ1446" s="129">
        <f t="shared" si="1063"/>
        <v>0</v>
      </c>
      <c r="BK1446" s="129">
        <f t="shared" si="1041"/>
        <v>0</v>
      </c>
      <c r="BL1446" s="129" t="str">
        <f t="shared" si="1073"/>
        <v>CONVICTION</v>
      </c>
      <c r="BM1446" s="129" t="str">
        <f t="shared" si="1064"/>
        <v>NONE</v>
      </c>
      <c r="BN1446" s="129" t="s">
        <v>566</v>
      </c>
      <c r="BP1446" s="137" t="str">
        <f t="shared" si="1045"/>
        <v>CONVICTION</v>
      </c>
      <c r="BQ1446" s="128" t="str">
        <f t="shared" si="1046"/>
        <v>Y</v>
      </c>
      <c r="BR1446" s="129" t="str">
        <f t="shared" si="1062"/>
        <v>DETAINED</v>
      </c>
      <c r="BS1446" s="129" t="str">
        <f t="shared" si="1047"/>
        <v>DISPOSED</v>
      </c>
      <c r="BT1446" s="129" t="str">
        <f t="shared" si="1048"/>
        <v>N</v>
      </c>
      <c r="BU1446" s="109">
        <f t="shared" si="1056"/>
        <v>1</v>
      </c>
      <c r="BV1446" s="109">
        <f t="shared" si="1057"/>
        <v>1</v>
      </c>
      <c r="BW1446" s="109">
        <f t="shared" si="1035"/>
        <v>0</v>
      </c>
      <c r="BX1446" s="111">
        <f t="shared" si="1049"/>
        <v>0</v>
      </c>
      <c r="BY1446" s="129">
        <f t="shared" si="1050"/>
        <v>-2</v>
      </c>
      <c r="BZ1446" s="111">
        <f t="shared" si="1051"/>
        <v>0</v>
      </c>
      <c r="CA1446" s="138">
        <f t="shared" si="1052"/>
        <v>2</v>
      </c>
      <c r="CB1446" s="111" t="e">
        <f t="shared" si="1074"/>
        <v>#VALUE!</v>
      </c>
      <c r="CC1446" s="129">
        <f>G1446-I1446+1</f>
        <v>2</v>
      </c>
      <c r="CD1446" s="129">
        <f>G1446-J1446</f>
        <v>0</v>
      </c>
      <c r="CG1446" s="129" t="str">
        <f t="shared" si="1053"/>
        <v>Y</v>
      </c>
      <c r="CI1446" s="129" t="str">
        <f t="shared" si="1059"/>
        <v>0-10 DAYS</v>
      </c>
      <c r="CJ1446" s="137">
        <f t="shared" si="1060"/>
        <v>1</v>
      </c>
      <c r="CK1446" s="129" t="str">
        <f t="shared" si="1061"/>
        <v>Booked</v>
      </c>
    </row>
    <row r="1447" spans="1:89" ht="15.75" customHeight="1" x14ac:dyDescent="0.25">
      <c r="A1447" s="111">
        <v>1041</v>
      </c>
      <c r="B1447" s="128" t="str">
        <f t="shared" si="1042"/>
        <v>N</v>
      </c>
      <c r="C1447" s="128" t="str">
        <f t="shared" si="1043"/>
        <v>N</v>
      </c>
      <c r="D1447" s="117">
        <v>2034714</v>
      </c>
      <c r="E1447" s="135">
        <f t="shared" si="1044"/>
        <v>5</v>
      </c>
      <c r="F1447" s="124">
        <v>40947</v>
      </c>
      <c r="G1447" s="125">
        <v>40975</v>
      </c>
      <c r="H1447" s="117">
        <v>2034714</v>
      </c>
      <c r="I1447" s="124">
        <v>40947</v>
      </c>
      <c r="J1447" s="124">
        <v>40975</v>
      </c>
      <c r="K1447" s="126" t="s">
        <v>564</v>
      </c>
      <c r="L1447" s="127" t="s">
        <v>564</v>
      </c>
      <c r="N1447" s="129" t="s">
        <v>566</v>
      </c>
      <c r="O1447" s="128" t="s">
        <v>917</v>
      </c>
      <c r="P1447" s="129" t="s">
        <v>39</v>
      </c>
      <c r="Q1447" s="111">
        <f t="shared" si="1076"/>
        <v>29</v>
      </c>
      <c r="R1447" s="111">
        <f t="shared" si="1070"/>
        <v>29</v>
      </c>
      <c r="S1447" s="129">
        <v>10</v>
      </c>
      <c r="T1447" s="129">
        <v>3</v>
      </c>
      <c r="U1447" s="129">
        <v>3</v>
      </c>
      <c r="W1447" s="111"/>
      <c r="AC1447" s="130"/>
      <c r="AD1447" s="130">
        <v>30907</v>
      </c>
      <c r="AE1447" s="128" t="s">
        <v>32</v>
      </c>
      <c r="AF1447" s="128" t="s">
        <v>69</v>
      </c>
      <c r="AG1447" s="128" t="s">
        <v>874</v>
      </c>
      <c r="AH1447" s="108" t="s">
        <v>58</v>
      </c>
      <c r="AI1447" s="128" t="s">
        <v>113</v>
      </c>
      <c r="AJ1447" s="129" t="s">
        <v>89</v>
      </c>
      <c r="AK1447" s="129">
        <v>2</v>
      </c>
      <c r="AL1447" s="3" t="s">
        <v>992</v>
      </c>
      <c r="AN1447" s="117">
        <v>12</v>
      </c>
      <c r="AP1447" s="129" t="s">
        <v>277</v>
      </c>
      <c r="AR1447" s="128" t="s">
        <v>44</v>
      </c>
      <c r="AS1447" s="129" t="s">
        <v>74</v>
      </c>
      <c r="BC1447" s="129" t="s">
        <v>38</v>
      </c>
      <c r="BF1447" s="111">
        <f t="shared" si="1071"/>
        <v>29</v>
      </c>
      <c r="BG1447" s="111">
        <f t="shared" si="1072"/>
        <v>29</v>
      </c>
      <c r="BH1447" s="111">
        <f t="shared" si="1039"/>
        <v>29</v>
      </c>
      <c r="BI1447" s="111">
        <f t="shared" si="1040"/>
        <v>27.431693989071039</v>
      </c>
      <c r="BJ1447" s="129">
        <f t="shared" si="1063"/>
        <v>0</v>
      </c>
      <c r="BK1447" s="129">
        <f t="shared" si="1041"/>
        <v>0</v>
      </c>
      <c r="BL1447" s="129" t="str">
        <f t="shared" si="1073"/>
        <v>CONVICTION</v>
      </c>
      <c r="BM1447" s="129" t="str">
        <f t="shared" si="1064"/>
        <v>NONE</v>
      </c>
      <c r="BN1447" s="129" t="s">
        <v>566</v>
      </c>
      <c r="BP1447" s="137" t="str">
        <f t="shared" si="1045"/>
        <v>CONVICTION</v>
      </c>
      <c r="BQ1447" s="128" t="str">
        <f t="shared" si="1046"/>
        <v>Y</v>
      </c>
      <c r="BR1447" s="129" t="str">
        <f t="shared" si="1062"/>
        <v>DETAINED</v>
      </c>
      <c r="BS1447" s="129" t="str">
        <f t="shared" si="1047"/>
        <v>DISPOSED</v>
      </c>
      <c r="BT1447" s="129" t="str">
        <f t="shared" si="1048"/>
        <v>Y</v>
      </c>
      <c r="BU1447" s="109">
        <f t="shared" si="1056"/>
        <v>1</v>
      </c>
      <c r="BV1447" s="109">
        <f t="shared" si="1057"/>
        <v>1</v>
      </c>
      <c r="BW1447" s="109">
        <f t="shared" si="1035"/>
        <v>0</v>
      </c>
      <c r="BX1447" s="111">
        <f t="shared" si="1049"/>
        <v>0</v>
      </c>
      <c r="BY1447" s="129">
        <f t="shared" si="1050"/>
        <v>-29</v>
      </c>
      <c r="BZ1447" s="111">
        <f t="shared" si="1051"/>
        <v>0</v>
      </c>
      <c r="CA1447" s="138">
        <f t="shared" si="1052"/>
        <v>29</v>
      </c>
      <c r="CB1447" s="111" t="e">
        <f t="shared" si="1074"/>
        <v>#VALUE!</v>
      </c>
      <c r="CC1447" s="129">
        <f>G1447-I1447+1</f>
        <v>29</v>
      </c>
      <c r="CD1447" s="129">
        <f>G1447-J1447</f>
        <v>0</v>
      </c>
      <c r="CG1447" s="129" t="str">
        <f t="shared" si="1053"/>
        <v>Y</v>
      </c>
      <c r="CI1447" s="129" t="str">
        <f t="shared" si="1059"/>
        <v>11-30 DAYS</v>
      </c>
      <c r="CJ1447" s="137">
        <f t="shared" si="1060"/>
        <v>2</v>
      </c>
      <c r="CK1447" s="129" t="str">
        <f t="shared" si="1061"/>
        <v>Booked</v>
      </c>
    </row>
    <row r="1448" spans="1:89" ht="15.75" customHeight="1" x14ac:dyDescent="0.25">
      <c r="A1448" s="111">
        <v>397</v>
      </c>
      <c r="B1448" s="128" t="str">
        <f t="shared" si="1042"/>
        <v>N</v>
      </c>
      <c r="C1448" s="128" t="str">
        <f t="shared" si="1043"/>
        <v>N</v>
      </c>
      <c r="D1448" s="117">
        <v>2035588</v>
      </c>
      <c r="E1448" s="135">
        <f t="shared" si="1044"/>
        <v>6</v>
      </c>
      <c r="F1448" s="124">
        <v>40925</v>
      </c>
      <c r="G1448" s="125">
        <v>40983</v>
      </c>
      <c r="H1448" s="117">
        <v>2035588</v>
      </c>
      <c r="I1448" s="124">
        <v>40925</v>
      </c>
      <c r="J1448" s="124">
        <v>40983</v>
      </c>
      <c r="K1448" s="126">
        <v>10000</v>
      </c>
      <c r="L1448" s="127" t="s">
        <v>570</v>
      </c>
      <c r="N1448" s="129" t="str">
        <f>IF(M1448&gt;1/1/1,"Y","N")</f>
        <v>N</v>
      </c>
      <c r="O1448" s="128" t="s">
        <v>917</v>
      </c>
      <c r="P1448" s="129" t="s">
        <v>39</v>
      </c>
      <c r="Q1448" s="111">
        <f t="shared" si="1076"/>
        <v>59</v>
      </c>
      <c r="R1448" s="111">
        <f t="shared" si="1070"/>
        <v>59</v>
      </c>
      <c r="S1448" s="129">
        <v>3</v>
      </c>
      <c r="T1448" s="129">
        <v>3</v>
      </c>
      <c r="U1448" s="129">
        <v>2</v>
      </c>
      <c r="W1448" s="111"/>
      <c r="AC1448" s="130"/>
      <c r="AD1448" s="130">
        <v>31022</v>
      </c>
      <c r="AE1448" s="128" t="s">
        <v>32</v>
      </c>
      <c r="AF1448" s="128" t="s">
        <v>69</v>
      </c>
      <c r="AG1448" s="128" t="s">
        <v>874</v>
      </c>
      <c r="AH1448" s="108" t="s">
        <v>58</v>
      </c>
      <c r="AI1448" s="128" t="s">
        <v>65</v>
      </c>
      <c r="AJ1448" s="129" t="s">
        <v>89</v>
      </c>
      <c r="AK1448" s="129">
        <v>3</v>
      </c>
      <c r="AL1448" s="3" t="s">
        <v>362</v>
      </c>
      <c r="AM1448" s="117">
        <v>2</v>
      </c>
      <c r="AP1448" s="129" t="s">
        <v>150</v>
      </c>
      <c r="AR1448" s="128" t="s">
        <v>67</v>
      </c>
      <c r="AS1448" s="129" t="s">
        <v>74</v>
      </c>
      <c r="BC1448" s="129" t="s">
        <v>52</v>
      </c>
      <c r="BF1448" s="111">
        <f t="shared" si="1071"/>
        <v>59</v>
      </c>
      <c r="BG1448" s="111">
        <f t="shared" si="1072"/>
        <v>59</v>
      </c>
      <c r="BH1448" s="111">
        <f t="shared" si="1039"/>
        <v>59</v>
      </c>
      <c r="BI1448" s="111">
        <f t="shared" si="1040"/>
        <v>27.057377049180328</v>
      </c>
      <c r="BJ1448" s="129">
        <f t="shared" si="1063"/>
        <v>0</v>
      </c>
      <c r="BK1448" s="129">
        <f t="shared" si="1041"/>
        <v>0</v>
      </c>
      <c r="BL1448" s="129" t="str">
        <f t="shared" si="1073"/>
        <v>CONVICTION</v>
      </c>
      <c r="BM1448" s="129" t="str">
        <f t="shared" si="1064"/>
        <v>NONE</v>
      </c>
      <c r="BN1448" s="129" t="s">
        <v>566</v>
      </c>
      <c r="BP1448" s="137" t="str">
        <f t="shared" si="1045"/>
        <v>CONVICTION</v>
      </c>
      <c r="BQ1448" s="128" t="str">
        <f t="shared" si="1046"/>
        <v>Y</v>
      </c>
      <c r="BR1448" s="129" t="str">
        <f t="shared" si="1062"/>
        <v>DETAINED</v>
      </c>
      <c r="BS1448" s="129" t="str">
        <f t="shared" si="1047"/>
        <v>DISPOSED</v>
      </c>
      <c r="BT1448" s="129" t="str">
        <f t="shared" si="1048"/>
        <v>Y</v>
      </c>
      <c r="BU1448" s="109">
        <f t="shared" si="1056"/>
        <v>1</v>
      </c>
      <c r="BV1448" s="109">
        <f t="shared" si="1057"/>
        <v>1</v>
      </c>
      <c r="BW1448" s="109">
        <f t="shared" si="1035"/>
        <v>0</v>
      </c>
      <c r="BX1448" s="111">
        <f t="shared" si="1049"/>
        <v>0</v>
      </c>
      <c r="BY1448" s="129">
        <f t="shared" si="1050"/>
        <v>-59</v>
      </c>
      <c r="BZ1448" s="111">
        <f t="shared" si="1051"/>
        <v>0</v>
      </c>
      <c r="CA1448" s="138">
        <f t="shared" si="1052"/>
        <v>59</v>
      </c>
      <c r="CB1448" s="111" t="e">
        <f t="shared" si="1074"/>
        <v>#VALUE!</v>
      </c>
      <c r="CC1448" s="129">
        <f>G1448-I1448+1</f>
        <v>59</v>
      </c>
      <c r="CD1448" s="129">
        <f>G1448-J1448</f>
        <v>0</v>
      </c>
      <c r="CG1448" s="129" t="str">
        <f t="shared" si="1053"/>
        <v>Y</v>
      </c>
      <c r="CI1448" s="129" t="str">
        <f t="shared" si="1059"/>
        <v>31-60 DAYS</v>
      </c>
      <c r="CJ1448" s="137">
        <f t="shared" si="1060"/>
        <v>3</v>
      </c>
      <c r="CK1448" s="129" t="str">
        <f t="shared" si="1061"/>
        <v>Booked</v>
      </c>
    </row>
    <row r="1449" spans="1:89" ht="15.75" customHeight="1" x14ac:dyDescent="0.25">
      <c r="A1449" s="111">
        <v>537</v>
      </c>
      <c r="B1449" s="128" t="str">
        <f t="shared" si="1042"/>
        <v>N</v>
      </c>
      <c r="C1449" s="128" t="str">
        <f t="shared" si="1043"/>
        <v>N</v>
      </c>
      <c r="D1449" s="117">
        <v>2037023</v>
      </c>
      <c r="E1449" s="135">
        <f t="shared" si="1044"/>
        <v>2</v>
      </c>
      <c r="F1449" s="124">
        <v>40930</v>
      </c>
      <c r="G1449" s="125">
        <v>40969</v>
      </c>
      <c r="H1449" s="117">
        <v>2037023</v>
      </c>
      <c r="I1449" s="124">
        <v>40930</v>
      </c>
      <c r="J1449" s="124">
        <v>40969</v>
      </c>
      <c r="K1449" s="126">
        <v>10000</v>
      </c>
      <c r="L1449" s="127" t="s">
        <v>570</v>
      </c>
      <c r="N1449" s="129" t="str">
        <f>IF(M1449&gt;1/1/1,"Y","N")</f>
        <v>N</v>
      </c>
      <c r="O1449" s="128" t="s">
        <v>917</v>
      </c>
      <c r="P1449" s="129" t="s">
        <v>589</v>
      </c>
      <c r="Q1449" s="111">
        <f t="shared" si="1076"/>
        <v>40</v>
      </c>
      <c r="R1449" s="111">
        <f t="shared" si="1070"/>
        <v>40</v>
      </c>
      <c r="S1449" s="129">
        <v>0</v>
      </c>
      <c r="T1449" s="129">
        <v>2</v>
      </c>
      <c r="W1449" s="111"/>
      <c r="AB1449" s="131" t="s">
        <v>112</v>
      </c>
      <c r="AC1449" s="130"/>
      <c r="AD1449" s="130">
        <v>26041</v>
      </c>
      <c r="AE1449" s="128" t="s">
        <v>32</v>
      </c>
      <c r="AF1449" s="128" t="s">
        <v>40</v>
      </c>
      <c r="AG1449" s="128" t="s">
        <v>41</v>
      </c>
      <c r="AH1449" s="108" t="s">
        <v>31</v>
      </c>
      <c r="AI1449" s="128" t="s">
        <v>59</v>
      </c>
      <c r="AJ1449" s="129" t="s">
        <v>48</v>
      </c>
      <c r="AK1449" s="129">
        <v>3</v>
      </c>
      <c r="AL1449" s="3" t="s">
        <v>48</v>
      </c>
      <c r="AP1449" s="129" t="s">
        <v>56</v>
      </c>
      <c r="AR1449" s="128" t="s">
        <v>50</v>
      </c>
      <c r="AS1449" s="129" t="s">
        <v>57</v>
      </c>
      <c r="BC1449" s="129" t="s">
        <v>38</v>
      </c>
      <c r="BF1449" s="111">
        <f t="shared" si="1071"/>
        <v>40</v>
      </c>
      <c r="BG1449" s="111">
        <f t="shared" si="1072"/>
        <v>40</v>
      </c>
      <c r="BH1449" s="111">
        <f t="shared" si="1039"/>
        <v>40</v>
      </c>
      <c r="BI1449" s="111">
        <f t="shared" si="1040"/>
        <v>40.680327868852459</v>
      </c>
      <c r="BJ1449" s="129">
        <f t="shared" si="1063"/>
        <v>0</v>
      </c>
      <c r="BK1449" s="129">
        <f t="shared" si="1041"/>
        <v>0</v>
      </c>
      <c r="BL1449" s="129" t="str">
        <f t="shared" si="1073"/>
        <v>DEFERRED</v>
      </c>
      <c r="BM1449" s="129" t="str">
        <f t="shared" si="1064"/>
        <v>NONE</v>
      </c>
      <c r="BN1449" s="129" t="s">
        <v>566</v>
      </c>
      <c r="BP1449" s="137" t="str">
        <f t="shared" si="1045"/>
        <v>DEFERRED</v>
      </c>
      <c r="BQ1449" s="128" t="str">
        <f t="shared" si="1046"/>
        <v>Y</v>
      </c>
      <c r="BR1449" s="129" t="str">
        <f t="shared" si="1062"/>
        <v>DETAINED</v>
      </c>
      <c r="BS1449" s="129" t="str">
        <f t="shared" si="1047"/>
        <v>DISPOSED</v>
      </c>
      <c r="BT1449" s="129" t="str">
        <f t="shared" si="1048"/>
        <v>N</v>
      </c>
      <c r="BU1449" s="109">
        <f t="shared" si="1056"/>
        <v>1</v>
      </c>
      <c r="BV1449" s="109">
        <f t="shared" si="1057"/>
        <v>1</v>
      </c>
      <c r="BW1449" s="109">
        <f t="shared" si="1035"/>
        <v>0</v>
      </c>
      <c r="BX1449" s="111">
        <f t="shared" si="1049"/>
        <v>0</v>
      </c>
      <c r="BY1449" s="129">
        <f t="shared" si="1050"/>
        <v>-40</v>
      </c>
      <c r="BZ1449" s="111">
        <f t="shared" si="1051"/>
        <v>0</v>
      </c>
      <c r="CA1449" s="138">
        <f t="shared" si="1052"/>
        <v>40</v>
      </c>
      <c r="CB1449" s="111" t="e">
        <f t="shared" si="1074"/>
        <v>#VALUE!</v>
      </c>
      <c r="CC1449" s="129">
        <f>G1449-I1449+1</f>
        <v>40</v>
      </c>
      <c r="CD1449" s="129">
        <f>G1449-J1449</f>
        <v>0</v>
      </c>
      <c r="CG1449" s="129" t="str">
        <f t="shared" si="1053"/>
        <v>Y</v>
      </c>
      <c r="CI1449" s="129" t="str">
        <f t="shared" si="1059"/>
        <v>31-60 DAYS</v>
      </c>
      <c r="CJ1449" s="137">
        <f t="shared" si="1060"/>
        <v>3</v>
      </c>
      <c r="CK1449" s="129" t="str">
        <f t="shared" si="1061"/>
        <v>Booked</v>
      </c>
    </row>
    <row r="1450" spans="1:89" ht="15.75" customHeight="1" x14ac:dyDescent="0.25">
      <c r="A1450" s="111">
        <v>2133</v>
      </c>
      <c r="B1450" s="128" t="str">
        <f t="shared" si="1042"/>
        <v>N</v>
      </c>
      <c r="C1450" s="128" t="str">
        <f t="shared" si="1043"/>
        <v>Y</v>
      </c>
      <c r="D1450" s="117">
        <v>2037816</v>
      </c>
      <c r="E1450" s="135">
        <f t="shared" si="1044"/>
        <v>3</v>
      </c>
      <c r="F1450" s="124">
        <v>40989</v>
      </c>
      <c r="G1450" s="125">
        <v>41205</v>
      </c>
      <c r="H1450" s="117">
        <v>2037816</v>
      </c>
      <c r="I1450" s="124">
        <v>40989</v>
      </c>
      <c r="J1450" s="124">
        <v>41036</v>
      </c>
      <c r="K1450" s="126">
        <v>7000</v>
      </c>
      <c r="L1450" s="127" t="s">
        <v>570</v>
      </c>
      <c r="M1450" s="125">
        <v>41036</v>
      </c>
      <c r="N1450" s="129" t="str">
        <f>IF(M1450&gt;1/1/1,"Y","N")</f>
        <v>Y</v>
      </c>
      <c r="O1450" s="128" t="s">
        <v>76</v>
      </c>
      <c r="P1450" s="129" t="s">
        <v>39</v>
      </c>
      <c r="Q1450" s="111">
        <v>164</v>
      </c>
      <c r="R1450" s="111">
        <f t="shared" si="1070"/>
        <v>217</v>
      </c>
      <c r="S1450" s="129">
        <v>0</v>
      </c>
      <c r="T1450" s="129">
        <v>1</v>
      </c>
      <c r="W1450" s="111"/>
      <c r="AC1450" s="130"/>
      <c r="AD1450" s="130">
        <v>28986</v>
      </c>
      <c r="AE1450" s="128" t="s">
        <v>46</v>
      </c>
      <c r="AF1450" s="128" t="s">
        <v>69</v>
      </c>
      <c r="AG1450" s="128" t="s">
        <v>874</v>
      </c>
      <c r="AH1450" s="108" t="s">
        <v>58</v>
      </c>
      <c r="AI1450" s="128" t="s">
        <v>42</v>
      </c>
      <c r="AJ1450" s="129" t="s">
        <v>89</v>
      </c>
      <c r="AK1450" s="129">
        <v>10</v>
      </c>
      <c r="AL1450" s="3" t="s">
        <v>185</v>
      </c>
      <c r="AO1450" s="128">
        <v>10</v>
      </c>
      <c r="AP1450" s="129" t="s">
        <v>66</v>
      </c>
      <c r="AR1450" s="128" t="s">
        <v>67</v>
      </c>
      <c r="AS1450" s="129" t="s">
        <v>68</v>
      </c>
      <c r="AU1450" s="3" t="s">
        <v>756</v>
      </c>
      <c r="AX1450" s="32" t="s">
        <v>88</v>
      </c>
      <c r="AY1450" s="32"/>
      <c r="BC1450" s="129" t="s">
        <v>52</v>
      </c>
      <c r="BF1450" s="111">
        <v>164</v>
      </c>
      <c r="BG1450" s="111">
        <f t="shared" si="1072"/>
        <v>217</v>
      </c>
      <c r="BH1450" s="111">
        <f t="shared" si="1039"/>
        <v>217</v>
      </c>
      <c r="BI1450" s="111">
        <f t="shared" si="1040"/>
        <v>32.795081967213115</v>
      </c>
      <c r="BJ1450" s="129">
        <f>(G1450-J1450)+(M1450-G1450)</f>
        <v>0</v>
      </c>
      <c r="BK1450" s="129">
        <f t="shared" si="1041"/>
        <v>-169</v>
      </c>
      <c r="BL1450" s="129" t="str">
        <f t="shared" si="1073"/>
        <v>CONVICTION</v>
      </c>
      <c r="BM1450" s="129" t="s">
        <v>76</v>
      </c>
      <c r="BN1450" s="129" t="s">
        <v>88</v>
      </c>
      <c r="BP1450" s="137" t="str">
        <f t="shared" si="1045"/>
        <v>CONVICTION</v>
      </c>
      <c r="BQ1450" s="128" t="str">
        <f t="shared" si="1046"/>
        <v>Y</v>
      </c>
      <c r="BR1450" s="129" t="s">
        <v>574</v>
      </c>
      <c r="BS1450" s="129" t="str">
        <f t="shared" si="1047"/>
        <v>DISPOSED</v>
      </c>
      <c r="BT1450" s="129" t="str">
        <f t="shared" si="1048"/>
        <v>N</v>
      </c>
      <c r="BU1450" s="109">
        <f t="shared" si="1056"/>
        <v>0.75576036866359442</v>
      </c>
      <c r="BV1450" s="109">
        <f t="shared" si="1057"/>
        <v>0.22119815668202766</v>
      </c>
      <c r="BW1450" s="109">
        <f t="shared" si="1035"/>
        <v>-0.53456221198156673</v>
      </c>
      <c r="BX1450" s="111">
        <f t="shared" si="1049"/>
        <v>0</v>
      </c>
      <c r="BY1450" s="129">
        <f t="shared" si="1050"/>
        <v>-48</v>
      </c>
      <c r="BZ1450" s="111">
        <f t="shared" si="1051"/>
        <v>116</v>
      </c>
      <c r="CA1450" s="138">
        <f t="shared" si="1052"/>
        <v>217</v>
      </c>
      <c r="CB1450" s="111">
        <v>164</v>
      </c>
      <c r="CC1450" s="129">
        <f>G1450-I1450+1</f>
        <v>217</v>
      </c>
      <c r="CD1450" s="129">
        <f>G1450-J1450</f>
        <v>169</v>
      </c>
      <c r="CG1450" s="129" t="str">
        <f t="shared" si="1053"/>
        <v>Y</v>
      </c>
      <c r="CI1450" s="129" t="str">
        <f t="shared" si="1059"/>
        <v>121-365 DAYS</v>
      </c>
      <c r="CJ1450" s="137">
        <f t="shared" si="1060"/>
        <v>6</v>
      </c>
      <c r="CK1450" s="129" t="str">
        <f t="shared" si="1061"/>
        <v>Booked</v>
      </c>
    </row>
    <row r="1451" spans="1:89" ht="15" customHeight="1" x14ac:dyDescent="0.25">
      <c r="A1451" s="111">
        <v>2752</v>
      </c>
      <c r="B1451" s="128" t="str">
        <f t="shared" si="1042"/>
        <v>Y</v>
      </c>
      <c r="C1451" s="128" t="str">
        <f t="shared" si="1043"/>
        <v>Y</v>
      </c>
      <c r="D1451" s="117">
        <v>2038308</v>
      </c>
      <c r="E1451" s="135" t="str">
        <f t="shared" si="1044"/>
        <v/>
      </c>
      <c r="F1451" s="124">
        <v>41011</v>
      </c>
      <c r="G1451" s="125"/>
      <c r="H1451" s="117">
        <v>2038308</v>
      </c>
      <c r="I1451" s="124">
        <v>41015</v>
      </c>
      <c r="J1451" s="124">
        <v>41037</v>
      </c>
      <c r="K1451" s="126">
        <v>150000</v>
      </c>
      <c r="L1451" s="129" t="s">
        <v>572</v>
      </c>
      <c r="M1451" s="124">
        <v>41037</v>
      </c>
      <c r="N1451" s="129" t="s">
        <v>51</v>
      </c>
      <c r="O1451" s="128" t="s">
        <v>76</v>
      </c>
      <c r="P1451" s="129" t="s">
        <v>31</v>
      </c>
      <c r="Q1451" s="111" t="str">
        <f>BF1451</f>
        <v>STILL OPEN</v>
      </c>
      <c r="R1451" s="111" t="str">
        <f t="shared" si="1070"/>
        <v>STILL OPEN</v>
      </c>
      <c r="S1451" s="129">
        <v>2</v>
      </c>
      <c r="T1451" s="129">
        <v>0</v>
      </c>
      <c r="U1451" s="129">
        <v>2</v>
      </c>
      <c r="W1451" s="111"/>
      <c r="AC1451" s="130"/>
      <c r="AD1451" s="130">
        <v>31157</v>
      </c>
      <c r="AE1451" s="128" t="s">
        <v>32</v>
      </c>
      <c r="AF1451" s="128" t="s">
        <v>33</v>
      </c>
      <c r="AG1451" s="128" t="s">
        <v>872</v>
      </c>
      <c r="AH1451" s="108" t="s">
        <v>58</v>
      </c>
      <c r="AI1451" s="128" t="s">
        <v>80</v>
      </c>
      <c r="AJ1451" s="129" t="s">
        <v>31</v>
      </c>
      <c r="AP1451" s="129" t="s">
        <v>336</v>
      </c>
      <c r="AR1451" s="128" t="s">
        <v>46</v>
      </c>
      <c r="AS1451" s="129" t="s">
        <v>82</v>
      </c>
      <c r="AT1451" s="129" t="s">
        <v>1366</v>
      </c>
      <c r="AX1451" s="32" t="s">
        <v>88</v>
      </c>
      <c r="BC1451" s="129" t="s">
        <v>52</v>
      </c>
      <c r="BD1451" s="129" t="s">
        <v>1272</v>
      </c>
      <c r="BF1451" s="111" t="s">
        <v>588</v>
      </c>
      <c r="BG1451" s="111" t="str">
        <f t="shared" si="1072"/>
        <v>STILL OPEN</v>
      </c>
      <c r="BH1451" s="111" t="str">
        <f t="shared" si="1039"/>
        <v>STILL OPEN</v>
      </c>
      <c r="BI1451" s="111">
        <f t="shared" si="1040"/>
        <v>26.923497267759561</v>
      </c>
      <c r="BJ1451" s="129">
        <f>(G1451-J1451)+(M1451-G1451)</f>
        <v>0</v>
      </c>
      <c r="BK1451" s="129">
        <f t="shared" si="1041"/>
        <v>41037</v>
      </c>
      <c r="BL1451" s="129">
        <f t="shared" si="1073"/>
        <v>0</v>
      </c>
      <c r="BM1451" s="129" t="s">
        <v>76</v>
      </c>
      <c r="BN1451" s="129" t="s">
        <v>88</v>
      </c>
      <c r="BP1451" s="137" t="str">
        <f t="shared" si="1045"/>
        <v/>
      </c>
      <c r="BQ1451" s="128" t="str">
        <f t="shared" si="1046"/>
        <v>Y</v>
      </c>
      <c r="BR1451" s="129" t="str">
        <f t="shared" ref="BR1451" si="1077">IF(AND(J1451="NOT BOOKED",M1451&gt;1/1/1),"BONDED - BEFORE BOOKED",IF(BG1451="STILL OPEN","STILL OPEN",IF(N1451="Y","ON BOND",IF(J1451&gt;=G1451,"DETAINED","RELEASED"))))</f>
        <v>STILL OPEN</v>
      </c>
      <c r="BS1451" s="129" t="s">
        <v>588</v>
      </c>
      <c r="BT1451" s="129" t="str">
        <f t="shared" si="1048"/>
        <v>Y</v>
      </c>
      <c r="BU1451" s="109" t="str">
        <f>IFERROR(Q1451/R1451,BR1451)</f>
        <v>STILL OPEN</v>
      </c>
      <c r="BV1451" s="129" t="s">
        <v>588</v>
      </c>
      <c r="BW1451" s="109">
        <v>0</v>
      </c>
      <c r="BX1451" s="111" t="e">
        <f t="shared" si="1049"/>
        <v>#VALUE!</v>
      </c>
      <c r="BY1451" s="129">
        <f t="shared" si="1050"/>
        <v>-23</v>
      </c>
      <c r="BZ1451" s="111" t="e">
        <f t="shared" si="1051"/>
        <v>#VALUE!</v>
      </c>
      <c r="CA1451" s="138" t="e">
        <f t="shared" si="1052"/>
        <v>#VALUE!</v>
      </c>
      <c r="CB1451" s="111" t="s">
        <v>588</v>
      </c>
      <c r="CC1451" s="129" t="s">
        <v>588</v>
      </c>
      <c r="CG1451" s="129" t="str">
        <f t="shared" si="1053"/>
        <v>Y</v>
      </c>
      <c r="CH1451" s="129" t="e">
        <v>#N/A</v>
      </c>
      <c r="CI1451" s="129" t="str">
        <f t="shared" si="1059"/>
        <v>&gt;3YRS</v>
      </c>
      <c r="CJ1451" s="137">
        <f t="shared" si="1060"/>
        <v>9</v>
      </c>
      <c r="CK1451" s="129" t="str">
        <f t="shared" si="1061"/>
        <v>Booked</v>
      </c>
    </row>
    <row r="1452" spans="1:89" ht="15" customHeight="1" x14ac:dyDescent="0.25">
      <c r="A1452" s="111">
        <v>1255</v>
      </c>
      <c r="B1452" s="128" t="str">
        <f t="shared" si="1042"/>
        <v>N</v>
      </c>
      <c r="C1452" s="128" t="str">
        <f t="shared" si="1043"/>
        <v>N</v>
      </c>
      <c r="D1452" s="117">
        <v>2038330</v>
      </c>
      <c r="E1452" s="135">
        <f t="shared" si="1044"/>
        <v>1</v>
      </c>
      <c r="F1452" s="124">
        <v>40954</v>
      </c>
      <c r="G1452" s="125">
        <v>41551</v>
      </c>
      <c r="H1452" s="117">
        <v>2038330</v>
      </c>
      <c r="I1452" s="124">
        <v>40955</v>
      </c>
      <c r="J1452" s="124">
        <v>40957</v>
      </c>
      <c r="K1452" s="126">
        <v>30000</v>
      </c>
      <c r="L1452" s="129" t="s">
        <v>572</v>
      </c>
      <c r="M1452" s="125">
        <v>40957</v>
      </c>
      <c r="N1452" s="129" t="str">
        <f t="shared" ref="N1452:N1458" si="1078">IF(M1452&gt;1/1/1,"Y","N")</f>
        <v>Y</v>
      </c>
      <c r="O1452" s="128" t="s">
        <v>76</v>
      </c>
      <c r="P1452" s="129" t="s">
        <v>55</v>
      </c>
      <c r="Q1452" s="111">
        <f t="shared" si="1076"/>
        <v>3</v>
      </c>
      <c r="R1452" s="111">
        <f t="shared" si="1070"/>
        <v>598</v>
      </c>
      <c r="S1452" s="129">
        <v>1</v>
      </c>
      <c r="T1452" s="129">
        <v>0</v>
      </c>
      <c r="W1452" s="111"/>
      <c r="AC1452" s="130"/>
      <c r="AD1452" s="130">
        <v>28206</v>
      </c>
      <c r="AE1452" s="128" t="s">
        <v>32</v>
      </c>
      <c r="AF1452" s="128" t="s">
        <v>33</v>
      </c>
      <c r="AG1452" s="128" t="s">
        <v>872</v>
      </c>
      <c r="AH1452" s="108" t="s">
        <v>31</v>
      </c>
      <c r="AI1452" s="128" t="s">
        <v>62</v>
      </c>
      <c r="AJ1452" s="129" t="s">
        <v>55</v>
      </c>
      <c r="AK1452" s="129">
        <v>19</v>
      </c>
      <c r="AL1452" s="3" t="s">
        <v>55</v>
      </c>
      <c r="AP1452" s="129" t="s">
        <v>153</v>
      </c>
      <c r="AR1452" s="128" t="s">
        <v>92</v>
      </c>
      <c r="AS1452" s="129" t="s">
        <v>45</v>
      </c>
      <c r="BC1452" s="129" t="s">
        <v>52</v>
      </c>
      <c r="BF1452" s="111">
        <f t="shared" si="1071"/>
        <v>3</v>
      </c>
      <c r="BG1452" s="111">
        <f t="shared" si="1072"/>
        <v>597</v>
      </c>
      <c r="BH1452" s="111">
        <f t="shared" si="1039"/>
        <v>598</v>
      </c>
      <c r="BI1452" s="111">
        <f t="shared" si="1040"/>
        <v>34.830601092896174</v>
      </c>
      <c r="BJ1452" s="129">
        <f>(G1452-J1452)+(M1452-G1452)</f>
        <v>0</v>
      </c>
      <c r="BK1452" s="129">
        <f t="shared" si="1041"/>
        <v>-594</v>
      </c>
      <c r="BL1452" s="129" t="str">
        <f t="shared" si="1073"/>
        <v>NO CONVICTION</v>
      </c>
      <c r="BM1452" s="129" t="s">
        <v>76</v>
      </c>
      <c r="BN1452" s="129" t="s">
        <v>88</v>
      </c>
      <c r="BP1452" s="137" t="str">
        <f t="shared" si="1045"/>
        <v>NO CONVICTION</v>
      </c>
      <c r="BQ1452" s="128" t="str">
        <f t="shared" si="1046"/>
        <v>Y</v>
      </c>
      <c r="BR1452" s="129" t="str">
        <f t="shared" si="1062"/>
        <v>ON BOND</v>
      </c>
      <c r="BS1452" s="129" t="str">
        <f t="shared" si="1047"/>
        <v>DISPOSED</v>
      </c>
      <c r="BT1452" s="129" t="str">
        <f t="shared" si="1048"/>
        <v>Y</v>
      </c>
      <c r="BU1452" s="109">
        <f>IFERROR(Q1452/R1452,BR1452)</f>
        <v>5.016722408026756E-3</v>
      </c>
      <c r="BV1452" s="109">
        <f t="shared" si="1057"/>
        <v>5.0251256281407036E-3</v>
      </c>
      <c r="BW1452" s="109">
        <f t="shared" ref="BW1452:BW1458" si="1079">BV1452-BU1452</f>
        <v>8.4032201139476112E-6</v>
      </c>
      <c r="BX1452" s="111">
        <f t="shared" si="1049"/>
        <v>0</v>
      </c>
      <c r="BY1452" s="129">
        <f t="shared" si="1050"/>
        <v>-3</v>
      </c>
      <c r="BZ1452" s="111">
        <f t="shared" si="1051"/>
        <v>0</v>
      </c>
      <c r="CA1452" s="138">
        <f t="shared" si="1052"/>
        <v>3</v>
      </c>
      <c r="CB1452" s="111" t="e">
        <f t="shared" si="1074"/>
        <v>#VALUE!</v>
      </c>
      <c r="CC1452" s="129">
        <f>M1452-I1452+1</f>
        <v>3</v>
      </c>
      <c r="CD1452" s="111">
        <f>CC1452-BF1452</f>
        <v>0</v>
      </c>
      <c r="CG1452" s="129" t="str">
        <f t="shared" si="1053"/>
        <v>Y</v>
      </c>
      <c r="CI1452" s="129" t="str">
        <f t="shared" si="1059"/>
        <v>0-10 DAYS</v>
      </c>
      <c r="CJ1452" s="137">
        <f t="shared" si="1060"/>
        <v>1</v>
      </c>
      <c r="CK1452" s="129" t="str">
        <f t="shared" si="1061"/>
        <v>Booked</v>
      </c>
    </row>
    <row r="1453" spans="1:89" ht="15" customHeight="1" x14ac:dyDescent="0.25">
      <c r="A1453" s="111">
        <v>370</v>
      </c>
      <c r="B1453" s="128" t="str">
        <f t="shared" si="1042"/>
        <v>N</v>
      </c>
      <c r="C1453" s="128" t="str">
        <f t="shared" si="1043"/>
        <v>N</v>
      </c>
      <c r="D1453" s="117">
        <v>2039143</v>
      </c>
      <c r="E1453" s="135">
        <f t="shared" si="1044"/>
        <v>2</v>
      </c>
      <c r="F1453" s="124">
        <v>40924</v>
      </c>
      <c r="G1453" s="125">
        <v>41072</v>
      </c>
      <c r="H1453" s="117">
        <v>2039143</v>
      </c>
      <c r="I1453" s="124">
        <v>40924</v>
      </c>
      <c r="J1453" s="124">
        <v>40925</v>
      </c>
      <c r="K1453" s="126">
        <v>15000</v>
      </c>
      <c r="L1453" s="127" t="s">
        <v>571</v>
      </c>
      <c r="M1453" s="125">
        <v>40925</v>
      </c>
      <c r="N1453" s="129" t="str">
        <f t="shared" si="1078"/>
        <v>Y</v>
      </c>
      <c r="O1453" s="128" t="s">
        <v>76</v>
      </c>
      <c r="P1453" s="129" t="s">
        <v>589</v>
      </c>
      <c r="Q1453" s="111">
        <f t="shared" si="1076"/>
        <v>2</v>
      </c>
      <c r="R1453" s="111">
        <f t="shared" si="1070"/>
        <v>149</v>
      </c>
      <c r="S1453" s="129">
        <v>0</v>
      </c>
      <c r="T1453" s="129">
        <v>2</v>
      </c>
      <c r="W1453" s="111"/>
      <c r="AB1453" s="131" t="s">
        <v>112</v>
      </c>
      <c r="AC1453" s="130"/>
      <c r="AD1453" s="130">
        <v>29950</v>
      </c>
      <c r="AE1453" s="128" t="s">
        <v>32</v>
      </c>
      <c r="AF1453" s="128" t="s">
        <v>40</v>
      </c>
      <c r="AG1453" s="128" t="s">
        <v>41</v>
      </c>
      <c r="AH1453" s="108" t="s">
        <v>31</v>
      </c>
      <c r="AI1453" s="128" t="s">
        <v>118</v>
      </c>
      <c r="AJ1453" s="129" t="s">
        <v>48</v>
      </c>
      <c r="AK1453" s="129">
        <v>6</v>
      </c>
      <c r="AL1453" s="3" t="s">
        <v>48</v>
      </c>
      <c r="AP1453" s="129" t="s">
        <v>201</v>
      </c>
      <c r="AR1453" s="128" t="s">
        <v>67</v>
      </c>
      <c r="AS1453" s="129" t="s">
        <v>64</v>
      </c>
      <c r="BC1453" s="129" t="s">
        <v>52</v>
      </c>
      <c r="BF1453" s="111">
        <f t="shared" si="1071"/>
        <v>2</v>
      </c>
      <c r="BG1453" s="111">
        <f t="shared" si="1072"/>
        <v>149</v>
      </c>
      <c r="BH1453" s="111">
        <f t="shared" si="1039"/>
        <v>149</v>
      </c>
      <c r="BI1453" s="111">
        <f t="shared" si="1040"/>
        <v>29.983606557377048</v>
      </c>
      <c r="BJ1453" s="129">
        <f>(G1453-J1453)+(M1453-G1453)</f>
        <v>0</v>
      </c>
      <c r="BK1453" s="129">
        <f t="shared" si="1041"/>
        <v>-147</v>
      </c>
      <c r="BL1453" s="129" t="str">
        <f t="shared" si="1073"/>
        <v>DEFERRED</v>
      </c>
      <c r="BM1453" s="129" t="s">
        <v>76</v>
      </c>
      <c r="BN1453" s="129" t="s">
        <v>88</v>
      </c>
      <c r="BP1453" s="137" t="str">
        <f t="shared" si="1045"/>
        <v>DEFERRED</v>
      </c>
      <c r="BQ1453" s="128" t="str">
        <f t="shared" si="1046"/>
        <v>Y</v>
      </c>
      <c r="BR1453" s="129" t="str">
        <f t="shared" si="1062"/>
        <v>ON BOND</v>
      </c>
      <c r="BS1453" s="129" t="str">
        <f t="shared" si="1047"/>
        <v>DISPOSED</v>
      </c>
      <c r="BT1453" s="129" t="str">
        <f t="shared" si="1048"/>
        <v>N</v>
      </c>
      <c r="BU1453" s="109">
        <f t="shared" si="1056"/>
        <v>1.3422818791946308E-2</v>
      </c>
      <c r="BV1453" s="109">
        <f t="shared" si="1057"/>
        <v>1.3422818791946308E-2</v>
      </c>
      <c r="BW1453" s="109">
        <f t="shared" si="1079"/>
        <v>0</v>
      </c>
      <c r="BX1453" s="111">
        <f t="shared" si="1049"/>
        <v>0</v>
      </c>
      <c r="BY1453" s="129">
        <f t="shared" si="1050"/>
        <v>-2</v>
      </c>
      <c r="BZ1453" s="111">
        <f t="shared" si="1051"/>
        <v>0</v>
      </c>
      <c r="CA1453" s="138">
        <f t="shared" si="1052"/>
        <v>2</v>
      </c>
      <c r="CB1453" s="111" t="e">
        <f t="shared" si="1074"/>
        <v>#VALUE!</v>
      </c>
      <c r="CC1453" s="129">
        <f>M1453-I1453+1</f>
        <v>2</v>
      </c>
      <c r="CD1453" s="111">
        <f>CC1453-BF1453</f>
        <v>0</v>
      </c>
      <c r="CG1453" s="129" t="str">
        <f t="shared" si="1053"/>
        <v>Y</v>
      </c>
      <c r="CI1453" s="129" t="str">
        <f t="shared" si="1059"/>
        <v>0-10 DAYS</v>
      </c>
      <c r="CJ1453" s="137">
        <f t="shared" si="1060"/>
        <v>1</v>
      </c>
      <c r="CK1453" s="129" t="str">
        <f t="shared" si="1061"/>
        <v>Booked</v>
      </c>
    </row>
    <row r="1454" spans="1:89" ht="15.75" customHeight="1" x14ac:dyDescent="0.25">
      <c r="A1454" s="111">
        <v>1544</v>
      </c>
      <c r="B1454" s="128" t="str">
        <f t="shared" si="1042"/>
        <v>N</v>
      </c>
      <c r="C1454" s="128" t="str">
        <f t="shared" si="1043"/>
        <v>N</v>
      </c>
      <c r="D1454" s="117">
        <v>2039745</v>
      </c>
      <c r="E1454" s="135">
        <f t="shared" si="1044"/>
        <v>5</v>
      </c>
      <c r="F1454" s="124">
        <v>40966</v>
      </c>
      <c r="G1454" s="125">
        <v>40989</v>
      </c>
      <c r="H1454" s="117">
        <v>2039745</v>
      </c>
      <c r="I1454" s="124">
        <v>40987</v>
      </c>
      <c r="J1454" s="124">
        <v>40989</v>
      </c>
      <c r="K1454" s="126">
        <v>15000</v>
      </c>
      <c r="L1454" s="127" t="s">
        <v>571</v>
      </c>
      <c r="N1454" s="129" t="str">
        <f t="shared" si="1078"/>
        <v>N</v>
      </c>
      <c r="O1454" s="128" t="s">
        <v>917</v>
      </c>
      <c r="P1454" s="129" t="s">
        <v>39</v>
      </c>
      <c r="Q1454" s="111">
        <f t="shared" si="1076"/>
        <v>3</v>
      </c>
      <c r="R1454" s="111">
        <f t="shared" si="1070"/>
        <v>24</v>
      </c>
      <c r="S1454" s="129">
        <v>1</v>
      </c>
      <c r="T1454" s="129">
        <v>2</v>
      </c>
      <c r="W1454" s="111"/>
      <c r="AC1454" s="130"/>
      <c r="AD1454" s="130">
        <v>31104</v>
      </c>
      <c r="AE1454" s="128" t="s">
        <v>32</v>
      </c>
      <c r="AF1454" s="128" t="s">
        <v>69</v>
      </c>
      <c r="AG1454" s="128" t="s">
        <v>874</v>
      </c>
      <c r="AH1454" s="108" t="s">
        <v>58</v>
      </c>
      <c r="AI1454" s="128" t="s">
        <v>42</v>
      </c>
      <c r="AJ1454" s="129" t="s">
        <v>89</v>
      </c>
      <c r="AK1454" s="129">
        <v>2</v>
      </c>
      <c r="AL1454" s="3" t="s">
        <v>992</v>
      </c>
      <c r="AN1454" s="117">
        <v>6</v>
      </c>
      <c r="AP1454" s="129" t="s">
        <v>60</v>
      </c>
      <c r="AR1454" s="128" t="s">
        <v>44</v>
      </c>
      <c r="AS1454" s="129" t="s">
        <v>61</v>
      </c>
      <c r="BC1454" s="129" t="s">
        <v>38</v>
      </c>
      <c r="BF1454" s="111">
        <f t="shared" si="1071"/>
        <v>3</v>
      </c>
      <c r="BG1454" s="111">
        <f t="shared" si="1072"/>
        <v>3</v>
      </c>
      <c r="BH1454" s="111">
        <f t="shared" si="1039"/>
        <v>24</v>
      </c>
      <c r="BI1454" s="111">
        <f t="shared" si="1040"/>
        <v>26.94535519125683</v>
      </c>
      <c r="BJ1454" s="129">
        <f t="shared" si="1063"/>
        <v>0</v>
      </c>
      <c r="BK1454" s="129">
        <f t="shared" si="1041"/>
        <v>0</v>
      </c>
      <c r="BL1454" s="129" t="str">
        <f t="shared" si="1073"/>
        <v>CONVICTION</v>
      </c>
      <c r="BM1454" s="129" t="str">
        <f t="shared" si="1064"/>
        <v>NONE</v>
      </c>
      <c r="BN1454" s="129" t="s">
        <v>566</v>
      </c>
      <c r="BP1454" s="137" t="str">
        <f t="shared" si="1045"/>
        <v>CONVICTION</v>
      </c>
      <c r="BQ1454" s="128" t="str">
        <f t="shared" si="1046"/>
        <v>Y</v>
      </c>
      <c r="BR1454" s="129" t="str">
        <f t="shared" si="1062"/>
        <v>DETAINED</v>
      </c>
      <c r="BS1454" s="129" t="str">
        <f t="shared" si="1047"/>
        <v>DISPOSED</v>
      </c>
      <c r="BT1454" s="129" t="str">
        <f t="shared" si="1048"/>
        <v>Y</v>
      </c>
      <c r="BU1454" s="109">
        <f t="shared" si="1056"/>
        <v>0.125</v>
      </c>
      <c r="BV1454" s="109">
        <f t="shared" si="1057"/>
        <v>1</v>
      </c>
      <c r="BW1454" s="109">
        <f t="shared" si="1079"/>
        <v>0.875</v>
      </c>
      <c r="BX1454" s="111">
        <f t="shared" si="1049"/>
        <v>0</v>
      </c>
      <c r="BY1454" s="129">
        <f t="shared" si="1050"/>
        <v>-3</v>
      </c>
      <c r="BZ1454" s="111">
        <f t="shared" si="1051"/>
        <v>0</v>
      </c>
      <c r="CA1454" s="138">
        <f t="shared" si="1052"/>
        <v>3</v>
      </c>
      <c r="CB1454" s="111" t="e">
        <f t="shared" si="1074"/>
        <v>#VALUE!</v>
      </c>
      <c r="CC1454" s="129">
        <f>G1454-I1454+1</f>
        <v>3</v>
      </c>
      <c r="CD1454" s="129">
        <f>G1454-J1454</f>
        <v>0</v>
      </c>
      <c r="CG1454" s="129" t="str">
        <f t="shared" si="1053"/>
        <v>Y</v>
      </c>
      <c r="CI1454" s="129" t="str">
        <f t="shared" si="1059"/>
        <v>0-10 DAYS</v>
      </c>
      <c r="CJ1454" s="137">
        <f t="shared" si="1060"/>
        <v>1</v>
      </c>
      <c r="CK1454" s="129" t="str">
        <f t="shared" si="1061"/>
        <v>Booked</v>
      </c>
    </row>
    <row r="1455" spans="1:89" ht="15" customHeight="1" x14ac:dyDescent="0.25">
      <c r="A1455" s="111">
        <v>731</v>
      </c>
      <c r="B1455" s="128" t="str">
        <f t="shared" si="1042"/>
        <v>N</v>
      </c>
      <c r="C1455" s="128" t="str">
        <f t="shared" si="1043"/>
        <v>N</v>
      </c>
      <c r="D1455" s="117">
        <v>2040647</v>
      </c>
      <c r="E1455" s="135">
        <f t="shared" si="1044"/>
        <v>6</v>
      </c>
      <c r="F1455" s="124">
        <v>40937</v>
      </c>
      <c r="G1455" s="125">
        <v>41078</v>
      </c>
      <c r="H1455" s="117">
        <v>2040647</v>
      </c>
      <c r="I1455" s="124">
        <v>40937</v>
      </c>
      <c r="J1455" s="124">
        <v>40946</v>
      </c>
      <c r="K1455" s="126">
        <v>15000</v>
      </c>
      <c r="L1455" s="127" t="s">
        <v>571</v>
      </c>
      <c r="M1455" s="125">
        <v>40946</v>
      </c>
      <c r="N1455" s="129" t="str">
        <f t="shared" si="1078"/>
        <v>Y</v>
      </c>
      <c r="O1455" s="128" t="s">
        <v>585</v>
      </c>
      <c r="P1455" s="129" t="s">
        <v>39</v>
      </c>
      <c r="Q1455" s="111">
        <f t="shared" si="1076"/>
        <v>10</v>
      </c>
      <c r="R1455" s="111">
        <f t="shared" si="1070"/>
        <v>142</v>
      </c>
      <c r="S1455" s="129">
        <v>6</v>
      </c>
      <c r="T1455" s="129">
        <v>4</v>
      </c>
      <c r="U1455" s="129">
        <v>4</v>
      </c>
      <c r="W1455" s="111"/>
      <c r="AC1455" s="130"/>
      <c r="AD1455" s="130">
        <v>31241</v>
      </c>
      <c r="AE1455" s="128" t="s">
        <v>32</v>
      </c>
      <c r="AF1455" s="128" t="s">
        <v>33</v>
      </c>
      <c r="AG1455" s="128" t="s">
        <v>872</v>
      </c>
      <c r="AH1455" s="108" t="s">
        <v>58</v>
      </c>
      <c r="AI1455" s="128" t="s">
        <v>113</v>
      </c>
      <c r="AJ1455" s="129" t="s">
        <v>89</v>
      </c>
      <c r="AK1455" s="129">
        <v>9</v>
      </c>
      <c r="AL1455" s="3" t="s">
        <v>362</v>
      </c>
      <c r="AM1455" s="117">
        <v>2</v>
      </c>
      <c r="AP1455" s="129" t="s">
        <v>107</v>
      </c>
      <c r="AR1455" s="128" t="s">
        <v>44</v>
      </c>
      <c r="AS1455" s="129" t="s">
        <v>57</v>
      </c>
      <c r="BC1455" s="129" t="s">
        <v>38</v>
      </c>
      <c r="BF1455" s="111">
        <f t="shared" si="1071"/>
        <v>10</v>
      </c>
      <c r="BG1455" s="111">
        <f t="shared" si="1072"/>
        <v>142</v>
      </c>
      <c r="BH1455" s="111">
        <f t="shared" si="1039"/>
        <v>142</v>
      </c>
      <c r="BI1455" s="111">
        <f t="shared" si="1040"/>
        <v>26.491803278688526</v>
      </c>
      <c r="BJ1455" s="129">
        <f>(G1455-J1455)+(M1455-G1455)</f>
        <v>0</v>
      </c>
      <c r="BK1455" s="129">
        <f t="shared" si="1041"/>
        <v>-132</v>
      </c>
      <c r="BL1455" s="129" t="str">
        <f t="shared" si="1073"/>
        <v>CONVICTION</v>
      </c>
      <c r="BM1455" s="129" t="s">
        <v>76</v>
      </c>
      <c r="BN1455" s="129" t="s">
        <v>88</v>
      </c>
      <c r="BP1455" s="137" t="str">
        <f t="shared" si="1045"/>
        <v>CONVICTION</v>
      </c>
      <c r="BQ1455" s="128" t="str">
        <f t="shared" si="1046"/>
        <v>Y</v>
      </c>
      <c r="BR1455" s="129" t="str">
        <f>IF(J1455&lt;G1455,"ON BOND",0)</f>
        <v>ON BOND</v>
      </c>
      <c r="BS1455" s="129" t="str">
        <f t="shared" si="1047"/>
        <v>DISPOSED</v>
      </c>
      <c r="BT1455" s="129" t="str">
        <f t="shared" si="1048"/>
        <v>Y</v>
      </c>
      <c r="BU1455" s="109">
        <f t="shared" si="1056"/>
        <v>7.0422535211267609E-2</v>
      </c>
      <c r="BV1455" s="109">
        <f t="shared" si="1057"/>
        <v>7.0422535211267609E-2</v>
      </c>
      <c r="BW1455" s="109">
        <f t="shared" si="1079"/>
        <v>0</v>
      </c>
      <c r="BX1455" s="111">
        <f t="shared" si="1049"/>
        <v>0</v>
      </c>
      <c r="BY1455" s="129">
        <f t="shared" si="1050"/>
        <v>-10</v>
      </c>
      <c r="BZ1455" s="111">
        <f t="shared" si="1051"/>
        <v>0</v>
      </c>
      <c r="CA1455" s="138">
        <f t="shared" si="1052"/>
        <v>10</v>
      </c>
      <c r="CB1455" s="111" t="e">
        <f t="shared" si="1074"/>
        <v>#VALUE!</v>
      </c>
      <c r="CC1455" s="129">
        <f>M1455-I1455+1</f>
        <v>10</v>
      </c>
      <c r="CD1455" s="111">
        <f>CC1455-BF1455</f>
        <v>0</v>
      </c>
      <c r="CG1455" s="129" t="str">
        <f t="shared" si="1053"/>
        <v>Y</v>
      </c>
      <c r="CI1455" s="129" t="str">
        <f t="shared" si="1059"/>
        <v>0-10 DAYS</v>
      </c>
      <c r="CJ1455" s="137">
        <f t="shared" si="1060"/>
        <v>1</v>
      </c>
      <c r="CK1455" s="129" t="str">
        <f t="shared" si="1061"/>
        <v>Booked</v>
      </c>
    </row>
    <row r="1456" spans="1:89" ht="15.75" customHeight="1" x14ac:dyDescent="0.25">
      <c r="A1456" s="111">
        <v>3218</v>
      </c>
      <c r="B1456" s="128" t="str">
        <f t="shared" si="1042"/>
        <v>Y</v>
      </c>
      <c r="C1456" s="128" t="str">
        <f t="shared" si="1043"/>
        <v>Y</v>
      </c>
      <c r="D1456" s="114">
        <v>2042185</v>
      </c>
      <c r="E1456" s="135">
        <f t="shared" si="1044"/>
        <v>4</v>
      </c>
      <c r="F1456" s="124">
        <v>41027</v>
      </c>
      <c r="G1456" s="125">
        <v>41214</v>
      </c>
      <c r="H1456" s="114">
        <v>2042185</v>
      </c>
      <c r="I1456" s="124">
        <v>41027</v>
      </c>
      <c r="J1456" s="124">
        <v>41033</v>
      </c>
      <c r="K1456" s="126">
        <v>10000</v>
      </c>
      <c r="L1456" s="127" t="s">
        <v>570</v>
      </c>
      <c r="M1456" s="125">
        <v>41033</v>
      </c>
      <c r="N1456" s="129" t="str">
        <f t="shared" si="1078"/>
        <v>Y</v>
      </c>
      <c r="O1456" s="128" t="s">
        <v>76</v>
      </c>
      <c r="P1456" s="129" t="s">
        <v>39</v>
      </c>
      <c r="Q1456" s="111">
        <v>11</v>
      </c>
      <c r="R1456" s="111">
        <f t="shared" si="1070"/>
        <v>188</v>
      </c>
      <c r="S1456" s="129">
        <v>1</v>
      </c>
      <c r="T1456" s="129">
        <v>1</v>
      </c>
      <c r="W1456" s="111"/>
      <c r="AC1456" s="130"/>
      <c r="AD1456" s="130">
        <v>31399</v>
      </c>
      <c r="AE1456" s="128" t="s">
        <v>32</v>
      </c>
      <c r="AF1456" s="128" t="s">
        <v>40</v>
      </c>
      <c r="AG1456" s="128" t="s">
        <v>41</v>
      </c>
      <c r="AH1456" s="108" t="s">
        <v>41</v>
      </c>
      <c r="AI1456" s="128" t="s">
        <v>47</v>
      </c>
      <c r="AJ1456" s="129" t="s">
        <v>89</v>
      </c>
      <c r="AK1456" s="129">
        <v>8</v>
      </c>
      <c r="AL1456" s="3" t="s">
        <v>991</v>
      </c>
      <c r="AO1456" s="128">
        <v>167</v>
      </c>
      <c r="AP1456" s="129" t="s">
        <v>150</v>
      </c>
      <c r="AR1456" s="128" t="s">
        <v>67</v>
      </c>
      <c r="AS1456" s="129" t="s">
        <v>74</v>
      </c>
      <c r="AV1456" s="3" t="s">
        <v>88</v>
      </c>
      <c r="AW1456" s="129" t="s">
        <v>801</v>
      </c>
      <c r="AY1456" s="123"/>
      <c r="BA1456" s="125">
        <v>41264</v>
      </c>
      <c r="BB1456" s="129">
        <v>240</v>
      </c>
      <c r="BC1456" s="129" t="s">
        <v>38</v>
      </c>
      <c r="BD1456" s="32" t="s">
        <v>1115</v>
      </c>
      <c r="BF1456" s="111">
        <v>11</v>
      </c>
      <c r="BG1456" s="111">
        <f t="shared" si="1072"/>
        <v>188</v>
      </c>
      <c r="BH1456" s="111">
        <f t="shared" si="1039"/>
        <v>188</v>
      </c>
      <c r="BI1456" s="111">
        <f t="shared" si="1040"/>
        <v>26.306010928961747</v>
      </c>
      <c r="BJ1456" s="129">
        <f>(G1456-J1456)+(M1456-G1456)</f>
        <v>0</v>
      </c>
      <c r="BK1456" s="129">
        <f t="shared" si="1041"/>
        <v>-181</v>
      </c>
      <c r="BL1456" s="129" t="str">
        <f t="shared" si="1073"/>
        <v>CONVICTION</v>
      </c>
      <c r="BM1456" s="129" t="s">
        <v>76</v>
      </c>
      <c r="BN1456" s="129" t="s">
        <v>566</v>
      </c>
      <c r="BP1456" s="137" t="str">
        <f t="shared" si="1045"/>
        <v>CONVICTION</v>
      </c>
      <c r="BQ1456" s="128" t="str">
        <f t="shared" si="1046"/>
        <v>Y</v>
      </c>
      <c r="BR1456" s="129" t="s">
        <v>574</v>
      </c>
      <c r="BS1456" s="129" t="str">
        <f t="shared" si="1047"/>
        <v>DISPOSED</v>
      </c>
      <c r="BT1456" s="129" t="str">
        <f t="shared" si="1048"/>
        <v>Y</v>
      </c>
      <c r="BU1456" s="109">
        <f t="shared" si="1056"/>
        <v>5.8510638297872342E-2</v>
      </c>
      <c r="BV1456" s="109">
        <f t="shared" si="1057"/>
        <v>3.7234042553191488E-2</v>
      </c>
      <c r="BW1456" s="109">
        <f t="shared" si="1079"/>
        <v>-2.1276595744680854E-2</v>
      </c>
      <c r="BX1456" s="111">
        <f t="shared" si="1049"/>
        <v>0</v>
      </c>
      <c r="BY1456" s="129">
        <f t="shared" si="1050"/>
        <v>-7</v>
      </c>
      <c r="BZ1456" s="111">
        <f t="shared" si="1051"/>
        <v>4</v>
      </c>
      <c r="CA1456" s="138">
        <f t="shared" si="1052"/>
        <v>188</v>
      </c>
      <c r="CB1456" s="111">
        <v>11</v>
      </c>
      <c r="CC1456" s="129">
        <f>G1456-I1456+1</f>
        <v>188</v>
      </c>
      <c r="CD1456" s="129">
        <f>G1456-J1456</f>
        <v>181</v>
      </c>
      <c r="CG1456" s="129" t="str">
        <f t="shared" si="1053"/>
        <v>Y</v>
      </c>
      <c r="CI1456" s="129" t="str">
        <f t="shared" si="1059"/>
        <v>11-30 DAYS</v>
      </c>
      <c r="CJ1456" s="137">
        <f t="shared" si="1060"/>
        <v>2</v>
      </c>
      <c r="CK1456" s="129" t="str">
        <f t="shared" si="1061"/>
        <v>Booked</v>
      </c>
    </row>
    <row r="1457" spans="1:89" ht="15.75" customHeight="1" x14ac:dyDescent="0.25">
      <c r="A1457" s="111">
        <v>2953</v>
      </c>
      <c r="B1457" s="128" t="str">
        <f t="shared" si="1042"/>
        <v>N</v>
      </c>
      <c r="C1457" s="128" t="str">
        <f t="shared" si="1043"/>
        <v>Y</v>
      </c>
      <c r="D1457" s="117">
        <v>2043015</v>
      </c>
      <c r="E1457" s="135">
        <f t="shared" si="1044"/>
        <v>6</v>
      </c>
      <c r="F1457" s="124">
        <v>41017</v>
      </c>
      <c r="G1457" s="125">
        <v>41358</v>
      </c>
      <c r="H1457" s="117">
        <v>2043015</v>
      </c>
      <c r="I1457" s="124">
        <v>41018</v>
      </c>
      <c r="J1457" s="124">
        <v>41020</v>
      </c>
      <c r="K1457" s="126">
        <v>15000</v>
      </c>
      <c r="L1457" s="127" t="s">
        <v>571</v>
      </c>
      <c r="M1457" s="125">
        <v>41020</v>
      </c>
      <c r="N1457" s="129" t="str">
        <f t="shared" si="1078"/>
        <v>Y</v>
      </c>
      <c r="O1457" s="128" t="s">
        <v>76</v>
      </c>
      <c r="P1457" s="129" t="s">
        <v>39</v>
      </c>
      <c r="Q1457" s="111">
        <v>14</v>
      </c>
      <c r="R1457" s="111">
        <f t="shared" si="1070"/>
        <v>342</v>
      </c>
      <c r="S1457" s="129">
        <v>2</v>
      </c>
      <c r="T1457" s="129">
        <v>3</v>
      </c>
      <c r="V1457" s="117">
        <v>1</v>
      </c>
      <c r="W1457" s="111"/>
      <c r="AC1457" s="130"/>
      <c r="AD1457" s="130">
        <v>29996</v>
      </c>
      <c r="AE1457" s="128" t="s">
        <v>32</v>
      </c>
      <c r="AF1457" s="128" t="s">
        <v>33</v>
      </c>
      <c r="AG1457" s="128" t="s">
        <v>872</v>
      </c>
      <c r="AH1457" s="108" t="s">
        <v>58</v>
      </c>
      <c r="AI1457" s="128" t="s">
        <v>70</v>
      </c>
      <c r="AJ1457" s="129" t="s">
        <v>89</v>
      </c>
      <c r="AK1457" s="129">
        <v>15</v>
      </c>
      <c r="AL1457" s="3" t="s">
        <v>362</v>
      </c>
      <c r="AM1457" s="117">
        <v>2</v>
      </c>
      <c r="AP1457" s="129" t="s">
        <v>84</v>
      </c>
      <c r="AR1457" s="128" t="s">
        <v>67</v>
      </c>
      <c r="AS1457" s="129" t="s">
        <v>74</v>
      </c>
      <c r="AT1457" s="129" t="s">
        <v>964</v>
      </c>
      <c r="AU1457" s="3" t="s">
        <v>963</v>
      </c>
      <c r="AX1457" s="32" t="s">
        <v>51</v>
      </c>
      <c r="BC1457" s="129" t="s">
        <v>52</v>
      </c>
      <c r="BF1457" s="111">
        <v>14</v>
      </c>
      <c r="BG1457" s="111">
        <f t="shared" si="1072"/>
        <v>341</v>
      </c>
      <c r="BH1457" s="111">
        <f t="shared" si="1039"/>
        <v>342</v>
      </c>
      <c r="BI1457" s="111">
        <f t="shared" si="1040"/>
        <v>30.112021857923498</v>
      </c>
      <c r="BJ1457" s="129">
        <f>(G1457-J1457)+(M1457-G1457)</f>
        <v>0</v>
      </c>
      <c r="BK1457" s="129">
        <f t="shared" si="1041"/>
        <v>-338</v>
      </c>
      <c r="BL1457" s="129" t="str">
        <f t="shared" si="1073"/>
        <v>CONVICTION</v>
      </c>
      <c r="BM1457" s="129" t="s">
        <v>76</v>
      </c>
      <c r="BN1457" s="129" t="s">
        <v>88</v>
      </c>
      <c r="BP1457" s="137" t="str">
        <f t="shared" si="1045"/>
        <v>CONVICTION</v>
      </c>
      <c r="BQ1457" s="128" t="str">
        <f t="shared" si="1046"/>
        <v>Y</v>
      </c>
      <c r="BR1457" s="129" t="s">
        <v>574</v>
      </c>
      <c r="BS1457" s="129" t="str">
        <f t="shared" si="1047"/>
        <v>DISPOSED</v>
      </c>
      <c r="BT1457" s="129" t="str">
        <f t="shared" si="1048"/>
        <v>Y</v>
      </c>
      <c r="BU1457" s="109">
        <f t="shared" si="1056"/>
        <v>4.0935672514619881E-2</v>
      </c>
      <c r="BV1457" s="109">
        <f t="shared" si="1057"/>
        <v>8.7976539589442824E-3</v>
      </c>
      <c r="BW1457" s="109">
        <f t="shared" si="1079"/>
        <v>-3.21380185556756E-2</v>
      </c>
      <c r="BX1457" s="111">
        <f t="shared" si="1049"/>
        <v>0</v>
      </c>
      <c r="BY1457" s="129">
        <f t="shared" si="1050"/>
        <v>-3</v>
      </c>
      <c r="BZ1457" s="111">
        <f t="shared" si="1051"/>
        <v>11</v>
      </c>
      <c r="CA1457" s="138">
        <f t="shared" si="1052"/>
        <v>341</v>
      </c>
      <c r="CB1457" s="111">
        <v>14</v>
      </c>
      <c r="CC1457" s="129">
        <f>G1457-I1457+1</f>
        <v>341</v>
      </c>
      <c r="CD1457" s="129">
        <f>G1457-J1457</f>
        <v>338</v>
      </c>
      <c r="CG1457" s="129" t="str">
        <f t="shared" si="1053"/>
        <v>Y</v>
      </c>
      <c r="CI1457" s="129" t="str">
        <f t="shared" si="1059"/>
        <v>11-30 DAYS</v>
      </c>
      <c r="CJ1457" s="137">
        <f t="shared" si="1060"/>
        <v>2</v>
      </c>
      <c r="CK1457" s="129" t="str">
        <f t="shared" si="1061"/>
        <v>Booked</v>
      </c>
    </row>
    <row r="1458" spans="1:89" ht="15" customHeight="1" x14ac:dyDescent="0.25">
      <c r="A1458" s="111">
        <v>1939</v>
      </c>
      <c r="B1458" s="128" t="str">
        <f t="shared" si="1042"/>
        <v>N</v>
      </c>
      <c r="C1458" s="128" t="str">
        <f t="shared" si="1043"/>
        <v>N</v>
      </c>
      <c r="D1458" s="117">
        <v>2043022</v>
      </c>
      <c r="E1458" s="135">
        <f t="shared" si="1044"/>
        <v>6</v>
      </c>
      <c r="F1458" s="124">
        <v>40981</v>
      </c>
      <c r="G1458" s="125">
        <v>41163</v>
      </c>
      <c r="H1458" s="117">
        <v>2043022</v>
      </c>
      <c r="I1458" s="124">
        <v>40982</v>
      </c>
      <c r="J1458" s="124">
        <v>41163</v>
      </c>
      <c r="K1458" s="126">
        <v>20000</v>
      </c>
      <c r="L1458" s="127" t="s">
        <v>571</v>
      </c>
      <c r="N1458" s="129" t="str">
        <f t="shared" si="1078"/>
        <v>N</v>
      </c>
      <c r="O1458" s="128" t="s">
        <v>917</v>
      </c>
      <c r="P1458" s="129" t="s">
        <v>39</v>
      </c>
      <c r="Q1458" s="111">
        <f t="shared" ref="Q1458:Q1489" si="1080">BF1458</f>
        <v>182</v>
      </c>
      <c r="R1458" s="111">
        <f t="shared" si="1070"/>
        <v>183</v>
      </c>
      <c r="S1458" s="129">
        <v>4</v>
      </c>
      <c r="T1458" s="129">
        <v>6</v>
      </c>
      <c r="U1458" s="129">
        <v>2</v>
      </c>
      <c r="W1458" s="111"/>
      <c r="AC1458" s="130"/>
      <c r="AD1458" s="130">
        <v>30770</v>
      </c>
      <c r="AE1458" s="128" t="s">
        <v>46</v>
      </c>
      <c r="AF1458" s="128" t="s">
        <v>69</v>
      </c>
      <c r="AG1458" s="128" t="s">
        <v>874</v>
      </c>
      <c r="AH1458" s="108" t="s">
        <v>58</v>
      </c>
      <c r="AI1458" s="128" t="s">
        <v>42</v>
      </c>
      <c r="AJ1458" s="129" t="s">
        <v>89</v>
      </c>
      <c r="AK1458" s="129">
        <v>9</v>
      </c>
      <c r="AL1458" s="3" t="s">
        <v>362</v>
      </c>
      <c r="AM1458" s="117">
        <v>2</v>
      </c>
      <c r="AP1458" s="129" t="s">
        <v>132</v>
      </c>
      <c r="AR1458" s="128" t="s">
        <v>92</v>
      </c>
      <c r="AS1458" s="129" t="s">
        <v>82</v>
      </c>
      <c r="BC1458" s="129" t="s">
        <v>38</v>
      </c>
      <c r="BF1458" s="111">
        <f>IF(J1458&gt;1/1/1900,((J1458+1)-I1458),"STILL OPEN")</f>
        <v>182</v>
      </c>
      <c r="BG1458" s="111">
        <f t="shared" si="1072"/>
        <v>182</v>
      </c>
      <c r="BH1458" s="111">
        <f t="shared" si="1039"/>
        <v>183</v>
      </c>
      <c r="BI1458" s="111">
        <f t="shared" si="1040"/>
        <v>27.898907103825138</v>
      </c>
      <c r="BJ1458" s="129">
        <f t="shared" si="1063"/>
        <v>0</v>
      </c>
      <c r="BK1458" s="129">
        <f t="shared" si="1041"/>
        <v>0</v>
      </c>
      <c r="BL1458" s="129" t="str">
        <f t="shared" si="1073"/>
        <v>CONVICTION</v>
      </c>
      <c r="BM1458" s="129" t="str">
        <f t="shared" si="1064"/>
        <v>NONE</v>
      </c>
      <c r="BN1458" s="129" t="s">
        <v>566</v>
      </c>
      <c r="BP1458" s="137" t="str">
        <f t="shared" si="1045"/>
        <v>CONVICTION</v>
      </c>
      <c r="BQ1458" s="128" t="str">
        <f t="shared" si="1046"/>
        <v>Y</v>
      </c>
      <c r="BR1458" s="129" t="str">
        <f t="shared" si="1062"/>
        <v>DETAINED</v>
      </c>
      <c r="BS1458" s="129" t="str">
        <f t="shared" si="1047"/>
        <v>DISPOSED</v>
      </c>
      <c r="BT1458" s="129" t="str">
        <f t="shared" si="1048"/>
        <v>Y</v>
      </c>
      <c r="BU1458" s="109">
        <f t="shared" si="1056"/>
        <v>0.99453551912568305</v>
      </c>
      <c r="BV1458" s="109">
        <f t="shared" si="1057"/>
        <v>1</v>
      </c>
      <c r="BW1458" s="109">
        <f t="shared" si="1079"/>
        <v>5.464480874316946E-3</v>
      </c>
      <c r="BX1458" s="111">
        <f t="shared" si="1049"/>
        <v>0</v>
      </c>
      <c r="BY1458" s="129">
        <f t="shared" si="1050"/>
        <v>-182</v>
      </c>
      <c r="BZ1458" s="111">
        <f t="shared" si="1051"/>
        <v>0</v>
      </c>
      <c r="CA1458" s="138">
        <f t="shared" si="1052"/>
        <v>182</v>
      </c>
      <c r="CB1458" s="111" t="e">
        <f>IF(AF1458&gt;1/1/1900,((AF1458+1)-AE1458),"STILL OPEN")</f>
        <v>#VALUE!</v>
      </c>
      <c r="CC1458" s="129">
        <f>G1458-I1458+1</f>
        <v>182</v>
      </c>
      <c r="CD1458" s="129">
        <f>G1458-J1458</f>
        <v>0</v>
      </c>
      <c r="CG1458" s="129" t="str">
        <f t="shared" si="1053"/>
        <v>Y</v>
      </c>
      <c r="CI1458" s="129" t="str">
        <f t="shared" si="1059"/>
        <v>121-365 DAYS</v>
      </c>
      <c r="CJ1458" s="137">
        <f t="shared" si="1060"/>
        <v>6</v>
      </c>
      <c r="CK1458" s="129" t="str">
        <f t="shared" si="1061"/>
        <v>Booked</v>
      </c>
    </row>
    <row r="1459" spans="1:89" ht="15.75" customHeight="1" x14ac:dyDescent="0.25">
      <c r="A1459" s="111">
        <v>2375</v>
      </c>
      <c r="B1459" s="128" t="str">
        <f t="shared" si="1042"/>
        <v>N</v>
      </c>
      <c r="C1459" s="128" t="str">
        <f t="shared" si="1043"/>
        <v>Y</v>
      </c>
      <c r="D1459" s="117">
        <v>2043628</v>
      </c>
      <c r="E1459" s="135">
        <f t="shared" si="1044"/>
        <v>2</v>
      </c>
      <c r="F1459" s="124">
        <v>40998</v>
      </c>
      <c r="G1459" s="125">
        <v>41703</v>
      </c>
      <c r="H1459" s="117">
        <v>2043628</v>
      </c>
      <c r="I1459" s="124">
        <v>41318</v>
      </c>
      <c r="J1459" s="124">
        <v>41325</v>
      </c>
      <c r="K1459" s="126">
        <v>5000</v>
      </c>
      <c r="L1459" s="127" t="s">
        <v>569</v>
      </c>
      <c r="M1459" s="124">
        <v>41003</v>
      </c>
      <c r="N1459" s="129" t="str">
        <f>IF(M1459&gt;1/1/1,"Y",IF(Q1459="NOT BOOKED","","N"))</f>
        <v>Y</v>
      </c>
      <c r="O1459" s="128" t="s">
        <v>76</v>
      </c>
      <c r="P1459" s="129" t="s">
        <v>589</v>
      </c>
      <c r="Q1459" s="111">
        <v>7</v>
      </c>
      <c r="R1459" s="111">
        <f t="shared" si="1070"/>
        <v>706</v>
      </c>
      <c r="S1459" s="129">
        <v>1</v>
      </c>
      <c r="T1459" s="129">
        <v>3</v>
      </c>
      <c r="V1459" s="117">
        <v>1</v>
      </c>
      <c r="W1459" s="111"/>
      <c r="AC1459" s="130"/>
      <c r="AD1459" s="130">
        <v>31498</v>
      </c>
      <c r="AE1459" s="128" t="s">
        <v>32</v>
      </c>
      <c r="AF1459" s="128" t="s">
        <v>40</v>
      </c>
      <c r="AG1459" s="128" t="s">
        <v>41</v>
      </c>
      <c r="AH1459" s="108" t="s">
        <v>41</v>
      </c>
      <c r="AI1459" s="128" t="s">
        <v>62</v>
      </c>
      <c r="AJ1459" s="129" t="s">
        <v>48</v>
      </c>
      <c r="AK1459" s="129">
        <v>22</v>
      </c>
      <c r="AL1459" s="3" t="s">
        <v>48</v>
      </c>
      <c r="AP1459" s="129" t="s">
        <v>305</v>
      </c>
      <c r="AR1459" s="128" t="s">
        <v>67</v>
      </c>
      <c r="AS1459" s="129" t="s">
        <v>74</v>
      </c>
      <c r="AT1459" s="129" t="s">
        <v>1367</v>
      </c>
      <c r="AU1459" s="3" t="s">
        <v>1171</v>
      </c>
      <c r="AX1459" s="32" t="s">
        <v>88</v>
      </c>
      <c r="BC1459" s="129" t="s">
        <v>52</v>
      </c>
      <c r="BF1459" s="111">
        <v>7</v>
      </c>
      <c r="BG1459" s="111">
        <f t="shared" si="1072"/>
        <v>386</v>
      </c>
      <c r="BH1459" s="111">
        <f t="shared" si="1039"/>
        <v>706</v>
      </c>
      <c r="BI1459" s="111">
        <f t="shared" si="1040"/>
        <v>25.956284153005466</v>
      </c>
      <c r="BJ1459" s="129">
        <f>(G1459-J1459)+(M1459-G1459)</f>
        <v>-322</v>
      </c>
      <c r="BK1459" s="129">
        <f t="shared" si="1041"/>
        <v>-378</v>
      </c>
      <c r="BL1459" s="129" t="str">
        <f t="shared" si="1073"/>
        <v>DEFERRED</v>
      </c>
      <c r="BM1459" s="129" t="s">
        <v>76</v>
      </c>
      <c r="BN1459" s="129" t="s">
        <v>88</v>
      </c>
      <c r="BP1459" s="137" t="str">
        <f t="shared" si="1045"/>
        <v>DEFERRED</v>
      </c>
      <c r="BQ1459" s="128" t="str">
        <f t="shared" si="1046"/>
        <v>Y</v>
      </c>
      <c r="BR1459" s="129" t="s">
        <v>575</v>
      </c>
      <c r="BS1459" s="129" t="s">
        <v>1259</v>
      </c>
      <c r="BT1459" s="129" t="str">
        <f t="shared" si="1048"/>
        <v>Y</v>
      </c>
      <c r="BU1459" s="109">
        <f>IFERROR(Q1459/R1459,BR1459)</f>
        <v>9.9150141643059488E-3</v>
      </c>
      <c r="BV1459" s="139">
        <v>9.9000000000000008E-3</v>
      </c>
      <c r="BW1459" s="109">
        <v>0</v>
      </c>
      <c r="BX1459" s="111">
        <f t="shared" si="1049"/>
        <v>0</v>
      </c>
      <c r="BY1459" s="129">
        <f t="shared" si="1050"/>
        <v>-8</v>
      </c>
      <c r="BZ1459" s="111">
        <f t="shared" si="1051"/>
        <v>-1</v>
      </c>
      <c r="CA1459" s="138">
        <f t="shared" si="1052"/>
        <v>-314</v>
      </c>
      <c r="CB1459" s="111" t="e">
        <v>#VALUE!</v>
      </c>
      <c r="CC1459" s="129">
        <v>7</v>
      </c>
      <c r="CG1459" s="129" t="str">
        <f t="shared" si="1053"/>
        <v>Y</v>
      </c>
      <c r="CH1459" s="129" t="e">
        <v>#N/A</v>
      </c>
      <c r="CI1459" s="129" t="str">
        <f t="shared" si="1059"/>
        <v>0-10 DAYS</v>
      </c>
      <c r="CJ1459" s="137">
        <f t="shared" si="1060"/>
        <v>1</v>
      </c>
      <c r="CK1459" s="129" t="str">
        <f t="shared" si="1061"/>
        <v>Booked</v>
      </c>
    </row>
    <row r="1460" spans="1:89" ht="15" customHeight="1" x14ac:dyDescent="0.25">
      <c r="A1460" s="111">
        <v>3013</v>
      </c>
      <c r="B1460" s="128" t="str">
        <f t="shared" si="1042"/>
        <v>N</v>
      </c>
      <c r="C1460" s="128" t="str">
        <f t="shared" si="1043"/>
        <v>Y</v>
      </c>
      <c r="D1460" s="117">
        <v>2044068</v>
      </c>
      <c r="E1460" s="135">
        <f t="shared" si="1044"/>
        <v>5</v>
      </c>
      <c r="F1460" s="124">
        <v>41020</v>
      </c>
      <c r="G1460" s="125">
        <v>41159</v>
      </c>
      <c r="H1460" s="117">
        <v>2044068</v>
      </c>
      <c r="I1460" s="124">
        <v>41020</v>
      </c>
      <c r="J1460" s="124">
        <v>41027</v>
      </c>
      <c r="K1460" s="126">
        <v>20000</v>
      </c>
      <c r="L1460" s="127" t="s">
        <v>571</v>
      </c>
      <c r="M1460" s="125">
        <v>41027</v>
      </c>
      <c r="N1460" s="129" t="str">
        <f>IF(M1460&gt;1/1/1,"Y","N")</f>
        <v>Y</v>
      </c>
      <c r="O1460" s="128" t="s">
        <v>585</v>
      </c>
      <c r="P1460" s="129" t="s">
        <v>39</v>
      </c>
      <c r="Q1460" s="111">
        <v>44</v>
      </c>
      <c r="R1460" s="111">
        <f t="shared" si="1070"/>
        <v>140</v>
      </c>
      <c r="S1460" s="129">
        <v>0</v>
      </c>
      <c r="T1460" s="129">
        <v>1</v>
      </c>
      <c r="W1460" s="111"/>
      <c r="AC1460" s="130"/>
      <c r="AD1460" s="130">
        <v>28929</v>
      </c>
      <c r="AE1460" s="128" t="s">
        <v>32</v>
      </c>
      <c r="AF1460" s="128" t="s">
        <v>33</v>
      </c>
      <c r="AG1460" s="128" t="s">
        <v>872</v>
      </c>
      <c r="AH1460" s="108" t="s">
        <v>31</v>
      </c>
      <c r="AI1460" s="128" t="s">
        <v>70</v>
      </c>
      <c r="AJ1460" s="129" t="s">
        <v>89</v>
      </c>
      <c r="AK1460" s="129">
        <v>8</v>
      </c>
      <c r="AL1460" s="3" t="s">
        <v>992</v>
      </c>
      <c r="AN1460" s="117">
        <v>6</v>
      </c>
      <c r="AP1460" s="129" t="s">
        <v>43</v>
      </c>
      <c r="AR1460" s="128" t="s">
        <v>44</v>
      </c>
      <c r="AS1460" s="129" t="s">
        <v>45</v>
      </c>
      <c r="AU1460" s="3" t="s">
        <v>789</v>
      </c>
      <c r="AX1460" s="32" t="s">
        <v>88</v>
      </c>
      <c r="BC1460" s="129" t="s">
        <v>52</v>
      </c>
      <c r="BF1460" s="111">
        <v>44</v>
      </c>
      <c r="BG1460" s="111">
        <f t="shared" si="1072"/>
        <v>140</v>
      </c>
      <c r="BH1460" s="111">
        <f t="shared" si="1039"/>
        <v>140</v>
      </c>
      <c r="BI1460" s="111">
        <f t="shared" si="1040"/>
        <v>33.035519125683059</v>
      </c>
      <c r="BJ1460" s="129">
        <f>(G1460-J1460)+(M1460-G1460)</f>
        <v>0</v>
      </c>
      <c r="BK1460" s="129">
        <f t="shared" si="1041"/>
        <v>-132</v>
      </c>
      <c r="BL1460" s="129" t="str">
        <f t="shared" si="1073"/>
        <v>CONVICTION</v>
      </c>
      <c r="BM1460" s="129" t="s">
        <v>76</v>
      </c>
      <c r="BN1460" s="129" t="s">
        <v>88</v>
      </c>
      <c r="BP1460" s="137" t="str">
        <f t="shared" si="1045"/>
        <v>CONVICTION</v>
      </c>
      <c r="BQ1460" s="128" t="str">
        <f t="shared" si="1046"/>
        <v>Y</v>
      </c>
      <c r="BR1460" s="129" t="s">
        <v>574</v>
      </c>
      <c r="BS1460" s="129" t="str">
        <f t="shared" si="1047"/>
        <v>DISPOSED</v>
      </c>
      <c r="BT1460" s="129" t="str">
        <f t="shared" si="1048"/>
        <v>N</v>
      </c>
      <c r="BU1460" s="109">
        <f t="shared" si="1056"/>
        <v>0.31428571428571428</v>
      </c>
      <c r="BV1460" s="109">
        <f t="shared" si="1057"/>
        <v>5.7142857142857141E-2</v>
      </c>
      <c r="BW1460" s="109">
        <f t="shared" ref="BW1460:BW1495" si="1081">BV1460-BU1460</f>
        <v>-0.25714285714285712</v>
      </c>
      <c r="BX1460" s="111">
        <f t="shared" si="1049"/>
        <v>0</v>
      </c>
      <c r="BY1460" s="129">
        <f t="shared" si="1050"/>
        <v>-8</v>
      </c>
      <c r="BZ1460" s="111">
        <f t="shared" si="1051"/>
        <v>36</v>
      </c>
      <c r="CA1460" s="138">
        <f t="shared" si="1052"/>
        <v>140</v>
      </c>
      <c r="CB1460" s="111">
        <v>44</v>
      </c>
      <c r="CC1460" s="129">
        <f>G1460-I1460+1</f>
        <v>140</v>
      </c>
      <c r="CD1460" s="129">
        <f>G1460-J1460</f>
        <v>132</v>
      </c>
      <c r="CG1460" s="129" t="str">
        <f t="shared" si="1053"/>
        <v>Y</v>
      </c>
      <c r="CI1460" s="129" t="str">
        <f t="shared" si="1059"/>
        <v>31-60 DAYS</v>
      </c>
      <c r="CJ1460" s="137">
        <f t="shared" si="1060"/>
        <v>3</v>
      </c>
      <c r="CK1460" s="129" t="str">
        <f t="shared" si="1061"/>
        <v>Booked</v>
      </c>
    </row>
    <row r="1461" spans="1:89" ht="15" customHeight="1" x14ac:dyDescent="0.25">
      <c r="A1461" s="111">
        <v>668</v>
      </c>
      <c r="B1461" s="128" t="str">
        <f t="shared" si="1042"/>
        <v>N</v>
      </c>
      <c r="C1461" s="128" t="str">
        <f t="shared" si="1043"/>
        <v>N</v>
      </c>
      <c r="D1461" s="117">
        <v>2044088</v>
      </c>
      <c r="E1461" s="135">
        <f t="shared" si="1044"/>
        <v>5</v>
      </c>
      <c r="F1461" s="124">
        <v>40935</v>
      </c>
      <c r="G1461" s="125">
        <v>40991</v>
      </c>
      <c r="H1461" s="117">
        <v>2044088</v>
      </c>
      <c r="I1461" s="124">
        <v>40935</v>
      </c>
      <c r="J1461" s="124">
        <v>40991</v>
      </c>
      <c r="K1461" s="126">
        <v>15000</v>
      </c>
      <c r="L1461" s="127" t="s">
        <v>571</v>
      </c>
      <c r="N1461" s="129" t="str">
        <f>IF(M1461&gt;1/1/1,"Y","N")</f>
        <v>N</v>
      </c>
      <c r="O1461" s="128" t="s">
        <v>917</v>
      </c>
      <c r="P1461" s="129" t="s">
        <v>39</v>
      </c>
      <c r="Q1461" s="111">
        <f t="shared" si="1080"/>
        <v>57</v>
      </c>
      <c r="R1461" s="111">
        <f t="shared" si="1070"/>
        <v>57</v>
      </c>
      <c r="S1461" s="129">
        <v>4</v>
      </c>
      <c r="T1461" s="129">
        <v>0</v>
      </c>
      <c r="U1461" s="129">
        <v>1</v>
      </c>
      <c r="W1461" s="111"/>
      <c r="AC1461" s="130"/>
      <c r="AD1461" s="130">
        <v>25851</v>
      </c>
      <c r="AE1461" s="128" t="s">
        <v>46</v>
      </c>
      <c r="AF1461" s="128" t="s">
        <v>40</v>
      </c>
      <c r="AG1461" s="128" t="s">
        <v>41</v>
      </c>
      <c r="AH1461" s="108" t="s">
        <v>41</v>
      </c>
      <c r="AI1461" s="128" t="s">
        <v>34</v>
      </c>
      <c r="AJ1461" s="129" t="s">
        <v>89</v>
      </c>
      <c r="AK1461" s="129">
        <v>3</v>
      </c>
      <c r="AL1461" s="3" t="s">
        <v>992</v>
      </c>
      <c r="AN1461" s="117">
        <v>6</v>
      </c>
      <c r="AP1461" s="129" t="s">
        <v>43</v>
      </c>
      <c r="AR1461" s="128" t="s">
        <v>44</v>
      </c>
      <c r="AS1461" s="129" t="s">
        <v>45</v>
      </c>
      <c r="BC1461" s="129" t="s">
        <v>38</v>
      </c>
      <c r="BF1461" s="111">
        <f t="shared" ref="BF1461:BF1476" si="1082">IF(J1461&gt;1/1/1900,((J1461+1)-I1461),"STILL OPEN")</f>
        <v>57</v>
      </c>
      <c r="BG1461" s="111">
        <f t="shared" si="1072"/>
        <v>57</v>
      </c>
      <c r="BH1461" s="111">
        <f t="shared" si="1039"/>
        <v>57</v>
      </c>
      <c r="BI1461" s="111">
        <f t="shared" si="1040"/>
        <v>41.213114754098363</v>
      </c>
      <c r="BJ1461" s="129">
        <f t="shared" si="1063"/>
        <v>0</v>
      </c>
      <c r="BK1461" s="129">
        <f t="shared" si="1041"/>
        <v>0</v>
      </c>
      <c r="BL1461" s="129" t="str">
        <f t="shared" si="1073"/>
        <v>CONVICTION</v>
      </c>
      <c r="BM1461" s="129" t="str">
        <f t="shared" si="1064"/>
        <v>NONE</v>
      </c>
      <c r="BN1461" s="129" t="s">
        <v>566</v>
      </c>
      <c r="BP1461" s="137" t="str">
        <f t="shared" si="1045"/>
        <v>CONVICTION</v>
      </c>
      <c r="BQ1461" s="128" t="str">
        <f t="shared" si="1046"/>
        <v>Y</v>
      </c>
      <c r="BR1461" s="129" t="str">
        <f t="shared" si="1062"/>
        <v>DETAINED</v>
      </c>
      <c r="BS1461" s="129" t="str">
        <f t="shared" si="1047"/>
        <v>DISPOSED</v>
      </c>
      <c r="BT1461" s="129" t="str">
        <f t="shared" si="1048"/>
        <v>Y</v>
      </c>
      <c r="BU1461" s="109">
        <f t="shared" si="1056"/>
        <v>1</v>
      </c>
      <c r="BV1461" s="109">
        <f t="shared" si="1057"/>
        <v>1</v>
      </c>
      <c r="BW1461" s="109">
        <f t="shared" si="1081"/>
        <v>0</v>
      </c>
      <c r="BX1461" s="111">
        <f t="shared" si="1049"/>
        <v>0</v>
      </c>
      <c r="BY1461" s="129">
        <f t="shared" si="1050"/>
        <v>-57</v>
      </c>
      <c r="BZ1461" s="111">
        <f t="shared" si="1051"/>
        <v>0</v>
      </c>
      <c r="CA1461" s="138">
        <f t="shared" si="1052"/>
        <v>57</v>
      </c>
      <c r="CB1461" s="111" t="e">
        <f t="shared" ref="CB1461:CB1476" si="1083">IF(AF1461&gt;1/1/1900,((AF1461+1)-AE1461),"STILL OPEN")</f>
        <v>#VALUE!</v>
      </c>
      <c r="CC1461" s="129">
        <f>G1461-I1461+1</f>
        <v>57</v>
      </c>
      <c r="CD1461" s="129">
        <f>G1461-J1461</f>
        <v>0</v>
      </c>
      <c r="CG1461" s="129" t="str">
        <f t="shared" si="1053"/>
        <v>Y</v>
      </c>
      <c r="CI1461" s="129" t="str">
        <f t="shared" si="1059"/>
        <v>31-60 DAYS</v>
      </c>
      <c r="CJ1461" s="137">
        <f t="shared" si="1060"/>
        <v>3</v>
      </c>
      <c r="CK1461" s="129" t="str">
        <f t="shared" si="1061"/>
        <v>Booked</v>
      </c>
    </row>
    <row r="1462" spans="1:89" ht="15.75" customHeight="1" x14ac:dyDescent="0.25">
      <c r="A1462" s="111">
        <v>575</v>
      </c>
      <c r="B1462" s="128" t="str">
        <f t="shared" si="1042"/>
        <v>Y</v>
      </c>
      <c r="C1462" s="128" t="str">
        <f t="shared" si="1043"/>
        <v>N</v>
      </c>
      <c r="D1462" s="117">
        <v>2044206</v>
      </c>
      <c r="E1462" s="135">
        <f t="shared" si="1044"/>
        <v>2</v>
      </c>
      <c r="F1462" s="124">
        <v>40932</v>
      </c>
      <c r="G1462" s="125">
        <v>40934</v>
      </c>
      <c r="H1462" s="117">
        <v>2044206</v>
      </c>
      <c r="I1462" s="124">
        <v>40932</v>
      </c>
      <c r="J1462" s="124">
        <v>40934</v>
      </c>
      <c r="K1462" s="126">
        <v>2000</v>
      </c>
      <c r="L1462" s="127" t="s">
        <v>568</v>
      </c>
      <c r="N1462" s="129" t="str">
        <f>IF(M1462&gt;1/1/1,"Y","N")</f>
        <v>N</v>
      </c>
      <c r="O1462" s="128" t="s">
        <v>917</v>
      </c>
      <c r="P1462" s="129" t="s">
        <v>589</v>
      </c>
      <c r="Q1462" s="111">
        <f t="shared" si="1080"/>
        <v>3</v>
      </c>
      <c r="R1462" s="111">
        <f t="shared" si="1070"/>
        <v>3</v>
      </c>
      <c r="S1462" s="129">
        <v>0</v>
      </c>
      <c r="T1462" s="129">
        <v>3</v>
      </c>
      <c r="W1462" s="111"/>
      <c r="AC1462" s="130"/>
      <c r="AD1462" s="130">
        <v>30528</v>
      </c>
      <c r="AE1462" s="128" t="s">
        <v>46</v>
      </c>
      <c r="AF1462" s="128" t="s">
        <v>40</v>
      </c>
      <c r="AG1462" s="128" t="s">
        <v>41</v>
      </c>
      <c r="AH1462" s="108" t="s">
        <v>41</v>
      </c>
      <c r="AI1462" s="128" t="s">
        <v>34</v>
      </c>
      <c r="AJ1462" s="129" t="s">
        <v>48</v>
      </c>
      <c r="AK1462" s="129">
        <v>2</v>
      </c>
      <c r="AL1462" s="3" t="s">
        <v>48</v>
      </c>
      <c r="AP1462" s="129" t="s">
        <v>60</v>
      </c>
      <c r="AR1462" s="128" t="s">
        <v>44</v>
      </c>
      <c r="AS1462" s="129" t="s">
        <v>61</v>
      </c>
      <c r="AT1462" s="3" t="s">
        <v>225</v>
      </c>
      <c r="BC1462" s="129" t="s">
        <v>38</v>
      </c>
      <c r="BD1462" s="3" t="s">
        <v>225</v>
      </c>
      <c r="BF1462" s="111">
        <f t="shared" si="1082"/>
        <v>3</v>
      </c>
      <c r="BG1462" s="111">
        <f t="shared" si="1072"/>
        <v>3</v>
      </c>
      <c r="BH1462" s="111">
        <f t="shared" si="1039"/>
        <v>3</v>
      </c>
      <c r="BI1462" s="111">
        <f t="shared" si="1040"/>
        <v>28.42622950819672</v>
      </c>
      <c r="BJ1462" s="129">
        <f t="shared" si="1063"/>
        <v>0</v>
      </c>
      <c r="BK1462" s="129">
        <f t="shared" si="1041"/>
        <v>0</v>
      </c>
      <c r="BL1462" s="129" t="str">
        <f t="shared" si="1073"/>
        <v>DEFERRED</v>
      </c>
      <c r="BM1462" s="129" t="str">
        <f t="shared" si="1064"/>
        <v>NONE</v>
      </c>
      <c r="BN1462" s="129" t="s">
        <v>566</v>
      </c>
      <c r="BP1462" s="137" t="str">
        <f t="shared" si="1045"/>
        <v>DEFERRED</v>
      </c>
      <c r="BQ1462" s="128" t="str">
        <f t="shared" si="1046"/>
        <v>Y</v>
      </c>
      <c r="BR1462" s="129" t="str">
        <f t="shared" si="1062"/>
        <v>DETAINED</v>
      </c>
      <c r="BS1462" s="129" t="str">
        <f t="shared" si="1047"/>
        <v>DISPOSED</v>
      </c>
      <c r="BT1462" s="129" t="str">
        <f t="shared" si="1048"/>
        <v>N</v>
      </c>
      <c r="BU1462" s="109">
        <f t="shared" si="1056"/>
        <v>1</v>
      </c>
      <c r="BV1462" s="109">
        <f t="shared" si="1057"/>
        <v>1</v>
      </c>
      <c r="BW1462" s="109">
        <f t="shared" si="1081"/>
        <v>0</v>
      </c>
      <c r="BX1462" s="111">
        <f t="shared" si="1049"/>
        <v>0</v>
      </c>
      <c r="BY1462" s="129">
        <f t="shared" si="1050"/>
        <v>-3</v>
      </c>
      <c r="BZ1462" s="111">
        <f t="shared" si="1051"/>
        <v>0</v>
      </c>
      <c r="CA1462" s="138">
        <f t="shared" si="1052"/>
        <v>3</v>
      </c>
      <c r="CB1462" s="111" t="e">
        <f t="shared" si="1083"/>
        <v>#VALUE!</v>
      </c>
      <c r="CC1462" s="129">
        <f>G1462-I1462+1</f>
        <v>3</v>
      </c>
      <c r="CD1462" s="129">
        <f>G1462-J1462</f>
        <v>0</v>
      </c>
      <c r="CG1462" s="129" t="str">
        <f t="shared" si="1053"/>
        <v>Y</v>
      </c>
      <c r="CI1462" s="129" t="str">
        <f t="shared" si="1059"/>
        <v>0-10 DAYS</v>
      </c>
      <c r="CJ1462" s="137">
        <f t="shared" si="1060"/>
        <v>1</v>
      </c>
      <c r="CK1462" s="129" t="str">
        <f t="shared" si="1061"/>
        <v>Booked</v>
      </c>
    </row>
    <row r="1463" spans="1:89" ht="15.75" customHeight="1" x14ac:dyDescent="0.25">
      <c r="A1463" s="111">
        <v>3254</v>
      </c>
      <c r="B1463" s="128" t="str">
        <f t="shared" si="1042"/>
        <v>N</v>
      </c>
      <c r="C1463" s="128" t="str">
        <f t="shared" si="1043"/>
        <v>N</v>
      </c>
      <c r="D1463" s="117">
        <v>2044894</v>
      </c>
      <c r="E1463" s="135">
        <f t="shared" si="1044"/>
        <v>2</v>
      </c>
      <c r="F1463" s="124">
        <v>41029</v>
      </c>
      <c r="G1463" s="125">
        <v>41170</v>
      </c>
      <c r="H1463" s="117">
        <v>2044894</v>
      </c>
      <c r="I1463" s="124">
        <v>41029</v>
      </c>
      <c r="J1463" s="124">
        <v>41030</v>
      </c>
      <c r="K1463" s="126">
        <v>5000</v>
      </c>
      <c r="L1463" s="127" t="s">
        <v>569</v>
      </c>
      <c r="M1463" s="124">
        <v>41030</v>
      </c>
      <c r="N1463" s="129" t="str">
        <f>IF(M1463&gt;1/1/1,"Y","N")</f>
        <v>Y</v>
      </c>
      <c r="O1463" s="128" t="s">
        <v>76</v>
      </c>
      <c r="P1463" s="129" t="s">
        <v>589</v>
      </c>
      <c r="Q1463" s="111">
        <f t="shared" si="1080"/>
        <v>2</v>
      </c>
      <c r="R1463" s="111">
        <f t="shared" si="1070"/>
        <v>142</v>
      </c>
      <c r="S1463" s="129">
        <v>1</v>
      </c>
      <c r="T1463" s="129">
        <v>1</v>
      </c>
      <c r="U1463" s="129">
        <v>1</v>
      </c>
      <c r="W1463" s="111"/>
      <c r="AB1463" s="131" t="s">
        <v>112</v>
      </c>
      <c r="AC1463" s="130"/>
      <c r="AD1463" s="130">
        <v>26645</v>
      </c>
      <c r="AE1463" s="128" t="s">
        <v>46</v>
      </c>
      <c r="AF1463" s="128" t="s">
        <v>40</v>
      </c>
      <c r="AG1463" s="128" t="s">
        <v>41</v>
      </c>
      <c r="AH1463" s="108" t="s">
        <v>31</v>
      </c>
      <c r="AI1463" s="128" t="s">
        <v>85</v>
      </c>
      <c r="AJ1463" s="129" t="s">
        <v>48</v>
      </c>
      <c r="AK1463" s="129">
        <v>6</v>
      </c>
      <c r="AL1463" s="3" t="s">
        <v>48</v>
      </c>
      <c r="AP1463" s="129" t="s">
        <v>104</v>
      </c>
      <c r="AR1463" s="128" t="s">
        <v>44</v>
      </c>
      <c r="AS1463" s="129" t="s">
        <v>64</v>
      </c>
      <c r="BC1463" s="129" t="s">
        <v>52</v>
      </c>
      <c r="BF1463" s="111">
        <f t="shared" si="1082"/>
        <v>2</v>
      </c>
      <c r="BG1463" s="111">
        <f t="shared" si="1072"/>
        <v>142</v>
      </c>
      <c r="BH1463" s="111">
        <f t="shared" si="1039"/>
        <v>142</v>
      </c>
      <c r="BI1463" s="111">
        <f t="shared" si="1040"/>
        <v>39.300546448087431</v>
      </c>
      <c r="BJ1463" s="129">
        <f>(G1463-J1463)+(M1463-G1463)</f>
        <v>0</v>
      </c>
      <c r="BK1463" s="129">
        <f t="shared" si="1041"/>
        <v>-140</v>
      </c>
      <c r="BL1463" s="129" t="str">
        <f t="shared" si="1073"/>
        <v>DEFERRED</v>
      </c>
      <c r="BM1463" s="129" t="s">
        <v>76</v>
      </c>
      <c r="BN1463" s="129" t="s">
        <v>88</v>
      </c>
      <c r="BP1463" s="137" t="str">
        <f t="shared" si="1045"/>
        <v>DEFERRED</v>
      </c>
      <c r="BQ1463" s="128" t="str">
        <f t="shared" si="1046"/>
        <v>Y</v>
      </c>
      <c r="BR1463" s="129" t="str">
        <f t="shared" si="1062"/>
        <v>ON BOND</v>
      </c>
      <c r="BS1463" s="129" t="str">
        <f t="shared" si="1047"/>
        <v>DISPOSED</v>
      </c>
      <c r="BT1463" s="129" t="str">
        <f t="shared" si="1048"/>
        <v>Y</v>
      </c>
      <c r="BU1463" s="109">
        <f t="shared" si="1056"/>
        <v>1.4084507042253521E-2</v>
      </c>
      <c r="BV1463" s="109">
        <f t="shared" si="1057"/>
        <v>1.4084507042253521E-2</v>
      </c>
      <c r="BW1463" s="109">
        <f t="shared" si="1081"/>
        <v>0</v>
      </c>
      <c r="BX1463" s="111">
        <f t="shared" si="1049"/>
        <v>0</v>
      </c>
      <c r="BY1463" s="129">
        <f t="shared" si="1050"/>
        <v>-2</v>
      </c>
      <c r="BZ1463" s="111">
        <f t="shared" si="1051"/>
        <v>0</v>
      </c>
      <c r="CA1463" s="138">
        <f t="shared" si="1052"/>
        <v>2</v>
      </c>
      <c r="CB1463" s="111" t="e">
        <f t="shared" si="1083"/>
        <v>#VALUE!</v>
      </c>
      <c r="CC1463" s="129">
        <f>M1463-I1463+1</f>
        <v>2</v>
      </c>
      <c r="CD1463" s="111">
        <f>CC1463-BF1463</f>
        <v>0</v>
      </c>
      <c r="CG1463" s="129" t="str">
        <f t="shared" si="1053"/>
        <v>Y</v>
      </c>
      <c r="CI1463" s="129" t="str">
        <f t="shared" si="1059"/>
        <v>0-10 DAYS</v>
      </c>
      <c r="CJ1463" s="137">
        <f t="shared" si="1060"/>
        <v>1</v>
      </c>
      <c r="CK1463" s="129" t="str">
        <f t="shared" si="1061"/>
        <v>Booked</v>
      </c>
    </row>
    <row r="1464" spans="1:89" ht="15.75" customHeight="1" x14ac:dyDescent="0.25">
      <c r="A1464" s="111">
        <v>376</v>
      </c>
      <c r="B1464" s="128" t="str">
        <f t="shared" si="1042"/>
        <v>N</v>
      </c>
      <c r="C1464" s="128" t="str">
        <f t="shared" si="1043"/>
        <v>N</v>
      </c>
      <c r="D1464" s="117">
        <v>2045238</v>
      </c>
      <c r="E1464" s="135">
        <f t="shared" si="1044"/>
        <v>1</v>
      </c>
      <c r="F1464" s="124">
        <v>40924</v>
      </c>
      <c r="G1464" s="125">
        <v>40991</v>
      </c>
      <c r="H1464" s="117">
        <v>2045238</v>
      </c>
      <c r="I1464" s="124">
        <v>40925</v>
      </c>
      <c r="J1464" s="124">
        <v>40991</v>
      </c>
      <c r="K1464" s="126" t="s">
        <v>564</v>
      </c>
      <c r="L1464" s="127" t="s">
        <v>564</v>
      </c>
      <c r="N1464" s="129" t="s">
        <v>566</v>
      </c>
      <c r="O1464" s="128" t="s">
        <v>917</v>
      </c>
      <c r="P1464" s="129" t="s">
        <v>55</v>
      </c>
      <c r="Q1464" s="111">
        <f t="shared" si="1080"/>
        <v>67</v>
      </c>
      <c r="R1464" s="111">
        <f t="shared" si="1070"/>
        <v>68</v>
      </c>
      <c r="S1464" s="129">
        <v>0</v>
      </c>
      <c r="T1464" s="129">
        <v>0</v>
      </c>
      <c r="W1464" s="111"/>
      <c r="AB1464" s="131" t="s">
        <v>112</v>
      </c>
      <c r="AC1464" s="130"/>
      <c r="AD1464" s="130">
        <v>25455</v>
      </c>
      <c r="AE1464" s="128" t="s">
        <v>32</v>
      </c>
      <c r="AF1464" s="128" t="s">
        <v>40</v>
      </c>
      <c r="AG1464" s="128" t="s">
        <v>41</v>
      </c>
      <c r="AH1464" s="108" t="s">
        <v>31</v>
      </c>
      <c r="AI1464" s="128" t="s">
        <v>90</v>
      </c>
      <c r="AJ1464" s="129" t="s">
        <v>55</v>
      </c>
      <c r="AK1464" s="129">
        <v>6</v>
      </c>
      <c r="AL1464" s="3" t="s">
        <v>55</v>
      </c>
      <c r="AP1464" s="129" t="s">
        <v>149</v>
      </c>
      <c r="AR1464" s="128" t="s">
        <v>92</v>
      </c>
      <c r="AS1464" s="129" t="s">
        <v>82</v>
      </c>
      <c r="BC1464" s="129" t="s">
        <v>99</v>
      </c>
      <c r="BF1464" s="111">
        <f t="shared" si="1082"/>
        <v>67</v>
      </c>
      <c r="BG1464" s="111">
        <f t="shared" si="1072"/>
        <v>67</v>
      </c>
      <c r="BH1464" s="111">
        <f t="shared" si="1039"/>
        <v>68</v>
      </c>
      <c r="BI1464" s="111">
        <f t="shared" si="1040"/>
        <v>42.265027322404372</v>
      </c>
      <c r="BJ1464" s="129">
        <f t="shared" si="1063"/>
        <v>0</v>
      </c>
      <c r="BK1464" s="129">
        <f t="shared" si="1041"/>
        <v>0</v>
      </c>
      <c r="BL1464" s="129" t="str">
        <f t="shared" si="1073"/>
        <v>NO CONVICTION</v>
      </c>
      <c r="BM1464" s="129" t="str">
        <f t="shared" si="1064"/>
        <v>NONE</v>
      </c>
      <c r="BN1464" s="129" t="s">
        <v>566</v>
      </c>
      <c r="BP1464" s="137" t="str">
        <f t="shared" si="1045"/>
        <v>NO CONVICTION</v>
      </c>
      <c r="BQ1464" s="128" t="str">
        <f t="shared" si="1046"/>
        <v>Y</v>
      </c>
      <c r="BR1464" s="129" t="str">
        <f t="shared" si="1062"/>
        <v>DETAINED</v>
      </c>
      <c r="BS1464" s="129" t="str">
        <f t="shared" si="1047"/>
        <v>DISPOSED</v>
      </c>
      <c r="BT1464" s="129" t="str">
        <f t="shared" si="1048"/>
        <v>N</v>
      </c>
      <c r="BU1464" s="109">
        <f>IFERROR(Q1464/R1464,BR1464)</f>
        <v>0.98529411764705888</v>
      </c>
      <c r="BV1464" s="109">
        <f t="shared" si="1057"/>
        <v>1</v>
      </c>
      <c r="BW1464" s="109">
        <f t="shared" si="1081"/>
        <v>1.4705882352941124E-2</v>
      </c>
      <c r="BX1464" s="111">
        <f t="shared" si="1049"/>
        <v>0</v>
      </c>
      <c r="BY1464" s="129">
        <f t="shared" si="1050"/>
        <v>-67</v>
      </c>
      <c r="BZ1464" s="111">
        <f t="shared" si="1051"/>
        <v>0</v>
      </c>
      <c r="CA1464" s="138">
        <f t="shared" si="1052"/>
        <v>67</v>
      </c>
      <c r="CB1464" s="111" t="e">
        <f t="shared" si="1083"/>
        <v>#VALUE!</v>
      </c>
      <c r="CC1464" s="129">
        <f>G1464-I1464+1</f>
        <v>67</v>
      </c>
      <c r="CD1464" s="129">
        <f>G1464-J1464</f>
        <v>0</v>
      </c>
      <c r="CG1464" s="129" t="str">
        <f t="shared" si="1053"/>
        <v>N</v>
      </c>
      <c r="CI1464" s="129" t="str">
        <f t="shared" si="1059"/>
        <v>61-90 DAYS</v>
      </c>
      <c r="CJ1464" s="137">
        <f t="shared" si="1060"/>
        <v>4</v>
      </c>
      <c r="CK1464" s="129" t="str">
        <f t="shared" si="1061"/>
        <v>Booked</v>
      </c>
    </row>
    <row r="1465" spans="1:89" ht="15" customHeight="1" x14ac:dyDescent="0.25">
      <c r="A1465" s="111">
        <v>2200</v>
      </c>
      <c r="B1465" s="128" t="str">
        <f t="shared" si="1042"/>
        <v>N</v>
      </c>
      <c r="C1465" s="128" t="str">
        <f t="shared" si="1043"/>
        <v>N</v>
      </c>
      <c r="D1465" s="117">
        <v>2045307</v>
      </c>
      <c r="E1465" s="135">
        <f t="shared" si="1044"/>
        <v>1</v>
      </c>
      <c r="F1465" s="124">
        <v>40991</v>
      </c>
      <c r="G1465" s="125">
        <v>41033</v>
      </c>
      <c r="H1465" s="117">
        <v>2045307</v>
      </c>
      <c r="I1465" s="124">
        <v>40992</v>
      </c>
      <c r="J1465" s="124">
        <v>41005</v>
      </c>
      <c r="K1465" s="113">
        <v>100000</v>
      </c>
      <c r="L1465" s="129" t="s">
        <v>572</v>
      </c>
      <c r="M1465" s="125">
        <v>41005</v>
      </c>
      <c r="N1465" s="129" t="str">
        <f t="shared" ref="N1465:N1473" si="1084">IF(M1465&gt;1/1/1,"Y","N")</f>
        <v>Y</v>
      </c>
      <c r="O1465" s="128" t="s">
        <v>76</v>
      </c>
      <c r="P1465" s="129" t="s">
        <v>55</v>
      </c>
      <c r="Q1465" s="111">
        <f t="shared" si="1080"/>
        <v>14</v>
      </c>
      <c r="R1465" s="111">
        <f t="shared" si="1070"/>
        <v>43</v>
      </c>
      <c r="S1465" s="129">
        <v>4</v>
      </c>
      <c r="T1465" s="129">
        <v>0</v>
      </c>
      <c r="U1465" s="129">
        <v>2</v>
      </c>
      <c r="W1465" s="111"/>
      <c r="AC1465" s="130"/>
      <c r="AD1465" s="130">
        <v>29279</v>
      </c>
      <c r="AE1465" s="128" t="s">
        <v>32</v>
      </c>
      <c r="AF1465" s="128" t="s">
        <v>40</v>
      </c>
      <c r="AG1465" s="128" t="s">
        <v>41</v>
      </c>
      <c r="AH1465" s="108" t="s">
        <v>41</v>
      </c>
      <c r="AI1465" s="128" t="s">
        <v>65</v>
      </c>
      <c r="AJ1465" s="129" t="s">
        <v>55</v>
      </c>
      <c r="AK1465" s="129">
        <v>4</v>
      </c>
      <c r="AL1465" s="3" t="s">
        <v>55</v>
      </c>
      <c r="AP1465" s="129" t="s">
        <v>132</v>
      </c>
      <c r="AR1465" s="128" t="s">
        <v>92</v>
      </c>
      <c r="AS1465" s="129" t="s">
        <v>82</v>
      </c>
      <c r="BC1465" s="129" t="s">
        <v>52</v>
      </c>
      <c r="BF1465" s="111">
        <f t="shared" si="1082"/>
        <v>14</v>
      </c>
      <c r="BG1465" s="111">
        <f t="shared" si="1072"/>
        <v>42</v>
      </c>
      <c r="BH1465" s="111">
        <f t="shared" si="1039"/>
        <v>43</v>
      </c>
      <c r="BI1465" s="111">
        <f t="shared" si="1040"/>
        <v>32</v>
      </c>
      <c r="BJ1465" s="129">
        <f>(G1465-J1465)+(M1465-G1465)</f>
        <v>0</v>
      </c>
      <c r="BK1465" s="129">
        <f t="shared" si="1041"/>
        <v>-28</v>
      </c>
      <c r="BL1465" s="129" t="str">
        <f t="shared" si="1073"/>
        <v>NO CONVICTION</v>
      </c>
      <c r="BM1465" s="129" t="s">
        <v>76</v>
      </c>
      <c r="BN1465" s="129" t="s">
        <v>88</v>
      </c>
      <c r="BP1465" s="137" t="str">
        <f t="shared" si="1045"/>
        <v>NO CONVICTION</v>
      </c>
      <c r="BQ1465" s="128" t="str">
        <f t="shared" si="1046"/>
        <v>Y</v>
      </c>
      <c r="BR1465" s="129" t="str">
        <f t="shared" si="1062"/>
        <v>ON BOND</v>
      </c>
      <c r="BS1465" s="129" t="str">
        <f t="shared" si="1047"/>
        <v>DISPOSED</v>
      </c>
      <c r="BT1465" s="129" t="str">
        <f t="shared" si="1048"/>
        <v>Y</v>
      </c>
      <c r="BU1465" s="109">
        <f>IFERROR(Q1465/R1465,BR1465)</f>
        <v>0.32558139534883723</v>
      </c>
      <c r="BV1465" s="109">
        <f t="shared" si="1057"/>
        <v>0.33333333333333331</v>
      </c>
      <c r="BW1465" s="109">
        <f t="shared" si="1081"/>
        <v>7.7519379844960823E-3</v>
      </c>
      <c r="BX1465" s="111">
        <f t="shared" si="1049"/>
        <v>0</v>
      </c>
      <c r="BY1465" s="129">
        <f t="shared" si="1050"/>
        <v>-14</v>
      </c>
      <c r="BZ1465" s="111">
        <f t="shared" si="1051"/>
        <v>0</v>
      </c>
      <c r="CA1465" s="138">
        <f t="shared" si="1052"/>
        <v>14</v>
      </c>
      <c r="CB1465" s="111" t="e">
        <f t="shared" si="1083"/>
        <v>#VALUE!</v>
      </c>
      <c r="CC1465" s="129">
        <f>M1465-I1465+1</f>
        <v>14</v>
      </c>
      <c r="CD1465" s="111">
        <f>CC1465-BF1465</f>
        <v>0</v>
      </c>
      <c r="CG1465" s="129" t="str">
        <f t="shared" si="1053"/>
        <v>Y</v>
      </c>
      <c r="CI1465" s="129" t="str">
        <f t="shared" si="1059"/>
        <v>11-30 DAYS</v>
      </c>
      <c r="CJ1465" s="137">
        <f t="shared" si="1060"/>
        <v>2</v>
      </c>
      <c r="CK1465" s="129" t="str">
        <f t="shared" si="1061"/>
        <v>Booked</v>
      </c>
    </row>
    <row r="1466" spans="1:89" ht="15.75" customHeight="1" x14ac:dyDescent="0.25">
      <c r="A1466" s="111">
        <v>375</v>
      </c>
      <c r="B1466" s="128" t="str">
        <f t="shared" si="1042"/>
        <v>N</v>
      </c>
      <c r="C1466" s="128" t="str">
        <f t="shared" si="1043"/>
        <v>N</v>
      </c>
      <c r="D1466" s="151">
        <v>2045480</v>
      </c>
      <c r="E1466" s="135">
        <f t="shared" si="1044"/>
        <v>1</v>
      </c>
      <c r="F1466" s="124">
        <v>40924</v>
      </c>
      <c r="G1466" s="125">
        <v>41292</v>
      </c>
      <c r="H1466" s="151">
        <v>2045480</v>
      </c>
      <c r="I1466" s="124">
        <v>41069</v>
      </c>
      <c r="J1466" s="124">
        <v>41076</v>
      </c>
      <c r="K1466" s="126">
        <v>15000</v>
      </c>
      <c r="L1466" s="127" t="s">
        <v>571</v>
      </c>
      <c r="M1466" s="125">
        <v>41076</v>
      </c>
      <c r="N1466" s="129" t="str">
        <f t="shared" si="1084"/>
        <v>Y</v>
      </c>
      <c r="O1466" s="128" t="s">
        <v>585</v>
      </c>
      <c r="P1466" s="129" t="s">
        <v>55</v>
      </c>
      <c r="Q1466" s="111">
        <f t="shared" si="1080"/>
        <v>8</v>
      </c>
      <c r="R1466" s="111">
        <f t="shared" si="1070"/>
        <v>369</v>
      </c>
      <c r="S1466" s="129">
        <v>2</v>
      </c>
      <c r="T1466" s="129">
        <v>6</v>
      </c>
      <c r="U1466" s="129">
        <v>1</v>
      </c>
      <c r="W1466" s="111"/>
      <c r="AC1466" s="130"/>
      <c r="AD1466" s="130">
        <v>31591</v>
      </c>
      <c r="AE1466" s="128" t="s">
        <v>32</v>
      </c>
      <c r="AF1466" s="128" t="s">
        <v>69</v>
      </c>
      <c r="AG1466" s="128" t="s">
        <v>874</v>
      </c>
      <c r="AH1466" s="108" t="s">
        <v>31</v>
      </c>
      <c r="AI1466" s="128" t="s">
        <v>97</v>
      </c>
      <c r="AJ1466" s="129" t="s">
        <v>55</v>
      </c>
      <c r="AK1466" s="129">
        <v>8</v>
      </c>
      <c r="AL1466" s="3" t="s">
        <v>55</v>
      </c>
      <c r="AP1466" s="129" t="s">
        <v>107</v>
      </c>
      <c r="AR1466" s="128" t="s">
        <v>44</v>
      </c>
      <c r="AS1466" s="129" t="s">
        <v>57</v>
      </c>
      <c r="BC1466" s="129" t="s">
        <v>99</v>
      </c>
      <c r="BF1466" s="111">
        <f t="shared" si="1082"/>
        <v>8</v>
      </c>
      <c r="BG1466" s="111">
        <f t="shared" si="1072"/>
        <v>224</v>
      </c>
      <c r="BH1466" s="111">
        <f t="shared" si="1039"/>
        <v>369</v>
      </c>
      <c r="BI1466" s="111">
        <f t="shared" si="1040"/>
        <v>25.5</v>
      </c>
      <c r="BJ1466" s="129">
        <f>(G1466-J1466)+(M1466-G1466)</f>
        <v>0</v>
      </c>
      <c r="BK1466" s="129">
        <f t="shared" si="1041"/>
        <v>-216</v>
      </c>
      <c r="BL1466" s="129" t="str">
        <f t="shared" si="1073"/>
        <v>NO CONVICTION</v>
      </c>
      <c r="BM1466" s="129" t="s">
        <v>76</v>
      </c>
      <c r="BN1466" s="129" t="s">
        <v>88</v>
      </c>
      <c r="BP1466" s="137" t="str">
        <f t="shared" si="1045"/>
        <v>NO CONVICTION</v>
      </c>
      <c r="BQ1466" s="128" t="str">
        <f t="shared" si="1046"/>
        <v>Y</v>
      </c>
      <c r="BR1466" s="129" t="str">
        <f t="shared" si="1062"/>
        <v>ON BOND</v>
      </c>
      <c r="BS1466" s="129" t="str">
        <f t="shared" si="1047"/>
        <v>DISPOSED</v>
      </c>
      <c r="BT1466" s="129" t="str">
        <f t="shared" si="1048"/>
        <v>Y</v>
      </c>
      <c r="BU1466" s="109">
        <f>IFERROR(Q1466/R1466,BR1466)</f>
        <v>2.1680216802168022E-2</v>
      </c>
      <c r="BV1466" s="109">
        <f t="shared" si="1057"/>
        <v>3.5714285714285712E-2</v>
      </c>
      <c r="BW1466" s="109">
        <f t="shared" si="1081"/>
        <v>1.4034068912117691E-2</v>
      </c>
      <c r="BX1466" s="111">
        <f t="shared" si="1049"/>
        <v>0</v>
      </c>
      <c r="BY1466" s="129">
        <f t="shared" si="1050"/>
        <v>-8</v>
      </c>
      <c r="BZ1466" s="111">
        <f t="shared" si="1051"/>
        <v>0</v>
      </c>
      <c r="CA1466" s="138">
        <f t="shared" si="1052"/>
        <v>8</v>
      </c>
      <c r="CB1466" s="111" t="e">
        <f t="shared" si="1083"/>
        <v>#VALUE!</v>
      </c>
      <c r="CC1466" s="129">
        <f>M1466-I1466+1</f>
        <v>8</v>
      </c>
      <c r="CD1466" s="111">
        <f>CC1466-BF1466</f>
        <v>0</v>
      </c>
      <c r="CG1466" s="129" t="str">
        <f t="shared" si="1053"/>
        <v>Y</v>
      </c>
      <c r="CI1466" s="129" t="str">
        <f t="shared" si="1059"/>
        <v>0-10 DAYS</v>
      </c>
      <c r="CJ1466" s="137">
        <f t="shared" si="1060"/>
        <v>1</v>
      </c>
      <c r="CK1466" s="129" t="str">
        <f t="shared" si="1061"/>
        <v>Booked</v>
      </c>
    </row>
    <row r="1467" spans="1:89" ht="15.75" customHeight="1" x14ac:dyDescent="0.25">
      <c r="A1467" s="111">
        <v>677</v>
      </c>
      <c r="B1467" s="128" t="str">
        <f t="shared" si="1042"/>
        <v>N</v>
      </c>
      <c r="C1467" s="128" t="str">
        <f t="shared" si="1043"/>
        <v>N</v>
      </c>
      <c r="D1467" s="117">
        <v>2045489</v>
      </c>
      <c r="E1467" s="135">
        <f t="shared" si="1044"/>
        <v>3</v>
      </c>
      <c r="F1467" s="124">
        <v>40935</v>
      </c>
      <c r="G1467" s="125">
        <v>41326</v>
      </c>
      <c r="H1467" s="117">
        <v>2045489</v>
      </c>
      <c r="I1467" s="124">
        <v>40939</v>
      </c>
      <c r="J1467" s="124">
        <v>40940</v>
      </c>
      <c r="K1467" s="126">
        <v>10000</v>
      </c>
      <c r="L1467" s="127" t="s">
        <v>570</v>
      </c>
      <c r="M1467" s="125">
        <v>40940</v>
      </c>
      <c r="N1467" s="129" t="str">
        <f t="shared" si="1084"/>
        <v>Y</v>
      </c>
      <c r="O1467" s="128" t="s">
        <v>585</v>
      </c>
      <c r="P1467" s="129" t="s">
        <v>39</v>
      </c>
      <c r="Q1467" s="111">
        <f t="shared" si="1080"/>
        <v>2</v>
      </c>
      <c r="R1467" s="111">
        <f t="shared" si="1070"/>
        <v>392</v>
      </c>
      <c r="S1467" s="129">
        <v>0</v>
      </c>
      <c r="T1467" s="129">
        <v>2</v>
      </c>
      <c r="W1467" s="111"/>
      <c r="AC1467" s="130"/>
      <c r="AD1467" s="130">
        <v>31686</v>
      </c>
      <c r="AE1467" s="128" t="s">
        <v>32</v>
      </c>
      <c r="AF1467" s="128" t="s">
        <v>69</v>
      </c>
      <c r="AG1467" s="128" t="s">
        <v>874</v>
      </c>
      <c r="AH1467" s="108" t="s">
        <v>58</v>
      </c>
      <c r="AI1467" s="128" t="s">
        <v>65</v>
      </c>
      <c r="AJ1467" s="129" t="s">
        <v>89</v>
      </c>
      <c r="AK1467" s="129">
        <v>21</v>
      </c>
      <c r="AL1467" s="3" t="s">
        <v>185</v>
      </c>
      <c r="AO1467" s="128">
        <v>10</v>
      </c>
      <c r="AP1467" s="129" t="s">
        <v>66</v>
      </c>
      <c r="AR1467" s="128" t="s">
        <v>67</v>
      </c>
      <c r="AS1467" s="129" t="s">
        <v>68</v>
      </c>
      <c r="BC1467" s="129" t="s">
        <v>52</v>
      </c>
      <c r="BF1467" s="111">
        <f t="shared" si="1082"/>
        <v>2</v>
      </c>
      <c r="BG1467" s="111">
        <f t="shared" si="1072"/>
        <v>388</v>
      </c>
      <c r="BH1467" s="111">
        <f t="shared" si="1039"/>
        <v>392</v>
      </c>
      <c r="BI1467" s="111">
        <f t="shared" si="1040"/>
        <v>25.270491803278688</v>
      </c>
      <c r="BJ1467" s="129">
        <f>(G1467-J1467)+(M1467-G1467)</f>
        <v>0</v>
      </c>
      <c r="BK1467" s="129">
        <f t="shared" si="1041"/>
        <v>-386</v>
      </c>
      <c r="BL1467" s="129" t="str">
        <f t="shared" si="1073"/>
        <v>CONVICTION</v>
      </c>
      <c r="BM1467" s="129" t="s">
        <v>76</v>
      </c>
      <c r="BN1467" s="129" t="s">
        <v>88</v>
      </c>
      <c r="BP1467" s="137" t="str">
        <f t="shared" si="1045"/>
        <v>CONVICTION</v>
      </c>
      <c r="BQ1467" s="128" t="str">
        <f t="shared" si="1046"/>
        <v>Y</v>
      </c>
      <c r="BR1467" s="129" t="str">
        <f>IF(J1467&lt;G1467,"ON BOND",0)</f>
        <v>ON BOND</v>
      </c>
      <c r="BS1467" s="129" t="str">
        <f t="shared" si="1047"/>
        <v>DISPOSED</v>
      </c>
      <c r="BT1467" s="129" t="str">
        <f t="shared" si="1048"/>
        <v>N</v>
      </c>
      <c r="BU1467" s="109">
        <f t="shared" si="1056"/>
        <v>5.1020408163265302E-3</v>
      </c>
      <c r="BV1467" s="109">
        <f t="shared" si="1057"/>
        <v>5.1546391752577319E-3</v>
      </c>
      <c r="BW1467" s="109">
        <f t="shared" si="1081"/>
        <v>5.2598358931201655E-5</v>
      </c>
      <c r="BX1467" s="111">
        <f t="shared" si="1049"/>
        <v>0</v>
      </c>
      <c r="BY1467" s="129">
        <f t="shared" si="1050"/>
        <v>-2</v>
      </c>
      <c r="BZ1467" s="111">
        <f t="shared" si="1051"/>
        <v>0</v>
      </c>
      <c r="CA1467" s="138">
        <f t="shared" si="1052"/>
        <v>2</v>
      </c>
      <c r="CB1467" s="111" t="e">
        <f t="shared" si="1083"/>
        <v>#VALUE!</v>
      </c>
      <c r="CC1467" s="129">
        <f>M1467-I1467+1</f>
        <v>2</v>
      </c>
      <c r="CD1467" s="111">
        <f>CC1467-BF1467</f>
        <v>0</v>
      </c>
      <c r="CG1467" s="129" t="str">
        <f t="shared" si="1053"/>
        <v>Y</v>
      </c>
      <c r="CI1467" s="129" t="str">
        <f t="shared" si="1059"/>
        <v>0-10 DAYS</v>
      </c>
      <c r="CJ1467" s="137">
        <f t="shared" si="1060"/>
        <v>1</v>
      </c>
      <c r="CK1467" s="129" t="str">
        <f t="shared" si="1061"/>
        <v>Booked</v>
      </c>
    </row>
    <row r="1468" spans="1:89" ht="15.75" customHeight="1" x14ac:dyDescent="0.25">
      <c r="A1468" s="111">
        <v>790</v>
      </c>
      <c r="B1468" s="128" t="str">
        <f t="shared" si="1042"/>
        <v>N</v>
      </c>
      <c r="C1468" s="128" t="str">
        <f t="shared" si="1043"/>
        <v>N</v>
      </c>
      <c r="D1468" s="117">
        <v>2046301</v>
      </c>
      <c r="E1468" s="135">
        <f t="shared" si="1044"/>
        <v>1</v>
      </c>
      <c r="F1468" s="124">
        <v>40939</v>
      </c>
      <c r="G1468" s="125">
        <v>40956</v>
      </c>
      <c r="H1468" s="117">
        <v>2046301</v>
      </c>
      <c r="I1468" s="124">
        <v>40941</v>
      </c>
      <c r="J1468" s="124">
        <v>40956</v>
      </c>
      <c r="K1468" s="126">
        <v>10000</v>
      </c>
      <c r="L1468" s="127" t="s">
        <v>570</v>
      </c>
      <c r="N1468" s="129" t="str">
        <f t="shared" si="1084"/>
        <v>N</v>
      </c>
      <c r="O1468" s="128" t="s">
        <v>917</v>
      </c>
      <c r="P1468" s="116" t="s">
        <v>55</v>
      </c>
      <c r="Q1468" s="111">
        <f t="shared" si="1080"/>
        <v>16</v>
      </c>
      <c r="R1468" s="111">
        <f t="shared" si="1070"/>
        <v>18</v>
      </c>
      <c r="S1468" s="129">
        <v>2</v>
      </c>
      <c r="T1468" s="129">
        <v>1</v>
      </c>
      <c r="U1468" s="129">
        <v>2</v>
      </c>
      <c r="W1468" s="111"/>
      <c r="AC1468" s="130"/>
      <c r="AD1468" s="130">
        <v>31272</v>
      </c>
      <c r="AE1468" s="128" t="s">
        <v>32</v>
      </c>
      <c r="AF1468" s="128" t="s">
        <v>33</v>
      </c>
      <c r="AG1468" s="128" t="s">
        <v>872</v>
      </c>
      <c r="AH1468" s="108" t="s">
        <v>58</v>
      </c>
      <c r="AI1468" s="128" t="s">
        <v>113</v>
      </c>
      <c r="AJ1468" s="129" t="s">
        <v>55</v>
      </c>
      <c r="AK1468" s="129">
        <v>4</v>
      </c>
      <c r="AL1468" s="3" t="s">
        <v>55</v>
      </c>
      <c r="AP1468" s="129" t="s">
        <v>170</v>
      </c>
      <c r="AR1468" s="128" t="s">
        <v>67</v>
      </c>
      <c r="AS1468" s="129" t="s">
        <v>64</v>
      </c>
      <c r="BC1468" s="129" t="s">
        <v>38</v>
      </c>
      <c r="BF1468" s="111">
        <f t="shared" si="1082"/>
        <v>16</v>
      </c>
      <c r="BG1468" s="111">
        <f t="shared" si="1072"/>
        <v>16</v>
      </c>
      <c r="BH1468" s="111">
        <f t="shared" si="1039"/>
        <v>18</v>
      </c>
      <c r="BI1468" s="111">
        <f t="shared" si="1040"/>
        <v>26.412568306010929</v>
      </c>
      <c r="BJ1468" s="129">
        <f t="shared" si="1063"/>
        <v>0</v>
      </c>
      <c r="BK1468" s="129">
        <f t="shared" si="1041"/>
        <v>0</v>
      </c>
      <c r="BL1468" s="129" t="str">
        <f t="shared" si="1073"/>
        <v>NO CONVICTION</v>
      </c>
      <c r="BM1468" s="129" t="str">
        <f t="shared" si="1064"/>
        <v>NONE</v>
      </c>
      <c r="BN1468" s="129" t="s">
        <v>566</v>
      </c>
      <c r="BP1468" s="137" t="str">
        <f t="shared" si="1045"/>
        <v>NO CONVICTION</v>
      </c>
      <c r="BQ1468" s="128" t="str">
        <f t="shared" si="1046"/>
        <v>Y</v>
      </c>
      <c r="BR1468" s="129" t="str">
        <f t="shared" si="1062"/>
        <v>DETAINED</v>
      </c>
      <c r="BS1468" s="129" t="str">
        <f t="shared" si="1047"/>
        <v>DISPOSED</v>
      </c>
      <c r="BT1468" s="129" t="str">
        <f t="shared" si="1048"/>
        <v>Y</v>
      </c>
      <c r="BU1468" s="109">
        <f>IFERROR(Q1468/R1468,BR1468)</f>
        <v>0.88888888888888884</v>
      </c>
      <c r="BV1468" s="109">
        <f t="shared" si="1057"/>
        <v>1</v>
      </c>
      <c r="BW1468" s="109">
        <f t="shared" si="1081"/>
        <v>0.11111111111111116</v>
      </c>
      <c r="BX1468" s="111">
        <f t="shared" si="1049"/>
        <v>0</v>
      </c>
      <c r="BY1468" s="129">
        <f t="shared" si="1050"/>
        <v>-16</v>
      </c>
      <c r="BZ1468" s="111">
        <f t="shared" si="1051"/>
        <v>0</v>
      </c>
      <c r="CA1468" s="138">
        <f t="shared" si="1052"/>
        <v>16</v>
      </c>
      <c r="CB1468" s="111" t="e">
        <f t="shared" si="1083"/>
        <v>#VALUE!</v>
      </c>
      <c r="CC1468" s="129">
        <f>G1468-I1468+1</f>
        <v>16</v>
      </c>
      <c r="CD1468" s="129">
        <f>G1468-J1468</f>
        <v>0</v>
      </c>
      <c r="CG1468" s="129" t="str">
        <f t="shared" si="1053"/>
        <v>Y</v>
      </c>
      <c r="CI1468" s="129" t="str">
        <f t="shared" si="1059"/>
        <v>11-30 DAYS</v>
      </c>
      <c r="CJ1468" s="137">
        <f t="shared" si="1060"/>
        <v>2</v>
      </c>
      <c r="CK1468" s="129" t="str">
        <f t="shared" si="1061"/>
        <v>Booked</v>
      </c>
    </row>
    <row r="1469" spans="1:89" ht="15" customHeight="1" x14ac:dyDescent="0.25">
      <c r="A1469" s="111">
        <v>2394</v>
      </c>
      <c r="B1469" s="128" t="str">
        <f t="shared" si="1042"/>
        <v>N</v>
      </c>
      <c r="C1469" s="128" t="str">
        <f t="shared" si="1043"/>
        <v>N</v>
      </c>
      <c r="D1469" s="117">
        <v>2046593</v>
      </c>
      <c r="E1469" s="135">
        <f t="shared" si="1044"/>
        <v>5</v>
      </c>
      <c r="F1469" s="124">
        <v>40999</v>
      </c>
      <c r="G1469" s="125">
        <v>41001</v>
      </c>
      <c r="H1469" s="117">
        <v>2046593</v>
      </c>
      <c r="I1469" s="124">
        <v>40999</v>
      </c>
      <c r="J1469" s="124">
        <v>41001</v>
      </c>
      <c r="K1469" s="126">
        <v>5000</v>
      </c>
      <c r="L1469" s="127" t="s">
        <v>569</v>
      </c>
      <c r="N1469" s="129" t="str">
        <f t="shared" si="1084"/>
        <v>N</v>
      </c>
      <c r="O1469" s="128" t="s">
        <v>917</v>
      </c>
      <c r="P1469" s="129" t="s">
        <v>39</v>
      </c>
      <c r="Q1469" s="111">
        <f t="shared" si="1080"/>
        <v>3</v>
      </c>
      <c r="R1469" s="111">
        <f t="shared" si="1070"/>
        <v>3</v>
      </c>
      <c r="S1469" s="129">
        <v>2</v>
      </c>
      <c r="T1469" s="129">
        <v>2</v>
      </c>
      <c r="U1469" s="129">
        <v>11</v>
      </c>
      <c r="W1469" s="111"/>
      <c r="AC1469" s="130"/>
      <c r="AD1469" s="130">
        <v>27633</v>
      </c>
      <c r="AE1469" s="128" t="s">
        <v>32</v>
      </c>
      <c r="AF1469" s="128" t="s">
        <v>69</v>
      </c>
      <c r="AG1469" s="128" t="s">
        <v>874</v>
      </c>
      <c r="AH1469" s="108" t="s">
        <v>31</v>
      </c>
      <c r="AI1469" s="128" t="s">
        <v>87</v>
      </c>
      <c r="AJ1469" s="129" t="s">
        <v>89</v>
      </c>
      <c r="AK1469" s="129">
        <v>1</v>
      </c>
      <c r="AL1469" s="3" t="s">
        <v>992</v>
      </c>
      <c r="AN1469" s="117">
        <v>6</v>
      </c>
      <c r="AP1469" s="129" t="s">
        <v>43</v>
      </c>
      <c r="AR1469" s="128" t="s">
        <v>44</v>
      </c>
      <c r="AS1469" s="129" t="s">
        <v>45</v>
      </c>
      <c r="BC1469" s="129" t="s">
        <v>38</v>
      </c>
      <c r="BF1469" s="111">
        <f t="shared" si="1082"/>
        <v>3</v>
      </c>
      <c r="BG1469" s="111">
        <f t="shared" si="1072"/>
        <v>3</v>
      </c>
      <c r="BH1469" s="111">
        <f t="shared" si="1039"/>
        <v>3</v>
      </c>
      <c r="BI1469" s="111">
        <f t="shared" si="1040"/>
        <v>36.519125683060111</v>
      </c>
      <c r="BJ1469" s="129">
        <f t="shared" si="1063"/>
        <v>0</v>
      </c>
      <c r="BK1469" s="129">
        <f t="shared" si="1041"/>
        <v>0</v>
      </c>
      <c r="BL1469" s="129" t="str">
        <f t="shared" si="1073"/>
        <v>CONVICTION</v>
      </c>
      <c r="BM1469" s="129" t="str">
        <f t="shared" si="1064"/>
        <v>NONE</v>
      </c>
      <c r="BN1469" s="129" t="s">
        <v>566</v>
      </c>
      <c r="BP1469" s="137" t="str">
        <f t="shared" si="1045"/>
        <v>CONVICTION</v>
      </c>
      <c r="BQ1469" s="128" t="str">
        <f t="shared" si="1046"/>
        <v>Y</v>
      </c>
      <c r="BR1469" s="129" t="str">
        <f t="shared" si="1062"/>
        <v>DETAINED</v>
      </c>
      <c r="BS1469" s="129" t="str">
        <f t="shared" si="1047"/>
        <v>DISPOSED</v>
      </c>
      <c r="BT1469" s="129" t="str">
        <f t="shared" si="1048"/>
        <v>Y</v>
      </c>
      <c r="BU1469" s="109">
        <f t="shared" si="1056"/>
        <v>1</v>
      </c>
      <c r="BV1469" s="109">
        <f t="shared" si="1057"/>
        <v>1</v>
      </c>
      <c r="BW1469" s="109">
        <f t="shared" si="1081"/>
        <v>0</v>
      </c>
      <c r="BX1469" s="111">
        <f t="shared" si="1049"/>
        <v>0</v>
      </c>
      <c r="BY1469" s="129">
        <f t="shared" si="1050"/>
        <v>-3</v>
      </c>
      <c r="BZ1469" s="111">
        <f t="shared" si="1051"/>
        <v>0</v>
      </c>
      <c r="CA1469" s="138">
        <f t="shared" si="1052"/>
        <v>3</v>
      </c>
      <c r="CB1469" s="111" t="e">
        <f t="shared" si="1083"/>
        <v>#VALUE!</v>
      </c>
      <c r="CC1469" s="129">
        <f>G1469-I1469+1</f>
        <v>3</v>
      </c>
      <c r="CD1469" s="129">
        <f>G1469-J1469</f>
        <v>0</v>
      </c>
      <c r="CG1469" s="129" t="str">
        <f t="shared" si="1053"/>
        <v>Y</v>
      </c>
      <c r="CI1469" s="129" t="str">
        <f t="shared" si="1059"/>
        <v>0-10 DAYS</v>
      </c>
      <c r="CJ1469" s="137">
        <f t="shared" si="1060"/>
        <v>1</v>
      </c>
      <c r="CK1469" s="129" t="str">
        <f t="shared" si="1061"/>
        <v>Booked</v>
      </c>
    </row>
    <row r="1470" spans="1:89" ht="15.75" customHeight="1" x14ac:dyDescent="0.25">
      <c r="A1470" s="111">
        <v>409</v>
      </c>
      <c r="B1470" s="128" t="str">
        <f t="shared" si="1042"/>
        <v>N</v>
      </c>
      <c r="C1470" s="128" t="str">
        <f t="shared" si="1043"/>
        <v>N</v>
      </c>
      <c r="D1470" s="117">
        <v>2047454</v>
      </c>
      <c r="E1470" s="135">
        <f t="shared" si="1044"/>
        <v>1</v>
      </c>
      <c r="F1470" s="124">
        <v>40926</v>
      </c>
      <c r="G1470" s="125">
        <v>40927</v>
      </c>
      <c r="H1470" s="117">
        <v>2047454</v>
      </c>
      <c r="I1470" s="124">
        <v>40926</v>
      </c>
      <c r="J1470" s="124">
        <v>40927</v>
      </c>
      <c r="K1470" s="126">
        <v>10000</v>
      </c>
      <c r="L1470" s="127" t="s">
        <v>570</v>
      </c>
      <c r="N1470" s="129" t="str">
        <f t="shared" si="1084"/>
        <v>N</v>
      </c>
      <c r="O1470" s="128" t="s">
        <v>917</v>
      </c>
      <c r="P1470" s="129" t="s">
        <v>55</v>
      </c>
      <c r="Q1470" s="111">
        <f t="shared" si="1080"/>
        <v>2</v>
      </c>
      <c r="R1470" s="111">
        <f t="shared" si="1070"/>
        <v>2</v>
      </c>
      <c r="S1470" s="129">
        <v>3</v>
      </c>
      <c r="T1470" s="129">
        <v>2</v>
      </c>
      <c r="U1470" s="129">
        <v>3</v>
      </c>
      <c r="W1470" s="111"/>
      <c r="AB1470" s="131" t="s">
        <v>112</v>
      </c>
      <c r="AC1470" s="130"/>
      <c r="AD1470" s="130">
        <v>31670</v>
      </c>
      <c r="AE1470" s="128" t="s">
        <v>32</v>
      </c>
      <c r="AF1470" s="128" t="s">
        <v>40</v>
      </c>
      <c r="AG1470" s="128" t="s">
        <v>41</v>
      </c>
      <c r="AH1470" s="108" t="s">
        <v>31</v>
      </c>
      <c r="AI1470" s="128" t="s">
        <v>80</v>
      </c>
      <c r="AJ1470" s="129" t="s">
        <v>55</v>
      </c>
      <c r="AK1470" s="129">
        <v>1</v>
      </c>
      <c r="AL1470" s="3" t="s">
        <v>55</v>
      </c>
      <c r="AP1470" s="129" t="s">
        <v>136</v>
      </c>
      <c r="AR1470" s="128" t="s">
        <v>67</v>
      </c>
      <c r="AS1470" s="129" t="s">
        <v>64</v>
      </c>
      <c r="BC1470" s="129" t="s">
        <v>79</v>
      </c>
      <c r="BF1470" s="111">
        <f t="shared" si="1082"/>
        <v>2</v>
      </c>
      <c r="BG1470" s="111">
        <f t="shared" si="1072"/>
        <v>2</v>
      </c>
      <c r="BH1470" s="111">
        <f t="shared" si="1039"/>
        <v>2</v>
      </c>
      <c r="BI1470" s="111">
        <f t="shared" si="1040"/>
        <v>25.289617486338798</v>
      </c>
      <c r="BJ1470" s="129">
        <f t="shared" si="1063"/>
        <v>0</v>
      </c>
      <c r="BK1470" s="129">
        <f t="shared" si="1041"/>
        <v>0</v>
      </c>
      <c r="BL1470" s="129" t="str">
        <f t="shared" si="1073"/>
        <v>NO CONVICTION</v>
      </c>
      <c r="BM1470" s="129" t="str">
        <f t="shared" si="1064"/>
        <v>NONE</v>
      </c>
      <c r="BN1470" s="129" t="s">
        <v>566</v>
      </c>
      <c r="BP1470" s="137" t="str">
        <f t="shared" si="1045"/>
        <v>NO CONVICTION</v>
      </c>
      <c r="BQ1470" s="128" t="str">
        <f t="shared" si="1046"/>
        <v>Y</v>
      </c>
      <c r="BR1470" s="129" t="str">
        <f t="shared" si="1062"/>
        <v>DETAINED</v>
      </c>
      <c r="BS1470" s="129" t="str">
        <f t="shared" si="1047"/>
        <v>DISPOSED</v>
      </c>
      <c r="BT1470" s="129" t="str">
        <f t="shared" si="1048"/>
        <v>Y</v>
      </c>
      <c r="BU1470" s="109">
        <f>IFERROR(Q1470/R1470,BR1470)</f>
        <v>1</v>
      </c>
      <c r="BV1470" s="109">
        <f t="shared" si="1057"/>
        <v>1</v>
      </c>
      <c r="BW1470" s="109">
        <f t="shared" si="1081"/>
        <v>0</v>
      </c>
      <c r="BX1470" s="111">
        <f t="shared" si="1049"/>
        <v>0</v>
      </c>
      <c r="BY1470" s="129">
        <f t="shared" si="1050"/>
        <v>-2</v>
      </c>
      <c r="BZ1470" s="111">
        <f t="shared" si="1051"/>
        <v>0</v>
      </c>
      <c r="CA1470" s="138">
        <f t="shared" si="1052"/>
        <v>2</v>
      </c>
      <c r="CB1470" s="111" t="e">
        <f t="shared" si="1083"/>
        <v>#VALUE!</v>
      </c>
      <c r="CC1470" s="129">
        <f>G1470-I1470+1</f>
        <v>2</v>
      </c>
      <c r="CD1470" s="129">
        <f>G1470-J1470</f>
        <v>0</v>
      </c>
      <c r="CG1470" s="129" t="str">
        <f t="shared" si="1053"/>
        <v>Y</v>
      </c>
      <c r="CI1470" s="129" t="str">
        <f t="shared" si="1059"/>
        <v>0-10 DAYS</v>
      </c>
      <c r="CJ1470" s="137">
        <f t="shared" si="1060"/>
        <v>1</v>
      </c>
      <c r="CK1470" s="129" t="str">
        <f t="shared" si="1061"/>
        <v>Booked</v>
      </c>
    </row>
    <row r="1471" spans="1:89" ht="15.75" customHeight="1" x14ac:dyDescent="0.25">
      <c r="A1471" s="111">
        <v>2701</v>
      </c>
      <c r="B1471" s="128" t="str">
        <f t="shared" si="1042"/>
        <v>N</v>
      </c>
      <c r="C1471" s="128" t="str">
        <f t="shared" si="1043"/>
        <v>N</v>
      </c>
      <c r="D1471" s="117">
        <v>2048254</v>
      </c>
      <c r="E1471" s="135">
        <f t="shared" si="1044"/>
        <v>2</v>
      </c>
      <c r="F1471" s="124">
        <v>41009</v>
      </c>
      <c r="G1471" s="125">
        <v>41044</v>
      </c>
      <c r="H1471" s="117">
        <v>2048254</v>
      </c>
      <c r="I1471" s="124">
        <v>41009</v>
      </c>
      <c r="J1471" s="124">
        <v>41011</v>
      </c>
      <c r="K1471" s="126">
        <v>5000</v>
      </c>
      <c r="L1471" s="127" t="s">
        <v>569</v>
      </c>
      <c r="M1471" s="125">
        <v>41011</v>
      </c>
      <c r="N1471" s="129" t="str">
        <f t="shared" si="1084"/>
        <v>Y</v>
      </c>
      <c r="O1471" s="128" t="s">
        <v>76</v>
      </c>
      <c r="P1471" s="129" t="s">
        <v>589</v>
      </c>
      <c r="Q1471" s="111">
        <f t="shared" si="1080"/>
        <v>3</v>
      </c>
      <c r="R1471" s="111">
        <f t="shared" si="1070"/>
        <v>36</v>
      </c>
      <c r="S1471" s="129">
        <v>0</v>
      </c>
      <c r="T1471" s="129">
        <v>2</v>
      </c>
      <c r="W1471" s="111"/>
      <c r="AC1471" s="130"/>
      <c r="AD1471" s="130">
        <v>31358</v>
      </c>
      <c r="AE1471" s="128" t="s">
        <v>32</v>
      </c>
      <c r="AF1471" s="128" t="s">
        <v>40</v>
      </c>
      <c r="AG1471" s="128" t="s">
        <v>41</v>
      </c>
      <c r="AH1471" s="108" t="s">
        <v>41</v>
      </c>
      <c r="AI1471" s="128" t="s">
        <v>34</v>
      </c>
      <c r="AJ1471" s="129" t="s">
        <v>48</v>
      </c>
      <c r="AK1471" s="129">
        <v>2</v>
      </c>
      <c r="AL1471" s="3" t="s">
        <v>48</v>
      </c>
      <c r="AP1471" s="129" t="s">
        <v>81</v>
      </c>
      <c r="AR1471" s="128" t="s">
        <v>50</v>
      </c>
      <c r="AS1471" s="129" t="s">
        <v>82</v>
      </c>
      <c r="BC1471" s="129" t="s">
        <v>38</v>
      </c>
      <c r="BF1471" s="111">
        <f t="shared" si="1082"/>
        <v>3</v>
      </c>
      <c r="BG1471" s="111">
        <f t="shared" si="1072"/>
        <v>36</v>
      </c>
      <c r="BH1471" s="111">
        <f t="shared" si="1039"/>
        <v>36</v>
      </c>
      <c r="BI1471" s="111">
        <f t="shared" si="1040"/>
        <v>26.368852459016395</v>
      </c>
      <c r="BJ1471" s="129">
        <f>(G1471-J1471)+(M1471-G1471)</f>
        <v>0</v>
      </c>
      <c r="BK1471" s="129">
        <f t="shared" si="1041"/>
        <v>-33</v>
      </c>
      <c r="BL1471" s="129" t="str">
        <f t="shared" si="1073"/>
        <v>DEFERRED</v>
      </c>
      <c r="BM1471" s="129" t="s">
        <v>76</v>
      </c>
      <c r="BN1471" s="129" t="s">
        <v>88</v>
      </c>
      <c r="BP1471" s="137" t="str">
        <f t="shared" si="1045"/>
        <v>DEFERRED</v>
      </c>
      <c r="BQ1471" s="128" t="str">
        <f t="shared" si="1046"/>
        <v>Y</v>
      </c>
      <c r="BR1471" s="129" t="str">
        <f t="shared" si="1062"/>
        <v>ON BOND</v>
      </c>
      <c r="BS1471" s="129" t="str">
        <f t="shared" si="1047"/>
        <v>DISPOSED</v>
      </c>
      <c r="BT1471" s="129" t="str">
        <f t="shared" si="1048"/>
        <v>N</v>
      </c>
      <c r="BU1471" s="109">
        <f t="shared" si="1056"/>
        <v>8.3333333333333329E-2</v>
      </c>
      <c r="BV1471" s="109">
        <f t="shared" si="1057"/>
        <v>8.3333333333333329E-2</v>
      </c>
      <c r="BW1471" s="109">
        <f t="shared" si="1081"/>
        <v>0</v>
      </c>
      <c r="BX1471" s="111">
        <f t="shared" si="1049"/>
        <v>0</v>
      </c>
      <c r="BY1471" s="129">
        <f t="shared" si="1050"/>
        <v>-3</v>
      </c>
      <c r="BZ1471" s="111">
        <f t="shared" si="1051"/>
        <v>0</v>
      </c>
      <c r="CA1471" s="138">
        <f t="shared" si="1052"/>
        <v>3</v>
      </c>
      <c r="CB1471" s="111" t="e">
        <f t="shared" si="1083"/>
        <v>#VALUE!</v>
      </c>
      <c r="CC1471" s="129">
        <f>M1471-I1471+1</f>
        <v>3</v>
      </c>
      <c r="CD1471" s="111">
        <f>CC1471-BF1471</f>
        <v>0</v>
      </c>
      <c r="CG1471" s="129" t="str">
        <f t="shared" si="1053"/>
        <v>Y</v>
      </c>
      <c r="CI1471" s="129" t="str">
        <f t="shared" si="1059"/>
        <v>0-10 DAYS</v>
      </c>
      <c r="CJ1471" s="137">
        <f t="shared" si="1060"/>
        <v>1</v>
      </c>
      <c r="CK1471" s="129" t="str">
        <f t="shared" si="1061"/>
        <v>Booked</v>
      </c>
    </row>
    <row r="1472" spans="1:89" ht="15.75" customHeight="1" x14ac:dyDescent="0.25">
      <c r="A1472" s="111">
        <v>1788</v>
      </c>
      <c r="B1472" s="128" t="str">
        <f t="shared" si="1042"/>
        <v>N</v>
      </c>
      <c r="C1472" s="128" t="str">
        <f t="shared" si="1043"/>
        <v>N</v>
      </c>
      <c r="D1472" s="117">
        <v>2048755</v>
      </c>
      <c r="E1472" s="135">
        <f t="shared" si="1044"/>
        <v>2</v>
      </c>
      <c r="F1472" s="124">
        <v>40975</v>
      </c>
      <c r="G1472" s="125">
        <v>41247</v>
      </c>
      <c r="H1472" s="117">
        <v>2048755</v>
      </c>
      <c r="I1472" s="124">
        <v>40976</v>
      </c>
      <c r="J1472" s="124">
        <v>40978</v>
      </c>
      <c r="K1472" s="126">
        <v>5000</v>
      </c>
      <c r="L1472" s="127" t="s">
        <v>569</v>
      </c>
      <c r="M1472" s="125">
        <v>40978</v>
      </c>
      <c r="N1472" s="129" t="str">
        <f t="shared" si="1084"/>
        <v>Y</v>
      </c>
      <c r="O1472" s="128" t="s">
        <v>76</v>
      </c>
      <c r="P1472" s="129" t="s">
        <v>589</v>
      </c>
      <c r="Q1472" s="111">
        <f t="shared" si="1080"/>
        <v>3</v>
      </c>
      <c r="R1472" s="111">
        <f t="shared" si="1070"/>
        <v>273</v>
      </c>
      <c r="S1472" s="129">
        <v>3</v>
      </c>
      <c r="T1472" s="129">
        <v>1</v>
      </c>
      <c r="U1472" s="129">
        <v>1</v>
      </c>
      <c r="V1472" s="117">
        <v>1</v>
      </c>
      <c r="W1472" s="111"/>
      <c r="AC1472" s="130"/>
      <c r="AD1472" s="130">
        <v>28229</v>
      </c>
      <c r="AE1472" s="128" t="s">
        <v>46</v>
      </c>
      <c r="AF1472" s="128" t="s">
        <v>69</v>
      </c>
      <c r="AG1472" s="128" t="s">
        <v>874</v>
      </c>
      <c r="AH1472" s="108" t="s">
        <v>58</v>
      </c>
      <c r="AI1472" s="128" t="s">
        <v>97</v>
      </c>
      <c r="AJ1472" s="129" t="s">
        <v>48</v>
      </c>
      <c r="AK1472" s="129">
        <v>9</v>
      </c>
      <c r="AL1472" s="3" t="s">
        <v>48</v>
      </c>
      <c r="AP1472" s="129" t="s">
        <v>94</v>
      </c>
      <c r="AR1472" s="128" t="s">
        <v>67</v>
      </c>
      <c r="AS1472" s="129" t="s">
        <v>82</v>
      </c>
      <c r="BC1472" s="129" t="s">
        <v>52</v>
      </c>
      <c r="BF1472" s="111">
        <f t="shared" si="1082"/>
        <v>3</v>
      </c>
      <c r="BG1472" s="111">
        <f t="shared" si="1072"/>
        <v>272</v>
      </c>
      <c r="BH1472" s="111">
        <f t="shared" si="1039"/>
        <v>273</v>
      </c>
      <c r="BI1472" s="111">
        <f t="shared" si="1040"/>
        <v>34.825136612021858</v>
      </c>
      <c r="BJ1472" s="129">
        <f>(G1472-J1472)+(M1472-G1472)</f>
        <v>0</v>
      </c>
      <c r="BK1472" s="129">
        <f t="shared" si="1041"/>
        <v>-269</v>
      </c>
      <c r="BL1472" s="129" t="str">
        <f t="shared" si="1073"/>
        <v>DEFERRED</v>
      </c>
      <c r="BM1472" s="129" t="s">
        <v>76</v>
      </c>
      <c r="BN1472" s="129" t="s">
        <v>88</v>
      </c>
      <c r="BP1472" s="137" t="str">
        <f t="shared" si="1045"/>
        <v>DEFERRED</v>
      </c>
      <c r="BQ1472" s="128" t="str">
        <f t="shared" si="1046"/>
        <v>Y</v>
      </c>
      <c r="BR1472" s="129" t="str">
        <f t="shared" si="1062"/>
        <v>ON BOND</v>
      </c>
      <c r="BS1472" s="129" t="str">
        <f t="shared" si="1047"/>
        <v>DISPOSED</v>
      </c>
      <c r="BT1472" s="129" t="str">
        <f t="shared" si="1048"/>
        <v>Y</v>
      </c>
      <c r="BU1472" s="109">
        <f t="shared" si="1056"/>
        <v>1.098901098901099E-2</v>
      </c>
      <c r="BV1472" s="109">
        <f t="shared" si="1057"/>
        <v>1.1029411764705883E-2</v>
      </c>
      <c r="BW1472" s="109">
        <f t="shared" si="1081"/>
        <v>4.0400775694893198E-5</v>
      </c>
      <c r="BX1472" s="111">
        <f t="shared" si="1049"/>
        <v>0</v>
      </c>
      <c r="BY1472" s="129">
        <f t="shared" si="1050"/>
        <v>-3</v>
      </c>
      <c r="BZ1472" s="111">
        <f t="shared" si="1051"/>
        <v>0</v>
      </c>
      <c r="CA1472" s="138">
        <f t="shared" si="1052"/>
        <v>3</v>
      </c>
      <c r="CB1472" s="111" t="e">
        <f t="shared" si="1083"/>
        <v>#VALUE!</v>
      </c>
      <c r="CC1472" s="129">
        <f>M1472-I1472+1</f>
        <v>3</v>
      </c>
      <c r="CD1472" s="111">
        <f>CC1472-BF1472</f>
        <v>0</v>
      </c>
      <c r="CG1472" s="129" t="str">
        <f t="shared" si="1053"/>
        <v>Y</v>
      </c>
      <c r="CI1472" s="129" t="str">
        <f t="shared" si="1059"/>
        <v>0-10 DAYS</v>
      </c>
      <c r="CJ1472" s="137">
        <f t="shared" si="1060"/>
        <v>1</v>
      </c>
      <c r="CK1472" s="129" t="str">
        <f t="shared" si="1061"/>
        <v>Booked</v>
      </c>
    </row>
    <row r="1473" spans="1:89" ht="15.75" customHeight="1" x14ac:dyDescent="0.25">
      <c r="A1473" s="111">
        <v>637</v>
      </c>
      <c r="B1473" s="128" t="str">
        <f t="shared" si="1042"/>
        <v>Y</v>
      </c>
      <c r="C1473" s="128" t="str">
        <f t="shared" si="1043"/>
        <v>Y</v>
      </c>
      <c r="D1473" s="117">
        <v>2049672</v>
      </c>
      <c r="E1473" s="135">
        <f t="shared" si="1044"/>
        <v>1</v>
      </c>
      <c r="F1473" s="124">
        <v>40934</v>
      </c>
      <c r="G1473" s="125">
        <v>40975</v>
      </c>
      <c r="H1473" s="117">
        <v>2049672</v>
      </c>
      <c r="I1473" s="124">
        <v>40934</v>
      </c>
      <c r="J1473" s="124">
        <v>40935</v>
      </c>
      <c r="K1473" s="126">
        <v>2000</v>
      </c>
      <c r="L1473" s="127" t="s">
        <v>568</v>
      </c>
      <c r="M1473" s="125">
        <v>40935</v>
      </c>
      <c r="N1473" s="129" t="str">
        <f t="shared" si="1084"/>
        <v>Y</v>
      </c>
      <c r="O1473" s="128" t="s">
        <v>76</v>
      </c>
      <c r="P1473" s="129" t="s">
        <v>123</v>
      </c>
      <c r="Q1473" s="111">
        <v>5</v>
      </c>
      <c r="R1473" s="111">
        <f t="shared" si="1070"/>
        <v>42</v>
      </c>
      <c r="S1473" s="129">
        <v>0</v>
      </c>
      <c r="T1473" s="129">
        <v>0</v>
      </c>
      <c r="W1473" s="111"/>
      <c r="AC1473" s="130"/>
      <c r="AD1473" s="130">
        <v>30642</v>
      </c>
      <c r="AE1473" s="128" t="s">
        <v>32</v>
      </c>
      <c r="AF1473" s="128" t="s">
        <v>69</v>
      </c>
      <c r="AG1473" s="128" t="s">
        <v>874</v>
      </c>
      <c r="AH1473" s="108" t="s">
        <v>31</v>
      </c>
      <c r="AI1473" s="128" t="s">
        <v>80</v>
      </c>
      <c r="AJ1473" s="129" t="s">
        <v>123</v>
      </c>
      <c r="AK1473" s="129">
        <v>4</v>
      </c>
      <c r="AL1473" s="3" t="s">
        <v>123</v>
      </c>
      <c r="AP1473" s="129" t="s">
        <v>121</v>
      </c>
      <c r="AR1473" s="128" t="s">
        <v>44</v>
      </c>
      <c r="AS1473" s="129" t="s">
        <v>122</v>
      </c>
      <c r="AV1473" s="3" t="s">
        <v>88</v>
      </c>
      <c r="AW1473" s="125">
        <v>40970</v>
      </c>
      <c r="BA1473" s="125">
        <v>41074</v>
      </c>
      <c r="BB1473" s="129">
        <v>235</v>
      </c>
      <c r="BC1473" s="129" t="s">
        <v>79</v>
      </c>
      <c r="BD1473" s="129" t="s">
        <v>1215</v>
      </c>
      <c r="BF1473" s="111">
        <v>5</v>
      </c>
      <c r="BG1473" s="111">
        <f t="shared" si="1072"/>
        <v>42</v>
      </c>
      <c r="BH1473" s="111">
        <f t="shared" ref="BH1473:BH1536" si="1085">IF(G1473&gt;1/1/1900,((G1473+1)-F1473),"STILL OPEN")</f>
        <v>42</v>
      </c>
      <c r="BI1473" s="111">
        <f t="shared" ref="BI1473:BI1536" si="1086">(F1473-AD1473)/366</f>
        <v>28.120218579234972</v>
      </c>
      <c r="BJ1473" s="129">
        <f>(G1473-J1473)+(M1473-G1473)</f>
        <v>0</v>
      </c>
      <c r="BK1473" s="129">
        <f t="shared" ref="BK1473:BK1536" si="1087">J1473-G1473</f>
        <v>-40</v>
      </c>
      <c r="BL1473" s="129" t="str">
        <f t="shared" si="1073"/>
        <v>NO CONVICTION</v>
      </c>
      <c r="BM1473" s="129" t="s">
        <v>76</v>
      </c>
      <c r="BN1473" s="129" t="s">
        <v>88</v>
      </c>
      <c r="BP1473" s="137" t="str">
        <f t="shared" si="1045"/>
        <v>NO CONVICTION</v>
      </c>
      <c r="BQ1473" s="128" t="str">
        <f t="shared" si="1046"/>
        <v>Y</v>
      </c>
      <c r="BR1473" s="129" t="s">
        <v>574</v>
      </c>
      <c r="BS1473" s="129" t="str">
        <f t="shared" si="1047"/>
        <v>DISPOSED</v>
      </c>
      <c r="BT1473" s="129" t="str">
        <f t="shared" si="1048"/>
        <v>N</v>
      </c>
      <c r="BU1473" s="109">
        <f>IFERROR(Q1473/R1473,BR1473)</f>
        <v>0.11904761904761904</v>
      </c>
      <c r="BV1473" s="109">
        <f t="shared" si="1057"/>
        <v>4.7619047619047616E-2</v>
      </c>
      <c r="BW1473" s="109">
        <f t="shared" si="1081"/>
        <v>-7.1428571428571425E-2</v>
      </c>
      <c r="BX1473" s="111">
        <f t="shared" si="1049"/>
        <v>0</v>
      </c>
      <c r="BY1473" s="129">
        <f t="shared" si="1050"/>
        <v>-2</v>
      </c>
      <c r="BZ1473" s="111">
        <f t="shared" si="1051"/>
        <v>3</v>
      </c>
      <c r="CA1473" s="138">
        <f t="shared" si="1052"/>
        <v>42</v>
      </c>
      <c r="CB1473" s="111" t="e">
        <f t="shared" si="1083"/>
        <v>#VALUE!</v>
      </c>
      <c r="CC1473" s="129">
        <f>G1473-I1473+1</f>
        <v>42</v>
      </c>
      <c r="CD1473" s="129">
        <f>G1473-J1473</f>
        <v>40</v>
      </c>
      <c r="CG1473" s="129" t="str">
        <f t="shared" si="1053"/>
        <v>N</v>
      </c>
      <c r="CI1473" s="129" t="str">
        <f t="shared" si="1059"/>
        <v>0-10 DAYS</v>
      </c>
      <c r="CJ1473" s="137">
        <f t="shared" si="1060"/>
        <v>1</v>
      </c>
      <c r="CK1473" s="129" t="str">
        <f t="shared" si="1061"/>
        <v>Booked</v>
      </c>
    </row>
    <row r="1474" spans="1:89" ht="15" customHeight="1" x14ac:dyDescent="0.25">
      <c r="A1474" s="111">
        <v>1663</v>
      </c>
      <c r="B1474" s="128" t="str">
        <f t="shared" ref="B1474" si="1088">IF(BD1474&lt;&gt;"","Y","N")</f>
        <v>N</v>
      </c>
      <c r="C1474" s="128" t="str">
        <f t="shared" ref="C1474" si="1089">IF((AND(AV1474="",AX1474="",AY1474="")),"N","Y")</f>
        <v>N</v>
      </c>
      <c r="D1474" s="117">
        <v>2050384</v>
      </c>
      <c r="E1474" s="135">
        <f t="shared" ref="E1474" si="1090">IF(OR(AL1474="ACQUITTAL",AL1474="ACQUIT",AL1474="acq insane",AL1474="DISMISSED",AL1474="NO BILL"),1,IF(AL1474="DEFERRED",2,IF(AL1474="PROBATION",3,IF(OR(AL1474="HCJ",AL1474="fine"),4,IF(AL1474="STJ",5,IF(AL1474="TDC",6,""))))))</f>
        <v>6</v>
      </c>
      <c r="F1474" s="124">
        <v>40970</v>
      </c>
      <c r="G1474" s="125">
        <v>41648</v>
      </c>
      <c r="H1474" s="117">
        <v>2050384</v>
      </c>
      <c r="I1474" s="124">
        <v>40970</v>
      </c>
      <c r="J1474" s="125">
        <v>41648</v>
      </c>
      <c r="K1474" s="126" t="s">
        <v>564</v>
      </c>
      <c r="L1474" s="127" t="s">
        <v>564</v>
      </c>
      <c r="N1474" s="129" t="s">
        <v>566</v>
      </c>
      <c r="O1474" s="128" t="s">
        <v>917</v>
      </c>
      <c r="P1474" s="129" t="s">
        <v>39</v>
      </c>
      <c r="Q1474" s="111">
        <f>BF1474</f>
        <v>679</v>
      </c>
      <c r="R1474" s="111">
        <f t="shared" si="1070"/>
        <v>679</v>
      </c>
      <c r="S1474" s="129">
        <v>3</v>
      </c>
      <c r="T1474" s="129">
        <v>3</v>
      </c>
      <c r="U1474" s="129">
        <v>1</v>
      </c>
      <c r="W1474" s="111"/>
      <c r="AC1474" s="130"/>
      <c r="AD1474" s="130">
        <v>31152</v>
      </c>
      <c r="AE1474" s="128" t="s">
        <v>32</v>
      </c>
      <c r="AF1474" s="128" t="s">
        <v>40</v>
      </c>
      <c r="AG1474" s="128" t="s">
        <v>41</v>
      </c>
      <c r="AH1474" s="108" t="s">
        <v>41</v>
      </c>
      <c r="AI1474" s="128" t="s">
        <v>42</v>
      </c>
      <c r="AJ1474" s="129" t="s">
        <v>89</v>
      </c>
      <c r="AK1474" s="129">
        <v>15</v>
      </c>
      <c r="AL1474" s="3" t="s">
        <v>362</v>
      </c>
      <c r="AM1474" s="117">
        <v>14</v>
      </c>
      <c r="AP1474" s="129" t="s">
        <v>73</v>
      </c>
      <c r="AR1474" s="128" t="s">
        <v>50</v>
      </c>
      <c r="AS1474" s="129" t="s">
        <v>74</v>
      </c>
      <c r="BC1474" s="129" t="s">
        <v>38</v>
      </c>
      <c r="BF1474" s="111">
        <f t="shared" ref="BF1474" si="1091">IF(J1474&gt;1/1/1900,((J1474+1)-I1474),"STILL OPEN")</f>
        <v>679</v>
      </c>
      <c r="BG1474" s="111">
        <f t="shared" si="1072"/>
        <v>679</v>
      </c>
      <c r="BH1474" s="111">
        <f t="shared" si="1085"/>
        <v>679</v>
      </c>
      <c r="BI1474" s="111">
        <f t="shared" si="1086"/>
        <v>26.825136612021858</v>
      </c>
      <c r="BJ1474" s="129">
        <f t="shared" ref="BJ1474" si="1092">G1474-J1474-M1474</f>
        <v>0</v>
      </c>
      <c r="BK1474" s="129">
        <f t="shared" si="1087"/>
        <v>0</v>
      </c>
      <c r="BL1474" s="129" t="str">
        <f t="shared" si="1073"/>
        <v>CONVICTION</v>
      </c>
      <c r="BM1474" s="129" t="str">
        <f t="shared" ref="BM1474" si="1093">O1474</f>
        <v>NONE</v>
      </c>
      <c r="BN1474" s="129" t="s">
        <v>566</v>
      </c>
      <c r="BP1474" s="137" t="str">
        <f t="shared" ref="BP1474" si="1094">IF(OR(AJ1474="AQUITTAL",AJ1474="DISMISSED",AJ1474="FINE",AJ1474="NO BILL"),"NO CONVICTION",IF(OR(AJ1474="HCJ",AJ1474="MHH",AJ1474="PROBATION",AJ1474="STJ",AJ1474="TDC",AJ1474="CONVICTED"),"CONVICTION",IF(AJ1474="DEFERRED","DEFERRED","")))</f>
        <v>CONVICTION</v>
      </c>
      <c r="BQ1474" s="128" t="str">
        <f t="shared" ref="BQ1474" si="1095">IF(BF1474&gt;0,"Y",BF1474)</f>
        <v>Y</v>
      </c>
      <c r="BR1474" s="129" t="s">
        <v>574</v>
      </c>
      <c r="BS1474" s="129" t="s">
        <v>1259</v>
      </c>
      <c r="BT1474" s="129" t="str">
        <f t="shared" ref="BT1474" si="1096">IF(S1474&gt;0,"Y","N")</f>
        <v>Y</v>
      </c>
      <c r="BU1474" s="109">
        <f>IFERROR(Q1474/R1474,BR1474)</f>
        <v>1</v>
      </c>
      <c r="BV1474" s="109">
        <f t="shared" si="1057"/>
        <v>1</v>
      </c>
      <c r="BW1474" s="109">
        <f t="shared" si="1081"/>
        <v>0</v>
      </c>
      <c r="BX1474" s="111">
        <f t="shared" ref="BX1474" si="1097">+Q1474-BF1474</f>
        <v>0</v>
      </c>
      <c r="BY1474" s="129">
        <f t="shared" ref="BY1474" si="1098">I1474-J1474-1</f>
        <v>-679</v>
      </c>
      <c r="BZ1474" s="111">
        <f t="shared" ref="BZ1474" si="1099">BY1474+BF1474</f>
        <v>0</v>
      </c>
      <c r="CA1474" s="138">
        <f t="shared" ref="CA1474" si="1100">IF(AND(BS1474="DISPOSED",BR1474="DETAINED"),G1474-I1474+1,IF(AND(BS1474="DISPOSED",BR1474="ON BOND"),M1474-I1474+1,IF(AND(BS1474="STILL OPEN","STILL OPEN"),"NOT BOOKED")))</f>
        <v>679</v>
      </c>
      <c r="CB1474" s="111" t="e">
        <f t="shared" si="1083"/>
        <v>#VALUE!</v>
      </c>
      <c r="CC1474" s="129">
        <f>G1474-I1474+1</f>
        <v>679</v>
      </c>
      <c r="CD1474" s="129">
        <f>G1474-J1474</f>
        <v>0</v>
      </c>
      <c r="CG1474" s="129" t="str">
        <f t="shared" ref="CG1474" si="1101">IF((S1474+T1474+U1474)&gt;0,"Y","N")</f>
        <v>Y</v>
      </c>
      <c r="CH1474" s="129" t="e">
        <v>#N/A</v>
      </c>
      <c r="CI1474" s="129" t="str">
        <f t="shared" si="1059"/>
        <v xml:space="preserve"> &gt;1YRS&lt;2YRS</v>
      </c>
      <c r="CJ1474" s="137">
        <f t="shared" si="1060"/>
        <v>0</v>
      </c>
      <c r="CK1474" s="129" t="str">
        <f t="shared" si="1061"/>
        <v>Booked</v>
      </c>
    </row>
    <row r="1475" spans="1:89" ht="15.75" customHeight="1" x14ac:dyDescent="0.25">
      <c r="A1475" s="111">
        <v>510</v>
      </c>
      <c r="B1475" s="128" t="str">
        <f t="shared" ref="B1475:B1537" si="1102">IF(BD1475&lt;&gt;"","Y","N")</f>
        <v>N</v>
      </c>
      <c r="C1475" s="128" t="str">
        <f t="shared" ref="C1475:C1537" si="1103">IF((AND(AV1475="",AX1475="",AY1475="")),"N","Y")</f>
        <v>N</v>
      </c>
      <c r="D1475" s="117">
        <v>2050417</v>
      </c>
      <c r="E1475" s="135">
        <f t="shared" ref="E1475:E1537" si="1104">IF(OR(AL1475="ACQUITTAL",AL1475="ACQUIT",AL1475="acq insane",AL1475="DISMISSED",AL1475="NO BILL"),1,IF(AL1475="DEFERRED",2,IF(AL1475="PROBATION",3,IF(OR(AL1475="HCJ",AL1475="fine"),4,IF(AL1475="STJ",5,IF(AL1475="TDC",6,""))))))</f>
        <v>2</v>
      </c>
      <c r="F1475" s="124">
        <v>40929</v>
      </c>
      <c r="G1475" s="125">
        <v>41066</v>
      </c>
      <c r="H1475" s="117">
        <v>2050417</v>
      </c>
      <c r="I1475" s="124">
        <v>40929</v>
      </c>
      <c r="J1475" s="124">
        <v>40930</v>
      </c>
      <c r="K1475" s="126">
        <v>2000</v>
      </c>
      <c r="L1475" s="127" t="s">
        <v>568</v>
      </c>
      <c r="M1475" s="125">
        <v>40930</v>
      </c>
      <c r="N1475" s="129" t="str">
        <f>IF(M1475&gt;1/1/1,"Y","N")</f>
        <v>Y</v>
      </c>
      <c r="O1475" s="128" t="s">
        <v>76</v>
      </c>
      <c r="P1475" s="129" t="s">
        <v>589</v>
      </c>
      <c r="Q1475" s="111">
        <f t="shared" si="1080"/>
        <v>2</v>
      </c>
      <c r="R1475" s="111">
        <f t="shared" si="1070"/>
        <v>138</v>
      </c>
      <c r="S1475" s="129">
        <v>0</v>
      </c>
      <c r="T1475" s="129">
        <v>1</v>
      </c>
      <c r="W1475" s="111"/>
      <c r="AC1475" s="130"/>
      <c r="AD1475" s="130">
        <v>24849</v>
      </c>
      <c r="AE1475" s="128" t="s">
        <v>32</v>
      </c>
      <c r="AF1475" s="128" t="s">
        <v>40</v>
      </c>
      <c r="AG1475" s="128" t="s">
        <v>41</v>
      </c>
      <c r="AH1475" s="108" t="s">
        <v>41</v>
      </c>
      <c r="AI1475" s="128" t="s">
        <v>97</v>
      </c>
      <c r="AJ1475" s="129" t="s">
        <v>48</v>
      </c>
      <c r="AK1475" s="129">
        <v>7</v>
      </c>
      <c r="AL1475" s="3" t="s">
        <v>48</v>
      </c>
      <c r="AP1475" s="129" t="s">
        <v>43</v>
      </c>
      <c r="AR1475" s="128" t="s">
        <v>44</v>
      </c>
      <c r="AS1475" s="129" t="s">
        <v>45</v>
      </c>
      <c r="BC1475" s="129" t="s">
        <v>52</v>
      </c>
      <c r="BF1475" s="111">
        <f t="shared" si="1082"/>
        <v>2</v>
      </c>
      <c r="BG1475" s="111">
        <f t="shared" si="1072"/>
        <v>138</v>
      </c>
      <c r="BH1475" s="111">
        <f t="shared" si="1085"/>
        <v>138</v>
      </c>
      <c r="BI1475" s="111">
        <f t="shared" si="1086"/>
        <v>43.934426229508198</v>
      </c>
      <c r="BJ1475" s="129">
        <f>(G1475-J1475)+(M1475-G1475)</f>
        <v>0</v>
      </c>
      <c r="BK1475" s="129">
        <f t="shared" si="1087"/>
        <v>-136</v>
      </c>
      <c r="BL1475" s="129" t="str">
        <f t="shared" si="1073"/>
        <v>DEFERRED</v>
      </c>
      <c r="BM1475" s="129" t="s">
        <v>76</v>
      </c>
      <c r="BN1475" s="129" t="s">
        <v>88</v>
      </c>
      <c r="BP1475" s="137" t="str">
        <f t="shared" ref="BP1475:BP1537" si="1105">IF(OR(AJ1475="AQUITTAL",AJ1475="DISMISSED",AJ1475="FINE",AJ1475="NO BILL"),"NO CONVICTION",IF(OR(AJ1475="HCJ",AJ1475="MHH",AJ1475="PROBATION",AJ1475="STJ",AJ1475="TDC",AJ1475="CONVICTED"),"CONVICTION",IF(AJ1475="DEFERRED","DEFERRED","")))</f>
        <v>DEFERRED</v>
      </c>
      <c r="BQ1475" s="128" t="str">
        <f t="shared" ref="BQ1475:BQ1537" si="1106">IF(BF1475&gt;0,"Y",BF1475)</f>
        <v>Y</v>
      </c>
      <c r="BR1475" s="129" t="str">
        <f t="shared" ref="BR1475:BR1537" si="1107">IF(AND(J1475="NOT BOOKED",M1475&gt;1/1/1),"BONDED - BEFORE BOOKED",IF(BG1475="STILL OPEN","STILL OPEN",IF(N1475="Y","ON BOND",IF(J1475&gt;=G1475,"DETAINED","RELEASED"))))</f>
        <v>ON BOND</v>
      </c>
      <c r="BS1475" s="129" t="str">
        <f t="shared" ref="BS1475:BS1537" si="1108">IF(G1475&lt;&gt;"","DISPOSED","")</f>
        <v>DISPOSED</v>
      </c>
      <c r="BT1475" s="129" t="str">
        <f t="shared" ref="BT1475:BT1537" si="1109">IF(S1475&gt;0,"Y","N")</f>
        <v>N</v>
      </c>
      <c r="BU1475" s="109">
        <f t="shared" ref="BU1475:BU1537" si="1110">Q1475/R1475</f>
        <v>1.4492753623188406E-2</v>
      </c>
      <c r="BV1475" s="109">
        <f t="shared" ref="BV1475:BV1537" si="1111">IF(I1475&gt;F1475,((J1475-I1475+1)/(G1475-I1475+1)),(J1475-I1475+1)/(G1475-F1475+1))</f>
        <v>1.4492753623188406E-2</v>
      </c>
      <c r="BW1475" s="109">
        <f t="shared" si="1081"/>
        <v>0</v>
      </c>
      <c r="BX1475" s="111">
        <f t="shared" ref="BX1475:BX1537" si="1112">+Q1475-BF1475</f>
        <v>0</v>
      </c>
      <c r="BY1475" s="129">
        <f t="shared" ref="BY1475:BY1537" si="1113">I1475-J1475-1</f>
        <v>-2</v>
      </c>
      <c r="BZ1475" s="111">
        <f t="shared" ref="BZ1475:BZ1537" si="1114">BY1475+BF1475</f>
        <v>0</v>
      </c>
      <c r="CA1475" s="138">
        <f t="shared" ref="CA1475:CA1537" si="1115">IF(AND(BS1475="DISPOSED",BR1475="DETAINED"),G1475-I1475+1,IF(AND(BS1475="DISPOSED",BR1475="ON BOND"),M1475-I1475+1,IF(AND(BS1475="STILL OPEN","STILL OPEN"),"NOT BOOKED")))</f>
        <v>2</v>
      </c>
      <c r="CB1475" s="111" t="e">
        <f t="shared" si="1083"/>
        <v>#VALUE!</v>
      </c>
      <c r="CC1475" s="129">
        <f>M1475-I1475+1</f>
        <v>2</v>
      </c>
      <c r="CD1475" s="111">
        <f>CC1475-BF1475</f>
        <v>0</v>
      </c>
      <c r="CG1475" s="129" t="str">
        <f t="shared" ref="CG1475:CG1537" si="1116">IF((S1475+T1475+U1475)&gt;0,"Y","N")</f>
        <v>Y</v>
      </c>
      <c r="CI1475" s="129" t="str">
        <f t="shared" ref="CI1475:CI1538" si="1117">IF(BF1475&lt;11,"0-10 DAYS",IF(AND(BF1475&gt;10,BF1475&lt;31),"11-30 DAYS",IF((AND(BF1475&gt;30,BF1475&lt;61)),"31-60 DAYS",IF(AND(BF1475&gt;60,BF1475&lt;91),"61-90 DAYS",IF(AND(BF1475&gt;90,BF1475&lt;121),"91-120 DAYS",IF(AND(BF1475&gt;120,BF1475&lt;366),"121-365 DAYS",IF(AND(BF1475&gt;365,BF1475&lt;730)," &gt;1YRS&lt;2YRS",IF(AND(BF1475&gt;729,BF1475&lt;1095),"&gt;2YRS&lt;3YRS",IF(BF1475&gt;1094,"&gt;3YRS")))))))))</f>
        <v>0-10 DAYS</v>
      </c>
      <c r="CJ1475" s="137">
        <f t="shared" ref="CJ1475:CJ1538" si="1118">IF(CI1475="0-10 DAYS",1,IF(CI1475="11-30 DAYS",2,IF(CI1475="31-60 DAYS",3,IF(CI1475="61-90 DAYS",4,IF(CK1475="91-120 DAYS",5,IF(CI1475="121-365 DAYS",6,IF(CI1475="&gt;1YRS&lt;2YRS",7,IF(CI1475="&gt;2YRS&lt;3YRS",8,IF(CI1475="&gt;3YRS",9,0)))))))))</f>
        <v>1</v>
      </c>
      <c r="CK1475" s="129" t="str">
        <f t="shared" ref="CK1475:CK1538" si="1119">IF(I1475="Not Booked","Not Booked","Booked")</f>
        <v>Booked</v>
      </c>
    </row>
    <row r="1476" spans="1:89" ht="15.75" customHeight="1" x14ac:dyDescent="0.25">
      <c r="A1476" s="111">
        <v>1220</v>
      </c>
      <c r="B1476" s="128" t="str">
        <f t="shared" si="1102"/>
        <v>N</v>
      </c>
      <c r="C1476" s="128" t="str">
        <f t="shared" si="1103"/>
        <v>N</v>
      </c>
      <c r="D1476" s="117">
        <v>2050642</v>
      </c>
      <c r="E1476" s="135">
        <f t="shared" si="1104"/>
        <v>6</v>
      </c>
      <c r="F1476" s="124">
        <v>40953</v>
      </c>
      <c r="G1476" s="125">
        <v>41304</v>
      </c>
      <c r="H1476" s="117">
        <v>2050642</v>
      </c>
      <c r="I1476" s="124">
        <v>40953</v>
      </c>
      <c r="J1476" s="125">
        <v>41304</v>
      </c>
      <c r="K1476" s="126" t="s">
        <v>564</v>
      </c>
      <c r="L1476" s="127" t="s">
        <v>564</v>
      </c>
      <c r="N1476" s="129" t="s">
        <v>566</v>
      </c>
      <c r="O1476" s="128" t="s">
        <v>917</v>
      </c>
      <c r="P1476" s="129" t="s">
        <v>39</v>
      </c>
      <c r="Q1476" s="111">
        <f t="shared" si="1080"/>
        <v>352</v>
      </c>
      <c r="R1476" s="111">
        <f t="shared" si="1070"/>
        <v>352</v>
      </c>
      <c r="S1476" s="129">
        <v>3</v>
      </c>
      <c r="T1476" s="129">
        <v>0</v>
      </c>
      <c r="V1476" s="117">
        <v>3</v>
      </c>
      <c r="W1476" s="111"/>
      <c r="AC1476" s="130"/>
      <c r="AD1476" s="130">
        <v>31306</v>
      </c>
      <c r="AE1476" s="128" t="s">
        <v>32</v>
      </c>
      <c r="AF1476" s="128" t="s">
        <v>69</v>
      </c>
      <c r="AG1476" s="128" t="s">
        <v>874</v>
      </c>
      <c r="AH1476" s="108" t="s">
        <v>31</v>
      </c>
      <c r="AI1476" s="128" t="s">
        <v>71</v>
      </c>
      <c r="AJ1476" s="129" t="s">
        <v>89</v>
      </c>
      <c r="AK1476" s="129">
        <v>13</v>
      </c>
      <c r="AL1476" s="3" t="s">
        <v>362</v>
      </c>
      <c r="AM1476" s="117">
        <v>5</v>
      </c>
      <c r="AP1476" s="129" t="s">
        <v>175</v>
      </c>
      <c r="AR1476" s="128" t="s">
        <v>44</v>
      </c>
      <c r="AS1476" s="129" t="s">
        <v>45</v>
      </c>
      <c r="AW1476" s="32"/>
      <c r="AX1476" s="32"/>
      <c r="BC1476" s="129" t="s">
        <v>52</v>
      </c>
      <c r="BF1476" s="111">
        <f t="shared" si="1082"/>
        <v>352</v>
      </c>
      <c r="BG1476" s="111">
        <f t="shared" si="1072"/>
        <v>352</v>
      </c>
      <c r="BH1476" s="111">
        <f t="shared" si="1085"/>
        <v>352</v>
      </c>
      <c r="BI1476" s="111">
        <f t="shared" si="1086"/>
        <v>26.357923497267759</v>
      </c>
      <c r="BJ1476" s="129">
        <f t="shared" ref="BJ1476:BJ1537" si="1120">G1476-J1476-M1476</f>
        <v>0</v>
      </c>
      <c r="BK1476" s="129">
        <f t="shared" si="1087"/>
        <v>0</v>
      </c>
      <c r="BL1476" s="129" t="str">
        <f t="shared" si="1073"/>
        <v>CONVICTION</v>
      </c>
      <c r="BM1476" s="129" t="str">
        <f t="shared" ref="BM1476:BM1537" si="1121">O1476</f>
        <v>NONE</v>
      </c>
      <c r="BN1476" s="129" t="s">
        <v>566</v>
      </c>
      <c r="BP1476" s="137" t="str">
        <f t="shared" si="1105"/>
        <v>CONVICTION</v>
      </c>
      <c r="BQ1476" s="128" t="str">
        <f t="shared" si="1106"/>
        <v>Y</v>
      </c>
      <c r="BR1476" s="129" t="str">
        <f t="shared" si="1107"/>
        <v>DETAINED</v>
      </c>
      <c r="BS1476" s="129" t="str">
        <f t="shared" si="1108"/>
        <v>DISPOSED</v>
      </c>
      <c r="BT1476" s="129" t="str">
        <f t="shared" si="1109"/>
        <v>Y</v>
      </c>
      <c r="BU1476" s="109">
        <f t="shared" si="1110"/>
        <v>1</v>
      </c>
      <c r="BV1476" s="109">
        <f t="shared" si="1111"/>
        <v>1</v>
      </c>
      <c r="BW1476" s="109">
        <f t="shared" si="1081"/>
        <v>0</v>
      </c>
      <c r="BX1476" s="111">
        <f t="shared" si="1112"/>
        <v>0</v>
      </c>
      <c r="BY1476" s="129">
        <f t="shared" si="1113"/>
        <v>-352</v>
      </c>
      <c r="BZ1476" s="111">
        <f t="shared" si="1114"/>
        <v>0</v>
      </c>
      <c r="CA1476" s="138">
        <f t="shared" si="1115"/>
        <v>352</v>
      </c>
      <c r="CB1476" s="111" t="e">
        <f t="shared" si="1083"/>
        <v>#VALUE!</v>
      </c>
      <c r="CC1476" s="129">
        <f>G1476-I1476+1</f>
        <v>352</v>
      </c>
      <c r="CD1476" s="129">
        <f>G1476-J1476</f>
        <v>0</v>
      </c>
      <c r="CG1476" s="129" t="str">
        <f t="shared" si="1116"/>
        <v>Y</v>
      </c>
      <c r="CI1476" s="129" t="str">
        <f t="shared" si="1117"/>
        <v>121-365 DAYS</v>
      </c>
      <c r="CJ1476" s="137">
        <f t="shared" si="1118"/>
        <v>6</v>
      </c>
      <c r="CK1476" s="129" t="str">
        <f t="shared" si="1119"/>
        <v>Booked</v>
      </c>
    </row>
    <row r="1477" spans="1:89" ht="15.75" customHeight="1" x14ac:dyDescent="0.25">
      <c r="A1477" s="111">
        <v>2060</v>
      </c>
      <c r="B1477" s="128" t="str">
        <f t="shared" si="1102"/>
        <v>N</v>
      </c>
      <c r="C1477" s="128" t="str">
        <f t="shared" si="1103"/>
        <v>N</v>
      </c>
      <c r="D1477" s="117">
        <v>2053382</v>
      </c>
      <c r="E1477" s="135">
        <f t="shared" si="1104"/>
        <v>3</v>
      </c>
      <c r="F1477" s="124">
        <v>40986</v>
      </c>
      <c r="G1477" s="125">
        <v>41044</v>
      </c>
      <c r="H1477" s="117">
        <v>2053382</v>
      </c>
      <c r="I1477" s="124" t="s">
        <v>562</v>
      </c>
      <c r="J1477" s="124" t="s">
        <v>562</v>
      </c>
      <c r="K1477" s="126">
        <v>10000</v>
      </c>
      <c r="L1477" s="127" t="s">
        <v>570</v>
      </c>
      <c r="M1477" s="125">
        <v>40987</v>
      </c>
      <c r="N1477" s="129" t="str">
        <f>IF(M1477&gt;1/1/1,"Y",IF(Q1477="0","","N"))</f>
        <v>Y</v>
      </c>
      <c r="O1477" s="128" t="s">
        <v>585</v>
      </c>
      <c r="P1477" s="129" t="s">
        <v>39</v>
      </c>
      <c r="Q1477" s="111">
        <f t="shared" si="1080"/>
        <v>0</v>
      </c>
      <c r="R1477" s="111">
        <f t="shared" si="1070"/>
        <v>59</v>
      </c>
      <c r="S1477" s="129">
        <v>0</v>
      </c>
      <c r="T1477" s="129">
        <v>4</v>
      </c>
      <c r="W1477" s="111"/>
      <c r="AC1477" s="130"/>
      <c r="AD1477" s="130">
        <v>31297</v>
      </c>
      <c r="AE1477" s="128" t="s">
        <v>32</v>
      </c>
      <c r="AF1477" s="128" t="s">
        <v>69</v>
      </c>
      <c r="AG1477" s="128" t="s">
        <v>874</v>
      </c>
      <c r="AH1477" s="108" t="s">
        <v>31</v>
      </c>
      <c r="AI1477" s="128" t="s">
        <v>114</v>
      </c>
      <c r="AJ1477" s="129" t="s">
        <v>89</v>
      </c>
      <c r="AK1477" s="129">
        <v>3</v>
      </c>
      <c r="AL1477" s="3" t="s">
        <v>185</v>
      </c>
      <c r="AO1477" s="128">
        <v>10</v>
      </c>
      <c r="AP1477" s="129" t="s">
        <v>66</v>
      </c>
      <c r="AR1477" s="128" t="s">
        <v>67</v>
      </c>
      <c r="AS1477" s="129" t="s">
        <v>68</v>
      </c>
      <c r="BC1477" s="129" t="s">
        <v>52</v>
      </c>
      <c r="BF1477" s="111">
        <v>0</v>
      </c>
      <c r="BG1477" s="111">
        <v>0</v>
      </c>
      <c r="BH1477" s="111">
        <f t="shared" si="1085"/>
        <v>59</v>
      </c>
      <c r="BI1477" s="111">
        <f t="shared" si="1086"/>
        <v>26.472677595628415</v>
      </c>
      <c r="BJ1477" s="129" t="e">
        <f>(G1477-J1477)+(M1477-G1477)</f>
        <v>#VALUE!</v>
      </c>
      <c r="BK1477" s="129" t="e">
        <f t="shared" si="1087"/>
        <v>#VALUE!</v>
      </c>
      <c r="BL1477" s="129" t="str">
        <f t="shared" si="1073"/>
        <v>CONVICTION</v>
      </c>
      <c r="BM1477" s="129" t="s">
        <v>76</v>
      </c>
      <c r="BN1477" s="129" t="s">
        <v>88</v>
      </c>
      <c r="BP1477" s="137" t="str">
        <f t="shared" si="1105"/>
        <v>CONVICTION</v>
      </c>
      <c r="BQ1477" s="128">
        <f t="shared" si="1106"/>
        <v>0</v>
      </c>
      <c r="BR1477" s="129" t="s">
        <v>575</v>
      </c>
      <c r="BS1477" s="129" t="str">
        <f t="shared" si="1108"/>
        <v>DISPOSED</v>
      </c>
      <c r="BT1477" s="129" t="str">
        <f t="shared" si="1109"/>
        <v>N</v>
      </c>
      <c r="BU1477" s="109">
        <f t="shared" si="1110"/>
        <v>0</v>
      </c>
      <c r="BV1477" s="109">
        <v>0</v>
      </c>
      <c r="BW1477" s="109">
        <f t="shared" si="1081"/>
        <v>0</v>
      </c>
      <c r="BX1477" s="111">
        <f t="shared" si="1112"/>
        <v>0</v>
      </c>
      <c r="BY1477" s="129" t="e">
        <f t="shared" si="1113"/>
        <v>#VALUE!</v>
      </c>
      <c r="BZ1477" s="111" t="e">
        <f t="shared" si="1114"/>
        <v>#VALUE!</v>
      </c>
      <c r="CA1477" s="138" t="e">
        <f t="shared" si="1115"/>
        <v>#VALUE!</v>
      </c>
      <c r="CB1477" s="111">
        <v>0</v>
      </c>
      <c r="CC1477" s="129">
        <v>0</v>
      </c>
      <c r="CD1477" s="111">
        <f>CC1477-BF1477</f>
        <v>0</v>
      </c>
      <c r="CG1477" s="129" t="str">
        <f t="shared" si="1116"/>
        <v>Y</v>
      </c>
      <c r="CI1477" s="129" t="str">
        <f t="shared" si="1117"/>
        <v>0-10 DAYS</v>
      </c>
      <c r="CJ1477" s="137">
        <f t="shared" si="1118"/>
        <v>1</v>
      </c>
      <c r="CK1477" s="129" t="str">
        <f t="shared" si="1119"/>
        <v>Not Booked</v>
      </c>
    </row>
    <row r="1478" spans="1:89" ht="15.75" customHeight="1" x14ac:dyDescent="0.25">
      <c r="A1478" s="111">
        <v>382</v>
      </c>
      <c r="B1478" s="128" t="str">
        <f t="shared" si="1102"/>
        <v>Y</v>
      </c>
      <c r="C1478" s="128" t="str">
        <f t="shared" si="1103"/>
        <v>Y</v>
      </c>
      <c r="D1478" s="117">
        <v>2054090</v>
      </c>
      <c r="E1478" s="135">
        <f t="shared" si="1104"/>
        <v>2</v>
      </c>
      <c r="F1478" s="124">
        <v>40924</v>
      </c>
      <c r="G1478" s="125">
        <v>41023</v>
      </c>
      <c r="H1478" s="117">
        <v>2054090</v>
      </c>
      <c r="I1478" s="124">
        <v>40983</v>
      </c>
      <c r="J1478" s="124">
        <v>40925</v>
      </c>
      <c r="K1478" s="126">
        <v>2000</v>
      </c>
      <c r="L1478" s="127" t="s">
        <v>568</v>
      </c>
      <c r="M1478" s="125">
        <v>40925</v>
      </c>
      <c r="N1478" s="129" t="str">
        <f t="shared" ref="N1478:N1490" si="1122">IF(M1478&gt;1/1/1,"Y","N")</f>
        <v>Y</v>
      </c>
      <c r="O1478" s="128" t="s">
        <v>76</v>
      </c>
      <c r="P1478" s="129" t="s">
        <v>589</v>
      </c>
      <c r="Q1478" s="111">
        <f t="shared" si="1080"/>
        <v>38</v>
      </c>
      <c r="R1478" s="111">
        <f t="shared" si="1070"/>
        <v>100</v>
      </c>
      <c r="S1478" s="129">
        <v>0</v>
      </c>
      <c r="T1478" s="129">
        <v>1</v>
      </c>
      <c r="W1478" s="111"/>
      <c r="AC1478" s="130"/>
      <c r="AD1478" s="130">
        <v>25987</v>
      </c>
      <c r="AE1478" s="128" t="s">
        <v>46</v>
      </c>
      <c r="AF1478" s="128" t="s">
        <v>69</v>
      </c>
      <c r="AG1478" s="128" t="s">
        <v>874</v>
      </c>
      <c r="AH1478" s="108" t="s">
        <v>58</v>
      </c>
      <c r="AI1478" s="128" t="s">
        <v>65</v>
      </c>
      <c r="AJ1478" s="129" t="s">
        <v>48</v>
      </c>
      <c r="AK1478" s="129">
        <v>6</v>
      </c>
      <c r="AL1478" s="3" t="s">
        <v>48</v>
      </c>
      <c r="AP1478" s="129" t="s">
        <v>93</v>
      </c>
      <c r="AR1478" s="128" t="s">
        <v>67</v>
      </c>
      <c r="AS1478" s="129" t="s">
        <v>45</v>
      </c>
      <c r="AU1478" s="3" t="s">
        <v>805</v>
      </c>
      <c r="AX1478" s="129" t="s">
        <v>88</v>
      </c>
      <c r="BC1478" s="129" t="s">
        <v>52</v>
      </c>
      <c r="BD1478" s="129" t="s">
        <v>1289</v>
      </c>
      <c r="BF1478" s="111">
        <v>38</v>
      </c>
      <c r="BG1478" s="111">
        <f t="shared" ref="BG1478:BG1490" si="1123">IF(G1478&gt;1/1/1900,((G1478+1)-I1478),"STILL OPEN")</f>
        <v>41</v>
      </c>
      <c r="BH1478" s="111">
        <f t="shared" si="1085"/>
        <v>100</v>
      </c>
      <c r="BI1478" s="111">
        <f t="shared" si="1086"/>
        <v>40.811475409836063</v>
      </c>
      <c r="BJ1478" s="129">
        <f>(G1478-J1478)+(M1478-G1478)</f>
        <v>0</v>
      </c>
      <c r="BK1478" s="129">
        <f t="shared" si="1087"/>
        <v>-98</v>
      </c>
      <c r="BL1478" s="129" t="str">
        <f t="shared" si="1073"/>
        <v>DEFERRED</v>
      </c>
      <c r="BM1478" s="129" t="s">
        <v>76</v>
      </c>
      <c r="BN1478" s="129" t="s">
        <v>88</v>
      </c>
      <c r="BP1478" s="137" t="str">
        <f t="shared" si="1105"/>
        <v>DEFERRED</v>
      </c>
      <c r="BQ1478" s="128" t="str">
        <f t="shared" si="1106"/>
        <v>Y</v>
      </c>
      <c r="BR1478" s="129" t="s">
        <v>574</v>
      </c>
      <c r="BS1478" s="129" t="str">
        <f t="shared" si="1108"/>
        <v>DISPOSED</v>
      </c>
      <c r="BT1478" s="129" t="str">
        <f t="shared" si="1109"/>
        <v>N</v>
      </c>
      <c r="BU1478" s="109">
        <f t="shared" si="1110"/>
        <v>0.38</v>
      </c>
      <c r="BV1478" s="109">
        <f t="shared" si="1111"/>
        <v>-1.3902439024390243</v>
      </c>
      <c r="BW1478" s="109">
        <f t="shared" si="1081"/>
        <v>-1.7702439024390242</v>
      </c>
      <c r="BX1478" s="111">
        <f t="shared" si="1112"/>
        <v>0</v>
      </c>
      <c r="BY1478" s="129">
        <f t="shared" si="1113"/>
        <v>57</v>
      </c>
      <c r="BZ1478" s="111">
        <f t="shared" si="1114"/>
        <v>95</v>
      </c>
      <c r="CA1478" s="138">
        <f t="shared" si="1115"/>
        <v>41</v>
      </c>
      <c r="CB1478" s="111">
        <v>38</v>
      </c>
      <c r="CC1478" s="129">
        <f>G1478-I1478+1</f>
        <v>41</v>
      </c>
      <c r="CD1478" s="129">
        <f>G1478-J1478</f>
        <v>98</v>
      </c>
      <c r="CG1478" s="129" t="str">
        <f t="shared" si="1116"/>
        <v>Y</v>
      </c>
      <c r="CI1478" s="129" t="str">
        <f t="shared" si="1117"/>
        <v>31-60 DAYS</v>
      </c>
      <c r="CJ1478" s="137">
        <f t="shared" si="1118"/>
        <v>3</v>
      </c>
      <c r="CK1478" s="129" t="str">
        <f t="shared" si="1119"/>
        <v>Booked</v>
      </c>
    </row>
    <row r="1479" spans="1:89" ht="15" customHeight="1" x14ac:dyDescent="0.25">
      <c r="A1479" s="111">
        <v>1498</v>
      </c>
      <c r="B1479" s="128" t="str">
        <f t="shared" si="1102"/>
        <v>N</v>
      </c>
      <c r="C1479" s="128" t="str">
        <f t="shared" si="1103"/>
        <v>N</v>
      </c>
      <c r="D1479" s="117">
        <v>2054092</v>
      </c>
      <c r="E1479" s="135">
        <f t="shared" si="1104"/>
        <v>5</v>
      </c>
      <c r="F1479" s="124">
        <v>40964</v>
      </c>
      <c r="G1479" s="125">
        <v>40995</v>
      </c>
      <c r="H1479" s="117">
        <v>2054092</v>
      </c>
      <c r="I1479" s="124">
        <v>40964</v>
      </c>
      <c r="J1479" s="124">
        <v>40995</v>
      </c>
      <c r="K1479" s="126">
        <v>15000</v>
      </c>
      <c r="L1479" s="127" t="s">
        <v>571</v>
      </c>
      <c r="N1479" s="129" t="str">
        <f t="shared" si="1122"/>
        <v>N</v>
      </c>
      <c r="O1479" s="128" t="s">
        <v>917</v>
      </c>
      <c r="P1479" s="129" t="s">
        <v>39</v>
      </c>
      <c r="Q1479" s="111">
        <f t="shared" si="1080"/>
        <v>32</v>
      </c>
      <c r="R1479" s="111">
        <f t="shared" si="1070"/>
        <v>32</v>
      </c>
      <c r="S1479" s="129">
        <v>7</v>
      </c>
      <c r="T1479" s="129">
        <v>3</v>
      </c>
      <c r="U1479" s="129">
        <v>5</v>
      </c>
      <c r="W1479" s="111"/>
      <c r="AC1479" s="130"/>
      <c r="AD1479" s="130">
        <v>22939</v>
      </c>
      <c r="AE1479" s="128" t="s">
        <v>32</v>
      </c>
      <c r="AF1479" s="128" t="s">
        <v>33</v>
      </c>
      <c r="AG1479" s="128" t="s">
        <v>872</v>
      </c>
      <c r="AH1479" s="108" t="s">
        <v>58</v>
      </c>
      <c r="AI1479" s="128" t="s">
        <v>34</v>
      </c>
      <c r="AJ1479" s="129" t="s">
        <v>89</v>
      </c>
      <c r="AK1479" s="129">
        <v>2</v>
      </c>
      <c r="AL1479" s="3" t="s">
        <v>992</v>
      </c>
      <c r="AN1479" s="117">
        <v>6</v>
      </c>
      <c r="AP1479" s="129" t="s">
        <v>43</v>
      </c>
      <c r="AR1479" s="128" t="s">
        <v>44</v>
      </c>
      <c r="AS1479" s="129" t="s">
        <v>45</v>
      </c>
      <c r="BC1479" s="129" t="s">
        <v>38</v>
      </c>
      <c r="BF1479" s="111">
        <f t="shared" ref="BF1479:BF1490" si="1124">IF(J1479&gt;1/1/1900,((J1479+1)-I1479),"STILL OPEN")</f>
        <v>32</v>
      </c>
      <c r="BG1479" s="111">
        <f t="shared" si="1123"/>
        <v>32</v>
      </c>
      <c r="BH1479" s="111">
        <f t="shared" si="1085"/>
        <v>32</v>
      </c>
      <c r="BI1479" s="111">
        <f t="shared" si="1086"/>
        <v>49.248633879781423</v>
      </c>
      <c r="BJ1479" s="129">
        <f t="shared" si="1120"/>
        <v>0</v>
      </c>
      <c r="BK1479" s="129">
        <f t="shared" si="1087"/>
        <v>0</v>
      </c>
      <c r="BL1479" s="129" t="str">
        <f t="shared" si="1073"/>
        <v>CONVICTION</v>
      </c>
      <c r="BM1479" s="129" t="str">
        <f t="shared" si="1121"/>
        <v>NONE</v>
      </c>
      <c r="BN1479" s="129" t="s">
        <v>566</v>
      </c>
      <c r="BP1479" s="137" t="str">
        <f t="shared" si="1105"/>
        <v>CONVICTION</v>
      </c>
      <c r="BQ1479" s="128" t="str">
        <f t="shared" si="1106"/>
        <v>Y</v>
      </c>
      <c r="BR1479" s="129" t="str">
        <f t="shared" si="1107"/>
        <v>DETAINED</v>
      </c>
      <c r="BS1479" s="129" t="str">
        <f t="shared" si="1108"/>
        <v>DISPOSED</v>
      </c>
      <c r="BT1479" s="129" t="str">
        <f t="shared" si="1109"/>
        <v>Y</v>
      </c>
      <c r="BU1479" s="109">
        <f t="shared" si="1110"/>
        <v>1</v>
      </c>
      <c r="BV1479" s="109">
        <f t="shared" si="1111"/>
        <v>1</v>
      </c>
      <c r="BW1479" s="109">
        <f t="shared" si="1081"/>
        <v>0</v>
      </c>
      <c r="BX1479" s="111">
        <f t="shared" si="1112"/>
        <v>0</v>
      </c>
      <c r="BY1479" s="129">
        <f t="shared" si="1113"/>
        <v>-32</v>
      </c>
      <c r="BZ1479" s="111">
        <f t="shared" si="1114"/>
        <v>0</v>
      </c>
      <c r="CA1479" s="138">
        <f t="shared" si="1115"/>
        <v>32</v>
      </c>
      <c r="CB1479" s="111" t="e">
        <f t="shared" ref="CB1479:CB1490" si="1125">IF(AF1479&gt;1/1/1900,((AF1479+1)-AE1479),"STILL OPEN")</f>
        <v>#VALUE!</v>
      </c>
      <c r="CC1479" s="129">
        <f>G1479-I1479+1</f>
        <v>32</v>
      </c>
      <c r="CD1479" s="129">
        <f>G1479-J1479</f>
        <v>0</v>
      </c>
      <c r="CG1479" s="129" t="str">
        <f t="shared" si="1116"/>
        <v>Y</v>
      </c>
      <c r="CI1479" s="129" t="str">
        <f t="shared" si="1117"/>
        <v>31-60 DAYS</v>
      </c>
      <c r="CJ1479" s="137">
        <f t="shared" si="1118"/>
        <v>3</v>
      </c>
      <c r="CK1479" s="129" t="str">
        <f t="shared" si="1119"/>
        <v>Booked</v>
      </c>
    </row>
    <row r="1480" spans="1:89" ht="15" customHeight="1" x14ac:dyDescent="0.25">
      <c r="A1480" s="111">
        <v>1199</v>
      </c>
      <c r="B1480" s="128" t="str">
        <f t="shared" si="1102"/>
        <v>Y</v>
      </c>
      <c r="C1480" s="128" t="str">
        <f t="shared" si="1103"/>
        <v>Y</v>
      </c>
      <c r="D1480" s="117">
        <v>2054133</v>
      </c>
      <c r="E1480" s="135">
        <f t="shared" si="1104"/>
        <v>6</v>
      </c>
      <c r="F1480" s="124">
        <v>40952</v>
      </c>
      <c r="G1480" s="125">
        <v>41171</v>
      </c>
      <c r="H1480" s="117">
        <v>2054133</v>
      </c>
      <c r="I1480" s="124">
        <v>40953</v>
      </c>
      <c r="J1480" s="124">
        <v>40958</v>
      </c>
      <c r="K1480" s="126">
        <v>20000</v>
      </c>
      <c r="L1480" s="127" t="s">
        <v>571</v>
      </c>
      <c r="M1480" s="125">
        <v>40958</v>
      </c>
      <c r="N1480" s="129" t="str">
        <f t="shared" si="1122"/>
        <v>Y</v>
      </c>
      <c r="O1480" s="128" t="s">
        <v>76</v>
      </c>
      <c r="P1480" s="129" t="s">
        <v>39</v>
      </c>
      <c r="Q1480" s="111">
        <v>86</v>
      </c>
      <c r="R1480" s="111">
        <f t="shared" si="1070"/>
        <v>220</v>
      </c>
      <c r="S1480" s="129">
        <v>1</v>
      </c>
      <c r="T1480" s="129">
        <v>2</v>
      </c>
      <c r="U1480" s="129">
        <v>1</v>
      </c>
      <c r="W1480" s="111"/>
      <c r="AC1480" s="130"/>
      <c r="AD1480" s="130">
        <v>30000</v>
      </c>
      <c r="AE1480" s="128" t="s">
        <v>32</v>
      </c>
      <c r="AF1480" s="128" t="s">
        <v>33</v>
      </c>
      <c r="AG1480" s="128" t="s">
        <v>872</v>
      </c>
      <c r="AH1480" s="108" t="s">
        <v>31</v>
      </c>
      <c r="AI1480" s="128" t="s">
        <v>34</v>
      </c>
      <c r="AJ1480" s="129" t="s">
        <v>89</v>
      </c>
      <c r="AK1480" s="129">
        <v>8</v>
      </c>
      <c r="AL1480" s="3" t="s">
        <v>362</v>
      </c>
      <c r="AM1480" s="117">
        <v>2</v>
      </c>
      <c r="AP1480" s="129" t="s">
        <v>49</v>
      </c>
      <c r="AR1480" s="128" t="s">
        <v>50</v>
      </c>
      <c r="AS1480" s="129" t="s">
        <v>45</v>
      </c>
      <c r="AU1480" s="3" t="s">
        <v>819</v>
      </c>
      <c r="AV1480" s="3" t="s">
        <v>88</v>
      </c>
      <c r="AW1480" s="123" t="s">
        <v>714</v>
      </c>
      <c r="BA1480" s="125">
        <v>41288</v>
      </c>
      <c r="BB1480" s="129">
        <v>412</v>
      </c>
      <c r="BC1480" s="129" t="s">
        <v>99</v>
      </c>
      <c r="BD1480" s="129" t="s">
        <v>1216</v>
      </c>
      <c r="BF1480" s="111">
        <v>86</v>
      </c>
      <c r="BG1480" s="111">
        <f t="shared" si="1123"/>
        <v>219</v>
      </c>
      <c r="BH1480" s="111">
        <f t="shared" si="1085"/>
        <v>220</v>
      </c>
      <c r="BI1480" s="111">
        <f t="shared" si="1086"/>
        <v>29.923497267759561</v>
      </c>
      <c r="BJ1480" s="129">
        <f>(G1480-J1480)+(M1480-G1480)</f>
        <v>0</v>
      </c>
      <c r="BK1480" s="129">
        <f t="shared" si="1087"/>
        <v>-213</v>
      </c>
      <c r="BL1480" s="129" t="str">
        <f t="shared" si="1073"/>
        <v>CONVICTION</v>
      </c>
      <c r="BM1480" s="129" t="s">
        <v>76</v>
      </c>
      <c r="BN1480" s="129" t="s">
        <v>88</v>
      </c>
      <c r="BP1480" s="137" t="str">
        <f t="shared" si="1105"/>
        <v>CONVICTION</v>
      </c>
      <c r="BQ1480" s="128" t="str">
        <f t="shared" si="1106"/>
        <v>Y</v>
      </c>
      <c r="BR1480" s="129" t="s">
        <v>574</v>
      </c>
      <c r="BS1480" s="129" t="str">
        <f t="shared" si="1108"/>
        <v>DISPOSED</v>
      </c>
      <c r="BT1480" s="129" t="str">
        <f t="shared" si="1109"/>
        <v>Y</v>
      </c>
      <c r="BU1480" s="109">
        <f t="shared" si="1110"/>
        <v>0.39090909090909093</v>
      </c>
      <c r="BV1480" s="109">
        <f t="shared" si="1111"/>
        <v>2.7397260273972601E-2</v>
      </c>
      <c r="BW1480" s="109">
        <f t="shared" si="1081"/>
        <v>-0.36351183063511833</v>
      </c>
      <c r="BX1480" s="111">
        <f t="shared" si="1112"/>
        <v>0</v>
      </c>
      <c r="BY1480" s="129">
        <f t="shared" si="1113"/>
        <v>-6</v>
      </c>
      <c r="BZ1480" s="111">
        <f t="shared" si="1114"/>
        <v>80</v>
      </c>
      <c r="CA1480" s="138">
        <f t="shared" si="1115"/>
        <v>219</v>
      </c>
      <c r="CB1480" s="111">
        <v>86</v>
      </c>
      <c r="CC1480" s="129">
        <f>G1480-I1480+1</f>
        <v>219</v>
      </c>
      <c r="CD1480" s="129">
        <f>G1480-J1480</f>
        <v>213</v>
      </c>
      <c r="CG1480" s="129" t="str">
        <f t="shared" si="1116"/>
        <v>Y</v>
      </c>
      <c r="CI1480" s="129" t="str">
        <f t="shared" si="1117"/>
        <v>61-90 DAYS</v>
      </c>
      <c r="CJ1480" s="137">
        <f t="shared" si="1118"/>
        <v>4</v>
      </c>
      <c r="CK1480" s="129" t="str">
        <f t="shared" si="1119"/>
        <v>Booked</v>
      </c>
    </row>
    <row r="1481" spans="1:89" ht="15.75" customHeight="1" x14ac:dyDescent="0.25">
      <c r="A1481" s="111">
        <v>1776</v>
      </c>
      <c r="B1481" s="128" t="str">
        <f t="shared" si="1102"/>
        <v>N</v>
      </c>
      <c r="C1481" s="128" t="str">
        <f t="shared" si="1103"/>
        <v>N</v>
      </c>
      <c r="D1481" s="117">
        <v>2054721</v>
      </c>
      <c r="E1481" s="135">
        <f t="shared" si="1104"/>
        <v>5</v>
      </c>
      <c r="F1481" s="124">
        <v>40975</v>
      </c>
      <c r="G1481" s="125">
        <v>41088</v>
      </c>
      <c r="H1481" s="117">
        <v>2054721</v>
      </c>
      <c r="I1481" s="124">
        <v>40975</v>
      </c>
      <c r="J1481" s="124">
        <v>41088</v>
      </c>
      <c r="K1481" s="126">
        <v>15000</v>
      </c>
      <c r="L1481" s="127" t="s">
        <v>571</v>
      </c>
      <c r="N1481" s="129" t="str">
        <f t="shared" si="1122"/>
        <v>N</v>
      </c>
      <c r="O1481" s="128" t="s">
        <v>917</v>
      </c>
      <c r="P1481" s="129" t="s">
        <v>39</v>
      </c>
      <c r="Q1481" s="111">
        <f t="shared" si="1080"/>
        <v>114</v>
      </c>
      <c r="R1481" s="111">
        <f t="shared" si="1070"/>
        <v>114</v>
      </c>
      <c r="S1481" s="129">
        <v>3</v>
      </c>
      <c r="T1481" s="129">
        <v>1</v>
      </c>
      <c r="V1481" s="117">
        <v>1</v>
      </c>
      <c r="W1481" s="111"/>
      <c r="AC1481" s="130"/>
      <c r="AD1481" s="130">
        <v>21144</v>
      </c>
      <c r="AE1481" s="128" t="s">
        <v>46</v>
      </c>
      <c r="AF1481" s="128" t="s">
        <v>69</v>
      </c>
      <c r="AG1481" s="128" t="s">
        <v>874</v>
      </c>
      <c r="AH1481" s="108" t="s">
        <v>58</v>
      </c>
      <c r="AI1481" s="128" t="s">
        <v>87</v>
      </c>
      <c r="AJ1481" s="129" t="s">
        <v>89</v>
      </c>
      <c r="AK1481" s="129">
        <v>7</v>
      </c>
      <c r="AL1481" s="3" t="s">
        <v>992</v>
      </c>
      <c r="AN1481" s="117">
        <v>6</v>
      </c>
      <c r="AP1481" s="129" t="s">
        <v>43</v>
      </c>
      <c r="AR1481" s="128" t="s">
        <v>44</v>
      </c>
      <c r="AS1481" s="129" t="s">
        <v>45</v>
      </c>
      <c r="BC1481" s="129" t="s">
        <v>38</v>
      </c>
      <c r="BF1481" s="111">
        <f t="shared" si="1124"/>
        <v>114</v>
      </c>
      <c r="BG1481" s="111">
        <f t="shared" si="1123"/>
        <v>114</v>
      </c>
      <c r="BH1481" s="111">
        <f t="shared" si="1085"/>
        <v>114</v>
      </c>
      <c r="BI1481" s="111">
        <f t="shared" si="1086"/>
        <v>54.18306010928962</v>
      </c>
      <c r="BJ1481" s="129">
        <f t="shared" si="1120"/>
        <v>0</v>
      </c>
      <c r="BK1481" s="129">
        <f t="shared" si="1087"/>
        <v>0</v>
      </c>
      <c r="BL1481" s="129" t="str">
        <f t="shared" si="1073"/>
        <v>CONVICTION</v>
      </c>
      <c r="BM1481" s="129" t="str">
        <f t="shared" si="1121"/>
        <v>NONE</v>
      </c>
      <c r="BN1481" s="129" t="s">
        <v>566</v>
      </c>
      <c r="BP1481" s="137" t="str">
        <f t="shared" si="1105"/>
        <v>CONVICTION</v>
      </c>
      <c r="BQ1481" s="128" t="str">
        <f t="shared" si="1106"/>
        <v>Y</v>
      </c>
      <c r="BR1481" s="129" t="str">
        <f t="shared" si="1107"/>
        <v>DETAINED</v>
      </c>
      <c r="BS1481" s="129" t="str">
        <f t="shared" si="1108"/>
        <v>DISPOSED</v>
      </c>
      <c r="BT1481" s="129" t="str">
        <f t="shared" si="1109"/>
        <v>Y</v>
      </c>
      <c r="BU1481" s="109">
        <f t="shared" si="1110"/>
        <v>1</v>
      </c>
      <c r="BV1481" s="109">
        <f t="shared" si="1111"/>
        <v>1</v>
      </c>
      <c r="BW1481" s="109">
        <f t="shared" si="1081"/>
        <v>0</v>
      </c>
      <c r="BX1481" s="111">
        <f t="shared" si="1112"/>
        <v>0</v>
      </c>
      <c r="BY1481" s="129">
        <f t="shared" si="1113"/>
        <v>-114</v>
      </c>
      <c r="BZ1481" s="111">
        <f t="shared" si="1114"/>
        <v>0</v>
      </c>
      <c r="CA1481" s="138">
        <f t="shared" si="1115"/>
        <v>114</v>
      </c>
      <c r="CB1481" s="111" t="e">
        <f t="shared" si="1125"/>
        <v>#VALUE!</v>
      </c>
      <c r="CC1481" s="129">
        <f>G1481-I1481+1</f>
        <v>114</v>
      </c>
      <c r="CD1481" s="129">
        <f>G1481-J1481</f>
        <v>0</v>
      </c>
      <c r="CG1481" s="129" t="str">
        <f t="shared" si="1116"/>
        <v>Y</v>
      </c>
      <c r="CI1481" s="129" t="str">
        <f t="shared" si="1117"/>
        <v>91-120 DAYS</v>
      </c>
      <c r="CJ1481" s="137">
        <f t="shared" si="1118"/>
        <v>0</v>
      </c>
      <c r="CK1481" s="129" t="str">
        <f t="shared" si="1119"/>
        <v>Booked</v>
      </c>
    </row>
    <row r="1482" spans="1:89" ht="15.75" customHeight="1" x14ac:dyDescent="0.25">
      <c r="A1482" s="111">
        <v>2335</v>
      </c>
      <c r="B1482" s="128" t="str">
        <f t="shared" si="1102"/>
        <v>N</v>
      </c>
      <c r="C1482" s="128" t="str">
        <f t="shared" si="1103"/>
        <v>N</v>
      </c>
      <c r="D1482" s="117">
        <v>2055134</v>
      </c>
      <c r="E1482" s="135">
        <f t="shared" si="1104"/>
        <v>4</v>
      </c>
      <c r="F1482" s="124">
        <v>40997</v>
      </c>
      <c r="G1482" s="125">
        <v>41170</v>
      </c>
      <c r="H1482" s="117">
        <v>2055134</v>
      </c>
      <c r="I1482" s="124">
        <v>40997</v>
      </c>
      <c r="J1482" s="124">
        <v>41015</v>
      </c>
      <c r="K1482" s="126">
        <v>10000</v>
      </c>
      <c r="L1482" s="127" t="s">
        <v>570</v>
      </c>
      <c r="M1482" s="125">
        <v>41015</v>
      </c>
      <c r="N1482" s="129" t="str">
        <f t="shared" si="1122"/>
        <v>Y</v>
      </c>
      <c r="O1482" s="128" t="s">
        <v>76</v>
      </c>
      <c r="P1482" s="129" t="s">
        <v>39</v>
      </c>
      <c r="Q1482" s="111">
        <f t="shared" si="1080"/>
        <v>19</v>
      </c>
      <c r="R1482" s="111">
        <f t="shared" si="1070"/>
        <v>174</v>
      </c>
      <c r="S1482" s="129">
        <v>1</v>
      </c>
      <c r="T1482" s="129">
        <v>6</v>
      </c>
      <c r="W1482" s="111"/>
      <c r="AC1482" s="130"/>
      <c r="AD1482" s="130">
        <v>30482</v>
      </c>
      <c r="AE1482" s="128" t="s">
        <v>32</v>
      </c>
      <c r="AF1482" s="128" t="s">
        <v>69</v>
      </c>
      <c r="AG1482" s="128" t="s">
        <v>874</v>
      </c>
      <c r="AH1482" s="108" t="s">
        <v>31</v>
      </c>
      <c r="AI1482" s="128" t="s">
        <v>100</v>
      </c>
      <c r="AJ1482" s="129" t="s">
        <v>89</v>
      </c>
      <c r="AK1482" s="129">
        <v>9</v>
      </c>
      <c r="AL1482" s="3" t="s">
        <v>991</v>
      </c>
      <c r="AO1482" s="128">
        <v>365</v>
      </c>
      <c r="AP1482" s="129" t="s">
        <v>158</v>
      </c>
      <c r="AR1482" s="128" t="s">
        <v>67</v>
      </c>
      <c r="AS1482" s="129" t="s">
        <v>64</v>
      </c>
      <c r="BC1482" s="129" t="s">
        <v>52</v>
      </c>
      <c r="BF1482" s="111">
        <f t="shared" si="1124"/>
        <v>19</v>
      </c>
      <c r="BG1482" s="111">
        <f t="shared" si="1123"/>
        <v>174</v>
      </c>
      <c r="BH1482" s="111">
        <f t="shared" si="1085"/>
        <v>174</v>
      </c>
      <c r="BI1482" s="111">
        <f t="shared" si="1086"/>
        <v>28.729508196721312</v>
      </c>
      <c r="BJ1482" s="129">
        <f>(G1482-J1482)+(M1482-G1482)</f>
        <v>0</v>
      </c>
      <c r="BK1482" s="129">
        <f t="shared" si="1087"/>
        <v>-155</v>
      </c>
      <c r="BL1482" s="129" t="str">
        <f t="shared" si="1073"/>
        <v>CONVICTION</v>
      </c>
      <c r="BM1482" s="129" t="s">
        <v>76</v>
      </c>
      <c r="BN1482" s="129" t="s">
        <v>88</v>
      </c>
      <c r="BP1482" s="137" t="str">
        <f t="shared" si="1105"/>
        <v>CONVICTION</v>
      </c>
      <c r="BQ1482" s="128" t="str">
        <f t="shared" si="1106"/>
        <v>Y</v>
      </c>
      <c r="BR1482" s="129" t="str">
        <f>IF(J1482&lt;G1482,"ON BOND",0)</f>
        <v>ON BOND</v>
      </c>
      <c r="BS1482" s="129" t="str">
        <f t="shared" si="1108"/>
        <v>DISPOSED</v>
      </c>
      <c r="BT1482" s="129" t="str">
        <f t="shared" si="1109"/>
        <v>Y</v>
      </c>
      <c r="BU1482" s="109">
        <f t="shared" si="1110"/>
        <v>0.10919540229885058</v>
      </c>
      <c r="BV1482" s="109">
        <f t="shared" si="1111"/>
        <v>0.10919540229885058</v>
      </c>
      <c r="BW1482" s="109">
        <f t="shared" si="1081"/>
        <v>0</v>
      </c>
      <c r="BX1482" s="111">
        <f t="shared" si="1112"/>
        <v>0</v>
      </c>
      <c r="BY1482" s="129">
        <f t="shared" si="1113"/>
        <v>-19</v>
      </c>
      <c r="BZ1482" s="111">
        <f t="shared" si="1114"/>
        <v>0</v>
      </c>
      <c r="CA1482" s="138">
        <f t="shared" si="1115"/>
        <v>19</v>
      </c>
      <c r="CB1482" s="111" t="e">
        <f t="shared" si="1125"/>
        <v>#VALUE!</v>
      </c>
      <c r="CC1482" s="129">
        <f>M1482-I1482+1</f>
        <v>19</v>
      </c>
      <c r="CD1482" s="111">
        <f>CC1482-BF1482</f>
        <v>0</v>
      </c>
      <c r="CG1482" s="129" t="str">
        <f t="shared" si="1116"/>
        <v>Y</v>
      </c>
      <c r="CI1482" s="129" t="str">
        <f t="shared" si="1117"/>
        <v>11-30 DAYS</v>
      </c>
      <c r="CJ1482" s="137">
        <f t="shared" si="1118"/>
        <v>2</v>
      </c>
      <c r="CK1482" s="129" t="str">
        <f t="shared" si="1119"/>
        <v>Booked</v>
      </c>
    </row>
    <row r="1483" spans="1:89" ht="15.75" customHeight="1" x14ac:dyDescent="0.25">
      <c r="A1483" s="111">
        <v>1075</v>
      </c>
      <c r="B1483" s="128" t="str">
        <f t="shared" si="1102"/>
        <v>N</v>
      </c>
      <c r="C1483" s="128" t="str">
        <f t="shared" si="1103"/>
        <v>Y</v>
      </c>
      <c r="D1483" s="117">
        <v>2056339</v>
      </c>
      <c r="E1483" s="135">
        <f t="shared" si="1104"/>
        <v>6</v>
      </c>
      <c r="F1483" s="124">
        <v>40948</v>
      </c>
      <c r="G1483" s="125">
        <v>41036</v>
      </c>
      <c r="H1483" s="117">
        <v>2056339</v>
      </c>
      <c r="I1483" s="124">
        <v>41031</v>
      </c>
      <c r="J1483" s="125">
        <v>41036</v>
      </c>
      <c r="K1483" s="126">
        <v>5000</v>
      </c>
      <c r="L1483" s="127" t="s">
        <v>569</v>
      </c>
      <c r="M1483" s="125">
        <v>40956</v>
      </c>
      <c r="N1483" s="129" t="str">
        <f t="shared" si="1122"/>
        <v>Y</v>
      </c>
      <c r="O1483" s="128" t="s">
        <v>76</v>
      </c>
      <c r="P1483" s="129" t="s">
        <v>39</v>
      </c>
      <c r="Q1483" s="111">
        <f t="shared" si="1080"/>
        <v>6</v>
      </c>
      <c r="R1483" s="111">
        <f t="shared" si="1070"/>
        <v>89</v>
      </c>
      <c r="S1483" s="129">
        <v>1</v>
      </c>
      <c r="T1483" s="129">
        <v>1</v>
      </c>
      <c r="U1483" s="129">
        <v>1</v>
      </c>
      <c r="W1483" s="111"/>
      <c r="AB1483" s="131" t="s">
        <v>112</v>
      </c>
      <c r="AC1483" s="130"/>
      <c r="AD1483" s="130">
        <v>31556</v>
      </c>
      <c r="AE1483" s="128" t="s">
        <v>32</v>
      </c>
      <c r="AF1483" s="128" t="s">
        <v>40</v>
      </c>
      <c r="AG1483" s="128" t="s">
        <v>41</v>
      </c>
      <c r="AH1483" s="108" t="s">
        <v>31</v>
      </c>
      <c r="AI1483" s="128" t="s">
        <v>83</v>
      </c>
      <c r="AJ1483" s="129" t="s">
        <v>89</v>
      </c>
      <c r="AK1483" s="129">
        <v>6</v>
      </c>
      <c r="AL1483" s="3" t="s">
        <v>362</v>
      </c>
      <c r="AM1483" s="117">
        <v>2</v>
      </c>
      <c r="AP1483" s="129" t="s">
        <v>170</v>
      </c>
      <c r="AR1483" s="128" t="s">
        <v>67</v>
      </c>
      <c r="AS1483" s="129" t="s">
        <v>64</v>
      </c>
      <c r="AT1483" s="129" t="s">
        <v>1262</v>
      </c>
      <c r="AU1483" s="3" t="s">
        <v>816</v>
      </c>
      <c r="AV1483" s="3" t="s">
        <v>88</v>
      </c>
      <c r="AW1483" s="129" t="s">
        <v>707</v>
      </c>
      <c r="BA1483" s="125">
        <v>41050</v>
      </c>
      <c r="BB1483" s="129">
        <v>255</v>
      </c>
      <c r="BC1483" s="129" t="s">
        <v>38</v>
      </c>
      <c r="BD1483" s="3"/>
      <c r="BF1483" s="111">
        <f>IF(J1483&gt;1/1/1900,((G1483+1)-I1483),"STILL OPEN")</f>
        <v>6</v>
      </c>
      <c r="BG1483" s="111">
        <f t="shared" si="1123"/>
        <v>6</v>
      </c>
      <c r="BH1483" s="111">
        <f t="shared" si="1085"/>
        <v>89</v>
      </c>
      <c r="BI1483" s="111">
        <f t="shared" si="1086"/>
        <v>25.661202185792348</v>
      </c>
      <c r="BJ1483" s="129">
        <f>G1483-J1483</f>
        <v>0</v>
      </c>
      <c r="BK1483" s="129">
        <f t="shared" si="1087"/>
        <v>0</v>
      </c>
      <c r="BL1483" s="129" t="str">
        <f t="shared" si="1073"/>
        <v>CONVICTION</v>
      </c>
      <c r="BM1483" s="129" t="s">
        <v>76</v>
      </c>
      <c r="BN1483" s="129" t="s">
        <v>88</v>
      </c>
      <c r="BP1483" s="137" t="str">
        <f t="shared" si="1105"/>
        <v>CONVICTION</v>
      </c>
      <c r="BQ1483" s="128" t="str">
        <f t="shared" si="1106"/>
        <v>Y</v>
      </c>
      <c r="BR1483" s="129" t="s">
        <v>574</v>
      </c>
      <c r="BS1483" s="129" t="str">
        <f t="shared" si="1108"/>
        <v>DISPOSED</v>
      </c>
      <c r="BT1483" s="129" t="str">
        <f t="shared" si="1109"/>
        <v>Y</v>
      </c>
      <c r="BU1483" s="109">
        <f t="shared" si="1110"/>
        <v>6.741573033707865E-2</v>
      </c>
      <c r="BV1483" s="109">
        <f t="shared" si="1111"/>
        <v>1</v>
      </c>
      <c r="BW1483" s="109">
        <f t="shared" si="1081"/>
        <v>0.93258426966292141</v>
      </c>
      <c r="BX1483" s="111">
        <f t="shared" si="1112"/>
        <v>0</v>
      </c>
      <c r="BY1483" s="129">
        <f t="shared" si="1113"/>
        <v>-6</v>
      </c>
      <c r="BZ1483" s="111">
        <f t="shared" si="1114"/>
        <v>0</v>
      </c>
      <c r="CA1483" s="138">
        <f t="shared" si="1115"/>
        <v>6</v>
      </c>
      <c r="CB1483" s="111" t="e">
        <f t="shared" si="1125"/>
        <v>#VALUE!</v>
      </c>
      <c r="CC1483" s="129">
        <f>G1483-I1483+1</f>
        <v>6</v>
      </c>
      <c r="CD1483" s="129">
        <f>G1483-J1483</f>
        <v>0</v>
      </c>
      <c r="CG1483" s="129" t="str">
        <f t="shared" si="1116"/>
        <v>Y</v>
      </c>
      <c r="CI1483" s="129" t="str">
        <f t="shared" si="1117"/>
        <v>0-10 DAYS</v>
      </c>
      <c r="CJ1483" s="137">
        <f t="shared" si="1118"/>
        <v>1</v>
      </c>
      <c r="CK1483" s="129" t="str">
        <f t="shared" si="1119"/>
        <v>Booked</v>
      </c>
    </row>
    <row r="1484" spans="1:89" ht="15" customHeight="1" x14ac:dyDescent="0.25">
      <c r="A1484" s="111">
        <v>1061</v>
      </c>
      <c r="B1484" s="128" t="str">
        <f t="shared" si="1102"/>
        <v>N</v>
      </c>
      <c r="C1484" s="128" t="str">
        <f t="shared" si="1103"/>
        <v>N</v>
      </c>
      <c r="D1484" s="117">
        <v>2056528</v>
      </c>
      <c r="E1484" s="135">
        <f t="shared" si="1104"/>
        <v>5</v>
      </c>
      <c r="F1484" s="124">
        <v>40948</v>
      </c>
      <c r="G1484" s="125">
        <v>41088</v>
      </c>
      <c r="H1484" s="117">
        <v>2056528</v>
      </c>
      <c r="I1484" s="124">
        <v>40948</v>
      </c>
      <c r="J1484" s="124">
        <v>40950</v>
      </c>
      <c r="K1484" s="126">
        <v>5000</v>
      </c>
      <c r="L1484" s="127" t="s">
        <v>569</v>
      </c>
      <c r="M1484" s="125">
        <v>40950</v>
      </c>
      <c r="N1484" s="129" t="str">
        <f t="shared" si="1122"/>
        <v>Y</v>
      </c>
      <c r="O1484" s="128" t="s">
        <v>76</v>
      </c>
      <c r="P1484" s="129" t="s">
        <v>39</v>
      </c>
      <c r="Q1484" s="111">
        <f t="shared" si="1080"/>
        <v>3</v>
      </c>
      <c r="R1484" s="111">
        <f t="shared" si="1070"/>
        <v>141</v>
      </c>
      <c r="S1484" s="129">
        <v>1</v>
      </c>
      <c r="T1484" s="129">
        <v>7</v>
      </c>
      <c r="U1484" s="129">
        <v>1</v>
      </c>
      <c r="W1484" s="111"/>
      <c r="AC1484" s="130"/>
      <c r="AD1484" s="130">
        <v>31236</v>
      </c>
      <c r="AE1484" s="128" t="s">
        <v>32</v>
      </c>
      <c r="AF1484" s="128" t="s">
        <v>33</v>
      </c>
      <c r="AG1484" s="128" t="s">
        <v>872</v>
      </c>
      <c r="AH1484" s="108" t="s">
        <v>31</v>
      </c>
      <c r="AI1484" s="128" t="s">
        <v>47</v>
      </c>
      <c r="AJ1484" s="129" t="s">
        <v>89</v>
      </c>
      <c r="AK1484" s="129">
        <v>7</v>
      </c>
      <c r="AL1484" s="3" t="s">
        <v>992</v>
      </c>
      <c r="AN1484" s="117">
        <v>8</v>
      </c>
      <c r="AP1484" s="129" t="s">
        <v>43</v>
      </c>
      <c r="AR1484" s="128" t="s">
        <v>44</v>
      </c>
      <c r="AS1484" s="129" t="s">
        <v>45</v>
      </c>
      <c r="AT1484" s="129" t="s">
        <v>280</v>
      </c>
      <c r="BC1484" s="129" t="s">
        <v>38</v>
      </c>
      <c r="BF1484" s="111">
        <f t="shared" si="1124"/>
        <v>3</v>
      </c>
      <c r="BG1484" s="111">
        <f t="shared" si="1123"/>
        <v>141</v>
      </c>
      <c r="BH1484" s="111">
        <f t="shared" si="1085"/>
        <v>141</v>
      </c>
      <c r="BI1484" s="111">
        <f t="shared" si="1086"/>
        <v>26.535519125683059</v>
      </c>
      <c r="BJ1484" s="129">
        <f>(G1484-J1484)+(M1484-G1484)</f>
        <v>0</v>
      </c>
      <c r="BK1484" s="129">
        <f t="shared" si="1087"/>
        <v>-138</v>
      </c>
      <c r="BL1484" s="129" t="str">
        <f t="shared" si="1073"/>
        <v>CONVICTION</v>
      </c>
      <c r="BM1484" s="129" t="s">
        <v>76</v>
      </c>
      <c r="BN1484" s="129" t="s">
        <v>88</v>
      </c>
      <c r="BP1484" s="137" t="str">
        <f t="shared" si="1105"/>
        <v>CONVICTION</v>
      </c>
      <c r="BQ1484" s="128" t="str">
        <f t="shared" si="1106"/>
        <v>Y</v>
      </c>
      <c r="BR1484" s="129" t="str">
        <f>IF(J1484&lt;G1484,"ON BOND",0)</f>
        <v>ON BOND</v>
      </c>
      <c r="BS1484" s="129" t="str">
        <f t="shared" si="1108"/>
        <v>DISPOSED</v>
      </c>
      <c r="BT1484" s="129" t="str">
        <f t="shared" si="1109"/>
        <v>Y</v>
      </c>
      <c r="BU1484" s="109">
        <f t="shared" si="1110"/>
        <v>2.1276595744680851E-2</v>
      </c>
      <c r="BV1484" s="109">
        <f t="shared" si="1111"/>
        <v>2.1276595744680851E-2</v>
      </c>
      <c r="BW1484" s="109">
        <f t="shared" si="1081"/>
        <v>0</v>
      </c>
      <c r="BX1484" s="111">
        <f t="shared" si="1112"/>
        <v>0</v>
      </c>
      <c r="BY1484" s="129">
        <f t="shared" si="1113"/>
        <v>-3</v>
      </c>
      <c r="BZ1484" s="111">
        <f t="shared" si="1114"/>
        <v>0</v>
      </c>
      <c r="CA1484" s="138">
        <f t="shared" si="1115"/>
        <v>3</v>
      </c>
      <c r="CB1484" s="111" t="e">
        <f t="shared" si="1125"/>
        <v>#VALUE!</v>
      </c>
      <c r="CC1484" s="129">
        <f>M1484-I1484+1</f>
        <v>3</v>
      </c>
      <c r="CD1484" s="111">
        <f>CC1484-BF1484</f>
        <v>0</v>
      </c>
      <c r="CG1484" s="129" t="str">
        <f t="shared" si="1116"/>
        <v>Y</v>
      </c>
      <c r="CI1484" s="129" t="str">
        <f t="shared" si="1117"/>
        <v>0-10 DAYS</v>
      </c>
      <c r="CJ1484" s="137">
        <f t="shared" si="1118"/>
        <v>1</v>
      </c>
      <c r="CK1484" s="129" t="str">
        <f t="shared" si="1119"/>
        <v>Booked</v>
      </c>
    </row>
    <row r="1485" spans="1:89" ht="15" customHeight="1" x14ac:dyDescent="0.25">
      <c r="A1485" s="111">
        <v>2402</v>
      </c>
      <c r="B1485" s="128" t="str">
        <f t="shared" si="1102"/>
        <v>N</v>
      </c>
      <c r="C1485" s="128" t="str">
        <f t="shared" si="1103"/>
        <v>N</v>
      </c>
      <c r="D1485" s="117">
        <v>2057906</v>
      </c>
      <c r="E1485" s="135">
        <f t="shared" si="1104"/>
        <v>6</v>
      </c>
      <c r="F1485" s="124">
        <v>40999</v>
      </c>
      <c r="G1485" s="125">
        <v>41169</v>
      </c>
      <c r="H1485" s="117">
        <v>2057906</v>
      </c>
      <c r="I1485" s="124">
        <v>40999</v>
      </c>
      <c r="J1485" s="124">
        <v>41001</v>
      </c>
      <c r="K1485" s="126">
        <v>20000</v>
      </c>
      <c r="L1485" s="127" t="s">
        <v>571</v>
      </c>
      <c r="M1485" s="125">
        <v>41001</v>
      </c>
      <c r="N1485" s="129" t="str">
        <f t="shared" si="1122"/>
        <v>Y</v>
      </c>
      <c r="O1485" s="128" t="s">
        <v>76</v>
      </c>
      <c r="P1485" s="129" t="s">
        <v>39</v>
      </c>
      <c r="Q1485" s="111">
        <f t="shared" si="1080"/>
        <v>3</v>
      </c>
      <c r="R1485" s="111">
        <f t="shared" si="1070"/>
        <v>171</v>
      </c>
      <c r="S1485" s="129">
        <v>2</v>
      </c>
      <c r="T1485" s="129">
        <v>25</v>
      </c>
      <c r="U1485" s="129">
        <v>2</v>
      </c>
      <c r="W1485" s="111"/>
      <c r="AC1485" s="130"/>
      <c r="AD1485" s="130">
        <v>30969</v>
      </c>
      <c r="AE1485" s="128" t="s">
        <v>32</v>
      </c>
      <c r="AF1485" s="128" t="s">
        <v>40</v>
      </c>
      <c r="AG1485" s="128" t="s">
        <v>41</v>
      </c>
      <c r="AH1485" s="108" t="s">
        <v>41</v>
      </c>
      <c r="AI1485" s="128" t="s">
        <v>62</v>
      </c>
      <c r="AJ1485" s="129" t="s">
        <v>89</v>
      </c>
      <c r="AK1485" s="129">
        <v>7</v>
      </c>
      <c r="AL1485" s="3" t="s">
        <v>362</v>
      </c>
      <c r="AM1485" s="117">
        <v>3</v>
      </c>
      <c r="AP1485" s="129" t="s">
        <v>56</v>
      </c>
      <c r="AR1485" s="128" t="s">
        <v>50</v>
      </c>
      <c r="AS1485" s="129" t="s">
        <v>57</v>
      </c>
      <c r="AU1485" s="129"/>
      <c r="AX1485" s="32"/>
      <c r="BC1485" s="129" t="s">
        <v>38</v>
      </c>
      <c r="BF1485" s="111">
        <f t="shared" si="1124"/>
        <v>3</v>
      </c>
      <c r="BG1485" s="111">
        <f t="shared" si="1123"/>
        <v>171</v>
      </c>
      <c r="BH1485" s="111">
        <f t="shared" si="1085"/>
        <v>171</v>
      </c>
      <c r="BI1485" s="111">
        <f t="shared" si="1086"/>
        <v>27.404371584699454</v>
      </c>
      <c r="BJ1485" s="129">
        <f>(G1485-J1485)+(M1485-G1485)</f>
        <v>0</v>
      </c>
      <c r="BK1485" s="129">
        <f t="shared" si="1087"/>
        <v>-168</v>
      </c>
      <c r="BL1485" s="129" t="str">
        <f t="shared" si="1073"/>
        <v>CONVICTION</v>
      </c>
      <c r="BM1485" s="129" t="s">
        <v>76</v>
      </c>
      <c r="BN1485" s="129" t="s">
        <v>88</v>
      </c>
      <c r="BP1485" s="137" t="str">
        <f t="shared" si="1105"/>
        <v>CONVICTION</v>
      </c>
      <c r="BQ1485" s="128" t="str">
        <f t="shared" si="1106"/>
        <v>Y</v>
      </c>
      <c r="BR1485" s="129" t="str">
        <f>IF(J1485&lt;G1485,"ON BOND",0)</f>
        <v>ON BOND</v>
      </c>
      <c r="BS1485" s="129" t="str">
        <f t="shared" si="1108"/>
        <v>DISPOSED</v>
      </c>
      <c r="BT1485" s="129" t="str">
        <f t="shared" si="1109"/>
        <v>Y</v>
      </c>
      <c r="BU1485" s="109">
        <f t="shared" si="1110"/>
        <v>1.7543859649122806E-2</v>
      </c>
      <c r="BV1485" s="109">
        <f t="shared" si="1111"/>
        <v>1.7543859649122806E-2</v>
      </c>
      <c r="BW1485" s="109">
        <f t="shared" si="1081"/>
        <v>0</v>
      </c>
      <c r="BX1485" s="111">
        <f t="shared" si="1112"/>
        <v>0</v>
      </c>
      <c r="BY1485" s="129">
        <f t="shared" si="1113"/>
        <v>-3</v>
      </c>
      <c r="BZ1485" s="111">
        <f t="shared" si="1114"/>
        <v>0</v>
      </c>
      <c r="CA1485" s="138">
        <f t="shared" si="1115"/>
        <v>3</v>
      </c>
      <c r="CB1485" s="111" t="e">
        <f t="shared" si="1125"/>
        <v>#VALUE!</v>
      </c>
      <c r="CC1485" s="129">
        <f>M1485-I1485+1</f>
        <v>3</v>
      </c>
      <c r="CD1485" s="111">
        <f>CC1485-BF1485</f>
        <v>0</v>
      </c>
      <c r="CG1485" s="129" t="str">
        <f t="shared" si="1116"/>
        <v>Y</v>
      </c>
      <c r="CI1485" s="129" t="str">
        <f t="shared" si="1117"/>
        <v>0-10 DAYS</v>
      </c>
      <c r="CJ1485" s="137">
        <f t="shared" si="1118"/>
        <v>1</v>
      </c>
      <c r="CK1485" s="129" t="str">
        <f t="shared" si="1119"/>
        <v>Booked</v>
      </c>
    </row>
    <row r="1486" spans="1:89" ht="15.75" customHeight="1" x14ac:dyDescent="0.25">
      <c r="A1486" s="111">
        <v>2428</v>
      </c>
      <c r="B1486" s="128" t="str">
        <f t="shared" si="1102"/>
        <v>N</v>
      </c>
      <c r="C1486" s="128" t="str">
        <f t="shared" si="1103"/>
        <v>N</v>
      </c>
      <c r="D1486" s="117">
        <v>2058812</v>
      </c>
      <c r="E1486" s="135">
        <f t="shared" si="1104"/>
        <v>1</v>
      </c>
      <c r="F1486" s="124">
        <v>41000</v>
      </c>
      <c r="G1486" s="125">
        <v>41002</v>
      </c>
      <c r="H1486" s="117">
        <v>2058812</v>
      </c>
      <c r="I1486" s="124">
        <v>41000</v>
      </c>
      <c r="J1486" s="124">
        <v>41002</v>
      </c>
      <c r="K1486" s="126">
        <v>2000</v>
      </c>
      <c r="L1486" s="127" t="s">
        <v>568</v>
      </c>
      <c r="N1486" s="129" t="str">
        <f t="shared" si="1122"/>
        <v>N</v>
      </c>
      <c r="O1486" s="128" t="s">
        <v>917</v>
      </c>
      <c r="P1486" s="129" t="s">
        <v>55</v>
      </c>
      <c r="Q1486" s="111">
        <f t="shared" si="1080"/>
        <v>3</v>
      </c>
      <c r="R1486" s="111">
        <f t="shared" si="1070"/>
        <v>3</v>
      </c>
      <c r="S1486" s="129">
        <v>0</v>
      </c>
      <c r="T1486" s="129">
        <v>2</v>
      </c>
      <c r="W1486" s="111"/>
      <c r="AC1486" s="130"/>
      <c r="AD1486" s="130">
        <v>31723</v>
      </c>
      <c r="AE1486" s="128" t="s">
        <v>46</v>
      </c>
      <c r="AF1486" s="128" t="s">
        <v>40</v>
      </c>
      <c r="AG1486" s="128" t="s">
        <v>41</v>
      </c>
      <c r="AH1486" s="108" t="s">
        <v>41</v>
      </c>
      <c r="AI1486" s="128" t="s">
        <v>97</v>
      </c>
      <c r="AJ1486" s="129" t="s">
        <v>55</v>
      </c>
      <c r="AK1486" s="129">
        <v>1</v>
      </c>
      <c r="AL1486" s="3" t="s">
        <v>55</v>
      </c>
      <c r="AP1486" s="129" t="s">
        <v>43</v>
      </c>
      <c r="AR1486" s="128" t="s">
        <v>44</v>
      </c>
      <c r="AS1486" s="129" t="s">
        <v>45</v>
      </c>
      <c r="BC1486" s="129" t="s">
        <v>38</v>
      </c>
      <c r="BF1486" s="111">
        <f t="shared" si="1124"/>
        <v>3</v>
      </c>
      <c r="BG1486" s="111">
        <f t="shared" si="1123"/>
        <v>3</v>
      </c>
      <c r="BH1486" s="111">
        <f t="shared" si="1085"/>
        <v>3</v>
      </c>
      <c r="BI1486" s="111">
        <f t="shared" si="1086"/>
        <v>25.346994535519126</v>
      </c>
      <c r="BJ1486" s="129">
        <f t="shared" si="1120"/>
        <v>0</v>
      </c>
      <c r="BK1486" s="129">
        <f t="shared" si="1087"/>
        <v>0</v>
      </c>
      <c r="BL1486" s="129" t="str">
        <f t="shared" si="1073"/>
        <v>NO CONVICTION</v>
      </c>
      <c r="BM1486" s="129" t="str">
        <f t="shared" si="1121"/>
        <v>NONE</v>
      </c>
      <c r="BN1486" s="129" t="s">
        <v>566</v>
      </c>
      <c r="BP1486" s="137" t="str">
        <f t="shared" si="1105"/>
        <v>NO CONVICTION</v>
      </c>
      <c r="BQ1486" s="128" t="str">
        <f t="shared" si="1106"/>
        <v>Y</v>
      </c>
      <c r="BR1486" s="129" t="str">
        <f t="shared" si="1107"/>
        <v>DETAINED</v>
      </c>
      <c r="BS1486" s="129" t="str">
        <f t="shared" si="1108"/>
        <v>DISPOSED</v>
      </c>
      <c r="BT1486" s="129" t="str">
        <f t="shared" si="1109"/>
        <v>N</v>
      </c>
      <c r="BU1486" s="109">
        <f>IFERROR(Q1486/R1486,BR1486)</f>
        <v>1</v>
      </c>
      <c r="BV1486" s="109">
        <f t="shared" si="1111"/>
        <v>1</v>
      </c>
      <c r="BW1486" s="109">
        <f t="shared" si="1081"/>
        <v>0</v>
      </c>
      <c r="BX1486" s="111">
        <f t="shared" si="1112"/>
        <v>0</v>
      </c>
      <c r="BY1486" s="129">
        <f t="shared" si="1113"/>
        <v>-3</v>
      </c>
      <c r="BZ1486" s="111">
        <f t="shared" si="1114"/>
        <v>0</v>
      </c>
      <c r="CA1486" s="138">
        <f t="shared" si="1115"/>
        <v>3</v>
      </c>
      <c r="CB1486" s="111" t="e">
        <f t="shared" si="1125"/>
        <v>#VALUE!</v>
      </c>
      <c r="CC1486" s="129">
        <f>G1486-I1486+1</f>
        <v>3</v>
      </c>
      <c r="CD1486" s="129">
        <f>G1486-J1486</f>
        <v>0</v>
      </c>
      <c r="CG1486" s="129" t="str">
        <f t="shared" si="1116"/>
        <v>Y</v>
      </c>
      <c r="CI1486" s="129" t="str">
        <f t="shared" si="1117"/>
        <v>0-10 DAYS</v>
      </c>
      <c r="CJ1486" s="137">
        <f t="shared" si="1118"/>
        <v>1</v>
      </c>
      <c r="CK1486" s="129" t="str">
        <f t="shared" si="1119"/>
        <v>Booked</v>
      </c>
    </row>
    <row r="1487" spans="1:89" ht="15" customHeight="1" x14ac:dyDescent="0.25">
      <c r="A1487" s="111">
        <v>2962</v>
      </c>
      <c r="B1487" s="128" t="str">
        <f t="shared" si="1102"/>
        <v>N</v>
      </c>
      <c r="C1487" s="128" t="str">
        <f t="shared" si="1103"/>
        <v>N</v>
      </c>
      <c r="D1487" s="117">
        <v>2059914</v>
      </c>
      <c r="E1487" s="135">
        <f t="shared" si="1104"/>
        <v>3</v>
      </c>
      <c r="F1487" s="124">
        <v>41018</v>
      </c>
      <c r="G1487" s="125">
        <v>41054</v>
      </c>
      <c r="H1487" s="117">
        <v>2059914</v>
      </c>
      <c r="I1487" s="124">
        <v>41018</v>
      </c>
      <c r="J1487" s="124">
        <v>41020</v>
      </c>
      <c r="K1487" s="126">
        <v>10000</v>
      </c>
      <c r="L1487" s="127" t="s">
        <v>570</v>
      </c>
      <c r="M1487" s="125">
        <v>41020</v>
      </c>
      <c r="N1487" s="129" t="str">
        <f t="shared" si="1122"/>
        <v>Y</v>
      </c>
      <c r="O1487" s="128" t="s">
        <v>585</v>
      </c>
      <c r="P1487" s="129" t="s">
        <v>39</v>
      </c>
      <c r="Q1487" s="111">
        <f t="shared" si="1080"/>
        <v>3</v>
      </c>
      <c r="R1487" s="111">
        <f t="shared" si="1070"/>
        <v>37</v>
      </c>
      <c r="S1487" s="129">
        <v>0</v>
      </c>
      <c r="T1487" s="129">
        <v>2</v>
      </c>
      <c r="W1487" s="111"/>
      <c r="AC1487" s="130"/>
      <c r="AD1487" s="130">
        <v>24269</v>
      </c>
      <c r="AE1487" s="128" t="s">
        <v>32</v>
      </c>
      <c r="AF1487" s="128" t="s">
        <v>33</v>
      </c>
      <c r="AG1487" s="128" t="s">
        <v>872</v>
      </c>
      <c r="AH1487" s="108" t="s">
        <v>58</v>
      </c>
      <c r="AI1487" s="128" t="s">
        <v>53</v>
      </c>
      <c r="AJ1487" s="129" t="s">
        <v>89</v>
      </c>
      <c r="AK1487" s="129">
        <v>3</v>
      </c>
      <c r="AL1487" s="3" t="s">
        <v>185</v>
      </c>
      <c r="AO1487" s="128">
        <v>10</v>
      </c>
      <c r="AP1487" s="129" t="s">
        <v>66</v>
      </c>
      <c r="AR1487" s="128" t="s">
        <v>67</v>
      </c>
      <c r="AS1487" s="129" t="s">
        <v>68</v>
      </c>
      <c r="BC1487" s="129" t="s">
        <v>52</v>
      </c>
      <c r="BF1487" s="111">
        <f t="shared" si="1124"/>
        <v>3</v>
      </c>
      <c r="BG1487" s="111">
        <f t="shared" si="1123"/>
        <v>37</v>
      </c>
      <c r="BH1487" s="111">
        <f t="shared" si="1085"/>
        <v>37</v>
      </c>
      <c r="BI1487" s="111">
        <f t="shared" si="1086"/>
        <v>45.76229508196721</v>
      </c>
      <c r="BJ1487" s="129">
        <f>(G1487-J1487)+(M1487-G1487)</f>
        <v>0</v>
      </c>
      <c r="BK1487" s="129">
        <f t="shared" si="1087"/>
        <v>-34</v>
      </c>
      <c r="BL1487" s="129" t="str">
        <f t="shared" si="1073"/>
        <v>CONVICTION</v>
      </c>
      <c r="BM1487" s="129" t="s">
        <v>76</v>
      </c>
      <c r="BN1487" s="129" t="s">
        <v>88</v>
      </c>
      <c r="BP1487" s="137" t="str">
        <f t="shared" si="1105"/>
        <v>CONVICTION</v>
      </c>
      <c r="BQ1487" s="128" t="str">
        <f t="shared" si="1106"/>
        <v>Y</v>
      </c>
      <c r="BR1487" s="129" t="str">
        <f>IF(J1487&lt;G1487,"ON BOND",0)</f>
        <v>ON BOND</v>
      </c>
      <c r="BS1487" s="129" t="str">
        <f t="shared" si="1108"/>
        <v>DISPOSED</v>
      </c>
      <c r="BT1487" s="129" t="str">
        <f t="shared" si="1109"/>
        <v>N</v>
      </c>
      <c r="BU1487" s="109">
        <f t="shared" si="1110"/>
        <v>8.1081081081081086E-2</v>
      </c>
      <c r="BV1487" s="109">
        <f t="shared" si="1111"/>
        <v>8.1081081081081086E-2</v>
      </c>
      <c r="BW1487" s="109">
        <f t="shared" si="1081"/>
        <v>0</v>
      </c>
      <c r="BX1487" s="111">
        <f t="shared" si="1112"/>
        <v>0</v>
      </c>
      <c r="BY1487" s="129">
        <f t="shared" si="1113"/>
        <v>-3</v>
      </c>
      <c r="BZ1487" s="111">
        <f t="shared" si="1114"/>
        <v>0</v>
      </c>
      <c r="CA1487" s="138">
        <f t="shared" si="1115"/>
        <v>3</v>
      </c>
      <c r="CB1487" s="111" t="e">
        <f t="shared" si="1125"/>
        <v>#VALUE!</v>
      </c>
      <c r="CC1487" s="129">
        <f>M1487-I1487+1</f>
        <v>3</v>
      </c>
      <c r="CD1487" s="111">
        <f>CC1487-BF1487</f>
        <v>0</v>
      </c>
      <c r="CG1487" s="129" t="str">
        <f t="shared" si="1116"/>
        <v>Y</v>
      </c>
      <c r="CI1487" s="129" t="str">
        <f t="shared" si="1117"/>
        <v>0-10 DAYS</v>
      </c>
      <c r="CJ1487" s="137">
        <f t="shared" si="1118"/>
        <v>1</v>
      </c>
      <c r="CK1487" s="129" t="str">
        <f t="shared" si="1119"/>
        <v>Booked</v>
      </c>
    </row>
    <row r="1488" spans="1:89" ht="15" customHeight="1" x14ac:dyDescent="0.25">
      <c r="A1488" s="111">
        <v>618</v>
      </c>
      <c r="B1488" s="128" t="str">
        <f t="shared" si="1102"/>
        <v>N</v>
      </c>
      <c r="C1488" s="128" t="str">
        <f t="shared" si="1103"/>
        <v>N</v>
      </c>
      <c r="D1488" s="117">
        <v>2062684</v>
      </c>
      <c r="E1488" s="135">
        <f t="shared" si="1104"/>
        <v>6</v>
      </c>
      <c r="F1488" s="124">
        <v>40933</v>
      </c>
      <c r="G1488" s="125">
        <v>41145</v>
      </c>
      <c r="H1488" s="117">
        <v>2062684</v>
      </c>
      <c r="I1488" s="124">
        <v>40933</v>
      </c>
      <c r="J1488" s="124">
        <v>41145</v>
      </c>
      <c r="K1488" s="126">
        <v>10000</v>
      </c>
      <c r="L1488" s="127" t="s">
        <v>570</v>
      </c>
      <c r="N1488" s="129" t="str">
        <f t="shared" si="1122"/>
        <v>N</v>
      </c>
      <c r="O1488" s="128" t="s">
        <v>917</v>
      </c>
      <c r="P1488" s="129" t="s">
        <v>39</v>
      </c>
      <c r="Q1488" s="111">
        <f t="shared" si="1080"/>
        <v>213</v>
      </c>
      <c r="R1488" s="111">
        <f t="shared" si="1070"/>
        <v>213</v>
      </c>
      <c r="S1488" s="129">
        <v>3</v>
      </c>
      <c r="T1488" s="129">
        <v>4</v>
      </c>
      <c r="U1488" s="129">
        <v>2</v>
      </c>
      <c r="W1488" s="111"/>
      <c r="AC1488" s="130"/>
      <c r="AD1488" s="130">
        <v>31782</v>
      </c>
      <c r="AE1488" s="128" t="s">
        <v>32</v>
      </c>
      <c r="AF1488" s="128" t="s">
        <v>33</v>
      </c>
      <c r="AG1488" s="128" t="s">
        <v>872</v>
      </c>
      <c r="AH1488" s="108" t="s">
        <v>58</v>
      </c>
      <c r="AI1488" s="128" t="s">
        <v>59</v>
      </c>
      <c r="AJ1488" s="129" t="s">
        <v>89</v>
      </c>
      <c r="AK1488" s="129">
        <v>11</v>
      </c>
      <c r="AL1488" s="3" t="s">
        <v>362</v>
      </c>
      <c r="AM1488" s="117">
        <v>5</v>
      </c>
      <c r="AP1488" s="129" t="s">
        <v>101</v>
      </c>
      <c r="AR1488" s="128" t="s">
        <v>67</v>
      </c>
      <c r="AS1488" s="129" t="s">
        <v>64</v>
      </c>
      <c r="BC1488" s="129" t="s">
        <v>99</v>
      </c>
      <c r="BF1488" s="111">
        <f t="shared" si="1124"/>
        <v>213</v>
      </c>
      <c r="BG1488" s="111">
        <f t="shared" si="1123"/>
        <v>213</v>
      </c>
      <c r="BH1488" s="111">
        <f t="shared" si="1085"/>
        <v>213</v>
      </c>
      <c r="BI1488" s="111">
        <f t="shared" si="1086"/>
        <v>25.002732240437158</v>
      </c>
      <c r="BJ1488" s="129">
        <f t="shared" si="1120"/>
        <v>0</v>
      </c>
      <c r="BK1488" s="129">
        <f t="shared" si="1087"/>
        <v>0</v>
      </c>
      <c r="BL1488" s="129" t="str">
        <f t="shared" si="1073"/>
        <v>CONVICTION</v>
      </c>
      <c r="BM1488" s="129" t="str">
        <f t="shared" si="1121"/>
        <v>NONE</v>
      </c>
      <c r="BN1488" s="129" t="s">
        <v>566</v>
      </c>
      <c r="BP1488" s="137" t="str">
        <f t="shared" si="1105"/>
        <v>CONVICTION</v>
      </c>
      <c r="BQ1488" s="128" t="str">
        <f t="shared" si="1106"/>
        <v>Y</v>
      </c>
      <c r="BR1488" s="129" t="str">
        <f t="shared" si="1107"/>
        <v>DETAINED</v>
      </c>
      <c r="BS1488" s="129" t="str">
        <f t="shared" si="1108"/>
        <v>DISPOSED</v>
      </c>
      <c r="BT1488" s="129" t="str">
        <f t="shared" si="1109"/>
        <v>Y</v>
      </c>
      <c r="BU1488" s="109">
        <f t="shared" si="1110"/>
        <v>1</v>
      </c>
      <c r="BV1488" s="109">
        <f t="shared" si="1111"/>
        <v>1</v>
      </c>
      <c r="BW1488" s="109">
        <f t="shared" si="1081"/>
        <v>0</v>
      </c>
      <c r="BX1488" s="111">
        <f t="shared" si="1112"/>
        <v>0</v>
      </c>
      <c r="BY1488" s="129">
        <f t="shared" si="1113"/>
        <v>-213</v>
      </c>
      <c r="BZ1488" s="111">
        <f t="shared" si="1114"/>
        <v>0</v>
      </c>
      <c r="CA1488" s="138">
        <f t="shared" si="1115"/>
        <v>213</v>
      </c>
      <c r="CB1488" s="111" t="e">
        <f t="shared" si="1125"/>
        <v>#VALUE!</v>
      </c>
      <c r="CC1488" s="129">
        <f>G1488-I1488+1</f>
        <v>213</v>
      </c>
      <c r="CD1488" s="129">
        <f t="shared" ref="CD1488:CD1495" si="1126">G1488-J1488</f>
        <v>0</v>
      </c>
      <c r="CG1488" s="129" t="str">
        <f t="shared" si="1116"/>
        <v>Y</v>
      </c>
      <c r="CI1488" s="129" t="str">
        <f t="shared" si="1117"/>
        <v>121-365 DAYS</v>
      </c>
      <c r="CJ1488" s="137">
        <f t="shared" si="1118"/>
        <v>6</v>
      </c>
      <c r="CK1488" s="129" t="str">
        <f t="shared" si="1119"/>
        <v>Booked</v>
      </c>
    </row>
    <row r="1489" spans="1:89" ht="15" customHeight="1" x14ac:dyDescent="0.25">
      <c r="A1489" s="111">
        <v>581</v>
      </c>
      <c r="B1489" s="128" t="str">
        <f t="shared" si="1102"/>
        <v>N</v>
      </c>
      <c r="C1489" s="128" t="str">
        <f t="shared" si="1103"/>
        <v>N</v>
      </c>
      <c r="D1489" s="117">
        <v>2064247</v>
      </c>
      <c r="E1489" s="135">
        <f t="shared" si="1104"/>
        <v>6</v>
      </c>
      <c r="F1489" s="124">
        <v>40932</v>
      </c>
      <c r="G1489" s="125">
        <v>40997</v>
      </c>
      <c r="H1489" s="117">
        <v>2064247</v>
      </c>
      <c r="I1489" s="124">
        <v>40932</v>
      </c>
      <c r="J1489" s="124">
        <v>40997</v>
      </c>
      <c r="K1489" s="126">
        <v>50000</v>
      </c>
      <c r="L1489" s="129" t="s">
        <v>572</v>
      </c>
      <c r="N1489" s="129" t="str">
        <f t="shared" si="1122"/>
        <v>N</v>
      </c>
      <c r="O1489" s="128" t="s">
        <v>917</v>
      </c>
      <c r="P1489" s="129" t="s">
        <v>77</v>
      </c>
      <c r="Q1489" s="111">
        <f t="shared" si="1080"/>
        <v>66</v>
      </c>
      <c r="R1489" s="111">
        <f t="shared" si="1070"/>
        <v>66</v>
      </c>
      <c r="S1489" s="129">
        <v>3</v>
      </c>
      <c r="T1489" s="129">
        <v>3</v>
      </c>
      <c r="U1489" s="129">
        <v>2</v>
      </c>
      <c r="W1489" s="111"/>
      <c r="AC1489" s="130"/>
      <c r="AD1489" s="130">
        <v>31361</v>
      </c>
      <c r="AE1489" s="128" t="s">
        <v>32</v>
      </c>
      <c r="AF1489" s="128" t="s">
        <v>33</v>
      </c>
      <c r="AG1489" s="128" t="s">
        <v>872</v>
      </c>
      <c r="AH1489" s="108" t="s">
        <v>31</v>
      </c>
      <c r="AI1489" s="128" t="s">
        <v>87</v>
      </c>
      <c r="AJ1489" s="129" t="s">
        <v>89</v>
      </c>
      <c r="AK1489" s="129">
        <v>4</v>
      </c>
      <c r="AL1489" s="3" t="s">
        <v>362</v>
      </c>
      <c r="AM1489" s="117">
        <v>2</v>
      </c>
      <c r="AP1489" s="120" t="s">
        <v>226</v>
      </c>
      <c r="AS1489" s="129" t="s">
        <v>64</v>
      </c>
      <c r="BC1489" s="129" t="s">
        <v>38</v>
      </c>
      <c r="BF1489" s="111">
        <f t="shared" si="1124"/>
        <v>66</v>
      </c>
      <c r="BG1489" s="111">
        <f t="shared" si="1123"/>
        <v>66</v>
      </c>
      <c r="BH1489" s="111">
        <f t="shared" si="1085"/>
        <v>66</v>
      </c>
      <c r="BI1489" s="111">
        <f t="shared" si="1086"/>
        <v>26.150273224043715</v>
      </c>
      <c r="BJ1489" s="129">
        <f t="shared" si="1120"/>
        <v>0</v>
      </c>
      <c r="BK1489" s="129">
        <f t="shared" si="1087"/>
        <v>0</v>
      </c>
      <c r="BL1489" s="129" t="str">
        <f t="shared" si="1073"/>
        <v>CONVICTION</v>
      </c>
      <c r="BM1489" s="129" t="str">
        <f t="shared" si="1121"/>
        <v>NONE</v>
      </c>
      <c r="BN1489" s="129" t="s">
        <v>566</v>
      </c>
      <c r="BP1489" s="137" t="str">
        <f t="shared" si="1105"/>
        <v>CONVICTION</v>
      </c>
      <c r="BQ1489" s="128" t="str">
        <f t="shared" si="1106"/>
        <v>Y</v>
      </c>
      <c r="BR1489" s="129" t="str">
        <f t="shared" si="1107"/>
        <v>DETAINED</v>
      </c>
      <c r="BS1489" s="129" t="str">
        <f t="shared" si="1108"/>
        <v>DISPOSED</v>
      </c>
      <c r="BT1489" s="129" t="str">
        <f t="shared" si="1109"/>
        <v>Y</v>
      </c>
      <c r="BU1489" s="109">
        <f t="shared" si="1110"/>
        <v>1</v>
      </c>
      <c r="BV1489" s="109">
        <f t="shared" si="1111"/>
        <v>1</v>
      </c>
      <c r="BW1489" s="109">
        <f t="shared" si="1081"/>
        <v>0</v>
      </c>
      <c r="BX1489" s="111">
        <f t="shared" si="1112"/>
        <v>0</v>
      </c>
      <c r="BY1489" s="129">
        <f t="shared" si="1113"/>
        <v>-66</v>
      </c>
      <c r="BZ1489" s="111">
        <f t="shared" si="1114"/>
        <v>0</v>
      </c>
      <c r="CA1489" s="138">
        <f t="shared" si="1115"/>
        <v>66</v>
      </c>
      <c r="CB1489" s="111" t="e">
        <f t="shared" si="1125"/>
        <v>#VALUE!</v>
      </c>
      <c r="CC1489" s="129">
        <f>G1489-I1489+1</f>
        <v>66</v>
      </c>
      <c r="CD1489" s="129">
        <f t="shared" si="1126"/>
        <v>0</v>
      </c>
      <c r="CG1489" s="129" t="str">
        <f t="shared" si="1116"/>
        <v>Y</v>
      </c>
      <c r="CI1489" s="129" t="str">
        <f t="shared" si="1117"/>
        <v>61-90 DAYS</v>
      </c>
      <c r="CJ1489" s="137">
        <f t="shared" si="1118"/>
        <v>4</v>
      </c>
      <c r="CK1489" s="129" t="str">
        <f t="shared" si="1119"/>
        <v>Booked</v>
      </c>
    </row>
    <row r="1490" spans="1:89" ht="15.75" customHeight="1" x14ac:dyDescent="0.25">
      <c r="A1490" s="111">
        <v>1843</v>
      </c>
      <c r="B1490" s="128" t="str">
        <f t="shared" si="1102"/>
        <v>N</v>
      </c>
      <c r="C1490" s="128" t="str">
        <f t="shared" si="1103"/>
        <v>N</v>
      </c>
      <c r="D1490" s="117">
        <v>2067272</v>
      </c>
      <c r="E1490" s="135">
        <f t="shared" si="1104"/>
        <v>6</v>
      </c>
      <c r="F1490" s="124">
        <v>40977</v>
      </c>
      <c r="G1490" s="125">
        <v>41075</v>
      </c>
      <c r="H1490" s="117">
        <v>2067272</v>
      </c>
      <c r="I1490" s="124">
        <v>40977</v>
      </c>
      <c r="J1490" s="124">
        <v>41075</v>
      </c>
      <c r="K1490" s="126">
        <v>35000</v>
      </c>
      <c r="L1490" s="129" t="s">
        <v>572</v>
      </c>
      <c r="N1490" s="129" t="str">
        <f t="shared" si="1122"/>
        <v>N</v>
      </c>
      <c r="O1490" s="128" t="s">
        <v>917</v>
      </c>
      <c r="P1490" s="129" t="s">
        <v>39</v>
      </c>
      <c r="Q1490" s="111">
        <f t="shared" ref="Q1490:Q1521" si="1127">BF1490</f>
        <v>99</v>
      </c>
      <c r="R1490" s="111">
        <f t="shared" ref="R1490:R1553" si="1128">BH1490</f>
        <v>99</v>
      </c>
      <c r="S1490" s="129">
        <v>0</v>
      </c>
      <c r="T1490" s="129">
        <v>2</v>
      </c>
      <c r="W1490" s="111"/>
      <c r="AB1490" s="131" t="s">
        <v>112</v>
      </c>
      <c r="AC1490" s="130"/>
      <c r="AD1490" s="130">
        <v>26766</v>
      </c>
      <c r="AE1490" s="128" t="s">
        <v>32</v>
      </c>
      <c r="AF1490" s="128" t="s">
        <v>40</v>
      </c>
      <c r="AG1490" s="128" t="s">
        <v>41</v>
      </c>
      <c r="AH1490" s="108" t="s">
        <v>31</v>
      </c>
      <c r="AI1490" s="128" t="s">
        <v>95</v>
      </c>
      <c r="AJ1490" s="129" t="s">
        <v>89</v>
      </c>
      <c r="AK1490" s="129">
        <v>5</v>
      </c>
      <c r="AL1490" s="3" t="s">
        <v>362</v>
      </c>
      <c r="AM1490" s="117">
        <v>2</v>
      </c>
      <c r="AP1490" s="129" t="s">
        <v>66</v>
      </c>
      <c r="AR1490" s="128" t="s">
        <v>67</v>
      </c>
      <c r="AS1490" s="129" t="s">
        <v>68</v>
      </c>
      <c r="BC1490" s="129" t="s">
        <v>52</v>
      </c>
      <c r="BF1490" s="111">
        <f t="shared" si="1124"/>
        <v>99</v>
      </c>
      <c r="BG1490" s="111">
        <f t="shared" si="1123"/>
        <v>99</v>
      </c>
      <c r="BH1490" s="111">
        <f t="shared" si="1085"/>
        <v>99</v>
      </c>
      <c r="BI1490" s="111">
        <f t="shared" si="1086"/>
        <v>38.827868852459019</v>
      </c>
      <c r="BJ1490" s="129">
        <f t="shared" si="1120"/>
        <v>0</v>
      </c>
      <c r="BK1490" s="129">
        <f t="shared" si="1087"/>
        <v>0</v>
      </c>
      <c r="BL1490" s="129" t="str">
        <f t="shared" si="1073"/>
        <v>CONVICTION</v>
      </c>
      <c r="BM1490" s="129" t="str">
        <f t="shared" si="1121"/>
        <v>NONE</v>
      </c>
      <c r="BN1490" s="129" t="s">
        <v>566</v>
      </c>
      <c r="BP1490" s="137" t="str">
        <f t="shared" si="1105"/>
        <v>CONVICTION</v>
      </c>
      <c r="BQ1490" s="128" t="str">
        <f t="shared" si="1106"/>
        <v>Y</v>
      </c>
      <c r="BR1490" s="129" t="str">
        <f t="shared" si="1107"/>
        <v>DETAINED</v>
      </c>
      <c r="BS1490" s="129" t="str">
        <f t="shared" si="1108"/>
        <v>DISPOSED</v>
      </c>
      <c r="BT1490" s="129" t="str">
        <f t="shared" si="1109"/>
        <v>N</v>
      </c>
      <c r="BU1490" s="109">
        <f t="shared" si="1110"/>
        <v>1</v>
      </c>
      <c r="BV1490" s="109">
        <f t="shared" si="1111"/>
        <v>1</v>
      </c>
      <c r="BW1490" s="109">
        <f t="shared" si="1081"/>
        <v>0</v>
      </c>
      <c r="BX1490" s="111">
        <f t="shared" si="1112"/>
        <v>0</v>
      </c>
      <c r="BY1490" s="129">
        <f t="shared" si="1113"/>
        <v>-99</v>
      </c>
      <c r="BZ1490" s="111">
        <f t="shared" si="1114"/>
        <v>0</v>
      </c>
      <c r="CA1490" s="138">
        <f t="shared" si="1115"/>
        <v>99</v>
      </c>
      <c r="CB1490" s="111" t="e">
        <f t="shared" si="1125"/>
        <v>#VALUE!</v>
      </c>
      <c r="CC1490" s="129">
        <f>G1490-I1490+1</f>
        <v>99</v>
      </c>
      <c r="CD1490" s="129">
        <f t="shared" si="1126"/>
        <v>0</v>
      </c>
      <c r="CG1490" s="129" t="str">
        <f t="shared" si="1116"/>
        <v>Y</v>
      </c>
      <c r="CI1490" s="129" t="str">
        <f t="shared" si="1117"/>
        <v>91-120 DAYS</v>
      </c>
      <c r="CJ1490" s="137">
        <f t="shared" si="1118"/>
        <v>0</v>
      </c>
      <c r="CK1490" s="129" t="str">
        <f t="shared" si="1119"/>
        <v>Booked</v>
      </c>
    </row>
    <row r="1491" spans="1:89" ht="15" customHeight="1" x14ac:dyDescent="0.25">
      <c r="A1491" s="111">
        <v>2847</v>
      </c>
      <c r="B1491" s="128" t="str">
        <f t="shared" si="1102"/>
        <v>N</v>
      </c>
      <c r="C1491" s="128" t="str">
        <f t="shared" si="1103"/>
        <v>N</v>
      </c>
      <c r="D1491" s="117">
        <v>2067280</v>
      </c>
      <c r="E1491" s="135">
        <f t="shared" si="1104"/>
        <v>6</v>
      </c>
      <c r="F1491" s="124">
        <v>41014</v>
      </c>
      <c r="G1491" s="125">
        <v>41226</v>
      </c>
      <c r="H1491" s="117">
        <v>2067280</v>
      </c>
      <c r="I1491" s="124" t="s">
        <v>562</v>
      </c>
      <c r="J1491" s="124" t="s">
        <v>562</v>
      </c>
      <c r="K1491" s="126">
        <v>5000</v>
      </c>
      <c r="L1491" s="127" t="s">
        <v>569</v>
      </c>
      <c r="M1491" s="125">
        <v>41015</v>
      </c>
      <c r="N1491" s="129" t="str">
        <f>IF(M1491&gt;1/1/1,"Y",IF(Q1491="0","","N"))</f>
        <v>Y</v>
      </c>
      <c r="O1491" s="128" t="s">
        <v>76</v>
      </c>
      <c r="P1491" s="129" t="s">
        <v>659</v>
      </c>
      <c r="Q1491" s="111">
        <f t="shared" si="1127"/>
        <v>0</v>
      </c>
      <c r="R1491" s="111">
        <f t="shared" si="1128"/>
        <v>213</v>
      </c>
      <c r="S1491" s="129">
        <v>0</v>
      </c>
      <c r="T1491" s="129">
        <v>3</v>
      </c>
      <c r="W1491" s="111"/>
      <c r="AB1491" s="131" t="s">
        <v>112</v>
      </c>
      <c r="AC1491" s="130"/>
      <c r="AD1491" s="130">
        <v>29136</v>
      </c>
      <c r="AE1491" s="128" t="s">
        <v>32</v>
      </c>
      <c r="AF1491" s="128" t="s">
        <v>69</v>
      </c>
      <c r="AG1491" s="128" t="s">
        <v>874</v>
      </c>
      <c r="AH1491" s="108" t="s">
        <v>31</v>
      </c>
      <c r="AI1491" s="128" t="s">
        <v>83</v>
      </c>
      <c r="AJ1491" s="129" t="s">
        <v>89</v>
      </c>
      <c r="AK1491" s="129">
        <v>13</v>
      </c>
      <c r="AL1491" s="3" t="s">
        <v>362</v>
      </c>
      <c r="AM1491" s="117">
        <v>2</v>
      </c>
      <c r="AP1491" s="129" t="s">
        <v>93</v>
      </c>
      <c r="AR1491" s="128" t="s">
        <v>67</v>
      </c>
      <c r="AS1491" s="129" t="s">
        <v>45</v>
      </c>
      <c r="AX1491" s="32"/>
      <c r="BC1491" s="129" t="s">
        <v>52</v>
      </c>
      <c r="BF1491" s="111">
        <v>0</v>
      </c>
      <c r="BG1491" s="111">
        <v>0</v>
      </c>
      <c r="BH1491" s="111">
        <f t="shared" si="1085"/>
        <v>213</v>
      </c>
      <c r="BI1491" s="111">
        <f t="shared" si="1086"/>
        <v>32.453551912568308</v>
      </c>
      <c r="BJ1491" s="129" t="e">
        <f>(G1491-J1491)+(M1491-G1491)</f>
        <v>#VALUE!</v>
      </c>
      <c r="BK1491" s="129" t="e">
        <f t="shared" si="1087"/>
        <v>#VALUE!</v>
      </c>
      <c r="BL1491" s="129" t="str">
        <f t="shared" si="1073"/>
        <v>CONVICTION</v>
      </c>
      <c r="BM1491" s="129" t="s">
        <v>76</v>
      </c>
      <c r="BN1491" s="129" t="s">
        <v>88</v>
      </c>
      <c r="BP1491" s="137" t="str">
        <f t="shared" si="1105"/>
        <v>CONVICTION</v>
      </c>
      <c r="BQ1491" s="128">
        <f t="shared" si="1106"/>
        <v>0</v>
      </c>
      <c r="BR1491" s="129" t="s">
        <v>575</v>
      </c>
      <c r="BS1491" s="129" t="str">
        <f t="shared" si="1108"/>
        <v>DISPOSED</v>
      </c>
      <c r="BT1491" s="129" t="str">
        <f t="shared" si="1109"/>
        <v>N</v>
      </c>
      <c r="BU1491" s="109">
        <f t="shared" si="1110"/>
        <v>0</v>
      </c>
      <c r="BV1491" s="109">
        <v>0</v>
      </c>
      <c r="BW1491" s="109">
        <f t="shared" si="1081"/>
        <v>0</v>
      </c>
      <c r="BX1491" s="111">
        <f t="shared" si="1112"/>
        <v>0</v>
      </c>
      <c r="BY1491" s="129" t="e">
        <f t="shared" si="1113"/>
        <v>#VALUE!</v>
      </c>
      <c r="BZ1491" s="111" t="e">
        <f t="shared" si="1114"/>
        <v>#VALUE!</v>
      </c>
      <c r="CA1491" s="138" t="e">
        <f t="shared" si="1115"/>
        <v>#VALUE!</v>
      </c>
      <c r="CB1491" s="111">
        <v>0</v>
      </c>
      <c r="CD1491" s="129" t="e">
        <f t="shared" si="1126"/>
        <v>#VALUE!</v>
      </c>
      <c r="CG1491" s="129" t="str">
        <f t="shared" si="1116"/>
        <v>Y</v>
      </c>
      <c r="CI1491" s="129" t="str">
        <f t="shared" si="1117"/>
        <v>0-10 DAYS</v>
      </c>
      <c r="CJ1491" s="137">
        <f t="shared" si="1118"/>
        <v>1</v>
      </c>
      <c r="CK1491" s="129" t="str">
        <f t="shared" si="1119"/>
        <v>Not Booked</v>
      </c>
    </row>
    <row r="1492" spans="1:89" ht="15" customHeight="1" x14ac:dyDescent="0.25">
      <c r="A1492" s="111">
        <v>501</v>
      </c>
      <c r="B1492" s="128" t="str">
        <f t="shared" si="1102"/>
        <v>N</v>
      </c>
      <c r="C1492" s="128" t="str">
        <f t="shared" si="1103"/>
        <v>N</v>
      </c>
      <c r="D1492" s="117">
        <v>2067375</v>
      </c>
      <c r="E1492" s="135">
        <f t="shared" si="1104"/>
        <v>5</v>
      </c>
      <c r="F1492" s="124">
        <v>40929</v>
      </c>
      <c r="G1492" s="125">
        <v>41138</v>
      </c>
      <c r="H1492" s="117">
        <v>2067375</v>
      </c>
      <c r="I1492" s="124">
        <v>41071</v>
      </c>
      <c r="J1492" s="124">
        <v>41138</v>
      </c>
      <c r="K1492" s="126">
        <v>5000</v>
      </c>
      <c r="L1492" s="127" t="s">
        <v>569</v>
      </c>
      <c r="N1492" s="129" t="str">
        <f>IF(M1492&gt;1/1/1,"Y","N")</f>
        <v>N</v>
      </c>
      <c r="O1492" s="128" t="s">
        <v>917</v>
      </c>
      <c r="P1492" s="129" t="s">
        <v>39</v>
      </c>
      <c r="Q1492" s="111">
        <f t="shared" si="1127"/>
        <v>68</v>
      </c>
      <c r="R1492" s="111">
        <f t="shared" si="1128"/>
        <v>210</v>
      </c>
      <c r="S1492" s="129">
        <v>0</v>
      </c>
      <c r="T1492" s="129">
        <v>2</v>
      </c>
      <c r="W1492" s="111"/>
      <c r="AC1492" s="130"/>
      <c r="AD1492" s="130">
        <v>31409</v>
      </c>
      <c r="AE1492" s="128" t="s">
        <v>32</v>
      </c>
      <c r="AF1492" s="128" t="s">
        <v>40</v>
      </c>
      <c r="AG1492" s="128" t="s">
        <v>41</v>
      </c>
      <c r="AH1492" s="108" t="s">
        <v>41</v>
      </c>
      <c r="AI1492" s="128" t="s">
        <v>53</v>
      </c>
      <c r="AJ1492" s="129" t="s">
        <v>89</v>
      </c>
      <c r="AK1492" s="129">
        <v>5</v>
      </c>
      <c r="AL1492" s="3" t="s">
        <v>992</v>
      </c>
      <c r="AN1492" s="117">
        <v>9</v>
      </c>
      <c r="AP1492" s="129" t="s">
        <v>104</v>
      </c>
      <c r="AR1492" s="128" t="s">
        <v>44</v>
      </c>
      <c r="AS1492" s="129" t="s">
        <v>64</v>
      </c>
      <c r="BC1492" s="129" t="s">
        <v>38</v>
      </c>
      <c r="BF1492" s="111">
        <f>IF(J1492&gt;1/1/1900,((J1492+1)-I1492),"STILL OPEN")</f>
        <v>68</v>
      </c>
      <c r="BG1492" s="111">
        <f t="shared" ref="BG1492:BG1514" si="1129">IF(G1492&gt;1/1/1900,((G1492+1)-I1492),"STILL OPEN")</f>
        <v>68</v>
      </c>
      <c r="BH1492" s="111">
        <f t="shared" si="1085"/>
        <v>210</v>
      </c>
      <c r="BI1492" s="111">
        <f t="shared" si="1086"/>
        <v>26.010928961748633</v>
      </c>
      <c r="BJ1492" s="129">
        <f t="shared" si="1120"/>
        <v>0</v>
      </c>
      <c r="BK1492" s="129">
        <f t="shared" si="1087"/>
        <v>0</v>
      </c>
      <c r="BL1492" s="129" t="str">
        <f t="shared" si="1073"/>
        <v>CONVICTION</v>
      </c>
      <c r="BM1492" s="129" t="str">
        <f t="shared" si="1121"/>
        <v>NONE</v>
      </c>
      <c r="BN1492" s="129" t="s">
        <v>566</v>
      </c>
      <c r="BP1492" s="137" t="str">
        <f t="shared" si="1105"/>
        <v>CONVICTION</v>
      </c>
      <c r="BQ1492" s="128" t="str">
        <f t="shared" si="1106"/>
        <v>Y</v>
      </c>
      <c r="BR1492" s="129" t="str">
        <f t="shared" si="1107"/>
        <v>DETAINED</v>
      </c>
      <c r="BS1492" s="129" t="str">
        <f t="shared" si="1108"/>
        <v>DISPOSED</v>
      </c>
      <c r="BT1492" s="129" t="str">
        <f t="shared" si="1109"/>
        <v>N</v>
      </c>
      <c r="BU1492" s="109">
        <f t="shared" si="1110"/>
        <v>0.32380952380952382</v>
      </c>
      <c r="BV1492" s="109">
        <f t="shared" si="1111"/>
        <v>1</v>
      </c>
      <c r="BW1492" s="109">
        <f t="shared" si="1081"/>
        <v>0.67619047619047623</v>
      </c>
      <c r="BX1492" s="111">
        <f t="shared" si="1112"/>
        <v>0</v>
      </c>
      <c r="BY1492" s="129">
        <f t="shared" si="1113"/>
        <v>-68</v>
      </c>
      <c r="BZ1492" s="111">
        <f t="shared" si="1114"/>
        <v>0</v>
      </c>
      <c r="CA1492" s="138">
        <f t="shared" si="1115"/>
        <v>68</v>
      </c>
      <c r="CB1492" s="111" t="e">
        <f>IF(AF1492&gt;1/1/1900,((AF1492+1)-AE1492),"STILL OPEN")</f>
        <v>#VALUE!</v>
      </c>
      <c r="CC1492" s="129">
        <f>G1492-I1492+1</f>
        <v>68</v>
      </c>
      <c r="CD1492" s="129">
        <f t="shared" si="1126"/>
        <v>0</v>
      </c>
      <c r="CG1492" s="129" t="str">
        <f t="shared" si="1116"/>
        <v>Y</v>
      </c>
      <c r="CI1492" s="129" t="str">
        <f t="shared" si="1117"/>
        <v>61-90 DAYS</v>
      </c>
      <c r="CJ1492" s="137">
        <f t="shared" si="1118"/>
        <v>4</v>
      </c>
      <c r="CK1492" s="129" t="str">
        <f t="shared" si="1119"/>
        <v>Booked</v>
      </c>
    </row>
    <row r="1493" spans="1:89" ht="15.75" customHeight="1" x14ac:dyDescent="0.25">
      <c r="A1493" s="111">
        <v>1943</v>
      </c>
      <c r="B1493" s="128" t="str">
        <f t="shared" si="1102"/>
        <v>N</v>
      </c>
      <c r="C1493" s="128" t="str">
        <f t="shared" si="1103"/>
        <v>N</v>
      </c>
      <c r="D1493" s="117">
        <v>2067729</v>
      </c>
      <c r="E1493" s="135">
        <f t="shared" si="1104"/>
        <v>4</v>
      </c>
      <c r="F1493" s="124">
        <v>40981</v>
      </c>
      <c r="G1493" s="125">
        <v>41061</v>
      </c>
      <c r="H1493" s="117">
        <v>2067729</v>
      </c>
      <c r="I1493" s="124">
        <v>40982</v>
      </c>
      <c r="J1493" s="124">
        <v>41061</v>
      </c>
      <c r="K1493" s="126">
        <v>15000</v>
      </c>
      <c r="L1493" s="127" t="s">
        <v>571</v>
      </c>
      <c r="N1493" s="129" t="str">
        <f>IF(M1493&gt;1/1/1,"Y","N")</f>
        <v>N</v>
      </c>
      <c r="O1493" s="128" t="s">
        <v>917</v>
      </c>
      <c r="P1493" s="129" t="s">
        <v>39</v>
      </c>
      <c r="Q1493" s="111">
        <f t="shared" si="1127"/>
        <v>80</v>
      </c>
      <c r="R1493" s="111">
        <f t="shared" si="1128"/>
        <v>81</v>
      </c>
      <c r="S1493" s="129">
        <v>2</v>
      </c>
      <c r="T1493" s="129">
        <v>2</v>
      </c>
      <c r="U1493" s="129">
        <v>2</v>
      </c>
      <c r="W1493" s="111"/>
      <c r="AC1493" s="130"/>
      <c r="AD1493" s="130">
        <v>31128</v>
      </c>
      <c r="AE1493" s="128" t="s">
        <v>32</v>
      </c>
      <c r="AF1493" s="128" t="s">
        <v>33</v>
      </c>
      <c r="AG1493" s="128" t="s">
        <v>872</v>
      </c>
      <c r="AH1493" s="108" t="s">
        <v>31</v>
      </c>
      <c r="AI1493" s="128" t="s">
        <v>80</v>
      </c>
      <c r="AJ1493" s="129" t="s">
        <v>89</v>
      </c>
      <c r="AK1493" s="129">
        <v>5</v>
      </c>
      <c r="AL1493" s="3" t="s">
        <v>991</v>
      </c>
      <c r="AO1493" s="128">
        <v>120</v>
      </c>
      <c r="AP1493" s="129" t="s">
        <v>127</v>
      </c>
      <c r="AR1493" s="128" t="s">
        <v>44</v>
      </c>
      <c r="AS1493" s="129" t="s">
        <v>82</v>
      </c>
      <c r="BC1493" s="129" t="s">
        <v>38</v>
      </c>
      <c r="BF1493" s="111">
        <f>IF(J1493&gt;1/1/1900,((J1493+1)-I1493),"STILL OPEN")</f>
        <v>80</v>
      </c>
      <c r="BG1493" s="111">
        <f t="shared" si="1129"/>
        <v>80</v>
      </c>
      <c r="BH1493" s="111">
        <f t="shared" si="1085"/>
        <v>81</v>
      </c>
      <c r="BI1493" s="111">
        <f t="shared" si="1086"/>
        <v>26.920765027322403</v>
      </c>
      <c r="BJ1493" s="129">
        <f t="shared" si="1120"/>
        <v>0</v>
      </c>
      <c r="BK1493" s="129">
        <f t="shared" si="1087"/>
        <v>0</v>
      </c>
      <c r="BL1493" s="129" t="str">
        <f t="shared" ref="BL1493:BL1556" si="1130">IF(OR(AL1493="AQUITTAL",AL1493="DISMISSED",AL1493="FINE",AL1493="NO BILL"),"NO CONVICTION",IF(OR(AL1493="HCJ",AL1493="MHH",AL1493="PROBATION",AL1493="STJ",AL1493="TDC"),"CONVICTION",IF(AL1493="DEFERRED","DEFERRED",0)))</f>
        <v>CONVICTION</v>
      </c>
      <c r="BM1493" s="129" t="str">
        <f t="shared" si="1121"/>
        <v>NONE</v>
      </c>
      <c r="BN1493" s="129" t="s">
        <v>566</v>
      </c>
      <c r="BP1493" s="137" t="str">
        <f t="shared" si="1105"/>
        <v>CONVICTION</v>
      </c>
      <c r="BQ1493" s="128" t="str">
        <f t="shared" si="1106"/>
        <v>Y</v>
      </c>
      <c r="BR1493" s="129" t="str">
        <f t="shared" si="1107"/>
        <v>DETAINED</v>
      </c>
      <c r="BS1493" s="129" t="str">
        <f t="shared" si="1108"/>
        <v>DISPOSED</v>
      </c>
      <c r="BT1493" s="129" t="str">
        <f t="shared" si="1109"/>
        <v>Y</v>
      </c>
      <c r="BU1493" s="109">
        <f t="shared" si="1110"/>
        <v>0.98765432098765427</v>
      </c>
      <c r="BV1493" s="109">
        <f t="shared" si="1111"/>
        <v>1</v>
      </c>
      <c r="BW1493" s="109">
        <f t="shared" si="1081"/>
        <v>1.2345679012345734E-2</v>
      </c>
      <c r="BX1493" s="111">
        <f t="shared" si="1112"/>
        <v>0</v>
      </c>
      <c r="BY1493" s="129">
        <f t="shared" si="1113"/>
        <v>-80</v>
      </c>
      <c r="BZ1493" s="111">
        <f t="shared" si="1114"/>
        <v>0</v>
      </c>
      <c r="CA1493" s="138">
        <f t="shared" si="1115"/>
        <v>80</v>
      </c>
      <c r="CB1493" s="111" t="e">
        <f>IF(AF1493&gt;1/1/1900,((AF1493+1)-AE1493),"STILL OPEN")</f>
        <v>#VALUE!</v>
      </c>
      <c r="CC1493" s="129">
        <f>G1493-I1493+1</f>
        <v>80</v>
      </c>
      <c r="CD1493" s="129">
        <f t="shared" si="1126"/>
        <v>0</v>
      </c>
      <c r="CG1493" s="129" t="str">
        <f t="shared" si="1116"/>
        <v>Y</v>
      </c>
      <c r="CI1493" s="129" t="str">
        <f t="shared" si="1117"/>
        <v>61-90 DAYS</v>
      </c>
      <c r="CJ1493" s="137">
        <f t="shared" si="1118"/>
        <v>4</v>
      </c>
      <c r="CK1493" s="129" t="str">
        <f t="shared" si="1119"/>
        <v>Booked</v>
      </c>
    </row>
    <row r="1494" spans="1:89" ht="15.75" customHeight="1" x14ac:dyDescent="0.25">
      <c r="A1494" s="111">
        <v>1555</v>
      </c>
      <c r="B1494" s="128" t="str">
        <f t="shared" si="1102"/>
        <v>N</v>
      </c>
      <c r="C1494" s="128" t="str">
        <f t="shared" si="1103"/>
        <v>N</v>
      </c>
      <c r="D1494" s="117">
        <v>2067800</v>
      </c>
      <c r="E1494" s="135">
        <f t="shared" si="1104"/>
        <v>5</v>
      </c>
      <c r="F1494" s="124">
        <v>40966</v>
      </c>
      <c r="G1494" s="125">
        <v>40968</v>
      </c>
      <c r="H1494" s="117">
        <v>2067800</v>
      </c>
      <c r="I1494" s="124">
        <v>40967</v>
      </c>
      <c r="J1494" s="124">
        <v>40968</v>
      </c>
      <c r="K1494" s="126">
        <v>10000</v>
      </c>
      <c r="L1494" s="127" t="s">
        <v>570</v>
      </c>
      <c r="N1494" s="129" t="str">
        <f>IF(M1494&gt;1/1/1,"Y","N")</f>
        <v>N</v>
      </c>
      <c r="O1494" s="128" t="s">
        <v>917</v>
      </c>
      <c r="P1494" s="129" t="s">
        <v>39</v>
      </c>
      <c r="Q1494" s="111">
        <f t="shared" si="1127"/>
        <v>2</v>
      </c>
      <c r="R1494" s="111">
        <f t="shared" si="1128"/>
        <v>3</v>
      </c>
      <c r="S1494" s="129">
        <v>2</v>
      </c>
      <c r="T1494" s="129">
        <v>4</v>
      </c>
      <c r="U1494" s="129">
        <v>2</v>
      </c>
      <c r="W1494" s="111"/>
      <c r="AC1494" s="130"/>
      <c r="AD1494" s="130">
        <v>30395</v>
      </c>
      <c r="AE1494" s="128" t="s">
        <v>32</v>
      </c>
      <c r="AF1494" s="128" t="s">
        <v>69</v>
      </c>
      <c r="AG1494" s="128" t="s">
        <v>874</v>
      </c>
      <c r="AH1494" s="108" t="s">
        <v>58</v>
      </c>
      <c r="AI1494" s="128" t="s">
        <v>72</v>
      </c>
      <c r="AJ1494" s="129" t="s">
        <v>89</v>
      </c>
      <c r="AK1494" s="129">
        <v>1</v>
      </c>
      <c r="AL1494" s="3" t="s">
        <v>992</v>
      </c>
      <c r="AN1494" s="117">
        <v>8</v>
      </c>
      <c r="AP1494" s="129" t="s">
        <v>184</v>
      </c>
      <c r="AR1494" s="128" t="s">
        <v>44</v>
      </c>
      <c r="AS1494" s="129" t="s">
        <v>64</v>
      </c>
      <c r="BC1494" s="129" t="s">
        <v>38</v>
      </c>
      <c r="BF1494" s="111">
        <f>IF(J1494&gt;1/1/1900,((J1494+1)-I1494),"STILL OPEN")</f>
        <v>2</v>
      </c>
      <c r="BG1494" s="111">
        <f t="shared" si="1129"/>
        <v>2</v>
      </c>
      <c r="BH1494" s="111">
        <f t="shared" si="1085"/>
        <v>3</v>
      </c>
      <c r="BI1494" s="111">
        <f t="shared" si="1086"/>
        <v>28.882513661202186</v>
      </c>
      <c r="BJ1494" s="129">
        <f t="shared" si="1120"/>
        <v>0</v>
      </c>
      <c r="BK1494" s="129">
        <f t="shared" si="1087"/>
        <v>0</v>
      </c>
      <c r="BL1494" s="129" t="str">
        <f t="shared" si="1130"/>
        <v>CONVICTION</v>
      </c>
      <c r="BM1494" s="129" t="str">
        <f t="shared" si="1121"/>
        <v>NONE</v>
      </c>
      <c r="BN1494" s="129" t="s">
        <v>566</v>
      </c>
      <c r="BP1494" s="137" t="str">
        <f t="shared" si="1105"/>
        <v>CONVICTION</v>
      </c>
      <c r="BQ1494" s="128" t="str">
        <f t="shared" si="1106"/>
        <v>Y</v>
      </c>
      <c r="BR1494" s="129" t="str">
        <f t="shared" si="1107"/>
        <v>DETAINED</v>
      </c>
      <c r="BS1494" s="129" t="str">
        <f t="shared" si="1108"/>
        <v>DISPOSED</v>
      </c>
      <c r="BT1494" s="129" t="str">
        <f t="shared" si="1109"/>
        <v>Y</v>
      </c>
      <c r="BU1494" s="109">
        <f t="shared" si="1110"/>
        <v>0.66666666666666663</v>
      </c>
      <c r="BV1494" s="109">
        <f t="shared" si="1111"/>
        <v>1</v>
      </c>
      <c r="BW1494" s="109">
        <f t="shared" si="1081"/>
        <v>0.33333333333333337</v>
      </c>
      <c r="BX1494" s="111">
        <f t="shared" si="1112"/>
        <v>0</v>
      </c>
      <c r="BY1494" s="129">
        <f t="shared" si="1113"/>
        <v>-2</v>
      </c>
      <c r="BZ1494" s="111">
        <f t="shared" si="1114"/>
        <v>0</v>
      </c>
      <c r="CA1494" s="138">
        <f t="shared" si="1115"/>
        <v>2</v>
      </c>
      <c r="CB1494" s="111" t="e">
        <f>IF(AF1494&gt;1/1/1900,((AF1494+1)-AE1494),"STILL OPEN")</f>
        <v>#VALUE!</v>
      </c>
      <c r="CC1494" s="129">
        <f>G1494-I1494+1</f>
        <v>2</v>
      </c>
      <c r="CD1494" s="129">
        <f t="shared" si="1126"/>
        <v>0</v>
      </c>
      <c r="CG1494" s="129" t="str">
        <f t="shared" si="1116"/>
        <v>Y</v>
      </c>
      <c r="CI1494" s="129" t="str">
        <f t="shared" si="1117"/>
        <v>0-10 DAYS</v>
      </c>
      <c r="CJ1494" s="137">
        <f t="shared" si="1118"/>
        <v>1</v>
      </c>
      <c r="CK1494" s="129" t="str">
        <f t="shared" si="1119"/>
        <v>Booked</v>
      </c>
    </row>
    <row r="1495" spans="1:89" ht="15.75" customHeight="1" x14ac:dyDescent="0.25">
      <c r="A1495" s="111">
        <v>179</v>
      </c>
      <c r="B1495" s="128" t="str">
        <f t="shared" si="1102"/>
        <v>N</v>
      </c>
      <c r="C1495" s="128" t="str">
        <f t="shared" si="1103"/>
        <v>N</v>
      </c>
      <c r="D1495" s="117">
        <v>2069257</v>
      </c>
      <c r="E1495" s="135">
        <f t="shared" si="1104"/>
        <v>1</v>
      </c>
      <c r="F1495" s="124">
        <v>40916</v>
      </c>
      <c r="G1495" s="125">
        <v>40976</v>
      </c>
      <c r="H1495" s="117">
        <v>2069257</v>
      </c>
      <c r="I1495" s="124">
        <v>40917</v>
      </c>
      <c r="J1495" s="124">
        <v>40976</v>
      </c>
      <c r="K1495" s="126">
        <v>30000</v>
      </c>
      <c r="L1495" s="129" t="s">
        <v>572</v>
      </c>
      <c r="N1495" s="129" t="str">
        <f>IF(M1495&gt;1/1/1,"Y","N")</f>
        <v>N</v>
      </c>
      <c r="O1495" s="128" t="s">
        <v>917</v>
      </c>
      <c r="P1495" s="129" t="s">
        <v>55</v>
      </c>
      <c r="Q1495" s="111">
        <f t="shared" si="1127"/>
        <v>60</v>
      </c>
      <c r="R1495" s="111">
        <f t="shared" si="1128"/>
        <v>61</v>
      </c>
      <c r="S1495" s="129">
        <v>5</v>
      </c>
      <c r="T1495" s="129">
        <v>4</v>
      </c>
      <c r="U1495" s="129">
        <v>2</v>
      </c>
      <c r="W1495" s="111"/>
      <c r="AC1495" s="130"/>
      <c r="AD1495" s="130">
        <v>30777</v>
      </c>
      <c r="AE1495" s="128" t="s">
        <v>32</v>
      </c>
      <c r="AF1495" s="128" t="s">
        <v>33</v>
      </c>
      <c r="AG1495" s="128" t="s">
        <v>872</v>
      </c>
      <c r="AH1495" s="108" t="s">
        <v>58</v>
      </c>
      <c r="AI1495" s="128" t="s">
        <v>95</v>
      </c>
      <c r="AJ1495" s="129" t="s">
        <v>55</v>
      </c>
      <c r="AK1495" s="129">
        <v>3</v>
      </c>
      <c r="AL1495" s="3" t="s">
        <v>55</v>
      </c>
      <c r="AP1495" s="129" t="s">
        <v>73</v>
      </c>
      <c r="AR1495" s="128" t="s">
        <v>50</v>
      </c>
      <c r="AS1495" s="129" t="s">
        <v>74</v>
      </c>
      <c r="BC1495" s="129" t="s">
        <v>38</v>
      </c>
      <c r="BF1495" s="111">
        <f>IF(J1495&gt;1/1/1900,((J1495+1)-I1495),"STILL OPEN")</f>
        <v>60</v>
      </c>
      <c r="BG1495" s="111">
        <f t="shared" si="1129"/>
        <v>60</v>
      </c>
      <c r="BH1495" s="111">
        <f t="shared" si="1085"/>
        <v>61</v>
      </c>
      <c r="BI1495" s="111">
        <f t="shared" si="1086"/>
        <v>27.702185792349727</v>
      </c>
      <c r="BJ1495" s="129">
        <f t="shared" si="1120"/>
        <v>0</v>
      </c>
      <c r="BK1495" s="129">
        <f t="shared" si="1087"/>
        <v>0</v>
      </c>
      <c r="BL1495" s="129" t="str">
        <f t="shared" si="1130"/>
        <v>NO CONVICTION</v>
      </c>
      <c r="BM1495" s="129" t="str">
        <f t="shared" si="1121"/>
        <v>NONE</v>
      </c>
      <c r="BN1495" s="129" t="s">
        <v>566</v>
      </c>
      <c r="BP1495" s="137" t="str">
        <f t="shared" si="1105"/>
        <v>NO CONVICTION</v>
      </c>
      <c r="BQ1495" s="128" t="str">
        <f t="shared" si="1106"/>
        <v>Y</v>
      </c>
      <c r="BR1495" s="129" t="str">
        <f t="shared" si="1107"/>
        <v>DETAINED</v>
      </c>
      <c r="BS1495" s="129" t="str">
        <f t="shared" si="1108"/>
        <v>DISPOSED</v>
      </c>
      <c r="BT1495" s="129" t="str">
        <f t="shared" si="1109"/>
        <v>Y</v>
      </c>
      <c r="BU1495" s="109">
        <f>IFERROR(Q1495/R1495,BR1495)</f>
        <v>0.98360655737704916</v>
      </c>
      <c r="BV1495" s="109">
        <f t="shared" si="1111"/>
        <v>1</v>
      </c>
      <c r="BW1495" s="109">
        <f t="shared" si="1081"/>
        <v>1.6393442622950838E-2</v>
      </c>
      <c r="BX1495" s="111">
        <f t="shared" si="1112"/>
        <v>0</v>
      </c>
      <c r="BY1495" s="129">
        <f t="shared" si="1113"/>
        <v>-60</v>
      </c>
      <c r="BZ1495" s="111">
        <f t="shared" si="1114"/>
        <v>0</v>
      </c>
      <c r="CA1495" s="138">
        <f t="shared" si="1115"/>
        <v>60</v>
      </c>
      <c r="CB1495" s="111" t="e">
        <f>IF(AF1495&gt;1/1/1900,((AF1495+1)-AE1495),"STILL OPEN")</f>
        <v>#VALUE!</v>
      </c>
      <c r="CC1495" s="129">
        <f>G1495-I1495+1</f>
        <v>60</v>
      </c>
      <c r="CD1495" s="129">
        <f t="shared" si="1126"/>
        <v>0</v>
      </c>
      <c r="CG1495" s="129" t="str">
        <f t="shared" si="1116"/>
        <v>Y</v>
      </c>
      <c r="CI1495" s="129" t="str">
        <f t="shared" si="1117"/>
        <v>31-60 DAYS</v>
      </c>
      <c r="CJ1495" s="137">
        <f t="shared" si="1118"/>
        <v>3</v>
      </c>
      <c r="CK1495" s="129" t="str">
        <f t="shared" si="1119"/>
        <v>Booked</v>
      </c>
    </row>
    <row r="1496" spans="1:89" ht="15.75" customHeight="1" x14ac:dyDescent="0.25">
      <c r="A1496" s="111">
        <v>2505</v>
      </c>
      <c r="B1496" s="128" t="str">
        <f t="shared" si="1102"/>
        <v>N</v>
      </c>
      <c r="C1496" s="128" t="str">
        <f t="shared" si="1103"/>
        <v>Y</v>
      </c>
      <c r="D1496" s="114">
        <v>2070706</v>
      </c>
      <c r="E1496" s="135">
        <f t="shared" si="1104"/>
        <v>6</v>
      </c>
      <c r="F1496" s="124">
        <v>41003</v>
      </c>
      <c r="G1496" s="125">
        <v>41765</v>
      </c>
      <c r="H1496" s="114">
        <v>2070706</v>
      </c>
      <c r="I1496" s="124">
        <v>41205</v>
      </c>
      <c r="J1496" s="124">
        <v>41213</v>
      </c>
      <c r="K1496" s="126">
        <v>10000</v>
      </c>
      <c r="L1496" s="127" t="s">
        <v>570</v>
      </c>
      <c r="M1496" s="125">
        <v>41004</v>
      </c>
      <c r="N1496" s="129" t="str">
        <f>IF(M1496&gt;1/1/1,"Y",IF(Q1496="NOT BOOKED","","N"))</f>
        <v>Y</v>
      </c>
      <c r="O1496" s="128" t="s">
        <v>585</v>
      </c>
      <c r="P1496" s="129" t="s">
        <v>1352</v>
      </c>
      <c r="Q1496" s="111">
        <v>289</v>
      </c>
      <c r="R1496" s="111">
        <f t="shared" si="1128"/>
        <v>763</v>
      </c>
      <c r="S1496" s="129">
        <v>1</v>
      </c>
      <c r="T1496" s="129">
        <v>0</v>
      </c>
      <c r="U1496" s="129">
        <v>1</v>
      </c>
      <c r="W1496" s="111"/>
      <c r="AC1496" s="130"/>
      <c r="AD1496" s="130">
        <v>29212</v>
      </c>
      <c r="AE1496" s="128" t="s">
        <v>32</v>
      </c>
      <c r="AF1496" s="128" t="s">
        <v>33</v>
      </c>
      <c r="AG1496" s="128" t="s">
        <v>872</v>
      </c>
      <c r="AH1496" s="108" t="s">
        <v>58</v>
      </c>
      <c r="AI1496" s="128" t="s">
        <v>70</v>
      </c>
      <c r="AJ1496" s="129" t="s">
        <v>89</v>
      </c>
      <c r="AK1496" s="129">
        <v>32</v>
      </c>
      <c r="AL1496" s="3" t="s">
        <v>362</v>
      </c>
      <c r="AM1496" s="117">
        <v>25</v>
      </c>
      <c r="AP1496" s="129" t="s">
        <v>93</v>
      </c>
      <c r="AR1496" s="128" t="s">
        <v>67</v>
      </c>
      <c r="AS1496" s="129" t="s">
        <v>45</v>
      </c>
      <c r="AT1496" s="129" t="s">
        <v>1368</v>
      </c>
      <c r="AU1496" s="3" t="s">
        <v>960</v>
      </c>
      <c r="AX1496" s="32" t="s">
        <v>88</v>
      </c>
      <c r="AY1496" s="32"/>
      <c r="BC1496" s="129" t="s">
        <v>52</v>
      </c>
      <c r="BF1496" s="111">
        <v>289</v>
      </c>
      <c r="BG1496" s="111">
        <f t="shared" si="1129"/>
        <v>561</v>
      </c>
      <c r="BH1496" s="111">
        <f t="shared" si="1085"/>
        <v>763</v>
      </c>
      <c r="BI1496" s="111">
        <f t="shared" si="1086"/>
        <v>32.215846994535518</v>
      </c>
      <c r="BJ1496" s="129">
        <f>(G1496-J1496)+(M1496-G1496)</f>
        <v>-209</v>
      </c>
      <c r="BK1496" s="129">
        <f t="shared" si="1087"/>
        <v>-552</v>
      </c>
      <c r="BL1496" s="129" t="str">
        <f t="shared" si="1130"/>
        <v>CONVICTION</v>
      </c>
      <c r="BM1496" s="129" t="s">
        <v>76</v>
      </c>
      <c r="BN1496" s="129" t="s">
        <v>566</v>
      </c>
      <c r="BP1496" s="137" t="str">
        <f t="shared" si="1105"/>
        <v>CONVICTION</v>
      </c>
      <c r="BQ1496" s="128" t="str">
        <f t="shared" si="1106"/>
        <v>Y</v>
      </c>
      <c r="BR1496" s="129" t="s">
        <v>574</v>
      </c>
      <c r="BS1496" s="129" t="str">
        <f t="shared" si="1108"/>
        <v>DISPOSED</v>
      </c>
      <c r="BT1496" s="129" t="str">
        <f t="shared" si="1109"/>
        <v>Y</v>
      </c>
      <c r="BU1496" s="109">
        <f>IFERROR(Q1496/R1496,BR1496)</f>
        <v>0.37876802096985585</v>
      </c>
      <c r="BV1496" s="139">
        <v>0.37880000000000003</v>
      </c>
      <c r="BW1496" s="109">
        <v>0</v>
      </c>
      <c r="BX1496" s="111">
        <f t="shared" si="1112"/>
        <v>0</v>
      </c>
      <c r="BY1496" s="129">
        <f t="shared" si="1113"/>
        <v>-9</v>
      </c>
      <c r="BZ1496" s="111">
        <f t="shared" si="1114"/>
        <v>280</v>
      </c>
      <c r="CA1496" s="138">
        <f t="shared" si="1115"/>
        <v>561</v>
      </c>
      <c r="CB1496" s="111" t="e">
        <f>IF(AF1496&gt;1/1/1900,((AF1496+1)-AE1496),"STILL OPEN")</f>
        <v>#VALUE!</v>
      </c>
      <c r="CC1496" s="129">
        <v>289</v>
      </c>
      <c r="CG1496" s="129" t="str">
        <f t="shared" si="1116"/>
        <v>Y</v>
      </c>
      <c r="CH1496" s="129" t="e">
        <v>#N/A</v>
      </c>
      <c r="CI1496" s="129" t="str">
        <f t="shared" si="1117"/>
        <v>121-365 DAYS</v>
      </c>
      <c r="CJ1496" s="137">
        <f t="shared" si="1118"/>
        <v>6</v>
      </c>
      <c r="CK1496" s="129" t="str">
        <f t="shared" si="1119"/>
        <v>Booked</v>
      </c>
    </row>
    <row r="1497" spans="1:89" ht="15.75" customHeight="1" x14ac:dyDescent="0.25">
      <c r="A1497" s="111">
        <v>2289</v>
      </c>
      <c r="B1497" s="128" t="str">
        <f t="shared" si="1102"/>
        <v>N</v>
      </c>
      <c r="C1497" s="128" t="str">
        <f t="shared" si="1103"/>
        <v>N</v>
      </c>
      <c r="D1497" s="117">
        <v>2070945</v>
      </c>
      <c r="E1497" s="135">
        <f t="shared" si="1104"/>
        <v>6</v>
      </c>
      <c r="F1497" s="124">
        <v>40995</v>
      </c>
      <c r="G1497" s="125">
        <v>41015</v>
      </c>
      <c r="H1497" s="117">
        <v>2070945</v>
      </c>
      <c r="I1497" s="124">
        <v>40996</v>
      </c>
      <c r="J1497" s="124">
        <v>41015</v>
      </c>
      <c r="K1497" s="126">
        <v>55000</v>
      </c>
      <c r="L1497" s="129" t="s">
        <v>572</v>
      </c>
      <c r="N1497" s="129" t="str">
        <f>IF(M1497&gt;1/1/1,"Y","N")</f>
        <v>N</v>
      </c>
      <c r="O1497" s="128" t="s">
        <v>917</v>
      </c>
      <c r="P1497" s="129" t="s">
        <v>39</v>
      </c>
      <c r="Q1497" s="111">
        <f t="shared" si="1127"/>
        <v>20</v>
      </c>
      <c r="R1497" s="111">
        <f t="shared" si="1128"/>
        <v>21</v>
      </c>
      <c r="S1497" s="129">
        <v>0</v>
      </c>
      <c r="T1497" s="129">
        <v>1</v>
      </c>
      <c r="W1497" s="111"/>
      <c r="AC1497" s="130"/>
      <c r="AD1497" s="130">
        <v>31744</v>
      </c>
      <c r="AE1497" s="128" t="s">
        <v>32</v>
      </c>
      <c r="AF1497" s="128" t="s">
        <v>40</v>
      </c>
      <c r="AG1497" s="128" t="s">
        <v>41</v>
      </c>
      <c r="AH1497" s="108" t="s">
        <v>41</v>
      </c>
      <c r="AI1497" s="128" t="s">
        <v>114</v>
      </c>
      <c r="AJ1497" s="129" t="s">
        <v>89</v>
      </c>
      <c r="AK1497" s="129">
        <v>2</v>
      </c>
      <c r="AL1497" s="3" t="s">
        <v>362</v>
      </c>
      <c r="AM1497" s="117">
        <v>2</v>
      </c>
      <c r="AP1497" s="129" t="s">
        <v>427</v>
      </c>
      <c r="AR1497" s="128" t="s">
        <v>67</v>
      </c>
      <c r="AS1497" s="129" t="s">
        <v>64</v>
      </c>
      <c r="BC1497" s="129" t="s">
        <v>38</v>
      </c>
      <c r="BF1497" s="111">
        <f t="shared" ref="BF1497:BF1514" si="1131">IF(J1497&gt;1/1/1900,((J1497+1)-I1497),"STILL OPEN")</f>
        <v>20</v>
      </c>
      <c r="BG1497" s="111">
        <f t="shared" si="1129"/>
        <v>20</v>
      </c>
      <c r="BH1497" s="111">
        <f t="shared" si="1085"/>
        <v>21</v>
      </c>
      <c r="BI1497" s="111">
        <f t="shared" si="1086"/>
        <v>25.275956284153004</v>
      </c>
      <c r="BJ1497" s="129">
        <f t="shared" si="1120"/>
        <v>0</v>
      </c>
      <c r="BK1497" s="129">
        <f t="shared" si="1087"/>
        <v>0</v>
      </c>
      <c r="BL1497" s="129" t="str">
        <f t="shared" si="1130"/>
        <v>CONVICTION</v>
      </c>
      <c r="BM1497" s="129" t="str">
        <f t="shared" si="1121"/>
        <v>NONE</v>
      </c>
      <c r="BN1497" s="129" t="s">
        <v>566</v>
      </c>
      <c r="BP1497" s="137" t="str">
        <f t="shared" si="1105"/>
        <v>CONVICTION</v>
      </c>
      <c r="BQ1497" s="128" t="str">
        <f t="shared" si="1106"/>
        <v>Y</v>
      </c>
      <c r="BR1497" s="129" t="str">
        <f t="shared" si="1107"/>
        <v>DETAINED</v>
      </c>
      <c r="BS1497" s="129" t="str">
        <f t="shared" si="1108"/>
        <v>DISPOSED</v>
      </c>
      <c r="BT1497" s="129" t="str">
        <f t="shared" si="1109"/>
        <v>N</v>
      </c>
      <c r="BU1497" s="109">
        <f t="shared" si="1110"/>
        <v>0.95238095238095233</v>
      </c>
      <c r="BV1497" s="109">
        <f t="shared" si="1111"/>
        <v>1</v>
      </c>
      <c r="BW1497" s="109">
        <f t="shared" ref="BW1497:BW1560" si="1132">BV1497-BU1497</f>
        <v>4.7619047619047672E-2</v>
      </c>
      <c r="BX1497" s="111">
        <f t="shared" si="1112"/>
        <v>0</v>
      </c>
      <c r="BY1497" s="129">
        <f t="shared" si="1113"/>
        <v>-20</v>
      </c>
      <c r="BZ1497" s="111">
        <f t="shared" si="1114"/>
        <v>0</v>
      </c>
      <c r="CA1497" s="138">
        <f t="shared" si="1115"/>
        <v>20</v>
      </c>
      <c r="CB1497" s="111" t="e">
        <f t="shared" ref="CB1497:CB1514" si="1133">IF(AF1497&gt;1/1/1900,((AF1497+1)-AE1497),"STILL OPEN")</f>
        <v>#VALUE!</v>
      </c>
      <c r="CC1497" s="129">
        <f>G1497-I1497+1</f>
        <v>20</v>
      </c>
      <c r="CD1497" s="129">
        <f>G1497-J1497</f>
        <v>0</v>
      </c>
      <c r="CG1497" s="129" t="str">
        <f t="shared" si="1116"/>
        <v>Y</v>
      </c>
      <c r="CI1497" s="129" t="str">
        <f t="shared" si="1117"/>
        <v>11-30 DAYS</v>
      </c>
      <c r="CJ1497" s="137">
        <f t="shared" si="1118"/>
        <v>2</v>
      </c>
      <c r="CK1497" s="129" t="str">
        <f t="shared" si="1119"/>
        <v>Booked</v>
      </c>
    </row>
    <row r="1498" spans="1:89" ht="15.75" customHeight="1" x14ac:dyDescent="0.25">
      <c r="A1498" s="111">
        <v>2146</v>
      </c>
      <c r="B1498" s="128" t="str">
        <f t="shared" si="1102"/>
        <v>N</v>
      </c>
      <c r="C1498" s="128" t="str">
        <f t="shared" si="1103"/>
        <v>N</v>
      </c>
      <c r="D1498" s="117">
        <v>2070968</v>
      </c>
      <c r="E1498" s="135">
        <f t="shared" si="1104"/>
        <v>5</v>
      </c>
      <c r="F1498" s="124">
        <v>40989</v>
      </c>
      <c r="G1498" s="125">
        <v>41044</v>
      </c>
      <c r="H1498" s="117">
        <v>2070968</v>
      </c>
      <c r="I1498" s="124">
        <v>40989</v>
      </c>
      <c r="J1498" s="124">
        <v>41044</v>
      </c>
      <c r="K1498" s="126" t="s">
        <v>564</v>
      </c>
      <c r="L1498" s="127" t="s">
        <v>564</v>
      </c>
      <c r="N1498" s="129" t="s">
        <v>566</v>
      </c>
      <c r="O1498" s="128" t="s">
        <v>917</v>
      </c>
      <c r="P1498" s="129" t="s">
        <v>39</v>
      </c>
      <c r="Q1498" s="111">
        <f t="shared" si="1127"/>
        <v>56</v>
      </c>
      <c r="R1498" s="111">
        <f t="shared" si="1128"/>
        <v>56</v>
      </c>
      <c r="S1498" s="129">
        <v>4</v>
      </c>
      <c r="T1498" s="129">
        <v>3</v>
      </c>
      <c r="W1498" s="111"/>
      <c r="AC1498" s="130"/>
      <c r="AD1498" s="130">
        <v>31486</v>
      </c>
      <c r="AE1498" s="128" t="s">
        <v>46</v>
      </c>
      <c r="AF1498" s="128" t="s">
        <v>33</v>
      </c>
      <c r="AG1498" s="128" t="s">
        <v>872</v>
      </c>
      <c r="AH1498" s="108" t="s">
        <v>58</v>
      </c>
      <c r="AI1498" s="128" t="s">
        <v>90</v>
      </c>
      <c r="AJ1498" s="129" t="s">
        <v>89</v>
      </c>
      <c r="AK1498" s="129">
        <v>4</v>
      </c>
      <c r="AL1498" s="3" t="s">
        <v>992</v>
      </c>
      <c r="AN1498" s="117">
        <v>7</v>
      </c>
      <c r="AP1498" s="129" t="s">
        <v>60</v>
      </c>
      <c r="AR1498" s="128" t="s">
        <v>44</v>
      </c>
      <c r="AS1498" s="129" t="s">
        <v>61</v>
      </c>
      <c r="BC1498" s="129" t="s">
        <v>52</v>
      </c>
      <c r="BF1498" s="111">
        <f t="shared" si="1131"/>
        <v>56</v>
      </c>
      <c r="BG1498" s="111">
        <f t="shared" si="1129"/>
        <v>56</v>
      </c>
      <c r="BH1498" s="111">
        <f t="shared" si="1085"/>
        <v>56</v>
      </c>
      <c r="BI1498" s="111">
        <f t="shared" si="1086"/>
        <v>25.964480874316941</v>
      </c>
      <c r="BJ1498" s="129">
        <f t="shared" si="1120"/>
        <v>0</v>
      </c>
      <c r="BK1498" s="129">
        <f t="shared" si="1087"/>
        <v>0</v>
      </c>
      <c r="BL1498" s="129" t="str">
        <f t="shared" si="1130"/>
        <v>CONVICTION</v>
      </c>
      <c r="BM1498" s="129" t="str">
        <f t="shared" si="1121"/>
        <v>NONE</v>
      </c>
      <c r="BN1498" s="129" t="s">
        <v>566</v>
      </c>
      <c r="BP1498" s="137" t="str">
        <f t="shared" si="1105"/>
        <v>CONVICTION</v>
      </c>
      <c r="BQ1498" s="128" t="str">
        <f t="shared" si="1106"/>
        <v>Y</v>
      </c>
      <c r="BR1498" s="129" t="str">
        <f t="shared" si="1107"/>
        <v>DETAINED</v>
      </c>
      <c r="BS1498" s="129" t="str">
        <f t="shared" si="1108"/>
        <v>DISPOSED</v>
      </c>
      <c r="BT1498" s="129" t="str">
        <f t="shared" si="1109"/>
        <v>Y</v>
      </c>
      <c r="BU1498" s="109">
        <f t="shared" si="1110"/>
        <v>1</v>
      </c>
      <c r="BV1498" s="109">
        <f t="shared" si="1111"/>
        <v>1</v>
      </c>
      <c r="BW1498" s="109">
        <f t="shared" si="1132"/>
        <v>0</v>
      </c>
      <c r="BX1498" s="111">
        <f t="shared" si="1112"/>
        <v>0</v>
      </c>
      <c r="BY1498" s="129">
        <f t="shared" si="1113"/>
        <v>-56</v>
      </c>
      <c r="BZ1498" s="111">
        <f t="shared" si="1114"/>
        <v>0</v>
      </c>
      <c r="CA1498" s="138">
        <f t="shared" si="1115"/>
        <v>56</v>
      </c>
      <c r="CB1498" s="111" t="e">
        <f t="shared" si="1133"/>
        <v>#VALUE!</v>
      </c>
      <c r="CC1498" s="129">
        <f>G1498-I1498+1</f>
        <v>56</v>
      </c>
      <c r="CD1498" s="129">
        <f>G1498-J1498</f>
        <v>0</v>
      </c>
      <c r="CG1498" s="129" t="str">
        <f t="shared" si="1116"/>
        <v>Y</v>
      </c>
      <c r="CI1498" s="129" t="str">
        <f t="shared" si="1117"/>
        <v>31-60 DAYS</v>
      </c>
      <c r="CJ1498" s="137">
        <f t="shared" si="1118"/>
        <v>3</v>
      </c>
      <c r="CK1498" s="129" t="str">
        <f t="shared" si="1119"/>
        <v>Booked</v>
      </c>
    </row>
    <row r="1499" spans="1:89" ht="15" customHeight="1" x14ac:dyDescent="0.25">
      <c r="A1499" s="111">
        <v>2868</v>
      </c>
      <c r="B1499" s="128" t="str">
        <f t="shared" si="1102"/>
        <v>N</v>
      </c>
      <c r="C1499" s="128" t="str">
        <f t="shared" si="1103"/>
        <v>N</v>
      </c>
      <c r="D1499" s="117">
        <v>2071418</v>
      </c>
      <c r="E1499" s="135">
        <f t="shared" si="1104"/>
        <v>6</v>
      </c>
      <c r="F1499" s="124">
        <v>41015</v>
      </c>
      <c r="G1499" s="125">
        <v>41145</v>
      </c>
      <c r="H1499" s="117">
        <v>2071418</v>
      </c>
      <c r="I1499" s="124">
        <v>41015</v>
      </c>
      <c r="J1499" s="124">
        <v>41145</v>
      </c>
      <c r="K1499" s="126">
        <v>10000</v>
      </c>
      <c r="L1499" s="127" t="s">
        <v>570</v>
      </c>
      <c r="N1499" s="129" t="str">
        <f t="shared" ref="N1499:N1504" si="1134">IF(M1499&gt;1/1/1,"Y","N")</f>
        <v>N</v>
      </c>
      <c r="O1499" s="128" t="s">
        <v>917</v>
      </c>
      <c r="P1499" s="129" t="s">
        <v>39</v>
      </c>
      <c r="Q1499" s="111">
        <f t="shared" si="1127"/>
        <v>131</v>
      </c>
      <c r="R1499" s="111">
        <f t="shared" si="1128"/>
        <v>131</v>
      </c>
      <c r="S1499" s="129">
        <v>1</v>
      </c>
      <c r="T1499" s="129">
        <v>4</v>
      </c>
      <c r="W1499" s="111"/>
      <c r="AC1499" s="130"/>
      <c r="AD1499" s="130">
        <v>31678</v>
      </c>
      <c r="AE1499" s="128" t="s">
        <v>32</v>
      </c>
      <c r="AF1499" s="128" t="s">
        <v>40</v>
      </c>
      <c r="AG1499" s="128" t="s">
        <v>41</v>
      </c>
      <c r="AH1499" s="108" t="s">
        <v>41</v>
      </c>
      <c r="AI1499" s="128" t="s">
        <v>53</v>
      </c>
      <c r="AJ1499" s="129" t="s">
        <v>89</v>
      </c>
      <c r="AK1499" s="129">
        <v>8</v>
      </c>
      <c r="AL1499" s="3" t="s">
        <v>362</v>
      </c>
      <c r="AM1499" s="117">
        <v>5</v>
      </c>
      <c r="AP1499" s="129" t="s">
        <v>66</v>
      </c>
      <c r="AR1499" s="128" t="s">
        <v>67</v>
      </c>
      <c r="AS1499" s="129" t="s">
        <v>68</v>
      </c>
      <c r="AU1499" s="129"/>
      <c r="BC1499" s="129" t="s">
        <v>52</v>
      </c>
      <c r="BF1499" s="111">
        <f t="shared" si="1131"/>
        <v>131</v>
      </c>
      <c r="BG1499" s="111">
        <f t="shared" si="1129"/>
        <v>131</v>
      </c>
      <c r="BH1499" s="111">
        <f t="shared" si="1085"/>
        <v>131</v>
      </c>
      <c r="BI1499" s="111">
        <f t="shared" si="1086"/>
        <v>25.510928961748633</v>
      </c>
      <c r="BJ1499" s="129">
        <f t="shared" si="1120"/>
        <v>0</v>
      </c>
      <c r="BK1499" s="129">
        <f t="shared" si="1087"/>
        <v>0</v>
      </c>
      <c r="BL1499" s="129" t="str">
        <f t="shared" si="1130"/>
        <v>CONVICTION</v>
      </c>
      <c r="BM1499" s="129" t="str">
        <f t="shared" si="1121"/>
        <v>NONE</v>
      </c>
      <c r="BN1499" s="129" t="s">
        <v>566</v>
      </c>
      <c r="BP1499" s="137" t="str">
        <f t="shared" si="1105"/>
        <v>CONVICTION</v>
      </c>
      <c r="BQ1499" s="128" t="str">
        <f t="shared" si="1106"/>
        <v>Y</v>
      </c>
      <c r="BR1499" s="129" t="str">
        <f t="shared" si="1107"/>
        <v>DETAINED</v>
      </c>
      <c r="BS1499" s="129" t="str">
        <f t="shared" si="1108"/>
        <v>DISPOSED</v>
      </c>
      <c r="BT1499" s="129" t="str">
        <f t="shared" si="1109"/>
        <v>Y</v>
      </c>
      <c r="BU1499" s="109">
        <f t="shared" si="1110"/>
        <v>1</v>
      </c>
      <c r="BV1499" s="109">
        <f t="shared" si="1111"/>
        <v>1</v>
      </c>
      <c r="BW1499" s="109">
        <f t="shared" si="1132"/>
        <v>0</v>
      </c>
      <c r="BX1499" s="111">
        <f t="shared" si="1112"/>
        <v>0</v>
      </c>
      <c r="BY1499" s="129">
        <f t="shared" si="1113"/>
        <v>-131</v>
      </c>
      <c r="BZ1499" s="111">
        <f t="shared" si="1114"/>
        <v>0</v>
      </c>
      <c r="CA1499" s="138">
        <f t="shared" si="1115"/>
        <v>131</v>
      </c>
      <c r="CB1499" s="111" t="e">
        <f t="shared" si="1133"/>
        <v>#VALUE!</v>
      </c>
      <c r="CC1499" s="129">
        <f>G1499-I1499+1</f>
        <v>131</v>
      </c>
      <c r="CD1499" s="129">
        <f>G1499-J1499</f>
        <v>0</v>
      </c>
      <c r="CG1499" s="129" t="str">
        <f t="shared" si="1116"/>
        <v>Y</v>
      </c>
      <c r="CI1499" s="129" t="str">
        <f t="shared" si="1117"/>
        <v>121-365 DAYS</v>
      </c>
      <c r="CJ1499" s="137">
        <f t="shared" si="1118"/>
        <v>6</v>
      </c>
      <c r="CK1499" s="129" t="str">
        <f t="shared" si="1119"/>
        <v>Booked</v>
      </c>
    </row>
    <row r="1500" spans="1:89" ht="15.75" customHeight="1" x14ac:dyDescent="0.25">
      <c r="A1500" s="111">
        <v>426</v>
      </c>
      <c r="B1500" s="128" t="str">
        <f t="shared" si="1102"/>
        <v>N</v>
      </c>
      <c r="C1500" s="128" t="str">
        <f t="shared" si="1103"/>
        <v>N</v>
      </c>
      <c r="D1500" s="117">
        <v>2071588</v>
      </c>
      <c r="E1500" s="135">
        <f t="shared" si="1104"/>
        <v>6</v>
      </c>
      <c r="F1500" s="124">
        <v>40926</v>
      </c>
      <c r="G1500" s="125">
        <v>41058</v>
      </c>
      <c r="H1500" s="117">
        <v>2071588</v>
      </c>
      <c r="I1500" s="124">
        <v>40947</v>
      </c>
      <c r="J1500" s="124">
        <v>41058</v>
      </c>
      <c r="K1500" s="126">
        <v>100000</v>
      </c>
      <c r="L1500" s="129" t="s">
        <v>572</v>
      </c>
      <c r="N1500" s="129" t="str">
        <f t="shared" si="1134"/>
        <v>N</v>
      </c>
      <c r="O1500" s="128" t="s">
        <v>917</v>
      </c>
      <c r="P1500" s="129" t="s">
        <v>39</v>
      </c>
      <c r="Q1500" s="111">
        <f t="shared" si="1127"/>
        <v>112</v>
      </c>
      <c r="R1500" s="111">
        <f t="shared" si="1128"/>
        <v>133</v>
      </c>
      <c r="S1500" s="129">
        <v>2</v>
      </c>
      <c r="T1500" s="129">
        <v>3</v>
      </c>
      <c r="U1500" s="129">
        <v>1</v>
      </c>
      <c r="W1500" s="111"/>
      <c r="AC1500" s="130"/>
      <c r="AD1500" s="130">
        <v>31742</v>
      </c>
      <c r="AE1500" s="128" t="s">
        <v>32</v>
      </c>
      <c r="AF1500" s="128" t="s">
        <v>33</v>
      </c>
      <c r="AG1500" s="128" t="s">
        <v>872</v>
      </c>
      <c r="AH1500" s="108" t="s">
        <v>58</v>
      </c>
      <c r="AI1500" s="128" t="s">
        <v>47</v>
      </c>
      <c r="AJ1500" s="129" t="s">
        <v>89</v>
      </c>
      <c r="AK1500" s="129">
        <v>7</v>
      </c>
      <c r="AL1500" s="3" t="s">
        <v>362</v>
      </c>
      <c r="AM1500" s="117">
        <v>2</v>
      </c>
      <c r="AP1500" s="129" t="s">
        <v>110</v>
      </c>
      <c r="AR1500" s="128" t="s">
        <v>50</v>
      </c>
      <c r="AS1500" s="129" t="s">
        <v>74</v>
      </c>
      <c r="BC1500" s="129" t="s">
        <v>52</v>
      </c>
      <c r="BF1500" s="111">
        <f t="shared" si="1131"/>
        <v>112</v>
      </c>
      <c r="BG1500" s="111">
        <f t="shared" si="1129"/>
        <v>112</v>
      </c>
      <c r="BH1500" s="111">
        <f t="shared" si="1085"/>
        <v>133</v>
      </c>
      <c r="BI1500" s="111">
        <f t="shared" si="1086"/>
        <v>25.092896174863387</v>
      </c>
      <c r="BJ1500" s="129">
        <f t="shared" si="1120"/>
        <v>0</v>
      </c>
      <c r="BK1500" s="129">
        <f t="shared" si="1087"/>
        <v>0</v>
      </c>
      <c r="BL1500" s="129" t="str">
        <f t="shared" si="1130"/>
        <v>CONVICTION</v>
      </c>
      <c r="BM1500" s="129" t="str">
        <f t="shared" si="1121"/>
        <v>NONE</v>
      </c>
      <c r="BN1500" s="129" t="s">
        <v>566</v>
      </c>
      <c r="BP1500" s="137" t="str">
        <f t="shared" si="1105"/>
        <v>CONVICTION</v>
      </c>
      <c r="BQ1500" s="128" t="str">
        <f t="shared" si="1106"/>
        <v>Y</v>
      </c>
      <c r="BR1500" s="129" t="str">
        <f t="shared" si="1107"/>
        <v>DETAINED</v>
      </c>
      <c r="BS1500" s="129" t="str">
        <f t="shared" si="1108"/>
        <v>DISPOSED</v>
      </c>
      <c r="BT1500" s="129" t="str">
        <f t="shared" si="1109"/>
        <v>Y</v>
      </c>
      <c r="BU1500" s="109">
        <f t="shared" si="1110"/>
        <v>0.84210526315789469</v>
      </c>
      <c r="BV1500" s="109">
        <f t="shared" si="1111"/>
        <v>1</v>
      </c>
      <c r="BW1500" s="109">
        <f t="shared" si="1132"/>
        <v>0.15789473684210531</v>
      </c>
      <c r="BX1500" s="111">
        <f t="shared" si="1112"/>
        <v>0</v>
      </c>
      <c r="BY1500" s="129">
        <f t="shared" si="1113"/>
        <v>-112</v>
      </c>
      <c r="BZ1500" s="111">
        <f t="shared" si="1114"/>
        <v>0</v>
      </c>
      <c r="CA1500" s="138">
        <f t="shared" si="1115"/>
        <v>112</v>
      </c>
      <c r="CB1500" s="111" t="e">
        <f t="shared" si="1133"/>
        <v>#VALUE!</v>
      </c>
      <c r="CC1500" s="129">
        <f>G1500-I1500+1</f>
        <v>112</v>
      </c>
      <c r="CD1500" s="129">
        <f>G1500-J1500</f>
        <v>0</v>
      </c>
      <c r="CG1500" s="129" t="str">
        <f t="shared" si="1116"/>
        <v>Y</v>
      </c>
      <c r="CI1500" s="129" t="str">
        <f t="shared" si="1117"/>
        <v>91-120 DAYS</v>
      </c>
      <c r="CJ1500" s="137">
        <f t="shared" si="1118"/>
        <v>0</v>
      </c>
      <c r="CK1500" s="129" t="str">
        <f t="shared" si="1119"/>
        <v>Booked</v>
      </c>
    </row>
    <row r="1501" spans="1:89" ht="15.75" customHeight="1" x14ac:dyDescent="0.25">
      <c r="A1501" s="111">
        <v>2932</v>
      </c>
      <c r="B1501" s="128" t="str">
        <f t="shared" si="1102"/>
        <v>N</v>
      </c>
      <c r="C1501" s="128" t="str">
        <f t="shared" si="1103"/>
        <v>N</v>
      </c>
      <c r="D1501" s="117">
        <v>2071843</v>
      </c>
      <c r="E1501" s="135">
        <f t="shared" si="1104"/>
        <v>4</v>
      </c>
      <c r="F1501" s="124">
        <v>41017</v>
      </c>
      <c r="G1501" s="125">
        <v>41194</v>
      </c>
      <c r="H1501" s="117">
        <v>2071843</v>
      </c>
      <c r="I1501" s="124">
        <v>41018</v>
      </c>
      <c r="J1501" s="124">
        <v>41067</v>
      </c>
      <c r="K1501" s="113">
        <v>250000</v>
      </c>
      <c r="L1501" s="129" t="s">
        <v>572</v>
      </c>
      <c r="M1501" s="125">
        <v>41067</v>
      </c>
      <c r="N1501" s="129" t="str">
        <f t="shared" si="1134"/>
        <v>Y</v>
      </c>
      <c r="O1501" s="128" t="s">
        <v>76</v>
      </c>
      <c r="P1501" s="129" t="s">
        <v>39</v>
      </c>
      <c r="Q1501" s="111">
        <f t="shared" si="1127"/>
        <v>50</v>
      </c>
      <c r="R1501" s="111">
        <f t="shared" si="1128"/>
        <v>178</v>
      </c>
      <c r="S1501" s="129">
        <v>5</v>
      </c>
      <c r="T1501" s="129">
        <v>5</v>
      </c>
      <c r="U1501" s="129">
        <v>3</v>
      </c>
      <c r="W1501" s="111"/>
      <c r="AC1501" s="130"/>
      <c r="AD1501" s="130">
        <v>30115</v>
      </c>
      <c r="AE1501" s="128" t="s">
        <v>32</v>
      </c>
      <c r="AF1501" s="128" t="s">
        <v>33</v>
      </c>
      <c r="AG1501" s="128" t="s">
        <v>872</v>
      </c>
      <c r="AH1501" s="108" t="s">
        <v>58</v>
      </c>
      <c r="AI1501" s="128" t="s">
        <v>42</v>
      </c>
      <c r="AJ1501" s="129" t="s">
        <v>89</v>
      </c>
      <c r="AK1501" s="129">
        <v>14</v>
      </c>
      <c r="AL1501" s="3" t="s">
        <v>991</v>
      </c>
      <c r="AO1501" s="128">
        <v>100</v>
      </c>
      <c r="AP1501" s="129" t="s">
        <v>227</v>
      </c>
      <c r="AR1501" s="128" t="s">
        <v>50</v>
      </c>
      <c r="AS1501" s="129" t="s">
        <v>64</v>
      </c>
      <c r="BC1501" s="129" t="s">
        <v>52</v>
      </c>
      <c r="BF1501" s="111">
        <f t="shared" si="1131"/>
        <v>50</v>
      </c>
      <c r="BG1501" s="111">
        <f t="shared" si="1129"/>
        <v>177</v>
      </c>
      <c r="BH1501" s="111">
        <f t="shared" si="1085"/>
        <v>178</v>
      </c>
      <c r="BI1501" s="111">
        <f t="shared" si="1086"/>
        <v>29.78688524590164</v>
      </c>
      <c r="BJ1501" s="129">
        <f>(G1501-J1501)+(M1501-G1501)</f>
        <v>0</v>
      </c>
      <c r="BK1501" s="129">
        <f t="shared" si="1087"/>
        <v>-127</v>
      </c>
      <c r="BL1501" s="129" t="str">
        <f t="shared" si="1130"/>
        <v>CONVICTION</v>
      </c>
      <c r="BM1501" s="129" t="s">
        <v>76</v>
      </c>
      <c r="BN1501" s="129" t="s">
        <v>88</v>
      </c>
      <c r="BP1501" s="137" t="str">
        <f t="shared" si="1105"/>
        <v>CONVICTION</v>
      </c>
      <c r="BQ1501" s="128" t="str">
        <f t="shared" si="1106"/>
        <v>Y</v>
      </c>
      <c r="BR1501" s="129" t="str">
        <f>IF(J1501&lt;G1501,"ON BOND",0)</f>
        <v>ON BOND</v>
      </c>
      <c r="BS1501" s="129" t="str">
        <f t="shared" si="1108"/>
        <v>DISPOSED</v>
      </c>
      <c r="BT1501" s="129" t="str">
        <f t="shared" si="1109"/>
        <v>Y</v>
      </c>
      <c r="BU1501" s="109">
        <f t="shared" si="1110"/>
        <v>0.2808988764044944</v>
      </c>
      <c r="BV1501" s="109">
        <f t="shared" si="1111"/>
        <v>0.2824858757062147</v>
      </c>
      <c r="BW1501" s="109">
        <f t="shared" si="1132"/>
        <v>1.5869993017202932E-3</v>
      </c>
      <c r="BX1501" s="111">
        <f t="shared" si="1112"/>
        <v>0</v>
      </c>
      <c r="BY1501" s="129">
        <f t="shared" si="1113"/>
        <v>-50</v>
      </c>
      <c r="BZ1501" s="111">
        <f t="shared" si="1114"/>
        <v>0</v>
      </c>
      <c r="CA1501" s="138">
        <f t="shared" si="1115"/>
        <v>50</v>
      </c>
      <c r="CB1501" s="111" t="e">
        <f t="shared" si="1133"/>
        <v>#VALUE!</v>
      </c>
      <c r="CC1501" s="129">
        <f>M1501-I1501+1</f>
        <v>50</v>
      </c>
      <c r="CD1501" s="111">
        <f>CC1501-BF1501</f>
        <v>0</v>
      </c>
      <c r="CG1501" s="129" t="str">
        <f t="shared" si="1116"/>
        <v>Y</v>
      </c>
      <c r="CI1501" s="129" t="str">
        <f t="shared" si="1117"/>
        <v>31-60 DAYS</v>
      </c>
      <c r="CJ1501" s="137">
        <f t="shared" si="1118"/>
        <v>3</v>
      </c>
      <c r="CK1501" s="129" t="str">
        <f t="shared" si="1119"/>
        <v>Booked</v>
      </c>
    </row>
    <row r="1502" spans="1:89" ht="15.75" customHeight="1" x14ac:dyDescent="0.25">
      <c r="A1502" s="111">
        <v>1190</v>
      </c>
      <c r="B1502" s="128" t="str">
        <f t="shared" si="1102"/>
        <v>N</v>
      </c>
      <c r="C1502" s="128" t="str">
        <f t="shared" si="1103"/>
        <v>N</v>
      </c>
      <c r="D1502" s="117">
        <v>2072100</v>
      </c>
      <c r="E1502" s="135">
        <f t="shared" si="1104"/>
        <v>6</v>
      </c>
      <c r="F1502" s="124">
        <v>40952</v>
      </c>
      <c r="G1502" s="125">
        <v>41647</v>
      </c>
      <c r="H1502" s="117">
        <v>2072100</v>
      </c>
      <c r="I1502" s="124">
        <v>40952</v>
      </c>
      <c r="J1502" s="125">
        <v>41647</v>
      </c>
      <c r="K1502" s="126">
        <v>200000</v>
      </c>
      <c r="L1502" s="129" t="s">
        <v>572</v>
      </c>
      <c r="N1502" s="129" t="str">
        <f t="shared" si="1134"/>
        <v>N</v>
      </c>
      <c r="O1502" s="128" t="s">
        <v>917</v>
      </c>
      <c r="P1502" s="129" t="s">
        <v>39</v>
      </c>
      <c r="Q1502" s="111">
        <f>BF1502</f>
        <v>696</v>
      </c>
      <c r="R1502" s="111">
        <f t="shared" si="1128"/>
        <v>696</v>
      </c>
      <c r="S1502" s="129">
        <v>2</v>
      </c>
      <c r="T1502" s="129">
        <v>5</v>
      </c>
      <c r="U1502" s="129">
        <v>2</v>
      </c>
      <c r="W1502" s="111"/>
      <c r="AC1502" s="130"/>
      <c r="AD1502" s="130">
        <v>31577</v>
      </c>
      <c r="AE1502" s="128" t="s">
        <v>32</v>
      </c>
      <c r="AF1502" s="128" t="s">
        <v>33</v>
      </c>
      <c r="AG1502" s="128" t="s">
        <v>872</v>
      </c>
      <c r="AH1502" s="108" t="s">
        <v>58</v>
      </c>
      <c r="AI1502" s="128" t="s">
        <v>59</v>
      </c>
      <c r="AJ1502" s="129" t="s">
        <v>89</v>
      </c>
      <c r="AK1502" s="129">
        <v>16</v>
      </c>
      <c r="AL1502" s="3" t="s">
        <v>362</v>
      </c>
      <c r="AM1502" s="117">
        <v>24</v>
      </c>
      <c r="AP1502" s="129" t="s">
        <v>105</v>
      </c>
      <c r="AR1502" s="128" t="s">
        <v>92</v>
      </c>
      <c r="AS1502" s="129" t="s">
        <v>106</v>
      </c>
      <c r="BC1502" s="129" t="s">
        <v>52</v>
      </c>
      <c r="BF1502" s="111">
        <f t="shared" si="1131"/>
        <v>696</v>
      </c>
      <c r="BG1502" s="111">
        <f t="shared" si="1129"/>
        <v>696</v>
      </c>
      <c r="BH1502" s="111">
        <f t="shared" si="1085"/>
        <v>696</v>
      </c>
      <c r="BI1502" s="111">
        <f t="shared" si="1086"/>
        <v>25.614754098360656</v>
      </c>
      <c r="BJ1502" s="129">
        <f t="shared" ref="BJ1502" si="1135">G1502-J1502-M1502</f>
        <v>0</v>
      </c>
      <c r="BK1502" s="129">
        <f t="shared" si="1087"/>
        <v>0</v>
      </c>
      <c r="BL1502" s="129" t="str">
        <f t="shared" si="1130"/>
        <v>CONVICTION</v>
      </c>
      <c r="BM1502" s="129" t="str">
        <f t="shared" ref="BM1502" si="1136">O1502</f>
        <v>NONE</v>
      </c>
      <c r="BN1502" s="129" t="s">
        <v>566</v>
      </c>
      <c r="BP1502" s="137" t="str">
        <f t="shared" si="1105"/>
        <v>CONVICTION</v>
      </c>
      <c r="BQ1502" s="128" t="str">
        <f t="shared" si="1106"/>
        <v>Y</v>
      </c>
      <c r="BR1502" s="129" t="s">
        <v>574</v>
      </c>
      <c r="BS1502" s="129" t="s">
        <v>1259</v>
      </c>
      <c r="BT1502" s="129" t="str">
        <f t="shared" si="1109"/>
        <v>Y</v>
      </c>
      <c r="BU1502" s="109">
        <f>IFERROR(Q1502/R1502,BR1502)</f>
        <v>1</v>
      </c>
      <c r="BV1502" s="109">
        <f t="shared" si="1111"/>
        <v>1</v>
      </c>
      <c r="BW1502" s="109">
        <f t="shared" si="1132"/>
        <v>0</v>
      </c>
      <c r="BX1502" s="111">
        <f t="shared" si="1112"/>
        <v>0</v>
      </c>
      <c r="BY1502" s="129">
        <f t="shared" si="1113"/>
        <v>-696</v>
      </c>
      <c r="BZ1502" s="111">
        <f t="shared" si="1114"/>
        <v>0</v>
      </c>
      <c r="CA1502" s="138">
        <f t="shared" si="1115"/>
        <v>696</v>
      </c>
      <c r="CB1502" s="111" t="e">
        <f t="shared" si="1133"/>
        <v>#VALUE!</v>
      </c>
      <c r="CC1502" s="129">
        <f>G1502-I1502+1</f>
        <v>696</v>
      </c>
      <c r="CD1502" s="129">
        <f>G1502-J1502</f>
        <v>0</v>
      </c>
      <c r="CG1502" s="129" t="str">
        <f t="shared" si="1116"/>
        <v>Y</v>
      </c>
      <c r="CH1502" s="129" t="e">
        <v>#N/A</v>
      </c>
      <c r="CI1502" s="129" t="str">
        <f t="shared" si="1117"/>
        <v xml:space="preserve"> &gt;1YRS&lt;2YRS</v>
      </c>
      <c r="CJ1502" s="137">
        <f t="shared" si="1118"/>
        <v>0</v>
      </c>
      <c r="CK1502" s="129" t="str">
        <f t="shared" si="1119"/>
        <v>Booked</v>
      </c>
    </row>
    <row r="1503" spans="1:89" ht="15.75" customHeight="1" x14ac:dyDescent="0.25">
      <c r="A1503" s="111">
        <v>437</v>
      </c>
      <c r="B1503" s="128" t="str">
        <f t="shared" si="1102"/>
        <v>N</v>
      </c>
      <c r="C1503" s="128" t="str">
        <f t="shared" si="1103"/>
        <v>N</v>
      </c>
      <c r="D1503" s="117">
        <v>2072851</v>
      </c>
      <c r="E1503" s="135">
        <f t="shared" si="1104"/>
        <v>2</v>
      </c>
      <c r="F1503" s="124">
        <v>40927</v>
      </c>
      <c r="G1503" s="125">
        <v>41169</v>
      </c>
      <c r="H1503" s="117">
        <v>2072851</v>
      </c>
      <c r="I1503" s="124">
        <v>40927</v>
      </c>
      <c r="J1503" s="124">
        <v>40928</v>
      </c>
      <c r="K1503" s="126">
        <v>10000</v>
      </c>
      <c r="L1503" s="127" t="s">
        <v>570</v>
      </c>
      <c r="M1503" s="125">
        <v>40928</v>
      </c>
      <c r="N1503" s="129" t="str">
        <f t="shared" si="1134"/>
        <v>Y</v>
      </c>
      <c r="O1503" s="112" t="s">
        <v>160</v>
      </c>
      <c r="P1503" s="129" t="s">
        <v>589</v>
      </c>
      <c r="Q1503" s="111">
        <f t="shared" si="1127"/>
        <v>2</v>
      </c>
      <c r="R1503" s="111">
        <f t="shared" si="1128"/>
        <v>243</v>
      </c>
      <c r="S1503" s="129">
        <v>0</v>
      </c>
      <c r="T1503" s="129">
        <v>0</v>
      </c>
      <c r="W1503" s="111"/>
      <c r="AC1503" s="130"/>
      <c r="AD1503" s="130">
        <v>28156</v>
      </c>
      <c r="AE1503" s="128" t="s">
        <v>32</v>
      </c>
      <c r="AF1503" s="128" t="s">
        <v>33</v>
      </c>
      <c r="AG1503" s="128" t="s">
        <v>872</v>
      </c>
      <c r="AH1503" s="108" t="s">
        <v>31</v>
      </c>
      <c r="AI1503" s="128" t="s">
        <v>62</v>
      </c>
      <c r="AJ1503" s="129" t="s">
        <v>48</v>
      </c>
      <c r="AK1503" s="129">
        <v>8</v>
      </c>
      <c r="AL1503" s="3" t="s">
        <v>48</v>
      </c>
      <c r="AP1503" s="129" t="s">
        <v>49</v>
      </c>
      <c r="AR1503" s="128" t="s">
        <v>50</v>
      </c>
      <c r="AS1503" s="129" t="s">
        <v>45</v>
      </c>
      <c r="BC1503" s="129" t="s">
        <v>52</v>
      </c>
      <c r="BF1503" s="111">
        <f t="shared" si="1131"/>
        <v>2</v>
      </c>
      <c r="BG1503" s="111">
        <f t="shared" si="1129"/>
        <v>243</v>
      </c>
      <c r="BH1503" s="111">
        <f t="shared" si="1085"/>
        <v>243</v>
      </c>
      <c r="BI1503" s="111">
        <f t="shared" si="1086"/>
        <v>34.893442622950822</v>
      </c>
      <c r="BJ1503" s="129">
        <f>(G1503-J1503)+(M1503-G1503)</f>
        <v>0</v>
      </c>
      <c r="BK1503" s="129">
        <f t="shared" si="1087"/>
        <v>-241</v>
      </c>
      <c r="BL1503" s="129" t="str">
        <f t="shared" si="1130"/>
        <v>DEFERRED</v>
      </c>
      <c r="BM1503" s="129" t="s">
        <v>160</v>
      </c>
      <c r="BN1503" s="129" t="s">
        <v>88</v>
      </c>
      <c r="BP1503" s="137" t="str">
        <f t="shared" si="1105"/>
        <v>DEFERRED</v>
      </c>
      <c r="BQ1503" s="128" t="str">
        <f t="shared" si="1106"/>
        <v>Y</v>
      </c>
      <c r="BR1503" s="129" t="str">
        <f t="shared" si="1107"/>
        <v>ON BOND</v>
      </c>
      <c r="BS1503" s="129" t="str">
        <f t="shared" si="1108"/>
        <v>DISPOSED</v>
      </c>
      <c r="BT1503" s="129" t="str">
        <f t="shared" si="1109"/>
        <v>N</v>
      </c>
      <c r="BU1503" s="109">
        <f t="shared" si="1110"/>
        <v>8.23045267489712E-3</v>
      </c>
      <c r="BV1503" s="109">
        <f t="shared" si="1111"/>
        <v>8.23045267489712E-3</v>
      </c>
      <c r="BW1503" s="109">
        <f t="shared" si="1132"/>
        <v>0</v>
      </c>
      <c r="BX1503" s="111">
        <f t="shared" si="1112"/>
        <v>0</v>
      </c>
      <c r="BY1503" s="129">
        <f t="shared" si="1113"/>
        <v>-2</v>
      </c>
      <c r="BZ1503" s="111">
        <f t="shared" si="1114"/>
        <v>0</v>
      </c>
      <c r="CA1503" s="138">
        <f t="shared" si="1115"/>
        <v>2</v>
      </c>
      <c r="CB1503" s="111" t="e">
        <f t="shared" si="1133"/>
        <v>#VALUE!</v>
      </c>
      <c r="CC1503" s="129">
        <f>M1503-I1503+1</f>
        <v>2</v>
      </c>
      <c r="CD1503" s="111">
        <f>CC1503-BF1503</f>
        <v>0</v>
      </c>
      <c r="CG1503" s="129" t="str">
        <f t="shared" si="1116"/>
        <v>N</v>
      </c>
      <c r="CI1503" s="129" t="str">
        <f t="shared" si="1117"/>
        <v>0-10 DAYS</v>
      </c>
      <c r="CJ1503" s="137">
        <f t="shared" si="1118"/>
        <v>1</v>
      </c>
      <c r="CK1503" s="129" t="str">
        <f t="shared" si="1119"/>
        <v>Booked</v>
      </c>
    </row>
    <row r="1504" spans="1:89" ht="15" customHeight="1" x14ac:dyDescent="0.25">
      <c r="A1504" s="111">
        <v>3243</v>
      </c>
      <c r="B1504" s="128" t="str">
        <f t="shared" si="1102"/>
        <v>N</v>
      </c>
      <c r="C1504" s="128" t="str">
        <f t="shared" si="1103"/>
        <v>Y</v>
      </c>
      <c r="D1504" s="117">
        <v>2074841</v>
      </c>
      <c r="E1504" s="135">
        <f t="shared" si="1104"/>
        <v>6</v>
      </c>
      <c r="F1504" s="124">
        <v>41029</v>
      </c>
      <c r="G1504" s="125">
        <v>41185</v>
      </c>
      <c r="H1504" s="117">
        <v>2074841</v>
      </c>
      <c r="I1504" s="124">
        <v>41030</v>
      </c>
      <c r="J1504" s="124">
        <v>41031</v>
      </c>
      <c r="K1504" s="126">
        <v>10000</v>
      </c>
      <c r="L1504" s="127" t="s">
        <v>570</v>
      </c>
      <c r="M1504" s="125">
        <v>41031</v>
      </c>
      <c r="N1504" s="129" t="str">
        <f t="shared" si="1134"/>
        <v>Y</v>
      </c>
      <c r="O1504" s="128" t="s">
        <v>76</v>
      </c>
      <c r="P1504" s="129" t="s">
        <v>39</v>
      </c>
      <c r="Q1504" s="111">
        <v>149</v>
      </c>
      <c r="R1504" s="111">
        <f t="shared" si="1128"/>
        <v>157</v>
      </c>
      <c r="S1504" s="129">
        <v>2</v>
      </c>
      <c r="T1504" s="129">
        <v>0</v>
      </c>
      <c r="U1504" s="129">
        <v>1</v>
      </c>
      <c r="W1504" s="111"/>
      <c r="AC1504" s="130"/>
      <c r="AD1504" s="130">
        <v>31904</v>
      </c>
      <c r="AE1504" s="128" t="s">
        <v>32</v>
      </c>
      <c r="AF1504" s="128" t="s">
        <v>33</v>
      </c>
      <c r="AG1504" s="128" t="s">
        <v>872</v>
      </c>
      <c r="AH1504" s="108" t="s">
        <v>31</v>
      </c>
      <c r="AI1504" s="128" t="s">
        <v>34</v>
      </c>
      <c r="AJ1504" s="129" t="s">
        <v>89</v>
      </c>
      <c r="AK1504" s="129">
        <v>8</v>
      </c>
      <c r="AL1504" s="3" t="s">
        <v>362</v>
      </c>
      <c r="AM1504" s="117">
        <v>4</v>
      </c>
      <c r="AP1504" s="129" t="s">
        <v>136</v>
      </c>
      <c r="AR1504" s="128" t="s">
        <v>67</v>
      </c>
      <c r="AS1504" s="129" t="s">
        <v>64</v>
      </c>
      <c r="AU1504" s="118" t="s">
        <v>857</v>
      </c>
      <c r="AX1504" s="32" t="s">
        <v>88</v>
      </c>
      <c r="BC1504" s="129" t="s">
        <v>99</v>
      </c>
      <c r="BF1504" s="111">
        <v>149</v>
      </c>
      <c r="BG1504" s="111">
        <f t="shared" si="1129"/>
        <v>156</v>
      </c>
      <c r="BH1504" s="111">
        <f t="shared" si="1085"/>
        <v>157</v>
      </c>
      <c r="BI1504" s="111">
        <f t="shared" si="1086"/>
        <v>24.931693989071039</v>
      </c>
      <c r="BJ1504" s="129">
        <f>(G1504-J1504)+(M1504-G1504)</f>
        <v>0</v>
      </c>
      <c r="BK1504" s="129">
        <f t="shared" si="1087"/>
        <v>-154</v>
      </c>
      <c r="BL1504" s="129" t="str">
        <f t="shared" si="1130"/>
        <v>CONVICTION</v>
      </c>
      <c r="BM1504" s="129" t="s">
        <v>76</v>
      </c>
      <c r="BN1504" s="129" t="s">
        <v>88</v>
      </c>
      <c r="BP1504" s="137" t="str">
        <f t="shared" si="1105"/>
        <v>CONVICTION</v>
      </c>
      <c r="BQ1504" s="128" t="str">
        <f t="shared" si="1106"/>
        <v>Y</v>
      </c>
      <c r="BR1504" s="129" t="s">
        <v>574</v>
      </c>
      <c r="BS1504" s="129" t="str">
        <f t="shared" si="1108"/>
        <v>DISPOSED</v>
      </c>
      <c r="BT1504" s="129" t="str">
        <f t="shared" si="1109"/>
        <v>Y</v>
      </c>
      <c r="BU1504" s="109">
        <f t="shared" si="1110"/>
        <v>0.94904458598726116</v>
      </c>
      <c r="BV1504" s="109">
        <f t="shared" si="1111"/>
        <v>1.282051282051282E-2</v>
      </c>
      <c r="BW1504" s="109">
        <f t="shared" si="1132"/>
        <v>-0.93622407316674838</v>
      </c>
      <c r="BX1504" s="111">
        <f t="shared" si="1112"/>
        <v>0</v>
      </c>
      <c r="BY1504" s="129">
        <f t="shared" si="1113"/>
        <v>-2</v>
      </c>
      <c r="BZ1504" s="111">
        <f t="shared" si="1114"/>
        <v>147</v>
      </c>
      <c r="CA1504" s="138">
        <f t="shared" si="1115"/>
        <v>156</v>
      </c>
      <c r="CB1504" s="111">
        <v>149</v>
      </c>
      <c r="CC1504" s="129">
        <f t="shared" ref="CC1504:CC1509" si="1137">G1504-I1504+1</f>
        <v>156</v>
      </c>
      <c r="CD1504" s="129">
        <f t="shared" ref="CD1504:CD1509" si="1138">G1504-J1504</f>
        <v>154</v>
      </c>
      <c r="CG1504" s="129" t="str">
        <f t="shared" si="1116"/>
        <v>Y</v>
      </c>
      <c r="CI1504" s="129" t="str">
        <f t="shared" si="1117"/>
        <v>121-365 DAYS</v>
      </c>
      <c r="CJ1504" s="137">
        <f t="shared" si="1118"/>
        <v>6</v>
      </c>
      <c r="CK1504" s="129" t="str">
        <f t="shared" si="1119"/>
        <v>Booked</v>
      </c>
    </row>
    <row r="1505" spans="1:89" ht="15.75" customHeight="1" x14ac:dyDescent="0.25">
      <c r="A1505" s="111">
        <v>2709</v>
      </c>
      <c r="B1505" s="128" t="str">
        <f t="shared" si="1102"/>
        <v>N</v>
      </c>
      <c r="C1505" s="128" t="str">
        <f t="shared" si="1103"/>
        <v>N</v>
      </c>
      <c r="D1505" s="117">
        <v>2075029</v>
      </c>
      <c r="E1505" s="135">
        <f t="shared" si="1104"/>
        <v>6</v>
      </c>
      <c r="F1505" s="124">
        <v>41009</v>
      </c>
      <c r="G1505" s="125">
        <v>41082</v>
      </c>
      <c r="H1505" s="117">
        <v>2075029</v>
      </c>
      <c r="I1505" s="124">
        <v>41010</v>
      </c>
      <c r="J1505" s="124">
        <f>G1505</f>
        <v>41082</v>
      </c>
      <c r="K1505" s="126" t="s">
        <v>564</v>
      </c>
      <c r="L1505" s="127" t="s">
        <v>564</v>
      </c>
      <c r="N1505" s="129" t="s">
        <v>566</v>
      </c>
      <c r="O1505" s="128" t="s">
        <v>917</v>
      </c>
      <c r="P1505" s="129" t="s">
        <v>39</v>
      </c>
      <c r="Q1505" s="111">
        <f t="shared" si="1127"/>
        <v>73</v>
      </c>
      <c r="R1505" s="111">
        <f t="shared" si="1128"/>
        <v>74</v>
      </c>
      <c r="S1505" s="129">
        <v>5</v>
      </c>
      <c r="T1505" s="129">
        <v>7</v>
      </c>
      <c r="U1505" s="129">
        <v>4</v>
      </c>
      <c r="W1505" s="111"/>
      <c r="AC1505" s="130"/>
      <c r="AD1505" s="130">
        <v>30863</v>
      </c>
      <c r="AE1505" s="128" t="s">
        <v>32</v>
      </c>
      <c r="AF1505" s="128" t="s">
        <v>33</v>
      </c>
      <c r="AG1505" s="128" t="s">
        <v>872</v>
      </c>
      <c r="AH1505" s="108" t="s">
        <v>58</v>
      </c>
      <c r="AI1505" s="128" t="s">
        <v>113</v>
      </c>
      <c r="AJ1505" s="129" t="s">
        <v>89</v>
      </c>
      <c r="AK1505" s="129">
        <v>6</v>
      </c>
      <c r="AL1505" s="3" t="s">
        <v>362</v>
      </c>
      <c r="AM1505" s="117">
        <v>6</v>
      </c>
      <c r="AP1505" s="129" t="s">
        <v>93</v>
      </c>
      <c r="AR1505" s="128" t="s">
        <v>67</v>
      </c>
      <c r="AS1505" s="129" t="s">
        <v>45</v>
      </c>
      <c r="BC1505" s="129" t="s">
        <v>38</v>
      </c>
      <c r="BF1505" s="111">
        <f t="shared" si="1131"/>
        <v>73</v>
      </c>
      <c r="BG1505" s="111">
        <f t="shared" si="1129"/>
        <v>73</v>
      </c>
      <c r="BH1505" s="111">
        <f t="shared" si="1085"/>
        <v>74</v>
      </c>
      <c r="BI1505" s="111">
        <f t="shared" si="1086"/>
        <v>27.721311475409838</v>
      </c>
      <c r="BJ1505" s="129">
        <f t="shared" si="1120"/>
        <v>0</v>
      </c>
      <c r="BK1505" s="129">
        <f t="shared" si="1087"/>
        <v>0</v>
      </c>
      <c r="BL1505" s="129" t="str">
        <f t="shared" si="1130"/>
        <v>CONVICTION</v>
      </c>
      <c r="BM1505" s="129" t="str">
        <f t="shared" si="1121"/>
        <v>NONE</v>
      </c>
      <c r="BN1505" s="129" t="s">
        <v>566</v>
      </c>
      <c r="BP1505" s="137" t="str">
        <f t="shared" si="1105"/>
        <v>CONVICTION</v>
      </c>
      <c r="BQ1505" s="128" t="str">
        <f t="shared" si="1106"/>
        <v>Y</v>
      </c>
      <c r="BR1505" s="129" t="str">
        <f t="shared" si="1107"/>
        <v>DETAINED</v>
      </c>
      <c r="BS1505" s="129" t="str">
        <f t="shared" si="1108"/>
        <v>DISPOSED</v>
      </c>
      <c r="BT1505" s="129" t="str">
        <f t="shared" si="1109"/>
        <v>Y</v>
      </c>
      <c r="BU1505" s="109">
        <f t="shared" si="1110"/>
        <v>0.98648648648648651</v>
      </c>
      <c r="BV1505" s="109">
        <f t="shared" si="1111"/>
        <v>1</v>
      </c>
      <c r="BW1505" s="109">
        <f t="shared" si="1132"/>
        <v>1.3513513513513487E-2</v>
      </c>
      <c r="BX1505" s="111">
        <f t="shared" si="1112"/>
        <v>0</v>
      </c>
      <c r="BY1505" s="129">
        <f t="shared" si="1113"/>
        <v>-73</v>
      </c>
      <c r="BZ1505" s="111">
        <f t="shared" si="1114"/>
        <v>0</v>
      </c>
      <c r="CA1505" s="138">
        <f t="shared" si="1115"/>
        <v>73</v>
      </c>
      <c r="CB1505" s="111" t="e">
        <f t="shared" si="1133"/>
        <v>#VALUE!</v>
      </c>
      <c r="CC1505" s="129">
        <f t="shared" si="1137"/>
        <v>73</v>
      </c>
      <c r="CD1505" s="129">
        <f t="shared" si="1138"/>
        <v>0</v>
      </c>
      <c r="CG1505" s="129" t="str">
        <f t="shared" si="1116"/>
        <v>Y</v>
      </c>
      <c r="CI1505" s="129" t="str">
        <f t="shared" si="1117"/>
        <v>61-90 DAYS</v>
      </c>
      <c r="CJ1505" s="137">
        <f t="shared" si="1118"/>
        <v>4</v>
      </c>
      <c r="CK1505" s="129" t="str">
        <f t="shared" si="1119"/>
        <v>Booked</v>
      </c>
    </row>
    <row r="1506" spans="1:89" ht="15" customHeight="1" x14ac:dyDescent="0.25">
      <c r="A1506" s="111">
        <v>301</v>
      </c>
      <c r="B1506" s="128" t="str">
        <f t="shared" si="1102"/>
        <v>N</v>
      </c>
      <c r="C1506" s="128" t="str">
        <f t="shared" si="1103"/>
        <v>N</v>
      </c>
      <c r="D1506" s="117">
        <v>2075450</v>
      </c>
      <c r="E1506" s="135">
        <f t="shared" si="1104"/>
        <v>6</v>
      </c>
      <c r="F1506" s="124">
        <v>40921</v>
      </c>
      <c r="G1506" s="125">
        <v>41100</v>
      </c>
      <c r="H1506" s="117">
        <v>2075450</v>
      </c>
      <c r="I1506" s="124">
        <v>40921</v>
      </c>
      <c r="J1506" s="124">
        <v>41100</v>
      </c>
      <c r="K1506" s="126" t="s">
        <v>564</v>
      </c>
      <c r="L1506" s="127" t="s">
        <v>564</v>
      </c>
      <c r="N1506" s="129" t="s">
        <v>566</v>
      </c>
      <c r="O1506" s="128" t="s">
        <v>917</v>
      </c>
      <c r="P1506" s="129" t="s">
        <v>39</v>
      </c>
      <c r="Q1506" s="111">
        <f t="shared" si="1127"/>
        <v>180</v>
      </c>
      <c r="R1506" s="111">
        <f t="shared" si="1128"/>
        <v>180</v>
      </c>
      <c r="S1506" s="129">
        <v>5</v>
      </c>
      <c r="T1506" s="129">
        <v>4</v>
      </c>
      <c r="U1506" s="129">
        <v>4</v>
      </c>
      <c r="W1506" s="111"/>
      <c r="AC1506" s="130"/>
      <c r="AD1506" s="130">
        <v>31664</v>
      </c>
      <c r="AE1506" s="128" t="s">
        <v>32</v>
      </c>
      <c r="AF1506" s="128" t="s">
        <v>33</v>
      </c>
      <c r="AG1506" s="128" t="s">
        <v>872</v>
      </c>
      <c r="AH1506" s="108" t="s">
        <v>31</v>
      </c>
      <c r="AI1506" s="128" t="s">
        <v>95</v>
      </c>
      <c r="AJ1506" s="129" t="s">
        <v>89</v>
      </c>
      <c r="AK1506" s="129">
        <v>9</v>
      </c>
      <c r="AL1506" s="3" t="s">
        <v>362</v>
      </c>
      <c r="AM1506" s="117">
        <v>9</v>
      </c>
      <c r="AP1506" s="129" t="s">
        <v>132</v>
      </c>
      <c r="AR1506" s="128" t="s">
        <v>92</v>
      </c>
      <c r="AS1506" s="129" t="s">
        <v>82</v>
      </c>
      <c r="BC1506" s="129" t="s">
        <v>52</v>
      </c>
      <c r="BF1506" s="111">
        <f t="shared" si="1131"/>
        <v>180</v>
      </c>
      <c r="BG1506" s="111">
        <f t="shared" si="1129"/>
        <v>180</v>
      </c>
      <c r="BH1506" s="111">
        <f t="shared" si="1085"/>
        <v>180</v>
      </c>
      <c r="BI1506" s="111">
        <f t="shared" si="1086"/>
        <v>25.292349726775956</v>
      </c>
      <c r="BJ1506" s="129">
        <f t="shared" si="1120"/>
        <v>0</v>
      </c>
      <c r="BK1506" s="129">
        <f t="shared" si="1087"/>
        <v>0</v>
      </c>
      <c r="BL1506" s="129" t="str">
        <f t="shared" si="1130"/>
        <v>CONVICTION</v>
      </c>
      <c r="BM1506" s="129" t="str">
        <f t="shared" si="1121"/>
        <v>NONE</v>
      </c>
      <c r="BN1506" s="129" t="s">
        <v>566</v>
      </c>
      <c r="BP1506" s="137" t="str">
        <f t="shared" si="1105"/>
        <v>CONVICTION</v>
      </c>
      <c r="BQ1506" s="128" t="str">
        <f t="shared" si="1106"/>
        <v>Y</v>
      </c>
      <c r="BR1506" s="129" t="str">
        <f t="shared" si="1107"/>
        <v>DETAINED</v>
      </c>
      <c r="BS1506" s="129" t="str">
        <f t="shared" si="1108"/>
        <v>DISPOSED</v>
      </c>
      <c r="BT1506" s="129" t="str">
        <f t="shared" si="1109"/>
        <v>Y</v>
      </c>
      <c r="BU1506" s="109">
        <f t="shared" si="1110"/>
        <v>1</v>
      </c>
      <c r="BV1506" s="109">
        <f t="shared" si="1111"/>
        <v>1</v>
      </c>
      <c r="BW1506" s="109">
        <f t="shared" si="1132"/>
        <v>0</v>
      </c>
      <c r="BX1506" s="111">
        <f t="shared" si="1112"/>
        <v>0</v>
      </c>
      <c r="BY1506" s="129">
        <f t="shared" si="1113"/>
        <v>-180</v>
      </c>
      <c r="BZ1506" s="111">
        <f t="shared" si="1114"/>
        <v>0</v>
      </c>
      <c r="CA1506" s="138">
        <f t="shared" si="1115"/>
        <v>180</v>
      </c>
      <c r="CB1506" s="111" t="e">
        <f t="shared" si="1133"/>
        <v>#VALUE!</v>
      </c>
      <c r="CC1506" s="129">
        <f t="shared" si="1137"/>
        <v>180</v>
      </c>
      <c r="CD1506" s="129">
        <f t="shared" si="1138"/>
        <v>0</v>
      </c>
      <c r="CG1506" s="129" t="str">
        <f t="shared" si="1116"/>
        <v>Y</v>
      </c>
      <c r="CI1506" s="129" t="str">
        <f t="shared" si="1117"/>
        <v>121-365 DAYS</v>
      </c>
      <c r="CJ1506" s="137">
        <f t="shared" si="1118"/>
        <v>6</v>
      </c>
      <c r="CK1506" s="129" t="str">
        <f t="shared" si="1119"/>
        <v>Booked</v>
      </c>
    </row>
    <row r="1507" spans="1:89" ht="15" customHeight="1" x14ac:dyDescent="0.25">
      <c r="A1507" s="111">
        <v>2379</v>
      </c>
      <c r="B1507" s="128" t="str">
        <f t="shared" si="1102"/>
        <v>N</v>
      </c>
      <c r="C1507" s="128" t="str">
        <f t="shared" si="1103"/>
        <v>N</v>
      </c>
      <c r="D1507" s="117">
        <v>2075540</v>
      </c>
      <c r="E1507" s="135">
        <f t="shared" si="1104"/>
        <v>6</v>
      </c>
      <c r="F1507" s="124">
        <v>40998</v>
      </c>
      <c r="G1507" s="125">
        <v>41109</v>
      </c>
      <c r="H1507" s="117">
        <v>2075540</v>
      </c>
      <c r="I1507" s="124">
        <v>41011</v>
      </c>
      <c r="J1507" s="124">
        <v>41109</v>
      </c>
      <c r="K1507" s="126">
        <v>30000</v>
      </c>
      <c r="L1507" s="129" t="s">
        <v>572</v>
      </c>
      <c r="N1507" s="129" t="str">
        <f t="shared" ref="N1507:N1514" si="1139">IF(M1507&gt;1/1/1,"Y","N")</f>
        <v>N</v>
      </c>
      <c r="O1507" s="128" t="s">
        <v>917</v>
      </c>
      <c r="P1507" s="129" t="s">
        <v>39</v>
      </c>
      <c r="Q1507" s="111">
        <f t="shared" si="1127"/>
        <v>99</v>
      </c>
      <c r="R1507" s="111">
        <f t="shared" si="1128"/>
        <v>112</v>
      </c>
      <c r="S1507" s="129">
        <v>0</v>
      </c>
      <c r="T1507" s="129">
        <v>7</v>
      </c>
      <c r="W1507" s="111"/>
      <c r="AC1507" s="130"/>
      <c r="AD1507" s="130">
        <v>31660</v>
      </c>
      <c r="AE1507" s="128" t="s">
        <v>32</v>
      </c>
      <c r="AF1507" s="128" t="s">
        <v>40</v>
      </c>
      <c r="AG1507" s="128" t="s">
        <v>41</v>
      </c>
      <c r="AH1507" s="108" t="s">
        <v>41</v>
      </c>
      <c r="AI1507" s="128" t="s">
        <v>83</v>
      </c>
      <c r="AJ1507" s="129" t="s">
        <v>89</v>
      </c>
      <c r="AK1507" s="129">
        <v>5</v>
      </c>
      <c r="AL1507" s="3" t="s">
        <v>362</v>
      </c>
      <c r="AM1507" s="114">
        <v>12</v>
      </c>
      <c r="AN1507" s="114"/>
      <c r="AP1507" s="129" t="s">
        <v>105</v>
      </c>
      <c r="AR1507" s="128" t="s">
        <v>92</v>
      </c>
      <c r="AS1507" s="129" t="s">
        <v>106</v>
      </c>
      <c r="BC1507" s="129" t="s">
        <v>38</v>
      </c>
      <c r="BF1507" s="111">
        <f t="shared" si="1131"/>
        <v>99</v>
      </c>
      <c r="BG1507" s="111">
        <f t="shared" si="1129"/>
        <v>99</v>
      </c>
      <c r="BH1507" s="111">
        <f t="shared" si="1085"/>
        <v>112</v>
      </c>
      <c r="BI1507" s="111">
        <f t="shared" si="1086"/>
        <v>25.513661202185791</v>
      </c>
      <c r="BJ1507" s="129">
        <f t="shared" si="1120"/>
        <v>0</v>
      </c>
      <c r="BK1507" s="129">
        <f t="shared" si="1087"/>
        <v>0</v>
      </c>
      <c r="BL1507" s="129" t="str">
        <f t="shared" si="1130"/>
        <v>CONVICTION</v>
      </c>
      <c r="BM1507" s="129" t="str">
        <f t="shared" si="1121"/>
        <v>NONE</v>
      </c>
      <c r="BN1507" s="129" t="s">
        <v>566</v>
      </c>
      <c r="BP1507" s="137" t="str">
        <f t="shared" si="1105"/>
        <v>CONVICTION</v>
      </c>
      <c r="BQ1507" s="128" t="str">
        <f t="shared" si="1106"/>
        <v>Y</v>
      </c>
      <c r="BR1507" s="129" t="str">
        <f t="shared" si="1107"/>
        <v>DETAINED</v>
      </c>
      <c r="BS1507" s="129" t="str">
        <f t="shared" si="1108"/>
        <v>DISPOSED</v>
      </c>
      <c r="BT1507" s="129" t="str">
        <f t="shared" si="1109"/>
        <v>N</v>
      </c>
      <c r="BU1507" s="109">
        <f t="shared" si="1110"/>
        <v>0.8839285714285714</v>
      </c>
      <c r="BV1507" s="109">
        <f t="shared" si="1111"/>
        <v>1</v>
      </c>
      <c r="BW1507" s="109">
        <f t="shared" si="1132"/>
        <v>0.1160714285714286</v>
      </c>
      <c r="BX1507" s="111">
        <f t="shared" si="1112"/>
        <v>0</v>
      </c>
      <c r="BY1507" s="129">
        <f t="shared" si="1113"/>
        <v>-99</v>
      </c>
      <c r="BZ1507" s="111">
        <f t="shared" si="1114"/>
        <v>0</v>
      </c>
      <c r="CA1507" s="138">
        <f t="shared" si="1115"/>
        <v>99</v>
      </c>
      <c r="CB1507" s="111" t="e">
        <f t="shared" si="1133"/>
        <v>#VALUE!</v>
      </c>
      <c r="CC1507" s="129">
        <f t="shared" si="1137"/>
        <v>99</v>
      </c>
      <c r="CD1507" s="129">
        <f t="shared" si="1138"/>
        <v>0</v>
      </c>
      <c r="CG1507" s="129" t="str">
        <f t="shared" si="1116"/>
        <v>Y</v>
      </c>
      <c r="CI1507" s="129" t="str">
        <f t="shared" si="1117"/>
        <v>91-120 DAYS</v>
      </c>
      <c r="CJ1507" s="137">
        <f t="shared" si="1118"/>
        <v>0</v>
      </c>
      <c r="CK1507" s="129" t="str">
        <f t="shared" si="1119"/>
        <v>Booked</v>
      </c>
    </row>
    <row r="1508" spans="1:89" ht="15.75" customHeight="1" x14ac:dyDescent="0.25">
      <c r="A1508" s="111">
        <v>1589</v>
      </c>
      <c r="B1508" s="128" t="str">
        <f t="shared" si="1102"/>
        <v>N</v>
      </c>
      <c r="C1508" s="128" t="str">
        <f t="shared" si="1103"/>
        <v>N</v>
      </c>
      <c r="D1508" s="117">
        <v>2076000</v>
      </c>
      <c r="E1508" s="135">
        <f t="shared" si="1104"/>
        <v>4</v>
      </c>
      <c r="F1508" s="124">
        <v>40968</v>
      </c>
      <c r="G1508" s="125">
        <v>40970</v>
      </c>
      <c r="H1508" s="117">
        <v>2076000</v>
      </c>
      <c r="I1508" s="124">
        <v>40968</v>
      </c>
      <c r="J1508" s="124">
        <v>40970</v>
      </c>
      <c r="K1508" s="126">
        <v>5000</v>
      </c>
      <c r="L1508" s="127" t="s">
        <v>569</v>
      </c>
      <c r="N1508" s="129" t="str">
        <f t="shared" si="1139"/>
        <v>N</v>
      </c>
      <c r="O1508" s="128" t="s">
        <v>917</v>
      </c>
      <c r="P1508" s="129" t="s">
        <v>39</v>
      </c>
      <c r="Q1508" s="111">
        <f t="shared" si="1127"/>
        <v>3</v>
      </c>
      <c r="R1508" s="111">
        <f t="shared" si="1128"/>
        <v>3</v>
      </c>
      <c r="S1508" s="129">
        <v>2</v>
      </c>
      <c r="T1508" s="129">
        <v>3</v>
      </c>
      <c r="U1508" s="129">
        <v>1</v>
      </c>
      <c r="W1508" s="111"/>
      <c r="AC1508" s="130"/>
      <c r="AD1508" s="130">
        <v>31858</v>
      </c>
      <c r="AE1508" s="128" t="s">
        <v>32</v>
      </c>
      <c r="AF1508" s="128" t="s">
        <v>40</v>
      </c>
      <c r="AG1508" s="128" t="s">
        <v>41</v>
      </c>
      <c r="AH1508" s="108" t="s">
        <v>41</v>
      </c>
      <c r="AI1508" s="128" t="s">
        <v>59</v>
      </c>
      <c r="AJ1508" s="129" t="s">
        <v>89</v>
      </c>
      <c r="AK1508" s="129">
        <v>2</v>
      </c>
      <c r="AL1508" s="3" t="s">
        <v>991</v>
      </c>
      <c r="AO1508" s="128">
        <v>365</v>
      </c>
      <c r="AP1508" s="129" t="s">
        <v>175</v>
      </c>
      <c r="AR1508" s="128" t="s">
        <v>44</v>
      </c>
      <c r="AS1508" s="129" t="s">
        <v>45</v>
      </c>
      <c r="BC1508" s="129" t="s">
        <v>99</v>
      </c>
      <c r="BF1508" s="111">
        <f t="shared" si="1131"/>
        <v>3</v>
      </c>
      <c r="BG1508" s="111">
        <f t="shared" si="1129"/>
        <v>3</v>
      </c>
      <c r="BH1508" s="111">
        <f t="shared" si="1085"/>
        <v>3</v>
      </c>
      <c r="BI1508" s="111">
        <f t="shared" si="1086"/>
        <v>24.89071038251366</v>
      </c>
      <c r="BJ1508" s="129">
        <f t="shared" si="1120"/>
        <v>0</v>
      </c>
      <c r="BK1508" s="129">
        <f t="shared" si="1087"/>
        <v>0</v>
      </c>
      <c r="BL1508" s="129" t="str">
        <f t="shared" si="1130"/>
        <v>CONVICTION</v>
      </c>
      <c r="BM1508" s="129" t="str">
        <f t="shared" si="1121"/>
        <v>NONE</v>
      </c>
      <c r="BN1508" s="129" t="s">
        <v>566</v>
      </c>
      <c r="BP1508" s="137" t="str">
        <f t="shared" si="1105"/>
        <v>CONVICTION</v>
      </c>
      <c r="BQ1508" s="128" t="str">
        <f t="shared" si="1106"/>
        <v>Y</v>
      </c>
      <c r="BR1508" s="129" t="str">
        <f t="shared" si="1107"/>
        <v>DETAINED</v>
      </c>
      <c r="BS1508" s="129" t="str">
        <f t="shared" si="1108"/>
        <v>DISPOSED</v>
      </c>
      <c r="BT1508" s="129" t="str">
        <f t="shared" si="1109"/>
        <v>Y</v>
      </c>
      <c r="BU1508" s="109">
        <f t="shared" si="1110"/>
        <v>1</v>
      </c>
      <c r="BV1508" s="109">
        <f t="shared" si="1111"/>
        <v>1</v>
      </c>
      <c r="BW1508" s="109">
        <f t="shared" si="1132"/>
        <v>0</v>
      </c>
      <c r="BX1508" s="111">
        <f t="shared" si="1112"/>
        <v>0</v>
      </c>
      <c r="BY1508" s="129">
        <f t="shared" si="1113"/>
        <v>-3</v>
      </c>
      <c r="BZ1508" s="111">
        <f t="shared" si="1114"/>
        <v>0</v>
      </c>
      <c r="CA1508" s="138">
        <f t="shared" si="1115"/>
        <v>3</v>
      </c>
      <c r="CB1508" s="111" t="e">
        <f t="shared" si="1133"/>
        <v>#VALUE!</v>
      </c>
      <c r="CC1508" s="129">
        <f t="shared" si="1137"/>
        <v>3</v>
      </c>
      <c r="CD1508" s="129">
        <f t="shared" si="1138"/>
        <v>0</v>
      </c>
      <c r="CG1508" s="129" t="str">
        <f t="shared" si="1116"/>
        <v>Y</v>
      </c>
      <c r="CI1508" s="129" t="str">
        <f t="shared" si="1117"/>
        <v>0-10 DAYS</v>
      </c>
      <c r="CJ1508" s="137">
        <f t="shared" si="1118"/>
        <v>1</v>
      </c>
      <c r="CK1508" s="129" t="str">
        <f t="shared" si="1119"/>
        <v>Booked</v>
      </c>
    </row>
    <row r="1509" spans="1:89" ht="15" customHeight="1" x14ac:dyDescent="0.25">
      <c r="A1509" s="111">
        <v>2497</v>
      </c>
      <c r="B1509" s="128" t="str">
        <f t="shared" si="1102"/>
        <v>N</v>
      </c>
      <c r="C1509" s="128" t="str">
        <f t="shared" si="1103"/>
        <v>N</v>
      </c>
      <c r="D1509" s="117">
        <v>2076793</v>
      </c>
      <c r="E1509" s="135">
        <f t="shared" si="1104"/>
        <v>4</v>
      </c>
      <c r="F1509" s="124">
        <v>41003</v>
      </c>
      <c r="G1509" s="125">
        <v>41004</v>
      </c>
      <c r="H1509" s="117">
        <v>2076793</v>
      </c>
      <c r="I1509" s="124">
        <v>41003</v>
      </c>
      <c r="J1509" s="124">
        <v>41004</v>
      </c>
      <c r="K1509" s="126">
        <v>15000</v>
      </c>
      <c r="L1509" s="127" t="s">
        <v>571</v>
      </c>
      <c r="N1509" s="129" t="str">
        <f t="shared" si="1139"/>
        <v>N</v>
      </c>
      <c r="O1509" s="128" t="s">
        <v>917</v>
      </c>
      <c r="P1509" s="129" t="s">
        <v>39</v>
      </c>
      <c r="Q1509" s="111">
        <f t="shared" si="1127"/>
        <v>2</v>
      </c>
      <c r="R1509" s="111">
        <f t="shared" si="1128"/>
        <v>2</v>
      </c>
      <c r="S1509" s="129">
        <v>3</v>
      </c>
      <c r="T1509" s="129">
        <v>13</v>
      </c>
      <c r="U1509" s="129">
        <v>1</v>
      </c>
      <c r="W1509" s="111"/>
      <c r="AC1509" s="130"/>
      <c r="AD1509" s="130">
        <v>31454</v>
      </c>
      <c r="AE1509" s="128" t="s">
        <v>46</v>
      </c>
      <c r="AF1509" s="128" t="s">
        <v>69</v>
      </c>
      <c r="AG1509" s="128" t="s">
        <v>874</v>
      </c>
      <c r="AH1509" s="108" t="s">
        <v>58</v>
      </c>
      <c r="AI1509" s="128" t="s">
        <v>62</v>
      </c>
      <c r="AJ1509" s="129" t="s">
        <v>89</v>
      </c>
      <c r="AK1509" s="129">
        <v>1</v>
      </c>
      <c r="AL1509" s="3" t="s">
        <v>991</v>
      </c>
      <c r="AO1509" s="128">
        <v>180</v>
      </c>
      <c r="AP1509" s="129" t="s">
        <v>60</v>
      </c>
      <c r="AR1509" s="128" t="s">
        <v>44</v>
      </c>
      <c r="AS1509" s="129" t="s">
        <v>61</v>
      </c>
      <c r="BC1509" s="129" t="s">
        <v>38</v>
      </c>
      <c r="BF1509" s="111">
        <f t="shared" si="1131"/>
        <v>2</v>
      </c>
      <c r="BG1509" s="111">
        <f t="shared" si="1129"/>
        <v>2</v>
      </c>
      <c r="BH1509" s="111">
        <f t="shared" si="1085"/>
        <v>2</v>
      </c>
      <c r="BI1509" s="111">
        <f t="shared" si="1086"/>
        <v>26.090163934426229</v>
      </c>
      <c r="BJ1509" s="129">
        <f t="shared" si="1120"/>
        <v>0</v>
      </c>
      <c r="BK1509" s="129">
        <f t="shared" si="1087"/>
        <v>0</v>
      </c>
      <c r="BL1509" s="129" t="str">
        <f t="shared" si="1130"/>
        <v>CONVICTION</v>
      </c>
      <c r="BM1509" s="129" t="str">
        <f t="shared" si="1121"/>
        <v>NONE</v>
      </c>
      <c r="BN1509" s="129" t="s">
        <v>566</v>
      </c>
      <c r="BP1509" s="137" t="str">
        <f t="shared" si="1105"/>
        <v>CONVICTION</v>
      </c>
      <c r="BQ1509" s="128" t="str">
        <f t="shared" si="1106"/>
        <v>Y</v>
      </c>
      <c r="BR1509" s="129" t="str">
        <f t="shared" si="1107"/>
        <v>DETAINED</v>
      </c>
      <c r="BS1509" s="129" t="str">
        <f t="shared" si="1108"/>
        <v>DISPOSED</v>
      </c>
      <c r="BT1509" s="129" t="str">
        <f t="shared" si="1109"/>
        <v>Y</v>
      </c>
      <c r="BU1509" s="109">
        <f t="shared" si="1110"/>
        <v>1</v>
      </c>
      <c r="BV1509" s="109">
        <f t="shared" si="1111"/>
        <v>1</v>
      </c>
      <c r="BW1509" s="109">
        <f t="shared" si="1132"/>
        <v>0</v>
      </c>
      <c r="BX1509" s="111">
        <f t="shared" si="1112"/>
        <v>0</v>
      </c>
      <c r="BY1509" s="129">
        <f t="shared" si="1113"/>
        <v>-2</v>
      </c>
      <c r="BZ1509" s="111">
        <f t="shared" si="1114"/>
        <v>0</v>
      </c>
      <c r="CA1509" s="138">
        <f t="shared" si="1115"/>
        <v>2</v>
      </c>
      <c r="CB1509" s="111" t="e">
        <f t="shared" si="1133"/>
        <v>#VALUE!</v>
      </c>
      <c r="CC1509" s="129">
        <f t="shared" si="1137"/>
        <v>2</v>
      </c>
      <c r="CD1509" s="129">
        <f t="shared" si="1138"/>
        <v>0</v>
      </c>
      <c r="CG1509" s="129" t="str">
        <f t="shared" si="1116"/>
        <v>Y</v>
      </c>
      <c r="CI1509" s="129" t="str">
        <f t="shared" si="1117"/>
        <v>0-10 DAYS</v>
      </c>
      <c r="CJ1509" s="137">
        <f t="shared" si="1118"/>
        <v>1</v>
      </c>
      <c r="CK1509" s="129" t="str">
        <f t="shared" si="1119"/>
        <v>Booked</v>
      </c>
    </row>
    <row r="1510" spans="1:89" ht="15.75" customHeight="1" x14ac:dyDescent="0.25">
      <c r="A1510" s="111">
        <v>1064</v>
      </c>
      <c r="B1510" s="128" t="str">
        <f t="shared" si="1102"/>
        <v>N</v>
      </c>
      <c r="C1510" s="128" t="str">
        <f t="shared" si="1103"/>
        <v>N</v>
      </c>
      <c r="D1510" s="117">
        <v>2077060</v>
      </c>
      <c r="E1510" s="135">
        <f t="shared" si="1104"/>
        <v>3</v>
      </c>
      <c r="F1510" s="124">
        <v>40948</v>
      </c>
      <c r="G1510" s="125">
        <v>41066</v>
      </c>
      <c r="H1510" s="117">
        <v>2077060</v>
      </c>
      <c r="I1510" s="124">
        <v>40948</v>
      </c>
      <c r="J1510" s="124">
        <v>40950</v>
      </c>
      <c r="K1510" s="126">
        <v>10000</v>
      </c>
      <c r="L1510" s="127" t="s">
        <v>570</v>
      </c>
      <c r="M1510" s="125">
        <v>40950</v>
      </c>
      <c r="N1510" s="129" t="str">
        <f t="shared" si="1139"/>
        <v>Y</v>
      </c>
      <c r="O1510" s="128" t="s">
        <v>585</v>
      </c>
      <c r="P1510" s="129" t="s">
        <v>39</v>
      </c>
      <c r="Q1510" s="111">
        <f t="shared" si="1127"/>
        <v>3</v>
      </c>
      <c r="R1510" s="111">
        <f t="shared" si="1128"/>
        <v>119</v>
      </c>
      <c r="S1510" s="129">
        <v>1</v>
      </c>
      <c r="T1510" s="129">
        <v>5</v>
      </c>
      <c r="U1510" s="129">
        <v>1</v>
      </c>
      <c r="W1510" s="111"/>
      <c r="AC1510" s="130"/>
      <c r="AD1510" s="130">
        <v>31006</v>
      </c>
      <c r="AE1510" s="128" t="s">
        <v>32</v>
      </c>
      <c r="AF1510" s="128" t="s">
        <v>69</v>
      </c>
      <c r="AG1510" s="128" t="s">
        <v>874</v>
      </c>
      <c r="AH1510" s="108" t="s">
        <v>31</v>
      </c>
      <c r="AI1510" s="128" t="s">
        <v>53</v>
      </c>
      <c r="AJ1510" s="129" t="s">
        <v>89</v>
      </c>
      <c r="AK1510" s="129">
        <v>7</v>
      </c>
      <c r="AL1510" s="3" t="s">
        <v>185</v>
      </c>
      <c r="AP1510" s="129" t="s">
        <v>66</v>
      </c>
      <c r="AR1510" s="128" t="s">
        <v>67</v>
      </c>
      <c r="AS1510" s="129" t="s">
        <v>68</v>
      </c>
      <c r="BC1510" s="129" t="s">
        <v>52</v>
      </c>
      <c r="BF1510" s="111">
        <f t="shared" si="1131"/>
        <v>3</v>
      </c>
      <c r="BG1510" s="111">
        <f t="shared" si="1129"/>
        <v>119</v>
      </c>
      <c r="BH1510" s="111">
        <f t="shared" si="1085"/>
        <v>119</v>
      </c>
      <c r="BI1510" s="111">
        <f t="shared" si="1086"/>
        <v>27.16393442622951</v>
      </c>
      <c r="BJ1510" s="129">
        <f>(G1510-J1510)+(M1510-G1510)</f>
        <v>0</v>
      </c>
      <c r="BK1510" s="129">
        <f t="shared" si="1087"/>
        <v>-116</v>
      </c>
      <c r="BL1510" s="129" t="str">
        <f t="shared" si="1130"/>
        <v>CONVICTION</v>
      </c>
      <c r="BM1510" s="129" t="s">
        <v>76</v>
      </c>
      <c r="BN1510" s="129" t="s">
        <v>88</v>
      </c>
      <c r="BP1510" s="137" t="str">
        <f t="shared" si="1105"/>
        <v>CONVICTION</v>
      </c>
      <c r="BQ1510" s="128" t="str">
        <f t="shared" si="1106"/>
        <v>Y</v>
      </c>
      <c r="BR1510" s="129" t="str">
        <f>IF(J1510&lt;G1510,"ON BOND",0)</f>
        <v>ON BOND</v>
      </c>
      <c r="BS1510" s="129" t="str">
        <f t="shared" si="1108"/>
        <v>DISPOSED</v>
      </c>
      <c r="BT1510" s="129" t="str">
        <f t="shared" si="1109"/>
        <v>Y</v>
      </c>
      <c r="BU1510" s="109">
        <f t="shared" si="1110"/>
        <v>2.5210084033613446E-2</v>
      </c>
      <c r="BV1510" s="109">
        <f t="shared" si="1111"/>
        <v>2.5210084033613446E-2</v>
      </c>
      <c r="BW1510" s="109">
        <f t="shared" si="1132"/>
        <v>0</v>
      </c>
      <c r="BX1510" s="111">
        <f t="shared" si="1112"/>
        <v>0</v>
      </c>
      <c r="BY1510" s="129">
        <f t="shared" si="1113"/>
        <v>-3</v>
      </c>
      <c r="BZ1510" s="111">
        <f t="shared" si="1114"/>
        <v>0</v>
      </c>
      <c r="CA1510" s="138">
        <f t="shared" si="1115"/>
        <v>3</v>
      </c>
      <c r="CB1510" s="111" t="e">
        <f t="shared" si="1133"/>
        <v>#VALUE!</v>
      </c>
      <c r="CC1510" s="129">
        <f>M1510-I1510+1</f>
        <v>3</v>
      </c>
      <c r="CD1510" s="111">
        <f>CC1510-BF1510</f>
        <v>0</v>
      </c>
      <c r="CG1510" s="129" t="str">
        <f t="shared" si="1116"/>
        <v>Y</v>
      </c>
      <c r="CI1510" s="129" t="str">
        <f t="shared" si="1117"/>
        <v>0-10 DAYS</v>
      </c>
      <c r="CJ1510" s="137">
        <f t="shared" si="1118"/>
        <v>1</v>
      </c>
      <c r="CK1510" s="129" t="str">
        <f t="shared" si="1119"/>
        <v>Booked</v>
      </c>
    </row>
    <row r="1511" spans="1:89" ht="15" customHeight="1" x14ac:dyDescent="0.25">
      <c r="A1511" s="111">
        <v>1675</v>
      </c>
      <c r="B1511" s="128" t="str">
        <f t="shared" si="1102"/>
        <v>N</v>
      </c>
      <c r="C1511" s="128" t="str">
        <f t="shared" si="1103"/>
        <v>N</v>
      </c>
      <c r="D1511" s="117">
        <v>2077672</v>
      </c>
      <c r="E1511" s="135">
        <f t="shared" si="1104"/>
        <v>6</v>
      </c>
      <c r="F1511" s="124">
        <v>40970</v>
      </c>
      <c r="G1511" s="125">
        <v>40996</v>
      </c>
      <c r="H1511" s="117">
        <v>2077672</v>
      </c>
      <c r="I1511" s="124">
        <v>40971</v>
      </c>
      <c r="J1511" s="124">
        <v>40996</v>
      </c>
      <c r="K1511" s="126">
        <v>20000</v>
      </c>
      <c r="L1511" s="127" t="s">
        <v>571</v>
      </c>
      <c r="N1511" s="129" t="str">
        <f t="shared" si="1139"/>
        <v>N</v>
      </c>
      <c r="O1511" s="128" t="s">
        <v>917</v>
      </c>
      <c r="P1511" s="129" t="s">
        <v>39</v>
      </c>
      <c r="Q1511" s="111">
        <f t="shared" si="1127"/>
        <v>26</v>
      </c>
      <c r="R1511" s="111">
        <f t="shared" si="1128"/>
        <v>27</v>
      </c>
      <c r="S1511" s="129">
        <v>1</v>
      </c>
      <c r="T1511" s="129">
        <v>6</v>
      </c>
      <c r="U1511" s="129">
        <v>1</v>
      </c>
      <c r="W1511" s="111"/>
      <c r="AC1511" s="130"/>
      <c r="AD1511" s="130">
        <v>30907</v>
      </c>
      <c r="AE1511" s="128" t="s">
        <v>32</v>
      </c>
      <c r="AF1511" s="128" t="s">
        <v>69</v>
      </c>
      <c r="AG1511" s="128" t="s">
        <v>874</v>
      </c>
      <c r="AH1511" s="108" t="s">
        <v>58</v>
      </c>
      <c r="AI1511" s="128" t="s">
        <v>114</v>
      </c>
      <c r="AJ1511" s="129" t="s">
        <v>89</v>
      </c>
      <c r="AK1511" s="129">
        <v>2</v>
      </c>
      <c r="AL1511" s="3" t="s">
        <v>362</v>
      </c>
      <c r="AM1511" s="117">
        <v>5</v>
      </c>
      <c r="AP1511" s="129" t="s">
        <v>56</v>
      </c>
      <c r="AR1511" s="128" t="s">
        <v>50</v>
      </c>
      <c r="AS1511" s="129" t="s">
        <v>57</v>
      </c>
      <c r="BC1511" s="129" t="s">
        <v>99</v>
      </c>
      <c r="BF1511" s="111">
        <f t="shared" si="1131"/>
        <v>26</v>
      </c>
      <c r="BG1511" s="111">
        <f t="shared" si="1129"/>
        <v>26</v>
      </c>
      <c r="BH1511" s="111">
        <f t="shared" si="1085"/>
        <v>27</v>
      </c>
      <c r="BI1511" s="111">
        <f t="shared" si="1086"/>
        <v>27.494535519125684</v>
      </c>
      <c r="BJ1511" s="129">
        <f t="shared" si="1120"/>
        <v>0</v>
      </c>
      <c r="BK1511" s="129">
        <f t="shared" si="1087"/>
        <v>0</v>
      </c>
      <c r="BL1511" s="129" t="str">
        <f t="shared" si="1130"/>
        <v>CONVICTION</v>
      </c>
      <c r="BM1511" s="129" t="str">
        <f t="shared" si="1121"/>
        <v>NONE</v>
      </c>
      <c r="BN1511" s="129" t="s">
        <v>566</v>
      </c>
      <c r="BP1511" s="137" t="str">
        <f t="shared" si="1105"/>
        <v>CONVICTION</v>
      </c>
      <c r="BQ1511" s="128" t="str">
        <f t="shared" si="1106"/>
        <v>Y</v>
      </c>
      <c r="BR1511" s="129" t="str">
        <f t="shared" si="1107"/>
        <v>DETAINED</v>
      </c>
      <c r="BS1511" s="129" t="str">
        <f t="shared" si="1108"/>
        <v>DISPOSED</v>
      </c>
      <c r="BT1511" s="129" t="str">
        <f t="shared" si="1109"/>
        <v>Y</v>
      </c>
      <c r="BU1511" s="109">
        <f t="shared" si="1110"/>
        <v>0.96296296296296291</v>
      </c>
      <c r="BV1511" s="109">
        <f t="shared" si="1111"/>
        <v>1</v>
      </c>
      <c r="BW1511" s="109">
        <f t="shared" si="1132"/>
        <v>3.703703703703709E-2</v>
      </c>
      <c r="BX1511" s="111">
        <f t="shared" si="1112"/>
        <v>0</v>
      </c>
      <c r="BY1511" s="129">
        <f t="shared" si="1113"/>
        <v>-26</v>
      </c>
      <c r="BZ1511" s="111">
        <f t="shared" si="1114"/>
        <v>0</v>
      </c>
      <c r="CA1511" s="138">
        <f t="shared" si="1115"/>
        <v>26</v>
      </c>
      <c r="CB1511" s="111" t="e">
        <f t="shared" si="1133"/>
        <v>#VALUE!</v>
      </c>
      <c r="CC1511" s="129">
        <f>G1511-I1511+1</f>
        <v>26</v>
      </c>
      <c r="CD1511" s="129">
        <f>G1511-J1511</f>
        <v>0</v>
      </c>
      <c r="CG1511" s="129" t="str">
        <f t="shared" si="1116"/>
        <v>Y</v>
      </c>
      <c r="CI1511" s="129" t="str">
        <f t="shared" si="1117"/>
        <v>11-30 DAYS</v>
      </c>
      <c r="CJ1511" s="137">
        <f t="shared" si="1118"/>
        <v>2</v>
      </c>
      <c r="CK1511" s="129" t="str">
        <f t="shared" si="1119"/>
        <v>Booked</v>
      </c>
    </row>
    <row r="1512" spans="1:89" ht="15" customHeight="1" x14ac:dyDescent="0.25">
      <c r="A1512" s="111">
        <v>1324</v>
      </c>
      <c r="B1512" s="128" t="str">
        <f t="shared" si="1102"/>
        <v>N</v>
      </c>
      <c r="C1512" s="128" t="str">
        <f t="shared" si="1103"/>
        <v>N</v>
      </c>
      <c r="D1512" s="117">
        <v>2078025</v>
      </c>
      <c r="E1512" s="135">
        <f t="shared" si="1104"/>
        <v>5</v>
      </c>
      <c r="F1512" s="124">
        <v>40956</v>
      </c>
      <c r="G1512" s="125">
        <v>41241</v>
      </c>
      <c r="H1512" s="117">
        <v>2078025</v>
      </c>
      <c r="I1512" s="124">
        <v>40956</v>
      </c>
      <c r="J1512" s="125">
        <v>41241</v>
      </c>
      <c r="K1512" s="126">
        <v>40000</v>
      </c>
      <c r="L1512" s="129" t="s">
        <v>572</v>
      </c>
      <c r="N1512" s="129" t="str">
        <f t="shared" si="1139"/>
        <v>N</v>
      </c>
      <c r="O1512" s="128" t="s">
        <v>917</v>
      </c>
      <c r="P1512" s="129" t="s">
        <v>39</v>
      </c>
      <c r="Q1512" s="111">
        <f t="shared" si="1127"/>
        <v>286</v>
      </c>
      <c r="R1512" s="111">
        <f t="shared" si="1128"/>
        <v>286</v>
      </c>
      <c r="S1512" s="129">
        <v>1</v>
      </c>
      <c r="T1512" s="129">
        <v>7</v>
      </c>
      <c r="W1512" s="111"/>
      <c r="AC1512" s="130"/>
      <c r="AD1512" s="130">
        <v>31892</v>
      </c>
      <c r="AE1512" s="128" t="s">
        <v>32</v>
      </c>
      <c r="AF1512" s="128" t="s">
        <v>40</v>
      </c>
      <c r="AG1512" s="128" t="s">
        <v>41</v>
      </c>
      <c r="AH1512" s="108" t="s">
        <v>41</v>
      </c>
      <c r="AI1512" s="128" t="s">
        <v>47</v>
      </c>
      <c r="AJ1512" s="129" t="s">
        <v>89</v>
      </c>
      <c r="AK1512" s="129">
        <v>5</v>
      </c>
      <c r="AL1512" s="3" t="s">
        <v>992</v>
      </c>
      <c r="AN1512" s="117">
        <v>6</v>
      </c>
      <c r="AP1512" s="129" t="s">
        <v>105</v>
      </c>
      <c r="AR1512" s="128" t="s">
        <v>92</v>
      </c>
      <c r="AS1512" s="129" t="s">
        <v>106</v>
      </c>
      <c r="BC1512" s="129" t="s">
        <v>99</v>
      </c>
      <c r="BF1512" s="111">
        <f t="shared" si="1131"/>
        <v>286</v>
      </c>
      <c r="BG1512" s="111">
        <f t="shared" si="1129"/>
        <v>286</v>
      </c>
      <c r="BH1512" s="111">
        <f t="shared" si="1085"/>
        <v>286</v>
      </c>
      <c r="BI1512" s="111">
        <f t="shared" si="1086"/>
        <v>24.765027322404372</v>
      </c>
      <c r="BJ1512" s="129">
        <f t="shared" si="1120"/>
        <v>0</v>
      </c>
      <c r="BK1512" s="129">
        <f t="shared" si="1087"/>
        <v>0</v>
      </c>
      <c r="BL1512" s="129" t="str">
        <f t="shared" si="1130"/>
        <v>CONVICTION</v>
      </c>
      <c r="BM1512" s="129" t="str">
        <f t="shared" si="1121"/>
        <v>NONE</v>
      </c>
      <c r="BN1512" s="129" t="s">
        <v>566</v>
      </c>
      <c r="BP1512" s="137" t="str">
        <f t="shared" si="1105"/>
        <v>CONVICTION</v>
      </c>
      <c r="BQ1512" s="128" t="str">
        <f t="shared" si="1106"/>
        <v>Y</v>
      </c>
      <c r="BR1512" s="129" t="str">
        <f t="shared" si="1107"/>
        <v>DETAINED</v>
      </c>
      <c r="BS1512" s="129" t="str">
        <f t="shared" si="1108"/>
        <v>DISPOSED</v>
      </c>
      <c r="BT1512" s="129" t="str">
        <f t="shared" si="1109"/>
        <v>Y</v>
      </c>
      <c r="BU1512" s="109">
        <f t="shared" si="1110"/>
        <v>1</v>
      </c>
      <c r="BV1512" s="109">
        <f t="shared" si="1111"/>
        <v>1</v>
      </c>
      <c r="BW1512" s="109">
        <f t="shared" si="1132"/>
        <v>0</v>
      </c>
      <c r="BX1512" s="111">
        <f t="shared" si="1112"/>
        <v>0</v>
      </c>
      <c r="BY1512" s="129">
        <f t="shared" si="1113"/>
        <v>-286</v>
      </c>
      <c r="BZ1512" s="111">
        <f t="shared" si="1114"/>
        <v>0</v>
      </c>
      <c r="CA1512" s="138">
        <f t="shared" si="1115"/>
        <v>286</v>
      </c>
      <c r="CB1512" s="111" t="e">
        <f t="shared" si="1133"/>
        <v>#VALUE!</v>
      </c>
      <c r="CC1512" s="129">
        <f>G1512-I1512+1</f>
        <v>286</v>
      </c>
      <c r="CD1512" s="129">
        <f>G1512-J1512</f>
        <v>0</v>
      </c>
      <c r="CG1512" s="129" t="str">
        <f t="shared" si="1116"/>
        <v>Y</v>
      </c>
      <c r="CI1512" s="129" t="str">
        <f t="shared" si="1117"/>
        <v>121-365 DAYS</v>
      </c>
      <c r="CJ1512" s="137">
        <f t="shared" si="1118"/>
        <v>6</v>
      </c>
      <c r="CK1512" s="129" t="str">
        <f t="shared" si="1119"/>
        <v>Booked</v>
      </c>
    </row>
    <row r="1513" spans="1:89" ht="15" customHeight="1" x14ac:dyDescent="0.25">
      <c r="A1513" s="111">
        <v>2070</v>
      </c>
      <c r="B1513" s="128" t="str">
        <f t="shared" si="1102"/>
        <v>N</v>
      </c>
      <c r="C1513" s="128" t="str">
        <f t="shared" si="1103"/>
        <v>N</v>
      </c>
      <c r="D1513" s="117">
        <v>2078030</v>
      </c>
      <c r="E1513" s="135">
        <f t="shared" si="1104"/>
        <v>5</v>
      </c>
      <c r="F1513" s="124">
        <v>40987</v>
      </c>
      <c r="G1513" s="125">
        <v>40988</v>
      </c>
      <c r="H1513" s="117">
        <v>2078030</v>
      </c>
      <c r="I1513" s="124">
        <v>40987</v>
      </c>
      <c r="J1513" s="124">
        <v>40988</v>
      </c>
      <c r="K1513" s="126">
        <v>5000</v>
      </c>
      <c r="L1513" s="127" t="s">
        <v>569</v>
      </c>
      <c r="N1513" s="129" t="str">
        <f t="shared" si="1139"/>
        <v>N</v>
      </c>
      <c r="O1513" s="128" t="s">
        <v>917</v>
      </c>
      <c r="P1513" s="129" t="s">
        <v>39</v>
      </c>
      <c r="Q1513" s="111">
        <f t="shared" si="1127"/>
        <v>2</v>
      </c>
      <c r="R1513" s="111">
        <f t="shared" si="1128"/>
        <v>2</v>
      </c>
      <c r="S1513" s="129">
        <v>2</v>
      </c>
      <c r="T1513" s="129">
        <v>3</v>
      </c>
      <c r="U1513" s="129">
        <v>1</v>
      </c>
      <c r="W1513" s="111"/>
      <c r="AC1513" s="130"/>
      <c r="AD1513" s="130">
        <v>31313</v>
      </c>
      <c r="AE1513" s="128" t="s">
        <v>32</v>
      </c>
      <c r="AF1513" s="128" t="s">
        <v>33</v>
      </c>
      <c r="AG1513" s="128" t="s">
        <v>872</v>
      </c>
      <c r="AH1513" s="108" t="s">
        <v>58</v>
      </c>
      <c r="AI1513" s="128" t="s">
        <v>80</v>
      </c>
      <c r="AJ1513" s="129" t="s">
        <v>89</v>
      </c>
      <c r="AK1513" s="129">
        <v>1</v>
      </c>
      <c r="AL1513" s="3" t="s">
        <v>992</v>
      </c>
      <c r="AN1513" s="117">
        <v>8</v>
      </c>
      <c r="AP1513" s="129" t="s">
        <v>60</v>
      </c>
      <c r="AR1513" s="128" t="s">
        <v>44</v>
      </c>
      <c r="AS1513" s="129" t="s">
        <v>61</v>
      </c>
      <c r="BC1513" s="129" t="s">
        <v>38</v>
      </c>
      <c r="BF1513" s="111">
        <f t="shared" si="1131"/>
        <v>2</v>
      </c>
      <c r="BG1513" s="111">
        <f t="shared" si="1129"/>
        <v>2</v>
      </c>
      <c r="BH1513" s="111">
        <f t="shared" si="1085"/>
        <v>2</v>
      </c>
      <c r="BI1513" s="111">
        <f t="shared" si="1086"/>
        <v>26.431693989071039</v>
      </c>
      <c r="BJ1513" s="129">
        <f t="shared" si="1120"/>
        <v>0</v>
      </c>
      <c r="BK1513" s="129">
        <f t="shared" si="1087"/>
        <v>0</v>
      </c>
      <c r="BL1513" s="129" t="str">
        <f t="shared" si="1130"/>
        <v>CONVICTION</v>
      </c>
      <c r="BM1513" s="129" t="str">
        <f t="shared" si="1121"/>
        <v>NONE</v>
      </c>
      <c r="BN1513" s="129" t="s">
        <v>566</v>
      </c>
      <c r="BP1513" s="137" t="str">
        <f t="shared" si="1105"/>
        <v>CONVICTION</v>
      </c>
      <c r="BQ1513" s="128" t="str">
        <f t="shared" si="1106"/>
        <v>Y</v>
      </c>
      <c r="BR1513" s="129" t="str">
        <f t="shared" si="1107"/>
        <v>DETAINED</v>
      </c>
      <c r="BS1513" s="129" t="str">
        <f t="shared" si="1108"/>
        <v>DISPOSED</v>
      </c>
      <c r="BT1513" s="129" t="str">
        <f t="shared" si="1109"/>
        <v>Y</v>
      </c>
      <c r="BU1513" s="109">
        <f t="shared" si="1110"/>
        <v>1</v>
      </c>
      <c r="BV1513" s="109">
        <f t="shared" si="1111"/>
        <v>1</v>
      </c>
      <c r="BW1513" s="109">
        <f t="shared" si="1132"/>
        <v>0</v>
      </c>
      <c r="BX1513" s="111">
        <f t="shared" si="1112"/>
        <v>0</v>
      </c>
      <c r="BY1513" s="129">
        <f t="shared" si="1113"/>
        <v>-2</v>
      </c>
      <c r="BZ1513" s="111">
        <f t="shared" si="1114"/>
        <v>0</v>
      </c>
      <c r="CA1513" s="138">
        <f t="shared" si="1115"/>
        <v>2</v>
      </c>
      <c r="CB1513" s="111" t="e">
        <f t="shared" si="1133"/>
        <v>#VALUE!</v>
      </c>
      <c r="CC1513" s="129">
        <f>G1513-I1513+1</f>
        <v>2</v>
      </c>
      <c r="CD1513" s="129">
        <f>G1513-J1513</f>
        <v>0</v>
      </c>
      <c r="CG1513" s="129" t="str">
        <f t="shared" si="1116"/>
        <v>Y</v>
      </c>
      <c r="CI1513" s="129" t="str">
        <f t="shared" si="1117"/>
        <v>0-10 DAYS</v>
      </c>
      <c r="CJ1513" s="137">
        <f t="shared" si="1118"/>
        <v>1</v>
      </c>
      <c r="CK1513" s="129" t="str">
        <f t="shared" si="1119"/>
        <v>Booked</v>
      </c>
    </row>
    <row r="1514" spans="1:89" ht="15.75" customHeight="1" x14ac:dyDescent="0.25">
      <c r="A1514" s="111">
        <v>2311</v>
      </c>
      <c r="B1514" s="128" t="str">
        <f t="shared" si="1102"/>
        <v>N</v>
      </c>
      <c r="C1514" s="128" t="str">
        <f t="shared" si="1103"/>
        <v>N</v>
      </c>
      <c r="D1514" s="117">
        <v>2078489</v>
      </c>
      <c r="E1514" s="135">
        <f t="shared" si="1104"/>
        <v>1</v>
      </c>
      <c r="F1514" s="124">
        <v>40996</v>
      </c>
      <c r="G1514" s="125">
        <v>41036</v>
      </c>
      <c r="H1514" s="117">
        <v>2078489</v>
      </c>
      <c r="I1514" s="124">
        <v>40998</v>
      </c>
      <c r="J1514" s="124">
        <v>40999</v>
      </c>
      <c r="K1514" s="126">
        <v>2000</v>
      </c>
      <c r="L1514" s="127" t="s">
        <v>568</v>
      </c>
      <c r="M1514" s="125">
        <v>40999</v>
      </c>
      <c r="N1514" s="129" t="str">
        <f t="shared" si="1139"/>
        <v>Y</v>
      </c>
      <c r="O1514" s="128" t="s">
        <v>76</v>
      </c>
      <c r="P1514" s="129" t="s">
        <v>123</v>
      </c>
      <c r="Q1514" s="111">
        <f t="shared" si="1127"/>
        <v>2</v>
      </c>
      <c r="R1514" s="111">
        <f t="shared" si="1128"/>
        <v>41</v>
      </c>
      <c r="S1514" s="129">
        <v>0</v>
      </c>
      <c r="T1514" s="129">
        <v>5</v>
      </c>
      <c r="W1514" s="111"/>
      <c r="AC1514" s="130"/>
      <c r="AD1514" s="130">
        <v>30663</v>
      </c>
      <c r="AE1514" s="128" t="s">
        <v>32</v>
      </c>
      <c r="AF1514" s="128" t="s">
        <v>40</v>
      </c>
      <c r="AG1514" s="128" t="s">
        <v>41</v>
      </c>
      <c r="AH1514" s="108" t="s">
        <v>41</v>
      </c>
      <c r="AI1514" s="128" t="s">
        <v>53</v>
      </c>
      <c r="AJ1514" s="129" t="s">
        <v>123</v>
      </c>
      <c r="AK1514" s="129">
        <v>4</v>
      </c>
      <c r="AL1514" s="3" t="s">
        <v>123</v>
      </c>
      <c r="AP1514" s="129" t="s">
        <v>121</v>
      </c>
      <c r="AR1514" s="128" t="s">
        <v>44</v>
      </c>
      <c r="AS1514" s="129" t="s">
        <v>122</v>
      </c>
      <c r="AT1514" s="129" t="s">
        <v>429</v>
      </c>
      <c r="BC1514" s="129" t="s">
        <v>52</v>
      </c>
      <c r="BF1514" s="111">
        <f t="shared" si="1131"/>
        <v>2</v>
      </c>
      <c r="BG1514" s="111">
        <f t="shared" si="1129"/>
        <v>39</v>
      </c>
      <c r="BH1514" s="111">
        <f t="shared" si="1085"/>
        <v>41</v>
      </c>
      <c r="BI1514" s="111">
        <f t="shared" si="1086"/>
        <v>28.23224043715847</v>
      </c>
      <c r="BJ1514" s="129">
        <f>(G1514-J1514)+(M1514-G1514)</f>
        <v>0</v>
      </c>
      <c r="BK1514" s="129">
        <f t="shared" si="1087"/>
        <v>-37</v>
      </c>
      <c r="BL1514" s="129" t="str">
        <f t="shared" si="1130"/>
        <v>NO CONVICTION</v>
      </c>
      <c r="BM1514" s="129" t="s">
        <v>76</v>
      </c>
      <c r="BN1514" s="129" t="s">
        <v>88</v>
      </c>
      <c r="BP1514" s="137" t="str">
        <f t="shared" si="1105"/>
        <v>NO CONVICTION</v>
      </c>
      <c r="BQ1514" s="128" t="str">
        <f t="shared" si="1106"/>
        <v>Y</v>
      </c>
      <c r="BR1514" s="129" t="str">
        <f t="shared" si="1107"/>
        <v>ON BOND</v>
      </c>
      <c r="BS1514" s="129" t="str">
        <f t="shared" si="1108"/>
        <v>DISPOSED</v>
      </c>
      <c r="BT1514" s="129" t="str">
        <f t="shared" si="1109"/>
        <v>N</v>
      </c>
      <c r="BU1514" s="109">
        <f>IFERROR(Q1514/R1514,BR1514)</f>
        <v>4.878048780487805E-2</v>
      </c>
      <c r="BV1514" s="109">
        <f t="shared" si="1111"/>
        <v>5.128205128205128E-2</v>
      </c>
      <c r="BW1514" s="109">
        <f t="shared" si="1132"/>
        <v>2.5015634771732298E-3</v>
      </c>
      <c r="BX1514" s="111">
        <f t="shared" si="1112"/>
        <v>0</v>
      </c>
      <c r="BY1514" s="129">
        <f t="shared" si="1113"/>
        <v>-2</v>
      </c>
      <c r="BZ1514" s="111">
        <f t="shared" si="1114"/>
        <v>0</v>
      </c>
      <c r="CA1514" s="138">
        <f t="shared" si="1115"/>
        <v>2</v>
      </c>
      <c r="CB1514" s="111" t="e">
        <f t="shared" si="1133"/>
        <v>#VALUE!</v>
      </c>
      <c r="CC1514" s="129">
        <f>M1514-I1514+1</f>
        <v>2</v>
      </c>
      <c r="CD1514" s="111">
        <f>CC1514-BF1514</f>
        <v>0</v>
      </c>
      <c r="CG1514" s="129" t="str">
        <f t="shared" si="1116"/>
        <v>Y</v>
      </c>
      <c r="CI1514" s="129" t="str">
        <f t="shared" si="1117"/>
        <v>0-10 DAYS</v>
      </c>
      <c r="CJ1514" s="137">
        <f t="shared" si="1118"/>
        <v>1</v>
      </c>
      <c r="CK1514" s="129" t="str">
        <f t="shared" si="1119"/>
        <v>Booked</v>
      </c>
    </row>
    <row r="1515" spans="1:89" ht="15.75" customHeight="1" x14ac:dyDescent="0.25">
      <c r="A1515" s="111">
        <v>138</v>
      </c>
      <c r="B1515" s="128" t="str">
        <f t="shared" si="1102"/>
        <v>N</v>
      </c>
      <c r="C1515" s="128" t="str">
        <f t="shared" si="1103"/>
        <v>N</v>
      </c>
      <c r="D1515" s="117">
        <v>2078663</v>
      </c>
      <c r="E1515" s="135">
        <f t="shared" si="1104"/>
        <v>1</v>
      </c>
      <c r="F1515" s="124">
        <v>40915</v>
      </c>
      <c r="G1515" s="125">
        <v>40918</v>
      </c>
      <c r="H1515" s="117">
        <v>2078663</v>
      </c>
      <c r="I1515" s="124" t="s">
        <v>562</v>
      </c>
      <c r="J1515" s="124" t="s">
        <v>562</v>
      </c>
      <c r="K1515" s="126">
        <v>5000</v>
      </c>
      <c r="L1515" s="127" t="s">
        <v>569</v>
      </c>
      <c r="M1515" s="125">
        <v>40916</v>
      </c>
      <c r="N1515" s="129" t="str">
        <f>IF(M1515&gt;1/1/1,"Y",IF(Q1515="0","","N"))</f>
        <v>Y</v>
      </c>
      <c r="O1515" s="128" t="s">
        <v>585</v>
      </c>
      <c r="P1515" s="129" t="s">
        <v>55</v>
      </c>
      <c r="Q1515" s="111">
        <f t="shared" si="1127"/>
        <v>0</v>
      </c>
      <c r="R1515" s="111">
        <f t="shared" si="1128"/>
        <v>4</v>
      </c>
      <c r="S1515" s="129">
        <v>2</v>
      </c>
      <c r="T1515" s="129">
        <v>4</v>
      </c>
      <c r="V1515" s="129"/>
      <c r="W1515" s="111"/>
      <c r="X1515" s="129"/>
      <c r="AC1515" s="130"/>
      <c r="AD1515" s="130">
        <v>30813</v>
      </c>
      <c r="AE1515" s="128" t="s">
        <v>32</v>
      </c>
      <c r="AF1515" s="128" t="s">
        <v>33</v>
      </c>
      <c r="AG1515" s="128" t="s">
        <v>872</v>
      </c>
      <c r="AH1515" s="108" t="s">
        <v>58</v>
      </c>
      <c r="AI1515" s="128" t="s">
        <v>53</v>
      </c>
      <c r="AJ1515" s="129" t="s">
        <v>55</v>
      </c>
      <c r="AK1515" s="129">
        <v>2</v>
      </c>
      <c r="AL1515" s="3" t="s">
        <v>55</v>
      </c>
      <c r="AP1515" s="129" t="s">
        <v>93</v>
      </c>
      <c r="AR1515" s="128" t="s">
        <v>67</v>
      </c>
      <c r="AS1515" s="129" t="s">
        <v>45</v>
      </c>
      <c r="BC1515" s="129" t="s">
        <v>52</v>
      </c>
      <c r="BF1515" s="111">
        <v>0</v>
      </c>
      <c r="BG1515" s="111">
        <v>0</v>
      </c>
      <c r="BH1515" s="111">
        <f t="shared" si="1085"/>
        <v>4</v>
      </c>
      <c r="BI1515" s="111">
        <f t="shared" si="1086"/>
        <v>27.601092896174862</v>
      </c>
      <c r="BJ1515" s="129" t="e">
        <f>(G1515-J1515)+(M1515-G1515)</f>
        <v>#VALUE!</v>
      </c>
      <c r="BK1515" s="129" t="e">
        <f t="shared" si="1087"/>
        <v>#VALUE!</v>
      </c>
      <c r="BL1515" s="129" t="str">
        <f t="shared" si="1130"/>
        <v>NO CONVICTION</v>
      </c>
      <c r="BM1515" s="129" t="s">
        <v>76</v>
      </c>
      <c r="BN1515" s="129" t="s">
        <v>88</v>
      </c>
      <c r="BP1515" s="137" t="str">
        <f t="shared" si="1105"/>
        <v>NO CONVICTION</v>
      </c>
      <c r="BQ1515" s="128">
        <f t="shared" si="1106"/>
        <v>0</v>
      </c>
      <c r="BR1515" s="129" t="s">
        <v>575</v>
      </c>
      <c r="BS1515" s="129" t="str">
        <f t="shared" si="1108"/>
        <v>DISPOSED</v>
      </c>
      <c r="BT1515" s="129" t="str">
        <f t="shared" si="1109"/>
        <v>Y</v>
      </c>
      <c r="BU1515" s="109">
        <f>IFERROR(Q1515/R1515,BR1515)</f>
        <v>0</v>
      </c>
      <c r="BV1515" s="109">
        <v>0</v>
      </c>
      <c r="BW1515" s="109">
        <f t="shared" si="1132"/>
        <v>0</v>
      </c>
      <c r="BX1515" s="111">
        <f t="shared" si="1112"/>
        <v>0</v>
      </c>
      <c r="BY1515" s="129" t="e">
        <f t="shared" si="1113"/>
        <v>#VALUE!</v>
      </c>
      <c r="BZ1515" s="111" t="e">
        <f t="shared" si="1114"/>
        <v>#VALUE!</v>
      </c>
      <c r="CA1515" s="138" t="e">
        <f t="shared" si="1115"/>
        <v>#VALUE!</v>
      </c>
      <c r="CB1515" s="111">
        <v>0</v>
      </c>
      <c r="CC1515" s="129">
        <v>0</v>
      </c>
      <c r="CD1515" s="111">
        <f>CC1515-BF1515</f>
        <v>0</v>
      </c>
      <c r="CG1515" s="129" t="str">
        <f t="shared" si="1116"/>
        <v>Y</v>
      </c>
      <c r="CI1515" s="129" t="str">
        <f t="shared" si="1117"/>
        <v>0-10 DAYS</v>
      </c>
      <c r="CJ1515" s="137">
        <f t="shared" si="1118"/>
        <v>1</v>
      </c>
      <c r="CK1515" s="129" t="str">
        <f t="shared" si="1119"/>
        <v>Not Booked</v>
      </c>
    </row>
    <row r="1516" spans="1:89" ht="15" customHeight="1" x14ac:dyDescent="0.25">
      <c r="A1516" s="111">
        <v>2525</v>
      </c>
      <c r="B1516" s="128" t="str">
        <f t="shared" si="1102"/>
        <v>N</v>
      </c>
      <c r="C1516" s="128" t="str">
        <f t="shared" si="1103"/>
        <v>N</v>
      </c>
      <c r="D1516" s="117">
        <v>2079410</v>
      </c>
      <c r="E1516" s="135">
        <f t="shared" si="1104"/>
        <v>6</v>
      </c>
      <c r="F1516" s="124">
        <v>41003</v>
      </c>
      <c r="G1516" s="125">
        <v>41200</v>
      </c>
      <c r="H1516" s="117">
        <v>2079410</v>
      </c>
      <c r="I1516" s="124">
        <v>41040</v>
      </c>
      <c r="J1516" s="124">
        <v>41200</v>
      </c>
      <c r="K1516" s="126">
        <v>30000</v>
      </c>
      <c r="L1516" s="129" t="s">
        <v>572</v>
      </c>
      <c r="N1516" s="129" t="str">
        <f>IF(M1516&gt;1/1/1,"Y","N")</f>
        <v>N</v>
      </c>
      <c r="O1516" s="128" t="s">
        <v>917</v>
      </c>
      <c r="P1516" s="129" t="s">
        <v>39</v>
      </c>
      <c r="Q1516" s="111">
        <f t="shared" si="1127"/>
        <v>161</v>
      </c>
      <c r="R1516" s="111">
        <f t="shared" si="1128"/>
        <v>198</v>
      </c>
      <c r="S1516" s="129">
        <v>1</v>
      </c>
      <c r="T1516" s="129">
        <v>0</v>
      </c>
      <c r="W1516" s="111"/>
      <c r="AC1516" s="130"/>
      <c r="AD1516" s="130">
        <v>28754</v>
      </c>
      <c r="AE1516" s="128" t="s">
        <v>32</v>
      </c>
      <c r="AF1516" s="128" t="s">
        <v>40</v>
      </c>
      <c r="AG1516" s="128" t="s">
        <v>41</v>
      </c>
      <c r="AH1516" s="108" t="s">
        <v>41</v>
      </c>
      <c r="AI1516" s="128" t="s">
        <v>42</v>
      </c>
      <c r="AJ1516" s="129" t="s">
        <v>89</v>
      </c>
      <c r="AK1516" s="129">
        <v>7</v>
      </c>
      <c r="AL1516" s="3" t="s">
        <v>362</v>
      </c>
      <c r="AM1516" s="117">
        <v>7</v>
      </c>
      <c r="AP1516" s="129" t="s">
        <v>56</v>
      </c>
      <c r="AR1516" s="128" t="s">
        <v>50</v>
      </c>
      <c r="AS1516" s="129" t="s">
        <v>57</v>
      </c>
      <c r="BC1516" s="129" t="s">
        <v>52</v>
      </c>
      <c r="BF1516" s="111">
        <f t="shared" ref="BF1516:BF1530" si="1140">IF(J1516&gt;1/1/1900,((J1516+1)-I1516),"STILL OPEN")</f>
        <v>161</v>
      </c>
      <c r="BG1516" s="111">
        <f t="shared" ref="BG1516:BG1530" si="1141">IF(G1516&gt;1/1/1900,((G1516+1)-I1516),"STILL OPEN")</f>
        <v>161</v>
      </c>
      <c r="BH1516" s="111">
        <f t="shared" si="1085"/>
        <v>198</v>
      </c>
      <c r="BI1516" s="111">
        <f t="shared" si="1086"/>
        <v>33.467213114754095</v>
      </c>
      <c r="BJ1516" s="129">
        <f t="shared" si="1120"/>
        <v>0</v>
      </c>
      <c r="BK1516" s="129">
        <f t="shared" si="1087"/>
        <v>0</v>
      </c>
      <c r="BL1516" s="129" t="str">
        <f t="shared" si="1130"/>
        <v>CONVICTION</v>
      </c>
      <c r="BM1516" s="129" t="str">
        <f t="shared" si="1121"/>
        <v>NONE</v>
      </c>
      <c r="BN1516" s="129" t="s">
        <v>566</v>
      </c>
      <c r="BP1516" s="137" t="str">
        <f t="shared" si="1105"/>
        <v>CONVICTION</v>
      </c>
      <c r="BQ1516" s="128" t="str">
        <f t="shared" si="1106"/>
        <v>Y</v>
      </c>
      <c r="BR1516" s="129" t="str">
        <f t="shared" si="1107"/>
        <v>DETAINED</v>
      </c>
      <c r="BS1516" s="129" t="str">
        <f t="shared" si="1108"/>
        <v>DISPOSED</v>
      </c>
      <c r="BT1516" s="129" t="str">
        <f t="shared" si="1109"/>
        <v>Y</v>
      </c>
      <c r="BU1516" s="109">
        <f t="shared" si="1110"/>
        <v>0.81313131313131315</v>
      </c>
      <c r="BV1516" s="109">
        <f t="shared" si="1111"/>
        <v>1</v>
      </c>
      <c r="BW1516" s="109">
        <f t="shared" si="1132"/>
        <v>0.18686868686868685</v>
      </c>
      <c r="BX1516" s="111">
        <f t="shared" si="1112"/>
        <v>0</v>
      </c>
      <c r="BY1516" s="129">
        <f t="shared" si="1113"/>
        <v>-161</v>
      </c>
      <c r="BZ1516" s="111">
        <f t="shared" si="1114"/>
        <v>0</v>
      </c>
      <c r="CA1516" s="138">
        <f t="shared" si="1115"/>
        <v>161</v>
      </c>
      <c r="CB1516" s="111" t="e">
        <f t="shared" ref="CB1516:CB1530" si="1142">IF(AF1516&gt;1/1/1900,((AF1516+1)-AE1516),"STILL OPEN")</f>
        <v>#VALUE!</v>
      </c>
      <c r="CC1516" s="129">
        <f>G1516-I1516+1</f>
        <v>161</v>
      </c>
      <c r="CD1516" s="129">
        <f>G1516-J1516</f>
        <v>0</v>
      </c>
      <c r="CG1516" s="129" t="str">
        <f t="shared" si="1116"/>
        <v>Y</v>
      </c>
      <c r="CI1516" s="129" t="str">
        <f t="shared" si="1117"/>
        <v>121-365 DAYS</v>
      </c>
      <c r="CJ1516" s="137">
        <f t="shared" si="1118"/>
        <v>6</v>
      </c>
      <c r="CK1516" s="129" t="str">
        <f t="shared" si="1119"/>
        <v>Booked</v>
      </c>
    </row>
    <row r="1517" spans="1:89" ht="15.75" customHeight="1" x14ac:dyDescent="0.25">
      <c r="A1517" s="111">
        <v>2624</v>
      </c>
      <c r="B1517" s="128" t="str">
        <f t="shared" si="1102"/>
        <v>N</v>
      </c>
      <c r="C1517" s="128" t="str">
        <f t="shared" si="1103"/>
        <v>N</v>
      </c>
      <c r="D1517" s="117">
        <v>2079944</v>
      </c>
      <c r="E1517" s="135">
        <f t="shared" si="1104"/>
        <v>2</v>
      </c>
      <c r="F1517" s="124">
        <v>41006</v>
      </c>
      <c r="G1517" s="125">
        <v>41038</v>
      </c>
      <c r="H1517" s="117">
        <v>2079944</v>
      </c>
      <c r="I1517" s="124">
        <v>41006</v>
      </c>
      <c r="J1517" s="124">
        <v>41038</v>
      </c>
      <c r="K1517" s="126">
        <v>5000</v>
      </c>
      <c r="L1517" s="127" t="s">
        <v>569</v>
      </c>
      <c r="N1517" s="129" t="str">
        <f>IF(M1517&gt;1/1/1,"Y","N")</f>
        <v>N</v>
      </c>
      <c r="O1517" s="128" t="s">
        <v>917</v>
      </c>
      <c r="P1517" s="129" t="s">
        <v>589</v>
      </c>
      <c r="Q1517" s="111">
        <f t="shared" si="1127"/>
        <v>33</v>
      </c>
      <c r="R1517" s="111">
        <f t="shared" si="1128"/>
        <v>33</v>
      </c>
      <c r="S1517" s="129">
        <v>1</v>
      </c>
      <c r="T1517" s="129">
        <v>2</v>
      </c>
      <c r="W1517" s="111"/>
      <c r="AC1517" s="130"/>
      <c r="AD1517" s="130">
        <v>30997</v>
      </c>
      <c r="AE1517" s="128" t="s">
        <v>32</v>
      </c>
      <c r="AF1517" s="128" t="s">
        <v>33</v>
      </c>
      <c r="AG1517" s="128" t="s">
        <v>872</v>
      </c>
      <c r="AH1517" s="108" t="s">
        <v>31</v>
      </c>
      <c r="AI1517" s="128" t="s">
        <v>85</v>
      </c>
      <c r="AJ1517" s="129" t="s">
        <v>48</v>
      </c>
      <c r="AK1517" s="129">
        <v>2</v>
      </c>
      <c r="AL1517" s="3" t="s">
        <v>48</v>
      </c>
      <c r="AP1517" s="129" t="s">
        <v>175</v>
      </c>
      <c r="AR1517" s="128" t="s">
        <v>44</v>
      </c>
      <c r="AS1517" s="129" t="s">
        <v>45</v>
      </c>
      <c r="BC1517" s="129" t="s">
        <v>52</v>
      </c>
      <c r="BF1517" s="111">
        <f t="shared" si="1140"/>
        <v>33</v>
      </c>
      <c r="BG1517" s="111">
        <f t="shared" si="1141"/>
        <v>33</v>
      </c>
      <c r="BH1517" s="111">
        <f t="shared" si="1085"/>
        <v>33</v>
      </c>
      <c r="BI1517" s="111">
        <f t="shared" si="1086"/>
        <v>27.346994535519126</v>
      </c>
      <c r="BJ1517" s="129">
        <f t="shared" si="1120"/>
        <v>0</v>
      </c>
      <c r="BK1517" s="129">
        <f t="shared" si="1087"/>
        <v>0</v>
      </c>
      <c r="BL1517" s="129" t="str">
        <f t="shared" si="1130"/>
        <v>DEFERRED</v>
      </c>
      <c r="BM1517" s="129" t="str">
        <f t="shared" si="1121"/>
        <v>NONE</v>
      </c>
      <c r="BN1517" s="129" t="s">
        <v>566</v>
      </c>
      <c r="BP1517" s="137" t="str">
        <f t="shared" si="1105"/>
        <v>DEFERRED</v>
      </c>
      <c r="BQ1517" s="128" t="str">
        <f t="shared" si="1106"/>
        <v>Y</v>
      </c>
      <c r="BR1517" s="129" t="str">
        <f t="shared" si="1107"/>
        <v>DETAINED</v>
      </c>
      <c r="BS1517" s="129" t="str">
        <f t="shared" si="1108"/>
        <v>DISPOSED</v>
      </c>
      <c r="BT1517" s="129" t="str">
        <f t="shared" si="1109"/>
        <v>Y</v>
      </c>
      <c r="BU1517" s="109">
        <f t="shared" si="1110"/>
        <v>1</v>
      </c>
      <c r="BV1517" s="109">
        <f t="shared" si="1111"/>
        <v>1</v>
      </c>
      <c r="BW1517" s="109">
        <f t="shared" si="1132"/>
        <v>0</v>
      </c>
      <c r="BX1517" s="111">
        <f t="shared" si="1112"/>
        <v>0</v>
      </c>
      <c r="BY1517" s="129">
        <f t="shared" si="1113"/>
        <v>-33</v>
      </c>
      <c r="BZ1517" s="111">
        <f t="shared" si="1114"/>
        <v>0</v>
      </c>
      <c r="CA1517" s="138">
        <f t="shared" si="1115"/>
        <v>33</v>
      </c>
      <c r="CB1517" s="111" t="e">
        <f t="shared" si="1142"/>
        <v>#VALUE!</v>
      </c>
      <c r="CC1517" s="129">
        <f>G1517-I1517+1</f>
        <v>33</v>
      </c>
      <c r="CD1517" s="129">
        <f>G1517-J1517</f>
        <v>0</v>
      </c>
      <c r="CG1517" s="129" t="str">
        <f t="shared" si="1116"/>
        <v>Y</v>
      </c>
      <c r="CI1517" s="129" t="str">
        <f t="shared" si="1117"/>
        <v>31-60 DAYS</v>
      </c>
      <c r="CJ1517" s="137">
        <f t="shared" si="1118"/>
        <v>3</v>
      </c>
      <c r="CK1517" s="129" t="str">
        <f t="shared" si="1119"/>
        <v>Booked</v>
      </c>
    </row>
    <row r="1518" spans="1:89" ht="15.75" customHeight="1" x14ac:dyDescent="0.25">
      <c r="A1518" s="111">
        <v>563</v>
      </c>
      <c r="B1518" s="128" t="str">
        <f t="shared" si="1102"/>
        <v>N</v>
      </c>
      <c r="C1518" s="128" t="str">
        <f t="shared" si="1103"/>
        <v>N</v>
      </c>
      <c r="D1518" s="117">
        <v>2081081</v>
      </c>
      <c r="E1518" s="135">
        <f t="shared" si="1104"/>
        <v>6</v>
      </c>
      <c r="F1518" s="124">
        <v>40931</v>
      </c>
      <c r="G1518" s="125">
        <v>41484</v>
      </c>
      <c r="H1518" s="117">
        <v>2081081</v>
      </c>
      <c r="I1518" s="124">
        <v>40931</v>
      </c>
      <c r="J1518" s="125">
        <v>41484</v>
      </c>
      <c r="K1518" s="126">
        <v>165000</v>
      </c>
      <c r="L1518" s="129" t="s">
        <v>572</v>
      </c>
      <c r="N1518" s="129" t="str">
        <f>IF(M1518&gt;1/1/1,"Y","N")</f>
        <v>N</v>
      </c>
      <c r="O1518" s="128" t="s">
        <v>917</v>
      </c>
      <c r="P1518" s="129" t="s">
        <v>39</v>
      </c>
      <c r="Q1518" s="111">
        <f t="shared" si="1127"/>
        <v>554</v>
      </c>
      <c r="R1518" s="111">
        <f t="shared" si="1128"/>
        <v>554</v>
      </c>
      <c r="S1518" s="129">
        <v>2</v>
      </c>
      <c r="T1518" s="129">
        <v>3</v>
      </c>
      <c r="U1518" s="129">
        <v>1</v>
      </c>
      <c r="W1518" s="111">
        <v>3</v>
      </c>
      <c r="AC1518" s="130"/>
      <c r="AD1518" s="130">
        <v>30615</v>
      </c>
      <c r="AE1518" s="128" t="s">
        <v>32</v>
      </c>
      <c r="AF1518" s="128" t="s">
        <v>33</v>
      </c>
      <c r="AG1518" s="128" t="s">
        <v>872</v>
      </c>
      <c r="AH1518" s="108" t="s">
        <v>58</v>
      </c>
      <c r="AI1518" s="128" t="s">
        <v>141</v>
      </c>
      <c r="AJ1518" s="32" t="s">
        <v>89</v>
      </c>
      <c r="AK1518" s="129">
        <v>17</v>
      </c>
      <c r="AL1518" s="3" t="s">
        <v>362</v>
      </c>
      <c r="AM1518" s="117">
        <v>20</v>
      </c>
      <c r="AP1518" s="129" t="s">
        <v>105</v>
      </c>
      <c r="AR1518" s="128" t="s">
        <v>92</v>
      </c>
      <c r="AS1518" s="129" t="s">
        <v>106</v>
      </c>
      <c r="AT1518" s="129" t="s">
        <v>1281</v>
      </c>
      <c r="BC1518" s="129" t="s">
        <v>99</v>
      </c>
      <c r="BF1518" s="111">
        <f t="shared" si="1140"/>
        <v>554</v>
      </c>
      <c r="BG1518" s="111">
        <f t="shared" si="1141"/>
        <v>554</v>
      </c>
      <c r="BH1518" s="111">
        <f t="shared" si="1085"/>
        <v>554</v>
      </c>
      <c r="BI1518" s="111">
        <f t="shared" si="1086"/>
        <v>28.185792349726775</v>
      </c>
      <c r="BJ1518" s="129">
        <f t="shared" si="1120"/>
        <v>0</v>
      </c>
      <c r="BK1518" s="129">
        <f t="shared" si="1087"/>
        <v>0</v>
      </c>
      <c r="BL1518" s="129" t="str">
        <f t="shared" si="1130"/>
        <v>CONVICTION</v>
      </c>
      <c r="BM1518" s="129" t="str">
        <f t="shared" si="1121"/>
        <v>NONE</v>
      </c>
      <c r="BN1518" s="129" t="s">
        <v>566</v>
      </c>
      <c r="BP1518" s="137" t="str">
        <f t="shared" si="1105"/>
        <v>CONVICTION</v>
      </c>
      <c r="BQ1518" s="128" t="str">
        <f t="shared" si="1106"/>
        <v>Y</v>
      </c>
      <c r="BR1518" s="129" t="str">
        <f t="shared" si="1107"/>
        <v>DETAINED</v>
      </c>
      <c r="BS1518" s="129" t="str">
        <f t="shared" si="1108"/>
        <v>DISPOSED</v>
      </c>
      <c r="BT1518" s="129" t="s">
        <v>88</v>
      </c>
      <c r="BU1518" s="109">
        <f t="shared" si="1110"/>
        <v>1</v>
      </c>
      <c r="BV1518" s="109">
        <f t="shared" si="1111"/>
        <v>1</v>
      </c>
      <c r="BW1518" s="109">
        <f t="shared" si="1132"/>
        <v>0</v>
      </c>
      <c r="BX1518" s="111">
        <f t="shared" si="1112"/>
        <v>0</v>
      </c>
      <c r="BY1518" s="129">
        <f t="shared" si="1113"/>
        <v>-554</v>
      </c>
      <c r="BZ1518" s="111">
        <f t="shared" si="1114"/>
        <v>0</v>
      </c>
      <c r="CA1518" s="138">
        <f t="shared" si="1115"/>
        <v>554</v>
      </c>
      <c r="CB1518" s="111" t="e">
        <f t="shared" si="1142"/>
        <v>#VALUE!</v>
      </c>
      <c r="CC1518" s="129">
        <f>G1518-I1518+1</f>
        <v>554</v>
      </c>
      <c r="CD1518" s="129">
        <f>G1518-J1518</f>
        <v>0</v>
      </c>
      <c r="CG1518" s="129" t="str">
        <f t="shared" si="1116"/>
        <v>Y</v>
      </c>
      <c r="CI1518" s="129" t="str">
        <f t="shared" si="1117"/>
        <v xml:space="preserve"> &gt;1YRS&lt;2YRS</v>
      </c>
      <c r="CJ1518" s="137">
        <f t="shared" si="1118"/>
        <v>0</v>
      </c>
      <c r="CK1518" s="129" t="str">
        <f t="shared" si="1119"/>
        <v>Booked</v>
      </c>
    </row>
    <row r="1519" spans="1:89" ht="15.75" customHeight="1" x14ac:dyDescent="0.25">
      <c r="A1519" s="111">
        <v>1756</v>
      </c>
      <c r="B1519" s="128" t="str">
        <f t="shared" si="1102"/>
        <v>N</v>
      </c>
      <c r="C1519" s="128" t="str">
        <f t="shared" si="1103"/>
        <v>N</v>
      </c>
      <c r="D1519" s="117">
        <v>2082050</v>
      </c>
      <c r="E1519" s="135">
        <f t="shared" si="1104"/>
        <v>6</v>
      </c>
      <c r="F1519" s="124">
        <v>40974</v>
      </c>
      <c r="G1519" s="125">
        <v>40998</v>
      </c>
      <c r="H1519" s="117">
        <v>2082050</v>
      </c>
      <c r="I1519" s="124">
        <v>40975</v>
      </c>
      <c r="J1519" s="124">
        <v>40998</v>
      </c>
      <c r="K1519" s="126" t="s">
        <v>564</v>
      </c>
      <c r="L1519" s="127" t="s">
        <v>564</v>
      </c>
      <c r="N1519" s="129" t="s">
        <v>566</v>
      </c>
      <c r="O1519" s="128" t="s">
        <v>917</v>
      </c>
      <c r="P1519" s="129" t="s">
        <v>39</v>
      </c>
      <c r="Q1519" s="111">
        <f t="shared" si="1127"/>
        <v>24</v>
      </c>
      <c r="R1519" s="111">
        <f t="shared" si="1128"/>
        <v>25</v>
      </c>
      <c r="S1519" s="129">
        <v>1</v>
      </c>
      <c r="T1519" s="129">
        <v>4</v>
      </c>
      <c r="V1519" s="117">
        <v>1</v>
      </c>
      <c r="W1519" s="111"/>
      <c r="AC1519" s="130"/>
      <c r="AD1519" s="130">
        <v>31806</v>
      </c>
      <c r="AE1519" s="128" t="s">
        <v>32</v>
      </c>
      <c r="AF1519" s="128" t="s">
        <v>33</v>
      </c>
      <c r="AG1519" s="128" t="s">
        <v>872</v>
      </c>
      <c r="AH1519" s="108" t="s">
        <v>58</v>
      </c>
      <c r="AI1519" s="128" t="s">
        <v>80</v>
      </c>
      <c r="AJ1519" s="129" t="s">
        <v>89</v>
      </c>
      <c r="AK1519" s="129">
        <v>4</v>
      </c>
      <c r="AL1519" s="3" t="s">
        <v>362</v>
      </c>
      <c r="AM1519" s="117">
        <v>3</v>
      </c>
      <c r="AP1519" s="129" t="s">
        <v>136</v>
      </c>
      <c r="AR1519" s="128" t="s">
        <v>67</v>
      </c>
      <c r="AS1519" s="129" t="s">
        <v>64</v>
      </c>
      <c r="BC1519" s="129" t="s">
        <v>38</v>
      </c>
      <c r="BF1519" s="111">
        <f t="shared" si="1140"/>
        <v>24</v>
      </c>
      <c r="BG1519" s="111">
        <f t="shared" si="1141"/>
        <v>24</v>
      </c>
      <c r="BH1519" s="111">
        <f t="shared" si="1085"/>
        <v>25</v>
      </c>
      <c r="BI1519" s="111">
        <f t="shared" si="1086"/>
        <v>25.049180327868854</v>
      </c>
      <c r="BJ1519" s="129">
        <f t="shared" si="1120"/>
        <v>0</v>
      </c>
      <c r="BK1519" s="129">
        <f t="shared" si="1087"/>
        <v>0</v>
      </c>
      <c r="BL1519" s="129" t="str">
        <f t="shared" si="1130"/>
        <v>CONVICTION</v>
      </c>
      <c r="BM1519" s="129" t="str">
        <f t="shared" si="1121"/>
        <v>NONE</v>
      </c>
      <c r="BN1519" s="129" t="s">
        <v>566</v>
      </c>
      <c r="BP1519" s="137" t="str">
        <f t="shared" si="1105"/>
        <v>CONVICTION</v>
      </c>
      <c r="BQ1519" s="128" t="str">
        <f t="shared" si="1106"/>
        <v>Y</v>
      </c>
      <c r="BR1519" s="129" t="str">
        <f t="shared" si="1107"/>
        <v>DETAINED</v>
      </c>
      <c r="BS1519" s="129" t="str">
        <f t="shared" si="1108"/>
        <v>DISPOSED</v>
      </c>
      <c r="BT1519" s="129" t="str">
        <f t="shared" si="1109"/>
        <v>Y</v>
      </c>
      <c r="BU1519" s="109">
        <f t="shared" si="1110"/>
        <v>0.96</v>
      </c>
      <c r="BV1519" s="109">
        <f t="shared" si="1111"/>
        <v>1</v>
      </c>
      <c r="BW1519" s="109">
        <f t="shared" si="1132"/>
        <v>4.0000000000000036E-2</v>
      </c>
      <c r="BX1519" s="111">
        <f t="shared" si="1112"/>
        <v>0</v>
      </c>
      <c r="BY1519" s="129">
        <f t="shared" si="1113"/>
        <v>-24</v>
      </c>
      <c r="BZ1519" s="111">
        <f t="shared" si="1114"/>
        <v>0</v>
      </c>
      <c r="CA1519" s="138">
        <f t="shared" si="1115"/>
        <v>24</v>
      </c>
      <c r="CB1519" s="111" t="e">
        <f t="shared" si="1142"/>
        <v>#VALUE!</v>
      </c>
      <c r="CC1519" s="129">
        <f>G1519-I1519+1</f>
        <v>24</v>
      </c>
      <c r="CD1519" s="129">
        <f>G1519-J1519</f>
        <v>0</v>
      </c>
      <c r="CG1519" s="129" t="str">
        <f t="shared" si="1116"/>
        <v>Y</v>
      </c>
      <c r="CI1519" s="129" t="str">
        <f t="shared" si="1117"/>
        <v>11-30 DAYS</v>
      </c>
      <c r="CJ1519" s="137">
        <f t="shared" si="1118"/>
        <v>2</v>
      </c>
      <c r="CK1519" s="129" t="str">
        <f t="shared" si="1119"/>
        <v>Booked</v>
      </c>
    </row>
    <row r="1520" spans="1:89" ht="15" customHeight="1" x14ac:dyDescent="0.25">
      <c r="A1520" s="111">
        <v>3043</v>
      </c>
      <c r="B1520" s="128" t="str">
        <f t="shared" si="1102"/>
        <v>N</v>
      </c>
      <c r="C1520" s="128" t="str">
        <f t="shared" si="1103"/>
        <v>N</v>
      </c>
      <c r="D1520" s="117">
        <v>2082368</v>
      </c>
      <c r="E1520" s="135">
        <f t="shared" si="1104"/>
        <v>1</v>
      </c>
      <c r="F1520" s="124">
        <v>41021</v>
      </c>
      <c r="G1520" s="125">
        <v>41079</v>
      </c>
      <c r="H1520" s="117">
        <v>2082368</v>
      </c>
      <c r="I1520" s="124">
        <v>41022</v>
      </c>
      <c r="J1520" s="124">
        <v>41024</v>
      </c>
      <c r="K1520" s="126">
        <v>2000</v>
      </c>
      <c r="L1520" s="127" t="s">
        <v>568</v>
      </c>
      <c r="M1520" s="125">
        <v>41024</v>
      </c>
      <c r="N1520" s="129" t="str">
        <f>IF(M1520&gt;1/1/1,"Y","N")</f>
        <v>Y</v>
      </c>
      <c r="O1520" s="128" t="s">
        <v>76</v>
      </c>
      <c r="P1520" s="129" t="s">
        <v>55</v>
      </c>
      <c r="Q1520" s="111">
        <f t="shared" si="1127"/>
        <v>3</v>
      </c>
      <c r="R1520" s="111">
        <f t="shared" si="1128"/>
        <v>59</v>
      </c>
      <c r="S1520" s="129">
        <v>0</v>
      </c>
      <c r="T1520" s="129">
        <v>2</v>
      </c>
      <c r="W1520" s="111"/>
      <c r="AC1520" s="130"/>
      <c r="AD1520" s="130">
        <v>30612</v>
      </c>
      <c r="AE1520" s="128" t="s">
        <v>32</v>
      </c>
      <c r="AF1520" s="128" t="s">
        <v>40</v>
      </c>
      <c r="AG1520" s="128" t="s">
        <v>41</v>
      </c>
      <c r="AH1520" s="108" t="s">
        <v>41</v>
      </c>
      <c r="AI1520" s="128" t="s">
        <v>95</v>
      </c>
      <c r="AJ1520" s="129" t="s">
        <v>55</v>
      </c>
      <c r="AK1520" s="129">
        <v>3</v>
      </c>
      <c r="AL1520" s="3" t="s">
        <v>55</v>
      </c>
      <c r="AP1520" s="129" t="s">
        <v>104</v>
      </c>
      <c r="AR1520" s="128" t="s">
        <v>44</v>
      </c>
      <c r="AS1520" s="129" t="s">
        <v>64</v>
      </c>
      <c r="AT1520" s="129" t="s">
        <v>516</v>
      </c>
      <c r="BC1520" s="129" t="s">
        <v>38</v>
      </c>
      <c r="BF1520" s="111">
        <f t="shared" si="1140"/>
        <v>3</v>
      </c>
      <c r="BG1520" s="111">
        <f t="shared" si="1141"/>
        <v>58</v>
      </c>
      <c r="BH1520" s="111">
        <f t="shared" si="1085"/>
        <v>59</v>
      </c>
      <c r="BI1520" s="111">
        <f t="shared" si="1086"/>
        <v>28.439890710382514</v>
      </c>
      <c r="BJ1520" s="129">
        <f>(G1520-J1520)+(M1520-G1520)</f>
        <v>0</v>
      </c>
      <c r="BK1520" s="129">
        <f t="shared" si="1087"/>
        <v>-55</v>
      </c>
      <c r="BL1520" s="129" t="str">
        <f t="shared" si="1130"/>
        <v>NO CONVICTION</v>
      </c>
      <c r="BM1520" s="129" t="s">
        <v>76</v>
      </c>
      <c r="BN1520" s="129" t="s">
        <v>88</v>
      </c>
      <c r="BP1520" s="137" t="str">
        <f t="shared" si="1105"/>
        <v>NO CONVICTION</v>
      </c>
      <c r="BQ1520" s="128" t="str">
        <f t="shared" si="1106"/>
        <v>Y</v>
      </c>
      <c r="BR1520" s="129" t="str">
        <f t="shared" si="1107"/>
        <v>ON BOND</v>
      </c>
      <c r="BS1520" s="129" t="str">
        <f t="shared" si="1108"/>
        <v>DISPOSED</v>
      </c>
      <c r="BT1520" s="129" t="str">
        <f t="shared" si="1109"/>
        <v>N</v>
      </c>
      <c r="BU1520" s="109">
        <f>IFERROR(Q1520/R1520,BR1520)</f>
        <v>5.0847457627118647E-2</v>
      </c>
      <c r="BV1520" s="109">
        <f t="shared" si="1111"/>
        <v>5.1724137931034482E-2</v>
      </c>
      <c r="BW1520" s="109">
        <f t="shared" si="1132"/>
        <v>8.7668030391583468E-4</v>
      </c>
      <c r="BX1520" s="111">
        <f t="shared" si="1112"/>
        <v>0</v>
      </c>
      <c r="BY1520" s="129">
        <f t="shared" si="1113"/>
        <v>-3</v>
      </c>
      <c r="BZ1520" s="111">
        <f t="shared" si="1114"/>
        <v>0</v>
      </c>
      <c r="CA1520" s="138">
        <f t="shared" si="1115"/>
        <v>3</v>
      </c>
      <c r="CB1520" s="111" t="e">
        <f t="shared" si="1142"/>
        <v>#VALUE!</v>
      </c>
      <c r="CC1520" s="129">
        <f>M1520-I1520+1</f>
        <v>3</v>
      </c>
      <c r="CD1520" s="111">
        <f>CC1520-BF1520</f>
        <v>0</v>
      </c>
      <c r="CG1520" s="129" t="str">
        <f t="shared" si="1116"/>
        <v>Y</v>
      </c>
      <c r="CI1520" s="129" t="str">
        <f t="shared" si="1117"/>
        <v>0-10 DAYS</v>
      </c>
      <c r="CJ1520" s="137">
        <f t="shared" si="1118"/>
        <v>1</v>
      </c>
      <c r="CK1520" s="129" t="str">
        <f t="shared" si="1119"/>
        <v>Booked</v>
      </c>
    </row>
    <row r="1521" spans="1:89" ht="15" customHeight="1" x14ac:dyDescent="0.25">
      <c r="A1521" s="111">
        <v>2728</v>
      </c>
      <c r="B1521" s="128" t="str">
        <f t="shared" si="1102"/>
        <v>N</v>
      </c>
      <c r="C1521" s="128" t="str">
        <f t="shared" si="1103"/>
        <v>N</v>
      </c>
      <c r="D1521" s="117">
        <v>2083598</v>
      </c>
      <c r="E1521" s="135">
        <f t="shared" si="1104"/>
        <v>6</v>
      </c>
      <c r="F1521" s="124">
        <v>41011</v>
      </c>
      <c r="G1521" s="125">
        <v>41128</v>
      </c>
      <c r="H1521" s="117">
        <v>2083598</v>
      </c>
      <c r="I1521" s="124">
        <v>41012</v>
      </c>
      <c r="J1521" s="124">
        <v>41013</v>
      </c>
      <c r="K1521" s="126">
        <v>5000</v>
      </c>
      <c r="L1521" s="127" t="s">
        <v>569</v>
      </c>
      <c r="M1521" s="125">
        <v>41013</v>
      </c>
      <c r="N1521" s="129" t="str">
        <f>IF(M1521&gt;1/1/1,"Y","N")</f>
        <v>Y</v>
      </c>
      <c r="O1521" s="128" t="s">
        <v>76</v>
      </c>
      <c r="P1521" s="129" t="s">
        <v>39</v>
      </c>
      <c r="Q1521" s="111">
        <f t="shared" si="1127"/>
        <v>2</v>
      </c>
      <c r="R1521" s="111">
        <f t="shared" si="1128"/>
        <v>118</v>
      </c>
      <c r="S1521" s="129">
        <v>1</v>
      </c>
      <c r="T1521" s="129">
        <v>3</v>
      </c>
      <c r="U1521" s="129">
        <v>1</v>
      </c>
      <c r="W1521" s="111"/>
      <c r="AC1521" s="130"/>
      <c r="AD1521" s="130">
        <v>31692</v>
      </c>
      <c r="AE1521" s="128" t="s">
        <v>46</v>
      </c>
      <c r="AF1521" s="128" t="s">
        <v>33</v>
      </c>
      <c r="AG1521" s="128" t="s">
        <v>872</v>
      </c>
      <c r="AH1521" s="108" t="s">
        <v>31</v>
      </c>
      <c r="AI1521" s="128" t="s">
        <v>83</v>
      </c>
      <c r="AJ1521" s="129" t="s">
        <v>89</v>
      </c>
      <c r="AK1521" s="129">
        <v>6</v>
      </c>
      <c r="AL1521" s="3" t="s">
        <v>362</v>
      </c>
      <c r="AM1521" s="117">
        <v>2</v>
      </c>
      <c r="AP1521" s="129" t="s">
        <v>93</v>
      </c>
      <c r="AR1521" s="128" t="s">
        <v>67</v>
      </c>
      <c r="AS1521" s="129" t="s">
        <v>45</v>
      </c>
      <c r="BC1521" s="129" t="s">
        <v>52</v>
      </c>
      <c r="BF1521" s="111">
        <f t="shared" si="1140"/>
        <v>2</v>
      </c>
      <c r="BG1521" s="111">
        <f t="shared" si="1141"/>
        <v>117</v>
      </c>
      <c r="BH1521" s="111">
        <f t="shared" si="1085"/>
        <v>118</v>
      </c>
      <c r="BI1521" s="111">
        <f t="shared" si="1086"/>
        <v>25.461748633879782</v>
      </c>
      <c r="BJ1521" s="129">
        <f>(G1521-J1521)+(M1521-G1521)</f>
        <v>0</v>
      </c>
      <c r="BK1521" s="129">
        <f t="shared" si="1087"/>
        <v>-115</v>
      </c>
      <c r="BL1521" s="129" t="str">
        <f t="shared" si="1130"/>
        <v>CONVICTION</v>
      </c>
      <c r="BM1521" s="129" t="s">
        <v>76</v>
      </c>
      <c r="BN1521" s="129" t="s">
        <v>88</v>
      </c>
      <c r="BP1521" s="137" t="str">
        <f t="shared" si="1105"/>
        <v>CONVICTION</v>
      </c>
      <c r="BQ1521" s="128" t="str">
        <f t="shared" si="1106"/>
        <v>Y</v>
      </c>
      <c r="BR1521" s="129" t="str">
        <f>IF(J1521&lt;G1521,"ON BOND",0)</f>
        <v>ON BOND</v>
      </c>
      <c r="BS1521" s="129" t="str">
        <f t="shared" si="1108"/>
        <v>DISPOSED</v>
      </c>
      <c r="BT1521" s="129" t="str">
        <f t="shared" si="1109"/>
        <v>Y</v>
      </c>
      <c r="BU1521" s="109">
        <f t="shared" si="1110"/>
        <v>1.6949152542372881E-2</v>
      </c>
      <c r="BV1521" s="109">
        <f t="shared" si="1111"/>
        <v>1.7094017094017096E-2</v>
      </c>
      <c r="BW1521" s="109">
        <f t="shared" si="1132"/>
        <v>1.4486455164421444E-4</v>
      </c>
      <c r="BX1521" s="111">
        <f t="shared" si="1112"/>
        <v>0</v>
      </c>
      <c r="BY1521" s="129">
        <f t="shared" si="1113"/>
        <v>-2</v>
      </c>
      <c r="BZ1521" s="111">
        <f t="shared" si="1114"/>
        <v>0</v>
      </c>
      <c r="CA1521" s="138">
        <f t="shared" si="1115"/>
        <v>2</v>
      </c>
      <c r="CB1521" s="111" t="e">
        <f t="shared" si="1142"/>
        <v>#VALUE!</v>
      </c>
      <c r="CC1521" s="129">
        <f>M1521-I1521+1</f>
        <v>2</v>
      </c>
      <c r="CD1521" s="111">
        <f>CC1521-BF1521</f>
        <v>0</v>
      </c>
      <c r="CG1521" s="129" t="str">
        <f t="shared" si="1116"/>
        <v>Y</v>
      </c>
      <c r="CI1521" s="129" t="str">
        <f t="shared" si="1117"/>
        <v>0-10 DAYS</v>
      </c>
      <c r="CJ1521" s="137">
        <f t="shared" si="1118"/>
        <v>1</v>
      </c>
      <c r="CK1521" s="129" t="str">
        <f t="shared" si="1119"/>
        <v>Booked</v>
      </c>
    </row>
    <row r="1522" spans="1:89" ht="15.75" customHeight="1" x14ac:dyDescent="0.25">
      <c r="A1522" s="111">
        <v>363</v>
      </c>
      <c r="B1522" s="128" t="str">
        <f t="shared" si="1102"/>
        <v>N</v>
      </c>
      <c r="C1522" s="128" t="str">
        <f t="shared" si="1103"/>
        <v>N</v>
      </c>
      <c r="D1522" s="117">
        <v>2083788</v>
      </c>
      <c r="E1522" s="135">
        <f t="shared" si="1104"/>
        <v>3</v>
      </c>
      <c r="F1522" s="124">
        <v>40923</v>
      </c>
      <c r="G1522" s="125">
        <v>41323</v>
      </c>
      <c r="H1522" s="117">
        <v>2083788</v>
      </c>
      <c r="I1522" s="124">
        <v>40923</v>
      </c>
      <c r="J1522" s="124">
        <v>40924</v>
      </c>
      <c r="K1522" s="126">
        <v>5000</v>
      </c>
      <c r="L1522" s="127" t="s">
        <v>569</v>
      </c>
      <c r="M1522" s="125">
        <v>40924</v>
      </c>
      <c r="N1522" s="129" t="str">
        <f>IF(M1522&gt;1/1/1,"Y","N")</f>
        <v>Y</v>
      </c>
      <c r="O1522" s="128" t="s">
        <v>76</v>
      </c>
      <c r="P1522" s="129" t="s">
        <v>39</v>
      </c>
      <c r="Q1522" s="111">
        <f t="shared" ref="Q1522:Q1558" si="1143">BF1522</f>
        <v>2</v>
      </c>
      <c r="R1522" s="111">
        <f t="shared" si="1128"/>
        <v>401</v>
      </c>
      <c r="S1522" s="129">
        <v>1</v>
      </c>
      <c r="T1522" s="129">
        <v>3</v>
      </c>
      <c r="U1522" s="129">
        <v>1</v>
      </c>
      <c r="W1522" s="111"/>
      <c r="AC1522" s="130"/>
      <c r="AD1522" s="130">
        <v>31684</v>
      </c>
      <c r="AE1522" s="128" t="s">
        <v>32</v>
      </c>
      <c r="AF1522" s="128" t="s">
        <v>40</v>
      </c>
      <c r="AG1522" s="128" t="s">
        <v>41</v>
      </c>
      <c r="AH1522" s="108" t="s">
        <v>41</v>
      </c>
      <c r="AI1522" s="128" t="s">
        <v>34</v>
      </c>
      <c r="AJ1522" s="129" t="s">
        <v>89</v>
      </c>
      <c r="AK1522" s="129">
        <v>11</v>
      </c>
      <c r="AL1522" s="3" t="s">
        <v>185</v>
      </c>
      <c r="AP1522" s="129" t="s">
        <v>101</v>
      </c>
      <c r="AR1522" s="128" t="s">
        <v>67</v>
      </c>
      <c r="AS1522" s="129" t="s">
        <v>64</v>
      </c>
      <c r="BC1522" s="129" t="s">
        <v>52</v>
      </c>
      <c r="BF1522" s="111">
        <f t="shared" si="1140"/>
        <v>2</v>
      </c>
      <c r="BG1522" s="111">
        <f t="shared" si="1141"/>
        <v>401</v>
      </c>
      <c r="BH1522" s="111">
        <f t="shared" si="1085"/>
        <v>401</v>
      </c>
      <c r="BI1522" s="111">
        <f t="shared" si="1086"/>
        <v>25.243169398907103</v>
      </c>
      <c r="BJ1522" s="129">
        <f>(G1522-J1522)+(M1522-G1522)</f>
        <v>0</v>
      </c>
      <c r="BK1522" s="129">
        <f t="shared" si="1087"/>
        <v>-399</v>
      </c>
      <c r="BL1522" s="129" t="str">
        <f t="shared" si="1130"/>
        <v>CONVICTION</v>
      </c>
      <c r="BM1522" s="129" t="s">
        <v>76</v>
      </c>
      <c r="BN1522" s="129" t="s">
        <v>88</v>
      </c>
      <c r="BP1522" s="137" t="str">
        <f t="shared" si="1105"/>
        <v>CONVICTION</v>
      </c>
      <c r="BQ1522" s="128" t="str">
        <f t="shared" si="1106"/>
        <v>Y</v>
      </c>
      <c r="BR1522" s="129" t="str">
        <f>IF(J1522&lt;G1522,"ON BOND",0)</f>
        <v>ON BOND</v>
      </c>
      <c r="BS1522" s="129" t="str">
        <f t="shared" si="1108"/>
        <v>DISPOSED</v>
      </c>
      <c r="BT1522" s="129" t="str">
        <f t="shared" si="1109"/>
        <v>Y</v>
      </c>
      <c r="BU1522" s="109">
        <f t="shared" si="1110"/>
        <v>4.9875311720698253E-3</v>
      </c>
      <c r="BV1522" s="109">
        <f t="shared" si="1111"/>
        <v>4.9875311720698253E-3</v>
      </c>
      <c r="BW1522" s="109">
        <f t="shared" si="1132"/>
        <v>0</v>
      </c>
      <c r="BX1522" s="111">
        <f t="shared" si="1112"/>
        <v>0</v>
      </c>
      <c r="BY1522" s="129">
        <f t="shared" si="1113"/>
        <v>-2</v>
      </c>
      <c r="BZ1522" s="111">
        <f t="shared" si="1114"/>
        <v>0</v>
      </c>
      <c r="CA1522" s="138">
        <f t="shared" si="1115"/>
        <v>2</v>
      </c>
      <c r="CB1522" s="111" t="e">
        <f t="shared" si="1142"/>
        <v>#VALUE!</v>
      </c>
      <c r="CC1522" s="129">
        <f>M1522-I1522+1</f>
        <v>2</v>
      </c>
      <c r="CD1522" s="111">
        <f>CC1522-BF1522</f>
        <v>0</v>
      </c>
      <c r="CG1522" s="129" t="str">
        <f t="shared" si="1116"/>
        <v>Y</v>
      </c>
      <c r="CI1522" s="129" t="str">
        <f t="shared" si="1117"/>
        <v>0-10 DAYS</v>
      </c>
      <c r="CJ1522" s="137">
        <f t="shared" si="1118"/>
        <v>1</v>
      </c>
      <c r="CK1522" s="129" t="str">
        <f t="shared" si="1119"/>
        <v>Booked</v>
      </c>
    </row>
    <row r="1523" spans="1:89" ht="15.75" customHeight="1" x14ac:dyDescent="0.25">
      <c r="A1523" s="111">
        <v>762</v>
      </c>
      <c r="B1523" s="128" t="str">
        <f t="shared" si="1102"/>
        <v>N</v>
      </c>
      <c r="C1523" s="128" t="str">
        <f t="shared" si="1103"/>
        <v>N</v>
      </c>
      <c r="D1523" s="117">
        <v>2084335</v>
      </c>
      <c r="E1523" s="135">
        <f t="shared" si="1104"/>
        <v>2</v>
      </c>
      <c r="F1523" s="124">
        <v>40938</v>
      </c>
      <c r="G1523" s="125">
        <v>40940</v>
      </c>
      <c r="H1523" s="117">
        <v>2084335</v>
      </c>
      <c r="I1523" s="124">
        <v>40939</v>
      </c>
      <c r="J1523" s="124">
        <v>40940</v>
      </c>
      <c r="K1523" s="126" t="s">
        <v>564</v>
      </c>
      <c r="L1523" s="127" t="s">
        <v>564</v>
      </c>
      <c r="N1523" s="129" t="s">
        <v>566</v>
      </c>
      <c r="O1523" s="128" t="s">
        <v>917</v>
      </c>
      <c r="P1523" s="129" t="s">
        <v>589</v>
      </c>
      <c r="Q1523" s="111">
        <f t="shared" si="1143"/>
        <v>2</v>
      </c>
      <c r="R1523" s="111">
        <f t="shared" si="1128"/>
        <v>3</v>
      </c>
      <c r="S1523" s="129">
        <v>2</v>
      </c>
      <c r="T1523" s="129">
        <v>4</v>
      </c>
      <c r="V1523" s="117">
        <v>1</v>
      </c>
      <c r="W1523" s="111"/>
      <c r="AC1523" s="130"/>
      <c r="AD1523" s="130">
        <v>30737</v>
      </c>
      <c r="AE1523" s="128" t="s">
        <v>32</v>
      </c>
      <c r="AF1523" s="128" t="s">
        <v>40</v>
      </c>
      <c r="AG1523" s="128" t="s">
        <v>41</v>
      </c>
      <c r="AH1523" s="108" t="s">
        <v>41</v>
      </c>
      <c r="AI1523" s="128" t="s">
        <v>83</v>
      </c>
      <c r="AJ1523" s="129" t="s">
        <v>48</v>
      </c>
      <c r="AK1523" s="129">
        <v>1</v>
      </c>
      <c r="AL1523" s="3" t="s">
        <v>48</v>
      </c>
      <c r="AP1523" s="129" t="s">
        <v>107</v>
      </c>
      <c r="AR1523" s="128" t="s">
        <v>44</v>
      </c>
      <c r="AS1523" s="129" t="s">
        <v>57</v>
      </c>
      <c r="BC1523" s="129" t="s">
        <v>38</v>
      </c>
      <c r="BF1523" s="111">
        <f t="shared" si="1140"/>
        <v>2</v>
      </c>
      <c r="BG1523" s="111">
        <f t="shared" si="1141"/>
        <v>2</v>
      </c>
      <c r="BH1523" s="111">
        <f t="shared" si="1085"/>
        <v>3</v>
      </c>
      <c r="BI1523" s="111">
        <f t="shared" si="1086"/>
        <v>27.871584699453553</v>
      </c>
      <c r="BJ1523" s="129">
        <f t="shared" si="1120"/>
        <v>0</v>
      </c>
      <c r="BK1523" s="129">
        <f t="shared" si="1087"/>
        <v>0</v>
      </c>
      <c r="BL1523" s="129" t="str">
        <f t="shared" si="1130"/>
        <v>DEFERRED</v>
      </c>
      <c r="BM1523" s="129" t="str">
        <f t="shared" si="1121"/>
        <v>NONE</v>
      </c>
      <c r="BN1523" s="129" t="s">
        <v>566</v>
      </c>
      <c r="BP1523" s="137" t="str">
        <f t="shared" si="1105"/>
        <v>DEFERRED</v>
      </c>
      <c r="BQ1523" s="128" t="str">
        <f t="shared" si="1106"/>
        <v>Y</v>
      </c>
      <c r="BR1523" s="129" t="str">
        <f t="shared" si="1107"/>
        <v>DETAINED</v>
      </c>
      <c r="BS1523" s="129" t="str">
        <f t="shared" si="1108"/>
        <v>DISPOSED</v>
      </c>
      <c r="BT1523" s="129" t="str">
        <f t="shared" si="1109"/>
        <v>Y</v>
      </c>
      <c r="BU1523" s="109">
        <f t="shared" si="1110"/>
        <v>0.66666666666666663</v>
      </c>
      <c r="BV1523" s="109">
        <f t="shared" si="1111"/>
        <v>1</v>
      </c>
      <c r="BW1523" s="109">
        <f t="shared" si="1132"/>
        <v>0.33333333333333337</v>
      </c>
      <c r="BX1523" s="111">
        <f t="shared" si="1112"/>
        <v>0</v>
      </c>
      <c r="BY1523" s="129">
        <f t="shared" si="1113"/>
        <v>-2</v>
      </c>
      <c r="BZ1523" s="111">
        <f t="shared" si="1114"/>
        <v>0</v>
      </c>
      <c r="CA1523" s="138">
        <f t="shared" si="1115"/>
        <v>2</v>
      </c>
      <c r="CB1523" s="111" t="e">
        <f t="shared" si="1142"/>
        <v>#VALUE!</v>
      </c>
      <c r="CC1523" s="129">
        <f>G1523-I1523+1</f>
        <v>2</v>
      </c>
      <c r="CD1523" s="129">
        <f>G1523-J1523</f>
        <v>0</v>
      </c>
      <c r="CG1523" s="129" t="str">
        <f t="shared" si="1116"/>
        <v>Y</v>
      </c>
      <c r="CI1523" s="129" t="str">
        <f t="shared" si="1117"/>
        <v>0-10 DAYS</v>
      </c>
      <c r="CJ1523" s="137">
        <f t="shared" si="1118"/>
        <v>1</v>
      </c>
      <c r="CK1523" s="129" t="str">
        <f t="shared" si="1119"/>
        <v>Booked</v>
      </c>
    </row>
    <row r="1524" spans="1:89" ht="15" customHeight="1" x14ac:dyDescent="0.25">
      <c r="A1524" s="111">
        <v>557</v>
      </c>
      <c r="B1524" s="128" t="str">
        <f t="shared" si="1102"/>
        <v>N</v>
      </c>
      <c r="C1524" s="128" t="str">
        <f t="shared" si="1103"/>
        <v>N</v>
      </c>
      <c r="D1524" s="117">
        <v>2085053</v>
      </c>
      <c r="E1524" s="135">
        <f t="shared" si="1104"/>
        <v>1</v>
      </c>
      <c r="F1524" s="124">
        <v>40931</v>
      </c>
      <c r="G1524" s="125">
        <v>40988</v>
      </c>
      <c r="H1524" s="117">
        <v>2085053</v>
      </c>
      <c r="I1524" s="124">
        <v>40932</v>
      </c>
      <c r="J1524" s="124">
        <v>40988</v>
      </c>
      <c r="K1524" s="126">
        <v>10000</v>
      </c>
      <c r="L1524" s="127" t="s">
        <v>570</v>
      </c>
      <c r="N1524" s="129" t="str">
        <f>IF(M1524&gt;1/1/1,"Y","N")</f>
        <v>N</v>
      </c>
      <c r="O1524" s="128" t="s">
        <v>917</v>
      </c>
      <c r="P1524" s="129" t="s">
        <v>55</v>
      </c>
      <c r="Q1524" s="111">
        <f t="shared" si="1143"/>
        <v>57</v>
      </c>
      <c r="R1524" s="111">
        <f t="shared" si="1128"/>
        <v>58</v>
      </c>
      <c r="S1524" s="129">
        <v>0</v>
      </c>
      <c r="T1524" s="129">
        <v>0</v>
      </c>
      <c r="W1524" s="111"/>
      <c r="AC1524" s="130"/>
      <c r="AD1524" s="130">
        <v>22868</v>
      </c>
      <c r="AE1524" s="128" t="s">
        <v>32</v>
      </c>
      <c r="AF1524" s="128" t="s">
        <v>40</v>
      </c>
      <c r="AG1524" s="128" t="s">
        <v>41</v>
      </c>
      <c r="AH1524" s="108" t="s">
        <v>41</v>
      </c>
      <c r="AI1524" s="128" t="s">
        <v>62</v>
      </c>
      <c r="AJ1524" s="129" t="s">
        <v>55</v>
      </c>
      <c r="AK1524" s="129">
        <v>4</v>
      </c>
      <c r="AL1524" s="3" t="s">
        <v>55</v>
      </c>
      <c r="AP1524" s="129" t="s">
        <v>222</v>
      </c>
      <c r="AR1524" s="128" t="s">
        <v>67</v>
      </c>
      <c r="AS1524" s="129" t="s">
        <v>64</v>
      </c>
      <c r="BC1524" s="129" t="s">
        <v>52</v>
      </c>
      <c r="BF1524" s="111">
        <f t="shared" si="1140"/>
        <v>57</v>
      </c>
      <c r="BG1524" s="111">
        <f t="shared" si="1141"/>
        <v>57</v>
      </c>
      <c r="BH1524" s="111">
        <f t="shared" si="1085"/>
        <v>58</v>
      </c>
      <c r="BI1524" s="111">
        <f t="shared" si="1086"/>
        <v>49.352459016393439</v>
      </c>
      <c r="BJ1524" s="129">
        <f t="shared" si="1120"/>
        <v>0</v>
      </c>
      <c r="BK1524" s="129">
        <f t="shared" si="1087"/>
        <v>0</v>
      </c>
      <c r="BL1524" s="129" t="str">
        <f t="shared" si="1130"/>
        <v>NO CONVICTION</v>
      </c>
      <c r="BM1524" s="129" t="str">
        <f t="shared" si="1121"/>
        <v>NONE</v>
      </c>
      <c r="BN1524" s="129" t="s">
        <v>566</v>
      </c>
      <c r="BP1524" s="137" t="str">
        <f t="shared" si="1105"/>
        <v>NO CONVICTION</v>
      </c>
      <c r="BQ1524" s="128" t="str">
        <f t="shared" si="1106"/>
        <v>Y</v>
      </c>
      <c r="BR1524" s="129" t="str">
        <f t="shared" si="1107"/>
        <v>DETAINED</v>
      </c>
      <c r="BS1524" s="129" t="str">
        <f t="shared" si="1108"/>
        <v>DISPOSED</v>
      </c>
      <c r="BT1524" s="129" t="str">
        <f t="shared" si="1109"/>
        <v>N</v>
      </c>
      <c r="BU1524" s="109">
        <f>IFERROR(Q1524/R1524,BR1524)</f>
        <v>0.98275862068965514</v>
      </c>
      <c r="BV1524" s="109">
        <f t="shared" si="1111"/>
        <v>1</v>
      </c>
      <c r="BW1524" s="109">
        <f t="shared" si="1132"/>
        <v>1.7241379310344862E-2</v>
      </c>
      <c r="BX1524" s="111">
        <f t="shared" si="1112"/>
        <v>0</v>
      </c>
      <c r="BY1524" s="129">
        <f t="shared" si="1113"/>
        <v>-57</v>
      </c>
      <c r="BZ1524" s="111">
        <f t="shared" si="1114"/>
        <v>0</v>
      </c>
      <c r="CA1524" s="138">
        <f t="shared" si="1115"/>
        <v>57</v>
      </c>
      <c r="CB1524" s="111" t="e">
        <f t="shared" si="1142"/>
        <v>#VALUE!</v>
      </c>
      <c r="CC1524" s="129">
        <f>G1524-I1524+1</f>
        <v>57</v>
      </c>
      <c r="CD1524" s="129">
        <f>G1524-J1524</f>
        <v>0</v>
      </c>
      <c r="CG1524" s="129" t="str">
        <f t="shared" si="1116"/>
        <v>N</v>
      </c>
      <c r="CI1524" s="129" t="str">
        <f t="shared" si="1117"/>
        <v>31-60 DAYS</v>
      </c>
      <c r="CJ1524" s="137">
        <f t="shared" si="1118"/>
        <v>3</v>
      </c>
      <c r="CK1524" s="129" t="str">
        <f t="shared" si="1119"/>
        <v>Booked</v>
      </c>
    </row>
    <row r="1525" spans="1:89" ht="15" customHeight="1" x14ac:dyDescent="0.25">
      <c r="A1525" s="111">
        <v>2671</v>
      </c>
      <c r="B1525" s="128" t="str">
        <f t="shared" si="1102"/>
        <v>N</v>
      </c>
      <c r="C1525" s="128" t="str">
        <f t="shared" si="1103"/>
        <v>N</v>
      </c>
      <c r="D1525" s="117">
        <v>2086934</v>
      </c>
      <c r="E1525" s="135">
        <f t="shared" si="1104"/>
        <v>2</v>
      </c>
      <c r="F1525" s="124">
        <v>41008</v>
      </c>
      <c r="G1525" s="125">
        <v>41143</v>
      </c>
      <c r="H1525" s="117">
        <v>2086934</v>
      </c>
      <c r="I1525" s="124">
        <v>41022</v>
      </c>
      <c r="J1525" s="124">
        <v>41023</v>
      </c>
      <c r="K1525" s="126">
        <v>5000</v>
      </c>
      <c r="L1525" s="127" t="s">
        <v>569</v>
      </c>
      <c r="M1525" s="125">
        <v>41023</v>
      </c>
      <c r="N1525" s="129" t="str">
        <f>IF(M1525&gt;1/1/1,"Y","N")</f>
        <v>Y</v>
      </c>
      <c r="O1525" s="128" t="s">
        <v>76</v>
      </c>
      <c r="P1525" s="129" t="s">
        <v>589</v>
      </c>
      <c r="Q1525" s="111">
        <f t="shared" si="1143"/>
        <v>2</v>
      </c>
      <c r="R1525" s="111">
        <f t="shared" si="1128"/>
        <v>136</v>
      </c>
      <c r="S1525" s="129">
        <v>0</v>
      </c>
      <c r="T1525" s="129">
        <v>0</v>
      </c>
      <c r="W1525" s="111"/>
      <c r="AC1525" s="130"/>
      <c r="AD1525" s="130">
        <v>30528</v>
      </c>
      <c r="AE1525" s="128" t="s">
        <v>46</v>
      </c>
      <c r="AF1525" s="128" t="s">
        <v>40</v>
      </c>
      <c r="AG1525" s="128" t="s">
        <v>41</v>
      </c>
      <c r="AH1525" s="108" t="s">
        <v>41</v>
      </c>
      <c r="AI1525" s="128" t="s">
        <v>100</v>
      </c>
      <c r="AJ1525" s="129" t="s">
        <v>48</v>
      </c>
      <c r="AK1525" s="129">
        <v>9</v>
      </c>
      <c r="AL1525" s="3" t="s">
        <v>48</v>
      </c>
      <c r="AP1525" s="129" t="s">
        <v>109</v>
      </c>
      <c r="AR1525" s="128" t="s">
        <v>67</v>
      </c>
      <c r="AS1525" s="129" t="s">
        <v>61</v>
      </c>
      <c r="BC1525" s="129" t="s">
        <v>52</v>
      </c>
      <c r="BF1525" s="111">
        <f t="shared" si="1140"/>
        <v>2</v>
      </c>
      <c r="BG1525" s="111">
        <f t="shared" si="1141"/>
        <v>122</v>
      </c>
      <c r="BH1525" s="111">
        <f t="shared" si="1085"/>
        <v>136</v>
      </c>
      <c r="BI1525" s="111">
        <f t="shared" si="1086"/>
        <v>28.633879781420767</v>
      </c>
      <c r="BJ1525" s="129">
        <f>(G1525-J1525)+(M1525-G1525)</f>
        <v>0</v>
      </c>
      <c r="BK1525" s="129">
        <f t="shared" si="1087"/>
        <v>-120</v>
      </c>
      <c r="BL1525" s="129" t="str">
        <f t="shared" si="1130"/>
        <v>DEFERRED</v>
      </c>
      <c r="BM1525" s="129" t="s">
        <v>76</v>
      </c>
      <c r="BN1525" s="129" t="s">
        <v>88</v>
      </c>
      <c r="BP1525" s="137" t="str">
        <f t="shared" si="1105"/>
        <v>DEFERRED</v>
      </c>
      <c r="BQ1525" s="128" t="str">
        <f t="shared" si="1106"/>
        <v>Y</v>
      </c>
      <c r="BR1525" s="129" t="str">
        <f t="shared" si="1107"/>
        <v>ON BOND</v>
      </c>
      <c r="BS1525" s="129" t="str">
        <f t="shared" si="1108"/>
        <v>DISPOSED</v>
      </c>
      <c r="BT1525" s="129" t="str">
        <f t="shared" si="1109"/>
        <v>N</v>
      </c>
      <c r="BU1525" s="109">
        <f t="shared" si="1110"/>
        <v>1.4705882352941176E-2</v>
      </c>
      <c r="BV1525" s="109">
        <f t="shared" si="1111"/>
        <v>1.6393442622950821E-2</v>
      </c>
      <c r="BW1525" s="109">
        <f t="shared" si="1132"/>
        <v>1.6875602700096443E-3</v>
      </c>
      <c r="BX1525" s="111">
        <f t="shared" si="1112"/>
        <v>0</v>
      </c>
      <c r="BY1525" s="129">
        <f t="shared" si="1113"/>
        <v>-2</v>
      </c>
      <c r="BZ1525" s="111">
        <f t="shared" si="1114"/>
        <v>0</v>
      </c>
      <c r="CA1525" s="138">
        <f t="shared" si="1115"/>
        <v>2</v>
      </c>
      <c r="CB1525" s="111" t="e">
        <f t="shared" si="1142"/>
        <v>#VALUE!</v>
      </c>
      <c r="CC1525" s="129">
        <f>M1525-I1525+1</f>
        <v>2</v>
      </c>
      <c r="CD1525" s="111">
        <f>CC1525-BF1525</f>
        <v>0</v>
      </c>
      <c r="CG1525" s="129" t="str">
        <f t="shared" si="1116"/>
        <v>N</v>
      </c>
      <c r="CI1525" s="129" t="str">
        <f t="shared" si="1117"/>
        <v>0-10 DAYS</v>
      </c>
      <c r="CJ1525" s="137">
        <f t="shared" si="1118"/>
        <v>1</v>
      </c>
      <c r="CK1525" s="129" t="str">
        <f t="shared" si="1119"/>
        <v>Booked</v>
      </c>
    </row>
    <row r="1526" spans="1:89" ht="15" customHeight="1" x14ac:dyDescent="0.25">
      <c r="A1526" s="111">
        <v>579</v>
      </c>
      <c r="B1526" s="128" t="str">
        <f t="shared" si="1102"/>
        <v>N</v>
      </c>
      <c r="C1526" s="128" t="str">
        <f t="shared" si="1103"/>
        <v>N</v>
      </c>
      <c r="D1526" s="117">
        <v>2087302</v>
      </c>
      <c r="E1526" s="135">
        <f t="shared" si="1104"/>
        <v>2</v>
      </c>
      <c r="F1526" s="124">
        <v>40932</v>
      </c>
      <c r="G1526" s="125">
        <v>41030</v>
      </c>
      <c r="H1526" s="117">
        <v>2087302</v>
      </c>
      <c r="I1526" s="124">
        <v>40932</v>
      </c>
      <c r="J1526" s="124">
        <v>40964</v>
      </c>
      <c r="K1526" s="126">
        <v>15000</v>
      </c>
      <c r="L1526" s="127" t="s">
        <v>571</v>
      </c>
      <c r="M1526" s="125">
        <v>40964</v>
      </c>
      <c r="N1526" s="129" t="str">
        <f>IF(M1526&gt;1/1/1,"Y","N")</f>
        <v>Y</v>
      </c>
      <c r="O1526" s="128" t="s">
        <v>76</v>
      </c>
      <c r="P1526" s="129" t="s">
        <v>589</v>
      </c>
      <c r="Q1526" s="111">
        <f t="shared" si="1143"/>
        <v>33</v>
      </c>
      <c r="R1526" s="111">
        <f t="shared" si="1128"/>
        <v>99</v>
      </c>
      <c r="S1526" s="129">
        <v>1</v>
      </c>
      <c r="T1526" s="129">
        <v>3</v>
      </c>
      <c r="U1526" s="129">
        <v>1</v>
      </c>
      <c r="W1526" s="111"/>
      <c r="AC1526" s="130"/>
      <c r="AD1526" s="130">
        <v>21676</v>
      </c>
      <c r="AE1526" s="128" t="s">
        <v>46</v>
      </c>
      <c r="AF1526" s="128" t="s">
        <v>33</v>
      </c>
      <c r="AG1526" s="128" t="s">
        <v>872</v>
      </c>
      <c r="AH1526" s="108" t="s">
        <v>58</v>
      </c>
      <c r="AI1526" s="128" t="s">
        <v>114</v>
      </c>
      <c r="AJ1526" s="129" t="s">
        <v>48</v>
      </c>
      <c r="AK1526" s="129">
        <v>6</v>
      </c>
      <c r="AL1526" s="3" t="s">
        <v>48</v>
      </c>
      <c r="AP1526" s="129" t="s">
        <v>155</v>
      </c>
      <c r="AR1526" s="128" t="s">
        <v>44</v>
      </c>
      <c r="AS1526" s="129" t="s">
        <v>64</v>
      </c>
      <c r="AW1526" s="125"/>
      <c r="AX1526" s="125"/>
      <c r="AY1526" s="123"/>
      <c r="BC1526" s="129" t="s">
        <v>38</v>
      </c>
      <c r="BF1526" s="111">
        <f t="shared" si="1140"/>
        <v>33</v>
      </c>
      <c r="BG1526" s="111">
        <f t="shared" si="1141"/>
        <v>99</v>
      </c>
      <c r="BH1526" s="111">
        <f t="shared" si="1085"/>
        <v>99</v>
      </c>
      <c r="BI1526" s="111">
        <f t="shared" si="1086"/>
        <v>52.612021857923494</v>
      </c>
      <c r="BJ1526" s="129">
        <f>(G1526-J1526)+(M1526-G1526)</f>
        <v>0</v>
      </c>
      <c r="BK1526" s="129">
        <f t="shared" si="1087"/>
        <v>-66</v>
      </c>
      <c r="BL1526" s="129" t="str">
        <f t="shared" si="1130"/>
        <v>DEFERRED</v>
      </c>
      <c r="BM1526" s="129" t="s">
        <v>76</v>
      </c>
      <c r="BN1526" s="129" t="s">
        <v>88</v>
      </c>
      <c r="BP1526" s="137" t="str">
        <f t="shared" si="1105"/>
        <v>DEFERRED</v>
      </c>
      <c r="BQ1526" s="128" t="str">
        <f t="shared" si="1106"/>
        <v>Y</v>
      </c>
      <c r="BR1526" s="129" t="str">
        <f t="shared" si="1107"/>
        <v>ON BOND</v>
      </c>
      <c r="BS1526" s="129" t="str">
        <f t="shared" si="1108"/>
        <v>DISPOSED</v>
      </c>
      <c r="BT1526" s="129" t="str">
        <f t="shared" si="1109"/>
        <v>Y</v>
      </c>
      <c r="BU1526" s="109">
        <f t="shared" si="1110"/>
        <v>0.33333333333333331</v>
      </c>
      <c r="BV1526" s="109">
        <f t="shared" si="1111"/>
        <v>0.33333333333333331</v>
      </c>
      <c r="BW1526" s="109">
        <f t="shared" si="1132"/>
        <v>0</v>
      </c>
      <c r="BX1526" s="111">
        <f t="shared" si="1112"/>
        <v>0</v>
      </c>
      <c r="BY1526" s="129">
        <f t="shared" si="1113"/>
        <v>-33</v>
      </c>
      <c r="BZ1526" s="111">
        <f t="shared" si="1114"/>
        <v>0</v>
      </c>
      <c r="CA1526" s="138">
        <f t="shared" si="1115"/>
        <v>33</v>
      </c>
      <c r="CB1526" s="111" t="e">
        <f t="shared" si="1142"/>
        <v>#VALUE!</v>
      </c>
      <c r="CC1526" s="129">
        <f>M1526-I1526+1</f>
        <v>33</v>
      </c>
      <c r="CD1526" s="111">
        <f>CC1526-BF1526</f>
        <v>0</v>
      </c>
      <c r="CG1526" s="129" t="str">
        <f t="shared" si="1116"/>
        <v>Y</v>
      </c>
      <c r="CI1526" s="129" t="str">
        <f t="shared" si="1117"/>
        <v>31-60 DAYS</v>
      </c>
      <c r="CJ1526" s="137">
        <f t="shared" si="1118"/>
        <v>3</v>
      </c>
      <c r="CK1526" s="129" t="str">
        <f t="shared" si="1119"/>
        <v>Booked</v>
      </c>
    </row>
    <row r="1527" spans="1:89" ht="15" customHeight="1" x14ac:dyDescent="0.25">
      <c r="A1527" s="111">
        <v>2155</v>
      </c>
      <c r="B1527" s="128" t="str">
        <f t="shared" si="1102"/>
        <v>N</v>
      </c>
      <c r="C1527" s="128" t="str">
        <f t="shared" si="1103"/>
        <v>N</v>
      </c>
      <c r="D1527" s="117">
        <v>2088653</v>
      </c>
      <c r="E1527" s="135">
        <f t="shared" si="1104"/>
        <v>1</v>
      </c>
      <c r="F1527" s="124">
        <v>40990</v>
      </c>
      <c r="G1527" s="125">
        <v>41260</v>
      </c>
      <c r="H1527" s="117">
        <v>2088653</v>
      </c>
      <c r="I1527" s="124">
        <v>40990</v>
      </c>
      <c r="J1527" s="124">
        <v>40992</v>
      </c>
      <c r="K1527" s="126">
        <v>5000</v>
      </c>
      <c r="L1527" s="127" t="s">
        <v>569</v>
      </c>
      <c r="M1527" s="125">
        <v>40992</v>
      </c>
      <c r="N1527" s="129" t="str">
        <f>IF(M1527&gt;1/1/1,"Y","N")</f>
        <v>Y</v>
      </c>
      <c r="O1527" s="128" t="s">
        <v>76</v>
      </c>
      <c r="P1527" s="129" t="s">
        <v>55</v>
      </c>
      <c r="Q1527" s="111">
        <f t="shared" si="1143"/>
        <v>3</v>
      </c>
      <c r="R1527" s="111">
        <f t="shared" si="1128"/>
        <v>271</v>
      </c>
      <c r="S1527" s="129">
        <v>0</v>
      </c>
      <c r="T1527" s="129">
        <v>0</v>
      </c>
      <c r="W1527" s="111"/>
      <c r="AC1527" s="130"/>
      <c r="AD1527" s="130">
        <v>27626</v>
      </c>
      <c r="AE1527" s="128" t="s">
        <v>32</v>
      </c>
      <c r="AF1527" s="128" t="s">
        <v>138</v>
      </c>
      <c r="AG1527" s="128" t="s">
        <v>873</v>
      </c>
      <c r="AH1527" s="108" t="s">
        <v>31</v>
      </c>
      <c r="AI1527" s="128" t="s">
        <v>42</v>
      </c>
      <c r="AJ1527" s="129" t="s">
        <v>55</v>
      </c>
      <c r="AK1527" s="129">
        <v>10</v>
      </c>
      <c r="AL1527" s="3" t="s">
        <v>55</v>
      </c>
      <c r="AP1527" s="129" t="s">
        <v>227</v>
      </c>
      <c r="AR1527" s="128" t="s">
        <v>50</v>
      </c>
      <c r="AS1527" s="129" t="s">
        <v>64</v>
      </c>
      <c r="BC1527" s="129" t="s">
        <v>52</v>
      </c>
      <c r="BF1527" s="111">
        <f t="shared" si="1140"/>
        <v>3</v>
      </c>
      <c r="BG1527" s="111">
        <f t="shared" si="1141"/>
        <v>271</v>
      </c>
      <c r="BH1527" s="111">
        <f t="shared" si="1085"/>
        <v>271</v>
      </c>
      <c r="BI1527" s="111">
        <f t="shared" si="1086"/>
        <v>36.513661202185794</v>
      </c>
      <c r="BJ1527" s="129">
        <f>(G1527-J1527)+(M1527-G1527)</f>
        <v>0</v>
      </c>
      <c r="BK1527" s="129">
        <f t="shared" si="1087"/>
        <v>-268</v>
      </c>
      <c r="BL1527" s="129" t="str">
        <f t="shared" si="1130"/>
        <v>NO CONVICTION</v>
      </c>
      <c r="BM1527" s="129" t="s">
        <v>76</v>
      </c>
      <c r="BN1527" s="129" t="s">
        <v>88</v>
      </c>
      <c r="BP1527" s="137" t="str">
        <f t="shared" si="1105"/>
        <v>NO CONVICTION</v>
      </c>
      <c r="BQ1527" s="128" t="str">
        <f t="shared" si="1106"/>
        <v>Y</v>
      </c>
      <c r="BR1527" s="129" t="str">
        <f t="shared" si="1107"/>
        <v>ON BOND</v>
      </c>
      <c r="BS1527" s="129" t="str">
        <f t="shared" si="1108"/>
        <v>DISPOSED</v>
      </c>
      <c r="BT1527" s="129" t="str">
        <f t="shared" si="1109"/>
        <v>N</v>
      </c>
      <c r="BU1527" s="109">
        <f>IFERROR(Q1527/R1527,BR1527)</f>
        <v>1.107011070110701E-2</v>
      </c>
      <c r="BV1527" s="109">
        <f t="shared" si="1111"/>
        <v>1.107011070110701E-2</v>
      </c>
      <c r="BW1527" s="109">
        <f t="shared" si="1132"/>
        <v>0</v>
      </c>
      <c r="BX1527" s="111">
        <f t="shared" si="1112"/>
        <v>0</v>
      </c>
      <c r="BY1527" s="129">
        <f t="shared" si="1113"/>
        <v>-3</v>
      </c>
      <c r="BZ1527" s="111">
        <f t="shared" si="1114"/>
        <v>0</v>
      </c>
      <c r="CA1527" s="138">
        <f t="shared" si="1115"/>
        <v>3</v>
      </c>
      <c r="CB1527" s="111" t="e">
        <f t="shared" si="1142"/>
        <v>#VALUE!</v>
      </c>
      <c r="CC1527" s="129">
        <f>M1527-I1527+1</f>
        <v>3</v>
      </c>
      <c r="CD1527" s="111">
        <f>CC1527-BF1527</f>
        <v>0</v>
      </c>
      <c r="CG1527" s="129" t="str">
        <f t="shared" si="1116"/>
        <v>N</v>
      </c>
      <c r="CI1527" s="129" t="str">
        <f t="shared" si="1117"/>
        <v>0-10 DAYS</v>
      </c>
      <c r="CJ1527" s="137">
        <f t="shared" si="1118"/>
        <v>1</v>
      </c>
      <c r="CK1527" s="129" t="str">
        <f t="shared" si="1119"/>
        <v>Booked</v>
      </c>
    </row>
    <row r="1528" spans="1:89" ht="15.75" customHeight="1" x14ac:dyDescent="0.25">
      <c r="A1528" s="111">
        <v>2798</v>
      </c>
      <c r="B1528" s="128" t="str">
        <f t="shared" si="1102"/>
        <v>N</v>
      </c>
      <c r="C1528" s="128" t="str">
        <f t="shared" si="1103"/>
        <v>N</v>
      </c>
      <c r="D1528" s="117">
        <v>2089586</v>
      </c>
      <c r="E1528" s="135">
        <f t="shared" si="1104"/>
        <v>1</v>
      </c>
      <c r="F1528" s="124">
        <v>41012</v>
      </c>
      <c r="G1528" s="125">
        <v>41082</v>
      </c>
      <c r="H1528" s="117">
        <v>2089586</v>
      </c>
      <c r="I1528" s="124">
        <v>41074</v>
      </c>
      <c r="J1528" s="124">
        <v>41082</v>
      </c>
      <c r="K1528" s="126" t="s">
        <v>564</v>
      </c>
      <c r="L1528" s="127" t="s">
        <v>564</v>
      </c>
      <c r="N1528" s="129" t="s">
        <v>566</v>
      </c>
      <c r="O1528" s="128" t="s">
        <v>917</v>
      </c>
      <c r="P1528" s="129" t="s">
        <v>55</v>
      </c>
      <c r="Q1528" s="111">
        <f t="shared" si="1143"/>
        <v>9</v>
      </c>
      <c r="R1528" s="111">
        <f t="shared" si="1128"/>
        <v>71</v>
      </c>
      <c r="S1528" s="129">
        <v>0</v>
      </c>
      <c r="T1528" s="129">
        <v>1</v>
      </c>
      <c r="W1528" s="111"/>
      <c r="AC1528" s="130"/>
      <c r="AD1528" s="130">
        <v>30246</v>
      </c>
      <c r="AE1528" s="128" t="s">
        <v>46</v>
      </c>
      <c r="AF1528" s="128" t="s">
        <v>33</v>
      </c>
      <c r="AG1528" s="128" t="s">
        <v>872</v>
      </c>
      <c r="AH1528" s="108" t="s">
        <v>58</v>
      </c>
      <c r="AI1528" s="128" t="s">
        <v>118</v>
      </c>
      <c r="AJ1528" s="129" t="s">
        <v>55</v>
      </c>
      <c r="AK1528" s="129">
        <v>3</v>
      </c>
      <c r="AL1528" s="3" t="s">
        <v>55</v>
      </c>
      <c r="AP1528" s="129" t="s">
        <v>110</v>
      </c>
      <c r="AR1528" s="128" t="s">
        <v>50</v>
      </c>
      <c r="AS1528" s="129" t="s">
        <v>74</v>
      </c>
      <c r="BC1528" s="129" t="s">
        <v>38</v>
      </c>
      <c r="BF1528" s="111">
        <f t="shared" si="1140"/>
        <v>9</v>
      </c>
      <c r="BG1528" s="111">
        <f t="shared" si="1141"/>
        <v>9</v>
      </c>
      <c r="BH1528" s="111">
        <f t="shared" si="1085"/>
        <v>71</v>
      </c>
      <c r="BI1528" s="111">
        <f t="shared" si="1086"/>
        <v>29.415300546448087</v>
      </c>
      <c r="BJ1528" s="129">
        <f t="shared" si="1120"/>
        <v>0</v>
      </c>
      <c r="BK1528" s="129">
        <f t="shared" si="1087"/>
        <v>0</v>
      </c>
      <c r="BL1528" s="129" t="str">
        <f t="shared" si="1130"/>
        <v>NO CONVICTION</v>
      </c>
      <c r="BM1528" s="129" t="str">
        <f t="shared" si="1121"/>
        <v>NONE</v>
      </c>
      <c r="BN1528" s="129" t="s">
        <v>566</v>
      </c>
      <c r="BP1528" s="137" t="str">
        <f t="shared" si="1105"/>
        <v>NO CONVICTION</v>
      </c>
      <c r="BQ1528" s="128" t="str">
        <f t="shared" si="1106"/>
        <v>Y</v>
      </c>
      <c r="BR1528" s="129" t="str">
        <f t="shared" si="1107"/>
        <v>DETAINED</v>
      </c>
      <c r="BS1528" s="129" t="str">
        <f t="shared" si="1108"/>
        <v>DISPOSED</v>
      </c>
      <c r="BT1528" s="129" t="str">
        <f t="shared" si="1109"/>
        <v>N</v>
      </c>
      <c r="BU1528" s="109">
        <f>IFERROR(Q1528/R1528,BR1528)</f>
        <v>0.12676056338028169</v>
      </c>
      <c r="BV1528" s="109">
        <f t="shared" si="1111"/>
        <v>1</v>
      </c>
      <c r="BW1528" s="109">
        <f t="shared" si="1132"/>
        <v>0.87323943661971826</v>
      </c>
      <c r="BX1528" s="111">
        <f t="shared" si="1112"/>
        <v>0</v>
      </c>
      <c r="BY1528" s="129">
        <f t="shared" si="1113"/>
        <v>-9</v>
      </c>
      <c r="BZ1528" s="111">
        <f t="shared" si="1114"/>
        <v>0</v>
      </c>
      <c r="CA1528" s="138">
        <f t="shared" si="1115"/>
        <v>9</v>
      </c>
      <c r="CB1528" s="111" t="e">
        <f t="shared" si="1142"/>
        <v>#VALUE!</v>
      </c>
      <c r="CC1528" s="129">
        <f>G1528-I1528+1</f>
        <v>9</v>
      </c>
      <c r="CD1528" s="129">
        <f>G1528-J1528</f>
        <v>0</v>
      </c>
      <c r="CG1528" s="129" t="str">
        <f t="shared" si="1116"/>
        <v>Y</v>
      </c>
      <c r="CI1528" s="129" t="str">
        <f t="shared" si="1117"/>
        <v>0-10 DAYS</v>
      </c>
      <c r="CJ1528" s="137">
        <f t="shared" si="1118"/>
        <v>1</v>
      </c>
      <c r="CK1528" s="129" t="str">
        <f t="shared" si="1119"/>
        <v>Booked</v>
      </c>
    </row>
    <row r="1529" spans="1:89" ht="15.75" customHeight="1" x14ac:dyDescent="0.25">
      <c r="A1529" s="111">
        <v>1108</v>
      </c>
      <c r="B1529" s="128" t="str">
        <f t="shared" si="1102"/>
        <v>N</v>
      </c>
      <c r="C1529" s="128" t="str">
        <f t="shared" si="1103"/>
        <v>Y</v>
      </c>
      <c r="D1529" s="117">
        <v>2090415</v>
      </c>
      <c r="E1529" s="135">
        <f t="shared" si="1104"/>
        <v>6</v>
      </c>
      <c r="F1529" s="124">
        <v>40949</v>
      </c>
      <c r="G1529" s="125">
        <v>41186</v>
      </c>
      <c r="H1529" s="117">
        <v>2090415</v>
      </c>
      <c r="I1529" s="124">
        <v>40949</v>
      </c>
      <c r="J1529" s="124">
        <v>40950</v>
      </c>
      <c r="K1529" s="126">
        <v>15000</v>
      </c>
      <c r="L1529" s="127" t="s">
        <v>571</v>
      </c>
      <c r="M1529" s="125">
        <v>40950</v>
      </c>
      <c r="N1529" s="129" t="str">
        <f>IF(M1529&gt;1/1/1,"Y","N")</f>
        <v>Y</v>
      </c>
      <c r="O1529" s="128" t="s">
        <v>76</v>
      </c>
      <c r="P1529" s="129" t="s">
        <v>39</v>
      </c>
      <c r="Q1529" s="111">
        <v>44</v>
      </c>
      <c r="R1529" s="111">
        <f t="shared" si="1128"/>
        <v>238</v>
      </c>
      <c r="S1529" s="129">
        <v>1</v>
      </c>
      <c r="T1529" s="129">
        <v>0</v>
      </c>
      <c r="U1529" s="129">
        <v>1</v>
      </c>
      <c r="W1529" s="111"/>
      <c r="AC1529" s="130"/>
      <c r="AD1529" s="130">
        <v>31744</v>
      </c>
      <c r="AE1529" s="128" t="s">
        <v>32</v>
      </c>
      <c r="AF1529" s="128" t="s">
        <v>33</v>
      </c>
      <c r="AG1529" s="128" t="s">
        <v>872</v>
      </c>
      <c r="AH1529" s="108" t="s">
        <v>31</v>
      </c>
      <c r="AI1529" s="128" t="s">
        <v>59</v>
      </c>
      <c r="AJ1529" s="129" t="s">
        <v>89</v>
      </c>
      <c r="AK1529" s="129">
        <v>14</v>
      </c>
      <c r="AL1529" s="3" t="s">
        <v>362</v>
      </c>
      <c r="AM1529" s="117">
        <v>2</v>
      </c>
      <c r="AP1529" s="129" t="s">
        <v>175</v>
      </c>
      <c r="AR1529" s="128" t="s">
        <v>44</v>
      </c>
      <c r="AS1529" s="129" t="s">
        <v>45</v>
      </c>
      <c r="AU1529" s="3" t="s">
        <v>708</v>
      </c>
      <c r="AX1529" s="32" t="s">
        <v>88</v>
      </c>
      <c r="BC1529" s="129" t="s">
        <v>38</v>
      </c>
      <c r="BF1529" s="111">
        <v>44</v>
      </c>
      <c r="BG1529" s="111">
        <f t="shared" si="1141"/>
        <v>238</v>
      </c>
      <c r="BH1529" s="111">
        <f t="shared" si="1085"/>
        <v>238</v>
      </c>
      <c r="BI1529" s="111">
        <f t="shared" si="1086"/>
        <v>25.150273224043715</v>
      </c>
      <c r="BJ1529" s="129">
        <f>(G1529-J1529)+(M1529-G1529)</f>
        <v>0</v>
      </c>
      <c r="BK1529" s="129">
        <f t="shared" si="1087"/>
        <v>-236</v>
      </c>
      <c r="BL1529" s="129" t="str">
        <f t="shared" si="1130"/>
        <v>CONVICTION</v>
      </c>
      <c r="BM1529" s="129" t="s">
        <v>76</v>
      </c>
      <c r="BN1529" s="129" t="s">
        <v>88</v>
      </c>
      <c r="BP1529" s="137" t="str">
        <f t="shared" si="1105"/>
        <v>CONVICTION</v>
      </c>
      <c r="BQ1529" s="128" t="str">
        <f t="shared" si="1106"/>
        <v>Y</v>
      </c>
      <c r="BR1529" s="129" t="str">
        <f>IF(J1529&lt;G1529,"ON BOND",0)</f>
        <v>ON BOND</v>
      </c>
      <c r="BS1529" s="129" t="str">
        <f t="shared" si="1108"/>
        <v>DISPOSED</v>
      </c>
      <c r="BT1529" s="129" t="str">
        <f t="shared" si="1109"/>
        <v>Y</v>
      </c>
      <c r="BU1529" s="109">
        <f t="shared" si="1110"/>
        <v>0.18487394957983194</v>
      </c>
      <c r="BV1529" s="109">
        <f t="shared" si="1111"/>
        <v>8.4033613445378148E-3</v>
      </c>
      <c r="BW1529" s="109">
        <f t="shared" si="1132"/>
        <v>-0.17647058823529413</v>
      </c>
      <c r="BX1529" s="111">
        <f t="shared" si="1112"/>
        <v>0</v>
      </c>
      <c r="BY1529" s="129">
        <f t="shared" si="1113"/>
        <v>-2</v>
      </c>
      <c r="BZ1529" s="111">
        <f t="shared" si="1114"/>
        <v>42</v>
      </c>
      <c r="CA1529" s="138">
        <f t="shared" si="1115"/>
        <v>2</v>
      </c>
      <c r="CB1529" s="111">
        <v>44</v>
      </c>
      <c r="CD1529" s="129">
        <f>G1529-J1529</f>
        <v>236</v>
      </c>
      <c r="CG1529" s="129" t="str">
        <f t="shared" si="1116"/>
        <v>Y</v>
      </c>
      <c r="CI1529" s="129" t="str">
        <f t="shared" si="1117"/>
        <v>31-60 DAYS</v>
      </c>
      <c r="CJ1529" s="137">
        <f t="shared" si="1118"/>
        <v>3</v>
      </c>
      <c r="CK1529" s="129" t="str">
        <f t="shared" si="1119"/>
        <v>Booked</v>
      </c>
    </row>
    <row r="1530" spans="1:89" ht="15" customHeight="1" x14ac:dyDescent="0.25">
      <c r="A1530" s="111">
        <v>1853</v>
      </c>
      <c r="B1530" s="128" t="str">
        <f t="shared" si="1102"/>
        <v>N</v>
      </c>
      <c r="C1530" s="128" t="str">
        <f t="shared" si="1103"/>
        <v>N</v>
      </c>
      <c r="D1530" s="117">
        <v>2091081</v>
      </c>
      <c r="E1530" s="135">
        <f t="shared" si="1104"/>
        <v>6</v>
      </c>
      <c r="F1530" s="124">
        <v>40977</v>
      </c>
      <c r="G1530" s="125">
        <v>41138</v>
      </c>
      <c r="H1530" s="117">
        <v>2091081</v>
      </c>
      <c r="I1530" s="124">
        <v>40980</v>
      </c>
      <c r="J1530" s="124">
        <v>41138</v>
      </c>
      <c r="K1530" s="126">
        <v>20000</v>
      </c>
      <c r="L1530" s="127" t="s">
        <v>571</v>
      </c>
      <c r="N1530" s="129" t="str">
        <f>IF(M1530&gt;1/1/1,"Y","N")</f>
        <v>N</v>
      </c>
      <c r="O1530" s="128" t="s">
        <v>917</v>
      </c>
      <c r="P1530" s="129" t="s">
        <v>39</v>
      </c>
      <c r="Q1530" s="111">
        <f t="shared" si="1143"/>
        <v>159</v>
      </c>
      <c r="R1530" s="111">
        <f t="shared" si="1128"/>
        <v>162</v>
      </c>
      <c r="S1530" s="129">
        <v>0</v>
      </c>
      <c r="T1530" s="129">
        <v>2</v>
      </c>
      <c r="W1530" s="111"/>
      <c r="AC1530" s="130"/>
      <c r="AD1530" s="130">
        <v>31308</v>
      </c>
      <c r="AE1530" s="128" t="s">
        <v>32</v>
      </c>
      <c r="AF1530" s="128" t="s">
        <v>33</v>
      </c>
      <c r="AG1530" s="128" t="s">
        <v>872</v>
      </c>
      <c r="AH1530" s="108" t="s">
        <v>58</v>
      </c>
      <c r="AI1530" s="128" t="s">
        <v>83</v>
      </c>
      <c r="AJ1530" s="129" t="s">
        <v>89</v>
      </c>
      <c r="AK1530" s="129">
        <v>8</v>
      </c>
      <c r="AL1530" s="3" t="s">
        <v>362</v>
      </c>
      <c r="AM1530" s="114">
        <v>20</v>
      </c>
      <c r="AN1530" s="114"/>
      <c r="AP1530" s="129" t="s">
        <v>125</v>
      </c>
      <c r="AR1530" s="128" t="s">
        <v>50</v>
      </c>
      <c r="AS1530" s="129" t="s">
        <v>126</v>
      </c>
      <c r="AY1530" s="123"/>
      <c r="BC1530" s="129" t="s">
        <v>38</v>
      </c>
      <c r="BF1530" s="111">
        <f t="shared" si="1140"/>
        <v>159</v>
      </c>
      <c r="BG1530" s="111">
        <f t="shared" si="1141"/>
        <v>159</v>
      </c>
      <c r="BH1530" s="111">
        <f t="shared" si="1085"/>
        <v>162</v>
      </c>
      <c r="BI1530" s="111">
        <f t="shared" si="1086"/>
        <v>26.418032786885245</v>
      </c>
      <c r="BJ1530" s="129">
        <f t="shared" si="1120"/>
        <v>0</v>
      </c>
      <c r="BK1530" s="129">
        <f t="shared" si="1087"/>
        <v>0</v>
      </c>
      <c r="BL1530" s="129" t="str">
        <f t="shared" si="1130"/>
        <v>CONVICTION</v>
      </c>
      <c r="BM1530" s="129" t="str">
        <f t="shared" si="1121"/>
        <v>NONE</v>
      </c>
      <c r="BN1530" s="129" t="s">
        <v>566</v>
      </c>
      <c r="BP1530" s="137" t="str">
        <f t="shared" si="1105"/>
        <v>CONVICTION</v>
      </c>
      <c r="BQ1530" s="128" t="str">
        <f t="shared" si="1106"/>
        <v>Y</v>
      </c>
      <c r="BR1530" s="129" t="str">
        <f t="shared" si="1107"/>
        <v>DETAINED</v>
      </c>
      <c r="BS1530" s="129" t="str">
        <f t="shared" si="1108"/>
        <v>DISPOSED</v>
      </c>
      <c r="BT1530" s="129" t="str">
        <f t="shared" si="1109"/>
        <v>N</v>
      </c>
      <c r="BU1530" s="109">
        <f t="shared" si="1110"/>
        <v>0.98148148148148151</v>
      </c>
      <c r="BV1530" s="109">
        <f t="shared" si="1111"/>
        <v>1</v>
      </c>
      <c r="BW1530" s="109">
        <f t="shared" si="1132"/>
        <v>1.851851851851849E-2</v>
      </c>
      <c r="BX1530" s="111">
        <f t="shared" si="1112"/>
        <v>0</v>
      </c>
      <c r="BY1530" s="129">
        <f t="shared" si="1113"/>
        <v>-159</v>
      </c>
      <c r="BZ1530" s="111">
        <f t="shared" si="1114"/>
        <v>0</v>
      </c>
      <c r="CA1530" s="138">
        <f t="shared" si="1115"/>
        <v>159</v>
      </c>
      <c r="CB1530" s="111" t="e">
        <f t="shared" si="1142"/>
        <v>#VALUE!</v>
      </c>
      <c r="CC1530" s="129">
        <f>G1530-I1530+1</f>
        <v>159</v>
      </c>
      <c r="CD1530" s="129">
        <f>G1530-J1530</f>
        <v>0</v>
      </c>
      <c r="CG1530" s="129" t="str">
        <f t="shared" si="1116"/>
        <v>Y</v>
      </c>
      <c r="CI1530" s="129" t="str">
        <f t="shared" si="1117"/>
        <v>121-365 DAYS</v>
      </c>
      <c r="CJ1530" s="137">
        <f t="shared" si="1118"/>
        <v>6</v>
      </c>
      <c r="CK1530" s="129" t="str">
        <f t="shared" si="1119"/>
        <v>Booked</v>
      </c>
    </row>
    <row r="1531" spans="1:89" ht="15" customHeight="1" x14ac:dyDescent="0.25">
      <c r="A1531" s="111">
        <v>808</v>
      </c>
      <c r="B1531" s="128" t="str">
        <f t="shared" si="1102"/>
        <v>N</v>
      </c>
      <c r="C1531" s="128" t="str">
        <f t="shared" si="1103"/>
        <v>N</v>
      </c>
      <c r="D1531" s="117">
        <v>2091668</v>
      </c>
      <c r="E1531" s="135">
        <f t="shared" si="1104"/>
        <v>1</v>
      </c>
      <c r="F1531" s="124">
        <v>40939</v>
      </c>
      <c r="G1531" s="125">
        <v>41113</v>
      </c>
      <c r="H1531" s="117">
        <v>2091668</v>
      </c>
      <c r="I1531" s="124" t="s">
        <v>562</v>
      </c>
      <c r="J1531" s="124" t="s">
        <v>562</v>
      </c>
      <c r="K1531" s="126">
        <v>5000</v>
      </c>
      <c r="L1531" s="127" t="s">
        <v>569</v>
      </c>
      <c r="M1531" s="125">
        <v>40974</v>
      </c>
      <c r="N1531" s="129" t="str">
        <f>IF(M1531&gt;1/1/1,"Y",IF(Q1531="0","","N"))</f>
        <v>Y</v>
      </c>
      <c r="O1531" s="128" t="s">
        <v>76</v>
      </c>
      <c r="P1531" s="129" t="s">
        <v>55</v>
      </c>
      <c r="Q1531" s="111">
        <f t="shared" si="1143"/>
        <v>0</v>
      </c>
      <c r="R1531" s="111">
        <f t="shared" si="1128"/>
        <v>175</v>
      </c>
      <c r="S1531" s="129">
        <v>3</v>
      </c>
      <c r="T1531" s="129">
        <v>5</v>
      </c>
      <c r="U1531" s="129">
        <v>1</v>
      </c>
      <c r="W1531" s="111"/>
      <c r="AC1531" s="130"/>
      <c r="AD1531" s="130">
        <v>30988</v>
      </c>
      <c r="AE1531" s="128" t="s">
        <v>32</v>
      </c>
      <c r="AF1531" s="128" t="s">
        <v>33</v>
      </c>
      <c r="AG1531" s="128" t="s">
        <v>872</v>
      </c>
      <c r="AH1531" s="108" t="s">
        <v>31</v>
      </c>
      <c r="AI1531" s="128" t="s">
        <v>62</v>
      </c>
      <c r="AJ1531" s="129" t="s">
        <v>55</v>
      </c>
      <c r="AK1531" s="129">
        <v>7</v>
      </c>
      <c r="AL1531" s="3" t="s">
        <v>55</v>
      </c>
      <c r="AP1531" s="129" t="s">
        <v>60</v>
      </c>
      <c r="AR1531" s="128" t="s">
        <v>44</v>
      </c>
      <c r="AS1531" s="129" t="s">
        <v>61</v>
      </c>
      <c r="BC1531" s="129" t="s">
        <v>38</v>
      </c>
      <c r="BF1531" s="111">
        <v>0</v>
      </c>
      <c r="BG1531" s="111">
        <v>0</v>
      </c>
      <c r="BH1531" s="111">
        <f t="shared" si="1085"/>
        <v>175</v>
      </c>
      <c r="BI1531" s="111">
        <f t="shared" si="1086"/>
        <v>27.188524590163933</v>
      </c>
      <c r="BJ1531" s="129" t="e">
        <f>(G1531-J1531)+(M1531-G1531)</f>
        <v>#VALUE!</v>
      </c>
      <c r="BK1531" s="129" t="e">
        <f t="shared" si="1087"/>
        <v>#VALUE!</v>
      </c>
      <c r="BL1531" s="129" t="str">
        <f t="shared" si="1130"/>
        <v>NO CONVICTION</v>
      </c>
      <c r="BM1531" s="129" t="s">
        <v>76</v>
      </c>
      <c r="BN1531" s="129" t="s">
        <v>88</v>
      </c>
      <c r="BP1531" s="137" t="str">
        <f t="shared" si="1105"/>
        <v>NO CONVICTION</v>
      </c>
      <c r="BQ1531" s="128">
        <f t="shared" si="1106"/>
        <v>0</v>
      </c>
      <c r="BR1531" s="129" t="s">
        <v>575</v>
      </c>
      <c r="BS1531" s="129" t="str">
        <f t="shared" si="1108"/>
        <v>DISPOSED</v>
      </c>
      <c r="BT1531" s="129" t="str">
        <f t="shared" si="1109"/>
        <v>Y</v>
      </c>
      <c r="BU1531" s="109">
        <f>IFERROR(Q1531/R1531,BR1531)</f>
        <v>0</v>
      </c>
      <c r="BV1531" s="109">
        <v>0</v>
      </c>
      <c r="BW1531" s="109">
        <f t="shared" si="1132"/>
        <v>0</v>
      </c>
      <c r="BX1531" s="111">
        <f t="shared" si="1112"/>
        <v>0</v>
      </c>
      <c r="BY1531" s="129" t="e">
        <f t="shared" si="1113"/>
        <v>#VALUE!</v>
      </c>
      <c r="BZ1531" s="111" t="e">
        <f t="shared" si="1114"/>
        <v>#VALUE!</v>
      </c>
      <c r="CA1531" s="138" t="e">
        <f t="shared" si="1115"/>
        <v>#VALUE!</v>
      </c>
      <c r="CB1531" s="111">
        <v>0</v>
      </c>
      <c r="CC1531" s="129">
        <v>0</v>
      </c>
      <c r="CD1531" s="111">
        <f>CC1531-BF1531</f>
        <v>0</v>
      </c>
      <c r="CG1531" s="129" t="str">
        <f t="shared" si="1116"/>
        <v>Y</v>
      </c>
      <c r="CI1531" s="129" t="str">
        <f t="shared" si="1117"/>
        <v>0-10 DAYS</v>
      </c>
      <c r="CJ1531" s="137">
        <f t="shared" si="1118"/>
        <v>1</v>
      </c>
      <c r="CK1531" s="129" t="str">
        <f t="shared" si="1119"/>
        <v>Not Booked</v>
      </c>
    </row>
    <row r="1532" spans="1:89" ht="15" customHeight="1" x14ac:dyDescent="0.25">
      <c r="A1532" s="111">
        <v>2615</v>
      </c>
      <c r="B1532" s="128" t="str">
        <f t="shared" si="1102"/>
        <v>N</v>
      </c>
      <c r="C1532" s="128" t="str">
        <f t="shared" si="1103"/>
        <v>N</v>
      </c>
      <c r="D1532" s="117">
        <v>2092491</v>
      </c>
      <c r="E1532" s="135">
        <f t="shared" si="1104"/>
        <v>4</v>
      </c>
      <c r="F1532" s="124">
        <v>41005</v>
      </c>
      <c r="G1532" s="125">
        <v>41122</v>
      </c>
      <c r="H1532" s="117">
        <v>2092491</v>
      </c>
      <c r="I1532" s="124">
        <v>41006</v>
      </c>
      <c r="J1532" s="124">
        <v>41122</v>
      </c>
      <c r="K1532" s="126">
        <v>5000</v>
      </c>
      <c r="L1532" s="127" t="s">
        <v>569</v>
      </c>
      <c r="N1532" s="129" t="str">
        <f>IF(M1532&gt;1/1/1,"Y","N")</f>
        <v>N</v>
      </c>
      <c r="O1532" s="128" t="s">
        <v>917</v>
      </c>
      <c r="P1532" s="129" t="s">
        <v>39</v>
      </c>
      <c r="Q1532" s="111">
        <f t="shared" si="1143"/>
        <v>117</v>
      </c>
      <c r="R1532" s="111">
        <f t="shared" si="1128"/>
        <v>118</v>
      </c>
      <c r="S1532" s="129">
        <v>2</v>
      </c>
      <c r="T1532" s="129">
        <v>3</v>
      </c>
      <c r="U1532" s="129">
        <v>1</v>
      </c>
      <c r="W1532" s="111"/>
      <c r="AC1532" s="130"/>
      <c r="AD1532" s="130">
        <v>31973</v>
      </c>
      <c r="AE1532" s="128" t="s">
        <v>32</v>
      </c>
      <c r="AF1532" s="128" t="s">
        <v>33</v>
      </c>
      <c r="AG1532" s="128" t="s">
        <v>872</v>
      </c>
      <c r="AH1532" s="108" t="s">
        <v>31</v>
      </c>
      <c r="AI1532" s="128" t="s">
        <v>47</v>
      </c>
      <c r="AJ1532" s="129" t="s">
        <v>89</v>
      </c>
      <c r="AK1532" s="129">
        <v>5</v>
      </c>
      <c r="AL1532" s="3" t="s">
        <v>991</v>
      </c>
      <c r="AO1532" s="128">
        <v>200</v>
      </c>
      <c r="AP1532" s="129" t="s">
        <v>151</v>
      </c>
      <c r="AR1532" s="128" t="s">
        <v>67</v>
      </c>
      <c r="AS1532" s="129" t="s">
        <v>64</v>
      </c>
      <c r="AT1532" s="129" t="s">
        <v>463</v>
      </c>
      <c r="AY1532" s="123"/>
      <c r="BC1532" s="129" t="s">
        <v>38</v>
      </c>
      <c r="BF1532" s="111">
        <f t="shared" ref="BF1532:BF1551" si="1144">IF(J1532&gt;1/1/1900,((J1532+1)-I1532),"STILL OPEN")</f>
        <v>117</v>
      </c>
      <c r="BG1532" s="111">
        <f t="shared" ref="BG1532:BG1551" si="1145">IF(G1532&gt;1/1/1900,((G1532+1)-I1532),"STILL OPEN")</f>
        <v>117</v>
      </c>
      <c r="BH1532" s="111">
        <f t="shared" si="1085"/>
        <v>118</v>
      </c>
      <c r="BI1532" s="111">
        <f t="shared" si="1086"/>
        <v>24.6775956284153</v>
      </c>
      <c r="BJ1532" s="129">
        <f t="shared" si="1120"/>
        <v>0</v>
      </c>
      <c r="BK1532" s="129">
        <f t="shared" si="1087"/>
        <v>0</v>
      </c>
      <c r="BL1532" s="129" t="str">
        <f t="shared" si="1130"/>
        <v>CONVICTION</v>
      </c>
      <c r="BM1532" s="129" t="str">
        <f t="shared" si="1121"/>
        <v>NONE</v>
      </c>
      <c r="BN1532" s="129" t="s">
        <v>566</v>
      </c>
      <c r="BP1532" s="137" t="str">
        <f t="shared" si="1105"/>
        <v>CONVICTION</v>
      </c>
      <c r="BQ1532" s="128" t="str">
        <f t="shared" si="1106"/>
        <v>Y</v>
      </c>
      <c r="BR1532" s="129" t="str">
        <f t="shared" si="1107"/>
        <v>DETAINED</v>
      </c>
      <c r="BS1532" s="129" t="str">
        <f t="shared" si="1108"/>
        <v>DISPOSED</v>
      </c>
      <c r="BT1532" s="129" t="str">
        <f t="shared" si="1109"/>
        <v>Y</v>
      </c>
      <c r="BU1532" s="109">
        <f t="shared" si="1110"/>
        <v>0.99152542372881358</v>
      </c>
      <c r="BV1532" s="109">
        <f t="shared" si="1111"/>
        <v>1</v>
      </c>
      <c r="BW1532" s="109">
        <f t="shared" si="1132"/>
        <v>8.4745762711864181E-3</v>
      </c>
      <c r="BX1532" s="111">
        <f t="shared" si="1112"/>
        <v>0</v>
      </c>
      <c r="BY1532" s="129">
        <f t="shared" si="1113"/>
        <v>-117</v>
      </c>
      <c r="BZ1532" s="111">
        <f t="shared" si="1114"/>
        <v>0</v>
      </c>
      <c r="CA1532" s="138">
        <f t="shared" si="1115"/>
        <v>117</v>
      </c>
      <c r="CB1532" s="111" t="e">
        <f t="shared" ref="CB1532:CB1551" si="1146">IF(AF1532&gt;1/1/1900,((AF1532+1)-AE1532),"STILL OPEN")</f>
        <v>#VALUE!</v>
      </c>
      <c r="CC1532" s="129">
        <f>G1532-I1532+1</f>
        <v>117</v>
      </c>
      <c r="CD1532" s="129">
        <f>G1532-J1532</f>
        <v>0</v>
      </c>
      <c r="CG1532" s="129" t="str">
        <f t="shared" si="1116"/>
        <v>Y</v>
      </c>
      <c r="CI1532" s="129" t="str">
        <f t="shared" si="1117"/>
        <v>91-120 DAYS</v>
      </c>
      <c r="CJ1532" s="137">
        <f t="shared" si="1118"/>
        <v>0</v>
      </c>
      <c r="CK1532" s="129" t="str">
        <f t="shared" si="1119"/>
        <v>Booked</v>
      </c>
    </row>
    <row r="1533" spans="1:89" ht="15.75" customHeight="1" x14ac:dyDescent="0.25">
      <c r="A1533" s="111">
        <v>1990</v>
      </c>
      <c r="B1533" s="128" t="str">
        <f t="shared" si="1102"/>
        <v>N</v>
      </c>
      <c r="C1533" s="128" t="str">
        <f t="shared" si="1103"/>
        <v>Y</v>
      </c>
      <c r="D1533" s="117">
        <v>2094984</v>
      </c>
      <c r="E1533" s="135">
        <f t="shared" si="1104"/>
        <v>4</v>
      </c>
      <c r="F1533" s="124">
        <v>40983</v>
      </c>
      <c r="G1533" s="125">
        <v>41142</v>
      </c>
      <c r="H1533" s="117">
        <v>2094984</v>
      </c>
      <c r="I1533" s="124">
        <v>40988</v>
      </c>
      <c r="J1533" s="124">
        <v>40990</v>
      </c>
      <c r="K1533" s="126">
        <v>90000</v>
      </c>
      <c r="L1533" s="129" t="s">
        <v>572</v>
      </c>
      <c r="M1533" s="125">
        <v>40990</v>
      </c>
      <c r="N1533" s="129" t="str">
        <f>IF(M1533&gt;1/1/1,"Y","N")</f>
        <v>Y</v>
      </c>
      <c r="O1533" s="128" t="s">
        <v>585</v>
      </c>
      <c r="P1533" s="129" t="s">
        <v>39</v>
      </c>
      <c r="Q1533" s="111">
        <f t="shared" si="1143"/>
        <v>12</v>
      </c>
      <c r="R1533" s="111">
        <f t="shared" si="1128"/>
        <v>160</v>
      </c>
      <c r="S1533" s="129">
        <v>1</v>
      </c>
      <c r="T1533" s="129">
        <v>0</v>
      </c>
      <c r="V1533" s="117">
        <v>1</v>
      </c>
      <c r="W1533" s="111"/>
      <c r="AB1533" s="131" t="s">
        <v>112</v>
      </c>
      <c r="AC1533" s="130"/>
      <c r="AD1533" s="130">
        <v>26874</v>
      </c>
      <c r="AE1533" s="128" t="s">
        <v>32</v>
      </c>
      <c r="AF1533" s="128" t="s">
        <v>40</v>
      </c>
      <c r="AG1533" s="128" t="s">
        <v>41</v>
      </c>
      <c r="AH1533" s="108" t="s">
        <v>31</v>
      </c>
      <c r="AI1533" s="128" t="s">
        <v>70</v>
      </c>
      <c r="AJ1533" s="129" t="s">
        <v>89</v>
      </c>
      <c r="AK1533" s="129">
        <v>9</v>
      </c>
      <c r="AL1533" s="3" t="s">
        <v>991</v>
      </c>
      <c r="AO1533" s="128">
        <v>22</v>
      </c>
      <c r="AP1533" s="129" t="s">
        <v>56</v>
      </c>
      <c r="AR1533" s="128" t="s">
        <v>50</v>
      </c>
      <c r="AS1533" s="129" t="s">
        <v>57</v>
      </c>
      <c r="AU1533" s="3" t="s">
        <v>751</v>
      </c>
      <c r="AX1533" s="32" t="s">
        <v>88</v>
      </c>
      <c r="BC1533" s="129" t="s">
        <v>52</v>
      </c>
      <c r="BF1533" s="111">
        <v>12</v>
      </c>
      <c r="BG1533" s="111">
        <f t="shared" si="1145"/>
        <v>155</v>
      </c>
      <c r="BH1533" s="111">
        <f t="shared" si="1085"/>
        <v>160</v>
      </c>
      <c r="BI1533" s="111">
        <f t="shared" si="1086"/>
        <v>38.549180327868854</v>
      </c>
      <c r="BJ1533" s="129">
        <f>(G1533-J1533)+(M1533-G1533)</f>
        <v>0</v>
      </c>
      <c r="BK1533" s="129">
        <f t="shared" si="1087"/>
        <v>-152</v>
      </c>
      <c r="BL1533" s="129" t="str">
        <f t="shared" si="1130"/>
        <v>CONVICTION</v>
      </c>
      <c r="BM1533" s="129" t="s">
        <v>76</v>
      </c>
      <c r="BN1533" s="129" t="s">
        <v>88</v>
      </c>
      <c r="BP1533" s="137" t="str">
        <f t="shared" si="1105"/>
        <v>CONVICTION</v>
      </c>
      <c r="BQ1533" s="128" t="str">
        <f t="shared" si="1106"/>
        <v>Y</v>
      </c>
      <c r="BR1533" s="129" t="str">
        <f>IF(J1533&lt;G1533,"ON BOND",0)</f>
        <v>ON BOND</v>
      </c>
      <c r="BS1533" s="129" t="str">
        <f t="shared" si="1108"/>
        <v>DISPOSED</v>
      </c>
      <c r="BT1533" s="129" t="str">
        <f t="shared" si="1109"/>
        <v>Y</v>
      </c>
      <c r="BU1533" s="109">
        <f t="shared" si="1110"/>
        <v>7.4999999999999997E-2</v>
      </c>
      <c r="BV1533" s="109">
        <f t="shared" si="1111"/>
        <v>1.935483870967742E-2</v>
      </c>
      <c r="BW1533" s="109">
        <f t="shared" si="1132"/>
        <v>-5.5645161290322577E-2</v>
      </c>
      <c r="BX1533" s="111">
        <f t="shared" si="1112"/>
        <v>0</v>
      </c>
      <c r="BY1533" s="129">
        <f t="shared" si="1113"/>
        <v>-3</v>
      </c>
      <c r="BZ1533" s="111">
        <f t="shared" si="1114"/>
        <v>9</v>
      </c>
      <c r="CA1533" s="138">
        <f t="shared" si="1115"/>
        <v>3</v>
      </c>
      <c r="CB1533" s="111">
        <v>12</v>
      </c>
      <c r="CD1533" s="129">
        <f>G1533-J1533</f>
        <v>152</v>
      </c>
      <c r="CG1533" s="129" t="str">
        <f t="shared" si="1116"/>
        <v>Y</v>
      </c>
      <c r="CI1533" s="129" t="str">
        <f t="shared" si="1117"/>
        <v>11-30 DAYS</v>
      </c>
      <c r="CJ1533" s="137">
        <f t="shared" si="1118"/>
        <v>2</v>
      </c>
      <c r="CK1533" s="129" t="str">
        <f t="shared" si="1119"/>
        <v>Booked</v>
      </c>
    </row>
    <row r="1534" spans="1:89" ht="15" customHeight="1" x14ac:dyDescent="0.25">
      <c r="A1534" s="111">
        <v>2485</v>
      </c>
      <c r="B1534" s="128" t="str">
        <f t="shared" si="1102"/>
        <v>N</v>
      </c>
      <c r="C1534" s="128" t="str">
        <f t="shared" si="1103"/>
        <v>N</v>
      </c>
      <c r="D1534" s="117">
        <v>2095369</v>
      </c>
      <c r="E1534" s="135">
        <f t="shared" si="1104"/>
        <v>2</v>
      </c>
      <c r="F1534" s="124">
        <v>41002</v>
      </c>
      <c r="G1534" s="125">
        <v>41004</v>
      </c>
      <c r="H1534" s="117">
        <v>2095369</v>
      </c>
      <c r="I1534" s="124">
        <v>41003</v>
      </c>
      <c r="J1534" s="124">
        <v>41004</v>
      </c>
      <c r="K1534" s="126">
        <v>2000</v>
      </c>
      <c r="L1534" s="127" t="s">
        <v>568</v>
      </c>
      <c r="M1534" s="125">
        <v>41004</v>
      </c>
      <c r="N1534" s="129" t="str">
        <f>IF(M1534&gt;1/1/1,"Y","N")</f>
        <v>Y</v>
      </c>
      <c r="O1534" s="128" t="s">
        <v>76</v>
      </c>
      <c r="P1534" s="129" t="s">
        <v>589</v>
      </c>
      <c r="Q1534" s="111">
        <f t="shared" si="1143"/>
        <v>2</v>
      </c>
      <c r="R1534" s="111">
        <f t="shared" si="1128"/>
        <v>3</v>
      </c>
      <c r="S1534" s="129">
        <v>1</v>
      </c>
      <c r="T1534" s="129">
        <v>4</v>
      </c>
      <c r="W1534" s="111"/>
      <c r="AC1534" s="130"/>
      <c r="AD1534" s="130">
        <v>31794</v>
      </c>
      <c r="AE1534" s="128" t="s">
        <v>46</v>
      </c>
      <c r="AF1534" s="128" t="s">
        <v>40</v>
      </c>
      <c r="AG1534" s="128" t="s">
        <v>41</v>
      </c>
      <c r="AH1534" s="108" t="s">
        <v>41</v>
      </c>
      <c r="AI1534" s="128" t="s">
        <v>85</v>
      </c>
      <c r="AJ1534" s="129" t="s">
        <v>48</v>
      </c>
      <c r="AK1534" s="129">
        <v>1</v>
      </c>
      <c r="AL1534" s="3" t="s">
        <v>48</v>
      </c>
      <c r="AP1534" s="129" t="s">
        <v>60</v>
      </c>
      <c r="AR1534" s="128" t="s">
        <v>44</v>
      </c>
      <c r="AS1534" s="129" t="s">
        <v>61</v>
      </c>
      <c r="BC1534" s="129" t="s">
        <v>38</v>
      </c>
      <c r="BF1534" s="111">
        <f t="shared" si="1144"/>
        <v>2</v>
      </c>
      <c r="BG1534" s="111">
        <f t="shared" si="1145"/>
        <v>2</v>
      </c>
      <c r="BH1534" s="111">
        <f t="shared" si="1085"/>
        <v>3</v>
      </c>
      <c r="BI1534" s="111">
        <f t="shared" si="1086"/>
        <v>25.15846994535519</v>
      </c>
      <c r="BJ1534" s="129">
        <f>G1534-J1534</f>
        <v>0</v>
      </c>
      <c r="BK1534" s="129">
        <f t="shared" si="1087"/>
        <v>0</v>
      </c>
      <c r="BL1534" s="129" t="str">
        <f t="shared" si="1130"/>
        <v>DEFERRED</v>
      </c>
      <c r="BM1534" s="129" t="s">
        <v>76</v>
      </c>
      <c r="BN1534" s="129" t="s">
        <v>88</v>
      </c>
      <c r="BP1534" s="137" t="str">
        <f t="shared" si="1105"/>
        <v>DEFERRED</v>
      </c>
      <c r="BQ1534" s="128" t="str">
        <f t="shared" si="1106"/>
        <v>Y</v>
      </c>
      <c r="BR1534" s="129" t="str">
        <f t="shared" si="1107"/>
        <v>ON BOND</v>
      </c>
      <c r="BS1534" s="129" t="str">
        <f t="shared" si="1108"/>
        <v>DISPOSED</v>
      </c>
      <c r="BT1534" s="129" t="str">
        <f t="shared" si="1109"/>
        <v>Y</v>
      </c>
      <c r="BU1534" s="109">
        <f t="shared" si="1110"/>
        <v>0.66666666666666663</v>
      </c>
      <c r="BV1534" s="109">
        <f t="shared" si="1111"/>
        <v>1</v>
      </c>
      <c r="BW1534" s="109">
        <f t="shared" si="1132"/>
        <v>0.33333333333333337</v>
      </c>
      <c r="BX1534" s="111">
        <f t="shared" si="1112"/>
        <v>0</v>
      </c>
      <c r="BY1534" s="129">
        <f t="shared" si="1113"/>
        <v>-2</v>
      </c>
      <c r="BZ1534" s="111">
        <f t="shared" si="1114"/>
        <v>0</v>
      </c>
      <c r="CA1534" s="138">
        <f t="shared" si="1115"/>
        <v>2</v>
      </c>
      <c r="CB1534" s="111" t="e">
        <f t="shared" si="1146"/>
        <v>#VALUE!</v>
      </c>
      <c r="CC1534" s="129">
        <f>M1534-I1534+1</f>
        <v>2</v>
      </c>
      <c r="CD1534" s="111">
        <f>CC1534-BF1534</f>
        <v>0</v>
      </c>
      <c r="CG1534" s="129" t="str">
        <f t="shared" si="1116"/>
        <v>Y</v>
      </c>
      <c r="CI1534" s="129" t="str">
        <f t="shared" si="1117"/>
        <v>0-10 DAYS</v>
      </c>
      <c r="CJ1534" s="137">
        <f t="shared" si="1118"/>
        <v>1</v>
      </c>
      <c r="CK1534" s="129" t="str">
        <f t="shared" si="1119"/>
        <v>Booked</v>
      </c>
    </row>
    <row r="1535" spans="1:89" ht="15" customHeight="1" x14ac:dyDescent="0.25">
      <c r="A1535" s="111">
        <v>2417</v>
      </c>
      <c r="B1535" s="128" t="str">
        <f t="shared" si="1102"/>
        <v>N</v>
      </c>
      <c r="C1535" s="128" t="str">
        <f t="shared" si="1103"/>
        <v>N</v>
      </c>
      <c r="D1535" s="117">
        <v>2096144</v>
      </c>
      <c r="E1535" s="135">
        <f t="shared" si="1104"/>
        <v>5</v>
      </c>
      <c r="F1535" s="124">
        <v>41000</v>
      </c>
      <c r="G1535" s="125">
        <v>41001</v>
      </c>
      <c r="H1535" s="117">
        <v>2096144</v>
      </c>
      <c r="I1535" s="124">
        <v>41000</v>
      </c>
      <c r="J1535" s="124">
        <v>41001</v>
      </c>
      <c r="K1535" s="126">
        <v>10000</v>
      </c>
      <c r="L1535" s="127" t="s">
        <v>570</v>
      </c>
      <c r="N1535" s="129" t="str">
        <f>IF(M1535&gt;1/1/1,"Y","N")</f>
        <v>N</v>
      </c>
      <c r="O1535" s="128" t="s">
        <v>917</v>
      </c>
      <c r="P1535" s="129" t="s">
        <v>39</v>
      </c>
      <c r="Q1535" s="111">
        <f t="shared" si="1143"/>
        <v>2</v>
      </c>
      <c r="R1535" s="111">
        <f t="shared" si="1128"/>
        <v>2</v>
      </c>
      <c r="S1535" s="129">
        <v>1</v>
      </c>
      <c r="T1535" s="129">
        <v>2</v>
      </c>
      <c r="W1535" s="111"/>
      <c r="AC1535" s="130"/>
      <c r="AD1535" s="130">
        <v>30137</v>
      </c>
      <c r="AE1535" s="128" t="s">
        <v>32</v>
      </c>
      <c r="AF1535" s="128" t="s">
        <v>40</v>
      </c>
      <c r="AG1535" s="128" t="s">
        <v>41</v>
      </c>
      <c r="AH1535" s="108" t="s">
        <v>41</v>
      </c>
      <c r="AI1535" s="128" t="s">
        <v>59</v>
      </c>
      <c r="AJ1535" s="129" t="s">
        <v>89</v>
      </c>
      <c r="AK1535" s="129">
        <v>1</v>
      </c>
      <c r="AL1535" s="3" t="s">
        <v>992</v>
      </c>
      <c r="AN1535" s="117">
        <v>6</v>
      </c>
      <c r="AP1535" s="129" t="s">
        <v>43</v>
      </c>
      <c r="AR1535" s="128" t="s">
        <v>44</v>
      </c>
      <c r="AS1535" s="129" t="s">
        <v>45</v>
      </c>
      <c r="BC1535" s="129" t="s">
        <v>38</v>
      </c>
      <c r="BF1535" s="111">
        <f t="shared" si="1144"/>
        <v>2</v>
      </c>
      <c r="BG1535" s="111">
        <f t="shared" si="1145"/>
        <v>2</v>
      </c>
      <c r="BH1535" s="111">
        <f t="shared" si="1085"/>
        <v>2</v>
      </c>
      <c r="BI1535" s="111">
        <f t="shared" si="1086"/>
        <v>29.680327868852459</v>
      </c>
      <c r="BJ1535" s="129">
        <f t="shared" si="1120"/>
        <v>0</v>
      </c>
      <c r="BK1535" s="129">
        <f t="shared" si="1087"/>
        <v>0</v>
      </c>
      <c r="BL1535" s="129" t="str">
        <f t="shared" si="1130"/>
        <v>CONVICTION</v>
      </c>
      <c r="BM1535" s="129" t="str">
        <f t="shared" si="1121"/>
        <v>NONE</v>
      </c>
      <c r="BN1535" s="129" t="s">
        <v>566</v>
      </c>
      <c r="BP1535" s="137" t="str">
        <f t="shared" si="1105"/>
        <v>CONVICTION</v>
      </c>
      <c r="BQ1535" s="128" t="str">
        <f t="shared" si="1106"/>
        <v>Y</v>
      </c>
      <c r="BR1535" s="129" t="str">
        <f t="shared" si="1107"/>
        <v>DETAINED</v>
      </c>
      <c r="BS1535" s="129" t="str">
        <f t="shared" si="1108"/>
        <v>DISPOSED</v>
      </c>
      <c r="BT1535" s="129" t="str">
        <f t="shared" si="1109"/>
        <v>Y</v>
      </c>
      <c r="BU1535" s="109">
        <f t="shared" si="1110"/>
        <v>1</v>
      </c>
      <c r="BV1535" s="109">
        <f t="shared" si="1111"/>
        <v>1</v>
      </c>
      <c r="BW1535" s="109">
        <f t="shared" si="1132"/>
        <v>0</v>
      </c>
      <c r="BX1535" s="111">
        <f t="shared" si="1112"/>
        <v>0</v>
      </c>
      <c r="BY1535" s="129">
        <f t="shared" si="1113"/>
        <v>-2</v>
      </c>
      <c r="BZ1535" s="111">
        <f t="shared" si="1114"/>
        <v>0</v>
      </c>
      <c r="CA1535" s="138">
        <f t="shared" si="1115"/>
        <v>2</v>
      </c>
      <c r="CB1535" s="111" t="e">
        <f t="shared" si="1146"/>
        <v>#VALUE!</v>
      </c>
      <c r="CC1535" s="129">
        <f t="shared" ref="CC1535:CC1542" si="1147">G1535-I1535+1</f>
        <v>2</v>
      </c>
      <c r="CD1535" s="129">
        <f t="shared" ref="CD1535:CD1542" si="1148">G1535-J1535</f>
        <v>0</v>
      </c>
      <c r="CG1535" s="129" t="str">
        <f t="shared" si="1116"/>
        <v>Y</v>
      </c>
      <c r="CI1535" s="129" t="str">
        <f t="shared" si="1117"/>
        <v>0-10 DAYS</v>
      </c>
      <c r="CJ1535" s="137">
        <f t="shared" si="1118"/>
        <v>1</v>
      </c>
      <c r="CK1535" s="129" t="str">
        <f t="shared" si="1119"/>
        <v>Booked</v>
      </c>
    </row>
    <row r="1536" spans="1:89" ht="15.75" customHeight="1" x14ac:dyDescent="0.25">
      <c r="A1536" s="111">
        <v>2243</v>
      </c>
      <c r="B1536" s="128" t="str">
        <f t="shared" si="1102"/>
        <v>N</v>
      </c>
      <c r="C1536" s="128" t="str">
        <f t="shared" si="1103"/>
        <v>N</v>
      </c>
      <c r="D1536" s="117">
        <v>2096953</v>
      </c>
      <c r="E1536" s="135">
        <f t="shared" si="1104"/>
        <v>5</v>
      </c>
      <c r="F1536" s="124">
        <v>40993</v>
      </c>
      <c r="G1536" s="125">
        <v>41008</v>
      </c>
      <c r="H1536" s="117">
        <v>2096953</v>
      </c>
      <c r="I1536" s="124">
        <v>40993</v>
      </c>
      <c r="J1536" s="124">
        <v>41008</v>
      </c>
      <c r="K1536" s="126" t="s">
        <v>564</v>
      </c>
      <c r="L1536" s="127" t="s">
        <v>564</v>
      </c>
      <c r="N1536" s="129" t="s">
        <v>566</v>
      </c>
      <c r="O1536" s="128" t="s">
        <v>917</v>
      </c>
      <c r="P1536" s="129" t="s">
        <v>39</v>
      </c>
      <c r="Q1536" s="111">
        <f t="shared" si="1143"/>
        <v>16</v>
      </c>
      <c r="R1536" s="111">
        <f t="shared" si="1128"/>
        <v>16</v>
      </c>
      <c r="S1536" s="129">
        <v>0</v>
      </c>
      <c r="T1536" s="129">
        <v>2</v>
      </c>
      <c r="W1536" s="111"/>
      <c r="AC1536" s="130"/>
      <c r="AD1536" s="130">
        <v>25177</v>
      </c>
      <c r="AE1536" s="128" t="s">
        <v>46</v>
      </c>
      <c r="AF1536" s="128" t="s">
        <v>69</v>
      </c>
      <c r="AG1536" s="128" t="s">
        <v>874</v>
      </c>
      <c r="AH1536" s="108" t="s">
        <v>58</v>
      </c>
      <c r="AI1536" s="128" t="s">
        <v>95</v>
      </c>
      <c r="AJ1536" s="129" t="s">
        <v>89</v>
      </c>
      <c r="AK1536" s="129">
        <v>3</v>
      </c>
      <c r="AL1536" s="3" t="s">
        <v>992</v>
      </c>
      <c r="AN1536" s="117">
        <v>8</v>
      </c>
      <c r="AP1536" s="129" t="s">
        <v>60</v>
      </c>
      <c r="AR1536" s="128" t="s">
        <v>44</v>
      </c>
      <c r="AS1536" s="129" t="s">
        <v>61</v>
      </c>
      <c r="BC1536" s="129" t="s">
        <v>52</v>
      </c>
      <c r="BF1536" s="111">
        <f t="shared" si="1144"/>
        <v>16</v>
      </c>
      <c r="BG1536" s="111">
        <f t="shared" si="1145"/>
        <v>16</v>
      </c>
      <c r="BH1536" s="111">
        <f t="shared" si="1085"/>
        <v>16</v>
      </c>
      <c r="BI1536" s="111">
        <f t="shared" si="1086"/>
        <v>43.213114754098363</v>
      </c>
      <c r="BJ1536" s="129">
        <f t="shared" si="1120"/>
        <v>0</v>
      </c>
      <c r="BK1536" s="129">
        <f t="shared" si="1087"/>
        <v>0</v>
      </c>
      <c r="BL1536" s="129" t="str">
        <f t="shared" si="1130"/>
        <v>CONVICTION</v>
      </c>
      <c r="BM1536" s="129" t="str">
        <f t="shared" si="1121"/>
        <v>NONE</v>
      </c>
      <c r="BN1536" s="129" t="s">
        <v>566</v>
      </c>
      <c r="BP1536" s="137" t="str">
        <f t="shared" si="1105"/>
        <v>CONVICTION</v>
      </c>
      <c r="BQ1536" s="128" t="str">
        <f t="shared" si="1106"/>
        <v>Y</v>
      </c>
      <c r="BR1536" s="129" t="str">
        <f t="shared" si="1107"/>
        <v>DETAINED</v>
      </c>
      <c r="BS1536" s="129" t="str">
        <f t="shared" si="1108"/>
        <v>DISPOSED</v>
      </c>
      <c r="BT1536" s="129" t="str">
        <f t="shared" si="1109"/>
        <v>N</v>
      </c>
      <c r="BU1536" s="109">
        <f t="shared" si="1110"/>
        <v>1</v>
      </c>
      <c r="BV1536" s="109">
        <f t="shared" si="1111"/>
        <v>1</v>
      </c>
      <c r="BW1536" s="109">
        <f t="shared" si="1132"/>
        <v>0</v>
      </c>
      <c r="BX1536" s="111">
        <f t="shared" si="1112"/>
        <v>0</v>
      </c>
      <c r="BY1536" s="129">
        <f t="shared" si="1113"/>
        <v>-16</v>
      </c>
      <c r="BZ1536" s="111">
        <f t="shared" si="1114"/>
        <v>0</v>
      </c>
      <c r="CA1536" s="138">
        <f t="shared" si="1115"/>
        <v>16</v>
      </c>
      <c r="CB1536" s="111" t="e">
        <f t="shared" si="1146"/>
        <v>#VALUE!</v>
      </c>
      <c r="CC1536" s="129">
        <f t="shared" si="1147"/>
        <v>16</v>
      </c>
      <c r="CD1536" s="129">
        <f t="shared" si="1148"/>
        <v>0</v>
      </c>
      <c r="CG1536" s="129" t="str">
        <f t="shared" si="1116"/>
        <v>Y</v>
      </c>
      <c r="CI1536" s="129" t="str">
        <f t="shared" si="1117"/>
        <v>11-30 DAYS</v>
      </c>
      <c r="CJ1536" s="137">
        <f t="shared" si="1118"/>
        <v>2</v>
      </c>
      <c r="CK1536" s="129" t="str">
        <f t="shared" si="1119"/>
        <v>Booked</v>
      </c>
    </row>
    <row r="1537" spans="1:89" ht="15" customHeight="1" x14ac:dyDescent="0.25">
      <c r="A1537" s="111">
        <v>1434</v>
      </c>
      <c r="B1537" s="128" t="str">
        <f t="shared" si="1102"/>
        <v>N</v>
      </c>
      <c r="C1537" s="128" t="str">
        <f t="shared" si="1103"/>
        <v>N</v>
      </c>
      <c r="D1537" s="117">
        <v>2098179</v>
      </c>
      <c r="E1537" s="135">
        <f t="shared" si="1104"/>
        <v>5</v>
      </c>
      <c r="F1537" s="124">
        <v>40961</v>
      </c>
      <c r="G1537" s="125">
        <v>40981</v>
      </c>
      <c r="H1537" s="117">
        <v>2098179</v>
      </c>
      <c r="I1537" s="124">
        <v>40961</v>
      </c>
      <c r="J1537" s="124">
        <v>40981</v>
      </c>
      <c r="K1537" s="126">
        <v>30000</v>
      </c>
      <c r="L1537" s="129" t="s">
        <v>572</v>
      </c>
      <c r="N1537" s="129" t="str">
        <f t="shared" ref="N1537:N1545" si="1149">IF(M1537&gt;1/1/1,"Y","N")</f>
        <v>N</v>
      </c>
      <c r="O1537" s="128" t="s">
        <v>917</v>
      </c>
      <c r="P1537" s="129" t="s">
        <v>39</v>
      </c>
      <c r="Q1537" s="111">
        <f t="shared" si="1143"/>
        <v>21</v>
      </c>
      <c r="R1537" s="111">
        <f t="shared" si="1128"/>
        <v>21</v>
      </c>
      <c r="S1537" s="129">
        <v>2</v>
      </c>
      <c r="T1537" s="129">
        <v>8</v>
      </c>
      <c r="U1537" s="129">
        <v>2</v>
      </c>
      <c r="W1537" s="111"/>
      <c r="AC1537" s="130"/>
      <c r="AD1537" s="130">
        <v>31954</v>
      </c>
      <c r="AE1537" s="128" t="s">
        <v>32</v>
      </c>
      <c r="AF1537" s="128" t="s">
        <v>69</v>
      </c>
      <c r="AG1537" s="128" t="s">
        <v>874</v>
      </c>
      <c r="AH1537" s="108" t="s">
        <v>58</v>
      </c>
      <c r="AI1537" s="128" t="s">
        <v>59</v>
      </c>
      <c r="AJ1537" s="129" t="s">
        <v>89</v>
      </c>
      <c r="AK1537" s="129">
        <v>2</v>
      </c>
      <c r="AL1537" s="3" t="s">
        <v>992</v>
      </c>
      <c r="AN1537" s="117">
        <v>6</v>
      </c>
      <c r="AP1537" s="129" t="s">
        <v>63</v>
      </c>
      <c r="AR1537" s="128" t="s">
        <v>44</v>
      </c>
      <c r="AS1537" s="129" t="s">
        <v>64</v>
      </c>
      <c r="BC1537" s="129" t="s">
        <v>38</v>
      </c>
      <c r="BF1537" s="111">
        <f t="shared" si="1144"/>
        <v>21</v>
      </c>
      <c r="BG1537" s="111">
        <f t="shared" si="1145"/>
        <v>21</v>
      </c>
      <c r="BH1537" s="111">
        <f t="shared" ref="BH1537:BH1600" si="1150">IF(G1537&gt;1/1/1900,((G1537+1)-F1537),"STILL OPEN")</f>
        <v>21</v>
      </c>
      <c r="BI1537" s="111">
        <f t="shared" ref="BI1537:BI1600" si="1151">(F1537-AD1537)/366</f>
        <v>24.60928961748634</v>
      </c>
      <c r="BJ1537" s="129">
        <f t="shared" si="1120"/>
        <v>0</v>
      </c>
      <c r="BK1537" s="129">
        <f t="shared" ref="BK1537:BK1600" si="1152">J1537-G1537</f>
        <v>0</v>
      </c>
      <c r="BL1537" s="129" t="str">
        <f t="shared" si="1130"/>
        <v>CONVICTION</v>
      </c>
      <c r="BM1537" s="129" t="str">
        <f t="shared" si="1121"/>
        <v>NONE</v>
      </c>
      <c r="BN1537" s="129" t="s">
        <v>566</v>
      </c>
      <c r="BP1537" s="137" t="str">
        <f t="shared" si="1105"/>
        <v>CONVICTION</v>
      </c>
      <c r="BQ1537" s="128" t="str">
        <f t="shared" si="1106"/>
        <v>Y</v>
      </c>
      <c r="BR1537" s="129" t="str">
        <f t="shared" si="1107"/>
        <v>DETAINED</v>
      </c>
      <c r="BS1537" s="129" t="str">
        <f t="shared" si="1108"/>
        <v>DISPOSED</v>
      </c>
      <c r="BT1537" s="129" t="str">
        <f t="shared" si="1109"/>
        <v>Y</v>
      </c>
      <c r="BU1537" s="109">
        <f t="shared" si="1110"/>
        <v>1</v>
      </c>
      <c r="BV1537" s="109">
        <f t="shared" si="1111"/>
        <v>1</v>
      </c>
      <c r="BW1537" s="109">
        <f t="shared" si="1132"/>
        <v>0</v>
      </c>
      <c r="BX1537" s="111">
        <f t="shared" si="1112"/>
        <v>0</v>
      </c>
      <c r="BY1537" s="129">
        <f t="shared" si="1113"/>
        <v>-21</v>
      </c>
      <c r="BZ1537" s="111">
        <f t="shared" si="1114"/>
        <v>0</v>
      </c>
      <c r="CA1537" s="138">
        <f t="shared" si="1115"/>
        <v>21</v>
      </c>
      <c r="CB1537" s="111" t="e">
        <f t="shared" si="1146"/>
        <v>#VALUE!</v>
      </c>
      <c r="CC1537" s="129">
        <f t="shared" si="1147"/>
        <v>21</v>
      </c>
      <c r="CD1537" s="129">
        <f t="shared" si="1148"/>
        <v>0</v>
      </c>
      <c r="CG1537" s="129" t="str">
        <f t="shared" si="1116"/>
        <v>Y</v>
      </c>
      <c r="CI1537" s="129" t="str">
        <f t="shared" si="1117"/>
        <v>11-30 DAYS</v>
      </c>
      <c r="CJ1537" s="137">
        <f t="shared" si="1118"/>
        <v>2</v>
      </c>
      <c r="CK1537" s="129" t="str">
        <f t="shared" si="1119"/>
        <v>Booked</v>
      </c>
    </row>
    <row r="1538" spans="1:89" ht="15.75" customHeight="1" x14ac:dyDescent="0.25">
      <c r="A1538" s="111">
        <v>268</v>
      </c>
      <c r="B1538" s="128" t="str">
        <f t="shared" ref="B1538:B1601" si="1153">IF(BD1538&lt;&gt;"","Y","N")</f>
        <v>N</v>
      </c>
      <c r="C1538" s="128" t="str">
        <f t="shared" ref="C1538:C1601" si="1154">IF((AND(AV1538="",AX1538="",AY1538="")),"N","Y")</f>
        <v>N</v>
      </c>
      <c r="D1538" s="117">
        <v>2098614</v>
      </c>
      <c r="E1538" s="135">
        <f t="shared" ref="E1538:E1601" si="1155">IF(OR(AL1538="ACQUITTAL",AL1538="ACQUIT",AL1538="acq insane",AL1538="DISMISSED",AL1538="NO BILL"),1,IF(AL1538="DEFERRED",2,IF(AL1538="PROBATION",3,IF(OR(AL1538="HCJ",AL1538="fine"),4,IF(AL1538="STJ",5,IF(AL1538="TDC",6,""))))))</f>
        <v>2</v>
      </c>
      <c r="F1538" s="124">
        <v>40920</v>
      </c>
      <c r="G1538" s="125">
        <v>40921</v>
      </c>
      <c r="H1538" s="117">
        <v>2098614</v>
      </c>
      <c r="I1538" s="124">
        <v>40920</v>
      </c>
      <c r="J1538" s="124">
        <v>40921</v>
      </c>
      <c r="K1538" s="126">
        <v>2000</v>
      </c>
      <c r="L1538" s="127" t="s">
        <v>568</v>
      </c>
      <c r="N1538" s="129" t="str">
        <f t="shared" si="1149"/>
        <v>N</v>
      </c>
      <c r="O1538" s="128" t="s">
        <v>917</v>
      </c>
      <c r="P1538" s="129" t="s">
        <v>589</v>
      </c>
      <c r="Q1538" s="111">
        <f t="shared" si="1143"/>
        <v>2</v>
      </c>
      <c r="R1538" s="111">
        <f t="shared" si="1128"/>
        <v>2</v>
      </c>
      <c r="S1538" s="129">
        <v>0</v>
      </c>
      <c r="T1538" s="129">
        <v>2</v>
      </c>
      <c r="W1538" s="111"/>
      <c r="AC1538" s="130"/>
      <c r="AD1538" s="130">
        <v>31508</v>
      </c>
      <c r="AE1538" s="128" t="s">
        <v>32</v>
      </c>
      <c r="AF1538" s="128" t="s">
        <v>33</v>
      </c>
      <c r="AG1538" s="128" t="s">
        <v>872</v>
      </c>
      <c r="AH1538" s="108" t="s">
        <v>58</v>
      </c>
      <c r="AI1538" s="128" t="s">
        <v>118</v>
      </c>
      <c r="AJ1538" s="129" t="s">
        <v>48</v>
      </c>
      <c r="AK1538" s="129">
        <v>1</v>
      </c>
      <c r="AL1538" s="3" t="s">
        <v>48</v>
      </c>
      <c r="AP1538" s="129" t="s">
        <v>63</v>
      </c>
      <c r="AR1538" s="128" t="s">
        <v>44</v>
      </c>
      <c r="AS1538" s="129" t="s">
        <v>64</v>
      </c>
      <c r="BC1538" s="129" t="s">
        <v>38</v>
      </c>
      <c r="BF1538" s="111">
        <f t="shared" si="1144"/>
        <v>2</v>
      </c>
      <c r="BG1538" s="111">
        <f t="shared" si="1145"/>
        <v>2</v>
      </c>
      <c r="BH1538" s="111">
        <f t="shared" si="1150"/>
        <v>2</v>
      </c>
      <c r="BI1538" s="111">
        <f t="shared" si="1151"/>
        <v>25.715846994535518</v>
      </c>
      <c r="BJ1538" s="129">
        <f t="shared" ref="BJ1538:BJ1601" si="1156">G1538-J1538-M1538</f>
        <v>0</v>
      </c>
      <c r="BK1538" s="129">
        <f t="shared" si="1152"/>
        <v>0</v>
      </c>
      <c r="BL1538" s="129" t="str">
        <f t="shared" si="1130"/>
        <v>DEFERRED</v>
      </c>
      <c r="BM1538" s="129" t="str">
        <f t="shared" ref="BM1538:BM1601" si="1157">O1538</f>
        <v>NONE</v>
      </c>
      <c r="BN1538" s="129" t="s">
        <v>566</v>
      </c>
      <c r="BP1538" s="137" t="str">
        <f t="shared" ref="BP1538:BP1601" si="1158">IF(OR(AJ1538="AQUITTAL",AJ1538="DISMISSED",AJ1538="FINE",AJ1538="NO BILL"),"NO CONVICTION",IF(OR(AJ1538="HCJ",AJ1538="MHH",AJ1538="PROBATION",AJ1538="STJ",AJ1538="TDC",AJ1538="CONVICTED"),"CONVICTION",IF(AJ1538="DEFERRED","DEFERRED","")))</f>
        <v>DEFERRED</v>
      </c>
      <c r="BQ1538" s="128" t="str">
        <f t="shared" ref="BQ1538:BQ1601" si="1159">IF(BF1538&gt;0,"Y",BF1538)</f>
        <v>Y</v>
      </c>
      <c r="BR1538" s="129" t="str">
        <f t="shared" ref="BR1538:BR1601" si="1160">IF(AND(J1538="NOT BOOKED",M1538&gt;1/1/1),"BONDED - BEFORE BOOKED",IF(BG1538="STILL OPEN","STILL OPEN",IF(N1538="Y","ON BOND",IF(J1538&gt;=G1538,"DETAINED","RELEASED"))))</f>
        <v>DETAINED</v>
      </c>
      <c r="BS1538" s="129" t="str">
        <f t="shared" ref="BS1538:BS1601" si="1161">IF(G1538&lt;&gt;"","DISPOSED","")</f>
        <v>DISPOSED</v>
      </c>
      <c r="BT1538" s="129" t="str">
        <f t="shared" ref="BT1538:BT1601" si="1162">IF(S1538&gt;0,"Y","N")</f>
        <v>N</v>
      </c>
      <c r="BU1538" s="109">
        <f t="shared" ref="BU1538:BU1601" si="1163">Q1538/R1538</f>
        <v>1</v>
      </c>
      <c r="BV1538" s="109">
        <f t="shared" ref="BV1538:BV1601" si="1164">IF(I1538&gt;F1538,((J1538-I1538+1)/(G1538-I1538+1)),(J1538-I1538+1)/(G1538-F1538+1))</f>
        <v>1</v>
      </c>
      <c r="BW1538" s="109">
        <f t="shared" si="1132"/>
        <v>0</v>
      </c>
      <c r="BX1538" s="111">
        <f t="shared" ref="BX1538:BX1601" si="1165">+Q1538-BF1538</f>
        <v>0</v>
      </c>
      <c r="BY1538" s="129">
        <f t="shared" ref="BY1538:BY1601" si="1166">I1538-J1538-1</f>
        <v>-2</v>
      </c>
      <c r="BZ1538" s="111">
        <f t="shared" ref="BZ1538:BZ1601" si="1167">BY1538+BF1538</f>
        <v>0</v>
      </c>
      <c r="CA1538" s="138">
        <f t="shared" ref="CA1538:CA1601" si="1168">IF(AND(BS1538="DISPOSED",BR1538="DETAINED"),G1538-I1538+1,IF(AND(BS1538="DISPOSED",BR1538="ON BOND"),M1538-I1538+1,IF(AND(BS1538="STILL OPEN","STILL OPEN"),"NOT BOOKED")))</f>
        <v>2</v>
      </c>
      <c r="CB1538" s="111" t="e">
        <f t="shared" si="1146"/>
        <v>#VALUE!</v>
      </c>
      <c r="CC1538" s="129">
        <f t="shared" si="1147"/>
        <v>2</v>
      </c>
      <c r="CD1538" s="129">
        <f t="shared" si="1148"/>
        <v>0</v>
      </c>
      <c r="CG1538" s="129" t="str">
        <f t="shared" ref="CG1538:CG1601" si="1169">IF((S1538+T1538+U1538)&gt;0,"Y","N")</f>
        <v>Y</v>
      </c>
      <c r="CI1538" s="129" t="str">
        <f t="shared" si="1117"/>
        <v>0-10 DAYS</v>
      </c>
      <c r="CJ1538" s="137">
        <f t="shared" si="1118"/>
        <v>1</v>
      </c>
      <c r="CK1538" s="129" t="str">
        <f t="shared" si="1119"/>
        <v>Booked</v>
      </c>
    </row>
    <row r="1539" spans="1:89" ht="15" customHeight="1" x14ac:dyDescent="0.25">
      <c r="A1539" s="111">
        <v>845</v>
      </c>
      <c r="B1539" s="128" t="str">
        <f t="shared" si="1153"/>
        <v>N</v>
      </c>
      <c r="C1539" s="128" t="str">
        <f t="shared" si="1154"/>
        <v>N</v>
      </c>
      <c r="D1539" s="117">
        <v>2099528</v>
      </c>
      <c r="E1539" s="135">
        <f t="shared" si="1155"/>
        <v>6</v>
      </c>
      <c r="F1539" s="124">
        <v>40940</v>
      </c>
      <c r="G1539" s="125">
        <v>41108</v>
      </c>
      <c r="H1539" s="117">
        <v>2099528</v>
      </c>
      <c r="I1539" s="124">
        <v>40941</v>
      </c>
      <c r="J1539" s="124">
        <v>41108</v>
      </c>
      <c r="K1539" s="126">
        <v>20000</v>
      </c>
      <c r="L1539" s="127" t="s">
        <v>571</v>
      </c>
      <c r="N1539" s="129" t="str">
        <f t="shared" si="1149"/>
        <v>N</v>
      </c>
      <c r="O1539" s="128" t="s">
        <v>917</v>
      </c>
      <c r="P1539" s="129" t="s">
        <v>39</v>
      </c>
      <c r="Q1539" s="111">
        <f t="shared" si="1143"/>
        <v>168</v>
      </c>
      <c r="R1539" s="111">
        <f t="shared" si="1128"/>
        <v>169</v>
      </c>
      <c r="S1539" s="129">
        <v>1</v>
      </c>
      <c r="T1539" s="129">
        <v>1</v>
      </c>
      <c r="W1539" s="111"/>
      <c r="AB1539" s="131" t="s">
        <v>112</v>
      </c>
      <c r="AC1539" s="130"/>
      <c r="AD1539" s="130">
        <v>30217</v>
      </c>
      <c r="AE1539" s="128" t="s">
        <v>32</v>
      </c>
      <c r="AF1539" s="128" t="s">
        <v>40</v>
      </c>
      <c r="AG1539" s="128" t="s">
        <v>41</v>
      </c>
      <c r="AH1539" s="108" t="s">
        <v>31</v>
      </c>
      <c r="AI1539" s="128" t="s">
        <v>100</v>
      </c>
      <c r="AJ1539" s="129" t="s">
        <v>89</v>
      </c>
      <c r="AK1539" s="129">
        <v>6</v>
      </c>
      <c r="AL1539" s="3" t="s">
        <v>362</v>
      </c>
      <c r="AM1539" s="117">
        <v>6</v>
      </c>
      <c r="AP1539" s="129" t="s">
        <v>254</v>
      </c>
      <c r="AR1539" s="128" t="s">
        <v>92</v>
      </c>
      <c r="AS1539" s="129" t="s">
        <v>82</v>
      </c>
      <c r="BC1539" s="129" t="s">
        <v>52</v>
      </c>
      <c r="BF1539" s="111">
        <f t="shared" si="1144"/>
        <v>168</v>
      </c>
      <c r="BG1539" s="111">
        <f t="shared" si="1145"/>
        <v>168</v>
      </c>
      <c r="BH1539" s="111">
        <f t="shared" si="1150"/>
        <v>169</v>
      </c>
      <c r="BI1539" s="111">
        <f t="shared" si="1151"/>
        <v>29.297814207650273</v>
      </c>
      <c r="BJ1539" s="129">
        <f t="shared" si="1156"/>
        <v>0</v>
      </c>
      <c r="BK1539" s="129">
        <f t="shared" si="1152"/>
        <v>0</v>
      </c>
      <c r="BL1539" s="129" t="str">
        <f t="shared" si="1130"/>
        <v>CONVICTION</v>
      </c>
      <c r="BM1539" s="129" t="str">
        <f t="shared" si="1157"/>
        <v>NONE</v>
      </c>
      <c r="BN1539" s="129" t="s">
        <v>566</v>
      </c>
      <c r="BP1539" s="137" t="str">
        <f t="shared" si="1158"/>
        <v>CONVICTION</v>
      </c>
      <c r="BQ1539" s="128" t="str">
        <f t="shared" si="1159"/>
        <v>Y</v>
      </c>
      <c r="BR1539" s="129" t="str">
        <f t="shared" si="1160"/>
        <v>DETAINED</v>
      </c>
      <c r="BS1539" s="129" t="str">
        <f t="shared" si="1161"/>
        <v>DISPOSED</v>
      </c>
      <c r="BT1539" s="129" t="str">
        <f t="shared" si="1162"/>
        <v>Y</v>
      </c>
      <c r="BU1539" s="109">
        <f t="shared" si="1163"/>
        <v>0.99408284023668636</v>
      </c>
      <c r="BV1539" s="109">
        <f t="shared" si="1164"/>
        <v>1</v>
      </c>
      <c r="BW1539" s="109">
        <f t="shared" si="1132"/>
        <v>5.9171597633136397E-3</v>
      </c>
      <c r="BX1539" s="111">
        <f t="shared" si="1165"/>
        <v>0</v>
      </c>
      <c r="BY1539" s="129">
        <f t="shared" si="1166"/>
        <v>-168</v>
      </c>
      <c r="BZ1539" s="111">
        <f t="shared" si="1167"/>
        <v>0</v>
      </c>
      <c r="CA1539" s="138">
        <f t="shared" si="1168"/>
        <v>168</v>
      </c>
      <c r="CB1539" s="111" t="e">
        <f t="shared" si="1146"/>
        <v>#VALUE!</v>
      </c>
      <c r="CC1539" s="129">
        <f t="shared" si="1147"/>
        <v>168</v>
      </c>
      <c r="CD1539" s="129">
        <f t="shared" si="1148"/>
        <v>0</v>
      </c>
      <c r="CG1539" s="129" t="str">
        <f t="shared" si="1169"/>
        <v>Y</v>
      </c>
      <c r="CI1539" s="129" t="str">
        <f t="shared" ref="CI1539:CI1602" si="1170">IF(BF1539&lt;11,"0-10 DAYS",IF(AND(BF1539&gt;10,BF1539&lt;31),"11-30 DAYS",IF((AND(BF1539&gt;30,BF1539&lt;61)),"31-60 DAYS",IF(AND(BF1539&gt;60,BF1539&lt;91),"61-90 DAYS",IF(AND(BF1539&gt;90,BF1539&lt;121),"91-120 DAYS",IF(AND(BF1539&gt;120,BF1539&lt;366),"121-365 DAYS",IF(AND(BF1539&gt;365,BF1539&lt;730)," &gt;1YRS&lt;2YRS",IF(AND(BF1539&gt;729,BF1539&lt;1095),"&gt;2YRS&lt;3YRS",IF(BF1539&gt;1094,"&gt;3YRS")))))))))</f>
        <v>121-365 DAYS</v>
      </c>
      <c r="CJ1539" s="137">
        <f t="shared" ref="CJ1539:CJ1602" si="1171">IF(CI1539="0-10 DAYS",1,IF(CI1539="11-30 DAYS",2,IF(CI1539="31-60 DAYS",3,IF(CI1539="61-90 DAYS",4,IF(CK1539="91-120 DAYS",5,IF(CI1539="121-365 DAYS",6,IF(CI1539="&gt;1YRS&lt;2YRS",7,IF(CI1539="&gt;2YRS&lt;3YRS",8,IF(CI1539="&gt;3YRS",9,0)))))))))</f>
        <v>6</v>
      </c>
      <c r="CK1539" s="129" t="str">
        <f t="shared" ref="CK1539:CK1602" si="1172">IF(I1539="Not Booked","Not Booked","Booked")</f>
        <v>Booked</v>
      </c>
    </row>
    <row r="1540" spans="1:89" ht="15.75" customHeight="1" x14ac:dyDescent="0.25">
      <c r="A1540" s="111">
        <v>61</v>
      </c>
      <c r="B1540" s="128" t="str">
        <f t="shared" si="1153"/>
        <v>N</v>
      </c>
      <c r="C1540" s="128" t="str">
        <f t="shared" si="1154"/>
        <v>N</v>
      </c>
      <c r="D1540" s="117">
        <v>2099552</v>
      </c>
      <c r="E1540" s="135">
        <f t="shared" si="1155"/>
        <v>6</v>
      </c>
      <c r="F1540" s="124">
        <v>40912</v>
      </c>
      <c r="G1540" s="125">
        <v>41018</v>
      </c>
      <c r="H1540" s="117">
        <v>2099552</v>
      </c>
      <c r="I1540" s="124">
        <v>40912</v>
      </c>
      <c r="J1540" s="124">
        <v>41018</v>
      </c>
      <c r="K1540" s="126">
        <v>20000</v>
      </c>
      <c r="L1540" s="127" t="s">
        <v>571</v>
      </c>
      <c r="N1540" s="129" t="str">
        <f t="shared" si="1149"/>
        <v>N</v>
      </c>
      <c r="O1540" s="128" t="s">
        <v>917</v>
      </c>
      <c r="P1540" s="129" t="s">
        <v>39</v>
      </c>
      <c r="Q1540" s="111">
        <f t="shared" si="1143"/>
        <v>107</v>
      </c>
      <c r="R1540" s="111">
        <f t="shared" si="1128"/>
        <v>107</v>
      </c>
      <c r="S1540" s="129">
        <v>1</v>
      </c>
      <c r="T1540" s="129">
        <v>4</v>
      </c>
      <c r="U1540" s="129">
        <v>2</v>
      </c>
      <c r="W1540" s="111"/>
      <c r="AC1540" s="130"/>
      <c r="AD1540" s="130">
        <v>31481</v>
      </c>
      <c r="AE1540" s="128" t="s">
        <v>32</v>
      </c>
      <c r="AF1540" s="128" t="s">
        <v>33</v>
      </c>
      <c r="AG1540" s="128" t="s">
        <v>872</v>
      </c>
      <c r="AH1540" s="108" t="s">
        <v>58</v>
      </c>
      <c r="AI1540" s="128" t="s">
        <v>95</v>
      </c>
      <c r="AJ1540" s="129" t="s">
        <v>89</v>
      </c>
      <c r="AK1540" s="129">
        <v>5</v>
      </c>
      <c r="AL1540" s="3" t="s">
        <v>362</v>
      </c>
      <c r="AM1540" s="117">
        <v>3</v>
      </c>
      <c r="AP1540" s="129" t="s">
        <v>49</v>
      </c>
      <c r="AR1540" s="128" t="s">
        <v>50</v>
      </c>
      <c r="AS1540" s="129" t="s">
        <v>45</v>
      </c>
      <c r="BC1540" s="129" t="s">
        <v>99</v>
      </c>
      <c r="BF1540" s="111">
        <f t="shared" si="1144"/>
        <v>107</v>
      </c>
      <c r="BG1540" s="111">
        <f t="shared" si="1145"/>
        <v>107</v>
      </c>
      <c r="BH1540" s="111">
        <f t="shared" si="1150"/>
        <v>107</v>
      </c>
      <c r="BI1540" s="111">
        <f t="shared" si="1151"/>
        <v>25.76775956284153</v>
      </c>
      <c r="BJ1540" s="129">
        <f t="shared" si="1156"/>
        <v>0</v>
      </c>
      <c r="BK1540" s="129">
        <f t="shared" si="1152"/>
        <v>0</v>
      </c>
      <c r="BL1540" s="129" t="str">
        <f t="shared" si="1130"/>
        <v>CONVICTION</v>
      </c>
      <c r="BM1540" s="129" t="str">
        <f t="shared" si="1157"/>
        <v>NONE</v>
      </c>
      <c r="BN1540" s="129" t="s">
        <v>566</v>
      </c>
      <c r="BP1540" s="137" t="str">
        <f t="shared" si="1158"/>
        <v>CONVICTION</v>
      </c>
      <c r="BQ1540" s="128" t="str">
        <f t="shared" si="1159"/>
        <v>Y</v>
      </c>
      <c r="BR1540" s="129" t="str">
        <f t="shared" si="1160"/>
        <v>DETAINED</v>
      </c>
      <c r="BS1540" s="129" t="str">
        <f t="shared" si="1161"/>
        <v>DISPOSED</v>
      </c>
      <c r="BT1540" s="129" t="str">
        <f t="shared" si="1162"/>
        <v>Y</v>
      </c>
      <c r="BU1540" s="109">
        <f t="shared" si="1163"/>
        <v>1</v>
      </c>
      <c r="BV1540" s="109">
        <f t="shared" si="1164"/>
        <v>1</v>
      </c>
      <c r="BW1540" s="109">
        <f t="shared" si="1132"/>
        <v>0</v>
      </c>
      <c r="BX1540" s="111">
        <f t="shared" si="1165"/>
        <v>0</v>
      </c>
      <c r="BY1540" s="129">
        <f t="shared" si="1166"/>
        <v>-107</v>
      </c>
      <c r="BZ1540" s="111">
        <f t="shared" si="1167"/>
        <v>0</v>
      </c>
      <c r="CA1540" s="138">
        <f t="shared" si="1168"/>
        <v>107</v>
      </c>
      <c r="CB1540" s="111" t="e">
        <f t="shared" si="1146"/>
        <v>#VALUE!</v>
      </c>
      <c r="CC1540" s="129">
        <f t="shared" si="1147"/>
        <v>107</v>
      </c>
      <c r="CD1540" s="129">
        <f t="shared" si="1148"/>
        <v>0</v>
      </c>
      <c r="CG1540" s="129" t="str">
        <f t="shared" si="1169"/>
        <v>Y</v>
      </c>
      <c r="CI1540" s="129" t="str">
        <f t="shared" si="1170"/>
        <v>91-120 DAYS</v>
      </c>
      <c r="CJ1540" s="137">
        <f t="shared" si="1171"/>
        <v>0</v>
      </c>
      <c r="CK1540" s="129" t="str">
        <f t="shared" si="1172"/>
        <v>Booked</v>
      </c>
    </row>
    <row r="1541" spans="1:89" ht="15" customHeight="1" x14ac:dyDescent="0.25">
      <c r="A1541" s="111">
        <v>1560</v>
      </c>
      <c r="B1541" s="128" t="str">
        <f t="shared" si="1153"/>
        <v>N</v>
      </c>
      <c r="C1541" s="128" t="str">
        <f t="shared" si="1154"/>
        <v>N</v>
      </c>
      <c r="D1541" s="117">
        <v>2100411</v>
      </c>
      <c r="E1541" s="135">
        <f t="shared" si="1155"/>
        <v>5</v>
      </c>
      <c r="F1541" s="124">
        <v>40967</v>
      </c>
      <c r="G1541" s="125">
        <v>40968</v>
      </c>
      <c r="H1541" s="117">
        <v>2100411</v>
      </c>
      <c r="I1541" s="124">
        <v>40967</v>
      </c>
      <c r="J1541" s="124">
        <v>40968</v>
      </c>
      <c r="K1541" s="126">
        <v>15000</v>
      </c>
      <c r="L1541" s="127" t="s">
        <v>571</v>
      </c>
      <c r="N1541" s="129" t="str">
        <f t="shared" si="1149"/>
        <v>N</v>
      </c>
      <c r="O1541" s="128" t="s">
        <v>917</v>
      </c>
      <c r="P1541" s="129" t="s">
        <v>39</v>
      </c>
      <c r="Q1541" s="111">
        <f t="shared" si="1143"/>
        <v>2</v>
      </c>
      <c r="R1541" s="111">
        <f t="shared" si="1128"/>
        <v>2</v>
      </c>
      <c r="S1541" s="129">
        <v>4</v>
      </c>
      <c r="T1541" s="129">
        <v>6</v>
      </c>
      <c r="U1541" s="129">
        <v>3</v>
      </c>
      <c r="W1541" s="111"/>
      <c r="AC1541" s="130"/>
      <c r="AD1541" s="130">
        <v>31929</v>
      </c>
      <c r="AE1541" s="128" t="s">
        <v>32</v>
      </c>
      <c r="AF1541" s="128" t="s">
        <v>33</v>
      </c>
      <c r="AG1541" s="128" t="s">
        <v>872</v>
      </c>
      <c r="AH1541" s="108" t="s">
        <v>58</v>
      </c>
      <c r="AI1541" s="128" t="s">
        <v>141</v>
      </c>
      <c r="AJ1541" s="129" t="s">
        <v>89</v>
      </c>
      <c r="AK1541" s="129">
        <v>1</v>
      </c>
      <c r="AL1541" s="3" t="s">
        <v>992</v>
      </c>
      <c r="AN1541" s="117">
        <v>7</v>
      </c>
      <c r="AP1541" s="129" t="s">
        <v>43</v>
      </c>
      <c r="AR1541" s="128" t="s">
        <v>44</v>
      </c>
      <c r="AS1541" s="129" t="s">
        <v>45</v>
      </c>
      <c r="BC1541" s="129" t="s">
        <v>38</v>
      </c>
      <c r="BF1541" s="111">
        <f t="shared" si="1144"/>
        <v>2</v>
      </c>
      <c r="BG1541" s="111">
        <f t="shared" si="1145"/>
        <v>2</v>
      </c>
      <c r="BH1541" s="111">
        <f t="shared" si="1150"/>
        <v>2</v>
      </c>
      <c r="BI1541" s="111">
        <f t="shared" si="1151"/>
        <v>24.693989071038253</v>
      </c>
      <c r="BJ1541" s="129">
        <f t="shared" si="1156"/>
        <v>0</v>
      </c>
      <c r="BK1541" s="129">
        <f t="shared" si="1152"/>
        <v>0</v>
      </c>
      <c r="BL1541" s="129" t="str">
        <f t="shared" si="1130"/>
        <v>CONVICTION</v>
      </c>
      <c r="BM1541" s="129" t="str">
        <f t="shared" si="1157"/>
        <v>NONE</v>
      </c>
      <c r="BN1541" s="129" t="s">
        <v>566</v>
      </c>
      <c r="BP1541" s="137" t="str">
        <f t="shared" si="1158"/>
        <v>CONVICTION</v>
      </c>
      <c r="BQ1541" s="128" t="str">
        <f t="shared" si="1159"/>
        <v>Y</v>
      </c>
      <c r="BR1541" s="129" t="str">
        <f t="shared" si="1160"/>
        <v>DETAINED</v>
      </c>
      <c r="BS1541" s="129" t="str">
        <f t="shared" si="1161"/>
        <v>DISPOSED</v>
      </c>
      <c r="BT1541" s="129" t="str">
        <f t="shared" si="1162"/>
        <v>Y</v>
      </c>
      <c r="BU1541" s="109">
        <f t="shared" si="1163"/>
        <v>1</v>
      </c>
      <c r="BV1541" s="109">
        <f t="shared" si="1164"/>
        <v>1</v>
      </c>
      <c r="BW1541" s="109">
        <f t="shared" si="1132"/>
        <v>0</v>
      </c>
      <c r="BX1541" s="111">
        <f t="shared" si="1165"/>
        <v>0</v>
      </c>
      <c r="BY1541" s="129">
        <f t="shared" si="1166"/>
        <v>-2</v>
      </c>
      <c r="BZ1541" s="111">
        <f t="shared" si="1167"/>
        <v>0</v>
      </c>
      <c r="CA1541" s="138">
        <f t="shared" si="1168"/>
        <v>2</v>
      </c>
      <c r="CB1541" s="111" t="e">
        <f t="shared" si="1146"/>
        <v>#VALUE!</v>
      </c>
      <c r="CC1541" s="129">
        <f t="shared" si="1147"/>
        <v>2</v>
      </c>
      <c r="CD1541" s="129">
        <f t="shared" si="1148"/>
        <v>0</v>
      </c>
      <c r="CG1541" s="129" t="str">
        <f t="shared" si="1169"/>
        <v>Y</v>
      </c>
      <c r="CI1541" s="129" t="str">
        <f t="shared" si="1170"/>
        <v>0-10 DAYS</v>
      </c>
      <c r="CJ1541" s="137">
        <f t="shared" si="1171"/>
        <v>1</v>
      </c>
      <c r="CK1541" s="129" t="str">
        <f t="shared" si="1172"/>
        <v>Booked</v>
      </c>
    </row>
    <row r="1542" spans="1:89" ht="15.75" customHeight="1" x14ac:dyDescent="0.25">
      <c r="A1542" s="111">
        <v>1623</v>
      </c>
      <c r="B1542" s="128" t="str">
        <f t="shared" si="1153"/>
        <v>N</v>
      </c>
      <c r="C1542" s="128" t="str">
        <f t="shared" si="1154"/>
        <v>N</v>
      </c>
      <c r="D1542" s="117">
        <v>2100489</v>
      </c>
      <c r="E1542" s="135">
        <f t="shared" si="1155"/>
        <v>6</v>
      </c>
      <c r="F1542" s="124">
        <v>40969</v>
      </c>
      <c r="G1542" s="125">
        <v>41089</v>
      </c>
      <c r="H1542" s="117">
        <v>2100489</v>
      </c>
      <c r="I1542" s="124">
        <v>40969</v>
      </c>
      <c r="J1542" s="124">
        <v>41089</v>
      </c>
      <c r="K1542" s="126">
        <v>10000</v>
      </c>
      <c r="L1542" s="127" t="s">
        <v>570</v>
      </c>
      <c r="N1542" s="129" t="str">
        <f t="shared" si="1149"/>
        <v>N</v>
      </c>
      <c r="O1542" s="128" t="s">
        <v>917</v>
      </c>
      <c r="P1542" s="129" t="s">
        <v>39</v>
      </c>
      <c r="Q1542" s="111">
        <f t="shared" si="1143"/>
        <v>121</v>
      </c>
      <c r="R1542" s="111">
        <f t="shared" si="1128"/>
        <v>121</v>
      </c>
      <c r="S1542" s="129">
        <v>2</v>
      </c>
      <c r="T1542" s="129">
        <v>0</v>
      </c>
      <c r="W1542" s="111"/>
      <c r="AC1542" s="130"/>
      <c r="AD1542" s="130">
        <v>19820</v>
      </c>
      <c r="AE1542" s="128" t="s">
        <v>32</v>
      </c>
      <c r="AF1542" s="128" t="s">
        <v>69</v>
      </c>
      <c r="AG1542" s="128" t="s">
        <v>874</v>
      </c>
      <c r="AH1542" s="108" t="s">
        <v>58</v>
      </c>
      <c r="AI1542" s="128" t="s">
        <v>118</v>
      </c>
      <c r="AJ1542" s="129" t="s">
        <v>89</v>
      </c>
      <c r="AK1542" s="129">
        <v>4</v>
      </c>
      <c r="AL1542" s="3" t="s">
        <v>362</v>
      </c>
      <c r="AM1542" s="117">
        <v>2</v>
      </c>
      <c r="AP1542" s="129" t="s">
        <v>66</v>
      </c>
      <c r="AR1542" s="128" t="s">
        <v>67</v>
      </c>
      <c r="AS1542" s="129" t="s">
        <v>68</v>
      </c>
      <c r="BC1542" s="129" t="s">
        <v>38</v>
      </c>
      <c r="BF1542" s="111">
        <f t="shared" si="1144"/>
        <v>121</v>
      </c>
      <c r="BG1542" s="111">
        <f t="shared" si="1145"/>
        <v>121</v>
      </c>
      <c r="BH1542" s="111">
        <f t="shared" si="1150"/>
        <v>121</v>
      </c>
      <c r="BI1542" s="111">
        <f t="shared" si="1151"/>
        <v>57.784153005464482</v>
      </c>
      <c r="BJ1542" s="129">
        <f t="shared" si="1156"/>
        <v>0</v>
      </c>
      <c r="BK1542" s="129">
        <f t="shared" si="1152"/>
        <v>0</v>
      </c>
      <c r="BL1542" s="129" t="str">
        <f t="shared" si="1130"/>
        <v>CONVICTION</v>
      </c>
      <c r="BM1542" s="129" t="str">
        <f t="shared" si="1157"/>
        <v>NONE</v>
      </c>
      <c r="BN1542" s="129" t="s">
        <v>566</v>
      </c>
      <c r="BP1542" s="137" t="str">
        <f t="shared" si="1158"/>
        <v>CONVICTION</v>
      </c>
      <c r="BQ1542" s="128" t="str">
        <f t="shared" si="1159"/>
        <v>Y</v>
      </c>
      <c r="BR1542" s="129" t="str">
        <f t="shared" si="1160"/>
        <v>DETAINED</v>
      </c>
      <c r="BS1542" s="129" t="str">
        <f t="shared" si="1161"/>
        <v>DISPOSED</v>
      </c>
      <c r="BT1542" s="129" t="str">
        <f t="shared" si="1162"/>
        <v>Y</v>
      </c>
      <c r="BU1542" s="109">
        <f t="shared" si="1163"/>
        <v>1</v>
      </c>
      <c r="BV1542" s="109">
        <f t="shared" si="1164"/>
        <v>1</v>
      </c>
      <c r="BW1542" s="109">
        <f t="shared" si="1132"/>
        <v>0</v>
      </c>
      <c r="BX1542" s="111">
        <f t="shared" si="1165"/>
        <v>0</v>
      </c>
      <c r="BY1542" s="129">
        <f t="shared" si="1166"/>
        <v>-121</v>
      </c>
      <c r="BZ1542" s="111">
        <f t="shared" si="1167"/>
        <v>0</v>
      </c>
      <c r="CA1542" s="138">
        <f t="shared" si="1168"/>
        <v>121</v>
      </c>
      <c r="CB1542" s="111" t="e">
        <f t="shared" si="1146"/>
        <v>#VALUE!</v>
      </c>
      <c r="CC1542" s="129">
        <f t="shared" si="1147"/>
        <v>121</v>
      </c>
      <c r="CD1542" s="129">
        <f t="shared" si="1148"/>
        <v>0</v>
      </c>
      <c r="CG1542" s="129" t="str">
        <f t="shared" si="1169"/>
        <v>Y</v>
      </c>
      <c r="CI1542" s="129" t="str">
        <f t="shared" si="1170"/>
        <v>121-365 DAYS</v>
      </c>
      <c r="CJ1542" s="137">
        <f t="shared" si="1171"/>
        <v>6</v>
      </c>
      <c r="CK1542" s="129" t="str">
        <f t="shared" si="1172"/>
        <v>Booked</v>
      </c>
    </row>
    <row r="1543" spans="1:89" ht="15" customHeight="1" x14ac:dyDescent="0.25">
      <c r="A1543" s="111">
        <v>1300</v>
      </c>
      <c r="B1543" s="128" t="str">
        <f t="shared" si="1153"/>
        <v>N</v>
      </c>
      <c r="C1543" s="128" t="str">
        <f t="shared" si="1154"/>
        <v>N</v>
      </c>
      <c r="D1543" s="117">
        <v>2101000</v>
      </c>
      <c r="E1543" s="135">
        <f t="shared" si="1155"/>
        <v>6</v>
      </c>
      <c r="F1543" s="124">
        <v>40956</v>
      </c>
      <c r="G1543" s="125">
        <v>41184</v>
      </c>
      <c r="H1543" s="117">
        <v>2101000</v>
      </c>
      <c r="I1543" s="124">
        <v>40956</v>
      </c>
      <c r="J1543" s="124">
        <v>40958</v>
      </c>
      <c r="K1543" s="126">
        <v>70000</v>
      </c>
      <c r="L1543" s="129" t="s">
        <v>572</v>
      </c>
      <c r="M1543" s="125">
        <v>40958</v>
      </c>
      <c r="N1543" s="129" t="str">
        <f t="shared" si="1149"/>
        <v>Y</v>
      </c>
      <c r="O1543" s="128" t="s">
        <v>76</v>
      </c>
      <c r="P1543" s="129" t="s">
        <v>39</v>
      </c>
      <c r="Q1543" s="111">
        <f t="shared" si="1143"/>
        <v>3</v>
      </c>
      <c r="R1543" s="111">
        <f t="shared" si="1128"/>
        <v>229</v>
      </c>
      <c r="S1543" s="129">
        <v>3</v>
      </c>
      <c r="T1543" s="129">
        <v>3</v>
      </c>
      <c r="U1543" s="129">
        <v>1</v>
      </c>
      <c r="W1543" s="111"/>
      <c r="AC1543" s="130"/>
      <c r="AD1543" s="130">
        <v>31871</v>
      </c>
      <c r="AE1543" s="128" t="s">
        <v>32</v>
      </c>
      <c r="AF1543" s="128" t="s">
        <v>33</v>
      </c>
      <c r="AG1543" s="128" t="s">
        <v>872</v>
      </c>
      <c r="AH1543" s="108" t="s">
        <v>58</v>
      </c>
      <c r="AI1543" s="128" t="s">
        <v>72</v>
      </c>
      <c r="AJ1543" s="129" t="s">
        <v>89</v>
      </c>
      <c r="AK1543" s="129">
        <v>8</v>
      </c>
      <c r="AL1543" s="3" t="s">
        <v>362</v>
      </c>
      <c r="AM1543" s="117">
        <v>3</v>
      </c>
      <c r="AP1543" s="129" t="s">
        <v>315</v>
      </c>
      <c r="AR1543" s="128" t="s">
        <v>92</v>
      </c>
      <c r="AS1543" s="129" t="s">
        <v>82</v>
      </c>
      <c r="BC1543" s="129" t="s">
        <v>52</v>
      </c>
      <c r="BF1543" s="111">
        <f t="shared" si="1144"/>
        <v>3</v>
      </c>
      <c r="BG1543" s="111">
        <f t="shared" si="1145"/>
        <v>229</v>
      </c>
      <c r="BH1543" s="111">
        <f t="shared" si="1150"/>
        <v>229</v>
      </c>
      <c r="BI1543" s="111">
        <f t="shared" si="1151"/>
        <v>24.8224043715847</v>
      </c>
      <c r="BJ1543" s="129">
        <f>(G1543-J1543)+(M1543-G1543)</f>
        <v>0</v>
      </c>
      <c r="BK1543" s="129">
        <f t="shared" si="1152"/>
        <v>-226</v>
      </c>
      <c r="BL1543" s="129" t="str">
        <f t="shared" si="1130"/>
        <v>CONVICTION</v>
      </c>
      <c r="BM1543" s="129" t="s">
        <v>76</v>
      </c>
      <c r="BN1543" s="129" t="s">
        <v>88</v>
      </c>
      <c r="BP1543" s="137" t="str">
        <f t="shared" si="1158"/>
        <v>CONVICTION</v>
      </c>
      <c r="BQ1543" s="128" t="str">
        <f t="shared" si="1159"/>
        <v>Y</v>
      </c>
      <c r="BR1543" s="129" t="str">
        <f>IF(J1543&lt;G1543,"ON BOND",0)</f>
        <v>ON BOND</v>
      </c>
      <c r="BS1543" s="129" t="str">
        <f t="shared" si="1161"/>
        <v>DISPOSED</v>
      </c>
      <c r="BT1543" s="129" t="str">
        <f t="shared" si="1162"/>
        <v>Y</v>
      </c>
      <c r="BU1543" s="109">
        <f t="shared" si="1163"/>
        <v>1.3100436681222707E-2</v>
      </c>
      <c r="BV1543" s="109">
        <f t="shared" si="1164"/>
        <v>1.3100436681222707E-2</v>
      </c>
      <c r="BW1543" s="109">
        <f t="shared" si="1132"/>
        <v>0</v>
      </c>
      <c r="BX1543" s="111">
        <f t="shared" si="1165"/>
        <v>0</v>
      </c>
      <c r="BY1543" s="129">
        <f t="shared" si="1166"/>
        <v>-3</v>
      </c>
      <c r="BZ1543" s="111">
        <f t="shared" si="1167"/>
        <v>0</v>
      </c>
      <c r="CA1543" s="138">
        <f t="shared" si="1168"/>
        <v>3</v>
      </c>
      <c r="CB1543" s="111" t="e">
        <f t="shared" si="1146"/>
        <v>#VALUE!</v>
      </c>
      <c r="CC1543" s="129">
        <f>M1543-I1543+1</f>
        <v>3</v>
      </c>
      <c r="CD1543" s="111">
        <f>CC1543-BF1543</f>
        <v>0</v>
      </c>
      <c r="CG1543" s="129" t="str">
        <f t="shared" si="1169"/>
        <v>Y</v>
      </c>
      <c r="CI1543" s="129" t="str">
        <f t="shared" si="1170"/>
        <v>0-10 DAYS</v>
      </c>
      <c r="CJ1543" s="137">
        <f t="shared" si="1171"/>
        <v>1</v>
      </c>
      <c r="CK1543" s="129" t="str">
        <f t="shared" si="1172"/>
        <v>Booked</v>
      </c>
    </row>
    <row r="1544" spans="1:89" ht="15.75" customHeight="1" x14ac:dyDescent="0.25">
      <c r="A1544" s="111">
        <v>1143</v>
      </c>
      <c r="B1544" s="128" t="str">
        <f t="shared" si="1153"/>
        <v>N</v>
      </c>
      <c r="C1544" s="128" t="str">
        <f t="shared" si="1154"/>
        <v>N</v>
      </c>
      <c r="D1544" s="117">
        <v>2101815</v>
      </c>
      <c r="E1544" s="135">
        <f t="shared" si="1155"/>
        <v>2</v>
      </c>
      <c r="F1544" s="124">
        <v>40950</v>
      </c>
      <c r="G1544" s="125">
        <v>40952</v>
      </c>
      <c r="H1544" s="117">
        <v>2101815</v>
      </c>
      <c r="I1544" s="124">
        <v>40950</v>
      </c>
      <c r="J1544" s="124">
        <v>40952</v>
      </c>
      <c r="K1544" s="126">
        <v>2000</v>
      </c>
      <c r="L1544" s="127" t="s">
        <v>568</v>
      </c>
      <c r="N1544" s="129" t="str">
        <f t="shared" si="1149"/>
        <v>N</v>
      </c>
      <c r="O1544" s="128" t="s">
        <v>917</v>
      </c>
      <c r="P1544" s="129" t="s">
        <v>589</v>
      </c>
      <c r="Q1544" s="111">
        <f t="shared" si="1143"/>
        <v>3</v>
      </c>
      <c r="R1544" s="111">
        <f t="shared" si="1128"/>
        <v>3</v>
      </c>
      <c r="S1544" s="129">
        <v>0</v>
      </c>
      <c r="T1544" s="129">
        <v>1</v>
      </c>
      <c r="W1544" s="111"/>
      <c r="AC1544" s="130"/>
      <c r="AD1544" s="130">
        <v>29159</v>
      </c>
      <c r="AE1544" s="128" t="s">
        <v>32</v>
      </c>
      <c r="AF1544" s="128" t="s">
        <v>33</v>
      </c>
      <c r="AG1544" s="128" t="s">
        <v>872</v>
      </c>
      <c r="AH1544" s="108" t="s">
        <v>31</v>
      </c>
      <c r="AI1544" s="128" t="s">
        <v>114</v>
      </c>
      <c r="AJ1544" s="129" t="s">
        <v>48</v>
      </c>
      <c r="AK1544" s="129">
        <v>1</v>
      </c>
      <c r="AL1544" s="3" t="s">
        <v>48</v>
      </c>
      <c r="AP1544" s="129" t="s">
        <v>43</v>
      </c>
      <c r="AR1544" s="128" t="s">
        <v>44</v>
      </c>
      <c r="AS1544" s="129" t="s">
        <v>45</v>
      </c>
      <c r="AT1544" s="129" t="s">
        <v>295</v>
      </c>
      <c r="AX1544" s="32"/>
      <c r="BC1544" s="129" t="s">
        <v>38</v>
      </c>
      <c r="BF1544" s="111">
        <f t="shared" si="1144"/>
        <v>3</v>
      </c>
      <c r="BG1544" s="111">
        <f t="shared" si="1145"/>
        <v>3</v>
      </c>
      <c r="BH1544" s="111">
        <f t="shared" si="1150"/>
        <v>3</v>
      </c>
      <c r="BI1544" s="111">
        <f t="shared" si="1151"/>
        <v>32.215846994535518</v>
      </c>
      <c r="BJ1544" s="129">
        <f t="shared" si="1156"/>
        <v>0</v>
      </c>
      <c r="BK1544" s="129">
        <f t="shared" si="1152"/>
        <v>0</v>
      </c>
      <c r="BL1544" s="129" t="str">
        <f t="shared" si="1130"/>
        <v>DEFERRED</v>
      </c>
      <c r="BM1544" s="129" t="str">
        <f t="shared" si="1157"/>
        <v>NONE</v>
      </c>
      <c r="BN1544" s="129" t="s">
        <v>566</v>
      </c>
      <c r="BP1544" s="137" t="str">
        <f t="shared" si="1158"/>
        <v>DEFERRED</v>
      </c>
      <c r="BQ1544" s="128" t="str">
        <f t="shared" si="1159"/>
        <v>Y</v>
      </c>
      <c r="BR1544" s="129" t="str">
        <f t="shared" si="1160"/>
        <v>DETAINED</v>
      </c>
      <c r="BS1544" s="129" t="str">
        <f t="shared" si="1161"/>
        <v>DISPOSED</v>
      </c>
      <c r="BT1544" s="129" t="str">
        <f t="shared" si="1162"/>
        <v>N</v>
      </c>
      <c r="BU1544" s="109">
        <f t="shared" si="1163"/>
        <v>1</v>
      </c>
      <c r="BV1544" s="109">
        <f t="shared" si="1164"/>
        <v>1</v>
      </c>
      <c r="BW1544" s="109">
        <f t="shared" si="1132"/>
        <v>0</v>
      </c>
      <c r="BX1544" s="111">
        <f t="shared" si="1165"/>
        <v>0</v>
      </c>
      <c r="BY1544" s="129">
        <f t="shared" si="1166"/>
        <v>-3</v>
      </c>
      <c r="BZ1544" s="111">
        <f t="shared" si="1167"/>
        <v>0</v>
      </c>
      <c r="CA1544" s="138">
        <f t="shared" si="1168"/>
        <v>3</v>
      </c>
      <c r="CB1544" s="111" t="e">
        <f t="shared" si="1146"/>
        <v>#VALUE!</v>
      </c>
      <c r="CC1544" s="129">
        <f t="shared" ref="CC1544:CC1550" si="1173">G1544-I1544+1</f>
        <v>3</v>
      </c>
      <c r="CD1544" s="129">
        <f t="shared" ref="CD1544:CD1550" si="1174">G1544-J1544</f>
        <v>0</v>
      </c>
      <c r="CG1544" s="129" t="str">
        <f t="shared" si="1169"/>
        <v>Y</v>
      </c>
      <c r="CI1544" s="129" t="str">
        <f t="shared" si="1170"/>
        <v>0-10 DAYS</v>
      </c>
      <c r="CJ1544" s="137">
        <f t="shared" si="1171"/>
        <v>1</v>
      </c>
      <c r="CK1544" s="129" t="str">
        <f t="shared" si="1172"/>
        <v>Booked</v>
      </c>
    </row>
    <row r="1545" spans="1:89" ht="15" customHeight="1" x14ac:dyDescent="0.25">
      <c r="A1545" s="111">
        <v>951</v>
      </c>
      <c r="B1545" s="128" t="str">
        <f t="shared" si="1153"/>
        <v>N</v>
      </c>
      <c r="C1545" s="128" t="str">
        <f t="shared" si="1154"/>
        <v>N</v>
      </c>
      <c r="D1545" s="117">
        <v>2101944</v>
      </c>
      <c r="E1545" s="135">
        <f t="shared" si="1155"/>
        <v>2</v>
      </c>
      <c r="F1545" s="124">
        <v>40943</v>
      </c>
      <c r="G1545" s="125">
        <v>41148</v>
      </c>
      <c r="H1545" s="117">
        <v>2101944</v>
      </c>
      <c r="I1545" s="124">
        <v>40955</v>
      </c>
      <c r="J1545" s="124">
        <v>41148</v>
      </c>
      <c r="K1545" s="126">
        <v>20000</v>
      </c>
      <c r="L1545" s="127" t="s">
        <v>571</v>
      </c>
      <c r="N1545" s="129" t="str">
        <f t="shared" si="1149"/>
        <v>N</v>
      </c>
      <c r="O1545" s="128" t="s">
        <v>917</v>
      </c>
      <c r="P1545" s="129" t="s">
        <v>589</v>
      </c>
      <c r="Q1545" s="111">
        <f t="shared" si="1143"/>
        <v>194</v>
      </c>
      <c r="R1545" s="111">
        <f t="shared" si="1128"/>
        <v>206</v>
      </c>
      <c r="S1545" s="129">
        <v>1</v>
      </c>
      <c r="T1545" s="129">
        <v>4</v>
      </c>
      <c r="U1545" s="129">
        <v>1</v>
      </c>
      <c r="W1545" s="111"/>
      <c r="AC1545" s="130"/>
      <c r="AD1545" s="130">
        <v>31652</v>
      </c>
      <c r="AE1545" s="128" t="s">
        <v>32</v>
      </c>
      <c r="AF1545" s="128" t="s">
        <v>40</v>
      </c>
      <c r="AG1545" s="128" t="s">
        <v>41</v>
      </c>
      <c r="AH1545" s="108" t="s">
        <v>41</v>
      </c>
      <c r="AI1545" s="128" t="s">
        <v>71</v>
      </c>
      <c r="AJ1545" s="129" t="s">
        <v>48</v>
      </c>
      <c r="AK1545" s="129">
        <v>11</v>
      </c>
      <c r="AL1545" s="3" t="s">
        <v>48</v>
      </c>
      <c r="AP1545" s="129" t="s">
        <v>223</v>
      </c>
      <c r="AR1545" s="128" t="s">
        <v>50</v>
      </c>
      <c r="AS1545" s="129" t="s">
        <v>74</v>
      </c>
      <c r="BC1545" s="129" t="s">
        <v>52</v>
      </c>
      <c r="BF1545" s="111">
        <f t="shared" si="1144"/>
        <v>194</v>
      </c>
      <c r="BG1545" s="111">
        <f t="shared" si="1145"/>
        <v>194</v>
      </c>
      <c r="BH1545" s="111">
        <f t="shared" si="1150"/>
        <v>206</v>
      </c>
      <c r="BI1545" s="111">
        <f t="shared" si="1151"/>
        <v>25.385245901639344</v>
      </c>
      <c r="BJ1545" s="129">
        <f t="shared" si="1156"/>
        <v>0</v>
      </c>
      <c r="BK1545" s="129">
        <f t="shared" si="1152"/>
        <v>0</v>
      </c>
      <c r="BL1545" s="129" t="str">
        <f t="shared" si="1130"/>
        <v>DEFERRED</v>
      </c>
      <c r="BM1545" s="129" t="str">
        <f t="shared" si="1157"/>
        <v>NONE</v>
      </c>
      <c r="BN1545" s="129" t="s">
        <v>566</v>
      </c>
      <c r="BP1545" s="137" t="str">
        <f t="shared" si="1158"/>
        <v>DEFERRED</v>
      </c>
      <c r="BQ1545" s="128" t="str">
        <f t="shared" si="1159"/>
        <v>Y</v>
      </c>
      <c r="BR1545" s="129" t="str">
        <f t="shared" si="1160"/>
        <v>DETAINED</v>
      </c>
      <c r="BS1545" s="129" t="str">
        <f t="shared" si="1161"/>
        <v>DISPOSED</v>
      </c>
      <c r="BT1545" s="129" t="str">
        <f t="shared" si="1162"/>
        <v>Y</v>
      </c>
      <c r="BU1545" s="109">
        <f t="shared" si="1163"/>
        <v>0.94174757281553401</v>
      </c>
      <c r="BV1545" s="109">
        <f t="shared" si="1164"/>
        <v>1</v>
      </c>
      <c r="BW1545" s="109">
        <f t="shared" si="1132"/>
        <v>5.8252427184465994E-2</v>
      </c>
      <c r="BX1545" s="111">
        <f t="shared" si="1165"/>
        <v>0</v>
      </c>
      <c r="BY1545" s="129">
        <f t="shared" si="1166"/>
        <v>-194</v>
      </c>
      <c r="BZ1545" s="111">
        <f t="shared" si="1167"/>
        <v>0</v>
      </c>
      <c r="CA1545" s="138">
        <f t="shared" si="1168"/>
        <v>194</v>
      </c>
      <c r="CB1545" s="111" t="e">
        <f t="shared" si="1146"/>
        <v>#VALUE!</v>
      </c>
      <c r="CC1545" s="129">
        <f t="shared" si="1173"/>
        <v>194</v>
      </c>
      <c r="CD1545" s="129">
        <f t="shared" si="1174"/>
        <v>0</v>
      </c>
      <c r="CG1545" s="129" t="str">
        <f t="shared" si="1169"/>
        <v>Y</v>
      </c>
      <c r="CI1545" s="129" t="str">
        <f t="shared" si="1170"/>
        <v>121-365 DAYS</v>
      </c>
      <c r="CJ1545" s="137">
        <f t="shared" si="1171"/>
        <v>6</v>
      </c>
      <c r="CK1545" s="129" t="str">
        <f t="shared" si="1172"/>
        <v>Booked</v>
      </c>
    </row>
    <row r="1546" spans="1:89" ht="15.75" customHeight="1" x14ac:dyDescent="0.25">
      <c r="A1546" s="111">
        <v>389</v>
      </c>
      <c r="B1546" s="128" t="str">
        <f t="shared" si="1153"/>
        <v>N</v>
      </c>
      <c r="C1546" s="128" t="str">
        <f t="shared" si="1154"/>
        <v>N</v>
      </c>
      <c r="D1546" s="117">
        <v>2103440</v>
      </c>
      <c r="E1546" s="135">
        <f t="shared" si="1155"/>
        <v>6</v>
      </c>
      <c r="F1546" s="124">
        <v>40925</v>
      </c>
      <c r="G1546" s="125">
        <v>40981</v>
      </c>
      <c r="H1546" s="117">
        <v>2103440</v>
      </c>
      <c r="I1546" s="124">
        <v>40925</v>
      </c>
      <c r="J1546" s="124">
        <v>40981</v>
      </c>
      <c r="K1546" s="126" t="s">
        <v>564</v>
      </c>
      <c r="L1546" s="127" t="s">
        <v>564</v>
      </c>
      <c r="N1546" s="129" t="s">
        <v>566</v>
      </c>
      <c r="O1546" s="128" t="s">
        <v>917</v>
      </c>
      <c r="P1546" s="129" t="s">
        <v>77</v>
      </c>
      <c r="Q1546" s="111">
        <f t="shared" si="1143"/>
        <v>57</v>
      </c>
      <c r="R1546" s="111">
        <f t="shared" si="1128"/>
        <v>57</v>
      </c>
      <c r="S1546" s="129">
        <v>1</v>
      </c>
      <c r="T1546" s="129">
        <v>3</v>
      </c>
      <c r="W1546" s="111"/>
      <c r="AC1546" s="130"/>
      <c r="AD1546" s="130">
        <v>31736</v>
      </c>
      <c r="AE1546" s="128" t="s">
        <v>32</v>
      </c>
      <c r="AF1546" s="128" t="s">
        <v>69</v>
      </c>
      <c r="AG1546" s="128" t="s">
        <v>874</v>
      </c>
      <c r="AH1546" s="108" t="s">
        <v>58</v>
      </c>
      <c r="AI1546" s="128" t="s">
        <v>70</v>
      </c>
      <c r="AJ1546" s="129" t="s">
        <v>89</v>
      </c>
      <c r="AK1546" s="129">
        <v>5</v>
      </c>
      <c r="AL1546" s="3" t="s">
        <v>362</v>
      </c>
      <c r="AM1546" s="117">
        <v>3</v>
      </c>
      <c r="AP1546" s="129" t="s">
        <v>202</v>
      </c>
      <c r="AR1546" s="128" t="s">
        <v>44</v>
      </c>
      <c r="AS1546" s="129" t="s">
        <v>61</v>
      </c>
      <c r="BC1546" s="129" t="s">
        <v>38</v>
      </c>
      <c r="BF1546" s="111">
        <f t="shared" si="1144"/>
        <v>57</v>
      </c>
      <c r="BG1546" s="111">
        <f t="shared" si="1145"/>
        <v>57</v>
      </c>
      <c r="BH1546" s="111">
        <f t="shared" si="1150"/>
        <v>57</v>
      </c>
      <c r="BI1546" s="111">
        <f t="shared" si="1151"/>
        <v>25.106557377049182</v>
      </c>
      <c r="BJ1546" s="129">
        <f t="shared" si="1156"/>
        <v>0</v>
      </c>
      <c r="BK1546" s="129">
        <f t="shared" si="1152"/>
        <v>0</v>
      </c>
      <c r="BL1546" s="129" t="str">
        <f t="shared" si="1130"/>
        <v>CONVICTION</v>
      </c>
      <c r="BM1546" s="129" t="str">
        <f t="shared" si="1157"/>
        <v>NONE</v>
      </c>
      <c r="BN1546" s="129" t="s">
        <v>566</v>
      </c>
      <c r="BP1546" s="137" t="str">
        <f t="shared" si="1158"/>
        <v>CONVICTION</v>
      </c>
      <c r="BQ1546" s="128" t="str">
        <f t="shared" si="1159"/>
        <v>Y</v>
      </c>
      <c r="BR1546" s="129" t="str">
        <f t="shared" si="1160"/>
        <v>DETAINED</v>
      </c>
      <c r="BS1546" s="129" t="str">
        <f t="shared" si="1161"/>
        <v>DISPOSED</v>
      </c>
      <c r="BT1546" s="129" t="str">
        <f t="shared" si="1162"/>
        <v>Y</v>
      </c>
      <c r="BU1546" s="109">
        <f t="shared" si="1163"/>
        <v>1</v>
      </c>
      <c r="BV1546" s="109">
        <f t="shared" si="1164"/>
        <v>1</v>
      </c>
      <c r="BW1546" s="109">
        <f t="shared" si="1132"/>
        <v>0</v>
      </c>
      <c r="BX1546" s="111">
        <f t="shared" si="1165"/>
        <v>0</v>
      </c>
      <c r="BY1546" s="129">
        <f t="shared" si="1166"/>
        <v>-57</v>
      </c>
      <c r="BZ1546" s="111">
        <f t="shared" si="1167"/>
        <v>0</v>
      </c>
      <c r="CA1546" s="138">
        <f t="shared" si="1168"/>
        <v>57</v>
      </c>
      <c r="CB1546" s="111" t="e">
        <f t="shared" si="1146"/>
        <v>#VALUE!</v>
      </c>
      <c r="CC1546" s="129">
        <f t="shared" si="1173"/>
        <v>57</v>
      </c>
      <c r="CD1546" s="129">
        <f t="shared" si="1174"/>
        <v>0</v>
      </c>
      <c r="CG1546" s="129" t="str">
        <f t="shared" si="1169"/>
        <v>Y</v>
      </c>
      <c r="CI1546" s="129" t="str">
        <f t="shared" si="1170"/>
        <v>31-60 DAYS</v>
      </c>
      <c r="CJ1546" s="137">
        <f t="shared" si="1171"/>
        <v>3</v>
      </c>
      <c r="CK1546" s="129" t="str">
        <f t="shared" si="1172"/>
        <v>Booked</v>
      </c>
    </row>
    <row r="1547" spans="1:89" ht="15.75" customHeight="1" x14ac:dyDescent="0.25">
      <c r="A1547" s="111">
        <v>2822</v>
      </c>
      <c r="B1547" s="128" t="str">
        <f t="shared" si="1153"/>
        <v>N</v>
      </c>
      <c r="C1547" s="128" t="str">
        <f t="shared" si="1154"/>
        <v>N</v>
      </c>
      <c r="D1547" s="117">
        <v>2103534</v>
      </c>
      <c r="E1547" s="135">
        <f t="shared" si="1155"/>
        <v>6</v>
      </c>
      <c r="F1547" s="124">
        <v>41012</v>
      </c>
      <c r="G1547" s="125">
        <v>41190</v>
      </c>
      <c r="H1547" s="117">
        <v>2103534</v>
      </c>
      <c r="I1547" s="124">
        <v>41012</v>
      </c>
      <c r="J1547" s="124">
        <v>41190</v>
      </c>
      <c r="K1547" s="126">
        <v>20000</v>
      </c>
      <c r="L1547" s="127" t="s">
        <v>571</v>
      </c>
      <c r="N1547" s="129" t="str">
        <f>IF(M1547&gt;1/1/1,"Y","N")</f>
        <v>N</v>
      </c>
      <c r="O1547" s="128" t="s">
        <v>917</v>
      </c>
      <c r="P1547" s="129" t="s">
        <v>39</v>
      </c>
      <c r="Q1547" s="111">
        <f t="shared" si="1143"/>
        <v>179</v>
      </c>
      <c r="R1547" s="111">
        <f t="shared" si="1128"/>
        <v>179</v>
      </c>
      <c r="S1547" s="129">
        <v>4</v>
      </c>
      <c r="T1547" s="129">
        <v>3</v>
      </c>
      <c r="U1547" s="129">
        <v>1</v>
      </c>
      <c r="W1547" s="111"/>
      <c r="AB1547" s="131" t="s">
        <v>112</v>
      </c>
      <c r="AC1547" s="130"/>
      <c r="AD1547" s="130">
        <v>31992</v>
      </c>
      <c r="AE1547" s="128" t="s">
        <v>32</v>
      </c>
      <c r="AF1547" s="128" t="s">
        <v>40</v>
      </c>
      <c r="AG1547" s="128" t="s">
        <v>41</v>
      </c>
      <c r="AH1547" s="108" t="s">
        <v>31</v>
      </c>
      <c r="AI1547" s="128" t="s">
        <v>47</v>
      </c>
      <c r="AJ1547" s="129" t="s">
        <v>89</v>
      </c>
      <c r="AK1547" s="129">
        <v>7</v>
      </c>
      <c r="AL1547" s="3" t="s">
        <v>362</v>
      </c>
      <c r="AM1547" s="117">
        <v>6</v>
      </c>
      <c r="AP1547" s="129" t="s">
        <v>56</v>
      </c>
      <c r="AR1547" s="128" t="s">
        <v>50</v>
      </c>
      <c r="AS1547" s="129" t="s">
        <v>57</v>
      </c>
      <c r="BC1547" s="129" t="s">
        <v>52</v>
      </c>
      <c r="BF1547" s="111">
        <f t="shared" si="1144"/>
        <v>179</v>
      </c>
      <c r="BG1547" s="111">
        <f t="shared" si="1145"/>
        <v>179</v>
      </c>
      <c r="BH1547" s="111">
        <f t="shared" si="1150"/>
        <v>179</v>
      </c>
      <c r="BI1547" s="111">
        <f t="shared" si="1151"/>
        <v>24.644808743169399</v>
      </c>
      <c r="BJ1547" s="129">
        <f t="shared" si="1156"/>
        <v>0</v>
      </c>
      <c r="BK1547" s="129">
        <f t="shared" si="1152"/>
        <v>0</v>
      </c>
      <c r="BL1547" s="129" t="str">
        <f t="shared" si="1130"/>
        <v>CONVICTION</v>
      </c>
      <c r="BM1547" s="129" t="str">
        <f t="shared" si="1157"/>
        <v>NONE</v>
      </c>
      <c r="BN1547" s="129" t="s">
        <v>566</v>
      </c>
      <c r="BP1547" s="137" t="str">
        <f t="shared" si="1158"/>
        <v>CONVICTION</v>
      </c>
      <c r="BQ1547" s="128" t="str">
        <f t="shared" si="1159"/>
        <v>Y</v>
      </c>
      <c r="BR1547" s="129" t="str">
        <f t="shared" si="1160"/>
        <v>DETAINED</v>
      </c>
      <c r="BS1547" s="129" t="str">
        <f t="shared" si="1161"/>
        <v>DISPOSED</v>
      </c>
      <c r="BT1547" s="129" t="str">
        <f t="shared" si="1162"/>
        <v>Y</v>
      </c>
      <c r="BU1547" s="109">
        <f t="shared" si="1163"/>
        <v>1</v>
      </c>
      <c r="BV1547" s="109">
        <f t="shared" si="1164"/>
        <v>1</v>
      </c>
      <c r="BW1547" s="109">
        <f t="shared" si="1132"/>
        <v>0</v>
      </c>
      <c r="BX1547" s="111">
        <f t="shared" si="1165"/>
        <v>0</v>
      </c>
      <c r="BY1547" s="129">
        <f t="shared" si="1166"/>
        <v>-179</v>
      </c>
      <c r="BZ1547" s="111">
        <f t="shared" si="1167"/>
        <v>0</v>
      </c>
      <c r="CA1547" s="138">
        <f t="shared" si="1168"/>
        <v>179</v>
      </c>
      <c r="CB1547" s="111" t="e">
        <f t="shared" si="1146"/>
        <v>#VALUE!</v>
      </c>
      <c r="CC1547" s="129">
        <f t="shared" si="1173"/>
        <v>179</v>
      </c>
      <c r="CD1547" s="129">
        <f t="shared" si="1174"/>
        <v>0</v>
      </c>
      <c r="CG1547" s="129" t="str">
        <f t="shared" si="1169"/>
        <v>Y</v>
      </c>
      <c r="CI1547" s="129" t="str">
        <f t="shared" si="1170"/>
        <v>121-365 DAYS</v>
      </c>
      <c r="CJ1547" s="137">
        <f t="shared" si="1171"/>
        <v>6</v>
      </c>
      <c r="CK1547" s="129" t="str">
        <f t="shared" si="1172"/>
        <v>Booked</v>
      </c>
    </row>
    <row r="1548" spans="1:89" ht="15.75" customHeight="1" x14ac:dyDescent="0.25">
      <c r="A1548" s="111">
        <v>1265</v>
      </c>
      <c r="B1548" s="128" t="str">
        <f t="shared" si="1153"/>
        <v>N</v>
      </c>
      <c r="C1548" s="128" t="str">
        <f t="shared" si="1154"/>
        <v>N</v>
      </c>
      <c r="D1548" s="117">
        <v>2105939</v>
      </c>
      <c r="E1548" s="135">
        <f t="shared" si="1155"/>
        <v>3</v>
      </c>
      <c r="F1548" s="124">
        <v>40955</v>
      </c>
      <c r="G1548" s="125">
        <v>40991</v>
      </c>
      <c r="H1548" s="117">
        <v>2105939</v>
      </c>
      <c r="I1548" s="124">
        <v>40955</v>
      </c>
      <c r="J1548" s="124">
        <v>40991</v>
      </c>
      <c r="K1548" s="126">
        <v>15000</v>
      </c>
      <c r="L1548" s="127" t="s">
        <v>571</v>
      </c>
      <c r="N1548" s="129" t="str">
        <f>IF(M1548&gt;1/1/1,"Y","N")</f>
        <v>N</v>
      </c>
      <c r="O1548" s="128" t="s">
        <v>917</v>
      </c>
      <c r="P1548" s="129" t="s">
        <v>39</v>
      </c>
      <c r="Q1548" s="111">
        <f t="shared" si="1143"/>
        <v>37</v>
      </c>
      <c r="R1548" s="111">
        <f t="shared" si="1128"/>
        <v>37</v>
      </c>
      <c r="S1548" s="129">
        <v>4</v>
      </c>
      <c r="T1548" s="129">
        <v>2</v>
      </c>
      <c r="U1548" s="129">
        <v>2</v>
      </c>
      <c r="W1548" s="111"/>
      <c r="AC1548" s="130"/>
      <c r="AD1548" s="130">
        <v>32017</v>
      </c>
      <c r="AE1548" s="128" t="s">
        <v>32</v>
      </c>
      <c r="AF1548" s="128" t="s">
        <v>33</v>
      </c>
      <c r="AG1548" s="128" t="s">
        <v>872</v>
      </c>
      <c r="AH1548" s="108" t="s">
        <v>58</v>
      </c>
      <c r="AI1548" s="128" t="s">
        <v>71</v>
      </c>
      <c r="AJ1548" s="129" t="s">
        <v>89</v>
      </c>
      <c r="AK1548" s="129">
        <v>3</v>
      </c>
      <c r="AL1548" s="3" t="s">
        <v>185</v>
      </c>
      <c r="AP1548" s="129" t="s">
        <v>198</v>
      </c>
      <c r="AR1548" s="128" t="s">
        <v>46</v>
      </c>
      <c r="AS1548" s="129" t="s">
        <v>45</v>
      </c>
      <c r="AX1548" s="32"/>
      <c r="BC1548" s="129" t="s">
        <v>38</v>
      </c>
      <c r="BF1548" s="111">
        <f t="shared" si="1144"/>
        <v>37</v>
      </c>
      <c r="BG1548" s="111">
        <f t="shared" si="1145"/>
        <v>37</v>
      </c>
      <c r="BH1548" s="111">
        <f t="shared" si="1150"/>
        <v>37</v>
      </c>
      <c r="BI1548" s="111">
        <f t="shared" si="1151"/>
        <v>24.420765027322403</v>
      </c>
      <c r="BJ1548" s="129">
        <f t="shared" si="1156"/>
        <v>0</v>
      </c>
      <c r="BK1548" s="129">
        <f t="shared" si="1152"/>
        <v>0</v>
      </c>
      <c r="BL1548" s="129" t="str">
        <f t="shared" si="1130"/>
        <v>CONVICTION</v>
      </c>
      <c r="BM1548" s="129" t="str">
        <f t="shared" si="1157"/>
        <v>NONE</v>
      </c>
      <c r="BN1548" s="129" t="s">
        <v>566</v>
      </c>
      <c r="BP1548" s="137" t="str">
        <f t="shared" si="1158"/>
        <v>CONVICTION</v>
      </c>
      <c r="BQ1548" s="128" t="str">
        <f t="shared" si="1159"/>
        <v>Y</v>
      </c>
      <c r="BR1548" s="129" t="str">
        <f t="shared" si="1160"/>
        <v>DETAINED</v>
      </c>
      <c r="BS1548" s="129" t="str">
        <f t="shared" si="1161"/>
        <v>DISPOSED</v>
      </c>
      <c r="BT1548" s="129" t="str">
        <f t="shared" si="1162"/>
        <v>Y</v>
      </c>
      <c r="BU1548" s="109">
        <f t="shared" si="1163"/>
        <v>1</v>
      </c>
      <c r="BV1548" s="109">
        <f t="shared" si="1164"/>
        <v>1</v>
      </c>
      <c r="BW1548" s="109">
        <f t="shared" si="1132"/>
        <v>0</v>
      </c>
      <c r="BX1548" s="111">
        <f t="shared" si="1165"/>
        <v>0</v>
      </c>
      <c r="BY1548" s="129">
        <f t="shared" si="1166"/>
        <v>-37</v>
      </c>
      <c r="BZ1548" s="111">
        <f t="shared" si="1167"/>
        <v>0</v>
      </c>
      <c r="CA1548" s="138">
        <f t="shared" si="1168"/>
        <v>37</v>
      </c>
      <c r="CB1548" s="111" t="e">
        <f t="shared" si="1146"/>
        <v>#VALUE!</v>
      </c>
      <c r="CC1548" s="129">
        <f t="shared" si="1173"/>
        <v>37</v>
      </c>
      <c r="CD1548" s="129">
        <f t="shared" si="1174"/>
        <v>0</v>
      </c>
      <c r="CG1548" s="129" t="str">
        <f t="shared" si="1169"/>
        <v>Y</v>
      </c>
      <c r="CI1548" s="129" t="str">
        <f t="shared" si="1170"/>
        <v>31-60 DAYS</v>
      </c>
      <c r="CJ1548" s="137">
        <f t="shared" si="1171"/>
        <v>3</v>
      </c>
      <c r="CK1548" s="129" t="str">
        <f t="shared" si="1172"/>
        <v>Booked</v>
      </c>
    </row>
    <row r="1549" spans="1:89" ht="15.75" customHeight="1" x14ac:dyDescent="0.25">
      <c r="A1549" s="111">
        <v>3062</v>
      </c>
      <c r="B1549" s="128" t="str">
        <f t="shared" si="1153"/>
        <v>N</v>
      </c>
      <c r="C1549" s="128" t="str">
        <f t="shared" si="1154"/>
        <v>N</v>
      </c>
      <c r="D1549" s="117">
        <v>2107008</v>
      </c>
      <c r="E1549" s="135">
        <f t="shared" si="1155"/>
        <v>5</v>
      </c>
      <c r="F1549" s="124">
        <v>41022</v>
      </c>
      <c r="G1549" s="125">
        <v>41177</v>
      </c>
      <c r="H1549" s="117">
        <v>2107008</v>
      </c>
      <c r="I1549" s="124">
        <v>41023</v>
      </c>
      <c r="J1549" s="124">
        <v>41177</v>
      </c>
      <c r="K1549" s="126">
        <v>15000</v>
      </c>
      <c r="L1549" s="127" t="s">
        <v>571</v>
      </c>
      <c r="N1549" s="129" t="str">
        <f>IF(M1549&gt;1/1/1,"Y","N")</f>
        <v>N</v>
      </c>
      <c r="O1549" s="128" t="s">
        <v>917</v>
      </c>
      <c r="P1549" s="129" t="s">
        <v>39</v>
      </c>
      <c r="Q1549" s="111">
        <f t="shared" si="1143"/>
        <v>155</v>
      </c>
      <c r="R1549" s="111">
        <f t="shared" si="1128"/>
        <v>156</v>
      </c>
      <c r="S1549" s="129">
        <v>3</v>
      </c>
      <c r="T1549" s="129">
        <v>6</v>
      </c>
      <c r="U1549" s="129">
        <v>1</v>
      </c>
      <c r="W1549" s="111"/>
      <c r="AC1549" s="130"/>
      <c r="AD1549" s="130">
        <v>32038</v>
      </c>
      <c r="AE1549" s="128" t="s">
        <v>32</v>
      </c>
      <c r="AF1549" s="128" t="s">
        <v>33</v>
      </c>
      <c r="AG1549" s="128" t="s">
        <v>872</v>
      </c>
      <c r="AH1549" s="108" t="s">
        <v>31</v>
      </c>
      <c r="AI1549" s="128" t="s">
        <v>100</v>
      </c>
      <c r="AJ1549" s="129" t="s">
        <v>89</v>
      </c>
      <c r="AK1549" s="129">
        <v>8</v>
      </c>
      <c r="AL1549" s="3" t="s">
        <v>992</v>
      </c>
      <c r="AN1549" s="117">
        <v>6</v>
      </c>
      <c r="AP1549" s="129" t="s">
        <v>98</v>
      </c>
      <c r="AR1549" s="128" t="s">
        <v>44</v>
      </c>
      <c r="AS1549" s="129" t="s">
        <v>64</v>
      </c>
      <c r="BC1549" s="129" t="s">
        <v>99</v>
      </c>
      <c r="BF1549" s="111">
        <f t="shared" si="1144"/>
        <v>155</v>
      </c>
      <c r="BG1549" s="111">
        <f t="shared" si="1145"/>
        <v>155</v>
      </c>
      <c r="BH1549" s="111">
        <f t="shared" si="1150"/>
        <v>156</v>
      </c>
      <c r="BI1549" s="111">
        <f t="shared" si="1151"/>
        <v>24.546448087431695</v>
      </c>
      <c r="BJ1549" s="129">
        <f t="shared" si="1156"/>
        <v>0</v>
      </c>
      <c r="BK1549" s="129">
        <f t="shared" si="1152"/>
        <v>0</v>
      </c>
      <c r="BL1549" s="129" t="str">
        <f t="shared" si="1130"/>
        <v>CONVICTION</v>
      </c>
      <c r="BM1549" s="129" t="str">
        <f t="shared" si="1157"/>
        <v>NONE</v>
      </c>
      <c r="BN1549" s="129" t="s">
        <v>566</v>
      </c>
      <c r="BP1549" s="137" t="str">
        <f t="shared" si="1158"/>
        <v>CONVICTION</v>
      </c>
      <c r="BQ1549" s="128" t="str">
        <f t="shared" si="1159"/>
        <v>Y</v>
      </c>
      <c r="BR1549" s="129" t="str">
        <f t="shared" si="1160"/>
        <v>DETAINED</v>
      </c>
      <c r="BS1549" s="129" t="str">
        <f t="shared" si="1161"/>
        <v>DISPOSED</v>
      </c>
      <c r="BT1549" s="129" t="str">
        <f t="shared" si="1162"/>
        <v>Y</v>
      </c>
      <c r="BU1549" s="109">
        <f t="shared" si="1163"/>
        <v>0.99358974358974361</v>
      </c>
      <c r="BV1549" s="109">
        <f t="shared" si="1164"/>
        <v>1</v>
      </c>
      <c r="BW1549" s="109">
        <f t="shared" si="1132"/>
        <v>6.4102564102563875E-3</v>
      </c>
      <c r="BX1549" s="111">
        <f t="shared" si="1165"/>
        <v>0</v>
      </c>
      <c r="BY1549" s="129">
        <f t="shared" si="1166"/>
        <v>-155</v>
      </c>
      <c r="BZ1549" s="111">
        <f t="shared" si="1167"/>
        <v>0</v>
      </c>
      <c r="CA1549" s="138">
        <f t="shared" si="1168"/>
        <v>155</v>
      </c>
      <c r="CB1549" s="111" t="e">
        <f t="shared" si="1146"/>
        <v>#VALUE!</v>
      </c>
      <c r="CC1549" s="129">
        <f t="shared" si="1173"/>
        <v>155</v>
      </c>
      <c r="CD1549" s="129">
        <f t="shared" si="1174"/>
        <v>0</v>
      </c>
      <c r="CG1549" s="129" t="str">
        <f t="shared" si="1169"/>
        <v>Y</v>
      </c>
      <c r="CI1549" s="129" t="str">
        <f t="shared" si="1170"/>
        <v>121-365 DAYS</v>
      </c>
      <c r="CJ1549" s="137">
        <f t="shared" si="1171"/>
        <v>6</v>
      </c>
      <c r="CK1549" s="129" t="str">
        <f t="shared" si="1172"/>
        <v>Booked</v>
      </c>
    </row>
    <row r="1550" spans="1:89" ht="15.75" customHeight="1" x14ac:dyDescent="0.25">
      <c r="A1550" s="111">
        <v>2252</v>
      </c>
      <c r="B1550" s="128" t="str">
        <f t="shared" si="1153"/>
        <v>Y</v>
      </c>
      <c r="C1550" s="128" t="str">
        <f t="shared" si="1154"/>
        <v>Y</v>
      </c>
      <c r="D1550" s="117">
        <v>2107192</v>
      </c>
      <c r="E1550" s="135">
        <f t="shared" si="1155"/>
        <v>2</v>
      </c>
      <c r="F1550" s="124">
        <v>40994</v>
      </c>
      <c r="G1550" s="125">
        <v>41107</v>
      </c>
      <c r="H1550" s="117">
        <v>2107192</v>
      </c>
      <c r="I1550" s="124">
        <v>40995</v>
      </c>
      <c r="J1550" s="124">
        <v>40997</v>
      </c>
      <c r="K1550" s="126">
        <v>5000</v>
      </c>
      <c r="L1550" s="127" t="s">
        <v>569</v>
      </c>
      <c r="M1550" s="125">
        <v>40997</v>
      </c>
      <c r="N1550" s="129" t="str">
        <f>IF(M1550&gt;1/1/1,"Y","N")</f>
        <v>Y</v>
      </c>
      <c r="O1550" s="128" t="s">
        <v>585</v>
      </c>
      <c r="P1550" s="129" t="s">
        <v>589</v>
      </c>
      <c r="Q1550" s="111">
        <v>31</v>
      </c>
      <c r="R1550" s="111">
        <f t="shared" si="1128"/>
        <v>114</v>
      </c>
      <c r="S1550" s="129">
        <v>0</v>
      </c>
      <c r="T1550" s="129">
        <v>4</v>
      </c>
      <c r="W1550" s="111"/>
      <c r="AC1550" s="130"/>
      <c r="AD1550" s="130">
        <v>31289</v>
      </c>
      <c r="AE1550" s="128" t="s">
        <v>32</v>
      </c>
      <c r="AF1550" s="128" t="s">
        <v>33</v>
      </c>
      <c r="AG1550" s="128" t="s">
        <v>872</v>
      </c>
      <c r="AH1550" s="108" t="s">
        <v>31</v>
      </c>
      <c r="AI1550" s="128" t="s">
        <v>42</v>
      </c>
      <c r="AJ1550" s="129" t="s">
        <v>48</v>
      </c>
      <c r="AK1550" s="129">
        <v>5</v>
      </c>
      <c r="AL1550" s="3" t="s">
        <v>48</v>
      </c>
      <c r="AP1550" s="129" t="s">
        <v>150</v>
      </c>
      <c r="AR1550" s="128" t="s">
        <v>67</v>
      </c>
      <c r="AS1550" s="129" t="s">
        <v>74</v>
      </c>
      <c r="AU1550" s="3" t="s">
        <v>763</v>
      </c>
      <c r="AX1550" s="32" t="s">
        <v>88</v>
      </c>
      <c r="BC1550" s="129" t="s">
        <v>38</v>
      </c>
      <c r="BD1550" s="129" t="s">
        <v>1290</v>
      </c>
      <c r="BF1550" s="111">
        <v>31</v>
      </c>
      <c r="BG1550" s="111">
        <f t="shared" si="1145"/>
        <v>113</v>
      </c>
      <c r="BH1550" s="111">
        <f t="shared" si="1150"/>
        <v>114</v>
      </c>
      <c r="BI1550" s="111">
        <f t="shared" si="1151"/>
        <v>26.516393442622952</v>
      </c>
      <c r="BJ1550" s="129">
        <f>(G1550-J1550)+(M1550-G1550)</f>
        <v>0</v>
      </c>
      <c r="BK1550" s="129">
        <f t="shared" si="1152"/>
        <v>-110</v>
      </c>
      <c r="BL1550" s="129" t="str">
        <f t="shared" si="1130"/>
        <v>DEFERRED</v>
      </c>
      <c r="BM1550" s="129" t="s">
        <v>76</v>
      </c>
      <c r="BN1550" s="129" t="s">
        <v>88</v>
      </c>
      <c r="BP1550" s="137" t="str">
        <f t="shared" si="1158"/>
        <v>DEFERRED</v>
      </c>
      <c r="BQ1550" s="128" t="str">
        <f t="shared" si="1159"/>
        <v>Y</v>
      </c>
      <c r="BR1550" s="129" t="s">
        <v>574</v>
      </c>
      <c r="BS1550" s="129" t="str">
        <f t="shared" si="1161"/>
        <v>DISPOSED</v>
      </c>
      <c r="BT1550" s="129" t="str">
        <f t="shared" si="1162"/>
        <v>N</v>
      </c>
      <c r="BU1550" s="109">
        <f t="shared" si="1163"/>
        <v>0.27192982456140352</v>
      </c>
      <c r="BV1550" s="109">
        <f t="shared" si="1164"/>
        <v>2.6548672566371681E-2</v>
      </c>
      <c r="BW1550" s="109">
        <f t="shared" si="1132"/>
        <v>-0.24538115199503185</v>
      </c>
      <c r="BX1550" s="111">
        <f t="shared" si="1165"/>
        <v>0</v>
      </c>
      <c r="BY1550" s="129">
        <f t="shared" si="1166"/>
        <v>-3</v>
      </c>
      <c r="BZ1550" s="111">
        <f t="shared" si="1167"/>
        <v>28</v>
      </c>
      <c r="CA1550" s="138">
        <f t="shared" si="1168"/>
        <v>113</v>
      </c>
      <c r="CB1550" s="111">
        <v>31</v>
      </c>
      <c r="CC1550" s="129">
        <f t="shared" si="1173"/>
        <v>113</v>
      </c>
      <c r="CD1550" s="129">
        <f t="shared" si="1174"/>
        <v>110</v>
      </c>
      <c r="CG1550" s="129" t="str">
        <f t="shared" si="1169"/>
        <v>Y</v>
      </c>
      <c r="CI1550" s="129" t="str">
        <f t="shared" si="1170"/>
        <v>31-60 DAYS</v>
      </c>
      <c r="CJ1550" s="137">
        <f t="shared" si="1171"/>
        <v>3</v>
      </c>
      <c r="CK1550" s="129" t="str">
        <f t="shared" si="1172"/>
        <v>Booked</v>
      </c>
    </row>
    <row r="1551" spans="1:89" ht="15.75" customHeight="1" x14ac:dyDescent="0.25">
      <c r="A1551" s="111">
        <v>1700</v>
      </c>
      <c r="B1551" s="128" t="str">
        <f t="shared" si="1153"/>
        <v>N</v>
      </c>
      <c r="C1551" s="128" t="str">
        <f t="shared" si="1154"/>
        <v>N</v>
      </c>
      <c r="D1551" s="117">
        <v>2107832</v>
      </c>
      <c r="E1551" s="135">
        <f t="shared" si="1155"/>
        <v>4</v>
      </c>
      <c r="F1551" s="124">
        <v>40972</v>
      </c>
      <c r="G1551" s="125">
        <v>41346</v>
      </c>
      <c r="H1551" s="117">
        <v>2107832</v>
      </c>
      <c r="I1551" s="124">
        <v>40972</v>
      </c>
      <c r="J1551" s="124">
        <v>40973</v>
      </c>
      <c r="K1551" s="126">
        <v>2000</v>
      </c>
      <c r="L1551" s="127" t="s">
        <v>568</v>
      </c>
      <c r="M1551" s="125">
        <v>40973</v>
      </c>
      <c r="N1551" s="129" t="str">
        <f>IF(M1551&gt;1/1/1,"Y","N")</f>
        <v>Y</v>
      </c>
      <c r="O1551" s="128" t="s">
        <v>76</v>
      </c>
      <c r="P1551" s="129" t="s">
        <v>39</v>
      </c>
      <c r="Q1551" s="111">
        <f t="shared" si="1143"/>
        <v>2</v>
      </c>
      <c r="R1551" s="111">
        <f t="shared" si="1128"/>
        <v>375</v>
      </c>
      <c r="S1551" s="129">
        <v>1</v>
      </c>
      <c r="T1551" s="129">
        <v>2</v>
      </c>
      <c r="W1551" s="111"/>
      <c r="AC1551" s="130"/>
      <c r="AD1551" s="130">
        <v>28157</v>
      </c>
      <c r="AE1551" s="128" t="s">
        <v>46</v>
      </c>
      <c r="AF1551" s="128" t="s">
        <v>40</v>
      </c>
      <c r="AG1551" s="128" t="s">
        <v>41</v>
      </c>
      <c r="AH1551" s="108" t="s">
        <v>41</v>
      </c>
      <c r="AI1551" s="128" t="s">
        <v>62</v>
      </c>
      <c r="AJ1551" s="129" t="s">
        <v>89</v>
      </c>
      <c r="AK1551" s="129">
        <v>9</v>
      </c>
      <c r="AL1551" s="3" t="s">
        <v>991</v>
      </c>
      <c r="AO1551" s="128">
        <v>60</v>
      </c>
      <c r="AP1551" s="129" t="s">
        <v>155</v>
      </c>
      <c r="AR1551" s="128" t="s">
        <v>44</v>
      </c>
      <c r="AS1551" s="129" t="s">
        <v>64</v>
      </c>
      <c r="AT1551" s="129" t="s">
        <v>670</v>
      </c>
      <c r="BC1551" s="129" t="s">
        <v>38</v>
      </c>
      <c r="BF1551" s="111">
        <f t="shared" si="1144"/>
        <v>2</v>
      </c>
      <c r="BG1551" s="111">
        <f t="shared" si="1145"/>
        <v>375</v>
      </c>
      <c r="BH1551" s="111">
        <f t="shared" si="1150"/>
        <v>375</v>
      </c>
      <c r="BI1551" s="111">
        <f t="shared" si="1151"/>
        <v>35.013661202185794</v>
      </c>
      <c r="BJ1551" s="129">
        <f>(G1551-J1551)+(M1551-G1551)</f>
        <v>0</v>
      </c>
      <c r="BK1551" s="129">
        <f t="shared" si="1152"/>
        <v>-373</v>
      </c>
      <c r="BL1551" s="129" t="str">
        <f t="shared" si="1130"/>
        <v>CONVICTION</v>
      </c>
      <c r="BM1551" s="129" t="s">
        <v>76</v>
      </c>
      <c r="BN1551" s="129" t="s">
        <v>88</v>
      </c>
      <c r="BP1551" s="137" t="str">
        <f t="shared" si="1158"/>
        <v>CONVICTION</v>
      </c>
      <c r="BQ1551" s="128" t="str">
        <f t="shared" si="1159"/>
        <v>Y</v>
      </c>
      <c r="BR1551" s="129" t="str">
        <f>IF(J1551&lt;G1551,"ON BOND",0)</f>
        <v>ON BOND</v>
      </c>
      <c r="BS1551" s="129" t="str">
        <f t="shared" si="1161"/>
        <v>DISPOSED</v>
      </c>
      <c r="BT1551" s="129" t="str">
        <f t="shared" si="1162"/>
        <v>Y</v>
      </c>
      <c r="BU1551" s="109">
        <f t="shared" si="1163"/>
        <v>5.3333333333333332E-3</v>
      </c>
      <c r="BV1551" s="109">
        <f t="shared" si="1164"/>
        <v>5.3333333333333332E-3</v>
      </c>
      <c r="BW1551" s="109">
        <f t="shared" si="1132"/>
        <v>0</v>
      </c>
      <c r="BX1551" s="111">
        <f t="shared" si="1165"/>
        <v>0</v>
      </c>
      <c r="BY1551" s="129">
        <f t="shared" si="1166"/>
        <v>-2</v>
      </c>
      <c r="BZ1551" s="111">
        <f t="shared" si="1167"/>
        <v>0</v>
      </c>
      <c r="CA1551" s="138">
        <f t="shared" si="1168"/>
        <v>2</v>
      </c>
      <c r="CB1551" s="111" t="e">
        <f t="shared" si="1146"/>
        <v>#VALUE!</v>
      </c>
      <c r="CC1551" s="129">
        <f>M1551-I1551+1</f>
        <v>2</v>
      </c>
      <c r="CD1551" s="111">
        <f>CC1551-BF1551</f>
        <v>0</v>
      </c>
      <c r="CG1551" s="129" t="str">
        <f t="shared" si="1169"/>
        <v>Y</v>
      </c>
      <c r="CI1551" s="129" t="str">
        <f t="shared" si="1170"/>
        <v>0-10 DAYS</v>
      </c>
      <c r="CJ1551" s="137">
        <f t="shared" si="1171"/>
        <v>1</v>
      </c>
      <c r="CK1551" s="129" t="str">
        <f t="shared" si="1172"/>
        <v>Booked</v>
      </c>
    </row>
    <row r="1552" spans="1:89" ht="15.75" customHeight="1" x14ac:dyDescent="0.25">
      <c r="A1552" s="111">
        <v>2398</v>
      </c>
      <c r="B1552" s="128" t="str">
        <f t="shared" si="1153"/>
        <v>N</v>
      </c>
      <c r="C1552" s="128" t="str">
        <f t="shared" si="1154"/>
        <v>N</v>
      </c>
      <c r="D1552" s="117">
        <v>2108064</v>
      </c>
      <c r="E1552" s="135">
        <f t="shared" si="1155"/>
        <v>3</v>
      </c>
      <c r="F1552" s="124">
        <v>40999</v>
      </c>
      <c r="G1552" s="125">
        <v>41208</v>
      </c>
      <c r="H1552" s="117">
        <v>2108064</v>
      </c>
      <c r="I1552" s="124" t="s">
        <v>562</v>
      </c>
      <c r="J1552" s="124" t="s">
        <v>562</v>
      </c>
      <c r="K1552" s="126">
        <v>5000</v>
      </c>
      <c r="L1552" s="127" t="s">
        <v>569</v>
      </c>
      <c r="M1552" s="125">
        <v>41000</v>
      </c>
      <c r="N1552" s="129" t="str">
        <f>IF(M1552&gt;1/1/1,"Y",IF(Q1552="0","","N"))</f>
        <v>Y</v>
      </c>
      <c r="O1552" s="128" t="s">
        <v>585</v>
      </c>
      <c r="P1552" s="129" t="s">
        <v>39</v>
      </c>
      <c r="Q1552" s="111">
        <f t="shared" si="1143"/>
        <v>0</v>
      </c>
      <c r="R1552" s="111">
        <f t="shared" si="1128"/>
        <v>210</v>
      </c>
      <c r="S1552" s="129">
        <v>0</v>
      </c>
      <c r="T1552" s="129">
        <v>10</v>
      </c>
      <c r="W1552" s="111"/>
      <c r="AC1552" s="130"/>
      <c r="AD1552" s="130">
        <v>31724</v>
      </c>
      <c r="AE1552" s="128" t="s">
        <v>32</v>
      </c>
      <c r="AF1552" s="128" t="s">
        <v>69</v>
      </c>
      <c r="AG1552" s="128" t="s">
        <v>874</v>
      </c>
      <c r="AH1552" s="108" t="s">
        <v>31</v>
      </c>
      <c r="AI1552" s="128" t="s">
        <v>118</v>
      </c>
      <c r="AJ1552" s="129" t="s">
        <v>89</v>
      </c>
      <c r="AK1552" s="129">
        <v>8</v>
      </c>
      <c r="AL1552" s="3" t="s">
        <v>185</v>
      </c>
      <c r="AO1552" s="128">
        <v>10</v>
      </c>
      <c r="AP1552" s="129" t="s">
        <v>66</v>
      </c>
      <c r="AR1552" s="128" t="s">
        <v>67</v>
      </c>
      <c r="AS1552" s="129" t="s">
        <v>68</v>
      </c>
      <c r="BC1552" s="129" t="s">
        <v>52</v>
      </c>
      <c r="BF1552" s="111">
        <v>0</v>
      </c>
      <c r="BG1552" s="111">
        <v>0</v>
      </c>
      <c r="BH1552" s="111">
        <f t="shared" si="1150"/>
        <v>210</v>
      </c>
      <c r="BI1552" s="111">
        <f t="shared" si="1151"/>
        <v>25.34153005464481</v>
      </c>
      <c r="BJ1552" s="129" t="e">
        <f>(G1552-J1552)+(M1552-G1552)</f>
        <v>#VALUE!</v>
      </c>
      <c r="BK1552" s="129" t="e">
        <f t="shared" si="1152"/>
        <v>#VALUE!</v>
      </c>
      <c r="BL1552" s="129" t="str">
        <f t="shared" si="1130"/>
        <v>CONVICTION</v>
      </c>
      <c r="BM1552" s="129" t="s">
        <v>76</v>
      </c>
      <c r="BN1552" s="129" t="s">
        <v>88</v>
      </c>
      <c r="BP1552" s="137" t="str">
        <f t="shared" si="1158"/>
        <v>CONVICTION</v>
      </c>
      <c r="BQ1552" s="128">
        <f t="shared" si="1159"/>
        <v>0</v>
      </c>
      <c r="BR1552" s="129" t="s">
        <v>575</v>
      </c>
      <c r="BS1552" s="129" t="str">
        <f t="shared" si="1161"/>
        <v>DISPOSED</v>
      </c>
      <c r="BT1552" s="129" t="str">
        <f t="shared" si="1162"/>
        <v>N</v>
      </c>
      <c r="BU1552" s="109">
        <f t="shared" si="1163"/>
        <v>0</v>
      </c>
      <c r="BV1552" s="109">
        <v>0</v>
      </c>
      <c r="BW1552" s="109">
        <f t="shared" si="1132"/>
        <v>0</v>
      </c>
      <c r="BX1552" s="111">
        <f t="shared" si="1165"/>
        <v>0</v>
      </c>
      <c r="BY1552" s="129" t="e">
        <f t="shared" si="1166"/>
        <v>#VALUE!</v>
      </c>
      <c r="BZ1552" s="111" t="e">
        <f t="shared" si="1167"/>
        <v>#VALUE!</v>
      </c>
      <c r="CA1552" s="138" t="e">
        <f t="shared" si="1168"/>
        <v>#VALUE!</v>
      </c>
      <c r="CB1552" s="111">
        <v>0</v>
      </c>
      <c r="CC1552" s="129">
        <v>0</v>
      </c>
      <c r="CD1552" s="111">
        <f>CC1552-BF1552</f>
        <v>0</v>
      </c>
      <c r="CG1552" s="129" t="str">
        <f t="shared" si="1169"/>
        <v>Y</v>
      </c>
      <c r="CI1552" s="129" t="str">
        <f t="shared" si="1170"/>
        <v>0-10 DAYS</v>
      </c>
      <c r="CJ1552" s="137">
        <f t="shared" si="1171"/>
        <v>1</v>
      </c>
      <c r="CK1552" s="129" t="str">
        <f t="shared" si="1172"/>
        <v>Not Booked</v>
      </c>
    </row>
    <row r="1553" spans="1:89" ht="15.75" customHeight="1" x14ac:dyDescent="0.25">
      <c r="A1553" s="111">
        <v>499</v>
      </c>
      <c r="B1553" s="128" t="str">
        <f t="shared" si="1153"/>
        <v>N</v>
      </c>
      <c r="C1553" s="128" t="str">
        <f t="shared" si="1154"/>
        <v>N</v>
      </c>
      <c r="D1553" s="117">
        <v>2108290</v>
      </c>
      <c r="E1553" s="135">
        <f t="shared" si="1155"/>
        <v>2</v>
      </c>
      <c r="F1553" s="124">
        <v>40928</v>
      </c>
      <c r="G1553" s="125">
        <v>40933</v>
      </c>
      <c r="H1553" s="117">
        <v>2108290</v>
      </c>
      <c r="I1553" s="124" t="s">
        <v>562</v>
      </c>
      <c r="J1553" s="124" t="s">
        <v>562</v>
      </c>
      <c r="K1553" s="126" t="s">
        <v>564</v>
      </c>
      <c r="L1553" s="127" t="s">
        <v>564</v>
      </c>
      <c r="N1553" s="124" t="s">
        <v>1342</v>
      </c>
      <c r="O1553" s="128" t="s">
        <v>917</v>
      </c>
      <c r="P1553" s="129" t="s">
        <v>589</v>
      </c>
      <c r="Q1553" s="111">
        <f t="shared" si="1143"/>
        <v>0</v>
      </c>
      <c r="R1553" s="111">
        <f t="shared" si="1128"/>
        <v>6</v>
      </c>
      <c r="S1553" s="129">
        <v>2</v>
      </c>
      <c r="T1553" s="129">
        <v>2</v>
      </c>
      <c r="V1553" s="117">
        <v>1</v>
      </c>
      <c r="W1553" s="111"/>
      <c r="AC1553" s="130"/>
      <c r="AD1553" s="130">
        <v>31670</v>
      </c>
      <c r="AE1553" s="128" t="s">
        <v>32</v>
      </c>
      <c r="AF1553" s="128" t="s">
        <v>33</v>
      </c>
      <c r="AG1553" s="128" t="s">
        <v>872</v>
      </c>
      <c r="AH1553" s="108" t="s">
        <v>58</v>
      </c>
      <c r="AI1553" s="128" t="s">
        <v>100</v>
      </c>
      <c r="AJ1553" s="129" t="s">
        <v>48</v>
      </c>
      <c r="AK1553" s="129">
        <v>2</v>
      </c>
      <c r="AL1553" s="3" t="s">
        <v>48</v>
      </c>
      <c r="AP1553" s="129" t="s">
        <v>63</v>
      </c>
      <c r="AR1553" s="128" t="s">
        <v>44</v>
      </c>
      <c r="AS1553" s="129" t="s">
        <v>64</v>
      </c>
      <c r="BC1553" s="129" t="s">
        <v>52</v>
      </c>
      <c r="BF1553" s="111">
        <v>0</v>
      </c>
      <c r="BG1553" s="111">
        <v>0</v>
      </c>
      <c r="BH1553" s="111">
        <f t="shared" si="1150"/>
        <v>6</v>
      </c>
      <c r="BI1553" s="111">
        <f t="shared" si="1151"/>
        <v>25.295081967213115</v>
      </c>
      <c r="BJ1553" s="129" t="e">
        <f>(G1553-J1553)+(M1553-G1553)</f>
        <v>#VALUE!</v>
      </c>
      <c r="BK1553" s="129" t="e">
        <f t="shared" si="1152"/>
        <v>#VALUE!</v>
      </c>
      <c r="BL1553" s="129" t="str">
        <f t="shared" si="1130"/>
        <v>DEFERRED</v>
      </c>
      <c r="BM1553" s="129" t="str">
        <f t="shared" si="1157"/>
        <v>NONE</v>
      </c>
      <c r="BN1553" s="129" t="s">
        <v>566</v>
      </c>
      <c r="BP1553" s="137" t="str">
        <f t="shared" si="1158"/>
        <v>DEFERRED</v>
      </c>
      <c r="BQ1553" s="128">
        <f t="shared" si="1159"/>
        <v>0</v>
      </c>
      <c r="BR1553" s="129" t="s">
        <v>1344</v>
      </c>
      <c r="BS1553" s="129" t="str">
        <f t="shared" si="1161"/>
        <v>DISPOSED</v>
      </c>
      <c r="BT1553" s="129" t="str">
        <f t="shared" si="1162"/>
        <v>Y</v>
      </c>
      <c r="BU1553" s="109">
        <f t="shared" si="1163"/>
        <v>0</v>
      </c>
      <c r="BV1553" s="109">
        <v>0</v>
      </c>
      <c r="BW1553" s="109">
        <f t="shared" si="1132"/>
        <v>0</v>
      </c>
      <c r="BX1553" s="111">
        <f t="shared" si="1165"/>
        <v>0</v>
      </c>
      <c r="BY1553" s="129" t="e">
        <f t="shared" si="1166"/>
        <v>#VALUE!</v>
      </c>
      <c r="BZ1553" s="111" t="e">
        <f t="shared" si="1167"/>
        <v>#VALUE!</v>
      </c>
      <c r="CA1553" s="138" t="e">
        <f t="shared" si="1168"/>
        <v>#VALUE!</v>
      </c>
      <c r="CB1553" s="111">
        <v>0</v>
      </c>
      <c r="CC1553" s="129">
        <v>0</v>
      </c>
      <c r="CG1553" s="129" t="str">
        <f t="shared" si="1169"/>
        <v>Y</v>
      </c>
      <c r="CI1553" s="129" t="str">
        <f t="shared" si="1170"/>
        <v>0-10 DAYS</v>
      </c>
      <c r="CJ1553" s="137">
        <f t="shared" si="1171"/>
        <v>1</v>
      </c>
      <c r="CK1553" s="129" t="str">
        <f t="shared" si="1172"/>
        <v>Not Booked</v>
      </c>
    </row>
    <row r="1554" spans="1:89" ht="15" customHeight="1" x14ac:dyDescent="0.25">
      <c r="A1554" s="111">
        <v>892</v>
      </c>
      <c r="B1554" s="128" t="str">
        <f t="shared" si="1153"/>
        <v>N</v>
      </c>
      <c r="C1554" s="128" t="str">
        <f t="shared" si="1154"/>
        <v>N</v>
      </c>
      <c r="D1554" s="117">
        <v>2109395</v>
      </c>
      <c r="E1554" s="135">
        <f t="shared" si="1155"/>
        <v>6</v>
      </c>
      <c r="F1554" s="124">
        <v>40942</v>
      </c>
      <c r="G1554" s="125">
        <v>41054</v>
      </c>
      <c r="H1554" s="117">
        <v>2109395</v>
      </c>
      <c r="I1554" s="124">
        <v>40942</v>
      </c>
      <c r="J1554" s="124">
        <v>41054</v>
      </c>
      <c r="K1554" s="126">
        <v>15000</v>
      </c>
      <c r="L1554" s="127" t="s">
        <v>571</v>
      </c>
      <c r="N1554" s="129" t="str">
        <f>IF(M1554&gt;1/1/1,"Y","N")</f>
        <v>N</v>
      </c>
      <c r="O1554" s="128" t="s">
        <v>917</v>
      </c>
      <c r="P1554" s="129" t="s">
        <v>39</v>
      </c>
      <c r="Q1554" s="111">
        <f t="shared" si="1143"/>
        <v>113</v>
      </c>
      <c r="R1554" s="111">
        <f t="shared" ref="R1554:R1617" si="1175">BH1554</f>
        <v>113</v>
      </c>
      <c r="S1554" s="129">
        <v>7</v>
      </c>
      <c r="T1554" s="129">
        <v>7</v>
      </c>
      <c r="U1554" s="129">
        <v>7</v>
      </c>
      <c r="W1554" s="111"/>
      <c r="AC1554" s="130"/>
      <c r="AD1554" s="130">
        <v>31670</v>
      </c>
      <c r="AE1554" s="128" t="s">
        <v>32</v>
      </c>
      <c r="AF1554" s="128" t="s">
        <v>40</v>
      </c>
      <c r="AG1554" s="128" t="s">
        <v>41</v>
      </c>
      <c r="AH1554" s="108" t="s">
        <v>41</v>
      </c>
      <c r="AI1554" s="128" t="s">
        <v>34</v>
      </c>
      <c r="AJ1554" s="129" t="s">
        <v>89</v>
      </c>
      <c r="AK1554" s="129">
        <v>5</v>
      </c>
      <c r="AL1554" s="3" t="s">
        <v>362</v>
      </c>
      <c r="AM1554" s="117">
        <v>1</v>
      </c>
      <c r="AP1554" s="129" t="s">
        <v>108</v>
      </c>
      <c r="AR1554" s="128" t="s">
        <v>44</v>
      </c>
      <c r="AS1554" s="129" t="s">
        <v>61</v>
      </c>
      <c r="BC1554" s="129" t="s">
        <v>38</v>
      </c>
      <c r="BF1554" s="111">
        <f>IF(J1554&gt;1/1/1900,((J1554+1)-I1554),"STILL OPEN")</f>
        <v>113</v>
      </c>
      <c r="BG1554" s="111">
        <f t="shared" ref="BG1554:BG1567" si="1176">IF(G1554&gt;1/1/1900,((G1554+1)-I1554),"STILL OPEN")</f>
        <v>113</v>
      </c>
      <c r="BH1554" s="111">
        <f t="shared" si="1150"/>
        <v>113</v>
      </c>
      <c r="BI1554" s="111">
        <f t="shared" si="1151"/>
        <v>25.333333333333332</v>
      </c>
      <c r="BJ1554" s="129">
        <f t="shared" si="1156"/>
        <v>0</v>
      </c>
      <c r="BK1554" s="129">
        <f t="shared" si="1152"/>
        <v>0</v>
      </c>
      <c r="BL1554" s="129" t="str">
        <f t="shared" si="1130"/>
        <v>CONVICTION</v>
      </c>
      <c r="BM1554" s="129" t="str">
        <f t="shared" si="1157"/>
        <v>NONE</v>
      </c>
      <c r="BN1554" s="129" t="s">
        <v>566</v>
      </c>
      <c r="BP1554" s="137" t="str">
        <f t="shared" si="1158"/>
        <v>CONVICTION</v>
      </c>
      <c r="BQ1554" s="128" t="str">
        <f t="shared" si="1159"/>
        <v>Y</v>
      </c>
      <c r="BR1554" s="129" t="str">
        <f t="shared" si="1160"/>
        <v>DETAINED</v>
      </c>
      <c r="BS1554" s="129" t="str">
        <f t="shared" si="1161"/>
        <v>DISPOSED</v>
      </c>
      <c r="BT1554" s="129" t="str">
        <f t="shared" si="1162"/>
        <v>Y</v>
      </c>
      <c r="BU1554" s="109">
        <f t="shared" si="1163"/>
        <v>1</v>
      </c>
      <c r="BV1554" s="109">
        <f t="shared" si="1164"/>
        <v>1</v>
      </c>
      <c r="BW1554" s="109">
        <f t="shared" si="1132"/>
        <v>0</v>
      </c>
      <c r="BX1554" s="111">
        <f t="shared" si="1165"/>
        <v>0</v>
      </c>
      <c r="BY1554" s="129">
        <f t="shared" si="1166"/>
        <v>-113</v>
      </c>
      <c r="BZ1554" s="111">
        <f t="shared" si="1167"/>
        <v>0</v>
      </c>
      <c r="CA1554" s="138">
        <f t="shared" si="1168"/>
        <v>113</v>
      </c>
      <c r="CB1554" s="111" t="e">
        <f>IF(AF1554&gt;1/1/1900,((AF1554+1)-AE1554),"STILL OPEN")</f>
        <v>#VALUE!</v>
      </c>
      <c r="CC1554" s="129">
        <f>G1554-I1554+1</f>
        <v>113</v>
      </c>
      <c r="CD1554" s="129">
        <f>G1554-J1554</f>
        <v>0</v>
      </c>
      <c r="CG1554" s="129" t="str">
        <f t="shared" si="1169"/>
        <v>Y</v>
      </c>
      <c r="CI1554" s="129" t="str">
        <f t="shared" si="1170"/>
        <v>91-120 DAYS</v>
      </c>
      <c r="CJ1554" s="137">
        <f t="shared" si="1171"/>
        <v>0</v>
      </c>
      <c r="CK1554" s="129" t="str">
        <f t="shared" si="1172"/>
        <v>Booked</v>
      </c>
    </row>
    <row r="1555" spans="1:89" ht="15.75" customHeight="1" x14ac:dyDescent="0.25">
      <c r="A1555" s="111">
        <v>134</v>
      </c>
      <c r="B1555" s="128" t="str">
        <f t="shared" si="1153"/>
        <v>N</v>
      </c>
      <c r="C1555" s="128" t="str">
        <f t="shared" si="1154"/>
        <v>N</v>
      </c>
      <c r="D1555" s="117">
        <v>2110525</v>
      </c>
      <c r="E1555" s="135">
        <f t="shared" si="1155"/>
        <v>6</v>
      </c>
      <c r="F1555" s="124">
        <v>40914</v>
      </c>
      <c r="G1555" s="125">
        <v>41045</v>
      </c>
      <c r="H1555" s="117">
        <v>2110525</v>
      </c>
      <c r="I1555" s="124">
        <v>40915</v>
      </c>
      <c r="J1555" s="124">
        <v>40916</v>
      </c>
      <c r="K1555" s="126">
        <v>10000</v>
      </c>
      <c r="L1555" s="127" t="s">
        <v>570</v>
      </c>
      <c r="M1555" s="125">
        <v>40916</v>
      </c>
      <c r="N1555" s="129" t="str">
        <f>IF(M1555&gt;1/1/1,"Y","N")</f>
        <v>Y</v>
      </c>
      <c r="O1555" s="128" t="s">
        <v>76</v>
      </c>
      <c r="P1555" s="129" t="s">
        <v>39</v>
      </c>
      <c r="Q1555" s="111">
        <f t="shared" si="1143"/>
        <v>2</v>
      </c>
      <c r="R1555" s="111">
        <f t="shared" si="1175"/>
        <v>132</v>
      </c>
      <c r="S1555" s="129">
        <v>3</v>
      </c>
      <c r="T1555" s="129">
        <v>3</v>
      </c>
      <c r="U1555" s="129">
        <v>1</v>
      </c>
      <c r="W1555" s="111"/>
      <c r="AC1555" s="130"/>
      <c r="AD1555" s="130">
        <v>31838</v>
      </c>
      <c r="AE1555" s="128" t="s">
        <v>32</v>
      </c>
      <c r="AF1555" s="128" t="s">
        <v>33</v>
      </c>
      <c r="AG1555" s="128" t="s">
        <v>872</v>
      </c>
      <c r="AH1555" s="108" t="s">
        <v>58</v>
      </c>
      <c r="AI1555" s="128" t="s">
        <v>62</v>
      </c>
      <c r="AJ1555" s="129" t="s">
        <v>89</v>
      </c>
      <c r="AK1555" s="129">
        <v>5</v>
      </c>
      <c r="AL1555" s="3" t="s">
        <v>362</v>
      </c>
      <c r="AM1555" s="117">
        <v>3</v>
      </c>
      <c r="AP1555" s="129" t="s">
        <v>148</v>
      </c>
      <c r="AR1555" s="128" t="s">
        <v>67</v>
      </c>
      <c r="AS1555" s="129" t="s">
        <v>45</v>
      </c>
      <c r="BC1555" s="129" t="s">
        <v>38</v>
      </c>
      <c r="BF1555" s="111">
        <f>IF(J1555&gt;1/1/1900,((J1555+1)-I1555),"STILL OPEN")</f>
        <v>2</v>
      </c>
      <c r="BG1555" s="111">
        <f t="shared" si="1176"/>
        <v>131</v>
      </c>
      <c r="BH1555" s="111">
        <f t="shared" si="1150"/>
        <v>132</v>
      </c>
      <c r="BI1555" s="111">
        <f t="shared" si="1151"/>
        <v>24.797814207650273</v>
      </c>
      <c r="BJ1555" s="129">
        <f>(G1555-J1555)+(M1555-G1555)</f>
        <v>0</v>
      </c>
      <c r="BK1555" s="129">
        <f t="shared" si="1152"/>
        <v>-129</v>
      </c>
      <c r="BL1555" s="129" t="str">
        <f t="shared" si="1130"/>
        <v>CONVICTION</v>
      </c>
      <c r="BM1555" s="129" t="s">
        <v>76</v>
      </c>
      <c r="BN1555" s="129" t="s">
        <v>88</v>
      </c>
      <c r="BP1555" s="137" t="str">
        <f t="shared" si="1158"/>
        <v>CONVICTION</v>
      </c>
      <c r="BQ1555" s="128" t="str">
        <f t="shared" si="1159"/>
        <v>Y</v>
      </c>
      <c r="BR1555" s="129" t="str">
        <f>IF(J1555&lt;G1555,"ON BOND",0)</f>
        <v>ON BOND</v>
      </c>
      <c r="BS1555" s="129" t="str">
        <f t="shared" si="1161"/>
        <v>DISPOSED</v>
      </c>
      <c r="BT1555" s="129" t="str">
        <f t="shared" si="1162"/>
        <v>Y</v>
      </c>
      <c r="BU1555" s="109">
        <f t="shared" si="1163"/>
        <v>1.5151515151515152E-2</v>
      </c>
      <c r="BV1555" s="109">
        <f t="shared" si="1164"/>
        <v>1.5267175572519083E-2</v>
      </c>
      <c r="BW1555" s="109">
        <f t="shared" si="1132"/>
        <v>1.1566042100393144E-4</v>
      </c>
      <c r="BX1555" s="111">
        <f t="shared" si="1165"/>
        <v>0</v>
      </c>
      <c r="BY1555" s="129">
        <f t="shared" si="1166"/>
        <v>-2</v>
      </c>
      <c r="BZ1555" s="111">
        <f t="shared" si="1167"/>
        <v>0</v>
      </c>
      <c r="CA1555" s="138">
        <f t="shared" si="1168"/>
        <v>2</v>
      </c>
      <c r="CB1555" s="111" t="e">
        <f>IF(AF1555&gt;1/1/1900,((AF1555+1)-AE1555),"STILL OPEN")</f>
        <v>#VALUE!</v>
      </c>
      <c r="CC1555" s="129">
        <f>M1555-I1555+1</f>
        <v>2</v>
      </c>
      <c r="CD1555" s="111">
        <f>CC1555-BF1555</f>
        <v>0</v>
      </c>
      <c r="CG1555" s="129" t="str">
        <f t="shared" si="1169"/>
        <v>Y</v>
      </c>
      <c r="CI1555" s="129" t="str">
        <f t="shared" si="1170"/>
        <v>0-10 DAYS</v>
      </c>
      <c r="CJ1555" s="137">
        <f t="shared" si="1171"/>
        <v>1</v>
      </c>
      <c r="CK1555" s="129" t="str">
        <f t="shared" si="1172"/>
        <v>Booked</v>
      </c>
    </row>
    <row r="1556" spans="1:89" ht="15.75" customHeight="1" x14ac:dyDescent="0.25">
      <c r="A1556" s="111">
        <v>2162</v>
      </c>
      <c r="B1556" s="128" t="str">
        <f t="shared" si="1153"/>
        <v>N</v>
      </c>
      <c r="C1556" s="128" t="str">
        <f t="shared" si="1154"/>
        <v>N</v>
      </c>
      <c r="D1556" s="117">
        <v>2111311</v>
      </c>
      <c r="E1556" s="135">
        <f t="shared" si="1155"/>
        <v>6</v>
      </c>
      <c r="F1556" s="124">
        <v>40990</v>
      </c>
      <c r="G1556" s="125">
        <v>41194</v>
      </c>
      <c r="H1556" s="117">
        <v>2111311</v>
      </c>
      <c r="I1556" s="124">
        <v>40990</v>
      </c>
      <c r="J1556" s="124">
        <v>40992</v>
      </c>
      <c r="K1556" s="126">
        <v>20000</v>
      </c>
      <c r="L1556" s="127" t="s">
        <v>571</v>
      </c>
      <c r="M1556" s="125">
        <v>40992</v>
      </c>
      <c r="N1556" s="129" t="str">
        <f>IF(M1556&gt;1/1/1,"Y","N")</f>
        <v>Y</v>
      </c>
      <c r="O1556" s="128" t="s">
        <v>585</v>
      </c>
      <c r="P1556" s="129" t="s">
        <v>39</v>
      </c>
      <c r="Q1556" s="111">
        <f t="shared" si="1143"/>
        <v>3</v>
      </c>
      <c r="R1556" s="111">
        <f t="shared" si="1175"/>
        <v>205</v>
      </c>
      <c r="S1556" s="129">
        <v>1</v>
      </c>
      <c r="T1556" s="129">
        <v>4</v>
      </c>
      <c r="W1556" s="111"/>
      <c r="AC1556" s="130"/>
      <c r="AD1556" s="130">
        <v>31650</v>
      </c>
      <c r="AE1556" s="128" t="s">
        <v>32</v>
      </c>
      <c r="AF1556" s="128" t="s">
        <v>69</v>
      </c>
      <c r="AG1556" s="128" t="s">
        <v>874</v>
      </c>
      <c r="AH1556" s="108" t="s">
        <v>58</v>
      </c>
      <c r="AI1556" s="128" t="s">
        <v>70</v>
      </c>
      <c r="AJ1556" s="129" t="s">
        <v>89</v>
      </c>
      <c r="AK1556" s="129">
        <v>8</v>
      </c>
      <c r="AL1556" s="3" t="s">
        <v>362</v>
      </c>
      <c r="AM1556" s="117">
        <v>2</v>
      </c>
      <c r="AP1556" s="129" t="s">
        <v>93</v>
      </c>
      <c r="AR1556" s="128" t="s">
        <v>67</v>
      </c>
      <c r="AS1556" s="129" t="s">
        <v>45</v>
      </c>
      <c r="AT1556" s="3" t="s">
        <v>843</v>
      </c>
      <c r="AU1556" s="129"/>
      <c r="BC1556" s="129" t="s">
        <v>52</v>
      </c>
      <c r="BF1556" s="111">
        <v>3</v>
      </c>
      <c r="BG1556" s="111">
        <f t="shared" si="1176"/>
        <v>205</v>
      </c>
      <c r="BH1556" s="111">
        <f t="shared" si="1150"/>
        <v>205</v>
      </c>
      <c r="BI1556" s="111">
        <f t="shared" si="1151"/>
        <v>25.519125683060111</v>
      </c>
      <c r="BJ1556" s="129">
        <f>(G1556-J1556)+(M1556-G1556)</f>
        <v>0</v>
      </c>
      <c r="BK1556" s="129">
        <f t="shared" si="1152"/>
        <v>-202</v>
      </c>
      <c r="BL1556" s="129" t="str">
        <f t="shared" si="1130"/>
        <v>CONVICTION</v>
      </c>
      <c r="BM1556" s="129" t="s">
        <v>76</v>
      </c>
      <c r="BN1556" s="129" t="s">
        <v>88</v>
      </c>
      <c r="BP1556" s="137" t="str">
        <f t="shared" si="1158"/>
        <v>CONVICTION</v>
      </c>
      <c r="BQ1556" s="128" t="str">
        <f t="shared" si="1159"/>
        <v>Y</v>
      </c>
      <c r="BR1556" s="129" t="str">
        <f>IF(J1556&lt;G1556,"ON BOND",0)</f>
        <v>ON BOND</v>
      </c>
      <c r="BS1556" s="129" t="str">
        <f t="shared" si="1161"/>
        <v>DISPOSED</v>
      </c>
      <c r="BT1556" s="129" t="str">
        <f t="shared" si="1162"/>
        <v>Y</v>
      </c>
      <c r="BU1556" s="109">
        <f t="shared" si="1163"/>
        <v>1.4634146341463415E-2</v>
      </c>
      <c r="BV1556" s="109">
        <f t="shared" si="1164"/>
        <v>1.4634146341463415E-2</v>
      </c>
      <c r="BW1556" s="109">
        <f t="shared" si="1132"/>
        <v>0</v>
      </c>
      <c r="BX1556" s="111">
        <f t="shared" si="1165"/>
        <v>0</v>
      </c>
      <c r="BY1556" s="129">
        <f t="shared" si="1166"/>
        <v>-3</v>
      </c>
      <c r="BZ1556" s="111">
        <f t="shared" si="1167"/>
        <v>0</v>
      </c>
      <c r="CA1556" s="138">
        <f t="shared" si="1168"/>
        <v>3</v>
      </c>
      <c r="CB1556" s="111" t="e">
        <f>IF(AF1556&gt;1/1/1900,((AF1556+1)-AE1556),"STILL OPEN")</f>
        <v>#VALUE!</v>
      </c>
      <c r="CD1556" s="129">
        <f>G1556-J1556</f>
        <v>202</v>
      </c>
      <c r="CG1556" s="129" t="str">
        <f t="shared" si="1169"/>
        <v>Y</v>
      </c>
      <c r="CI1556" s="129" t="str">
        <f t="shared" si="1170"/>
        <v>0-10 DAYS</v>
      </c>
      <c r="CJ1556" s="137">
        <f t="shared" si="1171"/>
        <v>1</v>
      </c>
      <c r="CK1556" s="129" t="str">
        <f t="shared" si="1172"/>
        <v>Booked</v>
      </c>
    </row>
    <row r="1557" spans="1:89" ht="15.75" customHeight="1" x14ac:dyDescent="0.25">
      <c r="A1557" s="111">
        <v>132</v>
      </c>
      <c r="B1557" s="128" t="str">
        <f t="shared" si="1153"/>
        <v>N</v>
      </c>
      <c r="C1557" s="128" t="str">
        <f t="shared" si="1154"/>
        <v>N</v>
      </c>
      <c r="D1557" s="117">
        <v>2111352</v>
      </c>
      <c r="E1557" s="135">
        <f t="shared" si="1155"/>
        <v>5</v>
      </c>
      <c r="F1557" s="124">
        <v>40914</v>
      </c>
      <c r="G1557" s="125">
        <v>41051</v>
      </c>
      <c r="H1557" s="117">
        <v>2111352</v>
      </c>
      <c r="I1557" s="124">
        <v>41033</v>
      </c>
      <c r="J1557" s="124">
        <v>41051</v>
      </c>
      <c r="K1557" s="126">
        <v>15000</v>
      </c>
      <c r="L1557" s="127" t="s">
        <v>571</v>
      </c>
      <c r="N1557" s="129" t="str">
        <f>IF(M1557&gt;1/1/1,"Y","N")</f>
        <v>N</v>
      </c>
      <c r="O1557" s="128" t="s">
        <v>917</v>
      </c>
      <c r="P1557" s="129" t="s">
        <v>39</v>
      </c>
      <c r="Q1557" s="111">
        <f t="shared" si="1143"/>
        <v>19</v>
      </c>
      <c r="R1557" s="111">
        <f t="shared" si="1175"/>
        <v>138</v>
      </c>
      <c r="S1557" s="129">
        <v>2</v>
      </c>
      <c r="T1557" s="129">
        <v>3</v>
      </c>
      <c r="U1557" s="129">
        <v>1</v>
      </c>
      <c r="W1557" s="111"/>
      <c r="AC1557" s="130"/>
      <c r="AD1557" s="130">
        <v>29912</v>
      </c>
      <c r="AE1557" s="128" t="s">
        <v>32</v>
      </c>
      <c r="AF1557" s="128" t="s">
        <v>33</v>
      </c>
      <c r="AG1557" s="128" t="s">
        <v>872</v>
      </c>
      <c r="AH1557" s="108" t="s">
        <v>58</v>
      </c>
      <c r="AI1557" s="128" t="s">
        <v>95</v>
      </c>
      <c r="AJ1557" s="129" t="s">
        <v>89</v>
      </c>
      <c r="AK1557" s="129">
        <v>3</v>
      </c>
      <c r="AL1557" s="3" t="s">
        <v>992</v>
      </c>
      <c r="AN1557" s="117">
        <v>7</v>
      </c>
      <c r="AP1557" s="129" t="s">
        <v>98</v>
      </c>
      <c r="AR1557" s="128" t="s">
        <v>44</v>
      </c>
      <c r="AS1557" s="129" t="s">
        <v>64</v>
      </c>
      <c r="AT1557" s="129" t="s">
        <v>596</v>
      </c>
      <c r="AZ1557" s="140"/>
      <c r="BC1557" s="129" t="s">
        <v>38</v>
      </c>
      <c r="BF1557" s="111">
        <f>IF(J1557&gt;1/1/1900,((J1557+1)-I1557),"STILL OPEN")</f>
        <v>19</v>
      </c>
      <c r="BG1557" s="111">
        <f t="shared" si="1176"/>
        <v>19</v>
      </c>
      <c r="BH1557" s="111">
        <f t="shared" si="1150"/>
        <v>138</v>
      </c>
      <c r="BI1557" s="111">
        <f t="shared" si="1151"/>
        <v>30.060109289617486</v>
      </c>
      <c r="BJ1557" s="129">
        <f t="shared" si="1156"/>
        <v>0</v>
      </c>
      <c r="BK1557" s="129">
        <f t="shared" si="1152"/>
        <v>0</v>
      </c>
      <c r="BL1557" s="129" t="str">
        <f t="shared" ref="BL1557:BL1620" si="1177">IF(OR(AL1557="AQUITTAL",AL1557="DISMISSED",AL1557="FINE",AL1557="NO BILL"),"NO CONVICTION",IF(OR(AL1557="HCJ",AL1557="MHH",AL1557="PROBATION",AL1557="STJ",AL1557="TDC"),"CONVICTION",IF(AL1557="DEFERRED","DEFERRED",0)))</f>
        <v>CONVICTION</v>
      </c>
      <c r="BM1557" s="129" t="str">
        <f t="shared" si="1157"/>
        <v>NONE</v>
      </c>
      <c r="BN1557" s="129" t="s">
        <v>566</v>
      </c>
      <c r="BP1557" s="137" t="str">
        <f t="shared" si="1158"/>
        <v>CONVICTION</v>
      </c>
      <c r="BQ1557" s="128" t="str">
        <f t="shared" si="1159"/>
        <v>Y</v>
      </c>
      <c r="BR1557" s="129" t="str">
        <f t="shared" si="1160"/>
        <v>DETAINED</v>
      </c>
      <c r="BS1557" s="129" t="str">
        <f t="shared" si="1161"/>
        <v>DISPOSED</v>
      </c>
      <c r="BT1557" s="129" t="str">
        <f t="shared" si="1162"/>
        <v>Y</v>
      </c>
      <c r="BU1557" s="109">
        <f t="shared" si="1163"/>
        <v>0.13768115942028986</v>
      </c>
      <c r="BV1557" s="109">
        <f t="shared" si="1164"/>
        <v>1</v>
      </c>
      <c r="BW1557" s="109">
        <f t="shared" si="1132"/>
        <v>0.8623188405797102</v>
      </c>
      <c r="BX1557" s="111">
        <f t="shared" si="1165"/>
        <v>0</v>
      </c>
      <c r="BY1557" s="129">
        <f t="shared" si="1166"/>
        <v>-19</v>
      </c>
      <c r="BZ1557" s="111">
        <f t="shared" si="1167"/>
        <v>0</v>
      </c>
      <c r="CA1557" s="138">
        <f t="shared" si="1168"/>
        <v>19</v>
      </c>
      <c r="CB1557" s="111" t="e">
        <f>IF(AF1557&gt;1/1/1900,((AF1557+1)-AE1557),"STILL OPEN")</f>
        <v>#VALUE!</v>
      </c>
      <c r="CC1557" s="129">
        <f>G1557-I1557+1</f>
        <v>19</v>
      </c>
      <c r="CD1557" s="129">
        <f>G1557-J1557</f>
        <v>0</v>
      </c>
      <c r="CG1557" s="129" t="str">
        <f t="shared" si="1169"/>
        <v>Y</v>
      </c>
      <c r="CI1557" s="129" t="str">
        <f t="shared" si="1170"/>
        <v>11-30 DAYS</v>
      </c>
      <c r="CJ1557" s="137">
        <f t="shared" si="1171"/>
        <v>2</v>
      </c>
      <c r="CK1557" s="129" t="str">
        <f t="shared" si="1172"/>
        <v>Booked</v>
      </c>
    </row>
    <row r="1558" spans="1:89" ht="15" customHeight="1" x14ac:dyDescent="0.25">
      <c r="A1558" s="111">
        <v>1828</v>
      </c>
      <c r="B1558" s="128" t="str">
        <f t="shared" si="1153"/>
        <v>N</v>
      </c>
      <c r="C1558" s="128" t="str">
        <f t="shared" si="1154"/>
        <v>N</v>
      </c>
      <c r="D1558" s="117">
        <v>2111497</v>
      </c>
      <c r="E1558" s="135">
        <f t="shared" si="1155"/>
        <v>6</v>
      </c>
      <c r="F1558" s="124">
        <v>40976</v>
      </c>
      <c r="G1558" s="125">
        <v>41424</v>
      </c>
      <c r="H1558" s="117">
        <v>2111497</v>
      </c>
      <c r="I1558" s="124">
        <v>40977</v>
      </c>
      <c r="J1558" s="125">
        <v>41424</v>
      </c>
      <c r="K1558" s="126">
        <v>225000</v>
      </c>
      <c r="L1558" s="129" t="s">
        <v>572</v>
      </c>
      <c r="N1558" s="129" t="str">
        <f>IF(M1558&gt;1/1/1,"Y","N")</f>
        <v>N</v>
      </c>
      <c r="O1558" s="128" t="s">
        <v>917</v>
      </c>
      <c r="P1558" s="129" t="s">
        <v>1144</v>
      </c>
      <c r="Q1558" s="111">
        <f t="shared" si="1143"/>
        <v>448</v>
      </c>
      <c r="R1558" s="111">
        <f t="shared" si="1175"/>
        <v>449</v>
      </c>
      <c r="S1558" s="129">
        <v>0</v>
      </c>
      <c r="T1558" s="129">
        <v>2</v>
      </c>
      <c r="W1558" s="111"/>
      <c r="AC1558" s="130"/>
      <c r="AD1558" s="130">
        <v>31323</v>
      </c>
      <c r="AE1558" s="128" t="s">
        <v>32</v>
      </c>
      <c r="AF1558" s="128" t="s">
        <v>33</v>
      </c>
      <c r="AG1558" s="128" t="s">
        <v>872</v>
      </c>
      <c r="AH1558" s="108" t="s">
        <v>58</v>
      </c>
      <c r="AI1558" s="128" t="s">
        <v>42</v>
      </c>
      <c r="AJ1558" s="129" t="s">
        <v>89</v>
      </c>
      <c r="AK1558" s="129">
        <v>15</v>
      </c>
      <c r="AL1558" s="3" t="s">
        <v>362</v>
      </c>
      <c r="AM1558" s="117">
        <v>99</v>
      </c>
      <c r="AP1558" s="129" t="s">
        <v>173</v>
      </c>
      <c r="AR1558" s="128" t="s">
        <v>50</v>
      </c>
      <c r="AS1558" s="129" t="s">
        <v>126</v>
      </c>
      <c r="AT1558" s="129" t="s">
        <v>1159</v>
      </c>
      <c r="BC1558" s="129" t="s">
        <v>38</v>
      </c>
      <c r="BF1558" s="111">
        <f>IF(J1558&gt;1/1/1900,((J1558+1)-I1558),"STILL OPEN")</f>
        <v>448</v>
      </c>
      <c r="BG1558" s="111">
        <f t="shared" si="1176"/>
        <v>448</v>
      </c>
      <c r="BH1558" s="111">
        <f t="shared" si="1150"/>
        <v>449</v>
      </c>
      <c r="BI1558" s="111">
        <f t="shared" si="1151"/>
        <v>26.374316939890711</v>
      </c>
      <c r="BJ1558" s="129">
        <f t="shared" si="1156"/>
        <v>0</v>
      </c>
      <c r="BK1558" s="129">
        <f t="shared" si="1152"/>
        <v>0</v>
      </c>
      <c r="BL1558" s="129" t="str">
        <f t="shared" si="1177"/>
        <v>CONVICTION</v>
      </c>
      <c r="BM1558" s="129" t="str">
        <f t="shared" si="1157"/>
        <v>NONE</v>
      </c>
      <c r="BN1558" s="129" t="s">
        <v>566</v>
      </c>
      <c r="BP1558" s="137" t="str">
        <f t="shared" si="1158"/>
        <v>CONVICTION</v>
      </c>
      <c r="BQ1558" s="128" t="str">
        <f t="shared" si="1159"/>
        <v>Y</v>
      </c>
      <c r="BR1558" s="129" t="str">
        <f t="shared" si="1160"/>
        <v>DETAINED</v>
      </c>
      <c r="BS1558" s="129" t="str">
        <f t="shared" si="1161"/>
        <v>DISPOSED</v>
      </c>
      <c r="BT1558" s="129" t="str">
        <f t="shared" si="1162"/>
        <v>N</v>
      </c>
      <c r="BU1558" s="109">
        <f t="shared" si="1163"/>
        <v>0.99777282850779514</v>
      </c>
      <c r="BV1558" s="109">
        <f t="shared" si="1164"/>
        <v>1</v>
      </c>
      <c r="BW1558" s="109">
        <f t="shared" si="1132"/>
        <v>2.2271714922048602E-3</v>
      </c>
      <c r="BX1558" s="111">
        <f t="shared" si="1165"/>
        <v>0</v>
      </c>
      <c r="BY1558" s="129">
        <f t="shared" si="1166"/>
        <v>-448</v>
      </c>
      <c r="BZ1558" s="111">
        <f t="shared" si="1167"/>
        <v>0</v>
      </c>
      <c r="CA1558" s="138">
        <f t="shared" si="1168"/>
        <v>448</v>
      </c>
      <c r="CB1558" s="111" t="e">
        <f>IF(AF1558&gt;1/1/1900,((AF1558+1)-AE1558),"STILL OPEN")</f>
        <v>#VALUE!</v>
      </c>
      <c r="CC1558" s="129">
        <f>G1558-I1558+1</f>
        <v>448</v>
      </c>
      <c r="CD1558" s="129">
        <f>G1558-J1558</f>
        <v>0</v>
      </c>
      <c r="CG1558" s="129" t="str">
        <f t="shared" si="1169"/>
        <v>Y</v>
      </c>
      <c r="CI1558" s="129" t="str">
        <f t="shared" si="1170"/>
        <v xml:space="preserve"> &gt;1YRS&lt;2YRS</v>
      </c>
      <c r="CJ1558" s="137">
        <f t="shared" si="1171"/>
        <v>0</v>
      </c>
      <c r="CK1558" s="129" t="str">
        <f t="shared" si="1172"/>
        <v>Booked</v>
      </c>
    </row>
    <row r="1559" spans="1:89" ht="15" customHeight="1" x14ac:dyDescent="0.25">
      <c r="A1559" s="111">
        <v>547</v>
      </c>
      <c r="B1559" s="128" t="str">
        <f t="shared" si="1153"/>
        <v>N</v>
      </c>
      <c r="C1559" s="128" t="str">
        <f t="shared" si="1154"/>
        <v>N</v>
      </c>
      <c r="D1559" s="117">
        <v>2111712</v>
      </c>
      <c r="E1559" s="135">
        <f t="shared" si="1155"/>
        <v>6</v>
      </c>
      <c r="F1559" s="124">
        <v>40930</v>
      </c>
      <c r="G1559" s="125">
        <v>41435</v>
      </c>
      <c r="H1559" s="117">
        <v>2111712</v>
      </c>
      <c r="I1559" s="124">
        <v>40982</v>
      </c>
      <c r="J1559" s="124">
        <v>41233</v>
      </c>
      <c r="K1559" s="126">
        <v>75000</v>
      </c>
      <c r="L1559" s="129" t="s">
        <v>572</v>
      </c>
      <c r="M1559" s="124">
        <v>41233</v>
      </c>
      <c r="N1559" s="129" t="s">
        <v>88</v>
      </c>
      <c r="O1559" s="128" t="s">
        <v>76</v>
      </c>
      <c r="P1559" s="129" t="s">
        <v>39</v>
      </c>
      <c r="Q1559" s="111">
        <v>252</v>
      </c>
      <c r="R1559" s="111">
        <f t="shared" si="1175"/>
        <v>506</v>
      </c>
      <c r="S1559" s="129">
        <v>4</v>
      </c>
      <c r="T1559" s="129">
        <v>8</v>
      </c>
      <c r="U1559" s="129">
        <v>2</v>
      </c>
      <c r="W1559" s="111"/>
      <c r="AC1559" s="130"/>
      <c r="AD1559" s="130">
        <v>31940</v>
      </c>
      <c r="AE1559" s="128" t="s">
        <v>32</v>
      </c>
      <c r="AF1559" s="128" t="s">
        <v>33</v>
      </c>
      <c r="AG1559" s="128" t="s">
        <v>872</v>
      </c>
      <c r="AH1559" s="108" t="s">
        <v>58</v>
      </c>
      <c r="AI1559" s="128" t="s">
        <v>71</v>
      </c>
      <c r="AJ1559" s="129" t="s">
        <v>89</v>
      </c>
      <c r="AK1559" s="129">
        <v>17</v>
      </c>
      <c r="AL1559" s="3" t="s">
        <v>362</v>
      </c>
      <c r="AM1559" s="117">
        <v>3</v>
      </c>
      <c r="AP1559" s="129" t="s">
        <v>73</v>
      </c>
      <c r="AR1559" s="128" t="s">
        <v>50</v>
      </c>
      <c r="AS1559" s="129" t="s">
        <v>74</v>
      </c>
      <c r="AT1559" s="129" t="s">
        <v>1180</v>
      </c>
      <c r="BC1559" s="129" t="s">
        <v>52</v>
      </c>
      <c r="BF1559" s="111">
        <v>251</v>
      </c>
      <c r="BG1559" s="111">
        <f t="shared" si="1176"/>
        <v>454</v>
      </c>
      <c r="BH1559" s="111">
        <f t="shared" si="1150"/>
        <v>506</v>
      </c>
      <c r="BI1559" s="111">
        <f t="shared" si="1151"/>
        <v>24.562841530054644</v>
      </c>
      <c r="BJ1559" s="129">
        <f>(G1559-J1559)+(M1559-G1559)</f>
        <v>0</v>
      </c>
      <c r="BK1559" s="129">
        <f t="shared" si="1152"/>
        <v>-202</v>
      </c>
      <c r="BL1559" s="129" t="str">
        <f t="shared" si="1177"/>
        <v>CONVICTION</v>
      </c>
      <c r="BM1559" s="129" t="s">
        <v>76</v>
      </c>
      <c r="BN1559" s="129" t="s">
        <v>566</v>
      </c>
      <c r="BP1559" s="137" t="str">
        <f t="shared" si="1158"/>
        <v>CONVICTION</v>
      </c>
      <c r="BQ1559" s="128" t="str">
        <f t="shared" si="1159"/>
        <v>Y</v>
      </c>
      <c r="BR1559" s="129" t="str">
        <f>IF(J1559&lt;G1559,"ON BOND",0)</f>
        <v>ON BOND</v>
      </c>
      <c r="BS1559" s="129" t="str">
        <f t="shared" si="1161"/>
        <v>DISPOSED</v>
      </c>
      <c r="BT1559" s="129" t="str">
        <f t="shared" si="1162"/>
        <v>Y</v>
      </c>
      <c r="BU1559" s="109">
        <f t="shared" si="1163"/>
        <v>0.49802371541501977</v>
      </c>
      <c r="BV1559" s="109">
        <f t="shared" si="1164"/>
        <v>0.55506607929515417</v>
      </c>
      <c r="BW1559" s="109">
        <f t="shared" si="1132"/>
        <v>5.7042363880134395E-2</v>
      </c>
      <c r="BX1559" s="111">
        <f t="shared" si="1165"/>
        <v>1</v>
      </c>
      <c r="BY1559" s="129">
        <f t="shared" si="1166"/>
        <v>-252</v>
      </c>
      <c r="BZ1559" s="111">
        <f t="shared" si="1167"/>
        <v>-1</v>
      </c>
      <c r="CA1559" s="138">
        <f t="shared" si="1168"/>
        <v>252</v>
      </c>
      <c r="CB1559" s="111">
        <v>251</v>
      </c>
      <c r="CC1559" s="129">
        <f>M1559-I1559+1</f>
        <v>252</v>
      </c>
      <c r="CD1559" s="111">
        <f>CC1559-BF1559</f>
        <v>1</v>
      </c>
      <c r="CG1559" s="129" t="str">
        <f t="shared" si="1169"/>
        <v>Y</v>
      </c>
      <c r="CI1559" s="129" t="str">
        <f t="shared" si="1170"/>
        <v>121-365 DAYS</v>
      </c>
      <c r="CJ1559" s="137">
        <f t="shared" si="1171"/>
        <v>6</v>
      </c>
      <c r="CK1559" s="129" t="str">
        <f t="shared" si="1172"/>
        <v>Booked</v>
      </c>
    </row>
    <row r="1560" spans="1:89" ht="15.75" customHeight="1" x14ac:dyDescent="0.25">
      <c r="A1560" s="111">
        <v>3131</v>
      </c>
      <c r="B1560" s="128" t="str">
        <f t="shared" si="1153"/>
        <v>N</v>
      </c>
      <c r="C1560" s="128" t="str">
        <f t="shared" si="1154"/>
        <v>N</v>
      </c>
      <c r="D1560" s="117">
        <v>2111905</v>
      </c>
      <c r="E1560" s="135">
        <f t="shared" si="1155"/>
        <v>1</v>
      </c>
      <c r="F1560" s="124">
        <v>41024</v>
      </c>
      <c r="G1560" s="125">
        <v>41130</v>
      </c>
      <c r="H1560" s="117">
        <v>2111905</v>
      </c>
      <c r="I1560" s="124">
        <v>41025</v>
      </c>
      <c r="J1560" s="124">
        <v>41028</v>
      </c>
      <c r="K1560" s="126">
        <v>5000</v>
      </c>
      <c r="L1560" s="127" t="s">
        <v>569</v>
      </c>
      <c r="M1560" s="125">
        <v>41028</v>
      </c>
      <c r="N1560" s="129" t="str">
        <f>IF(M1560&gt;1/1/1,"Y","N")</f>
        <v>Y</v>
      </c>
      <c r="O1560" s="128" t="s">
        <v>76</v>
      </c>
      <c r="P1560" s="129" t="s">
        <v>55</v>
      </c>
      <c r="Q1560" s="111">
        <f t="shared" ref="Q1560:Q1591" si="1178">BF1560</f>
        <v>4</v>
      </c>
      <c r="R1560" s="111">
        <f t="shared" si="1175"/>
        <v>107</v>
      </c>
      <c r="S1560" s="129">
        <v>2</v>
      </c>
      <c r="T1560" s="129">
        <v>1</v>
      </c>
      <c r="V1560" s="117">
        <v>2</v>
      </c>
      <c r="W1560" s="111"/>
      <c r="AC1560" s="130"/>
      <c r="AD1560" s="130">
        <v>21935</v>
      </c>
      <c r="AE1560" s="128" t="s">
        <v>32</v>
      </c>
      <c r="AF1560" s="128" t="s">
        <v>69</v>
      </c>
      <c r="AG1560" s="128" t="s">
        <v>874</v>
      </c>
      <c r="AH1560" s="108" t="s">
        <v>31</v>
      </c>
      <c r="AI1560" s="128" t="s">
        <v>97</v>
      </c>
      <c r="AJ1560" s="129" t="s">
        <v>55</v>
      </c>
      <c r="AK1560" s="129">
        <v>5</v>
      </c>
      <c r="AL1560" s="3" t="s">
        <v>55</v>
      </c>
      <c r="AP1560" s="129" t="s">
        <v>43</v>
      </c>
      <c r="AR1560" s="128" t="s">
        <v>44</v>
      </c>
      <c r="AS1560" s="129" t="s">
        <v>45</v>
      </c>
      <c r="BC1560" s="129" t="s">
        <v>52</v>
      </c>
      <c r="BF1560" s="111">
        <f t="shared" ref="BF1560:BF1567" si="1179">IF(J1560&gt;1/1/1900,((J1560+1)-I1560),"STILL OPEN")</f>
        <v>4</v>
      </c>
      <c r="BG1560" s="111">
        <f t="shared" si="1176"/>
        <v>106</v>
      </c>
      <c r="BH1560" s="111">
        <f t="shared" si="1150"/>
        <v>107</v>
      </c>
      <c r="BI1560" s="111">
        <f t="shared" si="1151"/>
        <v>52.155737704918032</v>
      </c>
      <c r="BJ1560" s="129">
        <f>(G1560-J1560)+(M1560-G1560)</f>
        <v>0</v>
      </c>
      <c r="BK1560" s="129">
        <f t="shared" si="1152"/>
        <v>-102</v>
      </c>
      <c r="BL1560" s="129" t="str">
        <f t="shared" si="1177"/>
        <v>NO CONVICTION</v>
      </c>
      <c r="BM1560" s="129" t="s">
        <v>76</v>
      </c>
      <c r="BN1560" s="129" t="s">
        <v>88</v>
      </c>
      <c r="BP1560" s="137" t="str">
        <f t="shared" si="1158"/>
        <v>NO CONVICTION</v>
      </c>
      <c r="BQ1560" s="128" t="str">
        <f t="shared" si="1159"/>
        <v>Y</v>
      </c>
      <c r="BR1560" s="129" t="str">
        <f t="shared" si="1160"/>
        <v>ON BOND</v>
      </c>
      <c r="BS1560" s="129" t="str">
        <f t="shared" si="1161"/>
        <v>DISPOSED</v>
      </c>
      <c r="BT1560" s="129" t="str">
        <f t="shared" si="1162"/>
        <v>Y</v>
      </c>
      <c r="BU1560" s="109">
        <f>IFERROR(Q1560/R1560,BR1560)</f>
        <v>3.7383177570093455E-2</v>
      </c>
      <c r="BV1560" s="109">
        <f t="shared" si="1164"/>
        <v>3.7735849056603772E-2</v>
      </c>
      <c r="BW1560" s="109">
        <f t="shared" si="1132"/>
        <v>3.5267148651031699E-4</v>
      </c>
      <c r="BX1560" s="111">
        <f t="shared" si="1165"/>
        <v>0</v>
      </c>
      <c r="BY1560" s="129">
        <f t="shared" si="1166"/>
        <v>-4</v>
      </c>
      <c r="BZ1560" s="111">
        <f t="shared" si="1167"/>
        <v>0</v>
      </c>
      <c r="CA1560" s="138">
        <f t="shared" si="1168"/>
        <v>4</v>
      </c>
      <c r="CB1560" s="111" t="e">
        <f t="shared" ref="CB1560:CB1567" si="1180">IF(AF1560&gt;1/1/1900,((AF1560+1)-AE1560),"STILL OPEN")</f>
        <v>#VALUE!</v>
      </c>
      <c r="CC1560" s="129">
        <f>M1560-I1560+1</f>
        <v>4</v>
      </c>
      <c r="CD1560" s="111">
        <f>CC1560-BF1560</f>
        <v>0</v>
      </c>
      <c r="CG1560" s="129" t="str">
        <f t="shared" si="1169"/>
        <v>Y</v>
      </c>
      <c r="CI1560" s="129" t="str">
        <f t="shared" si="1170"/>
        <v>0-10 DAYS</v>
      </c>
      <c r="CJ1560" s="137">
        <f t="shared" si="1171"/>
        <v>1</v>
      </c>
      <c r="CK1560" s="129" t="str">
        <f t="shared" si="1172"/>
        <v>Booked</v>
      </c>
    </row>
    <row r="1561" spans="1:89" ht="15" customHeight="1" x14ac:dyDescent="0.25">
      <c r="A1561" s="111">
        <v>1859</v>
      </c>
      <c r="B1561" s="128" t="str">
        <f t="shared" si="1153"/>
        <v>N</v>
      </c>
      <c r="C1561" s="128" t="str">
        <f t="shared" si="1154"/>
        <v>N</v>
      </c>
      <c r="D1561" s="117">
        <v>2112054</v>
      </c>
      <c r="E1561" s="135">
        <f t="shared" si="1155"/>
        <v>6</v>
      </c>
      <c r="F1561" s="124">
        <v>40977</v>
      </c>
      <c r="G1561" s="125">
        <v>41075</v>
      </c>
      <c r="H1561" s="117">
        <v>2112054</v>
      </c>
      <c r="I1561" s="124">
        <v>40978</v>
      </c>
      <c r="J1561" s="124">
        <v>41075</v>
      </c>
      <c r="K1561" s="126" t="s">
        <v>564</v>
      </c>
      <c r="L1561" s="127" t="s">
        <v>564</v>
      </c>
      <c r="N1561" s="129" t="s">
        <v>566</v>
      </c>
      <c r="O1561" s="128" t="s">
        <v>917</v>
      </c>
      <c r="P1561" s="129" t="s">
        <v>39</v>
      </c>
      <c r="Q1561" s="111">
        <f t="shared" si="1178"/>
        <v>98</v>
      </c>
      <c r="R1561" s="111">
        <f t="shared" si="1175"/>
        <v>99</v>
      </c>
      <c r="S1561" s="129">
        <v>3</v>
      </c>
      <c r="T1561" s="129">
        <v>6</v>
      </c>
      <c r="U1561" s="129">
        <v>2</v>
      </c>
      <c r="W1561" s="111"/>
      <c r="AC1561" s="130"/>
      <c r="AD1561" s="130">
        <v>31642</v>
      </c>
      <c r="AE1561" s="128" t="s">
        <v>32</v>
      </c>
      <c r="AF1561" s="128" t="s">
        <v>69</v>
      </c>
      <c r="AG1561" s="128" t="s">
        <v>874</v>
      </c>
      <c r="AH1561" s="108" t="s">
        <v>58</v>
      </c>
      <c r="AI1561" s="128" t="s">
        <v>90</v>
      </c>
      <c r="AJ1561" s="129" t="s">
        <v>89</v>
      </c>
      <c r="AK1561" s="129">
        <v>4</v>
      </c>
      <c r="AL1561" s="3" t="s">
        <v>362</v>
      </c>
      <c r="AM1561" s="114">
        <v>20</v>
      </c>
      <c r="AN1561" s="114"/>
      <c r="AP1561" s="129" t="s">
        <v>105</v>
      </c>
      <c r="AR1561" s="128" t="s">
        <v>92</v>
      </c>
      <c r="AS1561" s="129" t="s">
        <v>106</v>
      </c>
      <c r="AX1561" s="32"/>
      <c r="BC1561" s="129" t="s">
        <v>38</v>
      </c>
      <c r="BF1561" s="111">
        <f t="shared" si="1179"/>
        <v>98</v>
      </c>
      <c r="BG1561" s="111">
        <f t="shared" si="1176"/>
        <v>98</v>
      </c>
      <c r="BH1561" s="111">
        <f t="shared" si="1150"/>
        <v>99</v>
      </c>
      <c r="BI1561" s="111">
        <f t="shared" si="1151"/>
        <v>25.505464480874316</v>
      </c>
      <c r="BJ1561" s="129">
        <f t="shared" si="1156"/>
        <v>0</v>
      </c>
      <c r="BK1561" s="129">
        <f t="shared" si="1152"/>
        <v>0</v>
      </c>
      <c r="BL1561" s="129" t="str">
        <f t="shared" si="1177"/>
        <v>CONVICTION</v>
      </c>
      <c r="BM1561" s="129" t="str">
        <f t="shared" si="1157"/>
        <v>NONE</v>
      </c>
      <c r="BN1561" s="129" t="s">
        <v>566</v>
      </c>
      <c r="BP1561" s="137" t="str">
        <f t="shared" si="1158"/>
        <v>CONVICTION</v>
      </c>
      <c r="BQ1561" s="128" t="str">
        <f t="shared" si="1159"/>
        <v>Y</v>
      </c>
      <c r="BR1561" s="129" t="str">
        <f t="shared" si="1160"/>
        <v>DETAINED</v>
      </c>
      <c r="BS1561" s="129" t="str">
        <f t="shared" si="1161"/>
        <v>DISPOSED</v>
      </c>
      <c r="BT1561" s="129" t="str">
        <f t="shared" si="1162"/>
        <v>Y</v>
      </c>
      <c r="BU1561" s="109">
        <f t="shared" si="1163"/>
        <v>0.98989898989898994</v>
      </c>
      <c r="BV1561" s="109">
        <f t="shared" si="1164"/>
        <v>1</v>
      </c>
      <c r="BW1561" s="109">
        <f t="shared" ref="BW1561:BW1584" si="1181">BV1561-BU1561</f>
        <v>1.0101010101010055E-2</v>
      </c>
      <c r="BX1561" s="111">
        <f t="shared" si="1165"/>
        <v>0</v>
      </c>
      <c r="BY1561" s="129">
        <f t="shared" si="1166"/>
        <v>-98</v>
      </c>
      <c r="BZ1561" s="111">
        <f t="shared" si="1167"/>
        <v>0</v>
      </c>
      <c r="CA1561" s="138">
        <f t="shared" si="1168"/>
        <v>98</v>
      </c>
      <c r="CB1561" s="111" t="e">
        <f t="shared" si="1180"/>
        <v>#VALUE!</v>
      </c>
      <c r="CC1561" s="129">
        <f>G1561-I1561+1</f>
        <v>98</v>
      </c>
      <c r="CD1561" s="129">
        <f>G1561-J1561</f>
        <v>0</v>
      </c>
      <c r="CG1561" s="129" t="str">
        <f t="shared" si="1169"/>
        <v>Y</v>
      </c>
      <c r="CI1561" s="129" t="str">
        <f t="shared" si="1170"/>
        <v>91-120 DAYS</v>
      </c>
      <c r="CJ1561" s="137">
        <f t="shared" si="1171"/>
        <v>0</v>
      </c>
      <c r="CK1561" s="129" t="str">
        <f t="shared" si="1172"/>
        <v>Booked</v>
      </c>
    </row>
    <row r="1562" spans="1:89" ht="15" customHeight="1" x14ac:dyDescent="0.25">
      <c r="A1562" s="111">
        <v>81</v>
      </c>
      <c r="B1562" s="128" t="str">
        <f t="shared" si="1153"/>
        <v>Y</v>
      </c>
      <c r="C1562" s="128" t="str">
        <f t="shared" si="1154"/>
        <v>Y</v>
      </c>
      <c r="D1562" s="117">
        <v>2112169</v>
      </c>
      <c r="E1562" s="135">
        <f t="shared" si="1155"/>
        <v>5</v>
      </c>
      <c r="F1562" s="124">
        <v>40912</v>
      </c>
      <c r="G1562" s="125">
        <v>41302</v>
      </c>
      <c r="H1562" s="117">
        <v>2112169</v>
      </c>
      <c r="I1562" s="124">
        <v>40913</v>
      </c>
      <c r="J1562" s="124">
        <v>40950</v>
      </c>
      <c r="K1562" s="126">
        <v>5000</v>
      </c>
      <c r="L1562" s="127" t="s">
        <v>569</v>
      </c>
      <c r="M1562" s="125">
        <v>40950</v>
      </c>
      <c r="N1562" s="129" t="str">
        <f t="shared" ref="N1562:N1567" si="1182">IF(M1562&gt;1/1/1,"Y","N")</f>
        <v>Y</v>
      </c>
      <c r="O1562" s="128" t="s">
        <v>76</v>
      </c>
      <c r="P1562" s="129" t="s">
        <v>39</v>
      </c>
      <c r="Q1562" s="111">
        <v>42</v>
      </c>
      <c r="R1562" s="111">
        <f t="shared" si="1175"/>
        <v>391</v>
      </c>
      <c r="S1562" s="129">
        <v>1</v>
      </c>
      <c r="T1562" s="129">
        <v>1</v>
      </c>
      <c r="U1562" s="129">
        <v>1</v>
      </c>
      <c r="W1562" s="111"/>
      <c r="AC1562" s="130"/>
      <c r="AD1562" s="130">
        <v>28246</v>
      </c>
      <c r="AE1562" s="128" t="s">
        <v>32</v>
      </c>
      <c r="AF1562" s="128" t="s">
        <v>69</v>
      </c>
      <c r="AG1562" s="128" t="s">
        <v>874</v>
      </c>
      <c r="AH1562" s="108" t="s">
        <v>31</v>
      </c>
      <c r="AI1562" s="128" t="s">
        <v>118</v>
      </c>
      <c r="AJ1562" s="129" t="s">
        <v>89</v>
      </c>
      <c r="AK1562" s="129">
        <v>13</v>
      </c>
      <c r="AL1562" s="3" t="s">
        <v>992</v>
      </c>
      <c r="AN1562" s="117">
        <v>7</v>
      </c>
      <c r="AP1562" s="129" t="s">
        <v>137</v>
      </c>
      <c r="AR1562" s="128" t="s">
        <v>67</v>
      </c>
      <c r="AS1562" s="129" t="s">
        <v>64</v>
      </c>
      <c r="AT1562" s="129" t="s">
        <v>1263</v>
      </c>
      <c r="AU1562" s="3" t="s">
        <v>681</v>
      </c>
      <c r="AV1562" s="3" t="s">
        <v>88</v>
      </c>
      <c r="AW1562" s="123" t="s">
        <v>682</v>
      </c>
      <c r="AX1562" s="123" t="s">
        <v>88</v>
      </c>
      <c r="AZ1562" s="140"/>
      <c r="BA1562" s="125">
        <v>41015</v>
      </c>
      <c r="BB1562" s="129">
        <v>235</v>
      </c>
      <c r="BC1562" s="129" t="s">
        <v>38</v>
      </c>
      <c r="BD1562" s="129" t="s">
        <v>1414</v>
      </c>
      <c r="BF1562" s="111">
        <v>42</v>
      </c>
      <c r="BG1562" s="111">
        <f t="shared" si="1176"/>
        <v>390</v>
      </c>
      <c r="BH1562" s="111">
        <f t="shared" si="1150"/>
        <v>391</v>
      </c>
      <c r="BI1562" s="111">
        <f t="shared" si="1151"/>
        <v>34.606557377049178</v>
      </c>
      <c r="BJ1562" s="129">
        <f>(G1562-J1562)+(M1562-G1562)</f>
        <v>0</v>
      </c>
      <c r="BK1562" s="129">
        <f t="shared" si="1152"/>
        <v>-352</v>
      </c>
      <c r="BL1562" s="129" t="str">
        <f t="shared" si="1177"/>
        <v>CONVICTION</v>
      </c>
      <c r="BM1562" s="129" t="s">
        <v>76</v>
      </c>
      <c r="BN1562" s="129" t="s">
        <v>88</v>
      </c>
      <c r="BP1562" s="137" t="str">
        <f t="shared" si="1158"/>
        <v>CONVICTION</v>
      </c>
      <c r="BQ1562" s="128" t="str">
        <f t="shared" si="1159"/>
        <v>Y</v>
      </c>
      <c r="BR1562" s="129" t="s">
        <v>574</v>
      </c>
      <c r="BS1562" s="129" t="str">
        <f t="shared" si="1161"/>
        <v>DISPOSED</v>
      </c>
      <c r="BT1562" s="129" t="str">
        <f t="shared" si="1162"/>
        <v>Y</v>
      </c>
      <c r="BU1562" s="109">
        <f t="shared" si="1163"/>
        <v>0.10741687979539642</v>
      </c>
      <c r="BV1562" s="109">
        <f t="shared" si="1164"/>
        <v>9.7435897435897437E-2</v>
      </c>
      <c r="BW1562" s="109">
        <f t="shared" si="1181"/>
        <v>-9.9809823594989855E-3</v>
      </c>
      <c r="BX1562" s="111">
        <f t="shared" si="1165"/>
        <v>0</v>
      </c>
      <c r="BY1562" s="129">
        <f t="shared" si="1166"/>
        <v>-38</v>
      </c>
      <c r="BZ1562" s="111">
        <f t="shared" si="1167"/>
        <v>4</v>
      </c>
      <c r="CA1562" s="138">
        <f t="shared" si="1168"/>
        <v>390</v>
      </c>
      <c r="CB1562" s="111">
        <v>42</v>
      </c>
      <c r="CC1562" s="129">
        <f>G1562-I1562+1</f>
        <v>390</v>
      </c>
      <c r="CD1562" s="129">
        <f>G1562-J1562</f>
        <v>352</v>
      </c>
      <c r="CG1562" s="129" t="str">
        <f t="shared" si="1169"/>
        <v>Y</v>
      </c>
      <c r="CI1562" s="129" t="str">
        <f t="shared" si="1170"/>
        <v>31-60 DAYS</v>
      </c>
      <c r="CJ1562" s="137">
        <f t="shared" si="1171"/>
        <v>3</v>
      </c>
      <c r="CK1562" s="129" t="str">
        <f t="shared" si="1172"/>
        <v>Booked</v>
      </c>
    </row>
    <row r="1563" spans="1:89" ht="15.75" customHeight="1" x14ac:dyDescent="0.25">
      <c r="A1563" s="111">
        <v>2951</v>
      </c>
      <c r="B1563" s="128" t="str">
        <f t="shared" si="1153"/>
        <v>N</v>
      </c>
      <c r="C1563" s="128" t="str">
        <f t="shared" si="1154"/>
        <v>N</v>
      </c>
      <c r="D1563" s="117">
        <v>2114076</v>
      </c>
      <c r="E1563" s="135">
        <f t="shared" si="1155"/>
        <v>6</v>
      </c>
      <c r="F1563" s="124">
        <v>41017</v>
      </c>
      <c r="G1563" s="125">
        <v>41316</v>
      </c>
      <c r="H1563" s="117">
        <v>2114076</v>
      </c>
      <c r="I1563" s="124">
        <v>41018</v>
      </c>
      <c r="J1563" s="125">
        <v>41316</v>
      </c>
      <c r="K1563" s="126">
        <v>20000</v>
      </c>
      <c r="L1563" s="127" t="s">
        <v>571</v>
      </c>
      <c r="N1563" s="129" t="str">
        <f t="shared" si="1182"/>
        <v>N</v>
      </c>
      <c r="O1563" s="128" t="s">
        <v>917</v>
      </c>
      <c r="P1563" s="129" t="s">
        <v>39</v>
      </c>
      <c r="Q1563" s="111">
        <f t="shared" si="1178"/>
        <v>299</v>
      </c>
      <c r="R1563" s="111">
        <f t="shared" si="1175"/>
        <v>300</v>
      </c>
      <c r="S1563" s="129">
        <v>2</v>
      </c>
      <c r="T1563" s="129">
        <v>6</v>
      </c>
      <c r="U1563" s="129">
        <v>1</v>
      </c>
      <c r="W1563" s="111"/>
      <c r="AC1563" s="130"/>
      <c r="AD1563" s="130">
        <v>31643</v>
      </c>
      <c r="AE1563" s="128" t="s">
        <v>32</v>
      </c>
      <c r="AF1563" s="128" t="s">
        <v>40</v>
      </c>
      <c r="AG1563" s="128" t="s">
        <v>41</v>
      </c>
      <c r="AH1563" s="108" t="s">
        <v>41</v>
      </c>
      <c r="AI1563" s="128" t="s">
        <v>118</v>
      </c>
      <c r="AJ1563" s="129" t="s">
        <v>89</v>
      </c>
      <c r="AK1563" s="129">
        <v>3</v>
      </c>
      <c r="AL1563" s="3" t="s">
        <v>362</v>
      </c>
      <c r="AM1563" s="117">
        <v>12</v>
      </c>
      <c r="AP1563" s="129" t="s">
        <v>131</v>
      </c>
      <c r="AR1563" s="128" t="s">
        <v>50</v>
      </c>
      <c r="AS1563" s="129" t="s">
        <v>106</v>
      </c>
      <c r="BC1563" s="129" t="s">
        <v>38</v>
      </c>
      <c r="BF1563" s="111">
        <f t="shared" si="1179"/>
        <v>299</v>
      </c>
      <c r="BG1563" s="111">
        <f t="shared" si="1176"/>
        <v>299</v>
      </c>
      <c r="BH1563" s="111">
        <f t="shared" si="1150"/>
        <v>300</v>
      </c>
      <c r="BI1563" s="111">
        <f t="shared" si="1151"/>
        <v>25.612021857923498</v>
      </c>
      <c r="BJ1563" s="129">
        <f t="shared" si="1156"/>
        <v>0</v>
      </c>
      <c r="BK1563" s="129">
        <f t="shared" si="1152"/>
        <v>0</v>
      </c>
      <c r="BL1563" s="129" t="str">
        <f t="shared" si="1177"/>
        <v>CONVICTION</v>
      </c>
      <c r="BM1563" s="129" t="str">
        <f t="shared" si="1157"/>
        <v>NONE</v>
      </c>
      <c r="BN1563" s="129" t="s">
        <v>566</v>
      </c>
      <c r="BP1563" s="137" t="str">
        <f t="shared" si="1158"/>
        <v>CONVICTION</v>
      </c>
      <c r="BQ1563" s="128" t="str">
        <f t="shared" si="1159"/>
        <v>Y</v>
      </c>
      <c r="BR1563" s="129" t="str">
        <f t="shared" si="1160"/>
        <v>DETAINED</v>
      </c>
      <c r="BS1563" s="129" t="str">
        <f t="shared" si="1161"/>
        <v>DISPOSED</v>
      </c>
      <c r="BT1563" s="129" t="str">
        <f t="shared" si="1162"/>
        <v>Y</v>
      </c>
      <c r="BU1563" s="109">
        <f t="shared" si="1163"/>
        <v>0.9966666666666667</v>
      </c>
      <c r="BV1563" s="109">
        <f t="shared" si="1164"/>
        <v>1</v>
      </c>
      <c r="BW1563" s="109">
        <f t="shared" si="1181"/>
        <v>3.3333333333332993E-3</v>
      </c>
      <c r="BX1563" s="111">
        <f t="shared" si="1165"/>
        <v>0</v>
      </c>
      <c r="BY1563" s="129">
        <f t="shared" si="1166"/>
        <v>-299</v>
      </c>
      <c r="BZ1563" s="111">
        <f t="shared" si="1167"/>
        <v>0</v>
      </c>
      <c r="CA1563" s="138">
        <f t="shared" si="1168"/>
        <v>299</v>
      </c>
      <c r="CB1563" s="111" t="e">
        <f t="shared" si="1180"/>
        <v>#VALUE!</v>
      </c>
      <c r="CC1563" s="129">
        <f>G1563-I1563+1</f>
        <v>299</v>
      </c>
      <c r="CD1563" s="129">
        <f>G1563-J1563</f>
        <v>0</v>
      </c>
      <c r="CG1563" s="129" t="str">
        <f t="shared" si="1169"/>
        <v>Y</v>
      </c>
      <c r="CI1563" s="129" t="str">
        <f t="shared" si="1170"/>
        <v>121-365 DAYS</v>
      </c>
      <c r="CJ1563" s="137">
        <f t="shared" si="1171"/>
        <v>6</v>
      </c>
      <c r="CK1563" s="129" t="str">
        <f t="shared" si="1172"/>
        <v>Booked</v>
      </c>
    </row>
    <row r="1564" spans="1:89" ht="15.75" customHeight="1" x14ac:dyDescent="0.25">
      <c r="A1564" s="111">
        <v>1612</v>
      </c>
      <c r="B1564" s="128" t="str">
        <f t="shared" si="1153"/>
        <v>N</v>
      </c>
      <c r="C1564" s="128" t="str">
        <f t="shared" si="1154"/>
        <v>N</v>
      </c>
      <c r="D1564" s="117">
        <v>2114088</v>
      </c>
      <c r="E1564" s="135">
        <f t="shared" si="1155"/>
        <v>6</v>
      </c>
      <c r="F1564" s="124">
        <v>40968</v>
      </c>
      <c r="G1564" s="125">
        <v>41080</v>
      </c>
      <c r="H1564" s="117">
        <v>2114088</v>
      </c>
      <c r="I1564" s="124">
        <v>40969</v>
      </c>
      <c r="J1564" s="124">
        <v>40981</v>
      </c>
      <c r="K1564" s="126">
        <v>20000</v>
      </c>
      <c r="L1564" s="127" t="s">
        <v>571</v>
      </c>
      <c r="M1564" s="125">
        <v>40981</v>
      </c>
      <c r="N1564" s="129" t="str">
        <f t="shared" si="1182"/>
        <v>Y</v>
      </c>
      <c r="O1564" s="128" t="s">
        <v>585</v>
      </c>
      <c r="P1564" s="129" t="s">
        <v>39</v>
      </c>
      <c r="Q1564" s="111">
        <f t="shared" si="1178"/>
        <v>13</v>
      </c>
      <c r="R1564" s="111">
        <f t="shared" si="1175"/>
        <v>113</v>
      </c>
      <c r="S1564" s="129">
        <v>1</v>
      </c>
      <c r="T1564" s="129">
        <v>4</v>
      </c>
      <c r="W1564" s="111"/>
      <c r="AC1564" s="130"/>
      <c r="AD1564" s="130">
        <v>31822</v>
      </c>
      <c r="AE1564" s="128" t="s">
        <v>32</v>
      </c>
      <c r="AF1564" s="128" t="s">
        <v>33</v>
      </c>
      <c r="AG1564" s="128" t="s">
        <v>872</v>
      </c>
      <c r="AH1564" s="108" t="s">
        <v>31</v>
      </c>
      <c r="AI1564" s="128" t="s">
        <v>90</v>
      </c>
      <c r="AJ1564" s="129" t="s">
        <v>89</v>
      </c>
      <c r="AK1564" s="129">
        <v>7</v>
      </c>
      <c r="AL1564" s="3" t="s">
        <v>362</v>
      </c>
      <c r="AM1564" s="117">
        <v>4</v>
      </c>
      <c r="AP1564" s="129" t="s">
        <v>56</v>
      </c>
      <c r="AR1564" s="128" t="s">
        <v>50</v>
      </c>
      <c r="AS1564" s="129" t="s">
        <v>57</v>
      </c>
      <c r="BC1564" s="129" t="s">
        <v>52</v>
      </c>
      <c r="BF1564" s="111">
        <f t="shared" si="1179"/>
        <v>13</v>
      </c>
      <c r="BG1564" s="111">
        <f t="shared" si="1176"/>
        <v>112</v>
      </c>
      <c r="BH1564" s="111">
        <f t="shared" si="1150"/>
        <v>113</v>
      </c>
      <c r="BI1564" s="111">
        <f t="shared" si="1151"/>
        <v>24.989071038251367</v>
      </c>
      <c r="BJ1564" s="129">
        <f>(G1564-J1564)+(M1564-G1564)</f>
        <v>0</v>
      </c>
      <c r="BK1564" s="129">
        <f t="shared" si="1152"/>
        <v>-99</v>
      </c>
      <c r="BL1564" s="129" t="str">
        <f t="shared" si="1177"/>
        <v>CONVICTION</v>
      </c>
      <c r="BM1564" s="129" t="s">
        <v>76</v>
      </c>
      <c r="BN1564" s="129" t="s">
        <v>88</v>
      </c>
      <c r="BP1564" s="137" t="str">
        <f t="shared" si="1158"/>
        <v>CONVICTION</v>
      </c>
      <c r="BQ1564" s="128" t="str">
        <f t="shared" si="1159"/>
        <v>Y</v>
      </c>
      <c r="BR1564" s="129" t="str">
        <f>IF(J1564&lt;G1564,"ON BOND",0)</f>
        <v>ON BOND</v>
      </c>
      <c r="BS1564" s="129" t="str">
        <f t="shared" si="1161"/>
        <v>DISPOSED</v>
      </c>
      <c r="BT1564" s="129" t="str">
        <f t="shared" si="1162"/>
        <v>Y</v>
      </c>
      <c r="BU1564" s="109">
        <f t="shared" si="1163"/>
        <v>0.11504424778761062</v>
      </c>
      <c r="BV1564" s="109">
        <f t="shared" si="1164"/>
        <v>0.11607142857142858</v>
      </c>
      <c r="BW1564" s="109">
        <f t="shared" si="1181"/>
        <v>1.0271807838179575E-3</v>
      </c>
      <c r="BX1564" s="111">
        <f t="shared" si="1165"/>
        <v>0</v>
      </c>
      <c r="BY1564" s="129">
        <f t="shared" si="1166"/>
        <v>-13</v>
      </c>
      <c r="BZ1564" s="111">
        <f t="shared" si="1167"/>
        <v>0</v>
      </c>
      <c r="CA1564" s="138">
        <f t="shared" si="1168"/>
        <v>13</v>
      </c>
      <c r="CB1564" s="111" t="e">
        <f t="shared" si="1180"/>
        <v>#VALUE!</v>
      </c>
      <c r="CC1564" s="129">
        <f>M1564-I1564+1</f>
        <v>13</v>
      </c>
      <c r="CD1564" s="111">
        <f>CC1564-BF1564</f>
        <v>0</v>
      </c>
      <c r="CG1564" s="129" t="str">
        <f t="shared" si="1169"/>
        <v>Y</v>
      </c>
      <c r="CI1564" s="129" t="str">
        <f t="shared" si="1170"/>
        <v>11-30 DAYS</v>
      </c>
      <c r="CJ1564" s="137">
        <f t="shared" si="1171"/>
        <v>2</v>
      </c>
      <c r="CK1564" s="129" t="str">
        <f t="shared" si="1172"/>
        <v>Booked</v>
      </c>
    </row>
    <row r="1565" spans="1:89" ht="15.75" customHeight="1" x14ac:dyDescent="0.25">
      <c r="A1565" s="111">
        <v>554</v>
      </c>
      <c r="B1565" s="128" t="str">
        <f t="shared" si="1153"/>
        <v>N</v>
      </c>
      <c r="C1565" s="128" t="str">
        <f t="shared" si="1154"/>
        <v>N</v>
      </c>
      <c r="D1565" s="117">
        <v>2114968</v>
      </c>
      <c r="E1565" s="135">
        <f t="shared" si="1155"/>
        <v>2</v>
      </c>
      <c r="F1565" s="124">
        <v>40931</v>
      </c>
      <c r="G1565" s="125">
        <v>41066</v>
      </c>
      <c r="H1565" s="117">
        <v>2114968</v>
      </c>
      <c r="I1565" s="124">
        <v>40931</v>
      </c>
      <c r="J1565" s="124">
        <v>40932</v>
      </c>
      <c r="K1565" s="126">
        <v>2000</v>
      </c>
      <c r="L1565" s="127" t="s">
        <v>568</v>
      </c>
      <c r="M1565" s="125">
        <v>40932</v>
      </c>
      <c r="N1565" s="129" t="str">
        <f t="shared" si="1182"/>
        <v>Y</v>
      </c>
      <c r="O1565" s="128" t="s">
        <v>76</v>
      </c>
      <c r="P1565" s="129" t="s">
        <v>589</v>
      </c>
      <c r="Q1565" s="111">
        <f t="shared" si="1178"/>
        <v>2</v>
      </c>
      <c r="R1565" s="111">
        <f t="shared" si="1175"/>
        <v>136</v>
      </c>
      <c r="S1565" s="129">
        <v>0</v>
      </c>
      <c r="T1565" s="129">
        <v>0</v>
      </c>
      <c r="W1565" s="111"/>
      <c r="AC1565" s="130"/>
      <c r="AD1565" s="130">
        <v>25611</v>
      </c>
      <c r="AE1565" s="128" t="s">
        <v>32</v>
      </c>
      <c r="AF1565" s="128" t="s">
        <v>138</v>
      </c>
      <c r="AG1565" s="128" t="s">
        <v>873</v>
      </c>
      <c r="AH1565" s="108" t="s">
        <v>31</v>
      </c>
      <c r="AI1565" s="128" t="s">
        <v>97</v>
      </c>
      <c r="AJ1565" s="129" t="s">
        <v>48</v>
      </c>
      <c r="AK1565" s="129">
        <v>7</v>
      </c>
      <c r="AL1565" s="3" t="s">
        <v>48</v>
      </c>
      <c r="AP1565" s="129" t="s">
        <v>43</v>
      </c>
      <c r="AR1565" s="128" t="s">
        <v>44</v>
      </c>
      <c r="AS1565" s="129" t="s">
        <v>45</v>
      </c>
      <c r="BC1565" s="129" t="s">
        <v>52</v>
      </c>
      <c r="BF1565" s="111">
        <f t="shared" si="1179"/>
        <v>2</v>
      </c>
      <c r="BG1565" s="111">
        <f t="shared" si="1176"/>
        <v>136</v>
      </c>
      <c r="BH1565" s="111">
        <f t="shared" si="1150"/>
        <v>136</v>
      </c>
      <c r="BI1565" s="111">
        <f t="shared" si="1151"/>
        <v>41.857923497267763</v>
      </c>
      <c r="BJ1565" s="129">
        <f>(G1565-J1565)+(M1565-G1565)</f>
        <v>0</v>
      </c>
      <c r="BK1565" s="129">
        <f t="shared" si="1152"/>
        <v>-134</v>
      </c>
      <c r="BL1565" s="129" t="str">
        <f t="shared" si="1177"/>
        <v>DEFERRED</v>
      </c>
      <c r="BM1565" s="129" t="s">
        <v>76</v>
      </c>
      <c r="BN1565" s="129" t="s">
        <v>88</v>
      </c>
      <c r="BP1565" s="137" t="str">
        <f t="shared" si="1158"/>
        <v>DEFERRED</v>
      </c>
      <c r="BQ1565" s="128" t="str">
        <f t="shared" si="1159"/>
        <v>Y</v>
      </c>
      <c r="BR1565" s="129" t="str">
        <f t="shared" si="1160"/>
        <v>ON BOND</v>
      </c>
      <c r="BS1565" s="129" t="str">
        <f t="shared" si="1161"/>
        <v>DISPOSED</v>
      </c>
      <c r="BT1565" s="129" t="str">
        <f t="shared" si="1162"/>
        <v>N</v>
      </c>
      <c r="BU1565" s="109">
        <f t="shared" si="1163"/>
        <v>1.4705882352941176E-2</v>
      </c>
      <c r="BV1565" s="109">
        <f t="shared" si="1164"/>
        <v>1.4705882352941176E-2</v>
      </c>
      <c r="BW1565" s="109">
        <f t="shared" si="1181"/>
        <v>0</v>
      </c>
      <c r="BX1565" s="111">
        <f t="shared" si="1165"/>
        <v>0</v>
      </c>
      <c r="BY1565" s="129">
        <f t="shared" si="1166"/>
        <v>-2</v>
      </c>
      <c r="BZ1565" s="111">
        <f t="shared" si="1167"/>
        <v>0</v>
      </c>
      <c r="CA1565" s="138">
        <f t="shared" si="1168"/>
        <v>2</v>
      </c>
      <c r="CB1565" s="111" t="e">
        <f t="shared" si="1180"/>
        <v>#VALUE!</v>
      </c>
      <c r="CC1565" s="129">
        <f>M1565-I1565+1</f>
        <v>2</v>
      </c>
      <c r="CD1565" s="111">
        <f>CC1565-BF1565</f>
        <v>0</v>
      </c>
      <c r="CG1565" s="129" t="str">
        <f t="shared" si="1169"/>
        <v>N</v>
      </c>
      <c r="CI1565" s="129" t="str">
        <f t="shared" si="1170"/>
        <v>0-10 DAYS</v>
      </c>
      <c r="CJ1565" s="137">
        <f t="shared" si="1171"/>
        <v>1</v>
      </c>
      <c r="CK1565" s="129" t="str">
        <f t="shared" si="1172"/>
        <v>Booked</v>
      </c>
    </row>
    <row r="1566" spans="1:89" ht="15" customHeight="1" x14ac:dyDescent="0.25">
      <c r="A1566" s="111">
        <v>582</v>
      </c>
      <c r="B1566" s="128" t="str">
        <f t="shared" si="1153"/>
        <v>N</v>
      </c>
      <c r="C1566" s="128" t="str">
        <f t="shared" si="1154"/>
        <v>N</v>
      </c>
      <c r="D1566" s="117">
        <v>2115739</v>
      </c>
      <c r="E1566" s="135">
        <f t="shared" si="1155"/>
        <v>4</v>
      </c>
      <c r="F1566" s="124">
        <v>40932</v>
      </c>
      <c r="G1566" s="125">
        <v>40990</v>
      </c>
      <c r="H1566" s="117">
        <v>2115739</v>
      </c>
      <c r="I1566" s="124">
        <v>40932</v>
      </c>
      <c r="J1566" s="124">
        <v>40938</v>
      </c>
      <c r="K1566" s="126">
        <v>5000</v>
      </c>
      <c r="L1566" s="127" t="s">
        <v>569</v>
      </c>
      <c r="M1566" s="125">
        <v>40938</v>
      </c>
      <c r="N1566" s="129" t="str">
        <f t="shared" si="1182"/>
        <v>Y</v>
      </c>
      <c r="O1566" s="128" t="s">
        <v>76</v>
      </c>
      <c r="P1566" s="129" t="s">
        <v>39</v>
      </c>
      <c r="Q1566" s="111">
        <f t="shared" si="1178"/>
        <v>7</v>
      </c>
      <c r="R1566" s="111">
        <f t="shared" si="1175"/>
        <v>59</v>
      </c>
      <c r="S1566" s="129">
        <v>1</v>
      </c>
      <c r="T1566" s="129">
        <v>6</v>
      </c>
      <c r="U1566" s="129">
        <v>1</v>
      </c>
      <c r="W1566" s="111"/>
      <c r="AC1566" s="130"/>
      <c r="AD1566" s="130">
        <v>31851</v>
      </c>
      <c r="AE1566" s="128" t="s">
        <v>32</v>
      </c>
      <c r="AF1566" s="128" t="s">
        <v>33</v>
      </c>
      <c r="AG1566" s="128" t="s">
        <v>872</v>
      </c>
      <c r="AH1566" s="108" t="s">
        <v>58</v>
      </c>
      <c r="AI1566" s="128" t="s">
        <v>65</v>
      </c>
      <c r="AJ1566" s="129" t="s">
        <v>89</v>
      </c>
      <c r="AK1566" s="129">
        <v>4</v>
      </c>
      <c r="AL1566" s="3" t="s">
        <v>991</v>
      </c>
      <c r="AO1566" s="128">
        <v>120</v>
      </c>
      <c r="AP1566" s="129" t="s">
        <v>43</v>
      </c>
      <c r="AR1566" s="128" t="s">
        <v>44</v>
      </c>
      <c r="AS1566" s="129" t="s">
        <v>45</v>
      </c>
      <c r="AW1566" s="123"/>
      <c r="AX1566" s="123"/>
      <c r="AY1566" s="32"/>
      <c r="BC1566" s="129" t="s">
        <v>38</v>
      </c>
      <c r="BF1566" s="111">
        <f t="shared" si="1179"/>
        <v>7</v>
      </c>
      <c r="BG1566" s="111">
        <f t="shared" si="1176"/>
        <v>59</v>
      </c>
      <c r="BH1566" s="111">
        <f t="shared" si="1150"/>
        <v>59</v>
      </c>
      <c r="BI1566" s="111">
        <f t="shared" si="1151"/>
        <v>24.811475409836067</v>
      </c>
      <c r="BJ1566" s="129">
        <f>(G1566-J1566)+(M1566-G1566)</f>
        <v>0</v>
      </c>
      <c r="BK1566" s="129">
        <f t="shared" si="1152"/>
        <v>-52</v>
      </c>
      <c r="BL1566" s="129" t="str">
        <f t="shared" si="1177"/>
        <v>CONVICTION</v>
      </c>
      <c r="BM1566" s="129" t="s">
        <v>76</v>
      </c>
      <c r="BN1566" s="129" t="s">
        <v>88</v>
      </c>
      <c r="BP1566" s="137" t="str">
        <f t="shared" si="1158"/>
        <v>CONVICTION</v>
      </c>
      <c r="BQ1566" s="128" t="str">
        <f t="shared" si="1159"/>
        <v>Y</v>
      </c>
      <c r="BR1566" s="129" t="str">
        <f>IF(J1566&lt;G1566,"ON BOND",0)</f>
        <v>ON BOND</v>
      </c>
      <c r="BS1566" s="129" t="str">
        <f t="shared" si="1161"/>
        <v>DISPOSED</v>
      </c>
      <c r="BT1566" s="129" t="str">
        <f t="shared" si="1162"/>
        <v>Y</v>
      </c>
      <c r="BU1566" s="109">
        <f t="shared" si="1163"/>
        <v>0.11864406779661017</v>
      </c>
      <c r="BV1566" s="109">
        <f t="shared" si="1164"/>
        <v>0.11864406779661017</v>
      </c>
      <c r="BW1566" s="109">
        <f t="shared" si="1181"/>
        <v>0</v>
      </c>
      <c r="BX1566" s="111">
        <f t="shared" si="1165"/>
        <v>0</v>
      </c>
      <c r="BY1566" s="129">
        <f t="shared" si="1166"/>
        <v>-7</v>
      </c>
      <c r="BZ1566" s="111">
        <f t="shared" si="1167"/>
        <v>0</v>
      </c>
      <c r="CA1566" s="138">
        <f t="shared" si="1168"/>
        <v>7</v>
      </c>
      <c r="CB1566" s="111" t="e">
        <f t="shared" si="1180"/>
        <v>#VALUE!</v>
      </c>
      <c r="CC1566" s="129">
        <f>M1566-I1566+1</f>
        <v>7</v>
      </c>
      <c r="CD1566" s="111">
        <f>CC1566-BF1566</f>
        <v>0</v>
      </c>
      <c r="CG1566" s="129" t="str">
        <f t="shared" si="1169"/>
        <v>Y</v>
      </c>
      <c r="CI1566" s="129" t="str">
        <f t="shared" si="1170"/>
        <v>0-10 DAYS</v>
      </c>
      <c r="CJ1566" s="137">
        <f t="shared" si="1171"/>
        <v>1</v>
      </c>
      <c r="CK1566" s="129" t="str">
        <f t="shared" si="1172"/>
        <v>Booked</v>
      </c>
    </row>
    <row r="1567" spans="1:89" ht="15.75" customHeight="1" x14ac:dyDescent="0.25">
      <c r="A1567" s="111">
        <v>2804</v>
      </c>
      <c r="B1567" s="128" t="str">
        <f t="shared" si="1153"/>
        <v>N</v>
      </c>
      <c r="C1567" s="128" t="str">
        <f t="shared" si="1154"/>
        <v>N</v>
      </c>
      <c r="D1567" s="117">
        <v>2116431</v>
      </c>
      <c r="E1567" s="135">
        <f t="shared" si="1155"/>
        <v>6</v>
      </c>
      <c r="F1567" s="124">
        <v>41012</v>
      </c>
      <c r="G1567" s="125">
        <v>41108</v>
      </c>
      <c r="H1567" s="117">
        <v>2116431</v>
      </c>
      <c r="I1567" s="124">
        <v>41012</v>
      </c>
      <c r="J1567" s="124">
        <v>41108</v>
      </c>
      <c r="K1567" s="126">
        <v>30000</v>
      </c>
      <c r="L1567" s="129" t="s">
        <v>572</v>
      </c>
      <c r="N1567" s="129" t="str">
        <f t="shared" si="1182"/>
        <v>N</v>
      </c>
      <c r="O1567" s="128" t="s">
        <v>917</v>
      </c>
      <c r="P1567" s="129" t="s">
        <v>39</v>
      </c>
      <c r="Q1567" s="111">
        <f t="shared" si="1178"/>
        <v>97</v>
      </c>
      <c r="R1567" s="111">
        <f t="shared" si="1175"/>
        <v>97</v>
      </c>
      <c r="S1567" s="129">
        <v>1</v>
      </c>
      <c r="T1567" s="129">
        <v>4</v>
      </c>
      <c r="W1567" s="111"/>
      <c r="AC1567" s="130"/>
      <c r="AD1567" s="130">
        <v>32097</v>
      </c>
      <c r="AE1567" s="128" t="s">
        <v>32</v>
      </c>
      <c r="AF1567" s="128" t="s">
        <v>33</v>
      </c>
      <c r="AG1567" s="128" t="s">
        <v>872</v>
      </c>
      <c r="AH1567" s="108" t="s">
        <v>31</v>
      </c>
      <c r="AI1567" s="128" t="s">
        <v>53</v>
      </c>
      <c r="AJ1567" s="129" t="s">
        <v>89</v>
      </c>
      <c r="AK1567" s="129">
        <v>5</v>
      </c>
      <c r="AL1567" s="3" t="s">
        <v>362</v>
      </c>
      <c r="AM1567" s="117">
        <v>3</v>
      </c>
      <c r="AP1567" s="129" t="s">
        <v>110</v>
      </c>
      <c r="AR1567" s="128" t="s">
        <v>50</v>
      </c>
      <c r="AS1567" s="129" t="s">
        <v>74</v>
      </c>
      <c r="BC1567" s="129" t="s">
        <v>38</v>
      </c>
      <c r="BF1567" s="111">
        <f t="shared" si="1179"/>
        <v>97</v>
      </c>
      <c r="BG1567" s="111">
        <f t="shared" si="1176"/>
        <v>97</v>
      </c>
      <c r="BH1567" s="111">
        <f t="shared" si="1150"/>
        <v>97</v>
      </c>
      <c r="BI1567" s="111">
        <f t="shared" si="1151"/>
        <v>24.357923497267759</v>
      </c>
      <c r="BJ1567" s="129">
        <f t="shared" si="1156"/>
        <v>0</v>
      </c>
      <c r="BK1567" s="129">
        <f t="shared" si="1152"/>
        <v>0</v>
      </c>
      <c r="BL1567" s="129" t="str">
        <f t="shared" si="1177"/>
        <v>CONVICTION</v>
      </c>
      <c r="BM1567" s="129" t="str">
        <f t="shared" si="1157"/>
        <v>NONE</v>
      </c>
      <c r="BN1567" s="129" t="s">
        <v>566</v>
      </c>
      <c r="BP1567" s="137" t="str">
        <f t="shared" si="1158"/>
        <v>CONVICTION</v>
      </c>
      <c r="BQ1567" s="128" t="str">
        <f t="shared" si="1159"/>
        <v>Y</v>
      </c>
      <c r="BR1567" s="129" t="str">
        <f t="shared" si="1160"/>
        <v>DETAINED</v>
      </c>
      <c r="BS1567" s="129" t="str">
        <f t="shared" si="1161"/>
        <v>DISPOSED</v>
      </c>
      <c r="BT1567" s="129" t="str">
        <f t="shared" si="1162"/>
        <v>Y</v>
      </c>
      <c r="BU1567" s="109">
        <f t="shared" si="1163"/>
        <v>1</v>
      </c>
      <c r="BV1567" s="109">
        <f t="shared" si="1164"/>
        <v>1</v>
      </c>
      <c r="BW1567" s="109">
        <f t="shared" si="1181"/>
        <v>0</v>
      </c>
      <c r="BX1567" s="111">
        <f t="shared" si="1165"/>
        <v>0</v>
      </c>
      <c r="BY1567" s="129">
        <f t="shared" si="1166"/>
        <v>-97</v>
      </c>
      <c r="BZ1567" s="111">
        <f t="shared" si="1167"/>
        <v>0</v>
      </c>
      <c r="CA1567" s="138">
        <f t="shared" si="1168"/>
        <v>97</v>
      </c>
      <c r="CB1567" s="111" t="e">
        <f t="shared" si="1180"/>
        <v>#VALUE!</v>
      </c>
      <c r="CC1567" s="129">
        <f>G1567-I1567+1</f>
        <v>97</v>
      </c>
      <c r="CD1567" s="129">
        <f>G1567-J1567</f>
        <v>0</v>
      </c>
      <c r="CG1567" s="129" t="str">
        <f t="shared" si="1169"/>
        <v>Y</v>
      </c>
      <c r="CI1567" s="129" t="str">
        <f t="shared" si="1170"/>
        <v>91-120 DAYS</v>
      </c>
      <c r="CJ1567" s="137">
        <f t="shared" si="1171"/>
        <v>0</v>
      </c>
      <c r="CK1567" s="129" t="str">
        <f t="shared" si="1172"/>
        <v>Booked</v>
      </c>
    </row>
    <row r="1568" spans="1:89" ht="15" customHeight="1" x14ac:dyDescent="0.25">
      <c r="A1568" s="111">
        <v>2011</v>
      </c>
      <c r="B1568" s="128" t="str">
        <f t="shared" si="1153"/>
        <v>N</v>
      </c>
      <c r="C1568" s="128" t="str">
        <f t="shared" si="1154"/>
        <v>N</v>
      </c>
      <c r="D1568" s="117">
        <v>2116626</v>
      </c>
      <c r="E1568" s="135">
        <f t="shared" si="1155"/>
        <v>2</v>
      </c>
      <c r="F1568" s="124">
        <v>40984</v>
      </c>
      <c r="G1568" s="125">
        <v>41151</v>
      </c>
      <c r="H1568" s="117">
        <v>2116626</v>
      </c>
      <c r="I1568" s="124" t="s">
        <v>562</v>
      </c>
      <c r="J1568" s="124" t="s">
        <v>562</v>
      </c>
      <c r="K1568" s="126">
        <v>10000</v>
      </c>
      <c r="L1568" s="127" t="s">
        <v>570</v>
      </c>
      <c r="M1568" s="125">
        <v>40990</v>
      </c>
      <c r="N1568" s="129" t="str">
        <f>IF(M1568&gt;1/1/1,"Y",IF(Q1568="0","","N"))</f>
        <v>Y</v>
      </c>
      <c r="O1568" s="128" t="s">
        <v>76</v>
      </c>
      <c r="P1568" s="129" t="s">
        <v>589</v>
      </c>
      <c r="Q1568" s="111">
        <f t="shared" si="1178"/>
        <v>0</v>
      </c>
      <c r="R1568" s="111">
        <f t="shared" si="1175"/>
        <v>168</v>
      </c>
      <c r="S1568" s="129">
        <v>0</v>
      </c>
      <c r="T1568" s="129">
        <v>1</v>
      </c>
      <c r="W1568" s="111"/>
      <c r="AC1568" s="130"/>
      <c r="AD1568" s="130">
        <v>27593</v>
      </c>
      <c r="AE1568" s="128" t="s">
        <v>32</v>
      </c>
      <c r="AF1568" s="128" t="s">
        <v>69</v>
      </c>
      <c r="AG1568" s="128" t="s">
        <v>874</v>
      </c>
      <c r="AH1568" s="108" t="s">
        <v>31</v>
      </c>
      <c r="AI1568" s="128" t="s">
        <v>97</v>
      </c>
      <c r="AJ1568" s="129" t="s">
        <v>48</v>
      </c>
      <c r="AK1568" s="129">
        <v>7</v>
      </c>
      <c r="AL1568" s="3" t="s">
        <v>48</v>
      </c>
      <c r="AP1568" s="129" t="s">
        <v>56</v>
      </c>
      <c r="AR1568" s="128" t="s">
        <v>50</v>
      </c>
      <c r="AS1568" s="129" t="s">
        <v>57</v>
      </c>
      <c r="BC1568" s="129" t="s">
        <v>52</v>
      </c>
      <c r="BF1568" s="111">
        <v>0</v>
      </c>
      <c r="BG1568" s="111">
        <v>0</v>
      </c>
      <c r="BH1568" s="111">
        <f t="shared" si="1150"/>
        <v>168</v>
      </c>
      <c r="BI1568" s="111">
        <f t="shared" si="1151"/>
        <v>36.587431693989068</v>
      </c>
      <c r="BJ1568" s="129" t="e">
        <f>(G1568-J1568)+(M1568-G1568)</f>
        <v>#VALUE!</v>
      </c>
      <c r="BK1568" s="129" t="e">
        <f t="shared" si="1152"/>
        <v>#VALUE!</v>
      </c>
      <c r="BL1568" s="129" t="str">
        <f t="shared" si="1177"/>
        <v>DEFERRED</v>
      </c>
      <c r="BM1568" s="129" t="s">
        <v>76</v>
      </c>
      <c r="BN1568" s="129" t="s">
        <v>88</v>
      </c>
      <c r="BP1568" s="137" t="str">
        <f t="shared" si="1158"/>
        <v>DEFERRED</v>
      </c>
      <c r="BQ1568" s="128">
        <f t="shared" si="1159"/>
        <v>0</v>
      </c>
      <c r="BR1568" s="129" t="s">
        <v>575</v>
      </c>
      <c r="BS1568" s="129" t="str">
        <f t="shared" si="1161"/>
        <v>DISPOSED</v>
      </c>
      <c r="BT1568" s="129" t="str">
        <f t="shared" si="1162"/>
        <v>N</v>
      </c>
      <c r="BU1568" s="109">
        <f t="shared" si="1163"/>
        <v>0</v>
      </c>
      <c r="BV1568" s="109">
        <v>0</v>
      </c>
      <c r="BW1568" s="109">
        <f t="shared" si="1181"/>
        <v>0</v>
      </c>
      <c r="BX1568" s="111">
        <f t="shared" si="1165"/>
        <v>0</v>
      </c>
      <c r="BY1568" s="129" t="e">
        <f t="shared" si="1166"/>
        <v>#VALUE!</v>
      </c>
      <c r="BZ1568" s="111" t="e">
        <f t="shared" si="1167"/>
        <v>#VALUE!</v>
      </c>
      <c r="CA1568" s="138" t="e">
        <f t="shared" si="1168"/>
        <v>#VALUE!</v>
      </c>
      <c r="CB1568" s="111">
        <v>0</v>
      </c>
      <c r="CC1568" s="129">
        <v>0</v>
      </c>
      <c r="CD1568" s="111">
        <f>CC1568-BF1568</f>
        <v>0</v>
      </c>
      <c r="CG1568" s="129" t="str">
        <f t="shared" si="1169"/>
        <v>Y</v>
      </c>
      <c r="CI1568" s="129" t="str">
        <f t="shared" si="1170"/>
        <v>0-10 DAYS</v>
      </c>
      <c r="CJ1568" s="137">
        <f t="shared" si="1171"/>
        <v>1</v>
      </c>
      <c r="CK1568" s="129" t="str">
        <f t="shared" si="1172"/>
        <v>Not Booked</v>
      </c>
    </row>
    <row r="1569" spans="1:89" ht="15.75" customHeight="1" x14ac:dyDescent="0.25">
      <c r="A1569" s="111">
        <v>2936</v>
      </c>
      <c r="B1569" s="128" t="str">
        <f t="shared" si="1153"/>
        <v>N</v>
      </c>
      <c r="C1569" s="128" t="str">
        <f t="shared" si="1154"/>
        <v>N</v>
      </c>
      <c r="D1569" s="117">
        <v>2117761</v>
      </c>
      <c r="E1569" s="135">
        <f t="shared" si="1155"/>
        <v>6</v>
      </c>
      <c r="F1569" s="124">
        <v>41017</v>
      </c>
      <c r="G1569" s="125">
        <v>41199</v>
      </c>
      <c r="H1569" s="117">
        <v>2117761</v>
      </c>
      <c r="I1569" s="124">
        <v>41018</v>
      </c>
      <c r="J1569" s="124">
        <v>41199</v>
      </c>
      <c r="K1569" s="126">
        <v>50000</v>
      </c>
      <c r="L1569" s="129" t="s">
        <v>572</v>
      </c>
      <c r="N1569" s="129" t="str">
        <f t="shared" ref="N1569:N1574" si="1183">IF(M1569&gt;1/1/1,"Y","N")</f>
        <v>N</v>
      </c>
      <c r="O1569" s="128" t="s">
        <v>917</v>
      </c>
      <c r="P1569" s="129" t="s">
        <v>39</v>
      </c>
      <c r="Q1569" s="111">
        <f t="shared" si="1178"/>
        <v>182</v>
      </c>
      <c r="R1569" s="111">
        <f t="shared" si="1175"/>
        <v>183</v>
      </c>
      <c r="S1569" s="129">
        <v>0</v>
      </c>
      <c r="T1569" s="129">
        <v>1</v>
      </c>
      <c r="W1569" s="111"/>
      <c r="AC1569" s="130"/>
      <c r="AD1569" s="130">
        <v>31307</v>
      </c>
      <c r="AE1569" s="128" t="s">
        <v>32</v>
      </c>
      <c r="AF1569" s="128" t="s">
        <v>40</v>
      </c>
      <c r="AG1569" s="128" t="s">
        <v>41</v>
      </c>
      <c r="AH1569" s="108" t="s">
        <v>41</v>
      </c>
      <c r="AI1569" s="128" t="s">
        <v>85</v>
      </c>
      <c r="AJ1569" s="129" t="s">
        <v>89</v>
      </c>
      <c r="AK1569" s="129">
        <v>3</v>
      </c>
      <c r="AL1569" s="3" t="s">
        <v>362</v>
      </c>
      <c r="AM1569" s="117">
        <v>3</v>
      </c>
      <c r="AP1569" s="129" t="s">
        <v>145</v>
      </c>
      <c r="AR1569" s="128" t="s">
        <v>50</v>
      </c>
      <c r="AS1569" s="129" t="s">
        <v>126</v>
      </c>
      <c r="BC1569" s="129" t="s">
        <v>99</v>
      </c>
      <c r="BF1569" s="111">
        <f t="shared" ref="BF1569:BF1577" si="1184">IF(J1569&gt;1/1/1900,((J1569+1)-I1569),"STILL OPEN")</f>
        <v>182</v>
      </c>
      <c r="BG1569" s="111">
        <f t="shared" ref="BG1569:BG1577" si="1185">IF(G1569&gt;1/1/1900,((G1569+1)-I1569),"STILL OPEN")</f>
        <v>182</v>
      </c>
      <c r="BH1569" s="111">
        <f t="shared" si="1150"/>
        <v>183</v>
      </c>
      <c r="BI1569" s="111">
        <f t="shared" si="1151"/>
        <v>26.530054644808743</v>
      </c>
      <c r="BJ1569" s="129">
        <f t="shared" si="1156"/>
        <v>0</v>
      </c>
      <c r="BK1569" s="129">
        <f t="shared" si="1152"/>
        <v>0</v>
      </c>
      <c r="BL1569" s="129" t="str">
        <f t="shared" si="1177"/>
        <v>CONVICTION</v>
      </c>
      <c r="BM1569" s="129" t="str">
        <f t="shared" si="1157"/>
        <v>NONE</v>
      </c>
      <c r="BN1569" s="129" t="s">
        <v>566</v>
      </c>
      <c r="BP1569" s="137" t="str">
        <f t="shared" si="1158"/>
        <v>CONVICTION</v>
      </c>
      <c r="BQ1569" s="128" t="str">
        <f t="shared" si="1159"/>
        <v>Y</v>
      </c>
      <c r="BR1569" s="129" t="str">
        <f t="shared" si="1160"/>
        <v>DETAINED</v>
      </c>
      <c r="BS1569" s="129" t="str">
        <f t="shared" si="1161"/>
        <v>DISPOSED</v>
      </c>
      <c r="BT1569" s="129" t="str">
        <f t="shared" si="1162"/>
        <v>N</v>
      </c>
      <c r="BU1569" s="109">
        <f t="shared" si="1163"/>
        <v>0.99453551912568305</v>
      </c>
      <c r="BV1569" s="109">
        <f t="shared" si="1164"/>
        <v>1</v>
      </c>
      <c r="BW1569" s="109">
        <f t="shared" si="1181"/>
        <v>5.464480874316946E-3</v>
      </c>
      <c r="BX1569" s="111">
        <f t="shared" si="1165"/>
        <v>0</v>
      </c>
      <c r="BY1569" s="129">
        <f t="shared" si="1166"/>
        <v>-182</v>
      </c>
      <c r="BZ1569" s="111">
        <f t="shared" si="1167"/>
        <v>0</v>
      </c>
      <c r="CA1569" s="138">
        <f t="shared" si="1168"/>
        <v>182</v>
      </c>
      <c r="CB1569" s="111" t="e">
        <f t="shared" ref="CB1569:CB1577" si="1186">IF(AF1569&gt;1/1/1900,((AF1569+1)-AE1569),"STILL OPEN")</f>
        <v>#VALUE!</v>
      </c>
      <c r="CC1569" s="129">
        <f>G1569-I1569+1</f>
        <v>182</v>
      </c>
      <c r="CD1569" s="129">
        <f>G1569-J1569</f>
        <v>0</v>
      </c>
      <c r="CG1569" s="129" t="str">
        <f t="shared" si="1169"/>
        <v>Y</v>
      </c>
      <c r="CI1569" s="129" t="str">
        <f t="shared" si="1170"/>
        <v>121-365 DAYS</v>
      </c>
      <c r="CJ1569" s="137">
        <f t="shared" si="1171"/>
        <v>6</v>
      </c>
      <c r="CK1569" s="129" t="str">
        <f t="shared" si="1172"/>
        <v>Booked</v>
      </c>
    </row>
    <row r="1570" spans="1:89" ht="15" customHeight="1" x14ac:dyDescent="0.25">
      <c r="A1570" s="111">
        <v>1329</v>
      </c>
      <c r="B1570" s="128" t="str">
        <f t="shared" si="1153"/>
        <v>N</v>
      </c>
      <c r="C1570" s="128" t="str">
        <f t="shared" si="1154"/>
        <v>N</v>
      </c>
      <c r="D1570" s="117">
        <v>2119273</v>
      </c>
      <c r="E1570" s="135">
        <f t="shared" si="1155"/>
        <v>5</v>
      </c>
      <c r="F1570" s="124">
        <v>40956</v>
      </c>
      <c r="G1570" s="125">
        <v>40981</v>
      </c>
      <c r="H1570" s="117">
        <v>2119273</v>
      </c>
      <c r="I1570" s="124">
        <v>40957</v>
      </c>
      <c r="J1570" s="124">
        <v>40981</v>
      </c>
      <c r="K1570" s="126">
        <v>15000</v>
      </c>
      <c r="L1570" s="127" t="s">
        <v>571</v>
      </c>
      <c r="N1570" s="129" t="str">
        <f t="shared" si="1183"/>
        <v>N</v>
      </c>
      <c r="O1570" s="128" t="s">
        <v>917</v>
      </c>
      <c r="P1570" s="129" t="s">
        <v>39</v>
      </c>
      <c r="Q1570" s="111">
        <f t="shared" si="1178"/>
        <v>25</v>
      </c>
      <c r="R1570" s="111">
        <f t="shared" si="1175"/>
        <v>26</v>
      </c>
      <c r="S1570" s="129">
        <v>4</v>
      </c>
      <c r="T1570" s="129">
        <v>3</v>
      </c>
      <c r="U1570" s="129">
        <v>3</v>
      </c>
      <c r="W1570" s="111"/>
      <c r="AC1570" s="130"/>
      <c r="AD1570" s="130">
        <v>31772</v>
      </c>
      <c r="AE1570" s="128" t="s">
        <v>32</v>
      </c>
      <c r="AF1570" s="128" t="s">
        <v>69</v>
      </c>
      <c r="AG1570" s="128" t="s">
        <v>874</v>
      </c>
      <c r="AH1570" s="108" t="s">
        <v>31</v>
      </c>
      <c r="AI1570" s="128" t="s">
        <v>65</v>
      </c>
      <c r="AJ1570" s="129" t="s">
        <v>89</v>
      </c>
      <c r="AK1570" s="129">
        <v>2</v>
      </c>
      <c r="AL1570" s="3" t="s">
        <v>992</v>
      </c>
      <c r="AN1570" s="117">
        <v>14</v>
      </c>
      <c r="AP1570" s="129" t="s">
        <v>60</v>
      </c>
      <c r="AR1570" s="128" t="s">
        <v>44</v>
      </c>
      <c r="AS1570" s="129" t="s">
        <v>61</v>
      </c>
      <c r="BC1570" s="129" t="s">
        <v>38</v>
      </c>
      <c r="BF1570" s="111">
        <f t="shared" si="1184"/>
        <v>25</v>
      </c>
      <c r="BG1570" s="111">
        <f t="shared" si="1185"/>
        <v>25</v>
      </c>
      <c r="BH1570" s="111">
        <f t="shared" si="1150"/>
        <v>26</v>
      </c>
      <c r="BI1570" s="111">
        <f t="shared" si="1151"/>
        <v>25.092896174863387</v>
      </c>
      <c r="BJ1570" s="129">
        <f t="shared" si="1156"/>
        <v>0</v>
      </c>
      <c r="BK1570" s="129">
        <f t="shared" si="1152"/>
        <v>0</v>
      </c>
      <c r="BL1570" s="129" t="str">
        <f t="shared" si="1177"/>
        <v>CONVICTION</v>
      </c>
      <c r="BM1570" s="129" t="str">
        <f t="shared" si="1157"/>
        <v>NONE</v>
      </c>
      <c r="BN1570" s="129" t="s">
        <v>566</v>
      </c>
      <c r="BP1570" s="137" t="str">
        <f t="shared" si="1158"/>
        <v>CONVICTION</v>
      </c>
      <c r="BQ1570" s="128" t="str">
        <f t="shared" si="1159"/>
        <v>Y</v>
      </c>
      <c r="BR1570" s="129" t="str">
        <f t="shared" si="1160"/>
        <v>DETAINED</v>
      </c>
      <c r="BS1570" s="129" t="str">
        <f t="shared" si="1161"/>
        <v>DISPOSED</v>
      </c>
      <c r="BT1570" s="129" t="str">
        <f t="shared" si="1162"/>
        <v>Y</v>
      </c>
      <c r="BU1570" s="109">
        <f t="shared" si="1163"/>
        <v>0.96153846153846156</v>
      </c>
      <c r="BV1570" s="109">
        <f t="shared" si="1164"/>
        <v>1</v>
      </c>
      <c r="BW1570" s="109">
        <f t="shared" si="1181"/>
        <v>3.8461538461538436E-2</v>
      </c>
      <c r="BX1570" s="111">
        <f t="shared" si="1165"/>
        <v>0</v>
      </c>
      <c r="BY1570" s="129">
        <f t="shared" si="1166"/>
        <v>-25</v>
      </c>
      <c r="BZ1570" s="111">
        <f t="shared" si="1167"/>
        <v>0</v>
      </c>
      <c r="CA1570" s="138">
        <f t="shared" si="1168"/>
        <v>25</v>
      </c>
      <c r="CB1570" s="111" t="e">
        <f t="shared" si="1186"/>
        <v>#VALUE!</v>
      </c>
      <c r="CC1570" s="129">
        <f>G1570-I1570+1</f>
        <v>25</v>
      </c>
      <c r="CD1570" s="129">
        <f>G1570-J1570</f>
        <v>0</v>
      </c>
      <c r="CG1570" s="129" t="str">
        <f t="shared" si="1169"/>
        <v>Y</v>
      </c>
      <c r="CI1570" s="129" t="str">
        <f t="shared" si="1170"/>
        <v>11-30 DAYS</v>
      </c>
      <c r="CJ1570" s="137">
        <f t="shared" si="1171"/>
        <v>2</v>
      </c>
      <c r="CK1570" s="129" t="str">
        <f t="shared" si="1172"/>
        <v>Booked</v>
      </c>
    </row>
    <row r="1571" spans="1:89" ht="15.75" customHeight="1" x14ac:dyDescent="0.25">
      <c r="A1571" s="111">
        <v>2304</v>
      </c>
      <c r="B1571" s="128" t="str">
        <f t="shared" si="1153"/>
        <v>N</v>
      </c>
      <c r="C1571" s="128" t="str">
        <f t="shared" si="1154"/>
        <v>N</v>
      </c>
      <c r="D1571" s="117">
        <v>2119539</v>
      </c>
      <c r="E1571" s="135">
        <f t="shared" si="1155"/>
        <v>2</v>
      </c>
      <c r="F1571" s="124">
        <v>40996</v>
      </c>
      <c r="G1571" s="125">
        <v>41199</v>
      </c>
      <c r="H1571" s="117">
        <v>2119539</v>
      </c>
      <c r="I1571" s="124">
        <v>40996</v>
      </c>
      <c r="J1571" s="124">
        <v>40997</v>
      </c>
      <c r="K1571" s="126">
        <v>10000</v>
      </c>
      <c r="L1571" s="127" t="s">
        <v>570</v>
      </c>
      <c r="M1571" s="125">
        <v>40997</v>
      </c>
      <c r="N1571" s="129" t="str">
        <f t="shared" si="1183"/>
        <v>Y</v>
      </c>
      <c r="O1571" s="128" t="s">
        <v>76</v>
      </c>
      <c r="P1571" s="129" t="s">
        <v>589</v>
      </c>
      <c r="Q1571" s="111">
        <f t="shared" si="1178"/>
        <v>2</v>
      </c>
      <c r="R1571" s="111">
        <f t="shared" si="1175"/>
        <v>204</v>
      </c>
      <c r="S1571" s="129">
        <v>1</v>
      </c>
      <c r="T1571" s="129">
        <v>0</v>
      </c>
      <c r="V1571" s="117">
        <v>1</v>
      </c>
      <c r="W1571" s="111"/>
      <c r="AC1571" s="130"/>
      <c r="AD1571" s="130">
        <v>31204</v>
      </c>
      <c r="AE1571" s="128" t="s">
        <v>32</v>
      </c>
      <c r="AF1571" s="128" t="s">
        <v>33</v>
      </c>
      <c r="AG1571" s="128" t="s">
        <v>872</v>
      </c>
      <c r="AH1571" s="108" t="s">
        <v>58</v>
      </c>
      <c r="AI1571" s="128" t="s">
        <v>87</v>
      </c>
      <c r="AJ1571" s="129" t="s">
        <v>48</v>
      </c>
      <c r="AK1571" s="129">
        <v>9</v>
      </c>
      <c r="AL1571" s="3" t="s">
        <v>48</v>
      </c>
      <c r="AP1571" s="129" t="s">
        <v>93</v>
      </c>
      <c r="AR1571" s="128" t="s">
        <v>67</v>
      </c>
      <c r="AS1571" s="129" t="s">
        <v>45</v>
      </c>
      <c r="BC1571" s="129" t="s">
        <v>52</v>
      </c>
      <c r="BF1571" s="111">
        <f t="shared" si="1184"/>
        <v>2</v>
      </c>
      <c r="BG1571" s="111">
        <f t="shared" si="1185"/>
        <v>204</v>
      </c>
      <c r="BH1571" s="111">
        <f t="shared" si="1150"/>
        <v>204</v>
      </c>
      <c r="BI1571" s="111">
        <f t="shared" si="1151"/>
        <v>26.754098360655739</v>
      </c>
      <c r="BJ1571" s="129">
        <f>(G1571-J1571)+(M1571-G1571)</f>
        <v>0</v>
      </c>
      <c r="BK1571" s="129">
        <f t="shared" si="1152"/>
        <v>-202</v>
      </c>
      <c r="BL1571" s="129" t="str">
        <f t="shared" si="1177"/>
        <v>DEFERRED</v>
      </c>
      <c r="BM1571" s="129" t="s">
        <v>76</v>
      </c>
      <c r="BN1571" s="129" t="s">
        <v>88</v>
      </c>
      <c r="BP1571" s="137" t="str">
        <f t="shared" si="1158"/>
        <v>DEFERRED</v>
      </c>
      <c r="BQ1571" s="128" t="str">
        <f t="shared" si="1159"/>
        <v>Y</v>
      </c>
      <c r="BR1571" s="129" t="str">
        <f t="shared" si="1160"/>
        <v>ON BOND</v>
      </c>
      <c r="BS1571" s="129" t="str">
        <f t="shared" si="1161"/>
        <v>DISPOSED</v>
      </c>
      <c r="BT1571" s="129" t="str">
        <f t="shared" si="1162"/>
        <v>Y</v>
      </c>
      <c r="BU1571" s="109">
        <f t="shared" si="1163"/>
        <v>9.8039215686274508E-3</v>
      </c>
      <c r="BV1571" s="109">
        <f t="shared" si="1164"/>
        <v>9.8039215686274508E-3</v>
      </c>
      <c r="BW1571" s="109">
        <f t="shared" si="1181"/>
        <v>0</v>
      </c>
      <c r="BX1571" s="111">
        <f t="shared" si="1165"/>
        <v>0</v>
      </c>
      <c r="BY1571" s="129">
        <f t="shared" si="1166"/>
        <v>-2</v>
      </c>
      <c r="BZ1571" s="111">
        <f t="shared" si="1167"/>
        <v>0</v>
      </c>
      <c r="CA1571" s="138">
        <f t="shared" si="1168"/>
        <v>2</v>
      </c>
      <c r="CB1571" s="111" t="e">
        <f t="shared" si="1186"/>
        <v>#VALUE!</v>
      </c>
      <c r="CC1571" s="129">
        <f>M1571-I1571+1</f>
        <v>2</v>
      </c>
      <c r="CD1571" s="111">
        <f>CC1571-BF1571</f>
        <v>0</v>
      </c>
      <c r="CG1571" s="129" t="str">
        <f t="shared" si="1169"/>
        <v>Y</v>
      </c>
      <c r="CI1571" s="129" t="str">
        <f t="shared" si="1170"/>
        <v>0-10 DAYS</v>
      </c>
      <c r="CJ1571" s="137">
        <f t="shared" si="1171"/>
        <v>1</v>
      </c>
      <c r="CK1571" s="129" t="str">
        <f t="shared" si="1172"/>
        <v>Booked</v>
      </c>
    </row>
    <row r="1572" spans="1:89" ht="15" customHeight="1" x14ac:dyDescent="0.25">
      <c r="A1572" s="111">
        <v>1252</v>
      </c>
      <c r="B1572" s="128" t="str">
        <f t="shared" si="1153"/>
        <v>N</v>
      </c>
      <c r="C1572" s="128" t="str">
        <f t="shared" si="1154"/>
        <v>N</v>
      </c>
      <c r="D1572" s="117">
        <v>2121213</v>
      </c>
      <c r="E1572" s="135">
        <f t="shared" si="1155"/>
        <v>3</v>
      </c>
      <c r="F1572" s="124">
        <v>40954</v>
      </c>
      <c r="G1572" s="125">
        <v>41074</v>
      </c>
      <c r="H1572" s="117">
        <v>2121213</v>
      </c>
      <c r="I1572" s="124">
        <v>40954</v>
      </c>
      <c r="J1572" s="124">
        <v>40957</v>
      </c>
      <c r="K1572" s="126">
        <v>5000</v>
      </c>
      <c r="L1572" s="127" t="s">
        <v>569</v>
      </c>
      <c r="M1572" s="125">
        <v>40957</v>
      </c>
      <c r="N1572" s="129" t="str">
        <f t="shared" si="1183"/>
        <v>Y</v>
      </c>
      <c r="O1572" s="128" t="s">
        <v>76</v>
      </c>
      <c r="P1572" s="129" t="s">
        <v>39</v>
      </c>
      <c r="Q1572" s="111">
        <f t="shared" si="1178"/>
        <v>6</v>
      </c>
      <c r="R1572" s="111">
        <f t="shared" si="1175"/>
        <v>121</v>
      </c>
      <c r="S1572" s="129">
        <v>1</v>
      </c>
      <c r="T1572" s="129">
        <v>2</v>
      </c>
      <c r="U1572" s="129">
        <v>1</v>
      </c>
      <c r="W1572" s="111"/>
      <c r="AC1572" s="130"/>
      <c r="AD1572" s="130">
        <v>31765</v>
      </c>
      <c r="AE1572" s="128" t="s">
        <v>32</v>
      </c>
      <c r="AF1572" s="128" t="s">
        <v>40</v>
      </c>
      <c r="AG1572" s="128" t="s">
        <v>41</v>
      </c>
      <c r="AH1572" s="108" t="s">
        <v>41</v>
      </c>
      <c r="AI1572" s="128" t="s">
        <v>53</v>
      </c>
      <c r="AJ1572" s="129" t="s">
        <v>89</v>
      </c>
      <c r="AK1572" s="129">
        <v>9</v>
      </c>
      <c r="AL1572" s="3" t="s">
        <v>185</v>
      </c>
      <c r="AP1572" s="129" t="s">
        <v>101</v>
      </c>
      <c r="AR1572" s="128" t="s">
        <v>67</v>
      </c>
      <c r="AS1572" s="129" t="s">
        <v>64</v>
      </c>
      <c r="AT1572" s="3" t="s">
        <v>826</v>
      </c>
      <c r="AU1572" s="129"/>
      <c r="BC1572" s="129" t="s">
        <v>52</v>
      </c>
      <c r="BF1572" s="111">
        <v>6</v>
      </c>
      <c r="BG1572" s="111">
        <f t="shared" si="1185"/>
        <v>121</v>
      </c>
      <c r="BH1572" s="111">
        <f t="shared" si="1150"/>
        <v>121</v>
      </c>
      <c r="BI1572" s="111">
        <f t="shared" si="1151"/>
        <v>25.106557377049182</v>
      </c>
      <c r="BJ1572" s="129">
        <f>(G1572-J1572)+(M1572-G1572)</f>
        <v>0</v>
      </c>
      <c r="BK1572" s="129">
        <f t="shared" si="1152"/>
        <v>-117</v>
      </c>
      <c r="BL1572" s="129" t="str">
        <f t="shared" si="1177"/>
        <v>CONVICTION</v>
      </c>
      <c r="BM1572" s="129" t="s">
        <v>76</v>
      </c>
      <c r="BN1572" s="129" t="s">
        <v>88</v>
      </c>
      <c r="BP1572" s="137" t="str">
        <f t="shared" si="1158"/>
        <v>CONVICTION</v>
      </c>
      <c r="BQ1572" s="128" t="str">
        <f t="shared" si="1159"/>
        <v>Y</v>
      </c>
      <c r="BR1572" s="129" t="str">
        <f>IF(J1572&lt;G1572,"ON BOND",0)</f>
        <v>ON BOND</v>
      </c>
      <c r="BS1572" s="129" t="str">
        <f t="shared" si="1161"/>
        <v>DISPOSED</v>
      </c>
      <c r="BT1572" s="129" t="str">
        <f t="shared" si="1162"/>
        <v>Y</v>
      </c>
      <c r="BU1572" s="109">
        <f t="shared" si="1163"/>
        <v>4.9586776859504134E-2</v>
      </c>
      <c r="BV1572" s="109">
        <f t="shared" si="1164"/>
        <v>3.3057851239669422E-2</v>
      </c>
      <c r="BW1572" s="109">
        <f t="shared" si="1181"/>
        <v>-1.6528925619834711E-2</v>
      </c>
      <c r="BX1572" s="111">
        <f t="shared" si="1165"/>
        <v>0</v>
      </c>
      <c r="BY1572" s="129">
        <f t="shared" si="1166"/>
        <v>-4</v>
      </c>
      <c r="BZ1572" s="111">
        <f t="shared" si="1167"/>
        <v>2</v>
      </c>
      <c r="CA1572" s="138">
        <f t="shared" si="1168"/>
        <v>4</v>
      </c>
      <c r="CB1572" s="111" t="e">
        <f t="shared" si="1186"/>
        <v>#VALUE!</v>
      </c>
      <c r="CD1572" s="129">
        <f>G1572-J1572</f>
        <v>117</v>
      </c>
      <c r="CG1572" s="129" t="str">
        <f t="shared" si="1169"/>
        <v>Y</v>
      </c>
      <c r="CI1572" s="129" t="str">
        <f t="shared" si="1170"/>
        <v>0-10 DAYS</v>
      </c>
      <c r="CJ1572" s="137">
        <f t="shared" si="1171"/>
        <v>1</v>
      </c>
      <c r="CK1572" s="129" t="str">
        <f t="shared" si="1172"/>
        <v>Booked</v>
      </c>
    </row>
    <row r="1573" spans="1:89" ht="15" customHeight="1" x14ac:dyDescent="0.25">
      <c r="A1573" s="111">
        <v>2127</v>
      </c>
      <c r="B1573" s="128" t="str">
        <f t="shared" si="1153"/>
        <v>N</v>
      </c>
      <c r="C1573" s="128" t="str">
        <f t="shared" si="1154"/>
        <v>N</v>
      </c>
      <c r="D1573" s="117">
        <v>2121224</v>
      </c>
      <c r="E1573" s="135">
        <f t="shared" si="1155"/>
        <v>5</v>
      </c>
      <c r="F1573" s="124">
        <v>40988</v>
      </c>
      <c r="G1573" s="125">
        <v>40991</v>
      </c>
      <c r="H1573" s="117">
        <v>2121224</v>
      </c>
      <c r="I1573" s="124">
        <v>40989</v>
      </c>
      <c r="J1573" s="124">
        <v>40991</v>
      </c>
      <c r="K1573" s="126">
        <v>15000</v>
      </c>
      <c r="L1573" s="127" t="s">
        <v>571</v>
      </c>
      <c r="N1573" s="129" t="str">
        <f t="shared" si="1183"/>
        <v>N</v>
      </c>
      <c r="O1573" s="128" t="s">
        <v>917</v>
      </c>
      <c r="P1573" s="129" t="s">
        <v>39</v>
      </c>
      <c r="Q1573" s="111">
        <f t="shared" si="1178"/>
        <v>3</v>
      </c>
      <c r="R1573" s="111">
        <f t="shared" si="1175"/>
        <v>4</v>
      </c>
      <c r="S1573" s="129">
        <v>3</v>
      </c>
      <c r="T1573" s="129">
        <v>3</v>
      </c>
      <c r="U1573" s="129">
        <v>2</v>
      </c>
      <c r="W1573" s="111"/>
      <c r="AC1573" s="130"/>
      <c r="AD1573" s="130">
        <v>24300</v>
      </c>
      <c r="AE1573" s="128" t="s">
        <v>46</v>
      </c>
      <c r="AF1573" s="128" t="s">
        <v>69</v>
      </c>
      <c r="AG1573" s="128" t="s">
        <v>874</v>
      </c>
      <c r="AH1573" s="108" t="s">
        <v>58</v>
      </c>
      <c r="AI1573" s="128" t="s">
        <v>118</v>
      </c>
      <c r="AJ1573" s="129" t="s">
        <v>89</v>
      </c>
      <c r="AK1573" s="129">
        <v>2</v>
      </c>
      <c r="AL1573" s="3" t="s">
        <v>992</v>
      </c>
      <c r="AN1573" s="117">
        <v>6</v>
      </c>
      <c r="AP1573" s="129" t="s">
        <v>43</v>
      </c>
      <c r="AR1573" s="128" t="s">
        <v>44</v>
      </c>
      <c r="AS1573" s="129" t="s">
        <v>45</v>
      </c>
      <c r="BC1573" s="129" t="s">
        <v>38</v>
      </c>
      <c r="BF1573" s="111">
        <f t="shared" si="1184"/>
        <v>3</v>
      </c>
      <c r="BG1573" s="111">
        <f t="shared" si="1185"/>
        <v>3</v>
      </c>
      <c r="BH1573" s="111">
        <f t="shared" si="1150"/>
        <v>4</v>
      </c>
      <c r="BI1573" s="111">
        <f t="shared" si="1151"/>
        <v>45.595628415300546</v>
      </c>
      <c r="BJ1573" s="129">
        <f t="shared" si="1156"/>
        <v>0</v>
      </c>
      <c r="BK1573" s="129">
        <f t="shared" si="1152"/>
        <v>0</v>
      </c>
      <c r="BL1573" s="129" t="str">
        <f t="shared" si="1177"/>
        <v>CONVICTION</v>
      </c>
      <c r="BM1573" s="129" t="str">
        <f t="shared" si="1157"/>
        <v>NONE</v>
      </c>
      <c r="BN1573" s="129" t="s">
        <v>566</v>
      </c>
      <c r="BP1573" s="137" t="str">
        <f t="shared" si="1158"/>
        <v>CONVICTION</v>
      </c>
      <c r="BQ1573" s="128" t="str">
        <f t="shared" si="1159"/>
        <v>Y</v>
      </c>
      <c r="BR1573" s="129" t="str">
        <f t="shared" si="1160"/>
        <v>DETAINED</v>
      </c>
      <c r="BS1573" s="129" t="str">
        <f t="shared" si="1161"/>
        <v>DISPOSED</v>
      </c>
      <c r="BT1573" s="129" t="str">
        <f t="shared" si="1162"/>
        <v>Y</v>
      </c>
      <c r="BU1573" s="109">
        <f t="shared" si="1163"/>
        <v>0.75</v>
      </c>
      <c r="BV1573" s="109">
        <f t="shared" si="1164"/>
        <v>1</v>
      </c>
      <c r="BW1573" s="109">
        <f t="shared" si="1181"/>
        <v>0.25</v>
      </c>
      <c r="BX1573" s="111">
        <f t="shared" si="1165"/>
        <v>0</v>
      </c>
      <c r="BY1573" s="129">
        <f t="shared" si="1166"/>
        <v>-3</v>
      </c>
      <c r="BZ1573" s="111">
        <f t="shared" si="1167"/>
        <v>0</v>
      </c>
      <c r="CA1573" s="138">
        <f t="shared" si="1168"/>
        <v>3</v>
      </c>
      <c r="CB1573" s="111" t="e">
        <f t="shared" si="1186"/>
        <v>#VALUE!</v>
      </c>
      <c r="CC1573" s="129">
        <f>G1573-I1573+1</f>
        <v>3</v>
      </c>
      <c r="CD1573" s="129">
        <f>G1573-J1573</f>
        <v>0</v>
      </c>
      <c r="CG1573" s="129" t="str">
        <f t="shared" si="1169"/>
        <v>Y</v>
      </c>
      <c r="CI1573" s="129" t="str">
        <f t="shared" si="1170"/>
        <v>0-10 DAYS</v>
      </c>
      <c r="CJ1573" s="137">
        <f t="shared" si="1171"/>
        <v>1</v>
      </c>
      <c r="CK1573" s="129" t="str">
        <f t="shared" si="1172"/>
        <v>Booked</v>
      </c>
    </row>
    <row r="1574" spans="1:89" ht="15" customHeight="1" x14ac:dyDescent="0.25">
      <c r="A1574" s="111">
        <v>823</v>
      </c>
      <c r="B1574" s="128" t="str">
        <f t="shared" si="1153"/>
        <v>Y</v>
      </c>
      <c r="C1574" s="128" t="str">
        <f t="shared" si="1154"/>
        <v>Y</v>
      </c>
      <c r="D1574" s="117">
        <v>2123271</v>
      </c>
      <c r="E1574" s="135">
        <f t="shared" si="1155"/>
        <v>5</v>
      </c>
      <c r="F1574" s="124">
        <v>40940</v>
      </c>
      <c r="G1574" s="125">
        <v>41310</v>
      </c>
      <c r="H1574" s="117">
        <v>2123271</v>
      </c>
      <c r="I1574" s="124">
        <v>40977</v>
      </c>
      <c r="J1574" s="124">
        <v>40985</v>
      </c>
      <c r="K1574" s="126">
        <v>5000</v>
      </c>
      <c r="L1574" s="127" t="s">
        <v>569</v>
      </c>
      <c r="M1574" s="125">
        <v>40985</v>
      </c>
      <c r="N1574" s="129" t="str">
        <f t="shared" si="1183"/>
        <v>Y</v>
      </c>
      <c r="O1574" s="128" t="s">
        <v>76</v>
      </c>
      <c r="P1574" s="129" t="s">
        <v>39</v>
      </c>
      <c r="Q1574" s="111">
        <v>156</v>
      </c>
      <c r="R1574" s="111">
        <f t="shared" si="1175"/>
        <v>371</v>
      </c>
      <c r="S1574" s="129">
        <v>2</v>
      </c>
      <c r="T1574" s="129">
        <v>4</v>
      </c>
      <c r="U1574" s="129">
        <v>2</v>
      </c>
      <c r="W1574" s="111"/>
      <c r="AC1574" s="130"/>
      <c r="AD1574" s="130">
        <v>31942</v>
      </c>
      <c r="AE1574" s="128" t="s">
        <v>32</v>
      </c>
      <c r="AF1574" s="128" t="s">
        <v>40</v>
      </c>
      <c r="AG1574" s="128" t="s">
        <v>41</v>
      </c>
      <c r="AH1574" s="108" t="s">
        <v>41</v>
      </c>
      <c r="AI1574" s="128" t="s">
        <v>100</v>
      </c>
      <c r="AJ1574" s="129" t="s">
        <v>89</v>
      </c>
      <c r="AK1574" s="129">
        <v>11</v>
      </c>
      <c r="AL1574" s="3" t="s">
        <v>992</v>
      </c>
      <c r="AN1574" s="117">
        <v>6</v>
      </c>
      <c r="AP1574" s="129" t="s">
        <v>251</v>
      </c>
      <c r="AR1574" s="128" t="s">
        <v>67</v>
      </c>
      <c r="AS1574" s="129" t="s">
        <v>64</v>
      </c>
      <c r="AV1574" s="3" t="s">
        <v>88</v>
      </c>
      <c r="AW1574" s="32" t="s">
        <v>695</v>
      </c>
      <c r="BA1574" s="125">
        <v>41288</v>
      </c>
      <c r="BB1574" s="129">
        <v>408</v>
      </c>
      <c r="BC1574" s="129" t="s">
        <v>38</v>
      </c>
      <c r="BD1574" s="129" t="s">
        <v>1071</v>
      </c>
      <c r="BF1574" s="111">
        <v>156</v>
      </c>
      <c r="BG1574" s="111">
        <f t="shared" si="1185"/>
        <v>334</v>
      </c>
      <c r="BH1574" s="111">
        <f t="shared" si="1150"/>
        <v>371</v>
      </c>
      <c r="BI1574" s="111">
        <f t="shared" si="1151"/>
        <v>24.584699453551913</v>
      </c>
      <c r="BJ1574" s="129">
        <f>(G1574-J1574)+(M1574-G1574)</f>
        <v>0</v>
      </c>
      <c r="BK1574" s="129">
        <f t="shared" si="1152"/>
        <v>-325</v>
      </c>
      <c r="BL1574" s="129" t="str">
        <f t="shared" si="1177"/>
        <v>CONVICTION</v>
      </c>
      <c r="BM1574" s="129" t="s">
        <v>76</v>
      </c>
      <c r="BN1574" s="129" t="s">
        <v>88</v>
      </c>
      <c r="BP1574" s="137" t="str">
        <f t="shared" si="1158"/>
        <v>CONVICTION</v>
      </c>
      <c r="BQ1574" s="128" t="str">
        <f t="shared" si="1159"/>
        <v>Y</v>
      </c>
      <c r="BR1574" s="129" t="s">
        <v>574</v>
      </c>
      <c r="BS1574" s="129" t="str">
        <f t="shared" si="1161"/>
        <v>DISPOSED</v>
      </c>
      <c r="BT1574" s="129" t="str">
        <f t="shared" si="1162"/>
        <v>Y</v>
      </c>
      <c r="BU1574" s="109">
        <f t="shared" si="1163"/>
        <v>0.42048517520215634</v>
      </c>
      <c r="BV1574" s="109">
        <f t="shared" si="1164"/>
        <v>2.6946107784431138E-2</v>
      </c>
      <c r="BW1574" s="109">
        <f t="shared" si="1181"/>
        <v>-0.39353906741772521</v>
      </c>
      <c r="BX1574" s="111">
        <f t="shared" si="1165"/>
        <v>0</v>
      </c>
      <c r="BY1574" s="129">
        <f t="shared" si="1166"/>
        <v>-9</v>
      </c>
      <c r="BZ1574" s="111">
        <f t="shared" si="1167"/>
        <v>147</v>
      </c>
      <c r="CA1574" s="138">
        <f t="shared" si="1168"/>
        <v>334</v>
      </c>
      <c r="CB1574" s="111">
        <v>156</v>
      </c>
      <c r="CC1574" s="129">
        <f>G1574-I1574+1</f>
        <v>334</v>
      </c>
      <c r="CD1574" s="129">
        <f>G1574-J1574</f>
        <v>325</v>
      </c>
      <c r="CG1574" s="129" t="str">
        <f t="shared" si="1169"/>
        <v>Y</v>
      </c>
      <c r="CI1574" s="129" t="str">
        <f t="shared" si="1170"/>
        <v>121-365 DAYS</v>
      </c>
      <c r="CJ1574" s="137">
        <f t="shared" si="1171"/>
        <v>6</v>
      </c>
      <c r="CK1574" s="129" t="str">
        <f t="shared" si="1172"/>
        <v>Booked</v>
      </c>
    </row>
    <row r="1575" spans="1:89" ht="15.75" customHeight="1" x14ac:dyDescent="0.25">
      <c r="A1575" s="111">
        <v>2705</v>
      </c>
      <c r="B1575" s="128" t="str">
        <f t="shared" si="1153"/>
        <v>N</v>
      </c>
      <c r="C1575" s="128" t="str">
        <f t="shared" si="1154"/>
        <v>N</v>
      </c>
      <c r="D1575" s="117">
        <v>2123831</v>
      </c>
      <c r="E1575" s="135">
        <f t="shared" si="1155"/>
        <v>6</v>
      </c>
      <c r="F1575" s="124">
        <v>41009</v>
      </c>
      <c r="G1575" s="125">
        <v>41079</v>
      </c>
      <c r="H1575" s="117">
        <v>2123831</v>
      </c>
      <c r="I1575" s="124">
        <v>41010</v>
      </c>
      <c r="J1575" s="124">
        <v>41079</v>
      </c>
      <c r="K1575" s="126" t="s">
        <v>564</v>
      </c>
      <c r="L1575" s="127" t="s">
        <v>564</v>
      </c>
      <c r="N1575" s="129" t="s">
        <v>566</v>
      </c>
      <c r="O1575" s="128" t="s">
        <v>917</v>
      </c>
      <c r="P1575" s="129" t="s">
        <v>39</v>
      </c>
      <c r="Q1575" s="111">
        <f t="shared" si="1178"/>
        <v>70</v>
      </c>
      <c r="R1575" s="111">
        <f t="shared" si="1175"/>
        <v>71</v>
      </c>
      <c r="S1575" s="129">
        <v>2</v>
      </c>
      <c r="T1575" s="129">
        <v>0</v>
      </c>
      <c r="U1575" s="129">
        <v>1</v>
      </c>
      <c r="W1575" s="111"/>
      <c r="AC1575" s="130"/>
      <c r="AD1575" s="130">
        <v>31550</v>
      </c>
      <c r="AE1575" s="128" t="s">
        <v>32</v>
      </c>
      <c r="AF1575" s="128" t="s">
        <v>40</v>
      </c>
      <c r="AG1575" s="128" t="s">
        <v>41</v>
      </c>
      <c r="AH1575" s="108" t="s">
        <v>41</v>
      </c>
      <c r="AI1575" s="128" t="s">
        <v>118</v>
      </c>
      <c r="AJ1575" s="129" t="s">
        <v>89</v>
      </c>
      <c r="AK1575" s="129">
        <v>3</v>
      </c>
      <c r="AL1575" s="3" t="s">
        <v>362</v>
      </c>
      <c r="AM1575" s="117">
        <v>3</v>
      </c>
      <c r="AP1575" s="129" t="s">
        <v>56</v>
      </c>
      <c r="AR1575" s="128" t="s">
        <v>50</v>
      </c>
      <c r="AS1575" s="129" t="s">
        <v>57</v>
      </c>
      <c r="AT1575" s="129" t="s">
        <v>479</v>
      </c>
      <c r="BC1575" s="129" t="s">
        <v>38</v>
      </c>
      <c r="BF1575" s="111">
        <f t="shared" si="1184"/>
        <v>70</v>
      </c>
      <c r="BG1575" s="111">
        <f t="shared" si="1185"/>
        <v>70</v>
      </c>
      <c r="BH1575" s="111">
        <f t="shared" si="1150"/>
        <v>71</v>
      </c>
      <c r="BI1575" s="111">
        <f t="shared" si="1151"/>
        <v>25.844262295081968</v>
      </c>
      <c r="BJ1575" s="129">
        <f t="shared" si="1156"/>
        <v>0</v>
      </c>
      <c r="BK1575" s="129">
        <f t="shared" si="1152"/>
        <v>0</v>
      </c>
      <c r="BL1575" s="129" t="str">
        <f t="shared" si="1177"/>
        <v>CONVICTION</v>
      </c>
      <c r="BM1575" s="129" t="str">
        <f t="shared" si="1157"/>
        <v>NONE</v>
      </c>
      <c r="BN1575" s="129" t="s">
        <v>566</v>
      </c>
      <c r="BP1575" s="137" t="str">
        <f t="shared" si="1158"/>
        <v>CONVICTION</v>
      </c>
      <c r="BQ1575" s="128" t="str">
        <f t="shared" si="1159"/>
        <v>Y</v>
      </c>
      <c r="BR1575" s="129" t="str">
        <f t="shared" si="1160"/>
        <v>DETAINED</v>
      </c>
      <c r="BS1575" s="129" t="str">
        <f t="shared" si="1161"/>
        <v>DISPOSED</v>
      </c>
      <c r="BT1575" s="129" t="str">
        <f t="shared" si="1162"/>
        <v>Y</v>
      </c>
      <c r="BU1575" s="109">
        <f t="shared" si="1163"/>
        <v>0.9859154929577465</v>
      </c>
      <c r="BV1575" s="109">
        <f t="shared" si="1164"/>
        <v>1</v>
      </c>
      <c r="BW1575" s="109">
        <f t="shared" si="1181"/>
        <v>1.4084507042253502E-2</v>
      </c>
      <c r="BX1575" s="111">
        <f t="shared" si="1165"/>
        <v>0</v>
      </c>
      <c r="BY1575" s="129">
        <f t="shared" si="1166"/>
        <v>-70</v>
      </c>
      <c r="BZ1575" s="111">
        <f t="shared" si="1167"/>
        <v>0</v>
      </c>
      <c r="CA1575" s="138">
        <f t="shared" si="1168"/>
        <v>70</v>
      </c>
      <c r="CB1575" s="111" t="e">
        <f t="shared" si="1186"/>
        <v>#VALUE!</v>
      </c>
      <c r="CC1575" s="129">
        <f>G1575-I1575+1</f>
        <v>70</v>
      </c>
      <c r="CD1575" s="129">
        <f>G1575-J1575</f>
        <v>0</v>
      </c>
      <c r="CG1575" s="129" t="str">
        <f t="shared" si="1169"/>
        <v>Y</v>
      </c>
      <c r="CI1575" s="129" t="str">
        <f t="shared" si="1170"/>
        <v>61-90 DAYS</v>
      </c>
      <c r="CJ1575" s="137">
        <f t="shared" si="1171"/>
        <v>4</v>
      </c>
      <c r="CK1575" s="129" t="str">
        <f t="shared" si="1172"/>
        <v>Booked</v>
      </c>
    </row>
    <row r="1576" spans="1:89" ht="15.75" customHeight="1" x14ac:dyDescent="0.25">
      <c r="A1576" s="111">
        <v>242</v>
      </c>
      <c r="B1576" s="128" t="str">
        <f t="shared" si="1153"/>
        <v>N</v>
      </c>
      <c r="C1576" s="128" t="str">
        <f t="shared" si="1154"/>
        <v>N</v>
      </c>
      <c r="D1576" s="117">
        <v>2124206</v>
      </c>
      <c r="E1576" s="135">
        <f t="shared" si="1155"/>
        <v>5</v>
      </c>
      <c r="F1576" s="124">
        <v>40919</v>
      </c>
      <c r="G1576" s="125">
        <v>40921</v>
      </c>
      <c r="H1576" s="117">
        <v>2124206</v>
      </c>
      <c r="I1576" s="124">
        <v>40919</v>
      </c>
      <c r="J1576" s="124">
        <v>40921</v>
      </c>
      <c r="K1576" s="126">
        <v>15000</v>
      </c>
      <c r="L1576" s="127" t="s">
        <v>571</v>
      </c>
      <c r="N1576" s="129" t="str">
        <f>IF(M1576&gt;1/1/1,"Y","N")</f>
        <v>N</v>
      </c>
      <c r="O1576" s="128" t="s">
        <v>917</v>
      </c>
      <c r="P1576" s="129" t="s">
        <v>39</v>
      </c>
      <c r="Q1576" s="111">
        <f t="shared" si="1178"/>
        <v>3</v>
      </c>
      <c r="R1576" s="111">
        <f t="shared" si="1175"/>
        <v>3</v>
      </c>
      <c r="S1576" s="129">
        <v>5</v>
      </c>
      <c r="T1576" s="129">
        <v>5</v>
      </c>
      <c r="U1576" s="129">
        <v>4</v>
      </c>
      <c r="W1576" s="111"/>
      <c r="AC1576" s="130"/>
      <c r="AD1576" s="130">
        <v>31983</v>
      </c>
      <c r="AE1576" s="128" t="s">
        <v>32</v>
      </c>
      <c r="AF1576" s="128" t="s">
        <v>33</v>
      </c>
      <c r="AG1576" s="128" t="s">
        <v>872</v>
      </c>
      <c r="AH1576" s="108" t="s">
        <v>31</v>
      </c>
      <c r="AI1576" s="128" t="s">
        <v>95</v>
      </c>
      <c r="AJ1576" s="129" t="s">
        <v>89</v>
      </c>
      <c r="AK1576" s="129">
        <v>2</v>
      </c>
      <c r="AL1576" s="3" t="s">
        <v>992</v>
      </c>
      <c r="AN1576" s="117">
        <v>9</v>
      </c>
      <c r="AP1576" s="129" t="s">
        <v>43</v>
      </c>
      <c r="AR1576" s="128" t="s">
        <v>44</v>
      </c>
      <c r="AS1576" s="129" t="s">
        <v>45</v>
      </c>
      <c r="BC1576" s="129" t="s">
        <v>38</v>
      </c>
      <c r="BF1576" s="111">
        <f t="shared" si="1184"/>
        <v>3</v>
      </c>
      <c r="BG1576" s="111">
        <f t="shared" si="1185"/>
        <v>3</v>
      </c>
      <c r="BH1576" s="111">
        <f t="shared" si="1150"/>
        <v>3</v>
      </c>
      <c r="BI1576" s="111">
        <f t="shared" si="1151"/>
        <v>24.415300546448087</v>
      </c>
      <c r="BJ1576" s="129">
        <f t="shared" si="1156"/>
        <v>0</v>
      </c>
      <c r="BK1576" s="129">
        <f t="shared" si="1152"/>
        <v>0</v>
      </c>
      <c r="BL1576" s="129" t="str">
        <f t="shared" si="1177"/>
        <v>CONVICTION</v>
      </c>
      <c r="BM1576" s="129" t="str">
        <f t="shared" si="1157"/>
        <v>NONE</v>
      </c>
      <c r="BN1576" s="129" t="s">
        <v>566</v>
      </c>
      <c r="BP1576" s="137" t="str">
        <f t="shared" si="1158"/>
        <v>CONVICTION</v>
      </c>
      <c r="BQ1576" s="128" t="str">
        <f t="shared" si="1159"/>
        <v>Y</v>
      </c>
      <c r="BR1576" s="129" t="str">
        <f t="shared" si="1160"/>
        <v>DETAINED</v>
      </c>
      <c r="BS1576" s="129" t="str">
        <f t="shared" si="1161"/>
        <v>DISPOSED</v>
      </c>
      <c r="BT1576" s="129" t="str">
        <f t="shared" si="1162"/>
        <v>Y</v>
      </c>
      <c r="BU1576" s="109">
        <f t="shared" si="1163"/>
        <v>1</v>
      </c>
      <c r="BV1576" s="109">
        <f t="shared" si="1164"/>
        <v>1</v>
      </c>
      <c r="BW1576" s="109">
        <f t="shared" si="1181"/>
        <v>0</v>
      </c>
      <c r="BX1576" s="111">
        <f t="shared" si="1165"/>
        <v>0</v>
      </c>
      <c r="BY1576" s="129">
        <f t="shared" si="1166"/>
        <v>-3</v>
      </c>
      <c r="BZ1576" s="111">
        <f t="shared" si="1167"/>
        <v>0</v>
      </c>
      <c r="CA1576" s="138">
        <f t="shared" si="1168"/>
        <v>3</v>
      </c>
      <c r="CB1576" s="111" t="e">
        <f t="shared" si="1186"/>
        <v>#VALUE!</v>
      </c>
      <c r="CC1576" s="129">
        <f>G1576-I1576+1</f>
        <v>3</v>
      </c>
      <c r="CD1576" s="129">
        <f>G1576-J1576</f>
        <v>0</v>
      </c>
      <c r="CG1576" s="129" t="str">
        <f t="shared" si="1169"/>
        <v>Y</v>
      </c>
      <c r="CI1576" s="129" t="str">
        <f t="shared" si="1170"/>
        <v>0-10 DAYS</v>
      </c>
      <c r="CJ1576" s="137">
        <f t="shared" si="1171"/>
        <v>1</v>
      </c>
      <c r="CK1576" s="129" t="str">
        <f t="shared" si="1172"/>
        <v>Booked</v>
      </c>
    </row>
    <row r="1577" spans="1:89" ht="15.75" customHeight="1" x14ac:dyDescent="0.25">
      <c r="A1577" s="111">
        <v>1671</v>
      </c>
      <c r="B1577" s="128" t="str">
        <f t="shared" si="1153"/>
        <v>N</v>
      </c>
      <c r="C1577" s="128" t="str">
        <f t="shared" si="1154"/>
        <v>N</v>
      </c>
      <c r="D1577" s="117">
        <v>2124310</v>
      </c>
      <c r="E1577" s="135">
        <f t="shared" si="1155"/>
        <v>6</v>
      </c>
      <c r="F1577" s="124">
        <v>40970</v>
      </c>
      <c r="G1577" s="125">
        <v>41334</v>
      </c>
      <c r="H1577" s="117">
        <v>2124310</v>
      </c>
      <c r="I1577" s="124">
        <v>40970</v>
      </c>
      <c r="J1577" s="124">
        <v>41126</v>
      </c>
      <c r="K1577" s="126">
        <v>50000</v>
      </c>
      <c r="L1577" s="129" t="s">
        <v>572</v>
      </c>
      <c r="M1577" s="125">
        <v>41126</v>
      </c>
      <c r="N1577" s="129" t="str">
        <f>IF(M1577&gt;1/1/1,"Y","N")</f>
        <v>Y</v>
      </c>
      <c r="O1577" s="128" t="s">
        <v>76</v>
      </c>
      <c r="P1577" s="129" t="s">
        <v>659</v>
      </c>
      <c r="Q1577" s="111">
        <f t="shared" si="1178"/>
        <v>157</v>
      </c>
      <c r="R1577" s="111">
        <f t="shared" si="1175"/>
        <v>365</v>
      </c>
      <c r="S1577" s="129">
        <v>0</v>
      </c>
      <c r="T1577" s="129">
        <v>2</v>
      </c>
      <c r="W1577" s="111"/>
      <c r="AC1577" s="130"/>
      <c r="AD1577" s="130">
        <v>24521</v>
      </c>
      <c r="AE1577" s="128" t="s">
        <v>32</v>
      </c>
      <c r="AF1577" s="128" t="s">
        <v>40</v>
      </c>
      <c r="AG1577" s="128" t="s">
        <v>41</v>
      </c>
      <c r="AH1577" s="108" t="s">
        <v>41</v>
      </c>
      <c r="AI1577" s="128" t="s">
        <v>87</v>
      </c>
      <c r="AJ1577" s="129" t="s">
        <v>89</v>
      </c>
      <c r="AK1577" s="129">
        <v>15</v>
      </c>
      <c r="AL1577" s="3" t="s">
        <v>362</v>
      </c>
      <c r="AM1577" s="117">
        <v>50</v>
      </c>
      <c r="AP1577" s="129" t="s">
        <v>179</v>
      </c>
      <c r="AR1577" s="128" t="s">
        <v>92</v>
      </c>
      <c r="AS1577" s="129" t="s">
        <v>180</v>
      </c>
      <c r="BC1577" s="129" t="s">
        <v>38</v>
      </c>
      <c r="BF1577" s="111">
        <f t="shared" si="1184"/>
        <v>157</v>
      </c>
      <c r="BG1577" s="111">
        <f t="shared" si="1185"/>
        <v>365</v>
      </c>
      <c r="BH1577" s="111">
        <f t="shared" si="1150"/>
        <v>365</v>
      </c>
      <c r="BI1577" s="111">
        <f t="shared" si="1151"/>
        <v>44.942622950819676</v>
      </c>
      <c r="BJ1577" s="129">
        <f>(G1577-J1577)+(M1577-G1577)</f>
        <v>0</v>
      </c>
      <c r="BK1577" s="129">
        <f t="shared" si="1152"/>
        <v>-208</v>
      </c>
      <c r="BL1577" s="129" t="str">
        <f t="shared" si="1177"/>
        <v>CONVICTION</v>
      </c>
      <c r="BM1577" s="129" t="s">
        <v>76</v>
      </c>
      <c r="BN1577" s="129" t="s">
        <v>88</v>
      </c>
      <c r="BP1577" s="137" t="str">
        <f t="shared" si="1158"/>
        <v>CONVICTION</v>
      </c>
      <c r="BQ1577" s="128" t="str">
        <f t="shared" si="1159"/>
        <v>Y</v>
      </c>
      <c r="BR1577" s="129" t="str">
        <f t="shared" si="1160"/>
        <v>ON BOND</v>
      </c>
      <c r="BS1577" s="129" t="str">
        <f t="shared" si="1161"/>
        <v>DISPOSED</v>
      </c>
      <c r="BT1577" s="129" t="str">
        <f t="shared" si="1162"/>
        <v>N</v>
      </c>
      <c r="BU1577" s="109">
        <f t="shared" si="1163"/>
        <v>0.43013698630136987</v>
      </c>
      <c r="BV1577" s="109">
        <f t="shared" si="1164"/>
        <v>0.43013698630136987</v>
      </c>
      <c r="BW1577" s="109">
        <f t="shared" si="1181"/>
        <v>0</v>
      </c>
      <c r="BX1577" s="111">
        <f t="shared" si="1165"/>
        <v>0</v>
      </c>
      <c r="BY1577" s="129">
        <f t="shared" si="1166"/>
        <v>-157</v>
      </c>
      <c r="BZ1577" s="111">
        <f t="shared" si="1167"/>
        <v>0</v>
      </c>
      <c r="CA1577" s="138">
        <f t="shared" si="1168"/>
        <v>157</v>
      </c>
      <c r="CB1577" s="111" t="e">
        <f t="shared" si="1186"/>
        <v>#VALUE!</v>
      </c>
      <c r="CC1577" s="129">
        <f>M1577-I1577+1</f>
        <v>157</v>
      </c>
      <c r="CD1577" s="111">
        <f>CC1577-BF1577</f>
        <v>0</v>
      </c>
      <c r="CG1577" s="129" t="str">
        <f t="shared" si="1169"/>
        <v>Y</v>
      </c>
      <c r="CI1577" s="129" t="str">
        <f t="shared" si="1170"/>
        <v>121-365 DAYS</v>
      </c>
      <c r="CJ1577" s="137">
        <f t="shared" si="1171"/>
        <v>6</v>
      </c>
      <c r="CK1577" s="129" t="str">
        <f t="shared" si="1172"/>
        <v>Booked</v>
      </c>
    </row>
    <row r="1578" spans="1:89" ht="15" customHeight="1" x14ac:dyDescent="0.25">
      <c r="A1578" s="111">
        <v>350</v>
      </c>
      <c r="B1578" s="128" t="str">
        <f t="shared" si="1153"/>
        <v>N</v>
      </c>
      <c r="C1578" s="128" t="str">
        <f t="shared" si="1154"/>
        <v>N</v>
      </c>
      <c r="D1578" s="117">
        <v>2124824</v>
      </c>
      <c r="E1578" s="135">
        <f t="shared" si="1155"/>
        <v>2</v>
      </c>
      <c r="F1578" s="124">
        <v>40922</v>
      </c>
      <c r="G1578" s="125">
        <v>41073</v>
      </c>
      <c r="H1578" s="117">
        <v>2124824</v>
      </c>
      <c r="I1578" s="124" t="s">
        <v>562</v>
      </c>
      <c r="J1578" s="124" t="s">
        <v>562</v>
      </c>
      <c r="K1578" s="126">
        <v>5000</v>
      </c>
      <c r="L1578" s="127" t="s">
        <v>569</v>
      </c>
      <c r="M1578" s="125">
        <v>40923</v>
      </c>
      <c r="N1578" s="129" t="str">
        <f>IF(M1578&gt;1/1/1,"Y",IF(Q1578="0","","N"))</f>
        <v>Y</v>
      </c>
      <c r="O1578" s="128" t="s">
        <v>76</v>
      </c>
      <c r="P1578" s="129" t="s">
        <v>589</v>
      </c>
      <c r="Q1578" s="111">
        <f t="shared" si="1178"/>
        <v>0</v>
      </c>
      <c r="R1578" s="111">
        <f t="shared" si="1175"/>
        <v>152</v>
      </c>
      <c r="S1578" s="129">
        <v>1</v>
      </c>
      <c r="T1578" s="129">
        <v>1</v>
      </c>
      <c r="V1578" s="117">
        <v>1</v>
      </c>
      <c r="W1578" s="111"/>
      <c r="AC1578" s="130"/>
      <c r="AD1578" s="130">
        <v>29606</v>
      </c>
      <c r="AE1578" s="128" t="s">
        <v>46</v>
      </c>
      <c r="AF1578" s="128" t="s">
        <v>69</v>
      </c>
      <c r="AG1578" s="128" t="s">
        <v>874</v>
      </c>
      <c r="AH1578" s="108" t="s">
        <v>31</v>
      </c>
      <c r="AI1578" s="128" t="s">
        <v>83</v>
      </c>
      <c r="AJ1578" s="129" t="s">
        <v>48</v>
      </c>
      <c r="AK1578" s="129">
        <v>7</v>
      </c>
      <c r="AL1578" s="3" t="s">
        <v>48</v>
      </c>
      <c r="AP1578" s="129" t="s">
        <v>43</v>
      </c>
      <c r="AR1578" s="128" t="s">
        <v>44</v>
      </c>
      <c r="AS1578" s="129" t="s">
        <v>45</v>
      </c>
      <c r="BC1578" s="129" t="s">
        <v>52</v>
      </c>
      <c r="BF1578" s="111">
        <v>0</v>
      </c>
      <c r="BG1578" s="111">
        <v>0</v>
      </c>
      <c r="BH1578" s="111">
        <f t="shared" si="1150"/>
        <v>152</v>
      </c>
      <c r="BI1578" s="111">
        <f t="shared" si="1151"/>
        <v>30.918032786885245</v>
      </c>
      <c r="BJ1578" s="129" t="e">
        <f>(G1578-J1578)+(M1578-G1578)</f>
        <v>#VALUE!</v>
      </c>
      <c r="BK1578" s="129" t="e">
        <f t="shared" si="1152"/>
        <v>#VALUE!</v>
      </c>
      <c r="BL1578" s="129" t="str">
        <f t="shared" si="1177"/>
        <v>DEFERRED</v>
      </c>
      <c r="BM1578" s="129" t="s">
        <v>76</v>
      </c>
      <c r="BN1578" s="129" t="s">
        <v>88</v>
      </c>
      <c r="BP1578" s="137" t="str">
        <f t="shared" si="1158"/>
        <v>DEFERRED</v>
      </c>
      <c r="BQ1578" s="128">
        <f t="shared" si="1159"/>
        <v>0</v>
      </c>
      <c r="BR1578" s="129" t="s">
        <v>575</v>
      </c>
      <c r="BS1578" s="129" t="str">
        <f t="shared" si="1161"/>
        <v>DISPOSED</v>
      </c>
      <c r="BT1578" s="129" t="str">
        <f t="shared" si="1162"/>
        <v>Y</v>
      </c>
      <c r="BU1578" s="109">
        <f t="shared" si="1163"/>
        <v>0</v>
      </c>
      <c r="BV1578" s="109">
        <v>0</v>
      </c>
      <c r="BW1578" s="109">
        <f t="shared" si="1181"/>
        <v>0</v>
      </c>
      <c r="BX1578" s="111">
        <f t="shared" si="1165"/>
        <v>0</v>
      </c>
      <c r="BY1578" s="129" t="e">
        <f t="shared" si="1166"/>
        <v>#VALUE!</v>
      </c>
      <c r="BZ1578" s="111" t="e">
        <f t="shared" si="1167"/>
        <v>#VALUE!</v>
      </c>
      <c r="CA1578" s="138" t="e">
        <f t="shared" si="1168"/>
        <v>#VALUE!</v>
      </c>
      <c r="CB1578" s="111">
        <v>0</v>
      </c>
      <c r="CC1578" s="129">
        <v>0</v>
      </c>
      <c r="CD1578" s="111">
        <f>CC1578-BF1578</f>
        <v>0</v>
      </c>
      <c r="CG1578" s="129" t="str">
        <f t="shared" si="1169"/>
        <v>Y</v>
      </c>
      <c r="CI1578" s="129" t="str">
        <f t="shared" si="1170"/>
        <v>0-10 DAYS</v>
      </c>
      <c r="CJ1578" s="137">
        <f t="shared" si="1171"/>
        <v>1</v>
      </c>
      <c r="CK1578" s="129" t="str">
        <f t="shared" si="1172"/>
        <v>Not Booked</v>
      </c>
    </row>
    <row r="1579" spans="1:89" ht="15" customHeight="1" x14ac:dyDescent="0.25">
      <c r="A1579" s="111">
        <v>2503</v>
      </c>
      <c r="B1579" s="128" t="str">
        <f t="shared" si="1153"/>
        <v>N</v>
      </c>
      <c r="C1579" s="128" t="str">
        <f t="shared" si="1154"/>
        <v>N</v>
      </c>
      <c r="D1579" s="117">
        <v>2131971</v>
      </c>
      <c r="E1579" s="135">
        <f t="shared" si="1155"/>
        <v>1</v>
      </c>
      <c r="F1579" s="124">
        <v>41003</v>
      </c>
      <c r="G1579" s="125">
        <v>41036</v>
      </c>
      <c r="H1579" s="117">
        <v>2131971</v>
      </c>
      <c r="I1579" s="124">
        <v>41003</v>
      </c>
      <c r="J1579" s="124">
        <v>41036</v>
      </c>
      <c r="K1579" s="126">
        <v>30000</v>
      </c>
      <c r="L1579" s="129" t="s">
        <v>572</v>
      </c>
      <c r="N1579" s="129" t="str">
        <f>IF(M1579&gt;1/1/1,"Y","N")</f>
        <v>N</v>
      </c>
      <c r="O1579" s="128" t="s">
        <v>917</v>
      </c>
      <c r="P1579" s="129" t="s">
        <v>55</v>
      </c>
      <c r="Q1579" s="111">
        <f t="shared" si="1178"/>
        <v>34</v>
      </c>
      <c r="R1579" s="111">
        <f t="shared" si="1175"/>
        <v>34</v>
      </c>
      <c r="S1579" s="129">
        <v>0</v>
      </c>
      <c r="T1579" s="129">
        <v>0</v>
      </c>
      <c r="W1579" s="111"/>
      <c r="AC1579" s="130"/>
      <c r="AD1579" s="130">
        <v>30925</v>
      </c>
      <c r="AE1579" s="128" t="s">
        <v>32</v>
      </c>
      <c r="AF1579" s="128" t="s">
        <v>33</v>
      </c>
      <c r="AG1579" s="128" t="s">
        <v>872</v>
      </c>
      <c r="AH1579" s="108" t="s">
        <v>58</v>
      </c>
      <c r="AI1579" s="128" t="s">
        <v>97</v>
      </c>
      <c r="AJ1579" s="129" t="s">
        <v>55</v>
      </c>
      <c r="AK1579" s="129">
        <v>3</v>
      </c>
      <c r="AL1579" s="3" t="s">
        <v>55</v>
      </c>
      <c r="AP1579" s="129" t="s">
        <v>191</v>
      </c>
      <c r="AR1579" s="128" t="s">
        <v>50</v>
      </c>
      <c r="AS1579" s="129" t="s">
        <v>82</v>
      </c>
      <c r="BC1579" s="129" t="s">
        <v>38</v>
      </c>
      <c r="BF1579" s="111">
        <f t="shared" ref="BF1579:BF1588" si="1187">IF(J1579&gt;1/1/1900,((J1579+1)-I1579),"STILL OPEN")</f>
        <v>34</v>
      </c>
      <c r="BG1579" s="111">
        <f t="shared" ref="BG1579:BG1588" si="1188">IF(G1579&gt;1/1/1900,((G1579+1)-I1579),"STILL OPEN")</f>
        <v>34</v>
      </c>
      <c r="BH1579" s="111">
        <f t="shared" si="1150"/>
        <v>34</v>
      </c>
      <c r="BI1579" s="111">
        <f t="shared" si="1151"/>
        <v>27.535519125683059</v>
      </c>
      <c r="BJ1579" s="129">
        <f t="shared" si="1156"/>
        <v>0</v>
      </c>
      <c r="BK1579" s="129">
        <f t="shared" si="1152"/>
        <v>0</v>
      </c>
      <c r="BL1579" s="129" t="str">
        <f t="shared" si="1177"/>
        <v>NO CONVICTION</v>
      </c>
      <c r="BM1579" s="129" t="str">
        <f t="shared" si="1157"/>
        <v>NONE</v>
      </c>
      <c r="BN1579" s="129" t="s">
        <v>566</v>
      </c>
      <c r="BP1579" s="137" t="str">
        <f t="shared" si="1158"/>
        <v>NO CONVICTION</v>
      </c>
      <c r="BQ1579" s="128" t="str">
        <f t="shared" si="1159"/>
        <v>Y</v>
      </c>
      <c r="BR1579" s="129" t="str">
        <f t="shared" si="1160"/>
        <v>DETAINED</v>
      </c>
      <c r="BS1579" s="129" t="str">
        <f t="shared" si="1161"/>
        <v>DISPOSED</v>
      </c>
      <c r="BT1579" s="129" t="str">
        <f t="shared" si="1162"/>
        <v>N</v>
      </c>
      <c r="BU1579" s="109">
        <f>IFERROR(Q1579/R1579,BR1579)</f>
        <v>1</v>
      </c>
      <c r="BV1579" s="109">
        <f t="shared" si="1164"/>
        <v>1</v>
      </c>
      <c r="BW1579" s="109">
        <f t="shared" si="1181"/>
        <v>0</v>
      </c>
      <c r="BX1579" s="111">
        <f t="shared" si="1165"/>
        <v>0</v>
      </c>
      <c r="BY1579" s="129">
        <f t="shared" si="1166"/>
        <v>-34</v>
      </c>
      <c r="BZ1579" s="111">
        <f t="shared" si="1167"/>
        <v>0</v>
      </c>
      <c r="CA1579" s="138">
        <f t="shared" si="1168"/>
        <v>34</v>
      </c>
      <c r="CB1579" s="111" t="e">
        <f t="shared" ref="CB1579:CB1588" si="1189">IF(AF1579&gt;1/1/1900,((AF1579+1)-AE1579),"STILL OPEN")</f>
        <v>#VALUE!</v>
      </c>
      <c r="CC1579" s="129">
        <f>G1579-I1579+1</f>
        <v>34</v>
      </c>
      <c r="CD1579" s="129">
        <f>G1579-J1579</f>
        <v>0</v>
      </c>
      <c r="CG1579" s="129" t="str">
        <f t="shared" si="1169"/>
        <v>N</v>
      </c>
      <c r="CI1579" s="129" t="str">
        <f t="shared" si="1170"/>
        <v>31-60 DAYS</v>
      </c>
      <c r="CJ1579" s="137">
        <f t="shared" si="1171"/>
        <v>3</v>
      </c>
      <c r="CK1579" s="129" t="str">
        <f t="shared" si="1172"/>
        <v>Booked</v>
      </c>
    </row>
    <row r="1580" spans="1:89" ht="15" customHeight="1" x14ac:dyDescent="0.25">
      <c r="A1580" s="111">
        <v>294</v>
      </c>
      <c r="B1580" s="128" t="str">
        <f t="shared" si="1153"/>
        <v>N</v>
      </c>
      <c r="C1580" s="128" t="str">
        <f t="shared" si="1154"/>
        <v>N</v>
      </c>
      <c r="D1580" s="117">
        <v>2134471</v>
      </c>
      <c r="E1580" s="135">
        <f t="shared" si="1155"/>
        <v>6</v>
      </c>
      <c r="F1580" s="124">
        <v>40920</v>
      </c>
      <c r="G1580" s="125">
        <v>41116</v>
      </c>
      <c r="H1580" s="117">
        <v>2134471</v>
      </c>
      <c r="I1580" s="124">
        <v>40920</v>
      </c>
      <c r="J1580" s="124">
        <v>41116</v>
      </c>
      <c r="K1580" s="126" t="s">
        <v>564</v>
      </c>
      <c r="L1580" s="127" t="s">
        <v>564</v>
      </c>
      <c r="N1580" s="129" t="s">
        <v>566</v>
      </c>
      <c r="O1580" s="128" t="s">
        <v>917</v>
      </c>
      <c r="P1580" s="129" t="s">
        <v>39</v>
      </c>
      <c r="Q1580" s="111">
        <f t="shared" si="1178"/>
        <v>197</v>
      </c>
      <c r="R1580" s="111">
        <f t="shared" si="1175"/>
        <v>197</v>
      </c>
      <c r="S1580" s="129">
        <v>5</v>
      </c>
      <c r="T1580" s="129">
        <v>2</v>
      </c>
      <c r="U1580" s="129">
        <v>4</v>
      </c>
      <c r="W1580" s="111"/>
      <c r="AC1580" s="130"/>
      <c r="AD1580" s="130">
        <v>32185</v>
      </c>
      <c r="AE1580" s="128" t="s">
        <v>32</v>
      </c>
      <c r="AF1580" s="128" t="s">
        <v>40</v>
      </c>
      <c r="AG1580" s="128" t="s">
        <v>41</v>
      </c>
      <c r="AH1580" s="108" t="s">
        <v>41</v>
      </c>
      <c r="AI1580" s="128" t="s">
        <v>72</v>
      </c>
      <c r="AJ1580" s="129" t="s">
        <v>89</v>
      </c>
      <c r="AK1580" s="129">
        <v>6</v>
      </c>
      <c r="AL1580" s="3" t="s">
        <v>362</v>
      </c>
      <c r="AM1580" s="117">
        <v>60</v>
      </c>
      <c r="AP1580" s="129" t="s">
        <v>105</v>
      </c>
      <c r="AR1580" s="128" t="s">
        <v>92</v>
      </c>
      <c r="AS1580" s="129" t="s">
        <v>106</v>
      </c>
      <c r="BC1580" s="129" t="s">
        <v>38</v>
      </c>
      <c r="BF1580" s="111">
        <f t="shared" si="1187"/>
        <v>197</v>
      </c>
      <c r="BG1580" s="111">
        <f t="shared" si="1188"/>
        <v>197</v>
      </c>
      <c r="BH1580" s="111">
        <f t="shared" si="1150"/>
        <v>197</v>
      </c>
      <c r="BI1580" s="111">
        <f t="shared" si="1151"/>
        <v>23.866120218579233</v>
      </c>
      <c r="BJ1580" s="129">
        <f t="shared" si="1156"/>
        <v>0</v>
      </c>
      <c r="BK1580" s="129">
        <f t="shared" si="1152"/>
        <v>0</v>
      </c>
      <c r="BL1580" s="129" t="str">
        <f t="shared" si="1177"/>
        <v>CONVICTION</v>
      </c>
      <c r="BM1580" s="129" t="str">
        <f t="shared" si="1157"/>
        <v>NONE</v>
      </c>
      <c r="BN1580" s="129" t="s">
        <v>566</v>
      </c>
      <c r="BP1580" s="137" t="str">
        <f t="shared" si="1158"/>
        <v>CONVICTION</v>
      </c>
      <c r="BQ1580" s="128" t="str">
        <f t="shared" si="1159"/>
        <v>Y</v>
      </c>
      <c r="BR1580" s="129" t="str">
        <f t="shared" si="1160"/>
        <v>DETAINED</v>
      </c>
      <c r="BS1580" s="129" t="str">
        <f t="shared" si="1161"/>
        <v>DISPOSED</v>
      </c>
      <c r="BT1580" s="129" t="str">
        <f t="shared" si="1162"/>
        <v>Y</v>
      </c>
      <c r="BU1580" s="109">
        <f t="shared" si="1163"/>
        <v>1</v>
      </c>
      <c r="BV1580" s="109">
        <f t="shared" si="1164"/>
        <v>1</v>
      </c>
      <c r="BW1580" s="109">
        <f t="shared" si="1181"/>
        <v>0</v>
      </c>
      <c r="BX1580" s="111">
        <f t="shared" si="1165"/>
        <v>0</v>
      </c>
      <c r="BY1580" s="129">
        <f t="shared" si="1166"/>
        <v>-197</v>
      </c>
      <c r="BZ1580" s="111">
        <f t="shared" si="1167"/>
        <v>0</v>
      </c>
      <c r="CA1580" s="138">
        <f t="shared" si="1168"/>
        <v>197</v>
      </c>
      <c r="CB1580" s="111" t="e">
        <f t="shared" si="1189"/>
        <v>#VALUE!</v>
      </c>
      <c r="CC1580" s="129">
        <f>G1580-I1580+1</f>
        <v>197</v>
      </c>
      <c r="CD1580" s="129">
        <f>G1580-J1580</f>
        <v>0</v>
      </c>
      <c r="CG1580" s="129" t="str">
        <f t="shared" si="1169"/>
        <v>Y</v>
      </c>
      <c r="CI1580" s="129" t="str">
        <f t="shared" si="1170"/>
        <v>121-365 DAYS</v>
      </c>
      <c r="CJ1580" s="137">
        <f t="shared" si="1171"/>
        <v>6</v>
      </c>
      <c r="CK1580" s="129" t="str">
        <f t="shared" si="1172"/>
        <v>Booked</v>
      </c>
    </row>
    <row r="1581" spans="1:89" ht="15" customHeight="1" x14ac:dyDescent="0.25">
      <c r="A1581" s="111">
        <v>1496</v>
      </c>
      <c r="B1581" s="128" t="str">
        <f t="shared" si="1153"/>
        <v>N</v>
      </c>
      <c r="C1581" s="128" t="str">
        <f t="shared" si="1154"/>
        <v>N</v>
      </c>
      <c r="D1581" s="117">
        <v>2134590</v>
      </c>
      <c r="E1581" s="135">
        <f t="shared" si="1155"/>
        <v>4</v>
      </c>
      <c r="F1581" s="124">
        <v>40964</v>
      </c>
      <c r="G1581" s="125">
        <v>41039</v>
      </c>
      <c r="H1581" s="117">
        <v>2134590</v>
      </c>
      <c r="I1581" s="124">
        <v>40964</v>
      </c>
      <c r="J1581" s="124">
        <v>41039</v>
      </c>
      <c r="K1581" s="126">
        <v>10000</v>
      </c>
      <c r="L1581" s="127" t="s">
        <v>570</v>
      </c>
      <c r="N1581" s="129" t="str">
        <f t="shared" ref="N1581:N1588" si="1190">IF(M1581&gt;1/1/1,"Y","N")</f>
        <v>N</v>
      </c>
      <c r="O1581" s="128" t="s">
        <v>917</v>
      </c>
      <c r="P1581" s="129" t="s">
        <v>39</v>
      </c>
      <c r="Q1581" s="111">
        <f t="shared" si="1178"/>
        <v>76</v>
      </c>
      <c r="R1581" s="111">
        <f t="shared" si="1175"/>
        <v>76</v>
      </c>
      <c r="S1581" s="129">
        <v>3</v>
      </c>
      <c r="T1581" s="129">
        <v>3</v>
      </c>
      <c r="U1581" s="129">
        <v>1</v>
      </c>
      <c r="W1581" s="111"/>
      <c r="AC1581" s="130"/>
      <c r="AD1581" s="130">
        <v>31982</v>
      </c>
      <c r="AE1581" s="128" t="s">
        <v>32</v>
      </c>
      <c r="AF1581" s="128" t="s">
        <v>40</v>
      </c>
      <c r="AG1581" s="128" t="s">
        <v>41</v>
      </c>
      <c r="AH1581" s="108" t="s">
        <v>41</v>
      </c>
      <c r="AI1581" s="128" t="s">
        <v>85</v>
      </c>
      <c r="AJ1581" s="129" t="s">
        <v>89</v>
      </c>
      <c r="AK1581" s="129">
        <v>6</v>
      </c>
      <c r="AL1581" s="3" t="s">
        <v>991</v>
      </c>
      <c r="AO1581" s="128">
        <v>180</v>
      </c>
      <c r="AP1581" s="129" t="s">
        <v>255</v>
      </c>
      <c r="AR1581" s="128" t="s">
        <v>44</v>
      </c>
      <c r="AS1581" s="129" t="s">
        <v>45</v>
      </c>
      <c r="BC1581" s="129" t="s">
        <v>52</v>
      </c>
      <c r="BF1581" s="111">
        <f t="shared" si="1187"/>
        <v>76</v>
      </c>
      <c r="BG1581" s="111">
        <f t="shared" si="1188"/>
        <v>76</v>
      </c>
      <c r="BH1581" s="111">
        <f t="shared" si="1150"/>
        <v>76</v>
      </c>
      <c r="BI1581" s="111">
        <f t="shared" si="1151"/>
        <v>24.540983606557376</v>
      </c>
      <c r="BJ1581" s="129">
        <f t="shared" si="1156"/>
        <v>0</v>
      </c>
      <c r="BK1581" s="129">
        <f t="shared" si="1152"/>
        <v>0</v>
      </c>
      <c r="BL1581" s="129" t="str">
        <f t="shared" si="1177"/>
        <v>CONVICTION</v>
      </c>
      <c r="BM1581" s="129" t="str">
        <f t="shared" si="1157"/>
        <v>NONE</v>
      </c>
      <c r="BN1581" s="129" t="s">
        <v>566</v>
      </c>
      <c r="BP1581" s="137" t="str">
        <f t="shared" si="1158"/>
        <v>CONVICTION</v>
      </c>
      <c r="BQ1581" s="128" t="str">
        <f t="shared" si="1159"/>
        <v>Y</v>
      </c>
      <c r="BR1581" s="129" t="str">
        <f t="shared" si="1160"/>
        <v>DETAINED</v>
      </c>
      <c r="BS1581" s="129" t="str">
        <f t="shared" si="1161"/>
        <v>DISPOSED</v>
      </c>
      <c r="BT1581" s="129" t="str">
        <f t="shared" si="1162"/>
        <v>Y</v>
      </c>
      <c r="BU1581" s="109">
        <f t="shared" si="1163"/>
        <v>1</v>
      </c>
      <c r="BV1581" s="109">
        <f t="shared" si="1164"/>
        <v>1</v>
      </c>
      <c r="BW1581" s="109">
        <f t="shared" si="1181"/>
        <v>0</v>
      </c>
      <c r="BX1581" s="111">
        <f t="shared" si="1165"/>
        <v>0</v>
      </c>
      <c r="BY1581" s="129">
        <f t="shared" si="1166"/>
        <v>-76</v>
      </c>
      <c r="BZ1581" s="111">
        <f t="shared" si="1167"/>
        <v>0</v>
      </c>
      <c r="CA1581" s="138">
        <f t="shared" si="1168"/>
        <v>76</v>
      </c>
      <c r="CB1581" s="111" t="e">
        <f t="shared" si="1189"/>
        <v>#VALUE!</v>
      </c>
      <c r="CC1581" s="129">
        <f>G1581-I1581+1</f>
        <v>76</v>
      </c>
      <c r="CD1581" s="129">
        <f>G1581-J1581</f>
        <v>0</v>
      </c>
      <c r="CG1581" s="129" t="str">
        <f t="shared" si="1169"/>
        <v>Y</v>
      </c>
      <c r="CI1581" s="129" t="str">
        <f t="shared" si="1170"/>
        <v>61-90 DAYS</v>
      </c>
      <c r="CJ1581" s="137">
        <f t="shared" si="1171"/>
        <v>4</v>
      </c>
      <c r="CK1581" s="129" t="str">
        <f t="shared" si="1172"/>
        <v>Booked</v>
      </c>
    </row>
    <row r="1582" spans="1:89" ht="15.75" customHeight="1" x14ac:dyDescent="0.25">
      <c r="A1582" s="111">
        <v>1912</v>
      </c>
      <c r="B1582" s="128" t="str">
        <f t="shared" si="1153"/>
        <v>N</v>
      </c>
      <c r="C1582" s="128" t="str">
        <f t="shared" si="1154"/>
        <v>N</v>
      </c>
      <c r="D1582" s="117">
        <v>2135422</v>
      </c>
      <c r="E1582" s="135">
        <f t="shared" si="1155"/>
        <v>6</v>
      </c>
      <c r="F1582" s="124">
        <v>40980</v>
      </c>
      <c r="G1582" s="125">
        <v>41135</v>
      </c>
      <c r="H1582" s="117">
        <v>2135422</v>
      </c>
      <c r="I1582" s="124">
        <v>40981</v>
      </c>
      <c r="J1582" s="124">
        <v>41135</v>
      </c>
      <c r="K1582" s="126">
        <v>10000</v>
      </c>
      <c r="L1582" s="127" t="s">
        <v>570</v>
      </c>
      <c r="N1582" s="129" t="str">
        <f t="shared" si="1190"/>
        <v>N</v>
      </c>
      <c r="O1582" s="128" t="s">
        <v>917</v>
      </c>
      <c r="P1582" s="129" t="s">
        <v>39</v>
      </c>
      <c r="Q1582" s="111">
        <f t="shared" si="1178"/>
        <v>155</v>
      </c>
      <c r="R1582" s="111">
        <f t="shared" si="1175"/>
        <v>156</v>
      </c>
      <c r="S1582" s="129">
        <v>0</v>
      </c>
      <c r="T1582" s="129">
        <v>2</v>
      </c>
      <c r="W1582" s="111"/>
      <c r="AC1582" s="130"/>
      <c r="AD1582" s="130">
        <v>30250</v>
      </c>
      <c r="AE1582" s="128" t="s">
        <v>32</v>
      </c>
      <c r="AF1582" s="128" t="s">
        <v>69</v>
      </c>
      <c r="AG1582" s="128" t="s">
        <v>874</v>
      </c>
      <c r="AH1582" s="108" t="s">
        <v>31</v>
      </c>
      <c r="AI1582" s="128" t="s">
        <v>47</v>
      </c>
      <c r="AJ1582" s="129" t="s">
        <v>89</v>
      </c>
      <c r="AK1582" s="129">
        <v>6</v>
      </c>
      <c r="AL1582" s="3" t="s">
        <v>362</v>
      </c>
      <c r="AM1582" s="142">
        <v>8</v>
      </c>
      <c r="AN1582" s="142"/>
      <c r="AP1582" s="129" t="s">
        <v>173</v>
      </c>
      <c r="AR1582" s="128" t="s">
        <v>50</v>
      </c>
      <c r="AS1582" s="129" t="s">
        <v>126</v>
      </c>
      <c r="BC1582" s="129" t="s">
        <v>38</v>
      </c>
      <c r="BF1582" s="111">
        <f t="shared" si="1187"/>
        <v>155</v>
      </c>
      <c r="BG1582" s="111">
        <f t="shared" si="1188"/>
        <v>155</v>
      </c>
      <c r="BH1582" s="111">
        <f t="shared" si="1150"/>
        <v>156</v>
      </c>
      <c r="BI1582" s="111">
        <f t="shared" si="1151"/>
        <v>29.316939890710383</v>
      </c>
      <c r="BJ1582" s="129">
        <f t="shared" si="1156"/>
        <v>0</v>
      </c>
      <c r="BK1582" s="129">
        <f t="shared" si="1152"/>
        <v>0</v>
      </c>
      <c r="BL1582" s="129" t="str">
        <f t="shared" si="1177"/>
        <v>CONVICTION</v>
      </c>
      <c r="BM1582" s="129" t="str">
        <f t="shared" si="1157"/>
        <v>NONE</v>
      </c>
      <c r="BN1582" s="129" t="s">
        <v>566</v>
      </c>
      <c r="BP1582" s="137" t="str">
        <f t="shared" si="1158"/>
        <v>CONVICTION</v>
      </c>
      <c r="BQ1582" s="128" t="str">
        <f t="shared" si="1159"/>
        <v>Y</v>
      </c>
      <c r="BR1582" s="129" t="str">
        <f t="shared" si="1160"/>
        <v>DETAINED</v>
      </c>
      <c r="BS1582" s="129" t="str">
        <f t="shared" si="1161"/>
        <v>DISPOSED</v>
      </c>
      <c r="BT1582" s="129" t="str">
        <f t="shared" si="1162"/>
        <v>N</v>
      </c>
      <c r="BU1582" s="109">
        <f t="shared" si="1163"/>
        <v>0.99358974358974361</v>
      </c>
      <c r="BV1582" s="109">
        <f t="shared" si="1164"/>
        <v>1</v>
      </c>
      <c r="BW1582" s="109">
        <f t="shared" si="1181"/>
        <v>6.4102564102563875E-3</v>
      </c>
      <c r="BX1582" s="111">
        <f t="shared" si="1165"/>
        <v>0</v>
      </c>
      <c r="BY1582" s="129">
        <f t="shared" si="1166"/>
        <v>-155</v>
      </c>
      <c r="BZ1582" s="111">
        <f t="shared" si="1167"/>
        <v>0</v>
      </c>
      <c r="CA1582" s="138">
        <f t="shared" si="1168"/>
        <v>155</v>
      </c>
      <c r="CB1582" s="111" t="e">
        <f t="shared" si="1189"/>
        <v>#VALUE!</v>
      </c>
      <c r="CC1582" s="129">
        <f>G1582-I1582+1</f>
        <v>155</v>
      </c>
      <c r="CD1582" s="129">
        <f>G1582-J1582</f>
        <v>0</v>
      </c>
      <c r="CG1582" s="129" t="str">
        <f t="shared" si="1169"/>
        <v>Y</v>
      </c>
      <c r="CI1582" s="129" t="str">
        <f t="shared" si="1170"/>
        <v>121-365 DAYS</v>
      </c>
      <c r="CJ1582" s="137">
        <f t="shared" si="1171"/>
        <v>6</v>
      </c>
      <c r="CK1582" s="129" t="str">
        <f t="shared" si="1172"/>
        <v>Booked</v>
      </c>
    </row>
    <row r="1583" spans="1:89" ht="15" customHeight="1" x14ac:dyDescent="0.25">
      <c r="A1583" s="111">
        <v>1115</v>
      </c>
      <c r="B1583" s="128" t="str">
        <f t="shared" si="1153"/>
        <v>N</v>
      </c>
      <c r="C1583" s="128" t="str">
        <f t="shared" si="1154"/>
        <v>N</v>
      </c>
      <c r="D1583" s="117">
        <v>2137430</v>
      </c>
      <c r="E1583" s="135">
        <f t="shared" si="1155"/>
        <v>6</v>
      </c>
      <c r="F1583" s="124">
        <v>40949</v>
      </c>
      <c r="G1583" s="125">
        <v>41137</v>
      </c>
      <c r="H1583" s="117">
        <v>2137430</v>
      </c>
      <c r="I1583" s="124">
        <v>40949</v>
      </c>
      <c r="J1583" s="124">
        <v>40950</v>
      </c>
      <c r="K1583" s="126">
        <v>10000</v>
      </c>
      <c r="L1583" s="127" t="s">
        <v>570</v>
      </c>
      <c r="M1583" s="125">
        <v>40950</v>
      </c>
      <c r="N1583" s="129" t="str">
        <f t="shared" si="1190"/>
        <v>Y</v>
      </c>
      <c r="O1583" s="128" t="s">
        <v>76</v>
      </c>
      <c r="P1583" s="129" t="s">
        <v>39</v>
      </c>
      <c r="Q1583" s="111">
        <f t="shared" si="1178"/>
        <v>2</v>
      </c>
      <c r="R1583" s="111">
        <f t="shared" si="1175"/>
        <v>189</v>
      </c>
      <c r="S1583" s="129">
        <v>2</v>
      </c>
      <c r="T1583" s="129">
        <v>0</v>
      </c>
      <c r="U1583" s="129">
        <v>1</v>
      </c>
      <c r="W1583" s="111"/>
      <c r="AC1583" s="130"/>
      <c r="AD1583" s="130">
        <v>31343</v>
      </c>
      <c r="AE1583" s="128" t="s">
        <v>32</v>
      </c>
      <c r="AF1583" s="128" t="s">
        <v>33</v>
      </c>
      <c r="AG1583" s="128" t="s">
        <v>872</v>
      </c>
      <c r="AH1583" s="108" t="s">
        <v>31</v>
      </c>
      <c r="AI1583" s="128" t="s">
        <v>53</v>
      </c>
      <c r="AJ1583" s="129" t="s">
        <v>89</v>
      </c>
      <c r="AK1583" s="129">
        <v>12</v>
      </c>
      <c r="AL1583" s="3" t="s">
        <v>362</v>
      </c>
      <c r="AM1583" s="117">
        <v>2</v>
      </c>
      <c r="AP1583" s="129" t="s">
        <v>101</v>
      </c>
      <c r="AR1583" s="128" t="s">
        <v>67</v>
      </c>
      <c r="AS1583" s="129" t="s">
        <v>64</v>
      </c>
      <c r="BC1583" s="129" t="s">
        <v>52</v>
      </c>
      <c r="BF1583" s="111">
        <f t="shared" si="1187"/>
        <v>2</v>
      </c>
      <c r="BG1583" s="111">
        <f t="shared" si="1188"/>
        <v>189</v>
      </c>
      <c r="BH1583" s="111">
        <f t="shared" si="1150"/>
        <v>189</v>
      </c>
      <c r="BI1583" s="111">
        <f t="shared" si="1151"/>
        <v>26.245901639344261</v>
      </c>
      <c r="BJ1583" s="129">
        <f>(G1583-J1583)+(M1583-G1583)</f>
        <v>0</v>
      </c>
      <c r="BK1583" s="129">
        <f t="shared" si="1152"/>
        <v>-187</v>
      </c>
      <c r="BL1583" s="129" t="str">
        <f t="shared" si="1177"/>
        <v>CONVICTION</v>
      </c>
      <c r="BM1583" s="129" t="s">
        <v>76</v>
      </c>
      <c r="BN1583" s="129" t="s">
        <v>88</v>
      </c>
      <c r="BP1583" s="137" t="str">
        <f t="shared" si="1158"/>
        <v>CONVICTION</v>
      </c>
      <c r="BQ1583" s="128" t="str">
        <f t="shared" si="1159"/>
        <v>Y</v>
      </c>
      <c r="BR1583" s="129" t="str">
        <f>IF(J1583&lt;G1583,"ON BOND",0)</f>
        <v>ON BOND</v>
      </c>
      <c r="BS1583" s="129" t="str">
        <f t="shared" si="1161"/>
        <v>DISPOSED</v>
      </c>
      <c r="BT1583" s="129" t="str">
        <f t="shared" si="1162"/>
        <v>Y</v>
      </c>
      <c r="BU1583" s="109">
        <f t="shared" si="1163"/>
        <v>1.0582010582010581E-2</v>
      </c>
      <c r="BV1583" s="109">
        <f t="shared" si="1164"/>
        <v>1.0582010582010581E-2</v>
      </c>
      <c r="BW1583" s="109">
        <f t="shared" si="1181"/>
        <v>0</v>
      </c>
      <c r="BX1583" s="111">
        <f t="shared" si="1165"/>
        <v>0</v>
      </c>
      <c r="BY1583" s="129">
        <f t="shared" si="1166"/>
        <v>-2</v>
      </c>
      <c r="BZ1583" s="111">
        <f t="shared" si="1167"/>
        <v>0</v>
      </c>
      <c r="CA1583" s="138">
        <f t="shared" si="1168"/>
        <v>2</v>
      </c>
      <c r="CB1583" s="111" t="e">
        <f t="shared" si="1189"/>
        <v>#VALUE!</v>
      </c>
      <c r="CC1583" s="129">
        <f>M1583-I1583+1</f>
        <v>2</v>
      </c>
      <c r="CD1583" s="111">
        <f>CC1583-BF1583</f>
        <v>0</v>
      </c>
      <c r="CG1583" s="129" t="str">
        <f t="shared" si="1169"/>
        <v>Y</v>
      </c>
      <c r="CI1583" s="129" t="str">
        <f t="shared" si="1170"/>
        <v>0-10 DAYS</v>
      </c>
      <c r="CJ1583" s="137">
        <f t="shared" si="1171"/>
        <v>1</v>
      </c>
      <c r="CK1583" s="129" t="str">
        <f t="shared" si="1172"/>
        <v>Booked</v>
      </c>
    </row>
    <row r="1584" spans="1:89" ht="15.75" customHeight="1" x14ac:dyDescent="0.25">
      <c r="A1584" s="111">
        <v>2534</v>
      </c>
      <c r="B1584" s="128" t="str">
        <f t="shared" si="1153"/>
        <v>N</v>
      </c>
      <c r="C1584" s="128" t="str">
        <f t="shared" si="1154"/>
        <v>N</v>
      </c>
      <c r="D1584" s="117">
        <v>2137629</v>
      </c>
      <c r="E1584" s="135">
        <f t="shared" si="1155"/>
        <v>6</v>
      </c>
      <c r="F1584" s="124">
        <v>41003</v>
      </c>
      <c r="G1584" s="125">
        <v>41116</v>
      </c>
      <c r="H1584" s="117">
        <v>2137629</v>
      </c>
      <c r="I1584" s="124">
        <v>41005</v>
      </c>
      <c r="J1584" s="124">
        <v>41013</v>
      </c>
      <c r="K1584" s="126">
        <v>20000</v>
      </c>
      <c r="L1584" s="127" t="s">
        <v>571</v>
      </c>
      <c r="M1584" s="125">
        <v>41013</v>
      </c>
      <c r="N1584" s="129" t="str">
        <f t="shared" si="1190"/>
        <v>Y</v>
      </c>
      <c r="O1584" s="128" t="s">
        <v>76</v>
      </c>
      <c r="P1584" s="129" t="s">
        <v>39</v>
      </c>
      <c r="Q1584" s="111">
        <f t="shared" si="1178"/>
        <v>9</v>
      </c>
      <c r="R1584" s="111">
        <f t="shared" si="1175"/>
        <v>114</v>
      </c>
      <c r="S1584" s="129">
        <v>2</v>
      </c>
      <c r="T1584" s="129">
        <v>1</v>
      </c>
      <c r="U1584" s="129">
        <v>2</v>
      </c>
      <c r="W1584" s="111"/>
      <c r="AC1584" s="130"/>
      <c r="AD1584" s="130">
        <v>32065</v>
      </c>
      <c r="AE1584" s="128" t="s">
        <v>32</v>
      </c>
      <c r="AF1584" s="128" t="s">
        <v>33</v>
      </c>
      <c r="AG1584" s="128" t="s">
        <v>872</v>
      </c>
      <c r="AH1584" s="108" t="s">
        <v>58</v>
      </c>
      <c r="AI1584" s="128" t="s">
        <v>70</v>
      </c>
      <c r="AJ1584" s="129" t="s">
        <v>89</v>
      </c>
      <c r="AK1584" s="129">
        <v>6</v>
      </c>
      <c r="AL1584" s="3" t="s">
        <v>362</v>
      </c>
      <c r="AM1584" s="117">
        <v>8</v>
      </c>
      <c r="AP1584" s="129" t="s">
        <v>186</v>
      </c>
      <c r="AR1584" s="128" t="s">
        <v>50</v>
      </c>
      <c r="AS1584" s="129" t="s">
        <v>106</v>
      </c>
      <c r="BC1584" s="129" t="s">
        <v>38</v>
      </c>
      <c r="BF1584" s="111">
        <f t="shared" si="1187"/>
        <v>9</v>
      </c>
      <c r="BG1584" s="111">
        <f t="shared" si="1188"/>
        <v>112</v>
      </c>
      <c r="BH1584" s="111">
        <f t="shared" si="1150"/>
        <v>114</v>
      </c>
      <c r="BI1584" s="111">
        <f t="shared" si="1151"/>
        <v>24.420765027322403</v>
      </c>
      <c r="BJ1584" s="129">
        <f>(G1584-J1584)+(M1584-G1584)</f>
        <v>0</v>
      </c>
      <c r="BK1584" s="129">
        <f t="shared" si="1152"/>
        <v>-103</v>
      </c>
      <c r="BL1584" s="129" t="str">
        <f t="shared" si="1177"/>
        <v>CONVICTION</v>
      </c>
      <c r="BM1584" s="129" t="s">
        <v>76</v>
      </c>
      <c r="BN1584" s="129" t="s">
        <v>88</v>
      </c>
      <c r="BP1584" s="137" t="str">
        <f t="shared" si="1158"/>
        <v>CONVICTION</v>
      </c>
      <c r="BQ1584" s="128" t="str">
        <f t="shared" si="1159"/>
        <v>Y</v>
      </c>
      <c r="BR1584" s="129" t="str">
        <f>IF(J1584&lt;G1584,"ON BOND",0)</f>
        <v>ON BOND</v>
      </c>
      <c r="BS1584" s="129" t="str">
        <f t="shared" si="1161"/>
        <v>DISPOSED</v>
      </c>
      <c r="BT1584" s="129" t="str">
        <f t="shared" si="1162"/>
        <v>Y</v>
      </c>
      <c r="BU1584" s="109">
        <f t="shared" si="1163"/>
        <v>7.8947368421052627E-2</v>
      </c>
      <c r="BV1584" s="109">
        <f t="shared" si="1164"/>
        <v>8.0357142857142863E-2</v>
      </c>
      <c r="BW1584" s="109">
        <f t="shared" si="1181"/>
        <v>1.4097744360902359E-3</v>
      </c>
      <c r="BX1584" s="111">
        <f t="shared" si="1165"/>
        <v>0</v>
      </c>
      <c r="BY1584" s="129">
        <f t="shared" si="1166"/>
        <v>-9</v>
      </c>
      <c r="BZ1584" s="111">
        <f t="shared" si="1167"/>
        <v>0</v>
      </c>
      <c r="CA1584" s="138">
        <f t="shared" si="1168"/>
        <v>9</v>
      </c>
      <c r="CB1584" s="111" t="e">
        <f t="shared" si="1189"/>
        <v>#VALUE!</v>
      </c>
      <c r="CC1584" s="129">
        <f>M1584-I1584+1</f>
        <v>9</v>
      </c>
      <c r="CD1584" s="111">
        <f>CC1584-BF1584</f>
        <v>0</v>
      </c>
      <c r="CG1584" s="129" t="str">
        <f t="shared" si="1169"/>
        <v>Y</v>
      </c>
      <c r="CI1584" s="129" t="str">
        <f t="shared" si="1170"/>
        <v>0-10 DAYS</v>
      </c>
      <c r="CJ1584" s="137">
        <f t="shared" si="1171"/>
        <v>1</v>
      </c>
      <c r="CK1584" s="129" t="str">
        <f t="shared" si="1172"/>
        <v>Booked</v>
      </c>
    </row>
    <row r="1585" spans="1:89" ht="15.75" customHeight="1" x14ac:dyDescent="0.25">
      <c r="A1585" s="111">
        <v>2176</v>
      </c>
      <c r="B1585" s="128" t="s">
        <v>566</v>
      </c>
      <c r="C1585" s="128" t="str">
        <f t="shared" si="1154"/>
        <v>Y</v>
      </c>
      <c r="D1585" s="117">
        <v>2139210</v>
      </c>
      <c r="E1585" s="135">
        <f t="shared" si="1155"/>
        <v>1</v>
      </c>
      <c r="F1585" s="124">
        <v>40990</v>
      </c>
      <c r="G1585" s="125">
        <v>41722</v>
      </c>
      <c r="H1585" s="117">
        <v>2139210</v>
      </c>
      <c r="I1585" s="124">
        <v>40995</v>
      </c>
      <c r="J1585" s="124">
        <v>41007</v>
      </c>
      <c r="K1585" s="126">
        <v>30000</v>
      </c>
      <c r="L1585" s="129" t="s">
        <v>572</v>
      </c>
      <c r="M1585" s="124">
        <v>41007</v>
      </c>
      <c r="N1585" s="129" t="str">
        <f t="shared" si="1190"/>
        <v>Y</v>
      </c>
      <c r="O1585" s="128" t="s">
        <v>76</v>
      </c>
      <c r="P1585" s="129" t="s">
        <v>55</v>
      </c>
      <c r="Q1585" s="111">
        <v>348</v>
      </c>
      <c r="R1585" s="111">
        <f t="shared" si="1175"/>
        <v>733</v>
      </c>
      <c r="S1585" s="129">
        <v>3</v>
      </c>
      <c r="T1585" s="129">
        <v>3</v>
      </c>
      <c r="U1585" s="129">
        <v>2</v>
      </c>
      <c r="W1585" s="111"/>
      <c r="AC1585" s="130"/>
      <c r="AD1585" s="130">
        <v>31491</v>
      </c>
      <c r="AE1585" s="128" t="s">
        <v>32</v>
      </c>
      <c r="AF1585" s="128" t="s">
        <v>33</v>
      </c>
      <c r="AG1585" s="128" t="s">
        <v>872</v>
      </c>
      <c r="AH1585" s="108" t="s">
        <v>58</v>
      </c>
      <c r="AI1585" s="128" t="s">
        <v>100</v>
      </c>
      <c r="AJ1585" s="129" t="s">
        <v>55</v>
      </c>
      <c r="AK1585" s="129">
        <v>21</v>
      </c>
      <c r="AL1585" s="3" t="s">
        <v>55</v>
      </c>
      <c r="AP1585" s="129" t="s">
        <v>150</v>
      </c>
      <c r="AR1585" s="128" t="s">
        <v>67</v>
      </c>
      <c r="AS1585" s="129" t="s">
        <v>74</v>
      </c>
      <c r="AT1585" s="129" t="s">
        <v>1217</v>
      </c>
      <c r="AV1585" s="3" t="s">
        <v>88</v>
      </c>
      <c r="AW1585" s="125">
        <v>41047</v>
      </c>
      <c r="AZ1585" s="140">
        <v>41469</v>
      </c>
      <c r="BA1585" s="125">
        <v>41080</v>
      </c>
      <c r="BB1585" s="129">
        <v>235</v>
      </c>
      <c r="BC1585" s="129" t="s">
        <v>38</v>
      </c>
      <c r="BD1585" s="129" t="s">
        <v>1273</v>
      </c>
      <c r="BF1585" s="111">
        <v>348</v>
      </c>
      <c r="BG1585" s="111">
        <f t="shared" si="1188"/>
        <v>728</v>
      </c>
      <c r="BH1585" s="111">
        <f t="shared" si="1150"/>
        <v>733</v>
      </c>
      <c r="BI1585" s="111">
        <f t="shared" si="1151"/>
        <v>25.953551912568305</v>
      </c>
      <c r="BJ1585" s="129">
        <f>(G1585-J1585)+(M1585-G1585)</f>
        <v>0</v>
      </c>
      <c r="BK1585" s="129">
        <f t="shared" si="1152"/>
        <v>-715</v>
      </c>
      <c r="BL1585" s="129" t="str">
        <f t="shared" si="1177"/>
        <v>NO CONVICTION</v>
      </c>
      <c r="BM1585" s="129" t="s">
        <v>76</v>
      </c>
      <c r="BN1585" s="129" t="s">
        <v>566</v>
      </c>
      <c r="BP1585" s="137" t="str">
        <f t="shared" si="1158"/>
        <v>NO CONVICTION</v>
      </c>
      <c r="BQ1585" s="128" t="str">
        <f t="shared" si="1159"/>
        <v>Y</v>
      </c>
      <c r="BR1585" s="129" t="s">
        <v>574</v>
      </c>
      <c r="BS1585" s="129" t="s">
        <v>1259</v>
      </c>
      <c r="BT1585" s="129" t="str">
        <f t="shared" si="1162"/>
        <v>Y</v>
      </c>
      <c r="BU1585" s="109">
        <f>IFERROR(Q1585/R1585,BR1585)</f>
        <v>0.47476125511596179</v>
      </c>
      <c r="BV1585" s="139">
        <v>0.4748</v>
      </c>
      <c r="BW1585" s="109">
        <v>0</v>
      </c>
      <c r="BX1585" s="111">
        <f t="shared" si="1165"/>
        <v>0</v>
      </c>
      <c r="BY1585" s="129">
        <f t="shared" si="1166"/>
        <v>-13</v>
      </c>
      <c r="BZ1585" s="111">
        <f t="shared" si="1167"/>
        <v>335</v>
      </c>
      <c r="CA1585" s="138">
        <f t="shared" si="1168"/>
        <v>728</v>
      </c>
      <c r="CB1585" s="111" t="e">
        <f t="shared" si="1189"/>
        <v>#VALUE!</v>
      </c>
      <c r="CC1585" s="129">
        <v>348</v>
      </c>
      <c r="CG1585" s="129" t="str">
        <f t="shared" si="1169"/>
        <v>Y</v>
      </c>
      <c r="CH1585" s="129" t="e">
        <v>#N/A</v>
      </c>
      <c r="CI1585" s="129" t="str">
        <f t="shared" si="1170"/>
        <v>121-365 DAYS</v>
      </c>
      <c r="CJ1585" s="137">
        <f t="shared" si="1171"/>
        <v>6</v>
      </c>
      <c r="CK1585" s="129" t="str">
        <f t="shared" si="1172"/>
        <v>Booked</v>
      </c>
    </row>
    <row r="1586" spans="1:89" ht="15.75" customHeight="1" x14ac:dyDescent="0.25">
      <c r="A1586" s="111">
        <v>2209</v>
      </c>
      <c r="B1586" s="128" t="str">
        <f t="shared" si="1153"/>
        <v>N</v>
      </c>
      <c r="C1586" s="128" t="str">
        <f t="shared" si="1154"/>
        <v>N</v>
      </c>
      <c r="D1586" s="117">
        <v>2140161</v>
      </c>
      <c r="E1586" s="135">
        <f t="shared" si="1155"/>
        <v>5</v>
      </c>
      <c r="F1586" s="124">
        <v>40992</v>
      </c>
      <c r="G1586" s="125">
        <v>41011</v>
      </c>
      <c r="H1586" s="117">
        <v>2140161</v>
      </c>
      <c r="I1586" s="124">
        <v>40992</v>
      </c>
      <c r="J1586" s="124">
        <v>41011</v>
      </c>
      <c r="K1586" s="126">
        <v>2000</v>
      </c>
      <c r="L1586" s="127" t="s">
        <v>568</v>
      </c>
      <c r="N1586" s="129" t="str">
        <f t="shared" si="1190"/>
        <v>N</v>
      </c>
      <c r="O1586" s="128" t="s">
        <v>917</v>
      </c>
      <c r="P1586" s="129" t="s">
        <v>39</v>
      </c>
      <c r="Q1586" s="111">
        <f t="shared" si="1178"/>
        <v>20</v>
      </c>
      <c r="R1586" s="111">
        <f t="shared" si="1175"/>
        <v>20</v>
      </c>
      <c r="S1586" s="129">
        <v>2</v>
      </c>
      <c r="T1586" s="129">
        <v>2</v>
      </c>
      <c r="U1586" s="129">
        <v>2</v>
      </c>
      <c r="W1586" s="111"/>
      <c r="AC1586" s="130"/>
      <c r="AD1586" s="130">
        <v>25890</v>
      </c>
      <c r="AE1586" s="128" t="s">
        <v>32</v>
      </c>
      <c r="AF1586" s="128" t="s">
        <v>69</v>
      </c>
      <c r="AG1586" s="128" t="s">
        <v>874</v>
      </c>
      <c r="AH1586" s="108" t="s">
        <v>58</v>
      </c>
      <c r="AI1586" s="128" t="s">
        <v>95</v>
      </c>
      <c r="AJ1586" s="129" t="s">
        <v>89</v>
      </c>
      <c r="AK1586" s="129">
        <v>2</v>
      </c>
      <c r="AL1586" s="3" t="s">
        <v>992</v>
      </c>
      <c r="AN1586" s="117">
        <v>6</v>
      </c>
      <c r="AP1586" s="129" t="s">
        <v>60</v>
      </c>
      <c r="AR1586" s="128" t="s">
        <v>44</v>
      </c>
      <c r="AS1586" s="129" t="s">
        <v>61</v>
      </c>
      <c r="BC1586" s="129" t="s">
        <v>99</v>
      </c>
      <c r="BF1586" s="111">
        <f t="shared" si="1187"/>
        <v>20</v>
      </c>
      <c r="BG1586" s="111">
        <f t="shared" si="1188"/>
        <v>20</v>
      </c>
      <c r="BH1586" s="111">
        <f t="shared" si="1150"/>
        <v>20</v>
      </c>
      <c r="BI1586" s="111">
        <f t="shared" si="1151"/>
        <v>41.26229508196721</v>
      </c>
      <c r="BJ1586" s="129">
        <f t="shared" si="1156"/>
        <v>0</v>
      </c>
      <c r="BK1586" s="129">
        <f t="shared" si="1152"/>
        <v>0</v>
      </c>
      <c r="BL1586" s="129" t="str">
        <f t="shared" si="1177"/>
        <v>CONVICTION</v>
      </c>
      <c r="BM1586" s="129" t="str">
        <f t="shared" si="1157"/>
        <v>NONE</v>
      </c>
      <c r="BN1586" s="129" t="s">
        <v>566</v>
      </c>
      <c r="BP1586" s="137" t="str">
        <f t="shared" si="1158"/>
        <v>CONVICTION</v>
      </c>
      <c r="BQ1586" s="128" t="str">
        <f t="shared" si="1159"/>
        <v>Y</v>
      </c>
      <c r="BR1586" s="129" t="str">
        <f t="shared" si="1160"/>
        <v>DETAINED</v>
      </c>
      <c r="BS1586" s="129" t="str">
        <f t="shared" si="1161"/>
        <v>DISPOSED</v>
      </c>
      <c r="BT1586" s="129" t="str">
        <f t="shared" si="1162"/>
        <v>Y</v>
      </c>
      <c r="BU1586" s="109">
        <f t="shared" si="1163"/>
        <v>1</v>
      </c>
      <c r="BV1586" s="109">
        <f t="shared" si="1164"/>
        <v>1</v>
      </c>
      <c r="BW1586" s="109">
        <f t="shared" ref="BW1586:BW1603" si="1191">BV1586-BU1586</f>
        <v>0</v>
      </c>
      <c r="BX1586" s="111">
        <f t="shared" si="1165"/>
        <v>0</v>
      </c>
      <c r="BY1586" s="129">
        <f t="shared" si="1166"/>
        <v>-20</v>
      </c>
      <c r="BZ1586" s="111">
        <f t="shared" si="1167"/>
        <v>0</v>
      </c>
      <c r="CA1586" s="138">
        <f t="shared" si="1168"/>
        <v>20</v>
      </c>
      <c r="CB1586" s="111" t="e">
        <f t="shared" si="1189"/>
        <v>#VALUE!</v>
      </c>
      <c r="CC1586" s="129">
        <f>G1586-I1586+1</f>
        <v>20</v>
      </c>
      <c r="CD1586" s="129">
        <f>G1586-J1586</f>
        <v>0</v>
      </c>
      <c r="CG1586" s="129" t="str">
        <f t="shared" si="1169"/>
        <v>Y</v>
      </c>
      <c r="CI1586" s="129" t="str">
        <f t="shared" si="1170"/>
        <v>11-30 DAYS</v>
      </c>
      <c r="CJ1586" s="137">
        <f t="shared" si="1171"/>
        <v>2</v>
      </c>
      <c r="CK1586" s="129" t="str">
        <f t="shared" si="1172"/>
        <v>Booked</v>
      </c>
    </row>
    <row r="1587" spans="1:89" ht="15" customHeight="1" x14ac:dyDescent="0.25">
      <c r="A1587" s="111">
        <v>2106</v>
      </c>
      <c r="B1587" s="128" t="str">
        <f t="shared" si="1153"/>
        <v>N</v>
      </c>
      <c r="C1587" s="128" t="str">
        <f t="shared" si="1154"/>
        <v>N</v>
      </c>
      <c r="D1587" s="117">
        <v>2140242</v>
      </c>
      <c r="E1587" s="135">
        <f t="shared" si="1155"/>
        <v>2</v>
      </c>
      <c r="F1587" s="124">
        <v>40988</v>
      </c>
      <c r="G1587" s="125">
        <v>41136</v>
      </c>
      <c r="H1587" s="117">
        <v>2140242</v>
      </c>
      <c r="I1587" s="124">
        <v>40990</v>
      </c>
      <c r="J1587" s="124">
        <v>40990</v>
      </c>
      <c r="K1587" s="126">
        <v>2000</v>
      </c>
      <c r="L1587" s="127" t="s">
        <v>568</v>
      </c>
      <c r="M1587" s="124">
        <v>40990</v>
      </c>
      <c r="N1587" s="129" t="str">
        <f t="shared" si="1190"/>
        <v>Y</v>
      </c>
      <c r="O1587" s="128" t="s">
        <v>585</v>
      </c>
      <c r="P1587" s="129" t="s">
        <v>589</v>
      </c>
      <c r="Q1587" s="111">
        <f t="shared" si="1178"/>
        <v>1</v>
      </c>
      <c r="R1587" s="111">
        <f t="shared" si="1175"/>
        <v>149</v>
      </c>
      <c r="S1587" s="129">
        <v>0</v>
      </c>
      <c r="T1587" s="129">
        <v>0</v>
      </c>
      <c r="W1587" s="111"/>
      <c r="AC1587" s="130"/>
      <c r="AD1587" s="130">
        <v>30716</v>
      </c>
      <c r="AE1587" s="128" t="s">
        <v>46</v>
      </c>
      <c r="AF1587" s="128" t="s">
        <v>69</v>
      </c>
      <c r="AG1587" s="128" t="s">
        <v>874</v>
      </c>
      <c r="AH1587" s="108" t="s">
        <v>31</v>
      </c>
      <c r="AI1587" s="128" t="s">
        <v>90</v>
      </c>
      <c r="AJ1587" s="129" t="s">
        <v>48</v>
      </c>
      <c r="AK1587" s="129">
        <v>8</v>
      </c>
      <c r="AL1587" s="3" t="s">
        <v>48</v>
      </c>
      <c r="AP1587" s="129" t="s">
        <v>104</v>
      </c>
      <c r="AR1587" s="128" t="s">
        <v>44</v>
      </c>
      <c r="AS1587" s="129" t="s">
        <v>64</v>
      </c>
      <c r="BC1587" s="129" t="s">
        <v>52</v>
      </c>
      <c r="BF1587" s="111">
        <f t="shared" si="1187"/>
        <v>1</v>
      </c>
      <c r="BG1587" s="111">
        <f t="shared" si="1188"/>
        <v>147</v>
      </c>
      <c r="BH1587" s="111">
        <f t="shared" si="1150"/>
        <v>149</v>
      </c>
      <c r="BI1587" s="111">
        <f t="shared" si="1151"/>
        <v>28.065573770491802</v>
      </c>
      <c r="BJ1587" s="129">
        <f>(G1587-J1587)+(M1587-G1587)</f>
        <v>0</v>
      </c>
      <c r="BK1587" s="129">
        <f t="shared" si="1152"/>
        <v>-146</v>
      </c>
      <c r="BL1587" s="129" t="str">
        <f t="shared" si="1177"/>
        <v>DEFERRED</v>
      </c>
      <c r="BM1587" s="129" t="s">
        <v>76</v>
      </c>
      <c r="BN1587" s="129" t="s">
        <v>88</v>
      </c>
      <c r="BP1587" s="137" t="str">
        <f t="shared" si="1158"/>
        <v>DEFERRED</v>
      </c>
      <c r="BQ1587" s="128" t="str">
        <f t="shared" si="1159"/>
        <v>Y</v>
      </c>
      <c r="BR1587" s="129" t="str">
        <f t="shared" si="1160"/>
        <v>ON BOND</v>
      </c>
      <c r="BS1587" s="129" t="str">
        <f t="shared" si="1161"/>
        <v>DISPOSED</v>
      </c>
      <c r="BT1587" s="129" t="str">
        <f t="shared" si="1162"/>
        <v>N</v>
      </c>
      <c r="BU1587" s="109">
        <f t="shared" si="1163"/>
        <v>6.7114093959731542E-3</v>
      </c>
      <c r="BV1587" s="109">
        <f t="shared" si="1164"/>
        <v>6.8027210884353739E-3</v>
      </c>
      <c r="BW1587" s="109">
        <f t="shared" si="1191"/>
        <v>9.1311692462219679E-5</v>
      </c>
      <c r="BX1587" s="111">
        <f t="shared" si="1165"/>
        <v>0</v>
      </c>
      <c r="BY1587" s="129">
        <f t="shared" si="1166"/>
        <v>-1</v>
      </c>
      <c r="BZ1587" s="111">
        <f t="shared" si="1167"/>
        <v>0</v>
      </c>
      <c r="CA1587" s="138">
        <f t="shared" si="1168"/>
        <v>1</v>
      </c>
      <c r="CB1587" s="111" t="e">
        <f t="shared" si="1189"/>
        <v>#VALUE!</v>
      </c>
      <c r="CC1587" s="129">
        <f>M1587-I1587+1</f>
        <v>1</v>
      </c>
      <c r="CD1587" s="111">
        <f>CC1587-BF1587</f>
        <v>0</v>
      </c>
      <c r="CG1587" s="129" t="str">
        <f t="shared" si="1169"/>
        <v>N</v>
      </c>
      <c r="CI1587" s="129" t="str">
        <f t="shared" si="1170"/>
        <v>0-10 DAYS</v>
      </c>
      <c r="CJ1587" s="137">
        <f t="shared" si="1171"/>
        <v>1</v>
      </c>
      <c r="CK1587" s="129" t="str">
        <f t="shared" si="1172"/>
        <v>Booked</v>
      </c>
    </row>
    <row r="1588" spans="1:89" ht="15.75" customHeight="1" x14ac:dyDescent="0.25">
      <c r="A1588" s="111">
        <v>791</v>
      </c>
      <c r="B1588" s="128" t="str">
        <f t="shared" si="1153"/>
        <v>N</v>
      </c>
      <c r="C1588" s="128" t="str">
        <f t="shared" si="1154"/>
        <v>N</v>
      </c>
      <c r="D1588" s="117">
        <v>2141037</v>
      </c>
      <c r="E1588" s="135">
        <f t="shared" si="1155"/>
        <v>1</v>
      </c>
      <c r="F1588" s="124">
        <v>40939</v>
      </c>
      <c r="G1588" s="125">
        <v>41050</v>
      </c>
      <c r="H1588" s="117">
        <v>2141037</v>
      </c>
      <c r="I1588" s="124">
        <v>40949</v>
      </c>
      <c r="J1588" s="124">
        <v>40978</v>
      </c>
      <c r="K1588" s="126">
        <v>50000</v>
      </c>
      <c r="L1588" s="129" t="s">
        <v>572</v>
      </c>
      <c r="M1588" s="125">
        <v>40978</v>
      </c>
      <c r="N1588" s="129" t="str">
        <f t="shared" si="1190"/>
        <v>Y</v>
      </c>
      <c r="O1588" s="128" t="s">
        <v>76</v>
      </c>
      <c r="P1588" s="129" t="s">
        <v>123</v>
      </c>
      <c r="Q1588" s="111">
        <f t="shared" si="1178"/>
        <v>30</v>
      </c>
      <c r="R1588" s="111">
        <f t="shared" si="1175"/>
        <v>112</v>
      </c>
      <c r="S1588" s="129">
        <v>0</v>
      </c>
      <c r="T1588" s="129">
        <v>3</v>
      </c>
      <c r="W1588" s="111"/>
      <c r="AB1588" s="131" t="s">
        <v>112</v>
      </c>
      <c r="AC1588" s="130"/>
      <c r="AD1588" s="130">
        <v>32106</v>
      </c>
      <c r="AE1588" s="128" t="s">
        <v>32</v>
      </c>
      <c r="AF1588" s="128" t="s">
        <v>40</v>
      </c>
      <c r="AG1588" s="128" t="s">
        <v>41</v>
      </c>
      <c r="AH1588" s="108" t="s">
        <v>31</v>
      </c>
      <c r="AI1588" s="128" t="s">
        <v>90</v>
      </c>
      <c r="AJ1588" s="129" t="s">
        <v>123</v>
      </c>
      <c r="AK1588" s="129">
        <v>6</v>
      </c>
      <c r="AL1588" s="3" t="s">
        <v>123</v>
      </c>
      <c r="AP1588" s="129" t="s">
        <v>73</v>
      </c>
      <c r="AR1588" s="128" t="s">
        <v>50</v>
      </c>
      <c r="AS1588" s="129" t="s">
        <v>74</v>
      </c>
      <c r="AT1588" s="129" t="s">
        <v>609</v>
      </c>
      <c r="BC1588" s="129" t="s">
        <v>52</v>
      </c>
      <c r="BF1588" s="111">
        <f t="shared" si="1187"/>
        <v>30</v>
      </c>
      <c r="BG1588" s="111">
        <f t="shared" si="1188"/>
        <v>102</v>
      </c>
      <c r="BH1588" s="111">
        <f t="shared" si="1150"/>
        <v>112</v>
      </c>
      <c r="BI1588" s="111">
        <f t="shared" si="1151"/>
        <v>24.133879781420767</v>
      </c>
      <c r="BJ1588" s="129">
        <f>(G1588-J1588)+(M1588-G1588)</f>
        <v>0</v>
      </c>
      <c r="BK1588" s="129">
        <f t="shared" si="1152"/>
        <v>-72</v>
      </c>
      <c r="BL1588" s="129" t="str">
        <f t="shared" si="1177"/>
        <v>NO CONVICTION</v>
      </c>
      <c r="BM1588" s="129" t="s">
        <v>76</v>
      </c>
      <c r="BN1588" s="129" t="s">
        <v>88</v>
      </c>
      <c r="BP1588" s="137" t="str">
        <f t="shared" si="1158"/>
        <v>NO CONVICTION</v>
      </c>
      <c r="BQ1588" s="128" t="str">
        <f t="shared" si="1159"/>
        <v>Y</v>
      </c>
      <c r="BR1588" s="129" t="str">
        <f t="shared" si="1160"/>
        <v>ON BOND</v>
      </c>
      <c r="BS1588" s="129" t="str">
        <f t="shared" si="1161"/>
        <v>DISPOSED</v>
      </c>
      <c r="BT1588" s="129" t="str">
        <f t="shared" si="1162"/>
        <v>N</v>
      </c>
      <c r="BU1588" s="109">
        <f>IFERROR(Q1588/R1588,BR1588)</f>
        <v>0.26785714285714285</v>
      </c>
      <c r="BV1588" s="109">
        <f t="shared" si="1164"/>
        <v>0.29411764705882354</v>
      </c>
      <c r="BW1588" s="109">
        <f t="shared" si="1191"/>
        <v>2.626050420168069E-2</v>
      </c>
      <c r="BX1588" s="111">
        <f t="shared" si="1165"/>
        <v>0</v>
      </c>
      <c r="BY1588" s="129">
        <f t="shared" si="1166"/>
        <v>-30</v>
      </c>
      <c r="BZ1588" s="111">
        <f t="shared" si="1167"/>
        <v>0</v>
      </c>
      <c r="CA1588" s="138">
        <f t="shared" si="1168"/>
        <v>30</v>
      </c>
      <c r="CB1588" s="111" t="e">
        <f t="shared" si="1189"/>
        <v>#VALUE!</v>
      </c>
      <c r="CC1588" s="129">
        <f>M1588-I1588+1</f>
        <v>30</v>
      </c>
      <c r="CD1588" s="111">
        <f>CC1588-BF1588</f>
        <v>0</v>
      </c>
      <c r="CG1588" s="129" t="str">
        <f t="shared" si="1169"/>
        <v>Y</v>
      </c>
      <c r="CI1588" s="129" t="str">
        <f t="shared" si="1170"/>
        <v>11-30 DAYS</v>
      </c>
      <c r="CJ1588" s="137">
        <f t="shared" si="1171"/>
        <v>2</v>
      </c>
      <c r="CK1588" s="129" t="str">
        <f t="shared" si="1172"/>
        <v>Booked</v>
      </c>
    </row>
    <row r="1589" spans="1:89" ht="15.75" customHeight="1" x14ac:dyDescent="0.25">
      <c r="A1589" s="111">
        <v>536</v>
      </c>
      <c r="B1589" s="128" t="str">
        <f t="shared" si="1153"/>
        <v>N</v>
      </c>
      <c r="C1589" s="128" t="str">
        <f t="shared" si="1154"/>
        <v>N</v>
      </c>
      <c r="D1589" s="117">
        <v>2141359</v>
      </c>
      <c r="E1589" s="135">
        <f t="shared" si="1155"/>
        <v>1</v>
      </c>
      <c r="F1589" s="124">
        <v>40930</v>
      </c>
      <c r="G1589" s="125">
        <v>41144</v>
      </c>
      <c r="H1589" s="117">
        <v>2141359</v>
      </c>
      <c r="I1589" s="124" t="s">
        <v>562</v>
      </c>
      <c r="J1589" s="124" t="s">
        <v>562</v>
      </c>
      <c r="K1589" s="126">
        <v>20000</v>
      </c>
      <c r="L1589" s="127" t="s">
        <v>571</v>
      </c>
      <c r="M1589" s="125">
        <v>40930</v>
      </c>
      <c r="N1589" s="129" t="str">
        <f>IF(M1589&gt;1/1/1,"Y",IF(Q1589="0","","N"))</f>
        <v>Y</v>
      </c>
      <c r="O1589" s="128" t="s">
        <v>76</v>
      </c>
      <c r="P1589" s="129" t="s">
        <v>55</v>
      </c>
      <c r="Q1589" s="111">
        <f t="shared" si="1178"/>
        <v>0</v>
      </c>
      <c r="R1589" s="111">
        <f t="shared" si="1175"/>
        <v>215</v>
      </c>
      <c r="S1589" s="129">
        <v>2</v>
      </c>
      <c r="T1589" s="129">
        <v>1</v>
      </c>
      <c r="U1589" s="129">
        <v>2</v>
      </c>
      <c r="W1589" s="111"/>
      <c r="AC1589" s="130"/>
      <c r="AD1589" s="130">
        <v>30495</v>
      </c>
      <c r="AE1589" s="128" t="s">
        <v>32</v>
      </c>
      <c r="AF1589" s="128" t="s">
        <v>69</v>
      </c>
      <c r="AG1589" s="128" t="s">
        <v>874</v>
      </c>
      <c r="AH1589" s="108" t="s">
        <v>31</v>
      </c>
      <c r="AI1589" s="128" t="s">
        <v>62</v>
      </c>
      <c r="AJ1589" s="129" t="s">
        <v>55</v>
      </c>
      <c r="AK1589" s="129">
        <v>7</v>
      </c>
      <c r="AL1589" s="3" t="s">
        <v>55</v>
      </c>
      <c r="AP1589" s="129" t="s">
        <v>132</v>
      </c>
      <c r="AR1589" s="128" t="s">
        <v>92</v>
      </c>
      <c r="AS1589" s="129" t="s">
        <v>82</v>
      </c>
      <c r="BC1589" s="129" t="s">
        <v>52</v>
      </c>
      <c r="BF1589" s="111">
        <v>0</v>
      </c>
      <c r="BG1589" s="111">
        <v>0</v>
      </c>
      <c r="BH1589" s="111">
        <f t="shared" si="1150"/>
        <v>215</v>
      </c>
      <c r="BI1589" s="111">
        <f t="shared" si="1151"/>
        <v>28.510928961748633</v>
      </c>
      <c r="BJ1589" s="129" t="e">
        <f>(G1589-J1589)+(M1589-G1589)</f>
        <v>#VALUE!</v>
      </c>
      <c r="BK1589" s="129" t="e">
        <f t="shared" si="1152"/>
        <v>#VALUE!</v>
      </c>
      <c r="BL1589" s="129" t="str">
        <f t="shared" si="1177"/>
        <v>NO CONVICTION</v>
      </c>
      <c r="BM1589" s="129" t="s">
        <v>76</v>
      </c>
      <c r="BN1589" s="129" t="s">
        <v>88</v>
      </c>
      <c r="BP1589" s="137" t="str">
        <f t="shared" si="1158"/>
        <v>NO CONVICTION</v>
      </c>
      <c r="BQ1589" s="128">
        <f t="shared" si="1159"/>
        <v>0</v>
      </c>
      <c r="BR1589" s="129" t="s">
        <v>575</v>
      </c>
      <c r="BS1589" s="129" t="str">
        <f t="shared" si="1161"/>
        <v>DISPOSED</v>
      </c>
      <c r="BT1589" s="129" t="str">
        <f t="shared" si="1162"/>
        <v>Y</v>
      </c>
      <c r="BU1589" s="109">
        <f>IFERROR(Q1589/R1589,BR1589)</f>
        <v>0</v>
      </c>
      <c r="BV1589" s="109">
        <v>0</v>
      </c>
      <c r="BW1589" s="109">
        <f t="shared" si="1191"/>
        <v>0</v>
      </c>
      <c r="BX1589" s="111">
        <f t="shared" si="1165"/>
        <v>0</v>
      </c>
      <c r="BY1589" s="129" t="e">
        <f t="shared" si="1166"/>
        <v>#VALUE!</v>
      </c>
      <c r="BZ1589" s="111" t="e">
        <f t="shared" si="1167"/>
        <v>#VALUE!</v>
      </c>
      <c r="CA1589" s="138" t="e">
        <f t="shared" si="1168"/>
        <v>#VALUE!</v>
      </c>
      <c r="CB1589" s="111">
        <v>0</v>
      </c>
      <c r="CC1589" s="129">
        <v>0</v>
      </c>
      <c r="CD1589" s="111">
        <f>CC1589-BF1589</f>
        <v>0</v>
      </c>
      <c r="CG1589" s="129" t="str">
        <f t="shared" si="1169"/>
        <v>Y</v>
      </c>
      <c r="CI1589" s="129" t="str">
        <f t="shared" si="1170"/>
        <v>0-10 DAYS</v>
      </c>
      <c r="CJ1589" s="137">
        <f t="shared" si="1171"/>
        <v>1</v>
      </c>
      <c r="CK1589" s="129" t="str">
        <f t="shared" si="1172"/>
        <v>Not Booked</v>
      </c>
    </row>
    <row r="1590" spans="1:89" ht="15.75" customHeight="1" x14ac:dyDescent="0.25">
      <c r="A1590" s="111">
        <v>2309</v>
      </c>
      <c r="B1590" s="128" t="str">
        <f t="shared" si="1153"/>
        <v>N</v>
      </c>
      <c r="C1590" s="128" t="str">
        <f t="shared" si="1154"/>
        <v>N</v>
      </c>
      <c r="D1590" s="117">
        <v>2141901</v>
      </c>
      <c r="E1590" s="135">
        <f t="shared" si="1155"/>
        <v>1</v>
      </c>
      <c r="F1590" s="124">
        <v>40996</v>
      </c>
      <c r="G1590" s="125">
        <v>41148</v>
      </c>
      <c r="H1590" s="117">
        <v>2141901</v>
      </c>
      <c r="I1590" s="124">
        <v>40996</v>
      </c>
      <c r="J1590" s="124">
        <v>41004</v>
      </c>
      <c r="K1590" s="126">
        <v>20000</v>
      </c>
      <c r="L1590" s="127" t="s">
        <v>571</v>
      </c>
      <c r="M1590" s="125">
        <v>41004</v>
      </c>
      <c r="N1590" s="129" t="str">
        <f>IF(M1590&gt;1/1/1,"Y","N")</f>
        <v>Y</v>
      </c>
      <c r="O1590" s="128" t="s">
        <v>54</v>
      </c>
      <c r="P1590" s="129" t="s">
        <v>55</v>
      </c>
      <c r="Q1590" s="111">
        <f t="shared" si="1178"/>
        <v>9</v>
      </c>
      <c r="R1590" s="111">
        <f t="shared" si="1175"/>
        <v>153</v>
      </c>
      <c r="S1590" s="129">
        <v>1</v>
      </c>
      <c r="T1590" s="129">
        <v>5</v>
      </c>
      <c r="U1590" s="129">
        <v>1</v>
      </c>
      <c r="W1590" s="111"/>
      <c r="AC1590" s="130"/>
      <c r="AD1590" s="130">
        <v>30592</v>
      </c>
      <c r="AE1590" s="128" t="s">
        <v>32</v>
      </c>
      <c r="AF1590" s="128" t="s">
        <v>69</v>
      </c>
      <c r="AG1590" s="128" t="s">
        <v>874</v>
      </c>
      <c r="AH1590" s="108" t="s">
        <v>31</v>
      </c>
      <c r="AI1590" s="128" t="s">
        <v>65</v>
      </c>
      <c r="AJ1590" s="129" t="s">
        <v>55</v>
      </c>
      <c r="AK1590" s="129">
        <v>9</v>
      </c>
      <c r="AL1590" s="3" t="s">
        <v>55</v>
      </c>
      <c r="AP1590" s="129" t="s">
        <v>131</v>
      </c>
      <c r="AR1590" s="128" t="s">
        <v>50</v>
      </c>
      <c r="AS1590" s="129" t="s">
        <v>106</v>
      </c>
      <c r="AT1590" s="129" t="s">
        <v>428</v>
      </c>
      <c r="BC1590" s="129" t="s">
        <v>38</v>
      </c>
      <c r="BF1590" s="111">
        <f>IF(J1590&gt;1/1/1900,((J1590+1)-I1590),"STILL OPEN")</f>
        <v>9</v>
      </c>
      <c r="BG1590" s="111">
        <f>IF(G1590&gt;1/1/1900,((G1590+1)-I1590),"STILL OPEN")</f>
        <v>153</v>
      </c>
      <c r="BH1590" s="111">
        <f t="shared" si="1150"/>
        <v>153</v>
      </c>
      <c r="BI1590" s="111">
        <f t="shared" si="1151"/>
        <v>28.42622950819672</v>
      </c>
      <c r="BJ1590" s="129">
        <f>(G1590-J1590)+(M1590-G1590)</f>
        <v>0</v>
      </c>
      <c r="BK1590" s="129">
        <f t="shared" si="1152"/>
        <v>-144</v>
      </c>
      <c r="BL1590" s="129" t="str">
        <f t="shared" si="1177"/>
        <v>NO CONVICTION</v>
      </c>
      <c r="BM1590" s="129" t="s">
        <v>160</v>
      </c>
      <c r="BN1590" s="129" t="s">
        <v>88</v>
      </c>
      <c r="BP1590" s="137" t="str">
        <f t="shared" si="1158"/>
        <v>NO CONVICTION</v>
      </c>
      <c r="BQ1590" s="128" t="str">
        <f t="shared" si="1159"/>
        <v>Y</v>
      </c>
      <c r="BR1590" s="129" t="str">
        <f t="shared" si="1160"/>
        <v>ON BOND</v>
      </c>
      <c r="BS1590" s="129" t="str">
        <f t="shared" si="1161"/>
        <v>DISPOSED</v>
      </c>
      <c r="BT1590" s="129" t="str">
        <f t="shared" si="1162"/>
        <v>Y</v>
      </c>
      <c r="BU1590" s="109">
        <f>IFERROR(Q1590/R1590,BR1590)</f>
        <v>5.8823529411764705E-2</v>
      </c>
      <c r="BV1590" s="109">
        <f t="shared" si="1164"/>
        <v>5.8823529411764705E-2</v>
      </c>
      <c r="BW1590" s="109">
        <f t="shared" si="1191"/>
        <v>0</v>
      </c>
      <c r="BX1590" s="111">
        <f t="shared" si="1165"/>
        <v>0</v>
      </c>
      <c r="BY1590" s="129">
        <f t="shared" si="1166"/>
        <v>-9</v>
      </c>
      <c r="BZ1590" s="111">
        <f t="shared" si="1167"/>
        <v>0</v>
      </c>
      <c r="CA1590" s="138">
        <f t="shared" si="1168"/>
        <v>9</v>
      </c>
      <c r="CB1590" s="111" t="e">
        <f>IF(AF1590&gt;1/1/1900,((AF1590+1)-AE1590),"STILL OPEN")</f>
        <v>#VALUE!</v>
      </c>
      <c r="CC1590" s="129">
        <f>M1590-I1590+1</f>
        <v>9</v>
      </c>
      <c r="CD1590" s="111">
        <f>CC1590-BF1590</f>
        <v>0</v>
      </c>
      <c r="CG1590" s="129" t="str">
        <f t="shared" si="1169"/>
        <v>Y</v>
      </c>
      <c r="CI1590" s="129" t="str">
        <f t="shared" si="1170"/>
        <v>0-10 DAYS</v>
      </c>
      <c r="CJ1590" s="137">
        <f t="shared" si="1171"/>
        <v>1</v>
      </c>
      <c r="CK1590" s="129" t="str">
        <f t="shared" si="1172"/>
        <v>Booked</v>
      </c>
    </row>
    <row r="1591" spans="1:89" ht="15" customHeight="1" x14ac:dyDescent="0.25">
      <c r="A1591" s="111">
        <v>640</v>
      </c>
      <c r="B1591" s="128" t="str">
        <f t="shared" si="1153"/>
        <v>N</v>
      </c>
      <c r="C1591" s="128" t="str">
        <f t="shared" si="1154"/>
        <v>N</v>
      </c>
      <c r="D1591" s="117">
        <v>2144487</v>
      </c>
      <c r="E1591" s="135">
        <f t="shared" si="1155"/>
        <v>2</v>
      </c>
      <c r="F1591" s="124">
        <v>40934</v>
      </c>
      <c r="G1591" s="125">
        <v>41099</v>
      </c>
      <c r="H1591" s="117">
        <v>2144487</v>
      </c>
      <c r="I1591" s="124">
        <v>40934</v>
      </c>
      <c r="J1591" s="125">
        <v>41099</v>
      </c>
      <c r="K1591" s="126">
        <v>10000</v>
      </c>
      <c r="L1591" s="127" t="s">
        <v>570</v>
      </c>
      <c r="M1591" s="125"/>
      <c r="N1591" s="129" t="s">
        <v>566</v>
      </c>
      <c r="O1591" s="128" t="s">
        <v>917</v>
      </c>
      <c r="P1591" s="129" t="s">
        <v>589</v>
      </c>
      <c r="Q1591" s="111">
        <f t="shared" si="1178"/>
        <v>166</v>
      </c>
      <c r="R1591" s="111">
        <f t="shared" si="1175"/>
        <v>166</v>
      </c>
      <c r="S1591" s="129">
        <v>1</v>
      </c>
      <c r="T1591" s="129">
        <v>1</v>
      </c>
      <c r="W1591" s="111"/>
      <c r="AC1591" s="130"/>
      <c r="AD1591" s="130">
        <v>31813</v>
      </c>
      <c r="AE1591" s="128" t="s">
        <v>32</v>
      </c>
      <c r="AF1591" s="128" t="s">
        <v>40</v>
      </c>
      <c r="AG1591" s="128" t="s">
        <v>41</v>
      </c>
      <c r="AH1591" s="108" t="s">
        <v>41</v>
      </c>
      <c r="AI1591" s="128" t="s">
        <v>83</v>
      </c>
      <c r="AJ1591" s="129" t="s">
        <v>48</v>
      </c>
      <c r="AK1591" s="129">
        <v>6</v>
      </c>
      <c r="AL1591" s="3" t="s">
        <v>48</v>
      </c>
      <c r="AP1591" s="129" t="s">
        <v>150</v>
      </c>
      <c r="AR1591" s="128" t="s">
        <v>67</v>
      </c>
      <c r="AS1591" s="129" t="s">
        <v>74</v>
      </c>
      <c r="BC1591" s="129" t="s">
        <v>38</v>
      </c>
      <c r="BF1591" s="111">
        <f>IF(J1591&gt;1/1/1900,((J1591+1)-I1591),"STILL OPEN")</f>
        <v>166</v>
      </c>
      <c r="BG1591" s="111">
        <f>IF(G1591&gt;1/1/1900,((G1591+1)-I1591),"STILL OPEN")</f>
        <v>166</v>
      </c>
      <c r="BH1591" s="111">
        <f t="shared" si="1150"/>
        <v>166</v>
      </c>
      <c r="BI1591" s="111">
        <f t="shared" si="1151"/>
        <v>24.920765027322403</v>
      </c>
      <c r="BJ1591" s="129">
        <f t="shared" si="1156"/>
        <v>0</v>
      </c>
      <c r="BK1591" s="129">
        <f t="shared" si="1152"/>
        <v>0</v>
      </c>
      <c r="BL1591" s="129" t="str">
        <f t="shared" si="1177"/>
        <v>DEFERRED</v>
      </c>
      <c r="BM1591" s="129" t="str">
        <f t="shared" si="1157"/>
        <v>NONE</v>
      </c>
      <c r="BN1591" s="129" t="s">
        <v>566</v>
      </c>
      <c r="BP1591" s="137" t="str">
        <f t="shared" si="1158"/>
        <v>DEFERRED</v>
      </c>
      <c r="BQ1591" s="128" t="str">
        <f t="shared" si="1159"/>
        <v>Y</v>
      </c>
      <c r="BR1591" s="129" t="str">
        <f t="shared" si="1160"/>
        <v>DETAINED</v>
      </c>
      <c r="BS1591" s="129" t="str">
        <f t="shared" si="1161"/>
        <v>DISPOSED</v>
      </c>
      <c r="BT1591" s="129" t="str">
        <f t="shared" si="1162"/>
        <v>Y</v>
      </c>
      <c r="BU1591" s="109">
        <f t="shared" si="1163"/>
        <v>1</v>
      </c>
      <c r="BV1591" s="109">
        <f t="shared" si="1164"/>
        <v>1</v>
      </c>
      <c r="BW1591" s="109">
        <f t="shared" si="1191"/>
        <v>0</v>
      </c>
      <c r="BX1591" s="111">
        <f t="shared" si="1165"/>
        <v>0</v>
      </c>
      <c r="BY1591" s="129">
        <f t="shared" si="1166"/>
        <v>-166</v>
      </c>
      <c r="BZ1591" s="111">
        <f t="shared" si="1167"/>
        <v>0</v>
      </c>
      <c r="CA1591" s="138">
        <f t="shared" si="1168"/>
        <v>166</v>
      </c>
      <c r="CB1591" s="111" t="e">
        <f>IF(AF1591&gt;1/1/1900,((AF1591+1)-AE1591),"STILL OPEN")</f>
        <v>#VALUE!</v>
      </c>
      <c r="CC1591" s="129">
        <f>G1591-I1591+1</f>
        <v>166</v>
      </c>
      <c r="CD1591" s="129">
        <f>G1591-J1591</f>
        <v>0</v>
      </c>
      <c r="CG1591" s="129" t="str">
        <f t="shared" si="1169"/>
        <v>Y</v>
      </c>
      <c r="CI1591" s="129" t="str">
        <f t="shared" si="1170"/>
        <v>121-365 DAYS</v>
      </c>
      <c r="CJ1591" s="137">
        <f t="shared" si="1171"/>
        <v>6</v>
      </c>
      <c r="CK1591" s="129" t="str">
        <f t="shared" si="1172"/>
        <v>Booked</v>
      </c>
    </row>
    <row r="1592" spans="1:89" ht="15" customHeight="1" x14ac:dyDescent="0.25">
      <c r="A1592" s="111">
        <v>1947</v>
      </c>
      <c r="B1592" s="128" t="str">
        <f t="shared" si="1153"/>
        <v>N</v>
      </c>
      <c r="C1592" s="128" t="str">
        <f t="shared" si="1154"/>
        <v>N</v>
      </c>
      <c r="D1592" s="117">
        <v>2144688</v>
      </c>
      <c r="E1592" s="135">
        <f t="shared" si="1155"/>
        <v>2</v>
      </c>
      <c r="F1592" s="124">
        <v>40982</v>
      </c>
      <c r="G1592" s="125">
        <v>41150</v>
      </c>
      <c r="H1592" s="117">
        <v>2144688</v>
      </c>
      <c r="I1592" s="124" t="s">
        <v>562</v>
      </c>
      <c r="J1592" s="124" t="s">
        <v>562</v>
      </c>
      <c r="K1592" s="126">
        <v>20000</v>
      </c>
      <c r="L1592" s="127" t="s">
        <v>571</v>
      </c>
      <c r="M1592" s="125">
        <v>41053</v>
      </c>
      <c r="N1592" s="129" t="str">
        <f>IF(M1592&gt;1/1/1,"Y",IF(Q1592="0","","N"))</f>
        <v>Y</v>
      </c>
      <c r="O1592" s="128" t="s">
        <v>76</v>
      </c>
      <c r="P1592" s="129" t="s">
        <v>589</v>
      </c>
      <c r="Q1592" s="111">
        <f t="shared" ref="Q1592:Q1617" si="1192">BF1592</f>
        <v>0</v>
      </c>
      <c r="R1592" s="111">
        <f t="shared" si="1175"/>
        <v>169</v>
      </c>
      <c r="S1592" s="129">
        <v>0</v>
      </c>
      <c r="T1592" s="129">
        <v>1</v>
      </c>
      <c r="W1592" s="111"/>
      <c r="AC1592" s="130"/>
      <c r="AD1592" s="130">
        <v>32021</v>
      </c>
      <c r="AE1592" s="128" t="s">
        <v>46</v>
      </c>
      <c r="AF1592" s="128" t="s">
        <v>40</v>
      </c>
      <c r="AG1592" s="128" t="s">
        <v>41</v>
      </c>
      <c r="AH1592" s="108" t="s">
        <v>41</v>
      </c>
      <c r="AI1592" s="128" t="s">
        <v>100</v>
      </c>
      <c r="AJ1592" s="129" t="s">
        <v>48</v>
      </c>
      <c r="AK1592" s="129">
        <v>5</v>
      </c>
      <c r="AL1592" s="3" t="s">
        <v>48</v>
      </c>
      <c r="AP1592" s="129" t="s">
        <v>132</v>
      </c>
      <c r="AR1592" s="128" t="s">
        <v>92</v>
      </c>
      <c r="AS1592" s="129" t="s">
        <v>82</v>
      </c>
      <c r="BC1592" s="129" t="s">
        <v>52</v>
      </c>
      <c r="BF1592" s="111">
        <v>0</v>
      </c>
      <c r="BG1592" s="111">
        <v>0</v>
      </c>
      <c r="BH1592" s="111">
        <f t="shared" si="1150"/>
        <v>169</v>
      </c>
      <c r="BI1592" s="111">
        <f t="shared" si="1151"/>
        <v>24.483606557377048</v>
      </c>
      <c r="BJ1592" s="129" t="e">
        <f>(G1592-J1592)+(M1592-G1592)</f>
        <v>#VALUE!</v>
      </c>
      <c r="BK1592" s="129" t="e">
        <f t="shared" si="1152"/>
        <v>#VALUE!</v>
      </c>
      <c r="BL1592" s="129" t="str">
        <f t="shared" si="1177"/>
        <v>DEFERRED</v>
      </c>
      <c r="BM1592" s="129" t="s">
        <v>76</v>
      </c>
      <c r="BN1592" s="129" t="s">
        <v>88</v>
      </c>
      <c r="BP1592" s="137" t="str">
        <f t="shared" si="1158"/>
        <v>DEFERRED</v>
      </c>
      <c r="BQ1592" s="128">
        <f t="shared" si="1159"/>
        <v>0</v>
      </c>
      <c r="BR1592" s="129" t="s">
        <v>575</v>
      </c>
      <c r="BS1592" s="129" t="str">
        <f t="shared" si="1161"/>
        <v>DISPOSED</v>
      </c>
      <c r="BT1592" s="129" t="str">
        <f t="shared" si="1162"/>
        <v>N</v>
      </c>
      <c r="BU1592" s="109">
        <f t="shared" si="1163"/>
        <v>0</v>
      </c>
      <c r="BV1592" s="109">
        <v>0</v>
      </c>
      <c r="BW1592" s="109">
        <f t="shared" si="1191"/>
        <v>0</v>
      </c>
      <c r="BX1592" s="111">
        <f t="shared" si="1165"/>
        <v>0</v>
      </c>
      <c r="BY1592" s="129" t="e">
        <f t="shared" si="1166"/>
        <v>#VALUE!</v>
      </c>
      <c r="BZ1592" s="111" t="e">
        <f t="shared" si="1167"/>
        <v>#VALUE!</v>
      </c>
      <c r="CA1592" s="138" t="e">
        <f t="shared" si="1168"/>
        <v>#VALUE!</v>
      </c>
      <c r="CB1592" s="111">
        <v>0</v>
      </c>
      <c r="CC1592" s="129">
        <v>0</v>
      </c>
      <c r="CD1592" s="111">
        <f>CC1592-BF1592</f>
        <v>0</v>
      </c>
      <c r="CG1592" s="129" t="str">
        <f t="shared" si="1169"/>
        <v>Y</v>
      </c>
      <c r="CI1592" s="129" t="str">
        <f t="shared" si="1170"/>
        <v>0-10 DAYS</v>
      </c>
      <c r="CJ1592" s="137">
        <f t="shared" si="1171"/>
        <v>1</v>
      </c>
      <c r="CK1592" s="129" t="str">
        <f t="shared" si="1172"/>
        <v>Not Booked</v>
      </c>
    </row>
    <row r="1593" spans="1:89" ht="15.75" customHeight="1" x14ac:dyDescent="0.25">
      <c r="A1593" s="111">
        <v>3193</v>
      </c>
      <c r="B1593" s="128" t="str">
        <f t="shared" si="1153"/>
        <v>N</v>
      </c>
      <c r="C1593" s="128" t="str">
        <f t="shared" si="1154"/>
        <v>N</v>
      </c>
      <c r="D1593" s="117">
        <v>2144945</v>
      </c>
      <c r="E1593" s="135">
        <f t="shared" si="1155"/>
        <v>6</v>
      </c>
      <c r="F1593" s="124">
        <v>41026</v>
      </c>
      <c r="G1593" s="125">
        <v>41305</v>
      </c>
      <c r="H1593" s="117">
        <v>2144945</v>
      </c>
      <c r="I1593" s="124">
        <v>41031</v>
      </c>
      <c r="J1593" s="125">
        <v>41305</v>
      </c>
      <c r="K1593" s="126">
        <v>150000</v>
      </c>
      <c r="L1593" s="129" t="s">
        <v>572</v>
      </c>
      <c r="N1593" s="129" t="str">
        <f>IF(M1593&gt;1/1/1,"Y","N")</f>
        <v>N</v>
      </c>
      <c r="O1593" s="128" t="s">
        <v>917</v>
      </c>
      <c r="P1593" s="129" t="s">
        <v>39</v>
      </c>
      <c r="Q1593" s="111">
        <f t="shared" si="1192"/>
        <v>275</v>
      </c>
      <c r="R1593" s="111">
        <f t="shared" si="1175"/>
        <v>280</v>
      </c>
      <c r="S1593" s="129">
        <v>4</v>
      </c>
      <c r="T1593" s="129">
        <v>8</v>
      </c>
      <c r="U1593" s="129">
        <v>2</v>
      </c>
      <c r="W1593" s="111"/>
      <c r="AC1593" s="130"/>
      <c r="AD1593" s="130">
        <v>31599</v>
      </c>
      <c r="AE1593" s="128" t="s">
        <v>32</v>
      </c>
      <c r="AF1593" s="128" t="s">
        <v>33</v>
      </c>
      <c r="AG1593" s="128" t="s">
        <v>872</v>
      </c>
      <c r="AH1593" s="108" t="s">
        <v>31</v>
      </c>
      <c r="AI1593" s="128" t="s">
        <v>53</v>
      </c>
      <c r="AJ1593" s="129" t="s">
        <v>89</v>
      </c>
      <c r="AK1593" s="129">
        <v>13</v>
      </c>
      <c r="AL1593" s="3" t="s">
        <v>362</v>
      </c>
      <c r="AM1593" s="117">
        <v>18</v>
      </c>
      <c r="AP1593" s="129" t="s">
        <v>56</v>
      </c>
      <c r="AR1593" s="128" t="s">
        <v>50</v>
      </c>
      <c r="AS1593" s="129" t="s">
        <v>57</v>
      </c>
      <c r="BC1593" s="129" t="s">
        <v>38</v>
      </c>
      <c r="BF1593" s="111">
        <f>IF(J1593&gt;1/1/1900,((J1593+1)-I1593),"STILL OPEN")</f>
        <v>275</v>
      </c>
      <c r="BG1593" s="111">
        <f>IF(G1593&gt;1/1/1900,((G1593+1)-I1593),"STILL OPEN")</f>
        <v>275</v>
      </c>
      <c r="BH1593" s="111">
        <f t="shared" si="1150"/>
        <v>280</v>
      </c>
      <c r="BI1593" s="111">
        <f t="shared" si="1151"/>
        <v>25.756830601092897</v>
      </c>
      <c r="BJ1593" s="129">
        <f t="shared" si="1156"/>
        <v>0</v>
      </c>
      <c r="BK1593" s="129">
        <f t="shared" si="1152"/>
        <v>0</v>
      </c>
      <c r="BL1593" s="129" t="str">
        <f t="shared" si="1177"/>
        <v>CONVICTION</v>
      </c>
      <c r="BM1593" s="129" t="str">
        <f t="shared" si="1157"/>
        <v>NONE</v>
      </c>
      <c r="BN1593" s="129" t="s">
        <v>566</v>
      </c>
      <c r="BP1593" s="137" t="str">
        <f t="shared" si="1158"/>
        <v>CONVICTION</v>
      </c>
      <c r="BQ1593" s="128" t="str">
        <f t="shared" si="1159"/>
        <v>Y</v>
      </c>
      <c r="BR1593" s="129" t="str">
        <f t="shared" si="1160"/>
        <v>DETAINED</v>
      </c>
      <c r="BS1593" s="129" t="str">
        <f t="shared" si="1161"/>
        <v>DISPOSED</v>
      </c>
      <c r="BT1593" s="129" t="str">
        <f t="shared" si="1162"/>
        <v>Y</v>
      </c>
      <c r="BU1593" s="109">
        <f t="shared" si="1163"/>
        <v>0.9821428571428571</v>
      </c>
      <c r="BV1593" s="109">
        <f t="shared" si="1164"/>
        <v>1</v>
      </c>
      <c r="BW1593" s="109">
        <f t="shared" si="1191"/>
        <v>1.7857142857142905E-2</v>
      </c>
      <c r="BX1593" s="111">
        <f t="shared" si="1165"/>
        <v>0</v>
      </c>
      <c r="BY1593" s="129">
        <f t="shared" si="1166"/>
        <v>-275</v>
      </c>
      <c r="BZ1593" s="111">
        <f t="shared" si="1167"/>
        <v>0</v>
      </c>
      <c r="CA1593" s="138">
        <f t="shared" si="1168"/>
        <v>275</v>
      </c>
      <c r="CB1593" s="111" t="e">
        <f>IF(AF1593&gt;1/1/1900,((AF1593+1)-AE1593),"STILL OPEN")</f>
        <v>#VALUE!</v>
      </c>
      <c r="CC1593" s="129">
        <f>G1593-I1593+1</f>
        <v>275</v>
      </c>
      <c r="CD1593" s="129">
        <f>G1593-J1593</f>
        <v>0</v>
      </c>
      <c r="CG1593" s="129" t="str">
        <f t="shared" si="1169"/>
        <v>Y</v>
      </c>
      <c r="CI1593" s="129" t="str">
        <f t="shared" si="1170"/>
        <v>121-365 DAYS</v>
      </c>
      <c r="CJ1593" s="137">
        <f t="shared" si="1171"/>
        <v>6</v>
      </c>
      <c r="CK1593" s="129" t="str">
        <f t="shared" si="1172"/>
        <v>Booked</v>
      </c>
    </row>
    <row r="1594" spans="1:89" ht="15.75" customHeight="1" x14ac:dyDescent="0.25">
      <c r="A1594" s="111">
        <v>20</v>
      </c>
      <c r="B1594" s="128" t="str">
        <f t="shared" si="1153"/>
        <v>N</v>
      </c>
      <c r="C1594" s="128" t="str">
        <f t="shared" si="1154"/>
        <v>N</v>
      </c>
      <c r="D1594" s="117">
        <v>2145795</v>
      </c>
      <c r="E1594" s="135">
        <f t="shared" si="1155"/>
        <v>2</v>
      </c>
      <c r="F1594" s="124">
        <v>40910</v>
      </c>
      <c r="G1594" s="125">
        <v>40955</v>
      </c>
      <c r="H1594" s="117">
        <v>2145795</v>
      </c>
      <c r="I1594" s="124">
        <v>40910</v>
      </c>
      <c r="J1594" s="124">
        <v>40955</v>
      </c>
      <c r="K1594" s="126">
        <v>15000</v>
      </c>
      <c r="L1594" s="127" t="s">
        <v>571</v>
      </c>
      <c r="N1594" s="129" t="str">
        <f>IF(M1594&gt;1/1/1,"Y","N")</f>
        <v>N</v>
      </c>
      <c r="O1594" s="128" t="s">
        <v>917</v>
      </c>
      <c r="P1594" s="129" t="s">
        <v>589</v>
      </c>
      <c r="Q1594" s="111">
        <f t="shared" si="1192"/>
        <v>46</v>
      </c>
      <c r="R1594" s="111">
        <f t="shared" si="1175"/>
        <v>46</v>
      </c>
      <c r="S1594" s="129">
        <v>3</v>
      </c>
      <c r="T1594" s="129">
        <v>1</v>
      </c>
      <c r="U1594" s="129">
        <v>1</v>
      </c>
      <c r="W1594" s="111"/>
      <c r="AC1594" s="130"/>
      <c r="AD1594" s="130">
        <v>30130</v>
      </c>
      <c r="AE1594" s="128" t="s">
        <v>46</v>
      </c>
      <c r="AF1594" s="128" t="s">
        <v>33</v>
      </c>
      <c r="AG1594" s="128" t="s">
        <v>872</v>
      </c>
      <c r="AH1594" s="108" t="s">
        <v>31</v>
      </c>
      <c r="AI1594" s="128" t="s">
        <v>90</v>
      </c>
      <c r="AJ1594" s="129" t="s">
        <v>48</v>
      </c>
      <c r="AK1594" s="129">
        <v>4</v>
      </c>
      <c r="AL1594" s="3" t="s">
        <v>48</v>
      </c>
      <c r="AP1594" s="129" t="s">
        <v>43</v>
      </c>
      <c r="AR1594" s="128" t="s">
        <v>44</v>
      </c>
      <c r="AS1594" s="129" t="s">
        <v>45</v>
      </c>
      <c r="AT1594" s="129" t="s">
        <v>590</v>
      </c>
      <c r="BC1594" s="129" t="s">
        <v>38</v>
      </c>
      <c r="BF1594" s="111">
        <f>IF(J1594&gt;1/1/1900,((J1594+1)-I1594),"STILL OPEN")</f>
        <v>46</v>
      </c>
      <c r="BG1594" s="111">
        <f>IF(G1594&gt;1/1/1900,((G1594+1)-I1594),"STILL OPEN")</f>
        <v>46</v>
      </c>
      <c r="BH1594" s="111">
        <f t="shared" si="1150"/>
        <v>46</v>
      </c>
      <c r="BI1594" s="111">
        <f t="shared" si="1151"/>
        <v>29.453551912568305</v>
      </c>
      <c r="BJ1594" s="129">
        <f t="shared" si="1156"/>
        <v>0</v>
      </c>
      <c r="BK1594" s="129">
        <f t="shared" si="1152"/>
        <v>0</v>
      </c>
      <c r="BL1594" s="129" t="str">
        <f t="shared" si="1177"/>
        <v>DEFERRED</v>
      </c>
      <c r="BM1594" s="129" t="str">
        <f t="shared" si="1157"/>
        <v>NONE</v>
      </c>
      <c r="BN1594" s="129" t="s">
        <v>566</v>
      </c>
      <c r="BP1594" s="137" t="str">
        <f t="shared" si="1158"/>
        <v>DEFERRED</v>
      </c>
      <c r="BQ1594" s="128" t="str">
        <f t="shared" si="1159"/>
        <v>Y</v>
      </c>
      <c r="BR1594" s="129" t="str">
        <f t="shared" si="1160"/>
        <v>DETAINED</v>
      </c>
      <c r="BS1594" s="129" t="str">
        <f t="shared" si="1161"/>
        <v>DISPOSED</v>
      </c>
      <c r="BT1594" s="129" t="str">
        <f t="shared" si="1162"/>
        <v>Y</v>
      </c>
      <c r="BU1594" s="109">
        <f t="shared" si="1163"/>
        <v>1</v>
      </c>
      <c r="BV1594" s="109">
        <f t="shared" si="1164"/>
        <v>1</v>
      </c>
      <c r="BW1594" s="109">
        <f t="shared" si="1191"/>
        <v>0</v>
      </c>
      <c r="BX1594" s="111">
        <f t="shared" si="1165"/>
        <v>0</v>
      </c>
      <c r="BY1594" s="129">
        <f t="shared" si="1166"/>
        <v>-46</v>
      </c>
      <c r="BZ1594" s="111">
        <f t="shared" si="1167"/>
        <v>0</v>
      </c>
      <c r="CA1594" s="138">
        <f t="shared" si="1168"/>
        <v>46</v>
      </c>
      <c r="CB1594" s="111" t="e">
        <f>IF(AF1594&gt;1/1/1900,((AF1594+1)-AE1594),"STILL OPEN")</f>
        <v>#VALUE!</v>
      </c>
      <c r="CC1594" s="129">
        <f>G1594-I1594+1</f>
        <v>46</v>
      </c>
      <c r="CD1594" s="129">
        <f>G1594-J1594</f>
        <v>0</v>
      </c>
      <c r="CG1594" s="129" t="str">
        <f t="shared" si="1169"/>
        <v>Y</v>
      </c>
      <c r="CI1594" s="129" t="str">
        <f t="shared" si="1170"/>
        <v>31-60 DAYS</v>
      </c>
      <c r="CJ1594" s="137">
        <f t="shared" si="1171"/>
        <v>3</v>
      </c>
      <c r="CK1594" s="129" t="str">
        <f t="shared" si="1172"/>
        <v>Booked</v>
      </c>
    </row>
    <row r="1595" spans="1:89" ht="15" customHeight="1" x14ac:dyDescent="0.25">
      <c r="A1595" s="111">
        <v>3011</v>
      </c>
      <c r="B1595" s="128" t="str">
        <f t="shared" si="1153"/>
        <v>N</v>
      </c>
      <c r="C1595" s="128" t="str">
        <f t="shared" si="1154"/>
        <v>N</v>
      </c>
      <c r="D1595" s="117">
        <v>2146819</v>
      </c>
      <c r="E1595" s="135">
        <f t="shared" si="1155"/>
        <v>5</v>
      </c>
      <c r="F1595" s="124">
        <v>41020</v>
      </c>
      <c r="G1595" s="125">
        <v>41026</v>
      </c>
      <c r="H1595" s="117">
        <v>2146819</v>
      </c>
      <c r="I1595" s="124">
        <v>41020</v>
      </c>
      <c r="J1595" s="124">
        <v>41026</v>
      </c>
      <c r="K1595" s="126">
        <v>15000</v>
      </c>
      <c r="L1595" s="127" t="s">
        <v>571</v>
      </c>
      <c r="N1595" s="129" t="str">
        <f>IF(M1595&gt;1/1/1,"Y","N")</f>
        <v>N</v>
      </c>
      <c r="O1595" s="128" t="s">
        <v>917</v>
      </c>
      <c r="P1595" s="129" t="s">
        <v>39</v>
      </c>
      <c r="Q1595" s="111">
        <f t="shared" si="1192"/>
        <v>7</v>
      </c>
      <c r="R1595" s="111">
        <f t="shared" si="1175"/>
        <v>7</v>
      </c>
      <c r="S1595" s="129">
        <v>3</v>
      </c>
      <c r="T1595" s="129">
        <v>4</v>
      </c>
      <c r="U1595" s="129">
        <v>2</v>
      </c>
      <c r="W1595" s="111"/>
      <c r="AC1595" s="130"/>
      <c r="AD1595" s="130">
        <v>32059</v>
      </c>
      <c r="AE1595" s="128" t="s">
        <v>46</v>
      </c>
      <c r="AF1595" s="128" t="s">
        <v>69</v>
      </c>
      <c r="AG1595" s="128" t="s">
        <v>874</v>
      </c>
      <c r="AH1595" s="108" t="s">
        <v>58</v>
      </c>
      <c r="AI1595" s="128" t="s">
        <v>141</v>
      </c>
      <c r="AJ1595" s="129" t="s">
        <v>89</v>
      </c>
      <c r="AK1595" s="129">
        <v>2</v>
      </c>
      <c r="AL1595" s="3" t="s">
        <v>992</v>
      </c>
      <c r="AN1595" s="117">
        <v>7</v>
      </c>
      <c r="AP1595" s="129" t="s">
        <v>60</v>
      </c>
      <c r="AR1595" s="128" t="s">
        <v>44</v>
      </c>
      <c r="AS1595" s="129" t="s">
        <v>61</v>
      </c>
      <c r="BC1595" s="129" t="s">
        <v>52</v>
      </c>
      <c r="BF1595" s="111">
        <f>IF(J1595&gt;1/1/1900,((J1595+1)-I1595),"STILL OPEN")</f>
        <v>7</v>
      </c>
      <c r="BG1595" s="111">
        <f>IF(G1595&gt;1/1/1900,((G1595+1)-I1595),"STILL OPEN")</f>
        <v>7</v>
      </c>
      <c r="BH1595" s="111">
        <f t="shared" si="1150"/>
        <v>7</v>
      </c>
      <c r="BI1595" s="111">
        <f t="shared" si="1151"/>
        <v>24.483606557377048</v>
      </c>
      <c r="BJ1595" s="129">
        <f t="shared" si="1156"/>
        <v>0</v>
      </c>
      <c r="BK1595" s="129">
        <f t="shared" si="1152"/>
        <v>0</v>
      </c>
      <c r="BL1595" s="129" t="str">
        <f t="shared" si="1177"/>
        <v>CONVICTION</v>
      </c>
      <c r="BM1595" s="129" t="str">
        <f t="shared" si="1157"/>
        <v>NONE</v>
      </c>
      <c r="BN1595" s="129" t="s">
        <v>566</v>
      </c>
      <c r="BP1595" s="137" t="str">
        <f t="shared" si="1158"/>
        <v>CONVICTION</v>
      </c>
      <c r="BQ1595" s="128" t="str">
        <f t="shared" si="1159"/>
        <v>Y</v>
      </c>
      <c r="BR1595" s="129" t="str">
        <f t="shared" si="1160"/>
        <v>DETAINED</v>
      </c>
      <c r="BS1595" s="129" t="str">
        <f t="shared" si="1161"/>
        <v>DISPOSED</v>
      </c>
      <c r="BT1595" s="129" t="str">
        <f t="shared" si="1162"/>
        <v>Y</v>
      </c>
      <c r="BU1595" s="109">
        <f t="shared" si="1163"/>
        <v>1</v>
      </c>
      <c r="BV1595" s="109">
        <f t="shared" si="1164"/>
        <v>1</v>
      </c>
      <c r="BW1595" s="109">
        <f t="shared" si="1191"/>
        <v>0</v>
      </c>
      <c r="BX1595" s="111">
        <f t="shared" si="1165"/>
        <v>0</v>
      </c>
      <c r="BY1595" s="129">
        <f t="shared" si="1166"/>
        <v>-7</v>
      </c>
      <c r="BZ1595" s="111">
        <f t="shared" si="1167"/>
        <v>0</v>
      </c>
      <c r="CA1595" s="138">
        <f t="shared" si="1168"/>
        <v>7</v>
      </c>
      <c r="CB1595" s="111" t="e">
        <f>IF(AF1595&gt;1/1/1900,((AF1595+1)-AE1595),"STILL OPEN")</f>
        <v>#VALUE!</v>
      </c>
      <c r="CC1595" s="129">
        <f>G1595-I1595+1</f>
        <v>7</v>
      </c>
      <c r="CD1595" s="129">
        <f>G1595-J1595</f>
        <v>0</v>
      </c>
      <c r="CG1595" s="129" t="str">
        <f t="shared" si="1169"/>
        <v>Y</v>
      </c>
      <c r="CI1595" s="129" t="str">
        <f t="shared" si="1170"/>
        <v>0-10 DAYS</v>
      </c>
      <c r="CJ1595" s="137">
        <f t="shared" si="1171"/>
        <v>1</v>
      </c>
      <c r="CK1595" s="129" t="str">
        <f t="shared" si="1172"/>
        <v>Booked</v>
      </c>
    </row>
    <row r="1596" spans="1:89" ht="15" customHeight="1" x14ac:dyDescent="0.25">
      <c r="A1596" s="111">
        <v>824</v>
      </c>
      <c r="B1596" s="128" t="str">
        <f t="shared" si="1153"/>
        <v>N</v>
      </c>
      <c r="C1596" s="128" t="str">
        <f t="shared" si="1154"/>
        <v>N</v>
      </c>
      <c r="D1596" s="117">
        <v>2146935</v>
      </c>
      <c r="E1596" s="135">
        <f t="shared" si="1155"/>
        <v>6</v>
      </c>
      <c r="F1596" s="124">
        <v>40940</v>
      </c>
      <c r="G1596" s="125">
        <v>41337</v>
      </c>
      <c r="H1596" s="117">
        <v>2146935</v>
      </c>
      <c r="I1596" s="124">
        <v>40940</v>
      </c>
      <c r="J1596" s="125">
        <v>41337</v>
      </c>
      <c r="K1596" s="126">
        <v>760000</v>
      </c>
      <c r="L1596" s="129" t="s">
        <v>572</v>
      </c>
      <c r="N1596" s="129" t="str">
        <f>IF(M1596&gt;1/1/1,"Y","N")</f>
        <v>N</v>
      </c>
      <c r="O1596" s="128" t="s">
        <v>917</v>
      </c>
      <c r="P1596" s="129" t="s">
        <v>39</v>
      </c>
      <c r="Q1596" s="111">
        <f t="shared" si="1192"/>
        <v>398</v>
      </c>
      <c r="R1596" s="111">
        <f t="shared" si="1175"/>
        <v>398</v>
      </c>
      <c r="S1596" s="129">
        <v>0</v>
      </c>
      <c r="T1596" s="129">
        <v>3</v>
      </c>
      <c r="W1596" s="111"/>
      <c r="AC1596" s="130"/>
      <c r="AD1596" s="130">
        <v>23543</v>
      </c>
      <c r="AE1596" s="128" t="s">
        <v>32</v>
      </c>
      <c r="AF1596" s="128" t="s">
        <v>40</v>
      </c>
      <c r="AG1596" s="128" t="s">
        <v>41</v>
      </c>
      <c r="AH1596" s="108" t="s">
        <v>41</v>
      </c>
      <c r="AI1596" s="128" t="s">
        <v>95</v>
      </c>
      <c r="AJ1596" s="129" t="s">
        <v>89</v>
      </c>
      <c r="AK1596" s="129">
        <v>14</v>
      </c>
      <c r="AL1596" s="3" t="s">
        <v>362</v>
      </c>
      <c r="AM1596" s="117">
        <v>10</v>
      </c>
      <c r="AP1596" s="129" t="s">
        <v>149</v>
      </c>
      <c r="AR1596" s="128" t="s">
        <v>92</v>
      </c>
      <c r="AS1596" s="129" t="s">
        <v>82</v>
      </c>
      <c r="BC1596" s="129" t="s">
        <v>52</v>
      </c>
      <c r="BF1596" s="111">
        <f>IF(J1596&gt;1/1/1900,((J1596+1)-I1596),"STILL OPEN")</f>
        <v>398</v>
      </c>
      <c r="BG1596" s="111">
        <f>IF(G1596&gt;1/1/1900,((G1596+1)-I1596),"STILL OPEN")</f>
        <v>398</v>
      </c>
      <c r="BH1596" s="111">
        <f t="shared" si="1150"/>
        <v>398</v>
      </c>
      <c r="BI1596" s="111">
        <f t="shared" si="1151"/>
        <v>47.532786885245905</v>
      </c>
      <c r="BJ1596" s="129">
        <f t="shared" si="1156"/>
        <v>0</v>
      </c>
      <c r="BK1596" s="129">
        <f t="shared" si="1152"/>
        <v>0</v>
      </c>
      <c r="BL1596" s="129" t="str">
        <f t="shared" si="1177"/>
        <v>CONVICTION</v>
      </c>
      <c r="BM1596" s="129" t="str">
        <f t="shared" si="1157"/>
        <v>NONE</v>
      </c>
      <c r="BN1596" s="129" t="s">
        <v>566</v>
      </c>
      <c r="BP1596" s="137" t="str">
        <f t="shared" si="1158"/>
        <v>CONVICTION</v>
      </c>
      <c r="BQ1596" s="128" t="str">
        <f t="shared" si="1159"/>
        <v>Y</v>
      </c>
      <c r="BR1596" s="129" t="str">
        <f t="shared" si="1160"/>
        <v>DETAINED</v>
      </c>
      <c r="BS1596" s="129" t="str">
        <f t="shared" si="1161"/>
        <v>DISPOSED</v>
      </c>
      <c r="BT1596" s="129" t="str">
        <f t="shared" si="1162"/>
        <v>N</v>
      </c>
      <c r="BU1596" s="109">
        <f t="shared" si="1163"/>
        <v>1</v>
      </c>
      <c r="BV1596" s="109">
        <f t="shared" si="1164"/>
        <v>1</v>
      </c>
      <c r="BW1596" s="109">
        <f t="shared" si="1191"/>
        <v>0</v>
      </c>
      <c r="BX1596" s="111">
        <f t="shared" si="1165"/>
        <v>0</v>
      </c>
      <c r="BY1596" s="129">
        <f t="shared" si="1166"/>
        <v>-398</v>
      </c>
      <c r="BZ1596" s="111">
        <f t="shared" si="1167"/>
        <v>0</v>
      </c>
      <c r="CA1596" s="138">
        <f t="shared" si="1168"/>
        <v>398</v>
      </c>
      <c r="CB1596" s="111" t="e">
        <f>IF(AF1596&gt;1/1/1900,((AF1596+1)-AE1596),"STILL OPEN")</f>
        <v>#VALUE!</v>
      </c>
      <c r="CC1596" s="129">
        <f>G1596-I1596+1</f>
        <v>398</v>
      </c>
      <c r="CD1596" s="129">
        <f>G1596-J1596</f>
        <v>0</v>
      </c>
      <c r="CG1596" s="129" t="str">
        <f t="shared" si="1169"/>
        <v>Y</v>
      </c>
      <c r="CI1596" s="129" t="str">
        <f t="shared" si="1170"/>
        <v xml:space="preserve"> &gt;1YRS&lt;2YRS</v>
      </c>
      <c r="CJ1596" s="137">
        <f t="shared" si="1171"/>
        <v>0</v>
      </c>
      <c r="CK1596" s="129" t="str">
        <f t="shared" si="1172"/>
        <v>Booked</v>
      </c>
    </row>
    <row r="1597" spans="1:89" ht="15.75" customHeight="1" x14ac:dyDescent="0.25">
      <c r="A1597" s="111">
        <v>1722</v>
      </c>
      <c r="B1597" s="128" t="str">
        <f t="shared" si="1153"/>
        <v>N</v>
      </c>
      <c r="C1597" s="128" t="str">
        <f t="shared" si="1154"/>
        <v>N</v>
      </c>
      <c r="D1597" s="117">
        <v>2147371</v>
      </c>
      <c r="E1597" s="135">
        <f t="shared" si="1155"/>
        <v>1</v>
      </c>
      <c r="F1597" s="124">
        <v>40973</v>
      </c>
      <c r="G1597" s="125">
        <v>41144</v>
      </c>
      <c r="H1597" s="117">
        <v>2147371</v>
      </c>
      <c r="I1597" s="124" t="s">
        <v>562</v>
      </c>
      <c r="J1597" s="124" t="s">
        <v>562</v>
      </c>
      <c r="K1597" s="126">
        <v>30000</v>
      </c>
      <c r="L1597" s="129" t="s">
        <v>572</v>
      </c>
      <c r="M1597" s="125">
        <v>41018</v>
      </c>
      <c r="N1597" s="129" t="str">
        <f>IF(M1597&gt;1/1/1,"Y",IF(Q1597="0","","N"))</f>
        <v>Y</v>
      </c>
      <c r="O1597" s="128" t="s">
        <v>76</v>
      </c>
      <c r="P1597" s="129" t="s">
        <v>55</v>
      </c>
      <c r="Q1597" s="111">
        <f t="shared" si="1192"/>
        <v>0</v>
      </c>
      <c r="R1597" s="111">
        <f t="shared" si="1175"/>
        <v>172</v>
      </c>
      <c r="S1597" s="129">
        <v>2</v>
      </c>
      <c r="T1597" s="129">
        <v>1</v>
      </c>
      <c r="U1597" s="129">
        <v>1</v>
      </c>
      <c r="W1597" s="111"/>
      <c r="AC1597" s="130"/>
      <c r="AD1597" s="130">
        <v>28501</v>
      </c>
      <c r="AE1597" s="128" t="s">
        <v>32</v>
      </c>
      <c r="AF1597" s="128" t="s">
        <v>69</v>
      </c>
      <c r="AG1597" s="128" t="s">
        <v>874</v>
      </c>
      <c r="AH1597" s="108" t="s">
        <v>31</v>
      </c>
      <c r="AI1597" s="128" t="s">
        <v>85</v>
      </c>
      <c r="AJ1597" s="129" t="s">
        <v>55</v>
      </c>
      <c r="AK1597" s="129">
        <v>7</v>
      </c>
      <c r="AL1597" s="3" t="s">
        <v>55</v>
      </c>
      <c r="AP1597" s="129" t="s">
        <v>73</v>
      </c>
      <c r="AR1597" s="128" t="s">
        <v>50</v>
      </c>
      <c r="AS1597" s="129" t="s">
        <v>74</v>
      </c>
      <c r="AT1597" s="129" t="s">
        <v>635</v>
      </c>
      <c r="BC1597" s="129" t="s">
        <v>99</v>
      </c>
      <c r="BF1597" s="111">
        <v>0</v>
      </c>
      <c r="BG1597" s="111">
        <v>0</v>
      </c>
      <c r="BH1597" s="111">
        <f t="shared" si="1150"/>
        <v>172</v>
      </c>
      <c r="BI1597" s="111">
        <f t="shared" si="1151"/>
        <v>34.076502732240435</v>
      </c>
      <c r="BJ1597" s="129" t="e">
        <f>(G1597-J1597)+(M1597-G1597)</f>
        <v>#VALUE!</v>
      </c>
      <c r="BK1597" s="129" t="e">
        <f t="shared" si="1152"/>
        <v>#VALUE!</v>
      </c>
      <c r="BL1597" s="129" t="str">
        <f t="shared" si="1177"/>
        <v>NO CONVICTION</v>
      </c>
      <c r="BM1597" s="129" t="s">
        <v>76</v>
      </c>
      <c r="BN1597" s="129" t="s">
        <v>88</v>
      </c>
      <c r="BP1597" s="137" t="str">
        <f t="shared" si="1158"/>
        <v>NO CONVICTION</v>
      </c>
      <c r="BQ1597" s="128">
        <f t="shared" si="1159"/>
        <v>0</v>
      </c>
      <c r="BR1597" s="129" t="s">
        <v>575</v>
      </c>
      <c r="BS1597" s="129" t="str">
        <f t="shared" si="1161"/>
        <v>DISPOSED</v>
      </c>
      <c r="BT1597" s="129" t="str">
        <f t="shared" si="1162"/>
        <v>Y</v>
      </c>
      <c r="BU1597" s="109">
        <f>IFERROR(Q1597/R1597,BR1597)</f>
        <v>0</v>
      </c>
      <c r="BV1597" s="109">
        <v>0</v>
      </c>
      <c r="BW1597" s="109">
        <f t="shared" si="1191"/>
        <v>0</v>
      </c>
      <c r="BX1597" s="111">
        <f t="shared" si="1165"/>
        <v>0</v>
      </c>
      <c r="BY1597" s="129" t="e">
        <f t="shared" si="1166"/>
        <v>#VALUE!</v>
      </c>
      <c r="BZ1597" s="111" t="e">
        <f t="shared" si="1167"/>
        <v>#VALUE!</v>
      </c>
      <c r="CA1597" s="138" t="e">
        <f t="shared" si="1168"/>
        <v>#VALUE!</v>
      </c>
      <c r="CB1597" s="111">
        <v>0</v>
      </c>
      <c r="CC1597" s="129">
        <v>0</v>
      </c>
      <c r="CD1597" s="111">
        <f>CC1597-BF1597</f>
        <v>0</v>
      </c>
      <c r="CG1597" s="129" t="str">
        <f t="shared" si="1169"/>
        <v>Y</v>
      </c>
      <c r="CI1597" s="129" t="str">
        <f t="shared" si="1170"/>
        <v>0-10 DAYS</v>
      </c>
      <c r="CJ1597" s="137">
        <f t="shared" si="1171"/>
        <v>1</v>
      </c>
      <c r="CK1597" s="129" t="str">
        <f t="shared" si="1172"/>
        <v>Not Booked</v>
      </c>
    </row>
    <row r="1598" spans="1:89" ht="15.75" customHeight="1" x14ac:dyDescent="0.25">
      <c r="A1598" s="111">
        <v>3207</v>
      </c>
      <c r="B1598" s="128" t="str">
        <f t="shared" si="1153"/>
        <v>N</v>
      </c>
      <c r="C1598" s="128" t="str">
        <f t="shared" si="1154"/>
        <v>N</v>
      </c>
      <c r="D1598" s="117">
        <v>2149006</v>
      </c>
      <c r="E1598" s="135">
        <f t="shared" si="1155"/>
        <v>4</v>
      </c>
      <c r="F1598" s="124">
        <v>41027</v>
      </c>
      <c r="G1598" s="125">
        <v>41029</v>
      </c>
      <c r="H1598" s="117">
        <v>2149006</v>
      </c>
      <c r="I1598" s="124">
        <v>41027</v>
      </c>
      <c r="J1598" s="124">
        <v>41029</v>
      </c>
      <c r="K1598" s="126">
        <v>5000</v>
      </c>
      <c r="L1598" s="127" t="s">
        <v>569</v>
      </c>
      <c r="N1598" s="129" t="str">
        <f>IF(M1598&gt;1/1/1,"Y","N")</f>
        <v>N</v>
      </c>
      <c r="O1598" s="128" t="s">
        <v>917</v>
      </c>
      <c r="P1598" s="129" t="s">
        <v>39</v>
      </c>
      <c r="Q1598" s="111">
        <f t="shared" si="1192"/>
        <v>3</v>
      </c>
      <c r="R1598" s="111">
        <f t="shared" si="1175"/>
        <v>3</v>
      </c>
      <c r="S1598" s="129">
        <v>1</v>
      </c>
      <c r="T1598" s="129">
        <v>4</v>
      </c>
      <c r="U1598" s="129">
        <v>1</v>
      </c>
      <c r="W1598" s="111"/>
      <c r="AC1598" s="130"/>
      <c r="AD1598" s="130">
        <v>31898</v>
      </c>
      <c r="AE1598" s="128" t="s">
        <v>32</v>
      </c>
      <c r="AF1598" s="128" t="s">
        <v>40</v>
      </c>
      <c r="AG1598" s="128" t="s">
        <v>41</v>
      </c>
      <c r="AH1598" s="108" t="s">
        <v>41</v>
      </c>
      <c r="AI1598" s="128" t="s">
        <v>114</v>
      </c>
      <c r="AJ1598" s="129" t="s">
        <v>89</v>
      </c>
      <c r="AK1598" s="129">
        <v>1</v>
      </c>
      <c r="AL1598" s="3" t="s">
        <v>991</v>
      </c>
      <c r="AO1598" s="128">
        <v>180</v>
      </c>
      <c r="AP1598" s="129" t="s">
        <v>60</v>
      </c>
      <c r="AR1598" s="128" t="s">
        <v>44</v>
      </c>
      <c r="AS1598" s="129" t="s">
        <v>61</v>
      </c>
      <c r="BC1598" s="129" t="s">
        <v>38</v>
      </c>
      <c r="BF1598" s="111">
        <f t="shared" ref="BF1598:BF1607" si="1193">IF(J1598&gt;1/1/1900,((J1598+1)-I1598),"STILL OPEN")</f>
        <v>3</v>
      </c>
      <c r="BG1598" s="111">
        <f t="shared" ref="BG1598:BG1607" si="1194">IF(G1598&gt;1/1/1900,((G1598+1)-I1598),"STILL OPEN")</f>
        <v>3</v>
      </c>
      <c r="BH1598" s="111">
        <f t="shared" si="1150"/>
        <v>3</v>
      </c>
      <c r="BI1598" s="111">
        <f t="shared" si="1151"/>
        <v>24.942622950819672</v>
      </c>
      <c r="BJ1598" s="129">
        <f t="shared" si="1156"/>
        <v>0</v>
      </c>
      <c r="BK1598" s="129">
        <f t="shared" si="1152"/>
        <v>0</v>
      </c>
      <c r="BL1598" s="129" t="str">
        <f t="shared" si="1177"/>
        <v>CONVICTION</v>
      </c>
      <c r="BM1598" s="129" t="str">
        <f t="shared" si="1157"/>
        <v>NONE</v>
      </c>
      <c r="BN1598" s="129" t="s">
        <v>566</v>
      </c>
      <c r="BP1598" s="137" t="str">
        <f t="shared" si="1158"/>
        <v>CONVICTION</v>
      </c>
      <c r="BQ1598" s="128" t="str">
        <f t="shared" si="1159"/>
        <v>Y</v>
      </c>
      <c r="BR1598" s="129" t="str">
        <f t="shared" si="1160"/>
        <v>DETAINED</v>
      </c>
      <c r="BS1598" s="129" t="str">
        <f t="shared" si="1161"/>
        <v>DISPOSED</v>
      </c>
      <c r="BT1598" s="129" t="str">
        <f t="shared" si="1162"/>
        <v>Y</v>
      </c>
      <c r="BU1598" s="109">
        <f t="shared" si="1163"/>
        <v>1</v>
      </c>
      <c r="BV1598" s="109">
        <f t="shared" si="1164"/>
        <v>1</v>
      </c>
      <c r="BW1598" s="109">
        <f t="shared" si="1191"/>
        <v>0</v>
      </c>
      <c r="BX1598" s="111">
        <f t="shared" si="1165"/>
        <v>0</v>
      </c>
      <c r="BY1598" s="129">
        <f t="shared" si="1166"/>
        <v>-3</v>
      </c>
      <c r="BZ1598" s="111">
        <f t="shared" si="1167"/>
        <v>0</v>
      </c>
      <c r="CA1598" s="138">
        <f t="shared" si="1168"/>
        <v>3</v>
      </c>
      <c r="CB1598" s="111" t="e">
        <f t="shared" ref="CB1598:CB1607" si="1195">IF(AF1598&gt;1/1/1900,((AF1598+1)-AE1598),"STILL OPEN")</f>
        <v>#VALUE!</v>
      </c>
      <c r="CC1598" s="129">
        <f t="shared" ref="CC1598:CC1603" si="1196">G1598-I1598+1</f>
        <v>3</v>
      </c>
      <c r="CD1598" s="129">
        <f t="shared" ref="CD1598:CD1603" si="1197">G1598-J1598</f>
        <v>0</v>
      </c>
      <c r="CG1598" s="129" t="str">
        <f t="shared" si="1169"/>
        <v>Y</v>
      </c>
      <c r="CI1598" s="129" t="str">
        <f t="shared" si="1170"/>
        <v>0-10 DAYS</v>
      </c>
      <c r="CJ1598" s="137">
        <f t="shared" si="1171"/>
        <v>1</v>
      </c>
      <c r="CK1598" s="129" t="str">
        <f t="shared" si="1172"/>
        <v>Booked</v>
      </c>
    </row>
    <row r="1599" spans="1:89" ht="15.75" customHeight="1" x14ac:dyDescent="0.25">
      <c r="A1599" s="111">
        <v>691</v>
      </c>
      <c r="B1599" s="128" t="str">
        <f t="shared" si="1153"/>
        <v>N</v>
      </c>
      <c r="C1599" s="128" t="str">
        <f t="shared" si="1154"/>
        <v>N</v>
      </c>
      <c r="D1599" s="117">
        <v>2150068</v>
      </c>
      <c r="E1599" s="135">
        <f t="shared" si="1155"/>
        <v>6</v>
      </c>
      <c r="F1599" s="124">
        <v>40936</v>
      </c>
      <c r="G1599" s="125">
        <v>41002</v>
      </c>
      <c r="H1599" s="117">
        <v>2150068</v>
      </c>
      <c r="I1599" s="124">
        <v>40936</v>
      </c>
      <c r="J1599" s="124">
        <v>41002</v>
      </c>
      <c r="K1599" s="126" t="s">
        <v>564</v>
      </c>
      <c r="L1599" s="127" t="s">
        <v>564</v>
      </c>
      <c r="N1599" s="129" t="s">
        <v>566</v>
      </c>
      <c r="O1599" s="128" t="s">
        <v>917</v>
      </c>
      <c r="P1599" s="129" t="s">
        <v>39</v>
      </c>
      <c r="Q1599" s="111">
        <f t="shared" si="1192"/>
        <v>67</v>
      </c>
      <c r="R1599" s="111">
        <f t="shared" si="1175"/>
        <v>67</v>
      </c>
      <c r="S1599" s="129">
        <v>3</v>
      </c>
      <c r="T1599" s="129">
        <v>3</v>
      </c>
      <c r="U1599" s="129">
        <v>1</v>
      </c>
      <c r="W1599" s="111"/>
      <c r="AC1599" s="130"/>
      <c r="AD1599" s="130">
        <v>32177</v>
      </c>
      <c r="AE1599" s="128" t="s">
        <v>32</v>
      </c>
      <c r="AF1599" s="128" t="s">
        <v>33</v>
      </c>
      <c r="AG1599" s="128" t="s">
        <v>872</v>
      </c>
      <c r="AH1599" s="108" t="s">
        <v>58</v>
      </c>
      <c r="AI1599" s="128" t="s">
        <v>72</v>
      </c>
      <c r="AJ1599" s="129" t="s">
        <v>89</v>
      </c>
      <c r="AK1599" s="129">
        <v>3</v>
      </c>
      <c r="AL1599" s="3" t="s">
        <v>362</v>
      </c>
      <c r="AM1599" s="117">
        <v>4</v>
      </c>
      <c r="AP1599" s="129" t="s">
        <v>176</v>
      </c>
      <c r="AR1599" s="128" t="s">
        <v>50</v>
      </c>
      <c r="AS1599" s="129" t="s">
        <v>45</v>
      </c>
      <c r="AT1599" s="129" t="s">
        <v>1182</v>
      </c>
      <c r="BC1599" s="129" t="s">
        <v>38</v>
      </c>
      <c r="BF1599" s="111">
        <f t="shared" si="1193"/>
        <v>67</v>
      </c>
      <c r="BG1599" s="111">
        <f t="shared" si="1194"/>
        <v>67</v>
      </c>
      <c r="BH1599" s="111">
        <f t="shared" si="1150"/>
        <v>67</v>
      </c>
      <c r="BI1599" s="111">
        <f t="shared" si="1151"/>
        <v>23.931693989071039</v>
      </c>
      <c r="BJ1599" s="129">
        <f t="shared" si="1156"/>
        <v>0</v>
      </c>
      <c r="BK1599" s="129">
        <f t="shared" si="1152"/>
        <v>0</v>
      </c>
      <c r="BL1599" s="129" t="str">
        <f t="shared" si="1177"/>
        <v>CONVICTION</v>
      </c>
      <c r="BM1599" s="129" t="str">
        <f t="shared" si="1157"/>
        <v>NONE</v>
      </c>
      <c r="BN1599" s="129" t="s">
        <v>566</v>
      </c>
      <c r="BP1599" s="137" t="str">
        <f t="shared" si="1158"/>
        <v>CONVICTION</v>
      </c>
      <c r="BQ1599" s="128" t="str">
        <f t="shared" si="1159"/>
        <v>Y</v>
      </c>
      <c r="BR1599" s="129" t="str">
        <f t="shared" si="1160"/>
        <v>DETAINED</v>
      </c>
      <c r="BS1599" s="129" t="str">
        <f t="shared" si="1161"/>
        <v>DISPOSED</v>
      </c>
      <c r="BT1599" s="129" t="str">
        <f t="shared" si="1162"/>
        <v>Y</v>
      </c>
      <c r="BU1599" s="109">
        <f t="shared" si="1163"/>
        <v>1</v>
      </c>
      <c r="BV1599" s="109">
        <f t="shared" si="1164"/>
        <v>1</v>
      </c>
      <c r="BW1599" s="109">
        <f t="shared" si="1191"/>
        <v>0</v>
      </c>
      <c r="BX1599" s="111">
        <f t="shared" si="1165"/>
        <v>0</v>
      </c>
      <c r="BY1599" s="129">
        <f t="shared" si="1166"/>
        <v>-67</v>
      </c>
      <c r="BZ1599" s="111">
        <f t="shared" si="1167"/>
        <v>0</v>
      </c>
      <c r="CA1599" s="138">
        <f t="shared" si="1168"/>
        <v>67</v>
      </c>
      <c r="CB1599" s="111" t="e">
        <f t="shared" si="1195"/>
        <v>#VALUE!</v>
      </c>
      <c r="CC1599" s="129">
        <f t="shared" si="1196"/>
        <v>67</v>
      </c>
      <c r="CD1599" s="129">
        <f t="shared" si="1197"/>
        <v>0</v>
      </c>
      <c r="CG1599" s="129" t="str">
        <f t="shared" si="1169"/>
        <v>Y</v>
      </c>
      <c r="CI1599" s="129" t="str">
        <f t="shared" si="1170"/>
        <v>61-90 DAYS</v>
      </c>
      <c r="CJ1599" s="137">
        <f t="shared" si="1171"/>
        <v>4</v>
      </c>
      <c r="CK1599" s="129" t="str">
        <f t="shared" si="1172"/>
        <v>Booked</v>
      </c>
    </row>
    <row r="1600" spans="1:89" ht="15.75" customHeight="1" x14ac:dyDescent="0.25">
      <c r="A1600" s="111">
        <v>2604</v>
      </c>
      <c r="B1600" s="128" t="str">
        <f t="shared" si="1153"/>
        <v>N</v>
      </c>
      <c r="C1600" s="128" t="str">
        <f t="shared" si="1154"/>
        <v>N</v>
      </c>
      <c r="D1600" s="117">
        <v>2150853</v>
      </c>
      <c r="E1600" s="135">
        <f t="shared" si="1155"/>
        <v>2</v>
      </c>
      <c r="F1600" s="124">
        <v>41005</v>
      </c>
      <c r="G1600" s="125">
        <v>41198</v>
      </c>
      <c r="H1600" s="117">
        <v>2150853</v>
      </c>
      <c r="I1600" s="124">
        <v>41116</v>
      </c>
      <c r="J1600" s="124">
        <v>41198</v>
      </c>
      <c r="K1600" s="126">
        <v>2000</v>
      </c>
      <c r="L1600" s="127" t="s">
        <v>568</v>
      </c>
      <c r="N1600" s="129" t="str">
        <f>IF(M1600&gt;1/1/1,"Y","N")</f>
        <v>N</v>
      </c>
      <c r="O1600" s="128" t="s">
        <v>917</v>
      </c>
      <c r="P1600" s="129" t="s">
        <v>589</v>
      </c>
      <c r="Q1600" s="111">
        <f t="shared" si="1192"/>
        <v>83</v>
      </c>
      <c r="R1600" s="111">
        <f t="shared" si="1175"/>
        <v>194</v>
      </c>
      <c r="S1600" s="129">
        <v>0</v>
      </c>
      <c r="T1600" s="129">
        <v>6</v>
      </c>
      <c r="W1600" s="111"/>
      <c r="AC1600" s="130"/>
      <c r="AD1600" s="130">
        <v>30927</v>
      </c>
      <c r="AE1600" s="128" t="s">
        <v>32</v>
      </c>
      <c r="AF1600" s="128" t="s">
        <v>69</v>
      </c>
      <c r="AG1600" s="128" t="s">
        <v>874</v>
      </c>
      <c r="AH1600" s="108" t="s">
        <v>58</v>
      </c>
      <c r="AI1600" s="128" t="s">
        <v>90</v>
      </c>
      <c r="AJ1600" s="129" t="s">
        <v>48</v>
      </c>
      <c r="AK1600" s="129">
        <v>7</v>
      </c>
      <c r="AL1600" s="3" t="s">
        <v>48</v>
      </c>
      <c r="AP1600" s="32" t="s">
        <v>98</v>
      </c>
      <c r="AR1600" s="128" t="s">
        <v>44</v>
      </c>
      <c r="AS1600" s="129" t="s">
        <v>64</v>
      </c>
      <c r="BC1600" s="129" t="s">
        <v>38</v>
      </c>
      <c r="BF1600" s="111">
        <f t="shared" si="1193"/>
        <v>83</v>
      </c>
      <c r="BG1600" s="111">
        <f t="shared" si="1194"/>
        <v>83</v>
      </c>
      <c r="BH1600" s="111">
        <f t="shared" si="1150"/>
        <v>194</v>
      </c>
      <c r="BI1600" s="111">
        <f t="shared" si="1151"/>
        <v>27.535519125683059</v>
      </c>
      <c r="BJ1600" s="129">
        <f t="shared" si="1156"/>
        <v>0</v>
      </c>
      <c r="BK1600" s="129">
        <f t="shared" si="1152"/>
        <v>0</v>
      </c>
      <c r="BL1600" s="129" t="str">
        <f t="shared" si="1177"/>
        <v>DEFERRED</v>
      </c>
      <c r="BM1600" s="129" t="str">
        <f t="shared" si="1157"/>
        <v>NONE</v>
      </c>
      <c r="BN1600" s="129" t="s">
        <v>566</v>
      </c>
      <c r="BP1600" s="137" t="str">
        <f t="shared" si="1158"/>
        <v>DEFERRED</v>
      </c>
      <c r="BQ1600" s="128" t="str">
        <f t="shared" si="1159"/>
        <v>Y</v>
      </c>
      <c r="BR1600" s="129" t="str">
        <f t="shared" si="1160"/>
        <v>DETAINED</v>
      </c>
      <c r="BS1600" s="129" t="str">
        <f t="shared" si="1161"/>
        <v>DISPOSED</v>
      </c>
      <c r="BT1600" s="129" t="str">
        <f t="shared" si="1162"/>
        <v>N</v>
      </c>
      <c r="BU1600" s="109">
        <f t="shared" si="1163"/>
        <v>0.42783505154639173</v>
      </c>
      <c r="BV1600" s="109">
        <f t="shared" si="1164"/>
        <v>1</v>
      </c>
      <c r="BW1600" s="109">
        <f t="shared" si="1191"/>
        <v>0.57216494845360821</v>
      </c>
      <c r="BX1600" s="111">
        <f t="shared" si="1165"/>
        <v>0</v>
      </c>
      <c r="BY1600" s="129">
        <f t="shared" si="1166"/>
        <v>-83</v>
      </c>
      <c r="BZ1600" s="111">
        <f t="shared" si="1167"/>
        <v>0</v>
      </c>
      <c r="CA1600" s="138">
        <f t="shared" si="1168"/>
        <v>83</v>
      </c>
      <c r="CB1600" s="111" t="e">
        <f t="shared" si="1195"/>
        <v>#VALUE!</v>
      </c>
      <c r="CC1600" s="129">
        <f t="shared" si="1196"/>
        <v>83</v>
      </c>
      <c r="CD1600" s="129">
        <f t="shared" si="1197"/>
        <v>0</v>
      </c>
      <c r="CG1600" s="129" t="str">
        <f t="shared" si="1169"/>
        <v>Y</v>
      </c>
      <c r="CI1600" s="129" t="str">
        <f t="shared" si="1170"/>
        <v>61-90 DAYS</v>
      </c>
      <c r="CJ1600" s="137">
        <f t="shared" si="1171"/>
        <v>4</v>
      </c>
      <c r="CK1600" s="129" t="str">
        <f t="shared" si="1172"/>
        <v>Booked</v>
      </c>
    </row>
    <row r="1601" spans="1:89" ht="15.75" customHeight="1" x14ac:dyDescent="0.25">
      <c r="A1601" s="111">
        <v>621</v>
      </c>
      <c r="B1601" s="128" t="str">
        <f t="shared" si="1153"/>
        <v>N</v>
      </c>
      <c r="C1601" s="128" t="str">
        <f t="shared" si="1154"/>
        <v>N</v>
      </c>
      <c r="D1601" s="117">
        <v>2151751</v>
      </c>
      <c r="E1601" s="135">
        <f t="shared" si="1155"/>
        <v>3</v>
      </c>
      <c r="F1601" s="124">
        <v>40933</v>
      </c>
      <c r="G1601" s="125">
        <v>40967</v>
      </c>
      <c r="H1601" s="117">
        <v>2151751</v>
      </c>
      <c r="I1601" s="124">
        <v>40933</v>
      </c>
      <c r="J1601" s="124">
        <v>40967</v>
      </c>
      <c r="K1601" s="126">
        <v>15000</v>
      </c>
      <c r="L1601" s="127" t="s">
        <v>571</v>
      </c>
      <c r="N1601" s="129" t="str">
        <f>IF(M1601&gt;1/1/1,"Y","N")</f>
        <v>N</v>
      </c>
      <c r="O1601" s="128" t="s">
        <v>917</v>
      </c>
      <c r="P1601" s="129" t="s">
        <v>39</v>
      </c>
      <c r="Q1601" s="111">
        <f t="shared" si="1192"/>
        <v>35</v>
      </c>
      <c r="R1601" s="111">
        <f t="shared" si="1175"/>
        <v>35</v>
      </c>
      <c r="S1601" s="129">
        <v>5</v>
      </c>
      <c r="T1601" s="129">
        <v>3</v>
      </c>
      <c r="U1601" s="129">
        <v>1</v>
      </c>
      <c r="W1601" s="111"/>
      <c r="AC1601" s="130"/>
      <c r="AD1601" s="130">
        <v>21950</v>
      </c>
      <c r="AE1601" s="128" t="s">
        <v>32</v>
      </c>
      <c r="AF1601" s="128" t="s">
        <v>33</v>
      </c>
      <c r="AG1601" s="128" t="s">
        <v>872</v>
      </c>
      <c r="AH1601" s="108" t="s">
        <v>58</v>
      </c>
      <c r="AI1601" s="128" t="s">
        <v>53</v>
      </c>
      <c r="AJ1601" s="129" t="s">
        <v>89</v>
      </c>
      <c r="AK1601" s="129">
        <v>3</v>
      </c>
      <c r="AL1601" s="3" t="s">
        <v>185</v>
      </c>
      <c r="AP1601" s="129" t="s">
        <v>60</v>
      </c>
      <c r="AR1601" s="128" t="s">
        <v>44</v>
      </c>
      <c r="AS1601" s="129" t="s">
        <v>61</v>
      </c>
      <c r="BC1601" s="129" t="s">
        <v>38</v>
      </c>
      <c r="BF1601" s="111">
        <f t="shared" si="1193"/>
        <v>35</v>
      </c>
      <c r="BG1601" s="111">
        <f t="shared" si="1194"/>
        <v>35</v>
      </c>
      <c r="BH1601" s="111">
        <f t="shared" ref="BH1601:BH1664" si="1198">IF(G1601&gt;1/1/1900,((G1601+1)-F1601),"STILL OPEN")</f>
        <v>35</v>
      </c>
      <c r="BI1601" s="111">
        <f t="shared" ref="BI1601:BI1664" si="1199">(F1601-AD1601)/366</f>
        <v>51.866120218579233</v>
      </c>
      <c r="BJ1601" s="129">
        <f t="shared" si="1156"/>
        <v>0</v>
      </c>
      <c r="BK1601" s="129">
        <f t="shared" ref="BK1601:BK1664" si="1200">J1601-G1601</f>
        <v>0</v>
      </c>
      <c r="BL1601" s="129" t="str">
        <f t="shared" si="1177"/>
        <v>CONVICTION</v>
      </c>
      <c r="BM1601" s="129" t="str">
        <f t="shared" si="1157"/>
        <v>NONE</v>
      </c>
      <c r="BN1601" s="129" t="s">
        <v>566</v>
      </c>
      <c r="BP1601" s="137" t="str">
        <f t="shared" si="1158"/>
        <v>CONVICTION</v>
      </c>
      <c r="BQ1601" s="128" t="str">
        <f t="shared" si="1159"/>
        <v>Y</v>
      </c>
      <c r="BR1601" s="129" t="str">
        <f t="shared" si="1160"/>
        <v>DETAINED</v>
      </c>
      <c r="BS1601" s="129" t="str">
        <f t="shared" si="1161"/>
        <v>DISPOSED</v>
      </c>
      <c r="BT1601" s="129" t="str">
        <f t="shared" si="1162"/>
        <v>Y</v>
      </c>
      <c r="BU1601" s="109">
        <f t="shared" si="1163"/>
        <v>1</v>
      </c>
      <c r="BV1601" s="109">
        <f t="shared" si="1164"/>
        <v>1</v>
      </c>
      <c r="BW1601" s="109">
        <f t="shared" si="1191"/>
        <v>0</v>
      </c>
      <c r="BX1601" s="111">
        <f t="shared" si="1165"/>
        <v>0</v>
      </c>
      <c r="BY1601" s="129">
        <f t="shared" si="1166"/>
        <v>-35</v>
      </c>
      <c r="BZ1601" s="111">
        <f t="shared" si="1167"/>
        <v>0</v>
      </c>
      <c r="CA1601" s="138">
        <f t="shared" si="1168"/>
        <v>35</v>
      </c>
      <c r="CB1601" s="111" t="e">
        <f t="shared" si="1195"/>
        <v>#VALUE!</v>
      </c>
      <c r="CC1601" s="129">
        <f t="shared" si="1196"/>
        <v>35</v>
      </c>
      <c r="CD1601" s="129">
        <f t="shared" si="1197"/>
        <v>0</v>
      </c>
      <c r="CG1601" s="129" t="str">
        <f t="shared" si="1169"/>
        <v>Y</v>
      </c>
      <c r="CI1601" s="129" t="str">
        <f t="shared" si="1170"/>
        <v>31-60 DAYS</v>
      </c>
      <c r="CJ1601" s="137">
        <f t="shared" si="1171"/>
        <v>3</v>
      </c>
      <c r="CK1601" s="129" t="str">
        <f t="shared" si="1172"/>
        <v>Booked</v>
      </c>
    </row>
    <row r="1602" spans="1:89" ht="15.75" customHeight="1" x14ac:dyDescent="0.25">
      <c r="A1602" s="111">
        <v>2297</v>
      </c>
      <c r="B1602" s="128" t="str">
        <f t="shared" ref="B1602:B1665" si="1201">IF(BD1602&lt;&gt;"","Y","N")</f>
        <v>N</v>
      </c>
      <c r="C1602" s="128" t="str">
        <f t="shared" ref="C1602:C1665" si="1202">IF((AND(AV1602="",AX1602="",AY1602="")),"N","Y")</f>
        <v>N</v>
      </c>
      <c r="D1602" s="117">
        <v>2152597</v>
      </c>
      <c r="E1602" s="135">
        <f t="shared" ref="E1602:E1665" si="1203">IF(OR(AL1602="ACQUITTAL",AL1602="ACQUIT",AL1602="acq insane",AL1602="DISMISSED",AL1602="NO BILL"),1,IF(AL1602="DEFERRED",2,IF(AL1602="PROBATION",3,IF(OR(AL1602="HCJ",AL1602="fine"),4,IF(AL1602="STJ",5,IF(AL1602="TDC",6,""))))))</f>
        <v>6</v>
      </c>
      <c r="F1602" s="124">
        <v>40996</v>
      </c>
      <c r="G1602" s="125">
        <v>40997</v>
      </c>
      <c r="H1602" s="117">
        <v>2152597</v>
      </c>
      <c r="I1602" s="124">
        <v>40996</v>
      </c>
      <c r="J1602" s="124">
        <v>40997</v>
      </c>
      <c r="K1602" s="126">
        <v>40000</v>
      </c>
      <c r="L1602" s="129" t="s">
        <v>572</v>
      </c>
      <c r="N1602" s="129" t="str">
        <f>IF(M1602&gt;1/1/1,"Y","N")</f>
        <v>N</v>
      </c>
      <c r="O1602" s="128" t="s">
        <v>917</v>
      </c>
      <c r="P1602" s="129" t="s">
        <v>39</v>
      </c>
      <c r="Q1602" s="111">
        <f t="shared" si="1192"/>
        <v>2</v>
      </c>
      <c r="R1602" s="111">
        <f t="shared" si="1175"/>
        <v>2</v>
      </c>
      <c r="S1602" s="129">
        <v>2</v>
      </c>
      <c r="T1602" s="129">
        <v>8</v>
      </c>
      <c r="U1602" s="129">
        <v>1</v>
      </c>
      <c r="W1602" s="111"/>
      <c r="AC1602" s="130"/>
      <c r="AD1602" s="130">
        <v>31859</v>
      </c>
      <c r="AE1602" s="128" t="s">
        <v>32</v>
      </c>
      <c r="AF1602" s="128" t="s">
        <v>33</v>
      </c>
      <c r="AG1602" s="128" t="s">
        <v>872</v>
      </c>
      <c r="AH1602" s="108" t="s">
        <v>31</v>
      </c>
      <c r="AI1602" s="128" t="s">
        <v>53</v>
      </c>
      <c r="AJ1602" s="129" t="s">
        <v>89</v>
      </c>
      <c r="AK1602" s="129">
        <v>1</v>
      </c>
      <c r="AL1602" s="3" t="s">
        <v>362</v>
      </c>
      <c r="AM1602" s="117">
        <v>4</v>
      </c>
      <c r="AP1602" s="129" t="s">
        <v>49</v>
      </c>
      <c r="AR1602" s="128" t="s">
        <v>50</v>
      </c>
      <c r="AS1602" s="129" t="s">
        <v>45</v>
      </c>
      <c r="BC1602" s="129" t="s">
        <v>38</v>
      </c>
      <c r="BF1602" s="111">
        <f t="shared" si="1193"/>
        <v>2</v>
      </c>
      <c r="BG1602" s="111">
        <f t="shared" si="1194"/>
        <v>2</v>
      </c>
      <c r="BH1602" s="111">
        <f t="shared" si="1198"/>
        <v>2</v>
      </c>
      <c r="BI1602" s="111">
        <f t="shared" si="1199"/>
        <v>24.964480874316941</v>
      </c>
      <c r="BJ1602" s="129">
        <f t="shared" ref="BJ1602:BJ1665" si="1204">G1602-J1602-M1602</f>
        <v>0</v>
      </c>
      <c r="BK1602" s="129">
        <f t="shared" si="1200"/>
        <v>0</v>
      </c>
      <c r="BL1602" s="129" t="str">
        <f t="shared" si="1177"/>
        <v>CONVICTION</v>
      </c>
      <c r="BM1602" s="129" t="str">
        <f t="shared" ref="BM1602:BM1665" si="1205">O1602</f>
        <v>NONE</v>
      </c>
      <c r="BN1602" s="129" t="s">
        <v>566</v>
      </c>
      <c r="BP1602" s="137" t="str">
        <f t="shared" ref="BP1602:BP1665" si="1206">IF(OR(AJ1602="AQUITTAL",AJ1602="DISMISSED",AJ1602="FINE",AJ1602="NO BILL"),"NO CONVICTION",IF(OR(AJ1602="HCJ",AJ1602="MHH",AJ1602="PROBATION",AJ1602="STJ",AJ1602="TDC",AJ1602="CONVICTED"),"CONVICTION",IF(AJ1602="DEFERRED","DEFERRED","")))</f>
        <v>CONVICTION</v>
      </c>
      <c r="BQ1602" s="128" t="str">
        <f t="shared" ref="BQ1602:BQ1665" si="1207">IF(BF1602&gt;0,"Y",BF1602)</f>
        <v>Y</v>
      </c>
      <c r="BR1602" s="129" t="str">
        <f t="shared" ref="BR1602:BR1665" si="1208">IF(AND(J1602="NOT BOOKED",M1602&gt;1/1/1),"BONDED - BEFORE BOOKED",IF(BG1602="STILL OPEN","STILL OPEN",IF(N1602="Y","ON BOND",IF(J1602&gt;=G1602,"DETAINED","RELEASED"))))</f>
        <v>DETAINED</v>
      </c>
      <c r="BS1602" s="129" t="str">
        <f t="shared" ref="BS1602:BS1665" si="1209">IF(G1602&lt;&gt;"","DISPOSED","")</f>
        <v>DISPOSED</v>
      </c>
      <c r="BT1602" s="129" t="str">
        <f t="shared" ref="BT1602:BT1665" si="1210">IF(S1602&gt;0,"Y","N")</f>
        <v>Y</v>
      </c>
      <c r="BU1602" s="109">
        <f t="shared" ref="BU1602:BU1665" si="1211">Q1602/R1602</f>
        <v>1</v>
      </c>
      <c r="BV1602" s="109">
        <f t="shared" ref="BV1602:BV1665" si="1212">IF(I1602&gt;F1602,((J1602-I1602+1)/(G1602-I1602+1)),(J1602-I1602+1)/(G1602-F1602+1))</f>
        <v>1</v>
      </c>
      <c r="BW1602" s="109">
        <f t="shared" si="1191"/>
        <v>0</v>
      </c>
      <c r="BX1602" s="111">
        <f t="shared" ref="BX1602:BX1665" si="1213">+Q1602-BF1602</f>
        <v>0</v>
      </c>
      <c r="BY1602" s="129">
        <f t="shared" ref="BY1602:BY1665" si="1214">I1602-J1602-1</f>
        <v>-2</v>
      </c>
      <c r="BZ1602" s="111">
        <f t="shared" ref="BZ1602:BZ1665" si="1215">BY1602+BF1602</f>
        <v>0</v>
      </c>
      <c r="CA1602" s="138">
        <f t="shared" ref="CA1602:CA1665" si="1216">IF(AND(BS1602="DISPOSED",BR1602="DETAINED"),G1602-I1602+1,IF(AND(BS1602="DISPOSED",BR1602="ON BOND"),M1602-I1602+1,IF(AND(BS1602="STILL OPEN","STILL OPEN"),"NOT BOOKED")))</f>
        <v>2</v>
      </c>
      <c r="CB1602" s="111" t="e">
        <f t="shared" si="1195"/>
        <v>#VALUE!</v>
      </c>
      <c r="CC1602" s="129">
        <f t="shared" si="1196"/>
        <v>2</v>
      </c>
      <c r="CD1602" s="129">
        <f t="shared" si="1197"/>
        <v>0</v>
      </c>
      <c r="CG1602" s="129" t="str">
        <f t="shared" ref="CG1602:CG1665" si="1217">IF((S1602+T1602+U1602)&gt;0,"Y","N")</f>
        <v>Y</v>
      </c>
      <c r="CI1602" s="129" t="str">
        <f t="shared" si="1170"/>
        <v>0-10 DAYS</v>
      </c>
      <c r="CJ1602" s="137">
        <f t="shared" si="1171"/>
        <v>1</v>
      </c>
      <c r="CK1602" s="129" t="str">
        <f t="shared" si="1172"/>
        <v>Booked</v>
      </c>
    </row>
    <row r="1603" spans="1:89" ht="15" customHeight="1" x14ac:dyDescent="0.25">
      <c r="A1603" s="111">
        <v>1261</v>
      </c>
      <c r="B1603" s="128" t="str">
        <f t="shared" si="1201"/>
        <v>Y</v>
      </c>
      <c r="C1603" s="128" t="str">
        <f t="shared" si="1202"/>
        <v>Y</v>
      </c>
      <c r="D1603" s="117">
        <v>2153802</v>
      </c>
      <c r="E1603" s="135">
        <f t="shared" si="1203"/>
        <v>6</v>
      </c>
      <c r="F1603" s="124">
        <v>40955</v>
      </c>
      <c r="G1603" s="125">
        <v>41114</v>
      </c>
      <c r="H1603" s="117">
        <v>2153802</v>
      </c>
      <c r="I1603" s="124">
        <v>40955</v>
      </c>
      <c r="J1603" s="124">
        <v>40975</v>
      </c>
      <c r="K1603" s="126">
        <v>20000</v>
      </c>
      <c r="L1603" s="127" t="s">
        <v>571</v>
      </c>
      <c r="M1603" s="125">
        <v>40975</v>
      </c>
      <c r="N1603" s="129" t="str">
        <f>IF(M1603&gt;1/1/1,"Y","N")</f>
        <v>Y</v>
      </c>
      <c r="O1603" s="128" t="s">
        <v>76</v>
      </c>
      <c r="P1603" s="129" t="s">
        <v>39</v>
      </c>
      <c r="Q1603" s="111">
        <v>103</v>
      </c>
      <c r="R1603" s="111">
        <f t="shared" si="1175"/>
        <v>160</v>
      </c>
      <c r="S1603" s="129">
        <v>3</v>
      </c>
      <c r="T1603" s="129">
        <v>4</v>
      </c>
      <c r="U1603" s="129">
        <v>1</v>
      </c>
      <c r="W1603" s="111"/>
      <c r="AC1603" s="130"/>
      <c r="AD1603" s="130">
        <v>31831</v>
      </c>
      <c r="AE1603" s="128" t="s">
        <v>32</v>
      </c>
      <c r="AF1603" s="128" t="s">
        <v>33</v>
      </c>
      <c r="AG1603" s="128" t="s">
        <v>872</v>
      </c>
      <c r="AH1603" s="108" t="s">
        <v>31</v>
      </c>
      <c r="AI1603" s="128" t="s">
        <v>95</v>
      </c>
      <c r="AJ1603" s="129" t="s">
        <v>89</v>
      </c>
      <c r="AK1603" s="129">
        <v>8</v>
      </c>
      <c r="AL1603" s="3" t="s">
        <v>362</v>
      </c>
      <c r="AM1603" s="117">
        <v>2</v>
      </c>
      <c r="AP1603" s="129" t="s">
        <v>150</v>
      </c>
      <c r="AR1603" s="128" t="s">
        <v>67</v>
      </c>
      <c r="AS1603" s="129" t="s">
        <v>74</v>
      </c>
      <c r="AT1603" s="129" t="s">
        <v>1415</v>
      </c>
      <c r="AU1603" s="3" t="s">
        <v>718</v>
      </c>
      <c r="AV1603" s="129"/>
      <c r="AW1603" s="3"/>
      <c r="AX1603" s="32" t="s">
        <v>88</v>
      </c>
      <c r="BC1603" s="129" t="s">
        <v>38</v>
      </c>
      <c r="BD1603" s="129" t="s">
        <v>1291</v>
      </c>
      <c r="BF1603" s="111">
        <v>103</v>
      </c>
      <c r="BG1603" s="111">
        <f t="shared" si="1194"/>
        <v>160</v>
      </c>
      <c r="BH1603" s="111">
        <f t="shared" si="1198"/>
        <v>160</v>
      </c>
      <c r="BI1603" s="111">
        <f t="shared" si="1199"/>
        <v>24.928961748633881</v>
      </c>
      <c r="BJ1603" s="129">
        <f>(G1603-J1603)+(M1603-G1603)</f>
        <v>0</v>
      </c>
      <c r="BK1603" s="129">
        <f t="shared" si="1200"/>
        <v>-139</v>
      </c>
      <c r="BL1603" s="129" t="str">
        <f t="shared" si="1177"/>
        <v>CONVICTION</v>
      </c>
      <c r="BM1603" s="129" t="s">
        <v>76</v>
      </c>
      <c r="BN1603" s="129" t="s">
        <v>88</v>
      </c>
      <c r="BP1603" s="137" t="str">
        <f t="shared" si="1206"/>
        <v>CONVICTION</v>
      </c>
      <c r="BQ1603" s="128" t="str">
        <f t="shared" si="1207"/>
        <v>Y</v>
      </c>
      <c r="BR1603" s="129" t="s">
        <v>574</v>
      </c>
      <c r="BS1603" s="129" t="str">
        <f t="shared" si="1209"/>
        <v>DISPOSED</v>
      </c>
      <c r="BT1603" s="129" t="str">
        <f t="shared" si="1210"/>
        <v>Y</v>
      </c>
      <c r="BU1603" s="109">
        <f t="shared" si="1211"/>
        <v>0.64375000000000004</v>
      </c>
      <c r="BV1603" s="109">
        <f t="shared" si="1212"/>
        <v>0.13125000000000001</v>
      </c>
      <c r="BW1603" s="109">
        <f t="shared" si="1191"/>
        <v>-0.51250000000000007</v>
      </c>
      <c r="BX1603" s="111">
        <f t="shared" si="1213"/>
        <v>0</v>
      </c>
      <c r="BY1603" s="129">
        <f t="shared" si="1214"/>
        <v>-21</v>
      </c>
      <c r="BZ1603" s="111">
        <f t="shared" si="1215"/>
        <v>82</v>
      </c>
      <c r="CA1603" s="138">
        <f t="shared" si="1216"/>
        <v>160</v>
      </c>
      <c r="CB1603" s="111">
        <v>103</v>
      </c>
      <c r="CC1603" s="129">
        <f t="shared" si="1196"/>
        <v>160</v>
      </c>
      <c r="CD1603" s="129">
        <f t="shared" si="1197"/>
        <v>139</v>
      </c>
      <c r="CG1603" s="129" t="str">
        <f t="shared" si="1217"/>
        <v>Y</v>
      </c>
      <c r="CI1603" s="129" t="str">
        <f t="shared" ref="CI1603:CI1666" si="1218">IF(BF1603&lt;11,"0-10 DAYS",IF(AND(BF1603&gt;10,BF1603&lt;31),"11-30 DAYS",IF((AND(BF1603&gt;30,BF1603&lt;61)),"31-60 DAYS",IF(AND(BF1603&gt;60,BF1603&lt;91),"61-90 DAYS",IF(AND(BF1603&gt;90,BF1603&lt;121),"91-120 DAYS",IF(AND(BF1603&gt;120,BF1603&lt;366),"121-365 DAYS",IF(AND(BF1603&gt;365,BF1603&lt;730)," &gt;1YRS&lt;2YRS",IF(AND(BF1603&gt;729,BF1603&lt;1095),"&gt;2YRS&lt;3YRS",IF(BF1603&gt;1094,"&gt;3YRS")))))))))</f>
        <v>91-120 DAYS</v>
      </c>
      <c r="CJ1603" s="137">
        <f t="shared" ref="CJ1603:CJ1666" si="1219">IF(CI1603="0-10 DAYS",1,IF(CI1603="11-30 DAYS",2,IF(CI1603="31-60 DAYS",3,IF(CI1603="61-90 DAYS",4,IF(CK1603="91-120 DAYS",5,IF(CI1603="121-365 DAYS",6,IF(CI1603="&gt;1YRS&lt;2YRS",7,IF(CI1603="&gt;2YRS&lt;3YRS",8,IF(CI1603="&gt;3YRS",9,0)))))))))</f>
        <v>0</v>
      </c>
      <c r="CK1603" s="129" t="str">
        <f t="shared" ref="CK1603:CK1666" si="1220">IF(I1603="Not Booked","Not Booked","Booked")</f>
        <v>Booked</v>
      </c>
    </row>
    <row r="1604" spans="1:89" ht="15" customHeight="1" x14ac:dyDescent="0.25">
      <c r="A1604" s="111">
        <v>1913</v>
      </c>
      <c r="B1604" s="128" t="str">
        <f t="shared" si="1201"/>
        <v>Y</v>
      </c>
      <c r="C1604" s="128" t="str">
        <f t="shared" si="1202"/>
        <v>N</v>
      </c>
      <c r="D1604" s="117">
        <v>2154510</v>
      </c>
      <c r="E1604" s="135">
        <f t="shared" si="1203"/>
        <v>1</v>
      </c>
      <c r="F1604" s="124">
        <v>40980</v>
      </c>
      <c r="G1604" s="125">
        <v>41668</v>
      </c>
      <c r="H1604" s="117">
        <v>2154510</v>
      </c>
      <c r="I1604" s="124">
        <v>40980</v>
      </c>
      <c r="J1604" s="124">
        <v>41063</v>
      </c>
      <c r="K1604" s="126">
        <v>20000</v>
      </c>
      <c r="L1604" s="127" t="s">
        <v>571</v>
      </c>
      <c r="M1604" s="125">
        <v>41063</v>
      </c>
      <c r="N1604" s="129" t="str">
        <f>IF(M1604&gt;1/1/1,"Y","N")</f>
        <v>Y</v>
      </c>
      <c r="O1604" s="128" t="s">
        <v>76</v>
      </c>
      <c r="P1604" s="129" t="s">
        <v>55</v>
      </c>
      <c r="Q1604" s="111">
        <v>82</v>
      </c>
      <c r="R1604" s="111">
        <f t="shared" si="1175"/>
        <v>689</v>
      </c>
      <c r="S1604" s="129">
        <v>3</v>
      </c>
      <c r="T1604" s="129">
        <v>4</v>
      </c>
      <c r="U1604" s="129">
        <v>2</v>
      </c>
      <c r="W1604" s="111"/>
      <c r="AB1604" s="131" t="s">
        <v>112</v>
      </c>
      <c r="AC1604" s="130"/>
      <c r="AD1604" s="130">
        <v>31864</v>
      </c>
      <c r="AE1604" s="128" t="s">
        <v>32</v>
      </c>
      <c r="AF1604" s="128" t="s">
        <v>40</v>
      </c>
      <c r="AG1604" s="128" t="s">
        <v>41</v>
      </c>
      <c r="AH1604" s="108" t="s">
        <v>31</v>
      </c>
      <c r="AI1604" s="128" t="s">
        <v>80</v>
      </c>
      <c r="AJ1604" s="129" t="s">
        <v>55</v>
      </c>
      <c r="AK1604" s="129">
        <v>17</v>
      </c>
      <c r="AL1604" s="3" t="s">
        <v>55</v>
      </c>
      <c r="AP1604" s="129" t="s">
        <v>66</v>
      </c>
      <c r="AR1604" s="128" t="s">
        <v>67</v>
      </c>
      <c r="AS1604" s="129" t="s">
        <v>68</v>
      </c>
      <c r="BC1604" s="129" t="s">
        <v>52</v>
      </c>
      <c r="BD1604" s="129" t="s">
        <v>1369</v>
      </c>
      <c r="BF1604" s="111">
        <v>82</v>
      </c>
      <c r="BG1604" s="111">
        <f t="shared" si="1194"/>
        <v>689</v>
      </c>
      <c r="BH1604" s="111">
        <f t="shared" si="1198"/>
        <v>689</v>
      </c>
      <c r="BI1604" s="111">
        <f t="shared" si="1199"/>
        <v>24.907103825136613</v>
      </c>
      <c r="BJ1604" s="129">
        <f>(G1604-J1604)+(M1604-G1604)</f>
        <v>0</v>
      </c>
      <c r="BK1604" s="129">
        <f t="shared" si="1200"/>
        <v>-605</v>
      </c>
      <c r="BL1604" s="129" t="str">
        <f t="shared" si="1177"/>
        <v>NO CONVICTION</v>
      </c>
      <c r="BM1604" s="129" t="s">
        <v>76</v>
      </c>
      <c r="BN1604" s="129" t="s">
        <v>88</v>
      </c>
      <c r="BP1604" s="137" t="str">
        <f t="shared" si="1206"/>
        <v>NO CONVICTION</v>
      </c>
      <c r="BQ1604" s="128" t="str">
        <f t="shared" si="1207"/>
        <v>Y</v>
      </c>
      <c r="BR1604" s="129" t="str">
        <f t="shared" ref="BR1604" si="1221">IF(AND(J1604="NOT BOOKED",M1604&gt;1/1/1),"BONDED - BEFORE BOOKED",IF(BG1604="STILL OPEN","STILL OPEN",IF(N1604="Y","ON BOND",IF(J1604&gt;=G1604,"DETAINED","RELEASED"))))</f>
        <v>ON BOND</v>
      </c>
      <c r="BS1604" s="129" t="str">
        <f t="shared" si="1209"/>
        <v>DISPOSED</v>
      </c>
      <c r="BT1604" s="129" t="str">
        <f t="shared" si="1210"/>
        <v>Y</v>
      </c>
      <c r="BU1604" s="109">
        <f>IFERROR(Q1604/R1604,BR1604)</f>
        <v>0.11901306240928883</v>
      </c>
      <c r="BV1604" s="139">
        <v>0.11899999999999999</v>
      </c>
      <c r="BW1604" s="109">
        <v>0</v>
      </c>
      <c r="BX1604" s="111">
        <f t="shared" si="1213"/>
        <v>0</v>
      </c>
      <c r="BY1604" s="129">
        <f t="shared" si="1214"/>
        <v>-84</v>
      </c>
      <c r="BZ1604" s="111">
        <f t="shared" si="1215"/>
        <v>-2</v>
      </c>
      <c r="CA1604" s="138">
        <f t="shared" si="1216"/>
        <v>84</v>
      </c>
      <c r="CB1604" s="111" t="e">
        <f t="shared" ref="CB1604" si="1222">IF(AF1604&gt;1/1/1900,((AF1604+1)-AE1604),"STILL OPEN")</f>
        <v>#VALUE!</v>
      </c>
      <c r="CC1604" s="129">
        <v>82</v>
      </c>
      <c r="CG1604" s="129" t="str">
        <f t="shared" si="1217"/>
        <v>Y</v>
      </c>
      <c r="CH1604" s="129" t="e">
        <v>#N/A</v>
      </c>
      <c r="CI1604" s="129" t="str">
        <f t="shared" si="1218"/>
        <v>61-90 DAYS</v>
      </c>
      <c r="CJ1604" s="137">
        <f t="shared" si="1219"/>
        <v>4</v>
      </c>
      <c r="CK1604" s="129" t="str">
        <f t="shared" si="1220"/>
        <v>Booked</v>
      </c>
    </row>
    <row r="1605" spans="1:89" ht="15" customHeight="1" x14ac:dyDescent="0.25">
      <c r="A1605" s="111">
        <v>469</v>
      </c>
      <c r="B1605" s="128" t="str">
        <f t="shared" si="1201"/>
        <v>N</v>
      </c>
      <c r="C1605" s="128" t="str">
        <f t="shared" si="1202"/>
        <v>N</v>
      </c>
      <c r="D1605" s="117">
        <v>2154770</v>
      </c>
      <c r="E1605" s="135">
        <f t="shared" si="1203"/>
        <v>1</v>
      </c>
      <c r="F1605" s="124">
        <v>40927</v>
      </c>
      <c r="G1605" s="125">
        <v>40962</v>
      </c>
      <c r="H1605" s="117">
        <v>2154770</v>
      </c>
      <c r="I1605" s="124">
        <v>40928</v>
      </c>
      <c r="J1605" s="124">
        <v>40962</v>
      </c>
      <c r="K1605" s="126" t="s">
        <v>564</v>
      </c>
      <c r="L1605" s="127" t="s">
        <v>564</v>
      </c>
      <c r="N1605" s="129" t="s">
        <v>566</v>
      </c>
      <c r="O1605" s="128" t="s">
        <v>917</v>
      </c>
      <c r="P1605" s="116" t="s">
        <v>55</v>
      </c>
      <c r="Q1605" s="111">
        <f t="shared" si="1192"/>
        <v>35</v>
      </c>
      <c r="R1605" s="111">
        <f t="shared" si="1175"/>
        <v>36</v>
      </c>
      <c r="S1605" s="129">
        <v>2</v>
      </c>
      <c r="T1605" s="129">
        <v>3</v>
      </c>
      <c r="U1605" s="129">
        <v>1</v>
      </c>
      <c r="W1605" s="111"/>
      <c r="AC1605" s="130"/>
      <c r="AD1605" s="130">
        <v>31627</v>
      </c>
      <c r="AE1605" s="128" t="s">
        <v>32</v>
      </c>
      <c r="AF1605" s="128" t="s">
        <v>33</v>
      </c>
      <c r="AG1605" s="128" t="s">
        <v>872</v>
      </c>
      <c r="AH1605" s="108" t="s">
        <v>58</v>
      </c>
      <c r="AI1605" s="128" t="s">
        <v>85</v>
      </c>
      <c r="AJ1605" s="129" t="s">
        <v>55</v>
      </c>
      <c r="AK1605" s="129">
        <v>2</v>
      </c>
      <c r="AL1605" s="3" t="s">
        <v>55</v>
      </c>
      <c r="AP1605" s="129" t="s">
        <v>132</v>
      </c>
      <c r="AR1605" s="128" t="s">
        <v>92</v>
      </c>
      <c r="AS1605" s="129" t="s">
        <v>82</v>
      </c>
      <c r="BC1605" s="129" t="s">
        <v>38</v>
      </c>
      <c r="BF1605" s="111">
        <f t="shared" si="1193"/>
        <v>35</v>
      </c>
      <c r="BG1605" s="111">
        <f t="shared" si="1194"/>
        <v>35</v>
      </c>
      <c r="BH1605" s="111">
        <f t="shared" si="1198"/>
        <v>36</v>
      </c>
      <c r="BI1605" s="111">
        <f t="shared" si="1199"/>
        <v>25.409836065573771</v>
      </c>
      <c r="BJ1605" s="129">
        <f t="shared" si="1204"/>
        <v>0</v>
      </c>
      <c r="BK1605" s="129">
        <f t="shared" si="1200"/>
        <v>0</v>
      </c>
      <c r="BL1605" s="129" t="str">
        <f t="shared" si="1177"/>
        <v>NO CONVICTION</v>
      </c>
      <c r="BM1605" s="129" t="str">
        <f t="shared" si="1205"/>
        <v>NONE</v>
      </c>
      <c r="BN1605" s="129" t="s">
        <v>566</v>
      </c>
      <c r="BP1605" s="137" t="str">
        <f t="shared" si="1206"/>
        <v>NO CONVICTION</v>
      </c>
      <c r="BQ1605" s="128" t="str">
        <f t="shared" si="1207"/>
        <v>Y</v>
      </c>
      <c r="BR1605" s="129" t="str">
        <f t="shared" si="1208"/>
        <v>DETAINED</v>
      </c>
      <c r="BS1605" s="129" t="str">
        <f t="shared" si="1209"/>
        <v>DISPOSED</v>
      </c>
      <c r="BT1605" s="129" t="str">
        <f t="shared" si="1210"/>
        <v>Y</v>
      </c>
      <c r="BU1605" s="109">
        <f>IFERROR(Q1605/R1605,BR1605)</f>
        <v>0.97222222222222221</v>
      </c>
      <c r="BV1605" s="109">
        <f t="shared" si="1212"/>
        <v>1</v>
      </c>
      <c r="BW1605" s="109">
        <f t="shared" ref="BW1605:BW1642" si="1223">BV1605-BU1605</f>
        <v>2.777777777777779E-2</v>
      </c>
      <c r="BX1605" s="111">
        <f t="shared" si="1213"/>
        <v>0</v>
      </c>
      <c r="BY1605" s="129">
        <f t="shared" si="1214"/>
        <v>-35</v>
      </c>
      <c r="BZ1605" s="111">
        <f t="shared" si="1215"/>
        <v>0</v>
      </c>
      <c r="CA1605" s="138">
        <f t="shared" si="1216"/>
        <v>35</v>
      </c>
      <c r="CB1605" s="111" t="e">
        <f t="shared" si="1195"/>
        <v>#VALUE!</v>
      </c>
      <c r="CC1605" s="129">
        <f>G1605-I1605+1</f>
        <v>35</v>
      </c>
      <c r="CD1605" s="129">
        <f>G1605-J1605</f>
        <v>0</v>
      </c>
      <c r="CG1605" s="129" t="str">
        <f t="shared" si="1217"/>
        <v>Y</v>
      </c>
      <c r="CI1605" s="129" t="str">
        <f t="shared" si="1218"/>
        <v>31-60 DAYS</v>
      </c>
      <c r="CJ1605" s="137">
        <f t="shared" si="1219"/>
        <v>3</v>
      </c>
      <c r="CK1605" s="129" t="str">
        <f t="shared" si="1220"/>
        <v>Booked</v>
      </c>
    </row>
    <row r="1606" spans="1:89" ht="15" customHeight="1" x14ac:dyDescent="0.25">
      <c r="A1606" s="111">
        <v>454</v>
      </c>
      <c r="B1606" s="128" t="str">
        <f t="shared" si="1201"/>
        <v>N</v>
      </c>
      <c r="C1606" s="128" t="str">
        <f t="shared" si="1202"/>
        <v>N</v>
      </c>
      <c r="D1606" s="117">
        <v>2155422</v>
      </c>
      <c r="E1606" s="135">
        <f t="shared" si="1203"/>
        <v>2</v>
      </c>
      <c r="F1606" s="124">
        <v>40927</v>
      </c>
      <c r="G1606" s="125">
        <v>41078</v>
      </c>
      <c r="H1606" s="117">
        <v>2155422</v>
      </c>
      <c r="I1606" s="124">
        <v>40928</v>
      </c>
      <c r="J1606" s="124">
        <v>40928</v>
      </c>
      <c r="K1606" s="126">
        <v>10000</v>
      </c>
      <c r="L1606" s="127" t="s">
        <v>570</v>
      </c>
      <c r="M1606" s="125">
        <v>40928</v>
      </c>
      <c r="N1606" s="129" t="str">
        <f t="shared" ref="N1606:N1613" si="1224">IF(M1606&gt;1/1/1,"Y","N")</f>
        <v>Y</v>
      </c>
      <c r="O1606" s="128" t="s">
        <v>76</v>
      </c>
      <c r="P1606" s="129" t="s">
        <v>589</v>
      </c>
      <c r="Q1606" s="111">
        <f t="shared" si="1192"/>
        <v>1</v>
      </c>
      <c r="R1606" s="111">
        <f t="shared" si="1175"/>
        <v>152</v>
      </c>
      <c r="S1606" s="129">
        <v>1</v>
      </c>
      <c r="T1606" s="129">
        <v>0</v>
      </c>
      <c r="V1606" s="117">
        <v>1</v>
      </c>
      <c r="W1606" s="111"/>
      <c r="AC1606" s="130"/>
      <c r="AD1606" s="130">
        <v>31826</v>
      </c>
      <c r="AE1606" s="128" t="s">
        <v>32</v>
      </c>
      <c r="AF1606" s="128" t="s">
        <v>33</v>
      </c>
      <c r="AG1606" s="128" t="s">
        <v>872</v>
      </c>
      <c r="AH1606" s="108" t="s">
        <v>31</v>
      </c>
      <c r="AI1606" s="128" t="s">
        <v>72</v>
      </c>
      <c r="AJ1606" s="129" t="s">
        <v>48</v>
      </c>
      <c r="AK1606" s="129">
        <v>6</v>
      </c>
      <c r="AL1606" s="3" t="s">
        <v>48</v>
      </c>
      <c r="AP1606" s="129" t="s">
        <v>56</v>
      </c>
      <c r="AR1606" s="128" t="s">
        <v>50</v>
      </c>
      <c r="AS1606" s="129" t="s">
        <v>57</v>
      </c>
      <c r="BC1606" s="129" t="s">
        <v>52</v>
      </c>
      <c r="BF1606" s="111">
        <f t="shared" si="1193"/>
        <v>1</v>
      </c>
      <c r="BG1606" s="111">
        <f t="shared" si="1194"/>
        <v>151</v>
      </c>
      <c r="BH1606" s="111">
        <f t="shared" si="1198"/>
        <v>152</v>
      </c>
      <c r="BI1606" s="111">
        <f t="shared" si="1199"/>
        <v>24.866120218579233</v>
      </c>
      <c r="BJ1606" s="129">
        <f>(G1606-J1606)+(M1606-G1606)</f>
        <v>0</v>
      </c>
      <c r="BK1606" s="129">
        <f t="shared" si="1200"/>
        <v>-150</v>
      </c>
      <c r="BL1606" s="129" t="str">
        <f t="shared" si="1177"/>
        <v>DEFERRED</v>
      </c>
      <c r="BM1606" s="129" t="s">
        <v>76</v>
      </c>
      <c r="BN1606" s="129" t="s">
        <v>88</v>
      </c>
      <c r="BP1606" s="137" t="str">
        <f t="shared" si="1206"/>
        <v>DEFERRED</v>
      </c>
      <c r="BQ1606" s="128" t="str">
        <f t="shared" si="1207"/>
        <v>Y</v>
      </c>
      <c r="BR1606" s="129" t="str">
        <f t="shared" si="1208"/>
        <v>ON BOND</v>
      </c>
      <c r="BS1606" s="129" t="str">
        <f t="shared" si="1209"/>
        <v>DISPOSED</v>
      </c>
      <c r="BT1606" s="129" t="str">
        <f t="shared" si="1210"/>
        <v>Y</v>
      </c>
      <c r="BU1606" s="109">
        <f t="shared" si="1211"/>
        <v>6.5789473684210523E-3</v>
      </c>
      <c r="BV1606" s="109">
        <f t="shared" si="1212"/>
        <v>6.6225165562913907E-3</v>
      </c>
      <c r="BW1606" s="109">
        <f t="shared" si="1223"/>
        <v>4.3569187870338456E-5</v>
      </c>
      <c r="BX1606" s="111">
        <f t="shared" si="1213"/>
        <v>0</v>
      </c>
      <c r="BY1606" s="129">
        <f t="shared" si="1214"/>
        <v>-1</v>
      </c>
      <c r="BZ1606" s="111">
        <f t="shared" si="1215"/>
        <v>0</v>
      </c>
      <c r="CA1606" s="138">
        <f t="shared" si="1216"/>
        <v>1</v>
      </c>
      <c r="CB1606" s="111" t="e">
        <f t="shared" si="1195"/>
        <v>#VALUE!</v>
      </c>
      <c r="CC1606" s="129">
        <f>M1606-I1606+1</f>
        <v>1</v>
      </c>
      <c r="CD1606" s="111">
        <f>CC1606-BF1606</f>
        <v>0</v>
      </c>
      <c r="CG1606" s="129" t="str">
        <f t="shared" si="1217"/>
        <v>Y</v>
      </c>
      <c r="CI1606" s="129" t="str">
        <f t="shared" si="1218"/>
        <v>0-10 DAYS</v>
      </c>
      <c r="CJ1606" s="137">
        <f t="shared" si="1219"/>
        <v>1</v>
      </c>
      <c r="CK1606" s="129" t="str">
        <f t="shared" si="1220"/>
        <v>Booked</v>
      </c>
    </row>
    <row r="1607" spans="1:89" ht="15.75" customHeight="1" x14ac:dyDescent="0.25">
      <c r="A1607" s="111">
        <v>777</v>
      </c>
      <c r="B1607" s="128" t="str">
        <f t="shared" si="1201"/>
        <v>N</v>
      </c>
      <c r="C1607" s="128" t="str">
        <f t="shared" si="1202"/>
        <v>N</v>
      </c>
      <c r="D1607" s="117">
        <v>2155712</v>
      </c>
      <c r="E1607" s="135">
        <f t="shared" si="1203"/>
        <v>6</v>
      </c>
      <c r="F1607" s="124">
        <v>40939</v>
      </c>
      <c r="G1607" s="125">
        <v>40940</v>
      </c>
      <c r="H1607" s="117">
        <v>2155712</v>
      </c>
      <c r="I1607" s="124">
        <v>40939</v>
      </c>
      <c r="J1607" s="124">
        <v>40940</v>
      </c>
      <c r="K1607" s="126">
        <v>20000</v>
      </c>
      <c r="L1607" s="127" t="s">
        <v>571</v>
      </c>
      <c r="N1607" s="129" t="str">
        <f t="shared" si="1224"/>
        <v>N</v>
      </c>
      <c r="O1607" s="128" t="s">
        <v>917</v>
      </c>
      <c r="P1607" s="129" t="s">
        <v>39</v>
      </c>
      <c r="Q1607" s="111">
        <f t="shared" si="1192"/>
        <v>2</v>
      </c>
      <c r="R1607" s="111">
        <f t="shared" si="1175"/>
        <v>2</v>
      </c>
      <c r="S1607" s="129">
        <v>5</v>
      </c>
      <c r="T1607" s="129">
        <v>3</v>
      </c>
      <c r="U1607" s="129">
        <v>2</v>
      </c>
      <c r="W1607" s="111"/>
      <c r="AC1607" s="130"/>
      <c r="AD1607" s="130">
        <v>31006</v>
      </c>
      <c r="AE1607" s="128" t="s">
        <v>32</v>
      </c>
      <c r="AF1607" s="128" t="s">
        <v>33</v>
      </c>
      <c r="AG1607" s="128" t="s">
        <v>872</v>
      </c>
      <c r="AH1607" s="108" t="s">
        <v>31</v>
      </c>
      <c r="AI1607" s="128" t="s">
        <v>85</v>
      </c>
      <c r="AJ1607" s="129" t="s">
        <v>89</v>
      </c>
      <c r="AK1607" s="129">
        <v>1</v>
      </c>
      <c r="AL1607" s="3" t="s">
        <v>362</v>
      </c>
      <c r="AM1607" s="117">
        <v>2</v>
      </c>
      <c r="AP1607" s="129" t="s">
        <v>49</v>
      </c>
      <c r="AR1607" s="128" t="s">
        <v>50</v>
      </c>
      <c r="AS1607" s="129" t="s">
        <v>45</v>
      </c>
      <c r="BC1607" s="129" t="s">
        <v>38</v>
      </c>
      <c r="BF1607" s="111">
        <f t="shared" si="1193"/>
        <v>2</v>
      </c>
      <c r="BG1607" s="111">
        <f t="shared" si="1194"/>
        <v>2</v>
      </c>
      <c r="BH1607" s="111">
        <f t="shared" si="1198"/>
        <v>2</v>
      </c>
      <c r="BI1607" s="111">
        <f t="shared" si="1199"/>
        <v>27.139344262295083</v>
      </c>
      <c r="BJ1607" s="129">
        <f t="shared" si="1204"/>
        <v>0</v>
      </c>
      <c r="BK1607" s="129">
        <f t="shared" si="1200"/>
        <v>0</v>
      </c>
      <c r="BL1607" s="129" t="str">
        <f t="shared" si="1177"/>
        <v>CONVICTION</v>
      </c>
      <c r="BM1607" s="129" t="str">
        <f t="shared" si="1205"/>
        <v>NONE</v>
      </c>
      <c r="BN1607" s="129" t="s">
        <v>566</v>
      </c>
      <c r="BP1607" s="137" t="str">
        <f t="shared" si="1206"/>
        <v>CONVICTION</v>
      </c>
      <c r="BQ1607" s="128" t="str">
        <f t="shared" si="1207"/>
        <v>Y</v>
      </c>
      <c r="BR1607" s="129" t="str">
        <f t="shared" si="1208"/>
        <v>DETAINED</v>
      </c>
      <c r="BS1607" s="129" t="str">
        <f t="shared" si="1209"/>
        <v>DISPOSED</v>
      </c>
      <c r="BT1607" s="129" t="str">
        <f t="shared" si="1210"/>
        <v>Y</v>
      </c>
      <c r="BU1607" s="109">
        <f t="shared" si="1211"/>
        <v>1</v>
      </c>
      <c r="BV1607" s="109">
        <f t="shared" si="1212"/>
        <v>1</v>
      </c>
      <c r="BW1607" s="109">
        <f t="shared" si="1223"/>
        <v>0</v>
      </c>
      <c r="BX1607" s="111">
        <f t="shared" si="1213"/>
        <v>0</v>
      </c>
      <c r="BY1607" s="129">
        <f t="shared" si="1214"/>
        <v>-2</v>
      </c>
      <c r="BZ1607" s="111">
        <f t="shared" si="1215"/>
        <v>0</v>
      </c>
      <c r="CA1607" s="138">
        <f t="shared" si="1216"/>
        <v>2</v>
      </c>
      <c r="CB1607" s="111" t="e">
        <f t="shared" si="1195"/>
        <v>#VALUE!</v>
      </c>
      <c r="CC1607" s="129">
        <f>G1607-I1607+1</f>
        <v>2</v>
      </c>
      <c r="CD1607" s="129">
        <f>G1607-J1607</f>
        <v>0</v>
      </c>
      <c r="CG1607" s="129" t="str">
        <f t="shared" si="1217"/>
        <v>Y</v>
      </c>
      <c r="CI1607" s="129" t="str">
        <f t="shared" si="1218"/>
        <v>0-10 DAYS</v>
      </c>
      <c r="CJ1607" s="137">
        <f t="shared" si="1219"/>
        <v>1</v>
      </c>
      <c r="CK1607" s="129" t="str">
        <f t="shared" si="1220"/>
        <v>Booked</v>
      </c>
    </row>
    <row r="1608" spans="1:89" ht="15" customHeight="1" x14ac:dyDescent="0.25">
      <c r="A1608" s="111">
        <v>3056</v>
      </c>
      <c r="B1608" s="128" t="str">
        <f t="shared" si="1201"/>
        <v>N</v>
      </c>
      <c r="C1608" s="128" t="str">
        <f t="shared" si="1202"/>
        <v>N</v>
      </c>
      <c r="D1608" s="117">
        <v>2156670</v>
      </c>
      <c r="E1608" s="135">
        <f t="shared" si="1203"/>
        <v>2</v>
      </c>
      <c r="F1608" s="124">
        <v>41037</v>
      </c>
      <c r="G1608" s="125">
        <v>41172</v>
      </c>
      <c r="H1608" s="117">
        <v>2156670</v>
      </c>
      <c r="I1608" s="124">
        <v>41038</v>
      </c>
      <c r="J1608" s="124">
        <v>41040</v>
      </c>
      <c r="K1608" s="126">
        <v>16000</v>
      </c>
      <c r="L1608" s="127" t="s">
        <v>571</v>
      </c>
      <c r="M1608" s="124">
        <v>41040</v>
      </c>
      <c r="N1608" s="129" t="str">
        <f t="shared" si="1224"/>
        <v>Y</v>
      </c>
      <c r="O1608" s="128" t="s">
        <v>76</v>
      </c>
      <c r="P1608" s="129" t="s">
        <v>589</v>
      </c>
      <c r="Q1608" s="111">
        <v>3</v>
      </c>
      <c r="R1608" s="111">
        <f t="shared" si="1175"/>
        <v>136</v>
      </c>
      <c r="S1608" s="129">
        <v>0</v>
      </c>
      <c r="T1608" s="129">
        <v>0</v>
      </c>
      <c r="W1608" s="111"/>
      <c r="AB1608" s="131" t="s">
        <v>112</v>
      </c>
      <c r="AC1608" s="130"/>
      <c r="AD1608" s="130">
        <v>27565</v>
      </c>
      <c r="AE1608" s="128" t="s">
        <v>46</v>
      </c>
      <c r="AF1608" s="128" t="s">
        <v>40</v>
      </c>
      <c r="AG1608" s="128" t="s">
        <v>41</v>
      </c>
      <c r="AH1608" s="108" t="s">
        <v>31</v>
      </c>
      <c r="AI1608" s="128" t="s">
        <v>90</v>
      </c>
      <c r="AJ1608" s="129" t="s">
        <v>48</v>
      </c>
      <c r="AK1608" s="129">
        <v>8</v>
      </c>
      <c r="AL1608" s="3" t="s">
        <v>48</v>
      </c>
      <c r="AP1608" s="129" t="s">
        <v>108</v>
      </c>
      <c r="AR1608" s="128" t="s">
        <v>44</v>
      </c>
      <c r="AS1608" s="129" t="s">
        <v>61</v>
      </c>
      <c r="BC1608" s="129" t="s">
        <v>52</v>
      </c>
      <c r="BF1608" s="111">
        <v>3</v>
      </c>
      <c r="BG1608" s="111">
        <v>135</v>
      </c>
      <c r="BH1608" s="111">
        <f t="shared" si="1198"/>
        <v>136</v>
      </c>
      <c r="BI1608" s="111">
        <f t="shared" si="1199"/>
        <v>36.808743169398909</v>
      </c>
      <c r="BJ1608" s="129">
        <f>(G1608-J1608)+(M1608-G1608)</f>
        <v>0</v>
      </c>
      <c r="BK1608" s="129">
        <f t="shared" si="1200"/>
        <v>-132</v>
      </c>
      <c r="BL1608" s="129" t="str">
        <f t="shared" si="1177"/>
        <v>DEFERRED</v>
      </c>
      <c r="BM1608" s="129" t="s">
        <v>76</v>
      </c>
      <c r="BN1608" s="129" t="s">
        <v>88</v>
      </c>
      <c r="BP1608" s="137" t="str">
        <f t="shared" si="1206"/>
        <v>DEFERRED</v>
      </c>
      <c r="BQ1608" s="128" t="str">
        <f t="shared" si="1207"/>
        <v>Y</v>
      </c>
      <c r="BR1608" s="129" t="str">
        <f t="shared" si="1208"/>
        <v>ON BOND</v>
      </c>
      <c r="BS1608" s="129" t="str">
        <f t="shared" si="1209"/>
        <v>DISPOSED</v>
      </c>
      <c r="BT1608" s="129" t="str">
        <f t="shared" si="1210"/>
        <v>N</v>
      </c>
      <c r="BU1608" s="109">
        <f t="shared" si="1211"/>
        <v>2.2058823529411766E-2</v>
      </c>
      <c r="BV1608" s="109">
        <f t="shared" si="1212"/>
        <v>2.2222222222222223E-2</v>
      </c>
      <c r="BW1608" s="109">
        <f t="shared" si="1223"/>
        <v>1.6339869281045694E-4</v>
      </c>
      <c r="BX1608" s="111">
        <f t="shared" si="1213"/>
        <v>0</v>
      </c>
      <c r="BY1608" s="129">
        <f t="shared" si="1214"/>
        <v>-3</v>
      </c>
      <c r="BZ1608" s="111">
        <f t="shared" si="1215"/>
        <v>0</v>
      </c>
      <c r="CA1608" s="138">
        <f t="shared" si="1216"/>
        <v>3</v>
      </c>
      <c r="CB1608" s="111">
        <v>3</v>
      </c>
      <c r="CC1608" s="129">
        <f>M1608-I1608+1</f>
        <v>3</v>
      </c>
      <c r="CD1608" s="111">
        <f>CC1608-BF1608</f>
        <v>0</v>
      </c>
      <c r="CG1608" s="129" t="str">
        <f t="shared" si="1217"/>
        <v>N</v>
      </c>
      <c r="CI1608" s="129" t="str">
        <f t="shared" si="1218"/>
        <v>0-10 DAYS</v>
      </c>
      <c r="CJ1608" s="137">
        <f t="shared" si="1219"/>
        <v>1</v>
      </c>
      <c r="CK1608" s="129" t="str">
        <f t="shared" si="1220"/>
        <v>Booked</v>
      </c>
    </row>
    <row r="1609" spans="1:89" ht="15" customHeight="1" x14ac:dyDescent="0.25">
      <c r="A1609" s="111">
        <v>1726</v>
      </c>
      <c r="B1609" s="128" t="str">
        <f t="shared" si="1201"/>
        <v>N</v>
      </c>
      <c r="C1609" s="128" t="str">
        <f t="shared" si="1202"/>
        <v>N</v>
      </c>
      <c r="D1609" s="117">
        <v>2157182</v>
      </c>
      <c r="E1609" s="135">
        <f t="shared" si="1203"/>
        <v>5</v>
      </c>
      <c r="F1609" s="124">
        <v>40973</v>
      </c>
      <c r="G1609" s="125">
        <v>40988</v>
      </c>
      <c r="H1609" s="117">
        <v>2157182</v>
      </c>
      <c r="I1609" s="124">
        <v>40973</v>
      </c>
      <c r="J1609" s="124">
        <v>40988</v>
      </c>
      <c r="K1609" s="126">
        <v>15000</v>
      </c>
      <c r="L1609" s="127" t="s">
        <v>571</v>
      </c>
      <c r="N1609" s="129" t="str">
        <f t="shared" si="1224"/>
        <v>N</v>
      </c>
      <c r="O1609" s="128" t="s">
        <v>917</v>
      </c>
      <c r="P1609" s="129" t="s">
        <v>39</v>
      </c>
      <c r="Q1609" s="111">
        <f t="shared" si="1192"/>
        <v>16</v>
      </c>
      <c r="R1609" s="111">
        <f t="shared" si="1175"/>
        <v>16</v>
      </c>
      <c r="S1609" s="129">
        <v>4</v>
      </c>
      <c r="T1609" s="129">
        <v>0</v>
      </c>
      <c r="U1609" s="129">
        <v>1</v>
      </c>
      <c r="W1609" s="111"/>
      <c r="AC1609" s="130"/>
      <c r="AD1609" s="130">
        <v>30975</v>
      </c>
      <c r="AE1609" s="128" t="s">
        <v>32</v>
      </c>
      <c r="AF1609" s="128" t="s">
        <v>33</v>
      </c>
      <c r="AG1609" s="128" t="s">
        <v>872</v>
      </c>
      <c r="AH1609" s="108" t="s">
        <v>58</v>
      </c>
      <c r="AI1609" s="128" t="s">
        <v>97</v>
      </c>
      <c r="AJ1609" s="129" t="s">
        <v>89</v>
      </c>
      <c r="AK1609" s="129">
        <v>2</v>
      </c>
      <c r="AL1609" s="3" t="s">
        <v>992</v>
      </c>
      <c r="AN1609" s="117">
        <v>9</v>
      </c>
      <c r="AP1609" s="129" t="s">
        <v>43</v>
      </c>
      <c r="AR1609" s="128" t="s">
        <v>44</v>
      </c>
      <c r="AS1609" s="129" t="s">
        <v>45</v>
      </c>
      <c r="BC1609" s="129" t="s">
        <v>38</v>
      </c>
      <c r="BF1609" s="111">
        <f t="shared" ref="BF1609:BF1617" si="1225">IF(J1609&gt;1/1/1900,((J1609+1)-I1609),"STILL OPEN")</f>
        <v>16</v>
      </c>
      <c r="BG1609" s="111">
        <f t="shared" ref="BG1609:BG1621" si="1226">IF(G1609&gt;1/1/1900,((G1609+1)-I1609),"STILL OPEN")</f>
        <v>16</v>
      </c>
      <c r="BH1609" s="111">
        <f t="shared" si="1198"/>
        <v>16</v>
      </c>
      <c r="BI1609" s="111">
        <f t="shared" si="1199"/>
        <v>27.316939890710383</v>
      </c>
      <c r="BJ1609" s="129">
        <f t="shared" si="1204"/>
        <v>0</v>
      </c>
      <c r="BK1609" s="129">
        <f t="shared" si="1200"/>
        <v>0</v>
      </c>
      <c r="BL1609" s="129" t="str">
        <f t="shared" si="1177"/>
        <v>CONVICTION</v>
      </c>
      <c r="BM1609" s="129" t="str">
        <f t="shared" si="1205"/>
        <v>NONE</v>
      </c>
      <c r="BN1609" s="129" t="s">
        <v>566</v>
      </c>
      <c r="BP1609" s="137" t="str">
        <f t="shared" si="1206"/>
        <v>CONVICTION</v>
      </c>
      <c r="BQ1609" s="128" t="str">
        <f t="shared" si="1207"/>
        <v>Y</v>
      </c>
      <c r="BR1609" s="129" t="str">
        <f t="shared" si="1208"/>
        <v>DETAINED</v>
      </c>
      <c r="BS1609" s="129" t="str">
        <f t="shared" si="1209"/>
        <v>DISPOSED</v>
      </c>
      <c r="BT1609" s="129" t="str">
        <f t="shared" si="1210"/>
        <v>Y</v>
      </c>
      <c r="BU1609" s="109">
        <f t="shared" si="1211"/>
        <v>1</v>
      </c>
      <c r="BV1609" s="109">
        <f t="shared" si="1212"/>
        <v>1</v>
      </c>
      <c r="BW1609" s="109">
        <f t="shared" si="1223"/>
        <v>0</v>
      </c>
      <c r="BX1609" s="111">
        <f t="shared" si="1213"/>
        <v>0</v>
      </c>
      <c r="BY1609" s="129">
        <f t="shared" si="1214"/>
        <v>-16</v>
      </c>
      <c r="BZ1609" s="111">
        <f t="shared" si="1215"/>
        <v>0</v>
      </c>
      <c r="CA1609" s="138">
        <f t="shared" si="1216"/>
        <v>16</v>
      </c>
      <c r="CB1609" s="111" t="e">
        <f t="shared" ref="CB1609:CB1617" si="1227">IF(AF1609&gt;1/1/1900,((AF1609+1)-AE1609),"STILL OPEN")</f>
        <v>#VALUE!</v>
      </c>
      <c r="CC1609" s="129">
        <f>G1609-I1609+1</f>
        <v>16</v>
      </c>
      <c r="CD1609" s="129">
        <f>G1609-J1609</f>
        <v>0</v>
      </c>
      <c r="CG1609" s="129" t="str">
        <f t="shared" si="1217"/>
        <v>Y</v>
      </c>
      <c r="CI1609" s="129" t="str">
        <f t="shared" si="1218"/>
        <v>11-30 DAYS</v>
      </c>
      <c r="CJ1609" s="137">
        <f t="shared" si="1219"/>
        <v>2</v>
      </c>
      <c r="CK1609" s="129" t="str">
        <f t="shared" si="1220"/>
        <v>Booked</v>
      </c>
    </row>
    <row r="1610" spans="1:89" ht="15.75" customHeight="1" x14ac:dyDescent="0.25">
      <c r="A1610" s="111">
        <v>2603</v>
      </c>
      <c r="B1610" s="128" t="str">
        <f t="shared" si="1201"/>
        <v>N</v>
      </c>
      <c r="C1610" s="128" t="str">
        <f t="shared" si="1202"/>
        <v>N</v>
      </c>
      <c r="D1610" s="117">
        <v>2157477</v>
      </c>
      <c r="E1610" s="135">
        <f t="shared" si="1203"/>
        <v>6</v>
      </c>
      <c r="F1610" s="124">
        <v>41005</v>
      </c>
      <c r="G1610" s="125">
        <v>41572</v>
      </c>
      <c r="H1610" s="117">
        <v>2157477</v>
      </c>
      <c r="I1610" s="124">
        <v>41011</v>
      </c>
      <c r="J1610" s="124">
        <v>41572</v>
      </c>
      <c r="K1610" s="126">
        <v>50000</v>
      </c>
      <c r="L1610" s="129" t="s">
        <v>572</v>
      </c>
      <c r="N1610" s="129" t="str">
        <f t="shared" si="1224"/>
        <v>N</v>
      </c>
      <c r="O1610" s="128" t="s">
        <v>917</v>
      </c>
      <c r="P1610" s="129" t="s">
        <v>1189</v>
      </c>
      <c r="Q1610" s="111">
        <f t="shared" si="1192"/>
        <v>562</v>
      </c>
      <c r="R1610" s="111">
        <f t="shared" si="1175"/>
        <v>568</v>
      </c>
      <c r="S1610" s="129">
        <v>1</v>
      </c>
      <c r="T1610" s="129">
        <v>0</v>
      </c>
      <c r="U1610" s="129">
        <v>1</v>
      </c>
      <c r="W1610" s="111"/>
      <c r="AC1610" s="130"/>
      <c r="AD1610" s="130">
        <v>31622</v>
      </c>
      <c r="AE1610" s="128" t="s">
        <v>32</v>
      </c>
      <c r="AF1610" s="128" t="s">
        <v>69</v>
      </c>
      <c r="AG1610" s="128" t="s">
        <v>874</v>
      </c>
      <c r="AH1610" s="108" t="s">
        <v>58</v>
      </c>
      <c r="AI1610" s="128" t="s">
        <v>47</v>
      </c>
      <c r="AJ1610" s="129" t="s">
        <v>89</v>
      </c>
      <c r="AK1610" s="129">
        <v>20</v>
      </c>
      <c r="AL1610" s="3" t="s">
        <v>362</v>
      </c>
      <c r="AM1610" s="114">
        <v>60</v>
      </c>
      <c r="AP1610" s="129" t="s">
        <v>73</v>
      </c>
      <c r="AR1610" s="128" t="s">
        <v>50</v>
      </c>
      <c r="AS1610" s="129" t="s">
        <v>74</v>
      </c>
      <c r="AT1610" s="129" t="s">
        <v>1176</v>
      </c>
      <c r="BC1610" s="129" t="s">
        <v>38</v>
      </c>
      <c r="BF1610" s="111">
        <f t="shared" si="1225"/>
        <v>562</v>
      </c>
      <c r="BG1610" s="111">
        <f t="shared" si="1226"/>
        <v>562</v>
      </c>
      <c r="BH1610" s="111">
        <f t="shared" si="1198"/>
        <v>568</v>
      </c>
      <c r="BI1610" s="111">
        <f t="shared" si="1199"/>
        <v>25.636612021857925</v>
      </c>
      <c r="BJ1610" s="129">
        <f t="shared" si="1204"/>
        <v>0</v>
      </c>
      <c r="BK1610" s="129">
        <f t="shared" si="1200"/>
        <v>0</v>
      </c>
      <c r="BL1610" s="129" t="str">
        <f t="shared" si="1177"/>
        <v>CONVICTION</v>
      </c>
      <c r="BM1610" s="129" t="str">
        <f t="shared" si="1205"/>
        <v>NONE</v>
      </c>
      <c r="BN1610" s="129" t="s">
        <v>566</v>
      </c>
      <c r="BP1610" s="137" t="str">
        <f t="shared" si="1206"/>
        <v>CONVICTION</v>
      </c>
      <c r="BQ1610" s="128" t="str">
        <f t="shared" si="1207"/>
        <v>Y</v>
      </c>
      <c r="BR1610" s="129" t="str">
        <f t="shared" si="1208"/>
        <v>DETAINED</v>
      </c>
      <c r="BS1610" s="129" t="str">
        <f t="shared" si="1209"/>
        <v>DISPOSED</v>
      </c>
      <c r="BT1610" s="129" t="str">
        <f t="shared" si="1210"/>
        <v>Y</v>
      </c>
      <c r="BU1610" s="109">
        <f t="shared" si="1211"/>
        <v>0.98943661971830987</v>
      </c>
      <c r="BV1610" s="109">
        <f t="shared" si="1212"/>
        <v>1</v>
      </c>
      <c r="BW1610" s="109">
        <f t="shared" si="1223"/>
        <v>1.0563380281690127E-2</v>
      </c>
      <c r="BX1610" s="111">
        <f t="shared" si="1213"/>
        <v>0</v>
      </c>
      <c r="BY1610" s="129">
        <f t="shared" si="1214"/>
        <v>-562</v>
      </c>
      <c r="BZ1610" s="111">
        <f t="shared" si="1215"/>
        <v>0</v>
      </c>
      <c r="CA1610" s="138">
        <f t="shared" si="1216"/>
        <v>562</v>
      </c>
      <c r="CB1610" s="111" t="e">
        <f t="shared" si="1227"/>
        <v>#VALUE!</v>
      </c>
      <c r="CC1610" s="129">
        <f>G1610-I1610+1</f>
        <v>562</v>
      </c>
      <c r="CD1610" s="129">
        <f>G1610-J1610</f>
        <v>0</v>
      </c>
      <c r="CG1610" s="129" t="str">
        <f t="shared" si="1217"/>
        <v>Y</v>
      </c>
      <c r="CI1610" s="129" t="str">
        <f t="shared" si="1218"/>
        <v xml:space="preserve"> &gt;1YRS&lt;2YRS</v>
      </c>
      <c r="CJ1610" s="137">
        <f t="shared" si="1219"/>
        <v>0</v>
      </c>
      <c r="CK1610" s="129" t="str">
        <f t="shared" si="1220"/>
        <v>Booked</v>
      </c>
    </row>
    <row r="1611" spans="1:89" ht="15.75" customHeight="1" x14ac:dyDescent="0.25">
      <c r="A1611" s="111">
        <v>3040</v>
      </c>
      <c r="B1611" s="128" t="str">
        <f t="shared" si="1201"/>
        <v>N</v>
      </c>
      <c r="C1611" s="128" t="str">
        <f t="shared" si="1202"/>
        <v>N</v>
      </c>
      <c r="D1611" s="117">
        <v>2157713</v>
      </c>
      <c r="E1611" s="135">
        <f t="shared" si="1203"/>
        <v>4</v>
      </c>
      <c r="F1611" s="124">
        <v>41021</v>
      </c>
      <c r="G1611" s="125">
        <v>41023</v>
      </c>
      <c r="H1611" s="117">
        <v>2157713</v>
      </c>
      <c r="I1611" s="124">
        <v>41022</v>
      </c>
      <c r="J1611" s="124">
        <v>41023</v>
      </c>
      <c r="K1611" s="126">
        <v>35000</v>
      </c>
      <c r="L1611" s="129" t="s">
        <v>572</v>
      </c>
      <c r="N1611" s="129" t="str">
        <f t="shared" si="1224"/>
        <v>N</v>
      </c>
      <c r="O1611" s="128" t="s">
        <v>917</v>
      </c>
      <c r="P1611" s="129" t="s">
        <v>55</v>
      </c>
      <c r="Q1611" s="111">
        <f t="shared" si="1192"/>
        <v>2</v>
      </c>
      <c r="R1611" s="111">
        <f t="shared" si="1175"/>
        <v>3</v>
      </c>
      <c r="S1611" s="129">
        <v>0</v>
      </c>
      <c r="T1611" s="129">
        <v>2</v>
      </c>
      <c r="W1611" s="111"/>
      <c r="AC1611" s="130"/>
      <c r="AD1611" s="130">
        <v>24390</v>
      </c>
      <c r="AE1611" s="128" t="s">
        <v>32</v>
      </c>
      <c r="AF1611" s="128" t="s">
        <v>40</v>
      </c>
      <c r="AG1611" s="128" t="s">
        <v>41</v>
      </c>
      <c r="AH1611" s="108" t="s">
        <v>41</v>
      </c>
      <c r="AI1611" s="128" t="s">
        <v>114</v>
      </c>
      <c r="AJ1611" s="129" t="s">
        <v>89</v>
      </c>
      <c r="AK1611" s="129">
        <v>1</v>
      </c>
      <c r="AL1611" s="3" t="s">
        <v>991</v>
      </c>
      <c r="AO1611" s="128">
        <v>30</v>
      </c>
      <c r="AP1611" s="129" t="s">
        <v>43</v>
      </c>
      <c r="AR1611" s="128" t="s">
        <v>44</v>
      </c>
      <c r="AS1611" s="129" t="s">
        <v>45</v>
      </c>
      <c r="BC1611" s="129" t="s">
        <v>38</v>
      </c>
      <c r="BF1611" s="111">
        <f t="shared" si="1225"/>
        <v>2</v>
      </c>
      <c r="BG1611" s="111">
        <f t="shared" si="1226"/>
        <v>2</v>
      </c>
      <c r="BH1611" s="111">
        <f t="shared" si="1198"/>
        <v>3</v>
      </c>
      <c r="BI1611" s="111">
        <f t="shared" si="1199"/>
        <v>45.439890710382514</v>
      </c>
      <c r="BJ1611" s="129">
        <f t="shared" si="1204"/>
        <v>0</v>
      </c>
      <c r="BK1611" s="129">
        <f t="shared" si="1200"/>
        <v>0</v>
      </c>
      <c r="BL1611" s="129" t="str">
        <f t="shared" si="1177"/>
        <v>CONVICTION</v>
      </c>
      <c r="BM1611" s="129" t="str">
        <f t="shared" si="1205"/>
        <v>NONE</v>
      </c>
      <c r="BN1611" s="129" t="s">
        <v>566</v>
      </c>
      <c r="BP1611" s="137" t="str">
        <f t="shared" si="1206"/>
        <v>CONVICTION</v>
      </c>
      <c r="BQ1611" s="128" t="str">
        <f t="shared" si="1207"/>
        <v>Y</v>
      </c>
      <c r="BR1611" s="129" t="str">
        <f t="shared" si="1208"/>
        <v>DETAINED</v>
      </c>
      <c r="BS1611" s="129" t="str">
        <f t="shared" si="1209"/>
        <v>DISPOSED</v>
      </c>
      <c r="BT1611" s="129" t="str">
        <f t="shared" si="1210"/>
        <v>N</v>
      </c>
      <c r="BU1611" s="109">
        <f t="shared" si="1211"/>
        <v>0.66666666666666663</v>
      </c>
      <c r="BV1611" s="109">
        <f t="shared" si="1212"/>
        <v>1</v>
      </c>
      <c r="BW1611" s="109">
        <f t="shared" si="1223"/>
        <v>0.33333333333333337</v>
      </c>
      <c r="BX1611" s="111">
        <f t="shared" si="1213"/>
        <v>0</v>
      </c>
      <c r="BY1611" s="129">
        <f t="shared" si="1214"/>
        <v>-2</v>
      </c>
      <c r="BZ1611" s="111">
        <f t="shared" si="1215"/>
        <v>0</v>
      </c>
      <c r="CA1611" s="138">
        <f t="shared" si="1216"/>
        <v>2</v>
      </c>
      <c r="CB1611" s="111" t="e">
        <f t="shared" si="1227"/>
        <v>#VALUE!</v>
      </c>
      <c r="CC1611" s="129">
        <f>G1611-I1611+1</f>
        <v>2</v>
      </c>
      <c r="CD1611" s="129">
        <f>G1611-J1611</f>
        <v>0</v>
      </c>
      <c r="CG1611" s="129" t="str">
        <f t="shared" si="1217"/>
        <v>Y</v>
      </c>
      <c r="CI1611" s="129" t="str">
        <f t="shared" si="1218"/>
        <v>0-10 DAYS</v>
      </c>
      <c r="CJ1611" s="137">
        <f t="shared" si="1219"/>
        <v>1</v>
      </c>
      <c r="CK1611" s="129" t="str">
        <f t="shared" si="1220"/>
        <v>Booked</v>
      </c>
    </row>
    <row r="1612" spans="1:89" ht="15.75" customHeight="1" x14ac:dyDescent="0.25">
      <c r="A1612" s="111">
        <v>2066</v>
      </c>
      <c r="B1612" s="128" t="str">
        <f t="shared" si="1201"/>
        <v>N</v>
      </c>
      <c r="C1612" s="128" t="str">
        <f t="shared" si="1202"/>
        <v>N</v>
      </c>
      <c r="D1612" s="117">
        <v>2157715</v>
      </c>
      <c r="E1612" s="135">
        <f t="shared" si="1203"/>
        <v>2</v>
      </c>
      <c r="F1612" s="124">
        <v>40986</v>
      </c>
      <c r="G1612" s="125">
        <v>41113</v>
      </c>
      <c r="H1612" s="117">
        <v>2157715</v>
      </c>
      <c r="I1612" s="124">
        <v>40986</v>
      </c>
      <c r="J1612" s="124">
        <v>40987</v>
      </c>
      <c r="K1612" s="126">
        <v>2000</v>
      </c>
      <c r="L1612" s="127" t="s">
        <v>568</v>
      </c>
      <c r="M1612" s="125">
        <v>40987</v>
      </c>
      <c r="N1612" s="129" t="str">
        <f t="shared" si="1224"/>
        <v>Y</v>
      </c>
      <c r="O1612" s="128" t="s">
        <v>76</v>
      </c>
      <c r="P1612" s="129" t="s">
        <v>589</v>
      </c>
      <c r="Q1612" s="111">
        <f t="shared" si="1192"/>
        <v>2</v>
      </c>
      <c r="R1612" s="111">
        <f t="shared" si="1175"/>
        <v>128</v>
      </c>
      <c r="S1612" s="129">
        <v>0</v>
      </c>
      <c r="T1612" s="129">
        <v>4</v>
      </c>
      <c r="W1612" s="111"/>
      <c r="AC1612" s="130"/>
      <c r="AD1612" s="130">
        <v>32014</v>
      </c>
      <c r="AE1612" s="128" t="s">
        <v>32</v>
      </c>
      <c r="AF1612" s="128" t="s">
        <v>40</v>
      </c>
      <c r="AG1612" s="128" t="s">
        <v>41</v>
      </c>
      <c r="AH1612" s="108" t="s">
        <v>41</v>
      </c>
      <c r="AI1612" s="128" t="s">
        <v>141</v>
      </c>
      <c r="AJ1612" s="129" t="s">
        <v>48</v>
      </c>
      <c r="AK1612" s="129">
        <v>6</v>
      </c>
      <c r="AL1612" s="3" t="s">
        <v>48</v>
      </c>
      <c r="AP1612" s="129" t="s">
        <v>104</v>
      </c>
      <c r="AR1612" s="128" t="s">
        <v>44</v>
      </c>
      <c r="AS1612" s="129" t="s">
        <v>64</v>
      </c>
      <c r="BC1612" s="129" t="s">
        <v>52</v>
      </c>
      <c r="BF1612" s="111">
        <f t="shared" si="1225"/>
        <v>2</v>
      </c>
      <c r="BG1612" s="111">
        <f t="shared" si="1226"/>
        <v>128</v>
      </c>
      <c r="BH1612" s="111">
        <f t="shared" si="1198"/>
        <v>128</v>
      </c>
      <c r="BI1612" s="111">
        <f t="shared" si="1199"/>
        <v>24.513661202185791</v>
      </c>
      <c r="BJ1612" s="129">
        <f>(G1612-J1612)+(M1612-G1612)</f>
        <v>0</v>
      </c>
      <c r="BK1612" s="129">
        <f t="shared" si="1200"/>
        <v>-126</v>
      </c>
      <c r="BL1612" s="129" t="str">
        <f t="shared" si="1177"/>
        <v>DEFERRED</v>
      </c>
      <c r="BM1612" s="129" t="s">
        <v>76</v>
      </c>
      <c r="BN1612" s="129" t="s">
        <v>88</v>
      </c>
      <c r="BP1612" s="137" t="str">
        <f t="shared" si="1206"/>
        <v>DEFERRED</v>
      </c>
      <c r="BQ1612" s="128" t="str">
        <f t="shared" si="1207"/>
        <v>Y</v>
      </c>
      <c r="BR1612" s="129" t="str">
        <f t="shared" si="1208"/>
        <v>ON BOND</v>
      </c>
      <c r="BS1612" s="129" t="str">
        <f t="shared" si="1209"/>
        <v>DISPOSED</v>
      </c>
      <c r="BT1612" s="129" t="str">
        <f t="shared" si="1210"/>
        <v>N</v>
      </c>
      <c r="BU1612" s="109">
        <f t="shared" si="1211"/>
        <v>1.5625E-2</v>
      </c>
      <c r="BV1612" s="109">
        <f t="shared" si="1212"/>
        <v>1.5625E-2</v>
      </c>
      <c r="BW1612" s="109">
        <f t="shared" si="1223"/>
        <v>0</v>
      </c>
      <c r="BX1612" s="111">
        <f t="shared" si="1213"/>
        <v>0</v>
      </c>
      <c r="BY1612" s="129">
        <f t="shared" si="1214"/>
        <v>-2</v>
      </c>
      <c r="BZ1612" s="111">
        <f t="shared" si="1215"/>
        <v>0</v>
      </c>
      <c r="CA1612" s="138">
        <f t="shared" si="1216"/>
        <v>2</v>
      </c>
      <c r="CB1612" s="111" t="e">
        <f t="shared" si="1227"/>
        <v>#VALUE!</v>
      </c>
      <c r="CC1612" s="129">
        <f>M1612-I1612+1</f>
        <v>2</v>
      </c>
      <c r="CD1612" s="111">
        <f>CC1612-BF1612</f>
        <v>0</v>
      </c>
      <c r="CG1612" s="129" t="str">
        <f t="shared" si="1217"/>
        <v>Y</v>
      </c>
      <c r="CI1612" s="129" t="str">
        <f t="shared" si="1218"/>
        <v>0-10 DAYS</v>
      </c>
      <c r="CJ1612" s="137">
        <f t="shared" si="1219"/>
        <v>1</v>
      </c>
      <c r="CK1612" s="129" t="str">
        <f t="shared" si="1220"/>
        <v>Booked</v>
      </c>
    </row>
    <row r="1613" spans="1:89" ht="15" customHeight="1" x14ac:dyDescent="0.25">
      <c r="A1613" s="111">
        <v>2018</v>
      </c>
      <c r="B1613" s="128" t="str">
        <f t="shared" si="1201"/>
        <v>N</v>
      </c>
      <c r="C1613" s="128" t="str">
        <f t="shared" si="1202"/>
        <v>N</v>
      </c>
      <c r="D1613" s="117">
        <v>2161447</v>
      </c>
      <c r="E1613" s="135">
        <f t="shared" si="1203"/>
        <v>2</v>
      </c>
      <c r="F1613" s="124">
        <v>40984</v>
      </c>
      <c r="G1613" s="125">
        <v>41200</v>
      </c>
      <c r="H1613" s="117">
        <v>2161447</v>
      </c>
      <c r="I1613" s="124">
        <v>40985</v>
      </c>
      <c r="J1613" s="124">
        <v>40992</v>
      </c>
      <c r="K1613" s="126">
        <v>7000</v>
      </c>
      <c r="L1613" s="127" t="s">
        <v>570</v>
      </c>
      <c r="M1613" s="125">
        <v>40992</v>
      </c>
      <c r="N1613" s="129" t="str">
        <f t="shared" si="1224"/>
        <v>Y</v>
      </c>
      <c r="O1613" s="128" t="s">
        <v>76</v>
      </c>
      <c r="P1613" s="129" t="s">
        <v>589</v>
      </c>
      <c r="Q1613" s="111">
        <f t="shared" si="1192"/>
        <v>8</v>
      </c>
      <c r="R1613" s="111">
        <f t="shared" si="1175"/>
        <v>217</v>
      </c>
      <c r="S1613" s="129">
        <v>0</v>
      </c>
      <c r="T1613" s="129">
        <v>2</v>
      </c>
      <c r="W1613" s="111"/>
      <c r="AC1613" s="130"/>
      <c r="AD1613" s="130">
        <v>32287</v>
      </c>
      <c r="AE1613" s="128" t="s">
        <v>32</v>
      </c>
      <c r="AF1613" s="128" t="s">
        <v>69</v>
      </c>
      <c r="AG1613" s="128" t="s">
        <v>874</v>
      </c>
      <c r="AH1613" s="108" t="s">
        <v>31</v>
      </c>
      <c r="AI1613" s="128" t="s">
        <v>97</v>
      </c>
      <c r="AJ1613" s="129" t="s">
        <v>48</v>
      </c>
      <c r="AK1613" s="129">
        <v>12</v>
      </c>
      <c r="AL1613" s="3" t="s">
        <v>48</v>
      </c>
      <c r="AP1613" s="129" t="s">
        <v>93</v>
      </c>
      <c r="AR1613" s="128" t="s">
        <v>67</v>
      </c>
      <c r="AS1613" s="129" t="s">
        <v>45</v>
      </c>
      <c r="AY1613" s="123"/>
      <c r="BC1613" s="129" t="s">
        <v>52</v>
      </c>
      <c r="BF1613" s="111">
        <f t="shared" si="1225"/>
        <v>8</v>
      </c>
      <c r="BG1613" s="111">
        <f t="shared" si="1226"/>
        <v>216</v>
      </c>
      <c r="BH1613" s="111">
        <f t="shared" si="1198"/>
        <v>217</v>
      </c>
      <c r="BI1613" s="111">
        <f t="shared" si="1199"/>
        <v>23.762295081967213</v>
      </c>
      <c r="BJ1613" s="129">
        <f>(G1613-J1613)+(M1613-G1613)</f>
        <v>0</v>
      </c>
      <c r="BK1613" s="129">
        <f t="shared" si="1200"/>
        <v>-208</v>
      </c>
      <c r="BL1613" s="129" t="str">
        <f t="shared" si="1177"/>
        <v>DEFERRED</v>
      </c>
      <c r="BM1613" s="129" t="s">
        <v>76</v>
      </c>
      <c r="BN1613" s="129" t="s">
        <v>88</v>
      </c>
      <c r="BP1613" s="137" t="str">
        <f t="shared" si="1206"/>
        <v>DEFERRED</v>
      </c>
      <c r="BQ1613" s="128" t="str">
        <f t="shared" si="1207"/>
        <v>Y</v>
      </c>
      <c r="BR1613" s="129" t="str">
        <f t="shared" si="1208"/>
        <v>ON BOND</v>
      </c>
      <c r="BS1613" s="129" t="str">
        <f t="shared" si="1209"/>
        <v>DISPOSED</v>
      </c>
      <c r="BT1613" s="129" t="str">
        <f t="shared" si="1210"/>
        <v>N</v>
      </c>
      <c r="BU1613" s="109">
        <f t="shared" si="1211"/>
        <v>3.6866359447004608E-2</v>
      </c>
      <c r="BV1613" s="109">
        <f t="shared" si="1212"/>
        <v>3.7037037037037035E-2</v>
      </c>
      <c r="BW1613" s="109">
        <f t="shared" si="1223"/>
        <v>1.7067759003242672E-4</v>
      </c>
      <c r="BX1613" s="111">
        <f t="shared" si="1213"/>
        <v>0</v>
      </c>
      <c r="BY1613" s="129">
        <f t="shared" si="1214"/>
        <v>-8</v>
      </c>
      <c r="BZ1613" s="111">
        <f t="shared" si="1215"/>
        <v>0</v>
      </c>
      <c r="CA1613" s="138">
        <f t="shared" si="1216"/>
        <v>8</v>
      </c>
      <c r="CB1613" s="111" t="e">
        <f t="shared" si="1227"/>
        <v>#VALUE!</v>
      </c>
      <c r="CC1613" s="129">
        <f>M1613-I1613+1</f>
        <v>8</v>
      </c>
      <c r="CD1613" s="111">
        <f>CC1613-BF1613</f>
        <v>0</v>
      </c>
      <c r="CG1613" s="129" t="str">
        <f t="shared" si="1217"/>
        <v>Y</v>
      </c>
      <c r="CI1613" s="129" t="str">
        <f t="shared" si="1218"/>
        <v>0-10 DAYS</v>
      </c>
      <c r="CJ1613" s="137">
        <f t="shared" si="1219"/>
        <v>1</v>
      </c>
      <c r="CK1613" s="129" t="str">
        <f t="shared" si="1220"/>
        <v>Booked</v>
      </c>
    </row>
    <row r="1614" spans="1:89" ht="15" customHeight="1" x14ac:dyDescent="0.25">
      <c r="A1614" s="111">
        <v>88</v>
      </c>
      <c r="B1614" s="128" t="str">
        <f t="shared" si="1201"/>
        <v>N</v>
      </c>
      <c r="C1614" s="128" t="str">
        <f t="shared" si="1202"/>
        <v>N</v>
      </c>
      <c r="D1614" s="117">
        <v>2163066</v>
      </c>
      <c r="E1614" s="135">
        <f t="shared" si="1203"/>
        <v>1</v>
      </c>
      <c r="F1614" s="124">
        <v>40913</v>
      </c>
      <c r="G1614" s="125">
        <v>40948</v>
      </c>
      <c r="H1614" s="117">
        <v>2163066</v>
      </c>
      <c r="I1614" s="124">
        <v>40928</v>
      </c>
      <c r="J1614" s="124">
        <v>40948</v>
      </c>
      <c r="K1614" s="126" t="s">
        <v>564</v>
      </c>
      <c r="L1614" s="127" t="s">
        <v>564</v>
      </c>
      <c r="N1614" s="129" t="s">
        <v>566</v>
      </c>
      <c r="O1614" s="128" t="s">
        <v>917</v>
      </c>
      <c r="P1614" s="129" t="s">
        <v>55</v>
      </c>
      <c r="Q1614" s="111">
        <f t="shared" si="1192"/>
        <v>21</v>
      </c>
      <c r="R1614" s="111">
        <f t="shared" si="1175"/>
        <v>36</v>
      </c>
      <c r="S1614" s="129">
        <v>1</v>
      </c>
      <c r="T1614" s="129">
        <v>0</v>
      </c>
      <c r="U1614" s="129">
        <v>1</v>
      </c>
      <c r="W1614" s="111"/>
      <c r="AC1614" s="130"/>
      <c r="AD1614" s="130">
        <v>28866</v>
      </c>
      <c r="AE1614" s="128" t="s">
        <v>46</v>
      </c>
      <c r="AF1614" s="128" t="s">
        <v>33</v>
      </c>
      <c r="AG1614" s="128" t="s">
        <v>872</v>
      </c>
      <c r="AH1614" s="108" t="s">
        <v>58</v>
      </c>
      <c r="AI1614" s="128" t="s">
        <v>90</v>
      </c>
      <c r="AJ1614" s="129" t="s">
        <v>140</v>
      </c>
      <c r="AK1614" s="129">
        <v>3</v>
      </c>
      <c r="AL1614" s="3" t="s">
        <v>55</v>
      </c>
      <c r="AP1614" s="129" t="s">
        <v>60</v>
      </c>
      <c r="AR1614" s="128" t="s">
        <v>44</v>
      </c>
      <c r="AS1614" s="129" t="s">
        <v>61</v>
      </c>
      <c r="BC1614" s="129" t="s">
        <v>52</v>
      </c>
      <c r="BF1614" s="111">
        <f t="shared" si="1225"/>
        <v>21</v>
      </c>
      <c r="BG1614" s="111">
        <f t="shared" si="1226"/>
        <v>21</v>
      </c>
      <c r="BH1614" s="111">
        <f t="shared" si="1198"/>
        <v>36</v>
      </c>
      <c r="BI1614" s="111">
        <f t="shared" si="1199"/>
        <v>32.915300546448087</v>
      </c>
      <c r="BJ1614" s="129">
        <f t="shared" si="1204"/>
        <v>0</v>
      </c>
      <c r="BK1614" s="129">
        <f t="shared" si="1200"/>
        <v>0</v>
      </c>
      <c r="BL1614" s="129" t="str">
        <f t="shared" si="1177"/>
        <v>NO CONVICTION</v>
      </c>
      <c r="BM1614" s="129" t="str">
        <f t="shared" si="1205"/>
        <v>NONE</v>
      </c>
      <c r="BN1614" s="129" t="s">
        <v>566</v>
      </c>
      <c r="BP1614" s="137" t="str">
        <f t="shared" si="1206"/>
        <v/>
      </c>
      <c r="BQ1614" s="128" t="str">
        <f t="shared" si="1207"/>
        <v>Y</v>
      </c>
      <c r="BR1614" s="129" t="str">
        <f t="shared" si="1208"/>
        <v>DETAINED</v>
      </c>
      <c r="BS1614" s="129" t="str">
        <f t="shared" si="1209"/>
        <v>DISPOSED</v>
      </c>
      <c r="BT1614" s="129" t="str">
        <f t="shared" si="1210"/>
        <v>Y</v>
      </c>
      <c r="BU1614" s="109">
        <f>IFERROR(Q1614/R1614,BR1614)</f>
        <v>0.58333333333333337</v>
      </c>
      <c r="BV1614" s="109">
        <f t="shared" si="1212"/>
        <v>1</v>
      </c>
      <c r="BW1614" s="109">
        <f t="shared" si="1223"/>
        <v>0.41666666666666663</v>
      </c>
      <c r="BX1614" s="111">
        <f t="shared" si="1213"/>
        <v>0</v>
      </c>
      <c r="BY1614" s="129">
        <f t="shared" si="1214"/>
        <v>-21</v>
      </c>
      <c r="BZ1614" s="111">
        <f t="shared" si="1215"/>
        <v>0</v>
      </c>
      <c r="CA1614" s="138">
        <f t="shared" si="1216"/>
        <v>21</v>
      </c>
      <c r="CB1614" s="111" t="e">
        <f t="shared" si="1227"/>
        <v>#VALUE!</v>
      </c>
      <c r="CC1614" s="129">
        <f>G1614-I1614+1</f>
        <v>21</v>
      </c>
      <c r="CD1614" s="129">
        <f>G1614-J1614</f>
        <v>0</v>
      </c>
      <c r="CG1614" s="129" t="str">
        <f t="shared" si="1217"/>
        <v>Y</v>
      </c>
      <c r="CI1614" s="129" t="str">
        <f t="shared" si="1218"/>
        <v>11-30 DAYS</v>
      </c>
      <c r="CJ1614" s="137">
        <f t="shared" si="1219"/>
        <v>2</v>
      </c>
      <c r="CK1614" s="129" t="str">
        <f t="shared" si="1220"/>
        <v>Booked</v>
      </c>
    </row>
    <row r="1615" spans="1:89" ht="15" customHeight="1" x14ac:dyDescent="0.25">
      <c r="A1615" s="111">
        <v>1769</v>
      </c>
      <c r="B1615" s="128" t="str">
        <f t="shared" si="1201"/>
        <v>N</v>
      </c>
      <c r="C1615" s="128" t="str">
        <f t="shared" si="1202"/>
        <v>N</v>
      </c>
      <c r="D1615" s="117">
        <v>2163223</v>
      </c>
      <c r="E1615" s="135">
        <f t="shared" si="1203"/>
        <v>2</v>
      </c>
      <c r="F1615" s="124">
        <v>40974</v>
      </c>
      <c r="G1615" s="125">
        <v>41249</v>
      </c>
      <c r="H1615" s="117">
        <v>2163223</v>
      </c>
      <c r="I1615" s="124">
        <v>40975</v>
      </c>
      <c r="J1615" s="125">
        <v>41249</v>
      </c>
      <c r="K1615" s="126" t="s">
        <v>564</v>
      </c>
      <c r="L1615" s="127" t="s">
        <v>564</v>
      </c>
      <c r="N1615" s="129" t="s">
        <v>566</v>
      </c>
      <c r="O1615" s="128" t="s">
        <v>917</v>
      </c>
      <c r="P1615" s="129" t="s">
        <v>589</v>
      </c>
      <c r="Q1615" s="111">
        <f t="shared" si="1192"/>
        <v>275</v>
      </c>
      <c r="R1615" s="111">
        <f t="shared" si="1175"/>
        <v>276</v>
      </c>
      <c r="S1615" s="129">
        <v>1</v>
      </c>
      <c r="T1615" s="129">
        <v>0</v>
      </c>
      <c r="U1615" s="129">
        <v>1</v>
      </c>
      <c r="W1615" s="111"/>
      <c r="AC1615" s="130"/>
      <c r="AD1615" s="130">
        <v>29851</v>
      </c>
      <c r="AE1615" s="128" t="s">
        <v>32</v>
      </c>
      <c r="AF1615" s="128" t="s">
        <v>69</v>
      </c>
      <c r="AG1615" s="128" t="s">
        <v>874</v>
      </c>
      <c r="AH1615" s="108" t="s">
        <v>58</v>
      </c>
      <c r="AI1615" s="128" t="s">
        <v>80</v>
      </c>
      <c r="AJ1615" s="129" t="s">
        <v>48</v>
      </c>
      <c r="AK1615" s="129">
        <v>11</v>
      </c>
      <c r="AL1615" s="3" t="s">
        <v>48</v>
      </c>
      <c r="AP1615" s="129" t="s">
        <v>132</v>
      </c>
      <c r="AR1615" s="128" t="s">
        <v>92</v>
      </c>
      <c r="AS1615" s="129" t="s">
        <v>82</v>
      </c>
      <c r="BC1615" s="129" t="s">
        <v>52</v>
      </c>
      <c r="BF1615" s="111">
        <f t="shared" si="1225"/>
        <v>275</v>
      </c>
      <c r="BG1615" s="111">
        <f t="shared" si="1226"/>
        <v>275</v>
      </c>
      <c r="BH1615" s="111">
        <f t="shared" si="1198"/>
        <v>276</v>
      </c>
      <c r="BI1615" s="111">
        <f t="shared" si="1199"/>
        <v>30.39071038251366</v>
      </c>
      <c r="BJ1615" s="129">
        <f t="shared" si="1204"/>
        <v>0</v>
      </c>
      <c r="BK1615" s="129">
        <f t="shared" si="1200"/>
        <v>0</v>
      </c>
      <c r="BL1615" s="129" t="str">
        <f t="shared" si="1177"/>
        <v>DEFERRED</v>
      </c>
      <c r="BM1615" s="129" t="str">
        <f t="shared" si="1205"/>
        <v>NONE</v>
      </c>
      <c r="BN1615" s="129" t="s">
        <v>566</v>
      </c>
      <c r="BP1615" s="137" t="str">
        <f t="shared" si="1206"/>
        <v>DEFERRED</v>
      </c>
      <c r="BQ1615" s="128" t="str">
        <f t="shared" si="1207"/>
        <v>Y</v>
      </c>
      <c r="BR1615" s="129" t="str">
        <f t="shared" si="1208"/>
        <v>DETAINED</v>
      </c>
      <c r="BS1615" s="129" t="str">
        <f t="shared" si="1209"/>
        <v>DISPOSED</v>
      </c>
      <c r="BT1615" s="129" t="str">
        <f t="shared" si="1210"/>
        <v>Y</v>
      </c>
      <c r="BU1615" s="109">
        <f t="shared" si="1211"/>
        <v>0.99637681159420288</v>
      </c>
      <c r="BV1615" s="109">
        <f t="shared" si="1212"/>
        <v>1</v>
      </c>
      <c r="BW1615" s="109">
        <f t="shared" si="1223"/>
        <v>3.6231884057971175E-3</v>
      </c>
      <c r="BX1615" s="111">
        <f t="shared" si="1213"/>
        <v>0</v>
      </c>
      <c r="BY1615" s="129">
        <f t="shared" si="1214"/>
        <v>-275</v>
      </c>
      <c r="BZ1615" s="111">
        <f t="shared" si="1215"/>
        <v>0</v>
      </c>
      <c r="CA1615" s="138">
        <f t="shared" si="1216"/>
        <v>275</v>
      </c>
      <c r="CB1615" s="111" t="e">
        <f t="shared" si="1227"/>
        <v>#VALUE!</v>
      </c>
      <c r="CC1615" s="129">
        <f>G1615-I1615+1</f>
        <v>275</v>
      </c>
      <c r="CD1615" s="129">
        <f>G1615-J1615</f>
        <v>0</v>
      </c>
      <c r="CG1615" s="129" t="str">
        <f t="shared" si="1217"/>
        <v>Y</v>
      </c>
      <c r="CI1615" s="129" t="str">
        <f t="shared" si="1218"/>
        <v>121-365 DAYS</v>
      </c>
      <c r="CJ1615" s="137">
        <f t="shared" si="1219"/>
        <v>6</v>
      </c>
      <c r="CK1615" s="129" t="str">
        <f t="shared" si="1220"/>
        <v>Booked</v>
      </c>
    </row>
    <row r="1616" spans="1:89" ht="15.75" customHeight="1" x14ac:dyDescent="0.25">
      <c r="A1616" s="111">
        <v>915</v>
      </c>
      <c r="B1616" s="128" t="str">
        <f t="shared" si="1201"/>
        <v>N</v>
      </c>
      <c r="C1616" s="128" t="str">
        <f t="shared" si="1202"/>
        <v>N</v>
      </c>
      <c r="D1616" s="117">
        <v>2163879</v>
      </c>
      <c r="E1616" s="135">
        <f t="shared" si="1203"/>
        <v>4</v>
      </c>
      <c r="F1616" s="124">
        <v>40942</v>
      </c>
      <c r="G1616" s="125">
        <v>40989</v>
      </c>
      <c r="H1616" s="117">
        <v>2163879</v>
      </c>
      <c r="I1616" s="124">
        <v>40943</v>
      </c>
      <c r="J1616" s="124">
        <v>40945</v>
      </c>
      <c r="K1616" s="126">
        <v>2000</v>
      </c>
      <c r="L1616" s="127" t="s">
        <v>568</v>
      </c>
      <c r="M1616" s="125">
        <v>40945</v>
      </c>
      <c r="N1616" s="129" t="str">
        <f>IF(M1616&gt;1/1/1,"Y","N")</f>
        <v>Y</v>
      </c>
      <c r="O1616" s="128" t="s">
        <v>76</v>
      </c>
      <c r="P1616" s="129" t="s">
        <v>39</v>
      </c>
      <c r="Q1616" s="111">
        <f t="shared" si="1192"/>
        <v>3</v>
      </c>
      <c r="R1616" s="111">
        <f t="shared" si="1175"/>
        <v>48</v>
      </c>
      <c r="S1616" s="129">
        <v>0</v>
      </c>
      <c r="T1616" s="129">
        <v>2</v>
      </c>
      <c r="W1616" s="111"/>
      <c r="AC1616" s="130"/>
      <c r="AD1616" s="130">
        <v>28011</v>
      </c>
      <c r="AE1616" s="128" t="s">
        <v>32</v>
      </c>
      <c r="AF1616" s="128" t="s">
        <v>69</v>
      </c>
      <c r="AG1616" s="128" t="s">
        <v>874</v>
      </c>
      <c r="AH1616" s="108" t="s">
        <v>31</v>
      </c>
      <c r="AI1616" s="128" t="s">
        <v>72</v>
      </c>
      <c r="AJ1616" s="129" t="s">
        <v>89</v>
      </c>
      <c r="AK1616" s="129">
        <v>4</v>
      </c>
      <c r="AL1616" s="3" t="s">
        <v>991</v>
      </c>
      <c r="AO1616" s="128">
        <v>120</v>
      </c>
      <c r="AP1616" s="129" t="s">
        <v>43</v>
      </c>
      <c r="AR1616" s="128" t="s">
        <v>44</v>
      </c>
      <c r="AS1616" s="129" t="s">
        <v>45</v>
      </c>
      <c r="BC1616" s="129" t="s">
        <v>52</v>
      </c>
      <c r="BF1616" s="111">
        <f t="shared" si="1225"/>
        <v>3</v>
      </c>
      <c r="BG1616" s="111">
        <f t="shared" si="1226"/>
        <v>47</v>
      </c>
      <c r="BH1616" s="111">
        <f t="shared" si="1198"/>
        <v>48</v>
      </c>
      <c r="BI1616" s="111">
        <f t="shared" si="1199"/>
        <v>35.330601092896174</v>
      </c>
      <c r="BJ1616" s="129">
        <f>(G1616-J1616)+(M1616-G1616)</f>
        <v>0</v>
      </c>
      <c r="BK1616" s="129">
        <f t="shared" si="1200"/>
        <v>-44</v>
      </c>
      <c r="BL1616" s="129" t="str">
        <f t="shared" si="1177"/>
        <v>CONVICTION</v>
      </c>
      <c r="BM1616" s="129" t="s">
        <v>76</v>
      </c>
      <c r="BN1616" s="129" t="s">
        <v>88</v>
      </c>
      <c r="BP1616" s="137" t="str">
        <f t="shared" si="1206"/>
        <v>CONVICTION</v>
      </c>
      <c r="BQ1616" s="128" t="str">
        <f t="shared" si="1207"/>
        <v>Y</v>
      </c>
      <c r="BR1616" s="129" t="str">
        <f>IF(J1616&lt;G1616,"ON BOND",0)</f>
        <v>ON BOND</v>
      </c>
      <c r="BS1616" s="129" t="str">
        <f t="shared" si="1209"/>
        <v>DISPOSED</v>
      </c>
      <c r="BT1616" s="129" t="str">
        <f t="shared" si="1210"/>
        <v>N</v>
      </c>
      <c r="BU1616" s="109">
        <f t="shared" si="1211"/>
        <v>6.25E-2</v>
      </c>
      <c r="BV1616" s="109">
        <f t="shared" si="1212"/>
        <v>6.3829787234042548E-2</v>
      </c>
      <c r="BW1616" s="109">
        <f t="shared" si="1223"/>
        <v>1.3297872340425482E-3</v>
      </c>
      <c r="BX1616" s="111">
        <f t="shared" si="1213"/>
        <v>0</v>
      </c>
      <c r="BY1616" s="129">
        <f t="shared" si="1214"/>
        <v>-3</v>
      </c>
      <c r="BZ1616" s="111">
        <f t="shared" si="1215"/>
        <v>0</v>
      </c>
      <c r="CA1616" s="138">
        <f t="shared" si="1216"/>
        <v>3</v>
      </c>
      <c r="CB1616" s="111" t="e">
        <f t="shared" si="1227"/>
        <v>#VALUE!</v>
      </c>
      <c r="CC1616" s="129">
        <f>M1616-I1616+1</f>
        <v>3</v>
      </c>
      <c r="CD1616" s="111">
        <f>CC1616-BF1616</f>
        <v>0</v>
      </c>
      <c r="CG1616" s="129" t="str">
        <f t="shared" si="1217"/>
        <v>Y</v>
      </c>
      <c r="CI1616" s="129" t="str">
        <f t="shared" si="1218"/>
        <v>0-10 DAYS</v>
      </c>
      <c r="CJ1616" s="137">
        <f t="shared" si="1219"/>
        <v>1</v>
      </c>
      <c r="CK1616" s="129" t="str">
        <f t="shared" si="1220"/>
        <v>Booked</v>
      </c>
    </row>
    <row r="1617" spans="1:89" ht="15.75" customHeight="1" x14ac:dyDescent="0.25">
      <c r="A1617" s="111">
        <v>3267</v>
      </c>
      <c r="B1617" s="128" t="str">
        <f t="shared" si="1201"/>
        <v>N</v>
      </c>
      <c r="C1617" s="128" t="str">
        <f t="shared" si="1202"/>
        <v>N</v>
      </c>
      <c r="D1617" s="117">
        <v>2164238</v>
      </c>
      <c r="E1617" s="135">
        <f t="shared" si="1203"/>
        <v>5</v>
      </c>
      <c r="F1617" s="124">
        <v>41029</v>
      </c>
      <c r="G1617" s="125">
        <v>41031</v>
      </c>
      <c r="H1617" s="117">
        <v>2164238</v>
      </c>
      <c r="I1617" s="124">
        <v>41029</v>
      </c>
      <c r="J1617" s="124">
        <v>41031</v>
      </c>
      <c r="K1617" s="126" t="s">
        <v>564</v>
      </c>
      <c r="L1617" s="127" t="s">
        <v>564</v>
      </c>
      <c r="N1617" s="129" t="s">
        <v>566</v>
      </c>
      <c r="O1617" s="128" t="s">
        <v>917</v>
      </c>
      <c r="P1617" s="129" t="s">
        <v>39</v>
      </c>
      <c r="Q1617" s="111">
        <f t="shared" si="1192"/>
        <v>3</v>
      </c>
      <c r="R1617" s="111">
        <f t="shared" si="1175"/>
        <v>3</v>
      </c>
      <c r="S1617" s="129">
        <v>1</v>
      </c>
      <c r="T1617" s="129">
        <v>2</v>
      </c>
      <c r="U1617" s="129">
        <v>1</v>
      </c>
      <c r="W1617" s="111"/>
      <c r="AC1617" s="130"/>
      <c r="AD1617" s="130">
        <v>28586</v>
      </c>
      <c r="AE1617" s="128" t="s">
        <v>32</v>
      </c>
      <c r="AF1617" s="128" t="s">
        <v>69</v>
      </c>
      <c r="AG1617" s="128" t="s">
        <v>874</v>
      </c>
      <c r="AH1617" s="108" t="s">
        <v>31</v>
      </c>
      <c r="AI1617" s="128" t="s">
        <v>34</v>
      </c>
      <c r="AJ1617" s="129" t="s">
        <v>89</v>
      </c>
      <c r="AK1617" s="129">
        <v>1</v>
      </c>
      <c r="AL1617" s="3" t="s">
        <v>992</v>
      </c>
      <c r="AN1617" s="117">
        <v>7</v>
      </c>
      <c r="AP1617" s="129" t="s">
        <v>43</v>
      </c>
      <c r="AR1617" s="128" t="s">
        <v>44</v>
      </c>
      <c r="AS1617" s="129" t="s">
        <v>45</v>
      </c>
      <c r="BC1617" s="129" t="s">
        <v>38</v>
      </c>
      <c r="BF1617" s="111">
        <f t="shared" si="1225"/>
        <v>3</v>
      </c>
      <c r="BG1617" s="111">
        <f t="shared" si="1226"/>
        <v>3</v>
      </c>
      <c r="BH1617" s="111">
        <f t="shared" si="1198"/>
        <v>3</v>
      </c>
      <c r="BI1617" s="111">
        <f t="shared" si="1199"/>
        <v>33.997267759562838</v>
      </c>
      <c r="BJ1617" s="129">
        <f t="shared" si="1204"/>
        <v>0</v>
      </c>
      <c r="BK1617" s="129">
        <f t="shared" si="1200"/>
        <v>0</v>
      </c>
      <c r="BL1617" s="129" t="str">
        <f t="shared" si="1177"/>
        <v>CONVICTION</v>
      </c>
      <c r="BM1617" s="129" t="str">
        <f t="shared" si="1205"/>
        <v>NONE</v>
      </c>
      <c r="BN1617" s="129" t="s">
        <v>566</v>
      </c>
      <c r="BP1617" s="137" t="str">
        <f t="shared" si="1206"/>
        <v>CONVICTION</v>
      </c>
      <c r="BQ1617" s="128" t="str">
        <f t="shared" si="1207"/>
        <v>Y</v>
      </c>
      <c r="BR1617" s="129" t="str">
        <f t="shared" si="1208"/>
        <v>DETAINED</v>
      </c>
      <c r="BS1617" s="129" t="str">
        <f t="shared" si="1209"/>
        <v>DISPOSED</v>
      </c>
      <c r="BT1617" s="129" t="str">
        <f t="shared" si="1210"/>
        <v>Y</v>
      </c>
      <c r="BU1617" s="109">
        <f t="shared" si="1211"/>
        <v>1</v>
      </c>
      <c r="BV1617" s="109">
        <f t="shared" si="1212"/>
        <v>1</v>
      </c>
      <c r="BW1617" s="109">
        <f t="shared" si="1223"/>
        <v>0</v>
      </c>
      <c r="BX1617" s="111">
        <f t="shared" si="1213"/>
        <v>0</v>
      </c>
      <c r="BY1617" s="129">
        <f t="shared" si="1214"/>
        <v>-3</v>
      </c>
      <c r="BZ1617" s="111">
        <f t="shared" si="1215"/>
        <v>0</v>
      </c>
      <c r="CA1617" s="138">
        <f t="shared" si="1216"/>
        <v>3</v>
      </c>
      <c r="CB1617" s="111" t="e">
        <f t="shared" si="1227"/>
        <v>#VALUE!</v>
      </c>
      <c r="CC1617" s="129">
        <f>G1617-I1617+1</f>
        <v>3</v>
      </c>
      <c r="CD1617" s="129">
        <f>G1617-J1617</f>
        <v>0</v>
      </c>
      <c r="CG1617" s="129" t="str">
        <f t="shared" si="1217"/>
        <v>Y</v>
      </c>
      <c r="CI1617" s="129" t="str">
        <f t="shared" si="1218"/>
        <v>0-10 DAYS</v>
      </c>
      <c r="CJ1617" s="137">
        <f t="shared" si="1219"/>
        <v>1</v>
      </c>
      <c r="CK1617" s="129" t="str">
        <f t="shared" si="1220"/>
        <v>Booked</v>
      </c>
    </row>
    <row r="1618" spans="1:89" ht="15.75" customHeight="1" x14ac:dyDescent="0.25">
      <c r="A1618" s="111">
        <v>3004</v>
      </c>
      <c r="B1618" s="128" t="str">
        <f t="shared" si="1201"/>
        <v>Y</v>
      </c>
      <c r="C1618" s="128" t="str">
        <f t="shared" si="1202"/>
        <v>N</v>
      </c>
      <c r="D1618" s="117">
        <v>2164884</v>
      </c>
      <c r="E1618" s="135">
        <f t="shared" si="1203"/>
        <v>1</v>
      </c>
      <c r="F1618" s="124">
        <v>41019</v>
      </c>
      <c r="G1618" s="125">
        <v>41121</v>
      </c>
      <c r="H1618" s="117">
        <v>2164884</v>
      </c>
      <c r="I1618" s="124" t="s">
        <v>562</v>
      </c>
      <c r="J1618" s="124" t="s">
        <v>562</v>
      </c>
      <c r="K1618" s="126">
        <v>30000</v>
      </c>
      <c r="L1618" s="129" t="s">
        <v>572</v>
      </c>
      <c r="N1618" s="124" t="s">
        <v>1343</v>
      </c>
      <c r="O1618" s="128" t="s">
        <v>917</v>
      </c>
      <c r="P1618" s="129" t="s">
        <v>55</v>
      </c>
      <c r="Q1618" s="111">
        <v>0</v>
      </c>
      <c r="R1618" s="111">
        <f t="shared" ref="R1618:R1681" si="1228">BH1618</f>
        <v>103</v>
      </c>
      <c r="S1618" s="129">
        <v>8</v>
      </c>
      <c r="T1618" s="129">
        <v>3</v>
      </c>
      <c r="U1618" s="129">
        <v>4</v>
      </c>
      <c r="W1618" s="111"/>
      <c r="AC1618" s="130"/>
      <c r="AD1618" s="130">
        <v>31645</v>
      </c>
      <c r="AE1618" s="128" t="s">
        <v>32</v>
      </c>
      <c r="AF1618" s="128" t="s">
        <v>33</v>
      </c>
      <c r="AG1618" s="128" t="s">
        <v>872</v>
      </c>
      <c r="AH1618" s="108" t="s">
        <v>58</v>
      </c>
      <c r="AI1618" s="128" t="s">
        <v>83</v>
      </c>
      <c r="AJ1618" s="129" t="s">
        <v>1218</v>
      </c>
      <c r="AK1618" s="129">
        <v>2</v>
      </c>
      <c r="AL1618" s="3" t="s">
        <v>55</v>
      </c>
      <c r="AP1618" s="129" t="s">
        <v>1219</v>
      </c>
      <c r="AR1618" s="128" t="s">
        <v>50</v>
      </c>
      <c r="AS1618" s="129" t="s">
        <v>163</v>
      </c>
      <c r="BC1618" s="129" t="s">
        <v>79</v>
      </c>
      <c r="BD1618" s="129" t="s">
        <v>1220</v>
      </c>
      <c r="BF1618" s="129">
        <v>0</v>
      </c>
      <c r="BG1618" s="111" t="e">
        <f t="shared" si="1226"/>
        <v>#VALUE!</v>
      </c>
      <c r="BH1618" s="111">
        <f t="shared" si="1198"/>
        <v>103</v>
      </c>
      <c r="BI1618" s="111">
        <f t="shared" si="1199"/>
        <v>25.612021857923498</v>
      </c>
      <c r="BJ1618" s="129" t="e">
        <f>(G1618-J1618)+(M1618-G1618)</f>
        <v>#VALUE!</v>
      </c>
      <c r="BK1618" s="129" t="e">
        <f t="shared" si="1200"/>
        <v>#VALUE!</v>
      </c>
      <c r="BL1618" s="129" t="str">
        <f t="shared" si="1177"/>
        <v>NO CONVICTION</v>
      </c>
      <c r="BM1618" s="129" t="str">
        <f t="shared" si="1205"/>
        <v>NONE</v>
      </c>
      <c r="BN1618" s="129" t="s">
        <v>566</v>
      </c>
      <c r="BP1618" s="137" t="str">
        <f t="shared" si="1206"/>
        <v/>
      </c>
      <c r="BQ1618" s="128">
        <f t="shared" si="1207"/>
        <v>0</v>
      </c>
      <c r="BR1618" s="129" t="s">
        <v>1345</v>
      </c>
      <c r="BS1618" s="129" t="str">
        <f t="shared" si="1209"/>
        <v>DISPOSED</v>
      </c>
      <c r="BT1618" s="129" t="str">
        <f t="shared" si="1210"/>
        <v>Y</v>
      </c>
      <c r="BU1618" s="109">
        <f>IFERROR(Q1618/R1618,BR1618)</f>
        <v>0</v>
      </c>
      <c r="BV1618" s="109">
        <v>0</v>
      </c>
      <c r="BW1618" s="109">
        <f t="shared" si="1223"/>
        <v>0</v>
      </c>
      <c r="BX1618" s="111">
        <f t="shared" si="1213"/>
        <v>0</v>
      </c>
      <c r="BY1618" s="129" t="e">
        <f t="shared" si="1214"/>
        <v>#VALUE!</v>
      </c>
      <c r="BZ1618" s="111" t="e">
        <f t="shared" si="1215"/>
        <v>#VALUE!</v>
      </c>
      <c r="CA1618" s="138" t="e">
        <f t="shared" si="1216"/>
        <v>#VALUE!</v>
      </c>
      <c r="CB1618" s="129">
        <v>0</v>
      </c>
      <c r="CC1618" s="129">
        <v>0</v>
      </c>
      <c r="CG1618" s="129" t="str">
        <f t="shared" si="1217"/>
        <v>Y</v>
      </c>
      <c r="CI1618" s="129" t="str">
        <f t="shared" si="1218"/>
        <v>0-10 DAYS</v>
      </c>
      <c r="CJ1618" s="137">
        <f t="shared" si="1219"/>
        <v>1</v>
      </c>
      <c r="CK1618" s="129" t="str">
        <f t="shared" si="1220"/>
        <v>Not Booked</v>
      </c>
    </row>
    <row r="1619" spans="1:89" ht="15" customHeight="1" x14ac:dyDescent="0.25">
      <c r="A1619" s="111">
        <v>1189</v>
      </c>
      <c r="B1619" s="128" t="str">
        <f t="shared" si="1201"/>
        <v>N</v>
      </c>
      <c r="C1619" s="128" t="str">
        <f t="shared" si="1202"/>
        <v>N</v>
      </c>
      <c r="D1619" s="117">
        <v>2165937</v>
      </c>
      <c r="E1619" s="135">
        <f t="shared" si="1203"/>
        <v>5</v>
      </c>
      <c r="F1619" s="124">
        <v>40952</v>
      </c>
      <c r="G1619" s="125">
        <v>40998</v>
      </c>
      <c r="H1619" s="117">
        <v>2165937</v>
      </c>
      <c r="I1619" s="124">
        <v>40975</v>
      </c>
      <c r="J1619" s="124">
        <v>40998</v>
      </c>
      <c r="K1619" s="126" t="s">
        <v>564</v>
      </c>
      <c r="L1619" s="127" t="s">
        <v>564</v>
      </c>
      <c r="N1619" s="129" t="s">
        <v>566</v>
      </c>
      <c r="O1619" s="128" t="s">
        <v>917</v>
      </c>
      <c r="P1619" s="129" t="s">
        <v>39</v>
      </c>
      <c r="Q1619" s="111">
        <f t="shared" ref="Q1619:Q1644" si="1229">BF1619</f>
        <v>24</v>
      </c>
      <c r="R1619" s="111">
        <f t="shared" si="1228"/>
        <v>47</v>
      </c>
      <c r="S1619" s="129">
        <v>1</v>
      </c>
      <c r="T1619" s="129">
        <v>2</v>
      </c>
      <c r="U1619" s="129">
        <v>1</v>
      </c>
      <c r="W1619" s="111"/>
      <c r="AC1619" s="130"/>
      <c r="AD1619" s="130">
        <v>31813</v>
      </c>
      <c r="AE1619" s="128" t="s">
        <v>32</v>
      </c>
      <c r="AF1619" s="128" t="s">
        <v>33</v>
      </c>
      <c r="AG1619" s="128" t="s">
        <v>872</v>
      </c>
      <c r="AH1619" s="108" t="s">
        <v>31</v>
      </c>
      <c r="AI1619" s="128" t="s">
        <v>71</v>
      </c>
      <c r="AJ1619" s="129" t="s">
        <v>89</v>
      </c>
      <c r="AK1619" s="129">
        <v>4</v>
      </c>
      <c r="AL1619" s="3" t="s">
        <v>992</v>
      </c>
      <c r="AN1619" s="117">
        <v>6</v>
      </c>
      <c r="AP1619" s="129" t="s">
        <v>142</v>
      </c>
      <c r="AR1619" s="128" t="s">
        <v>44</v>
      </c>
      <c r="AS1619" s="129" t="s">
        <v>64</v>
      </c>
      <c r="BC1619" s="129" t="s">
        <v>38</v>
      </c>
      <c r="BF1619" s="111">
        <f>IF(J1619&gt;1/1/1900,((J1619+1)-I1619),"STILL OPEN")</f>
        <v>24</v>
      </c>
      <c r="BG1619" s="111">
        <f t="shared" si="1226"/>
        <v>24</v>
      </c>
      <c r="BH1619" s="111">
        <f t="shared" si="1198"/>
        <v>47</v>
      </c>
      <c r="BI1619" s="111">
        <f t="shared" si="1199"/>
        <v>24.969945355191257</v>
      </c>
      <c r="BJ1619" s="129">
        <f t="shared" si="1204"/>
        <v>0</v>
      </c>
      <c r="BK1619" s="129">
        <f t="shared" si="1200"/>
        <v>0</v>
      </c>
      <c r="BL1619" s="129" t="str">
        <f t="shared" si="1177"/>
        <v>CONVICTION</v>
      </c>
      <c r="BM1619" s="129" t="str">
        <f t="shared" si="1205"/>
        <v>NONE</v>
      </c>
      <c r="BN1619" s="129" t="s">
        <v>566</v>
      </c>
      <c r="BP1619" s="137" t="str">
        <f t="shared" si="1206"/>
        <v>CONVICTION</v>
      </c>
      <c r="BQ1619" s="128" t="str">
        <f t="shared" si="1207"/>
        <v>Y</v>
      </c>
      <c r="BR1619" s="129" t="str">
        <f t="shared" si="1208"/>
        <v>DETAINED</v>
      </c>
      <c r="BS1619" s="129" t="str">
        <f t="shared" si="1209"/>
        <v>DISPOSED</v>
      </c>
      <c r="BT1619" s="129" t="str">
        <f t="shared" si="1210"/>
        <v>Y</v>
      </c>
      <c r="BU1619" s="109">
        <f t="shared" si="1211"/>
        <v>0.51063829787234039</v>
      </c>
      <c r="BV1619" s="109">
        <f t="shared" si="1212"/>
        <v>1</v>
      </c>
      <c r="BW1619" s="109">
        <f t="shared" si="1223"/>
        <v>0.48936170212765961</v>
      </c>
      <c r="BX1619" s="111">
        <f t="shared" si="1213"/>
        <v>0</v>
      </c>
      <c r="BY1619" s="129">
        <f t="shared" si="1214"/>
        <v>-24</v>
      </c>
      <c r="BZ1619" s="111">
        <f t="shared" si="1215"/>
        <v>0</v>
      </c>
      <c r="CA1619" s="138">
        <f t="shared" si="1216"/>
        <v>24</v>
      </c>
      <c r="CB1619" s="111" t="e">
        <f>IF(AF1619&gt;1/1/1900,((AF1619+1)-AE1619),"STILL OPEN")</f>
        <v>#VALUE!</v>
      </c>
      <c r="CC1619" s="129">
        <f>G1619-I1619+1</f>
        <v>24</v>
      </c>
      <c r="CD1619" s="129">
        <f>G1619-J1619</f>
        <v>0</v>
      </c>
      <c r="CG1619" s="129" t="str">
        <f t="shared" si="1217"/>
        <v>Y</v>
      </c>
      <c r="CI1619" s="129" t="str">
        <f t="shared" si="1218"/>
        <v>11-30 DAYS</v>
      </c>
      <c r="CJ1619" s="137">
        <f t="shared" si="1219"/>
        <v>2</v>
      </c>
      <c r="CK1619" s="129" t="str">
        <f t="shared" si="1220"/>
        <v>Booked</v>
      </c>
    </row>
    <row r="1620" spans="1:89" ht="15" customHeight="1" x14ac:dyDescent="0.25">
      <c r="A1620" s="111">
        <v>1518</v>
      </c>
      <c r="B1620" s="128" t="str">
        <f t="shared" si="1201"/>
        <v>N</v>
      </c>
      <c r="C1620" s="128" t="str">
        <f t="shared" si="1202"/>
        <v>N</v>
      </c>
      <c r="D1620" s="117">
        <v>2166632</v>
      </c>
      <c r="E1620" s="135">
        <f t="shared" si="1203"/>
        <v>2</v>
      </c>
      <c r="F1620" s="124">
        <v>40964</v>
      </c>
      <c r="G1620" s="125">
        <v>41281</v>
      </c>
      <c r="H1620" s="117">
        <v>2166632</v>
      </c>
      <c r="I1620" s="124">
        <v>40965</v>
      </c>
      <c r="J1620" s="124">
        <v>40968</v>
      </c>
      <c r="K1620" s="126">
        <v>30000</v>
      </c>
      <c r="L1620" s="129" t="s">
        <v>572</v>
      </c>
      <c r="M1620" s="125">
        <v>40968</v>
      </c>
      <c r="N1620" s="129" t="str">
        <f>IF(M1620&gt;1/1/1,"Y","N")</f>
        <v>Y</v>
      </c>
      <c r="O1620" s="128" t="s">
        <v>76</v>
      </c>
      <c r="P1620" s="129" t="s">
        <v>589</v>
      </c>
      <c r="Q1620" s="111">
        <f t="shared" si="1229"/>
        <v>4</v>
      </c>
      <c r="R1620" s="111">
        <f t="shared" si="1228"/>
        <v>318</v>
      </c>
      <c r="S1620" s="129">
        <v>0</v>
      </c>
      <c r="T1620" s="129">
        <v>1</v>
      </c>
      <c r="W1620" s="111"/>
      <c r="AC1620" s="130"/>
      <c r="AD1620" s="130">
        <v>30341</v>
      </c>
      <c r="AE1620" s="128" t="s">
        <v>32</v>
      </c>
      <c r="AF1620" s="128" t="s">
        <v>69</v>
      </c>
      <c r="AG1620" s="128" t="s">
        <v>874</v>
      </c>
      <c r="AH1620" s="108" t="s">
        <v>58</v>
      </c>
      <c r="AI1620" s="128" t="s">
        <v>100</v>
      </c>
      <c r="AJ1620" s="129" t="s">
        <v>48</v>
      </c>
      <c r="AK1620" s="129">
        <v>8</v>
      </c>
      <c r="AL1620" s="3" t="s">
        <v>48</v>
      </c>
      <c r="AP1620" s="129" t="s">
        <v>110</v>
      </c>
      <c r="AR1620" s="128" t="s">
        <v>50</v>
      </c>
      <c r="AS1620" s="129" t="s">
        <v>74</v>
      </c>
      <c r="BC1620" s="129" t="s">
        <v>52</v>
      </c>
      <c r="BF1620" s="111">
        <f>IF(J1620&gt;1/1/1900,((J1620+1)-I1620),"STILL OPEN")</f>
        <v>4</v>
      </c>
      <c r="BG1620" s="111">
        <f t="shared" si="1226"/>
        <v>317</v>
      </c>
      <c r="BH1620" s="111">
        <f t="shared" si="1198"/>
        <v>318</v>
      </c>
      <c r="BI1620" s="111">
        <f t="shared" si="1199"/>
        <v>29.024590163934427</v>
      </c>
      <c r="BJ1620" s="129">
        <f>(G1620-J1620)+(M1620-G1620)</f>
        <v>0</v>
      </c>
      <c r="BK1620" s="129">
        <f t="shared" si="1200"/>
        <v>-313</v>
      </c>
      <c r="BL1620" s="129" t="str">
        <f t="shared" si="1177"/>
        <v>DEFERRED</v>
      </c>
      <c r="BM1620" s="129" t="s">
        <v>76</v>
      </c>
      <c r="BN1620" s="129" t="s">
        <v>88</v>
      </c>
      <c r="BP1620" s="137" t="str">
        <f t="shared" si="1206"/>
        <v>DEFERRED</v>
      </c>
      <c r="BQ1620" s="128" t="str">
        <f t="shared" si="1207"/>
        <v>Y</v>
      </c>
      <c r="BR1620" s="129" t="str">
        <f t="shared" si="1208"/>
        <v>ON BOND</v>
      </c>
      <c r="BS1620" s="129" t="str">
        <f t="shared" si="1209"/>
        <v>DISPOSED</v>
      </c>
      <c r="BT1620" s="129" t="str">
        <f t="shared" si="1210"/>
        <v>N</v>
      </c>
      <c r="BU1620" s="109">
        <f t="shared" si="1211"/>
        <v>1.2578616352201259E-2</v>
      </c>
      <c r="BV1620" s="109">
        <f t="shared" si="1212"/>
        <v>1.2618296529968454E-2</v>
      </c>
      <c r="BW1620" s="109">
        <f t="shared" si="1223"/>
        <v>3.9680177767195332E-5</v>
      </c>
      <c r="BX1620" s="111">
        <f t="shared" si="1213"/>
        <v>0</v>
      </c>
      <c r="BY1620" s="129">
        <f t="shared" si="1214"/>
        <v>-4</v>
      </c>
      <c r="BZ1620" s="111">
        <f t="shared" si="1215"/>
        <v>0</v>
      </c>
      <c r="CA1620" s="138">
        <f t="shared" si="1216"/>
        <v>4</v>
      </c>
      <c r="CB1620" s="111" t="e">
        <f>IF(AF1620&gt;1/1/1900,((AF1620+1)-AE1620),"STILL OPEN")</f>
        <v>#VALUE!</v>
      </c>
      <c r="CC1620" s="129">
        <f>M1620-I1620+1</f>
        <v>4</v>
      </c>
      <c r="CD1620" s="111">
        <f>CC1620-BF1620</f>
        <v>0</v>
      </c>
      <c r="CG1620" s="129" t="str">
        <f t="shared" si="1217"/>
        <v>Y</v>
      </c>
      <c r="CI1620" s="129" t="str">
        <f t="shared" si="1218"/>
        <v>0-10 DAYS</v>
      </c>
      <c r="CJ1620" s="137">
        <f t="shared" si="1219"/>
        <v>1</v>
      </c>
      <c r="CK1620" s="129" t="str">
        <f t="shared" si="1220"/>
        <v>Booked</v>
      </c>
    </row>
    <row r="1621" spans="1:89" ht="15.75" customHeight="1" x14ac:dyDescent="0.25">
      <c r="A1621" s="111">
        <v>1677</v>
      </c>
      <c r="B1621" s="128" t="str">
        <f t="shared" si="1201"/>
        <v>N</v>
      </c>
      <c r="C1621" s="128" t="str">
        <f t="shared" si="1202"/>
        <v>N</v>
      </c>
      <c r="D1621" s="117">
        <v>2167276</v>
      </c>
      <c r="E1621" s="135">
        <f t="shared" si="1203"/>
        <v>6</v>
      </c>
      <c r="F1621" s="124">
        <v>40970</v>
      </c>
      <c r="G1621" s="125">
        <v>41130</v>
      </c>
      <c r="H1621" s="117">
        <v>2167276</v>
      </c>
      <c r="I1621" s="124">
        <v>40971</v>
      </c>
      <c r="J1621" s="124">
        <v>41130</v>
      </c>
      <c r="K1621" s="126">
        <v>20000</v>
      </c>
      <c r="L1621" s="127" t="s">
        <v>571</v>
      </c>
      <c r="N1621" s="129" t="str">
        <f>IF(M1621&gt;1/1/1,"Y","N")</f>
        <v>N</v>
      </c>
      <c r="O1621" s="128" t="s">
        <v>917</v>
      </c>
      <c r="P1621" s="129" t="s">
        <v>39</v>
      </c>
      <c r="Q1621" s="111">
        <f t="shared" si="1229"/>
        <v>160</v>
      </c>
      <c r="R1621" s="111">
        <f t="shared" si="1228"/>
        <v>161</v>
      </c>
      <c r="S1621" s="129">
        <v>3</v>
      </c>
      <c r="T1621" s="129">
        <v>2</v>
      </c>
      <c r="U1621" s="129">
        <v>2</v>
      </c>
      <c r="W1621" s="111"/>
      <c r="AC1621" s="130"/>
      <c r="AD1621" s="130">
        <v>30488</v>
      </c>
      <c r="AE1621" s="128" t="s">
        <v>32</v>
      </c>
      <c r="AF1621" s="128" t="s">
        <v>33</v>
      </c>
      <c r="AG1621" s="128" t="s">
        <v>872</v>
      </c>
      <c r="AH1621" s="108" t="s">
        <v>31</v>
      </c>
      <c r="AI1621" s="128" t="s">
        <v>83</v>
      </c>
      <c r="AJ1621" s="129" t="s">
        <v>89</v>
      </c>
      <c r="AK1621" s="129">
        <v>9</v>
      </c>
      <c r="AL1621" s="3" t="s">
        <v>362</v>
      </c>
      <c r="AM1621" s="117">
        <v>5</v>
      </c>
      <c r="AP1621" s="129" t="s">
        <v>56</v>
      </c>
      <c r="AR1621" s="128" t="s">
        <v>50</v>
      </c>
      <c r="AS1621" s="129" t="s">
        <v>57</v>
      </c>
      <c r="BC1621" s="129" t="s">
        <v>38</v>
      </c>
      <c r="BF1621" s="111">
        <f>IF(J1621&gt;1/1/1900,((J1621+1)-I1621),"STILL OPEN")</f>
        <v>160</v>
      </c>
      <c r="BG1621" s="111">
        <f t="shared" si="1226"/>
        <v>160</v>
      </c>
      <c r="BH1621" s="111">
        <f t="shared" si="1198"/>
        <v>161</v>
      </c>
      <c r="BI1621" s="111">
        <f t="shared" si="1199"/>
        <v>28.639344262295083</v>
      </c>
      <c r="BJ1621" s="129">
        <f t="shared" si="1204"/>
        <v>0</v>
      </c>
      <c r="BK1621" s="129">
        <f t="shared" si="1200"/>
        <v>0</v>
      </c>
      <c r="BL1621" s="129" t="str">
        <f t="shared" ref="BL1621:BL1684" si="1230">IF(OR(AL1621="AQUITTAL",AL1621="DISMISSED",AL1621="FINE",AL1621="NO BILL"),"NO CONVICTION",IF(OR(AL1621="HCJ",AL1621="MHH",AL1621="PROBATION",AL1621="STJ",AL1621="TDC"),"CONVICTION",IF(AL1621="DEFERRED","DEFERRED",0)))</f>
        <v>CONVICTION</v>
      </c>
      <c r="BM1621" s="129" t="str">
        <f t="shared" si="1205"/>
        <v>NONE</v>
      </c>
      <c r="BN1621" s="129" t="s">
        <v>566</v>
      </c>
      <c r="BP1621" s="137" t="str">
        <f t="shared" si="1206"/>
        <v>CONVICTION</v>
      </c>
      <c r="BQ1621" s="128" t="str">
        <f t="shared" si="1207"/>
        <v>Y</v>
      </c>
      <c r="BR1621" s="129" t="str">
        <f t="shared" si="1208"/>
        <v>DETAINED</v>
      </c>
      <c r="BS1621" s="129" t="str">
        <f t="shared" si="1209"/>
        <v>DISPOSED</v>
      </c>
      <c r="BT1621" s="129" t="str">
        <f t="shared" si="1210"/>
        <v>Y</v>
      </c>
      <c r="BU1621" s="109">
        <f t="shared" si="1211"/>
        <v>0.99378881987577639</v>
      </c>
      <c r="BV1621" s="109">
        <f t="shared" si="1212"/>
        <v>1</v>
      </c>
      <c r="BW1621" s="109">
        <f t="shared" si="1223"/>
        <v>6.2111801242236142E-3</v>
      </c>
      <c r="BX1621" s="111">
        <f t="shared" si="1213"/>
        <v>0</v>
      </c>
      <c r="BY1621" s="129">
        <f t="shared" si="1214"/>
        <v>-160</v>
      </c>
      <c r="BZ1621" s="111">
        <f t="shared" si="1215"/>
        <v>0</v>
      </c>
      <c r="CA1621" s="138">
        <f t="shared" si="1216"/>
        <v>160</v>
      </c>
      <c r="CB1621" s="111" t="e">
        <f>IF(AF1621&gt;1/1/1900,((AF1621+1)-AE1621),"STILL OPEN")</f>
        <v>#VALUE!</v>
      </c>
      <c r="CC1621" s="129">
        <f>G1621-I1621+1</f>
        <v>160</v>
      </c>
      <c r="CD1621" s="129">
        <f>G1621-J1621</f>
        <v>0</v>
      </c>
      <c r="CG1621" s="129" t="str">
        <f t="shared" si="1217"/>
        <v>Y</v>
      </c>
      <c r="CI1621" s="129" t="str">
        <f t="shared" si="1218"/>
        <v>121-365 DAYS</v>
      </c>
      <c r="CJ1621" s="137">
        <f t="shared" si="1219"/>
        <v>6</v>
      </c>
      <c r="CK1621" s="129" t="str">
        <f t="shared" si="1220"/>
        <v>Booked</v>
      </c>
    </row>
    <row r="1622" spans="1:89" ht="15.75" customHeight="1" x14ac:dyDescent="0.25">
      <c r="A1622" s="111">
        <v>725</v>
      </c>
      <c r="B1622" s="128" t="str">
        <f t="shared" si="1201"/>
        <v>N</v>
      </c>
      <c r="C1622" s="128" t="str">
        <f t="shared" si="1202"/>
        <v>N</v>
      </c>
      <c r="D1622" s="117">
        <v>2170927</v>
      </c>
      <c r="E1622" s="135">
        <f t="shared" si="1203"/>
        <v>3</v>
      </c>
      <c r="F1622" s="124">
        <v>40937</v>
      </c>
      <c r="G1622" s="125">
        <v>41016</v>
      </c>
      <c r="H1622" s="117">
        <v>2170927</v>
      </c>
      <c r="I1622" s="124" t="s">
        <v>562</v>
      </c>
      <c r="J1622" s="124" t="s">
        <v>562</v>
      </c>
      <c r="K1622" s="126">
        <v>10000</v>
      </c>
      <c r="L1622" s="127" t="s">
        <v>570</v>
      </c>
      <c r="M1622" s="125">
        <v>40938</v>
      </c>
      <c r="N1622" s="129" t="str">
        <f>IF(M1622&gt;1/1/1,"Y",IF(Q1622="0","","N"))</f>
        <v>Y</v>
      </c>
      <c r="O1622" s="128" t="s">
        <v>585</v>
      </c>
      <c r="P1622" s="129" t="s">
        <v>39</v>
      </c>
      <c r="Q1622" s="111">
        <f t="shared" si="1229"/>
        <v>0</v>
      </c>
      <c r="R1622" s="111">
        <f t="shared" si="1228"/>
        <v>80</v>
      </c>
      <c r="S1622" s="129">
        <v>0</v>
      </c>
      <c r="T1622" s="129">
        <v>2</v>
      </c>
      <c r="W1622" s="111"/>
      <c r="AC1622" s="130"/>
      <c r="AD1622" s="130">
        <v>29557</v>
      </c>
      <c r="AE1622" s="128" t="s">
        <v>32</v>
      </c>
      <c r="AF1622" s="128" t="s">
        <v>69</v>
      </c>
      <c r="AG1622" s="128" t="s">
        <v>874</v>
      </c>
      <c r="AH1622" s="108" t="s">
        <v>58</v>
      </c>
      <c r="AI1622" s="128" t="s">
        <v>70</v>
      </c>
      <c r="AJ1622" s="129" t="s">
        <v>89</v>
      </c>
      <c r="AK1622" s="129">
        <v>4</v>
      </c>
      <c r="AL1622" s="3" t="s">
        <v>185</v>
      </c>
      <c r="AP1622" s="129" t="s">
        <v>66</v>
      </c>
      <c r="AR1622" s="128" t="s">
        <v>67</v>
      </c>
      <c r="AS1622" s="129" t="s">
        <v>68</v>
      </c>
      <c r="BC1622" s="129" t="s">
        <v>52</v>
      </c>
      <c r="BF1622" s="111">
        <v>0</v>
      </c>
      <c r="BG1622" s="111">
        <v>0</v>
      </c>
      <c r="BH1622" s="111">
        <f t="shared" si="1198"/>
        <v>80</v>
      </c>
      <c r="BI1622" s="111">
        <f t="shared" si="1199"/>
        <v>31.092896174863387</v>
      </c>
      <c r="BJ1622" s="129" t="e">
        <f>(G1622-J1622)+(M1622-G1622)</f>
        <v>#VALUE!</v>
      </c>
      <c r="BK1622" s="129" t="e">
        <f t="shared" si="1200"/>
        <v>#VALUE!</v>
      </c>
      <c r="BL1622" s="129" t="str">
        <f t="shared" si="1230"/>
        <v>CONVICTION</v>
      </c>
      <c r="BM1622" s="129" t="s">
        <v>76</v>
      </c>
      <c r="BN1622" s="129" t="s">
        <v>88</v>
      </c>
      <c r="BP1622" s="137" t="str">
        <f t="shared" si="1206"/>
        <v>CONVICTION</v>
      </c>
      <c r="BQ1622" s="128">
        <f t="shared" si="1207"/>
        <v>0</v>
      </c>
      <c r="BR1622" s="129" t="s">
        <v>575</v>
      </c>
      <c r="BS1622" s="129" t="str">
        <f t="shared" si="1209"/>
        <v>DISPOSED</v>
      </c>
      <c r="BT1622" s="129" t="str">
        <f t="shared" si="1210"/>
        <v>N</v>
      </c>
      <c r="BU1622" s="109">
        <f t="shared" si="1211"/>
        <v>0</v>
      </c>
      <c r="BV1622" s="109">
        <v>0</v>
      </c>
      <c r="BW1622" s="109">
        <f t="shared" si="1223"/>
        <v>0</v>
      </c>
      <c r="BX1622" s="111">
        <f t="shared" si="1213"/>
        <v>0</v>
      </c>
      <c r="BY1622" s="129" t="e">
        <f t="shared" si="1214"/>
        <v>#VALUE!</v>
      </c>
      <c r="BZ1622" s="111" t="e">
        <f t="shared" si="1215"/>
        <v>#VALUE!</v>
      </c>
      <c r="CA1622" s="138" t="e">
        <f t="shared" si="1216"/>
        <v>#VALUE!</v>
      </c>
      <c r="CB1622" s="111">
        <v>0</v>
      </c>
      <c r="CC1622" s="129">
        <v>0</v>
      </c>
      <c r="CD1622" s="111">
        <f>CC1622-BF1622</f>
        <v>0</v>
      </c>
      <c r="CG1622" s="129" t="str">
        <f t="shared" si="1217"/>
        <v>Y</v>
      </c>
      <c r="CI1622" s="129" t="str">
        <f t="shared" si="1218"/>
        <v>0-10 DAYS</v>
      </c>
      <c r="CJ1622" s="137">
        <f t="shared" si="1219"/>
        <v>1</v>
      </c>
      <c r="CK1622" s="129" t="str">
        <f t="shared" si="1220"/>
        <v>Not Booked</v>
      </c>
    </row>
    <row r="1623" spans="1:89" ht="15" customHeight="1" x14ac:dyDescent="0.25">
      <c r="A1623" s="111">
        <v>1881</v>
      </c>
      <c r="B1623" s="128" t="str">
        <f t="shared" si="1201"/>
        <v>N</v>
      </c>
      <c r="C1623" s="128" t="str">
        <f t="shared" si="1202"/>
        <v>N</v>
      </c>
      <c r="D1623" s="117">
        <v>2172089</v>
      </c>
      <c r="E1623" s="135">
        <f t="shared" si="1203"/>
        <v>3</v>
      </c>
      <c r="F1623" s="124">
        <v>40978</v>
      </c>
      <c r="G1623" s="125">
        <v>41102</v>
      </c>
      <c r="H1623" s="117">
        <v>2172089</v>
      </c>
      <c r="I1623" s="124" t="s">
        <v>562</v>
      </c>
      <c r="J1623" s="124" t="s">
        <v>562</v>
      </c>
      <c r="K1623" s="126">
        <v>10000</v>
      </c>
      <c r="L1623" s="127" t="s">
        <v>570</v>
      </c>
      <c r="M1623" s="125">
        <v>40979</v>
      </c>
      <c r="N1623" s="129" t="str">
        <f>IF(M1623&gt;1/1/1,"Y",IF(Q1623="0","","N"))</f>
        <v>Y</v>
      </c>
      <c r="O1623" s="128" t="s">
        <v>76</v>
      </c>
      <c r="P1623" s="129" t="s">
        <v>39</v>
      </c>
      <c r="Q1623" s="111">
        <f t="shared" si="1229"/>
        <v>0</v>
      </c>
      <c r="R1623" s="111">
        <f t="shared" si="1228"/>
        <v>125</v>
      </c>
      <c r="S1623" s="129">
        <v>0</v>
      </c>
      <c r="T1623" s="129">
        <v>2</v>
      </c>
      <c r="W1623" s="111"/>
      <c r="AC1623" s="130"/>
      <c r="AD1623" s="130">
        <v>31209</v>
      </c>
      <c r="AE1623" s="128" t="s">
        <v>46</v>
      </c>
      <c r="AF1623" s="128" t="s">
        <v>69</v>
      </c>
      <c r="AG1623" s="128" t="s">
        <v>874</v>
      </c>
      <c r="AH1623" s="108" t="s">
        <v>31</v>
      </c>
      <c r="AI1623" s="128" t="s">
        <v>83</v>
      </c>
      <c r="AJ1623" s="129" t="s">
        <v>89</v>
      </c>
      <c r="AK1623" s="129">
        <v>5</v>
      </c>
      <c r="AL1623" s="3" t="s">
        <v>185</v>
      </c>
      <c r="AP1623" s="129" t="s">
        <v>66</v>
      </c>
      <c r="AR1623" s="128" t="s">
        <v>67</v>
      </c>
      <c r="AS1623" s="129" t="s">
        <v>68</v>
      </c>
      <c r="BC1623" s="129" t="s">
        <v>52</v>
      </c>
      <c r="BF1623" s="111">
        <v>0</v>
      </c>
      <c r="BG1623" s="111">
        <v>0</v>
      </c>
      <c r="BH1623" s="111">
        <f t="shared" si="1198"/>
        <v>125</v>
      </c>
      <c r="BI1623" s="111">
        <f t="shared" si="1199"/>
        <v>26.691256830601095</v>
      </c>
      <c r="BJ1623" s="129" t="e">
        <f>(G1623-J1623)+(M1623-G1623)</f>
        <v>#VALUE!</v>
      </c>
      <c r="BK1623" s="129" t="e">
        <f t="shared" si="1200"/>
        <v>#VALUE!</v>
      </c>
      <c r="BL1623" s="129" t="str">
        <f t="shared" si="1230"/>
        <v>CONVICTION</v>
      </c>
      <c r="BM1623" s="129" t="s">
        <v>76</v>
      </c>
      <c r="BN1623" s="129" t="s">
        <v>88</v>
      </c>
      <c r="BP1623" s="137" t="str">
        <f t="shared" si="1206"/>
        <v>CONVICTION</v>
      </c>
      <c r="BQ1623" s="128">
        <f t="shared" si="1207"/>
        <v>0</v>
      </c>
      <c r="BR1623" s="129" t="s">
        <v>575</v>
      </c>
      <c r="BS1623" s="129" t="str">
        <f t="shared" si="1209"/>
        <v>DISPOSED</v>
      </c>
      <c r="BT1623" s="129" t="str">
        <f t="shared" si="1210"/>
        <v>N</v>
      </c>
      <c r="BU1623" s="109">
        <f t="shared" si="1211"/>
        <v>0</v>
      </c>
      <c r="BV1623" s="109">
        <v>0</v>
      </c>
      <c r="BW1623" s="109">
        <f t="shared" si="1223"/>
        <v>0</v>
      </c>
      <c r="BX1623" s="111">
        <f t="shared" si="1213"/>
        <v>0</v>
      </c>
      <c r="BY1623" s="129" t="e">
        <f t="shared" si="1214"/>
        <v>#VALUE!</v>
      </c>
      <c r="BZ1623" s="111" t="e">
        <f t="shared" si="1215"/>
        <v>#VALUE!</v>
      </c>
      <c r="CA1623" s="138" t="e">
        <f t="shared" si="1216"/>
        <v>#VALUE!</v>
      </c>
      <c r="CB1623" s="111">
        <v>0</v>
      </c>
      <c r="CC1623" s="129">
        <v>0</v>
      </c>
      <c r="CD1623" s="111">
        <f>CC1623-BF1623</f>
        <v>0</v>
      </c>
      <c r="CG1623" s="129" t="str">
        <f t="shared" si="1217"/>
        <v>Y</v>
      </c>
      <c r="CI1623" s="129" t="str">
        <f t="shared" si="1218"/>
        <v>0-10 DAYS</v>
      </c>
      <c r="CJ1623" s="137">
        <f t="shared" si="1219"/>
        <v>1</v>
      </c>
      <c r="CK1623" s="129" t="str">
        <f t="shared" si="1220"/>
        <v>Not Booked</v>
      </c>
    </row>
    <row r="1624" spans="1:89" ht="15" customHeight="1" x14ac:dyDescent="0.25">
      <c r="A1624" s="111">
        <v>1160</v>
      </c>
      <c r="B1624" s="128" t="str">
        <f t="shared" si="1201"/>
        <v>N</v>
      </c>
      <c r="C1624" s="128" t="str">
        <f t="shared" si="1202"/>
        <v>N</v>
      </c>
      <c r="D1624" s="117">
        <v>2173805</v>
      </c>
      <c r="E1624" s="135">
        <f t="shared" si="1203"/>
        <v>6</v>
      </c>
      <c r="F1624" s="124">
        <v>40950</v>
      </c>
      <c r="G1624" s="125">
        <v>41110</v>
      </c>
      <c r="H1624" s="117">
        <v>2173805</v>
      </c>
      <c r="I1624" s="124">
        <v>40950</v>
      </c>
      <c r="J1624" s="124">
        <v>41110</v>
      </c>
      <c r="K1624" s="126">
        <v>20000</v>
      </c>
      <c r="L1624" s="127" t="s">
        <v>571</v>
      </c>
      <c r="N1624" s="129" t="str">
        <f>IF(M1624&gt;1/1/1,"Y","N")</f>
        <v>N</v>
      </c>
      <c r="O1624" s="128" t="s">
        <v>917</v>
      </c>
      <c r="P1624" s="129" t="s">
        <v>39</v>
      </c>
      <c r="Q1624" s="111">
        <f t="shared" si="1229"/>
        <v>161</v>
      </c>
      <c r="R1624" s="111">
        <f t="shared" si="1228"/>
        <v>161</v>
      </c>
      <c r="S1624" s="129">
        <v>2</v>
      </c>
      <c r="T1624" s="129">
        <v>3</v>
      </c>
      <c r="U1624" s="129">
        <v>1</v>
      </c>
      <c r="W1624" s="111"/>
      <c r="AC1624" s="130"/>
      <c r="AD1624" s="130">
        <v>31511</v>
      </c>
      <c r="AE1624" s="128" t="s">
        <v>46</v>
      </c>
      <c r="AF1624" s="128" t="s">
        <v>33</v>
      </c>
      <c r="AG1624" s="128" t="s">
        <v>872</v>
      </c>
      <c r="AH1624" s="108" t="s">
        <v>58</v>
      </c>
      <c r="AI1624" s="128" t="s">
        <v>97</v>
      </c>
      <c r="AJ1624" s="129" t="s">
        <v>89</v>
      </c>
      <c r="AK1624" s="129">
        <v>8</v>
      </c>
      <c r="AL1624" s="3" t="s">
        <v>362</v>
      </c>
      <c r="AM1624" s="117">
        <v>5</v>
      </c>
      <c r="AP1624" s="129" t="s">
        <v>56</v>
      </c>
      <c r="AR1624" s="128" t="s">
        <v>50</v>
      </c>
      <c r="AS1624" s="129" t="s">
        <v>57</v>
      </c>
      <c r="AX1624" s="32"/>
      <c r="BC1624" s="129" t="s">
        <v>99</v>
      </c>
      <c r="BF1624" s="111">
        <f t="shared" ref="BF1624:BF1644" si="1231">IF(J1624&gt;1/1/1900,((J1624+1)-I1624),"STILL OPEN")</f>
        <v>161</v>
      </c>
      <c r="BG1624" s="111">
        <f t="shared" ref="BG1624:BG1647" si="1232">IF(G1624&gt;1/1/1900,((G1624+1)-I1624),"STILL OPEN")</f>
        <v>161</v>
      </c>
      <c r="BH1624" s="111">
        <f t="shared" si="1198"/>
        <v>161</v>
      </c>
      <c r="BI1624" s="111">
        <f t="shared" si="1199"/>
        <v>25.789617486338798</v>
      </c>
      <c r="BJ1624" s="129">
        <f t="shared" si="1204"/>
        <v>0</v>
      </c>
      <c r="BK1624" s="129">
        <f t="shared" si="1200"/>
        <v>0</v>
      </c>
      <c r="BL1624" s="129" t="str">
        <f t="shared" si="1230"/>
        <v>CONVICTION</v>
      </c>
      <c r="BM1624" s="129" t="str">
        <f t="shared" si="1205"/>
        <v>NONE</v>
      </c>
      <c r="BN1624" s="129" t="s">
        <v>566</v>
      </c>
      <c r="BP1624" s="137" t="str">
        <f t="shared" si="1206"/>
        <v>CONVICTION</v>
      </c>
      <c r="BQ1624" s="128" t="str">
        <f t="shared" si="1207"/>
        <v>Y</v>
      </c>
      <c r="BR1624" s="129" t="str">
        <f t="shared" si="1208"/>
        <v>DETAINED</v>
      </c>
      <c r="BS1624" s="129" t="str">
        <f t="shared" si="1209"/>
        <v>DISPOSED</v>
      </c>
      <c r="BT1624" s="129" t="str">
        <f t="shared" si="1210"/>
        <v>Y</v>
      </c>
      <c r="BU1624" s="109">
        <f t="shared" si="1211"/>
        <v>1</v>
      </c>
      <c r="BV1624" s="109">
        <f t="shared" si="1212"/>
        <v>1</v>
      </c>
      <c r="BW1624" s="109">
        <f t="shared" si="1223"/>
        <v>0</v>
      </c>
      <c r="BX1624" s="111">
        <f t="shared" si="1213"/>
        <v>0</v>
      </c>
      <c r="BY1624" s="129">
        <f t="shared" si="1214"/>
        <v>-161</v>
      </c>
      <c r="BZ1624" s="111">
        <f t="shared" si="1215"/>
        <v>0</v>
      </c>
      <c r="CA1624" s="138">
        <f t="shared" si="1216"/>
        <v>161</v>
      </c>
      <c r="CB1624" s="111" t="e">
        <f t="shared" ref="CB1624:CB1644" si="1233">IF(AF1624&gt;1/1/1900,((AF1624+1)-AE1624),"STILL OPEN")</f>
        <v>#VALUE!</v>
      </c>
      <c r="CC1624" s="129">
        <f t="shared" ref="CC1624:CC1632" si="1234">G1624-I1624+1</f>
        <v>161</v>
      </c>
      <c r="CD1624" s="129">
        <f t="shared" ref="CD1624:CD1632" si="1235">G1624-J1624</f>
        <v>0</v>
      </c>
      <c r="CG1624" s="129" t="str">
        <f t="shared" si="1217"/>
        <v>Y</v>
      </c>
      <c r="CI1624" s="129" t="str">
        <f t="shared" si="1218"/>
        <v>121-365 DAYS</v>
      </c>
      <c r="CJ1624" s="137">
        <f t="shared" si="1219"/>
        <v>6</v>
      </c>
      <c r="CK1624" s="129" t="str">
        <f t="shared" si="1220"/>
        <v>Booked</v>
      </c>
    </row>
    <row r="1625" spans="1:89" ht="15.75" customHeight="1" x14ac:dyDescent="0.25">
      <c r="A1625" s="111">
        <v>2203</v>
      </c>
      <c r="B1625" s="128" t="str">
        <f t="shared" si="1201"/>
        <v>N</v>
      </c>
      <c r="C1625" s="128" t="str">
        <f t="shared" si="1202"/>
        <v>N</v>
      </c>
      <c r="D1625" s="117">
        <v>2173870</v>
      </c>
      <c r="E1625" s="135">
        <f t="shared" si="1203"/>
        <v>3</v>
      </c>
      <c r="F1625" s="124">
        <v>40991</v>
      </c>
      <c r="G1625" s="125">
        <v>41086</v>
      </c>
      <c r="H1625" s="117">
        <v>2173870</v>
      </c>
      <c r="I1625" s="124">
        <v>40991</v>
      </c>
      <c r="J1625" s="124">
        <v>41086</v>
      </c>
      <c r="K1625" s="126">
        <v>20000</v>
      </c>
      <c r="L1625" s="127" t="s">
        <v>571</v>
      </c>
      <c r="N1625" s="129" t="str">
        <f>IF(M1625&gt;1/1/1,"Y","N")</f>
        <v>N</v>
      </c>
      <c r="O1625" s="128" t="s">
        <v>917</v>
      </c>
      <c r="P1625" s="129" t="s">
        <v>39</v>
      </c>
      <c r="Q1625" s="111">
        <f t="shared" si="1229"/>
        <v>96</v>
      </c>
      <c r="R1625" s="111">
        <f t="shared" si="1228"/>
        <v>96</v>
      </c>
      <c r="S1625" s="129">
        <v>0</v>
      </c>
      <c r="T1625" s="129">
        <v>1</v>
      </c>
      <c r="W1625" s="111"/>
      <c r="AC1625" s="130"/>
      <c r="AD1625" s="130">
        <v>30805</v>
      </c>
      <c r="AE1625" s="128" t="s">
        <v>32</v>
      </c>
      <c r="AF1625" s="128" t="s">
        <v>69</v>
      </c>
      <c r="AG1625" s="128" t="s">
        <v>874</v>
      </c>
      <c r="AH1625" s="108" t="s">
        <v>58</v>
      </c>
      <c r="AI1625" s="128" t="s">
        <v>113</v>
      </c>
      <c r="AJ1625" s="129" t="s">
        <v>89</v>
      </c>
      <c r="AK1625" s="129">
        <v>5</v>
      </c>
      <c r="AL1625" s="3" t="s">
        <v>185</v>
      </c>
      <c r="AO1625" s="128">
        <v>10</v>
      </c>
      <c r="AP1625" s="129" t="s">
        <v>66</v>
      </c>
      <c r="AR1625" s="128" t="s">
        <v>67</v>
      </c>
      <c r="AS1625" s="129" t="s">
        <v>68</v>
      </c>
      <c r="BC1625" s="129" t="s">
        <v>38</v>
      </c>
      <c r="BF1625" s="111">
        <f t="shared" si="1231"/>
        <v>96</v>
      </c>
      <c r="BG1625" s="111">
        <f t="shared" si="1232"/>
        <v>96</v>
      </c>
      <c r="BH1625" s="111">
        <f t="shared" si="1198"/>
        <v>96</v>
      </c>
      <c r="BI1625" s="111">
        <f t="shared" si="1199"/>
        <v>27.830601092896174</v>
      </c>
      <c r="BJ1625" s="129">
        <f t="shared" si="1204"/>
        <v>0</v>
      </c>
      <c r="BK1625" s="129">
        <f t="shared" si="1200"/>
        <v>0</v>
      </c>
      <c r="BL1625" s="129" t="str">
        <f t="shared" si="1230"/>
        <v>CONVICTION</v>
      </c>
      <c r="BM1625" s="129" t="str">
        <f t="shared" si="1205"/>
        <v>NONE</v>
      </c>
      <c r="BN1625" s="129" t="s">
        <v>566</v>
      </c>
      <c r="BP1625" s="137" t="str">
        <f t="shared" si="1206"/>
        <v>CONVICTION</v>
      </c>
      <c r="BQ1625" s="128" t="str">
        <f t="shared" si="1207"/>
        <v>Y</v>
      </c>
      <c r="BR1625" s="129" t="str">
        <f t="shared" si="1208"/>
        <v>DETAINED</v>
      </c>
      <c r="BS1625" s="129" t="str">
        <f t="shared" si="1209"/>
        <v>DISPOSED</v>
      </c>
      <c r="BT1625" s="129" t="str">
        <f t="shared" si="1210"/>
        <v>N</v>
      </c>
      <c r="BU1625" s="109">
        <f t="shared" si="1211"/>
        <v>1</v>
      </c>
      <c r="BV1625" s="109">
        <f t="shared" si="1212"/>
        <v>1</v>
      </c>
      <c r="BW1625" s="109">
        <f t="shared" si="1223"/>
        <v>0</v>
      </c>
      <c r="BX1625" s="111">
        <f t="shared" si="1213"/>
        <v>0</v>
      </c>
      <c r="BY1625" s="129">
        <f t="shared" si="1214"/>
        <v>-96</v>
      </c>
      <c r="BZ1625" s="111">
        <f t="shared" si="1215"/>
        <v>0</v>
      </c>
      <c r="CA1625" s="138">
        <f t="shared" si="1216"/>
        <v>96</v>
      </c>
      <c r="CB1625" s="111" t="e">
        <f t="shared" si="1233"/>
        <v>#VALUE!</v>
      </c>
      <c r="CC1625" s="129">
        <f t="shared" si="1234"/>
        <v>96</v>
      </c>
      <c r="CD1625" s="129">
        <f t="shared" si="1235"/>
        <v>0</v>
      </c>
      <c r="CG1625" s="129" t="str">
        <f t="shared" si="1217"/>
        <v>Y</v>
      </c>
      <c r="CI1625" s="129" t="str">
        <f t="shared" si="1218"/>
        <v>91-120 DAYS</v>
      </c>
      <c r="CJ1625" s="137">
        <f t="shared" si="1219"/>
        <v>0</v>
      </c>
      <c r="CK1625" s="129" t="str">
        <f t="shared" si="1220"/>
        <v>Booked</v>
      </c>
    </row>
    <row r="1626" spans="1:89" ht="15" customHeight="1" x14ac:dyDescent="0.25">
      <c r="A1626" s="111">
        <v>1934</v>
      </c>
      <c r="B1626" s="128" t="str">
        <f t="shared" si="1201"/>
        <v>N</v>
      </c>
      <c r="C1626" s="128" t="str">
        <f t="shared" si="1202"/>
        <v>N</v>
      </c>
      <c r="D1626" s="117">
        <v>2173876</v>
      </c>
      <c r="E1626" s="135">
        <f t="shared" si="1203"/>
        <v>1</v>
      </c>
      <c r="F1626" s="124">
        <v>40981</v>
      </c>
      <c r="G1626" s="125">
        <v>41038</v>
      </c>
      <c r="H1626" s="117">
        <v>2173876</v>
      </c>
      <c r="I1626" s="124">
        <v>40982</v>
      </c>
      <c r="J1626" s="124">
        <v>41038</v>
      </c>
      <c r="K1626" s="126">
        <v>15000</v>
      </c>
      <c r="L1626" s="127" t="s">
        <v>571</v>
      </c>
      <c r="N1626" s="129" t="str">
        <f>IF(M1626&gt;1/1/1,"Y","N")</f>
        <v>N</v>
      </c>
      <c r="O1626" s="128" t="s">
        <v>917</v>
      </c>
      <c r="P1626" s="129" t="s">
        <v>55</v>
      </c>
      <c r="Q1626" s="111">
        <f t="shared" si="1229"/>
        <v>57</v>
      </c>
      <c r="R1626" s="111">
        <f t="shared" si="1228"/>
        <v>58</v>
      </c>
      <c r="S1626" s="129">
        <v>2</v>
      </c>
      <c r="T1626" s="129">
        <v>1</v>
      </c>
      <c r="U1626" s="129">
        <v>2</v>
      </c>
      <c r="W1626" s="111"/>
      <c r="AC1626" s="130"/>
      <c r="AD1626" s="130">
        <v>31496</v>
      </c>
      <c r="AE1626" s="128" t="s">
        <v>32</v>
      </c>
      <c r="AF1626" s="128" t="s">
        <v>40</v>
      </c>
      <c r="AG1626" s="128" t="s">
        <v>41</v>
      </c>
      <c r="AH1626" s="108" t="s">
        <v>41</v>
      </c>
      <c r="AI1626" s="128" t="s">
        <v>87</v>
      </c>
      <c r="AJ1626" s="129" t="s">
        <v>55</v>
      </c>
      <c r="AL1626" s="3" t="s">
        <v>55</v>
      </c>
      <c r="AP1626" s="129" t="s">
        <v>142</v>
      </c>
      <c r="AR1626" s="128" t="s">
        <v>44</v>
      </c>
      <c r="AS1626" s="129" t="s">
        <v>64</v>
      </c>
      <c r="BC1626" s="129" t="s">
        <v>38</v>
      </c>
      <c r="BF1626" s="111">
        <f t="shared" si="1231"/>
        <v>57</v>
      </c>
      <c r="BG1626" s="111">
        <f t="shared" si="1232"/>
        <v>57</v>
      </c>
      <c r="BH1626" s="111">
        <f t="shared" si="1198"/>
        <v>58</v>
      </c>
      <c r="BI1626" s="111">
        <f t="shared" si="1199"/>
        <v>25.915300546448087</v>
      </c>
      <c r="BJ1626" s="129">
        <f t="shared" si="1204"/>
        <v>0</v>
      </c>
      <c r="BK1626" s="129">
        <f t="shared" si="1200"/>
        <v>0</v>
      </c>
      <c r="BL1626" s="129" t="str">
        <f t="shared" si="1230"/>
        <v>NO CONVICTION</v>
      </c>
      <c r="BM1626" s="129" t="str">
        <f t="shared" si="1205"/>
        <v>NONE</v>
      </c>
      <c r="BN1626" s="129" t="s">
        <v>566</v>
      </c>
      <c r="BP1626" s="137" t="str">
        <f t="shared" si="1206"/>
        <v>NO CONVICTION</v>
      </c>
      <c r="BQ1626" s="128" t="str">
        <f t="shared" si="1207"/>
        <v>Y</v>
      </c>
      <c r="BR1626" s="129" t="str">
        <f t="shared" si="1208"/>
        <v>DETAINED</v>
      </c>
      <c r="BS1626" s="129" t="str">
        <f t="shared" si="1209"/>
        <v>DISPOSED</v>
      </c>
      <c r="BT1626" s="129" t="str">
        <f t="shared" si="1210"/>
        <v>Y</v>
      </c>
      <c r="BU1626" s="109">
        <f>IFERROR(Q1626/R1626,BR1626)</f>
        <v>0.98275862068965514</v>
      </c>
      <c r="BV1626" s="109">
        <f t="shared" si="1212"/>
        <v>1</v>
      </c>
      <c r="BW1626" s="109">
        <f t="shared" si="1223"/>
        <v>1.7241379310344862E-2</v>
      </c>
      <c r="BX1626" s="111">
        <f t="shared" si="1213"/>
        <v>0</v>
      </c>
      <c r="BY1626" s="129">
        <f t="shared" si="1214"/>
        <v>-57</v>
      </c>
      <c r="BZ1626" s="111">
        <f t="shared" si="1215"/>
        <v>0</v>
      </c>
      <c r="CA1626" s="138">
        <f t="shared" si="1216"/>
        <v>57</v>
      </c>
      <c r="CB1626" s="111" t="e">
        <f t="shared" si="1233"/>
        <v>#VALUE!</v>
      </c>
      <c r="CC1626" s="129">
        <f t="shared" si="1234"/>
        <v>57</v>
      </c>
      <c r="CD1626" s="129">
        <f t="shared" si="1235"/>
        <v>0</v>
      </c>
      <c r="CG1626" s="129" t="str">
        <f t="shared" si="1217"/>
        <v>Y</v>
      </c>
      <c r="CI1626" s="129" t="str">
        <f t="shared" si="1218"/>
        <v>31-60 DAYS</v>
      </c>
      <c r="CJ1626" s="137">
        <f t="shared" si="1219"/>
        <v>3</v>
      </c>
      <c r="CK1626" s="129" t="str">
        <f t="shared" si="1220"/>
        <v>Booked</v>
      </c>
    </row>
    <row r="1627" spans="1:89" ht="15" customHeight="1" x14ac:dyDescent="0.25">
      <c r="A1627" s="111">
        <v>203</v>
      </c>
      <c r="B1627" s="128" t="str">
        <f t="shared" si="1201"/>
        <v>N</v>
      </c>
      <c r="C1627" s="128" t="str">
        <f t="shared" si="1202"/>
        <v>N</v>
      </c>
      <c r="D1627" s="117">
        <v>2174246</v>
      </c>
      <c r="E1627" s="135">
        <f t="shared" si="1203"/>
        <v>6</v>
      </c>
      <c r="F1627" s="124">
        <v>40918</v>
      </c>
      <c r="G1627" s="125">
        <v>41225</v>
      </c>
      <c r="H1627" s="117">
        <v>2174246</v>
      </c>
      <c r="I1627" s="124">
        <v>40918</v>
      </c>
      <c r="J1627" s="125">
        <v>41225</v>
      </c>
      <c r="K1627" s="126">
        <v>60000</v>
      </c>
      <c r="L1627" s="129" t="s">
        <v>572</v>
      </c>
      <c r="N1627" s="129" t="str">
        <f>IF(M1627&gt;1/1/1,"Y","N")</f>
        <v>N</v>
      </c>
      <c r="O1627" s="128" t="s">
        <v>917</v>
      </c>
      <c r="P1627" s="129" t="s">
        <v>39</v>
      </c>
      <c r="Q1627" s="111">
        <f t="shared" si="1229"/>
        <v>308</v>
      </c>
      <c r="R1627" s="111">
        <f t="shared" si="1228"/>
        <v>308</v>
      </c>
      <c r="S1627" s="129">
        <v>3</v>
      </c>
      <c r="T1627" s="129">
        <v>0</v>
      </c>
      <c r="U1627" s="129">
        <v>3</v>
      </c>
      <c r="W1627" s="111"/>
      <c r="AC1627" s="130"/>
      <c r="AD1627" s="130">
        <v>31525</v>
      </c>
      <c r="AE1627" s="128" t="s">
        <v>32</v>
      </c>
      <c r="AF1627" s="128" t="s">
        <v>69</v>
      </c>
      <c r="AG1627" s="128" t="s">
        <v>874</v>
      </c>
      <c r="AH1627" s="108" t="s">
        <v>31</v>
      </c>
      <c r="AI1627" s="128" t="s">
        <v>62</v>
      </c>
      <c r="AJ1627" s="129" t="s">
        <v>89</v>
      </c>
      <c r="AK1627" s="129">
        <v>10</v>
      </c>
      <c r="AL1627" s="3" t="s">
        <v>362</v>
      </c>
      <c r="AM1627" s="117">
        <v>5</v>
      </c>
      <c r="AP1627" s="129" t="s">
        <v>84</v>
      </c>
      <c r="AR1627" s="128" t="s">
        <v>67</v>
      </c>
      <c r="AS1627" s="129" t="s">
        <v>74</v>
      </c>
      <c r="BC1627" s="129" t="s">
        <v>38</v>
      </c>
      <c r="BF1627" s="111">
        <f t="shared" si="1231"/>
        <v>308</v>
      </c>
      <c r="BG1627" s="111">
        <f t="shared" si="1232"/>
        <v>308</v>
      </c>
      <c r="BH1627" s="111">
        <f t="shared" si="1198"/>
        <v>308</v>
      </c>
      <c r="BI1627" s="111">
        <f t="shared" si="1199"/>
        <v>25.66393442622951</v>
      </c>
      <c r="BJ1627" s="129">
        <f t="shared" si="1204"/>
        <v>0</v>
      </c>
      <c r="BK1627" s="129">
        <f t="shared" si="1200"/>
        <v>0</v>
      </c>
      <c r="BL1627" s="129" t="str">
        <f t="shared" si="1230"/>
        <v>CONVICTION</v>
      </c>
      <c r="BM1627" s="129" t="str">
        <f t="shared" si="1205"/>
        <v>NONE</v>
      </c>
      <c r="BN1627" s="129" t="s">
        <v>566</v>
      </c>
      <c r="BP1627" s="137" t="str">
        <f t="shared" si="1206"/>
        <v>CONVICTION</v>
      </c>
      <c r="BQ1627" s="128" t="str">
        <f t="shared" si="1207"/>
        <v>Y</v>
      </c>
      <c r="BR1627" s="129" t="str">
        <f t="shared" si="1208"/>
        <v>DETAINED</v>
      </c>
      <c r="BS1627" s="129" t="str">
        <f t="shared" si="1209"/>
        <v>DISPOSED</v>
      </c>
      <c r="BT1627" s="129" t="str">
        <f t="shared" si="1210"/>
        <v>Y</v>
      </c>
      <c r="BU1627" s="109">
        <f t="shared" si="1211"/>
        <v>1</v>
      </c>
      <c r="BV1627" s="109">
        <f t="shared" si="1212"/>
        <v>1</v>
      </c>
      <c r="BW1627" s="109">
        <f t="shared" si="1223"/>
        <v>0</v>
      </c>
      <c r="BX1627" s="111">
        <f t="shared" si="1213"/>
        <v>0</v>
      </c>
      <c r="BY1627" s="129">
        <f t="shared" si="1214"/>
        <v>-308</v>
      </c>
      <c r="BZ1627" s="111">
        <f t="shared" si="1215"/>
        <v>0</v>
      </c>
      <c r="CA1627" s="138">
        <f t="shared" si="1216"/>
        <v>308</v>
      </c>
      <c r="CB1627" s="111" t="e">
        <f t="shared" si="1233"/>
        <v>#VALUE!</v>
      </c>
      <c r="CC1627" s="129">
        <f t="shared" si="1234"/>
        <v>308</v>
      </c>
      <c r="CD1627" s="129">
        <f t="shared" si="1235"/>
        <v>0</v>
      </c>
      <c r="CG1627" s="129" t="str">
        <f t="shared" si="1217"/>
        <v>Y</v>
      </c>
      <c r="CI1627" s="129" t="str">
        <f t="shared" si="1218"/>
        <v>121-365 DAYS</v>
      </c>
      <c r="CJ1627" s="137">
        <f t="shared" si="1219"/>
        <v>6</v>
      </c>
      <c r="CK1627" s="129" t="str">
        <f t="shared" si="1220"/>
        <v>Booked</v>
      </c>
    </row>
    <row r="1628" spans="1:89" ht="15" customHeight="1" x14ac:dyDescent="0.25">
      <c r="A1628" s="111">
        <v>1901</v>
      </c>
      <c r="B1628" s="128" t="str">
        <f t="shared" si="1201"/>
        <v>N</v>
      </c>
      <c r="C1628" s="128" t="str">
        <f t="shared" si="1202"/>
        <v>N</v>
      </c>
      <c r="D1628" s="117">
        <v>2175173</v>
      </c>
      <c r="E1628" s="135">
        <f t="shared" si="1203"/>
        <v>6</v>
      </c>
      <c r="F1628" s="124">
        <v>40979</v>
      </c>
      <c r="G1628" s="125">
        <v>41074</v>
      </c>
      <c r="H1628" s="117">
        <v>2175173</v>
      </c>
      <c r="I1628" s="124">
        <v>40979</v>
      </c>
      <c r="J1628" s="124">
        <v>41074</v>
      </c>
      <c r="K1628" s="126" t="s">
        <v>564</v>
      </c>
      <c r="L1628" s="127" t="s">
        <v>564</v>
      </c>
      <c r="N1628" s="129" t="s">
        <v>566</v>
      </c>
      <c r="O1628" s="128" t="s">
        <v>917</v>
      </c>
      <c r="P1628" s="129" t="s">
        <v>39</v>
      </c>
      <c r="Q1628" s="111">
        <f t="shared" si="1229"/>
        <v>96</v>
      </c>
      <c r="R1628" s="111">
        <f t="shared" si="1228"/>
        <v>96</v>
      </c>
      <c r="S1628" s="129">
        <v>1</v>
      </c>
      <c r="T1628" s="129">
        <v>3</v>
      </c>
      <c r="W1628" s="111"/>
      <c r="AC1628" s="130"/>
      <c r="AD1628" s="130">
        <v>27120</v>
      </c>
      <c r="AE1628" s="128" t="s">
        <v>32</v>
      </c>
      <c r="AF1628" s="128" t="s">
        <v>69</v>
      </c>
      <c r="AG1628" s="128" t="s">
        <v>874</v>
      </c>
      <c r="AH1628" s="108" t="s">
        <v>31</v>
      </c>
      <c r="AI1628" s="128" t="s">
        <v>90</v>
      </c>
      <c r="AJ1628" s="129" t="s">
        <v>89</v>
      </c>
      <c r="AK1628" s="129">
        <v>4</v>
      </c>
      <c r="AL1628" s="3" t="s">
        <v>362</v>
      </c>
      <c r="AM1628" s="117">
        <v>2</v>
      </c>
      <c r="AP1628" s="129" t="s">
        <v>110</v>
      </c>
      <c r="AR1628" s="128" t="s">
        <v>50</v>
      </c>
      <c r="AS1628" s="129" t="s">
        <v>74</v>
      </c>
      <c r="BC1628" s="129" t="s">
        <v>38</v>
      </c>
      <c r="BF1628" s="111">
        <f t="shared" si="1231"/>
        <v>96</v>
      </c>
      <c r="BG1628" s="111">
        <f t="shared" si="1232"/>
        <v>96</v>
      </c>
      <c r="BH1628" s="111">
        <f t="shared" si="1198"/>
        <v>96</v>
      </c>
      <c r="BI1628" s="111">
        <f t="shared" si="1199"/>
        <v>37.866120218579233</v>
      </c>
      <c r="BJ1628" s="129">
        <f t="shared" si="1204"/>
        <v>0</v>
      </c>
      <c r="BK1628" s="129">
        <f t="shared" si="1200"/>
        <v>0</v>
      </c>
      <c r="BL1628" s="129" t="str">
        <f t="shared" si="1230"/>
        <v>CONVICTION</v>
      </c>
      <c r="BM1628" s="129" t="str">
        <f t="shared" si="1205"/>
        <v>NONE</v>
      </c>
      <c r="BN1628" s="129" t="s">
        <v>566</v>
      </c>
      <c r="BP1628" s="137" t="str">
        <f t="shared" si="1206"/>
        <v>CONVICTION</v>
      </c>
      <c r="BQ1628" s="128" t="str">
        <f t="shared" si="1207"/>
        <v>Y</v>
      </c>
      <c r="BR1628" s="129" t="str">
        <f t="shared" si="1208"/>
        <v>DETAINED</v>
      </c>
      <c r="BS1628" s="129" t="str">
        <f t="shared" si="1209"/>
        <v>DISPOSED</v>
      </c>
      <c r="BT1628" s="129" t="str">
        <f t="shared" si="1210"/>
        <v>Y</v>
      </c>
      <c r="BU1628" s="109">
        <f t="shared" si="1211"/>
        <v>1</v>
      </c>
      <c r="BV1628" s="109">
        <f t="shared" si="1212"/>
        <v>1</v>
      </c>
      <c r="BW1628" s="109">
        <f t="shared" si="1223"/>
        <v>0</v>
      </c>
      <c r="BX1628" s="111">
        <f t="shared" si="1213"/>
        <v>0</v>
      </c>
      <c r="BY1628" s="129">
        <f t="shared" si="1214"/>
        <v>-96</v>
      </c>
      <c r="BZ1628" s="111">
        <f t="shared" si="1215"/>
        <v>0</v>
      </c>
      <c r="CA1628" s="138">
        <f t="shared" si="1216"/>
        <v>96</v>
      </c>
      <c r="CB1628" s="111" t="e">
        <f t="shared" si="1233"/>
        <v>#VALUE!</v>
      </c>
      <c r="CC1628" s="129">
        <f t="shared" si="1234"/>
        <v>96</v>
      </c>
      <c r="CD1628" s="129">
        <f t="shared" si="1235"/>
        <v>0</v>
      </c>
      <c r="CG1628" s="129" t="str">
        <f t="shared" si="1217"/>
        <v>Y</v>
      </c>
      <c r="CI1628" s="129" t="str">
        <f t="shared" si="1218"/>
        <v>91-120 DAYS</v>
      </c>
      <c r="CJ1628" s="137">
        <f t="shared" si="1219"/>
        <v>0</v>
      </c>
      <c r="CK1628" s="129" t="str">
        <f t="shared" si="1220"/>
        <v>Booked</v>
      </c>
    </row>
    <row r="1629" spans="1:89" ht="15.75" customHeight="1" x14ac:dyDescent="0.25">
      <c r="A1629" s="111">
        <v>519</v>
      </c>
      <c r="B1629" s="128" t="str">
        <f t="shared" si="1201"/>
        <v>N</v>
      </c>
      <c r="C1629" s="128" t="str">
        <f t="shared" si="1202"/>
        <v>N</v>
      </c>
      <c r="D1629" s="117">
        <v>2177744</v>
      </c>
      <c r="E1629" s="135">
        <f t="shared" si="1203"/>
        <v>6</v>
      </c>
      <c r="F1629" s="124">
        <v>40929</v>
      </c>
      <c r="G1629" s="125">
        <v>41016</v>
      </c>
      <c r="H1629" s="117">
        <v>2177744</v>
      </c>
      <c r="I1629" s="124">
        <v>40929</v>
      </c>
      <c r="J1629" s="124">
        <v>41016</v>
      </c>
      <c r="K1629" s="126">
        <v>20000</v>
      </c>
      <c r="L1629" s="127" t="s">
        <v>571</v>
      </c>
      <c r="N1629" s="129" t="str">
        <f>IF(M1629&gt;1/1/1,"Y","N")</f>
        <v>N</v>
      </c>
      <c r="O1629" s="128" t="s">
        <v>917</v>
      </c>
      <c r="P1629" s="129" t="s">
        <v>39</v>
      </c>
      <c r="Q1629" s="111">
        <f t="shared" si="1229"/>
        <v>88</v>
      </c>
      <c r="R1629" s="111">
        <f t="shared" si="1228"/>
        <v>88</v>
      </c>
      <c r="S1629" s="129">
        <v>5</v>
      </c>
      <c r="T1629" s="129">
        <v>4</v>
      </c>
      <c r="U1629" s="129">
        <v>5</v>
      </c>
      <c r="W1629" s="111"/>
      <c r="AB1629" s="131" t="s">
        <v>112</v>
      </c>
      <c r="AC1629" s="130"/>
      <c r="AD1629" s="130">
        <v>32396</v>
      </c>
      <c r="AE1629" s="128" t="s">
        <v>32</v>
      </c>
      <c r="AF1629" s="128" t="s">
        <v>40</v>
      </c>
      <c r="AG1629" s="128" t="s">
        <v>41</v>
      </c>
      <c r="AH1629" s="108" t="s">
        <v>31</v>
      </c>
      <c r="AI1629" s="128" t="s">
        <v>95</v>
      </c>
      <c r="AJ1629" s="129" t="s">
        <v>89</v>
      </c>
      <c r="AK1629" s="129">
        <v>5</v>
      </c>
      <c r="AL1629" s="3" t="s">
        <v>362</v>
      </c>
      <c r="AM1629" s="117">
        <v>5</v>
      </c>
      <c r="AP1629" s="129" t="s">
        <v>132</v>
      </c>
      <c r="AR1629" s="128" t="s">
        <v>92</v>
      </c>
      <c r="AS1629" s="129" t="s">
        <v>82</v>
      </c>
      <c r="BC1629" s="129" t="s">
        <v>52</v>
      </c>
      <c r="BF1629" s="111">
        <f t="shared" si="1231"/>
        <v>88</v>
      </c>
      <c r="BG1629" s="111">
        <f t="shared" si="1232"/>
        <v>88</v>
      </c>
      <c r="BH1629" s="111">
        <f t="shared" si="1198"/>
        <v>88</v>
      </c>
      <c r="BI1629" s="111">
        <f t="shared" si="1199"/>
        <v>23.314207650273225</v>
      </c>
      <c r="BJ1629" s="129">
        <f t="shared" si="1204"/>
        <v>0</v>
      </c>
      <c r="BK1629" s="129">
        <f t="shared" si="1200"/>
        <v>0</v>
      </c>
      <c r="BL1629" s="129" t="str">
        <f t="shared" si="1230"/>
        <v>CONVICTION</v>
      </c>
      <c r="BM1629" s="129" t="str">
        <f t="shared" si="1205"/>
        <v>NONE</v>
      </c>
      <c r="BN1629" s="129" t="s">
        <v>566</v>
      </c>
      <c r="BP1629" s="137" t="str">
        <f t="shared" si="1206"/>
        <v>CONVICTION</v>
      </c>
      <c r="BQ1629" s="128" t="str">
        <f t="shared" si="1207"/>
        <v>Y</v>
      </c>
      <c r="BR1629" s="129" t="str">
        <f t="shared" si="1208"/>
        <v>DETAINED</v>
      </c>
      <c r="BS1629" s="129" t="str">
        <f t="shared" si="1209"/>
        <v>DISPOSED</v>
      </c>
      <c r="BT1629" s="129" t="str">
        <f t="shared" si="1210"/>
        <v>Y</v>
      </c>
      <c r="BU1629" s="109">
        <f t="shared" si="1211"/>
        <v>1</v>
      </c>
      <c r="BV1629" s="109">
        <f t="shared" si="1212"/>
        <v>1</v>
      </c>
      <c r="BW1629" s="109">
        <f t="shared" si="1223"/>
        <v>0</v>
      </c>
      <c r="BX1629" s="111">
        <f t="shared" si="1213"/>
        <v>0</v>
      </c>
      <c r="BY1629" s="129">
        <f t="shared" si="1214"/>
        <v>-88</v>
      </c>
      <c r="BZ1629" s="111">
        <f t="shared" si="1215"/>
        <v>0</v>
      </c>
      <c r="CA1629" s="138">
        <f t="shared" si="1216"/>
        <v>88</v>
      </c>
      <c r="CB1629" s="111" t="e">
        <f t="shared" si="1233"/>
        <v>#VALUE!</v>
      </c>
      <c r="CC1629" s="129">
        <f t="shared" si="1234"/>
        <v>88</v>
      </c>
      <c r="CD1629" s="129">
        <f t="shared" si="1235"/>
        <v>0</v>
      </c>
      <c r="CG1629" s="129" t="str">
        <f t="shared" si="1217"/>
        <v>Y</v>
      </c>
      <c r="CI1629" s="129" t="str">
        <f t="shared" si="1218"/>
        <v>61-90 DAYS</v>
      </c>
      <c r="CJ1629" s="137">
        <f t="shared" si="1219"/>
        <v>4</v>
      </c>
      <c r="CK1629" s="129" t="str">
        <f t="shared" si="1220"/>
        <v>Booked</v>
      </c>
    </row>
    <row r="1630" spans="1:89" ht="15" customHeight="1" x14ac:dyDescent="0.25">
      <c r="A1630" s="111">
        <v>2820</v>
      </c>
      <c r="B1630" s="128" t="str">
        <f t="shared" si="1201"/>
        <v>N</v>
      </c>
      <c r="C1630" s="128" t="str">
        <f t="shared" si="1202"/>
        <v>N</v>
      </c>
      <c r="D1630" s="117">
        <v>2178101</v>
      </c>
      <c r="E1630" s="135">
        <f t="shared" si="1203"/>
        <v>1</v>
      </c>
      <c r="F1630" s="124">
        <v>41012</v>
      </c>
      <c r="G1630" s="125">
        <v>41064</v>
      </c>
      <c r="H1630" s="117">
        <v>2178101</v>
      </c>
      <c r="I1630" s="124">
        <v>41013</v>
      </c>
      <c r="J1630" s="124">
        <v>41064</v>
      </c>
      <c r="K1630" s="126">
        <v>15000</v>
      </c>
      <c r="L1630" s="127" t="s">
        <v>571</v>
      </c>
      <c r="N1630" s="129" t="str">
        <f>IF(M1630&gt;1/1/1,"Y","N")</f>
        <v>N</v>
      </c>
      <c r="O1630" s="128" t="s">
        <v>917</v>
      </c>
      <c r="P1630" s="129" t="s">
        <v>55</v>
      </c>
      <c r="Q1630" s="111">
        <f t="shared" si="1229"/>
        <v>52</v>
      </c>
      <c r="R1630" s="111">
        <f t="shared" si="1228"/>
        <v>53</v>
      </c>
      <c r="S1630" s="129">
        <v>3</v>
      </c>
      <c r="T1630" s="129">
        <v>6</v>
      </c>
      <c r="W1630" s="111"/>
      <c r="AC1630" s="130"/>
      <c r="AD1630" s="130">
        <v>32356</v>
      </c>
      <c r="AE1630" s="128" t="s">
        <v>32</v>
      </c>
      <c r="AF1630" s="128" t="s">
        <v>33</v>
      </c>
      <c r="AG1630" s="128" t="s">
        <v>872</v>
      </c>
      <c r="AH1630" s="108" t="s">
        <v>58</v>
      </c>
      <c r="AI1630" s="128" t="s">
        <v>95</v>
      </c>
      <c r="AJ1630" s="129" t="s">
        <v>55</v>
      </c>
      <c r="AK1630" s="129">
        <v>4</v>
      </c>
      <c r="AL1630" s="3" t="s">
        <v>55</v>
      </c>
      <c r="AP1630" s="129" t="s">
        <v>43</v>
      </c>
      <c r="AR1630" s="128" t="s">
        <v>44</v>
      </c>
      <c r="AS1630" s="129" t="s">
        <v>45</v>
      </c>
      <c r="BC1630" s="129" t="s">
        <v>38</v>
      </c>
      <c r="BF1630" s="111">
        <f t="shared" si="1231"/>
        <v>52</v>
      </c>
      <c r="BG1630" s="111">
        <f t="shared" si="1232"/>
        <v>52</v>
      </c>
      <c r="BH1630" s="111">
        <f t="shared" si="1198"/>
        <v>53</v>
      </c>
      <c r="BI1630" s="111">
        <f t="shared" si="1199"/>
        <v>23.650273224043715</v>
      </c>
      <c r="BJ1630" s="129">
        <f t="shared" si="1204"/>
        <v>0</v>
      </c>
      <c r="BK1630" s="129">
        <f t="shared" si="1200"/>
        <v>0</v>
      </c>
      <c r="BL1630" s="129" t="str">
        <f t="shared" si="1230"/>
        <v>NO CONVICTION</v>
      </c>
      <c r="BM1630" s="129" t="str">
        <f t="shared" si="1205"/>
        <v>NONE</v>
      </c>
      <c r="BN1630" s="129" t="s">
        <v>566</v>
      </c>
      <c r="BP1630" s="137" t="str">
        <f t="shared" si="1206"/>
        <v>NO CONVICTION</v>
      </c>
      <c r="BQ1630" s="128" t="str">
        <f t="shared" si="1207"/>
        <v>Y</v>
      </c>
      <c r="BR1630" s="129" t="str">
        <f t="shared" si="1208"/>
        <v>DETAINED</v>
      </c>
      <c r="BS1630" s="129" t="str">
        <f t="shared" si="1209"/>
        <v>DISPOSED</v>
      </c>
      <c r="BT1630" s="129" t="str">
        <f t="shared" si="1210"/>
        <v>Y</v>
      </c>
      <c r="BU1630" s="109">
        <f>IFERROR(Q1630/R1630,BR1630)</f>
        <v>0.98113207547169812</v>
      </c>
      <c r="BV1630" s="109">
        <f t="shared" si="1212"/>
        <v>1</v>
      </c>
      <c r="BW1630" s="109">
        <f t="shared" si="1223"/>
        <v>1.8867924528301883E-2</v>
      </c>
      <c r="BX1630" s="111">
        <f t="shared" si="1213"/>
        <v>0</v>
      </c>
      <c r="BY1630" s="129">
        <f t="shared" si="1214"/>
        <v>-52</v>
      </c>
      <c r="BZ1630" s="111">
        <f t="shared" si="1215"/>
        <v>0</v>
      </c>
      <c r="CA1630" s="138">
        <f t="shared" si="1216"/>
        <v>52</v>
      </c>
      <c r="CB1630" s="111" t="e">
        <f t="shared" si="1233"/>
        <v>#VALUE!</v>
      </c>
      <c r="CC1630" s="129">
        <f t="shared" si="1234"/>
        <v>52</v>
      </c>
      <c r="CD1630" s="129">
        <f t="shared" si="1235"/>
        <v>0</v>
      </c>
      <c r="CG1630" s="129" t="str">
        <f t="shared" si="1217"/>
        <v>Y</v>
      </c>
      <c r="CI1630" s="129" t="str">
        <f t="shared" si="1218"/>
        <v>31-60 DAYS</v>
      </c>
      <c r="CJ1630" s="137">
        <f t="shared" si="1219"/>
        <v>3</v>
      </c>
      <c r="CK1630" s="129" t="str">
        <f t="shared" si="1220"/>
        <v>Booked</v>
      </c>
    </row>
    <row r="1631" spans="1:89" ht="15.75" customHeight="1" x14ac:dyDescent="0.25">
      <c r="A1631" s="111">
        <v>1847</v>
      </c>
      <c r="B1631" s="128" t="str">
        <f t="shared" si="1201"/>
        <v>N</v>
      </c>
      <c r="C1631" s="128" t="str">
        <f t="shared" si="1202"/>
        <v>N</v>
      </c>
      <c r="D1631" s="117">
        <v>2178184</v>
      </c>
      <c r="E1631" s="135">
        <f t="shared" si="1203"/>
        <v>5</v>
      </c>
      <c r="F1631" s="124">
        <v>40977</v>
      </c>
      <c r="G1631" s="125">
        <v>41165</v>
      </c>
      <c r="H1631" s="117">
        <v>2178184</v>
      </c>
      <c r="I1631" s="124">
        <v>40978</v>
      </c>
      <c r="J1631" s="124">
        <v>41165</v>
      </c>
      <c r="K1631" s="126">
        <v>70000</v>
      </c>
      <c r="L1631" s="129" t="s">
        <v>572</v>
      </c>
      <c r="N1631" s="129" t="str">
        <f>IF(M1631&gt;1/1/1,"Y","N")</f>
        <v>N</v>
      </c>
      <c r="O1631" s="128" t="s">
        <v>917</v>
      </c>
      <c r="P1631" s="129" t="s">
        <v>39</v>
      </c>
      <c r="Q1631" s="111">
        <f t="shared" si="1229"/>
        <v>188</v>
      </c>
      <c r="R1631" s="111">
        <f t="shared" si="1228"/>
        <v>189</v>
      </c>
      <c r="S1631" s="129">
        <v>0</v>
      </c>
      <c r="T1631" s="129">
        <v>1</v>
      </c>
      <c r="W1631" s="111"/>
      <c r="AB1631" s="131" t="s">
        <v>112</v>
      </c>
      <c r="AC1631" s="130"/>
      <c r="AD1631" s="130">
        <v>30083</v>
      </c>
      <c r="AE1631" s="128" t="s">
        <v>32</v>
      </c>
      <c r="AF1631" s="128" t="s">
        <v>40</v>
      </c>
      <c r="AG1631" s="128" t="s">
        <v>41</v>
      </c>
      <c r="AH1631" s="108" t="s">
        <v>31</v>
      </c>
      <c r="AI1631" s="128" t="s">
        <v>59</v>
      </c>
      <c r="AJ1631" s="129" t="s">
        <v>89</v>
      </c>
      <c r="AK1631" s="129">
        <v>7</v>
      </c>
      <c r="AL1631" s="3" t="s">
        <v>992</v>
      </c>
      <c r="AN1631" s="117">
        <v>8</v>
      </c>
      <c r="AP1631" s="129" t="s">
        <v>132</v>
      </c>
      <c r="AR1631" s="128" t="s">
        <v>92</v>
      </c>
      <c r="AS1631" s="129" t="s">
        <v>82</v>
      </c>
      <c r="BC1631" s="129" t="s">
        <v>38</v>
      </c>
      <c r="BF1631" s="111">
        <f t="shared" si="1231"/>
        <v>188</v>
      </c>
      <c r="BG1631" s="111">
        <f t="shared" si="1232"/>
        <v>188</v>
      </c>
      <c r="BH1631" s="111">
        <f t="shared" si="1198"/>
        <v>189</v>
      </c>
      <c r="BI1631" s="111">
        <f t="shared" si="1199"/>
        <v>29.765027322404372</v>
      </c>
      <c r="BJ1631" s="129">
        <f t="shared" si="1204"/>
        <v>0</v>
      </c>
      <c r="BK1631" s="129">
        <f t="shared" si="1200"/>
        <v>0</v>
      </c>
      <c r="BL1631" s="129" t="str">
        <f t="shared" si="1230"/>
        <v>CONVICTION</v>
      </c>
      <c r="BM1631" s="129" t="str">
        <f t="shared" si="1205"/>
        <v>NONE</v>
      </c>
      <c r="BN1631" s="129" t="s">
        <v>566</v>
      </c>
      <c r="BP1631" s="137" t="str">
        <f t="shared" si="1206"/>
        <v>CONVICTION</v>
      </c>
      <c r="BQ1631" s="128" t="str">
        <f t="shared" si="1207"/>
        <v>Y</v>
      </c>
      <c r="BR1631" s="129" t="str">
        <f t="shared" si="1208"/>
        <v>DETAINED</v>
      </c>
      <c r="BS1631" s="129" t="str">
        <f t="shared" si="1209"/>
        <v>DISPOSED</v>
      </c>
      <c r="BT1631" s="129" t="str">
        <f t="shared" si="1210"/>
        <v>N</v>
      </c>
      <c r="BU1631" s="109">
        <f t="shared" si="1211"/>
        <v>0.99470899470899465</v>
      </c>
      <c r="BV1631" s="109">
        <f t="shared" si="1212"/>
        <v>1</v>
      </c>
      <c r="BW1631" s="109">
        <f t="shared" si="1223"/>
        <v>5.2910052910053462E-3</v>
      </c>
      <c r="BX1631" s="111">
        <f t="shared" si="1213"/>
        <v>0</v>
      </c>
      <c r="BY1631" s="129">
        <f t="shared" si="1214"/>
        <v>-188</v>
      </c>
      <c r="BZ1631" s="111">
        <f t="shared" si="1215"/>
        <v>0</v>
      </c>
      <c r="CA1631" s="138">
        <f t="shared" si="1216"/>
        <v>188</v>
      </c>
      <c r="CB1631" s="111" t="e">
        <f t="shared" si="1233"/>
        <v>#VALUE!</v>
      </c>
      <c r="CC1631" s="129">
        <f t="shared" si="1234"/>
        <v>188</v>
      </c>
      <c r="CD1631" s="129">
        <f t="shared" si="1235"/>
        <v>0</v>
      </c>
      <c r="CG1631" s="129" t="str">
        <f t="shared" si="1217"/>
        <v>Y</v>
      </c>
      <c r="CI1631" s="129" t="str">
        <f t="shared" si="1218"/>
        <v>121-365 DAYS</v>
      </c>
      <c r="CJ1631" s="137">
        <f t="shared" si="1219"/>
        <v>6</v>
      </c>
      <c r="CK1631" s="129" t="str">
        <f t="shared" si="1220"/>
        <v>Booked</v>
      </c>
    </row>
    <row r="1632" spans="1:89" ht="15.75" customHeight="1" x14ac:dyDescent="0.25">
      <c r="A1632" s="111">
        <v>3179</v>
      </c>
      <c r="B1632" s="128" t="str">
        <f t="shared" si="1201"/>
        <v>N</v>
      </c>
      <c r="C1632" s="128" t="str">
        <f t="shared" si="1202"/>
        <v>N</v>
      </c>
      <c r="D1632" s="117">
        <v>2178424</v>
      </c>
      <c r="E1632" s="135">
        <f t="shared" si="1203"/>
        <v>4</v>
      </c>
      <c r="F1632" s="124">
        <v>41026</v>
      </c>
      <c r="G1632" s="125">
        <v>41051</v>
      </c>
      <c r="H1632" s="117">
        <v>2178424</v>
      </c>
      <c r="I1632" s="124">
        <v>41026</v>
      </c>
      <c r="J1632" s="124">
        <v>41051</v>
      </c>
      <c r="K1632" s="126">
        <v>2000</v>
      </c>
      <c r="L1632" s="127" t="s">
        <v>568</v>
      </c>
      <c r="N1632" s="129" t="str">
        <f>IF(M1632&gt;1/1/1,"Y","N")</f>
        <v>N</v>
      </c>
      <c r="O1632" s="128" t="s">
        <v>917</v>
      </c>
      <c r="P1632" s="129" t="s">
        <v>39</v>
      </c>
      <c r="Q1632" s="111">
        <f t="shared" si="1229"/>
        <v>26</v>
      </c>
      <c r="R1632" s="111">
        <f t="shared" si="1228"/>
        <v>26</v>
      </c>
      <c r="S1632" s="129">
        <v>1</v>
      </c>
      <c r="T1632" s="129">
        <v>0</v>
      </c>
      <c r="W1632" s="111"/>
      <c r="AC1632" s="130"/>
      <c r="AD1632" s="130">
        <v>31414</v>
      </c>
      <c r="AE1632" s="128" t="s">
        <v>32</v>
      </c>
      <c r="AF1632" s="128" t="s">
        <v>69</v>
      </c>
      <c r="AG1632" s="128" t="s">
        <v>874</v>
      </c>
      <c r="AH1632" s="108" t="s">
        <v>31</v>
      </c>
      <c r="AI1632" s="128" t="s">
        <v>90</v>
      </c>
      <c r="AJ1632" s="129" t="s">
        <v>89</v>
      </c>
      <c r="AK1632" s="129">
        <v>3</v>
      </c>
      <c r="AL1632" s="3" t="s">
        <v>991</v>
      </c>
      <c r="AO1632" s="128">
        <v>180</v>
      </c>
      <c r="AP1632" s="129" t="s">
        <v>43</v>
      </c>
      <c r="AR1632" s="128" t="s">
        <v>44</v>
      </c>
      <c r="AS1632" s="129" t="s">
        <v>45</v>
      </c>
      <c r="BC1632" s="129" t="s">
        <v>38</v>
      </c>
      <c r="BF1632" s="111">
        <f t="shared" si="1231"/>
        <v>26</v>
      </c>
      <c r="BG1632" s="111">
        <f t="shared" si="1232"/>
        <v>26</v>
      </c>
      <c r="BH1632" s="111">
        <f t="shared" si="1198"/>
        <v>26</v>
      </c>
      <c r="BI1632" s="111">
        <f t="shared" si="1199"/>
        <v>26.262295081967213</v>
      </c>
      <c r="BJ1632" s="129">
        <f t="shared" si="1204"/>
        <v>0</v>
      </c>
      <c r="BK1632" s="129">
        <f t="shared" si="1200"/>
        <v>0</v>
      </c>
      <c r="BL1632" s="129" t="str">
        <f t="shared" si="1230"/>
        <v>CONVICTION</v>
      </c>
      <c r="BM1632" s="129" t="str">
        <f t="shared" si="1205"/>
        <v>NONE</v>
      </c>
      <c r="BN1632" s="129" t="s">
        <v>566</v>
      </c>
      <c r="BP1632" s="137" t="str">
        <f t="shared" si="1206"/>
        <v>CONVICTION</v>
      </c>
      <c r="BQ1632" s="128" t="str">
        <f t="shared" si="1207"/>
        <v>Y</v>
      </c>
      <c r="BR1632" s="129" t="str">
        <f t="shared" si="1208"/>
        <v>DETAINED</v>
      </c>
      <c r="BS1632" s="129" t="str">
        <f t="shared" si="1209"/>
        <v>DISPOSED</v>
      </c>
      <c r="BT1632" s="129" t="str">
        <f t="shared" si="1210"/>
        <v>Y</v>
      </c>
      <c r="BU1632" s="109">
        <f t="shared" si="1211"/>
        <v>1</v>
      </c>
      <c r="BV1632" s="109">
        <f t="shared" si="1212"/>
        <v>1</v>
      </c>
      <c r="BW1632" s="109">
        <f t="shared" si="1223"/>
        <v>0</v>
      </c>
      <c r="BX1632" s="111">
        <f t="shared" si="1213"/>
        <v>0</v>
      </c>
      <c r="BY1632" s="129">
        <f t="shared" si="1214"/>
        <v>-26</v>
      </c>
      <c r="BZ1632" s="111">
        <f t="shared" si="1215"/>
        <v>0</v>
      </c>
      <c r="CA1632" s="138">
        <f t="shared" si="1216"/>
        <v>26</v>
      </c>
      <c r="CB1632" s="111" t="e">
        <f t="shared" si="1233"/>
        <v>#VALUE!</v>
      </c>
      <c r="CC1632" s="129">
        <f t="shared" si="1234"/>
        <v>26</v>
      </c>
      <c r="CD1632" s="129">
        <f t="shared" si="1235"/>
        <v>0</v>
      </c>
      <c r="CG1632" s="129" t="str">
        <f t="shared" si="1217"/>
        <v>Y</v>
      </c>
      <c r="CI1632" s="129" t="str">
        <f t="shared" si="1218"/>
        <v>11-30 DAYS</v>
      </c>
      <c r="CJ1632" s="137">
        <f t="shared" si="1219"/>
        <v>2</v>
      </c>
      <c r="CK1632" s="129" t="str">
        <f t="shared" si="1220"/>
        <v>Booked</v>
      </c>
    </row>
    <row r="1633" spans="1:89" ht="15" customHeight="1" x14ac:dyDescent="0.25">
      <c r="A1633" s="111">
        <v>2966</v>
      </c>
      <c r="B1633" s="128" t="str">
        <f t="shared" si="1201"/>
        <v>N</v>
      </c>
      <c r="C1633" s="128" t="str">
        <f t="shared" si="1202"/>
        <v>N</v>
      </c>
      <c r="D1633" s="117">
        <v>2178747</v>
      </c>
      <c r="E1633" s="135">
        <f t="shared" si="1203"/>
        <v>1</v>
      </c>
      <c r="F1633" s="124">
        <v>41018</v>
      </c>
      <c r="G1633" s="125">
        <v>41025</v>
      </c>
      <c r="H1633" s="117">
        <v>2178747</v>
      </c>
      <c r="I1633" s="124">
        <v>41020</v>
      </c>
      <c r="J1633" s="124">
        <v>41021</v>
      </c>
      <c r="K1633" s="126">
        <v>10000</v>
      </c>
      <c r="L1633" s="127" t="s">
        <v>570</v>
      </c>
      <c r="M1633" s="125">
        <v>41021</v>
      </c>
      <c r="N1633" s="129" t="str">
        <f>IF(M1633&gt;1/1/1,"Y","N")</f>
        <v>Y</v>
      </c>
      <c r="O1633" s="128" t="s">
        <v>76</v>
      </c>
      <c r="P1633" s="129" t="s">
        <v>123</v>
      </c>
      <c r="Q1633" s="111">
        <f t="shared" si="1229"/>
        <v>2</v>
      </c>
      <c r="R1633" s="111">
        <f t="shared" si="1228"/>
        <v>8</v>
      </c>
      <c r="S1633" s="129">
        <v>0</v>
      </c>
      <c r="T1633" s="129">
        <v>1</v>
      </c>
      <c r="W1633" s="111"/>
      <c r="AB1633" s="131" t="s">
        <v>112</v>
      </c>
      <c r="AC1633" s="130"/>
      <c r="AD1633" s="130">
        <v>32028</v>
      </c>
      <c r="AE1633" s="128" t="s">
        <v>32</v>
      </c>
      <c r="AF1633" s="128" t="s">
        <v>40</v>
      </c>
      <c r="AG1633" s="128" t="s">
        <v>41</v>
      </c>
      <c r="AH1633" s="108" t="s">
        <v>31</v>
      </c>
      <c r="AI1633" s="128" t="s">
        <v>47</v>
      </c>
      <c r="AJ1633" s="129" t="s">
        <v>123</v>
      </c>
      <c r="AK1633" s="129">
        <v>2</v>
      </c>
      <c r="AL1633" s="3" t="s">
        <v>123</v>
      </c>
      <c r="AP1633" s="129" t="s">
        <v>186</v>
      </c>
      <c r="AR1633" s="128" t="s">
        <v>50</v>
      </c>
      <c r="AS1633" s="129" t="s">
        <v>106</v>
      </c>
      <c r="BC1633" s="129" t="s">
        <v>79</v>
      </c>
      <c r="BF1633" s="111">
        <f t="shared" si="1231"/>
        <v>2</v>
      </c>
      <c r="BG1633" s="111">
        <f t="shared" si="1232"/>
        <v>6</v>
      </c>
      <c r="BH1633" s="111">
        <f t="shared" si="1198"/>
        <v>8</v>
      </c>
      <c r="BI1633" s="111">
        <f t="shared" si="1199"/>
        <v>24.562841530054644</v>
      </c>
      <c r="BJ1633" s="129">
        <f>(G1633-J1633)+(M1633-G1633)</f>
        <v>0</v>
      </c>
      <c r="BK1633" s="129">
        <f t="shared" si="1200"/>
        <v>-4</v>
      </c>
      <c r="BL1633" s="129" t="str">
        <f t="shared" si="1230"/>
        <v>NO CONVICTION</v>
      </c>
      <c r="BM1633" s="129" t="s">
        <v>76</v>
      </c>
      <c r="BN1633" s="129" t="s">
        <v>88</v>
      </c>
      <c r="BP1633" s="137" t="str">
        <f t="shared" si="1206"/>
        <v>NO CONVICTION</v>
      </c>
      <c r="BQ1633" s="128" t="str">
        <f t="shared" si="1207"/>
        <v>Y</v>
      </c>
      <c r="BR1633" s="129" t="str">
        <f t="shared" si="1208"/>
        <v>ON BOND</v>
      </c>
      <c r="BS1633" s="129" t="str">
        <f t="shared" si="1209"/>
        <v>DISPOSED</v>
      </c>
      <c r="BT1633" s="129" t="str">
        <f t="shared" si="1210"/>
        <v>N</v>
      </c>
      <c r="BU1633" s="109">
        <f>IFERROR(Q1633/R1633,BR1633)</f>
        <v>0.25</v>
      </c>
      <c r="BV1633" s="109">
        <f t="shared" si="1212"/>
        <v>0.33333333333333331</v>
      </c>
      <c r="BW1633" s="109">
        <f t="shared" si="1223"/>
        <v>8.3333333333333315E-2</v>
      </c>
      <c r="BX1633" s="111">
        <f t="shared" si="1213"/>
        <v>0</v>
      </c>
      <c r="BY1633" s="129">
        <f t="shared" si="1214"/>
        <v>-2</v>
      </c>
      <c r="BZ1633" s="111">
        <f t="shared" si="1215"/>
        <v>0</v>
      </c>
      <c r="CA1633" s="138">
        <f t="shared" si="1216"/>
        <v>2</v>
      </c>
      <c r="CB1633" s="111" t="e">
        <f t="shared" si="1233"/>
        <v>#VALUE!</v>
      </c>
      <c r="CC1633" s="129">
        <f>M1633-I1633+1</f>
        <v>2</v>
      </c>
      <c r="CD1633" s="111">
        <f>CC1633-BF1633</f>
        <v>0</v>
      </c>
      <c r="CG1633" s="129" t="str">
        <f t="shared" si="1217"/>
        <v>Y</v>
      </c>
      <c r="CI1633" s="129" t="str">
        <f t="shared" si="1218"/>
        <v>0-10 DAYS</v>
      </c>
      <c r="CJ1633" s="137">
        <f t="shared" si="1219"/>
        <v>1</v>
      </c>
      <c r="CK1633" s="129" t="str">
        <f t="shared" si="1220"/>
        <v>Booked</v>
      </c>
    </row>
    <row r="1634" spans="1:89" ht="15.75" customHeight="1" x14ac:dyDescent="0.25">
      <c r="A1634" s="111">
        <v>461</v>
      </c>
      <c r="B1634" s="128" t="str">
        <f t="shared" si="1201"/>
        <v>N</v>
      </c>
      <c r="C1634" s="128" t="str">
        <f t="shared" si="1202"/>
        <v>N</v>
      </c>
      <c r="D1634" s="117">
        <v>2179049</v>
      </c>
      <c r="E1634" s="135">
        <f t="shared" si="1203"/>
        <v>1</v>
      </c>
      <c r="F1634" s="124">
        <v>40927</v>
      </c>
      <c r="G1634" s="125">
        <v>40931</v>
      </c>
      <c r="H1634" s="117">
        <v>2179049</v>
      </c>
      <c r="I1634" s="124">
        <v>40928</v>
      </c>
      <c r="J1634" s="124">
        <v>40931</v>
      </c>
      <c r="K1634" s="126" t="s">
        <v>564</v>
      </c>
      <c r="L1634" s="127" t="s">
        <v>564</v>
      </c>
      <c r="N1634" s="129" t="s">
        <v>566</v>
      </c>
      <c r="O1634" s="128" t="s">
        <v>917</v>
      </c>
      <c r="P1634" s="129" t="s">
        <v>55</v>
      </c>
      <c r="Q1634" s="111">
        <f t="shared" si="1229"/>
        <v>4</v>
      </c>
      <c r="R1634" s="111">
        <f t="shared" si="1228"/>
        <v>5</v>
      </c>
      <c r="S1634" s="129">
        <v>0</v>
      </c>
      <c r="T1634" s="129">
        <v>0</v>
      </c>
      <c r="W1634" s="111"/>
      <c r="AC1634" s="130"/>
      <c r="AD1634" s="130">
        <v>31857</v>
      </c>
      <c r="AE1634" s="128" t="s">
        <v>32</v>
      </c>
      <c r="AF1634" s="128" t="s">
        <v>33</v>
      </c>
      <c r="AG1634" s="128" t="s">
        <v>872</v>
      </c>
      <c r="AH1634" s="108" t="s">
        <v>31</v>
      </c>
      <c r="AI1634" s="128" t="s">
        <v>100</v>
      </c>
      <c r="AJ1634" s="129" t="s">
        <v>55</v>
      </c>
      <c r="AK1634" s="129">
        <v>1</v>
      </c>
      <c r="AL1634" s="3" t="s">
        <v>55</v>
      </c>
      <c r="AP1634" s="129" t="s">
        <v>137</v>
      </c>
      <c r="AR1634" s="128" t="s">
        <v>67</v>
      </c>
      <c r="AS1634" s="129" t="s">
        <v>64</v>
      </c>
      <c r="BC1634" s="129" t="s">
        <v>38</v>
      </c>
      <c r="BF1634" s="111">
        <f t="shared" si="1231"/>
        <v>4</v>
      </c>
      <c r="BG1634" s="111">
        <f t="shared" si="1232"/>
        <v>4</v>
      </c>
      <c r="BH1634" s="111">
        <f t="shared" si="1198"/>
        <v>5</v>
      </c>
      <c r="BI1634" s="111">
        <f t="shared" si="1199"/>
        <v>24.781420765027324</v>
      </c>
      <c r="BJ1634" s="129">
        <f t="shared" si="1204"/>
        <v>0</v>
      </c>
      <c r="BK1634" s="129">
        <f t="shared" si="1200"/>
        <v>0</v>
      </c>
      <c r="BL1634" s="129" t="str">
        <f t="shared" si="1230"/>
        <v>NO CONVICTION</v>
      </c>
      <c r="BM1634" s="129" t="str">
        <f t="shared" si="1205"/>
        <v>NONE</v>
      </c>
      <c r="BN1634" s="129" t="s">
        <v>566</v>
      </c>
      <c r="BP1634" s="137" t="str">
        <f t="shared" si="1206"/>
        <v>NO CONVICTION</v>
      </c>
      <c r="BQ1634" s="128" t="str">
        <f t="shared" si="1207"/>
        <v>Y</v>
      </c>
      <c r="BR1634" s="129" t="str">
        <f t="shared" si="1208"/>
        <v>DETAINED</v>
      </c>
      <c r="BS1634" s="129" t="str">
        <f t="shared" si="1209"/>
        <v>DISPOSED</v>
      </c>
      <c r="BT1634" s="129" t="str">
        <f t="shared" si="1210"/>
        <v>N</v>
      </c>
      <c r="BU1634" s="109">
        <f>IFERROR(Q1634/R1634,BR1634)</f>
        <v>0.8</v>
      </c>
      <c r="BV1634" s="109">
        <f t="shared" si="1212"/>
        <v>1</v>
      </c>
      <c r="BW1634" s="109">
        <f t="shared" si="1223"/>
        <v>0.19999999999999996</v>
      </c>
      <c r="BX1634" s="111">
        <f t="shared" si="1213"/>
        <v>0</v>
      </c>
      <c r="BY1634" s="129">
        <f t="shared" si="1214"/>
        <v>-4</v>
      </c>
      <c r="BZ1634" s="111">
        <f t="shared" si="1215"/>
        <v>0</v>
      </c>
      <c r="CA1634" s="138">
        <f t="shared" si="1216"/>
        <v>4</v>
      </c>
      <c r="CB1634" s="111" t="e">
        <f t="shared" si="1233"/>
        <v>#VALUE!</v>
      </c>
      <c r="CC1634" s="129">
        <f>G1634-I1634+1</f>
        <v>4</v>
      </c>
      <c r="CD1634" s="129">
        <f>G1634-J1634</f>
        <v>0</v>
      </c>
      <c r="CG1634" s="129" t="str">
        <f t="shared" si="1217"/>
        <v>N</v>
      </c>
      <c r="CI1634" s="129" t="str">
        <f t="shared" si="1218"/>
        <v>0-10 DAYS</v>
      </c>
      <c r="CJ1634" s="137">
        <f t="shared" si="1219"/>
        <v>1</v>
      </c>
      <c r="CK1634" s="129" t="str">
        <f t="shared" si="1220"/>
        <v>Booked</v>
      </c>
    </row>
    <row r="1635" spans="1:89" ht="15" customHeight="1" x14ac:dyDescent="0.25">
      <c r="A1635" s="111">
        <v>470</v>
      </c>
      <c r="B1635" s="128" t="str">
        <f t="shared" si="1201"/>
        <v>N</v>
      </c>
      <c r="C1635" s="128" t="str">
        <f t="shared" si="1202"/>
        <v>N</v>
      </c>
      <c r="D1635" s="117">
        <v>2179083</v>
      </c>
      <c r="E1635" s="135">
        <f t="shared" si="1203"/>
        <v>2</v>
      </c>
      <c r="F1635" s="124">
        <v>40927</v>
      </c>
      <c r="G1635" s="125">
        <v>40931</v>
      </c>
      <c r="H1635" s="117">
        <v>2179083</v>
      </c>
      <c r="I1635" s="124">
        <v>40928</v>
      </c>
      <c r="J1635" s="124">
        <v>40931</v>
      </c>
      <c r="K1635" s="126">
        <v>2000</v>
      </c>
      <c r="L1635" s="127" t="s">
        <v>568</v>
      </c>
      <c r="N1635" s="129" t="str">
        <f t="shared" ref="N1635:N1640" si="1236">IF(M1635&gt;1/1/1,"Y","N")</f>
        <v>N</v>
      </c>
      <c r="O1635" s="128" t="s">
        <v>917</v>
      </c>
      <c r="P1635" s="129" t="s">
        <v>589</v>
      </c>
      <c r="Q1635" s="111">
        <f t="shared" si="1229"/>
        <v>4</v>
      </c>
      <c r="R1635" s="111">
        <f t="shared" si="1228"/>
        <v>5</v>
      </c>
      <c r="S1635" s="129">
        <v>0</v>
      </c>
      <c r="T1635" s="129">
        <v>0</v>
      </c>
      <c r="W1635" s="111"/>
      <c r="AC1635" s="130"/>
      <c r="AD1635" s="130">
        <v>17184</v>
      </c>
      <c r="AE1635" s="128" t="s">
        <v>32</v>
      </c>
      <c r="AF1635" s="128" t="s">
        <v>33</v>
      </c>
      <c r="AG1635" s="128" t="s">
        <v>872</v>
      </c>
      <c r="AH1635" s="108" t="s">
        <v>31</v>
      </c>
      <c r="AI1635" s="128" t="s">
        <v>47</v>
      </c>
      <c r="AJ1635" s="129" t="s">
        <v>48</v>
      </c>
      <c r="AK1635" s="129">
        <v>1</v>
      </c>
      <c r="AL1635" s="3" t="s">
        <v>48</v>
      </c>
      <c r="AP1635" s="129" t="s">
        <v>43</v>
      </c>
      <c r="AR1635" s="128" t="s">
        <v>44</v>
      </c>
      <c r="AS1635" s="129" t="s">
        <v>45</v>
      </c>
      <c r="AT1635" s="129" t="s">
        <v>210</v>
      </c>
      <c r="BC1635" s="129" t="s">
        <v>52</v>
      </c>
      <c r="BF1635" s="111">
        <f t="shared" si="1231"/>
        <v>4</v>
      </c>
      <c r="BG1635" s="111">
        <f t="shared" si="1232"/>
        <v>4</v>
      </c>
      <c r="BH1635" s="111">
        <f t="shared" si="1198"/>
        <v>5</v>
      </c>
      <c r="BI1635" s="111">
        <f t="shared" si="1199"/>
        <v>64.87158469945355</v>
      </c>
      <c r="BJ1635" s="129">
        <f t="shared" si="1204"/>
        <v>0</v>
      </c>
      <c r="BK1635" s="129">
        <f t="shared" si="1200"/>
        <v>0</v>
      </c>
      <c r="BL1635" s="129" t="str">
        <f t="shared" si="1230"/>
        <v>DEFERRED</v>
      </c>
      <c r="BM1635" s="129" t="str">
        <f t="shared" si="1205"/>
        <v>NONE</v>
      </c>
      <c r="BN1635" s="129" t="s">
        <v>566</v>
      </c>
      <c r="BP1635" s="137" t="str">
        <f t="shared" si="1206"/>
        <v>DEFERRED</v>
      </c>
      <c r="BQ1635" s="128" t="str">
        <f t="shared" si="1207"/>
        <v>Y</v>
      </c>
      <c r="BR1635" s="129" t="str">
        <f t="shared" si="1208"/>
        <v>DETAINED</v>
      </c>
      <c r="BS1635" s="129" t="str">
        <f t="shared" si="1209"/>
        <v>DISPOSED</v>
      </c>
      <c r="BT1635" s="129" t="str">
        <f t="shared" si="1210"/>
        <v>N</v>
      </c>
      <c r="BU1635" s="109">
        <f t="shared" si="1211"/>
        <v>0.8</v>
      </c>
      <c r="BV1635" s="109">
        <f t="shared" si="1212"/>
        <v>1</v>
      </c>
      <c r="BW1635" s="109">
        <f t="shared" si="1223"/>
        <v>0.19999999999999996</v>
      </c>
      <c r="BX1635" s="111">
        <f t="shared" si="1213"/>
        <v>0</v>
      </c>
      <c r="BY1635" s="129">
        <f t="shared" si="1214"/>
        <v>-4</v>
      </c>
      <c r="BZ1635" s="111">
        <f t="shared" si="1215"/>
        <v>0</v>
      </c>
      <c r="CA1635" s="138">
        <f t="shared" si="1216"/>
        <v>4</v>
      </c>
      <c r="CB1635" s="111" t="e">
        <f t="shared" si="1233"/>
        <v>#VALUE!</v>
      </c>
      <c r="CC1635" s="129">
        <f>G1635-I1635+1</f>
        <v>4</v>
      </c>
      <c r="CD1635" s="129">
        <f>G1635-J1635</f>
        <v>0</v>
      </c>
      <c r="CG1635" s="129" t="str">
        <f t="shared" si="1217"/>
        <v>N</v>
      </c>
      <c r="CI1635" s="129" t="str">
        <f t="shared" si="1218"/>
        <v>0-10 DAYS</v>
      </c>
      <c r="CJ1635" s="137">
        <f t="shared" si="1219"/>
        <v>1</v>
      </c>
      <c r="CK1635" s="129" t="str">
        <f t="shared" si="1220"/>
        <v>Booked</v>
      </c>
    </row>
    <row r="1636" spans="1:89" ht="15.75" customHeight="1" x14ac:dyDescent="0.25">
      <c r="A1636" s="111">
        <v>1703</v>
      </c>
      <c r="B1636" s="128" t="str">
        <f t="shared" si="1201"/>
        <v>N</v>
      </c>
      <c r="C1636" s="128" t="str">
        <f t="shared" si="1202"/>
        <v>Y</v>
      </c>
      <c r="D1636" s="117">
        <v>2179826</v>
      </c>
      <c r="E1636" s="135">
        <f t="shared" si="1203"/>
        <v>1</v>
      </c>
      <c r="F1636" s="124">
        <v>40972</v>
      </c>
      <c r="G1636" s="125">
        <v>41123</v>
      </c>
      <c r="H1636" s="117">
        <v>2179826</v>
      </c>
      <c r="I1636" s="124">
        <v>40972</v>
      </c>
      <c r="J1636" s="124">
        <v>40972</v>
      </c>
      <c r="K1636" s="126">
        <v>80000</v>
      </c>
      <c r="L1636" s="129" t="s">
        <v>572</v>
      </c>
      <c r="M1636" s="125">
        <v>40972</v>
      </c>
      <c r="N1636" s="129" t="str">
        <f t="shared" si="1236"/>
        <v>Y</v>
      </c>
      <c r="O1636" s="128" t="s">
        <v>585</v>
      </c>
      <c r="P1636" s="129" t="s">
        <v>55</v>
      </c>
      <c r="Q1636" s="111">
        <v>14</v>
      </c>
      <c r="R1636" s="111">
        <f t="shared" si="1228"/>
        <v>152</v>
      </c>
      <c r="S1636" s="129">
        <v>1</v>
      </c>
      <c r="T1636" s="129">
        <v>4</v>
      </c>
      <c r="W1636" s="111"/>
      <c r="AC1636" s="130"/>
      <c r="AD1636" s="130">
        <v>31387</v>
      </c>
      <c r="AE1636" s="128" t="s">
        <v>46</v>
      </c>
      <c r="AF1636" s="128" t="s">
        <v>69</v>
      </c>
      <c r="AG1636" s="128" t="s">
        <v>874</v>
      </c>
      <c r="AH1636" s="108" t="s">
        <v>31</v>
      </c>
      <c r="AI1636" s="128" t="s">
        <v>59</v>
      </c>
      <c r="AJ1636" s="129" t="s">
        <v>55</v>
      </c>
      <c r="AK1636" s="129">
        <v>8</v>
      </c>
      <c r="AL1636" s="3" t="s">
        <v>55</v>
      </c>
      <c r="AP1636" s="129" t="s">
        <v>43</v>
      </c>
      <c r="AR1636" s="128" t="s">
        <v>44</v>
      </c>
      <c r="AS1636" s="129" t="s">
        <v>45</v>
      </c>
      <c r="AU1636" s="3" t="s">
        <v>734</v>
      </c>
      <c r="AX1636" s="32" t="s">
        <v>88</v>
      </c>
      <c r="BC1636" s="129" t="s">
        <v>52</v>
      </c>
      <c r="BF1636" s="111">
        <v>14</v>
      </c>
      <c r="BG1636" s="111">
        <f t="shared" si="1232"/>
        <v>152</v>
      </c>
      <c r="BH1636" s="111">
        <f t="shared" si="1198"/>
        <v>152</v>
      </c>
      <c r="BI1636" s="111">
        <f t="shared" si="1199"/>
        <v>26.188524590163933</v>
      </c>
      <c r="BJ1636" s="129">
        <f>(G1636-J1636)+(M1636-G1636)</f>
        <v>0</v>
      </c>
      <c r="BK1636" s="129">
        <f t="shared" si="1200"/>
        <v>-151</v>
      </c>
      <c r="BL1636" s="129" t="str">
        <f t="shared" si="1230"/>
        <v>NO CONVICTION</v>
      </c>
      <c r="BM1636" s="129" t="s">
        <v>76</v>
      </c>
      <c r="BN1636" s="129" t="s">
        <v>88</v>
      </c>
      <c r="BP1636" s="137" t="str">
        <f t="shared" si="1206"/>
        <v>NO CONVICTION</v>
      </c>
      <c r="BQ1636" s="128" t="str">
        <f t="shared" si="1207"/>
        <v>Y</v>
      </c>
      <c r="BR1636" s="129" t="str">
        <f t="shared" si="1208"/>
        <v>ON BOND</v>
      </c>
      <c r="BS1636" s="129" t="str">
        <f t="shared" si="1209"/>
        <v>DISPOSED</v>
      </c>
      <c r="BT1636" s="129" t="str">
        <f t="shared" si="1210"/>
        <v>Y</v>
      </c>
      <c r="BU1636" s="109">
        <f>IFERROR(Q1636/R1636,BR1636)</f>
        <v>9.2105263157894732E-2</v>
      </c>
      <c r="BV1636" s="109">
        <f t="shared" si="1212"/>
        <v>6.5789473684210523E-3</v>
      </c>
      <c r="BW1636" s="109">
        <f t="shared" si="1223"/>
        <v>-8.5526315789473673E-2</v>
      </c>
      <c r="BX1636" s="111">
        <f t="shared" si="1213"/>
        <v>0</v>
      </c>
      <c r="BY1636" s="129">
        <f t="shared" si="1214"/>
        <v>-1</v>
      </c>
      <c r="BZ1636" s="111">
        <f t="shared" si="1215"/>
        <v>13</v>
      </c>
      <c r="CA1636" s="138">
        <f t="shared" si="1216"/>
        <v>1</v>
      </c>
      <c r="CB1636" s="111">
        <v>14</v>
      </c>
      <c r="CD1636" s="129">
        <f>G1636-J1636</f>
        <v>151</v>
      </c>
      <c r="CG1636" s="129" t="str">
        <f t="shared" si="1217"/>
        <v>Y</v>
      </c>
      <c r="CI1636" s="129" t="str">
        <f t="shared" si="1218"/>
        <v>11-30 DAYS</v>
      </c>
      <c r="CJ1636" s="137">
        <f t="shared" si="1219"/>
        <v>2</v>
      </c>
      <c r="CK1636" s="129" t="str">
        <f t="shared" si="1220"/>
        <v>Booked</v>
      </c>
    </row>
    <row r="1637" spans="1:89" ht="15.75" customHeight="1" x14ac:dyDescent="0.25">
      <c r="A1637" s="111">
        <v>3169</v>
      </c>
      <c r="B1637" s="128" t="str">
        <f t="shared" si="1201"/>
        <v>N</v>
      </c>
      <c r="C1637" s="128" t="str">
        <f t="shared" si="1202"/>
        <v>N</v>
      </c>
      <c r="D1637" s="117">
        <v>2181272</v>
      </c>
      <c r="E1637" s="135">
        <f t="shared" si="1203"/>
        <v>2</v>
      </c>
      <c r="F1637" s="124">
        <v>41025</v>
      </c>
      <c r="G1637" s="125">
        <v>41319</v>
      </c>
      <c r="H1637" s="117">
        <v>2181272</v>
      </c>
      <c r="I1637" s="124">
        <v>41026</v>
      </c>
      <c r="J1637" s="124">
        <v>41040</v>
      </c>
      <c r="K1637" s="126">
        <v>10000</v>
      </c>
      <c r="L1637" s="127" t="s">
        <v>570</v>
      </c>
      <c r="M1637" s="125">
        <v>41040</v>
      </c>
      <c r="N1637" s="129" t="str">
        <f t="shared" si="1236"/>
        <v>Y</v>
      </c>
      <c r="O1637" s="128" t="s">
        <v>76</v>
      </c>
      <c r="P1637" s="129" t="s">
        <v>589</v>
      </c>
      <c r="Q1637" s="111">
        <f t="shared" si="1229"/>
        <v>15</v>
      </c>
      <c r="R1637" s="111">
        <f t="shared" si="1228"/>
        <v>295</v>
      </c>
      <c r="S1637" s="129">
        <v>2</v>
      </c>
      <c r="T1637" s="129">
        <v>5</v>
      </c>
      <c r="U1637" s="129">
        <v>1</v>
      </c>
      <c r="W1637" s="111"/>
      <c r="AC1637" s="130"/>
      <c r="AD1637" s="130">
        <v>31903</v>
      </c>
      <c r="AE1637" s="128" t="s">
        <v>32</v>
      </c>
      <c r="AF1637" s="128" t="s">
        <v>33</v>
      </c>
      <c r="AG1637" s="128" t="s">
        <v>872</v>
      </c>
      <c r="AH1637" s="108" t="s">
        <v>31</v>
      </c>
      <c r="AI1637" s="128" t="s">
        <v>65</v>
      </c>
      <c r="AJ1637" s="129" t="s">
        <v>48</v>
      </c>
      <c r="AK1637" s="129">
        <v>7</v>
      </c>
      <c r="AL1637" s="3" t="s">
        <v>48</v>
      </c>
      <c r="AP1637" s="129" t="s">
        <v>137</v>
      </c>
      <c r="AR1637" s="128" t="s">
        <v>67</v>
      </c>
      <c r="AS1637" s="129" t="s">
        <v>64</v>
      </c>
      <c r="BC1637" s="129" t="s">
        <v>38</v>
      </c>
      <c r="BF1637" s="111">
        <f t="shared" si="1231"/>
        <v>15</v>
      </c>
      <c r="BG1637" s="111">
        <f t="shared" si="1232"/>
        <v>294</v>
      </c>
      <c r="BH1637" s="111">
        <f t="shared" si="1198"/>
        <v>295</v>
      </c>
      <c r="BI1637" s="111">
        <f t="shared" si="1199"/>
        <v>24.923497267759561</v>
      </c>
      <c r="BJ1637" s="129">
        <f>(G1637-J1637)+(M1637-G1637)</f>
        <v>0</v>
      </c>
      <c r="BK1637" s="129">
        <f t="shared" si="1200"/>
        <v>-279</v>
      </c>
      <c r="BL1637" s="129" t="str">
        <f t="shared" si="1230"/>
        <v>DEFERRED</v>
      </c>
      <c r="BM1637" s="129" t="s">
        <v>76</v>
      </c>
      <c r="BN1637" s="129" t="s">
        <v>88</v>
      </c>
      <c r="BP1637" s="137" t="str">
        <f t="shared" si="1206"/>
        <v>DEFERRED</v>
      </c>
      <c r="BQ1637" s="128" t="str">
        <f t="shared" si="1207"/>
        <v>Y</v>
      </c>
      <c r="BR1637" s="129" t="str">
        <f t="shared" si="1208"/>
        <v>ON BOND</v>
      </c>
      <c r="BS1637" s="129" t="str">
        <f t="shared" si="1209"/>
        <v>DISPOSED</v>
      </c>
      <c r="BT1637" s="129" t="str">
        <f t="shared" si="1210"/>
        <v>Y</v>
      </c>
      <c r="BU1637" s="109">
        <f t="shared" si="1211"/>
        <v>5.0847457627118647E-2</v>
      </c>
      <c r="BV1637" s="109">
        <f t="shared" si="1212"/>
        <v>5.1020408163265307E-2</v>
      </c>
      <c r="BW1637" s="109">
        <f t="shared" si="1223"/>
        <v>1.7295053614665989E-4</v>
      </c>
      <c r="BX1637" s="111">
        <f t="shared" si="1213"/>
        <v>0</v>
      </c>
      <c r="BY1637" s="129">
        <f t="shared" si="1214"/>
        <v>-15</v>
      </c>
      <c r="BZ1637" s="111">
        <f t="shared" si="1215"/>
        <v>0</v>
      </c>
      <c r="CA1637" s="138">
        <f t="shared" si="1216"/>
        <v>15</v>
      </c>
      <c r="CB1637" s="111" t="e">
        <f t="shared" si="1233"/>
        <v>#VALUE!</v>
      </c>
      <c r="CC1637" s="129">
        <f>M1637-I1637+1</f>
        <v>15</v>
      </c>
      <c r="CD1637" s="111">
        <f>CC1637-BF1637</f>
        <v>0</v>
      </c>
      <c r="CG1637" s="129" t="str">
        <f t="shared" si="1217"/>
        <v>Y</v>
      </c>
      <c r="CI1637" s="129" t="str">
        <f t="shared" si="1218"/>
        <v>11-30 DAYS</v>
      </c>
      <c r="CJ1637" s="137">
        <f t="shared" si="1219"/>
        <v>2</v>
      </c>
      <c r="CK1637" s="129" t="str">
        <f t="shared" si="1220"/>
        <v>Booked</v>
      </c>
    </row>
    <row r="1638" spans="1:89" ht="15" customHeight="1" x14ac:dyDescent="0.25">
      <c r="A1638" s="111">
        <v>494</v>
      </c>
      <c r="B1638" s="128" t="str">
        <f t="shared" si="1201"/>
        <v>N</v>
      </c>
      <c r="C1638" s="128" t="str">
        <f t="shared" si="1202"/>
        <v>N</v>
      </c>
      <c r="D1638" s="117">
        <v>2181572</v>
      </c>
      <c r="E1638" s="135">
        <f t="shared" si="1203"/>
        <v>2</v>
      </c>
      <c r="F1638" s="124">
        <v>40928</v>
      </c>
      <c r="G1638" s="125">
        <v>41072</v>
      </c>
      <c r="H1638" s="117">
        <v>2181572</v>
      </c>
      <c r="I1638" s="124">
        <v>40929</v>
      </c>
      <c r="J1638" s="124">
        <v>40931</v>
      </c>
      <c r="K1638" s="126">
        <v>10000</v>
      </c>
      <c r="L1638" s="127" t="s">
        <v>570</v>
      </c>
      <c r="M1638" s="125">
        <v>40931</v>
      </c>
      <c r="N1638" s="129" t="str">
        <f t="shared" si="1236"/>
        <v>Y</v>
      </c>
      <c r="O1638" s="128" t="s">
        <v>76</v>
      </c>
      <c r="P1638" s="129" t="s">
        <v>589</v>
      </c>
      <c r="Q1638" s="111">
        <f t="shared" si="1229"/>
        <v>3</v>
      </c>
      <c r="R1638" s="111">
        <f t="shared" si="1228"/>
        <v>145</v>
      </c>
      <c r="S1638" s="129">
        <v>1</v>
      </c>
      <c r="T1638" s="129">
        <v>2</v>
      </c>
      <c r="W1638" s="111"/>
      <c r="AC1638" s="130"/>
      <c r="AD1638" s="130">
        <v>31944</v>
      </c>
      <c r="AE1638" s="128" t="s">
        <v>32</v>
      </c>
      <c r="AF1638" s="128" t="s">
        <v>33</v>
      </c>
      <c r="AG1638" s="128" t="s">
        <v>872</v>
      </c>
      <c r="AH1638" s="108" t="s">
        <v>31</v>
      </c>
      <c r="AI1638" s="128" t="s">
        <v>100</v>
      </c>
      <c r="AJ1638" s="129" t="s">
        <v>48</v>
      </c>
      <c r="AK1638" s="129">
        <v>6</v>
      </c>
      <c r="AL1638" s="3" t="s">
        <v>48</v>
      </c>
      <c r="AP1638" s="129" t="s">
        <v>43</v>
      </c>
      <c r="AR1638" s="128" t="s">
        <v>44</v>
      </c>
      <c r="AS1638" s="129" t="s">
        <v>45</v>
      </c>
      <c r="BC1638" s="129" t="s">
        <v>52</v>
      </c>
      <c r="BF1638" s="111">
        <f t="shared" si="1231"/>
        <v>3</v>
      </c>
      <c r="BG1638" s="111">
        <f t="shared" si="1232"/>
        <v>144</v>
      </c>
      <c r="BH1638" s="111">
        <f t="shared" si="1198"/>
        <v>145</v>
      </c>
      <c r="BI1638" s="111">
        <f t="shared" si="1199"/>
        <v>24.546448087431695</v>
      </c>
      <c r="BJ1638" s="129">
        <f>(G1638-J1638)+(M1638-G1638)</f>
        <v>0</v>
      </c>
      <c r="BK1638" s="129">
        <f t="shared" si="1200"/>
        <v>-141</v>
      </c>
      <c r="BL1638" s="129" t="str">
        <f t="shared" si="1230"/>
        <v>DEFERRED</v>
      </c>
      <c r="BM1638" s="129" t="s">
        <v>76</v>
      </c>
      <c r="BN1638" s="129" t="s">
        <v>88</v>
      </c>
      <c r="BP1638" s="137" t="str">
        <f t="shared" si="1206"/>
        <v>DEFERRED</v>
      </c>
      <c r="BQ1638" s="128" t="str">
        <f t="shared" si="1207"/>
        <v>Y</v>
      </c>
      <c r="BR1638" s="129" t="str">
        <f t="shared" si="1208"/>
        <v>ON BOND</v>
      </c>
      <c r="BS1638" s="129" t="str">
        <f t="shared" si="1209"/>
        <v>DISPOSED</v>
      </c>
      <c r="BT1638" s="129" t="str">
        <f t="shared" si="1210"/>
        <v>Y</v>
      </c>
      <c r="BU1638" s="109">
        <f t="shared" si="1211"/>
        <v>2.0689655172413793E-2</v>
      </c>
      <c r="BV1638" s="109">
        <f t="shared" si="1212"/>
        <v>2.0833333333333332E-2</v>
      </c>
      <c r="BW1638" s="109">
        <f t="shared" si="1223"/>
        <v>1.4367816091953936E-4</v>
      </c>
      <c r="BX1638" s="111">
        <f t="shared" si="1213"/>
        <v>0</v>
      </c>
      <c r="BY1638" s="129">
        <f t="shared" si="1214"/>
        <v>-3</v>
      </c>
      <c r="BZ1638" s="111">
        <f t="shared" si="1215"/>
        <v>0</v>
      </c>
      <c r="CA1638" s="138">
        <f t="shared" si="1216"/>
        <v>3</v>
      </c>
      <c r="CB1638" s="111" t="e">
        <f t="shared" si="1233"/>
        <v>#VALUE!</v>
      </c>
      <c r="CC1638" s="129">
        <f>M1638-I1638+1</f>
        <v>3</v>
      </c>
      <c r="CD1638" s="111">
        <f>CC1638-BF1638</f>
        <v>0</v>
      </c>
      <c r="CG1638" s="129" t="str">
        <f t="shared" si="1217"/>
        <v>Y</v>
      </c>
      <c r="CI1638" s="129" t="str">
        <f t="shared" si="1218"/>
        <v>0-10 DAYS</v>
      </c>
      <c r="CJ1638" s="137">
        <f t="shared" si="1219"/>
        <v>1</v>
      </c>
      <c r="CK1638" s="129" t="str">
        <f t="shared" si="1220"/>
        <v>Booked</v>
      </c>
    </row>
    <row r="1639" spans="1:89" ht="15.75" customHeight="1" x14ac:dyDescent="0.25">
      <c r="A1639" s="111">
        <v>2430</v>
      </c>
      <c r="B1639" s="128" t="str">
        <f t="shared" si="1201"/>
        <v>N</v>
      </c>
      <c r="C1639" s="128" t="str">
        <f t="shared" si="1202"/>
        <v>N</v>
      </c>
      <c r="D1639" s="117">
        <v>2182523</v>
      </c>
      <c r="E1639" s="135">
        <f t="shared" si="1203"/>
        <v>2</v>
      </c>
      <c r="F1639" s="124">
        <v>41000</v>
      </c>
      <c r="G1639" s="125">
        <v>41037</v>
      </c>
      <c r="H1639" s="117">
        <v>2182523</v>
      </c>
      <c r="I1639" s="124">
        <v>41001</v>
      </c>
      <c r="J1639" s="124">
        <v>41037</v>
      </c>
      <c r="K1639" s="126">
        <v>5000</v>
      </c>
      <c r="L1639" s="127" t="s">
        <v>569</v>
      </c>
      <c r="N1639" s="129" t="str">
        <f t="shared" si="1236"/>
        <v>N</v>
      </c>
      <c r="O1639" s="128" t="s">
        <v>917</v>
      </c>
      <c r="P1639" s="129" t="s">
        <v>77</v>
      </c>
      <c r="Q1639" s="111">
        <f t="shared" si="1229"/>
        <v>37</v>
      </c>
      <c r="R1639" s="111">
        <f t="shared" si="1228"/>
        <v>38</v>
      </c>
      <c r="S1639" s="129">
        <v>0</v>
      </c>
      <c r="T1639" s="129">
        <v>6</v>
      </c>
      <c r="W1639" s="111"/>
      <c r="AC1639" s="130"/>
      <c r="AD1639" s="130">
        <v>30558</v>
      </c>
      <c r="AE1639" s="128" t="s">
        <v>32</v>
      </c>
      <c r="AF1639" s="128" t="s">
        <v>33</v>
      </c>
      <c r="AG1639" s="128" t="s">
        <v>872</v>
      </c>
      <c r="AH1639" s="108" t="s">
        <v>58</v>
      </c>
      <c r="AI1639" s="128" t="s">
        <v>80</v>
      </c>
      <c r="AJ1639" s="129" t="s">
        <v>48</v>
      </c>
      <c r="AK1639" s="129">
        <v>2</v>
      </c>
      <c r="AL1639" s="3" t="s">
        <v>48</v>
      </c>
      <c r="AP1639" s="129" t="s">
        <v>221</v>
      </c>
      <c r="AR1639" s="128" t="s">
        <v>67</v>
      </c>
      <c r="AS1639" s="129" t="s">
        <v>64</v>
      </c>
      <c r="BC1639" s="129" t="s">
        <v>38</v>
      </c>
      <c r="BF1639" s="111">
        <f t="shared" si="1231"/>
        <v>37</v>
      </c>
      <c r="BG1639" s="111">
        <f t="shared" si="1232"/>
        <v>37</v>
      </c>
      <c r="BH1639" s="111">
        <f t="shared" si="1198"/>
        <v>38</v>
      </c>
      <c r="BI1639" s="111">
        <f t="shared" si="1199"/>
        <v>28.530054644808743</v>
      </c>
      <c r="BJ1639" s="129">
        <f t="shared" si="1204"/>
        <v>0</v>
      </c>
      <c r="BK1639" s="129">
        <f t="shared" si="1200"/>
        <v>0</v>
      </c>
      <c r="BL1639" s="129" t="str">
        <f t="shared" si="1230"/>
        <v>DEFERRED</v>
      </c>
      <c r="BM1639" s="129" t="str">
        <f t="shared" si="1205"/>
        <v>NONE</v>
      </c>
      <c r="BN1639" s="129" t="s">
        <v>566</v>
      </c>
      <c r="BP1639" s="137" t="str">
        <f t="shared" si="1206"/>
        <v>DEFERRED</v>
      </c>
      <c r="BQ1639" s="128" t="str">
        <f t="shared" si="1207"/>
        <v>Y</v>
      </c>
      <c r="BR1639" s="129" t="str">
        <f t="shared" si="1208"/>
        <v>DETAINED</v>
      </c>
      <c r="BS1639" s="129" t="str">
        <f t="shared" si="1209"/>
        <v>DISPOSED</v>
      </c>
      <c r="BT1639" s="129" t="str">
        <f t="shared" si="1210"/>
        <v>N</v>
      </c>
      <c r="BU1639" s="109">
        <f t="shared" si="1211"/>
        <v>0.97368421052631582</v>
      </c>
      <c r="BV1639" s="109">
        <f t="shared" si="1212"/>
        <v>1</v>
      </c>
      <c r="BW1639" s="109">
        <f t="shared" si="1223"/>
        <v>2.6315789473684181E-2</v>
      </c>
      <c r="BX1639" s="111">
        <f t="shared" si="1213"/>
        <v>0</v>
      </c>
      <c r="BY1639" s="129">
        <f t="shared" si="1214"/>
        <v>-37</v>
      </c>
      <c r="BZ1639" s="111">
        <f t="shared" si="1215"/>
        <v>0</v>
      </c>
      <c r="CA1639" s="138">
        <f t="shared" si="1216"/>
        <v>37</v>
      </c>
      <c r="CB1639" s="111" t="e">
        <f t="shared" si="1233"/>
        <v>#VALUE!</v>
      </c>
      <c r="CC1639" s="129">
        <f>G1639-I1639+1</f>
        <v>37</v>
      </c>
      <c r="CD1639" s="129">
        <f>G1639-J1639</f>
        <v>0</v>
      </c>
      <c r="CG1639" s="129" t="str">
        <f t="shared" si="1217"/>
        <v>Y</v>
      </c>
      <c r="CI1639" s="129" t="str">
        <f t="shared" si="1218"/>
        <v>31-60 DAYS</v>
      </c>
      <c r="CJ1639" s="137">
        <f t="shared" si="1219"/>
        <v>3</v>
      </c>
      <c r="CK1639" s="129" t="str">
        <f t="shared" si="1220"/>
        <v>Booked</v>
      </c>
    </row>
    <row r="1640" spans="1:89" ht="15" customHeight="1" x14ac:dyDescent="0.25">
      <c r="A1640" s="111">
        <v>2032</v>
      </c>
      <c r="B1640" s="128" t="str">
        <f t="shared" si="1201"/>
        <v>N</v>
      </c>
      <c r="C1640" s="128" t="str">
        <f t="shared" si="1202"/>
        <v>N</v>
      </c>
      <c r="D1640" s="117">
        <v>2183460</v>
      </c>
      <c r="E1640" s="135">
        <f t="shared" si="1203"/>
        <v>4</v>
      </c>
      <c r="F1640" s="124">
        <v>40985</v>
      </c>
      <c r="G1640" s="125">
        <v>40997</v>
      </c>
      <c r="H1640" s="117">
        <v>2183460</v>
      </c>
      <c r="I1640" s="124">
        <v>40990</v>
      </c>
      <c r="J1640" s="124">
        <v>40997</v>
      </c>
      <c r="K1640" s="126">
        <v>60000</v>
      </c>
      <c r="L1640" s="129" t="s">
        <v>572</v>
      </c>
      <c r="N1640" s="129" t="str">
        <f t="shared" si="1236"/>
        <v>N</v>
      </c>
      <c r="O1640" s="128" t="s">
        <v>917</v>
      </c>
      <c r="P1640" s="129" t="s">
        <v>39</v>
      </c>
      <c r="Q1640" s="111">
        <f t="shared" si="1229"/>
        <v>8</v>
      </c>
      <c r="R1640" s="111">
        <f t="shared" si="1228"/>
        <v>13</v>
      </c>
      <c r="S1640" s="129">
        <v>1</v>
      </c>
      <c r="T1640" s="129">
        <v>2</v>
      </c>
      <c r="V1640" s="117">
        <v>1</v>
      </c>
      <c r="W1640" s="111"/>
      <c r="AC1640" s="130"/>
      <c r="AD1640" s="130">
        <v>31746</v>
      </c>
      <c r="AE1640" s="128" t="s">
        <v>32</v>
      </c>
      <c r="AF1640" s="128" t="s">
        <v>40</v>
      </c>
      <c r="AG1640" s="128" t="s">
        <v>41</v>
      </c>
      <c r="AH1640" s="108" t="s">
        <v>41</v>
      </c>
      <c r="AI1640" s="128" t="s">
        <v>114</v>
      </c>
      <c r="AJ1640" s="129" t="s">
        <v>89</v>
      </c>
      <c r="AK1640" s="129">
        <v>4</v>
      </c>
      <c r="AL1640" s="3" t="s">
        <v>991</v>
      </c>
      <c r="AO1640" s="128">
        <v>180</v>
      </c>
      <c r="AP1640" s="120" t="s">
        <v>401</v>
      </c>
      <c r="AS1640" s="129" t="s">
        <v>61</v>
      </c>
      <c r="BC1640" s="129" t="s">
        <v>38</v>
      </c>
      <c r="BF1640" s="111">
        <f t="shared" si="1231"/>
        <v>8</v>
      </c>
      <c r="BG1640" s="111">
        <f t="shared" si="1232"/>
        <v>8</v>
      </c>
      <c r="BH1640" s="111">
        <f t="shared" si="1198"/>
        <v>13</v>
      </c>
      <c r="BI1640" s="111">
        <f t="shared" si="1199"/>
        <v>25.243169398907103</v>
      </c>
      <c r="BJ1640" s="129">
        <f t="shared" si="1204"/>
        <v>0</v>
      </c>
      <c r="BK1640" s="129">
        <f t="shared" si="1200"/>
        <v>0</v>
      </c>
      <c r="BL1640" s="129" t="str">
        <f t="shared" si="1230"/>
        <v>CONVICTION</v>
      </c>
      <c r="BM1640" s="129" t="str">
        <f t="shared" si="1205"/>
        <v>NONE</v>
      </c>
      <c r="BN1640" s="129" t="s">
        <v>566</v>
      </c>
      <c r="BP1640" s="137" t="str">
        <f t="shared" si="1206"/>
        <v>CONVICTION</v>
      </c>
      <c r="BQ1640" s="128" t="str">
        <f t="shared" si="1207"/>
        <v>Y</v>
      </c>
      <c r="BR1640" s="129" t="str">
        <f t="shared" si="1208"/>
        <v>DETAINED</v>
      </c>
      <c r="BS1640" s="129" t="str">
        <f t="shared" si="1209"/>
        <v>DISPOSED</v>
      </c>
      <c r="BT1640" s="129" t="str">
        <f t="shared" si="1210"/>
        <v>Y</v>
      </c>
      <c r="BU1640" s="109">
        <f t="shared" si="1211"/>
        <v>0.61538461538461542</v>
      </c>
      <c r="BV1640" s="109">
        <f t="shared" si="1212"/>
        <v>1</v>
      </c>
      <c r="BW1640" s="109">
        <f t="shared" si="1223"/>
        <v>0.38461538461538458</v>
      </c>
      <c r="BX1640" s="111">
        <f t="shared" si="1213"/>
        <v>0</v>
      </c>
      <c r="BY1640" s="129">
        <f t="shared" si="1214"/>
        <v>-8</v>
      </c>
      <c r="BZ1640" s="111">
        <f t="shared" si="1215"/>
        <v>0</v>
      </c>
      <c r="CA1640" s="138">
        <f t="shared" si="1216"/>
        <v>8</v>
      </c>
      <c r="CB1640" s="111" t="e">
        <f t="shared" si="1233"/>
        <v>#VALUE!</v>
      </c>
      <c r="CC1640" s="129">
        <f>G1640-I1640+1</f>
        <v>8</v>
      </c>
      <c r="CD1640" s="129">
        <f>G1640-J1640</f>
        <v>0</v>
      </c>
      <c r="CG1640" s="129" t="str">
        <f t="shared" si="1217"/>
        <v>Y</v>
      </c>
      <c r="CI1640" s="129" t="str">
        <f t="shared" si="1218"/>
        <v>0-10 DAYS</v>
      </c>
      <c r="CJ1640" s="137">
        <f t="shared" si="1219"/>
        <v>1</v>
      </c>
      <c r="CK1640" s="129" t="str">
        <f t="shared" si="1220"/>
        <v>Booked</v>
      </c>
    </row>
    <row r="1641" spans="1:89" ht="15.75" customHeight="1" x14ac:dyDescent="0.25">
      <c r="A1641" s="111">
        <v>206</v>
      </c>
      <c r="B1641" s="128" t="str">
        <f t="shared" si="1201"/>
        <v>N</v>
      </c>
      <c r="C1641" s="128" t="str">
        <f t="shared" si="1202"/>
        <v>N</v>
      </c>
      <c r="D1641" s="117">
        <v>2183596</v>
      </c>
      <c r="E1641" s="135">
        <f t="shared" si="1203"/>
        <v>4</v>
      </c>
      <c r="F1641" s="124">
        <v>40918</v>
      </c>
      <c r="G1641" s="125">
        <v>40931</v>
      </c>
      <c r="H1641" s="117">
        <v>2183596</v>
      </c>
      <c r="I1641" s="124">
        <v>40918</v>
      </c>
      <c r="J1641" s="124">
        <v>40931</v>
      </c>
      <c r="K1641" s="126" t="s">
        <v>564</v>
      </c>
      <c r="L1641" s="127" t="s">
        <v>564</v>
      </c>
      <c r="N1641" s="129" t="s">
        <v>566</v>
      </c>
      <c r="O1641" s="128" t="s">
        <v>917</v>
      </c>
      <c r="P1641" s="129" t="s">
        <v>39</v>
      </c>
      <c r="Q1641" s="111">
        <f t="shared" si="1229"/>
        <v>14</v>
      </c>
      <c r="R1641" s="111">
        <f t="shared" si="1228"/>
        <v>14</v>
      </c>
      <c r="S1641" s="129">
        <v>1</v>
      </c>
      <c r="T1641" s="129">
        <v>2</v>
      </c>
      <c r="W1641" s="111"/>
      <c r="AC1641" s="130"/>
      <c r="AD1641" s="130">
        <v>28905</v>
      </c>
      <c r="AE1641" s="128" t="s">
        <v>32</v>
      </c>
      <c r="AF1641" s="128" t="s">
        <v>33</v>
      </c>
      <c r="AG1641" s="128" t="s">
        <v>872</v>
      </c>
      <c r="AH1641" s="108" t="s">
        <v>31</v>
      </c>
      <c r="AI1641" s="128" t="s">
        <v>65</v>
      </c>
      <c r="AJ1641" s="129" t="s">
        <v>89</v>
      </c>
      <c r="AK1641" s="129">
        <v>3</v>
      </c>
      <c r="AL1641" s="3" t="s">
        <v>991</v>
      </c>
      <c r="AO1641" s="128">
        <v>365</v>
      </c>
      <c r="AP1641" s="129" t="s">
        <v>43</v>
      </c>
      <c r="AR1641" s="128" t="s">
        <v>44</v>
      </c>
      <c r="AS1641" s="129" t="s">
        <v>45</v>
      </c>
      <c r="BC1641" s="129" t="s">
        <v>38</v>
      </c>
      <c r="BF1641" s="111">
        <f t="shared" si="1231"/>
        <v>14</v>
      </c>
      <c r="BG1641" s="111">
        <f t="shared" si="1232"/>
        <v>14</v>
      </c>
      <c r="BH1641" s="111">
        <f t="shared" si="1198"/>
        <v>14</v>
      </c>
      <c r="BI1641" s="111">
        <f t="shared" si="1199"/>
        <v>32.822404371584696</v>
      </c>
      <c r="BJ1641" s="129">
        <f t="shared" si="1204"/>
        <v>0</v>
      </c>
      <c r="BK1641" s="129">
        <f t="shared" si="1200"/>
        <v>0</v>
      </c>
      <c r="BL1641" s="129" t="str">
        <f t="shared" si="1230"/>
        <v>CONVICTION</v>
      </c>
      <c r="BM1641" s="129" t="str">
        <f t="shared" si="1205"/>
        <v>NONE</v>
      </c>
      <c r="BN1641" s="129" t="s">
        <v>566</v>
      </c>
      <c r="BP1641" s="137" t="str">
        <f t="shared" si="1206"/>
        <v>CONVICTION</v>
      </c>
      <c r="BQ1641" s="128" t="str">
        <f t="shared" si="1207"/>
        <v>Y</v>
      </c>
      <c r="BR1641" s="129" t="str">
        <f t="shared" si="1208"/>
        <v>DETAINED</v>
      </c>
      <c r="BS1641" s="129" t="str">
        <f t="shared" si="1209"/>
        <v>DISPOSED</v>
      </c>
      <c r="BT1641" s="129" t="str">
        <f t="shared" si="1210"/>
        <v>Y</v>
      </c>
      <c r="BU1641" s="109">
        <f t="shared" si="1211"/>
        <v>1</v>
      </c>
      <c r="BV1641" s="109">
        <f t="shared" si="1212"/>
        <v>1</v>
      </c>
      <c r="BW1641" s="109">
        <f t="shared" si="1223"/>
        <v>0</v>
      </c>
      <c r="BX1641" s="111">
        <f t="shared" si="1213"/>
        <v>0</v>
      </c>
      <c r="BY1641" s="129">
        <f t="shared" si="1214"/>
        <v>-14</v>
      </c>
      <c r="BZ1641" s="111">
        <f t="shared" si="1215"/>
        <v>0</v>
      </c>
      <c r="CA1641" s="138">
        <f t="shared" si="1216"/>
        <v>14</v>
      </c>
      <c r="CB1641" s="111" t="e">
        <f t="shared" si="1233"/>
        <v>#VALUE!</v>
      </c>
      <c r="CC1641" s="129">
        <f>G1641-I1641+1</f>
        <v>14</v>
      </c>
      <c r="CD1641" s="129">
        <f>G1641-J1641</f>
        <v>0</v>
      </c>
      <c r="CG1641" s="129" t="str">
        <f t="shared" si="1217"/>
        <v>Y</v>
      </c>
      <c r="CI1641" s="129" t="str">
        <f t="shared" si="1218"/>
        <v>11-30 DAYS</v>
      </c>
      <c r="CJ1641" s="137">
        <f t="shared" si="1219"/>
        <v>2</v>
      </c>
      <c r="CK1641" s="129" t="str">
        <f t="shared" si="1220"/>
        <v>Booked</v>
      </c>
    </row>
    <row r="1642" spans="1:89" ht="15.75" customHeight="1" x14ac:dyDescent="0.25">
      <c r="A1642" s="111">
        <v>1551</v>
      </c>
      <c r="B1642" s="128" t="str">
        <f t="shared" si="1201"/>
        <v>N</v>
      </c>
      <c r="C1642" s="128" t="str">
        <f t="shared" si="1202"/>
        <v>N</v>
      </c>
      <c r="D1642" s="117">
        <v>2183910</v>
      </c>
      <c r="E1642" s="135">
        <f t="shared" si="1203"/>
        <v>4</v>
      </c>
      <c r="F1642" s="124">
        <v>40966</v>
      </c>
      <c r="G1642" s="125">
        <v>41038</v>
      </c>
      <c r="H1642" s="117">
        <v>2183910</v>
      </c>
      <c r="I1642" s="124">
        <v>40967</v>
      </c>
      <c r="J1642" s="124">
        <v>41038</v>
      </c>
      <c r="K1642" s="126">
        <v>5000</v>
      </c>
      <c r="L1642" s="127" t="s">
        <v>569</v>
      </c>
      <c r="N1642" s="129" t="str">
        <f t="shared" ref="N1642:N1647" si="1237">IF(M1642&gt;1/1/1,"Y","N")</f>
        <v>N</v>
      </c>
      <c r="O1642" s="128" t="s">
        <v>917</v>
      </c>
      <c r="P1642" s="129" t="s">
        <v>39</v>
      </c>
      <c r="Q1642" s="111">
        <f t="shared" si="1229"/>
        <v>72</v>
      </c>
      <c r="R1642" s="111">
        <f t="shared" si="1228"/>
        <v>73</v>
      </c>
      <c r="S1642" s="129">
        <v>0</v>
      </c>
      <c r="T1642" s="129">
        <v>5</v>
      </c>
      <c r="W1642" s="111"/>
      <c r="AC1642" s="130"/>
      <c r="AD1642" s="130">
        <v>32275</v>
      </c>
      <c r="AE1642" s="128" t="s">
        <v>32</v>
      </c>
      <c r="AF1642" s="128" t="s">
        <v>33</v>
      </c>
      <c r="AG1642" s="128" t="s">
        <v>872</v>
      </c>
      <c r="AH1642" s="108" t="s">
        <v>31</v>
      </c>
      <c r="AI1642" s="128" t="s">
        <v>47</v>
      </c>
      <c r="AJ1642" s="129" t="s">
        <v>89</v>
      </c>
      <c r="AK1642" s="129">
        <v>3</v>
      </c>
      <c r="AL1642" s="3" t="s">
        <v>991</v>
      </c>
      <c r="AO1642" s="128">
        <v>180</v>
      </c>
      <c r="AP1642" s="129" t="s">
        <v>43</v>
      </c>
      <c r="AR1642" s="128" t="s">
        <v>44</v>
      </c>
      <c r="AS1642" s="129" t="s">
        <v>45</v>
      </c>
      <c r="BC1642" s="129" t="s">
        <v>38</v>
      </c>
      <c r="BF1642" s="111">
        <f t="shared" si="1231"/>
        <v>72</v>
      </c>
      <c r="BG1642" s="111">
        <f t="shared" si="1232"/>
        <v>72</v>
      </c>
      <c r="BH1642" s="111">
        <f t="shared" si="1198"/>
        <v>73</v>
      </c>
      <c r="BI1642" s="111">
        <f t="shared" si="1199"/>
        <v>23.745901639344261</v>
      </c>
      <c r="BJ1642" s="129">
        <f t="shared" si="1204"/>
        <v>0</v>
      </c>
      <c r="BK1642" s="129">
        <f t="shared" si="1200"/>
        <v>0</v>
      </c>
      <c r="BL1642" s="129" t="str">
        <f t="shared" si="1230"/>
        <v>CONVICTION</v>
      </c>
      <c r="BM1642" s="129" t="str">
        <f t="shared" si="1205"/>
        <v>NONE</v>
      </c>
      <c r="BN1642" s="129" t="s">
        <v>566</v>
      </c>
      <c r="BP1642" s="137" t="str">
        <f t="shared" si="1206"/>
        <v>CONVICTION</v>
      </c>
      <c r="BQ1642" s="128" t="str">
        <f t="shared" si="1207"/>
        <v>Y</v>
      </c>
      <c r="BR1642" s="129" t="str">
        <f t="shared" si="1208"/>
        <v>DETAINED</v>
      </c>
      <c r="BS1642" s="129" t="str">
        <f t="shared" si="1209"/>
        <v>DISPOSED</v>
      </c>
      <c r="BT1642" s="129" t="str">
        <f t="shared" si="1210"/>
        <v>N</v>
      </c>
      <c r="BU1642" s="109">
        <f t="shared" si="1211"/>
        <v>0.98630136986301364</v>
      </c>
      <c r="BV1642" s="109">
        <f t="shared" si="1212"/>
        <v>1</v>
      </c>
      <c r="BW1642" s="109">
        <f t="shared" si="1223"/>
        <v>1.3698630136986356E-2</v>
      </c>
      <c r="BX1642" s="111">
        <f t="shared" si="1213"/>
        <v>0</v>
      </c>
      <c r="BY1642" s="129">
        <f t="shared" si="1214"/>
        <v>-72</v>
      </c>
      <c r="BZ1642" s="111">
        <f t="shared" si="1215"/>
        <v>0</v>
      </c>
      <c r="CA1642" s="138">
        <f t="shared" si="1216"/>
        <v>72</v>
      </c>
      <c r="CB1642" s="111" t="e">
        <f t="shared" si="1233"/>
        <v>#VALUE!</v>
      </c>
      <c r="CC1642" s="129">
        <f>G1642-I1642+1</f>
        <v>72</v>
      </c>
      <c r="CD1642" s="129">
        <f>G1642-J1642</f>
        <v>0</v>
      </c>
      <c r="CG1642" s="129" t="str">
        <f t="shared" si="1217"/>
        <v>Y</v>
      </c>
      <c r="CI1642" s="129" t="str">
        <f t="shared" si="1218"/>
        <v>61-90 DAYS</v>
      </c>
      <c r="CJ1642" s="137">
        <f t="shared" si="1219"/>
        <v>4</v>
      </c>
      <c r="CK1642" s="129" t="str">
        <f t="shared" si="1220"/>
        <v>Booked</v>
      </c>
    </row>
    <row r="1643" spans="1:89" ht="15" customHeight="1" x14ac:dyDescent="0.25">
      <c r="A1643" s="111">
        <v>2258</v>
      </c>
      <c r="B1643" s="128" t="str">
        <f t="shared" si="1201"/>
        <v>N</v>
      </c>
      <c r="C1643" s="128" t="str">
        <f t="shared" si="1202"/>
        <v>N</v>
      </c>
      <c r="D1643" s="117">
        <v>2184183</v>
      </c>
      <c r="E1643" s="135">
        <f t="shared" si="1203"/>
        <v>6</v>
      </c>
      <c r="F1643" s="124">
        <v>40930</v>
      </c>
      <c r="G1643" s="125">
        <v>41950</v>
      </c>
      <c r="H1643" s="117">
        <v>2184183</v>
      </c>
      <c r="I1643" s="124">
        <v>40931</v>
      </c>
      <c r="J1643" s="125">
        <v>41950</v>
      </c>
      <c r="K1643" s="126" t="s">
        <v>564</v>
      </c>
      <c r="L1643" s="126" t="s">
        <v>564</v>
      </c>
      <c r="M1643" s="125"/>
      <c r="N1643" s="129" t="str">
        <f t="shared" si="1237"/>
        <v>N</v>
      </c>
      <c r="O1643" s="128" t="s">
        <v>917</v>
      </c>
      <c r="P1643" s="129" t="s">
        <v>39</v>
      </c>
      <c r="Q1643" s="111">
        <v>1021</v>
      </c>
      <c r="R1643" s="111">
        <f t="shared" si="1228"/>
        <v>1021</v>
      </c>
      <c r="S1643" s="129">
        <v>2</v>
      </c>
      <c r="T1643" s="129">
        <v>1</v>
      </c>
      <c r="U1643" s="129">
        <v>2</v>
      </c>
      <c r="W1643" s="111"/>
      <c r="AC1643" s="130"/>
      <c r="AD1643" s="130">
        <v>32721</v>
      </c>
      <c r="AE1643" s="128" t="s">
        <v>32</v>
      </c>
      <c r="AF1643" s="128" t="s">
        <v>33</v>
      </c>
      <c r="AG1643" s="128" t="s">
        <v>872</v>
      </c>
      <c r="AH1643" s="108" t="s">
        <v>58</v>
      </c>
      <c r="AI1643" s="128" t="s">
        <v>85</v>
      </c>
      <c r="AJ1643" s="129" t="s">
        <v>89</v>
      </c>
      <c r="AK1643" s="129">
        <v>12</v>
      </c>
      <c r="AL1643" s="3" t="s">
        <v>362</v>
      </c>
      <c r="AM1643" s="117">
        <v>30</v>
      </c>
      <c r="AP1643" s="129" t="s">
        <v>35</v>
      </c>
      <c r="AR1643" s="128" t="s">
        <v>36</v>
      </c>
      <c r="AS1643" s="129" t="s">
        <v>35</v>
      </c>
      <c r="AU1643" s="118"/>
      <c r="AX1643" s="32"/>
      <c r="BC1643" s="129" t="s">
        <v>99</v>
      </c>
      <c r="BF1643" s="111">
        <v>1021</v>
      </c>
      <c r="BG1643" s="111">
        <f t="shared" si="1232"/>
        <v>1020</v>
      </c>
      <c r="BH1643" s="111">
        <f t="shared" si="1198"/>
        <v>1021</v>
      </c>
      <c r="BI1643" s="111">
        <f t="shared" si="1199"/>
        <v>22.428961748633881</v>
      </c>
      <c r="BJ1643" s="129">
        <f>(G1643-J1643)+(M1643-G1643)</f>
        <v>-41950</v>
      </c>
      <c r="BK1643" s="129">
        <f t="shared" si="1200"/>
        <v>0</v>
      </c>
      <c r="BL1643" s="129" t="str">
        <f t="shared" si="1230"/>
        <v>CONVICTION</v>
      </c>
      <c r="BM1643" s="129" t="s">
        <v>917</v>
      </c>
      <c r="BN1643" s="129" t="s">
        <v>566</v>
      </c>
      <c r="BP1643" s="137" t="str">
        <f t="shared" si="1206"/>
        <v>CONVICTION</v>
      </c>
      <c r="BQ1643" s="128" t="str">
        <f t="shared" si="1207"/>
        <v>Y</v>
      </c>
      <c r="BR1643" s="129" t="str">
        <f t="shared" si="1208"/>
        <v>DETAINED</v>
      </c>
      <c r="BS1643" s="129" t="str">
        <f t="shared" si="1209"/>
        <v>DISPOSED</v>
      </c>
      <c r="BT1643" s="129" t="str">
        <f t="shared" si="1210"/>
        <v>Y</v>
      </c>
      <c r="BU1643" s="109">
        <f>IFERROR(Q1643/R1643,BR1643)</f>
        <v>1</v>
      </c>
      <c r="BV1643" s="109">
        <f t="shared" si="1212"/>
        <v>1</v>
      </c>
      <c r="BW1643" s="109">
        <v>0</v>
      </c>
      <c r="BX1643" s="111">
        <f t="shared" si="1213"/>
        <v>0</v>
      </c>
      <c r="BY1643" s="129">
        <f t="shared" si="1214"/>
        <v>-1020</v>
      </c>
      <c r="BZ1643" s="111">
        <f t="shared" si="1215"/>
        <v>1</v>
      </c>
      <c r="CA1643" s="138">
        <f t="shared" si="1216"/>
        <v>1020</v>
      </c>
      <c r="CB1643" s="111" t="s">
        <v>588</v>
      </c>
      <c r="CC1643" s="129" t="s">
        <v>588</v>
      </c>
      <c r="CG1643" s="129" t="str">
        <f t="shared" si="1217"/>
        <v>Y</v>
      </c>
      <c r="CH1643" s="129" t="e">
        <v>#N/A</v>
      </c>
      <c r="CI1643" s="129" t="str">
        <f t="shared" si="1218"/>
        <v>&gt;2YRS&lt;3YRS</v>
      </c>
      <c r="CJ1643" s="137">
        <f t="shared" si="1219"/>
        <v>8</v>
      </c>
      <c r="CK1643" s="129" t="str">
        <f t="shared" si="1220"/>
        <v>Booked</v>
      </c>
    </row>
    <row r="1644" spans="1:89" ht="15" customHeight="1" x14ac:dyDescent="0.25">
      <c r="A1644" s="111">
        <v>2949</v>
      </c>
      <c r="B1644" s="128" t="str">
        <f t="shared" si="1201"/>
        <v>N</v>
      </c>
      <c r="C1644" s="128" t="str">
        <f t="shared" si="1202"/>
        <v>N</v>
      </c>
      <c r="D1644" s="117">
        <v>2184286</v>
      </c>
      <c r="E1644" s="135">
        <f t="shared" si="1203"/>
        <v>5</v>
      </c>
      <c r="F1644" s="124">
        <v>41017</v>
      </c>
      <c r="G1644" s="125">
        <v>41108</v>
      </c>
      <c r="H1644" s="117">
        <v>2184286</v>
      </c>
      <c r="I1644" s="124">
        <v>41018</v>
      </c>
      <c r="J1644" s="124">
        <v>41108</v>
      </c>
      <c r="K1644" s="126">
        <v>15000</v>
      </c>
      <c r="L1644" s="127" t="s">
        <v>571</v>
      </c>
      <c r="N1644" s="129" t="str">
        <f t="shared" si="1237"/>
        <v>N</v>
      </c>
      <c r="O1644" s="128" t="s">
        <v>917</v>
      </c>
      <c r="P1644" s="129" t="s">
        <v>39</v>
      </c>
      <c r="Q1644" s="111">
        <f t="shared" si="1229"/>
        <v>91</v>
      </c>
      <c r="R1644" s="111">
        <f t="shared" si="1228"/>
        <v>92</v>
      </c>
      <c r="S1644" s="129">
        <v>5</v>
      </c>
      <c r="T1644" s="129">
        <v>5</v>
      </c>
      <c r="U1644" s="129">
        <v>3</v>
      </c>
      <c r="W1644" s="111"/>
      <c r="AC1644" s="130"/>
      <c r="AD1644" s="130">
        <v>32370</v>
      </c>
      <c r="AE1644" s="128" t="s">
        <v>32</v>
      </c>
      <c r="AF1644" s="128" t="s">
        <v>33</v>
      </c>
      <c r="AG1644" s="128" t="s">
        <v>872</v>
      </c>
      <c r="AH1644" s="108" t="s">
        <v>58</v>
      </c>
      <c r="AI1644" s="128" t="s">
        <v>34</v>
      </c>
      <c r="AJ1644" s="129" t="s">
        <v>89</v>
      </c>
      <c r="AK1644" s="129">
        <v>4</v>
      </c>
      <c r="AL1644" s="3" t="s">
        <v>992</v>
      </c>
      <c r="AN1644" s="117">
        <v>6</v>
      </c>
      <c r="AP1644" s="129" t="s">
        <v>43</v>
      </c>
      <c r="AR1644" s="128" t="s">
        <v>44</v>
      </c>
      <c r="AS1644" s="129" t="s">
        <v>45</v>
      </c>
      <c r="AT1644" s="129" t="s">
        <v>505</v>
      </c>
      <c r="BC1644" s="129" t="s">
        <v>38</v>
      </c>
      <c r="BF1644" s="111">
        <f t="shared" si="1231"/>
        <v>91</v>
      </c>
      <c r="BG1644" s="111">
        <f t="shared" si="1232"/>
        <v>91</v>
      </c>
      <c r="BH1644" s="111">
        <f t="shared" si="1198"/>
        <v>92</v>
      </c>
      <c r="BI1644" s="111">
        <f t="shared" si="1199"/>
        <v>23.625683060109289</v>
      </c>
      <c r="BJ1644" s="129">
        <f t="shared" si="1204"/>
        <v>0</v>
      </c>
      <c r="BK1644" s="129">
        <f t="shared" si="1200"/>
        <v>0</v>
      </c>
      <c r="BL1644" s="129" t="str">
        <f t="shared" si="1230"/>
        <v>CONVICTION</v>
      </c>
      <c r="BM1644" s="129" t="str">
        <f t="shared" si="1205"/>
        <v>NONE</v>
      </c>
      <c r="BN1644" s="129" t="s">
        <v>566</v>
      </c>
      <c r="BP1644" s="137" t="str">
        <f t="shared" si="1206"/>
        <v>CONVICTION</v>
      </c>
      <c r="BQ1644" s="128" t="str">
        <f t="shared" si="1207"/>
        <v>Y</v>
      </c>
      <c r="BR1644" s="129" t="str">
        <f t="shared" si="1208"/>
        <v>DETAINED</v>
      </c>
      <c r="BS1644" s="129" t="str">
        <f t="shared" si="1209"/>
        <v>DISPOSED</v>
      </c>
      <c r="BT1644" s="129" t="str">
        <f t="shared" si="1210"/>
        <v>Y</v>
      </c>
      <c r="BU1644" s="109">
        <f t="shared" si="1211"/>
        <v>0.98913043478260865</v>
      </c>
      <c r="BV1644" s="109">
        <f t="shared" si="1212"/>
        <v>1</v>
      </c>
      <c r="BW1644" s="109">
        <f t="shared" ref="BW1644:BW1660" si="1238">BV1644-BU1644</f>
        <v>1.0869565217391353E-2</v>
      </c>
      <c r="BX1644" s="111">
        <f t="shared" si="1213"/>
        <v>0</v>
      </c>
      <c r="BY1644" s="129">
        <f t="shared" si="1214"/>
        <v>-91</v>
      </c>
      <c r="BZ1644" s="111">
        <f t="shared" si="1215"/>
        <v>0</v>
      </c>
      <c r="CA1644" s="138">
        <f t="shared" si="1216"/>
        <v>91</v>
      </c>
      <c r="CB1644" s="111" t="e">
        <f t="shared" si="1233"/>
        <v>#VALUE!</v>
      </c>
      <c r="CC1644" s="129">
        <f>G1644-I1644+1</f>
        <v>91</v>
      </c>
      <c r="CD1644" s="129">
        <f>G1644-J1644</f>
        <v>0</v>
      </c>
      <c r="CG1644" s="129" t="str">
        <f t="shared" si="1217"/>
        <v>Y</v>
      </c>
      <c r="CI1644" s="129" t="str">
        <f t="shared" si="1218"/>
        <v>91-120 DAYS</v>
      </c>
      <c r="CJ1644" s="137">
        <f t="shared" si="1219"/>
        <v>0</v>
      </c>
      <c r="CK1644" s="129" t="str">
        <f t="shared" si="1220"/>
        <v>Booked</v>
      </c>
    </row>
    <row r="1645" spans="1:89" ht="15" customHeight="1" x14ac:dyDescent="0.25">
      <c r="A1645" s="111">
        <v>2597</v>
      </c>
      <c r="B1645" s="128" t="str">
        <f t="shared" si="1201"/>
        <v>Y</v>
      </c>
      <c r="C1645" s="128" t="str">
        <f t="shared" si="1202"/>
        <v>Y</v>
      </c>
      <c r="D1645" s="114">
        <v>2185367</v>
      </c>
      <c r="E1645" s="135">
        <f t="shared" si="1203"/>
        <v>5</v>
      </c>
      <c r="F1645" s="124">
        <v>41005</v>
      </c>
      <c r="G1645" s="125">
        <v>41359</v>
      </c>
      <c r="H1645" s="114">
        <v>2185367</v>
      </c>
      <c r="I1645" s="124">
        <v>41005</v>
      </c>
      <c r="J1645" s="124">
        <v>41011</v>
      </c>
      <c r="K1645" s="126">
        <v>10000</v>
      </c>
      <c r="L1645" s="127" t="s">
        <v>570</v>
      </c>
      <c r="M1645" s="125">
        <v>41011</v>
      </c>
      <c r="N1645" s="129" t="str">
        <f t="shared" si="1237"/>
        <v>Y</v>
      </c>
      <c r="O1645" s="128" t="s">
        <v>76</v>
      </c>
      <c r="P1645" s="129" t="s">
        <v>970</v>
      </c>
      <c r="Q1645" s="111">
        <v>23</v>
      </c>
      <c r="R1645" s="111">
        <f t="shared" si="1228"/>
        <v>355</v>
      </c>
      <c r="S1645" s="129">
        <v>1</v>
      </c>
      <c r="T1645" s="129">
        <v>1</v>
      </c>
      <c r="U1645" s="129">
        <v>1</v>
      </c>
      <c r="W1645" s="111"/>
      <c r="AC1645" s="130"/>
      <c r="AD1645" s="130">
        <v>27941</v>
      </c>
      <c r="AE1645" s="128" t="s">
        <v>32</v>
      </c>
      <c r="AF1645" s="128" t="s">
        <v>69</v>
      </c>
      <c r="AG1645" s="128" t="s">
        <v>874</v>
      </c>
      <c r="AH1645" s="108" t="s">
        <v>58</v>
      </c>
      <c r="AI1645" s="128" t="s">
        <v>95</v>
      </c>
      <c r="AJ1645" s="129" t="s">
        <v>89</v>
      </c>
      <c r="AK1645" s="129">
        <v>13</v>
      </c>
      <c r="AL1645" s="3" t="s">
        <v>992</v>
      </c>
      <c r="AN1645" s="117">
        <v>24</v>
      </c>
      <c r="AP1645" s="129" t="s">
        <v>84</v>
      </c>
      <c r="AR1645" s="128" t="s">
        <v>67</v>
      </c>
      <c r="AS1645" s="129" t="s">
        <v>74</v>
      </c>
      <c r="AT1645" s="129" t="s">
        <v>962</v>
      </c>
      <c r="AU1645" s="129" t="s">
        <v>803</v>
      </c>
      <c r="AV1645" s="3" t="s">
        <v>88</v>
      </c>
      <c r="AW1645" s="125">
        <v>41330</v>
      </c>
      <c r="BA1645" s="125">
        <v>41439</v>
      </c>
      <c r="BB1645" s="129">
        <v>255</v>
      </c>
      <c r="BC1645" s="129" t="s">
        <v>38</v>
      </c>
      <c r="BD1645" s="129" t="s">
        <v>1097</v>
      </c>
      <c r="BF1645" s="111">
        <v>23</v>
      </c>
      <c r="BG1645" s="111">
        <f t="shared" si="1232"/>
        <v>355</v>
      </c>
      <c r="BH1645" s="111">
        <f t="shared" si="1198"/>
        <v>355</v>
      </c>
      <c r="BI1645" s="111">
        <f t="shared" si="1199"/>
        <v>35.693989071038253</v>
      </c>
      <c r="BJ1645" s="129">
        <f>(G1645-J1645)+(M1645-G1645)</f>
        <v>0</v>
      </c>
      <c r="BK1645" s="129">
        <f t="shared" si="1200"/>
        <v>-348</v>
      </c>
      <c r="BL1645" s="129" t="str">
        <f t="shared" si="1230"/>
        <v>CONVICTION</v>
      </c>
      <c r="BM1645" s="129" t="s">
        <v>76</v>
      </c>
      <c r="BN1645" s="129" t="s">
        <v>566</v>
      </c>
      <c r="BP1645" s="137" t="str">
        <f t="shared" si="1206"/>
        <v>CONVICTION</v>
      </c>
      <c r="BQ1645" s="128" t="str">
        <f t="shared" si="1207"/>
        <v>Y</v>
      </c>
      <c r="BR1645" s="129" t="s">
        <v>574</v>
      </c>
      <c r="BS1645" s="129" t="str">
        <f t="shared" si="1209"/>
        <v>DISPOSED</v>
      </c>
      <c r="BT1645" s="129" t="str">
        <f t="shared" si="1210"/>
        <v>Y</v>
      </c>
      <c r="BU1645" s="109">
        <f t="shared" si="1211"/>
        <v>6.4788732394366194E-2</v>
      </c>
      <c r="BV1645" s="109">
        <f t="shared" si="1212"/>
        <v>1.9718309859154931E-2</v>
      </c>
      <c r="BW1645" s="109">
        <f t="shared" si="1238"/>
        <v>-4.5070422535211263E-2</v>
      </c>
      <c r="BX1645" s="111">
        <f t="shared" si="1213"/>
        <v>0</v>
      </c>
      <c r="BY1645" s="129">
        <f t="shared" si="1214"/>
        <v>-7</v>
      </c>
      <c r="BZ1645" s="111">
        <f t="shared" si="1215"/>
        <v>16</v>
      </c>
      <c r="CA1645" s="138">
        <f t="shared" si="1216"/>
        <v>355</v>
      </c>
      <c r="CB1645" s="111">
        <v>23</v>
      </c>
      <c r="CC1645" s="129">
        <f>G1645-I1645+1</f>
        <v>355</v>
      </c>
      <c r="CD1645" s="129">
        <f>G1645-J1645</f>
        <v>348</v>
      </c>
      <c r="CG1645" s="129" t="str">
        <f t="shared" si="1217"/>
        <v>Y</v>
      </c>
      <c r="CI1645" s="129" t="str">
        <f t="shared" si="1218"/>
        <v>11-30 DAYS</v>
      </c>
      <c r="CJ1645" s="137">
        <f t="shared" si="1219"/>
        <v>2</v>
      </c>
      <c r="CK1645" s="129" t="str">
        <f t="shared" si="1220"/>
        <v>Booked</v>
      </c>
    </row>
    <row r="1646" spans="1:89" ht="15.75" customHeight="1" x14ac:dyDescent="0.25">
      <c r="A1646" s="111">
        <v>999</v>
      </c>
      <c r="B1646" s="128" t="str">
        <f t="shared" si="1201"/>
        <v>N</v>
      </c>
      <c r="C1646" s="128" t="str">
        <f t="shared" si="1202"/>
        <v>N</v>
      </c>
      <c r="D1646" s="117">
        <v>2185615</v>
      </c>
      <c r="E1646" s="135">
        <f t="shared" si="1203"/>
        <v>5</v>
      </c>
      <c r="F1646" s="124">
        <v>40946</v>
      </c>
      <c r="G1646" s="125">
        <v>41166</v>
      </c>
      <c r="H1646" s="117">
        <v>2185615</v>
      </c>
      <c r="I1646" s="124">
        <v>40946</v>
      </c>
      <c r="J1646" s="124">
        <v>40948</v>
      </c>
      <c r="K1646" s="126">
        <v>30000</v>
      </c>
      <c r="L1646" s="129" t="s">
        <v>572</v>
      </c>
      <c r="M1646" s="125">
        <v>40948</v>
      </c>
      <c r="N1646" s="129" t="str">
        <f t="shared" si="1237"/>
        <v>Y</v>
      </c>
      <c r="O1646" s="128" t="s">
        <v>76</v>
      </c>
      <c r="P1646" s="129" t="s">
        <v>39</v>
      </c>
      <c r="Q1646" s="111">
        <f t="shared" ref="Q1646:Q1657" si="1239">BF1646</f>
        <v>3</v>
      </c>
      <c r="R1646" s="111">
        <f t="shared" si="1228"/>
        <v>221</v>
      </c>
      <c r="S1646" s="129">
        <v>2</v>
      </c>
      <c r="T1646" s="129">
        <v>0</v>
      </c>
      <c r="U1646" s="129">
        <v>5</v>
      </c>
      <c r="W1646" s="111"/>
      <c r="AC1646" s="130"/>
      <c r="AD1646" s="130">
        <v>31481</v>
      </c>
      <c r="AE1646" s="128" t="s">
        <v>46</v>
      </c>
      <c r="AF1646" s="128" t="s">
        <v>33</v>
      </c>
      <c r="AG1646" s="128" t="s">
        <v>872</v>
      </c>
      <c r="AH1646" s="108" t="s">
        <v>58</v>
      </c>
      <c r="AI1646" s="128" t="s">
        <v>118</v>
      </c>
      <c r="AJ1646" s="129" t="s">
        <v>89</v>
      </c>
      <c r="AK1646" s="129">
        <v>9</v>
      </c>
      <c r="AL1646" s="3" t="s">
        <v>992</v>
      </c>
      <c r="AN1646" s="117">
        <v>6</v>
      </c>
      <c r="AP1646" s="129" t="s">
        <v>132</v>
      </c>
      <c r="AR1646" s="128" t="s">
        <v>92</v>
      </c>
      <c r="AS1646" s="129" t="s">
        <v>82</v>
      </c>
      <c r="AW1646" s="123"/>
      <c r="AX1646" s="123"/>
      <c r="BC1646" s="129" t="s">
        <v>52</v>
      </c>
      <c r="BF1646" s="111">
        <f>IF(J1646&gt;1/1/1900,((J1646+1)-I1646),"STILL OPEN")</f>
        <v>3</v>
      </c>
      <c r="BG1646" s="111">
        <f t="shared" si="1232"/>
        <v>221</v>
      </c>
      <c r="BH1646" s="111">
        <f t="shared" si="1198"/>
        <v>221</v>
      </c>
      <c r="BI1646" s="111">
        <f t="shared" si="1199"/>
        <v>25.860655737704917</v>
      </c>
      <c r="BJ1646" s="129">
        <f>(G1646-J1646)+(M1646-G1646)</f>
        <v>0</v>
      </c>
      <c r="BK1646" s="129">
        <f t="shared" si="1200"/>
        <v>-218</v>
      </c>
      <c r="BL1646" s="129" t="str">
        <f t="shared" si="1230"/>
        <v>CONVICTION</v>
      </c>
      <c r="BM1646" s="129" t="s">
        <v>76</v>
      </c>
      <c r="BN1646" s="129" t="s">
        <v>88</v>
      </c>
      <c r="BP1646" s="137" t="str">
        <f t="shared" si="1206"/>
        <v>CONVICTION</v>
      </c>
      <c r="BQ1646" s="128" t="str">
        <f t="shared" si="1207"/>
        <v>Y</v>
      </c>
      <c r="BR1646" s="129" t="str">
        <f>IF(J1646&lt;G1646,"ON BOND",0)</f>
        <v>ON BOND</v>
      </c>
      <c r="BS1646" s="129" t="str">
        <f t="shared" si="1209"/>
        <v>DISPOSED</v>
      </c>
      <c r="BT1646" s="129" t="str">
        <f t="shared" si="1210"/>
        <v>Y</v>
      </c>
      <c r="BU1646" s="109">
        <f t="shared" si="1211"/>
        <v>1.3574660633484163E-2</v>
      </c>
      <c r="BV1646" s="109">
        <f t="shared" si="1212"/>
        <v>1.3574660633484163E-2</v>
      </c>
      <c r="BW1646" s="109">
        <f t="shared" si="1238"/>
        <v>0</v>
      </c>
      <c r="BX1646" s="111">
        <f t="shared" si="1213"/>
        <v>0</v>
      </c>
      <c r="BY1646" s="129">
        <f t="shared" si="1214"/>
        <v>-3</v>
      </c>
      <c r="BZ1646" s="111">
        <f t="shared" si="1215"/>
        <v>0</v>
      </c>
      <c r="CA1646" s="138">
        <f t="shared" si="1216"/>
        <v>3</v>
      </c>
      <c r="CB1646" s="111" t="e">
        <f>IF(AF1646&gt;1/1/1900,((AF1646+1)-AE1646),"STILL OPEN")</f>
        <v>#VALUE!</v>
      </c>
      <c r="CC1646" s="129">
        <f>M1646-I1646+1</f>
        <v>3</v>
      </c>
      <c r="CD1646" s="111">
        <f>CC1646-BF1646</f>
        <v>0</v>
      </c>
      <c r="CG1646" s="129" t="str">
        <f t="shared" si="1217"/>
        <v>Y</v>
      </c>
      <c r="CI1646" s="129" t="str">
        <f t="shared" si="1218"/>
        <v>0-10 DAYS</v>
      </c>
      <c r="CJ1646" s="137">
        <f t="shared" si="1219"/>
        <v>1</v>
      </c>
      <c r="CK1646" s="129" t="str">
        <f t="shared" si="1220"/>
        <v>Booked</v>
      </c>
    </row>
    <row r="1647" spans="1:89" ht="15.75" customHeight="1" x14ac:dyDescent="0.25">
      <c r="A1647" s="111">
        <v>2441</v>
      </c>
      <c r="B1647" s="128" t="str">
        <f t="shared" si="1201"/>
        <v>N</v>
      </c>
      <c r="C1647" s="128" t="str">
        <f t="shared" si="1202"/>
        <v>N</v>
      </c>
      <c r="D1647" s="117">
        <v>2186519</v>
      </c>
      <c r="E1647" s="135">
        <f t="shared" si="1203"/>
        <v>2</v>
      </c>
      <c r="F1647" s="124">
        <v>41001</v>
      </c>
      <c r="G1647" s="125">
        <v>41536</v>
      </c>
      <c r="H1647" s="117">
        <v>2186519</v>
      </c>
      <c r="I1647" s="124">
        <v>41001</v>
      </c>
      <c r="J1647" s="124">
        <v>41016</v>
      </c>
      <c r="K1647" s="126">
        <v>20000</v>
      </c>
      <c r="L1647" s="127" t="s">
        <v>571</v>
      </c>
      <c r="M1647" s="125">
        <v>41016</v>
      </c>
      <c r="N1647" s="129" t="str">
        <f t="shared" si="1237"/>
        <v>Y</v>
      </c>
      <c r="O1647" s="128" t="s">
        <v>76</v>
      </c>
      <c r="P1647" s="129" t="s">
        <v>589</v>
      </c>
      <c r="Q1647" s="111">
        <f t="shared" si="1239"/>
        <v>16</v>
      </c>
      <c r="R1647" s="111">
        <f t="shared" si="1228"/>
        <v>536</v>
      </c>
      <c r="S1647" s="129">
        <v>2</v>
      </c>
      <c r="T1647" s="129">
        <v>0</v>
      </c>
      <c r="U1647" s="129">
        <v>2</v>
      </c>
      <c r="W1647" s="111"/>
      <c r="AB1647" s="131" t="s">
        <v>112</v>
      </c>
      <c r="AC1647" s="130"/>
      <c r="AD1647" s="130">
        <v>32201</v>
      </c>
      <c r="AE1647" s="128" t="s">
        <v>32</v>
      </c>
      <c r="AF1647" s="128" t="s">
        <v>40</v>
      </c>
      <c r="AG1647" s="128" t="s">
        <v>41</v>
      </c>
      <c r="AH1647" s="108" t="s">
        <v>31</v>
      </c>
      <c r="AI1647" s="128" t="s">
        <v>65</v>
      </c>
      <c r="AJ1647" s="129" t="s">
        <v>48</v>
      </c>
      <c r="AK1647" s="129">
        <v>10</v>
      </c>
      <c r="AL1647" s="3" t="s">
        <v>48</v>
      </c>
      <c r="AP1647" s="129" t="s">
        <v>43</v>
      </c>
      <c r="AR1647" s="128" t="s">
        <v>44</v>
      </c>
      <c r="AS1647" s="129" t="s">
        <v>45</v>
      </c>
      <c r="AT1647" s="129" t="s">
        <v>1172</v>
      </c>
      <c r="BC1647" s="129" t="s">
        <v>52</v>
      </c>
      <c r="BF1647" s="111">
        <f>IF(J1647&gt;1/1/1900,((J1647+1)-I1647),"STILL OPEN")</f>
        <v>16</v>
      </c>
      <c r="BG1647" s="111">
        <f t="shared" si="1232"/>
        <v>536</v>
      </c>
      <c r="BH1647" s="111">
        <f t="shared" si="1198"/>
        <v>536</v>
      </c>
      <c r="BI1647" s="111">
        <f t="shared" si="1199"/>
        <v>24.043715846994534</v>
      </c>
      <c r="BJ1647" s="129">
        <f>(G1647-J1647)+(M1647-G1647)</f>
        <v>0</v>
      </c>
      <c r="BK1647" s="129">
        <f t="shared" si="1200"/>
        <v>-520</v>
      </c>
      <c r="BL1647" s="129" t="str">
        <f t="shared" si="1230"/>
        <v>DEFERRED</v>
      </c>
      <c r="BM1647" s="129" t="s">
        <v>76</v>
      </c>
      <c r="BN1647" s="129" t="s">
        <v>88</v>
      </c>
      <c r="BP1647" s="137" t="str">
        <f t="shared" si="1206"/>
        <v>DEFERRED</v>
      </c>
      <c r="BQ1647" s="128" t="str">
        <f t="shared" si="1207"/>
        <v>Y</v>
      </c>
      <c r="BR1647" s="129" t="str">
        <f t="shared" si="1208"/>
        <v>ON BOND</v>
      </c>
      <c r="BS1647" s="129" t="str">
        <f t="shared" si="1209"/>
        <v>DISPOSED</v>
      </c>
      <c r="BT1647" s="129" t="str">
        <f t="shared" si="1210"/>
        <v>Y</v>
      </c>
      <c r="BU1647" s="109">
        <f t="shared" si="1211"/>
        <v>2.9850746268656716E-2</v>
      </c>
      <c r="BV1647" s="109">
        <f t="shared" si="1212"/>
        <v>2.9850746268656716E-2</v>
      </c>
      <c r="BW1647" s="109">
        <f t="shared" si="1238"/>
        <v>0</v>
      </c>
      <c r="BX1647" s="111">
        <f t="shared" si="1213"/>
        <v>0</v>
      </c>
      <c r="BY1647" s="129">
        <f t="shared" si="1214"/>
        <v>-16</v>
      </c>
      <c r="BZ1647" s="111">
        <f t="shared" si="1215"/>
        <v>0</v>
      </c>
      <c r="CA1647" s="138">
        <f t="shared" si="1216"/>
        <v>16</v>
      </c>
      <c r="CB1647" s="111" t="e">
        <f>IF(AF1647&gt;1/1/1900,((AF1647+1)-AE1647),"STILL OPEN")</f>
        <v>#VALUE!</v>
      </c>
      <c r="CC1647" s="129">
        <f>M1647-I1647+1</f>
        <v>16</v>
      </c>
      <c r="CD1647" s="111">
        <f>CC1647-BF1647</f>
        <v>0</v>
      </c>
      <c r="CG1647" s="129" t="str">
        <f t="shared" si="1217"/>
        <v>Y</v>
      </c>
      <c r="CI1647" s="129" t="str">
        <f t="shared" si="1218"/>
        <v>11-30 DAYS</v>
      </c>
      <c r="CJ1647" s="137">
        <f t="shared" si="1219"/>
        <v>2</v>
      </c>
      <c r="CK1647" s="129" t="str">
        <f t="shared" si="1220"/>
        <v>Booked</v>
      </c>
    </row>
    <row r="1648" spans="1:89" ht="15.75" customHeight="1" x14ac:dyDescent="0.25">
      <c r="A1648" s="111">
        <v>3083</v>
      </c>
      <c r="B1648" s="128" t="str">
        <f t="shared" si="1201"/>
        <v>N</v>
      </c>
      <c r="C1648" s="128" t="str">
        <f t="shared" si="1202"/>
        <v>N</v>
      </c>
      <c r="D1648" s="117">
        <v>2186849</v>
      </c>
      <c r="E1648" s="135">
        <f t="shared" si="1203"/>
        <v>2</v>
      </c>
      <c r="F1648" s="124">
        <v>41023</v>
      </c>
      <c r="G1648" s="125">
        <v>41106</v>
      </c>
      <c r="H1648" s="117">
        <v>2186849</v>
      </c>
      <c r="I1648" s="124" t="s">
        <v>562</v>
      </c>
      <c r="J1648" s="124" t="s">
        <v>562</v>
      </c>
      <c r="K1648" s="126">
        <v>5000</v>
      </c>
      <c r="L1648" s="127" t="s">
        <v>569</v>
      </c>
      <c r="M1648" s="125">
        <v>41024</v>
      </c>
      <c r="N1648" s="129" t="str">
        <f>IF(M1648&gt;1/1/1,"Y",IF(Q1648="0","","N"))</f>
        <v>Y</v>
      </c>
      <c r="O1648" s="128" t="s">
        <v>76</v>
      </c>
      <c r="P1648" s="129" t="s">
        <v>589</v>
      </c>
      <c r="Q1648" s="111">
        <f t="shared" si="1239"/>
        <v>0</v>
      </c>
      <c r="R1648" s="111">
        <f t="shared" si="1228"/>
        <v>84</v>
      </c>
      <c r="S1648" s="129">
        <v>1</v>
      </c>
      <c r="T1648" s="129">
        <v>0</v>
      </c>
      <c r="W1648" s="111"/>
      <c r="AB1648" s="131" t="s">
        <v>112</v>
      </c>
      <c r="AC1648" s="130"/>
      <c r="AD1648" s="130">
        <v>31649</v>
      </c>
      <c r="AE1648" s="128" t="s">
        <v>32</v>
      </c>
      <c r="AF1648" s="128" t="s">
        <v>40</v>
      </c>
      <c r="AG1648" s="128" t="s">
        <v>41</v>
      </c>
      <c r="AH1648" s="108" t="s">
        <v>58</v>
      </c>
      <c r="AI1648" s="128" t="s">
        <v>95</v>
      </c>
      <c r="AJ1648" s="129" t="s">
        <v>48</v>
      </c>
      <c r="AK1648" s="129">
        <v>4</v>
      </c>
      <c r="AL1648" s="3" t="s">
        <v>48</v>
      </c>
      <c r="AP1648" s="129" t="s">
        <v>43</v>
      </c>
      <c r="AR1648" s="128" t="s">
        <v>44</v>
      </c>
      <c r="AS1648" s="129" t="s">
        <v>45</v>
      </c>
      <c r="BC1648" s="129" t="s">
        <v>38</v>
      </c>
      <c r="BF1648" s="111">
        <v>0</v>
      </c>
      <c r="BG1648" s="111">
        <v>0</v>
      </c>
      <c r="BH1648" s="111">
        <f t="shared" si="1198"/>
        <v>84</v>
      </c>
      <c r="BI1648" s="111">
        <f t="shared" si="1199"/>
        <v>25.612021857923498</v>
      </c>
      <c r="BJ1648" s="129" t="e">
        <f>(G1648-J1648)+(M1648-G1648)</f>
        <v>#VALUE!</v>
      </c>
      <c r="BK1648" s="129" t="e">
        <f t="shared" si="1200"/>
        <v>#VALUE!</v>
      </c>
      <c r="BL1648" s="129" t="str">
        <f t="shared" si="1230"/>
        <v>DEFERRED</v>
      </c>
      <c r="BM1648" s="129" t="s">
        <v>76</v>
      </c>
      <c r="BN1648" s="129" t="s">
        <v>88</v>
      </c>
      <c r="BP1648" s="137" t="str">
        <f t="shared" si="1206"/>
        <v>DEFERRED</v>
      </c>
      <c r="BQ1648" s="128">
        <f t="shared" si="1207"/>
        <v>0</v>
      </c>
      <c r="BR1648" s="129" t="s">
        <v>575</v>
      </c>
      <c r="BS1648" s="129" t="str">
        <f t="shared" si="1209"/>
        <v>DISPOSED</v>
      </c>
      <c r="BT1648" s="129" t="str">
        <f t="shared" si="1210"/>
        <v>Y</v>
      </c>
      <c r="BU1648" s="109">
        <f t="shared" si="1211"/>
        <v>0</v>
      </c>
      <c r="BV1648" s="109">
        <v>0</v>
      </c>
      <c r="BW1648" s="109">
        <f t="shared" si="1238"/>
        <v>0</v>
      </c>
      <c r="BX1648" s="111">
        <f t="shared" si="1213"/>
        <v>0</v>
      </c>
      <c r="BY1648" s="129" t="e">
        <f t="shared" si="1214"/>
        <v>#VALUE!</v>
      </c>
      <c r="BZ1648" s="111" t="e">
        <f t="shared" si="1215"/>
        <v>#VALUE!</v>
      </c>
      <c r="CA1648" s="138" t="e">
        <f t="shared" si="1216"/>
        <v>#VALUE!</v>
      </c>
      <c r="CB1648" s="111">
        <v>0</v>
      </c>
      <c r="CC1648" s="129">
        <v>0</v>
      </c>
      <c r="CD1648" s="111">
        <f>CC1648-BF1648</f>
        <v>0</v>
      </c>
      <c r="CG1648" s="129" t="str">
        <f t="shared" si="1217"/>
        <v>Y</v>
      </c>
      <c r="CI1648" s="129" t="str">
        <f t="shared" si="1218"/>
        <v>0-10 DAYS</v>
      </c>
      <c r="CJ1648" s="137">
        <f t="shared" si="1219"/>
        <v>1</v>
      </c>
      <c r="CK1648" s="129" t="str">
        <f t="shared" si="1220"/>
        <v>Not Booked</v>
      </c>
    </row>
    <row r="1649" spans="1:89" ht="15.75" customHeight="1" x14ac:dyDescent="0.25">
      <c r="A1649" s="111">
        <v>863</v>
      </c>
      <c r="B1649" s="128" t="str">
        <f t="shared" si="1201"/>
        <v>N</v>
      </c>
      <c r="C1649" s="128" t="str">
        <f t="shared" si="1202"/>
        <v>N</v>
      </c>
      <c r="D1649" s="117">
        <v>2186991</v>
      </c>
      <c r="E1649" s="135">
        <f t="shared" si="1203"/>
        <v>5</v>
      </c>
      <c r="F1649" s="124">
        <v>40941</v>
      </c>
      <c r="G1649" s="125">
        <v>40960</v>
      </c>
      <c r="H1649" s="117">
        <v>2186991</v>
      </c>
      <c r="I1649" s="124">
        <v>40941</v>
      </c>
      <c r="J1649" s="124">
        <v>40960</v>
      </c>
      <c r="K1649" s="126">
        <v>15000</v>
      </c>
      <c r="L1649" s="127" t="s">
        <v>571</v>
      </c>
      <c r="N1649" s="129" t="str">
        <f>IF(M1649&gt;1/1/1,"Y","N")</f>
        <v>N</v>
      </c>
      <c r="O1649" s="128" t="s">
        <v>917</v>
      </c>
      <c r="P1649" s="129" t="s">
        <v>39</v>
      </c>
      <c r="Q1649" s="111">
        <f t="shared" si="1239"/>
        <v>20</v>
      </c>
      <c r="R1649" s="111">
        <f t="shared" si="1228"/>
        <v>20</v>
      </c>
      <c r="S1649" s="129">
        <v>1</v>
      </c>
      <c r="T1649" s="129">
        <v>1</v>
      </c>
      <c r="U1649" s="129">
        <v>1</v>
      </c>
      <c r="W1649" s="111"/>
      <c r="AC1649" s="130"/>
      <c r="AD1649" s="130">
        <v>31776</v>
      </c>
      <c r="AE1649" s="128" t="s">
        <v>46</v>
      </c>
      <c r="AF1649" s="128" t="s">
        <v>69</v>
      </c>
      <c r="AG1649" s="128" t="s">
        <v>874</v>
      </c>
      <c r="AH1649" s="108" t="s">
        <v>31</v>
      </c>
      <c r="AI1649" s="128" t="s">
        <v>70</v>
      </c>
      <c r="AJ1649" s="129" t="s">
        <v>89</v>
      </c>
      <c r="AK1649" s="129">
        <v>2</v>
      </c>
      <c r="AL1649" s="3" t="s">
        <v>992</v>
      </c>
      <c r="AN1649" s="117">
        <v>12</v>
      </c>
      <c r="AP1649" s="129" t="s">
        <v>98</v>
      </c>
      <c r="AR1649" s="128" t="s">
        <v>44</v>
      </c>
      <c r="AS1649" s="129" t="s">
        <v>64</v>
      </c>
      <c r="BC1649" s="129" t="s">
        <v>38</v>
      </c>
      <c r="BF1649" s="111">
        <f t="shared" ref="BF1649:BF1655" si="1240">IF(J1649&gt;1/1/1900,((J1649+1)-I1649),"STILL OPEN")</f>
        <v>20</v>
      </c>
      <c r="BG1649" s="111">
        <f t="shared" ref="BG1649:BG1655" si="1241">IF(G1649&gt;1/1/1900,((G1649+1)-I1649),"STILL OPEN")</f>
        <v>20</v>
      </c>
      <c r="BH1649" s="111">
        <f t="shared" si="1198"/>
        <v>20</v>
      </c>
      <c r="BI1649" s="111">
        <f t="shared" si="1199"/>
        <v>25.040983606557376</v>
      </c>
      <c r="BJ1649" s="129">
        <f t="shared" si="1204"/>
        <v>0</v>
      </c>
      <c r="BK1649" s="129">
        <f t="shared" si="1200"/>
        <v>0</v>
      </c>
      <c r="BL1649" s="129" t="str">
        <f t="shared" si="1230"/>
        <v>CONVICTION</v>
      </c>
      <c r="BM1649" s="129" t="str">
        <f t="shared" si="1205"/>
        <v>NONE</v>
      </c>
      <c r="BN1649" s="129" t="s">
        <v>566</v>
      </c>
      <c r="BP1649" s="137" t="str">
        <f t="shared" si="1206"/>
        <v>CONVICTION</v>
      </c>
      <c r="BQ1649" s="128" t="str">
        <f t="shared" si="1207"/>
        <v>Y</v>
      </c>
      <c r="BR1649" s="129" t="str">
        <f t="shared" si="1208"/>
        <v>DETAINED</v>
      </c>
      <c r="BS1649" s="129" t="str">
        <f t="shared" si="1209"/>
        <v>DISPOSED</v>
      </c>
      <c r="BT1649" s="129" t="str">
        <f t="shared" si="1210"/>
        <v>Y</v>
      </c>
      <c r="BU1649" s="109">
        <f t="shared" si="1211"/>
        <v>1</v>
      </c>
      <c r="BV1649" s="109">
        <f t="shared" si="1212"/>
        <v>1</v>
      </c>
      <c r="BW1649" s="109">
        <f t="shared" si="1238"/>
        <v>0</v>
      </c>
      <c r="BX1649" s="111">
        <f t="shared" si="1213"/>
        <v>0</v>
      </c>
      <c r="BY1649" s="129">
        <f t="shared" si="1214"/>
        <v>-20</v>
      </c>
      <c r="BZ1649" s="111">
        <f t="shared" si="1215"/>
        <v>0</v>
      </c>
      <c r="CA1649" s="138">
        <f t="shared" si="1216"/>
        <v>20</v>
      </c>
      <c r="CB1649" s="111" t="e">
        <f t="shared" ref="CB1649:CB1655" si="1242">IF(AF1649&gt;1/1/1900,((AF1649+1)-AE1649),"STILL OPEN")</f>
        <v>#VALUE!</v>
      </c>
      <c r="CC1649" s="129">
        <f>G1649-I1649+1</f>
        <v>20</v>
      </c>
      <c r="CD1649" s="129">
        <f>G1649-J1649</f>
        <v>0</v>
      </c>
      <c r="CG1649" s="129" t="str">
        <f t="shared" si="1217"/>
        <v>Y</v>
      </c>
      <c r="CI1649" s="129" t="str">
        <f t="shared" si="1218"/>
        <v>11-30 DAYS</v>
      </c>
      <c r="CJ1649" s="137">
        <f t="shared" si="1219"/>
        <v>2</v>
      </c>
      <c r="CK1649" s="129" t="str">
        <f t="shared" si="1220"/>
        <v>Booked</v>
      </c>
    </row>
    <row r="1650" spans="1:89" ht="15" customHeight="1" x14ac:dyDescent="0.25">
      <c r="A1650" s="111">
        <v>2372</v>
      </c>
      <c r="B1650" s="128" t="str">
        <f t="shared" si="1201"/>
        <v>N</v>
      </c>
      <c r="C1650" s="128" t="str">
        <f t="shared" si="1202"/>
        <v>N</v>
      </c>
      <c r="D1650" s="117">
        <v>2187219</v>
      </c>
      <c r="E1650" s="135">
        <f t="shared" si="1203"/>
        <v>2</v>
      </c>
      <c r="F1650" s="124">
        <v>40998</v>
      </c>
      <c r="G1650" s="125">
        <v>41256</v>
      </c>
      <c r="H1650" s="117">
        <v>2187219</v>
      </c>
      <c r="I1650" s="124">
        <v>40998</v>
      </c>
      <c r="J1650" s="124">
        <v>41000</v>
      </c>
      <c r="K1650" s="126">
        <v>2000</v>
      </c>
      <c r="L1650" s="127" t="s">
        <v>568</v>
      </c>
      <c r="M1650" s="125">
        <v>41000</v>
      </c>
      <c r="N1650" s="129" t="str">
        <f>IF(M1650&gt;1/1/1,"Y","N")</f>
        <v>Y</v>
      </c>
      <c r="O1650" s="128" t="s">
        <v>76</v>
      </c>
      <c r="P1650" s="129" t="s">
        <v>589</v>
      </c>
      <c r="Q1650" s="111">
        <f t="shared" si="1239"/>
        <v>3</v>
      </c>
      <c r="R1650" s="111">
        <f t="shared" si="1228"/>
        <v>259</v>
      </c>
      <c r="S1650" s="129">
        <v>0</v>
      </c>
      <c r="T1650" s="129">
        <v>2</v>
      </c>
      <c r="W1650" s="111"/>
      <c r="AB1650" s="131" t="s">
        <v>112</v>
      </c>
      <c r="AC1650" s="130"/>
      <c r="AD1650" s="130">
        <v>32349</v>
      </c>
      <c r="AE1650" s="128" t="s">
        <v>32</v>
      </c>
      <c r="AF1650" s="128" t="s">
        <v>40</v>
      </c>
      <c r="AG1650" s="128" t="s">
        <v>41</v>
      </c>
      <c r="AH1650" s="108" t="s">
        <v>31</v>
      </c>
      <c r="AI1650" s="128" t="s">
        <v>141</v>
      </c>
      <c r="AJ1650" s="129" t="s">
        <v>48</v>
      </c>
      <c r="AK1650" s="129">
        <v>10</v>
      </c>
      <c r="AL1650" s="3" t="s">
        <v>48</v>
      </c>
      <c r="AP1650" s="129" t="s">
        <v>121</v>
      </c>
      <c r="AR1650" s="128" t="s">
        <v>44</v>
      </c>
      <c r="AS1650" s="129" t="s">
        <v>122</v>
      </c>
      <c r="BC1650" s="129" t="s">
        <v>38</v>
      </c>
      <c r="BF1650" s="111">
        <f t="shared" si="1240"/>
        <v>3</v>
      </c>
      <c r="BG1650" s="111">
        <f t="shared" si="1241"/>
        <v>259</v>
      </c>
      <c r="BH1650" s="111">
        <f t="shared" si="1198"/>
        <v>259</v>
      </c>
      <c r="BI1650" s="111">
        <f t="shared" si="1199"/>
        <v>23.631147540983605</v>
      </c>
      <c r="BJ1650" s="129">
        <f>(G1650-J1650)+(M1650-G1650)</f>
        <v>0</v>
      </c>
      <c r="BK1650" s="129">
        <f t="shared" si="1200"/>
        <v>-256</v>
      </c>
      <c r="BL1650" s="129" t="str">
        <f t="shared" si="1230"/>
        <v>DEFERRED</v>
      </c>
      <c r="BM1650" s="129" t="s">
        <v>76</v>
      </c>
      <c r="BN1650" s="129" t="s">
        <v>88</v>
      </c>
      <c r="BP1650" s="137" t="str">
        <f t="shared" si="1206"/>
        <v>DEFERRED</v>
      </c>
      <c r="BQ1650" s="128" t="str">
        <f t="shared" si="1207"/>
        <v>Y</v>
      </c>
      <c r="BR1650" s="129" t="str">
        <f t="shared" si="1208"/>
        <v>ON BOND</v>
      </c>
      <c r="BS1650" s="129" t="str">
        <f t="shared" si="1209"/>
        <v>DISPOSED</v>
      </c>
      <c r="BT1650" s="129" t="str">
        <f t="shared" si="1210"/>
        <v>N</v>
      </c>
      <c r="BU1650" s="109">
        <f t="shared" si="1211"/>
        <v>1.1583011583011582E-2</v>
      </c>
      <c r="BV1650" s="109">
        <f t="shared" si="1212"/>
        <v>1.1583011583011582E-2</v>
      </c>
      <c r="BW1650" s="109">
        <f t="shared" si="1238"/>
        <v>0</v>
      </c>
      <c r="BX1650" s="111">
        <f t="shared" si="1213"/>
        <v>0</v>
      </c>
      <c r="BY1650" s="129">
        <f t="shared" si="1214"/>
        <v>-3</v>
      </c>
      <c r="BZ1650" s="111">
        <f t="shared" si="1215"/>
        <v>0</v>
      </c>
      <c r="CA1650" s="138">
        <f t="shared" si="1216"/>
        <v>3</v>
      </c>
      <c r="CB1650" s="111" t="e">
        <f t="shared" si="1242"/>
        <v>#VALUE!</v>
      </c>
      <c r="CC1650" s="129">
        <f>M1650-I1650+1</f>
        <v>3</v>
      </c>
      <c r="CD1650" s="111">
        <f>CC1650-BF1650</f>
        <v>0</v>
      </c>
      <c r="CG1650" s="129" t="str">
        <f t="shared" si="1217"/>
        <v>Y</v>
      </c>
      <c r="CI1650" s="129" t="str">
        <f t="shared" si="1218"/>
        <v>0-10 DAYS</v>
      </c>
      <c r="CJ1650" s="137">
        <f t="shared" si="1219"/>
        <v>1</v>
      </c>
      <c r="CK1650" s="129" t="str">
        <f t="shared" si="1220"/>
        <v>Booked</v>
      </c>
    </row>
    <row r="1651" spans="1:89" ht="15" customHeight="1" x14ac:dyDescent="0.25">
      <c r="A1651" s="111">
        <v>784</v>
      </c>
      <c r="B1651" s="128" t="str">
        <f t="shared" si="1201"/>
        <v>N</v>
      </c>
      <c r="C1651" s="128" t="str">
        <f t="shared" si="1202"/>
        <v>N</v>
      </c>
      <c r="D1651" s="117">
        <v>2188231</v>
      </c>
      <c r="E1651" s="135">
        <f t="shared" si="1203"/>
        <v>1</v>
      </c>
      <c r="F1651" s="124">
        <v>40939</v>
      </c>
      <c r="G1651" s="125">
        <v>41050</v>
      </c>
      <c r="H1651" s="117">
        <v>2188231</v>
      </c>
      <c r="I1651" s="124">
        <v>40939</v>
      </c>
      <c r="J1651" s="124">
        <v>40940</v>
      </c>
      <c r="K1651" s="126">
        <v>2000</v>
      </c>
      <c r="L1651" s="127" t="s">
        <v>568</v>
      </c>
      <c r="M1651" s="125">
        <v>40940</v>
      </c>
      <c r="N1651" s="129" t="str">
        <f>IF(M1651&gt;1/1/1,"Y","N")</f>
        <v>Y</v>
      </c>
      <c r="O1651" s="128" t="s">
        <v>76</v>
      </c>
      <c r="P1651" s="129" t="s">
        <v>123</v>
      </c>
      <c r="Q1651" s="111">
        <f t="shared" si="1239"/>
        <v>2</v>
      </c>
      <c r="R1651" s="111">
        <f t="shared" si="1228"/>
        <v>112</v>
      </c>
      <c r="S1651" s="129">
        <v>0</v>
      </c>
      <c r="T1651" s="129">
        <v>1</v>
      </c>
      <c r="W1651" s="111"/>
      <c r="AC1651" s="130"/>
      <c r="AD1651" s="130">
        <v>30929</v>
      </c>
      <c r="AE1651" s="128" t="s">
        <v>32</v>
      </c>
      <c r="AF1651" s="128" t="s">
        <v>33</v>
      </c>
      <c r="AG1651" s="128" t="s">
        <v>872</v>
      </c>
      <c r="AH1651" s="108" t="s">
        <v>58</v>
      </c>
      <c r="AI1651" s="128" t="s">
        <v>72</v>
      </c>
      <c r="AJ1651" s="129" t="s">
        <v>123</v>
      </c>
      <c r="AK1651" s="129">
        <v>6</v>
      </c>
      <c r="AL1651" s="3" t="s">
        <v>123</v>
      </c>
      <c r="AP1651" s="129" t="s">
        <v>155</v>
      </c>
      <c r="AR1651" s="128" t="s">
        <v>44</v>
      </c>
      <c r="AS1651" s="129" t="s">
        <v>64</v>
      </c>
      <c r="BC1651" s="129" t="s">
        <v>38</v>
      </c>
      <c r="BF1651" s="111">
        <f t="shared" si="1240"/>
        <v>2</v>
      </c>
      <c r="BG1651" s="111">
        <f t="shared" si="1241"/>
        <v>112</v>
      </c>
      <c r="BH1651" s="111">
        <f t="shared" si="1198"/>
        <v>112</v>
      </c>
      <c r="BI1651" s="111">
        <f t="shared" si="1199"/>
        <v>27.349726775956285</v>
      </c>
      <c r="BJ1651" s="129">
        <f>(G1651-J1651)+(M1651-G1651)</f>
        <v>0</v>
      </c>
      <c r="BK1651" s="129">
        <f t="shared" si="1200"/>
        <v>-110</v>
      </c>
      <c r="BL1651" s="129" t="str">
        <f t="shared" si="1230"/>
        <v>NO CONVICTION</v>
      </c>
      <c r="BM1651" s="129" t="s">
        <v>76</v>
      </c>
      <c r="BN1651" s="129" t="s">
        <v>88</v>
      </c>
      <c r="BP1651" s="137" t="str">
        <f t="shared" si="1206"/>
        <v>NO CONVICTION</v>
      </c>
      <c r="BQ1651" s="128" t="str">
        <f t="shared" si="1207"/>
        <v>Y</v>
      </c>
      <c r="BR1651" s="129" t="str">
        <f t="shared" si="1208"/>
        <v>ON BOND</v>
      </c>
      <c r="BS1651" s="129" t="str">
        <f t="shared" si="1209"/>
        <v>DISPOSED</v>
      </c>
      <c r="BT1651" s="129" t="str">
        <f t="shared" si="1210"/>
        <v>N</v>
      </c>
      <c r="BU1651" s="109">
        <f>IFERROR(Q1651/R1651,BR1651)</f>
        <v>1.7857142857142856E-2</v>
      </c>
      <c r="BV1651" s="109">
        <f t="shared" si="1212"/>
        <v>1.7857142857142856E-2</v>
      </c>
      <c r="BW1651" s="109">
        <f t="shared" si="1238"/>
        <v>0</v>
      </c>
      <c r="BX1651" s="111">
        <f t="shared" si="1213"/>
        <v>0</v>
      </c>
      <c r="BY1651" s="129">
        <f t="shared" si="1214"/>
        <v>-2</v>
      </c>
      <c r="BZ1651" s="111">
        <f t="shared" si="1215"/>
        <v>0</v>
      </c>
      <c r="CA1651" s="138">
        <f t="shared" si="1216"/>
        <v>2</v>
      </c>
      <c r="CB1651" s="111" t="e">
        <f t="shared" si="1242"/>
        <v>#VALUE!</v>
      </c>
      <c r="CC1651" s="129">
        <f>M1651-I1651+1</f>
        <v>2</v>
      </c>
      <c r="CD1651" s="111">
        <f>CC1651-BF1651</f>
        <v>0</v>
      </c>
      <c r="CG1651" s="129" t="str">
        <f t="shared" si="1217"/>
        <v>Y</v>
      </c>
      <c r="CI1651" s="129" t="str">
        <f t="shared" si="1218"/>
        <v>0-10 DAYS</v>
      </c>
      <c r="CJ1651" s="137">
        <f t="shared" si="1219"/>
        <v>1</v>
      </c>
      <c r="CK1651" s="129" t="str">
        <f t="shared" si="1220"/>
        <v>Booked</v>
      </c>
    </row>
    <row r="1652" spans="1:89" ht="15.75" customHeight="1" x14ac:dyDescent="0.25">
      <c r="A1652" s="111">
        <v>2464</v>
      </c>
      <c r="B1652" s="128" t="str">
        <f t="shared" si="1201"/>
        <v>N</v>
      </c>
      <c r="C1652" s="128" t="str">
        <f t="shared" si="1202"/>
        <v>N</v>
      </c>
      <c r="D1652" s="117">
        <v>2188251</v>
      </c>
      <c r="E1652" s="135">
        <f t="shared" si="1203"/>
        <v>6</v>
      </c>
      <c r="F1652" s="124">
        <v>41002</v>
      </c>
      <c r="G1652" s="125">
        <v>41023</v>
      </c>
      <c r="H1652" s="117">
        <v>2188251</v>
      </c>
      <c r="I1652" s="124">
        <v>41002</v>
      </c>
      <c r="J1652" s="124">
        <v>41003</v>
      </c>
      <c r="K1652" s="126">
        <v>5000</v>
      </c>
      <c r="L1652" s="127" t="s">
        <v>569</v>
      </c>
      <c r="M1652" s="125">
        <v>41003</v>
      </c>
      <c r="N1652" s="129" t="str">
        <f>IF(M1652&gt;1/1/1,"Y","N")</f>
        <v>Y</v>
      </c>
      <c r="O1652" s="128" t="s">
        <v>76</v>
      </c>
      <c r="P1652" s="129" t="s">
        <v>39</v>
      </c>
      <c r="Q1652" s="111">
        <f t="shared" si="1239"/>
        <v>2</v>
      </c>
      <c r="R1652" s="111">
        <f t="shared" si="1228"/>
        <v>22</v>
      </c>
      <c r="S1652" s="129">
        <v>1</v>
      </c>
      <c r="T1652" s="129">
        <v>2</v>
      </c>
      <c r="U1652" s="129">
        <v>1</v>
      </c>
      <c r="W1652" s="111"/>
      <c r="AB1652" s="131" t="s">
        <v>112</v>
      </c>
      <c r="AC1652" s="130"/>
      <c r="AD1652" s="130">
        <v>32235</v>
      </c>
      <c r="AE1652" s="128" t="s">
        <v>32</v>
      </c>
      <c r="AF1652" s="128" t="s">
        <v>40</v>
      </c>
      <c r="AG1652" s="128" t="s">
        <v>41</v>
      </c>
      <c r="AH1652" s="108" t="s">
        <v>31</v>
      </c>
      <c r="AI1652" s="128" t="s">
        <v>72</v>
      </c>
      <c r="AJ1652" s="129" t="s">
        <v>89</v>
      </c>
      <c r="AK1652" s="129">
        <v>3</v>
      </c>
      <c r="AL1652" s="3" t="s">
        <v>362</v>
      </c>
      <c r="AM1652" s="117">
        <v>3</v>
      </c>
      <c r="AP1652" s="129" t="s">
        <v>101</v>
      </c>
      <c r="AR1652" s="128" t="s">
        <v>67</v>
      </c>
      <c r="AS1652" s="129" t="s">
        <v>64</v>
      </c>
      <c r="AT1652" s="129" t="s">
        <v>444</v>
      </c>
      <c r="AX1652" s="32"/>
      <c r="BC1652" s="129" t="s">
        <v>38</v>
      </c>
      <c r="BF1652" s="111">
        <f t="shared" si="1240"/>
        <v>2</v>
      </c>
      <c r="BG1652" s="111">
        <f t="shared" si="1241"/>
        <v>22</v>
      </c>
      <c r="BH1652" s="111">
        <f t="shared" si="1198"/>
        <v>22</v>
      </c>
      <c r="BI1652" s="111">
        <f t="shared" si="1199"/>
        <v>23.953551912568305</v>
      </c>
      <c r="BJ1652" s="129">
        <f>(G1652-J1652)+(M1652-G1652)</f>
        <v>0</v>
      </c>
      <c r="BK1652" s="129">
        <f t="shared" si="1200"/>
        <v>-20</v>
      </c>
      <c r="BL1652" s="129" t="str">
        <f t="shared" si="1230"/>
        <v>CONVICTION</v>
      </c>
      <c r="BM1652" s="129" t="s">
        <v>76</v>
      </c>
      <c r="BN1652" s="129" t="s">
        <v>88</v>
      </c>
      <c r="BP1652" s="137" t="str">
        <f t="shared" si="1206"/>
        <v>CONVICTION</v>
      </c>
      <c r="BQ1652" s="128" t="str">
        <f t="shared" si="1207"/>
        <v>Y</v>
      </c>
      <c r="BR1652" s="129" t="str">
        <f>IF(J1652&lt;G1652,"ON BOND",0)</f>
        <v>ON BOND</v>
      </c>
      <c r="BS1652" s="129" t="str">
        <f t="shared" si="1209"/>
        <v>DISPOSED</v>
      </c>
      <c r="BT1652" s="129" t="str">
        <f t="shared" si="1210"/>
        <v>Y</v>
      </c>
      <c r="BU1652" s="109">
        <f t="shared" si="1211"/>
        <v>9.0909090909090912E-2</v>
      </c>
      <c r="BV1652" s="109">
        <f t="shared" si="1212"/>
        <v>9.0909090909090912E-2</v>
      </c>
      <c r="BW1652" s="109">
        <f t="shared" si="1238"/>
        <v>0</v>
      </c>
      <c r="BX1652" s="111">
        <f t="shared" si="1213"/>
        <v>0</v>
      </c>
      <c r="BY1652" s="129">
        <f t="shared" si="1214"/>
        <v>-2</v>
      </c>
      <c r="BZ1652" s="111">
        <f t="shared" si="1215"/>
        <v>0</v>
      </c>
      <c r="CA1652" s="138">
        <f t="shared" si="1216"/>
        <v>2</v>
      </c>
      <c r="CB1652" s="111" t="e">
        <f t="shared" si="1242"/>
        <v>#VALUE!</v>
      </c>
      <c r="CC1652" s="129">
        <f>M1652-I1652+1</f>
        <v>2</v>
      </c>
      <c r="CD1652" s="111">
        <f>CC1652-BF1652</f>
        <v>0</v>
      </c>
      <c r="CG1652" s="129" t="str">
        <f t="shared" si="1217"/>
        <v>Y</v>
      </c>
      <c r="CI1652" s="129" t="str">
        <f t="shared" si="1218"/>
        <v>0-10 DAYS</v>
      </c>
      <c r="CJ1652" s="137">
        <f t="shared" si="1219"/>
        <v>1</v>
      </c>
      <c r="CK1652" s="129" t="str">
        <f t="shared" si="1220"/>
        <v>Booked</v>
      </c>
    </row>
    <row r="1653" spans="1:89" ht="15.75" customHeight="1" x14ac:dyDescent="0.25">
      <c r="A1653" s="111">
        <v>2238</v>
      </c>
      <c r="B1653" s="128" t="str">
        <f t="shared" si="1201"/>
        <v>N</v>
      </c>
      <c r="C1653" s="128" t="str">
        <f t="shared" si="1202"/>
        <v>N</v>
      </c>
      <c r="D1653" s="117">
        <v>2188495</v>
      </c>
      <c r="E1653" s="135">
        <f t="shared" si="1203"/>
        <v>2</v>
      </c>
      <c r="F1653" s="124">
        <v>40993</v>
      </c>
      <c r="G1653" s="125">
        <v>41173</v>
      </c>
      <c r="H1653" s="117">
        <v>2188495</v>
      </c>
      <c r="I1653" s="124">
        <v>40993</v>
      </c>
      <c r="J1653" s="124">
        <v>41173</v>
      </c>
      <c r="K1653" s="126" t="s">
        <v>564</v>
      </c>
      <c r="L1653" s="127" t="s">
        <v>564</v>
      </c>
      <c r="N1653" s="129" t="s">
        <v>566</v>
      </c>
      <c r="O1653" s="128" t="s">
        <v>917</v>
      </c>
      <c r="P1653" s="129" t="s">
        <v>589</v>
      </c>
      <c r="Q1653" s="111">
        <f t="shared" si="1239"/>
        <v>181</v>
      </c>
      <c r="R1653" s="111">
        <f t="shared" si="1228"/>
        <v>181</v>
      </c>
      <c r="S1653" s="129">
        <v>1</v>
      </c>
      <c r="T1653" s="129">
        <v>0</v>
      </c>
      <c r="U1653" s="129">
        <v>1</v>
      </c>
      <c r="W1653" s="111"/>
      <c r="AB1653" s="131" t="s">
        <v>112</v>
      </c>
      <c r="AC1653" s="130"/>
      <c r="AD1653" s="130">
        <v>32334</v>
      </c>
      <c r="AE1653" s="128" t="s">
        <v>32</v>
      </c>
      <c r="AF1653" s="128" t="s">
        <v>40</v>
      </c>
      <c r="AG1653" s="128" t="s">
        <v>41</v>
      </c>
      <c r="AH1653" s="108" t="s">
        <v>31</v>
      </c>
      <c r="AI1653" s="128" t="s">
        <v>90</v>
      </c>
      <c r="AJ1653" s="129" t="s">
        <v>48</v>
      </c>
      <c r="AK1653" s="129">
        <v>10</v>
      </c>
      <c r="AL1653" s="3" t="s">
        <v>48</v>
      </c>
      <c r="AP1653" s="129" t="s">
        <v>110</v>
      </c>
      <c r="AR1653" s="128" t="s">
        <v>50</v>
      </c>
      <c r="AS1653" s="129" t="s">
        <v>74</v>
      </c>
      <c r="BC1653" s="129" t="s">
        <v>38</v>
      </c>
      <c r="BF1653" s="111">
        <f t="shared" si="1240"/>
        <v>181</v>
      </c>
      <c r="BG1653" s="111">
        <f t="shared" si="1241"/>
        <v>181</v>
      </c>
      <c r="BH1653" s="111">
        <f t="shared" si="1198"/>
        <v>181</v>
      </c>
      <c r="BI1653" s="111">
        <f t="shared" si="1199"/>
        <v>23.65846994535519</v>
      </c>
      <c r="BJ1653" s="129">
        <f t="shared" si="1204"/>
        <v>0</v>
      </c>
      <c r="BK1653" s="129">
        <f t="shared" si="1200"/>
        <v>0</v>
      </c>
      <c r="BL1653" s="129" t="str">
        <f t="shared" si="1230"/>
        <v>DEFERRED</v>
      </c>
      <c r="BM1653" s="129" t="str">
        <f t="shared" si="1205"/>
        <v>NONE</v>
      </c>
      <c r="BN1653" s="129" t="s">
        <v>566</v>
      </c>
      <c r="BP1653" s="137" t="str">
        <f t="shared" si="1206"/>
        <v>DEFERRED</v>
      </c>
      <c r="BQ1653" s="128" t="str">
        <f t="shared" si="1207"/>
        <v>Y</v>
      </c>
      <c r="BR1653" s="129" t="str">
        <f t="shared" si="1208"/>
        <v>DETAINED</v>
      </c>
      <c r="BS1653" s="129" t="str">
        <f t="shared" si="1209"/>
        <v>DISPOSED</v>
      </c>
      <c r="BT1653" s="129" t="str">
        <f t="shared" si="1210"/>
        <v>Y</v>
      </c>
      <c r="BU1653" s="109">
        <f t="shared" si="1211"/>
        <v>1</v>
      </c>
      <c r="BV1653" s="109">
        <f t="shared" si="1212"/>
        <v>1</v>
      </c>
      <c r="BW1653" s="109">
        <f t="shared" si="1238"/>
        <v>0</v>
      </c>
      <c r="BX1653" s="111">
        <f t="shared" si="1213"/>
        <v>0</v>
      </c>
      <c r="BY1653" s="129">
        <f t="shared" si="1214"/>
        <v>-181</v>
      </c>
      <c r="BZ1653" s="111">
        <f t="shared" si="1215"/>
        <v>0</v>
      </c>
      <c r="CA1653" s="138">
        <f t="shared" si="1216"/>
        <v>181</v>
      </c>
      <c r="CB1653" s="111" t="e">
        <f t="shared" si="1242"/>
        <v>#VALUE!</v>
      </c>
      <c r="CC1653" s="129">
        <f>G1653-I1653+1</f>
        <v>181</v>
      </c>
      <c r="CD1653" s="129">
        <f>G1653-J1653</f>
        <v>0</v>
      </c>
      <c r="CG1653" s="129" t="str">
        <f t="shared" si="1217"/>
        <v>Y</v>
      </c>
      <c r="CI1653" s="129" t="str">
        <f t="shared" si="1218"/>
        <v>121-365 DAYS</v>
      </c>
      <c r="CJ1653" s="137">
        <f t="shared" si="1219"/>
        <v>6</v>
      </c>
      <c r="CK1653" s="129" t="str">
        <f t="shared" si="1220"/>
        <v>Booked</v>
      </c>
    </row>
    <row r="1654" spans="1:89" ht="15.75" customHeight="1" x14ac:dyDescent="0.25">
      <c r="A1654" s="111">
        <v>2378</v>
      </c>
      <c r="B1654" s="128" t="str">
        <f t="shared" si="1201"/>
        <v>N</v>
      </c>
      <c r="C1654" s="128" t="str">
        <f t="shared" si="1202"/>
        <v>N</v>
      </c>
      <c r="D1654" s="117">
        <v>2189277</v>
      </c>
      <c r="E1654" s="135">
        <f t="shared" si="1203"/>
        <v>6</v>
      </c>
      <c r="F1654" s="124">
        <v>40998</v>
      </c>
      <c r="G1654" s="125">
        <v>41141</v>
      </c>
      <c r="H1654" s="117">
        <v>2189277</v>
      </c>
      <c r="I1654" s="124">
        <v>41003</v>
      </c>
      <c r="J1654" s="124">
        <v>41141</v>
      </c>
      <c r="K1654" s="126" t="s">
        <v>564</v>
      </c>
      <c r="L1654" s="127" t="s">
        <v>564</v>
      </c>
      <c r="N1654" s="129" t="s">
        <v>566</v>
      </c>
      <c r="O1654" s="128" t="s">
        <v>917</v>
      </c>
      <c r="P1654" s="129" t="s">
        <v>39</v>
      </c>
      <c r="Q1654" s="111">
        <f t="shared" si="1239"/>
        <v>139</v>
      </c>
      <c r="R1654" s="111">
        <f t="shared" si="1228"/>
        <v>144</v>
      </c>
      <c r="S1654" s="129">
        <v>2</v>
      </c>
      <c r="T1654" s="129">
        <v>0</v>
      </c>
      <c r="U1654" s="129">
        <v>1</v>
      </c>
      <c r="W1654" s="111"/>
      <c r="AC1654" s="130"/>
      <c r="AD1654" s="130">
        <v>31798</v>
      </c>
      <c r="AE1654" s="128" t="s">
        <v>32</v>
      </c>
      <c r="AF1654" s="128" t="s">
        <v>33</v>
      </c>
      <c r="AG1654" s="128" t="s">
        <v>872</v>
      </c>
      <c r="AH1654" s="108" t="s">
        <v>31</v>
      </c>
      <c r="AI1654" s="128" t="s">
        <v>141</v>
      </c>
      <c r="AJ1654" s="129" t="s">
        <v>89</v>
      </c>
      <c r="AK1654" s="129">
        <v>6</v>
      </c>
      <c r="AL1654" s="3" t="s">
        <v>362</v>
      </c>
      <c r="AM1654" s="114">
        <v>20</v>
      </c>
      <c r="AN1654" s="114"/>
      <c r="AP1654" s="129" t="s">
        <v>105</v>
      </c>
      <c r="AR1654" s="128" t="s">
        <v>92</v>
      </c>
      <c r="AS1654" s="129" t="s">
        <v>106</v>
      </c>
      <c r="BC1654" s="129" t="s">
        <v>38</v>
      </c>
      <c r="BF1654" s="111">
        <f t="shared" si="1240"/>
        <v>139</v>
      </c>
      <c r="BG1654" s="111">
        <f t="shared" si="1241"/>
        <v>139</v>
      </c>
      <c r="BH1654" s="111">
        <f t="shared" si="1198"/>
        <v>144</v>
      </c>
      <c r="BI1654" s="111">
        <f t="shared" si="1199"/>
        <v>25.136612021857925</v>
      </c>
      <c r="BJ1654" s="129">
        <f t="shared" si="1204"/>
        <v>0</v>
      </c>
      <c r="BK1654" s="129">
        <f t="shared" si="1200"/>
        <v>0</v>
      </c>
      <c r="BL1654" s="129" t="str">
        <f t="shared" si="1230"/>
        <v>CONVICTION</v>
      </c>
      <c r="BM1654" s="129" t="str">
        <f t="shared" si="1205"/>
        <v>NONE</v>
      </c>
      <c r="BN1654" s="129" t="s">
        <v>566</v>
      </c>
      <c r="BP1654" s="137" t="str">
        <f t="shared" si="1206"/>
        <v>CONVICTION</v>
      </c>
      <c r="BQ1654" s="128" t="str">
        <f t="shared" si="1207"/>
        <v>Y</v>
      </c>
      <c r="BR1654" s="129" t="str">
        <f t="shared" si="1208"/>
        <v>DETAINED</v>
      </c>
      <c r="BS1654" s="129" t="str">
        <f t="shared" si="1209"/>
        <v>DISPOSED</v>
      </c>
      <c r="BT1654" s="129" t="str">
        <f t="shared" si="1210"/>
        <v>Y</v>
      </c>
      <c r="BU1654" s="109">
        <f t="shared" si="1211"/>
        <v>0.96527777777777779</v>
      </c>
      <c r="BV1654" s="109">
        <f t="shared" si="1212"/>
        <v>1</v>
      </c>
      <c r="BW1654" s="109">
        <f t="shared" si="1238"/>
        <v>3.472222222222221E-2</v>
      </c>
      <c r="BX1654" s="111">
        <f t="shared" si="1213"/>
        <v>0</v>
      </c>
      <c r="BY1654" s="129">
        <f t="shared" si="1214"/>
        <v>-139</v>
      </c>
      <c r="BZ1654" s="111">
        <f t="shared" si="1215"/>
        <v>0</v>
      </c>
      <c r="CA1654" s="138">
        <f t="shared" si="1216"/>
        <v>139</v>
      </c>
      <c r="CB1654" s="111" t="e">
        <f t="shared" si="1242"/>
        <v>#VALUE!</v>
      </c>
      <c r="CC1654" s="129">
        <f>G1654-I1654+1</f>
        <v>139</v>
      </c>
      <c r="CD1654" s="129">
        <f>G1654-J1654</f>
        <v>0</v>
      </c>
      <c r="CG1654" s="129" t="str">
        <f t="shared" si="1217"/>
        <v>Y</v>
      </c>
      <c r="CI1654" s="129" t="str">
        <f t="shared" si="1218"/>
        <v>121-365 DAYS</v>
      </c>
      <c r="CJ1654" s="137">
        <f t="shared" si="1219"/>
        <v>6</v>
      </c>
      <c r="CK1654" s="129" t="str">
        <f t="shared" si="1220"/>
        <v>Booked</v>
      </c>
    </row>
    <row r="1655" spans="1:89" ht="15.75" customHeight="1" x14ac:dyDescent="0.25">
      <c r="A1655" s="111">
        <v>2281</v>
      </c>
      <c r="B1655" s="128" t="str">
        <f t="shared" si="1201"/>
        <v>N</v>
      </c>
      <c r="C1655" s="128" t="str">
        <f t="shared" si="1202"/>
        <v>N</v>
      </c>
      <c r="D1655" s="117">
        <v>2189315</v>
      </c>
      <c r="E1655" s="135">
        <f t="shared" si="1203"/>
        <v>5</v>
      </c>
      <c r="F1655" s="124">
        <v>40995</v>
      </c>
      <c r="G1655" s="125">
        <v>41004</v>
      </c>
      <c r="H1655" s="117">
        <v>2189315</v>
      </c>
      <c r="I1655" s="124">
        <v>40998</v>
      </c>
      <c r="J1655" s="124">
        <v>41004</v>
      </c>
      <c r="K1655" s="126">
        <v>200000</v>
      </c>
      <c r="L1655" s="129" t="s">
        <v>572</v>
      </c>
      <c r="N1655" s="129" t="str">
        <f>IF(M1655&gt;1/1/1,"Y","N")</f>
        <v>N</v>
      </c>
      <c r="O1655" s="128" t="s">
        <v>917</v>
      </c>
      <c r="P1655" s="129" t="s">
        <v>39</v>
      </c>
      <c r="Q1655" s="111">
        <f t="shared" si="1239"/>
        <v>7</v>
      </c>
      <c r="R1655" s="111">
        <f t="shared" si="1228"/>
        <v>10</v>
      </c>
      <c r="S1655" s="129">
        <v>5</v>
      </c>
      <c r="T1655" s="129">
        <v>3</v>
      </c>
      <c r="U1655" s="129">
        <v>2</v>
      </c>
      <c r="W1655" s="111"/>
      <c r="AC1655" s="130"/>
      <c r="AD1655" s="130">
        <v>31091</v>
      </c>
      <c r="AE1655" s="128" t="s">
        <v>32</v>
      </c>
      <c r="AF1655" s="128" t="s">
        <v>33</v>
      </c>
      <c r="AG1655" s="128" t="s">
        <v>872</v>
      </c>
      <c r="AH1655" s="108" t="s">
        <v>31</v>
      </c>
      <c r="AI1655" s="128" t="s">
        <v>59</v>
      </c>
      <c r="AJ1655" s="129" t="s">
        <v>89</v>
      </c>
      <c r="AK1655" s="129">
        <v>4</v>
      </c>
      <c r="AL1655" s="3" t="s">
        <v>992</v>
      </c>
      <c r="AN1655" s="117">
        <v>7</v>
      </c>
      <c r="AP1655" s="129" t="s">
        <v>426</v>
      </c>
      <c r="AR1655" s="128" t="s">
        <v>44</v>
      </c>
      <c r="AS1655" s="129" t="s">
        <v>64</v>
      </c>
      <c r="BC1655" s="129" t="s">
        <v>38</v>
      </c>
      <c r="BF1655" s="111">
        <f t="shared" si="1240"/>
        <v>7</v>
      </c>
      <c r="BG1655" s="111">
        <f t="shared" si="1241"/>
        <v>7</v>
      </c>
      <c r="BH1655" s="111">
        <f t="shared" si="1198"/>
        <v>10</v>
      </c>
      <c r="BI1655" s="111">
        <f t="shared" si="1199"/>
        <v>27.060109289617486</v>
      </c>
      <c r="BJ1655" s="129">
        <f t="shared" si="1204"/>
        <v>0</v>
      </c>
      <c r="BK1655" s="129">
        <f t="shared" si="1200"/>
        <v>0</v>
      </c>
      <c r="BL1655" s="129" t="str">
        <f t="shared" si="1230"/>
        <v>CONVICTION</v>
      </c>
      <c r="BM1655" s="129" t="str">
        <f t="shared" si="1205"/>
        <v>NONE</v>
      </c>
      <c r="BN1655" s="129" t="s">
        <v>566</v>
      </c>
      <c r="BP1655" s="137" t="str">
        <f t="shared" si="1206"/>
        <v>CONVICTION</v>
      </c>
      <c r="BQ1655" s="128" t="str">
        <f t="shared" si="1207"/>
        <v>Y</v>
      </c>
      <c r="BR1655" s="129" t="str">
        <f t="shared" si="1208"/>
        <v>DETAINED</v>
      </c>
      <c r="BS1655" s="129" t="str">
        <f t="shared" si="1209"/>
        <v>DISPOSED</v>
      </c>
      <c r="BT1655" s="129" t="str">
        <f t="shared" si="1210"/>
        <v>Y</v>
      </c>
      <c r="BU1655" s="109">
        <f t="shared" si="1211"/>
        <v>0.7</v>
      </c>
      <c r="BV1655" s="109">
        <f t="shared" si="1212"/>
        <v>1</v>
      </c>
      <c r="BW1655" s="109">
        <f t="shared" si="1238"/>
        <v>0.30000000000000004</v>
      </c>
      <c r="BX1655" s="111">
        <f t="shared" si="1213"/>
        <v>0</v>
      </c>
      <c r="BY1655" s="129">
        <f t="shared" si="1214"/>
        <v>-7</v>
      </c>
      <c r="BZ1655" s="111">
        <f t="shared" si="1215"/>
        <v>0</v>
      </c>
      <c r="CA1655" s="138">
        <f t="shared" si="1216"/>
        <v>7</v>
      </c>
      <c r="CB1655" s="111" t="e">
        <f t="shared" si="1242"/>
        <v>#VALUE!</v>
      </c>
      <c r="CC1655" s="129">
        <f>G1655-I1655+1</f>
        <v>7</v>
      </c>
      <c r="CD1655" s="129">
        <f>G1655-J1655</f>
        <v>0</v>
      </c>
      <c r="CG1655" s="129" t="str">
        <f t="shared" si="1217"/>
        <v>Y</v>
      </c>
      <c r="CI1655" s="129" t="str">
        <f t="shared" si="1218"/>
        <v>0-10 DAYS</v>
      </c>
      <c r="CJ1655" s="137">
        <f t="shared" si="1219"/>
        <v>1</v>
      </c>
      <c r="CK1655" s="129" t="str">
        <f t="shared" si="1220"/>
        <v>Booked</v>
      </c>
    </row>
    <row r="1656" spans="1:89" ht="15" customHeight="1" x14ac:dyDescent="0.25">
      <c r="A1656" s="111">
        <v>227</v>
      </c>
      <c r="B1656" s="128" t="str">
        <f t="shared" si="1201"/>
        <v>N</v>
      </c>
      <c r="C1656" s="128" t="str">
        <f t="shared" si="1202"/>
        <v>N</v>
      </c>
      <c r="D1656" s="117">
        <v>2190829</v>
      </c>
      <c r="E1656" s="135">
        <f t="shared" si="1203"/>
        <v>2</v>
      </c>
      <c r="F1656" s="124">
        <v>40918</v>
      </c>
      <c r="G1656" s="125">
        <v>41040</v>
      </c>
      <c r="H1656" s="117">
        <v>2190829</v>
      </c>
      <c r="I1656" s="124" t="s">
        <v>562</v>
      </c>
      <c r="J1656" s="124" t="s">
        <v>562</v>
      </c>
      <c r="K1656" s="126">
        <v>5000</v>
      </c>
      <c r="L1656" s="127" t="s">
        <v>569</v>
      </c>
      <c r="M1656" s="125">
        <v>40940</v>
      </c>
      <c r="N1656" s="129" t="str">
        <f>IF(M1656&gt;1/1/1,"Y",IF(Q1656="0","","N"))</f>
        <v>Y</v>
      </c>
      <c r="O1656" s="128" t="s">
        <v>585</v>
      </c>
      <c r="P1656" s="129" t="s">
        <v>589</v>
      </c>
      <c r="Q1656" s="111">
        <f t="shared" si="1239"/>
        <v>0</v>
      </c>
      <c r="R1656" s="111">
        <f t="shared" si="1228"/>
        <v>123</v>
      </c>
      <c r="S1656" s="129">
        <v>0</v>
      </c>
      <c r="T1656" s="129">
        <v>0</v>
      </c>
      <c r="W1656" s="111"/>
      <c r="AB1656" s="131" t="s">
        <v>112</v>
      </c>
      <c r="AC1656" s="130"/>
      <c r="AD1656" s="130">
        <v>29434</v>
      </c>
      <c r="AE1656" s="128" t="s">
        <v>46</v>
      </c>
      <c r="AF1656" s="128" t="s">
        <v>40</v>
      </c>
      <c r="AG1656" s="128" t="s">
        <v>41</v>
      </c>
      <c r="AH1656" s="108" t="s">
        <v>31</v>
      </c>
      <c r="AI1656" s="128" t="s">
        <v>97</v>
      </c>
      <c r="AJ1656" s="129" t="s">
        <v>48</v>
      </c>
      <c r="AK1656" s="129">
        <v>5</v>
      </c>
      <c r="AL1656" s="3" t="s">
        <v>48</v>
      </c>
      <c r="AP1656" s="129" t="s">
        <v>94</v>
      </c>
      <c r="AR1656" s="128" t="s">
        <v>67</v>
      </c>
      <c r="AS1656" s="129" t="s">
        <v>82</v>
      </c>
      <c r="BC1656" s="129" t="s">
        <v>99</v>
      </c>
      <c r="BF1656" s="111">
        <v>0</v>
      </c>
      <c r="BG1656" s="111">
        <v>0</v>
      </c>
      <c r="BH1656" s="111">
        <f t="shared" si="1198"/>
        <v>123</v>
      </c>
      <c r="BI1656" s="111">
        <f t="shared" si="1199"/>
        <v>31.377049180327869</v>
      </c>
      <c r="BJ1656" s="129" t="e">
        <f>(G1656-J1656)+(M1656-G1656)</f>
        <v>#VALUE!</v>
      </c>
      <c r="BK1656" s="129" t="e">
        <f t="shared" si="1200"/>
        <v>#VALUE!</v>
      </c>
      <c r="BL1656" s="129" t="str">
        <f t="shared" si="1230"/>
        <v>DEFERRED</v>
      </c>
      <c r="BM1656" s="129" t="s">
        <v>76</v>
      </c>
      <c r="BN1656" s="129" t="s">
        <v>88</v>
      </c>
      <c r="BP1656" s="137" t="str">
        <f t="shared" si="1206"/>
        <v>DEFERRED</v>
      </c>
      <c r="BQ1656" s="128">
        <f t="shared" si="1207"/>
        <v>0</v>
      </c>
      <c r="BR1656" s="129" t="s">
        <v>575</v>
      </c>
      <c r="BS1656" s="129" t="str">
        <f t="shared" si="1209"/>
        <v>DISPOSED</v>
      </c>
      <c r="BT1656" s="129" t="str">
        <f t="shared" si="1210"/>
        <v>N</v>
      </c>
      <c r="BU1656" s="109">
        <f t="shared" si="1211"/>
        <v>0</v>
      </c>
      <c r="BV1656" s="109">
        <v>0</v>
      </c>
      <c r="BW1656" s="109">
        <f t="shared" si="1238"/>
        <v>0</v>
      </c>
      <c r="BX1656" s="111">
        <f t="shared" si="1213"/>
        <v>0</v>
      </c>
      <c r="BY1656" s="129" t="e">
        <f t="shared" si="1214"/>
        <v>#VALUE!</v>
      </c>
      <c r="BZ1656" s="111" t="e">
        <f t="shared" si="1215"/>
        <v>#VALUE!</v>
      </c>
      <c r="CA1656" s="138" t="e">
        <f t="shared" si="1216"/>
        <v>#VALUE!</v>
      </c>
      <c r="CB1656" s="111">
        <v>0</v>
      </c>
      <c r="CC1656" s="129">
        <v>0</v>
      </c>
      <c r="CD1656" s="111">
        <f>CC1656-BF1656</f>
        <v>0</v>
      </c>
      <c r="CG1656" s="129" t="str">
        <f t="shared" si="1217"/>
        <v>N</v>
      </c>
      <c r="CI1656" s="129" t="str">
        <f t="shared" si="1218"/>
        <v>0-10 DAYS</v>
      </c>
      <c r="CJ1656" s="137">
        <f t="shared" si="1219"/>
        <v>1</v>
      </c>
      <c r="CK1656" s="129" t="str">
        <f t="shared" si="1220"/>
        <v>Not Booked</v>
      </c>
    </row>
    <row r="1657" spans="1:89" ht="15" customHeight="1" x14ac:dyDescent="0.25">
      <c r="A1657" s="111">
        <v>2328</v>
      </c>
      <c r="B1657" s="128" t="str">
        <f t="shared" si="1201"/>
        <v>N</v>
      </c>
      <c r="C1657" s="128" t="str">
        <f t="shared" si="1202"/>
        <v>N</v>
      </c>
      <c r="D1657" s="117">
        <v>2190885</v>
      </c>
      <c r="E1657" s="135">
        <f t="shared" si="1203"/>
        <v>6</v>
      </c>
      <c r="F1657" s="124">
        <v>40997</v>
      </c>
      <c r="G1657" s="125">
        <v>41116</v>
      </c>
      <c r="H1657" s="117">
        <v>2190885</v>
      </c>
      <c r="I1657" s="124">
        <v>40997</v>
      </c>
      <c r="J1657" s="124">
        <v>41116</v>
      </c>
      <c r="K1657" s="126" t="s">
        <v>564</v>
      </c>
      <c r="L1657" s="127" t="s">
        <v>564</v>
      </c>
      <c r="N1657" s="129" t="s">
        <v>566</v>
      </c>
      <c r="O1657" s="128" t="s">
        <v>917</v>
      </c>
      <c r="P1657" s="129" t="s">
        <v>77</v>
      </c>
      <c r="Q1657" s="111">
        <f t="shared" si="1239"/>
        <v>120</v>
      </c>
      <c r="R1657" s="111">
        <f t="shared" si="1228"/>
        <v>120</v>
      </c>
      <c r="S1657" s="129">
        <v>1</v>
      </c>
      <c r="T1657" s="129">
        <v>9</v>
      </c>
      <c r="V1657" s="117">
        <v>1</v>
      </c>
      <c r="W1657" s="111"/>
      <c r="AC1657" s="130"/>
      <c r="AD1657" s="130">
        <v>31688</v>
      </c>
      <c r="AE1657" s="128" t="s">
        <v>32</v>
      </c>
      <c r="AF1657" s="128" t="s">
        <v>33</v>
      </c>
      <c r="AG1657" s="128" t="s">
        <v>872</v>
      </c>
      <c r="AH1657" s="108" t="s">
        <v>58</v>
      </c>
      <c r="AI1657" s="128" t="s">
        <v>34</v>
      </c>
      <c r="AJ1657" s="129" t="s">
        <v>89</v>
      </c>
      <c r="AK1657" s="129">
        <v>7</v>
      </c>
      <c r="AL1657" s="3" t="s">
        <v>362</v>
      </c>
      <c r="AM1657" s="114">
        <v>14</v>
      </c>
      <c r="AN1657" s="114"/>
      <c r="AP1657" s="129" t="s">
        <v>49</v>
      </c>
      <c r="AR1657" s="128" t="s">
        <v>50</v>
      </c>
      <c r="AS1657" s="129" t="s">
        <v>45</v>
      </c>
      <c r="BC1657" s="129" t="s">
        <v>38</v>
      </c>
      <c r="BF1657" s="111">
        <f>IF(J1657&gt;1/1/1900,((J1657+1)-I1657),"STILL OPEN")</f>
        <v>120</v>
      </c>
      <c r="BG1657" s="111">
        <f t="shared" ref="BG1657:BG1694" si="1243">IF(G1657&gt;1/1/1900,((G1657+1)-I1657),"STILL OPEN")</f>
        <v>120</v>
      </c>
      <c r="BH1657" s="111">
        <f t="shared" si="1198"/>
        <v>120</v>
      </c>
      <c r="BI1657" s="111">
        <f t="shared" si="1199"/>
        <v>25.434426229508198</v>
      </c>
      <c r="BJ1657" s="129">
        <f t="shared" si="1204"/>
        <v>0</v>
      </c>
      <c r="BK1657" s="129">
        <f t="shared" si="1200"/>
        <v>0</v>
      </c>
      <c r="BL1657" s="129" t="str">
        <f t="shared" si="1230"/>
        <v>CONVICTION</v>
      </c>
      <c r="BM1657" s="129" t="str">
        <f t="shared" si="1205"/>
        <v>NONE</v>
      </c>
      <c r="BN1657" s="129" t="s">
        <v>566</v>
      </c>
      <c r="BP1657" s="137" t="str">
        <f t="shared" si="1206"/>
        <v>CONVICTION</v>
      </c>
      <c r="BQ1657" s="128" t="str">
        <f t="shared" si="1207"/>
        <v>Y</v>
      </c>
      <c r="BR1657" s="129" t="str">
        <f t="shared" si="1208"/>
        <v>DETAINED</v>
      </c>
      <c r="BS1657" s="129" t="str">
        <f t="shared" si="1209"/>
        <v>DISPOSED</v>
      </c>
      <c r="BT1657" s="129" t="str">
        <f t="shared" si="1210"/>
        <v>Y</v>
      </c>
      <c r="BU1657" s="109">
        <f t="shared" si="1211"/>
        <v>1</v>
      </c>
      <c r="BV1657" s="109">
        <f t="shared" si="1212"/>
        <v>1</v>
      </c>
      <c r="BW1657" s="109">
        <f t="shared" si="1238"/>
        <v>0</v>
      </c>
      <c r="BX1657" s="111">
        <f t="shared" si="1213"/>
        <v>0</v>
      </c>
      <c r="BY1657" s="129">
        <f t="shared" si="1214"/>
        <v>-120</v>
      </c>
      <c r="BZ1657" s="111">
        <f t="shared" si="1215"/>
        <v>0</v>
      </c>
      <c r="CA1657" s="138">
        <f t="shared" si="1216"/>
        <v>120</v>
      </c>
      <c r="CB1657" s="111" t="e">
        <f>IF(AF1657&gt;1/1/1900,((AF1657+1)-AE1657),"STILL OPEN")</f>
        <v>#VALUE!</v>
      </c>
      <c r="CC1657" s="129">
        <f>G1657-I1657+1</f>
        <v>120</v>
      </c>
      <c r="CD1657" s="129">
        <f>G1657-J1657</f>
        <v>0</v>
      </c>
      <c r="CG1657" s="129" t="str">
        <f t="shared" si="1217"/>
        <v>Y</v>
      </c>
      <c r="CI1657" s="129" t="str">
        <f t="shared" si="1218"/>
        <v>91-120 DAYS</v>
      </c>
      <c r="CJ1657" s="137">
        <f t="shared" si="1219"/>
        <v>0</v>
      </c>
      <c r="CK1657" s="129" t="str">
        <f t="shared" si="1220"/>
        <v>Booked</v>
      </c>
    </row>
    <row r="1658" spans="1:89" ht="15" customHeight="1" x14ac:dyDescent="0.25">
      <c r="A1658" s="111">
        <v>2646</v>
      </c>
      <c r="B1658" s="128" t="str">
        <f t="shared" si="1201"/>
        <v>Y</v>
      </c>
      <c r="C1658" s="128" t="str">
        <f t="shared" si="1202"/>
        <v>Y</v>
      </c>
      <c r="D1658" s="117">
        <v>2191210</v>
      </c>
      <c r="E1658" s="135">
        <f t="shared" si="1203"/>
        <v>4</v>
      </c>
      <c r="F1658" s="124">
        <v>41007</v>
      </c>
      <c r="G1658" s="125">
        <v>41198</v>
      </c>
      <c r="H1658" s="117">
        <v>2191210</v>
      </c>
      <c r="I1658" s="124">
        <v>41019</v>
      </c>
      <c r="J1658" s="124">
        <v>41020</v>
      </c>
      <c r="K1658" s="126">
        <v>20000</v>
      </c>
      <c r="L1658" s="127" t="s">
        <v>571</v>
      </c>
      <c r="M1658" s="125">
        <v>41020</v>
      </c>
      <c r="N1658" s="129" t="str">
        <f>IF(M1658&gt;1/1/1,"Y","N")</f>
        <v>Y</v>
      </c>
      <c r="O1658" s="128" t="s">
        <v>76</v>
      </c>
      <c r="P1658" s="129" t="s">
        <v>39</v>
      </c>
      <c r="Q1658" s="111">
        <v>74</v>
      </c>
      <c r="R1658" s="111">
        <f t="shared" si="1228"/>
        <v>192</v>
      </c>
      <c r="S1658" s="129">
        <v>4</v>
      </c>
      <c r="T1658" s="129">
        <v>6</v>
      </c>
      <c r="U1658" s="129">
        <v>2</v>
      </c>
      <c r="W1658" s="111"/>
      <c r="AC1658" s="130"/>
      <c r="AD1658" s="130">
        <v>32073</v>
      </c>
      <c r="AE1658" s="128" t="s">
        <v>32</v>
      </c>
      <c r="AF1658" s="128" t="s">
        <v>33</v>
      </c>
      <c r="AG1658" s="128" t="s">
        <v>872</v>
      </c>
      <c r="AH1658" s="108" t="s">
        <v>58</v>
      </c>
      <c r="AI1658" s="128" t="s">
        <v>53</v>
      </c>
      <c r="AJ1658" s="129" t="s">
        <v>89</v>
      </c>
      <c r="AK1658" s="129">
        <v>8</v>
      </c>
      <c r="AL1658" s="3" t="s">
        <v>991</v>
      </c>
      <c r="AO1658" s="128">
        <v>180</v>
      </c>
      <c r="AP1658" s="129" t="s">
        <v>150</v>
      </c>
      <c r="AR1658" s="128" t="s">
        <v>67</v>
      </c>
      <c r="AS1658" s="129" t="s">
        <v>74</v>
      </c>
      <c r="AT1658" s="129" t="s">
        <v>1099</v>
      </c>
      <c r="AU1658" s="3" t="s">
        <v>850</v>
      </c>
      <c r="AV1658" s="3" t="s">
        <v>88</v>
      </c>
      <c r="AW1658" s="129" t="s">
        <v>775</v>
      </c>
      <c r="BA1658" s="125">
        <v>41131</v>
      </c>
      <c r="BB1658" s="129">
        <v>259</v>
      </c>
      <c r="BC1658" s="129" t="s">
        <v>38</v>
      </c>
      <c r="BD1658" s="129" t="s">
        <v>1100</v>
      </c>
      <c r="BF1658" s="111">
        <v>74</v>
      </c>
      <c r="BG1658" s="111">
        <f t="shared" si="1243"/>
        <v>180</v>
      </c>
      <c r="BH1658" s="111">
        <f t="shared" si="1198"/>
        <v>192</v>
      </c>
      <c r="BI1658" s="111">
        <f t="shared" si="1199"/>
        <v>24.409836065573771</v>
      </c>
      <c r="BJ1658" s="129">
        <f>(G1658-J1658)+(M1658-G1658)</f>
        <v>0</v>
      </c>
      <c r="BK1658" s="129">
        <f t="shared" si="1200"/>
        <v>-178</v>
      </c>
      <c r="BL1658" s="129" t="str">
        <f t="shared" si="1230"/>
        <v>CONVICTION</v>
      </c>
      <c r="BM1658" s="129" t="s">
        <v>76</v>
      </c>
      <c r="BN1658" s="129" t="s">
        <v>566</v>
      </c>
      <c r="BP1658" s="137" t="str">
        <f t="shared" si="1206"/>
        <v>CONVICTION</v>
      </c>
      <c r="BQ1658" s="128" t="str">
        <f t="shared" si="1207"/>
        <v>Y</v>
      </c>
      <c r="BR1658" s="129" t="s">
        <v>574</v>
      </c>
      <c r="BS1658" s="129" t="str">
        <f t="shared" si="1209"/>
        <v>DISPOSED</v>
      </c>
      <c r="BT1658" s="129" t="str">
        <f t="shared" si="1210"/>
        <v>Y</v>
      </c>
      <c r="BU1658" s="109">
        <f>IFERROR(Q1658/R1658,BR1658)</f>
        <v>0.38541666666666669</v>
      </c>
      <c r="BV1658" s="109">
        <f t="shared" si="1212"/>
        <v>1.1111111111111112E-2</v>
      </c>
      <c r="BW1658" s="109">
        <f t="shared" si="1238"/>
        <v>-0.37430555555555556</v>
      </c>
      <c r="BX1658" s="111">
        <f t="shared" si="1213"/>
        <v>0</v>
      </c>
      <c r="BY1658" s="129">
        <f t="shared" si="1214"/>
        <v>-2</v>
      </c>
      <c r="BZ1658" s="111">
        <f t="shared" si="1215"/>
        <v>72</v>
      </c>
      <c r="CA1658" s="138">
        <f t="shared" si="1216"/>
        <v>180</v>
      </c>
      <c r="CB1658" s="111">
        <v>74</v>
      </c>
      <c r="CC1658" s="129">
        <f>G1658-I1658+1</f>
        <v>180</v>
      </c>
      <c r="CD1658" s="129">
        <f>G1658-J1658</f>
        <v>178</v>
      </c>
      <c r="CG1658" s="129" t="str">
        <f t="shared" si="1217"/>
        <v>Y</v>
      </c>
      <c r="CI1658" s="129" t="str">
        <f t="shared" si="1218"/>
        <v>61-90 DAYS</v>
      </c>
      <c r="CJ1658" s="137">
        <f t="shared" si="1219"/>
        <v>4</v>
      </c>
      <c r="CK1658" s="129" t="str">
        <f t="shared" si="1220"/>
        <v>Booked</v>
      </c>
    </row>
    <row r="1659" spans="1:89" ht="15.75" customHeight="1" x14ac:dyDescent="0.25">
      <c r="A1659" s="111">
        <v>1979</v>
      </c>
      <c r="B1659" s="128" t="str">
        <f t="shared" si="1201"/>
        <v>N</v>
      </c>
      <c r="C1659" s="128" t="str">
        <f t="shared" si="1202"/>
        <v>N</v>
      </c>
      <c r="D1659" s="117">
        <v>2191309</v>
      </c>
      <c r="E1659" s="135">
        <f t="shared" si="1203"/>
        <v>6</v>
      </c>
      <c r="F1659" s="124">
        <v>40982</v>
      </c>
      <c r="G1659" s="125">
        <v>41115</v>
      </c>
      <c r="H1659" s="117">
        <v>2191309</v>
      </c>
      <c r="I1659" s="124">
        <v>40983</v>
      </c>
      <c r="J1659" s="124">
        <v>41115</v>
      </c>
      <c r="K1659" s="126" t="s">
        <v>564</v>
      </c>
      <c r="L1659" s="127" t="s">
        <v>564</v>
      </c>
      <c r="N1659" s="129" t="s">
        <v>566</v>
      </c>
      <c r="O1659" s="128" t="s">
        <v>917</v>
      </c>
      <c r="P1659" s="129" t="s">
        <v>39</v>
      </c>
      <c r="Q1659" s="111">
        <f>BF1659</f>
        <v>133</v>
      </c>
      <c r="R1659" s="111">
        <f t="shared" si="1228"/>
        <v>134</v>
      </c>
      <c r="S1659" s="129">
        <v>3</v>
      </c>
      <c r="T1659" s="129">
        <v>4</v>
      </c>
      <c r="U1659" s="129">
        <v>2</v>
      </c>
      <c r="W1659" s="111"/>
      <c r="AC1659" s="130"/>
      <c r="AD1659" s="130">
        <v>30392</v>
      </c>
      <c r="AE1659" s="128" t="s">
        <v>32</v>
      </c>
      <c r="AF1659" s="128" t="s">
        <v>69</v>
      </c>
      <c r="AG1659" s="128" t="s">
        <v>874</v>
      </c>
      <c r="AH1659" s="108" t="s">
        <v>58</v>
      </c>
      <c r="AI1659" s="128" t="s">
        <v>141</v>
      </c>
      <c r="AJ1659" s="129" t="s">
        <v>89</v>
      </c>
      <c r="AK1659" s="129">
        <v>6</v>
      </c>
      <c r="AL1659" s="3" t="s">
        <v>362</v>
      </c>
      <c r="AM1659" s="117">
        <v>4</v>
      </c>
      <c r="AP1659" s="129" t="s">
        <v>150</v>
      </c>
      <c r="AR1659" s="128" t="s">
        <v>67</v>
      </c>
      <c r="AS1659" s="129" t="s">
        <v>74</v>
      </c>
      <c r="BC1659" s="129" t="s">
        <v>38</v>
      </c>
      <c r="BF1659" s="111">
        <f>IF(J1659&gt;1/1/1900,((J1659+1)-I1659),"STILL OPEN")</f>
        <v>133</v>
      </c>
      <c r="BG1659" s="111">
        <f t="shared" si="1243"/>
        <v>133</v>
      </c>
      <c r="BH1659" s="111">
        <f t="shared" si="1198"/>
        <v>134</v>
      </c>
      <c r="BI1659" s="111">
        <f t="shared" si="1199"/>
        <v>28.934426229508198</v>
      </c>
      <c r="BJ1659" s="129">
        <f t="shared" si="1204"/>
        <v>0</v>
      </c>
      <c r="BK1659" s="129">
        <f t="shared" si="1200"/>
        <v>0</v>
      </c>
      <c r="BL1659" s="129" t="str">
        <f t="shared" si="1230"/>
        <v>CONVICTION</v>
      </c>
      <c r="BM1659" s="129" t="str">
        <f t="shared" si="1205"/>
        <v>NONE</v>
      </c>
      <c r="BN1659" s="129" t="s">
        <v>566</v>
      </c>
      <c r="BP1659" s="137" t="str">
        <f t="shared" si="1206"/>
        <v>CONVICTION</v>
      </c>
      <c r="BQ1659" s="128" t="str">
        <f t="shared" si="1207"/>
        <v>Y</v>
      </c>
      <c r="BR1659" s="129" t="str">
        <f t="shared" si="1208"/>
        <v>DETAINED</v>
      </c>
      <c r="BS1659" s="129" t="str">
        <f t="shared" si="1209"/>
        <v>DISPOSED</v>
      </c>
      <c r="BT1659" s="129" t="str">
        <f t="shared" si="1210"/>
        <v>Y</v>
      </c>
      <c r="BU1659" s="109">
        <f t="shared" si="1211"/>
        <v>0.9925373134328358</v>
      </c>
      <c r="BV1659" s="109">
        <f t="shared" si="1212"/>
        <v>1</v>
      </c>
      <c r="BW1659" s="109">
        <f t="shared" si="1238"/>
        <v>7.4626865671642006E-3</v>
      </c>
      <c r="BX1659" s="111">
        <f t="shared" si="1213"/>
        <v>0</v>
      </c>
      <c r="BY1659" s="129">
        <f t="shared" si="1214"/>
        <v>-133</v>
      </c>
      <c r="BZ1659" s="111">
        <f t="shared" si="1215"/>
        <v>0</v>
      </c>
      <c r="CA1659" s="138">
        <f t="shared" si="1216"/>
        <v>133</v>
      </c>
      <c r="CB1659" s="111" t="e">
        <f>IF(AF1659&gt;1/1/1900,((AF1659+1)-AE1659),"STILL OPEN")</f>
        <v>#VALUE!</v>
      </c>
      <c r="CC1659" s="129">
        <f>G1659-I1659+1</f>
        <v>133</v>
      </c>
      <c r="CD1659" s="129">
        <f>G1659-J1659</f>
        <v>0</v>
      </c>
      <c r="CG1659" s="129" t="str">
        <f t="shared" si="1217"/>
        <v>Y</v>
      </c>
      <c r="CI1659" s="129" t="str">
        <f t="shared" si="1218"/>
        <v>121-365 DAYS</v>
      </c>
      <c r="CJ1659" s="137">
        <f t="shared" si="1219"/>
        <v>6</v>
      </c>
      <c r="CK1659" s="129" t="str">
        <f t="shared" si="1220"/>
        <v>Booked</v>
      </c>
    </row>
    <row r="1660" spans="1:89" ht="15.75" customHeight="1" x14ac:dyDescent="0.25">
      <c r="A1660" s="111">
        <v>2880</v>
      </c>
      <c r="B1660" s="128" t="str">
        <f t="shared" si="1201"/>
        <v>N</v>
      </c>
      <c r="C1660" s="128" t="str">
        <f t="shared" si="1202"/>
        <v>Y</v>
      </c>
      <c r="D1660" s="114">
        <v>2195053</v>
      </c>
      <c r="E1660" s="135">
        <f t="shared" si="1203"/>
        <v>1</v>
      </c>
      <c r="F1660" s="124">
        <v>41016</v>
      </c>
      <c r="G1660" s="125">
        <v>41220</v>
      </c>
      <c r="H1660" s="114">
        <v>2195053</v>
      </c>
      <c r="I1660" s="124">
        <v>41016</v>
      </c>
      <c r="J1660" s="124">
        <v>41020</v>
      </c>
      <c r="K1660" s="126">
        <v>5000</v>
      </c>
      <c r="L1660" s="127" t="s">
        <v>569</v>
      </c>
      <c r="M1660" s="125">
        <v>41020</v>
      </c>
      <c r="N1660" s="129" t="str">
        <f>IF(M1660&gt;1/1/1,"Y","N")</f>
        <v>Y</v>
      </c>
      <c r="O1660" s="128" t="s">
        <v>76</v>
      </c>
      <c r="P1660" s="129" t="s">
        <v>55</v>
      </c>
      <c r="Q1660" s="111">
        <v>17</v>
      </c>
      <c r="R1660" s="111">
        <f t="shared" si="1228"/>
        <v>205</v>
      </c>
      <c r="S1660" s="129">
        <v>5</v>
      </c>
      <c r="T1660" s="129">
        <v>3</v>
      </c>
      <c r="U1660" s="129">
        <v>2</v>
      </c>
      <c r="W1660" s="111"/>
      <c r="AC1660" s="130"/>
      <c r="AD1660" s="130">
        <v>32254</v>
      </c>
      <c r="AE1660" s="128" t="s">
        <v>32</v>
      </c>
      <c r="AF1660" s="128" t="s">
        <v>33</v>
      </c>
      <c r="AG1660" s="128" t="s">
        <v>872</v>
      </c>
      <c r="AH1660" s="108" t="s">
        <v>58</v>
      </c>
      <c r="AI1660" s="128" t="s">
        <v>47</v>
      </c>
      <c r="AJ1660" s="129" t="s">
        <v>55</v>
      </c>
      <c r="AK1660" s="129">
        <v>10</v>
      </c>
      <c r="AL1660" s="3" t="s">
        <v>55</v>
      </c>
      <c r="AP1660" s="129" t="s">
        <v>104</v>
      </c>
      <c r="AR1660" s="128" t="s">
        <v>44</v>
      </c>
      <c r="AS1660" s="129" t="s">
        <v>64</v>
      </c>
      <c r="AV1660" s="3" t="s">
        <v>88</v>
      </c>
      <c r="AW1660" s="129" t="s">
        <v>785</v>
      </c>
      <c r="AY1660" s="123"/>
      <c r="BA1660" s="125">
        <v>41337</v>
      </c>
      <c r="BB1660" s="129">
        <v>256</v>
      </c>
      <c r="BC1660" s="129" t="s">
        <v>52</v>
      </c>
      <c r="BF1660" s="111">
        <v>17</v>
      </c>
      <c r="BG1660" s="111">
        <f t="shared" si="1243"/>
        <v>205</v>
      </c>
      <c r="BH1660" s="111">
        <f t="shared" si="1198"/>
        <v>205</v>
      </c>
      <c r="BI1660" s="111">
        <f t="shared" si="1199"/>
        <v>23.939890710382514</v>
      </c>
      <c r="BJ1660" s="129">
        <f>(G1660-J1660)+(M1660-G1660)</f>
        <v>0</v>
      </c>
      <c r="BK1660" s="129">
        <f t="shared" si="1200"/>
        <v>-200</v>
      </c>
      <c r="BL1660" s="129" t="str">
        <f t="shared" si="1230"/>
        <v>NO CONVICTION</v>
      </c>
      <c r="BM1660" s="129" t="s">
        <v>76</v>
      </c>
      <c r="BN1660" s="129" t="s">
        <v>566</v>
      </c>
      <c r="BP1660" s="137" t="str">
        <f t="shared" si="1206"/>
        <v>NO CONVICTION</v>
      </c>
      <c r="BQ1660" s="128" t="str">
        <f t="shared" si="1207"/>
        <v>Y</v>
      </c>
      <c r="BR1660" s="129" t="s">
        <v>574</v>
      </c>
      <c r="BS1660" s="129" t="str">
        <f t="shared" si="1209"/>
        <v>DISPOSED</v>
      </c>
      <c r="BT1660" s="129" t="str">
        <f t="shared" si="1210"/>
        <v>Y</v>
      </c>
      <c r="BU1660" s="109">
        <f>IFERROR(Q1660/R1660,BR1660)</f>
        <v>8.2926829268292687E-2</v>
      </c>
      <c r="BV1660" s="109">
        <f t="shared" si="1212"/>
        <v>2.4390243902439025E-2</v>
      </c>
      <c r="BW1660" s="109">
        <f t="shared" si="1238"/>
        <v>-5.8536585365853662E-2</v>
      </c>
      <c r="BX1660" s="111">
        <f t="shared" si="1213"/>
        <v>0</v>
      </c>
      <c r="BY1660" s="129">
        <f t="shared" si="1214"/>
        <v>-5</v>
      </c>
      <c r="BZ1660" s="111">
        <f t="shared" si="1215"/>
        <v>12</v>
      </c>
      <c r="CA1660" s="138">
        <f t="shared" si="1216"/>
        <v>205</v>
      </c>
      <c r="CB1660" s="111">
        <v>17</v>
      </c>
      <c r="CC1660" s="129">
        <f>G1660-I1660+1</f>
        <v>205</v>
      </c>
      <c r="CD1660" s="129">
        <f>G1660-J1660</f>
        <v>200</v>
      </c>
      <c r="CG1660" s="129" t="str">
        <f t="shared" si="1217"/>
        <v>Y</v>
      </c>
      <c r="CI1660" s="129" t="str">
        <f t="shared" si="1218"/>
        <v>11-30 DAYS</v>
      </c>
      <c r="CJ1660" s="137">
        <f t="shared" si="1219"/>
        <v>2</v>
      </c>
      <c r="CK1660" s="129" t="str">
        <f t="shared" si="1220"/>
        <v>Booked</v>
      </c>
    </row>
    <row r="1661" spans="1:89" ht="15.75" customHeight="1" x14ac:dyDescent="0.25">
      <c r="A1661" s="111">
        <v>2606</v>
      </c>
      <c r="B1661" s="128" t="str">
        <f t="shared" si="1201"/>
        <v>N</v>
      </c>
      <c r="C1661" s="128" t="str">
        <f t="shared" si="1202"/>
        <v>Y</v>
      </c>
      <c r="D1661" s="114">
        <v>2195898</v>
      </c>
      <c r="E1661" s="135">
        <f t="shared" si="1203"/>
        <v>5</v>
      </c>
      <c r="F1661" s="124">
        <v>41005</v>
      </c>
      <c r="G1661" s="125">
        <v>41768</v>
      </c>
      <c r="H1661" s="114">
        <v>2195898</v>
      </c>
      <c r="I1661" s="124">
        <v>41766</v>
      </c>
      <c r="J1661" s="124">
        <v>41006</v>
      </c>
      <c r="K1661" s="126">
        <v>15000</v>
      </c>
      <c r="L1661" s="127" t="s">
        <v>571</v>
      </c>
      <c r="M1661" s="125">
        <v>41006</v>
      </c>
      <c r="N1661" s="129" t="str">
        <f>IF(M1661&gt;1/1/1,"Y",IF(Q1661="NOT BOOKED","","N"))</f>
        <v>Y</v>
      </c>
      <c r="O1661" s="128" t="s">
        <v>585</v>
      </c>
      <c r="P1661" s="129" t="s">
        <v>39</v>
      </c>
      <c r="Q1661" s="111">
        <v>3</v>
      </c>
      <c r="R1661" s="111">
        <v>763</v>
      </c>
      <c r="S1661" s="129">
        <v>2</v>
      </c>
      <c r="T1661" s="129">
        <v>0</v>
      </c>
      <c r="W1661" s="111"/>
      <c r="AC1661" s="130"/>
      <c r="AD1661" s="130">
        <v>31115</v>
      </c>
      <c r="AE1661" s="128" t="s">
        <v>32</v>
      </c>
      <c r="AF1661" s="128" t="s">
        <v>33</v>
      </c>
      <c r="AG1661" s="128" t="s">
        <v>872</v>
      </c>
      <c r="AH1661" s="108" t="s">
        <v>58</v>
      </c>
      <c r="AI1661" s="128" t="s">
        <v>87</v>
      </c>
      <c r="AJ1661" s="129" t="s">
        <v>89</v>
      </c>
      <c r="AK1661" s="129">
        <v>6</v>
      </c>
      <c r="AL1661" s="3" t="s">
        <v>992</v>
      </c>
      <c r="AN1661" s="117">
        <v>16</v>
      </c>
      <c r="AP1661" s="129" t="s">
        <v>108</v>
      </c>
      <c r="AR1661" s="128" t="s">
        <v>44</v>
      </c>
      <c r="AS1661" s="129" t="s">
        <v>61</v>
      </c>
      <c r="AT1661" s="32" t="s">
        <v>1370</v>
      </c>
      <c r="AU1661" s="129" t="s">
        <v>773</v>
      </c>
      <c r="AV1661" s="3" t="s">
        <v>88</v>
      </c>
      <c r="AW1661" s="129" t="s">
        <v>869</v>
      </c>
      <c r="AY1661" s="123"/>
      <c r="AZ1661" s="140">
        <v>41766</v>
      </c>
      <c r="BA1661" s="129" t="s">
        <v>1371</v>
      </c>
      <c r="BB1661" s="129" t="s">
        <v>1371</v>
      </c>
      <c r="BC1661" s="129" t="s">
        <v>52</v>
      </c>
      <c r="BF1661" s="111">
        <v>3</v>
      </c>
      <c r="BG1661" s="111"/>
      <c r="BH1661" s="111">
        <v>763</v>
      </c>
      <c r="BI1661" s="111">
        <f t="shared" si="1199"/>
        <v>27.021857923497269</v>
      </c>
      <c r="BJ1661" s="129">
        <f>(G1661-J1661)+(M1661-G1661)</f>
        <v>0</v>
      </c>
      <c r="BK1661" s="129">
        <f t="shared" si="1200"/>
        <v>-762</v>
      </c>
      <c r="BL1661" s="129" t="str">
        <f t="shared" si="1230"/>
        <v>CONVICTION</v>
      </c>
      <c r="BM1661" s="129" t="s">
        <v>76</v>
      </c>
      <c r="BN1661" s="129" t="s">
        <v>88</v>
      </c>
      <c r="BP1661" s="137" t="str">
        <f t="shared" si="1206"/>
        <v>CONVICTION</v>
      </c>
      <c r="BQ1661" s="128" t="str">
        <f t="shared" si="1207"/>
        <v>Y</v>
      </c>
      <c r="BR1661" s="129" t="s">
        <v>574</v>
      </c>
      <c r="BS1661" s="129" t="str">
        <f t="shared" si="1209"/>
        <v>DISPOSED</v>
      </c>
      <c r="BT1661" s="129" t="str">
        <f t="shared" si="1210"/>
        <v>Y</v>
      </c>
      <c r="BU1661" s="109">
        <f>IFERROR(Q1661/R1661,BR1661)</f>
        <v>3.9318479685452159E-3</v>
      </c>
      <c r="BV1661" s="139">
        <v>3.8999999999999998E-3</v>
      </c>
      <c r="BW1661" s="109">
        <v>0</v>
      </c>
      <c r="BX1661" s="111">
        <f t="shared" si="1213"/>
        <v>0</v>
      </c>
      <c r="BY1661" s="129">
        <f t="shared" si="1214"/>
        <v>759</v>
      </c>
      <c r="BZ1661" s="111">
        <f t="shared" si="1215"/>
        <v>762</v>
      </c>
      <c r="CA1661" s="138">
        <f t="shared" si="1216"/>
        <v>3</v>
      </c>
      <c r="CB1661" s="111" t="e">
        <f>IF(AF1661&gt;1/1/1900,((AF1661+1)-AE1661),"STILL OPEN")</f>
        <v>#VALUE!</v>
      </c>
      <c r="CC1661" s="129">
        <v>3</v>
      </c>
      <c r="CG1661" s="129" t="str">
        <f t="shared" si="1217"/>
        <v>Y</v>
      </c>
      <c r="CH1661" s="129" t="e">
        <v>#N/A</v>
      </c>
      <c r="CI1661" s="129" t="str">
        <f t="shared" si="1218"/>
        <v>0-10 DAYS</v>
      </c>
      <c r="CJ1661" s="137">
        <f t="shared" si="1219"/>
        <v>1</v>
      </c>
      <c r="CK1661" s="129" t="str">
        <f t="shared" si="1220"/>
        <v>Booked</v>
      </c>
    </row>
    <row r="1662" spans="1:89" ht="15.75" customHeight="1" x14ac:dyDescent="0.25">
      <c r="A1662" s="111">
        <v>1833</v>
      </c>
      <c r="B1662" s="128" t="str">
        <f t="shared" si="1201"/>
        <v>N</v>
      </c>
      <c r="C1662" s="128" t="str">
        <f t="shared" si="1202"/>
        <v>N</v>
      </c>
      <c r="D1662" s="117">
        <v>2196936</v>
      </c>
      <c r="E1662" s="135">
        <f t="shared" si="1203"/>
        <v>5</v>
      </c>
      <c r="F1662" s="124">
        <v>40976</v>
      </c>
      <c r="G1662" s="125">
        <v>41080</v>
      </c>
      <c r="H1662" s="117">
        <v>2196936</v>
      </c>
      <c r="I1662" s="124">
        <v>40977</v>
      </c>
      <c r="J1662" s="124">
        <v>41080</v>
      </c>
      <c r="K1662" s="126">
        <v>15000</v>
      </c>
      <c r="L1662" s="127" t="s">
        <v>571</v>
      </c>
      <c r="N1662" s="129" t="str">
        <f t="shared" ref="N1662:N1667" si="1244">IF(M1662&gt;1/1/1,"Y","N")</f>
        <v>N</v>
      </c>
      <c r="O1662" s="128" t="s">
        <v>917</v>
      </c>
      <c r="P1662" s="129" t="s">
        <v>39</v>
      </c>
      <c r="Q1662" s="111">
        <f t="shared" ref="Q1662:Q1678" si="1245">BF1662</f>
        <v>104</v>
      </c>
      <c r="R1662" s="111">
        <f t="shared" si="1228"/>
        <v>105</v>
      </c>
      <c r="S1662" s="129">
        <v>0</v>
      </c>
      <c r="T1662" s="129">
        <v>2</v>
      </c>
      <c r="W1662" s="111"/>
      <c r="AC1662" s="130"/>
      <c r="AD1662" s="130">
        <v>22857</v>
      </c>
      <c r="AE1662" s="128" t="s">
        <v>32</v>
      </c>
      <c r="AF1662" s="128" t="s">
        <v>40</v>
      </c>
      <c r="AG1662" s="128" t="s">
        <v>41</v>
      </c>
      <c r="AH1662" s="108" t="s">
        <v>41</v>
      </c>
      <c r="AI1662" s="128" t="s">
        <v>90</v>
      </c>
      <c r="AJ1662" s="129" t="s">
        <v>89</v>
      </c>
      <c r="AK1662" s="129">
        <v>4</v>
      </c>
      <c r="AL1662" s="3" t="s">
        <v>992</v>
      </c>
      <c r="AN1662" s="117">
        <v>8</v>
      </c>
      <c r="AP1662" s="129" t="s">
        <v>43</v>
      </c>
      <c r="AR1662" s="128" t="s">
        <v>44</v>
      </c>
      <c r="AS1662" s="129" t="s">
        <v>45</v>
      </c>
      <c r="BC1662" s="129" t="s">
        <v>52</v>
      </c>
      <c r="BF1662" s="111">
        <f t="shared" ref="BF1662:BF1681" si="1246">IF(J1662&gt;1/1/1900,((J1662+1)-I1662),"STILL OPEN")</f>
        <v>104</v>
      </c>
      <c r="BG1662" s="111">
        <f t="shared" si="1243"/>
        <v>104</v>
      </c>
      <c r="BH1662" s="111">
        <f t="shared" si="1198"/>
        <v>105</v>
      </c>
      <c r="BI1662" s="111">
        <f t="shared" si="1199"/>
        <v>49.505464480874316</v>
      </c>
      <c r="BJ1662" s="129">
        <f t="shared" si="1204"/>
        <v>0</v>
      </c>
      <c r="BK1662" s="129">
        <f t="shared" si="1200"/>
        <v>0</v>
      </c>
      <c r="BL1662" s="129" t="str">
        <f t="shared" si="1230"/>
        <v>CONVICTION</v>
      </c>
      <c r="BM1662" s="129" t="str">
        <f t="shared" si="1205"/>
        <v>NONE</v>
      </c>
      <c r="BN1662" s="129" t="s">
        <v>566</v>
      </c>
      <c r="BP1662" s="137" t="str">
        <f t="shared" si="1206"/>
        <v>CONVICTION</v>
      </c>
      <c r="BQ1662" s="128" t="str">
        <f t="shared" si="1207"/>
        <v>Y</v>
      </c>
      <c r="BR1662" s="129" t="str">
        <f t="shared" si="1208"/>
        <v>DETAINED</v>
      </c>
      <c r="BS1662" s="129" t="str">
        <f t="shared" si="1209"/>
        <v>DISPOSED</v>
      </c>
      <c r="BT1662" s="129" t="str">
        <f t="shared" si="1210"/>
        <v>N</v>
      </c>
      <c r="BU1662" s="109">
        <f t="shared" si="1211"/>
        <v>0.99047619047619051</v>
      </c>
      <c r="BV1662" s="109">
        <f t="shared" si="1212"/>
        <v>1</v>
      </c>
      <c r="BW1662" s="109">
        <f t="shared" ref="BW1662:BW1725" si="1247">BV1662-BU1662</f>
        <v>9.52380952380949E-3</v>
      </c>
      <c r="BX1662" s="111">
        <f t="shared" si="1213"/>
        <v>0</v>
      </c>
      <c r="BY1662" s="129">
        <f t="shared" si="1214"/>
        <v>-104</v>
      </c>
      <c r="BZ1662" s="111">
        <f t="shared" si="1215"/>
        <v>0</v>
      </c>
      <c r="CA1662" s="138">
        <f t="shared" si="1216"/>
        <v>104</v>
      </c>
      <c r="CB1662" s="111" t="e">
        <f t="shared" ref="CB1662:CB1681" si="1248">IF(AF1662&gt;1/1/1900,((AF1662+1)-AE1662),"STILL OPEN")</f>
        <v>#VALUE!</v>
      </c>
      <c r="CC1662" s="129">
        <f>G1662-I1662+1</f>
        <v>104</v>
      </c>
      <c r="CD1662" s="129">
        <f>G1662-J1662</f>
        <v>0</v>
      </c>
      <c r="CG1662" s="129" t="str">
        <f t="shared" si="1217"/>
        <v>Y</v>
      </c>
      <c r="CI1662" s="129" t="str">
        <f t="shared" si="1218"/>
        <v>91-120 DAYS</v>
      </c>
      <c r="CJ1662" s="137">
        <f t="shared" si="1219"/>
        <v>0</v>
      </c>
      <c r="CK1662" s="129" t="str">
        <f t="shared" si="1220"/>
        <v>Booked</v>
      </c>
    </row>
    <row r="1663" spans="1:89" ht="15.75" customHeight="1" x14ac:dyDescent="0.25">
      <c r="A1663" s="111">
        <v>2845</v>
      </c>
      <c r="B1663" s="128" t="str">
        <f t="shared" si="1201"/>
        <v>N</v>
      </c>
      <c r="C1663" s="128" t="str">
        <f t="shared" si="1202"/>
        <v>N</v>
      </c>
      <c r="D1663" s="117">
        <v>2197268</v>
      </c>
      <c r="E1663" s="135">
        <f t="shared" si="1203"/>
        <v>1</v>
      </c>
      <c r="F1663" s="124">
        <v>41014</v>
      </c>
      <c r="G1663" s="125">
        <v>41015</v>
      </c>
      <c r="H1663" s="117">
        <v>2197268</v>
      </c>
      <c r="I1663" s="124">
        <v>41014</v>
      </c>
      <c r="J1663" s="124">
        <v>41015</v>
      </c>
      <c r="K1663" s="126">
        <v>10000</v>
      </c>
      <c r="L1663" s="127" t="s">
        <v>570</v>
      </c>
      <c r="N1663" s="129" t="str">
        <f t="shared" si="1244"/>
        <v>N</v>
      </c>
      <c r="O1663" s="128" t="s">
        <v>917</v>
      </c>
      <c r="P1663" s="129" t="s">
        <v>55</v>
      </c>
      <c r="Q1663" s="111">
        <f t="shared" si="1245"/>
        <v>2</v>
      </c>
      <c r="R1663" s="111">
        <f t="shared" si="1228"/>
        <v>2</v>
      </c>
      <c r="S1663" s="129">
        <v>2</v>
      </c>
      <c r="T1663" s="129">
        <v>3</v>
      </c>
      <c r="U1663" s="129">
        <v>1</v>
      </c>
      <c r="W1663" s="111"/>
      <c r="AC1663" s="130"/>
      <c r="AD1663" s="130">
        <v>32452</v>
      </c>
      <c r="AE1663" s="128" t="s">
        <v>32</v>
      </c>
      <c r="AF1663" s="128" t="s">
        <v>33</v>
      </c>
      <c r="AG1663" s="128" t="s">
        <v>872</v>
      </c>
      <c r="AH1663" s="108" t="s">
        <v>58</v>
      </c>
      <c r="AI1663" s="128" t="s">
        <v>80</v>
      </c>
      <c r="AJ1663" s="129" t="s">
        <v>55</v>
      </c>
      <c r="AK1663" s="129">
        <v>1</v>
      </c>
      <c r="AL1663" s="3" t="s">
        <v>55</v>
      </c>
      <c r="AP1663" s="129" t="s">
        <v>136</v>
      </c>
      <c r="AR1663" s="128" t="s">
        <v>67</v>
      </c>
      <c r="AS1663" s="129" t="s">
        <v>64</v>
      </c>
      <c r="BC1663" s="129" t="s">
        <v>38</v>
      </c>
      <c r="BF1663" s="111">
        <f t="shared" si="1246"/>
        <v>2</v>
      </c>
      <c r="BG1663" s="111">
        <f t="shared" si="1243"/>
        <v>2</v>
      </c>
      <c r="BH1663" s="111">
        <f t="shared" si="1198"/>
        <v>2</v>
      </c>
      <c r="BI1663" s="111">
        <f t="shared" si="1199"/>
        <v>23.393442622950818</v>
      </c>
      <c r="BJ1663" s="129">
        <f t="shared" si="1204"/>
        <v>0</v>
      </c>
      <c r="BK1663" s="129">
        <f t="shared" si="1200"/>
        <v>0</v>
      </c>
      <c r="BL1663" s="129" t="str">
        <f t="shared" si="1230"/>
        <v>NO CONVICTION</v>
      </c>
      <c r="BM1663" s="129" t="str">
        <f t="shared" si="1205"/>
        <v>NONE</v>
      </c>
      <c r="BN1663" s="129" t="s">
        <v>566</v>
      </c>
      <c r="BP1663" s="137" t="str">
        <f t="shared" si="1206"/>
        <v>NO CONVICTION</v>
      </c>
      <c r="BQ1663" s="128" t="str">
        <f t="shared" si="1207"/>
        <v>Y</v>
      </c>
      <c r="BR1663" s="129" t="str">
        <f t="shared" si="1208"/>
        <v>DETAINED</v>
      </c>
      <c r="BS1663" s="129" t="str">
        <f t="shared" si="1209"/>
        <v>DISPOSED</v>
      </c>
      <c r="BT1663" s="129" t="str">
        <f t="shared" si="1210"/>
        <v>Y</v>
      </c>
      <c r="BU1663" s="109">
        <f>IFERROR(Q1663/R1663,BR1663)</f>
        <v>1</v>
      </c>
      <c r="BV1663" s="109">
        <f t="shared" si="1212"/>
        <v>1</v>
      </c>
      <c r="BW1663" s="109">
        <f t="shared" si="1247"/>
        <v>0</v>
      </c>
      <c r="BX1663" s="111">
        <f t="shared" si="1213"/>
        <v>0</v>
      </c>
      <c r="BY1663" s="129">
        <f t="shared" si="1214"/>
        <v>-2</v>
      </c>
      <c r="BZ1663" s="111">
        <f t="shared" si="1215"/>
        <v>0</v>
      </c>
      <c r="CA1663" s="138">
        <f t="shared" si="1216"/>
        <v>2</v>
      </c>
      <c r="CB1663" s="111" t="e">
        <f t="shared" si="1248"/>
        <v>#VALUE!</v>
      </c>
      <c r="CC1663" s="129">
        <f>G1663-I1663+1</f>
        <v>2</v>
      </c>
      <c r="CD1663" s="129">
        <f>G1663-J1663</f>
        <v>0</v>
      </c>
      <c r="CG1663" s="129" t="str">
        <f t="shared" si="1217"/>
        <v>Y</v>
      </c>
      <c r="CI1663" s="129" t="str">
        <f t="shared" si="1218"/>
        <v>0-10 DAYS</v>
      </c>
      <c r="CJ1663" s="137">
        <f t="shared" si="1219"/>
        <v>1</v>
      </c>
      <c r="CK1663" s="129" t="str">
        <f t="shared" si="1220"/>
        <v>Booked</v>
      </c>
    </row>
    <row r="1664" spans="1:89" ht="15" customHeight="1" x14ac:dyDescent="0.25">
      <c r="A1664" s="111">
        <v>2216</v>
      </c>
      <c r="B1664" s="128" t="str">
        <f t="shared" si="1201"/>
        <v>Y</v>
      </c>
      <c r="C1664" s="128" t="str">
        <f t="shared" si="1202"/>
        <v>Y</v>
      </c>
      <c r="D1664" s="117">
        <v>2199254</v>
      </c>
      <c r="E1664" s="135">
        <f t="shared" si="1203"/>
        <v>4</v>
      </c>
      <c r="F1664" s="124">
        <v>40992</v>
      </c>
      <c r="G1664" s="125">
        <v>41171</v>
      </c>
      <c r="H1664" s="117">
        <v>2199254</v>
      </c>
      <c r="I1664" s="124">
        <v>40992</v>
      </c>
      <c r="J1664" s="124">
        <v>40994</v>
      </c>
      <c r="K1664" s="126">
        <v>10000</v>
      </c>
      <c r="L1664" s="127" t="s">
        <v>570</v>
      </c>
      <c r="M1664" s="125">
        <v>40994</v>
      </c>
      <c r="N1664" s="129" t="str">
        <f t="shared" si="1244"/>
        <v>Y</v>
      </c>
      <c r="O1664" s="128" t="s">
        <v>76</v>
      </c>
      <c r="P1664" s="129" t="s">
        <v>39</v>
      </c>
      <c r="Q1664" s="111">
        <v>5</v>
      </c>
      <c r="R1664" s="111">
        <f t="shared" si="1228"/>
        <v>180</v>
      </c>
      <c r="S1664" s="129">
        <v>2</v>
      </c>
      <c r="T1664" s="129">
        <v>7</v>
      </c>
      <c r="U1664" s="129">
        <v>1</v>
      </c>
      <c r="W1664" s="111"/>
      <c r="AC1664" s="130"/>
      <c r="AD1664" s="130">
        <v>32445</v>
      </c>
      <c r="AE1664" s="128" t="s">
        <v>32</v>
      </c>
      <c r="AF1664" s="128" t="s">
        <v>33</v>
      </c>
      <c r="AG1664" s="128" t="s">
        <v>872</v>
      </c>
      <c r="AH1664" s="108" t="s">
        <v>58</v>
      </c>
      <c r="AI1664" s="128" t="s">
        <v>85</v>
      </c>
      <c r="AJ1664" s="129" t="s">
        <v>89</v>
      </c>
      <c r="AK1664" s="129">
        <v>9</v>
      </c>
      <c r="AL1664" s="3" t="s">
        <v>991</v>
      </c>
      <c r="AO1664" s="128">
        <v>250</v>
      </c>
      <c r="AP1664" s="129" t="s">
        <v>175</v>
      </c>
      <c r="AR1664" s="128" t="s">
        <v>44</v>
      </c>
      <c r="AS1664" s="129" t="s">
        <v>45</v>
      </c>
      <c r="AT1664" s="129" t="s">
        <v>417</v>
      </c>
      <c r="AU1664" s="3" t="s">
        <v>761</v>
      </c>
      <c r="AX1664" s="32" t="s">
        <v>88</v>
      </c>
      <c r="BC1664" s="129" t="s">
        <v>52</v>
      </c>
      <c r="BD1664" s="129" t="s">
        <v>1292</v>
      </c>
      <c r="BF1664" s="111">
        <v>5</v>
      </c>
      <c r="BG1664" s="111">
        <f t="shared" si="1243"/>
        <v>180</v>
      </c>
      <c r="BH1664" s="111">
        <f t="shared" si="1198"/>
        <v>180</v>
      </c>
      <c r="BI1664" s="111">
        <f t="shared" si="1199"/>
        <v>23.352459016393443</v>
      </c>
      <c r="BJ1664" s="129">
        <f>(G1664-J1664)+(M1664-G1664)</f>
        <v>0</v>
      </c>
      <c r="BK1664" s="129">
        <f t="shared" si="1200"/>
        <v>-177</v>
      </c>
      <c r="BL1664" s="129" t="str">
        <f t="shared" si="1230"/>
        <v>CONVICTION</v>
      </c>
      <c r="BM1664" s="129" t="s">
        <v>76</v>
      </c>
      <c r="BN1664" s="129" t="s">
        <v>88</v>
      </c>
      <c r="BP1664" s="137" t="str">
        <f t="shared" si="1206"/>
        <v>CONVICTION</v>
      </c>
      <c r="BQ1664" s="128" t="str">
        <f t="shared" si="1207"/>
        <v>Y</v>
      </c>
      <c r="BR1664" s="129" t="str">
        <f>IF(J1664&lt;G1664,"ON BOND",0)</f>
        <v>ON BOND</v>
      </c>
      <c r="BS1664" s="129" t="str">
        <f t="shared" si="1209"/>
        <v>DISPOSED</v>
      </c>
      <c r="BT1664" s="129" t="str">
        <f t="shared" si="1210"/>
        <v>Y</v>
      </c>
      <c r="BU1664" s="109">
        <f t="shared" si="1211"/>
        <v>2.7777777777777776E-2</v>
      </c>
      <c r="BV1664" s="109">
        <f t="shared" si="1212"/>
        <v>1.6666666666666666E-2</v>
      </c>
      <c r="BW1664" s="109">
        <f t="shared" si="1247"/>
        <v>-1.111111111111111E-2</v>
      </c>
      <c r="BX1664" s="111">
        <f t="shared" si="1213"/>
        <v>0</v>
      </c>
      <c r="BY1664" s="129">
        <f t="shared" si="1214"/>
        <v>-3</v>
      </c>
      <c r="BZ1664" s="111">
        <f t="shared" si="1215"/>
        <v>2</v>
      </c>
      <c r="CA1664" s="138">
        <f t="shared" si="1216"/>
        <v>3</v>
      </c>
      <c r="CB1664" s="111">
        <v>5</v>
      </c>
      <c r="CD1664" s="129">
        <f>G1664-J1664</f>
        <v>177</v>
      </c>
      <c r="CG1664" s="129" t="str">
        <f t="shared" si="1217"/>
        <v>Y</v>
      </c>
      <c r="CI1664" s="129" t="str">
        <f t="shared" si="1218"/>
        <v>0-10 DAYS</v>
      </c>
      <c r="CJ1664" s="137">
        <f t="shared" si="1219"/>
        <v>1</v>
      </c>
      <c r="CK1664" s="129" t="str">
        <f t="shared" si="1220"/>
        <v>Booked</v>
      </c>
    </row>
    <row r="1665" spans="1:89" ht="15.75" customHeight="1" x14ac:dyDescent="0.25">
      <c r="A1665" s="111">
        <v>302</v>
      </c>
      <c r="B1665" s="128" t="str">
        <f t="shared" si="1201"/>
        <v>N</v>
      </c>
      <c r="C1665" s="128" t="str">
        <f t="shared" si="1202"/>
        <v>N</v>
      </c>
      <c r="D1665" s="117">
        <v>2201253</v>
      </c>
      <c r="E1665" s="135">
        <f t="shared" si="1203"/>
        <v>6</v>
      </c>
      <c r="F1665" s="124">
        <v>40921</v>
      </c>
      <c r="G1665" s="125">
        <v>41157</v>
      </c>
      <c r="H1665" s="117">
        <v>2201253</v>
      </c>
      <c r="I1665" s="124">
        <v>40921</v>
      </c>
      <c r="J1665" s="124">
        <v>41157</v>
      </c>
      <c r="K1665" s="126">
        <v>15000</v>
      </c>
      <c r="L1665" s="127" t="s">
        <v>571</v>
      </c>
      <c r="N1665" s="129" t="str">
        <f t="shared" si="1244"/>
        <v>N</v>
      </c>
      <c r="O1665" s="128" t="s">
        <v>917</v>
      </c>
      <c r="P1665" s="129" t="s">
        <v>39</v>
      </c>
      <c r="Q1665" s="111">
        <f t="shared" si="1245"/>
        <v>237</v>
      </c>
      <c r="R1665" s="111">
        <f t="shared" si="1228"/>
        <v>237</v>
      </c>
      <c r="S1665" s="129">
        <v>6</v>
      </c>
      <c r="T1665" s="129">
        <v>3</v>
      </c>
      <c r="U1665" s="129">
        <v>5</v>
      </c>
      <c r="W1665" s="111"/>
      <c r="AC1665" s="130"/>
      <c r="AD1665" s="130">
        <v>31693</v>
      </c>
      <c r="AE1665" s="128" t="s">
        <v>32</v>
      </c>
      <c r="AF1665" s="128" t="s">
        <v>33</v>
      </c>
      <c r="AG1665" s="128" t="s">
        <v>872</v>
      </c>
      <c r="AH1665" s="108" t="s">
        <v>58</v>
      </c>
      <c r="AI1665" s="128" t="s">
        <v>95</v>
      </c>
      <c r="AJ1665" s="129" t="s">
        <v>89</v>
      </c>
      <c r="AK1665" s="129">
        <v>10</v>
      </c>
      <c r="AL1665" s="3" t="s">
        <v>362</v>
      </c>
      <c r="AM1665" s="117">
        <v>2</v>
      </c>
      <c r="AP1665" s="129" t="s">
        <v>81</v>
      </c>
      <c r="AR1665" s="128" t="s">
        <v>50</v>
      </c>
      <c r="AS1665" s="129" t="s">
        <v>82</v>
      </c>
      <c r="BC1665" s="129" t="s">
        <v>38</v>
      </c>
      <c r="BF1665" s="111">
        <f t="shared" si="1246"/>
        <v>237</v>
      </c>
      <c r="BG1665" s="111">
        <f t="shared" si="1243"/>
        <v>237</v>
      </c>
      <c r="BH1665" s="111">
        <f t="shared" ref="BH1665:BH1728" si="1249">IF(G1665&gt;1/1/1900,((G1665+1)-F1665),"STILL OPEN")</f>
        <v>237</v>
      </c>
      <c r="BI1665" s="111">
        <f t="shared" ref="BI1665:BI1728" si="1250">(F1665-AD1665)/366</f>
        <v>25.21311475409836</v>
      </c>
      <c r="BJ1665" s="129">
        <f t="shared" si="1204"/>
        <v>0</v>
      </c>
      <c r="BK1665" s="129">
        <f t="shared" ref="BK1665:BK1728" si="1251">J1665-G1665</f>
        <v>0</v>
      </c>
      <c r="BL1665" s="129" t="str">
        <f t="shared" si="1230"/>
        <v>CONVICTION</v>
      </c>
      <c r="BM1665" s="129" t="str">
        <f t="shared" si="1205"/>
        <v>NONE</v>
      </c>
      <c r="BN1665" s="129" t="s">
        <v>566</v>
      </c>
      <c r="BP1665" s="137" t="str">
        <f t="shared" si="1206"/>
        <v>CONVICTION</v>
      </c>
      <c r="BQ1665" s="128" t="str">
        <f t="shared" si="1207"/>
        <v>Y</v>
      </c>
      <c r="BR1665" s="129" t="str">
        <f t="shared" si="1208"/>
        <v>DETAINED</v>
      </c>
      <c r="BS1665" s="129" t="str">
        <f t="shared" si="1209"/>
        <v>DISPOSED</v>
      </c>
      <c r="BT1665" s="129" t="str">
        <f t="shared" si="1210"/>
        <v>Y</v>
      </c>
      <c r="BU1665" s="109">
        <f t="shared" si="1211"/>
        <v>1</v>
      </c>
      <c r="BV1665" s="109">
        <f t="shared" si="1212"/>
        <v>1</v>
      </c>
      <c r="BW1665" s="109">
        <f t="shared" si="1247"/>
        <v>0</v>
      </c>
      <c r="BX1665" s="111">
        <f t="shared" si="1213"/>
        <v>0</v>
      </c>
      <c r="BY1665" s="129">
        <f t="shared" si="1214"/>
        <v>-237</v>
      </c>
      <c r="BZ1665" s="111">
        <f t="shared" si="1215"/>
        <v>0</v>
      </c>
      <c r="CA1665" s="138">
        <f t="shared" si="1216"/>
        <v>237</v>
      </c>
      <c r="CB1665" s="111" t="e">
        <f t="shared" si="1248"/>
        <v>#VALUE!</v>
      </c>
      <c r="CC1665" s="129">
        <f>G1665-I1665+1</f>
        <v>237</v>
      </c>
      <c r="CD1665" s="129">
        <f>G1665-J1665</f>
        <v>0</v>
      </c>
      <c r="CG1665" s="129" t="str">
        <f t="shared" si="1217"/>
        <v>Y</v>
      </c>
      <c r="CI1665" s="129" t="str">
        <f t="shared" si="1218"/>
        <v>121-365 DAYS</v>
      </c>
      <c r="CJ1665" s="137">
        <f t="shared" si="1219"/>
        <v>6</v>
      </c>
      <c r="CK1665" s="129" t="str">
        <f t="shared" si="1220"/>
        <v>Booked</v>
      </c>
    </row>
    <row r="1666" spans="1:89" ht="15" customHeight="1" x14ac:dyDescent="0.25">
      <c r="A1666" s="111">
        <v>2362</v>
      </c>
      <c r="B1666" s="128" t="str">
        <f t="shared" ref="B1666:B1729" si="1252">IF(BD1666&lt;&gt;"","Y","N")</f>
        <v>N</v>
      </c>
      <c r="C1666" s="128" t="str">
        <f t="shared" ref="C1666:C1729" si="1253">IF((AND(AV1666="",AX1666="",AY1666="")),"N","Y")</f>
        <v>N</v>
      </c>
      <c r="D1666" s="117">
        <v>2202012</v>
      </c>
      <c r="E1666" s="135">
        <f t="shared" ref="E1666:E1729" si="1254">IF(OR(AL1666="ACQUITTAL",AL1666="ACQUIT",AL1666="acq insane",AL1666="DISMISSED",AL1666="NO BILL"),1,IF(AL1666="DEFERRED",2,IF(AL1666="PROBATION",3,IF(OR(AL1666="HCJ",AL1666="fine"),4,IF(AL1666="STJ",5,IF(AL1666="TDC",6,""))))))</f>
        <v>6</v>
      </c>
      <c r="F1666" s="124">
        <v>40998</v>
      </c>
      <c r="G1666" s="125">
        <v>41117</v>
      </c>
      <c r="H1666" s="117">
        <v>2202012</v>
      </c>
      <c r="I1666" s="124">
        <v>40998</v>
      </c>
      <c r="J1666" s="124">
        <v>40999</v>
      </c>
      <c r="K1666" s="126">
        <v>35000</v>
      </c>
      <c r="L1666" s="129" t="s">
        <v>572</v>
      </c>
      <c r="M1666" s="125">
        <v>40999</v>
      </c>
      <c r="N1666" s="129" t="str">
        <f t="shared" si="1244"/>
        <v>Y</v>
      </c>
      <c r="O1666" s="128" t="s">
        <v>76</v>
      </c>
      <c r="P1666" s="129" t="s">
        <v>39</v>
      </c>
      <c r="Q1666" s="111">
        <f t="shared" si="1245"/>
        <v>2</v>
      </c>
      <c r="R1666" s="111">
        <f t="shared" si="1228"/>
        <v>120</v>
      </c>
      <c r="S1666" s="129">
        <v>3</v>
      </c>
      <c r="T1666" s="129">
        <v>2</v>
      </c>
      <c r="U1666" s="129">
        <v>1</v>
      </c>
      <c r="W1666" s="111"/>
      <c r="AC1666" s="130"/>
      <c r="AD1666" s="130">
        <v>31889</v>
      </c>
      <c r="AE1666" s="128" t="s">
        <v>32</v>
      </c>
      <c r="AF1666" s="128" t="s">
        <v>33</v>
      </c>
      <c r="AG1666" s="128" t="s">
        <v>872</v>
      </c>
      <c r="AH1666" s="108" t="s">
        <v>31</v>
      </c>
      <c r="AI1666" s="128" t="s">
        <v>65</v>
      </c>
      <c r="AJ1666" s="129" t="s">
        <v>89</v>
      </c>
      <c r="AK1666" s="129">
        <v>6</v>
      </c>
      <c r="AL1666" s="3" t="s">
        <v>362</v>
      </c>
      <c r="AM1666" s="114">
        <v>14</v>
      </c>
      <c r="AN1666" s="114"/>
      <c r="AP1666" s="129" t="s">
        <v>101</v>
      </c>
      <c r="AR1666" s="128" t="s">
        <v>67</v>
      </c>
      <c r="AS1666" s="129" t="s">
        <v>64</v>
      </c>
      <c r="BC1666" s="129" t="s">
        <v>52</v>
      </c>
      <c r="BF1666" s="111">
        <f t="shared" si="1246"/>
        <v>2</v>
      </c>
      <c r="BG1666" s="111">
        <f t="shared" si="1243"/>
        <v>120</v>
      </c>
      <c r="BH1666" s="111">
        <f t="shared" si="1249"/>
        <v>120</v>
      </c>
      <c r="BI1666" s="111">
        <f t="shared" si="1250"/>
        <v>24.887978142076502</v>
      </c>
      <c r="BJ1666" s="129">
        <f>(G1666-J1666)+(M1666-G1666)</f>
        <v>0</v>
      </c>
      <c r="BK1666" s="129">
        <f t="shared" si="1251"/>
        <v>-118</v>
      </c>
      <c r="BL1666" s="129" t="str">
        <f t="shared" si="1230"/>
        <v>CONVICTION</v>
      </c>
      <c r="BM1666" s="129" t="s">
        <v>76</v>
      </c>
      <c r="BN1666" s="129" t="s">
        <v>88</v>
      </c>
      <c r="BP1666" s="137" t="str">
        <f t="shared" ref="BP1666:BP1729" si="1255">IF(OR(AJ1666="AQUITTAL",AJ1666="DISMISSED",AJ1666="FINE",AJ1666="NO BILL"),"NO CONVICTION",IF(OR(AJ1666="HCJ",AJ1666="MHH",AJ1666="PROBATION",AJ1666="STJ",AJ1666="TDC",AJ1666="CONVICTED"),"CONVICTION",IF(AJ1666="DEFERRED","DEFERRED","")))</f>
        <v>CONVICTION</v>
      </c>
      <c r="BQ1666" s="128" t="str">
        <f t="shared" ref="BQ1666:BQ1729" si="1256">IF(BF1666&gt;0,"Y",BF1666)</f>
        <v>Y</v>
      </c>
      <c r="BR1666" s="129" t="str">
        <f>IF(J1666&lt;G1666,"ON BOND",0)</f>
        <v>ON BOND</v>
      </c>
      <c r="BS1666" s="129" t="str">
        <f t="shared" ref="BS1666:BS1729" si="1257">IF(G1666&lt;&gt;"","DISPOSED","")</f>
        <v>DISPOSED</v>
      </c>
      <c r="BT1666" s="129" t="str">
        <f t="shared" ref="BT1666:BT1729" si="1258">IF(S1666&gt;0,"Y","N")</f>
        <v>Y</v>
      </c>
      <c r="BU1666" s="109">
        <f t="shared" ref="BU1666:BU1729" si="1259">Q1666/R1666</f>
        <v>1.6666666666666666E-2</v>
      </c>
      <c r="BV1666" s="109">
        <f t="shared" ref="BV1666:BV1729" si="1260">IF(I1666&gt;F1666,((J1666-I1666+1)/(G1666-I1666+1)),(J1666-I1666+1)/(G1666-F1666+1))</f>
        <v>1.6666666666666666E-2</v>
      </c>
      <c r="BW1666" s="109">
        <f t="shared" si="1247"/>
        <v>0</v>
      </c>
      <c r="BX1666" s="111">
        <f t="shared" ref="BX1666:BX1729" si="1261">+Q1666-BF1666</f>
        <v>0</v>
      </c>
      <c r="BY1666" s="129">
        <f t="shared" ref="BY1666:BY1729" si="1262">I1666-J1666-1</f>
        <v>-2</v>
      </c>
      <c r="BZ1666" s="111">
        <f t="shared" ref="BZ1666:BZ1729" si="1263">BY1666+BF1666</f>
        <v>0</v>
      </c>
      <c r="CA1666" s="138">
        <f t="shared" ref="CA1666:CA1729" si="1264">IF(AND(BS1666="DISPOSED",BR1666="DETAINED"),G1666-I1666+1,IF(AND(BS1666="DISPOSED",BR1666="ON BOND"),M1666-I1666+1,IF(AND(BS1666="STILL OPEN","STILL OPEN"),"NOT BOOKED")))</f>
        <v>2</v>
      </c>
      <c r="CB1666" s="111" t="e">
        <f t="shared" si="1248"/>
        <v>#VALUE!</v>
      </c>
      <c r="CC1666" s="129">
        <f>M1666-I1666+1</f>
        <v>2</v>
      </c>
      <c r="CD1666" s="111">
        <f>CC1666-BF1666</f>
        <v>0</v>
      </c>
      <c r="CG1666" s="129" t="str">
        <f t="shared" ref="CG1666:CG1729" si="1265">IF((S1666+T1666+U1666)&gt;0,"Y","N")</f>
        <v>Y</v>
      </c>
      <c r="CI1666" s="129" t="str">
        <f t="shared" si="1218"/>
        <v>0-10 DAYS</v>
      </c>
      <c r="CJ1666" s="137">
        <f t="shared" si="1219"/>
        <v>1</v>
      </c>
      <c r="CK1666" s="129" t="str">
        <f t="shared" si="1220"/>
        <v>Booked</v>
      </c>
    </row>
    <row r="1667" spans="1:89" ht="15.75" customHeight="1" x14ac:dyDescent="0.25">
      <c r="A1667" s="111">
        <v>3181</v>
      </c>
      <c r="B1667" s="128" t="str">
        <f t="shared" si="1252"/>
        <v>N</v>
      </c>
      <c r="C1667" s="128" t="str">
        <f t="shared" si="1253"/>
        <v>N</v>
      </c>
      <c r="D1667" s="117">
        <v>2202113</v>
      </c>
      <c r="E1667" s="135">
        <f t="shared" si="1254"/>
        <v>2</v>
      </c>
      <c r="F1667" s="124">
        <v>41026</v>
      </c>
      <c r="G1667" s="125">
        <v>41061</v>
      </c>
      <c r="H1667" s="117">
        <v>2202113</v>
      </c>
      <c r="I1667" s="124">
        <v>41026</v>
      </c>
      <c r="J1667" s="124">
        <v>41061</v>
      </c>
      <c r="K1667" s="126">
        <v>5000</v>
      </c>
      <c r="L1667" s="127" t="s">
        <v>569</v>
      </c>
      <c r="N1667" s="129" t="str">
        <f t="shared" si="1244"/>
        <v>N</v>
      </c>
      <c r="O1667" s="128" t="s">
        <v>917</v>
      </c>
      <c r="P1667" s="129" t="s">
        <v>77</v>
      </c>
      <c r="Q1667" s="111">
        <f t="shared" si="1245"/>
        <v>36</v>
      </c>
      <c r="R1667" s="111">
        <f t="shared" si="1228"/>
        <v>36</v>
      </c>
      <c r="S1667" s="129">
        <v>0</v>
      </c>
      <c r="T1667" s="129">
        <v>4</v>
      </c>
      <c r="W1667" s="111"/>
      <c r="AC1667" s="130"/>
      <c r="AD1667" s="130">
        <v>29109</v>
      </c>
      <c r="AE1667" s="128" t="s">
        <v>32</v>
      </c>
      <c r="AF1667" s="128" t="s">
        <v>69</v>
      </c>
      <c r="AG1667" s="128" t="s">
        <v>874</v>
      </c>
      <c r="AH1667" s="108" t="s">
        <v>31</v>
      </c>
      <c r="AI1667" s="128" t="s">
        <v>95</v>
      </c>
      <c r="AJ1667" s="129" t="s">
        <v>48</v>
      </c>
      <c r="AK1667" s="129">
        <v>3</v>
      </c>
      <c r="AL1667" s="3" t="s">
        <v>48</v>
      </c>
      <c r="AP1667" s="129" t="s">
        <v>96</v>
      </c>
      <c r="AR1667" s="128" t="s">
        <v>67</v>
      </c>
      <c r="AS1667" s="129" t="s">
        <v>64</v>
      </c>
      <c r="BC1667" s="129" t="s">
        <v>38</v>
      </c>
      <c r="BF1667" s="111">
        <f t="shared" si="1246"/>
        <v>36</v>
      </c>
      <c r="BG1667" s="111">
        <f t="shared" si="1243"/>
        <v>36</v>
      </c>
      <c r="BH1667" s="111">
        <f t="shared" si="1249"/>
        <v>36</v>
      </c>
      <c r="BI1667" s="111">
        <f t="shared" si="1250"/>
        <v>32.560109289617486</v>
      </c>
      <c r="BJ1667" s="129">
        <f t="shared" ref="BJ1667:BJ1729" si="1266">G1667-J1667-M1667</f>
        <v>0</v>
      </c>
      <c r="BK1667" s="129">
        <f t="shared" si="1251"/>
        <v>0</v>
      </c>
      <c r="BL1667" s="129" t="str">
        <f t="shared" si="1230"/>
        <v>DEFERRED</v>
      </c>
      <c r="BM1667" s="129" t="str">
        <f t="shared" ref="BM1667:BM1729" si="1267">O1667</f>
        <v>NONE</v>
      </c>
      <c r="BN1667" s="129" t="s">
        <v>566</v>
      </c>
      <c r="BP1667" s="137" t="str">
        <f t="shared" si="1255"/>
        <v>DEFERRED</v>
      </c>
      <c r="BQ1667" s="128" t="str">
        <f t="shared" si="1256"/>
        <v>Y</v>
      </c>
      <c r="BR1667" s="129" t="str">
        <f t="shared" ref="BR1667:BR1729" si="1268">IF(AND(J1667="NOT BOOKED",M1667&gt;1/1/1),"BONDED - BEFORE BOOKED",IF(BG1667="STILL OPEN","STILL OPEN",IF(N1667="Y","ON BOND",IF(J1667&gt;=G1667,"DETAINED","RELEASED"))))</f>
        <v>DETAINED</v>
      </c>
      <c r="BS1667" s="129" t="str">
        <f t="shared" si="1257"/>
        <v>DISPOSED</v>
      </c>
      <c r="BT1667" s="129" t="str">
        <f t="shared" si="1258"/>
        <v>N</v>
      </c>
      <c r="BU1667" s="109">
        <f t="shared" si="1259"/>
        <v>1</v>
      </c>
      <c r="BV1667" s="109">
        <f t="shared" si="1260"/>
        <v>1</v>
      </c>
      <c r="BW1667" s="109">
        <f t="shared" si="1247"/>
        <v>0</v>
      </c>
      <c r="BX1667" s="111">
        <f t="shared" si="1261"/>
        <v>0</v>
      </c>
      <c r="BY1667" s="129">
        <f t="shared" si="1262"/>
        <v>-36</v>
      </c>
      <c r="BZ1667" s="111">
        <f t="shared" si="1263"/>
        <v>0</v>
      </c>
      <c r="CA1667" s="138">
        <f t="shared" si="1264"/>
        <v>36</v>
      </c>
      <c r="CB1667" s="111" t="e">
        <f t="shared" si="1248"/>
        <v>#VALUE!</v>
      </c>
      <c r="CC1667" s="129">
        <f>G1667-I1667+1</f>
        <v>36</v>
      </c>
      <c r="CD1667" s="129">
        <f>G1667-J1667</f>
        <v>0</v>
      </c>
      <c r="CG1667" s="129" t="str">
        <f t="shared" si="1265"/>
        <v>Y</v>
      </c>
      <c r="CI1667" s="129" t="str">
        <f t="shared" ref="CI1667:CI1730" si="1269">IF(BF1667&lt;11,"0-10 DAYS",IF(AND(BF1667&gt;10,BF1667&lt;31),"11-30 DAYS",IF((AND(BF1667&gt;30,BF1667&lt;61)),"31-60 DAYS",IF(AND(BF1667&gt;60,BF1667&lt;91),"61-90 DAYS",IF(AND(BF1667&gt;90,BF1667&lt;121),"91-120 DAYS",IF(AND(BF1667&gt;120,BF1667&lt;366),"121-365 DAYS",IF(AND(BF1667&gt;365,BF1667&lt;730)," &gt;1YRS&lt;2YRS",IF(AND(BF1667&gt;729,BF1667&lt;1095),"&gt;2YRS&lt;3YRS",IF(BF1667&gt;1094,"&gt;3YRS")))))))))</f>
        <v>31-60 DAYS</v>
      </c>
      <c r="CJ1667" s="137">
        <f t="shared" ref="CJ1667:CJ1730" si="1270">IF(CI1667="0-10 DAYS",1,IF(CI1667="11-30 DAYS",2,IF(CI1667="31-60 DAYS",3,IF(CI1667="61-90 DAYS",4,IF(CK1667="91-120 DAYS",5,IF(CI1667="121-365 DAYS",6,IF(CI1667="&gt;1YRS&lt;2YRS",7,IF(CI1667="&gt;2YRS&lt;3YRS",8,IF(CI1667="&gt;3YRS",9,0)))))))))</f>
        <v>3</v>
      </c>
      <c r="CK1667" s="129" t="str">
        <f t="shared" ref="CK1667:CK1730" si="1271">IF(I1667="Not Booked","Not Booked","Booked")</f>
        <v>Booked</v>
      </c>
    </row>
    <row r="1668" spans="1:89" ht="15.75" customHeight="1" x14ac:dyDescent="0.25">
      <c r="A1668" s="111">
        <v>3141</v>
      </c>
      <c r="B1668" s="128" t="str">
        <f t="shared" si="1252"/>
        <v>N</v>
      </c>
      <c r="C1668" s="128" t="str">
        <f t="shared" si="1253"/>
        <v>N</v>
      </c>
      <c r="D1668" s="117">
        <v>2202135</v>
      </c>
      <c r="E1668" s="135">
        <f t="shared" si="1254"/>
        <v>6</v>
      </c>
      <c r="F1668" s="124">
        <v>41024</v>
      </c>
      <c r="G1668" s="125">
        <v>41085</v>
      </c>
      <c r="H1668" s="117">
        <v>2202135</v>
      </c>
      <c r="I1668" s="124">
        <v>41025</v>
      </c>
      <c r="J1668" s="124">
        <v>41085</v>
      </c>
      <c r="K1668" s="126" t="s">
        <v>564</v>
      </c>
      <c r="L1668" s="127" t="s">
        <v>564</v>
      </c>
      <c r="N1668" s="129" t="s">
        <v>566</v>
      </c>
      <c r="O1668" s="128" t="s">
        <v>917</v>
      </c>
      <c r="P1668" s="129" t="s">
        <v>39</v>
      </c>
      <c r="Q1668" s="111">
        <f t="shared" si="1245"/>
        <v>61</v>
      </c>
      <c r="R1668" s="111">
        <f t="shared" si="1228"/>
        <v>62</v>
      </c>
      <c r="S1668" s="129">
        <v>3</v>
      </c>
      <c r="T1668" s="129">
        <v>5</v>
      </c>
      <c r="U1668" s="129">
        <v>2</v>
      </c>
      <c r="W1668" s="111"/>
      <c r="AC1668" s="130"/>
      <c r="AD1668" s="130">
        <v>28991</v>
      </c>
      <c r="AE1668" s="128" t="s">
        <v>32</v>
      </c>
      <c r="AF1668" s="128" t="s">
        <v>33</v>
      </c>
      <c r="AG1668" s="128" t="s">
        <v>872</v>
      </c>
      <c r="AH1668" s="108" t="s">
        <v>58</v>
      </c>
      <c r="AI1668" s="128" t="s">
        <v>62</v>
      </c>
      <c r="AJ1668" s="129" t="s">
        <v>89</v>
      </c>
      <c r="AK1668" s="129">
        <v>4</v>
      </c>
      <c r="AL1668" s="3" t="s">
        <v>362</v>
      </c>
      <c r="AM1668" s="117">
        <v>5</v>
      </c>
      <c r="AP1668" s="129" t="s">
        <v>49</v>
      </c>
      <c r="AR1668" s="128" t="s">
        <v>50</v>
      </c>
      <c r="AS1668" s="129" t="s">
        <v>45</v>
      </c>
      <c r="BC1668" s="129" t="s">
        <v>99</v>
      </c>
      <c r="BF1668" s="111">
        <f t="shared" si="1246"/>
        <v>61</v>
      </c>
      <c r="BG1668" s="111">
        <f t="shared" si="1243"/>
        <v>61</v>
      </c>
      <c r="BH1668" s="111">
        <f t="shared" si="1249"/>
        <v>62</v>
      </c>
      <c r="BI1668" s="111">
        <f t="shared" si="1250"/>
        <v>32.877049180327866</v>
      </c>
      <c r="BJ1668" s="129">
        <f t="shared" si="1266"/>
        <v>0</v>
      </c>
      <c r="BK1668" s="129">
        <f t="shared" si="1251"/>
        <v>0</v>
      </c>
      <c r="BL1668" s="129" t="str">
        <f t="shared" si="1230"/>
        <v>CONVICTION</v>
      </c>
      <c r="BM1668" s="129" t="str">
        <f t="shared" si="1267"/>
        <v>NONE</v>
      </c>
      <c r="BN1668" s="129" t="s">
        <v>566</v>
      </c>
      <c r="BP1668" s="137" t="str">
        <f t="shared" si="1255"/>
        <v>CONVICTION</v>
      </c>
      <c r="BQ1668" s="128" t="str">
        <f t="shared" si="1256"/>
        <v>Y</v>
      </c>
      <c r="BR1668" s="129" t="str">
        <f t="shared" si="1268"/>
        <v>DETAINED</v>
      </c>
      <c r="BS1668" s="129" t="str">
        <f t="shared" si="1257"/>
        <v>DISPOSED</v>
      </c>
      <c r="BT1668" s="129" t="str">
        <f t="shared" si="1258"/>
        <v>Y</v>
      </c>
      <c r="BU1668" s="109">
        <f t="shared" si="1259"/>
        <v>0.9838709677419355</v>
      </c>
      <c r="BV1668" s="109">
        <f t="shared" si="1260"/>
        <v>1</v>
      </c>
      <c r="BW1668" s="109">
        <f t="shared" si="1247"/>
        <v>1.6129032258064502E-2</v>
      </c>
      <c r="BX1668" s="111">
        <f t="shared" si="1261"/>
        <v>0</v>
      </c>
      <c r="BY1668" s="129">
        <f t="shared" si="1262"/>
        <v>-61</v>
      </c>
      <c r="BZ1668" s="111">
        <f t="shared" si="1263"/>
        <v>0</v>
      </c>
      <c r="CA1668" s="138">
        <f t="shared" si="1264"/>
        <v>61</v>
      </c>
      <c r="CB1668" s="111" t="e">
        <f t="shared" si="1248"/>
        <v>#VALUE!</v>
      </c>
      <c r="CC1668" s="129">
        <f>G1668-I1668+1</f>
        <v>61</v>
      </c>
      <c r="CD1668" s="129">
        <f>G1668-J1668</f>
        <v>0</v>
      </c>
      <c r="CG1668" s="129" t="str">
        <f t="shared" si="1265"/>
        <v>Y</v>
      </c>
      <c r="CI1668" s="129" t="str">
        <f t="shared" si="1269"/>
        <v>61-90 DAYS</v>
      </c>
      <c r="CJ1668" s="137">
        <f t="shared" si="1270"/>
        <v>4</v>
      </c>
      <c r="CK1668" s="129" t="str">
        <f t="shared" si="1271"/>
        <v>Booked</v>
      </c>
    </row>
    <row r="1669" spans="1:89" ht="15.75" customHeight="1" x14ac:dyDescent="0.25">
      <c r="A1669" s="111">
        <v>2235</v>
      </c>
      <c r="B1669" s="128" t="str">
        <f t="shared" si="1252"/>
        <v>N</v>
      </c>
      <c r="C1669" s="128" t="str">
        <f t="shared" si="1253"/>
        <v>N</v>
      </c>
      <c r="D1669" s="117">
        <v>2202580</v>
      </c>
      <c r="E1669" s="135">
        <f t="shared" si="1254"/>
        <v>5</v>
      </c>
      <c r="F1669" s="124">
        <v>40993</v>
      </c>
      <c r="G1669" s="125">
        <v>41276</v>
      </c>
      <c r="H1669" s="117">
        <v>2202580</v>
      </c>
      <c r="I1669" s="124">
        <v>40993</v>
      </c>
      <c r="J1669" s="124">
        <v>40994</v>
      </c>
      <c r="K1669" s="126">
        <v>5000</v>
      </c>
      <c r="L1669" s="127" t="s">
        <v>569</v>
      </c>
      <c r="M1669" s="125">
        <v>40994</v>
      </c>
      <c r="N1669" s="129" t="str">
        <f t="shared" ref="N1669:N1685" si="1272">IF(M1669&gt;1/1/1,"Y","N")</f>
        <v>Y</v>
      </c>
      <c r="O1669" s="128" t="s">
        <v>76</v>
      </c>
      <c r="P1669" s="129" t="s">
        <v>39</v>
      </c>
      <c r="Q1669" s="111">
        <f t="shared" si="1245"/>
        <v>2</v>
      </c>
      <c r="R1669" s="111">
        <f t="shared" si="1228"/>
        <v>284</v>
      </c>
      <c r="S1669" s="129">
        <v>1</v>
      </c>
      <c r="T1669" s="129">
        <v>1</v>
      </c>
      <c r="V1669" s="117">
        <v>1</v>
      </c>
      <c r="W1669" s="111"/>
      <c r="AC1669" s="130"/>
      <c r="AD1669" s="130">
        <v>32208</v>
      </c>
      <c r="AE1669" s="128" t="s">
        <v>32</v>
      </c>
      <c r="AF1669" s="128" t="s">
        <v>40</v>
      </c>
      <c r="AG1669" s="128" t="s">
        <v>41</v>
      </c>
      <c r="AH1669" s="108" t="s">
        <v>41</v>
      </c>
      <c r="AI1669" s="128" t="s">
        <v>141</v>
      </c>
      <c r="AJ1669" s="129" t="s">
        <v>89</v>
      </c>
      <c r="AK1669" s="129">
        <v>12</v>
      </c>
      <c r="AL1669" s="3" t="s">
        <v>992</v>
      </c>
      <c r="AN1669" s="117">
        <v>6</v>
      </c>
      <c r="AP1669" s="129" t="s">
        <v>93</v>
      </c>
      <c r="AR1669" s="128" t="s">
        <v>67</v>
      </c>
      <c r="AS1669" s="129" t="s">
        <v>45</v>
      </c>
      <c r="BC1669" s="129" t="s">
        <v>38</v>
      </c>
      <c r="BF1669" s="111">
        <f t="shared" si="1246"/>
        <v>2</v>
      </c>
      <c r="BG1669" s="111">
        <f t="shared" si="1243"/>
        <v>284</v>
      </c>
      <c r="BH1669" s="111">
        <f t="shared" si="1249"/>
        <v>284</v>
      </c>
      <c r="BI1669" s="111">
        <f t="shared" si="1250"/>
        <v>24.002732240437158</v>
      </c>
      <c r="BJ1669" s="129">
        <f>(G1669-J1669)+(M1669-G1669)</f>
        <v>0</v>
      </c>
      <c r="BK1669" s="129">
        <f t="shared" si="1251"/>
        <v>-282</v>
      </c>
      <c r="BL1669" s="129" t="str">
        <f t="shared" si="1230"/>
        <v>CONVICTION</v>
      </c>
      <c r="BM1669" s="129" t="s">
        <v>76</v>
      </c>
      <c r="BN1669" s="129" t="s">
        <v>88</v>
      </c>
      <c r="BP1669" s="137" t="str">
        <f t="shared" si="1255"/>
        <v>CONVICTION</v>
      </c>
      <c r="BQ1669" s="128" t="str">
        <f t="shared" si="1256"/>
        <v>Y</v>
      </c>
      <c r="BR1669" s="129" t="str">
        <f>IF(J1669&lt;G1669,"ON BOND",0)</f>
        <v>ON BOND</v>
      </c>
      <c r="BS1669" s="129" t="str">
        <f t="shared" si="1257"/>
        <v>DISPOSED</v>
      </c>
      <c r="BT1669" s="129" t="str">
        <f t="shared" si="1258"/>
        <v>Y</v>
      </c>
      <c r="BU1669" s="109">
        <f t="shared" si="1259"/>
        <v>7.0422535211267607E-3</v>
      </c>
      <c r="BV1669" s="109">
        <f t="shared" si="1260"/>
        <v>7.0422535211267607E-3</v>
      </c>
      <c r="BW1669" s="109">
        <f t="shared" si="1247"/>
        <v>0</v>
      </c>
      <c r="BX1669" s="111">
        <f t="shared" si="1261"/>
        <v>0</v>
      </c>
      <c r="BY1669" s="129">
        <f t="shared" si="1262"/>
        <v>-2</v>
      </c>
      <c r="BZ1669" s="111">
        <f t="shared" si="1263"/>
        <v>0</v>
      </c>
      <c r="CA1669" s="138">
        <f t="shared" si="1264"/>
        <v>2</v>
      </c>
      <c r="CB1669" s="111" t="e">
        <f t="shared" si="1248"/>
        <v>#VALUE!</v>
      </c>
      <c r="CC1669" s="129">
        <f>M1669-I1669+1</f>
        <v>2</v>
      </c>
      <c r="CD1669" s="111">
        <f>CC1669-BF1669</f>
        <v>0</v>
      </c>
      <c r="CG1669" s="129" t="str">
        <f t="shared" si="1265"/>
        <v>Y</v>
      </c>
      <c r="CI1669" s="129" t="str">
        <f t="shared" si="1269"/>
        <v>0-10 DAYS</v>
      </c>
      <c r="CJ1669" s="137">
        <f t="shared" si="1270"/>
        <v>1</v>
      </c>
      <c r="CK1669" s="129" t="str">
        <f t="shared" si="1271"/>
        <v>Booked</v>
      </c>
    </row>
    <row r="1670" spans="1:89" ht="15.75" customHeight="1" x14ac:dyDescent="0.25">
      <c r="A1670" s="111">
        <v>2665</v>
      </c>
      <c r="B1670" s="128" t="str">
        <f t="shared" si="1252"/>
        <v>N</v>
      </c>
      <c r="C1670" s="128" t="str">
        <f t="shared" si="1253"/>
        <v>N</v>
      </c>
      <c r="D1670" s="117">
        <v>2202589</v>
      </c>
      <c r="E1670" s="135">
        <f t="shared" si="1254"/>
        <v>1</v>
      </c>
      <c r="F1670" s="124">
        <v>41008</v>
      </c>
      <c r="G1670" s="125">
        <v>41277</v>
      </c>
      <c r="H1670" s="117">
        <v>2202589</v>
      </c>
      <c r="I1670" s="124">
        <v>41008</v>
      </c>
      <c r="J1670" s="124">
        <v>41009</v>
      </c>
      <c r="K1670" s="126">
        <v>10000</v>
      </c>
      <c r="L1670" s="127" t="s">
        <v>570</v>
      </c>
      <c r="M1670" s="125">
        <v>41009</v>
      </c>
      <c r="N1670" s="129" t="str">
        <f t="shared" si="1272"/>
        <v>Y</v>
      </c>
      <c r="O1670" s="128" t="s">
        <v>76</v>
      </c>
      <c r="P1670" s="129" t="s">
        <v>55</v>
      </c>
      <c r="Q1670" s="111">
        <f t="shared" si="1245"/>
        <v>2</v>
      </c>
      <c r="R1670" s="111">
        <f t="shared" si="1228"/>
        <v>270</v>
      </c>
      <c r="S1670" s="129">
        <v>3</v>
      </c>
      <c r="T1670" s="129">
        <v>0</v>
      </c>
      <c r="U1670" s="129">
        <v>2</v>
      </c>
      <c r="W1670" s="111"/>
      <c r="AC1670" s="130"/>
      <c r="AD1670" s="130">
        <v>31512</v>
      </c>
      <c r="AE1670" s="128" t="s">
        <v>32</v>
      </c>
      <c r="AF1670" s="128" t="s">
        <v>33</v>
      </c>
      <c r="AG1670" s="128" t="s">
        <v>872</v>
      </c>
      <c r="AH1670" s="108" t="s">
        <v>58</v>
      </c>
      <c r="AI1670" s="128" t="s">
        <v>34</v>
      </c>
      <c r="AJ1670" s="129" t="s">
        <v>55</v>
      </c>
      <c r="AK1670" s="129">
        <v>11</v>
      </c>
      <c r="AL1670" s="3" t="s">
        <v>55</v>
      </c>
      <c r="AP1670" s="129" t="s">
        <v>101</v>
      </c>
      <c r="AR1670" s="128" t="s">
        <v>67</v>
      </c>
      <c r="AS1670" s="129" t="s">
        <v>64</v>
      </c>
      <c r="AT1670" s="129" t="s">
        <v>657</v>
      </c>
      <c r="BC1670" s="129" t="s">
        <v>52</v>
      </c>
      <c r="BF1670" s="111">
        <f t="shared" si="1246"/>
        <v>2</v>
      </c>
      <c r="BG1670" s="111">
        <f t="shared" si="1243"/>
        <v>270</v>
      </c>
      <c r="BH1670" s="111">
        <f t="shared" si="1249"/>
        <v>270</v>
      </c>
      <c r="BI1670" s="111">
        <f t="shared" si="1250"/>
        <v>25.94535519125683</v>
      </c>
      <c r="BJ1670" s="129">
        <f>(G1670-J1670)+(M1670-G1670)</f>
        <v>0</v>
      </c>
      <c r="BK1670" s="129">
        <f t="shared" si="1251"/>
        <v>-268</v>
      </c>
      <c r="BL1670" s="129" t="str">
        <f t="shared" si="1230"/>
        <v>NO CONVICTION</v>
      </c>
      <c r="BM1670" s="129" t="s">
        <v>76</v>
      </c>
      <c r="BN1670" s="129" t="s">
        <v>88</v>
      </c>
      <c r="BP1670" s="137" t="str">
        <f t="shared" si="1255"/>
        <v>NO CONVICTION</v>
      </c>
      <c r="BQ1670" s="128" t="str">
        <f t="shared" si="1256"/>
        <v>Y</v>
      </c>
      <c r="BR1670" s="129" t="str">
        <f t="shared" si="1268"/>
        <v>ON BOND</v>
      </c>
      <c r="BS1670" s="129" t="str">
        <f t="shared" si="1257"/>
        <v>DISPOSED</v>
      </c>
      <c r="BT1670" s="129" t="str">
        <f t="shared" si="1258"/>
        <v>Y</v>
      </c>
      <c r="BU1670" s="109">
        <f>IFERROR(Q1670/R1670,BR1670)</f>
        <v>7.4074074074074077E-3</v>
      </c>
      <c r="BV1670" s="109">
        <f t="shared" si="1260"/>
        <v>7.4074074074074077E-3</v>
      </c>
      <c r="BW1670" s="109">
        <f t="shared" si="1247"/>
        <v>0</v>
      </c>
      <c r="BX1670" s="111">
        <f t="shared" si="1261"/>
        <v>0</v>
      </c>
      <c r="BY1670" s="129">
        <f t="shared" si="1262"/>
        <v>-2</v>
      </c>
      <c r="BZ1670" s="111">
        <f t="shared" si="1263"/>
        <v>0</v>
      </c>
      <c r="CA1670" s="138">
        <f t="shared" si="1264"/>
        <v>2</v>
      </c>
      <c r="CB1670" s="111" t="e">
        <f t="shared" si="1248"/>
        <v>#VALUE!</v>
      </c>
      <c r="CC1670" s="129">
        <f>M1670-I1670+1</f>
        <v>2</v>
      </c>
      <c r="CD1670" s="111">
        <f>CC1670-BF1670</f>
        <v>0</v>
      </c>
      <c r="CG1670" s="129" t="str">
        <f t="shared" si="1265"/>
        <v>Y</v>
      </c>
      <c r="CI1670" s="129" t="str">
        <f t="shared" si="1269"/>
        <v>0-10 DAYS</v>
      </c>
      <c r="CJ1670" s="137">
        <f t="shared" si="1270"/>
        <v>1</v>
      </c>
      <c r="CK1670" s="129" t="str">
        <f t="shared" si="1271"/>
        <v>Booked</v>
      </c>
    </row>
    <row r="1671" spans="1:89" ht="15.75" customHeight="1" x14ac:dyDescent="0.25">
      <c r="A1671" s="111">
        <v>550</v>
      </c>
      <c r="B1671" s="128" t="str">
        <f t="shared" si="1252"/>
        <v>N</v>
      </c>
      <c r="C1671" s="128" t="str">
        <f t="shared" si="1253"/>
        <v>N</v>
      </c>
      <c r="D1671" s="117">
        <v>2203322</v>
      </c>
      <c r="E1671" s="135">
        <f t="shared" si="1254"/>
        <v>5</v>
      </c>
      <c r="F1671" s="124">
        <v>40931</v>
      </c>
      <c r="G1671" s="125">
        <v>40932</v>
      </c>
      <c r="H1671" s="117">
        <v>2203322</v>
      </c>
      <c r="I1671" s="124">
        <v>40931</v>
      </c>
      <c r="J1671" s="124">
        <v>40932</v>
      </c>
      <c r="K1671" s="126">
        <v>5000</v>
      </c>
      <c r="L1671" s="127" t="s">
        <v>569</v>
      </c>
      <c r="N1671" s="129" t="str">
        <f t="shared" si="1272"/>
        <v>N</v>
      </c>
      <c r="O1671" s="128" t="s">
        <v>917</v>
      </c>
      <c r="P1671" s="129" t="s">
        <v>39</v>
      </c>
      <c r="Q1671" s="111">
        <f t="shared" si="1245"/>
        <v>2</v>
      </c>
      <c r="R1671" s="111">
        <f t="shared" si="1228"/>
        <v>2</v>
      </c>
      <c r="S1671" s="129">
        <v>3</v>
      </c>
      <c r="T1671" s="129">
        <v>0</v>
      </c>
      <c r="U1671" s="129">
        <v>3</v>
      </c>
      <c r="W1671" s="111"/>
      <c r="AB1671" s="131" t="s">
        <v>112</v>
      </c>
      <c r="AC1671" s="130"/>
      <c r="AD1671" s="130">
        <v>32316</v>
      </c>
      <c r="AE1671" s="128" t="s">
        <v>32</v>
      </c>
      <c r="AF1671" s="128" t="s">
        <v>40</v>
      </c>
      <c r="AG1671" s="128" t="s">
        <v>41</v>
      </c>
      <c r="AH1671" s="108" t="s">
        <v>31</v>
      </c>
      <c r="AI1671" s="128" t="s">
        <v>53</v>
      </c>
      <c r="AJ1671" s="129" t="s">
        <v>89</v>
      </c>
      <c r="AK1671" s="129">
        <v>1</v>
      </c>
      <c r="AL1671" s="3" t="s">
        <v>992</v>
      </c>
      <c r="AN1671" s="117">
        <v>6</v>
      </c>
      <c r="AP1671" s="129" t="s">
        <v>43</v>
      </c>
      <c r="AR1671" s="128" t="s">
        <v>44</v>
      </c>
      <c r="AS1671" s="129" t="s">
        <v>45</v>
      </c>
      <c r="BC1671" s="129" t="s">
        <v>38</v>
      </c>
      <c r="BF1671" s="111">
        <f t="shared" si="1246"/>
        <v>2</v>
      </c>
      <c r="BG1671" s="111">
        <f t="shared" si="1243"/>
        <v>2</v>
      </c>
      <c r="BH1671" s="111">
        <f t="shared" si="1249"/>
        <v>2</v>
      </c>
      <c r="BI1671" s="111">
        <f t="shared" si="1250"/>
        <v>23.538251366120218</v>
      </c>
      <c r="BJ1671" s="129">
        <f t="shared" si="1266"/>
        <v>0</v>
      </c>
      <c r="BK1671" s="129">
        <f t="shared" si="1251"/>
        <v>0</v>
      </c>
      <c r="BL1671" s="129" t="str">
        <f t="shared" si="1230"/>
        <v>CONVICTION</v>
      </c>
      <c r="BM1671" s="129" t="str">
        <f t="shared" si="1267"/>
        <v>NONE</v>
      </c>
      <c r="BN1671" s="129" t="s">
        <v>566</v>
      </c>
      <c r="BP1671" s="137" t="str">
        <f t="shared" si="1255"/>
        <v>CONVICTION</v>
      </c>
      <c r="BQ1671" s="128" t="str">
        <f t="shared" si="1256"/>
        <v>Y</v>
      </c>
      <c r="BR1671" s="129" t="str">
        <f t="shared" si="1268"/>
        <v>DETAINED</v>
      </c>
      <c r="BS1671" s="129" t="str">
        <f t="shared" si="1257"/>
        <v>DISPOSED</v>
      </c>
      <c r="BT1671" s="129" t="str">
        <f t="shared" si="1258"/>
        <v>Y</v>
      </c>
      <c r="BU1671" s="109">
        <f t="shared" si="1259"/>
        <v>1</v>
      </c>
      <c r="BV1671" s="109">
        <f t="shared" si="1260"/>
        <v>1</v>
      </c>
      <c r="BW1671" s="109">
        <f t="shared" si="1247"/>
        <v>0</v>
      </c>
      <c r="BX1671" s="111">
        <f t="shared" si="1261"/>
        <v>0</v>
      </c>
      <c r="BY1671" s="129">
        <f t="shared" si="1262"/>
        <v>-2</v>
      </c>
      <c r="BZ1671" s="111">
        <f t="shared" si="1263"/>
        <v>0</v>
      </c>
      <c r="CA1671" s="138">
        <f t="shared" si="1264"/>
        <v>2</v>
      </c>
      <c r="CB1671" s="111" t="e">
        <f t="shared" si="1248"/>
        <v>#VALUE!</v>
      </c>
      <c r="CC1671" s="129">
        <f>G1671-I1671+1</f>
        <v>2</v>
      </c>
      <c r="CD1671" s="129">
        <f>G1671-J1671</f>
        <v>0</v>
      </c>
      <c r="CG1671" s="129" t="str">
        <f t="shared" si="1265"/>
        <v>Y</v>
      </c>
      <c r="CI1671" s="129" t="str">
        <f t="shared" si="1269"/>
        <v>0-10 DAYS</v>
      </c>
      <c r="CJ1671" s="137">
        <f t="shared" si="1270"/>
        <v>1</v>
      </c>
      <c r="CK1671" s="129" t="str">
        <f t="shared" si="1271"/>
        <v>Booked</v>
      </c>
    </row>
    <row r="1672" spans="1:89" ht="15.75" customHeight="1" x14ac:dyDescent="0.25">
      <c r="A1672" s="111">
        <v>720</v>
      </c>
      <c r="B1672" s="128" t="str">
        <f t="shared" si="1252"/>
        <v>N</v>
      </c>
      <c r="C1672" s="128" t="str">
        <f t="shared" si="1253"/>
        <v>N</v>
      </c>
      <c r="D1672" s="117">
        <v>2204772</v>
      </c>
      <c r="E1672" s="135">
        <f t="shared" si="1254"/>
        <v>5</v>
      </c>
      <c r="F1672" s="124">
        <v>40937</v>
      </c>
      <c r="G1672" s="125">
        <v>41142</v>
      </c>
      <c r="H1672" s="117">
        <v>2204772</v>
      </c>
      <c r="I1672" s="124">
        <v>40937</v>
      </c>
      <c r="J1672" s="124">
        <v>41142</v>
      </c>
      <c r="K1672" s="126">
        <v>20000</v>
      </c>
      <c r="L1672" s="127" t="s">
        <v>571</v>
      </c>
      <c r="N1672" s="129" t="str">
        <f t="shared" si="1272"/>
        <v>N</v>
      </c>
      <c r="O1672" s="128" t="s">
        <v>917</v>
      </c>
      <c r="P1672" s="129" t="s">
        <v>39</v>
      </c>
      <c r="Q1672" s="111">
        <f t="shared" si="1245"/>
        <v>206</v>
      </c>
      <c r="R1672" s="111">
        <f t="shared" si="1228"/>
        <v>206</v>
      </c>
      <c r="S1672" s="129">
        <v>5</v>
      </c>
      <c r="T1672" s="129">
        <v>5</v>
      </c>
      <c r="U1672" s="129">
        <v>2</v>
      </c>
      <c r="W1672" s="111"/>
      <c r="AC1672" s="130"/>
      <c r="AD1672" s="130">
        <v>29006</v>
      </c>
      <c r="AE1672" s="128" t="s">
        <v>32</v>
      </c>
      <c r="AF1672" s="128" t="s">
        <v>33</v>
      </c>
      <c r="AG1672" s="128" t="s">
        <v>872</v>
      </c>
      <c r="AH1672" s="108" t="s">
        <v>58</v>
      </c>
      <c r="AI1672" s="128" t="s">
        <v>118</v>
      </c>
      <c r="AJ1672" s="129" t="s">
        <v>89</v>
      </c>
      <c r="AK1672" s="129">
        <v>7</v>
      </c>
      <c r="AL1672" s="3" t="s">
        <v>992</v>
      </c>
      <c r="AN1672" s="117">
        <v>7</v>
      </c>
      <c r="AP1672" s="129" t="s">
        <v>186</v>
      </c>
      <c r="AR1672" s="128" t="s">
        <v>50</v>
      </c>
      <c r="AS1672" s="129" t="s">
        <v>106</v>
      </c>
      <c r="BC1672" s="129" t="s">
        <v>52</v>
      </c>
      <c r="BF1672" s="111">
        <f t="shared" si="1246"/>
        <v>206</v>
      </c>
      <c r="BG1672" s="111">
        <f t="shared" si="1243"/>
        <v>206</v>
      </c>
      <c r="BH1672" s="111">
        <f t="shared" si="1249"/>
        <v>206</v>
      </c>
      <c r="BI1672" s="111">
        <f t="shared" si="1250"/>
        <v>32.598360655737707</v>
      </c>
      <c r="BJ1672" s="129">
        <f t="shared" si="1266"/>
        <v>0</v>
      </c>
      <c r="BK1672" s="129">
        <f t="shared" si="1251"/>
        <v>0</v>
      </c>
      <c r="BL1672" s="129" t="str">
        <f t="shared" si="1230"/>
        <v>CONVICTION</v>
      </c>
      <c r="BM1672" s="129" t="str">
        <f t="shared" si="1267"/>
        <v>NONE</v>
      </c>
      <c r="BN1672" s="129" t="s">
        <v>566</v>
      </c>
      <c r="BP1672" s="137" t="str">
        <f t="shared" si="1255"/>
        <v>CONVICTION</v>
      </c>
      <c r="BQ1672" s="128" t="str">
        <f t="shared" si="1256"/>
        <v>Y</v>
      </c>
      <c r="BR1672" s="129" t="str">
        <f t="shared" si="1268"/>
        <v>DETAINED</v>
      </c>
      <c r="BS1672" s="129" t="str">
        <f t="shared" si="1257"/>
        <v>DISPOSED</v>
      </c>
      <c r="BT1672" s="129" t="str">
        <f t="shared" si="1258"/>
        <v>Y</v>
      </c>
      <c r="BU1672" s="109">
        <f t="shared" si="1259"/>
        <v>1</v>
      </c>
      <c r="BV1672" s="109">
        <f t="shared" si="1260"/>
        <v>1</v>
      </c>
      <c r="BW1672" s="109">
        <f t="shared" si="1247"/>
        <v>0</v>
      </c>
      <c r="BX1672" s="111">
        <f t="shared" si="1261"/>
        <v>0</v>
      </c>
      <c r="BY1672" s="129">
        <f t="shared" si="1262"/>
        <v>-206</v>
      </c>
      <c r="BZ1672" s="111">
        <f t="shared" si="1263"/>
        <v>0</v>
      </c>
      <c r="CA1672" s="138">
        <f t="shared" si="1264"/>
        <v>206</v>
      </c>
      <c r="CB1672" s="111" t="e">
        <f t="shared" si="1248"/>
        <v>#VALUE!</v>
      </c>
      <c r="CC1672" s="129">
        <f>G1672-I1672+1</f>
        <v>206</v>
      </c>
      <c r="CD1672" s="129">
        <f>G1672-J1672</f>
        <v>0</v>
      </c>
      <c r="CG1672" s="129" t="str">
        <f t="shared" si="1265"/>
        <v>Y</v>
      </c>
      <c r="CI1672" s="129" t="str">
        <f t="shared" si="1269"/>
        <v>121-365 DAYS</v>
      </c>
      <c r="CJ1672" s="137">
        <f t="shared" si="1270"/>
        <v>6</v>
      </c>
      <c r="CK1672" s="129" t="str">
        <f t="shared" si="1271"/>
        <v>Booked</v>
      </c>
    </row>
    <row r="1673" spans="1:89" ht="15" customHeight="1" x14ac:dyDescent="0.25">
      <c r="A1673" s="111">
        <v>314</v>
      </c>
      <c r="B1673" s="128" t="str">
        <f t="shared" si="1252"/>
        <v>N</v>
      </c>
      <c r="C1673" s="128" t="str">
        <f t="shared" si="1253"/>
        <v>Y</v>
      </c>
      <c r="D1673" s="117">
        <v>2206032</v>
      </c>
      <c r="E1673" s="135">
        <f t="shared" si="1254"/>
        <v>6</v>
      </c>
      <c r="F1673" s="124">
        <v>40921</v>
      </c>
      <c r="G1673" s="125">
        <v>41184</v>
      </c>
      <c r="H1673" s="117">
        <v>2206032</v>
      </c>
      <c r="I1673" s="124">
        <v>40921</v>
      </c>
      <c r="J1673" s="124">
        <v>40922</v>
      </c>
      <c r="K1673" s="126">
        <v>30000</v>
      </c>
      <c r="L1673" s="129" t="s">
        <v>572</v>
      </c>
      <c r="M1673" s="125">
        <v>40922</v>
      </c>
      <c r="N1673" s="129" t="str">
        <f t="shared" si="1272"/>
        <v>Y</v>
      </c>
      <c r="O1673" s="128" t="s">
        <v>76</v>
      </c>
      <c r="P1673" s="129" t="s">
        <v>39</v>
      </c>
      <c r="Q1673" s="111">
        <v>165</v>
      </c>
      <c r="R1673" s="111">
        <f t="shared" si="1228"/>
        <v>264</v>
      </c>
      <c r="S1673" s="129">
        <v>3</v>
      </c>
      <c r="T1673" s="129">
        <v>1</v>
      </c>
      <c r="U1673" s="129">
        <v>2</v>
      </c>
      <c r="W1673" s="111"/>
      <c r="AC1673" s="130"/>
      <c r="AD1673" s="130">
        <v>32107</v>
      </c>
      <c r="AE1673" s="128" t="s">
        <v>32</v>
      </c>
      <c r="AF1673" s="128" t="s">
        <v>33</v>
      </c>
      <c r="AG1673" s="128" t="s">
        <v>872</v>
      </c>
      <c r="AH1673" s="108" t="s">
        <v>58</v>
      </c>
      <c r="AI1673" s="128" t="s">
        <v>95</v>
      </c>
      <c r="AJ1673" s="129" t="s">
        <v>89</v>
      </c>
      <c r="AK1673" s="129">
        <v>12</v>
      </c>
      <c r="AL1673" s="3" t="s">
        <v>362</v>
      </c>
      <c r="AM1673" s="117">
        <v>2</v>
      </c>
      <c r="AP1673" s="129" t="s">
        <v>56</v>
      </c>
      <c r="AR1673" s="128" t="s">
        <v>50</v>
      </c>
      <c r="AS1673" s="129" t="s">
        <v>57</v>
      </c>
      <c r="AU1673" s="3" t="s">
        <v>690</v>
      </c>
      <c r="AX1673" s="32" t="s">
        <v>88</v>
      </c>
      <c r="BC1673" s="129" t="s">
        <v>52</v>
      </c>
      <c r="BF1673" s="111">
        <v>165</v>
      </c>
      <c r="BG1673" s="111">
        <f t="shared" si="1243"/>
        <v>264</v>
      </c>
      <c r="BH1673" s="111">
        <f t="shared" si="1249"/>
        <v>264</v>
      </c>
      <c r="BI1673" s="111">
        <f t="shared" si="1250"/>
        <v>24.081967213114755</v>
      </c>
      <c r="BJ1673" s="129">
        <f>(G1673-J1673)+(M1673-G1673)</f>
        <v>0</v>
      </c>
      <c r="BK1673" s="129">
        <f t="shared" si="1251"/>
        <v>-262</v>
      </c>
      <c r="BL1673" s="129" t="str">
        <f t="shared" si="1230"/>
        <v>CONVICTION</v>
      </c>
      <c r="BM1673" s="129" t="s">
        <v>76</v>
      </c>
      <c r="BN1673" s="129" t="s">
        <v>88</v>
      </c>
      <c r="BP1673" s="137" t="str">
        <f t="shared" si="1255"/>
        <v>CONVICTION</v>
      </c>
      <c r="BQ1673" s="128" t="str">
        <f t="shared" si="1256"/>
        <v>Y</v>
      </c>
      <c r="BR1673" s="129" t="s">
        <v>574</v>
      </c>
      <c r="BS1673" s="129" t="str">
        <f t="shared" si="1257"/>
        <v>DISPOSED</v>
      </c>
      <c r="BT1673" s="129" t="str">
        <f t="shared" si="1258"/>
        <v>Y</v>
      </c>
      <c r="BU1673" s="109">
        <f t="shared" si="1259"/>
        <v>0.625</v>
      </c>
      <c r="BV1673" s="109">
        <f t="shared" si="1260"/>
        <v>7.575757575757576E-3</v>
      </c>
      <c r="BW1673" s="109">
        <f t="shared" si="1247"/>
        <v>-0.61742424242424243</v>
      </c>
      <c r="BX1673" s="111">
        <f t="shared" si="1261"/>
        <v>0</v>
      </c>
      <c r="BY1673" s="129">
        <f t="shared" si="1262"/>
        <v>-2</v>
      </c>
      <c r="BZ1673" s="111">
        <f t="shared" si="1263"/>
        <v>163</v>
      </c>
      <c r="CA1673" s="138">
        <f t="shared" si="1264"/>
        <v>264</v>
      </c>
      <c r="CB1673" s="111">
        <v>165</v>
      </c>
      <c r="CC1673" s="129">
        <f>G1673-I1673+1</f>
        <v>264</v>
      </c>
      <c r="CD1673" s="129">
        <f>G1673-J1673</f>
        <v>262</v>
      </c>
      <c r="CG1673" s="129" t="str">
        <f t="shared" si="1265"/>
        <v>Y</v>
      </c>
      <c r="CI1673" s="129" t="str">
        <f t="shared" si="1269"/>
        <v>121-365 DAYS</v>
      </c>
      <c r="CJ1673" s="137">
        <f t="shared" si="1270"/>
        <v>6</v>
      </c>
      <c r="CK1673" s="129" t="str">
        <f t="shared" si="1271"/>
        <v>Booked</v>
      </c>
    </row>
    <row r="1674" spans="1:89" ht="15" customHeight="1" x14ac:dyDescent="0.25">
      <c r="A1674" s="111">
        <v>3000</v>
      </c>
      <c r="B1674" s="128" t="str">
        <f t="shared" si="1252"/>
        <v>N</v>
      </c>
      <c r="C1674" s="128" t="str">
        <f t="shared" si="1253"/>
        <v>N</v>
      </c>
      <c r="D1674" s="117">
        <v>2206162</v>
      </c>
      <c r="E1674" s="135">
        <f t="shared" si="1254"/>
        <v>1</v>
      </c>
      <c r="F1674" s="124">
        <v>41019</v>
      </c>
      <c r="G1674" s="125">
        <v>41152</v>
      </c>
      <c r="H1674" s="117">
        <v>2206162</v>
      </c>
      <c r="I1674" s="124">
        <v>41019</v>
      </c>
      <c r="J1674" s="124">
        <v>41152</v>
      </c>
      <c r="K1674" s="126">
        <v>50000</v>
      </c>
      <c r="L1674" s="129" t="s">
        <v>572</v>
      </c>
      <c r="N1674" s="129" t="str">
        <f t="shared" si="1272"/>
        <v>N</v>
      </c>
      <c r="O1674" s="128" t="s">
        <v>917</v>
      </c>
      <c r="P1674" s="129" t="s">
        <v>55</v>
      </c>
      <c r="Q1674" s="111">
        <f t="shared" si="1245"/>
        <v>134</v>
      </c>
      <c r="R1674" s="111">
        <f t="shared" si="1228"/>
        <v>134</v>
      </c>
      <c r="S1674" s="129">
        <v>0</v>
      </c>
      <c r="T1674" s="129">
        <v>0</v>
      </c>
      <c r="W1674" s="111"/>
      <c r="AC1674" s="130"/>
      <c r="AD1674" s="130">
        <v>32173</v>
      </c>
      <c r="AE1674" s="128" t="s">
        <v>32</v>
      </c>
      <c r="AF1674" s="128" t="s">
        <v>33</v>
      </c>
      <c r="AG1674" s="128" t="s">
        <v>872</v>
      </c>
      <c r="AH1674" s="108" t="s">
        <v>58</v>
      </c>
      <c r="AI1674" s="128" t="s">
        <v>42</v>
      </c>
      <c r="AJ1674" s="129" t="s">
        <v>55</v>
      </c>
      <c r="AK1674" s="129">
        <v>5</v>
      </c>
      <c r="AL1674" s="3" t="s">
        <v>55</v>
      </c>
      <c r="AP1674" s="129" t="s">
        <v>249</v>
      </c>
      <c r="AR1674" s="128" t="s">
        <v>50</v>
      </c>
      <c r="AS1674" s="129" t="s">
        <v>163</v>
      </c>
      <c r="BC1674" s="129" t="s">
        <v>38</v>
      </c>
      <c r="BF1674" s="111">
        <f t="shared" si="1246"/>
        <v>134</v>
      </c>
      <c r="BG1674" s="111">
        <f t="shared" si="1243"/>
        <v>134</v>
      </c>
      <c r="BH1674" s="111">
        <f t="shared" si="1249"/>
        <v>134</v>
      </c>
      <c r="BI1674" s="111">
        <f t="shared" si="1250"/>
        <v>24.169398907103826</v>
      </c>
      <c r="BJ1674" s="129">
        <f t="shared" si="1266"/>
        <v>0</v>
      </c>
      <c r="BK1674" s="129">
        <f t="shared" si="1251"/>
        <v>0</v>
      </c>
      <c r="BL1674" s="129" t="str">
        <f t="shared" si="1230"/>
        <v>NO CONVICTION</v>
      </c>
      <c r="BM1674" s="129" t="str">
        <f t="shared" si="1267"/>
        <v>NONE</v>
      </c>
      <c r="BN1674" s="129" t="s">
        <v>566</v>
      </c>
      <c r="BP1674" s="137" t="str">
        <f t="shared" si="1255"/>
        <v>NO CONVICTION</v>
      </c>
      <c r="BQ1674" s="128" t="str">
        <f t="shared" si="1256"/>
        <v>Y</v>
      </c>
      <c r="BR1674" s="129" t="str">
        <f t="shared" si="1268"/>
        <v>DETAINED</v>
      </c>
      <c r="BS1674" s="129" t="str">
        <f t="shared" si="1257"/>
        <v>DISPOSED</v>
      </c>
      <c r="BT1674" s="129" t="str">
        <f t="shared" si="1258"/>
        <v>N</v>
      </c>
      <c r="BU1674" s="109">
        <f>IFERROR(Q1674/R1674,BR1674)</f>
        <v>1</v>
      </c>
      <c r="BV1674" s="109">
        <f t="shared" si="1260"/>
        <v>1</v>
      </c>
      <c r="BW1674" s="109">
        <f t="shared" si="1247"/>
        <v>0</v>
      </c>
      <c r="BX1674" s="111">
        <f t="shared" si="1261"/>
        <v>0</v>
      </c>
      <c r="BY1674" s="129">
        <f t="shared" si="1262"/>
        <v>-134</v>
      </c>
      <c r="BZ1674" s="111">
        <f t="shared" si="1263"/>
        <v>0</v>
      </c>
      <c r="CA1674" s="138">
        <f t="shared" si="1264"/>
        <v>134</v>
      </c>
      <c r="CB1674" s="111" t="e">
        <f t="shared" si="1248"/>
        <v>#VALUE!</v>
      </c>
      <c r="CC1674" s="129">
        <f>G1674-I1674+1</f>
        <v>134</v>
      </c>
      <c r="CD1674" s="129">
        <f>G1674-J1674</f>
        <v>0</v>
      </c>
      <c r="CG1674" s="129" t="str">
        <f t="shared" si="1265"/>
        <v>N</v>
      </c>
      <c r="CI1674" s="129" t="str">
        <f t="shared" si="1269"/>
        <v>121-365 DAYS</v>
      </c>
      <c r="CJ1674" s="137">
        <f t="shared" si="1270"/>
        <v>6</v>
      </c>
      <c r="CK1674" s="129" t="str">
        <f t="shared" si="1271"/>
        <v>Booked</v>
      </c>
    </row>
    <row r="1675" spans="1:89" ht="15.75" customHeight="1" x14ac:dyDescent="0.25">
      <c r="A1675" s="111">
        <v>221</v>
      </c>
      <c r="B1675" s="128" t="str">
        <f t="shared" si="1252"/>
        <v>N</v>
      </c>
      <c r="C1675" s="128" t="str">
        <f t="shared" si="1253"/>
        <v>N</v>
      </c>
      <c r="D1675" s="117">
        <v>2207844</v>
      </c>
      <c r="E1675" s="135">
        <f t="shared" si="1254"/>
        <v>2</v>
      </c>
      <c r="F1675" s="124">
        <v>40918</v>
      </c>
      <c r="G1675" s="125">
        <v>40983</v>
      </c>
      <c r="H1675" s="117">
        <v>2207844</v>
      </c>
      <c r="I1675" s="124">
        <v>40919</v>
      </c>
      <c r="J1675" s="124">
        <v>40926</v>
      </c>
      <c r="K1675" s="126">
        <v>5000</v>
      </c>
      <c r="L1675" s="127" t="s">
        <v>569</v>
      </c>
      <c r="M1675" s="125">
        <v>40926</v>
      </c>
      <c r="N1675" s="129" t="str">
        <f t="shared" si="1272"/>
        <v>Y</v>
      </c>
      <c r="O1675" s="128" t="s">
        <v>76</v>
      </c>
      <c r="P1675" s="129" t="s">
        <v>589</v>
      </c>
      <c r="Q1675" s="111">
        <f t="shared" si="1245"/>
        <v>8</v>
      </c>
      <c r="R1675" s="111">
        <f t="shared" si="1228"/>
        <v>66</v>
      </c>
      <c r="S1675" s="129">
        <v>0</v>
      </c>
      <c r="T1675" s="129">
        <v>3</v>
      </c>
      <c r="W1675" s="111"/>
      <c r="AC1675" s="130"/>
      <c r="AD1675" s="130">
        <v>31178</v>
      </c>
      <c r="AE1675" s="128" t="s">
        <v>32</v>
      </c>
      <c r="AF1675" s="128" t="s">
        <v>33</v>
      </c>
      <c r="AG1675" s="128" t="s">
        <v>872</v>
      </c>
      <c r="AH1675" s="108" t="s">
        <v>31</v>
      </c>
      <c r="AI1675" s="128" t="s">
        <v>83</v>
      </c>
      <c r="AJ1675" s="129" t="s">
        <v>48</v>
      </c>
      <c r="AK1675" s="129">
        <v>4</v>
      </c>
      <c r="AL1675" s="3" t="s">
        <v>48</v>
      </c>
      <c r="AP1675" s="129" t="s">
        <v>150</v>
      </c>
      <c r="AR1675" s="128" t="s">
        <v>67</v>
      </c>
      <c r="AS1675" s="129" t="s">
        <v>74</v>
      </c>
      <c r="BC1675" s="129" t="s">
        <v>38</v>
      </c>
      <c r="BF1675" s="111">
        <f t="shared" si="1246"/>
        <v>8</v>
      </c>
      <c r="BG1675" s="111">
        <f t="shared" si="1243"/>
        <v>65</v>
      </c>
      <c r="BH1675" s="111">
        <f t="shared" si="1249"/>
        <v>66</v>
      </c>
      <c r="BI1675" s="111">
        <f t="shared" si="1250"/>
        <v>26.612021857923498</v>
      </c>
      <c r="BJ1675" s="129">
        <f>(G1675-J1675)+(M1675-G1675)</f>
        <v>0</v>
      </c>
      <c r="BK1675" s="129">
        <f t="shared" si="1251"/>
        <v>-57</v>
      </c>
      <c r="BL1675" s="129" t="str">
        <f t="shared" si="1230"/>
        <v>DEFERRED</v>
      </c>
      <c r="BM1675" s="129" t="s">
        <v>76</v>
      </c>
      <c r="BN1675" s="129" t="s">
        <v>88</v>
      </c>
      <c r="BP1675" s="137" t="str">
        <f t="shared" si="1255"/>
        <v>DEFERRED</v>
      </c>
      <c r="BQ1675" s="128" t="str">
        <f t="shared" si="1256"/>
        <v>Y</v>
      </c>
      <c r="BR1675" s="129" t="str">
        <f t="shared" si="1268"/>
        <v>ON BOND</v>
      </c>
      <c r="BS1675" s="129" t="str">
        <f t="shared" si="1257"/>
        <v>DISPOSED</v>
      </c>
      <c r="BT1675" s="129" t="str">
        <f t="shared" si="1258"/>
        <v>N</v>
      </c>
      <c r="BU1675" s="109">
        <f t="shared" si="1259"/>
        <v>0.12121212121212122</v>
      </c>
      <c r="BV1675" s="109">
        <f t="shared" si="1260"/>
        <v>0.12307692307692308</v>
      </c>
      <c r="BW1675" s="109">
        <f t="shared" si="1247"/>
        <v>1.8648018648018683E-3</v>
      </c>
      <c r="BX1675" s="111">
        <f t="shared" si="1261"/>
        <v>0</v>
      </c>
      <c r="BY1675" s="129">
        <f t="shared" si="1262"/>
        <v>-8</v>
      </c>
      <c r="BZ1675" s="111">
        <f t="shared" si="1263"/>
        <v>0</v>
      </c>
      <c r="CA1675" s="138">
        <f t="shared" si="1264"/>
        <v>8</v>
      </c>
      <c r="CB1675" s="111" t="e">
        <f t="shared" si="1248"/>
        <v>#VALUE!</v>
      </c>
      <c r="CC1675" s="129">
        <f>M1675-I1675+1</f>
        <v>8</v>
      </c>
      <c r="CD1675" s="111">
        <f>CC1675-BF1675</f>
        <v>0</v>
      </c>
      <c r="CG1675" s="129" t="str">
        <f t="shared" si="1265"/>
        <v>Y</v>
      </c>
      <c r="CI1675" s="129" t="str">
        <f t="shared" si="1269"/>
        <v>0-10 DAYS</v>
      </c>
      <c r="CJ1675" s="137">
        <f t="shared" si="1270"/>
        <v>1</v>
      </c>
      <c r="CK1675" s="129" t="str">
        <f t="shared" si="1271"/>
        <v>Booked</v>
      </c>
    </row>
    <row r="1676" spans="1:89" ht="15" customHeight="1" x14ac:dyDescent="0.25">
      <c r="A1676" s="111">
        <v>678</v>
      </c>
      <c r="B1676" s="128" t="str">
        <f t="shared" si="1252"/>
        <v>N</v>
      </c>
      <c r="C1676" s="128" t="str">
        <f t="shared" si="1253"/>
        <v>Y</v>
      </c>
      <c r="D1676" s="117">
        <v>2208350</v>
      </c>
      <c r="E1676" s="135">
        <f t="shared" si="1254"/>
        <v>6</v>
      </c>
      <c r="F1676" s="124">
        <v>40919</v>
      </c>
      <c r="G1676" s="125">
        <v>41330</v>
      </c>
      <c r="H1676" s="117">
        <v>2208350</v>
      </c>
      <c r="I1676" s="124">
        <v>40919</v>
      </c>
      <c r="J1676" s="124">
        <v>40921</v>
      </c>
      <c r="K1676" s="126">
        <v>20000</v>
      </c>
      <c r="L1676" s="127" t="s">
        <v>571</v>
      </c>
      <c r="M1676" s="124">
        <v>40921</v>
      </c>
      <c r="N1676" s="129" t="str">
        <f t="shared" si="1272"/>
        <v>Y</v>
      </c>
      <c r="O1676" s="128" t="s">
        <v>76</v>
      </c>
      <c r="P1676" s="129" t="s">
        <v>39</v>
      </c>
      <c r="Q1676" s="111">
        <v>356</v>
      </c>
      <c r="R1676" s="111">
        <f t="shared" si="1228"/>
        <v>412</v>
      </c>
      <c r="S1676" s="129">
        <v>3</v>
      </c>
      <c r="T1676" s="129">
        <v>3</v>
      </c>
      <c r="U1676" s="129">
        <v>1</v>
      </c>
      <c r="V1676" s="117">
        <v>1</v>
      </c>
      <c r="W1676" s="111"/>
      <c r="AC1676" s="130"/>
      <c r="AD1676" s="130">
        <v>32454</v>
      </c>
      <c r="AE1676" s="128" t="s">
        <v>32</v>
      </c>
      <c r="AF1676" s="128" t="s">
        <v>33</v>
      </c>
      <c r="AG1676" s="128" t="s">
        <v>872</v>
      </c>
      <c r="AH1676" s="108" t="s">
        <v>58</v>
      </c>
      <c r="AI1676" s="128" t="s">
        <v>59</v>
      </c>
      <c r="AJ1676" s="129" t="s">
        <v>89</v>
      </c>
      <c r="AK1676" s="129">
        <v>14</v>
      </c>
      <c r="AL1676" s="3" t="s">
        <v>362</v>
      </c>
      <c r="AM1676" s="117">
        <v>7</v>
      </c>
      <c r="AP1676" s="129" t="s">
        <v>238</v>
      </c>
      <c r="AR1676" s="128" t="s">
        <v>67</v>
      </c>
      <c r="AS1676" s="129" t="s">
        <v>64</v>
      </c>
      <c r="AU1676" s="119">
        <v>40977</v>
      </c>
      <c r="AX1676" s="129" t="s">
        <v>88</v>
      </c>
      <c r="BC1676" s="129" t="s">
        <v>38</v>
      </c>
      <c r="BF1676" s="111">
        <v>356</v>
      </c>
      <c r="BG1676" s="111">
        <f t="shared" si="1243"/>
        <v>412</v>
      </c>
      <c r="BH1676" s="111">
        <f t="shared" si="1249"/>
        <v>412</v>
      </c>
      <c r="BI1676" s="111">
        <f t="shared" si="1250"/>
        <v>23.128415300546447</v>
      </c>
      <c r="BJ1676" s="129">
        <f>(G1676-J1676)+(M1676-G1676)</f>
        <v>0</v>
      </c>
      <c r="BK1676" s="129">
        <f t="shared" si="1251"/>
        <v>-409</v>
      </c>
      <c r="BL1676" s="129" t="str">
        <f t="shared" si="1230"/>
        <v>CONVICTION</v>
      </c>
      <c r="BM1676" s="129" t="s">
        <v>76</v>
      </c>
      <c r="BN1676" s="129" t="s">
        <v>88</v>
      </c>
      <c r="BP1676" s="137" t="str">
        <f t="shared" si="1255"/>
        <v>CONVICTION</v>
      </c>
      <c r="BQ1676" s="128" t="str">
        <f t="shared" si="1256"/>
        <v>Y</v>
      </c>
      <c r="BR1676" s="129" t="s">
        <v>574</v>
      </c>
      <c r="BS1676" s="129" t="str">
        <f t="shared" si="1257"/>
        <v>DISPOSED</v>
      </c>
      <c r="BT1676" s="129" t="str">
        <f t="shared" si="1258"/>
        <v>Y</v>
      </c>
      <c r="BU1676" s="109">
        <f t="shared" si="1259"/>
        <v>0.86407766990291257</v>
      </c>
      <c r="BV1676" s="109">
        <f t="shared" si="1260"/>
        <v>7.2815533980582527E-3</v>
      </c>
      <c r="BW1676" s="109">
        <f t="shared" si="1247"/>
        <v>-0.85679611650485432</v>
      </c>
      <c r="BX1676" s="111">
        <f t="shared" si="1261"/>
        <v>0</v>
      </c>
      <c r="BY1676" s="129">
        <f t="shared" si="1262"/>
        <v>-3</v>
      </c>
      <c r="BZ1676" s="111">
        <f t="shared" si="1263"/>
        <v>353</v>
      </c>
      <c r="CA1676" s="138">
        <f t="shared" si="1264"/>
        <v>412</v>
      </c>
      <c r="CB1676" s="111">
        <v>356</v>
      </c>
      <c r="CC1676" s="129">
        <f>G1676-I1676+1</f>
        <v>412</v>
      </c>
      <c r="CD1676" s="129">
        <f>G1676-J1676</f>
        <v>409</v>
      </c>
      <c r="CG1676" s="129" t="str">
        <f t="shared" si="1265"/>
        <v>Y</v>
      </c>
      <c r="CI1676" s="129" t="str">
        <f t="shared" si="1269"/>
        <v>121-365 DAYS</v>
      </c>
      <c r="CJ1676" s="137">
        <f t="shared" si="1270"/>
        <v>6</v>
      </c>
      <c r="CK1676" s="129" t="str">
        <f t="shared" si="1271"/>
        <v>Booked</v>
      </c>
    </row>
    <row r="1677" spans="1:89" ht="15.75" customHeight="1" x14ac:dyDescent="0.25">
      <c r="A1677" s="111">
        <v>234</v>
      </c>
      <c r="B1677" s="128" t="str">
        <f t="shared" si="1252"/>
        <v>N</v>
      </c>
      <c r="C1677" s="128" t="str">
        <f t="shared" si="1253"/>
        <v>N</v>
      </c>
      <c r="D1677" s="117">
        <v>2209435</v>
      </c>
      <c r="E1677" s="135">
        <f t="shared" si="1254"/>
        <v>6</v>
      </c>
      <c r="F1677" s="124">
        <v>40919</v>
      </c>
      <c r="G1677" s="125">
        <v>40920</v>
      </c>
      <c r="H1677" s="117">
        <v>2209435</v>
      </c>
      <c r="I1677" s="124">
        <v>40919</v>
      </c>
      <c r="J1677" s="124">
        <v>40920</v>
      </c>
      <c r="K1677" s="126">
        <v>10000</v>
      </c>
      <c r="L1677" s="127" t="s">
        <v>570</v>
      </c>
      <c r="N1677" s="129" t="str">
        <f t="shared" si="1272"/>
        <v>N</v>
      </c>
      <c r="O1677" s="128" t="s">
        <v>917</v>
      </c>
      <c r="P1677" s="129" t="s">
        <v>39</v>
      </c>
      <c r="Q1677" s="111">
        <f t="shared" si="1245"/>
        <v>2</v>
      </c>
      <c r="R1677" s="111">
        <f t="shared" si="1228"/>
        <v>2</v>
      </c>
      <c r="S1677" s="129">
        <v>0</v>
      </c>
      <c r="T1677" s="129">
        <v>1</v>
      </c>
      <c r="W1677" s="111"/>
      <c r="AC1677" s="130"/>
      <c r="AD1677" s="130">
        <v>32041</v>
      </c>
      <c r="AE1677" s="128" t="s">
        <v>32</v>
      </c>
      <c r="AF1677" s="128" t="s">
        <v>40</v>
      </c>
      <c r="AG1677" s="128" t="s">
        <v>41</v>
      </c>
      <c r="AH1677" s="108" t="s">
        <v>41</v>
      </c>
      <c r="AI1677" s="128" t="s">
        <v>53</v>
      </c>
      <c r="AJ1677" s="129" t="s">
        <v>89</v>
      </c>
      <c r="AK1677" s="129">
        <v>1</v>
      </c>
      <c r="AL1677" s="3" t="s">
        <v>362</v>
      </c>
      <c r="AM1677" s="117">
        <v>2</v>
      </c>
      <c r="AP1677" s="129" t="s">
        <v>56</v>
      </c>
      <c r="AR1677" s="128" t="s">
        <v>50</v>
      </c>
      <c r="AS1677" s="129" t="s">
        <v>57</v>
      </c>
      <c r="AT1677" s="32" t="s">
        <v>1221</v>
      </c>
      <c r="BC1677" s="129" t="s">
        <v>79</v>
      </c>
      <c r="BF1677" s="111">
        <f t="shared" si="1246"/>
        <v>2</v>
      </c>
      <c r="BG1677" s="111">
        <f t="shared" si="1243"/>
        <v>2</v>
      </c>
      <c r="BH1677" s="111">
        <f t="shared" si="1249"/>
        <v>2</v>
      </c>
      <c r="BI1677" s="111">
        <f t="shared" si="1250"/>
        <v>24.256830601092897</v>
      </c>
      <c r="BJ1677" s="129">
        <f t="shared" si="1266"/>
        <v>0</v>
      </c>
      <c r="BK1677" s="129">
        <f t="shared" si="1251"/>
        <v>0</v>
      </c>
      <c r="BL1677" s="129" t="str">
        <f t="shared" si="1230"/>
        <v>CONVICTION</v>
      </c>
      <c r="BM1677" s="129" t="str">
        <f t="shared" si="1267"/>
        <v>NONE</v>
      </c>
      <c r="BN1677" s="129" t="s">
        <v>566</v>
      </c>
      <c r="BP1677" s="137" t="str">
        <f t="shared" si="1255"/>
        <v>CONVICTION</v>
      </c>
      <c r="BQ1677" s="128" t="str">
        <f t="shared" si="1256"/>
        <v>Y</v>
      </c>
      <c r="BR1677" s="129" t="str">
        <f t="shared" si="1268"/>
        <v>DETAINED</v>
      </c>
      <c r="BS1677" s="129" t="str">
        <f t="shared" si="1257"/>
        <v>DISPOSED</v>
      </c>
      <c r="BT1677" s="129" t="str">
        <f t="shared" si="1258"/>
        <v>N</v>
      </c>
      <c r="BU1677" s="109">
        <f t="shared" si="1259"/>
        <v>1</v>
      </c>
      <c r="BV1677" s="109">
        <f t="shared" si="1260"/>
        <v>1</v>
      </c>
      <c r="BW1677" s="109">
        <f t="shared" si="1247"/>
        <v>0</v>
      </c>
      <c r="BX1677" s="111">
        <f t="shared" si="1261"/>
        <v>0</v>
      </c>
      <c r="BY1677" s="129">
        <f t="shared" si="1262"/>
        <v>-2</v>
      </c>
      <c r="BZ1677" s="111">
        <f t="shared" si="1263"/>
        <v>0</v>
      </c>
      <c r="CA1677" s="138">
        <f t="shared" si="1264"/>
        <v>2</v>
      </c>
      <c r="CB1677" s="111" t="e">
        <f t="shared" si="1248"/>
        <v>#VALUE!</v>
      </c>
      <c r="CC1677" s="129">
        <f>G1677-I1677+1</f>
        <v>2</v>
      </c>
      <c r="CD1677" s="129">
        <f>G1677-J1677</f>
        <v>0</v>
      </c>
      <c r="CG1677" s="129" t="str">
        <f t="shared" si="1265"/>
        <v>Y</v>
      </c>
      <c r="CI1677" s="129" t="str">
        <f t="shared" si="1269"/>
        <v>0-10 DAYS</v>
      </c>
      <c r="CJ1677" s="137">
        <f t="shared" si="1270"/>
        <v>1</v>
      </c>
      <c r="CK1677" s="129" t="str">
        <f t="shared" si="1271"/>
        <v>Booked</v>
      </c>
    </row>
    <row r="1678" spans="1:89" ht="15" customHeight="1" x14ac:dyDescent="0.25">
      <c r="A1678" s="111">
        <v>1635</v>
      </c>
      <c r="B1678" s="128" t="str">
        <f t="shared" si="1252"/>
        <v>N</v>
      </c>
      <c r="C1678" s="128" t="str">
        <f t="shared" si="1253"/>
        <v>N</v>
      </c>
      <c r="D1678" s="117">
        <v>2209562</v>
      </c>
      <c r="E1678" s="135">
        <f t="shared" si="1254"/>
        <v>5</v>
      </c>
      <c r="F1678" s="124">
        <v>40969</v>
      </c>
      <c r="G1678" s="125">
        <v>41018</v>
      </c>
      <c r="H1678" s="117">
        <v>2209562</v>
      </c>
      <c r="I1678" s="124">
        <v>40969</v>
      </c>
      <c r="J1678" s="124">
        <v>41018</v>
      </c>
      <c r="K1678" s="126">
        <v>15000</v>
      </c>
      <c r="L1678" s="127" t="s">
        <v>571</v>
      </c>
      <c r="N1678" s="129" t="str">
        <f t="shared" si="1272"/>
        <v>N</v>
      </c>
      <c r="O1678" s="128" t="s">
        <v>917</v>
      </c>
      <c r="P1678" s="129" t="s">
        <v>39</v>
      </c>
      <c r="Q1678" s="111">
        <f t="shared" si="1245"/>
        <v>50</v>
      </c>
      <c r="R1678" s="111">
        <f t="shared" si="1228"/>
        <v>50</v>
      </c>
      <c r="S1678" s="129">
        <v>1</v>
      </c>
      <c r="T1678" s="129">
        <v>0</v>
      </c>
      <c r="U1678" s="129">
        <v>1</v>
      </c>
      <c r="W1678" s="111"/>
      <c r="AC1678" s="130"/>
      <c r="AD1678" s="130">
        <v>26771</v>
      </c>
      <c r="AE1678" s="128" t="s">
        <v>32</v>
      </c>
      <c r="AF1678" s="128" t="s">
        <v>69</v>
      </c>
      <c r="AG1678" s="128" t="s">
        <v>874</v>
      </c>
      <c r="AH1678" s="108" t="s">
        <v>31</v>
      </c>
      <c r="AI1678" s="128" t="s">
        <v>95</v>
      </c>
      <c r="AJ1678" s="129" t="s">
        <v>89</v>
      </c>
      <c r="AK1678" s="129">
        <v>3</v>
      </c>
      <c r="AL1678" s="3" t="s">
        <v>992</v>
      </c>
      <c r="AN1678" s="117">
        <v>8</v>
      </c>
      <c r="AP1678" s="129" t="s">
        <v>60</v>
      </c>
      <c r="AR1678" s="128" t="s">
        <v>44</v>
      </c>
      <c r="AS1678" s="129" t="s">
        <v>61</v>
      </c>
      <c r="BC1678" s="129" t="s">
        <v>38</v>
      </c>
      <c r="BF1678" s="111">
        <f t="shared" si="1246"/>
        <v>50</v>
      </c>
      <c r="BG1678" s="111">
        <f t="shared" si="1243"/>
        <v>50</v>
      </c>
      <c r="BH1678" s="111">
        <f t="shared" si="1249"/>
        <v>50</v>
      </c>
      <c r="BI1678" s="111">
        <f t="shared" si="1250"/>
        <v>38.792349726775953</v>
      </c>
      <c r="BJ1678" s="129">
        <f t="shared" si="1266"/>
        <v>0</v>
      </c>
      <c r="BK1678" s="129">
        <f t="shared" si="1251"/>
        <v>0</v>
      </c>
      <c r="BL1678" s="129" t="str">
        <f t="shared" si="1230"/>
        <v>CONVICTION</v>
      </c>
      <c r="BM1678" s="129" t="str">
        <f t="shared" si="1267"/>
        <v>NONE</v>
      </c>
      <c r="BN1678" s="129" t="s">
        <v>566</v>
      </c>
      <c r="BP1678" s="137" t="str">
        <f t="shared" si="1255"/>
        <v>CONVICTION</v>
      </c>
      <c r="BQ1678" s="128" t="str">
        <f t="shared" si="1256"/>
        <v>Y</v>
      </c>
      <c r="BR1678" s="129" t="str">
        <f t="shared" si="1268"/>
        <v>DETAINED</v>
      </c>
      <c r="BS1678" s="129" t="str">
        <f t="shared" si="1257"/>
        <v>DISPOSED</v>
      </c>
      <c r="BT1678" s="129" t="str">
        <f t="shared" si="1258"/>
        <v>Y</v>
      </c>
      <c r="BU1678" s="109">
        <f t="shared" si="1259"/>
        <v>1</v>
      </c>
      <c r="BV1678" s="109">
        <f t="shared" si="1260"/>
        <v>1</v>
      </c>
      <c r="BW1678" s="109">
        <f t="shared" si="1247"/>
        <v>0</v>
      </c>
      <c r="BX1678" s="111">
        <f t="shared" si="1261"/>
        <v>0</v>
      </c>
      <c r="BY1678" s="129">
        <f t="shared" si="1262"/>
        <v>-50</v>
      </c>
      <c r="BZ1678" s="111">
        <f t="shared" si="1263"/>
        <v>0</v>
      </c>
      <c r="CA1678" s="138">
        <f t="shared" si="1264"/>
        <v>50</v>
      </c>
      <c r="CB1678" s="111" t="e">
        <f t="shared" si="1248"/>
        <v>#VALUE!</v>
      </c>
      <c r="CC1678" s="129">
        <f>G1678-I1678+1</f>
        <v>50</v>
      </c>
      <c r="CD1678" s="129">
        <f>G1678-J1678</f>
        <v>0</v>
      </c>
      <c r="CG1678" s="129" t="str">
        <f t="shared" si="1265"/>
        <v>Y</v>
      </c>
      <c r="CI1678" s="129" t="str">
        <f t="shared" si="1269"/>
        <v>31-60 DAYS</v>
      </c>
      <c r="CJ1678" s="137">
        <f t="shared" si="1270"/>
        <v>3</v>
      </c>
      <c r="CK1678" s="129" t="str">
        <f t="shared" si="1271"/>
        <v>Booked</v>
      </c>
    </row>
    <row r="1679" spans="1:89" ht="15" customHeight="1" x14ac:dyDescent="0.25">
      <c r="A1679" s="111">
        <v>1904</v>
      </c>
      <c r="B1679" s="128" t="str">
        <f t="shared" si="1252"/>
        <v>N</v>
      </c>
      <c r="C1679" s="128" t="str">
        <f t="shared" si="1253"/>
        <v>Y</v>
      </c>
      <c r="D1679" s="117">
        <v>2209573</v>
      </c>
      <c r="E1679" s="135">
        <f t="shared" si="1254"/>
        <v>4</v>
      </c>
      <c r="F1679" s="124">
        <v>40979</v>
      </c>
      <c r="G1679" s="125">
        <v>41382</v>
      </c>
      <c r="H1679" s="117">
        <v>2209573</v>
      </c>
      <c r="I1679" s="124">
        <v>40979</v>
      </c>
      <c r="J1679" s="124">
        <v>40982</v>
      </c>
      <c r="K1679" s="126">
        <v>5000</v>
      </c>
      <c r="L1679" s="127" t="s">
        <v>569</v>
      </c>
      <c r="M1679" s="125">
        <v>40982</v>
      </c>
      <c r="N1679" s="129" t="str">
        <f t="shared" si="1272"/>
        <v>Y</v>
      </c>
      <c r="O1679" s="128" t="s">
        <v>585</v>
      </c>
      <c r="P1679" s="129" t="s">
        <v>39</v>
      </c>
      <c r="Q1679" s="111">
        <v>24</v>
      </c>
      <c r="R1679" s="111">
        <f t="shared" si="1228"/>
        <v>404</v>
      </c>
      <c r="S1679" s="129">
        <v>0</v>
      </c>
      <c r="T1679" s="129">
        <v>3</v>
      </c>
      <c r="W1679" s="111"/>
      <c r="AC1679" s="130"/>
      <c r="AD1679" s="130">
        <v>31374</v>
      </c>
      <c r="AE1679" s="128" t="s">
        <v>32</v>
      </c>
      <c r="AF1679" s="128" t="s">
        <v>69</v>
      </c>
      <c r="AG1679" s="128" t="s">
        <v>874</v>
      </c>
      <c r="AH1679" s="108" t="s">
        <v>31</v>
      </c>
      <c r="AI1679" s="128" t="s">
        <v>71</v>
      </c>
      <c r="AJ1679" s="129" t="s">
        <v>89</v>
      </c>
      <c r="AK1679" s="129">
        <v>17</v>
      </c>
      <c r="AL1679" s="3" t="s">
        <v>991</v>
      </c>
      <c r="AO1679" s="128">
        <v>60</v>
      </c>
      <c r="AP1679" s="129" t="s">
        <v>150</v>
      </c>
      <c r="AR1679" s="128" t="s">
        <v>67</v>
      </c>
      <c r="AS1679" s="129" t="s">
        <v>74</v>
      </c>
      <c r="AT1679" s="129" t="s">
        <v>1416</v>
      </c>
      <c r="AU1679" s="3" t="s">
        <v>957</v>
      </c>
      <c r="AV1679" s="3" t="s">
        <v>51</v>
      </c>
      <c r="AW1679" s="129" t="s">
        <v>956</v>
      </c>
      <c r="BA1679" s="125">
        <v>41442</v>
      </c>
      <c r="BB1679" s="129">
        <v>235</v>
      </c>
      <c r="BC1679" s="129" t="s">
        <v>52</v>
      </c>
      <c r="BF1679" s="111">
        <v>24</v>
      </c>
      <c r="BG1679" s="111">
        <f t="shared" si="1243"/>
        <v>404</v>
      </c>
      <c r="BH1679" s="111">
        <f t="shared" si="1249"/>
        <v>404</v>
      </c>
      <c r="BI1679" s="111">
        <f t="shared" si="1250"/>
        <v>26.243169398907103</v>
      </c>
      <c r="BJ1679" s="129">
        <f>(G1679-J1679)+(M1679-G1679)</f>
        <v>0</v>
      </c>
      <c r="BK1679" s="129">
        <f t="shared" si="1251"/>
        <v>-400</v>
      </c>
      <c r="BL1679" s="129" t="str">
        <f t="shared" si="1230"/>
        <v>CONVICTION</v>
      </c>
      <c r="BM1679" s="129" t="s">
        <v>76</v>
      </c>
      <c r="BN1679" s="129" t="s">
        <v>566</v>
      </c>
      <c r="BP1679" s="137" t="str">
        <f t="shared" si="1255"/>
        <v>CONVICTION</v>
      </c>
      <c r="BQ1679" s="128" t="str">
        <f t="shared" si="1256"/>
        <v>Y</v>
      </c>
      <c r="BR1679" s="129" t="s">
        <v>574</v>
      </c>
      <c r="BS1679" s="129" t="str">
        <f t="shared" si="1257"/>
        <v>DISPOSED</v>
      </c>
      <c r="BT1679" s="129" t="str">
        <f t="shared" si="1258"/>
        <v>N</v>
      </c>
      <c r="BU1679" s="109">
        <f t="shared" si="1259"/>
        <v>5.9405940594059403E-2</v>
      </c>
      <c r="BV1679" s="109">
        <f t="shared" si="1260"/>
        <v>9.9009900990099011E-3</v>
      </c>
      <c r="BW1679" s="109">
        <f t="shared" si="1247"/>
        <v>-4.95049504950495E-2</v>
      </c>
      <c r="BX1679" s="111">
        <f t="shared" si="1261"/>
        <v>0</v>
      </c>
      <c r="BY1679" s="129">
        <f t="shared" si="1262"/>
        <v>-4</v>
      </c>
      <c r="BZ1679" s="111">
        <f t="shared" si="1263"/>
        <v>20</v>
      </c>
      <c r="CA1679" s="138">
        <f t="shared" si="1264"/>
        <v>404</v>
      </c>
      <c r="CB1679" s="111">
        <v>24</v>
      </c>
      <c r="CC1679" s="129">
        <f>G1679-I1679+1</f>
        <v>404</v>
      </c>
      <c r="CD1679" s="129">
        <f>G1679-J1679</f>
        <v>400</v>
      </c>
      <c r="CG1679" s="129" t="str">
        <f t="shared" si="1265"/>
        <v>Y</v>
      </c>
      <c r="CI1679" s="129" t="str">
        <f t="shared" si="1269"/>
        <v>11-30 DAYS</v>
      </c>
      <c r="CJ1679" s="137">
        <f t="shared" si="1270"/>
        <v>2</v>
      </c>
      <c r="CK1679" s="129" t="str">
        <f t="shared" si="1271"/>
        <v>Booked</v>
      </c>
    </row>
    <row r="1680" spans="1:89" ht="15" customHeight="1" x14ac:dyDescent="0.25">
      <c r="A1680" s="111">
        <v>751</v>
      </c>
      <c r="B1680" s="128" t="str">
        <f t="shared" si="1252"/>
        <v>N</v>
      </c>
      <c r="C1680" s="128" t="str">
        <f t="shared" si="1253"/>
        <v>N</v>
      </c>
      <c r="D1680" s="117">
        <v>2209767</v>
      </c>
      <c r="E1680" s="135">
        <f t="shared" si="1254"/>
        <v>2</v>
      </c>
      <c r="F1680" s="124">
        <v>40938</v>
      </c>
      <c r="G1680" s="125">
        <v>41120</v>
      </c>
      <c r="H1680" s="117">
        <v>2209767</v>
      </c>
      <c r="I1680" s="124">
        <v>40939</v>
      </c>
      <c r="J1680" s="124">
        <v>40940</v>
      </c>
      <c r="K1680" s="126">
        <v>5000</v>
      </c>
      <c r="L1680" s="127" t="s">
        <v>569</v>
      </c>
      <c r="M1680" s="125">
        <v>40940</v>
      </c>
      <c r="N1680" s="129" t="str">
        <f t="shared" si="1272"/>
        <v>Y</v>
      </c>
      <c r="O1680" s="128" t="s">
        <v>76</v>
      </c>
      <c r="P1680" s="129" t="s">
        <v>589</v>
      </c>
      <c r="Q1680" s="111">
        <f>BF1680</f>
        <v>2</v>
      </c>
      <c r="R1680" s="111">
        <f t="shared" si="1228"/>
        <v>183</v>
      </c>
      <c r="S1680" s="129">
        <v>0</v>
      </c>
      <c r="T1680" s="129">
        <v>0</v>
      </c>
      <c r="W1680" s="111"/>
      <c r="AC1680" s="130"/>
      <c r="AD1680" s="130">
        <v>31368</v>
      </c>
      <c r="AE1680" s="128" t="s">
        <v>32</v>
      </c>
      <c r="AF1680" s="128" t="s">
        <v>69</v>
      </c>
      <c r="AG1680" s="128" t="s">
        <v>874</v>
      </c>
      <c r="AH1680" s="108" t="s">
        <v>31</v>
      </c>
      <c r="AI1680" s="128" t="s">
        <v>34</v>
      </c>
      <c r="AJ1680" s="129" t="s">
        <v>48</v>
      </c>
      <c r="AK1680" s="129">
        <v>11</v>
      </c>
      <c r="AL1680" s="3" t="s">
        <v>48</v>
      </c>
      <c r="AP1680" s="129" t="s">
        <v>216</v>
      </c>
      <c r="AR1680" s="128" t="s">
        <v>67</v>
      </c>
      <c r="AS1680" s="129" t="s">
        <v>64</v>
      </c>
      <c r="AY1680" s="123"/>
      <c r="BC1680" s="129" t="s">
        <v>52</v>
      </c>
      <c r="BF1680" s="111">
        <f t="shared" si="1246"/>
        <v>2</v>
      </c>
      <c r="BG1680" s="111">
        <f t="shared" si="1243"/>
        <v>182</v>
      </c>
      <c r="BH1680" s="111">
        <f t="shared" si="1249"/>
        <v>183</v>
      </c>
      <c r="BI1680" s="111">
        <f t="shared" si="1250"/>
        <v>26.147540983606557</v>
      </c>
      <c r="BJ1680" s="129">
        <f>(G1680-J1680)+(M1680-G1680)</f>
        <v>0</v>
      </c>
      <c r="BK1680" s="129">
        <f t="shared" si="1251"/>
        <v>-180</v>
      </c>
      <c r="BL1680" s="129" t="str">
        <f t="shared" si="1230"/>
        <v>DEFERRED</v>
      </c>
      <c r="BM1680" s="129" t="s">
        <v>76</v>
      </c>
      <c r="BN1680" s="129" t="s">
        <v>88</v>
      </c>
      <c r="BP1680" s="137" t="str">
        <f t="shared" si="1255"/>
        <v>DEFERRED</v>
      </c>
      <c r="BQ1680" s="128" t="str">
        <f t="shared" si="1256"/>
        <v>Y</v>
      </c>
      <c r="BR1680" s="129" t="str">
        <f t="shared" si="1268"/>
        <v>ON BOND</v>
      </c>
      <c r="BS1680" s="129" t="str">
        <f t="shared" si="1257"/>
        <v>DISPOSED</v>
      </c>
      <c r="BT1680" s="129" t="str">
        <f t="shared" si="1258"/>
        <v>N</v>
      </c>
      <c r="BU1680" s="109">
        <f t="shared" si="1259"/>
        <v>1.092896174863388E-2</v>
      </c>
      <c r="BV1680" s="109">
        <f t="shared" si="1260"/>
        <v>1.098901098901099E-2</v>
      </c>
      <c r="BW1680" s="109">
        <f t="shared" si="1247"/>
        <v>6.0049240377110097E-5</v>
      </c>
      <c r="BX1680" s="111">
        <f t="shared" si="1261"/>
        <v>0</v>
      </c>
      <c r="BY1680" s="129">
        <f t="shared" si="1262"/>
        <v>-2</v>
      </c>
      <c r="BZ1680" s="111">
        <f t="shared" si="1263"/>
        <v>0</v>
      </c>
      <c r="CA1680" s="138">
        <f t="shared" si="1264"/>
        <v>2</v>
      </c>
      <c r="CB1680" s="111" t="e">
        <f t="shared" si="1248"/>
        <v>#VALUE!</v>
      </c>
      <c r="CC1680" s="129">
        <f>M1680-I1680+1</f>
        <v>2</v>
      </c>
      <c r="CD1680" s="111">
        <f>CC1680-BF1680</f>
        <v>0</v>
      </c>
      <c r="CG1680" s="129" t="str">
        <f t="shared" si="1265"/>
        <v>N</v>
      </c>
      <c r="CI1680" s="129" t="str">
        <f t="shared" si="1269"/>
        <v>0-10 DAYS</v>
      </c>
      <c r="CJ1680" s="137">
        <f t="shared" si="1270"/>
        <v>1</v>
      </c>
      <c r="CK1680" s="129" t="str">
        <f t="shared" si="1271"/>
        <v>Booked</v>
      </c>
    </row>
    <row r="1681" spans="1:89" ht="15.75" customHeight="1" x14ac:dyDescent="0.25">
      <c r="A1681" s="111">
        <v>594</v>
      </c>
      <c r="B1681" s="128" t="str">
        <f t="shared" si="1252"/>
        <v>N</v>
      </c>
      <c r="C1681" s="128" t="str">
        <f t="shared" si="1253"/>
        <v>N</v>
      </c>
      <c r="D1681" s="117">
        <v>2210374</v>
      </c>
      <c r="E1681" s="135">
        <f t="shared" si="1254"/>
        <v>6</v>
      </c>
      <c r="F1681" s="124">
        <v>40932</v>
      </c>
      <c r="G1681" s="125">
        <v>41086</v>
      </c>
      <c r="H1681" s="117">
        <v>2210374</v>
      </c>
      <c r="I1681" s="124">
        <v>41010</v>
      </c>
      <c r="J1681" s="124">
        <v>41086</v>
      </c>
      <c r="K1681" s="126">
        <v>120000</v>
      </c>
      <c r="L1681" s="129" t="s">
        <v>572</v>
      </c>
      <c r="N1681" s="129" t="str">
        <f t="shared" si="1272"/>
        <v>N</v>
      </c>
      <c r="O1681" s="128" t="s">
        <v>917</v>
      </c>
      <c r="P1681" s="129" t="s">
        <v>39</v>
      </c>
      <c r="Q1681" s="111">
        <f>BF1681</f>
        <v>77</v>
      </c>
      <c r="R1681" s="111">
        <f t="shared" si="1228"/>
        <v>155</v>
      </c>
      <c r="S1681" s="129">
        <v>4</v>
      </c>
      <c r="T1681" s="129">
        <v>0</v>
      </c>
      <c r="U1681" s="129">
        <v>2</v>
      </c>
      <c r="W1681" s="111"/>
      <c r="AC1681" s="130"/>
      <c r="AD1681" s="130">
        <v>31938</v>
      </c>
      <c r="AE1681" s="128" t="s">
        <v>32</v>
      </c>
      <c r="AF1681" s="128" t="s">
        <v>40</v>
      </c>
      <c r="AG1681" s="128" t="s">
        <v>41</v>
      </c>
      <c r="AH1681" s="108" t="s">
        <v>41</v>
      </c>
      <c r="AI1681" s="128" t="s">
        <v>85</v>
      </c>
      <c r="AJ1681" s="129" t="s">
        <v>89</v>
      </c>
      <c r="AK1681" s="129">
        <v>4</v>
      </c>
      <c r="AL1681" s="3" t="s">
        <v>362</v>
      </c>
      <c r="AM1681" s="117">
        <v>15</v>
      </c>
      <c r="AP1681" s="129" t="s">
        <v>228</v>
      </c>
      <c r="AR1681" s="128" t="s">
        <v>92</v>
      </c>
      <c r="AS1681" s="129" t="s">
        <v>382</v>
      </c>
      <c r="BC1681" s="129" t="s">
        <v>38</v>
      </c>
      <c r="BF1681" s="111">
        <f t="shared" si="1246"/>
        <v>77</v>
      </c>
      <c r="BG1681" s="111">
        <f t="shared" si="1243"/>
        <v>77</v>
      </c>
      <c r="BH1681" s="111">
        <f t="shared" si="1249"/>
        <v>155</v>
      </c>
      <c r="BI1681" s="111">
        <f t="shared" si="1250"/>
        <v>24.57377049180328</v>
      </c>
      <c r="BJ1681" s="129">
        <f t="shared" si="1266"/>
        <v>0</v>
      </c>
      <c r="BK1681" s="129">
        <f t="shared" si="1251"/>
        <v>0</v>
      </c>
      <c r="BL1681" s="129" t="str">
        <f t="shared" si="1230"/>
        <v>CONVICTION</v>
      </c>
      <c r="BM1681" s="129" t="str">
        <f t="shared" si="1267"/>
        <v>NONE</v>
      </c>
      <c r="BN1681" s="129" t="s">
        <v>566</v>
      </c>
      <c r="BP1681" s="137" t="str">
        <f t="shared" si="1255"/>
        <v>CONVICTION</v>
      </c>
      <c r="BQ1681" s="128" t="str">
        <f t="shared" si="1256"/>
        <v>Y</v>
      </c>
      <c r="BR1681" s="129" t="str">
        <f t="shared" si="1268"/>
        <v>DETAINED</v>
      </c>
      <c r="BS1681" s="129" t="str">
        <f t="shared" si="1257"/>
        <v>DISPOSED</v>
      </c>
      <c r="BT1681" s="129" t="str">
        <f t="shared" si="1258"/>
        <v>Y</v>
      </c>
      <c r="BU1681" s="109">
        <f t="shared" si="1259"/>
        <v>0.49677419354838709</v>
      </c>
      <c r="BV1681" s="109">
        <f t="shared" si="1260"/>
        <v>1</v>
      </c>
      <c r="BW1681" s="109">
        <f t="shared" si="1247"/>
        <v>0.50322580645161286</v>
      </c>
      <c r="BX1681" s="111">
        <f t="shared" si="1261"/>
        <v>0</v>
      </c>
      <c r="BY1681" s="129">
        <f t="shared" si="1262"/>
        <v>-77</v>
      </c>
      <c r="BZ1681" s="111">
        <f t="shared" si="1263"/>
        <v>0</v>
      </c>
      <c r="CA1681" s="138">
        <f t="shared" si="1264"/>
        <v>77</v>
      </c>
      <c r="CB1681" s="111" t="e">
        <f t="shared" si="1248"/>
        <v>#VALUE!</v>
      </c>
      <c r="CC1681" s="129">
        <f>G1681-I1681+1</f>
        <v>77</v>
      </c>
      <c r="CD1681" s="129">
        <f>G1681-J1681</f>
        <v>0</v>
      </c>
      <c r="CG1681" s="129" t="str">
        <f t="shared" si="1265"/>
        <v>Y</v>
      </c>
      <c r="CI1681" s="129" t="str">
        <f t="shared" si="1269"/>
        <v>61-90 DAYS</v>
      </c>
      <c r="CJ1681" s="137">
        <f t="shared" si="1270"/>
        <v>4</v>
      </c>
      <c r="CK1681" s="129" t="str">
        <f t="shared" si="1271"/>
        <v>Booked</v>
      </c>
    </row>
    <row r="1682" spans="1:89" ht="15.75" customHeight="1" x14ac:dyDescent="0.25">
      <c r="A1682" s="111">
        <v>1654</v>
      </c>
      <c r="B1682" s="128" t="str">
        <f t="shared" si="1252"/>
        <v>N</v>
      </c>
      <c r="C1682" s="128" t="str">
        <f t="shared" si="1253"/>
        <v>Y</v>
      </c>
      <c r="D1682" s="117">
        <v>2210389</v>
      </c>
      <c r="E1682" s="135">
        <f t="shared" si="1254"/>
        <v>6</v>
      </c>
      <c r="F1682" s="124">
        <v>40969</v>
      </c>
      <c r="G1682" s="125">
        <v>41309</v>
      </c>
      <c r="H1682" s="117">
        <v>2210389</v>
      </c>
      <c r="I1682" s="124">
        <v>40970</v>
      </c>
      <c r="J1682" s="124">
        <v>40976</v>
      </c>
      <c r="K1682" s="126">
        <v>50000</v>
      </c>
      <c r="L1682" s="129" t="s">
        <v>572</v>
      </c>
      <c r="M1682" s="125">
        <v>40976</v>
      </c>
      <c r="N1682" s="129" t="str">
        <f t="shared" si="1272"/>
        <v>Y</v>
      </c>
      <c r="O1682" s="128" t="s">
        <v>585</v>
      </c>
      <c r="P1682" s="129" t="s">
        <v>39</v>
      </c>
      <c r="Q1682" s="111">
        <v>147</v>
      </c>
      <c r="R1682" s="111">
        <f t="shared" ref="R1682:R1745" si="1273">BH1682</f>
        <v>341</v>
      </c>
      <c r="S1682" s="129">
        <v>1</v>
      </c>
      <c r="T1682" s="129">
        <v>0</v>
      </c>
      <c r="V1682" s="117">
        <v>1</v>
      </c>
      <c r="W1682" s="111"/>
      <c r="AB1682" s="131" t="s">
        <v>112</v>
      </c>
      <c r="AC1682" s="130"/>
      <c r="AD1682" s="130">
        <v>30753</v>
      </c>
      <c r="AE1682" s="128" t="s">
        <v>32</v>
      </c>
      <c r="AF1682" s="128" t="s">
        <v>40</v>
      </c>
      <c r="AG1682" s="128" t="s">
        <v>41</v>
      </c>
      <c r="AH1682" s="108" t="s">
        <v>31</v>
      </c>
      <c r="AI1682" s="128" t="s">
        <v>70</v>
      </c>
      <c r="AJ1682" s="129" t="s">
        <v>89</v>
      </c>
      <c r="AK1682" s="129">
        <v>11</v>
      </c>
      <c r="AL1682" s="3" t="s">
        <v>362</v>
      </c>
      <c r="AM1682" s="117">
        <v>3</v>
      </c>
      <c r="AP1682" s="129" t="s">
        <v>194</v>
      </c>
      <c r="AR1682" s="128" t="s">
        <v>50</v>
      </c>
      <c r="AS1682" s="129" t="s">
        <v>64</v>
      </c>
      <c r="AU1682" s="121">
        <v>41085</v>
      </c>
      <c r="AX1682" s="32" t="s">
        <v>88</v>
      </c>
      <c r="BC1682" s="129" t="s">
        <v>52</v>
      </c>
      <c r="BF1682" s="111">
        <v>147</v>
      </c>
      <c r="BG1682" s="111">
        <f t="shared" si="1243"/>
        <v>340</v>
      </c>
      <c r="BH1682" s="111">
        <f t="shared" si="1249"/>
        <v>341</v>
      </c>
      <c r="BI1682" s="111">
        <f t="shared" si="1250"/>
        <v>27.912568306010929</v>
      </c>
      <c r="BJ1682" s="129">
        <f>(G1682-J1682)+(M1682-G1682)</f>
        <v>0</v>
      </c>
      <c r="BK1682" s="129">
        <f t="shared" si="1251"/>
        <v>-333</v>
      </c>
      <c r="BL1682" s="129" t="str">
        <f t="shared" si="1230"/>
        <v>CONVICTION</v>
      </c>
      <c r="BM1682" s="129" t="s">
        <v>76</v>
      </c>
      <c r="BN1682" s="129" t="s">
        <v>88</v>
      </c>
      <c r="BP1682" s="137" t="str">
        <f t="shared" si="1255"/>
        <v>CONVICTION</v>
      </c>
      <c r="BQ1682" s="128" t="str">
        <f t="shared" si="1256"/>
        <v>Y</v>
      </c>
      <c r="BR1682" s="129" t="str">
        <f>IF(J1682&lt;G1682,"ON BOND",0)</f>
        <v>ON BOND</v>
      </c>
      <c r="BS1682" s="129" t="str">
        <f t="shared" si="1257"/>
        <v>DISPOSED</v>
      </c>
      <c r="BT1682" s="129" t="str">
        <f t="shared" si="1258"/>
        <v>Y</v>
      </c>
      <c r="BU1682" s="109">
        <f t="shared" si="1259"/>
        <v>0.4310850439882698</v>
      </c>
      <c r="BV1682" s="109">
        <f t="shared" si="1260"/>
        <v>2.0588235294117647E-2</v>
      </c>
      <c r="BW1682" s="109">
        <f t="shared" si="1247"/>
        <v>-0.41049680869415217</v>
      </c>
      <c r="BX1682" s="111">
        <f t="shared" si="1261"/>
        <v>0</v>
      </c>
      <c r="BY1682" s="129">
        <f t="shared" si="1262"/>
        <v>-7</v>
      </c>
      <c r="BZ1682" s="111">
        <f t="shared" si="1263"/>
        <v>140</v>
      </c>
      <c r="CA1682" s="138">
        <f t="shared" si="1264"/>
        <v>7</v>
      </c>
      <c r="CB1682" s="111">
        <v>147</v>
      </c>
      <c r="CD1682" s="129">
        <f>G1682-J1682</f>
        <v>333</v>
      </c>
      <c r="CG1682" s="129" t="str">
        <f t="shared" si="1265"/>
        <v>Y</v>
      </c>
      <c r="CI1682" s="129" t="str">
        <f t="shared" si="1269"/>
        <v>121-365 DAYS</v>
      </c>
      <c r="CJ1682" s="137">
        <f t="shared" si="1270"/>
        <v>6</v>
      </c>
      <c r="CK1682" s="129" t="str">
        <f t="shared" si="1271"/>
        <v>Booked</v>
      </c>
    </row>
    <row r="1683" spans="1:89" ht="15.75" customHeight="1" x14ac:dyDescent="0.25">
      <c r="A1683" s="111">
        <v>216</v>
      </c>
      <c r="B1683" s="128" t="str">
        <f t="shared" si="1252"/>
        <v>N</v>
      </c>
      <c r="C1683" s="128" t="str">
        <f t="shared" si="1253"/>
        <v>N</v>
      </c>
      <c r="D1683" s="117">
        <v>2211223</v>
      </c>
      <c r="E1683" s="135">
        <f t="shared" si="1254"/>
        <v>6</v>
      </c>
      <c r="F1683" s="124">
        <v>40918</v>
      </c>
      <c r="G1683" s="125">
        <v>41586</v>
      </c>
      <c r="H1683" s="117">
        <v>2211223</v>
      </c>
      <c r="I1683" s="124">
        <v>40926</v>
      </c>
      <c r="J1683" s="125">
        <v>41097</v>
      </c>
      <c r="K1683" s="126">
        <v>35000</v>
      </c>
      <c r="L1683" s="129" t="s">
        <v>572</v>
      </c>
      <c r="M1683" s="125">
        <v>41097</v>
      </c>
      <c r="N1683" s="129" t="str">
        <f t="shared" si="1272"/>
        <v>Y</v>
      </c>
      <c r="O1683" s="128" t="s">
        <v>76</v>
      </c>
      <c r="P1683" s="129" t="s">
        <v>39</v>
      </c>
      <c r="Q1683" s="111">
        <v>172</v>
      </c>
      <c r="R1683" s="111">
        <f t="shared" si="1273"/>
        <v>669</v>
      </c>
      <c r="S1683" s="129">
        <v>3</v>
      </c>
      <c r="T1683" s="129">
        <v>7</v>
      </c>
      <c r="U1683" s="129">
        <v>1</v>
      </c>
      <c r="W1683" s="111"/>
      <c r="AC1683" s="130"/>
      <c r="AD1683" s="130">
        <v>32351</v>
      </c>
      <c r="AE1683" s="128" t="s">
        <v>32</v>
      </c>
      <c r="AF1683" s="128" t="s">
        <v>33</v>
      </c>
      <c r="AG1683" s="128" t="s">
        <v>872</v>
      </c>
      <c r="AH1683" s="108" t="s">
        <v>58</v>
      </c>
      <c r="AI1683" s="128" t="s">
        <v>87</v>
      </c>
      <c r="AJ1683" s="129" t="s">
        <v>89</v>
      </c>
      <c r="AK1683" s="129">
        <v>17</v>
      </c>
      <c r="AL1683" s="3" t="s">
        <v>362</v>
      </c>
      <c r="AM1683" s="117">
        <v>7</v>
      </c>
      <c r="AP1683" s="129" t="s">
        <v>105</v>
      </c>
      <c r="AR1683" s="128" t="s">
        <v>92</v>
      </c>
      <c r="AS1683" s="129" t="s">
        <v>106</v>
      </c>
      <c r="AT1683" s="129" t="s">
        <v>1120</v>
      </c>
      <c r="BC1683" s="129" t="s">
        <v>38</v>
      </c>
      <c r="BF1683" s="111">
        <v>172</v>
      </c>
      <c r="BG1683" s="111">
        <f t="shared" si="1243"/>
        <v>661</v>
      </c>
      <c r="BH1683" s="111">
        <f t="shared" si="1249"/>
        <v>669</v>
      </c>
      <c r="BI1683" s="111">
        <f t="shared" si="1250"/>
        <v>23.407103825136613</v>
      </c>
      <c r="BJ1683" s="129">
        <f>(G1683-J1683)+(M1683-G1683)</f>
        <v>0</v>
      </c>
      <c r="BK1683" s="129">
        <f t="shared" si="1251"/>
        <v>-489</v>
      </c>
      <c r="BL1683" s="129" t="str">
        <f t="shared" si="1230"/>
        <v>CONVICTION</v>
      </c>
      <c r="BM1683" s="129" t="s">
        <v>76</v>
      </c>
      <c r="BN1683" s="129" t="s">
        <v>88</v>
      </c>
      <c r="BP1683" s="137" t="str">
        <f t="shared" si="1255"/>
        <v>CONVICTION</v>
      </c>
      <c r="BQ1683" s="128" t="str">
        <f t="shared" si="1256"/>
        <v>Y</v>
      </c>
      <c r="BR1683" s="129" t="str">
        <f>IF(J1683&lt;G1683,"ON BOND",0)</f>
        <v>ON BOND</v>
      </c>
      <c r="BS1683" s="129" t="str">
        <f t="shared" si="1257"/>
        <v>DISPOSED</v>
      </c>
      <c r="BT1683" s="129" t="str">
        <f t="shared" si="1258"/>
        <v>Y</v>
      </c>
      <c r="BU1683" s="109">
        <f t="shared" si="1259"/>
        <v>0.25710014947683107</v>
      </c>
      <c r="BV1683" s="109">
        <f t="shared" si="1260"/>
        <v>0.26021180030257185</v>
      </c>
      <c r="BW1683" s="109">
        <f t="shared" si="1247"/>
        <v>3.1116508257407749E-3</v>
      </c>
      <c r="BX1683" s="111">
        <f t="shared" si="1261"/>
        <v>0</v>
      </c>
      <c r="BY1683" s="129">
        <f t="shared" si="1262"/>
        <v>-172</v>
      </c>
      <c r="BZ1683" s="111">
        <f t="shared" si="1263"/>
        <v>0</v>
      </c>
      <c r="CA1683" s="138">
        <f t="shared" si="1264"/>
        <v>172</v>
      </c>
      <c r="CB1683" s="111">
        <v>172</v>
      </c>
      <c r="CC1683" s="129">
        <f>M1683-I1683+1</f>
        <v>172</v>
      </c>
      <c r="CD1683" s="111">
        <f>CC1683-BF1683</f>
        <v>0</v>
      </c>
      <c r="CG1683" s="129" t="str">
        <f t="shared" si="1265"/>
        <v>Y</v>
      </c>
      <c r="CI1683" s="129" t="str">
        <f t="shared" si="1269"/>
        <v>121-365 DAYS</v>
      </c>
      <c r="CJ1683" s="137">
        <f t="shared" si="1270"/>
        <v>6</v>
      </c>
      <c r="CK1683" s="129" t="str">
        <f t="shared" si="1271"/>
        <v>Booked</v>
      </c>
    </row>
    <row r="1684" spans="1:89" ht="15" customHeight="1" x14ac:dyDescent="0.25">
      <c r="A1684" s="111">
        <v>729</v>
      </c>
      <c r="B1684" s="128" t="str">
        <f t="shared" si="1252"/>
        <v>N</v>
      </c>
      <c r="C1684" s="128" t="str">
        <f t="shared" si="1253"/>
        <v>N</v>
      </c>
      <c r="D1684" s="117">
        <v>2211454</v>
      </c>
      <c r="E1684" s="135">
        <f t="shared" si="1254"/>
        <v>5</v>
      </c>
      <c r="F1684" s="124">
        <v>40937</v>
      </c>
      <c r="G1684" s="125">
        <v>40998</v>
      </c>
      <c r="H1684" s="117">
        <v>2211454</v>
      </c>
      <c r="I1684" s="124">
        <v>40937</v>
      </c>
      <c r="J1684" s="124">
        <v>40998</v>
      </c>
      <c r="K1684" s="126">
        <v>15000</v>
      </c>
      <c r="L1684" s="127" t="s">
        <v>571</v>
      </c>
      <c r="N1684" s="129" t="str">
        <f t="shared" si="1272"/>
        <v>N</v>
      </c>
      <c r="O1684" s="128" t="s">
        <v>917</v>
      </c>
      <c r="P1684" s="129" t="s">
        <v>39</v>
      </c>
      <c r="Q1684" s="111">
        <f t="shared" ref="Q1684:Q1696" si="1274">BF1684</f>
        <v>62</v>
      </c>
      <c r="R1684" s="111">
        <f t="shared" si="1273"/>
        <v>62</v>
      </c>
      <c r="S1684" s="129">
        <v>2</v>
      </c>
      <c r="T1684" s="129">
        <v>3</v>
      </c>
      <c r="U1684" s="129">
        <v>1</v>
      </c>
      <c r="W1684" s="111"/>
      <c r="AC1684" s="130"/>
      <c r="AD1684" s="130">
        <v>29930</v>
      </c>
      <c r="AE1684" s="128" t="s">
        <v>46</v>
      </c>
      <c r="AF1684" s="128" t="s">
        <v>69</v>
      </c>
      <c r="AG1684" s="128" t="s">
        <v>874</v>
      </c>
      <c r="AH1684" s="108" t="s">
        <v>31</v>
      </c>
      <c r="AI1684" s="128" t="s">
        <v>47</v>
      </c>
      <c r="AJ1684" s="129" t="s">
        <v>89</v>
      </c>
      <c r="AK1684" s="129">
        <v>3</v>
      </c>
      <c r="AL1684" s="3" t="s">
        <v>992</v>
      </c>
      <c r="AN1684" s="117">
        <v>6</v>
      </c>
      <c r="AP1684" s="129" t="s">
        <v>63</v>
      </c>
      <c r="AR1684" s="128" t="s">
        <v>44</v>
      </c>
      <c r="AS1684" s="129" t="s">
        <v>64</v>
      </c>
      <c r="BC1684" s="129" t="s">
        <v>38</v>
      </c>
      <c r="BF1684" s="111">
        <f t="shared" ref="BF1684:BF1694" si="1275">IF(J1684&gt;1/1/1900,((J1684+1)-I1684),"STILL OPEN")</f>
        <v>62</v>
      </c>
      <c r="BG1684" s="111">
        <f t="shared" si="1243"/>
        <v>62</v>
      </c>
      <c r="BH1684" s="111">
        <f t="shared" si="1249"/>
        <v>62</v>
      </c>
      <c r="BI1684" s="111">
        <f t="shared" si="1250"/>
        <v>30.07377049180328</v>
      </c>
      <c r="BJ1684" s="129">
        <f t="shared" si="1266"/>
        <v>0</v>
      </c>
      <c r="BK1684" s="129">
        <f t="shared" si="1251"/>
        <v>0</v>
      </c>
      <c r="BL1684" s="129" t="str">
        <f t="shared" si="1230"/>
        <v>CONVICTION</v>
      </c>
      <c r="BM1684" s="129" t="str">
        <f t="shared" si="1267"/>
        <v>NONE</v>
      </c>
      <c r="BN1684" s="129" t="s">
        <v>566</v>
      </c>
      <c r="BP1684" s="137" t="str">
        <f t="shared" si="1255"/>
        <v>CONVICTION</v>
      </c>
      <c r="BQ1684" s="128" t="str">
        <f t="shared" si="1256"/>
        <v>Y</v>
      </c>
      <c r="BR1684" s="129" t="str">
        <f t="shared" si="1268"/>
        <v>DETAINED</v>
      </c>
      <c r="BS1684" s="129" t="str">
        <f t="shared" si="1257"/>
        <v>DISPOSED</v>
      </c>
      <c r="BT1684" s="129" t="str">
        <f t="shared" si="1258"/>
        <v>Y</v>
      </c>
      <c r="BU1684" s="109">
        <f t="shared" si="1259"/>
        <v>1</v>
      </c>
      <c r="BV1684" s="109">
        <f t="shared" si="1260"/>
        <v>1</v>
      </c>
      <c r="BW1684" s="109">
        <f t="shared" si="1247"/>
        <v>0</v>
      </c>
      <c r="BX1684" s="111">
        <f t="shared" si="1261"/>
        <v>0</v>
      </c>
      <c r="BY1684" s="129">
        <f t="shared" si="1262"/>
        <v>-62</v>
      </c>
      <c r="BZ1684" s="111">
        <f t="shared" si="1263"/>
        <v>0</v>
      </c>
      <c r="CA1684" s="138">
        <f t="shared" si="1264"/>
        <v>62</v>
      </c>
      <c r="CB1684" s="111" t="e">
        <f t="shared" ref="CB1684:CB1694" si="1276">IF(AF1684&gt;1/1/1900,((AF1684+1)-AE1684),"STILL OPEN")</f>
        <v>#VALUE!</v>
      </c>
      <c r="CC1684" s="129">
        <f>G1684-I1684+1</f>
        <v>62</v>
      </c>
      <c r="CD1684" s="129">
        <f>G1684-J1684</f>
        <v>0</v>
      </c>
      <c r="CG1684" s="129" t="str">
        <f t="shared" si="1265"/>
        <v>Y</v>
      </c>
      <c r="CI1684" s="129" t="str">
        <f t="shared" si="1269"/>
        <v>61-90 DAYS</v>
      </c>
      <c r="CJ1684" s="137">
        <f t="shared" si="1270"/>
        <v>4</v>
      </c>
      <c r="CK1684" s="129" t="str">
        <f t="shared" si="1271"/>
        <v>Booked</v>
      </c>
    </row>
    <row r="1685" spans="1:89" ht="15" customHeight="1" x14ac:dyDescent="0.25">
      <c r="A1685" s="111">
        <v>1856</v>
      </c>
      <c r="B1685" s="128" t="str">
        <f t="shared" si="1252"/>
        <v>N</v>
      </c>
      <c r="C1685" s="128" t="str">
        <f t="shared" si="1253"/>
        <v>N</v>
      </c>
      <c r="D1685" s="117">
        <v>2211694</v>
      </c>
      <c r="E1685" s="135">
        <f t="shared" si="1254"/>
        <v>3</v>
      </c>
      <c r="F1685" s="124">
        <v>40977</v>
      </c>
      <c r="G1685" s="125">
        <v>41243</v>
      </c>
      <c r="H1685" s="117">
        <v>2211694</v>
      </c>
      <c r="I1685" s="124">
        <v>40978</v>
      </c>
      <c r="J1685" s="124">
        <v>40981</v>
      </c>
      <c r="K1685" s="126">
        <v>80000</v>
      </c>
      <c r="L1685" s="129" t="s">
        <v>572</v>
      </c>
      <c r="M1685" s="125">
        <v>40981</v>
      </c>
      <c r="N1685" s="129" t="str">
        <f t="shared" si="1272"/>
        <v>Y</v>
      </c>
      <c r="O1685" s="128" t="s">
        <v>76</v>
      </c>
      <c r="P1685" s="129" t="s">
        <v>39</v>
      </c>
      <c r="Q1685" s="111">
        <f t="shared" si="1274"/>
        <v>4</v>
      </c>
      <c r="R1685" s="111">
        <f t="shared" si="1273"/>
        <v>267</v>
      </c>
      <c r="S1685" s="129">
        <v>2</v>
      </c>
      <c r="T1685" s="129">
        <v>2</v>
      </c>
      <c r="U1685" s="129">
        <v>2</v>
      </c>
      <c r="W1685" s="111"/>
      <c r="AC1685" s="130"/>
      <c r="AD1685" s="130">
        <v>32138</v>
      </c>
      <c r="AE1685" s="128" t="s">
        <v>32</v>
      </c>
      <c r="AF1685" s="128" t="s">
        <v>40</v>
      </c>
      <c r="AG1685" s="128" t="s">
        <v>41</v>
      </c>
      <c r="AH1685" s="108" t="s">
        <v>41</v>
      </c>
      <c r="AI1685" s="128" t="s">
        <v>34</v>
      </c>
      <c r="AJ1685" s="129" t="s">
        <v>89</v>
      </c>
      <c r="AK1685" s="129">
        <v>12</v>
      </c>
      <c r="AL1685" s="3" t="s">
        <v>185</v>
      </c>
      <c r="AP1685" s="129" t="s">
        <v>105</v>
      </c>
      <c r="AR1685" s="128" t="s">
        <v>92</v>
      </c>
      <c r="AS1685" s="129" t="s">
        <v>106</v>
      </c>
      <c r="BC1685" s="129" t="s">
        <v>52</v>
      </c>
      <c r="BF1685" s="111">
        <f t="shared" si="1275"/>
        <v>4</v>
      </c>
      <c r="BG1685" s="111">
        <f t="shared" si="1243"/>
        <v>266</v>
      </c>
      <c r="BH1685" s="111">
        <f t="shared" si="1249"/>
        <v>267</v>
      </c>
      <c r="BI1685" s="111">
        <f t="shared" si="1250"/>
        <v>24.150273224043715</v>
      </c>
      <c r="BJ1685" s="129">
        <f>(G1685-J1685)+(M1685-G1685)</f>
        <v>0</v>
      </c>
      <c r="BK1685" s="129">
        <f t="shared" si="1251"/>
        <v>-262</v>
      </c>
      <c r="BL1685" s="129" t="str">
        <f t="shared" ref="BL1685:BL1748" si="1277">IF(OR(AL1685="AQUITTAL",AL1685="DISMISSED",AL1685="FINE",AL1685="NO BILL"),"NO CONVICTION",IF(OR(AL1685="HCJ",AL1685="MHH",AL1685="PROBATION",AL1685="STJ",AL1685="TDC"),"CONVICTION",IF(AL1685="DEFERRED","DEFERRED",0)))</f>
        <v>CONVICTION</v>
      </c>
      <c r="BM1685" s="129" t="s">
        <v>76</v>
      </c>
      <c r="BN1685" s="129" t="s">
        <v>88</v>
      </c>
      <c r="BP1685" s="137" t="str">
        <f t="shared" si="1255"/>
        <v>CONVICTION</v>
      </c>
      <c r="BQ1685" s="128" t="str">
        <f t="shared" si="1256"/>
        <v>Y</v>
      </c>
      <c r="BR1685" s="129" t="str">
        <f>IF(J1685&lt;G1685,"ON BOND",0)</f>
        <v>ON BOND</v>
      </c>
      <c r="BS1685" s="129" t="str">
        <f t="shared" si="1257"/>
        <v>DISPOSED</v>
      </c>
      <c r="BT1685" s="129" t="str">
        <f t="shared" si="1258"/>
        <v>Y</v>
      </c>
      <c r="BU1685" s="109">
        <f t="shared" si="1259"/>
        <v>1.4981273408239701E-2</v>
      </c>
      <c r="BV1685" s="109">
        <f t="shared" si="1260"/>
        <v>1.5037593984962405E-2</v>
      </c>
      <c r="BW1685" s="109">
        <f t="shared" si="1247"/>
        <v>5.6320576722704643E-5</v>
      </c>
      <c r="BX1685" s="111">
        <f t="shared" si="1261"/>
        <v>0</v>
      </c>
      <c r="BY1685" s="129">
        <f t="shared" si="1262"/>
        <v>-4</v>
      </c>
      <c r="BZ1685" s="111">
        <f t="shared" si="1263"/>
        <v>0</v>
      </c>
      <c r="CA1685" s="138">
        <f t="shared" si="1264"/>
        <v>4</v>
      </c>
      <c r="CB1685" s="111" t="e">
        <f t="shared" si="1276"/>
        <v>#VALUE!</v>
      </c>
      <c r="CC1685" s="129">
        <f>M1685-I1685+1</f>
        <v>4</v>
      </c>
      <c r="CD1685" s="111">
        <f>CC1685-BF1685</f>
        <v>0</v>
      </c>
      <c r="CG1685" s="129" t="str">
        <f t="shared" si="1265"/>
        <v>Y</v>
      </c>
      <c r="CI1685" s="129" t="str">
        <f t="shared" si="1269"/>
        <v>0-10 DAYS</v>
      </c>
      <c r="CJ1685" s="137">
        <f t="shared" si="1270"/>
        <v>1</v>
      </c>
      <c r="CK1685" s="129" t="str">
        <f t="shared" si="1271"/>
        <v>Booked</v>
      </c>
    </row>
    <row r="1686" spans="1:89" ht="15.75" customHeight="1" x14ac:dyDescent="0.25">
      <c r="A1686" s="111">
        <v>3263</v>
      </c>
      <c r="B1686" s="128" t="str">
        <f t="shared" si="1252"/>
        <v>N</v>
      </c>
      <c r="C1686" s="128" t="str">
        <f t="shared" si="1253"/>
        <v>N</v>
      </c>
      <c r="D1686" s="117">
        <v>2213212</v>
      </c>
      <c r="E1686" s="135">
        <f t="shared" si="1254"/>
        <v>6</v>
      </c>
      <c r="F1686" s="124">
        <v>41029</v>
      </c>
      <c r="G1686" s="125">
        <v>41059</v>
      </c>
      <c r="H1686" s="117">
        <v>2213212</v>
      </c>
      <c r="I1686" s="124">
        <v>41029</v>
      </c>
      <c r="J1686" s="124">
        <v>41059</v>
      </c>
      <c r="K1686" s="126" t="s">
        <v>564</v>
      </c>
      <c r="L1686" s="127" t="s">
        <v>564</v>
      </c>
      <c r="N1686" s="129" t="s">
        <v>566</v>
      </c>
      <c r="O1686" s="128" t="s">
        <v>917</v>
      </c>
      <c r="P1686" s="129" t="s">
        <v>39</v>
      </c>
      <c r="Q1686" s="111">
        <f t="shared" si="1274"/>
        <v>31</v>
      </c>
      <c r="R1686" s="111">
        <f t="shared" si="1273"/>
        <v>31</v>
      </c>
      <c r="S1686" s="129">
        <v>1</v>
      </c>
      <c r="T1686" s="129">
        <v>0</v>
      </c>
      <c r="U1686" s="129">
        <v>1</v>
      </c>
      <c r="W1686" s="111"/>
      <c r="AC1686" s="130"/>
      <c r="AD1686" s="130">
        <v>27011</v>
      </c>
      <c r="AE1686" s="128" t="s">
        <v>32</v>
      </c>
      <c r="AF1686" s="128" t="s">
        <v>33</v>
      </c>
      <c r="AG1686" s="128" t="s">
        <v>872</v>
      </c>
      <c r="AH1686" s="108" t="s">
        <v>31</v>
      </c>
      <c r="AI1686" s="128" t="s">
        <v>59</v>
      </c>
      <c r="AJ1686" s="129" t="s">
        <v>89</v>
      </c>
      <c r="AK1686" s="129">
        <v>2</v>
      </c>
      <c r="AL1686" s="3" t="s">
        <v>362</v>
      </c>
      <c r="AM1686" s="117">
        <v>10</v>
      </c>
      <c r="AP1686" s="129" t="s">
        <v>56</v>
      </c>
      <c r="AR1686" s="128" t="s">
        <v>50</v>
      </c>
      <c r="AS1686" s="129" t="s">
        <v>57</v>
      </c>
      <c r="BC1686" s="129" t="s">
        <v>38</v>
      </c>
      <c r="BF1686" s="111">
        <f t="shared" si="1275"/>
        <v>31</v>
      </c>
      <c r="BG1686" s="111">
        <f t="shared" si="1243"/>
        <v>31</v>
      </c>
      <c r="BH1686" s="111">
        <f t="shared" si="1249"/>
        <v>31</v>
      </c>
      <c r="BI1686" s="111">
        <f t="shared" si="1250"/>
        <v>38.300546448087431</v>
      </c>
      <c r="BJ1686" s="129">
        <f t="shared" si="1266"/>
        <v>0</v>
      </c>
      <c r="BK1686" s="129">
        <f t="shared" si="1251"/>
        <v>0</v>
      </c>
      <c r="BL1686" s="129" t="str">
        <f t="shared" si="1277"/>
        <v>CONVICTION</v>
      </c>
      <c r="BM1686" s="129" t="str">
        <f t="shared" si="1267"/>
        <v>NONE</v>
      </c>
      <c r="BN1686" s="129" t="s">
        <v>566</v>
      </c>
      <c r="BP1686" s="137" t="str">
        <f t="shared" si="1255"/>
        <v>CONVICTION</v>
      </c>
      <c r="BQ1686" s="128" t="str">
        <f t="shared" si="1256"/>
        <v>Y</v>
      </c>
      <c r="BR1686" s="129" t="str">
        <f t="shared" si="1268"/>
        <v>DETAINED</v>
      </c>
      <c r="BS1686" s="129" t="str">
        <f t="shared" si="1257"/>
        <v>DISPOSED</v>
      </c>
      <c r="BT1686" s="129" t="str">
        <f t="shared" si="1258"/>
        <v>Y</v>
      </c>
      <c r="BU1686" s="109">
        <f t="shared" si="1259"/>
        <v>1</v>
      </c>
      <c r="BV1686" s="109">
        <f t="shared" si="1260"/>
        <v>1</v>
      </c>
      <c r="BW1686" s="109">
        <f t="shared" si="1247"/>
        <v>0</v>
      </c>
      <c r="BX1686" s="111">
        <f t="shared" si="1261"/>
        <v>0</v>
      </c>
      <c r="BY1686" s="129">
        <f t="shared" si="1262"/>
        <v>-31</v>
      </c>
      <c r="BZ1686" s="111">
        <f t="shared" si="1263"/>
        <v>0</v>
      </c>
      <c r="CA1686" s="138">
        <f t="shared" si="1264"/>
        <v>31</v>
      </c>
      <c r="CB1686" s="111" t="e">
        <f t="shared" si="1276"/>
        <v>#VALUE!</v>
      </c>
      <c r="CC1686" s="129">
        <f>G1686-I1686+1</f>
        <v>31</v>
      </c>
      <c r="CD1686" s="129">
        <f>G1686-J1686</f>
        <v>0</v>
      </c>
      <c r="CG1686" s="129" t="str">
        <f t="shared" si="1265"/>
        <v>Y</v>
      </c>
      <c r="CI1686" s="129" t="str">
        <f t="shared" si="1269"/>
        <v>31-60 DAYS</v>
      </c>
      <c r="CJ1686" s="137">
        <f t="shared" si="1270"/>
        <v>3</v>
      </c>
      <c r="CK1686" s="129" t="str">
        <f t="shared" si="1271"/>
        <v>Booked</v>
      </c>
    </row>
    <row r="1687" spans="1:89" ht="15" customHeight="1" x14ac:dyDescent="0.25">
      <c r="A1687" s="111">
        <v>1528</v>
      </c>
      <c r="B1687" s="128" t="str">
        <f t="shared" si="1252"/>
        <v>N</v>
      </c>
      <c r="C1687" s="128" t="str">
        <f t="shared" si="1253"/>
        <v>N</v>
      </c>
      <c r="D1687" s="117">
        <v>2213301</v>
      </c>
      <c r="E1687" s="135">
        <f t="shared" si="1254"/>
        <v>6</v>
      </c>
      <c r="F1687" s="124">
        <v>40965</v>
      </c>
      <c r="G1687" s="125">
        <v>41170</v>
      </c>
      <c r="H1687" s="117">
        <v>2213301</v>
      </c>
      <c r="I1687" s="124">
        <v>40965</v>
      </c>
      <c r="J1687" s="124">
        <v>40967</v>
      </c>
      <c r="K1687" s="126">
        <v>10000</v>
      </c>
      <c r="L1687" s="127" t="s">
        <v>570</v>
      </c>
      <c r="M1687" s="125">
        <v>40967</v>
      </c>
      <c r="N1687" s="129" t="str">
        <f>IF(M1687&gt;1/1/1,"Y","N")</f>
        <v>Y</v>
      </c>
      <c r="O1687" s="128" t="s">
        <v>585</v>
      </c>
      <c r="P1687" s="129" t="s">
        <v>39</v>
      </c>
      <c r="Q1687" s="111">
        <f t="shared" si="1274"/>
        <v>3</v>
      </c>
      <c r="R1687" s="111">
        <f t="shared" si="1273"/>
        <v>206</v>
      </c>
      <c r="S1687" s="129">
        <v>1</v>
      </c>
      <c r="T1687" s="129">
        <v>3</v>
      </c>
      <c r="U1687" s="129">
        <v>1</v>
      </c>
      <c r="W1687" s="111"/>
      <c r="AC1687" s="130"/>
      <c r="AD1687" s="130">
        <v>26811</v>
      </c>
      <c r="AE1687" s="128" t="s">
        <v>32</v>
      </c>
      <c r="AF1687" s="128" t="s">
        <v>40</v>
      </c>
      <c r="AG1687" s="128" t="s">
        <v>41</v>
      </c>
      <c r="AH1687" s="108" t="s">
        <v>41</v>
      </c>
      <c r="AI1687" s="128" t="s">
        <v>71</v>
      </c>
      <c r="AJ1687" s="129" t="s">
        <v>89</v>
      </c>
      <c r="AK1687" s="129">
        <v>8</v>
      </c>
      <c r="AL1687" s="3" t="s">
        <v>362</v>
      </c>
      <c r="AM1687" s="117">
        <v>10</v>
      </c>
      <c r="AP1687" s="129" t="s">
        <v>66</v>
      </c>
      <c r="AR1687" s="128" t="s">
        <v>67</v>
      </c>
      <c r="AS1687" s="129" t="s">
        <v>68</v>
      </c>
      <c r="BC1687" s="129" t="s">
        <v>52</v>
      </c>
      <c r="BF1687" s="111">
        <f t="shared" si="1275"/>
        <v>3</v>
      </c>
      <c r="BG1687" s="111">
        <f t="shared" si="1243"/>
        <v>206</v>
      </c>
      <c r="BH1687" s="111">
        <f t="shared" si="1249"/>
        <v>206</v>
      </c>
      <c r="BI1687" s="111">
        <f t="shared" si="1250"/>
        <v>38.672131147540981</v>
      </c>
      <c r="BJ1687" s="129">
        <f>(G1687-J1687)+(M1687-G1687)</f>
        <v>0</v>
      </c>
      <c r="BK1687" s="129">
        <f t="shared" si="1251"/>
        <v>-203</v>
      </c>
      <c r="BL1687" s="129" t="str">
        <f t="shared" si="1277"/>
        <v>CONVICTION</v>
      </c>
      <c r="BM1687" s="129" t="s">
        <v>76</v>
      </c>
      <c r="BN1687" s="129" t="s">
        <v>88</v>
      </c>
      <c r="BP1687" s="137" t="str">
        <f t="shared" si="1255"/>
        <v>CONVICTION</v>
      </c>
      <c r="BQ1687" s="128" t="str">
        <f t="shared" si="1256"/>
        <v>Y</v>
      </c>
      <c r="BR1687" s="129" t="str">
        <f>IF(J1687&lt;G1687,"ON BOND",0)</f>
        <v>ON BOND</v>
      </c>
      <c r="BS1687" s="129" t="str">
        <f t="shared" si="1257"/>
        <v>DISPOSED</v>
      </c>
      <c r="BT1687" s="129" t="str">
        <f t="shared" si="1258"/>
        <v>Y</v>
      </c>
      <c r="BU1687" s="109">
        <f t="shared" si="1259"/>
        <v>1.4563106796116505E-2</v>
      </c>
      <c r="BV1687" s="109">
        <f t="shared" si="1260"/>
        <v>1.4563106796116505E-2</v>
      </c>
      <c r="BW1687" s="109">
        <f t="shared" si="1247"/>
        <v>0</v>
      </c>
      <c r="BX1687" s="111">
        <f t="shared" si="1261"/>
        <v>0</v>
      </c>
      <c r="BY1687" s="129">
        <f t="shared" si="1262"/>
        <v>-3</v>
      </c>
      <c r="BZ1687" s="111">
        <f t="shared" si="1263"/>
        <v>0</v>
      </c>
      <c r="CA1687" s="138">
        <f t="shared" si="1264"/>
        <v>3</v>
      </c>
      <c r="CB1687" s="111" t="e">
        <f t="shared" si="1276"/>
        <v>#VALUE!</v>
      </c>
      <c r="CC1687" s="129">
        <f>M1687-I1687+1</f>
        <v>3</v>
      </c>
      <c r="CD1687" s="111">
        <f>CC1687-BF1687</f>
        <v>0</v>
      </c>
      <c r="CG1687" s="129" t="str">
        <f t="shared" si="1265"/>
        <v>Y</v>
      </c>
      <c r="CI1687" s="129" t="str">
        <f t="shared" si="1269"/>
        <v>0-10 DAYS</v>
      </c>
      <c r="CJ1687" s="137">
        <f t="shared" si="1270"/>
        <v>1</v>
      </c>
      <c r="CK1687" s="129" t="str">
        <f t="shared" si="1271"/>
        <v>Booked</v>
      </c>
    </row>
    <row r="1688" spans="1:89" ht="15" customHeight="1" x14ac:dyDescent="0.25">
      <c r="A1688" s="111">
        <v>718</v>
      </c>
      <c r="B1688" s="128" t="str">
        <f t="shared" si="1252"/>
        <v>N</v>
      </c>
      <c r="C1688" s="128" t="str">
        <f t="shared" si="1253"/>
        <v>N</v>
      </c>
      <c r="D1688" s="117">
        <v>2214029</v>
      </c>
      <c r="E1688" s="135">
        <f t="shared" si="1254"/>
        <v>5</v>
      </c>
      <c r="F1688" s="124">
        <v>40936</v>
      </c>
      <c r="G1688" s="125">
        <v>41166</v>
      </c>
      <c r="H1688" s="117">
        <v>2214029</v>
      </c>
      <c r="I1688" s="124">
        <v>40937</v>
      </c>
      <c r="J1688" s="124">
        <v>41166</v>
      </c>
      <c r="K1688" s="126">
        <v>42000</v>
      </c>
      <c r="L1688" s="129" t="s">
        <v>572</v>
      </c>
      <c r="N1688" s="129" t="str">
        <f>IF(M1688&gt;1/1/1,"Y","N")</f>
        <v>N</v>
      </c>
      <c r="O1688" s="128" t="s">
        <v>917</v>
      </c>
      <c r="P1688" s="129" t="s">
        <v>39</v>
      </c>
      <c r="Q1688" s="111">
        <f t="shared" si="1274"/>
        <v>230</v>
      </c>
      <c r="R1688" s="111">
        <f t="shared" si="1273"/>
        <v>231</v>
      </c>
      <c r="S1688" s="129">
        <v>2</v>
      </c>
      <c r="T1688" s="129">
        <v>3</v>
      </c>
      <c r="U1688" s="129">
        <v>2</v>
      </c>
      <c r="W1688" s="111"/>
      <c r="AC1688" s="130"/>
      <c r="AD1688" s="130">
        <v>32124</v>
      </c>
      <c r="AE1688" s="128" t="s">
        <v>32</v>
      </c>
      <c r="AF1688" s="128" t="s">
        <v>33</v>
      </c>
      <c r="AG1688" s="128" t="s">
        <v>872</v>
      </c>
      <c r="AH1688" s="108" t="s">
        <v>31</v>
      </c>
      <c r="AI1688" s="128" t="s">
        <v>42</v>
      </c>
      <c r="AJ1688" s="129" t="s">
        <v>89</v>
      </c>
      <c r="AK1688" s="129">
        <v>10</v>
      </c>
      <c r="AL1688" s="3" t="s">
        <v>992</v>
      </c>
      <c r="AN1688" s="117">
        <v>12</v>
      </c>
      <c r="AP1688" s="129" t="s">
        <v>108</v>
      </c>
      <c r="AR1688" s="128" t="s">
        <v>44</v>
      </c>
      <c r="AS1688" s="129" t="s">
        <v>61</v>
      </c>
      <c r="BC1688" s="129" t="s">
        <v>38</v>
      </c>
      <c r="BF1688" s="111">
        <f t="shared" si="1275"/>
        <v>230</v>
      </c>
      <c r="BG1688" s="111">
        <f t="shared" si="1243"/>
        <v>230</v>
      </c>
      <c r="BH1688" s="111">
        <f t="shared" si="1249"/>
        <v>231</v>
      </c>
      <c r="BI1688" s="111">
        <f t="shared" si="1250"/>
        <v>24.076502732240439</v>
      </c>
      <c r="BJ1688" s="129">
        <f t="shared" si="1266"/>
        <v>0</v>
      </c>
      <c r="BK1688" s="129">
        <f t="shared" si="1251"/>
        <v>0</v>
      </c>
      <c r="BL1688" s="129" t="str">
        <f t="shared" si="1277"/>
        <v>CONVICTION</v>
      </c>
      <c r="BM1688" s="129" t="str">
        <f t="shared" si="1267"/>
        <v>NONE</v>
      </c>
      <c r="BN1688" s="129" t="s">
        <v>566</v>
      </c>
      <c r="BP1688" s="137" t="str">
        <f t="shared" si="1255"/>
        <v>CONVICTION</v>
      </c>
      <c r="BQ1688" s="128" t="str">
        <f t="shared" si="1256"/>
        <v>Y</v>
      </c>
      <c r="BR1688" s="129" t="str">
        <f t="shared" si="1268"/>
        <v>DETAINED</v>
      </c>
      <c r="BS1688" s="129" t="str">
        <f t="shared" si="1257"/>
        <v>DISPOSED</v>
      </c>
      <c r="BT1688" s="129" t="str">
        <f t="shared" si="1258"/>
        <v>Y</v>
      </c>
      <c r="BU1688" s="109">
        <f t="shared" si="1259"/>
        <v>0.99567099567099571</v>
      </c>
      <c r="BV1688" s="109">
        <f t="shared" si="1260"/>
        <v>1</v>
      </c>
      <c r="BW1688" s="109">
        <f t="shared" si="1247"/>
        <v>4.3290043290042934E-3</v>
      </c>
      <c r="BX1688" s="111">
        <f t="shared" si="1261"/>
        <v>0</v>
      </c>
      <c r="BY1688" s="129">
        <f t="shared" si="1262"/>
        <v>-230</v>
      </c>
      <c r="BZ1688" s="111">
        <f t="shared" si="1263"/>
        <v>0</v>
      </c>
      <c r="CA1688" s="138">
        <f t="shared" si="1264"/>
        <v>230</v>
      </c>
      <c r="CB1688" s="111" t="e">
        <f t="shared" si="1276"/>
        <v>#VALUE!</v>
      </c>
      <c r="CC1688" s="129">
        <f>G1688-I1688+1</f>
        <v>230</v>
      </c>
      <c r="CD1688" s="129">
        <f>G1688-J1688</f>
        <v>0</v>
      </c>
      <c r="CG1688" s="129" t="str">
        <f t="shared" si="1265"/>
        <v>Y</v>
      </c>
      <c r="CI1688" s="129" t="str">
        <f t="shared" si="1269"/>
        <v>121-365 DAYS</v>
      </c>
      <c r="CJ1688" s="137">
        <f t="shared" si="1270"/>
        <v>6</v>
      </c>
      <c r="CK1688" s="129" t="str">
        <f t="shared" si="1271"/>
        <v>Booked</v>
      </c>
    </row>
    <row r="1689" spans="1:89" ht="15" customHeight="1" x14ac:dyDescent="0.25">
      <c r="A1689" s="111">
        <v>71</v>
      </c>
      <c r="B1689" s="128" t="str">
        <f t="shared" si="1252"/>
        <v>N</v>
      </c>
      <c r="C1689" s="128" t="str">
        <f t="shared" si="1253"/>
        <v>Y</v>
      </c>
      <c r="D1689" s="117">
        <v>2214255</v>
      </c>
      <c r="E1689" s="135">
        <f t="shared" si="1254"/>
        <v>1</v>
      </c>
      <c r="F1689" s="124">
        <v>40912</v>
      </c>
      <c r="G1689" s="125">
        <v>40991</v>
      </c>
      <c r="H1689" s="117">
        <v>2214255</v>
      </c>
      <c r="I1689" s="124">
        <v>40913</v>
      </c>
      <c r="J1689" s="124">
        <v>40921</v>
      </c>
      <c r="K1689" s="126">
        <v>20000</v>
      </c>
      <c r="L1689" s="127" t="s">
        <v>571</v>
      </c>
      <c r="M1689" s="125">
        <v>40921</v>
      </c>
      <c r="N1689" s="129" t="str">
        <f>IF(M1689&gt;1/1/1,"Y","N")</f>
        <v>Y</v>
      </c>
      <c r="O1689" s="128" t="s">
        <v>76</v>
      </c>
      <c r="P1689" s="116" t="s">
        <v>55</v>
      </c>
      <c r="Q1689" s="111">
        <f t="shared" si="1274"/>
        <v>9</v>
      </c>
      <c r="R1689" s="111">
        <f t="shared" si="1273"/>
        <v>80</v>
      </c>
      <c r="S1689" s="129">
        <v>0</v>
      </c>
      <c r="T1689" s="129">
        <v>2</v>
      </c>
      <c r="W1689" s="111"/>
      <c r="AC1689" s="130"/>
      <c r="AD1689" s="130">
        <v>29902</v>
      </c>
      <c r="AE1689" s="128" t="s">
        <v>32</v>
      </c>
      <c r="AF1689" s="128" t="s">
        <v>33</v>
      </c>
      <c r="AG1689" s="128" t="s">
        <v>872</v>
      </c>
      <c r="AH1689" s="108" t="s">
        <v>31</v>
      </c>
      <c r="AI1689" s="128" t="s">
        <v>72</v>
      </c>
      <c r="AJ1689" s="129" t="s">
        <v>55</v>
      </c>
      <c r="AK1689" s="129">
        <v>2</v>
      </c>
      <c r="AL1689" s="3" t="s">
        <v>55</v>
      </c>
      <c r="AP1689" s="129" t="s">
        <v>49</v>
      </c>
      <c r="AR1689" s="128" t="s">
        <v>50</v>
      </c>
      <c r="AS1689" s="129" t="s">
        <v>45</v>
      </c>
      <c r="AV1689" s="3" t="s">
        <v>88</v>
      </c>
      <c r="AW1689" s="123" t="s">
        <v>678</v>
      </c>
      <c r="AX1689" s="123"/>
      <c r="BA1689" s="125">
        <v>41071</v>
      </c>
      <c r="BB1689" s="129">
        <v>235</v>
      </c>
      <c r="BC1689" s="129" t="s">
        <v>38</v>
      </c>
      <c r="BF1689" s="111">
        <v>9</v>
      </c>
      <c r="BG1689" s="111">
        <f t="shared" si="1243"/>
        <v>79</v>
      </c>
      <c r="BH1689" s="111">
        <f t="shared" si="1249"/>
        <v>80</v>
      </c>
      <c r="BI1689" s="111">
        <f t="shared" si="1250"/>
        <v>30.081967213114755</v>
      </c>
      <c r="BJ1689" s="129">
        <f>(G1689-J1689)+(M1689-G1689)</f>
        <v>0</v>
      </c>
      <c r="BK1689" s="129">
        <f t="shared" si="1251"/>
        <v>-70</v>
      </c>
      <c r="BL1689" s="129" t="str">
        <f t="shared" si="1277"/>
        <v>NO CONVICTION</v>
      </c>
      <c r="BM1689" s="129" t="s">
        <v>76</v>
      </c>
      <c r="BN1689" s="129" t="s">
        <v>88</v>
      </c>
      <c r="BP1689" s="137" t="str">
        <f t="shared" si="1255"/>
        <v>NO CONVICTION</v>
      </c>
      <c r="BQ1689" s="128" t="str">
        <f t="shared" si="1256"/>
        <v>Y</v>
      </c>
      <c r="BR1689" s="129" t="str">
        <f t="shared" si="1268"/>
        <v>ON BOND</v>
      </c>
      <c r="BS1689" s="129" t="str">
        <f t="shared" si="1257"/>
        <v>DISPOSED</v>
      </c>
      <c r="BT1689" s="129" t="str">
        <f t="shared" si="1258"/>
        <v>N</v>
      </c>
      <c r="BU1689" s="109">
        <f>IFERROR(Q1689/R1689,BR1689)</f>
        <v>0.1125</v>
      </c>
      <c r="BV1689" s="109">
        <f t="shared" si="1260"/>
        <v>0.11392405063291139</v>
      </c>
      <c r="BW1689" s="109">
        <f t="shared" si="1247"/>
        <v>1.4240506329113861E-3</v>
      </c>
      <c r="BX1689" s="111">
        <f t="shared" si="1261"/>
        <v>0</v>
      </c>
      <c r="BY1689" s="129">
        <f t="shared" si="1262"/>
        <v>-9</v>
      </c>
      <c r="BZ1689" s="111">
        <f t="shared" si="1263"/>
        <v>0</v>
      </c>
      <c r="CA1689" s="138">
        <f t="shared" si="1264"/>
        <v>9</v>
      </c>
      <c r="CB1689" s="111" t="e">
        <f t="shared" si="1276"/>
        <v>#VALUE!</v>
      </c>
      <c r="CD1689" s="129">
        <f>G1689-J1689</f>
        <v>70</v>
      </c>
      <c r="CG1689" s="129" t="str">
        <f t="shared" si="1265"/>
        <v>Y</v>
      </c>
      <c r="CI1689" s="129" t="str">
        <f t="shared" si="1269"/>
        <v>0-10 DAYS</v>
      </c>
      <c r="CJ1689" s="137">
        <f t="shared" si="1270"/>
        <v>1</v>
      </c>
      <c r="CK1689" s="129" t="str">
        <f t="shared" si="1271"/>
        <v>Booked</v>
      </c>
    </row>
    <row r="1690" spans="1:89" ht="15.75" customHeight="1" x14ac:dyDescent="0.25">
      <c r="A1690" s="111">
        <v>2270</v>
      </c>
      <c r="B1690" s="128" t="str">
        <f t="shared" si="1252"/>
        <v>N</v>
      </c>
      <c r="C1690" s="128" t="str">
        <f t="shared" si="1253"/>
        <v>N</v>
      </c>
      <c r="D1690" s="117">
        <v>2214354</v>
      </c>
      <c r="E1690" s="135">
        <f t="shared" si="1254"/>
        <v>6</v>
      </c>
      <c r="F1690" s="124">
        <v>40995</v>
      </c>
      <c r="G1690" s="125">
        <v>41073</v>
      </c>
      <c r="H1690" s="117">
        <v>2214354</v>
      </c>
      <c r="I1690" s="124">
        <v>41004</v>
      </c>
      <c r="J1690" s="124">
        <v>41073</v>
      </c>
      <c r="K1690" s="126" t="s">
        <v>564</v>
      </c>
      <c r="L1690" s="127" t="s">
        <v>564</v>
      </c>
      <c r="N1690" s="129" t="s">
        <v>566</v>
      </c>
      <c r="O1690" s="128" t="s">
        <v>917</v>
      </c>
      <c r="P1690" s="129" t="s">
        <v>39</v>
      </c>
      <c r="Q1690" s="111">
        <f t="shared" si="1274"/>
        <v>70</v>
      </c>
      <c r="R1690" s="111">
        <f t="shared" si="1273"/>
        <v>79</v>
      </c>
      <c r="S1690" s="129">
        <v>1</v>
      </c>
      <c r="T1690" s="129">
        <v>2</v>
      </c>
      <c r="U1690" s="129">
        <v>1</v>
      </c>
      <c r="W1690" s="111"/>
      <c r="AC1690" s="130"/>
      <c r="AD1690" s="130">
        <v>32272</v>
      </c>
      <c r="AE1690" s="128" t="s">
        <v>32</v>
      </c>
      <c r="AF1690" s="128" t="s">
        <v>69</v>
      </c>
      <c r="AG1690" s="128" t="s">
        <v>874</v>
      </c>
      <c r="AH1690" s="108" t="s">
        <v>58</v>
      </c>
      <c r="AI1690" s="128" t="s">
        <v>114</v>
      </c>
      <c r="AJ1690" s="129" t="s">
        <v>89</v>
      </c>
      <c r="AK1690" s="129">
        <v>7</v>
      </c>
      <c r="AL1690" s="3" t="s">
        <v>362</v>
      </c>
      <c r="AM1690" s="117">
        <v>5</v>
      </c>
      <c r="AP1690" s="129" t="s">
        <v>73</v>
      </c>
      <c r="AR1690" s="128" t="s">
        <v>50</v>
      </c>
      <c r="AS1690" s="129" t="s">
        <v>74</v>
      </c>
      <c r="BC1690" s="129" t="s">
        <v>52</v>
      </c>
      <c r="BF1690" s="111">
        <f t="shared" si="1275"/>
        <v>70</v>
      </c>
      <c r="BG1690" s="111">
        <f t="shared" si="1243"/>
        <v>70</v>
      </c>
      <c r="BH1690" s="111">
        <f t="shared" si="1249"/>
        <v>79</v>
      </c>
      <c r="BI1690" s="111">
        <f t="shared" si="1250"/>
        <v>23.833333333333332</v>
      </c>
      <c r="BJ1690" s="129">
        <f t="shared" si="1266"/>
        <v>0</v>
      </c>
      <c r="BK1690" s="129">
        <f t="shared" si="1251"/>
        <v>0</v>
      </c>
      <c r="BL1690" s="129" t="str">
        <f t="shared" si="1277"/>
        <v>CONVICTION</v>
      </c>
      <c r="BM1690" s="129" t="str">
        <f t="shared" si="1267"/>
        <v>NONE</v>
      </c>
      <c r="BN1690" s="129" t="s">
        <v>566</v>
      </c>
      <c r="BP1690" s="137" t="str">
        <f t="shared" si="1255"/>
        <v>CONVICTION</v>
      </c>
      <c r="BQ1690" s="128" t="str">
        <f t="shared" si="1256"/>
        <v>Y</v>
      </c>
      <c r="BR1690" s="129" t="str">
        <f t="shared" si="1268"/>
        <v>DETAINED</v>
      </c>
      <c r="BS1690" s="129" t="str">
        <f t="shared" si="1257"/>
        <v>DISPOSED</v>
      </c>
      <c r="BT1690" s="129" t="str">
        <f t="shared" si="1258"/>
        <v>Y</v>
      </c>
      <c r="BU1690" s="109">
        <f t="shared" si="1259"/>
        <v>0.88607594936708856</v>
      </c>
      <c r="BV1690" s="109">
        <f t="shared" si="1260"/>
        <v>1</v>
      </c>
      <c r="BW1690" s="109">
        <f t="shared" si="1247"/>
        <v>0.11392405063291144</v>
      </c>
      <c r="BX1690" s="111">
        <f t="shared" si="1261"/>
        <v>0</v>
      </c>
      <c r="BY1690" s="129">
        <f t="shared" si="1262"/>
        <v>-70</v>
      </c>
      <c r="BZ1690" s="111">
        <f t="shared" si="1263"/>
        <v>0</v>
      </c>
      <c r="CA1690" s="138">
        <f t="shared" si="1264"/>
        <v>70</v>
      </c>
      <c r="CB1690" s="111" t="e">
        <f t="shared" si="1276"/>
        <v>#VALUE!</v>
      </c>
      <c r="CC1690" s="129">
        <f>G1690-I1690+1</f>
        <v>70</v>
      </c>
      <c r="CD1690" s="129">
        <f>G1690-J1690</f>
        <v>0</v>
      </c>
      <c r="CG1690" s="129" t="str">
        <f t="shared" si="1265"/>
        <v>Y</v>
      </c>
      <c r="CI1690" s="129" t="str">
        <f t="shared" si="1269"/>
        <v>61-90 DAYS</v>
      </c>
      <c r="CJ1690" s="137">
        <f t="shared" si="1270"/>
        <v>4</v>
      </c>
      <c r="CK1690" s="129" t="str">
        <f t="shared" si="1271"/>
        <v>Booked</v>
      </c>
    </row>
    <row r="1691" spans="1:89" ht="15" customHeight="1" x14ac:dyDescent="0.25">
      <c r="A1691" s="111">
        <v>1391</v>
      </c>
      <c r="B1691" s="128" t="str">
        <f t="shared" si="1252"/>
        <v>N</v>
      </c>
      <c r="C1691" s="128" t="str">
        <f t="shared" si="1253"/>
        <v>N</v>
      </c>
      <c r="D1691" s="117">
        <v>2214666</v>
      </c>
      <c r="E1691" s="135">
        <f t="shared" si="1254"/>
        <v>1</v>
      </c>
      <c r="F1691" s="124">
        <v>40960</v>
      </c>
      <c r="G1691" s="125">
        <v>40963</v>
      </c>
      <c r="H1691" s="117">
        <v>2214666</v>
      </c>
      <c r="I1691" s="124">
        <v>40961</v>
      </c>
      <c r="J1691" s="124">
        <v>40963</v>
      </c>
      <c r="K1691" s="126">
        <v>30000</v>
      </c>
      <c r="L1691" s="129" t="s">
        <v>572</v>
      </c>
      <c r="N1691" s="129" t="str">
        <f>IF(M1691&gt;1/1/1,"Y","N")</f>
        <v>N</v>
      </c>
      <c r="O1691" s="128" t="s">
        <v>917</v>
      </c>
      <c r="P1691" s="129" t="s">
        <v>55</v>
      </c>
      <c r="Q1691" s="111">
        <f t="shared" si="1274"/>
        <v>3</v>
      </c>
      <c r="R1691" s="111">
        <f t="shared" si="1273"/>
        <v>4</v>
      </c>
      <c r="S1691" s="129">
        <v>1</v>
      </c>
      <c r="T1691" s="129">
        <v>3</v>
      </c>
      <c r="U1691" s="129">
        <v>1</v>
      </c>
      <c r="W1691" s="111"/>
      <c r="AC1691" s="130"/>
      <c r="AD1691" s="130">
        <v>32537</v>
      </c>
      <c r="AE1691" s="128" t="s">
        <v>46</v>
      </c>
      <c r="AF1691" s="128" t="s">
        <v>33</v>
      </c>
      <c r="AG1691" s="128" t="s">
        <v>872</v>
      </c>
      <c r="AH1691" s="108" t="s">
        <v>58</v>
      </c>
      <c r="AI1691" s="128" t="s">
        <v>85</v>
      </c>
      <c r="AJ1691" s="129" t="s">
        <v>55</v>
      </c>
      <c r="AK1691" s="129">
        <v>3</v>
      </c>
      <c r="AL1691" s="3" t="s">
        <v>55</v>
      </c>
      <c r="AP1691" s="129" t="s">
        <v>73</v>
      </c>
      <c r="AR1691" s="128" t="s">
        <v>50</v>
      </c>
      <c r="AS1691" s="129" t="s">
        <v>74</v>
      </c>
      <c r="BC1691" s="129" t="s">
        <v>38</v>
      </c>
      <c r="BF1691" s="111">
        <f t="shared" si="1275"/>
        <v>3</v>
      </c>
      <c r="BG1691" s="111">
        <f t="shared" si="1243"/>
        <v>3</v>
      </c>
      <c r="BH1691" s="111">
        <f t="shared" si="1249"/>
        <v>4</v>
      </c>
      <c r="BI1691" s="111">
        <f t="shared" si="1250"/>
        <v>23.013661202185791</v>
      </c>
      <c r="BJ1691" s="129">
        <f t="shared" si="1266"/>
        <v>0</v>
      </c>
      <c r="BK1691" s="129">
        <f t="shared" si="1251"/>
        <v>0</v>
      </c>
      <c r="BL1691" s="129" t="str">
        <f t="shared" si="1277"/>
        <v>NO CONVICTION</v>
      </c>
      <c r="BM1691" s="129" t="str">
        <f t="shared" si="1267"/>
        <v>NONE</v>
      </c>
      <c r="BN1691" s="129" t="s">
        <v>566</v>
      </c>
      <c r="BP1691" s="137" t="str">
        <f t="shared" si="1255"/>
        <v>NO CONVICTION</v>
      </c>
      <c r="BQ1691" s="128" t="str">
        <f t="shared" si="1256"/>
        <v>Y</v>
      </c>
      <c r="BR1691" s="129" t="str">
        <f t="shared" si="1268"/>
        <v>DETAINED</v>
      </c>
      <c r="BS1691" s="129" t="str">
        <f t="shared" si="1257"/>
        <v>DISPOSED</v>
      </c>
      <c r="BT1691" s="129" t="str">
        <f t="shared" si="1258"/>
        <v>Y</v>
      </c>
      <c r="BU1691" s="109">
        <f>IFERROR(Q1691/R1691,BR1691)</f>
        <v>0.75</v>
      </c>
      <c r="BV1691" s="109">
        <f t="shared" si="1260"/>
        <v>1</v>
      </c>
      <c r="BW1691" s="109">
        <f t="shared" si="1247"/>
        <v>0.25</v>
      </c>
      <c r="BX1691" s="111">
        <f t="shared" si="1261"/>
        <v>0</v>
      </c>
      <c r="BY1691" s="129">
        <f t="shared" si="1262"/>
        <v>-3</v>
      </c>
      <c r="BZ1691" s="111">
        <f t="shared" si="1263"/>
        <v>0</v>
      </c>
      <c r="CA1691" s="138">
        <f t="shared" si="1264"/>
        <v>3</v>
      </c>
      <c r="CB1691" s="111" t="e">
        <f t="shared" si="1276"/>
        <v>#VALUE!</v>
      </c>
      <c r="CC1691" s="129">
        <f>G1691-I1691+1</f>
        <v>3</v>
      </c>
      <c r="CD1691" s="129">
        <f>G1691-J1691</f>
        <v>0</v>
      </c>
      <c r="CG1691" s="129" t="str">
        <f t="shared" si="1265"/>
        <v>Y</v>
      </c>
      <c r="CI1691" s="129" t="str">
        <f t="shared" si="1269"/>
        <v>0-10 DAYS</v>
      </c>
      <c r="CJ1691" s="137">
        <f t="shared" si="1270"/>
        <v>1</v>
      </c>
      <c r="CK1691" s="129" t="str">
        <f t="shared" si="1271"/>
        <v>Booked</v>
      </c>
    </row>
    <row r="1692" spans="1:89" ht="15.75" customHeight="1" x14ac:dyDescent="0.25">
      <c r="A1692" s="111">
        <v>629</v>
      </c>
      <c r="B1692" s="128" t="str">
        <f t="shared" si="1252"/>
        <v>N</v>
      </c>
      <c r="C1692" s="128" t="str">
        <f t="shared" si="1253"/>
        <v>N</v>
      </c>
      <c r="D1692" s="117">
        <v>2215167</v>
      </c>
      <c r="E1692" s="135">
        <f t="shared" si="1254"/>
        <v>6</v>
      </c>
      <c r="F1692" s="124">
        <v>40933</v>
      </c>
      <c r="G1692" s="125">
        <v>40935</v>
      </c>
      <c r="H1692" s="117">
        <v>2215167</v>
      </c>
      <c r="I1692" s="124">
        <v>40934</v>
      </c>
      <c r="J1692" s="124">
        <v>40935</v>
      </c>
      <c r="K1692" s="126">
        <v>20000</v>
      </c>
      <c r="L1692" s="127" t="s">
        <v>571</v>
      </c>
      <c r="N1692" s="129" t="str">
        <f>IF(M1692&gt;1/1/1,"Y","N")</f>
        <v>N</v>
      </c>
      <c r="O1692" s="128" t="s">
        <v>917</v>
      </c>
      <c r="P1692" s="129" t="s">
        <v>39</v>
      </c>
      <c r="Q1692" s="111">
        <f t="shared" si="1274"/>
        <v>2</v>
      </c>
      <c r="R1692" s="111">
        <f t="shared" si="1273"/>
        <v>3</v>
      </c>
      <c r="S1692" s="129">
        <v>2</v>
      </c>
      <c r="T1692" s="129">
        <v>2</v>
      </c>
      <c r="U1692" s="129">
        <v>1</v>
      </c>
      <c r="W1692" s="111"/>
      <c r="AC1692" s="130"/>
      <c r="AD1692" s="130">
        <v>28444</v>
      </c>
      <c r="AE1692" s="128" t="s">
        <v>46</v>
      </c>
      <c r="AF1692" s="128" t="s">
        <v>33</v>
      </c>
      <c r="AG1692" s="128" t="s">
        <v>872</v>
      </c>
      <c r="AH1692" s="108" t="s">
        <v>31</v>
      </c>
      <c r="AI1692" s="128" t="s">
        <v>59</v>
      </c>
      <c r="AJ1692" s="129" t="s">
        <v>89</v>
      </c>
      <c r="AK1692" s="129">
        <v>1</v>
      </c>
      <c r="AL1692" s="3" t="s">
        <v>362</v>
      </c>
      <c r="AM1692" s="117">
        <v>1</v>
      </c>
      <c r="AP1692" s="129" t="s">
        <v>43</v>
      </c>
      <c r="AR1692" s="128" t="s">
        <v>44</v>
      </c>
      <c r="AS1692" s="129" t="s">
        <v>45</v>
      </c>
      <c r="BC1692" s="129" t="s">
        <v>38</v>
      </c>
      <c r="BF1692" s="111">
        <f t="shared" si="1275"/>
        <v>2</v>
      </c>
      <c r="BG1692" s="111">
        <f t="shared" si="1243"/>
        <v>2</v>
      </c>
      <c r="BH1692" s="111">
        <f t="shared" si="1249"/>
        <v>3</v>
      </c>
      <c r="BI1692" s="111">
        <f t="shared" si="1250"/>
        <v>34.122950819672134</v>
      </c>
      <c r="BJ1692" s="129">
        <f t="shared" si="1266"/>
        <v>0</v>
      </c>
      <c r="BK1692" s="129">
        <f t="shared" si="1251"/>
        <v>0</v>
      </c>
      <c r="BL1692" s="129" t="str">
        <f t="shared" si="1277"/>
        <v>CONVICTION</v>
      </c>
      <c r="BM1692" s="129" t="str">
        <f t="shared" si="1267"/>
        <v>NONE</v>
      </c>
      <c r="BN1692" s="129" t="s">
        <v>566</v>
      </c>
      <c r="BP1692" s="137" t="str">
        <f t="shared" si="1255"/>
        <v>CONVICTION</v>
      </c>
      <c r="BQ1692" s="128" t="str">
        <f t="shared" si="1256"/>
        <v>Y</v>
      </c>
      <c r="BR1692" s="129" t="str">
        <f t="shared" si="1268"/>
        <v>DETAINED</v>
      </c>
      <c r="BS1692" s="129" t="str">
        <f t="shared" si="1257"/>
        <v>DISPOSED</v>
      </c>
      <c r="BT1692" s="129" t="str">
        <f t="shared" si="1258"/>
        <v>Y</v>
      </c>
      <c r="BU1692" s="109">
        <f t="shared" si="1259"/>
        <v>0.66666666666666663</v>
      </c>
      <c r="BV1692" s="109">
        <f t="shared" si="1260"/>
        <v>1</v>
      </c>
      <c r="BW1692" s="109">
        <f t="shared" si="1247"/>
        <v>0.33333333333333337</v>
      </c>
      <c r="BX1692" s="111">
        <f t="shared" si="1261"/>
        <v>0</v>
      </c>
      <c r="BY1692" s="129">
        <f t="shared" si="1262"/>
        <v>-2</v>
      </c>
      <c r="BZ1692" s="111">
        <f t="shared" si="1263"/>
        <v>0</v>
      </c>
      <c r="CA1692" s="138">
        <f t="shared" si="1264"/>
        <v>2</v>
      </c>
      <c r="CB1692" s="111" t="e">
        <f t="shared" si="1276"/>
        <v>#VALUE!</v>
      </c>
      <c r="CC1692" s="129">
        <f>G1692-I1692+1</f>
        <v>2</v>
      </c>
      <c r="CD1692" s="129">
        <f>G1692-J1692</f>
        <v>0</v>
      </c>
      <c r="CG1692" s="129" t="str">
        <f t="shared" si="1265"/>
        <v>Y</v>
      </c>
      <c r="CI1692" s="129" t="str">
        <f t="shared" si="1269"/>
        <v>0-10 DAYS</v>
      </c>
      <c r="CJ1692" s="137">
        <f t="shared" si="1270"/>
        <v>1</v>
      </c>
      <c r="CK1692" s="129" t="str">
        <f t="shared" si="1271"/>
        <v>Booked</v>
      </c>
    </row>
    <row r="1693" spans="1:89" ht="15" customHeight="1" x14ac:dyDescent="0.25">
      <c r="A1693" s="111">
        <v>3109</v>
      </c>
      <c r="B1693" s="128" t="str">
        <f t="shared" si="1252"/>
        <v>N</v>
      </c>
      <c r="C1693" s="128" t="str">
        <f t="shared" si="1253"/>
        <v>N</v>
      </c>
      <c r="D1693" s="117">
        <v>2215975</v>
      </c>
      <c r="E1693" s="135">
        <f t="shared" si="1254"/>
        <v>2</v>
      </c>
      <c r="F1693" s="124">
        <v>41024</v>
      </c>
      <c r="G1693" s="125">
        <v>41102</v>
      </c>
      <c r="H1693" s="117">
        <v>2215975</v>
      </c>
      <c r="I1693" s="124">
        <v>41024</v>
      </c>
      <c r="J1693" s="124">
        <v>41025</v>
      </c>
      <c r="K1693" s="126">
        <v>2000</v>
      </c>
      <c r="L1693" s="127" t="s">
        <v>568</v>
      </c>
      <c r="M1693" s="125">
        <v>41025</v>
      </c>
      <c r="N1693" s="129" t="str">
        <f>IF(M1693&gt;1/1/1,"Y","N")</f>
        <v>Y</v>
      </c>
      <c r="O1693" s="112" t="s">
        <v>160</v>
      </c>
      <c r="P1693" s="129" t="s">
        <v>589</v>
      </c>
      <c r="Q1693" s="111">
        <f t="shared" si="1274"/>
        <v>2</v>
      </c>
      <c r="R1693" s="111">
        <f t="shared" si="1273"/>
        <v>79</v>
      </c>
      <c r="S1693" s="129">
        <v>0</v>
      </c>
      <c r="T1693" s="129">
        <v>4</v>
      </c>
      <c r="W1693" s="111"/>
      <c r="AC1693" s="130"/>
      <c r="AD1693" s="130">
        <v>29536</v>
      </c>
      <c r="AE1693" s="128" t="s">
        <v>46</v>
      </c>
      <c r="AF1693" s="128" t="s">
        <v>33</v>
      </c>
      <c r="AG1693" s="128" t="s">
        <v>872</v>
      </c>
      <c r="AH1693" s="108" t="s">
        <v>31</v>
      </c>
      <c r="AI1693" s="128" t="s">
        <v>100</v>
      </c>
      <c r="AJ1693" s="129" t="s">
        <v>48</v>
      </c>
      <c r="AK1693" s="129">
        <v>5</v>
      </c>
      <c r="AL1693" s="3" t="s">
        <v>48</v>
      </c>
      <c r="AP1693" s="129" t="s">
        <v>60</v>
      </c>
      <c r="AR1693" s="128" t="s">
        <v>44</v>
      </c>
      <c r="AS1693" s="129" t="s">
        <v>61</v>
      </c>
      <c r="BC1693" s="129" t="s">
        <v>38</v>
      </c>
      <c r="BF1693" s="111">
        <f t="shared" si="1275"/>
        <v>2</v>
      </c>
      <c r="BG1693" s="111">
        <f t="shared" si="1243"/>
        <v>79</v>
      </c>
      <c r="BH1693" s="111">
        <f t="shared" si="1249"/>
        <v>79</v>
      </c>
      <c r="BI1693" s="111">
        <f t="shared" si="1250"/>
        <v>31.387978142076502</v>
      </c>
      <c r="BJ1693" s="129">
        <f>(G1693-J1693)+(M1693-G1693)</f>
        <v>0</v>
      </c>
      <c r="BK1693" s="129">
        <f t="shared" si="1251"/>
        <v>-77</v>
      </c>
      <c r="BL1693" s="129" t="str">
        <f t="shared" si="1277"/>
        <v>DEFERRED</v>
      </c>
      <c r="BM1693" s="129" t="s">
        <v>160</v>
      </c>
      <c r="BN1693" s="129" t="s">
        <v>88</v>
      </c>
      <c r="BP1693" s="137" t="str">
        <f t="shared" si="1255"/>
        <v>DEFERRED</v>
      </c>
      <c r="BQ1693" s="128" t="str">
        <f t="shared" si="1256"/>
        <v>Y</v>
      </c>
      <c r="BR1693" s="129" t="str">
        <f t="shared" si="1268"/>
        <v>ON BOND</v>
      </c>
      <c r="BS1693" s="129" t="str">
        <f t="shared" si="1257"/>
        <v>DISPOSED</v>
      </c>
      <c r="BT1693" s="129" t="str">
        <f t="shared" si="1258"/>
        <v>N</v>
      </c>
      <c r="BU1693" s="109">
        <f t="shared" si="1259"/>
        <v>2.5316455696202531E-2</v>
      </c>
      <c r="BV1693" s="109">
        <f t="shared" si="1260"/>
        <v>2.5316455696202531E-2</v>
      </c>
      <c r="BW1693" s="109">
        <f t="shared" si="1247"/>
        <v>0</v>
      </c>
      <c r="BX1693" s="111">
        <f t="shared" si="1261"/>
        <v>0</v>
      </c>
      <c r="BY1693" s="129">
        <f t="shared" si="1262"/>
        <v>-2</v>
      </c>
      <c r="BZ1693" s="111">
        <f t="shared" si="1263"/>
        <v>0</v>
      </c>
      <c r="CA1693" s="138">
        <f t="shared" si="1264"/>
        <v>2</v>
      </c>
      <c r="CB1693" s="111" t="e">
        <f t="shared" si="1276"/>
        <v>#VALUE!</v>
      </c>
      <c r="CC1693" s="129">
        <f>M1693-I1693+1</f>
        <v>2</v>
      </c>
      <c r="CD1693" s="111">
        <f>CC1693-BF1693</f>
        <v>0</v>
      </c>
      <c r="CG1693" s="129" t="str">
        <f t="shared" si="1265"/>
        <v>Y</v>
      </c>
      <c r="CI1693" s="129" t="str">
        <f t="shared" si="1269"/>
        <v>0-10 DAYS</v>
      </c>
      <c r="CJ1693" s="137">
        <f t="shared" si="1270"/>
        <v>1</v>
      </c>
      <c r="CK1693" s="129" t="str">
        <f t="shared" si="1271"/>
        <v>Booked</v>
      </c>
    </row>
    <row r="1694" spans="1:89" ht="15" customHeight="1" x14ac:dyDescent="0.25">
      <c r="A1694" s="111">
        <v>319</v>
      </c>
      <c r="B1694" s="128" t="str">
        <f t="shared" si="1252"/>
        <v>N</v>
      </c>
      <c r="C1694" s="128" t="str">
        <f t="shared" si="1253"/>
        <v>N</v>
      </c>
      <c r="D1694" s="117">
        <v>2217030</v>
      </c>
      <c r="E1694" s="135">
        <f t="shared" si="1254"/>
        <v>6</v>
      </c>
      <c r="F1694" s="124">
        <v>40921</v>
      </c>
      <c r="G1694" s="125">
        <v>41017</v>
      </c>
      <c r="H1694" s="117">
        <v>2217030</v>
      </c>
      <c r="I1694" s="124">
        <v>40932</v>
      </c>
      <c r="J1694" s="124">
        <v>41017</v>
      </c>
      <c r="K1694" s="126" t="s">
        <v>564</v>
      </c>
      <c r="L1694" s="127" t="s">
        <v>564</v>
      </c>
      <c r="N1694" s="129" t="s">
        <v>566</v>
      </c>
      <c r="O1694" s="128" t="s">
        <v>917</v>
      </c>
      <c r="P1694" s="129" t="s">
        <v>39</v>
      </c>
      <c r="Q1694" s="111">
        <f t="shared" si="1274"/>
        <v>86</v>
      </c>
      <c r="R1694" s="111">
        <f t="shared" si="1273"/>
        <v>97</v>
      </c>
      <c r="S1694" s="129">
        <v>3</v>
      </c>
      <c r="T1694" s="129">
        <v>4</v>
      </c>
      <c r="U1694" s="129">
        <v>3</v>
      </c>
      <c r="W1694" s="111"/>
      <c r="AC1694" s="130"/>
      <c r="AD1694" s="130">
        <v>31423</v>
      </c>
      <c r="AE1694" s="128" t="s">
        <v>32</v>
      </c>
      <c r="AF1694" s="128" t="s">
        <v>33</v>
      </c>
      <c r="AG1694" s="128" t="s">
        <v>872</v>
      </c>
      <c r="AH1694" s="108" t="s">
        <v>31</v>
      </c>
      <c r="AI1694" s="128" t="s">
        <v>90</v>
      </c>
      <c r="AJ1694" s="129" t="s">
        <v>89</v>
      </c>
      <c r="AK1694" s="129">
        <v>6</v>
      </c>
      <c r="AL1694" s="3" t="s">
        <v>362</v>
      </c>
      <c r="AM1694" s="117">
        <v>8</v>
      </c>
      <c r="AP1694" s="129" t="s">
        <v>56</v>
      </c>
      <c r="AR1694" s="128" t="s">
        <v>50</v>
      </c>
      <c r="AS1694" s="129" t="s">
        <v>57</v>
      </c>
      <c r="BC1694" s="129" t="s">
        <v>38</v>
      </c>
      <c r="BF1694" s="111">
        <f t="shared" si="1275"/>
        <v>86</v>
      </c>
      <c r="BG1694" s="111">
        <f t="shared" si="1243"/>
        <v>86</v>
      </c>
      <c r="BH1694" s="111">
        <f t="shared" si="1249"/>
        <v>97</v>
      </c>
      <c r="BI1694" s="111">
        <f t="shared" si="1250"/>
        <v>25.950819672131146</v>
      </c>
      <c r="BJ1694" s="129">
        <f t="shared" si="1266"/>
        <v>0</v>
      </c>
      <c r="BK1694" s="129">
        <f t="shared" si="1251"/>
        <v>0</v>
      </c>
      <c r="BL1694" s="129" t="str">
        <f t="shared" si="1277"/>
        <v>CONVICTION</v>
      </c>
      <c r="BM1694" s="129" t="str">
        <f t="shared" si="1267"/>
        <v>NONE</v>
      </c>
      <c r="BN1694" s="129" t="s">
        <v>566</v>
      </c>
      <c r="BP1694" s="137" t="str">
        <f t="shared" si="1255"/>
        <v>CONVICTION</v>
      </c>
      <c r="BQ1694" s="128" t="str">
        <f t="shared" si="1256"/>
        <v>Y</v>
      </c>
      <c r="BR1694" s="129" t="str">
        <f t="shared" si="1268"/>
        <v>DETAINED</v>
      </c>
      <c r="BS1694" s="129" t="str">
        <f t="shared" si="1257"/>
        <v>DISPOSED</v>
      </c>
      <c r="BT1694" s="129" t="str">
        <f t="shared" si="1258"/>
        <v>Y</v>
      </c>
      <c r="BU1694" s="109">
        <f t="shared" si="1259"/>
        <v>0.88659793814432986</v>
      </c>
      <c r="BV1694" s="109">
        <f t="shared" si="1260"/>
        <v>1</v>
      </c>
      <c r="BW1694" s="109">
        <f t="shared" si="1247"/>
        <v>0.11340206185567014</v>
      </c>
      <c r="BX1694" s="111">
        <f t="shared" si="1261"/>
        <v>0</v>
      </c>
      <c r="BY1694" s="129">
        <f t="shared" si="1262"/>
        <v>-86</v>
      </c>
      <c r="BZ1694" s="111">
        <f t="shared" si="1263"/>
        <v>0</v>
      </c>
      <c r="CA1694" s="138">
        <f t="shared" si="1264"/>
        <v>86</v>
      </c>
      <c r="CB1694" s="111" t="e">
        <f t="shared" si="1276"/>
        <v>#VALUE!</v>
      </c>
      <c r="CC1694" s="129">
        <f>G1694-I1694+1</f>
        <v>86</v>
      </c>
      <c r="CD1694" s="129">
        <f>G1694-J1694</f>
        <v>0</v>
      </c>
      <c r="CG1694" s="129" t="str">
        <f t="shared" si="1265"/>
        <v>Y</v>
      </c>
      <c r="CI1694" s="129" t="str">
        <f t="shared" si="1269"/>
        <v>61-90 DAYS</v>
      </c>
      <c r="CJ1694" s="137">
        <f t="shared" si="1270"/>
        <v>4</v>
      </c>
      <c r="CK1694" s="129" t="str">
        <f t="shared" si="1271"/>
        <v>Booked</v>
      </c>
    </row>
    <row r="1695" spans="1:89" ht="15" customHeight="1" x14ac:dyDescent="0.25">
      <c r="A1695" s="111">
        <v>928</v>
      </c>
      <c r="B1695" s="128" t="str">
        <f t="shared" si="1252"/>
        <v>N</v>
      </c>
      <c r="C1695" s="128" t="str">
        <f t="shared" si="1253"/>
        <v>N</v>
      </c>
      <c r="D1695" s="117">
        <v>2218115</v>
      </c>
      <c r="E1695" s="135">
        <f t="shared" si="1254"/>
        <v>2</v>
      </c>
      <c r="F1695" s="124">
        <v>40943</v>
      </c>
      <c r="G1695" s="125">
        <v>41046</v>
      </c>
      <c r="H1695" s="117">
        <v>2218115</v>
      </c>
      <c r="I1695" s="124" t="s">
        <v>562</v>
      </c>
      <c r="J1695" s="124" t="s">
        <v>562</v>
      </c>
      <c r="K1695" s="126">
        <v>5000</v>
      </c>
      <c r="L1695" s="127" t="s">
        <v>569</v>
      </c>
      <c r="M1695" s="125">
        <v>40944</v>
      </c>
      <c r="N1695" s="129" t="str">
        <f>IF(M1695&gt;1/1/1,"Y",IF(Q1695="0","","N"))</f>
        <v>Y</v>
      </c>
      <c r="O1695" s="128" t="s">
        <v>76</v>
      </c>
      <c r="P1695" s="129" t="s">
        <v>589</v>
      </c>
      <c r="Q1695" s="111">
        <f t="shared" si="1274"/>
        <v>0</v>
      </c>
      <c r="R1695" s="111">
        <f t="shared" si="1273"/>
        <v>104</v>
      </c>
      <c r="S1695" s="129">
        <v>1</v>
      </c>
      <c r="T1695" s="129">
        <v>0</v>
      </c>
      <c r="V1695" s="117">
        <v>1</v>
      </c>
      <c r="W1695" s="111"/>
      <c r="AC1695" s="130"/>
      <c r="AD1695" s="130">
        <v>31005</v>
      </c>
      <c r="AE1695" s="128" t="s">
        <v>32</v>
      </c>
      <c r="AF1695" s="128" t="s">
        <v>33</v>
      </c>
      <c r="AG1695" s="128" t="s">
        <v>872</v>
      </c>
      <c r="AH1695" s="108" t="s">
        <v>31</v>
      </c>
      <c r="AI1695" s="128" t="s">
        <v>59</v>
      </c>
      <c r="AJ1695" s="129" t="s">
        <v>48</v>
      </c>
      <c r="AK1695" s="129">
        <v>6</v>
      </c>
      <c r="AL1695" s="3" t="s">
        <v>48</v>
      </c>
      <c r="AP1695" s="129" t="s">
        <v>43</v>
      </c>
      <c r="AR1695" s="128" t="s">
        <v>44</v>
      </c>
      <c r="AS1695" s="129" t="s">
        <v>45</v>
      </c>
      <c r="BC1695" s="129" t="s">
        <v>52</v>
      </c>
      <c r="BF1695" s="111">
        <v>0</v>
      </c>
      <c r="BG1695" s="111">
        <v>0</v>
      </c>
      <c r="BH1695" s="111">
        <f t="shared" si="1249"/>
        <v>104</v>
      </c>
      <c r="BI1695" s="111">
        <f t="shared" si="1250"/>
        <v>27.153005464480874</v>
      </c>
      <c r="BJ1695" s="129" t="e">
        <f>(G1695-J1695)+(M1695-G1695)</f>
        <v>#VALUE!</v>
      </c>
      <c r="BK1695" s="129" t="e">
        <f t="shared" si="1251"/>
        <v>#VALUE!</v>
      </c>
      <c r="BL1695" s="129" t="str">
        <f t="shared" si="1277"/>
        <v>DEFERRED</v>
      </c>
      <c r="BM1695" s="129" t="s">
        <v>76</v>
      </c>
      <c r="BN1695" s="129" t="s">
        <v>88</v>
      </c>
      <c r="BP1695" s="137" t="str">
        <f t="shared" si="1255"/>
        <v>DEFERRED</v>
      </c>
      <c r="BQ1695" s="128">
        <f t="shared" si="1256"/>
        <v>0</v>
      </c>
      <c r="BR1695" s="129" t="s">
        <v>575</v>
      </c>
      <c r="BS1695" s="129" t="str">
        <f t="shared" si="1257"/>
        <v>DISPOSED</v>
      </c>
      <c r="BT1695" s="129" t="str">
        <f t="shared" si="1258"/>
        <v>Y</v>
      </c>
      <c r="BU1695" s="109">
        <f t="shared" si="1259"/>
        <v>0</v>
      </c>
      <c r="BV1695" s="109">
        <v>0</v>
      </c>
      <c r="BW1695" s="109">
        <f t="shared" si="1247"/>
        <v>0</v>
      </c>
      <c r="BX1695" s="111">
        <f t="shared" si="1261"/>
        <v>0</v>
      </c>
      <c r="BY1695" s="129" t="e">
        <f t="shared" si="1262"/>
        <v>#VALUE!</v>
      </c>
      <c r="BZ1695" s="111" t="e">
        <f t="shared" si="1263"/>
        <v>#VALUE!</v>
      </c>
      <c r="CA1695" s="138" t="e">
        <f t="shared" si="1264"/>
        <v>#VALUE!</v>
      </c>
      <c r="CB1695" s="111">
        <v>0</v>
      </c>
      <c r="CC1695" s="129">
        <v>0</v>
      </c>
      <c r="CD1695" s="111">
        <f>CC1695-BF1695</f>
        <v>0</v>
      </c>
      <c r="CG1695" s="129" t="str">
        <f t="shared" si="1265"/>
        <v>Y</v>
      </c>
      <c r="CI1695" s="129" t="str">
        <f t="shared" si="1269"/>
        <v>0-10 DAYS</v>
      </c>
      <c r="CJ1695" s="137">
        <f t="shared" si="1270"/>
        <v>1</v>
      </c>
      <c r="CK1695" s="129" t="str">
        <f t="shared" si="1271"/>
        <v>Not Booked</v>
      </c>
    </row>
    <row r="1696" spans="1:89" ht="15" customHeight="1" x14ac:dyDescent="0.25">
      <c r="A1696" s="111">
        <v>2725</v>
      </c>
      <c r="B1696" s="128" t="str">
        <f t="shared" si="1252"/>
        <v>N</v>
      </c>
      <c r="C1696" s="128" t="str">
        <f t="shared" si="1253"/>
        <v>N</v>
      </c>
      <c r="D1696" s="117">
        <v>2218554</v>
      </c>
      <c r="E1696" s="135">
        <f t="shared" si="1254"/>
        <v>1</v>
      </c>
      <c r="F1696" s="124">
        <v>41010</v>
      </c>
      <c r="G1696" s="125">
        <v>41148</v>
      </c>
      <c r="H1696" s="117">
        <v>2218554</v>
      </c>
      <c r="I1696" s="124">
        <v>41010</v>
      </c>
      <c r="J1696" s="124">
        <v>41041</v>
      </c>
      <c r="K1696" s="126">
        <v>75000</v>
      </c>
      <c r="L1696" s="129" t="s">
        <v>572</v>
      </c>
      <c r="M1696" s="125">
        <v>41041</v>
      </c>
      <c r="N1696" s="129" t="str">
        <f>IF(M1696&gt;1/1/1,"Y","N")</f>
        <v>Y</v>
      </c>
      <c r="O1696" s="128" t="s">
        <v>585</v>
      </c>
      <c r="P1696" s="129" t="s">
        <v>55</v>
      </c>
      <c r="Q1696" s="111">
        <f t="shared" si="1274"/>
        <v>32</v>
      </c>
      <c r="R1696" s="111">
        <f t="shared" si="1273"/>
        <v>139</v>
      </c>
      <c r="S1696" s="32">
        <v>4</v>
      </c>
      <c r="T1696" s="32">
        <v>2</v>
      </c>
      <c r="U1696" s="32">
        <v>4</v>
      </c>
      <c r="V1696" s="114"/>
      <c r="W1696" s="111"/>
      <c r="AC1696" s="130"/>
      <c r="AD1696" s="130">
        <v>30777</v>
      </c>
      <c r="AE1696" s="128" t="s">
        <v>32</v>
      </c>
      <c r="AF1696" s="128" t="s">
        <v>33</v>
      </c>
      <c r="AG1696" s="128" t="s">
        <v>872</v>
      </c>
      <c r="AH1696" s="108" t="s">
        <v>58</v>
      </c>
      <c r="AI1696" s="128" t="s">
        <v>53</v>
      </c>
      <c r="AJ1696" s="129" t="s">
        <v>55</v>
      </c>
      <c r="AK1696" s="129">
        <v>9</v>
      </c>
      <c r="AL1696" s="3" t="s">
        <v>55</v>
      </c>
      <c r="AP1696" s="129" t="s">
        <v>336</v>
      </c>
      <c r="AR1696" s="128" t="s">
        <v>46</v>
      </c>
      <c r="AS1696" s="129" t="s">
        <v>82</v>
      </c>
      <c r="BC1696" s="129" t="s">
        <v>52</v>
      </c>
      <c r="BF1696" s="111">
        <f>IF(J1696&gt;1/1/1900,((J1696+1)-I1696),"STILL OPEN")</f>
        <v>32</v>
      </c>
      <c r="BG1696" s="111">
        <f t="shared" ref="BG1696:BG1703" si="1278">IF(G1696&gt;1/1/1900,((G1696+1)-I1696),"STILL OPEN")</f>
        <v>139</v>
      </c>
      <c r="BH1696" s="111">
        <f t="shared" si="1249"/>
        <v>139</v>
      </c>
      <c r="BI1696" s="111">
        <f t="shared" si="1250"/>
        <v>27.959016393442624</v>
      </c>
      <c r="BJ1696" s="129">
        <f>(G1696-J1696)+(M1696-G1696)</f>
        <v>0</v>
      </c>
      <c r="BK1696" s="129">
        <f t="shared" si="1251"/>
        <v>-107</v>
      </c>
      <c r="BL1696" s="129" t="str">
        <f t="shared" si="1277"/>
        <v>NO CONVICTION</v>
      </c>
      <c r="BM1696" s="129" t="s">
        <v>76</v>
      </c>
      <c r="BN1696" s="129" t="s">
        <v>88</v>
      </c>
      <c r="BP1696" s="137" t="str">
        <f t="shared" si="1255"/>
        <v>NO CONVICTION</v>
      </c>
      <c r="BQ1696" s="128" t="str">
        <f t="shared" si="1256"/>
        <v>Y</v>
      </c>
      <c r="BR1696" s="129" t="str">
        <f t="shared" si="1268"/>
        <v>ON BOND</v>
      </c>
      <c r="BS1696" s="129" t="str">
        <f t="shared" si="1257"/>
        <v>DISPOSED</v>
      </c>
      <c r="BT1696" s="129" t="str">
        <f t="shared" si="1258"/>
        <v>Y</v>
      </c>
      <c r="BU1696" s="109">
        <f>IFERROR(Q1696/R1696,BR1696)</f>
        <v>0.23021582733812951</v>
      </c>
      <c r="BV1696" s="109">
        <f t="shared" si="1260"/>
        <v>0.23021582733812951</v>
      </c>
      <c r="BW1696" s="109">
        <f t="shared" si="1247"/>
        <v>0</v>
      </c>
      <c r="BX1696" s="111">
        <f t="shared" si="1261"/>
        <v>0</v>
      </c>
      <c r="BY1696" s="129">
        <f t="shared" si="1262"/>
        <v>-32</v>
      </c>
      <c r="BZ1696" s="111">
        <f t="shared" si="1263"/>
        <v>0</v>
      </c>
      <c r="CA1696" s="138">
        <f t="shared" si="1264"/>
        <v>32</v>
      </c>
      <c r="CB1696" s="111" t="e">
        <f>IF(AF1696&gt;1/1/1900,((AF1696+1)-AE1696),"STILL OPEN")</f>
        <v>#VALUE!</v>
      </c>
      <c r="CC1696" s="129">
        <f>M1696-I1696+1</f>
        <v>32</v>
      </c>
      <c r="CD1696" s="111">
        <f>CC1696-BF1696</f>
        <v>0</v>
      </c>
      <c r="CG1696" s="129" t="str">
        <f t="shared" si="1265"/>
        <v>Y</v>
      </c>
      <c r="CI1696" s="129" t="str">
        <f t="shared" si="1269"/>
        <v>31-60 DAYS</v>
      </c>
      <c r="CJ1696" s="137">
        <f t="shared" si="1270"/>
        <v>3</v>
      </c>
      <c r="CK1696" s="129" t="str">
        <f t="shared" si="1271"/>
        <v>Booked</v>
      </c>
    </row>
    <row r="1697" spans="1:89" ht="15" customHeight="1" x14ac:dyDescent="0.25">
      <c r="A1697" s="111">
        <v>1510</v>
      </c>
      <c r="B1697" s="128" t="str">
        <f t="shared" si="1252"/>
        <v>N</v>
      </c>
      <c r="C1697" s="128" t="str">
        <f t="shared" si="1253"/>
        <v>Y</v>
      </c>
      <c r="D1697" s="117">
        <v>2219105</v>
      </c>
      <c r="E1697" s="135">
        <f t="shared" si="1254"/>
        <v>6</v>
      </c>
      <c r="F1697" s="124">
        <v>40964</v>
      </c>
      <c r="G1697" s="125">
        <v>41529</v>
      </c>
      <c r="H1697" s="117">
        <v>2219105</v>
      </c>
      <c r="I1697" s="124">
        <v>40965</v>
      </c>
      <c r="J1697" s="125">
        <v>41214</v>
      </c>
      <c r="K1697" s="126">
        <v>75000</v>
      </c>
      <c r="L1697" s="129" t="s">
        <v>572</v>
      </c>
      <c r="M1697" s="124">
        <v>41214</v>
      </c>
      <c r="N1697" s="129" t="s">
        <v>88</v>
      </c>
      <c r="O1697" s="128" t="s">
        <v>76</v>
      </c>
      <c r="P1697" s="129" t="s">
        <v>1144</v>
      </c>
      <c r="Q1697" s="111">
        <v>502</v>
      </c>
      <c r="R1697" s="111">
        <f t="shared" si="1273"/>
        <v>566</v>
      </c>
      <c r="S1697" s="129">
        <v>2</v>
      </c>
      <c r="T1697" s="129">
        <v>2</v>
      </c>
      <c r="U1697" s="129">
        <v>1</v>
      </c>
      <c r="W1697" s="111"/>
      <c r="AC1697" s="130"/>
      <c r="AD1697" s="130">
        <v>32497</v>
      </c>
      <c r="AE1697" s="128" t="s">
        <v>32</v>
      </c>
      <c r="AF1697" s="128" t="s">
        <v>33</v>
      </c>
      <c r="AG1697" s="128" t="s">
        <v>872</v>
      </c>
      <c r="AH1697" s="108" t="s">
        <v>31</v>
      </c>
      <c r="AI1697" s="128" t="s">
        <v>90</v>
      </c>
      <c r="AJ1697" s="129" t="s">
        <v>89</v>
      </c>
      <c r="AK1697" s="129">
        <v>5</v>
      </c>
      <c r="AL1697" s="3" t="s">
        <v>362</v>
      </c>
      <c r="AM1697" s="114">
        <v>48</v>
      </c>
      <c r="AP1697" s="129" t="s">
        <v>105</v>
      </c>
      <c r="AR1697" s="128" t="s">
        <v>92</v>
      </c>
      <c r="AS1697" s="129" t="s">
        <v>106</v>
      </c>
      <c r="AT1697" s="129" t="s">
        <v>1315</v>
      </c>
      <c r="AV1697" s="3" t="s">
        <v>51</v>
      </c>
      <c r="BA1697" s="125">
        <v>41324</v>
      </c>
      <c r="BB1697" s="129">
        <v>251</v>
      </c>
      <c r="BC1697" s="129" t="s">
        <v>38</v>
      </c>
      <c r="BF1697" s="111">
        <v>502</v>
      </c>
      <c r="BG1697" s="111">
        <f t="shared" si="1278"/>
        <v>565</v>
      </c>
      <c r="BH1697" s="111">
        <f t="shared" si="1249"/>
        <v>566</v>
      </c>
      <c r="BI1697" s="111">
        <f t="shared" si="1250"/>
        <v>23.133879781420767</v>
      </c>
      <c r="BJ1697" s="129">
        <f>(G1697-J1697)+(M1697-G1697)</f>
        <v>0</v>
      </c>
      <c r="BK1697" s="129">
        <f t="shared" si="1251"/>
        <v>-315</v>
      </c>
      <c r="BL1697" s="129" t="str">
        <f t="shared" si="1277"/>
        <v>CONVICTION</v>
      </c>
      <c r="BM1697" s="129" t="s">
        <v>76</v>
      </c>
      <c r="BN1697" s="129" t="s">
        <v>566</v>
      </c>
      <c r="BP1697" s="137" t="str">
        <f t="shared" si="1255"/>
        <v>CONVICTION</v>
      </c>
      <c r="BQ1697" s="128" t="str">
        <f t="shared" si="1256"/>
        <v>Y</v>
      </c>
      <c r="BR1697" s="129" t="str">
        <f t="shared" si="1268"/>
        <v>ON BOND</v>
      </c>
      <c r="BS1697" s="129" t="str">
        <f t="shared" si="1257"/>
        <v>DISPOSED</v>
      </c>
      <c r="BT1697" s="129" t="str">
        <f t="shared" si="1258"/>
        <v>Y</v>
      </c>
      <c r="BU1697" s="109">
        <f t="shared" si="1259"/>
        <v>0.88692579505300351</v>
      </c>
      <c r="BV1697" s="109">
        <f t="shared" si="1260"/>
        <v>0.44247787610619471</v>
      </c>
      <c r="BW1697" s="109">
        <f t="shared" si="1247"/>
        <v>-0.4444479189468088</v>
      </c>
      <c r="BX1697" s="111">
        <f t="shared" si="1261"/>
        <v>0</v>
      </c>
      <c r="BY1697" s="129">
        <f t="shared" si="1262"/>
        <v>-250</v>
      </c>
      <c r="BZ1697" s="111">
        <f t="shared" si="1263"/>
        <v>252</v>
      </c>
      <c r="CA1697" s="138">
        <f t="shared" si="1264"/>
        <v>250</v>
      </c>
      <c r="CB1697" s="111">
        <v>502</v>
      </c>
      <c r="CD1697" s="129">
        <f>G1697-J1697</f>
        <v>315</v>
      </c>
      <c r="CG1697" s="129" t="str">
        <f t="shared" si="1265"/>
        <v>Y</v>
      </c>
      <c r="CI1697" s="129" t="str">
        <f t="shared" si="1269"/>
        <v xml:space="preserve"> &gt;1YRS&lt;2YRS</v>
      </c>
      <c r="CJ1697" s="137">
        <f t="shared" si="1270"/>
        <v>0</v>
      </c>
      <c r="CK1697" s="129" t="str">
        <f t="shared" si="1271"/>
        <v>Booked</v>
      </c>
    </row>
    <row r="1698" spans="1:89" ht="15" customHeight="1" x14ac:dyDescent="0.25">
      <c r="A1698" s="111">
        <v>1159</v>
      </c>
      <c r="B1698" s="128" t="str">
        <f t="shared" si="1252"/>
        <v>N</v>
      </c>
      <c r="C1698" s="128" t="str">
        <f t="shared" si="1253"/>
        <v>N</v>
      </c>
      <c r="D1698" s="117">
        <v>2222006</v>
      </c>
      <c r="E1698" s="135">
        <f t="shared" si="1254"/>
        <v>5</v>
      </c>
      <c r="F1698" s="124">
        <v>40950</v>
      </c>
      <c r="G1698" s="125">
        <v>41001</v>
      </c>
      <c r="H1698" s="117">
        <v>2222006</v>
      </c>
      <c r="I1698" s="124">
        <v>40961</v>
      </c>
      <c r="J1698" s="124">
        <v>41001</v>
      </c>
      <c r="K1698" s="126" t="s">
        <v>564</v>
      </c>
      <c r="L1698" s="127" t="s">
        <v>564</v>
      </c>
      <c r="N1698" s="129" t="s">
        <v>566</v>
      </c>
      <c r="O1698" s="128" t="s">
        <v>917</v>
      </c>
      <c r="P1698" s="129" t="s">
        <v>39</v>
      </c>
      <c r="Q1698" s="111">
        <f t="shared" ref="Q1698:Q1719" si="1279">BF1698</f>
        <v>41</v>
      </c>
      <c r="R1698" s="111">
        <f t="shared" si="1273"/>
        <v>52</v>
      </c>
      <c r="S1698" s="129">
        <v>1</v>
      </c>
      <c r="T1698" s="129">
        <v>0</v>
      </c>
      <c r="U1698" s="129">
        <v>1</v>
      </c>
      <c r="W1698" s="111"/>
      <c r="AC1698" s="130"/>
      <c r="AD1698" s="130">
        <v>31729</v>
      </c>
      <c r="AE1698" s="128" t="s">
        <v>32</v>
      </c>
      <c r="AF1698" s="128" t="s">
        <v>69</v>
      </c>
      <c r="AG1698" s="128" t="s">
        <v>874</v>
      </c>
      <c r="AH1698" s="108" t="s">
        <v>31</v>
      </c>
      <c r="AI1698" s="128" t="s">
        <v>47</v>
      </c>
      <c r="AJ1698" s="129" t="s">
        <v>89</v>
      </c>
      <c r="AK1698" s="129">
        <v>4</v>
      </c>
      <c r="AL1698" s="3" t="s">
        <v>992</v>
      </c>
      <c r="AN1698" s="117">
        <v>7</v>
      </c>
      <c r="AP1698" s="129" t="s">
        <v>121</v>
      </c>
      <c r="AR1698" s="128" t="s">
        <v>44</v>
      </c>
      <c r="AS1698" s="129" t="s">
        <v>122</v>
      </c>
      <c r="BC1698" s="129" t="s">
        <v>52</v>
      </c>
      <c r="BF1698" s="111">
        <f t="shared" ref="BF1698:BF1703" si="1280">IF(J1698&gt;1/1/1900,((J1698+1)-I1698),"STILL OPEN")</f>
        <v>41</v>
      </c>
      <c r="BG1698" s="111">
        <f t="shared" si="1278"/>
        <v>41</v>
      </c>
      <c r="BH1698" s="111">
        <f t="shared" si="1249"/>
        <v>52</v>
      </c>
      <c r="BI1698" s="111">
        <f t="shared" si="1250"/>
        <v>25.193989071038253</v>
      </c>
      <c r="BJ1698" s="129">
        <f t="shared" si="1266"/>
        <v>0</v>
      </c>
      <c r="BK1698" s="129">
        <f t="shared" si="1251"/>
        <v>0</v>
      </c>
      <c r="BL1698" s="129" t="str">
        <f t="shared" si="1277"/>
        <v>CONVICTION</v>
      </c>
      <c r="BM1698" s="129" t="str">
        <f t="shared" si="1267"/>
        <v>NONE</v>
      </c>
      <c r="BN1698" s="129" t="s">
        <v>566</v>
      </c>
      <c r="BP1698" s="137" t="str">
        <f t="shared" si="1255"/>
        <v>CONVICTION</v>
      </c>
      <c r="BQ1698" s="128" t="str">
        <f t="shared" si="1256"/>
        <v>Y</v>
      </c>
      <c r="BR1698" s="129" t="str">
        <f t="shared" si="1268"/>
        <v>DETAINED</v>
      </c>
      <c r="BS1698" s="129" t="str">
        <f t="shared" si="1257"/>
        <v>DISPOSED</v>
      </c>
      <c r="BT1698" s="129" t="str">
        <f t="shared" si="1258"/>
        <v>Y</v>
      </c>
      <c r="BU1698" s="109">
        <f t="shared" si="1259"/>
        <v>0.78846153846153844</v>
      </c>
      <c r="BV1698" s="109">
        <f t="shared" si="1260"/>
        <v>1</v>
      </c>
      <c r="BW1698" s="109">
        <f t="shared" si="1247"/>
        <v>0.21153846153846156</v>
      </c>
      <c r="BX1698" s="111">
        <f t="shared" si="1261"/>
        <v>0</v>
      </c>
      <c r="BY1698" s="129">
        <f t="shared" si="1262"/>
        <v>-41</v>
      </c>
      <c r="BZ1698" s="111">
        <f t="shared" si="1263"/>
        <v>0</v>
      </c>
      <c r="CA1698" s="138">
        <f t="shared" si="1264"/>
        <v>41</v>
      </c>
      <c r="CB1698" s="111" t="e">
        <f t="shared" ref="CB1698:CB1703" si="1281">IF(AF1698&gt;1/1/1900,((AF1698+1)-AE1698),"STILL OPEN")</f>
        <v>#VALUE!</v>
      </c>
      <c r="CC1698" s="129">
        <f>G1698-I1698+1</f>
        <v>41</v>
      </c>
      <c r="CD1698" s="129">
        <f>G1698-J1698</f>
        <v>0</v>
      </c>
      <c r="CG1698" s="129" t="str">
        <f t="shared" si="1265"/>
        <v>Y</v>
      </c>
      <c r="CI1698" s="129" t="str">
        <f t="shared" si="1269"/>
        <v>31-60 DAYS</v>
      </c>
      <c r="CJ1698" s="137">
        <f t="shared" si="1270"/>
        <v>3</v>
      </c>
      <c r="CK1698" s="129" t="str">
        <f t="shared" si="1271"/>
        <v>Booked</v>
      </c>
    </row>
    <row r="1699" spans="1:89" ht="15" customHeight="1" x14ac:dyDescent="0.25">
      <c r="A1699" s="111">
        <v>1711</v>
      </c>
      <c r="B1699" s="128" t="str">
        <f t="shared" si="1252"/>
        <v>N</v>
      </c>
      <c r="C1699" s="128" t="str">
        <f t="shared" si="1253"/>
        <v>N</v>
      </c>
      <c r="D1699" s="117">
        <v>2222245</v>
      </c>
      <c r="E1699" s="135">
        <f t="shared" si="1254"/>
        <v>4</v>
      </c>
      <c r="F1699" s="124">
        <v>40972</v>
      </c>
      <c r="G1699" s="125">
        <v>41107</v>
      </c>
      <c r="H1699" s="117">
        <v>2222245</v>
      </c>
      <c r="I1699" s="124">
        <v>40972</v>
      </c>
      <c r="J1699" s="124">
        <v>40973</v>
      </c>
      <c r="K1699" s="126">
        <v>10000</v>
      </c>
      <c r="L1699" s="127" t="s">
        <v>570</v>
      </c>
      <c r="M1699" s="125">
        <v>40973</v>
      </c>
      <c r="N1699" s="129" t="str">
        <f>IF(M1699&gt;1/1/1,"Y","N")</f>
        <v>Y</v>
      </c>
      <c r="O1699" s="128" t="s">
        <v>76</v>
      </c>
      <c r="P1699" s="129" t="s">
        <v>39</v>
      </c>
      <c r="Q1699" s="111">
        <f t="shared" si="1279"/>
        <v>2</v>
      </c>
      <c r="R1699" s="111">
        <f t="shared" si="1273"/>
        <v>136</v>
      </c>
      <c r="S1699" s="129">
        <v>1</v>
      </c>
      <c r="T1699" s="129">
        <v>0</v>
      </c>
      <c r="W1699" s="111"/>
      <c r="AC1699" s="130"/>
      <c r="AD1699" s="130">
        <v>32610</v>
      </c>
      <c r="AE1699" s="128" t="s">
        <v>32</v>
      </c>
      <c r="AF1699" s="128" t="s">
        <v>33</v>
      </c>
      <c r="AG1699" s="128" t="s">
        <v>872</v>
      </c>
      <c r="AH1699" s="108" t="s">
        <v>31</v>
      </c>
      <c r="AI1699" s="128" t="s">
        <v>80</v>
      </c>
      <c r="AJ1699" s="129" t="s">
        <v>89</v>
      </c>
      <c r="AK1699" s="129">
        <v>9</v>
      </c>
      <c r="AL1699" s="3" t="s">
        <v>991</v>
      </c>
      <c r="AO1699" s="128">
        <v>2</v>
      </c>
      <c r="AP1699" s="129" t="s">
        <v>124</v>
      </c>
      <c r="AR1699" s="128" t="s">
        <v>67</v>
      </c>
      <c r="AS1699" s="129" t="s">
        <v>45</v>
      </c>
      <c r="AX1699" s="32"/>
      <c r="BC1699" s="129" t="s">
        <v>52</v>
      </c>
      <c r="BF1699" s="111">
        <f t="shared" si="1280"/>
        <v>2</v>
      </c>
      <c r="BG1699" s="111">
        <f t="shared" si="1278"/>
        <v>136</v>
      </c>
      <c r="BH1699" s="111">
        <f t="shared" si="1249"/>
        <v>136</v>
      </c>
      <c r="BI1699" s="111">
        <f t="shared" si="1250"/>
        <v>22.846994535519126</v>
      </c>
      <c r="BJ1699" s="129">
        <f>(G1699-J1699)+(M1699-G1699)</f>
        <v>0</v>
      </c>
      <c r="BK1699" s="129">
        <f t="shared" si="1251"/>
        <v>-134</v>
      </c>
      <c r="BL1699" s="129" t="str">
        <f t="shared" si="1277"/>
        <v>CONVICTION</v>
      </c>
      <c r="BM1699" s="129" t="s">
        <v>76</v>
      </c>
      <c r="BN1699" s="129" t="s">
        <v>88</v>
      </c>
      <c r="BP1699" s="137" t="str">
        <f t="shared" si="1255"/>
        <v>CONVICTION</v>
      </c>
      <c r="BQ1699" s="128" t="str">
        <f t="shared" si="1256"/>
        <v>Y</v>
      </c>
      <c r="BR1699" s="129" t="str">
        <f>IF(J1699&lt;G1699,"ON BOND",0)</f>
        <v>ON BOND</v>
      </c>
      <c r="BS1699" s="129" t="str">
        <f t="shared" si="1257"/>
        <v>DISPOSED</v>
      </c>
      <c r="BT1699" s="129" t="str">
        <f t="shared" si="1258"/>
        <v>Y</v>
      </c>
      <c r="BU1699" s="109">
        <f t="shared" si="1259"/>
        <v>1.4705882352941176E-2</v>
      </c>
      <c r="BV1699" s="109">
        <f t="shared" si="1260"/>
        <v>1.4705882352941176E-2</v>
      </c>
      <c r="BW1699" s="109">
        <f t="shared" si="1247"/>
        <v>0</v>
      </c>
      <c r="BX1699" s="111">
        <f t="shared" si="1261"/>
        <v>0</v>
      </c>
      <c r="BY1699" s="129">
        <f t="shared" si="1262"/>
        <v>-2</v>
      </c>
      <c r="BZ1699" s="111">
        <f t="shared" si="1263"/>
        <v>0</v>
      </c>
      <c r="CA1699" s="138">
        <f t="shared" si="1264"/>
        <v>2</v>
      </c>
      <c r="CB1699" s="111" t="e">
        <f t="shared" si="1281"/>
        <v>#VALUE!</v>
      </c>
      <c r="CC1699" s="129">
        <f>M1699-I1699+1</f>
        <v>2</v>
      </c>
      <c r="CD1699" s="111">
        <f>CC1699-BF1699</f>
        <v>0</v>
      </c>
      <c r="CG1699" s="129" t="str">
        <f t="shared" si="1265"/>
        <v>Y</v>
      </c>
      <c r="CI1699" s="129" t="str">
        <f t="shared" si="1269"/>
        <v>0-10 DAYS</v>
      </c>
      <c r="CJ1699" s="137">
        <f t="shared" si="1270"/>
        <v>1</v>
      </c>
      <c r="CK1699" s="129" t="str">
        <f t="shared" si="1271"/>
        <v>Booked</v>
      </c>
    </row>
    <row r="1700" spans="1:89" ht="15.75" customHeight="1" x14ac:dyDescent="0.25">
      <c r="A1700" s="111">
        <v>1600</v>
      </c>
      <c r="B1700" s="128" t="str">
        <f t="shared" si="1252"/>
        <v>N</v>
      </c>
      <c r="C1700" s="128" t="str">
        <f t="shared" si="1253"/>
        <v>N</v>
      </c>
      <c r="D1700" s="117">
        <v>2222461</v>
      </c>
      <c r="E1700" s="135">
        <f t="shared" si="1254"/>
        <v>1</v>
      </c>
      <c r="F1700" s="124">
        <v>40968</v>
      </c>
      <c r="G1700" s="125">
        <v>41045</v>
      </c>
      <c r="H1700" s="117">
        <v>2222461</v>
      </c>
      <c r="I1700" s="124">
        <v>40968</v>
      </c>
      <c r="J1700" s="124">
        <v>40970</v>
      </c>
      <c r="K1700" s="126">
        <v>20000</v>
      </c>
      <c r="L1700" s="127" t="s">
        <v>571</v>
      </c>
      <c r="M1700" s="125">
        <v>40970</v>
      </c>
      <c r="N1700" s="129" t="str">
        <f>IF(M1700&gt;1/1/1,"Y","N")</f>
        <v>Y</v>
      </c>
      <c r="O1700" s="128" t="s">
        <v>76</v>
      </c>
      <c r="P1700" s="129" t="s">
        <v>55</v>
      </c>
      <c r="Q1700" s="111">
        <f t="shared" si="1279"/>
        <v>3</v>
      </c>
      <c r="R1700" s="111">
        <f t="shared" si="1273"/>
        <v>78</v>
      </c>
      <c r="S1700" s="129">
        <v>2</v>
      </c>
      <c r="T1700" s="129">
        <v>1</v>
      </c>
      <c r="W1700" s="111"/>
      <c r="AC1700" s="130"/>
      <c r="AD1700" s="130">
        <v>31246</v>
      </c>
      <c r="AE1700" s="128" t="s">
        <v>32</v>
      </c>
      <c r="AF1700" s="128" t="s">
        <v>69</v>
      </c>
      <c r="AG1700" s="128" t="s">
        <v>874</v>
      </c>
      <c r="AH1700" s="108" t="s">
        <v>58</v>
      </c>
      <c r="AI1700" s="128" t="s">
        <v>97</v>
      </c>
      <c r="AJ1700" s="129" t="s">
        <v>55</v>
      </c>
      <c r="AK1700" s="129">
        <v>4</v>
      </c>
      <c r="AL1700" s="3" t="s">
        <v>55</v>
      </c>
      <c r="AP1700" s="129" t="s">
        <v>81</v>
      </c>
      <c r="AR1700" s="128" t="s">
        <v>50</v>
      </c>
      <c r="AS1700" s="129" t="s">
        <v>82</v>
      </c>
      <c r="BC1700" s="129" t="s">
        <v>52</v>
      </c>
      <c r="BF1700" s="111">
        <f t="shared" si="1280"/>
        <v>3</v>
      </c>
      <c r="BG1700" s="111">
        <f t="shared" si="1278"/>
        <v>78</v>
      </c>
      <c r="BH1700" s="111">
        <f t="shared" si="1249"/>
        <v>78</v>
      </c>
      <c r="BI1700" s="111">
        <f t="shared" si="1250"/>
        <v>26.562841530054644</v>
      </c>
      <c r="BJ1700" s="129">
        <f>(G1700-J1700)+(M1700-G1700)</f>
        <v>0</v>
      </c>
      <c r="BK1700" s="129">
        <f t="shared" si="1251"/>
        <v>-75</v>
      </c>
      <c r="BL1700" s="129" t="str">
        <f t="shared" si="1277"/>
        <v>NO CONVICTION</v>
      </c>
      <c r="BM1700" s="129" t="s">
        <v>76</v>
      </c>
      <c r="BN1700" s="129" t="s">
        <v>88</v>
      </c>
      <c r="BP1700" s="137" t="str">
        <f t="shared" si="1255"/>
        <v>NO CONVICTION</v>
      </c>
      <c r="BQ1700" s="128" t="str">
        <f t="shared" si="1256"/>
        <v>Y</v>
      </c>
      <c r="BR1700" s="129" t="str">
        <f t="shared" si="1268"/>
        <v>ON BOND</v>
      </c>
      <c r="BS1700" s="129" t="str">
        <f t="shared" si="1257"/>
        <v>DISPOSED</v>
      </c>
      <c r="BT1700" s="129" t="str">
        <f t="shared" si="1258"/>
        <v>Y</v>
      </c>
      <c r="BU1700" s="109">
        <f>IFERROR(Q1700/R1700,BR1700)</f>
        <v>3.8461538461538464E-2</v>
      </c>
      <c r="BV1700" s="109">
        <f t="shared" si="1260"/>
        <v>3.8461538461538464E-2</v>
      </c>
      <c r="BW1700" s="109">
        <f t="shared" si="1247"/>
        <v>0</v>
      </c>
      <c r="BX1700" s="111">
        <f t="shared" si="1261"/>
        <v>0</v>
      </c>
      <c r="BY1700" s="129">
        <f t="shared" si="1262"/>
        <v>-3</v>
      </c>
      <c r="BZ1700" s="111">
        <f t="shared" si="1263"/>
        <v>0</v>
      </c>
      <c r="CA1700" s="138">
        <f t="shared" si="1264"/>
        <v>3</v>
      </c>
      <c r="CB1700" s="111" t="e">
        <f t="shared" si="1281"/>
        <v>#VALUE!</v>
      </c>
      <c r="CC1700" s="129">
        <f>M1700-I1700+1</f>
        <v>3</v>
      </c>
      <c r="CD1700" s="111">
        <f>CC1700-BF1700</f>
        <v>0</v>
      </c>
      <c r="CG1700" s="129" t="str">
        <f t="shared" si="1265"/>
        <v>Y</v>
      </c>
      <c r="CI1700" s="129" t="str">
        <f t="shared" si="1269"/>
        <v>0-10 DAYS</v>
      </c>
      <c r="CJ1700" s="137">
        <f t="shared" si="1270"/>
        <v>1</v>
      </c>
      <c r="CK1700" s="129" t="str">
        <f t="shared" si="1271"/>
        <v>Booked</v>
      </c>
    </row>
    <row r="1701" spans="1:89" ht="15.75" customHeight="1" x14ac:dyDescent="0.25">
      <c r="A1701" s="111">
        <v>51</v>
      </c>
      <c r="B1701" s="128" t="str">
        <f t="shared" si="1252"/>
        <v>N</v>
      </c>
      <c r="C1701" s="128" t="str">
        <f t="shared" si="1253"/>
        <v>N</v>
      </c>
      <c r="D1701" s="117">
        <v>2222626</v>
      </c>
      <c r="E1701" s="135">
        <f t="shared" si="1254"/>
        <v>4</v>
      </c>
      <c r="F1701" s="124">
        <v>40911</v>
      </c>
      <c r="G1701" s="125">
        <v>40983</v>
      </c>
      <c r="H1701" s="117">
        <v>2222626</v>
      </c>
      <c r="I1701" s="124">
        <v>40911</v>
      </c>
      <c r="J1701" s="124">
        <v>40956</v>
      </c>
      <c r="K1701" s="126">
        <v>5000</v>
      </c>
      <c r="L1701" s="127" t="s">
        <v>569</v>
      </c>
      <c r="M1701" s="125">
        <v>40956</v>
      </c>
      <c r="N1701" s="129" t="str">
        <f>IF(M1701&gt;1/1/1,"Y","N")</f>
        <v>Y</v>
      </c>
      <c r="O1701" s="128" t="s">
        <v>54</v>
      </c>
      <c r="P1701" s="129" t="s">
        <v>39</v>
      </c>
      <c r="Q1701" s="111">
        <f t="shared" si="1279"/>
        <v>46</v>
      </c>
      <c r="R1701" s="111">
        <f t="shared" si="1273"/>
        <v>73</v>
      </c>
      <c r="S1701" s="129">
        <v>7</v>
      </c>
      <c r="T1701" s="129">
        <v>3</v>
      </c>
      <c r="U1701" s="129">
        <v>5</v>
      </c>
      <c r="W1701" s="111"/>
      <c r="AC1701" s="130"/>
      <c r="AD1701" s="130">
        <v>32210</v>
      </c>
      <c r="AE1701" s="128" t="s">
        <v>46</v>
      </c>
      <c r="AF1701" s="128" t="s">
        <v>33</v>
      </c>
      <c r="AG1701" s="128" t="s">
        <v>872</v>
      </c>
      <c r="AH1701" s="108" t="s">
        <v>31</v>
      </c>
      <c r="AI1701" s="128" t="s">
        <v>90</v>
      </c>
      <c r="AJ1701" s="129" t="s">
        <v>89</v>
      </c>
      <c r="AK1701" s="129">
        <v>4</v>
      </c>
      <c r="AL1701" s="3" t="s">
        <v>991</v>
      </c>
      <c r="AO1701" s="128">
        <v>86</v>
      </c>
      <c r="AP1701" s="129" t="s">
        <v>116</v>
      </c>
      <c r="AR1701" s="128" t="s">
        <v>44</v>
      </c>
      <c r="AS1701" s="129" t="s">
        <v>64</v>
      </c>
      <c r="AT1701" s="32" t="s">
        <v>591</v>
      </c>
      <c r="BC1701" s="129" t="s">
        <v>38</v>
      </c>
      <c r="BF1701" s="111">
        <f t="shared" si="1280"/>
        <v>46</v>
      </c>
      <c r="BG1701" s="111">
        <f t="shared" si="1278"/>
        <v>73</v>
      </c>
      <c r="BH1701" s="111">
        <f t="shared" si="1249"/>
        <v>73</v>
      </c>
      <c r="BI1701" s="111">
        <f t="shared" si="1250"/>
        <v>23.773224043715846</v>
      </c>
      <c r="BJ1701" s="129">
        <f>(G1701-J1701)+(M1701-G1701)</f>
        <v>0</v>
      </c>
      <c r="BK1701" s="129">
        <f t="shared" si="1251"/>
        <v>-27</v>
      </c>
      <c r="BL1701" s="129" t="str">
        <f t="shared" si="1277"/>
        <v>CONVICTION</v>
      </c>
      <c r="BM1701" s="129" t="s">
        <v>160</v>
      </c>
      <c r="BN1701" s="129" t="s">
        <v>88</v>
      </c>
      <c r="BP1701" s="137" t="str">
        <f t="shared" si="1255"/>
        <v>CONVICTION</v>
      </c>
      <c r="BQ1701" s="128" t="str">
        <f t="shared" si="1256"/>
        <v>Y</v>
      </c>
      <c r="BR1701" s="129" t="str">
        <f>IF(J1701&lt;G1701,"ON BOND",0)</f>
        <v>ON BOND</v>
      </c>
      <c r="BS1701" s="129" t="str">
        <f t="shared" si="1257"/>
        <v>DISPOSED</v>
      </c>
      <c r="BT1701" s="129" t="str">
        <f t="shared" si="1258"/>
        <v>Y</v>
      </c>
      <c r="BU1701" s="109">
        <f t="shared" si="1259"/>
        <v>0.63013698630136983</v>
      </c>
      <c r="BV1701" s="109">
        <f t="shared" si="1260"/>
        <v>0.63013698630136983</v>
      </c>
      <c r="BW1701" s="109">
        <f t="shared" si="1247"/>
        <v>0</v>
      </c>
      <c r="BX1701" s="111">
        <f t="shared" si="1261"/>
        <v>0</v>
      </c>
      <c r="BY1701" s="129">
        <f t="shared" si="1262"/>
        <v>-46</v>
      </c>
      <c r="BZ1701" s="111">
        <f t="shared" si="1263"/>
        <v>0</v>
      </c>
      <c r="CA1701" s="138">
        <f t="shared" si="1264"/>
        <v>46</v>
      </c>
      <c r="CB1701" s="111" t="e">
        <f t="shared" si="1281"/>
        <v>#VALUE!</v>
      </c>
      <c r="CC1701" s="129">
        <f>M1701-I1701+1</f>
        <v>46</v>
      </c>
      <c r="CD1701" s="111">
        <f>CC1701-BF1701</f>
        <v>0</v>
      </c>
      <c r="CG1701" s="129" t="str">
        <f t="shared" si="1265"/>
        <v>Y</v>
      </c>
      <c r="CI1701" s="129" t="str">
        <f t="shared" si="1269"/>
        <v>31-60 DAYS</v>
      </c>
      <c r="CJ1701" s="137">
        <f t="shared" si="1270"/>
        <v>3</v>
      </c>
      <c r="CK1701" s="129" t="str">
        <f t="shared" si="1271"/>
        <v>Booked</v>
      </c>
    </row>
    <row r="1702" spans="1:89" ht="15" customHeight="1" x14ac:dyDescent="0.25">
      <c r="A1702" s="111">
        <v>2524</v>
      </c>
      <c r="B1702" s="128" t="str">
        <f t="shared" si="1252"/>
        <v>N</v>
      </c>
      <c r="C1702" s="128" t="str">
        <f t="shared" si="1253"/>
        <v>N</v>
      </c>
      <c r="D1702" s="117">
        <v>2223105</v>
      </c>
      <c r="E1702" s="135">
        <f t="shared" si="1254"/>
        <v>2</v>
      </c>
      <c r="F1702" s="124">
        <v>41003</v>
      </c>
      <c r="G1702" s="125">
        <v>41242</v>
      </c>
      <c r="H1702" s="117">
        <v>2223105</v>
      </c>
      <c r="I1702" s="124">
        <v>41003</v>
      </c>
      <c r="J1702" s="124">
        <v>41057</v>
      </c>
      <c r="K1702" s="126">
        <v>40000</v>
      </c>
      <c r="L1702" s="129" t="s">
        <v>572</v>
      </c>
      <c r="M1702" s="125">
        <v>41057</v>
      </c>
      <c r="N1702" s="129" t="str">
        <f>IF(M1702&gt;1/1/1,"Y","N")</f>
        <v>Y</v>
      </c>
      <c r="O1702" s="128" t="s">
        <v>585</v>
      </c>
      <c r="P1702" s="129" t="s">
        <v>589</v>
      </c>
      <c r="Q1702" s="111">
        <f t="shared" si="1279"/>
        <v>55</v>
      </c>
      <c r="R1702" s="111">
        <f t="shared" si="1273"/>
        <v>240</v>
      </c>
      <c r="S1702" s="129">
        <v>0</v>
      </c>
      <c r="T1702" s="129">
        <v>3</v>
      </c>
      <c r="W1702" s="111"/>
      <c r="AC1702" s="130"/>
      <c r="AD1702" s="130">
        <v>31220</v>
      </c>
      <c r="AE1702" s="128" t="s">
        <v>32</v>
      </c>
      <c r="AF1702" s="128" t="s">
        <v>33</v>
      </c>
      <c r="AG1702" s="128" t="s">
        <v>872</v>
      </c>
      <c r="AH1702" s="108" t="s">
        <v>31</v>
      </c>
      <c r="AI1702" s="128" t="s">
        <v>71</v>
      </c>
      <c r="AJ1702" s="129" t="s">
        <v>48</v>
      </c>
      <c r="AK1702" s="129">
        <v>8</v>
      </c>
      <c r="AL1702" s="3" t="s">
        <v>48</v>
      </c>
      <c r="AP1702" s="129" t="s">
        <v>49</v>
      </c>
      <c r="AR1702" s="128" t="s">
        <v>50</v>
      </c>
      <c r="AS1702" s="129" t="s">
        <v>45</v>
      </c>
      <c r="BC1702" s="129" t="s">
        <v>52</v>
      </c>
      <c r="BF1702" s="111">
        <f t="shared" si="1280"/>
        <v>55</v>
      </c>
      <c r="BG1702" s="111">
        <f t="shared" si="1278"/>
        <v>240</v>
      </c>
      <c r="BH1702" s="111">
        <f t="shared" si="1249"/>
        <v>240</v>
      </c>
      <c r="BI1702" s="111">
        <f t="shared" si="1250"/>
        <v>26.729508196721312</v>
      </c>
      <c r="BJ1702" s="129">
        <f>(G1702-J1702)+(M1702-G1702)</f>
        <v>0</v>
      </c>
      <c r="BK1702" s="129">
        <f t="shared" si="1251"/>
        <v>-185</v>
      </c>
      <c r="BL1702" s="129" t="str">
        <f t="shared" si="1277"/>
        <v>DEFERRED</v>
      </c>
      <c r="BM1702" s="129" t="s">
        <v>76</v>
      </c>
      <c r="BN1702" s="129" t="s">
        <v>88</v>
      </c>
      <c r="BP1702" s="137" t="str">
        <f t="shared" si="1255"/>
        <v>DEFERRED</v>
      </c>
      <c r="BQ1702" s="128" t="str">
        <f t="shared" si="1256"/>
        <v>Y</v>
      </c>
      <c r="BR1702" s="129" t="str">
        <f t="shared" si="1268"/>
        <v>ON BOND</v>
      </c>
      <c r="BS1702" s="129" t="str">
        <f t="shared" si="1257"/>
        <v>DISPOSED</v>
      </c>
      <c r="BT1702" s="129" t="str">
        <f t="shared" si="1258"/>
        <v>N</v>
      </c>
      <c r="BU1702" s="109">
        <f t="shared" si="1259"/>
        <v>0.22916666666666666</v>
      </c>
      <c r="BV1702" s="109">
        <f t="shared" si="1260"/>
        <v>0.22916666666666666</v>
      </c>
      <c r="BW1702" s="109">
        <f t="shared" si="1247"/>
        <v>0</v>
      </c>
      <c r="BX1702" s="111">
        <f t="shared" si="1261"/>
        <v>0</v>
      </c>
      <c r="BY1702" s="129">
        <f t="shared" si="1262"/>
        <v>-55</v>
      </c>
      <c r="BZ1702" s="111">
        <f t="shared" si="1263"/>
        <v>0</v>
      </c>
      <c r="CA1702" s="138">
        <f t="shared" si="1264"/>
        <v>55</v>
      </c>
      <c r="CB1702" s="111" t="e">
        <f t="shared" si="1281"/>
        <v>#VALUE!</v>
      </c>
      <c r="CC1702" s="129">
        <f>M1702-I1702+1</f>
        <v>55</v>
      </c>
      <c r="CD1702" s="111">
        <f>CC1702-BF1702</f>
        <v>0</v>
      </c>
      <c r="CG1702" s="129" t="str">
        <f t="shared" si="1265"/>
        <v>Y</v>
      </c>
      <c r="CI1702" s="129" t="str">
        <f t="shared" si="1269"/>
        <v>31-60 DAYS</v>
      </c>
      <c r="CJ1702" s="137">
        <f t="shared" si="1270"/>
        <v>3</v>
      </c>
      <c r="CK1702" s="129" t="str">
        <f t="shared" si="1271"/>
        <v>Booked</v>
      </c>
    </row>
    <row r="1703" spans="1:89" ht="15.75" customHeight="1" x14ac:dyDescent="0.25">
      <c r="A1703" s="111">
        <v>833</v>
      </c>
      <c r="B1703" s="128" t="str">
        <f t="shared" si="1252"/>
        <v>N</v>
      </c>
      <c r="C1703" s="128" t="str">
        <f t="shared" si="1253"/>
        <v>N</v>
      </c>
      <c r="D1703" s="117">
        <v>2224591</v>
      </c>
      <c r="E1703" s="135">
        <f t="shared" si="1254"/>
        <v>6</v>
      </c>
      <c r="F1703" s="124">
        <v>40940</v>
      </c>
      <c r="G1703" s="125">
        <v>40982</v>
      </c>
      <c r="H1703" s="117">
        <v>2224591</v>
      </c>
      <c r="I1703" s="124">
        <v>40940</v>
      </c>
      <c r="J1703" s="124">
        <v>40982</v>
      </c>
      <c r="K1703" s="126" t="s">
        <v>564</v>
      </c>
      <c r="L1703" s="127" t="s">
        <v>564</v>
      </c>
      <c r="N1703" s="129" t="s">
        <v>566</v>
      </c>
      <c r="O1703" s="128" t="s">
        <v>917</v>
      </c>
      <c r="P1703" s="129" t="s">
        <v>39</v>
      </c>
      <c r="Q1703" s="111">
        <f t="shared" si="1279"/>
        <v>43</v>
      </c>
      <c r="R1703" s="111">
        <f t="shared" si="1273"/>
        <v>43</v>
      </c>
      <c r="S1703" s="129">
        <v>1</v>
      </c>
      <c r="T1703" s="129">
        <v>1</v>
      </c>
      <c r="U1703" s="129">
        <v>1</v>
      </c>
      <c r="W1703" s="111"/>
      <c r="AC1703" s="130"/>
      <c r="AD1703" s="130">
        <v>32176</v>
      </c>
      <c r="AE1703" s="128" t="s">
        <v>32</v>
      </c>
      <c r="AF1703" s="128" t="s">
        <v>69</v>
      </c>
      <c r="AG1703" s="128" t="s">
        <v>874</v>
      </c>
      <c r="AH1703" s="108" t="s">
        <v>31</v>
      </c>
      <c r="AI1703" s="128" t="s">
        <v>70</v>
      </c>
      <c r="AJ1703" s="129" t="s">
        <v>89</v>
      </c>
      <c r="AK1703" s="129">
        <v>3</v>
      </c>
      <c r="AL1703" s="3" t="s">
        <v>362</v>
      </c>
      <c r="AM1703" s="117">
        <v>2</v>
      </c>
      <c r="AP1703" s="129" t="s">
        <v>131</v>
      </c>
      <c r="AR1703" s="128" t="s">
        <v>50</v>
      </c>
      <c r="AS1703" s="129" t="s">
        <v>106</v>
      </c>
      <c r="BC1703" s="129" t="s">
        <v>38</v>
      </c>
      <c r="BF1703" s="111">
        <f t="shared" si="1280"/>
        <v>43</v>
      </c>
      <c r="BG1703" s="111">
        <f t="shared" si="1278"/>
        <v>43</v>
      </c>
      <c r="BH1703" s="111">
        <f t="shared" si="1249"/>
        <v>43</v>
      </c>
      <c r="BI1703" s="111">
        <f t="shared" si="1250"/>
        <v>23.94535519125683</v>
      </c>
      <c r="BJ1703" s="129">
        <f t="shared" si="1266"/>
        <v>0</v>
      </c>
      <c r="BK1703" s="129">
        <f t="shared" si="1251"/>
        <v>0</v>
      </c>
      <c r="BL1703" s="129" t="str">
        <f t="shared" si="1277"/>
        <v>CONVICTION</v>
      </c>
      <c r="BM1703" s="129" t="str">
        <f t="shared" si="1267"/>
        <v>NONE</v>
      </c>
      <c r="BN1703" s="129" t="s">
        <v>566</v>
      </c>
      <c r="BP1703" s="137" t="str">
        <f t="shared" si="1255"/>
        <v>CONVICTION</v>
      </c>
      <c r="BQ1703" s="128" t="str">
        <f t="shared" si="1256"/>
        <v>Y</v>
      </c>
      <c r="BR1703" s="129" t="str">
        <f t="shared" si="1268"/>
        <v>DETAINED</v>
      </c>
      <c r="BS1703" s="129" t="str">
        <f t="shared" si="1257"/>
        <v>DISPOSED</v>
      </c>
      <c r="BT1703" s="129" t="str">
        <f t="shared" si="1258"/>
        <v>Y</v>
      </c>
      <c r="BU1703" s="109">
        <f t="shared" si="1259"/>
        <v>1</v>
      </c>
      <c r="BV1703" s="109">
        <f t="shared" si="1260"/>
        <v>1</v>
      </c>
      <c r="BW1703" s="109">
        <f t="shared" si="1247"/>
        <v>0</v>
      </c>
      <c r="BX1703" s="111">
        <f t="shared" si="1261"/>
        <v>0</v>
      </c>
      <c r="BY1703" s="129">
        <f t="shared" si="1262"/>
        <v>-43</v>
      </c>
      <c r="BZ1703" s="111">
        <f t="shared" si="1263"/>
        <v>0</v>
      </c>
      <c r="CA1703" s="138">
        <f t="shared" si="1264"/>
        <v>43</v>
      </c>
      <c r="CB1703" s="111" t="e">
        <f t="shared" si="1281"/>
        <v>#VALUE!</v>
      </c>
      <c r="CC1703" s="129">
        <f>G1703-I1703+1</f>
        <v>43</v>
      </c>
      <c r="CD1703" s="129">
        <f>G1703-J1703</f>
        <v>0</v>
      </c>
      <c r="CG1703" s="129" t="str">
        <f t="shared" si="1265"/>
        <v>Y</v>
      </c>
      <c r="CI1703" s="129" t="str">
        <f t="shared" si="1269"/>
        <v>31-60 DAYS</v>
      </c>
      <c r="CJ1703" s="137">
        <f t="shared" si="1270"/>
        <v>3</v>
      </c>
      <c r="CK1703" s="129" t="str">
        <f t="shared" si="1271"/>
        <v>Booked</v>
      </c>
    </row>
    <row r="1704" spans="1:89" ht="15.75" customHeight="1" x14ac:dyDescent="0.25">
      <c r="A1704" s="111">
        <v>2926</v>
      </c>
      <c r="B1704" s="128" t="str">
        <f t="shared" si="1252"/>
        <v>N</v>
      </c>
      <c r="C1704" s="128" t="str">
        <f t="shared" si="1253"/>
        <v>N</v>
      </c>
      <c r="D1704" s="117">
        <v>2224604</v>
      </c>
      <c r="E1704" s="135">
        <f t="shared" si="1254"/>
        <v>2</v>
      </c>
      <c r="F1704" s="124">
        <v>41017</v>
      </c>
      <c r="G1704" s="125">
        <v>41040</v>
      </c>
      <c r="H1704" s="117">
        <v>2224604</v>
      </c>
      <c r="I1704" s="124" t="s">
        <v>562</v>
      </c>
      <c r="J1704" s="124" t="s">
        <v>562</v>
      </c>
      <c r="K1704" s="126">
        <v>40000</v>
      </c>
      <c r="L1704" s="129" t="s">
        <v>572</v>
      </c>
      <c r="N1704" s="124" t="s">
        <v>1343</v>
      </c>
      <c r="O1704" s="128" t="s">
        <v>917</v>
      </c>
      <c r="P1704" s="129" t="s">
        <v>589</v>
      </c>
      <c r="Q1704" s="111">
        <f t="shared" si="1279"/>
        <v>0</v>
      </c>
      <c r="R1704" s="111">
        <f t="shared" si="1273"/>
        <v>24</v>
      </c>
      <c r="S1704" s="129">
        <v>0</v>
      </c>
      <c r="T1704" s="129">
        <v>0</v>
      </c>
      <c r="W1704" s="111"/>
      <c r="AC1704" s="130"/>
      <c r="AD1704" s="130">
        <v>29554</v>
      </c>
      <c r="AE1704" s="128" t="s">
        <v>32</v>
      </c>
      <c r="AF1704" s="128" t="s">
        <v>69</v>
      </c>
      <c r="AG1704" s="128" t="s">
        <v>874</v>
      </c>
      <c r="AH1704" s="108" t="s">
        <v>31</v>
      </c>
      <c r="AI1704" s="128" t="s">
        <v>80</v>
      </c>
      <c r="AJ1704" s="129" t="s">
        <v>48</v>
      </c>
      <c r="AK1704" s="129">
        <v>2</v>
      </c>
      <c r="AL1704" s="3" t="s">
        <v>48</v>
      </c>
      <c r="AP1704" s="129" t="s">
        <v>224</v>
      </c>
      <c r="AR1704" s="128" t="s">
        <v>67</v>
      </c>
      <c r="AS1704" s="129" t="s">
        <v>64</v>
      </c>
      <c r="BC1704" s="129" t="s">
        <v>52</v>
      </c>
      <c r="BF1704" s="111">
        <v>0</v>
      </c>
      <c r="BG1704" s="111">
        <v>0</v>
      </c>
      <c r="BH1704" s="111">
        <f t="shared" si="1249"/>
        <v>24</v>
      </c>
      <c r="BI1704" s="111">
        <f t="shared" si="1250"/>
        <v>31.319672131147541</v>
      </c>
      <c r="BJ1704" s="129" t="e">
        <f>(G1704-J1704)+(M1704-G1704)</f>
        <v>#VALUE!</v>
      </c>
      <c r="BK1704" s="129" t="e">
        <f t="shared" si="1251"/>
        <v>#VALUE!</v>
      </c>
      <c r="BL1704" s="129" t="str">
        <f t="shared" si="1277"/>
        <v>DEFERRED</v>
      </c>
      <c r="BM1704" s="129" t="str">
        <f t="shared" si="1267"/>
        <v>NONE</v>
      </c>
      <c r="BN1704" s="129" t="s">
        <v>566</v>
      </c>
      <c r="BP1704" s="137" t="str">
        <f t="shared" si="1255"/>
        <v>DEFERRED</v>
      </c>
      <c r="BQ1704" s="128">
        <f t="shared" si="1256"/>
        <v>0</v>
      </c>
      <c r="BR1704" s="129" t="s">
        <v>1344</v>
      </c>
      <c r="BS1704" s="129" t="str">
        <f t="shared" si="1257"/>
        <v>DISPOSED</v>
      </c>
      <c r="BT1704" s="129" t="str">
        <f t="shared" si="1258"/>
        <v>N</v>
      </c>
      <c r="BU1704" s="109">
        <f t="shared" si="1259"/>
        <v>0</v>
      </c>
      <c r="BV1704" s="109">
        <v>0</v>
      </c>
      <c r="BW1704" s="109">
        <f t="shared" si="1247"/>
        <v>0</v>
      </c>
      <c r="BX1704" s="111">
        <f t="shared" si="1261"/>
        <v>0</v>
      </c>
      <c r="BY1704" s="129" t="e">
        <f t="shared" si="1262"/>
        <v>#VALUE!</v>
      </c>
      <c r="BZ1704" s="111" t="e">
        <f t="shared" si="1263"/>
        <v>#VALUE!</v>
      </c>
      <c r="CA1704" s="138" t="e">
        <f t="shared" si="1264"/>
        <v>#VALUE!</v>
      </c>
      <c r="CB1704" s="111">
        <v>0</v>
      </c>
      <c r="CC1704" s="129">
        <v>0</v>
      </c>
      <c r="CG1704" s="129" t="str">
        <f t="shared" si="1265"/>
        <v>N</v>
      </c>
      <c r="CI1704" s="129" t="str">
        <f t="shared" si="1269"/>
        <v>0-10 DAYS</v>
      </c>
      <c r="CJ1704" s="137">
        <f t="shared" si="1270"/>
        <v>1</v>
      </c>
      <c r="CK1704" s="129" t="str">
        <f t="shared" si="1271"/>
        <v>Not Booked</v>
      </c>
    </row>
    <row r="1705" spans="1:89" ht="15" customHeight="1" x14ac:dyDescent="0.25">
      <c r="A1705" s="111">
        <v>1619</v>
      </c>
      <c r="B1705" s="128" t="str">
        <f t="shared" si="1252"/>
        <v>N</v>
      </c>
      <c r="C1705" s="128" t="str">
        <f t="shared" si="1253"/>
        <v>N</v>
      </c>
      <c r="D1705" s="117">
        <v>2225274</v>
      </c>
      <c r="E1705" s="135">
        <f t="shared" si="1254"/>
        <v>1</v>
      </c>
      <c r="F1705" s="124">
        <v>40969</v>
      </c>
      <c r="G1705" s="125">
        <v>40970</v>
      </c>
      <c r="H1705" s="117">
        <v>2225274</v>
      </c>
      <c r="I1705" s="124">
        <v>40969</v>
      </c>
      <c r="J1705" s="124">
        <v>40970</v>
      </c>
      <c r="K1705" s="126">
        <v>20000</v>
      </c>
      <c r="L1705" s="127" t="s">
        <v>571</v>
      </c>
      <c r="N1705" s="129" t="str">
        <f t="shared" ref="N1705:N1711" si="1282">IF(M1705&gt;1/1/1,"Y","N")</f>
        <v>N</v>
      </c>
      <c r="O1705" s="128" t="s">
        <v>917</v>
      </c>
      <c r="P1705" s="129" t="s">
        <v>55</v>
      </c>
      <c r="Q1705" s="111">
        <f t="shared" si="1279"/>
        <v>2</v>
      </c>
      <c r="R1705" s="111">
        <f t="shared" si="1273"/>
        <v>2</v>
      </c>
      <c r="S1705" s="129">
        <v>4</v>
      </c>
      <c r="T1705" s="129">
        <v>3</v>
      </c>
      <c r="U1705" s="129">
        <v>2</v>
      </c>
      <c r="W1705" s="111"/>
      <c r="AC1705" s="130"/>
      <c r="AD1705" s="130">
        <v>32560</v>
      </c>
      <c r="AE1705" s="128" t="s">
        <v>32</v>
      </c>
      <c r="AF1705" s="128" t="s">
        <v>69</v>
      </c>
      <c r="AG1705" s="128" t="s">
        <v>874</v>
      </c>
      <c r="AH1705" s="108" t="s">
        <v>31</v>
      </c>
      <c r="AI1705" s="128" t="s">
        <v>62</v>
      </c>
      <c r="AJ1705" s="129" t="s">
        <v>55</v>
      </c>
      <c r="AK1705" s="129">
        <v>1</v>
      </c>
      <c r="AL1705" s="3" t="s">
        <v>55</v>
      </c>
      <c r="AP1705" s="129" t="s">
        <v>49</v>
      </c>
      <c r="AR1705" s="128" t="s">
        <v>50</v>
      </c>
      <c r="AS1705" s="129" t="s">
        <v>45</v>
      </c>
      <c r="BC1705" s="129" t="s">
        <v>79</v>
      </c>
      <c r="BF1705" s="111">
        <f t="shared" ref="BF1705:BF1711" si="1283">IF(J1705&gt;1/1/1900,((J1705+1)-I1705),"STILL OPEN")</f>
        <v>2</v>
      </c>
      <c r="BG1705" s="111">
        <f t="shared" ref="BG1705:BG1712" si="1284">IF(G1705&gt;1/1/1900,((G1705+1)-I1705),"STILL OPEN")</f>
        <v>2</v>
      </c>
      <c r="BH1705" s="111">
        <f t="shared" si="1249"/>
        <v>2</v>
      </c>
      <c r="BI1705" s="111">
        <f t="shared" si="1250"/>
        <v>22.975409836065573</v>
      </c>
      <c r="BJ1705" s="129">
        <f t="shared" si="1266"/>
        <v>0</v>
      </c>
      <c r="BK1705" s="129">
        <f t="shared" si="1251"/>
        <v>0</v>
      </c>
      <c r="BL1705" s="129" t="str">
        <f t="shared" si="1277"/>
        <v>NO CONVICTION</v>
      </c>
      <c r="BM1705" s="129" t="str">
        <f t="shared" si="1267"/>
        <v>NONE</v>
      </c>
      <c r="BN1705" s="129" t="s">
        <v>566</v>
      </c>
      <c r="BP1705" s="137" t="str">
        <f t="shared" si="1255"/>
        <v>NO CONVICTION</v>
      </c>
      <c r="BQ1705" s="128" t="str">
        <f t="shared" si="1256"/>
        <v>Y</v>
      </c>
      <c r="BR1705" s="129" t="str">
        <f t="shared" si="1268"/>
        <v>DETAINED</v>
      </c>
      <c r="BS1705" s="129" t="str">
        <f t="shared" si="1257"/>
        <v>DISPOSED</v>
      </c>
      <c r="BT1705" s="129" t="str">
        <f t="shared" si="1258"/>
        <v>Y</v>
      </c>
      <c r="BU1705" s="109">
        <f>IFERROR(Q1705/R1705,BR1705)</f>
        <v>1</v>
      </c>
      <c r="BV1705" s="109">
        <f t="shared" si="1260"/>
        <v>1</v>
      </c>
      <c r="BW1705" s="109">
        <f t="shared" si="1247"/>
        <v>0</v>
      </c>
      <c r="BX1705" s="111">
        <f t="shared" si="1261"/>
        <v>0</v>
      </c>
      <c r="BY1705" s="129">
        <f t="shared" si="1262"/>
        <v>-2</v>
      </c>
      <c r="BZ1705" s="111">
        <f t="shared" si="1263"/>
        <v>0</v>
      </c>
      <c r="CA1705" s="138">
        <f t="shared" si="1264"/>
        <v>2</v>
      </c>
      <c r="CB1705" s="111" t="e">
        <f t="shared" ref="CB1705:CB1712" si="1285">IF(AF1705&gt;1/1/1900,((AF1705+1)-AE1705),"STILL OPEN")</f>
        <v>#VALUE!</v>
      </c>
      <c r="CC1705" s="129">
        <f>G1705-I1705+1</f>
        <v>2</v>
      </c>
      <c r="CD1705" s="129">
        <f>G1705-J1705</f>
        <v>0</v>
      </c>
      <c r="CG1705" s="129" t="str">
        <f t="shared" si="1265"/>
        <v>Y</v>
      </c>
      <c r="CI1705" s="129" t="str">
        <f t="shared" si="1269"/>
        <v>0-10 DAYS</v>
      </c>
      <c r="CJ1705" s="137">
        <f t="shared" si="1270"/>
        <v>1</v>
      </c>
      <c r="CK1705" s="129" t="str">
        <f t="shared" si="1271"/>
        <v>Booked</v>
      </c>
    </row>
    <row r="1706" spans="1:89" ht="15.75" customHeight="1" x14ac:dyDescent="0.25">
      <c r="A1706" s="111">
        <v>1323</v>
      </c>
      <c r="B1706" s="128" t="str">
        <f t="shared" si="1252"/>
        <v>N</v>
      </c>
      <c r="C1706" s="128" t="str">
        <f t="shared" si="1253"/>
        <v>N</v>
      </c>
      <c r="D1706" s="117">
        <v>2228539</v>
      </c>
      <c r="E1706" s="135">
        <f t="shared" si="1254"/>
        <v>4</v>
      </c>
      <c r="F1706" s="124">
        <v>40956</v>
      </c>
      <c r="G1706" s="125">
        <v>41290</v>
      </c>
      <c r="H1706" s="117">
        <v>2228539</v>
      </c>
      <c r="I1706" s="124">
        <v>41012</v>
      </c>
      <c r="J1706" s="124">
        <v>41013</v>
      </c>
      <c r="K1706" s="126">
        <v>20000</v>
      </c>
      <c r="L1706" s="127" t="s">
        <v>571</v>
      </c>
      <c r="M1706" s="125">
        <v>41013</v>
      </c>
      <c r="N1706" s="129" t="str">
        <f t="shared" si="1282"/>
        <v>Y</v>
      </c>
      <c r="O1706" s="128" t="s">
        <v>76</v>
      </c>
      <c r="P1706" s="129" t="s">
        <v>39</v>
      </c>
      <c r="Q1706" s="111">
        <f t="shared" si="1279"/>
        <v>2</v>
      </c>
      <c r="R1706" s="111">
        <f t="shared" si="1273"/>
        <v>335</v>
      </c>
      <c r="S1706" s="129">
        <v>1</v>
      </c>
      <c r="T1706" s="129">
        <v>7</v>
      </c>
      <c r="W1706" s="111"/>
      <c r="AC1706" s="130"/>
      <c r="AD1706" s="130">
        <v>30678</v>
      </c>
      <c r="AE1706" s="128" t="s">
        <v>32</v>
      </c>
      <c r="AF1706" s="128" t="s">
        <v>69</v>
      </c>
      <c r="AG1706" s="128" t="s">
        <v>874</v>
      </c>
      <c r="AH1706" s="108" t="s">
        <v>58</v>
      </c>
      <c r="AI1706" s="128" t="s">
        <v>97</v>
      </c>
      <c r="AJ1706" s="129" t="s">
        <v>89</v>
      </c>
      <c r="AK1706" s="129">
        <v>11</v>
      </c>
      <c r="AL1706" s="3" t="s">
        <v>991</v>
      </c>
      <c r="AO1706" s="128">
        <v>60</v>
      </c>
      <c r="AP1706" s="129" t="s">
        <v>150</v>
      </c>
      <c r="AR1706" s="128" t="s">
        <v>67</v>
      </c>
      <c r="AS1706" s="129" t="s">
        <v>74</v>
      </c>
      <c r="AT1706" s="129" t="s">
        <v>319</v>
      </c>
      <c r="BC1706" s="129" t="s">
        <v>52</v>
      </c>
      <c r="BF1706" s="111">
        <f t="shared" si="1283"/>
        <v>2</v>
      </c>
      <c r="BG1706" s="111">
        <f t="shared" si="1284"/>
        <v>279</v>
      </c>
      <c r="BH1706" s="111">
        <f t="shared" si="1249"/>
        <v>335</v>
      </c>
      <c r="BI1706" s="111">
        <f t="shared" si="1250"/>
        <v>28.081967213114755</v>
      </c>
      <c r="BJ1706" s="129">
        <f>(G1706-J1706)+(M1706-G1706)</f>
        <v>0</v>
      </c>
      <c r="BK1706" s="129">
        <f t="shared" si="1251"/>
        <v>-277</v>
      </c>
      <c r="BL1706" s="129" t="str">
        <f t="shared" si="1277"/>
        <v>CONVICTION</v>
      </c>
      <c r="BM1706" s="129" t="s">
        <v>76</v>
      </c>
      <c r="BN1706" s="129" t="s">
        <v>88</v>
      </c>
      <c r="BP1706" s="137" t="str">
        <f t="shared" si="1255"/>
        <v>CONVICTION</v>
      </c>
      <c r="BQ1706" s="128" t="str">
        <f t="shared" si="1256"/>
        <v>Y</v>
      </c>
      <c r="BR1706" s="129" t="str">
        <f>IF(J1706&lt;G1706,"ON BOND",0)</f>
        <v>ON BOND</v>
      </c>
      <c r="BS1706" s="129" t="str">
        <f t="shared" si="1257"/>
        <v>DISPOSED</v>
      </c>
      <c r="BT1706" s="129" t="str">
        <f t="shared" si="1258"/>
        <v>Y</v>
      </c>
      <c r="BU1706" s="109">
        <f t="shared" si="1259"/>
        <v>5.9701492537313433E-3</v>
      </c>
      <c r="BV1706" s="109">
        <f t="shared" si="1260"/>
        <v>7.1684587813620072E-3</v>
      </c>
      <c r="BW1706" s="109">
        <f t="shared" si="1247"/>
        <v>1.1983095276306638E-3</v>
      </c>
      <c r="BX1706" s="111">
        <f t="shared" si="1261"/>
        <v>0</v>
      </c>
      <c r="BY1706" s="129">
        <f t="shared" si="1262"/>
        <v>-2</v>
      </c>
      <c r="BZ1706" s="111">
        <f t="shared" si="1263"/>
        <v>0</v>
      </c>
      <c r="CA1706" s="138">
        <f t="shared" si="1264"/>
        <v>2</v>
      </c>
      <c r="CB1706" s="111" t="e">
        <f t="shared" si="1285"/>
        <v>#VALUE!</v>
      </c>
      <c r="CC1706" s="129">
        <f>M1706-I1706+1</f>
        <v>2</v>
      </c>
      <c r="CD1706" s="111">
        <f>CC1706-BF1706</f>
        <v>0</v>
      </c>
      <c r="CG1706" s="129" t="str">
        <f t="shared" si="1265"/>
        <v>Y</v>
      </c>
      <c r="CI1706" s="129" t="str">
        <f t="shared" si="1269"/>
        <v>0-10 DAYS</v>
      </c>
      <c r="CJ1706" s="137">
        <f t="shared" si="1270"/>
        <v>1</v>
      </c>
      <c r="CK1706" s="129" t="str">
        <f t="shared" si="1271"/>
        <v>Booked</v>
      </c>
    </row>
    <row r="1707" spans="1:89" ht="15.75" customHeight="1" x14ac:dyDescent="0.25">
      <c r="A1707" s="111">
        <v>2841</v>
      </c>
      <c r="B1707" s="128" t="str">
        <f t="shared" si="1252"/>
        <v>N</v>
      </c>
      <c r="C1707" s="128" t="str">
        <f t="shared" si="1253"/>
        <v>N</v>
      </c>
      <c r="D1707" s="117">
        <v>2228801</v>
      </c>
      <c r="E1707" s="135">
        <f t="shared" si="1254"/>
        <v>4</v>
      </c>
      <c r="F1707" s="124">
        <v>41013</v>
      </c>
      <c r="G1707" s="125">
        <v>41044</v>
      </c>
      <c r="H1707" s="117">
        <v>2228801</v>
      </c>
      <c r="I1707" s="124">
        <v>41041</v>
      </c>
      <c r="J1707" s="124">
        <v>41044</v>
      </c>
      <c r="K1707" s="126">
        <v>5000</v>
      </c>
      <c r="L1707" s="127" t="s">
        <v>569</v>
      </c>
      <c r="N1707" s="129" t="str">
        <f t="shared" si="1282"/>
        <v>N</v>
      </c>
      <c r="O1707" s="128" t="s">
        <v>917</v>
      </c>
      <c r="P1707" s="129" t="s">
        <v>39</v>
      </c>
      <c r="Q1707" s="111">
        <f t="shared" si="1279"/>
        <v>4</v>
      </c>
      <c r="R1707" s="111">
        <f t="shared" si="1273"/>
        <v>32</v>
      </c>
      <c r="S1707" s="129">
        <v>2</v>
      </c>
      <c r="T1707" s="129">
        <v>2</v>
      </c>
      <c r="W1707" s="111"/>
      <c r="AC1707" s="130"/>
      <c r="AD1707" s="130">
        <v>32117</v>
      </c>
      <c r="AE1707" s="128" t="s">
        <v>32</v>
      </c>
      <c r="AF1707" s="128" t="s">
        <v>69</v>
      </c>
      <c r="AG1707" s="128" t="s">
        <v>874</v>
      </c>
      <c r="AH1707" s="108" t="s">
        <v>31</v>
      </c>
      <c r="AI1707" s="128" t="s">
        <v>97</v>
      </c>
      <c r="AJ1707" s="129" t="s">
        <v>89</v>
      </c>
      <c r="AK1707" s="129">
        <v>2</v>
      </c>
      <c r="AL1707" s="3" t="s">
        <v>991</v>
      </c>
      <c r="AO1707" s="128">
        <v>210</v>
      </c>
      <c r="AP1707" s="129" t="s">
        <v>108</v>
      </c>
      <c r="AR1707" s="128" t="s">
        <v>44</v>
      </c>
      <c r="AS1707" s="129" t="s">
        <v>61</v>
      </c>
      <c r="BC1707" s="129" t="s">
        <v>38</v>
      </c>
      <c r="BF1707" s="111">
        <f t="shared" si="1283"/>
        <v>4</v>
      </c>
      <c r="BG1707" s="111">
        <f t="shared" si="1284"/>
        <v>4</v>
      </c>
      <c r="BH1707" s="111">
        <f t="shared" si="1249"/>
        <v>32</v>
      </c>
      <c r="BI1707" s="111">
        <f t="shared" si="1250"/>
        <v>24.306010928961747</v>
      </c>
      <c r="BJ1707" s="129">
        <f t="shared" si="1266"/>
        <v>0</v>
      </c>
      <c r="BK1707" s="129">
        <f t="shared" si="1251"/>
        <v>0</v>
      </c>
      <c r="BL1707" s="129" t="str">
        <f t="shared" si="1277"/>
        <v>CONVICTION</v>
      </c>
      <c r="BM1707" s="129" t="str">
        <f t="shared" si="1267"/>
        <v>NONE</v>
      </c>
      <c r="BN1707" s="129" t="s">
        <v>566</v>
      </c>
      <c r="BP1707" s="137" t="str">
        <f t="shared" si="1255"/>
        <v>CONVICTION</v>
      </c>
      <c r="BQ1707" s="128" t="str">
        <f t="shared" si="1256"/>
        <v>Y</v>
      </c>
      <c r="BR1707" s="129" t="str">
        <f t="shared" si="1268"/>
        <v>DETAINED</v>
      </c>
      <c r="BS1707" s="129" t="str">
        <f t="shared" si="1257"/>
        <v>DISPOSED</v>
      </c>
      <c r="BT1707" s="129" t="str">
        <f t="shared" si="1258"/>
        <v>Y</v>
      </c>
      <c r="BU1707" s="109">
        <f t="shared" si="1259"/>
        <v>0.125</v>
      </c>
      <c r="BV1707" s="109">
        <f t="shared" si="1260"/>
        <v>1</v>
      </c>
      <c r="BW1707" s="109">
        <f t="shared" si="1247"/>
        <v>0.875</v>
      </c>
      <c r="BX1707" s="111">
        <f t="shared" si="1261"/>
        <v>0</v>
      </c>
      <c r="BY1707" s="129">
        <f t="shared" si="1262"/>
        <v>-4</v>
      </c>
      <c r="BZ1707" s="111">
        <f t="shared" si="1263"/>
        <v>0</v>
      </c>
      <c r="CA1707" s="138">
        <f t="shared" si="1264"/>
        <v>4</v>
      </c>
      <c r="CB1707" s="111" t="e">
        <f t="shared" si="1285"/>
        <v>#VALUE!</v>
      </c>
      <c r="CC1707" s="129">
        <f>G1707-I1707+1</f>
        <v>4</v>
      </c>
      <c r="CD1707" s="129">
        <f t="shared" ref="CD1707:CD1712" si="1286">G1707-J1707</f>
        <v>0</v>
      </c>
      <c r="CG1707" s="129" t="str">
        <f t="shared" si="1265"/>
        <v>Y</v>
      </c>
      <c r="CI1707" s="129" t="str">
        <f t="shared" si="1269"/>
        <v>0-10 DAYS</v>
      </c>
      <c r="CJ1707" s="137">
        <f t="shared" si="1270"/>
        <v>1</v>
      </c>
      <c r="CK1707" s="129" t="str">
        <f t="shared" si="1271"/>
        <v>Booked</v>
      </c>
    </row>
    <row r="1708" spans="1:89" ht="15.75" customHeight="1" x14ac:dyDescent="0.25">
      <c r="A1708" s="111">
        <v>2197</v>
      </c>
      <c r="B1708" s="128" t="str">
        <f t="shared" si="1252"/>
        <v>N</v>
      </c>
      <c r="C1708" s="128" t="str">
        <f t="shared" si="1253"/>
        <v>Y</v>
      </c>
      <c r="D1708" s="117">
        <v>2228966</v>
      </c>
      <c r="E1708" s="135">
        <f t="shared" si="1254"/>
        <v>2</v>
      </c>
      <c r="F1708" s="124">
        <v>40991</v>
      </c>
      <c r="G1708" s="125">
        <v>41248</v>
      </c>
      <c r="H1708" s="117">
        <v>2228966</v>
      </c>
      <c r="I1708" s="124">
        <v>40991</v>
      </c>
      <c r="J1708" s="124">
        <v>40992</v>
      </c>
      <c r="K1708" s="126">
        <v>30000</v>
      </c>
      <c r="L1708" s="129" t="s">
        <v>572</v>
      </c>
      <c r="M1708" s="125">
        <v>40992</v>
      </c>
      <c r="N1708" s="129" t="str">
        <f t="shared" si="1282"/>
        <v>Y</v>
      </c>
      <c r="O1708" s="128" t="s">
        <v>76</v>
      </c>
      <c r="P1708" s="129" t="s">
        <v>589</v>
      </c>
      <c r="Q1708" s="111">
        <v>15</v>
      </c>
      <c r="R1708" s="111">
        <f t="shared" si="1273"/>
        <v>258</v>
      </c>
      <c r="S1708" s="129">
        <v>4</v>
      </c>
      <c r="T1708" s="129">
        <v>1</v>
      </c>
      <c r="U1708" s="129">
        <v>1</v>
      </c>
      <c r="W1708" s="111"/>
      <c r="AC1708" s="130"/>
      <c r="AD1708" s="130">
        <v>25018</v>
      </c>
      <c r="AE1708" s="128" t="s">
        <v>46</v>
      </c>
      <c r="AF1708" s="128" t="s">
        <v>69</v>
      </c>
      <c r="AG1708" s="128" t="s">
        <v>874</v>
      </c>
      <c r="AH1708" s="108" t="s">
        <v>58</v>
      </c>
      <c r="AI1708" s="128" t="s">
        <v>141</v>
      </c>
      <c r="AJ1708" s="129" t="s">
        <v>48</v>
      </c>
      <c r="AK1708" s="129">
        <v>15</v>
      </c>
      <c r="AL1708" s="3" t="s">
        <v>48</v>
      </c>
      <c r="AP1708" s="129" t="s">
        <v>43</v>
      </c>
      <c r="AR1708" s="128" t="s">
        <v>44</v>
      </c>
      <c r="AS1708" s="129" t="s">
        <v>45</v>
      </c>
      <c r="AT1708" s="129" t="s">
        <v>413</v>
      </c>
      <c r="AU1708" s="118" t="s">
        <v>758</v>
      </c>
      <c r="AX1708" s="129" t="s">
        <v>88</v>
      </c>
      <c r="BC1708" s="129" t="s">
        <v>52</v>
      </c>
      <c r="BF1708" s="111">
        <v>15</v>
      </c>
      <c r="BG1708" s="111">
        <f t="shared" si="1284"/>
        <v>258</v>
      </c>
      <c r="BH1708" s="111">
        <f t="shared" si="1249"/>
        <v>258</v>
      </c>
      <c r="BI1708" s="111">
        <f t="shared" si="1250"/>
        <v>43.642076502732237</v>
      </c>
      <c r="BJ1708" s="129">
        <f>(G1708-J1708)+(M1708-G1708)</f>
        <v>0</v>
      </c>
      <c r="BK1708" s="129">
        <f t="shared" si="1251"/>
        <v>-256</v>
      </c>
      <c r="BL1708" s="129" t="str">
        <f t="shared" si="1277"/>
        <v>DEFERRED</v>
      </c>
      <c r="BM1708" s="129" t="s">
        <v>76</v>
      </c>
      <c r="BN1708" s="129" t="s">
        <v>88</v>
      </c>
      <c r="BP1708" s="137" t="str">
        <f t="shared" si="1255"/>
        <v>DEFERRED</v>
      </c>
      <c r="BQ1708" s="128" t="str">
        <f t="shared" si="1256"/>
        <v>Y</v>
      </c>
      <c r="BR1708" s="129" t="str">
        <f t="shared" si="1268"/>
        <v>ON BOND</v>
      </c>
      <c r="BS1708" s="129" t="str">
        <f t="shared" si="1257"/>
        <v>DISPOSED</v>
      </c>
      <c r="BT1708" s="129" t="str">
        <f t="shared" si="1258"/>
        <v>Y</v>
      </c>
      <c r="BU1708" s="109">
        <f t="shared" si="1259"/>
        <v>5.8139534883720929E-2</v>
      </c>
      <c r="BV1708" s="109">
        <f t="shared" si="1260"/>
        <v>7.7519379844961239E-3</v>
      </c>
      <c r="BW1708" s="109">
        <f t="shared" si="1247"/>
        <v>-5.0387596899224806E-2</v>
      </c>
      <c r="BX1708" s="111">
        <f t="shared" si="1261"/>
        <v>0</v>
      </c>
      <c r="BY1708" s="129">
        <f t="shared" si="1262"/>
        <v>-2</v>
      </c>
      <c r="BZ1708" s="111">
        <f t="shared" si="1263"/>
        <v>13</v>
      </c>
      <c r="CA1708" s="138">
        <f t="shared" si="1264"/>
        <v>2</v>
      </c>
      <c r="CB1708" s="111">
        <v>15</v>
      </c>
      <c r="CD1708" s="129">
        <f t="shared" si="1286"/>
        <v>256</v>
      </c>
      <c r="CG1708" s="129" t="str">
        <f t="shared" si="1265"/>
        <v>Y</v>
      </c>
      <c r="CI1708" s="129" t="str">
        <f t="shared" si="1269"/>
        <v>11-30 DAYS</v>
      </c>
      <c r="CJ1708" s="137">
        <f t="shared" si="1270"/>
        <v>2</v>
      </c>
      <c r="CK1708" s="129" t="str">
        <f t="shared" si="1271"/>
        <v>Booked</v>
      </c>
    </row>
    <row r="1709" spans="1:89" ht="15.75" customHeight="1" x14ac:dyDescent="0.25">
      <c r="A1709" s="111">
        <v>2008</v>
      </c>
      <c r="B1709" s="128" t="str">
        <f t="shared" si="1252"/>
        <v>N</v>
      </c>
      <c r="C1709" s="128" t="str">
        <f t="shared" si="1253"/>
        <v>N</v>
      </c>
      <c r="D1709" s="117">
        <v>2229653</v>
      </c>
      <c r="E1709" s="135">
        <f t="shared" si="1254"/>
        <v>4</v>
      </c>
      <c r="F1709" s="124">
        <v>40984</v>
      </c>
      <c r="G1709" s="125">
        <v>40998</v>
      </c>
      <c r="H1709" s="117">
        <v>2229653</v>
      </c>
      <c r="I1709" s="124">
        <v>40984</v>
      </c>
      <c r="J1709" s="124">
        <v>40998</v>
      </c>
      <c r="K1709" s="126">
        <v>10000</v>
      </c>
      <c r="L1709" s="127" t="s">
        <v>570</v>
      </c>
      <c r="N1709" s="129" t="str">
        <f t="shared" si="1282"/>
        <v>N</v>
      </c>
      <c r="O1709" s="128" t="s">
        <v>917</v>
      </c>
      <c r="P1709" s="129" t="s">
        <v>39</v>
      </c>
      <c r="Q1709" s="111">
        <f t="shared" si="1279"/>
        <v>15</v>
      </c>
      <c r="R1709" s="111">
        <f t="shared" si="1273"/>
        <v>15</v>
      </c>
      <c r="S1709" s="129">
        <v>1</v>
      </c>
      <c r="T1709" s="129">
        <v>0</v>
      </c>
      <c r="U1709" s="129">
        <v>1</v>
      </c>
      <c r="W1709" s="111"/>
      <c r="AC1709" s="130"/>
      <c r="AD1709" s="130">
        <v>33137</v>
      </c>
      <c r="AE1709" s="128" t="s">
        <v>32</v>
      </c>
      <c r="AF1709" s="128" t="s">
        <v>33</v>
      </c>
      <c r="AG1709" s="128" t="s">
        <v>872</v>
      </c>
      <c r="AH1709" s="108" t="s">
        <v>31</v>
      </c>
      <c r="AI1709" s="128" t="s">
        <v>47</v>
      </c>
      <c r="AJ1709" s="129" t="s">
        <v>89</v>
      </c>
      <c r="AK1709" s="129">
        <v>2</v>
      </c>
      <c r="AL1709" s="3" t="s">
        <v>991</v>
      </c>
      <c r="AO1709" s="128">
        <v>300</v>
      </c>
      <c r="AP1709" s="129" t="s">
        <v>108</v>
      </c>
      <c r="AR1709" s="128" t="s">
        <v>44</v>
      </c>
      <c r="AS1709" s="129" t="s">
        <v>61</v>
      </c>
      <c r="BC1709" s="129" t="s">
        <v>38</v>
      </c>
      <c r="BF1709" s="111">
        <f t="shared" si="1283"/>
        <v>15</v>
      </c>
      <c r="BG1709" s="111">
        <f t="shared" si="1284"/>
        <v>15</v>
      </c>
      <c r="BH1709" s="111">
        <f t="shared" si="1249"/>
        <v>15</v>
      </c>
      <c r="BI1709" s="111">
        <f t="shared" si="1250"/>
        <v>21.439890710382514</v>
      </c>
      <c r="BJ1709" s="129">
        <f t="shared" si="1266"/>
        <v>0</v>
      </c>
      <c r="BK1709" s="129">
        <f t="shared" si="1251"/>
        <v>0</v>
      </c>
      <c r="BL1709" s="129" t="str">
        <f t="shared" si="1277"/>
        <v>CONVICTION</v>
      </c>
      <c r="BM1709" s="129" t="str">
        <f t="shared" si="1267"/>
        <v>NONE</v>
      </c>
      <c r="BN1709" s="129" t="s">
        <v>566</v>
      </c>
      <c r="BP1709" s="137" t="str">
        <f t="shared" si="1255"/>
        <v>CONVICTION</v>
      </c>
      <c r="BQ1709" s="128" t="str">
        <f t="shared" si="1256"/>
        <v>Y</v>
      </c>
      <c r="BR1709" s="129" t="str">
        <f t="shared" si="1268"/>
        <v>DETAINED</v>
      </c>
      <c r="BS1709" s="129" t="str">
        <f t="shared" si="1257"/>
        <v>DISPOSED</v>
      </c>
      <c r="BT1709" s="129" t="str">
        <f t="shared" si="1258"/>
        <v>Y</v>
      </c>
      <c r="BU1709" s="109">
        <f t="shared" si="1259"/>
        <v>1</v>
      </c>
      <c r="BV1709" s="109">
        <f t="shared" si="1260"/>
        <v>1</v>
      </c>
      <c r="BW1709" s="109">
        <f t="shared" si="1247"/>
        <v>0</v>
      </c>
      <c r="BX1709" s="111">
        <f t="shared" si="1261"/>
        <v>0</v>
      </c>
      <c r="BY1709" s="129">
        <f t="shared" si="1262"/>
        <v>-15</v>
      </c>
      <c r="BZ1709" s="111">
        <f t="shared" si="1263"/>
        <v>0</v>
      </c>
      <c r="CA1709" s="138">
        <f t="shared" si="1264"/>
        <v>15</v>
      </c>
      <c r="CB1709" s="111" t="e">
        <f t="shared" si="1285"/>
        <v>#VALUE!</v>
      </c>
      <c r="CC1709" s="129">
        <f>G1709-I1709+1</f>
        <v>15</v>
      </c>
      <c r="CD1709" s="129">
        <f t="shared" si="1286"/>
        <v>0</v>
      </c>
      <c r="CG1709" s="129" t="str">
        <f t="shared" si="1265"/>
        <v>Y</v>
      </c>
      <c r="CI1709" s="129" t="str">
        <f t="shared" si="1269"/>
        <v>11-30 DAYS</v>
      </c>
      <c r="CJ1709" s="137">
        <f t="shared" si="1270"/>
        <v>2</v>
      </c>
      <c r="CK1709" s="129" t="str">
        <f t="shared" si="1271"/>
        <v>Booked</v>
      </c>
    </row>
    <row r="1710" spans="1:89" ht="15" customHeight="1" x14ac:dyDescent="0.25">
      <c r="A1710" s="111">
        <v>1459</v>
      </c>
      <c r="B1710" s="128" t="str">
        <f t="shared" si="1252"/>
        <v>N</v>
      </c>
      <c r="C1710" s="128" t="str">
        <f t="shared" si="1253"/>
        <v>N</v>
      </c>
      <c r="D1710" s="117">
        <v>2231712</v>
      </c>
      <c r="E1710" s="135">
        <f t="shared" si="1254"/>
        <v>5</v>
      </c>
      <c r="F1710" s="124">
        <v>40962</v>
      </c>
      <c r="G1710" s="125">
        <v>41074</v>
      </c>
      <c r="H1710" s="117">
        <v>2231712</v>
      </c>
      <c r="I1710" s="124">
        <v>40963</v>
      </c>
      <c r="J1710" s="124">
        <v>41074</v>
      </c>
      <c r="K1710" s="126">
        <v>40000</v>
      </c>
      <c r="L1710" s="129" t="s">
        <v>572</v>
      </c>
      <c r="N1710" s="129" t="str">
        <f t="shared" si="1282"/>
        <v>N</v>
      </c>
      <c r="O1710" s="128" t="s">
        <v>917</v>
      </c>
      <c r="P1710" s="129" t="s">
        <v>39</v>
      </c>
      <c r="Q1710" s="111">
        <f t="shared" si="1279"/>
        <v>112</v>
      </c>
      <c r="R1710" s="111">
        <f t="shared" si="1273"/>
        <v>113</v>
      </c>
      <c r="S1710" s="129">
        <v>3</v>
      </c>
      <c r="T1710" s="129">
        <v>7</v>
      </c>
      <c r="U1710" s="129">
        <v>1</v>
      </c>
      <c r="W1710" s="111"/>
      <c r="AC1710" s="130"/>
      <c r="AD1710" s="130">
        <v>32651</v>
      </c>
      <c r="AE1710" s="128" t="s">
        <v>32</v>
      </c>
      <c r="AF1710" s="128" t="s">
        <v>33</v>
      </c>
      <c r="AG1710" s="128" t="s">
        <v>872</v>
      </c>
      <c r="AH1710" s="108" t="s">
        <v>58</v>
      </c>
      <c r="AI1710" s="128" t="s">
        <v>95</v>
      </c>
      <c r="AJ1710" s="129" t="s">
        <v>89</v>
      </c>
      <c r="AK1710" s="129">
        <v>6</v>
      </c>
      <c r="AL1710" s="3" t="s">
        <v>992</v>
      </c>
      <c r="AN1710" s="117">
        <v>6</v>
      </c>
      <c r="AP1710" s="129" t="s">
        <v>253</v>
      </c>
      <c r="AR1710" s="128" t="s">
        <v>44</v>
      </c>
      <c r="AS1710" s="129" t="s">
        <v>82</v>
      </c>
      <c r="BC1710" s="129" t="s">
        <v>52</v>
      </c>
      <c r="BF1710" s="111">
        <f t="shared" si="1283"/>
        <v>112</v>
      </c>
      <c r="BG1710" s="111">
        <f t="shared" si="1284"/>
        <v>112</v>
      </c>
      <c r="BH1710" s="111">
        <f t="shared" si="1249"/>
        <v>113</v>
      </c>
      <c r="BI1710" s="111">
        <f t="shared" si="1250"/>
        <v>22.707650273224044</v>
      </c>
      <c r="BJ1710" s="129">
        <f t="shared" si="1266"/>
        <v>0</v>
      </c>
      <c r="BK1710" s="129">
        <f t="shared" si="1251"/>
        <v>0</v>
      </c>
      <c r="BL1710" s="129" t="str">
        <f t="shared" si="1277"/>
        <v>CONVICTION</v>
      </c>
      <c r="BM1710" s="129" t="str">
        <f t="shared" si="1267"/>
        <v>NONE</v>
      </c>
      <c r="BN1710" s="129" t="s">
        <v>566</v>
      </c>
      <c r="BP1710" s="137" t="str">
        <f t="shared" si="1255"/>
        <v>CONVICTION</v>
      </c>
      <c r="BQ1710" s="128" t="str">
        <f t="shared" si="1256"/>
        <v>Y</v>
      </c>
      <c r="BR1710" s="129" t="str">
        <f t="shared" si="1268"/>
        <v>DETAINED</v>
      </c>
      <c r="BS1710" s="129" t="str">
        <f t="shared" si="1257"/>
        <v>DISPOSED</v>
      </c>
      <c r="BT1710" s="129" t="str">
        <f t="shared" si="1258"/>
        <v>Y</v>
      </c>
      <c r="BU1710" s="109">
        <f t="shared" si="1259"/>
        <v>0.99115044247787609</v>
      </c>
      <c r="BV1710" s="109">
        <f t="shared" si="1260"/>
        <v>1</v>
      </c>
      <c r="BW1710" s="109">
        <f t="shared" si="1247"/>
        <v>8.8495575221239076E-3</v>
      </c>
      <c r="BX1710" s="111">
        <f t="shared" si="1261"/>
        <v>0</v>
      </c>
      <c r="BY1710" s="129">
        <f t="shared" si="1262"/>
        <v>-112</v>
      </c>
      <c r="BZ1710" s="111">
        <f t="shared" si="1263"/>
        <v>0</v>
      </c>
      <c r="CA1710" s="138">
        <f t="shared" si="1264"/>
        <v>112</v>
      </c>
      <c r="CB1710" s="111" t="e">
        <f t="shared" si="1285"/>
        <v>#VALUE!</v>
      </c>
      <c r="CC1710" s="129">
        <f>G1710-I1710+1</f>
        <v>112</v>
      </c>
      <c r="CD1710" s="129">
        <f t="shared" si="1286"/>
        <v>0</v>
      </c>
      <c r="CG1710" s="129" t="str">
        <f t="shared" si="1265"/>
        <v>Y</v>
      </c>
      <c r="CI1710" s="129" t="str">
        <f t="shared" si="1269"/>
        <v>91-120 DAYS</v>
      </c>
      <c r="CJ1710" s="137">
        <f t="shared" si="1270"/>
        <v>0</v>
      </c>
      <c r="CK1710" s="129" t="str">
        <f t="shared" si="1271"/>
        <v>Booked</v>
      </c>
    </row>
    <row r="1711" spans="1:89" ht="15" customHeight="1" x14ac:dyDescent="0.25">
      <c r="A1711" s="111">
        <v>1511</v>
      </c>
      <c r="B1711" s="128" t="str">
        <f t="shared" si="1252"/>
        <v>N</v>
      </c>
      <c r="C1711" s="128" t="str">
        <f t="shared" si="1253"/>
        <v>N</v>
      </c>
      <c r="D1711" s="117">
        <v>2232065</v>
      </c>
      <c r="E1711" s="135">
        <f t="shared" si="1254"/>
        <v>6</v>
      </c>
      <c r="F1711" s="124">
        <v>40964</v>
      </c>
      <c r="G1711" s="125">
        <v>41424</v>
      </c>
      <c r="H1711" s="117">
        <v>2232065</v>
      </c>
      <c r="I1711" s="124">
        <v>40965</v>
      </c>
      <c r="J1711" s="125">
        <v>41424</v>
      </c>
      <c r="K1711" s="126">
        <v>95000</v>
      </c>
      <c r="L1711" s="129" t="s">
        <v>572</v>
      </c>
      <c r="N1711" s="129" t="str">
        <f t="shared" si="1282"/>
        <v>N</v>
      </c>
      <c r="O1711" s="128" t="s">
        <v>917</v>
      </c>
      <c r="P1711" s="129" t="s">
        <v>1144</v>
      </c>
      <c r="Q1711" s="111">
        <f t="shared" si="1279"/>
        <v>460</v>
      </c>
      <c r="R1711" s="111">
        <f t="shared" si="1273"/>
        <v>461</v>
      </c>
      <c r="S1711" s="129">
        <v>2</v>
      </c>
      <c r="T1711" s="129">
        <v>0</v>
      </c>
      <c r="U1711" s="129">
        <v>1</v>
      </c>
      <c r="W1711" s="111"/>
      <c r="AC1711" s="130"/>
      <c r="AD1711" s="130">
        <v>32199</v>
      </c>
      <c r="AE1711" s="128" t="s">
        <v>32</v>
      </c>
      <c r="AF1711" s="128" t="s">
        <v>33</v>
      </c>
      <c r="AG1711" s="128" t="s">
        <v>872</v>
      </c>
      <c r="AH1711" s="108" t="s">
        <v>31</v>
      </c>
      <c r="AI1711" s="128" t="s">
        <v>90</v>
      </c>
      <c r="AJ1711" s="129" t="s">
        <v>89</v>
      </c>
      <c r="AK1711" s="129">
        <v>30</v>
      </c>
      <c r="AL1711" s="3" t="s">
        <v>362</v>
      </c>
      <c r="AM1711" s="114">
        <v>30</v>
      </c>
      <c r="AP1711" s="129" t="s">
        <v>105</v>
      </c>
      <c r="AR1711" s="128" t="s">
        <v>92</v>
      </c>
      <c r="AS1711" s="129" t="s">
        <v>106</v>
      </c>
      <c r="AT1711" s="129" t="s">
        <v>1149</v>
      </c>
      <c r="AY1711" s="123"/>
      <c r="BC1711" s="129" t="s">
        <v>38</v>
      </c>
      <c r="BF1711" s="111">
        <f t="shared" si="1283"/>
        <v>460</v>
      </c>
      <c r="BG1711" s="111">
        <f t="shared" si="1284"/>
        <v>460</v>
      </c>
      <c r="BH1711" s="111">
        <f t="shared" si="1249"/>
        <v>461</v>
      </c>
      <c r="BI1711" s="111">
        <f t="shared" si="1250"/>
        <v>23.948087431693988</v>
      </c>
      <c r="BJ1711" s="129">
        <f t="shared" si="1266"/>
        <v>0</v>
      </c>
      <c r="BK1711" s="129">
        <f t="shared" si="1251"/>
        <v>0</v>
      </c>
      <c r="BL1711" s="129" t="str">
        <f t="shared" si="1277"/>
        <v>CONVICTION</v>
      </c>
      <c r="BM1711" s="129" t="str">
        <f t="shared" si="1267"/>
        <v>NONE</v>
      </c>
      <c r="BN1711" s="129" t="s">
        <v>566</v>
      </c>
      <c r="BP1711" s="137" t="str">
        <f t="shared" si="1255"/>
        <v>CONVICTION</v>
      </c>
      <c r="BQ1711" s="128" t="str">
        <f t="shared" si="1256"/>
        <v>Y</v>
      </c>
      <c r="BR1711" s="129" t="str">
        <f t="shared" si="1268"/>
        <v>DETAINED</v>
      </c>
      <c r="BS1711" s="129" t="str">
        <f t="shared" si="1257"/>
        <v>DISPOSED</v>
      </c>
      <c r="BT1711" s="129" t="str">
        <f t="shared" si="1258"/>
        <v>Y</v>
      </c>
      <c r="BU1711" s="109">
        <f t="shared" si="1259"/>
        <v>0.99783080260303691</v>
      </c>
      <c r="BV1711" s="109">
        <f t="shared" si="1260"/>
        <v>1</v>
      </c>
      <c r="BW1711" s="109">
        <f t="shared" si="1247"/>
        <v>2.1691973969630851E-3</v>
      </c>
      <c r="BX1711" s="111">
        <f t="shared" si="1261"/>
        <v>0</v>
      </c>
      <c r="BY1711" s="129">
        <f t="shared" si="1262"/>
        <v>-460</v>
      </c>
      <c r="BZ1711" s="111">
        <f t="shared" si="1263"/>
        <v>0</v>
      </c>
      <c r="CA1711" s="138">
        <f t="shared" si="1264"/>
        <v>460</v>
      </c>
      <c r="CB1711" s="111" t="e">
        <f t="shared" si="1285"/>
        <v>#VALUE!</v>
      </c>
      <c r="CC1711" s="129">
        <f>G1711-I1711+1</f>
        <v>460</v>
      </c>
      <c r="CD1711" s="129">
        <f t="shared" si="1286"/>
        <v>0</v>
      </c>
      <c r="CG1711" s="129" t="str">
        <f t="shared" si="1265"/>
        <v>Y</v>
      </c>
      <c r="CI1711" s="129" t="str">
        <f t="shared" si="1269"/>
        <v xml:space="preserve"> &gt;1YRS&lt;2YRS</v>
      </c>
      <c r="CJ1711" s="137">
        <f t="shared" si="1270"/>
        <v>0</v>
      </c>
      <c r="CK1711" s="129" t="str">
        <f t="shared" si="1271"/>
        <v>Booked</v>
      </c>
    </row>
    <row r="1712" spans="1:89" ht="15" customHeight="1" x14ac:dyDescent="0.25">
      <c r="A1712" s="111">
        <v>2299</v>
      </c>
      <c r="B1712" s="128" t="str">
        <f t="shared" si="1252"/>
        <v>N</v>
      </c>
      <c r="C1712" s="128" t="str">
        <f t="shared" si="1253"/>
        <v>N</v>
      </c>
      <c r="D1712" s="117">
        <v>2233439</v>
      </c>
      <c r="E1712" s="135">
        <f t="shared" si="1254"/>
        <v>6</v>
      </c>
      <c r="F1712" s="124">
        <v>41012</v>
      </c>
      <c r="G1712" s="125">
        <v>41256</v>
      </c>
      <c r="H1712" s="117">
        <v>2233439</v>
      </c>
      <c r="I1712" s="124">
        <v>41016</v>
      </c>
      <c r="J1712" s="124">
        <v>41256</v>
      </c>
      <c r="K1712" s="126">
        <v>0</v>
      </c>
      <c r="L1712" s="127" t="s">
        <v>564</v>
      </c>
      <c r="M1712" s="125"/>
      <c r="N1712" s="117" t="s">
        <v>566</v>
      </c>
      <c r="O1712" s="128" t="s">
        <v>917</v>
      </c>
      <c r="P1712" s="129" t="s">
        <v>39</v>
      </c>
      <c r="Q1712" s="111">
        <f t="shared" si="1279"/>
        <v>241</v>
      </c>
      <c r="R1712" s="111">
        <f t="shared" si="1273"/>
        <v>245</v>
      </c>
      <c r="S1712" s="129">
        <v>1</v>
      </c>
      <c r="T1712" s="129">
        <v>4</v>
      </c>
      <c r="U1712" s="129">
        <v>1</v>
      </c>
      <c r="W1712" s="111"/>
      <c r="AC1712" s="130"/>
      <c r="AD1712" s="130">
        <v>32563</v>
      </c>
      <c r="AE1712" s="128" t="s">
        <v>32</v>
      </c>
      <c r="AF1712" s="128" t="s">
        <v>33</v>
      </c>
      <c r="AG1712" s="128" t="s">
        <v>872</v>
      </c>
      <c r="AH1712" s="108" t="s">
        <v>58</v>
      </c>
      <c r="AI1712" s="128" t="s">
        <v>87</v>
      </c>
      <c r="AJ1712" s="129" t="s">
        <v>89</v>
      </c>
      <c r="AK1712" s="129">
        <v>9</v>
      </c>
      <c r="AL1712" s="3" t="s">
        <v>362</v>
      </c>
      <c r="AM1712" s="117">
        <v>6</v>
      </c>
      <c r="AP1712" s="129" t="s">
        <v>96</v>
      </c>
      <c r="AR1712" s="128" t="s">
        <v>67</v>
      </c>
      <c r="AS1712" s="129" t="s">
        <v>64</v>
      </c>
      <c r="AT1712" s="32" t="s">
        <v>1330</v>
      </c>
      <c r="BC1712" s="129" t="s">
        <v>99</v>
      </c>
      <c r="BF1712" s="111">
        <v>241</v>
      </c>
      <c r="BG1712" s="111">
        <f t="shared" si="1284"/>
        <v>241</v>
      </c>
      <c r="BH1712" s="111">
        <f t="shared" si="1249"/>
        <v>245</v>
      </c>
      <c r="BI1712" s="111">
        <f t="shared" si="1250"/>
        <v>23.084699453551913</v>
      </c>
      <c r="BJ1712" s="129">
        <f>(G1712-J1712)+(M1712-G1712)</f>
        <v>-41256</v>
      </c>
      <c r="BK1712" s="129">
        <f t="shared" si="1251"/>
        <v>0</v>
      </c>
      <c r="BL1712" s="129" t="str">
        <f t="shared" si="1277"/>
        <v>CONVICTION</v>
      </c>
      <c r="BM1712" s="129" t="s">
        <v>917</v>
      </c>
      <c r="BN1712" s="129" t="s">
        <v>566</v>
      </c>
      <c r="BP1712" s="137" t="str">
        <f t="shared" si="1255"/>
        <v>CONVICTION</v>
      </c>
      <c r="BQ1712" s="128" t="str">
        <f t="shared" si="1256"/>
        <v>Y</v>
      </c>
      <c r="BR1712" s="129" t="s">
        <v>574</v>
      </c>
      <c r="BS1712" s="129" t="str">
        <f t="shared" si="1257"/>
        <v>DISPOSED</v>
      </c>
      <c r="BT1712" s="129" t="str">
        <f t="shared" si="1258"/>
        <v>Y</v>
      </c>
      <c r="BU1712" s="109">
        <f t="shared" si="1259"/>
        <v>0.98367346938775513</v>
      </c>
      <c r="BV1712" s="109">
        <f t="shared" si="1260"/>
        <v>1</v>
      </c>
      <c r="BW1712" s="109">
        <f t="shared" si="1247"/>
        <v>1.6326530612244872E-2</v>
      </c>
      <c r="BX1712" s="111">
        <f t="shared" si="1261"/>
        <v>0</v>
      </c>
      <c r="BY1712" s="129">
        <f t="shared" si="1262"/>
        <v>-241</v>
      </c>
      <c r="BZ1712" s="111">
        <f t="shared" si="1263"/>
        <v>0</v>
      </c>
      <c r="CA1712" s="138">
        <f t="shared" si="1264"/>
        <v>241</v>
      </c>
      <c r="CB1712" s="111" t="e">
        <f t="shared" si="1285"/>
        <v>#VALUE!</v>
      </c>
      <c r="CC1712" s="129">
        <f>G1712-I1712+1</f>
        <v>241</v>
      </c>
      <c r="CD1712" s="129">
        <f t="shared" si="1286"/>
        <v>0</v>
      </c>
      <c r="CG1712" s="129" t="str">
        <f t="shared" si="1265"/>
        <v>Y</v>
      </c>
      <c r="CI1712" s="129" t="str">
        <f t="shared" si="1269"/>
        <v>121-365 DAYS</v>
      </c>
      <c r="CJ1712" s="137">
        <f t="shared" si="1270"/>
        <v>6</v>
      </c>
      <c r="CK1712" s="129" t="str">
        <f t="shared" si="1271"/>
        <v>Booked</v>
      </c>
    </row>
    <row r="1713" spans="1:89" ht="15.75" customHeight="1" x14ac:dyDescent="0.25">
      <c r="A1713" s="111">
        <v>2337</v>
      </c>
      <c r="B1713" s="128" t="str">
        <f t="shared" si="1252"/>
        <v>N</v>
      </c>
      <c r="C1713" s="128" t="str">
        <f t="shared" si="1253"/>
        <v>N</v>
      </c>
      <c r="D1713" s="117">
        <v>2236025</v>
      </c>
      <c r="E1713" s="135">
        <f t="shared" si="1254"/>
        <v>1</v>
      </c>
      <c r="F1713" s="124">
        <v>40997</v>
      </c>
      <c r="G1713" s="125">
        <v>41065</v>
      </c>
      <c r="H1713" s="117">
        <v>2236025</v>
      </c>
      <c r="I1713" s="124" t="s">
        <v>562</v>
      </c>
      <c r="J1713" s="124" t="s">
        <v>562</v>
      </c>
      <c r="K1713" s="126">
        <v>10000</v>
      </c>
      <c r="L1713" s="127" t="s">
        <v>570</v>
      </c>
      <c r="M1713" s="125">
        <v>41018</v>
      </c>
      <c r="N1713" s="129" t="str">
        <f>IF(M1713&gt;1/1/1,"Y",IF(Q1713="0","","N"))</f>
        <v>Y</v>
      </c>
      <c r="O1713" s="128" t="s">
        <v>76</v>
      </c>
      <c r="P1713" s="129" t="s">
        <v>55</v>
      </c>
      <c r="Q1713" s="111">
        <f t="shared" si="1279"/>
        <v>0</v>
      </c>
      <c r="R1713" s="111">
        <f t="shared" si="1273"/>
        <v>69</v>
      </c>
      <c r="S1713" s="129">
        <v>0</v>
      </c>
      <c r="T1713" s="129">
        <v>0</v>
      </c>
      <c r="W1713" s="111"/>
      <c r="AC1713" s="130"/>
      <c r="AD1713" s="130">
        <v>31349</v>
      </c>
      <c r="AE1713" s="128" t="s">
        <v>32</v>
      </c>
      <c r="AF1713" s="128" t="s">
        <v>33</v>
      </c>
      <c r="AG1713" s="128" t="s">
        <v>872</v>
      </c>
      <c r="AH1713" s="108" t="s">
        <v>31</v>
      </c>
      <c r="AI1713" s="128" t="s">
        <v>83</v>
      </c>
      <c r="AJ1713" s="129" t="s">
        <v>55</v>
      </c>
      <c r="AK1713" s="129">
        <v>4</v>
      </c>
      <c r="AL1713" s="3" t="s">
        <v>55</v>
      </c>
      <c r="AP1713" s="129" t="s">
        <v>104</v>
      </c>
      <c r="AR1713" s="128" t="s">
        <v>44</v>
      </c>
      <c r="AS1713" s="129" t="s">
        <v>64</v>
      </c>
      <c r="BC1713" s="129" t="s">
        <v>52</v>
      </c>
      <c r="BF1713" s="111">
        <v>0</v>
      </c>
      <c r="BG1713" s="111">
        <v>0</v>
      </c>
      <c r="BH1713" s="111">
        <f t="shared" si="1249"/>
        <v>69</v>
      </c>
      <c r="BI1713" s="111">
        <f t="shared" si="1250"/>
        <v>26.360655737704917</v>
      </c>
      <c r="BJ1713" s="129" t="e">
        <f>(G1713-J1713)+(M1713-G1713)</f>
        <v>#VALUE!</v>
      </c>
      <c r="BK1713" s="129" t="e">
        <f t="shared" si="1251"/>
        <v>#VALUE!</v>
      </c>
      <c r="BL1713" s="129" t="str">
        <f t="shared" si="1277"/>
        <v>NO CONVICTION</v>
      </c>
      <c r="BM1713" s="129" t="s">
        <v>76</v>
      </c>
      <c r="BN1713" s="129" t="s">
        <v>88</v>
      </c>
      <c r="BP1713" s="137" t="str">
        <f t="shared" si="1255"/>
        <v>NO CONVICTION</v>
      </c>
      <c r="BQ1713" s="128">
        <f t="shared" si="1256"/>
        <v>0</v>
      </c>
      <c r="BR1713" s="129" t="s">
        <v>575</v>
      </c>
      <c r="BS1713" s="129" t="str">
        <f t="shared" si="1257"/>
        <v>DISPOSED</v>
      </c>
      <c r="BT1713" s="129" t="str">
        <f t="shared" si="1258"/>
        <v>N</v>
      </c>
      <c r="BU1713" s="109">
        <f>IFERROR(Q1713/R1713,BR1713)</f>
        <v>0</v>
      </c>
      <c r="BV1713" s="109">
        <v>0</v>
      </c>
      <c r="BW1713" s="109">
        <f t="shared" si="1247"/>
        <v>0</v>
      </c>
      <c r="BX1713" s="111">
        <f t="shared" si="1261"/>
        <v>0</v>
      </c>
      <c r="BY1713" s="129" t="e">
        <f t="shared" si="1262"/>
        <v>#VALUE!</v>
      </c>
      <c r="BZ1713" s="111" t="e">
        <f t="shared" si="1263"/>
        <v>#VALUE!</v>
      </c>
      <c r="CA1713" s="138" t="e">
        <f t="shared" si="1264"/>
        <v>#VALUE!</v>
      </c>
      <c r="CB1713" s="111">
        <v>0</v>
      </c>
      <c r="CC1713" s="129">
        <v>0</v>
      </c>
      <c r="CD1713" s="111">
        <f>CC1713-BF1713</f>
        <v>0</v>
      </c>
      <c r="CG1713" s="129" t="str">
        <f t="shared" si="1265"/>
        <v>N</v>
      </c>
      <c r="CI1713" s="129" t="str">
        <f t="shared" si="1269"/>
        <v>0-10 DAYS</v>
      </c>
      <c r="CJ1713" s="137">
        <f t="shared" si="1270"/>
        <v>1</v>
      </c>
      <c r="CK1713" s="129" t="str">
        <f t="shared" si="1271"/>
        <v>Not Booked</v>
      </c>
    </row>
    <row r="1714" spans="1:89" ht="15.75" customHeight="1" x14ac:dyDescent="0.25">
      <c r="A1714" s="111">
        <v>193</v>
      </c>
      <c r="B1714" s="128" t="str">
        <f t="shared" si="1252"/>
        <v>N</v>
      </c>
      <c r="C1714" s="128" t="str">
        <f t="shared" si="1253"/>
        <v>N</v>
      </c>
      <c r="D1714" s="117">
        <v>2236044</v>
      </c>
      <c r="E1714" s="135">
        <f t="shared" si="1254"/>
        <v>2</v>
      </c>
      <c r="F1714" s="124">
        <v>40917</v>
      </c>
      <c r="G1714" s="125">
        <v>40919</v>
      </c>
      <c r="H1714" s="117">
        <v>2236044</v>
      </c>
      <c r="I1714" s="124">
        <v>40917</v>
      </c>
      <c r="J1714" s="124">
        <v>40919</v>
      </c>
      <c r="K1714" s="126">
        <v>5000</v>
      </c>
      <c r="L1714" s="127" t="s">
        <v>569</v>
      </c>
      <c r="N1714" s="129" t="str">
        <f>IF(M1714&gt;1/1/1,"Y","N")</f>
        <v>N</v>
      </c>
      <c r="O1714" s="128" t="s">
        <v>917</v>
      </c>
      <c r="P1714" s="129" t="s">
        <v>589</v>
      </c>
      <c r="Q1714" s="111">
        <f t="shared" si="1279"/>
        <v>3</v>
      </c>
      <c r="R1714" s="111">
        <f t="shared" si="1273"/>
        <v>3</v>
      </c>
      <c r="S1714" s="129">
        <v>0</v>
      </c>
      <c r="T1714" s="129">
        <v>0</v>
      </c>
      <c r="W1714" s="111"/>
      <c r="AB1714" s="131" t="s">
        <v>112</v>
      </c>
      <c r="AC1714" s="130"/>
      <c r="AD1714" s="130">
        <v>32011</v>
      </c>
      <c r="AE1714" s="128" t="s">
        <v>46</v>
      </c>
      <c r="AF1714" s="128" t="s">
        <v>40</v>
      </c>
      <c r="AG1714" s="128" t="s">
        <v>41</v>
      </c>
      <c r="AH1714" s="108" t="s">
        <v>31</v>
      </c>
      <c r="AI1714" s="128" t="s">
        <v>34</v>
      </c>
      <c r="AJ1714" s="129" t="s">
        <v>48</v>
      </c>
      <c r="AK1714" s="129">
        <v>1</v>
      </c>
      <c r="AL1714" s="3" t="s">
        <v>48</v>
      </c>
      <c r="AP1714" s="129" t="s">
        <v>169</v>
      </c>
      <c r="AR1714" s="128" t="s">
        <v>67</v>
      </c>
      <c r="AS1714" s="129" t="s">
        <v>64</v>
      </c>
      <c r="BC1714" s="129" t="s">
        <v>38</v>
      </c>
      <c r="BF1714" s="111">
        <f t="shared" ref="BF1714:BF1719" si="1287">IF(J1714&gt;1/1/1900,((J1714+1)-I1714),"STILL OPEN")</f>
        <v>3</v>
      </c>
      <c r="BG1714" s="111">
        <f t="shared" ref="BG1714:BG1727" si="1288">IF(G1714&gt;1/1/1900,((G1714+1)-I1714),"STILL OPEN")</f>
        <v>3</v>
      </c>
      <c r="BH1714" s="111">
        <f t="shared" si="1249"/>
        <v>3</v>
      </c>
      <c r="BI1714" s="111">
        <f t="shared" si="1250"/>
        <v>24.333333333333332</v>
      </c>
      <c r="BJ1714" s="129">
        <f t="shared" si="1266"/>
        <v>0</v>
      </c>
      <c r="BK1714" s="129">
        <f t="shared" si="1251"/>
        <v>0</v>
      </c>
      <c r="BL1714" s="129" t="str">
        <f t="shared" si="1277"/>
        <v>DEFERRED</v>
      </c>
      <c r="BM1714" s="129" t="str">
        <f t="shared" si="1267"/>
        <v>NONE</v>
      </c>
      <c r="BN1714" s="129" t="s">
        <v>566</v>
      </c>
      <c r="BP1714" s="137" t="str">
        <f t="shared" si="1255"/>
        <v>DEFERRED</v>
      </c>
      <c r="BQ1714" s="128" t="str">
        <f t="shared" si="1256"/>
        <v>Y</v>
      </c>
      <c r="BR1714" s="129" t="str">
        <f t="shared" si="1268"/>
        <v>DETAINED</v>
      </c>
      <c r="BS1714" s="129" t="str">
        <f t="shared" si="1257"/>
        <v>DISPOSED</v>
      </c>
      <c r="BT1714" s="129" t="str">
        <f t="shared" si="1258"/>
        <v>N</v>
      </c>
      <c r="BU1714" s="109">
        <f t="shared" si="1259"/>
        <v>1</v>
      </c>
      <c r="BV1714" s="109">
        <f t="shared" si="1260"/>
        <v>1</v>
      </c>
      <c r="BW1714" s="109">
        <f t="shared" si="1247"/>
        <v>0</v>
      </c>
      <c r="BX1714" s="111">
        <f t="shared" si="1261"/>
        <v>0</v>
      </c>
      <c r="BY1714" s="129">
        <f t="shared" si="1262"/>
        <v>-3</v>
      </c>
      <c r="BZ1714" s="111">
        <f t="shared" si="1263"/>
        <v>0</v>
      </c>
      <c r="CA1714" s="138">
        <f t="shared" si="1264"/>
        <v>3</v>
      </c>
      <c r="CB1714" s="111" t="e">
        <f t="shared" ref="CB1714:CB1719" si="1289">IF(AF1714&gt;1/1/1900,((AF1714+1)-AE1714),"STILL OPEN")</f>
        <v>#VALUE!</v>
      </c>
      <c r="CC1714" s="129">
        <f>G1714-I1714+1</f>
        <v>3</v>
      </c>
      <c r="CD1714" s="129">
        <f>G1714-J1714</f>
        <v>0</v>
      </c>
      <c r="CG1714" s="129" t="str">
        <f t="shared" si="1265"/>
        <v>N</v>
      </c>
      <c r="CI1714" s="129" t="str">
        <f t="shared" si="1269"/>
        <v>0-10 DAYS</v>
      </c>
      <c r="CJ1714" s="137">
        <f t="shared" si="1270"/>
        <v>1</v>
      </c>
      <c r="CK1714" s="129" t="str">
        <f t="shared" si="1271"/>
        <v>Booked</v>
      </c>
    </row>
    <row r="1715" spans="1:89" ht="15" customHeight="1" x14ac:dyDescent="0.25">
      <c r="A1715" s="111">
        <v>2080</v>
      </c>
      <c r="B1715" s="128" t="str">
        <f t="shared" si="1252"/>
        <v>N</v>
      </c>
      <c r="C1715" s="128" t="str">
        <f t="shared" si="1253"/>
        <v>N</v>
      </c>
      <c r="D1715" s="117">
        <v>2236591</v>
      </c>
      <c r="E1715" s="135">
        <f t="shared" si="1254"/>
        <v>6</v>
      </c>
      <c r="F1715" s="124">
        <v>40987</v>
      </c>
      <c r="G1715" s="125">
        <v>41368</v>
      </c>
      <c r="H1715" s="117">
        <v>2236591</v>
      </c>
      <c r="I1715" s="124">
        <v>40987</v>
      </c>
      <c r="J1715" s="125">
        <v>41368</v>
      </c>
      <c r="K1715" s="126" t="s">
        <v>564</v>
      </c>
      <c r="L1715" s="127" t="s">
        <v>564</v>
      </c>
      <c r="N1715" s="129" t="s">
        <v>566</v>
      </c>
      <c r="O1715" s="128" t="s">
        <v>917</v>
      </c>
      <c r="P1715" s="129" t="s">
        <v>39</v>
      </c>
      <c r="Q1715" s="111">
        <f t="shared" si="1279"/>
        <v>382</v>
      </c>
      <c r="R1715" s="111">
        <f t="shared" si="1273"/>
        <v>382</v>
      </c>
      <c r="S1715" s="129">
        <v>2</v>
      </c>
      <c r="T1715" s="129">
        <v>2</v>
      </c>
      <c r="U1715" s="129">
        <v>1</v>
      </c>
      <c r="W1715" s="111"/>
      <c r="AC1715" s="130"/>
      <c r="AD1715" s="130">
        <v>32633</v>
      </c>
      <c r="AE1715" s="128" t="s">
        <v>32</v>
      </c>
      <c r="AF1715" s="128" t="s">
        <v>33</v>
      </c>
      <c r="AG1715" s="128" t="s">
        <v>872</v>
      </c>
      <c r="AH1715" s="108" t="s">
        <v>31</v>
      </c>
      <c r="AI1715" s="128" t="s">
        <v>62</v>
      </c>
      <c r="AJ1715" s="129" t="s">
        <v>89</v>
      </c>
      <c r="AK1715" s="129">
        <v>13</v>
      </c>
      <c r="AL1715" s="3" t="s">
        <v>362</v>
      </c>
      <c r="AM1715" s="117">
        <v>8</v>
      </c>
      <c r="AP1715" s="129" t="s">
        <v>105</v>
      </c>
      <c r="AR1715" s="128" t="s">
        <v>92</v>
      </c>
      <c r="AS1715" s="129" t="s">
        <v>106</v>
      </c>
      <c r="BC1715" s="129" t="s">
        <v>52</v>
      </c>
      <c r="BF1715" s="111">
        <f t="shared" si="1287"/>
        <v>382</v>
      </c>
      <c r="BG1715" s="111">
        <f t="shared" si="1288"/>
        <v>382</v>
      </c>
      <c r="BH1715" s="111">
        <f t="shared" si="1249"/>
        <v>382</v>
      </c>
      <c r="BI1715" s="111">
        <f t="shared" si="1250"/>
        <v>22.825136612021858</v>
      </c>
      <c r="BJ1715" s="129">
        <f t="shared" si="1266"/>
        <v>0</v>
      </c>
      <c r="BK1715" s="129">
        <f t="shared" si="1251"/>
        <v>0</v>
      </c>
      <c r="BL1715" s="129" t="str">
        <f t="shared" si="1277"/>
        <v>CONVICTION</v>
      </c>
      <c r="BM1715" s="129" t="str">
        <f t="shared" si="1267"/>
        <v>NONE</v>
      </c>
      <c r="BN1715" s="129" t="s">
        <v>566</v>
      </c>
      <c r="BP1715" s="137" t="str">
        <f t="shared" si="1255"/>
        <v>CONVICTION</v>
      </c>
      <c r="BQ1715" s="128" t="str">
        <f t="shared" si="1256"/>
        <v>Y</v>
      </c>
      <c r="BR1715" s="129" t="str">
        <f t="shared" si="1268"/>
        <v>DETAINED</v>
      </c>
      <c r="BS1715" s="129" t="str">
        <f t="shared" si="1257"/>
        <v>DISPOSED</v>
      </c>
      <c r="BT1715" s="129" t="str">
        <f t="shared" si="1258"/>
        <v>Y</v>
      </c>
      <c r="BU1715" s="109">
        <f t="shared" si="1259"/>
        <v>1</v>
      </c>
      <c r="BV1715" s="109">
        <f t="shared" si="1260"/>
        <v>1</v>
      </c>
      <c r="BW1715" s="109">
        <f t="shared" si="1247"/>
        <v>0</v>
      </c>
      <c r="BX1715" s="111">
        <f t="shared" si="1261"/>
        <v>0</v>
      </c>
      <c r="BY1715" s="129">
        <f t="shared" si="1262"/>
        <v>-382</v>
      </c>
      <c r="BZ1715" s="111">
        <f t="shared" si="1263"/>
        <v>0</v>
      </c>
      <c r="CA1715" s="138">
        <f t="shared" si="1264"/>
        <v>382</v>
      </c>
      <c r="CB1715" s="111" t="e">
        <f t="shared" si="1289"/>
        <v>#VALUE!</v>
      </c>
      <c r="CC1715" s="129">
        <f>G1715-I1715+1</f>
        <v>382</v>
      </c>
      <c r="CD1715" s="129">
        <f>G1715-J1715</f>
        <v>0</v>
      </c>
      <c r="CG1715" s="129" t="str">
        <f t="shared" si="1265"/>
        <v>Y</v>
      </c>
      <c r="CI1715" s="129" t="str">
        <f t="shared" si="1269"/>
        <v xml:space="preserve"> &gt;1YRS&lt;2YRS</v>
      </c>
      <c r="CJ1715" s="137">
        <f t="shared" si="1270"/>
        <v>0</v>
      </c>
      <c r="CK1715" s="129" t="str">
        <f t="shared" si="1271"/>
        <v>Booked</v>
      </c>
    </row>
    <row r="1716" spans="1:89" ht="15" customHeight="1" x14ac:dyDescent="0.25">
      <c r="A1716" s="111">
        <v>2917</v>
      </c>
      <c r="B1716" s="128" t="str">
        <f t="shared" si="1252"/>
        <v>N</v>
      </c>
      <c r="C1716" s="128" t="str">
        <f t="shared" si="1253"/>
        <v>N</v>
      </c>
      <c r="D1716" s="117">
        <v>2236641</v>
      </c>
      <c r="E1716" s="135">
        <f t="shared" si="1254"/>
        <v>4</v>
      </c>
      <c r="F1716" s="124">
        <v>41016</v>
      </c>
      <c r="G1716" s="125">
        <v>41024</v>
      </c>
      <c r="H1716" s="117">
        <v>2236641</v>
      </c>
      <c r="I1716" s="124">
        <v>41017</v>
      </c>
      <c r="J1716" s="124">
        <v>41024</v>
      </c>
      <c r="K1716" s="126">
        <v>5000</v>
      </c>
      <c r="L1716" s="127" t="s">
        <v>569</v>
      </c>
      <c r="N1716" s="129" t="str">
        <f t="shared" ref="N1716:N1727" si="1290">IF(M1716&gt;1/1/1,"Y","N")</f>
        <v>N</v>
      </c>
      <c r="O1716" s="128" t="s">
        <v>917</v>
      </c>
      <c r="P1716" s="129" t="s">
        <v>39</v>
      </c>
      <c r="Q1716" s="111">
        <f t="shared" si="1279"/>
        <v>8</v>
      </c>
      <c r="R1716" s="111">
        <f t="shared" si="1273"/>
        <v>9</v>
      </c>
      <c r="S1716" s="129">
        <v>0</v>
      </c>
      <c r="T1716" s="129">
        <v>1</v>
      </c>
      <c r="W1716" s="111"/>
      <c r="AC1716" s="130"/>
      <c r="AD1716" s="130">
        <v>23681</v>
      </c>
      <c r="AE1716" s="128" t="s">
        <v>46</v>
      </c>
      <c r="AF1716" s="128" t="s">
        <v>69</v>
      </c>
      <c r="AG1716" s="128" t="s">
        <v>874</v>
      </c>
      <c r="AH1716" s="108" t="s">
        <v>31</v>
      </c>
      <c r="AI1716" s="128" t="s">
        <v>72</v>
      </c>
      <c r="AJ1716" s="129" t="s">
        <v>89</v>
      </c>
      <c r="AK1716" s="129">
        <v>2</v>
      </c>
      <c r="AL1716" s="3" t="s">
        <v>991</v>
      </c>
      <c r="AO1716" s="128">
        <v>90</v>
      </c>
      <c r="AP1716" s="129" t="s">
        <v>60</v>
      </c>
      <c r="AR1716" s="128" t="s">
        <v>44</v>
      </c>
      <c r="AS1716" s="129" t="s">
        <v>61</v>
      </c>
      <c r="BC1716" s="129" t="s">
        <v>38</v>
      </c>
      <c r="BF1716" s="111">
        <f t="shared" si="1287"/>
        <v>8</v>
      </c>
      <c r="BG1716" s="111">
        <f t="shared" si="1288"/>
        <v>8</v>
      </c>
      <c r="BH1716" s="111">
        <f t="shared" si="1249"/>
        <v>9</v>
      </c>
      <c r="BI1716" s="111">
        <f t="shared" si="1250"/>
        <v>47.363387978142079</v>
      </c>
      <c r="BJ1716" s="129">
        <f t="shared" si="1266"/>
        <v>0</v>
      </c>
      <c r="BK1716" s="129">
        <f t="shared" si="1251"/>
        <v>0</v>
      </c>
      <c r="BL1716" s="129" t="str">
        <f t="shared" si="1277"/>
        <v>CONVICTION</v>
      </c>
      <c r="BM1716" s="129" t="str">
        <f t="shared" si="1267"/>
        <v>NONE</v>
      </c>
      <c r="BN1716" s="129" t="s">
        <v>566</v>
      </c>
      <c r="BP1716" s="137" t="str">
        <f t="shared" si="1255"/>
        <v>CONVICTION</v>
      </c>
      <c r="BQ1716" s="128" t="str">
        <f t="shared" si="1256"/>
        <v>Y</v>
      </c>
      <c r="BR1716" s="129" t="str">
        <f t="shared" si="1268"/>
        <v>DETAINED</v>
      </c>
      <c r="BS1716" s="129" t="str">
        <f t="shared" si="1257"/>
        <v>DISPOSED</v>
      </c>
      <c r="BT1716" s="129" t="str">
        <f t="shared" si="1258"/>
        <v>N</v>
      </c>
      <c r="BU1716" s="109">
        <f t="shared" si="1259"/>
        <v>0.88888888888888884</v>
      </c>
      <c r="BV1716" s="109">
        <f t="shared" si="1260"/>
        <v>1</v>
      </c>
      <c r="BW1716" s="109">
        <f t="shared" si="1247"/>
        <v>0.11111111111111116</v>
      </c>
      <c r="BX1716" s="111">
        <f t="shared" si="1261"/>
        <v>0</v>
      </c>
      <c r="BY1716" s="129">
        <f t="shared" si="1262"/>
        <v>-8</v>
      </c>
      <c r="BZ1716" s="111">
        <f t="shared" si="1263"/>
        <v>0</v>
      </c>
      <c r="CA1716" s="138">
        <f t="shared" si="1264"/>
        <v>8</v>
      </c>
      <c r="CB1716" s="111" t="e">
        <f t="shared" si="1289"/>
        <v>#VALUE!</v>
      </c>
      <c r="CC1716" s="129">
        <f>G1716-I1716+1</f>
        <v>8</v>
      </c>
      <c r="CD1716" s="129">
        <f>G1716-J1716</f>
        <v>0</v>
      </c>
      <c r="CG1716" s="129" t="str">
        <f t="shared" si="1265"/>
        <v>Y</v>
      </c>
      <c r="CI1716" s="129" t="str">
        <f t="shared" si="1269"/>
        <v>0-10 DAYS</v>
      </c>
      <c r="CJ1716" s="137">
        <f t="shared" si="1270"/>
        <v>1</v>
      </c>
      <c r="CK1716" s="129" t="str">
        <f t="shared" si="1271"/>
        <v>Booked</v>
      </c>
    </row>
    <row r="1717" spans="1:89" ht="15.75" customHeight="1" x14ac:dyDescent="0.25">
      <c r="A1717" s="111">
        <v>2466</v>
      </c>
      <c r="B1717" s="128" t="str">
        <f t="shared" si="1252"/>
        <v>N</v>
      </c>
      <c r="C1717" s="128" t="str">
        <f t="shared" si="1253"/>
        <v>N</v>
      </c>
      <c r="D1717" s="117">
        <v>2236885</v>
      </c>
      <c r="E1717" s="135">
        <f t="shared" si="1254"/>
        <v>1</v>
      </c>
      <c r="F1717" s="124">
        <v>41002</v>
      </c>
      <c r="G1717" s="125">
        <v>41003</v>
      </c>
      <c r="H1717" s="117">
        <v>2236885</v>
      </c>
      <c r="I1717" s="124">
        <v>41002</v>
      </c>
      <c r="J1717" s="124">
        <v>41003</v>
      </c>
      <c r="K1717" s="126">
        <v>5000</v>
      </c>
      <c r="L1717" s="127" t="s">
        <v>569</v>
      </c>
      <c r="N1717" s="129" t="str">
        <f t="shared" si="1290"/>
        <v>N</v>
      </c>
      <c r="O1717" s="128" t="s">
        <v>917</v>
      </c>
      <c r="P1717" s="129" t="s">
        <v>55</v>
      </c>
      <c r="Q1717" s="111">
        <f t="shared" si="1279"/>
        <v>2</v>
      </c>
      <c r="R1717" s="111">
        <f t="shared" si="1273"/>
        <v>2</v>
      </c>
      <c r="S1717" s="129">
        <v>0</v>
      </c>
      <c r="T1717" s="129">
        <v>4</v>
      </c>
      <c r="W1717" s="111"/>
      <c r="AC1717" s="130"/>
      <c r="AD1717" s="130">
        <v>32694</v>
      </c>
      <c r="AE1717" s="128" t="s">
        <v>32</v>
      </c>
      <c r="AF1717" s="128" t="s">
        <v>33</v>
      </c>
      <c r="AG1717" s="128" t="s">
        <v>872</v>
      </c>
      <c r="AH1717" s="108" t="s">
        <v>58</v>
      </c>
      <c r="AI1717" s="128" t="s">
        <v>65</v>
      </c>
      <c r="AJ1717" s="129" t="s">
        <v>55</v>
      </c>
      <c r="AK1717" s="129">
        <v>1</v>
      </c>
      <c r="AL1717" s="3" t="s">
        <v>55</v>
      </c>
      <c r="AP1717" s="129" t="s">
        <v>101</v>
      </c>
      <c r="AR1717" s="128" t="s">
        <v>67</v>
      </c>
      <c r="AS1717" s="129" t="s">
        <v>64</v>
      </c>
      <c r="AT1717" s="129" t="s">
        <v>445</v>
      </c>
      <c r="BC1717" s="129" t="s">
        <v>79</v>
      </c>
      <c r="BF1717" s="111">
        <f t="shared" si="1287"/>
        <v>2</v>
      </c>
      <c r="BG1717" s="111">
        <f t="shared" si="1288"/>
        <v>2</v>
      </c>
      <c r="BH1717" s="111">
        <f t="shared" si="1249"/>
        <v>2</v>
      </c>
      <c r="BI1717" s="111">
        <f t="shared" si="1250"/>
        <v>22.699453551912569</v>
      </c>
      <c r="BJ1717" s="129">
        <f t="shared" si="1266"/>
        <v>0</v>
      </c>
      <c r="BK1717" s="129">
        <f t="shared" si="1251"/>
        <v>0</v>
      </c>
      <c r="BL1717" s="129" t="str">
        <f t="shared" si="1277"/>
        <v>NO CONVICTION</v>
      </c>
      <c r="BM1717" s="129" t="str">
        <f t="shared" si="1267"/>
        <v>NONE</v>
      </c>
      <c r="BN1717" s="129" t="s">
        <v>566</v>
      </c>
      <c r="BP1717" s="137" t="str">
        <f t="shared" si="1255"/>
        <v>NO CONVICTION</v>
      </c>
      <c r="BQ1717" s="128" t="str">
        <f t="shared" si="1256"/>
        <v>Y</v>
      </c>
      <c r="BR1717" s="129" t="str">
        <f t="shared" si="1268"/>
        <v>DETAINED</v>
      </c>
      <c r="BS1717" s="129" t="str">
        <f t="shared" si="1257"/>
        <v>DISPOSED</v>
      </c>
      <c r="BT1717" s="129" t="str">
        <f t="shared" si="1258"/>
        <v>N</v>
      </c>
      <c r="BU1717" s="109">
        <f>IFERROR(Q1717/R1717,BR1717)</f>
        <v>1</v>
      </c>
      <c r="BV1717" s="109">
        <f t="shared" si="1260"/>
        <v>1</v>
      </c>
      <c r="BW1717" s="109">
        <f t="shared" si="1247"/>
        <v>0</v>
      </c>
      <c r="BX1717" s="111">
        <f t="shared" si="1261"/>
        <v>0</v>
      </c>
      <c r="BY1717" s="129">
        <f t="shared" si="1262"/>
        <v>-2</v>
      </c>
      <c r="BZ1717" s="111">
        <f t="shared" si="1263"/>
        <v>0</v>
      </c>
      <c r="CA1717" s="138">
        <f t="shared" si="1264"/>
        <v>2</v>
      </c>
      <c r="CB1717" s="111" t="e">
        <f t="shared" si="1289"/>
        <v>#VALUE!</v>
      </c>
      <c r="CC1717" s="129">
        <f>G1717-I1717+1</f>
        <v>2</v>
      </c>
      <c r="CD1717" s="129">
        <f>G1717-J1717</f>
        <v>0</v>
      </c>
      <c r="CG1717" s="129" t="str">
        <f t="shared" si="1265"/>
        <v>Y</v>
      </c>
      <c r="CI1717" s="129" t="str">
        <f t="shared" si="1269"/>
        <v>0-10 DAYS</v>
      </c>
      <c r="CJ1717" s="137">
        <f t="shared" si="1270"/>
        <v>1</v>
      </c>
      <c r="CK1717" s="129" t="str">
        <f t="shared" si="1271"/>
        <v>Booked</v>
      </c>
    </row>
    <row r="1718" spans="1:89" ht="15.75" customHeight="1" x14ac:dyDescent="0.25">
      <c r="A1718" s="111">
        <v>2310</v>
      </c>
      <c r="B1718" s="128" t="str">
        <f t="shared" si="1252"/>
        <v>N</v>
      </c>
      <c r="C1718" s="128" t="str">
        <f t="shared" si="1253"/>
        <v>N</v>
      </c>
      <c r="D1718" s="117">
        <v>2237436</v>
      </c>
      <c r="E1718" s="135">
        <f t="shared" si="1254"/>
        <v>6</v>
      </c>
      <c r="F1718" s="124">
        <v>40996</v>
      </c>
      <c r="G1718" s="125">
        <v>41506</v>
      </c>
      <c r="H1718" s="117">
        <v>2237436</v>
      </c>
      <c r="I1718" s="124">
        <v>41009</v>
      </c>
      <c r="J1718" s="124">
        <v>41194</v>
      </c>
      <c r="K1718" s="126">
        <v>20000</v>
      </c>
      <c r="L1718" s="127" t="s">
        <v>571</v>
      </c>
      <c r="M1718" s="124">
        <v>41194</v>
      </c>
      <c r="N1718" s="129" t="str">
        <f t="shared" si="1290"/>
        <v>Y</v>
      </c>
      <c r="O1718" s="128" t="s">
        <v>76</v>
      </c>
      <c r="P1718" s="129" t="s">
        <v>39</v>
      </c>
      <c r="Q1718" s="111">
        <f t="shared" si="1279"/>
        <v>186</v>
      </c>
      <c r="R1718" s="111">
        <f t="shared" si="1273"/>
        <v>511</v>
      </c>
      <c r="S1718" s="129">
        <v>0</v>
      </c>
      <c r="T1718" s="129">
        <v>0</v>
      </c>
      <c r="W1718" s="111"/>
      <c r="AC1718" s="130"/>
      <c r="AD1718" s="130">
        <v>27285</v>
      </c>
      <c r="AE1718" s="128" t="s">
        <v>32</v>
      </c>
      <c r="AF1718" s="128" t="s">
        <v>33</v>
      </c>
      <c r="AG1718" s="128" t="s">
        <v>872</v>
      </c>
      <c r="AH1718" s="108" t="s">
        <v>58</v>
      </c>
      <c r="AI1718" s="128" t="s">
        <v>47</v>
      </c>
      <c r="AJ1718" s="129" t="s">
        <v>89</v>
      </c>
      <c r="AK1718" s="129">
        <v>21</v>
      </c>
      <c r="AL1718" s="3" t="s">
        <v>362</v>
      </c>
      <c r="AM1718" s="117">
        <v>2</v>
      </c>
      <c r="AP1718" s="129" t="s">
        <v>186</v>
      </c>
      <c r="AR1718" s="128" t="s">
        <v>50</v>
      </c>
      <c r="AS1718" s="129" t="s">
        <v>106</v>
      </c>
      <c r="BC1718" s="129" t="s">
        <v>38</v>
      </c>
      <c r="BF1718" s="111">
        <f t="shared" si="1287"/>
        <v>186</v>
      </c>
      <c r="BG1718" s="111">
        <f t="shared" si="1288"/>
        <v>498</v>
      </c>
      <c r="BH1718" s="111">
        <f t="shared" si="1249"/>
        <v>511</v>
      </c>
      <c r="BI1718" s="111">
        <f t="shared" si="1250"/>
        <v>37.461748633879779</v>
      </c>
      <c r="BJ1718" s="129">
        <f>(G1718-J1718)+(M1718-G1718)</f>
        <v>0</v>
      </c>
      <c r="BK1718" s="129">
        <f t="shared" si="1251"/>
        <v>-312</v>
      </c>
      <c r="BL1718" s="129" t="str">
        <f t="shared" si="1277"/>
        <v>CONVICTION</v>
      </c>
      <c r="BM1718" s="129" t="s">
        <v>76</v>
      </c>
      <c r="BN1718" s="129" t="s">
        <v>88</v>
      </c>
      <c r="BP1718" s="137" t="str">
        <f t="shared" si="1255"/>
        <v>CONVICTION</v>
      </c>
      <c r="BQ1718" s="128" t="str">
        <f t="shared" si="1256"/>
        <v>Y</v>
      </c>
      <c r="BR1718" s="129" t="str">
        <f>IF(J1718&lt;G1718,"ON BOND",0)</f>
        <v>ON BOND</v>
      </c>
      <c r="BS1718" s="129" t="str">
        <f t="shared" si="1257"/>
        <v>DISPOSED</v>
      </c>
      <c r="BT1718" s="129" t="str">
        <f t="shared" si="1258"/>
        <v>N</v>
      </c>
      <c r="BU1718" s="109">
        <f t="shared" si="1259"/>
        <v>0.36399217221135027</v>
      </c>
      <c r="BV1718" s="109">
        <f t="shared" si="1260"/>
        <v>0.37349397590361444</v>
      </c>
      <c r="BW1718" s="109">
        <f t="shared" si="1247"/>
        <v>9.5018036922641658E-3</v>
      </c>
      <c r="BX1718" s="111">
        <f t="shared" si="1261"/>
        <v>0</v>
      </c>
      <c r="BY1718" s="129">
        <f t="shared" si="1262"/>
        <v>-186</v>
      </c>
      <c r="BZ1718" s="111">
        <f t="shared" si="1263"/>
        <v>0</v>
      </c>
      <c r="CA1718" s="138">
        <f t="shared" si="1264"/>
        <v>186</v>
      </c>
      <c r="CB1718" s="111" t="e">
        <f t="shared" si="1289"/>
        <v>#VALUE!</v>
      </c>
      <c r="CC1718" s="129">
        <f>M1718-I1718+1</f>
        <v>186</v>
      </c>
      <c r="CD1718" s="111">
        <f>CC1718-BF1718</f>
        <v>0</v>
      </c>
      <c r="CG1718" s="129" t="str">
        <f t="shared" si="1265"/>
        <v>N</v>
      </c>
      <c r="CI1718" s="129" t="str">
        <f t="shared" si="1269"/>
        <v>121-365 DAYS</v>
      </c>
      <c r="CJ1718" s="137">
        <f t="shared" si="1270"/>
        <v>6</v>
      </c>
      <c r="CK1718" s="129" t="str">
        <f t="shared" si="1271"/>
        <v>Booked</v>
      </c>
    </row>
    <row r="1719" spans="1:89" ht="15.75" customHeight="1" x14ac:dyDescent="0.25">
      <c r="A1719" s="111">
        <v>237</v>
      </c>
      <c r="B1719" s="128" t="str">
        <f t="shared" si="1252"/>
        <v>N</v>
      </c>
      <c r="C1719" s="128" t="str">
        <f t="shared" si="1253"/>
        <v>N</v>
      </c>
      <c r="D1719" s="117">
        <v>2237869</v>
      </c>
      <c r="E1719" s="135">
        <f t="shared" si="1254"/>
        <v>4</v>
      </c>
      <c r="F1719" s="124">
        <v>40919</v>
      </c>
      <c r="G1719" s="125">
        <v>40920</v>
      </c>
      <c r="H1719" s="117">
        <v>2237869</v>
      </c>
      <c r="I1719" s="124">
        <v>40919</v>
      </c>
      <c r="J1719" s="124">
        <v>40920</v>
      </c>
      <c r="K1719" s="126">
        <v>5000</v>
      </c>
      <c r="L1719" s="127" t="s">
        <v>569</v>
      </c>
      <c r="N1719" s="129" t="str">
        <f t="shared" si="1290"/>
        <v>N</v>
      </c>
      <c r="O1719" s="128" t="s">
        <v>917</v>
      </c>
      <c r="P1719" s="129" t="s">
        <v>39</v>
      </c>
      <c r="Q1719" s="111">
        <f t="shared" si="1279"/>
        <v>2</v>
      </c>
      <c r="R1719" s="111">
        <f t="shared" si="1273"/>
        <v>2</v>
      </c>
      <c r="S1719" s="129">
        <v>1</v>
      </c>
      <c r="T1719" s="129">
        <v>2</v>
      </c>
      <c r="U1719" s="129">
        <v>1</v>
      </c>
      <c r="W1719" s="111"/>
      <c r="AB1719" s="131" t="s">
        <v>112</v>
      </c>
      <c r="AC1719" s="130"/>
      <c r="AD1719" s="130">
        <v>32185</v>
      </c>
      <c r="AE1719" s="128" t="s">
        <v>46</v>
      </c>
      <c r="AF1719" s="128" t="s">
        <v>40</v>
      </c>
      <c r="AG1719" s="128" t="s">
        <v>41</v>
      </c>
      <c r="AH1719" s="108" t="s">
        <v>31</v>
      </c>
      <c r="AI1719" s="128" t="s">
        <v>97</v>
      </c>
      <c r="AJ1719" s="129" t="s">
        <v>89</v>
      </c>
      <c r="AK1719" s="129">
        <v>1</v>
      </c>
      <c r="AL1719" s="3" t="s">
        <v>991</v>
      </c>
      <c r="AO1719" s="128">
        <v>90</v>
      </c>
      <c r="AP1719" s="129" t="s">
        <v>60</v>
      </c>
      <c r="AR1719" s="128" t="s">
        <v>44</v>
      </c>
      <c r="AS1719" s="129" t="s">
        <v>61</v>
      </c>
      <c r="BC1719" s="129" t="s">
        <v>99</v>
      </c>
      <c r="BF1719" s="111">
        <f t="shared" si="1287"/>
        <v>2</v>
      </c>
      <c r="BG1719" s="111">
        <f t="shared" si="1288"/>
        <v>2</v>
      </c>
      <c r="BH1719" s="111">
        <f t="shared" si="1249"/>
        <v>2</v>
      </c>
      <c r="BI1719" s="111">
        <f t="shared" si="1250"/>
        <v>23.863387978142075</v>
      </c>
      <c r="BJ1719" s="129">
        <f t="shared" si="1266"/>
        <v>0</v>
      </c>
      <c r="BK1719" s="129">
        <f t="shared" si="1251"/>
        <v>0</v>
      </c>
      <c r="BL1719" s="129" t="str">
        <f t="shared" si="1277"/>
        <v>CONVICTION</v>
      </c>
      <c r="BM1719" s="129" t="str">
        <f t="shared" si="1267"/>
        <v>NONE</v>
      </c>
      <c r="BN1719" s="129" t="s">
        <v>566</v>
      </c>
      <c r="BP1719" s="137" t="str">
        <f t="shared" si="1255"/>
        <v>CONVICTION</v>
      </c>
      <c r="BQ1719" s="128" t="str">
        <f t="shared" si="1256"/>
        <v>Y</v>
      </c>
      <c r="BR1719" s="129" t="str">
        <f t="shared" si="1268"/>
        <v>DETAINED</v>
      </c>
      <c r="BS1719" s="129" t="str">
        <f t="shared" si="1257"/>
        <v>DISPOSED</v>
      </c>
      <c r="BT1719" s="129" t="str">
        <f t="shared" si="1258"/>
        <v>Y</v>
      </c>
      <c r="BU1719" s="109">
        <f t="shared" si="1259"/>
        <v>1</v>
      </c>
      <c r="BV1719" s="109">
        <f t="shared" si="1260"/>
        <v>1</v>
      </c>
      <c r="BW1719" s="109">
        <f t="shared" si="1247"/>
        <v>0</v>
      </c>
      <c r="BX1719" s="111">
        <f t="shared" si="1261"/>
        <v>0</v>
      </c>
      <c r="BY1719" s="129">
        <f t="shared" si="1262"/>
        <v>-2</v>
      </c>
      <c r="BZ1719" s="111">
        <f t="shared" si="1263"/>
        <v>0</v>
      </c>
      <c r="CA1719" s="138">
        <f t="shared" si="1264"/>
        <v>2</v>
      </c>
      <c r="CB1719" s="111" t="e">
        <f t="shared" si="1289"/>
        <v>#VALUE!</v>
      </c>
      <c r="CC1719" s="129">
        <f>G1719-I1719+1</f>
        <v>2</v>
      </c>
      <c r="CD1719" s="129">
        <f>G1719-J1719</f>
        <v>0</v>
      </c>
      <c r="CG1719" s="129" t="str">
        <f t="shared" si="1265"/>
        <v>Y</v>
      </c>
      <c r="CI1719" s="129" t="str">
        <f t="shared" si="1269"/>
        <v>0-10 DAYS</v>
      </c>
      <c r="CJ1719" s="137">
        <f t="shared" si="1270"/>
        <v>1</v>
      </c>
      <c r="CK1719" s="129" t="str">
        <f t="shared" si="1271"/>
        <v>Booked</v>
      </c>
    </row>
    <row r="1720" spans="1:89" ht="15.75" customHeight="1" x14ac:dyDescent="0.25">
      <c r="A1720" s="111">
        <v>3233</v>
      </c>
      <c r="B1720" s="128" t="str">
        <f t="shared" si="1252"/>
        <v>Y</v>
      </c>
      <c r="C1720" s="128" t="str">
        <f t="shared" si="1253"/>
        <v>Y</v>
      </c>
      <c r="D1720" s="114">
        <v>2238488</v>
      </c>
      <c r="E1720" s="135">
        <f t="shared" si="1254"/>
        <v>6</v>
      </c>
      <c r="F1720" s="124">
        <v>41028</v>
      </c>
      <c r="G1720" s="125">
        <v>41351</v>
      </c>
      <c r="H1720" s="114">
        <v>2238488</v>
      </c>
      <c r="I1720" s="124">
        <v>41028</v>
      </c>
      <c r="J1720" s="124">
        <v>41033</v>
      </c>
      <c r="K1720" s="126">
        <v>10000</v>
      </c>
      <c r="L1720" s="127" t="s">
        <v>570</v>
      </c>
      <c r="M1720" s="124">
        <v>41033</v>
      </c>
      <c r="N1720" s="129" t="str">
        <f t="shared" si="1290"/>
        <v>Y</v>
      </c>
      <c r="O1720" s="128" t="s">
        <v>76</v>
      </c>
      <c r="P1720" s="129" t="s">
        <v>39</v>
      </c>
      <c r="Q1720" s="111">
        <v>26</v>
      </c>
      <c r="R1720" s="111">
        <f t="shared" si="1273"/>
        <v>324</v>
      </c>
      <c r="S1720" s="129">
        <v>0</v>
      </c>
      <c r="T1720" s="129">
        <v>6</v>
      </c>
      <c r="W1720" s="111"/>
      <c r="AC1720" s="130"/>
      <c r="AD1720" s="130">
        <v>32078</v>
      </c>
      <c r="AE1720" s="128" t="s">
        <v>32</v>
      </c>
      <c r="AF1720" s="128" t="s">
        <v>33</v>
      </c>
      <c r="AG1720" s="128" t="s">
        <v>872</v>
      </c>
      <c r="AH1720" s="108" t="s">
        <v>31</v>
      </c>
      <c r="AI1720" s="128" t="s">
        <v>65</v>
      </c>
      <c r="AJ1720" s="129" t="s">
        <v>89</v>
      </c>
      <c r="AK1720" s="129">
        <v>8</v>
      </c>
      <c r="AL1720" s="3" t="s">
        <v>362</v>
      </c>
      <c r="AM1720" s="117">
        <v>2</v>
      </c>
      <c r="AP1720" s="129" t="s">
        <v>176</v>
      </c>
      <c r="AR1720" s="128" t="s">
        <v>50</v>
      </c>
      <c r="AS1720" s="129" t="s">
        <v>45</v>
      </c>
      <c r="AT1720" s="129" t="s">
        <v>1116</v>
      </c>
      <c r="AV1720" s="3" t="s">
        <v>88</v>
      </c>
      <c r="AW1720" s="129" t="s">
        <v>672</v>
      </c>
      <c r="AX1720" s="123"/>
      <c r="BA1720" s="125">
        <v>41487</v>
      </c>
      <c r="BB1720" s="129">
        <v>472</v>
      </c>
      <c r="BC1720" s="129" t="s">
        <v>52</v>
      </c>
      <c r="BD1720" s="129" t="s">
        <v>1117</v>
      </c>
      <c r="BF1720" s="111">
        <v>26</v>
      </c>
      <c r="BG1720" s="111">
        <f t="shared" si="1288"/>
        <v>324</v>
      </c>
      <c r="BH1720" s="111">
        <f t="shared" si="1249"/>
        <v>324</v>
      </c>
      <c r="BI1720" s="111">
        <f t="shared" si="1250"/>
        <v>24.453551912568305</v>
      </c>
      <c r="BJ1720" s="129">
        <f>(G1720-J1720)+(M1720-G1720)</f>
        <v>0</v>
      </c>
      <c r="BK1720" s="129">
        <f t="shared" si="1251"/>
        <v>-318</v>
      </c>
      <c r="BL1720" s="129" t="str">
        <f t="shared" si="1277"/>
        <v>CONVICTION</v>
      </c>
      <c r="BM1720" s="129" t="s">
        <v>76</v>
      </c>
      <c r="BN1720" s="129" t="s">
        <v>566</v>
      </c>
      <c r="BP1720" s="137" t="str">
        <f t="shared" si="1255"/>
        <v>CONVICTION</v>
      </c>
      <c r="BQ1720" s="128" t="str">
        <f t="shared" si="1256"/>
        <v>Y</v>
      </c>
      <c r="BR1720" s="129" t="s">
        <v>574</v>
      </c>
      <c r="BS1720" s="129" t="str">
        <f t="shared" si="1257"/>
        <v>DISPOSED</v>
      </c>
      <c r="BT1720" s="129" t="str">
        <f t="shared" si="1258"/>
        <v>N</v>
      </c>
      <c r="BU1720" s="109">
        <f t="shared" si="1259"/>
        <v>8.0246913580246909E-2</v>
      </c>
      <c r="BV1720" s="109">
        <f t="shared" si="1260"/>
        <v>1.8518518518518517E-2</v>
      </c>
      <c r="BW1720" s="109">
        <f t="shared" si="1247"/>
        <v>-6.1728395061728392E-2</v>
      </c>
      <c r="BX1720" s="111">
        <f t="shared" si="1261"/>
        <v>0</v>
      </c>
      <c r="BY1720" s="129">
        <f t="shared" si="1262"/>
        <v>-6</v>
      </c>
      <c r="BZ1720" s="111">
        <f t="shared" si="1263"/>
        <v>20</v>
      </c>
      <c r="CA1720" s="138">
        <f t="shared" si="1264"/>
        <v>324</v>
      </c>
      <c r="CB1720" s="111">
        <v>26</v>
      </c>
      <c r="CC1720" s="129">
        <f>G1720-I1720+1</f>
        <v>324</v>
      </c>
      <c r="CD1720" s="129">
        <f>G1720-J1720</f>
        <v>318</v>
      </c>
      <c r="CG1720" s="129" t="str">
        <f t="shared" si="1265"/>
        <v>Y</v>
      </c>
      <c r="CI1720" s="129" t="str">
        <f t="shared" si="1269"/>
        <v>11-30 DAYS</v>
      </c>
      <c r="CJ1720" s="137">
        <f t="shared" si="1270"/>
        <v>2</v>
      </c>
      <c r="CK1720" s="129" t="str">
        <f t="shared" si="1271"/>
        <v>Booked</v>
      </c>
    </row>
    <row r="1721" spans="1:89" ht="15" customHeight="1" x14ac:dyDescent="0.25">
      <c r="A1721" s="111">
        <v>1482</v>
      </c>
      <c r="B1721" s="128" t="str">
        <f t="shared" si="1252"/>
        <v>N</v>
      </c>
      <c r="C1721" s="128" t="str">
        <f t="shared" si="1253"/>
        <v>N</v>
      </c>
      <c r="D1721" s="117">
        <v>2238616</v>
      </c>
      <c r="E1721" s="135">
        <f t="shared" si="1254"/>
        <v>5</v>
      </c>
      <c r="F1721" s="124">
        <v>40963</v>
      </c>
      <c r="G1721" s="125">
        <v>40967</v>
      </c>
      <c r="H1721" s="117">
        <v>2238616</v>
      </c>
      <c r="I1721" s="124">
        <v>40966</v>
      </c>
      <c r="J1721" s="124">
        <v>40967</v>
      </c>
      <c r="K1721" s="126">
        <v>20000</v>
      </c>
      <c r="L1721" s="127" t="s">
        <v>571</v>
      </c>
      <c r="N1721" s="129" t="str">
        <f t="shared" si="1290"/>
        <v>N</v>
      </c>
      <c r="O1721" s="128" t="s">
        <v>917</v>
      </c>
      <c r="P1721" s="129" t="s">
        <v>39</v>
      </c>
      <c r="Q1721" s="111">
        <f>BF1721</f>
        <v>2</v>
      </c>
      <c r="R1721" s="111">
        <f t="shared" si="1273"/>
        <v>5</v>
      </c>
      <c r="S1721" s="129">
        <v>5</v>
      </c>
      <c r="T1721" s="129">
        <v>0</v>
      </c>
      <c r="U1721" s="129">
        <v>2</v>
      </c>
      <c r="W1721" s="111"/>
      <c r="AC1721" s="130"/>
      <c r="AD1721" s="130">
        <v>32555</v>
      </c>
      <c r="AE1721" s="128" t="s">
        <v>32</v>
      </c>
      <c r="AF1721" s="128" t="s">
        <v>40</v>
      </c>
      <c r="AG1721" s="128" t="s">
        <v>41</v>
      </c>
      <c r="AH1721" s="108" t="s">
        <v>41</v>
      </c>
      <c r="AI1721" s="128" t="s">
        <v>113</v>
      </c>
      <c r="AJ1721" s="129" t="s">
        <v>89</v>
      </c>
      <c r="AK1721" s="129">
        <v>1</v>
      </c>
      <c r="AL1721" s="3" t="s">
        <v>992</v>
      </c>
      <c r="AN1721" s="117">
        <v>7</v>
      </c>
      <c r="AP1721" s="129" t="s">
        <v>341</v>
      </c>
      <c r="AR1721" s="128" t="s">
        <v>44</v>
      </c>
      <c r="AS1721" s="129" t="s">
        <v>74</v>
      </c>
      <c r="BC1721" s="129" t="s">
        <v>38</v>
      </c>
      <c r="BF1721" s="111">
        <f t="shared" ref="BF1721:BF1727" si="1291">IF(J1721&gt;1/1/1900,((J1721+1)-I1721),"STILL OPEN")</f>
        <v>2</v>
      </c>
      <c r="BG1721" s="111">
        <f t="shared" si="1288"/>
        <v>2</v>
      </c>
      <c r="BH1721" s="111">
        <f t="shared" si="1249"/>
        <v>5</v>
      </c>
      <c r="BI1721" s="111">
        <f t="shared" si="1250"/>
        <v>22.972677595628415</v>
      </c>
      <c r="BJ1721" s="129">
        <f t="shared" si="1266"/>
        <v>0</v>
      </c>
      <c r="BK1721" s="129">
        <f t="shared" si="1251"/>
        <v>0</v>
      </c>
      <c r="BL1721" s="129" t="str">
        <f t="shared" si="1277"/>
        <v>CONVICTION</v>
      </c>
      <c r="BM1721" s="129" t="str">
        <f t="shared" si="1267"/>
        <v>NONE</v>
      </c>
      <c r="BN1721" s="129" t="s">
        <v>566</v>
      </c>
      <c r="BP1721" s="137" t="str">
        <f t="shared" si="1255"/>
        <v>CONVICTION</v>
      </c>
      <c r="BQ1721" s="128" t="str">
        <f t="shared" si="1256"/>
        <v>Y</v>
      </c>
      <c r="BR1721" s="129" t="str">
        <f t="shared" si="1268"/>
        <v>DETAINED</v>
      </c>
      <c r="BS1721" s="129" t="str">
        <f t="shared" si="1257"/>
        <v>DISPOSED</v>
      </c>
      <c r="BT1721" s="129" t="str">
        <f t="shared" si="1258"/>
        <v>Y</v>
      </c>
      <c r="BU1721" s="109">
        <f t="shared" si="1259"/>
        <v>0.4</v>
      </c>
      <c r="BV1721" s="109">
        <f t="shared" si="1260"/>
        <v>1</v>
      </c>
      <c r="BW1721" s="109">
        <f t="shared" si="1247"/>
        <v>0.6</v>
      </c>
      <c r="BX1721" s="111">
        <f t="shared" si="1261"/>
        <v>0</v>
      </c>
      <c r="BY1721" s="129">
        <f t="shared" si="1262"/>
        <v>-2</v>
      </c>
      <c r="BZ1721" s="111">
        <f t="shared" si="1263"/>
        <v>0</v>
      </c>
      <c r="CA1721" s="138">
        <f t="shared" si="1264"/>
        <v>2</v>
      </c>
      <c r="CB1721" s="111" t="e">
        <f t="shared" ref="CB1721:CB1727" si="1292">IF(AF1721&gt;1/1/1900,((AF1721+1)-AE1721),"STILL OPEN")</f>
        <v>#VALUE!</v>
      </c>
      <c r="CC1721" s="129">
        <f>G1721-I1721+1</f>
        <v>2</v>
      </c>
      <c r="CD1721" s="129">
        <f>G1721-J1721</f>
        <v>0</v>
      </c>
      <c r="CG1721" s="129" t="str">
        <f t="shared" si="1265"/>
        <v>Y</v>
      </c>
      <c r="CI1721" s="129" t="str">
        <f t="shared" si="1269"/>
        <v>0-10 DAYS</v>
      </c>
      <c r="CJ1721" s="137">
        <f t="shared" si="1270"/>
        <v>1</v>
      </c>
      <c r="CK1721" s="129" t="str">
        <f t="shared" si="1271"/>
        <v>Booked</v>
      </c>
    </row>
    <row r="1722" spans="1:89" ht="15.75" customHeight="1" x14ac:dyDescent="0.25">
      <c r="A1722" s="111">
        <v>1145</v>
      </c>
      <c r="B1722" s="128" t="str">
        <f t="shared" si="1252"/>
        <v>N</v>
      </c>
      <c r="C1722" s="128" t="str">
        <f t="shared" si="1253"/>
        <v>N</v>
      </c>
      <c r="D1722" s="117">
        <v>2239119</v>
      </c>
      <c r="E1722" s="135">
        <f t="shared" si="1254"/>
        <v>6</v>
      </c>
      <c r="F1722" s="124">
        <v>40950</v>
      </c>
      <c r="G1722" s="125">
        <v>41019</v>
      </c>
      <c r="H1722" s="117">
        <v>2239119</v>
      </c>
      <c r="I1722" s="124">
        <v>40950</v>
      </c>
      <c r="J1722" s="124">
        <v>41019</v>
      </c>
      <c r="K1722" s="126">
        <v>10000</v>
      </c>
      <c r="L1722" s="127" t="s">
        <v>570</v>
      </c>
      <c r="N1722" s="129" t="str">
        <f t="shared" si="1290"/>
        <v>N</v>
      </c>
      <c r="O1722" s="128" t="s">
        <v>917</v>
      </c>
      <c r="P1722" s="129" t="s">
        <v>39</v>
      </c>
      <c r="Q1722" s="111">
        <f>BF1722</f>
        <v>70</v>
      </c>
      <c r="R1722" s="111">
        <f t="shared" si="1273"/>
        <v>70</v>
      </c>
      <c r="S1722" s="129">
        <v>3</v>
      </c>
      <c r="T1722" s="129">
        <v>8</v>
      </c>
      <c r="U1722" s="129">
        <v>1</v>
      </c>
      <c r="W1722" s="111"/>
      <c r="AC1722" s="130"/>
      <c r="AD1722" s="130">
        <v>32660</v>
      </c>
      <c r="AE1722" s="128" t="s">
        <v>32</v>
      </c>
      <c r="AF1722" s="128" t="s">
        <v>33</v>
      </c>
      <c r="AG1722" s="128" t="s">
        <v>872</v>
      </c>
      <c r="AH1722" s="108" t="s">
        <v>31</v>
      </c>
      <c r="AI1722" s="128" t="s">
        <v>95</v>
      </c>
      <c r="AJ1722" s="129" t="s">
        <v>89</v>
      </c>
      <c r="AK1722" s="129">
        <v>3</v>
      </c>
      <c r="AL1722" s="3" t="s">
        <v>362</v>
      </c>
      <c r="AM1722" s="117">
        <v>3</v>
      </c>
      <c r="AP1722" s="129" t="s">
        <v>84</v>
      </c>
      <c r="AR1722" s="128" t="s">
        <v>67</v>
      </c>
      <c r="AS1722" s="129" t="s">
        <v>74</v>
      </c>
      <c r="BC1722" s="129" t="s">
        <v>38</v>
      </c>
      <c r="BF1722" s="111">
        <f t="shared" si="1291"/>
        <v>70</v>
      </c>
      <c r="BG1722" s="111">
        <f t="shared" si="1288"/>
        <v>70</v>
      </c>
      <c r="BH1722" s="111">
        <f t="shared" si="1249"/>
        <v>70</v>
      </c>
      <c r="BI1722" s="111">
        <f t="shared" si="1250"/>
        <v>22.650273224043715</v>
      </c>
      <c r="BJ1722" s="129">
        <f t="shared" si="1266"/>
        <v>0</v>
      </c>
      <c r="BK1722" s="129">
        <f t="shared" si="1251"/>
        <v>0</v>
      </c>
      <c r="BL1722" s="129" t="str">
        <f t="shared" si="1277"/>
        <v>CONVICTION</v>
      </c>
      <c r="BM1722" s="129" t="str">
        <f t="shared" si="1267"/>
        <v>NONE</v>
      </c>
      <c r="BN1722" s="129" t="s">
        <v>566</v>
      </c>
      <c r="BP1722" s="137" t="str">
        <f t="shared" si="1255"/>
        <v>CONVICTION</v>
      </c>
      <c r="BQ1722" s="128" t="str">
        <f t="shared" si="1256"/>
        <v>Y</v>
      </c>
      <c r="BR1722" s="129" t="str">
        <f t="shared" si="1268"/>
        <v>DETAINED</v>
      </c>
      <c r="BS1722" s="129" t="str">
        <f t="shared" si="1257"/>
        <v>DISPOSED</v>
      </c>
      <c r="BT1722" s="129" t="str">
        <f t="shared" si="1258"/>
        <v>Y</v>
      </c>
      <c r="BU1722" s="109">
        <f t="shared" si="1259"/>
        <v>1</v>
      </c>
      <c r="BV1722" s="109">
        <f t="shared" si="1260"/>
        <v>1</v>
      </c>
      <c r="BW1722" s="109">
        <f t="shared" si="1247"/>
        <v>0</v>
      </c>
      <c r="BX1722" s="111">
        <f t="shared" si="1261"/>
        <v>0</v>
      </c>
      <c r="BY1722" s="129">
        <f t="shared" si="1262"/>
        <v>-70</v>
      </c>
      <c r="BZ1722" s="111">
        <f t="shared" si="1263"/>
        <v>0</v>
      </c>
      <c r="CA1722" s="138">
        <f t="shared" si="1264"/>
        <v>70</v>
      </c>
      <c r="CB1722" s="111" t="e">
        <f t="shared" si="1292"/>
        <v>#VALUE!</v>
      </c>
      <c r="CC1722" s="129">
        <f>G1722-I1722+1</f>
        <v>70</v>
      </c>
      <c r="CD1722" s="129">
        <f>G1722-J1722</f>
        <v>0</v>
      </c>
      <c r="CG1722" s="129" t="str">
        <f t="shared" si="1265"/>
        <v>Y</v>
      </c>
      <c r="CI1722" s="129" t="str">
        <f t="shared" si="1269"/>
        <v>61-90 DAYS</v>
      </c>
      <c r="CJ1722" s="137">
        <f t="shared" si="1270"/>
        <v>4</v>
      </c>
      <c r="CK1722" s="129" t="str">
        <f t="shared" si="1271"/>
        <v>Booked</v>
      </c>
    </row>
    <row r="1723" spans="1:89" ht="15" customHeight="1" x14ac:dyDescent="0.25">
      <c r="A1723" s="111">
        <v>2347</v>
      </c>
      <c r="B1723" s="128" t="str">
        <f t="shared" si="1252"/>
        <v>N</v>
      </c>
      <c r="C1723" s="128" t="str">
        <f t="shared" si="1253"/>
        <v>N</v>
      </c>
      <c r="D1723" s="117">
        <v>2239808</v>
      </c>
      <c r="E1723" s="135">
        <f t="shared" si="1254"/>
        <v>6</v>
      </c>
      <c r="F1723" s="124">
        <v>40997</v>
      </c>
      <c r="G1723" s="125">
        <v>41073</v>
      </c>
      <c r="H1723" s="117">
        <v>2239808</v>
      </c>
      <c r="I1723" s="124">
        <v>40998</v>
      </c>
      <c r="J1723" s="124">
        <v>41046</v>
      </c>
      <c r="K1723" s="126">
        <v>10000</v>
      </c>
      <c r="L1723" s="127" t="s">
        <v>570</v>
      </c>
      <c r="M1723" s="125">
        <v>41046</v>
      </c>
      <c r="N1723" s="129" t="str">
        <f t="shared" si="1290"/>
        <v>Y</v>
      </c>
      <c r="O1723" s="128" t="s">
        <v>54</v>
      </c>
      <c r="P1723" s="129" t="s">
        <v>39</v>
      </c>
      <c r="Q1723" s="111">
        <f>BF1723</f>
        <v>49</v>
      </c>
      <c r="R1723" s="111">
        <f t="shared" si="1273"/>
        <v>77</v>
      </c>
      <c r="S1723" s="129">
        <v>3</v>
      </c>
      <c r="T1723" s="129">
        <v>6</v>
      </c>
      <c r="U1723" s="129">
        <v>1</v>
      </c>
      <c r="W1723" s="111"/>
      <c r="AC1723" s="130"/>
      <c r="AD1723" s="130">
        <v>32612</v>
      </c>
      <c r="AE1723" s="128" t="s">
        <v>32</v>
      </c>
      <c r="AF1723" s="128" t="s">
        <v>33</v>
      </c>
      <c r="AG1723" s="128" t="s">
        <v>872</v>
      </c>
      <c r="AH1723" s="108" t="s">
        <v>58</v>
      </c>
      <c r="AI1723" s="128" t="s">
        <v>34</v>
      </c>
      <c r="AJ1723" s="129" t="s">
        <v>89</v>
      </c>
      <c r="AK1723" s="129">
        <v>7</v>
      </c>
      <c r="AL1723" s="3" t="s">
        <v>362</v>
      </c>
      <c r="AM1723" s="117">
        <v>2</v>
      </c>
      <c r="AP1723" s="129" t="s">
        <v>136</v>
      </c>
      <c r="AR1723" s="128" t="s">
        <v>67</v>
      </c>
      <c r="AS1723" s="129" t="s">
        <v>64</v>
      </c>
      <c r="BC1723" s="129" t="s">
        <v>52</v>
      </c>
      <c r="BF1723" s="111">
        <f t="shared" si="1291"/>
        <v>49</v>
      </c>
      <c r="BG1723" s="111">
        <f t="shared" si="1288"/>
        <v>76</v>
      </c>
      <c r="BH1723" s="111">
        <f t="shared" si="1249"/>
        <v>77</v>
      </c>
      <c r="BI1723" s="111">
        <f t="shared" si="1250"/>
        <v>22.909836065573771</v>
      </c>
      <c r="BJ1723" s="129">
        <f>(G1723-J1723)+(M1723-G1723)</f>
        <v>0</v>
      </c>
      <c r="BK1723" s="129">
        <f t="shared" si="1251"/>
        <v>-27</v>
      </c>
      <c r="BL1723" s="129" t="str">
        <f t="shared" si="1277"/>
        <v>CONVICTION</v>
      </c>
      <c r="BM1723" s="129" t="s">
        <v>160</v>
      </c>
      <c r="BN1723" s="129" t="s">
        <v>88</v>
      </c>
      <c r="BP1723" s="137" t="str">
        <f t="shared" si="1255"/>
        <v>CONVICTION</v>
      </c>
      <c r="BQ1723" s="128" t="str">
        <f t="shared" si="1256"/>
        <v>Y</v>
      </c>
      <c r="BR1723" s="129" t="str">
        <f>IF(J1723&lt;G1723,"ON BOND",0)</f>
        <v>ON BOND</v>
      </c>
      <c r="BS1723" s="129" t="str">
        <f t="shared" si="1257"/>
        <v>DISPOSED</v>
      </c>
      <c r="BT1723" s="129" t="str">
        <f t="shared" si="1258"/>
        <v>Y</v>
      </c>
      <c r="BU1723" s="109">
        <f t="shared" si="1259"/>
        <v>0.63636363636363635</v>
      </c>
      <c r="BV1723" s="109">
        <f t="shared" si="1260"/>
        <v>0.64473684210526316</v>
      </c>
      <c r="BW1723" s="109">
        <f t="shared" si="1247"/>
        <v>8.3732057416268102E-3</v>
      </c>
      <c r="BX1723" s="111">
        <f t="shared" si="1261"/>
        <v>0</v>
      </c>
      <c r="BY1723" s="129">
        <f t="shared" si="1262"/>
        <v>-49</v>
      </c>
      <c r="BZ1723" s="111">
        <f t="shared" si="1263"/>
        <v>0</v>
      </c>
      <c r="CA1723" s="138">
        <f t="shared" si="1264"/>
        <v>49</v>
      </c>
      <c r="CB1723" s="111" t="e">
        <f t="shared" si="1292"/>
        <v>#VALUE!</v>
      </c>
      <c r="CC1723" s="129">
        <f>M1723-I1723+1</f>
        <v>49</v>
      </c>
      <c r="CD1723" s="111">
        <f>CC1723-BF1723</f>
        <v>0</v>
      </c>
      <c r="CG1723" s="129" t="str">
        <f t="shared" si="1265"/>
        <v>Y</v>
      </c>
      <c r="CI1723" s="129" t="str">
        <f t="shared" si="1269"/>
        <v>31-60 DAYS</v>
      </c>
      <c r="CJ1723" s="137">
        <f t="shared" si="1270"/>
        <v>3</v>
      </c>
      <c r="CK1723" s="129" t="str">
        <f t="shared" si="1271"/>
        <v>Booked</v>
      </c>
    </row>
    <row r="1724" spans="1:89" ht="15.75" customHeight="1" x14ac:dyDescent="0.25">
      <c r="A1724" s="111">
        <v>872</v>
      </c>
      <c r="B1724" s="128" t="str">
        <f t="shared" si="1252"/>
        <v>N</v>
      </c>
      <c r="C1724" s="128" t="str">
        <f t="shared" si="1253"/>
        <v>N</v>
      </c>
      <c r="D1724" s="117">
        <v>2239991</v>
      </c>
      <c r="E1724" s="135">
        <f t="shared" si="1254"/>
        <v>5</v>
      </c>
      <c r="F1724" s="124">
        <v>40941</v>
      </c>
      <c r="G1724" s="125">
        <v>40945</v>
      </c>
      <c r="H1724" s="117">
        <v>2239991</v>
      </c>
      <c r="I1724" s="124">
        <v>40941</v>
      </c>
      <c r="J1724" s="124">
        <v>40945</v>
      </c>
      <c r="K1724" s="126">
        <v>30000</v>
      </c>
      <c r="L1724" s="129" t="s">
        <v>572</v>
      </c>
      <c r="N1724" s="129" t="str">
        <f t="shared" si="1290"/>
        <v>N</v>
      </c>
      <c r="O1724" s="128" t="s">
        <v>917</v>
      </c>
      <c r="P1724" s="129" t="s">
        <v>39</v>
      </c>
      <c r="Q1724" s="111">
        <f>BF1724</f>
        <v>5</v>
      </c>
      <c r="R1724" s="111">
        <f t="shared" si="1273"/>
        <v>5</v>
      </c>
      <c r="S1724" s="129">
        <v>4</v>
      </c>
      <c r="T1724" s="129">
        <v>2</v>
      </c>
      <c r="U1724" s="129">
        <v>3</v>
      </c>
      <c r="W1724" s="111"/>
      <c r="AC1724" s="130"/>
      <c r="AD1724" s="130">
        <v>26745</v>
      </c>
      <c r="AE1724" s="128" t="s">
        <v>46</v>
      </c>
      <c r="AF1724" s="128" t="s">
        <v>33</v>
      </c>
      <c r="AG1724" s="128" t="s">
        <v>872</v>
      </c>
      <c r="AH1724" s="108" t="s">
        <v>31</v>
      </c>
      <c r="AI1724" s="128" t="s">
        <v>87</v>
      </c>
      <c r="AJ1724" s="129" t="s">
        <v>89</v>
      </c>
      <c r="AK1724" s="129">
        <v>1</v>
      </c>
      <c r="AL1724" s="3" t="s">
        <v>992</v>
      </c>
      <c r="AN1724" s="117">
        <v>9</v>
      </c>
      <c r="AP1724" s="129" t="s">
        <v>43</v>
      </c>
      <c r="AR1724" s="128" t="s">
        <v>44</v>
      </c>
      <c r="AS1724" s="129" t="s">
        <v>45</v>
      </c>
      <c r="BC1724" s="129" t="s">
        <v>38</v>
      </c>
      <c r="BF1724" s="111">
        <f t="shared" si="1291"/>
        <v>5</v>
      </c>
      <c r="BG1724" s="111">
        <f t="shared" si="1288"/>
        <v>5</v>
      </c>
      <c r="BH1724" s="111">
        <f t="shared" si="1249"/>
        <v>5</v>
      </c>
      <c r="BI1724" s="111">
        <f t="shared" si="1250"/>
        <v>38.786885245901637</v>
      </c>
      <c r="BJ1724" s="129">
        <f t="shared" si="1266"/>
        <v>0</v>
      </c>
      <c r="BK1724" s="129">
        <f t="shared" si="1251"/>
        <v>0</v>
      </c>
      <c r="BL1724" s="129" t="str">
        <f t="shared" si="1277"/>
        <v>CONVICTION</v>
      </c>
      <c r="BM1724" s="129" t="str">
        <f t="shared" si="1267"/>
        <v>NONE</v>
      </c>
      <c r="BN1724" s="129" t="s">
        <v>566</v>
      </c>
      <c r="BP1724" s="137" t="str">
        <f t="shared" si="1255"/>
        <v>CONVICTION</v>
      </c>
      <c r="BQ1724" s="128" t="str">
        <f t="shared" si="1256"/>
        <v>Y</v>
      </c>
      <c r="BR1724" s="129" t="str">
        <f t="shared" si="1268"/>
        <v>DETAINED</v>
      </c>
      <c r="BS1724" s="129" t="str">
        <f t="shared" si="1257"/>
        <v>DISPOSED</v>
      </c>
      <c r="BT1724" s="129" t="str">
        <f t="shared" si="1258"/>
        <v>Y</v>
      </c>
      <c r="BU1724" s="109">
        <f t="shared" si="1259"/>
        <v>1</v>
      </c>
      <c r="BV1724" s="109">
        <f t="shared" si="1260"/>
        <v>1</v>
      </c>
      <c r="BW1724" s="109">
        <f t="shared" si="1247"/>
        <v>0</v>
      </c>
      <c r="BX1724" s="111">
        <f t="shared" si="1261"/>
        <v>0</v>
      </c>
      <c r="BY1724" s="129">
        <f t="shared" si="1262"/>
        <v>-5</v>
      </c>
      <c r="BZ1724" s="111">
        <f t="shared" si="1263"/>
        <v>0</v>
      </c>
      <c r="CA1724" s="138">
        <f t="shared" si="1264"/>
        <v>5</v>
      </c>
      <c r="CB1724" s="111" t="e">
        <f t="shared" si="1292"/>
        <v>#VALUE!</v>
      </c>
      <c r="CC1724" s="129">
        <f>G1724-I1724+1</f>
        <v>5</v>
      </c>
      <c r="CD1724" s="129">
        <f>G1724-J1724</f>
        <v>0</v>
      </c>
      <c r="CG1724" s="129" t="str">
        <f t="shared" si="1265"/>
        <v>Y</v>
      </c>
      <c r="CI1724" s="129" t="str">
        <f t="shared" si="1269"/>
        <v>0-10 DAYS</v>
      </c>
      <c r="CJ1724" s="137">
        <f t="shared" si="1270"/>
        <v>1</v>
      </c>
      <c r="CK1724" s="129" t="str">
        <f t="shared" si="1271"/>
        <v>Booked</v>
      </c>
    </row>
    <row r="1725" spans="1:89" ht="15.75" customHeight="1" x14ac:dyDescent="0.25">
      <c r="A1725" s="111">
        <v>2762</v>
      </c>
      <c r="B1725" s="128" t="str">
        <f t="shared" si="1252"/>
        <v>N</v>
      </c>
      <c r="C1725" s="128" t="str">
        <f t="shared" si="1253"/>
        <v>N</v>
      </c>
      <c r="D1725" s="117">
        <v>2240642</v>
      </c>
      <c r="E1725" s="135">
        <f t="shared" si="1254"/>
        <v>2</v>
      </c>
      <c r="F1725" s="124">
        <v>41011</v>
      </c>
      <c r="G1725" s="125">
        <v>41207</v>
      </c>
      <c r="H1725" s="117">
        <v>2240642</v>
      </c>
      <c r="I1725" s="124">
        <v>41011</v>
      </c>
      <c r="J1725" s="124">
        <v>41013</v>
      </c>
      <c r="K1725" s="126">
        <v>5000</v>
      </c>
      <c r="L1725" s="127" t="s">
        <v>569</v>
      </c>
      <c r="M1725" s="125">
        <v>41013</v>
      </c>
      <c r="N1725" s="129" t="str">
        <f t="shared" si="1290"/>
        <v>Y</v>
      </c>
      <c r="O1725" s="128" t="s">
        <v>585</v>
      </c>
      <c r="P1725" s="129" t="s">
        <v>589</v>
      </c>
      <c r="Q1725" s="111">
        <f>BF1725</f>
        <v>3</v>
      </c>
      <c r="R1725" s="111">
        <f t="shared" si="1273"/>
        <v>197</v>
      </c>
      <c r="S1725" s="129">
        <v>1</v>
      </c>
      <c r="T1725" s="129">
        <v>1</v>
      </c>
      <c r="U1725" s="129">
        <v>1</v>
      </c>
      <c r="W1725" s="111"/>
      <c r="AC1725" s="130"/>
      <c r="AD1725" s="130">
        <v>29567</v>
      </c>
      <c r="AE1725" s="128" t="s">
        <v>46</v>
      </c>
      <c r="AF1725" s="128" t="s">
        <v>33</v>
      </c>
      <c r="AG1725" s="128" t="s">
        <v>872</v>
      </c>
      <c r="AH1725" s="108" t="s">
        <v>31</v>
      </c>
      <c r="AI1725" s="128" t="s">
        <v>71</v>
      </c>
      <c r="AJ1725" s="129" t="s">
        <v>48</v>
      </c>
      <c r="AK1725" s="129">
        <v>10</v>
      </c>
      <c r="AL1725" s="3" t="s">
        <v>48</v>
      </c>
      <c r="AP1725" s="129" t="s">
        <v>43</v>
      </c>
      <c r="AR1725" s="128" t="s">
        <v>44</v>
      </c>
      <c r="AS1725" s="129" t="s">
        <v>45</v>
      </c>
      <c r="BC1725" s="129" t="s">
        <v>52</v>
      </c>
      <c r="BF1725" s="111">
        <f t="shared" si="1291"/>
        <v>3</v>
      </c>
      <c r="BG1725" s="111">
        <f t="shared" si="1288"/>
        <v>197</v>
      </c>
      <c r="BH1725" s="111">
        <f t="shared" si="1249"/>
        <v>197</v>
      </c>
      <c r="BI1725" s="111">
        <f t="shared" si="1250"/>
        <v>31.26775956284153</v>
      </c>
      <c r="BJ1725" s="129">
        <f>(G1725-J1725)+(M1725-G1725)</f>
        <v>0</v>
      </c>
      <c r="BK1725" s="129">
        <f t="shared" si="1251"/>
        <v>-194</v>
      </c>
      <c r="BL1725" s="129" t="str">
        <f t="shared" si="1277"/>
        <v>DEFERRED</v>
      </c>
      <c r="BM1725" s="129" t="s">
        <v>76</v>
      </c>
      <c r="BN1725" s="129" t="s">
        <v>88</v>
      </c>
      <c r="BP1725" s="137" t="str">
        <f t="shared" si="1255"/>
        <v>DEFERRED</v>
      </c>
      <c r="BQ1725" s="128" t="str">
        <f t="shared" si="1256"/>
        <v>Y</v>
      </c>
      <c r="BR1725" s="129" t="str">
        <f t="shared" si="1268"/>
        <v>ON BOND</v>
      </c>
      <c r="BS1725" s="129" t="str">
        <f t="shared" si="1257"/>
        <v>DISPOSED</v>
      </c>
      <c r="BT1725" s="129" t="str">
        <f t="shared" si="1258"/>
        <v>Y</v>
      </c>
      <c r="BU1725" s="109">
        <f t="shared" si="1259"/>
        <v>1.5228426395939087E-2</v>
      </c>
      <c r="BV1725" s="109">
        <f t="shared" si="1260"/>
        <v>1.5228426395939087E-2</v>
      </c>
      <c r="BW1725" s="109">
        <f t="shared" si="1247"/>
        <v>0</v>
      </c>
      <c r="BX1725" s="111">
        <f t="shared" si="1261"/>
        <v>0</v>
      </c>
      <c r="BY1725" s="129">
        <f t="shared" si="1262"/>
        <v>-3</v>
      </c>
      <c r="BZ1725" s="111">
        <f t="shared" si="1263"/>
        <v>0</v>
      </c>
      <c r="CA1725" s="138">
        <f t="shared" si="1264"/>
        <v>3</v>
      </c>
      <c r="CB1725" s="111" t="e">
        <f t="shared" si="1292"/>
        <v>#VALUE!</v>
      </c>
      <c r="CC1725" s="129">
        <f>M1725-I1725+1</f>
        <v>3</v>
      </c>
      <c r="CD1725" s="111">
        <f>CC1725-BF1725</f>
        <v>0</v>
      </c>
      <c r="CG1725" s="129" t="str">
        <f t="shared" si="1265"/>
        <v>Y</v>
      </c>
      <c r="CI1725" s="129" t="str">
        <f t="shared" si="1269"/>
        <v>0-10 DAYS</v>
      </c>
      <c r="CJ1725" s="137">
        <f t="shared" si="1270"/>
        <v>1</v>
      </c>
      <c r="CK1725" s="129" t="str">
        <f t="shared" si="1271"/>
        <v>Booked</v>
      </c>
    </row>
    <row r="1726" spans="1:89" ht="15.75" customHeight="1" x14ac:dyDescent="0.25">
      <c r="A1726" s="111">
        <v>1658</v>
      </c>
      <c r="B1726" s="128" t="str">
        <f t="shared" si="1252"/>
        <v>N</v>
      </c>
      <c r="C1726" s="128" t="str">
        <f t="shared" si="1253"/>
        <v>Y</v>
      </c>
      <c r="D1726" s="117">
        <v>2240684</v>
      </c>
      <c r="E1726" s="135">
        <f t="shared" si="1254"/>
        <v>6</v>
      </c>
      <c r="F1726" s="124">
        <v>40970</v>
      </c>
      <c r="G1726" s="125">
        <v>41059</v>
      </c>
      <c r="H1726" s="117">
        <v>2240684</v>
      </c>
      <c r="I1726" s="124">
        <v>40970</v>
      </c>
      <c r="J1726" s="124">
        <v>40972</v>
      </c>
      <c r="K1726" s="126">
        <v>5000</v>
      </c>
      <c r="L1726" s="127" t="s">
        <v>569</v>
      </c>
      <c r="M1726" s="125">
        <v>40972</v>
      </c>
      <c r="N1726" s="129" t="str">
        <f t="shared" si="1290"/>
        <v>Y</v>
      </c>
      <c r="O1726" s="128" t="s">
        <v>76</v>
      </c>
      <c r="P1726" s="129" t="s">
        <v>39</v>
      </c>
      <c r="Q1726" s="111">
        <v>10</v>
      </c>
      <c r="R1726" s="111">
        <f t="shared" si="1273"/>
        <v>90</v>
      </c>
      <c r="S1726" s="129">
        <v>2</v>
      </c>
      <c r="T1726" s="129">
        <v>8</v>
      </c>
      <c r="U1726" s="129">
        <v>1</v>
      </c>
      <c r="W1726" s="111"/>
      <c r="AC1726" s="130"/>
      <c r="AD1726" s="130">
        <v>32230</v>
      </c>
      <c r="AE1726" s="128" t="s">
        <v>32</v>
      </c>
      <c r="AF1726" s="128" t="s">
        <v>40</v>
      </c>
      <c r="AG1726" s="128" t="s">
        <v>41</v>
      </c>
      <c r="AH1726" s="108" t="s">
        <v>41</v>
      </c>
      <c r="AI1726" s="128" t="s">
        <v>87</v>
      </c>
      <c r="AJ1726" s="129" t="s">
        <v>89</v>
      </c>
      <c r="AK1726" s="129">
        <v>3</v>
      </c>
      <c r="AL1726" s="3" t="s">
        <v>362</v>
      </c>
      <c r="AM1726" s="117">
        <v>2</v>
      </c>
      <c r="AP1726" s="129" t="s">
        <v>101</v>
      </c>
      <c r="AR1726" s="128" t="s">
        <v>67</v>
      </c>
      <c r="AS1726" s="129" t="s">
        <v>64</v>
      </c>
      <c r="AT1726" s="129" t="s">
        <v>1417</v>
      </c>
      <c r="AU1726" s="3" t="s">
        <v>836</v>
      </c>
      <c r="AV1726" s="3" t="s">
        <v>88</v>
      </c>
      <c r="AW1726" s="125" t="s">
        <v>732</v>
      </c>
      <c r="AX1726" s="32" t="s">
        <v>88</v>
      </c>
      <c r="BA1726" s="125">
        <v>41117</v>
      </c>
      <c r="BB1726" s="129">
        <v>235</v>
      </c>
      <c r="BC1726" s="129" t="s">
        <v>38</v>
      </c>
      <c r="BF1726" s="111">
        <v>10</v>
      </c>
      <c r="BG1726" s="111">
        <f t="shared" si="1288"/>
        <v>90</v>
      </c>
      <c r="BH1726" s="111">
        <f t="shared" si="1249"/>
        <v>90</v>
      </c>
      <c r="BI1726" s="111">
        <f t="shared" si="1250"/>
        <v>23.879781420765028</v>
      </c>
      <c r="BJ1726" s="129">
        <f>(G1726-J1726)+(M1726-G1726)</f>
        <v>0</v>
      </c>
      <c r="BK1726" s="129">
        <f t="shared" si="1251"/>
        <v>-87</v>
      </c>
      <c r="BL1726" s="129" t="str">
        <f t="shared" si="1277"/>
        <v>CONVICTION</v>
      </c>
      <c r="BM1726" s="129" t="s">
        <v>76</v>
      </c>
      <c r="BN1726" s="129" t="s">
        <v>88</v>
      </c>
      <c r="BP1726" s="137" t="str">
        <f t="shared" si="1255"/>
        <v>CONVICTION</v>
      </c>
      <c r="BQ1726" s="128" t="str">
        <f t="shared" si="1256"/>
        <v>Y</v>
      </c>
      <c r="BR1726" s="129" t="s">
        <v>574</v>
      </c>
      <c r="BS1726" s="129" t="str">
        <f t="shared" si="1257"/>
        <v>DISPOSED</v>
      </c>
      <c r="BT1726" s="129" t="str">
        <f t="shared" si="1258"/>
        <v>Y</v>
      </c>
      <c r="BU1726" s="109">
        <f t="shared" si="1259"/>
        <v>0.1111111111111111</v>
      </c>
      <c r="BV1726" s="109">
        <f t="shared" si="1260"/>
        <v>3.3333333333333333E-2</v>
      </c>
      <c r="BW1726" s="109">
        <f t="shared" ref="BW1726:BW1753" si="1293">BV1726-BU1726</f>
        <v>-7.7777777777777779E-2</v>
      </c>
      <c r="BX1726" s="111">
        <f t="shared" si="1261"/>
        <v>0</v>
      </c>
      <c r="BY1726" s="129">
        <f t="shared" si="1262"/>
        <v>-3</v>
      </c>
      <c r="BZ1726" s="111">
        <f t="shared" si="1263"/>
        <v>7</v>
      </c>
      <c r="CA1726" s="138">
        <f t="shared" si="1264"/>
        <v>90</v>
      </c>
      <c r="CB1726" s="111">
        <v>10</v>
      </c>
      <c r="CC1726" s="129">
        <f>G1726-I1726+1</f>
        <v>90</v>
      </c>
      <c r="CD1726" s="129">
        <f>G1726-J1726</f>
        <v>87</v>
      </c>
      <c r="CG1726" s="129" t="str">
        <f t="shared" si="1265"/>
        <v>Y</v>
      </c>
      <c r="CI1726" s="129" t="str">
        <f t="shared" si="1269"/>
        <v>0-10 DAYS</v>
      </c>
      <c r="CJ1726" s="137">
        <f t="shared" si="1270"/>
        <v>1</v>
      </c>
      <c r="CK1726" s="129" t="str">
        <f t="shared" si="1271"/>
        <v>Booked</v>
      </c>
    </row>
    <row r="1727" spans="1:89" ht="15.75" customHeight="1" x14ac:dyDescent="0.25">
      <c r="A1727" s="111">
        <v>2444</v>
      </c>
      <c r="B1727" s="128" t="str">
        <f t="shared" si="1252"/>
        <v>N</v>
      </c>
      <c r="C1727" s="128" t="str">
        <f t="shared" si="1253"/>
        <v>N</v>
      </c>
      <c r="D1727" s="117">
        <v>2241956</v>
      </c>
      <c r="E1727" s="135">
        <f t="shared" si="1254"/>
        <v>2</v>
      </c>
      <c r="F1727" s="124">
        <v>41001</v>
      </c>
      <c r="G1727" s="125">
        <v>41067</v>
      </c>
      <c r="H1727" s="117">
        <v>2241956</v>
      </c>
      <c r="I1727" s="124">
        <v>41001</v>
      </c>
      <c r="J1727" s="124">
        <v>41003</v>
      </c>
      <c r="K1727" s="126">
        <v>2000</v>
      </c>
      <c r="L1727" s="127" t="s">
        <v>568</v>
      </c>
      <c r="M1727" s="125">
        <v>41003</v>
      </c>
      <c r="N1727" s="129" t="str">
        <f t="shared" si="1290"/>
        <v>Y</v>
      </c>
      <c r="O1727" s="128" t="s">
        <v>76</v>
      </c>
      <c r="P1727" s="129" t="s">
        <v>589</v>
      </c>
      <c r="Q1727" s="111">
        <f t="shared" ref="Q1727:Q1740" si="1294">BF1727</f>
        <v>3</v>
      </c>
      <c r="R1727" s="111">
        <f t="shared" si="1273"/>
        <v>67</v>
      </c>
      <c r="S1727" s="129">
        <v>0</v>
      </c>
      <c r="T1727" s="129">
        <v>0</v>
      </c>
      <c r="W1727" s="111"/>
      <c r="AC1727" s="130"/>
      <c r="AD1727" s="130">
        <v>28634</v>
      </c>
      <c r="AE1727" s="128" t="s">
        <v>46</v>
      </c>
      <c r="AF1727" s="128" t="s">
        <v>33</v>
      </c>
      <c r="AG1727" s="128" t="s">
        <v>872</v>
      </c>
      <c r="AH1727" s="108" t="s">
        <v>31</v>
      </c>
      <c r="AI1727" s="128" t="s">
        <v>62</v>
      </c>
      <c r="AJ1727" s="129" t="s">
        <v>48</v>
      </c>
      <c r="AK1727" s="129">
        <v>4</v>
      </c>
      <c r="AL1727" s="3" t="s">
        <v>48</v>
      </c>
      <c r="AP1727" s="129" t="s">
        <v>108</v>
      </c>
      <c r="AR1727" s="128" t="s">
        <v>44</v>
      </c>
      <c r="AS1727" s="129" t="s">
        <v>61</v>
      </c>
      <c r="BC1727" s="129" t="s">
        <v>52</v>
      </c>
      <c r="BF1727" s="111">
        <f t="shared" si="1291"/>
        <v>3</v>
      </c>
      <c r="BG1727" s="111">
        <f t="shared" si="1288"/>
        <v>67</v>
      </c>
      <c r="BH1727" s="111">
        <f t="shared" si="1249"/>
        <v>67</v>
      </c>
      <c r="BI1727" s="111">
        <f t="shared" si="1250"/>
        <v>33.789617486338798</v>
      </c>
      <c r="BJ1727" s="129">
        <f>(G1727-J1727)+(M1727-G1727)</f>
        <v>0</v>
      </c>
      <c r="BK1727" s="129">
        <f t="shared" si="1251"/>
        <v>-64</v>
      </c>
      <c r="BL1727" s="129" t="str">
        <f t="shared" si="1277"/>
        <v>DEFERRED</v>
      </c>
      <c r="BM1727" s="129" t="s">
        <v>76</v>
      </c>
      <c r="BN1727" s="129" t="s">
        <v>88</v>
      </c>
      <c r="BP1727" s="137" t="str">
        <f t="shared" si="1255"/>
        <v>DEFERRED</v>
      </c>
      <c r="BQ1727" s="128" t="str">
        <f t="shared" si="1256"/>
        <v>Y</v>
      </c>
      <c r="BR1727" s="129" t="str">
        <f t="shared" si="1268"/>
        <v>ON BOND</v>
      </c>
      <c r="BS1727" s="129" t="str">
        <f t="shared" si="1257"/>
        <v>DISPOSED</v>
      </c>
      <c r="BT1727" s="129" t="str">
        <f t="shared" si="1258"/>
        <v>N</v>
      </c>
      <c r="BU1727" s="109">
        <f t="shared" si="1259"/>
        <v>4.4776119402985072E-2</v>
      </c>
      <c r="BV1727" s="109">
        <f t="shared" si="1260"/>
        <v>4.4776119402985072E-2</v>
      </c>
      <c r="BW1727" s="109">
        <f t="shared" si="1293"/>
        <v>0</v>
      </c>
      <c r="BX1727" s="111">
        <f t="shared" si="1261"/>
        <v>0</v>
      </c>
      <c r="BY1727" s="129">
        <f t="shared" si="1262"/>
        <v>-3</v>
      </c>
      <c r="BZ1727" s="111">
        <f t="shared" si="1263"/>
        <v>0</v>
      </c>
      <c r="CA1727" s="138">
        <f t="shared" si="1264"/>
        <v>3</v>
      </c>
      <c r="CB1727" s="111" t="e">
        <f t="shared" si="1292"/>
        <v>#VALUE!</v>
      </c>
      <c r="CC1727" s="129">
        <f>M1727-I1727+1</f>
        <v>3</v>
      </c>
      <c r="CD1727" s="111">
        <f>CC1727-BF1727</f>
        <v>0</v>
      </c>
      <c r="CG1727" s="129" t="str">
        <f t="shared" si="1265"/>
        <v>N</v>
      </c>
      <c r="CI1727" s="129" t="str">
        <f t="shared" si="1269"/>
        <v>0-10 DAYS</v>
      </c>
      <c r="CJ1727" s="137">
        <f t="shared" si="1270"/>
        <v>1</v>
      </c>
      <c r="CK1727" s="129" t="str">
        <f t="shared" si="1271"/>
        <v>Booked</v>
      </c>
    </row>
    <row r="1728" spans="1:89" ht="15.75" customHeight="1" x14ac:dyDescent="0.25">
      <c r="A1728" s="111">
        <v>126</v>
      </c>
      <c r="B1728" s="128" t="str">
        <f t="shared" si="1252"/>
        <v>N</v>
      </c>
      <c r="C1728" s="128" t="str">
        <f t="shared" si="1253"/>
        <v>N</v>
      </c>
      <c r="D1728" s="117">
        <v>2242305</v>
      </c>
      <c r="E1728" s="135">
        <f t="shared" si="1254"/>
        <v>1</v>
      </c>
      <c r="F1728" s="124">
        <v>40914</v>
      </c>
      <c r="G1728" s="125">
        <v>40932</v>
      </c>
      <c r="H1728" s="117">
        <v>2242305</v>
      </c>
      <c r="I1728" s="124" t="s">
        <v>562</v>
      </c>
      <c r="J1728" s="124" t="s">
        <v>562</v>
      </c>
      <c r="K1728" s="126">
        <v>15000</v>
      </c>
      <c r="L1728" s="127" t="s">
        <v>571</v>
      </c>
      <c r="M1728" s="125">
        <v>40919</v>
      </c>
      <c r="N1728" s="129" t="str">
        <f>IF(M1728&gt;1/1/1,"Y",IF(Q1728="0","","N"))</f>
        <v>Y</v>
      </c>
      <c r="O1728" s="128" t="s">
        <v>76</v>
      </c>
      <c r="P1728" s="129" t="s">
        <v>123</v>
      </c>
      <c r="Q1728" s="111">
        <f t="shared" si="1294"/>
        <v>0</v>
      </c>
      <c r="R1728" s="111">
        <f t="shared" si="1273"/>
        <v>19</v>
      </c>
      <c r="S1728" s="129">
        <v>4</v>
      </c>
      <c r="T1728" s="129">
        <v>3</v>
      </c>
      <c r="U1728" s="129">
        <v>1</v>
      </c>
      <c r="W1728" s="111"/>
      <c r="AC1728" s="130"/>
      <c r="AD1728" s="130">
        <v>31780</v>
      </c>
      <c r="AE1728" s="128" t="s">
        <v>46</v>
      </c>
      <c r="AF1728" s="128" t="s">
        <v>69</v>
      </c>
      <c r="AG1728" s="128" t="s">
        <v>874</v>
      </c>
      <c r="AH1728" s="108" t="s">
        <v>58</v>
      </c>
      <c r="AI1728" s="128" t="s">
        <v>113</v>
      </c>
      <c r="AJ1728" s="129" t="s">
        <v>123</v>
      </c>
      <c r="AK1728" s="129">
        <v>3</v>
      </c>
      <c r="AL1728" s="3" t="s">
        <v>123</v>
      </c>
      <c r="AP1728" s="129" t="s">
        <v>151</v>
      </c>
      <c r="AR1728" s="128" t="s">
        <v>67</v>
      </c>
      <c r="AS1728" s="129" t="s">
        <v>64</v>
      </c>
      <c r="BC1728" s="129" t="s">
        <v>79</v>
      </c>
      <c r="BF1728" s="111">
        <v>0</v>
      </c>
      <c r="BG1728" s="111">
        <v>0</v>
      </c>
      <c r="BH1728" s="111">
        <f t="shared" si="1249"/>
        <v>19</v>
      </c>
      <c r="BI1728" s="111">
        <f t="shared" si="1250"/>
        <v>24.956284153005466</v>
      </c>
      <c r="BJ1728" s="129" t="e">
        <f>(G1728-J1728)+(M1728-G1728)</f>
        <v>#VALUE!</v>
      </c>
      <c r="BK1728" s="129" t="e">
        <f t="shared" si="1251"/>
        <v>#VALUE!</v>
      </c>
      <c r="BL1728" s="129" t="str">
        <f t="shared" si="1277"/>
        <v>NO CONVICTION</v>
      </c>
      <c r="BM1728" s="129" t="s">
        <v>76</v>
      </c>
      <c r="BN1728" s="129" t="s">
        <v>88</v>
      </c>
      <c r="BP1728" s="137" t="str">
        <f t="shared" si="1255"/>
        <v>NO CONVICTION</v>
      </c>
      <c r="BQ1728" s="128">
        <f t="shared" si="1256"/>
        <v>0</v>
      </c>
      <c r="BR1728" s="129" t="s">
        <v>575</v>
      </c>
      <c r="BS1728" s="129" t="str">
        <f t="shared" si="1257"/>
        <v>DISPOSED</v>
      </c>
      <c r="BT1728" s="129" t="str">
        <f t="shared" si="1258"/>
        <v>Y</v>
      </c>
      <c r="BU1728" s="109">
        <f>IFERROR(Q1728/R1728,BR1728)</f>
        <v>0</v>
      </c>
      <c r="BV1728" s="109">
        <v>0</v>
      </c>
      <c r="BW1728" s="109">
        <f t="shared" si="1293"/>
        <v>0</v>
      </c>
      <c r="BX1728" s="111">
        <f t="shared" si="1261"/>
        <v>0</v>
      </c>
      <c r="BY1728" s="129" t="e">
        <f t="shared" si="1262"/>
        <v>#VALUE!</v>
      </c>
      <c r="BZ1728" s="111" t="e">
        <f t="shared" si="1263"/>
        <v>#VALUE!</v>
      </c>
      <c r="CA1728" s="138" t="e">
        <f t="shared" si="1264"/>
        <v>#VALUE!</v>
      </c>
      <c r="CB1728" s="111">
        <v>0</v>
      </c>
      <c r="CC1728" s="129">
        <v>0</v>
      </c>
      <c r="CD1728" s="111">
        <f>CC1728-BF1728</f>
        <v>0</v>
      </c>
      <c r="CG1728" s="129" t="str">
        <f t="shared" si="1265"/>
        <v>Y</v>
      </c>
      <c r="CI1728" s="129" t="str">
        <f t="shared" si="1269"/>
        <v>0-10 DAYS</v>
      </c>
      <c r="CJ1728" s="137">
        <f t="shared" si="1270"/>
        <v>1</v>
      </c>
      <c r="CK1728" s="129" t="str">
        <f t="shared" si="1271"/>
        <v>Not Booked</v>
      </c>
    </row>
    <row r="1729" spans="1:89" ht="15.75" customHeight="1" x14ac:dyDescent="0.25">
      <c r="A1729" s="111">
        <v>40</v>
      </c>
      <c r="B1729" s="128" t="str">
        <f t="shared" si="1252"/>
        <v>N</v>
      </c>
      <c r="C1729" s="128" t="str">
        <f t="shared" si="1253"/>
        <v>N</v>
      </c>
      <c r="D1729" s="117">
        <v>2244072</v>
      </c>
      <c r="E1729" s="135">
        <f t="shared" si="1254"/>
        <v>5</v>
      </c>
      <c r="F1729" s="124">
        <v>40911</v>
      </c>
      <c r="G1729" s="125">
        <v>40921</v>
      </c>
      <c r="H1729" s="117">
        <v>2244072</v>
      </c>
      <c r="I1729" s="124">
        <v>40911</v>
      </c>
      <c r="J1729" s="124">
        <v>40921</v>
      </c>
      <c r="K1729" s="126">
        <v>2000</v>
      </c>
      <c r="L1729" s="127" t="s">
        <v>568</v>
      </c>
      <c r="N1729" s="129" t="str">
        <f>IF(M1729&gt;1/1/1,"Y","N")</f>
        <v>N</v>
      </c>
      <c r="O1729" s="128" t="s">
        <v>917</v>
      </c>
      <c r="P1729" s="129" t="s">
        <v>39</v>
      </c>
      <c r="Q1729" s="111">
        <f t="shared" si="1294"/>
        <v>11</v>
      </c>
      <c r="R1729" s="111">
        <f t="shared" si="1273"/>
        <v>11</v>
      </c>
      <c r="S1729" s="129">
        <v>0</v>
      </c>
      <c r="T1729" s="129">
        <v>2</v>
      </c>
      <c r="W1729" s="111"/>
      <c r="AC1729" s="130"/>
      <c r="AD1729" s="130">
        <v>24666</v>
      </c>
      <c r="AE1729" s="128" t="s">
        <v>46</v>
      </c>
      <c r="AF1729" s="128" t="s">
        <v>69</v>
      </c>
      <c r="AG1729" s="128" t="s">
        <v>874</v>
      </c>
      <c r="AH1729" s="108" t="s">
        <v>31</v>
      </c>
      <c r="AI1729" s="128" t="s">
        <v>65</v>
      </c>
      <c r="AJ1729" s="129" t="s">
        <v>89</v>
      </c>
      <c r="AK1729" s="129">
        <v>2</v>
      </c>
      <c r="AL1729" s="3" t="s">
        <v>992</v>
      </c>
      <c r="AN1729" s="117">
        <v>6</v>
      </c>
      <c r="AP1729" s="129" t="s">
        <v>107</v>
      </c>
      <c r="AR1729" s="128" t="s">
        <v>44</v>
      </c>
      <c r="AS1729" s="129" t="s">
        <v>57</v>
      </c>
      <c r="BC1729" s="129" t="s">
        <v>38</v>
      </c>
      <c r="BF1729" s="111">
        <f t="shared" ref="BF1729:BF1739" si="1295">IF(J1729&gt;1/1/1900,((J1729+1)-I1729),"STILL OPEN")</f>
        <v>11</v>
      </c>
      <c r="BG1729" s="111">
        <f t="shared" ref="BG1729:BG1739" si="1296">IF(G1729&gt;1/1/1900,((G1729+1)-I1729),"STILL OPEN")</f>
        <v>11</v>
      </c>
      <c r="BH1729" s="111">
        <f t="shared" ref="BH1729:BH1792" si="1297">IF(G1729&gt;1/1/1900,((G1729+1)-F1729),"STILL OPEN")</f>
        <v>11</v>
      </c>
      <c r="BI1729" s="111">
        <f t="shared" ref="BI1729:BI1792" si="1298">(F1729-AD1729)/366</f>
        <v>44.385245901639344</v>
      </c>
      <c r="BJ1729" s="129">
        <f t="shared" si="1266"/>
        <v>0</v>
      </c>
      <c r="BK1729" s="129">
        <f t="shared" ref="BK1729:BK1792" si="1299">J1729-G1729</f>
        <v>0</v>
      </c>
      <c r="BL1729" s="129" t="str">
        <f t="shared" si="1277"/>
        <v>CONVICTION</v>
      </c>
      <c r="BM1729" s="129" t="str">
        <f t="shared" si="1267"/>
        <v>NONE</v>
      </c>
      <c r="BN1729" s="129" t="s">
        <v>566</v>
      </c>
      <c r="BP1729" s="137" t="str">
        <f t="shared" si="1255"/>
        <v>CONVICTION</v>
      </c>
      <c r="BQ1729" s="128" t="str">
        <f t="shared" si="1256"/>
        <v>Y</v>
      </c>
      <c r="BR1729" s="129" t="str">
        <f t="shared" si="1268"/>
        <v>DETAINED</v>
      </c>
      <c r="BS1729" s="129" t="str">
        <f t="shared" si="1257"/>
        <v>DISPOSED</v>
      </c>
      <c r="BT1729" s="129" t="str">
        <f t="shared" si="1258"/>
        <v>N</v>
      </c>
      <c r="BU1729" s="109">
        <f t="shared" si="1259"/>
        <v>1</v>
      </c>
      <c r="BV1729" s="109">
        <f t="shared" si="1260"/>
        <v>1</v>
      </c>
      <c r="BW1729" s="109">
        <f t="shared" si="1293"/>
        <v>0</v>
      </c>
      <c r="BX1729" s="111">
        <f t="shared" si="1261"/>
        <v>0</v>
      </c>
      <c r="BY1729" s="129">
        <f t="shared" si="1262"/>
        <v>-11</v>
      </c>
      <c r="BZ1729" s="111">
        <f t="shared" si="1263"/>
        <v>0</v>
      </c>
      <c r="CA1729" s="138">
        <f t="shared" si="1264"/>
        <v>11</v>
      </c>
      <c r="CB1729" s="111" t="e">
        <f t="shared" ref="CB1729:CB1739" si="1300">IF(AF1729&gt;1/1/1900,((AF1729+1)-AE1729),"STILL OPEN")</f>
        <v>#VALUE!</v>
      </c>
      <c r="CC1729" s="129">
        <f>G1729-I1729+1</f>
        <v>11</v>
      </c>
      <c r="CD1729" s="129">
        <f>G1729-J1729</f>
        <v>0</v>
      </c>
      <c r="CG1729" s="129" t="str">
        <f t="shared" si="1265"/>
        <v>Y</v>
      </c>
      <c r="CI1729" s="129" t="str">
        <f t="shared" si="1269"/>
        <v>11-30 DAYS</v>
      </c>
      <c r="CJ1729" s="137">
        <f t="shared" si="1270"/>
        <v>2</v>
      </c>
      <c r="CK1729" s="129" t="str">
        <f t="shared" si="1271"/>
        <v>Booked</v>
      </c>
    </row>
    <row r="1730" spans="1:89" ht="15" customHeight="1" x14ac:dyDescent="0.25">
      <c r="A1730" s="111">
        <v>3090</v>
      </c>
      <c r="B1730" s="128" t="str">
        <f t="shared" ref="B1730:B1793" si="1301">IF(BD1730&lt;&gt;"","Y","N")</f>
        <v>N</v>
      </c>
      <c r="C1730" s="128" t="str">
        <f t="shared" ref="C1730:C1793" si="1302">IF((AND(AV1730="",AX1730="",AY1730="")),"N","Y")</f>
        <v>N</v>
      </c>
      <c r="D1730" s="117">
        <v>2244134</v>
      </c>
      <c r="E1730" s="135">
        <f t="shared" ref="E1730:E1793" si="1303">IF(OR(AL1730="ACQUITTAL",AL1730="ACQUIT",AL1730="acq insane",AL1730="DISMISSED",AL1730="NO BILL"),1,IF(AL1730="DEFERRED",2,IF(AL1730="PROBATION",3,IF(OR(AL1730="HCJ",AL1730="fine"),4,IF(AL1730="STJ",5,IF(AL1730="TDC",6,""))))))</f>
        <v>2</v>
      </c>
      <c r="F1730" s="124">
        <v>41023</v>
      </c>
      <c r="G1730" s="125">
        <v>41127</v>
      </c>
      <c r="H1730" s="117">
        <v>2244134</v>
      </c>
      <c r="I1730" s="124">
        <v>41027</v>
      </c>
      <c r="J1730" s="124">
        <v>41127</v>
      </c>
      <c r="K1730" s="126">
        <v>10000</v>
      </c>
      <c r="L1730" s="127" t="s">
        <v>570</v>
      </c>
      <c r="N1730" s="129" t="str">
        <f>IF(M1730&gt;1/1/1,"Y","N")</f>
        <v>N</v>
      </c>
      <c r="O1730" s="128" t="s">
        <v>917</v>
      </c>
      <c r="P1730" s="129" t="s">
        <v>589</v>
      </c>
      <c r="Q1730" s="111">
        <f t="shared" si="1294"/>
        <v>101</v>
      </c>
      <c r="R1730" s="111">
        <f t="shared" si="1273"/>
        <v>105</v>
      </c>
      <c r="S1730" s="129">
        <v>0</v>
      </c>
      <c r="T1730" s="129">
        <v>1</v>
      </c>
      <c r="W1730" s="111"/>
      <c r="AC1730" s="130"/>
      <c r="AD1730" s="130">
        <v>30639</v>
      </c>
      <c r="AE1730" s="128" t="s">
        <v>32</v>
      </c>
      <c r="AF1730" s="128" t="s">
        <v>69</v>
      </c>
      <c r="AG1730" s="128" t="s">
        <v>874</v>
      </c>
      <c r="AH1730" s="108" t="s">
        <v>31</v>
      </c>
      <c r="AI1730" s="128" t="s">
        <v>65</v>
      </c>
      <c r="AJ1730" s="129" t="s">
        <v>48</v>
      </c>
      <c r="AK1730" s="129">
        <v>11</v>
      </c>
      <c r="AL1730" s="3" t="s">
        <v>48</v>
      </c>
      <c r="AP1730" s="129" t="s">
        <v>56</v>
      </c>
      <c r="AR1730" s="128" t="s">
        <v>50</v>
      </c>
      <c r="AS1730" s="129" t="s">
        <v>57</v>
      </c>
      <c r="BC1730" s="129" t="s">
        <v>38</v>
      </c>
      <c r="BF1730" s="111">
        <f t="shared" si="1295"/>
        <v>101</v>
      </c>
      <c r="BG1730" s="111">
        <f t="shared" si="1296"/>
        <v>101</v>
      </c>
      <c r="BH1730" s="111">
        <f t="shared" si="1297"/>
        <v>105</v>
      </c>
      <c r="BI1730" s="111">
        <f t="shared" si="1298"/>
        <v>28.371584699453553</v>
      </c>
      <c r="BJ1730" s="129">
        <f t="shared" ref="BJ1730:BJ1792" si="1304">G1730-J1730-M1730</f>
        <v>0</v>
      </c>
      <c r="BK1730" s="129">
        <f t="shared" si="1299"/>
        <v>0</v>
      </c>
      <c r="BL1730" s="129" t="str">
        <f t="shared" si="1277"/>
        <v>DEFERRED</v>
      </c>
      <c r="BM1730" s="129" t="str">
        <f t="shared" ref="BM1730:BM1792" si="1305">O1730</f>
        <v>NONE</v>
      </c>
      <c r="BN1730" s="129" t="s">
        <v>566</v>
      </c>
      <c r="BP1730" s="137" t="str">
        <f t="shared" ref="BP1730:BP1793" si="1306">IF(OR(AJ1730="AQUITTAL",AJ1730="DISMISSED",AJ1730="FINE",AJ1730="NO BILL"),"NO CONVICTION",IF(OR(AJ1730="HCJ",AJ1730="MHH",AJ1730="PROBATION",AJ1730="STJ",AJ1730="TDC",AJ1730="CONVICTED"),"CONVICTION",IF(AJ1730="DEFERRED","DEFERRED","")))</f>
        <v>DEFERRED</v>
      </c>
      <c r="BQ1730" s="128" t="str">
        <f t="shared" ref="BQ1730:BQ1793" si="1307">IF(BF1730&gt;0,"Y",BF1730)</f>
        <v>Y</v>
      </c>
      <c r="BR1730" s="129" t="str">
        <f t="shared" ref="BR1730:BR1792" si="1308">IF(AND(J1730="NOT BOOKED",M1730&gt;1/1/1),"BONDED - BEFORE BOOKED",IF(BG1730="STILL OPEN","STILL OPEN",IF(N1730="Y","ON BOND",IF(J1730&gt;=G1730,"DETAINED","RELEASED"))))</f>
        <v>DETAINED</v>
      </c>
      <c r="BS1730" s="129" t="str">
        <f t="shared" ref="BS1730:BS1793" si="1309">IF(G1730&lt;&gt;"","DISPOSED","")</f>
        <v>DISPOSED</v>
      </c>
      <c r="BT1730" s="129" t="str">
        <f t="shared" ref="BT1730:BT1793" si="1310">IF(S1730&gt;0,"Y","N")</f>
        <v>N</v>
      </c>
      <c r="BU1730" s="109">
        <f t="shared" ref="BU1730:BU1793" si="1311">Q1730/R1730</f>
        <v>0.96190476190476193</v>
      </c>
      <c r="BV1730" s="109">
        <f t="shared" ref="BV1730:BV1792" si="1312">IF(I1730&gt;F1730,((J1730-I1730+1)/(G1730-I1730+1)),(J1730-I1730+1)/(G1730-F1730+1))</f>
        <v>1</v>
      </c>
      <c r="BW1730" s="109">
        <f t="shared" si="1293"/>
        <v>3.8095238095238071E-2</v>
      </c>
      <c r="BX1730" s="111">
        <f t="shared" ref="BX1730:BX1793" si="1313">+Q1730-BF1730</f>
        <v>0</v>
      </c>
      <c r="BY1730" s="129">
        <f t="shared" ref="BY1730:BY1793" si="1314">I1730-J1730-1</f>
        <v>-101</v>
      </c>
      <c r="BZ1730" s="111">
        <f t="shared" ref="BZ1730:BZ1793" si="1315">BY1730+BF1730</f>
        <v>0</v>
      </c>
      <c r="CA1730" s="138">
        <f t="shared" ref="CA1730:CA1793" si="1316">IF(AND(BS1730="DISPOSED",BR1730="DETAINED"),G1730-I1730+1,IF(AND(BS1730="DISPOSED",BR1730="ON BOND"),M1730-I1730+1,IF(AND(BS1730="STILL OPEN","STILL OPEN"),"NOT BOOKED")))</f>
        <v>101</v>
      </c>
      <c r="CB1730" s="111" t="e">
        <f t="shared" si="1300"/>
        <v>#VALUE!</v>
      </c>
      <c r="CC1730" s="129">
        <f>G1730-I1730+1</f>
        <v>101</v>
      </c>
      <c r="CD1730" s="129">
        <f>G1730-J1730</f>
        <v>0</v>
      </c>
      <c r="CG1730" s="129" t="str">
        <f t="shared" ref="CG1730:CG1793" si="1317">IF((S1730+T1730+U1730)&gt;0,"Y","N")</f>
        <v>Y</v>
      </c>
      <c r="CI1730" s="129" t="str">
        <f t="shared" si="1269"/>
        <v>91-120 DAYS</v>
      </c>
      <c r="CJ1730" s="137">
        <f t="shared" si="1270"/>
        <v>0</v>
      </c>
      <c r="CK1730" s="129" t="str">
        <f t="shared" si="1271"/>
        <v>Booked</v>
      </c>
    </row>
    <row r="1731" spans="1:89" ht="15.75" customHeight="1" x14ac:dyDescent="0.25">
      <c r="A1731" s="111">
        <v>1288</v>
      </c>
      <c r="B1731" s="128" t="str">
        <f t="shared" si="1301"/>
        <v>N</v>
      </c>
      <c r="C1731" s="128" t="str">
        <f t="shared" si="1302"/>
        <v>Y</v>
      </c>
      <c r="D1731" s="117">
        <v>2244663</v>
      </c>
      <c r="E1731" s="135">
        <f t="shared" si="1303"/>
        <v>4</v>
      </c>
      <c r="F1731" s="124">
        <v>40956</v>
      </c>
      <c r="G1731" s="125">
        <v>41176</v>
      </c>
      <c r="H1731" s="117">
        <v>2244663</v>
      </c>
      <c r="I1731" s="124">
        <v>40956</v>
      </c>
      <c r="J1731" s="124">
        <v>40957</v>
      </c>
      <c r="K1731" s="126">
        <v>2000</v>
      </c>
      <c r="L1731" s="127" t="s">
        <v>568</v>
      </c>
      <c r="M1731" s="125">
        <v>40957</v>
      </c>
      <c r="N1731" s="129" t="str">
        <f>IF(M1731&gt;1/1/1,"Y","N")</f>
        <v>Y</v>
      </c>
      <c r="O1731" s="128" t="s">
        <v>585</v>
      </c>
      <c r="P1731" s="129" t="s">
        <v>39</v>
      </c>
      <c r="Q1731" s="111">
        <v>34</v>
      </c>
      <c r="R1731" s="111">
        <f t="shared" si="1273"/>
        <v>221</v>
      </c>
      <c r="S1731" s="129">
        <v>2</v>
      </c>
      <c r="T1731" s="129">
        <v>0</v>
      </c>
      <c r="U1731" s="129">
        <v>1</v>
      </c>
      <c r="W1731" s="111"/>
      <c r="AC1731" s="130"/>
      <c r="AD1731" s="130">
        <v>28959</v>
      </c>
      <c r="AE1731" s="128" t="s">
        <v>32</v>
      </c>
      <c r="AF1731" s="128" t="s">
        <v>33</v>
      </c>
      <c r="AG1731" s="128" t="s">
        <v>872</v>
      </c>
      <c r="AH1731" s="108" t="s">
        <v>31</v>
      </c>
      <c r="AI1731" s="128" t="s">
        <v>70</v>
      </c>
      <c r="AJ1731" s="129" t="s">
        <v>89</v>
      </c>
      <c r="AK1731" s="129">
        <v>9</v>
      </c>
      <c r="AL1731" s="3" t="s">
        <v>991</v>
      </c>
      <c r="AO1731" s="128">
        <v>115</v>
      </c>
      <c r="AP1731" s="129" t="s">
        <v>313</v>
      </c>
      <c r="AR1731" s="128" t="s">
        <v>46</v>
      </c>
      <c r="AS1731" s="129" t="s">
        <v>45</v>
      </c>
      <c r="AU1731" s="3" t="s">
        <v>720</v>
      </c>
      <c r="AX1731" s="32" t="s">
        <v>88</v>
      </c>
      <c r="BC1731" s="129" t="s">
        <v>38</v>
      </c>
      <c r="BF1731" s="111">
        <v>34</v>
      </c>
      <c r="BG1731" s="111">
        <f t="shared" si="1296"/>
        <v>221</v>
      </c>
      <c r="BH1731" s="111">
        <f t="shared" si="1297"/>
        <v>221</v>
      </c>
      <c r="BI1731" s="111">
        <f t="shared" si="1298"/>
        <v>32.778688524590166</v>
      </c>
      <c r="BJ1731" s="129">
        <f>(G1731-J1731)+(M1731-G1731)</f>
        <v>0</v>
      </c>
      <c r="BK1731" s="129">
        <f t="shared" si="1299"/>
        <v>-219</v>
      </c>
      <c r="BL1731" s="129" t="str">
        <f t="shared" si="1277"/>
        <v>CONVICTION</v>
      </c>
      <c r="BM1731" s="129" t="s">
        <v>76</v>
      </c>
      <c r="BN1731" s="129" t="s">
        <v>88</v>
      </c>
      <c r="BP1731" s="137" t="str">
        <f t="shared" si="1306"/>
        <v>CONVICTION</v>
      </c>
      <c r="BQ1731" s="128" t="str">
        <f t="shared" si="1307"/>
        <v>Y</v>
      </c>
      <c r="BR1731" s="129" t="s">
        <v>574</v>
      </c>
      <c r="BS1731" s="129" t="str">
        <f t="shared" si="1309"/>
        <v>DISPOSED</v>
      </c>
      <c r="BT1731" s="129" t="str">
        <f t="shared" si="1310"/>
        <v>Y</v>
      </c>
      <c r="BU1731" s="109">
        <f t="shared" si="1311"/>
        <v>0.15384615384615385</v>
      </c>
      <c r="BV1731" s="109">
        <f t="shared" si="1312"/>
        <v>9.0497737556561094E-3</v>
      </c>
      <c r="BW1731" s="109">
        <f t="shared" si="1293"/>
        <v>-0.14479638009049775</v>
      </c>
      <c r="BX1731" s="111">
        <f t="shared" si="1313"/>
        <v>0</v>
      </c>
      <c r="BY1731" s="129">
        <f t="shared" si="1314"/>
        <v>-2</v>
      </c>
      <c r="BZ1731" s="111">
        <f t="shared" si="1315"/>
        <v>32</v>
      </c>
      <c r="CA1731" s="138">
        <f t="shared" si="1316"/>
        <v>221</v>
      </c>
      <c r="CB1731" s="111">
        <v>34</v>
      </c>
      <c r="CC1731" s="129">
        <f>G1731-I1731+1</f>
        <v>221</v>
      </c>
      <c r="CD1731" s="129">
        <f>G1731-J1731</f>
        <v>219</v>
      </c>
      <c r="CG1731" s="129" t="str">
        <f t="shared" si="1317"/>
        <v>Y</v>
      </c>
      <c r="CI1731" s="129" t="str">
        <f t="shared" ref="CI1731:CI1794" si="1318">IF(BF1731&lt;11,"0-10 DAYS",IF(AND(BF1731&gt;10,BF1731&lt;31),"11-30 DAYS",IF((AND(BF1731&gt;30,BF1731&lt;61)),"31-60 DAYS",IF(AND(BF1731&gt;60,BF1731&lt;91),"61-90 DAYS",IF(AND(BF1731&gt;90,BF1731&lt;121),"91-120 DAYS",IF(AND(BF1731&gt;120,BF1731&lt;366),"121-365 DAYS",IF(AND(BF1731&gt;365,BF1731&lt;730)," &gt;1YRS&lt;2YRS",IF(AND(BF1731&gt;729,BF1731&lt;1095),"&gt;2YRS&lt;3YRS",IF(BF1731&gt;1094,"&gt;3YRS")))))))))</f>
        <v>31-60 DAYS</v>
      </c>
      <c r="CJ1731" s="137">
        <f t="shared" ref="CJ1731:CJ1794" si="1319">IF(CI1731="0-10 DAYS",1,IF(CI1731="11-30 DAYS",2,IF(CI1731="31-60 DAYS",3,IF(CI1731="61-90 DAYS",4,IF(CK1731="91-120 DAYS",5,IF(CI1731="121-365 DAYS",6,IF(CI1731="&gt;1YRS&lt;2YRS",7,IF(CI1731="&gt;2YRS&lt;3YRS",8,IF(CI1731="&gt;3YRS",9,0)))))))))</f>
        <v>3</v>
      </c>
      <c r="CK1731" s="129" t="str">
        <f t="shared" ref="CK1731:CK1794" si="1320">IF(I1731="Not Booked","Not Booked","Booked")</f>
        <v>Booked</v>
      </c>
    </row>
    <row r="1732" spans="1:89" ht="15" customHeight="1" x14ac:dyDescent="0.25">
      <c r="A1732" s="111">
        <v>2579</v>
      </c>
      <c r="B1732" s="128" t="str">
        <f t="shared" si="1301"/>
        <v>N</v>
      </c>
      <c r="C1732" s="128" t="str">
        <f t="shared" si="1302"/>
        <v>N</v>
      </c>
      <c r="D1732" s="117">
        <v>2244833</v>
      </c>
      <c r="E1732" s="135">
        <f t="shared" si="1303"/>
        <v>6</v>
      </c>
      <c r="F1732" s="124">
        <v>41005</v>
      </c>
      <c r="G1732" s="125">
        <v>41463</v>
      </c>
      <c r="H1732" s="117">
        <v>2244833</v>
      </c>
      <c r="I1732" s="124">
        <v>41005</v>
      </c>
      <c r="J1732" s="125">
        <v>41463</v>
      </c>
      <c r="K1732" s="126" t="s">
        <v>564</v>
      </c>
      <c r="L1732" s="127" t="s">
        <v>564</v>
      </c>
      <c r="N1732" s="129" t="s">
        <v>566</v>
      </c>
      <c r="O1732" s="128" t="s">
        <v>917</v>
      </c>
      <c r="P1732" s="129" t="s">
        <v>39</v>
      </c>
      <c r="Q1732" s="111">
        <f t="shared" si="1294"/>
        <v>459</v>
      </c>
      <c r="R1732" s="111">
        <f t="shared" si="1273"/>
        <v>459</v>
      </c>
      <c r="S1732" s="129">
        <v>1</v>
      </c>
      <c r="T1732" s="129">
        <v>2</v>
      </c>
      <c r="W1732" s="111"/>
      <c r="AC1732" s="130"/>
      <c r="AD1732" s="130">
        <v>32392</v>
      </c>
      <c r="AE1732" s="128" t="s">
        <v>32</v>
      </c>
      <c r="AF1732" s="128" t="s">
        <v>69</v>
      </c>
      <c r="AG1732" s="128" t="s">
        <v>874</v>
      </c>
      <c r="AH1732" s="108" t="s">
        <v>58</v>
      </c>
      <c r="AI1732" s="128" t="s">
        <v>71</v>
      </c>
      <c r="AJ1732" s="32" t="s">
        <v>89</v>
      </c>
      <c r="AK1732" s="129">
        <v>16</v>
      </c>
      <c r="AL1732" s="3" t="s">
        <v>362</v>
      </c>
      <c r="AM1732" s="117">
        <v>6</v>
      </c>
      <c r="AP1732" s="129" t="s">
        <v>110</v>
      </c>
      <c r="AR1732" s="128" t="s">
        <v>50</v>
      </c>
      <c r="AS1732" s="129" t="s">
        <v>74</v>
      </c>
      <c r="AT1732" s="129" t="s">
        <v>1281</v>
      </c>
      <c r="BC1732" s="129" t="s">
        <v>38</v>
      </c>
      <c r="BF1732" s="111">
        <f t="shared" si="1295"/>
        <v>459</v>
      </c>
      <c r="BG1732" s="111">
        <f t="shared" si="1296"/>
        <v>459</v>
      </c>
      <c r="BH1732" s="111">
        <f t="shared" si="1297"/>
        <v>459</v>
      </c>
      <c r="BI1732" s="111">
        <f t="shared" si="1298"/>
        <v>23.532786885245901</v>
      </c>
      <c r="BJ1732" s="129">
        <f t="shared" si="1304"/>
        <v>0</v>
      </c>
      <c r="BK1732" s="129">
        <f t="shared" si="1299"/>
        <v>0</v>
      </c>
      <c r="BL1732" s="129" t="str">
        <f t="shared" si="1277"/>
        <v>CONVICTION</v>
      </c>
      <c r="BM1732" s="129" t="str">
        <f t="shared" si="1305"/>
        <v>NONE</v>
      </c>
      <c r="BN1732" s="129" t="s">
        <v>566</v>
      </c>
      <c r="BP1732" s="137" t="str">
        <f t="shared" si="1306"/>
        <v>CONVICTION</v>
      </c>
      <c r="BQ1732" s="128" t="str">
        <f t="shared" si="1307"/>
        <v>Y</v>
      </c>
      <c r="BR1732" s="129" t="str">
        <f t="shared" si="1308"/>
        <v>DETAINED</v>
      </c>
      <c r="BS1732" s="129" t="str">
        <f t="shared" si="1309"/>
        <v>DISPOSED</v>
      </c>
      <c r="BT1732" s="129" t="str">
        <f t="shared" si="1310"/>
        <v>Y</v>
      </c>
      <c r="BU1732" s="109">
        <f t="shared" si="1311"/>
        <v>1</v>
      </c>
      <c r="BV1732" s="109">
        <f t="shared" si="1312"/>
        <v>1</v>
      </c>
      <c r="BW1732" s="109">
        <f t="shared" si="1293"/>
        <v>0</v>
      </c>
      <c r="BX1732" s="111">
        <f t="shared" si="1313"/>
        <v>0</v>
      </c>
      <c r="BY1732" s="129">
        <f t="shared" si="1314"/>
        <v>-459</v>
      </c>
      <c r="BZ1732" s="111">
        <f t="shared" si="1315"/>
        <v>0</v>
      </c>
      <c r="CA1732" s="138">
        <f t="shared" si="1316"/>
        <v>459</v>
      </c>
      <c r="CB1732" s="111" t="e">
        <f t="shared" si="1300"/>
        <v>#VALUE!</v>
      </c>
      <c r="CC1732" s="129">
        <f>G1732-I1732+1</f>
        <v>459</v>
      </c>
      <c r="CD1732" s="129">
        <f>G1732-J1732</f>
        <v>0</v>
      </c>
      <c r="CG1732" s="129" t="str">
        <f t="shared" si="1317"/>
        <v>Y</v>
      </c>
      <c r="CI1732" s="129" t="str">
        <f t="shared" si="1318"/>
        <v xml:space="preserve"> &gt;1YRS&lt;2YRS</v>
      </c>
      <c r="CJ1732" s="137">
        <f t="shared" si="1319"/>
        <v>0</v>
      </c>
      <c r="CK1732" s="129" t="str">
        <f t="shared" si="1320"/>
        <v>Booked</v>
      </c>
    </row>
    <row r="1733" spans="1:89" ht="15" customHeight="1" x14ac:dyDescent="0.25">
      <c r="A1733" s="111">
        <v>2848</v>
      </c>
      <c r="B1733" s="128" t="str">
        <f t="shared" si="1301"/>
        <v>N</v>
      </c>
      <c r="C1733" s="128" t="str">
        <f t="shared" si="1302"/>
        <v>N</v>
      </c>
      <c r="D1733" s="117">
        <v>2245929</v>
      </c>
      <c r="E1733" s="135">
        <f t="shared" si="1303"/>
        <v>2</v>
      </c>
      <c r="F1733" s="124">
        <v>41014</v>
      </c>
      <c r="G1733" s="125">
        <v>41176</v>
      </c>
      <c r="H1733" s="117">
        <v>2245929</v>
      </c>
      <c r="I1733" s="124">
        <v>41014</v>
      </c>
      <c r="J1733" s="124">
        <v>41016</v>
      </c>
      <c r="K1733" s="126">
        <v>30000</v>
      </c>
      <c r="L1733" s="129" t="s">
        <v>572</v>
      </c>
      <c r="M1733" s="125">
        <v>41016</v>
      </c>
      <c r="N1733" s="129" t="str">
        <f t="shared" ref="N1733:N1739" si="1321">IF(M1733&gt;1/1/1,"Y","N")</f>
        <v>Y</v>
      </c>
      <c r="O1733" s="128" t="s">
        <v>76</v>
      </c>
      <c r="P1733" s="129" t="s">
        <v>589</v>
      </c>
      <c r="Q1733" s="111">
        <f t="shared" si="1294"/>
        <v>3</v>
      </c>
      <c r="R1733" s="111">
        <f t="shared" si="1273"/>
        <v>163</v>
      </c>
      <c r="S1733" s="129">
        <v>0</v>
      </c>
      <c r="T1733" s="129">
        <v>2</v>
      </c>
      <c r="W1733" s="111"/>
      <c r="AC1733" s="130"/>
      <c r="AD1733" s="130">
        <v>32618</v>
      </c>
      <c r="AE1733" s="128" t="s">
        <v>32</v>
      </c>
      <c r="AF1733" s="128" t="s">
        <v>40</v>
      </c>
      <c r="AG1733" s="128" t="s">
        <v>41</v>
      </c>
      <c r="AH1733" s="108" t="s">
        <v>41</v>
      </c>
      <c r="AI1733" s="128" t="s">
        <v>85</v>
      </c>
      <c r="AJ1733" s="129" t="s">
        <v>48</v>
      </c>
      <c r="AK1733" s="129">
        <v>7</v>
      </c>
      <c r="AL1733" s="3" t="s">
        <v>48</v>
      </c>
      <c r="AP1733" s="129" t="s">
        <v>73</v>
      </c>
      <c r="AR1733" s="128" t="s">
        <v>50</v>
      </c>
      <c r="AS1733" s="129" t="s">
        <v>74</v>
      </c>
      <c r="BC1733" s="129" t="s">
        <v>52</v>
      </c>
      <c r="BF1733" s="111">
        <f t="shared" si="1295"/>
        <v>3</v>
      </c>
      <c r="BG1733" s="111">
        <f t="shared" si="1296"/>
        <v>163</v>
      </c>
      <c r="BH1733" s="111">
        <f t="shared" si="1297"/>
        <v>163</v>
      </c>
      <c r="BI1733" s="111">
        <f t="shared" si="1298"/>
        <v>22.939890710382514</v>
      </c>
      <c r="BJ1733" s="129">
        <f>(G1733-J1733)+(M1733-G1733)</f>
        <v>0</v>
      </c>
      <c r="BK1733" s="129">
        <f t="shared" si="1299"/>
        <v>-160</v>
      </c>
      <c r="BL1733" s="129" t="str">
        <f t="shared" si="1277"/>
        <v>DEFERRED</v>
      </c>
      <c r="BM1733" s="129" t="s">
        <v>76</v>
      </c>
      <c r="BN1733" s="129" t="s">
        <v>88</v>
      </c>
      <c r="BP1733" s="137" t="str">
        <f t="shared" si="1306"/>
        <v>DEFERRED</v>
      </c>
      <c r="BQ1733" s="128" t="str">
        <f t="shared" si="1307"/>
        <v>Y</v>
      </c>
      <c r="BR1733" s="129" t="str">
        <f t="shared" si="1308"/>
        <v>ON BOND</v>
      </c>
      <c r="BS1733" s="129" t="str">
        <f t="shared" si="1309"/>
        <v>DISPOSED</v>
      </c>
      <c r="BT1733" s="129" t="str">
        <f t="shared" si="1310"/>
        <v>N</v>
      </c>
      <c r="BU1733" s="109">
        <f t="shared" si="1311"/>
        <v>1.8404907975460124E-2</v>
      </c>
      <c r="BV1733" s="109">
        <f t="shared" si="1312"/>
        <v>1.8404907975460124E-2</v>
      </c>
      <c r="BW1733" s="109">
        <f t="shared" si="1293"/>
        <v>0</v>
      </c>
      <c r="BX1733" s="111">
        <f t="shared" si="1313"/>
        <v>0</v>
      </c>
      <c r="BY1733" s="129">
        <f t="shared" si="1314"/>
        <v>-3</v>
      </c>
      <c r="BZ1733" s="111">
        <f t="shared" si="1315"/>
        <v>0</v>
      </c>
      <c r="CA1733" s="138">
        <f t="shared" si="1316"/>
        <v>3</v>
      </c>
      <c r="CB1733" s="111" t="e">
        <f t="shared" si="1300"/>
        <v>#VALUE!</v>
      </c>
      <c r="CC1733" s="129">
        <f>M1733-I1733+1</f>
        <v>3</v>
      </c>
      <c r="CD1733" s="111">
        <f>CC1733-BF1733</f>
        <v>0</v>
      </c>
      <c r="CG1733" s="129" t="str">
        <f t="shared" si="1317"/>
        <v>Y</v>
      </c>
      <c r="CI1733" s="129" t="str">
        <f t="shared" si="1318"/>
        <v>0-10 DAYS</v>
      </c>
      <c r="CJ1733" s="137">
        <f t="shared" si="1319"/>
        <v>1</v>
      </c>
      <c r="CK1733" s="129" t="str">
        <f t="shared" si="1320"/>
        <v>Booked</v>
      </c>
    </row>
    <row r="1734" spans="1:89" ht="15" customHeight="1" x14ac:dyDescent="0.25">
      <c r="A1734" s="111">
        <v>3103</v>
      </c>
      <c r="B1734" s="128" t="str">
        <f t="shared" si="1301"/>
        <v>N</v>
      </c>
      <c r="C1734" s="128" t="str">
        <f t="shared" si="1302"/>
        <v>N</v>
      </c>
      <c r="D1734" s="117">
        <v>2246017</v>
      </c>
      <c r="E1734" s="135">
        <f t="shared" si="1303"/>
        <v>5</v>
      </c>
      <c r="F1734" s="124">
        <v>41023</v>
      </c>
      <c r="G1734" s="125">
        <v>41052</v>
      </c>
      <c r="H1734" s="117">
        <v>2246017</v>
      </c>
      <c r="I1734" s="124">
        <v>41024</v>
      </c>
      <c r="J1734" s="124">
        <v>41052</v>
      </c>
      <c r="K1734" s="126">
        <v>2000</v>
      </c>
      <c r="L1734" s="127" t="s">
        <v>568</v>
      </c>
      <c r="N1734" s="129" t="str">
        <f t="shared" si="1321"/>
        <v>N</v>
      </c>
      <c r="O1734" s="128" t="s">
        <v>917</v>
      </c>
      <c r="P1734" s="129" t="s">
        <v>39</v>
      </c>
      <c r="Q1734" s="111">
        <f t="shared" si="1294"/>
        <v>29</v>
      </c>
      <c r="R1734" s="111">
        <f t="shared" si="1273"/>
        <v>30</v>
      </c>
      <c r="S1734" s="129">
        <v>2</v>
      </c>
      <c r="T1734" s="129">
        <v>1</v>
      </c>
      <c r="U1734" s="129">
        <v>1</v>
      </c>
      <c r="W1734" s="111"/>
      <c r="AC1734" s="130"/>
      <c r="AD1734" s="130">
        <v>32690</v>
      </c>
      <c r="AE1734" s="128" t="s">
        <v>32</v>
      </c>
      <c r="AF1734" s="128" t="s">
        <v>33</v>
      </c>
      <c r="AG1734" s="128" t="s">
        <v>872</v>
      </c>
      <c r="AH1734" s="108" t="s">
        <v>31</v>
      </c>
      <c r="AI1734" s="128" t="s">
        <v>71</v>
      </c>
      <c r="AJ1734" s="129" t="s">
        <v>89</v>
      </c>
      <c r="AK1734" s="129">
        <v>2</v>
      </c>
      <c r="AL1734" s="3" t="s">
        <v>992</v>
      </c>
      <c r="AN1734" s="117">
        <v>7</v>
      </c>
      <c r="AP1734" s="129" t="s">
        <v>60</v>
      </c>
      <c r="AR1734" s="128" t="s">
        <v>44</v>
      </c>
      <c r="AS1734" s="129" t="s">
        <v>61</v>
      </c>
      <c r="BC1734" s="129" t="s">
        <v>99</v>
      </c>
      <c r="BF1734" s="111">
        <f t="shared" si="1295"/>
        <v>29</v>
      </c>
      <c r="BG1734" s="111">
        <f t="shared" si="1296"/>
        <v>29</v>
      </c>
      <c r="BH1734" s="111">
        <f t="shared" si="1297"/>
        <v>30</v>
      </c>
      <c r="BI1734" s="111">
        <f t="shared" si="1298"/>
        <v>22.76775956284153</v>
      </c>
      <c r="BJ1734" s="129">
        <f t="shared" si="1304"/>
        <v>0</v>
      </c>
      <c r="BK1734" s="129">
        <f t="shared" si="1299"/>
        <v>0</v>
      </c>
      <c r="BL1734" s="129" t="str">
        <f t="shared" si="1277"/>
        <v>CONVICTION</v>
      </c>
      <c r="BM1734" s="129" t="str">
        <f t="shared" si="1305"/>
        <v>NONE</v>
      </c>
      <c r="BN1734" s="129" t="s">
        <v>566</v>
      </c>
      <c r="BP1734" s="137" t="str">
        <f t="shared" si="1306"/>
        <v>CONVICTION</v>
      </c>
      <c r="BQ1734" s="128" t="str">
        <f t="shared" si="1307"/>
        <v>Y</v>
      </c>
      <c r="BR1734" s="129" t="str">
        <f t="shared" si="1308"/>
        <v>DETAINED</v>
      </c>
      <c r="BS1734" s="129" t="str">
        <f t="shared" si="1309"/>
        <v>DISPOSED</v>
      </c>
      <c r="BT1734" s="129" t="str">
        <f t="shared" si="1310"/>
        <v>Y</v>
      </c>
      <c r="BU1734" s="109">
        <f t="shared" si="1311"/>
        <v>0.96666666666666667</v>
      </c>
      <c r="BV1734" s="109">
        <f t="shared" si="1312"/>
        <v>1</v>
      </c>
      <c r="BW1734" s="109">
        <f t="shared" si="1293"/>
        <v>3.3333333333333326E-2</v>
      </c>
      <c r="BX1734" s="111">
        <f t="shared" si="1313"/>
        <v>0</v>
      </c>
      <c r="BY1734" s="129">
        <f t="shared" si="1314"/>
        <v>-29</v>
      </c>
      <c r="BZ1734" s="111">
        <f t="shared" si="1315"/>
        <v>0</v>
      </c>
      <c r="CA1734" s="138">
        <f t="shared" si="1316"/>
        <v>29</v>
      </c>
      <c r="CB1734" s="111" t="e">
        <f t="shared" si="1300"/>
        <v>#VALUE!</v>
      </c>
      <c r="CC1734" s="129">
        <f>G1734-I1734+1</f>
        <v>29</v>
      </c>
      <c r="CD1734" s="129">
        <f>G1734-J1734</f>
        <v>0</v>
      </c>
      <c r="CG1734" s="129" t="str">
        <f t="shared" si="1317"/>
        <v>Y</v>
      </c>
      <c r="CI1734" s="129" t="str">
        <f t="shared" si="1318"/>
        <v>11-30 DAYS</v>
      </c>
      <c r="CJ1734" s="137">
        <f t="shared" si="1319"/>
        <v>2</v>
      </c>
      <c r="CK1734" s="129" t="str">
        <f t="shared" si="1320"/>
        <v>Booked</v>
      </c>
    </row>
    <row r="1735" spans="1:89" ht="15" customHeight="1" x14ac:dyDescent="0.25">
      <c r="A1735" s="111">
        <v>2334</v>
      </c>
      <c r="B1735" s="128" t="str">
        <f t="shared" si="1301"/>
        <v>N</v>
      </c>
      <c r="C1735" s="128" t="str">
        <f t="shared" si="1302"/>
        <v>N</v>
      </c>
      <c r="D1735" s="117">
        <v>2247141</v>
      </c>
      <c r="E1735" s="135">
        <f t="shared" si="1303"/>
        <v>5</v>
      </c>
      <c r="F1735" s="124">
        <v>40997</v>
      </c>
      <c r="G1735" s="125">
        <v>41120</v>
      </c>
      <c r="H1735" s="117">
        <v>2247141</v>
      </c>
      <c r="I1735" s="124">
        <v>40998</v>
      </c>
      <c r="J1735" s="124">
        <v>41034</v>
      </c>
      <c r="K1735" s="126">
        <v>40000</v>
      </c>
      <c r="L1735" s="129" t="s">
        <v>572</v>
      </c>
      <c r="M1735" s="125">
        <v>41034</v>
      </c>
      <c r="N1735" s="129" t="str">
        <f t="shared" si="1321"/>
        <v>Y</v>
      </c>
      <c r="O1735" s="128" t="s">
        <v>76</v>
      </c>
      <c r="P1735" s="129" t="s">
        <v>39</v>
      </c>
      <c r="Q1735" s="111">
        <f t="shared" si="1294"/>
        <v>37</v>
      </c>
      <c r="R1735" s="111">
        <f t="shared" si="1273"/>
        <v>124</v>
      </c>
      <c r="S1735" s="129">
        <v>3</v>
      </c>
      <c r="T1735" s="129">
        <v>4</v>
      </c>
      <c r="U1735" s="129">
        <v>1</v>
      </c>
      <c r="W1735" s="111"/>
      <c r="AC1735" s="130"/>
      <c r="AD1735" s="130">
        <v>32457</v>
      </c>
      <c r="AE1735" s="128" t="s">
        <v>32</v>
      </c>
      <c r="AF1735" s="128" t="s">
        <v>40</v>
      </c>
      <c r="AG1735" s="128" t="s">
        <v>41</v>
      </c>
      <c r="AH1735" s="108" t="s">
        <v>41</v>
      </c>
      <c r="AI1735" s="128" t="s">
        <v>42</v>
      </c>
      <c r="AJ1735" s="129" t="s">
        <v>89</v>
      </c>
      <c r="AK1735" s="129">
        <v>7</v>
      </c>
      <c r="AL1735" s="3" t="s">
        <v>992</v>
      </c>
      <c r="AN1735" s="117">
        <v>6</v>
      </c>
      <c r="AP1735" s="129" t="s">
        <v>175</v>
      </c>
      <c r="AR1735" s="128" t="s">
        <v>44</v>
      </c>
      <c r="AS1735" s="129" t="s">
        <v>45</v>
      </c>
      <c r="AW1735" s="125"/>
      <c r="AX1735" s="125"/>
      <c r="BC1735" s="129" t="s">
        <v>52</v>
      </c>
      <c r="BF1735" s="111">
        <f t="shared" si="1295"/>
        <v>37</v>
      </c>
      <c r="BG1735" s="111">
        <f t="shared" si="1296"/>
        <v>123</v>
      </c>
      <c r="BH1735" s="111">
        <f t="shared" si="1297"/>
        <v>124</v>
      </c>
      <c r="BI1735" s="111">
        <f t="shared" si="1298"/>
        <v>23.333333333333332</v>
      </c>
      <c r="BJ1735" s="129">
        <f>(G1735-J1735)+(M1735-G1735)</f>
        <v>0</v>
      </c>
      <c r="BK1735" s="129">
        <f t="shared" si="1299"/>
        <v>-86</v>
      </c>
      <c r="BL1735" s="129" t="str">
        <f t="shared" si="1277"/>
        <v>CONVICTION</v>
      </c>
      <c r="BM1735" s="129" t="s">
        <v>76</v>
      </c>
      <c r="BN1735" s="129" t="s">
        <v>88</v>
      </c>
      <c r="BP1735" s="137" t="str">
        <f t="shared" si="1306"/>
        <v>CONVICTION</v>
      </c>
      <c r="BQ1735" s="128" t="str">
        <f t="shared" si="1307"/>
        <v>Y</v>
      </c>
      <c r="BR1735" s="129" t="str">
        <f>IF(J1735&lt;G1735,"ON BOND",0)</f>
        <v>ON BOND</v>
      </c>
      <c r="BS1735" s="129" t="str">
        <f t="shared" si="1309"/>
        <v>DISPOSED</v>
      </c>
      <c r="BT1735" s="129" t="str">
        <f t="shared" si="1310"/>
        <v>Y</v>
      </c>
      <c r="BU1735" s="109">
        <f t="shared" si="1311"/>
        <v>0.29838709677419356</v>
      </c>
      <c r="BV1735" s="109">
        <f t="shared" si="1312"/>
        <v>0.30081300813008133</v>
      </c>
      <c r="BW1735" s="109">
        <f t="shared" si="1293"/>
        <v>2.4259113558877665E-3</v>
      </c>
      <c r="BX1735" s="111">
        <f t="shared" si="1313"/>
        <v>0</v>
      </c>
      <c r="BY1735" s="129">
        <f t="shared" si="1314"/>
        <v>-37</v>
      </c>
      <c r="BZ1735" s="111">
        <f t="shared" si="1315"/>
        <v>0</v>
      </c>
      <c r="CA1735" s="138">
        <f t="shared" si="1316"/>
        <v>37</v>
      </c>
      <c r="CB1735" s="111" t="e">
        <f t="shared" si="1300"/>
        <v>#VALUE!</v>
      </c>
      <c r="CC1735" s="129">
        <f>M1735-I1735+1</f>
        <v>37</v>
      </c>
      <c r="CD1735" s="111">
        <f>CC1735-BF1735</f>
        <v>0</v>
      </c>
      <c r="CG1735" s="129" t="str">
        <f t="shared" si="1317"/>
        <v>Y</v>
      </c>
      <c r="CI1735" s="129" t="str">
        <f t="shared" si="1318"/>
        <v>31-60 DAYS</v>
      </c>
      <c r="CJ1735" s="137">
        <f t="shared" si="1319"/>
        <v>3</v>
      </c>
      <c r="CK1735" s="129" t="str">
        <f t="shared" si="1320"/>
        <v>Booked</v>
      </c>
    </row>
    <row r="1736" spans="1:89" ht="15.75" customHeight="1" x14ac:dyDescent="0.25">
      <c r="A1736" s="111">
        <v>1219</v>
      </c>
      <c r="B1736" s="128" t="str">
        <f t="shared" si="1301"/>
        <v>N</v>
      </c>
      <c r="C1736" s="128" t="str">
        <f t="shared" si="1302"/>
        <v>N</v>
      </c>
      <c r="D1736" s="117">
        <v>2247273</v>
      </c>
      <c r="E1736" s="135">
        <f t="shared" si="1303"/>
        <v>1</v>
      </c>
      <c r="F1736" s="124">
        <v>40953</v>
      </c>
      <c r="G1736" s="125">
        <v>41173</v>
      </c>
      <c r="H1736" s="117">
        <v>2247273</v>
      </c>
      <c r="I1736" s="124">
        <v>40953</v>
      </c>
      <c r="J1736" s="124">
        <v>40958</v>
      </c>
      <c r="K1736" s="126">
        <v>40000</v>
      </c>
      <c r="L1736" s="129" t="s">
        <v>572</v>
      </c>
      <c r="M1736" s="125">
        <v>40958</v>
      </c>
      <c r="N1736" s="129" t="str">
        <f t="shared" si="1321"/>
        <v>Y</v>
      </c>
      <c r="O1736" s="128" t="s">
        <v>76</v>
      </c>
      <c r="P1736" s="129" t="s">
        <v>55</v>
      </c>
      <c r="Q1736" s="111">
        <f t="shared" si="1294"/>
        <v>6</v>
      </c>
      <c r="R1736" s="111">
        <f t="shared" si="1273"/>
        <v>221</v>
      </c>
      <c r="S1736" s="129">
        <v>0</v>
      </c>
      <c r="T1736" s="129">
        <v>6</v>
      </c>
      <c r="W1736" s="111"/>
      <c r="AC1736" s="130"/>
      <c r="AD1736" s="130">
        <v>32263</v>
      </c>
      <c r="AE1736" s="128" t="s">
        <v>32</v>
      </c>
      <c r="AF1736" s="128" t="s">
        <v>40</v>
      </c>
      <c r="AG1736" s="128" t="s">
        <v>41</v>
      </c>
      <c r="AH1736" s="108" t="s">
        <v>41</v>
      </c>
      <c r="AI1736" s="128" t="s">
        <v>118</v>
      </c>
      <c r="AJ1736" s="129" t="s">
        <v>55</v>
      </c>
      <c r="AK1736" s="129">
        <v>9</v>
      </c>
      <c r="AL1736" s="3" t="s">
        <v>55</v>
      </c>
      <c r="AP1736" s="129" t="s">
        <v>105</v>
      </c>
      <c r="AR1736" s="128" t="s">
        <v>92</v>
      </c>
      <c r="AS1736" s="129" t="s">
        <v>106</v>
      </c>
      <c r="AT1736" s="129" t="s">
        <v>308</v>
      </c>
      <c r="BC1736" s="129" t="s">
        <v>52</v>
      </c>
      <c r="BF1736" s="111">
        <f t="shared" si="1295"/>
        <v>6</v>
      </c>
      <c r="BG1736" s="111">
        <f t="shared" si="1296"/>
        <v>221</v>
      </c>
      <c r="BH1736" s="111">
        <f t="shared" si="1297"/>
        <v>221</v>
      </c>
      <c r="BI1736" s="111">
        <f t="shared" si="1298"/>
        <v>23.743169398907103</v>
      </c>
      <c r="BJ1736" s="129">
        <f>(G1736-J1736)+(M1736-G1736)</f>
        <v>0</v>
      </c>
      <c r="BK1736" s="129">
        <f t="shared" si="1299"/>
        <v>-215</v>
      </c>
      <c r="BL1736" s="129" t="str">
        <f t="shared" si="1277"/>
        <v>NO CONVICTION</v>
      </c>
      <c r="BM1736" s="129" t="s">
        <v>76</v>
      </c>
      <c r="BN1736" s="129" t="s">
        <v>88</v>
      </c>
      <c r="BP1736" s="137" t="str">
        <f t="shared" si="1306"/>
        <v>NO CONVICTION</v>
      </c>
      <c r="BQ1736" s="128" t="str">
        <f t="shared" si="1307"/>
        <v>Y</v>
      </c>
      <c r="BR1736" s="129" t="str">
        <f t="shared" si="1308"/>
        <v>ON BOND</v>
      </c>
      <c r="BS1736" s="129" t="str">
        <f t="shared" si="1309"/>
        <v>DISPOSED</v>
      </c>
      <c r="BT1736" s="129" t="str">
        <f t="shared" si="1310"/>
        <v>N</v>
      </c>
      <c r="BU1736" s="109">
        <f>IFERROR(Q1736/R1736,BR1736)</f>
        <v>2.7149321266968326E-2</v>
      </c>
      <c r="BV1736" s="109">
        <f t="shared" si="1312"/>
        <v>2.7149321266968326E-2</v>
      </c>
      <c r="BW1736" s="109">
        <f t="shared" si="1293"/>
        <v>0</v>
      </c>
      <c r="BX1736" s="111">
        <f t="shared" si="1313"/>
        <v>0</v>
      </c>
      <c r="BY1736" s="129">
        <f t="shared" si="1314"/>
        <v>-6</v>
      </c>
      <c r="BZ1736" s="111">
        <f t="shared" si="1315"/>
        <v>0</v>
      </c>
      <c r="CA1736" s="138">
        <f t="shared" si="1316"/>
        <v>6</v>
      </c>
      <c r="CB1736" s="111" t="e">
        <f t="shared" si="1300"/>
        <v>#VALUE!</v>
      </c>
      <c r="CC1736" s="129">
        <f>M1736-I1736+1</f>
        <v>6</v>
      </c>
      <c r="CD1736" s="111">
        <f>CC1736-BF1736</f>
        <v>0</v>
      </c>
      <c r="CG1736" s="129" t="str">
        <f t="shared" si="1317"/>
        <v>Y</v>
      </c>
      <c r="CI1736" s="129" t="str">
        <f t="shared" si="1318"/>
        <v>0-10 DAYS</v>
      </c>
      <c r="CJ1736" s="137">
        <f t="shared" si="1319"/>
        <v>1</v>
      </c>
      <c r="CK1736" s="129" t="str">
        <f t="shared" si="1320"/>
        <v>Booked</v>
      </c>
    </row>
    <row r="1737" spans="1:89" ht="15.75" customHeight="1" x14ac:dyDescent="0.25">
      <c r="A1737" s="111">
        <v>2177</v>
      </c>
      <c r="B1737" s="128" t="str">
        <f t="shared" si="1301"/>
        <v>N</v>
      </c>
      <c r="C1737" s="128" t="str">
        <f t="shared" si="1302"/>
        <v>N</v>
      </c>
      <c r="D1737" s="117">
        <v>2248335</v>
      </c>
      <c r="E1737" s="135">
        <f t="shared" si="1303"/>
        <v>1</v>
      </c>
      <c r="F1737" s="124">
        <v>40990</v>
      </c>
      <c r="G1737" s="125">
        <v>41116</v>
      </c>
      <c r="H1737" s="117">
        <v>2248335</v>
      </c>
      <c r="I1737" s="124">
        <v>41001</v>
      </c>
      <c r="J1737" s="124">
        <v>41116</v>
      </c>
      <c r="K1737" s="126">
        <v>20000</v>
      </c>
      <c r="L1737" s="127" t="s">
        <v>571</v>
      </c>
      <c r="N1737" s="129" t="str">
        <f t="shared" si="1321"/>
        <v>N</v>
      </c>
      <c r="O1737" s="128" t="s">
        <v>917</v>
      </c>
      <c r="P1737" s="129" t="s">
        <v>55</v>
      </c>
      <c r="Q1737" s="111">
        <f t="shared" si="1294"/>
        <v>116</v>
      </c>
      <c r="R1737" s="111">
        <f t="shared" si="1273"/>
        <v>127</v>
      </c>
      <c r="S1737" s="129">
        <v>3</v>
      </c>
      <c r="T1737" s="129">
        <v>0</v>
      </c>
      <c r="U1737" s="129">
        <v>2</v>
      </c>
      <c r="W1737" s="111"/>
      <c r="AC1737" s="130"/>
      <c r="AD1737" s="130">
        <v>32329</v>
      </c>
      <c r="AE1737" s="128" t="s">
        <v>32</v>
      </c>
      <c r="AF1737" s="128" t="s">
        <v>33</v>
      </c>
      <c r="AG1737" s="128" t="s">
        <v>872</v>
      </c>
      <c r="AH1737" s="108" t="s">
        <v>58</v>
      </c>
      <c r="AI1737" s="128" t="s">
        <v>114</v>
      </c>
      <c r="AJ1737" s="129" t="s">
        <v>55</v>
      </c>
      <c r="AK1737" s="129">
        <v>7</v>
      </c>
      <c r="AL1737" s="3" t="s">
        <v>55</v>
      </c>
      <c r="AP1737" s="129" t="s">
        <v>73</v>
      </c>
      <c r="AR1737" s="128" t="s">
        <v>50</v>
      </c>
      <c r="AS1737" s="129" t="s">
        <v>74</v>
      </c>
      <c r="BC1737" s="129" t="s">
        <v>38</v>
      </c>
      <c r="BF1737" s="111">
        <f t="shared" si="1295"/>
        <v>116</v>
      </c>
      <c r="BG1737" s="111">
        <f t="shared" si="1296"/>
        <v>116</v>
      </c>
      <c r="BH1737" s="111">
        <f t="shared" si="1297"/>
        <v>127</v>
      </c>
      <c r="BI1737" s="111">
        <f t="shared" si="1298"/>
        <v>23.66393442622951</v>
      </c>
      <c r="BJ1737" s="129">
        <f t="shared" si="1304"/>
        <v>0</v>
      </c>
      <c r="BK1737" s="129">
        <f t="shared" si="1299"/>
        <v>0</v>
      </c>
      <c r="BL1737" s="129" t="str">
        <f t="shared" si="1277"/>
        <v>NO CONVICTION</v>
      </c>
      <c r="BM1737" s="129" t="str">
        <f t="shared" si="1305"/>
        <v>NONE</v>
      </c>
      <c r="BN1737" s="129" t="s">
        <v>566</v>
      </c>
      <c r="BP1737" s="137" t="str">
        <f t="shared" si="1306"/>
        <v>NO CONVICTION</v>
      </c>
      <c r="BQ1737" s="128" t="str">
        <f t="shared" si="1307"/>
        <v>Y</v>
      </c>
      <c r="BR1737" s="129" t="str">
        <f t="shared" si="1308"/>
        <v>DETAINED</v>
      </c>
      <c r="BS1737" s="129" t="str">
        <f t="shared" si="1309"/>
        <v>DISPOSED</v>
      </c>
      <c r="BT1737" s="129" t="str">
        <f t="shared" si="1310"/>
        <v>Y</v>
      </c>
      <c r="BU1737" s="109">
        <f>IFERROR(Q1737/R1737,BR1737)</f>
        <v>0.91338582677165359</v>
      </c>
      <c r="BV1737" s="109">
        <f t="shared" si="1312"/>
        <v>1</v>
      </c>
      <c r="BW1737" s="109">
        <f t="shared" si="1293"/>
        <v>8.6614173228346414E-2</v>
      </c>
      <c r="BX1737" s="111">
        <f t="shared" si="1313"/>
        <v>0</v>
      </c>
      <c r="BY1737" s="129">
        <f t="shared" si="1314"/>
        <v>-116</v>
      </c>
      <c r="BZ1737" s="111">
        <f t="shared" si="1315"/>
        <v>0</v>
      </c>
      <c r="CA1737" s="138">
        <f t="shared" si="1316"/>
        <v>116</v>
      </c>
      <c r="CB1737" s="111" t="e">
        <f t="shared" si="1300"/>
        <v>#VALUE!</v>
      </c>
      <c r="CC1737" s="129">
        <f>G1737-I1737+1</f>
        <v>116</v>
      </c>
      <c r="CD1737" s="129">
        <f>G1737-J1737</f>
        <v>0</v>
      </c>
      <c r="CG1737" s="129" t="str">
        <f t="shared" si="1317"/>
        <v>Y</v>
      </c>
      <c r="CI1737" s="129" t="str">
        <f t="shared" si="1318"/>
        <v>91-120 DAYS</v>
      </c>
      <c r="CJ1737" s="137">
        <f t="shared" si="1319"/>
        <v>0</v>
      </c>
      <c r="CK1737" s="129" t="str">
        <f t="shared" si="1320"/>
        <v>Booked</v>
      </c>
    </row>
    <row r="1738" spans="1:89" ht="15" customHeight="1" x14ac:dyDescent="0.25">
      <c r="A1738" s="111">
        <v>79</v>
      </c>
      <c r="B1738" s="128" t="str">
        <f t="shared" si="1301"/>
        <v>N</v>
      </c>
      <c r="C1738" s="128" t="str">
        <f t="shared" si="1302"/>
        <v>N</v>
      </c>
      <c r="D1738" s="117">
        <v>2248499</v>
      </c>
      <c r="E1738" s="135">
        <f t="shared" si="1303"/>
        <v>1</v>
      </c>
      <c r="F1738" s="124">
        <v>40912</v>
      </c>
      <c r="G1738" s="125">
        <v>41555</v>
      </c>
      <c r="H1738" s="117">
        <v>2248499</v>
      </c>
      <c r="I1738" s="124">
        <v>40918</v>
      </c>
      <c r="J1738" s="124">
        <v>40919</v>
      </c>
      <c r="K1738" s="126">
        <v>10000</v>
      </c>
      <c r="L1738" s="127" t="s">
        <v>570</v>
      </c>
      <c r="M1738" s="125">
        <v>40919</v>
      </c>
      <c r="N1738" s="129" t="str">
        <f t="shared" si="1321"/>
        <v>Y</v>
      </c>
      <c r="O1738" s="128" t="s">
        <v>76</v>
      </c>
      <c r="P1738" s="129" t="s">
        <v>55</v>
      </c>
      <c r="Q1738" s="111">
        <f t="shared" si="1294"/>
        <v>2</v>
      </c>
      <c r="R1738" s="111">
        <f t="shared" si="1273"/>
        <v>644</v>
      </c>
      <c r="S1738" s="129">
        <v>0</v>
      </c>
      <c r="T1738" s="129">
        <v>1</v>
      </c>
      <c r="W1738" s="111"/>
      <c r="AC1738" s="130"/>
      <c r="AD1738" s="130">
        <v>32128</v>
      </c>
      <c r="AE1738" s="128" t="s">
        <v>32</v>
      </c>
      <c r="AF1738" s="128" t="s">
        <v>33</v>
      </c>
      <c r="AG1738" s="128" t="s">
        <v>872</v>
      </c>
      <c r="AH1738" s="108" t="s">
        <v>31</v>
      </c>
      <c r="AI1738" s="128" t="s">
        <v>100</v>
      </c>
      <c r="AJ1738" s="129" t="s">
        <v>31</v>
      </c>
      <c r="AK1738" s="129">
        <v>18</v>
      </c>
      <c r="AL1738" s="3" t="s">
        <v>55</v>
      </c>
      <c r="AP1738" s="129" t="s">
        <v>134</v>
      </c>
      <c r="AR1738" s="128" t="s">
        <v>50</v>
      </c>
      <c r="AS1738" s="129" t="s">
        <v>64</v>
      </c>
      <c r="BC1738" s="129" t="s">
        <v>52</v>
      </c>
      <c r="BF1738" s="111">
        <f t="shared" si="1295"/>
        <v>2</v>
      </c>
      <c r="BG1738" s="111">
        <f t="shared" si="1296"/>
        <v>638</v>
      </c>
      <c r="BH1738" s="111">
        <f t="shared" si="1297"/>
        <v>644</v>
      </c>
      <c r="BI1738" s="111">
        <f t="shared" si="1298"/>
        <v>24</v>
      </c>
      <c r="BJ1738" s="129">
        <f>(G1738-J1738)+(M1738-G1738)</f>
        <v>0</v>
      </c>
      <c r="BK1738" s="129">
        <f t="shared" si="1299"/>
        <v>-636</v>
      </c>
      <c r="BL1738" s="129" t="str">
        <f t="shared" si="1277"/>
        <v>NO CONVICTION</v>
      </c>
      <c r="BM1738" s="129" t="s">
        <v>76</v>
      </c>
      <c r="BN1738" s="129" t="s">
        <v>88</v>
      </c>
      <c r="BP1738" s="137" t="str">
        <f t="shared" si="1306"/>
        <v/>
      </c>
      <c r="BQ1738" s="128" t="str">
        <f t="shared" si="1307"/>
        <v>Y</v>
      </c>
      <c r="BR1738" s="129" t="str">
        <f t="shared" si="1308"/>
        <v>ON BOND</v>
      </c>
      <c r="BS1738" s="129" t="str">
        <f t="shared" si="1309"/>
        <v>DISPOSED</v>
      </c>
      <c r="BT1738" s="129" t="str">
        <f t="shared" si="1310"/>
        <v>N</v>
      </c>
      <c r="BU1738" s="109">
        <f>IFERROR(Q1738/R1738,BR1738)</f>
        <v>3.105590062111801E-3</v>
      </c>
      <c r="BV1738" s="109">
        <f t="shared" si="1312"/>
        <v>3.134796238244514E-3</v>
      </c>
      <c r="BW1738" s="109">
        <f t="shared" si="1293"/>
        <v>2.9206176132712952E-5</v>
      </c>
      <c r="BX1738" s="111">
        <f t="shared" si="1313"/>
        <v>0</v>
      </c>
      <c r="BY1738" s="129">
        <f t="shared" si="1314"/>
        <v>-2</v>
      </c>
      <c r="BZ1738" s="111">
        <f t="shared" si="1315"/>
        <v>0</v>
      </c>
      <c r="CA1738" s="138">
        <f t="shared" si="1316"/>
        <v>2</v>
      </c>
      <c r="CB1738" s="111" t="e">
        <f t="shared" si="1300"/>
        <v>#VALUE!</v>
      </c>
      <c r="CC1738" s="129">
        <f>M1738-I1738+1</f>
        <v>2</v>
      </c>
      <c r="CD1738" s="111">
        <f>CC1738-BF1738</f>
        <v>0</v>
      </c>
      <c r="CG1738" s="129" t="str">
        <f t="shared" si="1317"/>
        <v>Y</v>
      </c>
      <c r="CI1738" s="129" t="str">
        <f t="shared" si="1318"/>
        <v>0-10 DAYS</v>
      </c>
      <c r="CJ1738" s="137">
        <f t="shared" si="1319"/>
        <v>1</v>
      </c>
      <c r="CK1738" s="129" t="str">
        <f t="shared" si="1320"/>
        <v>Booked</v>
      </c>
    </row>
    <row r="1739" spans="1:89" ht="15" customHeight="1" x14ac:dyDescent="0.25">
      <c r="A1739" s="111">
        <v>592</v>
      </c>
      <c r="B1739" s="128" t="str">
        <f t="shared" si="1301"/>
        <v>N</v>
      </c>
      <c r="C1739" s="128" t="str">
        <f t="shared" si="1302"/>
        <v>N</v>
      </c>
      <c r="D1739" s="117">
        <v>2248778</v>
      </c>
      <c r="E1739" s="135">
        <f t="shared" si="1303"/>
        <v>4</v>
      </c>
      <c r="F1739" s="124">
        <v>40932</v>
      </c>
      <c r="G1739" s="125">
        <v>41066</v>
      </c>
      <c r="H1739" s="117">
        <v>2248778</v>
      </c>
      <c r="I1739" s="124">
        <v>40940</v>
      </c>
      <c r="J1739" s="124">
        <v>40950</v>
      </c>
      <c r="K1739" s="126">
        <v>15000</v>
      </c>
      <c r="L1739" s="127" t="s">
        <v>571</v>
      </c>
      <c r="M1739" s="125">
        <v>40950</v>
      </c>
      <c r="N1739" s="129" t="str">
        <f t="shared" si="1321"/>
        <v>Y</v>
      </c>
      <c r="O1739" s="128" t="s">
        <v>585</v>
      </c>
      <c r="P1739" s="129" t="s">
        <v>39</v>
      </c>
      <c r="Q1739" s="111">
        <f t="shared" si="1294"/>
        <v>11</v>
      </c>
      <c r="R1739" s="111">
        <f t="shared" si="1273"/>
        <v>135</v>
      </c>
      <c r="S1739" s="129">
        <v>4</v>
      </c>
      <c r="T1739" s="129">
        <v>2</v>
      </c>
      <c r="U1739" s="129">
        <v>3</v>
      </c>
      <c r="W1739" s="111"/>
      <c r="AC1739" s="130"/>
      <c r="AD1739" s="130">
        <v>32533</v>
      </c>
      <c r="AE1739" s="128" t="s">
        <v>32</v>
      </c>
      <c r="AF1739" s="128" t="s">
        <v>33</v>
      </c>
      <c r="AG1739" s="128" t="s">
        <v>872</v>
      </c>
      <c r="AH1739" s="108" t="s">
        <v>58</v>
      </c>
      <c r="AI1739" s="128" t="s">
        <v>53</v>
      </c>
      <c r="AJ1739" s="129" t="s">
        <v>89</v>
      </c>
      <c r="AK1739" s="129">
        <v>8</v>
      </c>
      <c r="AL1739" s="3" t="s">
        <v>991</v>
      </c>
      <c r="AO1739" s="128">
        <v>180</v>
      </c>
      <c r="AP1739" s="129" t="s">
        <v>127</v>
      </c>
      <c r="AR1739" s="128" t="s">
        <v>44</v>
      </c>
      <c r="AS1739" s="129" t="s">
        <v>82</v>
      </c>
      <c r="BC1739" s="129" t="s">
        <v>52</v>
      </c>
      <c r="BF1739" s="111">
        <f t="shared" si="1295"/>
        <v>11</v>
      </c>
      <c r="BG1739" s="111">
        <f t="shared" si="1296"/>
        <v>127</v>
      </c>
      <c r="BH1739" s="111">
        <f t="shared" si="1297"/>
        <v>135</v>
      </c>
      <c r="BI1739" s="111">
        <f t="shared" si="1298"/>
        <v>22.948087431693988</v>
      </c>
      <c r="BJ1739" s="129">
        <f>(G1739-J1739)+(M1739-G1739)</f>
        <v>0</v>
      </c>
      <c r="BK1739" s="129">
        <f t="shared" si="1299"/>
        <v>-116</v>
      </c>
      <c r="BL1739" s="129" t="str">
        <f t="shared" si="1277"/>
        <v>CONVICTION</v>
      </c>
      <c r="BM1739" s="129" t="s">
        <v>76</v>
      </c>
      <c r="BN1739" s="129" t="s">
        <v>88</v>
      </c>
      <c r="BP1739" s="137" t="str">
        <f t="shared" si="1306"/>
        <v>CONVICTION</v>
      </c>
      <c r="BQ1739" s="128" t="str">
        <f t="shared" si="1307"/>
        <v>Y</v>
      </c>
      <c r="BR1739" s="129" t="str">
        <f>IF(J1739&lt;G1739,"ON BOND",0)</f>
        <v>ON BOND</v>
      </c>
      <c r="BS1739" s="129" t="str">
        <f t="shared" si="1309"/>
        <v>DISPOSED</v>
      </c>
      <c r="BT1739" s="129" t="str">
        <f t="shared" si="1310"/>
        <v>Y</v>
      </c>
      <c r="BU1739" s="109">
        <f t="shared" si="1311"/>
        <v>8.1481481481481488E-2</v>
      </c>
      <c r="BV1739" s="109">
        <f t="shared" si="1312"/>
        <v>8.6614173228346455E-2</v>
      </c>
      <c r="BW1739" s="109">
        <f t="shared" si="1293"/>
        <v>5.1326917468649674E-3</v>
      </c>
      <c r="BX1739" s="111">
        <f t="shared" si="1313"/>
        <v>0</v>
      </c>
      <c r="BY1739" s="129">
        <f t="shared" si="1314"/>
        <v>-11</v>
      </c>
      <c r="BZ1739" s="111">
        <f t="shared" si="1315"/>
        <v>0</v>
      </c>
      <c r="CA1739" s="138">
        <f t="shared" si="1316"/>
        <v>11</v>
      </c>
      <c r="CB1739" s="111" t="e">
        <f t="shared" si="1300"/>
        <v>#VALUE!</v>
      </c>
      <c r="CC1739" s="129">
        <f>M1739-I1739+1</f>
        <v>11</v>
      </c>
      <c r="CD1739" s="111">
        <f>CC1739-BF1739</f>
        <v>0</v>
      </c>
      <c r="CG1739" s="129" t="str">
        <f t="shared" si="1317"/>
        <v>Y</v>
      </c>
      <c r="CI1739" s="129" t="str">
        <f t="shared" si="1318"/>
        <v>11-30 DAYS</v>
      </c>
      <c r="CJ1739" s="137">
        <f t="shared" si="1319"/>
        <v>2</v>
      </c>
      <c r="CK1739" s="129" t="str">
        <f t="shared" si="1320"/>
        <v>Booked</v>
      </c>
    </row>
    <row r="1740" spans="1:89" ht="15" customHeight="1" x14ac:dyDescent="0.25">
      <c r="A1740" s="111">
        <v>2521</v>
      </c>
      <c r="B1740" s="128" t="str">
        <f t="shared" si="1301"/>
        <v>Y</v>
      </c>
      <c r="C1740" s="128" t="str">
        <f t="shared" si="1302"/>
        <v>N</v>
      </c>
      <c r="D1740" s="117">
        <v>2249106</v>
      </c>
      <c r="E1740" s="135">
        <f t="shared" si="1303"/>
        <v>1</v>
      </c>
      <c r="F1740" s="124">
        <v>41003</v>
      </c>
      <c r="G1740" s="125">
        <v>41008</v>
      </c>
      <c r="H1740" s="117">
        <v>2249106</v>
      </c>
      <c r="I1740" s="124" t="s">
        <v>562</v>
      </c>
      <c r="J1740" s="124" t="s">
        <v>562</v>
      </c>
      <c r="K1740" s="126" t="s">
        <v>564</v>
      </c>
      <c r="L1740" s="127" t="s">
        <v>564</v>
      </c>
      <c r="N1740" s="124" t="s">
        <v>1342</v>
      </c>
      <c r="O1740" s="128" t="s">
        <v>917</v>
      </c>
      <c r="P1740" s="129" t="s">
        <v>55</v>
      </c>
      <c r="Q1740" s="111">
        <f t="shared" si="1294"/>
        <v>0</v>
      </c>
      <c r="R1740" s="111">
        <f t="shared" si="1273"/>
        <v>6</v>
      </c>
      <c r="S1740" s="129">
        <v>0</v>
      </c>
      <c r="T1740" s="129">
        <v>3</v>
      </c>
      <c r="W1740" s="111"/>
      <c r="AC1740" s="130"/>
      <c r="AD1740" s="130">
        <v>28011</v>
      </c>
      <c r="AE1740" s="128" t="s">
        <v>32</v>
      </c>
      <c r="AF1740" s="128" t="s">
        <v>40</v>
      </c>
      <c r="AG1740" s="128" t="s">
        <v>41</v>
      </c>
      <c r="AH1740" s="108" t="s">
        <v>41</v>
      </c>
      <c r="AI1740" s="128" t="s">
        <v>90</v>
      </c>
      <c r="AJ1740" s="129" t="s">
        <v>55</v>
      </c>
      <c r="AK1740" s="129">
        <v>1</v>
      </c>
      <c r="AL1740" s="3" t="s">
        <v>55</v>
      </c>
      <c r="AP1740" s="129" t="s">
        <v>101</v>
      </c>
      <c r="AR1740" s="128" t="s">
        <v>67</v>
      </c>
      <c r="AS1740" s="129" t="s">
        <v>64</v>
      </c>
      <c r="BC1740" s="129" t="s">
        <v>79</v>
      </c>
      <c r="BD1740" s="129" t="s">
        <v>1222</v>
      </c>
      <c r="BF1740" s="111">
        <v>0</v>
      </c>
      <c r="BG1740" s="111">
        <v>0</v>
      </c>
      <c r="BH1740" s="111">
        <f t="shared" si="1297"/>
        <v>6</v>
      </c>
      <c r="BI1740" s="111">
        <f t="shared" si="1298"/>
        <v>35.497267759562838</v>
      </c>
      <c r="BJ1740" s="129" t="e">
        <f>(G1740-J1740)+(M1740-G1740)</f>
        <v>#VALUE!</v>
      </c>
      <c r="BK1740" s="129" t="e">
        <f t="shared" si="1299"/>
        <v>#VALUE!</v>
      </c>
      <c r="BL1740" s="129" t="str">
        <f t="shared" si="1277"/>
        <v>NO CONVICTION</v>
      </c>
      <c r="BM1740" s="129" t="str">
        <f t="shared" si="1305"/>
        <v>NONE</v>
      </c>
      <c r="BN1740" s="129" t="s">
        <v>566</v>
      </c>
      <c r="BP1740" s="137" t="str">
        <f t="shared" si="1306"/>
        <v>NO CONVICTION</v>
      </c>
      <c r="BQ1740" s="128">
        <f t="shared" si="1307"/>
        <v>0</v>
      </c>
      <c r="BR1740" s="129" t="s">
        <v>1345</v>
      </c>
      <c r="BS1740" s="129" t="str">
        <f t="shared" si="1309"/>
        <v>DISPOSED</v>
      </c>
      <c r="BT1740" s="129" t="str">
        <f t="shared" si="1310"/>
        <v>N</v>
      </c>
      <c r="BU1740" s="109">
        <f>IFERROR(Q1740/R1740,BR1740)</f>
        <v>0</v>
      </c>
      <c r="BV1740" s="109">
        <v>0</v>
      </c>
      <c r="BW1740" s="109">
        <f t="shared" si="1293"/>
        <v>0</v>
      </c>
      <c r="BX1740" s="111">
        <f t="shared" si="1313"/>
        <v>0</v>
      </c>
      <c r="BY1740" s="129" t="e">
        <f t="shared" si="1314"/>
        <v>#VALUE!</v>
      </c>
      <c r="BZ1740" s="111" t="e">
        <f t="shared" si="1315"/>
        <v>#VALUE!</v>
      </c>
      <c r="CA1740" s="138" t="e">
        <f t="shared" si="1316"/>
        <v>#VALUE!</v>
      </c>
      <c r="CB1740" s="111">
        <v>0</v>
      </c>
      <c r="CC1740" s="129">
        <v>0</v>
      </c>
      <c r="CG1740" s="129" t="str">
        <f t="shared" si="1317"/>
        <v>Y</v>
      </c>
      <c r="CI1740" s="129" t="str">
        <f t="shared" si="1318"/>
        <v>0-10 DAYS</v>
      </c>
      <c r="CJ1740" s="137">
        <f t="shared" si="1319"/>
        <v>1</v>
      </c>
      <c r="CK1740" s="129" t="str">
        <f t="shared" si="1320"/>
        <v>Not Booked</v>
      </c>
    </row>
    <row r="1741" spans="1:89" ht="15" customHeight="1" x14ac:dyDescent="0.25">
      <c r="A1741" s="111">
        <v>3188</v>
      </c>
      <c r="B1741" s="128" t="str">
        <f t="shared" si="1301"/>
        <v>N</v>
      </c>
      <c r="C1741" s="128" t="str">
        <f t="shared" si="1302"/>
        <v>Y</v>
      </c>
      <c r="D1741" s="117">
        <v>2249235</v>
      </c>
      <c r="E1741" s="135">
        <f t="shared" si="1303"/>
        <v>2</v>
      </c>
      <c r="F1741" s="124">
        <v>41026</v>
      </c>
      <c r="G1741" s="125">
        <v>41439</v>
      </c>
      <c r="H1741" s="117">
        <v>2249235</v>
      </c>
      <c r="I1741" s="124">
        <v>41115</v>
      </c>
      <c r="J1741" s="124">
        <v>41116</v>
      </c>
      <c r="K1741" s="126">
        <v>30000</v>
      </c>
      <c r="L1741" s="129" t="s">
        <v>572</v>
      </c>
      <c r="M1741" s="124">
        <v>41116</v>
      </c>
      <c r="N1741" s="129" t="str">
        <f>IF(M1741&gt;1/1/1,"Y","N")</f>
        <v>Y</v>
      </c>
      <c r="O1741" s="128" t="s">
        <v>585</v>
      </c>
      <c r="P1741" s="129" t="s">
        <v>589</v>
      </c>
      <c r="Q1741" s="111">
        <v>2</v>
      </c>
      <c r="R1741" s="111">
        <f t="shared" si="1273"/>
        <v>414</v>
      </c>
      <c r="S1741" s="129">
        <v>0</v>
      </c>
      <c r="T1741" s="129">
        <v>1</v>
      </c>
      <c r="W1741" s="111"/>
      <c r="AC1741" s="130"/>
      <c r="AD1741" s="130">
        <v>31673</v>
      </c>
      <c r="AE1741" s="128" t="s">
        <v>46</v>
      </c>
      <c r="AF1741" s="128" t="s">
        <v>33</v>
      </c>
      <c r="AG1741" s="128" t="s">
        <v>872</v>
      </c>
      <c r="AH1741" s="108" t="s">
        <v>31</v>
      </c>
      <c r="AI1741" s="128" t="s">
        <v>71</v>
      </c>
      <c r="AJ1741" s="129" t="s">
        <v>48</v>
      </c>
      <c r="AK1741" s="129">
        <v>13</v>
      </c>
      <c r="AL1741" s="3" t="s">
        <v>48</v>
      </c>
      <c r="AP1741" s="129" t="s">
        <v>56</v>
      </c>
      <c r="AR1741" s="128" t="s">
        <v>50</v>
      </c>
      <c r="AS1741" s="129" t="s">
        <v>57</v>
      </c>
      <c r="AT1741" s="129" t="s">
        <v>965</v>
      </c>
      <c r="AU1741" s="3" t="s">
        <v>966</v>
      </c>
      <c r="AX1741" s="32" t="s">
        <v>88</v>
      </c>
      <c r="BC1741" s="129" t="s">
        <v>52</v>
      </c>
      <c r="BF1741" s="111">
        <v>2</v>
      </c>
      <c r="BG1741" s="111">
        <f t="shared" ref="BG1741:BG1750" si="1322">IF(G1741&gt;1/1/1900,((G1741+1)-I1741),"STILL OPEN")</f>
        <v>325</v>
      </c>
      <c r="BH1741" s="111">
        <f t="shared" si="1297"/>
        <v>414</v>
      </c>
      <c r="BI1741" s="111">
        <f t="shared" si="1298"/>
        <v>25.55464480874317</v>
      </c>
      <c r="BJ1741" s="129">
        <f>(G1741-J1741)+(M1741-G1741)</f>
        <v>0</v>
      </c>
      <c r="BK1741" s="129">
        <f t="shared" si="1299"/>
        <v>-323</v>
      </c>
      <c r="BL1741" s="129" t="str">
        <f t="shared" si="1277"/>
        <v>DEFERRED</v>
      </c>
      <c r="BM1741" s="129" t="s">
        <v>76</v>
      </c>
      <c r="BN1741" s="129" t="s">
        <v>88</v>
      </c>
      <c r="BP1741" s="137" t="str">
        <f t="shared" si="1306"/>
        <v>DEFERRED</v>
      </c>
      <c r="BQ1741" s="128" t="str">
        <f t="shared" si="1307"/>
        <v>Y</v>
      </c>
      <c r="BR1741" s="129" t="str">
        <f t="shared" si="1308"/>
        <v>ON BOND</v>
      </c>
      <c r="BS1741" s="129" t="str">
        <f t="shared" si="1309"/>
        <v>DISPOSED</v>
      </c>
      <c r="BT1741" s="129" t="str">
        <f t="shared" si="1310"/>
        <v>N</v>
      </c>
      <c r="BU1741" s="109">
        <f t="shared" si="1311"/>
        <v>4.830917874396135E-3</v>
      </c>
      <c r="BV1741" s="109">
        <f t="shared" si="1312"/>
        <v>6.1538461538461538E-3</v>
      </c>
      <c r="BW1741" s="109">
        <f t="shared" si="1293"/>
        <v>1.3229282794500188E-3</v>
      </c>
      <c r="BX1741" s="111">
        <f t="shared" si="1313"/>
        <v>0</v>
      </c>
      <c r="BY1741" s="129">
        <f t="shared" si="1314"/>
        <v>-2</v>
      </c>
      <c r="BZ1741" s="111">
        <f t="shared" si="1315"/>
        <v>0</v>
      </c>
      <c r="CA1741" s="138">
        <f t="shared" si="1316"/>
        <v>2</v>
      </c>
      <c r="CB1741" s="111">
        <v>2</v>
      </c>
      <c r="CD1741" s="129">
        <f>G1741-J1741</f>
        <v>323</v>
      </c>
      <c r="CG1741" s="129" t="str">
        <f t="shared" si="1317"/>
        <v>Y</v>
      </c>
      <c r="CI1741" s="129" t="str">
        <f t="shared" si="1318"/>
        <v>0-10 DAYS</v>
      </c>
      <c r="CJ1741" s="137">
        <f t="shared" si="1319"/>
        <v>1</v>
      </c>
      <c r="CK1741" s="129" t="str">
        <f t="shared" si="1320"/>
        <v>Booked</v>
      </c>
    </row>
    <row r="1742" spans="1:89" ht="15" customHeight="1" x14ac:dyDescent="0.25">
      <c r="A1742" s="111">
        <v>794</v>
      </c>
      <c r="B1742" s="128" t="str">
        <f t="shared" si="1301"/>
        <v>N</v>
      </c>
      <c r="C1742" s="128" t="str">
        <f t="shared" si="1302"/>
        <v>N</v>
      </c>
      <c r="D1742" s="117">
        <v>2250706</v>
      </c>
      <c r="E1742" s="135">
        <f t="shared" si="1303"/>
        <v>6</v>
      </c>
      <c r="F1742" s="124">
        <v>40939</v>
      </c>
      <c r="G1742" s="125">
        <v>41313</v>
      </c>
      <c r="H1742" s="117">
        <v>2250706</v>
      </c>
      <c r="I1742" s="124">
        <v>40939</v>
      </c>
      <c r="J1742" s="125">
        <v>41313</v>
      </c>
      <c r="K1742" s="126" t="s">
        <v>564</v>
      </c>
      <c r="L1742" s="127" t="s">
        <v>564</v>
      </c>
      <c r="N1742" s="129" t="s">
        <v>566</v>
      </c>
      <c r="O1742" s="128" t="s">
        <v>917</v>
      </c>
      <c r="P1742" s="129" t="s">
        <v>39</v>
      </c>
      <c r="Q1742" s="111">
        <f t="shared" ref="Q1742:Q1773" si="1323">BF1742</f>
        <v>375</v>
      </c>
      <c r="R1742" s="111">
        <f t="shared" si="1273"/>
        <v>375</v>
      </c>
      <c r="S1742" s="129">
        <v>0</v>
      </c>
      <c r="T1742" s="129">
        <v>7</v>
      </c>
      <c r="W1742" s="111"/>
      <c r="AC1742" s="130"/>
      <c r="AD1742" s="130">
        <v>30311</v>
      </c>
      <c r="AE1742" s="128" t="s">
        <v>32</v>
      </c>
      <c r="AF1742" s="128" t="s">
        <v>33</v>
      </c>
      <c r="AG1742" s="128" t="s">
        <v>872</v>
      </c>
      <c r="AH1742" s="108" t="s">
        <v>58</v>
      </c>
      <c r="AI1742" s="128" t="s">
        <v>65</v>
      </c>
      <c r="AJ1742" s="129" t="s">
        <v>89</v>
      </c>
      <c r="AK1742" s="129">
        <v>14</v>
      </c>
      <c r="AL1742" s="3" t="s">
        <v>362</v>
      </c>
      <c r="AM1742" s="117">
        <v>5</v>
      </c>
      <c r="AP1742" s="129" t="s">
        <v>105</v>
      </c>
      <c r="AR1742" s="128" t="s">
        <v>92</v>
      </c>
      <c r="AS1742" s="129" t="s">
        <v>106</v>
      </c>
      <c r="BC1742" s="129" t="s">
        <v>52</v>
      </c>
      <c r="BF1742" s="111">
        <f t="shared" ref="BF1742:BF1749" si="1324">IF(J1742&gt;1/1/1900,((J1742+1)-I1742),"STILL OPEN")</f>
        <v>375</v>
      </c>
      <c r="BG1742" s="111">
        <f t="shared" si="1322"/>
        <v>375</v>
      </c>
      <c r="BH1742" s="111">
        <f t="shared" si="1297"/>
        <v>375</v>
      </c>
      <c r="BI1742" s="111">
        <f t="shared" si="1298"/>
        <v>29.038251366120218</v>
      </c>
      <c r="BJ1742" s="129">
        <f t="shared" si="1304"/>
        <v>0</v>
      </c>
      <c r="BK1742" s="129">
        <f t="shared" si="1299"/>
        <v>0</v>
      </c>
      <c r="BL1742" s="129" t="str">
        <f t="shared" si="1277"/>
        <v>CONVICTION</v>
      </c>
      <c r="BM1742" s="129" t="str">
        <f t="shared" si="1305"/>
        <v>NONE</v>
      </c>
      <c r="BN1742" s="129" t="s">
        <v>566</v>
      </c>
      <c r="BP1742" s="137" t="str">
        <f t="shared" si="1306"/>
        <v>CONVICTION</v>
      </c>
      <c r="BQ1742" s="128" t="str">
        <f t="shared" si="1307"/>
        <v>Y</v>
      </c>
      <c r="BR1742" s="129" t="str">
        <f t="shared" si="1308"/>
        <v>DETAINED</v>
      </c>
      <c r="BS1742" s="129" t="str">
        <f t="shared" si="1309"/>
        <v>DISPOSED</v>
      </c>
      <c r="BT1742" s="129" t="str">
        <f t="shared" si="1310"/>
        <v>N</v>
      </c>
      <c r="BU1742" s="109">
        <f t="shared" si="1311"/>
        <v>1</v>
      </c>
      <c r="BV1742" s="109">
        <f t="shared" si="1312"/>
        <v>1</v>
      </c>
      <c r="BW1742" s="109">
        <f t="shared" si="1293"/>
        <v>0</v>
      </c>
      <c r="BX1742" s="111">
        <f t="shared" si="1313"/>
        <v>0</v>
      </c>
      <c r="BY1742" s="129">
        <f t="shared" si="1314"/>
        <v>-375</v>
      </c>
      <c r="BZ1742" s="111">
        <f t="shared" si="1315"/>
        <v>0</v>
      </c>
      <c r="CA1742" s="138">
        <f t="shared" si="1316"/>
        <v>375</v>
      </c>
      <c r="CB1742" s="111" t="e">
        <f t="shared" ref="CB1742:CB1749" si="1325">IF(AF1742&gt;1/1/1900,((AF1742+1)-AE1742),"STILL OPEN")</f>
        <v>#VALUE!</v>
      </c>
      <c r="CC1742" s="129">
        <f>G1742-I1742+1</f>
        <v>375</v>
      </c>
      <c r="CD1742" s="129">
        <f>G1742-J1742</f>
        <v>0</v>
      </c>
      <c r="CG1742" s="129" t="str">
        <f t="shared" si="1317"/>
        <v>Y</v>
      </c>
      <c r="CI1742" s="129" t="str">
        <f t="shared" si="1318"/>
        <v xml:space="preserve"> &gt;1YRS&lt;2YRS</v>
      </c>
      <c r="CJ1742" s="137">
        <f t="shared" si="1319"/>
        <v>0</v>
      </c>
      <c r="CK1742" s="129" t="str">
        <f t="shared" si="1320"/>
        <v>Booked</v>
      </c>
    </row>
    <row r="1743" spans="1:89" ht="15" customHeight="1" x14ac:dyDescent="0.25">
      <c r="A1743" s="111">
        <v>2566</v>
      </c>
      <c r="B1743" s="128" t="str">
        <f t="shared" si="1301"/>
        <v>N</v>
      </c>
      <c r="C1743" s="128" t="str">
        <f t="shared" si="1302"/>
        <v>N</v>
      </c>
      <c r="D1743" s="117">
        <v>2251883</v>
      </c>
      <c r="E1743" s="135">
        <f t="shared" si="1303"/>
        <v>6</v>
      </c>
      <c r="F1743" s="124">
        <v>41004</v>
      </c>
      <c r="G1743" s="125">
        <v>41373</v>
      </c>
      <c r="H1743" s="117">
        <v>2251883</v>
      </c>
      <c r="I1743" s="124">
        <v>41004</v>
      </c>
      <c r="J1743" s="125">
        <v>41373</v>
      </c>
      <c r="K1743" s="126">
        <v>90000</v>
      </c>
      <c r="L1743" s="129" t="s">
        <v>572</v>
      </c>
      <c r="N1743" s="129" t="str">
        <f t="shared" ref="N1743:N1750" si="1326">IF(M1743&gt;1/1/1,"Y","N")</f>
        <v>N</v>
      </c>
      <c r="O1743" s="128" t="s">
        <v>917</v>
      </c>
      <c r="P1743" s="129" t="s">
        <v>39</v>
      </c>
      <c r="Q1743" s="111">
        <f t="shared" si="1323"/>
        <v>370</v>
      </c>
      <c r="R1743" s="111">
        <f t="shared" si="1273"/>
        <v>370</v>
      </c>
      <c r="S1743" s="129">
        <v>1</v>
      </c>
      <c r="T1743" s="129">
        <v>0</v>
      </c>
      <c r="W1743" s="111"/>
      <c r="AC1743" s="130"/>
      <c r="AD1743" s="130">
        <v>32752</v>
      </c>
      <c r="AE1743" s="128" t="s">
        <v>46</v>
      </c>
      <c r="AF1743" s="128" t="s">
        <v>69</v>
      </c>
      <c r="AG1743" s="128" t="s">
        <v>874</v>
      </c>
      <c r="AH1743" s="108" t="s">
        <v>31</v>
      </c>
      <c r="AI1743" s="128" t="s">
        <v>62</v>
      </c>
      <c r="AJ1743" s="129" t="s">
        <v>89</v>
      </c>
      <c r="AK1743" s="129">
        <v>12</v>
      </c>
      <c r="AL1743" s="3" t="s">
        <v>362</v>
      </c>
      <c r="AM1743" s="117">
        <v>11</v>
      </c>
      <c r="AP1743" s="129" t="s">
        <v>456</v>
      </c>
      <c r="AR1743" s="128" t="s">
        <v>50</v>
      </c>
      <c r="AS1743" s="129" t="s">
        <v>180</v>
      </c>
      <c r="BC1743" s="129" t="s">
        <v>52</v>
      </c>
      <c r="BF1743" s="111">
        <f t="shared" si="1324"/>
        <v>370</v>
      </c>
      <c r="BG1743" s="111">
        <f t="shared" si="1322"/>
        <v>370</v>
      </c>
      <c r="BH1743" s="111">
        <f t="shared" si="1297"/>
        <v>370</v>
      </c>
      <c r="BI1743" s="111">
        <f t="shared" si="1298"/>
        <v>22.546448087431695</v>
      </c>
      <c r="BJ1743" s="129">
        <f t="shared" si="1304"/>
        <v>0</v>
      </c>
      <c r="BK1743" s="129">
        <f t="shared" si="1299"/>
        <v>0</v>
      </c>
      <c r="BL1743" s="129" t="str">
        <f t="shared" si="1277"/>
        <v>CONVICTION</v>
      </c>
      <c r="BM1743" s="129" t="str">
        <f t="shared" si="1305"/>
        <v>NONE</v>
      </c>
      <c r="BN1743" s="129" t="s">
        <v>566</v>
      </c>
      <c r="BP1743" s="137" t="str">
        <f t="shared" si="1306"/>
        <v>CONVICTION</v>
      </c>
      <c r="BQ1743" s="128" t="str">
        <f t="shared" si="1307"/>
        <v>Y</v>
      </c>
      <c r="BR1743" s="129" t="str">
        <f t="shared" si="1308"/>
        <v>DETAINED</v>
      </c>
      <c r="BS1743" s="129" t="str">
        <f t="shared" si="1309"/>
        <v>DISPOSED</v>
      </c>
      <c r="BT1743" s="129" t="str">
        <f t="shared" si="1310"/>
        <v>Y</v>
      </c>
      <c r="BU1743" s="109">
        <f t="shared" si="1311"/>
        <v>1</v>
      </c>
      <c r="BV1743" s="109">
        <f t="shared" si="1312"/>
        <v>1</v>
      </c>
      <c r="BW1743" s="109">
        <f t="shared" si="1293"/>
        <v>0</v>
      </c>
      <c r="BX1743" s="111">
        <f t="shared" si="1313"/>
        <v>0</v>
      </c>
      <c r="BY1743" s="129">
        <f t="shared" si="1314"/>
        <v>-370</v>
      </c>
      <c r="BZ1743" s="111">
        <f t="shared" si="1315"/>
        <v>0</v>
      </c>
      <c r="CA1743" s="138">
        <f t="shared" si="1316"/>
        <v>370</v>
      </c>
      <c r="CB1743" s="111" t="e">
        <f t="shared" si="1325"/>
        <v>#VALUE!</v>
      </c>
      <c r="CC1743" s="129">
        <f>G1743-I1743+1</f>
        <v>370</v>
      </c>
      <c r="CD1743" s="129">
        <f>G1743-J1743</f>
        <v>0</v>
      </c>
      <c r="CG1743" s="129" t="str">
        <f t="shared" si="1317"/>
        <v>Y</v>
      </c>
      <c r="CI1743" s="129" t="str">
        <f t="shared" si="1318"/>
        <v xml:space="preserve"> &gt;1YRS&lt;2YRS</v>
      </c>
      <c r="CJ1743" s="137">
        <f t="shared" si="1319"/>
        <v>0</v>
      </c>
      <c r="CK1743" s="129" t="str">
        <f t="shared" si="1320"/>
        <v>Booked</v>
      </c>
    </row>
    <row r="1744" spans="1:89" ht="15.75" customHeight="1" x14ac:dyDescent="0.25">
      <c r="A1744" s="111">
        <v>1712</v>
      </c>
      <c r="B1744" s="128" t="str">
        <f t="shared" si="1301"/>
        <v>N</v>
      </c>
      <c r="C1744" s="128" t="str">
        <f t="shared" si="1302"/>
        <v>N</v>
      </c>
      <c r="D1744" s="117">
        <v>2252143</v>
      </c>
      <c r="E1744" s="135">
        <f t="shared" si="1303"/>
        <v>5</v>
      </c>
      <c r="F1744" s="124">
        <v>40972</v>
      </c>
      <c r="G1744" s="125">
        <v>40995</v>
      </c>
      <c r="H1744" s="117">
        <v>2252143</v>
      </c>
      <c r="I1744" s="124">
        <v>40972</v>
      </c>
      <c r="J1744" s="124">
        <v>40995</v>
      </c>
      <c r="K1744" s="126">
        <v>15000</v>
      </c>
      <c r="L1744" s="127" t="s">
        <v>571</v>
      </c>
      <c r="N1744" s="129" t="str">
        <f t="shared" si="1326"/>
        <v>N</v>
      </c>
      <c r="O1744" s="128" t="s">
        <v>917</v>
      </c>
      <c r="P1744" s="129" t="s">
        <v>39</v>
      </c>
      <c r="Q1744" s="111">
        <f t="shared" si="1323"/>
        <v>24</v>
      </c>
      <c r="R1744" s="111">
        <f t="shared" si="1273"/>
        <v>24</v>
      </c>
      <c r="S1744" s="129">
        <v>8</v>
      </c>
      <c r="T1744" s="129">
        <v>10</v>
      </c>
      <c r="U1744" s="129">
        <v>4</v>
      </c>
      <c r="W1744" s="111"/>
      <c r="AC1744" s="130"/>
      <c r="AD1744" s="130">
        <v>32710</v>
      </c>
      <c r="AE1744" s="128" t="s">
        <v>46</v>
      </c>
      <c r="AF1744" s="128" t="s">
        <v>33</v>
      </c>
      <c r="AG1744" s="128" t="s">
        <v>872</v>
      </c>
      <c r="AH1744" s="108" t="s">
        <v>58</v>
      </c>
      <c r="AI1744" s="128" t="s">
        <v>90</v>
      </c>
      <c r="AJ1744" s="129" t="s">
        <v>89</v>
      </c>
      <c r="AK1744" s="129">
        <v>4</v>
      </c>
      <c r="AL1744" s="3" t="s">
        <v>992</v>
      </c>
      <c r="AN1744" s="117">
        <v>12</v>
      </c>
      <c r="AP1744" s="129" t="s">
        <v>43</v>
      </c>
      <c r="AR1744" s="128" t="s">
        <v>44</v>
      </c>
      <c r="AS1744" s="129" t="s">
        <v>45</v>
      </c>
      <c r="BC1744" s="129" t="s">
        <v>38</v>
      </c>
      <c r="BF1744" s="111">
        <f t="shared" si="1324"/>
        <v>24</v>
      </c>
      <c r="BG1744" s="111">
        <f t="shared" si="1322"/>
        <v>24</v>
      </c>
      <c r="BH1744" s="111">
        <f t="shared" si="1297"/>
        <v>24</v>
      </c>
      <c r="BI1744" s="111">
        <f t="shared" si="1298"/>
        <v>22.57377049180328</v>
      </c>
      <c r="BJ1744" s="129">
        <f t="shared" si="1304"/>
        <v>0</v>
      </c>
      <c r="BK1744" s="129">
        <f t="shared" si="1299"/>
        <v>0</v>
      </c>
      <c r="BL1744" s="129" t="str">
        <f t="shared" si="1277"/>
        <v>CONVICTION</v>
      </c>
      <c r="BM1744" s="129" t="str">
        <f t="shared" si="1305"/>
        <v>NONE</v>
      </c>
      <c r="BN1744" s="129" t="s">
        <v>566</v>
      </c>
      <c r="BP1744" s="137" t="str">
        <f t="shared" si="1306"/>
        <v>CONVICTION</v>
      </c>
      <c r="BQ1744" s="128" t="str">
        <f t="shared" si="1307"/>
        <v>Y</v>
      </c>
      <c r="BR1744" s="129" t="str">
        <f t="shared" si="1308"/>
        <v>DETAINED</v>
      </c>
      <c r="BS1744" s="129" t="str">
        <f t="shared" si="1309"/>
        <v>DISPOSED</v>
      </c>
      <c r="BT1744" s="129" t="str">
        <f t="shared" si="1310"/>
        <v>Y</v>
      </c>
      <c r="BU1744" s="109">
        <f t="shared" si="1311"/>
        <v>1</v>
      </c>
      <c r="BV1744" s="109">
        <f t="shared" si="1312"/>
        <v>1</v>
      </c>
      <c r="BW1744" s="109">
        <f t="shared" si="1293"/>
        <v>0</v>
      </c>
      <c r="BX1744" s="111">
        <f t="shared" si="1313"/>
        <v>0</v>
      </c>
      <c r="BY1744" s="129">
        <f t="shared" si="1314"/>
        <v>-24</v>
      </c>
      <c r="BZ1744" s="111">
        <f t="shared" si="1315"/>
        <v>0</v>
      </c>
      <c r="CA1744" s="138">
        <f t="shared" si="1316"/>
        <v>24</v>
      </c>
      <c r="CB1744" s="111" t="e">
        <f t="shared" si="1325"/>
        <v>#VALUE!</v>
      </c>
      <c r="CC1744" s="129">
        <f>G1744-I1744+1</f>
        <v>24</v>
      </c>
      <c r="CD1744" s="129">
        <f>G1744-J1744</f>
        <v>0</v>
      </c>
      <c r="CG1744" s="129" t="str">
        <f t="shared" si="1317"/>
        <v>Y</v>
      </c>
      <c r="CI1744" s="129" t="str">
        <f t="shared" si="1318"/>
        <v>11-30 DAYS</v>
      </c>
      <c r="CJ1744" s="137">
        <f t="shared" si="1319"/>
        <v>2</v>
      </c>
      <c r="CK1744" s="129" t="str">
        <f t="shared" si="1320"/>
        <v>Booked</v>
      </c>
    </row>
    <row r="1745" spans="1:89" ht="15" customHeight="1" x14ac:dyDescent="0.25">
      <c r="A1745" s="111">
        <v>2585</v>
      </c>
      <c r="B1745" s="128" t="str">
        <f t="shared" si="1301"/>
        <v>N</v>
      </c>
      <c r="C1745" s="128" t="str">
        <f t="shared" si="1302"/>
        <v>N</v>
      </c>
      <c r="D1745" s="117">
        <v>2252399</v>
      </c>
      <c r="E1745" s="135">
        <f t="shared" si="1303"/>
        <v>2</v>
      </c>
      <c r="F1745" s="124">
        <v>41005</v>
      </c>
      <c r="G1745" s="125">
        <v>41225</v>
      </c>
      <c r="H1745" s="117">
        <v>2252399</v>
      </c>
      <c r="I1745" s="124">
        <v>41005</v>
      </c>
      <c r="J1745" s="124">
        <v>41007</v>
      </c>
      <c r="K1745" s="126">
        <v>5000</v>
      </c>
      <c r="L1745" s="127" t="s">
        <v>569</v>
      </c>
      <c r="M1745" s="125">
        <v>41007</v>
      </c>
      <c r="N1745" s="129" t="str">
        <f t="shared" si="1326"/>
        <v>Y</v>
      </c>
      <c r="O1745" s="128" t="s">
        <v>76</v>
      </c>
      <c r="P1745" s="129" t="s">
        <v>589</v>
      </c>
      <c r="Q1745" s="111">
        <f t="shared" si="1323"/>
        <v>3</v>
      </c>
      <c r="R1745" s="111">
        <f t="shared" si="1273"/>
        <v>221</v>
      </c>
      <c r="S1745" s="129">
        <v>1</v>
      </c>
      <c r="T1745" s="129">
        <v>2</v>
      </c>
      <c r="U1745" s="129">
        <v>1</v>
      </c>
      <c r="W1745" s="111"/>
      <c r="AB1745" s="131" t="s">
        <v>112</v>
      </c>
      <c r="AC1745" s="130"/>
      <c r="AD1745" s="130">
        <v>32772</v>
      </c>
      <c r="AE1745" s="128" t="s">
        <v>46</v>
      </c>
      <c r="AF1745" s="128" t="s">
        <v>40</v>
      </c>
      <c r="AG1745" s="128" t="s">
        <v>41</v>
      </c>
      <c r="AH1745" s="108" t="s">
        <v>31</v>
      </c>
      <c r="AI1745" s="128" t="s">
        <v>83</v>
      </c>
      <c r="AJ1745" s="129" t="s">
        <v>48</v>
      </c>
      <c r="AK1745" s="129">
        <v>10</v>
      </c>
      <c r="AL1745" s="3" t="s">
        <v>48</v>
      </c>
      <c r="AP1745" s="129" t="s">
        <v>98</v>
      </c>
      <c r="AR1745" s="128" t="s">
        <v>44</v>
      </c>
      <c r="AS1745" s="129" t="s">
        <v>64</v>
      </c>
      <c r="BC1745" s="129" t="s">
        <v>52</v>
      </c>
      <c r="BF1745" s="111">
        <f t="shared" si="1324"/>
        <v>3</v>
      </c>
      <c r="BG1745" s="111">
        <f t="shared" si="1322"/>
        <v>221</v>
      </c>
      <c r="BH1745" s="111">
        <f t="shared" si="1297"/>
        <v>221</v>
      </c>
      <c r="BI1745" s="111">
        <f t="shared" si="1298"/>
        <v>22.494535519125684</v>
      </c>
      <c r="BJ1745" s="129">
        <f>(G1745-J1745)+(M1745-G1745)</f>
        <v>0</v>
      </c>
      <c r="BK1745" s="129">
        <f t="shared" si="1299"/>
        <v>-218</v>
      </c>
      <c r="BL1745" s="129" t="str">
        <f t="shared" si="1277"/>
        <v>DEFERRED</v>
      </c>
      <c r="BM1745" s="129" t="s">
        <v>76</v>
      </c>
      <c r="BN1745" s="129" t="s">
        <v>88</v>
      </c>
      <c r="BP1745" s="137" t="str">
        <f t="shared" si="1306"/>
        <v>DEFERRED</v>
      </c>
      <c r="BQ1745" s="128" t="str">
        <f t="shared" si="1307"/>
        <v>Y</v>
      </c>
      <c r="BR1745" s="129" t="str">
        <f t="shared" si="1308"/>
        <v>ON BOND</v>
      </c>
      <c r="BS1745" s="129" t="str">
        <f t="shared" si="1309"/>
        <v>DISPOSED</v>
      </c>
      <c r="BT1745" s="129" t="str">
        <f t="shared" si="1310"/>
        <v>Y</v>
      </c>
      <c r="BU1745" s="109">
        <f t="shared" si="1311"/>
        <v>1.3574660633484163E-2</v>
      </c>
      <c r="BV1745" s="109">
        <f t="shared" si="1312"/>
        <v>1.3574660633484163E-2</v>
      </c>
      <c r="BW1745" s="109">
        <f t="shared" si="1293"/>
        <v>0</v>
      </c>
      <c r="BX1745" s="111">
        <f t="shared" si="1313"/>
        <v>0</v>
      </c>
      <c r="BY1745" s="129">
        <f t="shared" si="1314"/>
        <v>-3</v>
      </c>
      <c r="BZ1745" s="111">
        <f t="shared" si="1315"/>
        <v>0</v>
      </c>
      <c r="CA1745" s="138">
        <f t="shared" si="1316"/>
        <v>3</v>
      </c>
      <c r="CB1745" s="111" t="e">
        <f t="shared" si="1325"/>
        <v>#VALUE!</v>
      </c>
      <c r="CC1745" s="129">
        <f>M1745-I1745+1</f>
        <v>3</v>
      </c>
      <c r="CD1745" s="111">
        <f>CC1745-BF1745</f>
        <v>0</v>
      </c>
      <c r="CG1745" s="129" t="str">
        <f t="shared" si="1317"/>
        <v>Y</v>
      </c>
      <c r="CI1745" s="129" t="str">
        <f t="shared" si="1318"/>
        <v>0-10 DAYS</v>
      </c>
      <c r="CJ1745" s="137">
        <f t="shared" si="1319"/>
        <v>1</v>
      </c>
      <c r="CK1745" s="129" t="str">
        <f t="shared" si="1320"/>
        <v>Booked</v>
      </c>
    </row>
    <row r="1746" spans="1:89" ht="15" customHeight="1" x14ac:dyDescent="0.25">
      <c r="A1746" s="111">
        <v>2284</v>
      </c>
      <c r="B1746" s="128" t="str">
        <f t="shared" si="1301"/>
        <v>N</v>
      </c>
      <c r="C1746" s="128" t="str">
        <f t="shared" si="1302"/>
        <v>N</v>
      </c>
      <c r="D1746" s="117">
        <v>2252824</v>
      </c>
      <c r="E1746" s="135">
        <f t="shared" si="1303"/>
        <v>2</v>
      </c>
      <c r="F1746" s="124">
        <v>40995</v>
      </c>
      <c r="G1746" s="125">
        <v>41138</v>
      </c>
      <c r="H1746" s="117">
        <v>2252824</v>
      </c>
      <c r="I1746" s="124">
        <v>40996</v>
      </c>
      <c r="J1746" s="124">
        <v>41138</v>
      </c>
      <c r="K1746" s="126">
        <v>60000</v>
      </c>
      <c r="L1746" s="129" t="s">
        <v>572</v>
      </c>
      <c r="N1746" s="129" t="str">
        <f t="shared" si="1326"/>
        <v>N</v>
      </c>
      <c r="O1746" s="128" t="s">
        <v>917</v>
      </c>
      <c r="P1746" s="129" t="s">
        <v>589</v>
      </c>
      <c r="Q1746" s="111">
        <f t="shared" si="1323"/>
        <v>143</v>
      </c>
      <c r="R1746" s="111">
        <f t="shared" ref="R1746:R1809" si="1327">BH1746</f>
        <v>144</v>
      </c>
      <c r="S1746" s="129">
        <v>0</v>
      </c>
      <c r="T1746" s="129">
        <v>0</v>
      </c>
      <c r="W1746" s="111"/>
      <c r="AC1746" s="130"/>
      <c r="AD1746" s="130">
        <v>32393</v>
      </c>
      <c r="AE1746" s="128" t="s">
        <v>32</v>
      </c>
      <c r="AF1746" s="128" t="s">
        <v>33</v>
      </c>
      <c r="AG1746" s="128" t="s">
        <v>872</v>
      </c>
      <c r="AH1746" s="108" t="s">
        <v>31</v>
      </c>
      <c r="AI1746" s="128" t="s">
        <v>95</v>
      </c>
      <c r="AJ1746" s="129" t="s">
        <v>48</v>
      </c>
      <c r="AK1746" s="129">
        <v>7</v>
      </c>
      <c r="AL1746" s="3" t="s">
        <v>48</v>
      </c>
      <c r="AO1746" s="128">
        <v>180</v>
      </c>
      <c r="AP1746" s="129" t="s">
        <v>105</v>
      </c>
      <c r="AR1746" s="128" t="s">
        <v>92</v>
      </c>
      <c r="AS1746" s="129" t="s">
        <v>106</v>
      </c>
      <c r="BC1746" s="129" t="s">
        <v>99</v>
      </c>
      <c r="BF1746" s="111">
        <f t="shared" si="1324"/>
        <v>143</v>
      </c>
      <c r="BG1746" s="111">
        <f t="shared" si="1322"/>
        <v>143</v>
      </c>
      <c r="BH1746" s="111">
        <f t="shared" si="1297"/>
        <v>144</v>
      </c>
      <c r="BI1746" s="111">
        <f t="shared" si="1298"/>
        <v>23.502732240437158</v>
      </c>
      <c r="BJ1746" s="129">
        <f t="shared" si="1304"/>
        <v>0</v>
      </c>
      <c r="BK1746" s="129">
        <f t="shared" si="1299"/>
        <v>0</v>
      </c>
      <c r="BL1746" s="129" t="str">
        <f t="shared" si="1277"/>
        <v>DEFERRED</v>
      </c>
      <c r="BM1746" s="129" t="str">
        <f t="shared" si="1305"/>
        <v>NONE</v>
      </c>
      <c r="BN1746" s="129" t="s">
        <v>566</v>
      </c>
      <c r="BP1746" s="137" t="str">
        <f t="shared" si="1306"/>
        <v>DEFERRED</v>
      </c>
      <c r="BQ1746" s="128" t="str">
        <f t="shared" si="1307"/>
        <v>Y</v>
      </c>
      <c r="BR1746" s="129" t="str">
        <f t="shared" si="1308"/>
        <v>DETAINED</v>
      </c>
      <c r="BS1746" s="129" t="str">
        <f t="shared" si="1309"/>
        <v>DISPOSED</v>
      </c>
      <c r="BT1746" s="129" t="str">
        <f t="shared" si="1310"/>
        <v>N</v>
      </c>
      <c r="BU1746" s="109">
        <f t="shared" si="1311"/>
        <v>0.99305555555555558</v>
      </c>
      <c r="BV1746" s="109">
        <f t="shared" si="1312"/>
        <v>1</v>
      </c>
      <c r="BW1746" s="109">
        <f t="shared" si="1293"/>
        <v>6.9444444444444198E-3</v>
      </c>
      <c r="BX1746" s="111">
        <f t="shared" si="1313"/>
        <v>0</v>
      </c>
      <c r="BY1746" s="129">
        <f t="shared" si="1314"/>
        <v>-143</v>
      </c>
      <c r="BZ1746" s="111">
        <f t="shared" si="1315"/>
        <v>0</v>
      </c>
      <c r="CA1746" s="138">
        <f t="shared" si="1316"/>
        <v>143</v>
      </c>
      <c r="CB1746" s="111" t="e">
        <f t="shared" si="1325"/>
        <v>#VALUE!</v>
      </c>
      <c r="CC1746" s="129">
        <f>G1746-I1746+1</f>
        <v>143</v>
      </c>
      <c r="CD1746" s="129">
        <f>G1746-J1746</f>
        <v>0</v>
      </c>
      <c r="CG1746" s="129" t="str">
        <f t="shared" si="1317"/>
        <v>N</v>
      </c>
      <c r="CI1746" s="129" t="str">
        <f t="shared" si="1318"/>
        <v>121-365 DAYS</v>
      </c>
      <c r="CJ1746" s="137">
        <f t="shared" si="1319"/>
        <v>6</v>
      </c>
      <c r="CK1746" s="129" t="str">
        <f t="shared" si="1320"/>
        <v>Booked</v>
      </c>
    </row>
    <row r="1747" spans="1:89" ht="15.75" customHeight="1" x14ac:dyDescent="0.25">
      <c r="A1747" s="111">
        <v>1408</v>
      </c>
      <c r="B1747" s="128" t="str">
        <f t="shared" si="1301"/>
        <v>N</v>
      </c>
      <c r="C1747" s="128" t="str">
        <f t="shared" si="1302"/>
        <v>N</v>
      </c>
      <c r="D1747" s="117">
        <v>2253518</v>
      </c>
      <c r="E1747" s="135">
        <f t="shared" si="1303"/>
        <v>5</v>
      </c>
      <c r="F1747" s="124">
        <v>40960</v>
      </c>
      <c r="G1747" s="125">
        <v>41081</v>
      </c>
      <c r="H1747" s="117">
        <v>2253518</v>
      </c>
      <c r="I1747" s="124">
        <v>40961</v>
      </c>
      <c r="J1747" s="124">
        <v>40963</v>
      </c>
      <c r="K1747" s="126">
        <v>15000</v>
      </c>
      <c r="L1747" s="127" t="s">
        <v>571</v>
      </c>
      <c r="M1747" s="125">
        <v>40963</v>
      </c>
      <c r="N1747" s="129" t="str">
        <f t="shared" si="1326"/>
        <v>Y</v>
      </c>
      <c r="O1747" s="128" t="s">
        <v>585</v>
      </c>
      <c r="P1747" s="129" t="s">
        <v>39</v>
      </c>
      <c r="Q1747" s="111">
        <f t="shared" si="1323"/>
        <v>3</v>
      </c>
      <c r="R1747" s="111">
        <f t="shared" si="1327"/>
        <v>122</v>
      </c>
      <c r="S1747" s="129">
        <v>4</v>
      </c>
      <c r="T1747" s="129">
        <v>9</v>
      </c>
      <c r="U1747" s="129">
        <v>3</v>
      </c>
      <c r="W1747" s="111"/>
      <c r="AC1747" s="130"/>
      <c r="AD1747" s="130">
        <v>32315</v>
      </c>
      <c r="AE1747" s="128" t="s">
        <v>32</v>
      </c>
      <c r="AF1747" s="128" t="s">
        <v>33</v>
      </c>
      <c r="AG1747" s="128" t="s">
        <v>872</v>
      </c>
      <c r="AH1747" s="108" t="s">
        <v>58</v>
      </c>
      <c r="AI1747" s="128" t="s">
        <v>53</v>
      </c>
      <c r="AJ1747" s="129" t="s">
        <v>89</v>
      </c>
      <c r="AK1747" s="129">
        <v>8</v>
      </c>
      <c r="AL1747" s="3" t="s">
        <v>992</v>
      </c>
      <c r="AN1747" s="117">
        <v>8</v>
      </c>
      <c r="AP1747" s="129" t="s">
        <v>211</v>
      </c>
      <c r="AR1747" s="128" t="s">
        <v>44</v>
      </c>
      <c r="AS1747" s="129" t="s">
        <v>82</v>
      </c>
      <c r="BC1747" s="129" t="s">
        <v>52</v>
      </c>
      <c r="BF1747" s="111">
        <f t="shared" si="1324"/>
        <v>3</v>
      </c>
      <c r="BG1747" s="111">
        <f t="shared" si="1322"/>
        <v>121</v>
      </c>
      <c r="BH1747" s="111">
        <f t="shared" si="1297"/>
        <v>122</v>
      </c>
      <c r="BI1747" s="111">
        <f t="shared" si="1298"/>
        <v>23.620218579234972</v>
      </c>
      <c r="BJ1747" s="129">
        <f>(G1747-J1747)+(M1747-G1747)</f>
        <v>0</v>
      </c>
      <c r="BK1747" s="129">
        <f t="shared" si="1299"/>
        <v>-118</v>
      </c>
      <c r="BL1747" s="129" t="str">
        <f t="shared" si="1277"/>
        <v>CONVICTION</v>
      </c>
      <c r="BM1747" s="129" t="s">
        <v>76</v>
      </c>
      <c r="BN1747" s="129" t="s">
        <v>88</v>
      </c>
      <c r="BP1747" s="137" t="str">
        <f t="shared" si="1306"/>
        <v>CONVICTION</v>
      </c>
      <c r="BQ1747" s="128" t="str">
        <f t="shared" si="1307"/>
        <v>Y</v>
      </c>
      <c r="BR1747" s="129" t="str">
        <f>IF(J1747&lt;G1747,"ON BOND",0)</f>
        <v>ON BOND</v>
      </c>
      <c r="BS1747" s="129" t="str">
        <f t="shared" si="1309"/>
        <v>DISPOSED</v>
      </c>
      <c r="BT1747" s="129" t="str">
        <f t="shared" si="1310"/>
        <v>Y</v>
      </c>
      <c r="BU1747" s="109">
        <f t="shared" si="1311"/>
        <v>2.4590163934426229E-2</v>
      </c>
      <c r="BV1747" s="109">
        <f t="shared" si="1312"/>
        <v>2.4793388429752067E-2</v>
      </c>
      <c r="BW1747" s="109">
        <f t="shared" si="1293"/>
        <v>2.0322449532583775E-4</v>
      </c>
      <c r="BX1747" s="111">
        <f t="shared" si="1313"/>
        <v>0</v>
      </c>
      <c r="BY1747" s="129">
        <f t="shared" si="1314"/>
        <v>-3</v>
      </c>
      <c r="BZ1747" s="111">
        <f t="shared" si="1315"/>
        <v>0</v>
      </c>
      <c r="CA1747" s="138">
        <f t="shared" si="1316"/>
        <v>3</v>
      </c>
      <c r="CB1747" s="111" t="e">
        <f t="shared" si="1325"/>
        <v>#VALUE!</v>
      </c>
      <c r="CC1747" s="129">
        <f>M1747-I1747+1</f>
        <v>3</v>
      </c>
      <c r="CD1747" s="111">
        <f>CC1747-BF1747</f>
        <v>0</v>
      </c>
      <c r="CG1747" s="129" t="str">
        <f t="shared" si="1317"/>
        <v>Y</v>
      </c>
      <c r="CI1747" s="129" t="str">
        <f t="shared" si="1318"/>
        <v>0-10 DAYS</v>
      </c>
      <c r="CJ1747" s="137">
        <f t="shared" si="1319"/>
        <v>1</v>
      </c>
      <c r="CK1747" s="129" t="str">
        <f t="shared" si="1320"/>
        <v>Booked</v>
      </c>
    </row>
    <row r="1748" spans="1:89" ht="15.75" customHeight="1" x14ac:dyDescent="0.25">
      <c r="A1748" s="111">
        <v>3086</v>
      </c>
      <c r="B1748" s="128" t="str">
        <f t="shared" si="1301"/>
        <v>N</v>
      </c>
      <c r="C1748" s="128" t="str">
        <f t="shared" si="1302"/>
        <v>N</v>
      </c>
      <c r="D1748" s="117">
        <v>2253601</v>
      </c>
      <c r="E1748" s="135">
        <f t="shared" si="1303"/>
        <v>2</v>
      </c>
      <c r="F1748" s="124">
        <v>41023</v>
      </c>
      <c r="G1748" s="125">
        <v>41165</v>
      </c>
      <c r="H1748" s="117">
        <v>2253601</v>
      </c>
      <c r="I1748" s="124">
        <v>41023</v>
      </c>
      <c r="J1748" s="124">
        <v>41026</v>
      </c>
      <c r="K1748" s="126">
        <v>30000</v>
      </c>
      <c r="L1748" s="129" t="s">
        <v>572</v>
      </c>
      <c r="M1748" s="125">
        <v>41026</v>
      </c>
      <c r="N1748" s="129" t="str">
        <f t="shared" si="1326"/>
        <v>Y</v>
      </c>
      <c r="O1748" s="128" t="s">
        <v>54</v>
      </c>
      <c r="P1748" s="129" t="s">
        <v>589</v>
      </c>
      <c r="Q1748" s="111">
        <f t="shared" si="1323"/>
        <v>4</v>
      </c>
      <c r="R1748" s="111">
        <f t="shared" si="1327"/>
        <v>143</v>
      </c>
      <c r="S1748" s="129">
        <v>0</v>
      </c>
      <c r="T1748" s="129">
        <v>1</v>
      </c>
      <c r="W1748" s="111"/>
      <c r="AC1748" s="130"/>
      <c r="AD1748" s="130">
        <v>32709</v>
      </c>
      <c r="AE1748" s="128" t="s">
        <v>32</v>
      </c>
      <c r="AF1748" s="128" t="s">
        <v>40</v>
      </c>
      <c r="AG1748" s="128" t="s">
        <v>41</v>
      </c>
      <c r="AH1748" s="108" t="s">
        <v>41</v>
      </c>
      <c r="AI1748" s="128" t="s">
        <v>87</v>
      </c>
      <c r="AJ1748" s="129" t="s">
        <v>48</v>
      </c>
      <c r="AK1748" s="129">
        <v>7</v>
      </c>
      <c r="AL1748" s="3" t="s">
        <v>48</v>
      </c>
      <c r="AP1748" s="129" t="s">
        <v>110</v>
      </c>
      <c r="AR1748" s="128" t="s">
        <v>50</v>
      </c>
      <c r="AS1748" s="129" t="s">
        <v>74</v>
      </c>
      <c r="AT1748" s="129" t="s">
        <v>521</v>
      </c>
      <c r="BC1748" s="129" t="s">
        <v>52</v>
      </c>
      <c r="BF1748" s="111">
        <f t="shared" si="1324"/>
        <v>4</v>
      </c>
      <c r="BG1748" s="111">
        <f t="shared" si="1322"/>
        <v>143</v>
      </c>
      <c r="BH1748" s="111">
        <f t="shared" si="1297"/>
        <v>143</v>
      </c>
      <c r="BI1748" s="111">
        <f t="shared" si="1298"/>
        <v>22.715846994535518</v>
      </c>
      <c r="BJ1748" s="129">
        <f>(G1748-J1748)+(M1748-G1748)</f>
        <v>0</v>
      </c>
      <c r="BK1748" s="129">
        <f t="shared" si="1299"/>
        <v>-139</v>
      </c>
      <c r="BL1748" s="129" t="str">
        <f t="shared" si="1277"/>
        <v>DEFERRED</v>
      </c>
      <c r="BM1748" s="129" t="s">
        <v>160</v>
      </c>
      <c r="BN1748" s="129" t="s">
        <v>88</v>
      </c>
      <c r="BP1748" s="137" t="str">
        <f t="shared" si="1306"/>
        <v>DEFERRED</v>
      </c>
      <c r="BQ1748" s="128" t="str">
        <f t="shared" si="1307"/>
        <v>Y</v>
      </c>
      <c r="BR1748" s="129" t="str">
        <f t="shared" si="1308"/>
        <v>ON BOND</v>
      </c>
      <c r="BS1748" s="129" t="str">
        <f t="shared" si="1309"/>
        <v>DISPOSED</v>
      </c>
      <c r="BT1748" s="129" t="str">
        <f t="shared" si="1310"/>
        <v>N</v>
      </c>
      <c r="BU1748" s="109">
        <f t="shared" si="1311"/>
        <v>2.7972027972027972E-2</v>
      </c>
      <c r="BV1748" s="109">
        <f t="shared" si="1312"/>
        <v>2.7972027972027972E-2</v>
      </c>
      <c r="BW1748" s="109">
        <f t="shared" si="1293"/>
        <v>0</v>
      </c>
      <c r="BX1748" s="111">
        <f t="shared" si="1313"/>
        <v>0</v>
      </c>
      <c r="BY1748" s="129">
        <f t="shared" si="1314"/>
        <v>-4</v>
      </c>
      <c r="BZ1748" s="111">
        <f t="shared" si="1315"/>
        <v>0</v>
      </c>
      <c r="CA1748" s="138">
        <f t="shared" si="1316"/>
        <v>4</v>
      </c>
      <c r="CB1748" s="111" t="e">
        <f t="shared" si="1325"/>
        <v>#VALUE!</v>
      </c>
      <c r="CC1748" s="129">
        <f>M1748-I1748+1</f>
        <v>4</v>
      </c>
      <c r="CD1748" s="111">
        <f>CC1748-BF1748</f>
        <v>0</v>
      </c>
      <c r="CG1748" s="129" t="str">
        <f t="shared" si="1317"/>
        <v>Y</v>
      </c>
      <c r="CI1748" s="129" t="str">
        <f t="shared" si="1318"/>
        <v>0-10 DAYS</v>
      </c>
      <c r="CJ1748" s="137">
        <f t="shared" si="1319"/>
        <v>1</v>
      </c>
      <c r="CK1748" s="129" t="str">
        <f t="shared" si="1320"/>
        <v>Booked</v>
      </c>
    </row>
    <row r="1749" spans="1:89" ht="15" customHeight="1" x14ac:dyDescent="0.25">
      <c r="A1749" s="111">
        <v>530</v>
      </c>
      <c r="B1749" s="128" t="str">
        <f t="shared" si="1301"/>
        <v>N</v>
      </c>
      <c r="C1749" s="128" t="str">
        <f t="shared" si="1302"/>
        <v>N</v>
      </c>
      <c r="D1749" s="117">
        <v>2253608</v>
      </c>
      <c r="E1749" s="135">
        <f t="shared" si="1303"/>
        <v>4</v>
      </c>
      <c r="F1749" s="124">
        <v>40929</v>
      </c>
      <c r="G1749" s="125">
        <v>40984</v>
      </c>
      <c r="H1749" s="117">
        <v>2253608</v>
      </c>
      <c r="I1749" s="124">
        <v>40930</v>
      </c>
      <c r="J1749" s="124">
        <v>40984</v>
      </c>
      <c r="K1749" s="126">
        <v>5000</v>
      </c>
      <c r="L1749" s="127" t="s">
        <v>569</v>
      </c>
      <c r="N1749" s="129" t="str">
        <f t="shared" si="1326"/>
        <v>N</v>
      </c>
      <c r="O1749" s="128" t="s">
        <v>917</v>
      </c>
      <c r="P1749" s="129" t="s">
        <v>39</v>
      </c>
      <c r="Q1749" s="111">
        <f t="shared" si="1323"/>
        <v>55</v>
      </c>
      <c r="R1749" s="111">
        <f t="shared" si="1327"/>
        <v>56</v>
      </c>
      <c r="S1749" s="129">
        <v>2</v>
      </c>
      <c r="T1749" s="129">
        <v>7</v>
      </c>
      <c r="W1749" s="111"/>
      <c r="AC1749" s="130"/>
      <c r="AD1749" s="130">
        <v>26829</v>
      </c>
      <c r="AE1749" s="128" t="s">
        <v>32</v>
      </c>
      <c r="AF1749" s="128" t="s">
        <v>33</v>
      </c>
      <c r="AG1749" s="128" t="s">
        <v>872</v>
      </c>
      <c r="AH1749" s="108" t="s">
        <v>58</v>
      </c>
      <c r="AI1749" s="128" t="s">
        <v>47</v>
      </c>
      <c r="AJ1749" s="129" t="s">
        <v>89</v>
      </c>
      <c r="AK1749" s="129">
        <v>5</v>
      </c>
      <c r="AL1749" s="3" t="s">
        <v>991</v>
      </c>
      <c r="AO1749" s="128">
        <v>180</v>
      </c>
      <c r="AP1749" s="129" t="s">
        <v>60</v>
      </c>
      <c r="AR1749" s="128" t="s">
        <v>44</v>
      </c>
      <c r="AS1749" s="129" t="s">
        <v>61</v>
      </c>
      <c r="BC1749" s="129" t="s">
        <v>38</v>
      </c>
      <c r="BF1749" s="111">
        <f t="shared" si="1324"/>
        <v>55</v>
      </c>
      <c r="BG1749" s="111">
        <f t="shared" si="1322"/>
        <v>55</v>
      </c>
      <c r="BH1749" s="111">
        <f t="shared" si="1297"/>
        <v>56</v>
      </c>
      <c r="BI1749" s="111">
        <f t="shared" si="1298"/>
        <v>38.524590163934427</v>
      </c>
      <c r="BJ1749" s="129">
        <f t="shared" si="1304"/>
        <v>0</v>
      </c>
      <c r="BK1749" s="129">
        <f t="shared" si="1299"/>
        <v>0</v>
      </c>
      <c r="BL1749" s="129" t="str">
        <f t="shared" ref="BL1749:BL1812" si="1328">IF(OR(AL1749="AQUITTAL",AL1749="DISMISSED",AL1749="FINE",AL1749="NO BILL"),"NO CONVICTION",IF(OR(AL1749="HCJ",AL1749="MHH",AL1749="PROBATION",AL1749="STJ",AL1749="TDC"),"CONVICTION",IF(AL1749="DEFERRED","DEFERRED",0)))</f>
        <v>CONVICTION</v>
      </c>
      <c r="BM1749" s="129" t="str">
        <f t="shared" si="1305"/>
        <v>NONE</v>
      </c>
      <c r="BN1749" s="129" t="s">
        <v>566</v>
      </c>
      <c r="BP1749" s="137" t="str">
        <f t="shared" si="1306"/>
        <v>CONVICTION</v>
      </c>
      <c r="BQ1749" s="128" t="str">
        <f t="shared" si="1307"/>
        <v>Y</v>
      </c>
      <c r="BR1749" s="129" t="str">
        <f t="shared" si="1308"/>
        <v>DETAINED</v>
      </c>
      <c r="BS1749" s="129" t="str">
        <f t="shared" si="1309"/>
        <v>DISPOSED</v>
      </c>
      <c r="BT1749" s="129" t="str">
        <f t="shared" si="1310"/>
        <v>Y</v>
      </c>
      <c r="BU1749" s="109">
        <f t="shared" si="1311"/>
        <v>0.9821428571428571</v>
      </c>
      <c r="BV1749" s="109">
        <f t="shared" si="1312"/>
        <v>1</v>
      </c>
      <c r="BW1749" s="109">
        <f t="shared" si="1293"/>
        <v>1.7857142857142905E-2</v>
      </c>
      <c r="BX1749" s="111">
        <f t="shared" si="1313"/>
        <v>0</v>
      </c>
      <c r="BY1749" s="129">
        <f t="shared" si="1314"/>
        <v>-55</v>
      </c>
      <c r="BZ1749" s="111">
        <f t="shared" si="1315"/>
        <v>0</v>
      </c>
      <c r="CA1749" s="138">
        <f t="shared" si="1316"/>
        <v>55</v>
      </c>
      <c r="CB1749" s="111" t="e">
        <f t="shared" si="1325"/>
        <v>#VALUE!</v>
      </c>
      <c r="CC1749" s="129">
        <f>G1749-I1749+1</f>
        <v>55</v>
      </c>
      <c r="CD1749" s="129">
        <f>G1749-J1749</f>
        <v>0</v>
      </c>
      <c r="CG1749" s="129" t="str">
        <f t="shared" si="1317"/>
        <v>Y</v>
      </c>
      <c r="CI1749" s="129" t="str">
        <f t="shared" si="1318"/>
        <v>31-60 DAYS</v>
      </c>
      <c r="CJ1749" s="137">
        <f t="shared" si="1319"/>
        <v>3</v>
      </c>
      <c r="CK1749" s="129" t="str">
        <f t="shared" si="1320"/>
        <v>Booked</v>
      </c>
    </row>
    <row r="1750" spans="1:89" ht="15.75" customHeight="1" x14ac:dyDescent="0.25">
      <c r="A1750" s="111">
        <v>704</v>
      </c>
      <c r="B1750" s="128" t="str">
        <f t="shared" si="1301"/>
        <v>N</v>
      </c>
      <c r="C1750" s="128" t="str">
        <f t="shared" si="1302"/>
        <v>Y</v>
      </c>
      <c r="D1750" s="117">
        <v>2254378</v>
      </c>
      <c r="E1750" s="135">
        <f t="shared" si="1303"/>
        <v>6</v>
      </c>
      <c r="F1750" s="124">
        <v>40852</v>
      </c>
      <c r="G1750" s="125">
        <v>41176</v>
      </c>
      <c r="H1750" s="117">
        <v>2254378</v>
      </c>
      <c r="I1750" s="124">
        <v>40852</v>
      </c>
      <c r="J1750" s="124">
        <v>40896</v>
      </c>
      <c r="K1750" s="126">
        <v>5000</v>
      </c>
      <c r="L1750" s="127" t="s">
        <v>569</v>
      </c>
      <c r="M1750" s="124">
        <v>40896</v>
      </c>
      <c r="N1750" s="129" t="str">
        <f t="shared" si="1326"/>
        <v>Y</v>
      </c>
      <c r="O1750" s="128" t="s">
        <v>76</v>
      </c>
      <c r="P1750" s="129" t="s">
        <v>77</v>
      </c>
      <c r="Q1750" s="111">
        <v>281</v>
      </c>
      <c r="R1750" s="111">
        <f t="shared" si="1327"/>
        <v>325</v>
      </c>
      <c r="S1750" s="129">
        <v>1</v>
      </c>
      <c r="T1750" s="129">
        <v>7</v>
      </c>
      <c r="W1750" s="111"/>
      <c r="AC1750" s="130"/>
      <c r="AD1750" s="130">
        <v>32162</v>
      </c>
      <c r="AE1750" s="128" t="s">
        <v>32</v>
      </c>
      <c r="AF1750" s="128" t="s">
        <v>69</v>
      </c>
      <c r="AG1750" s="128" t="s">
        <v>874</v>
      </c>
      <c r="AH1750" s="108" t="s">
        <v>31</v>
      </c>
      <c r="AI1750" s="128" t="s">
        <v>53</v>
      </c>
      <c r="AJ1750" s="129" t="s">
        <v>89</v>
      </c>
      <c r="AK1750" s="129">
        <v>12</v>
      </c>
      <c r="AL1750" s="3" t="s">
        <v>362</v>
      </c>
      <c r="AM1750" s="117">
        <v>2</v>
      </c>
      <c r="AP1750" s="129" t="s">
        <v>66</v>
      </c>
      <c r="AR1750" s="128" t="s">
        <v>67</v>
      </c>
      <c r="AS1750" s="129" t="s">
        <v>68</v>
      </c>
      <c r="AU1750" s="3" t="s">
        <v>806</v>
      </c>
      <c r="AX1750" s="129" t="s">
        <v>88</v>
      </c>
      <c r="BC1750" s="129" t="s">
        <v>52</v>
      </c>
      <c r="BF1750" s="111">
        <v>281</v>
      </c>
      <c r="BG1750" s="111">
        <f t="shared" si="1322"/>
        <v>325</v>
      </c>
      <c r="BH1750" s="111">
        <f t="shared" si="1297"/>
        <v>325</v>
      </c>
      <c r="BI1750" s="111">
        <f t="shared" si="1298"/>
        <v>23.743169398907103</v>
      </c>
      <c r="BJ1750" s="129">
        <f>(G1750-J1750)+(M1750-G1750)</f>
        <v>0</v>
      </c>
      <c r="BK1750" s="129">
        <f t="shared" si="1299"/>
        <v>-280</v>
      </c>
      <c r="BL1750" s="129" t="str">
        <f t="shared" si="1328"/>
        <v>CONVICTION</v>
      </c>
      <c r="BM1750" s="129" t="s">
        <v>76</v>
      </c>
      <c r="BN1750" s="129" t="s">
        <v>88</v>
      </c>
      <c r="BP1750" s="137" t="str">
        <f t="shared" si="1306"/>
        <v>CONVICTION</v>
      </c>
      <c r="BQ1750" s="128" t="str">
        <f t="shared" si="1307"/>
        <v>Y</v>
      </c>
      <c r="BR1750" s="129" t="s">
        <v>574</v>
      </c>
      <c r="BS1750" s="129" t="str">
        <f t="shared" si="1309"/>
        <v>DISPOSED</v>
      </c>
      <c r="BT1750" s="129" t="str">
        <f t="shared" si="1310"/>
        <v>Y</v>
      </c>
      <c r="BU1750" s="109">
        <f t="shared" si="1311"/>
        <v>0.86461538461538456</v>
      </c>
      <c r="BV1750" s="109">
        <f t="shared" si="1312"/>
        <v>0.13846153846153847</v>
      </c>
      <c r="BW1750" s="109">
        <f t="shared" si="1293"/>
        <v>-0.72615384615384615</v>
      </c>
      <c r="BX1750" s="111">
        <f t="shared" si="1313"/>
        <v>0</v>
      </c>
      <c r="BY1750" s="129">
        <f t="shared" si="1314"/>
        <v>-45</v>
      </c>
      <c r="BZ1750" s="111">
        <f t="shared" si="1315"/>
        <v>236</v>
      </c>
      <c r="CA1750" s="138">
        <f t="shared" si="1316"/>
        <v>325</v>
      </c>
      <c r="CB1750" s="111">
        <v>281</v>
      </c>
      <c r="CC1750" s="129">
        <f>G1750-I1750+1</f>
        <v>325</v>
      </c>
      <c r="CD1750" s="129">
        <f>G1750-J1750</f>
        <v>280</v>
      </c>
      <c r="CG1750" s="129" t="str">
        <f t="shared" si="1317"/>
        <v>Y</v>
      </c>
      <c r="CI1750" s="129" t="str">
        <f t="shared" si="1318"/>
        <v>121-365 DAYS</v>
      </c>
      <c r="CJ1750" s="137">
        <f t="shared" si="1319"/>
        <v>6</v>
      </c>
      <c r="CK1750" s="129" t="str">
        <f t="shared" si="1320"/>
        <v>Booked</v>
      </c>
    </row>
    <row r="1751" spans="1:89" ht="15.75" customHeight="1" x14ac:dyDescent="0.25">
      <c r="A1751" s="111">
        <v>1437</v>
      </c>
      <c r="B1751" s="128" t="str">
        <f t="shared" si="1301"/>
        <v>N</v>
      </c>
      <c r="C1751" s="128" t="str">
        <f t="shared" si="1302"/>
        <v>N</v>
      </c>
      <c r="D1751" s="117">
        <v>2255204</v>
      </c>
      <c r="E1751" s="135">
        <f t="shared" si="1303"/>
        <v>2</v>
      </c>
      <c r="F1751" s="124">
        <v>40961</v>
      </c>
      <c r="G1751" s="125">
        <v>41052</v>
      </c>
      <c r="H1751" s="117">
        <v>2255204</v>
      </c>
      <c r="I1751" s="124" t="s">
        <v>562</v>
      </c>
      <c r="J1751" s="124" t="s">
        <v>562</v>
      </c>
      <c r="K1751" s="126">
        <v>5000</v>
      </c>
      <c r="L1751" s="127" t="s">
        <v>569</v>
      </c>
      <c r="M1751" s="125">
        <v>40963</v>
      </c>
      <c r="N1751" s="129" t="str">
        <f>IF(M1751&gt;1/1/1,"Y",IF(Q1751="0","","N"))</f>
        <v>Y</v>
      </c>
      <c r="O1751" s="128" t="s">
        <v>76</v>
      </c>
      <c r="P1751" s="129" t="s">
        <v>589</v>
      </c>
      <c r="Q1751" s="111">
        <f t="shared" si="1323"/>
        <v>0</v>
      </c>
      <c r="R1751" s="111">
        <f t="shared" si="1327"/>
        <v>92</v>
      </c>
      <c r="S1751" s="129">
        <v>1</v>
      </c>
      <c r="T1751" s="129">
        <v>1</v>
      </c>
      <c r="W1751" s="111"/>
      <c r="AB1751" s="131" t="s">
        <v>112</v>
      </c>
      <c r="AC1751" s="130"/>
      <c r="AD1751" s="130">
        <v>32351</v>
      </c>
      <c r="AE1751" s="128" t="s">
        <v>32</v>
      </c>
      <c r="AF1751" s="128" t="s">
        <v>40</v>
      </c>
      <c r="AG1751" s="128" t="s">
        <v>41</v>
      </c>
      <c r="AH1751" s="108" t="s">
        <v>31</v>
      </c>
      <c r="AI1751" s="128" t="s">
        <v>72</v>
      </c>
      <c r="AJ1751" s="129" t="s">
        <v>48</v>
      </c>
      <c r="AK1751" s="129">
        <v>4</v>
      </c>
      <c r="AL1751" s="3" t="s">
        <v>48</v>
      </c>
      <c r="AP1751" s="129" t="s">
        <v>43</v>
      </c>
      <c r="AR1751" s="128" t="s">
        <v>44</v>
      </c>
      <c r="AS1751" s="129" t="s">
        <v>45</v>
      </c>
      <c r="BC1751" s="129" t="s">
        <v>52</v>
      </c>
      <c r="BF1751" s="111">
        <v>0</v>
      </c>
      <c r="BG1751" s="111">
        <v>0</v>
      </c>
      <c r="BH1751" s="111">
        <f t="shared" si="1297"/>
        <v>92</v>
      </c>
      <c r="BI1751" s="111">
        <f t="shared" si="1298"/>
        <v>23.524590163934427</v>
      </c>
      <c r="BJ1751" s="129" t="e">
        <f>(G1751-J1751)+(M1751-G1751)</f>
        <v>#VALUE!</v>
      </c>
      <c r="BK1751" s="129" t="e">
        <f t="shared" si="1299"/>
        <v>#VALUE!</v>
      </c>
      <c r="BL1751" s="129" t="str">
        <f t="shared" si="1328"/>
        <v>DEFERRED</v>
      </c>
      <c r="BM1751" s="129" t="s">
        <v>76</v>
      </c>
      <c r="BN1751" s="129" t="s">
        <v>88</v>
      </c>
      <c r="BP1751" s="137" t="str">
        <f t="shared" si="1306"/>
        <v>DEFERRED</v>
      </c>
      <c r="BQ1751" s="128">
        <f t="shared" si="1307"/>
        <v>0</v>
      </c>
      <c r="BR1751" s="129" t="s">
        <v>575</v>
      </c>
      <c r="BS1751" s="129" t="str">
        <f t="shared" si="1309"/>
        <v>DISPOSED</v>
      </c>
      <c r="BT1751" s="129" t="str">
        <f t="shared" si="1310"/>
        <v>Y</v>
      </c>
      <c r="BU1751" s="109">
        <f t="shared" si="1311"/>
        <v>0</v>
      </c>
      <c r="BV1751" s="109">
        <v>0</v>
      </c>
      <c r="BW1751" s="109">
        <f t="shared" si="1293"/>
        <v>0</v>
      </c>
      <c r="BX1751" s="111">
        <f t="shared" si="1313"/>
        <v>0</v>
      </c>
      <c r="BY1751" s="129" t="e">
        <f t="shared" si="1314"/>
        <v>#VALUE!</v>
      </c>
      <c r="BZ1751" s="111" t="e">
        <f t="shared" si="1315"/>
        <v>#VALUE!</v>
      </c>
      <c r="CA1751" s="138" t="e">
        <f t="shared" si="1316"/>
        <v>#VALUE!</v>
      </c>
      <c r="CB1751" s="111">
        <v>0</v>
      </c>
      <c r="CC1751" s="129">
        <v>0</v>
      </c>
      <c r="CD1751" s="111">
        <f>CC1751-BF1751</f>
        <v>0</v>
      </c>
      <c r="CG1751" s="129" t="str">
        <f t="shared" si="1317"/>
        <v>Y</v>
      </c>
      <c r="CI1751" s="129" t="str">
        <f t="shared" si="1318"/>
        <v>0-10 DAYS</v>
      </c>
      <c r="CJ1751" s="137">
        <f t="shared" si="1319"/>
        <v>1</v>
      </c>
      <c r="CK1751" s="129" t="str">
        <f t="shared" si="1320"/>
        <v>Not Booked</v>
      </c>
    </row>
    <row r="1752" spans="1:89" ht="15.75" customHeight="1" x14ac:dyDescent="0.25">
      <c r="A1752" s="111">
        <v>3007</v>
      </c>
      <c r="B1752" s="128" t="str">
        <f t="shared" si="1301"/>
        <v>N</v>
      </c>
      <c r="C1752" s="128" t="str">
        <f t="shared" si="1302"/>
        <v>N</v>
      </c>
      <c r="D1752" s="117">
        <v>2256621</v>
      </c>
      <c r="E1752" s="135">
        <f t="shared" si="1303"/>
        <v>1</v>
      </c>
      <c r="F1752" s="124">
        <v>41019</v>
      </c>
      <c r="G1752" s="125">
        <v>41071</v>
      </c>
      <c r="H1752" s="117">
        <v>2256621</v>
      </c>
      <c r="I1752" s="124">
        <v>41020</v>
      </c>
      <c r="J1752" s="124">
        <v>41071</v>
      </c>
      <c r="K1752" s="126">
        <v>10000</v>
      </c>
      <c r="L1752" s="127" t="s">
        <v>570</v>
      </c>
      <c r="N1752" s="129" t="str">
        <f>IF(M1752&gt;1/1/1,"Y","N")</f>
        <v>N</v>
      </c>
      <c r="O1752" s="128" t="s">
        <v>917</v>
      </c>
      <c r="P1752" s="129" t="s">
        <v>55</v>
      </c>
      <c r="Q1752" s="111">
        <f t="shared" si="1323"/>
        <v>52</v>
      </c>
      <c r="R1752" s="111">
        <f t="shared" si="1327"/>
        <v>53</v>
      </c>
      <c r="S1752" s="129">
        <v>0</v>
      </c>
      <c r="T1752" s="129">
        <v>0</v>
      </c>
      <c r="U1752" s="129">
        <v>1</v>
      </c>
      <c r="W1752" s="111"/>
      <c r="AC1752" s="130"/>
      <c r="AD1752" s="130">
        <v>29481</v>
      </c>
      <c r="AE1752" s="128" t="s">
        <v>46</v>
      </c>
      <c r="AF1752" s="128" t="s">
        <v>69</v>
      </c>
      <c r="AG1752" s="128" t="s">
        <v>874</v>
      </c>
      <c r="AH1752" s="108" t="s">
        <v>31</v>
      </c>
      <c r="AI1752" s="128" t="s">
        <v>72</v>
      </c>
      <c r="AJ1752" s="129" t="s">
        <v>55</v>
      </c>
      <c r="AK1752" s="129">
        <v>4</v>
      </c>
      <c r="AL1752" s="3" t="s">
        <v>55</v>
      </c>
      <c r="AP1752" s="129" t="s">
        <v>49</v>
      </c>
      <c r="AR1752" s="128" t="s">
        <v>50</v>
      </c>
      <c r="AS1752" s="129" t="s">
        <v>45</v>
      </c>
      <c r="BC1752" s="129" t="s">
        <v>38</v>
      </c>
      <c r="BF1752" s="111">
        <f>IF(J1752&gt;1/1/1900,((J1752+1)-I1752),"STILL OPEN")</f>
        <v>52</v>
      </c>
      <c r="BG1752" s="111">
        <f t="shared" ref="BG1752:BG1757" si="1329">IF(G1752&gt;1/1/1900,((G1752+1)-I1752),"STILL OPEN")</f>
        <v>52</v>
      </c>
      <c r="BH1752" s="111">
        <f t="shared" si="1297"/>
        <v>53</v>
      </c>
      <c r="BI1752" s="111">
        <f t="shared" si="1298"/>
        <v>31.524590163934427</v>
      </c>
      <c r="BJ1752" s="129">
        <f t="shared" si="1304"/>
        <v>0</v>
      </c>
      <c r="BK1752" s="129">
        <f t="shared" si="1299"/>
        <v>0</v>
      </c>
      <c r="BL1752" s="129" t="str">
        <f t="shared" si="1328"/>
        <v>NO CONVICTION</v>
      </c>
      <c r="BM1752" s="129" t="str">
        <f t="shared" si="1305"/>
        <v>NONE</v>
      </c>
      <c r="BN1752" s="129" t="s">
        <v>566</v>
      </c>
      <c r="BP1752" s="137" t="str">
        <f t="shared" si="1306"/>
        <v>NO CONVICTION</v>
      </c>
      <c r="BQ1752" s="128" t="str">
        <f t="shared" si="1307"/>
        <v>Y</v>
      </c>
      <c r="BR1752" s="129" t="str">
        <f t="shared" si="1308"/>
        <v>DETAINED</v>
      </c>
      <c r="BS1752" s="129" t="str">
        <f t="shared" si="1309"/>
        <v>DISPOSED</v>
      </c>
      <c r="BT1752" s="129" t="str">
        <f t="shared" si="1310"/>
        <v>N</v>
      </c>
      <c r="BU1752" s="109">
        <f>IFERROR(Q1752/R1752,BR1752)</f>
        <v>0.98113207547169812</v>
      </c>
      <c r="BV1752" s="109">
        <f t="shared" si="1312"/>
        <v>1</v>
      </c>
      <c r="BW1752" s="109">
        <f t="shared" si="1293"/>
        <v>1.8867924528301883E-2</v>
      </c>
      <c r="BX1752" s="111">
        <f t="shared" si="1313"/>
        <v>0</v>
      </c>
      <c r="BY1752" s="129">
        <f t="shared" si="1314"/>
        <v>-52</v>
      </c>
      <c r="BZ1752" s="111">
        <f t="shared" si="1315"/>
        <v>0</v>
      </c>
      <c r="CA1752" s="138">
        <f t="shared" si="1316"/>
        <v>52</v>
      </c>
      <c r="CB1752" s="111" t="e">
        <f>IF(AF1752&gt;1/1/1900,((AF1752+1)-AE1752),"STILL OPEN")</f>
        <v>#VALUE!</v>
      </c>
      <c r="CC1752" s="129">
        <f>G1752-I1752+1</f>
        <v>52</v>
      </c>
      <c r="CD1752" s="129">
        <f>G1752-J1752</f>
        <v>0</v>
      </c>
      <c r="CG1752" s="129" t="str">
        <f t="shared" si="1317"/>
        <v>Y</v>
      </c>
      <c r="CI1752" s="129" t="str">
        <f t="shared" si="1318"/>
        <v>31-60 DAYS</v>
      </c>
      <c r="CJ1752" s="137">
        <f t="shared" si="1319"/>
        <v>3</v>
      </c>
      <c r="CK1752" s="129" t="str">
        <f t="shared" si="1320"/>
        <v>Booked</v>
      </c>
    </row>
    <row r="1753" spans="1:89" ht="15.75" customHeight="1" x14ac:dyDescent="0.25">
      <c r="A1753" s="111">
        <v>665</v>
      </c>
      <c r="B1753" s="128" t="str">
        <f t="shared" si="1301"/>
        <v>N</v>
      </c>
      <c r="C1753" s="128" t="str">
        <f t="shared" si="1302"/>
        <v>N</v>
      </c>
      <c r="D1753" s="117">
        <v>2256733</v>
      </c>
      <c r="E1753" s="135">
        <f t="shared" si="1303"/>
        <v>5</v>
      </c>
      <c r="F1753" s="124">
        <v>40935</v>
      </c>
      <c r="G1753" s="125">
        <v>41080</v>
      </c>
      <c r="H1753" s="117">
        <v>2256733</v>
      </c>
      <c r="I1753" s="124">
        <v>40935</v>
      </c>
      <c r="J1753" s="124">
        <v>41080</v>
      </c>
      <c r="K1753" s="126">
        <v>15000</v>
      </c>
      <c r="L1753" s="127" t="s">
        <v>571</v>
      </c>
      <c r="N1753" s="129" t="str">
        <f>IF(M1753&gt;1/1/1,"Y","N")</f>
        <v>N</v>
      </c>
      <c r="O1753" s="128" t="s">
        <v>917</v>
      </c>
      <c r="P1753" s="129" t="s">
        <v>39</v>
      </c>
      <c r="Q1753" s="111">
        <f t="shared" si="1323"/>
        <v>146</v>
      </c>
      <c r="R1753" s="111">
        <f t="shared" si="1327"/>
        <v>146</v>
      </c>
      <c r="S1753" s="129">
        <v>1</v>
      </c>
      <c r="T1753" s="129">
        <v>3</v>
      </c>
      <c r="W1753" s="111"/>
      <c r="AB1753" s="131" t="s">
        <v>112</v>
      </c>
      <c r="AC1753" s="130"/>
      <c r="AD1753" s="130">
        <v>32460</v>
      </c>
      <c r="AE1753" s="128" t="s">
        <v>32</v>
      </c>
      <c r="AF1753" s="128" t="s">
        <v>40</v>
      </c>
      <c r="AG1753" s="128" t="s">
        <v>41</v>
      </c>
      <c r="AH1753" s="108" t="s">
        <v>31</v>
      </c>
      <c r="AI1753" s="128" t="s">
        <v>141</v>
      </c>
      <c r="AJ1753" s="129" t="s">
        <v>89</v>
      </c>
      <c r="AK1753" s="129">
        <v>7</v>
      </c>
      <c r="AL1753" s="3" t="s">
        <v>992</v>
      </c>
      <c r="AN1753" s="117">
        <v>7</v>
      </c>
      <c r="AP1753" s="129" t="s">
        <v>108</v>
      </c>
      <c r="AR1753" s="128" t="s">
        <v>44</v>
      </c>
      <c r="AS1753" s="129" t="s">
        <v>61</v>
      </c>
      <c r="BC1753" s="129" t="s">
        <v>52</v>
      </c>
      <c r="BF1753" s="111">
        <f>IF(J1753&gt;1/1/1900,((J1753+1)-I1753),"STILL OPEN")</f>
        <v>146</v>
      </c>
      <c r="BG1753" s="111">
        <f t="shared" si="1329"/>
        <v>146</v>
      </c>
      <c r="BH1753" s="111">
        <f t="shared" si="1297"/>
        <v>146</v>
      </c>
      <c r="BI1753" s="111">
        <f t="shared" si="1298"/>
        <v>23.155737704918032</v>
      </c>
      <c r="BJ1753" s="129">
        <f t="shared" si="1304"/>
        <v>0</v>
      </c>
      <c r="BK1753" s="129">
        <f t="shared" si="1299"/>
        <v>0</v>
      </c>
      <c r="BL1753" s="129" t="str">
        <f t="shared" si="1328"/>
        <v>CONVICTION</v>
      </c>
      <c r="BM1753" s="129" t="str">
        <f t="shared" si="1305"/>
        <v>NONE</v>
      </c>
      <c r="BN1753" s="129" t="s">
        <v>566</v>
      </c>
      <c r="BP1753" s="137" t="str">
        <f t="shared" si="1306"/>
        <v>CONVICTION</v>
      </c>
      <c r="BQ1753" s="128" t="str">
        <f t="shared" si="1307"/>
        <v>Y</v>
      </c>
      <c r="BR1753" s="129" t="str">
        <f t="shared" si="1308"/>
        <v>DETAINED</v>
      </c>
      <c r="BS1753" s="129" t="str">
        <f t="shared" si="1309"/>
        <v>DISPOSED</v>
      </c>
      <c r="BT1753" s="129" t="str">
        <f t="shared" si="1310"/>
        <v>Y</v>
      </c>
      <c r="BU1753" s="109">
        <f t="shared" si="1311"/>
        <v>1</v>
      </c>
      <c r="BV1753" s="109">
        <f t="shared" si="1312"/>
        <v>1</v>
      </c>
      <c r="BW1753" s="109">
        <f t="shared" si="1293"/>
        <v>0</v>
      </c>
      <c r="BX1753" s="111">
        <f t="shared" si="1313"/>
        <v>0</v>
      </c>
      <c r="BY1753" s="129">
        <f t="shared" si="1314"/>
        <v>-146</v>
      </c>
      <c r="BZ1753" s="111">
        <f t="shared" si="1315"/>
        <v>0</v>
      </c>
      <c r="CA1753" s="138">
        <f t="shared" si="1316"/>
        <v>146</v>
      </c>
      <c r="CB1753" s="111" t="e">
        <f>IF(AF1753&gt;1/1/1900,((AF1753+1)-AE1753),"STILL OPEN")</f>
        <v>#VALUE!</v>
      </c>
      <c r="CC1753" s="129">
        <f>G1753-I1753+1</f>
        <v>146</v>
      </c>
      <c r="CD1753" s="129">
        <f>G1753-J1753</f>
        <v>0</v>
      </c>
      <c r="CG1753" s="129" t="str">
        <f t="shared" si="1317"/>
        <v>Y</v>
      </c>
      <c r="CI1753" s="129" t="str">
        <f t="shared" si="1318"/>
        <v>121-365 DAYS</v>
      </c>
      <c r="CJ1753" s="137">
        <f t="shared" si="1319"/>
        <v>6</v>
      </c>
      <c r="CK1753" s="129" t="str">
        <f t="shared" si="1320"/>
        <v>Booked</v>
      </c>
    </row>
    <row r="1754" spans="1:89" ht="15.75" customHeight="1" x14ac:dyDescent="0.25">
      <c r="A1754" s="111">
        <v>1582</v>
      </c>
      <c r="B1754" s="128" t="str">
        <f t="shared" si="1301"/>
        <v>N</v>
      </c>
      <c r="C1754" s="128" t="str">
        <f t="shared" si="1302"/>
        <v>Y</v>
      </c>
      <c r="D1754" s="117">
        <v>2257414</v>
      </c>
      <c r="E1754" s="135">
        <f t="shared" si="1303"/>
        <v>6</v>
      </c>
      <c r="F1754" s="124">
        <v>40967</v>
      </c>
      <c r="G1754" s="125">
        <v>41760</v>
      </c>
      <c r="H1754" s="117">
        <v>2257414</v>
      </c>
      <c r="I1754" s="124">
        <v>40968</v>
      </c>
      <c r="J1754" s="124">
        <v>41322</v>
      </c>
      <c r="K1754" s="126">
        <v>40000</v>
      </c>
      <c r="L1754" s="129" t="s">
        <v>572</v>
      </c>
      <c r="M1754" s="124">
        <v>41322</v>
      </c>
      <c r="N1754" s="129" t="str">
        <f>IF(M1754&gt;1/1/1,"Y","N")</f>
        <v>Y</v>
      </c>
      <c r="O1754" s="128" t="s">
        <v>76</v>
      </c>
      <c r="P1754" s="129" t="s">
        <v>39</v>
      </c>
      <c r="Q1754" s="111">
        <v>211</v>
      </c>
      <c r="R1754" s="111">
        <f t="shared" si="1327"/>
        <v>794</v>
      </c>
      <c r="S1754" s="129">
        <v>1</v>
      </c>
      <c r="T1754" s="129">
        <v>5</v>
      </c>
      <c r="U1754" s="129">
        <v>1</v>
      </c>
      <c r="W1754" s="111"/>
      <c r="AC1754" s="130"/>
      <c r="AD1754" s="130">
        <v>32750</v>
      </c>
      <c r="AE1754" s="128" t="s">
        <v>32</v>
      </c>
      <c r="AF1754" s="128" t="s">
        <v>33</v>
      </c>
      <c r="AG1754" s="128" t="s">
        <v>872</v>
      </c>
      <c r="AH1754" s="108" t="s">
        <v>31</v>
      </c>
      <c r="AI1754" s="128" t="s">
        <v>100</v>
      </c>
      <c r="AJ1754" s="129" t="s">
        <v>89</v>
      </c>
      <c r="AK1754" s="129">
        <v>25</v>
      </c>
      <c r="AL1754" s="3" t="s">
        <v>362</v>
      </c>
      <c r="AM1754" s="117">
        <v>20</v>
      </c>
      <c r="AP1754" s="129" t="s">
        <v>105</v>
      </c>
      <c r="AR1754" s="128" t="s">
        <v>92</v>
      </c>
      <c r="AS1754" s="129" t="s">
        <v>106</v>
      </c>
      <c r="AT1754" s="129" t="s">
        <v>1264</v>
      </c>
      <c r="AV1754" s="3" t="s">
        <v>51</v>
      </c>
      <c r="AW1754" s="125">
        <v>41515</v>
      </c>
      <c r="BA1754" s="125" t="s">
        <v>1193</v>
      </c>
      <c r="BB1754" s="129">
        <v>816</v>
      </c>
      <c r="BC1754" s="129" t="s">
        <v>38</v>
      </c>
      <c r="BF1754" s="111">
        <v>211</v>
      </c>
      <c r="BG1754" s="111">
        <f t="shared" si="1329"/>
        <v>793</v>
      </c>
      <c r="BH1754" s="111">
        <f t="shared" si="1297"/>
        <v>794</v>
      </c>
      <c r="BI1754" s="111">
        <f t="shared" si="1298"/>
        <v>22.450819672131146</v>
      </c>
      <c r="BJ1754" s="129">
        <f>(G1754-J1754)+(M1754-G1754)</f>
        <v>0</v>
      </c>
      <c r="BK1754" s="129">
        <f t="shared" si="1299"/>
        <v>-438</v>
      </c>
      <c r="BL1754" s="129" t="str">
        <f t="shared" si="1328"/>
        <v>CONVICTION</v>
      </c>
      <c r="BM1754" s="129" t="s">
        <v>76</v>
      </c>
      <c r="BN1754" s="129" t="s">
        <v>566</v>
      </c>
      <c r="BP1754" s="137" t="str">
        <f t="shared" si="1306"/>
        <v>CONVICTION</v>
      </c>
      <c r="BQ1754" s="128" t="str">
        <f t="shared" si="1307"/>
        <v>Y</v>
      </c>
      <c r="BR1754" s="129" t="s">
        <v>574</v>
      </c>
      <c r="BS1754" s="129" t="str">
        <f t="shared" si="1309"/>
        <v>DISPOSED</v>
      </c>
      <c r="BT1754" s="129" t="str">
        <f t="shared" si="1310"/>
        <v>Y</v>
      </c>
      <c r="BU1754" s="109">
        <f>IFERROR(Q1754/R1754,BR1754)</f>
        <v>0.26574307304785894</v>
      </c>
      <c r="BV1754" s="139">
        <v>0.26569999999999999</v>
      </c>
      <c r="BW1754" s="109">
        <v>0</v>
      </c>
      <c r="BX1754" s="111">
        <f t="shared" si="1313"/>
        <v>0</v>
      </c>
      <c r="BY1754" s="129">
        <f t="shared" si="1314"/>
        <v>-355</v>
      </c>
      <c r="BZ1754" s="111">
        <f t="shared" si="1315"/>
        <v>-144</v>
      </c>
      <c r="CA1754" s="138">
        <f t="shared" si="1316"/>
        <v>793</v>
      </c>
      <c r="CB1754" s="111" t="e">
        <f t="shared" ref="CB1754" si="1330">IF(AF1754&gt;1/1/1900,((AF1754+1)-AE1754),"STILL OPEN")</f>
        <v>#VALUE!</v>
      </c>
      <c r="CC1754" s="129">
        <v>211</v>
      </c>
      <c r="CG1754" s="129" t="str">
        <f t="shared" si="1317"/>
        <v>Y</v>
      </c>
      <c r="CH1754" s="129" t="e">
        <v>#N/A</v>
      </c>
      <c r="CI1754" s="129" t="str">
        <f t="shared" si="1318"/>
        <v>121-365 DAYS</v>
      </c>
      <c r="CJ1754" s="137">
        <f t="shared" si="1319"/>
        <v>6</v>
      </c>
      <c r="CK1754" s="129" t="str">
        <f t="shared" si="1320"/>
        <v>Booked</v>
      </c>
    </row>
    <row r="1755" spans="1:89" ht="15.75" customHeight="1" x14ac:dyDescent="0.25">
      <c r="A1755" s="111">
        <v>1676</v>
      </c>
      <c r="B1755" s="128" t="str">
        <f t="shared" si="1301"/>
        <v>N</v>
      </c>
      <c r="C1755" s="128" t="str">
        <f t="shared" si="1302"/>
        <v>N</v>
      </c>
      <c r="D1755" s="117">
        <v>2257577</v>
      </c>
      <c r="E1755" s="135">
        <f t="shared" si="1303"/>
        <v>6</v>
      </c>
      <c r="F1755" s="124">
        <v>40970</v>
      </c>
      <c r="G1755" s="125">
        <v>41079</v>
      </c>
      <c r="H1755" s="117">
        <v>2257577</v>
      </c>
      <c r="I1755" s="124">
        <v>40971</v>
      </c>
      <c r="J1755" s="124">
        <v>41079</v>
      </c>
      <c r="K1755" s="126" t="s">
        <v>564</v>
      </c>
      <c r="L1755" s="127" t="s">
        <v>564</v>
      </c>
      <c r="N1755" s="129" t="s">
        <v>566</v>
      </c>
      <c r="O1755" s="128" t="s">
        <v>917</v>
      </c>
      <c r="P1755" s="129" t="s">
        <v>39</v>
      </c>
      <c r="Q1755" s="111">
        <f t="shared" si="1323"/>
        <v>109</v>
      </c>
      <c r="R1755" s="111">
        <f t="shared" si="1327"/>
        <v>110</v>
      </c>
      <c r="S1755" s="129">
        <v>7</v>
      </c>
      <c r="T1755" s="129">
        <v>2</v>
      </c>
      <c r="U1755" s="129">
        <v>1</v>
      </c>
      <c r="W1755" s="111"/>
      <c r="AC1755" s="130"/>
      <c r="AD1755" s="130">
        <v>22833</v>
      </c>
      <c r="AE1755" s="128" t="s">
        <v>32</v>
      </c>
      <c r="AF1755" s="128" t="s">
        <v>33</v>
      </c>
      <c r="AG1755" s="128" t="s">
        <v>872</v>
      </c>
      <c r="AH1755" s="108" t="s">
        <v>31</v>
      </c>
      <c r="AI1755" s="128" t="s">
        <v>100</v>
      </c>
      <c r="AJ1755" s="129" t="s">
        <v>89</v>
      </c>
      <c r="AK1755" s="129">
        <v>4</v>
      </c>
      <c r="AL1755" s="3" t="s">
        <v>362</v>
      </c>
      <c r="AM1755" s="117">
        <v>3</v>
      </c>
      <c r="AP1755" s="129" t="s">
        <v>43</v>
      </c>
      <c r="AR1755" s="128" t="s">
        <v>44</v>
      </c>
      <c r="AS1755" s="129" t="s">
        <v>45</v>
      </c>
      <c r="BC1755" s="129" t="s">
        <v>38</v>
      </c>
      <c r="BF1755" s="111">
        <f>IF(J1755&gt;1/1/1900,((J1755+1)-I1755),"STILL OPEN")</f>
        <v>109</v>
      </c>
      <c r="BG1755" s="111">
        <f t="shared" si="1329"/>
        <v>109</v>
      </c>
      <c r="BH1755" s="111">
        <f t="shared" si="1297"/>
        <v>110</v>
      </c>
      <c r="BI1755" s="111">
        <f t="shared" si="1298"/>
        <v>49.55464480874317</v>
      </c>
      <c r="BJ1755" s="129">
        <f t="shared" si="1304"/>
        <v>0</v>
      </c>
      <c r="BK1755" s="129">
        <f t="shared" si="1299"/>
        <v>0</v>
      </c>
      <c r="BL1755" s="129" t="str">
        <f t="shared" si="1328"/>
        <v>CONVICTION</v>
      </c>
      <c r="BM1755" s="129" t="str">
        <f t="shared" si="1305"/>
        <v>NONE</v>
      </c>
      <c r="BN1755" s="129" t="s">
        <v>566</v>
      </c>
      <c r="BP1755" s="137" t="str">
        <f t="shared" si="1306"/>
        <v>CONVICTION</v>
      </c>
      <c r="BQ1755" s="128" t="str">
        <f t="shared" si="1307"/>
        <v>Y</v>
      </c>
      <c r="BR1755" s="129" t="str">
        <f t="shared" si="1308"/>
        <v>DETAINED</v>
      </c>
      <c r="BS1755" s="129" t="str">
        <f t="shared" si="1309"/>
        <v>DISPOSED</v>
      </c>
      <c r="BT1755" s="129" t="str">
        <f t="shared" si="1310"/>
        <v>Y</v>
      </c>
      <c r="BU1755" s="109">
        <f t="shared" si="1311"/>
        <v>0.99090909090909096</v>
      </c>
      <c r="BV1755" s="109">
        <f t="shared" si="1312"/>
        <v>1</v>
      </c>
      <c r="BW1755" s="109">
        <f>BV1755-BU1755</f>
        <v>9.0909090909090384E-3</v>
      </c>
      <c r="BX1755" s="111">
        <f t="shared" si="1313"/>
        <v>0</v>
      </c>
      <c r="BY1755" s="129">
        <f t="shared" si="1314"/>
        <v>-109</v>
      </c>
      <c r="BZ1755" s="111">
        <f t="shared" si="1315"/>
        <v>0</v>
      </c>
      <c r="CA1755" s="138">
        <f t="shared" si="1316"/>
        <v>109</v>
      </c>
      <c r="CB1755" s="111" t="e">
        <f>IF(AF1755&gt;1/1/1900,((AF1755+1)-AE1755),"STILL OPEN")</f>
        <v>#VALUE!</v>
      </c>
      <c r="CC1755" s="129">
        <f>G1755-I1755+1</f>
        <v>109</v>
      </c>
      <c r="CD1755" s="129">
        <f>G1755-J1755</f>
        <v>0</v>
      </c>
      <c r="CG1755" s="129" t="str">
        <f t="shared" si="1317"/>
        <v>Y</v>
      </c>
      <c r="CI1755" s="129" t="str">
        <f t="shared" si="1318"/>
        <v>91-120 DAYS</v>
      </c>
      <c r="CJ1755" s="137">
        <f t="shared" si="1319"/>
        <v>0</v>
      </c>
      <c r="CK1755" s="129" t="str">
        <f t="shared" si="1320"/>
        <v>Booked</v>
      </c>
    </row>
    <row r="1756" spans="1:89" ht="15" customHeight="1" x14ac:dyDescent="0.25">
      <c r="A1756" s="111">
        <v>1966</v>
      </c>
      <c r="B1756" s="128" t="str">
        <f t="shared" si="1301"/>
        <v>N</v>
      </c>
      <c r="C1756" s="128" t="str">
        <f t="shared" si="1302"/>
        <v>N</v>
      </c>
      <c r="D1756" s="117">
        <v>2257670</v>
      </c>
      <c r="E1756" s="135">
        <f t="shared" si="1303"/>
        <v>6</v>
      </c>
      <c r="F1756" s="124">
        <v>40982</v>
      </c>
      <c r="G1756" s="125">
        <v>41116</v>
      </c>
      <c r="H1756" s="117">
        <v>2257670</v>
      </c>
      <c r="I1756" s="124">
        <v>40983</v>
      </c>
      <c r="J1756" s="124">
        <v>41116</v>
      </c>
      <c r="K1756" s="126" t="s">
        <v>564</v>
      </c>
      <c r="L1756" s="127" t="s">
        <v>564</v>
      </c>
      <c r="N1756" s="129" t="s">
        <v>566</v>
      </c>
      <c r="O1756" s="128" t="s">
        <v>917</v>
      </c>
      <c r="P1756" s="129" t="s">
        <v>39</v>
      </c>
      <c r="Q1756" s="111">
        <f t="shared" si="1323"/>
        <v>134</v>
      </c>
      <c r="R1756" s="111">
        <f t="shared" si="1327"/>
        <v>135</v>
      </c>
      <c r="S1756" s="129">
        <v>2</v>
      </c>
      <c r="T1756" s="129">
        <v>0</v>
      </c>
      <c r="U1756" s="129">
        <v>1</v>
      </c>
      <c r="V1756" s="117">
        <v>1</v>
      </c>
      <c r="W1756" s="111"/>
      <c r="AC1756" s="130"/>
      <c r="AD1756" s="130">
        <v>32111</v>
      </c>
      <c r="AE1756" s="128" t="s">
        <v>32</v>
      </c>
      <c r="AF1756" s="128" t="s">
        <v>33</v>
      </c>
      <c r="AG1756" s="128" t="s">
        <v>872</v>
      </c>
      <c r="AH1756" s="108" t="s">
        <v>31</v>
      </c>
      <c r="AI1756" s="128" t="s">
        <v>53</v>
      </c>
      <c r="AJ1756" s="129" t="s">
        <v>89</v>
      </c>
      <c r="AK1756" s="129">
        <v>7</v>
      </c>
      <c r="AL1756" s="3" t="s">
        <v>362</v>
      </c>
      <c r="AM1756" s="117">
        <v>5</v>
      </c>
      <c r="AP1756" s="129" t="s">
        <v>132</v>
      </c>
      <c r="AR1756" s="128" t="s">
        <v>92</v>
      </c>
      <c r="AS1756" s="129" t="s">
        <v>82</v>
      </c>
      <c r="BC1756" s="129" t="s">
        <v>52</v>
      </c>
      <c r="BF1756" s="111">
        <f>IF(J1756&gt;1/1/1900,((J1756+1)-I1756),"STILL OPEN")</f>
        <v>134</v>
      </c>
      <c r="BG1756" s="111">
        <f t="shared" si="1329"/>
        <v>134</v>
      </c>
      <c r="BH1756" s="111">
        <f t="shared" si="1297"/>
        <v>135</v>
      </c>
      <c r="BI1756" s="111">
        <f t="shared" si="1298"/>
        <v>24.237704918032787</v>
      </c>
      <c r="BJ1756" s="129">
        <f t="shared" si="1304"/>
        <v>0</v>
      </c>
      <c r="BK1756" s="129">
        <f t="shared" si="1299"/>
        <v>0</v>
      </c>
      <c r="BL1756" s="129" t="str">
        <f t="shared" si="1328"/>
        <v>CONVICTION</v>
      </c>
      <c r="BM1756" s="129" t="str">
        <f t="shared" si="1305"/>
        <v>NONE</v>
      </c>
      <c r="BN1756" s="129" t="s">
        <v>566</v>
      </c>
      <c r="BP1756" s="137" t="str">
        <f t="shared" si="1306"/>
        <v>CONVICTION</v>
      </c>
      <c r="BQ1756" s="128" t="str">
        <f t="shared" si="1307"/>
        <v>Y</v>
      </c>
      <c r="BR1756" s="129" t="str">
        <f t="shared" si="1308"/>
        <v>DETAINED</v>
      </c>
      <c r="BS1756" s="129" t="str">
        <f t="shared" si="1309"/>
        <v>DISPOSED</v>
      </c>
      <c r="BT1756" s="129" t="str">
        <f t="shared" si="1310"/>
        <v>Y</v>
      </c>
      <c r="BU1756" s="109">
        <f t="shared" si="1311"/>
        <v>0.99259259259259258</v>
      </c>
      <c r="BV1756" s="109">
        <f t="shared" si="1312"/>
        <v>1</v>
      </c>
      <c r="BW1756" s="109">
        <f>BV1756-BU1756</f>
        <v>7.4074074074074181E-3</v>
      </c>
      <c r="BX1756" s="111">
        <f t="shared" si="1313"/>
        <v>0</v>
      </c>
      <c r="BY1756" s="129">
        <f t="shared" si="1314"/>
        <v>-134</v>
      </c>
      <c r="BZ1756" s="111">
        <f t="shared" si="1315"/>
        <v>0</v>
      </c>
      <c r="CA1756" s="138">
        <f t="shared" si="1316"/>
        <v>134</v>
      </c>
      <c r="CB1756" s="111" t="e">
        <f>IF(AF1756&gt;1/1/1900,((AF1756+1)-AE1756),"STILL OPEN")</f>
        <v>#VALUE!</v>
      </c>
      <c r="CC1756" s="129">
        <f>G1756-I1756+1</f>
        <v>134</v>
      </c>
      <c r="CD1756" s="129">
        <f>G1756-J1756</f>
        <v>0</v>
      </c>
      <c r="CG1756" s="129" t="str">
        <f t="shared" si="1317"/>
        <v>Y</v>
      </c>
      <c r="CI1756" s="129" t="str">
        <f t="shared" si="1318"/>
        <v>121-365 DAYS</v>
      </c>
      <c r="CJ1756" s="137">
        <f t="shared" si="1319"/>
        <v>6</v>
      </c>
      <c r="CK1756" s="129" t="str">
        <f t="shared" si="1320"/>
        <v>Booked</v>
      </c>
    </row>
    <row r="1757" spans="1:89" ht="15" customHeight="1" x14ac:dyDescent="0.25">
      <c r="A1757" s="111">
        <v>1489</v>
      </c>
      <c r="B1757" s="128" t="str">
        <f t="shared" si="1301"/>
        <v>Y</v>
      </c>
      <c r="C1757" s="128" t="str">
        <f t="shared" si="1302"/>
        <v>N</v>
      </c>
      <c r="D1757" s="117">
        <v>2257819</v>
      </c>
      <c r="E1757" s="135">
        <f t="shared" si="1303"/>
        <v>5</v>
      </c>
      <c r="F1757" s="124">
        <v>40963</v>
      </c>
      <c r="G1757" s="125">
        <v>41872</v>
      </c>
      <c r="H1757" s="117">
        <v>2257819</v>
      </c>
      <c r="I1757" s="124">
        <v>40963</v>
      </c>
      <c r="J1757" s="125">
        <v>41158</v>
      </c>
      <c r="K1757" s="126">
        <v>15000</v>
      </c>
      <c r="L1757" s="127" t="s">
        <v>571</v>
      </c>
      <c r="M1757" s="125">
        <v>41158</v>
      </c>
      <c r="N1757" s="129" t="str">
        <f>IF(M1757&gt;1/1/1,"Y","N")</f>
        <v>Y</v>
      </c>
      <c r="O1757" s="112" t="s">
        <v>160</v>
      </c>
      <c r="P1757" s="129" t="s">
        <v>39</v>
      </c>
      <c r="Q1757" s="111">
        <v>903</v>
      </c>
      <c r="R1757" s="111">
        <f t="shared" si="1327"/>
        <v>910</v>
      </c>
      <c r="S1757" s="129">
        <v>3</v>
      </c>
      <c r="T1757" s="129">
        <v>15</v>
      </c>
      <c r="U1757" s="129">
        <v>1</v>
      </c>
      <c r="W1757" s="111"/>
      <c r="AC1757" s="130"/>
      <c r="AD1757" s="130">
        <v>24013</v>
      </c>
      <c r="AE1757" s="128" t="s">
        <v>32</v>
      </c>
      <c r="AF1757" s="128" t="s">
        <v>69</v>
      </c>
      <c r="AG1757" s="128" t="s">
        <v>874</v>
      </c>
      <c r="AH1757" s="108" t="s">
        <v>58</v>
      </c>
      <c r="AI1757" s="128" t="s">
        <v>141</v>
      </c>
      <c r="AJ1757" s="129" t="s">
        <v>89</v>
      </c>
      <c r="AK1757" s="129">
        <v>18</v>
      </c>
      <c r="AL1757" s="3" t="s">
        <v>992</v>
      </c>
      <c r="AN1757" s="117">
        <v>6</v>
      </c>
      <c r="AP1757" s="129" t="s">
        <v>60</v>
      </c>
      <c r="AR1757" s="128" t="s">
        <v>44</v>
      </c>
      <c r="AS1757" s="129" t="s">
        <v>61</v>
      </c>
      <c r="AT1757" s="129" t="s">
        <v>1372</v>
      </c>
      <c r="AU1757" s="121" t="s">
        <v>1373</v>
      </c>
      <c r="BC1757" s="129" t="s">
        <v>38</v>
      </c>
      <c r="BD1757" s="129" t="s">
        <v>1374</v>
      </c>
      <c r="BE1757" s="129" t="s">
        <v>1375</v>
      </c>
      <c r="BF1757" s="111">
        <v>903</v>
      </c>
      <c r="BG1757" s="111">
        <f t="shared" si="1329"/>
        <v>910</v>
      </c>
      <c r="BH1757" s="111">
        <f t="shared" si="1297"/>
        <v>910</v>
      </c>
      <c r="BI1757" s="111">
        <f t="shared" si="1298"/>
        <v>46.311475409836063</v>
      </c>
      <c r="BJ1757" s="129">
        <f>(G1757-J1757)+(M1757-G1757)</f>
        <v>0</v>
      </c>
      <c r="BK1757" s="129">
        <f t="shared" si="1299"/>
        <v>-714</v>
      </c>
      <c r="BL1757" s="129" t="str">
        <f t="shared" si="1328"/>
        <v>CONVICTION</v>
      </c>
      <c r="BM1757" s="129" t="s">
        <v>160</v>
      </c>
      <c r="BN1757" s="129" t="s">
        <v>88</v>
      </c>
      <c r="BP1757" s="137" t="str">
        <f t="shared" si="1306"/>
        <v>CONVICTION</v>
      </c>
      <c r="BQ1757" s="128" t="str">
        <f t="shared" si="1307"/>
        <v>Y</v>
      </c>
      <c r="BR1757" s="129" t="s">
        <v>574</v>
      </c>
      <c r="BS1757" s="129" t="str">
        <f t="shared" si="1309"/>
        <v>DISPOSED</v>
      </c>
      <c r="BT1757" s="129" t="str">
        <f t="shared" si="1310"/>
        <v>Y</v>
      </c>
      <c r="BU1757" s="139">
        <v>0.99229999999999996</v>
      </c>
      <c r="BV1757" s="139">
        <v>0.99229999999999996</v>
      </c>
      <c r="BW1757" s="109">
        <v>0</v>
      </c>
      <c r="BX1757" s="111">
        <f t="shared" si="1313"/>
        <v>0</v>
      </c>
      <c r="BY1757" s="129">
        <f t="shared" si="1314"/>
        <v>-196</v>
      </c>
      <c r="BZ1757" s="111">
        <f t="shared" si="1315"/>
        <v>707</v>
      </c>
      <c r="CA1757" s="138">
        <f t="shared" si="1316"/>
        <v>910</v>
      </c>
      <c r="CB1757" s="111" t="e">
        <f t="shared" ref="CB1757" si="1331">IF(AF1757&gt;1/1/1900,((AF1757+1)-AE1757),"STILL OPEN")</f>
        <v>#VALUE!</v>
      </c>
      <c r="CC1757" s="129">
        <v>903</v>
      </c>
      <c r="CG1757" s="129" t="str">
        <f t="shared" si="1317"/>
        <v>Y</v>
      </c>
      <c r="CH1757" s="129" t="e">
        <v>#N/A</v>
      </c>
      <c r="CI1757" s="129" t="str">
        <f t="shared" si="1318"/>
        <v>&gt;2YRS&lt;3YRS</v>
      </c>
      <c r="CJ1757" s="137">
        <f t="shared" si="1319"/>
        <v>8</v>
      </c>
      <c r="CK1757" s="129" t="str">
        <f t="shared" si="1320"/>
        <v>Booked</v>
      </c>
    </row>
    <row r="1758" spans="1:89" ht="15.75" customHeight="1" x14ac:dyDescent="0.25">
      <c r="A1758" s="111">
        <v>3024</v>
      </c>
      <c r="B1758" s="128" t="str">
        <f t="shared" si="1301"/>
        <v>N</v>
      </c>
      <c r="C1758" s="128" t="str">
        <f t="shared" si="1302"/>
        <v>Y</v>
      </c>
      <c r="D1758" s="117">
        <v>2258254</v>
      </c>
      <c r="E1758" s="135">
        <f t="shared" si="1303"/>
        <v>5</v>
      </c>
      <c r="F1758" s="124">
        <v>41020</v>
      </c>
      <c r="G1758" s="125">
        <v>41150</v>
      </c>
      <c r="H1758" s="117">
        <v>2258254</v>
      </c>
      <c r="I1758" s="124">
        <v>41099</v>
      </c>
      <c r="J1758" s="124">
        <v>41150</v>
      </c>
      <c r="K1758" s="126">
        <v>2000</v>
      </c>
      <c r="L1758" s="127" t="s">
        <v>568</v>
      </c>
      <c r="M1758" s="125">
        <v>41021</v>
      </c>
      <c r="N1758" s="129" t="str">
        <f>IF(M1758&gt;1/1/1,"Y",IF(Q1758="0","","N"))</f>
        <v>Y</v>
      </c>
      <c r="O1758" s="128" t="s">
        <v>76</v>
      </c>
      <c r="P1758" s="129" t="s">
        <v>39</v>
      </c>
      <c r="Q1758" s="111">
        <v>51</v>
      </c>
      <c r="R1758" s="111">
        <f t="shared" si="1327"/>
        <v>131</v>
      </c>
      <c r="S1758" s="129">
        <v>1</v>
      </c>
      <c r="T1758" s="129">
        <v>1</v>
      </c>
      <c r="V1758" s="117">
        <v>1</v>
      </c>
      <c r="W1758" s="111"/>
      <c r="AC1758" s="130"/>
      <c r="AD1758" s="130">
        <v>32237</v>
      </c>
      <c r="AE1758" s="128" t="s">
        <v>32</v>
      </c>
      <c r="AF1758" s="128" t="s">
        <v>69</v>
      </c>
      <c r="AG1758" s="128" t="s">
        <v>874</v>
      </c>
      <c r="AH1758" s="108" t="s">
        <v>31</v>
      </c>
      <c r="AI1758" s="128" t="s">
        <v>80</v>
      </c>
      <c r="AJ1758" s="129" t="s">
        <v>89</v>
      </c>
      <c r="AK1758" s="129">
        <v>6</v>
      </c>
      <c r="AL1758" s="3" t="s">
        <v>992</v>
      </c>
      <c r="AN1758" s="117">
        <v>6</v>
      </c>
      <c r="AP1758" s="129" t="s">
        <v>108</v>
      </c>
      <c r="AR1758" s="128" t="s">
        <v>44</v>
      </c>
      <c r="AS1758" s="129" t="s">
        <v>61</v>
      </c>
      <c r="AT1758" s="129" t="s">
        <v>1311</v>
      </c>
      <c r="AU1758" s="3" t="s">
        <v>790</v>
      </c>
      <c r="AX1758" s="32" t="s">
        <v>88</v>
      </c>
      <c r="BC1758" s="129" t="s">
        <v>52</v>
      </c>
      <c r="BF1758" s="111">
        <v>51</v>
      </c>
      <c r="BG1758" s="111">
        <v>51</v>
      </c>
      <c r="BH1758" s="111">
        <f t="shared" si="1297"/>
        <v>131</v>
      </c>
      <c r="BI1758" s="111">
        <f t="shared" si="1298"/>
        <v>23.997267759562842</v>
      </c>
      <c r="BJ1758" s="129">
        <f>G1758-J1758</f>
        <v>0</v>
      </c>
      <c r="BK1758" s="129">
        <f t="shared" si="1299"/>
        <v>0</v>
      </c>
      <c r="BL1758" s="129" t="str">
        <f t="shared" si="1328"/>
        <v>CONVICTION</v>
      </c>
      <c r="BM1758" s="129" t="s">
        <v>76</v>
      </c>
      <c r="BN1758" s="129" t="s">
        <v>88</v>
      </c>
      <c r="BP1758" s="137" t="str">
        <f t="shared" si="1306"/>
        <v>CONVICTION</v>
      </c>
      <c r="BQ1758" s="128" t="str">
        <f t="shared" si="1307"/>
        <v>Y</v>
      </c>
      <c r="BR1758" s="129" t="s">
        <v>574</v>
      </c>
      <c r="BS1758" s="129" t="str">
        <f t="shared" si="1309"/>
        <v>DISPOSED</v>
      </c>
      <c r="BT1758" s="129" t="str">
        <f t="shared" si="1310"/>
        <v>Y</v>
      </c>
      <c r="BU1758" s="109">
        <f t="shared" si="1311"/>
        <v>0.38931297709923662</v>
      </c>
      <c r="BV1758" s="109">
        <f t="shared" si="1312"/>
        <v>1</v>
      </c>
      <c r="BW1758" s="109">
        <f t="shared" ref="BW1758:BW1771" si="1332">BV1758-BU1758</f>
        <v>0.61068702290076338</v>
      </c>
      <c r="BX1758" s="111">
        <f t="shared" si="1313"/>
        <v>0</v>
      </c>
      <c r="BY1758" s="129">
        <f t="shared" si="1314"/>
        <v>-52</v>
      </c>
      <c r="BZ1758" s="111">
        <f t="shared" si="1315"/>
        <v>-1</v>
      </c>
      <c r="CA1758" s="138">
        <f t="shared" si="1316"/>
        <v>52</v>
      </c>
      <c r="CB1758" s="111">
        <v>51</v>
      </c>
      <c r="CC1758" s="129">
        <f>G1758-I1758+1</f>
        <v>52</v>
      </c>
      <c r="CD1758" s="129">
        <f>G1758-J1758</f>
        <v>0</v>
      </c>
      <c r="CG1758" s="129" t="str">
        <f t="shared" si="1317"/>
        <v>Y</v>
      </c>
      <c r="CI1758" s="129" t="str">
        <f t="shared" si="1318"/>
        <v>31-60 DAYS</v>
      </c>
      <c r="CJ1758" s="137">
        <f t="shared" si="1319"/>
        <v>3</v>
      </c>
      <c r="CK1758" s="129" t="str">
        <f t="shared" si="1320"/>
        <v>Booked</v>
      </c>
    </row>
    <row r="1759" spans="1:89" ht="15" customHeight="1" x14ac:dyDescent="0.25">
      <c r="A1759" s="111">
        <v>1695</v>
      </c>
      <c r="B1759" s="128" t="str">
        <f t="shared" si="1301"/>
        <v>N</v>
      </c>
      <c r="C1759" s="128" t="str">
        <f t="shared" si="1302"/>
        <v>N</v>
      </c>
      <c r="D1759" s="117">
        <v>2258479</v>
      </c>
      <c r="E1759" s="135">
        <f t="shared" si="1303"/>
        <v>3</v>
      </c>
      <c r="F1759" s="124">
        <v>40971</v>
      </c>
      <c r="G1759" s="125">
        <v>41208</v>
      </c>
      <c r="H1759" s="117">
        <v>2258479</v>
      </c>
      <c r="I1759" s="124">
        <v>40972</v>
      </c>
      <c r="J1759" s="124">
        <v>40973</v>
      </c>
      <c r="K1759" s="126">
        <v>10000</v>
      </c>
      <c r="L1759" s="127" t="s">
        <v>570</v>
      </c>
      <c r="M1759" s="125">
        <v>40973</v>
      </c>
      <c r="N1759" s="129" t="str">
        <f>IF(M1759&gt;1/1/1,"Y","N")</f>
        <v>Y</v>
      </c>
      <c r="O1759" s="128" t="s">
        <v>76</v>
      </c>
      <c r="P1759" s="129" t="s">
        <v>39</v>
      </c>
      <c r="Q1759" s="111">
        <f t="shared" si="1323"/>
        <v>2</v>
      </c>
      <c r="R1759" s="111">
        <f t="shared" si="1327"/>
        <v>238</v>
      </c>
      <c r="S1759" s="129">
        <v>1</v>
      </c>
      <c r="T1759" s="129">
        <v>2</v>
      </c>
      <c r="V1759" s="117">
        <v>1</v>
      </c>
      <c r="W1759" s="111"/>
      <c r="AC1759" s="130"/>
      <c r="AD1759" s="130">
        <v>32447</v>
      </c>
      <c r="AE1759" s="128" t="s">
        <v>32</v>
      </c>
      <c r="AF1759" s="128" t="s">
        <v>33</v>
      </c>
      <c r="AG1759" s="128" t="s">
        <v>872</v>
      </c>
      <c r="AH1759" s="108" t="s">
        <v>58</v>
      </c>
      <c r="AI1759" s="128" t="s">
        <v>65</v>
      </c>
      <c r="AJ1759" s="129" t="s">
        <v>89</v>
      </c>
      <c r="AK1759" s="129">
        <v>12</v>
      </c>
      <c r="AL1759" s="3" t="s">
        <v>185</v>
      </c>
      <c r="AP1759" s="129" t="s">
        <v>93</v>
      </c>
      <c r="AR1759" s="128" t="s">
        <v>67</v>
      </c>
      <c r="AS1759" s="129" t="s">
        <v>45</v>
      </c>
      <c r="AT1759" s="129" t="s">
        <v>634</v>
      </c>
      <c r="BC1759" s="129" t="s">
        <v>52</v>
      </c>
      <c r="BF1759" s="111">
        <f>IF(J1759&gt;1/1/1900,((J1759+1)-I1759),"STILL OPEN")</f>
        <v>2</v>
      </c>
      <c r="BG1759" s="111">
        <f>IF(G1759&gt;1/1/1900,((G1759+1)-I1759),"STILL OPEN")</f>
        <v>237</v>
      </c>
      <c r="BH1759" s="111">
        <f t="shared" si="1297"/>
        <v>238</v>
      </c>
      <c r="BI1759" s="111">
        <f t="shared" si="1298"/>
        <v>23.289617486338798</v>
      </c>
      <c r="BJ1759" s="129">
        <f>(G1759-J1759)+(M1759-G1759)</f>
        <v>0</v>
      </c>
      <c r="BK1759" s="129">
        <f t="shared" si="1299"/>
        <v>-235</v>
      </c>
      <c r="BL1759" s="129" t="str">
        <f t="shared" si="1328"/>
        <v>CONVICTION</v>
      </c>
      <c r="BM1759" s="129" t="s">
        <v>76</v>
      </c>
      <c r="BN1759" s="129" t="s">
        <v>88</v>
      </c>
      <c r="BP1759" s="137" t="str">
        <f t="shared" si="1306"/>
        <v>CONVICTION</v>
      </c>
      <c r="BQ1759" s="128" t="str">
        <f t="shared" si="1307"/>
        <v>Y</v>
      </c>
      <c r="BR1759" s="129" t="str">
        <f>IF(J1759&lt;G1759,"ON BOND",0)</f>
        <v>ON BOND</v>
      </c>
      <c r="BS1759" s="129" t="str">
        <f t="shared" si="1309"/>
        <v>DISPOSED</v>
      </c>
      <c r="BT1759" s="129" t="str">
        <f t="shared" si="1310"/>
        <v>Y</v>
      </c>
      <c r="BU1759" s="109">
        <f t="shared" si="1311"/>
        <v>8.4033613445378148E-3</v>
      </c>
      <c r="BV1759" s="109">
        <f t="shared" si="1312"/>
        <v>8.4388185654008432E-3</v>
      </c>
      <c r="BW1759" s="109">
        <f t="shared" si="1332"/>
        <v>3.545722086302841E-5</v>
      </c>
      <c r="BX1759" s="111">
        <f t="shared" si="1313"/>
        <v>0</v>
      </c>
      <c r="BY1759" s="129">
        <f t="shared" si="1314"/>
        <v>-2</v>
      </c>
      <c r="BZ1759" s="111">
        <f t="shared" si="1315"/>
        <v>0</v>
      </c>
      <c r="CA1759" s="138">
        <f t="shared" si="1316"/>
        <v>2</v>
      </c>
      <c r="CB1759" s="111" t="e">
        <f>IF(AF1759&gt;1/1/1900,((AF1759+1)-AE1759),"STILL OPEN")</f>
        <v>#VALUE!</v>
      </c>
      <c r="CC1759" s="129">
        <f>M1759-I1759+1</f>
        <v>2</v>
      </c>
      <c r="CD1759" s="111">
        <f>CC1759-BF1759</f>
        <v>0</v>
      </c>
      <c r="CG1759" s="129" t="str">
        <f t="shared" si="1317"/>
        <v>Y</v>
      </c>
      <c r="CI1759" s="129" t="str">
        <f t="shared" si="1318"/>
        <v>0-10 DAYS</v>
      </c>
      <c r="CJ1759" s="137">
        <f t="shared" si="1319"/>
        <v>1</v>
      </c>
      <c r="CK1759" s="129" t="str">
        <f t="shared" si="1320"/>
        <v>Booked</v>
      </c>
    </row>
    <row r="1760" spans="1:89" ht="15" customHeight="1" x14ac:dyDescent="0.25">
      <c r="A1760" s="111">
        <v>2676</v>
      </c>
      <c r="B1760" s="128" t="str">
        <f t="shared" si="1301"/>
        <v>N</v>
      </c>
      <c r="C1760" s="128" t="str">
        <f t="shared" si="1302"/>
        <v>N</v>
      </c>
      <c r="D1760" s="117">
        <v>2259949</v>
      </c>
      <c r="E1760" s="135">
        <f t="shared" si="1303"/>
        <v>6</v>
      </c>
      <c r="F1760" s="124">
        <v>41008</v>
      </c>
      <c r="G1760" s="125">
        <v>41113</v>
      </c>
      <c r="H1760" s="117">
        <v>2259949</v>
      </c>
      <c r="I1760" s="124">
        <v>41009</v>
      </c>
      <c r="J1760" s="124">
        <v>41113</v>
      </c>
      <c r="K1760" s="126">
        <v>80000</v>
      </c>
      <c r="L1760" s="129" t="s">
        <v>572</v>
      </c>
      <c r="N1760" s="129" t="str">
        <f>IF(M1760&gt;1/1/1,"Y","N")</f>
        <v>N</v>
      </c>
      <c r="O1760" s="128" t="s">
        <v>917</v>
      </c>
      <c r="P1760" s="129" t="s">
        <v>39</v>
      </c>
      <c r="Q1760" s="111">
        <f t="shared" si="1323"/>
        <v>105</v>
      </c>
      <c r="R1760" s="111">
        <f t="shared" si="1327"/>
        <v>106</v>
      </c>
      <c r="S1760" s="129">
        <v>0</v>
      </c>
      <c r="T1760" s="129">
        <v>1</v>
      </c>
      <c r="W1760" s="111"/>
      <c r="AC1760" s="130"/>
      <c r="AD1760" s="130">
        <v>30165</v>
      </c>
      <c r="AE1760" s="128" t="s">
        <v>32</v>
      </c>
      <c r="AF1760" s="128" t="s">
        <v>40</v>
      </c>
      <c r="AG1760" s="128" t="s">
        <v>41</v>
      </c>
      <c r="AH1760" s="108" t="s">
        <v>41</v>
      </c>
      <c r="AI1760" s="128" t="s">
        <v>90</v>
      </c>
      <c r="AJ1760" s="129" t="s">
        <v>89</v>
      </c>
      <c r="AK1760" s="129">
        <v>7</v>
      </c>
      <c r="AL1760" s="3" t="s">
        <v>362</v>
      </c>
      <c r="AM1760" s="117">
        <v>10</v>
      </c>
      <c r="AP1760" s="129" t="s">
        <v>456</v>
      </c>
      <c r="AR1760" s="128" t="s">
        <v>50</v>
      </c>
      <c r="AS1760" s="129" t="s">
        <v>180</v>
      </c>
      <c r="BC1760" s="129" t="s">
        <v>38</v>
      </c>
      <c r="BF1760" s="111">
        <f>IF(J1760&gt;1/1/1900,((J1760+1)-I1760),"STILL OPEN")</f>
        <v>105</v>
      </c>
      <c r="BG1760" s="111">
        <f>IF(G1760&gt;1/1/1900,((G1760+1)-I1760),"STILL OPEN")</f>
        <v>105</v>
      </c>
      <c r="BH1760" s="111">
        <f t="shared" si="1297"/>
        <v>106</v>
      </c>
      <c r="BI1760" s="111">
        <f t="shared" si="1298"/>
        <v>29.625683060109289</v>
      </c>
      <c r="BJ1760" s="129">
        <f t="shared" si="1304"/>
        <v>0</v>
      </c>
      <c r="BK1760" s="129">
        <f t="shared" si="1299"/>
        <v>0</v>
      </c>
      <c r="BL1760" s="129" t="str">
        <f t="shared" si="1328"/>
        <v>CONVICTION</v>
      </c>
      <c r="BM1760" s="129" t="str">
        <f t="shared" si="1305"/>
        <v>NONE</v>
      </c>
      <c r="BN1760" s="129" t="s">
        <v>566</v>
      </c>
      <c r="BP1760" s="137" t="str">
        <f t="shared" si="1306"/>
        <v>CONVICTION</v>
      </c>
      <c r="BQ1760" s="128" t="str">
        <f t="shared" si="1307"/>
        <v>Y</v>
      </c>
      <c r="BR1760" s="129" t="str">
        <f t="shared" si="1308"/>
        <v>DETAINED</v>
      </c>
      <c r="BS1760" s="129" t="str">
        <f t="shared" si="1309"/>
        <v>DISPOSED</v>
      </c>
      <c r="BT1760" s="129" t="str">
        <f t="shared" si="1310"/>
        <v>N</v>
      </c>
      <c r="BU1760" s="109">
        <f t="shared" si="1311"/>
        <v>0.99056603773584906</v>
      </c>
      <c r="BV1760" s="109">
        <f t="shared" si="1312"/>
        <v>1</v>
      </c>
      <c r="BW1760" s="109">
        <f t="shared" si="1332"/>
        <v>9.4339622641509413E-3</v>
      </c>
      <c r="BX1760" s="111">
        <f t="shared" si="1313"/>
        <v>0</v>
      </c>
      <c r="BY1760" s="129">
        <f t="shared" si="1314"/>
        <v>-105</v>
      </c>
      <c r="BZ1760" s="111">
        <f t="shared" si="1315"/>
        <v>0</v>
      </c>
      <c r="CA1760" s="138">
        <f t="shared" si="1316"/>
        <v>105</v>
      </c>
      <c r="CB1760" s="111" t="e">
        <f>IF(AF1760&gt;1/1/1900,((AF1760+1)-AE1760),"STILL OPEN")</f>
        <v>#VALUE!</v>
      </c>
      <c r="CC1760" s="129">
        <f>G1760-I1760+1</f>
        <v>105</v>
      </c>
      <c r="CD1760" s="129">
        <f>G1760-J1760</f>
        <v>0</v>
      </c>
      <c r="CG1760" s="129" t="str">
        <f t="shared" si="1317"/>
        <v>Y</v>
      </c>
      <c r="CI1760" s="129" t="str">
        <f t="shared" si="1318"/>
        <v>91-120 DAYS</v>
      </c>
      <c r="CJ1760" s="137">
        <f t="shared" si="1319"/>
        <v>0</v>
      </c>
      <c r="CK1760" s="129" t="str">
        <f t="shared" si="1320"/>
        <v>Booked</v>
      </c>
    </row>
    <row r="1761" spans="1:89" ht="15.75" customHeight="1" x14ac:dyDescent="0.25">
      <c r="A1761" s="111">
        <v>2693</v>
      </c>
      <c r="B1761" s="128" t="str">
        <f t="shared" si="1301"/>
        <v>N</v>
      </c>
      <c r="C1761" s="128" t="str">
        <f t="shared" si="1302"/>
        <v>N</v>
      </c>
      <c r="D1761" s="117">
        <v>2260019</v>
      </c>
      <c r="E1761" s="135">
        <f t="shared" si="1303"/>
        <v>1</v>
      </c>
      <c r="F1761" s="124">
        <v>41009</v>
      </c>
      <c r="G1761" s="125">
        <v>41011</v>
      </c>
      <c r="H1761" s="117">
        <v>2260019</v>
      </c>
      <c r="I1761" s="124">
        <v>41009</v>
      </c>
      <c r="J1761" s="124">
        <v>41011</v>
      </c>
      <c r="K1761" s="126">
        <v>2000</v>
      </c>
      <c r="L1761" s="127" t="s">
        <v>568</v>
      </c>
      <c r="N1761" s="129" t="str">
        <f>IF(M1761&gt;1/1/1,"Y","N")</f>
        <v>N</v>
      </c>
      <c r="O1761" s="128" t="s">
        <v>917</v>
      </c>
      <c r="P1761" s="129" t="s">
        <v>55</v>
      </c>
      <c r="Q1761" s="111">
        <f t="shared" si="1323"/>
        <v>3</v>
      </c>
      <c r="R1761" s="111">
        <f t="shared" si="1327"/>
        <v>3</v>
      </c>
      <c r="S1761" s="129">
        <v>0</v>
      </c>
      <c r="T1761" s="129">
        <v>1</v>
      </c>
      <c r="W1761" s="111"/>
      <c r="AC1761" s="130"/>
      <c r="AD1761" s="130">
        <v>21769</v>
      </c>
      <c r="AE1761" s="128" t="s">
        <v>32</v>
      </c>
      <c r="AF1761" s="128" t="s">
        <v>33</v>
      </c>
      <c r="AG1761" s="128" t="s">
        <v>872</v>
      </c>
      <c r="AH1761" s="108" t="s">
        <v>31</v>
      </c>
      <c r="AI1761" s="128" t="s">
        <v>70</v>
      </c>
      <c r="AJ1761" s="129" t="s">
        <v>55</v>
      </c>
      <c r="AK1761" s="129">
        <v>2</v>
      </c>
      <c r="AL1761" s="3" t="s">
        <v>55</v>
      </c>
      <c r="AP1761" s="129" t="s">
        <v>43</v>
      </c>
      <c r="AR1761" s="128" t="s">
        <v>44</v>
      </c>
      <c r="AS1761" s="129" t="s">
        <v>45</v>
      </c>
      <c r="BC1761" s="129" t="s">
        <v>79</v>
      </c>
      <c r="BF1761" s="111">
        <f>IF(J1761&gt;1/1/1900,((J1761+1)-I1761),"STILL OPEN")</f>
        <v>3</v>
      </c>
      <c r="BG1761" s="111">
        <f>IF(G1761&gt;1/1/1900,((G1761+1)-I1761),"STILL OPEN")</f>
        <v>3</v>
      </c>
      <c r="BH1761" s="111">
        <f t="shared" si="1297"/>
        <v>3</v>
      </c>
      <c r="BI1761" s="111">
        <f t="shared" si="1298"/>
        <v>52.568306010928964</v>
      </c>
      <c r="BJ1761" s="129">
        <f t="shared" si="1304"/>
        <v>0</v>
      </c>
      <c r="BK1761" s="129">
        <f t="shared" si="1299"/>
        <v>0</v>
      </c>
      <c r="BL1761" s="129" t="str">
        <f t="shared" si="1328"/>
        <v>NO CONVICTION</v>
      </c>
      <c r="BM1761" s="129" t="str">
        <f t="shared" si="1305"/>
        <v>NONE</v>
      </c>
      <c r="BN1761" s="129" t="s">
        <v>566</v>
      </c>
      <c r="BP1761" s="137" t="str">
        <f t="shared" si="1306"/>
        <v>NO CONVICTION</v>
      </c>
      <c r="BQ1761" s="128" t="str">
        <f t="shared" si="1307"/>
        <v>Y</v>
      </c>
      <c r="BR1761" s="129" t="str">
        <f t="shared" si="1308"/>
        <v>DETAINED</v>
      </c>
      <c r="BS1761" s="129" t="str">
        <f t="shared" si="1309"/>
        <v>DISPOSED</v>
      </c>
      <c r="BT1761" s="129" t="str">
        <f t="shared" si="1310"/>
        <v>N</v>
      </c>
      <c r="BU1761" s="109">
        <f>IFERROR(Q1761/R1761,BR1761)</f>
        <v>1</v>
      </c>
      <c r="BV1761" s="109">
        <f t="shared" si="1312"/>
        <v>1</v>
      </c>
      <c r="BW1761" s="109">
        <f t="shared" si="1332"/>
        <v>0</v>
      </c>
      <c r="BX1761" s="111">
        <f t="shared" si="1313"/>
        <v>0</v>
      </c>
      <c r="BY1761" s="129">
        <f t="shared" si="1314"/>
        <v>-3</v>
      </c>
      <c r="BZ1761" s="111">
        <f t="shared" si="1315"/>
        <v>0</v>
      </c>
      <c r="CA1761" s="138">
        <f t="shared" si="1316"/>
        <v>3</v>
      </c>
      <c r="CB1761" s="111" t="e">
        <f>IF(AF1761&gt;1/1/1900,((AF1761+1)-AE1761),"STILL OPEN")</f>
        <v>#VALUE!</v>
      </c>
      <c r="CC1761" s="129">
        <f>G1761-I1761+1</f>
        <v>3</v>
      </c>
      <c r="CD1761" s="129">
        <f>G1761-J1761</f>
        <v>0</v>
      </c>
      <c r="CG1761" s="129" t="str">
        <f t="shared" si="1317"/>
        <v>Y</v>
      </c>
      <c r="CI1761" s="129" t="str">
        <f t="shared" si="1318"/>
        <v>0-10 DAYS</v>
      </c>
      <c r="CJ1761" s="137">
        <f t="shared" si="1319"/>
        <v>1</v>
      </c>
      <c r="CK1761" s="129" t="str">
        <f t="shared" si="1320"/>
        <v>Booked</v>
      </c>
    </row>
    <row r="1762" spans="1:89" ht="15" customHeight="1" x14ac:dyDescent="0.25">
      <c r="A1762" s="111">
        <v>2983</v>
      </c>
      <c r="B1762" s="128" t="str">
        <f t="shared" si="1301"/>
        <v>N</v>
      </c>
      <c r="C1762" s="128" t="str">
        <f t="shared" si="1302"/>
        <v>N</v>
      </c>
      <c r="D1762" s="117">
        <v>2262186</v>
      </c>
      <c r="E1762" s="135">
        <f t="shared" si="1303"/>
        <v>4</v>
      </c>
      <c r="F1762" s="124">
        <v>41018</v>
      </c>
      <c r="G1762" s="125">
        <v>41087</v>
      </c>
      <c r="H1762" s="117">
        <v>2262186</v>
      </c>
      <c r="I1762" s="124">
        <v>41019</v>
      </c>
      <c r="J1762" s="124">
        <v>41087</v>
      </c>
      <c r="K1762" s="126">
        <v>15000</v>
      </c>
      <c r="L1762" s="127" t="s">
        <v>571</v>
      </c>
      <c r="N1762" s="129" t="str">
        <f>IF(M1762&gt;1/1/1,"Y","N")</f>
        <v>N</v>
      </c>
      <c r="O1762" s="128" t="s">
        <v>917</v>
      </c>
      <c r="P1762" s="129" t="s">
        <v>39</v>
      </c>
      <c r="Q1762" s="111">
        <f t="shared" si="1323"/>
        <v>69</v>
      </c>
      <c r="R1762" s="111">
        <f t="shared" si="1327"/>
        <v>70</v>
      </c>
      <c r="S1762" s="129">
        <v>1</v>
      </c>
      <c r="T1762" s="129">
        <v>0</v>
      </c>
      <c r="U1762" s="129">
        <v>1</v>
      </c>
      <c r="W1762" s="111"/>
      <c r="AC1762" s="130"/>
      <c r="AD1762" s="130">
        <v>19762</v>
      </c>
      <c r="AE1762" s="128" t="s">
        <v>32</v>
      </c>
      <c r="AF1762" s="128" t="s">
        <v>33</v>
      </c>
      <c r="AG1762" s="128" t="s">
        <v>872</v>
      </c>
      <c r="AH1762" s="108" t="s">
        <v>31</v>
      </c>
      <c r="AI1762" s="128" t="s">
        <v>72</v>
      </c>
      <c r="AJ1762" s="129" t="s">
        <v>89</v>
      </c>
      <c r="AK1762" s="129">
        <v>3</v>
      </c>
      <c r="AL1762" s="3" t="s">
        <v>991</v>
      </c>
      <c r="AO1762" s="128">
        <v>120</v>
      </c>
      <c r="AP1762" s="129" t="s">
        <v>43</v>
      </c>
      <c r="AR1762" s="128" t="s">
        <v>44</v>
      </c>
      <c r="AS1762" s="129" t="s">
        <v>45</v>
      </c>
      <c r="BC1762" s="129" t="s">
        <v>38</v>
      </c>
      <c r="BF1762" s="111">
        <f>IF(J1762&gt;1/1/1900,((J1762+1)-I1762),"STILL OPEN")</f>
        <v>69</v>
      </c>
      <c r="BG1762" s="111">
        <f>IF(G1762&gt;1/1/1900,((G1762+1)-I1762),"STILL OPEN")</f>
        <v>69</v>
      </c>
      <c r="BH1762" s="111">
        <f t="shared" si="1297"/>
        <v>70</v>
      </c>
      <c r="BI1762" s="111">
        <f t="shared" si="1298"/>
        <v>58.076502732240435</v>
      </c>
      <c r="BJ1762" s="129">
        <f t="shared" si="1304"/>
        <v>0</v>
      </c>
      <c r="BK1762" s="129">
        <f t="shared" si="1299"/>
        <v>0</v>
      </c>
      <c r="BL1762" s="129" t="str">
        <f t="shared" si="1328"/>
        <v>CONVICTION</v>
      </c>
      <c r="BM1762" s="129" t="str">
        <f t="shared" si="1305"/>
        <v>NONE</v>
      </c>
      <c r="BN1762" s="129" t="s">
        <v>566</v>
      </c>
      <c r="BP1762" s="137" t="str">
        <f t="shared" si="1306"/>
        <v>CONVICTION</v>
      </c>
      <c r="BQ1762" s="128" t="str">
        <f t="shared" si="1307"/>
        <v>Y</v>
      </c>
      <c r="BR1762" s="129" t="str">
        <f t="shared" si="1308"/>
        <v>DETAINED</v>
      </c>
      <c r="BS1762" s="129" t="str">
        <f t="shared" si="1309"/>
        <v>DISPOSED</v>
      </c>
      <c r="BT1762" s="129" t="str">
        <f t="shared" si="1310"/>
        <v>Y</v>
      </c>
      <c r="BU1762" s="109">
        <f t="shared" si="1311"/>
        <v>0.98571428571428577</v>
      </c>
      <c r="BV1762" s="109">
        <f t="shared" si="1312"/>
        <v>1</v>
      </c>
      <c r="BW1762" s="109">
        <f t="shared" si="1332"/>
        <v>1.4285714285714235E-2</v>
      </c>
      <c r="BX1762" s="111">
        <f t="shared" si="1313"/>
        <v>0</v>
      </c>
      <c r="BY1762" s="129">
        <f t="shared" si="1314"/>
        <v>-69</v>
      </c>
      <c r="BZ1762" s="111">
        <f t="shared" si="1315"/>
        <v>0</v>
      </c>
      <c r="CA1762" s="138">
        <f t="shared" si="1316"/>
        <v>69</v>
      </c>
      <c r="CB1762" s="111" t="e">
        <f>IF(AF1762&gt;1/1/1900,((AF1762+1)-AE1762),"STILL OPEN")</f>
        <v>#VALUE!</v>
      </c>
      <c r="CC1762" s="129">
        <f>G1762-I1762+1</f>
        <v>69</v>
      </c>
      <c r="CD1762" s="129">
        <f>G1762-J1762</f>
        <v>0</v>
      </c>
      <c r="CG1762" s="129" t="str">
        <f t="shared" si="1317"/>
        <v>Y</v>
      </c>
      <c r="CI1762" s="129" t="str">
        <f t="shared" si="1318"/>
        <v>61-90 DAYS</v>
      </c>
      <c r="CJ1762" s="137">
        <f t="shared" si="1319"/>
        <v>4</v>
      </c>
      <c r="CK1762" s="129" t="str">
        <f t="shared" si="1320"/>
        <v>Booked</v>
      </c>
    </row>
    <row r="1763" spans="1:89" ht="15.75" customHeight="1" x14ac:dyDescent="0.25">
      <c r="A1763" s="111">
        <v>527</v>
      </c>
      <c r="B1763" s="128" t="str">
        <f t="shared" si="1301"/>
        <v>N</v>
      </c>
      <c r="C1763" s="128" t="str">
        <f t="shared" si="1302"/>
        <v>N</v>
      </c>
      <c r="D1763" s="117">
        <v>2262626</v>
      </c>
      <c r="E1763" s="135">
        <f t="shared" si="1303"/>
        <v>3</v>
      </c>
      <c r="F1763" s="124">
        <v>40929</v>
      </c>
      <c r="G1763" s="125">
        <v>41060</v>
      </c>
      <c r="H1763" s="117">
        <v>2262626</v>
      </c>
      <c r="I1763" s="124" t="s">
        <v>562</v>
      </c>
      <c r="J1763" s="124" t="s">
        <v>562</v>
      </c>
      <c r="K1763" s="126">
        <v>10000</v>
      </c>
      <c r="L1763" s="127" t="s">
        <v>570</v>
      </c>
      <c r="M1763" s="125">
        <v>40930</v>
      </c>
      <c r="N1763" s="129" t="str">
        <f>IF(M1763&gt;1/1/1,"Y",IF(Q1763="0","","N"))</f>
        <v>Y</v>
      </c>
      <c r="O1763" s="128" t="s">
        <v>76</v>
      </c>
      <c r="P1763" s="129" t="s">
        <v>39</v>
      </c>
      <c r="Q1763" s="111">
        <f t="shared" si="1323"/>
        <v>0</v>
      </c>
      <c r="R1763" s="111">
        <f t="shared" si="1327"/>
        <v>132</v>
      </c>
      <c r="S1763" s="129">
        <v>0</v>
      </c>
      <c r="T1763" s="129">
        <v>2</v>
      </c>
      <c r="W1763" s="111"/>
      <c r="AC1763" s="130"/>
      <c r="AD1763" s="130">
        <v>30520</v>
      </c>
      <c r="AE1763" s="128" t="s">
        <v>32</v>
      </c>
      <c r="AF1763" s="128" t="s">
        <v>40</v>
      </c>
      <c r="AG1763" s="128" t="s">
        <v>41</v>
      </c>
      <c r="AH1763" s="108" t="s">
        <v>41</v>
      </c>
      <c r="AI1763" s="128" t="s">
        <v>141</v>
      </c>
      <c r="AJ1763" s="129" t="s">
        <v>89</v>
      </c>
      <c r="AK1763" s="129">
        <v>6</v>
      </c>
      <c r="AL1763" s="3" t="s">
        <v>185</v>
      </c>
      <c r="AP1763" s="129" t="s">
        <v>66</v>
      </c>
      <c r="AR1763" s="128" t="s">
        <v>67</v>
      </c>
      <c r="AS1763" s="129" t="s">
        <v>68</v>
      </c>
      <c r="BC1763" s="129" t="s">
        <v>52</v>
      </c>
      <c r="BF1763" s="111">
        <v>0</v>
      </c>
      <c r="BG1763" s="111">
        <v>0</v>
      </c>
      <c r="BH1763" s="111">
        <f t="shared" si="1297"/>
        <v>132</v>
      </c>
      <c r="BI1763" s="111">
        <f t="shared" si="1298"/>
        <v>28.439890710382514</v>
      </c>
      <c r="BJ1763" s="129" t="e">
        <f>(G1763-J1763)+(M1763-G1763)</f>
        <v>#VALUE!</v>
      </c>
      <c r="BK1763" s="129" t="e">
        <f t="shared" si="1299"/>
        <v>#VALUE!</v>
      </c>
      <c r="BL1763" s="129" t="str">
        <f t="shared" si="1328"/>
        <v>CONVICTION</v>
      </c>
      <c r="BM1763" s="129" t="s">
        <v>76</v>
      </c>
      <c r="BN1763" s="129" t="s">
        <v>88</v>
      </c>
      <c r="BP1763" s="137" t="str">
        <f t="shared" si="1306"/>
        <v>CONVICTION</v>
      </c>
      <c r="BQ1763" s="128">
        <f t="shared" si="1307"/>
        <v>0</v>
      </c>
      <c r="BR1763" s="129" t="s">
        <v>575</v>
      </c>
      <c r="BS1763" s="129" t="str">
        <f t="shared" si="1309"/>
        <v>DISPOSED</v>
      </c>
      <c r="BT1763" s="129" t="str">
        <f t="shared" si="1310"/>
        <v>N</v>
      </c>
      <c r="BU1763" s="109">
        <f t="shared" si="1311"/>
        <v>0</v>
      </c>
      <c r="BV1763" s="109">
        <v>0</v>
      </c>
      <c r="BW1763" s="109">
        <f t="shared" si="1332"/>
        <v>0</v>
      </c>
      <c r="BX1763" s="111">
        <f t="shared" si="1313"/>
        <v>0</v>
      </c>
      <c r="BY1763" s="129" t="e">
        <f t="shared" si="1314"/>
        <v>#VALUE!</v>
      </c>
      <c r="BZ1763" s="111" t="e">
        <f t="shared" si="1315"/>
        <v>#VALUE!</v>
      </c>
      <c r="CA1763" s="138" t="e">
        <f t="shared" si="1316"/>
        <v>#VALUE!</v>
      </c>
      <c r="CB1763" s="111">
        <v>0</v>
      </c>
      <c r="CC1763" s="129">
        <v>0</v>
      </c>
      <c r="CD1763" s="111">
        <f>CC1763-BF1763</f>
        <v>0</v>
      </c>
      <c r="CG1763" s="129" t="str">
        <f t="shared" si="1317"/>
        <v>Y</v>
      </c>
      <c r="CI1763" s="129" t="str">
        <f t="shared" si="1318"/>
        <v>0-10 DAYS</v>
      </c>
      <c r="CJ1763" s="137">
        <f t="shared" si="1319"/>
        <v>1</v>
      </c>
      <c r="CK1763" s="129" t="str">
        <f t="shared" si="1320"/>
        <v>Not Booked</v>
      </c>
    </row>
    <row r="1764" spans="1:89" ht="15" customHeight="1" x14ac:dyDescent="0.25">
      <c r="A1764" s="111">
        <v>513</v>
      </c>
      <c r="B1764" s="128" t="str">
        <f t="shared" si="1301"/>
        <v>N</v>
      </c>
      <c r="C1764" s="128" t="str">
        <f t="shared" si="1302"/>
        <v>N</v>
      </c>
      <c r="D1764" s="117">
        <v>2262725</v>
      </c>
      <c r="E1764" s="135">
        <f t="shared" si="1303"/>
        <v>5</v>
      </c>
      <c r="F1764" s="124">
        <v>40929</v>
      </c>
      <c r="G1764" s="125">
        <v>40931</v>
      </c>
      <c r="H1764" s="117">
        <v>2262725</v>
      </c>
      <c r="I1764" s="124">
        <v>40929</v>
      </c>
      <c r="J1764" s="124">
        <v>40931</v>
      </c>
      <c r="K1764" s="126">
        <v>15000</v>
      </c>
      <c r="L1764" s="127" t="s">
        <v>571</v>
      </c>
      <c r="N1764" s="129" t="str">
        <f t="shared" ref="N1764:N1776" si="1333">IF(M1764&gt;1/1/1,"Y","N")</f>
        <v>N</v>
      </c>
      <c r="O1764" s="128" t="s">
        <v>917</v>
      </c>
      <c r="P1764" s="129" t="s">
        <v>39</v>
      </c>
      <c r="Q1764" s="111">
        <f t="shared" si="1323"/>
        <v>3</v>
      </c>
      <c r="R1764" s="111">
        <f t="shared" si="1327"/>
        <v>3</v>
      </c>
      <c r="S1764" s="129">
        <v>8</v>
      </c>
      <c r="T1764" s="129">
        <v>4</v>
      </c>
      <c r="U1764" s="129">
        <v>2</v>
      </c>
      <c r="W1764" s="111"/>
      <c r="AC1764" s="130"/>
      <c r="AD1764" s="130">
        <v>30608</v>
      </c>
      <c r="AE1764" s="128" t="s">
        <v>32</v>
      </c>
      <c r="AF1764" s="128" t="s">
        <v>69</v>
      </c>
      <c r="AG1764" s="128" t="s">
        <v>874</v>
      </c>
      <c r="AH1764" s="108" t="s">
        <v>58</v>
      </c>
      <c r="AI1764" s="128" t="s">
        <v>47</v>
      </c>
      <c r="AJ1764" s="129" t="s">
        <v>89</v>
      </c>
      <c r="AK1764" s="129">
        <v>1</v>
      </c>
      <c r="AL1764" s="3" t="s">
        <v>992</v>
      </c>
      <c r="AN1764" s="117">
        <v>6</v>
      </c>
      <c r="AP1764" s="129" t="s">
        <v>43</v>
      </c>
      <c r="AR1764" s="128" t="s">
        <v>44</v>
      </c>
      <c r="AS1764" s="129" t="s">
        <v>45</v>
      </c>
      <c r="BC1764" s="129" t="s">
        <v>38</v>
      </c>
      <c r="BF1764" s="111">
        <f t="shared" ref="BF1764:BF1792" si="1334">IF(J1764&gt;1/1/1900,((J1764+1)-I1764),"STILL OPEN")</f>
        <v>3</v>
      </c>
      <c r="BG1764" s="111">
        <f t="shared" ref="BG1764:BG1792" si="1335">IF(G1764&gt;1/1/1900,((G1764+1)-I1764),"STILL OPEN")</f>
        <v>3</v>
      </c>
      <c r="BH1764" s="111">
        <f t="shared" si="1297"/>
        <v>3</v>
      </c>
      <c r="BI1764" s="111">
        <f t="shared" si="1298"/>
        <v>28.199453551912569</v>
      </c>
      <c r="BJ1764" s="129">
        <f t="shared" si="1304"/>
        <v>0</v>
      </c>
      <c r="BK1764" s="129">
        <f t="shared" si="1299"/>
        <v>0</v>
      </c>
      <c r="BL1764" s="129" t="str">
        <f t="shared" si="1328"/>
        <v>CONVICTION</v>
      </c>
      <c r="BM1764" s="129" t="str">
        <f t="shared" si="1305"/>
        <v>NONE</v>
      </c>
      <c r="BN1764" s="129" t="s">
        <v>566</v>
      </c>
      <c r="BP1764" s="137" t="str">
        <f t="shared" si="1306"/>
        <v>CONVICTION</v>
      </c>
      <c r="BQ1764" s="128" t="str">
        <f t="shared" si="1307"/>
        <v>Y</v>
      </c>
      <c r="BR1764" s="129" t="str">
        <f t="shared" si="1308"/>
        <v>DETAINED</v>
      </c>
      <c r="BS1764" s="129" t="str">
        <f t="shared" si="1309"/>
        <v>DISPOSED</v>
      </c>
      <c r="BT1764" s="129" t="str">
        <f t="shared" si="1310"/>
        <v>Y</v>
      </c>
      <c r="BU1764" s="109">
        <f t="shared" si="1311"/>
        <v>1</v>
      </c>
      <c r="BV1764" s="109">
        <f t="shared" si="1312"/>
        <v>1</v>
      </c>
      <c r="BW1764" s="109">
        <f t="shared" si="1332"/>
        <v>0</v>
      </c>
      <c r="BX1764" s="111">
        <f t="shared" si="1313"/>
        <v>0</v>
      </c>
      <c r="BY1764" s="129">
        <f t="shared" si="1314"/>
        <v>-3</v>
      </c>
      <c r="BZ1764" s="111">
        <f t="shared" si="1315"/>
        <v>0</v>
      </c>
      <c r="CA1764" s="138">
        <f t="shared" si="1316"/>
        <v>3</v>
      </c>
      <c r="CB1764" s="111" t="e">
        <f t="shared" ref="CB1764:CB1792" si="1336">IF(AF1764&gt;1/1/1900,((AF1764+1)-AE1764),"STILL OPEN")</f>
        <v>#VALUE!</v>
      </c>
      <c r="CC1764" s="129">
        <f>G1764-I1764+1</f>
        <v>3</v>
      </c>
      <c r="CD1764" s="129">
        <f>G1764-J1764</f>
        <v>0</v>
      </c>
      <c r="CG1764" s="129" t="str">
        <f t="shared" si="1317"/>
        <v>Y</v>
      </c>
      <c r="CI1764" s="129" t="str">
        <f t="shared" si="1318"/>
        <v>0-10 DAYS</v>
      </c>
      <c r="CJ1764" s="137">
        <f t="shared" si="1319"/>
        <v>1</v>
      </c>
      <c r="CK1764" s="129" t="str">
        <f t="shared" si="1320"/>
        <v>Booked</v>
      </c>
    </row>
    <row r="1765" spans="1:89" ht="15" customHeight="1" x14ac:dyDescent="0.25">
      <c r="A1765" s="111">
        <v>2094</v>
      </c>
      <c r="B1765" s="128" t="str">
        <f t="shared" si="1301"/>
        <v>N</v>
      </c>
      <c r="C1765" s="128" t="str">
        <f t="shared" si="1302"/>
        <v>Y</v>
      </c>
      <c r="D1765" s="117">
        <v>2262988</v>
      </c>
      <c r="E1765" s="135">
        <f t="shared" si="1303"/>
        <v>2</v>
      </c>
      <c r="F1765" s="124">
        <v>40987</v>
      </c>
      <c r="G1765" s="125">
        <v>41130</v>
      </c>
      <c r="H1765" s="117">
        <v>2262988</v>
      </c>
      <c r="I1765" s="124">
        <v>40988</v>
      </c>
      <c r="J1765" s="124">
        <v>40992</v>
      </c>
      <c r="K1765" s="126">
        <v>2000</v>
      </c>
      <c r="L1765" s="127" t="s">
        <v>568</v>
      </c>
      <c r="M1765" s="125">
        <v>40992</v>
      </c>
      <c r="N1765" s="129" t="str">
        <f t="shared" si="1333"/>
        <v>Y</v>
      </c>
      <c r="O1765" s="128" t="s">
        <v>76</v>
      </c>
      <c r="P1765" s="129" t="s">
        <v>589</v>
      </c>
      <c r="Q1765" s="111">
        <v>27</v>
      </c>
      <c r="R1765" s="111">
        <f t="shared" si="1327"/>
        <v>144</v>
      </c>
      <c r="S1765" s="129">
        <v>0</v>
      </c>
      <c r="T1765" s="129">
        <v>3</v>
      </c>
      <c r="W1765" s="111"/>
      <c r="AC1765" s="130"/>
      <c r="AD1765" s="130">
        <v>32127</v>
      </c>
      <c r="AE1765" s="128" t="s">
        <v>32</v>
      </c>
      <c r="AF1765" s="128" t="s">
        <v>69</v>
      </c>
      <c r="AG1765" s="128" t="s">
        <v>874</v>
      </c>
      <c r="AH1765" s="108" t="s">
        <v>31</v>
      </c>
      <c r="AI1765" s="128" t="s">
        <v>72</v>
      </c>
      <c r="AJ1765" s="129" t="s">
        <v>48</v>
      </c>
      <c r="AK1765" s="129">
        <v>8</v>
      </c>
      <c r="AL1765" s="3" t="s">
        <v>48</v>
      </c>
      <c r="AP1765" s="129" t="s">
        <v>107</v>
      </c>
      <c r="AR1765" s="128" t="s">
        <v>44</v>
      </c>
      <c r="AS1765" s="129" t="s">
        <v>57</v>
      </c>
      <c r="AU1765" s="3" t="s">
        <v>754</v>
      </c>
      <c r="AX1765" s="32" t="s">
        <v>88</v>
      </c>
      <c r="BC1765" s="129" t="s">
        <v>38</v>
      </c>
      <c r="BF1765" s="111">
        <v>27</v>
      </c>
      <c r="BG1765" s="111">
        <f t="shared" si="1335"/>
        <v>143</v>
      </c>
      <c r="BH1765" s="111">
        <f t="shared" si="1297"/>
        <v>144</v>
      </c>
      <c r="BI1765" s="111">
        <f t="shared" si="1298"/>
        <v>24.207650273224044</v>
      </c>
      <c r="BJ1765" s="129">
        <f>(G1765-J1765)+(M1765-G1765)</f>
        <v>0</v>
      </c>
      <c r="BK1765" s="129">
        <f t="shared" si="1299"/>
        <v>-138</v>
      </c>
      <c r="BL1765" s="129" t="str">
        <f t="shared" si="1328"/>
        <v>DEFERRED</v>
      </c>
      <c r="BM1765" s="129" t="s">
        <v>76</v>
      </c>
      <c r="BN1765" s="129" t="s">
        <v>88</v>
      </c>
      <c r="BP1765" s="137" t="str">
        <f t="shared" si="1306"/>
        <v>DEFERRED</v>
      </c>
      <c r="BQ1765" s="128" t="str">
        <f t="shared" si="1307"/>
        <v>Y</v>
      </c>
      <c r="BR1765" s="129" t="s">
        <v>574</v>
      </c>
      <c r="BS1765" s="129" t="str">
        <f t="shared" si="1309"/>
        <v>DISPOSED</v>
      </c>
      <c r="BT1765" s="129" t="str">
        <f t="shared" si="1310"/>
        <v>N</v>
      </c>
      <c r="BU1765" s="109">
        <f t="shared" si="1311"/>
        <v>0.1875</v>
      </c>
      <c r="BV1765" s="109">
        <f t="shared" si="1312"/>
        <v>3.4965034965034968E-2</v>
      </c>
      <c r="BW1765" s="109">
        <f t="shared" si="1332"/>
        <v>-0.15253496503496503</v>
      </c>
      <c r="BX1765" s="111">
        <f t="shared" si="1313"/>
        <v>0</v>
      </c>
      <c r="BY1765" s="129">
        <f t="shared" si="1314"/>
        <v>-5</v>
      </c>
      <c r="BZ1765" s="111">
        <f t="shared" si="1315"/>
        <v>22</v>
      </c>
      <c r="CA1765" s="138">
        <f t="shared" si="1316"/>
        <v>143</v>
      </c>
      <c r="CB1765" s="111">
        <v>27</v>
      </c>
      <c r="CC1765" s="129">
        <f>G1765-I1765+1</f>
        <v>143</v>
      </c>
      <c r="CD1765" s="129">
        <f>G1765-J1765</f>
        <v>138</v>
      </c>
      <c r="CG1765" s="129" t="str">
        <f t="shared" si="1317"/>
        <v>Y</v>
      </c>
      <c r="CI1765" s="129" t="str">
        <f t="shared" si="1318"/>
        <v>11-30 DAYS</v>
      </c>
      <c r="CJ1765" s="137">
        <f t="shared" si="1319"/>
        <v>2</v>
      </c>
      <c r="CK1765" s="129" t="str">
        <f t="shared" si="1320"/>
        <v>Booked</v>
      </c>
    </row>
    <row r="1766" spans="1:89" ht="15" customHeight="1" x14ac:dyDescent="0.25">
      <c r="A1766" s="111">
        <v>3157</v>
      </c>
      <c r="B1766" s="128" t="str">
        <f t="shared" si="1301"/>
        <v>N</v>
      </c>
      <c r="C1766" s="128" t="str">
        <f t="shared" si="1302"/>
        <v>N</v>
      </c>
      <c r="D1766" s="117">
        <v>2262995</v>
      </c>
      <c r="E1766" s="135">
        <f t="shared" si="1303"/>
        <v>2</v>
      </c>
      <c r="F1766" s="124">
        <v>41025</v>
      </c>
      <c r="G1766" s="125">
        <v>41029</v>
      </c>
      <c r="H1766" s="117">
        <v>2262995</v>
      </c>
      <c r="I1766" s="124">
        <v>41026</v>
      </c>
      <c r="J1766" s="124">
        <v>41029</v>
      </c>
      <c r="K1766" s="126">
        <v>2000</v>
      </c>
      <c r="L1766" s="127" t="s">
        <v>568</v>
      </c>
      <c r="N1766" s="129" t="str">
        <f t="shared" si="1333"/>
        <v>N</v>
      </c>
      <c r="O1766" s="128" t="s">
        <v>917</v>
      </c>
      <c r="P1766" s="129" t="s">
        <v>589</v>
      </c>
      <c r="Q1766" s="111">
        <f t="shared" si="1323"/>
        <v>4</v>
      </c>
      <c r="R1766" s="111">
        <f t="shared" si="1327"/>
        <v>5</v>
      </c>
      <c r="S1766" s="129">
        <v>0</v>
      </c>
      <c r="T1766" s="129">
        <v>1</v>
      </c>
      <c r="W1766" s="111"/>
      <c r="AC1766" s="130"/>
      <c r="AD1766" s="130">
        <v>30408</v>
      </c>
      <c r="AE1766" s="128" t="s">
        <v>32</v>
      </c>
      <c r="AF1766" s="128" t="s">
        <v>33</v>
      </c>
      <c r="AG1766" s="128" t="s">
        <v>872</v>
      </c>
      <c r="AH1766" s="108" t="s">
        <v>58</v>
      </c>
      <c r="AI1766" s="128" t="s">
        <v>141</v>
      </c>
      <c r="AJ1766" s="129" t="s">
        <v>48</v>
      </c>
      <c r="AK1766" s="129">
        <v>2</v>
      </c>
      <c r="AL1766" s="3" t="s">
        <v>48</v>
      </c>
      <c r="AP1766" s="129" t="s">
        <v>63</v>
      </c>
      <c r="AR1766" s="128" t="s">
        <v>44</v>
      </c>
      <c r="AS1766" s="129" t="s">
        <v>64</v>
      </c>
      <c r="BC1766" s="129" t="s">
        <v>99</v>
      </c>
      <c r="BF1766" s="111">
        <f t="shared" si="1334"/>
        <v>4</v>
      </c>
      <c r="BG1766" s="111">
        <f t="shared" si="1335"/>
        <v>4</v>
      </c>
      <c r="BH1766" s="111">
        <f t="shared" si="1297"/>
        <v>5</v>
      </c>
      <c r="BI1766" s="111">
        <f t="shared" si="1298"/>
        <v>29.008196721311474</v>
      </c>
      <c r="BJ1766" s="129">
        <f t="shared" si="1304"/>
        <v>0</v>
      </c>
      <c r="BK1766" s="129">
        <f t="shared" si="1299"/>
        <v>0</v>
      </c>
      <c r="BL1766" s="129" t="str">
        <f t="shared" si="1328"/>
        <v>DEFERRED</v>
      </c>
      <c r="BM1766" s="129" t="str">
        <f t="shared" si="1305"/>
        <v>NONE</v>
      </c>
      <c r="BN1766" s="129" t="s">
        <v>566</v>
      </c>
      <c r="BP1766" s="137" t="str">
        <f t="shared" si="1306"/>
        <v>DEFERRED</v>
      </c>
      <c r="BQ1766" s="128" t="str">
        <f t="shared" si="1307"/>
        <v>Y</v>
      </c>
      <c r="BR1766" s="129" t="str">
        <f t="shared" si="1308"/>
        <v>DETAINED</v>
      </c>
      <c r="BS1766" s="129" t="str">
        <f t="shared" si="1309"/>
        <v>DISPOSED</v>
      </c>
      <c r="BT1766" s="129" t="str">
        <f t="shared" si="1310"/>
        <v>N</v>
      </c>
      <c r="BU1766" s="109">
        <f t="shared" si="1311"/>
        <v>0.8</v>
      </c>
      <c r="BV1766" s="109">
        <f t="shared" si="1312"/>
        <v>1</v>
      </c>
      <c r="BW1766" s="109">
        <f t="shared" si="1332"/>
        <v>0.19999999999999996</v>
      </c>
      <c r="BX1766" s="111">
        <f t="shared" si="1313"/>
        <v>0</v>
      </c>
      <c r="BY1766" s="129">
        <f t="shared" si="1314"/>
        <v>-4</v>
      </c>
      <c r="BZ1766" s="111">
        <f t="shared" si="1315"/>
        <v>0</v>
      </c>
      <c r="CA1766" s="138">
        <f t="shared" si="1316"/>
        <v>4</v>
      </c>
      <c r="CB1766" s="111" t="e">
        <f t="shared" si="1336"/>
        <v>#VALUE!</v>
      </c>
      <c r="CC1766" s="129">
        <f>G1766-I1766+1</f>
        <v>4</v>
      </c>
      <c r="CD1766" s="129">
        <f>G1766-J1766</f>
        <v>0</v>
      </c>
      <c r="CG1766" s="129" t="str">
        <f t="shared" si="1317"/>
        <v>Y</v>
      </c>
      <c r="CI1766" s="129" t="str">
        <f t="shared" si="1318"/>
        <v>0-10 DAYS</v>
      </c>
      <c r="CJ1766" s="137">
        <f t="shared" si="1319"/>
        <v>1</v>
      </c>
      <c r="CK1766" s="129" t="str">
        <f t="shared" si="1320"/>
        <v>Booked</v>
      </c>
    </row>
    <row r="1767" spans="1:89" ht="15.75" customHeight="1" x14ac:dyDescent="0.25">
      <c r="A1767" s="111">
        <v>161</v>
      </c>
      <c r="B1767" s="128" t="str">
        <f t="shared" si="1301"/>
        <v>N</v>
      </c>
      <c r="C1767" s="128" t="str">
        <f t="shared" si="1302"/>
        <v>N</v>
      </c>
      <c r="D1767" s="117">
        <v>2264313</v>
      </c>
      <c r="E1767" s="135">
        <f t="shared" si="1303"/>
        <v>4</v>
      </c>
      <c r="F1767" s="124">
        <v>40915</v>
      </c>
      <c r="G1767" s="125">
        <v>40917</v>
      </c>
      <c r="H1767" s="117">
        <v>2264313</v>
      </c>
      <c r="I1767" s="124">
        <v>40916</v>
      </c>
      <c r="J1767" s="124">
        <v>40917</v>
      </c>
      <c r="K1767" s="126">
        <v>15000</v>
      </c>
      <c r="L1767" s="127" t="s">
        <v>571</v>
      </c>
      <c r="N1767" s="129" t="str">
        <f t="shared" si="1333"/>
        <v>N</v>
      </c>
      <c r="O1767" s="128" t="s">
        <v>917</v>
      </c>
      <c r="P1767" s="129" t="s">
        <v>39</v>
      </c>
      <c r="Q1767" s="111">
        <f t="shared" si="1323"/>
        <v>2</v>
      </c>
      <c r="R1767" s="111">
        <f t="shared" si="1327"/>
        <v>3</v>
      </c>
      <c r="S1767" s="129">
        <v>5</v>
      </c>
      <c r="T1767" s="129">
        <v>3</v>
      </c>
      <c r="U1767" s="129">
        <v>4</v>
      </c>
      <c r="W1767" s="111"/>
      <c r="AC1767" s="130"/>
      <c r="AD1767" s="130">
        <v>21920</v>
      </c>
      <c r="AE1767" s="128" t="s">
        <v>32</v>
      </c>
      <c r="AF1767" s="128" t="s">
        <v>33</v>
      </c>
      <c r="AG1767" s="128" t="s">
        <v>872</v>
      </c>
      <c r="AH1767" s="108" t="s">
        <v>58</v>
      </c>
      <c r="AI1767" s="128" t="s">
        <v>113</v>
      </c>
      <c r="AJ1767" s="129" t="s">
        <v>89</v>
      </c>
      <c r="AK1767" s="129">
        <v>1</v>
      </c>
      <c r="AL1767" s="3" t="s">
        <v>991</v>
      </c>
      <c r="AO1767" s="128">
        <v>365</v>
      </c>
      <c r="AP1767" s="129" t="s">
        <v>43</v>
      </c>
      <c r="AR1767" s="128" t="s">
        <v>44</v>
      </c>
      <c r="AS1767" s="129" t="s">
        <v>45</v>
      </c>
      <c r="BC1767" s="129" t="s">
        <v>38</v>
      </c>
      <c r="BF1767" s="111">
        <f t="shared" si="1334"/>
        <v>2</v>
      </c>
      <c r="BG1767" s="111">
        <f t="shared" si="1335"/>
        <v>2</v>
      </c>
      <c r="BH1767" s="111">
        <f t="shared" si="1297"/>
        <v>3</v>
      </c>
      <c r="BI1767" s="111">
        <f t="shared" si="1298"/>
        <v>51.898907103825138</v>
      </c>
      <c r="BJ1767" s="129">
        <f t="shared" si="1304"/>
        <v>0</v>
      </c>
      <c r="BK1767" s="129">
        <f t="shared" si="1299"/>
        <v>0</v>
      </c>
      <c r="BL1767" s="129" t="str">
        <f t="shared" si="1328"/>
        <v>CONVICTION</v>
      </c>
      <c r="BM1767" s="129" t="str">
        <f t="shared" si="1305"/>
        <v>NONE</v>
      </c>
      <c r="BN1767" s="129" t="s">
        <v>566</v>
      </c>
      <c r="BP1767" s="137" t="str">
        <f t="shared" si="1306"/>
        <v>CONVICTION</v>
      </c>
      <c r="BQ1767" s="128" t="str">
        <f t="shared" si="1307"/>
        <v>Y</v>
      </c>
      <c r="BR1767" s="129" t="str">
        <f t="shared" si="1308"/>
        <v>DETAINED</v>
      </c>
      <c r="BS1767" s="129" t="str">
        <f t="shared" si="1309"/>
        <v>DISPOSED</v>
      </c>
      <c r="BT1767" s="129" t="str">
        <f t="shared" si="1310"/>
        <v>Y</v>
      </c>
      <c r="BU1767" s="109">
        <f t="shared" si="1311"/>
        <v>0.66666666666666663</v>
      </c>
      <c r="BV1767" s="109">
        <f t="shared" si="1312"/>
        <v>1</v>
      </c>
      <c r="BW1767" s="109">
        <f t="shared" si="1332"/>
        <v>0.33333333333333337</v>
      </c>
      <c r="BX1767" s="111">
        <f t="shared" si="1313"/>
        <v>0</v>
      </c>
      <c r="BY1767" s="129">
        <f t="shared" si="1314"/>
        <v>-2</v>
      </c>
      <c r="BZ1767" s="111">
        <f t="shared" si="1315"/>
        <v>0</v>
      </c>
      <c r="CA1767" s="138">
        <f t="shared" si="1316"/>
        <v>2</v>
      </c>
      <c r="CB1767" s="111" t="e">
        <f t="shared" si="1336"/>
        <v>#VALUE!</v>
      </c>
      <c r="CC1767" s="129">
        <f>G1767-I1767+1</f>
        <v>2</v>
      </c>
      <c r="CD1767" s="129">
        <f>G1767-J1767</f>
        <v>0</v>
      </c>
      <c r="CG1767" s="129" t="str">
        <f t="shared" si="1317"/>
        <v>Y</v>
      </c>
      <c r="CI1767" s="129" t="str">
        <f t="shared" si="1318"/>
        <v>0-10 DAYS</v>
      </c>
      <c r="CJ1767" s="137">
        <f t="shared" si="1319"/>
        <v>1</v>
      </c>
      <c r="CK1767" s="129" t="str">
        <f t="shared" si="1320"/>
        <v>Booked</v>
      </c>
    </row>
    <row r="1768" spans="1:89" ht="15" customHeight="1" x14ac:dyDescent="0.25">
      <c r="A1768" s="111">
        <v>2886</v>
      </c>
      <c r="B1768" s="128" t="str">
        <f t="shared" si="1301"/>
        <v>N</v>
      </c>
      <c r="C1768" s="128" t="str">
        <f t="shared" si="1302"/>
        <v>N</v>
      </c>
      <c r="D1768" s="117">
        <v>2264913</v>
      </c>
      <c r="E1768" s="135">
        <f t="shared" si="1303"/>
        <v>4</v>
      </c>
      <c r="F1768" s="124">
        <v>41016</v>
      </c>
      <c r="G1768" s="125">
        <v>41158</v>
      </c>
      <c r="H1768" s="117">
        <v>2264913</v>
      </c>
      <c r="I1768" s="124">
        <v>41016</v>
      </c>
      <c r="J1768" s="124">
        <v>41018</v>
      </c>
      <c r="K1768" s="126">
        <v>5000</v>
      </c>
      <c r="L1768" s="127" t="s">
        <v>569</v>
      </c>
      <c r="M1768" s="125">
        <v>41018</v>
      </c>
      <c r="N1768" s="129" t="str">
        <f t="shared" si="1333"/>
        <v>Y</v>
      </c>
      <c r="O1768" s="128" t="s">
        <v>585</v>
      </c>
      <c r="P1768" s="129" t="s">
        <v>39</v>
      </c>
      <c r="Q1768" s="111">
        <f t="shared" si="1323"/>
        <v>3</v>
      </c>
      <c r="R1768" s="111">
        <f t="shared" si="1327"/>
        <v>143</v>
      </c>
      <c r="S1768" s="129">
        <v>1</v>
      </c>
      <c r="T1768" s="129">
        <v>1</v>
      </c>
      <c r="W1768" s="111"/>
      <c r="AC1768" s="130"/>
      <c r="AD1768" s="130">
        <v>24187</v>
      </c>
      <c r="AE1768" s="128" t="s">
        <v>32</v>
      </c>
      <c r="AF1768" s="128" t="s">
        <v>33</v>
      </c>
      <c r="AG1768" s="128" t="s">
        <v>872</v>
      </c>
      <c r="AH1768" s="108" t="s">
        <v>58</v>
      </c>
      <c r="AI1768" s="128" t="s">
        <v>71</v>
      </c>
      <c r="AJ1768" s="129" t="s">
        <v>89</v>
      </c>
      <c r="AK1768" s="129">
        <v>6</v>
      </c>
      <c r="AL1768" s="3" t="s">
        <v>991</v>
      </c>
      <c r="AO1768" s="128">
        <v>180</v>
      </c>
      <c r="AP1768" s="129" t="s">
        <v>43</v>
      </c>
      <c r="AR1768" s="128" t="s">
        <v>44</v>
      </c>
      <c r="AS1768" s="129" t="s">
        <v>45</v>
      </c>
      <c r="BC1768" s="129" t="s">
        <v>99</v>
      </c>
      <c r="BF1768" s="111">
        <f t="shared" si="1334"/>
        <v>3</v>
      </c>
      <c r="BG1768" s="111">
        <f t="shared" si="1335"/>
        <v>143</v>
      </c>
      <c r="BH1768" s="111">
        <f t="shared" si="1297"/>
        <v>143</v>
      </c>
      <c r="BI1768" s="111">
        <f t="shared" si="1298"/>
        <v>45.980874316939889</v>
      </c>
      <c r="BJ1768" s="129">
        <f>(G1768-J1768)+(M1768-G1768)</f>
        <v>0</v>
      </c>
      <c r="BK1768" s="129">
        <f t="shared" si="1299"/>
        <v>-140</v>
      </c>
      <c r="BL1768" s="129" t="str">
        <f t="shared" si="1328"/>
        <v>CONVICTION</v>
      </c>
      <c r="BM1768" s="129" t="s">
        <v>76</v>
      </c>
      <c r="BN1768" s="129" t="s">
        <v>88</v>
      </c>
      <c r="BP1768" s="137" t="str">
        <f t="shared" si="1306"/>
        <v>CONVICTION</v>
      </c>
      <c r="BQ1768" s="128" t="str">
        <f t="shared" si="1307"/>
        <v>Y</v>
      </c>
      <c r="BR1768" s="129" t="str">
        <f>IF(J1768&lt;G1768,"ON BOND",0)</f>
        <v>ON BOND</v>
      </c>
      <c r="BS1768" s="129" t="str">
        <f t="shared" si="1309"/>
        <v>DISPOSED</v>
      </c>
      <c r="BT1768" s="129" t="str">
        <f t="shared" si="1310"/>
        <v>Y</v>
      </c>
      <c r="BU1768" s="109">
        <f t="shared" si="1311"/>
        <v>2.097902097902098E-2</v>
      </c>
      <c r="BV1768" s="109">
        <f t="shared" si="1312"/>
        <v>2.097902097902098E-2</v>
      </c>
      <c r="BW1768" s="109">
        <f t="shared" si="1332"/>
        <v>0</v>
      </c>
      <c r="BX1768" s="111">
        <f t="shared" si="1313"/>
        <v>0</v>
      </c>
      <c r="BY1768" s="129">
        <f t="shared" si="1314"/>
        <v>-3</v>
      </c>
      <c r="BZ1768" s="111">
        <f t="shared" si="1315"/>
        <v>0</v>
      </c>
      <c r="CA1768" s="138">
        <f t="shared" si="1316"/>
        <v>3</v>
      </c>
      <c r="CB1768" s="111" t="e">
        <f t="shared" si="1336"/>
        <v>#VALUE!</v>
      </c>
      <c r="CC1768" s="129">
        <f>M1768-I1768+1</f>
        <v>3</v>
      </c>
      <c r="CD1768" s="111">
        <f>CC1768-BF1768</f>
        <v>0</v>
      </c>
      <c r="CG1768" s="129" t="str">
        <f t="shared" si="1317"/>
        <v>Y</v>
      </c>
      <c r="CI1768" s="129" t="str">
        <f t="shared" si="1318"/>
        <v>0-10 DAYS</v>
      </c>
      <c r="CJ1768" s="137">
        <f t="shared" si="1319"/>
        <v>1</v>
      </c>
      <c r="CK1768" s="129" t="str">
        <f t="shared" si="1320"/>
        <v>Booked</v>
      </c>
    </row>
    <row r="1769" spans="1:89" ht="15" customHeight="1" x14ac:dyDescent="0.25">
      <c r="A1769" s="111">
        <v>2535</v>
      </c>
      <c r="B1769" s="128" t="str">
        <f t="shared" si="1301"/>
        <v>N</v>
      </c>
      <c r="C1769" s="128" t="str">
        <f t="shared" si="1302"/>
        <v>N</v>
      </c>
      <c r="D1769" s="117">
        <v>2266140</v>
      </c>
      <c r="E1769" s="135">
        <f t="shared" si="1303"/>
        <v>2</v>
      </c>
      <c r="F1769" s="124">
        <v>41003</v>
      </c>
      <c r="G1769" s="125">
        <v>41106</v>
      </c>
      <c r="H1769" s="117">
        <v>2266140</v>
      </c>
      <c r="I1769" s="124">
        <v>41004</v>
      </c>
      <c r="J1769" s="124">
        <v>41005</v>
      </c>
      <c r="K1769" s="126">
        <v>2000</v>
      </c>
      <c r="L1769" s="127" t="s">
        <v>568</v>
      </c>
      <c r="M1769" s="125">
        <v>41005</v>
      </c>
      <c r="N1769" s="129" t="str">
        <f t="shared" si="1333"/>
        <v>Y</v>
      </c>
      <c r="O1769" s="128" t="s">
        <v>585</v>
      </c>
      <c r="P1769" s="129" t="s">
        <v>589</v>
      </c>
      <c r="Q1769" s="111">
        <f t="shared" si="1323"/>
        <v>2</v>
      </c>
      <c r="R1769" s="111">
        <f t="shared" si="1327"/>
        <v>104</v>
      </c>
      <c r="S1769" s="129">
        <v>0</v>
      </c>
      <c r="T1769" s="129">
        <v>0</v>
      </c>
      <c r="W1769" s="111"/>
      <c r="AC1769" s="130"/>
      <c r="AD1769" s="130">
        <v>31659</v>
      </c>
      <c r="AE1769" s="128" t="s">
        <v>32</v>
      </c>
      <c r="AF1769" s="128" t="s">
        <v>40</v>
      </c>
      <c r="AG1769" s="128" t="s">
        <v>41</v>
      </c>
      <c r="AH1769" s="108" t="s">
        <v>41</v>
      </c>
      <c r="AI1769" s="128" t="s">
        <v>90</v>
      </c>
      <c r="AJ1769" s="129" t="s">
        <v>48</v>
      </c>
      <c r="AK1769" s="129">
        <v>6</v>
      </c>
      <c r="AL1769" s="3" t="s">
        <v>48</v>
      </c>
      <c r="AP1769" s="129" t="s">
        <v>103</v>
      </c>
      <c r="AR1769" s="128" t="s">
        <v>44</v>
      </c>
      <c r="AS1769" s="129" t="s">
        <v>45</v>
      </c>
      <c r="BC1769" s="129" t="s">
        <v>52</v>
      </c>
      <c r="BF1769" s="111">
        <f t="shared" si="1334"/>
        <v>2</v>
      </c>
      <c r="BG1769" s="111">
        <f t="shared" si="1335"/>
        <v>103</v>
      </c>
      <c r="BH1769" s="111">
        <f t="shared" si="1297"/>
        <v>104</v>
      </c>
      <c r="BI1769" s="111">
        <f t="shared" si="1298"/>
        <v>25.530054644808743</v>
      </c>
      <c r="BJ1769" s="129">
        <f>(G1769-J1769)+(M1769-G1769)</f>
        <v>0</v>
      </c>
      <c r="BK1769" s="129">
        <f t="shared" si="1299"/>
        <v>-101</v>
      </c>
      <c r="BL1769" s="129" t="str">
        <f t="shared" si="1328"/>
        <v>DEFERRED</v>
      </c>
      <c r="BM1769" s="129" t="s">
        <v>76</v>
      </c>
      <c r="BN1769" s="129" t="s">
        <v>88</v>
      </c>
      <c r="BP1769" s="137" t="str">
        <f t="shared" si="1306"/>
        <v>DEFERRED</v>
      </c>
      <c r="BQ1769" s="128" t="str">
        <f t="shared" si="1307"/>
        <v>Y</v>
      </c>
      <c r="BR1769" s="129" t="str">
        <f t="shared" si="1308"/>
        <v>ON BOND</v>
      </c>
      <c r="BS1769" s="129" t="str">
        <f t="shared" si="1309"/>
        <v>DISPOSED</v>
      </c>
      <c r="BT1769" s="129" t="str">
        <f t="shared" si="1310"/>
        <v>N</v>
      </c>
      <c r="BU1769" s="109">
        <f t="shared" si="1311"/>
        <v>1.9230769230769232E-2</v>
      </c>
      <c r="BV1769" s="109">
        <f t="shared" si="1312"/>
        <v>1.9417475728155338E-2</v>
      </c>
      <c r="BW1769" s="109">
        <f t="shared" si="1332"/>
        <v>1.8670649738610628E-4</v>
      </c>
      <c r="BX1769" s="111">
        <f t="shared" si="1313"/>
        <v>0</v>
      </c>
      <c r="BY1769" s="129">
        <f t="shared" si="1314"/>
        <v>-2</v>
      </c>
      <c r="BZ1769" s="111">
        <f t="shared" si="1315"/>
        <v>0</v>
      </c>
      <c r="CA1769" s="138">
        <f t="shared" si="1316"/>
        <v>2</v>
      </c>
      <c r="CB1769" s="111" t="e">
        <f t="shared" si="1336"/>
        <v>#VALUE!</v>
      </c>
      <c r="CC1769" s="129">
        <f>M1769-I1769+1</f>
        <v>2</v>
      </c>
      <c r="CD1769" s="111">
        <f>CC1769-BF1769</f>
        <v>0</v>
      </c>
      <c r="CG1769" s="129" t="str">
        <f t="shared" si="1317"/>
        <v>N</v>
      </c>
      <c r="CI1769" s="129" t="str">
        <f t="shared" si="1318"/>
        <v>0-10 DAYS</v>
      </c>
      <c r="CJ1769" s="137">
        <f t="shared" si="1319"/>
        <v>1</v>
      </c>
      <c r="CK1769" s="129" t="str">
        <f t="shared" si="1320"/>
        <v>Booked</v>
      </c>
    </row>
    <row r="1770" spans="1:89" ht="15" customHeight="1" x14ac:dyDescent="0.25">
      <c r="A1770" s="111">
        <v>2888</v>
      </c>
      <c r="B1770" s="128" t="str">
        <f t="shared" si="1301"/>
        <v>N</v>
      </c>
      <c r="C1770" s="128" t="str">
        <f t="shared" si="1302"/>
        <v>N</v>
      </c>
      <c r="D1770" s="117">
        <v>2270230</v>
      </c>
      <c r="E1770" s="135">
        <f t="shared" si="1303"/>
        <v>2</v>
      </c>
      <c r="F1770" s="124">
        <v>41016</v>
      </c>
      <c r="G1770" s="125">
        <v>41170</v>
      </c>
      <c r="H1770" s="117">
        <v>2270230</v>
      </c>
      <c r="I1770" s="124">
        <v>41018</v>
      </c>
      <c r="J1770" s="124">
        <v>41027</v>
      </c>
      <c r="K1770" s="126">
        <v>30000</v>
      </c>
      <c r="L1770" s="129" t="s">
        <v>572</v>
      </c>
      <c r="M1770" s="125">
        <v>41027</v>
      </c>
      <c r="N1770" s="129" t="str">
        <f t="shared" si="1333"/>
        <v>Y</v>
      </c>
      <c r="O1770" s="128" t="s">
        <v>76</v>
      </c>
      <c r="P1770" s="129" t="s">
        <v>589</v>
      </c>
      <c r="Q1770" s="111">
        <f t="shared" si="1323"/>
        <v>10</v>
      </c>
      <c r="R1770" s="111">
        <f t="shared" si="1327"/>
        <v>155</v>
      </c>
      <c r="S1770" s="129">
        <v>0</v>
      </c>
      <c r="T1770" s="129">
        <v>2</v>
      </c>
      <c r="W1770" s="111"/>
      <c r="AC1770" s="130"/>
      <c r="AD1770" s="130">
        <v>32748</v>
      </c>
      <c r="AE1770" s="128" t="s">
        <v>46</v>
      </c>
      <c r="AF1770" s="128" t="s">
        <v>33</v>
      </c>
      <c r="AG1770" s="128" t="s">
        <v>872</v>
      </c>
      <c r="AH1770" s="108" t="s">
        <v>58</v>
      </c>
      <c r="AI1770" s="128" t="s">
        <v>141</v>
      </c>
      <c r="AJ1770" s="129" t="s">
        <v>48</v>
      </c>
      <c r="AK1770" s="129">
        <v>8</v>
      </c>
      <c r="AL1770" s="3" t="s">
        <v>48</v>
      </c>
      <c r="AP1770" s="129" t="s">
        <v>73</v>
      </c>
      <c r="AR1770" s="128" t="s">
        <v>50</v>
      </c>
      <c r="AS1770" s="129" t="s">
        <v>74</v>
      </c>
      <c r="BC1770" s="129" t="s">
        <v>52</v>
      </c>
      <c r="BF1770" s="111">
        <f t="shared" si="1334"/>
        <v>10</v>
      </c>
      <c r="BG1770" s="111">
        <f t="shared" si="1335"/>
        <v>153</v>
      </c>
      <c r="BH1770" s="111">
        <f t="shared" si="1297"/>
        <v>155</v>
      </c>
      <c r="BI1770" s="111">
        <f t="shared" si="1298"/>
        <v>22.590163934426229</v>
      </c>
      <c r="BJ1770" s="129">
        <f>(G1770-J1770)+(M1770-G1770)</f>
        <v>0</v>
      </c>
      <c r="BK1770" s="129">
        <f t="shared" si="1299"/>
        <v>-143</v>
      </c>
      <c r="BL1770" s="129" t="str">
        <f t="shared" si="1328"/>
        <v>DEFERRED</v>
      </c>
      <c r="BM1770" s="129" t="s">
        <v>76</v>
      </c>
      <c r="BN1770" s="129" t="s">
        <v>88</v>
      </c>
      <c r="BP1770" s="137" t="str">
        <f t="shared" si="1306"/>
        <v>DEFERRED</v>
      </c>
      <c r="BQ1770" s="128" t="str">
        <f t="shared" si="1307"/>
        <v>Y</v>
      </c>
      <c r="BR1770" s="129" t="str">
        <f t="shared" si="1308"/>
        <v>ON BOND</v>
      </c>
      <c r="BS1770" s="129" t="str">
        <f t="shared" si="1309"/>
        <v>DISPOSED</v>
      </c>
      <c r="BT1770" s="129" t="str">
        <f t="shared" si="1310"/>
        <v>N</v>
      </c>
      <c r="BU1770" s="109">
        <f t="shared" si="1311"/>
        <v>6.4516129032258063E-2</v>
      </c>
      <c r="BV1770" s="109">
        <f t="shared" si="1312"/>
        <v>6.535947712418301E-2</v>
      </c>
      <c r="BW1770" s="109">
        <f t="shared" si="1332"/>
        <v>8.4334809192494753E-4</v>
      </c>
      <c r="BX1770" s="111">
        <f t="shared" si="1313"/>
        <v>0</v>
      </c>
      <c r="BY1770" s="129">
        <f t="shared" si="1314"/>
        <v>-10</v>
      </c>
      <c r="BZ1770" s="111">
        <f t="shared" si="1315"/>
        <v>0</v>
      </c>
      <c r="CA1770" s="138">
        <f t="shared" si="1316"/>
        <v>10</v>
      </c>
      <c r="CB1770" s="111" t="e">
        <f t="shared" si="1336"/>
        <v>#VALUE!</v>
      </c>
      <c r="CC1770" s="129">
        <f>M1770-I1770+1</f>
        <v>10</v>
      </c>
      <c r="CD1770" s="111">
        <f>CC1770-BF1770</f>
        <v>0</v>
      </c>
      <c r="CG1770" s="129" t="str">
        <f t="shared" si="1317"/>
        <v>Y</v>
      </c>
      <c r="CI1770" s="129" t="str">
        <f t="shared" si="1318"/>
        <v>0-10 DAYS</v>
      </c>
      <c r="CJ1770" s="137">
        <f t="shared" si="1319"/>
        <v>1</v>
      </c>
      <c r="CK1770" s="129" t="str">
        <f t="shared" si="1320"/>
        <v>Booked</v>
      </c>
    </row>
    <row r="1771" spans="1:89" ht="15" customHeight="1" x14ac:dyDescent="0.25">
      <c r="A1771" s="111">
        <v>338</v>
      </c>
      <c r="B1771" s="128" t="str">
        <f t="shared" si="1301"/>
        <v>N</v>
      </c>
      <c r="C1771" s="128" t="str">
        <f t="shared" si="1302"/>
        <v>N</v>
      </c>
      <c r="D1771" s="117">
        <v>2271330</v>
      </c>
      <c r="E1771" s="135">
        <f t="shared" si="1303"/>
        <v>2</v>
      </c>
      <c r="F1771" s="124">
        <v>40922</v>
      </c>
      <c r="G1771" s="125">
        <v>40934</v>
      </c>
      <c r="H1771" s="117">
        <v>2271330</v>
      </c>
      <c r="I1771" s="124">
        <v>40922</v>
      </c>
      <c r="J1771" s="124">
        <v>40934</v>
      </c>
      <c r="K1771" s="126">
        <v>2000</v>
      </c>
      <c r="L1771" s="127" t="s">
        <v>568</v>
      </c>
      <c r="N1771" s="129" t="str">
        <f t="shared" si="1333"/>
        <v>N</v>
      </c>
      <c r="O1771" s="128" t="s">
        <v>917</v>
      </c>
      <c r="P1771" s="129" t="s">
        <v>589</v>
      </c>
      <c r="Q1771" s="111">
        <f t="shared" si="1323"/>
        <v>13</v>
      </c>
      <c r="R1771" s="111">
        <f t="shared" si="1327"/>
        <v>13</v>
      </c>
      <c r="S1771" s="129">
        <v>0</v>
      </c>
      <c r="T1771" s="129">
        <v>0</v>
      </c>
      <c r="W1771" s="111"/>
      <c r="AC1771" s="130"/>
      <c r="AD1771" s="130">
        <v>31961</v>
      </c>
      <c r="AE1771" s="128" t="s">
        <v>32</v>
      </c>
      <c r="AF1771" s="128" t="s">
        <v>40</v>
      </c>
      <c r="AG1771" s="128" t="s">
        <v>41</v>
      </c>
      <c r="AH1771" s="108" t="s">
        <v>41</v>
      </c>
      <c r="AI1771" s="128" t="s">
        <v>62</v>
      </c>
      <c r="AJ1771" s="129" t="s">
        <v>48</v>
      </c>
      <c r="AK1771" s="129">
        <v>2</v>
      </c>
      <c r="AL1771" s="3" t="s">
        <v>48</v>
      </c>
      <c r="AP1771" s="129" t="s">
        <v>43</v>
      </c>
      <c r="AR1771" s="128" t="s">
        <v>44</v>
      </c>
      <c r="AS1771" s="129" t="s">
        <v>45</v>
      </c>
      <c r="BC1771" s="129" t="s">
        <v>38</v>
      </c>
      <c r="BF1771" s="111">
        <f t="shared" si="1334"/>
        <v>13</v>
      </c>
      <c r="BG1771" s="111">
        <f t="shared" si="1335"/>
        <v>13</v>
      </c>
      <c r="BH1771" s="111">
        <f t="shared" si="1297"/>
        <v>13</v>
      </c>
      <c r="BI1771" s="111">
        <f t="shared" si="1298"/>
        <v>24.483606557377048</v>
      </c>
      <c r="BJ1771" s="129">
        <f t="shared" si="1304"/>
        <v>0</v>
      </c>
      <c r="BK1771" s="129">
        <f t="shared" si="1299"/>
        <v>0</v>
      </c>
      <c r="BL1771" s="129" t="str">
        <f t="shared" si="1328"/>
        <v>DEFERRED</v>
      </c>
      <c r="BM1771" s="129" t="str">
        <f t="shared" si="1305"/>
        <v>NONE</v>
      </c>
      <c r="BN1771" s="129" t="s">
        <v>566</v>
      </c>
      <c r="BP1771" s="137" t="str">
        <f t="shared" si="1306"/>
        <v>DEFERRED</v>
      </c>
      <c r="BQ1771" s="128" t="str">
        <f t="shared" si="1307"/>
        <v>Y</v>
      </c>
      <c r="BR1771" s="129" t="str">
        <f t="shared" si="1308"/>
        <v>DETAINED</v>
      </c>
      <c r="BS1771" s="129" t="str">
        <f t="shared" si="1309"/>
        <v>DISPOSED</v>
      </c>
      <c r="BT1771" s="129" t="str">
        <f t="shared" si="1310"/>
        <v>N</v>
      </c>
      <c r="BU1771" s="109">
        <f t="shared" si="1311"/>
        <v>1</v>
      </c>
      <c r="BV1771" s="109">
        <f t="shared" si="1312"/>
        <v>1</v>
      </c>
      <c r="BW1771" s="109">
        <f t="shared" si="1332"/>
        <v>0</v>
      </c>
      <c r="BX1771" s="111">
        <f t="shared" si="1313"/>
        <v>0</v>
      </c>
      <c r="BY1771" s="129">
        <f t="shared" si="1314"/>
        <v>-13</v>
      </c>
      <c r="BZ1771" s="111">
        <f t="shared" si="1315"/>
        <v>0</v>
      </c>
      <c r="CA1771" s="138">
        <f t="shared" si="1316"/>
        <v>13</v>
      </c>
      <c r="CB1771" s="111" t="e">
        <f t="shared" si="1336"/>
        <v>#VALUE!</v>
      </c>
      <c r="CC1771" s="129">
        <f>G1771-I1771+1</f>
        <v>13</v>
      </c>
      <c r="CD1771" s="129">
        <f>G1771-J1771</f>
        <v>0</v>
      </c>
      <c r="CG1771" s="129" t="str">
        <f t="shared" si="1317"/>
        <v>N</v>
      </c>
      <c r="CI1771" s="129" t="str">
        <f t="shared" si="1318"/>
        <v>11-30 DAYS</v>
      </c>
      <c r="CJ1771" s="137">
        <f t="shared" si="1319"/>
        <v>2</v>
      </c>
      <c r="CK1771" s="129" t="str">
        <f t="shared" si="1320"/>
        <v>Booked</v>
      </c>
    </row>
    <row r="1772" spans="1:89" ht="15" customHeight="1" x14ac:dyDescent="0.25">
      <c r="A1772" s="111">
        <v>2436</v>
      </c>
      <c r="B1772" s="128" t="str">
        <f t="shared" si="1301"/>
        <v>N</v>
      </c>
      <c r="C1772" s="128" t="str">
        <f t="shared" si="1302"/>
        <v>Y</v>
      </c>
      <c r="D1772" s="114">
        <v>2272143</v>
      </c>
      <c r="E1772" s="135">
        <f t="shared" si="1303"/>
        <v>6</v>
      </c>
      <c r="F1772" s="124">
        <v>41000</v>
      </c>
      <c r="G1772" s="125">
        <v>41801</v>
      </c>
      <c r="H1772" s="114">
        <v>2272143</v>
      </c>
      <c r="I1772" s="124">
        <v>41001</v>
      </c>
      <c r="J1772" s="124">
        <v>41100</v>
      </c>
      <c r="K1772" s="126">
        <v>30000</v>
      </c>
      <c r="L1772" s="129" t="s">
        <v>572</v>
      </c>
      <c r="M1772" s="125">
        <v>41100</v>
      </c>
      <c r="N1772" s="129" t="str">
        <f t="shared" si="1333"/>
        <v>Y</v>
      </c>
      <c r="O1772" s="128" t="s">
        <v>76</v>
      </c>
      <c r="P1772" s="32" t="s">
        <v>1352</v>
      </c>
      <c r="Q1772" s="111">
        <v>102</v>
      </c>
      <c r="R1772" s="111">
        <f t="shared" si="1327"/>
        <v>802</v>
      </c>
      <c r="S1772" s="129">
        <v>2</v>
      </c>
      <c r="T1772" s="129">
        <v>1</v>
      </c>
      <c r="U1772" s="129">
        <v>1</v>
      </c>
      <c r="W1772" s="111"/>
      <c r="AC1772" s="130"/>
      <c r="AD1772" s="130">
        <v>32394</v>
      </c>
      <c r="AE1772" s="128" t="s">
        <v>32</v>
      </c>
      <c r="AF1772" s="128" t="s">
        <v>33</v>
      </c>
      <c r="AG1772" s="128" t="s">
        <v>872</v>
      </c>
      <c r="AH1772" s="108" t="s">
        <v>31</v>
      </c>
      <c r="AI1772" s="128" t="s">
        <v>141</v>
      </c>
      <c r="AJ1772" s="129" t="s">
        <v>89</v>
      </c>
      <c r="AK1772" s="129">
        <v>24</v>
      </c>
      <c r="AL1772" s="3" t="s">
        <v>362</v>
      </c>
      <c r="AM1772" s="117">
        <v>75</v>
      </c>
      <c r="AP1772" s="129" t="s">
        <v>1219</v>
      </c>
      <c r="AR1772" s="128" t="s">
        <v>50</v>
      </c>
      <c r="AS1772" s="129" t="s">
        <v>163</v>
      </c>
      <c r="AV1772" s="3" t="s">
        <v>88</v>
      </c>
      <c r="AW1772" s="125">
        <v>41283</v>
      </c>
      <c r="AX1772" s="129" t="s">
        <v>88</v>
      </c>
      <c r="BA1772" s="129" t="s">
        <v>1252</v>
      </c>
      <c r="BB1772" s="129">
        <v>300</v>
      </c>
      <c r="BC1772" s="129" t="s">
        <v>38</v>
      </c>
      <c r="BE1772" s="129" t="s">
        <v>1376</v>
      </c>
      <c r="BF1772" s="111">
        <v>102</v>
      </c>
      <c r="BG1772" s="111">
        <f t="shared" si="1335"/>
        <v>801</v>
      </c>
      <c r="BH1772" s="111">
        <f t="shared" si="1297"/>
        <v>802</v>
      </c>
      <c r="BI1772" s="111">
        <f t="shared" si="1298"/>
        <v>23.513661202185791</v>
      </c>
      <c r="BJ1772" s="129">
        <f>(G1772-J1772)+(M1772-G1772)</f>
        <v>0</v>
      </c>
      <c r="BK1772" s="129">
        <f t="shared" si="1299"/>
        <v>-701</v>
      </c>
      <c r="BL1772" s="129" t="str">
        <f t="shared" si="1328"/>
        <v>CONVICTION</v>
      </c>
      <c r="BM1772" s="129" t="s">
        <v>76</v>
      </c>
      <c r="BN1772" s="129" t="s">
        <v>566</v>
      </c>
      <c r="BP1772" s="137" t="str">
        <f t="shared" si="1306"/>
        <v>CONVICTION</v>
      </c>
      <c r="BQ1772" s="128" t="str">
        <f t="shared" si="1307"/>
        <v>Y</v>
      </c>
      <c r="BR1772" s="129" t="s">
        <v>574</v>
      </c>
      <c r="BS1772" s="129" t="str">
        <f t="shared" si="1309"/>
        <v>DISPOSED</v>
      </c>
      <c r="BT1772" s="129" t="str">
        <f t="shared" si="1310"/>
        <v>Y</v>
      </c>
      <c r="BU1772" s="109">
        <f>IFERROR(Q1772/R1772,BR1772)</f>
        <v>0.12718204488778054</v>
      </c>
      <c r="BV1772" s="139">
        <v>0.12720000000000001</v>
      </c>
      <c r="BW1772" s="109">
        <v>0</v>
      </c>
      <c r="BX1772" s="111">
        <f t="shared" si="1313"/>
        <v>0</v>
      </c>
      <c r="BY1772" s="129">
        <f t="shared" si="1314"/>
        <v>-100</v>
      </c>
      <c r="BZ1772" s="111">
        <f t="shared" si="1315"/>
        <v>2</v>
      </c>
      <c r="CA1772" s="138">
        <f t="shared" si="1316"/>
        <v>801</v>
      </c>
      <c r="CB1772" s="111" t="e">
        <f t="shared" si="1336"/>
        <v>#VALUE!</v>
      </c>
      <c r="CC1772" s="129">
        <v>102</v>
      </c>
      <c r="CG1772" s="129" t="str">
        <f t="shared" si="1317"/>
        <v>Y</v>
      </c>
      <c r="CH1772" s="129" t="e">
        <v>#N/A</v>
      </c>
      <c r="CI1772" s="129" t="str">
        <f t="shared" si="1318"/>
        <v>91-120 DAYS</v>
      </c>
      <c r="CJ1772" s="137">
        <f t="shared" si="1319"/>
        <v>0</v>
      </c>
      <c r="CK1772" s="129" t="str">
        <f t="shared" si="1320"/>
        <v>Booked</v>
      </c>
    </row>
    <row r="1773" spans="1:89" ht="15.75" customHeight="1" x14ac:dyDescent="0.25">
      <c r="A1773" s="111">
        <v>3119</v>
      </c>
      <c r="B1773" s="128" t="str">
        <f t="shared" si="1301"/>
        <v>N</v>
      </c>
      <c r="C1773" s="128" t="str">
        <f t="shared" si="1302"/>
        <v>N</v>
      </c>
      <c r="D1773" s="117">
        <v>2272886</v>
      </c>
      <c r="E1773" s="135">
        <f t="shared" si="1303"/>
        <v>1</v>
      </c>
      <c r="F1773" s="124">
        <v>41024</v>
      </c>
      <c r="G1773" s="125">
        <v>41179</v>
      </c>
      <c r="H1773" s="117">
        <v>2272886</v>
      </c>
      <c r="I1773" s="124">
        <v>41037</v>
      </c>
      <c r="J1773" s="124">
        <v>41179</v>
      </c>
      <c r="K1773" s="126">
        <v>30000</v>
      </c>
      <c r="L1773" s="129" t="s">
        <v>572</v>
      </c>
      <c r="N1773" s="129" t="str">
        <f t="shared" si="1333"/>
        <v>N</v>
      </c>
      <c r="O1773" s="128" t="s">
        <v>917</v>
      </c>
      <c r="P1773" s="129" t="s">
        <v>55</v>
      </c>
      <c r="Q1773" s="111">
        <f t="shared" si="1323"/>
        <v>143</v>
      </c>
      <c r="R1773" s="111">
        <f t="shared" si="1327"/>
        <v>156</v>
      </c>
      <c r="S1773" s="129">
        <v>2</v>
      </c>
      <c r="T1773" s="129">
        <v>2</v>
      </c>
      <c r="U1773" s="129">
        <v>1</v>
      </c>
      <c r="W1773" s="111"/>
      <c r="AC1773" s="130"/>
      <c r="AD1773" s="130">
        <v>32286</v>
      </c>
      <c r="AE1773" s="128" t="s">
        <v>32</v>
      </c>
      <c r="AF1773" s="128" t="s">
        <v>33</v>
      </c>
      <c r="AG1773" s="128" t="s">
        <v>872</v>
      </c>
      <c r="AH1773" s="108" t="s">
        <v>31</v>
      </c>
      <c r="AI1773" s="128" t="s">
        <v>34</v>
      </c>
      <c r="AJ1773" s="129" t="s">
        <v>55</v>
      </c>
      <c r="AK1773" s="129">
        <v>6</v>
      </c>
      <c r="AL1773" s="3" t="s">
        <v>55</v>
      </c>
      <c r="AP1773" s="129" t="s">
        <v>105</v>
      </c>
      <c r="AR1773" s="128" t="s">
        <v>92</v>
      </c>
      <c r="AS1773" s="129" t="s">
        <v>106</v>
      </c>
      <c r="BC1773" s="129" t="s">
        <v>38</v>
      </c>
      <c r="BF1773" s="111">
        <f t="shared" si="1334"/>
        <v>143</v>
      </c>
      <c r="BG1773" s="111">
        <f t="shared" si="1335"/>
        <v>143</v>
      </c>
      <c r="BH1773" s="111">
        <f t="shared" si="1297"/>
        <v>156</v>
      </c>
      <c r="BI1773" s="111">
        <f t="shared" si="1298"/>
        <v>23.874316939890711</v>
      </c>
      <c r="BJ1773" s="129">
        <f t="shared" si="1304"/>
        <v>0</v>
      </c>
      <c r="BK1773" s="129">
        <f t="shared" si="1299"/>
        <v>0</v>
      </c>
      <c r="BL1773" s="129" t="str">
        <f t="shared" si="1328"/>
        <v>NO CONVICTION</v>
      </c>
      <c r="BM1773" s="129" t="str">
        <f t="shared" si="1305"/>
        <v>NONE</v>
      </c>
      <c r="BN1773" s="129" t="s">
        <v>566</v>
      </c>
      <c r="BP1773" s="137" t="str">
        <f t="shared" si="1306"/>
        <v>NO CONVICTION</v>
      </c>
      <c r="BQ1773" s="128" t="str">
        <f t="shared" si="1307"/>
        <v>Y</v>
      </c>
      <c r="BR1773" s="129" t="str">
        <f t="shared" si="1308"/>
        <v>DETAINED</v>
      </c>
      <c r="BS1773" s="129" t="str">
        <f t="shared" si="1309"/>
        <v>DISPOSED</v>
      </c>
      <c r="BT1773" s="129" t="str">
        <f t="shared" si="1310"/>
        <v>Y</v>
      </c>
      <c r="BU1773" s="109">
        <f>IFERROR(Q1773/R1773,BR1773)</f>
        <v>0.91666666666666663</v>
      </c>
      <c r="BV1773" s="109">
        <f t="shared" si="1312"/>
        <v>1</v>
      </c>
      <c r="BW1773" s="109">
        <f>BV1773-BU1773</f>
        <v>8.333333333333337E-2</v>
      </c>
      <c r="BX1773" s="111">
        <f t="shared" si="1313"/>
        <v>0</v>
      </c>
      <c r="BY1773" s="129">
        <f t="shared" si="1314"/>
        <v>-143</v>
      </c>
      <c r="BZ1773" s="111">
        <f t="shared" si="1315"/>
        <v>0</v>
      </c>
      <c r="CA1773" s="138">
        <f t="shared" si="1316"/>
        <v>143</v>
      </c>
      <c r="CB1773" s="111" t="e">
        <f t="shared" si="1336"/>
        <v>#VALUE!</v>
      </c>
      <c r="CC1773" s="129">
        <f>G1773-I1773+1</f>
        <v>143</v>
      </c>
      <c r="CD1773" s="129">
        <f>G1773-J1773</f>
        <v>0</v>
      </c>
      <c r="CG1773" s="129" t="str">
        <f t="shared" si="1317"/>
        <v>Y</v>
      </c>
      <c r="CI1773" s="129" t="str">
        <f t="shared" si="1318"/>
        <v>121-365 DAYS</v>
      </c>
      <c r="CJ1773" s="137">
        <f t="shared" si="1319"/>
        <v>6</v>
      </c>
      <c r="CK1773" s="129" t="str">
        <f t="shared" si="1320"/>
        <v>Booked</v>
      </c>
    </row>
    <row r="1774" spans="1:89" ht="15.75" customHeight="1" x14ac:dyDescent="0.25">
      <c r="A1774" s="111">
        <v>2184</v>
      </c>
      <c r="B1774" s="128" t="str">
        <f t="shared" si="1301"/>
        <v>N</v>
      </c>
      <c r="C1774" s="128" t="str">
        <f t="shared" si="1302"/>
        <v>N</v>
      </c>
      <c r="D1774" s="117">
        <v>2273334</v>
      </c>
      <c r="E1774" s="135">
        <f t="shared" si="1303"/>
        <v>5</v>
      </c>
      <c r="F1774" s="124">
        <v>40990</v>
      </c>
      <c r="G1774" s="125">
        <v>40994</v>
      </c>
      <c r="H1774" s="117">
        <v>2273334</v>
      </c>
      <c r="I1774" s="124">
        <v>40991</v>
      </c>
      <c r="J1774" s="124">
        <v>40994</v>
      </c>
      <c r="K1774" s="126">
        <v>15000</v>
      </c>
      <c r="L1774" s="127" t="s">
        <v>571</v>
      </c>
      <c r="N1774" s="129" t="str">
        <f t="shared" si="1333"/>
        <v>N</v>
      </c>
      <c r="O1774" s="128" t="s">
        <v>917</v>
      </c>
      <c r="P1774" s="129" t="s">
        <v>39</v>
      </c>
      <c r="Q1774" s="111">
        <f t="shared" ref="Q1774:Q1805" si="1337">BF1774</f>
        <v>4</v>
      </c>
      <c r="R1774" s="111">
        <f t="shared" si="1327"/>
        <v>5</v>
      </c>
      <c r="S1774" s="129">
        <v>3</v>
      </c>
      <c r="T1774" s="129">
        <v>4</v>
      </c>
      <c r="U1774" s="129">
        <v>2</v>
      </c>
      <c r="W1774" s="111"/>
      <c r="AC1774" s="130"/>
      <c r="AD1774" s="130">
        <v>24183</v>
      </c>
      <c r="AE1774" s="128" t="s">
        <v>32</v>
      </c>
      <c r="AF1774" s="128" t="s">
        <v>33</v>
      </c>
      <c r="AG1774" s="128" t="s">
        <v>872</v>
      </c>
      <c r="AH1774" s="108" t="s">
        <v>58</v>
      </c>
      <c r="AI1774" s="128" t="s">
        <v>118</v>
      </c>
      <c r="AJ1774" s="129" t="s">
        <v>89</v>
      </c>
      <c r="AK1774" s="129">
        <v>1</v>
      </c>
      <c r="AL1774" s="3" t="s">
        <v>992</v>
      </c>
      <c r="AN1774" s="117">
        <v>6</v>
      </c>
      <c r="AP1774" s="129" t="s">
        <v>60</v>
      </c>
      <c r="AR1774" s="128" t="s">
        <v>44</v>
      </c>
      <c r="AS1774" s="129" t="s">
        <v>61</v>
      </c>
      <c r="AW1774" s="32"/>
      <c r="AX1774" s="32"/>
      <c r="BC1774" s="129" t="s">
        <v>38</v>
      </c>
      <c r="BF1774" s="111">
        <f t="shared" si="1334"/>
        <v>4</v>
      </c>
      <c r="BG1774" s="111">
        <f t="shared" si="1335"/>
        <v>4</v>
      </c>
      <c r="BH1774" s="111">
        <f t="shared" si="1297"/>
        <v>5</v>
      </c>
      <c r="BI1774" s="111">
        <f t="shared" si="1298"/>
        <v>45.920765027322403</v>
      </c>
      <c r="BJ1774" s="129">
        <f t="shared" si="1304"/>
        <v>0</v>
      </c>
      <c r="BK1774" s="129">
        <f t="shared" si="1299"/>
        <v>0</v>
      </c>
      <c r="BL1774" s="129" t="str">
        <f t="shared" si="1328"/>
        <v>CONVICTION</v>
      </c>
      <c r="BM1774" s="129" t="str">
        <f t="shared" si="1305"/>
        <v>NONE</v>
      </c>
      <c r="BN1774" s="129" t="s">
        <v>566</v>
      </c>
      <c r="BP1774" s="137" t="str">
        <f t="shared" si="1306"/>
        <v>CONVICTION</v>
      </c>
      <c r="BQ1774" s="128" t="str">
        <f t="shared" si="1307"/>
        <v>Y</v>
      </c>
      <c r="BR1774" s="129" t="str">
        <f t="shared" si="1308"/>
        <v>DETAINED</v>
      </c>
      <c r="BS1774" s="129" t="str">
        <f t="shared" si="1309"/>
        <v>DISPOSED</v>
      </c>
      <c r="BT1774" s="129" t="str">
        <f t="shared" si="1310"/>
        <v>Y</v>
      </c>
      <c r="BU1774" s="109">
        <f t="shared" si="1311"/>
        <v>0.8</v>
      </c>
      <c r="BV1774" s="109">
        <f t="shared" si="1312"/>
        <v>1</v>
      </c>
      <c r="BW1774" s="109">
        <f>BV1774-BU1774</f>
        <v>0.19999999999999996</v>
      </c>
      <c r="BX1774" s="111">
        <f t="shared" si="1313"/>
        <v>0</v>
      </c>
      <c r="BY1774" s="129">
        <f t="shared" si="1314"/>
        <v>-4</v>
      </c>
      <c r="BZ1774" s="111">
        <f t="shared" si="1315"/>
        <v>0</v>
      </c>
      <c r="CA1774" s="138">
        <f t="shared" si="1316"/>
        <v>4</v>
      </c>
      <c r="CB1774" s="111" t="e">
        <f t="shared" si="1336"/>
        <v>#VALUE!</v>
      </c>
      <c r="CC1774" s="129">
        <f>G1774-I1774+1</f>
        <v>4</v>
      </c>
      <c r="CD1774" s="129">
        <f>G1774-J1774</f>
        <v>0</v>
      </c>
      <c r="CG1774" s="129" t="str">
        <f t="shared" si="1317"/>
        <v>Y</v>
      </c>
      <c r="CI1774" s="129" t="str">
        <f t="shared" si="1318"/>
        <v>0-10 DAYS</v>
      </c>
      <c r="CJ1774" s="137">
        <f t="shared" si="1319"/>
        <v>1</v>
      </c>
      <c r="CK1774" s="129" t="str">
        <f t="shared" si="1320"/>
        <v>Booked</v>
      </c>
    </row>
    <row r="1775" spans="1:89" ht="15.75" customHeight="1" x14ac:dyDescent="0.25">
      <c r="A1775" s="111">
        <v>3138</v>
      </c>
      <c r="B1775" s="128" t="str">
        <f t="shared" si="1301"/>
        <v>N</v>
      </c>
      <c r="C1775" s="128" t="str">
        <f t="shared" si="1302"/>
        <v>N</v>
      </c>
      <c r="D1775" s="117">
        <v>2273693</v>
      </c>
      <c r="E1775" s="135">
        <f t="shared" si="1303"/>
        <v>6</v>
      </c>
      <c r="F1775" s="124">
        <v>41024</v>
      </c>
      <c r="G1775" s="125">
        <v>42054</v>
      </c>
      <c r="H1775" s="117">
        <v>2273693</v>
      </c>
      <c r="I1775" s="124">
        <v>41904</v>
      </c>
      <c r="J1775" s="124" t="s">
        <v>562</v>
      </c>
      <c r="K1775" s="113">
        <v>45000</v>
      </c>
      <c r="L1775" s="129" t="s">
        <v>572</v>
      </c>
      <c r="M1775" s="125">
        <v>41027</v>
      </c>
      <c r="N1775" s="129" t="str">
        <f t="shared" si="1333"/>
        <v>Y</v>
      </c>
      <c r="O1775" s="128" t="s">
        <v>76</v>
      </c>
      <c r="P1775" s="129" t="s">
        <v>39</v>
      </c>
      <c r="Q1775" s="111">
        <v>0</v>
      </c>
      <c r="R1775" s="111">
        <f t="shared" si="1327"/>
        <v>1031</v>
      </c>
      <c r="S1775" s="129">
        <v>0</v>
      </c>
      <c r="T1775" s="129">
        <v>6</v>
      </c>
      <c r="W1775" s="111"/>
      <c r="AC1775" s="130"/>
      <c r="AD1775" s="130">
        <v>32368</v>
      </c>
      <c r="AE1775" s="128" t="s">
        <v>32</v>
      </c>
      <c r="AF1775" s="128" t="s">
        <v>69</v>
      </c>
      <c r="AG1775" s="128" t="s">
        <v>874</v>
      </c>
      <c r="AH1775" s="108" t="s">
        <v>58</v>
      </c>
      <c r="AI1775" s="128" t="s">
        <v>114</v>
      </c>
      <c r="AJ1775" s="129" t="s">
        <v>89</v>
      </c>
      <c r="AK1775" s="129">
        <v>17</v>
      </c>
      <c r="AL1775" s="3" t="s">
        <v>362</v>
      </c>
      <c r="AM1775" s="117">
        <v>50</v>
      </c>
      <c r="AP1775" s="129" t="s">
        <v>179</v>
      </c>
      <c r="AR1775" s="128" t="s">
        <v>92</v>
      </c>
      <c r="AS1775" s="129" t="s">
        <v>74</v>
      </c>
      <c r="AT1775" s="129" t="s">
        <v>1377</v>
      </c>
      <c r="AU1775" s="3" t="s">
        <v>1152</v>
      </c>
      <c r="BC1775" s="129" t="s">
        <v>52</v>
      </c>
      <c r="BE1775" s="129" t="s">
        <v>1378</v>
      </c>
      <c r="BF1775" s="111">
        <v>0</v>
      </c>
      <c r="BG1775" s="111">
        <v>0</v>
      </c>
      <c r="BH1775" s="111">
        <f t="shared" si="1297"/>
        <v>1031</v>
      </c>
      <c r="BI1775" s="111">
        <f t="shared" si="1298"/>
        <v>23.650273224043715</v>
      </c>
      <c r="BJ1775" s="129" t="e">
        <f>(G1775-J1775)+(M1775-G1775)</f>
        <v>#VALUE!</v>
      </c>
      <c r="BK1775" s="129" t="e">
        <f t="shared" si="1299"/>
        <v>#VALUE!</v>
      </c>
      <c r="BL1775" s="129" t="str">
        <f t="shared" si="1328"/>
        <v>CONVICTION</v>
      </c>
      <c r="BM1775" s="129" t="s">
        <v>76</v>
      </c>
      <c r="BN1775" s="129" t="s">
        <v>88</v>
      </c>
      <c r="BP1775" s="137" t="str">
        <f t="shared" si="1306"/>
        <v>CONVICTION</v>
      </c>
      <c r="BQ1775" s="128">
        <f t="shared" si="1307"/>
        <v>0</v>
      </c>
      <c r="BR1775" s="129" t="s">
        <v>575</v>
      </c>
      <c r="BS1775" s="129" t="str">
        <f t="shared" si="1309"/>
        <v>DISPOSED</v>
      </c>
      <c r="BT1775" s="129" t="str">
        <f t="shared" si="1310"/>
        <v>N</v>
      </c>
      <c r="BU1775" s="109">
        <f>IFERROR(Q1775/R1775,BR1775)</f>
        <v>0</v>
      </c>
      <c r="BV1775" s="139">
        <v>0</v>
      </c>
      <c r="BW1775" s="109">
        <v>0</v>
      </c>
      <c r="BX1775" s="111">
        <f t="shared" si="1313"/>
        <v>0</v>
      </c>
      <c r="BY1775" s="129" t="e">
        <f t="shared" si="1314"/>
        <v>#VALUE!</v>
      </c>
      <c r="BZ1775" s="111" t="e">
        <f t="shared" si="1315"/>
        <v>#VALUE!</v>
      </c>
      <c r="CA1775" s="138">
        <f t="shared" si="1316"/>
        <v>-876</v>
      </c>
      <c r="CB1775" s="111" t="e">
        <f t="shared" si="1336"/>
        <v>#VALUE!</v>
      </c>
      <c r="CC1775" s="129">
        <v>0</v>
      </c>
      <c r="CD1775" s="129">
        <v>0</v>
      </c>
      <c r="CG1775" s="129" t="str">
        <f t="shared" si="1317"/>
        <v>Y</v>
      </c>
      <c r="CH1775" s="129" t="e">
        <v>#N/A</v>
      </c>
      <c r="CI1775" s="129" t="str">
        <f t="shared" si="1318"/>
        <v>0-10 DAYS</v>
      </c>
      <c r="CJ1775" s="137">
        <f t="shared" si="1319"/>
        <v>1</v>
      </c>
      <c r="CK1775" s="129" t="str">
        <f t="shared" si="1320"/>
        <v>Booked</v>
      </c>
    </row>
    <row r="1776" spans="1:89" ht="15.75" customHeight="1" x14ac:dyDescent="0.25">
      <c r="A1776" s="111">
        <v>2587</v>
      </c>
      <c r="B1776" s="128" t="str">
        <f t="shared" si="1301"/>
        <v>N</v>
      </c>
      <c r="C1776" s="128" t="str">
        <f t="shared" si="1302"/>
        <v>N</v>
      </c>
      <c r="D1776" s="117">
        <v>2273866</v>
      </c>
      <c r="E1776" s="135">
        <f t="shared" si="1303"/>
        <v>5</v>
      </c>
      <c r="F1776" s="124">
        <v>41005</v>
      </c>
      <c r="G1776" s="125">
        <v>41008</v>
      </c>
      <c r="H1776" s="117">
        <v>2273866</v>
      </c>
      <c r="I1776" s="124">
        <v>41005</v>
      </c>
      <c r="J1776" s="124">
        <v>41008</v>
      </c>
      <c r="K1776" s="126">
        <v>15000</v>
      </c>
      <c r="L1776" s="127" t="s">
        <v>571</v>
      </c>
      <c r="N1776" s="129" t="str">
        <f t="shared" si="1333"/>
        <v>N</v>
      </c>
      <c r="O1776" s="128" t="s">
        <v>917</v>
      </c>
      <c r="P1776" s="129" t="s">
        <v>39</v>
      </c>
      <c r="Q1776" s="111">
        <f t="shared" si="1337"/>
        <v>4</v>
      </c>
      <c r="R1776" s="111">
        <f t="shared" si="1327"/>
        <v>4</v>
      </c>
      <c r="S1776" s="129">
        <v>5</v>
      </c>
      <c r="T1776" s="129">
        <v>3</v>
      </c>
      <c r="U1776" s="129">
        <v>1</v>
      </c>
      <c r="W1776" s="111"/>
      <c r="AC1776" s="130"/>
      <c r="AD1776" s="130">
        <v>32887</v>
      </c>
      <c r="AE1776" s="128" t="s">
        <v>32</v>
      </c>
      <c r="AF1776" s="128" t="s">
        <v>33</v>
      </c>
      <c r="AG1776" s="128" t="s">
        <v>872</v>
      </c>
      <c r="AH1776" s="108" t="s">
        <v>58</v>
      </c>
      <c r="AI1776" s="128" t="s">
        <v>59</v>
      </c>
      <c r="AJ1776" s="129" t="s">
        <v>89</v>
      </c>
      <c r="AK1776" s="129">
        <v>1</v>
      </c>
      <c r="AL1776" s="3" t="s">
        <v>992</v>
      </c>
      <c r="AN1776" s="117">
        <v>6</v>
      </c>
      <c r="AP1776" s="129" t="s">
        <v>127</v>
      </c>
      <c r="AR1776" s="128" t="s">
        <v>44</v>
      </c>
      <c r="AS1776" s="129" t="s">
        <v>82</v>
      </c>
      <c r="AY1776" s="123"/>
      <c r="BC1776" s="129" t="s">
        <v>38</v>
      </c>
      <c r="BF1776" s="111">
        <f t="shared" si="1334"/>
        <v>4</v>
      </c>
      <c r="BG1776" s="111">
        <f t="shared" si="1335"/>
        <v>4</v>
      </c>
      <c r="BH1776" s="111">
        <f t="shared" si="1297"/>
        <v>4</v>
      </c>
      <c r="BI1776" s="111">
        <f t="shared" si="1298"/>
        <v>22.180327868852459</v>
      </c>
      <c r="BJ1776" s="129">
        <f t="shared" si="1304"/>
        <v>0</v>
      </c>
      <c r="BK1776" s="129">
        <f t="shared" si="1299"/>
        <v>0</v>
      </c>
      <c r="BL1776" s="129" t="str">
        <f t="shared" si="1328"/>
        <v>CONVICTION</v>
      </c>
      <c r="BM1776" s="129" t="str">
        <f t="shared" si="1305"/>
        <v>NONE</v>
      </c>
      <c r="BN1776" s="129" t="s">
        <v>566</v>
      </c>
      <c r="BP1776" s="137" t="str">
        <f t="shared" si="1306"/>
        <v>CONVICTION</v>
      </c>
      <c r="BQ1776" s="128" t="str">
        <f t="shared" si="1307"/>
        <v>Y</v>
      </c>
      <c r="BR1776" s="129" t="str">
        <f t="shared" si="1308"/>
        <v>DETAINED</v>
      </c>
      <c r="BS1776" s="129" t="str">
        <f t="shared" si="1309"/>
        <v>DISPOSED</v>
      </c>
      <c r="BT1776" s="129" t="str">
        <f t="shared" si="1310"/>
        <v>Y</v>
      </c>
      <c r="BU1776" s="109">
        <f t="shared" si="1311"/>
        <v>1</v>
      </c>
      <c r="BV1776" s="109">
        <f t="shared" si="1312"/>
        <v>1</v>
      </c>
      <c r="BW1776" s="109">
        <f t="shared" ref="BW1776:BW1801" si="1338">BV1776-BU1776</f>
        <v>0</v>
      </c>
      <c r="BX1776" s="111">
        <f t="shared" si="1313"/>
        <v>0</v>
      </c>
      <c r="BY1776" s="129">
        <f t="shared" si="1314"/>
        <v>-4</v>
      </c>
      <c r="BZ1776" s="111">
        <f t="shared" si="1315"/>
        <v>0</v>
      </c>
      <c r="CA1776" s="138">
        <f t="shared" si="1316"/>
        <v>4</v>
      </c>
      <c r="CB1776" s="111" t="e">
        <f t="shared" si="1336"/>
        <v>#VALUE!</v>
      </c>
      <c r="CC1776" s="129">
        <f t="shared" ref="CC1776:CC1783" si="1339">G1776-I1776+1</f>
        <v>4</v>
      </c>
      <c r="CD1776" s="129">
        <f t="shared" ref="CD1776:CD1783" si="1340">G1776-J1776</f>
        <v>0</v>
      </c>
      <c r="CG1776" s="129" t="str">
        <f t="shared" si="1317"/>
        <v>Y</v>
      </c>
      <c r="CI1776" s="129" t="str">
        <f t="shared" si="1318"/>
        <v>0-10 DAYS</v>
      </c>
      <c r="CJ1776" s="137">
        <f t="shared" si="1319"/>
        <v>1</v>
      </c>
      <c r="CK1776" s="129" t="str">
        <f t="shared" si="1320"/>
        <v>Booked</v>
      </c>
    </row>
    <row r="1777" spans="1:89" ht="15.75" customHeight="1" x14ac:dyDescent="0.25">
      <c r="A1777" s="111">
        <v>539</v>
      </c>
      <c r="B1777" s="128" t="str">
        <f t="shared" si="1301"/>
        <v>N</v>
      </c>
      <c r="C1777" s="128" t="str">
        <f t="shared" si="1302"/>
        <v>N</v>
      </c>
      <c r="D1777" s="117">
        <v>2275474</v>
      </c>
      <c r="E1777" s="135">
        <f t="shared" si="1303"/>
        <v>1</v>
      </c>
      <c r="F1777" s="124">
        <v>40930</v>
      </c>
      <c r="G1777" s="125">
        <v>40939</v>
      </c>
      <c r="H1777" s="117">
        <v>2275474</v>
      </c>
      <c r="I1777" s="124">
        <v>40930</v>
      </c>
      <c r="J1777" s="124">
        <v>40939</v>
      </c>
      <c r="K1777" s="126" t="s">
        <v>564</v>
      </c>
      <c r="L1777" s="127" t="s">
        <v>564</v>
      </c>
      <c r="N1777" s="129" t="s">
        <v>566</v>
      </c>
      <c r="O1777" s="128" t="s">
        <v>917</v>
      </c>
      <c r="P1777" s="129" t="s">
        <v>123</v>
      </c>
      <c r="Q1777" s="111">
        <f t="shared" si="1337"/>
        <v>10</v>
      </c>
      <c r="R1777" s="111">
        <f t="shared" si="1327"/>
        <v>10</v>
      </c>
      <c r="S1777" s="129">
        <v>1</v>
      </c>
      <c r="T1777" s="129">
        <v>1</v>
      </c>
      <c r="V1777" s="117">
        <v>1</v>
      </c>
      <c r="W1777" s="111"/>
      <c r="AC1777" s="130"/>
      <c r="AD1777" s="130">
        <v>32857</v>
      </c>
      <c r="AE1777" s="128" t="s">
        <v>32</v>
      </c>
      <c r="AF1777" s="128" t="s">
        <v>33</v>
      </c>
      <c r="AG1777" s="128" t="s">
        <v>872</v>
      </c>
      <c r="AH1777" s="108" t="s">
        <v>58</v>
      </c>
      <c r="AI1777" s="128" t="s">
        <v>59</v>
      </c>
      <c r="AJ1777" s="129" t="s">
        <v>123</v>
      </c>
      <c r="AK1777" s="129">
        <v>3</v>
      </c>
      <c r="AL1777" s="3" t="s">
        <v>123</v>
      </c>
      <c r="AP1777" s="129" t="s">
        <v>136</v>
      </c>
      <c r="AR1777" s="128" t="s">
        <v>67</v>
      </c>
      <c r="AS1777" s="129" t="s">
        <v>64</v>
      </c>
      <c r="BC1777" s="129" t="s">
        <v>38</v>
      </c>
      <c r="BF1777" s="111">
        <f t="shared" si="1334"/>
        <v>10</v>
      </c>
      <c r="BG1777" s="111">
        <f t="shared" si="1335"/>
        <v>10</v>
      </c>
      <c r="BH1777" s="111">
        <f t="shared" si="1297"/>
        <v>10</v>
      </c>
      <c r="BI1777" s="111">
        <f t="shared" si="1298"/>
        <v>22.057377049180328</v>
      </c>
      <c r="BJ1777" s="129">
        <f t="shared" si="1304"/>
        <v>0</v>
      </c>
      <c r="BK1777" s="129">
        <f t="shared" si="1299"/>
        <v>0</v>
      </c>
      <c r="BL1777" s="129" t="str">
        <f t="shared" si="1328"/>
        <v>NO CONVICTION</v>
      </c>
      <c r="BM1777" s="129" t="str">
        <f t="shared" si="1305"/>
        <v>NONE</v>
      </c>
      <c r="BN1777" s="129" t="s">
        <v>566</v>
      </c>
      <c r="BP1777" s="137" t="str">
        <f t="shared" si="1306"/>
        <v>NO CONVICTION</v>
      </c>
      <c r="BQ1777" s="128" t="str">
        <f t="shared" si="1307"/>
        <v>Y</v>
      </c>
      <c r="BR1777" s="129" t="str">
        <f t="shared" si="1308"/>
        <v>DETAINED</v>
      </c>
      <c r="BS1777" s="129" t="str">
        <f t="shared" si="1309"/>
        <v>DISPOSED</v>
      </c>
      <c r="BT1777" s="129" t="str">
        <f t="shared" si="1310"/>
        <v>Y</v>
      </c>
      <c r="BU1777" s="109">
        <f>IFERROR(Q1777/R1777,BR1777)</f>
        <v>1</v>
      </c>
      <c r="BV1777" s="109">
        <f t="shared" si="1312"/>
        <v>1</v>
      </c>
      <c r="BW1777" s="109">
        <f t="shared" si="1338"/>
        <v>0</v>
      </c>
      <c r="BX1777" s="111">
        <f t="shared" si="1313"/>
        <v>0</v>
      </c>
      <c r="BY1777" s="129">
        <f t="shared" si="1314"/>
        <v>-10</v>
      </c>
      <c r="BZ1777" s="111">
        <f t="shared" si="1315"/>
        <v>0</v>
      </c>
      <c r="CA1777" s="138">
        <f t="shared" si="1316"/>
        <v>10</v>
      </c>
      <c r="CB1777" s="111" t="e">
        <f t="shared" si="1336"/>
        <v>#VALUE!</v>
      </c>
      <c r="CC1777" s="129">
        <f t="shared" si="1339"/>
        <v>10</v>
      </c>
      <c r="CD1777" s="129">
        <f t="shared" si="1340"/>
        <v>0</v>
      </c>
      <c r="CG1777" s="129" t="str">
        <f t="shared" si="1317"/>
        <v>Y</v>
      </c>
      <c r="CI1777" s="129" t="str">
        <f t="shared" si="1318"/>
        <v>0-10 DAYS</v>
      </c>
      <c r="CJ1777" s="137">
        <f t="shared" si="1319"/>
        <v>1</v>
      </c>
      <c r="CK1777" s="129" t="str">
        <f t="shared" si="1320"/>
        <v>Booked</v>
      </c>
    </row>
    <row r="1778" spans="1:89" ht="15.75" customHeight="1" x14ac:dyDescent="0.25">
      <c r="A1778" s="111">
        <v>367</v>
      </c>
      <c r="B1778" s="128" t="str">
        <f t="shared" si="1301"/>
        <v>N</v>
      </c>
      <c r="C1778" s="128" t="str">
        <f t="shared" si="1302"/>
        <v>N</v>
      </c>
      <c r="D1778" s="117">
        <v>2278362</v>
      </c>
      <c r="E1778" s="135">
        <f t="shared" si="1303"/>
        <v>6</v>
      </c>
      <c r="F1778" s="124">
        <v>40923</v>
      </c>
      <c r="G1778" s="125">
        <v>41086</v>
      </c>
      <c r="H1778" s="117">
        <v>2278362</v>
      </c>
      <c r="I1778" s="124">
        <v>41039</v>
      </c>
      <c r="J1778" s="124">
        <v>41086</v>
      </c>
      <c r="K1778" s="126" t="s">
        <v>564</v>
      </c>
      <c r="L1778" s="127" t="s">
        <v>564</v>
      </c>
      <c r="N1778" s="129" t="s">
        <v>566</v>
      </c>
      <c r="O1778" s="128" t="s">
        <v>917</v>
      </c>
      <c r="P1778" s="129" t="s">
        <v>77</v>
      </c>
      <c r="Q1778" s="111">
        <f t="shared" si="1337"/>
        <v>48</v>
      </c>
      <c r="R1778" s="111">
        <f t="shared" si="1327"/>
        <v>164</v>
      </c>
      <c r="S1778" s="129">
        <v>2</v>
      </c>
      <c r="T1778" s="129">
        <v>3</v>
      </c>
      <c r="U1778" s="129">
        <v>2</v>
      </c>
      <c r="W1778" s="111"/>
      <c r="AC1778" s="130"/>
      <c r="AD1778" s="130">
        <v>33039</v>
      </c>
      <c r="AE1778" s="128" t="s">
        <v>32</v>
      </c>
      <c r="AF1778" s="128" t="s">
        <v>33</v>
      </c>
      <c r="AG1778" s="128" t="s">
        <v>872</v>
      </c>
      <c r="AH1778" s="108" t="s">
        <v>31</v>
      </c>
      <c r="AI1778" s="128" t="s">
        <v>70</v>
      </c>
      <c r="AJ1778" s="129" t="s">
        <v>89</v>
      </c>
      <c r="AK1778" s="129">
        <v>3</v>
      </c>
      <c r="AL1778" s="3" t="s">
        <v>362</v>
      </c>
      <c r="AM1778" s="117">
        <v>10</v>
      </c>
      <c r="AP1778" s="129" t="s">
        <v>199</v>
      </c>
      <c r="AR1778" s="128" t="s">
        <v>67</v>
      </c>
      <c r="AS1778" s="129" t="s">
        <v>200</v>
      </c>
      <c r="BC1778" s="129" t="s">
        <v>38</v>
      </c>
      <c r="BF1778" s="111">
        <f t="shared" si="1334"/>
        <v>48</v>
      </c>
      <c r="BG1778" s="111">
        <f t="shared" si="1335"/>
        <v>48</v>
      </c>
      <c r="BH1778" s="111">
        <f t="shared" si="1297"/>
        <v>164</v>
      </c>
      <c r="BI1778" s="111">
        <f t="shared" si="1298"/>
        <v>21.540983606557376</v>
      </c>
      <c r="BJ1778" s="129">
        <f t="shared" si="1304"/>
        <v>0</v>
      </c>
      <c r="BK1778" s="129">
        <f t="shared" si="1299"/>
        <v>0</v>
      </c>
      <c r="BL1778" s="129" t="str">
        <f t="shared" si="1328"/>
        <v>CONVICTION</v>
      </c>
      <c r="BM1778" s="129" t="str">
        <f t="shared" si="1305"/>
        <v>NONE</v>
      </c>
      <c r="BN1778" s="129" t="s">
        <v>566</v>
      </c>
      <c r="BP1778" s="137" t="str">
        <f t="shared" si="1306"/>
        <v>CONVICTION</v>
      </c>
      <c r="BQ1778" s="128" t="str">
        <f t="shared" si="1307"/>
        <v>Y</v>
      </c>
      <c r="BR1778" s="129" t="str">
        <f t="shared" si="1308"/>
        <v>DETAINED</v>
      </c>
      <c r="BS1778" s="129" t="str">
        <f t="shared" si="1309"/>
        <v>DISPOSED</v>
      </c>
      <c r="BT1778" s="129" t="str">
        <f t="shared" si="1310"/>
        <v>Y</v>
      </c>
      <c r="BU1778" s="109">
        <f t="shared" si="1311"/>
        <v>0.29268292682926828</v>
      </c>
      <c r="BV1778" s="109">
        <f t="shared" si="1312"/>
        <v>1</v>
      </c>
      <c r="BW1778" s="109">
        <f t="shared" si="1338"/>
        <v>0.70731707317073167</v>
      </c>
      <c r="BX1778" s="111">
        <f t="shared" si="1313"/>
        <v>0</v>
      </c>
      <c r="BY1778" s="129">
        <f t="shared" si="1314"/>
        <v>-48</v>
      </c>
      <c r="BZ1778" s="111">
        <f t="shared" si="1315"/>
        <v>0</v>
      </c>
      <c r="CA1778" s="138">
        <f t="shared" si="1316"/>
        <v>48</v>
      </c>
      <c r="CB1778" s="111" t="e">
        <f t="shared" si="1336"/>
        <v>#VALUE!</v>
      </c>
      <c r="CC1778" s="129">
        <f t="shared" si="1339"/>
        <v>48</v>
      </c>
      <c r="CD1778" s="129">
        <f t="shared" si="1340"/>
        <v>0</v>
      </c>
      <c r="CG1778" s="129" t="str">
        <f t="shared" si="1317"/>
        <v>Y</v>
      </c>
      <c r="CI1778" s="129" t="str">
        <f t="shared" si="1318"/>
        <v>31-60 DAYS</v>
      </c>
      <c r="CJ1778" s="137">
        <f t="shared" si="1319"/>
        <v>3</v>
      </c>
      <c r="CK1778" s="129" t="str">
        <f t="shared" si="1320"/>
        <v>Booked</v>
      </c>
    </row>
    <row r="1779" spans="1:89" ht="15.75" customHeight="1" x14ac:dyDescent="0.25">
      <c r="A1779" s="111">
        <v>2424</v>
      </c>
      <c r="B1779" s="128" t="str">
        <f t="shared" si="1301"/>
        <v>N</v>
      </c>
      <c r="C1779" s="128" t="str">
        <f t="shared" si="1302"/>
        <v>N</v>
      </c>
      <c r="D1779" s="117">
        <v>2278944</v>
      </c>
      <c r="E1779" s="135">
        <f t="shared" si="1303"/>
        <v>2</v>
      </c>
      <c r="F1779" s="124">
        <v>41000</v>
      </c>
      <c r="G1779" s="125">
        <v>41001</v>
      </c>
      <c r="H1779" s="117">
        <v>2278944</v>
      </c>
      <c r="I1779" s="124">
        <v>41000</v>
      </c>
      <c r="J1779" s="124">
        <v>41001</v>
      </c>
      <c r="K1779" s="126">
        <v>2000</v>
      </c>
      <c r="L1779" s="127" t="s">
        <v>568</v>
      </c>
      <c r="N1779" s="129" t="str">
        <f t="shared" ref="N1779:N1789" si="1341">IF(M1779&gt;1/1/1,"Y","N")</f>
        <v>N</v>
      </c>
      <c r="O1779" s="128" t="s">
        <v>917</v>
      </c>
      <c r="P1779" s="129" t="s">
        <v>589</v>
      </c>
      <c r="Q1779" s="111">
        <f t="shared" si="1337"/>
        <v>2</v>
      </c>
      <c r="R1779" s="111">
        <f t="shared" si="1327"/>
        <v>2</v>
      </c>
      <c r="S1779" s="129">
        <v>0</v>
      </c>
      <c r="T1779" s="129">
        <v>3</v>
      </c>
      <c r="W1779" s="111"/>
      <c r="AC1779" s="130"/>
      <c r="AD1779" s="130">
        <v>32696</v>
      </c>
      <c r="AE1779" s="128" t="s">
        <v>32</v>
      </c>
      <c r="AF1779" s="128" t="s">
        <v>33</v>
      </c>
      <c r="AG1779" s="128" t="s">
        <v>872</v>
      </c>
      <c r="AH1779" s="108" t="s">
        <v>31</v>
      </c>
      <c r="AI1779" s="128" t="s">
        <v>72</v>
      </c>
      <c r="AJ1779" s="129" t="s">
        <v>48</v>
      </c>
      <c r="AK1779" s="129">
        <v>1</v>
      </c>
      <c r="AL1779" s="3" t="s">
        <v>48</v>
      </c>
      <c r="AP1779" s="129" t="s">
        <v>155</v>
      </c>
      <c r="AR1779" s="128" t="s">
        <v>44</v>
      </c>
      <c r="AS1779" s="129" t="s">
        <v>64</v>
      </c>
      <c r="BC1779" s="129" t="s">
        <v>38</v>
      </c>
      <c r="BF1779" s="111">
        <f t="shared" si="1334"/>
        <v>2</v>
      </c>
      <c r="BG1779" s="111">
        <f t="shared" si="1335"/>
        <v>2</v>
      </c>
      <c r="BH1779" s="111">
        <f t="shared" si="1297"/>
        <v>2</v>
      </c>
      <c r="BI1779" s="111">
        <f t="shared" si="1298"/>
        <v>22.688524590163933</v>
      </c>
      <c r="BJ1779" s="129">
        <f t="shared" si="1304"/>
        <v>0</v>
      </c>
      <c r="BK1779" s="129">
        <f t="shared" si="1299"/>
        <v>0</v>
      </c>
      <c r="BL1779" s="129" t="str">
        <f t="shared" si="1328"/>
        <v>DEFERRED</v>
      </c>
      <c r="BM1779" s="129" t="str">
        <f t="shared" si="1305"/>
        <v>NONE</v>
      </c>
      <c r="BN1779" s="129" t="s">
        <v>566</v>
      </c>
      <c r="BP1779" s="137" t="str">
        <f t="shared" si="1306"/>
        <v>DEFERRED</v>
      </c>
      <c r="BQ1779" s="128" t="str">
        <f t="shared" si="1307"/>
        <v>Y</v>
      </c>
      <c r="BR1779" s="129" t="str">
        <f t="shared" si="1308"/>
        <v>DETAINED</v>
      </c>
      <c r="BS1779" s="129" t="str">
        <f t="shared" si="1309"/>
        <v>DISPOSED</v>
      </c>
      <c r="BT1779" s="129" t="str">
        <f t="shared" si="1310"/>
        <v>N</v>
      </c>
      <c r="BU1779" s="109">
        <f t="shared" si="1311"/>
        <v>1</v>
      </c>
      <c r="BV1779" s="109">
        <f t="shared" si="1312"/>
        <v>1</v>
      </c>
      <c r="BW1779" s="109">
        <f t="shared" si="1338"/>
        <v>0</v>
      </c>
      <c r="BX1779" s="111">
        <f t="shared" si="1313"/>
        <v>0</v>
      </c>
      <c r="BY1779" s="129">
        <f t="shared" si="1314"/>
        <v>-2</v>
      </c>
      <c r="BZ1779" s="111">
        <f t="shared" si="1315"/>
        <v>0</v>
      </c>
      <c r="CA1779" s="138">
        <f t="shared" si="1316"/>
        <v>2</v>
      </c>
      <c r="CB1779" s="111" t="e">
        <f t="shared" si="1336"/>
        <v>#VALUE!</v>
      </c>
      <c r="CC1779" s="129">
        <f t="shared" si="1339"/>
        <v>2</v>
      </c>
      <c r="CD1779" s="129">
        <f t="shared" si="1340"/>
        <v>0</v>
      </c>
      <c r="CG1779" s="129" t="str">
        <f t="shared" si="1317"/>
        <v>Y</v>
      </c>
      <c r="CI1779" s="129" t="str">
        <f t="shared" si="1318"/>
        <v>0-10 DAYS</v>
      </c>
      <c r="CJ1779" s="137">
        <f t="shared" si="1319"/>
        <v>1</v>
      </c>
      <c r="CK1779" s="129" t="str">
        <f t="shared" si="1320"/>
        <v>Booked</v>
      </c>
    </row>
    <row r="1780" spans="1:89" ht="15.75" customHeight="1" x14ac:dyDescent="0.25">
      <c r="A1780" s="111">
        <v>496</v>
      </c>
      <c r="B1780" s="128" t="str">
        <f t="shared" si="1301"/>
        <v>N</v>
      </c>
      <c r="C1780" s="128" t="str">
        <f t="shared" si="1302"/>
        <v>N</v>
      </c>
      <c r="D1780" s="117">
        <v>2279899</v>
      </c>
      <c r="E1780" s="135">
        <f t="shared" si="1303"/>
        <v>2</v>
      </c>
      <c r="F1780" s="124">
        <v>40928</v>
      </c>
      <c r="G1780" s="125">
        <v>40945</v>
      </c>
      <c r="H1780" s="117">
        <v>2279899</v>
      </c>
      <c r="I1780" s="124">
        <v>40929</v>
      </c>
      <c r="J1780" s="124">
        <v>40945</v>
      </c>
      <c r="K1780" s="126">
        <v>2000</v>
      </c>
      <c r="L1780" s="127" t="s">
        <v>568</v>
      </c>
      <c r="N1780" s="129" t="str">
        <f t="shared" si="1341"/>
        <v>N</v>
      </c>
      <c r="O1780" s="128" t="s">
        <v>917</v>
      </c>
      <c r="P1780" s="129" t="s">
        <v>589</v>
      </c>
      <c r="Q1780" s="111">
        <f t="shared" si="1337"/>
        <v>17</v>
      </c>
      <c r="R1780" s="111">
        <f t="shared" si="1327"/>
        <v>18</v>
      </c>
      <c r="S1780" s="129">
        <v>4</v>
      </c>
      <c r="T1780" s="129">
        <v>1</v>
      </c>
      <c r="U1780" s="129">
        <v>2</v>
      </c>
      <c r="W1780" s="111"/>
      <c r="AC1780" s="130"/>
      <c r="AD1780" s="130">
        <v>32835</v>
      </c>
      <c r="AE1780" s="128" t="s">
        <v>32</v>
      </c>
      <c r="AF1780" s="128" t="s">
        <v>33</v>
      </c>
      <c r="AG1780" s="128" t="s">
        <v>872</v>
      </c>
      <c r="AH1780" s="108" t="s">
        <v>31</v>
      </c>
      <c r="AI1780" s="128" t="s">
        <v>42</v>
      </c>
      <c r="AJ1780" s="129" t="s">
        <v>48</v>
      </c>
      <c r="AK1780" s="129">
        <v>2</v>
      </c>
      <c r="AL1780" s="3" t="s">
        <v>48</v>
      </c>
      <c r="AP1780" s="129" t="s">
        <v>150</v>
      </c>
      <c r="AR1780" s="128" t="s">
        <v>67</v>
      </c>
      <c r="AS1780" s="129" t="s">
        <v>74</v>
      </c>
      <c r="BC1780" s="129" t="s">
        <v>38</v>
      </c>
      <c r="BF1780" s="111">
        <f t="shared" si="1334"/>
        <v>17</v>
      </c>
      <c r="BG1780" s="111">
        <f t="shared" si="1335"/>
        <v>17</v>
      </c>
      <c r="BH1780" s="111">
        <f t="shared" si="1297"/>
        <v>18</v>
      </c>
      <c r="BI1780" s="111">
        <f t="shared" si="1298"/>
        <v>22.112021857923498</v>
      </c>
      <c r="BJ1780" s="129">
        <f t="shared" si="1304"/>
        <v>0</v>
      </c>
      <c r="BK1780" s="129">
        <f t="shared" si="1299"/>
        <v>0</v>
      </c>
      <c r="BL1780" s="129" t="str">
        <f t="shared" si="1328"/>
        <v>DEFERRED</v>
      </c>
      <c r="BM1780" s="129" t="str">
        <f t="shared" si="1305"/>
        <v>NONE</v>
      </c>
      <c r="BN1780" s="129" t="s">
        <v>566</v>
      </c>
      <c r="BP1780" s="137" t="str">
        <f t="shared" si="1306"/>
        <v>DEFERRED</v>
      </c>
      <c r="BQ1780" s="128" t="str">
        <f t="shared" si="1307"/>
        <v>Y</v>
      </c>
      <c r="BR1780" s="129" t="str">
        <f t="shared" si="1308"/>
        <v>DETAINED</v>
      </c>
      <c r="BS1780" s="129" t="str">
        <f t="shared" si="1309"/>
        <v>DISPOSED</v>
      </c>
      <c r="BT1780" s="129" t="str">
        <f t="shared" si="1310"/>
        <v>Y</v>
      </c>
      <c r="BU1780" s="109">
        <f t="shared" si="1311"/>
        <v>0.94444444444444442</v>
      </c>
      <c r="BV1780" s="109">
        <f t="shared" si="1312"/>
        <v>1</v>
      </c>
      <c r="BW1780" s="109">
        <f t="shared" si="1338"/>
        <v>5.555555555555558E-2</v>
      </c>
      <c r="BX1780" s="111">
        <f t="shared" si="1313"/>
        <v>0</v>
      </c>
      <c r="BY1780" s="129">
        <f t="shared" si="1314"/>
        <v>-17</v>
      </c>
      <c r="BZ1780" s="111">
        <f t="shared" si="1315"/>
        <v>0</v>
      </c>
      <c r="CA1780" s="138">
        <f t="shared" si="1316"/>
        <v>17</v>
      </c>
      <c r="CB1780" s="111" t="e">
        <f t="shared" si="1336"/>
        <v>#VALUE!</v>
      </c>
      <c r="CC1780" s="129">
        <f t="shared" si="1339"/>
        <v>17</v>
      </c>
      <c r="CD1780" s="129">
        <f t="shared" si="1340"/>
        <v>0</v>
      </c>
      <c r="CG1780" s="129" t="str">
        <f t="shared" si="1317"/>
        <v>Y</v>
      </c>
      <c r="CI1780" s="129" t="str">
        <f t="shared" si="1318"/>
        <v>11-30 DAYS</v>
      </c>
      <c r="CJ1780" s="137">
        <f t="shared" si="1319"/>
        <v>2</v>
      </c>
      <c r="CK1780" s="129" t="str">
        <f t="shared" si="1320"/>
        <v>Booked</v>
      </c>
    </row>
    <row r="1781" spans="1:89" ht="15.75" customHeight="1" x14ac:dyDescent="0.25">
      <c r="A1781" s="111">
        <v>776</v>
      </c>
      <c r="B1781" s="128" t="str">
        <f t="shared" si="1301"/>
        <v>N</v>
      </c>
      <c r="C1781" s="128" t="str">
        <f t="shared" si="1302"/>
        <v>N</v>
      </c>
      <c r="D1781" s="117">
        <v>2279908</v>
      </c>
      <c r="E1781" s="135">
        <f t="shared" si="1303"/>
        <v>5</v>
      </c>
      <c r="F1781" s="124">
        <v>40939</v>
      </c>
      <c r="G1781" s="125">
        <v>40974</v>
      </c>
      <c r="H1781" s="117">
        <v>2279908</v>
      </c>
      <c r="I1781" s="124">
        <v>40939</v>
      </c>
      <c r="J1781" s="124">
        <v>40974</v>
      </c>
      <c r="K1781" s="126">
        <v>15000</v>
      </c>
      <c r="L1781" s="127" t="s">
        <v>571</v>
      </c>
      <c r="N1781" s="129" t="str">
        <f t="shared" si="1341"/>
        <v>N</v>
      </c>
      <c r="O1781" s="128" t="s">
        <v>917</v>
      </c>
      <c r="P1781" s="129" t="s">
        <v>39</v>
      </c>
      <c r="Q1781" s="111">
        <f t="shared" si="1337"/>
        <v>36</v>
      </c>
      <c r="R1781" s="111">
        <f t="shared" si="1327"/>
        <v>36</v>
      </c>
      <c r="S1781" s="129">
        <v>4</v>
      </c>
      <c r="T1781" s="129">
        <v>6</v>
      </c>
      <c r="U1781" s="129">
        <v>1</v>
      </c>
      <c r="W1781" s="111"/>
      <c r="AC1781" s="130"/>
      <c r="AD1781" s="130">
        <v>21440</v>
      </c>
      <c r="AE1781" s="128" t="s">
        <v>32</v>
      </c>
      <c r="AF1781" s="128" t="s">
        <v>33</v>
      </c>
      <c r="AG1781" s="128" t="s">
        <v>872</v>
      </c>
      <c r="AH1781" s="108" t="s">
        <v>58</v>
      </c>
      <c r="AI1781" s="128" t="s">
        <v>141</v>
      </c>
      <c r="AJ1781" s="129" t="s">
        <v>89</v>
      </c>
      <c r="AK1781" s="129">
        <v>2</v>
      </c>
      <c r="AL1781" s="3" t="s">
        <v>992</v>
      </c>
      <c r="AN1781" s="117">
        <v>8</v>
      </c>
      <c r="AP1781" s="129" t="s">
        <v>127</v>
      </c>
      <c r="AR1781" s="128" t="s">
        <v>44</v>
      </c>
      <c r="AS1781" s="129" t="s">
        <v>82</v>
      </c>
      <c r="BC1781" s="129" t="s">
        <v>38</v>
      </c>
      <c r="BD1781" s="3"/>
      <c r="BF1781" s="111">
        <f t="shared" si="1334"/>
        <v>36</v>
      </c>
      <c r="BG1781" s="111">
        <f t="shared" si="1335"/>
        <v>36</v>
      </c>
      <c r="BH1781" s="111">
        <f t="shared" si="1297"/>
        <v>36</v>
      </c>
      <c r="BI1781" s="111">
        <f t="shared" si="1298"/>
        <v>53.275956284153004</v>
      </c>
      <c r="BJ1781" s="129">
        <f t="shared" si="1304"/>
        <v>0</v>
      </c>
      <c r="BK1781" s="129">
        <f t="shared" si="1299"/>
        <v>0</v>
      </c>
      <c r="BL1781" s="129" t="str">
        <f t="shared" si="1328"/>
        <v>CONVICTION</v>
      </c>
      <c r="BM1781" s="129" t="str">
        <f t="shared" si="1305"/>
        <v>NONE</v>
      </c>
      <c r="BN1781" s="129" t="s">
        <v>566</v>
      </c>
      <c r="BP1781" s="137" t="str">
        <f t="shared" si="1306"/>
        <v>CONVICTION</v>
      </c>
      <c r="BQ1781" s="128" t="str">
        <f t="shared" si="1307"/>
        <v>Y</v>
      </c>
      <c r="BR1781" s="129" t="str">
        <f t="shared" si="1308"/>
        <v>DETAINED</v>
      </c>
      <c r="BS1781" s="129" t="str">
        <f t="shared" si="1309"/>
        <v>DISPOSED</v>
      </c>
      <c r="BT1781" s="129" t="str">
        <f t="shared" si="1310"/>
        <v>Y</v>
      </c>
      <c r="BU1781" s="109">
        <f t="shared" si="1311"/>
        <v>1</v>
      </c>
      <c r="BV1781" s="109">
        <f t="shared" si="1312"/>
        <v>1</v>
      </c>
      <c r="BW1781" s="109">
        <f t="shared" si="1338"/>
        <v>0</v>
      </c>
      <c r="BX1781" s="111">
        <f t="shared" si="1313"/>
        <v>0</v>
      </c>
      <c r="BY1781" s="129">
        <f t="shared" si="1314"/>
        <v>-36</v>
      </c>
      <c r="BZ1781" s="111">
        <f t="shared" si="1315"/>
        <v>0</v>
      </c>
      <c r="CA1781" s="138">
        <f t="shared" si="1316"/>
        <v>36</v>
      </c>
      <c r="CB1781" s="111" t="e">
        <f t="shared" si="1336"/>
        <v>#VALUE!</v>
      </c>
      <c r="CC1781" s="129">
        <f t="shared" si="1339"/>
        <v>36</v>
      </c>
      <c r="CD1781" s="129">
        <f t="shared" si="1340"/>
        <v>0</v>
      </c>
      <c r="CG1781" s="129" t="str">
        <f t="shared" si="1317"/>
        <v>Y</v>
      </c>
      <c r="CI1781" s="129" t="str">
        <f t="shared" si="1318"/>
        <v>31-60 DAYS</v>
      </c>
      <c r="CJ1781" s="137">
        <f t="shared" si="1319"/>
        <v>3</v>
      </c>
      <c r="CK1781" s="129" t="str">
        <f t="shared" si="1320"/>
        <v>Booked</v>
      </c>
    </row>
    <row r="1782" spans="1:89" ht="15.75" customHeight="1" x14ac:dyDescent="0.25">
      <c r="A1782" s="111">
        <v>1495</v>
      </c>
      <c r="B1782" s="128" t="str">
        <f t="shared" si="1301"/>
        <v>N</v>
      </c>
      <c r="C1782" s="128" t="str">
        <f t="shared" si="1302"/>
        <v>N</v>
      </c>
      <c r="D1782" s="117">
        <v>2280024</v>
      </c>
      <c r="E1782" s="135">
        <f t="shared" si="1303"/>
        <v>2</v>
      </c>
      <c r="F1782" s="124">
        <v>40964</v>
      </c>
      <c r="G1782" s="125">
        <v>40966</v>
      </c>
      <c r="H1782" s="117">
        <v>2280024</v>
      </c>
      <c r="I1782" s="124">
        <v>40964</v>
      </c>
      <c r="J1782" s="124">
        <v>40966</v>
      </c>
      <c r="K1782" s="126">
        <v>5000</v>
      </c>
      <c r="L1782" s="127" t="s">
        <v>569</v>
      </c>
      <c r="N1782" s="129" t="str">
        <f t="shared" si="1341"/>
        <v>N</v>
      </c>
      <c r="O1782" s="128" t="s">
        <v>917</v>
      </c>
      <c r="P1782" s="129" t="s">
        <v>589</v>
      </c>
      <c r="Q1782" s="111">
        <f t="shared" si="1337"/>
        <v>3</v>
      </c>
      <c r="R1782" s="111">
        <f t="shared" si="1327"/>
        <v>3</v>
      </c>
      <c r="S1782" s="129">
        <v>0</v>
      </c>
      <c r="T1782" s="129">
        <v>1</v>
      </c>
      <c r="W1782" s="111"/>
      <c r="AC1782" s="130"/>
      <c r="AD1782" s="130">
        <v>32206</v>
      </c>
      <c r="AE1782" s="128" t="s">
        <v>46</v>
      </c>
      <c r="AF1782" s="128" t="s">
        <v>33</v>
      </c>
      <c r="AG1782" s="128" t="s">
        <v>872</v>
      </c>
      <c r="AH1782" s="108" t="s">
        <v>58</v>
      </c>
      <c r="AI1782" s="128" t="s">
        <v>87</v>
      </c>
      <c r="AJ1782" s="129" t="s">
        <v>48</v>
      </c>
      <c r="AK1782" s="129">
        <v>1</v>
      </c>
      <c r="AL1782" s="3" t="s">
        <v>48</v>
      </c>
      <c r="AP1782" s="129" t="s">
        <v>144</v>
      </c>
      <c r="AR1782" s="128" t="s">
        <v>67</v>
      </c>
      <c r="AS1782" s="129" t="s">
        <v>74</v>
      </c>
      <c r="BC1782" s="129" t="s">
        <v>38</v>
      </c>
      <c r="BF1782" s="111">
        <f t="shared" si="1334"/>
        <v>3</v>
      </c>
      <c r="BG1782" s="111">
        <f t="shared" si="1335"/>
        <v>3</v>
      </c>
      <c r="BH1782" s="111">
        <f t="shared" si="1297"/>
        <v>3</v>
      </c>
      <c r="BI1782" s="111">
        <f t="shared" si="1298"/>
        <v>23.928961748633881</v>
      </c>
      <c r="BJ1782" s="129">
        <f t="shared" si="1304"/>
        <v>0</v>
      </c>
      <c r="BK1782" s="129">
        <f t="shared" si="1299"/>
        <v>0</v>
      </c>
      <c r="BL1782" s="129" t="str">
        <f t="shared" si="1328"/>
        <v>DEFERRED</v>
      </c>
      <c r="BM1782" s="129" t="str">
        <f t="shared" si="1305"/>
        <v>NONE</v>
      </c>
      <c r="BN1782" s="129" t="s">
        <v>566</v>
      </c>
      <c r="BP1782" s="137" t="str">
        <f t="shared" si="1306"/>
        <v>DEFERRED</v>
      </c>
      <c r="BQ1782" s="128" t="str">
        <f t="shared" si="1307"/>
        <v>Y</v>
      </c>
      <c r="BR1782" s="129" t="str">
        <f t="shared" si="1308"/>
        <v>DETAINED</v>
      </c>
      <c r="BS1782" s="129" t="str">
        <f t="shared" si="1309"/>
        <v>DISPOSED</v>
      </c>
      <c r="BT1782" s="129" t="str">
        <f t="shared" si="1310"/>
        <v>N</v>
      </c>
      <c r="BU1782" s="109">
        <f t="shared" si="1311"/>
        <v>1</v>
      </c>
      <c r="BV1782" s="109">
        <f t="shared" si="1312"/>
        <v>1</v>
      </c>
      <c r="BW1782" s="109">
        <f t="shared" si="1338"/>
        <v>0</v>
      </c>
      <c r="BX1782" s="111">
        <f t="shared" si="1313"/>
        <v>0</v>
      </c>
      <c r="BY1782" s="129">
        <f t="shared" si="1314"/>
        <v>-3</v>
      </c>
      <c r="BZ1782" s="111">
        <f t="shared" si="1315"/>
        <v>0</v>
      </c>
      <c r="CA1782" s="138">
        <f t="shared" si="1316"/>
        <v>3</v>
      </c>
      <c r="CB1782" s="111" t="e">
        <f t="shared" si="1336"/>
        <v>#VALUE!</v>
      </c>
      <c r="CC1782" s="129">
        <f t="shared" si="1339"/>
        <v>3</v>
      </c>
      <c r="CD1782" s="129">
        <f t="shared" si="1340"/>
        <v>0</v>
      </c>
      <c r="CG1782" s="129" t="str">
        <f t="shared" si="1317"/>
        <v>Y</v>
      </c>
      <c r="CI1782" s="129" t="str">
        <f t="shared" si="1318"/>
        <v>0-10 DAYS</v>
      </c>
      <c r="CJ1782" s="137">
        <f t="shared" si="1319"/>
        <v>1</v>
      </c>
      <c r="CK1782" s="129" t="str">
        <f t="shared" si="1320"/>
        <v>Booked</v>
      </c>
    </row>
    <row r="1783" spans="1:89" ht="15.75" customHeight="1" x14ac:dyDescent="0.25">
      <c r="A1783" s="111">
        <v>2496</v>
      </c>
      <c r="B1783" s="128" t="str">
        <f t="shared" si="1301"/>
        <v>N</v>
      </c>
      <c r="C1783" s="128" t="str">
        <f t="shared" si="1302"/>
        <v>N</v>
      </c>
      <c r="D1783" s="117">
        <v>2280596</v>
      </c>
      <c r="E1783" s="135">
        <f t="shared" si="1303"/>
        <v>2</v>
      </c>
      <c r="F1783" s="124">
        <v>41003</v>
      </c>
      <c r="G1783" s="125">
        <v>41004</v>
      </c>
      <c r="H1783" s="117">
        <v>2280596</v>
      </c>
      <c r="I1783" s="124">
        <v>41003</v>
      </c>
      <c r="J1783" s="124">
        <v>41004</v>
      </c>
      <c r="K1783" s="126">
        <v>10000</v>
      </c>
      <c r="L1783" s="127" t="s">
        <v>570</v>
      </c>
      <c r="N1783" s="129" t="str">
        <f t="shared" si="1341"/>
        <v>N</v>
      </c>
      <c r="O1783" s="128" t="s">
        <v>917</v>
      </c>
      <c r="P1783" s="129" t="s">
        <v>589</v>
      </c>
      <c r="Q1783" s="111">
        <f t="shared" si="1337"/>
        <v>2</v>
      </c>
      <c r="R1783" s="111">
        <f t="shared" si="1327"/>
        <v>2</v>
      </c>
      <c r="S1783" s="129">
        <v>1</v>
      </c>
      <c r="T1783" s="129">
        <v>3</v>
      </c>
      <c r="W1783" s="111"/>
      <c r="AC1783" s="130"/>
      <c r="AD1783" s="130">
        <v>32846</v>
      </c>
      <c r="AE1783" s="128" t="s">
        <v>32</v>
      </c>
      <c r="AF1783" s="128" t="s">
        <v>33</v>
      </c>
      <c r="AG1783" s="128" t="s">
        <v>872</v>
      </c>
      <c r="AH1783" s="108" t="s">
        <v>58</v>
      </c>
      <c r="AI1783" s="128" t="s">
        <v>114</v>
      </c>
      <c r="AJ1783" s="129" t="s">
        <v>48</v>
      </c>
      <c r="AK1783" s="129">
        <v>1</v>
      </c>
      <c r="AL1783" s="3" t="s">
        <v>48</v>
      </c>
      <c r="AP1783" s="129" t="s">
        <v>93</v>
      </c>
      <c r="AR1783" s="128" t="s">
        <v>67</v>
      </c>
      <c r="AS1783" s="129" t="s">
        <v>45</v>
      </c>
      <c r="BC1783" s="129" t="s">
        <v>38</v>
      </c>
      <c r="BF1783" s="111">
        <f t="shared" si="1334"/>
        <v>2</v>
      </c>
      <c r="BG1783" s="111">
        <f t="shared" si="1335"/>
        <v>2</v>
      </c>
      <c r="BH1783" s="111">
        <f t="shared" si="1297"/>
        <v>2</v>
      </c>
      <c r="BI1783" s="111">
        <f t="shared" si="1298"/>
        <v>22.28688524590164</v>
      </c>
      <c r="BJ1783" s="129">
        <f t="shared" si="1304"/>
        <v>0</v>
      </c>
      <c r="BK1783" s="129">
        <f t="shared" si="1299"/>
        <v>0</v>
      </c>
      <c r="BL1783" s="129" t="str">
        <f t="shared" si="1328"/>
        <v>DEFERRED</v>
      </c>
      <c r="BM1783" s="129" t="str">
        <f t="shared" si="1305"/>
        <v>NONE</v>
      </c>
      <c r="BN1783" s="129" t="s">
        <v>566</v>
      </c>
      <c r="BP1783" s="137" t="str">
        <f t="shared" si="1306"/>
        <v>DEFERRED</v>
      </c>
      <c r="BQ1783" s="128" t="str">
        <f t="shared" si="1307"/>
        <v>Y</v>
      </c>
      <c r="BR1783" s="129" t="str">
        <f t="shared" si="1308"/>
        <v>DETAINED</v>
      </c>
      <c r="BS1783" s="129" t="str">
        <f t="shared" si="1309"/>
        <v>DISPOSED</v>
      </c>
      <c r="BT1783" s="129" t="str">
        <f t="shared" si="1310"/>
        <v>Y</v>
      </c>
      <c r="BU1783" s="109">
        <f t="shared" si="1311"/>
        <v>1</v>
      </c>
      <c r="BV1783" s="109">
        <f t="shared" si="1312"/>
        <v>1</v>
      </c>
      <c r="BW1783" s="109">
        <f t="shared" si="1338"/>
        <v>0</v>
      </c>
      <c r="BX1783" s="111">
        <f t="shared" si="1313"/>
        <v>0</v>
      </c>
      <c r="BY1783" s="129">
        <f t="shared" si="1314"/>
        <v>-2</v>
      </c>
      <c r="BZ1783" s="111">
        <f t="shared" si="1315"/>
        <v>0</v>
      </c>
      <c r="CA1783" s="138">
        <f t="shared" si="1316"/>
        <v>2</v>
      </c>
      <c r="CB1783" s="111" t="e">
        <f t="shared" si="1336"/>
        <v>#VALUE!</v>
      </c>
      <c r="CC1783" s="129">
        <f t="shared" si="1339"/>
        <v>2</v>
      </c>
      <c r="CD1783" s="129">
        <f t="shared" si="1340"/>
        <v>0</v>
      </c>
      <c r="CG1783" s="129" t="str">
        <f t="shared" si="1317"/>
        <v>Y</v>
      </c>
      <c r="CI1783" s="129" t="str">
        <f t="shared" si="1318"/>
        <v>0-10 DAYS</v>
      </c>
      <c r="CJ1783" s="137">
        <f t="shared" si="1319"/>
        <v>1</v>
      </c>
      <c r="CK1783" s="129" t="str">
        <f t="shared" si="1320"/>
        <v>Booked</v>
      </c>
    </row>
    <row r="1784" spans="1:89" ht="15" customHeight="1" x14ac:dyDescent="0.25">
      <c r="A1784" s="111">
        <v>1117</v>
      </c>
      <c r="B1784" s="128" t="str">
        <f t="shared" si="1301"/>
        <v>N</v>
      </c>
      <c r="C1784" s="128" t="str">
        <f t="shared" si="1302"/>
        <v>N</v>
      </c>
      <c r="D1784" s="117">
        <v>2280638</v>
      </c>
      <c r="E1784" s="135">
        <f t="shared" si="1303"/>
        <v>2</v>
      </c>
      <c r="F1784" s="124">
        <v>40949</v>
      </c>
      <c r="G1784" s="125">
        <v>41019</v>
      </c>
      <c r="H1784" s="117">
        <v>2280638</v>
      </c>
      <c r="I1784" s="124">
        <v>40949</v>
      </c>
      <c r="J1784" s="124">
        <v>41019</v>
      </c>
      <c r="K1784" s="126">
        <v>30000</v>
      </c>
      <c r="L1784" s="129" t="s">
        <v>572</v>
      </c>
      <c r="M1784" s="125">
        <v>40952</v>
      </c>
      <c r="N1784" s="129" t="str">
        <f t="shared" si="1341"/>
        <v>Y</v>
      </c>
      <c r="O1784" s="128" t="s">
        <v>54</v>
      </c>
      <c r="P1784" s="129" t="s">
        <v>589</v>
      </c>
      <c r="Q1784" s="111">
        <f t="shared" si="1337"/>
        <v>71</v>
      </c>
      <c r="R1784" s="111">
        <f t="shared" si="1327"/>
        <v>71</v>
      </c>
      <c r="S1784" s="129">
        <v>0</v>
      </c>
      <c r="T1784" s="129">
        <v>0</v>
      </c>
      <c r="W1784" s="111"/>
      <c r="AC1784" s="130"/>
      <c r="AD1784" s="130">
        <v>29962</v>
      </c>
      <c r="AE1784" s="128" t="s">
        <v>46</v>
      </c>
      <c r="AF1784" s="128" t="s">
        <v>69</v>
      </c>
      <c r="AG1784" s="128" t="s">
        <v>874</v>
      </c>
      <c r="AH1784" s="108" t="s">
        <v>31</v>
      </c>
      <c r="AI1784" s="128" t="s">
        <v>113</v>
      </c>
      <c r="AJ1784" s="129" t="s">
        <v>48</v>
      </c>
      <c r="AK1784" s="129">
        <v>4</v>
      </c>
      <c r="AL1784" s="3" t="s">
        <v>48</v>
      </c>
      <c r="AP1784" s="129" t="s">
        <v>110</v>
      </c>
      <c r="AR1784" s="128" t="s">
        <v>50</v>
      </c>
      <c r="AS1784" s="129" t="s">
        <v>74</v>
      </c>
      <c r="AT1784" s="129" t="s">
        <v>291</v>
      </c>
      <c r="BC1784" s="129" t="s">
        <v>38</v>
      </c>
      <c r="BF1784" s="111">
        <f t="shared" si="1334"/>
        <v>71</v>
      </c>
      <c r="BG1784" s="111">
        <f t="shared" si="1335"/>
        <v>71</v>
      </c>
      <c r="BH1784" s="111">
        <f t="shared" si="1297"/>
        <v>71</v>
      </c>
      <c r="BI1784" s="111">
        <f t="shared" si="1298"/>
        <v>30.019125683060111</v>
      </c>
      <c r="BJ1784" s="129">
        <f>G1784-J1784</f>
        <v>0</v>
      </c>
      <c r="BK1784" s="129">
        <f t="shared" si="1299"/>
        <v>0</v>
      </c>
      <c r="BL1784" s="129" t="str">
        <f t="shared" si="1328"/>
        <v>DEFERRED</v>
      </c>
      <c r="BM1784" s="129" t="s">
        <v>160</v>
      </c>
      <c r="BN1784" s="129" t="s">
        <v>88</v>
      </c>
      <c r="BP1784" s="137" t="str">
        <f t="shared" si="1306"/>
        <v>DEFERRED</v>
      </c>
      <c r="BQ1784" s="128" t="str">
        <f t="shared" si="1307"/>
        <v>Y</v>
      </c>
      <c r="BR1784" s="129" t="str">
        <f t="shared" si="1308"/>
        <v>ON BOND</v>
      </c>
      <c r="BS1784" s="129" t="str">
        <f t="shared" si="1309"/>
        <v>DISPOSED</v>
      </c>
      <c r="BT1784" s="129" t="str">
        <f t="shared" si="1310"/>
        <v>N</v>
      </c>
      <c r="BU1784" s="109">
        <f t="shared" si="1311"/>
        <v>1</v>
      </c>
      <c r="BV1784" s="109">
        <f t="shared" si="1312"/>
        <v>1</v>
      </c>
      <c r="BW1784" s="109">
        <f t="shared" si="1338"/>
        <v>0</v>
      </c>
      <c r="BX1784" s="111">
        <f t="shared" si="1313"/>
        <v>0</v>
      </c>
      <c r="BY1784" s="129">
        <f t="shared" si="1314"/>
        <v>-71</v>
      </c>
      <c r="BZ1784" s="111">
        <f t="shared" si="1315"/>
        <v>0</v>
      </c>
      <c r="CA1784" s="138">
        <f t="shared" si="1316"/>
        <v>4</v>
      </c>
      <c r="CB1784" s="111" t="e">
        <f t="shared" si="1336"/>
        <v>#VALUE!</v>
      </c>
      <c r="CC1784" s="129">
        <f>M1784-I1784+1</f>
        <v>4</v>
      </c>
      <c r="CD1784" s="111">
        <f>CC1784-BF1784</f>
        <v>-67</v>
      </c>
      <c r="CG1784" s="129" t="str">
        <f t="shared" si="1317"/>
        <v>N</v>
      </c>
      <c r="CI1784" s="129" t="str">
        <f t="shared" si="1318"/>
        <v>61-90 DAYS</v>
      </c>
      <c r="CJ1784" s="137">
        <f t="shared" si="1319"/>
        <v>4</v>
      </c>
      <c r="CK1784" s="129" t="str">
        <f t="shared" si="1320"/>
        <v>Booked</v>
      </c>
    </row>
    <row r="1785" spans="1:89" ht="15" customHeight="1" x14ac:dyDescent="0.25">
      <c r="A1785" s="111">
        <v>868</v>
      </c>
      <c r="B1785" s="128" t="str">
        <f t="shared" si="1301"/>
        <v>N</v>
      </c>
      <c r="C1785" s="128" t="str">
        <f t="shared" si="1302"/>
        <v>N</v>
      </c>
      <c r="D1785" s="117">
        <v>2281821</v>
      </c>
      <c r="E1785" s="135">
        <f t="shared" si="1303"/>
        <v>6</v>
      </c>
      <c r="F1785" s="124">
        <v>40941</v>
      </c>
      <c r="G1785" s="125">
        <v>41472</v>
      </c>
      <c r="H1785" s="117">
        <v>2281821</v>
      </c>
      <c r="I1785" s="124">
        <v>40942</v>
      </c>
      <c r="J1785" s="125">
        <v>41472</v>
      </c>
      <c r="K1785" s="126">
        <v>40000</v>
      </c>
      <c r="L1785" s="129" t="s">
        <v>572</v>
      </c>
      <c r="N1785" s="129" t="str">
        <f t="shared" si="1341"/>
        <v>N</v>
      </c>
      <c r="O1785" s="128" t="s">
        <v>917</v>
      </c>
      <c r="P1785" s="129" t="s">
        <v>39</v>
      </c>
      <c r="Q1785" s="111">
        <f t="shared" si="1337"/>
        <v>531</v>
      </c>
      <c r="R1785" s="111">
        <f t="shared" si="1327"/>
        <v>532</v>
      </c>
      <c r="S1785" s="129">
        <v>1</v>
      </c>
      <c r="T1785" s="129">
        <v>2</v>
      </c>
      <c r="U1785" s="129">
        <v>1</v>
      </c>
      <c r="W1785" s="111"/>
      <c r="AC1785" s="130"/>
      <c r="AD1785" s="130">
        <v>32419</v>
      </c>
      <c r="AE1785" s="128" t="s">
        <v>32</v>
      </c>
      <c r="AF1785" s="128" t="s">
        <v>33</v>
      </c>
      <c r="AG1785" s="128" t="s">
        <v>872</v>
      </c>
      <c r="AH1785" s="108" t="s">
        <v>31</v>
      </c>
      <c r="AI1785" s="128" t="s">
        <v>114</v>
      </c>
      <c r="AJ1785" s="129" t="s">
        <v>89</v>
      </c>
      <c r="AK1785" s="129">
        <v>15</v>
      </c>
      <c r="AL1785" s="3" t="s">
        <v>362</v>
      </c>
      <c r="AM1785" s="117">
        <v>25</v>
      </c>
      <c r="AP1785" s="129" t="s">
        <v>105</v>
      </c>
      <c r="AR1785" s="128" t="s">
        <v>92</v>
      </c>
      <c r="AS1785" s="129" t="s">
        <v>106</v>
      </c>
      <c r="AT1785" s="129" t="s">
        <v>1140</v>
      </c>
      <c r="BC1785" s="129" t="s">
        <v>38</v>
      </c>
      <c r="BF1785" s="111">
        <f t="shared" si="1334"/>
        <v>531</v>
      </c>
      <c r="BG1785" s="111">
        <f t="shared" si="1335"/>
        <v>531</v>
      </c>
      <c r="BH1785" s="111">
        <f t="shared" si="1297"/>
        <v>532</v>
      </c>
      <c r="BI1785" s="111">
        <f t="shared" si="1298"/>
        <v>23.284153005464482</v>
      </c>
      <c r="BJ1785" s="129">
        <f t="shared" si="1304"/>
        <v>0</v>
      </c>
      <c r="BK1785" s="129">
        <f t="shared" si="1299"/>
        <v>0</v>
      </c>
      <c r="BL1785" s="129" t="str">
        <f t="shared" si="1328"/>
        <v>CONVICTION</v>
      </c>
      <c r="BM1785" s="129" t="str">
        <f t="shared" si="1305"/>
        <v>NONE</v>
      </c>
      <c r="BN1785" s="129" t="s">
        <v>566</v>
      </c>
      <c r="BP1785" s="137" t="str">
        <f t="shared" si="1306"/>
        <v>CONVICTION</v>
      </c>
      <c r="BQ1785" s="128" t="str">
        <f t="shared" si="1307"/>
        <v>Y</v>
      </c>
      <c r="BR1785" s="129" t="str">
        <f t="shared" si="1308"/>
        <v>DETAINED</v>
      </c>
      <c r="BS1785" s="129" t="str">
        <f t="shared" si="1309"/>
        <v>DISPOSED</v>
      </c>
      <c r="BT1785" s="129" t="str">
        <f t="shared" si="1310"/>
        <v>Y</v>
      </c>
      <c r="BU1785" s="109">
        <f t="shared" si="1311"/>
        <v>0.99812030075187974</v>
      </c>
      <c r="BV1785" s="109">
        <f t="shared" si="1312"/>
        <v>1</v>
      </c>
      <c r="BW1785" s="109">
        <f t="shared" si="1338"/>
        <v>1.879699248120259E-3</v>
      </c>
      <c r="BX1785" s="111">
        <f t="shared" si="1313"/>
        <v>0</v>
      </c>
      <c r="BY1785" s="129">
        <f t="shared" si="1314"/>
        <v>-531</v>
      </c>
      <c r="BZ1785" s="111">
        <f t="shared" si="1315"/>
        <v>0</v>
      </c>
      <c r="CA1785" s="138">
        <f t="shared" si="1316"/>
        <v>531</v>
      </c>
      <c r="CB1785" s="111" t="e">
        <f t="shared" si="1336"/>
        <v>#VALUE!</v>
      </c>
      <c r="CC1785" s="129">
        <f>G1785-I1785+1</f>
        <v>531</v>
      </c>
      <c r="CD1785" s="129">
        <f>G1785-J1785</f>
        <v>0</v>
      </c>
      <c r="CG1785" s="129" t="str">
        <f t="shared" si="1317"/>
        <v>Y</v>
      </c>
      <c r="CI1785" s="129" t="str">
        <f t="shared" si="1318"/>
        <v xml:space="preserve"> &gt;1YRS&lt;2YRS</v>
      </c>
      <c r="CJ1785" s="137">
        <f t="shared" si="1319"/>
        <v>0</v>
      </c>
      <c r="CK1785" s="129" t="str">
        <f t="shared" si="1320"/>
        <v>Booked</v>
      </c>
    </row>
    <row r="1786" spans="1:89" ht="15" customHeight="1" x14ac:dyDescent="0.25">
      <c r="A1786" s="111">
        <v>2098</v>
      </c>
      <c r="B1786" s="128" t="str">
        <f t="shared" si="1301"/>
        <v>N</v>
      </c>
      <c r="C1786" s="128" t="str">
        <f t="shared" si="1302"/>
        <v>N</v>
      </c>
      <c r="D1786" s="117">
        <v>2282502</v>
      </c>
      <c r="E1786" s="135">
        <f t="shared" si="1303"/>
        <v>1</v>
      </c>
      <c r="F1786" s="124">
        <v>40987</v>
      </c>
      <c r="G1786" s="125">
        <v>41038</v>
      </c>
      <c r="H1786" s="117">
        <v>2282502</v>
      </c>
      <c r="I1786" s="124">
        <v>40990</v>
      </c>
      <c r="J1786" s="124">
        <v>41038</v>
      </c>
      <c r="K1786" s="126">
        <v>20000</v>
      </c>
      <c r="L1786" s="127" t="s">
        <v>571</v>
      </c>
      <c r="N1786" s="129" t="str">
        <f t="shared" si="1341"/>
        <v>N</v>
      </c>
      <c r="O1786" s="128" t="s">
        <v>917</v>
      </c>
      <c r="P1786" s="129" t="s">
        <v>123</v>
      </c>
      <c r="Q1786" s="111">
        <f t="shared" si="1337"/>
        <v>49</v>
      </c>
      <c r="R1786" s="111">
        <f t="shared" si="1327"/>
        <v>52</v>
      </c>
      <c r="S1786" s="129">
        <v>3</v>
      </c>
      <c r="T1786" s="129">
        <v>0</v>
      </c>
      <c r="U1786" s="129">
        <v>1</v>
      </c>
      <c r="W1786" s="111"/>
      <c r="AC1786" s="130"/>
      <c r="AD1786" s="130">
        <v>29772</v>
      </c>
      <c r="AE1786" s="128" t="s">
        <v>32</v>
      </c>
      <c r="AF1786" s="128" t="s">
        <v>33</v>
      </c>
      <c r="AG1786" s="128" t="s">
        <v>872</v>
      </c>
      <c r="AH1786" s="108" t="s">
        <v>58</v>
      </c>
      <c r="AI1786" s="128" t="s">
        <v>113</v>
      </c>
      <c r="AJ1786" s="129" t="s">
        <v>123</v>
      </c>
      <c r="AK1786" s="129">
        <v>5</v>
      </c>
      <c r="AL1786" s="3" t="s">
        <v>123</v>
      </c>
      <c r="AP1786" s="129" t="s">
        <v>150</v>
      </c>
      <c r="AR1786" s="128" t="s">
        <v>67</v>
      </c>
      <c r="AS1786" s="129" t="s">
        <v>74</v>
      </c>
      <c r="BC1786" s="129" t="s">
        <v>38</v>
      </c>
      <c r="BF1786" s="111">
        <f t="shared" si="1334"/>
        <v>49</v>
      </c>
      <c r="BG1786" s="111">
        <f t="shared" si="1335"/>
        <v>49</v>
      </c>
      <c r="BH1786" s="111">
        <f t="shared" si="1297"/>
        <v>52</v>
      </c>
      <c r="BI1786" s="111">
        <f t="shared" si="1298"/>
        <v>30.642076502732241</v>
      </c>
      <c r="BJ1786" s="129">
        <f t="shared" si="1304"/>
        <v>0</v>
      </c>
      <c r="BK1786" s="129">
        <f t="shared" si="1299"/>
        <v>0</v>
      </c>
      <c r="BL1786" s="129" t="str">
        <f t="shared" si="1328"/>
        <v>NO CONVICTION</v>
      </c>
      <c r="BM1786" s="129" t="str">
        <f t="shared" si="1305"/>
        <v>NONE</v>
      </c>
      <c r="BN1786" s="129" t="s">
        <v>566</v>
      </c>
      <c r="BP1786" s="137" t="str">
        <f t="shared" si="1306"/>
        <v>NO CONVICTION</v>
      </c>
      <c r="BQ1786" s="128" t="str">
        <f t="shared" si="1307"/>
        <v>Y</v>
      </c>
      <c r="BR1786" s="129" t="str">
        <f t="shared" si="1308"/>
        <v>DETAINED</v>
      </c>
      <c r="BS1786" s="129" t="str">
        <f t="shared" si="1309"/>
        <v>DISPOSED</v>
      </c>
      <c r="BT1786" s="129" t="str">
        <f t="shared" si="1310"/>
        <v>Y</v>
      </c>
      <c r="BU1786" s="109">
        <f>IFERROR(Q1786/R1786,BR1786)</f>
        <v>0.94230769230769229</v>
      </c>
      <c r="BV1786" s="109">
        <f t="shared" si="1312"/>
        <v>1</v>
      </c>
      <c r="BW1786" s="109">
        <f t="shared" si="1338"/>
        <v>5.7692307692307709E-2</v>
      </c>
      <c r="BX1786" s="111">
        <f t="shared" si="1313"/>
        <v>0</v>
      </c>
      <c r="BY1786" s="129">
        <f t="shared" si="1314"/>
        <v>-49</v>
      </c>
      <c r="BZ1786" s="111">
        <f t="shared" si="1315"/>
        <v>0</v>
      </c>
      <c r="CA1786" s="138">
        <f t="shared" si="1316"/>
        <v>49</v>
      </c>
      <c r="CB1786" s="111" t="e">
        <f t="shared" si="1336"/>
        <v>#VALUE!</v>
      </c>
      <c r="CC1786" s="129">
        <f>G1786-I1786+1</f>
        <v>49</v>
      </c>
      <c r="CD1786" s="129">
        <f>G1786-J1786</f>
        <v>0</v>
      </c>
      <c r="CG1786" s="129" t="str">
        <f t="shared" si="1317"/>
        <v>Y</v>
      </c>
      <c r="CI1786" s="129" t="str">
        <f t="shared" si="1318"/>
        <v>31-60 DAYS</v>
      </c>
      <c r="CJ1786" s="137">
        <f t="shared" si="1319"/>
        <v>3</v>
      </c>
      <c r="CK1786" s="129" t="str">
        <f t="shared" si="1320"/>
        <v>Booked</v>
      </c>
    </row>
    <row r="1787" spans="1:89" ht="15" customHeight="1" x14ac:dyDescent="0.25">
      <c r="A1787" s="111">
        <v>1922</v>
      </c>
      <c r="B1787" s="128" t="str">
        <f t="shared" si="1301"/>
        <v>N</v>
      </c>
      <c r="C1787" s="128" t="str">
        <f t="shared" si="1302"/>
        <v>N</v>
      </c>
      <c r="D1787" s="117">
        <v>2282557</v>
      </c>
      <c r="E1787" s="135">
        <f t="shared" si="1303"/>
        <v>1</v>
      </c>
      <c r="F1787" s="124">
        <v>40981</v>
      </c>
      <c r="G1787" s="125">
        <v>41066</v>
      </c>
      <c r="H1787" s="117">
        <v>2282557</v>
      </c>
      <c r="I1787" s="124">
        <v>41046</v>
      </c>
      <c r="J1787" s="124">
        <v>41066</v>
      </c>
      <c r="K1787" s="126">
        <v>25000</v>
      </c>
      <c r="L1787" s="129" t="s">
        <v>572</v>
      </c>
      <c r="N1787" s="129" t="str">
        <f t="shared" si="1341"/>
        <v>N</v>
      </c>
      <c r="O1787" s="128" t="s">
        <v>917</v>
      </c>
      <c r="P1787" s="129" t="s">
        <v>123</v>
      </c>
      <c r="Q1787" s="111">
        <f t="shared" si="1337"/>
        <v>21</v>
      </c>
      <c r="R1787" s="111">
        <f t="shared" si="1327"/>
        <v>86</v>
      </c>
      <c r="S1787" s="129">
        <v>3</v>
      </c>
      <c r="T1787" s="129">
        <v>13</v>
      </c>
      <c r="U1787" s="129">
        <v>1</v>
      </c>
      <c r="W1787" s="111"/>
      <c r="AC1787" s="130"/>
      <c r="AD1787" s="130">
        <v>32451</v>
      </c>
      <c r="AE1787" s="128" t="s">
        <v>32</v>
      </c>
      <c r="AF1787" s="128" t="s">
        <v>33</v>
      </c>
      <c r="AG1787" s="128" t="s">
        <v>872</v>
      </c>
      <c r="AH1787" s="108" t="s">
        <v>58</v>
      </c>
      <c r="AI1787" s="128" t="s">
        <v>70</v>
      </c>
      <c r="AJ1787" s="129" t="s">
        <v>123</v>
      </c>
      <c r="AK1787" s="129">
        <v>6</v>
      </c>
      <c r="AL1787" s="3" t="s">
        <v>123</v>
      </c>
      <c r="AP1787" s="129" t="s">
        <v>390</v>
      </c>
      <c r="AR1787" s="128" t="s">
        <v>44</v>
      </c>
      <c r="AS1787" s="129" t="s">
        <v>64</v>
      </c>
      <c r="AT1787" s="32" t="s">
        <v>391</v>
      </c>
      <c r="BC1787" s="129" t="s">
        <v>38</v>
      </c>
      <c r="BF1787" s="111">
        <f t="shared" si="1334"/>
        <v>21</v>
      </c>
      <c r="BG1787" s="111">
        <f t="shared" si="1335"/>
        <v>21</v>
      </c>
      <c r="BH1787" s="111">
        <f t="shared" si="1297"/>
        <v>86</v>
      </c>
      <c r="BI1787" s="111">
        <f t="shared" si="1298"/>
        <v>23.306010928961747</v>
      </c>
      <c r="BJ1787" s="129">
        <f t="shared" si="1304"/>
        <v>0</v>
      </c>
      <c r="BK1787" s="129">
        <f t="shared" si="1299"/>
        <v>0</v>
      </c>
      <c r="BL1787" s="129" t="str">
        <f t="shared" si="1328"/>
        <v>NO CONVICTION</v>
      </c>
      <c r="BM1787" s="129" t="str">
        <f t="shared" si="1305"/>
        <v>NONE</v>
      </c>
      <c r="BN1787" s="129" t="s">
        <v>566</v>
      </c>
      <c r="BP1787" s="137" t="str">
        <f t="shared" si="1306"/>
        <v>NO CONVICTION</v>
      </c>
      <c r="BQ1787" s="128" t="str">
        <f t="shared" si="1307"/>
        <v>Y</v>
      </c>
      <c r="BR1787" s="129" t="str">
        <f t="shared" si="1308"/>
        <v>DETAINED</v>
      </c>
      <c r="BS1787" s="129" t="str">
        <f t="shared" si="1309"/>
        <v>DISPOSED</v>
      </c>
      <c r="BT1787" s="129" t="str">
        <f t="shared" si="1310"/>
        <v>Y</v>
      </c>
      <c r="BU1787" s="109">
        <f>IFERROR(Q1787/R1787,BR1787)</f>
        <v>0.2441860465116279</v>
      </c>
      <c r="BV1787" s="109">
        <f t="shared" si="1312"/>
        <v>1</v>
      </c>
      <c r="BW1787" s="109">
        <f t="shared" si="1338"/>
        <v>0.7558139534883721</v>
      </c>
      <c r="BX1787" s="111">
        <f t="shared" si="1313"/>
        <v>0</v>
      </c>
      <c r="BY1787" s="129">
        <f t="shared" si="1314"/>
        <v>-21</v>
      </c>
      <c r="BZ1787" s="111">
        <f t="shared" si="1315"/>
        <v>0</v>
      </c>
      <c r="CA1787" s="138">
        <f t="shared" si="1316"/>
        <v>21</v>
      </c>
      <c r="CB1787" s="111" t="e">
        <f t="shared" si="1336"/>
        <v>#VALUE!</v>
      </c>
      <c r="CC1787" s="129">
        <f>G1787-I1787+1</f>
        <v>21</v>
      </c>
      <c r="CD1787" s="129">
        <f>G1787-J1787</f>
        <v>0</v>
      </c>
      <c r="CG1787" s="129" t="str">
        <f t="shared" si="1317"/>
        <v>Y</v>
      </c>
      <c r="CI1787" s="129" t="str">
        <f t="shared" si="1318"/>
        <v>11-30 DAYS</v>
      </c>
      <c r="CJ1787" s="137">
        <f t="shared" si="1319"/>
        <v>2</v>
      </c>
      <c r="CK1787" s="129" t="str">
        <f t="shared" si="1320"/>
        <v>Booked</v>
      </c>
    </row>
    <row r="1788" spans="1:89" ht="15.75" customHeight="1" x14ac:dyDescent="0.25">
      <c r="A1788" s="111">
        <v>186</v>
      </c>
      <c r="B1788" s="128" t="str">
        <f t="shared" si="1301"/>
        <v>N</v>
      </c>
      <c r="C1788" s="128" t="str">
        <f t="shared" si="1302"/>
        <v>N</v>
      </c>
      <c r="D1788" s="117">
        <v>2283550</v>
      </c>
      <c r="E1788" s="135">
        <f t="shared" si="1303"/>
        <v>4</v>
      </c>
      <c r="F1788" s="124">
        <v>40917</v>
      </c>
      <c r="G1788" s="125">
        <v>41102</v>
      </c>
      <c r="H1788" s="117">
        <v>2283550</v>
      </c>
      <c r="I1788" s="124">
        <v>40918</v>
      </c>
      <c r="J1788" s="124">
        <v>41102</v>
      </c>
      <c r="K1788" s="126">
        <v>50000</v>
      </c>
      <c r="L1788" s="129" t="s">
        <v>572</v>
      </c>
      <c r="N1788" s="129" t="str">
        <f t="shared" si="1341"/>
        <v>N</v>
      </c>
      <c r="O1788" s="128" t="s">
        <v>917</v>
      </c>
      <c r="P1788" s="129" t="s">
        <v>39</v>
      </c>
      <c r="Q1788" s="111">
        <f t="shared" si="1337"/>
        <v>185</v>
      </c>
      <c r="R1788" s="111">
        <f t="shared" si="1327"/>
        <v>186</v>
      </c>
      <c r="S1788" s="129">
        <v>0</v>
      </c>
      <c r="T1788" s="129">
        <v>0</v>
      </c>
      <c r="W1788" s="111"/>
      <c r="AC1788" s="130"/>
      <c r="AD1788" s="130">
        <v>26454</v>
      </c>
      <c r="AE1788" s="128" t="s">
        <v>32</v>
      </c>
      <c r="AF1788" s="128" t="s">
        <v>69</v>
      </c>
      <c r="AG1788" s="128" t="s">
        <v>874</v>
      </c>
      <c r="AH1788" s="108" t="s">
        <v>31</v>
      </c>
      <c r="AI1788" s="128" t="s">
        <v>47</v>
      </c>
      <c r="AJ1788" s="129" t="s">
        <v>89</v>
      </c>
      <c r="AK1788" s="129">
        <v>8</v>
      </c>
      <c r="AL1788" s="3" t="s">
        <v>991</v>
      </c>
      <c r="AO1788" s="128">
        <v>90</v>
      </c>
      <c r="AP1788" s="129" t="s">
        <v>110</v>
      </c>
      <c r="AR1788" s="128" t="s">
        <v>50</v>
      </c>
      <c r="AS1788" s="129" t="s">
        <v>74</v>
      </c>
      <c r="BC1788" s="129" t="s">
        <v>52</v>
      </c>
      <c r="BF1788" s="111">
        <f t="shared" si="1334"/>
        <v>185</v>
      </c>
      <c r="BG1788" s="111">
        <f t="shared" si="1335"/>
        <v>185</v>
      </c>
      <c r="BH1788" s="111">
        <f t="shared" si="1297"/>
        <v>186</v>
      </c>
      <c r="BI1788" s="111">
        <f t="shared" si="1298"/>
        <v>39.516393442622949</v>
      </c>
      <c r="BJ1788" s="129">
        <f t="shared" si="1304"/>
        <v>0</v>
      </c>
      <c r="BK1788" s="129">
        <f t="shared" si="1299"/>
        <v>0</v>
      </c>
      <c r="BL1788" s="129" t="str">
        <f t="shared" si="1328"/>
        <v>CONVICTION</v>
      </c>
      <c r="BM1788" s="129" t="str">
        <f t="shared" si="1305"/>
        <v>NONE</v>
      </c>
      <c r="BN1788" s="129" t="s">
        <v>566</v>
      </c>
      <c r="BP1788" s="137" t="str">
        <f t="shared" si="1306"/>
        <v>CONVICTION</v>
      </c>
      <c r="BQ1788" s="128" t="str">
        <f t="shared" si="1307"/>
        <v>Y</v>
      </c>
      <c r="BR1788" s="129" t="str">
        <f t="shared" si="1308"/>
        <v>DETAINED</v>
      </c>
      <c r="BS1788" s="129" t="str">
        <f t="shared" si="1309"/>
        <v>DISPOSED</v>
      </c>
      <c r="BT1788" s="129" t="str">
        <f t="shared" si="1310"/>
        <v>N</v>
      </c>
      <c r="BU1788" s="109">
        <f t="shared" si="1311"/>
        <v>0.9946236559139785</v>
      </c>
      <c r="BV1788" s="109">
        <f t="shared" si="1312"/>
        <v>1</v>
      </c>
      <c r="BW1788" s="109">
        <f t="shared" si="1338"/>
        <v>5.3763440860215006E-3</v>
      </c>
      <c r="BX1788" s="111">
        <f t="shared" si="1313"/>
        <v>0</v>
      </c>
      <c r="BY1788" s="129">
        <f t="shared" si="1314"/>
        <v>-185</v>
      </c>
      <c r="BZ1788" s="111">
        <f t="shared" si="1315"/>
        <v>0</v>
      </c>
      <c r="CA1788" s="138">
        <f t="shared" si="1316"/>
        <v>185</v>
      </c>
      <c r="CB1788" s="111" t="e">
        <f t="shared" si="1336"/>
        <v>#VALUE!</v>
      </c>
      <c r="CC1788" s="129">
        <f>G1788-I1788+1</f>
        <v>185</v>
      </c>
      <c r="CD1788" s="129">
        <f>G1788-J1788</f>
        <v>0</v>
      </c>
      <c r="CG1788" s="129" t="str">
        <f t="shared" si="1317"/>
        <v>N</v>
      </c>
      <c r="CI1788" s="129" t="str">
        <f t="shared" si="1318"/>
        <v>121-365 DAYS</v>
      </c>
      <c r="CJ1788" s="137">
        <f t="shared" si="1319"/>
        <v>6</v>
      </c>
      <c r="CK1788" s="129" t="str">
        <f t="shared" si="1320"/>
        <v>Booked</v>
      </c>
    </row>
    <row r="1789" spans="1:89" ht="15.75" customHeight="1" x14ac:dyDescent="0.25">
      <c r="A1789" s="111">
        <v>1250</v>
      </c>
      <c r="B1789" s="128" t="str">
        <f t="shared" si="1301"/>
        <v>N</v>
      </c>
      <c r="C1789" s="128" t="str">
        <f t="shared" si="1302"/>
        <v>N</v>
      </c>
      <c r="D1789" s="117">
        <v>2284263</v>
      </c>
      <c r="E1789" s="135">
        <f t="shared" si="1303"/>
        <v>2</v>
      </c>
      <c r="F1789" s="124">
        <v>40954</v>
      </c>
      <c r="G1789" s="125">
        <v>41116</v>
      </c>
      <c r="H1789" s="117">
        <v>2284263</v>
      </c>
      <c r="I1789" s="124">
        <v>40956</v>
      </c>
      <c r="J1789" s="124">
        <v>40956</v>
      </c>
      <c r="K1789" s="126">
        <v>20000</v>
      </c>
      <c r="L1789" s="127" t="s">
        <v>571</v>
      </c>
      <c r="M1789" s="125">
        <v>40956</v>
      </c>
      <c r="N1789" s="129" t="str">
        <f t="shared" si="1341"/>
        <v>Y</v>
      </c>
      <c r="O1789" s="128" t="s">
        <v>585</v>
      </c>
      <c r="P1789" s="129" t="s">
        <v>589</v>
      </c>
      <c r="Q1789" s="111">
        <f t="shared" si="1337"/>
        <v>1</v>
      </c>
      <c r="R1789" s="111">
        <f t="shared" si="1327"/>
        <v>163</v>
      </c>
      <c r="S1789" s="129">
        <v>1</v>
      </c>
      <c r="T1789" s="129">
        <v>0</v>
      </c>
      <c r="U1789" s="129">
        <v>1</v>
      </c>
      <c r="W1789" s="111"/>
      <c r="AC1789" s="130"/>
      <c r="AD1789" s="130">
        <v>32382</v>
      </c>
      <c r="AE1789" s="128" t="s">
        <v>32</v>
      </c>
      <c r="AF1789" s="128" t="s">
        <v>69</v>
      </c>
      <c r="AG1789" s="128" t="s">
        <v>874</v>
      </c>
      <c r="AH1789" s="108" t="s">
        <v>31</v>
      </c>
      <c r="AI1789" s="128" t="s">
        <v>70</v>
      </c>
      <c r="AJ1789" s="129" t="s">
        <v>48</v>
      </c>
      <c r="AK1789" s="129">
        <v>8</v>
      </c>
      <c r="AL1789" s="3" t="s">
        <v>48</v>
      </c>
      <c r="AP1789" s="129" t="s">
        <v>93</v>
      </c>
      <c r="AR1789" s="128" t="s">
        <v>67</v>
      </c>
      <c r="AS1789" s="129" t="s">
        <v>45</v>
      </c>
      <c r="BC1789" s="129" t="s">
        <v>52</v>
      </c>
      <c r="BF1789" s="111">
        <f t="shared" si="1334"/>
        <v>1</v>
      </c>
      <c r="BG1789" s="111">
        <f t="shared" si="1335"/>
        <v>161</v>
      </c>
      <c r="BH1789" s="111">
        <f t="shared" si="1297"/>
        <v>163</v>
      </c>
      <c r="BI1789" s="111">
        <f t="shared" si="1298"/>
        <v>23.420765027322403</v>
      </c>
      <c r="BJ1789" s="129">
        <f>(G1789-J1789)+(M1789-G1789)</f>
        <v>0</v>
      </c>
      <c r="BK1789" s="129">
        <f t="shared" si="1299"/>
        <v>-160</v>
      </c>
      <c r="BL1789" s="129" t="str">
        <f t="shared" si="1328"/>
        <v>DEFERRED</v>
      </c>
      <c r="BM1789" s="129" t="s">
        <v>76</v>
      </c>
      <c r="BN1789" s="129" t="s">
        <v>88</v>
      </c>
      <c r="BP1789" s="137" t="str">
        <f t="shared" si="1306"/>
        <v>DEFERRED</v>
      </c>
      <c r="BQ1789" s="128" t="str">
        <f t="shared" si="1307"/>
        <v>Y</v>
      </c>
      <c r="BR1789" s="129" t="str">
        <f t="shared" si="1308"/>
        <v>ON BOND</v>
      </c>
      <c r="BS1789" s="129" t="str">
        <f t="shared" si="1309"/>
        <v>DISPOSED</v>
      </c>
      <c r="BT1789" s="129" t="str">
        <f t="shared" si="1310"/>
        <v>Y</v>
      </c>
      <c r="BU1789" s="109">
        <f t="shared" si="1311"/>
        <v>6.1349693251533744E-3</v>
      </c>
      <c r="BV1789" s="109">
        <f t="shared" si="1312"/>
        <v>6.2111801242236021E-3</v>
      </c>
      <c r="BW1789" s="109">
        <f t="shared" si="1338"/>
        <v>7.6210799070227687E-5</v>
      </c>
      <c r="BX1789" s="111">
        <f t="shared" si="1313"/>
        <v>0</v>
      </c>
      <c r="BY1789" s="129">
        <f t="shared" si="1314"/>
        <v>-1</v>
      </c>
      <c r="BZ1789" s="111">
        <f t="shared" si="1315"/>
        <v>0</v>
      </c>
      <c r="CA1789" s="138">
        <f t="shared" si="1316"/>
        <v>1</v>
      </c>
      <c r="CB1789" s="111" t="e">
        <f t="shared" si="1336"/>
        <v>#VALUE!</v>
      </c>
      <c r="CC1789" s="129">
        <f>M1789-I1789+1</f>
        <v>1</v>
      </c>
      <c r="CD1789" s="111">
        <f>CC1789-BF1789</f>
        <v>0</v>
      </c>
      <c r="CG1789" s="129" t="str">
        <f t="shared" si="1317"/>
        <v>Y</v>
      </c>
      <c r="CI1789" s="129" t="str">
        <f t="shared" si="1318"/>
        <v>0-10 DAYS</v>
      </c>
      <c r="CJ1789" s="137">
        <f t="shared" si="1319"/>
        <v>1</v>
      </c>
      <c r="CK1789" s="129" t="str">
        <f t="shared" si="1320"/>
        <v>Booked</v>
      </c>
    </row>
    <row r="1790" spans="1:89" ht="15" customHeight="1" x14ac:dyDescent="0.25">
      <c r="A1790" s="111">
        <v>560</v>
      </c>
      <c r="B1790" s="128" t="str">
        <f t="shared" si="1301"/>
        <v>N</v>
      </c>
      <c r="C1790" s="128" t="str">
        <f t="shared" si="1302"/>
        <v>N</v>
      </c>
      <c r="D1790" s="117">
        <v>2284756</v>
      </c>
      <c r="E1790" s="135">
        <f t="shared" si="1303"/>
        <v>6</v>
      </c>
      <c r="F1790" s="124">
        <v>40931</v>
      </c>
      <c r="G1790" s="125">
        <v>41043</v>
      </c>
      <c r="H1790" s="117">
        <v>2284756</v>
      </c>
      <c r="I1790" s="124">
        <v>40932</v>
      </c>
      <c r="J1790" s="124">
        <v>41043</v>
      </c>
      <c r="K1790" s="126" t="s">
        <v>564</v>
      </c>
      <c r="L1790" s="127" t="s">
        <v>564</v>
      </c>
      <c r="N1790" s="129" t="s">
        <v>566</v>
      </c>
      <c r="O1790" s="128" t="s">
        <v>917</v>
      </c>
      <c r="P1790" s="129" t="s">
        <v>39</v>
      </c>
      <c r="Q1790" s="111">
        <f t="shared" si="1337"/>
        <v>112</v>
      </c>
      <c r="R1790" s="111">
        <f t="shared" si="1327"/>
        <v>113</v>
      </c>
      <c r="S1790" s="129">
        <v>0</v>
      </c>
      <c r="T1790" s="129">
        <v>2</v>
      </c>
      <c r="W1790" s="111"/>
      <c r="AB1790" s="131" t="s">
        <v>112</v>
      </c>
      <c r="AC1790" s="130"/>
      <c r="AD1790" s="130">
        <v>26875</v>
      </c>
      <c r="AE1790" s="128" t="s">
        <v>32</v>
      </c>
      <c r="AF1790" s="128" t="s">
        <v>40</v>
      </c>
      <c r="AG1790" s="128" t="s">
        <v>41</v>
      </c>
      <c r="AH1790" s="108" t="s">
        <v>31</v>
      </c>
      <c r="AI1790" s="128" t="s">
        <v>80</v>
      </c>
      <c r="AJ1790" s="129" t="s">
        <v>89</v>
      </c>
      <c r="AK1790" s="129">
        <v>5</v>
      </c>
      <c r="AL1790" s="3" t="s">
        <v>362</v>
      </c>
      <c r="AM1790" s="117">
        <v>2</v>
      </c>
      <c r="AP1790" s="129" t="s">
        <v>110</v>
      </c>
      <c r="AR1790" s="128" t="s">
        <v>50</v>
      </c>
      <c r="AS1790" s="129" t="s">
        <v>74</v>
      </c>
      <c r="BC1790" s="129" t="s">
        <v>52</v>
      </c>
      <c r="BF1790" s="111">
        <f t="shared" si="1334"/>
        <v>112</v>
      </c>
      <c r="BG1790" s="111">
        <f t="shared" si="1335"/>
        <v>112</v>
      </c>
      <c r="BH1790" s="111">
        <f t="shared" si="1297"/>
        <v>113</v>
      </c>
      <c r="BI1790" s="111">
        <f t="shared" si="1298"/>
        <v>38.404371584699454</v>
      </c>
      <c r="BJ1790" s="129">
        <f t="shared" si="1304"/>
        <v>0</v>
      </c>
      <c r="BK1790" s="129">
        <f t="shared" si="1299"/>
        <v>0</v>
      </c>
      <c r="BL1790" s="129" t="str">
        <f t="shared" si="1328"/>
        <v>CONVICTION</v>
      </c>
      <c r="BM1790" s="129" t="str">
        <f t="shared" si="1305"/>
        <v>NONE</v>
      </c>
      <c r="BN1790" s="129" t="s">
        <v>566</v>
      </c>
      <c r="BP1790" s="137" t="str">
        <f t="shared" si="1306"/>
        <v>CONVICTION</v>
      </c>
      <c r="BQ1790" s="128" t="str">
        <f t="shared" si="1307"/>
        <v>Y</v>
      </c>
      <c r="BR1790" s="129" t="str">
        <f t="shared" si="1308"/>
        <v>DETAINED</v>
      </c>
      <c r="BS1790" s="129" t="str">
        <f t="shared" si="1309"/>
        <v>DISPOSED</v>
      </c>
      <c r="BT1790" s="129" t="str">
        <f t="shared" si="1310"/>
        <v>N</v>
      </c>
      <c r="BU1790" s="109">
        <f t="shared" si="1311"/>
        <v>0.99115044247787609</v>
      </c>
      <c r="BV1790" s="109">
        <f t="shared" si="1312"/>
        <v>1</v>
      </c>
      <c r="BW1790" s="109">
        <f t="shared" si="1338"/>
        <v>8.8495575221239076E-3</v>
      </c>
      <c r="BX1790" s="111">
        <f t="shared" si="1313"/>
        <v>0</v>
      </c>
      <c r="BY1790" s="129">
        <f t="shared" si="1314"/>
        <v>-112</v>
      </c>
      <c r="BZ1790" s="111">
        <f t="shared" si="1315"/>
        <v>0</v>
      </c>
      <c r="CA1790" s="138">
        <f t="shared" si="1316"/>
        <v>112</v>
      </c>
      <c r="CB1790" s="111" t="e">
        <f t="shared" si="1336"/>
        <v>#VALUE!</v>
      </c>
      <c r="CC1790" s="129">
        <f>G1790-I1790+1</f>
        <v>112</v>
      </c>
      <c r="CD1790" s="129">
        <f>G1790-J1790</f>
        <v>0</v>
      </c>
      <c r="CG1790" s="129" t="str">
        <f t="shared" si="1317"/>
        <v>Y</v>
      </c>
      <c r="CI1790" s="129" t="str">
        <f t="shared" si="1318"/>
        <v>91-120 DAYS</v>
      </c>
      <c r="CJ1790" s="137">
        <f t="shared" si="1319"/>
        <v>0</v>
      </c>
      <c r="CK1790" s="129" t="str">
        <f t="shared" si="1320"/>
        <v>Booked</v>
      </c>
    </row>
    <row r="1791" spans="1:89" ht="15" customHeight="1" x14ac:dyDescent="0.25">
      <c r="A1791" s="111">
        <v>1683</v>
      </c>
      <c r="B1791" s="128" t="str">
        <f t="shared" si="1301"/>
        <v>N</v>
      </c>
      <c r="C1791" s="128" t="str">
        <f t="shared" si="1302"/>
        <v>N</v>
      </c>
      <c r="D1791" s="117">
        <v>2284804</v>
      </c>
      <c r="E1791" s="135">
        <f t="shared" si="1303"/>
        <v>6</v>
      </c>
      <c r="F1791" s="124">
        <v>40970</v>
      </c>
      <c r="G1791" s="125">
        <v>41065</v>
      </c>
      <c r="H1791" s="117">
        <v>2284804</v>
      </c>
      <c r="I1791" s="124">
        <v>40971</v>
      </c>
      <c r="J1791" s="124">
        <v>41065</v>
      </c>
      <c r="K1791" s="126" t="s">
        <v>564</v>
      </c>
      <c r="L1791" s="127" t="s">
        <v>564</v>
      </c>
      <c r="N1791" s="129" t="s">
        <v>566</v>
      </c>
      <c r="O1791" s="128" t="s">
        <v>917</v>
      </c>
      <c r="P1791" s="129" t="s">
        <v>39</v>
      </c>
      <c r="Q1791" s="111">
        <f t="shared" si="1337"/>
        <v>95</v>
      </c>
      <c r="R1791" s="111">
        <f t="shared" si="1327"/>
        <v>96</v>
      </c>
      <c r="S1791" s="129">
        <v>1</v>
      </c>
      <c r="T1791" s="129">
        <v>3</v>
      </c>
      <c r="U1791" s="129">
        <v>1</v>
      </c>
      <c r="W1791" s="111"/>
      <c r="AC1791" s="130"/>
      <c r="AD1791" s="130">
        <v>31958</v>
      </c>
      <c r="AE1791" s="128" t="s">
        <v>32</v>
      </c>
      <c r="AF1791" s="128" t="s">
        <v>69</v>
      </c>
      <c r="AG1791" s="128" t="s">
        <v>874</v>
      </c>
      <c r="AH1791" s="108" t="s">
        <v>31</v>
      </c>
      <c r="AI1791" s="128" t="s">
        <v>95</v>
      </c>
      <c r="AJ1791" s="129" t="s">
        <v>89</v>
      </c>
      <c r="AK1791" s="129">
        <v>5</v>
      </c>
      <c r="AL1791" s="3" t="s">
        <v>362</v>
      </c>
      <c r="AM1791" s="117">
        <v>2</v>
      </c>
      <c r="AP1791" s="129" t="s">
        <v>151</v>
      </c>
      <c r="AR1791" s="128" t="s">
        <v>67</v>
      </c>
      <c r="AS1791" s="129" t="s">
        <v>64</v>
      </c>
      <c r="BC1791" s="129" t="s">
        <v>52</v>
      </c>
      <c r="BF1791" s="111">
        <f t="shared" si="1334"/>
        <v>95</v>
      </c>
      <c r="BG1791" s="111">
        <f t="shared" si="1335"/>
        <v>95</v>
      </c>
      <c r="BH1791" s="111">
        <f t="shared" si="1297"/>
        <v>96</v>
      </c>
      <c r="BI1791" s="111">
        <f t="shared" si="1298"/>
        <v>24.622950819672131</v>
      </c>
      <c r="BJ1791" s="129">
        <f t="shared" si="1304"/>
        <v>0</v>
      </c>
      <c r="BK1791" s="129">
        <f t="shared" si="1299"/>
        <v>0</v>
      </c>
      <c r="BL1791" s="129" t="str">
        <f t="shared" si="1328"/>
        <v>CONVICTION</v>
      </c>
      <c r="BM1791" s="129" t="str">
        <f t="shared" si="1305"/>
        <v>NONE</v>
      </c>
      <c r="BN1791" s="129" t="s">
        <v>566</v>
      </c>
      <c r="BP1791" s="137" t="str">
        <f t="shared" si="1306"/>
        <v>CONVICTION</v>
      </c>
      <c r="BQ1791" s="128" t="str">
        <f t="shared" si="1307"/>
        <v>Y</v>
      </c>
      <c r="BR1791" s="129" t="str">
        <f t="shared" si="1308"/>
        <v>DETAINED</v>
      </c>
      <c r="BS1791" s="129" t="str">
        <f t="shared" si="1309"/>
        <v>DISPOSED</v>
      </c>
      <c r="BT1791" s="129" t="str">
        <f t="shared" si="1310"/>
        <v>Y</v>
      </c>
      <c r="BU1791" s="109">
        <f t="shared" si="1311"/>
        <v>0.98958333333333337</v>
      </c>
      <c r="BV1791" s="109">
        <f t="shared" si="1312"/>
        <v>1</v>
      </c>
      <c r="BW1791" s="109">
        <f t="shared" si="1338"/>
        <v>1.041666666666663E-2</v>
      </c>
      <c r="BX1791" s="111">
        <f t="shared" si="1313"/>
        <v>0</v>
      </c>
      <c r="BY1791" s="129">
        <f t="shared" si="1314"/>
        <v>-95</v>
      </c>
      <c r="BZ1791" s="111">
        <f t="shared" si="1315"/>
        <v>0</v>
      </c>
      <c r="CA1791" s="138">
        <f t="shared" si="1316"/>
        <v>95</v>
      </c>
      <c r="CB1791" s="111" t="e">
        <f t="shared" si="1336"/>
        <v>#VALUE!</v>
      </c>
      <c r="CC1791" s="129">
        <f>G1791-I1791+1</f>
        <v>95</v>
      </c>
      <c r="CD1791" s="129">
        <f>G1791-J1791</f>
        <v>0</v>
      </c>
      <c r="CG1791" s="129" t="str">
        <f t="shared" si="1317"/>
        <v>Y</v>
      </c>
      <c r="CI1791" s="129" t="str">
        <f t="shared" si="1318"/>
        <v>91-120 DAYS</v>
      </c>
      <c r="CJ1791" s="137">
        <f t="shared" si="1319"/>
        <v>0</v>
      </c>
      <c r="CK1791" s="129" t="str">
        <f t="shared" si="1320"/>
        <v>Booked</v>
      </c>
    </row>
    <row r="1792" spans="1:89" ht="15.75" customHeight="1" x14ac:dyDescent="0.25">
      <c r="A1792" s="111">
        <v>535</v>
      </c>
      <c r="B1792" s="128" t="str">
        <f t="shared" si="1301"/>
        <v>N</v>
      </c>
      <c r="C1792" s="128" t="str">
        <f t="shared" si="1302"/>
        <v>N</v>
      </c>
      <c r="D1792" s="117">
        <v>2285632</v>
      </c>
      <c r="E1792" s="135">
        <f t="shared" si="1303"/>
        <v>6</v>
      </c>
      <c r="F1792" s="124">
        <v>40930</v>
      </c>
      <c r="G1792" s="125">
        <v>40988</v>
      </c>
      <c r="H1792" s="117">
        <v>2285632</v>
      </c>
      <c r="I1792" s="124">
        <v>40930</v>
      </c>
      <c r="J1792" s="124">
        <v>40988</v>
      </c>
      <c r="K1792" s="126">
        <v>5000</v>
      </c>
      <c r="L1792" s="127" t="s">
        <v>569</v>
      </c>
      <c r="N1792" s="129" t="str">
        <f>IF(M1792&gt;1/1/1,"Y","N")</f>
        <v>N</v>
      </c>
      <c r="O1792" s="128" t="s">
        <v>917</v>
      </c>
      <c r="P1792" s="129" t="s">
        <v>39</v>
      </c>
      <c r="Q1792" s="111">
        <f t="shared" si="1337"/>
        <v>59</v>
      </c>
      <c r="R1792" s="111">
        <f t="shared" si="1327"/>
        <v>59</v>
      </c>
      <c r="S1792" s="129">
        <v>0</v>
      </c>
      <c r="T1792" s="129">
        <v>3</v>
      </c>
      <c r="W1792" s="111"/>
      <c r="AC1792" s="130"/>
      <c r="AD1792" s="130">
        <v>29395</v>
      </c>
      <c r="AE1792" s="128" t="s">
        <v>32</v>
      </c>
      <c r="AF1792" s="128" t="s">
        <v>40</v>
      </c>
      <c r="AG1792" s="128" t="s">
        <v>41</v>
      </c>
      <c r="AH1792" s="108" t="s">
        <v>41</v>
      </c>
      <c r="AI1792" s="128" t="s">
        <v>42</v>
      </c>
      <c r="AJ1792" s="129" t="s">
        <v>89</v>
      </c>
      <c r="AK1792" s="129">
        <v>3</v>
      </c>
      <c r="AL1792" s="3" t="s">
        <v>362</v>
      </c>
      <c r="AM1792" s="117">
        <v>2</v>
      </c>
      <c r="AP1792" s="129" t="s">
        <v>66</v>
      </c>
      <c r="AR1792" s="128" t="s">
        <v>67</v>
      </c>
      <c r="AS1792" s="129" t="s">
        <v>68</v>
      </c>
      <c r="BC1792" s="129" t="s">
        <v>99</v>
      </c>
      <c r="BF1792" s="111">
        <f t="shared" si="1334"/>
        <v>59</v>
      </c>
      <c r="BG1792" s="111">
        <f t="shared" si="1335"/>
        <v>59</v>
      </c>
      <c r="BH1792" s="111">
        <f t="shared" si="1297"/>
        <v>59</v>
      </c>
      <c r="BI1792" s="111">
        <f t="shared" si="1298"/>
        <v>31.516393442622952</v>
      </c>
      <c r="BJ1792" s="129">
        <f t="shared" si="1304"/>
        <v>0</v>
      </c>
      <c r="BK1792" s="129">
        <f t="shared" si="1299"/>
        <v>0</v>
      </c>
      <c r="BL1792" s="129" t="str">
        <f t="shared" si="1328"/>
        <v>CONVICTION</v>
      </c>
      <c r="BM1792" s="129" t="str">
        <f t="shared" si="1305"/>
        <v>NONE</v>
      </c>
      <c r="BN1792" s="129" t="s">
        <v>566</v>
      </c>
      <c r="BP1792" s="137" t="str">
        <f t="shared" si="1306"/>
        <v>CONVICTION</v>
      </c>
      <c r="BQ1792" s="128" t="str">
        <f t="shared" si="1307"/>
        <v>Y</v>
      </c>
      <c r="BR1792" s="129" t="str">
        <f t="shared" si="1308"/>
        <v>DETAINED</v>
      </c>
      <c r="BS1792" s="129" t="str">
        <f t="shared" si="1309"/>
        <v>DISPOSED</v>
      </c>
      <c r="BT1792" s="129" t="str">
        <f t="shared" si="1310"/>
        <v>N</v>
      </c>
      <c r="BU1792" s="109">
        <f t="shared" si="1311"/>
        <v>1</v>
      </c>
      <c r="BV1792" s="109">
        <f t="shared" si="1312"/>
        <v>1</v>
      </c>
      <c r="BW1792" s="109">
        <f t="shared" si="1338"/>
        <v>0</v>
      </c>
      <c r="BX1792" s="111">
        <f t="shared" si="1313"/>
        <v>0</v>
      </c>
      <c r="BY1792" s="129">
        <f t="shared" si="1314"/>
        <v>-59</v>
      </c>
      <c r="BZ1792" s="111">
        <f t="shared" si="1315"/>
        <v>0</v>
      </c>
      <c r="CA1792" s="138">
        <f t="shared" si="1316"/>
        <v>59</v>
      </c>
      <c r="CB1792" s="111" t="e">
        <f t="shared" si="1336"/>
        <v>#VALUE!</v>
      </c>
      <c r="CC1792" s="129">
        <f>G1792-I1792+1</f>
        <v>59</v>
      </c>
      <c r="CD1792" s="129">
        <f>G1792-J1792</f>
        <v>0</v>
      </c>
      <c r="CG1792" s="129" t="str">
        <f t="shared" si="1317"/>
        <v>Y</v>
      </c>
      <c r="CI1792" s="129" t="str">
        <f t="shared" si="1318"/>
        <v>31-60 DAYS</v>
      </c>
      <c r="CJ1792" s="137">
        <f t="shared" si="1319"/>
        <v>3</v>
      </c>
      <c r="CK1792" s="129" t="str">
        <f t="shared" si="1320"/>
        <v>Booked</v>
      </c>
    </row>
    <row r="1793" spans="1:89" ht="15.75" customHeight="1" x14ac:dyDescent="0.25">
      <c r="A1793" s="111">
        <v>2608</v>
      </c>
      <c r="B1793" s="128" t="str">
        <f t="shared" si="1301"/>
        <v>N</v>
      </c>
      <c r="C1793" s="128" t="str">
        <f t="shared" si="1302"/>
        <v>N</v>
      </c>
      <c r="D1793" s="117">
        <v>2286269</v>
      </c>
      <c r="E1793" s="135">
        <f t="shared" si="1303"/>
        <v>2</v>
      </c>
      <c r="F1793" s="124">
        <v>41005</v>
      </c>
      <c r="G1793" s="125">
        <v>41047</v>
      </c>
      <c r="H1793" s="117">
        <v>2286269</v>
      </c>
      <c r="I1793" s="124" t="s">
        <v>562</v>
      </c>
      <c r="J1793" s="124" t="s">
        <v>562</v>
      </c>
      <c r="K1793" s="126">
        <v>5000</v>
      </c>
      <c r="L1793" s="127" t="s">
        <v>569</v>
      </c>
      <c r="M1793" s="125">
        <v>41006</v>
      </c>
      <c r="N1793" s="129" t="str">
        <f>IF(M1793&gt;1/1/1,"Y",IF(Q1793="0","","N"))</f>
        <v>Y</v>
      </c>
      <c r="O1793" s="128" t="s">
        <v>76</v>
      </c>
      <c r="P1793" s="129" t="s">
        <v>589</v>
      </c>
      <c r="Q1793" s="111">
        <f t="shared" si="1337"/>
        <v>0</v>
      </c>
      <c r="R1793" s="111">
        <f t="shared" si="1327"/>
        <v>43</v>
      </c>
      <c r="S1793" s="129">
        <v>1</v>
      </c>
      <c r="T1793" s="129">
        <v>1</v>
      </c>
      <c r="W1793" s="111"/>
      <c r="AC1793" s="130"/>
      <c r="AD1793" s="130">
        <v>26879</v>
      </c>
      <c r="AE1793" s="128" t="s">
        <v>32</v>
      </c>
      <c r="AF1793" s="128" t="s">
        <v>69</v>
      </c>
      <c r="AG1793" s="128" t="s">
        <v>874</v>
      </c>
      <c r="AH1793" s="108" t="s">
        <v>58</v>
      </c>
      <c r="AI1793" s="128" t="s">
        <v>62</v>
      </c>
      <c r="AJ1793" s="129" t="s">
        <v>48</v>
      </c>
      <c r="AK1793" s="129">
        <v>3</v>
      </c>
      <c r="AL1793" s="3" t="s">
        <v>48</v>
      </c>
      <c r="AP1793" s="129" t="s">
        <v>108</v>
      </c>
      <c r="AR1793" s="128" t="s">
        <v>44</v>
      </c>
      <c r="AS1793" s="129" t="s">
        <v>61</v>
      </c>
      <c r="BC1793" s="129" t="s">
        <v>38</v>
      </c>
      <c r="BF1793" s="111">
        <v>0</v>
      </c>
      <c r="BG1793" s="111">
        <v>0</v>
      </c>
      <c r="BH1793" s="111">
        <f t="shared" ref="BH1793:BH1856" si="1342">IF(G1793&gt;1/1/1900,((G1793+1)-F1793),"STILL OPEN")</f>
        <v>43</v>
      </c>
      <c r="BI1793" s="111">
        <f t="shared" ref="BI1793:BI1856" si="1343">(F1793-AD1793)/366</f>
        <v>38.595628415300546</v>
      </c>
      <c r="BJ1793" s="129" t="e">
        <f>(G1793-J1793)+(M1793-G1793)</f>
        <v>#VALUE!</v>
      </c>
      <c r="BK1793" s="129" t="e">
        <f t="shared" ref="BK1793:BK1856" si="1344">J1793-G1793</f>
        <v>#VALUE!</v>
      </c>
      <c r="BL1793" s="129" t="str">
        <f t="shared" si="1328"/>
        <v>DEFERRED</v>
      </c>
      <c r="BM1793" s="129" t="s">
        <v>76</v>
      </c>
      <c r="BN1793" s="129" t="s">
        <v>88</v>
      </c>
      <c r="BP1793" s="137" t="str">
        <f t="shared" si="1306"/>
        <v>DEFERRED</v>
      </c>
      <c r="BQ1793" s="128">
        <f t="shared" si="1307"/>
        <v>0</v>
      </c>
      <c r="BR1793" s="129" t="s">
        <v>575</v>
      </c>
      <c r="BS1793" s="129" t="str">
        <f t="shared" si="1309"/>
        <v>DISPOSED</v>
      </c>
      <c r="BT1793" s="129" t="str">
        <f t="shared" si="1310"/>
        <v>Y</v>
      </c>
      <c r="BU1793" s="109">
        <f t="shared" si="1311"/>
        <v>0</v>
      </c>
      <c r="BV1793" s="109">
        <v>0</v>
      </c>
      <c r="BW1793" s="109">
        <f t="shared" si="1338"/>
        <v>0</v>
      </c>
      <c r="BX1793" s="111">
        <f t="shared" si="1313"/>
        <v>0</v>
      </c>
      <c r="BY1793" s="129" t="e">
        <f t="shared" si="1314"/>
        <v>#VALUE!</v>
      </c>
      <c r="BZ1793" s="111" t="e">
        <f t="shared" si="1315"/>
        <v>#VALUE!</v>
      </c>
      <c r="CA1793" s="138" t="e">
        <f t="shared" si="1316"/>
        <v>#VALUE!</v>
      </c>
      <c r="CB1793" s="111">
        <v>0</v>
      </c>
      <c r="CC1793" s="129">
        <v>0</v>
      </c>
      <c r="CD1793" s="111">
        <f>CC1793-BF1793</f>
        <v>0</v>
      </c>
      <c r="CG1793" s="129" t="str">
        <f t="shared" si="1317"/>
        <v>Y</v>
      </c>
      <c r="CI1793" s="129" t="str">
        <f t="shared" si="1318"/>
        <v>0-10 DAYS</v>
      </c>
      <c r="CJ1793" s="137">
        <f t="shared" si="1319"/>
        <v>1</v>
      </c>
      <c r="CK1793" s="129" t="str">
        <f t="shared" si="1320"/>
        <v>Not Booked</v>
      </c>
    </row>
    <row r="1794" spans="1:89" ht="15.75" customHeight="1" x14ac:dyDescent="0.25">
      <c r="A1794" s="111">
        <v>3018</v>
      </c>
      <c r="B1794" s="128" t="str">
        <f t="shared" ref="B1794:B1857" si="1345">IF(BD1794&lt;&gt;"","Y","N")</f>
        <v>N</v>
      </c>
      <c r="C1794" s="128" t="str">
        <f t="shared" ref="C1794:C1857" si="1346">IF((AND(AV1794="",AX1794="",AY1794="")),"N","Y")</f>
        <v>N</v>
      </c>
      <c r="D1794" s="117">
        <v>2286388</v>
      </c>
      <c r="E1794" s="135">
        <f t="shared" ref="E1794:E1857" si="1347">IF(OR(AL1794="ACQUITTAL",AL1794="ACQUIT",AL1794="acq insane",AL1794="DISMISSED",AL1794="NO BILL"),1,IF(AL1794="DEFERRED",2,IF(AL1794="PROBATION",3,IF(OR(AL1794="HCJ",AL1794="fine"),4,IF(AL1794="STJ",5,IF(AL1794="TDC",6,""))))))</f>
        <v>5</v>
      </c>
      <c r="F1794" s="124">
        <v>41020</v>
      </c>
      <c r="G1794" s="125">
        <v>41053</v>
      </c>
      <c r="H1794" s="117">
        <v>2286388</v>
      </c>
      <c r="I1794" s="124">
        <v>41020</v>
      </c>
      <c r="J1794" s="124">
        <v>41053</v>
      </c>
      <c r="K1794" s="126">
        <v>15000</v>
      </c>
      <c r="L1794" s="127" t="s">
        <v>571</v>
      </c>
      <c r="N1794" s="129" t="str">
        <f>IF(M1794&gt;1/1/1,"Y","N")</f>
        <v>N</v>
      </c>
      <c r="O1794" s="128" t="s">
        <v>917</v>
      </c>
      <c r="P1794" s="129" t="s">
        <v>39</v>
      </c>
      <c r="Q1794" s="111">
        <f t="shared" si="1337"/>
        <v>34</v>
      </c>
      <c r="R1794" s="111">
        <f t="shared" si="1327"/>
        <v>34</v>
      </c>
      <c r="S1794" s="129">
        <v>6</v>
      </c>
      <c r="T1794" s="129">
        <v>3</v>
      </c>
      <c r="U1794" s="129">
        <v>3</v>
      </c>
      <c r="W1794" s="111"/>
      <c r="AC1794" s="130"/>
      <c r="AD1794" s="130">
        <v>27326</v>
      </c>
      <c r="AE1794" s="128" t="s">
        <v>46</v>
      </c>
      <c r="AF1794" s="128" t="s">
        <v>33</v>
      </c>
      <c r="AG1794" s="128" t="s">
        <v>872</v>
      </c>
      <c r="AH1794" s="108" t="s">
        <v>31</v>
      </c>
      <c r="AI1794" s="128" t="s">
        <v>90</v>
      </c>
      <c r="AJ1794" s="129" t="s">
        <v>89</v>
      </c>
      <c r="AK1794" s="129">
        <v>2</v>
      </c>
      <c r="AL1794" s="3" t="s">
        <v>992</v>
      </c>
      <c r="AN1794" s="117">
        <v>6</v>
      </c>
      <c r="AP1794" s="129" t="s">
        <v>43</v>
      </c>
      <c r="AR1794" s="128" t="s">
        <v>44</v>
      </c>
      <c r="AS1794" s="129" t="s">
        <v>45</v>
      </c>
      <c r="BC1794" s="129" t="s">
        <v>38</v>
      </c>
      <c r="BF1794" s="111">
        <f t="shared" ref="BF1794:BF1801" si="1348">IF(J1794&gt;1/1/1900,((J1794+1)-I1794),"STILL OPEN")</f>
        <v>34</v>
      </c>
      <c r="BG1794" s="111">
        <f t="shared" ref="BG1794:BG1802" si="1349">IF(G1794&gt;1/1/1900,((G1794+1)-I1794),"STILL OPEN")</f>
        <v>34</v>
      </c>
      <c r="BH1794" s="111">
        <f t="shared" si="1342"/>
        <v>34</v>
      </c>
      <c r="BI1794" s="111">
        <f t="shared" si="1343"/>
        <v>37.415300546448087</v>
      </c>
      <c r="BJ1794" s="129">
        <f t="shared" ref="BJ1794:BJ1854" si="1350">G1794-J1794-M1794</f>
        <v>0</v>
      </c>
      <c r="BK1794" s="129">
        <f t="shared" si="1344"/>
        <v>0</v>
      </c>
      <c r="BL1794" s="129" t="str">
        <f t="shared" si="1328"/>
        <v>CONVICTION</v>
      </c>
      <c r="BM1794" s="129" t="str">
        <f t="shared" ref="BM1794:BM1854" si="1351">O1794</f>
        <v>NONE</v>
      </c>
      <c r="BN1794" s="129" t="s">
        <v>566</v>
      </c>
      <c r="BP1794" s="137" t="str">
        <f t="shared" ref="BP1794:BP1857" si="1352">IF(OR(AJ1794="AQUITTAL",AJ1794="DISMISSED",AJ1794="FINE",AJ1794="NO BILL"),"NO CONVICTION",IF(OR(AJ1794="HCJ",AJ1794="MHH",AJ1794="PROBATION",AJ1794="STJ",AJ1794="TDC",AJ1794="CONVICTED"),"CONVICTION",IF(AJ1794="DEFERRED","DEFERRED","")))</f>
        <v>CONVICTION</v>
      </c>
      <c r="BQ1794" s="128" t="str">
        <f t="shared" ref="BQ1794:BQ1857" si="1353">IF(BF1794&gt;0,"Y",BF1794)</f>
        <v>Y</v>
      </c>
      <c r="BR1794" s="129" t="str">
        <f t="shared" ref="BR1794:BR1857" si="1354">IF(AND(J1794="NOT BOOKED",M1794&gt;1/1/1),"BONDED - BEFORE BOOKED",IF(BG1794="STILL OPEN","STILL OPEN",IF(N1794="Y","ON BOND",IF(J1794&gt;=G1794,"DETAINED","RELEASED"))))</f>
        <v>DETAINED</v>
      </c>
      <c r="BS1794" s="129" t="str">
        <f t="shared" ref="BS1794:BS1857" si="1355">IF(G1794&lt;&gt;"","DISPOSED","")</f>
        <v>DISPOSED</v>
      </c>
      <c r="BT1794" s="129" t="str">
        <f t="shared" ref="BT1794:BT1857" si="1356">IF(S1794&gt;0,"Y","N")</f>
        <v>Y</v>
      </c>
      <c r="BU1794" s="109">
        <f t="shared" ref="BU1794:BU1856" si="1357">Q1794/R1794</f>
        <v>1</v>
      </c>
      <c r="BV1794" s="109">
        <f t="shared" ref="BV1794:BV1857" si="1358">IF(I1794&gt;F1794,((J1794-I1794+1)/(G1794-I1794+1)),(J1794-I1794+1)/(G1794-F1794+1))</f>
        <v>1</v>
      </c>
      <c r="BW1794" s="109">
        <f t="shared" si="1338"/>
        <v>0</v>
      </c>
      <c r="BX1794" s="111">
        <f t="shared" ref="BX1794:BX1857" si="1359">+Q1794-BF1794</f>
        <v>0</v>
      </c>
      <c r="BY1794" s="129">
        <f t="shared" ref="BY1794:BY1857" si="1360">I1794-J1794-1</f>
        <v>-34</v>
      </c>
      <c r="BZ1794" s="111">
        <f t="shared" ref="BZ1794:BZ1857" si="1361">BY1794+BF1794</f>
        <v>0</v>
      </c>
      <c r="CA1794" s="138">
        <f t="shared" ref="CA1794:CA1857" si="1362">IF(AND(BS1794="DISPOSED",BR1794="DETAINED"),G1794-I1794+1,IF(AND(BS1794="DISPOSED",BR1794="ON BOND"),M1794-I1794+1,IF(AND(BS1794="STILL OPEN","STILL OPEN"),"NOT BOOKED")))</f>
        <v>34</v>
      </c>
      <c r="CB1794" s="111" t="e">
        <f t="shared" ref="CB1794:CB1802" si="1363">IF(AF1794&gt;1/1/1900,((AF1794+1)-AE1794),"STILL OPEN")</f>
        <v>#VALUE!</v>
      </c>
      <c r="CC1794" s="129">
        <f>G1794-I1794+1</f>
        <v>34</v>
      </c>
      <c r="CD1794" s="129">
        <f>G1794-J1794</f>
        <v>0</v>
      </c>
      <c r="CG1794" s="129" t="str">
        <f t="shared" ref="CG1794:CG1857" si="1364">IF((S1794+T1794+U1794)&gt;0,"Y","N")</f>
        <v>Y</v>
      </c>
      <c r="CI1794" s="129" t="str">
        <f t="shared" si="1318"/>
        <v>31-60 DAYS</v>
      </c>
      <c r="CJ1794" s="137">
        <f t="shared" si="1319"/>
        <v>3</v>
      </c>
      <c r="CK1794" s="129" t="str">
        <f t="shared" si="1320"/>
        <v>Booked</v>
      </c>
    </row>
    <row r="1795" spans="1:89" ht="15" customHeight="1" x14ac:dyDescent="0.25">
      <c r="A1795" s="111">
        <v>2879</v>
      </c>
      <c r="B1795" s="128" t="str">
        <f t="shared" si="1345"/>
        <v>N</v>
      </c>
      <c r="C1795" s="128" t="str">
        <f t="shared" si="1346"/>
        <v>N</v>
      </c>
      <c r="D1795" s="117">
        <v>2287109</v>
      </c>
      <c r="E1795" s="135">
        <f t="shared" si="1347"/>
        <v>6</v>
      </c>
      <c r="F1795" s="124">
        <v>41016</v>
      </c>
      <c r="G1795" s="125">
        <v>41222</v>
      </c>
      <c r="H1795" s="117">
        <v>2287109</v>
      </c>
      <c r="I1795" s="124">
        <v>41016</v>
      </c>
      <c r="J1795" s="125">
        <v>41222</v>
      </c>
      <c r="K1795" s="126" t="s">
        <v>564</v>
      </c>
      <c r="L1795" s="127" t="s">
        <v>564</v>
      </c>
      <c r="N1795" s="129" t="s">
        <v>566</v>
      </c>
      <c r="O1795" s="128" t="s">
        <v>917</v>
      </c>
      <c r="P1795" s="129" t="s">
        <v>39</v>
      </c>
      <c r="Q1795" s="111">
        <f t="shared" si="1337"/>
        <v>207</v>
      </c>
      <c r="R1795" s="111">
        <f t="shared" si="1327"/>
        <v>207</v>
      </c>
      <c r="S1795" s="129">
        <v>2</v>
      </c>
      <c r="T1795" s="129">
        <v>3</v>
      </c>
      <c r="U1795" s="129">
        <v>2</v>
      </c>
      <c r="W1795" s="111"/>
      <c r="AC1795" s="130"/>
      <c r="AD1795" s="130">
        <v>31334</v>
      </c>
      <c r="AE1795" s="128" t="s">
        <v>32</v>
      </c>
      <c r="AF1795" s="128" t="s">
        <v>40</v>
      </c>
      <c r="AG1795" s="128" t="s">
        <v>41</v>
      </c>
      <c r="AH1795" s="108" t="s">
        <v>41</v>
      </c>
      <c r="AI1795" s="128" t="s">
        <v>83</v>
      </c>
      <c r="AJ1795" s="129" t="s">
        <v>89</v>
      </c>
      <c r="AK1795" s="129">
        <v>8</v>
      </c>
      <c r="AL1795" s="3" t="s">
        <v>362</v>
      </c>
      <c r="AM1795" s="117">
        <v>2</v>
      </c>
      <c r="AP1795" s="129" t="s">
        <v>93</v>
      </c>
      <c r="AR1795" s="128" t="s">
        <v>67</v>
      </c>
      <c r="AS1795" s="129" t="s">
        <v>45</v>
      </c>
      <c r="BC1795" s="129" t="s">
        <v>38</v>
      </c>
      <c r="BF1795" s="111">
        <f t="shared" si="1348"/>
        <v>207</v>
      </c>
      <c r="BG1795" s="111">
        <f t="shared" si="1349"/>
        <v>207</v>
      </c>
      <c r="BH1795" s="111">
        <f t="shared" si="1342"/>
        <v>207</v>
      </c>
      <c r="BI1795" s="111">
        <f t="shared" si="1343"/>
        <v>26.453551912568305</v>
      </c>
      <c r="BJ1795" s="129">
        <f t="shared" si="1350"/>
        <v>0</v>
      </c>
      <c r="BK1795" s="129">
        <f t="shared" si="1344"/>
        <v>0</v>
      </c>
      <c r="BL1795" s="129" t="str">
        <f t="shared" si="1328"/>
        <v>CONVICTION</v>
      </c>
      <c r="BM1795" s="129" t="str">
        <f t="shared" si="1351"/>
        <v>NONE</v>
      </c>
      <c r="BN1795" s="129" t="s">
        <v>566</v>
      </c>
      <c r="BP1795" s="137" t="str">
        <f t="shared" si="1352"/>
        <v>CONVICTION</v>
      </c>
      <c r="BQ1795" s="128" t="str">
        <f t="shared" si="1353"/>
        <v>Y</v>
      </c>
      <c r="BR1795" s="129" t="str">
        <f t="shared" si="1354"/>
        <v>DETAINED</v>
      </c>
      <c r="BS1795" s="129" t="str">
        <f t="shared" si="1355"/>
        <v>DISPOSED</v>
      </c>
      <c r="BT1795" s="129" t="str">
        <f t="shared" si="1356"/>
        <v>Y</v>
      </c>
      <c r="BU1795" s="109">
        <f t="shared" si="1357"/>
        <v>1</v>
      </c>
      <c r="BV1795" s="109">
        <f t="shared" si="1358"/>
        <v>1</v>
      </c>
      <c r="BW1795" s="109">
        <f t="shared" si="1338"/>
        <v>0</v>
      </c>
      <c r="BX1795" s="111">
        <f t="shared" si="1359"/>
        <v>0</v>
      </c>
      <c r="BY1795" s="129">
        <f t="shared" si="1360"/>
        <v>-207</v>
      </c>
      <c r="BZ1795" s="111">
        <f t="shared" si="1361"/>
        <v>0</v>
      </c>
      <c r="CA1795" s="138">
        <f t="shared" si="1362"/>
        <v>207</v>
      </c>
      <c r="CB1795" s="111" t="e">
        <f t="shared" si="1363"/>
        <v>#VALUE!</v>
      </c>
      <c r="CC1795" s="129">
        <f>G1795-I1795+1</f>
        <v>207</v>
      </c>
      <c r="CD1795" s="129">
        <f>G1795-J1795</f>
        <v>0</v>
      </c>
      <c r="CG1795" s="129" t="str">
        <f t="shared" si="1364"/>
        <v>Y</v>
      </c>
      <c r="CI1795" s="129" t="str">
        <f t="shared" ref="CI1795:CI1858" si="1365">IF(BF1795&lt;11,"0-10 DAYS",IF(AND(BF1795&gt;10,BF1795&lt;31),"11-30 DAYS",IF((AND(BF1795&gt;30,BF1795&lt;61)),"31-60 DAYS",IF(AND(BF1795&gt;60,BF1795&lt;91),"61-90 DAYS",IF(AND(BF1795&gt;90,BF1795&lt;121),"91-120 DAYS",IF(AND(BF1795&gt;120,BF1795&lt;366),"121-365 DAYS",IF(AND(BF1795&gt;365,BF1795&lt;730)," &gt;1YRS&lt;2YRS",IF(AND(BF1795&gt;729,BF1795&lt;1095),"&gt;2YRS&lt;3YRS",IF(BF1795&gt;1094,"&gt;3YRS")))))))))</f>
        <v>121-365 DAYS</v>
      </c>
      <c r="CJ1795" s="137">
        <f t="shared" ref="CJ1795:CJ1858" si="1366">IF(CI1795="0-10 DAYS",1,IF(CI1795="11-30 DAYS",2,IF(CI1795="31-60 DAYS",3,IF(CI1795="61-90 DAYS",4,IF(CK1795="91-120 DAYS",5,IF(CI1795="121-365 DAYS",6,IF(CI1795="&gt;1YRS&lt;2YRS",7,IF(CI1795="&gt;2YRS&lt;3YRS",8,IF(CI1795="&gt;3YRS",9,0)))))))))</f>
        <v>6</v>
      </c>
      <c r="CK1795" s="129" t="str">
        <f t="shared" ref="CK1795:CK1858" si="1367">IF(I1795="Not Booked","Not Booked","Booked")</f>
        <v>Booked</v>
      </c>
    </row>
    <row r="1796" spans="1:89" ht="15" customHeight="1" x14ac:dyDescent="0.25">
      <c r="A1796" s="111">
        <v>1839</v>
      </c>
      <c r="B1796" s="128" t="str">
        <f t="shared" si="1345"/>
        <v>N</v>
      </c>
      <c r="C1796" s="128" t="str">
        <f t="shared" si="1346"/>
        <v>N</v>
      </c>
      <c r="D1796" s="117">
        <v>2288053</v>
      </c>
      <c r="E1796" s="135">
        <f t="shared" si="1347"/>
        <v>6</v>
      </c>
      <c r="F1796" s="124">
        <v>40977</v>
      </c>
      <c r="G1796" s="125">
        <v>41305</v>
      </c>
      <c r="H1796" s="117">
        <v>2288053</v>
      </c>
      <c r="I1796" s="124">
        <v>40977</v>
      </c>
      <c r="J1796" s="125">
        <v>41305</v>
      </c>
      <c r="K1796" s="126">
        <v>40000</v>
      </c>
      <c r="L1796" s="129" t="s">
        <v>572</v>
      </c>
      <c r="N1796" s="129" t="str">
        <f>IF(M1796&gt;1/1/1,"Y","N")</f>
        <v>N</v>
      </c>
      <c r="O1796" s="128" t="s">
        <v>917</v>
      </c>
      <c r="P1796" s="129" t="s">
        <v>39</v>
      </c>
      <c r="Q1796" s="111">
        <f t="shared" si="1337"/>
        <v>329</v>
      </c>
      <c r="R1796" s="111">
        <f t="shared" si="1327"/>
        <v>329</v>
      </c>
      <c r="S1796" s="129">
        <v>1</v>
      </c>
      <c r="T1796" s="129">
        <v>7</v>
      </c>
      <c r="W1796" s="111"/>
      <c r="AC1796" s="130"/>
      <c r="AD1796" s="130">
        <v>32621</v>
      </c>
      <c r="AE1796" s="128" t="s">
        <v>32</v>
      </c>
      <c r="AF1796" s="128" t="s">
        <v>33</v>
      </c>
      <c r="AG1796" s="128" t="s">
        <v>872</v>
      </c>
      <c r="AH1796" s="108" t="s">
        <v>58</v>
      </c>
      <c r="AI1796" s="128" t="s">
        <v>47</v>
      </c>
      <c r="AJ1796" s="129" t="s">
        <v>89</v>
      </c>
      <c r="AK1796" s="129">
        <v>10</v>
      </c>
      <c r="AL1796" s="3" t="s">
        <v>362</v>
      </c>
      <c r="AM1796" s="117">
        <v>5</v>
      </c>
      <c r="AP1796" s="129" t="s">
        <v>132</v>
      </c>
      <c r="AR1796" s="128" t="s">
        <v>92</v>
      </c>
      <c r="AS1796" s="129" t="s">
        <v>82</v>
      </c>
      <c r="BC1796" s="129" t="s">
        <v>38</v>
      </c>
      <c r="BF1796" s="111">
        <f t="shared" si="1348"/>
        <v>329</v>
      </c>
      <c r="BG1796" s="111">
        <f t="shared" si="1349"/>
        <v>329</v>
      </c>
      <c r="BH1796" s="111">
        <f t="shared" si="1342"/>
        <v>329</v>
      </c>
      <c r="BI1796" s="111">
        <f t="shared" si="1343"/>
        <v>22.830601092896174</v>
      </c>
      <c r="BJ1796" s="129">
        <f t="shared" si="1350"/>
        <v>0</v>
      </c>
      <c r="BK1796" s="129">
        <f t="shared" si="1344"/>
        <v>0</v>
      </c>
      <c r="BL1796" s="129" t="str">
        <f t="shared" si="1328"/>
        <v>CONVICTION</v>
      </c>
      <c r="BM1796" s="129" t="str">
        <f t="shared" si="1351"/>
        <v>NONE</v>
      </c>
      <c r="BN1796" s="129" t="s">
        <v>566</v>
      </c>
      <c r="BP1796" s="137" t="str">
        <f t="shared" si="1352"/>
        <v>CONVICTION</v>
      </c>
      <c r="BQ1796" s="128" t="str">
        <f t="shared" si="1353"/>
        <v>Y</v>
      </c>
      <c r="BR1796" s="129" t="str">
        <f t="shared" si="1354"/>
        <v>DETAINED</v>
      </c>
      <c r="BS1796" s="129" t="str">
        <f t="shared" si="1355"/>
        <v>DISPOSED</v>
      </c>
      <c r="BT1796" s="129" t="str">
        <f t="shared" si="1356"/>
        <v>Y</v>
      </c>
      <c r="BU1796" s="109">
        <f t="shared" si="1357"/>
        <v>1</v>
      </c>
      <c r="BV1796" s="109">
        <f t="shared" si="1358"/>
        <v>1</v>
      </c>
      <c r="BW1796" s="109">
        <f t="shared" si="1338"/>
        <v>0</v>
      </c>
      <c r="BX1796" s="111">
        <f t="shared" si="1359"/>
        <v>0</v>
      </c>
      <c r="BY1796" s="129">
        <f t="shared" si="1360"/>
        <v>-329</v>
      </c>
      <c r="BZ1796" s="111">
        <f t="shared" si="1361"/>
        <v>0</v>
      </c>
      <c r="CA1796" s="138">
        <f t="shared" si="1362"/>
        <v>329</v>
      </c>
      <c r="CB1796" s="111" t="e">
        <f t="shared" si="1363"/>
        <v>#VALUE!</v>
      </c>
      <c r="CC1796" s="129">
        <f>G1796-I1796+1</f>
        <v>329</v>
      </c>
      <c r="CD1796" s="129">
        <f>G1796-J1796</f>
        <v>0</v>
      </c>
      <c r="CG1796" s="129" t="str">
        <f t="shared" si="1364"/>
        <v>Y</v>
      </c>
      <c r="CI1796" s="129" t="str">
        <f t="shared" si="1365"/>
        <v>121-365 DAYS</v>
      </c>
      <c r="CJ1796" s="137">
        <f t="shared" si="1366"/>
        <v>6</v>
      </c>
      <c r="CK1796" s="129" t="str">
        <f t="shared" si="1367"/>
        <v>Booked</v>
      </c>
    </row>
    <row r="1797" spans="1:89" ht="15.75" customHeight="1" x14ac:dyDescent="0.25">
      <c r="A1797" s="111">
        <v>2181</v>
      </c>
      <c r="B1797" s="128" t="str">
        <f t="shared" si="1345"/>
        <v>N</v>
      </c>
      <c r="C1797" s="128" t="str">
        <f t="shared" si="1346"/>
        <v>N</v>
      </c>
      <c r="D1797" s="117">
        <v>2289925</v>
      </c>
      <c r="E1797" s="135">
        <f t="shared" si="1347"/>
        <v>2</v>
      </c>
      <c r="F1797" s="124">
        <v>40990</v>
      </c>
      <c r="G1797" s="125">
        <v>41177</v>
      </c>
      <c r="H1797" s="117">
        <v>2289925</v>
      </c>
      <c r="I1797" s="124">
        <v>40990</v>
      </c>
      <c r="J1797" s="124">
        <v>41177</v>
      </c>
      <c r="K1797" s="126" t="s">
        <v>564</v>
      </c>
      <c r="L1797" s="127" t="s">
        <v>564</v>
      </c>
      <c r="N1797" s="129" t="s">
        <v>566</v>
      </c>
      <c r="O1797" s="128" t="s">
        <v>917</v>
      </c>
      <c r="P1797" s="129" t="s">
        <v>589</v>
      </c>
      <c r="Q1797" s="111">
        <f t="shared" si="1337"/>
        <v>188</v>
      </c>
      <c r="R1797" s="111">
        <f t="shared" si="1327"/>
        <v>188</v>
      </c>
      <c r="S1797" s="129">
        <v>0</v>
      </c>
      <c r="T1797" s="129">
        <v>2</v>
      </c>
      <c r="W1797" s="111"/>
      <c r="AC1797" s="130"/>
      <c r="AD1797" s="130">
        <v>32868</v>
      </c>
      <c r="AE1797" s="128" t="s">
        <v>32</v>
      </c>
      <c r="AF1797" s="128" t="s">
        <v>33</v>
      </c>
      <c r="AG1797" s="128" t="s">
        <v>872</v>
      </c>
      <c r="AH1797" s="108" t="s">
        <v>58</v>
      </c>
      <c r="AI1797" s="128" t="s">
        <v>70</v>
      </c>
      <c r="AJ1797" s="129" t="s">
        <v>48</v>
      </c>
      <c r="AK1797" s="129">
        <v>9</v>
      </c>
      <c r="AL1797" s="3" t="s">
        <v>48</v>
      </c>
      <c r="AO1797" s="128">
        <v>180</v>
      </c>
      <c r="AP1797" s="129" t="s">
        <v>129</v>
      </c>
      <c r="AR1797" s="128" t="s">
        <v>92</v>
      </c>
      <c r="AS1797" s="129" t="s">
        <v>126</v>
      </c>
      <c r="BC1797" s="129" t="s">
        <v>52</v>
      </c>
      <c r="BF1797" s="111">
        <f t="shared" si="1348"/>
        <v>188</v>
      </c>
      <c r="BG1797" s="111">
        <f t="shared" si="1349"/>
        <v>188</v>
      </c>
      <c r="BH1797" s="111">
        <f t="shared" si="1342"/>
        <v>188</v>
      </c>
      <c r="BI1797" s="111">
        <f t="shared" si="1343"/>
        <v>22.191256830601095</v>
      </c>
      <c r="BJ1797" s="129">
        <f t="shared" si="1350"/>
        <v>0</v>
      </c>
      <c r="BK1797" s="129">
        <f t="shared" si="1344"/>
        <v>0</v>
      </c>
      <c r="BL1797" s="129" t="str">
        <f t="shared" si="1328"/>
        <v>DEFERRED</v>
      </c>
      <c r="BM1797" s="129" t="str">
        <f t="shared" si="1351"/>
        <v>NONE</v>
      </c>
      <c r="BN1797" s="129" t="s">
        <v>566</v>
      </c>
      <c r="BP1797" s="137" t="str">
        <f t="shared" si="1352"/>
        <v>DEFERRED</v>
      </c>
      <c r="BQ1797" s="128" t="str">
        <f t="shared" si="1353"/>
        <v>Y</v>
      </c>
      <c r="BR1797" s="129" t="str">
        <f t="shared" si="1354"/>
        <v>DETAINED</v>
      </c>
      <c r="BS1797" s="129" t="str">
        <f t="shared" si="1355"/>
        <v>DISPOSED</v>
      </c>
      <c r="BT1797" s="129" t="str">
        <f t="shared" si="1356"/>
        <v>N</v>
      </c>
      <c r="BU1797" s="109">
        <f t="shared" si="1357"/>
        <v>1</v>
      </c>
      <c r="BV1797" s="109">
        <f t="shared" si="1358"/>
        <v>1</v>
      </c>
      <c r="BW1797" s="109">
        <f t="shared" si="1338"/>
        <v>0</v>
      </c>
      <c r="BX1797" s="111">
        <f t="shared" si="1359"/>
        <v>0</v>
      </c>
      <c r="BY1797" s="129">
        <f t="shared" si="1360"/>
        <v>-188</v>
      </c>
      <c r="BZ1797" s="111">
        <f t="shared" si="1361"/>
        <v>0</v>
      </c>
      <c r="CA1797" s="138">
        <f t="shared" si="1362"/>
        <v>188</v>
      </c>
      <c r="CB1797" s="111" t="e">
        <f t="shared" si="1363"/>
        <v>#VALUE!</v>
      </c>
      <c r="CC1797" s="129">
        <f>G1797-I1797+1</f>
        <v>188</v>
      </c>
      <c r="CD1797" s="129">
        <f>G1797-J1797</f>
        <v>0</v>
      </c>
      <c r="CG1797" s="129" t="str">
        <f t="shared" si="1364"/>
        <v>Y</v>
      </c>
      <c r="CI1797" s="129" t="str">
        <f t="shared" si="1365"/>
        <v>121-365 DAYS</v>
      </c>
      <c r="CJ1797" s="137">
        <f t="shared" si="1366"/>
        <v>6</v>
      </c>
      <c r="CK1797" s="129" t="str">
        <f t="shared" si="1367"/>
        <v>Booked</v>
      </c>
    </row>
    <row r="1798" spans="1:89" ht="15" customHeight="1" x14ac:dyDescent="0.25">
      <c r="A1798" s="111">
        <v>2662</v>
      </c>
      <c r="B1798" s="128" t="str">
        <f t="shared" si="1345"/>
        <v>N</v>
      </c>
      <c r="C1798" s="128" t="str">
        <f t="shared" si="1346"/>
        <v>N</v>
      </c>
      <c r="D1798" s="117">
        <v>2290249</v>
      </c>
      <c r="E1798" s="135">
        <f t="shared" si="1347"/>
        <v>2</v>
      </c>
      <c r="F1798" s="124">
        <v>41007</v>
      </c>
      <c r="G1798" s="125">
        <v>41129</v>
      </c>
      <c r="H1798" s="117">
        <v>2290249</v>
      </c>
      <c r="I1798" s="124">
        <v>41017</v>
      </c>
      <c r="J1798" s="124">
        <v>41020</v>
      </c>
      <c r="K1798" s="126">
        <v>15000</v>
      </c>
      <c r="L1798" s="127" t="s">
        <v>571</v>
      </c>
      <c r="M1798" s="125">
        <v>41020</v>
      </c>
      <c r="N1798" s="129" t="str">
        <f>IF(M1798&gt;1/1/1,"Y","N")</f>
        <v>Y</v>
      </c>
      <c r="O1798" s="128" t="s">
        <v>585</v>
      </c>
      <c r="P1798" s="129" t="s">
        <v>589</v>
      </c>
      <c r="Q1798" s="111">
        <f t="shared" si="1337"/>
        <v>4</v>
      </c>
      <c r="R1798" s="111">
        <f t="shared" si="1327"/>
        <v>123</v>
      </c>
      <c r="S1798" s="129">
        <v>0</v>
      </c>
      <c r="T1798" s="129">
        <v>0</v>
      </c>
      <c r="W1798" s="111"/>
      <c r="AC1798" s="130"/>
      <c r="AD1798" s="130">
        <v>31392</v>
      </c>
      <c r="AE1798" s="128" t="s">
        <v>32</v>
      </c>
      <c r="AF1798" s="128" t="s">
        <v>33</v>
      </c>
      <c r="AG1798" s="128" t="s">
        <v>872</v>
      </c>
      <c r="AH1798" s="108" t="s">
        <v>58</v>
      </c>
      <c r="AI1798" s="128" t="s">
        <v>70</v>
      </c>
      <c r="AJ1798" s="129" t="s">
        <v>48</v>
      </c>
      <c r="AK1798" s="129">
        <v>7</v>
      </c>
      <c r="AL1798" s="3" t="s">
        <v>48</v>
      </c>
      <c r="AP1798" s="129" t="s">
        <v>56</v>
      </c>
      <c r="AR1798" s="128" t="s">
        <v>50</v>
      </c>
      <c r="AS1798" s="129" t="s">
        <v>57</v>
      </c>
      <c r="BC1798" s="129" t="s">
        <v>52</v>
      </c>
      <c r="BF1798" s="111">
        <f t="shared" si="1348"/>
        <v>4</v>
      </c>
      <c r="BG1798" s="111">
        <f t="shared" si="1349"/>
        <v>113</v>
      </c>
      <c r="BH1798" s="111">
        <f t="shared" si="1342"/>
        <v>123</v>
      </c>
      <c r="BI1798" s="111">
        <f t="shared" si="1343"/>
        <v>26.270491803278688</v>
      </c>
      <c r="BJ1798" s="129">
        <f>(G1798-J1798)+(M1798-G1798)</f>
        <v>0</v>
      </c>
      <c r="BK1798" s="129">
        <f t="shared" si="1344"/>
        <v>-109</v>
      </c>
      <c r="BL1798" s="129" t="str">
        <f t="shared" si="1328"/>
        <v>DEFERRED</v>
      </c>
      <c r="BM1798" s="129" t="s">
        <v>76</v>
      </c>
      <c r="BN1798" s="129" t="s">
        <v>88</v>
      </c>
      <c r="BP1798" s="137" t="str">
        <f t="shared" si="1352"/>
        <v>DEFERRED</v>
      </c>
      <c r="BQ1798" s="128" t="str">
        <f t="shared" si="1353"/>
        <v>Y</v>
      </c>
      <c r="BR1798" s="129" t="str">
        <f t="shared" si="1354"/>
        <v>ON BOND</v>
      </c>
      <c r="BS1798" s="129" t="str">
        <f t="shared" si="1355"/>
        <v>DISPOSED</v>
      </c>
      <c r="BT1798" s="129" t="str">
        <f t="shared" si="1356"/>
        <v>N</v>
      </c>
      <c r="BU1798" s="109">
        <f t="shared" si="1357"/>
        <v>3.2520325203252036E-2</v>
      </c>
      <c r="BV1798" s="109">
        <f t="shared" si="1358"/>
        <v>3.5398230088495575E-2</v>
      </c>
      <c r="BW1798" s="109">
        <f t="shared" si="1338"/>
        <v>2.8779048852435388E-3</v>
      </c>
      <c r="BX1798" s="111">
        <f t="shared" si="1359"/>
        <v>0</v>
      </c>
      <c r="BY1798" s="129">
        <f t="shared" si="1360"/>
        <v>-4</v>
      </c>
      <c r="BZ1798" s="111">
        <f t="shared" si="1361"/>
        <v>0</v>
      </c>
      <c r="CA1798" s="138">
        <f t="shared" si="1362"/>
        <v>4</v>
      </c>
      <c r="CB1798" s="111" t="e">
        <f t="shared" si="1363"/>
        <v>#VALUE!</v>
      </c>
      <c r="CC1798" s="129">
        <f>M1798-I1798+1</f>
        <v>4</v>
      </c>
      <c r="CD1798" s="111">
        <f>CC1798-BF1798</f>
        <v>0</v>
      </c>
      <c r="CG1798" s="129" t="str">
        <f t="shared" si="1364"/>
        <v>N</v>
      </c>
      <c r="CI1798" s="129" t="str">
        <f t="shared" si="1365"/>
        <v>0-10 DAYS</v>
      </c>
      <c r="CJ1798" s="137">
        <f t="shared" si="1366"/>
        <v>1</v>
      </c>
      <c r="CK1798" s="129" t="str">
        <f t="shared" si="1367"/>
        <v>Booked</v>
      </c>
    </row>
    <row r="1799" spans="1:89" ht="15" customHeight="1" x14ac:dyDescent="0.25">
      <c r="A1799" s="111">
        <v>2698</v>
      </c>
      <c r="B1799" s="128" t="str">
        <f t="shared" si="1345"/>
        <v>N</v>
      </c>
      <c r="C1799" s="128" t="str">
        <f t="shared" si="1346"/>
        <v>N</v>
      </c>
      <c r="D1799" s="117">
        <v>2290385</v>
      </c>
      <c r="E1799" s="135">
        <f t="shared" si="1347"/>
        <v>5</v>
      </c>
      <c r="F1799" s="124">
        <v>41009</v>
      </c>
      <c r="G1799" s="125">
        <v>41012</v>
      </c>
      <c r="H1799" s="117">
        <v>2290385</v>
      </c>
      <c r="I1799" s="124">
        <v>41009</v>
      </c>
      <c r="J1799" s="124">
        <v>41012</v>
      </c>
      <c r="K1799" s="126">
        <v>15000</v>
      </c>
      <c r="L1799" s="127" t="s">
        <v>571</v>
      </c>
      <c r="N1799" s="129" t="str">
        <f>IF(M1799&gt;1/1/1,"Y","N")</f>
        <v>N</v>
      </c>
      <c r="O1799" s="128" t="s">
        <v>917</v>
      </c>
      <c r="P1799" s="129" t="s">
        <v>39</v>
      </c>
      <c r="Q1799" s="111">
        <f t="shared" si="1337"/>
        <v>4</v>
      </c>
      <c r="R1799" s="111">
        <f t="shared" si="1327"/>
        <v>4</v>
      </c>
      <c r="S1799" s="129">
        <v>6</v>
      </c>
      <c r="T1799" s="129">
        <v>5</v>
      </c>
      <c r="U1799" s="129">
        <v>1</v>
      </c>
      <c r="W1799" s="111"/>
      <c r="AC1799" s="130"/>
      <c r="AD1799" s="130">
        <v>24083</v>
      </c>
      <c r="AE1799" s="128" t="s">
        <v>32</v>
      </c>
      <c r="AF1799" s="128" t="s">
        <v>33</v>
      </c>
      <c r="AG1799" s="128" t="s">
        <v>872</v>
      </c>
      <c r="AH1799" s="108" t="s">
        <v>58</v>
      </c>
      <c r="AI1799" s="128" t="s">
        <v>90</v>
      </c>
      <c r="AJ1799" s="129" t="s">
        <v>89</v>
      </c>
      <c r="AK1799" s="129">
        <v>2</v>
      </c>
      <c r="AL1799" s="3" t="s">
        <v>992</v>
      </c>
      <c r="AN1799" s="117">
        <v>7</v>
      </c>
      <c r="AP1799" s="129" t="s">
        <v>60</v>
      </c>
      <c r="AR1799" s="128" t="s">
        <v>44</v>
      </c>
      <c r="AS1799" s="129" t="s">
        <v>61</v>
      </c>
      <c r="AT1799" s="129" t="s">
        <v>475</v>
      </c>
      <c r="BC1799" s="129" t="s">
        <v>38</v>
      </c>
      <c r="BF1799" s="111">
        <f t="shared" si="1348"/>
        <v>4</v>
      </c>
      <c r="BG1799" s="111">
        <f t="shared" si="1349"/>
        <v>4</v>
      </c>
      <c r="BH1799" s="111">
        <f t="shared" si="1342"/>
        <v>4</v>
      </c>
      <c r="BI1799" s="111">
        <f t="shared" si="1343"/>
        <v>46.245901639344261</v>
      </c>
      <c r="BJ1799" s="129">
        <f t="shared" si="1350"/>
        <v>0</v>
      </c>
      <c r="BK1799" s="129">
        <f t="shared" si="1344"/>
        <v>0</v>
      </c>
      <c r="BL1799" s="129" t="str">
        <f t="shared" si="1328"/>
        <v>CONVICTION</v>
      </c>
      <c r="BM1799" s="129" t="str">
        <f t="shared" si="1351"/>
        <v>NONE</v>
      </c>
      <c r="BN1799" s="129" t="s">
        <v>566</v>
      </c>
      <c r="BP1799" s="137" t="str">
        <f t="shared" si="1352"/>
        <v>CONVICTION</v>
      </c>
      <c r="BQ1799" s="128" t="str">
        <f t="shared" si="1353"/>
        <v>Y</v>
      </c>
      <c r="BR1799" s="129" t="str">
        <f t="shared" si="1354"/>
        <v>DETAINED</v>
      </c>
      <c r="BS1799" s="129" t="str">
        <f t="shared" si="1355"/>
        <v>DISPOSED</v>
      </c>
      <c r="BT1799" s="129" t="str">
        <f t="shared" si="1356"/>
        <v>Y</v>
      </c>
      <c r="BU1799" s="109">
        <f t="shared" si="1357"/>
        <v>1</v>
      </c>
      <c r="BV1799" s="109">
        <f t="shared" si="1358"/>
        <v>1</v>
      </c>
      <c r="BW1799" s="109">
        <f t="shared" si="1338"/>
        <v>0</v>
      </c>
      <c r="BX1799" s="111">
        <f t="shared" si="1359"/>
        <v>0</v>
      </c>
      <c r="BY1799" s="129">
        <f t="shared" si="1360"/>
        <v>-4</v>
      </c>
      <c r="BZ1799" s="111">
        <f t="shared" si="1361"/>
        <v>0</v>
      </c>
      <c r="CA1799" s="138">
        <f t="shared" si="1362"/>
        <v>4</v>
      </c>
      <c r="CB1799" s="111" t="e">
        <f t="shared" si="1363"/>
        <v>#VALUE!</v>
      </c>
      <c r="CC1799" s="129">
        <f>G1799-I1799+1</f>
        <v>4</v>
      </c>
      <c r="CD1799" s="129">
        <f>G1799-J1799</f>
        <v>0</v>
      </c>
      <c r="CG1799" s="129" t="str">
        <f t="shared" si="1364"/>
        <v>Y</v>
      </c>
      <c r="CI1799" s="129" t="str">
        <f t="shared" si="1365"/>
        <v>0-10 DAYS</v>
      </c>
      <c r="CJ1799" s="137">
        <f t="shared" si="1366"/>
        <v>1</v>
      </c>
      <c r="CK1799" s="129" t="str">
        <f t="shared" si="1367"/>
        <v>Booked</v>
      </c>
    </row>
    <row r="1800" spans="1:89" ht="15" customHeight="1" x14ac:dyDescent="0.25">
      <c r="A1800" s="111">
        <v>1403</v>
      </c>
      <c r="B1800" s="128" t="str">
        <f t="shared" si="1345"/>
        <v>N</v>
      </c>
      <c r="C1800" s="128" t="str">
        <f t="shared" si="1346"/>
        <v>N</v>
      </c>
      <c r="D1800" s="117">
        <v>2290677</v>
      </c>
      <c r="E1800" s="135">
        <f t="shared" si="1347"/>
        <v>2</v>
      </c>
      <c r="F1800" s="124">
        <v>40960</v>
      </c>
      <c r="G1800" s="125">
        <v>40963</v>
      </c>
      <c r="H1800" s="117">
        <v>2290677</v>
      </c>
      <c r="I1800" s="124">
        <v>40961</v>
      </c>
      <c r="J1800" s="124">
        <v>40963</v>
      </c>
      <c r="K1800" s="126">
        <v>2000</v>
      </c>
      <c r="L1800" s="127" t="s">
        <v>568</v>
      </c>
      <c r="N1800" s="129" t="str">
        <f>IF(M1800&gt;1/1/1,"Y","N")</f>
        <v>N</v>
      </c>
      <c r="O1800" s="128" t="s">
        <v>917</v>
      </c>
      <c r="P1800" s="129" t="s">
        <v>589</v>
      </c>
      <c r="Q1800" s="111">
        <f t="shared" si="1337"/>
        <v>3</v>
      </c>
      <c r="R1800" s="111">
        <f t="shared" si="1327"/>
        <v>4</v>
      </c>
      <c r="S1800" s="129">
        <v>1</v>
      </c>
      <c r="T1800" s="129">
        <v>3</v>
      </c>
      <c r="W1800" s="111"/>
      <c r="AC1800" s="130"/>
      <c r="AD1800" s="130">
        <v>27735</v>
      </c>
      <c r="AE1800" s="128" t="s">
        <v>32</v>
      </c>
      <c r="AF1800" s="128" t="s">
        <v>33</v>
      </c>
      <c r="AG1800" s="128" t="s">
        <v>872</v>
      </c>
      <c r="AH1800" s="108" t="s">
        <v>31</v>
      </c>
      <c r="AI1800" s="128" t="s">
        <v>85</v>
      </c>
      <c r="AJ1800" s="129" t="s">
        <v>48</v>
      </c>
      <c r="AK1800" s="129">
        <v>2</v>
      </c>
      <c r="AL1800" s="3" t="s">
        <v>48</v>
      </c>
      <c r="AP1800" s="129" t="s">
        <v>159</v>
      </c>
      <c r="AR1800" s="128" t="s">
        <v>44</v>
      </c>
      <c r="AS1800" s="129" t="s">
        <v>61</v>
      </c>
      <c r="AT1800" s="129" t="s">
        <v>333</v>
      </c>
      <c r="BC1800" s="129" t="s">
        <v>38</v>
      </c>
      <c r="BF1800" s="111">
        <f t="shared" si="1348"/>
        <v>3</v>
      </c>
      <c r="BG1800" s="111">
        <f t="shared" si="1349"/>
        <v>3</v>
      </c>
      <c r="BH1800" s="111">
        <f t="shared" si="1342"/>
        <v>4</v>
      </c>
      <c r="BI1800" s="111">
        <f t="shared" si="1343"/>
        <v>36.133879781420767</v>
      </c>
      <c r="BJ1800" s="129">
        <f t="shared" si="1350"/>
        <v>0</v>
      </c>
      <c r="BK1800" s="129">
        <f t="shared" si="1344"/>
        <v>0</v>
      </c>
      <c r="BL1800" s="129" t="str">
        <f t="shared" si="1328"/>
        <v>DEFERRED</v>
      </c>
      <c r="BM1800" s="129" t="str">
        <f t="shared" si="1351"/>
        <v>NONE</v>
      </c>
      <c r="BN1800" s="129" t="s">
        <v>566</v>
      </c>
      <c r="BP1800" s="137" t="str">
        <f t="shared" si="1352"/>
        <v>DEFERRED</v>
      </c>
      <c r="BQ1800" s="128" t="str">
        <f t="shared" si="1353"/>
        <v>Y</v>
      </c>
      <c r="BR1800" s="129" t="str">
        <f t="shared" si="1354"/>
        <v>DETAINED</v>
      </c>
      <c r="BS1800" s="129" t="str">
        <f t="shared" si="1355"/>
        <v>DISPOSED</v>
      </c>
      <c r="BT1800" s="129" t="str">
        <f t="shared" si="1356"/>
        <v>Y</v>
      </c>
      <c r="BU1800" s="109">
        <f t="shared" si="1357"/>
        <v>0.75</v>
      </c>
      <c r="BV1800" s="109">
        <f t="shared" si="1358"/>
        <v>1</v>
      </c>
      <c r="BW1800" s="109">
        <f t="shared" si="1338"/>
        <v>0.25</v>
      </c>
      <c r="BX1800" s="111">
        <f t="shared" si="1359"/>
        <v>0</v>
      </c>
      <c r="BY1800" s="129">
        <f t="shared" si="1360"/>
        <v>-3</v>
      </c>
      <c r="BZ1800" s="111">
        <f t="shared" si="1361"/>
        <v>0</v>
      </c>
      <c r="CA1800" s="138">
        <f t="shared" si="1362"/>
        <v>3</v>
      </c>
      <c r="CB1800" s="111" t="e">
        <f t="shared" si="1363"/>
        <v>#VALUE!</v>
      </c>
      <c r="CC1800" s="129">
        <f>G1800-I1800+1</f>
        <v>3</v>
      </c>
      <c r="CD1800" s="129">
        <f>G1800-J1800</f>
        <v>0</v>
      </c>
      <c r="CG1800" s="129" t="str">
        <f t="shared" si="1364"/>
        <v>Y</v>
      </c>
      <c r="CI1800" s="129" t="str">
        <f t="shared" si="1365"/>
        <v>0-10 DAYS</v>
      </c>
      <c r="CJ1800" s="137">
        <f t="shared" si="1366"/>
        <v>1</v>
      </c>
      <c r="CK1800" s="129" t="str">
        <f t="shared" si="1367"/>
        <v>Booked</v>
      </c>
    </row>
    <row r="1801" spans="1:89" ht="15" customHeight="1" x14ac:dyDescent="0.25">
      <c r="A1801" s="111">
        <v>1326</v>
      </c>
      <c r="B1801" s="128" t="str">
        <f t="shared" si="1345"/>
        <v>N</v>
      </c>
      <c r="C1801" s="128" t="str">
        <f t="shared" si="1346"/>
        <v>N</v>
      </c>
      <c r="D1801" s="117">
        <v>2291020</v>
      </c>
      <c r="E1801" s="135">
        <f t="shared" si="1347"/>
        <v>6</v>
      </c>
      <c r="F1801" s="124">
        <v>40956</v>
      </c>
      <c r="G1801" s="125">
        <v>41260</v>
      </c>
      <c r="H1801" s="117">
        <v>2291020</v>
      </c>
      <c r="I1801" s="124">
        <v>40957</v>
      </c>
      <c r="J1801" s="125">
        <v>41260</v>
      </c>
      <c r="K1801" s="126">
        <v>30000</v>
      </c>
      <c r="L1801" s="129" t="s">
        <v>572</v>
      </c>
      <c r="N1801" s="129" t="str">
        <f>IF(M1801&gt;1/1/1,"Y","N")</f>
        <v>N</v>
      </c>
      <c r="O1801" s="128" t="s">
        <v>917</v>
      </c>
      <c r="P1801" s="129" t="s">
        <v>39</v>
      </c>
      <c r="Q1801" s="111">
        <f t="shared" si="1337"/>
        <v>304</v>
      </c>
      <c r="R1801" s="111">
        <f t="shared" si="1327"/>
        <v>305</v>
      </c>
      <c r="S1801" s="129">
        <v>3</v>
      </c>
      <c r="T1801" s="129">
        <v>6</v>
      </c>
      <c r="U1801" s="129">
        <v>1</v>
      </c>
      <c r="W1801" s="111"/>
      <c r="AC1801" s="130"/>
      <c r="AD1801" s="130">
        <v>29844</v>
      </c>
      <c r="AE1801" s="128" t="s">
        <v>32</v>
      </c>
      <c r="AF1801" s="128" t="s">
        <v>33</v>
      </c>
      <c r="AG1801" s="128" t="s">
        <v>872</v>
      </c>
      <c r="AH1801" s="108" t="s">
        <v>58</v>
      </c>
      <c r="AI1801" s="128" t="s">
        <v>80</v>
      </c>
      <c r="AJ1801" s="129" t="s">
        <v>89</v>
      </c>
      <c r="AK1801" s="129">
        <v>11</v>
      </c>
      <c r="AL1801" s="3" t="s">
        <v>362</v>
      </c>
      <c r="AM1801" s="117">
        <v>2</v>
      </c>
      <c r="AP1801" s="129" t="s">
        <v>121</v>
      </c>
      <c r="AR1801" s="128" t="s">
        <v>44</v>
      </c>
      <c r="AS1801" s="129" t="s">
        <v>122</v>
      </c>
      <c r="BC1801" s="129" t="s">
        <v>38</v>
      </c>
      <c r="BF1801" s="111">
        <f t="shared" si="1348"/>
        <v>304</v>
      </c>
      <c r="BG1801" s="111">
        <f t="shared" si="1349"/>
        <v>304</v>
      </c>
      <c r="BH1801" s="111">
        <f t="shared" si="1342"/>
        <v>305</v>
      </c>
      <c r="BI1801" s="111">
        <f t="shared" si="1343"/>
        <v>30.360655737704917</v>
      </c>
      <c r="BJ1801" s="129">
        <f t="shared" si="1350"/>
        <v>0</v>
      </c>
      <c r="BK1801" s="129">
        <f t="shared" si="1344"/>
        <v>0</v>
      </c>
      <c r="BL1801" s="129" t="str">
        <f t="shared" si="1328"/>
        <v>CONVICTION</v>
      </c>
      <c r="BM1801" s="129" t="str">
        <f t="shared" si="1351"/>
        <v>NONE</v>
      </c>
      <c r="BN1801" s="129" t="s">
        <v>566</v>
      </c>
      <c r="BP1801" s="137" t="str">
        <f t="shared" si="1352"/>
        <v>CONVICTION</v>
      </c>
      <c r="BQ1801" s="128" t="str">
        <f t="shared" si="1353"/>
        <v>Y</v>
      </c>
      <c r="BR1801" s="129" t="str">
        <f t="shared" si="1354"/>
        <v>DETAINED</v>
      </c>
      <c r="BS1801" s="129" t="str">
        <f t="shared" si="1355"/>
        <v>DISPOSED</v>
      </c>
      <c r="BT1801" s="129" t="str">
        <f t="shared" si="1356"/>
        <v>Y</v>
      </c>
      <c r="BU1801" s="109">
        <f t="shared" si="1357"/>
        <v>0.99672131147540988</v>
      </c>
      <c r="BV1801" s="109">
        <f t="shared" si="1358"/>
        <v>1</v>
      </c>
      <c r="BW1801" s="109">
        <f t="shared" si="1338"/>
        <v>3.2786885245901232E-3</v>
      </c>
      <c r="BX1801" s="111">
        <f t="shared" si="1359"/>
        <v>0</v>
      </c>
      <c r="BY1801" s="129">
        <f t="shared" si="1360"/>
        <v>-304</v>
      </c>
      <c r="BZ1801" s="111">
        <f t="shared" si="1361"/>
        <v>0</v>
      </c>
      <c r="CA1801" s="138">
        <f t="shared" si="1362"/>
        <v>304</v>
      </c>
      <c r="CB1801" s="111" t="e">
        <f t="shared" si="1363"/>
        <v>#VALUE!</v>
      </c>
      <c r="CC1801" s="129">
        <f>G1801-I1801+1</f>
        <v>304</v>
      </c>
      <c r="CD1801" s="129">
        <f>G1801-J1801</f>
        <v>0</v>
      </c>
      <c r="CG1801" s="129" t="str">
        <f t="shared" si="1364"/>
        <v>Y</v>
      </c>
      <c r="CI1801" s="129" t="str">
        <f t="shared" si="1365"/>
        <v>121-365 DAYS</v>
      </c>
      <c r="CJ1801" s="137">
        <f t="shared" si="1366"/>
        <v>6</v>
      </c>
      <c r="CK1801" s="129" t="str">
        <f t="shared" si="1367"/>
        <v>Booked</v>
      </c>
    </row>
    <row r="1802" spans="1:89" ht="15" customHeight="1" x14ac:dyDescent="0.25">
      <c r="A1802" s="111">
        <v>129</v>
      </c>
      <c r="B1802" s="128" t="str">
        <f t="shared" si="1345"/>
        <v>N</v>
      </c>
      <c r="C1802" s="128" t="str">
        <f t="shared" si="1346"/>
        <v>N</v>
      </c>
      <c r="D1802" s="117">
        <v>2291175</v>
      </c>
      <c r="E1802" s="135">
        <f t="shared" si="1347"/>
        <v>6</v>
      </c>
      <c r="F1802" s="124">
        <v>40948</v>
      </c>
      <c r="G1802" s="125">
        <v>41726</v>
      </c>
      <c r="H1802" s="117">
        <v>2291175</v>
      </c>
      <c r="I1802" s="124">
        <v>40949</v>
      </c>
      <c r="J1802" s="124"/>
      <c r="K1802" s="126" t="s">
        <v>564</v>
      </c>
      <c r="L1802" s="129" t="s">
        <v>564</v>
      </c>
      <c r="N1802" s="129" t="str">
        <f>IF(M1802&gt;1/1/1,"Y","N")</f>
        <v>N</v>
      </c>
      <c r="O1802" s="128" t="s">
        <v>917</v>
      </c>
      <c r="P1802" s="129" t="s">
        <v>39</v>
      </c>
      <c r="Q1802" s="111">
        <v>421</v>
      </c>
      <c r="R1802" s="111">
        <f t="shared" si="1327"/>
        <v>779</v>
      </c>
      <c r="S1802" s="129">
        <v>1</v>
      </c>
      <c r="T1802" s="129">
        <v>0</v>
      </c>
      <c r="U1802" s="129">
        <v>1</v>
      </c>
      <c r="W1802" s="111"/>
      <c r="AC1802" s="130"/>
      <c r="AD1802" s="130">
        <v>32953</v>
      </c>
      <c r="AE1802" s="128" t="s">
        <v>32</v>
      </c>
      <c r="AF1802" s="128" t="s">
        <v>69</v>
      </c>
      <c r="AG1802" s="128" t="s">
        <v>874</v>
      </c>
      <c r="AH1802" s="108" t="s">
        <v>31</v>
      </c>
      <c r="AI1802" s="128" t="s">
        <v>80</v>
      </c>
      <c r="AJ1802" s="129" t="s">
        <v>89</v>
      </c>
      <c r="AK1802" s="129">
        <v>6</v>
      </c>
      <c r="AL1802" s="3" t="s">
        <v>362</v>
      </c>
      <c r="AM1802" s="117">
        <v>45</v>
      </c>
      <c r="AP1802" s="129" t="s">
        <v>179</v>
      </c>
      <c r="AR1802" s="128" t="s">
        <v>50</v>
      </c>
      <c r="AS1802" s="129" t="s">
        <v>74</v>
      </c>
      <c r="AT1802" s="129" t="s">
        <v>1281</v>
      </c>
      <c r="BC1802" s="129" t="s">
        <v>38</v>
      </c>
      <c r="BF1802" s="111">
        <v>421</v>
      </c>
      <c r="BG1802" s="111">
        <f t="shared" si="1349"/>
        <v>778</v>
      </c>
      <c r="BH1802" s="111">
        <f t="shared" si="1342"/>
        <v>779</v>
      </c>
      <c r="BI1802" s="111">
        <f t="shared" si="1343"/>
        <v>21.844262295081968</v>
      </c>
      <c r="BJ1802" s="129">
        <f t="shared" si="1350"/>
        <v>41726</v>
      </c>
      <c r="BK1802" s="129">
        <f t="shared" si="1344"/>
        <v>-41726</v>
      </c>
      <c r="BL1802" s="129" t="str">
        <f t="shared" si="1328"/>
        <v>CONVICTION</v>
      </c>
      <c r="BM1802" s="129" t="str">
        <f t="shared" si="1351"/>
        <v>NONE</v>
      </c>
      <c r="BN1802" s="129" t="s">
        <v>566</v>
      </c>
      <c r="BP1802" s="137" t="str">
        <f t="shared" si="1352"/>
        <v>CONVICTION</v>
      </c>
      <c r="BQ1802" s="128" t="str">
        <f t="shared" si="1353"/>
        <v>Y</v>
      </c>
      <c r="BR1802" s="129" t="s">
        <v>574</v>
      </c>
      <c r="BS1802" s="129" t="s">
        <v>1259</v>
      </c>
      <c r="BT1802" s="129" t="str">
        <f t="shared" si="1356"/>
        <v>Y</v>
      </c>
      <c r="BU1802" s="109">
        <f>IFERROR(Q1802/R1802,BR1802)</f>
        <v>0.54043645699614895</v>
      </c>
      <c r="BV1802" s="109">
        <v>0.54039999999999999</v>
      </c>
      <c r="BW1802" s="109">
        <v>0</v>
      </c>
      <c r="BX1802" s="111">
        <f t="shared" si="1359"/>
        <v>0</v>
      </c>
      <c r="BY1802" s="129">
        <f t="shared" si="1360"/>
        <v>40948</v>
      </c>
      <c r="BZ1802" s="111">
        <f t="shared" si="1361"/>
        <v>41369</v>
      </c>
      <c r="CA1802" s="138">
        <f t="shared" si="1362"/>
        <v>778</v>
      </c>
      <c r="CB1802" s="111" t="e">
        <f t="shared" si="1363"/>
        <v>#VALUE!</v>
      </c>
      <c r="CC1802" s="129">
        <v>421</v>
      </c>
      <c r="CG1802" s="129" t="str">
        <f t="shared" si="1364"/>
        <v>Y</v>
      </c>
      <c r="CH1802" s="129" t="e">
        <v>#N/A</v>
      </c>
      <c r="CI1802" s="129" t="str">
        <f t="shared" si="1365"/>
        <v xml:space="preserve"> &gt;1YRS&lt;2YRS</v>
      </c>
      <c r="CJ1802" s="137">
        <f t="shared" si="1366"/>
        <v>0</v>
      </c>
      <c r="CK1802" s="129" t="str">
        <f t="shared" si="1367"/>
        <v>Booked</v>
      </c>
    </row>
    <row r="1803" spans="1:89" ht="15.75" customHeight="1" x14ac:dyDescent="0.25">
      <c r="A1803" s="111">
        <v>2511</v>
      </c>
      <c r="B1803" s="128" t="str">
        <f t="shared" si="1345"/>
        <v>N</v>
      </c>
      <c r="C1803" s="128" t="str">
        <f t="shared" si="1346"/>
        <v>N</v>
      </c>
      <c r="D1803" s="117">
        <v>2292327</v>
      </c>
      <c r="E1803" s="135">
        <f t="shared" si="1347"/>
        <v>1</v>
      </c>
      <c r="F1803" s="124">
        <v>41003</v>
      </c>
      <c r="G1803" s="125">
        <v>41004</v>
      </c>
      <c r="H1803" s="117">
        <v>2292327</v>
      </c>
      <c r="I1803" s="124" t="s">
        <v>562</v>
      </c>
      <c r="J1803" s="124" t="s">
        <v>562</v>
      </c>
      <c r="K1803" s="126">
        <v>100000</v>
      </c>
      <c r="L1803" s="129" t="s">
        <v>572</v>
      </c>
      <c r="N1803" s="124" t="s">
        <v>1343</v>
      </c>
      <c r="O1803" s="128" t="s">
        <v>917</v>
      </c>
      <c r="P1803" s="129" t="s">
        <v>55</v>
      </c>
      <c r="Q1803" s="111">
        <f t="shared" si="1337"/>
        <v>0</v>
      </c>
      <c r="R1803" s="111">
        <f t="shared" si="1327"/>
        <v>2</v>
      </c>
      <c r="S1803" s="129">
        <v>0</v>
      </c>
      <c r="T1803" s="129">
        <v>1</v>
      </c>
      <c r="W1803" s="111"/>
      <c r="AC1803" s="130"/>
      <c r="AD1803" s="130">
        <v>27113</v>
      </c>
      <c r="AE1803" s="128" t="s">
        <v>32</v>
      </c>
      <c r="AF1803" s="128" t="s">
        <v>33</v>
      </c>
      <c r="AG1803" s="128" t="s">
        <v>872</v>
      </c>
      <c r="AH1803" s="108" t="s">
        <v>31</v>
      </c>
      <c r="AI1803" s="128" t="s">
        <v>53</v>
      </c>
      <c r="AJ1803" s="129" t="s">
        <v>55</v>
      </c>
      <c r="AK1803" s="129">
        <v>1</v>
      </c>
      <c r="AL1803" s="3" t="s">
        <v>55</v>
      </c>
      <c r="AP1803" s="129" t="s">
        <v>110</v>
      </c>
      <c r="AR1803" s="128" t="s">
        <v>50</v>
      </c>
      <c r="AS1803" s="129" t="s">
        <v>74</v>
      </c>
      <c r="BC1803" s="129" t="s">
        <v>79</v>
      </c>
      <c r="BF1803" s="111">
        <v>0</v>
      </c>
      <c r="BG1803" s="111">
        <v>0</v>
      </c>
      <c r="BH1803" s="111">
        <f t="shared" si="1342"/>
        <v>2</v>
      </c>
      <c r="BI1803" s="111">
        <f t="shared" si="1343"/>
        <v>37.950819672131146</v>
      </c>
      <c r="BJ1803" s="129" t="e">
        <f>(G1803-J1803)+(M1803-G1803)</f>
        <v>#VALUE!</v>
      </c>
      <c r="BK1803" s="129" t="e">
        <f t="shared" si="1344"/>
        <v>#VALUE!</v>
      </c>
      <c r="BL1803" s="129" t="str">
        <f t="shared" si="1328"/>
        <v>NO CONVICTION</v>
      </c>
      <c r="BM1803" s="129" t="str">
        <f t="shared" si="1351"/>
        <v>NONE</v>
      </c>
      <c r="BN1803" s="129" t="s">
        <v>566</v>
      </c>
      <c r="BP1803" s="137" t="str">
        <f t="shared" si="1352"/>
        <v>NO CONVICTION</v>
      </c>
      <c r="BQ1803" s="128">
        <f t="shared" si="1353"/>
        <v>0</v>
      </c>
      <c r="BR1803" s="129" t="s">
        <v>1345</v>
      </c>
      <c r="BS1803" s="129" t="str">
        <f t="shared" si="1355"/>
        <v>DISPOSED</v>
      </c>
      <c r="BT1803" s="129" t="str">
        <f t="shared" si="1356"/>
        <v>N</v>
      </c>
      <c r="BU1803" s="109">
        <f>IFERROR(Q1803/R1803,BR1803)</f>
        <v>0</v>
      </c>
      <c r="BV1803" s="109">
        <v>0</v>
      </c>
      <c r="BW1803" s="109">
        <f t="shared" ref="BW1803:BW1842" si="1368">BV1803-BU1803</f>
        <v>0</v>
      </c>
      <c r="BX1803" s="111">
        <f t="shared" si="1359"/>
        <v>0</v>
      </c>
      <c r="BY1803" s="129" t="e">
        <f t="shared" si="1360"/>
        <v>#VALUE!</v>
      </c>
      <c r="BZ1803" s="111" t="e">
        <f t="shared" si="1361"/>
        <v>#VALUE!</v>
      </c>
      <c r="CA1803" s="138" t="e">
        <f t="shared" si="1362"/>
        <v>#VALUE!</v>
      </c>
      <c r="CB1803" s="111">
        <v>0</v>
      </c>
      <c r="CC1803" s="129">
        <v>0</v>
      </c>
      <c r="CG1803" s="129" t="str">
        <f t="shared" si="1364"/>
        <v>Y</v>
      </c>
      <c r="CI1803" s="129" t="str">
        <f t="shared" si="1365"/>
        <v>0-10 DAYS</v>
      </c>
      <c r="CJ1803" s="137">
        <f t="shared" si="1366"/>
        <v>1</v>
      </c>
      <c r="CK1803" s="129" t="str">
        <f t="shared" si="1367"/>
        <v>Not Booked</v>
      </c>
    </row>
    <row r="1804" spans="1:89" ht="15.75" customHeight="1" x14ac:dyDescent="0.25">
      <c r="A1804" s="111">
        <v>1938</v>
      </c>
      <c r="B1804" s="128" t="str">
        <f t="shared" si="1345"/>
        <v>Y</v>
      </c>
      <c r="C1804" s="128" t="str">
        <f t="shared" si="1346"/>
        <v>N</v>
      </c>
      <c r="D1804" s="117">
        <v>2292343</v>
      </c>
      <c r="E1804" s="135">
        <f t="shared" si="1347"/>
        <v>1</v>
      </c>
      <c r="F1804" s="124">
        <v>40980</v>
      </c>
      <c r="G1804" s="125">
        <v>40983</v>
      </c>
      <c r="H1804" s="117">
        <v>2292343</v>
      </c>
      <c r="I1804" s="124">
        <v>40982</v>
      </c>
      <c r="J1804" s="124">
        <v>40983</v>
      </c>
      <c r="K1804" s="126">
        <v>10000</v>
      </c>
      <c r="L1804" s="127" t="s">
        <v>570</v>
      </c>
      <c r="N1804" s="129" t="str">
        <f>IF(M1804&gt;1/1/1,"Y","N")</f>
        <v>N</v>
      </c>
      <c r="O1804" s="128" t="s">
        <v>917</v>
      </c>
      <c r="P1804" s="129" t="s">
        <v>123</v>
      </c>
      <c r="Q1804" s="111">
        <f t="shared" si="1337"/>
        <v>2</v>
      </c>
      <c r="R1804" s="111">
        <f t="shared" si="1327"/>
        <v>4</v>
      </c>
      <c r="S1804" s="129">
        <v>2</v>
      </c>
      <c r="T1804" s="129">
        <v>2</v>
      </c>
      <c r="U1804" s="129">
        <v>1</v>
      </c>
      <c r="W1804" s="111"/>
      <c r="AC1804" s="130"/>
      <c r="AD1804" s="130">
        <v>32045</v>
      </c>
      <c r="AE1804" s="128" t="s">
        <v>46</v>
      </c>
      <c r="AF1804" s="128" t="s">
        <v>33</v>
      </c>
      <c r="AG1804" s="128" t="s">
        <v>872</v>
      </c>
      <c r="AH1804" s="108" t="s">
        <v>58</v>
      </c>
      <c r="AI1804" s="128" t="s">
        <v>62</v>
      </c>
      <c r="AJ1804" s="129" t="s">
        <v>123</v>
      </c>
      <c r="AK1804" s="129">
        <v>1</v>
      </c>
      <c r="AL1804" s="3" t="s">
        <v>123</v>
      </c>
      <c r="AP1804" s="129" t="s">
        <v>169</v>
      </c>
      <c r="AR1804" s="128" t="s">
        <v>67</v>
      </c>
      <c r="AS1804" s="129" t="s">
        <v>64</v>
      </c>
      <c r="BC1804" s="129" t="s">
        <v>79</v>
      </c>
      <c r="BD1804" s="129" t="s">
        <v>1223</v>
      </c>
      <c r="BF1804" s="111">
        <f>IF(J1804&gt;1/1/1900,((J1804+1)-I1804),"STILL OPEN")</f>
        <v>2</v>
      </c>
      <c r="BG1804" s="111">
        <f>IF(G1804&gt;1/1/1900,((G1804+1)-I1804),"STILL OPEN")</f>
        <v>2</v>
      </c>
      <c r="BH1804" s="111">
        <f t="shared" si="1342"/>
        <v>4</v>
      </c>
      <c r="BI1804" s="111">
        <f t="shared" si="1343"/>
        <v>24.412568306010929</v>
      </c>
      <c r="BJ1804" s="129">
        <f t="shared" si="1350"/>
        <v>0</v>
      </c>
      <c r="BK1804" s="129">
        <f t="shared" si="1344"/>
        <v>0</v>
      </c>
      <c r="BL1804" s="129" t="str">
        <f t="shared" si="1328"/>
        <v>NO CONVICTION</v>
      </c>
      <c r="BM1804" s="129" t="str">
        <f t="shared" si="1351"/>
        <v>NONE</v>
      </c>
      <c r="BN1804" s="129" t="s">
        <v>566</v>
      </c>
      <c r="BP1804" s="137" t="str">
        <f t="shared" si="1352"/>
        <v>NO CONVICTION</v>
      </c>
      <c r="BQ1804" s="128" t="str">
        <f t="shared" si="1353"/>
        <v>Y</v>
      </c>
      <c r="BR1804" s="129" t="str">
        <f t="shared" si="1354"/>
        <v>DETAINED</v>
      </c>
      <c r="BS1804" s="129" t="str">
        <f t="shared" si="1355"/>
        <v>DISPOSED</v>
      </c>
      <c r="BT1804" s="129" t="str">
        <f t="shared" si="1356"/>
        <v>Y</v>
      </c>
      <c r="BU1804" s="109">
        <f>IFERROR(Q1804/R1804,BR1804)</f>
        <v>0.5</v>
      </c>
      <c r="BV1804" s="109">
        <f t="shared" si="1358"/>
        <v>1</v>
      </c>
      <c r="BW1804" s="109">
        <f t="shared" si="1368"/>
        <v>0.5</v>
      </c>
      <c r="BX1804" s="111">
        <f t="shared" si="1359"/>
        <v>0</v>
      </c>
      <c r="BY1804" s="129">
        <f t="shared" si="1360"/>
        <v>-2</v>
      </c>
      <c r="BZ1804" s="111">
        <f t="shared" si="1361"/>
        <v>0</v>
      </c>
      <c r="CA1804" s="138">
        <f t="shared" si="1362"/>
        <v>2</v>
      </c>
      <c r="CB1804" s="111" t="e">
        <f>IF(AF1804&gt;1/1/1900,((AF1804+1)-AE1804),"STILL OPEN")</f>
        <v>#VALUE!</v>
      </c>
      <c r="CC1804" s="129">
        <f>G1804-I1804+1</f>
        <v>2</v>
      </c>
      <c r="CD1804" s="129">
        <f>G1804-J1804</f>
        <v>0</v>
      </c>
      <c r="CG1804" s="129" t="str">
        <f t="shared" si="1364"/>
        <v>Y</v>
      </c>
      <c r="CI1804" s="129" t="str">
        <f t="shared" si="1365"/>
        <v>0-10 DAYS</v>
      </c>
      <c r="CJ1804" s="137">
        <f t="shared" si="1366"/>
        <v>1</v>
      </c>
      <c r="CK1804" s="129" t="str">
        <f t="shared" si="1367"/>
        <v>Booked</v>
      </c>
    </row>
    <row r="1805" spans="1:89" ht="15.75" customHeight="1" x14ac:dyDescent="0.25">
      <c r="A1805" s="111">
        <v>479</v>
      </c>
      <c r="B1805" s="128" t="str">
        <f t="shared" si="1345"/>
        <v>N</v>
      </c>
      <c r="C1805" s="128" t="str">
        <f t="shared" si="1346"/>
        <v>N</v>
      </c>
      <c r="D1805" s="117">
        <v>2292797</v>
      </c>
      <c r="E1805" s="135">
        <f t="shared" si="1347"/>
        <v>5</v>
      </c>
      <c r="F1805" s="124">
        <v>40928</v>
      </c>
      <c r="G1805" s="125">
        <v>40940</v>
      </c>
      <c r="H1805" s="117">
        <v>2292797</v>
      </c>
      <c r="I1805" s="124">
        <v>40928</v>
      </c>
      <c r="J1805" s="124">
        <v>40940</v>
      </c>
      <c r="K1805" s="126">
        <v>2000</v>
      </c>
      <c r="L1805" s="127" t="s">
        <v>568</v>
      </c>
      <c r="N1805" s="129" t="str">
        <f>IF(M1805&gt;1/1/1,"Y","N")</f>
        <v>N</v>
      </c>
      <c r="O1805" s="128" t="s">
        <v>917</v>
      </c>
      <c r="P1805" s="129" t="s">
        <v>39</v>
      </c>
      <c r="Q1805" s="111">
        <f t="shared" si="1337"/>
        <v>13</v>
      </c>
      <c r="R1805" s="111">
        <f t="shared" si="1327"/>
        <v>13</v>
      </c>
      <c r="S1805" s="129">
        <v>1</v>
      </c>
      <c r="T1805" s="129">
        <v>4</v>
      </c>
      <c r="U1805" s="129">
        <v>1</v>
      </c>
      <c r="W1805" s="111"/>
      <c r="AC1805" s="130"/>
      <c r="AD1805" s="130">
        <v>32018</v>
      </c>
      <c r="AE1805" s="128" t="s">
        <v>32</v>
      </c>
      <c r="AF1805" s="128" t="s">
        <v>40</v>
      </c>
      <c r="AG1805" s="128" t="s">
        <v>41</v>
      </c>
      <c r="AH1805" s="108" t="s">
        <v>41</v>
      </c>
      <c r="AI1805" s="128" t="s">
        <v>114</v>
      </c>
      <c r="AJ1805" s="129" t="s">
        <v>89</v>
      </c>
      <c r="AK1805" s="129">
        <v>2</v>
      </c>
      <c r="AL1805" s="3" t="s">
        <v>992</v>
      </c>
      <c r="AN1805" s="117">
        <v>6</v>
      </c>
      <c r="AP1805" s="129" t="s">
        <v>43</v>
      </c>
      <c r="AR1805" s="128" t="s">
        <v>44</v>
      </c>
      <c r="AS1805" s="129" t="s">
        <v>45</v>
      </c>
      <c r="BC1805" s="129" t="s">
        <v>38</v>
      </c>
      <c r="BF1805" s="111">
        <f>IF(J1805&gt;1/1/1900,((J1805+1)-I1805),"STILL OPEN")</f>
        <v>13</v>
      </c>
      <c r="BG1805" s="111">
        <f>IF(G1805&gt;1/1/1900,((G1805+1)-I1805),"STILL OPEN")</f>
        <v>13</v>
      </c>
      <c r="BH1805" s="111">
        <f t="shared" si="1342"/>
        <v>13</v>
      </c>
      <c r="BI1805" s="111">
        <f t="shared" si="1343"/>
        <v>24.344262295081968</v>
      </c>
      <c r="BJ1805" s="129">
        <f t="shared" si="1350"/>
        <v>0</v>
      </c>
      <c r="BK1805" s="129">
        <f t="shared" si="1344"/>
        <v>0</v>
      </c>
      <c r="BL1805" s="129" t="str">
        <f t="shared" si="1328"/>
        <v>CONVICTION</v>
      </c>
      <c r="BM1805" s="129" t="str">
        <f t="shared" si="1351"/>
        <v>NONE</v>
      </c>
      <c r="BN1805" s="129" t="s">
        <v>566</v>
      </c>
      <c r="BP1805" s="137" t="str">
        <f t="shared" si="1352"/>
        <v>CONVICTION</v>
      </c>
      <c r="BQ1805" s="128" t="str">
        <f t="shared" si="1353"/>
        <v>Y</v>
      </c>
      <c r="BR1805" s="129" t="str">
        <f t="shared" si="1354"/>
        <v>DETAINED</v>
      </c>
      <c r="BS1805" s="129" t="str">
        <f t="shared" si="1355"/>
        <v>DISPOSED</v>
      </c>
      <c r="BT1805" s="129" t="str">
        <f t="shared" si="1356"/>
        <v>Y</v>
      </c>
      <c r="BU1805" s="109">
        <f t="shared" si="1357"/>
        <v>1</v>
      </c>
      <c r="BV1805" s="109">
        <f t="shared" si="1358"/>
        <v>1</v>
      </c>
      <c r="BW1805" s="109">
        <f t="shared" si="1368"/>
        <v>0</v>
      </c>
      <c r="BX1805" s="111">
        <f t="shared" si="1359"/>
        <v>0</v>
      </c>
      <c r="BY1805" s="129">
        <f t="shared" si="1360"/>
        <v>-13</v>
      </c>
      <c r="BZ1805" s="111">
        <f t="shared" si="1361"/>
        <v>0</v>
      </c>
      <c r="CA1805" s="138">
        <f t="shared" si="1362"/>
        <v>13</v>
      </c>
      <c r="CB1805" s="111" t="e">
        <f>IF(AF1805&gt;1/1/1900,((AF1805+1)-AE1805),"STILL OPEN")</f>
        <v>#VALUE!</v>
      </c>
      <c r="CC1805" s="129">
        <f>G1805-I1805+1</f>
        <v>13</v>
      </c>
      <c r="CD1805" s="129">
        <f>G1805-J1805</f>
        <v>0</v>
      </c>
      <c r="CG1805" s="129" t="str">
        <f t="shared" si="1364"/>
        <v>Y</v>
      </c>
      <c r="CI1805" s="129" t="str">
        <f t="shared" si="1365"/>
        <v>11-30 DAYS</v>
      </c>
      <c r="CJ1805" s="137">
        <f t="shared" si="1366"/>
        <v>2</v>
      </c>
      <c r="CK1805" s="129" t="str">
        <f t="shared" si="1367"/>
        <v>Booked</v>
      </c>
    </row>
    <row r="1806" spans="1:89" ht="15.75" customHeight="1" x14ac:dyDescent="0.25">
      <c r="A1806" s="111">
        <v>3156</v>
      </c>
      <c r="B1806" s="128" t="str">
        <f t="shared" si="1345"/>
        <v>Y</v>
      </c>
      <c r="C1806" s="128" t="str">
        <f t="shared" si="1346"/>
        <v>Y</v>
      </c>
      <c r="D1806" s="117">
        <v>2292963</v>
      </c>
      <c r="E1806" s="135">
        <f t="shared" si="1347"/>
        <v>2</v>
      </c>
      <c r="F1806" s="124">
        <v>41025</v>
      </c>
      <c r="G1806" s="125">
        <v>41089</v>
      </c>
      <c r="H1806" s="117">
        <v>2292963</v>
      </c>
      <c r="I1806" s="124">
        <v>41025</v>
      </c>
      <c r="J1806" s="124">
        <v>41026</v>
      </c>
      <c r="K1806" s="126">
        <v>10000</v>
      </c>
      <c r="L1806" s="127" t="s">
        <v>570</v>
      </c>
      <c r="M1806" s="125">
        <v>41026</v>
      </c>
      <c r="N1806" s="129" t="str">
        <f>IF(M1806&gt;1/1/1,"Y","N")</f>
        <v>Y</v>
      </c>
      <c r="O1806" s="128" t="s">
        <v>585</v>
      </c>
      <c r="P1806" s="129" t="s">
        <v>589</v>
      </c>
      <c r="Q1806" s="111">
        <v>39</v>
      </c>
      <c r="R1806" s="111">
        <f t="shared" si="1327"/>
        <v>65</v>
      </c>
      <c r="S1806" s="129">
        <v>0</v>
      </c>
      <c r="T1806" s="129">
        <v>0</v>
      </c>
      <c r="W1806" s="111"/>
      <c r="AC1806" s="130"/>
      <c r="AD1806" s="130">
        <v>32480</v>
      </c>
      <c r="AE1806" s="128" t="s">
        <v>46</v>
      </c>
      <c r="AF1806" s="128" t="s">
        <v>69</v>
      </c>
      <c r="AG1806" s="128" t="s">
        <v>874</v>
      </c>
      <c r="AH1806" s="108" t="s">
        <v>58</v>
      </c>
      <c r="AI1806" s="128" t="s">
        <v>42</v>
      </c>
      <c r="AJ1806" s="129" t="s">
        <v>48</v>
      </c>
      <c r="AK1806" s="129">
        <v>4</v>
      </c>
      <c r="AL1806" s="3" t="s">
        <v>48</v>
      </c>
      <c r="AP1806" s="129" t="s">
        <v>127</v>
      </c>
      <c r="AR1806" s="128" t="s">
        <v>44</v>
      </c>
      <c r="AS1806" s="129" t="s">
        <v>82</v>
      </c>
      <c r="AT1806" s="129" t="s">
        <v>529</v>
      </c>
      <c r="AU1806" s="3" t="s">
        <v>797</v>
      </c>
      <c r="AX1806" s="32" t="s">
        <v>88</v>
      </c>
      <c r="BC1806" s="129" t="s">
        <v>38</v>
      </c>
      <c r="BD1806" s="129" t="s">
        <v>1293</v>
      </c>
      <c r="BF1806" s="111">
        <v>39</v>
      </c>
      <c r="BG1806" s="111">
        <f>IF(G1806&gt;1/1/1900,((G1806+1)-I1806),"STILL OPEN")</f>
        <v>65</v>
      </c>
      <c r="BH1806" s="111">
        <f t="shared" si="1342"/>
        <v>65</v>
      </c>
      <c r="BI1806" s="111">
        <f t="shared" si="1343"/>
        <v>23.346994535519126</v>
      </c>
      <c r="BJ1806" s="129">
        <f>(G1806-J1806)+(M1806-G1806)</f>
        <v>0</v>
      </c>
      <c r="BK1806" s="129">
        <f t="shared" si="1344"/>
        <v>-63</v>
      </c>
      <c r="BL1806" s="129" t="str">
        <f t="shared" si="1328"/>
        <v>DEFERRED</v>
      </c>
      <c r="BM1806" s="129" t="s">
        <v>76</v>
      </c>
      <c r="BN1806" s="129" t="s">
        <v>88</v>
      </c>
      <c r="BP1806" s="137" t="str">
        <f t="shared" si="1352"/>
        <v>DEFERRED</v>
      </c>
      <c r="BQ1806" s="128" t="str">
        <f t="shared" si="1353"/>
        <v>Y</v>
      </c>
      <c r="BR1806" s="129" t="str">
        <f t="shared" si="1354"/>
        <v>ON BOND</v>
      </c>
      <c r="BS1806" s="129" t="str">
        <f t="shared" si="1355"/>
        <v>DISPOSED</v>
      </c>
      <c r="BT1806" s="129" t="str">
        <f t="shared" si="1356"/>
        <v>N</v>
      </c>
      <c r="BU1806" s="109">
        <f t="shared" si="1357"/>
        <v>0.6</v>
      </c>
      <c r="BV1806" s="109">
        <f t="shared" si="1358"/>
        <v>3.0769230769230771E-2</v>
      </c>
      <c r="BW1806" s="109">
        <f t="shared" si="1368"/>
        <v>-0.56923076923076921</v>
      </c>
      <c r="BX1806" s="111">
        <f t="shared" si="1359"/>
        <v>0</v>
      </c>
      <c r="BY1806" s="129">
        <f t="shared" si="1360"/>
        <v>-2</v>
      </c>
      <c r="BZ1806" s="111">
        <f t="shared" si="1361"/>
        <v>37</v>
      </c>
      <c r="CA1806" s="138">
        <f t="shared" si="1362"/>
        <v>2</v>
      </c>
      <c r="CB1806" s="111">
        <v>39</v>
      </c>
      <c r="CD1806" s="129">
        <f>G1806-J1806</f>
        <v>63</v>
      </c>
      <c r="CG1806" s="129" t="str">
        <f t="shared" si="1364"/>
        <v>N</v>
      </c>
      <c r="CI1806" s="129" t="str">
        <f t="shared" si="1365"/>
        <v>31-60 DAYS</v>
      </c>
      <c r="CJ1806" s="137">
        <f t="shared" si="1366"/>
        <v>3</v>
      </c>
      <c r="CK1806" s="129" t="str">
        <f t="shared" si="1367"/>
        <v>Booked</v>
      </c>
    </row>
    <row r="1807" spans="1:89" ht="15" customHeight="1" x14ac:dyDescent="0.25">
      <c r="A1807" s="111">
        <v>1572</v>
      </c>
      <c r="B1807" s="128" t="str">
        <f t="shared" si="1345"/>
        <v>N</v>
      </c>
      <c r="C1807" s="128" t="str">
        <f t="shared" si="1346"/>
        <v>N</v>
      </c>
      <c r="D1807" s="117">
        <v>2293501</v>
      </c>
      <c r="E1807" s="135">
        <f t="shared" si="1347"/>
        <v>2</v>
      </c>
      <c r="F1807" s="124">
        <v>40967</v>
      </c>
      <c r="G1807" s="125">
        <v>41073</v>
      </c>
      <c r="H1807" s="117">
        <v>2293501</v>
      </c>
      <c r="I1807" s="124">
        <v>40967</v>
      </c>
      <c r="J1807" s="124">
        <v>40968</v>
      </c>
      <c r="K1807" s="126">
        <v>2000</v>
      </c>
      <c r="L1807" s="127" t="s">
        <v>568</v>
      </c>
      <c r="M1807" s="125">
        <v>40968</v>
      </c>
      <c r="N1807" s="129" t="str">
        <f>IF(M1807&gt;1/1/1,"Y","N")</f>
        <v>Y</v>
      </c>
      <c r="O1807" s="128" t="s">
        <v>76</v>
      </c>
      <c r="P1807" s="129" t="s">
        <v>589</v>
      </c>
      <c r="Q1807" s="111">
        <f>BF1807</f>
        <v>2</v>
      </c>
      <c r="R1807" s="111">
        <f t="shared" si="1327"/>
        <v>107</v>
      </c>
      <c r="S1807" s="129">
        <v>0</v>
      </c>
      <c r="T1807" s="129">
        <v>3</v>
      </c>
      <c r="W1807" s="111"/>
      <c r="AC1807" s="130"/>
      <c r="AD1807" s="130">
        <v>32917</v>
      </c>
      <c r="AE1807" s="128" t="s">
        <v>32</v>
      </c>
      <c r="AF1807" s="128" t="s">
        <v>69</v>
      </c>
      <c r="AG1807" s="128" t="s">
        <v>874</v>
      </c>
      <c r="AH1807" s="108" t="s">
        <v>31</v>
      </c>
      <c r="AI1807" s="128" t="s">
        <v>83</v>
      </c>
      <c r="AJ1807" s="129" t="s">
        <v>48</v>
      </c>
      <c r="AK1807" s="129">
        <v>6</v>
      </c>
      <c r="AL1807" s="3" t="s">
        <v>48</v>
      </c>
      <c r="AP1807" s="129" t="s">
        <v>43</v>
      </c>
      <c r="AR1807" s="128" t="s">
        <v>44</v>
      </c>
      <c r="AS1807" s="129" t="s">
        <v>45</v>
      </c>
      <c r="BC1807" s="129" t="s">
        <v>99</v>
      </c>
      <c r="BF1807" s="111">
        <f>IF(J1807&gt;1/1/1900,((J1807+1)-I1807),"STILL OPEN")</f>
        <v>2</v>
      </c>
      <c r="BG1807" s="111">
        <f>IF(G1807&gt;1/1/1900,((G1807+1)-I1807),"STILL OPEN")</f>
        <v>107</v>
      </c>
      <c r="BH1807" s="111">
        <f t="shared" si="1342"/>
        <v>107</v>
      </c>
      <c r="BI1807" s="111">
        <f t="shared" si="1343"/>
        <v>21.994535519125684</v>
      </c>
      <c r="BJ1807" s="129">
        <f>(G1807-J1807)+(M1807-G1807)</f>
        <v>0</v>
      </c>
      <c r="BK1807" s="129">
        <f t="shared" si="1344"/>
        <v>-105</v>
      </c>
      <c r="BL1807" s="129" t="str">
        <f t="shared" si="1328"/>
        <v>DEFERRED</v>
      </c>
      <c r="BM1807" s="129" t="s">
        <v>76</v>
      </c>
      <c r="BN1807" s="129" t="s">
        <v>88</v>
      </c>
      <c r="BP1807" s="137" t="str">
        <f t="shared" si="1352"/>
        <v>DEFERRED</v>
      </c>
      <c r="BQ1807" s="128" t="str">
        <f t="shared" si="1353"/>
        <v>Y</v>
      </c>
      <c r="BR1807" s="129" t="str">
        <f t="shared" si="1354"/>
        <v>ON BOND</v>
      </c>
      <c r="BS1807" s="129" t="str">
        <f t="shared" si="1355"/>
        <v>DISPOSED</v>
      </c>
      <c r="BT1807" s="129" t="str">
        <f t="shared" si="1356"/>
        <v>N</v>
      </c>
      <c r="BU1807" s="109">
        <f t="shared" si="1357"/>
        <v>1.8691588785046728E-2</v>
      </c>
      <c r="BV1807" s="109">
        <f t="shared" si="1358"/>
        <v>1.8691588785046728E-2</v>
      </c>
      <c r="BW1807" s="109">
        <f t="shared" si="1368"/>
        <v>0</v>
      </c>
      <c r="BX1807" s="111">
        <f t="shared" si="1359"/>
        <v>0</v>
      </c>
      <c r="BY1807" s="129">
        <f t="shared" si="1360"/>
        <v>-2</v>
      </c>
      <c r="BZ1807" s="111">
        <f t="shared" si="1361"/>
        <v>0</v>
      </c>
      <c r="CA1807" s="138">
        <f t="shared" si="1362"/>
        <v>2</v>
      </c>
      <c r="CB1807" s="111" t="e">
        <f>IF(AF1807&gt;1/1/1900,((AF1807+1)-AE1807),"STILL OPEN")</f>
        <v>#VALUE!</v>
      </c>
      <c r="CC1807" s="129">
        <f>M1807-I1807+1</f>
        <v>2</v>
      </c>
      <c r="CD1807" s="111">
        <f>CC1807-BF1807</f>
        <v>0</v>
      </c>
      <c r="CG1807" s="129" t="str">
        <f t="shared" si="1364"/>
        <v>Y</v>
      </c>
      <c r="CI1807" s="129" t="str">
        <f t="shared" si="1365"/>
        <v>0-10 DAYS</v>
      </c>
      <c r="CJ1807" s="137">
        <f t="shared" si="1366"/>
        <v>1</v>
      </c>
      <c r="CK1807" s="129" t="str">
        <f t="shared" si="1367"/>
        <v>Booked</v>
      </c>
    </row>
    <row r="1808" spans="1:89" ht="15.75" customHeight="1" x14ac:dyDescent="0.25">
      <c r="A1808" s="111">
        <v>761</v>
      </c>
      <c r="B1808" s="128" t="str">
        <f t="shared" si="1345"/>
        <v>N</v>
      </c>
      <c r="C1808" s="128" t="str">
        <f t="shared" si="1346"/>
        <v>N</v>
      </c>
      <c r="D1808" s="117">
        <v>2294707</v>
      </c>
      <c r="E1808" s="135">
        <f t="shared" si="1347"/>
        <v>5</v>
      </c>
      <c r="F1808" s="124">
        <v>40938</v>
      </c>
      <c r="G1808" s="125">
        <v>41073</v>
      </c>
      <c r="H1808" s="117">
        <v>2294707</v>
      </c>
      <c r="I1808" s="124" t="s">
        <v>562</v>
      </c>
      <c r="J1808" s="124" t="s">
        <v>562</v>
      </c>
      <c r="K1808" s="126">
        <v>5000</v>
      </c>
      <c r="L1808" s="127" t="s">
        <v>569</v>
      </c>
      <c r="M1808" s="125">
        <v>40940</v>
      </c>
      <c r="N1808" s="129" t="str">
        <f>IF(M1808&gt;1/1/1,"Y",IF(Q1808="0","","N"))</f>
        <v>Y</v>
      </c>
      <c r="O1808" s="128" t="s">
        <v>585</v>
      </c>
      <c r="P1808" s="129" t="s">
        <v>39</v>
      </c>
      <c r="Q1808" s="111">
        <f>BF1808</f>
        <v>0</v>
      </c>
      <c r="R1808" s="111">
        <f t="shared" si="1327"/>
        <v>136</v>
      </c>
      <c r="S1808" s="129">
        <v>1</v>
      </c>
      <c r="T1808" s="129">
        <v>5</v>
      </c>
      <c r="V1808" s="117">
        <v>1</v>
      </c>
      <c r="W1808" s="111"/>
      <c r="AC1808" s="130"/>
      <c r="AD1808" s="130">
        <v>32987</v>
      </c>
      <c r="AE1808" s="128" t="s">
        <v>32</v>
      </c>
      <c r="AF1808" s="128" t="s">
        <v>40</v>
      </c>
      <c r="AG1808" s="128" t="s">
        <v>41</v>
      </c>
      <c r="AH1808" s="108" t="s">
        <v>41</v>
      </c>
      <c r="AI1808" s="128" t="s">
        <v>71</v>
      </c>
      <c r="AJ1808" s="129" t="s">
        <v>89</v>
      </c>
      <c r="AK1808" s="129">
        <v>5</v>
      </c>
      <c r="AL1808" s="3" t="s">
        <v>992</v>
      </c>
      <c r="AN1808" s="117">
        <v>7</v>
      </c>
      <c r="AP1808" s="129" t="s">
        <v>108</v>
      </c>
      <c r="AR1808" s="128" t="s">
        <v>44</v>
      </c>
      <c r="AS1808" s="129" t="s">
        <v>61</v>
      </c>
      <c r="BC1808" s="129" t="s">
        <v>52</v>
      </c>
      <c r="BF1808" s="111">
        <v>0</v>
      </c>
      <c r="BG1808" s="111">
        <v>0</v>
      </c>
      <c r="BH1808" s="111">
        <f t="shared" si="1342"/>
        <v>136</v>
      </c>
      <c r="BI1808" s="111">
        <f t="shared" si="1343"/>
        <v>21.724043715846996</v>
      </c>
      <c r="BJ1808" s="129" t="e">
        <f>(G1808-J1808)+(M1808-G1808)</f>
        <v>#VALUE!</v>
      </c>
      <c r="BK1808" s="129" t="e">
        <f t="shared" si="1344"/>
        <v>#VALUE!</v>
      </c>
      <c r="BL1808" s="129" t="str">
        <f t="shared" si="1328"/>
        <v>CONVICTION</v>
      </c>
      <c r="BM1808" s="129" t="s">
        <v>76</v>
      </c>
      <c r="BN1808" s="129" t="s">
        <v>88</v>
      </c>
      <c r="BP1808" s="137" t="str">
        <f t="shared" si="1352"/>
        <v>CONVICTION</v>
      </c>
      <c r="BQ1808" s="128">
        <f t="shared" si="1353"/>
        <v>0</v>
      </c>
      <c r="BR1808" s="129" t="s">
        <v>575</v>
      </c>
      <c r="BS1808" s="129" t="str">
        <f t="shared" si="1355"/>
        <v>DISPOSED</v>
      </c>
      <c r="BT1808" s="129" t="str">
        <f t="shared" si="1356"/>
        <v>Y</v>
      </c>
      <c r="BU1808" s="109">
        <f t="shared" si="1357"/>
        <v>0</v>
      </c>
      <c r="BV1808" s="109">
        <v>0</v>
      </c>
      <c r="BW1808" s="109">
        <f t="shared" si="1368"/>
        <v>0</v>
      </c>
      <c r="BX1808" s="111">
        <f t="shared" si="1359"/>
        <v>0</v>
      </c>
      <c r="BY1808" s="129" t="e">
        <f t="shared" si="1360"/>
        <v>#VALUE!</v>
      </c>
      <c r="BZ1808" s="111" t="e">
        <f t="shared" si="1361"/>
        <v>#VALUE!</v>
      </c>
      <c r="CA1808" s="138" t="e">
        <f t="shared" si="1362"/>
        <v>#VALUE!</v>
      </c>
      <c r="CB1808" s="111">
        <v>0</v>
      </c>
      <c r="CC1808" s="129">
        <v>0</v>
      </c>
      <c r="CD1808" s="111">
        <f>CC1808-BF1808</f>
        <v>0</v>
      </c>
      <c r="CG1808" s="129" t="str">
        <f t="shared" si="1364"/>
        <v>Y</v>
      </c>
      <c r="CI1808" s="129" t="str">
        <f t="shared" si="1365"/>
        <v>0-10 DAYS</v>
      </c>
      <c r="CJ1808" s="137">
        <f t="shared" si="1366"/>
        <v>1</v>
      </c>
      <c r="CK1808" s="129" t="str">
        <f t="shared" si="1367"/>
        <v>Not Booked</v>
      </c>
    </row>
    <row r="1809" spans="1:89" ht="15" customHeight="1" x14ac:dyDescent="0.25">
      <c r="A1809" s="111">
        <v>69</v>
      </c>
      <c r="B1809" s="128" t="str">
        <f t="shared" si="1345"/>
        <v>N</v>
      </c>
      <c r="C1809" s="128" t="str">
        <f t="shared" si="1346"/>
        <v>N</v>
      </c>
      <c r="D1809" s="117">
        <v>2295440</v>
      </c>
      <c r="E1809" s="135">
        <f t="shared" si="1347"/>
        <v>4</v>
      </c>
      <c r="F1809" s="124">
        <v>40912</v>
      </c>
      <c r="G1809" s="125">
        <v>40974</v>
      </c>
      <c r="H1809" s="117">
        <v>2295440</v>
      </c>
      <c r="I1809" s="124">
        <v>40920</v>
      </c>
      <c r="J1809" s="124">
        <v>40974</v>
      </c>
      <c r="K1809" s="126">
        <v>10000</v>
      </c>
      <c r="L1809" s="127" t="s">
        <v>570</v>
      </c>
      <c r="N1809" s="129" t="str">
        <f>IF(M1809&gt;1/1/1,"Y","N")</f>
        <v>N</v>
      </c>
      <c r="O1809" s="128" t="s">
        <v>917</v>
      </c>
      <c r="P1809" s="129" t="s">
        <v>39</v>
      </c>
      <c r="Q1809" s="111">
        <f>BF1809</f>
        <v>55</v>
      </c>
      <c r="R1809" s="111">
        <f t="shared" si="1327"/>
        <v>63</v>
      </c>
      <c r="S1809" s="129">
        <v>0</v>
      </c>
      <c r="T1809" s="129">
        <v>3</v>
      </c>
      <c r="W1809" s="111"/>
      <c r="AC1809" s="130"/>
      <c r="AD1809" s="130">
        <v>32943</v>
      </c>
      <c r="AE1809" s="128" t="s">
        <v>32</v>
      </c>
      <c r="AF1809" s="128" t="s">
        <v>69</v>
      </c>
      <c r="AG1809" s="128" t="s">
        <v>874</v>
      </c>
      <c r="AH1809" s="108" t="s">
        <v>58</v>
      </c>
      <c r="AI1809" s="128" t="s">
        <v>90</v>
      </c>
      <c r="AJ1809" s="129" t="s">
        <v>89</v>
      </c>
      <c r="AK1809" s="129">
        <v>4</v>
      </c>
      <c r="AL1809" s="3" t="s">
        <v>991</v>
      </c>
      <c r="AO1809" s="128">
        <v>365</v>
      </c>
      <c r="AP1809" s="129" t="s">
        <v>107</v>
      </c>
      <c r="AR1809" s="128" t="s">
        <v>44</v>
      </c>
      <c r="AS1809" s="129" t="s">
        <v>57</v>
      </c>
      <c r="BC1809" s="129" t="s">
        <v>38</v>
      </c>
      <c r="BF1809" s="111">
        <f>IF(J1809&gt;1/1/1900,((J1809+1)-I1809),"STILL OPEN")</f>
        <v>55</v>
      </c>
      <c r="BG1809" s="111">
        <f t="shared" ref="BG1809:BG1815" si="1369">IF(G1809&gt;1/1/1900,((G1809+1)-I1809),"STILL OPEN")</f>
        <v>55</v>
      </c>
      <c r="BH1809" s="111">
        <f t="shared" si="1342"/>
        <v>63</v>
      </c>
      <c r="BI1809" s="111">
        <f t="shared" si="1343"/>
        <v>21.773224043715846</v>
      </c>
      <c r="BJ1809" s="129">
        <f t="shared" si="1350"/>
        <v>0</v>
      </c>
      <c r="BK1809" s="129">
        <f t="shared" si="1344"/>
        <v>0</v>
      </c>
      <c r="BL1809" s="129" t="str">
        <f t="shared" si="1328"/>
        <v>CONVICTION</v>
      </c>
      <c r="BM1809" s="129" t="str">
        <f t="shared" si="1351"/>
        <v>NONE</v>
      </c>
      <c r="BN1809" s="129" t="s">
        <v>566</v>
      </c>
      <c r="BP1809" s="137" t="str">
        <f t="shared" si="1352"/>
        <v>CONVICTION</v>
      </c>
      <c r="BQ1809" s="128" t="str">
        <f t="shared" si="1353"/>
        <v>Y</v>
      </c>
      <c r="BR1809" s="129" t="str">
        <f t="shared" si="1354"/>
        <v>DETAINED</v>
      </c>
      <c r="BS1809" s="129" t="str">
        <f t="shared" si="1355"/>
        <v>DISPOSED</v>
      </c>
      <c r="BT1809" s="129" t="str">
        <f t="shared" si="1356"/>
        <v>N</v>
      </c>
      <c r="BU1809" s="109">
        <f t="shared" si="1357"/>
        <v>0.87301587301587302</v>
      </c>
      <c r="BV1809" s="109">
        <f t="shared" si="1358"/>
        <v>1</v>
      </c>
      <c r="BW1809" s="109">
        <f t="shared" si="1368"/>
        <v>0.12698412698412698</v>
      </c>
      <c r="BX1809" s="111">
        <f t="shared" si="1359"/>
        <v>0</v>
      </c>
      <c r="BY1809" s="129">
        <f t="shared" si="1360"/>
        <v>-55</v>
      </c>
      <c r="BZ1809" s="111">
        <f t="shared" si="1361"/>
        <v>0</v>
      </c>
      <c r="CA1809" s="138">
        <f t="shared" si="1362"/>
        <v>55</v>
      </c>
      <c r="CB1809" s="111" t="e">
        <f>IF(AF1809&gt;1/1/1900,((AF1809+1)-AE1809),"STILL OPEN")</f>
        <v>#VALUE!</v>
      </c>
      <c r="CC1809" s="129">
        <f>G1809-I1809+1</f>
        <v>55</v>
      </c>
      <c r="CD1809" s="129">
        <f>G1809-J1809</f>
        <v>0</v>
      </c>
      <c r="CG1809" s="129" t="str">
        <f t="shared" si="1364"/>
        <v>Y</v>
      </c>
      <c r="CI1809" s="129" t="str">
        <f t="shared" si="1365"/>
        <v>31-60 DAYS</v>
      </c>
      <c r="CJ1809" s="137">
        <f t="shared" si="1366"/>
        <v>3</v>
      </c>
      <c r="CK1809" s="129" t="str">
        <f t="shared" si="1367"/>
        <v>Booked</v>
      </c>
    </row>
    <row r="1810" spans="1:89" ht="15.75" customHeight="1" x14ac:dyDescent="0.25">
      <c r="A1810" s="111">
        <v>430</v>
      </c>
      <c r="B1810" s="128" t="str">
        <f t="shared" si="1345"/>
        <v>Y</v>
      </c>
      <c r="C1810" s="128" t="str">
        <f t="shared" si="1346"/>
        <v>Y</v>
      </c>
      <c r="D1810" s="117">
        <v>2295684</v>
      </c>
      <c r="E1810" s="135">
        <f t="shared" si="1347"/>
        <v>2</v>
      </c>
      <c r="F1810" s="124">
        <v>40926</v>
      </c>
      <c r="G1810" s="125">
        <v>41303</v>
      </c>
      <c r="H1810" s="117">
        <v>2295684</v>
      </c>
      <c r="I1810" s="124">
        <v>40927</v>
      </c>
      <c r="J1810" s="124">
        <v>40928</v>
      </c>
      <c r="K1810" s="126">
        <v>5000</v>
      </c>
      <c r="L1810" s="127" t="s">
        <v>569</v>
      </c>
      <c r="M1810" s="125">
        <v>40928</v>
      </c>
      <c r="N1810" s="129" t="str">
        <f>IF(M1810&gt;1/1/1,"Y","N")</f>
        <v>Y</v>
      </c>
      <c r="O1810" s="128" t="s">
        <v>76</v>
      </c>
      <c r="P1810" s="129" t="s">
        <v>589</v>
      </c>
      <c r="Q1810" s="111">
        <v>82</v>
      </c>
      <c r="R1810" s="111">
        <f t="shared" ref="R1810:R1873" si="1370">BH1810</f>
        <v>378</v>
      </c>
      <c r="S1810" s="129">
        <v>0</v>
      </c>
      <c r="T1810" s="129">
        <v>2</v>
      </c>
      <c r="W1810" s="111"/>
      <c r="AC1810" s="130"/>
      <c r="AD1810" s="130">
        <v>31626</v>
      </c>
      <c r="AE1810" s="128" t="s">
        <v>32</v>
      </c>
      <c r="AF1810" s="128" t="s">
        <v>33</v>
      </c>
      <c r="AG1810" s="128" t="s">
        <v>872</v>
      </c>
      <c r="AH1810" s="108" t="s">
        <v>31</v>
      </c>
      <c r="AI1810" s="128" t="s">
        <v>80</v>
      </c>
      <c r="AJ1810" s="129" t="s">
        <v>48</v>
      </c>
      <c r="AK1810" s="129">
        <v>10</v>
      </c>
      <c r="AL1810" s="3" t="s">
        <v>48</v>
      </c>
      <c r="AP1810" s="129" t="s">
        <v>93</v>
      </c>
      <c r="AR1810" s="128" t="s">
        <v>67</v>
      </c>
      <c r="AS1810" s="129" t="s">
        <v>45</v>
      </c>
      <c r="AT1810" s="129" t="s">
        <v>1068</v>
      </c>
      <c r="AV1810" s="3" t="s">
        <v>88</v>
      </c>
      <c r="AW1810" s="125">
        <v>41150</v>
      </c>
      <c r="AX1810" s="123" t="s">
        <v>88</v>
      </c>
      <c r="BA1810" s="125">
        <v>41395</v>
      </c>
      <c r="BB1810" s="129">
        <v>282</v>
      </c>
      <c r="BC1810" s="129" t="s">
        <v>52</v>
      </c>
      <c r="BD1810" s="129" t="s">
        <v>1067</v>
      </c>
      <c r="BF1810" s="111">
        <v>82</v>
      </c>
      <c r="BG1810" s="111">
        <f t="shared" si="1369"/>
        <v>377</v>
      </c>
      <c r="BH1810" s="111">
        <f t="shared" si="1342"/>
        <v>378</v>
      </c>
      <c r="BI1810" s="111">
        <f t="shared" si="1343"/>
        <v>25.409836065573771</v>
      </c>
      <c r="BJ1810" s="129">
        <f>(G1810-J1810)+(M1810-G1810)</f>
        <v>0</v>
      </c>
      <c r="BK1810" s="129">
        <f t="shared" si="1344"/>
        <v>-375</v>
      </c>
      <c r="BL1810" s="129" t="str">
        <f t="shared" si="1328"/>
        <v>DEFERRED</v>
      </c>
      <c r="BM1810" s="129" t="s">
        <v>76</v>
      </c>
      <c r="BN1810" s="129" t="s">
        <v>88</v>
      </c>
      <c r="BP1810" s="137" t="str">
        <f t="shared" si="1352"/>
        <v>DEFERRED</v>
      </c>
      <c r="BQ1810" s="128" t="str">
        <f t="shared" si="1353"/>
        <v>Y</v>
      </c>
      <c r="BR1810" s="129" t="s">
        <v>574</v>
      </c>
      <c r="BS1810" s="129" t="str">
        <f t="shared" si="1355"/>
        <v>DISPOSED</v>
      </c>
      <c r="BT1810" s="129" t="str">
        <f t="shared" si="1356"/>
        <v>N</v>
      </c>
      <c r="BU1810" s="109">
        <f t="shared" si="1357"/>
        <v>0.21693121693121692</v>
      </c>
      <c r="BV1810" s="109">
        <f t="shared" si="1358"/>
        <v>5.3050397877984082E-3</v>
      </c>
      <c r="BW1810" s="109">
        <f t="shared" si="1368"/>
        <v>-0.2116261771434185</v>
      </c>
      <c r="BX1810" s="111">
        <f t="shared" si="1359"/>
        <v>0</v>
      </c>
      <c r="BY1810" s="129">
        <f t="shared" si="1360"/>
        <v>-2</v>
      </c>
      <c r="BZ1810" s="111">
        <f t="shared" si="1361"/>
        <v>80</v>
      </c>
      <c r="CA1810" s="138">
        <f t="shared" si="1362"/>
        <v>377</v>
      </c>
      <c r="CB1810" s="111">
        <v>82</v>
      </c>
      <c r="CC1810" s="129">
        <f>G1810-I1810+1</f>
        <v>377</v>
      </c>
      <c r="CD1810" s="129">
        <f>G1810-J1810</f>
        <v>375</v>
      </c>
      <c r="CG1810" s="129" t="str">
        <f t="shared" si="1364"/>
        <v>Y</v>
      </c>
      <c r="CI1810" s="129" t="str">
        <f t="shared" si="1365"/>
        <v>61-90 DAYS</v>
      </c>
      <c r="CJ1810" s="137">
        <f t="shared" si="1366"/>
        <v>4</v>
      </c>
      <c r="CK1810" s="129" t="str">
        <f t="shared" si="1367"/>
        <v>Booked</v>
      </c>
    </row>
    <row r="1811" spans="1:89" ht="15.75" customHeight="1" x14ac:dyDescent="0.25">
      <c r="A1811" s="111">
        <v>1618</v>
      </c>
      <c r="B1811" s="128" t="str">
        <f t="shared" si="1345"/>
        <v>N</v>
      </c>
      <c r="C1811" s="128" t="str">
        <f t="shared" si="1346"/>
        <v>N</v>
      </c>
      <c r="D1811" s="117">
        <v>2296356</v>
      </c>
      <c r="E1811" s="135">
        <f t="shared" si="1347"/>
        <v>6</v>
      </c>
      <c r="F1811" s="124">
        <v>40969</v>
      </c>
      <c r="G1811" s="125">
        <v>40976</v>
      </c>
      <c r="H1811" s="117">
        <v>2296356</v>
      </c>
      <c r="I1811" s="124">
        <v>40969</v>
      </c>
      <c r="J1811" s="124">
        <v>40976</v>
      </c>
      <c r="K1811" s="126" t="s">
        <v>564</v>
      </c>
      <c r="L1811" s="127" t="s">
        <v>564</v>
      </c>
      <c r="N1811" s="129" t="s">
        <v>566</v>
      </c>
      <c r="O1811" s="128" t="s">
        <v>917</v>
      </c>
      <c r="P1811" s="129" t="s">
        <v>39</v>
      </c>
      <c r="Q1811" s="111">
        <f>BF1811</f>
        <v>8</v>
      </c>
      <c r="R1811" s="111">
        <f t="shared" si="1370"/>
        <v>8</v>
      </c>
      <c r="S1811" s="129">
        <v>2</v>
      </c>
      <c r="T1811" s="129">
        <v>2</v>
      </c>
      <c r="U1811" s="129">
        <v>2</v>
      </c>
      <c r="W1811" s="111"/>
      <c r="AC1811" s="130"/>
      <c r="AD1811" s="130">
        <v>32863</v>
      </c>
      <c r="AE1811" s="128" t="s">
        <v>32</v>
      </c>
      <c r="AF1811" s="128" t="s">
        <v>69</v>
      </c>
      <c r="AG1811" s="128" t="s">
        <v>874</v>
      </c>
      <c r="AH1811" s="108" t="s">
        <v>31</v>
      </c>
      <c r="AI1811" s="128" t="s">
        <v>62</v>
      </c>
      <c r="AJ1811" s="129" t="s">
        <v>89</v>
      </c>
      <c r="AK1811" s="129">
        <v>2</v>
      </c>
      <c r="AL1811" s="3" t="s">
        <v>362</v>
      </c>
      <c r="AM1811" s="117">
        <v>3</v>
      </c>
      <c r="AP1811" s="129" t="s">
        <v>101</v>
      </c>
      <c r="AR1811" s="128" t="s">
        <v>67</v>
      </c>
      <c r="AS1811" s="129" t="s">
        <v>64</v>
      </c>
      <c r="BC1811" s="129" t="s">
        <v>38</v>
      </c>
      <c r="BF1811" s="111">
        <f>IF(J1811&gt;1/1/1900,((J1811+1)-I1811),"STILL OPEN")</f>
        <v>8</v>
      </c>
      <c r="BG1811" s="111">
        <f t="shared" si="1369"/>
        <v>8</v>
      </c>
      <c r="BH1811" s="111">
        <f t="shared" si="1342"/>
        <v>8</v>
      </c>
      <c r="BI1811" s="111">
        <f t="shared" si="1343"/>
        <v>22.147540983606557</v>
      </c>
      <c r="BJ1811" s="129">
        <f t="shared" si="1350"/>
        <v>0</v>
      </c>
      <c r="BK1811" s="129">
        <f t="shared" si="1344"/>
        <v>0</v>
      </c>
      <c r="BL1811" s="129" t="str">
        <f t="shared" si="1328"/>
        <v>CONVICTION</v>
      </c>
      <c r="BM1811" s="129" t="str">
        <f t="shared" si="1351"/>
        <v>NONE</v>
      </c>
      <c r="BN1811" s="129" t="s">
        <v>566</v>
      </c>
      <c r="BP1811" s="137" t="str">
        <f t="shared" si="1352"/>
        <v>CONVICTION</v>
      </c>
      <c r="BQ1811" s="128" t="str">
        <f t="shared" si="1353"/>
        <v>Y</v>
      </c>
      <c r="BR1811" s="129" t="str">
        <f t="shared" si="1354"/>
        <v>DETAINED</v>
      </c>
      <c r="BS1811" s="129" t="str">
        <f t="shared" si="1355"/>
        <v>DISPOSED</v>
      </c>
      <c r="BT1811" s="129" t="str">
        <f t="shared" si="1356"/>
        <v>Y</v>
      </c>
      <c r="BU1811" s="109">
        <f t="shared" si="1357"/>
        <v>1</v>
      </c>
      <c r="BV1811" s="109">
        <f t="shared" si="1358"/>
        <v>1</v>
      </c>
      <c r="BW1811" s="109">
        <f t="shared" si="1368"/>
        <v>0</v>
      </c>
      <c r="BX1811" s="111">
        <f t="shared" si="1359"/>
        <v>0</v>
      </c>
      <c r="BY1811" s="129">
        <f t="shared" si="1360"/>
        <v>-8</v>
      </c>
      <c r="BZ1811" s="111">
        <f t="shared" si="1361"/>
        <v>0</v>
      </c>
      <c r="CA1811" s="138">
        <f t="shared" si="1362"/>
        <v>8</v>
      </c>
      <c r="CB1811" s="111" t="e">
        <f>IF(AF1811&gt;1/1/1900,((AF1811+1)-AE1811),"STILL OPEN")</f>
        <v>#VALUE!</v>
      </c>
      <c r="CC1811" s="129">
        <f>G1811-I1811+1</f>
        <v>8</v>
      </c>
      <c r="CD1811" s="129">
        <f>G1811-J1811</f>
        <v>0</v>
      </c>
      <c r="CG1811" s="129" t="str">
        <f t="shared" si="1364"/>
        <v>Y</v>
      </c>
      <c r="CI1811" s="129" t="str">
        <f t="shared" si="1365"/>
        <v>0-10 DAYS</v>
      </c>
      <c r="CJ1811" s="137">
        <f t="shared" si="1366"/>
        <v>1</v>
      </c>
      <c r="CK1811" s="129" t="str">
        <f t="shared" si="1367"/>
        <v>Booked</v>
      </c>
    </row>
    <row r="1812" spans="1:89" ht="15.75" customHeight="1" x14ac:dyDescent="0.25">
      <c r="A1812" s="111">
        <v>2918</v>
      </c>
      <c r="B1812" s="128" t="str">
        <f t="shared" si="1345"/>
        <v>N</v>
      </c>
      <c r="C1812" s="128" t="str">
        <f t="shared" si="1346"/>
        <v>Y</v>
      </c>
      <c r="D1812" s="117">
        <v>2297096</v>
      </c>
      <c r="E1812" s="135">
        <f t="shared" si="1347"/>
        <v>4</v>
      </c>
      <c r="F1812" s="124">
        <v>41016</v>
      </c>
      <c r="G1812" s="125">
        <v>41171</v>
      </c>
      <c r="H1812" s="117">
        <v>2297096</v>
      </c>
      <c r="I1812" s="124">
        <v>41017</v>
      </c>
      <c r="J1812" s="124">
        <v>41018</v>
      </c>
      <c r="K1812" s="126">
        <v>5000</v>
      </c>
      <c r="L1812" s="127" t="s">
        <v>569</v>
      </c>
      <c r="M1812" s="125">
        <v>41018</v>
      </c>
      <c r="N1812" s="129" t="str">
        <f>IF(M1812&gt;1/1/1,"Y","N")</f>
        <v>Y</v>
      </c>
      <c r="O1812" s="128" t="s">
        <v>76</v>
      </c>
      <c r="P1812" s="129" t="s">
        <v>39</v>
      </c>
      <c r="Q1812" s="111">
        <v>16</v>
      </c>
      <c r="R1812" s="111">
        <f t="shared" si="1370"/>
        <v>156</v>
      </c>
      <c r="S1812" s="129">
        <v>2</v>
      </c>
      <c r="T1812" s="129">
        <v>2</v>
      </c>
      <c r="U1812" s="129">
        <v>1</v>
      </c>
      <c r="W1812" s="111"/>
      <c r="AC1812" s="130"/>
      <c r="AD1812" s="130">
        <v>31925</v>
      </c>
      <c r="AE1812" s="128" t="s">
        <v>32</v>
      </c>
      <c r="AF1812" s="128" t="s">
        <v>33</v>
      </c>
      <c r="AG1812" s="128" t="s">
        <v>872</v>
      </c>
      <c r="AH1812" s="108" t="s">
        <v>58</v>
      </c>
      <c r="AI1812" s="128" t="s">
        <v>87</v>
      </c>
      <c r="AJ1812" s="129" t="s">
        <v>89</v>
      </c>
      <c r="AK1812" s="129">
        <v>8</v>
      </c>
      <c r="AL1812" s="3" t="s">
        <v>991</v>
      </c>
      <c r="AO1812" s="128">
        <v>180</v>
      </c>
      <c r="AP1812" s="129" t="s">
        <v>60</v>
      </c>
      <c r="AR1812" s="128" t="s">
        <v>44</v>
      </c>
      <c r="AS1812" s="129" t="s">
        <v>61</v>
      </c>
      <c r="AV1812" s="3" t="s">
        <v>88</v>
      </c>
      <c r="AW1812" s="129" t="s">
        <v>786</v>
      </c>
      <c r="BA1812" s="125">
        <v>41185</v>
      </c>
      <c r="BB1812" s="129">
        <v>238</v>
      </c>
      <c r="BC1812" s="129" t="s">
        <v>52</v>
      </c>
      <c r="BF1812" s="111">
        <v>16</v>
      </c>
      <c r="BG1812" s="111">
        <f t="shared" si="1369"/>
        <v>155</v>
      </c>
      <c r="BH1812" s="111">
        <f t="shared" si="1342"/>
        <v>156</v>
      </c>
      <c r="BI1812" s="111">
        <f t="shared" si="1343"/>
        <v>24.838797814207652</v>
      </c>
      <c r="BJ1812" s="129">
        <f>(G1812-J1812)+(M1812-G1812)</f>
        <v>0</v>
      </c>
      <c r="BK1812" s="129">
        <f t="shared" si="1344"/>
        <v>-153</v>
      </c>
      <c r="BL1812" s="129" t="str">
        <f t="shared" si="1328"/>
        <v>CONVICTION</v>
      </c>
      <c r="BM1812" s="129" t="s">
        <v>76</v>
      </c>
      <c r="BN1812" s="129" t="s">
        <v>566</v>
      </c>
      <c r="BP1812" s="137" t="str">
        <f t="shared" si="1352"/>
        <v>CONVICTION</v>
      </c>
      <c r="BQ1812" s="128" t="str">
        <f t="shared" si="1353"/>
        <v>Y</v>
      </c>
      <c r="BR1812" s="129" t="s">
        <v>574</v>
      </c>
      <c r="BS1812" s="129" t="str">
        <f t="shared" si="1355"/>
        <v>DISPOSED</v>
      </c>
      <c r="BT1812" s="129" t="str">
        <f t="shared" si="1356"/>
        <v>Y</v>
      </c>
      <c r="BU1812" s="109">
        <f t="shared" si="1357"/>
        <v>0.10256410256410256</v>
      </c>
      <c r="BV1812" s="109">
        <f t="shared" si="1358"/>
        <v>1.2903225806451613E-2</v>
      </c>
      <c r="BW1812" s="109">
        <f t="shared" si="1368"/>
        <v>-8.9660876757650942E-2</v>
      </c>
      <c r="BX1812" s="111">
        <f t="shared" si="1359"/>
        <v>0</v>
      </c>
      <c r="BY1812" s="129">
        <f t="shared" si="1360"/>
        <v>-2</v>
      </c>
      <c r="BZ1812" s="111">
        <f t="shared" si="1361"/>
        <v>14</v>
      </c>
      <c r="CA1812" s="138">
        <f t="shared" si="1362"/>
        <v>155</v>
      </c>
      <c r="CB1812" s="111">
        <v>16</v>
      </c>
      <c r="CC1812" s="129">
        <f>G1812-I1812+1</f>
        <v>155</v>
      </c>
      <c r="CD1812" s="129">
        <f>G1812-J1812</f>
        <v>153</v>
      </c>
      <c r="CG1812" s="129" t="str">
        <f t="shared" si="1364"/>
        <v>Y</v>
      </c>
      <c r="CI1812" s="129" t="str">
        <f t="shared" si="1365"/>
        <v>11-30 DAYS</v>
      </c>
      <c r="CJ1812" s="137">
        <f t="shared" si="1366"/>
        <v>2</v>
      </c>
      <c r="CK1812" s="129" t="str">
        <f t="shared" si="1367"/>
        <v>Booked</v>
      </c>
    </row>
    <row r="1813" spans="1:89" ht="15" customHeight="1" x14ac:dyDescent="0.25">
      <c r="A1813" s="111">
        <v>996</v>
      </c>
      <c r="B1813" s="128" t="str">
        <f t="shared" si="1345"/>
        <v>N</v>
      </c>
      <c r="C1813" s="128" t="str">
        <f t="shared" si="1346"/>
        <v>N</v>
      </c>
      <c r="D1813" s="117">
        <v>2297254</v>
      </c>
      <c r="E1813" s="135">
        <f t="shared" si="1347"/>
        <v>1</v>
      </c>
      <c r="F1813" s="124">
        <v>40946</v>
      </c>
      <c r="G1813" s="125">
        <v>41064</v>
      </c>
      <c r="H1813" s="117">
        <v>2297254</v>
      </c>
      <c r="I1813" s="124">
        <v>40947</v>
      </c>
      <c r="J1813" s="124">
        <v>40948</v>
      </c>
      <c r="K1813" s="126">
        <v>10000</v>
      </c>
      <c r="L1813" s="127" t="s">
        <v>570</v>
      </c>
      <c r="M1813" s="125">
        <v>40948</v>
      </c>
      <c r="N1813" s="129" t="str">
        <f>IF(M1813&gt;1/1/1,"Y","N")</f>
        <v>Y</v>
      </c>
      <c r="O1813" s="128" t="s">
        <v>76</v>
      </c>
      <c r="P1813" s="129" t="s">
        <v>55</v>
      </c>
      <c r="Q1813" s="111">
        <f t="shared" ref="Q1813:Q1833" si="1371">BF1813</f>
        <v>2</v>
      </c>
      <c r="R1813" s="111">
        <f t="shared" si="1370"/>
        <v>119</v>
      </c>
      <c r="S1813" s="129">
        <v>0</v>
      </c>
      <c r="T1813" s="129">
        <v>1</v>
      </c>
      <c r="W1813" s="111"/>
      <c r="AC1813" s="130"/>
      <c r="AD1813" s="130">
        <v>30433</v>
      </c>
      <c r="AE1813" s="128" t="s">
        <v>32</v>
      </c>
      <c r="AF1813" s="128" t="s">
        <v>33</v>
      </c>
      <c r="AG1813" s="128" t="s">
        <v>872</v>
      </c>
      <c r="AH1813" s="108" t="s">
        <v>31</v>
      </c>
      <c r="AI1813" s="128" t="s">
        <v>53</v>
      </c>
      <c r="AJ1813" s="129" t="s">
        <v>55</v>
      </c>
      <c r="AK1813" s="129">
        <v>8</v>
      </c>
      <c r="AL1813" s="3" t="s">
        <v>55</v>
      </c>
      <c r="AP1813" s="129" t="s">
        <v>150</v>
      </c>
      <c r="AR1813" s="128" t="s">
        <v>67</v>
      </c>
      <c r="AS1813" s="129" t="s">
        <v>74</v>
      </c>
      <c r="BC1813" s="129" t="s">
        <v>52</v>
      </c>
      <c r="BF1813" s="111">
        <f>IF(J1813&gt;1/1/1900,((J1813+1)-I1813),"STILL OPEN")</f>
        <v>2</v>
      </c>
      <c r="BG1813" s="111">
        <f t="shared" si="1369"/>
        <v>118</v>
      </c>
      <c r="BH1813" s="111">
        <f t="shared" si="1342"/>
        <v>119</v>
      </c>
      <c r="BI1813" s="111">
        <f t="shared" si="1343"/>
        <v>28.724043715846996</v>
      </c>
      <c r="BJ1813" s="129">
        <f>(G1813-J1813)+(M1813-G1813)</f>
        <v>0</v>
      </c>
      <c r="BK1813" s="129">
        <f t="shared" si="1344"/>
        <v>-116</v>
      </c>
      <c r="BL1813" s="129" t="str">
        <f t="shared" ref="BL1813:BL1876" si="1372">IF(OR(AL1813="AQUITTAL",AL1813="DISMISSED",AL1813="FINE",AL1813="NO BILL"),"NO CONVICTION",IF(OR(AL1813="HCJ",AL1813="MHH",AL1813="PROBATION",AL1813="STJ",AL1813="TDC"),"CONVICTION",IF(AL1813="DEFERRED","DEFERRED",0)))</f>
        <v>NO CONVICTION</v>
      </c>
      <c r="BM1813" s="129" t="s">
        <v>76</v>
      </c>
      <c r="BN1813" s="129" t="s">
        <v>88</v>
      </c>
      <c r="BP1813" s="137" t="str">
        <f t="shared" si="1352"/>
        <v>NO CONVICTION</v>
      </c>
      <c r="BQ1813" s="128" t="str">
        <f t="shared" si="1353"/>
        <v>Y</v>
      </c>
      <c r="BR1813" s="129" t="str">
        <f t="shared" si="1354"/>
        <v>ON BOND</v>
      </c>
      <c r="BS1813" s="129" t="str">
        <f t="shared" si="1355"/>
        <v>DISPOSED</v>
      </c>
      <c r="BT1813" s="129" t="str">
        <f t="shared" si="1356"/>
        <v>N</v>
      </c>
      <c r="BU1813" s="109">
        <f>IFERROR(Q1813/R1813,BR1813)</f>
        <v>1.680672268907563E-2</v>
      </c>
      <c r="BV1813" s="109">
        <f t="shared" si="1358"/>
        <v>1.6949152542372881E-2</v>
      </c>
      <c r="BW1813" s="109">
        <f t="shared" si="1368"/>
        <v>1.4242985329725177E-4</v>
      </c>
      <c r="BX1813" s="111">
        <f t="shared" si="1359"/>
        <v>0</v>
      </c>
      <c r="BY1813" s="129">
        <f t="shared" si="1360"/>
        <v>-2</v>
      </c>
      <c r="BZ1813" s="111">
        <f t="shared" si="1361"/>
        <v>0</v>
      </c>
      <c r="CA1813" s="138">
        <f t="shared" si="1362"/>
        <v>2</v>
      </c>
      <c r="CB1813" s="111" t="e">
        <f>IF(AF1813&gt;1/1/1900,((AF1813+1)-AE1813),"STILL OPEN")</f>
        <v>#VALUE!</v>
      </c>
      <c r="CC1813" s="129">
        <f>M1813-I1813+1</f>
        <v>2</v>
      </c>
      <c r="CD1813" s="111">
        <f>CC1813-BF1813</f>
        <v>0</v>
      </c>
      <c r="CG1813" s="129" t="str">
        <f t="shared" si="1364"/>
        <v>Y</v>
      </c>
      <c r="CI1813" s="129" t="str">
        <f t="shared" si="1365"/>
        <v>0-10 DAYS</v>
      </c>
      <c r="CJ1813" s="137">
        <f t="shared" si="1366"/>
        <v>1</v>
      </c>
      <c r="CK1813" s="129" t="str">
        <f t="shared" si="1367"/>
        <v>Booked</v>
      </c>
    </row>
    <row r="1814" spans="1:89" ht="15" customHeight="1" x14ac:dyDescent="0.25">
      <c r="A1814" s="111">
        <v>246</v>
      </c>
      <c r="B1814" s="128" t="str">
        <f t="shared" si="1345"/>
        <v>N</v>
      </c>
      <c r="C1814" s="128" t="str">
        <f t="shared" si="1346"/>
        <v>N</v>
      </c>
      <c r="D1814" s="117">
        <v>2298356</v>
      </c>
      <c r="E1814" s="135">
        <f t="shared" si="1347"/>
        <v>2</v>
      </c>
      <c r="F1814" s="124">
        <v>40919</v>
      </c>
      <c r="G1814" s="125">
        <v>40921</v>
      </c>
      <c r="H1814" s="117">
        <v>2298356</v>
      </c>
      <c r="I1814" s="124">
        <v>40919</v>
      </c>
      <c r="J1814" s="124">
        <v>40921</v>
      </c>
      <c r="K1814" s="126">
        <v>5000</v>
      </c>
      <c r="L1814" s="127" t="s">
        <v>569</v>
      </c>
      <c r="N1814" s="129" t="str">
        <f>IF(M1814&gt;1/1/1,"Y","N")</f>
        <v>N</v>
      </c>
      <c r="O1814" s="128" t="s">
        <v>917</v>
      </c>
      <c r="P1814" s="129" t="s">
        <v>589</v>
      </c>
      <c r="Q1814" s="111">
        <f t="shared" si="1371"/>
        <v>3</v>
      </c>
      <c r="R1814" s="111">
        <f t="shared" si="1370"/>
        <v>3</v>
      </c>
      <c r="S1814" s="129">
        <v>0</v>
      </c>
      <c r="T1814" s="129">
        <v>1</v>
      </c>
      <c r="W1814" s="111"/>
      <c r="AC1814" s="130"/>
      <c r="AD1814" s="130">
        <v>32871</v>
      </c>
      <c r="AE1814" s="128" t="s">
        <v>32</v>
      </c>
      <c r="AF1814" s="128" t="s">
        <v>33</v>
      </c>
      <c r="AG1814" s="128" t="s">
        <v>872</v>
      </c>
      <c r="AH1814" s="108" t="s">
        <v>58</v>
      </c>
      <c r="AI1814" s="128" t="s">
        <v>70</v>
      </c>
      <c r="AJ1814" s="129" t="s">
        <v>48</v>
      </c>
      <c r="AK1814" s="129">
        <v>1</v>
      </c>
      <c r="AL1814" s="3" t="s">
        <v>48</v>
      </c>
      <c r="AP1814" s="129" t="s">
        <v>137</v>
      </c>
      <c r="AR1814" s="128" t="s">
        <v>67</v>
      </c>
      <c r="AS1814" s="129" t="s">
        <v>64</v>
      </c>
      <c r="BC1814" s="129" t="s">
        <v>38</v>
      </c>
      <c r="BF1814" s="111">
        <f>IF(J1814&gt;1/1/1900,((J1814+1)-I1814),"STILL OPEN")</f>
        <v>3</v>
      </c>
      <c r="BG1814" s="111">
        <f t="shared" si="1369"/>
        <v>3</v>
      </c>
      <c r="BH1814" s="111">
        <f t="shared" si="1342"/>
        <v>3</v>
      </c>
      <c r="BI1814" s="111">
        <f t="shared" si="1343"/>
        <v>21.989071038251367</v>
      </c>
      <c r="BJ1814" s="129">
        <f t="shared" si="1350"/>
        <v>0</v>
      </c>
      <c r="BK1814" s="129">
        <f t="shared" si="1344"/>
        <v>0</v>
      </c>
      <c r="BL1814" s="129" t="str">
        <f t="shared" si="1372"/>
        <v>DEFERRED</v>
      </c>
      <c r="BM1814" s="129" t="str">
        <f t="shared" si="1351"/>
        <v>NONE</v>
      </c>
      <c r="BN1814" s="129" t="s">
        <v>566</v>
      </c>
      <c r="BP1814" s="137" t="str">
        <f t="shared" si="1352"/>
        <v>DEFERRED</v>
      </c>
      <c r="BQ1814" s="128" t="str">
        <f t="shared" si="1353"/>
        <v>Y</v>
      </c>
      <c r="BR1814" s="129" t="str">
        <f t="shared" si="1354"/>
        <v>DETAINED</v>
      </c>
      <c r="BS1814" s="129" t="str">
        <f t="shared" si="1355"/>
        <v>DISPOSED</v>
      </c>
      <c r="BT1814" s="129" t="str">
        <f t="shared" si="1356"/>
        <v>N</v>
      </c>
      <c r="BU1814" s="109">
        <f t="shared" si="1357"/>
        <v>1</v>
      </c>
      <c r="BV1814" s="109">
        <f t="shared" si="1358"/>
        <v>1</v>
      </c>
      <c r="BW1814" s="109">
        <f t="shared" si="1368"/>
        <v>0</v>
      </c>
      <c r="BX1814" s="111">
        <f t="shared" si="1359"/>
        <v>0</v>
      </c>
      <c r="BY1814" s="129">
        <f t="shared" si="1360"/>
        <v>-3</v>
      </c>
      <c r="BZ1814" s="111">
        <f t="shared" si="1361"/>
        <v>0</v>
      </c>
      <c r="CA1814" s="138">
        <f t="shared" si="1362"/>
        <v>3</v>
      </c>
      <c r="CB1814" s="111" t="e">
        <f>IF(AF1814&gt;1/1/1900,((AF1814+1)-AE1814),"STILL OPEN")</f>
        <v>#VALUE!</v>
      </c>
      <c r="CC1814" s="129">
        <f>G1814-I1814+1</f>
        <v>3</v>
      </c>
      <c r="CD1814" s="129">
        <f>G1814-J1814</f>
        <v>0</v>
      </c>
      <c r="CG1814" s="129" t="str">
        <f t="shared" si="1364"/>
        <v>Y</v>
      </c>
      <c r="CI1814" s="129" t="str">
        <f t="shared" si="1365"/>
        <v>0-10 DAYS</v>
      </c>
      <c r="CJ1814" s="137">
        <f t="shared" si="1366"/>
        <v>1</v>
      </c>
      <c r="CK1814" s="129" t="str">
        <f t="shared" si="1367"/>
        <v>Booked</v>
      </c>
    </row>
    <row r="1815" spans="1:89" ht="15.75" customHeight="1" x14ac:dyDescent="0.25">
      <c r="A1815" s="111">
        <v>1060</v>
      </c>
      <c r="B1815" s="128" t="str">
        <f t="shared" si="1345"/>
        <v>N</v>
      </c>
      <c r="C1815" s="128" t="str">
        <f t="shared" si="1346"/>
        <v>N</v>
      </c>
      <c r="D1815" s="117">
        <v>2298509</v>
      </c>
      <c r="E1815" s="135">
        <f t="shared" si="1347"/>
        <v>2</v>
      </c>
      <c r="F1815" s="124">
        <v>40948</v>
      </c>
      <c r="G1815" s="125">
        <v>41313</v>
      </c>
      <c r="H1815" s="117">
        <v>2298509</v>
      </c>
      <c r="I1815" s="124">
        <v>40948</v>
      </c>
      <c r="J1815" s="124">
        <v>41024</v>
      </c>
      <c r="K1815" s="126">
        <v>50000</v>
      </c>
      <c r="L1815" s="129" t="s">
        <v>572</v>
      </c>
      <c r="M1815" s="125">
        <v>41024</v>
      </c>
      <c r="N1815" s="129" t="str">
        <f>IF(M1815&gt;1/1/1,"Y","N")</f>
        <v>Y</v>
      </c>
      <c r="O1815" s="128" t="s">
        <v>76</v>
      </c>
      <c r="P1815" s="129" t="s">
        <v>589</v>
      </c>
      <c r="Q1815" s="111">
        <f t="shared" si="1371"/>
        <v>77</v>
      </c>
      <c r="R1815" s="111">
        <f t="shared" si="1370"/>
        <v>366</v>
      </c>
      <c r="S1815" s="129">
        <v>1</v>
      </c>
      <c r="T1815" s="129">
        <v>1</v>
      </c>
      <c r="V1815" s="117">
        <v>1</v>
      </c>
      <c r="W1815" s="111"/>
      <c r="AC1815" s="130"/>
      <c r="AD1815" s="130">
        <v>28452</v>
      </c>
      <c r="AE1815" s="128" t="s">
        <v>32</v>
      </c>
      <c r="AF1815" s="128" t="s">
        <v>40</v>
      </c>
      <c r="AG1815" s="128" t="s">
        <v>41</v>
      </c>
      <c r="AH1815" s="108" t="s">
        <v>41</v>
      </c>
      <c r="AI1815" s="128" t="s">
        <v>59</v>
      </c>
      <c r="AJ1815" s="129" t="s">
        <v>48</v>
      </c>
      <c r="AK1815" s="129">
        <v>19</v>
      </c>
      <c r="AL1815" s="3" t="s">
        <v>48</v>
      </c>
      <c r="AP1815" s="129" t="s">
        <v>227</v>
      </c>
      <c r="AR1815" s="128" t="s">
        <v>92</v>
      </c>
      <c r="AS1815" s="129" t="s">
        <v>64</v>
      </c>
      <c r="BC1815" s="129" t="s">
        <v>52</v>
      </c>
      <c r="BF1815" s="111">
        <f>IF(J1815&gt;1/1/1900,((J1815+1)-I1815),"STILL OPEN")</f>
        <v>77</v>
      </c>
      <c r="BG1815" s="111">
        <f t="shared" si="1369"/>
        <v>366</v>
      </c>
      <c r="BH1815" s="111">
        <f t="shared" si="1342"/>
        <v>366</v>
      </c>
      <c r="BI1815" s="111">
        <f t="shared" si="1343"/>
        <v>34.142076502732237</v>
      </c>
      <c r="BJ1815" s="129">
        <f>(G1815-J1815)+(M1815-G1815)</f>
        <v>0</v>
      </c>
      <c r="BK1815" s="129">
        <f t="shared" si="1344"/>
        <v>-289</v>
      </c>
      <c r="BL1815" s="129" t="str">
        <f t="shared" si="1372"/>
        <v>DEFERRED</v>
      </c>
      <c r="BM1815" s="129" t="s">
        <v>76</v>
      </c>
      <c r="BN1815" s="129" t="s">
        <v>88</v>
      </c>
      <c r="BP1815" s="137" t="str">
        <f t="shared" si="1352"/>
        <v>DEFERRED</v>
      </c>
      <c r="BQ1815" s="128" t="str">
        <f t="shared" si="1353"/>
        <v>Y</v>
      </c>
      <c r="BR1815" s="129" t="str">
        <f t="shared" si="1354"/>
        <v>ON BOND</v>
      </c>
      <c r="BS1815" s="129" t="str">
        <f t="shared" si="1355"/>
        <v>DISPOSED</v>
      </c>
      <c r="BT1815" s="129" t="str">
        <f t="shared" si="1356"/>
        <v>Y</v>
      </c>
      <c r="BU1815" s="109">
        <f t="shared" si="1357"/>
        <v>0.2103825136612022</v>
      </c>
      <c r="BV1815" s="109">
        <f t="shared" si="1358"/>
        <v>0.2103825136612022</v>
      </c>
      <c r="BW1815" s="109">
        <f t="shared" si="1368"/>
        <v>0</v>
      </c>
      <c r="BX1815" s="111">
        <f t="shared" si="1359"/>
        <v>0</v>
      </c>
      <c r="BY1815" s="129">
        <f t="shared" si="1360"/>
        <v>-77</v>
      </c>
      <c r="BZ1815" s="111">
        <f t="shared" si="1361"/>
        <v>0</v>
      </c>
      <c r="CA1815" s="138">
        <f t="shared" si="1362"/>
        <v>77</v>
      </c>
      <c r="CB1815" s="111" t="e">
        <f>IF(AF1815&gt;1/1/1900,((AF1815+1)-AE1815),"STILL OPEN")</f>
        <v>#VALUE!</v>
      </c>
      <c r="CC1815" s="129">
        <f>M1815-I1815+1</f>
        <v>77</v>
      </c>
      <c r="CD1815" s="111">
        <f>CC1815-BF1815</f>
        <v>0</v>
      </c>
      <c r="CG1815" s="129" t="str">
        <f t="shared" si="1364"/>
        <v>Y</v>
      </c>
      <c r="CI1815" s="129" t="str">
        <f t="shared" si="1365"/>
        <v>61-90 DAYS</v>
      </c>
      <c r="CJ1815" s="137">
        <f t="shared" si="1366"/>
        <v>4</v>
      </c>
      <c r="CK1815" s="129" t="str">
        <f t="shared" si="1367"/>
        <v>Booked</v>
      </c>
    </row>
    <row r="1816" spans="1:89" ht="15.75" customHeight="1" x14ac:dyDescent="0.25">
      <c r="A1816" s="111">
        <v>1757</v>
      </c>
      <c r="B1816" s="128" t="str">
        <f t="shared" si="1345"/>
        <v>N</v>
      </c>
      <c r="C1816" s="128" t="str">
        <f t="shared" si="1346"/>
        <v>N</v>
      </c>
      <c r="D1816" s="117">
        <v>2298803</v>
      </c>
      <c r="E1816" s="135">
        <f t="shared" si="1347"/>
        <v>2</v>
      </c>
      <c r="F1816" s="124">
        <v>40974</v>
      </c>
      <c r="G1816" s="125">
        <v>41089</v>
      </c>
      <c r="H1816" s="117">
        <v>2298803</v>
      </c>
      <c r="I1816" s="124" t="s">
        <v>562</v>
      </c>
      <c r="J1816" s="124" t="s">
        <v>562</v>
      </c>
      <c r="K1816" s="126">
        <v>10000</v>
      </c>
      <c r="L1816" s="127" t="s">
        <v>570</v>
      </c>
      <c r="M1816" s="125">
        <v>40976</v>
      </c>
      <c r="N1816" s="129" t="str">
        <f>IF(M1816&gt;1/1/1,"Y",IF(Q1816="0","","N"))</f>
        <v>Y</v>
      </c>
      <c r="O1816" s="128" t="s">
        <v>76</v>
      </c>
      <c r="P1816" s="129" t="s">
        <v>589</v>
      </c>
      <c r="Q1816" s="111">
        <f t="shared" si="1371"/>
        <v>0</v>
      </c>
      <c r="R1816" s="111">
        <f t="shared" si="1370"/>
        <v>116</v>
      </c>
      <c r="S1816" s="129">
        <v>0</v>
      </c>
      <c r="T1816" s="129">
        <v>0</v>
      </c>
      <c r="W1816" s="111"/>
      <c r="AC1816" s="130"/>
      <c r="AD1816" s="130">
        <v>24721</v>
      </c>
      <c r="AE1816" s="128" t="s">
        <v>32</v>
      </c>
      <c r="AF1816" s="128" t="s">
        <v>33</v>
      </c>
      <c r="AG1816" s="128" t="s">
        <v>872</v>
      </c>
      <c r="AH1816" s="108" t="s">
        <v>31</v>
      </c>
      <c r="AI1816" s="128" t="s">
        <v>80</v>
      </c>
      <c r="AJ1816" s="129" t="s">
        <v>48</v>
      </c>
      <c r="AK1816" s="129">
        <v>5</v>
      </c>
      <c r="AL1816" s="3" t="s">
        <v>48</v>
      </c>
      <c r="AP1816" s="129" t="s">
        <v>143</v>
      </c>
      <c r="AR1816" s="128" t="s">
        <v>50</v>
      </c>
      <c r="AS1816" s="129" t="s">
        <v>82</v>
      </c>
      <c r="BC1816" s="129" t="s">
        <v>38</v>
      </c>
      <c r="BF1816" s="111">
        <v>0</v>
      </c>
      <c r="BG1816" s="111">
        <v>0</v>
      </c>
      <c r="BH1816" s="111">
        <f t="shared" si="1342"/>
        <v>116</v>
      </c>
      <c r="BI1816" s="111">
        <f t="shared" si="1343"/>
        <v>44.407103825136609</v>
      </c>
      <c r="BJ1816" s="129" t="e">
        <f>(G1816-J1816)+(M1816-G1816)</f>
        <v>#VALUE!</v>
      </c>
      <c r="BK1816" s="129" t="e">
        <f t="shared" si="1344"/>
        <v>#VALUE!</v>
      </c>
      <c r="BL1816" s="129" t="str">
        <f t="shared" si="1372"/>
        <v>DEFERRED</v>
      </c>
      <c r="BM1816" s="129" t="s">
        <v>76</v>
      </c>
      <c r="BN1816" s="129" t="s">
        <v>88</v>
      </c>
      <c r="BP1816" s="137" t="str">
        <f t="shared" si="1352"/>
        <v>DEFERRED</v>
      </c>
      <c r="BQ1816" s="128">
        <f t="shared" si="1353"/>
        <v>0</v>
      </c>
      <c r="BR1816" s="129" t="s">
        <v>575</v>
      </c>
      <c r="BS1816" s="129" t="str">
        <f t="shared" si="1355"/>
        <v>DISPOSED</v>
      </c>
      <c r="BT1816" s="129" t="str">
        <f t="shared" si="1356"/>
        <v>N</v>
      </c>
      <c r="BU1816" s="109">
        <f t="shared" si="1357"/>
        <v>0</v>
      </c>
      <c r="BV1816" s="109">
        <v>0</v>
      </c>
      <c r="BW1816" s="109">
        <f t="shared" si="1368"/>
        <v>0</v>
      </c>
      <c r="BX1816" s="111">
        <f t="shared" si="1359"/>
        <v>0</v>
      </c>
      <c r="BY1816" s="129" t="e">
        <f t="shared" si="1360"/>
        <v>#VALUE!</v>
      </c>
      <c r="BZ1816" s="111" t="e">
        <f t="shared" si="1361"/>
        <v>#VALUE!</v>
      </c>
      <c r="CA1816" s="138" t="e">
        <f t="shared" si="1362"/>
        <v>#VALUE!</v>
      </c>
      <c r="CB1816" s="111">
        <v>0</v>
      </c>
      <c r="CC1816" s="129">
        <v>0</v>
      </c>
      <c r="CD1816" s="111">
        <f>CC1816-BF1816</f>
        <v>0</v>
      </c>
      <c r="CG1816" s="129" t="str">
        <f t="shared" si="1364"/>
        <v>N</v>
      </c>
      <c r="CI1816" s="129" t="str">
        <f t="shared" si="1365"/>
        <v>0-10 DAYS</v>
      </c>
      <c r="CJ1816" s="137">
        <f t="shared" si="1366"/>
        <v>1</v>
      </c>
      <c r="CK1816" s="129" t="str">
        <f t="shared" si="1367"/>
        <v>Not Booked</v>
      </c>
    </row>
    <row r="1817" spans="1:89" ht="15.75" customHeight="1" x14ac:dyDescent="0.25">
      <c r="A1817" s="111">
        <v>2067</v>
      </c>
      <c r="B1817" s="128" t="str">
        <f t="shared" si="1345"/>
        <v>N</v>
      </c>
      <c r="C1817" s="128" t="str">
        <f t="shared" si="1346"/>
        <v>N</v>
      </c>
      <c r="D1817" s="117">
        <v>2299510</v>
      </c>
      <c r="E1817" s="135">
        <f t="shared" si="1347"/>
        <v>1</v>
      </c>
      <c r="F1817" s="124">
        <v>40986</v>
      </c>
      <c r="G1817" s="125">
        <v>41087</v>
      </c>
      <c r="H1817" s="117">
        <v>2299510</v>
      </c>
      <c r="I1817" s="124" t="s">
        <v>562</v>
      </c>
      <c r="J1817" s="124" t="s">
        <v>562</v>
      </c>
      <c r="K1817" s="126">
        <v>5000</v>
      </c>
      <c r="L1817" s="127" t="s">
        <v>569</v>
      </c>
      <c r="M1817" s="125">
        <v>40990</v>
      </c>
      <c r="N1817" s="129" t="str">
        <f>IF(M1817&gt;1/1/1,"Y",IF(Q1817="0","","N"))</f>
        <v>Y</v>
      </c>
      <c r="O1817" s="128" t="s">
        <v>76</v>
      </c>
      <c r="P1817" s="129" t="s">
        <v>123</v>
      </c>
      <c r="Q1817" s="111">
        <f t="shared" si="1371"/>
        <v>0</v>
      </c>
      <c r="R1817" s="111">
        <f t="shared" si="1370"/>
        <v>102</v>
      </c>
      <c r="S1817" s="129">
        <v>0</v>
      </c>
      <c r="T1817" s="129">
        <v>1</v>
      </c>
      <c r="W1817" s="111"/>
      <c r="AC1817" s="130"/>
      <c r="AD1817" s="130">
        <v>27324</v>
      </c>
      <c r="AE1817" s="128" t="s">
        <v>46</v>
      </c>
      <c r="AF1817" s="128" t="s">
        <v>69</v>
      </c>
      <c r="AG1817" s="128" t="s">
        <v>874</v>
      </c>
      <c r="AH1817" s="108" t="s">
        <v>31</v>
      </c>
      <c r="AI1817" s="128" t="s">
        <v>87</v>
      </c>
      <c r="AJ1817" s="129" t="s">
        <v>123</v>
      </c>
      <c r="AK1817" s="129">
        <v>6</v>
      </c>
      <c r="AL1817" s="3" t="s">
        <v>123</v>
      </c>
      <c r="AP1817" s="129" t="s">
        <v>93</v>
      </c>
      <c r="AR1817" s="128" t="s">
        <v>67</v>
      </c>
      <c r="AS1817" s="129" t="s">
        <v>45</v>
      </c>
      <c r="BC1817" s="129" t="s">
        <v>38</v>
      </c>
      <c r="BF1817" s="111">
        <v>0</v>
      </c>
      <c r="BG1817" s="111">
        <v>0</v>
      </c>
      <c r="BH1817" s="111">
        <f t="shared" si="1342"/>
        <v>102</v>
      </c>
      <c r="BI1817" s="111">
        <f t="shared" si="1343"/>
        <v>37.327868852459019</v>
      </c>
      <c r="BJ1817" s="129" t="e">
        <f>(G1817-J1817)+(M1817-G1817)</f>
        <v>#VALUE!</v>
      </c>
      <c r="BK1817" s="129" t="e">
        <f t="shared" si="1344"/>
        <v>#VALUE!</v>
      </c>
      <c r="BL1817" s="129" t="str">
        <f t="shared" si="1372"/>
        <v>NO CONVICTION</v>
      </c>
      <c r="BM1817" s="129" t="s">
        <v>76</v>
      </c>
      <c r="BN1817" s="129" t="s">
        <v>88</v>
      </c>
      <c r="BP1817" s="137" t="str">
        <f t="shared" si="1352"/>
        <v>NO CONVICTION</v>
      </c>
      <c r="BQ1817" s="128">
        <f t="shared" si="1353"/>
        <v>0</v>
      </c>
      <c r="BR1817" s="129" t="s">
        <v>575</v>
      </c>
      <c r="BS1817" s="129" t="str">
        <f t="shared" si="1355"/>
        <v>DISPOSED</v>
      </c>
      <c r="BT1817" s="129" t="str">
        <f t="shared" si="1356"/>
        <v>N</v>
      </c>
      <c r="BU1817" s="109">
        <f>IFERROR(Q1817/R1817,BR1817)</f>
        <v>0</v>
      </c>
      <c r="BV1817" s="109">
        <v>0</v>
      </c>
      <c r="BW1817" s="109">
        <f t="shared" si="1368"/>
        <v>0</v>
      </c>
      <c r="BX1817" s="111">
        <f t="shared" si="1359"/>
        <v>0</v>
      </c>
      <c r="BY1817" s="129" t="e">
        <f t="shared" si="1360"/>
        <v>#VALUE!</v>
      </c>
      <c r="BZ1817" s="111" t="e">
        <f t="shared" si="1361"/>
        <v>#VALUE!</v>
      </c>
      <c r="CA1817" s="138" t="e">
        <f t="shared" si="1362"/>
        <v>#VALUE!</v>
      </c>
      <c r="CB1817" s="111">
        <v>0</v>
      </c>
      <c r="CC1817" s="129">
        <v>0</v>
      </c>
      <c r="CD1817" s="111">
        <f>CC1817-BF1817</f>
        <v>0</v>
      </c>
      <c r="CG1817" s="129" t="str">
        <f t="shared" si="1364"/>
        <v>Y</v>
      </c>
      <c r="CI1817" s="129" t="str">
        <f t="shared" si="1365"/>
        <v>0-10 DAYS</v>
      </c>
      <c r="CJ1817" s="137">
        <f t="shared" si="1366"/>
        <v>1</v>
      </c>
      <c r="CK1817" s="129" t="str">
        <f t="shared" si="1367"/>
        <v>Not Booked</v>
      </c>
    </row>
    <row r="1818" spans="1:89" ht="15.75" customHeight="1" x14ac:dyDescent="0.25">
      <c r="A1818" s="111">
        <v>1264</v>
      </c>
      <c r="B1818" s="128" t="str">
        <f t="shared" si="1345"/>
        <v>N</v>
      </c>
      <c r="C1818" s="128" t="str">
        <f t="shared" si="1346"/>
        <v>N</v>
      </c>
      <c r="D1818" s="117">
        <v>2300303</v>
      </c>
      <c r="E1818" s="135">
        <f t="shared" si="1347"/>
        <v>1</v>
      </c>
      <c r="F1818" s="124">
        <v>40955</v>
      </c>
      <c r="G1818" s="125">
        <v>41131</v>
      </c>
      <c r="H1818" s="117">
        <v>2300303</v>
      </c>
      <c r="I1818" s="124">
        <v>40962</v>
      </c>
      <c r="J1818" s="124">
        <v>40964</v>
      </c>
      <c r="K1818" s="126">
        <v>30000</v>
      </c>
      <c r="L1818" s="129" t="s">
        <v>572</v>
      </c>
      <c r="M1818" s="125">
        <v>40964</v>
      </c>
      <c r="N1818" s="129" t="str">
        <f t="shared" ref="N1818:N1825" si="1373">IF(M1818&gt;1/1/1,"Y","N")</f>
        <v>Y</v>
      </c>
      <c r="O1818" s="128" t="s">
        <v>76</v>
      </c>
      <c r="P1818" s="129" t="s">
        <v>55</v>
      </c>
      <c r="Q1818" s="111">
        <f t="shared" si="1371"/>
        <v>3</v>
      </c>
      <c r="R1818" s="111">
        <f t="shared" si="1370"/>
        <v>177</v>
      </c>
      <c r="S1818" s="129">
        <v>0</v>
      </c>
      <c r="T1818" s="129">
        <v>1</v>
      </c>
      <c r="W1818" s="111"/>
      <c r="AC1818" s="130"/>
      <c r="AD1818" s="130">
        <v>31481</v>
      </c>
      <c r="AE1818" s="128" t="s">
        <v>32</v>
      </c>
      <c r="AF1818" s="128" t="s">
        <v>33</v>
      </c>
      <c r="AG1818" s="128" t="s">
        <v>872</v>
      </c>
      <c r="AH1818" s="108" t="s">
        <v>31</v>
      </c>
      <c r="AI1818" s="128" t="s">
        <v>59</v>
      </c>
      <c r="AJ1818" s="129" t="s">
        <v>55</v>
      </c>
      <c r="AK1818" s="129">
        <v>9</v>
      </c>
      <c r="AL1818" s="3" t="s">
        <v>55</v>
      </c>
      <c r="AP1818" s="129" t="s">
        <v>110</v>
      </c>
      <c r="AR1818" s="128" t="s">
        <v>50</v>
      </c>
      <c r="AS1818" s="129" t="s">
        <v>74</v>
      </c>
      <c r="BC1818" s="129" t="s">
        <v>38</v>
      </c>
      <c r="BF1818" s="111">
        <f t="shared" ref="BF1818:BF1826" si="1374">IF(J1818&gt;1/1/1900,((J1818+1)-I1818),"STILL OPEN")</f>
        <v>3</v>
      </c>
      <c r="BG1818" s="111">
        <f t="shared" ref="BG1818:BG1826" si="1375">IF(G1818&gt;1/1/1900,((G1818+1)-I1818),"STILL OPEN")</f>
        <v>170</v>
      </c>
      <c r="BH1818" s="111">
        <f t="shared" si="1342"/>
        <v>177</v>
      </c>
      <c r="BI1818" s="111">
        <f t="shared" si="1343"/>
        <v>25.885245901639344</v>
      </c>
      <c r="BJ1818" s="129">
        <f>(G1818-J1818)+(M1818-G1818)</f>
        <v>0</v>
      </c>
      <c r="BK1818" s="129">
        <f t="shared" si="1344"/>
        <v>-167</v>
      </c>
      <c r="BL1818" s="129" t="str">
        <f t="shared" si="1372"/>
        <v>NO CONVICTION</v>
      </c>
      <c r="BM1818" s="129" t="s">
        <v>76</v>
      </c>
      <c r="BN1818" s="129" t="s">
        <v>88</v>
      </c>
      <c r="BP1818" s="137" t="str">
        <f t="shared" si="1352"/>
        <v>NO CONVICTION</v>
      </c>
      <c r="BQ1818" s="128" t="str">
        <f t="shared" si="1353"/>
        <v>Y</v>
      </c>
      <c r="BR1818" s="129" t="str">
        <f t="shared" si="1354"/>
        <v>ON BOND</v>
      </c>
      <c r="BS1818" s="129" t="str">
        <f t="shared" si="1355"/>
        <v>DISPOSED</v>
      </c>
      <c r="BT1818" s="129" t="str">
        <f t="shared" si="1356"/>
        <v>N</v>
      </c>
      <c r="BU1818" s="109">
        <f>IFERROR(Q1818/R1818,BR1818)</f>
        <v>1.6949152542372881E-2</v>
      </c>
      <c r="BV1818" s="109">
        <f t="shared" si="1358"/>
        <v>1.7647058823529412E-2</v>
      </c>
      <c r="BW1818" s="109">
        <f t="shared" si="1368"/>
        <v>6.9790628115653022E-4</v>
      </c>
      <c r="BX1818" s="111">
        <f t="shared" si="1359"/>
        <v>0</v>
      </c>
      <c r="BY1818" s="129">
        <f t="shared" si="1360"/>
        <v>-3</v>
      </c>
      <c r="BZ1818" s="111">
        <f t="shared" si="1361"/>
        <v>0</v>
      </c>
      <c r="CA1818" s="138">
        <f t="shared" si="1362"/>
        <v>3</v>
      </c>
      <c r="CB1818" s="111" t="e">
        <f t="shared" ref="CB1818:CB1826" si="1376">IF(AF1818&gt;1/1/1900,((AF1818+1)-AE1818),"STILL OPEN")</f>
        <v>#VALUE!</v>
      </c>
      <c r="CC1818" s="129">
        <f>M1818-I1818+1</f>
        <v>3</v>
      </c>
      <c r="CD1818" s="111">
        <f>CC1818-BF1818</f>
        <v>0</v>
      </c>
      <c r="CG1818" s="129" t="str">
        <f t="shared" si="1364"/>
        <v>Y</v>
      </c>
      <c r="CI1818" s="129" t="str">
        <f t="shared" si="1365"/>
        <v>0-10 DAYS</v>
      </c>
      <c r="CJ1818" s="137">
        <f t="shared" si="1366"/>
        <v>1</v>
      </c>
      <c r="CK1818" s="129" t="str">
        <f t="shared" si="1367"/>
        <v>Booked</v>
      </c>
    </row>
    <row r="1819" spans="1:89" ht="15" customHeight="1" x14ac:dyDescent="0.25">
      <c r="A1819" s="111">
        <v>3082</v>
      </c>
      <c r="B1819" s="128" t="str">
        <f t="shared" si="1345"/>
        <v>N</v>
      </c>
      <c r="C1819" s="128" t="str">
        <f t="shared" si="1346"/>
        <v>N</v>
      </c>
      <c r="D1819" s="117">
        <v>2300528</v>
      </c>
      <c r="E1819" s="135">
        <f t="shared" si="1347"/>
        <v>6</v>
      </c>
      <c r="F1819" s="124">
        <v>41023</v>
      </c>
      <c r="G1819" s="125">
        <v>41198</v>
      </c>
      <c r="H1819" s="117">
        <v>2300528</v>
      </c>
      <c r="I1819" s="124">
        <v>41023</v>
      </c>
      <c r="J1819" s="124">
        <v>41029</v>
      </c>
      <c r="K1819" s="126">
        <v>10000</v>
      </c>
      <c r="L1819" s="127" t="s">
        <v>570</v>
      </c>
      <c r="M1819" s="125">
        <v>41029</v>
      </c>
      <c r="N1819" s="129" t="str">
        <f t="shared" si="1373"/>
        <v>Y</v>
      </c>
      <c r="O1819" s="128" t="s">
        <v>585</v>
      </c>
      <c r="P1819" s="129" t="s">
        <v>39</v>
      </c>
      <c r="Q1819" s="111">
        <f t="shared" si="1371"/>
        <v>7</v>
      </c>
      <c r="R1819" s="111">
        <f t="shared" si="1370"/>
        <v>176</v>
      </c>
      <c r="S1819" s="129">
        <v>1</v>
      </c>
      <c r="T1819" s="129">
        <v>1</v>
      </c>
      <c r="V1819" s="117">
        <v>1</v>
      </c>
      <c r="W1819" s="111"/>
      <c r="AC1819" s="130"/>
      <c r="AD1819" s="130">
        <v>32347</v>
      </c>
      <c r="AE1819" s="128" t="s">
        <v>32</v>
      </c>
      <c r="AF1819" s="128" t="s">
        <v>33</v>
      </c>
      <c r="AG1819" s="128" t="s">
        <v>872</v>
      </c>
      <c r="AH1819" s="108" t="s">
        <v>31</v>
      </c>
      <c r="AI1819" s="128" t="s">
        <v>118</v>
      </c>
      <c r="AJ1819" s="129" t="s">
        <v>89</v>
      </c>
      <c r="AK1819" s="129">
        <v>9</v>
      </c>
      <c r="AL1819" s="3" t="s">
        <v>362</v>
      </c>
      <c r="AM1819" s="117">
        <v>2</v>
      </c>
      <c r="AP1819" s="129" t="s">
        <v>132</v>
      </c>
      <c r="AR1819" s="128" t="s">
        <v>92</v>
      </c>
      <c r="AS1819" s="129" t="s">
        <v>82</v>
      </c>
      <c r="AX1819" s="32"/>
      <c r="BC1819" s="129" t="s">
        <v>52</v>
      </c>
      <c r="BF1819" s="111">
        <f t="shared" si="1374"/>
        <v>7</v>
      </c>
      <c r="BG1819" s="111">
        <f t="shared" si="1375"/>
        <v>176</v>
      </c>
      <c r="BH1819" s="111">
        <f t="shared" si="1342"/>
        <v>176</v>
      </c>
      <c r="BI1819" s="111">
        <f t="shared" si="1343"/>
        <v>23.704918032786885</v>
      </c>
      <c r="BJ1819" s="129">
        <f>(G1819-J1819)+(M1819-G1819)</f>
        <v>0</v>
      </c>
      <c r="BK1819" s="129">
        <f t="shared" si="1344"/>
        <v>-169</v>
      </c>
      <c r="BL1819" s="129" t="str">
        <f t="shared" si="1372"/>
        <v>CONVICTION</v>
      </c>
      <c r="BM1819" s="129" t="s">
        <v>76</v>
      </c>
      <c r="BN1819" s="129" t="s">
        <v>88</v>
      </c>
      <c r="BP1819" s="137" t="str">
        <f t="shared" si="1352"/>
        <v>CONVICTION</v>
      </c>
      <c r="BQ1819" s="128" t="str">
        <f t="shared" si="1353"/>
        <v>Y</v>
      </c>
      <c r="BR1819" s="129" t="str">
        <f>IF(J1819&lt;G1819,"ON BOND",0)</f>
        <v>ON BOND</v>
      </c>
      <c r="BS1819" s="129" t="str">
        <f t="shared" si="1355"/>
        <v>DISPOSED</v>
      </c>
      <c r="BT1819" s="129" t="str">
        <f t="shared" si="1356"/>
        <v>Y</v>
      </c>
      <c r="BU1819" s="109">
        <f t="shared" si="1357"/>
        <v>3.9772727272727272E-2</v>
      </c>
      <c r="BV1819" s="109">
        <f t="shared" si="1358"/>
        <v>3.9772727272727272E-2</v>
      </c>
      <c r="BW1819" s="109">
        <f t="shared" si="1368"/>
        <v>0</v>
      </c>
      <c r="BX1819" s="111">
        <f t="shared" si="1359"/>
        <v>0</v>
      </c>
      <c r="BY1819" s="129">
        <f t="shared" si="1360"/>
        <v>-7</v>
      </c>
      <c r="BZ1819" s="111">
        <f t="shared" si="1361"/>
        <v>0</v>
      </c>
      <c r="CA1819" s="138">
        <f t="shared" si="1362"/>
        <v>7</v>
      </c>
      <c r="CB1819" s="111" t="e">
        <f t="shared" si="1376"/>
        <v>#VALUE!</v>
      </c>
      <c r="CC1819" s="129">
        <f>M1819-I1819+1</f>
        <v>7</v>
      </c>
      <c r="CD1819" s="111">
        <f>CC1819-BF1819</f>
        <v>0</v>
      </c>
      <c r="CG1819" s="129" t="str">
        <f t="shared" si="1364"/>
        <v>Y</v>
      </c>
      <c r="CI1819" s="129" t="str">
        <f t="shared" si="1365"/>
        <v>0-10 DAYS</v>
      </c>
      <c r="CJ1819" s="137">
        <f t="shared" si="1366"/>
        <v>1</v>
      </c>
      <c r="CK1819" s="129" t="str">
        <f t="shared" si="1367"/>
        <v>Booked</v>
      </c>
    </row>
    <row r="1820" spans="1:89" ht="15" customHeight="1" x14ac:dyDescent="0.25">
      <c r="A1820" s="111">
        <v>567</v>
      </c>
      <c r="B1820" s="128" t="str">
        <f t="shared" si="1345"/>
        <v>N</v>
      </c>
      <c r="C1820" s="128" t="str">
        <f t="shared" si="1346"/>
        <v>N</v>
      </c>
      <c r="D1820" s="117">
        <v>2300754</v>
      </c>
      <c r="E1820" s="135">
        <f t="shared" si="1347"/>
        <v>2</v>
      </c>
      <c r="F1820" s="124">
        <v>40931</v>
      </c>
      <c r="G1820" s="125">
        <v>40995</v>
      </c>
      <c r="H1820" s="117">
        <v>2300754</v>
      </c>
      <c r="I1820" s="124">
        <v>40935</v>
      </c>
      <c r="J1820" s="124">
        <v>40995</v>
      </c>
      <c r="K1820" s="126">
        <v>30000</v>
      </c>
      <c r="L1820" s="129" t="s">
        <v>572</v>
      </c>
      <c r="N1820" s="129" t="str">
        <f t="shared" si="1373"/>
        <v>N</v>
      </c>
      <c r="O1820" s="128" t="s">
        <v>917</v>
      </c>
      <c r="P1820" s="129" t="s">
        <v>589</v>
      </c>
      <c r="Q1820" s="111">
        <f t="shared" si="1371"/>
        <v>61</v>
      </c>
      <c r="R1820" s="111">
        <f t="shared" si="1370"/>
        <v>65</v>
      </c>
      <c r="S1820" s="129">
        <v>0</v>
      </c>
      <c r="T1820" s="129">
        <v>2</v>
      </c>
      <c r="W1820" s="111"/>
      <c r="AC1820" s="130"/>
      <c r="AD1820" s="130">
        <v>32908</v>
      </c>
      <c r="AE1820" s="128" t="s">
        <v>46</v>
      </c>
      <c r="AF1820" s="128" t="s">
        <v>33</v>
      </c>
      <c r="AG1820" s="128" t="s">
        <v>872</v>
      </c>
      <c r="AH1820" s="108" t="s">
        <v>31</v>
      </c>
      <c r="AI1820" s="128" t="s">
        <v>100</v>
      </c>
      <c r="AJ1820" s="129" t="s">
        <v>48</v>
      </c>
      <c r="AK1820" s="129">
        <v>5</v>
      </c>
      <c r="AL1820" s="3" t="s">
        <v>48</v>
      </c>
      <c r="AP1820" s="129" t="s">
        <v>73</v>
      </c>
      <c r="AR1820" s="128" t="s">
        <v>50</v>
      </c>
      <c r="AS1820" s="129" t="s">
        <v>74</v>
      </c>
      <c r="BC1820" s="129" t="s">
        <v>52</v>
      </c>
      <c r="BF1820" s="111">
        <f t="shared" si="1374"/>
        <v>61</v>
      </c>
      <c r="BG1820" s="111">
        <f t="shared" si="1375"/>
        <v>61</v>
      </c>
      <c r="BH1820" s="111">
        <f t="shared" si="1342"/>
        <v>65</v>
      </c>
      <c r="BI1820" s="111">
        <f t="shared" si="1343"/>
        <v>21.920765027322403</v>
      </c>
      <c r="BJ1820" s="129">
        <f t="shared" si="1350"/>
        <v>0</v>
      </c>
      <c r="BK1820" s="129">
        <f t="shared" si="1344"/>
        <v>0</v>
      </c>
      <c r="BL1820" s="129" t="str">
        <f t="shared" si="1372"/>
        <v>DEFERRED</v>
      </c>
      <c r="BM1820" s="129" t="str">
        <f t="shared" si="1351"/>
        <v>NONE</v>
      </c>
      <c r="BN1820" s="129" t="s">
        <v>566</v>
      </c>
      <c r="BP1820" s="137" t="str">
        <f t="shared" si="1352"/>
        <v>DEFERRED</v>
      </c>
      <c r="BQ1820" s="128" t="str">
        <f t="shared" si="1353"/>
        <v>Y</v>
      </c>
      <c r="BR1820" s="129" t="str">
        <f t="shared" si="1354"/>
        <v>DETAINED</v>
      </c>
      <c r="BS1820" s="129" t="str">
        <f t="shared" si="1355"/>
        <v>DISPOSED</v>
      </c>
      <c r="BT1820" s="129" t="str">
        <f t="shared" si="1356"/>
        <v>N</v>
      </c>
      <c r="BU1820" s="109">
        <f t="shared" si="1357"/>
        <v>0.93846153846153846</v>
      </c>
      <c r="BV1820" s="109">
        <f t="shared" si="1358"/>
        <v>1</v>
      </c>
      <c r="BW1820" s="109">
        <f t="shared" si="1368"/>
        <v>6.1538461538461542E-2</v>
      </c>
      <c r="BX1820" s="111">
        <f t="shared" si="1359"/>
        <v>0</v>
      </c>
      <c r="BY1820" s="129">
        <f t="shared" si="1360"/>
        <v>-61</v>
      </c>
      <c r="BZ1820" s="111">
        <f t="shared" si="1361"/>
        <v>0</v>
      </c>
      <c r="CA1820" s="138">
        <f t="shared" si="1362"/>
        <v>61</v>
      </c>
      <c r="CB1820" s="111" t="e">
        <f t="shared" si="1376"/>
        <v>#VALUE!</v>
      </c>
      <c r="CC1820" s="129">
        <f>G1820-I1820+1</f>
        <v>61</v>
      </c>
      <c r="CD1820" s="129">
        <f>G1820-J1820</f>
        <v>0</v>
      </c>
      <c r="CG1820" s="129" t="str">
        <f t="shared" si="1364"/>
        <v>Y</v>
      </c>
      <c r="CI1820" s="129" t="str">
        <f t="shared" si="1365"/>
        <v>61-90 DAYS</v>
      </c>
      <c r="CJ1820" s="137">
        <f t="shared" si="1366"/>
        <v>4</v>
      </c>
      <c r="CK1820" s="129" t="str">
        <f t="shared" si="1367"/>
        <v>Booked</v>
      </c>
    </row>
    <row r="1821" spans="1:89" ht="15" customHeight="1" x14ac:dyDescent="0.25">
      <c r="A1821" s="111">
        <v>483</v>
      </c>
      <c r="B1821" s="128" t="str">
        <f t="shared" si="1345"/>
        <v>N</v>
      </c>
      <c r="C1821" s="128" t="str">
        <f t="shared" si="1346"/>
        <v>N</v>
      </c>
      <c r="D1821" s="117">
        <v>2300934</v>
      </c>
      <c r="E1821" s="135">
        <f t="shared" si="1347"/>
        <v>5</v>
      </c>
      <c r="F1821" s="124">
        <v>40928</v>
      </c>
      <c r="G1821" s="125">
        <v>40962</v>
      </c>
      <c r="H1821" s="117">
        <v>2300934</v>
      </c>
      <c r="I1821" s="124">
        <v>40959</v>
      </c>
      <c r="J1821" s="124">
        <v>40962</v>
      </c>
      <c r="K1821" s="126">
        <v>10000</v>
      </c>
      <c r="L1821" s="127" t="s">
        <v>570</v>
      </c>
      <c r="N1821" s="129" t="str">
        <f t="shared" si="1373"/>
        <v>N</v>
      </c>
      <c r="O1821" s="128" t="s">
        <v>917</v>
      </c>
      <c r="P1821" s="129" t="s">
        <v>39</v>
      </c>
      <c r="Q1821" s="111">
        <f t="shared" si="1371"/>
        <v>4</v>
      </c>
      <c r="R1821" s="111">
        <f t="shared" si="1370"/>
        <v>35</v>
      </c>
      <c r="S1821" s="129">
        <v>1</v>
      </c>
      <c r="T1821" s="129">
        <v>3</v>
      </c>
      <c r="U1821" s="129">
        <v>1</v>
      </c>
      <c r="W1821" s="111"/>
      <c r="AC1821" s="130"/>
      <c r="AD1821" s="130">
        <v>31385</v>
      </c>
      <c r="AE1821" s="128" t="s">
        <v>32</v>
      </c>
      <c r="AF1821" s="128" t="s">
        <v>33</v>
      </c>
      <c r="AG1821" s="128" t="s">
        <v>872</v>
      </c>
      <c r="AH1821" s="108" t="s">
        <v>31</v>
      </c>
      <c r="AI1821" s="128" t="s">
        <v>87</v>
      </c>
      <c r="AJ1821" s="129" t="s">
        <v>89</v>
      </c>
      <c r="AK1821" s="129">
        <v>3</v>
      </c>
      <c r="AL1821" s="3" t="s">
        <v>992</v>
      </c>
      <c r="AN1821" s="117">
        <v>6</v>
      </c>
      <c r="AP1821" s="129" t="s">
        <v>142</v>
      </c>
      <c r="AR1821" s="128" t="s">
        <v>44</v>
      </c>
      <c r="AS1821" s="129" t="s">
        <v>64</v>
      </c>
      <c r="BC1821" s="129" t="s">
        <v>38</v>
      </c>
      <c r="BF1821" s="111">
        <f t="shared" si="1374"/>
        <v>4</v>
      </c>
      <c r="BG1821" s="111">
        <f t="shared" si="1375"/>
        <v>4</v>
      </c>
      <c r="BH1821" s="111">
        <f t="shared" si="1342"/>
        <v>35</v>
      </c>
      <c r="BI1821" s="111">
        <f t="shared" si="1343"/>
        <v>26.07377049180328</v>
      </c>
      <c r="BJ1821" s="129">
        <f t="shared" si="1350"/>
        <v>0</v>
      </c>
      <c r="BK1821" s="129">
        <f t="shared" si="1344"/>
        <v>0</v>
      </c>
      <c r="BL1821" s="129" t="str">
        <f t="shared" si="1372"/>
        <v>CONVICTION</v>
      </c>
      <c r="BM1821" s="129" t="str">
        <f t="shared" si="1351"/>
        <v>NONE</v>
      </c>
      <c r="BN1821" s="129" t="s">
        <v>566</v>
      </c>
      <c r="BP1821" s="137" t="str">
        <f t="shared" si="1352"/>
        <v>CONVICTION</v>
      </c>
      <c r="BQ1821" s="128" t="str">
        <f t="shared" si="1353"/>
        <v>Y</v>
      </c>
      <c r="BR1821" s="129" t="str">
        <f t="shared" si="1354"/>
        <v>DETAINED</v>
      </c>
      <c r="BS1821" s="129" t="str">
        <f t="shared" si="1355"/>
        <v>DISPOSED</v>
      </c>
      <c r="BT1821" s="129" t="str">
        <f t="shared" si="1356"/>
        <v>Y</v>
      </c>
      <c r="BU1821" s="109">
        <f t="shared" si="1357"/>
        <v>0.11428571428571428</v>
      </c>
      <c r="BV1821" s="109">
        <f t="shared" si="1358"/>
        <v>1</v>
      </c>
      <c r="BW1821" s="109">
        <f t="shared" si="1368"/>
        <v>0.88571428571428568</v>
      </c>
      <c r="BX1821" s="111">
        <f t="shared" si="1359"/>
        <v>0</v>
      </c>
      <c r="BY1821" s="129">
        <f t="shared" si="1360"/>
        <v>-4</v>
      </c>
      <c r="BZ1821" s="111">
        <f t="shared" si="1361"/>
        <v>0</v>
      </c>
      <c r="CA1821" s="138">
        <f t="shared" si="1362"/>
        <v>4</v>
      </c>
      <c r="CB1821" s="111" t="e">
        <f t="shared" si="1376"/>
        <v>#VALUE!</v>
      </c>
      <c r="CC1821" s="129">
        <f>G1821-I1821+1</f>
        <v>4</v>
      </c>
      <c r="CD1821" s="129">
        <f>G1821-J1821</f>
        <v>0</v>
      </c>
      <c r="CG1821" s="129" t="str">
        <f t="shared" si="1364"/>
        <v>Y</v>
      </c>
      <c r="CI1821" s="129" t="str">
        <f t="shared" si="1365"/>
        <v>0-10 DAYS</v>
      </c>
      <c r="CJ1821" s="137">
        <f t="shared" si="1366"/>
        <v>1</v>
      </c>
      <c r="CK1821" s="129" t="str">
        <f t="shared" si="1367"/>
        <v>Booked</v>
      </c>
    </row>
    <row r="1822" spans="1:89" ht="15.75" customHeight="1" x14ac:dyDescent="0.25">
      <c r="A1822" s="111">
        <v>340</v>
      </c>
      <c r="B1822" s="128" t="str">
        <f t="shared" si="1345"/>
        <v>N</v>
      </c>
      <c r="C1822" s="128" t="str">
        <f t="shared" si="1346"/>
        <v>N</v>
      </c>
      <c r="D1822" s="117">
        <v>2301003</v>
      </c>
      <c r="E1822" s="135">
        <f t="shared" si="1347"/>
        <v>6</v>
      </c>
      <c r="F1822" s="124">
        <v>40922</v>
      </c>
      <c r="G1822" s="125">
        <v>41039</v>
      </c>
      <c r="H1822" s="117">
        <v>2301003</v>
      </c>
      <c r="I1822" s="124">
        <v>40922</v>
      </c>
      <c r="J1822" s="124">
        <v>41039</v>
      </c>
      <c r="K1822" s="126">
        <v>60000</v>
      </c>
      <c r="L1822" s="129" t="s">
        <v>572</v>
      </c>
      <c r="N1822" s="129" t="str">
        <f t="shared" si="1373"/>
        <v>N</v>
      </c>
      <c r="O1822" s="128" t="s">
        <v>917</v>
      </c>
      <c r="P1822" s="129" t="s">
        <v>39</v>
      </c>
      <c r="Q1822" s="111">
        <f t="shared" si="1371"/>
        <v>118</v>
      </c>
      <c r="R1822" s="111">
        <f t="shared" si="1370"/>
        <v>118</v>
      </c>
      <c r="S1822" s="129">
        <v>5</v>
      </c>
      <c r="T1822" s="129">
        <v>1</v>
      </c>
      <c r="U1822" s="129">
        <v>1</v>
      </c>
      <c r="W1822" s="111"/>
      <c r="AB1822" s="131" t="s">
        <v>112</v>
      </c>
      <c r="AC1822" s="130"/>
      <c r="AD1822" s="130">
        <v>32891</v>
      </c>
      <c r="AE1822" s="128" t="s">
        <v>32</v>
      </c>
      <c r="AF1822" s="128" t="s">
        <v>40</v>
      </c>
      <c r="AG1822" s="128" t="s">
        <v>41</v>
      </c>
      <c r="AH1822" s="108" t="s">
        <v>31</v>
      </c>
      <c r="AI1822" s="128" t="s">
        <v>80</v>
      </c>
      <c r="AJ1822" s="129" t="s">
        <v>89</v>
      </c>
      <c r="AK1822" s="129">
        <v>4</v>
      </c>
      <c r="AL1822" s="3" t="s">
        <v>362</v>
      </c>
      <c r="AM1822" s="117">
        <v>5</v>
      </c>
      <c r="AP1822" s="129" t="s">
        <v>84</v>
      </c>
      <c r="AR1822" s="128" t="s">
        <v>67</v>
      </c>
      <c r="AS1822" s="129" t="s">
        <v>74</v>
      </c>
      <c r="BC1822" s="129" t="s">
        <v>38</v>
      </c>
      <c r="BF1822" s="111">
        <f t="shared" si="1374"/>
        <v>118</v>
      </c>
      <c r="BG1822" s="111">
        <f t="shared" si="1375"/>
        <v>118</v>
      </c>
      <c r="BH1822" s="111">
        <f t="shared" si="1342"/>
        <v>118</v>
      </c>
      <c r="BI1822" s="111">
        <f t="shared" si="1343"/>
        <v>21.942622950819672</v>
      </c>
      <c r="BJ1822" s="129">
        <f t="shared" si="1350"/>
        <v>0</v>
      </c>
      <c r="BK1822" s="129">
        <f t="shared" si="1344"/>
        <v>0</v>
      </c>
      <c r="BL1822" s="129" t="str">
        <f t="shared" si="1372"/>
        <v>CONVICTION</v>
      </c>
      <c r="BM1822" s="129" t="str">
        <f t="shared" si="1351"/>
        <v>NONE</v>
      </c>
      <c r="BN1822" s="129" t="s">
        <v>566</v>
      </c>
      <c r="BP1822" s="137" t="str">
        <f t="shared" si="1352"/>
        <v>CONVICTION</v>
      </c>
      <c r="BQ1822" s="128" t="str">
        <f t="shared" si="1353"/>
        <v>Y</v>
      </c>
      <c r="BR1822" s="129" t="str">
        <f t="shared" si="1354"/>
        <v>DETAINED</v>
      </c>
      <c r="BS1822" s="129" t="str">
        <f t="shared" si="1355"/>
        <v>DISPOSED</v>
      </c>
      <c r="BT1822" s="129" t="str">
        <f t="shared" si="1356"/>
        <v>Y</v>
      </c>
      <c r="BU1822" s="109">
        <f t="shared" si="1357"/>
        <v>1</v>
      </c>
      <c r="BV1822" s="109">
        <f t="shared" si="1358"/>
        <v>1</v>
      </c>
      <c r="BW1822" s="109">
        <f t="shared" si="1368"/>
        <v>0</v>
      </c>
      <c r="BX1822" s="111">
        <f t="shared" si="1359"/>
        <v>0</v>
      </c>
      <c r="BY1822" s="129">
        <f t="shared" si="1360"/>
        <v>-118</v>
      </c>
      <c r="BZ1822" s="111">
        <f t="shared" si="1361"/>
        <v>0</v>
      </c>
      <c r="CA1822" s="138">
        <f t="shared" si="1362"/>
        <v>118</v>
      </c>
      <c r="CB1822" s="111" t="e">
        <f t="shared" si="1376"/>
        <v>#VALUE!</v>
      </c>
      <c r="CC1822" s="129">
        <f>G1822-I1822+1</f>
        <v>118</v>
      </c>
      <c r="CD1822" s="129">
        <f>G1822-J1822</f>
        <v>0</v>
      </c>
      <c r="CG1822" s="129" t="str">
        <f t="shared" si="1364"/>
        <v>Y</v>
      </c>
      <c r="CI1822" s="129" t="str">
        <f t="shared" si="1365"/>
        <v>91-120 DAYS</v>
      </c>
      <c r="CJ1822" s="137">
        <f t="shared" si="1366"/>
        <v>0</v>
      </c>
      <c r="CK1822" s="129" t="str">
        <f t="shared" si="1367"/>
        <v>Booked</v>
      </c>
    </row>
    <row r="1823" spans="1:89" ht="15.75" customHeight="1" x14ac:dyDescent="0.25">
      <c r="A1823" s="111">
        <v>308</v>
      </c>
      <c r="B1823" s="128" t="str">
        <f t="shared" si="1345"/>
        <v>N</v>
      </c>
      <c r="C1823" s="128" t="str">
        <f t="shared" si="1346"/>
        <v>N</v>
      </c>
      <c r="D1823" s="117">
        <v>2301044</v>
      </c>
      <c r="E1823" s="135">
        <f t="shared" si="1347"/>
        <v>5</v>
      </c>
      <c r="F1823" s="124">
        <v>40921</v>
      </c>
      <c r="G1823" s="125">
        <v>41059</v>
      </c>
      <c r="H1823" s="117">
        <v>2301044</v>
      </c>
      <c r="I1823" s="124">
        <v>40921</v>
      </c>
      <c r="J1823" s="124">
        <v>41059</v>
      </c>
      <c r="K1823" s="126">
        <v>15000</v>
      </c>
      <c r="L1823" s="127" t="s">
        <v>571</v>
      </c>
      <c r="N1823" s="129" t="str">
        <f t="shared" si="1373"/>
        <v>N</v>
      </c>
      <c r="O1823" s="128" t="s">
        <v>917</v>
      </c>
      <c r="P1823" s="129" t="s">
        <v>39</v>
      </c>
      <c r="Q1823" s="111">
        <f t="shared" si="1371"/>
        <v>139</v>
      </c>
      <c r="R1823" s="111">
        <f t="shared" si="1370"/>
        <v>139</v>
      </c>
      <c r="S1823" s="129">
        <v>12</v>
      </c>
      <c r="T1823" s="129">
        <v>6</v>
      </c>
      <c r="U1823" s="129">
        <v>6</v>
      </c>
      <c r="W1823" s="111"/>
      <c r="AC1823" s="130"/>
      <c r="AD1823" s="130">
        <v>18014</v>
      </c>
      <c r="AE1823" s="128" t="s">
        <v>32</v>
      </c>
      <c r="AF1823" s="128" t="s">
        <v>33</v>
      </c>
      <c r="AG1823" s="128" t="s">
        <v>872</v>
      </c>
      <c r="AH1823" s="108" t="s">
        <v>31</v>
      </c>
      <c r="AI1823" s="128" t="s">
        <v>141</v>
      </c>
      <c r="AJ1823" s="129" t="s">
        <v>89</v>
      </c>
      <c r="AK1823" s="129">
        <v>4</v>
      </c>
      <c r="AL1823" s="3" t="s">
        <v>992</v>
      </c>
      <c r="AN1823" s="117">
        <v>6</v>
      </c>
      <c r="AP1823" s="129" t="s">
        <v>43</v>
      </c>
      <c r="AR1823" s="128" t="s">
        <v>44</v>
      </c>
      <c r="AS1823" s="129" t="s">
        <v>45</v>
      </c>
      <c r="BC1823" s="129" t="s">
        <v>38</v>
      </c>
      <c r="BF1823" s="111">
        <f t="shared" si="1374"/>
        <v>139</v>
      </c>
      <c r="BG1823" s="111">
        <f t="shared" si="1375"/>
        <v>139</v>
      </c>
      <c r="BH1823" s="111">
        <f t="shared" si="1342"/>
        <v>139</v>
      </c>
      <c r="BI1823" s="111">
        <f t="shared" si="1343"/>
        <v>62.587431693989068</v>
      </c>
      <c r="BJ1823" s="129">
        <f t="shared" si="1350"/>
        <v>0</v>
      </c>
      <c r="BK1823" s="129">
        <f t="shared" si="1344"/>
        <v>0</v>
      </c>
      <c r="BL1823" s="129" t="str">
        <f t="shared" si="1372"/>
        <v>CONVICTION</v>
      </c>
      <c r="BM1823" s="129" t="str">
        <f t="shared" si="1351"/>
        <v>NONE</v>
      </c>
      <c r="BN1823" s="129" t="s">
        <v>566</v>
      </c>
      <c r="BP1823" s="137" t="str">
        <f t="shared" si="1352"/>
        <v>CONVICTION</v>
      </c>
      <c r="BQ1823" s="128" t="str">
        <f t="shared" si="1353"/>
        <v>Y</v>
      </c>
      <c r="BR1823" s="129" t="str">
        <f t="shared" si="1354"/>
        <v>DETAINED</v>
      </c>
      <c r="BS1823" s="129" t="str">
        <f t="shared" si="1355"/>
        <v>DISPOSED</v>
      </c>
      <c r="BT1823" s="129" t="str">
        <f t="shared" si="1356"/>
        <v>Y</v>
      </c>
      <c r="BU1823" s="109">
        <f t="shared" si="1357"/>
        <v>1</v>
      </c>
      <c r="BV1823" s="109">
        <f t="shared" si="1358"/>
        <v>1</v>
      </c>
      <c r="BW1823" s="109">
        <f t="shared" si="1368"/>
        <v>0</v>
      </c>
      <c r="BX1823" s="111">
        <f t="shared" si="1359"/>
        <v>0</v>
      </c>
      <c r="BY1823" s="129">
        <f t="shared" si="1360"/>
        <v>-139</v>
      </c>
      <c r="BZ1823" s="111">
        <f t="shared" si="1361"/>
        <v>0</v>
      </c>
      <c r="CA1823" s="138">
        <f t="shared" si="1362"/>
        <v>139</v>
      </c>
      <c r="CB1823" s="111" t="e">
        <f t="shared" si="1376"/>
        <v>#VALUE!</v>
      </c>
      <c r="CC1823" s="129">
        <f>G1823-I1823+1</f>
        <v>139</v>
      </c>
      <c r="CD1823" s="129">
        <f>G1823-J1823</f>
        <v>0</v>
      </c>
      <c r="CG1823" s="129" t="str">
        <f t="shared" si="1364"/>
        <v>Y</v>
      </c>
      <c r="CI1823" s="129" t="str">
        <f t="shared" si="1365"/>
        <v>121-365 DAYS</v>
      </c>
      <c r="CJ1823" s="137">
        <f t="shared" si="1366"/>
        <v>6</v>
      </c>
      <c r="CK1823" s="129" t="str">
        <f t="shared" si="1367"/>
        <v>Booked</v>
      </c>
    </row>
    <row r="1824" spans="1:89" ht="15.75" customHeight="1" x14ac:dyDescent="0.25">
      <c r="A1824" s="111">
        <v>965</v>
      </c>
      <c r="B1824" s="128" t="str">
        <f t="shared" si="1345"/>
        <v>N</v>
      </c>
      <c r="C1824" s="128" t="str">
        <f t="shared" si="1346"/>
        <v>Y</v>
      </c>
      <c r="D1824" s="117">
        <v>2301085</v>
      </c>
      <c r="E1824" s="135">
        <f t="shared" si="1347"/>
        <v>6</v>
      </c>
      <c r="F1824" s="124">
        <v>40944</v>
      </c>
      <c r="G1824" s="125">
        <v>41306</v>
      </c>
      <c r="H1824" s="117">
        <v>2301085</v>
      </c>
      <c r="I1824" s="124">
        <v>40948</v>
      </c>
      <c r="J1824" s="124">
        <v>40950</v>
      </c>
      <c r="K1824" s="126">
        <v>30000</v>
      </c>
      <c r="L1824" s="129" t="s">
        <v>572</v>
      </c>
      <c r="M1824" s="125">
        <v>40950</v>
      </c>
      <c r="N1824" s="129" t="str">
        <f t="shared" si="1373"/>
        <v>Y</v>
      </c>
      <c r="O1824" s="128" t="s">
        <v>76</v>
      </c>
      <c r="P1824" s="129" t="s">
        <v>39</v>
      </c>
      <c r="Q1824" s="111">
        <v>319</v>
      </c>
      <c r="R1824" s="111">
        <f t="shared" si="1370"/>
        <v>363</v>
      </c>
      <c r="S1824" s="129">
        <v>0</v>
      </c>
      <c r="T1824" s="129">
        <v>2</v>
      </c>
      <c r="W1824" s="111"/>
      <c r="AB1824" s="131" t="s">
        <v>112</v>
      </c>
      <c r="AC1824" s="130"/>
      <c r="AD1824" s="130">
        <v>25721</v>
      </c>
      <c r="AE1824" s="128" t="s">
        <v>32</v>
      </c>
      <c r="AF1824" s="128" t="s">
        <v>40</v>
      </c>
      <c r="AG1824" s="128" t="s">
        <v>41</v>
      </c>
      <c r="AH1824" s="108" t="s">
        <v>31</v>
      </c>
      <c r="AI1824" s="128" t="s">
        <v>53</v>
      </c>
      <c r="AJ1824" s="129" t="s">
        <v>89</v>
      </c>
      <c r="AK1824" s="129">
        <v>27</v>
      </c>
      <c r="AL1824" s="3" t="s">
        <v>362</v>
      </c>
      <c r="AM1824" s="117">
        <v>6</v>
      </c>
      <c r="AP1824" s="129" t="s">
        <v>179</v>
      </c>
      <c r="AR1824" s="128" t="s">
        <v>92</v>
      </c>
      <c r="AS1824" s="129" t="s">
        <v>180</v>
      </c>
      <c r="AU1824" s="3" t="s">
        <v>701</v>
      </c>
      <c r="AX1824" s="32" t="s">
        <v>88</v>
      </c>
      <c r="BC1824" s="129" t="s">
        <v>52</v>
      </c>
      <c r="BF1824" s="111">
        <v>319</v>
      </c>
      <c r="BG1824" s="111">
        <f t="shared" si="1375"/>
        <v>359</v>
      </c>
      <c r="BH1824" s="111">
        <f t="shared" si="1342"/>
        <v>363</v>
      </c>
      <c r="BI1824" s="111">
        <f t="shared" si="1343"/>
        <v>41.592896174863391</v>
      </c>
      <c r="BJ1824" s="129">
        <f>(G1824-J1824)+(M1824-G1824)</f>
        <v>0</v>
      </c>
      <c r="BK1824" s="129">
        <f t="shared" si="1344"/>
        <v>-356</v>
      </c>
      <c r="BL1824" s="129" t="str">
        <f t="shared" si="1372"/>
        <v>CONVICTION</v>
      </c>
      <c r="BM1824" s="129" t="s">
        <v>76</v>
      </c>
      <c r="BN1824" s="129" t="s">
        <v>88</v>
      </c>
      <c r="BP1824" s="137" t="str">
        <f t="shared" si="1352"/>
        <v>CONVICTION</v>
      </c>
      <c r="BQ1824" s="128" t="str">
        <f t="shared" si="1353"/>
        <v>Y</v>
      </c>
      <c r="BR1824" s="129" t="s">
        <v>574</v>
      </c>
      <c r="BS1824" s="129" t="str">
        <f t="shared" si="1355"/>
        <v>DISPOSED</v>
      </c>
      <c r="BT1824" s="129" t="str">
        <f t="shared" si="1356"/>
        <v>N</v>
      </c>
      <c r="BU1824" s="109">
        <f t="shared" si="1357"/>
        <v>0.87878787878787878</v>
      </c>
      <c r="BV1824" s="109">
        <f t="shared" si="1358"/>
        <v>8.356545961002786E-3</v>
      </c>
      <c r="BW1824" s="109">
        <f t="shared" si="1368"/>
        <v>-0.87043133282687601</v>
      </c>
      <c r="BX1824" s="111">
        <f t="shared" si="1359"/>
        <v>0</v>
      </c>
      <c r="BY1824" s="129">
        <f t="shared" si="1360"/>
        <v>-3</v>
      </c>
      <c r="BZ1824" s="111">
        <f t="shared" si="1361"/>
        <v>316</v>
      </c>
      <c r="CA1824" s="138">
        <f t="shared" si="1362"/>
        <v>359</v>
      </c>
      <c r="CB1824" s="111">
        <v>319</v>
      </c>
      <c r="CC1824" s="129">
        <f>G1824-I1824+1</f>
        <v>359</v>
      </c>
      <c r="CD1824" s="129">
        <f>G1824-J1824</f>
        <v>356</v>
      </c>
      <c r="CG1824" s="129" t="str">
        <f t="shared" si="1364"/>
        <v>Y</v>
      </c>
      <c r="CI1824" s="129" t="str">
        <f t="shared" si="1365"/>
        <v>121-365 DAYS</v>
      </c>
      <c r="CJ1824" s="137">
        <f t="shared" si="1366"/>
        <v>6</v>
      </c>
      <c r="CK1824" s="129" t="str">
        <f t="shared" si="1367"/>
        <v>Booked</v>
      </c>
    </row>
    <row r="1825" spans="1:89" ht="15" customHeight="1" x14ac:dyDescent="0.25">
      <c r="A1825" s="111">
        <v>2329</v>
      </c>
      <c r="B1825" s="128" t="str">
        <f t="shared" si="1345"/>
        <v>N</v>
      </c>
      <c r="C1825" s="128" t="str">
        <f t="shared" si="1346"/>
        <v>N</v>
      </c>
      <c r="D1825" s="117">
        <v>2301165</v>
      </c>
      <c r="E1825" s="135">
        <f t="shared" si="1347"/>
        <v>5</v>
      </c>
      <c r="F1825" s="124">
        <v>40997</v>
      </c>
      <c r="G1825" s="125">
        <v>41145</v>
      </c>
      <c r="H1825" s="117">
        <v>2301165</v>
      </c>
      <c r="I1825" s="124">
        <v>40997</v>
      </c>
      <c r="J1825" s="124">
        <v>41000</v>
      </c>
      <c r="K1825" s="126">
        <v>15000</v>
      </c>
      <c r="L1825" s="127" t="s">
        <v>571</v>
      </c>
      <c r="M1825" s="125">
        <v>41000</v>
      </c>
      <c r="N1825" s="129" t="str">
        <f t="shared" si="1373"/>
        <v>Y</v>
      </c>
      <c r="O1825" s="128" t="s">
        <v>76</v>
      </c>
      <c r="P1825" s="129" t="s">
        <v>39</v>
      </c>
      <c r="Q1825" s="111">
        <f t="shared" si="1371"/>
        <v>4</v>
      </c>
      <c r="R1825" s="111">
        <f t="shared" si="1370"/>
        <v>149</v>
      </c>
      <c r="S1825" s="129">
        <v>3</v>
      </c>
      <c r="T1825" s="129">
        <v>5</v>
      </c>
      <c r="U1825" s="129">
        <v>1</v>
      </c>
      <c r="W1825" s="111"/>
      <c r="AC1825" s="130"/>
      <c r="AD1825" s="130">
        <v>32926</v>
      </c>
      <c r="AE1825" s="128" t="s">
        <v>32</v>
      </c>
      <c r="AF1825" s="128" t="s">
        <v>69</v>
      </c>
      <c r="AG1825" s="128" t="s">
        <v>874</v>
      </c>
      <c r="AH1825" s="108" t="s">
        <v>58</v>
      </c>
      <c r="AI1825" s="128" t="s">
        <v>97</v>
      </c>
      <c r="AJ1825" s="129" t="s">
        <v>89</v>
      </c>
      <c r="AK1825" s="129">
        <v>8</v>
      </c>
      <c r="AL1825" s="3" t="s">
        <v>992</v>
      </c>
      <c r="AN1825" s="117">
        <v>6</v>
      </c>
      <c r="AP1825" s="129" t="s">
        <v>107</v>
      </c>
      <c r="AR1825" s="128" t="s">
        <v>44</v>
      </c>
      <c r="AS1825" s="129" t="s">
        <v>57</v>
      </c>
      <c r="BC1825" s="129" t="s">
        <v>38</v>
      </c>
      <c r="BF1825" s="111">
        <f t="shared" si="1374"/>
        <v>4</v>
      </c>
      <c r="BG1825" s="111">
        <f t="shared" si="1375"/>
        <v>149</v>
      </c>
      <c r="BH1825" s="111">
        <f t="shared" si="1342"/>
        <v>149</v>
      </c>
      <c r="BI1825" s="111">
        <f t="shared" si="1343"/>
        <v>22.051912568306012</v>
      </c>
      <c r="BJ1825" s="129">
        <f>(G1825-J1825)+(M1825-G1825)</f>
        <v>0</v>
      </c>
      <c r="BK1825" s="129">
        <f t="shared" si="1344"/>
        <v>-145</v>
      </c>
      <c r="BL1825" s="129" t="str">
        <f t="shared" si="1372"/>
        <v>CONVICTION</v>
      </c>
      <c r="BM1825" s="129" t="s">
        <v>76</v>
      </c>
      <c r="BN1825" s="129" t="s">
        <v>88</v>
      </c>
      <c r="BP1825" s="137" t="str">
        <f t="shared" si="1352"/>
        <v>CONVICTION</v>
      </c>
      <c r="BQ1825" s="128" t="str">
        <f t="shared" si="1353"/>
        <v>Y</v>
      </c>
      <c r="BR1825" s="129" t="str">
        <f>IF(J1825&lt;G1825,"ON BOND",0)</f>
        <v>ON BOND</v>
      </c>
      <c r="BS1825" s="129" t="str">
        <f t="shared" si="1355"/>
        <v>DISPOSED</v>
      </c>
      <c r="BT1825" s="129" t="str">
        <f t="shared" si="1356"/>
        <v>Y</v>
      </c>
      <c r="BU1825" s="109">
        <f t="shared" si="1357"/>
        <v>2.6845637583892617E-2</v>
      </c>
      <c r="BV1825" s="109">
        <f t="shared" si="1358"/>
        <v>2.6845637583892617E-2</v>
      </c>
      <c r="BW1825" s="109">
        <f t="shared" si="1368"/>
        <v>0</v>
      </c>
      <c r="BX1825" s="111">
        <f t="shared" si="1359"/>
        <v>0</v>
      </c>
      <c r="BY1825" s="129">
        <f t="shared" si="1360"/>
        <v>-4</v>
      </c>
      <c r="BZ1825" s="111">
        <f t="shared" si="1361"/>
        <v>0</v>
      </c>
      <c r="CA1825" s="138">
        <f t="shared" si="1362"/>
        <v>4</v>
      </c>
      <c r="CB1825" s="111" t="e">
        <f t="shared" si="1376"/>
        <v>#VALUE!</v>
      </c>
      <c r="CC1825" s="129">
        <f>M1825-I1825+1</f>
        <v>4</v>
      </c>
      <c r="CD1825" s="111">
        <f>CC1825-BF1825</f>
        <v>0</v>
      </c>
      <c r="CG1825" s="129" t="str">
        <f t="shared" si="1364"/>
        <v>Y</v>
      </c>
      <c r="CI1825" s="129" t="str">
        <f t="shared" si="1365"/>
        <v>0-10 DAYS</v>
      </c>
      <c r="CJ1825" s="137">
        <f t="shared" si="1366"/>
        <v>1</v>
      </c>
      <c r="CK1825" s="129" t="str">
        <f t="shared" si="1367"/>
        <v>Booked</v>
      </c>
    </row>
    <row r="1826" spans="1:89" ht="15.75" customHeight="1" x14ac:dyDescent="0.25">
      <c r="A1826" s="111">
        <v>14</v>
      </c>
      <c r="B1826" s="128" t="str">
        <f t="shared" si="1345"/>
        <v>N</v>
      </c>
      <c r="C1826" s="128" t="str">
        <f t="shared" si="1346"/>
        <v>N</v>
      </c>
      <c r="D1826" s="117">
        <v>2302940</v>
      </c>
      <c r="E1826" s="135">
        <f t="shared" si="1347"/>
        <v>6</v>
      </c>
      <c r="F1826" s="124">
        <v>40910</v>
      </c>
      <c r="G1826" s="125">
        <v>40962</v>
      </c>
      <c r="H1826" s="117">
        <v>2302940</v>
      </c>
      <c r="I1826" s="124">
        <v>40910</v>
      </c>
      <c r="J1826" s="124">
        <v>40962</v>
      </c>
      <c r="K1826" s="126" t="s">
        <v>564</v>
      </c>
      <c r="L1826" s="127" t="s">
        <v>564</v>
      </c>
      <c r="N1826" s="129" t="s">
        <v>566</v>
      </c>
      <c r="O1826" s="128" t="s">
        <v>917</v>
      </c>
      <c r="P1826" s="129" t="s">
        <v>39</v>
      </c>
      <c r="Q1826" s="111">
        <f t="shared" si="1371"/>
        <v>53</v>
      </c>
      <c r="R1826" s="111">
        <f t="shared" si="1370"/>
        <v>53</v>
      </c>
      <c r="S1826" s="129">
        <v>1</v>
      </c>
      <c r="T1826" s="129">
        <v>2</v>
      </c>
      <c r="U1826" s="129">
        <v>1</v>
      </c>
      <c r="W1826" s="111"/>
      <c r="AC1826" s="130"/>
      <c r="AD1826" s="130">
        <v>29417</v>
      </c>
      <c r="AE1826" s="128" t="s">
        <v>32</v>
      </c>
      <c r="AF1826" s="128" t="s">
        <v>69</v>
      </c>
      <c r="AG1826" s="128" t="s">
        <v>874</v>
      </c>
      <c r="AH1826" s="108" t="s">
        <v>31</v>
      </c>
      <c r="AI1826" s="128" t="s">
        <v>80</v>
      </c>
      <c r="AJ1826" s="129" t="s">
        <v>89</v>
      </c>
      <c r="AK1826" s="129">
        <v>2</v>
      </c>
      <c r="AL1826" s="3" t="s">
        <v>362</v>
      </c>
      <c r="AM1826" s="117">
        <v>4</v>
      </c>
      <c r="AP1826" s="129" t="s">
        <v>81</v>
      </c>
      <c r="AR1826" s="128" t="s">
        <v>50</v>
      </c>
      <c r="AS1826" s="129" t="s">
        <v>82</v>
      </c>
      <c r="BC1826" s="129" t="s">
        <v>38</v>
      </c>
      <c r="BF1826" s="111">
        <f t="shared" si="1374"/>
        <v>53</v>
      </c>
      <c r="BG1826" s="111">
        <f t="shared" si="1375"/>
        <v>53</v>
      </c>
      <c r="BH1826" s="111">
        <f t="shared" si="1342"/>
        <v>53</v>
      </c>
      <c r="BI1826" s="111">
        <f t="shared" si="1343"/>
        <v>31.401639344262296</v>
      </c>
      <c r="BJ1826" s="129">
        <f t="shared" si="1350"/>
        <v>0</v>
      </c>
      <c r="BK1826" s="129">
        <f t="shared" si="1344"/>
        <v>0</v>
      </c>
      <c r="BL1826" s="129" t="str">
        <f t="shared" si="1372"/>
        <v>CONVICTION</v>
      </c>
      <c r="BM1826" s="129" t="str">
        <f t="shared" si="1351"/>
        <v>NONE</v>
      </c>
      <c r="BN1826" s="129" t="s">
        <v>566</v>
      </c>
      <c r="BP1826" s="137" t="str">
        <f t="shared" si="1352"/>
        <v>CONVICTION</v>
      </c>
      <c r="BQ1826" s="128" t="str">
        <f t="shared" si="1353"/>
        <v>Y</v>
      </c>
      <c r="BR1826" s="129" t="str">
        <f t="shared" si="1354"/>
        <v>DETAINED</v>
      </c>
      <c r="BS1826" s="129" t="str">
        <f t="shared" si="1355"/>
        <v>DISPOSED</v>
      </c>
      <c r="BT1826" s="129" t="str">
        <f t="shared" si="1356"/>
        <v>Y</v>
      </c>
      <c r="BU1826" s="109">
        <f t="shared" si="1357"/>
        <v>1</v>
      </c>
      <c r="BV1826" s="109">
        <f t="shared" si="1358"/>
        <v>1</v>
      </c>
      <c r="BW1826" s="109">
        <f t="shared" si="1368"/>
        <v>0</v>
      </c>
      <c r="BX1826" s="111">
        <f t="shared" si="1359"/>
        <v>0</v>
      </c>
      <c r="BY1826" s="129">
        <f t="shared" si="1360"/>
        <v>-53</v>
      </c>
      <c r="BZ1826" s="111">
        <f t="shared" si="1361"/>
        <v>0</v>
      </c>
      <c r="CA1826" s="138">
        <f t="shared" si="1362"/>
        <v>53</v>
      </c>
      <c r="CB1826" s="111" t="e">
        <f t="shared" si="1376"/>
        <v>#VALUE!</v>
      </c>
      <c r="CC1826" s="129">
        <f>G1826-I1826+1</f>
        <v>53</v>
      </c>
      <c r="CD1826" s="129">
        <f>G1826-J1826</f>
        <v>0</v>
      </c>
      <c r="CG1826" s="129" t="str">
        <f t="shared" si="1364"/>
        <v>Y</v>
      </c>
      <c r="CI1826" s="129" t="str">
        <f t="shared" si="1365"/>
        <v>31-60 DAYS</v>
      </c>
      <c r="CJ1826" s="137">
        <f t="shared" si="1366"/>
        <v>3</v>
      </c>
      <c r="CK1826" s="129" t="str">
        <f t="shared" si="1367"/>
        <v>Booked</v>
      </c>
    </row>
    <row r="1827" spans="1:89" ht="15" customHeight="1" x14ac:dyDescent="0.25">
      <c r="A1827" s="111">
        <v>1897</v>
      </c>
      <c r="B1827" s="128" t="str">
        <f t="shared" si="1345"/>
        <v>N</v>
      </c>
      <c r="C1827" s="128" t="str">
        <f t="shared" si="1346"/>
        <v>N</v>
      </c>
      <c r="D1827" s="117">
        <v>2302948</v>
      </c>
      <c r="E1827" s="135">
        <f t="shared" si="1347"/>
        <v>1</v>
      </c>
      <c r="F1827" s="124">
        <v>40979</v>
      </c>
      <c r="G1827" s="125">
        <v>41150</v>
      </c>
      <c r="H1827" s="117">
        <v>2302948</v>
      </c>
      <c r="I1827" s="124" t="s">
        <v>562</v>
      </c>
      <c r="J1827" s="124" t="s">
        <v>562</v>
      </c>
      <c r="K1827" s="126">
        <v>2000</v>
      </c>
      <c r="L1827" s="127" t="s">
        <v>568</v>
      </c>
      <c r="N1827" s="124" t="s">
        <v>1343</v>
      </c>
      <c r="O1827" s="128" t="s">
        <v>917</v>
      </c>
      <c r="P1827" s="129" t="s">
        <v>55</v>
      </c>
      <c r="Q1827" s="111">
        <f t="shared" si="1371"/>
        <v>0</v>
      </c>
      <c r="R1827" s="111">
        <f t="shared" si="1370"/>
        <v>172</v>
      </c>
      <c r="S1827" s="129">
        <v>0</v>
      </c>
      <c r="T1827" s="129">
        <v>2</v>
      </c>
      <c r="W1827" s="111"/>
      <c r="AB1827" s="131" t="s">
        <v>112</v>
      </c>
      <c r="AC1827" s="130"/>
      <c r="AD1827" s="130">
        <v>32614</v>
      </c>
      <c r="AE1827" s="128" t="s">
        <v>46</v>
      </c>
      <c r="AF1827" s="128" t="s">
        <v>40</v>
      </c>
      <c r="AG1827" s="128" t="s">
        <v>41</v>
      </c>
      <c r="AH1827" s="108" t="s">
        <v>31</v>
      </c>
      <c r="AI1827" s="128" t="s">
        <v>118</v>
      </c>
      <c r="AJ1827" s="129" t="s">
        <v>55</v>
      </c>
      <c r="AK1827" s="129">
        <v>8</v>
      </c>
      <c r="AL1827" s="3" t="s">
        <v>55</v>
      </c>
      <c r="AP1827" s="129" t="s">
        <v>108</v>
      </c>
      <c r="AR1827" s="128" t="s">
        <v>44</v>
      </c>
      <c r="AS1827" s="129" t="s">
        <v>61</v>
      </c>
      <c r="BC1827" s="129" t="s">
        <v>52</v>
      </c>
      <c r="BF1827" s="111">
        <v>0</v>
      </c>
      <c r="BG1827" s="111">
        <v>0</v>
      </c>
      <c r="BH1827" s="111">
        <f t="shared" si="1342"/>
        <v>172</v>
      </c>
      <c r="BI1827" s="111">
        <f t="shared" si="1343"/>
        <v>22.855191256830601</v>
      </c>
      <c r="BJ1827" s="129" t="e">
        <f>(G1827-J1827)+(M1827-G1827)</f>
        <v>#VALUE!</v>
      </c>
      <c r="BK1827" s="129" t="e">
        <f t="shared" si="1344"/>
        <v>#VALUE!</v>
      </c>
      <c r="BL1827" s="129" t="str">
        <f t="shared" si="1372"/>
        <v>NO CONVICTION</v>
      </c>
      <c r="BM1827" s="129" t="str">
        <f t="shared" si="1351"/>
        <v>NONE</v>
      </c>
      <c r="BN1827" s="129" t="s">
        <v>566</v>
      </c>
      <c r="BP1827" s="137" t="str">
        <f t="shared" si="1352"/>
        <v>NO CONVICTION</v>
      </c>
      <c r="BQ1827" s="128">
        <f t="shared" si="1353"/>
        <v>0</v>
      </c>
      <c r="BR1827" s="129" t="s">
        <v>1345</v>
      </c>
      <c r="BS1827" s="129" t="str">
        <f t="shared" si="1355"/>
        <v>DISPOSED</v>
      </c>
      <c r="BT1827" s="129" t="str">
        <f t="shared" si="1356"/>
        <v>N</v>
      </c>
      <c r="BU1827" s="109">
        <f>IFERROR(Q1827/R1827,BR1827)</f>
        <v>0</v>
      </c>
      <c r="BV1827" s="109">
        <v>0</v>
      </c>
      <c r="BW1827" s="109">
        <f t="shared" si="1368"/>
        <v>0</v>
      </c>
      <c r="BX1827" s="111">
        <f t="shared" si="1359"/>
        <v>0</v>
      </c>
      <c r="BY1827" s="129" t="e">
        <f t="shared" si="1360"/>
        <v>#VALUE!</v>
      </c>
      <c r="BZ1827" s="111" t="e">
        <f t="shared" si="1361"/>
        <v>#VALUE!</v>
      </c>
      <c r="CA1827" s="138" t="e">
        <f t="shared" si="1362"/>
        <v>#VALUE!</v>
      </c>
      <c r="CB1827" s="111">
        <v>0</v>
      </c>
      <c r="CC1827" s="129">
        <v>0</v>
      </c>
      <c r="CG1827" s="129" t="str">
        <f t="shared" si="1364"/>
        <v>Y</v>
      </c>
      <c r="CI1827" s="129" t="str">
        <f t="shared" si="1365"/>
        <v>0-10 DAYS</v>
      </c>
      <c r="CJ1827" s="137">
        <f t="shared" si="1366"/>
        <v>1</v>
      </c>
      <c r="CK1827" s="129" t="str">
        <f t="shared" si="1367"/>
        <v>Not Booked</v>
      </c>
    </row>
    <row r="1828" spans="1:89" ht="15.75" customHeight="1" x14ac:dyDescent="0.25">
      <c r="A1828" s="111">
        <v>2867</v>
      </c>
      <c r="B1828" s="128" t="str">
        <f t="shared" si="1345"/>
        <v>N</v>
      </c>
      <c r="C1828" s="128" t="str">
        <f t="shared" si="1346"/>
        <v>N</v>
      </c>
      <c r="D1828" s="117">
        <v>2304108</v>
      </c>
      <c r="E1828" s="135">
        <f t="shared" si="1347"/>
        <v>2</v>
      </c>
      <c r="F1828" s="124">
        <v>41015</v>
      </c>
      <c r="G1828" s="125">
        <v>41176</v>
      </c>
      <c r="H1828" s="117">
        <v>2304108</v>
      </c>
      <c r="I1828" s="124">
        <v>41015</v>
      </c>
      <c r="J1828" s="124">
        <v>41017</v>
      </c>
      <c r="K1828" s="126">
        <v>5000</v>
      </c>
      <c r="L1828" s="127" t="s">
        <v>569</v>
      </c>
      <c r="M1828" s="125">
        <v>41017</v>
      </c>
      <c r="N1828" s="129" t="str">
        <f t="shared" ref="N1828:N1840" si="1377">IF(M1828&gt;1/1/1,"Y","N")</f>
        <v>Y</v>
      </c>
      <c r="O1828" s="128" t="s">
        <v>76</v>
      </c>
      <c r="P1828" s="129" t="s">
        <v>589</v>
      </c>
      <c r="Q1828" s="111">
        <f t="shared" si="1371"/>
        <v>3</v>
      </c>
      <c r="R1828" s="111">
        <f t="shared" si="1370"/>
        <v>162</v>
      </c>
      <c r="S1828" s="129">
        <v>0</v>
      </c>
      <c r="T1828" s="129">
        <v>0</v>
      </c>
      <c r="W1828" s="111"/>
      <c r="AC1828" s="130"/>
      <c r="AD1828" s="130">
        <v>32475</v>
      </c>
      <c r="AE1828" s="128" t="s">
        <v>32</v>
      </c>
      <c r="AF1828" s="128" t="s">
        <v>33</v>
      </c>
      <c r="AG1828" s="128" t="s">
        <v>872</v>
      </c>
      <c r="AH1828" s="108" t="s">
        <v>31</v>
      </c>
      <c r="AI1828" s="128" t="s">
        <v>59</v>
      </c>
      <c r="AJ1828" s="129" t="s">
        <v>48</v>
      </c>
      <c r="AK1828" s="129">
        <v>10</v>
      </c>
      <c r="AL1828" s="3" t="s">
        <v>48</v>
      </c>
      <c r="AP1828" s="129" t="s">
        <v>148</v>
      </c>
      <c r="AR1828" s="128" t="s">
        <v>67</v>
      </c>
      <c r="AS1828" s="129" t="s">
        <v>45</v>
      </c>
      <c r="BC1828" s="129" t="s">
        <v>52</v>
      </c>
      <c r="BF1828" s="111">
        <f t="shared" ref="BF1828:BF1850" si="1378">IF(J1828&gt;1/1/1900,((J1828+1)-I1828),"STILL OPEN")</f>
        <v>3</v>
      </c>
      <c r="BG1828" s="111">
        <f t="shared" ref="BG1828:BG1850" si="1379">IF(G1828&gt;1/1/1900,((G1828+1)-I1828),"STILL OPEN")</f>
        <v>162</v>
      </c>
      <c r="BH1828" s="111">
        <f t="shared" si="1342"/>
        <v>162</v>
      </c>
      <c r="BI1828" s="111">
        <f t="shared" si="1343"/>
        <v>23.333333333333332</v>
      </c>
      <c r="BJ1828" s="129">
        <f>(G1828-J1828)+(M1828-G1828)</f>
        <v>0</v>
      </c>
      <c r="BK1828" s="129">
        <f t="shared" si="1344"/>
        <v>-159</v>
      </c>
      <c r="BL1828" s="129" t="str">
        <f t="shared" si="1372"/>
        <v>DEFERRED</v>
      </c>
      <c r="BM1828" s="129" t="s">
        <v>76</v>
      </c>
      <c r="BN1828" s="129" t="s">
        <v>88</v>
      </c>
      <c r="BP1828" s="137" t="str">
        <f t="shared" si="1352"/>
        <v>DEFERRED</v>
      </c>
      <c r="BQ1828" s="128" t="str">
        <f t="shared" si="1353"/>
        <v>Y</v>
      </c>
      <c r="BR1828" s="129" t="str">
        <f t="shared" si="1354"/>
        <v>ON BOND</v>
      </c>
      <c r="BS1828" s="129" t="str">
        <f t="shared" si="1355"/>
        <v>DISPOSED</v>
      </c>
      <c r="BT1828" s="129" t="str">
        <f t="shared" si="1356"/>
        <v>N</v>
      </c>
      <c r="BU1828" s="109">
        <f t="shared" si="1357"/>
        <v>1.8518518518518517E-2</v>
      </c>
      <c r="BV1828" s="109">
        <f t="shared" si="1358"/>
        <v>1.8518518518518517E-2</v>
      </c>
      <c r="BW1828" s="109">
        <f t="shared" si="1368"/>
        <v>0</v>
      </c>
      <c r="BX1828" s="111">
        <f t="shared" si="1359"/>
        <v>0</v>
      </c>
      <c r="BY1828" s="129">
        <f t="shared" si="1360"/>
        <v>-3</v>
      </c>
      <c r="BZ1828" s="111">
        <f t="shared" si="1361"/>
        <v>0</v>
      </c>
      <c r="CA1828" s="138">
        <f t="shared" si="1362"/>
        <v>3</v>
      </c>
      <c r="CB1828" s="111" t="e">
        <f t="shared" ref="CB1828:CB1850" si="1380">IF(AF1828&gt;1/1/1900,((AF1828+1)-AE1828),"STILL OPEN")</f>
        <v>#VALUE!</v>
      </c>
      <c r="CC1828" s="129">
        <f>M1828-I1828+1</f>
        <v>3</v>
      </c>
      <c r="CD1828" s="111">
        <f>CC1828-BF1828</f>
        <v>0</v>
      </c>
      <c r="CG1828" s="129" t="str">
        <f t="shared" si="1364"/>
        <v>N</v>
      </c>
      <c r="CI1828" s="129" t="str">
        <f t="shared" si="1365"/>
        <v>0-10 DAYS</v>
      </c>
      <c r="CJ1828" s="137">
        <f t="shared" si="1366"/>
        <v>1</v>
      </c>
      <c r="CK1828" s="129" t="str">
        <f t="shared" si="1367"/>
        <v>Booked</v>
      </c>
    </row>
    <row r="1829" spans="1:89" ht="15" customHeight="1" x14ac:dyDescent="0.25">
      <c r="A1829" s="111">
        <v>2674</v>
      </c>
      <c r="B1829" s="128" t="str">
        <f t="shared" si="1345"/>
        <v>N</v>
      </c>
      <c r="C1829" s="128" t="str">
        <f t="shared" si="1346"/>
        <v>N</v>
      </c>
      <c r="D1829" s="117">
        <v>2304394</v>
      </c>
      <c r="E1829" s="135">
        <f t="shared" si="1347"/>
        <v>2</v>
      </c>
      <c r="F1829" s="124">
        <v>40969</v>
      </c>
      <c r="G1829" s="125">
        <v>41143</v>
      </c>
      <c r="H1829" s="117">
        <v>2304394</v>
      </c>
      <c r="I1829" s="124">
        <v>40970</v>
      </c>
      <c r="J1829" s="124">
        <v>40972</v>
      </c>
      <c r="K1829" s="126">
        <v>10000</v>
      </c>
      <c r="L1829" s="127" t="s">
        <v>570</v>
      </c>
      <c r="M1829" s="124">
        <v>40972</v>
      </c>
      <c r="N1829" s="129" t="str">
        <f t="shared" si="1377"/>
        <v>Y</v>
      </c>
      <c r="O1829" s="128" t="s">
        <v>585</v>
      </c>
      <c r="P1829" s="129" t="s">
        <v>589</v>
      </c>
      <c r="Q1829" s="111">
        <f t="shared" si="1371"/>
        <v>3</v>
      </c>
      <c r="R1829" s="111">
        <f t="shared" si="1370"/>
        <v>175</v>
      </c>
      <c r="S1829" s="129">
        <v>1</v>
      </c>
      <c r="T1829" s="129">
        <v>0</v>
      </c>
      <c r="W1829" s="111"/>
      <c r="AB1829" s="131" t="s">
        <v>112</v>
      </c>
      <c r="AC1829" s="130"/>
      <c r="AD1829" s="130">
        <v>30352</v>
      </c>
      <c r="AE1829" s="128" t="s">
        <v>46</v>
      </c>
      <c r="AF1829" s="128" t="s">
        <v>40</v>
      </c>
      <c r="AG1829" s="128" t="s">
        <v>41</v>
      </c>
      <c r="AH1829" s="108" t="s">
        <v>31</v>
      </c>
      <c r="AI1829" s="128" t="s">
        <v>34</v>
      </c>
      <c r="AJ1829" s="129" t="s">
        <v>48</v>
      </c>
      <c r="AK1829" s="129">
        <v>9</v>
      </c>
      <c r="AL1829" s="3" t="s">
        <v>48</v>
      </c>
      <c r="AP1829" s="129" t="s">
        <v>43</v>
      </c>
      <c r="AR1829" s="128" t="s">
        <v>44</v>
      </c>
      <c r="AS1829" s="129" t="s">
        <v>45</v>
      </c>
      <c r="AT1829" s="129" t="s">
        <v>474</v>
      </c>
      <c r="BC1829" s="129" t="s">
        <v>52</v>
      </c>
      <c r="BF1829" s="111">
        <f t="shared" si="1378"/>
        <v>3</v>
      </c>
      <c r="BG1829" s="111">
        <f t="shared" si="1379"/>
        <v>174</v>
      </c>
      <c r="BH1829" s="111">
        <f t="shared" si="1342"/>
        <v>175</v>
      </c>
      <c r="BI1829" s="111">
        <f t="shared" si="1343"/>
        <v>29.008196721311474</v>
      </c>
      <c r="BJ1829" s="129">
        <f>(G1829-J1829)+(M1829-G1829)</f>
        <v>0</v>
      </c>
      <c r="BK1829" s="129">
        <f t="shared" si="1344"/>
        <v>-171</v>
      </c>
      <c r="BL1829" s="129" t="str">
        <f t="shared" si="1372"/>
        <v>DEFERRED</v>
      </c>
      <c r="BM1829" s="129" t="s">
        <v>76</v>
      </c>
      <c r="BN1829" s="129" t="s">
        <v>88</v>
      </c>
      <c r="BP1829" s="137" t="str">
        <f t="shared" si="1352"/>
        <v>DEFERRED</v>
      </c>
      <c r="BQ1829" s="128" t="str">
        <f t="shared" si="1353"/>
        <v>Y</v>
      </c>
      <c r="BR1829" s="129" t="str">
        <f t="shared" si="1354"/>
        <v>ON BOND</v>
      </c>
      <c r="BS1829" s="129" t="str">
        <f t="shared" si="1355"/>
        <v>DISPOSED</v>
      </c>
      <c r="BT1829" s="129" t="str">
        <f t="shared" si="1356"/>
        <v>Y</v>
      </c>
      <c r="BU1829" s="109">
        <f t="shared" si="1357"/>
        <v>1.7142857142857144E-2</v>
      </c>
      <c r="BV1829" s="109">
        <f t="shared" si="1358"/>
        <v>1.7241379310344827E-2</v>
      </c>
      <c r="BW1829" s="109">
        <f t="shared" si="1368"/>
        <v>9.8522167487683637E-5</v>
      </c>
      <c r="BX1829" s="111">
        <f t="shared" si="1359"/>
        <v>0</v>
      </c>
      <c r="BY1829" s="129">
        <f t="shared" si="1360"/>
        <v>-3</v>
      </c>
      <c r="BZ1829" s="111">
        <f t="shared" si="1361"/>
        <v>0</v>
      </c>
      <c r="CA1829" s="138">
        <f t="shared" si="1362"/>
        <v>3</v>
      </c>
      <c r="CB1829" s="111" t="e">
        <f t="shared" si="1380"/>
        <v>#VALUE!</v>
      </c>
      <c r="CC1829" s="129">
        <f>M1829-I1829+1</f>
        <v>3</v>
      </c>
      <c r="CD1829" s="111">
        <f>CC1829-BF1829</f>
        <v>0</v>
      </c>
      <c r="CG1829" s="129" t="str">
        <f t="shared" si="1364"/>
        <v>Y</v>
      </c>
      <c r="CI1829" s="129" t="str">
        <f t="shared" si="1365"/>
        <v>0-10 DAYS</v>
      </c>
      <c r="CJ1829" s="137">
        <f t="shared" si="1366"/>
        <v>1</v>
      </c>
      <c r="CK1829" s="129" t="str">
        <f t="shared" si="1367"/>
        <v>Booked</v>
      </c>
    </row>
    <row r="1830" spans="1:89" ht="15.75" customHeight="1" x14ac:dyDescent="0.25">
      <c r="A1830" s="111">
        <v>151</v>
      </c>
      <c r="B1830" s="128" t="str">
        <f t="shared" si="1345"/>
        <v>N</v>
      </c>
      <c r="C1830" s="128" t="str">
        <f t="shared" si="1346"/>
        <v>N</v>
      </c>
      <c r="D1830" s="117">
        <v>2304551</v>
      </c>
      <c r="E1830" s="135">
        <f t="shared" si="1347"/>
        <v>4</v>
      </c>
      <c r="F1830" s="124">
        <v>40915</v>
      </c>
      <c r="G1830" s="125">
        <v>40917</v>
      </c>
      <c r="H1830" s="117">
        <v>2304551</v>
      </c>
      <c r="I1830" s="124">
        <v>40915</v>
      </c>
      <c r="J1830" s="124">
        <v>40917</v>
      </c>
      <c r="K1830" s="126">
        <v>5000</v>
      </c>
      <c r="L1830" s="127" t="s">
        <v>569</v>
      </c>
      <c r="N1830" s="129" t="str">
        <f t="shared" si="1377"/>
        <v>N</v>
      </c>
      <c r="O1830" s="128" t="s">
        <v>917</v>
      </c>
      <c r="P1830" s="129" t="s">
        <v>39</v>
      </c>
      <c r="Q1830" s="111">
        <f t="shared" si="1371"/>
        <v>3</v>
      </c>
      <c r="R1830" s="111">
        <f t="shared" si="1370"/>
        <v>3</v>
      </c>
      <c r="S1830" s="129">
        <v>1</v>
      </c>
      <c r="T1830" s="129">
        <v>2</v>
      </c>
      <c r="U1830" s="129">
        <v>1</v>
      </c>
      <c r="W1830" s="111"/>
      <c r="AC1830" s="130"/>
      <c r="AD1830" s="130">
        <v>32484</v>
      </c>
      <c r="AE1830" s="128" t="s">
        <v>32</v>
      </c>
      <c r="AF1830" s="128" t="s">
        <v>33</v>
      </c>
      <c r="AG1830" s="128" t="s">
        <v>872</v>
      </c>
      <c r="AH1830" s="108" t="s">
        <v>31</v>
      </c>
      <c r="AI1830" s="128" t="s">
        <v>113</v>
      </c>
      <c r="AJ1830" s="129" t="s">
        <v>89</v>
      </c>
      <c r="AK1830" s="129">
        <v>1</v>
      </c>
      <c r="AL1830" s="3" t="s">
        <v>991</v>
      </c>
      <c r="AO1830" s="128">
        <v>150</v>
      </c>
      <c r="AP1830" s="129" t="s">
        <v>43</v>
      </c>
      <c r="AR1830" s="128" t="s">
        <v>44</v>
      </c>
      <c r="AS1830" s="129" t="s">
        <v>45</v>
      </c>
      <c r="AT1830" s="32" t="s">
        <v>1224</v>
      </c>
      <c r="BC1830" s="129" t="s">
        <v>79</v>
      </c>
      <c r="BF1830" s="111">
        <f t="shared" si="1378"/>
        <v>3</v>
      </c>
      <c r="BG1830" s="111">
        <f t="shared" si="1379"/>
        <v>3</v>
      </c>
      <c r="BH1830" s="111">
        <f t="shared" si="1342"/>
        <v>3</v>
      </c>
      <c r="BI1830" s="111">
        <f t="shared" si="1343"/>
        <v>23.035519125683059</v>
      </c>
      <c r="BJ1830" s="129">
        <f t="shared" si="1350"/>
        <v>0</v>
      </c>
      <c r="BK1830" s="129">
        <f t="shared" si="1344"/>
        <v>0</v>
      </c>
      <c r="BL1830" s="129" t="str">
        <f t="shared" si="1372"/>
        <v>CONVICTION</v>
      </c>
      <c r="BM1830" s="129" t="str">
        <f t="shared" si="1351"/>
        <v>NONE</v>
      </c>
      <c r="BN1830" s="129" t="s">
        <v>566</v>
      </c>
      <c r="BP1830" s="137" t="str">
        <f t="shared" si="1352"/>
        <v>CONVICTION</v>
      </c>
      <c r="BQ1830" s="128" t="str">
        <f t="shared" si="1353"/>
        <v>Y</v>
      </c>
      <c r="BR1830" s="129" t="str">
        <f t="shared" si="1354"/>
        <v>DETAINED</v>
      </c>
      <c r="BS1830" s="129" t="str">
        <f t="shared" si="1355"/>
        <v>DISPOSED</v>
      </c>
      <c r="BT1830" s="129" t="str">
        <f t="shared" si="1356"/>
        <v>Y</v>
      </c>
      <c r="BU1830" s="109">
        <f t="shared" si="1357"/>
        <v>1</v>
      </c>
      <c r="BV1830" s="109">
        <f t="shared" si="1358"/>
        <v>1</v>
      </c>
      <c r="BW1830" s="109">
        <f t="shared" si="1368"/>
        <v>0</v>
      </c>
      <c r="BX1830" s="111">
        <f t="shared" si="1359"/>
        <v>0</v>
      </c>
      <c r="BY1830" s="129">
        <f t="shared" si="1360"/>
        <v>-3</v>
      </c>
      <c r="BZ1830" s="111">
        <f t="shared" si="1361"/>
        <v>0</v>
      </c>
      <c r="CA1830" s="138">
        <f t="shared" si="1362"/>
        <v>3</v>
      </c>
      <c r="CB1830" s="111" t="e">
        <f t="shared" si="1380"/>
        <v>#VALUE!</v>
      </c>
      <c r="CC1830" s="129">
        <f>G1830-I1830+1</f>
        <v>3</v>
      </c>
      <c r="CD1830" s="129">
        <f>G1830-J1830</f>
        <v>0</v>
      </c>
      <c r="CG1830" s="129" t="str">
        <f t="shared" si="1364"/>
        <v>Y</v>
      </c>
      <c r="CI1830" s="129" t="str">
        <f t="shared" si="1365"/>
        <v>0-10 DAYS</v>
      </c>
      <c r="CJ1830" s="137">
        <f t="shared" si="1366"/>
        <v>1</v>
      </c>
      <c r="CK1830" s="129" t="str">
        <f t="shared" si="1367"/>
        <v>Booked</v>
      </c>
    </row>
    <row r="1831" spans="1:89" ht="15.75" customHeight="1" x14ac:dyDescent="0.25">
      <c r="A1831" s="111">
        <v>1006</v>
      </c>
      <c r="B1831" s="128" t="str">
        <f t="shared" si="1345"/>
        <v>N</v>
      </c>
      <c r="C1831" s="128" t="str">
        <f t="shared" si="1346"/>
        <v>N</v>
      </c>
      <c r="D1831" s="117">
        <v>2304719</v>
      </c>
      <c r="E1831" s="135">
        <f t="shared" si="1347"/>
        <v>1</v>
      </c>
      <c r="F1831" s="124">
        <v>40946</v>
      </c>
      <c r="G1831" s="125">
        <v>41128</v>
      </c>
      <c r="H1831" s="117">
        <v>2304719</v>
      </c>
      <c r="I1831" s="124">
        <v>40946</v>
      </c>
      <c r="J1831" s="124">
        <v>40950</v>
      </c>
      <c r="K1831" s="126">
        <v>10000</v>
      </c>
      <c r="L1831" s="127" t="s">
        <v>570</v>
      </c>
      <c r="M1831" s="125">
        <v>40950</v>
      </c>
      <c r="N1831" s="129" t="str">
        <f t="shared" si="1377"/>
        <v>Y</v>
      </c>
      <c r="O1831" s="128" t="s">
        <v>76</v>
      </c>
      <c r="P1831" s="129" t="s">
        <v>55</v>
      </c>
      <c r="Q1831" s="111">
        <f t="shared" si="1371"/>
        <v>5</v>
      </c>
      <c r="R1831" s="111">
        <f t="shared" si="1370"/>
        <v>183</v>
      </c>
      <c r="S1831" s="129">
        <v>0</v>
      </c>
      <c r="T1831" s="129">
        <v>1</v>
      </c>
      <c r="W1831" s="111"/>
      <c r="AC1831" s="130"/>
      <c r="AD1831" s="130">
        <v>31652</v>
      </c>
      <c r="AE1831" s="128" t="s">
        <v>32</v>
      </c>
      <c r="AF1831" s="128" t="s">
        <v>33</v>
      </c>
      <c r="AG1831" s="128" t="s">
        <v>872</v>
      </c>
      <c r="AH1831" s="108" t="s">
        <v>58</v>
      </c>
      <c r="AI1831" s="128" t="s">
        <v>97</v>
      </c>
      <c r="AJ1831" s="129" t="s">
        <v>55</v>
      </c>
      <c r="AK1831" s="129">
        <v>7</v>
      </c>
      <c r="AL1831" s="3" t="s">
        <v>55</v>
      </c>
      <c r="AP1831" s="129" t="s">
        <v>56</v>
      </c>
      <c r="AR1831" s="128" t="s">
        <v>50</v>
      </c>
      <c r="AS1831" s="129" t="s">
        <v>57</v>
      </c>
      <c r="BC1831" s="129" t="s">
        <v>99</v>
      </c>
      <c r="BF1831" s="111">
        <f t="shared" si="1378"/>
        <v>5</v>
      </c>
      <c r="BG1831" s="111">
        <f t="shared" si="1379"/>
        <v>183</v>
      </c>
      <c r="BH1831" s="111">
        <f t="shared" si="1342"/>
        <v>183</v>
      </c>
      <c r="BI1831" s="111">
        <f t="shared" si="1343"/>
        <v>25.393442622950818</v>
      </c>
      <c r="BJ1831" s="129">
        <f>(G1831-J1831)+(M1831-G1831)</f>
        <v>0</v>
      </c>
      <c r="BK1831" s="129">
        <f t="shared" si="1344"/>
        <v>-178</v>
      </c>
      <c r="BL1831" s="129" t="str">
        <f t="shared" si="1372"/>
        <v>NO CONVICTION</v>
      </c>
      <c r="BM1831" s="129" t="s">
        <v>76</v>
      </c>
      <c r="BN1831" s="129" t="s">
        <v>88</v>
      </c>
      <c r="BP1831" s="137" t="str">
        <f t="shared" si="1352"/>
        <v>NO CONVICTION</v>
      </c>
      <c r="BQ1831" s="128" t="str">
        <f t="shared" si="1353"/>
        <v>Y</v>
      </c>
      <c r="BR1831" s="129" t="str">
        <f t="shared" si="1354"/>
        <v>ON BOND</v>
      </c>
      <c r="BS1831" s="129" t="str">
        <f t="shared" si="1355"/>
        <v>DISPOSED</v>
      </c>
      <c r="BT1831" s="129" t="str">
        <f t="shared" si="1356"/>
        <v>N</v>
      </c>
      <c r="BU1831" s="109">
        <f>IFERROR(Q1831/R1831,BR1831)</f>
        <v>2.7322404371584699E-2</v>
      </c>
      <c r="BV1831" s="109">
        <f t="shared" si="1358"/>
        <v>2.7322404371584699E-2</v>
      </c>
      <c r="BW1831" s="109">
        <f t="shared" si="1368"/>
        <v>0</v>
      </c>
      <c r="BX1831" s="111">
        <f t="shared" si="1359"/>
        <v>0</v>
      </c>
      <c r="BY1831" s="129">
        <f t="shared" si="1360"/>
        <v>-5</v>
      </c>
      <c r="BZ1831" s="111">
        <f t="shared" si="1361"/>
        <v>0</v>
      </c>
      <c r="CA1831" s="138">
        <f t="shared" si="1362"/>
        <v>5</v>
      </c>
      <c r="CB1831" s="111" t="e">
        <f t="shared" si="1380"/>
        <v>#VALUE!</v>
      </c>
      <c r="CC1831" s="129">
        <f>M1831-I1831+1</f>
        <v>5</v>
      </c>
      <c r="CD1831" s="111">
        <f>CC1831-BF1831</f>
        <v>0</v>
      </c>
      <c r="CG1831" s="129" t="str">
        <f t="shared" si="1364"/>
        <v>Y</v>
      </c>
      <c r="CI1831" s="129" t="str">
        <f t="shared" si="1365"/>
        <v>0-10 DAYS</v>
      </c>
      <c r="CJ1831" s="137">
        <f t="shared" si="1366"/>
        <v>1</v>
      </c>
      <c r="CK1831" s="129" t="str">
        <f t="shared" si="1367"/>
        <v>Booked</v>
      </c>
    </row>
    <row r="1832" spans="1:89" ht="15.75" customHeight="1" x14ac:dyDescent="0.25">
      <c r="A1832" s="111">
        <v>1344</v>
      </c>
      <c r="B1832" s="128" t="str">
        <f t="shared" si="1345"/>
        <v>N</v>
      </c>
      <c r="C1832" s="128" t="str">
        <f t="shared" si="1346"/>
        <v>Y</v>
      </c>
      <c r="D1832" s="117">
        <v>2304774</v>
      </c>
      <c r="E1832" s="135">
        <f t="shared" si="1347"/>
        <v>6</v>
      </c>
      <c r="F1832" s="124">
        <v>40957</v>
      </c>
      <c r="G1832" s="125">
        <v>41032</v>
      </c>
      <c r="H1832" s="117">
        <v>2304774</v>
      </c>
      <c r="I1832" s="124">
        <v>41008</v>
      </c>
      <c r="J1832" s="124">
        <v>41032</v>
      </c>
      <c r="K1832" s="126">
        <v>10000</v>
      </c>
      <c r="L1832" s="127" t="s">
        <v>570</v>
      </c>
      <c r="M1832" s="125">
        <v>40958</v>
      </c>
      <c r="N1832" s="129" t="str">
        <f t="shared" si="1377"/>
        <v>Y</v>
      </c>
      <c r="O1832" s="128" t="s">
        <v>76</v>
      </c>
      <c r="P1832" s="129" t="s">
        <v>39</v>
      </c>
      <c r="Q1832" s="111">
        <f t="shared" si="1371"/>
        <v>25</v>
      </c>
      <c r="R1832" s="111">
        <f t="shared" si="1370"/>
        <v>76</v>
      </c>
      <c r="S1832" s="129">
        <v>2</v>
      </c>
      <c r="T1832" s="129">
        <v>9</v>
      </c>
      <c r="U1832" s="129">
        <v>2</v>
      </c>
      <c r="W1832" s="111"/>
      <c r="AC1832" s="130"/>
      <c r="AD1832" s="130">
        <v>32901</v>
      </c>
      <c r="AE1832" s="128" t="s">
        <v>32</v>
      </c>
      <c r="AF1832" s="128" t="s">
        <v>40</v>
      </c>
      <c r="AG1832" s="128" t="s">
        <v>41</v>
      </c>
      <c r="AH1832" s="108" t="s">
        <v>41</v>
      </c>
      <c r="AI1832" s="128" t="s">
        <v>72</v>
      </c>
      <c r="AJ1832" s="129" t="s">
        <v>89</v>
      </c>
      <c r="AK1832" s="129">
        <v>4</v>
      </c>
      <c r="AL1832" s="3" t="s">
        <v>362</v>
      </c>
      <c r="AM1832" s="117">
        <v>4</v>
      </c>
      <c r="AP1832" s="129" t="s">
        <v>66</v>
      </c>
      <c r="AR1832" s="128" t="s">
        <v>67</v>
      </c>
      <c r="AS1832" s="129" t="s">
        <v>68</v>
      </c>
      <c r="AT1832" s="129" t="s">
        <v>323</v>
      </c>
      <c r="AU1832" s="3" t="s">
        <v>724</v>
      </c>
      <c r="AX1832" s="32" t="s">
        <v>88</v>
      </c>
      <c r="BC1832" s="129" t="s">
        <v>38</v>
      </c>
      <c r="BF1832" s="111">
        <f>IF(J1832&gt;1/1/1900,((G1832+1)-I1832),"STILL OPEN")</f>
        <v>25</v>
      </c>
      <c r="BG1832" s="111">
        <f t="shared" si="1379"/>
        <v>25</v>
      </c>
      <c r="BH1832" s="111">
        <f t="shared" si="1342"/>
        <v>76</v>
      </c>
      <c r="BI1832" s="111">
        <f t="shared" si="1343"/>
        <v>22.010928961748633</v>
      </c>
      <c r="BJ1832" s="129">
        <f>G1832-J1832</f>
        <v>0</v>
      </c>
      <c r="BK1832" s="129">
        <f t="shared" si="1344"/>
        <v>0</v>
      </c>
      <c r="BL1832" s="129" t="str">
        <f t="shared" si="1372"/>
        <v>CONVICTION</v>
      </c>
      <c r="BM1832" s="129" t="s">
        <v>76</v>
      </c>
      <c r="BN1832" s="129" t="s">
        <v>88</v>
      </c>
      <c r="BP1832" s="137" t="str">
        <f t="shared" si="1352"/>
        <v>CONVICTION</v>
      </c>
      <c r="BQ1832" s="128" t="str">
        <f t="shared" si="1353"/>
        <v>Y</v>
      </c>
      <c r="BR1832" s="129" t="s">
        <v>574</v>
      </c>
      <c r="BS1832" s="129" t="str">
        <f t="shared" si="1355"/>
        <v>DISPOSED</v>
      </c>
      <c r="BT1832" s="129" t="str">
        <f t="shared" si="1356"/>
        <v>Y</v>
      </c>
      <c r="BU1832" s="109">
        <f t="shared" si="1357"/>
        <v>0.32894736842105265</v>
      </c>
      <c r="BV1832" s="109">
        <f t="shared" si="1358"/>
        <v>1</v>
      </c>
      <c r="BW1832" s="109">
        <f t="shared" si="1368"/>
        <v>0.67105263157894735</v>
      </c>
      <c r="BX1832" s="111">
        <f t="shared" si="1359"/>
        <v>0</v>
      </c>
      <c r="BY1832" s="129">
        <f t="shared" si="1360"/>
        <v>-25</v>
      </c>
      <c r="BZ1832" s="111">
        <f t="shared" si="1361"/>
        <v>0</v>
      </c>
      <c r="CA1832" s="138">
        <f t="shared" si="1362"/>
        <v>25</v>
      </c>
      <c r="CB1832" s="111" t="e">
        <f t="shared" si="1380"/>
        <v>#VALUE!</v>
      </c>
      <c r="CC1832" s="129">
        <f>G1832-I1832+1</f>
        <v>25</v>
      </c>
      <c r="CD1832" s="129">
        <f>G1832-J1832</f>
        <v>0</v>
      </c>
      <c r="CG1832" s="129" t="str">
        <f t="shared" si="1364"/>
        <v>Y</v>
      </c>
      <c r="CI1832" s="129" t="str">
        <f t="shared" si="1365"/>
        <v>11-30 DAYS</v>
      </c>
      <c r="CJ1832" s="137">
        <f t="shared" si="1366"/>
        <v>2</v>
      </c>
      <c r="CK1832" s="129" t="str">
        <f t="shared" si="1367"/>
        <v>Booked</v>
      </c>
    </row>
    <row r="1833" spans="1:89" ht="15.75" customHeight="1" x14ac:dyDescent="0.25">
      <c r="A1833" s="111">
        <v>2103</v>
      </c>
      <c r="B1833" s="128" t="str">
        <f t="shared" si="1345"/>
        <v>N</v>
      </c>
      <c r="C1833" s="128" t="str">
        <f t="shared" si="1346"/>
        <v>N</v>
      </c>
      <c r="D1833" s="117">
        <v>2305352</v>
      </c>
      <c r="E1833" s="135">
        <f t="shared" si="1347"/>
        <v>2</v>
      </c>
      <c r="F1833" s="124">
        <v>40988</v>
      </c>
      <c r="G1833" s="125">
        <v>41045</v>
      </c>
      <c r="H1833" s="117">
        <v>2305352</v>
      </c>
      <c r="I1833" s="124">
        <v>40988</v>
      </c>
      <c r="J1833" s="124">
        <v>41045</v>
      </c>
      <c r="K1833" s="126">
        <v>5000</v>
      </c>
      <c r="L1833" s="127" t="s">
        <v>569</v>
      </c>
      <c r="N1833" s="129" t="str">
        <f t="shared" si="1377"/>
        <v>N</v>
      </c>
      <c r="O1833" s="128" t="s">
        <v>917</v>
      </c>
      <c r="P1833" s="129" t="s">
        <v>589</v>
      </c>
      <c r="Q1833" s="111">
        <f t="shared" si="1371"/>
        <v>58</v>
      </c>
      <c r="R1833" s="111">
        <f t="shared" si="1370"/>
        <v>58</v>
      </c>
      <c r="S1833" s="129">
        <v>0</v>
      </c>
      <c r="T1833" s="129">
        <v>4</v>
      </c>
      <c r="W1833" s="111"/>
      <c r="AB1833" s="131" t="s">
        <v>112</v>
      </c>
      <c r="AC1833" s="130"/>
      <c r="AD1833" s="130">
        <v>32837</v>
      </c>
      <c r="AE1833" s="128" t="s">
        <v>46</v>
      </c>
      <c r="AF1833" s="128" t="s">
        <v>40</v>
      </c>
      <c r="AG1833" s="128" t="s">
        <v>41</v>
      </c>
      <c r="AH1833" s="108" t="s">
        <v>31</v>
      </c>
      <c r="AI1833" s="128" t="s">
        <v>80</v>
      </c>
      <c r="AJ1833" s="129" t="s">
        <v>48</v>
      </c>
      <c r="AK1833" s="129">
        <v>4</v>
      </c>
      <c r="AL1833" s="3" t="s">
        <v>48</v>
      </c>
      <c r="AP1833" s="129" t="s">
        <v>84</v>
      </c>
      <c r="AR1833" s="128" t="s">
        <v>67</v>
      </c>
      <c r="AS1833" s="129" t="s">
        <v>74</v>
      </c>
      <c r="BC1833" s="129" t="s">
        <v>38</v>
      </c>
      <c r="BF1833" s="111">
        <f t="shared" si="1378"/>
        <v>58</v>
      </c>
      <c r="BG1833" s="111">
        <f t="shared" si="1379"/>
        <v>58</v>
      </c>
      <c r="BH1833" s="111">
        <f t="shared" si="1342"/>
        <v>58</v>
      </c>
      <c r="BI1833" s="111">
        <f t="shared" si="1343"/>
        <v>22.270491803278688</v>
      </c>
      <c r="BJ1833" s="129">
        <f t="shared" si="1350"/>
        <v>0</v>
      </c>
      <c r="BK1833" s="129">
        <f t="shared" si="1344"/>
        <v>0</v>
      </c>
      <c r="BL1833" s="129" t="str">
        <f t="shared" si="1372"/>
        <v>DEFERRED</v>
      </c>
      <c r="BM1833" s="129" t="str">
        <f t="shared" si="1351"/>
        <v>NONE</v>
      </c>
      <c r="BN1833" s="129" t="s">
        <v>566</v>
      </c>
      <c r="BP1833" s="137" t="str">
        <f t="shared" si="1352"/>
        <v>DEFERRED</v>
      </c>
      <c r="BQ1833" s="128" t="str">
        <f t="shared" si="1353"/>
        <v>Y</v>
      </c>
      <c r="BR1833" s="129" t="str">
        <f t="shared" si="1354"/>
        <v>DETAINED</v>
      </c>
      <c r="BS1833" s="129" t="str">
        <f t="shared" si="1355"/>
        <v>DISPOSED</v>
      </c>
      <c r="BT1833" s="129" t="str">
        <f t="shared" si="1356"/>
        <v>N</v>
      </c>
      <c r="BU1833" s="109">
        <f t="shared" si="1357"/>
        <v>1</v>
      </c>
      <c r="BV1833" s="109">
        <f t="shared" si="1358"/>
        <v>1</v>
      </c>
      <c r="BW1833" s="109">
        <f t="shared" si="1368"/>
        <v>0</v>
      </c>
      <c r="BX1833" s="111">
        <f t="shared" si="1359"/>
        <v>0</v>
      </c>
      <c r="BY1833" s="129">
        <f t="shared" si="1360"/>
        <v>-58</v>
      </c>
      <c r="BZ1833" s="111">
        <f t="shared" si="1361"/>
        <v>0</v>
      </c>
      <c r="CA1833" s="138">
        <f t="shared" si="1362"/>
        <v>58</v>
      </c>
      <c r="CB1833" s="111" t="e">
        <f t="shared" si="1380"/>
        <v>#VALUE!</v>
      </c>
      <c r="CC1833" s="129">
        <f>G1833-I1833+1</f>
        <v>58</v>
      </c>
      <c r="CD1833" s="129">
        <f>G1833-J1833</f>
        <v>0</v>
      </c>
      <c r="CG1833" s="129" t="str">
        <f t="shared" si="1364"/>
        <v>Y</v>
      </c>
      <c r="CI1833" s="129" t="str">
        <f t="shared" si="1365"/>
        <v>31-60 DAYS</v>
      </c>
      <c r="CJ1833" s="137">
        <f t="shared" si="1366"/>
        <v>3</v>
      </c>
      <c r="CK1833" s="129" t="str">
        <f t="shared" si="1367"/>
        <v>Booked</v>
      </c>
    </row>
    <row r="1834" spans="1:89" ht="15.75" customHeight="1" x14ac:dyDescent="0.25">
      <c r="A1834" s="111">
        <v>1724</v>
      </c>
      <c r="B1834" s="128" t="str">
        <f t="shared" si="1345"/>
        <v>Y</v>
      </c>
      <c r="C1834" s="128" t="str">
        <f t="shared" si="1346"/>
        <v>Y</v>
      </c>
      <c r="D1834" s="117">
        <v>2305413</v>
      </c>
      <c r="E1834" s="135">
        <f t="shared" si="1347"/>
        <v>5</v>
      </c>
      <c r="F1834" s="124">
        <v>40973</v>
      </c>
      <c r="G1834" s="125">
        <v>41206</v>
      </c>
      <c r="H1834" s="117">
        <v>2305413</v>
      </c>
      <c r="I1834" s="124">
        <v>40973</v>
      </c>
      <c r="J1834" s="124">
        <v>40976</v>
      </c>
      <c r="K1834" s="126">
        <v>5000</v>
      </c>
      <c r="L1834" s="127" t="s">
        <v>569</v>
      </c>
      <c r="M1834" s="125">
        <v>40976</v>
      </c>
      <c r="N1834" s="129" t="str">
        <f t="shared" si="1377"/>
        <v>Y</v>
      </c>
      <c r="O1834" s="128" t="s">
        <v>76</v>
      </c>
      <c r="P1834" s="129" t="s">
        <v>39</v>
      </c>
      <c r="Q1834" s="111">
        <v>52</v>
      </c>
      <c r="R1834" s="111">
        <f t="shared" si="1370"/>
        <v>234</v>
      </c>
      <c r="S1834" s="129">
        <v>1</v>
      </c>
      <c r="T1834" s="129">
        <v>1</v>
      </c>
      <c r="W1834" s="111"/>
      <c r="AC1834" s="130"/>
      <c r="AD1834" s="130">
        <v>32545</v>
      </c>
      <c r="AE1834" s="128" t="s">
        <v>32</v>
      </c>
      <c r="AF1834" s="128" t="s">
        <v>33</v>
      </c>
      <c r="AG1834" s="128" t="s">
        <v>872</v>
      </c>
      <c r="AH1834" s="108" t="s">
        <v>31</v>
      </c>
      <c r="AI1834" s="128" t="s">
        <v>95</v>
      </c>
      <c r="AJ1834" s="129" t="s">
        <v>89</v>
      </c>
      <c r="AK1834" s="129">
        <v>8</v>
      </c>
      <c r="AL1834" s="3" t="s">
        <v>992</v>
      </c>
      <c r="AN1834" s="117">
        <v>6</v>
      </c>
      <c r="AP1834" s="129" t="s">
        <v>93</v>
      </c>
      <c r="AR1834" s="128" t="s">
        <v>67</v>
      </c>
      <c r="AS1834" s="129" t="s">
        <v>45</v>
      </c>
      <c r="AU1834" s="3" t="s">
        <v>839</v>
      </c>
      <c r="AV1834" s="3" t="s">
        <v>88</v>
      </c>
      <c r="AW1834" s="129" t="s">
        <v>735</v>
      </c>
      <c r="BA1834" s="125">
        <v>41190</v>
      </c>
      <c r="BB1834" s="129">
        <v>305</v>
      </c>
      <c r="BC1834" s="129" t="s">
        <v>52</v>
      </c>
      <c r="BD1834" s="129" t="s">
        <v>1082</v>
      </c>
      <c r="BF1834" s="111">
        <v>52</v>
      </c>
      <c r="BG1834" s="111">
        <f t="shared" si="1379"/>
        <v>234</v>
      </c>
      <c r="BH1834" s="111">
        <f t="shared" si="1342"/>
        <v>234</v>
      </c>
      <c r="BI1834" s="111">
        <f t="shared" si="1343"/>
        <v>23.027322404371585</v>
      </c>
      <c r="BJ1834" s="129">
        <f>(G1834-J1834)+(M1834-G1834)</f>
        <v>0</v>
      </c>
      <c r="BK1834" s="129">
        <f t="shared" si="1344"/>
        <v>-230</v>
      </c>
      <c r="BL1834" s="129" t="str">
        <f t="shared" si="1372"/>
        <v>CONVICTION</v>
      </c>
      <c r="BM1834" s="129" t="s">
        <v>76</v>
      </c>
      <c r="BN1834" s="129" t="s">
        <v>88</v>
      </c>
      <c r="BP1834" s="137" t="str">
        <f t="shared" si="1352"/>
        <v>CONVICTION</v>
      </c>
      <c r="BQ1834" s="128" t="str">
        <f t="shared" si="1353"/>
        <v>Y</v>
      </c>
      <c r="BR1834" s="129" t="s">
        <v>574</v>
      </c>
      <c r="BS1834" s="129" t="str">
        <f t="shared" si="1355"/>
        <v>DISPOSED</v>
      </c>
      <c r="BT1834" s="129" t="str">
        <f t="shared" si="1356"/>
        <v>Y</v>
      </c>
      <c r="BU1834" s="109">
        <f t="shared" si="1357"/>
        <v>0.22222222222222221</v>
      </c>
      <c r="BV1834" s="109">
        <f t="shared" si="1358"/>
        <v>1.7094017094017096E-2</v>
      </c>
      <c r="BW1834" s="109">
        <f t="shared" si="1368"/>
        <v>-0.20512820512820512</v>
      </c>
      <c r="BX1834" s="111">
        <f t="shared" si="1359"/>
        <v>0</v>
      </c>
      <c r="BY1834" s="129">
        <f t="shared" si="1360"/>
        <v>-4</v>
      </c>
      <c r="BZ1834" s="111">
        <f t="shared" si="1361"/>
        <v>48</v>
      </c>
      <c r="CA1834" s="138">
        <f t="shared" si="1362"/>
        <v>234</v>
      </c>
      <c r="CB1834" s="111">
        <v>52</v>
      </c>
      <c r="CC1834" s="129">
        <f>G1834-I1834+1</f>
        <v>234</v>
      </c>
      <c r="CD1834" s="129">
        <f>G1834-J1834</f>
        <v>230</v>
      </c>
      <c r="CG1834" s="129" t="str">
        <f t="shared" si="1364"/>
        <v>Y</v>
      </c>
      <c r="CI1834" s="129" t="str">
        <f t="shared" si="1365"/>
        <v>31-60 DAYS</v>
      </c>
      <c r="CJ1834" s="137">
        <f t="shared" si="1366"/>
        <v>3</v>
      </c>
      <c r="CK1834" s="129" t="str">
        <f t="shared" si="1367"/>
        <v>Booked</v>
      </c>
    </row>
    <row r="1835" spans="1:89" ht="15.75" customHeight="1" x14ac:dyDescent="0.25">
      <c r="A1835" s="111">
        <v>3101</v>
      </c>
      <c r="B1835" s="128" t="str">
        <f t="shared" si="1345"/>
        <v>Y</v>
      </c>
      <c r="C1835" s="128" t="str">
        <f t="shared" si="1346"/>
        <v>Y</v>
      </c>
      <c r="D1835" s="117">
        <v>2305505</v>
      </c>
      <c r="E1835" s="135">
        <f t="shared" si="1347"/>
        <v>6</v>
      </c>
      <c r="F1835" s="124">
        <v>40974</v>
      </c>
      <c r="G1835" s="125">
        <v>41550</v>
      </c>
      <c r="H1835" s="117">
        <v>2305505</v>
      </c>
      <c r="I1835" s="124">
        <v>40975</v>
      </c>
      <c r="J1835" s="124">
        <v>40976</v>
      </c>
      <c r="K1835" s="126">
        <v>45000</v>
      </c>
      <c r="L1835" s="129" t="s">
        <v>572</v>
      </c>
      <c r="M1835" s="124">
        <v>40975</v>
      </c>
      <c r="N1835" s="129" t="str">
        <f t="shared" si="1377"/>
        <v>Y</v>
      </c>
      <c r="O1835" s="128" t="s">
        <v>76</v>
      </c>
      <c r="P1835" s="129" t="s">
        <v>39</v>
      </c>
      <c r="Q1835" s="111">
        <v>51</v>
      </c>
      <c r="R1835" s="111">
        <f t="shared" si="1370"/>
        <v>577</v>
      </c>
      <c r="S1835" s="129">
        <v>2</v>
      </c>
      <c r="T1835" s="129">
        <v>2</v>
      </c>
      <c r="U1835" s="129">
        <v>2</v>
      </c>
      <c r="W1835" s="111"/>
      <c r="AC1835" s="130"/>
      <c r="AD1835" s="130">
        <v>30808</v>
      </c>
      <c r="AE1835" s="128" t="s">
        <v>32</v>
      </c>
      <c r="AF1835" s="128" t="s">
        <v>69</v>
      </c>
      <c r="AG1835" s="128" t="s">
        <v>874</v>
      </c>
      <c r="AH1835" s="108" t="s">
        <v>31</v>
      </c>
      <c r="AI1835" s="128" t="s">
        <v>34</v>
      </c>
      <c r="AJ1835" s="129" t="s">
        <v>89</v>
      </c>
      <c r="AK1835" s="129">
        <v>18</v>
      </c>
      <c r="AL1835" s="3" t="s">
        <v>362</v>
      </c>
      <c r="AM1835" s="117">
        <v>2</v>
      </c>
      <c r="AP1835" s="129" t="s">
        <v>73</v>
      </c>
      <c r="AR1835" s="128" t="s">
        <v>50</v>
      </c>
      <c r="AS1835" s="129" t="s">
        <v>74</v>
      </c>
      <c r="AT1835" s="129" t="s">
        <v>1418</v>
      </c>
      <c r="AV1835" s="3" t="s">
        <v>51</v>
      </c>
      <c r="AW1835" s="125">
        <v>41040</v>
      </c>
      <c r="BA1835" s="125">
        <v>41081</v>
      </c>
      <c r="BB1835" s="129">
        <v>470</v>
      </c>
      <c r="BC1835" s="129" t="s">
        <v>99</v>
      </c>
      <c r="BD1835" s="129" t="s">
        <v>1110</v>
      </c>
      <c r="BF1835" s="111">
        <v>51</v>
      </c>
      <c r="BG1835" s="111">
        <f t="shared" si="1379"/>
        <v>576</v>
      </c>
      <c r="BH1835" s="111">
        <f t="shared" si="1342"/>
        <v>577</v>
      </c>
      <c r="BI1835" s="111">
        <f t="shared" si="1343"/>
        <v>27.775956284153004</v>
      </c>
      <c r="BJ1835" s="129">
        <f>(G1835-J1835)+(M1835-G1835)</f>
        <v>-1</v>
      </c>
      <c r="BK1835" s="129">
        <f t="shared" si="1344"/>
        <v>-574</v>
      </c>
      <c r="BL1835" s="129" t="str">
        <f t="shared" si="1372"/>
        <v>CONVICTION</v>
      </c>
      <c r="BM1835" s="129" t="s">
        <v>76</v>
      </c>
      <c r="BN1835" s="129" t="s">
        <v>566</v>
      </c>
      <c r="BP1835" s="137" t="str">
        <f t="shared" si="1352"/>
        <v>CONVICTION</v>
      </c>
      <c r="BQ1835" s="128" t="str">
        <f t="shared" si="1353"/>
        <v>Y</v>
      </c>
      <c r="BR1835" s="129" t="s">
        <v>574</v>
      </c>
      <c r="BS1835" s="129" t="str">
        <f t="shared" si="1355"/>
        <v>DISPOSED</v>
      </c>
      <c r="BT1835" s="129" t="str">
        <f t="shared" si="1356"/>
        <v>Y</v>
      </c>
      <c r="BU1835" s="109">
        <f t="shared" si="1357"/>
        <v>8.838821490467938E-2</v>
      </c>
      <c r="BV1835" s="109">
        <f t="shared" si="1358"/>
        <v>3.472222222222222E-3</v>
      </c>
      <c r="BW1835" s="109">
        <f t="shared" si="1368"/>
        <v>-8.4915992682457156E-2</v>
      </c>
      <c r="BX1835" s="111">
        <f t="shared" si="1359"/>
        <v>0</v>
      </c>
      <c r="BY1835" s="129">
        <f t="shared" si="1360"/>
        <v>-2</v>
      </c>
      <c r="BZ1835" s="111">
        <f t="shared" si="1361"/>
        <v>49</v>
      </c>
      <c r="CA1835" s="138">
        <f t="shared" si="1362"/>
        <v>576</v>
      </c>
      <c r="CB1835" s="111">
        <v>51</v>
      </c>
      <c r="CC1835" s="129">
        <f>G1835-I1835+1</f>
        <v>576</v>
      </c>
      <c r="CD1835" s="129">
        <f>G1835-J1835</f>
        <v>574</v>
      </c>
      <c r="CG1835" s="129" t="str">
        <f t="shared" si="1364"/>
        <v>Y</v>
      </c>
      <c r="CI1835" s="129" t="str">
        <f t="shared" si="1365"/>
        <v>31-60 DAYS</v>
      </c>
      <c r="CJ1835" s="137">
        <f t="shared" si="1366"/>
        <v>3</v>
      </c>
      <c r="CK1835" s="129" t="str">
        <f t="shared" si="1367"/>
        <v>Booked</v>
      </c>
    </row>
    <row r="1836" spans="1:89" ht="15" customHeight="1" x14ac:dyDescent="0.25">
      <c r="A1836" s="111">
        <v>1994</v>
      </c>
      <c r="B1836" s="128" t="str">
        <f t="shared" si="1345"/>
        <v>N</v>
      </c>
      <c r="C1836" s="128" t="str">
        <f t="shared" si="1346"/>
        <v>N</v>
      </c>
      <c r="D1836" s="117">
        <v>2306370</v>
      </c>
      <c r="E1836" s="135">
        <f t="shared" si="1347"/>
        <v>5</v>
      </c>
      <c r="F1836" s="124">
        <v>40983</v>
      </c>
      <c r="G1836" s="125">
        <v>40987</v>
      </c>
      <c r="H1836" s="117">
        <v>2306370</v>
      </c>
      <c r="I1836" s="124">
        <v>40983</v>
      </c>
      <c r="J1836" s="124">
        <v>40987</v>
      </c>
      <c r="K1836" s="126">
        <v>15000</v>
      </c>
      <c r="L1836" s="127" t="s">
        <v>571</v>
      </c>
      <c r="N1836" s="129" t="str">
        <f t="shared" si="1377"/>
        <v>N</v>
      </c>
      <c r="O1836" s="128" t="s">
        <v>917</v>
      </c>
      <c r="P1836" s="129" t="s">
        <v>39</v>
      </c>
      <c r="Q1836" s="111">
        <f t="shared" ref="Q1836:Q1855" si="1381">BF1836</f>
        <v>5</v>
      </c>
      <c r="R1836" s="111">
        <f t="shared" si="1370"/>
        <v>5</v>
      </c>
      <c r="S1836" s="129">
        <v>3</v>
      </c>
      <c r="T1836" s="129">
        <v>1</v>
      </c>
      <c r="U1836" s="129">
        <v>1</v>
      </c>
      <c r="W1836" s="111"/>
      <c r="AC1836" s="130"/>
      <c r="AD1836" s="130">
        <v>33069</v>
      </c>
      <c r="AE1836" s="128" t="s">
        <v>32</v>
      </c>
      <c r="AF1836" s="128" t="s">
        <v>69</v>
      </c>
      <c r="AG1836" s="128" t="s">
        <v>874</v>
      </c>
      <c r="AH1836" s="108" t="s">
        <v>31</v>
      </c>
      <c r="AI1836" s="128" t="s">
        <v>70</v>
      </c>
      <c r="AJ1836" s="129" t="s">
        <v>89</v>
      </c>
      <c r="AK1836" s="129">
        <v>1</v>
      </c>
      <c r="AL1836" s="3" t="s">
        <v>992</v>
      </c>
      <c r="AN1836" s="117">
        <v>9</v>
      </c>
      <c r="AP1836" s="129" t="s">
        <v>108</v>
      </c>
      <c r="AR1836" s="128" t="s">
        <v>44</v>
      </c>
      <c r="AS1836" s="129" t="s">
        <v>61</v>
      </c>
      <c r="AT1836" s="129" t="s">
        <v>399</v>
      </c>
      <c r="BC1836" s="129" t="s">
        <v>38</v>
      </c>
      <c r="BF1836" s="111">
        <f t="shared" si="1378"/>
        <v>5</v>
      </c>
      <c r="BG1836" s="111">
        <f t="shared" si="1379"/>
        <v>5</v>
      </c>
      <c r="BH1836" s="111">
        <f t="shared" si="1342"/>
        <v>5</v>
      </c>
      <c r="BI1836" s="111">
        <f t="shared" si="1343"/>
        <v>21.622950819672131</v>
      </c>
      <c r="BJ1836" s="129">
        <f t="shared" si="1350"/>
        <v>0</v>
      </c>
      <c r="BK1836" s="129">
        <f t="shared" si="1344"/>
        <v>0</v>
      </c>
      <c r="BL1836" s="129" t="str">
        <f t="shared" si="1372"/>
        <v>CONVICTION</v>
      </c>
      <c r="BM1836" s="129" t="str">
        <f t="shared" si="1351"/>
        <v>NONE</v>
      </c>
      <c r="BN1836" s="129" t="s">
        <v>566</v>
      </c>
      <c r="BP1836" s="137" t="str">
        <f t="shared" si="1352"/>
        <v>CONVICTION</v>
      </c>
      <c r="BQ1836" s="128" t="str">
        <f t="shared" si="1353"/>
        <v>Y</v>
      </c>
      <c r="BR1836" s="129" t="str">
        <f t="shared" si="1354"/>
        <v>DETAINED</v>
      </c>
      <c r="BS1836" s="129" t="str">
        <f t="shared" si="1355"/>
        <v>DISPOSED</v>
      </c>
      <c r="BT1836" s="129" t="str">
        <f t="shared" si="1356"/>
        <v>Y</v>
      </c>
      <c r="BU1836" s="109">
        <f t="shared" si="1357"/>
        <v>1</v>
      </c>
      <c r="BV1836" s="109">
        <f t="shared" si="1358"/>
        <v>1</v>
      </c>
      <c r="BW1836" s="109">
        <f t="shared" si="1368"/>
        <v>0</v>
      </c>
      <c r="BX1836" s="111">
        <f t="shared" si="1359"/>
        <v>0</v>
      </c>
      <c r="BY1836" s="129">
        <f t="shared" si="1360"/>
        <v>-5</v>
      </c>
      <c r="BZ1836" s="111">
        <f t="shared" si="1361"/>
        <v>0</v>
      </c>
      <c r="CA1836" s="138">
        <f t="shared" si="1362"/>
        <v>5</v>
      </c>
      <c r="CB1836" s="111" t="e">
        <f t="shared" si="1380"/>
        <v>#VALUE!</v>
      </c>
      <c r="CC1836" s="129">
        <f>G1836-I1836+1</f>
        <v>5</v>
      </c>
      <c r="CD1836" s="129">
        <f>G1836-J1836</f>
        <v>0</v>
      </c>
      <c r="CG1836" s="129" t="str">
        <f t="shared" si="1364"/>
        <v>Y</v>
      </c>
      <c r="CI1836" s="129" t="str">
        <f t="shared" si="1365"/>
        <v>0-10 DAYS</v>
      </c>
      <c r="CJ1836" s="137">
        <f t="shared" si="1366"/>
        <v>1</v>
      </c>
      <c r="CK1836" s="129" t="str">
        <f t="shared" si="1367"/>
        <v>Booked</v>
      </c>
    </row>
    <row r="1837" spans="1:89" ht="15" customHeight="1" x14ac:dyDescent="0.25">
      <c r="A1837" s="111">
        <v>2799</v>
      </c>
      <c r="B1837" s="128" t="str">
        <f t="shared" si="1345"/>
        <v>N</v>
      </c>
      <c r="C1837" s="128" t="str">
        <f t="shared" si="1346"/>
        <v>N</v>
      </c>
      <c r="D1837" s="117">
        <v>2306703</v>
      </c>
      <c r="E1837" s="135">
        <f t="shared" si="1347"/>
        <v>6</v>
      </c>
      <c r="F1837" s="124">
        <v>41012</v>
      </c>
      <c r="G1837" s="125">
        <v>41187</v>
      </c>
      <c r="H1837" s="117">
        <v>2306703</v>
      </c>
      <c r="I1837" s="124">
        <v>41017</v>
      </c>
      <c r="J1837" s="124">
        <v>41021</v>
      </c>
      <c r="K1837" s="126">
        <v>10000</v>
      </c>
      <c r="L1837" s="127" t="s">
        <v>570</v>
      </c>
      <c r="M1837" s="125">
        <v>41021</v>
      </c>
      <c r="N1837" s="129" t="str">
        <f t="shared" si="1377"/>
        <v>Y</v>
      </c>
      <c r="O1837" s="128" t="s">
        <v>76</v>
      </c>
      <c r="P1837" s="129" t="s">
        <v>39</v>
      </c>
      <c r="Q1837" s="111">
        <f t="shared" si="1381"/>
        <v>5</v>
      </c>
      <c r="R1837" s="111">
        <f t="shared" si="1370"/>
        <v>176</v>
      </c>
      <c r="S1837" s="129">
        <v>1</v>
      </c>
      <c r="T1837" s="129">
        <v>1</v>
      </c>
      <c r="V1837" s="117">
        <v>1</v>
      </c>
      <c r="W1837" s="111"/>
      <c r="AC1837" s="130"/>
      <c r="AD1837" s="130">
        <v>25430</v>
      </c>
      <c r="AE1837" s="128" t="s">
        <v>46</v>
      </c>
      <c r="AF1837" s="128" t="s">
        <v>69</v>
      </c>
      <c r="AG1837" s="128" t="s">
        <v>874</v>
      </c>
      <c r="AH1837" s="108" t="s">
        <v>58</v>
      </c>
      <c r="AI1837" s="128" t="s">
        <v>59</v>
      </c>
      <c r="AJ1837" s="129" t="s">
        <v>89</v>
      </c>
      <c r="AK1837" s="129">
        <v>10</v>
      </c>
      <c r="AL1837" s="3" t="s">
        <v>362</v>
      </c>
      <c r="AM1837" s="117">
        <v>2</v>
      </c>
      <c r="AP1837" s="129" t="s">
        <v>96</v>
      </c>
      <c r="AR1837" s="128" t="s">
        <v>67</v>
      </c>
      <c r="AS1837" s="129" t="s">
        <v>64</v>
      </c>
      <c r="BC1837" s="129" t="s">
        <v>52</v>
      </c>
      <c r="BF1837" s="111">
        <f t="shared" si="1378"/>
        <v>5</v>
      </c>
      <c r="BG1837" s="111">
        <f t="shared" si="1379"/>
        <v>171</v>
      </c>
      <c r="BH1837" s="111">
        <f t="shared" si="1342"/>
        <v>176</v>
      </c>
      <c r="BI1837" s="111">
        <f t="shared" si="1343"/>
        <v>42.57377049180328</v>
      </c>
      <c r="BJ1837" s="129">
        <f>(G1837-J1837)+(M1837-G1837)</f>
        <v>0</v>
      </c>
      <c r="BK1837" s="129">
        <f t="shared" si="1344"/>
        <v>-166</v>
      </c>
      <c r="BL1837" s="129" t="str">
        <f t="shared" si="1372"/>
        <v>CONVICTION</v>
      </c>
      <c r="BM1837" s="129" t="s">
        <v>76</v>
      </c>
      <c r="BN1837" s="129" t="s">
        <v>88</v>
      </c>
      <c r="BP1837" s="137" t="str">
        <f t="shared" si="1352"/>
        <v>CONVICTION</v>
      </c>
      <c r="BQ1837" s="128" t="str">
        <f t="shared" si="1353"/>
        <v>Y</v>
      </c>
      <c r="BR1837" s="129" t="str">
        <f>IF(J1837&lt;G1837,"ON BOND",0)</f>
        <v>ON BOND</v>
      </c>
      <c r="BS1837" s="129" t="str">
        <f t="shared" si="1355"/>
        <v>DISPOSED</v>
      </c>
      <c r="BT1837" s="129" t="str">
        <f t="shared" si="1356"/>
        <v>Y</v>
      </c>
      <c r="BU1837" s="109">
        <f t="shared" si="1357"/>
        <v>2.8409090909090908E-2</v>
      </c>
      <c r="BV1837" s="109">
        <f t="shared" si="1358"/>
        <v>2.9239766081871343E-2</v>
      </c>
      <c r="BW1837" s="109">
        <f t="shared" si="1368"/>
        <v>8.3067517278043526E-4</v>
      </c>
      <c r="BX1837" s="111">
        <f t="shared" si="1359"/>
        <v>0</v>
      </c>
      <c r="BY1837" s="129">
        <f t="shared" si="1360"/>
        <v>-5</v>
      </c>
      <c r="BZ1837" s="111">
        <f t="shared" si="1361"/>
        <v>0</v>
      </c>
      <c r="CA1837" s="138">
        <f t="shared" si="1362"/>
        <v>5</v>
      </c>
      <c r="CB1837" s="111" t="e">
        <f t="shared" si="1380"/>
        <v>#VALUE!</v>
      </c>
      <c r="CC1837" s="129">
        <f>M1837-I1837+1</f>
        <v>5</v>
      </c>
      <c r="CD1837" s="111">
        <f>CC1837-BF1837</f>
        <v>0</v>
      </c>
      <c r="CG1837" s="129" t="str">
        <f t="shared" si="1364"/>
        <v>Y</v>
      </c>
      <c r="CI1837" s="129" t="str">
        <f t="shared" si="1365"/>
        <v>0-10 DAYS</v>
      </c>
      <c r="CJ1837" s="137">
        <f t="shared" si="1366"/>
        <v>1</v>
      </c>
      <c r="CK1837" s="129" t="str">
        <f t="shared" si="1367"/>
        <v>Booked</v>
      </c>
    </row>
    <row r="1838" spans="1:89" ht="15" customHeight="1" x14ac:dyDescent="0.25">
      <c r="A1838" s="111">
        <v>1894</v>
      </c>
      <c r="B1838" s="128" t="str">
        <f t="shared" si="1345"/>
        <v>N</v>
      </c>
      <c r="C1838" s="128" t="str">
        <f t="shared" si="1346"/>
        <v>N</v>
      </c>
      <c r="D1838" s="117">
        <v>2307133</v>
      </c>
      <c r="E1838" s="135">
        <f t="shared" si="1347"/>
        <v>1</v>
      </c>
      <c r="F1838" s="124">
        <v>40979</v>
      </c>
      <c r="G1838" s="125">
        <v>40995</v>
      </c>
      <c r="H1838" s="117">
        <v>2307133</v>
      </c>
      <c r="I1838" s="124">
        <v>40979</v>
      </c>
      <c r="J1838" s="124">
        <v>40995</v>
      </c>
      <c r="K1838" s="126">
        <v>15000</v>
      </c>
      <c r="L1838" s="127" t="s">
        <v>571</v>
      </c>
      <c r="N1838" s="129" t="str">
        <f t="shared" si="1377"/>
        <v>N</v>
      </c>
      <c r="O1838" s="128" t="s">
        <v>917</v>
      </c>
      <c r="P1838" s="129" t="s">
        <v>55</v>
      </c>
      <c r="Q1838" s="111">
        <f t="shared" si="1381"/>
        <v>17</v>
      </c>
      <c r="R1838" s="111">
        <f t="shared" si="1370"/>
        <v>17</v>
      </c>
      <c r="S1838" s="129">
        <v>6</v>
      </c>
      <c r="T1838" s="129">
        <v>3</v>
      </c>
      <c r="U1838" s="129">
        <v>2</v>
      </c>
      <c r="W1838" s="111"/>
      <c r="AC1838" s="130"/>
      <c r="AD1838" s="130">
        <v>28383</v>
      </c>
      <c r="AE1838" s="128" t="s">
        <v>46</v>
      </c>
      <c r="AF1838" s="128" t="s">
        <v>69</v>
      </c>
      <c r="AG1838" s="128" t="s">
        <v>874</v>
      </c>
      <c r="AH1838" s="108" t="s">
        <v>58</v>
      </c>
      <c r="AI1838" s="128" t="s">
        <v>87</v>
      </c>
      <c r="AJ1838" s="129" t="s">
        <v>55</v>
      </c>
      <c r="AK1838" s="129">
        <v>2</v>
      </c>
      <c r="AL1838" s="3" t="s">
        <v>55</v>
      </c>
      <c r="AP1838" s="129" t="s">
        <v>43</v>
      </c>
      <c r="AR1838" s="128" t="s">
        <v>44</v>
      </c>
      <c r="AS1838" s="129" t="s">
        <v>45</v>
      </c>
      <c r="BC1838" s="129" t="s">
        <v>38</v>
      </c>
      <c r="BF1838" s="111">
        <f t="shared" si="1378"/>
        <v>17</v>
      </c>
      <c r="BG1838" s="111">
        <f t="shared" si="1379"/>
        <v>17</v>
      </c>
      <c r="BH1838" s="111">
        <f t="shared" si="1342"/>
        <v>17</v>
      </c>
      <c r="BI1838" s="111">
        <f t="shared" si="1343"/>
        <v>34.415300546448087</v>
      </c>
      <c r="BJ1838" s="129">
        <f t="shared" si="1350"/>
        <v>0</v>
      </c>
      <c r="BK1838" s="129">
        <f t="shared" si="1344"/>
        <v>0</v>
      </c>
      <c r="BL1838" s="129" t="str">
        <f t="shared" si="1372"/>
        <v>NO CONVICTION</v>
      </c>
      <c r="BM1838" s="129" t="str">
        <f t="shared" si="1351"/>
        <v>NONE</v>
      </c>
      <c r="BN1838" s="129" t="s">
        <v>566</v>
      </c>
      <c r="BP1838" s="137" t="str">
        <f t="shared" si="1352"/>
        <v>NO CONVICTION</v>
      </c>
      <c r="BQ1838" s="128" t="str">
        <f t="shared" si="1353"/>
        <v>Y</v>
      </c>
      <c r="BR1838" s="129" t="str">
        <f t="shared" si="1354"/>
        <v>DETAINED</v>
      </c>
      <c r="BS1838" s="129" t="str">
        <f t="shared" si="1355"/>
        <v>DISPOSED</v>
      </c>
      <c r="BT1838" s="129" t="str">
        <f t="shared" si="1356"/>
        <v>Y</v>
      </c>
      <c r="BU1838" s="109">
        <f>IFERROR(Q1838/R1838,BR1838)</f>
        <v>1</v>
      </c>
      <c r="BV1838" s="109">
        <f t="shared" si="1358"/>
        <v>1</v>
      </c>
      <c r="BW1838" s="109">
        <f t="shared" si="1368"/>
        <v>0</v>
      </c>
      <c r="BX1838" s="111">
        <f t="shared" si="1359"/>
        <v>0</v>
      </c>
      <c r="BY1838" s="129">
        <f t="shared" si="1360"/>
        <v>-17</v>
      </c>
      <c r="BZ1838" s="111">
        <f t="shared" si="1361"/>
        <v>0</v>
      </c>
      <c r="CA1838" s="138">
        <f t="shared" si="1362"/>
        <v>17</v>
      </c>
      <c r="CB1838" s="111" t="e">
        <f t="shared" si="1380"/>
        <v>#VALUE!</v>
      </c>
      <c r="CC1838" s="129">
        <f>G1838-I1838+1</f>
        <v>17</v>
      </c>
      <c r="CD1838" s="129">
        <f>G1838-J1838</f>
        <v>0</v>
      </c>
      <c r="CG1838" s="129" t="str">
        <f t="shared" si="1364"/>
        <v>Y</v>
      </c>
      <c r="CI1838" s="129" t="str">
        <f t="shared" si="1365"/>
        <v>11-30 DAYS</v>
      </c>
      <c r="CJ1838" s="137">
        <f t="shared" si="1366"/>
        <v>2</v>
      </c>
      <c r="CK1838" s="129" t="str">
        <f t="shared" si="1367"/>
        <v>Booked</v>
      </c>
    </row>
    <row r="1839" spans="1:89" ht="15" customHeight="1" x14ac:dyDescent="0.25">
      <c r="A1839" s="111">
        <v>1109</v>
      </c>
      <c r="B1839" s="128" t="str">
        <f t="shared" si="1345"/>
        <v>N</v>
      </c>
      <c r="C1839" s="128" t="str">
        <f t="shared" si="1346"/>
        <v>N</v>
      </c>
      <c r="D1839" s="117">
        <v>2307450</v>
      </c>
      <c r="E1839" s="135">
        <f t="shared" si="1347"/>
        <v>1</v>
      </c>
      <c r="F1839" s="124">
        <v>40949</v>
      </c>
      <c r="G1839" s="125">
        <v>41178</v>
      </c>
      <c r="H1839" s="117">
        <v>2307450</v>
      </c>
      <c r="I1839" s="124">
        <v>40949</v>
      </c>
      <c r="J1839" s="124">
        <v>40950</v>
      </c>
      <c r="K1839" s="126">
        <v>5000</v>
      </c>
      <c r="L1839" s="127" t="s">
        <v>569</v>
      </c>
      <c r="M1839" s="125">
        <v>40950</v>
      </c>
      <c r="N1839" s="129" t="str">
        <f t="shared" si="1377"/>
        <v>Y</v>
      </c>
      <c r="O1839" s="128" t="s">
        <v>76</v>
      </c>
      <c r="P1839" s="129" t="s">
        <v>55</v>
      </c>
      <c r="Q1839" s="111">
        <f t="shared" si="1381"/>
        <v>2</v>
      </c>
      <c r="R1839" s="111">
        <f t="shared" si="1370"/>
        <v>230</v>
      </c>
      <c r="S1839" s="129">
        <v>0</v>
      </c>
      <c r="T1839" s="129">
        <v>1</v>
      </c>
      <c r="W1839" s="111"/>
      <c r="AB1839" s="131" t="s">
        <v>112</v>
      </c>
      <c r="AC1839" s="130"/>
      <c r="AD1839" s="130">
        <v>29938</v>
      </c>
      <c r="AE1839" s="128" t="s">
        <v>46</v>
      </c>
      <c r="AF1839" s="128" t="s">
        <v>40</v>
      </c>
      <c r="AG1839" s="128" t="s">
        <v>41</v>
      </c>
      <c r="AH1839" s="108" t="s">
        <v>31</v>
      </c>
      <c r="AI1839" s="128" t="s">
        <v>97</v>
      </c>
      <c r="AJ1839" s="129" t="s">
        <v>55</v>
      </c>
      <c r="AK1839" s="129">
        <v>9</v>
      </c>
      <c r="AL1839" s="3" t="s">
        <v>55</v>
      </c>
      <c r="AP1839" s="129" t="s">
        <v>98</v>
      </c>
      <c r="AR1839" s="128" t="s">
        <v>44</v>
      </c>
      <c r="AS1839" s="129" t="s">
        <v>64</v>
      </c>
      <c r="BC1839" s="129" t="s">
        <v>52</v>
      </c>
      <c r="BF1839" s="111">
        <f t="shared" si="1378"/>
        <v>2</v>
      </c>
      <c r="BG1839" s="111">
        <f t="shared" si="1379"/>
        <v>230</v>
      </c>
      <c r="BH1839" s="111">
        <f t="shared" si="1342"/>
        <v>230</v>
      </c>
      <c r="BI1839" s="111">
        <f t="shared" si="1343"/>
        <v>30.084699453551913</v>
      </c>
      <c r="BJ1839" s="129">
        <f>(G1839-J1839)+(M1839-G1839)</f>
        <v>0</v>
      </c>
      <c r="BK1839" s="129">
        <f t="shared" si="1344"/>
        <v>-228</v>
      </c>
      <c r="BL1839" s="129" t="str">
        <f t="shared" si="1372"/>
        <v>NO CONVICTION</v>
      </c>
      <c r="BM1839" s="129" t="s">
        <v>76</v>
      </c>
      <c r="BN1839" s="129" t="s">
        <v>88</v>
      </c>
      <c r="BP1839" s="137" t="str">
        <f t="shared" si="1352"/>
        <v>NO CONVICTION</v>
      </c>
      <c r="BQ1839" s="128" t="str">
        <f t="shared" si="1353"/>
        <v>Y</v>
      </c>
      <c r="BR1839" s="129" t="str">
        <f t="shared" si="1354"/>
        <v>ON BOND</v>
      </c>
      <c r="BS1839" s="129" t="str">
        <f t="shared" si="1355"/>
        <v>DISPOSED</v>
      </c>
      <c r="BT1839" s="129" t="str">
        <f t="shared" si="1356"/>
        <v>N</v>
      </c>
      <c r="BU1839" s="109">
        <f>IFERROR(Q1839/R1839,BR1839)</f>
        <v>8.6956521739130436E-3</v>
      </c>
      <c r="BV1839" s="109">
        <f t="shared" si="1358"/>
        <v>8.6956521739130436E-3</v>
      </c>
      <c r="BW1839" s="109">
        <f t="shared" si="1368"/>
        <v>0</v>
      </c>
      <c r="BX1839" s="111">
        <f t="shared" si="1359"/>
        <v>0</v>
      </c>
      <c r="BY1839" s="129">
        <f t="shared" si="1360"/>
        <v>-2</v>
      </c>
      <c r="BZ1839" s="111">
        <f t="shared" si="1361"/>
        <v>0</v>
      </c>
      <c r="CA1839" s="138">
        <f t="shared" si="1362"/>
        <v>2</v>
      </c>
      <c r="CB1839" s="111" t="e">
        <f t="shared" si="1380"/>
        <v>#VALUE!</v>
      </c>
      <c r="CC1839" s="129">
        <f>M1839-I1839+1</f>
        <v>2</v>
      </c>
      <c r="CD1839" s="111">
        <f>CC1839-BF1839</f>
        <v>0</v>
      </c>
      <c r="CG1839" s="129" t="str">
        <f t="shared" si="1364"/>
        <v>Y</v>
      </c>
      <c r="CI1839" s="129" t="str">
        <f t="shared" si="1365"/>
        <v>0-10 DAYS</v>
      </c>
      <c r="CJ1839" s="137">
        <f t="shared" si="1366"/>
        <v>1</v>
      </c>
      <c r="CK1839" s="129" t="str">
        <f t="shared" si="1367"/>
        <v>Booked</v>
      </c>
    </row>
    <row r="1840" spans="1:89" ht="15.75" customHeight="1" x14ac:dyDescent="0.25">
      <c r="A1840" s="111">
        <v>1184</v>
      </c>
      <c r="B1840" s="128" t="str">
        <f t="shared" si="1345"/>
        <v>N</v>
      </c>
      <c r="C1840" s="128" t="str">
        <f t="shared" si="1346"/>
        <v>N</v>
      </c>
      <c r="D1840" s="117">
        <v>2307467</v>
      </c>
      <c r="E1840" s="135">
        <f t="shared" si="1347"/>
        <v>4</v>
      </c>
      <c r="F1840" s="124">
        <v>40952</v>
      </c>
      <c r="G1840" s="125">
        <v>41023</v>
      </c>
      <c r="H1840" s="117">
        <v>2307467</v>
      </c>
      <c r="I1840" s="124">
        <v>40952</v>
      </c>
      <c r="J1840" s="124">
        <v>41023</v>
      </c>
      <c r="K1840" s="126">
        <v>15000</v>
      </c>
      <c r="L1840" s="127" t="s">
        <v>571</v>
      </c>
      <c r="N1840" s="129" t="str">
        <f t="shared" si="1377"/>
        <v>N</v>
      </c>
      <c r="O1840" s="128" t="s">
        <v>917</v>
      </c>
      <c r="P1840" s="129" t="s">
        <v>39</v>
      </c>
      <c r="Q1840" s="111">
        <f t="shared" si="1381"/>
        <v>72</v>
      </c>
      <c r="R1840" s="111">
        <f t="shared" si="1370"/>
        <v>72</v>
      </c>
      <c r="S1840" s="129">
        <v>2</v>
      </c>
      <c r="T1840" s="129">
        <v>2</v>
      </c>
      <c r="W1840" s="111"/>
      <c r="AC1840" s="130"/>
      <c r="AD1840" s="130">
        <v>31743</v>
      </c>
      <c r="AE1840" s="128" t="s">
        <v>46</v>
      </c>
      <c r="AF1840" s="128" t="s">
        <v>69</v>
      </c>
      <c r="AG1840" s="128" t="s">
        <v>874</v>
      </c>
      <c r="AH1840" s="108" t="s">
        <v>58</v>
      </c>
      <c r="AI1840" s="128" t="s">
        <v>90</v>
      </c>
      <c r="AJ1840" s="129" t="s">
        <v>89</v>
      </c>
      <c r="AK1840" s="129">
        <v>4</v>
      </c>
      <c r="AL1840" s="3" t="s">
        <v>991</v>
      </c>
      <c r="AO1840" s="128">
        <v>180</v>
      </c>
      <c r="AP1840" s="129" t="s">
        <v>121</v>
      </c>
      <c r="AR1840" s="128" t="s">
        <v>44</v>
      </c>
      <c r="AS1840" s="129" t="s">
        <v>122</v>
      </c>
      <c r="AT1840" s="129" t="s">
        <v>300</v>
      </c>
      <c r="BC1840" s="129" t="s">
        <v>38</v>
      </c>
      <c r="BF1840" s="111">
        <f t="shared" si="1378"/>
        <v>72</v>
      </c>
      <c r="BG1840" s="111">
        <f t="shared" si="1379"/>
        <v>72</v>
      </c>
      <c r="BH1840" s="111">
        <f t="shared" si="1342"/>
        <v>72</v>
      </c>
      <c r="BI1840" s="111">
        <f t="shared" si="1343"/>
        <v>25.161202185792348</v>
      </c>
      <c r="BJ1840" s="129">
        <f t="shared" si="1350"/>
        <v>0</v>
      </c>
      <c r="BK1840" s="129">
        <f t="shared" si="1344"/>
        <v>0</v>
      </c>
      <c r="BL1840" s="129" t="str">
        <f t="shared" si="1372"/>
        <v>CONVICTION</v>
      </c>
      <c r="BM1840" s="129" t="str">
        <f t="shared" si="1351"/>
        <v>NONE</v>
      </c>
      <c r="BN1840" s="129" t="s">
        <v>566</v>
      </c>
      <c r="BP1840" s="137" t="str">
        <f t="shared" si="1352"/>
        <v>CONVICTION</v>
      </c>
      <c r="BQ1840" s="128" t="str">
        <f t="shared" si="1353"/>
        <v>Y</v>
      </c>
      <c r="BR1840" s="129" t="str">
        <f t="shared" si="1354"/>
        <v>DETAINED</v>
      </c>
      <c r="BS1840" s="129" t="str">
        <f t="shared" si="1355"/>
        <v>DISPOSED</v>
      </c>
      <c r="BT1840" s="129" t="str">
        <f t="shared" si="1356"/>
        <v>Y</v>
      </c>
      <c r="BU1840" s="109">
        <f t="shared" si="1357"/>
        <v>1</v>
      </c>
      <c r="BV1840" s="109">
        <f t="shared" si="1358"/>
        <v>1</v>
      </c>
      <c r="BW1840" s="109">
        <f t="shared" si="1368"/>
        <v>0</v>
      </c>
      <c r="BX1840" s="111">
        <f t="shared" si="1359"/>
        <v>0</v>
      </c>
      <c r="BY1840" s="129">
        <f t="shared" si="1360"/>
        <v>-72</v>
      </c>
      <c r="BZ1840" s="111">
        <f t="shared" si="1361"/>
        <v>0</v>
      </c>
      <c r="CA1840" s="138">
        <f t="shared" si="1362"/>
        <v>72</v>
      </c>
      <c r="CB1840" s="111" t="e">
        <f t="shared" si="1380"/>
        <v>#VALUE!</v>
      </c>
      <c r="CC1840" s="129">
        <f>G1840-I1840+1</f>
        <v>72</v>
      </c>
      <c r="CD1840" s="129">
        <f>G1840-J1840</f>
        <v>0</v>
      </c>
      <c r="CG1840" s="129" t="str">
        <f t="shared" si="1364"/>
        <v>Y</v>
      </c>
      <c r="CI1840" s="129" t="str">
        <f t="shared" si="1365"/>
        <v>61-90 DAYS</v>
      </c>
      <c r="CJ1840" s="137">
        <f t="shared" si="1366"/>
        <v>4</v>
      </c>
      <c r="CK1840" s="129" t="str">
        <f t="shared" si="1367"/>
        <v>Booked</v>
      </c>
    </row>
    <row r="1841" spans="1:89" ht="15" customHeight="1" x14ac:dyDescent="0.25">
      <c r="A1841" s="111">
        <v>3197</v>
      </c>
      <c r="B1841" s="128" t="str">
        <f t="shared" si="1345"/>
        <v>N</v>
      </c>
      <c r="C1841" s="128" t="str">
        <f t="shared" si="1346"/>
        <v>N</v>
      </c>
      <c r="D1841" s="117">
        <v>2307758</v>
      </c>
      <c r="E1841" s="135">
        <f t="shared" si="1347"/>
        <v>6</v>
      </c>
      <c r="F1841" s="124">
        <v>41026</v>
      </c>
      <c r="G1841" s="125">
        <v>41326</v>
      </c>
      <c r="H1841" s="117">
        <v>2307758</v>
      </c>
      <c r="I1841" s="124">
        <v>41027</v>
      </c>
      <c r="J1841" s="125">
        <v>41326</v>
      </c>
      <c r="K1841" s="126" t="s">
        <v>564</v>
      </c>
      <c r="L1841" s="127" t="s">
        <v>564</v>
      </c>
      <c r="N1841" s="129" t="s">
        <v>566</v>
      </c>
      <c r="O1841" s="128" t="s">
        <v>917</v>
      </c>
      <c r="P1841" s="129" t="s">
        <v>39</v>
      </c>
      <c r="Q1841" s="111">
        <f t="shared" si="1381"/>
        <v>300</v>
      </c>
      <c r="R1841" s="111">
        <f t="shared" si="1370"/>
        <v>301</v>
      </c>
      <c r="S1841" s="129">
        <v>1</v>
      </c>
      <c r="T1841" s="129">
        <v>1</v>
      </c>
      <c r="U1841" s="129">
        <v>1</v>
      </c>
      <c r="W1841" s="111"/>
      <c r="AC1841" s="130"/>
      <c r="AD1841" s="130">
        <v>32508</v>
      </c>
      <c r="AE1841" s="128" t="s">
        <v>32</v>
      </c>
      <c r="AF1841" s="128" t="s">
        <v>33</v>
      </c>
      <c r="AG1841" s="128" t="s">
        <v>872</v>
      </c>
      <c r="AH1841" s="108" t="s">
        <v>31</v>
      </c>
      <c r="AI1841" s="128" t="s">
        <v>65</v>
      </c>
      <c r="AJ1841" s="129" t="s">
        <v>89</v>
      </c>
      <c r="AK1841" s="129">
        <v>8</v>
      </c>
      <c r="AL1841" s="3" t="s">
        <v>362</v>
      </c>
      <c r="AM1841" s="117">
        <v>2</v>
      </c>
      <c r="AP1841" s="129" t="s">
        <v>130</v>
      </c>
      <c r="AR1841" s="128" t="s">
        <v>92</v>
      </c>
      <c r="AS1841" s="129" t="s">
        <v>57</v>
      </c>
      <c r="AX1841" s="32"/>
      <c r="BC1841" s="129" t="s">
        <v>38</v>
      </c>
      <c r="BF1841" s="111">
        <f t="shared" si="1378"/>
        <v>300</v>
      </c>
      <c r="BG1841" s="111">
        <f t="shared" si="1379"/>
        <v>300</v>
      </c>
      <c r="BH1841" s="111">
        <f t="shared" si="1342"/>
        <v>301</v>
      </c>
      <c r="BI1841" s="111">
        <f t="shared" si="1343"/>
        <v>23.273224043715846</v>
      </c>
      <c r="BJ1841" s="129">
        <f t="shared" si="1350"/>
        <v>0</v>
      </c>
      <c r="BK1841" s="129">
        <f t="shared" si="1344"/>
        <v>0</v>
      </c>
      <c r="BL1841" s="129" t="str">
        <f t="shared" si="1372"/>
        <v>CONVICTION</v>
      </c>
      <c r="BM1841" s="129" t="str">
        <f t="shared" si="1351"/>
        <v>NONE</v>
      </c>
      <c r="BN1841" s="129" t="s">
        <v>566</v>
      </c>
      <c r="BP1841" s="137" t="str">
        <f t="shared" si="1352"/>
        <v>CONVICTION</v>
      </c>
      <c r="BQ1841" s="128" t="str">
        <f t="shared" si="1353"/>
        <v>Y</v>
      </c>
      <c r="BR1841" s="129" t="str">
        <f t="shared" si="1354"/>
        <v>DETAINED</v>
      </c>
      <c r="BS1841" s="129" t="str">
        <f t="shared" si="1355"/>
        <v>DISPOSED</v>
      </c>
      <c r="BT1841" s="129" t="str">
        <f t="shared" si="1356"/>
        <v>Y</v>
      </c>
      <c r="BU1841" s="109">
        <f t="shared" si="1357"/>
        <v>0.99667774086378735</v>
      </c>
      <c r="BV1841" s="109">
        <f t="shared" si="1358"/>
        <v>1</v>
      </c>
      <c r="BW1841" s="109">
        <f t="shared" si="1368"/>
        <v>3.3222591362126463E-3</v>
      </c>
      <c r="BX1841" s="111">
        <f t="shared" si="1359"/>
        <v>0</v>
      </c>
      <c r="BY1841" s="129">
        <f t="shared" si="1360"/>
        <v>-300</v>
      </c>
      <c r="BZ1841" s="111">
        <f t="shared" si="1361"/>
        <v>0</v>
      </c>
      <c r="CA1841" s="138">
        <f t="shared" si="1362"/>
        <v>300</v>
      </c>
      <c r="CB1841" s="111" t="e">
        <f t="shared" si="1380"/>
        <v>#VALUE!</v>
      </c>
      <c r="CC1841" s="129">
        <f>G1841-I1841+1</f>
        <v>300</v>
      </c>
      <c r="CD1841" s="129">
        <f>G1841-J1841</f>
        <v>0</v>
      </c>
      <c r="CG1841" s="129" t="str">
        <f t="shared" si="1364"/>
        <v>Y</v>
      </c>
      <c r="CI1841" s="129" t="str">
        <f t="shared" si="1365"/>
        <v>121-365 DAYS</v>
      </c>
      <c r="CJ1841" s="137">
        <f t="shared" si="1366"/>
        <v>6</v>
      </c>
      <c r="CK1841" s="129" t="str">
        <f t="shared" si="1367"/>
        <v>Booked</v>
      </c>
    </row>
    <row r="1842" spans="1:89" ht="15.75" customHeight="1" x14ac:dyDescent="0.25">
      <c r="A1842" s="111">
        <v>2557</v>
      </c>
      <c r="B1842" s="128" t="str">
        <f t="shared" si="1345"/>
        <v>N</v>
      </c>
      <c r="C1842" s="128" t="str">
        <f t="shared" si="1346"/>
        <v>N</v>
      </c>
      <c r="D1842" s="117">
        <v>2308013</v>
      </c>
      <c r="E1842" s="135">
        <f t="shared" si="1347"/>
        <v>6</v>
      </c>
      <c r="F1842" s="124">
        <v>41004</v>
      </c>
      <c r="G1842" s="125">
        <v>41044</v>
      </c>
      <c r="H1842" s="117">
        <v>2308013</v>
      </c>
      <c r="I1842" s="124">
        <v>41004</v>
      </c>
      <c r="J1842" s="124">
        <v>41044</v>
      </c>
      <c r="K1842" s="126" t="s">
        <v>564</v>
      </c>
      <c r="L1842" s="127" t="s">
        <v>564</v>
      </c>
      <c r="N1842" s="129" t="s">
        <v>566</v>
      </c>
      <c r="O1842" s="128" t="s">
        <v>917</v>
      </c>
      <c r="P1842" s="129" t="s">
        <v>39</v>
      </c>
      <c r="Q1842" s="111">
        <f t="shared" si="1381"/>
        <v>41</v>
      </c>
      <c r="R1842" s="111">
        <f t="shared" si="1370"/>
        <v>41</v>
      </c>
      <c r="S1842" s="129">
        <v>2</v>
      </c>
      <c r="T1842" s="129">
        <v>1</v>
      </c>
      <c r="U1842" s="129">
        <v>1</v>
      </c>
      <c r="W1842" s="111"/>
      <c r="AC1842" s="130"/>
      <c r="AD1842" s="130">
        <v>32414</v>
      </c>
      <c r="AE1842" s="128" t="s">
        <v>32</v>
      </c>
      <c r="AF1842" s="128" t="s">
        <v>33</v>
      </c>
      <c r="AG1842" s="128" t="s">
        <v>872</v>
      </c>
      <c r="AH1842" s="108" t="s">
        <v>58</v>
      </c>
      <c r="AI1842" s="128" t="s">
        <v>71</v>
      </c>
      <c r="AJ1842" s="129" t="s">
        <v>89</v>
      </c>
      <c r="AK1842" s="129">
        <v>2</v>
      </c>
      <c r="AL1842" s="3" t="s">
        <v>362</v>
      </c>
      <c r="AM1842" s="117">
        <v>4</v>
      </c>
      <c r="AP1842" s="129" t="s">
        <v>158</v>
      </c>
      <c r="AR1842" s="128" t="s">
        <v>67</v>
      </c>
      <c r="AS1842" s="129" t="s">
        <v>64</v>
      </c>
      <c r="BC1842" s="129" t="s">
        <v>38</v>
      </c>
      <c r="BF1842" s="111">
        <f t="shared" si="1378"/>
        <v>41</v>
      </c>
      <c r="BG1842" s="111">
        <f t="shared" si="1379"/>
        <v>41</v>
      </c>
      <c r="BH1842" s="111">
        <f t="shared" si="1342"/>
        <v>41</v>
      </c>
      <c r="BI1842" s="111">
        <f t="shared" si="1343"/>
        <v>23.469945355191257</v>
      </c>
      <c r="BJ1842" s="129">
        <f t="shared" si="1350"/>
        <v>0</v>
      </c>
      <c r="BK1842" s="129">
        <f t="shared" si="1344"/>
        <v>0</v>
      </c>
      <c r="BL1842" s="129" t="str">
        <f t="shared" si="1372"/>
        <v>CONVICTION</v>
      </c>
      <c r="BM1842" s="129" t="str">
        <f t="shared" si="1351"/>
        <v>NONE</v>
      </c>
      <c r="BN1842" s="129" t="s">
        <v>566</v>
      </c>
      <c r="BP1842" s="137" t="str">
        <f t="shared" si="1352"/>
        <v>CONVICTION</v>
      </c>
      <c r="BQ1842" s="128" t="str">
        <f t="shared" si="1353"/>
        <v>Y</v>
      </c>
      <c r="BR1842" s="129" t="str">
        <f t="shared" si="1354"/>
        <v>DETAINED</v>
      </c>
      <c r="BS1842" s="129" t="str">
        <f t="shared" si="1355"/>
        <v>DISPOSED</v>
      </c>
      <c r="BT1842" s="129" t="str">
        <f t="shared" si="1356"/>
        <v>Y</v>
      </c>
      <c r="BU1842" s="109">
        <f t="shared" si="1357"/>
        <v>1</v>
      </c>
      <c r="BV1842" s="109">
        <f t="shared" si="1358"/>
        <v>1</v>
      </c>
      <c r="BW1842" s="109">
        <f t="shared" si="1368"/>
        <v>0</v>
      </c>
      <c r="BX1842" s="111">
        <f t="shared" si="1359"/>
        <v>0</v>
      </c>
      <c r="BY1842" s="129">
        <f t="shared" si="1360"/>
        <v>-41</v>
      </c>
      <c r="BZ1842" s="111">
        <f t="shared" si="1361"/>
        <v>0</v>
      </c>
      <c r="CA1842" s="138">
        <f t="shared" si="1362"/>
        <v>41</v>
      </c>
      <c r="CB1842" s="111" t="e">
        <f t="shared" si="1380"/>
        <v>#VALUE!</v>
      </c>
      <c r="CC1842" s="129">
        <f>G1842-I1842+1</f>
        <v>41</v>
      </c>
      <c r="CD1842" s="129">
        <f>G1842-J1842</f>
        <v>0</v>
      </c>
      <c r="CG1842" s="129" t="str">
        <f t="shared" si="1364"/>
        <v>Y</v>
      </c>
      <c r="CI1842" s="129" t="str">
        <f t="shared" si="1365"/>
        <v>31-60 DAYS</v>
      </c>
      <c r="CJ1842" s="137">
        <f t="shared" si="1366"/>
        <v>3</v>
      </c>
      <c r="CK1842" s="129" t="str">
        <f t="shared" si="1367"/>
        <v>Booked</v>
      </c>
    </row>
    <row r="1843" spans="1:89" ht="15.75" customHeight="1" x14ac:dyDescent="0.25">
      <c r="A1843" s="111">
        <v>2634</v>
      </c>
      <c r="B1843" s="128" t="str">
        <f t="shared" si="1345"/>
        <v>N</v>
      </c>
      <c r="C1843" s="128" t="str">
        <f t="shared" si="1346"/>
        <v>N</v>
      </c>
      <c r="D1843" s="117">
        <v>2308172</v>
      </c>
      <c r="E1843" s="135" t="str">
        <f t="shared" si="1347"/>
        <v/>
      </c>
      <c r="F1843" s="124">
        <v>41006</v>
      </c>
      <c r="G1843" s="125"/>
      <c r="H1843" s="117">
        <v>2308172</v>
      </c>
      <c r="I1843" s="124">
        <v>41007</v>
      </c>
      <c r="J1843" s="125"/>
      <c r="K1843" s="126">
        <v>100000</v>
      </c>
      <c r="L1843" s="129" t="s">
        <v>572</v>
      </c>
      <c r="N1843" s="129" t="str">
        <f>IF(M1843&gt;1/1/1,"Y","N")</f>
        <v>N</v>
      </c>
      <c r="O1843" s="128" t="s">
        <v>917</v>
      </c>
      <c r="P1843" s="32" t="s">
        <v>550</v>
      </c>
      <c r="Q1843" s="111" t="str">
        <f>BF1843</f>
        <v>STILL OPEN</v>
      </c>
      <c r="R1843" s="111" t="str">
        <f t="shared" si="1370"/>
        <v>STILL OPEN</v>
      </c>
      <c r="S1843" s="129">
        <v>1</v>
      </c>
      <c r="T1843" s="129">
        <v>0</v>
      </c>
      <c r="U1843" s="129">
        <v>1</v>
      </c>
      <c r="W1843" s="111"/>
      <c r="AB1843" s="131" t="s">
        <v>112</v>
      </c>
      <c r="AC1843" s="130"/>
      <c r="AD1843" s="130">
        <v>24504</v>
      </c>
      <c r="AE1843" s="128" t="s">
        <v>32</v>
      </c>
      <c r="AF1843" s="128" t="s">
        <v>40</v>
      </c>
      <c r="AG1843" s="128" t="s">
        <v>41</v>
      </c>
      <c r="AH1843" s="108" t="s">
        <v>31</v>
      </c>
      <c r="AI1843" s="128" t="s">
        <v>114</v>
      </c>
      <c r="AP1843" s="129" t="s">
        <v>73</v>
      </c>
      <c r="AR1843" s="128" t="s">
        <v>50</v>
      </c>
      <c r="AS1843" s="129" t="s">
        <v>74</v>
      </c>
      <c r="AT1843" s="129" t="s">
        <v>1281</v>
      </c>
      <c r="BC1843" s="129" t="s">
        <v>38</v>
      </c>
      <c r="BF1843" s="111" t="s">
        <v>588</v>
      </c>
      <c r="BG1843" s="111" t="str">
        <f t="shared" si="1379"/>
        <v>STILL OPEN</v>
      </c>
      <c r="BH1843" s="111" t="str">
        <f t="shared" si="1342"/>
        <v>STILL OPEN</v>
      </c>
      <c r="BI1843" s="111">
        <f t="shared" si="1343"/>
        <v>45.087431693989068</v>
      </c>
      <c r="BJ1843" s="129">
        <f t="shared" si="1350"/>
        <v>0</v>
      </c>
      <c r="BK1843" s="129">
        <f t="shared" si="1344"/>
        <v>0</v>
      </c>
      <c r="BL1843" s="129">
        <f t="shared" si="1372"/>
        <v>0</v>
      </c>
      <c r="BM1843" s="129" t="str">
        <f t="shared" si="1351"/>
        <v>NONE</v>
      </c>
      <c r="BN1843" s="129" t="s">
        <v>566</v>
      </c>
      <c r="BP1843" s="137" t="str">
        <f t="shared" si="1352"/>
        <v/>
      </c>
      <c r="BQ1843" s="128" t="str">
        <f t="shared" si="1353"/>
        <v>Y</v>
      </c>
      <c r="BR1843" s="129" t="str">
        <f t="shared" si="1354"/>
        <v>STILL OPEN</v>
      </c>
      <c r="BS1843" s="129" t="s">
        <v>588</v>
      </c>
      <c r="BT1843" s="129" t="str">
        <f t="shared" si="1356"/>
        <v>Y</v>
      </c>
      <c r="BU1843" s="109" t="s">
        <v>588</v>
      </c>
      <c r="BV1843" s="129" t="s">
        <v>588</v>
      </c>
      <c r="BW1843" s="109">
        <v>0</v>
      </c>
      <c r="BX1843" s="111" t="e">
        <f t="shared" si="1359"/>
        <v>#VALUE!</v>
      </c>
      <c r="BY1843" s="129">
        <f t="shared" si="1360"/>
        <v>41006</v>
      </c>
      <c r="BZ1843" s="111" t="e">
        <f t="shared" si="1361"/>
        <v>#VALUE!</v>
      </c>
      <c r="CA1843" s="138" t="e">
        <f t="shared" si="1362"/>
        <v>#VALUE!</v>
      </c>
      <c r="CB1843" s="111" t="s">
        <v>588</v>
      </c>
      <c r="CC1843" s="129" t="s">
        <v>588</v>
      </c>
      <c r="CG1843" s="129" t="str">
        <f t="shared" si="1364"/>
        <v>Y</v>
      </c>
      <c r="CH1843" s="129" t="e">
        <v>#N/A</v>
      </c>
      <c r="CI1843" s="129" t="str">
        <f t="shared" si="1365"/>
        <v>&gt;3YRS</v>
      </c>
      <c r="CJ1843" s="137">
        <f t="shared" si="1366"/>
        <v>9</v>
      </c>
      <c r="CK1843" s="129" t="str">
        <f t="shared" si="1367"/>
        <v>Booked</v>
      </c>
    </row>
    <row r="1844" spans="1:89" ht="15.75" customHeight="1" x14ac:dyDescent="0.25">
      <c r="A1844" s="111">
        <v>822</v>
      </c>
      <c r="B1844" s="128" t="str">
        <f t="shared" si="1345"/>
        <v>N</v>
      </c>
      <c r="C1844" s="128" t="str">
        <f t="shared" si="1346"/>
        <v>N</v>
      </c>
      <c r="D1844" s="117">
        <v>2308686</v>
      </c>
      <c r="E1844" s="135">
        <f t="shared" si="1347"/>
        <v>2</v>
      </c>
      <c r="F1844" s="124">
        <v>40940</v>
      </c>
      <c r="G1844" s="125">
        <v>41001</v>
      </c>
      <c r="H1844" s="117">
        <v>2308686</v>
      </c>
      <c r="I1844" s="124">
        <v>40940</v>
      </c>
      <c r="J1844" s="124">
        <v>41001</v>
      </c>
      <c r="K1844" s="126">
        <v>10000</v>
      </c>
      <c r="L1844" s="127" t="s">
        <v>570</v>
      </c>
      <c r="N1844" s="129" t="str">
        <f>IF(M1844&gt;1/1/1,"Y","N")</f>
        <v>N</v>
      </c>
      <c r="O1844" s="128" t="s">
        <v>917</v>
      </c>
      <c r="P1844" s="129" t="s">
        <v>589</v>
      </c>
      <c r="Q1844" s="111">
        <f t="shared" si="1381"/>
        <v>62</v>
      </c>
      <c r="R1844" s="111">
        <f t="shared" si="1370"/>
        <v>62</v>
      </c>
      <c r="S1844" s="129">
        <v>2</v>
      </c>
      <c r="T1844" s="129">
        <v>4</v>
      </c>
      <c r="U1844" s="129">
        <v>2</v>
      </c>
      <c r="W1844" s="111"/>
      <c r="AC1844" s="130"/>
      <c r="AD1844" s="130">
        <v>32579</v>
      </c>
      <c r="AE1844" s="128" t="s">
        <v>32</v>
      </c>
      <c r="AF1844" s="128" t="s">
        <v>33</v>
      </c>
      <c r="AG1844" s="128" t="s">
        <v>872</v>
      </c>
      <c r="AH1844" s="108" t="s">
        <v>58</v>
      </c>
      <c r="AI1844" s="128" t="s">
        <v>95</v>
      </c>
      <c r="AJ1844" s="129" t="s">
        <v>48</v>
      </c>
      <c r="AK1844" s="129">
        <v>5</v>
      </c>
      <c r="AL1844" s="3" t="s">
        <v>48</v>
      </c>
      <c r="AP1844" s="129" t="s">
        <v>93</v>
      </c>
      <c r="AR1844" s="128" t="s">
        <v>67</v>
      </c>
      <c r="AS1844" s="129" t="s">
        <v>45</v>
      </c>
      <c r="BC1844" s="129" t="s">
        <v>38</v>
      </c>
      <c r="BF1844" s="111">
        <f t="shared" si="1378"/>
        <v>62</v>
      </c>
      <c r="BG1844" s="111">
        <f t="shared" si="1379"/>
        <v>62</v>
      </c>
      <c r="BH1844" s="111">
        <f t="shared" si="1342"/>
        <v>62</v>
      </c>
      <c r="BI1844" s="111">
        <f t="shared" si="1343"/>
        <v>22.844262295081968</v>
      </c>
      <c r="BJ1844" s="129">
        <f t="shared" si="1350"/>
        <v>0</v>
      </c>
      <c r="BK1844" s="129">
        <f t="shared" si="1344"/>
        <v>0</v>
      </c>
      <c r="BL1844" s="129" t="str">
        <f t="shared" si="1372"/>
        <v>DEFERRED</v>
      </c>
      <c r="BM1844" s="129" t="str">
        <f t="shared" si="1351"/>
        <v>NONE</v>
      </c>
      <c r="BN1844" s="129" t="s">
        <v>566</v>
      </c>
      <c r="BP1844" s="137" t="str">
        <f t="shared" si="1352"/>
        <v>DEFERRED</v>
      </c>
      <c r="BQ1844" s="128" t="str">
        <f t="shared" si="1353"/>
        <v>Y</v>
      </c>
      <c r="BR1844" s="129" t="str">
        <f t="shared" si="1354"/>
        <v>DETAINED</v>
      </c>
      <c r="BS1844" s="129" t="str">
        <f t="shared" si="1355"/>
        <v>DISPOSED</v>
      </c>
      <c r="BT1844" s="129" t="str">
        <f t="shared" si="1356"/>
        <v>Y</v>
      </c>
      <c r="BU1844" s="109">
        <f t="shared" si="1357"/>
        <v>1</v>
      </c>
      <c r="BV1844" s="109">
        <f t="shared" si="1358"/>
        <v>1</v>
      </c>
      <c r="BW1844" s="109">
        <f t="shared" ref="BW1844:BW1864" si="1382">BV1844-BU1844</f>
        <v>0</v>
      </c>
      <c r="BX1844" s="111">
        <f t="shared" si="1359"/>
        <v>0</v>
      </c>
      <c r="BY1844" s="129">
        <f t="shared" si="1360"/>
        <v>-62</v>
      </c>
      <c r="BZ1844" s="111">
        <f t="shared" si="1361"/>
        <v>0</v>
      </c>
      <c r="CA1844" s="138">
        <f t="shared" si="1362"/>
        <v>62</v>
      </c>
      <c r="CB1844" s="111" t="e">
        <f t="shared" si="1380"/>
        <v>#VALUE!</v>
      </c>
      <c r="CC1844" s="129">
        <f>G1844-I1844+1</f>
        <v>62</v>
      </c>
      <c r="CD1844" s="129">
        <f>G1844-J1844</f>
        <v>0</v>
      </c>
      <c r="CG1844" s="129" t="str">
        <f t="shared" si="1364"/>
        <v>Y</v>
      </c>
      <c r="CI1844" s="129" t="str">
        <f t="shared" si="1365"/>
        <v>61-90 DAYS</v>
      </c>
      <c r="CJ1844" s="137">
        <f t="shared" si="1366"/>
        <v>4</v>
      </c>
      <c r="CK1844" s="129" t="str">
        <f t="shared" si="1367"/>
        <v>Booked</v>
      </c>
    </row>
    <row r="1845" spans="1:89" ht="15" customHeight="1" x14ac:dyDescent="0.25">
      <c r="A1845" s="111">
        <v>2910</v>
      </c>
      <c r="B1845" s="128" t="str">
        <f t="shared" si="1345"/>
        <v>N</v>
      </c>
      <c r="C1845" s="128" t="str">
        <f t="shared" si="1346"/>
        <v>N</v>
      </c>
      <c r="D1845" s="117">
        <v>2308864</v>
      </c>
      <c r="E1845" s="135">
        <f t="shared" si="1347"/>
        <v>2</v>
      </c>
      <c r="F1845" s="124">
        <v>41016</v>
      </c>
      <c r="G1845" s="125">
        <v>41207</v>
      </c>
      <c r="H1845" s="117">
        <v>2308864</v>
      </c>
      <c r="I1845" s="124">
        <v>41017</v>
      </c>
      <c r="J1845" s="124">
        <v>41018</v>
      </c>
      <c r="K1845" s="126">
        <v>7000</v>
      </c>
      <c r="L1845" s="127" t="s">
        <v>570</v>
      </c>
      <c r="M1845" s="125">
        <v>41018</v>
      </c>
      <c r="N1845" s="129" t="str">
        <f>IF(M1845&gt;1/1/1,"Y","N")</f>
        <v>Y</v>
      </c>
      <c r="O1845" s="128" t="s">
        <v>585</v>
      </c>
      <c r="P1845" s="129" t="s">
        <v>589</v>
      </c>
      <c r="Q1845" s="111">
        <f t="shared" si="1381"/>
        <v>2</v>
      </c>
      <c r="R1845" s="111">
        <f t="shared" si="1370"/>
        <v>192</v>
      </c>
      <c r="S1845" s="129">
        <v>0</v>
      </c>
      <c r="T1845" s="129">
        <v>0</v>
      </c>
      <c r="W1845" s="111"/>
      <c r="AB1845" s="131" t="s">
        <v>112</v>
      </c>
      <c r="AC1845" s="130"/>
      <c r="AD1845" s="130">
        <v>31274</v>
      </c>
      <c r="AE1845" s="128" t="s">
        <v>46</v>
      </c>
      <c r="AF1845" s="128" t="s">
        <v>40</v>
      </c>
      <c r="AG1845" s="128" t="s">
        <v>41</v>
      </c>
      <c r="AH1845" s="108" t="s">
        <v>31</v>
      </c>
      <c r="AI1845" s="128" t="s">
        <v>70</v>
      </c>
      <c r="AJ1845" s="129" t="s">
        <v>48</v>
      </c>
      <c r="AK1845" s="129">
        <v>9</v>
      </c>
      <c r="AL1845" s="3" t="s">
        <v>48</v>
      </c>
      <c r="AP1845" s="129" t="s">
        <v>93</v>
      </c>
      <c r="AR1845" s="128" t="s">
        <v>67</v>
      </c>
      <c r="AS1845" s="129" t="s">
        <v>45</v>
      </c>
      <c r="BC1845" s="129" t="s">
        <v>52</v>
      </c>
      <c r="BF1845" s="111">
        <f t="shared" si="1378"/>
        <v>2</v>
      </c>
      <c r="BG1845" s="111">
        <f t="shared" si="1379"/>
        <v>191</v>
      </c>
      <c r="BH1845" s="111">
        <f t="shared" si="1342"/>
        <v>192</v>
      </c>
      <c r="BI1845" s="111">
        <f t="shared" si="1343"/>
        <v>26.617486338797814</v>
      </c>
      <c r="BJ1845" s="129">
        <f>(G1845-J1845)+(M1845-G1845)</f>
        <v>0</v>
      </c>
      <c r="BK1845" s="129">
        <f t="shared" si="1344"/>
        <v>-189</v>
      </c>
      <c r="BL1845" s="129" t="str">
        <f t="shared" si="1372"/>
        <v>DEFERRED</v>
      </c>
      <c r="BM1845" s="129" t="s">
        <v>76</v>
      </c>
      <c r="BN1845" s="129" t="s">
        <v>88</v>
      </c>
      <c r="BP1845" s="137" t="str">
        <f t="shared" si="1352"/>
        <v>DEFERRED</v>
      </c>
      <c r="BQ1845" s="128" t="str">
        <f t="shared" si="1353"/>
        <v>Y</v>
      </c>
      <c r="BR1845" s="129" t="str">
        <f t="shared" si="1354"/>
        <v>ON BOND</v>
      </c>
      <c r="BS1845" s="129" t="str">
        <f t="shared" si="1355"/>
        <v>DISPOSED</v>
      </c>
      <c r="BT1845" s="129" t="str">
        <f t="shared" si="1356"/>
        <v>N</v>
      </c>
      <c r="BU1845" s="109">
        <f t="shared" si="1357"/>
        <v>1.0416666666666666E-2</v>
      </c>
      <c r="BV1845" s="109">
        <f t="shared" si="1358"/>
        <v>1.0471204188481676E-2</v>
      </c>
      <c r="BW1845" s="109">
        <f t="shared" si="1382"/>
        <v>5.453752181500994E-5</v>
      </c>
      <c r="BX1845" s="111">
        <f t="shared" si="1359"/>
        <v>0</v>
      </c>
      <c r="BY1845" s="129">
        <f t="shared" si="1360"/>
        <v>-2</v>
      </c>
      <c r="BZ1845" s="111">
        <f t="shared" si="1361"/>
        <v>0</v>
      </c>
      <c r="CA1845" s="138">
        <f t="shared" si="1362"/>
        <v>2</v>
      </c>
      <c r="CB1845" s="111" t="e">
        <f t="shared" si="1380"/>
        <v>#VALUE!</v>
      </c>
      <c r="CC1845" s="129">
        <f>M1845-I1845+1</f>
        <v>2</v>
      </c>
      <c r="CD1845" s="111">
        <f>CC1845-BF1845</f>
        <v>0</v>
      </c>
      <c r="CG1845" s="129" t="str">
        <f t="shared" si="1364"/>
        <v>N</v>
      </c>
      <c r="CI1845" s="129" t="str">
        <f t="shared" si="1365"/>
        <v>0-10 DAYS</v>
      </c>
      <c r="CJ1845" s="137">
        <f t="shared" si="1366"/>
        <v>1</v>
      </c>
      <c r="CK1845" s="129" t="str">
        <f t="shared" si="1367"/>
        <v>Booked</v>
      </c>
    </row>
    <row r="1846" spans="1:89" ht="15" customHeight="1" x14ac:dyDescent="0.25">
      <c r="A1846" s="111">
        <v>1222</v>
      </c>
      <c r="B1846" s="128" t="str">
        <f t="shared" si="1345"/>
        <v>N</v>
      </c>
      <c r="C1846" s="128" t="str">
        <f t="shared" si="1346"/>
        <v>N</v>
      </c>
      <c r="D1846" s="117">
        <v>2309037</v>
      </c>
      <c r="E1846" s="135">
        <f t="shared" si="1347"/>
        <v>6</v>
      </c>
      <c r="F1846" s="124">
        <v>40953</v>
      </c>
      <c r="G1846" s="125">
        <v>41256</v>
      </c>
      <c r="H1846" s="117">
        <v>2309037</v>
      </c>
      <c r="I1846" s="124">
        <v>40955</v>
      </c>
      <c r="J1846" s="125">
        <v>41256</v>
      </c>
      <c r="K1846" s="126" t="s">
        <v>564</v>
      </c>
      <c r="L1846" s="127" t="s">
        <v>564</v>
      </c>
      <c r="N1846" s="129" t="s">
        <v>566</v>
      </c>
      <c r="O1846" s="128" t="s">
        <v>917</v>
      </c>
      <c r="P1846" s="129" t="s">
        <v>39</v>
      </c>
      <c r="Q1846" s="111">
        <f t="shared" si="1381"/>
        <v>302</v>
      </c>
      <c r="R1846" s="111">
        <f t="shared" si="1370"/>
        <v>304</v>
      </c>
      <c r="S1846" s="129">
        <v>0</v>
      </c>
      <c r="T1846" s="129">
        <v>1</v>
      </c>
      <c r="W1846" s="111"/>
      <c r="AC1846" s="130"/>
      <c r="AD1846" s="130">
        <v>32488</v>
      </c>
      <c r="AE1846" s="128" t="s">
        <v>46</v>
      </c>
      <c r="AF1846" s="128" t="s">
        <v>33</v>
      </c>
      <c r="AG1846" s="128" t="s">
        <v>872</v>
      </c>
      <c r="AH1846" s="108" t="s">
        <v>58</v>
      </c>
      <c r="AI1846" s="128" t="s">
        <v>141</v>
      </c>
      <c r="AJ1846" s="129" t="s">
        <v>89</v>
      </c>
      <c r="AK1846" s="129">
        <v>13</v>
      </c>
      <c r="AL1846" s="3" t="s">
        <v>362</v>
      </c>
      <c r="AM1846" s="117">
        <v>5</v>
      </c>
      <c r="AP1846" s="129" t="s">
        <v>105</v>
      </c>
      <c r="AR1846" s="128" t="s">
        <v>92</v>
      </c>
      <c r="AS1846" s="129" t="s">
        <v>106</v>
      </c>
      <c r="BC1846" s="129" t="s">
        <v>52</v>
      </c>
      <c r="BF1846" s="111">
        <f t="shared" si="1378"/>
        <v>302</v>
      </c>
      <c r="BG1846" s="111">
        <f t="shared" si="1379"/>
        <v>302</v>
      </c>
      <c r="BH1846" s="111">
        <f t="shared" si="1342"/>
        <v>304</v>
      </c>
      <c r="BI1846" s="111">
        <f t="shared" si="1343"/>
        <v>23.128415300546447</v>
      </c>
      <c r="BJ1846" s="129">
        <f t="shared" si="1350"/>
        <v>0</v>
      </c>
      <c r="BK1846" s="129">
        <f t="shared" si="1344"/>
        <v>0</v>
      </c>
      <c r="BL1846" s="129" t="str">
        <f t="shared" si="1372"/>
        <v>CONVICTION</v>
      </c>
      <c r="BM1846" s="129" t="str">
        <f t="shared" si="1351"/>
        <v>NONE</v>
      </c>
      <c r="BN1846" s="129" t="s">
        <v>566</v>
      </c>
      <c r="BP1846" s="137" t="str">
        <f t="shared" si="1352"/>
        <v>CONVICTION</v>
      </c>
      <c r="BQ1846" s="128" t="str">
        <f t="shared" si="1353"/>
        <v>Y</v>
      </c>
      <c r="BR1846" s="129" t="str">
        <f t="shared" si="1354"/>
        <v>DETAINED</v>
      </c>
      <c r="BS1846" s="129" t="str">
        <f t="shared" si="1355"/>
        <v>DISPOSED</v>
      </c>
      <c r="BT1846" s="129" t="str">
        <f t="shared" si="1356"/>
        <v>N</v>
      </c>
      <c r="BU1846" s="109">
        <f t="shared" si="1357"/>
        <v>0.99342105263157898</v>
      </c>
      <c r="BV1846" s="109">
        <f t="shared" si="1358"/>
        <v>1</v>
      </c>
      <c r="BW1846" s="109">
        <f t="shared" si="1382"/>
        <v>6.5789473684210176E-3</v>
      </c>
      <c r="BX1846" s="111">
        <f t="shared" si="1359"/>
        <v>0</v>
      </c>
      <c r="BY1846" s="129">
        <f t="shared" si="1360"/>
        <v>-302</v>
      </c>
      <c r="BZ1846" s="111">
        <f t="shared" si="1361"/>
        <v>0</v>
      </c>
      <c r="CA1846" s="138">
        <f t="shared" si="1362"/>
        <v>302</v>
      </c>
      <c r="CB1846" s="111" t="e">
        <f t="shared" si="1380"/>
        <v>#VALUE!</v>
      </c>
      <c r="CC1846" s="129">
        <f>G1846-I1846+1</f>
        <v>302</v>
      </c>
      <c r="CD1846" s="129">
        <f>G1846-J1846</f>
        <v>0</v>
      </c>
      <c r="CG1846" s="129" t="str">
        <f t="shared" si="1364"/>
        <v>Y</v>
      </c>
      <c r="CI1846" s="129" t="str">
        <f t="shared" si="1365"/>
        <v>121-365 DAYS</v>
      </c>
      <c r="CJ1846" s="137">
        <f t="shared" si="1366"/>
        <v>6</v>
      </c>
      <c r="CK1846" s="129" t="str">
        <f t="shared" si="1367"/>
        <v>Booked</v>
      </c>
    </row>
    <row r="1847" spans="1:89" ht="15" customHeight="1" x14ac:dyDescent="0.25">
      <c r="A1847" s="111">
        <v>1952</v>
      </c>
      <c r="B1847" s="128" t="str">
        <f t="shared" si="1345"/>
        <v>N</v>
      </c>
      <c r="C1847" s="128" t="str">
        <f t="shared" si="1346"/>
        <v>N</v>
      </c>
      <c r="D1847" s="117">
        <v>2309184</v>
      </c>
      <c r="E1847" s="135">
        <f t="shared" si="1347"/>
        <v>2</v>
      </c>
      <c r="F1847" s="124">
        <v>40982</v>
      </c>
      <c r="G1847" s="125">
        <v>41009</v>
      </c>
      <c r="H1847" s="117">
        <v>2309184</v>
      </c>
      <c r="I1847" s="124">
        <v>40982</v>
      </c>
      <c r="J1847" s="124">
        <v>41009</v>
      </c>
      <c r="K1847" s="126">
        <v>5000</v>
      </c>
      <c r="L1847" s="127" t="s">
        <v>569</v>
      </c>
      <c r="N1847" s="129" t="str">
        <f>IF(M1847&gt;1/1/1,"Y","N")</f>
        <v>N</v>
      </c>
      <c r="O1847" s="128" t="s">
        <v>917</v>
      </c>
      <c r="P1847" s="129" t="s">
        <v>589</v>
      </c>
      <c r="Q1847" s="111">
        <f t="shared" si="1381"/>
        <v>28</v>
      </c>
      <c r="R1847" s="111">
        <f t="shared" si="1370"/>
        <v>28</v>
      </c>
      <c r="S1847" s="129">
        <v>0</v>
      </c>
      <c r="T1847" s="129">
        <v>0</v>
      </c>
      <c r="W1847" s="111"/>
      <c r="AC1847" s="130"/>
      <c r="AD1847" s="130">
        <v>32601</v>
      </c>
      <c r="AE1847" s="128" t="s">
        <v>46</v>
      </c>
      <c r="AF1847" s="128" t="s">
        <v>33</v>
      </c>
      <c r="AG1847" s="128" t="s">
        <v>872</v>
      </c>
      <c r="AH1847" s="108" t="s">
        <v>31</v>
      </c>
      <c r="AI1847" s="128" t="s">
        <v>70</v>
      </c>
      <c r="AJ1847" s="129" t="s">
        <v>48</v>
      </c>
      <c r="AK1847" s="129">
        <v>2</v>
      </c>
      <c r="AL1847" s="3" t="s">
        <v>48</v>
      </c>
      <c r="AP1847" s="129" t="s">
        <v>84</v>
      </c>
      <c r="AR1847" s="128" t="s">
        <v>67</v>
      </c>
      <c r="AS1847" s="129" t="s">
        <v>74</v>
      </c>
      <c r="AT1847" s="129" t="s">
        <v>394</v>
      </c>
      <c r="BC1847" s="129" t="s">
        <v>38</v>
      </c>
      <c r="BF1847" s="111">
        <f t="shared" si="1378"/>
        <v>28</v>
      </c>
      <c r="BG1847" s="111">
        <f t="shared" si="1379"/>
        <v>28</v>
      </c>
      <c r="BH1847" s="111">
        <f t="shared" si="1342"/>
        <v>28</v>
      </c>
      <c r="BI1847" s="111">
        <f t="shared" si="1343"/>
        <v>22.898907103825138</v>
      </c>
      <c r="BJ1847" s="129">
        <f t="shared" si="1350"/>
        <v>0</v>
      </c>
      <c r="BK1847" s="129">
        <f t="shared" si="1344"/>
        <v>0</v>
      </c>
      <c r="BL1847" s="129" t="str">
        <f t="shared" si="1372"/>
        <v>DEFERRED</v>
      </c>
      <c r="BM1847" s="129" t="str">
        <f t="shared" si="1351"/>
        <v>NONE</v>
      </c>
      <c r="BN1847" s="129" t="s">
        <v>566</v>
      </c>
      <c r="BP1847" s="137" t="str">
        <f t="shared" si="1352"/>
        <v>DEFERRED</v>
      </c>
      <c r="BQ1847" s="128" t="str">
        <f t="shared" si="1353"/>
        <v>Y</v>
      </c>
      <c r="BR1847" s="129" t="str">
        <f t="shared" si="1354"/>
        <v>DETAINED</v>
      </c>
      <c r="BS1847" s="129" t="str">
        <f t="shared" si="1355"/>
        <v>DISPOSED</v>
      </c>
      <c r="BT1847" s="129" t="str">
        <f t="shared" si="1356"/>
        <v>N</v>
      </c>
      <c r="BU1847" s="109">
        <f t="shared" si="1357"/>
        <v>1</v>
      </c>
      <c r="BV1847" s="109">
        <f t="shared" si="1358"/>
        <v>1</v>
      </c>
      <c r="BW1847" s="109">
        <f t="shared" si="1382"/>
        <v>0</v>
      </c>
      <c r="BX1847" s="111">
        <f t="shared" si="1359"/>
        <v>0</v>
      </c>
      <c r="BY1847" s="129">
        <f t="shared" si="1360"/>
        <v>-28</v>
      </c>
      <c r="BZ1847" s="111">
        <f t="shared" si="1361"/>
        <v>0</v>
      </c>
      <c r="CA1847" s="138">
        <f t="shared" si="1362"/>
        <v>28</v>
      </c>
      <c r="CB1847" s="111" t="e">
        <f t="shared" si="1380"/>
        <v>#VALUE!</v>
      </c>
      <c r="CC1847" s="129">
        <f>G1847-I1847+1</f>
        <v>28</v>
      </c>
      <c r="CD1847" s="129">
        <f>G1847-J1847</f>
        <v>0</v>
      </c>
      <c r="CG1847" s="129" t="str">
        <f t="shared" si="1364"/>
        <v>N</v>
      </c>
      <c r="CI1847" s="129" t="str">
        <f t="shared" si="1365"/>
        <v>11-30 DAYS</v>
      </c>
      <c r="CJ1847" s="137">
        <f t="shared" si="1366"/>
        <v>2</v>
      </c>
      <c r="CK1847" s="129" t="str">
        <f t="shared" si="1367"/>
        <v>Booked</v>
      </c>
    </row>
    <row r="1848" spans="1:89" ht="15" customHeight="1" x14ac:dyDescent="0.25">
      <c r="A1848" s="111">
        <v>1084</v>
      </c>
      <c r="B1848" s="128" t="str">
        <f t="shared" si="1345"/>
        <v>N</v>
      </c>
      <c r="C1848" s="128" t="str">
        <f t="shared" si="1346"/>
        <v>N</v>
      </c>
      <c r="D1848" s="117">
        <v>2310245</v>
      </c>
      <c r="E1848" s="135">
        <f t="shared" si="1347"/>
        <v>6</v>
      </c>
      <c r="F1848" s="124">
        <v>40948</v>
      </c>
      <c r="G1848" s="125">
        <v>41165</v>
      </c>
      <c r="H1848" s="117">
        <v>2310245</v>
      </c>
      <c r="I1848" s="124">
        <v>41008</v>
      </c>
      <c r="J1848" s="124">
        <v>41165</v>
      </c>
      <c r="K1848" s="126" t="s">
        <v>564</v>
      </c>
      <c r="L1848" s="127" t="s">
        <v>564</v>
      </c>
      <c r="N1848" s="129" t="s">
        <v>566</v>
      </c>
      <c r="O1848" s="128" t="s">
        <v>917</v>
      </c>
      <c r="P1848" s="129" t="s">
        <v>39</v>
      </c>
      <c r="Q1848" s="111">
        <f t="shared" si="1381"/>
        <v>158</v>
      </c>
      <c r="R1848" s="111">
        <f t="shared" si="1370"/>
        <v>218</v>
      </c>
      <c r="S1848" s="129">
        <v>1</v>
      </c>
      <c r="T1848" s="129">
        <v>1</v>
      </c>
      <c r="V1848" s="117">
        <v>1</v>
      </c>
      <c r="W1848" s="111"/>
      <c r="AB1848" s="131" t="s">
        <v>112</v>
      </c>
      <c r="AC1848" s="130"/>
      <c r="AD1848" s="130">
        <v>32984</v>
      </c>
      <c r="AE1848" s="128" t="s">
        <v>32</v>
      </c>
      <c r="AF1848" s="128" t="s">
        <v>40</v>
      </c>
      <c r="AG1848" s="128" t="s">
        <v>41</v>
      </c>
      <c r="AH1848" s="108" t="s">
        <v>31</v>
      </c>
      <c r="AI1848" s="128" t="s">
        <v>53</v>
      </c>
      <c r="AJ1848" s="129" t="s">
        <v>89</v>
      </c>
      <c r="AK1848" s="129">
        <v>8</v>
      </c>
      <c r="AL1848" s="3" t="s">
        <v>362</v>
      </c>
      <c r="AM1848" s="117">
        <v>5</v>
      </c>
      <c r="AP1848" s="129" t="s">
        <v>105</v>
      </c>
      <c r="AR1848" s="128" t="s">
        <v>92</v>
      </c>
      <c r="AS1848" s="129" t="s">
        <v>106</v>
      </c>
      <c r="BC1848" s="129" t="s">
        <v>38</v>
      </c>
      <c r="BF1848" s="111">
        <f t="shared" si="1378"/>
        <v>158</v>
      </c>
      <c r="BG1848" s="111">
        <f t="shared" si="1379"/>
        <v>158</v>
      </c>
      <c r="BH1848" s="111">
        <f t="shared" si="1342"/>
        <v>218</v>
      </c>
      <c r="BI1848" s="111">
        <f t="shared" si="1343"/>
        <v>21.759562841530055</v>
      </c>
      <c r="BJ1848" s="129">
        <f t="shared" si="1350"/>
        <v>0</v>
      </c>
      <c r="BK1848" s="129">
        <f t="shared" si="1344"/>
        <v>0</v>
      </c>
      <c r="BL1848" s="129" t="str">
        <f t="shared" si="1372"/>
        <v>CONVICTION</v>
      </c>
      <c r="BM1848" s="129" t="str">
        <f t="shared" si="1351"/>
        <v>NONE</v>
      </c>
      <c r="BN1848" s="129" t="s">
        <v>566</v>
      </c>
      <c r="BP1848" s="137" t="str">
        <f t="shared" si="1352"/>
        <v>CONVICTION</v>
      </c>
      <c r="BQ1848" s="128" t="str">
        <f t="shared" si="1353"/>
        <v>Y</v>
      </c>
      <c r="BR1848" s="129" t="str">
        <f t="shared" si="1354"/>
        <v>DETAINED</v>
      </c>
      <c r="BS1848" s="129" t="str">
        <f t="shared" si="1355"/>
        <v>DISPOSED</v>
      </c>
      <c r="BT1848" s="129" t="str">
        <f t="shared" si="1356"/>
        <v>Y</v>
      </c>
      <c r="BU1848" s="109">
        <f t="shared" si="1357"/>
        <v>0.72477064220183485</v>
      </c>
      <c r="BV1848" s="109">
        <f t="shared" si="1358"/>
        <v>1</v>
      </c>
      <c r="BW1848" s="109">
        <f t="shared" si="1382"/>
        <v>0.27522935779816515</v>
      </c>
      <c r="BX1848" s="111">
        <f t="shared" si="1359"/>
        <v>0</v>
      </c>
      <c r="BY1848" s="129">
        <f t="shared" si="1360"/>
        <v>-158</v>
      </c>
      <c r="BZ1848" s="111">
        <f t="shared" si="1361"/>
        <v>0</v>
      </c>
      <c r="CA1848" s="138">
        <f t="shared" si="1362"/>
        <v>158</v>
      </c>
      <c r="CB1848" s="111" t="e">
        <f t="shared" si="1380"/>
        <v>#VALUE!</v>
      </c>
      <c r="CC1848" s="129">
        <f>G1848-I1848+1</f>
        <v>158</v>
      </c>
      <c r="CD1848" s="129">
        <f>G1848-J1848</f>
        <v>0</v>
      </c>
      <c r="CG1848" s="129" t="str">
        <f t="shared" si="1364"/>
        <v>Y</v>
      </c>
      <c r="CI1848" s="129" t="str">
        <f t="shared" si="1365"/>
        <v>121-365 DAYS</v>
      </c>
      <c r="CJ1848" s="137">
        <f t="shared" si="1366"/>
        <v>6</v>
      </c>
      <c r="CK1848" s="129" t="str">
        <f t="shared" si="1367"/>
        <v>Booked</v>
      </c>
    </row>
    <row r="1849" spans="1:89" ht="15" customHeight="1" x14ac:dyDescent="0.25">
      <c r="A1849" s="111">
        <v>158</v>
      </c>
      <c r="B1849" s="128" t="str">
        <f t="shared" si="1345"/>
        <v>N</v>
      </c>
      <c r="C1849" s="128" t="str">
        <f t="shared" si="1346"/>
        <v>N</v>
      </c>
      <c r="D1849" s="117">
        <v>2310635</v>
      </c>
      <c r="E1849" s="135">
        <f t="shared" si="1347"/>
        <v>6</v>
      </c>
      <c r="F1849" s="124">
        <v>40915</v>
      </c>
      <c r="G1849" s="125">
        <v>40917</v>
      </c>
      <c r="H1849" s="117">
        <v>2310635</v>
      </c>
      <c r="I1849" s="124">
        <v>40916</v>
      </c>
      <c r="J1849" s="124">
        <v>40917</v>
      </c>
      <c r="K1849" s="126" t="s">
        <v>564</v>
      </c>
      <c r="L1849" s="127" t="s">
        <v>564</v>
      </c>
      <c r="N1849" s="129" t="s">
        <v>566</v>
      </c>
      <c r="O1849" s="128" t="s">
        <v>917</v>
      </c>
      <c r="P1849" s="129" t="s">
        <v>39</v>
      </c>
      <c r="Q1849" s="111">
        <f t="shared" si="1381"/>
        <v>2</v>
      </c>
      <c r="R1849" s="111">
        <f t="shared" si="1370"/>
        <v>3</v>
      </c>
      <c r="S1849" s="129">
        <v>4</v>
      </c>
      <c r="T1849" s="129">
        <v>5</v>
      </c>
      <c r="U1849" s="129">
        <v>2</v>
      </c>
      <c r="W1849" s="111"/>
      <c r="AC1849" s="130"/>
      <c r="AD1849" s="130">
        <v>23182</v>
      </c>
      <c r="AE1849" s="128" t="s">
        <v>32</v>
      </c>
      <c r="AF1849" s="128" t="s">
        <v>33</v>
      </c>
      <c r="AG1849" s="128" t="s">
        <v>872</v>
      </c>
      <c r="AH1849" s="108" t="s">
        <v>58</v>
      </c>
      <c r="AI1849" s="128" t="s">
        <v>62</v>
      </c>
      <c r="AJ1849" s="129" t="s">
        <v>89</v>
      </c>
      <c r="AK1849" s="129">
        <v>1</v>
      </c>
      <c r="AL1849" s="3" t="s">
        <v>362</v>
      </c>
      <c r="AM1849" s="117">
        <v>2</v>
      </c>
      <c r="AP1849" s="129" t="s">
        <v>93</v>
      </c>
      <c r="AR1849" s="128" t="s">
        <v>67</v>
      </c>
      <c r="AS1849" s="129" t="s">
        <v>45</v>
      </c>
      <c r="BC1849" s="129" t="s">
        <v>38</v>
      </c>
      <c r="BF1849" s="111">
        <f t="shared" si="1378"/>
        <v>2</v>
      </c>
      <c r="BG1849" s="111">
        <f t="shared" si="1379"/>
        <v>2</v>
      </c>
      <c r="BH1849" s="111">
        <f t="shared" si="1342"/>
        <v>3</v>
      </c>
      <c r="BI1849" s="111">
        <f t="shared" si="1343"/>
        <v>48.450819672131146</v>
      </c>
      <c r="BJ1849" s="129">
        <f t="shared" si="1350"/>
        <v>0</v>
      </c>
      <c r="BK1849" s="129">
        <f t="shared" si="1344"/>
        <v>0</v>
      </c>
      <c r="BL1849" s="129" t="str">
        <f t="shared" si="1372"/>
        <v>CONVICTION</v>
      </c>
      <c r="BM1849" s="129" t="str">
        <f t="shared" si="1351"/>
        <v>NONE</v>
      </c>
      <c r="BN1849" s="129" t="s">
        <v>566</v>
      </c>
      <c r="BP1849" s="137" t="str">
        <f t="shared" si="1352"/>
        <v>CONVICTION</v>
      </c>
      <c r="BQ1849" s="128" t="str">
        <f t="shared" si="1353"/>
        <v>Y</v>
      </c>
      <c r="BR1849" s="129" t="str">
        <f t="shared" si="1354"/>
        <v>DETAINED</v>
      </c>
      <c r="BS1849" s="129" t="str">
        <f t="shared" si="1355"/>
        <v>DISPOSED</v>
      </c>
      <c r="BT1849" s="129" t="str">
        <f t="shared" si="1356"/>
        <v>Y</v>
      </c>
      <c r="BU1849" s="109">
        <f t="shared" si="1357"/>
        <v>0.66666666666666663</v>
      </c>
      <c r="BV1849" s="109">
        <f t="shared" si="1358"/>
        <v>1</v>
      </c>
      <c r="BW1849" s="109">
        <f t="shared" si="1382"/>
        <v>0.33333333333333337</v>
      </c>
      <c r="BX1849" s="111">
        <f t="shared" si="1359"/>
        <v>0</v>
      </c>
      <c r="BY1849" s="129">
        <f t="shared" si="1360"/>
        <v>-2</v>
      </c>
      <c r="BZ1849" s="111">
        <f t="shared" si="1361"/>
        <v>0</v>
      </c>
      <c r="CA1849" s="138">
        <f t="shared" si="1362"/>
        <v>2</v>
      </c>
      <c r="CB1849" s="111" t="e">
        <f t="shared" si="1380"/>
        <v>#VALUE!</v>
      </c>
      <c r="CC1849" s="129">
        <f>G1849-I1849+1</f>
        <v>2</v>
      </c>
      <c r="CD1849" s="129">
        <f>G1849-J1849</f>
        <v>0</v>
      </c>
      <c r="CG1849" s="129" t="str">
        <f t="shared" si="1364"/>
        <v>Y</v>
      </c>
      <c r="CI1849" s="129" t="str">
        <f t="shared" si="1365"/>
        <v>0-10 DAYS</v>
      </c>
      <c r="CJ1849" s="137">
        <f t="shared" si="1366"/>
        <v>1</v>
      </c>
      <c r="CK1849" s="129" t="str">
        <f t="shared" si="1367"/>
        <v>Booked</v>
      </c>
    </row>
    <row r="1850" spans="1:89" ht="15.75" customHeight="1" x14ac:dyDescent="0.25">
      <c r="A1850" s="111">
        <v>1358</v>
      </c>
      <c r="B1850" s="128" t="str">
        <f t="shared" si="1345"/>
        <v>N</v>
      </c>
      <c r="C1850" s="128" t="str">
        <f t="shared" si="1346"/>
        <v>N</v>
      </c>
      <c r="D1850" s="117">
        <v>2311185</v>
      </c>
      <c r="E1850" s="135">
        <f t="shared" si="1347"/>
        <v>2</v>
      </c>
      <c r="F1850" s="124">
        <v>40958</v>
      </c>
      <c r="G1850" s="125">
        <v>40976</v>
      </c>
      <c r="H1850" s="117">
        <v>2311185</v>
      </c>
      <c r="I1850" s="124">
        <v>40958</v>
      </c>
      <c r="J1850" s="124">
        <v>40976</v>
      </c>
      <c r="K1850" s="126">
        <v>15000</v>
      </c>
      <c r="L1850" s="127" t="s">
        <v>571</v>
      </c>
      <c r="N1850" s="129" t="str">
        <f>IF(M1850&gt;1/1/1,"Y","N")</f>
        <v>N</v>
      </c>
      <c r="O1850" s="128" t="s">
        <v>917</v>
      </c>
      <c r="P1850" s="129" t="s">
        <v>589</v>
      </c>
      <c r="Q1850" s="111">
        <f t="shared" si="1381"/>
        <v>19</v>
      </c>
      <c r="R1850" s="111">
        <f t="shared" si="1370"/>
        <v>19</v>
      </c>
      <c r="S1850" s="129">
        <v>1</v>
      </c>
      <c r="T1850" s="129">
        <v>6</v>
      </c>
      <c r="W1850" s="111"/>
      <c r="AC1850" s="130"/>
      <c r="AD1850" s="130">
        <v>32952</v>
      </c>
      <c r="AE1850" s="128" t="s">
        <v>32</v>
      </c>
      <c r="AF1850" s="128" t="s">
        <v>33</v>
      </c>
      <c r="AG1850" s="128" t="s">
        <v>872</v>
      </c>
      <c r="AH1850" s="108" t="s">
        <v>31</v>
      </c>
      <c r="AI1850" s="128" t="s">
        <v>42</v>
      </c>
      <c r="AJ1850" s="129" t="s">
        <v>48</v>
      </c>
      <c r="AK1850" s="129">
        <v>2</v>
      </c>
      <c r="AL1850" s="3" t="s">
        <v>48</v>
      </c>
      <c r="AP1850" s="129" t="s">
        <v>107</v>
      </c>
      <c r="AR1850" s="128" t="s">
        <v>44</v>
      </c>
      <c r="AS1850" s="129" t="s">
        <v>57</v>
      </c>
      <c r="BC1850" s="129" t="s">
        <v>38</v>
      </c>
      <c r="BF1850" s="111">
        <f t="shared" si="1378"/>
        <v>19</v>
      </c>
      <c r="BG1850" s="111">
        <f t="shared" si="1379"/>
        <v>19</v>
      </c>
      <c r="BH1850" s="111">
        <f t="shared" si="1342"/>
        <v>19</v>
      </c>
      <c r="BI1850" s="111">
        <f t="shared" si="1343"/>
        <v>21.874316939890711</v>
      </c>
      <c r="BJ1850" s="129">
        <f t="shared" si="1350"/>
        <v>0</v>
      </c>
      <c r="BK1850" s="129">
        <f t="shared" si="1344"/>
        <v>0</v>
      </c>
      <c r="BL1850" s="129" t="str">
        <f t="shared" si="1372"/>
        <v>DEFERRED</v>
      </c>
      <c r="BM1850" s="129" t="str">
        <f t="shared" si="1351"/>
        <v>NONE</v>
      </c>
      <c r="BN1850" s="129" t="s">
        <v>566</v>
      </c>
      <c r="BP1850" s="137" t="str">
        <f t="shared" si="1352"/>
        <v>DEFERRED</v>
      </c>
      <c r="BQ1850" s="128" t="str">
        <f t="shared" si="1353"/>
        <v>Y</v>
      </c>
      <c r="BR1850" s="129" t="str">
        <f t="shared" si="1354"/>
        <v>DETAINED</v>
      </c>
      <c r="BS1850" s="129" t="str">
        <f t="shared" si="1355"/>
        <v>DISPOSED</v>
      </c>
      <c r="BT1850" s="129" t="str">
        <f t="shared" si="1356"/>
        <v>Y</v>
      </c>
      <c r="BU1850" s="109">
        <f t="shared" si="1357"/>
        <v>1</v>
      </c>
      <c r="BV1850" s="109">
        <f t="shared" si="1358"/>
        <v>1</v>
      </c>
      <c r="BW1850" s="109">
        <f t="shared" si="1382"/>
        <v>0</v>
      </c>
      <c r="BX1850" s="111">
        <f t="shared" si="1359"/>
        <v>0</v>
      </c>
      <c r="BY1850" s="129">
        <f t="shared" si="1360"/>
        <v>-19</v>
      </c>
      <c r="BZ1850" s="111">
        <f t="shared" si="1361"/>
        <v>0</v>
      </c>
      <c r="CA1850" s="138">
        <f t="shared" si="1362"/>
        <v>19</v>
      </c>
      <c r="CB1850" s="111" t="e">
        <f t="shared" si="1380"/>
        <v>#VALUE!</v>
      </c>
      <c r="CC1850" s="129">
        <f>G1850-I1850+1</f>
        <v>19</v>
      </c>
      <c r="CD1850" s="129">
        <f>G1850-J1850</f>
        <v>0</v>
      </c>
      <c r="CG1850" s="129" t="str">
        <f t="shared" si="1364"/>
        <v>Y</v>
      </c>
      <c r="CI1850" s="129" t="str">
        <f t="shared" si="1365"/>
        <v>11-30 DAYS</v>
      </c>
      <c r="CJ1850" s="137">
        <f t="shared" si="1366"/>
        <v>2</v>
      </c>
      <c r="CK1850" s="129" t="str">
        <f t="shared" si="1367"/>
        <v>Booked</v>
      </c>
    </row>
    <row r="1851" spans="1:89" ht="15" customHeight="1" x14ac:dyDescent="0.25">
      <c r="A1851" s="111">
        <v>638</v>
      </c>
      <c r="B1851" s="128" t="str">
        <f t="shared" si="1345"/>
        <v>N</v>
      </c>
      <c r="C1851" s="128" t="str">
        <f t="shared" si="1346"/>
        <v>N</v>
      </c>
      <c r="D1851" s="117">
        <v>2311689</v>
      </c>
      <c r="E1851" s="135">
        <f t="shared" si="1347"/>
        <v>5</v>
      </c>
      <c r="F1851" s="124">
        <v>40934</v>
      </c>
      <c r="G1851" s="125">
        <v>41033</v>
      </c>
      <c r="H1851" s="117">
        <v>2311689</v>
      </c>
      <c r="I1851" s="124" t="s">
        <v>562</v>
      </c>
      <c r="J1851" s="124" t="s">
        <v>562</v>
      </c>
      <c r="K1851" s="126">
        <v>2000</v>
      </c>
      <c r="L1851" s="127" t="s">
        <v>568</v>
      </c>
      <c r="M1851" s="125">
        <v>40983</v>
      </c>
      <c r="N1851" s="129" t="str">
        <f>IF(M1851&gt;1/1/1,"Y",IF(Q1851="0","","N"))</f>
        <v>Y</v>
      </c>
      <c r="O1851" s="128" t="s">
        <v>76</v>
      </c>
      <c r="P1851" s="129" t="s">
        <v>39</v>
      </c>
      <c r="Q1851" s="111">
        <f t="shared" si="1381"/>
        <v>0</v>
      </c>
      <c r="R1851" s="111">
        <f t="shared" si="1370"/>
        <v>100</v>
      </c>
      <c r="S1851" s="129">
        <v>3</v>
      </c>
      <c r="T1851" s="129">
        <v>3</v>
      </c>
      <c r="U1851" s="129">
        <v>2</v>
      </c>
      <c r="W1851" s="111"/>
      <c r="AC1851" s="130"/>
      <c r="AD1851" s="130">
        <v>28733</v>
      </c>
      <c r="AE1851" s="128" t="s">
        <v>46</v>
      </c>
      <c r="AF1851" s="128" t="s">
        <v>69</v>
      </c>
      <c r="AG1851" s="128" t="s">
        <v>874</v>
      </c>
      <c r="AH1851" s="108" t="s">
        <v>31</v>
      </c>
      <c r="AI1851" s="128" t="s">
        <v>113</v>
      </c>
      <c r="AJ1851" s="129" t="s">
        <v>89</v>
      </c>
      <c r="AK1851" s="129">
        <v>4</v>
      </c>
      <c r="AL1851" s="3" t="s">
        <v>992</v>
      </c>
      <c r="AN1851" s="117">
        <v>6</v>
      </c>
      <c r="AP1851" s="129" t="s">
        <v>60</v>
      </c>
      <c r="AR1851" s="128" t="s">
        <v>44</v>
      </c>
      <c r="AS1851" s="129" t="s">
        <v>61</v>
      </c>
      <c r="BC1851" s="129" t="s">
        <v>38</v>
      </c>
      <c r="BF1851" s="111">
        <v>0</v>
      </c>
      <c r="BG1851" s="111">
        <v>0</v>
      </c>
      <c r="BH1851" s="111">
        <f t="shared" si="1342"/>
        <v>100</v>
      </c>
      <c r="BI1851" s="111">
        <f t="shared" si="1343"/>
        <v>33.33606557377049</v>
      </c>
      <c r="BJ1851" s="129" t="e">
        <f>(G1851-J1851)+(M1851-G1851)</f>
        <v>#VALUE!</v>
      </c>
      <c r="BK1851" s="129" t="e">
        <f t="shared" si="1344"/>
        <v>#VALUE!</v>
      </c>
      <c r="BL1851" s="129" t="str">
        <f t="shared" si="1372"/>
        <v>CONVICTION</v>
      </c>
      <c r="BM1851" s="129" t="s">
        <v>76</v>
      </c>
      <c r="BN1851" s="129" t="s">
        <v>88</v>
      </c>
      <c r="BP1851" s="137" t="str">
        <f t="shared" si="1352"/>
        <v>CONVICTION</v>
      </c>
      <c r="BQ1851" s="128">
        <f t="shared" si="1353"/>
        <v>0</v>
      </c>
      <c r="BR1851" s="129" t="s">
        <v>575</v>
      </c>
      <c r="BS1851" s="129" t="str">
        <f t="shared" si="1355"/>
        <v>DISPOSED</v>
      </c>
      <c r="BT1851" s="129" t="str">
        <f t="shared" si="1356"/>
        <v>Y</v>
      </c>
      <c r="BU1851" s="109">
        <f t="shared" si="1357"/>
        <v>0</v>
      </c>
      <c r="BV1851" s="109">
        <v>0</v>
      </c>
      <c r="BW1851" s="109">
        <f t="shared" si="1382"/>
        <v>0</v>
      </c>
      <c r="BX1851" s="111">
        <f t="shared" si="1359"/>
        <v>0</v>
      </c>
      <c r="BY1851" s="129" t="e">
        <f t="shared" si="1360"/>
        <v>#VALUE!</v>
      </c>
      <c r="BZ1851" s="111" t="e">
        <f t="shared" si="1361"/>
        <v>#VALUE!</v>
      </c>
      <c r="CA1851" s="138" t="e">
        <f t="shared" si="1362"/>
        <v>#VALUE!</v>
      </c>
      <c r="CB1851" s="111">
        <v>0</v>
      </c>
      <c r="CC1851" s="129">
        <v>0</v>
      </c>
      <c r="CD1851" s="111">
        <f>CC1851-BF1851</f>
        <v>0</v>
      </c>
      <c r="CG1851" s="129" t="str">
        <f t="shared" si="1364"/>
        <v>Y</v>
      </c>
      <c r="CI1851" s="129" t="str">
        <f t="shared" si="1365"/>
        <v>0-10 DAYS</v>
      </c>
      <c r="CJ1851" s="137">
        <f t="shared" si="1366"/>
        <v>1</v>
      </c>
      <c r="CK1851" s="129" t="str">
        <f t="shared" si="1367"/>
        <v>Not Booked</v>
      </c>
    </row>
    <row r="1852" spans="1:89" ht="15" customHeight="1" x14ac:dyDescent="0.25">
      <c r="A1852" s="111">
        <v>647</v>
      </c>
      <c r="B1852" s="128" t="str">
        <f t="shared" si="1345"/>
        <v>N</v>
      </c>
      <c r="C1852" s="128" t="str">
        <f t="shared" si="1346"/>
        <v>N</v>
      </c>
      <c r="D1852" s="117">
        <v>2312537</v>
      </c>
      <c r="E1852" s="135">
        <f t="shared" si="1347"/>
        <v>6</v>
      </c>
      <c r="F1852" s="124">
        <v>40934</v>
      </c>
      <c r="G1852" s="125">
        <v>41148</v>
      </c>
      <c r="H1852" s="117">
        <v>2312537</v>
      </c>
      <c r="I1852" s="124">
        <v>40935</v>
      </c>
      <c r="J1852" s="124">
        <v>40935</v>
      </c>
      <c r="K1852" s="126">
        <v>5000</v>
      </c>
      <c r="L1852" s="127" t="s">
        <v>569</v>
      </c>
      <c r="M1852" s="125">
        <v>40935</v>
      </c>
      <c r="N1852" s="129" t="str">
        <f t="shared" ref="N1852:N1860" si="1383">IF(M1852&gt;1/1/1,"Y","N")</f>
        <v>Y</v>
      </c>
      <c r="O1852" s="128" t="s">
        <v>76</v>
      </c>
      <c r="P1852" s="129" t="s">
        <v>39</v>
      </c>
      <c r="Q1852" s="111">
        <f t="shared" si="1381"/>
        <v>1</v>
      </c>
      <c r="R1852" s="111">
        <f t="shared" si="1370"/>
        <v>215</v>
      </c>
      <c r="S1852" s="129">
        <v>1</v>
      </c>
      <c r="T1852" s="129">
        <v>0</v>
      </c>
      <c r="V1852" s="117">
        <v>1</v>
      </c>
      <c r="W1852" s="111"/>
      <c r="AC1852" s="130"/>
      <c r="AD1852" s="130">
        <v>26987</v>
      </c>
      <c r="AE1852" s="128" t="s">
        <v>46</v>
      </c>
      <c r="AF1852" s="128" t="s">
        <v>33</v>
      </c>
      <c r="AG1852" s="128" t="s">
        <v>872</v>
      </c>
      <c r="AH1852" s="108" t="s">
        <v>58</v>
      </c>
      <c r="AI1852" s="128" t="s">
        <v>53</v>
      </c>
      <c r="AJ1852" s="129" t="s">
        <v>89</v>
      </c>
      <c r="AK1852" s="129">
        <v>13</v>
      </c>
      <c r="AL1852" s="3" t="s">
        <v>362</v>
      </c>
      <c r="AM1852" s="117">
        <v>5</v>
      </c>
      <c r="AP1852" s="129" t="s">
        <v>96</v>
      </c>
      <c r="AR1852" s="128" t="s">
        <v>67</v>
      </c>
      <c r="AS1852" s="129" t="s">
        <v>64</v>
      </c>
      <c r="AY1852" s="123"/>
      <c r="BC1852" s="129" t="s">
        <v>52</v>
      </c>
      <c r="BF1852" s="111">
        <f>IF(J1852&gt;1/1/1900,((J1852+1)-I1852),"STILL OPEN")</f>
        <v>1</v>
      </c>
      <c r="BG1852" s="111">
        <f t="shared" ref="BG1852:BG1862" si="1384">IF(G1852&gt;1/1/1900,((G1852+1)-I1852),"STILL OPEN")</f>
        <v>214</v>
      </c>
      <c r="BH1852" s="111">
        <f t="shared" si="1342"/>
        <v>215</v>
      </c>
      <c r="BI1852" s="111">
        <f t="shared" si="1343"/>
        <v>38.106557377049178</v>
      </c>
      <c r="BJ1852" s="129">
        <f>(G1852-J1852)+(M1852-G1852)</f>
        <v>0</v>
      </c>
      <c r="BK1852" s="129">
        <f t="shared" si="1344"/>
        <v>-213</v>
      </c>
      <c r="BL1852" s="129" t="str">
        <f t="shared" si="1372"/>
        <v>CONVICTION</v>
      </c>
      <c r="BM1852" s="129" t="s">
        <v>76</v>
      </c>
      <c r="BN1852" s="129" t="s">
        <v>88</v>
      </c>
      <c r="BP1852" s="137" t="str">
        <f t="shared" si="1352"/>
        <v>CONVICTION</v>
      </c>
      <c r="BQ1852" s="128" t="str">
        <f t="shared" si="1353"/>
        <v>Y</v>
      </c>
      <c r="BR1852" s="129" t="str">
        <f>IF(J1852&lt;G1852,"ON BOND",0)</f>
        <v>ON BOND</v>
      </c>
      <c r="BS1852" s="129" t="str">
        <f t="shared" si="1355"/>
        <v>DISPOSED</v>
      </c>
      <c r="BT1852" s="129" t="str">
        <f t="shared" si="1356"/>
        <v>Y</v>
      </c>
      <c r="BU1852" s="109">
        <f t="shared" si="1357"/>
        <v>4.6511627906976744E-3</v>
      </c>
      <c r="BV1852" s="109">
        <f t="shared" si="1358"/>
        <v>4.6728971962616819E-3</v>
      </c>
      <c r="BW1852" s="109">
        <f t="shared" si="1382"/>
        <v>2.173440556400754E-5</v>
      </c>
      <c r="BX1852" s="111">
        <f t="shared" si="1359"/>
        <v>0</v>
      </c>
      <c r="BY1852" s="129">
        <f t="shared" si="1360"/>
        <v>-1</v>
      </c>
      <c r="BZ1852" s="111">
        <f t="shared" si="1361"/>
        <v>0</v>
      </c>
      <c r="CA1852" s="138">
        <f t="shared" si="1362"/>
        <v>1</v>
      </c>
      <c r="CB1852" s="111" t="e">
        <f>IF(AF1852&gt;1/1/1900,((AF1852+1)-AE1852),"STILL OPEN")</f>
        <v>#VALUE!</v>
      </c>
      <c r="CC1852" s="129">
        <f>M1852-I1852+1</f>
        <v>1</v>
      </c>
      <c r="CD1852" s="111">
        <f>CC1852-BF1852</f>
        <v>0</v>
      </c>
      <c r="CG1852" s="129" t="str">
        <f t="shared" si="1364"/>
        <v>Y</v>
      </c>
      <c r="CI1852" s="129" t="str">
        <f t="shared" si="1365"/>
        <v>0-10 DAYS</v>
      </c>
      <c r="CJ1852" s="137">
        <f t="shared" si="1366"/>
        <v>1</v>
      </c>
      <c r="CK1852" s="129" t="str">
        <f t="shared" si="1367"/>
        <v>Booked</v>
      </c>
    </row>
    <row r="1853" spans="1:89" ht="15" customHeight="1" x14ac:dyDescent="0.25">
      <c r="A1853" s="111">
        <v>1508</v>
      </c>
      <c r="B1853" s="128" t="str">
        <f t="shared" si="1345"/>
        <v>N</v>
      </c>
      <c r="C1853" s="128" t="str">
        <f t="shared" si="1346"/>
        <v>N</v>
      </c>
      <c r="D1853" s="117">
        <v>2312695</v>
      </c>
      <c r="E1853" s="135">
        <f t="shared" si="1347"/>
        <v>6</v>
      </c>
      <c r="F1853" s="124">
        <v>40964</v>
      </c>
      <c r="G1853" s="125">
        <v>41078</v>
      </c>
      <c r="H1853" s="117">
        <v>2312695</v>
      </c>
      <c r="I1853" s="124">
        <v>40964</v>
      </c>
      <c r="J1853" s="125">
        <v>41078</v>
      </c>
      <c r="K1853" s="126">
        <v>20000</v>
      </c>
      <c r="L1853" s="127" t="s">
        <v>571</v>
      </c>
      <c r="N1853" s="129" t="str">
        <f t="shared" si="1383"/>
        <v>N</v>
      </c>
      <c r="O1853" s="128" t="s">
        <v>917</v>
      </c>
      <c r="P1853" s="129" t="s">
        <v>39</v>
      </c>
      <c r="Q1853" s="111">
        <f t="shared" si="1381"/>
        <v>115</v>
      </c>
      <c r="R1853" s="111">
        <f t="shared" si="1370"/>
        <v>115</v>
      </c>
      <c r="S1853" s="129">
        <v>3</v>
      </c>
      <c r="T1853" s="129">
        <v>2</v>
      </c>
      <c r="U1853" s="129">
        <v>2</v>
      </c>
      <c r="W1853" s="111"/>
      <c r="AC1853" s="130"/>
      <c r="AD1853" s="130">
        <v>32953</v>
      </c>
      <c r="AE1853" s="128" t="s">
        <v>32</v>
      </c>
      <c r="AF1853" s="128" t="s">
        <v>40</v>
      </c>
      <c r="AG1853" s="128" t="s">
        <v>41</v>
      </c>
      <c r="AH1853" s="108" t="s">
        <v>41</v>
      </c>
      <c r="AI1853" s="128" t="s">
        <v>62</v>
      </c>
      <c r="AJ1853" s="129" t="s">
        <v>89</v>
      </c>
      <c r="AK1853" s="129">
        <v>6</v>
      </c>
      <c r="AL1853" s="3" t="s">
        <v>362</v>
      </c>
      <c r="AM1853" s="117">
        <v>5</v>
      </c>
      <c r="AP1853" s="129" t="s">
        <v>186</v>
      </c>
      <c r="AR1853" s="128" t="s">
        <v>50</v>
      </c>
      <c r="AS1853" s="129" t="s">
        <v>106</v>
      </c>
      <c r="BC1853" s="129" t="s">
        <v>38</v>
      </c>
      <c r="BF1853" s="111">
        <f>IF(J1853&gt;1/1/1900,((J1853+1)-I1853),"STILL OPEN")</f>
        <v>115</v>
      </c>
      <c r="BG1853" s="111">
        <f t="shared" si="1384"/>
        <v>115</v>
      </c>
      <c r="BH1853" s="111">
        <f t="shared" si="1342"/>
        <v>115</v>
      </c>
      <c r="BI1853" s="111">
        <f t="shared" si="1343"/>
        <v>21.887978142076502</v>
      </c>
      <c r="BJ1853" s="129">
        <f t="shared" si="1350"/>
        <v>0</v>
      </c>
      <c r="BK1853" s="129">
        <f t="shared" si="1344"/>
        <v>0</v>
      </c>
      <c r="BL1853" s="129" t="str">
        <f t="shared" si="1372"/>
        <v>CONVICTION</v>
      </c>
      <c r="BM1853" s="129" t="str">
        <f t="shared" si="1351"/>
        <v>NONE</v>
      </c>
      <c r="BN1853" s="129" t="s">
        <v>566</v>
      </c>
      <c r="BP1853" s="137" t="str">
        <f t="shared" si="1352"/>
        <v>CONVICTION</v>
      </c>
      <c r="BQ1853" s="128" t="str">
        <f t="shared" si="1353"/>
        <v>Y</v>
      </c>
      <c r="BR1853" s="129" t="str">
        <f t="shared" si="1354"/>
        <v>DETAINED</v>
      </c>
      <c r="BS1853" s="129" t="str">
        <f t="shared" si="1355"/>
        <v>DISPOSED</v>
      </c>
      <c r="BT1853" s="129" t="str">
        <f t="shared" si="1356"/>
        <v>Y</v>
      </c>
      <c r="BU1853" s="109">
        <f t="shared" si="1357"/>
        <v>1</v>
      </c>
      <c r="BV1853" s="109">
        <f t="shared" si="1358"/>
        <v>1</v>
      </c>
      <c r="BW1853" s="109">
        <f t="shared" si="1382"/>
        <v>0</v>
      </c>
      <c r="BX1853" s="111">
        <f t="shared" si="1359"/>
        <v>0</v>
      </c>
      <c r="BY1853" s="129">
        <f t="shared" si="1360"/>
        <v>-115</v>
      </c>
      <c r="BZ1853" s="111">
        <f t="shared" si="1361"/>
        <v>0</v>
      </c>
      <c r="CA1853" s="138">
        <f t="shared" si="1362"/>
        <v>115</v>
      </c>
      <c r="CB1853" s="111" t="e">
        <f>IF(AF1853&gt;1/1/1900,((AF1853+1)-AE1853),"STILL OPEN")</f>
        <v>#VALUE!</v>
      </c>
      <c r="CC1853" s="129">
        <f>G1853-I1853+1</f>
        <v>115</v>
      </c>
      <c r="CD1853" s="129">
        <f>G1853-J1853</f>
        <v>0</v>
      </c>
      <c r="CG1853" s="129" t="str">
        <f t="shared" si="1364"/>
        <v>Y</v>
      </c>
      <c r="CI1853" s="129" t="str">
        <f t="shared" si="1365"/>
        <v>91-120 DAYS</v>
      </c>
      <c r="CJ1853" s="137">
        <f t="shared" si="1366"/>
        <v>0</v>
      </c>
      <c r="CK1853" s="129" t="str">
        <f t="shared" si="1367"/>
        <v>Booked</v>
      </c>
    </row>
    <row r="1854" spans="1:89" ht="15" customHeight="1" x14ac:dyDescent="0.25">
      <c r="A1854" s="111">
        <v>3230</v>
      </c>
      <c r="B1854" s="128" t="str">
        <f t="shared" si="1345"/>
        <v>N</v>
      </c>
      <c r="C1854" s="128" t="str">
        <f t="shared" si="1346"/>
        <v>N</v>
      </c>
      <c r="D1854" s="117">
        <v>2312864</v>
      </c>
      <c r="E1854" s="135">
        <f t="shared" si="1347"/>
        <v>2</v>
      </c>
      <c r="F1854" s="124">
        <v>41028</v>
      </c>
      <c r="G1854" s="125">
        <v>41312</v>
      </c>
      <c r="H1854" s="117">
        <v>2312864</v>
      </c>
      <c r="I1854" s="124">
        <v>41028</v>
      </c>
      <c r="J1854" s="125">
        <v>41312</v>
      </c>
      <c r="K1854" s="126">
        <v>45000</v>
      </c>
      <c r="L1854" s="129" t="s">
        <v>572</v>
      </c>
      <c r="N1854" s="129" t="str">
        <f t="shared" si="1383"/>
        <v>N</v>
      </c>
      <c r="O1854" s="128" t="s">
        <v>917</v>
      </c>
      <c r="P1854" s="129" t="s">
        <v>589</v>
      </c>
      <c r="Q1854" s="111">
        <f t="shared" si="1381"/>
        <v>285</v>
      </c>
      <c r="R1854" s="111">
        <f t="shared" si="1370"/>
        <v>285</v>
      </c>
      <c r="S1854" s="129">
        <v>0</v>
      </c>
      <c r="T1854" s="129">
        <v>2</v>
      </c>
      <c r="W1854" s="111"/>
      <c r="AC1854" s="130"/>
      <c r="AD1854" s="130">
        <v>32337</v>
      </c>
      <c r="AE1854" s="128" t="s">
        <v>32</v>
      </c>
      <c r="AF1854" s="128" t="s">
        <v>33</v>
      </c>
      <c r="AG1854" s="128" t="s">
        <v>872</v>
      </c>
      <c r="AH1854" s="108" t="s">
        <v>31</v>
      </c>
      <c r="AI1854" s="128" t="s">
        <v>72</v>
      </c>
      <c r="AJ1854" s="129" t="s">
        <v>48</v>
      </c>
      <c r="AK1854" s="129">
        <v>9</v>
      </c>
      <c r="AL1854" s="3" t="s">
        <v>48</v>
      </c>
      <c r="AP1854" s="129" t="s">
        <v>107</v>
      </c>
      <c r="AR1854" s="128" t="s">
        <v>44</v>
      </c>
      <c r="AS1854" s="129" t="s">
        <v>57</v>
      </c>
      <c r="BC1854" s="129" t="s">
        <v>38</v>
      </c>
      <c r="BF1854" s="111">
        <f>IF(J1854&gt;1/1/1900,((J1854+1)-I1854),"STILL OPEN")</f>
        <v>285</v>
      </c>
      <c r="BG1854" s="111">
        <f t="shared" si="1384"/>
        <v>285</v>
      </c>
      <c r="BH1854" s="111">
        <f t="shared" si="1342"/>
        <v>285</v>
      </c>
      <c r="BI1854" s="111">
        <f t="shared" si="1343"/>
        <v>23.745901639344261</v>
      </c>
      <c r="BJ1854" s="129">
        <f t="shared" si="1350"/>
        <v>0</v>
      </c>
      <c r="BK1854" s="129">
        <f t="shared" si="1344"/>
        <v>0</v>
      </c>
      <c r="BL1854" s="129" t="str">
        <f t="shared" si="1372"/>
        <v>DEFERRED</v>
      </c>
      <c r="BM1854" s="129" t="str">
        <f t="shared" si="1351"/>
        <v>NONE</v>
      </c>
      <c r="BN1854" s="129" t="s">
        <v>566</v>
      </c>
      <c r="BP1854" s="137" t="str">
        <f t="shared" si="1352"/>
        <v>DEFERRED</v>
      </c>
      <c r="BQ1854" s="128" t="str">
        <f t="shared" si="1353"/>
        <v>Y</v>
      </c>
      <c r="BR1854" s="129" t="str">
        <f t="shared" si="1354"/>
        <v>DETAINED</v>
      </c>
      <c r="BS1854" s="129" t="str">
        <f t="shared" si="1355"/>
        <v>DISPOSED</v>
      </c>
      <c r="BT1854" s="129" t="str">
        <f t="shared" si="1356"/>
        <v>N</v>
      </c>
      <c r="BU1854" s="109">
        <f t="shared" si="1357"/>
        <v>1</v>
      </c>
      <c r="BV1854" s="109">
        <f t="shared" si="1358"/>
        <v>1</v>
      </c>
      <c r="BW1854" s="109">
        <f t="shared" si="1382"/>
        <v>0</v>
      </c>
      <c r="BX1854" s="111">
        <f t="shared" si="1359"/>
        <v>0</v>
      </c>
      <c r="BY1854" s="129">
        <f t="shared" si="1360"/>
        <v>-285</v>
      </c>
      <c r="BZ1854" s="111">
        <f t="shared" si="1361"/>
        <v>0</v>
      </c>
      <c r="CA1854" s="138">
        <f t="shared" si="1362"/>
        <v>285</v>
      </c>
      <c r="CB1854" s="111" t="e">
        <f>IF(AF1854&gt;1/1/1900,((AF1854+1)-AE1854),"STILL OPEN")</f>
        <v>#VALUE!</v>
      </c>
      <c r="CC1854" s="129">
        <f>G1854-I1854+1</f>
        <v>285</v>
      </c>
      <c r="CD1854" s="129">
        <f>G1854-J1854</f>
        <v>0</v>
      </c>
      <c r="CG1854" s="129" t="str">
        <f t="shared" si="1364"/>
        <v>Y</v>
      </c>
      <c r="CI1854" s="129" t="str">
        <f t="shared" si="1365"/>
        <v>121-365 DAYS</v>
      </c>
      <c r="CJ1854" s="137">
        <f t="shared" si="1366"/>
        <v>6</v>
      </c>
      <c r="CK1854" s="129" t="str">
        <f t="shared" si="1367"/>
        <v>Booked</v>
      </c>
    </row>
    <row r="1855" spans="1:89" ht="15.75" customHeight="1" x14ac:dyDescent="0.25">
      <c r="A1855" s="111">
        <v>2819</v>
      </c>
      <c r="B1855" s="128" t="str">
        <f t="shared" si="1345"/>
        <v>N</v>
      </c>
      <c r="C1855" s="128" t="str">
        <f t="shared" si="1346"/>
        <v>N</v>
      </c>
      <c r="D1855" s="117">
        <v>2312903</v>
      </c>
      <c r="E1855" s="135">
        <f t="shared" si="1347"/>
        <v>1</v>
      </c>
      <c r="F1855" s="124">
        <v>41012</v>
      </c>
      <c r="G1855" s="125">
        <v>41065</v>
      </c>
      <c r="H1855" s="117">
        <v>2312903</v>
      </c>
      <c r="I1855" s="124">
        <v>41013</v>
      </c>
      <c r="J1855" s="124">
        <v>41020</v>
      </c>
      <c r="K1855" s="126">
        <v>10000</v>
      </c>
      <c r="L1855" s="127" t="s">
        <v>570</v>
      </c>
      <c r="M1855" s="125">
        <v>41020</v>
      </c>
      <c r="N1855" s="129" t="str">
        <f t="shared" si="1383"/>
        <v>Y</v>
      </c>
      <c r="O1855" s="128" t="s">
        <v>76</v>
      </c>
      <c r="P1855" s="129" t="s">
        <v>55</v>
      </c>
      <c r="Q1855" s="111">
        <f t="shared" si="1381"/>
        <v>8</v>
      </c>
      <c r="R1855" s="111">
        <f t="shared" si="1370"/>
        <v>54</v>
      </c>
      <c r="S1855" s="129">
        <v>0</v>
      </c>
      <c r="T1855" s="129">
        <v>0</v>
      </c>
      <c r="W1855" s="111"/>
      <c r="AC1855" s="130"/>
      <c r="AD1855" s="130">
        <v>31720</v>
      </c>
      <c r="AE1855" s="128" t="s">
        <v>32</v>
      </c>
      <c r="AF1855" s="128" t="s">
        <v>33</v>
      </c>
      <c r="AG1855" s="128" t="s">
        <v>872</v>
      </c>
      <c r="AH1855" s="108" t="s">
        <v>31</v>
      </c>
      <c r="AI1855" s="128" t="s">
        <v>72</v>
      </c>
      <c r="AJ1855" s="129" t="s">
        <v>55</v>
      </c>
      <c r="AK1855" s="129">
        <v>3</v>
      </c>
      <c r="AL1855" s="3" t="s">
        <v>55</v>
      </c>
      <c r="AP1855" s="129" t="s">
        <v>43</v>
      </c>
      <c r="AR1855" s="128" t="s">
        <v>44</v>
      </c>
      <c r="AS1855" s="129" t="s">
        <v>45</v>
      </c>
      <c r="BC1855" s="129" t="s">
        <v>38</v>
      </c>
      <c r="BF1855" s="111">
        <f>IF(J1855&gt;1/1/1900,((J1855+1)-I1855),"STILL OPEN")</f>
        <v>8</v>
      </c>
      <c r="BG1855" s="111">
        <f t="shared" si="1384"/>
        <v>53</v>
      </c>
      <c r="BH1855" s="111">
        <f t="shared" si="1342"/>
        <v>54</v>
      </c>
      <c r="BI1855" s="111">
        <f t="shared" si="1343"/>
        <v>25.387978142076502</v>
      </c>
      <c r="BJ1855" s="129">
        <f>(G1855-J1855)+(M1855-G1855)</f>
        <v>0</v>
      </c>
      <c r="BK1855" s="129">
        <f t="shared" si="1344"/>
        <v>-45</v>
      </c>
      <c r="BL1855" s="129" t="str">
        <f t="shared" si="1372"/>
        <v>NO CONVICTION</v>
      </c>
      <c r="BM1855" s="129" t="s">
        <v>76</v>
      </c>
      <c r="BN1855" s="129" t="s">
        <v>88</v>
      </c>
      <c r="BP1855" s="137" t="str">
        <f t="shared" si="1352"/>
        <v>NO CONVICTION</v>
      </c>
      <c r="BQ1855" s="128" t="str">
        <f t="shared" si="1353"/>
        <v>Y</v>
      </c>
      <c r="BR1855" s="129" t="str">
        <f t="shared" si="1354"/>
        <v>ON BOND</v>
      </c>
      <c r="BS1855" s="129" t="str">
        <f t="shared" si="1355"/>
        <v>DISPOSED</v>
      </c>
      <c r="BT1855" s="129" t="str">
        <f t="shared" si="1356"/>
        <v>N</v>
      </c>
      <c r="BU1855" s="109">
        <f>IFERROR(Q1855/R1855,BR1855)</f>
        <v>0.14814814814814814</v>
      </c>
      <c r="BV1855" s="109">
        <f t="shared" si="1358"/>
        <v>0.15094339622641509</v>
      </c>
      <c r="BW1855" s="109">
        <f t="shared" si="1382"/>
        <v>2.7952480782669487E-3</v>
      </c>
      <c r="BX1855" s="111">
        <f t="shared" si="1359"/>
        <v>0</v>
      </c>
      <c r="BY1855" s="129">
        <f t="shared" si="1360"/>
        <v>-8</v>
      </c>
      <c r="BZ1855" s="111">
        <f t="shared" si="1361"/>
        <v>0</v>
      </c>
      <c r="CA1855" s="138">
        <f t="shared" si="1362"/>
        <v>8</v>
      </c>
      <c r="CB1855" s="111" t="e">
        <f>IF(AF1855&gt;1/1/1900,((AF1855+1)-AE1855),"STILL OPEN")</f>
        <v>#VALUE!</v>
      </c>
      <c r="CC1855" s="129">
        <f>M1855-I1855+1</f>
        <v>8</v>
      </c>
      <c r="CD1855" s="111">
        <f>CC1855-BF1855</f>
        <v>0</v>
      </c>
      <c r="CG1855" s="129" t="str">
        <f t="shared" si="1364"/>
        <v>N</v>
      </c>
      <c r="CI1855" s="129" t="str">
        <f t="shared" si="1365"/>
        <v>0-10 DAYS</v>
      </c>
      <c r="CJ1855" s="137">
        <f t="shared" si="1366"/>
        <v>1</v>
      </c>
      <c r="CK1855" s="129" t="str">
        <f t="shared" si="1367"/>
        <v>Booked</v>
      </c>
    </row>
    <row r="1856" spans="1:89" ht="15" customHeight="1" x14ac:dyDescent="0.25">
      <c r="A1856" s="111">
        <v>4</v>
      </c>
      <c r="B1856" s="128" t="str">
        <f t="shared" si="1345"/>
        <v>N</v>
      </c>
      <c r="C1856" s="128" t="str">
        <f t="shared" si="1346"/>
        <v>Y</v>
      </c>
      <c r="D1856" s="117">
        <v>2312988</v>
      </c>
      <c r="E1856" s="135">
        <f t="shared" si="1347"/>
        <v>2</v>
      </c>
      <c r="F1856" s="124">
        <v>40909</v>
      </c>
      <c r="G1856" s="125">
        <v>41185</v>
      </c>
      <c r="H1856" s="117">
        <v>2312988</v>
      </c>
      <c r="I1856" s="124">
        <v>40909</v>
      </c>
      <c r="J1856" s="124">
        <v>40915</v>
      </c>
      <c r="K1856" s="126">
        <v>20000</v>
      </c>
      <c r="L1856" s="129" t="s">
        <v>572</v>
      </c>
      <c r="M1856" s="125">
        <v>40915</v>
      </c>
      <c r="N1856" s="129" t="str">
        <f t="shared" si="1383"/>
        <v>Y</v>
      </c>
      <c r="O1856" s="128" t="s">
        <v>76</v>
      </c>
      <c r="P1856" s="129" t="s">
        <v>589</v>
      </c>
      <c r="Q1856" s="111">
        <v>161</v>
      </c>
      <c r="R1856" s="111">
        <f t="shared" si="1370"/>
        <v>277</v>
      </c>
      <c r="S1856" s="129">
        <v>2</v>
      </c>
      <c r="T1856" s="129">
        <v>2</v>
      </c>
      <c r="U1856" s="129">
        <v>1</v>
      </c>
      <c r="W1856" s="111"/>
      <c r="AC1856" s="130"/>
      <c r="AD1856" s="130">
        <v>31690</v>
      </c>
      <c r="AE1856" s="128" t="s">
        <v>46</v>
      </c>
      <c r="AF1856" s="128" t="s">
        <v>69</v>
      </c>
      <c r="AG1856" s="128" t="s">
        <v>874</v>
      </c>
      <c r="AH1856" s="108" t="s">
        <v>31</v>
      </c>
      <c r="AI1856" s="128" t="s">
        <v>47</v>
      </c>
      <c r="AJ1856" s="129" t="s">
        <v>48</v>
      </c>
      <c r="AK1856" s="129">
        <v>9</v>
      </c>
      <c r="AL1856" s="3" t="s">
        <v>48</v>
      </c>
      <c r="AP1856" s="129" t="s">
        <v>49</v>
      </c>
      <c r="AR1856" s="128" t="s">
        <v>50</v>
      </c>
      <c r="AS1856" s="129" t="s">
        <v>45</v>
      </c>
      <c r="AT1856" s="129" t="s">
        <v>1118</v>
      </c>
      <c r="AV1856" s="3" t="s">
        <v>88</v>
      </c>
      <c r="AW1856" s="125">
        <v>40966</v>
      </c>
      <c r="AX1856" s="125"/>
      <c r="BA1856" s="125" t="s">
        <v>1194</v>
      </c>
      <c r="BB1856" s="129">
        <v>470</v>
      </c>
      <c r="BC1856" s="129" t="s">
        <v>52</v>
      </c>
      <c r="BF1856" s="111">
        <v>161</v>
      </c>
      <c r="BG1856" s="111">
        <f t="shared" si="1384"/>
        <v>277</v>
      </c>
      <c r="BH1856" s="111">
        <f t="shared" si="1342"/>
        <v>277</v>
      </c>
      <c r="BI1856" s="111">
        <f t="shared" si="1343"/>
        <v>25.188524590163933</v>
      </c>
      <c r="BJ1856" s="129">
        <f>(G1856-J1856)+(M1856-G1856)</f>
        <v>0</v>
      </c>
      <c r="BK1856" s="129">
        <f t="shared" si="1344"/>
        <v>-270</v>
      </c>
      <c r="BL1856" s="129" t="str">
        <f t="shared" si="1372"/>
        <v>DEFERRED</v>
      </c>
      <c r="BM1856" s="129" t="s">
        <v>76</v>
      </c>
      <c r="BN1856" s="129" t="s">
        <v>88</v>
      </c>
      <c r="BP1856" s="137" t="str">
        <f t="shared" si="1352"/>
        <v>DEFERRED</v>
      </c>
      <c r="BQ1856" s="128" t="str">
        <f t="shared" si="1353"/>
        <v>Y</v>
      </c>
      <c r="BR1856" s="129" t="str">
        <f t="shared" si="1354"/>
        <v>ON BOND</v>
      </c>
      <c r="BS1856" s="129" t="str">
        <f t="shared" si="1355"/>
        <v>DISPOSED</v>
      </c>
      <c r="BT1856" s="129" t="str">
        <f t="shared" si="1356"/>
        <v>Y</v>
      </c>
      <c r="BU1856" s="109">
        <f t="shared" si="1357"/>
        <v>0.58122743682310474</v>
      </c>
      <c r="BV1856" s="109">
        <f t="shared" si="1358"/>
        <v>2.5270758122743681E-2</v>
      </c>
      <c r="BW1856" s="109">
        <f t="shared" si="1382"/>
        <v>-0.55595667870036103</v>
      </c>
      <c r="BX1856" s="111">
        <f t="shared" si="1359"/>
        <v>0</v>
      </c>
      <c r="BY1856" s="129">
        <f t="shared" si="1360"/>
        <v>-7</v>
      </c>
      <c r="BZ1856" s="111">
        <f t="shared" si="1361"/>
        <v>154</v>
      </c>
      <c r="CA1856" s="138">
        <f t="shared" si="1362"/>
        <v>7</v>
      </c>
      <c r="CB1856" s="111">
        <v>161</v>
      </c>
      <c r="CD1856" s="129">
        <f>G1856-J1856</f>
        <v>270</v>
      </c>
      <c r="CG1856" s="129" t="str">
        <f t="shared" si="1364"/>
        <v>Y</v>
      </c>
      <c r="CI1856" s="129" t="str">
        <f t="shared" si="1365"/>
        <v>121-365 DAYS</v>
      </c>
      <c r="CJ1856" s="137">
        <f t="shared" si="1366"/>
        <v>6</v>
      </c>
      <c r="CK1856" s="129" t="str">
        <f t="shared" si="1367"/>
        <v>Booked</v>
      </c>
    </row>
    <row r="1857" spans="1:89" ht="15" customHeight="1" x14ac:dyDescent="0.25">
      <c r="A1857" s="111">
        <v>178</v>
      </c>
      <c r="B1857" s="128" t="str">
        <f t="shared" si="1345"/>
        <v>N</v>
      </c>
      <c r="C1857" s="128" t="str">
        <f t="shared" si="1346"/>
        <v>N</v>
      </c>
      <c r="D1857" s="117">
        <v>2313677</v>
      </c>
      <c r="E1857" s="135">
        <f t="shared" si="1347"/>
        <v>1</v>
      </c>
      <c r="F1857" s="124">
        <v>40916</v>
      </c>
      <c r="G1857" s="125">
        <v>41232</v>
      </c>
      <c r="H1857" s="117">
        <v>2313677</v>
      </c>
      <c r="I1857" s="124">
        <v>40918</v>
      </c>
      <c r="J1857" s="124">
        <v>40996</v>
      </c>
      <c r="K1857" s="126">
        <v>10000</v>
      </c>
      <c r="L1857" s="127" t="s">
        <v>570</v>
      </c>
      <c r="M1857" s="125">
        <v>40996</v>
      </c>
      <c r="N1857" s="129" t="str">
        <f t="shared" si="1383"/>
        <v>Y</v>
      </c>
      <c r="O1857" s="128" t="s">
        <v>76</v>
      </c>
      <c r="P1857" s="129" t="s">
        <v>55</v>
      </c>
      <c r="Q1857" s="111">
        <f t="shared" ref="Q1857:Q1877" si="1385">BF1857</f>
        <v>79</v>
      </c>
      <c r="R1857" s="111">
        <f t="shared" si="1370"/>
        <v>317</v>
      </c>
      <c r="S1857" s="129">
        <v>0</v>
      </c>
      <c r="T1857" s="129">
        <v>5</v>
      </c>
      <c r="W1857" s="111"/>
      <c r="AC1857" s="130"/>
      <c r="AD1857" s="130">
        <v>31492</v>
      </c>
      <c r="AE1857" s="128" t="s">
        <v>32</v>
      </c>
      <c r="AF1857" s="128" t="s">
        <v>33</v>
      </c>
      <c r="AG1857" s="128" t="s">
        <v>872</v>
      </c>
      <c r="AH1857" s="108" t="s">
        <v>31</v>
      </c>
      <c r="AI1857" s="128" t="s">
        <v>62</v>
      </c>
      <c r="AJ1857" s="129" t="s">
        <v>55</v>
      </c>
      <c r="AK1857" s="129">
        <v>11</v>
      </c>
      <c r="AL1857" s="3" t="s">
        <v>55</v>
      </c>
      <c r="AP1857" s="129" t="s">
        <v>150</v>
      </c>
      <c r="AR1857" s="128" t="s">
        <v>67</v>
      </c>
      <c r="AS1857" s="129" t="s">
        <v>74</v>
      </c>
      <c r="BC1857" s="129" t="s">
        <v>38</v>
      </c>
      <c r="BF1857" s="111">
        <f t="shared" ref="BF1857:BF1862" si="1386">IF(J1857&gt;1/1/1900,((J1857+1)-I1857),"STILL OPEN")</f>
        <v>79</v>
      </c>
      <c r="BG1857" s="111">
        <f t="shared" si="1384"/>
        <v>315</v>
      </c>
      <c r="BH1857" s="111">
        <f t="shared" ref="BH1857:BH1920" si="1387">IF(G1857&gt;1/1/1900,((G1857+1)-F1857),"STILL OPEN")</f>
        <v>317</v>
      </c>
      <c r="BI1857" s="111">
        <f t="shared" ref="BI1857:BI1920" si="1388">(F1857-AD1857)/366</f>
        <v>25.748633879781419</v>
      </c>
      <c r="BJ1857" s="129">
        <f>(G1857-J1857)+(M1857-G1857)</f>
        <v>0</v>
      </c>
      <c r="BK1857" s="129">
        <f t="shared" ref="BK1857:BK1920" si="1389">J1857-G1857</f>
        <v>-236</v>
      </c>
      <c r="BL1857" s="129" t="str">
        <f t="shared" si="1372"/>
        <v>NO CONVICTION</v>
      </c>
      <c r="BM1857" s="129" t="s">
        <v>76</v>
      </c>
      <c r="BN1857" s="129" t="s">
        <v>88</v>
      </c>
      <c r="BP1857" s="137" t="str">
        <f t="shared" si="1352"/>
        <v>NO CONVICTION</v>
      </c>
      <c r="BQ1857" s="128" t="str">
        <f t="shared" si="1353"/>
        <v>Y</v>
      </c>
      <c r="BR1857" s="129" t="str">
        <f t="shared" si="1354"/>
        <v>ON BOND</v>
      </c>
      <c r="BS1857" s="129" t="str">
        <f t="shared" si="1355"/>
        <v>DISPOSED</v>
      </c>
      <c r="BT1857" s="129" t="str">
        <f t="shared" si="1356"/>
        <v>N</v>
      </c>
      <c r="BU1857" s="109">
        <f>IFERROR(Q1857/R1857,BR1857)</f>
        <v>0.24921135646687698</v>
      </c>
      <c r="BV1857" s="109">
        <f t="shared" si="1358"/>
        <v>0.25079365079365079</v>
      </c>
      <c r="BW1857" s="109">
        <f t="shared" si="1382"/>
        <v>1.5822943267738143E-3</v>
      </c>
      <c r="BX1857" s="111">
        <f t="shared" si="1359"/>
        <v>0</v>
      </c>
      <c r="BY1857" s="129">
        <f t="shared" si="1360"/>
        <v>-79</v>
      </c>
      <c r="BZ1857" s="111">
        <f t="shared" si="1361"/>
        <v>0</v>
      </c>
      <c r="CA1857" s="138">
        <f t="shared" si="1362"/>
        <v>79</v>
      </c>
      <c r="CB1857" s="111" t="e">
        <f t="shared" ref="CB1857:CB1862" si="1390">IF(AF1857&gt;1/1/1900,((AF1857+1)-AE1857),"STILL OPEN")</f>
        <v>#VALUE!</v>
      </c>
      <c r="CC1857" s="129">
        <f>M1857-I1857+1</f>
        <v>79</v>
      </c>
      <c r="CD1857" s="111">
        <f>CC1857-BF1857</f>
        <v>0</v>
      </c>
      <c r="CG1857" s="129" t="str">
        <f t="shared" si="1364"/>
        <v>Y</v>
      </c>
      <c r="CI1857" s="129" t="str">
        <f t="shared" si="1365"/>
        <v>61-90 DAYS</v>
      </c>
      <c r="CJ1857" s="137">
        <f t="shared" si="1366"/>
        <v>4</v>
      </c>
      <c r="CK1857" s="129" t="str">
        <f t="shared" si="1367"/>
        <v>Booked</v>
      </c>
    </row>
    <row r="1858" spans="1:89" ht="15" customHeight="1" x14ac:dyDescent="0.25">
      <c r="A1858" s="111">
        <v>1294</v>
      </c>
      <c r="B1858" s="128" t="str">
        <f t="shared" ref="B1858:B1921" si="1391">IF(BD1858&lt;&gt;"","Y","N")</f>
        <v>N</v>
      </c>
      <c r="C1858" s="128" t="str">
        <f t="shared" ref="C1858:C1921" si="1392">IF((AND(AV1858="",AX1858="",AY1858="")),"N","Y")</f>
        <v>N</v>
      </c>
      <c r="D1858" s="117">
        <v>2314656</v>
      </c>
      <c r="E1858" s="135">
        <f t="shared" ref="E1858:E1921" si="1393">IF(OR(AL1858="ACQUITTAL",AL1858="ACQUIT",AL1858="acq insane",AL1858="DISMISSED",AL1858="NO BILL"),1,IF(AL1858="DEFERRED",2,IF(AL1858="PROBATION",3,IF(OR(AL1858="HCJ",AL1858="fine"),4,IF(AL1858="STJ",5,IF(AL1858="TDC",6,""))))))</f>
        <v>2</v>
      </c>
      <c r="F1858" s="124">
        <v>40956</v>
      </c>
      <c r="G1858" s="125">
        <v>41135</v>
      </c>
      <c r="H1858" s="117">
        <v>2314656</v>
      </c>
      <c r="I1858" s="124">
        <v>40956</v>
      </c>
      <c r="J1858" s="124">
        <v>40957</v>
      </c>
      <c r="K1858" s="126">
        <v>10000</v>
      </c>
      <c r="L1858" s="127" t="s">
        <v>570</v>
      </c>
      <c r="M1858" s="125">
        <v>40957</v>
      </c>
      <c r="N1858" s="129" t="str">
        <f t="shared" si="1383"/>
        <v>Y</v>
      </c>
      <c r="O1858" s="128" t="s">
        <v>585</v>
      </c>
      <c r="P1858" s="129" t="s">
        <v>589</v>
      </c>
      <c r="Q1858" s="111">
        <f t="shared" si="1385"/>
        <v>2</v>
      </c>
      <c r="R1858" s="111">
        <f t="shared" si="1370"/>
        <v>180</v>
      </c>
      <c r="S1858" s="129">
        <v>0</v>
      </c>
      <c r="T1858" s="129">
        <v>0</v>
      </c>
      <c r="W1858" s="111"/>
      <c r="AC1858" s="130"/>
      <c r="AD1858" s="130">
        <v>22656</v>
      </c>
      <c r="AE1858" s="128" t="s">
        <v>46</v>
      </c>
      <c r="AF1858" s="128" t="s">
        <v>69</v>
      </c>
      <c r="AG1858" s="128" t="s">
        <v>874</v>
      </c>
      <c r="AH1858" s="108" t="s">
        <v>31</v>
      </c>
      <c r="AI1858" s="128" t="s">
        <v>80</v>
      </c>
      <c r="AJ1858" s="129" t="s">
        <v>48</v>
      </c>
      <c r="AK1858" s="129">
        <v>6</v>
      </c>
      <c r="AL1858" s="3" t="s">
        <v>48</v>
      </c>
      <c r="AP1858" s="129" t="s">
        <v>111</v>
      </c>
      <c r="AR1858" s="128" t="s">
        <v>67</v>
      </c>
      <c r="AS1858" s="129" t="s">
        <v>45</v>
      </c>
      <c r="BC1858" s="129" t="s">
        <v>52</v>
      </c>
      <c r="BF1858" s="111">
        <f t="shared" si="1386"/>
        <v>2</v>
      </c>
      <c r="BG1858" s="111">
        <f t="shared" si="1384"/>
        <v>180</v>
      </c>
      <c r="BH1858" s="111">
        <f t="shared" si="1387"/>
        <v>180</v>
      </c>
      <c r="BI1858" s="111">
        <f t="shared" si="1388"/>
        <v>50</v>
      </c>
      <c r="BJ1858" s="129">
        <f>(G1858-J1858)+(M1858-G1858)</f>
        <v>0</v>
      </c>
      <c r="BK1858" s="129">
        <f t="shared" si="1389"/>
        <v>-178</v>
      </c>
      <c r="BL1858" s="129" t="str">
        <f t="shared" si="1372"/>
        <v>DEFERRED</v>
      </c>
      <c r="BM1858" s="129" t="s">
        <v>76</v>
      </c>
      <c r="BN1858" s="129" t="s">
        <v>88</v>
      </c>
      <c r="BP1858" s="137" t="str">
        <f t="shared" ref="BP1858:BP1921" si="1394">IF(OR(AJ1858="AQUITTAL",AJ1858="DISMISSED",AJ1858="FINE",AJ1858="NO BILL"),"NO CONVICTION",IF(OR(AJ1858="HCJ",AJ1858="MHH",AJ1858="PROBATION",AJ1858="STJ",AJ1858="TDC",AJ1858="CONVICTED"),"CONVICTION",IF(AJ1858="DEFERRED","DEFERRED","")))</f>
        <v>DEFERRED</v>
      </c>
      <c r="BQ1858" s="128" t="str">
        <f t="shared" ref="BQ1858:BQ1921" si="1395">IF(BF1858&gt;0,"Y",BF1858)</f>
        <v>Y</v>
      </c>
      <c r="BR1858" s="129" t="str">
        <f t="shared" ref="BR1858:BR1921" si="1396">IF(AND(J1858="NOT BOOKED",M1858&gt;1/1/1),"BONDED - BEFORE BOOKED",IF(BG1858="STILL OPEN","STILL OPEN",IF(N1858="Y","ON BOND",IF(J1858&gt;=G1858,"DETAINED","RELEASED"))))</f>
        <v>ON BOND</v>
      </c>
      <c r="BS1858" s="129" t="str">
        <f t="shared" ref="BS1858:BS1921" si="1397">IF(G1858&lt;&gt;"","DISPOSED","")</f>
        <v>DISPOSED</v>
      </c>
      <c r="BT1858" s="129" t="str">
        <f t="shared" ref="BT1858:BT1921" si="1398">IF(S1858&gt;0,"Y","N")</f>
        <v>N</v>
      </c>
      <c r="BU1858" s="109">
        <f t="shared" ref="BU1858:BU1920" si="1399">Q1858/R1858</f>
        <v>1.1111111111111112E-2</v>
      </c>
      <c r="BV1858" s="109">
        <f t="shared" ref="BV1858:BV1921" si="1400">IF(I1858&gt;F1858,((J1858-I1858+1)/(G1858-I1858+1)),(J1858-I1858+1)/(G1858-F1858+1))</f>
        <v>1.1111111111111112E-2</v>
      </c>
      <c r="BW1858" s="109">
        <f t="shared" si="1382"/>
        <v>0</v>
      </c>
      <c r="BX1858" s="111">
        <f t="shared" ref="BX1858:BX1921" si="1401">+Q1858-BF1858</f>
        <v>0</v>
      </c>
      <c r="BY1858" s="129">
        <f t="shared" ref="BY1858:BY1921" si="1402">I1858-J1858-1</f>
        <v>-2</v>
      </c>
      <c r="BZ1858" s="111">
        <f t="shared" ref="BZ1858:BZ1921" si="1403">BY1858+BF1858</f>
        <v>0</v>
      </c>
      <c r="CA1858" s="138">
        <f t="shared" ref="CA1858:CA1921" si="1404">IF(AND(BS1858="DISPOSED",BR1858="DETAINED"),G1858-I1858+1,IF(AND(BS1858="DISPOSED",BR1858="ON BOND"),M1858-I1858+1,IF(AND(BS1858="STILL OPEN","STILL OPEN"),"NOT BOOKED")))</f>
        <v>2</v>
      </c>
      <c r="CB1858" s="111" t="e">
        <f t="shared" si="1390"/>
        <v>#VALUE!</v>
      </c>
      <c r="CC1858" s="129">
        <f>M1858-I1858+1</f>
        <v>2</v>
      </c>
      <c r="CD1858" s="111">
        <f>CC1858-BF1858</f>
        <v>0</v>
      </c>
      <c r="CG1858" s="129" t="str">
        <f t="shared" ref="CG1858:CG1921" si="1405">IF((S1858+T1858+U1858)&gt;0,"Y","N")</f>
        <v>N</v>
      </c>
      <c r="CI1858" s="129" t="str">
        <f t="shared" si="1365"/>
        <v>0-10 DAYS</v>
      </c>
      <c r="CJ1858" s="137">
        <f t="shared" si="1366"/>
        <v>1</v>
      </c>
      <c r="CK1858" s="129" t="str">
        <f t="shared" si="1367"/>
        <v>Booked</v>
      </c>
    </row>
    <row r="1859" spans="1:89" ht="15.75" customHeight="1" x14ac:dyDescent="0.25">
      <c r="A1859" s="111">
        <v>943</v>
      </c>
      <c r="B1859" s="128" t="str">
        <f t="shared" si="1391"/>
        <v>N</v>
      </c>
      <c r="C1859" s="128" t="str">
        <f t="shared" si="1392"/>
        <v>N</v>
      </c>
      <c r="D1859" s="117">
        <v>2315203</v>
      </c>
      <c r="E1859" s="135">
        <f t="shared" si="1393"/>
        <v>6</v>
      </c>
      <c r="F1859" s="124">
        <v>40943</v>
      </c>
      <c r="G1859" s="125">
        <v>41016</v>
      </c>
      <c r="H1859" s="117">
        <v>2315203</v>
      </c>
      <c r="I1859" s="124">
        <v>40943</v>
      </c>
      <c r="J1859" s="124">
        <v>41016</v>
      </c>
      <c r="K1859" s="126">
        <v>15000</v>
      </c>
      <c r="L1859" s="127" t="s">
        <v>571</v>
      </c>
      <c r="N1859" s="129" t="str">
        <f t="shared" si="1383"/>
        <v>N</v>
      </c>
      <c r="O1859" s="128" t="s">
        <v>917</v>
      </c>
      <c r="P1859" s="129" t="s">
        <v>39</v>
      </c>
      <c r="Q1859" s="111">
        <f t="shared" si="1385"/>
        <v>74</v>
      </c>
      <c r="R1859" s="111">
        <f t="shared" si="1370"/>
        <v>74</v>
      </c>
      <c r="S1859" s="129">
        <v>2</v>
      </c>
      <c r="T1859" s="129">
        <v>4</v>
      </c>
      <c r="U1859" s="129">
        <v>2</v>
      </c>
      <c r="W1859" s="111"/>
      <c r="AC1859" s="130"/>
      <c r="AD1859" s="130">
        <v>33111</v>
      </c>
      <c r="AE1859" s="128" t="s">
        <v>32</v>
      </c>
      <c r="AF1859" s="128" t="s">
        <v>33</v>
      </c>
      <c r="AG1859" s="128" t="s">
        <v>872</v>
      </c>
      <c r="AH1859" s="108" t="s">
        <v>31</v>
      </c>
      <c r="AI1859" s="128" t="s">
        <v>141</v>
      </c>
      <c r="AJ1859" s="129" t="s">
        <v>89</v>
      </c>
      <c r="AK1859" s="129">
        <v>4</v>
      </c>
      <c r="AL1859" s="3" t="s">
        <v>362</v>
      </c>
      <c r="AM1859" s="117">
        <v>1</v>
      </c>
      <c r="AP1859" s="129" t="s">
        <v>107</v>
      </c>
      <c r="AR1859" s="128" t="s">
        <v>44</v>
      </c>
      <c r="AS1859" s="129" t="s">
        <v>57</v>
      </c>
      <c r="BC1859" s="129" t="s">
        <v>38</v>
      </c>
      <c r="BF1859" s="111">
        <f t="shared" si="1386"/>
        <v>74</v>
      </c>
      <c r="BG1859" s="111">
        <f t="shared" si="1384"/>
        <v>74</v>
      </c>
      <c r="BH1859" s="111">
        <f t="shared" si="1387"/>
        <v>74</v>
      </c>
      <c r="BI1859" s="111">
        <f t="shared" si="1388"/>
        <v>21.398907103825138</v>
      </c>
      <c r="BJ1859" s="129">
        <f t="shared" ref="BJ1859:BJ1920" si="1406">G1859-J1859-M1859</f>
        <v>0</v>
      </c>
      <c r="BK1859" s="129">
        <f t="shared" si="1389"/>
        <v>0</v>
      </c>
      <c r="BL1859" s="129" t="str">
        <f t="shared" si="1372"/>
        <v>CONVICTION</v>
      </c>
      <c r="BM1859" s="129" t="str">
        <f t="shared" ref="BM1859:BM1920" si="1407">O1859</f>
        <v>NONE</v>
      </c>
      <c r="BN1859" s="129" t="s">
        <v>566</v>
      </c>
      <c r="BP1859" s="137" t="str">
        <f t="shared" si="1394"/>
        <v>CONVICTION</v>
      </c>
      <c r="BQ1859" s="128" t="str">
        <f t="shared" si="1395"/>
        <v>Y</v>
      </c>
      <c r="BR1859" s="129" t="str">
        <f t="shared" si="1396"/>
        <v>DETAINED</v>
      </c>
      <c r="BS1859" s="129" t="str">
        <f t="shared" si="1397"/>
        <v>DISPOSED</v>
      </c>
      <c r="BT1859" s="129" t="str">
        <f t="shared" si="1398"/>
        <v>Y</v>
      </c>
      <c r="BU1859" s="109">
        <f t="shared" si="1399"/>
        <v>1</v>
      </c>
      <c r="BV1859" s="109">
        <f t="shared" si="1400"/>
        <v>1</v>
      </c>
      <c r="BW1859" s="109">
        <f t="shared" si="1382"/>
        <v>0</v>
      </c>
      <c r="BX1859" s="111">
        <f t="shared" si="1401"/>
        <v>0</v>
      </c>
      <c r="BY1859" s="129">
        <f t="shared" si="1402"/>
        <v>-74</v>
      </c>
      <c r="BZ1859" s="111">
        <f t="shared" si="1403"/>
        <v>0</v>
      </c>
      <c r="CA1859" s="138">
        <f t="shared" si="1404"/>
        <v>74</v>
      </c>
      <c r="CB1859" s="111" t="e">
        <f t="shared" si="1390"/>
        <v>#VALUE!</v>
      </c>
      <c r="CC1859" s="129">
        <f>G1859-I1859+1</f>
        <v>74</v>
      </c>
      <c r="CD1859" s="129">
        <f>G1859-J1859</f>
        <v>0</v>
      </c>
      <c r="CG1859" s="129" t="str">
        <f t="shared" si="1405"/>
        <v>Y</v>
      </c>
      <c r="CI1859" s="129" t="str">
        <f t="shared" ref="CI1859:CI1922" si="1408">IF(BF1859&lt;11,"0-10 DAYS",IF(AND(BF1859&gt;10,BF1859&lt;31),"11-30 DAYS",IF((AND(BF1859&gt;30,BF1859&lt;61)),"31-60 DAYS",IF(AND(BF1859&gt;60,BF1859&lt;91),"61-90 DAYS",IF(AND(BF1859&gt;90,BF1859&lt;121),"91-120 DAYS",IF(AND(BF1859&gt;120,BF1859&lt;366),"121-365 DAYS",IF(AND(BF1859&gt;365,BF1859&lt;730)," &gt;1YRS&lt;2YRS",IF(AND(BF1859&gt;729,BF1859&lt;1095),"&gt;2YRS&lt;3YRS",IF(BF1859&gt;1094,"&gt;3YRS")))))))))</f>
        <v>61-90 DAYS</v>
      </c>
      <c r="CJ1859" s="137">
        <f t="shared" ref="CJ1859:CJ1922" si="1409">IF(CI1859="0-10 DAYS",1,IF(CI1859="11-30 DAYS",2,IF(CI1859="31-60 DAYS",3,IF(CI1859="61-90 DAYS",4,IF(CK1859="91-120 DAYS",5,IF(CI1859="121-365 DAYS",6,IF(CI1859="&gt;1YRS&lt;2YRS",7,IF(CI1859="&gt;2YRS&lt;3YRS",8,IF(CI1859="&gt;3YRS",9,0)))))))))</f>
        <v>4</v>
      </c>
      <c r="CK1859" s="129" t="str">
        <f t="shared" ref="CK1859:CK1922" si="1410">IF(I1859="Not Booked","Not Booked","Booked")</f>
        <v>Booked</v>
      </c>
    </row>
    <row r="1860" spans="1:89" ht="15.75" customHeight="1" x14ac:dyDescent="0.25">
      <c r="A1860" s="111">
        <v>2526</v>
      </c>
      <c r="B1860" s="128" t="str">
        <f t="shared" si="1391"/>
        <v>N</v>
      </c>
      <c r="C1860" s="128" t="str">
        <f t="shared" si="1392"/>
        <v>N</v>
      </c>
      <c r="D1860" s="117">
        <v>2315407</v>
      </c>
      <c r="E1860" s="135">
        <f t="shared" si="1393"/>
        <v>1</v>
      </c>
      <c r="F1860" s="124">
        <v>41003</v>
      </c>
      <c r="G1860" s="125">
        <v>41039</v>
      </c>
      <c r="H1860" s="117">
        <v>2315407</v>
      </c>
      <c r="I1860" s="124">
        <v>41004</v>
      </c>
      <c r="J1860" s="124">
        <v>41004</v>
      </c>
      <c r="K1860" s="126">
        <v>2000</v>
      </c>
      <c r="L1860" s="127" t="s">
        <v>568</v>
      </c>
      <c r="M1860" s="125">
        <v>41004</v>
      </c>
      <c r="N1860" s="129" t="str">
        <f t="shared" si="1383"/>
        <v>Y</v>
      </c>
      <c r="O1860" s="112" t="s">
        <v>160</v>
      </c>
      <c r="P1860" s="129" t="s">
        <v>55</v>
      </c>
      <c r="Q1860" s="111">
        <f t="shared" si="1385"/>
        <v>1</v>
      </c>
      <c r="R1860" s="111">
        <f t="shared" si="1370"/>
        <v>37</v>
      </c>
      <c r="S1860" s="129">
        <v>0</v>
      </c>
      <c r="T1860" s="129">
        <v>1</v>
      </c>
      <c r="W1860" s="111"/>
      <c r="AC1860" s="130"/>
      <c r="AD1860" s="130">
        <v>31823</v>
      </c>
      <c r="AE1860" s="128" t="s">
        <v>46</v>
      </c>
      <c r="AF1860" s="128" t="s">
        <v>33</v>
      </c>
      <c r="AG1860" s="128" t="s">
        <v>872</v>
      </c>
      <c r="AH1860" s="108" t="s">
        <v>58</v>
      </c>
      <c r="AI1860" s="128" t="s">
        <v>97</v>
      </c>
      <c r="AJ1860" s="129" t="s">
        <v>55</v>
      </c>
      <c r="AK1860" s="129">
        <v>3</v>
      </c>
      <c r="AL1860" s="3" t="s">
        <v>55</v>
      </c>
      <c r="AP1860" s="129" t="s">
        <v>43</v>
      </c>
      <c r="AR1860" s="128" t="s">
        <v>44</v>
      </c>
      <c r="AS1860" s="129" t="s">
        <v>45</v>
      </c>
      <c r="BC1860" s="129" t="s">
        <v>38</v>
      </c>
      <c r="BF1860" s="111">
        <f t="shared" si="1386"/>
        <v>1</v>
      </c>
      <c r="BG1860" s="111">
        <f t="shared" si="1384"/>
        <v>36</v>
      </c>
      <c r="BH1860" s="111">
        <f t="shared" si="1387"/>
        <v>37</v>
      </c>
      <c r="BI1860" s="111">
        <f t="shared" si="1388"/>
        <v>25.081967213114755</v>
      </c>
      <c r="BJ1860" s="129">
        <f>(G1860-J1860)+(M1860-G1860)</f>
        <v>0</v>
      </c>
      <c r="BK1860" s="129">
        <f t="shared" si="1389"/>
        <v>-35</v>
      </c>
      <c r="BL1860" s="129" t="str">
        <f t="shared" si="1372"/>
        <v>NO CONVICTION</v>
      </c>
      <c r="BM1860" s="129" t="s">
        <v>160</v>
      </c>
      <c r="BN1860" s="129" t="s">
        <v>88</v>
      </c>
      <c r="BP1860" s="137" t="str">
        <f t="shared" si="1394"/>
        <v>NO CONVICTION</v>
      </c>
      <c r="BQ1860" s="128" t="str">
        <f t="shared" si="1395"/>
        <v>Y</v>
      </c>
      <c r="BR1860" s="129" t="str">
        <f t="shared" si="1396"/>
        <v>ON BOND</v>
      </c>
      <c r="BS1860" s="129" t="str">
        <f t="shared" si="1397"/>
        <v>DISPOSED</v>
      </c>
      <c r="BT1860" s="129" t="str">
        <f t="shared" si="1398"/>
        <v>N</v>
      </c>
      <c r="BU1860" s="109">
        <f>IFERROR(Q1860/R1860,BR1860)</f>
        <v>2.7027027027027029E-2</v>
      </c>
      <c r="BV1860" s="109">
        <f t="shared" si="1400"/>
        <v>2.7777777777777776E-2</v>
      </c>
      <c r="BW1860" s="109">
        <f t="shared" si="1382"/>
        <v>7.5075075075074771E-4</v>
      </c>
      <c r="BX1860" s="111">
        <f t="shared" si="1401"/>
        <v>0</v>
      </c>
      <c r="BY1860" s="129">
        <f t="shared" si="1402"/>
        <v>-1</v>
      </c>
      <c r="BZ1860" s="111">
        <f t="shared" si="1403"/>
        <v>0</v>
      </c>
      <c r="CA1860" s="138">
        <f t="shared" si="1404"/>
        <v>1</v>
      </c>
      <c r="CB1860" s="111" t="e">
        <f t="shared" si="1390"/>
        <v>#VALUE!</v>
      </c>
      <c r="CC1860" s="129">
        <f>M1860-I1860+1</f>
        <v>1</v>
      </c>
      <c r="CD1860" s="111">
        <f>CC1860-BF1860</f>
        <v>0</v>
      </c>
      <c r="CG1860" s="129" t="str">
        <f t="shared" si="1405"/>
        <v>Y</v>
      </c>
      <c r="CI1860" s="129" t="str">
        <f t="shared" si="1408"/>
        <v>0-10 DAYS</v>
      </c>
      <c r="CJ1860" s="137">
        <f t="shared" si="1409"/>
        <v>1</v>
      </c>
      <c r="CK1860" s="129" t="str">
        <f t="shared" si="1410"/>
        <v>Booked</v>
      </c>
    </row>
    <row r="1861" spans="1:89" ht="15" customHeight="1" x14ac:dyDescent="0.25">
      <c r="A1861" s="111">
        <v>405</v>
      </c>
      <c r="B1861" s="128" t="str">
        <f t="shared" si="1391"/>
        <v>N</v>
      </c>
      <c r="C1861" s="128" t="str">
        <f t="shared" si="1392"/>
        <v>N</v>
      </c>
      <c r="D1861" s="117">
        <v>2315572</v>
      </c>
      <c r="E1861" s="135">
        <f t="shared" si="1393"/>
        <v>6</v>
      </c>
      <c r="F1861" s="124">
        <v>40445</v>
      </c>
      <c r="G1861" s="125">
        <v>41089</v>
      </c>
      <c r="H1861" s="117">
        <v>2315572</v>
      </c>
      <c r="I1861" s="124">
        <v>40716</v>
      </c>
      <c r="J1861" s="124">
        <v>41089</v>
      </c>
      <c r="K1861" s="126" t="s">
        <v>564</v>
      </c>
      <c r="L1861" s="127" t="s">
        <v>564</v>
      </c>
      <c r="N1861" s="129" t="s">
        <v>566</v>
      </c>
      <c r="O1861" s="128" t="s">
        <v>917</v>
      </c>
      <c r="P1861" s="129" t="s">
        <v>77</v>
      </c>
      <c r="Q1861" s="111">
        <f t="shared" si="1385"/>
        <v>374</v>
      </c>
      <c r="R1861" s="111">
        <f t="shared" si="1370"/>
        <v>645</v>
      </c>
      <c r="S1861" s="129">
        <v>3</v>
      </c>
      <c r="T1861" s="129">
        <v>0</v>
      </c>
      <c r="U1861" s="129">
        <v>3</v>
      </c>
      <c r="W1861" s="111"/>
      <c r="AC1861" s="130"/>
      <c r="AD1861" s="130">
        <v>32990</v>
      </c>
      <c r="AE1861" s="128" t="s">
        <v>32</v>
      </c>
      <c r="AF1861" s="128" t="s">
        <v>33</v>
      </c>
      <c r="AG1861" s="128" t="s">
        <v>872</v>
      </c>
      <c r="AH1861" s="108" t="s">
        <v>58</v>
      </c>
      <c r="AI1861" s="128" t="s">
        <v>97</v>
      </c>
      <c r="AJ1861" s="129" t="s">
        <v>89</v>
      </c>
      <c r="AK1861" s="129">
        <v>15</v>
      </c>
      <c r="AL1861" s="3" t="s">
        <v>362</v>
      </c>
      <c r="AM1861" s="117">
        <v>99</v>
      </c>
      <c r="AP1861" s="129" t="s">
        <v>84</v>
      </c>
      <c r="AR1861" s="128" t="s">
        <v>67</v>
      </c>
      <c r="AS1861" s="129" t="s">
        <v>74</v>
      </c>
      <c r="BC1861" s="129" t="s">
        <v>38</v>
      </c>
      <c r="BF1861" s="111">
        <f t="shared" si="1386"/>
        <v>374</v>
      </c>
      <c r="BG1861" s="111">
        <f t="shared" si="1384"/>
        <v>374</v>
      </c>
      <c r="BH1861" s="111">
        <f t="shared" si="1387"/>
        <v>645</v>
      </c>
      <c r="BI1861" s="111">
        <f t="shared" si="1388"/>
        <v>20.368852459016395</v>
      </c>
      <c r="BJ1861" s="129">
        <f t="shared" si="1406"/>
        <v>0</v>
      </c>
      <c r="BK1861" s="129">
        <f t="shared" si="1389"/>
        <v>0</v>
      </c>
      <c r="BL1861" s="129" t="str">
        <f t="shared" si="1372"/>
        <v>CONVICTION</v>
      </c>
      <c r="BM1861" s="129" t="str">
        <f t="shared" si="1407"/>
        <v>NONE</v>
      </c>
      <c r="BN1861" s="129" t="s">
        <v>566</v>
      </c>
      <c r="BP1861" s="137" t="str">
        <f t="shared" si="1394"/>
        <v>CONVICTION</v>
      </c>
      <c r="BQ1861" s="128" t="str">
        <f t="shared" si="1395"/>
        <v>Y</v>
      </c>
      <c r="BR1861" s="129" t="str">
        <f t="shared" si="1396"/>
        <v>DETAINED</v>
      </c>
      <c r="BS1861" s="129" t="str">
        <f t="shared" si="1397"/>
        <v>DISPOSED</v>
      </c>
      <c r="BT1861" s="129" t="str">
        <f t="shared" si="1398"/>
        <v>Y</v>
      </c>
      <c r="BU1861" s="109">
        <f t="shared" si="1399"/>
        <v>0.57984496124031004</v>
      </c>
      <c r="BV1861" s="109">
        <f t="shared" si="1400"/>
        <v>1</v>
      </c>
      <c r="BW1861" s="109">
        <f t="shared" si="1382"/>
        <v>0.42015503875968996</v>
      </c>
      <c r="BX1861" s="111">
        <f t="shared" si="1401"/>
        <v>0</v>
      </c>
      <c r="BY1861" s="129">
        <f t="shared" si="1402"/>
        <v>-374</v>
      </c>
      <c r="BZ1861" s="111">
        <f t="shared" si="1403"/>
        <v>0</v>
      </c>
      <c r="CA1861" s="138">
        <f t="shared" si="1404"/>
        <v>374</v>
      </c>
      <c r="CB1861" s="111" t="e">
        <f t="shared" si="1390"/>
        <v>#VALUE!</v>
      </c>
      <c r="CC1861" s="129">
        <f>G1861-I1861+1</f>
        <v>374</v>
      </c>
      <c r="CD1861" s="129">
        <f>G1861-J1861</f>
        <v>0</v>
      </c>
      <c r="CG1861" s="129" t="str">
        <f t="shared" si="1405"/>
        <v>Y</v>
      </c>
      <c r="CI1861" s="129" t="str">
        <f t="shared" si="1408"/>
        <v xml:space="preserve"> &gt;1YRS&lt;2YRS</v>
      </c>
      <c r="CJ1861" s="137">
        <f t="shared" si="1409"/>
        <v>0</v>
      </c>
      <c r="CK1861" s="129" t="str">
        <f t="shared" si="1410"/>
        <v>Booked</v>
      </c>
    </row>
    <row r="1862" spans="1:89" ht="15.75" customHeight="1" x14ac:dyDescent="0.25">
      <c r="A1862" s="111">
        <v>732</v>
      </c>
      <c r="B1862" s="128" t="str">
        <f t="shared" si="1391"/>
        <v>N</v>
      </c>
      <c r="C1862" s="128" t="str">
        <f t="shared" si="1392"/>
        <v>N</v>
      </c>
      <c r="D1862" s="117">
        <v>2316013</v>
      </c>
      <c r="E1862" s="135">
        <f t="shared" si="1393"/>
        <v>2</v>
      </c>
      <c r="F1862" s="124">
        <v>40967</v>
      </c>
      <c r="G1862" s="125">
        <v>40980</v>
      </c>
      <c r="H1862" s="117">
        <v>2316013</v>
      </c>
      <c r="I1862" s="124">
        <v>40968</v>
      </c>
      <c r="J1862" s="124">
        <v>40970</v>
      </c>
      <c r="K1862" s="126">
        <v>2000</v>
      </c>
      <c r="L1862" s="127" t="s">
        <v>568</v>
      </c>
      <c r="M1862" s="125">
        <v>40970</v>
      </c>
      <c r="N1862" s="129" t="str">
        <f>IF(M1862&gt;1/1/1,"Y","N")</f>
        <v>Y</v>
      </c>
      <c r="O1862" s="128" t="s">
        <v>76</v>
      </c>
      <c r="P1862" s="129" t="s">
        <v>589</v>
      </c>
      <c r="Q1862" s="111">
        <f t="shared" si="1385"/>
        <v>3</v>
      </c>
      <c r="R1862" s="111">
        <f t="shared" si="1370"/>
        <v>14</v>
      </c>
      <c r="S1862" s="129">
        <v>0</v>
      </c>
      <c r="T1862" s="129">
        <v>4</v>
      </c>
      <c r="W1862" s="111"/>
      <c r="AC1862" s="130"/>
      <c r="AD1862" s="130">
        <v>32962</v>
      </c>
      <c r="AE1862" s="128" t="s">
        <v>46</v>
      </c>
      <c r="AF1862" s="128" t="s">
        <v>33</v>
      </c>
      <c r="AG1862" s="128" t="s">
        <v>872</v>
      </c>
      <c r="AH1862" s="108" t="s">
        <v>31</v>
      </c>
      <c r="AI1862" s="128" t="s">
        <v>85</v>
      </c>
      <c r="AJ1862" s="129" t="s">
        <v>48</v>
      </c>
      <c r="AK1862" s="129">
        <v>2</v>
      </c>
      <c r="AL1862" s="3" t="s">
        <v>48</v>
      </c>
      <c r="AP1862" s="129" t="s">
        <v>110</v>
      </c>
      <c r="AR1862" s="128" t="s">
        <v>50</v>
      </c>
      <c r="AS1862" s="129" t="s">
        <v>74</v>
      </c>
      <c r="BC1862" s="129" t="s">
        <v>38</v>
      </c>
      <c r="BF1862" s="111">
        <f t="shared" si="1386"/>
        <v>3</v>
      </c>
      <c r="BG1862" s="111">
        <f t="shared" si="1384"/>
        <v>13</v>
      </c>
      <c r="BH1862" s="111">
        <f t="shared" si="1387"/>
        <v>14</v>
      </c>
      <c r="BI1862" s="111">
        <f t="shared" si="1388"/>
        <v>21.871584699453553</v>
      </c>
      <c r="BJ1862" s="129">
        <f>(G1862-J1862)+(M1862-G1862)</f>
        <v>0</v>
      </c>
      <c r="BK1862" s="129">
        <f t="shared" si="1389"/>
        <v>-10</v>
      </c>
      <c r="BL1862" s="129" t="str">
        <f t="shared" si="1372"/>
        <v>DEFERRED</v>
      </c>
      <c r="BM1862" s="129" t="s">
        <v>76</v>
      </c>
      <c r="BN1862" s="129" t="s">
        <v>88</v>
      </c>
      <c r="BP1862" s="137" t="str">
        <f t="shared" si="1394"/>
        <v>DEFERRED</v>
      </c>
      <c r="BQ1862" s="128" t="str">
        <f t="shared" si="1395"/>
        <v>Y</v>
      </c>
      <c r="BR1862" s="129" t="str">
        <f t="shared" si="1396"/>
        <v>ON BOND</v>
      </c>
      <c r="BS1862" s="129" t="str">
        <f t="shared" si="1397"/>
        <v>DISPOSED</v>
      </c>
      <c r="BT1862" s="129" t="str">
        <f t="shared" si="1398"/>
        <v>N</v>
      </c>
      <c r="BU1862" s="109">
        <f t="shared" si="1399"/>
        <v>0.21428571428571427</v>
      </c>
      <c r="BV1862" s="109">
        <f t="shared" si="1400"/>
        <v>0.23076923076923078</v>
      </c>
      <c r="BW1862" s="109">
        <f t="shared" si="1382"/>
        <v>1.6483516483516508E-2</v>
      </c>
      <c r="BX1862" s="111">
        <f t="shared" si="1401"/>
        <v>0</v>
      </c>
      <c r="BY1862" s="129">
        <f t="shared" si="1402"/>
        <v>-3</v>
      </c>
      <c r="BZ1862" s="111">
        <f t="shared" si="1403"/>
        <v>0</v>
      </c>
      <c r="CA1862" s="138">
        <f t="shared" si="1404"/>
        <v>3</v>
      </c>
      <c r="CB1862" s="111" t="e">
        <f t="shared" si="1390"/>
        <v>#VALUE!</v>
      </c>
      <c r="CC1862" s="129">
        <f>M1862-I1862+1</f>
        <v>3</v>
      </c>
      <c r="CD1862" s="111">
        <f>CC1862-BF1862</f>
        <v>0</v>
      </c>
      <c r="CG1862" s="129" t="str">
        <f t="shared" si="1405"/>
        <v>Y</v>
      </c>
      <c r="CI1862" s="129" t="str">
        <f t="shared" si="1408"/>
        <v>0-10 DAYS</v>
      </c>
      <c r="CJ1862" s="137">
        <f t="shared" si="1409"/>
        <v>1</v>
      </c>
      <c r="CK1862" s="129" t="str">
        <f t="shared" si="1410"/>
        <v>Booked</v>
      </c>
    </row>
    <row r="1863" spans="1:89" ht="15.75" customHeight="1" x14ac:dyDescent="0.25">
      <c r="A1863" s="111">
        <v>2159</v>
      </c>
      <c r="B1863" s="128" t="str">
        <f t="shared" si="1391"/>
        <v>N</v>
      </c>
      <c r="C1863" s="128" t="str">
        <f t="shared" si="1392"/>
        <v>N</v>
      </c>
      <c r="D1863" s="117">
        <v>2316180</v>
      </c>
      <c r="E1863" s="135">
        <f t="shared" si="1393"/>
        <v>1</v>
      </c>
      <c r="F1863" s="124">
        <v>40990</v>
      </c>
      <c r="G1863" s="125">
        <v>41038</v>
      </c>
      <c r="H1863" s="117">
        <v>2316180</v>
      </c>
      <c r="I1863" s="124" t="s">
        <v>562</v>
      </c>
      <c r="J1863" s="124" t="s">
        <v>562</v>
      </c>
      <c r="K1863" s="126">
        <v>2000</v>
      </c>
      <c r="L1863" s="127" t="s">
        <v>568</v>
      </c>
      <c r="M1863" s="125">
        <v>40992</v>
      </c>
      <c r="N1863" s="129" t="str">
        <f>IF(M1863&gt;1/1/1,"Y",IF(Q1863="0","","N"))</f>
        <v>Y</v>
      </c>
      <c r="O1863" s="128" t="s">
        <v>585</v>
      </c>
      <c r="P1863" s="129" t="s">
        <v>123</v>
      </c>
      <c r="Q1863" s="111">
        <f t="shared" si="1385"/>
        <v>0</v>
      </c>
      <c r="R1863" s="111">
        <f t="shared" si="1370"/>
        <v>49</v>
      </c>
      <c r="S1863" s="129">
        <v>0</v>
      </c>
      <c r="T1863" s="129">
        <v>0</v>
      </c>
      <c r="W1863" s="111"/>
      <c r="AC1863" s="130"/>
      <c r="AD1863" s="130">
        <v>30835</v>
      </c>
      <c r="AE1863" s="128" t="s">
        <v>32</v>
      </c>
      <c r="AF1863" s="128" t="s">
        <v>33</v>
      </c>
      <c r="AG1863" s="128" t="s">
        <v>872</v>
      </c>
      <c r="AH1863" s="108" t="s">
        <v>58</v>
      </c>
      <c r="AI1863" s="128" t="s">
        <v>53</v>
      </c>
      <c r="AJ1863" s="129" t="s">
        <v>123</v>
      </c>
      <c r="AK1863" s="129">
        <v>4</v>
      </c>
      <c r="AL1863" s="3" t="s">
        <v>123</v>
      </c>
      <c r="AP1863" s="129" t="s">
        <v>43</v>
      </c>
      <c r="AR1863" s="128" t="s">
        <v>44</v>
      </c>
      <c r="AS1863" s="129" t="s">
        <v>45</v>
      </c>
      <c r="BC1863" s="129" t="s">
        <v>52</v>
      </c>
      <c r="BF1863" s="111">
        <v>0</v>
      </c>
      <c r="BG1863" s="111">
        <v>0</v>
      </c>
      <c r="BH1863" s="111">
        <f t="shared" si="1387"/>
        <v>49</v>
      </c>
      <c r="BI1863" s="111">
        <f t="shared" si="1388"/>
        <v>27.745901639344261</v>
      </c>
      <c r="BJ1863" s="129" t="e">
        <f>(G1863-J1863)+(M1863-G1863)</f>
        <v>#VALUE!</v>
      </c>
      <c r="BK1863" s="129" t="e">
        <f t="shared" si="1389"/>
        <v>#VALUE!</v>
      </c>
      <c r="BL1863" s="129" t="str">
        <f t="shared" si="1372"/>
        <v>NO CONVICTION</v>
      </c>
      <c r="BM1863" s="129" t="s">
        <v>76</v>
      </c>
      <c r="BN1863" s="129" t="s">
        <v>88</v>
      </c>
      <c r="BP1863" s="137" t="str">
        <f t="shared" si="1394"/>
        <v>NO CONVICTION</v>
      </c>
      <c r="BQ1863" s="128">
        <f t="shared" si="1395"/>
        <v>0</v>
      </c>
      <c r="BR1863" s="129" t="s">
        <v>575</v>
      </c>
      <c r="BS1863" s="129" t="str">
        <f t="shared" si="1397"/>
        <v>DISPOSED</v>
      </c>
      <c r="BT1863" s="129" t="str">
        <f t="shared" si="1398"/>
        <v>N</v>
      </c>
      <c r="BU1863" s="109">
        <f>IFERROR(Q1863/R1863,BR1863)</f>
        <v>0</v>
      </c>
      <c r="BV1863" s="109">
        <v>0</v>
      </c>
      <c r="BW1863" s="109">
        <f t="shared" si="1382"/>
        <v>0</v>
      </c>
      <c r="BX1863" s="111">
        <f t="shared" si="1401"/>
        <v>0</v>
      </c>
      <c r="BY1863" s="129" t="e">
        <f t="shared" si="1402"/>
        <v>#VALUE!</v>
      </c>
      <c r="BZ1863" s="111" t="e">
        <f t="shared" si="1403"/>
        <v>#VALUE!</v>
      </c>
      <c r="CA1863" s="138" t="e">
        <f t="shared" si="1404"/>
        <v>#VALUE!</v>
      </c>
      <c r="CB1863" s="111">
        <v>0</v>
      </c>
      <c r="CC1863" s="129">
        <v>0</v>
      </c>
      <c r="CD1863" s="111">
        <f>CC1863-BF1863</f>
        <v>0</v>
      </c>
      <c r="CG1863" s="129" t="str">
        <f t="shared" si="1405"/>
        <v>N</v>
      </c>
      <c r="CI1863" s="129" t="str">
        <f t="shared" si="1408"/>
        <v>0-10 DAYS</v>
      </c>
      <c r="CJ1863" s="137">
        <f t="shared" si="1409"/>
        <v>1</v>
      </c>
      <c r="CK1863" s="129" t="str">
        <f t="shared" si="1410"/>
        <v>Not Booked</v>
      </c>
    </row>
    <row r="1864" spans="1:89" ht="15.75" customHeight="1" x14ac:dyDescent="0.25">
      <c r="A1864" s="111">
        <v>3060</v>
      </c>
      <c r="B1864" s="128" t="str">
        <f t="shared" si="1391"/>
        <v>N</v>
      </c>
      <c r="C1864" s="128" t="str">
        <f t="shared" si="1392"/>
        <v>N</v>
      </c>
      <c r="D1864" s="117">
        <v>2316403</v>
      </c>
      <c r="E1864" s="135">
        <f t="shared" si="1393"/>
        <v>6</v>
      </c>
      <c r="F1864" s="124">
        <v>41022</v>
      </c>
      <c r="G1864" s="125">
        <v>41121</v>
      </c>
      <c r="H1864" s="117">
        <v>2316403</v>
      </c>
      <c r="I1864" s="124">
        <v>41023</v>
      </c>
      <c r="J1864" s="124">
        <v>41121</v>
      </c>
      <c r="K1864" s="126" t="s">
        <v>564</v>
      </c>
      <c r="L1864" s="127" t="s">
        <v>564</v>
      </c>
      <c r="N1864" s="129" t="s">
        <v>566</v>
      </c>
      <c r="O1864" s="128" t="s">
        <v>917</v>
      </c>
      <c r="P1864" s="129" t="s">
        <v>39</v>
      </c>
      <c r="Q1864" s="111">
        <f t="shared" si="1385"/>
        <v>99</v>
      </c>
      <c r="R1864" s="111">
        <f t="shared" si="1370"/>
        <v>100</v>
      </c>
      <c r="S1864" s="129">
        <v>2</v>
      </c>
      <c r="T1864" s="129">
        <v>6</v>
      </c>
      <c r="U1864" s="129">
        <v>1</v>
      </c>
      <c r="W1864" s="111"/>
      <c r="AC1864" s="130"/>
      <c r="AD1864" s="130">
        <v>32762</v>
      </c>
      <c r="AE1864" s="128" t="s">
        <v>32</v>
      </c>
      <c r="AF1864" s="128" t="s">
        <v>33</v>
      </c>
      <c r="AG1864" s="128" t="s">
        <v>872</v>
      </c>
      <c r="AH1864" s="108" t="s">
        <v>58</v>
      </c>
      <c r="AI1864" s="128" t="s">
        <v>70</v>
      </c>
      <c r="AJ1864" s="129" t="s">
        <v>89</v>
      </c>
      <c r="AK1864" s="129">
        <v>5</v>
      </c>
      <c r="AL1864" s="3" t="s">
        <v>362</v>
      </c>
      <c r="AM1864" s="117">
        <v>4</v>
      </c>
      <c r="AP1864" s="129" t="s">
        <v>150</v>
      </c>
      <c r="AR1864" s="128" t="s">
        <v>67</v>
      </c>
      <c r="AS1864" s="129" t="s">
        <v>74</v>
      </c>
      <c r="BC1864" s="129" t="s">
        <v>38</v>
      </c>
      <c r="BF1864" s="111">
        <f t="shared" ref="BF1864:BF1889" si="1411">IF(J1864&gt;1/1/1900,((J1864+1)-I1864),"STILL OPEN")</f>
        <v>99</v>
      </c>
      <c r="BG1864" s="111">
        <f t="shared" ref="BG1864:BG1889" si="1412">IF(G1864&gt;1/1/1900,((G1864+1)-I1864),"STILL OPEN")</f>
        <v>99</v>
      </c>
      <c r="BH1864" s="111">
        <f t="shared" si="1387"/>
        <v>100</v>
      </c>
      <c r="BI1864" s="111">
        <f t="shared" si="1388"/>
        <v>22.568306010928961</v>
      </c>
      <c r="BJ1864" s="129">
        <f t="shared" si="1406"/>
        <v>0</v>
      </c>
      <c r="BK1864" s="129">
        <f t="shared" si="1389"/>
        <v>0</v>
      </c>
      <c r="BL1864" s="129" t="str">
        <f t="shared" si="1372"/>
        <v>CONVICTION</v>
      </c>
      <c r="BM1864" s="129" t="str">
        <f t="shared" si="1407"/>
        <v>NONE</v>
      </c>
      <c r="BN1864" s="129" t="s">
        <v>566</v>
      </c>
      <c r="BP1864" s="137" t="str">
        <f t="shared" si="1394"/>
        <v>CONVICTION</v>
      </c>
      <c r="BQ1864" s="128" t="str">
        <f t="shared" si="1395"/>
        <v>Y</v>
      </c>
      <c r="BR1864" s="129" t="str">
        <f t="shared" si="1396"/>
        <v>DETAINED</v>
      </c>
      <c r="BS1864" s="129" t="str">
        <f t="shared" si="1397"/>
        <v>DISPOSED</v>
      </c>
      <c r="BT1864" s="129" t="str">
        <f t="shared" si="1398"/>
        <v>Y</v>
      </c>
      <c r="BU1864" s="109">
        <f t="shared" si="1399"/>
        <v>0.99</v>
      </c>
      <c r="BV1864" s="109">
        <f t="shared" si="1400"/>
        <v>1</v>
      </c>
      <c r="BW1864" s="109">
        <f t="shared" si="1382"/>
        <v>1.0000000000000009E-2</v>
      </c>
      <c r="BX1864" s="111">
        <f t="shared" si="1401"/>
        <v>0</v>
      </c>
      <c r="BY1864" s="129">
        <f t="shared" si="1402"/>
        <v>-99</v>
      </c>
      <c r="BZ1864" s="111">
        <f t="shared" si="1403"/>
        <v>0</v>
      </c>
      <c r="CA1864" s="138">
        <f t="shared" si="1404"/>
        <v>99</v>
      </c>
      <c r="CB1864" s="111" t="e">
        <f t="shared" ref="CB1864:CB1889" si="1413">IF(AF1864&gt;1/1/1900,((AF1864+1)-AE1864),"STILL OPEN")</f>
        <v>#VALUE!</v>
      </c>
      <c r="CC1864" s="129">
        <f>G1864-I1864+1</f>
        <v>99</v>
      </c>
      <c r="CD1864" s="129">
        <f>G1864-J1864</f>
        <v>0</v>
      </c>
      <c r="CG1864" s="129" t="str">
        <f t="shared" si="1405"/>
        <v>Y</v>
      </c>
      <c r="CI1864" s="129" t="str">
        <f t="shared" si="1408"/>
        <v>91-120 DAYS</v>
      </c>
      <c r="CJ1864" s="137">
        <f t="shared" si="1409"/>
        <v>0</v>
      </c>
      <c r="CK1864" s="129" t="str">
        <f t="shared" si="1410"/>
        <v>Booked</v>
      </c>
    </row>
    <row r="1865" spans="1:89" ht="15" customHeight="1" x14ac:dyDescent="0.25">
      <c r="A1865" s="111">
        <v>2</v>
      </c>
      <c r="B1865" s="128" t="str">
        <f t="shared" si="1391"/>
        <v>N</v>
      </c>
      <c r="C1865" s="128" t="str">
        <f t="shared" si="1392"/>
        <v>N</v>
      </c>
      <c r="D1865" s="117">
        <v>2316440</v>
      </c>
      <c r="E1865" s="135" t="str">
        <f t="shared" si="1393"/>
        <v/>
      </c>
      <c r="F1865" s="124">
        <v>40909</v>
      </c>
      <c r="G1865" s="125"/>
      <c r="H1865" s="117">
        <v>2316440</v>
      </c>
      <c r="I1865" s="124">
        <v>40909</v>
      </c>
      <c r="J1865" s="124"/>
      <c r="K1865" s="126" t="s">
        <v>564</v>
      </c>
      <c r="L1865" s="127" t="s">
        <v>564</v>
      </c>
      <c r="N1865" s="129" t="s">
        <v>566</v>
      </c>
      <c r="O1865" s="128" t="s">
        <v>917</v>
      </c>
      <c r="P1865" s="129" t="s">
        <v>31</v>
      </c>
      <c r="Q1865" s="111" t="str">
        <f>BF1865</f>
        <v>STILL OPEN</v>
      </c>
      <c r="R1865" s="111" t="str">
        <f t="shared" si="1370"/>
        <v>STILL OPEN</v>
      </c>
      <c r="S1865" s="129">
        <v>0</v>
      </c>
      <c r="T1865" s="129">
        <v>1</v>
      </c>
      <c r="V1865" s="117">
        <v>2</v>
      </c>
      <c r="W1865" s="111"/>
      <c r="AC1865" s="130"/>
      <c r="AD1865" s="130">
        <v>32781</v>
      </c>
      <c r="AE1865" s="128" t="s">
        <v>32</v>
      </c>
      <c r="AF1865" s="128" t="s">
        <v>33</v>
      </c>
      <c r="AG1865" s="128" t="s">
        <v>872</v>
      </c>
      <c r="AH1865" s="108" t="s">
        <v>31</v>
      </c>
      <c r="AI1865" s="128" t="s">
        <v>34</v>
      </c>
      <c r="AJ1865" s="129" t="s">
        <v>31</v>
      </c>
      <c r="AP1865" s="129" t="s">
        <v>35</v>
      </c>
      <c r="AR1865" s="128" t="s">
        <v>36</v>
      </c>
      <c r="AS1865" s="129" t="s">
        <v>37</v>
      </c>
      <c r="BC1865" s="129" t="s">
        <v>38</v>
      </c>
      <c r="BF1865" s="111" t="s">
        <v>588</v>
      </c>
      <c r="BG1865" s="111" t="str">
        <f t="shared" si="1412"/>
        <v>STILL OPEN</v>
      </c>
      <c r="BH1865" s="111" t="str">
        <f t="shared" si="1387"/>
        <v>STILL OPEN</v>
      </c>
      <c r="BI1865" s="111">
        <f t="shared" si="1388"/>
        <v>22.207650273224044</v>
      </c>
      <c r="BJ1865" s="129">
        <f t="shared" si="1406"/>
        <v>0</v>
      </c>
      <c r="BK1865" s="129">
        <f t="shared" si="1389"/>
        <v>0</v>
      </c>
      <c r="BL1865" s="129">
        <f t="shared" si="1372"/>
        <v>0</v>
      </c>
      <c r="BM1865" s="129" t="str">
        <f t="shared" si="1407"/>
        <v>NONE</v>
      </c>
      <c r="BP1865" s="137" t="str">
        <f t="shared" si="1394"/>
        <v/>
      </c>
      <c r="BQ1865" s="128" t="str">
        <f t="shared" si="1395"/>
        <v>Y</v>
      </c>
      <c r="BR1865" s="129" t="s">
        <v>588</v>
      </c>
      <c r="BS1865" s="129" t="s">
        <v>588</v>
      </c>
      <c r="BT1865" s="129" t="str">
        <f t="shared" si="1398"/>
        <v>N</v>
      </c>
      <c r="BU1865" s="109" t="str">
        <f>IFERROR(Q1865/R1865,BR1865)</f>
        <v>STILL OPEN</v>
      </c>
      <c r="BV1865" s="129" t="s">
        <v>588</v>
      </c>
      <c r="BW1865" s="109">
        <v>0</v>
      </c>
      <c r="BX1865" s="111" t="e">
        <f t="shared" si="1401"/>
        <v>#VALUE!</v>
      </c>
      <c r="BY1865" s="129">
        <f t="shared" si="1402"/>
        <v>40908</v>
      </c>
      <c r="BZ1865" s="111" t="e">
        <f t="shared" si="1403"/>
        <v>#VALUE!</v>
      </c>
      <c r="CA1865" s="138" t="e">
        <f t="shared" si="1404"/>
        <v>#VALUE!</v>
      </c>
      <c r="CB1865" s="111" t="s">
        <v>588</v>
      </c>
      <c r="CC1865" s="129" t="s">
        <v>588</v>
      </c>
      <c r="CG1865" s="129" t="str">
        <f t="shared" si="1405"/>
        <v>Y</v>
      </c>
      <c r="CH1865" s="129" t="e">
        <v>#N/A</v>
      </c>
      <c r="CI1865" s="129" t="str">
        <f t="shared" si="1408"/>
        <v>&gt;3YRS</v>
      </c>
      <c r="CJ1865" s="137">
        <f t="shared" si="1409"/>
        <v>9</v>
      </c>
      <c r="CK1865" s="129" t="str">
        <f t="shared" si="1410"/>
        <v>Booked</v>
      </c>
    </row>
    <row r="1866" spans="1:89" ht="15" customHeight="1" x14ac:dyDescent="0.25">
      <c r="A1866" s="111">
        <v>844</v>
      </c>
      <c r="B1866" s="128" t="str">
        <f t="shared" si="1391"/>
        <v>N</v>
      </c>
      <c r="C1866" s="128" t="str">
        <f t="shared" si="1392"/>
        <v>Y</v>
      </c>
      <c r="D1866" s="117">
        <v>2316697</v>
      </c>
      <c r="E1866" s="135">
        <f t="shared" si="1393"/>
        <v>5</v>
      </c>
      <c r="F1866" s="124">
        <v>40940</v>
      </c>
      <c r="G1866" s="125">
        <v>41255</v>
      </c>
      <c r="H1866" s="117">
        <v>2316697</v>
      </c>
      <c r="I1866" s="124">
        <v>40941</v>
      </c>
      <c r="J1866" s="125">
        <v>41006</v>
      </c>
      <c r="K1866" s="126">
        <v>32000</v>
      </c>
      <c r="L1866" s="129" t="s">
        <v>572</v>
      </c>
      <c r="M1866" s="125">
        <v>41006</v>
      </c>
      <c r="N1866" s="129" t="str">
        <f>IF(M1866&gt;1/1/1,"Y","N")</f>
        <v>Y</v>
      </c>
      <c r="O1866" s="128" t="s">
        <v>585</v>
      </c>
      <c r="P1866" s="129" t="s">
        <v>39</v>
      </c>
      <c r="Q1866" s="111">
        <v>138</v>
      </c>
      <c r="R1866" s="111">
        <f t="shared" si="1370"/>
        <v>316</v>
      </c>
      <c r="S1866" s="129">
        <v>0</v>
      </c>
      <c r="T1866" s="129">
        <v>2</v>
      </c>
      <c r="W1866" s="111"/>
      <c r="AC1866" s="130"/>
      <c r="AD1866" s="130">
        <v>32846</v>
      </c>
      <c r="AE1866" s="128" t="s">
        <v>32</v>
      </c>
      <c r="AF1866" s="128" t="s">
        <v>33</v>
      </c>
      <c r="AG1866" s="128" t="s">
        <v>872</v>
      </c>
      <c r="AH1866" s="108" t="s">
        <v>58</v>
      </c>
      <c r="AI1866" s="128" t="s">
        <v>53</v>
      </c>
      <c r="AJ1866" s="129" t="s">
        <v>89</v>
      </c>
      <c r="AK1866" s="129">
        <v>11</v>
      </c>
      <c r="AL1866" s="3" t="s">
        <v>992</v>
      </c>
      <c r="AN1866" s="117">
        <v>7</v>
      </c>
      <c r="AP1866" s="129" t="s">
        <v>43</v>
      </c>
      <c r="AR1866" s="128" t="s">
        <v>44</v>
      </c>
      <c r="AS1866" s="129" t="s">
        <v>45</v>
      </c>
      <c r="AU1866" s="3" t="s">
        <v>809</v>
      </c>
      <c r="AV1866" s="3" t="s">
        <v>88</v>
      </c>
      <c r="AW1866" s="32" t="s">
        <v>696</v>
      </c>
      <c r="BA1866" s="125">
        <v>41200</v>
      </c>
      <c r="BB1866" s="129">
        <v>558</v>
      </c>
      <c r="BC1866" s="129" t="s">
        <v>38</v>
      </c>
      <c r="BF1866" s="111">
        <v>138</v>
      </c>
      <c r="BG1866" s="111">
        <f t="shared" si="1412"/>
        <v>315</v>
      </c>
      <c r="BH1866" s="111">
        <f t="shared" si="1387"/>
        <v>316</v>
      </c>
      <c r="BI1866" s="111">
        <f t="shared" si="1388"/>
        <v>22.114754098360656</v>
      </c>
      <c r="BJ1866" s="129">
        <f>(G1866-J1866)+(M1866-G1866)</f>
        <v>0</v>
      </c>
      <c r="BK1866" s="129">
        <f t="shared" si="1389"/>
        <v>-249</v>
      </c>
      <c r="BL1866" s="129" t="str">
        <f t="shared" si="1372"/>
        <v>CONVICTION</v>
      </c>
      <c r="BM1866" s="129" t="s">
        <v>76</v>
      </c>
      <c r="BN1866" s="129" t="s">
        <v>88</v>
      </c>
      <c r="BP1866" s="137" t="str">
        <f t="shared" si="1394"/>
        <v>CONVICTION</v>
      </c>
      <c r="BQ1866" s="128" t="str">
        <f t="shared" si="1395"/>
        <v>Y</v>
      </c>
      <c r="BR1866" s="129" t="s">
        <v>574</v>
      </c>
      <c r="BS1866" s="129" t="str">
        <f t="shared" si="1397"/>
        <v>DISPOSED</v>
      </c>
      <c r="BT1866" s="129" t="str">
        <f t="shared" si="1398"/>
        <v>N</v>
      </c>
      <c r="BU1866" s="109">
        <f t="shared" si="1399"/>
        <v>0.43670886075949367</v>
      </c>
      <c r="BV1866" s="109">
        <f t="shared" si="1400"/>
        <v>0.20952380952380953</v>
      </c>
      <c r="BW1866" s="109">
        <f t="shared" ref="BW1866:BW1877" si="1414">BV1866-BU1866</f>
        <v>-0.22718505123568414</v>
      </c>
      <c r="BX1866" s="111">
        <f t="shared" si="1401"/>
        <v>0</v>
      </c>
      <c r="BY1866" s="129">
        <f t="shared" si="1402"/>
        <v>-66</v>
      </c>
      <c r="BZ1866" s="111">
        <f t="shared" si="1403"/>
        <v>72</v>
      </c>
      <c r="CA1866" s="138">
        <f t="shared" si="1404"/>
        <v>315</v>
      </c>
      <c r="CB1866" s="111">
        <v>138</v>
      </c>
      <c r="CC1866" s="129">
        <f>G1866-I1866+1</f>
        <v>315</v>
      </c>
      <c r="CD1866" s="129">
        <f>G1866-J1866</f>
        <v>249</v>
      </c>
      <c r="CG1866" s="129" t="str">
        <f t="shared" si="1405"/>
        <v>Y</v>
      </c>
      <c r="CI1866" s="129" t="str">
        <f t="shared" si="1408"/>
        <v>121-365 DAYS</v>
      </c>
      <c r="CJ1866" s="137">
        <f t="shared" si="1409"/>
        <v>6</v>
      </c>
      <c r="CK1866" s="129" t="str">
        <f t="shared" si="1410"/>
        <v>Booked</v>
      </c>
    </row>
    <row r="1867" spans="1:89" ht="15" customHeight="1" x14ac:dyDescent="0.25">
      <c r="A1867" s="111">
        <v>2074</v>
      </c>
      <c r="B1867" s="128" t="str">
        <f t="shared" si="1391"/>
        <v>N</v>
      </c>
      <c r="C1867" s="128" t="str">
        <f t="shared" si="1392"/>
        <v>Y</v>
      </c>
      <c r="D1867" s="117">
        <v>2317334</v>
      </c>
      <c r="E1867" s="135">
        <f t="shared" si="1393"/>
        <v>6</v>
      </c>
      <c r="F1867" s="124">
        <v>40987</v>
      </c>
      <c r="G1867" s="125">
        <v>41061</v>
      </c>
      <c r="H1867" s="117">
        <v>2317334</v>
      </c>
      <c r="I1867" s="124">
        <v>40987</v>
      </c>
      <c r="J1867" s="124">
        <v>40992</v>
      </c>
      <c r="K1867" s="126">
        <v>15000</v>
      </c>
      <c r="L1867" s="127" t="s">
        <v>571</v>
      </c>
      <c r="M1867" s="125">
        <v>40992</v>
      </c>
      <c r="N1867" s="129" t="str">
        <f>IF(M1867&gt;1/1/1,"Y","N")</f>
        <v>Y</v>
      </c>
      <c r="O1867" s="128" t="s">
        <v>76</v>
      </c>
      <c r="P1867" s="129" t="s">
        <v>39</v>
      </c>
      <c r="Q1867" s="111">
        <v>23</v>
      </c>
      <c r="R1867" s="111">
        <f t="shared" si="1370"/>
        <v>75</v>
      </c>
      <c r="S1867" s="129">
        <v>11</v>
      </c>
      <c r="T1867" s="129">
        <v>3</v>
      </c>
      <c r="U1867" s="129">
        <v>7</v>
      </c>
      <c r="W1867" s="111"/>
      <c r="AC1867" s="130"/>
      <c r="AD1867" s="130">
        <v>25218</v>
      </c>
      <c r="AE1867" s="128" t="s">
        <v>46</v>
      </c>
      <c r="AF1867" s="128" t="s">
        <v>33</v>
      </c>
      <c r="AG1867" s="128" t="s">
        <v>872</v>
      </c>
      <c r="AH1867" s="108" t="s">
        <v>31</v>
      </c>
      <c r="AI1867" s="128" t="s">
        <v>87</v>
      </c>
      <c r="AJ1867" s="129" t="s">
        <v>89</v>
      </c>
      <c r="AK1867" s="129">
        <v>6</v>
      </c>
      <c r="AL1867" s="3" t="s">
        <v>362</v>
      </c>
      <c r="AM1867" s="117">
        <v>3</v>
      </c>
      <c r="AP1867" s="129" t="s">
        <v>60</v>
      </c>
      <c r="AR1867" s="128" t="s">
        <v>44</v>
      </c>
      <c r="AS1867" s="129" t="s">
        <v>61</v>
      </c>
      <c r="AV1867" s="3" t="s">
        <v>88</v>
      </c>
      <c r="AW1867" s="129" t="s">
        <v>753</v>
      </c>
      <c r="BA1867" s="125">
        <v>41246</v>
      </c>
      <c r="BB1867" s="129">
        <v>235</v>
      </c>
      <c r="BC1867" s="129" t="s">
        <v>38</v>
      </c>
      <c r="BF1867" s="111">
        <v>23</v>
      </c>
      <c r="BG1867" s="111">
        <f t="shared" si="1412"/>
        <v>75</v>
      </c>
      <c r="BH1867" s="111">
        <f t="shared" si="1387"/>
        <v>75</v>
      </c>
      <c r="BI1867" s="111">
        <f t="shared" si="1388"/>
        <v>43.084699453551913</v>
      </c>
      <c r="BJ1867" s="129">
        <f>(G1867-J1867)+(M1867-G1867)</f>
        <v>0</v>
      </c>
      <c r="BK1867" s="129">
        <f t="shared" si="1389"/>
        <v>-69</v>
      </c>
      <c r="BL1867" s="129" t="str">
        <f t="shared" si="1372"/>
        <v>CONVICTION</v>
      </c>
      <c r="BM1867" s="129" t="s">
        <v>76</v>
      </c>
      <c r="BN1867" s="129" t="s">
        <v>88</v>
      </c>
      <c r="BP1867" s="137" t="str">
        <f t="shared" si="1394"/>
        <v>CONVICTION</v>
      </c>
      <c r="BQ1867" s="128" t="str">
        <f t="shared" si="1395"/>
        <v>Y</v>
      </c>
      <c r="BR1867" s="129" t="s">
        <v>574</v>
      </c>
      <c r="BS1867" s="129" t="str">
        <f t="shared" si="1397"/>
        <v>DISPOSED</v>
      </c>
      <c r="BT1867" s="129" t="str">
        <f t="shared" si="1398"/>
        <v>Y</v>
      </c>
      <c r="BU1867" s="109">
        <f t="shared" si="1399"/>
        <v>0.30666666666666664</v>
      </c>
      <c r="BV1867" s="109">
        <f t="shared" si="1400"/>
        <v>0.08</v>
      </c>
      <c r="BW1867" s="109">
        <f t="shared" si="1414"/>
        <v>-0.22666666666666663</v>
      </c>
      <c r="BX1867" s="111">
        <f t="shared" si="1401"/>
        <v>0</v>
      </c>
      <c r="BY1867" s="129">
        <f t="shared" si="1402"/>
        <v>-6</v>
      </c>
      <c r="BZ1867" s="111">
        <f t="shared" si="1403"/>
        <v>17</v>
      </c>
      <c r="CA1867" s="138">
        <f t="shared" si="1404"/>
        <v>75</v>
      </c>
      <c r="CB1867" s="111">
        <v>23</v>
      </c>
      <c r="CC1867" s="129">
        <f>G1867-I1867+1</f>
        <v>75</v>
      </c>
      <c r="CD1867" s="129">
        <f>G1867-J1867</f>
        <v>69</v>
      </c>
      <c r="CG1867" s="129" t="str">
        <f t="shared" si="1405"/>
        <v>Y</v>
      </c>
      <c r="CI1867" s="129" t="str">
        <f t="shared" si="1408"/>
        <v>11-30 DAYS</v>
      </c>
      <c r="CJ1867" s="137">
        <f t="shared" si="1409"/>
        <v>2</v>
      </c>
      <c r="CK1867" s="129" t="str">
        <f t="shared" si="1410"/>
        <v>Booked</v>
      </c>
    </row>
    <row r="1868" spans="1:89" ht="15" customHeight="1" x14ac:dyDescent="0.25">
      <c r="A1868" s="111">
        <v>2017</v>
      </c>
      <c r="B1868" s="128" t="str">
        <f t="shared" si="1391"/>
        <v>N</v>
      </c>
      <c r="C1868" s="128" t="str">
        <f t="shared" si="1392"/>
        <v>N</v>
      </c>
      <c r="D1868" s="117">
        <v>2318193</v>
      </c>
      <c r="E1868" s="135">
        <f t="shared" si="1393"/>
        <v>2</v>
      </c>
      <c r="F1868" s="124">
        <v>40984</v>
      </c>
      <c r="G1868" s="125">
        <v>41162</v>
      </c>
      <c r="H1868" s="117">
        <v>2318193</v>
      </c>
      <c r="I1868" s="124">
        <v>40985</v>
      </c>
      <c r="J1868" s="124">
        <v>40992</v>
      </c>
      <c r="K1868" s="126">
        <v>10000</v>
      </c>
      <c r="L1868" s="127" t="s">
        <v>570</v>
      </c>
      <c r="M1868" s="125">
        <v>40992</v>
      </c>
      <c r="N1868" s="129" t="str">
        <f>IF(M1868&gt;1/1/1,"Y","N")</f>
        <v>Y</v>
      </c>
      <c r="O1868" s="128" t="s">
        <v>76</v>
      </c>
      <c r="P1868" s="129" t="s">
        <v>589</v>
      </c>
      <c r="Q1868" s="111">
        <f t="shared" si="1385"/>
        <v>8</v>
      </c>
      <c r="R1868" s="111">
        <f t="shared" si="1370"/>
        <v>179</v>
      </c>
      <c r="S1868" s="129">
        <v>0</v>
      </c>
      <c r="T1868" s="129">
        <v>3</v>
      </c>
      <c r="W1868" s="111"/>
      <c r="AC1868" s="130"/>
      <c r="AD1868" s="130">
        <v>32698</v>
      </c>
      <c r="AE1868" s="128" t="s">
        <v>32</v>
      </c>
      <c r="AF1868" s="128" t="s">
        <v>69</v>
      </c>
      <c r="AG1868" s="128" t="s">
        <v>874</v>
      </c>
      <c r="AH1868" s="108" t="s">
        <v>31</v>
      </c>
      <c r="AI1868" s="128" t="s">
        <v>95</v>
      </c>
      <c r="AJ1868" s="129" t="s">
        <v>48</v>
      </c>
      <c r="AK1868" s="129">
        <v>7</v>
      </c>
      <c r="AL1868" s="3" t="s">
        <v>48</v>
      </c>
      <c r="AP1868" s="129" t="s">
        <v>56</v>
      </c>
      <c r="AR1868" s="128" t="s">
        <v>50</v>
      </c>
      <c r="AS1868" s="129" t="s">
        <v>57</v>
      </c>
      <c r="BC1868" s="129" t="s">
        <v>52</v>
      </c>
      <c r="BF1868" s="111">
        <f t="shared" si="1411"/>
        <v>8</v>
      </c>
      <c r="BG1868" s="111">
        <f t="shared" si="1412"/>
        <v>178</v>
      </c>
      <c r="BH1868" s="111">
        <f t="shared" si="1387"/>
        <v>179</v>
      </c>
      <c r="BI1868" s="111">
        <f t="shared" si="1388"/>
        <v>22.639344262295083</v>
      </c>
      <c r="BJ1868" s="129">
        <f>(G1868-J1868)+(M1868-G1868)</f>
        <v>0</v>
      </c>
      <c r="BK1868" s="129">
        <f t="shared" si="1389"/>
        <v>-170</v>
      </c>
      <c r="BL1868" s="129" t="str">
        <f t="shared" si="1372"/>
        <v>DEFERRED</v>
      </c>
      <c r="BM1868" s="129" t="s">
        <v>76</v>
      </c>
      <c r="BN1868" s="129" t="s">
        <v>88</v>
      </c>
      <c r="BP1868" s="137" t="str">
        <f t="shared" si="1394"/>
        <v>DEFERRED</v>
      </c>
      <c r="BQ1868" s="128" t="str">
        <f t="shared" si="1395"/>
        <v>Y</v>
      </c>
      <c r="BR1868" s="129" t="str">
        <f t="shared" si="1396"/>
        <v>ON BOND</v>
      </c>
      <c r="BS1868" s="129" t="str">
        <f t="shared" si="1397"/>
        <v>DISPOSED</v>
      </c>
      <c r="BT1868" s="129" t="str">
        <f t="shared" si="1398"/>
        <v>N</v>
      </c>
      <c r="BU1868" s="109">
        <f t="shared" si="1399"/>
        <v>4.4692737430167599E-2</v>
      </c>
      <c r="BV1868" s="109">
        <f t="shared" si="1400"/>
        <v>4.49438202247191E-2</v>
      </c>
      <c r="BW1868" s="109">
        <f t="shared" si="1414"/>
        <v>2.5108279455150068E-4</v>
      </c>
      <c r="BX1868" s="111">
        <f t="shared" si="1401"/>
        <v>0</v>
      </c>
      <c r="BY1868" s="129">
        <f t="shared" si="1402"/>
        <v>-8</v>
      </c>
      <c r="BZ1868" s="111">
        <f t="shared" si="1403"/>
        <v>0</v>
      </c>
      <c r="CA1868" s="138">
        <f t="shared" si="1404"/>
        <v>8</v>
      </c>
      <c r="CB1868" s="111" t="e">
        <f t="shared" si="1413"/>
        <v>#VALUE!</v>
      </c>
      <c r="CC1868" s="129">
        <f>M1868-I1868+1</f>
        <v>8</v>
      </c>
      <c r="CD1868" s="111">
        <f>CC1868-BF1868</f>
        <v>0</v>
      </c>
      <c r="CG1868" s="129" t="str">
        <f t="shared" si="1405"/>
        <v>Y</v>
      </c>
      <c r="CI1868" s="129" t="str">
        <f t="shared" si="1408"/>
        <v>0-10 DAYS</v>
      </c>
      <c r="CJ1868" s="137">
        <f t="shared" si="1409"/>
        <v>1</v>
      </c>
      <c r="CK1868" s="129" t="str">
        <f t="shared" si="1410"/>
        <v>Booked</v>
      </c>
    </row>
    <row r="1869" spans="1:89" ht="15.75" customHeight="1" x14ac:dyDescent="0.25">
      <c r="A1869" s="111">
        <v>1535</v>
      </c>
      <c r="B1869" s="128" t="str">
        <f t="shared" si="1391"/>
        <v>N</v>
      </c>
      <c r="C1869" s="128" t="str">
        <f t="shared" si="1392"/>
        <v>N</v>
      </c>
      <c r="D1869" s="117">
        <v>2318361</v>
      </c>
      <c r="E1869" s="135">
        <f t="shared" si="1393"/>
        <v>5</v>
      </c>
      <c r="F1869" s="124">
        <v>40966</v>
      </c>
      <c r="G1869" s="125">
        <v>40967</v>
      </c>
      <c r="H1869" s="117">
        <v>2318361</v>
      </c>
      <c r="I1869" s="124">
        <v>40966</v>
      </c>
      <c r="J1869" s="124">
        <v>40967</v>
      </c>
      <c r="K1869" s="126">
        <v>15000</v>
      </c>
      <c r="L1869" s="127" t="s">
        <v>571</v>
      </c>
      <c r="N1869" s="129" t="str">
        <f>IF(M1869&gt;1/1/1,"Y","N")</f>
        <v>N</v>
      </c>
      <c r="O1869" s="128" t="s">
        <v>917</v>
      </c>
      <c r="P1869" s="129" t="s">
        <v>39</v>
      </c>
      <c r="Q1869" s="111">
        <f t="shared" si="1385"/>
        <v>2</v>
      </c>
      <c r="R1869" s="111">
        <f t="shared" si="1370"/>
        <v>2</v>
      </c>
      <c r="S1869" s="129">
        <v>9</v>
      </c>
      <c r="T1869" s="129">
        <v>3</v>
      </c>
      <c r="U1869" s="129">
        <v>3</v>
      </c>
      <c r="W1869" s="111"/>
      <c r="AC1869" s="130"/>
      <c r="AD1869" s="130">
        <v>28582</v>
      </c>
      <c r="AE1869" s="128" t="s">
        <v>46</v>
      </c>
      <c r="AF1869" s="128" t="s">
        <v>69</v>
      </c>
      <c r="AG1869" s="128" t="s">
        <v>874</v>
      </c>
      <c r="AH1869" s="108" t="s">
        <v>31</v>
      </c>
      <c r="AI1869" s="128" t="s">
        <v>114</v>
      </c>
      <c r="AJ1869" s="129" t="s">
        <v>89</v>
      </c>
      <c r="AK1869" s="129">
        <v>1</v>
      </c>
      <c r="AL1869" s="3" t="s">
        <v>992</v>
      </c>
      <c r="AN1869" s="117">
        <v>6</v>
      </c>
      <c r="AP1869" s="129" t="s">
        <v>43</v>
      </c>
      <c r="AR1869" s="128" t="s">
        <v>44</v>
      </c>
      <c r="AS1869" s="129" t="s">
        <v>45</v>
      </c>
      <c r="BC1869" s="129" t="s">
        <v>38</v>
      </c>
      <c r="BF1869" s="111">
        <f t="shared" si="1411"/>
        <v>2</v>
      </c>
      <c r="BG1869" s="111">
        <f t="shared" si="1412"/>
        <v>2</v>
      </c>
      <c r="BH1869" s="111">
        <f t="shared" si="1387"/>
        <v>2</v>
      </c>
      <c r="BI1869" s="111">
        <f t="shared" si="1388"/>
        <v>33.83606557377049</v>
      </c>
      <c r="BJ1869" s="129">
        <f t="shared" si="1406"/>
        <v>0</v>
      </c>
      <c r="BK1869" s="129">
        <f t="shared" si="1389"/>
        <v>0</v>
      </c>
      <c r="BL1869" s="129" t="str">
        <f t="shared" si="1372"/>
        <v>CONVICTION</v>
      </c>
      <c r="BM1869" s="129" t="str">
        <f t="shared" si="1407"/>
        <v>NONE</v>
      </c>
      <c r="BN1869" s="129" t="s">
        <v>566</v>
      </c>
      <c r="BP1869" s="137" t="str">
        <f t="shared" si="1394"/>
        <v>CONVICTION</v>
      </c>
      <c r="BQ1869" s="128" t="str">
        <f t="shared" si="1395"/>
        <v>Y</v>
      </c>
      <c r="BR1869" s="129" t="str">
        <f t="shared" si="1396"/>
        <v>DETAINED</v>
      </c>
      <c r="BS1869" s="129" t="str">
        <f t="shared" si="1397"/>
        <v>DISPOSED</v>
      </c>
      <c r="BT1869" s="129" t="str">
        <f t="shared" si="1398"/>
        <v>Y</v>
      </c>
      <c r="BU1869" s="109">
        <f t="shared" si="1399"/>
        <v>1</v>
      </c>
      <c r="BV1869" s="109">
        <f t="shared" si="1400"/>
        <v>1</v>
      </c>
      <c r="BW1869" s="109">
        <f t="shared" si="1414"/>
        <v>0</v>
      </c>
      <c r="BX1869" s="111">
        <f t="shared" si="1401"/>
        <v>0</v>
      </c>
      <c r="BY1869" s="129">
        <f t="shared" si="1402"/>
        <v>-2</v>
      </c>
      <c r="BZ1869" s="111">
        <f t="shared" si="1403"/>
        <v>0</v>
      </c>
      <c r="CA1869" s="138">
        <f t="shared" si="1404"/>
        <v>2</v>
      </c>
      <c r="CB1869" s="111" t="e">
        <f t="shared" si="1413"/>
        <v>#VALUE!</v>
      </c>
      <c r="CC1869" s="129">
        <f>G1869-I1869+1</f>
        <v>2</v>
      </c>
      <c r="CD1869" s="129">
        <f>G1869-J1869</f>
        <v>0</v>
      </c>
      <c r="CG1869" s="129" t="str">
        <f t="shared" si="1405"/>
        <v>Y</v>
      </c>
      <c r="CI1869" s="129" t="str">
        <f t="shared" si="1408"/>
        <v>0-10 DAYS</v>
      </c>
      <c r="CJ1869" s="137">
        <f t="shared" si="1409"/>
        <v>1</v>
      </c>
      <c r="CK1869" s="129" t="str">
        <f t="shared" si="1410"/>
        <v>Booked</v>
      </c>
    </row>
    <row r="1870" spans="1:89" ht="15.75" customHeight="1" x14ac:dyDescent="0.25">
      <c r="A1870" s="111">
        <v>2425</v>
      </c>
      <c r="B1870" s="128" t="str">
        <f t="shared" si="1391"/>
        <v>N</v>
      </c>
      <c r="C1870" s="128" t="str">
        <f t="shared" si="1392"/>
        <v>N</v>
      </c>
      <c r="D1870" s="117">
        <v>2318845</v>
      </c>
      <c r="E1870" s="135">
        <f t="shared" si="1393"/>
        <v>2</v>
      </c>
      <c r="F1870" s="124">
        <v>41000</v>
      </c>
      <c r="G1870" s="125">
        <v>41001</v>
      </c>
      <c r="H1870" s="117">
        <v>2318845</v>
      </c>
      <c r="I1870" s="124">
        <v>41000</v>
      </c>
      <c r="J1870" s="124">
        <v>41001</v>
      </c>
      <c r="K1870" s="126">
        <v>2000</v>
      </c>
      <c r="L1870" s="127" t="s">
        <v>568</v>
      </c>
      <c r="N1870" s="129" t="str">
        <f>IF(M1870&gt;1/1/1,"Y","N")</f>
        <v>N</v>
      </c>
      <c r="O1870" s="128" t="s">
        <v>917</v>
      </c>
      <c r="P1870" s="129" t="s">
        <v>589</v>
      </c>
      <c r="Q1870" s="111">
        <f t="shared" si="1385"/>
        <v>2</v>
      </c>
      <c r="R1870" s="111">
        <f t="shared" si="1370"/>
        <v>2</v>
      </c>
      <c r="S1870" s="129">
        <v>0</v>
      </c>
      <c r="T1870" s="129">
        <v>0</v>
      </c>
      <c r="W1870" s="111"/>
      <c r="AC1870" s="130"/>
      <c r="AD1870" s="130">
        <v>33004</v>
      </c>
      <c r="AE1870" s="128" t="s">
        <v>46</v>
      </c>
      <c r="AF1870" s="128" t="s">
        <v>33</v>
      </c>
      <c r="AG1870" s="128" t="s">
        <v>872</v>
      </c>
      <c r="AH1870" s="108" t="s">
        <v>31</v>
      </c>
      <c r="AI1870" s="128" t="s">
        <v>72</v>
      </c>
      <c r="AJ1870" s="129" t="s">
        <v>48</v>
      </c>
      <c r="AK1870" s="129">
        <v>1</v>
      </c>
      <c r="AL1870" s="3" t="s">
        <v>48</v>
      </c>
      <c r="AP1870" s="129" t="s">
        <v>155</v>
      </c>
      <c r="AR1870" s="128" t="s">
        <v>44</v>
      </c>
      <c r="AS1870" s="129" t="s">
        <v>64</v>
      </c>
      <c r="BC1870" s="129" t="s">
        <v>38</v>
      </c>
      <c r="BF1870" s="111">
        <f t="shared" si="1411"/>
        <v>2</v>
      </c>
      <c r="BG1870" s="111">
        <f t="shared" si="1412"/>
        <v>2</v>
      </c>
      <c r="BH1870" s="111">
        <f t="shared" si="1387"/>
        <v>2</v>
      </c>
      <c r="BI1870" s="111">
        <f t="shared" si="1388"/>
        <v>21.846994535519126</v>
      </c>
      <c r="BJ1870" s="129">
        <f t="shared" si="1406"/>
        <v>0</v>
      </c>
      <c r="BK1870" s="129">
        <f t="shared" si="1389"/>
        <v>0</v>
      </c>
      <c r="BL1870" s="129" t="str">
        <f t="shared" si="1372"/>
        <v>DEFERRED</v>
      </c>
      <c r="BM1870" s="129" t="str">
        <f t="shared" si="1407"/>
        <v>NONE</v>
      </c>
      <c r="BN1870" s="129" t="s">
        <v>566</v>
      </c>
      <c r="BP1870" s="137" t="str">
        <f t="shared" si="1394"/>
        <v>DEFERRED</v>
      </c>
      <c r="BQ1870" s="128" t="str">
        <f t="shared" si="1395"/>
        <v>Y</v>
      </c>
      <c r="BR1870" s="129" t="str">
        <f t="shared" si="1396"/>
        <v>DETAINED</v>
      </c>
      <c r="BS1870" s="129" t="str">
        <f t="shared" si="1397"/>
        <v>DISPOSED</v>
      </c>
      <c r="BT1870" s="129" t="str">
        <f t="shared" si="1398"/>
        <v>N</v>
      </c>
      <c r="BU1870" s="109">
        <f t="shared" si="1399"/>
        <v>1</v>
      </c>
      <c r="BV1870" s="109">
        <f t="shared" si="1400"/>
        <v>1</v>
      </c>
      <c r="BW1870" s="109">
        <f t="shared" si="1414"/>
        <v>0</v>
      </c>
      <c r="BX1870" s="111">
        <f t="shared" si="1401"/>
        <v>0</v>
      </c>
      <c r="BY1870" s="129">
        <f t="shared" si="1402"/>
        <v>-2</v>
      </c>
      <c r="BZ1870" s="111">
        <f t="shared" si="1403"/>
        <v>0</v>
      </c>
      <c r="CA1870" s="138">
        <f t="shared" si="1404"/>
        <v>2</v>
      </c>
      <c r="CB1870" s="111" t="e">
        <f t="shared" si="1413"/>
        <v>#VALUE!</v>
      </c>
      <c r="CC1870" s="129">
        <f>G1870-I1870+1</f>
        <v>2</v>
      </c>
      <c r="CD1870" s="129">
        <f>G1870-J1870</f>
        <v>0</v>
      </c>
      <c r="CG1870" s="129" t="str">
        <f t="shared" si="1405"/>
        <v>N</v>
      </c>
      <c r="CI1870" s="129" t="str">
        <f t="shared" si="1408"/>
        <v>0-10 DAYS</v>
      </c>
      <c r="CJ1870" s="137">
        <f t="shared" si="1409"/>
        <v>1</v>
      </c>
      <c r="CK1870" s="129" t="str">
        <f t="shared" si="1410"/>
        <v>Booked</v>
      </c>
    </row>
    <row r="1871" spans="1:89" ht="15" customHeight="1" x14ac:dyDescent="0.25">
      <c r="A1871" s="111">
        <v>85</v>
      </c>
      <c r="B1871" s="128" t="str">
        <f t="shared" si="1391"/>
        <v>N</v>
      </c>
      <c r="C1871" s="128" t="str">
        <f t="shared" si="1392"/>
        <v>N</v>
      </c>
      <c r="D1871" s="117">
        <v>2319206</v>
      </c>
      <c r="E1871" s="135">
        <f t="shared" si="1393"/>
        <v>1</v>
      </c>
      <c r="F1871" s="124">
        <v>40913</v>
      </c>
      <c r="G1871" s="125">
        <v>41148</v>
      </c>
      <c r="H1871" s="117">
        <v>2319206</v>
      </c>
      <c r="I1871" s="124">
        <v>41120</v>
      </c>
      <c r="J1871" s="124">
        <v>41148</v>
      </c>
      <c r="K1871" s="126" t="s">
        <v>564</v>
      </c>
      <c r="L1871" s="127" t="s">
        <v>564</v>
      </c>
      <c r="N1871" s="129" t="s">
        <v>566</v>
      </c>
      <c r="O1871" s="128" t="s">
        <v>917</v>
      </c>
      <c r="P1871" s="129" t="s">
        <v>55</v>
      </c>
      <c r="Q1871" s="111">
        <f t="shared" si="1385"/>
        <v>29</v>
      </c>
      <c r="R1871" s="111">
        <f t="shared" si="1370"/>
        <v>236</v>
      </c>
      <c r="S1871" s="129">
        <v>1</v>
      </c>
      <c r="T1871" s="129">
        <v>0</v>
      </c>
      <c r="V1871" s="117">
        <v>1</v>
      </c>
      <c r="W1871" s="111"/>
      <c r="AC1871" s="130"/>
      <c r="AD1871" s="130">
        <v>31771</v>
      </c>
      <c r="AE1871" s="128" t="s">
        <v>46</v>
      </c>
      <c r="AF1871" s="128" t="s">
        <v>33</v>
      </c>
      <c r="AG1871" s="128" t="s">
        <v>872</v>
      </c>
      <c r="AH1871" s="108" t="s">
        <v>58</v>
      </c>
      <c r="AI1871" s="128">
        <v>232</v>
      </c>
      <c r="AJ1871" s="129" t="s">
        <v>55</v>
      </c>
      <c r="AK1871" s="129">
        <v>3</v>
      </c>
      <c r="AL1871" s="3" t="s">
        <v>55</v>
      </c>
      <c r="AP1871" s="129" t="s">
        <v>132</v>
      </c>
      <c r="AR1871" s="128" t="s">
        <v>92</v>
      </c>
      <c r="AS1871" s="129" t="s">
        <v>82</v>
      </c>
      <c r="BC1871" s="129" t="s">
        <v>52</v>
      </c>
      <c r="BF1871" s="111">
        <f t="shared" si="1411"/>
        <v>29</v>
      </c>
      <c r="BG1871" s="111">
        <f t="shared" si="1412"/>
        <v>29</v>
      </c>
      <c r="BH1871" s="111">
        <f t="shared" si="1387"/>
        <v>236</v>
      </c>
      <c r="BI1871" s="111">
        <f t="shared" si="1388"/>
        <v>24.978142076502731</v>
      </c>
      <c r="BJ1871" s="129">
        <f t="shared" si="1406"/>
        <v>0</v>
      </c>
      <c r="BK1871" s="129">
        <f t="shared" si="1389"/>
        <v>0</v>
      </c>
      <c r="BL1871" s="129" t="str">
        <f t="shared" si="1372"/>
        <v>NO CONVICTION</v>
      </c>
      <c r="BM1871" s="129" t="str">
        <f t="shared" si="1407"/>
        <v>NONE</v>
      </c>
      <c r="BN1871" s="129" t="s">
        <v>566</v>
      </c>
      <c r="BP1871" s="137" t="str">
        <f t="shared" si="1394"/>
        <v>NO CONVICTION</v>
      </c>
      <c r="BQ1871" s="128" t="str">
        <f t="shared" si="1395"/>
        <v>Y</v>
      </c>
      <c r="BR1871" s="129" t="str">
        <f t="shared" si="1396"/>
        <v>DETAINED</v>
      </c>
      <c r="BS1871" s="129" t="str">
        <f t="shared" si="1397"/>
        <v>DISPOSED</v>
      </c>
      <c r="BT1871" s="129" t="str">
        <f t="shared" si="1398"/>
        <v>Y</v>
      </c>
      <c r="BU1871" s="109">
        <f>IFERROR(Q1871/R1871,BR1871)</f>
        <v>0.1228813559322034</v>
      </c>
      <c r="BV1871" s="109">
        <f t="shared" si="1400"/>
        <v>1</v>
      </c>
      <c r="BW1871" s="109">
        <f t="shared" si="1414"/>
        <v>0.8771186440677966</v>
      </c>
      <c r="BX1871" s="111">
        <f t="shared" si="1401"/>
        <v>0</v>
      </c>
      <c r="BY1871" s="129">
        <f t="shared" si="1402"/>
        <v>-29</v>
      </c>
      <c r="BZ1871" s="111">
        <f t="shared" si="1403"/>
        <v>0</v>
      </c>
      <c r="CA1871" s="138">
        <f t="shared" si="1404"/>
        <v>29</v>
      </c>
      <c r="CB1871" s="111" t="e">
        <f t="shared" si="1413"/>
        <v>#VALUE!</v>
      </c>
      <c r="CC1871" s="129">
        <f>G1871-I1871+1</f>
        <v>29</v>
      </c>
      <c r="CD1871" s="129">
        <f>G1871-J1871</f>
        <v>0</v>
      </c>
      <c r="CG1871" s="129" t="str">
        <f t="shared" si="1405"/>
        <v>Y</v>
      </c>
      <c r="CI1871" s="129" t="str">
        <f t="shared" si="1408"/>
        <v>11-30 DAYS</v>
      </c>
      <c r="CJ1871" s="137">
        <f t="shared" si="1409"/>
        <v>2</v>
      </c>
      <c r="CK1871" s="129" t="str">
        <f t="shared" si="1410"/>
        <v>Booked</v>
      </c>
    </row>
    <row r="1872" spans="1:89" ht="15.75" customHeight="1" x14ac:dyDescent="0.25">
      <c r="A1872" s="111">
        <v>1723</v>
      </c>
      <c r="B1872" s="128" t="str">
        <f t="shared" si="1391"/>
        <v>N</v>
      </c>
      <c r="C1872" s="128" t="str">
        <f t="shared" si="1392"/>
        <v>N</v>
      </c>
      <c r="D1872" s="117">
        <v>2319408</v>
      </c>
      <c r="E1872" s="135">
        <f t="shared" si="1393"/>
        <v>4</v>
      </c>
      <c r="F1872" s="124">
        <v>40973</v>
      </c>
      <c r="G1872" s="125">
        <v>41032</v>
      </c>
      <c r="H1872" s="117">
        <v>2319408</v>
      </c>
      <c r="I1872" s="124">
        <v>40973</v>
      </c>
      <c r="J1872" s="124">
        <v>40982</v>
      </c>
      <c r="K1872" s="126">
        <v>2000</v>
      </c>
      <c r="L1872" s="127" t="s">
        <v>568</v>
      </c>
      <c r="M1872" s="125">
        <v>40982</v>
      </c>
      <c r="N1872" s="129" t="str">
        <f>IF(M1872&gt;1/1/1,"Y","N")</f>
        <v>Y</v>
      </c>
      <c r="O1872" s="128" t="s">
        <v>76</v>
      </c>
      <c r="P1872" s="129" t="s">
        <v>39</v>
      </c>
      <c r="Q1872" s="111">
        <f t="shared" si="1385"/>
        <v>10</v>
      </c>
      <c r="R1872" s="111">
        <f t="shared" si="1370"/>
        <v>60</v>
      </c>
      <c r="S1872" s="129">
        <v>0</v>
      </c>
      <c r="T1872" s="129">
        <v>3</v>
      </c>
      <c r="W1872" s="111"/>
      <c r="AC1872" s="130"/>
      <c r="AD1872" s="130">
        <v>33026</v>
      </c>
      <c r="AE1872" s="128" t="s">
        <v>32</v>
      </c>
      <c r="AF1872" s="128" t="s">
        <v>33</v>
      </c>
      <c r="AG1872" s="128" t="s">
        <v>872</v>
      </c>
      <c r="AH1872" s="108" t="s">
        <v>31</v>
      </c>
      <c r="AI1872" s="128" t="s">
        <v>87</v>
      </c>
      <c r="AJ1872" s="129" t="s">
        <v>89</v>
      </c>
      <c r="AK1872" s="129">
        <v>4</v>
      </c>
      <c r="AL1872" s="3" t="s">
        <v>991</v>
      </c>
      <c r="AO1872" s="128">
        <v>30</v>
      </c>
      <c r="AP1872" s="129" t="s">
        <v>369</v>
      </c>
      <c r="AS1872" s="129" t="s">
        <v>370</v>
      </c>
      <c r="BC1872" s="129" t="s">
        <v>38</v>
      </c>
      <c r="BF1872" s="111">
        <f t="shared" si="1411"/>
        <v>10</v>
      </c>
      <c r="BG1872" s="111">
        <f t="shared" si="1412"/>
        <v>60</v>
      </c>
      <c r="BH1872" s="111">
        <f t="shared" si="1387"/>
        <v>60</v>
      </c>
      <c r="BI1872" s="111">
        <f t="shared" si="1388"/>
        <v>21.71311475409836</v>
      </c>
      <c r="BJ1872" s="129">
        <f>(G1872-J1872)+(M1872-G1872)</f>
        <v>0</v>
      </c>
      <c r="BK1872" s="129">
        <f t="shared" si="1389"/>
        <v>-50</v>
      </c>
      <c r="BL1872" s="129" t="str">
        <f t="shared" si="1372"/>
        <v>CONVICTION</v>
      </c>
      <c r="BM1872" s="129" t="s">
        <v>76</v>
      </c>
      <c r="BN1872" s="129" t="s">
        <v>88</v>
      </c>
      <c r="BP1872" s="137" t="str">
        <f t="shared" si="1394"/>
        <v>CONVICTION</v>
      </c>
      <c r="BQ1872" s="128" t="str">
        <f t="shared" si="1395"/>
        <v>Y</v>
      </c>
      <c r="BR1872" s="129" t="str">
        <f>IF(J1872&lt;G1872,"ON BOND",0)</f>
        <v>ON BOND</v>
      </c>
      <c r="BS1872" s="129" t="str">
        <f t="shared" si="1397"/>
        <v>DISPOSED</v>
      </c>
      <c r="BT1872" s="129" t="str">
        <f t="shared" si="1398"/>
        <v>N</v>
      </c>
      <c r="BU1872" s="109">
        <f t="shared" si="1399"/>
        <v>0.16666666666666666</v>
      </c>
      <c r="BV1872" s="109">
        <f t="shared" si="1400"/>
        <v>0.16666666666666666</v>
      </c>
      <c r="BW1872" s="109">
        <f t="shared" si="1414"/>
        <v>0</v>
      </c>
      <c r="BX1872" s="111">
        <f t="shared" si="1401"/>
        <v>0</v>
      </c>
      <c r="BY1872" s="129">
        <f t="shared" si="1402"/>
        <v>-10</v>
      </c>
      <c r="BZ1872" s="111">
        <f t="shared" si="1403"/>
        <v>0</v>
      </c>
      <c r="CA1872" s="138">
        <f t="shared" si="1404"/>
        <v>10</v>
      </c>
      <c r="CB1872" s="111" t="e">
        <f t="shared" si="1413"/>
        <v>#VALUE!</v>
      </c>
      <c r="CC1872" s="129">
        <f>M1872-I1872+1</f>
        <v>10</v>
      </c>
      <c r="CD1872" s="111">
        <f>CC1872-BF1872</f>
        <v>0</v>
      </c>
      <c r="CG1872" s="129" t="str">
        <f t="shared" si="1405"/>
        <v>Y</v>
      </c>
      <c r="CI1872" s="129" t="str">
        <f t="shared" si="1408"/>
        <v>0-10 DAYS</v>
      </c>
      <c r="CJ1872" s="137">
        <f t="shared" si="1409"/>
        <v>1</v>
      </c>
      <c r="CK1872" s="129" t="str">
        <f t="shared" si="1410"/>
        <v>Booked</v>
      </c>
    </row>
    <row r="1873" spans="1:89" ht="15" customHeight="1" x14ac:dyDescent="0.25">
      <c r="A1873" s="111">
        <v>1284</v>
      </c>
      <c r="B1873" s="128" t="str">
        <f t="shared" si="1391"/>
        <v>N</v>
      </c>
      <c r="C1873" s="128" t="str">
        <f t="shared" si="1392"/>
        <v>N</v>
      </c>
      <c r="D1873" s="117">
        <v>2320673</v>
      </c>
      <c r="E1873" s="135">
        <f t="shared" si="1393"/>
        <v>2</v>
      </c>
      <c r="F1873" s="124">
        <v>40955</v>
      </c>
      <c r="G1873" s="125">
        <v>41529</v>
      </c>
      <c r="H1873" s="117">
        <v>2320673</v>
      </c>
      <c r="I1873" s="124">
        <v>40956</v>
      </c>
      <c r="J1873" s="124">
        <v>40957</v>
      </c>
      <c r="K1873" s="126">
        <v>30000</v>
      </c>
      <c r="L1873" s="129" t="s">
        <v>572</v>
      </c>
      <c r="M1873" s="125">
        <v>40957</v>
      </c>
      <c r="N1873" s="129" t="str">
        <f>IF(M1873&gt;1/1/1,"Y","N")</f>
        <v>Y</v>
      </c>
      <c r="O1873" s="128" t="s">
        <v>76</v>
      </c>
      <c r="P1873" s="129" t="s">
        <v>589</v>
      </c>
      <c r="Q1873" s="111">
        <f t="shared" si="1385"/>
        <v>2</v>
      </c>
      <c r="R1873" s="111">
        <f t="shared" si="1370"/>
        <v>575</v>
      </c>
      <c r="S1873" s="129">
        <v>0</v>
      </c>
      <c r="T1873" s="129">
        <v>1</v>
      </c>
      <c r="W1873" s="111"/>
      <c r="AC1873" s="130"/>
      <c r="AD1873" s="130">
        <v>19214</v>
      </c>
      <c r="AE1873" s="128" t="s">
        <v>32</v>
      </c>
      <c r="AF1873" s="128" t="s">
        <v>69</v>
      </c>
      <c r="AG1873" s="128" t="s">
        <v>874</v>
      </c>
      <c r="AH1873" s="108" t="s">
        <v>31</v>
      </c>
      <c r="AI1873" s="128" t="s">
        <v>62</v>
      </c>
      <c r="AJ1873" s="129" t="s">
        <v>48</v>
      </c>
      <c r="AK1873" s="129">
        <v>13</v>
      </c>
      <c r="AL1873" s="3" t="s">
        <v>48</v>
      </c>
      <c r="AP1873" s="129" t="s">
        <v>188</v>
      </c>
      <c r="AR1873" s="128" t="s">
        <v>67</v>
      </c>
      <c r="AS1873" s="129" t="s">
        <v>64</v>
      </c>
      <c r="BC1873" s="129" t="s">
        <v>52</v>
      </c>
      <c r="BF1873" s="111">
        <f t="shared" si="1411"/>
        <v>2</v>
      </c>
      <c r="BG1873" s="111">
        <f t="shared" si="1412"/>
        <v>574</v>
      </c>
      <c r="BH1873" s="111">
        <f t="shared" si="1387"/>
        <v>575</v>
      </c>
      <c r="BI1873" s="111">
        <f t="shared" si="1388"/>
        <v>59.401639344262293</v>
      </c>
      <c r="BJ1873" s="129">
        <f>(G1873-J1873)+(M1873-G1873)</f>
        <v>0</v>
      </c>
      <c r="BK1873" s="129">
        <f t="shared" si="1389"/>
        <v>-572</v>
      </c>
      <c r="BL1873" s="129" t="str">
        <f t="shared" si="1372"/>
        <v>DEFERRED</v>
      </c>
      <c r="BM1873" s="129" t="s">
        <v>76</v>
      </c>
      <c r="BN1873" s="129" t="s">
        <v>88</v>
      </c>
      <c r="BP1873" s="137" t="str">
        <f t="shared" si="1394"/>
        <v>DEFERRED</v>
      </c>
      <c r="BQ1873" s="128" t="str">
        <f t="shared" si="1395"/>
        <v>Y</v>
      </c>
      <c r="BR1873" s="129" t="str">
        <f t="shared" si="1396"/>
        <v>ON BOND</v>
      </c>
      <c r="BS1873" s="129" t="str">
        <f t="shared" si="1397"/>
        <v>DISPOSED</v>
      </c>
      <c r="BT1873" s="129" t="str">
        <f t="shared" si="1398"/>
        <v>N</v>
      </c>
      <c r="BU1873" s="109">
        <f t="shared" si="1399"/>
        <v>3.4782608695652175E-3</v>
      </c>
      <c r="BV1873" s="109">
        <f t="shared" si="1400"/>
        <v>3.4843205574912892E-3</v>
      </c>
      <c r="BW1873" s="109">
        <f t="shared" si="1414"/>
        <v>6.0596879260716753E-6</v>
      </c>
      <c r="BX1873" s="111">
        <f t="shared" si="1401"/>
        <v>0</v>
      </c>
      <c r="BY1873" s="129">
        <f t="shared" si="1402"/>
        <v>-2</v>
      </c>
      <c r="BZ1873" s="111">
        <f t="shared" si="1403"/>
        <v>0</v>
      </c>
      <c r="CA1873" s="138">
        <f t="shared" si="1404"/>
        <v>2</v>
      </c>
      <c r="CB1873" s="111" t="e">
        <f t="shared" si="1413"/>
        <v>#VALUE!</v>
      </c>
      <c r="CC1873" s="129">
        <f>M1873-I1873+1</f>
        <v>2</v>
      </c>
      <c r="CD1873" s="111">
        <f>CC1873-BF1873</f>
        <v>0</v>
      </c>
      <c r="CG1873" s="129" t="str">
        <f t="shared" si="1405"/>
        <v>Y</v>
      </c>
      <c r="CI1873" s="129" t="str">
        <f t="shared" si="1408"/>
        <v>0-10 DAYS</v>
      </c>
      <c r="CJ1873" s="137">
        <f t="shared" si="1409"/>
        <v>1</v>
      </c>
      <c r="CK1873" s="129" t="str">
        <f t="shared" si="1410"/>
        <v>Booked</v>
      </c>
    </row>
    <row r="1874" spans="1:89" ht="15" customHeight="1" x14ac:dyDescent="0.25">
      <c r="A1874" s="111">
        <v>1164</v>
      </c>
      <c r="B1874" s="128" t="str">
        <f t="shared" si="1391"/>
        <v>N</v>
      </c>
      <c r="C1874" s="128" t="str">
        <f t="shared" si="1392"/>
        <v>N</v>
      </c>
      <c r="D1874" s="117">
        <v>2321152</v>
      </c>
      <c r="E1874" s="135">
        <f t="shared" si="1393"/>
        <v>6</v>
      </c>
      <c r="F1874" s="124">
        <v>40950</v>
      </c>
      <c r="G1874" s="125">
        <v>40980</v>
      </c>
      <c r="H1874" s="117">
        <v>2321152</v>
      </c>
      <c r="I1874" s="124">
        <v>40950</v>
      </c>
      <c r="J1874" s="124">
        <v>40980</v>
      </c>
      <c r="K1874" s="126" t="s">
        <v>564</v>
      </c>
      <c r="L1874" s="127" t="s">
        <v>564</v>
      </c>
      <c r="N1874" s="129" t="s">
        <v>566</v>
      </c>
      <c r="O1874" s="128" t="s">
        <v>917</v>
      </c>
      <c r="P1874" s="129" t="s">
        <v>39</v>
      </c>
      <c r="Q1874" s="111">
        <f t="shared" si="1385"/>
        <v>31</v>
      </c>
      <c r="R1874" s="111">
        <f t="shared" ref="R1874:R1937" si="1415">BH1874</f>
        <v>31</v>
      </c>
      <c r="S1874" s="129">
        <v>0</v>
      </c>
      <c r="T1874" s="129">
        <v>3</v>
      </c>
      <c r="W1874" s="111"/>
      <c r="AC1874" s="130"/>
      <c r="AD1874" s="130">
        <v>32512</v>
      </c>
      <c r="AE1874" s="128" t="s">
        <v>32</v>
      </c>
      <c r="AF1874" s="128" t="s">
        <v>33</v>
      </c>
      <c r="AG1874" s="128" t="s">
        <v>872</v>
      </c>
      <c r="AH1874" s="108" t="s">
        <v>31</v>
      </c>
      <c r="AI1874" s="128" t="s">
        <v>141</v>
      </c>
      <c r="AJ1874" s="129" t="s">
        <v>89</v>
      </c>
      <c r="AK1874" s="129">
        <v>2</v>
      </c>
      <c r="AL1874" s="3" t="s">
        <v>362</v>
      </c>
      <c r="AM1874" s="117">
        <v>2</v>
      </c>
      <c r="AP1874" s="129" t="s">
        <v>93</v>
      </c>
      <c r="AR1874" s="128" t="s">
        <v>67</v>
      </c>
      <c r="AS1874" s="129" t="s">
        <v>45</v>
      </c>
      <c r="BC1874" s="129" t="s">
        <v>38</v>
      </c>
      <c r="BF1874" s="111">
        <f t="shared" si="1411"/>
        <v>31</v>
      </c>
      <c r="BG1874" s="111">
        <f t="shared" si="1412"/>
        <v>31</v>
      </c>
      <c r="BH1874" s="111">
        <f t="shared" si="1387"/>
        <v>31</v>
      </c>
      <c r="BI1874" s="111">
        <f t="shared" si="1388"/>
        <v>23.05464480874317</v>
      </c>
      <c r="BJ1874" s="129">
        <f t="shared" si="1406"/>
        <v>0</v>
      </c>
      <c r="BK1874" s="129">
        <f t="shared" si="1389"/>
        <v>0</v>
      </c>
      <c r="BL1874" s="129" t="str">
        <f t="shared" si="1372"/>
        <v>CONVICTION</v>
      </c>
      <c r="BM1874" s="129" t="str">
        <f t="shared" si="1407"/>
        <v>NONE</v>
      </c>
      <c r="BN1874" s="129" t="s">
        <v>566</v>
      </c>
      <c r="BP1874" s="137" t="str">
        <f t="shared" si="1394"/>
        <v>CONVICTION</v>
      </c>
      <c r="BQ1874" s="128" t="str">
        <f t="shared" si="1395"/>
        <v>Y</v>
      </c>
      <c r="BR1874" s="129" t="str">
        <f t="shared" si="1396"/>
        <v>DETAINED</v>
      </c>
      <c r="BS1874" s="129" t="str">
        <f t="shared" si="1397"/>
        <v>DISPOSED</v>
      </c>
      <c r="BT1874" s="129" t="str">
        <f t="shared" si="1398"/>
        <v>N</v>
      </c>
      <c r="BU1874" s="109">
        <f t="shared" si="1399"/>
        <v>1</v>
      </c>
      <c r="BV1874" s="109">
        <f t="shared" si="1400"/>
        <v>1</v>
      </c>
      <c r="BW1874" s="109">
        <f t="shared" si="1414"/>
        <v>0</v>
      </c>
      <c r="BX1874" s="111">
        <f t="shared" si="1401"/>
        <v>0</v>
      </c>
      <c r="BY1874" s="129">
        <f t="shared" si="1402"/>
        <v>-31</v>
      </c>
      <c r="BZ1874" s="111">
        <f t="shared" si="1403"/>
        <v>0</v>
      </c>
      <c r="CA1874" s="138">
        <f t="shared" si="1404"/>
        <v>31</v>
      </c>
      <c r="CB1874" s="111" t="e">
        <f t="shared" si="1413"/>
        <v>#VALUE!</v>
      </c>
      <c r="CC1874" s="129">
        <f>G1874-I1874+1</f>
        <v>31</v>
      </c>
      <c r="CD1874" s="129">
        <f>G1874-J1874</f>
        <v>0</v>
      </c>
      <c r="CG1874" s="129" t="str">
        <f t="shared" si="1405"/>
        <v>Y</v>
      </c>
      <c r="CI1874" s="129" t="str">
        <f t="shared" si="1408"/>
        <v>31-60 DAYS</v>
      </c>
      <c r="CJ1874" s="137">
        <f t="shared" si="1409"/>
        <v>3</v>
      </c>
      <c r="CK1874" s="129" t="str">
        <f t="shared" si="1410"/>
        <v>Booked</v>
      </c>
    </row>
    <row r="1875" spans="1:89" ht="15.75" customHeight="1" x14ac:dyDescent="0.25">
      <c r="A1875" s="111">
        <v>2968</v>
      </c>
      <c r="B1875" s="128" t="str">
        <f t="shared" si="1391"/>
        <v>N</v>
      </c>
      <c r="C1875" s="128" t="str">
        <f t="shared" si="1392"/>
        <v>N</v>
      </c>
      <c r="D1875" s="117">
        <v>2321796</v>
      </c>
      <c r="E1875" s="135">
        <f t="shared" si="1393"/>
        <v>6</v>
      </c>
      <c r="F1875" s="124">
        <v>41018</v>
      </c>
      <c r="G1875" s="125">
        <v>41116</v>
      </c>
      <c r="H1875" s="117">
        <v>2321796</v>
      </c>
      <c r="I1875" s="124">
        <v>41019</v>
      </c>
      <c r="J1875" s="124">
        <v>41116</v>
      </c>
      <c r="K1875" s="126">
        <v>15000</v>
      </c>
      <c r="L1875" s="127" t="s">
        <v>571</v>
      </c>
      <c r="N1875" s="129" t="str">
        <f>IF(M1875&gt;1/1/1,"Y","N")</f>
        <v>N</v>
      </c>
      <c r="O1875" s="128" t="s">
        <v>917</v>
      </c>
      <c r="P1875" s="129" t="s">
        <v>39</v>
      </c>
      <c r="Q1875" s="111">
        <f t="shared" si="1385"/>
        <v>98</v>
      </c>
      <c r="R1875" s="111">
        <f t="shared" si="1415"/>
        <v>99</v>
      </c>
      <c r="S1875" s="129">
        <v>0</v>
      </c>
      <c r="T1875" s="129">
        <v>0</v>
      </c>
      <c r="W1875" s="111"/>
      <c r="AC1875" s="130"/>
      <c r="AD1875" s="130">
        <v>29927</v>
      </c>
      <c r="AE1875" s="128" t="s">
        <v>32</v>
      </c>
      <c r="AF1875" s="128" t="s">
        <v>33</v>
      </c>
      <c r="AG1875" s="128" t="s">
        <v>872</v>
      </c>
      <c r="AH1875" s="108" t="s">
        <v>31</v>
      </c>
      <c r="AI1875" s="128" t="s">
        <v>72</v>
      </c>
      <c r="AJ1875" s="129" t="s">
        <v>89</v>
      </c>
      <c r="AK1875" s="129">
        <v>4</v>
      </c>
      <c r="AL1875" s="3" t="s">
        <v>362</v>
      </c>
      <c r="AM1875" s="117">
        <v>3</v>
      </c>
      <c r="AP1875" s="129" t="s">
        <v>121</v>
      </c>
      <c r="AR1875" s="128" t="s">
        <v>44</v>
      </c>
      <c r="AS1875" s="129" t="s">
        <v>122</v>
      </c>
      <c r="BC1875" s="129" t="s">
        <v>38</v>
      </c>
      <c r="BF1875" s="111">
        <f t="shared" si="1411"/>
        <v>98</v>
      </c>
      <c r="BG1875" s="111">
        <f t="shared" si="1412"/>
        <v>98</v>
      </c>
      <c r="BH1875" s="111">
        <f t="shared" si="1387"/>
        <v>99</v>
      </c>
      <c r="BI1875" s="111">
        <f t="shared" si="1388"/>
        <v>30.303278688524589</v>
      </c>
      <c r="BJ1875" s="129">
        <f t="shared" si="1406"/>
        <v>0</v>
      </c>
      <c r="BK1875" s="129">
        <f t="shared" si="1389"/>
        <v>0</v>
      </c>
      <c r="BL1875" s="129" t="str">
        <f t="shared" si="1372"/>
        <v>CONVICTION</v>
      </c>
      <c r="BM1875" s="129" t="str">
        <f t="shared" si="1407"/>
        <v>NONE</v>
      </c>
      <c r="BN1875" s="129" t="s">
        <v>566</v>
      </c>
      <c r="BP1875" s="137" t="str">
        <f t="shared" si="1394"/>
        <v>CONVICTION</v>
      </c>
      <c r="BQ1875" s="128" t="str">
        <f t="shared" si="1395"/>
        <v>Y</v>
      </c>
      <c r="BR1875" s="129" t="str">
        <f t="shared" si="1396"/>
        <v>DETAINED</v>
      </c>
      <c r="BS1875" s="129" t="str">
        <f t="shared" si="1397"/>
        <v>DISPOSED</v>
      </c>
      <c r="BT1875" s="129" t="str">
        <f t="shared" si="1398"/>
        <v>N</v>
      </c>
      <c r="BU1875" s="109">
        <f t="shared" si="1399"/>
        <v>0.98989898989898994</v>
      </c>
      <c r="BV1875" s="109">
        <f t="shared" si="1400"/>
        <v>1</v>
      </c>
      <c r="BW1875" s="109">
        <f t="shared" si="1414"/>
        <v>1.0101010101010055E-2</v>
      </c>
      <c r="BX1875" s="111">
        <f t="shared" si="1401"/>
        <v>0</v>
      </c>
      <c r="BY1875" s="129">
        <f t="shared" si="1402"/>
        <v>-98</v>
      </c>
      <c r="BZ1875" s="111">
        <f t="shared" si="1403"/>
        <v>0</v>
      </c>
      <c r="CA1875" s="138">
        <f t="shared" si="1404"/>
        <v>98</v>
      </c>
      <c r="CB1875" s="111" t="e">
        <f t="shared" si="1413"/>
        <v>#VALUE!</v>
      </c>
      <c r="CC1875" s="129">
        <f>G1875-I1875+1</f>
        <v>98</v>
      </c>
      <c r="CD1875" s="129">
        <f>G1875-J1875</f>
        <v>0</v>
      </c>
      <c r="CG1875" s="129" t="str">
        <f t="shared" si="1405"/>
        <v>N</v>
      </c>
      <c r="CI1875" s="129" t="str">
        <f t="shared" si="1408"/>
        <v>91-120 DAYS</v>
      </c>
      <c r="CJ1875" s="137">
        <f t="shared" si="1409"/>
        <v>0</v>
      </c>
      <c r="CK1875" s="129" t="str">
        <f t="shared" si="1410"/>
        <v>Booked</v>
      </c>
    </row>
    <row r="1876" spans="1:89" ht="15" customHeight="1" x14ac:dyDescent="0.25">
      <c r="A1876" s="111">
        <v>723</v>
      </c>
      <c r="B1876" s="128" t="str">
        <f t="shared" si="1391"/>
        <v>N</v>
      </c>
      <c r="C1876" s="128" t="str">
        <f t="shared" si="1392"/>
        <v>N</v>
      </c>
      <c r="D1876" s="117">
        <v>2322286</v>
      </c>
      <c r="E1876" s="135">
        <f t="shared" si="1393"/>
        <v>4</v>
      </c>
      <c r="F1876" s="124">
        <v>40937</v>
      </c>
      <c r="G1876" s="125">
        <v>41199</v>
      </c>
      <c r="H1876" s="117">
        <v>2322286</v>
      </c>
      <c r="I1876" s="124">
        <v>40937</v>
      </c>
      <c r="J1876" s="124">
        <v>40938</v>
      </c>
      <c r="K1876" s="126">
        <v>5000</v>
      </c>
      <c r="L1876" s="127" t="s">
        <v>569</v>
      </c>
      <c r="M1876" s="125">
        <v>40938</v>
      </c>
      <c r="N1876" s="129" t="str">
        <f>IF(M1876&gt;1/1/1,"Y","N")</f>
        <v>Y</v>
      </c>
      <c r="O1876" s="128" t="s">
        <v>76</v>
      </c>
      <c r="P1876" s="129" t="s">
        <v>39</v>
      </c>
      <c r="Q1876" s="111">
        <f t="shared" si="1385"/>
        <v>2</v>
      </c>
      <c r="R1876" s="111">
        <f t="shared" si="1415"/>
        <v>263</v>
      </c>
      <c r="S1876" s="129">
        <v>1</v>
      </c>
      <c r="T1876" s="129">
        <v>4</v>
      </c>
      <c r="W1876" s="111"/>
      <c r="AC1876" s="130"/>
      <c r="AD1876" s="130">
        <v>32757</v>
      </c>
      <c r="AE1876" s="128" t="s">
        <v>32</v>
      </c>
      <c r="AF1876" s="128" t="s">
        <v>33</v>
      </c>
      <c r="AG1876" s="128" t="s">
        <v>872</v>
      </c>
      <c r="AH1876" s="108" t="s">
        <v>31</v>
      </c>
      <c r="AI1876" s="128" t="s">
        <v>85</v>
      </c>
      <c r="AJ1876" s="129" t="s">
        <v>89</v>
      </c>
      <c r="AK1876" s="129">
        <v>3</v>
      </c>
      <c r="AL1876" s="3" t="s">
        <v>991</v>
      </c>
      <c r="AO1876" s="128">
        <v>14</v>
      </c>
      <c r="AP1876" s="129" t="s">
        <v>136</v>
      </c>
      <c r="AR1876" s="128" t="s">
        <v>67</v>
      </c>
      <c r="AS1876" s="129" t="s">
        <v>64</v>
      </c>
      <c r="BC1876" s="129" t="s">
        <v>38</v>
      </c>
      <c r="BF1876" s="111">
        <f t="shared" si="1411"/>
        <v>2</v>
      </c>
      <c r="BG1876" s="111">
        <f t="shared" si="1412"/>
        <v>263</v>
      </c>
      <c r="BH1876" s="111">
        <f t="shared" si="1387"/>
        <v>263</v>
      </c>
      <c r="BI1876" s="111">
        <f t="shared" si="1388"/>
        <v>22.349726775956285</v>
      </c>
      <c r="BJ1876" s="129">
        <f>(G1876-J1876)+(M1876-G1876)</f>
        <v>0</v>
      </c>
      <c r="BK1876" s="129">
        <f t="shared" si="1389"/>
        <v>-261</v>
      </c>
      <c r="BL1876" s="129" t="str">
        <f t="shared" si="1372"/>
        <v>CONVICTION</v>
      </c>
      <c r="BM1876" s="129" t="s">
        <v>76</v>
      </c>
      <c r="BN1876" s="129" t="s">
        <v>88</v>
      </c>
      <c r="BP1876" s="137" t="str">
        <f t="shared" si="1394"/>
        <v>CONVICTION</v>
      </c>
      <c r="BQ1876" s="128" t="str">
        <f t="shared" si="1395"/>
        <v>Y</v>
      </c>
      <c r="BR1876" s="129" t="str">
        <f>IF(J1876&lt;G1876,"ON BOND",0)</f>
        <v>ON BOND</v>
      </c>
      <c r="BS1876" s="129" t="str">
        <f t="shared" si="1397"/>
        <v>DISPOSED</v>
      </c>
      <c r="BT1876" s="129" t="str">
        <f t="shared" si="1398"/>
        <v>Y</v>
      </c>
      <c r="BU1876" s="109">
        <f t="shared" si="1399"/>
        <v>7.6045627376425855E-3</v>
      </c>
      <c r="BV1876" s="109">
        <f t="shared" si="1400"/>
        <v>7.6045627376425855E-3</v>
      </c>
      <c r="BW1876" s="109">
        <f t="shared" si="1414"/>
        <v>0</v>
      </c>
      <c r="BX1876" s="111">
        <f t="shared" si="1401"/>
        <v>0</v>
      </c>
      <c r="BY1876" s="129">
        <f t="shared" si="1402"/>
        <v>-2</v>
      </c>
      <c r="BZ1876" s="111">
        <f t="shared" si="1403"/>
        <v>0</v>
      </c>
      <c r="CA1876" s="138">
        <f t="shared" si="1404"/>
        <v>2</v>
      </c>
      <c r="CB1876" s="111" t="e">
        <f t="shared" si="1413"/>
        <v>#VALUE!</v>
      </c>
      <c r="CC1876" s="129">
        <f>M1876-I1876+1</f>
        <v>2</v>
      </c>
      <c r="CD1876" s="111">
        <f>CC1876-BF1876</f>
        <v>0</v>
      </c>
      <c r="CG1876" s="129" t="str">
        <f t="shared" si="1405"/>
        <v>Y</v>
      </c>
      <c r="CI1876" s="129" t="str">
        <f t="shared" si="1408"/>
        <v>0-10 DAYS</v>
      </c>
      <c r="CJ1876" s="137">
        <f t="shared" si="1409"/>
        <v>1</v>
      </c>
      <c r="CK1876" s="129" t="str">
        <f t="shared" si="1410"/>
        <v>Booked</v>
      </c>
    </row>
    <row r="1877" spans="1:89" ht="15" customHeight="1" x14ac:dyDescent="0.25">
      <c r="A1877" s="111">
        <v>1287</v>
      </c>
      <c r="B1877" s="128" t="str">
        <f t="shared" si="1391"/>
        <v>N</v>
      </c>
      <c r="C1877" s="128" t="str">
        <f t="shared" si="1392"/>
        <v>N</v>
      </c>
      <c r="D1877" s="117">
        <v>2322392</v>
      </c>
      <c r="E1877" s="135">
        <f t="shared" si="1393"/>
        <v>6</v>
      </c>
      <c r="F1877" s="124">
        <v>40956</v>
      </c>
      <c r="G1877" s="125">
        <v>40963</v>
      </c>
      <c r="H1877" s="117">
        <v>2322392</v>
      </c>
      <c r="I1877" s="124">
        <v>40956</v>
      </c>
      <c r="J1877" s="124">
        <v>40963</v>
      </c>
      <c r="K1877" s="126">
        <v>15000</v>
      </c>
      <c r="L1877" s="127" t="s">
        <v>571</v>
      </c>
      <c r="N1877" s="129" t="str">
        <f>IF(M1877&gt;1/1/1,"Y","N")</f>
        <v>N</v>
      </c>
      <c r="O1877" s="128" t="s">
        <v>917</v>
      </c>
      <c r="P1877" s="129" t="s">
        <v>39</v>
      </c>
      <c r="Q1877" s="111">
        <f t="shared" si="1385"/>
        <v>8</v>
      </c>
      <c r="R1877" s="111">
        <f t="shared" si="1415"/>
        <v>8</v>
      </c>
      <c r="S1877" s="129">
        <v>3</v>
      </c>
      <c r="T1877" s="129">
        <v>5</v>
      </c>
      <c r="U1877" s="129">
        <v>2</v>
      </c>
      <c r="W1877" s="111"/>
      <c r="AC1877" s="130"/>
      <c r="AD1877" s="130">
        <v>33061</v>
      </c>
      <c r="AE1877" s="128" t="s">
        <v>32</v>
      </c>
      <c r="AF1877" s="128" t="s">
        <v>33</v>
      </c>
      <c r="AG1877" s="128" t="s">
        <v>872</v>
      </c>
      <c r="AH1877" s="108" t="s">
        <v>58</v>
      </c>
      <c r="AI1877" s="128" t="s">
        <v>65</v>
      </c>
      <c r="AJ1877" s="129" t="s">
        <v>89</v>
      </c>
      <c r="AK1877" s="129">
        <v>2</v>
      </c>
      <c r="AL1877" s="3" t="s">
        <v>362</v>
      </c>
      <c r="AM1877" s="117">
        <v>3</v>
      </c>
      <c r="AP1877" s="129" t="s">
        <v>60</v>
      </c>
      <c r="AR1877" s="128" t="s">
        <v>44</v>
      </c>
      <c r="AS1877" s="129" t="s">
        <v>61</v>
      </c>
      <c r="BC1877" s="129" t="s">
        <v>38</v>
      </c>
      <c r="BF1877" s="111">
        <f t="shared" si="1411"/>
        <v>8</v>
      </c>
      <c r="BG1877" s="111">
        <f t="shared" si="1412"/>
        <v>8</v>
      </c>
      <c r="BH1877" s="111">
        <f t="shared" si="1387"/>
        <v>8</v>
      </c>
      <c r="BI1877" s="111">
        <f t="shared" si="1388"/>
        <v>21.571038251366119</v>
      </c>
      <c r="BJ1877" s="129">
        <f t="shared" si="1406"/>
        <v>0</v>
      </c>
      <c r="BK1877" s="129">
        <f t="shared" si="1389"/>
        <v>0</v>
      </c>
      <c r="BL1877" s="129" t="str">
        <f t="shared" ref="BL1877:BL1940" si="1416">IF(OR(AL1877="AQUITTAL",AL1877="DISMISSED",AL1877="FINE",AL1877="NO BILL"),"NO CONVICTION",IF(OR(AL1877="HCJ",AL1877="MHH",AL1877="PROBATION",AL1877="STJ",AL1877="TDC"),"CONVICTION",IF(AL1877="DEFERRED","DEFERRED",0)))</f>
        <v>CONVICTION</v>
      </c>
      <c r="BM1877" s="129" t="str">
        <f t="shared" si="1407"/>
        <v>NONE</v>
      </c>
      <c r="BN1877" s="129" t="s">
        <v>566</v>
      </c>
      <c r="BP1877" s="137" t="str">
        <f t="shared" si="1394"/>
        <v>CONVICTION</v>
      </c>
      <c r="BQ1877" s="128" t="str">
        <f t="shared" si="1395"/>
        <v>Y</v>
      </c>
      <c r="BR1877" s="129" t="str">
        <f t="shared" si="1396"/>
        <v>DETAINED</v>
      </c>
      <c r="BS1877" s="129" t="str">
        <f t="shared" si="1397"/>
        <v>DISPOSED</v>
      </c>
      <c r="BT1877" s="129" t="str">
        <f t="shared" si="1398"/>
        <v>Y</v>
      </c>
      <c r="BU1877" s="109">
        <f t="shared" si="1399"/>
        <v>1</v>
      </c>
      <c r="BV1877" s="109">
        <f t="shared" si="1400"/>
        <v>1</v>
      </c>
      <c r="BW1877" s="109">
        <f t="shared" si="1414"/>
        <v>0</v>
      </c>
      <c r="BX1877" s="111">
        <f t="shared" si="1401"/>
        <v>0</v>
      </c>
      <c r="BY1877" s="129">
        <f t="shared" si="1402"/>
        <v>-8</v>
      </c>
      <c r="BZ1877" s="111">
        <f t="shared" si="1403"/>
        <v>0</v>
      </c>
      <c r="CA1877" s="138">
        <f t="shared" si="1404"/>
        <v>8</v>
      </c>
      <c r="CB1877" s="111" t="e">
        <f t="shared" si="1413"/>
        <v>#VALUE!</v>
      </c>
      <c r="CC1877" s="129">
        <f>G1877-I1877+1</f>
        <v>8</v>
      </c>
      <c r="CD1877" s="129">
        <f>G1877-J1877</f>
        <v>0</v>
      </c>
      <c r="CG1877" s="129" t="str">
        <f t="shared" si="1405"/>
        <v>Y</v>
      </c>
      <c r="CI1877" s="129" t="str">
        <f t="shared" si="1408"/>
        <v>0-10 DAYS</v>
      </c>
      <c r="CJ1877" s="137">
        <f t="shared" si="1409"/>
        <v>1</v>
      </c>
      <c r="CK1877" s="129" t="str">
        <f t="shared" si="1410"/>
        <v>Booked</v>
      </c>
    </row>
    <row r="1878" spans="1:89" ht="15" customHeight="1" x14ac:dyDescent="0.25">
      <c r="A1878" s="111">
        <v>331</v>
      </c>
      <c r="B1878" s="128" t="str">
        <f t="shared" si="1391"/>
        <v>N</v>
      </c>
      <c r="C1878" s="128" t="str">
        <f t="shared" si="1392"/>
        <v>N</v>
      </c>
      <c r="D1878" s="117">
        <v>2322625</v>
      </c>
      <c r="E1878" s="135">
        <f t="shared" si="1393"/>
        <v>6</v>
      </c>
      <c r="F1878" s="124">
        <v>40921</v>
      </c>
      <c r="G1878" s="125">
        <v>41813</v>
      </c>
      <c r="H1878" s="117">
        <v>2322625</v>
      </c>
      <c r="I1878" s="124">
        <v>40925</v>
      </c>
      <c r="J1878" s="124"/>
      <c r="K1878" s="126" t="s">
        <v>564</v>
      </c>
      <c r="L1878" s="127" t="s">
        <v>564</v>
      </c>
      <c r="M1878" s="125"/>
      <c r="N1878" s="129" t="s">
        <v>566</v>
      </c>
      <c r="O1878" s="128" t="s">
        <v>917</v>
      </c>
      <c r="P1878" s="129" t="s">
        <v>39</v>
      </c>
      <c r="Q1878" s="111">
        <v>889</v>
      </c>
      <c r="R1878" s="111">
        <f t="shared" si="1415"/>
        <v>893</v>
      </c>
      <c r="S1878" s="129">
        <v>1</v>
      </c>
      <c r="T1878" s="129">
        <v>2</v>
      </c>
      <c r="U1878" s="129">
        <v>1</v>
      </c>
      <c r="W1878" s="111"/>
      <c r="AC1878" s="130"/>
      <c r="AD1878" s="130">
        <v>33167</v>
      </c>
      <c r="AE1878" s="128" t="s">
        <v>32</v>
      </c>
      <c r="AF1878" s="128" t="s">
        <v>33</v>
      </c>
      <c r="AG1878" s="128" t="s">
        <v>872</v>
      </c>
      <c r="AH1878" s="108" t="s">
        <v>58</v>
      </c>
      <c r="AI1878" s="128" t="s">
        <v>95</v>
      </c>
      <c r="AJ1878" s="129" t="s">
        <v>89</v>
      </c>
      <c r="AK1878" s="129">
        <v>12</v>
      </c>
      <c r="AL1878" s="3" t="s">
        <v>362</v>
      </c>
      <c r="AM1878" s="117">
        <v>22</v>
      </c>
      <c r="AP1878" s="129" t="s">
        <v>162</v>
      </c>
      <c r="AR1878" s="128" t="s">
        <v>92</v>
      </c>
      <c r="AS1878" s="129" t="s">
        <v>163</v>
      </c>
      <c r="AT1878" s="129" t="s">
        <v>1127</v>
      </c>
      <c r="BC1878" s="129" t="s">
        <v>38</v>
      </c>
      <c r="BF1878" s="111">
        <v>888</v>
      </c>
      <c r="BG1878" s="111">
        <f>IF(G1878&gt;1/1/1900,((G1878+1)-I1878),"STILL OPEN")</f>
        <v>889</v>
      </c>
      <c r="BH1878" s="111">
        <f t="shared" si="1387"/>
        <v>893</v>
      </c>
      <c r="BI1878" s="111">
        <f t="shared" si="1388"/>
        <v>21.185792349726775</v>
      </c>
      <c r="BJ1878" s="129">
        <f t="shared" si="1406"/>
        <v>41813</v>
      </c>
      <c r="BK1878" s="129">
        <f t="shared" si="1389"/>
        <v>-41813</v>
      </c>
      <c r="BL1878" s="129" t="str">
        <f t="shared" si="1416"/>
        <v>CONVICTION</v>
      </c>
      <c r="BM1878" s="129" t="str">
        <f t="shared" si="1407"/>
        <v>NONE</v>
      </c>
      <c r="BN1878" s="129" t="s">
        <v>566</v>
      </c>
      <c r="BP1878" s="137" t="str">
        <f t="shared" si="1394"/>
        <v>CONVICTION</v>
      </c>
      <c r="BQ1878" s="128" t="str">
        <f t="shared" si="1395"/>
        <v>Y</v>
      </c>
      <c r="BR1878" s="129" t="s">
        <v>574</v>
      </c>
      <c r="BS1878" s="129" t="str">
        <f t="shared" si="1397"/>
        <v>DISPOSED</v>
      </c>
      <c r="BT1878" s="129" t="str">
        <f t="shared" si="1398"/>
        <v>Y</v>
      </c>
      <c r="BU1878" s="109">
        <f>IFERROR(Q1878/R1878,BR1878)</f>
        <v>0.99552071668533038</v>
      </c>
      <c r="BV1878" s="139">
        <v>0.99550000000000005</v>
      </c>
      <c r="BW1878" s="109">
        <v>0</v>
      </c>
      <c r="BX1878" s="111">
        <f t="shared" si="1401"/>
        <v>1</v>
      </c>
      <c r="BY1878" s="129">
        <f t="shared" si="1402"/>
        <v>40924</v>
      </c>
      <c r="BZ1878" s="111">
        <f t="shared" si="1403"/>
        <v>41812</v>
      </c>
      <c r="CA1878" s="138">
        <f t="shared" si="1404"/>
        <v>889</v>
      </c>
      <c r="CB1878" s="111" t="e">
        <f t="shared" si="1413"/>
        <v>#VALUE!</v>
      </c>
      <c r="CC1878" s="129">
        <v>889</v>
      </c>
      <c r="CG1878" s="129" t="str">
        <f t="shared" si="1405"/>
        <v>Y</v>
      </c>
      <c r="CH1878" s="129" t="e">
        <v>#N/A</v>
      </c>
      <c r="CI1878" s="129" t="str">
        <f t="shared" si="1408"/>
        <v>&gt;2YRS&lt;3YRS</v>
      </c>
      <c r="CJ1878" s="137">
        <f t="shared" si="1409"/>
        <v>8</v>
      </c>
      <c r="CK1878" s="129" t="str">
        <f t="shared" si="1410"/>
        <v>Booked</v>
      </c>
    </row>
    <row r="1879" spans="1:89" ht="15.75" customHeight="1" x14ac:dyDescent="0.25">
      <c r="A1879" s="111">
        <v>3081</v>
      </c>
      <c r="B1879" s="128" t="str">
        <f t="shared" si="1391"/>
        <v>N</v>
      </c>
      <c r="C1879" s="128" t="str">
        <f t="shared" si="1392"/>
        <v>N</v>
      </c>
      <c r="D1879" s="117">
        <v>2322832</v>
      </c>
      <c r="E1879" s="135">
        <f t="shared" si="1393"/>
        <v>6</v>
      </c>
      <c r="F1879" s="124">
        <v>41023</v>
      </c>
      <c r="G1879" s="125">
        <v>41438</v>
      </c>
      <c r="H1879" s="117">
        <v>2322832</v>
      </c>
      <c r="I1879" s="124">
        <v>41023</v>
      </c>
      <c r="J1879" s="124">
        <v>41438</v>
      </c>
      <c r="K1879" s="126">
        <v>50000</v>
      </c>
      <c r="L1879" s="129" t="s">
        <v>572</v>
      </c>
      <c r="N1879" s="129" t="str">
        <f>IF(M1879&gt;1/1/1,"Y","N")</f>
        <v>N</v>
      </c>
      <c r="O1879" s="128" t="s">
        <v>917</v>
      </c>
      <c r="P1879" s="129" t="s">
        <v>39</v>
      </c>
      <c r="Q1879" s="111">
        <f t="shared" ref="Q1879:Q1910" si="1417">BF1879</f>
        <v>416</v>
      </c>
      <c r="R1879" s="111">
        <f t="shared" si="1415"/>
        <v>416</v>
      </c>
      <c r="S1879" s="129">
        <v>3</v>
      </c>
      <c r="T1879" s="129">
        <v>3</v>
      </c>
      <c r="U1879" s="129">
        <v>1</v>
      </c>
      <c r="W1879" s="111"/>
      <c r="AC1879" s="130"/>
      <c r="AD1879" s="130">
        <v>32713</v>
      </c>
      <c r="AE1879" s="128" t="s">
        <v>32</v>
      </c>
      <c r="AF1879" s="128" t="s">
        <v>33</v>
      </c>
      <c r="AG1879" s="128" t="s">
        <v>872</v>
      </c>
      <c r="AH1879" s="108" t="s">
        <v>58</v>
      </c>
      <c r="AI1879" s="128" t="s">
        <v>114</v>
      </c>
      <c r="AJ1879" s="129" t="s">
        <v>89</v>
      </c>
      <c r="AK1879" s="129">
        <v>14</v>
      </c>
      <c r="AL1879" s="3" t="s">
        <v>362</v>
      </c>
      <c r="AM1879" s="117">
        <v>2</v>
      </c>
      <c r="AP1879" s="129" t="s">
        <v>105</v>
      </c>
      <c r="AR1879" s="128" t="s">
        <v>92</v>
      </c>
      <c r="AS1879" s="129" t="s">
        <v>106</v>
      </c>
      <c r="BC1879" s="129" t="s">
        <v>38</v>
      </c>
      <c r="BF1879" s="111">
        <f t="shared" si="1411"/>
        <v>416</v>
      </c>
      <c r="BG1879" s="111">
        <f t="shared" si="1412"/>
        <v>416</v>
      </c>
      <c r="BH1879" s="111">
        <f t="shared" si="1387"/>
        <v>416</v>
      </c>
      <c r="BI1879" s="111">
        <f t="shared" si="1388"/>
        <v>22.704918032786885</v>
      </c>
      <c r="BJ1879" s="129">
        <f t="shared" si="1406"/>
        <v>0</v>
      </c>
      <c r="BK1879" s="129">
        <f t="shared" si="1389"/>
        <v>0</v>
      </c>
      <c r="BL1879" s="129" t="str">
        <f t="shared" si="1416"/>
        <v>CONVICTION</v>
      </c>
      <c r="BM1879" s="129" t="str">
        <f t="shared" si="1407"/>
        <v>NONE</v>
      </c>
      <c r="BN1879" s="129" t="s">
        <v>566</v>
      </c>
      <c r="BP1879" s="137" t="str">
        <f t="shared" si="1394"/>
        <v>CONVICTION</v>
      </c>
      <c r="BQ1879" s="128" t="str">
        <f t="shared" si="1395"/>
        <v>Y</v>
      </c>
      <c r="BR1879" s="129" t="str">
        <f t="shared" si="1396"/>
        <v>DETAINED</v>
      </c>
      <c r="BS1879" s="129" t="str">
        <f t="shared" si="1397"/>
        <v>DISPOSED</v>
      </c>
      <c r="BT1879" s="129" t="str">
        <f t="shared" si="1398"/>
        <v>Y</v>
      </c>
      <c r="BU1879" s="109">
        <f t="shared" si="1399"/>
        <v>1</v>
      </c>
      <c r="BV1879" s="109">
        <f t="shared" si="1400"/>
        <v>1</v>
      </c>
      <c r="BW1879" s="109">
        <f t="shared" ref="BW1879:BW1884" si="1418">BV1879-BU1879</f>
        <v>0</v>
      </c>
      <c r="BX1879" s="111">
        <f t="shared" si="1401"/>
        <v>0</v>
      </c>
      <c r="BY1879" s="129">
        <f t="shared" si="1402"/>
        <v>-416</v>
      </c>
      <c r="BZ1879" s="111">
        <f t="shared" si="1403"/>
        <v>0</v>
      </c>
      <c r="CA1879" s="138">
        <f t="shared" si="1404"/>
        <v>416</v>
      </c>
      <c r="CB1879" s="111" t="e">
        <f t="shared" si="1413"/>
        <v>#VALUE!</v>
      </c>
      <c r="CC1879" s="129">
        <f>G1879-I1879+1</f>
        <v>416</v>
      </c>
      <c r="CD1879" s="129">
        <f>G1879-J1879</f>
        <v>0</v>
      </c>
      <c r="CG1879" s="129" t="str">
        <f t="shared" si="1405"/>
        <v>Y</v>
      </c>
      <c r="CI1879" s="129" t="str">
        <f t="shared" si="1408"/>
        <v xml:space="preserve"> &gt;1YRS&lt;2YRS</v>
      </c>
      <c r="CJ1879" s="137">
        <f t="shared" si="1409"/>
        <v>0</v>
      </c>
      <c r="CK1879" s="129" t="str">
        <f t="shared" si="1410"/>
        <v>Booked</v>
      </c>
    </row>
    <row r="1880" spans="1:89" ht="15" customHeight="1" x14ac:dyDescent="0.25">
      <c r="A1880" s="111">
        <v>1049</v>
      </c>
      <c r="B1880" s="128" t="str">
        <f t="shared" si="1391"/>
        <v>N</v>
      </c>
      <c r="C1880" s="128" t="str">
        <f t="shared" si="1392"/>
        <v>N</v>
      </c>
      <c r="D1880" s="117">
        <v>2323035</v>
      </c>
      <c r="E1880" s="135">
        <f t="shared" si="1393"/>
        <v>1</v>
      </c>
      <c r="F1880" s="124">
        <v>40947</v>
      </c>
      <c r="G1880" s="125">
        <v>41144</v>
      </c>
      <c r="H1880" s="117">
        <v>2323035</v>
      </c>
      <c r="I1880" s="124">
        <v>40948</v>
      </c>
      <c r="J1880" s="125">
        <v>41144</v>
      </c>
      <c r="K1880" s="126">
        <v>20000</v>
      </c>
      <c r="L1880" s="127" t="s">
        <v>571</v>
      </c>
      <c r="N1880" s="129" t="str">
        <f>IF(M1880&gt;1/1/1,"Y","N")</f>
        <v>N</v>
      </c>
      <c r="O1880" s="128" t="s">
        <v>917</v>
      </c>
      <c r="P1880" s="129" t="s">
        <v>55</v>
      </c>
      <c r="Q1880" s="111">
        <f t="shared" si="1417"/>
        <v>197</v>
      </c>
      <c r="R1880" s="111">
        <f t="shared" si="1415"/>
        <v>198</v>
      </c>
      <c r="S1880" s="129">
        <v>3</v>
      </c>
      <c r="T1880" s="129">
        <v>4</v>
      </c>
      <c r="U1880" s="129">
        <v>2</v>
      </c>
      <c r="W1880" s="111"/>
      <c r="AB1880" s="131" t="s">
        <v>112</v>
      </c>
      <c r="AC1880" s="130"/>
      <c r="AD1880" s="130">
        <v>33106</v>
      </c>
      <c r="AE1880" s="128" t="s">
        <v>32</v>
      </c>
      <c r="AF1880" s="128" t="s">
        <v>40</v>
      </c>
      <c r="AG1880" s="128" t="s">
        <v>41</v>
      </c>
      <c r="AH1880" s="108" t="s">
        <v>31</v>
      </c>
      <c r="AI1880" s="128" t="s">
        <v>141</v>
      </c>
      <c r="AJ1880" s="32" t="s">
        <v>537</v>
      </c>
      <c r="AK1880" s="129">
        <v>6</v>
      </c>
      <c r="AL1880" s="3" t="s">
        <v>55</v>
      </c>
      <c r="AP1880" s="129" t="s">
        <v>56</v>
      </c>
      <c r="AR1880" s="128" t="s">
        <v>50</v>
      </c>
      <c r="AS1880" s="129" t="s">
        <v>57</v>
      </c>
      <c r="BC1880" s="129" t="s">
        <v>38</v>
      </c>
      <c r="BF1880" s="111">
        <f t="shared" si="1411"/>
        <v>197</v>
      </c>
      <c r="BG1880" s="111">
        <f t="shared" si="1412"/>
        <v>197</v>
      </c>
      <c r="BH1880" s="111">
        <f t="shared" si="1387"/>
        <v>198</v>
      </c>
      <c r="BI1880" s="111">
        <f t="shared" si="1388"/>
        <v>21.423497267759561</v>
      </c>
      <c r="BJ1880" s="129">
        <f t="shared" si="1406"/>
        <v>0</v>
      </c>
      <c r="BK1880" s="129">
        <f t="shared" si="1389"/>
        <v>0</v>
      </c>
      <c r="BL1880" s="129" t="str">
        <f t="shared" si="1416"/>
        <v>NO CONVICTION</v>
      </c>
      <c r="BM1880" s="129" t="str">
        <f t="shared" si="1407"/>
        <v>NONE</v>
      </c>
      <c r="BN1880" s="129" t="s">
        <v>566</v>
      </c>
      <c r="BP1880" s="137" t="str">
        <f t="shared" si="1394"/>
        <v>CONVICTION</v>
      </c>
      <c r="BQ1880" s="128" t="str">
        <f t="shared" si="1395"/>
        <v>Y</v>
      </c>
      <c r="BR1880" s="129" t="str">
        <f t="shared" si="1396"/>
        <v>DETAINED</v>
      </c>
      <c r="BS1880" s="129" t="str">
        <f t="shared" si="1397"/>
        <v>DISPOSED</v>
      </c>
      <c r="BT1880" s="129" t="str">
        <f t="shared" si="1398"/>
        <v>Y</v>
      </c>
      <c r="BU1880" s="109">
        <f t="shared" si="1399"/>
        <v>0.99494949494949492</v>
      </c>
      <c r="BV1880" s="109">
        <f t="shared" si="1400"/>
        <v>1</v>
      </c>
      <c r="BW1880" s="109">
        <f t="shared" si="1418"/>
        <v>5.050505050505083E-3</v>
      </c>
      <c r="BX1880" s="111">
        <f t="shared" si="1401"/>
        <v>0</v>
      </c>
      <c r="BY1880" s="129">
        <f t="shared" si="1402"/>
        <v>-197</v>
      </c>
      <c r="BZ1880" s="111">
        <f t="shared" si="1403"/>
        <v>0</v>
      </c>
      <c r="CA1880" s="138">
        <f t="shared" si="1404"/>
        <v>197</v>
      </c>
      <c r="CB1880" s="111" t="e">
        <f t="shared" si="1413"/>
        <v>#VALUE!</v>
      </c>
      <c r="CC1880" s="129">
        <f>G1880-I1880+1</f>
        <v>197</v>
      </c>
      <c r="CD1880" s="129">
        <f>G1880-J1880</f>
        <v>0</v>
      </c>
      <c r="CG1880" s="129" t="str">
        <f t="shared" si="1405"/>
        <v>Y</v>
      </c>
      <c r="CI1880" s="129" t="str">
        <f t="shared" si="1408"/>
        <v>121-365 DAYS</v>
      </c>
      <c r="CJ1880" s="137">
        <f t="shared" si="1409"/>
        <v>6</v>
      </c>
      <c r="CK1880" s="129" t="str">
        <f t="shared" si="1410"/>
        <v>Booked</v>
      </c>
    </row>
    <row r="1881" spans="1:89" ht="15.75" customHeight="1" x14ac:dyDescent="0.25">
      <c r="A1881" s="111">
        <v>1280</v>
      </c>
      <c r="B1881" s="128" t="str">
        <f t="shared" si="1391"/>
        <v>N</v>
      </c>
      <c r="C1881" s="128" t="str">
        <f t="shared" si="1392"/>
        <v>N</v>
      </c>
      <c r="D1881" s="117">
        <v>2323378</v>
      </c>
      <c r="E1881" s="135">
        <f t="shared" si="1393"/>
        <v>6</v>
      </c>
      <c r="F1881" s="124">
        <v>40955</v>
      </c>
      <c r="G1881" s="125">
        <v>41388</v>
      </c>
      <c r="H1881" s="117">
        <v>2323378</v>
      </c>
      <c r="I1881" s="124">
        <v>40957</v>
      </c>
      <c r="J1881" s="125">
        <v>41388</v>
      </c>
      <c r="K1881" s="126">
        <v>50000</v>
      </c>
      <c r="L1881" s="129" t="s">
        <v>572</v>
      </c>
      <c r="N1881" s="129" t="str">
        <f>IF(M1881&gt;1/1/1,"Y","N")</f>
        <v>N</v>
      </c>
      <c r="O1881" s="128" t="s">
        <v>917</v>
      </c>
      <c r="P1881" s="129" t="s">
        <v>39</v>
      </c>
      <c r="Q1881" s="111">
        <f t="shared" si="1417"/>
        <v>432</v>
      </c>
      <c r="R1881" s="111">
        <f t="shared" si="1415"/>
        <v>434</v>
      </c>
      <c r="S1881" s="129">
        <v>0</v>
      </c>
      <c r="T1881" s="129">
        <v>1</v>
      </c>
      <c r="W1881" s="111"/>
      <c r="AB1881" s="131" t="s">
        <v>112</v>
      </c>
      <c r="AC1881" s="130"/>
      <c r="AD1881" s="130">
        <v>30575</v>
      </c>
      <c r="AE1881" s="128" t="s">
        <v>32</v>
      </c>
      <c r="AF1881" s="128" t="s">
        <v>40</v>
      </c>
      <c r="AG1881" s="128" t="s">
        <v>41</v>
      </c>
      <c r="AH1881" s="108" t="s">
        <v>31</v>
      </c>
      <c r="AI1881" s="128" t="s">
        <v>62</v>
      </c>
      <c r="AJ1881" s="129" t="s">
        <v>89</v>
      </c>
      <c r="AK1881" s="129">
        <v>13</v>
      </c>
      <c r="AL1881" s="3" t="s">
        <v>362</v>
      </c>
      <c r="AM1881" s="117">
        <v>2</v>
      </c>
      <c r="AP1881" s="129" t="s">
        <v>125</v>
      </c>
      <c r="AR1881" s="128" t="s">
        <v>50</v>
      </c>
      <c r="AS1881" s="129" t="s">
        <v>126</v>
      </c>
      <c r="BC1881" s="129" t="s">
        <v>38</v>
      </c>
      <c r="BF1881" s="111">
        <f t="shared" si="1411"/>
        <v>432</v>
      </c>
      <c r="BG1881" s="111">
        <f t="shared" si="1412"/>
        <v>432</v>
      </c>
      <c r="BH1881" s="111">
        <f t="shared" si="1387"/>
        <v>434</v>
      </c>
      <c r="BI1881" s="111">
        <f t="shared" si="1388"/>
        <v>28.360655737704917</v>
      </c>
      <c r="BJ1881" s="129">
        <f t="shared" si="1406"/>
        <v>0</v>
      </c>
      <c r="BK1881" s="129">
        <f t="shared" si="1389"/>
        <v>0</v>
      </c>
      <c r="BL1881" s="129" t="str">
        <f t="shared" si="1416"/>
        <v>CONVICTION</v>
      </c>
      <c r="BM1881" s="129" t="str">
        <f t="shared" si="1407"/>
        <v>NONE</v>
      </c>
      <c r="BN1881" s="129" t="s">
        <v>566</v>
      </c>
      <c r="BP1881" s="137" t="str">
        <f t="shared" si="1394"/>
        <v>CONVICTION</v>
      </c>
      <c r="BQ1881" s="128" t="str">
        <f t="shared" si="1395"/>
        <v>Y</v>
      </c>
      <c r="BR1881" s="129" t="str">
        <f t="shared" si="1396"/>
        <v>DETAINED</v>
      </c>
      <c r="BS1881" s="129" t="str">
        <f t="shared" si="1397"/>
        <v>DISPOSED</v>
      </c>
      <c r="BT1881" s="129" t="str">
        <f t="shared" si="1398"/>
        <v>N</v>
      </c>
      <c r="BU1881" s="109">
        <f t="shared" si="1399"/>
        <v>0.99539170506912444</v>
      </c>
      <c r="BV1881" s="109">
        <f t="shared" si="1400"/>
        <v>1</v>
      </c>
      <c r="BW1881" s="109">
        <f t="shared" si="1418"/>
        <v>4.6082949308755561E-3</v>
      </c>
      <c r="BX1881" s="111">
        <f t="shared" si="1401"/>
        <v>0</v>
      </c>
      <c r="BY1881" s="129">
        <f t="shared" si="1402"/>
        <v>-432</v>
      </c>
      <c r="BZ1881" s="111">
        <f t="shared" si="1403"/>
        <v>0</v>
      </c>
      <c r="CA1881" s="138">
        <f t="shared" si="1404"/>
        <v>432</v>
      </c>
      <c r="CB1881" s="111" t="e">
        <f t="shared" si="1413"/>
        <v>#VALUE!</v>
      </c>
      <c r="CC1881" s="129">
        <f>G1881-I1881+1</f>
        <v>432</v>
      </c>
      <c r="CD1881" s="129">
        <f>G1881-J1881</f>
        <v>0</v>
      </c>
      <c r="CG1881" s="129" t="str">
        <f t="shared" si="1405"/>
        <v>Y</v>
      </c>
      <c r="CI1881" s="129" t="str">
        <f t="shared" si="1408"/>
        <v xml:space="preserve"> &gt;1YRS&lt;2YRS</v>
      </c>
      <c r="CJ1881" s="137">
        <f t="shared" si="1409"/>
        <v>0</v>
      </c>
      <c r="CK1881" s="129" t="str">
        <f t="shared" si="1410"/>
        <v>Booked</v>
      </c>
    </row>
    <row r="1882" spans="1:89" ht="15" customHeight="1" x14ac:dyDescent="0.25">
      <c r="A1882" s="111">
        <v>1414</v>
      </c>
      <c r="B1882" s="128" t="str">
        <f t="shared" si="1391"/>
        <v>N</v>
      </c>
      <c r="C1882" s="128" t="str">
        <f t="shared" si="1392"/>
        <v>N</v>
      </c>
      <c r="D1882" s="117">
        <v>2323651</v>
      </c>
      <c r="E1882" s="135">
        <f t="shared" si="1393"/>
        <v>6</v>
      </c>
      <c r="F1882" s="124">
        <v>40961</v>
      </c>
      <c r="G1882" s="125">
        <v>40975</v>
      </c>
      <c r="H1882" s="117">
        <v>2323651</v>
      </c>
      <c r="I1882" s="124">
        <v>40961</v>
      </c>
      <c r="J1882" s="124">
        <v>40975</v>
      </c>
      <c r="K1882" s="126" t="s">
        <v>564</v>
      </c>
      <c r="L1882" s="127" t="s">
        <v>564</v>
      </c>
      <c r="N1882" s="129" t="s">
        <v>566</v>
      </c>
      <c r="O1882" s="128" t="s">
        <v>917</v>
      </c>
      <c r="P1882" s="129" t="s">
        <v>39</v>
      </c>
      <c r="Q1882" s="111">
        <f t="shared" si="1417"/>
        <v>15</v>
      </c>
      <c r="R1882" s="111">
        <f t="shared" si="1415"/>
        <v>15</v>
      </c>
      <c r="S1882" s="129">
        <v>5</v>
      </c>
      <c r="T1882" s="129">
        <v>1</v>
      </c>
      <c r="U1882" s="129">
        <v>5</v>
      </c>
      <c r="W1882" s="111"/>
      <c r="AB1882" s="131" t="s">
        <v>112</v>
      </c>
      <c r="AC1882" s="130"/>
      <c r="AD1882" s="130">
        <v>32663</v>
      </c>
      <c r="AE1882" s="128" t="s">
        <v>32</v>
      </c>
      <c r="AF1882" s="128" t="s">
        <v>40</v>
      </c>
      <c r="AG1882" s="128" t="s">
        <v>41</v>
      </c>
      <c r="AH1882" s="108" t="s">
        <v>31</v>
      </c>
      <c r="AI1882" s="128" t="s">
        <v>59</v>
      </c>
      <c r="AJ1882" s="129" t="s">
        <v>89</v>
      </c>
      <c r="AK1882" s="129">
        <v>3</v>
      </c>
      <c r="AL1882" s="3" t="s">
        <v>362</v>
      </c>
      <c r="AM1882" s="117">
        <v>8</v>
      </c>
      <c r="AP1882" s="129" t="s">
        <v>56</v>
      </c>
      <c r="AR1882" s="128" t="s">
        <v>50</v>
      </c>
      <c r="AS1882" s="129" t="s">
        <v>57</v>
      </c>
      <c r="BC1882" s="129" t="s">
        <v>38</v>
      </c>
      <c r="BF1882" s="111">
        <f t="shared" si="1411"/>
        <v>15</v>
      </c>
      <c r="BG1882" s="111">
        <f t="shared" si="1412"/>
        <v>15</v>
      </c>
      <c r="BH1882" s="111">
        <f t="shared" si="1387"/>
        <v>15</v>
      </c>
      <c r="BI1882" s="111">
        <f t="shared" si="1388"/>
        <v>22.672131147540984</v>
      </c>
      <c r="BJ1882" s="129">
        <f t="shared" si="1406"/>
        <v>0</v>
      </c>
      <c r="BK1882" s="129">
        <f t="shared" si="1389"/>
        <v>0</v>
      </c>
      <c r="BL1882" s="129" t="str">
        <f t="shared" si="1416"/>
        <v>CONVICTION</v>
      </c>
      <c r="BM1882" s="129" t="str">
        <f t="shared" si="1407"/>
        <v>NONE</v>
      </c>
      <c r="BN1882" s="129" t="s">
        <v>566</v>
      </c>
      <c r="BP1882" s="137" t="str">
        <f t="shared" si="1394"/>
        <v>CONVICTION</v>
      </c>
      <c r="BQ1882" s="128" t="str">
        <f t="shared" si="1395"/>
        <v>Y</v>
      </c>
      <c r="BR1882" s="129" t="str">
        <f t="shared" si="1396"/>
        <v>DETAINED</v>
      </c>
      <c r="BS1882" s="129" t="str">
        <f t="shared" si="1397"/>
        <v>DISPOSED</v>
      </c>
      <c r="BT1882" s="129" t="str">
        <f t="shared" si="1398"/>
        <v>Y</v>
      </c>
      <c r="BU1882" s="109">
        <f t="shared" si="1399"/>
        <v>1</v>
      </c>
      <c r="BV1882" s="109">
        <f t="shared" si="1400"/>
        <v>1</v>
      </c>
      <c r="BW1882" s="109">
        <f t="shared" si="1418"/>
        <v>0</v>
      </c>
      <c r="BX1882" s="111">
        <f t="shared" si="1401"/>
        <v>0</v>
      </c>
      <c r="BY1882" s="129">
        <f t="shared" si="1402"/>
        <v>-15</v>
      </c>
      <c r="BZ1882" s="111">
        <f t="shared" si="1403"/>
        <v>0</v>
      </c>
      <c r="CA1882" s="138">
        <f t="shared" si="1404"/>
        <v>15</v>
      </c>
      <c r="CB1882" s="111" t="e">
        <f t="shared" si="1413"/>
        <v>#VALUE!</v>
      </c>
      <c r="CC1882" s="129">
        <f>G1882-I1882+1</f>
        <v>15</v>
      </c>
      <c r="CD1882" s="129">
        <f>G1882-J1882</f>
        <v>0</v>
      </c>
      <c r="CG1882" s="129" t="str">
        <f t="shared" si="1405"/>
        <v>Y</v>
      </c>
      <c r="CI1882" s="129" t="str">
        <f t="shared" si="1408"/>
        <v>11-30 DAYS</v>
      </c>
      <c r="CJ1882" s="137">
        <f t="shared" si="1409"/>
        <v>2</v>
      </c>
      <c r="CK1882" s="129" t="str">
        <f t="shared" si="1410"/>
        <v>Booked</v>
      </c>
    </row>
    <row r="1883" spans="1:89" ht="15.75" customHeight="1" x14ac:dyDescent="0.25">
      <c r="A1883" s="111">
        <v>2217</v>
      </c>
      <c r="B1883" s="128" t="str">
        <f t="shared" si="1391"/>
        <v>N</v>
      </c>
      <c r="C1883" s="128" t="str">
        <f t="shared" si="1392"/>
        <v>N</v>
      </c>
      <c r="D1883" s="117">
        <v>2323792</v>
      </c>
      <c r="E1883" s="135">
        <f t="shared" si="1393"/>
        <v>1</v>
      </c>
      <c r="F1883" s="124">
        <v>40992</v>
      </c>
      <c r="G1883" s="125">
        <v>41102</v>
      </c>
      <c r="H1883" s="117">
        <v>2323792</v>
      </c>
      <c r="I1883" s="124">
        <v>40992</v>
      </c>
      <c r="J1883" s="124">
        <v>40993</v>
      </c>
      <c r="K1883" s="126">
        <v>2000</v>
      </c>
      <c r="L1883" s="127" t="s">
        <v>568</v>
      </c>
      <c r="M1883" s="125">
        <v>40993</v>
      </c>
      <c r="N1883" s="129" t="str">
        <f t="shared" ref="N1883:N1889" si="1419">IF(M1883&gt;1/1/1,"Y","N")</f>
        <v>Y</v>
      </c>
      <c r="O1883" s="128" t="s">
        <v>76</v>
      </c>
      <c r="P1883" s="129" t="s">
        <v>55</v>
      </c>
      <c r="Q1883" s="111">
        <f t="shared" si="1417"/>
        <v>2</v>
      </c>
      <c r="R1883" s="111">
        <f t="shared" si="1415"/>
        <v>111</v>
      </c>
      <c r="S1883" s="129">
        <v>1</v>
      </c>
      <c r="T1883" s="129">
        <v>0</v>
      </c>
      <c r="W1883" s="111"/>
      <c r="AC1883" s="130"/>
      <c r="AD1883" s="130">
        <v>32376</v>
      </c>
      <c r="AE1883" s="128" t="s">
        <v>32</v>
      </c>
      <c r="AF1883" s="128" t="s">
        <v>33</v>
      </c>
      <c r="AG1883" s="128" t="s">
        <v>872</v>
      </c>
      <c r="AH1883" s="108" t="s">
        <v>58</v>
      </c>
      <c r="AI1883" s="128" t="s">
        <v>85</v>
      </c>
      <c r="AJ1883" s="129" t="s">
        <v>55</v>
      </c>
      <c r="AK1883" s="129">
        <v>6</v>
      </c>
      <c r="AL1883" s="3" t="s">
        <v>55</v>
      </c>
      <c r="AP1883" s="129" t="s">
        <v>175</v>
      </c>
      <c r="AR1883" s="128" t="s">
        <v>44</v>
      </c>
      <c r="AS1883" s="129" t="s">
        <v>45</v>
      </c>
      <c r="BC1883" s="129" t="s">
        <v>52</v>
      </c>
      <c r="BF1883" s="111">
        <f t="shared" si="1411"/>
        <v>2</v>
      </c>
      <c r="BG1883" s="111">
        <f t="shared" si="1412"/>
        <v>111</v>
      </c>
      <c r="BH1883" s="111">
        <f t="shared" si="1387"/>
        <v>111</v>
      </c>
      <c r="BI1883" s="111">
        <f t="shared" si="1388"/>
        <v>23.540983606557376</v>
      </c>
      <c r="BJ1883" s="129">
        <f>(G1883-J1883)+(M1883-G1883)</f>
        <v>0</v>
      </c>
      <c r="BK1883" s="129">
        <f t="shared" si="1389"/>
        <v>-109</v>
      </c>
      <c r="BL1883" s="129" t="str">
        <f t="shared" si="1416"/>
        <v>NO CONVICTION</v>
      </c>
      <c r="BM1883" s="129" t="s">
        <v>76</v>
      </c>
      <c r="BN1883" s="129" t="s">
        <v>88</v>
      </c>
      <c r="BP1883" s="137" t="str">
        <f t="shared" si="1394"/>
        <v>NO CONVICTION</v>
      </c>
      <c r="BQ1883" s="128" t="str">
        <f t="shared" si="1395"/>
        <v>Y</v>
      </c>
      <c r="BR1883" s="129" t="str">
        <f t="shared" si="1396"/>
        <v>ON BOND</v>
      </c>
      <c r="BS1883" s="129" t="str">
        <f t="shared" si="1397"/>
        <v>DISPOSED</v>
      </c>
      <c r="BT1883" s="129" t="str">
        <f t="shared" si="1398"/>
        <v>Y</v>
      </c>
      <c r="BU1883" s="109">
        <f>IFERROR(Q1883/R1883,BR1883)</f>
        <v>1.8018018018018018E-2</v>
      </c>
      <c r="BV1883" s="109">
        <f t="shared" si="1400"/>
        <v>1.8018018018018018E-2</v>
      </c>
      <c r="BW1883" s="109">
        <f t="shared" si="1418"/>
        <v>0</v>
      </c>
      <c r="BX1883" s="111">
        <f t="shared" si="1401"/>
        <v>0</v>
      </c>
      <c r="BY1883" s="129">
        <f t="shared" si="1402"/>
        <v>-2</v>
      </c>
      <c r="BZ1883" s="111">
        <f t="shared" si="1403"/>
        <v>0</v>
      </c>
      <c r="CA1883" s="138">
        <f t="shared" si="1404"/>
        <v>2</v>
      </c>
      <c r="CB1883" s="111" t="e">
        <f t="shared" si="1413"/>
        <v>#VALUE!</v>
      </c>
      <c r="CC1883" s="129">
        <f>M1883-I1883+1</f>
        <v>2</v>
      </c>
      <c r="CD1883" s="111">
        <f>CC1883-BF1883</f>
        <v>0</v>
      </c>
      <c r="CG1883" s="129" t="str">
        <f t="shared" si="1405"/>
        <v>Y</v>
      </c>
      <c r="CI1883" s="129" t="str">
        <f t="shared" si="1408"/>
        <v>0-10 DAYS</v>
      </c>
      <c r="CJ1883" s="137">
        <f t="shared" si="1409"/>
        <v>1</v>
      </c>
      <c r="CK1883" s="129" t="str">
        <f t="shared" si="1410"/>
        <v>Booked</v>
      </c>
    </row>
    <row r="1884" spans="1:89" ht="15.75" customHeight="1" x14ac:dyDescent="0.25">
      <c r="A1884" s="111">
        <v>485</v>
      </c>
      <c r="B1884" s="128" t="str">
        <f t="shared" si="1391"/>
        <v>N</v>
      </c>
      <c r="C1884" s="128" t="str">
        <f t="shared" si="1392"/>
        <v>N</v>
      </c>
      <c r="D1884" s="117">
        <v>2323909</v>
      </c>
      <c r="E1884" s="135">
        <f t="shared" si="1393"/>
        <v>1</v>
      </c>
      <c r="F1884" s="124">
        <v>40928</v>
      </c>
      <c r="G1884" s="125">
        <v>41143</v>
      </c>
      <c r="H1884" s="117">
        <v>2323909</v>
      </c>
      <c r="I1884" s="124">
        <v>40943</v>
      </c>
      <c r="J1884" s="124">
        <v>40944</v>
      </c>
      <c r="K1884" s="126">
        <v>2000</v>
      </c>
      <c r="L1884" s="127" t="s">
        <v>568</v>
      </c>
      <c r="M1884" s="125">
        <v>40944</v>
      </c>
      <c r="N1884" s="129" t="str">
        <f t="shared" si="1419"/>
        <v>Y</v>
      </c>
      <c r="O1884" s="128" t="s">
        <v>76</v>
      </c>
      <c r="P1884" s="129" t="s">
        <v>55</v>
      </c>
      <c r="Q1884" s="111">
        <f t="shared" si="1417"/>
        <v>2</v>
      </c>
      <c r="R1884" s="111">
        <f t="shared" si="1415"/>
        <v>216</v>
      </c>
      <c r="S1884" s="129">
        <v>0</v>
      </c>
      <c r="T1884" s="129">
        <v>0</v>
      </c>
      <c r="W1884" s="111"/>
      <c r="AC1884" s="130"/>
      <c r="AD1884" s="130">
        <v>30206</v>
      </c>
      <c r="AE1884" s="128" t="s">
        <v>32</v>
      </c>
      <c r="AF1884" s="128" t="s">
        <v>69</v>
      </c>
      <c r="AG1884" s="128" t="s">
        <v>874</v>
      </c>
      <c r="AH1884" s="108" t="s">
        <v>31</v>
      </c>
      <c r="AI1884" s="128" t="s">
        <v>62</v>
      </c>
      <c r="AJ1884" s="129" t="s">
        <v>55</v>
      </c>
      <c r="AK1884" s="129">
        <v>9</v>
      </c>
      <c r="AL1884" s="3" t="s">
        <v>55</v>
      </c>
      <c r="AP1884" s="129" t="s">
        <v>108</v>
      </c>
      <c r="AR1884" s="128" t="s">
        <v>44</v>
      </c>
      <c r="AS1884" s="129" t="s">
        <v>61</v>
      </c>
      <c r="BC1884" s="129" t="s">
        <v>38</v>
      </c>
      <c r="BF1884" s="111">
        <f t="shared" si="1411"/>
        <v>2</v>
      </c>
      <c r="BG1884" s="111">
        <f t="shared" si="1412"/>
        <v>201</v>
      </c>
      <c r="BH1884" s="111">
        <f t="shared" si="1387"/>
        <v>216</v>
      </c>
      <c r="BI1884" s="111">
        <f t="shared" si="1388"/>
        <v>29.295081967213115</v>
      </c>
      <c r="BJ1884" s="129">
        <f>(G1884-J1884)+(M1884-G1884)</f>
        <v>0</v>
      </c>
      <c r="BK1884" s="129">
        <f t="shared" si="1389"/>
        <v>-199</v>
      </c>
      <c r="BL1884" s="129" t="str">
        <f t="shared" si="1416"/>
        <v>NO CONVICTION</v>
      </c>
      <c r="BM1884" s="129" t="s">
        <v>76</v>
      </c>
      <c r="BN1884" s="129" t="s">
        <v>88</v>
      </c>
      <c r="BP1884" s="137" t="str">
        <f t="shared" si="1394"/>
        <v>NO CONVICTION</v>
      </c>
      <c r="BQ1884" s="128" t="str">
        <f t="shared" si="1395"/>
        <v>Y</v>
      </c>
      <c r="BR1884" s="129" t="str">
        <f t="shared" si="1396"/>
        <v>ON BOND</v>
      </c>
      <c r="BS1884" s="129" t="str">
        <f t="shared" si="1397"/>
        <v>DISPOSED</v>
      </c>
      <c r="BT1884" s="129" t="str">
        <f t="shared" si="1398"/>
        <v>N</v>
      </c>
      <c r="BU1884" s="109">
        <f>IFERROR(Q1884/R1884,BR1884)</f>
        <v>9.2592592592592587E-3</v>
      </c>
      <c r="BV1884" s="109">
        <f t="shared" si="1400"/>
        <v>9.9502487562189053E-3</v>
      </c>
      <c r="BW1884" s="109">
        <f t="shared" si="1418"/>
        <v>6.9098949695964654E-4</v>
      </c>
      <c r="BX1884" s="111">
        <f t="shared" si="1401"/>
        <v>0</v>
      </c>
      <c r="BY1884" s="129">
        <f t="shared" si="1402"/>
        <v>-2</v>
      </c>
      <c r="BZ1884" s="111">
        <f t="shared" si="1403"/>
        <v>0</v>
      </c>
      <c r="CA1884" s="138">
        <f t="shared" si="1404"/>
        <v>2</v>
      </c>
      <c r="CB1884" s="111" t="e">
        <f t="shared" si="1413"/>
        <v>#VALUE!</v>
      </c>
      <c r="CC1884" s="129">
        <f>M1884-I1884+1</f>
        <v>2</v>
      </c>
      <c r="CD1884" s="111">
        <f>CC1884-BF1884</f>
        <v>0</v>
      </c>
      <c r="CG1884" s="129" t="str">
        <f t="shared" si="1405"/>
        <v>N</v>
      </c>
      <c r="CI1884" s="129" t="str">
        <f t="shared" si="1408"/>
        <v>0-10 DAYS</v>
      </c>
      <c r="CJ1884" s="137">
        <f t="shared" si="1409"/>
        <v>1</v>
      </c>
      <c r="CK1884" s="129" t="str">
        <f t="shared" si="1410"/>
        <v>Booked</v>
      </c>
    </row>
    <row r="1885" spans="1:89" ht="15" customHeight="1" x14ac:dyDescent="0.25">
      <c r="A1885" s="111">
        <v>2547</v>
      </c>
      <c r="B1885" s="128" t="str">
        <f t="shared" si="1391"/>
        <v>N</v>
      </c>
      <c r="C1885" s="128" t="str">
        <f t="shared" si="1392"/>
        <v>N</v>
      </c>
      <c r="D1885" s="117">
        <v>2324593</v>
      </c>
      <c r="E1885" s="135">
        <f t="shared" si="1393"/>
        <v>6</v>
      </c>
      <c r="F1885" s="124">
        <v>41004</v>
      </c>
      <c r="G1885" s="125">
        <v>41670</v>
      </c>
      <c r="H1885" s="117">
        <v>2324593</v>
      </c>
      <c r="I1885" s="124" t="s">
        <v>562</v>
      </c>
      <c r="J1885" s="124">
        <v>41021</v>
      </c>
      <c r="K1885" s="126">
        <v>20000</v>
      </c>
      <c r="L1885" s="127" t="s">
        <v>568</v>
      </c>
      <c r="M1885" s="125">
        <v>41021</v>
      </c>
      <c r="N1885" s="129" t="str">
        <f t="shared" si="1419"/>
        <v>Y</v>
      </c>
      <c r="O1885" s="128" t="s">
        <v>76</v>
      </c>
      <c r="P1885" s="129" t="s">
        <v>39</v>
      </c>
      <c r="Q1885" s="111">
        <v>0</v>
      </c>
      <c r="R1885" s="111">
        <f t="shared" si="1415"/>
        <v>667</v>
      </c>
      <c r="S1885" s="129">
        <v>1</v>
      </c>
      <c r="T1885" s="129">
        <v>3</v>
      </c>
      <c r="U1885" s="129">
        <v>1</v>
      </c>
      <c r="W1885" s="111"/>
      <c r="AC1885" s="130"/>
      <c r="AD1885" s="130">
        <v>31921</v>
      </c>
      <c r="AE1885" s="128" t="s">
        <v>32</v>
      </c>
      <c r="AF1885" s="128" t="s">
        <v>33</v>
      </c>
      <c r="AG1885" s="128" t="s">
        <v>872</v>
      </c>
      <c r="AH1885" s="108" t="s">
        <v>58</v>
      </c>
      <c r="AI1885" s="128" t="s">
        <v>80</v>
      </c>
      <c r="AJ1885" s="129" t="s">
        <v>89</v>
      </c>
      <c r="AK1885" s="129">
        <v>14</v>
      </c>
      <c r="AL1885" s="3" t="s">
        <v>362</v>
      </c>
      <c r="AM1885" s="117">
        <v>3</v>
      </c>
      <c r="AP1885" s="129" t="s">
        <v>49</v>
      </c>
      <c r="AR1885" s="128" t="s">
        <v>50</v>
      </c>
      <c r="AS1885" s="129" t="s">
        <v>45</v>
      </c>
      <c r="AT1885" s="129" t="s">
        <v>1379</v>
      </c>
      <c r="AX1885" s="32"/>
      <c r="BC1885" s="129" t="s">
        <v>38</v>
      </c>
      <c r="BF1885" s="111">
        <v>0</v>
      </c>
      <c r="BG1885" s="111">
        <v>0</v>
      </c>
      <c r="BH1885" s="111">
        <f t="shared" si="1387"/>
        <v>667</v>
      </c>
      <c r="BI1885" s="111">
        <f t="shared" si="1388"/>
        <v>24.816939890710383</v>
      </c>
      <c r="BJ1885" s="129">
        <f>(G1885-J1885)+(M1885-G1885)</f>
        <v>0</v>
      </c>
      <c r="BK1885" s="129">
        <f t="shared" si="1389"/>
        <v>-649</v>
      </c>
      <c r="BL1885" s="129" t="str">
        <f t="shared" si="1416"/>
        <v>CONVICTION</v>
      </c>
      <c r="BM1885" s="129" t="s">
        <v>76</v>
      </c>
      <c r="BN1885" s="129" t="s">
        <v>88</v>
      </c>
      <c r="BP1885" s="137" t="str">
        <f t="shared" si="1394"/>
        <v>CONVICTION</v>
      </c>
      <c r="BQ1885" s="128">
        <f t="shared" si="1395"/>
        <v>0</v>
      </c>
      <c r="BR1885" s="129" t="str">
        <f t="shared" si="1396"/>
        <v>ON BOND</v>
      </c>
      <c r="BS1885" s="129" t="str">
        <f t="shared" si="1397"/>
        <v>DISPOSED</v>
      </c>
      <c r="BT1885" s="129" t="str">
        <f t="shared" si="1398"/>
        <v>Y</v>
      </c>
      <c r="BU1885" s="109">
        <f>IFERROR(Q1885/R1885,BR1885)</f>
        <v>0</v>
      </c>
      <c r="BV1885" s="139">
        <v>0</v>
      </c>
      <c r="BW1885" s="109">
        <v>0</v>
      </c>
      <c r="BX1885" s="111">
        <f t="shared" si="1401"/>
        <v>0</v>
      </c>
      <c r="BY1885" s="129" t="e">
        <f t="shared" si="1402"/>
        <v>#VALUE!</v>
      </c>
      <c r="BZ1885" s="111" t="e">
        <f t="shared" si="1403"/>
        <v>#VALUE!</v>
      </c>
      <c r="CA1885" s="138" t="e">
        <f t="shared" si="1404"/>
        <v>#VALUE!</v>
      </c>
      <c r="CB1885" s="111" t="e">
        <f t="shared" si="1413"/>
        <v>#VALUE!</v>
      </c>
      <c r="CC1885" s="129">
        <v>0</v>
      </c>
      <c r="CG1885" s="129" t="str">
        <f t="shared" si="1405"/>
        <v>Y</v>
      </c>
      <c r="CH1885" s="129" t="e">
        <v>#N/A</v>
      </c>
      <c r="CI1885" s="129" t="str">
        <f t="shared" si="1408"/>
        <v>0-10 DAYS</v>
      </c>
      <c r="CJ1885" s="137">
        <f t="shared" si="1409"/>
        <v>1</v>
      </c>
      <c r="CK1885" s="129" t="str">
        <f t="shared" si="1410"/>
        <v>Not Booked</v>
      </c>
    </row>
    <row r="1886" spans="1:89" ht="15" customHeight="1" x14ac:dyDescent="0.25">
      <c r="A1886" s="111">
        <v>2830</v>
      </c>
      <c r="B1886" s="128" t="str">
        <f t="shared" si="1391"/>
        <v>N</v>
      </c>
      <c r="C1886" s="128" t="str">
        <f t="shared" si="1392"/>
        <v>N</v>
      </c>
      <c r="D1886" s="117">
        <v>2324878</v>
      </c>
      <c r="E1886" s="135">
        <f t="shared" si="1393"/>
        <v>1</v>
      </c>
      <c r="F1886" s="124">
        <v>41013</v>
      </c>
      <c r="G1886" s="125">
        <v>41085</v>
      </c>
      <c r="H1886" s="117">
        <v>2324878</v>
      </c>
      <c r="I1886" s="124">
        <v>41013</v>
      </c>
      <c r="J1886" s="124">
        <v>41085</v>
      </c>
      <c r="K1886" s="126">
        <v>5000</v>
      </c>
      <c r="L1886" s="127" t="s">
        <v>569</v>
      </c>
      <c r="N1886" s="129" t="str">
        <f t="shared" si="1419"/>
        <v>N</v>
      </c>
      <c r="O1886" s="128" t="s">
        <v>917</v>
      </c>
      <c r="P1886" s="129" t="s">
        <v>123</v>
      </c>
      <c r="Q1886" s="111">
        <f t="shared" si="1417"/>
        <v>73</v>
      </c>
      <c r="R1886" s="111">
        <f t="shared" si="1415"/>
        <v>73</v>
      </c>
      <c r="S1886" s="129">
        <v>0</v>
      </c>
      <c r="T1886" s="129">
        <v>3</v>
      </c>
      <c r="W1886" s="111"/>
      <c r="AC1886" s="130"/>
      <c r="AD1886" s="130">
        <v>32973</v>
      </c>
      <c r="AE1886" s="128" t="s">
        <v>32</v>
      </c>
      <c r="AF1886" s="128" t="s">
        <v>40</v>
      </c>
      <c r="AG1886" s="128" t="s">
        <v>41</v>
      </c>
      <c r="AH1886" s="108" t="s">
        <v>41</v>
      </c>
      <c r="AI1886" s="128" t="s">
        <v>85</v>
      </c>
      <c r="AJ1886" s="129" t="s">
        <v>123</v>
      </c>
      <c r="AK1886" s="129">
        <v>2</v>
      </c>
      <c r="AL1886" s="3" t="s">
        <v>123</v>
      </c>
      <c r="AP1886" s="129" t="s">
        <v>372</v>
      </c>
      <c r="AR1886" s="128" t="s">
        <v>67</v>
      </c>
      <c r="AS1886" s="129" t="s">
        <v>64</v>
      </c>
      <c r="BC1886" s="129" t="s">
        <v>99</v>
      </c>
      <c r="BF1886" s="111">
        <f t="shared" si="1411"/>
        <v>73</v>
      </c>
      <c r="BG1886" s="111">
        <f t="shared" si="1412"/>
        <v>73</v>
      </c>
      <c r="BH1886" s="111">
        <f t="shared" si="1387"/>
        <v>73</v>
      </c>
      <c r="BI1886" s="111">
        <f t="shared" si="1388"/>
        <v>21.967213114754099</v>
      </c>
      <c r="BJ1886" s="129">
        <f t="shared" si="1406"/>
        <v>0</v>
      </c>
      <c r="BK1886" s="129">
        <f t="shared" si="1389"/>
        <v>0</v>
      </c>
      <c r="BL1886" s="129" t="str">
        <f t="shared" si="1416"/>
        <v>NO CONVICTION</v>
      </c>
      <c r="BM1886" s="129" t="str">
        <f t="shared" si="1407"/>
        <v>NONE</v>
      </c>
      <c r="BN1886" s="129" t="s">
        <v>566</v>
      </c>
      <c r="BP1886" s="137" t="str">
        <f t="shared" si="1394"/>
        <v>NO CONVICTION</v>
      </c>
      <c r="BQ1886" s="128" t="str">
        <f t="shared" si="1395"/>
        <v>Y</v>
      </c>
      <c r="BR1886" s="129" t="str">
        <f t="shared" si="1396"/>
        <v>DETAINED</v>
      </c>
      <c r="BS1886" s="129" t="str">
        <f t="shared" si="1397"/>
        <v>DISPOSED</v>
      </c>
      <c r="BT1886" s="129" t="str">
        <f t="shared" si="1398"/>
        <v>N</v>
      </c>
      <c r="BU1886" s="109">
        <f>IFERROR(Q1886/R1886,BR1886)</f>
        <v>1</v>
      </c>
      <c r="BV1886" s="109">
        <f t="shared" si="1400"/>
        <v>1</v>
      </c>
      <c r="BW1886" s="109">
        <f>BV1886-BU1886</f>
        <v>0</v>
      </c>
      <c r="BX1886" s="111">
        <f t="shared" si="1401"/>
        <v>0</v>
      </c>
      <c r="BY1886" s="129">
        <f t="shared" si="1402"/>
        <v>-73</v>
      </c>
      <c r="BZ1886" s="111">
        <f t="shared" si="1403"/>
        <v>0</v>
      </c>
      <c r="CA1886" s="138">
        <f t="shared" si="1404"/>
        <v>73</v>
      </c>
      <c r="CB1886" s="111" t="e">
        <f t="shared" si="1413"/>
        <v>#VALUE!</v>
      </c>
      <c r="CC1886" s="129">
        <f>G1886-I1886+1</f>
        <v>73</v>
      </c>
      <c r="CD1886" s="129">
        <f>G1886-J1886</f>
        <v>0</v>
      </c>
      <c r="CG1886" s="129" t="str">
        <f t="shared" si="1405"/>
        <v>Y</v>
      </c>
      <c r="CI1886" s="129" t="str">
        <f t="shared" si="1408"/>
        <v>61-90 DAYS</v>
      </c>
      <c r="CJ1886" s="137">
        <f t="shared" si="1409"/>
        <v>4</v>
      </c>
      <c r="CK1886" s="129" t="str">
        <f t="shared" si="1410"/>
        <v>Booked</v>
      </c>
    </row>
    <row r="1887" spans="1:89" ht="15" customHeight="1" x14ac:dyDescent="0.25">
      <c r="A1887" s="111">
        <v>1066</v>
      </c>
      <c r="B1887" s="128" t="str">
        <f t="shared" si="1391"/>
        <v>N</v>
      </c>
      <c r="C1887" s="128" t="str">
        <f t="shared" si="1392"/>
        <v>N</v>
      </c>
      <c r="D1887" s="117">
        <v>2324952</v>
      </c>
      <c r="E1887" s="135">
        <f t="shared" si="1393"/>
        <v>2</v>
      </c>
      <c r="F1887" s="124">
        <v>40948</v>
      </c>
      <c r="G1887" s="125">
        <v>40949</v>
      </c>
      <c r="H1887" s="117">
        <v>2324952</v>
      </c>
      <c r="I1887" s="124">
        <v>40948</v>
      </c>
      <c r="J1887" s="124">
        <v>40949</v>
      </c>
      <c r="K1887" s="126">
        <v>5000</v>
      </c>
      <c r="L1887" s="127" t="s">
        <v>569</v>
      </c>
      <c r="N1887" s="129" t="str">
        <f t="shared" si="1419"/>
        <v>N</v>
      </c>
      <c r="O1887" s="128" t="s">
        <v>917</v>
      </c>
      <c r="P1887" s="129" t="s">
        <v>589</v>
      </c>
      <c r="Q1887" s="111">
        <f t="shared" si="1417"/>
        <v>2</v>
      </c>
      <c r="R1887" s="111">
        <f t="shared" si="1415"/>
        <v>2</v>
      </c>
      <c r="S1887" s="129">
        <v>1</v>
      </c>
      <c r="T1887" s="129">
        <v>3</v>
      </c>
      <c r="W1887" s="111"/>
      <c r="AB1887" s="131" t="s">
        <v>112</v>
      </c>
      <c r="AC1887" s="130"/>
      <c r="AD1887" s="130">
        <v>32992</v>
      </c>
      <c r="AE1887" s="128" t="s">
        <v>32</v>
      </c>
      <c r="AF1887" s="128" t="s">
        <v>40</v>
      </c>
      <c r="AG1887" s="128" t="s">
        <v>41</v>
      </c>
      <c r="AH1887" s="108" t="s">
        <v>31</v>
      </c>
      <c r="AI1887" s="128" t="s">
        <v>114</v>
      </c>
      <c r="AJ1887" s="129" t="s">
        <v>48</v>
      </c>
      <c r="AK1887" s="129">
        <v>1</v>
      </c>
      <c r="AL1887" s="3" t="s">
        <v>48</v>
      </c>
      <c r="AP1887" s="129" t="s">
        <v>93</v>
      </c>
      <c r="AR1887" s="128" t="s">
        <v>67</v>
      </c>
      <c r="AS1887" s="129" t="s">
        <v>45</v>
      </c>
      <c r="BC1887" s="129" t="s">
        <v>38</v>
      </c>
      <c r="BF1887" s="111">
        <f t="shared" si="1411"/>
        <v>2</v>
      </c>
      <c r="BG1887" s="111">
        <f t="shared" si="1412"/>
        <v>2</v>
      </c>
      <c r="BH1887" s="111">
        <f t="shared" si="1387"/>
        <v>2</v>
      </c>
      <c r="BI1887" s="111">
        <f t="shared" si="1388"/>
        <v>21.737704918032787</v>
      </c>
      <c r="BJ1887" s="129">
        <f t="shared" si="1406"/>
        <v>0</v>
      </c>
      <c r="BK1887" s="129">
        <f t="shared" si="1389"/>
        <v>0</v>
      </c>
      <c r="BL1887" s="129" t="str">
        <f t="shared" si="1416"/>
        <v>DEFERRED</v>
      </c>
      <c r="BM1887" s="129" t="str">
        <f t="shared" si="1407"/>
        <v>NONE</v>
      </c>
      <c r="BN1887" s="129" t="s">
        <v>566</v>
      </c>
      <c r="BP1887" s="137" t="str">
        <f t="shared" si="1394"/>
        <v>DEFERRED</v>
      </c>
      <c r="BQ1887" s="128" t="str">
        <f t="shared" si="1395"/>
        <v>Y</v>
      </c>
      <c r="BR1887" s="129" t="str">
        <f t="shared" si="1396"/>
        <v>DETAINED</v>
      </c>
      <c r="BS1887" s="129" t="str">
        <f t="shared" si="1397"/>
        <v>DISPOSED</v>
      </c>
      <c r="BT1887" s="129" t="str">
        <f t="shared" si="1398"/>
        <v>Y</v>
      </c>
      <c r="BU1887" s="109">
        <f t="shared" si="1399"/>
        <v>1</v>
      </c>
      <c r="BV1887" s="109">
        <f t="shared" si="1400"/>
        <v>1</v>
      </c>
      <c r="BW1887" s="109">
        <f>BV1887-BU1887</f>
        <v>0</v>
      </c>
      <c r="BX1887" s="111">
        <f t="shared" si="1401"/>
        <v>0</v>
      </c>
      <c r="BY1887" s="129">
        <f t="shared" si="1402"/>
        <v>-2</v>
      </c>
      <c r="BZ1887" s="111">
        <f t="shared" si="1403"/>
        <v>0</v>
      </c>
      <c r="CA1887" s="138">
        <f t="shared" si="1404"/>
        <v>2</v>
      </c>
      <c r="CB1887" s="111" t="e">
        <f t="shared" si="1413"/>
        <v>#VALUE!</v>
      </c>
      <c r="CC1887" s="129">
        <f>G1887-I1887+1</f>
        <v>2</v>
      </c>
      <c r="CD1887" s="129">
        <f>G1887-J1887</f>
        <v>0</v>
      </c>
      <c r="CG1887" s="129" t="str">
        <f t="shared" si="1405"/>
        <v>Y</v>
      </c>
      <c r="CI1887" s="129" t="str">
        <f t="shared" si="1408"/>
        <v>0-10 DAYS</v>
      </c>
      <c r="CJ1887" s="137">
        <f t="shared" si="1409"/>
        <v>1</v>
      </c>
      <c r="CK1887" s="129" t="str">
        <f t="shared" si="1410"/>
        <v>Booked</v>
      </c>
    </row>
    <row r="1888" spans="1:89" ht="15.75" customHeight="1" x14ac:dyDescent="0.25">
      <c r="A1888" s="111">
        <v>3255</v>
      </c>
      <c r="B1888" s="128" t="str">
        <f t="shared" si="1391"/>
        <v>Y</v>
      </c>
      <c r="C1888" s="128" t="str">
        <f t="shared" si="1392"/>
        <v>Y</v>
      </c>
      <c r="D1888" s="117">
        <v>2325017</v>
      </c>
      <c r="E1888" s="135">
        <f t="shared" si="1393"/>
        <v>6</v>
      </c>
      <c r="F1888" s="124">
        <v>41029</v>
      </c>
      <c r="G1888" s="125">
        <v>41810</v>
      </c>
      <c r="H1888" s="117">
        <v>2325017</v>
      </c>
      <c r="I1888" s="124">
        <v>41029</v>
      </c>
      <c r="J1888" s="124">
        <v>41031</v>
      </c>
      <c r="K1888" s="126">
        <v>10000</v>
      </c>
      <c r="L1888" s="127" t="s">
        <v>570</v>
      </c>
      <c r="M1888" s="125">
        <v>41031</v>
      </c>
      <c r="N1888" s="129" t="str">
        <f t="shared" si="1419"/>
        <v>Y</v>
      </c>
      <c r="O1888" s="128" t="s">
        <v>76</v>
      </c>
      <c r="P1888" s="129" t="s">
        <v>1352</v>
      </c>
      <c r="Q1888" s="111">
        <v>548</v>
      </c>
      <c r="R1888" s="111">
        <f t="shared" si="1415"/>
        <v>782</v>
      </c>
      <c r="S1888" s="129">
        <v>3</v>
      </c>
      <c r="T1888" s="129">
        <v>2</v>
      </c>
      <c r="U1888" s="129">
        <v>1</v>
      </c>
      <c r="W1888" s="111"/>
      <c r="AC1888" s="130"/>
      <c r="AD1888" s="130">
        <v>32130</v>
      </c>
      <c r="AE1888" s="128" t="s">
        <v>32</v>
      </c>
      <c r="AF1888" s="128" t="s">
        <v>33</v>
      </c>
      <c r="AG1888" s="128" t="s">
        <v>872</v>
      </c>
      <c r="AH1888" s="108" t="s">
        <v>31</v>
      </c>
      <c r="AI1888" s="128" t="s">
        <v>59</v>
      </c>
      <c r="AJ1888" s="129" t="s">
        <v>89</v>
      </c>
      <c r="AK1888" s="129">
        <v>26</v>
      </c>
      <c r="AL1888" s="3" t="s">
        <v>362</v>
      </c>
      <c r="AM1888" s="117">
        <v>99</v>
      </c>
      <c r="AP1888" s="129" t="s">
        <v>35</v>
      </c>
      <c r="AR1888" s="128" t="s">
        <v>36</v>
      </c>
      <c r="AS1888" s="129" t="s">
        <v>1380</v>
      </c>
      <c r="AT1888" s="129" t="s">
        <v>1381</v>
      </c>
      <c r="AU1888" s="118" t="s">
        <v>802</v>
      </c>
      <c r="AX1888" s="32" t="s">
        <v>88</v>
      </c>
      <c r="AY1888" s="32"/>
      <c r="BC1888" s="129" t="s">
        <v>52</v>
      </c>
      <c r="BD1888" s="32" t="s">
        <v>1382</v>
      </c>
      <c r="BF1888" s="111">
        <v>548</v>
      </c>
      <c r="BG1888" s="111">
        <f t="shared" si="1412"/>
        <v>782</v>
      </c>
      <c r="BH1888" s="111">
        <f t="shared" si="1387"/>
        <v>782</v>
      </c>
      <c r="BI1888" s="111">
        <f t="shared" si="1388"/>
        <v>24.314207650273225</v>
      </c>
      <c r="BJ1888" s="129">
        <f>(G1888-J1888)+(M1888-G1888)</f>
        <v>0</v>
      </c>
      <c r="BK1888" s="129">
        <f t="shared" si="1389"/>
        <v>-779</v>
      </c>
      <c r="BL1888" s="129" t="str">
        <f t="shared" si="1416"/>
        <v>CONVICTION</v>
      </c>
      <c r="BM1888" s="129" t="s">
        <v>76</v>
      </c>
      <c r="BN1888" s="129" t="s">
        <v>88</v>
      </c>
      <c r="BP1888" s="137" t="str">
        <f t="shared" si="1394"/>
        <v>CONVICTION</v>
      </c>
      <c r="BQ1888" s="128" t="str">
        <f t="shared" si="1395"/>
        <v>Y</v>
      </c>
      <c r="BR1888" s="129" t="s">
        <v>574</v>
      </c>
      <c r="BS1888" s="129" t="s">
        <v>1259</v>
      </c>
      <c r="BT1888" s="129" t="str">
        <f t="shared" si="1398"/>
        <v>Y</v>
      </c>
      <c r="BU1888" s="109">
        <f>IFERROR(Q1888/R1888,BR1888)</f>
        <v>0.70076726342710993</v>
      </c>
      <c r="BV1888" s="139">
        <v>0.70079999999999998</v>
      </c>
      <c r="BW1888" s="109">
        <v>0</v>
      </c>
      <c r="BX1888" s="111">
        <f t="shared" si="1401"/>
        <v>0</v>
      </c>
      <c r="BY1888" s="129">
        <f t="shared" si="1402"/>
        <v>-3</v>
      </c>
      <c r="BZ1888" s="111">
        <f t="shared" si="1403"/>
        <v>545</v>
      </c>
      <c r="CA1888" s="138">
        <f t="shared" si="1404"/>
        <v>782</v>
      </c>
      <c r="CB1888" s="111" t="e">
        <f t="shared" si="1413"/>
        <v>#VALUE!</v>
      </c>
      <c r="CC1888" s="129">
        <v>548</v>
      </c>
      <c r="CG1888" s="129" t="str">
        <f t="shared" si="1405"/>
        <v>Y</v>
      </c>
      <c r="CH1888" s="129" t="e">
        <v>#N/A</v>
      </c>
      <c r="CI1888" s="129" t="str">
        <f t="shared" si="1408"/>
        <v xml:space="preserve"> &gt;1YRS&lt;2YRS</v>
      </c>
      <c r="CJ1888" s="137">
        <f t="shared" si="1409"/>
        <v>0</v>
      </c>
      <c r="CK1888" s="129" t="str">
        <f t="shared" si="1410"/>
        <v>Booked</v>
      </c>
    </row>
    <row r="1889" spans="1:89" ht="15" customHeight="1" x14ac:dyDescent="0.25">
      <c r="A1889" s="111">
        <v>428</v>
      </c>
      <c r="B1889" s="128" t="str">
        <f t="shared" si="1391"/>
        <v>N</v>
      </c>
      <c r="C1889" s="128" t="str">
        <f t="shared" si="1392"/>
        <v>N</v>
      </c>
      <c r="D1889" s="117">
        <v>2325132</v>
      </c>
      <c r="E1889" s="135">
        <f t="shared" si="1393"/>
        <v>5</v>
      </c>
      <c r="F1889" s="124">
        <v>40926</v>
      </c>
      <c r="G1889" s="125">
        <v>40928</v>
      </c>
      <c r="H1889" s="117">
        <v>2325132</v>
      </c>
      <c r="I1889" s="124">
        <v>40926</v>
      </c>
      <c r="J1889" s="124">
        <v>40928</v>
      </c>
      <c r="K1889" s="126">
        <v>2000</v>
      </c>
      <c r="L1889" s="127" t="s">
        <v>568</v>
      </c>
      <c r="N1889" s="129" t="str">
        <f t="shared" si="1419"/>
        <v>N</v>
      </c>
      <c r="O1889" s="128" t="s">
        <v>917</v>
      </c>
      <c r="P1889" s="129" t="s">
        <v>39</v>
      </c>
      <c r="Q1889" s="111">
        <f t="shared" si="1417"/>
        <v>3</v>
      </c>
      <c r="R1889" s="111">
        <f t="shared" si="1415"/>
        <v>3</v>
      </c>
      <c r="S1889" s="129">
        <v>1</v>
      </c>
      <c r="T1889" s="129">
        <v>9</v>
      </c>
      <c r="U1889" s="129">
        <v>1</v>
      </c>
      <c r="W1889" s="111"/>
      <c r="AC1889" s="130"/>
      <c r="AD1889" s="130">
        <v>21213</v>
      </c>
      <c r="AE1889" s="128" t="s">
        <v>32</v>
      </c>
      <c r="AF1889" s="128" t="s">
        <v>33</v>
      </c>
      <c r="AG1889" s="128" t="s">
        <v>872</v>
      </c>
      <c r="AH1889" s="108" t="s">
        <v>58</v>
      </c>
      <c r="AI1889" s="128" t="s">
        <v>100</v>
      </c>
      <c r="AJ1889" s="129" t="s">
        <v>89</v>
      </c>
      <c r="AK1889" s="129">
        <v>1</v>
      </c>
      <c r="AL1889" s="3" t="s">
        <v>992</v>
      </c>
      <c r="AN1889" s="117">
        <v>6</v>
      </c>
      <c r="AP1889" s="129" t="s">
        <v>60</v>
      </c>
      <c r="AR1889" s="128" t="s">
        <v>44</v>
      </c>
      <c r="AS1889" s="129" t="s">
        <v>61</v>
      </c>
      <c r="BC1889" s="129" t="s">
        <v>38</v>
      </c>
      <c r="BF1889" s="111">
        <f t="shared" si="1411"/>
        <v>3</v>
      </c>
      <c r="BG1889" s="111">
        <f t="shared" si="1412"/>
        <v>3</v>
      </c>
      <c r="BH1889" s="111">
        <f t="shared" si="1387"/>
        <v>3</v>
      </c>
      <c r="BI1889" s="111">
        <f t="shared" si="1388"/>
        <v>53.860655737704917</v>
      </c>
      <c r="BJ1889" s="129">
        <f t="shared" si="1406"/>
        <v>0</v>
      </c>
      <c r="BK1889" s="129">
        <f t="shared" si="1389"/>
        <v>0</v>
      </c>
      <c r="BL1889" s="129" t="str">
        <f t="shared" si="1416"/>
        <v>CONVICTION</v>
      </c>
      <c r="BM1889" s="129" t="str">
        <f t="shared" si="1407"/>
        <v>NONE</v>
      </c>
      <c r="BN1889" s="129" t="s">
        <v>566</v>
      </c>
      <c r="BP1889" s="137" t="str">
        <f t="shared" si="1394"/>
        <v>CONVICTION</v>
      </c>
      <c r="BQ1889" s="128" t="str">
        <f t="shared" si="1395"/>
        <v>Y</v>
      </c>
      <c r="BR1889" s="129" t="str">
        <f t="shared" si="1396"/>
        <v>DETAINED</v>
      </c>
      <c r="BS1889" s="129" t="str">
        <f t="shared" si="1397"/>
        <v>DISPOSED</v>
      </c>
      <c r="BT1889" s="129" t="str">
        <f t="shared" si="1398"/>
        <v>Y</v>
      </c>
      <c r="BU1889" s="109">
        <f t="shared" si="1399"/>
        <v>1</v>
      </c>
      <c r="BV1889" s="109">
        <f t="shared" si="1400"/>
        <v>1</v>
      </c>
      <c r="BW1889" s="109">
        <f t="shared" ref="BW1889:BW1952" si="1420">BV1889-BU1889</f>
        <v>0</v>
      </c>
      <c r="BX1889" s="111">
        <f t="shared" si="1401"/>
        <v>0</v>
      </c>
      <c r="BY1889" s="129">
        <f t="shared" si="1402"/>
        <v>-3</v>
      </c>
      <c r="BZ1889" s="111">
        <f t="shared" si="1403"/>
        <v>0</v>
      </c>
      <c r="CA1889" s="138">
        <f t="shared" si="1404"/>
        <v>3</v>
      </c>
      <c r="CB1889" s="111" t="e">
        <f t="shared" si="1413"/>
        <v>#VALUE!</v>
      </c>
      <c r="CC1889" s="129">
        <f>G1889-I1889+1</f>
        <v>3</v>
      </c>
      <c r="CD1889" s="129">
        <f>G1889-J1889</f>
        <v>0</v>
      </c>
      <c r="CG1889" s="129" t="str">
        <f t="shared" si="1405"/>
        <v>Y</v>
      </c>
      <c r="CI1889" s="129" t="str">
        <f t="shared" si="1408"/>
        <v>0-10 DAYS</v>
      </c>
      <c r="CJ1889" s="137">
        <f t="shared" si="1409"/>
        <v>1</v>
      </c>
      <c r="CK1889" s="129" t="str">
        <f t="shared" si="1410"/>
        <v>Booked</v>
      </c>
    </row>
    <row r="1890" spans="1:89" ht="15.75" customHeight="1" x14ac:dyDescent="0.25">
      <c r="A1890" s="111">
        <v>2271</v>
      </c>
      <c r="B1890" s="128" t="str">
        <f t="shared" si="1391"/>
        <v>N</v>
      </c>
      <c r="C1890" s="128" t="str">
        <f t="shared" si="1392"/>
        <v>N</v>
      </c>
      <c r="D1890" s="117">
        <v>2325400</v>
      </c>
      <c r="E1890" s="135">
        <f t="shared" si="1393"/>
        <v>1</v>
      </c>
      <c r="F1890" s="124">
        <v>40995</v>
      </c>
      <c r="G1890" s="125">
        <v>41073</v>
      </c>
      <c r="H1890" s="117">
        <v>2325400</v>
      </c>
      <c r="I1890" s="124" t="s">
        <v>562</v>
      </c>
      <c r="J1890" s="124" t="s">
        <v>562</v>
      </c>
      <c r="K1890" s="126">
        <v>30000</v>
      </c>
      <c r="L1890" s="129" t="s">
        <v>572</v>
      </c>
      <c r="M1890" s="125">
        <v>40996</v>
      </c>
      <c r="N1890" s="129" t="str">
        <f>IF(M1890&gt;1/1/1,"Y",IF(Q1890="0","","N"))</f>
        <v>Y</v>
      </c>
      <c r="O1890" s="128" t="s">
        <v>76</v>
      </c>
      <c r="P1890" s="129" t="s">
        <v>55</v>
      </c>
      <c r="Q1890" s="111">
        <f t="shared" si="1417"/>
        <v>0</v>
      </c>
      <c r="R1890" s="111">
        <f t="shared" si="1415"/>
        <v>79</v>
      </c>
      <c r="S1890" s="129">
        <v>0</v>
      </c>
      <c r="T1890" s="129">
        <v>3</v>
      </c>
      <c r="W1890" s="111"/>
      <c r="AC1890" s="130"/>
      <c r="AD1890" s="130">
        <v>33123</v>
      </c>
      <c r="AE1890" s="128" t="s">
        <v>32</v>
      </c>
      <c r="AF1890" s="128" t="s">
        <v>40</v>
      </c>
      <c r="AG1890" s="128" t="s">
        <v>41</v>
      </c>
      <c r="AH1890" s="108" t="s">
        <v>41</v>
      </c>
      <c r="AI1890" s="128" t="s">
        <v>114</v>
      </c>
      <c r="AJ1890" s="129" t="s">
        <v>55</v>
      </c>
      <c r="AK1890" s="129">
        <v>4</v>
      </c>
      <c r="AL1890" s="3" t="s">
        <v>55</v>
      </c>
      <c r="AP1890" s="129" t="s">
        <v>73</v>
      </c>
      <c r="AR1890" s="128" t="s">
        <v>50</v>
      </c>
      <c r="AS1890" s="129" t="s">
        <v>74</v>
      </c>
      <c r="BC1890" s="129" t="s">
        <v>52</v>
      </c>
      <c r="BF1890" s="111">
        <v>0</v>
      </c>
      <c r="BG1890" s="111">
        <v>0</v>
      </c>
      <c r="BH1890" s="111">
        <f t="shared" si="1387"/>
        <v>79</v>
      </c>
      <c r="BI1890" s="111">
        <f t="shared" si="1388"/>
        <v>21.508196721311474</v>
      </c>
      <c r="BJ1890" s="129" t="e">
        <f>(G1890-J1890)+(M1890-G1890)</f>
        <v>#VALUE!</v>
      </c>
      <c r="BK1890" s="129" t="e">
        <f t="shared" si="1389"/>
        <v>#VALUE!</v>
      </c>
      <c r="BL1890" s="129" t="str">
        <f t="shared" si="1416"/>
        <v>NO CONVICTION</v>
      </c>
      <c r="BM1890" s="129" t="s">
        <v>76</v>
      </c>
      <c r="BN1890" s="129" t="s">
        <v>88</v>
      </c>
      <c r="BP1890" s="137" t="str">
        <f t="shared" si="1394"/>
        <v>NO CONVICTION</v>
      </c>
      <c r="BQ1890" s="128">
        <f t="shared" si="1395"/>
        <v>0</v>
      </c>
      <c r="BR1890" s="129" t="s">
        <v>575</v>
      </c>
      <c r="BS1890" s="129" t="str">
        <f t="shared" si="1397"/>
        <v>DISPOSED</v>
      </c>
      <c r="BT1890" s="129" t="str">
        <f t="shared" si="1398"/>
        <v>N</v>
      </c>
      <c r="BU1890" s="109">
        <f>IFERROR(Q1890/R1890,BR1890)</f>
        <v>0</v>
      </c>
      <c r="BV1890" s="109">
        <v>0</v>
      </c>
      <c r="BW1890" s="109">
        <f t="shared" si="1420"/>
        <v>0</v>
      </c>
      <c r="BX1890" s="111">
        <f t="shared" si="1401"/>
        <v>0</v>
      </c>
      <c r="BY1890" s="129" t="e">
        <f t="shared" si="1402"/>
        <v>#VALUE!</v>
      </c>
      <c r="BZ1890" s="111" t="e">
        <f t="shared" si="1403"/>
        <v>#VALUE!</v>
      </c>
      <c r="CA1890" s="138" t="e">
        <f t="shared" si="1404"/>
        <v>#VALUE!</v>
      </c>
      <c r="CB1890" s="111">
        <v>0</v>
      </c>
      <c r="CC1890" s="129">
        <v>0</v>
      </c>
      <c r="CD1890" s="111">
        <f>CC1890-BF1890</f>
        <v>0</v>
      </c>
      <c r="CG1890" s="129" t="str">
        <f t="shared" si="1405"/>
        <v>Y</v>
      </c>
      <c r="CI1890" s="129" t="str">
        <f t="shared" si="1408"/>
        <v>0-10 DAYS</v>
      </c>
      <c r="CJ1890" s="137">
        <f t="shared" si="1409"/>
        <v>1</v>
      </c>
      <c r="CK1890" s="129" t="str">
        <f t="shared" si="1410"/>
        <v>Not Booked</v>
      </c>
    </row>
    <row r="1891" spans="1:89" ht="15.75" customHeight="1" x14ac:dyDescent="0.25">
      <c r="A1891" s="111">
        <v>541</v>
      </c>
      <c r="B1891" s="128" t="str">
        <f t="shared" si="1391"/>
        <v>N</v>
      </c>
      <c r="C1891" s="128" t="str">
        <f t="shared" si="1392"/>
        <v>N</v>
      </c>
      <c r="D1891" s="117">
        <v>2325833</v>
      </c>
      <c r="E1891" s="135">
        <f t="shared" si="1393"/>
        <v>2</v>
      </c>
      <c r="F1891" s="124">
        <v>40930</v>
      </c>
      <c r="G1891" s="125">
        <v>40960</v>
      </c>
      <c r="H1891" s="117">
        <v>2325833</v>
      </c>
      <c r="I1891" s="124" t="s">
        <v>562</v>
      </c>
      <c r="J1891" s="124" t="s">
        <v>562</v>
      </c>
      <c r="K1891" s="126">
        <v>15000</v>
      </c>
      <c r="L1891" s="127" t="s">
        <v>571</v>
      </c>
      <c r="N1891" s="124" t="s">
        <v>1343</v>
      </c>
      <c r="O1891" s="128" t="s">
        <v>917</v>
      </c>
      <c r="P1891" s="129" t="s">
        <v>589</v>
      </c>
      <c r="Q1891" s="111">
        <f t="shared" si="1417"/>
        <v>0</v>
      </c>
      <c r="R1891" s="111">
        <f t="shared" si="1415"/>
        <v>31</v>
      </c>
      <c r="S1891" s="129">
        <v>0</v>
      </c>
      <c r="T1891" s="129">
        <v>3</v>
      </c>
      <c r="W1891" s="111"/>
      <c r="AC1891" s="130"/>
      <c r="AD1891" s="130">
        <v>31987</v>
      </c>
      <c r="AE1891" s="128" t="s">
        <v>32</v>
      </c>
      <c r="AF1891" s="128" t="s">
        <v>40</v>
      </c>
      <c r="AG1891" s="128" t="s">
        <v>41</v>
      </c>
      <c r="AH1891" s="108" t="s">
        <v>41</v>
      </c>
      <c r="AI1891" s="128" t="s">
        <v>114</v>
      </c>
      <c r="AJ1891" s="129" t="s">
        <v>48</v>
      </c>
      <c r="AK1891" s="129">
        <v>2</v>
      </c>
      <c r="AL1891" s="3" t="s">
        <v>48</v>
      </c>
      <c r="AP1891" s="129" t="s">
        <v>108</v>
      </c>
      <c r="AR1891" s="128" t="s">
        <v>44</v>
      </c>
      <c r="AS1891" s="129" t="s">
        <v>61</v>
      </c>
      <c r="BC1891" s="129" t="s">
        <v>38</v>
      </c>
      <c r="BF1891" s="111">
        <v>0</v>
      </c>
      <c r="BG1891" s="111">
        <v>0</v>
      </c>
      <c r="BH1891" s="111">
        <f t="shared" si="1387"/>
        <v>31</v>
      </c>
      <c r="BI1891" s="111">
        <f t="shared" si="1388"/>
        <v>24.434426229508198</v>
      </c>
      <c r="BJ1891" s="129" t="e">
        <f>(G1891-J1891)+(M1891-G1891)</f>
        <v>#VALUE!</v>
      </c>
      <c r="BK1891" s="129" t="e">
        <f t="shared" si="1389"/>
        <v>#VALUE!</v>
      </c>
      <c r="BL1891" s="129" t="str">
        <f t="shared" si="1416"/>
        <v>DEFERRED</v>
      </c>
      <c r="BM1891" s="129" t="str">
        <f t="shared" si="1407"/>
        <v>NONE</v>
      </c>
      <c r="BN1891" s="129" t="s">
        <v>566</v>
      </c>
      <c r="BP1891" s="137" t="str">
        <f t="shared" si="1394"/>
        <v>DEFERRED</v>
      </c>
      <c r="BQ1891" s="128">
        <f t="shared" si="1395"/>
        <v>0</v>
      </c>
      <c r="BR1891" s="129" t="s">
        <v>1344</v>
      </c>
      <c r="BS1891" s="129" t="str">
        <f t="shared" si="1397"/>
        <v>DISPOSED</v>
      </c>
      <c r="BT1891" s="129" t="str">
        <f t="shared" si="1398"/>
        <v>N</v>
      </c>
      <c r="BU1891" s="109">
        <f t="shared" si="1399"/>
        <v>0</v>
      </c>
      <c r="BV1891" s="109">
        <v>0</v>
      </c>
      <c r="BW1891" s="109">
        <f t="shared" si="1420"/>
        <v>0</v>
      </c>
      <c r="BX1891" s="111">
        <f t="shared" si="1401"/>
        <v>0</v>
      </c>
      <c r="BY1891" s="129" t="e">
        <f t="shared" si="1402"/>
        <v>#VALUE!</v>
      </c>
      <c r="BZ1891" s="111" t="e">
        <f t="shared" si="1403"/>
        <v>#VALUE!</v>
      </c>
      <c r="CA1891" s="138" t="e">
        <f t="shared" si="1404"/>
        <v>#VALUE!</v>
      </c>
      <c r="CB1891" s="111">
        <v>0</v>
      </c>
      <c r="CC1891" s="129">
        <v>0</v>
      </c>
      <c r="CG1891" s="129" t="str">
        <f t="shared" si="1405"/>
        <v>Y</v>
      </c>
      <c r="CI1891" s="129" t="str">
        <f t="shared" si="1408"/>
        <v>0-10 DAYS</v>
      </c>
      <c r="CJ1891" s="137">
        <f t="shared" si="1409"/>
        <v>1</v>
      </c>
      <c r="CK1891" s="129" t="str">
        <f t="shared" si="1410"/>
        <v>Not Booked</v>
      </c>
    </row>
    <row r="1892" spans="1:89" ht="15" customHeight="1" x14ac:dyDescent="0.25">
      <c r="A1892" s="111">
        <v>2711</v>
      </c>
      <c r="B1892" s="128" t="str">
        <f t="shared" si="1391"/>
        <v>N</v>
      </c>
      <c r="C1892" s="128" t="str">
        <f t="shared" si="1392"/>
        <v>N</v>
      </c>
      <c r="D1892" s="117">
        <v>2328666</v>
      </c>
      <c r="E1892" s="135">
        <f t="shared" si="1393"/>
        <v>6</v>
      </c>
      <c r="F1892" s="124">
        <v>41009</v>
      </c>
      <c r="G1892" s="125">
        <v>41011</v>
      </c>
      <c r="H1892" s="117">
        <v>2328666</v>
      </c>
      <c r="I1892" s="124">
        <v>41010</v>
      </c>
      <c r="J1892" s="124">
        <v>41011</v>
      </c>
      <c r="K1892" s="126">
        <v>5000</v>
      </c>
      <c r="L1892" s="127" t="s">
        <v>569</v>
      </c>
      <c r="N1892" s="129" t="str">
        <f>IF(M1892&gt;1/1/1,"Y","N")</f>
        <v>N</v>
      </c>
      <c r="O1892" s="128" t="s">
        <v>917</v>
      </c>
      <c r="P1892" s="129" t="s">
        <v>39</v>
      </c>
      <c r="Q1892" s="111">
        <f t="shared" si="1417"/>
        <v>2</v>
      </c>
      <c r="R1892" s="111">
        <f t="shared" si="1415"/>
        <v>3</v>
      </c>
      <c r="S1892" s="129">
        <v>1</v>
      </c>
      <c r="T1892" s="129">
        <v>2</v>
      </c>
      <c r="W1892" s="111"/>
      <c r="AC1892" s="130"/>
      <c r="AD1892" s="130">
        <v>29052</v>
      </c>
      <c r="AE1892" s="128" t="s">
        <v>46</v>
      </c>
      <c r="AF1892" s="128" t="s">
        <v>33</v>
      </c>
      <c r="AG1892" s="128" t="s">
        <v>872</v>
      </c>
      <c r="AH1892" s="108" t="s">
        <v>58</v>
      </c>
      <c r="AI1892" s="128" t="s">
        <v>87</v>
      </c>
      <c r="AJ1892" s="129" t="s">
        <v>89</v>
      </c>
      <c r="AK1892" s="129">
        <v>1</v>
      </c>
      <c r="AL1892" s="3" t="s">
        <v>362</v>
      </c>
      <c r="AM1892" s="117">
        <v>2</v>
      </c>
      <c r="AP1892" s="129" t="s">
        <v>101</v>
      </c>
      <c r="AR1892" s="128" t="s">
        <v>67</v>
      </c>
      <c r="AS1892" s="129" t="s">
        <v>64</v>
      </c>
      <c r="BC1892" s="129" t="s">
        <v>38</v>
      </c>
      <c r="BF1892" s="111">
        <f t="shared" ref="BF1892:BF1907" si="1421">IF(J1892&gt;1/1/1900,((J1892+1)-I1892),"STILL OPEN")</f>
        <v>2</v>
      </c>
      <c r="BG1892" s="111">
        <f t="shared" ref="BG1892:BG1907" si="1422">IF(G1892&gt;1/1/1900,((G1892+1)-I1892),"STILL OPEN")</f>
        <v>2</v>
      </c>
      <c r="BH1892" s="111">
        <f t="shared" si="1387"/>
        <v>3</v>
      </c>
      <c r="BI1892" s="111">
        <f t="shared" si="1388"/>
        <v>32.669398907103826</v>
      </c>
      <c r="BJ1892" s="129">
        <f t="shared" si="1406"/>
        <v>0</v>
      </c>
      <c r="BK1892" s="129">
        <f t="shared" si="1389"/>
        <v>0</v>
      </c>
      <c r="BL1892" s="129" t="str">
        <f t="shared" si="1416"/>
        <v>CONVICTION</v>
      </c>
      <c r="BM1892" s="129" t="str">
        <f t="shared" si="1407"/>
        <v>NONE</v>
      </c>
      <c r="BN1892" s="129" t="s">
        <v>566</v>
      </c>
      <c r="BP1892" s="137" t="str">
        <f t="shared" si="1394"/>
        <v>CONVICTION</v>
      </c>
      <c r="BQ1892" s="128" t="str">
        <f t="shared" si="1395"/>
        <v>Y</v>
      </c>
      <c r="BR1892" s="129" t="str">
        <f t="shared" si="1396"/>
        <v>DETAINED</v>
      </c>
      <c r="BS1892" s="129" t="str">
        <f t="shared" si="1397"/>
        <v>DISPOSED</v>
      </c>
      <c r="BT1892" s="129" t="str">
        <f t="shared" si="1398"/>
        <v>Y</v>
      </c>
      <c r="BU1892" s="109">
        <f t="shared" si="1399"/>
        <v>0.66666666666666663</v>
      </c>
      <c r="BV1892" s="109">
        <f t="shared" si="1400"/>
        <v>1</v>
      </c>
      <c r="BW1892" s="109">
        <f t="shared" si="1420"/>
        <v>0.33333333333333337</v>
      </c>
      <c r="BX1892" s="111">
        <f t="shared" si="1401"/>
        <v>0</v>
      </c>
      <c r="BY1892" s="129">
        <f t="shared" si="1402"/>
        <v>-2</v>
      </c>
      <c r="BZ1892" s="111">
        <f t="shared" si="1403"/>
        <v>0</v>
      </c>
      <c r="CA1892" s="138">
        <f t="shared" si="1404"/>
        <v>2</v>
      </c>
      <c r="CB1892" s="111" t="e">
        <f t="shared" ref="CB1892:CB1907" si="1423">IF(AF1892&gt;1/1/1900,((AF1892+1)-AE1892),"STILL OPEN")</f>
        <v>#VALUE!</v>
      </c>
      <c r="CC1892" s="129">
        <f>G1892-I1892+1</f>
        <v>2</v>
      </c>
      <c r="CD1892" s="129">
        <f>G1892-J1892</f>
        <v>0</v>
      </c>
      <c r="CG1892" s="129" t="str">
        <f t="shared" si="1405"/>
        <v>Y</v>
      </c>
      <c r="CI1892" s="129" t="str">
        <f t="shared" si="1408"/>
        <v>0-10 DAYS</v>
      </c>
      <c r="CJ1892" s="137">
        <f t="shared" si="1409"/>
        <v>1</v>
      </c>
      <c r="CK1892" s="129" t="str">
        <f t="shared" si="1410"/>
        <v>Booked</v>
      </c>
    </row>
    <row r="1893" spans="1:89" ht="15.75" customHeight="1" x14ac:dyDescent="0.25">
      <c r="A1893" s="111">
        <v>1399</v>
      </c>
      <c r="B1893" s="128" t="str">
        <f t="shared" si="1391"/>
        <v>N</v>
      </c>
      <c r="C1893" s="128" t="str">
        <f t="shared" si="1392"/>
        <v>N</v>
      </c>
      <c r="D1893" s="117">
        <v>2328987</v>
      </c>
      <c r="E1893" s="135">
        <f t="shared" si="1393"/>
        <v>5</v>
      </c>
      <c r="F1893" s="124">
        <v>40960</v>
      </c>
      <c r="G1893" s="125">
        <v>40962</v>
      </c>
      <c r="H1893" s="117">
        <v>2328987</v>
      </c>
      <c r="I1893" s="124">
        <v>40960</v>
      </c>
      <c r="J1893" s="124">
        <v>40962</v>
      </c>
      <c r="K1893" s="126" t="s">
        <v>564</v>
      </c>
      <c r="L1893" s="127" t="s">
        <v>564</v>
      </c>
      <c r="N1893" s="129" t="s">
        <v>566</v>
      </c>
      <c r="O1893" s="128" t="s">
        <v>917</v>
      </c>
      <c r="P1893" s="129" t="s">
        <v>39</v>
      </c>
      <c r="Q1893" s="111">
        <f t="shared" si="1417"/>
        <v>3</v>
      </c>
      <c r="R1893" s="111">
        <f t="shared" si="1415"/>
        <v>3</v>
      </c>
      <c r="S1893" s="129">
        <v>1</v>
      </c>
      <c r="T1893" s="129">
        <v>4</v>
      </c>
      <c r="U1893" s="129">
        <v>1</v>
      </c>
      <c r="W1893" s="111"/>
      <c r="AC1893" s="130"/>
      <c r="AD1893" s="130">
        <v>22259</v>
      </c>
      <c r="AE1893" s="128" t="s">
        <v>32</v>
      </c>
      <c r="AF1893" s="128" t="s">
        <v>33</v>
      </c>
      <c r="AG1893" s="128" t="s">
        <v>872</v>
      </c>
      <c r="AH1893" s="108" t="s">
        <v>58</v>
      </c>
      <c r="AI1893" s="128" t="s">
        <v>113</v>
      </c>
      <c r="AJ1893" s="129" t="s">
        <v>89</v>
      </c>
      <c r="AK1893" s="129">
        <v>1</v>
      </c>
      <c r="AL1893" s="3" t="s">
        <v>992</v>
      </c>
      <c r="AN1893" s="117">
        <v>6</v>
      </c>
      <c r="AP1893" s="129" t="s">
        <v>60</v>
      </c>
      <c r="AR1893" s="128" t="s">
        <v>44</v>
      </c>
      <c r="AS1893" s="129" t="s">
        <v>61</v>
      </c>
      <c r="BC1893" s="129" t="s">
        <v>38</v>
      </c>
      <c r="BF1893" s="111">
        <f t="shared" si="1421"/>
        <v>3</v>
      </c>
      <c r="BG1893" s="111">
        <f t="shared" si="1422"/>
        <v>3</v>
      </c>
      <c r="BH1893" s="111">
        <f t="shared" si="1387"/>
        <v>3</v>
      </c>
      <c r="BI1893" s="111">
        <f t="shared" si="1388"/>
        <v>51.095628415300546</v>
      </c>
      <c r="BJ1893" s="129">
        <f t="shared" si="1406"/>
        <v>0</v>
      </c>
      <c r="BK1893" s="129">
        <f t="shared" si="1389"/>
        <v>0</v>
      </c>
      <c r="BL1893" s="129" t="str">
        <f t="shared" si="1416"/>
        <v>CONVICTION</v>
      </c>
      <c r="BM1893" s="129" t="str">
        <f t="shared" si="1407"/>
        <v>NONE</v>
      </c>
      <c r="BN1893" s="129" t="s">
        <v>566</v>
      </c>
      <c r="BP1893" s="137" t="str">
        <f t="shared" si="1394"/>
        <v>CONVICTION</v>
      </c>
      <c r="BQ1893" s="128" t="str">
        <f t="shared" si="1395"/>
        <v>Y</v>
      </c>
      <c r="BR1893" s="129" t="str">
        <f t="shared" si="1396"/>
        <v>DETAINED</v>
      </c>
      <c r="BS1893" s="129" t="str">
        <f t="shared" si="1397"/>
        <v>DISPOSED</v>
      </c>
      <c r="BT1893" s="129" t="str">
        <f t="shared" si="1398"/>
        <v>Y</v>
      </c>
      <c r="BU1893" s="109">
        <f t="shared" si="1399"/>
        <v>1</v>
      </c>
      <c r="BV1893" s="109">
        <f t="shared" si="1400"/>
        <v>1</v>
      </c>
      <c r="BW1893" s="109">
        <f t="shared" si="1420"/>
        <v>0</v>
      </c>
      <c r="BX1893" s="111">
        <f t="shared" si="1401"/>
        <v>0</v>
      </c>
      <c r="BY1893" s="129">
        <f t="shared" si="1402"/>
        <v>-3</v>
      </c>
      <c r="BZ1893" s="111">
        <f t="shared" si="1403"/>
        <v>0</v>
      </c>
      <c r="CA1893" s="138">
        <f t="shared" si="1404"/>
        <v>3</v>
      </c>
      <c r="CB1893" s="111" t="e">
        <f t="shared" si="1423"/>
        <v>#VALUE!</v>
      </c>
      <c r="CC1893" s="129">
        <f>G1893-I1893+1</f>
        <v>3</v>
      </c>
      <c r="CD1893" s="129">
        <f>G1893-J1893</f>
        <v>0</v>
      </c>
      <c r="CG1893" s="129" t="str">
        <f t="shared" si="1405"/>
        <v>Y</v>
      </c>
      <c r="CI1893" s="129" t="str">
        <f t="shared" si="1408"/>
        <v>0-10 DAYS</v>
      </c>
      <c r="CJ1893" s="137">
        <f t="shared" si="1409"/>
        <v>1</v>
      </c>
      <c r="CK1893" s="129" t="str">
        <f t="shared" si="1410"/>
        <v>Booked</v>
      </c>
    </row>
    <row r="1894" spans="1:89" ht="15.75" customHeight="1" x14ac:dyDescent="0.25">
      <c r="A1894" s="111">
        <v>257</v>
      </c>
      <c r="B1894" s="128" t="str">
        <f t="shared" si="1391"/>
        <v>N</v>
      </c>
      <c r="C1894" s="128" t="str">
        <f t="shared" si="1392"/>
        <v>N</v>
      </c>
      <c r="D1894" s="117">
        <v>2329079</v>
      </c>
      <c r="E1894" s="135">
        <f t="shared" si="1393"/>
        <v>1</v>
      </c>
      <c r="F1894" s="124">
        <v>40919</v>
      </c>
      <c r="G1894" s="125">
        <v>41158</v>
      </c>
      <c r="H1894" s="117">
        <v>2329079</v>
      </c>
      <c r="I1894" s="124">
        <v>40920</v>
      </c>
      <c r="J1894" s="124">
        <v>40920</v>
      </c>
      <c r="K1894" s="126">
        <v>20000</v>
      </c>
      <c r="L1894" s="127" t="s">
        <v>571</v>
      </c>
      <c r="M1894" s="125">
        <v>40920</v>
      </c>
      <c r="N1894" s="129" t="str">
        <f t="shared" ref="N1894:N1903" si="1424">IF(M1894&gt;1/1/1,"Y","N")</f>
        <v>Y</v>
      </c>
      <c r="O1894" s="128" t="s">
        <v>585</v>
      </c>
      <c r="P1894" s="129" t="s">
        <v>55</v>
      </c>
      <c r="Q1894" s="111">
        <f t="shared" si="1417"/>
        <v>1</v>
      </c>
      <c r="R1894" s="111">
        <f t="shared" si="1415"/>
        <v>240</v>
      </c>
      <c r="S1894" s="129">
        <v>0</v>
      </c>
      <c r="T1894" s="129">
        <v>0</v>
      </c>
      <c r="W1894" s="111"/>
      <c r="AC1894" s="130"/>
      <c r="AD1894" s="130">
        <v>29333</v>
      </c>
      <c r="AE1894" s="128" t="s">
        <v>46</v>
      </c>
      <c r="AF1894" s="128" t="s">
        <v>69</v>
      </c>
      <c r="AG1894" s="128" t="s">
        <v>874</v>
      </c>
      <c r="AH1894" s="108" t="s">
        <v>58</v>
      </c>
      <c r="AI1894" s="128" t="s">
        <v>113</v>
      </c>
      <c r="AJ1894" s="129" t="s">
        <v>55</v>
      </c>
      <c r="AK1894" s="129">
        <v>12</v>
      </c>
      <c r="AL1894" s="3" t="s">
        <v>55</v>
      </c>
      <c r="AP1894" s="129" t="s">
        <v>182</v>
      </c>
      <c r="AR1894" s="128" t="s">
        <v>92</v>
      </c>
      <c r="AS1894" s="129" t="s">
        <v>61</v>
      </c>
      <c r="BC1894" s="129" t="s">
        <v>52</v>
      </c>
      <c r="BF1894" s="111">
        <f t="shared" si="1421"/>
        <v>1</v>
      </c>
      <c r="BG1894" s="111">
        <f t="shared" si="1422"/>
        <v>239</v>
      </c>
      <c r="BH1894" s="111">
        <f t="shared" si="1387"/>
        <v>240</v>
      </c>
      <c r="BI1894" s="111">
        <f t="shared" si="1388"/>
        <v>31.655737704918032</v>
      </c>
      <c r="BJ1894" s="129">
        <f>(G1894-J1894)+(M1894-G1894)</f>
        <v>0</v>
      </c>
      <c r="BK1894" s="129">
        <f t="shared" si="1389"/>
        <v>-238</v>
      </c>
      <c r="BL1894" s="129" t="str">
        <f t="shared" si="1416"/>
        <v>NO CONVICTION</v>
      </c>
      <c r="BM1894" s="129" t="s">
        <v>76</v>
      </c>
      <c r="BN1894" s="129" t="s">
        <v>88</v>
      </c>
      <c r="BP1894" s="137" t="str">
        <f t="shared" si="1394"/>
        <v>NO CONVICTION</v>
      </c>
      <c r="BQ1894" s="128" t="str">
        <f t="shared" si="1395"/>
        <v>Y</v>
      </c>
      <c r="BR1894" s="129" t="str">
        <f t="shared" si="1396"/>
        <v>ON BOND</v>
      </c>
      <c r="BS1894" s="129" t="str">
        <f t="shared" si="1397"/>
        <v>DISPOSED</v>
      </c>
      <c r="BT1894" s="129" t="str">
        <f t="shared" si="1398"/>
        <v>N</v>
      </c>
      <c r="BU1894" s="109">
        <f>IFERROR(Q1894/R1894,BR1894)</f>
        <v>4.1666666666666666E-3</v>
      </c>
      <c r="BV1894" s="109">
        <f t="shared" si="1400"/>
        <v>4.1841004184100415E-3</v>
      </c>
      <c r="BW1894" s="109">
        <f t="shared" si="1420"/>
        <v>1.7433751743374873E-5</v>
      </c>
      <c r="BX1894" s="111">
        <f t="shared" si="1401"/>
        <v>0</v>
      </c>
      <c r="BY1894" s="129">
        <f t="shared" si="1402"/>
        <v>-1</v>
      </c>
      <c r="BZ1894" s="111">
        <f t="shared" si="1403"/>
        <v>0</v>
      </c>
      <c r="CA1894" s="138">
        <f t="shared" si="1404"/>
        <v>1</v>
      </c>
      <c r="CB1894" s="111" t="e">
        <f t="shared" si="1423"/>
        <v>#VALUE!</v>
      </c>
      <c r="CC1894" s="129">
        <f>M1894-I1894+1</f>
        <v>1</v>
      </c>
      <c r="CD1894" s="111">
        <f>CC1894-BF1894</f>
        <v>0</v>
      </c>
      <c r="CG1894" s="129" t="str">
        <f t="shared" si="1405"/>
        <v>N</v>
      </c>
      <c r="CI1894" s="129" t="str">
        <f t="shared" si="1408"/>
        <v>0-10 DAYS</v>
      </c>
      <c r="CJ1894" s="137">
        <f t="shared" si="1409"/>
        <v>1</v>
      </c>
      <c r="CK1894" s="129" t="str">
        <f t="shared" si="1410"/>
        <v>Booked</v>
      </c>
    </row>
    <row r="1895" spans="1:89" ht="15.75" customHeight="1" x14ac:dyDescent="0.25">
      <c r="A1895" s="111">
        <v>2792</v>
      </c>
      <c r="B1895" s="128" t="str">
        <f t="shared" si="1391"/>
        <v>Y</v>
      </c>
      <c r="C1895" s="128" t="str">
        <f t="shared" si="1392"/>
        <v>Y</v>
      </c>
      <c r="D1895" s="117">
        <v>2329190</v>
      </c>
      <c r="E1895" s="135">
        <f t="shared" si="1393"/>
        <v>2</v>
      </c>
      <c r="F1895" s="124">
        <v>41012</v>
      </c>
      <c r="G1895" s="125">
        <v>41201</v>
      </c>
      <c r="H1895" s="117">
        <v>2329190</v>
      </c>
      <c r="I1895" s="124">
        <v>41016</v>
      </c>
      <c r="J1895" s="124">
        <v>41018</v>
      </c>
      <c r="K1895" s="126">
        <v>30000</v>
      </c>
      <c r="L1895" s="129" t="s">
        <v>572</v>
      </c>
      <c r="M1895" s="125">
        <v>41018</v>
      </c>
      <c r="N1895" s="129" t="str">
        <f t="shared" si="1424"/>
        <v>Y</v>
      </c>
      <c r="O1895" s="128" t="s">
        <v>585</v>
      </c>
      <c r="P1895" s="129" t="s">
        <v>589</v>
      </c>
      <c r="Q1895" s="111">
        <v>97</v>
      </c>
      <c r="R1895" s="111">
        <f t="shared" si="1415"/>
        <v>190</v>
      </c>
      <c r="S1895" s="129">
        <v>4</v>
      </c>
      <c r="T1895" s="129">
        <v>1</v>
      </c>
      <c r="U1895" s="129">
        <v>2</v>
      </c>
      <c r="W1895" s="111"/>
      <c r="AC1895" s="130"/>
      <c r="AD1895" s="130">
        <v>33012</v>
      </c>
      <c r="AE1895" s="128" t="s">
        <v>32</v>
      </c>
      <c r="AF1895" s="128" t="s">
        <v>33</v>
      </c>
      <c r="AG1895" s="128" t="s">
        <v>872</v>
      </c>
      <c r="AH1895" s="108" t="s">
        <v>31</v>
      </c>
      <c r="AI1895" s="128" t="s">
        <v>71</v>
      </c>
      <c r="AJ1895" s="129" t="s">
        <v>48</v>
      </c>
      <c r="AK1895" s="129">
        <v>12</v>
      </c>
      <c r="AL1895" s="3" t="s">
        <v>48</v>
      </c>
      <c r="AP1895" s="129" t="s">
        <v>150</v>
      </c>
      <c r="AR1895" s="128" t="s">
        <v>67</v>
      </c>
      <c r="AS1895" s="129" t="s">
        <v>74</v>
      </c>
      <c r="AU1895" s="3" t="s">
        <v>784</v>
      </c>
      <c r="AX1895" s="32" t="s">
        <v>88</v>
      </c>
      <c r="BC1895" s="129" t="s">
        <v>52</v>
      </c>
      <c r="BD1895" s="129" t="s">
        <v>1294</v>
      </c>
      <c r="BF1895" s="111">
        <v>97</v>
      </c>
      <c r="BG1895" s="111">
        <f t="shared" si="1422"/>
        <v>186</v>
      </c>
      <c r="BH1895" s="111">
        <f t="shared" si="1387"/>
        <v>190</v>
      </c>
      <c r="BI1895" s="111">
        <f t="shared" si="1388"/>
        <v>21.857923497267759</v>
      </c>
      <c r="BJ1895" s="129">
        <f>(G1895-J1895)+(M1895-G1895)</f>
        <v>0</v>
      </c>
      <c r="BK1895" s="129">
        <f t="shared" si="1389"/>
        <v>-183</v>
      </c>
      <c r="BL1895" s="129" t="str">
        <f t="shared" si="1416"/>
        <v>DEFERRED</v>
      </c>
      <c r="BM1895" s="129" t="s">
        <v>76</v>
      </c>
      <c r="BN1895" s="129" t="s">
        <v>88</v>
      </c>
      <c r="BP1895" s="137" t="str">
        <f t="shared" si="1394"/>
        <v>DEFERRED</v>
      </c>
      <c r="BQ1895" s="128" t="str">
        <f t="shared" si="1395"/>
        <v>Y</v>
      </c>
      <c r="BR1895" s="129" t="s">
        <v>574</v>
      </c>
      <c r="BS1895" s="129" t="str">
        <f t="shared" si="1397"/>
        <v>DISPOSED</v>
      </c>
      <c r="BT1895" s="129" t="str">
        <f t="shared" si="1398"/>
        <v>Y</v>
      </c>
      <c r="BU1895" s="109">
        <f t="shared" si="1399"/>
        <v>0.51052631578947372</v>
      </c>
      <c r="BV1895" s="109">
        <f t="shared" si="1400"/>
        <v>1.6129032258064516E-2</v>
      </c>
      <c r="BW1895" s="109">
        <f t="shared" si="1420"/>
        <v>-0.49439728353140922</v>
      </c>
      <c r="BX1895" s="111">
        <f t="shared" si="1401"/>
        <v>0</v>
      </c>
      <c r="BY1895" s="129">
        <f t="shared" si="1402"/>
        <v>-3</v>
      </c>
      <c r="BZ1895" s="111">
        <f t="shared" si="1403"/>
        <v>94</v>
      </c>
      <c r="CA1895" s="138">
        <f t="shared" si="1404"/>
        <v>186</v>
      </c>
      <c r="CB1895" s="111">
        <v>97</v>
      </c>
      <c r="CC1895" s="129">
        <f>G1895-I1895+1</f>
        <v>186</v>
      </c>
      <c r="CD1895" s="129">
        <f>G1895-J1895</f>
        <v>183</v>
      </c>
      <c r="CG1895" s="129" t="str">
        <f t="shared" si="1405"/>
        <v>Y</v>
      </c>
      <c r="CI1895" s="129" t="str">
        <f t="shared" si="1408"/>
        <v>91-120 DAYS</v>
      </c>
      <c r="CJ1895" s="137">
        <f t="shared" si="1409"/>
        <v>0</v>
      </c>
      <c r="CK1895" s="129" t="str">
        <f t="shared" si="1410"/>
        <v>Booked</v>
      </c>
    </row>
    <row r="1896" spans="1:89" ht="15" customHeight="1" x14ac:dyDescent="0.25">
      <c r="A1896" s="111">
        <v>70</v>
      </c>
      <c r="B1896" s="128" t="str">
        <f t="shared" si="1391"/>
        <v>N</v>
      </c>
      <c r="C1896" s="128" t="str">
        <f t="shared" si="1392"/>
        <v>Y</v>
      </c>
      <c r="D1896" s="117">
        <v>2329267</v>
      </c>
      <c r="E1896" s="135">
        <f t="shared" si="1393"/>
        <v>4</v>
      </c>
      <c r="F1896" s="124">
        <v>40912</v>
      </c>
      <c r="G1896" s="125">
        <v>41248</v>
      </c>
      <c r="H1896" s="117">
        <v>2329267</v>
      </c>
      <c r="I1896" s="124">
        <v>41068</v>
      </c>
      <c r="J1896" s="125">
        <v>41076</v>
      </c>
      <c r="K1896" s="126">
        <v>20000</v>
      </c>
      <c r="L1896" s="127" t="s">
        <v>571</v>
      </c>
      <c r="M1896" s="125">
        <v>41076</v>
      </c>
      <c r="N1896" s="129" t="str">
        <f t="shared" si="1424"/>
        <v>Y</v>
      </c>
      <c r="O1896" s="128" t="s">
        <v>76</v>
      </c>
      <c r="P1896" s="129" t="s">
        <v>39</v>
      </c>
      <c r="Q1896" s="111">
        <v>14</v>
      </c>
      <c r="R1896" s="111">
        <f t="shared" si="1415"/>
        <v>337</v>
      </c>
      <c r="S1896" s="129">
        <v>0</v>
      </c>
      <c r="T1896" s="129">
        <v>4</v>
      </c>
      <c r="W1896" s="111"/>
      <c r="AC1896" s="130"/>
      <c r="AD1896" s="130">
        <v>33137</v>
      </c>
      <c r="AE1896" s="128" t="s">
        <v>32</v>
      </c>
      <c r="AF1896" s="128" t="s">
        <v>33</v>
      </c>
      <c r="AG1896" s="128" t="s">
        <v>872</v>
      </c>
      <c r="AH1896" s="108" t="s">
        <v>31</v>
      </c>
      <c r="AI1896" s="128" t="s">
        <v>100</v>
      </c>
      <c r="AJ1896" s="129" t="s">
        <v>39</v>
      </c>
      <c r="AK1896" s="129">
        <v>10</v>
      </c>
      <c r="AL1896" s="3" t="s">
        <v>991</v>
      </c>
      <c r="AO1896" s="128">
        <v>30</v>
      </c>
      <c r="AP1896" s="129" t="s">
        <v>130</v>
      </c>
      <c r="AR1896" s="128" t="s">
        <v>92</v>
      </c>
      <c r="AS1896" s="129" t="s">
        <v>57</v>
      </c>
      <c r="AV1896" s="3" t="s">
        <v>88</v>
      </c>
      <c r="AW1896" s="125" t="s">
        <v>677</v>
      </c>
      <c r="AX1896" s="125"/>
      <c r="BA1896" s="125">
        <v>44119</v>
      </c>
      <c r="BB1896" s="129">
        <v>235</v>
      </c>
      <c r="BC1896" s="129" t="s">
        <v>38</v>
      </c>
      <c r="BF1896" s="111">
        <v>14</v>
      </c>
      <c r="BG1896" s="111">
        <f t="shared" si="1422"/>
        <v>181</v>
      </c>
      <c r="BH1896" s="111">
        <f t="shared" si="1387"/>
        <v>337</v>
      </c>
      <c r="BI1896" s="111">
        <f t="shared" si="1388"/>
        <v>21.243169398907103</v>
      </c>
      <c r="BJ1896" s="129">
        <f>(G1896-J1896)+(M1896-G1896)</f>
        <v>0</v>
      </c>
      <c r="BK1896" s="129">
        <f t="shared" si="1389"/>
        <v>-172</v>
      </c>
      <c r="BL1896" s="129" t="str">
        <f t="shared" si="1416"/>
        <v>CONVICTION</v>
      </c>
      <c r="BM1896" s="129" t="s">
        <v>76</v>
      </c>
      <c r="BN1896" s="129" t="s">
        <v>88</v>
      </c>
      <c r="BP1896" s="137" t="s">
        <v>1057</v>
      </c>
      <c r="BQ1896" s="128" t="str">
        <f t="shared" si="1395"/>
        <v>Y</v>
      </c>
      <c r="BR1896" s="129" t="str">
        <f>IF(J1896&lt;G1896,"ON BOND",0)</f>
        <v>ON BOND</v>
      </c>
      <c r="BS1896" s="129" t="str">
        <f t="shared" si="1397"/>
        <v>DISPOSED</v>
      </c>
      <c r="BT1896" s="129" t="str">
        <f t="shared" si="1398"/>
        <v>N</v>
      </c>
      <c r="BU1896" s="109">
        <f>IFERROR(Q1896/R1896,BR1896)</f>
        <v>4.1543026706231452E-2</v>
      </c>
      <c r="BV1896" s="109">
        <f t="shared" si="1400"/>
        <v>4.9723756906077346E-2</v>
      </c>
      <c r="BW1896" s="109">
        <f t="shared" si="1420"/>
        <v>8.1807301998458939E-3</v>
      </c>
      <c r="BX1896" s="111">
        <f t="shared" si="1401"/>
        <v>0</v>
      </c>
      <c r="BY1896" s="129">
        <f t="shared" si="1402"/>
        <v>-9</v>
      </c>
      <c r="BZ1896" s="111">
        <f t="shared" si="1403"/>
        <v>5</v>
      </c>
      <c r="CA1896" s="138">
        <f t="shared" si="1404"/>
        <v>9</v>
      </c>
      <c r="CB1896" s="111">
        <v>14</v>
      </c>
      <c r="CD1896" s="129">
        <f>G1896-J1896</f>
        <v>172</v>
      </c>
      <c r="CG1896" s="129" t="str">
        <f t="shared" si="1405"/>
        <v>Y</v>
      </c>
      <c r="CI1896" s="129" t="str">
        <f t="shared" si="1408"/>
        <v>11-30 DAYS</v>
      </c>
      <c r="CJ1896" s="137">
        <f t="shared" si="1409"/>
        <v>2</v>
      </c>
      <c r="CK1896" s="129" t="str">
        <f t="shared" si="1410"/>
        <v>Booked</v>
      </c>
    </row>
    <row r="1897" spans="1:89" ht="15" customHeight="1" x14ac:dyDescent="0.25">
      <c r="A1897" s="111">
        <v>1494</v>
      </c>
      <c r="B1897" s="128" t="str">
        <f t="shared" si="1391"/>
        <v>N</v>
      </c>
      <c r="C1897" s="128" t="str">
        <f t="shared" si="1392"/>
        <v>N</v>
      </c>
      <c r="D1897" s="117">
        <v>2329991</v>
      </c>
      <c r="E1897" s="135">
        <f t="shared" si="1393"/>
        <v>2</v>
      </c>
      <c r="F1897" s="124">
        <v>40964</v>
      </c>
      <c r="G1897" s="125">
        <v>41102</v>
      </c>
      <c r="H1897" s="117">
        <v>2329991</v>
      </c>
      <c r="I1897" s="124">
        <v>40964</v>
      </c>
      <c r="J1897" s="124">
        <v>41102</v>
      </c>
      <c r="K1897" s="126">
        <v>75000</v>
      </c>
      <c r="L1897" s="129" t="s">
        <v>572</v>
      </c>
      <c r="N1897" s="129" t="str">
        <f t="shared" si="1424"/>
        <v>N</v>
      </c>
      <c r="O1897" s="128" t="s">
        <v>917</v>
      </c>
      <c r="P1897" s="129" t="s">
        <v>589</v>
      </c>
      <c r="Q1897" s="111">
        <f t="shared" si="1417"/>
        <v>139</v>
      </c>
      <c r="R1897" s="111">
        <f t="shared" si="1415"/>
        <v>139</v>
      </c>
      <c r="S1897" s="129">
        <v>2</v>
      </c>
      <c r="T1897" s="129">
        <v>1</v>
      </c>
      <c r="U1897" s="129">
        <v>1</v>
      </c>
      <c r="W1897" s="111"/>
      <c r="AC1897" s="130"/>
      <c r="AD1897" s="130">
        <v>32944</v>
      </c>
      <c r="AE1897" s="128" t="s">
        <v>32</v>
      </c>
      <c r="AF1897" s="128" t="s">
        <v>69</v>
      </c>
      <c r="AG1897" s="128" t="s">
        <v>874</v>
      </c>
      <c r="AH1897" s="108" t="s">
        <v>31</v>
      </c>
      <c r="AI1897" s="128" t="s">
        <v>85</v>
      </c>
      <c r="AJ1897" s="129" t="s">
        <v>48</v>
      </c>
      <c r="AK1897" s="129">
        <v>5</v>
      </c>
      <c r="AL1897" s="3" t="s">
        <v>48</v>
      </c>
      <c r="AP1897" s="129" t="s">
        <v>91</v>
      </c>
      <c r="AR1897" s="128" t="s">
        <v>92</v>
      </c>
      <c r="AS1897" s="129" t="s">
        <v>74</v>
      </c>
      <c r="AW1897" s="123"/>
      <c r="AX1897" s="123"/>
      <c r="BC1897" s="129" t="s">
        <v>38</v>
      </c>
      <c r="BF1897" s="111">
        <f t="shared" si="1421"/>
        <v>139</v>
      </c>
      <c r="BG1897" s="111">
        <f t="shared" si="1422"/>
        <v>139</v>
      </c>
      <c r="BH1897" s="111">
        <f t="shared" si="1387"/>
        <v>139</v>
      </c>
      <c r="BI1897" s="111">
        <f t="shared" si="1388"/>
        <v>21.912568306010929</v>
      </c>
      <c r="BJ1897" s="129">
        <f t="shared" si="1406"/>
        <v>0</v>
      </c>
      <c r="BK1897" s="129">
        <f t="shared" si="1389"/>
        <v>0</v>
      </c>
      <c r="BL1897" s="129" t="str">
        <f t="shared" si="1416"/>
        <v>DEFERRED</v>
      </c>
      <c r="BM1897" s="129" t="str">
        <f t="shared" si="1407"/>
        <v>NONE</v>
      </c>
      <c r="BN1897" s="129" t="s">
        <v>566</v>
      </c>
      <c r="BP1897" s="137" t="str">
        <f t="shared" si="1394"/>
        <v>DEFERRED</v>
      </c>
      <c r="BQ1897" s="128" t="str">
        <f t="shared" si="1395"/>
        <v>Y</v>
      </c>
      <c r="BR1897" s="129" t="str">
        <f t="shared" si="1396"/>
        <v>DETAINED</v>
      </c>
      <c r="BS1897" s="129" t="str">
        <f t="shared" si="1397"/>
        <v>DISPOSED</v>
      </c>
      <c r="BT1897" s="129" t="str">
        <f t="shared" si="1398"/>
        <v>Y</v>
      </c>
      <c r="BU1897" s="109">
        <f t="shared" si="1399"/>
        <v>1</v>
      </c>
      <c r="BV1897" s="109">
        <f t="shared" si="1400"/>
        <v>1</v>
      </c>
      <c r="BW1897" s="109">
        <f t="shared" si="1420"/>
        <v>0</v>
      </c>
      <c r="BX1897" s="111">
        <f t="shared" si="1401"/>
        <v>0</v>
      </c>
      <c r="BY1897" s="129">
        <f t="shared" si="1402"/>
        <v>-139</v>
      </c>
      <c r="BZ1897" s="111">
        <f t="shared" si="1403"/>
        <v>0</v>
      </c>
      <c r="CA1897" s="138">
        <f t="shared" si="1404"/>
        <v>139</v>
      </c>
      <c r="CB1897" s="111" t="e">
        <f t="shared" si="1423"/>
        <v>#VALUE!</v>
      </c>
      <c r="CC1897" s="129">
        <f>G1897-I1897+1</f>
        <v>139</v>
      </c>
      <c r="CD1897" s="129">
        <f>G1897-J1897</f>
        <v>0</v>
      </c>
      <c r="CG1897" s="129" t="str">
        <f t="shared" si="1405"/>
        <v>Y</v>
      </c>
      <c r="CI1897" s="129" t="str">
        <f t="shared" si="1408"/>
        <v>121-365 DAYS</v>
      </c>
      <c r="CJ1897" s="137">
        <f t="shared" si="1409"/>
        <v>6</v>
      </c>
      <c r="CK1897" s="129" t="str">
        <f t="shared" si="1410"/>
        <v>Booked</v>
      </c>
    </row>
    <row r="1898" spans="1:89" ht="15" customHeight="1" x14ac:dyDescent="0.25">
      <c r="A1898" s="111">
        <v>1175</v>
      </c>
      <c r="B1898" s="128" t="str">
        <f t="shared" si="1391"/>
        <v>Y</v>
      </c>
      <c r="C1898" s="128" t="str">
        <f t="shared" si="1392"/>
        <v>Y</v>
      </c>
      <c r="D1898" s="117">
        <v>2330285</v>
      </c>
      <c r="E1898" s="135">
        <f t="shared" si="1393"/>
        <v>5</v>
      </c>
      <c r="F1898" s="124">
        <v>40951</v>
      </c>
      <c r="G1898" s="125">
        <v>41052</v>
      </c>
      <c r="H1898" s="117">
        <v>2330285</v>
      </c>
      <c r="I1898" s="124">
        <v>40951</v>
      </c>
      <c r="J1898" s="124">
        <v>40954</v>
      </c>
      <c r="K1898" s="126">
        <v>7000</v>
      </c>
      <c r="L1898" s="127" t="s">
        <v>570</v>
      </c>
      <c r="M1898" s="125">
        <v>40954</v>
      </c>
      <c r="N1898" s="129" t="str">
        <f t="shared" si="1424"/>
        <v>Y</v>
      </c>
      <c r="O1898" s="128" t="s">
        <v>585</v>
      </c>
      <c r="P1898" s="129" t="s">
        <v>39</v>
      </c>
      <c r="Q1898" s="111">
        <v>64</v>
      </c>
      <c r="R1898" s="111">
        <f t="shared" si="1415"/>
        <v>102</v>
      </c>
      <c r="S1898" s="129">
        <v>0</v>
      </c>
      <c r="T1898" s="129">
        <v>5</v>
      </c>
      <c r="W1898" s="111"/>
      <c r="AC1898" s="130"/>
      <c r="AD1898" s="130">
        <v>34076</v>
      </c>
      <c r="AE1898" s="128" t="s">
        <v>32</v>
      </c>
      <c r="AF1898" s="128" t="s">
        <v>33</v>
      </c>
      <c r="AG1898" s="128" t="s">
        <v>872</v>
      </c>
      <c r="AH1898" s="108" t="s">
        <v>31</v>
      </c>
      <c r="AI1898" s="128" t="s">
        <v>113</v>
      </c>
      <c r="AJ1898" s="129" t="s">
        <v>89</v>
      </c>
      <c r="AK1898" s="129">
        <v>8</v>
      </c>
      <c r="AL1898" s="3" t="s">
        <v>992</v>
      </c>
      <c r="AN1898" s="117">
        <v>9</v>
      </c>
      <c r="AP1898" s="129" t="s">
        <v>121</v>
      </c>
      <c r="AR1898" s="128" t="s">
        <v>44</v>
      </c>
      <c r="AS1898" s="129" t="s">
        <v>122</v>
      </c>
      <c r="AT1898" s="129" t="s">
        <v>1076</v>
      </c>
      <c r="AU1898" s="3" t="s">
        <v>818</v>
      </c>
      <c r="AV1898" s="3" t="s">
        <v>88</v>
      </c>
      <c r="AW1898" s="123">
        <v>41002</v>
      </c>
      <c r="AX1898" s="32" t="s">
        <v>88</v>
      </c>
      <c r="BA1898" s="125" t="s">
        <v>1195</v>
      </c>
      <c r="BB1898" s="129">
        <v>470</v>
      </c>
      <c r="BC1898" s="129" t="s">
        <v>52</v>
      </c>
      <c r="BD1898" s="129" t="s">
        <v>1077</v>
      </c>
      <c r="BF1898" s="111">
        <v>64</v>
      </c>
      <c r="BG1898" s="111">
        <f t="shared" si="1422"/>
        <v>102</v>
      </c>
      <c r="BH1898" s="111">
        <f t="shared" si="1387"/>
        <v>102</v>
      </c>
      <c r="BI1898" s="111">
        <f t="shared" si="1388"/>
        <v>18.784153005464482</v>
      </c>
      <c r="BJ1898" s="129">
        <f>(G1898-J1898)+(M1898-G1898)</f>
        <v>0</v>
      </c>
      <c r="BK1898" s="129">
        <f t="shared" si="1389"/>
        <v>-98</v>
      </c>
      <c r="BL1898" s="129" t="str">
        <f t="shared" si="1416"/>
        <v>CONVICTION</v>
      </c>
      <c r="BM1898" s="129" t="s">
        <v>76</v>
      </c>
      <c r="BN1898" s="129" t="s">
        <v>88</v>
      </c>
      <c r="BP1898" s="137" t="str">
        <f t="shared" si="1394"/>
        <v>CONVICTION</v>
      </c>
      <c r="BQ1898" s="128" t="str">
        <f t="shared" si="1395"/>
        <v>Y</v>
      </c>
      <c r="BR1898" s="129" t="s">
        <v>574</v>
      </c>
      <c r="BS1898" s="129" t="str">
        <f t="shared" si="1397"/>
        <v>DISPOSED</v>
      </c>
      <c r="BT1898" s="129" t="str">
        <f t="shared" si="1398"/>
        <v>N</v>
      </c>
      <c r="BU1898" s="109">
        <f t="shared" si="1399"/>
        <v>0.62745098039215685</v>
      </c>
      <c r="BV1898" s="109">
        <f t="shared" si="1400"/>
        <v>3.9215686274509803E-2</v>
      </c>
      <c r="BW1898" s="109">
        <f t="shared" si="1420"/>
        <v>-0.58823529411764708</v>
      </c>
      <c r="BX1898" s="111">
        <f t="shared" si="1401"/>
        <v>0</v>
      </c>
      <c r="BY1898" s="129">
        <f t="shared" si="1402"/>
        <v>-4</v>
      </c>
      <c r="BZ1898" s="111">
        <f t="shared" si="1403"/>
        <v>60</v>
      </c>
      <c r="CA1898" s="138">
        <f t="shared" si="1404"/>
        <v>102</v>
      </c>
      <c r="CB1898" s="111">
        <v>64</v>
      </c>
      <c r="CC1898" s="129">
        <f>G1898-I1898+1</f>
        <v>102</v>
      </c>
      <c r="CD1898" s="129">
        <f>G1898-J1898</f>
        <v>98</v>
      </c>
      <c r="CG1898" s="129" t="str">
        <f t="shared" si="1405"/>
        <v>Y</v>
      </c>
      <c r="CI1898" s="129" t="str">
        <f t="shared" si="1408"/>
        <v>61-90 DAYS</v>
      </c>
      <c r="CJ1898" s="137">
        <f t="shared" si="1409"/>
        <v>4</v>
      </c>
      <c r="CK1898" s="129" t="str">
        <f t="shared" si="1410"/>
        <v>Booked</v>
      </c>
    </row>
    <row r="1899" spans="1:89" ht="15.75" customHeight="1" x14ac:dyDescent="0.25">
      <c r="A1899" s="111">
        <v>95</v>
      </c>
      <c r="B1899" s="128" t="str">
        <f t="shared" si="1391"/>
        <v>N</v>
      </c>
      <c r="C1899" s="128" t="str">
        <f t="shared" si="1392"/>
        <v>N</v>
      </c>
      <c r="D1899" s="117">
        <v>2330338</v>
      </c>
      <c r="E1899" s="135">
        <f t="shared" si="1393"/>
        <v>5</v>
      </c>
      <c r="F1899" s="124">
        <v>40913</v>
      </c>
      <c r="G1899" s="125">
        <v>40960</v>
      </c>
      <c r="H1899" s="117">
        <v>2330338</v>
      </c>
      <c r="I1899" s="124">
        <v>40925</v>
      </c>
      <c r="J1899" s="124">
        <v>40960</v>
      </c>
      <c r="K1899" s="126">
        <v>5000</v>
      </c>
      <c r="L1899" s="127" t="s">
        <v>569</v>
      </c>
      <c r="N1899" s="129" t="str">
        <f t="shared" si="1424"/>
        <v>N</v>
      </c>
      <c r="O1899" s="128" t="s">
        <v>917</v>
      </c>
      <c r="P1899" s="129" t="s">
        <v>39</v>
      </c>
      <c r="Q1899" s="111">
        <f t="shared" si="1417"/>
        <v>36</v>
      </c>
      <c r="R1899" s="111">
        <f t="shared" si="1415"/>
        <v>48</v>
      </c>
      <c r="S1899" s="129">
        <v>1</v>
      </c>
      <c r="T1899" s="129">
        <v>0</v>
      </c>
      <c r="V1899" s="117">
        <v>1</v>
      </c>
      <c r="W1899" s="111"/>
      <c r="AB1899" s="131" t="s">
        <v>112</v>
      </c>
      <c r="AC1899" s="130"/>
      <c r="AD1899" s="130">
        <v>31331</v>
      </c>
      <c r="AE1899" s="128" t="s">
        <v>32</v>
      </c>
      <c r="AF1899" s="128" t="s">
        <v>40</v>
      </c>
      <c r="AG1899" s="128" t="s">
        <v>41</v>
      </c>
      <c r="AH1899" s="108" t="s">
        <v>31</v>
      </c>
      <c r="AI1899" s="128" t="s">
        <v>141</v>
      </c>
      <c r="AJ1899" s="129" t="s">
        <v>89</v>
      </c>
      <c r="AK1899" s="129">
        <v>4</v>
      </c>
      <c r="AL1899" s="3" t="s">
        <v>992</v>
      </c>
      <c r="AN1899" s="117">
        <v>7</v>
      </c>
      <c r="AP1899" s="129" t="s">
        <v>142</v>
      </c>
      <c r="AR1899" s="128" t="s">
        <v>44</v>
      </c>
      <c r="AS1899" s="129" t="s">
        <v>64</v>
      </c>
      <c r="BC1899" s="129" t="s">
        <v>99</v>
      </c>
      <c r="BF1899" s="111">
        <f t="shared" si="1421"/>
        <v>36</v>
      </c>
      <c r="BG1899" s="111">
        <f t="shared" si="1422"/>
        <v>36</v>
      </c>
      <c r="BH1899" s="111">
        <f t="shared" si="1387"/>
        <v>48</v>
      </c>
      <c r="BI1899" s="111">
        <f t="shared" si="1388"/>
        <v>26.180327868852459</v>
      </c>
      <c r="BJ1899" s="129">
        <f t="shared" si="1406"/>
        <v>0</v>
      </c>
      <c r="BK1899" s="129">
        <f t="shared" si="1389"/>
        <v>0</v>
      </c>
      <c r="BL1899" s="129" t="str">
        <f t="shared" si="1416"/>
        <v>CONVICTION</v>
      </c>
      <c r="BM1899" s="129" t="str">
        <f t="shared" si="1407"/>
        <v>NONE</v>
      </c>
      <c r="BN1899" s="129" t="s">
        <v>566</v>
      </c>
      <c r="BP1899" s="137" t="str">
        <f t="shared" si="1394"/>
        <v>CONVICTION</v>
      </c>
      <c r="BQ1899" s="128" t="str">
        <f t="shared" si="1395"/>
        <v>Y</v>
      </c>
      <c r="BR1899" s="129" t="str">
        <f t="shared" si="1396"/>
        <v>DETAINED</v>
      </c>
      <c r="BS1899" s="129" t="str">
        <f t="shared" si="1397"/>
        <v>DISPOSED</v>
      </c>
      <c r="BT1899" s="129" t="str">
        <f t="shared" si="1398"/>
        <v>Y</v>
      </c>
      <c r="BU1899" s="109">
        <f t="shared" si="1399"/>
        <v>0.75</v>
      </c>
      <c r="BV1899" s="109">
        <f t="shared" si="1400"/>
        <v>1</v>
      </c>
      <c r="BW1899" s="109">
        <f t="shared" si="1420"/>
        <v>0.25</v>
      </c>
      <c r="BX1899" s="111">
        <f t="shared" si="1401"/>
        <v>0</v>
      </c>
      <c r="BY1899" s="129">
        <f t="shared" si="1402"/>
        <v>-36</v>
      </c>
      <c r="BZ1899" s="111">
        <f t="shared" si="1403"/>
        <v>0</v>
      </c>
      <c r="CA1899" s="138">
        <f t="shared" si="1404"/>
        <v>36</v>
      </c>
      <c r="CB1899" s="111" t="e">
        <f t="shared" si="1423"/>
        <v>#VALUE!</v>
      </c>
      <c r="CC1899" s="129">
        <f>G1899-I1899+1</f>
        <v>36</v>
      </c>
      <c r="CD1899" s="129">
        <f>G1899-J1899</f>
        <v>0</v>
      </c>
      <c r="CG1899" s="129" t="str">
        <f t="shared" si="1405"/>
        <v>Y</v>
      </c>
      <c r="CI1899" s="129" t="str">
        <f t="shared" si="1408"/>
        <v>31-60 DAYS</v>
      </c>
      <c r="CJ1899" s="137">
        <f t="shared" si="1409"/>
        <v>3</v>
      </c>
      <c r="CK1899" s="129" t="str">
        <f t="shared" si="1410"/>
        <v>Booked</v>
      </c>
    </row>
    <row r="1900" spans="1:89" ht="15.75" customHeight="1" x14ac:dyDescent="0.25">
      <c r="A1900" s="111">
        <v>2548</v>
      </c>
      <c r="B1900" s="128" t="str">
        <f t="shared" si="1391"/>
        <v>N</v>
      </c>
      <c r="C1900" s="128" t="str">
        <f t="shared" si="1392"/>
        <v>N</v>
      </c>
      <c r="D1900" s="117">
        <v>2330668</v>
      </c>
      <c r="E1900" s="135">
        <f t="shared" si="1393"/>
        <v>1</v>
      </c>
      <c r="F1900" s="124">
        <v>41004</v>
      </c>
      <c r="G1900" s="125">
        <v>41037</v>
      </c>
      <c r="H1900" s="117">
        <v>2330668</v>
      </c>
      <c r="I1900" s="124">
        <v>41004</v>
      </c>
      <c r="J1900" s="124">
        <v>41005</v>
      </c>
      <c r="K1900" s="126">
        <v>2000</v>
      </c>
      <c r="L1900" s="127" t="s">
        <v>568</v>
      </c>
      <c r="M1900" s="125">
        <v>41005</v>
      </c>
      <c r="N1900" s="129" t="str">
        <f t="shared" si="1424"/>
        <v>Y</v>
      </c>
      <c r="O1900" s="128" t="s">
        <v>76</v>
      </c>
      <c r="P1900" s="129" t="s">
        <v>55</v>
      </c>
      <c r="Q1900" s="111">
        <f t="shared" si="1417"/>
        <v>2</v>
      </c>
      <c r="R1900" s="111">
        <f t="shared" si="1415"/>
        <v>34</v>
      </c>
      <c r="S1900" s="129">
        <v>0</v>
      </c>
      <c r="T1900" s="129">
        <v>2</v>
      </c>
      <c r="W1900" s="111"/>
      <c r="AC1900" s="130"/>
      <c r="AD1900" s="130">
        <v>29696</v>
      </c>
      <c r="AE1900" s="128" t="s">
        <v>32</v>
      </c>
      <c r="AF1900" s="128" t="s">
        <v>33</v>
      </c>
      <c r="AG1900" s="128" t="s">
        <v>872</v>
      </c>
      <c r="AH1900" s="108" t="s">
        <v>58</v>
      </c>
      <c r="AI1900" s="128" t="s">
        <v>83</v>
      </c>
      <c r="AJ1900" s="129" t="s">
        <v>55</v>
      </c>
      <c r="AK1900" s="129">
        <v>3</v>
      </c>
      <c r="AL1900" s="3" t="s">
        <v>55</v>
      </c>
      <c r="AP1900" s="129" t="s">
        <v>43</v>
      </c>
      <c r="AR1900" s="128" t="s">
        <v>44</v>
      </c>
      <c r="AS1900" s="129" t="s">
        <v>45</v>
      </c>
      <c r="BC1900" s="129" t="s">
        <v>52</v>
      </c>
      <c r="BF1900" s="111">
        <f t="shared" si="1421"/>
        <v>2</v>
      </c>
      <c r="BG1900" s="111">
        <f t="shared" si="1422"/>
        <v>34</v>
      </c>
      <c r="BH1900" s="111">
        <f t="shared" si="1387"/>
        <v>34</v>
      </c>
      <c r="BI1900" s="111">
        <f t="shared" si="1388"/>
        <v>30.896174863387976</v>
      </c>
      <c r="BJ1900" s="129">
        <f>(G1900-J1900)+(M1900-G1900)</f>
        <v>0</v>
      </c>
      <c r="BK1900" s="129">
        <f t="shared" si="1389"/>
        <v>-32</v>
      </c>
      <c r="BL1900" s="129" t="str">
        <f t="shared" si="1416"/>
        <v>NO CONVICTION</v>
      </c>
      <c r="BM1900" s="129" t="s">
        <v>76</v>
      </c>
      <c r="BN1900" s="129" t="s">
        <v>88</v>
      </c>
      <c r="BP1900" s="137" t="str">
        <f t="shared" si="1394"/>
        <v>NO CONVICTION</v>
      </c>
      <c r="BQ1900" s="128" t="str">
        <f t="shared" si="1395"/>
        <v>Y</v>
      </c>
      <c r="BR1900" s="129" t="str">
        <f t="shared" si="1396"/>
        <v>ON BOND</v>
      </c>
      <c r="BS1900" s="129" t="str">
        <f t="shared" si="1397"/>
        <v>DISPOSED</v>
      </c>
      <c r="BT1900" s="129" t="str">
        <f t="shared" si="1398"/>
        <v>N</v>
      </c>
      <c r="BU1900" s="109">
        <f>IFERROR(Q1900/R1900,BR1900)</f>
        <v>5.8823529411764705E-2</v>
      </c>
      <c r="BV1900" s="109">
        <f t="shared" si="1400"/>
        <v>5.8823529411764705E-2</v>
      </c>
      <c r="BW1900" s="109">
        <f t="shared" si="1420"/>
        <v>0</v>
      </c>
      <c r="BX1900" s="111">
        <f t="shared" si="1401"/>
        <v>0</v>
      </c>
      <c r="BY1900" s="129">
        <f t="shared" si="1402"/>
        <v>-2</v>
      </c>
      <c r="BZ1900" s="111">
        <f t="shared" si="1403"/>
        <v>0</v>
      </c>
      <c r="CA1900" s="138">
        <f t="shared" si="1404"/>
        <v>2</v>
      </c>
      <c r="CB1900" s="111" t="e">
        <f t="shared" si="1423"/>
        <v>#VALUE!</v>
      </c>
      <c r="CC1900" s="129">
        <f>M1900-I1900+1</f>
        <v>2</v>
      </c>
      <c r="CD1900" s="111">
        <f>CC1900-BF1900</f>
        <v>0</v>
      </c>
      <c r="CG1900" s="129" t="str">
        <f t="shared" si="1405"/>
        <v>Y</v>
      </c>
      <c r="CI1900" s="129" t="str">
        <f t="shared" si="1408"/>
        <v>0-10 DAYS</v>
      </c>
      <c r="CJ1900" s="137">
        <f t="shared" si="1409"/>
        <v>1</v>
      </c>
      <c r="CK1900" s="129" t="str">
        <f t="shared" si="1410"/>
        <v>Booked</v>
      </c>
    </row>
    <row r="1901" spans="1:89" ht="15" customHeight="1" x14ac:dyDescent="0.25">
      <c r="A1901" s="111">
        <v>1650</v>
      </c>
      <c r="B1901" s="128" t="str">
        <f t="shared" si="1391"/>
        <v>N</v>
      </c>
      <c r="C1901" s="128" t="str">
        <f t="shared" si="1392"/>
        <v>N</v>
      </c>
      <c r="D1901" s="117">
        <v>2330861</v>
      </c>
      <c r="E1901" s="135">
        <f t="shared" si="1393"/>
        <v>2</v>
      </c>
      <c r="F1901" s="124">
        <v>40969</v>
      </c>
      <c r="G1901" s="125">
        <v>40988</v>
      </c>
      <c r="H1901" s="117">
        <v>2330861</v>
      </c>
      <c r="I1901" s="124">
        <v>40970</v>
      </c>
      <c r="J1901" s="124">
        <v>40988</v>
      </c>
      <c r="K1901" s="126">
        <v>2000</v>
      </c>
      <c r="L1901" s="127" t="s">
        <v>568</v>
      </c>
      <c r="N1901" s="129" t="str">
        <f t="shared" si="1424"/>
        <v>N</v>
      </c>
      <c r="O1901" s="128" t="s">
        <v>917</v>
      </c>
      <c r="P1901" s="129" t="s">
        <v>589</v>
      </c>
      <c r="Q1901" s="111">
        <f t="shared" si="1417"/>
        <v>19</v>
      </c>
      <c r="R1901" s="111">
        <f t="shared" si="1415"/>
        <v>20</v>
      </c>
      <c r="S1901" s="129">
        <v>0</v>
      </c>
      <c r="T1901" s="129">
        <v>2</v>
      </c>
      <c r="W1901" s="111"/>
      <c r="AC1901" s="130"/>
      <c r="AD1901" s="130">
        <v>30849</v>
      </c>
      <c r="AE1901" s="128" t="s">
        <v>32</v>
      </c>
      <c r="AF1901" s="128" t="s">
        <v>33</v>
      </c>
      <c r="AG1901" s="128" t="s">
        <v>872</v>
      </c>
      <c r="AH1901" s="108" t="s">
        <v>31</v>
      </c>
      <c r="AI1901" s="128" t="s">
        <v>90</v>
      </c>
      <c r="AJ1901" s="129" t="s">
        <v>48</v>
      </c>
      <c r="AK1901" s="129">
        <v>3</v>
      </c>
      <c r="AL1901" s="3" t="s">
        <v>48</v>
      </c>
      <c r="AP1901" s="129" t="s">
        <v>43</v>
      </c>
      <c r="AR1901" s="128" t="s">
        <v>44</v>
      </c>
      <c r="AS1901" s="129" t="s">
        <v>45</v>
      </c>
      <c r="AT1901" s="129" t="s">
        <v>358</v>
      </c>
      <c r="BC1901" s="129" t="s">
        <v>38</v>
      </c>
      <c r="BF1901" s="111">
        <f t="shared" si="1421"/>
        <v>19</v>
      </c>
      <c r="BG1901" s="111">
        <f t="shared" si="1422"/>
        <v>19</v>
      </c>
      <c r="BH1901" s="111">
        <f t="shared" si="1387"/>
        <v>20</v>
      </c>
      <c r="BI1901" s="111">
        <f t="shared" si="1388"/>
        <v>27.650273224043715</v>
      </c>
      <c r="BJ1901" s="129">
        <f t="shared" si="1406"/>
        <v>0</v>
      </c>
      <c r="BK1901" s="129">
        <f t="shared" si="1389"/>
        <v>0</v>
      </c>
      <c r="BL1901" s="129" t="str">
        <f t="shared" si="1416"/>
        <v>DEFERRED</v>
      </c>
      <c r="BM1901" s="129" t="str">
        <f t="shared" si="1407"/>
        <v>NONE</v>
      </c>
      <c r="BN1901" s="129" t="s">
        <v>566</v>
      </c>
      <c r="BP1901" s="137" t="str">
        <f t="shared" si="1394"/>
        <v>DEFERRED</v>
      </c>
      <c r="BQ1901" s="128" t="str">
        <f t="shared" si="1395"/>
        <v>Y</v>
      </c>
      <c r="BR1901" s="129" t="str">
        <f t="shared" si="1396"/>
        <v>DETAINED</v>
      </c>
      <c r="BS1901" s="129" t="str">
        <f t="shared" si="1397"/>
        <v>DISPOSED</v>
      </c>
      <c r="BT1901" s="129" t="str">
        <f t="shared" si="1398"/>
        <v>N</v>
      </c>
      <c r="BU1901" s="109">
        <f t="shared" si="1399"/>
        <v>0.95</v>
      </c>
      <c r="BV1901" s="109">
        <f t="shared" si="1400"/>
        <v>1</v>
      </c>
      <c r="BW1901" s="109">
        <f t="shared" si="1420"/>
        <v>5.0000000000000044E-2</v>
      </c>
      <c r="BX1901" s="111">
        <f t="shared" si="1401"/>
        <v>0</v>
      </c>
      <c r="BY1901" s="129">
        <f t="shared" si="1402"/>
        <v>-19</v>
      </c>
      <c r="BZ1901" s="111">
        <f t="shared" si="1403"/>
        <v>0</v>
      </c>
      <c r="CA1901" s="138">
        <f t="shared" si="1404"/>
        <v>19</v>
      </c>
      <c r="CB1901" s="111" t="e">
        <f t="shared" si="1423"/>
        <v>#VALUE!</v>
      </c>
      <c r="CC1901" s="129">
        <f>G1901-I1901+1</f>
        <v>19</v>
      </c>
      <c r="CD1901" s="129">
        <f>G1901-J1901</f>
        <v>0</v>
      </c>
      <c r="CG1901" s="129" t="str">
        <f t="shared" si="1405"/>
        <v>Y</v>
      </c>
      <c r="CI1901" s="129" t="str">
        <f t="shared" si="1408"/>
        <v>11-30 DAYS</v>
      </c>
      <c r="CJ1901" s="137">
        <f t="shared" si="1409"/>
        <v>2</v>
      </c>
      <c r="CK1901" s="129" t="str">
        <f t="shared" si="1410"/>
        <v>Booked</v>
      </c>
    </row>
    <row r="1902" spans="1:89" ht="15.75" customHeight="1" x14ac:dyDescent="0.25">
      <c r="A1902" s="111">
        <v>2038</v>
      </c>
      <c r="B1902" s="128" t="str">
        <f t="shared" si="1391"/>
        <v>N</v>
      </c>
      <c r="C1902" s="128" t="str">
        <f t="shared" si="1392"/>
        <v>N</v>
      </c>
      <c r="D1902" s="117">
        <v>2331324</v>
      </c>
      <c r="E1902" s="135">
        <f t="shared" si="1393"/>
        <v>2</v>
      </c>
      <c r="F1902" s="124">
        <v>40985</v>
      </c>
      <c r="G1902" s="125">
        <v>41075</v>
      </c>
      <c r="H1902" s="117">
        <v>2331324</v>
      </c>
      <c r="I1902" s="124">
        <v>40986</v>
      </c>
      <c r="J1902" s="124">
        <v>41075</v>
      </c>
      <c r="K1902" s="126">
        <v>35000</v>
      </c>
      <c r="L1902" s="129" t="s">
        <v>572</v>
      </c>
      <c r="N1902" s="129" t="str">
        <f t="shared" si="1424"/>
        <v>N</v>
      </c>
      <c r="O1902" s="128" t="s">
        <v>917</v>
      </c>
      <c r="P1902" s="129" t="s">
        <v>589</v>
      </c>
      <c r="Q1902" s="111">
        <f t="shared" si="1417"/>
        <v>90</v>
      </c>
      <c r="R1902" s="111">
        <f t="shared" si="1415"/>
        <v>91</v>
      </c>
      <c r="S1902" s="129">
        <v>0</v>
      </c>
      <c r="T1902" s="129">
        <v>1</v>
      </c>
      <c r="W1902" s="111"/>
      <c r="AC1902" s="130"/>
      <c r="AD1902" s="130">
        <v>32877</v>
      </c>
      <c r="AE1902" s="128" t="s">
        <v>32</v>
      </c>
      <c r="AF1902" s="128" t="s">
        <v>69</v>
      </c>
      <c r="AG1902" s="128" t="s">
        <v>874</v>
      </c>
      <c r="AH1902" s="108" t="s">
        <v>31</v>
      </c>
      <c r="AI1902" s="128" t="s">
        <v>141</v>
      </c>
      <c r="AJ1902" s="129" t="s">
        <v>48</v>
      </c>
      <c r="AK1902" s="129">
        <v>6</v>
      </c>
      <c r="AL1902" s="3" t="s">
        <v>48</v>
      </c>
      <c r="AP1902" s="129" t="s">
        <v>56</v>
      </c>
      <c r="AR1902" s="128" t="s">
        <v>50</v>
      </c>
      <c r="AS1902" s="129" t="s">
        <v>57</v>
      </c>
      <c r="BC1902" s="129" t="s">
        <v>52</v>
      </c>
      <c r="BF1902" s="111">
        <f t="shared" si="1421"/>
        <v>90</v>
      </c>
      <c r="BG1902" s="111">
        <f t="shared" si="1422"/>
        <v>90</v>
      </c>
      <c r="BH1902" s="111">
        <f t="shared" si="1387"/>
        <v>91</v>
      </c>
      <c r="BI1902" s="111">
        <f t="shared" si="1388"/>
        <v>22.153005464480874</v>
      </c>
      <c r="BJ1902" s="129">
        <f t="shared" si="1406"/>
        <v>0</v>
      </c>
      <c r="BK1902" s="129">
        <f t="shared" si="1389"/>
        <v>0</v>
      </c>
      <c r="BL1902" s="129" t="str">
        <f t="shared" si="1416"/>
        <v>DEFERRED</v>
      </c>
      <c r="BM1902" s="129" t="str">
        <f t="shared" si="1407"/>
        <v>NONE</v>
      </c>
      <c r="BN1902" s="129" t="s">
        <v>566</v>
      </c>
      <c r="BP1902" s="137" t="str">
        <f t="shared" si="1394"/>
        <v>DEFERRED</v>
      </c>
      <c r="BQ1902" s="128" t="str">
        <f t="shared" si="1395"/>
        <v>Y</v>
      </c>
      <c r="BR1902" s="129" t="str">
        <f t="shared" si="1396"/>
        <v>DETAINED</v>
      </c>
      <c r="BS1902" s="129" t="str">
        <f t="shared" si="1397"/>
        <v>DISPOSED</v>
      </c>
      <c r="BT1902" s="129" t="str">
        <f t="shared" si="1398"/>
        <v>N</v>
      </c>
      <c r="BU1902" s="109">
        <f t="shared" si="1399"/>
        <v>0.98901098901098905</v>
      </c>
      <c r="BV1902" s="109">
        <f t="shared" si="1400"/>
        <v>1</v>
      </c>
      <c r="BW1902" s="109">
        <f t="shared" si="1420"/>
        <v>1.098901098901095E-2</v>
      </c>
      <c r="BX1902" s="111">
        <f t="shared" si="1401"/>
        <v>0</v>
      </c>
      <c r="BY1902" s="129">
        <f t="shared" si="1402"/>
        <v>-90</v>
      </c>
      <c r="BZ1902" s="111">
        <f t="shared" si="1403"/>
        <v>0</v>
      </c>
      <c r="CA1902" s="138">
        <f t="shared" si="1404"/>
        <v>90</v>
      </c>
      <c r="CB1902" s="111" t="e">
        <f t="shared" si="1423"/>
        <v>#VALUE!</v>
      </c>
      <c r="CC1902" s="129">
        <f>G1902-I1902+1</f>
        <v>90</v>
      </c>
      <c r="CD1902" s="129">
        <f>G1902-J1902</f>
        <v>0</v>
      </c>
      <c r="CG1902" s="129" t="str">
        <f t="shared" si="1405"/>
        <v>Y</v>
      </c>
      <c r="CI1902" s="129" t="str">
        <f t="shared" si="1408"/>
        <v>61-90 DAYS</v>
      </c>
      <c r="CJ1902" s="137">
        <f t="shared" si="1409"/>
        <v>4</v>
      </c>
      <c r="CK1902" s="129" t="str">
        <f t="shared" si="1410"/>
        <v>Booked</v>
      </c>
    </row>
    <row r="1903" spans="1:89" ht="15" customHeight="1" x14ac:dyDescent="0.25">
      <c r="A1903" s="111">
        <v>2589</v>
      </c>
      <c r="B1903" s="128" t="str">
        <f t="shared" si="1391"/>
        <v>N</v>
      </c>
      <c r="C1903" s="128" t="str">
        <f t="shared" si="1392"/>
        <v>N</v>
      </c>
      <c r="D1903" s="117">
        <v>2331371</v>
      </c>
      <c r="E1903" s="135">
        <f t="shared" si="1393"/>
        <v>6</v>
      </c>
      <c r="F1903" s="124">
        <v>41005</v>
      </c>
      <c r="G1903" s="125">
        <v>41331</v>
      </c>
      <c r="H1903" s="117">
        <v>2331371</v>
      </c>
      <c r="I1903" s="124">
        <v>41005</v>
      </c>
      <c r="J1903" s="124">
        <v>41006</v>
      </c>
      <c r="K1903" s="126">
        <v>10000</v>
      </c>
      <c r="L1903" s="127" t="s">
        <v>570</v>
      </c>
      <c r="M1903" s="125">
        <v>41006</v>
      </c>
      <c r="N1903" s="129" t="str">
        <f t="shared" si="1424"/>
        <v>Y</v>
      </c>
      <c r="O1903" s="128" t="s">
        <v>76</v>
      </c>
      <c r="P1903" s="129" t="s">
        <v>39</v>
      </c>
      <c r="Q1903" s="111">
        <f t="shared" si="1417"/>
        <v>2</v>
      </c>
      <c r="R1903" s="111">
        <f t="shared" si="1415"/>
        <v>327</v>
      </c>
      <c r="S1903" s="129">
        <v>2</v>
      </c>
      <c r="T1903" s="129">
        <v>2</v>
      </c>
      <c r="W1903" s="111"/>
      <c r="AC1903" s="130"/>
      <c r="AD1903" s="130">
        <v>32928</v>
      </c>
      <c r="AE1903" s="128" t="s">
        <v>32</v>
      </c>
      <c r="AF1903" s="128" t="s">
        <v>69</v>
      </c>
      <c r="AG1903" s="128" t="s">
        <v>874</v>
      </c>
      <c r="AH1903" s="108" t="s">
        <v>31</v>
      </c>
      <c r="AI1903" s="128" t="s">
        <v>47</v>
      </c>
      <c r="AJ1903" s="129" t="s">
        <v>89</v>
      </c>
      <c r="AK1903" s="129">
        <v>13</v>
      </c>
      <c r="AL1903" s="3" t="s">
        <v>362</v>
      </c>
      <c r="AM1903" s="117">
        <v>5</v>
      </c>
      <c r="AP1903" s="129" t="s">
        <v>101</v>
      </c>
      <c r="AR1903" s="128" t="s">
        <v>67</v>
      </c>
      <c r="AS1903" s="129" t="s">
        <v>64</v>
      </c>
      <c r="AT1903" s="129" t="s">
        <v>459</v>
      </c>
      <c r="BC1903" s="129" t="s">
        <v>52</v>
      </c>
      <c r="BF1903" s="111">
        <f t="shared" si="1421"/>
        <v>2</v>
      </c>
      <c r="BG1903" s="111">
        <f t="shared" si="1422"/>
        <v>327</v>
      </c>
      <c r="BH1903" s="111">
        <f t="shared" si="1387"/>
        <v>327</v>
      </c>
      <c r="BI1903" s="111">
        <f t="shared" si="1388"/>
        <v>22.068306010928961</v>
      </c>
      <c r="BJ1903" s="129">
        <f>(G1903-J1903)+(M1903-G1903)</f>
        <v>0</v>
      </c>
      <c r="BK1903" s="129">
        <f t="shared" si="1389"/>
        <v>-325</v>
      </c>
      <c r="BL1903" s="129" t="str">
        <f t="shared" si="1416"/>
        <v>CONVICTION</v>
      </c>
      <c r="BM1903" s="129" t="s">
        <v>76</v>
      </c>
      <c r="BN1903" s="129" t="s">
        <v>88</v>
      </c>
      <c r="BP1903" s="137" t="str">
        <f t="shared" si="1394"/>
        <v>CONVICTION</v>
      </c>
      <c r="BQ1903" s="128" t="str">
        <f t="shared" si="1395"/>
        <v>Y</v>
      </c>
      <c r="BR1903" s="129" t="str">
        <f>IF(J1903&lt;G1903,"ON BOND",0)</f>
        <v>ON BOND</v>
      </c>
      <c r="BS1903" s="129" t="str">
        <f t="shared" si="1397"/>
        <v>DISPOSED</v>
      </c>
      <c r="BT1903" s="129" t="str">
        <f t="shared" si="1398"/>
        <v>Y</v>
      </c>
      <c r="BU1903" s="109">
        <f t="shared" si="1399"/>
        <v>6.1162079510703364E-3</v>
      </c>
      <c r="BV1903" s="109">
        <f t="shared" si="1400"/>
        <v>6.1162079510703364E-3</v>
      </c>
      <c r="BW1903" s="109">
        <f t="shared" si="1420"/>
        <v>0</v>
      </c>
      <c r="BX1903" s="111">
        <f t="shared" si="1401"/>
        <v>0</v>
      </c>
      <c r="BY1903" s="129">
        <f t="shared" si="1402"/>
        <v>-2</v>
      </c>
      <c r="BZ1903" s="111">
        <f t="shared" si="1403"/>
        <v>0</v>
      </c>
      <c r="CA1903" s="138">
        <f t="shared" si="1404"/>
        <v>2</v>
      </c>
      <c r="CB1903" s="111" t="e">
        <f t="shared" si="1423"/>
        <v>#VALUE!</v>
      </c>
      <c r="CC1903" s="129">
        <f>M1903-I1903+1</f>
        <v>2</v>
      </c>
      <c r="CD1903" s="111">
        <f>CC1903-BF1903</f>
        <v>0</v>
      </c>
      <c r="CG1903" s="129" t="str">
        <f t="shared" si="1405"/>
        <v>Y</v>
      </c>
      <c r="CI1903" s="129" t="str">
        <f t="shared" si="1408"/>
        <v>0-10 DAYS</v>
      </c>
      <c r="CJ1903" s="137">
        <f t="shared" si="1409"/>
        <v>1</v>
      </c>
      <c r="CK1903" s="129" t="str">
        <f t="shared" si="1410"/>
        <v>Booked</v>
      </c>
    </row>
    <row r="1904" spans="1:89" ht="15.75" customHeight="1" x14ac:dyDescent="0.25">
      <c r="A1904" s="111">
        <v>2065</v>
      </c>
      <c r="B1904" s="128" t="str">
        <f t="shared" si="1391"/>
        <v>N</v>
      </c>
      <c r="C1904" s="128" t="str">
        <f t="shared" si="1392"/>
        <v>N</v>
      </c>
      <c r="D1904" s="117">
        <v>2331703</v>
      </c>
      <c r="E1904" s="135">
        <f t="shared" si="1393"/>
        <v>6</v>
      </c>
      <c r="F1904" s="124">
        <v>40986</v>
      </c>
      <c r="G1904" s="125">
        <v>41165</v>
      </c>
      <c r="H1904" s="117">
        <v>2331703</v>
      </c>
      <c r="I1904" s="124">
        <v>40987</v>
      </c>
      <c r="J1904" s="124">
        <v>41165</v>
      </c>
      <c r="K1904" s="126" t="s">
        <v>564</v>
      </c>
      <c r="L1904" s="127" t="s">
        <v>564</v>
      </c>
      <c r="N1904" s="129" t="s">
        <v>566</v>
      </c>
      <c r="O1904" s="128" t="s">
        <v>917</v>
      </c>
      <c r="P1904" s="129" t="s">
        <v>39</v>
      </c>
      <c r="Q1904" s="111">
        <f t="shared" si="1417"/>
        <v>179</v>
      </c>
      <c r="R1904" s="111">
        <f t="shared" si="1415"/>
        <v>180</v>
      </c>
      <c r="S1904" s="129">
        <v>0</v>
      </c>
      <c r="T1904" s="129">
        <v>3</v>
      </c>
      <c r="W1904" s="111"/>
      <c r="AB1904" s="131" t="s">
        <v>112</v>
      </c>
      <c r="AC1904" s="130"/>
      <c r="AD1904" s="130">
        <v>30976</v>
      </c>
      <c r="AE1904" s="128" t="s">
        <v>32</v>
      </c>
      <c r="AF1904" s="128" t="s">
        <v>40</v>
      </c>
      <c r="AG1904" s="128" t="s">
        <v>41</v>
      </c>
      <c r="AH1904" s="108" t="s">
        <v>31</v>
      </c>
      <c r="AI1904" s="128" t="s">
        <v>53</v>
      </c>
      <c r="AJ1904" s="129" t="s">
        <v>89</v>
      </c>
      <c r="AK1904" s="129">
        <v>7</v>
      </c>
      <c r="AL1904" s="3" t="s">
        <v>362</v>
      </c>
      <c r="AM1904" s="114">
        <v>18</v>
      </c>
      <c r="AN1904" s="114"/>
      <c r="AP1904" s="129" t="s">
        <v>236</v>
      </c>
      <c r="AR1904" s="128" t="s">
        <v>67</v>
      </c>
      <c r="AS1904" s="129" t="s">
        <v>74</v>
      </c>
      <c r="BC1904" s="129" t="s">
        <v>52</v>
      </c>
      <c r="BF1904" s="111">
        <f t="shared" si="1421"/>
        <v>179</v>
      </c>
      <c r="BG1904" s="111">
        <f t="shared" si="1422"/>
        <v>179</v>
      </c>
      <c r="BH1904" s="111">
        <f t="shared" si="1387"/>
        <v>180</v>
      </c>
      <c r="BI1904" s="111">
        <f t="shared" si="1388"/>
        <v>27.349726775956285</v>
      </c>
      <c r="BJ1904" s="129">
        <f t="shared" si="1406"/>
        <v>0</v>
      </c>
      <c r="BK1904" s="129">
        <f t="shared" si="1389"/>
        <v>0</v>
      </c>
      <c r="BL1904" s="129" t="str">
        <f t="shared" si="1416"/>
        <v>CONVICTION</v>
      </c>
      <c r="BM1904" s="129" t="str">
        <f t="shared" si="1407"/>
        <v>NONE</v>
      </c>
      <c r="BN1904" s="129" t="s">
        <v>566</v>
      </c>
      <c r="BP1904" s="137" t="str">
        <f t="shared" si="1394"/>
        <v>CONVICTION</v>
      </c>
      <c r="BQ1904" s="128" t="str">
        <f t="shared" si="1395"/>
        <v>Y</v>
      </c>
      <c r="BR1904" s="129" t="str">
        <f t="shared" si="1396"/>
        <v>DETAINED</v>
      </c>
      <c r="BS1904" s="129" t="str">
        <f t="shared" si="1397"/>
        <v>DISPOSED</v>
      </c>
      <c r="BT1904" s="129" t="str">
        <f t="shared" si="1398"/>
        <v>N</v>
      </c>
      <c r="BU1904" s="109">
        <f t="shared" si="1399"/>
        <v>0.99444444444444446</v>
      </c>
      <c r="BV1904" s="109">
        <f t="shared" si="1400"/>
        <v>1</v>
      </c>
      <c r="BW1904" s="109">
        <f t="shared" si="1420"/>
        <v>5.5555555555555358E-3</v>
      </c>
      <c r="BX1904" s="111">
        <f t="shared" si="1401"/>
        <v>0</v>
      </c>
      <c r="BY1904" s="129">
        <f t="shared" si="1402"/>
        <v>-179</v>
      </c>
      <c r="BZ1904" s="111">
        <f t="shared" si="1403"/>
        <v>0</v>
      </c>
      <c r="CA1904" s="138">
        <f t="shared" si="1404"/>
        <v>179</v>
      </c>
      <c r="CB1904" s="111" t="e">
        <f t="shared" si="1423"/>
        <v>#VALUE!</v>
      </c>
      <c r="CC1904" s="129">
        <f>G1904-I1904+1</f>
        <v>179</v>
      </c>
      <c r="CD1904" s="129">
        <f>G1904-J1904</f>
        <v>0</v>
      </c>
      <c r="CG1904" s="129" t="str">
        <f t="shared" si="1405"/>
        <v>Y</v>
      </c>
      <c r="CI1904" s="129" t="str">
        <f t="shared" si="1408"/>
        <v>121-365 DAYS</v>
      </c>
      <c r="CJ1904" s="137">
        <f t="shared" si="1409"/>
        <v>6</v>
      </c>
      <c r="CK1904" s="129" t="str">
        <f t="shared" si="1410"/>
        <v>Booked</v>
      </c>
    </row>
    <row r="1905" spans="1:89" ht="15" customHeight="1" x14ac:dyDescent="0.25">
      <c r="A1905" s="111">
        <v>3057</v>
      </c>
      <c r="B1905" s="128" t="str">
        <f t="shared" si="1391"/>
        <v>N</v>
      </c>
      <c r="C1905" s="128" t="str">
        <f t="shared" si="1392"/>
        <v>N</v>
      </c>
      <c r="D1905" s="117">
        <v>2331774</v>
      </c>
      <c r="E1905" s="135">
        <f t="shared" si="1393"/>
        <v>1</v>
      </c>
      <c r="F1905" s="124">
        <v>41022</v>
      </c>
      <c r="G1905" s="125">
        <v>41163</v>
      </c>
      <c r="H1905" s="117">
        <v>2331774</v>
      </c>
      <c r="I1905" s="124">
        <v>41022</v>
      </c>
      <c r="J1905" s="124">
        <v>41026</v>
      </c>
      <c r="K1905" s="126">
        <v>30000</v>
      </c>
      <c r="L1905" s="129" t="s">
        <v>572</v>
      </c>
      <c r="M1905" s="125">
        <v>41026</v>
      </c>
      <c r="N1905" s="129" t="str">
        <f>IF(M1905&gt;1/1/1,"Y","N")</f>
        <v>Y</v>
      </c>
      <c r="O1905" s="112" t="s">
        <v>160</v>
      </c>
      <c r="P1905" s="129" t="s">
        <v>55</v>
      </c>
      <c r="Q1905" s="111">
        <f t="shared" si="1417"/>
        <v>5</v>
      </c>
      <c r="R1905" s="111">
        <f t="shared" si="1415"/>
        <v>142</v>
      </c>
      <c r="S1905" s="129">
        <v>0</v>
      </c>
      <c r="T1905" s="129">
        <v>1</v>
      </c>
      <c r="W1905" s="111"/>
      <c r="AC1905" s="130"/>
      <c r="AD1905" s="130">
        <v>32210</v>
      </c>
      <c r="AE1905" s="128" t="s">
        <v>46</v>
      </c>
      <c r="AF1905" s="128" t="s">
        <v>33</v>
      </c>
      <c r="AG1905" s="128" t="s">
        <v>872</v>
      </c>
      <c r="AH1905" s="108" t="s">
        <v>31</v>
      </c>
      <c r="AI1905" s="128" t="s">
        <v>34</v>
      </c>
      <c r="AJ1905" s="129" t="s">
        <v>55</v>
      </c>
      <c r="AK1905" s="129">
        <v>8</v>
      </c>
      <c r="AL1905" s="3" t="s">
        <v>55</v>
      </c>
      <c r="AP1905" s="129" t="s">
        <v>110</v>
      </c>
      <c r="AR1905" s="128" t="s">
        <v>50</v>
      </c>
      <c r="AS1905" s="129" t="s">
        <v>74</v>
      </c>
      <c r="BC1905" s="129" t="s">
        <v>38</v>
      </c>
      <c r="BF1905" s="111">
        <f t="shared" si="1421"/>
        <v>5</v>
      </c>
      <c r="BG1905" s="111">
        <f t="shared" si="1422"/>
        <v>142</v>
      </c>
      <c r="BH1905" s="111">
        <f t="shared" si="1387"/>
        <v>142</v>
      </c>
      <c r="BI1905" s="111">
        <f t="shared" si="1388"/>
        <v>24.076502732240439</v>
      </c>
      <c r="BJ1905" s="129">
        <f>(G1905-J1905)+(M1905-G1905)</f>
        <v>0</v>
      </c>
      <c r="BK1905" s="129">
        <f t="shared" si="1389"/>
        <v>-137</v>
      </c>
      <c r="BL1905" s="129" t="str">
        <f t="shared" si="1416"/>
        <v>NO CONVICTION</v>
      </c>
      <c r="BM1905" s="129" t="s">
        <v>160</v>
      </c>
      <c r="BN1905" s="129" t="s">
        <v>88</v>
      </c>
      <c r="BP1905" s="137" t="str">
        <f t="shared" si="1394"/>
        <v>NO CONVICTION</v>
      </c>
      <c r="BQ1905" s="128" t="str">
        <f t="shared" si="1395"/>
        <v>Y</v>
      </c>
      <c r="BR1905" s="129" t="str">
        <f t="shared" si="1396"/>
        <v>ON BOND</v>
      </c>
      <c r="BS1905" s="129" t="str">
        <f t="shared" si="1397"/>
        <v>DISPOSED</v>
      </c>
      <c r="BT1905" s="129" t="str">
        <f t="shared" si="1398"/>
        <v>N</v>
      </c>
      <c r="BU1905" s="109">
        <f>IFERROR(Q1905/R1905,BR1905)</f>
        <v>3.5211267605633804E-2</v>
      </c>
      <c r="BV1905" s="109">
        <f t="shared" si="1400"/>
        <v>3.5211267605633804E-2</v>
      </c>
      <c r="BW1905" s="109">
        <f t="shared" si="1420"/>
        <v>0</v>
      </c>
      <c r="BX1905" s="111">
        <f t="shared" si="1401"/>
        <v>0</v>
      </c>
      <c r="BY1905" s="129">
        <f t="shared" si="1402"/>
        <v>-5</v>
      </c>
      <c r="BZ1905" s="111">
        <f t="shared" si="1403"/>
        <v>0</v>
      </c>
      <c r="CA1905" s="138">
        <f t="shared" si="1404"/>
        <v>5</v>
      </c>
      <c r="CB1905" s="111" t="e">
        <f t="shared" si="1423"/>
        <v>#VALUE!</v>
      </c>
      <c r="CC1905" s="129">
        <f>M1905-I1905+1</f>
        <v>5</v>
      </c>
      <c r="CD1905" s="111">
        <f>CC1905-BF1905</f>
        <v>0</v>
      </c>
      <c r="CG1905" s="129" t="str">
        <f t="shared" si="1405"/>
        <v>Y</v>
      </c>
      <c r="CI1905" s="129" t="str">
        <f t="shared" si="1408"/>
        <v>0-10 DAYS</v>
      </c>
      <c r="CJ1905" s="137">
        <f t="shared" si="1409"/>
        <v>1</v>
      </c>
      <c r="CK1905" s="129" t="str">
        <f t="shared" si="1410"/>
        <v>Booked</v>
      </c>
    </row>
    <row r="1906" spans="1:89" ht="15.75" customHeight="1" x14ac:dyDescent="0.25">
      <c r="A1906" s="111">
        <v>2170</v>
      </c>
      <c r="B1906" s="128" t="str">
        <f t="shared" si="1391"/>
        <v>N</v>
      </c>
      <c r="C1906" s="128" t="str">
        <f t="shared" si="1392"/>
        <v>Y</v>
      </c>
      <c r="D1906" s="117">
        <v>2332159</v>
      </c>
      <c r="E1906" s="135">
        <f t="shared" si="1393"/>
        <v>2</v>
      </c>
      <c r="F1906" s="124">
        <v>40990</v>
      </c>
      <c r="G1906" s="125">
        <v>41149</v>
      </c>
      <c r="H1906" s="117">
        <v>2332159</v>
      </c>
      <c r="I1906" s="124">
        <v>40990</v>
      </c>
      <c r="J1906" s="124">
        <v>40998</v>
      </c>
      <c r="K1906" s="126">
        <v>10000</v>
      </c>
      <c r="L1906" s="127" t="s">
        <v>570</v>
      </c>
      <c r="M1906" s="125">
        <v>40998</v>
      </c>
      <c r="N1906" s="129" t="str">
        <f>IF(M1906&gt;1/1/1,"Y","N")</f>
        <v>Y</v>
      </c>
      <c r="O1906" s="128" t="s">
        <v>76</v>
      </c>
      <c r="P1906" s="129" t="s">
        <v>589</v>
      </c>
      <c r="Q1906" s="111">
        <v>80</v>
      </c>
      <c r="R1906" s="111">
        <f t="shared" si="1415"/>
        <v>160</v>
      </c>
      <c r="S1906" s="129">
        <v>2</v>
      </c>
      <c r="T1906" s="129">
        <v>1</v>
      </c>
      <c r="W1906" s="111"/>
      <c r="AC1906" s="130"/>
      <c r="AD1906" s="130">
        <v>32464</v>
      </c>
      <c r="AE1906" s="128" t="s">
        <v>32</v>
      </c>
      <c r="AF1906" s="128" t="s">
        <v>33</v>
      </c>
      <c r="AG1906" s="128" t="s">
        <v>872</v>
      </c>
      <c r="AH1906" s="108" t="s">
        <v>58</v>
      </c>
      <c r="AI1906" s="128" t="s">
        <v>72</v>
      </c>
      <c r="AJ1906" s="129" t="s">
        <v>48</v>
      </c>
      <c r="AK1906" s="129">
        <v>8</v>
      </c>
      <c r="AL1906" s="3" t="s">
        <v>48</v>
      </c>
      <c r="AP1906" s="129" t="s">
        <v>101</v>
      </c>
      <c r="AR1906" s="128" t="s">
        <v>67</v>
      </c>
      <c r="AS1906" s="129" t="s">
        <v>64</v>
      </c>
      <c r="AU1906" s="3" t="s">
        <v>757</v>
      </c>
      <c r="AX1906" s="32" t="s">
        <v>88</v>
      </c>
      <c r="BC1906" s="129" t="s">
        <v>52</v>
      </c>
      <c r="BF1906" s="111">
        <v>80</v>
      </c>
      <c r="BG1906" s="111">
        <f t="shared" si="1422"/>
        <v>160</v>
      </c>
      <c r="BH1906" s="111">
        <f t="shared" si="1387"/>
        <v>160</v>
      </c>
      <c r="BI1906" s="111">
        <f t="shared" si="1388"/>
        <v>23.295081967213115</v>
      </c>
      <c r="BJ1906" s="129">
        <f>(G1906-J1906)+(M1906-G1906)</f>
        <v>0</v>
      </c>
      <c r="BK1906" s="129">
        <f t="shared" si="1389"/>
        <v>-151</v>
      </c>
      <c r="BL1906" s="129" t="str">
        <f t="shared" si="1416"/>
        <v>DEFERRED</v>
      </c>
      <c r="BM1906" s="129" t="s">
        <v>76</v>
      </c>
      <c r="BN1906" s="129" t="s">
        <v>88</v>
      </c>
      <c r="BP1906" s="137" t="str">
        <f t="shared" si="1394"/>
        <v>DEFERRED</v>
      </c>
      <c r="BQ1906" s="128" t="str">
        <f t="shared" si="1395"/>
        <v>Y</v>
      </c>
      <c r="BR1906" s="129" t="s">
        <v>574</v>
      </c>
      <c r="BS1906" s="129" t="str">
        <f t="shared" si="1397"/>
        <v>DISPOSED</v>
      </c>
      <c r="BT1906" s="129" t="str">
        <f t="shared" si="1398"/>
        <v>Y</v>
      </c>
      <c r="BU1906" s="109">
        <f t="shared" si="1399"/>
        <v>0.5</v>
      </c>
      <c r="BV1906" s="109">
        <f t="shared" si="1400"/>
        <v>5.6250000000000001E-2</v>
      </c>
      <c r="BW1906" s="109">
        <f t="shared" si="1420"/>
        <v>-0.44374999999999998</v>
      </c>
      <c r="BX1906" s="111">
        <f t="shared" si="1401"/>
        <v>0</v>
      </c>
      <c r="BY1906" s="129">
        <f t="shared" si="1402"/>
        <v>-9</v>
      </c>
      <c r="BZ1906" s="111">
        <f t="shared" si="1403"/>
        <v>71</v>
      </c>
      <c r="CA1906" s="138">
        <f t="shared" si="1404"/>
        <v>160</v>
      </c>
      <c r="CB1906" s="111">
        <v>80</v>
      </c>
      <c r="CC1906" s="129">
        <f>G1906-I1906+1</f>
        <v>160</v>
      </c>
      <c r="CD1906" s="129">
        <f>G1906-J1906</f>
        <v>151</v>
      </c>
      <c r="CG1906" s="129" t="str">
        <f t="shared" si="1405"/>
        <v>Y</v>
      </c>
      <c r="CI1906" s="129" t="str">
        <f t="shared" si="1408"/>
        <v>61-90 DAYS</v>
      </c>
      <c r="CJ1906" s="137">
        <f t="shared" si="1409"/>
        <v>4</v>
      </c>
      <c r="CK1906" s="129" t="str">
        <f t="shared" si="1410"/>
        <v>Booked</v>
      </c>
    </row>
    <row r="1907" spans="1:89" ht="15.75" customHeight="1" x14ac:dyDescent="0.25">
      <c r="A1907" s="111">
        <v>229</v>
      </c>
      <c r="B1907" s="128" t="str">
        <f t="shared" si="1391"/>
        <v>N</v>
      </c>
      <c r="C1907" s="128" t="str">
        <f t="shared" si="1392"/>
        <v>N</v>
      </c>
      <c r="D1907" s="117">
        <v>2332995</v>
      </c>
      <c r="E1907" s="135">
        <f t="shared" si="1393"/>
        <v>6</v>
      </c>
      <c r="F1907" s="124">
        <v>40918</v>
      </c>
      <c r="G1907" s="125">
        <v>41129</v>
      </c>
      <c r="H1907" s="117">
        <v>2332995</v>
      </c>
      <c r="I1907" s="124">
        <v>40919</v>
      </c>
      <c r="J1907" s="124">
        <v>40963</v>
      </c>
      <c r="K1907" s="126">
        <v>30000</v>
      </c>
      <c r="L1907" s="129" t="s">
        <v>572</v>
      </c>
      <c r="M1907" s="125">
        <v>40963</v>
      </c>
      <c r="N1907" s="129" t="str">
        <f>IF(M1907&gt;1/1/1,"Y","N")</f>
        <v>Y</v>
      </c>
      <c r="O1907" s="128" t="s">
        <v>76</v>
      </c>
      <c r="P1907" s="129" t="s">
        <v>39</v>
      </c>
      <c r="Q1907" s="111">
        <f t="shared" si="1417"/>
        <v>45</v>
      </c>
      <c r="R1907" s="111">
        <f t="shared" si="1415"/>
        <v>212</v>
      </c>
      <c r="S1907" s="129">
        <v>0</v>
      </c>
      <c r="T1907" s="129">
        <v>1</v>
      </c>
      <c r="W1907" s="111"/>
      <c r="AC1907" s="130"/>
      <c r="AD1907" s="130">
        <v>24845</v>
      </c>
      <c r="AE1907" s="128" t="s">
        <v>32</v>
      </c>
      <c r="AF1907" s="128" t="s">
        <v>69</v>
      </c>
      <c r="AG1907" s="128" t="s">
        <v>874</v>
      </c>
      <c r="AH1907" s="108" t="s">
        <v>31</v>
      </c>
      <c r="AI1907" s="128" t="s">
        <v>47</v>
      </c>
      <c r="AJ1907" s="129" t="s">
        <v>89</v>
      </c>
      <c r="AK1907" s="129">
        <v>10</v>
      </c>
      <c r="AL1907" s="3" t="s">
        <v>362</v>
      </c>
      <c r="AM1907" s="117">
        <v>5</v>
      </c>
      <c r="AP1907" s="129" t="s">
        <v>173</v>
      </c>
      <c r="AR1907" s="128" t="s">
        <v>50</v>
      </c>
      <c r="AS1907" s="129" t="s">
        <v>126</v>
      </c>
      <c r="BC1907" s="129" t="s">
        <v>52</v>
      </c>
      <c r="BF1907" s="111">
        <f t="shared" si="1421"/>
        <v>45</v>
      </c>
      <c r="BG1907" s="111">
        <f t="shared" si="1422"/>
        <v>211</v>
      </c>
      <c r="BH1907" s="111">
        <f t="shared" si="1387"/>
        <v>212</v>
      </c>
      <c r="BI1907" s="111">
        <f t="shared" si="1388"/>
        <v>43.915300546448087</v>
      </c>
      <c r="BJ1907" s="129">
        <f>(G1907-J1907)+(M1907-G1907)</f>
        <v>0</v>
      </c>
      <c r="BK1907" s="129">
        <f t="shared" si="1389"/>
        <v>-166</v>
      </c>
      <c r="BL1907" s="129" t="str">
        <f t="shared" si="1416"/>
        <v>CONVICTION</v>
      </c>
      <c r="BM1907" s="129" t="s">
        <v>76</v>
      </c>
      <c r="BN1907" s="129" t="s">
        <v>88</v>
      </c>
      <c r="BP1907" s="137" t="str">
        <f t="shared" si="1394"/>
        <v>CONVICTION</v>
      </c>
      <c r="BQ1907" s="128" t="str">
        <f t="shared" si="1395"/>
        <v>Y</v>
      </c>
      <c r="BR1907" s="129" t="str">
        <f>IF(J1907&lt;G1907,"ON BOND",0)</f>
        <v>ON BOND</v>
      </c>
      <c r="BS1907" s="129" t="str">
        <f t="shared" si="1397"/>
        <v>DISPOSED</v>
      </c>
      <c r="BT1907" s="129" t="str">
        <f t="shared" si="1398"/>
        <v>N</v>
      </c>
      <c r="BU1907" s="109">
        <f t="shared" si="1399"/>
        <v>0.21226415094339623</v>
      </c>
      <c r="BV1907" s="109">
        <f t="shared" si="1400"/>
        <v>0.2132701421800948</v>
      </c>
      <c r="BW1907" s="109">
        <f t="shared" si="1420"/>
        <v>1.0059912366985613E-3</v>
      </c>
      <c r="BX1907" s="111">
        <f t="shared" si="1401"/>
        <v>0</v>
      </c>
      <c r="BY1907" s="129">
        <f t="shared" si="1402"/>
        <v>-45</v>
      </c>
      <c r="BZ1907" s="111">
        <f t="shared" si="1403"/>
        <v>0</v>
      </c>
      <c r="CA1907" s="138">
        <f t="shared" si="1404"/>
        <v>45</v>
      </c>
      <c r="CB1907" s="111" t="e">
        <f t="shared" si="1423"/>
        <v>#VALUE!</v>
      </c>
      <c r="CC1907" s="129">
        <f>M1907-I1907+1</f>
        <v>45</v>
      </c>
      <c r="CD1907" s="111">
        <f>CC1907-BF1907</f>
        <v>0</v>
      </c>
      <c r="CG1907" s="129" t="str">
        <f t="shared" si="1405"/>
        <v>Y</v>
      </c>
      <c r="CI1907" s="129" t="str">
        <f t="shared" si="1408"/>
        <v>31-60 DAYS</v>
      </c>
      <c r="CJ1907" s="137">
        <f t="shared" si="1409"/>
        <v>3</v>
      </c>
      <c r="CK1907" s="129" t="str">
        <f t="shared" si="1410"/>
        <v>Booked</v>
      </c>
    </row>
    <row r="1908" spans="1:89" ht="15" customHeight="1" x14ac:dyDescent="0.25">
      <c r="A1908" s="111">
        <v>1701</v>
      </c>
      <c r="B1908" s="128" t="str">
        <f t="shared" si="1391"/>
        <v>N</v>
      </c>
      <c r="C1908" s="128" t="str">
        <f t="shared" si="1392"/>
        <v>N</v>
      </c>
      <c r="D1908" s="117">
        <v>2333175</v>
      </c>
      <c r="E1908" s="135">
        <f t="shared" si="1393"/>
        <v>2</v>
      </c>
      <c r="F1908" s="124">
        <v>40972</v>
      </c>
      <c r="G1908" s="125">
        <v>40973</v>
      </c>
      <c r="H1908" s="117">
        <v>2333175</v>
      </c>
      <c r="I1908" s="124" t="s">
        <v>562</v>
      </c>
      <c r="J1908" s="124" t="s">
        <v>562</v>
      </c>
      <c r="K1908" s="126">
        <v>20000</v>
      </c>
      <c r="L1908" s="127" t="s">
        <v>571</v>
      </c>
      <c r="M1908" s="125">
        <v>40972</v>
      </c>
      <c r="N1908" s="129" t="str">
        <f>IF(M1908&gt;1/1/1,"Y",IF(Q1908="0","","N"))</f>
        <v>Y</v>
      </c>
      <c r="O1908" s="128" t="s">
        <v>76</v>
      </c>
      <c r="P1908" s="129" t="s">
        <v>589</v>
      </c>
      <c r="Q1908" s="111">
        <f t="shared" si="1417"/>
        <v>0</v>
      </c>
      <c r="R1908" s="111">
        <f t="shared" si="1415"/>
        <v>2</v>
      </c>
      <c r="S1908" s="129">
        <v>0</v>
      </c>
      <c r="T1908" s="129">
        <v>4</v>
      </c>
      <c r="W1908" s="111"/>
      <c r="AC1908" s="130"/>
      <c r="AD1908" s="130">
        <v>32868</v>
      </c>
      <c r="AE1908" s="128" t="s">
        <v>32</v>
      </c>
      <c r="AF1908" s="128" t="s">
        <v>33</v>
      </c>
      <c r="AG1908" s="128" t="s">
        <v>872</v>
      </c>
      <c r="AH1908" s="108" t="s">
        <v>31</v>
      </c>
      <c r="AI1908" s="128" t="s">
        <v>85</v>
      </c>
      <c r="AJ1908" s="129" t="s">
        <v>48</v>
      </c>
      <c r="AK1908" s="129">
        <v>1</v>
      </c>
      <c r="AL1908" s="3" t="s">
        <v>48</v>
      </c>
      <c r="AP1908" s="129" t="s">
        <v>49</v>
      </c>
      <c r="AR1908" s="128" t="s">
        <v>50</v>
      </c>
      <c r="AS1908" s="129" t="s">
        <v>45</v>
      </c>
      <c r="BC1908" s="129" t="s">
        <v>38</v>
      </c>
      <c r="BF1908" s="111">
        <v>0</v>
      </c>
      <c r="BG1908" s="111">
        <v>0</v>
      </c>
      <c r="BH1908" s="111">
        <f t="shared" si="1387"/>
        <v>2</v>
      </c>
      <c r="BI1908" s="111">
        <f t="shared" si="1388"/>
        <v>22.142076502732241</v>
      </c>
      <c r="BJ1908" s="129" t="e">
        <f>(G1908-J1908)+(M1908-G1908)</f>
        <v>#VALUE!</v>
      </c>
      <c r="BK1908" s="129" t="e">
        <f t="shared" si="1389"/>
        <v>#VALUE!</v>
      </c>
      <c r="BL1908" s="129" t="str">
        <f t="shared" si="1416"/>
        <v>DEFERRED</v>
      </c>
      <c r="BM1908" s="129" t="s">
        <v>76</v>
      </c>
      <c r="BN1908" s="129" t="s">
        <v>88</v>
      </c>
      <c r="BP1908" s="137" t="str">
        <f t="shared" si="1394"/>
        <v>DEFERRED</v>
      </c>
      <c r="BQ1908" s="128">
        <f t="shared" si="1395"/>
        <v>0</v>
      </c>
      <c r="BR1908" s="129" t="s">
        <v>575</v>
      </c>
      <c r="BS1908" s="129" t="str">
        <f t="shared" si="1397"/>
        <v>DISPOSED</v>
      </c>
      <c r="BT1908" s="129" t="str">
        <f t="shared" si="1398"/>
        <v>N</v>
      </c>
      <c r="BU1908" s="109">
        <f t="shared" si="1399"/>
        <v>0</v>
      </c>
      <c r="BV1908" s="109">
        <v>0</v>
      </c>
      <c r="BW1908" s="109">
        <f t="shared" si="1420"/>
        <v>0</v>
      </c>
      <c r="BX1908" s="111">
        <f t="shared" si="1401"/>
        <v>0</v>
      </c>
      <c r="BY1908" s="129" t="e">
        <f t="shared" si="1402"/>
        <v>#VALUE!</v>
      </c>
      <c r="BZ1908" s="111" t="e">
        <f t="shared" si="1403"/>
        <v>#VALUE!</v>
      </c>
      <c r="CA1908" s="138" t="e">
        <f t="shared" si="1404"/>
        <v>#VALUE!</v>
      </c>
      <c r="CB1908" s="111">
        <v>0</v>
      </c>
      <c r="CC1908" s="129">
        <v>0</v>
      </c>
      <c r="CD1908" s="111">
        <f>CC1908-BF1908</f>
        <v>0</v>
      </c>
      <c r="CG1908" s="129" t="str">
        <f t="shared" si="1405"/>
        <v>Y</v>
      </c>
      <c r="CI1908" s="129" t="str">
        <f t="shared" si="1408"/>
        <v>0-10 DAYS</v>
      </c>
      <c r="CJ1908" s="137">
        <f t="shared" si="1409"/>
        <v>1</v>
      </c>
      <c r="CK1908" s="129" t="str">
        <f t="shared" si="1410"/>
        <v>Not Booked</v>
      </c>
    </row>
    <row r="1909" spans="1:89" ht="15" customHeight="1" x14ac:dyDescent="0.25">
      <c r="A1909" s="111">
        <v>2353</v>
      </c>
      <c r="B1909" s="128" t="str">
        <f t="shared" si="1391"/>
        <v>N</v>
      </c>
      <c r="C1909" s="128" t="str">
        <f t="shared" si="1392"/>
        <v>N</v>
      </c>
      <c r="D1909" s="117">
        <v>2333276</v>
      </c>
      <c r="E1909" s="135">
        <f t="shared" si="1393"/>
        <v>4</v>
      </c>
      <c r="F1909" s="124">
        <v>40997</v>
      </c>
      <c r="G1909" s="125">
        <v>41025</v>
      </c>
      <c r="H1909" s="117">
        <v>2333276</v>
      </c>
      <c r="I1909" s="124">
        <v>41018</v>
      </c>
      <c r="J1909" s="124">
        <v>41025</v>
      </c>
      <c r="K1909" s="126">
        <v>2000</v>
      </c>
      <c r="L1909" s="127" t="s">
        <v>568</v>
      </c>
      <c r="N1909" s="129" t="str">
        <f>IF(M1909&gt;1/1/1,"Y","N")</f>
        <v>N</v>
      </c>
      <c r="O1909" s="128" t="s">
        <v>917</v>
      </c>
      <c r="P1909" s="129" t="s">
        <v>39</v>
      </c>
      <c r="Q1909" s="111">
        <f t="shared" si="1417"/>
        <v>8</v>
      </c>
      <c r="R1909" s="111">
        <f t="shared" si="1415"/>
        <v>29</v>
      </c>
      <c r="S1909" s="129">
        <v>0</v>
      </c>
      <c r="T1909" s="129">
        <v>4</v>
      </c>
      <c r="W1909" s="111"/>
      <c r="AC1909" s="130"/>
      <c r="AD1909" s="130">
        <v>31877</v>
      </c>
      <c r="AE1909" s="128" t="s">
        <v>32</v>
      </c>
      <c r="AF1909" s="128" t="s">
        <v>33</v>
      </c>
      <c r="AG1909" s="128" t="s">
        <v>872</v>
      </c>
      <c r="AH1909" s="108" t="s">
        <v>31</v>
      </c>
      <c r="AI1909" s="128" t="s">
        <v>59</v>
      </c>
      <c r="AJ1909" s="129" t="s">
        <v>89</v>
      </c>
      <c r="AK1909" s="129">
        <v>3</v>
      </c>
      <c r="AL1909" s="3" t="s">
        <v>991</v>
      </c>
      <c r="AO1909" s="128">
        <v>120</v>
      </c>
      <c r="AP1909" s="129" t="s">
        <v>63</v>
      </c>
      <c r="AR1909" s="128" t="s">
        <v>44</v>
      </c>
      <c r="AS1909" s="129" t="s">
        <v>64</v>
      </c>
      <c r="BC1909" s="129" t="s">
        <v>38</v>
      </c>
      <c r="BF1909" s="111">
        <f t="shared" ref="BF1909:BF1928" si="1425">IF(J1909&gt;1/1/1900,((J1909+1)-I1909),"STILL OPEN")</f>
        <v>8</v>
      </c>
      <c r="BG1909" s="111">
        <f t="shared" ref="BG1909:BG1928" si="1426">IF(G1909&gt;1/1/1900,((G1909+1)-I1909),"STILL OPEN")</f>
        <v>8</v>
      </c>
      <c r="BH1909" s="111">
        <f t="shared" si="1387"/>
        <v>29</v>
      </c>
      <c r="BI1909" s="111">
        <f t="shared" si="1388"/>
        <v>24.918032786885245</v>
      </c>
      <c r="BJ1909" s="129">
        <f t="shared" si="1406"/>
        <v>0</v>
      </c>
      <c r="BK1909" s="129">
        <f t="shared" si="1389"/>
        <v>0</v>
      </c>
      <c r="BL1909" s="129" t="str">
        <f t="shared" si="1416"/>
        <v>CONVICTION</v>
      </c>
      <c r="BM1909" s="129" t="str">
        <f t="shared" si="1407"/>
        <v>NONE</v>
      </c>
      <c r="BN1909" s="129" t="s">
        <v>566</v>
      </c>
      <c r="BP1909" s="137" t="str">
        <f t="shared" si="1394"/>
        <v>CONVICTION</v>
      </c>
      <c r="BQ1909" s="128" t="str">
        <f t="shared" si="1395"/>
        <v>Y</v>
      </c>
      <c r="BR1909" s="129" t="str">
        <f t="shared" si="1396"/>
        <v>DETAINED</v>
      </c>
      <c r="BS1909" s="129" t="str">
        <f t="shared" si="1397"/>
        <v>DISPOSED</v>
      </c>
      <c r="BT1909" s="129" t="str">
        <f t="shared" si="1398"/>
        <v>N</v>
      </c>
      <c r="BU1909" s="109">
        <f t="shared" si="1399"/>
        <v>0.27586206896551724</v>
      </c>
      <c r="BV1909" s="109">
        <f t="shared" si="1400"/>
        <v>1</v>
      </c>
      <c r="BW1909" s="109">
        <f t="shared" si="1420"/>
        <v>0.72413793103448276</v>
      </c>
      <c r="BX1909" s="111">
        <f t="shared" si="1401"/>
        <v>0</v>
      </c>
      <c r="BY1909" s="129">
        <f t="shared" si="1402"/>
        <v>-8</v>
      </c>
      <c r="BZ1909" s="111">
        <f t="shared" si="1403"/>
        <v>0</v>
      </c>
      <c r="CA1909" s="138">
        <f t="shared" si="1404"/>
        <v>8</v>
      </c>
      <c r="CB1909" s="111" t="e">
        <f t="shared" ref="CB1909:CB1928" si="1427">IF(AF1909&gt;1/1/1900,((AF1909+1)-AE1909),"STILL OPEN")</f>
        <v>#VALUE!</v>
      </c>
      <c r="CC1909" s="129">
        <f>G1909-I1909+1</f>
        <v>8</v>
      </c>
      <c r="CD1909" s="129">
        <f>G1909-J1909</f>
        <v>0</v>
      </c>
      <c r="CG1909" s="129" t="str">
        <f t="shared" si="1405"/>
        <v>Y</v>
      </c>
      <c r="CI1909" s="129" t="str">
        <f t="shared" si="1408"/>
        <v>0-10 DAYS</v>
      </c>
      <c r="CJ1909" s="137">
        <f t="shared" si="1409"/>
        <v>1</v>
      </c>
      <c r="CK1909" s="129" t="str">
        <f t="shared" si="1410"/>
        <v>Booked</v>
      </c>
    </row>
    <row r="1910" spans="1:89" ht="15" customHeight="1" x14ac:dyDescent="0.25">
      <c r="A1910" s="111">
        <v>1421</v>
      </c>
      <c r="B1910" s="128" t="str">
        <f t="shared" si="1391"/>
        <v>N</v>
      </c>
      <c r="C1910" s="128" t="str">
        <f t="shared" si="1392"/>
        <v>N</v>
      </c>
      <c r="D1910" s="117">
        <v>2335000</v>
      </c>
      <c r="E1910" s="135">
        <f t="shared" si="1393"/>
        <v>6</v>
      </c>
      <c r="F1910" s="124">
        <v>40961</v>
      </c>
      <c r="G1910" s="125">
        <v>41136</v>
      </c>
      <c r="H1910" s="117">
        <v>2335000</v>
      </c>
      <c r="I1910" s="124">
        <v>40963</v>
      </c>
      <c r="J1910" s="124">
        <v>40968</v>
      </c>
      <c r="K1910" s="126">
        <v>30000</v>
      </c>
      <c r="L1910" s="129" t="s">
        <v>572</v>
      </c>
      <c r="M1910" s="125">
        <v>40968</v>
      </c>
      <c r="N1910" s="129" t="str">
        <f>IF(M1910&gt;1/1/1,"Y","N")</f>
        <v>Y</v>
      </c>
      <c r="O1910" s="128" t="s">
        <v>76</v>
      </c>
      <c r="P1910" s="129" t="s">
        <v>39</v>
      </c>
      <c r="Q1910" s="111">
        <f t="shared" si="1417"/>
        <v>6</v>
      </c>
      <c r="R1910" s="111">
        <f t="shared" si="1415"/>
        <v>176</v>
      </c>
      <c r="S1910" s="129">
        <v>0</v>
      </c>
      <c r="T1910" s="129">
        <v>0</v>
      </c>
      <c r="W1910" s="111"/>
      <c r="AC1910" s="130"/>
      <c r="AD1910" s="130">
        <v>33051</v>
      </c>
      <c r="AE1910" s="128" t="s">
        <v>32</v>
      </c>
      <c r="AF1910" s="128" t="s">
        <v>33</v>
      </c>
      <c r="AG1910" s="128" t="s">
        <v>872</v>
      </c>
      <c r="AH1910" s="108" t="s">
        <v>31</v>
      </c>
      <c r="AI1910" s="128" t="s">
        <v>53</v>
      </c>
      <c r="AJ1910" s="129" t="s">
        <v>89</v>
      </c>
      <c r="AK1910" s="129">
        <v>11</v>
      </c>
      <c r="AL1910" s="3" t="s">
        <v>362</v>
      </c>
      <c r="AM1910" s="117">
        <v>9</v>
      </c>
      <c r="AP1910" s="129" t="s">
        <v>56</v>
      </c>
      <c r="AR1910" s="128" t="s">
        <v>50</v>
      </c>
      <c r="AS1910" s="129" t="s">
        <v>57</v>
      </c>
      <c r="AT1910" s="129" t="s">
        <v>1419</v>
      </c>
      <c r="BC1910" s="129" t="s">
        <v>52</v>
      </c>
      <c r="BF1910" s="111">
        <f t="shared" si="1425"/>
        <v>6</v>
      </c>
      <c r="BG1910" s="111">
        <f t="shared" si="1426"/>
        <v>174</v>
      </c>
      <c r="BH1910" s="111">
        <f t="shared" si="1387"/>
        <v>176</v>
      </c>
      <c r="BI1910" s="111">
        <f t="shared" si="1388"/>
        <v>21.612021857923498</v>
      </c>
      <c r="BJ1910" s="129">
        <f>(G1910-J1910)+(M1910-G1910)</f>
        <v>0</v>
      </c>
      <c r="BK1910" s="129">
        <f t="shared" si="1389"/>
        <v>-168</v>
      </c>
      <c r="BL1910" s="129" t="str">
        <f t="shared" si="1416"/>
        <v>CONVICTION</v>
      </c>
      <c r="BM1910" s="129" t="s">
        <v>76</v>
      </c>
      <c r="BN1910" s="129" t="s">
        <v>88</v>
      </c>
      <c r="BP1910" s="137" t="str">
        <f t="shared" si="1394"/>
        <v>CONVICTION</v>
      </c>
      <c r="BQ1910" s="128" t="str">
        <f t="shared" si="1395"/>
        <v>Y</v>
      </c>
      <c r="BR1910" s="129" t="str">
        <f>IF(J1910&lt;G1910,"ON BOND",0)</f>
        <v>ON BOND</v>
      </c>
      <c r="BS1910" s="129" t="str">
        <f t="shared" si="1397"/>
        <v>DISPOSED</v>
      </c>
      <c r="BT1910" s="129" t="str">
        <f t="shared" si="1398"/>
        <v>N</v>
      </c>
      <c r="BU1910" s="109">
        <f t="shared" si="1399"/>
        <v>3.4090909090909088E-2</v>
      </c>
      <c r="BV1910" s="109">
        <f t="shared" si="1400"/>
        <v>3.4482758620689655E-2</v>
      </c>
      <c r="BW1910" s="109">
        <f t="shared" si="1420"/>
        <v>3.9184952978056631E-4</v>
      </c>
      <c r="BX1910" s="111">
        <f t="shared" si="1401"/>
        <v>0</v>
      </c>
      <c r="BY1910" s="129">
        <f t="shared" si="1402"/>
        <v>-6</v>
      </c>
      <c r="BZ1910" s="111">
        <f t="shared" si="1403"/>
        <v>0</v>
      </c>
      <c r="CA1910" s="138">
        <f t="shared" si="1404"/>
        <v>6</v>
      </c>
      <c r="CB1910" s="111" t="e">
        <f t="shared" si="1427"/>
        <v>#VALUE!</v>
      </c>
      <c r="CC1910" s="129">
        <f>M1910-I1910+1</f>
        <v>6</v>
      </c>
      <c r="CD1910" s="111">
        <f>CC1910-BF1910</f>
        <v>0</v>
      </c>
      <c r="CG1910" s="129" t="str">
        <f t="shared" si="1405"/>
        <v>N</v>
      </c>
      <c r="CI1910" s="129" t="str">
        <f t="shared" si="1408"/>
        <v>0-10 DAYS</v>
      </c>
      <c r="CJ1910" s="137">
        <f t="shared" si="1409"/>
        <v>1</v>
      </c>
      <c r="CK1910" s="129" t="str">
        <f t="shared" si="1410"/>
        <v>Booked</v>
      </c>
    </row>
    <row r="1911" spans="1:89" ht="15.75" customHeight="1" x14ac:dyDescent="0.25">
      <c r="A1911" s="111">
        <v>3205</v>
      </c>
      <c r="B1911" s="128" t="str">
        <f t="shared" si="1391"/>
        <v>N</v>
      </c>
      <c r="C1911" s="128" t="str">
        <f t="shared" si="1392"/>
        <v>N</v>
      </c>
      <c r="D1911" s="117">
        <v>2335505</v>
      </c>
      <c r="E1911" s="135">
        <f t="shared" si="1393"/>
        <v>4</v>
      </c>
      <c r="F1911" s="124">
        <v>41026</v>
      </c>
      <c r="G1911" s="125">
        <v>41166</v>
      </c>
      <c r="H1911" s="117">
        <v>2335505</v>
      </c>
      <c r="I1911" s="124">
        <v>41027</v>
      </c>
      <c r="J1911" s="124">
        <v>41031</v>
      </c>
      <c r="K1911" s="126">
        <v>20000</v>
      </c>
      <c r="L1911" s="127" t="s">
        <v>571</v>
      </c>
      <c r="M1911" s="125">
        <v>41031</v>
      </c>
      <c r="N1911" s="129" t="str">
        <f>IF(M1911&gt;1/1/1,"Y","N")</f>
        <v>Y</v>
      </c>
      <c r="O1911" s="128" t="s">
        <v>76</v>
      </c>
      <c r="P1911" s="129" t="s">
        <v>39</v>
      </c>
      <c r="Q1911" s="111">
        <f t="shared" ref="Q1911:Q1942" si="1428">BF1911</f>
        <v>5</v>
      </c>
      <c r="R1911" s="111">
        <f t="shared" si="1415"/>
        <v>141</v>
      </c>
      <c r="S1911" s="129">
        <v>1</v>
      </c>
      <c r="T1911" s="129">
        <v>0</v>
      </c>
      <c r="U1911" s="129">
        <v>1</v>
      </c>
      <c r="W1911" s="111"/>
      <c r="AC1911" s="130"/>
      <c r="AD1911" s="130">
        <v>30203</v>
      </c>
      <c r="AE1911" s="128" t="s">
        <v>32</v>
      </c>
      <c r="AF1911" s="128" t="s">
        <v>33</v>
      </c>
      <c r="AG1911" s="128" t="s">
        <v>872</v>
      </c>
      <c r="AH1911" s="108" t="s">
        <v>31</v>
      </c>
      <c r="AI1911" s="128" t="s">
        <v>53</v>
      </c>
      <c r="AJ1911" s="129" t="s">
        <v>89</v>
      </c>
      <c r="AK1911" s="129">
        <v>8</v>
      </c>
      <c r="AL1911" s="3" t="s">
        <v>991</v>
      </c>
      <c r="AO1911" s="128">
        <v>365</v>
      </c>
      <c r="AP1911" s="129" t="s">
        <v>56</v>
      </c>
      <c r="AR1911" s="128" t="s">
        <v>50</v>
      </c>
      <c r="AS1911" s="129" t="s">
        <v>57</v>
      </c>
      <c r="BC1911" s="129" t="s">
        <v>38</v>
      </c>
      <c r="BF1911" s="111">
        <f t="shared" si="1425"/>
        <v>5</v>
      </c>
      <c r="BG1911" s="111">
        <f t="shared" si="1426"/>
        <v>140</v>
      </c>
      <c r="BH1911" s="111">
        <f t="shared" si="1387"/>
        <v>141</v>
      </c>
      <c r="BI1911" s="111">
        <f t="shared" si="1388"/>
        <v>29.571038251366119</v>
      </c>
      <c r="BJ1911" s="129">
        <f>(G1911-J1911)+(M1911-G1911)</f>
        <v>0</v>
      </c>
      <c r="BK1911" s="129">
        <f t="shared" si="1389"/>
        <v>-135</v>
      </c>
      <c r="BL1911" s="129" t="str">
        <f t="shared" si="1416"/>
        <v>CONVICTION</v>
      </c>
      <c r="BM1911" s="129" t="s">
        <v>76</v>
      </c>
      <c r="BN1911" s="129" t="s">
        <v>88</v>
      </c>
      <c r="BP1911" s="137" t="str">
        <f t="shared" si="1394"/>
        <v>CONVICTION</v>
      </c>
      <c r="BQ1911" s="128" t="str">
        <f t="shared" si="1395"/>
        <v>Y</v>
      </c>
      <c r="BR1911" s="129" t="str">
        <f>IF(J1911&lt;G1911,"ON BOND",0)</f>
        <v>ON BOND</v>
      </c>
      <c r="BS1911" s="129" t="str">
        <f t="shared" si="1397"/>
        <v>DISPOSED</v>
      </c>
      <c r="BT1911" s="129" t="str">
        <f t="shared" si="1398"/>
        <v>Y</v>
      </c>
      <c r="BU1911" s="109">
        <f t="shared" si="1399"/>
        <v>3.5460992907801421E-2</v>
      </c>
      <c r="BV1911" s="109">
        <f t="shared" si="1400"/>
        <v>3.5714285714285712E-2</v>
      </c>
      <c r="BW1911" s="109">
        <f t="shared" si="1420"/>
        <v>2.5329280648429126E-4</v>
      </c>
      <c r="BX1911" s="111">
        <f t="shared" si="1401"/>
        <v>0</v>
      </c>
      <c r="BY1911" s="129">
        <f t="shared" si="1402"/>
        <v>-5</v>
      </c>
      <c r="BZ1911" s="111">
        <f t="shared" si="1403"/>
        <v>0</v>
      </c>
      <c r="CA1911" s="138">
        <f t="shared" si="1404"/>
        <v>5</v>
      </c>
      <c r="CB1911" s="111" t="e">
        <f t="shared" si="1427"/>
        <v>#VALUE!</v>
      </c>
      <c r="CC1911" s="129">
        <f>M1911-I1911+1</f>
        <v>5</v>
      </c>
      <c r="CD1911" s="111">
        <f>CC1911-BF1911</f>
        <v>0</v>
      </c>
      <c r="CG1911" s="129" t="str">
        <f t="shared" si="1405"/>
        <v>Y</v>
      </c>
      <c r="CI1911" s="129" t="str">
        <f t="shared" si="1408"/>
        <v>0-10 DAYS</v>
      </c>
      <c r="CJ1911" s="137">
        <f t="shared" si="1409"/>
        <v>1</v>
      </c>
      <c r="CK1911" s="129" t="str">
        <f t="shared" si="1410"/>
        <v>Booked</v>
      </c>
    </row>
    <row r="1912" spans="1:89" ht="15.75" customHeight="1" x14ac:dyDescent="0.25">
      <c r="A1912" s="111">
        <v>2473</v>
      </c>
      <c r="B1912" s="128" t="str">
        <f t="shared" si="1391"/>
        <v>N</v>
      </c>
      <c r="C1912" s="128" t="str">
        <f t="shared" si="1392"/>
        <v>N</v>
      </c>
      <c r="D1912" s="117">
        <v>2335650</v>
      </c>
      <c r="E1912" s="135">
        <f t="shared" si="1393"/>
        <v>1</v>
      </c>
      <c r="F1912" s="124">
        <v>41002</v>
      </c>
      <c r="G1912" s="125">
        <v>41060</v>
      </c>
      <c r="H1912" s="117">
        <v>2335650</v>
      </c>
      <c r="I1912" s="124">
        <v>41002</v>
      </c>
      <c r="J1912" s="124">
        <v>41009</v>
      </c>
      <c r="K1912" s="126">
        <v>10000</v>
      </c>
      <c r="L1912" s="127" t="s">
        <v>570</v>
      </c>
      <c r="M1912" s="125">
        <v>41009</v>
      </c>
      <c r="N1912" s="129" t="str">
        <f>IF(M1912&gt;1/1/1,"Y","N")</f>
        <v>Y</v>
      </c>
      <c r="O1912" s="128" t="s">
        <v>76</v>
      </c>
      <c r="P1912" s="129" t="s">
        <v>55</v>
      </c>
      <c r="Q1912" s="111">
        <f t="shared" si="1428"/>
        <v>8</v>
      </c>
      <c r="R1912" s="111">
        <f t="shared" si="1415"/>
        <v>59</v>
      </c>
      <c r="S1912" s="129">
        <v>0</v>
      </c>
      <c r="T1912" s="129">
        <v>3</v>
      </c>
      <c r="W1912" s="111"/>
      <c r="AB1912" s="131" t="s">
        <v>112</v>
      </c>
      <c r="AC1912" s="130"/>
      <c r="AD1912" s="130">
        <v>32046</v>
      </c>
      <c r="AE1912" s="128" t="s">
        <v>32</v>
      </c>
      <c r="AF1912" s="128" t="s">
        <v>40</v>
      </c>
      <c r="AG1912" s="128" t="s">
        <v>41</v>
      </c>
      <c r="AH1912" s="108" t="s">
        <v>31</v>
      </c>
      <c r="AI1912" s="128" t="s">
        <v>72</v>
      </c>
      <c r="AJ1912" s="129" t="s">
        <v>55</v>
      </c>
      <c r="AK1912" s="129">
        <v>4</v>
      </c>
      <c r="AL1912" s="3" t="s">
        <v>55</v>
      </c>
      <c r="AP1912" s="129" t="s">
        <v>56</v>
      </c>
      <c r="AR1912" s="128" t="s">
        <v>50</v>
      </c>
      <c r="AS1912" s="129" t="s">
        <v>57</v>
      </c>
      <c r="BC1912" s="129" t="s">
        <v>38</v>
      </c>
      <c r="BF1912" s="111">
        <f t="shared" si="1425"/>
        <v>8</v>
      </c>
      <c r="BG1912" s="111">
        <f t="shared" si="1426"/>
        <v>59</v>
      </c>
      <c r="BH1912" s="111">
        <f t="shared" si="1387"/>
        <v>59</v>
      </c>
      <c r="BI1912" s="111">
        <f t="shared" si="1388"/>
        <v>24.469945355191257</v>
      </c>
      <c r="BJ1912" s="129">
        <f>(G1912-J1912)+(M1912-G1912)</f>
        <v>0</v>
      </c>
      <c r="BK1912" s="129">
        <f t="shared" si="1389"/>
        <v>-51</v>
      </c>
      <c r="BL1912" s="129" t="str">
        <f t="shared" si="1416"/>
        <v>NO CONVICTION</v>
      </c>
      <c r="BM1912" s="129" t="s">
        <v>76</v>
      </c>
      <c r="BN1912" s="129" t="s">
        <v>88</v>
      </c>
      <c r="BP1912" s="137" t="str">
        <f t="shared" si="1394"/>
        <v>NO CONVICTION</v>
      </c>
      <c r="BQ1912" s="128" t="str">
        <f t="shared" si="1395"/>
        <v>Y</v>
      </c>
      <c r="BR1912" s="129" t="str">
        <f t="shared" si="1396"/>
        <v>ON BOND</v>
      </c>
      <c r="BS1912" s="129" t="str">
        <f t="shared" si="1397"/>
        <v>DISPOSED</v>
      </c>
      <c r="BT1912" s="129" t="str">
        <f t="shared" si="1398"/>
        <v>N</v>
      </c>
      <c r="BU1912" s="109">
        <f>IFERROR(Q1912/R1912,BR1912)</f>
        <v>0.13559322033898305</v>
      </c>
      <c r="BV1912" s="109">
        <f t="shared" si="1400"/>
        <v>0.13559322033898305</v>
      </c>
      <c r="BW1912" s="109">
        <f t="shared" si="1420"/>
        <v>0</v>
      </c>
      <c r="BX1912" s="111">
        <f t="shared" si="1401"/>
        <v>0</v>
      </c>
      <c r="BY1912" s="129">
        <f t="shared" si="1402"/>
        <v>-8</v>
      </c>
      <c r="BZ1912" s="111">
        <f t="shared" si="1403"/>
        <v>0</v>
      </c>
      <c r="CA1912" s="138">
        <f t="shared" si="1404"/>
        <v>8</v>
      </c>
      <c r="CB1912" s="111" t="e">
        <f t="shared" si="1427"/>
        <v>#VALUE!</v>
      </c>
      <c r="CC1912" s="129">
        <f>M1912-I1912+1</f>
        <v>8</v>
      </c>
      <c r="CD1912" s="111">
        <f>CC1912-BF1912</f>
        <v>0</v>
      </c>
      <c r="CG1912" s="129" t="str">
        <f t="shared" si="1405"/>
        <v>Y</v>
      </c>
      <c r="CI1912" s="129" t="str">
        <f t="shared" si="1408"/>
        <v>0-10 DAYS</v>
      </c>
      <c r="CJ1912" s="137">
        <f t="shared" si="1409"/>
        <v>1</v>
      </c>
      <c r="CK1912" s="129" t="str">
        <f t="shared" si="1410"/>
        <v>Booked</v>
      </c>
    </row>
    <row r="1913" spans="1:89" ht="15.75" customHeight="1" x14ac:dyDescent="0.25">
      <c r="A1913" s="111">
        <v>1487</v>
      </c>
      <c r="B1913" s="128" t="str">
        <f t="shared" si="1391"/>
        <v>N</v>
      </c>
      <c r="C1913" s="128" t="str">
        <f t="shared" si="1392"/>
        <v>N</v>
      </c>
      <c r="D1913" s="117">
        <v>2335769</v>
      </c>
      <c r="E1913" s="135">
        <f t="shared" si="1393"/>
        <v>6</v>
      </c>
      <c r="F1913" s="124">
        <v>40963</v>
      </c>
      <c r="G1913" s="125">
        <v>40990</v>
      </c>
      <c r="H1913" s="117">
        <v>2335769</v>
      </c>
      <c r="I1913" s="124">
        <v>40963</v>
      </c>
      <c r="J1913" s="124">
        <v>40990</v>
      </c>
      <c r="K1913" s="126" t="s">
        <v>564</v>
      </c>
      <c r="L1913" s="127" t="s">
        <v>564</v>
      </c>
      <c r="N1913" s="129" t="s">
        <v>566</v>
      </c>
      <c r="O1913" s="128" t="s">
        <v>917</v>
      </c>
      <c r="P1913" s="129" t="s">
        <v>39</v>
      </c>
      <c r="Q1913" s="111">
        <f t="shared" si="1428"/>
        <v>28</v>
      </c>
      <c r="R1913" s="111">
        <f t="shared" si="1415"/>
        <v>28</v>
      </c>
      <c r="S1913" s="129">
        <v>2</v>
      </c>
      <c r="T1913" s="129">
        <v>6</v>
      </c>
      <c r="U1913" s="129">
        <v>1</v>
      </c>
      <c r="W1913" s="111"/>
      <c r="AB1913" s="131" t="s">
        <v>112</v>
      </c>
      <c r="AC1913" s="130"/>
      <c r="AD1913" s="130">
        <v>31933</v>
      </c>
      <c r="AE1913" s="128" t="s">
        <v>32</v>
      </c>
      <c r="AF1913" s="128" t="s">
        <v>40</v>
      </c>
      <c r="AG1913" s="128" t="s">
        <v>41</v>
      </c>
      <c r="AH1913" s="108" t="s">
        <v>58</v>
      </c>
      <c r="AI1913" s="128" t="s">
        <v>114</v>
      </c>
      <c r="AJ1913" s="129" t="s">
        <v>89</v>
      </c>
      <c r="AK1913" s="129">
        <v>2</v>
      </c>
      <c r="AL1913" s="3" t="s">
        <v>362</v>
      </c>
      <c r="AM1913" s="117">
        <v>2</v>
      </c>
      <c r="AP1913" s="129" t="s">
        <v>101</v>
      </c>
      <c r="AR1913" s="128" t="s">
        <v>67</v>
      </c>
      <c r="AS1913" s="129" t="s">
        <v>64</v>
      </c>
      <c r="BC1913" s="129" t="s">
        <v>38</v>
      </c>
      <c r="BF1913" s="111">
        <f t="shared" si="1425"/>
        <v>28</v>
      </c>
      <c r="BG1913" s="111">
        <f t="shared" si="1426"/>
        <v>28</v>
      </c>
      <c r="BH1913" s="111">
        <f t="shared" si="1387"/>
        <v>28</v>
      </c>
      <c r="BI1913" s="111">
        <f t="shared" si="1388"/>
        <v>24.672131147540984</v>
      </c>
      <c r="BJ1913" s="129">
        <f t="shared" si="1406"/>
        <v>0</v>
      </c>
      <c r="BK1913" s="129">
        <f t="shared" si="1389"/>
        <v>0</v>
      </c>
      <c r="BL1913" s="129" t="str">
        <f t="shared" si="1416"/>
        <v>CONVICTION</v>
      </c>
      <c r="BM1913" s="129" t="str">
        <f t="shared" si="1407"/>
        <v>NONE</v>
      </c>
      <c r="BN1913" s="129" t="s">
        <v>566</v>
      </c>
      <c r="BP1913" s="137" t="str">
        <f t="shared" si="1394"/>
        <v>CONVICTION</v>
      </c>
      <c r="BQ1913" s="128" t="str">
        <f t="shared" si="1395"/>
        <v>Y</v>
      </c>
      <c r="BR1913" s="129" t="str">
        <f t="shared" si="1396"/>
        <v>DETAINED</v>
      </c>
      <c r="BS1913" s="129" t="str">
        <f t="shared" si="1397"/>
        <v>DISPOSED</v>
      </c>
      <c r="BT1913" s="129" t="str">
        <f t="shared" si="1398"/>
        <v>Y</v>
      </c>
      <c r="BU1913" s="109">
        <f t="shared" si="1399"/>
        <v>1</v>
      </c>
      <c r="BV1913" s="109">
        <f t="shared" si="1400"/>
        <v>1</v>
      </c>
      <c r="BW1913" s="109">
        <f t="shared" si="1420"/>
        <v>0</v>
      </c>
      <c r="BX1913" s="111">
        <f t="shared" si="1401"/>
        <v>0</v>
      </c>
      <c r="BY1913" s="129">
        <f t="shared" si="1402"/>
        <v>-28</v>
      </c>
      <c r="BZ1913" s="111">
        <f t="shared" si="1403"/>
        <v>0</v>
      </c>
      <c r="CA1913" s="138">
        <f t="shared" si="1404"/>
        <v>28</v>
      </c>
      <c r="CB1913" s="111" t="e">
        <f t="shared" si="1427"/>
        <v>#VALUE!</v>
      </c>
      <c r="CC1913" s="129">
        <f t="shared" ref="CC1913:CC1920" si="1429">G1913-I1913+1</f>
        <v>28</v>
      </c>
      <c r="CD1913" s="129">
        <f t="shared" ref="CD1913:CD1920" si="1430">G1913-J1913</f>
        <v>0</v>
      </c>
      <c r="CG1913" s="129" t="str">
        <f t="shared" si="1405"/>
        <v>Y</v>
      </c>
      <c r="CI1913" s="129" t="str">
        <f t="shared" si="1408"/>
        <v>11-30 DAYS</v>
      </c>
      <c r="CJ1913" s="137">
        <f t="shared" si="1409"/>
        <v>2</v>
      </c>
      <c r="CK1913" s="129" t="str">
        <f t="shared" si="1410"/>
        <v>Booked</v>
      </c>
    </row>
    <row r="1914" spans="1:89" ht="15.75" customHeight="1" x14ac:dyDescent="0.25">
      <c r="A1914" s="111">
        <v>3021</v>
      </c>
      <c r="B1914" s="128" t="str">
        <f t="shared" si="1391"/>
        <v>N</v>
      </c>
      <c r="C1914" s="128" t="str">
        <f t="shared" si="1392"/>
        <v>N</v>
      </c>
      <c r="D1914" s="117">
        <v>2336028</v>
      </c>
      <c r="E1914" s="135">
        <f t="shared" si="1393"/>
        <v>6</v>
      </c>
      <c r="F1914" s="124">
        <v>41020</v>
      </c>
      <c r="G1914" s="125">
        <v>41053</v>
      </c>
      <c r="H1914" s="117">
        <v>2336028</v>
      </c>
      <c r="I1914" s="124">
        <v>41021</v>
      </c>
      <c r="J1914" s="124">
        <v>41053</v>
      </c>
      <c r="K1914" s="126">
        <v>20000</v>
      </c>
      <c r="L1914" s="127" t="s">
        <v>571</v>
      </c>
      <c r="N1914" s="129" t="str">
        <f>IF(M1914&gt;1/1/1,"Y","N")</f>
        <v>N</v>
      </c>
      <c r="O1914" s="128" t="s">
        <v>917</v>
      </c>
      <c r="P1914" s="129" t="s">
        <v>39</v>
      </c>
      <c r="Q1914" s="111">
        <f t="shared" si="1428"/>
        <v>33</v>
      </c>
      <c r="R1914" s="111">
        <f t="shared" si="1415"/>
        <v>34</v>
      </c>
      <c r="S1914" s="129">
        <v>2</v>
      </c>
      <c r="T1914" s="129">
        <v>0</v>
      </c>
      <c r="U1914" s="129">
        <v>1</v>
      </c>
      <c r="W1914" s="111"/>
      <c r="AC1914" s="130"/>
      <c r="AD1914" s="130">
        <v>28333</v>
      </c>
      <c r="AE1914" s="128" t="s">
        <v>32</v>
      </c>
      <c r="AF1914" s="128" t="s">
        <v>33</v>
      </c>
      <c r="AG1914" s="128" t="s">
        <v>872</v>
      </c>
      <c r="AH1914" s="108" t="s">
        <v>31</v>
      </c>
      <c r="AI1914" s="128" t="s">
        <v>34</v>
      </c>
      <c r="AJ1914" s="129" t="s">
        <v>89</v>
      </c>
      <c r="AK1914" s="129">
        <v>2</v>
      </c>
      <c r="AL1914" s="3" t="s">
        <v>362</v>
      </c>
      <c r="AM1914" s="117">
        <v>2</v>
      </c>
      <c r="AP1914" s="129" t="s">
        <v>56</v>
      </c>
      <c r="AR1914" s="128" t="s">
        <v>50</v>
      </c>
      <c r="AS1914" s="129" t="s">
        <v>57</v>
      </c>
      <c r="BC1914" s="129" t="s">
        <v>38</v>
      </c>
      <c r="BF1914" s="111">
        <f t="shared" si="1425"/>
        <v>33</v>
      </c>
      <c r="BG1914" s="111">
        <f t="shared" si="1426"/>
        <v>33</v>
      </c>
      <c r="BH1914" s="111">
        <f t="shared" si="1387"/>
        <v>34</v>
      </c>
      <c r="BI1914" s="111">
        <f t="shared" si="1388"/>
        <v>34.66393442622951</v>
      </c>
      <c r="BJ1914" s="129">
        <f t="shared" si="1406"/>
        <v>0</v>
      </c>
      <c r="BK1914" s="129">
        <f t="shared" si="1389"/>
        <v>0</v>
      </c>
      <c r="BL1914" s="129" t="str">
        <f t="shared" si="1416"/>
        <v>CONVICTION</v>
      </c>
      <c r="BM1914" s="129" t="str">
        <f t="shared" si="1407"/>
        <v>NONE</v>
      </c>
      <c r="BN1914" s="129" t="s">
        <v>566</v>
      </c>
      <c r="BP1914" s="137" t="str">
        <f t="shared" si="1394"/>
        <v>CONVICTION</v>
      </c>
      <c r="BQ1914" s="128" t="str">
        <f t="shared" si="1395"/>
        <v>Y</v>
      </c>
      <c r="BR1914" s="129" t="str">
        <f t="shared" si="1396"/>
        <v>DETAINED</v>
      </c>
      <c r="BS1914" s="129" t="str">
        <f t="shared" si="1397"/>
        <v>DISPOSED</v>
      </c>
      <c r="BT1914" s="129" t="str">
        <f t="shared" si="1398"/>
        <v>Y</v>
      </c>
      <c r="BU1914" s="109">
        <f t="shared" si="1399"/>
        <v>0.97058823529411764</v>
      </c>
      <c r="BV1914" s="109">
        <f t="shared" si="1400"/>
        <v>1</v>
      </c>
      <c r="BW1914" s="109">
        <f t="shared" si="1420"/>
        <v>2.9411764705882359E-2</v>
      </c>
      <c r="BX1914" s="111">
        <f t="shared" si="1401"/>
        <v>0</v>
      </c>
      <c r="BY1914" s="129">
        <f t="shared" si="1402"/>
        <v>-33</v>
      </c>
      <c r="BZ1914" s="111">
        <f t="shared" si="1403"/>
        <v>0</v>
      </c>
      <c r="CA1914" s="138">
        <f t="shared" si="1404"/>
        <v>33</v>
      </c>
      <c r="CB1914" s="111" t="e">
        <f t="shared" si="1427"/>
        <v>#VALUE!</v>
      </c>
      <c r="CC1914" s="129">
        <f t="shared" si="1429"/>
        <v>33</v>
      </c>
      <c r="CD1914" s="129">
        <f t="shared" si="1430"/>
        <v>0</v>
      </c>
      <c r="CG1914" s="129" t="str">
        <f t="shared" si="1405"/>
        <v>Y</v>
      </c>
      <c r="CI1914" s="129" t="str">
        <f t="shared" si="1408"/>
        <v>31-60 DAYS</v>
      </c>
      <c r="CJ1914" s="137">
        <f t="shared" si="1409"/>
        <v>3</v>
      </c>
      <c r="CK1914" s="129" t="str">
        <f t="shared" si="1410"/>
        <v>Booked</v>
      </c>
    </row>
    <row r="1915" spans="1:89" ht="15" customHeight="1" x14ac:dyDescent="0.25">
      <c r="A1915" s="111">
        <v>2076</v>
      </c>
      <c r="B1915" s="128" t="str">
        <f t="shared" si="1391"/>
        <v>Y</v>
      </c>
      <c r="C1915" s="128" t="str">
        <f t="shared" si="1392"/>
        <v>N</v>
      </c>
      <c r="D1915" s="117">
        <v>2336243</v>
      </c>
      <c r="E1915" s="135">
        <f t="shared" si="1393"/>
        <v>1</v>
      </c>
      <c r="F1915" s="124">
        <v>40987</v>
      </c>
      <c r="G1915" s="125">
        <v>41194</v>
      </c>
      <c r="H1915" s="117">
        <v>2336243</v>
      </c>
      <c r="I1915" s="124">
        <v>40988</v>
      </c>
      <c r="J1915" s="124">
        <v>41194</v>
      </c>
      <c r="K1915" s="126" t="s">
        <v>564</v>
      </c>
      <c r="L1915" s="127" t="s">
        <v>564</v>
      </c>
      <c r="N1915" s="129" t="s">
        <v>566</v>
      </c>
      <c r="O1915" s="128" t="s">
        <v>917</v>
      </c>
      <c r="P1915" s="129" t="s">
        <v>55</v>
      </c>
      <c r="Q1915" s="111">
        <f t="shared" si="1428"/>
        <v>207</v>
      </c>
      <c r="R1915" s="111">
        <f t="shared" si="1415"/>
        <v>208</v>
      </c>
      <c r="S1915" s="129">
        <v>1</v>
      </c>
      <c r="T1915" s="129">
        <v>1</v>
      </c>
      <c r="U1915" s="129">
        <v>1</v>
      </c>
      <c r="W1915" s="111"/>
      <c r="AC1915" s="130"/>
      <c r="AD1915" s="130">
        <v>26636</v>
      </c>
      <c r="AE1915" s="128" t="s">
        <v>32</v>
      </c>
      <c r="AF1915" s="128" t="s">
        <v>33</v>
      </c>
      <c r="AG1915" s="128" t="s">
        <v>872</v>
      </c>
      <c r="AH1915" s="108" t="s">
        <v>31</v>
      </c>
      <c r="AI1915" s="128" t="s">
        <v>53</v>
      </c>
      <c r="AJ1915" s="129" t="s">
        <v>55</v>
      </c>
      <c r="AK1915" s="129">
        <v>10</v>
      </c>
      <c r="AL1915" s="3" t="s">
        <v>55</v>
      </c>
      <c r="AP1915" s="129" t="s">
        <v>96</v>
      </c>
      <c r="AR1915" s="128" t="s">
        <v>67</v>
      </c>
      <c r="AS1915" s="129" t="s">
        <v>64</v>
      </c>
      <c r="BC1915" s="129" t="s">
        <v>38</v>
      </c>
      <c r="BD1915" s="129" t="s">
        <v>1181</v>
      </c>
      <c r="BF1915" s="111">
        <f t="shared" si="1425"/>
        <v>207</v>
      </c>
      <c r="BG1915" s="111">
        <f t="shared" si="1426"/>
        <v>207</v>
      </c>
      <c r="BH1915" s="111">
        <f t="shared" si="1387"/>
        <v>208</v>
      </c>
      <c r="BI1915" s="111">
        <f t="shared" si="1388"/>
        <v>39.210382513661202</v>
      </c>
      <c r="BJ1915" s="129">
        <f t="shared" si="1406"/>
        <v>0</v>
      </c>
      <c r="BK1915" s="129">
        <f t="shared" si="1389"/>
        <v>0</v>
      </c>
      <c r="BL1915" s="129" t="str">
        <f t="shared" si="1416"/>
        <v>NO CONVICTION</v>
      </c>
      <c r="BM1915" s="129" t="str">
        <f t="shared" si="1407"/>
        <v>NONE</v>
      </c>
      <c r="BN1915" s="129" t="s">
        <v>566</v>
      </c>
      <c r="BP1915" s="137" t="str">
        <f t="shared" si="1394"/>
        <v>NO CONVICTION</v>
      </c>
      <c r="BQ1915" s="128" t="str">
        <f t="shared" si="1395"/>
        <v>Y</v>
      </c>
      <c r="BR1915" s="129" t="str">
        <f t="shared" si="1396"/>
        <v>DETAINED</v>
      </c>
      <c r="BS1915" s="129" t="str">
        <f t="shared" si="1397"/>
        <v>DISPOSED</v>
      </c>
      <c r="BT1915" s="129" t="str">
        <f t="shared" si="1398"/>
        <v>Y</v>
      </c>
      <c r="BU1915" s="109">
        <f>IFERROR(Q1915/R1915,BR1915)</f>
        <v>0.99519230769230771</v>
      </c>
      <c r="BV1915" s="109">
        <f t="shared" si="1400"/>
        <v>1</v>
      </c>
      <c r="BW1915" s="109">
        <f t="shared" si="1420"/>
        <v>4.8076923076922906E-3</v>
      </c>
      <c r="BX1915" s="111">
        <f t="shared" si="1401"/>
        <v>0</v>
      </c>
      <c r="BY1915" s="129">
        <f t="shared" si="1402"/>
        <v>-207</v>
      </c>
      <c r="BZ1915" s="111">
        <f t="shared" si="1403"/>
        <v>0</v>
      </c>
      <c r="CA1915" s="138">
        <f t="shared" si="1404"/>
        <v>207</v>
      </c>
      <c r="CB1915" s="111" t="e">
        <f t="shared" si="1427"/>
        <v>#VALUE!</v>
      </c>
      <c r="CC1915" s="129">
        <f t="shared" si="1429"/>
        <v>207</v>
      </c>
      <c r="CD1915" s="129">
        <f t="shared" si="1430"/>
        <v>0</v>
      </c>
      <c r="CG1915" s="129" t="str">
        <f t="shared" si="1405"/>
        <v>Y</v>
      </c>
      <c r="CI1915" s="129" t="str">
        <f t="shared" si="1408"/>
        <v>121-365 DAYS</v>
      </c>
      <c r="CJ1915" s="137">
        <f t="shared" si="1409"/>
        <v>6</v>
      </c>
      <c r="CK1915" s="129" t="str">
        <f t="shared" si="1410"/>
        <v>Booked</v>
      </c>
    </row>
    <row r="1916" spans="1:89" ht="15.75" customHeight="1" x14ac:dyDescent="0.25">
      <c r="A1916" s="111">
        <v>1026</v>
      </c>
      <c r="B1916" s="128" t="str">
        <f t="shared" si="1391"/>
        <v>N</v>
      </c>
      <c r="C1916" s="128" t="str">
        <f t="shared" si="1392"/>
        <v>N</v>
      </c>
      <c r="D1916" s="117">
        <v>2336593</v>
      </c>
      <c r="E1916" s="135">
        <f t="shared" si="1393"/>
        <v>5</v>
      </c>
      <c r="F1916" s="124">
        <v>40947</v>
      </c>
      <c r="G1916" s="125">
        <v>40949</v>
      </c>
      <c r="H1916" s="117">
        <v>2336593</v>
      </c>
      <c r="I1916" s="124">
        <v>40947</v>
      </c>
      <c r="J1916" s="124">
        <v>40949</v>
      </c>
      <c r="K1916" s="126">
        <v>15000</v>
      </c>
      <c r="L1916" s="127" t="s">
        <v>571</v>
      </c>
      <c r="N1916" s="129" t="str">
        <f>IF(M1916&gt;1/1/1,"Y","N")</f>
        <v>N</v>
      </c>
      <c r="O1916" s="128" t="s">
        <v>917</v>
      </c>
      <c r="P1916" s="129" t="s">
        <v>39</v>
      </c>
      <c r="Q1916" s="111">
        <f t="shared" si="1428"/>
        <v>3</v>
      </c>
      <c r="R1916" s="111">
        <f t="shared" si="1415"/>
        <v>3</v>
      </c>
      <c r="S1916" s="129">
        <v>2</v>
      </c>
      <c r="T1916" s="129">
        <v>9</v>
      </c>
      <c r="U1916" s="129">
        <v>2</v>
      </c>
      <c r="W1916" s="111"/>
      <c r="AC1916" s="130"/>
      <c r="AD1916" s="130">
        <v>32449</v>
      </c>
      <c r="AE1916" s="128" t="s">
        <v>32</v>
      </c>
      <c r="AF1916" s="128" t="s">
        <v>40</v>
      </c>
      <c r="AG1916" s="128" t="s">
        <v>41</v>
      </c>
      <c r="AH1916" s="108" t="s">
        <v>41</v>
      </c>
      <c r="AI1916" s="128" t="s">
        <v>113</v>
      </c>
      <c r="AJ1916" s="129" t="s">
        <v>89</v>
      </c>
      <c r="AK1916" s="129">
        <v>2</v>
      </c>
      <c r="AL1916" s="3" t="s">
        <v>992</v>
      </c>
      <c r="AN1916" s="117">
        <v>6</v>
      </c>
      <c r="AP1916" s="129" t="s">
        <v>127</v>
      </c>
      <c r="AR1916" s="128" t="s">
        <v>44</v>
      </c>
      <c r="AS1916" s="129" t="s">
        <v>82</v>
      </c>
      <c r="BC1916" s="129" t="s">
        <v>38</v>
      </c>
      <c r="BF1916" s="111">
        <f t="shared" si="1425"/>
        <v>3</v>
      </c>
      <c r="BG1916" s="111">
        <f t="shared" si="1426"/>
        <v>3</v>
      </c>
      <c r="BH1916" s="111">
        <f t="shared" si="1387"/>
        <v>3</v>
      </c>
      <c r="BI1916" s="111">
        <f t="shared" si="1388"/>
        <v>23.218579234972676</v>
      </c>
      <c r="BJ1916" s="129">
        <f t="shared" si="1406"/>
        <v>0</v>
      </c>
      <c r="BK1916" s="129">
        <f t="shared" si="1389"/>
        <v>0</v>
      </c>
      <c r="BL1916" s="129" t="str">
        <f t="shared" si="1416"/>
        <v>CONVICTION</v>
      </c>
      <c r="BM1916" s="129" t="str">
        <f t="shared" si="1407"/>
        <v>NONE</v>
      </c>
      <c r="BN1916" s="129" t="s">
        <v>566</v>
      </c>
      <c r="BP1916" s="137" t="str">
        <f t="shared" si="1394"/>
        <v>CONVICTION</v>
      </c>
      <c r="BQ1916" s="128" t="str">
        <f t="shared" si="1395"/>
        <v>Y</v>
      </c>
      <c r="BR1916" s="129" t="str">
        <f t="shared" si="1396"/>
        <v>DETAINED</v>
      </c>
      <c r="BS1916" s="129" t="str">
        <f t="shared" si="1397"/>
        <v>DISPOSED</v>
      </c>
      <c r="BT1916" s="129" t="str">
        <f t="shared" si="1398"/>
        <v>Y</v>
      </c>
      <c r="BU1916" s="109">
        <f t="shared" si="1399"/>
        <v>1</v>
      </c>
      <c r="BV1916" s="109">
        <f t="shared" si="1400"/>
        <v>1</v>
      </c>
      <c r="BW1916" s="109">
        <f t="shared" si="1420"/>
        <v>0</v>
      </c>
      <c r="BX1916" s="111">
        <f t="shared" si="1401"/>
        <v>0</v>
      </c>
      <c r="BY1916" s="129">
        <f t="shared" si="1402"/>
        <v>-3</v>
      </c>
      <c r="BZ1916" s="111">
        <f t="shared" si="1403"/>
        <v>0</v>
      </c>
      <c r="CA1916" s="138">
        <f t="shared" si="1404"/>
        <v>3</v>
      </c>
      <c r="CB1916" s="111" t="e">
        <f t="shared" si="1427"/>
        <v>#VALUE!</v>
      </c>
      <c r="CC1916" s="129">
        <f t="shared" si="1429"/>
        <v>3</v>
      </c>
      <c r="CD1916" s="129">
        <f t="shared" si="1430"/>
        <v>0</v>
      </c>
      <c r="CG1916" s="129" t="str">
        <f t="shared" si="1405"/>
        <v>Y</v>
      </c>
      <c r="CI1916" s="129" t="str">
        <f t="shared" si="1408"/>
        <v>0-10 DAYS</v>
      </c>
      <c r="CJ1916" s="137">
        <f t="shared" si="1409"/>
        <v>1</v>
      </c>
      <c r="CK1916" s="129" t="str">
        <f t="shared" si="1410"/>
        <v>Booked</v>
      </c>
    </row>
    <row r="1917" spans="1:89" ht="15.75" customHeight="1" x14ac:dyDescent="0.25">
      <c r="A1917" s="111">
        <v>1908</v>
      </c>
      <c r="B1917" s="128" t="str">
        <f t="shared" si="1391"/>
        <v>N</v>
      </c>
      <c r="C1917" s="128" t="str">
        <f t="shared" si="1392"/>
        <v>N</v>
      </c>
      <c r="D1917" s="117">
        <v>2336757</v>
      </c>
      <c r="E1917" s="135">
        <f t="shared" si="1393"/>
        <v>5</v>
      </c>
      <c r="F1917" s="124">
        <v>40979</v>
      </c>
      <c r="G1917" s="125">
        <v>41086</v>
      </c>
      <c r="H1917" s="117">
        <v>2336757</v>
      </c>
      <c r="I1917" s="124">
        <v>40980</v>
      </c>
      <c r="J1917" s="124">
        <v>41086</v>
      </c>
      <c r="K1917" s="126">
        <v>15000</v>
      </c>
      <c r="L1917" s="127" t="s">
        <v>571</v>
      </c>
      <c r="N1917" s="129" t="str">
        <f>IF(M1917&gt;1/1/1,"Y","N")</f>
        <v>N</v>
      </c>
      <c r="O1917" s="128" t="s">
        <v>917</v>
      </c>
      <c r="P1917" s="129" t="s">
        <v>39</v>
      </c>
      <c r="Q1917" s="111">
        <f t="shared" si="1428"/>
        <v>107</v>
      </c>
      <c r="R1917" s="111">
        <f t="shared" si="1415"/>
        <v>108</v>
      </c>
      <c r="S1917" s="129">
        <v>4</v>
      </c>
      <c r="T1917" s="129">
        <v>5</v>
      </c>
      <c r="U1917" s="129">
        <v>3</v>
      </c>
      <c r="W1917" s="111"/>
      <c r="AC1917" s="130"/>
      <c r="AD1917" s="130">
        <v>26899</v>
      </c>
      <c r="AE1917" s="128" t="s">
        <v>32</v>
      </c>
      <c r="AF1917" s="128" t="s">
        <v>33</v>
      </c>
      <c r="AG1917" s="128" t="s">
        <v>872</v>
      </c>
      <c r="AH1917" s="108" t="s">
        <v>31</v>
      </c>
      <c r="AI1917" s="128" t="s">
        <v>141</v>
      </c>
      <c r="AJ1917" s="129" t="s">
        <v>89</v>
      </c>
      <c r="AK1917" s="129">
        <v>7</v>
      </c>
      <c r="AL1917" s="3" t="s">
        <v>992</v>
      </c>
      <c r="AN1917" s="117">
        <v>7</v>
      </c>
      <c r="AP1917" s="129" t="s">
        <v>60</v>
      </c>
      <c r="AR1917" s="128" t="s">
        <v>44</v>
      </c>
      <c r="AS1917" s="129" t="s">
        <v>61</v>
      </c>
      <c r="BC1917" s="129" t="s">
        <v>38</v>
      </c>
      <c r="BF1917" s="111">
        <f t="shared" si="1425"/>
        <v>107</v>
      </c>
      <c r="BG1917" s="111">
        <f t="shared" si="1426"/>
        <v>107</v>
      </c>
      <c r="BH1917" s="111">
        <f t="shared" si="1387"/>
        <v>108</v>
      </c>
      <c r="BI1917" s="111">
        <f t="shared" si="1388"/>
        <v>38.469945355191257</v>
      </c>
      <c r="BJ1917" s="129">
        <f t="shared" si="1406"/>
        <v>0</v>
      </c>
      <c r="BK1917" s="129">
        <f t="shared" si="1389"/>
        <v>0</v>
      </c>
      <c r="BL1917" s="129" t="str">
        <f t="shared" si="1416"/>
        <v>CONVICTION</v>
      </c>
      <c r="BM1917" s="129" t="str">
        <f t="shared" si="1407"/>
        <v>NONE</v>
      </c>
      <c r="BN1917" s="129" t="s">
        <v>566</v>
      </c>
      <c r="BP1917" s="137" t="str">
        <f t="shared" si="1394"/>
        <v>CONVICTION</v>
      </c>
      <c r="BQ1917" s="128" t="str">
        <f t="shared" si="1395"/>
        <v>Y</v>
      </c>
      <c r="BR1917" s="129" t="str">
        <f t="shared" si="1396"/>
        <v>DETAINED</v>
      </c>
      <c r="BS1917" s="129" t="str">
        <f t="shared" si="1397"/>
        <v>DISPOSED</v>
      </c>
      <c r="BT1917" s="129" t="str">
        <f t="shared" si="1398"/>
        <v>Y</v>
      </c>
      <c r="BU1917" s="109">
        <f t="shared" si="1399"/>
        <v>0.9907407407407407</v>
      </c>
      <c r="BV1917" s="109">
        <f t="shared" si="1400"/>
        <v>1</v>
      </c>
      <c r="BW1917" s="109">
        <f t="shared" si="1420"/>
        <v>9.2592592592593004E-3</v>
      </c>
      <c r="BX1917" s="111">
        <f t="shared" si="1401"/>
        <v>0</v>
      </c>
      <c r="BY1917" s="129">
        <f t="shared" si="1402"/>
        <v>-107</v>
      </c>
      <c r="BZ1917" s="111">
        <f t="shared" si="1403"/>
        <v>0</v>
      </c>
      <c r="CA1917" s="138">
        <f t="shared" si="1404"/>
        <v>107</v>
      </c>
      <c r="CB1917" s="111" t="e">
        <f t="shared" si="1427"/>
        <v>#VALUE!</v>
      </c>
      <c r="CC1917" s="129">
        <f t="shared" si="1429"/>
        <v>107</v>
      </c>
      <c r="CD1917" s="129">
        <f t="shared" si="1430"/>
        <v>0</v>
      </c>
      <c r="CG1917" s="129" t="str">
        <f t="shared" si="1405"/>
        <v>Y</v>
      </c>
      <c r="CI1917" s="129" t="str">
        <f t="shared" si="1408"/>
        <v>91-120 DAYS</v>
      </c>
      <c r="CJ1917" s="137">
        <f t="shared" si="1409"/>
        <v>0</v>
      </c>
      <c r="CK1917" s="129" t="str">
        <f t="shared" si="1410"/>
        <v>Booked</v>
      </c>
    </row>
    <row r="1918" spans="1:89" ht="15.75" customHeight="1" x14ac:dyDescent="0.25">
      <c r="A1918" s="111">
        <v>21</v>
      </c>
      <c r="B1918" s="128" t="str">
        <f t="shared" si="1391"/>
        <v>N</v>
      </c>
      <c r="C1918" s="128" t="str">
        <f t="shared" si="1392"/>
        <v>N</v>
      </c>
      <c r="D1918" s="117">
        <v>2339390</v>
      </c>
      <c r="E1918" s="135">
        <f t="shared" si="1393"/>
        <v>1</v>
      </c>
      <c r="F1918" s="124">
        <v>40910</v>
      </c>
      <c r="G1918" s="125">
        <v>40926</v>
      </c>
      <c r="H1918" s="117">
        <v>2339390</v>
      </c>
      <c r="I1918" s="124">
        <v>40910</v>
      </c>
      <c r="J1918" s="124">
        <v>40926</v>
      </c>
      <c r="K1918" s="126" t="s">
        <v>564</v>
      </c>
      <c r="L1918" s="127" t="s">
        <v>564</v>
      </c>
      <c r="N1918" s="129" t="s">
        <v>566</v>
      </c>
      <c r="O1918" s="128" t="s">
        <v>917</v>
      </c>
      <c r="P1918" s="129" t="s">
        <v>55</v>
      </c>
      <c r="Q1918" s="111">
        <f t="shared" si="1428"/>
        <v>17</v>
      </c>
      <c r="R1918" s="111">
        <f t="shared" si="1415"/>
        <v>17</v>
      </c>
      <c r="S1918" s="129">
        <v>1</v>
      </c>
      <c r="T1918" s="129">
        <v>1</v>
      </c>
      <c r="V1918" s="117">
        <v>1</v>
      </c>
      <c r="W1918" s="111"/>
      <c r="AC1918" s="130"/>
      <c r="AD1918" s="130">
        <v>32909</v>
      </c>
      <c r="AE1918" s="128" t="s">
        <v>32</v>
      </c>
      <c r="AF1918" s="128" t="s">
        <v>33</v>
      </c>
      <c r="AG1918" s="128" t="s">
        <v>872</v>
      </c>
      <c r="AH1918" s="108" t="s">
        <v>31</v>
      </c>
      <c r="AI1918" s="128" t="s">
        <v>47</v>
      </c>
      <c r="AJ1918" s="129" t="s">
        <v>55</v>
      </c>
      <c r="AK1918" s="129">
        <v>3</v>
      </c>
      <c r="AL1918" s="3" t="s">
        <v>55</v>
      </c>
      <c r="AP1918" s="129" t="s">
        <v>91</v>
      </c>
      <c r="AR1918" s="128" t="s">
        <v>92</v>
      </c>
      <c r="AS1918" s="129" t="s">
        <v>74</v>
      </c>
      <c r="BC1918" s="129" t="s">
        <v>79</v>
      </c>
      <c r="BF1918" s="111">
        <f t="shared" si="1425"/>
        <v>17</v>
      </c>
      <c r="BG1918" s="111">
        <f t="shared" si="1426"/>
        <v>17</v>
      </c>
      <c r="BH1918" s="111">
        <f t="shared" si="1387"/>
        <v>17</v>
      </c>
      <c r="BI1918" s="111">
        <f t="shared" si="1388"/>
        <v>21.860655737704917</v>
      </c>
      <c r="BJ1918" s="129">
        <f t="shared" si="1406"/>
        <v>0</v>
      </c>
      <c r="BK1918" s="129">
        <f t="shared" si="1389"/>
        <v>0</v>
      </c>
      <c r="BL1918" s="129" t="str">
        <f t="shared" si="1416"/>
        <v>NO CONVICTION</v>
      </c>
      <c r="BM1918" s="129" t="str">
        <f t="shared" si="1407"/>
        <v>NONE</v>
      </c>
      <c r="BN1918" s="129" t="s">
        <v>566</v>
      </c>
      <c r="BP1918" s="137" t="str">
        <f t="shared" si="1394"/>
        <v>NO CONVICTION</v>
      </c>
      <c r="BQ1918" s="128" t="str">
        <f t="shared" si="1395"/>
        <v>Y</v>
      </c>
      <c r="BR1918" s="129" t="str">
        <f t="shared" si="1396"/>
        <v>DETAINED</v>
      </c>
      <c r="BS1918" s="129" t="str">
        <f t="shared" si="1397"/>
        <v>DISPOSED</v>
      </c>
      <c r="BT1918" s="129" t="str">
        <f t="shared" si="1398"/>
        <v>Y</v>
      </c>
      <c r="BU1918" s="109">
        <f>IFERROR(Q1918/R1918,BR1918)</f>
        <v>1</v>
      </c>
      <c r="BV1918" s="109">
        <f t="shared" si="1400"/>
        <v>1</v>
      </c>
      <c r="BW1918" s="109">
        <f t="shared" si="1420"/>
        <v>0</v>
      </c>
      <c r="BX1918" s="111">
        <f t="shared" si="1401"/>
        <v>0</v>
      </c>
      <c r="BY1918" s="129">
        <f t="shared" si="1402"/>
        <v>-17</v>
      </c>
      <c r="BZ1918" s="111">
        <f t="shared" si="1403"/>
        <v>0</v>
      </c>
      <c r="CA1918" s="138">
        <f t="shared" si="1404"/>
        <v>17</v>
      </c>
      <c r="CB1918" s="111" t="e">
        <f t="shared" si="1427"/>
        <v>#VALUE!</v>
      </c>
      <c r="CC1918" s="129">
        <f t="shared" si="1429"/>
        <v>17</v>
      </c>
      <c r="CD1918" s="129">
        <f t="shared" si="1430"/>
        <v>0</v>
      </c>
      <c r="CG1918" s="129" t="str">
        <f t="shared" si="1405"/>
        <v>Y</v>
      </c>
      <c r="CI1918" s="129" t="str">
        <f t="shared" si="1408"/>
        <v>11-30 DAYS</v>
      </c>
      <c r="CJ1918" s="137">
        <f t="shared" si="1409"/>
        <v>2</v>
      </c>
      <c r="CK1918" s="129" t="str">
        <f t="shared" si="1410"/>
        <v>Booked</v>
      </c>
    </row>
    <row r="1919" spans="1:89" ht="15" customHeight="1" x14ac:dyDescent="0.25">
      <c r="A1919" s="111">
        <v>728</v>
      </c>
      <c r="B1919" s="128" t="str">
        <f t="shared" si="1391"/>
        <v>N</v>
      </c>
      <c r="C1919" s="128" t="str">
        <f t="shared" si="1392"/>
        <v>N</v>
      </c>
      <c r="D1919" s="117">
        <v>2339589</v>
      </c>
      <c r="E1919" s="135">
        <f t="shared" si="1393"/>
        <v>4</v>
      </c>
      <c r="F1919" s="124">
        <v>40937</v>
      </c>
      <c r="G1919" s="125">
        <v>41038</v>
      </c>
      <c r="H1919" s="117">
        <v>2339589</v>
      </c>
      <c r="I1919" s="124">
        <v>40937</v>
      </c>
      <c r="J1919" s="124">
        <v>41038</v>
      </c>
      <c r="K1919" s="126">
        <v>15000</v>
      </c>
      <c r="L1919" s="127" t="s">
        <v>571</v>
      </c>
      <c r="N1919" s="129" t="str">
        <f t="shared" ref="N1919:N1928" si="1431">IF(M1919&gt;1/1/1,"Y","N")</f>
        <v>N</v>
      </c>
      <c r="O1919" s="128" t="s">
        <v>917</v>
      </c>
      <c r="P1919" s="129" t="s">
        <v>39</v>
      </c>
      <c r="Q1919" s="111">
        <f t="shared" si="1428"/>
        <v>102</v>
      </c>
      <c r="R1919" s="111">
        <f t="shared" si="1415"/>
        <v>102</v>
      </c>
      <c r="S1919" s="129">
        <v>1</v>
      </c>
      <c r="T1919" s="129">
        <v>0</v>
      </c>
      <c r="U1919" s="129">
        <v>1</v>
      </c>
      <c r="W1919" s="111"/>
      <c r="AC1919" s="130"/>
      <c r="AD1919" s="130">
        <v>32343</v>
      </c>
      <c r="AE1919" s="128" t="s">
        <v>32</v>
      </c>
      <c r="AF1919" s="128" t="s">
        <v>40</v>
      </c>
      <c r="AG1919" s="128" t="s">
        <v>41</v>
      </c>
      <c r="AH1919" s="108" t="s">
        <v>41</v>
      </c>
      <c r="AI1919" s="128" t="s">
        <v>65</v>
      </c>
      <c r="AJ1919" s="129" t="s">
        <v>89</v>
      </c>
      <c r="AK1919" s="129">
        <v>6</v>
      </c>
      <c r="AL1919" s="3" t="s">
        <v>991</v>
      </c>
      <c r="AO1919" s="128">
        <v>180</v>
      </c>
      <c r="AP1919" s="129" t="s">
        <v>43</v>
      </c>
      <c r="AR1919" s="128" t="s">
        <v>44</v>
      </c>
      <c r="AS1919" s="129" t="s">
        <v>45</v>
      </c>
      <c r="AT1919" s="3" t="s">
        <v>607</v>
      </c>
      <c r="BC1919" s="129" t="s">
        <v>38</v>
      </c>
      <c r="BF1919" s="111">
        <f t="shared" si="1425"/>
        <v>102</v>
      </c>
      <c r="BG1919" s="111">
        <f t="shared" si="1426"/>
        <v>102</v>
      </c>
      <c r="BH1919" s="111">
        <f t="shared" si="1387"/>
        <v>102</v>
      </c>
      <c r="BI1919" s="111">
        <f t="shared" si="1388"/>
        <v>23.480874316939889</v>
      </c>
      <c r="BJ1919" s="129">
        <f t="shared" si="1406"/>
        <v>0</v>
      </c>
      <c r="BK1919" s="129">
        <f t="shared" si="1389"/>
        <v>0</v>
      </c>
      <c r="BL1919" s="129" t="str">
        <f t="shared" si="1416"/>
        <v>CONVICTION</v>
      </c>
      <c r="BM1919" s="129" t="str">
        <f t="shared" si="1407"/>
        <v>NONE</v>
      </c>
      <c r="BN1919" s="129" t="s">
        <v>566</v>
      </c>
      <c r="BP1919" s="137" t="str">
        <f t="shared" si="1394"/>
        <v>CONVICTION</v>
      </c>
      <c r="BQ1919" s="128" t="str">
        <f t="shared" si="1395"/>
        <v>Y</v>
      </c>
      <c r="BR1919" s="129" t="str">
        <f t="shared" si="1396"/>
        <v>DETAINED</v>
      </c>
      <c r="BS1919" s="129" t="str">
        <f t="shared" si="1397"/>
        <v>DISPOSED</v>
      </c>
      <c r="BT1919" s="129" t="str">
        <f t="shared" si="1398"/>
        <v>Y</v>
      </c>
      <c r="BU1919" s="109">
        <f t="shared" si="1399"/>
        <v>1</v>
      </c>
      <c r="BV1919" s="109">
        <f t="shared" si="1400"/>
        <v>1</v>
      </c>
      <c r="BW1919" s="109">
        <f t="shared" si="1420"/>
        <v>0</v>
      </c>
      <c r="BX1919" s="111">
        <f t="shared" si="1401"/>
        <v>0</v>
      </c>
      <c r="BY1919" s="129">
        <f t="shared" si="1402"/>
        <v>-102</v>
      </c>
      <c r="BZ1919" s="111">
        <f t="shared" si="1403"/>
        <v>0</v>
      </c>
      <c r="CA1919" s="138">
        <f t="shared" si="1404"/>
        <v>102</v>
      </c>
      <c r="CB1919" s="111" t="e">
        <f t="shared" si="1427"/>
        <v>#VALUE!</v>
      </c>
      <c r="CC1919" s="129">
        <f t="shared" si="1429"/>
        <v>102</v>
      </c>
      <c r="CD1919" s="129">
        <f t="shared" si="1430"/>
        <v>0</v>
      </c>
      <c r="CG1919" s="129" t="str">
        <f t="shared" si="1405"/>
        <v>Y</v>
      </c>
      <c r="CI1919" s="129" t="str">
        <f t="shared" si="1408"/>
        <v>91-120 DAYS</v>
      </c>
      <c r="CJ1919" s="137">
        <f t="shared" si="1409"/>
        <v>0</v>
      </c>
      <c r="CK1919" s="129" t="str">
        <f t="shared" si="1410"/>
        <v>Booked</v>
      </c>
    </row>
    <row r="1920" spans="1:89" ht="15" customHeight="1" x14ac:dyDescent="0.25">
      <c r="A1920" s="111">
        <v>1225</v>
      </c>
      <c r="B1920" s="128" t="str">
        <f t="shared" si="1391"/>
        <v>N</v>
      </c>
      <c r="C1920" s="128" t="str">
        <f t="shared" si="1392"/>
        <v>N</v>
      </c>
      <c r="D1920" s="117">
        <v>2339885</v>
      </c>
      <c r="E1920" s="135">
        <f t="shared" si="1393"/>
        <v>4</v>
      </c>
      <c r="F1920" s="124">
        <v>40953</v>
      </c>
      <c r="G1920" s="125">
        <v>41031</v>
      </c>
      <c r="H1920" s="117">
        <v>2339885</v>
      </c>
      <c r="I1920" s="124">
        <v>40954</v>
      </c>
      <c r="J1920" s="124">
        <v>41031</v>
      </c>
      <c r="K1920" s="126">
        <v>25000</v>
      </c>
      <c r="L1920" s="129" t="s">
        <v>572</v>
      </c>
      <c r="N1920" s="129" t="str">
        <f t="shared" si="1431"/>
        <v>N</v>
      </c>
      <c r="O1920" s="128" t="s">
        <v>917</v>
      </c>
      <c r="P1920" s="129" t="s">
        <v>39</v>
      </c>
      <c r="Q1920" s="111">
        <f t="shared" si="1428"/>
        <v>78</v>
      </c>
      <c r="R1920" s="111">
        <f t="shared" si="1415"/>
        <v>79</v>
      </c>
      <c r="S1920" s="129">
        <v>3</v>
      </c>
      <c r="T1920" s="129">
        <v>4</v>
      </c>
      <c r="U1920" s="129">
        <v>1</v>
      </c>
      <c r="W1920" s="111"/>
      <c r="AC1920" s="130"/>
      <c r="AD1920" s="130">
        <v>28966</v>
      </c>
      <c r="AE1920" s="128" t="s">
        <v>32</v>
      </c>
      <c r="AF1920" s="128" t="s">
        <v>69</v>
      </c>
      <c r="AG1920" s="128" t="s">
        <v>874</v>
      </c>
      <c r="AH1920" s="108" t="s">
        <v>58</v>
      </c>
      <c r="AI1920" s="128" t="s">
        <v>113</v>
      </c>
      <c r="AJ1920" s="129" t="s">
        <v>89</v>
      </c>
      <c r="AK1920" s="129">
        <v>5</v>
      </c>
      <c r="AL1920" s="3" t="s">
        <v>991</v>
      </c>
      <c r="AO1920" s="128">
        <v>270</v>
      </c>
      <c r="AP1920" s="129" t="s">
        <v>184</v>
      </c>
      <c r="AR1920" s="128" t="s">
        <v>44</v>
      </c>
      <c r="AS1920" s="129" t="s">
        <v>64</v>
      </c>
      <c r="BC1920" s="129" t="s">
        <v>38</v>
      </c>
      <c r="BF1920" s="111">
        <f t="shared" si="1425"/>
        <v>78</v>
      </c>
      <c r="BG1920" s="111">
        <f t="shared" si="1426"/>
        <v>78</v>
      </c>
      <c r="BH1920" s="111">
        <f t="shared" si="1387"/>
        <v>79</v>
      </c>
      <c r="BI1920" s="111">
        <f t="shared" si="1388"/>
        <v>32.751366120218577</v>
      </c>
      <c r="BJ1920" s="129">
        <f t="shared" si="1406"/>
        <v>0</v>
      </c>
      <c r="BK1920" s="129">
        <f t="shared" si="1389"/>
        <v>0</v>
      </c>
      <c r="BL1920" s="129" t="str">
        <f t="shared" si="1416"/>
        <v>CONVICTION</v>
      </c>
      <c r="BM1920" s="129" t="str">
        <f t="shared" si="1407"/>
        <v>NONE</v>
      </c>
      <c r="BN1920" s="129" t="s">
        <v>566</v>
      </c>
      <c r="BP1920" s="137" t="str">
        <f t="shared" si="1394"/>
        <v>CONVICTION</v>
      </c>
      <c r="BQ1920" s="128" t="str">
        <f t="shared" si="1395"/>
        <v>Y</v>
      </c>
      <c r="BR1920" s="129" t="str">
        <f t="shared" si="1396"/>
        <v>DETAINED</v>
      </c>
      <c r="BS1920" s="129" t="str">
        <f t="shared" si="1397"/>
        <v>DISPOSED</v>
      </c>
      <c r="BT1920" s="129" t="str">
        <f t="shared" si="1398"/>
        <v>Y</v>
      </c>
      <c r="BU1920" s="109">
        <f t="shared" si="1399"/>
        <v>0.98734177215189878</v>
      </c>
      <c r="BV1920" s="109">
        <f t="shared" si="1400"/>
        <v>1</v>
      </c>
      <c r="BW1920" s="109">
        <f t="shared" si="1420"/>
        <v>1.2658227848101222E-2</v>
      </c>
      <c r="BX1920" s="111">
        <f t="shared" si="1401"/>
        <v>0</v>
      </c>
      <c r="BY1920" s="129">
        <f t="shared" si="1402"/>
        <v>-78</v>
      </c>
      <c r="BZ1920" s="111">
        <f t="shared" si="1403"/>
        <v>0</v>
      </c>
      <c r="CA1920" s="138">
        <f t="shared" si="1404"/>
        <v>78</v>
      </c>
      <c r="CB1920" s="111" t="e">
        <f t="shared" si="1427"/>
        <v>#VALUE!</v>
      </c>
      <c r="CC1920" s="129">
        <f t="shared" si="1429"/>
        <v>78</v>
      </c>
      <c r="CD1920" s="129">
        <f t="shared" si="1430"/>
        <v>0</v>
      </c>
      <c r="CG1920" s="129" t="str">
        <f t="shared" si="1405"/>
        <v>Y</v>
      </c>
      <c r="CI1920" s="129" t="str">
        <f t="shared" si="1408"/>
        <v>61-90 DAYS</v>
      </c>
      <c r="CJ1920" s="137">
        <f t="shared" si="1409"/>
        <v>4</v>
      </c>
      <c r="CK1920" s="129" t="str">
        <f t="shared" si="1410"/>
        <v>Booked</v>
      </c>
    </row>
    <row r="1921" spans="1:89" ht="15" customHeight="1" x14ac:dyDescent="0.25">
      <c r="A1921" s="111">
        <v>2034</v>
      </c>
      <c r="B1921" s="128" t="str">
        <f t="shared" si="1391"/>
        <v>N</v>
      </c>
      <c r="C1921" s="128" t="str">
        <f t="shared" si="1392"/>
        <v>N</v>
      </c>
      <c r="D1921" s="117">
        <v>2339953</v>
      </c>
      <c r="E1921" s="135">
        <f t="shared" si="1393"/>
        <v>1</v>
      </c>
      <c r="F1921" s="124">
        <v>40985</v>
      </c>
      <c r="G1921" s="125">
        <v>41100</v>
      </c>
      <c r="H1921" s="117">
        <v>2339953</v>
      </c>
      <c r="I1921" s="124">
        <v>40985</v>
      </c>
      <c r="J1921" s="124">
        <v>41034</v>
      </c>
      <c r="K1921" s="126">
        <v>15000</v>
      </c>
      <c r="L1921" s="127" t="s">
        <v>571</v>
      </c>
      <c r="M1921" s="125">
        <v>41034</v>
      </c>
      <c r="N1921" s="129" t="str">
        <f t="shared" si="1431"/>
        <v>Y</v>
      </c>
      <c r="O1921" s="128" t="s">
        <v>76</v>
      </c>
      <c r="P1921" s="129" t="s">
        <v>55</v>
      </c>
      <c r="Q1921" s="111">
        <f t="shared" si="1428"/>
        <v>50</v>
      </c>
      <c r="R1921" s="111">
        <f t="shared" si="1415"/>
        <v>116</v>
      </c>
      <c r="S1921" s="129">
        <v>0</v>
      </c>
      <c r="T1921" s="129">
        <v>1</v>
      </c>
      <c r="W1921" s="111"/>
      <c r="AC1921" s="130"/>
      <c r="AD1921" s="130">
        <v>29145</v>
      </c>
      <c r="AE1921" s="128" t="s">
        <v>46</v>
      </c>
      <c r="AF1921" s="128" t="s">
        <v>69</v>
      </c>
      <c r="AG1921" s="128" t="s">
        <v>874</v>
      </c>
      <c r="AH1921" s="108" t="s">
        <v>58</v>
      </c>
      <c r="AI1921" s="128" t="s">
        <v>65</v>
      </c>
      <c r="AJ1921" s="129" t="s">
        <v>55</v>
      </c>
      <c r="AK1921" s="129">
        <v>6</v>
      </c>
      <c r="AL1921" s="3" t="s">
        <v>55</v>
      </c>
      <c r="AP1921" s="129" t="s">
        <v>155</v>
      </c>
      <c r="AR1921" s="128" t="s">
        <v>44</v>
      </c>
      <c r="AS1921" s="129" t="s">
        <v>64</v>
      </c>
      <c r="BC1921" s="129" t="s">
        <v>38</v>
      </c>
      <c r="BF1921" s="111">
        <f t="shared" si="1425"/>
        <v>50</v>
      </c>
      <c r="BG1921" s="111">
        <f t="shared" si="1426"/>
        <v>116</v>
      </c>
      <c r="BH1921" s="111">
        <f t="shared" ref="BH1921:BH1984" si="1432">IF(G1921&gt;1/1/1900,((G1921+1)-F1921),"STILL OPEN")</f>
        <v>116</v>
      </c>
      <c r="BI1921" s="111">
        <f t="shared" ref="BI1921:BI1984" si="1433">(F1921-AD1921)/366</f>
        <v>32.349726775956285</v>
      </c>
      <c r="BJ1921" s="129">
        <f>(G1921-J1921)+(M1921-G1921)</f>
        <v>0</v>
      </c>
      <c r="BK1921" s="129">
        <f t="shared" ref="BK1921:BK1984" si="1434">J1921-G1921</f>
        <v>-66</v>
      </c>
      <c r="BL1921" s="129" t="str">
        <f t="shared" si="1416"/>
        <v>NO CONVICTION</v>
      </c>
      <c r="BM1921" s="129" t="s">
        <v>76</v>
      </c>
      <c r="BN1921" s="129" t="s">
        <v>88</v>
      </c>
      <c r="BP1921" s="137" t="str">
        <f t="shared" si="1394"/>
        <v>NO CONVICTION</v>
      </c>
      <c r="BQ1921" s="128" t="str">
        <f t="shared" si="1395"/>
        <v>Y</v>
      </c>
      <c r="BR1921" s="129" t="str">
        <f t="shared" si="1396"/>
        <v>ON BOND</v>
      </c>
      <c r="BS1921" s="129" t="str">
        <f t="shared" si="1397"/>
        <v>DISPOSED</v>
      </c>
      <c r="BT1921" s="129" t="str">
        <f t="shared" si="1398"/>
        <v>N</v>
      </c>
      <c r="BU1921" s="109">
        <f>IFERROR(Q1921/R1921,BR1921)</f>
        <v>0.43103448275862066</v>
      </c>
      <c r="BV1921" s="109">
        <f t="shared" si="1400"/>
        <v>0.43103448275862066</v>
      </c>
      <c r="BW1921" s="109">
        <f t="shared" si="1420"/>
        <v>0</v>
      </c>
      <c r="BX1921" s="111">
        <f t="shared" si="1401"/>
        <v>0</v>
      </c>
      <c r="BY1921" s="129">
        <f t="shared" si="1402"/>
        <v>-50</v>
      </c>
      <c r="BZ1921" s="111">
        <f t="shared" si="1403"/>
        <v>0</v>
      </c>
      <c r="CA1921" s="138">
        <f t="shared" si="1404"/>
        <v>50</v>
      </c>
      <c r="CB1921" s="111" t="e">
        <f t="shared" si="1427"/>
        <v>#VALUE!</v>
      </c>
      <c r="CC1921" s="129">
        <f>M1921-I1921+1</f>
        <v>50</v>
      </c>
      <c r="CD1921" s="111">
        <f>CC1921-BF1921</f>
        <v>0</v>
      </c>
      <c r="CG1921" s="129" t="str">
        <f t="shared" si="1405"/>
        <v>Y</v>
      </c>
      <c r="CI1921" s="129" t="str">
        <f t="shared" si="1408"/>
        <v>31-60 DAYS</v>
      </c>
      <c r="CJ1921" s="137">
        <f t="shared" si="1409"/>
        <v>3</v>
      </c>
      <c r="CK1921" s="129" t="str">
        <f t="shared" si="1410"/>
        <v>Booked</v>
      </c>
    </row>
    <row r="1922" spans="1:89" ht="15" customHeight="1" x14ac:dyDescent="0.25">
      <c r="A1922" s="111">
        <v>1174</v>
      </c>
      <c r="B1922" s="128" t="str">
        <f t="shared" ref="B1922:B1985" si="1435">IF(BD1922&lt;&gt;"","Y","N")</f>
        <v>N</v>
      </c>
      <c r="C1922" s="128" t="str">
        <f t="shared" ref="C1922:C1985" si="1436">IF((AND(AV1922="",AX1922="",AY1922="")),"N","Y")</f>
        <v>N</v>
      </c>
      <c r="D1922" s="117">
        <v>2340053</v>
      </c>
      <c r="E1922" s="135">
        <f t="shared" ref="E1922:E1985" si="1437">IF(OR(AL1922="ACQUITTAL",AL1922="ACQUIT",AL1922="acq insane",AL1922="DISMISSED",AL1922="NO BILL"),1,IF(AL1922="DEFERRED",2,IF(AL1922="PROBATION",3,IF(OR(AL1922="HCJ",AL1922="fine"),4,IF(AL1922="STJ",5,IF(AL1922="TDC",6,""))))))</f>
        <v>2</v>
      </c>
      <c r="F1922" s="124">
        <v>40951</v>
      </c>
      <c r="G1922" s="125">
        <v>41054</v>
      </c>
      <c r="H1922" s="117">
        <v>2340053</v>
      </c>
      <c r="I1922" s="124">
        <v>40951</v>
      </c>
      <c r="J1922" s="124">
        <v>40952</v>
      </c>
      <c r="K1922" s="126">
        <v>5000</v>
      </c>
      <c r="L1922" s="127" t="s">
        <v>569</v>
      </c>
      <c r="M1922" s="125">
        <v>40952</v>
      </c>
      <c r="N1922" s="129" t="str">
        <f t="shared" si="1431"/>
        <v>Y</v>
      </c>
      <c r="O1922" s="128" t="s">
        <v>76</v>
      </c>
      <c r="P1922" s="129" t="s">
        <v>589</v>
      </c>
      <c r="Q1922" s="111">
        <f t="shared" si="1428"/>
        <v>2</v>
      </c>
      <c r="R1922" s="111">
        <f t="shared" si="1415"/>
        <v>104</v>
      </c>
      <c r="S1922" s="129">
        <v>1</v>
      </c>
      <c r="T1922" s="129">
        <v>2</v>
      </c>
      <c r="W1922" s="111"/>
      <c r="AC1922" s="130"/>
      <c r="AD1922" s="130">
        <v>32699</v>
      </c>
      <c r="AE1922" s="128" t="s">
        <v>46</v>
      </c>
      <c r="AF1922" s="128" t="s">
        <v>33</v>
      </c>
      <c r="AG1922" s="128" t="s">
        <v>872</v>
      </c>
      <c r="AH1922" s="108" t="s">
        <v>31</v>
      </c>
      <c r="AI1922" s="128" t="s">
        <v>47</v>
      </c>
      <c r="AJ1922" s="129" t="s">
        <v>48</v>
      </c>
      <c r="AK1922" s="129">
        <v>6</v>
      </c>
      <c r="AL1922" s="3" t="s">
        <v>48</v>
      </c>
      <c r="AP1922" s="129" t="s">
        <v>43</v>
      </c>
      <c r="AR1922" s="128" t="s">
        <v>44</v>
      </c>
      <c r="AS1922" s="129" t="s">
        <v>45</v>
      </c>
      <c r="BC1922" s="129" t="s">
        <v>38</v>
      </c>
      <c r="BF1922" s="111">
        <f t="shared" si="1425"/>
        <v>2</v>
      </c>
      <c r="BG1922" s="111">
        <f t="shared" si="1426"/>
        <v>104</v>
      </c>
      <c r="BH1922" s="111">
        <f t="shared" si="1432"/>
        <v>104</v>
      </c>
      <c r="BI1922" s="111">
        <f t="shared" si="1433"/>
        <v>22.546448087431695</v>
      </c>
      <c r="BJ1922" s="129">
        <f>(G1922-J1922)+(M1922-G1922)</f>
        <v>0</v>
      </c>
      <c r="BK1922" s="129">
        <f t="shared" si="1434"/>
        <v>-102</v>
      </c>
      <c r="BL1922" s="129" t="str">
        <f t="shared" si="1416"/>
        <v>DEFERRED</v>
      </c>
      <c r="BM1922" s="129" t="s">
        <v>76</v>
      </c>
      <c r="BN1922" s="129" t="s">
        <v>88</v>
      </c>
      <c r="BP1922" s="137" t="str">
        <f t="shared" ref="BP1922:BP1985" si="1438">IF(OR(AJ1922="AQUITTAL",AJ1922="DISMISSED",AJ1922="FINE",AJ1922="NO BILL"),"NO CONVICTION",IF(OR(AJ1922="HCJ",AJ1922="MHH",AJ1922="PROBATION",AJ1922="STJ",AJ1922="TDC",AJ1922="CONVICTED"),"CONVICTION",IF(AJ1922="DEFERRED","DEFERRED","")))</f>
        <v>DEFERRED</v>
      </c>
      <c r="BQ1922" s="128" t="str">
        <f t="shared" ref="BQ1922:BQ1985" si="1439">IF(BF1922&gt;0,"Y",BF1922)</f>
        <v>Y</v>
      </c>
      <c r="BR1922" s="129" t="str">
        <f t="shared" ref="BR1922:BR1983" si="1440">IF(AND(J1922="NOT BOOKED",M1922&gt;1/1/1),"BONDED - BEFORE BOOKED",IF(BG1922="STILL OPEN","STILL OPEN",IF(N1922="Y","ON BOND",IF(J1922&gt;=G1922,"DETAINED","RELEASED"))))</f>
        <v>ON BOND</v>
      </c>
      <c r="BS1922" s="129" t="str">
        <f t="shared" ref="BS1922:BS1985" si="1441">IF(G1922&lt;&gt;"","DISPOSED","")</f>
        <v>DISPOSED</v>
      </c>
      <c r="BT1922" s="129" t="str">
        <f t="shared" ref="BT1922:BT1985" si="1442">IF(S1922&gt;0,"Y","N")</f>
        <v>Y</v>
      </c>
      <c r="BU1922" s="109">
        <f t="shared" ref="BU1922:BU1985" si="1443">Q1922/R1922</f>
        <v>1.9230769230769232E-2</v>
      </c>
      <c r="BV1922" s="109">
        <f t="shared" ref="BV1922:BV1984" si="1444">IF(I1922&gt;F1922,((J1922-I1922+1)/(G1922-I1922+1)),(J1922-I1922+1)/(G1922-F1922+1))</f>
        <v>1.9230769230769232E-2</v>
      </c>
      <c r="BW1922" s="109">
        <f t="shared" si="1420"/>
        <v>0</v>
      </c>
      <c r="BX1922" s="111">
        <f t="shared" ref="BX1922:BX1985" si="1445">+Q1922-BF1922</f>
        <v>0</v>
      </c>
      <c r="BY1922" s="129">
        <f t="shared" ref="BY1922:BY1985" si="1446">I1922-J1922-1</f>
        <v>-2</v>
      </c>
      <c r="BZ1922" s="111">
        <f t="shared" ref="BZ1922:BZ1985" si="1447">BY1922+BF1922</f>
        <v>0</v>
      </c>
      <c r="CA1922" s="138">
        <f t="shared" ref="CA1922:CA1985" si="1448">IF(AND(BS1922="DISPOSED",BR1922="DETAINED"),G1922-I1922+1,IF(AND(BS1922="DISPOSED",BR1922="ON BOND"),M1922-I1922+1,IF(AND(BS1922="STILL OPEN","STILL OPEN"),"NOT BOOKED")))</f>
        <v>2</v>
      </c>
      <c r="CB1922" s="111" t="e">
        <f t="shared" si="1427"/>
        <v>#VALUE!</v>
      </c>
      <c r="CC1922" s="129">
        <f>M1922-I1922+1</f>
        <v>2</v>
      </c>
      <c r="CD1922" s="111">
        <f>CC1922-BF1922</f>
        <v>0</v>
      </c>
      <c r="CG1922" s="129" t="str">
        <f t="shared" ref="CG1922:CG1985" si="1449">IF((S1922+T1922+U1922)&gt;0,"Y","N")</f>
        <v>Y</v>
      </c>
      <c r="CI1922" s="129" t="str">
        <f t="shared" si="1408"/>
        <v>0-10 DAYS</v>
      </c>
      <c r="CJ1922" s="137">
        <f t="shared" si="1409"/>
        <v>1</v>
      </c>
      <c r="CK1922" s="129" t="str">
        <f t="shared" si="1410"/>
        <v>Booked</v>
      </c>
    </row>
    <row r="1923" spans="1:89" ht="15.75" customHeight="1" x14ac:dyDescent="0.25">
      <c r="A1923" s="111">
        <v>812</v>
      </c>
      <c r="B1923" s="128" t="str">
        <f t="shared" si="1435"/>
        <v>N</v>
      </c>
      <c r="C1923" s="128" t="str">
        <f t="shared" si="1436"/>
        <v>N</v>
      </c>
      <c r="D1923" s="117">
        <v>2340203</v>
      </c>
      <c r="E1923" s="135">
        <f t="shared" si="1437"/>
        <v>4</v>
      </c>
      <c r="F1923" s="124">
        <v>40940</v>
      </c>
      <c r="G1923" s="125">
        <v>40941</v>
      </c>
      <c r="H1923" s="117">
        <v>2340203</v>
      </c>
      <c r="I1923" s="124">
        <v>40940</v>
      </c>
      <c r="J1923" s="124">
        <v>40941</v>
      </c>
      <c r="K1923" s="126">
        <v>2000</v>
      </c>
      <c r="L1923" s="127" t="s">
        <v>568</v>
      </c>
      <c r="N1923" s="129" t="str">
        <f t="shared" si="1431"/>
        <v>N</v>
      </c>
      <c r="O1923" s="128" t="s">
        <v>917</v>
      </c>
      <c r="P1923" s="129" t="s">
        <v>39</v>
      </c>
      <c r="Q1923" s="111">
        <f t="shared" si="1428"/>
        <v>2</v>
      </c>
      <c r="R1923" s="111">
        <f t="shared" si="1415"/>
        <v>2</v>
      </c>
      <c r="S1923" s="129">
        <v>1</v>
      </c>
      <c r="T1923" s="129">
        <v>3</v>
      </c>
      <c r="U1923" s="129">
        <v>1</v>
      </c>
      <c r="W1923" s="111"/>
      <c r="AC1923" s="130"/>
      <c r="AD1923" s="130">
        <v>30308</v>
      </c>
      <c r="AE1923" s="128" t="s">
        <v>46</v>
      </c>
      <c r="AF1923" s="128" t="s">
        <v>33</v>
      </c>
      <c r="AG1923" s="128" t="s">
        <v>872</v>
      </c>
      <c r="AH1923" s="108" t="s">
        <v>58</v>
      </c>
      <c r="AI1923" s="128" t="s">
        <v>47</v>
      </c>
      <c r="AJ1923" s="129" t="s">
        <v>89</v>
      </c>
      <c r="AK1923" s="129">
        <v>1</v>
      </c>
      <c r="AL1923" s="3" t="s">
        <v>991</v>
      </c>
      <c r="AO1923" s="128">
        <v>180</v>
      </c>
      <c r="AP1923" s="129" t="s">
        <v>60</v>
      </c>
      <c r="AR1923" s="128" t="s">
        <v>44</v>
      </c>
      <c r="AS1923" s="129" t="s">
        <v>61</v>
      </c>
      <c r="BC1923" s="129" t="s">
        <v>38</v>
      </c>
      <c r="BF1923" s="111">
        <f t="shared" si="1425"/>
        <v>2</v>
      </c>
      <c r="BG1923" s="111">
        <f t="shared" si="1426"/>
        <v>2</v>
      </c>
      <c r="BH1923" s="111">
        <f t="shared" si="1432"/>
        <v>2</v>
      </c>
      <c r="BI1923" s="111">
        <f t="shared" si="1433"/>
        <v>29.049180327868854</v>
      </c>
      <c r="BJ1923" s="129">
        <f t="shared" ref="BJ1923:BJ1982" si="1450">G1923-J1923-M1923</f>
        <v>0</v>
      </c>
      <c r="BK1923" s="129">
        <f t="shared" si="1434"/>
        <v>0</v>
      </c>
      <c r="BL1923" s="129" t="str">
        <f t="shared" si="1416"/>
        <v>CONVICTION</v>
      </c>
      <c r="BM1923" s="129" t="str">
        <f t="shared" ref="BM1923:BM1985" si="1451">O1923</f>
        <v>NONE</v>
      </c>
      <c r="BN1923" s="129" t="s">
        <v>566</v>
      </c>
      <c r="BP1923" s="137" t="str">
        <f t="shared" si="1438"/>
        <v>CONVICTION</v>
      </c>
      <c r="BQ1923" s="128" t="str">
        <f t="shared" si="1439"/>
        <v>Y</v>
      </c>
      <c r="BR1923" s="129" t="str">
        <f t="shared" si="1440"/>
        <v>DETAINED</v>
      </c>
      <c r="BS1923" s="129" t="str">
        <f t="shared" si="1441"/>
        <v>DISPOSED</v>
      </c>
      <c r="BT1923" s="129" t="str">
        <f t="shared" si="1442"/>
        <v>Y</v>
      </c>
      <c r="BU1923" s="109">
        <f t="shared" si="1443"/>
        <v>1</v>
      </c>
      <c r="BV1923" s="109">
        <f t="shared" si="1444"/>
        <v>1</v>
      </c>
      <c r="BW1923" s="109">
        <f t="shared" si="1420"/>
        <v>0</v>
      </c>
      <c r="BX1923" s="111">
        <f t="shared" si="1445"/>
        <v>0</v>
      </c>
      <c r="BY1923" s="129">
        <f t="shared" si="1446"/>
        <v>-2</v>
      </c>
      <c r="BZ1923" s="111">
        <f t="shared" si="1447"/>
        <v>0</v>
      </c>
      <c r="CA1923" s="138">
        <f t="shared" si="1448"/>
        <v>2</v>
      </c>
      <c r="CB1923" s="111" t="e">
        <f t="shared" si="1427"/>
        <v>#VALUE!</v>
      </c>
      <c r="CC1923" s="129">
        <f>G1923-I1923+1</f>
        <v>2</v>
      </c>
      <c r="CD1923" s="129">
        <f>G1923-J1923</f>
        <v>0</v>
      </c>
      <c r="CG1923" s="129" t="str">
        <f t="shared" si="1449"/>
        <v>Y</v>
      </c>
      <c r="CI1923" s="129" t="str">
        <f t="shared" ref="CI1923:CI1986" si="1452">IF(BF1923&lt;11,"0-10 DAYS",IF(AND(BF1923&gt;10,BF1923&lt;31),"11-30 DAYS",IF((AND(BF1923&gt;30,BF1923&lt;61)),"31-60 DAYS",IF(AND(BF1923&gt;60,BF1923&lt;91),"61-90 DAYS",IF(AND(BF1923&gt;90,BF1923&lt;121),"91-120 DAYS",IF(AND(BF1923&gt;120,BF1923&lt;366),"121-365 DAYS",IF(AND(BF1923&gt;365,BF1923&lt;730)," &gt;1YRS&lt;2YRS",IF(AND(BF1923&gt;729,BF1923&lt;1095),"&gt;2YRS&lt;3YRS",IF(BF1923&gt;1094,"&gt;3YRS")))))))))</f>
        <v>0-10 DAYS</v>
      </c>
      <c r="CJ1923" s="137">
        <f t="shared" ref="CJ1923:CJ1986" si="1453">IF(CI1923="0-10 DAYS",1,IF(CI1923="11-30 DAYS",2,IF(CI1923="31-60 DAYS",3,IF(CI1923="61-90 DAYS",4,IF(CK1923="91-120 DAYS",5,IF(CI1923="121-365 DAYS",6,IF(CI1923="&gt;1YRS&lt;2YRS",7,IF(CI1923="&gt;2YRS&lt;3YRS",8,IF(CI1923="&gt;3YRS",9,0)))))))))</f>
        <v>1</v>
      </c>
      <c r="CK1923" s="129" t="str">
        <f t="shared" ref="CK1923:CK1986" si="1454">IF(I1923="Not Booked","Not Booked","Booked")</f>
        <v>Booked</v>
      </c>
    </row>
    <row r="1924" spans="1:89" ht="15" customHeight="1" x14ac:dyDescent="0.25">
      <c r="A1924" s="111">
        <v>53</v>
      </c>
      <c r="B1924" s="128" t="str">
        <f t="shared" si="1435"/>
        <v>N</v>
      </c>
      <c r="C1924" s="128" t="str">
        <f t="shared" si="1436"/>
        <v>N</v>
      </c>
      <c r="D1924" s="117">
        <v>2340277</v>
      </c>
      <c r="E1924" s="135">
        <f t="shared" si="1437"/>
        <v>5</v>
      </c>
      <c r="F1924" s="124">
        <v>40911</v>
      </c>
      <c r="G1924" s="125">
        <v>40913</v>
      </c>
      <c r="H1924" s="117">
        <v>2340277</v>
      </c>
      <c r="I1924" s="124">
        <v>40912</v>
      </c>
      <c r="J1924" s="125">
        <v>40913</v>
      </c>
      <c r="K1924" s="126">
        <v>10000</v>
      </c>
      <c r="L1924" s="127" t="s">
        <v>570</v>
      </c>
      <c r="N1924" s="129" t="str">
        <f t="shared" si="1431"/>
        <v>N</v>
      </c>
      <c r="O1924" s="128" t="s">
        <v>917</v>
      </c>
      <c r="P1924" s="129" t="s">
        <v>39</v>
      </c>
      <c r="Q1924" s="111">
        <f t="shared" si="1428"/>
        <v>2</v>
      </c>
      <c r="R1924" s="111">
        <f t="shared" si="1415"/>
        <v>3</v>
      </c>
      <c r="S1924" s="129">
        <v>1</v>
      </c>
      <c r="T1924" s="129">
        <v>2</v>
      </c>
      <c r="U1924" s="129">
        <v>1</v>
      </c>
      <c r="W1924" s="111"/>
      <c r="AC1924" s="130"/>
      <c r="AD1924" s="130">
        <v>32529</v>
      </c>
      <c r="AE1924" s="128" t="s">
        <v>32</v>
      </c>
      <c r="AF1924" s="128" t="s">
        <v>33</v>
      </c>
      <c r="AG1924" s="128" t="s">
        <v>872</v>
      </c>
      <c r="AH1924" s="108" t="s">
        <v>58</v>
      </c>
      <c r="AI1924" s="128" t="s">
        <v>114</v>
      </c>
      <c r="AJ1924" s="129" t="s">
        <v>89</v>
      </c>
      <c r="AK1924" s="129">
        <v>1</v>
      </c>
      <c r="AL1924" s="3" t="s">
        <v>992</v>
      </c>
      <c r="AN1924" s="117">
        <v>7</v>
      </c>
      <c r="AP1924" s="129" t="s">
        <v>43</v>
      </c>
      <c r="AR1924" s="128" t="s">
        <v>44</v>
      </c>
      <c r="AS1924" s="129" t="s">
        <v>45</v>
      </c>
      <c r="BC1924" s="129" t="s">
        <v>38</v>
      </c>
      <c r="BF1924" s="111">
        <f t="shared" si="1425"/>
        <v>2</v>
      </c>
      <c r="BG1924" s="111">
        <f t="shared" si="1426"/>
        <v>2</v>
      </c>
      <c r="BH1924" s="111">
        <f t="shared" si="1432"/>
        <v>3</v>
      </c>
      <c r="BI1924" s="111">
        <f t="shared" si="1433"/>
        <v>22.901639344262296</v>
      </c>
      <c r="BJ1924" s="129">
        <f t="shared" si="1450"/>
        <v>0</v>
      </c>
      <c r="BK1924" s="129">
        <f t="shared" si="1434"/>
        <v>0</v>
      </c>
      <c r="BL1924" s="129" t="str">
        <f t="shared" si="1416"/>
        <v>CONVICTION</v>
      </c>
      <c r="BM1924" s="129" t="str">
        <f t="shared" si="1451"/>
        <v>NONE</v>
      </c>
      <c r="BN1924" s="129" t="s">
        <v>566</v>
      </c>
      <c r="BP1924" s="137" t="str">
        <f t="shared" si="1438"/>
        <v>CONVICTION</v>
      </c>
      <c r="BQ1924" s="128" t="str">
        <f t="shared" si="1439"/>
        <v>Y</v>
      </c>
      <c r="BR1924" s="129" t="str">
        <f t="shared" si="1440"/>
        <v>DETAINED</v>
      </c>
      <c r="BS1924" s="129" t="str">
        <f t="shared" si="1441"/>
        <v>DISPOSED</v>
      </c>
      <c r="BT1924" s="129" t="str">
        <f t="shared" si="1442"/>
        <v>Y</v>
      </c>
      <c r="BU1924" s="109">
        <f t="shared" si="1443"/>
        <v>0.66666666666666663</v>
      </c>
      <c r="BV1924" s="109">
        <f t="shared" si="1444"/>
        <v>1</v>
      </c>
      <c r="BW1924" s="109">
        <f t="shared" si="1420"/>
        <v>0.33333333333333337</v>
      </c>
      <c r="BX1924" s="111">
        <f t="shared" si="1445"/>
        <v>0</v>
      </c>
      <c r="BY1924" s="129">
        <f t="shared" si="1446"/>
        <v>-2</v>
      </c>
      <c r="BZ1924" s="111">
        <f t="shared" si="1447"/>
        <v>0</v>
      </c>
      <c r="CA1924" s="138">
        <f t="shared" si="1448"/>
        <v>2</v>
      </c>
      <c r="CB1924" s="111" t="e">
        <f t="shared" si="1427"/>
        <v>#VALUE!</v>
      </c>
      <c r="CC1924" s="129">
        <f>G1924-I1924+1</f>
        <v>2</v>
      </c>
      <c r="CD1924" s="129">
        <f>G1924-J1924</f>
        <v>0</v>
      </c>
      <c r="CG1924" s="129" t="str">
        <f t="shared" si="1449"/>
        <v>Y</v>
      </c>
      <c r="CI1924" s="129" t="str">
        <f t="shared" si="1452"/>
        <v>0-10 DAYS</v>
      </c>
      <c r="CJ1924" s="137">
        <f t="shared" si="1453"/>
        <v>1</v>
      </c>
      <c r="CK1924" s="129" t="str">
        <f t="shared" si="1454"/>
        <v>Booked</v>
      </c>
    </row>
    <row r="1925" spans="1:89" ht="15" customHeight="1" x14ac:dyDescent="0.25">
      <c r="A1925" s="111">
        <v>2786</v>
      </c>
      <c r="B1925" s="128" t="str">
        <f t="shared" si="1435"/>
        <v>N</v>
      </c>
      <c r="C1925" s="128" t="str">
        <f t="shared" si="1436"/>
        <v>N</v>
      </c>
      <c r="D1925" s="117">
        <v>2340369</v>
      </c>
      <c r="E1925" s="135">
        <f t="shared" si="1437"/>
        <v>5</v>
      </c>
      <c r="F1925" s="124">
        <v>41012</v>
      </c>
      <c r="G1925" s="125">
        <v>41089</v>
      </c>
      <c r="H1925" s="117">
        <v>2340369</v>
      </c>
      <c r="I1925" s="124">
        <v>41012</v>
      </c>
      <c r="J1925" s="124">
        <v>41089</v>
      </c>
      <c r="K1925" s="126">
        <v>5000</v>
      </c>
      <c r="L1925" s="127" t="s">
        <v>569</v>
      </c>
      <c r="N1925" s="129" t="str">
        <f t="shared" si="1431"/>
        <v>N</v>
      </c>
      <c r="O1925" s="128" t="s">
        <v>917</v>
      </c>
      <c r="P1925" s="129" t="s">
        <v>39</v>
      </c>
      <c r="Q1925" s="111">
        <f t="shared" si="1428"/>
        <v>78</v>
      </c>
      <c r="R1925" s="111">
        <f t="shared" si="1415"/>
        <v>78</v>
      </c>
      <c r="S1925" s="129">
        <v>1</v>
      </c>
      <c r="T1925" s="129">
        <v>9</v>
      </c>
      <c r="U1925" s="129">
        <v>1</v>
      </c>
      <c r="W1925" s="111"/>
      <c r="AC1925" s="130"/>
      <c r="AD1925" s="130">
        <v>32962</v>
      </c>
      <c r="AE1925" s="128" t="s">
        <v>32</v>
      </c>
      <c r="AF1925" s="128" t="s">
        <v>69</v>
      </c>
      <c r="AG1925" s="128" t="s">
        <v>874</v>
      </c>
      <c r="AH1925" s="108" t="s">
        <v>31</v>
      </c>
      <c r="AI1925" s="128" t="s">
        <v>59</v>
      </c>
      <c r="AJ1925" s="129" t="s">
        <v>89</v>
      </c>
      <c r="AK1925" s="129">
        <v>4</v>
      </c>
      <c r="AL1925" s="3" t="s">
        <v>992</v>
      </c>
      <c r="AN1925" s="117">
        <v>8</v>
      </c>
      <c r="AP1925" s="129" t="s">
        <v>107</v>
      </c>
      <c r="AR1925" s="128" t="s">
        <v>44</v>
      </c>
      <c r="AS1925" s="129" t="s">
        <v>57</v>
      </c>
      <c r="BC1925" s="129" t="s">
        <v>38</v>
      </c>
      <c r="BF1925" s="111">
        <f t="shared" si="1425"/>
        <v>78</v>
      </c>
      <c r="BG1925" s="111">
        <f t="shared" si="1426"/>
        <v>78</v>
      </c>
      <c r="BH1925" s="111">
        <f t="shared" si="1432"/>
        <v>78</v>
      </c>
      <c r="BI1925" s="111">
        <f t="shared" si="1433"/>
        <v>21.994535519125684</v>
      </c>
      <c r="BJ1925" s="129">
        <f t="shared" si="1450"/>
        <v>0</v>
      </c>
      <c r="BK1925" s="129">
        <f t="shared" si="1434"/>
        <v>0</v>
      </c>
      <c r="BL1925" s="129" t="str">
        <f t="shared" si="1416"/>
        <v>CONVICTION</v>
      </c>
      <c r="BM1925" s="129" t="str">
        <f t="shared" si="1451"/>
        <v>NONE</v>
      </c>
      <c r="BN1925" s="129" t="s">
        <v>566</v>
      </c>
      <c r="BP1925" s="137" t="str">
        <f t="shared" si="1438"/>
        <v>CONVICTION</v>
      </c>
      <c r="BQ1925" s="128" t="str">
        <f t="shared" si="1439"/>
        <v>Y</v>
      </c>
      <c r="BR1925" s="129" t="str">
        <f t="shared" si="1440"/>
        <v>DETAINED</v>
      </c>
      <c r="BS1925" s="129" t="str">
        <f t="shared" si="1441"/>
        <v>DISPOSED</v>
      </c>
      <c r="BT1925" s="129" t="str">
        <f t="shared" si="1442"/>
        <v>Y</v>
      </c>
      <c r="BU1925" s="109">
        <f t="shared" si="1443"/>
        <v>1</v>
      </c>
      <c r="BV1925" s="109">
        <f t="shared" si="1444"/>
        <v>1</v>
      </c>
      <c r="BW1925" s="109">
        <f t="shared" si="1420"/>
        <v>0</v>
      </c>
      <c r="BX1925" s="111">
        <f t="shared" si="1445"/>
        <v>0</v>
      </c>
      <c r="BY1925" s="129">
        <f t="shared" si="1446"/>
        <v>-78</v>
      </c>
      <c r="BZ1925" s="111">
        <f t="shared" si="1447"/>
        <v>0</v>
      </c>
      <c r="CA1925" s="138">
        <f t="shared" si="1448"/>
        <v>78</v>
      </c>
      <c r="CB1925" s="111" t="e">
        <f t="shared" si="1427"/>
        <v>#VALUE!</v>
      </c>
      <c r="CC1925" s="129">
        <f>G1925-I1925+1</f>
        <v>78</v>
      </c>
      <c r="CD1925" s="129">
        <f>G1925-J1925</f>
        <v>0</v>
      </c>
      <c r="CG1925" s="129" t="str">
        <f t="shared" si="1449"/>
        <v>Y</v>
      </c>
      <c r="CI1925" s="129" t="str">
        <f t="shared" si="1452"/>
        <v>61-90 DAYS</v>
      </c>
      <c r="CJ1925" s="137">
        <f t="shared" si="1453"/>
        <v>4</v>
      </c>
      <c r="CK1925" s="129" t="str">
        <f t="shared" si="1454"/>
        <v>Booked</v>
      </c>
    </row>
    <row r="1926" spans="1:89" ht="15.75" customHeight="1" x14ac:dyDescent="0.25">
      <c r="A1926" s="111">
        <v>3100</v>
      </c>
      <c r="B1926" s="128" t="str">
        <f t="shared" si="1435"/>
        <v>N</v>
      </c>
      <c r="C1926" s="128" t="str">
        <f t="shared" si="1436"/>
        <v>N</v>
      </c>
      <c r="D1926" s="117">
        <v>2340656</v>
      </c>
      <c r="E1926" s="135">
        <f t="shared" si="1437"/>
        <v>5</v>
      </c>
      <c r="F1926" s="124">
        <v>41023</v>
      </c>
      <c r="G1926" s="125">
        <v>41053</v>
      </c>
      <c r="H1926" s="117">
        <v>2340656</v>
      </c>
      <c r="I1926" s="124">
        <v>41024</v>
      </c>
      <c r="J1926" s="124">
        <v>41053</v>
      </c>
      <c r="K1926" s="126">
        <v>15000</v>
      </c>
      <c r="L1926" s="127" t="s">
        <v>571</v>
      </c>
      <c r="N1926" s="129" t="str">
        <f t="shared" si="1431"/>
        <v>N</v>
      </c>
      <c r="O1926" s="128" t="s">
        <v>917</v>
      </c>
      <c r="P1926" s="129" t="s">
        <v>39</v>
      </c>
      <c r="Q1926" s="111">
        <f t="shared" si="1428"/>
        <v>30</v>
      </c>
      <c r="R1926" s="111">
        <f t="shared" si="1415"/>
        <v>31</v>
      </c>
      <c r="S1926" s="129">
        <v>2</v>
      </c>
      <c r="T1926" s="129">
        <v>0</v>
      </c>
      <c r="U1926" s="129">
        <v>1</v>
      </c>
      <c r="W1926" s="111"/>
      <c r="AC1926" s="130"/>
      <c r="AD1926" s="130">
        <v>24052</v>
      </c>
      <c r="AE1926" s="128" t="s">
        <v>32</v>
      </c>
      <c r="AF1926" s="128" t="s">
        <v>33</v>
      </c>
      <c r="AG1926" s="128" t="s">
        <v>872</v>
      </c>
      <c r="AH1926" s="108" t="s">
        <v>31</v>
      </c>
      <c r="AI1926" s="128" t="s">
        <v>90</v>
      </c>
      <c r="AJ1926" s="129" t="s">
        <v>89</v>
      </c>
      <c r="AK1926" s="129">
        <v>3</v>
      </c>
      <c r="AL1926" s="3" t="s">
        <v>992</v>
      </c>
      <c r="AN1926" s="117">
        <v>6</v>
      </c>
      <c r="AP1926" s="129" t="s">
        <v>121</v>
      </c>
      <c r="AR1926" s="128" t="s">
        <v>44</v>
      </c>
      <c r="AS1926" s="129" t="s">
        <v>122</v>
      </c>
      <c r="BC1926" s="129" t="s">
        <v>38</v>
      </c>
      <c r="BF1926" s="111">
        <f t="shared" si="1425"/>
        <v>30</v>
      </c>
      <c r="BG1926" s="111">
        <f t="shared" si="1426"/>
        <v>30</v>
      </c>
      <c r="BH1926" s="111">
        <f t="shared" si="1432"/>
        <v>31</v>
      </c>
      <c r="BI1926" s="111">
        <f t="shared" si="1433"/>
        <v>46.368852459016395</v>
      </c>
      <c r="BJ1926" s="129">
        <f t="shared" si="1450"/>
        <v>0</v>
      </c>
      <c r="BK1926" s="129">
        <f t="shared" si="1434"/>
        <v>0</v>
      </c>
      <c r="BL1926" s="129" t="str">
        <f t="shared" si="1416"/>
        <v>CONVICTION</v>
      </c>
      <c r="BM1926" s="129" t="str">
        <f t="shared" si="1451"/>
        <v>NONE</v>
      </c>
      <c r="BN1926" s="129" t="s">
        <v>566</v>
      </c>
      <c r="BP1926" s="137" t="str">
        <f t="shared" si="1438"/>
        <v>CONVICTION</v>
      </c>
      <c r="BQ1926" s="128" t="str">
        <f t="shared" si="1439"/>
        <v>Y</v>
      </c>
      <c r="BR1926" s="129" t="str">
        <f t="shared" si="1440"/>
        <v>DETAINED</v>
      </c>
      <c r="BS1926" s="129" t="str">
        <f t="shared" si="1441"/>
        <v>DISPOSED</v>
      </c>
      <c r="BT1926" s="129" t="str">
        <f t="shared" si="1442"/>
        <v>Y</v>
      </c>
      <c r="BU1926" s="109">
        <f t="shared" si="1443"/>
        <v>0.967741935483871</v>
      </c>
      <c r="BV1926" s="109">
        <f t="shared" si="1444"/>
        <v>1</v>
      </c>
      <c r="BW1926" s="109">
        <f t="shared" si="1420"/>
        <v>3.2258064516129004E-2</v>
      </c>
      <c r="BX1926" s="111">
        <f t="shared" si="1445"/>
        <v>0</v>
      </c>
      <c r="BY1926" s="129">
        <f t="shared" si="1446"/>
        <v>-30</v>
      </c>
      <c r="BZ1926" s="111">
        <f t="shared" si="1447"/>
        <v>0</v>
      </c>
      <c r="CA1926" s="138">
        <f t="shared" si="1448"/>
        <v>30</v>
      </c>
      <c r="CB1926" s="111" t="e">
        <f t="shared" si="1427"/>
        <v>#VALUE!</v>
      </c>
      <c r="CC1926" s="129">
        <f>G1926-I1926+1</f>
        <v>30</v>
      </c>
      <c r="CD1926" s="129">
        <f>G1926-J1926</f>
        <v>0</v>
      </c>
      <c r="CG1926" s="129" t="str">
        <f t="shared" si="1449"/>
        <v>Y</v>
      </c>
      <c r="CI1926" s="129" t="str">
        <f t="shared" si="1452"/>
        <v>11-30 DAYS</v>
      </c>
      <c r="CJ1926" s="137">
        <f t="shared" si="1453"/>
        <v>2</v>
      </c>
      <c r="CK1926" s="129" t="str">
        <f t="shared" si="1454"/>
        <v>Booked</v>
      </c>
    </row>
    <row r="1927" spans="1:89" ht="15.75" customHeight="1" x14ac:dyDescent="0.25">
      <c r="A1927" s="111">
        <v>2838</v>
      </c>
      <c r="B1927" s="128" t="str">
        <f t="shared" si="1435"/>
        <v>N</v>
      </c>
      <c r="C1927" s="128" t="str">
        <f t="shared" si="1436"/>
        <v>N</v>
      </c>
      <c r="D1927" s="117">
        <v>2341279</v>
      </c>
      <c r="E1927" s="135">
        <f t="shared" si="1437"/>
        <v>1</v>
      </c>
      <c r="F1927" s="124">
        <v>41013</v>
      </c>
      <c r="G1927" s="125">
        <v>41250</v>
      </c>
      <c r="H1927" s="117">
        <v>2341279</v>
      </c>
      <c r="I1927" s="124">
        <v>41013</v>
      </c>
      <c r="J1927" s="125">
        <v>41250</v>
      </c>
      <c r="K1927" s="126">
        <v>90000</v>
      </c>
      <c r="L1927" s="129" t="s">
        <v>572</v>
      </c>
      <c r="N1927" s="129" t="str">
        <f t="shared" si="1431"/>
        <v>N</v>
      </c>
      <c r="O1927" s="128" t="s">
        <v>917</v>
      </c>
      <c r="P1927" s="129" t="s">
        <v>55</v>
      </c>
      <c r="Q1927" s="111">
        <f t="shared" si="1428"/>
        <v>238</v>
      </c>
      <c r="R1927" s="111">
        <f t="shared" si="1415"/>
        <v>238</v>
      </c>
      <c r="S1927" s="129">
        <v>6</v>
      </c>
      <c r="T1927" s="129">
        <v>2</v>
      </c>
      <c r="U1927" s="129">
        <v>3</v>
      </c>
      <c r="W1927" s="111"/>
      <c r="AC1927" s="130"/>
      <c r="AD1927" s="130">
        <v>31696</v>
      </c>
      <c r="AE1927" s="128" t="s">
        <v>32</v>
      </c>
      <c r="AF1927" s="128" t="s">
        <v>33</v>
      </c>
      <c r="AG1927" s="128" t="s">
        <v>872</v>
      </c>
      <c r="AH1927" s="108" t="s">
        <v>31</v>
      </c>
      <c r="AI1927" s="128" t="s">
        <v>62</v>
      </c>
      <c r="AJ1927" s="129" t="s">
        <v>55</v>
      </c>
      <c r="AK1927" s="129">
        <v>6</v>
      </c>
      <c r="AL1927" s="3" t="s">
        <v>55</v>
      </c>
      <c r="AP1927" s="129" t="s">
        <v>492</v>
      </c>
      <c r="AR1927" s="128" t="s">
        <v>92</v>
      </c>
      <c r="AS1927" s="129" t="s">
        <v>126</v>
      </c>
      <c r="BC1927" s="129" t="s">
        <v>38</v>
      </c>
      <c r="BF1927" s="111">
        <f t="shared" si="1425"/>
        <v>238</v>
      </c>
      <c r="BG1927" s="111">
        <f t="shared" si="1426"/>
        <v>238</v>
      </c>
      <c r="BH1927" s="111">
        <f t="shared" si="1432"/>
        <v>238</v>
      </c>
      <c r="BI1927" s="111">
        <f t="shared" si="1433"/>
        <v>25.456284153005466</v>
      </c>
      <c r="BJ1927" s="129">
        <f t="shared" si="1450"/>
        <v>0</v>
      </c>
      <c r="BK1927" s="129">
        <f t="shared" si="1434"/>
        <v>0</v>
      </c>
      <c r="BL1927" s="129" t="str">
        <f t="shared" si="1416"/>
        <v>NO CONVICTION</v>
      </c>
      <c r="BM1927" s="129" t="str">
        <f t="shared" si="1451"/>
        <v>NONE</v>
      </c>
      <c r="BN1927" s="129" t="s">
        <v>566</v>
      </c>
      <c r="BP1927" s="137" t="str">
        <f t="shared" si="1438"/>
        <v>NO CONVICTION</v>
      </c>
      <c r="BQ1927" s="128" t="str">
        <f t="shared" si="1439"/>
        <v>Y</v>
      </c>
      <c r="BR1927" s="129" t="str">
        <f t="shared" si="1440"/>
        <v>DETAINED</v>
      </c>
      <c r="BS1927" s="129" t="str">
        <f t="shared" si="1441"/>
        <v>DISPOSED</v>
      </c>
      <c r="BT1927" s="129" t="str">
        <f t="shared" si="1442"/>
        <v>Y</v>
      </c>
      <c r="BU1927" s="109">
        <f>IFERROR(Q1927/R1927,BR1927)</f>
        <v>1</v>
      </c>
      <c r="BV1927" s="109">
        <f t="shared" si="1444"/>
        <v>1</v>
      </c>
      <c r="BW1927" s="109">
        <f t="shared" si="1420"/>
        <v>0</v>
      </c>
      <c r="BX1927" s="111">
        <f t="shared" si="1445"/>
        <v>0</v>
      </c>
      <c r="BY1927" s="129">
        <f t="shared" si="1446"/>
        <v>-238</v>
      </c>
      <c r="BZ1927" s="111">
        <f t="shared" si="1447"/>
        <v>0</v>
      </c>
      <c r="CA1927" s="138">
        <f t="shared" si="1448"/>
        <v>238</v>
      </c>
      <c r="CB1927" s="111" t="e">
        <f t="shared" si="1427"/>
        <v>#VALUE!</v>
      </c>
      <c r="CC1927" s="129">
        <f>G1927-I1927+1</f>
        <v>238</v>
      </c>
      <c r="CD1927" s="129">
        <f>G1927-J1927</f>
        <v>0</v>
      </c>
      <c r="CG1927" s="129" t="str">
        <f t="shared" si="1449"/>
        <v>Y</v>
      </c>
      <c r="CI1927" s="129" t="str">
        <f t="shared" si="1452"/>
        <v>121-365 DAYS</v>
      </c>
      <c r="CJ1927" s="137">
        <f t="shared" si="1453"/>
        <v>6</v>
      </c>
      <c r="CK1927" s="129" t="str">
        <f t="shared" si="1454"/>
        <v>Booked</v>
      </c>
    </row>
    <row r="1928" spans="1:89" ht="15.75" customHeight="1" x14ac:dyDescent="0.25">
      <c r="A1928" s="111">
        <v>2536</v>
      </c>
      <c r="B1928" s="128" t="str">
        <f t="shared" si="1435"/>
        <v>N</v>
      </c>
      <c r="C1928" s="128" t="str">
        <f t="shared" si="1436"/>
        <v>N</v>
      </c>
      <c r="D1928" s="117">
        <v>2341412</v>
      </c>
      <c r="E1928" s="135">
        <f t="shared" si="1437"/>
        <v>1</v>
      </c>
      <c r="F1928" s="124">
        <v>41003</v>
      </c>
      <c r="G1928" s="125">
        <v>41095</v>
      </c>
      <c r="H1928" s="117">
        <v>2341412</v>
      </c>
      <c r="I1928" s="124">
        <v>41004</v>
      </c>
      <c r="J1928" s="124">
        <v>41006</v>
      </c>
      <c r="K1928" s="126">
        <v>2000</v>
      </c>
      <c r="L1928" s="127" t="s">
        <v>568</v>
      </c>
      <c r="M1928" s="125">
        <v>41006</v>
      </c>
      <c r="N1928" s="129" t="str">
        <f t="shared" si="1431"/>
        <v>Y</v>
      </c>
      <c r="O1928" s="128" t="s">
        <v>76</v>
      </c>
      <c r="P1928" s="129" t="s">
        <v>55</v>
      </c>
      <c r="Q1928" s="111">
        <f t="shared" si="1428"/>
        <v>3</v>
      </c>
      <c r="R1928" s="111">
        <f t="shared" si="1415"/>
        <v>93</v>
      </c>
      <c r="S1928" s="129">
        <v>1</v>
      </c>
      <c r="T1928" s="129">
        <v>3</v>
      </c>
      <c r="U1928" s="129">
        <v>1</v>
      </c>
      <c r="W1928" s="111"/>
      <c r="AC1928" s="130"/>
      <c r="AD1928" s="130">
        <v>32940</v>
      </c>
      <c r="AE1928" s="128" t="s">
        <v>32</v>
      </c>
      <c r="AF1928" s="128" t="s">
        <v>33</v>
      </c>
      <c r="AG1928" s="128" t="s">
        <v>872</v>
      </c>
      <c r="AH1928" s="108" t="s">
        <v>31</v>
      </c>
      <c r="AI1928" s="128" t="s">
        <v>34</v>
      </c>
      <c r="AJ1928" s="129" t="s">
        <v>55</v>
      </c>
      <c r="AK1928" s="129">
        <v>4</v>
      </c>
      <c r="AL1928" s="3" t="s">
        <v>55</v>
      </c>
      <c r="AP1928" s="129" t="s">
        <v>175</v>
      </c>
      <c r="AR1928" s="128" t="s">
        <v>44</v>
      </c>
      <c r="AS1928" s="129" t="s">
        <v>45</v>
      </c>
      <c r="AT1928" s="129" t="s">
        <v>452</v>
      </c>
      <c r="BC1928" s="129" t="s">
        <v>38</v>
      </c>
      <c r="BF1928" s="111">
        <f t="shared" si="1425"/>
        <v>3</v>
      </c>
      <c r="BG1928" s="111">
        <f t="shared" si="1426"/>
        <v>92</v>
      </c>
      <c r="BH1928" s="111">
        <f t="shared" si="1432"/>
        <v>93</v>
      </c>
      <c r="BI1928" s="111">
        <f t="shared" si="1433"/>
        <v>22.030054644808743</v>
      </c>
      <c r="BJ1928" s="129">
        <f>(G1928-J1928)+(M1928-G1928)</f>
        <v>0</v>
      </c>
      <c r="BK1928" s="129">
        <f t="shared" si="1434"/>
        <v>-89</v>
      </c>
      <c r="BL1928" s="129" t="str">
        <f t="shared" si="1416"/>
        <v>NO CONVICTION</v>
      </c>
      <c r="BM1928" s="129" t="s">
        <v>76</v>
      </c>
      <c r="BN1928" s="129" t="s">
        <v>88</v>
      </c>
      <c r="BP1928" s="137" t="str">
        <f t="shared" si="1438"/>
        <v>NO CONVICTION</v>
      </c>
      <c r="BQ1928" s="128" t="str">
        <f t="shared" si="1439"/>
        <v>Y</v>
      </c>
      <c r="BR1928" s="129" t="str">
        <f t="shared" si="1440"/>
        <v>ON BOND</v>
      </c>
      <c r="BS1928" s="129" t="str">
        <f t="shared" si="1441"/>
        <v>DISPOSED</v>
      </c>
      <c r="BT1928" s="129" t="str">
        <f t="shared" si="1442"/>
        <v>Y</v>
      </c>
      <c r="BU1928" s="109">
        <f>IFERROR(Q1928/R1928,BR1928)</f>
        <v>3.2258064516129031E-2</v>
      </c>
      <c r="BV1928" s="109">
        <f t="shared" si="1444"/>
        <v>3.2608695652173912E-2</v>
      </c>
      <c r="BW1928" s="109">
        <f t="shared" si="1420"/>
        <v>3.5063113604488078E-4</v>
      </c>
      <c r="BX1928" s="111">
        <f t="shared" si="1445"/>
        <v>0</v>
      </c>
      <c r="BY1928" s="129">
        <f t="shared" si="1446"/>
        <v>-3</v>
      </c>
      <c r="BZ1928" s="111">
        <f t="shared" si="1447"/>
        <v>0</v>
      </c>
      <c r="CA1928" s="138">
        <f t="shared" si="1448"/>
        <v>3</v>
      </c>
      <c r="CB1928" s="111" t="e">
        <f t="shared" si="1427"/>
        <v>#VALUE!</v>
      </c>
      <c r="CC1928" s="129">
        <f>M1928-I1928+1</f>
        <v>3</v>
      </c>
      <c r="CD1928" s="111">
        <f>CC1928-BF1928</f>
        <v>0</v>
      </c>
      <c r="CG1928" s="129" t="str">
        <f t="shared" si="1449"/>
        <v>Y</v>
      </c>
      <c r="CI1928" s="129" t="str">
        <f t="shared" si="1452"/>
        <v>0-10 DAYS</v>
      </c>
      <c r="CJ1928" s="137">
        <f t="shared" si="1453"/>
        <v>1</v>
      </c>
      <c r="CK1928" s="129" t="str">
        <f t="shared" si="1454"/>
        <v>Booked</v>
      </c>
    </row>
    <row r="1929" spans="1:89" ht="15" customHeight="1" x14ac:dyDescent="0.25">
      <c r="A1929" s="111">
        <v>2365</v>
      </c>
      <c r="B1929" s="128" t="str">
        <f t="shared" si="1435"/>
        <v>N</v>
      </c>
      <c r="C1929" s="128" t="str">
        <f t="shared" si="1436"/>
        <v>N</v>
      </c>
      <c r="D1929" s="117">
        <v>2342850</v>
      </c>
      <c r="E1929" s="135">
        <f t="shared" si="1437"/>
        <v>2</v>
      </c>
      <c r="F1929" s="124">
        <v>40998</v>
      </c>
      <c r="G1929" s="125">
        <v>41137</v>
      </c>
      <c r="H1929" s="117">
        <v>2342850</v>
      </c>
      <c r="I1929" s="124" t="s">
        <v>562</v>
      </c>
      <c r="J1929" s="124" t="s">
        <v>562</v>
      </c>
      <c r="K1929" s="126">
        <v>2000</v>
      </c>
      <c r="L1929" s="127" t="s">
        <v>568</v>
      </c>
      <c r="M1929" s="125">
        <v>40999</v>
      </c>
      <c r="N1929" s="129" t="str">
        <f>IF(M1929&gt;1/1/1,"Y",IF(Q1929="0","","N"))</f>
        <v>Y</v>
      </c>
      <c r="O1929" s="128" t="s">
        <v>76</v>
      </c>
      <c r="P1929" s="129" t="s">
        <v>589</v>
      </c>
      <c r="Q1929" s="111">
        <f t="shared" si="1428"/>
        <v>0</v>
      </c>
      <c r="R1929" s="111">
        <f t="shared" si="1415"/>
        <v>140</v>
      </c>
      <c r="S1929" s="129">
        <v>0</v>
      </c>
      <c r="T1929" s="129">
        <v>1</v>
      </c>
      <c r="W1929" s="111"/>
      <c r="AC1929" s="130"/>
      <c r="AD1929" s="130">
        <v>27562</v>
      </c>
      <c r="AE1929" s="128" t="s">
        <v>32</v>
      </c>
      <c r="AF1929" s="128" t="s">
        <v>69</v>
      </c>
      <c r="AG1929" s="128" t="s">
        <v>874</v>
      </c>
      <c r="AH1929" s="108" t="s">
        <v>31</v>
      </c>
      <c r="AI1929" s="128" t="s">
        <v>87</v>
      </c>
      <c r="AJ1929" s="129" t="s">
        <v>48</v>
      </c>
      <c r="AK1929" s="129">
        <v>6</v>
      </c>
      <c r="AL1929" s="3" t="s">
        <v>48</v>
      </c>
      <c r="AP1929" s="129" t="s">
        <v>43</v>
      </c>
      <c r="AR1929" s="128" t="s">
        <v>44</v>
      </c>
      <c r="AS1929" s="129" t="s">
        <v>45</v>
      </c>
      <c r="BC1929" s="129" t="s">
        <v>52</v>
      </c>
      <c r="BF1929" s="111">
        <v>0</v>
      </c>
      <c r="BG1929" s="111">
        <v>0</v>
      </c>
      <c r="BH1929" s="111">
        <f t="shared" si="1432"/>
        <v>140</v>
      </c>
      <c r="BI1929" s="111">
        <f t="shared" si="1433"/>
        <v>36.710382513661202</v>
      </c>
      <c r="BJ1929" s="129" t="e">
        <f>(G1929-J1929)+(M1929-G1929)</f>
        <v>#VALUE!</v>
      </c>
      <c r="BK1929" s="129" t="e">
        <f t="shared" si="1434"/>
        <v>#VALUE!</v>
      </c>
      <c r="BL1929" s="129" t="str">
        <f t="shared" si="1416"/>
        <v>DEFERRED</v>
      </c>
      <c r="BM1929" s="129" t="s">
        <v>76</v>
      </c>
      <c r="BN1929" s="129" t="s">
        <v>88</v>
      </c>
      <c r="BP1929" s="137" t="str">
        <f t="shared" si="1438"/>
        <v>DEFERRED</v>
      </c>
      <c r="BQ1929" s="128">
        <f t="shared" si="1439"/>
        <v>0</v>
      </c>
      <c r="BR1929" s="129" t="s">
        <v>575</v>
      </c>
      <c r="BS1929" s="129" t="str">
        <f t="shared" si="1441"/>
        <v>DISPOSED</v>
      </c>
      <c r="BT1929" s="129" t="str">
        <f t="shared" si="1442"/>
        <v>N</v>
      </c>
      <c r="BU1929" s="109">
        <f t="shared" si="1443"/>
        <v>0</v>
      </c>
      <c r="BV1929" s="109">
        <v>0</v>
      </c>
      <c r="BW1929" s="109">
        <f t="shared" si="1420"/>
        <v>0</v>
      </c>
      <c r="BX1929" s="111">
        <f t="shared" si="1445"/>
        <v>0</v>
      </c>
      <c r="BY1929" s="129" t="e">
        <f t="shared" si="1446"/>
        <v>#VALUE!</v>
      </c>
      <c r="BZ1929" s="111" t="e">
        <f t="shared" si="1447"/>
        <v>#VALUE!</v>
      </c>
      <c r="CA1929" s="138" t="e">
        <f t="shared" si="1448"/>
        <v>#VALUE!</v>
      </c>
      <c r="CB1929" s="111">
        <v>0</v>
      </c>
      <c r="CC1929" s="129">
        <v>0</v>
      </c>
      <c r="CD1929" s="111">
        <f>CC1929-BF1929</f>
        <v>0</v>
      </c>
      <c r="CG1929" s="129" t="str">
        <f t="shared" si="1449"/>
        <v>Y</v>
      </c>
      <c r="CI1929" s="129" t="str">
        <f t="shared" si="1452"/>
        <v>0-10 DAYS</v>
      </c>
      <c r="CJ1929" s="137">
        <f t="shared" si="1453"/>
        <v>1</v>
      </c>
      <c r="CK1929" s="129" t="str">
        <f t="shared" si="1454"/>
        <v>Not Booked</v>
      </c>
    </row>
    <row r="1930" spans="1:89" ht="15" customHeight="1" x14ac:dyDescent="0.25">
      <c r="A1930" s="111">
        <v>555</v>
      </c>
      <c r="B1930" s="128" t="str">
        <f t="shared" si="1435"/>
        <v>N</v>
      </c>
      <c r="C1930" s="128" t="str">
        <f t="shared" si="1436"/>
        <v>N</v>
      </c>
      <c r="D1930" s="117">
        <v>2342872</v>
      </c>
      <c r="E1930" s="135">
        <f t="shared" si="1437"/>
        <v>6</v>
      </c>
      <c r="F1930" s="124">
        <v>40931</v>
      </c>
      <c r="G1930" s="125">
        <v>40991</v>
      </c>
      <c r="H1930" s="117">
        <v>2342872</v>
      </c>
      <c r="I1930" s="124">
        <v>40931</v>
      </c>
      <c r="J1930" s="124">
        <v>40991</v>
      </c>
      <c r="K1930" s="126">
        <v>20000</v>
      </c>
      <c r="L1930" s="127" t="s">
        <v>571</v>
      </c>
      <c r="N1930" s="129" t="str">
        <f t="shared" ref="N1930:N1936" si="1455">IF(M1930&gt;1/1/1,"Y","N")</f>
        <v>N</v>
      </c>
      <c r="O1930" s="128" t="s">
        <v>917</v>
      </c>
      <c r="P1930" s="129" t="s">
        <v>39</v>
      </c>
      <c r="Q1930" s="111">
        <f t="shared" si="1428"/>
        <v>61</v>
      </c>
      <c r="R1930" s="111">
        <f t="shared" si="1415"/>
        <v>61</v>
      </c>
      <c r="S1930" s="129">
        <v>1</v>
      </c>
      <c r="T1930" s="129">
        <v>1</v>
      </c>
      <c r="W1930" s="111"/>
      <c r="AC1930" s="130"/>
      <c r="AD1930" s="130">
        <v>32659</v>
      </c>
      <c r="AE1930" s="128" t="s">
        <v>32</v>
      </c>
      <c r="AF1930" s="128" t="s">
        <v>33</v>
      </c>
      <c r="AG1930" s="128" t="s">
        <v>872</v>
      </c>
      <c r="AH1930" s="108" t="s">
        <v>31</v>
      </c>
      <c r="AI1930" s="128" t="s">
        <v>47</v>
      </c>
      <c r="AJ1930" s="129" t="s">
        <v>89</v>
      </c>
      <c r="AK1930" s="129">
        <v>3</v>
      </c>
      <c r="AL1930" s="3" t="s">
        <v>362</v>
      </c>
      <c r="AM1930" s="117">
        <v>2</v>
      </c>
      <c r="AP1930" s="129" t="s">
        <v>56</v>
      </c>
      <c r="AR1930" s="128" t="s">
        <v>50</v>
      </c>
      <c r="AS1930" s="129" t="s">
        <v>57</v>
      </c>
      <c r="BC1930" s="129" t="s">
        <v>38</v>
      </c>
      <c r="BF1930" s="111">
        <f t="shared" ref="BF1930:BF1937" si="1456">IF(J1930&gt;1/1/1900,((J1930+1)-I1930),"STILL OPEN")</f>
        <v>61</v>
      </c>
      <c r="BG1930" s="111">
        <f t="shared" ref="BG1930:BG1937" si="1457">IF(G1930&gt;1/1/1900,((G1930+1)-I1930),"STILL OPEN")</f>
        <v>61</v>
      </c>
      <c r="BH1930" s="111">
        <f t="shared" si="1432"/>
        <v>61</v>
      </c>
      <c r="BI1930" s="111">
        <f t="shared" si="1433"/>
        <v>22.601092896174862</v>
      </c>
      <c r="BJ1930" s="129">
        <f t="shared" si="1450"/>
        <v>0</v>
      </c>
      <c r="BK1930" s="129">
        <f t="shared" si="1434"/>
        <v>0</v>
      </c>
      <c r="BL1930" s="129" t="str">
        <f t="shared" si="1416"/>
        <v>CONVICTION</v>
      </c>
      <c r="BM1930" s="129" t="str">
        <f t="shared" si="1451"/>
        <v>NONE</v>
      </c>
      <c r="BN1930" s="129" t="s">
        <v>566</v>
      </c>
      <c r="BP1930" s="137" t="str">
        <f t="shared" si="1438"/>
        <v>CONVICTION</v>
      </c>
      <c r="BQ1930" s="128" t="str">
        <f t="shared" si="1439"/>
        <v>Y</v>
      </c>
      <c r="BR1930" s="129" t="str">
        <f t="shared" si="1440"/>
        <v>DETAINED</v>
      </c>
      <c r="BS1930" s="129" t="str">
        <f t="shared" si="1441"/>
        <v>DISPOSED</v>
      </c>
      <c r="BT1930" s="129" t="str">
        <f t="shared" si="1442"/>
        <v>Y</v>
      </c>
      <c r="BU1930" s="109">
        <f t="shared" si="1443"/>
        <v>1</v>
      </c>
      <c r="BV1930" s="109">
        <f t="shared" si="1444"/>
        <v>1</v>
      </c>
      <c r="BW1930" s="109">
        <f t="shared" si="1420"/>
        <v>0</v>
      </c>
      <c r="BX1930" s="111">
        <f t="shared" si="1445"/>
        <v>0</v>
      </c>
      <c r="BY1930" s="129">
        <f t="shared" si="1446"/>
        <v>-61</v>
      </c>
      <c r="BZ1930" s="111">
        <f t="shared" si="1447"/>
        <v>0</v>
      </c>
      <c r="CA1930" s="138">
        <f t="shared" si="1448"/>
        <v>61</v>
      </c>
      <c r="CB1930" s="111" t="e">
        <f t="shared" ref="CB1930:CB1937" si="1458">IF(AF1930&gt;1/1/1900,((AF1930+1)-AE1930),"STILL OPEN")</f>
        <v>#VALUE!</v>
      </c>
      <c r="CC1930" s="129">
        <f>G1930-I1930+1</f>
        <v>61</v>
      </c>
      <c r="CD1930" s="129">
        <f>G1930-J1930</f>
        <v>0</v>
      </c>
      <c r="CG1930" s="129" t="str">
        <f t="shared" si="1449"/>
        <v>Y</v>
      </c>
      <c r="CI1930" s="129" t="str">
        <f t="shared" si="1452"/>
        <v>61-90 DAYS</v>
      </c>
      <c r="CJ1930" s="137">
        <f t="shared" si="1453"/>
        <v>4</v>
      </c>
      <c r="CK1930" s="129" t="str">
        <f t="shared" si="1454"/>
        <v>Booked</v>
      </c>
    </row>
    <row r="1931" spans="1:89" ht="15" customHeight="1" x14ac:dyDescent="0.25">
      <c r="A1931" s="111">
        <v>2135</v>
      </c>
      <c r="B1931" s="128" t="str">
        <f t="shared" si="1435"/>
        <v>N</v>
      </c>
      <c r="C1931" s="128" t="str">
        <f t="shared" si="1436"/>
        <v>N</v>
      </c>
      <c r="D1931" s="117">
        <v>2343104</v>
      </c>
      <c r="E1931" s="135">
        <f t="shared" si="1437"/>
        <v>5</v>
      </c>
      <c r="F1931" s="124">
        <v>40989</v>
      </c>
      <c r="G1931" s="125">
        <v>40990</v>
      </c>
      <c r="H1931" s="117">
        <v>2343104</v>
      </c>
      <c r="I1931" s="124">
        <v>40989</v>
      </c>
      <c r="J1931" s="124">
        <v>40990</v>
      </c>
      <c r="K1931" s="126">
        <v>15000</v>
      </c>
      <c r="L1931" s="127" t="s">
        <v>571</v>
      </c>
      <c r="N1931" s="129" t="str">
        <f t="shared" si="1455"/>
        <v>N</v>
      </c>
      <c r="O1931" s="128" t="s">
        <v>917</v>
      </c>
      <c r="P1931" s="129" t="s">
        <v>39</v>
      </c>
      <c r="Q1931" s="111">
        <f t="shared" si="1428"/>
        <v>2</v>
      </c>
      <c r="R1931" s="111">
        <f t="shared" si="1415"/>
        <v>2</v>
      </c>
      <c r="S1931" s="129">
        <v>3</v>
      </c>
      <c r="T1931" s="129">
        <v>5</v>
      </c>
      <c r="U1931" s="129">
        <v>3</v>
      </c>
      <c r="W1931" s="111"/>
      <c r="AC1931" s="130"/>
      <c r="AD1931" s="130">
        <v>32578</v>
      </c>
      <c r="AE1931" s="128" t="s">
        <v>32</v>
      </c>
      <c r="AF1931" s="128" t="s">
        <v>33</v>
      </c>
      <c r="AG1931" s="128" t="s">
        <v>872</v>
      </c>
      <c r="AH1931" s="108" t="s">
        <v>31</v>
      </c>
      <c r="AI1931" s="128" t="s">
        <v>100</v>
      </c>
      <c r="AJ1931" s="129" t="s">
        <v>89</v>
      </c>
      <c r="AK1931" s="129">
        <v>1</v>
      </c>
      <c r="AL1931" s="3" t="s">
        <v>992</v>
      </c>
      <c r="AN1931" s="117">
        <v>9</v>
      </c>
      <c r="AP1931" s="129" t="s">
        <v>43</v>
      </c>
      <c r="AR1931" s="128" t="s">
        <v>44</v>
      </c>
      <c r="AS1931" s="129" t="s">
        <v>45</v>
      </c>
      <c r="BC1931" s="129" t="s">
        <v>38</v>
      </c>
      <c r="BF1931" s="111">
        <f t="shared" si="1456"/>
        <v>2</v>
      </c>
      <c r="BG1931" s="111">
        <f t="shared" si="1457"/>
        <v>2</v>
      </c>
      <c r="BH1931" s="111">
        <f t="shared" si="1432"/>
        <v>2</v>
      </c>
      <c r="BI1931" s="111">
        <f t="shared" si="1433"/>
        <v>22.980874316939889</v>
      </c>
      <c r="BJ1931" s="129">
        <f t="shared" si="1450"/>
        <v>0</v>
      </c>
      <c r="BK1931" s="129">
        <f t="shared" si="1434"/>
        <v>0</v>
      </c>
      <c r="BL1931" s="129" t="str">
        <f t="shared" si="1416"/>
        <v>CONVICTION</v>
      </c>
      <c r="BM1931" s="129" t="str">
        <f t="shared" si="1451"/>
        <v>NONE</v>
      </c>
      <c r="BN1931" s="129" t="s">
        <v>566</v>
      </c>
      <c r="BP1931" s="137" t="str">
        <f t="shared" si="1438"/>
        <v>CONVICTION</v>
      </c>
      <c r="BQ1931" s="128" t="str">
        <f t="shared" si="1439"/>
        <v>Y</v>
      </c>
      <c r="BR1931" s="129" t="str">
        <f t="shared" si="1440"/>
        <v>DETAINED</v>
      </c>
      <c r="BS1931" s="129" t="str">
        <f t="shared" si="1441"/>
        <v>DISPOSED</v>
      </c>
      <c r="BT1931" s="129" t="str">
        <f t="shared" si="1442"/>
        <v>Y</v>
      </c>
      <c r="BU1931" s="109">
        <f t="shared" si="1443"/>
        <v>1</v>
      </c>
      <c r="BV1931" s="109">
        <f t="shared" si="1444"/>
        <v>1</v>
      </c>
      <c r="BW1931" s="109">
        <f t="shared" si="1420"/>
        <v>0</v>
      </c>
      <c r="BX1931" s="111">
        <f t="shared" si="1445"/>
        <v>0</v>
      </c>
      <c r="BY1931" s="129">
        <f t="shared" si="1446"/>
        <v>-2</v>
      </c>
      <c r="BZ1931" s="111">
        <f t="shared" si="1447"/>
        <v>0</v>
      </c>
      <c r="CA1931" s="138">
        <f t="shared" si="1448"/>
        <v>2</v>
      </c>
      <c r="CB1931" s="111" t="e">
        <f t="shared" si="1458"/>
        <v>#VALUE!</v>
      </c>
      <c r="CC1931" s="129">
        <f>G1931-I1931+1</f>
        <v>2</v>
      </c>
      <c r="CD1931" s="129">
        <f>G1931-J1931</f>
        <v>0</v>
      </c>
      <c r="CG1931" s="129" t="str">
        <f t="shared" si="1449"/>
        <v>Y</v>
      </c>
      <c r="CI1931" s="129" t="str">
        <f t="shared" si="1452"/>
        <v>0-10 DAYS</v>
      </c>
      <c r="CJ1931" s="137">
        <f t="shared" si="1453"/>
        <v>1</v>
      </c>
      <c r="CK1931" s="129" t="str">
        <f t="shared" si="1454"/>
        <v>Booked</v>
      </c>
    </row>
    <row r="1932" spans="1:89" ht="15" customHeight="1" x14ac:dyDescent="0.25">
      <c r="A1932" s="111">
        <v>2611</v>
      </c>
      <c r="B1932" s="128" t="str">
        <f t="shared" si="1435"/>
        <v>Y</v>
      </c>
      <c r="C1932" s="128" t="str">
        <f t="shared" si="1436"/>
        <v>N</v>
      </c>
      <c r="D1932" s="117">
        <v>2343360</v>
      </c>
      <c r="E1932" s="135">
        <f t="shared" si="1437"/>
        <v>2</v>
      </c>
      <c r="F1932" s="124">
        <v>41005</v>
      </c>
      <c r="G1932" s="125">
        <v>41428</v>
      </c>
      <c r="H1932" s="117">
        <v>2343360</v>
      </c>
      <c r="I1932" s="124">
        <v>41005</v>
      </c>
      <c r="J1932" s="124">
        <v>41009</v>
      </c>
      <c r="K1932" s="126">
        <v>10000</v>
      </c>
      <c r="L1932" s="127" t="s">
        <v>570</v>
      </c>
      <c r="M1932" s="125">
        <v>41009</v>
      </c>
      <c r="N1932" s="129" t="str">
        <f t="shared" si="1455"/>
        <v>Y</v>
      </c>
      <c r="O1932" s="128" t="s">
        <v>76</v>
      </c>
      <c r="P1932" s="129" t="s">
        <v>589</v>
      </c>
      <c r="Q1932" s="111">
        <f t="shared" si="1428"/>
        <v>5</v>
      </c>
      <c r="R1932" s="111">
        <f t="shared" si="1415"/>
        <v>424</v>
      </c>
      <c r="S1932" s="129">
        <v>0</v>
      </c>
      <c r="T1932" s="129">
        <v>3</v>
      </c>
      <c r="W1932" s="111"/>
      <c r="AC1932" s="130"/>
      <c r="AD1932" s="130">
        <v>32720</v>
      </c>
      <c r="AE1932" s="128" t="s">
        <v>32</v>
      </c>
      <c r="AF1932" s="128" t="s">
        <v>69</v>
      </c>
      <c r="AG1932" s="128" t="s">
        <v>874</v>
      </c>
      <c r="AH1932" s="108" t="s">
        <v>31</v>
      </c>
      <c r="AI1932" s="128" t="s">
        <v>100</v>
      </c>
      <c r="AJ1932" s="129" t="s">
        <v>48</v>
      </c>
      <c r="AK1932" s="129">
        <v>15</v>
      </c>
      <c r="AL1932" s="3" t="s">
        <v>48</v>
      </c>
      <c r="AP1932" s="129" t="s">
        <v>56</v>
      </c>
      <c r="AR1932" s="128" t="s">
        <v>50</v>
      </c>
      <c r="AS1932" s="129" t="s">
        <v>57</v>
      </c>
      <c r="BC1932" s="129" t="s">
        <v>38</v>
      </c>
      <c r="BD1932" s="129" t="s">
        <v>1177</v>
      </c>
      <c r="BF1932" s="111">
        <f t="shared" si="1456"/>
        <v>5</v>
      </c>
      <c r="BG1932" s="111">
        <f t="shared" si="1457"/>
        <v>424</v>
      </c>
      <c r="BH1932" s="111">
        <f t="shared" si="1432"/>
        <v>424</v>
      </c>
      <c r="BI1932" s="111">
        <f t="shared" si="1433"/>
        <v>22.636612021857925</v>
      </c>
      <c r="BJ1932" s="129">
        <f>(G1932-J1932)+(M1932-G1932)</f>
        <v>0</v>
      </c>
      <c r="BK1932" s="129">
        <f t="shared" si="1434"/>
        <v>-419</v>
      </c>
      <c r="BL1932" s="129" t="str">
        <f t="shared" si="1416"/>
        <v>DEFERRED</v>
      </c>
      <c r="BM1932" s="129" t="s">
        <v>76</v>
      </c>
      <c r="BN1932" s="129" t="s">
        <v>88</v>
      </c>
      <c r="BP1932" s="137" t="str">
        <f t="shared" si="1438"/>
        <v>DEFERRED</v>
      </c>
      <c r="BQ1932" s="128" t="str">
        <f t="shared" si="1439"/>
        <v>Y</v>
      </c>
      <c r="BR1932" s="129" t="str">
        <f t="shared" si="1440"/>
        <v>ON BOND</v>
      </c>
      <c r="BS1932" s="129" t="str">
        <f t="shared" si="1441"/>
        <v>DISPOSED</v>
      </c>
      <c r="BT1932" s="129" t="str">
        <f t="shared" si="1442"/>
        <v>N</v>
      </c>
      <c r="BU1932" s="109">
        <f t="shared" si="1443"/>
        <v>1.179245283018868E-2</v>
      </c>
      <c r="BV1932" s="109">
        <f t="shared" si="1444"/>
        <v>1.179245283018868E-2</v>
      </c>
      <c r="BW1932" s="109">
        <f t="shared" si="1420"/>
        <v>0</v>
      </c>
      <c r="BX1932" s="111">
        <f t="shared" si="1445"/>
        <v>0</v>
      </c>
      <c r="BY1932" s="129">
        <f t="shared" si="1446"/>
        <v>-5</v>
      </c>
      <c r="BZ1932" s="111">
        <f t="shared" si="1447"/>
        <v>0</v>
      </c>
      <c r="CA1932" s="138">
        <f t="shared" si="1448"/>
        <v>5</v>
      </c>
      <c r="CB1932" s="111" t="e">
        <f t="shared" si="1458"/>
        <v>#VALUE!</v>
      </c>
      <c r="CC1932" s="129">
        <f>M1932-I1932+1</f>
        <v>5</v>
      </c>
      <c r="CD1932" s="111">
        <f>CC1932-BF1932</f>
        <v>0</v>
      </c>
      <c r="CG1932" s="129" t="str">
        <f t="shared" si="1449"/>
        <v>Y</v>
      </c>
      <c r="CI1932" s="129" t="str">
        <f t="shared" si="1452"/>
        <v>0-10 DAYS</v>
      </c>
      <c r="CJ1932" s="137">
        <f t="shared" si="1453"/>
        <v>1</v>
      </c>
      <c r="CK1932" s="129" t="str">
        <f t="shared" si="1454"/>
        <v>Booked</v>
      </c>
    </row>
    <row r="1933" spans="1:89" ht="15.75" customHeight="1" x14ac:dyDescent="0.25">
      <c r="A1933" s="111">
        <v>698</v>
      </c>
      <c r="B1933" s="128" t="str">
        <f t="shared" si="1435"/>
        <v>N</v>
      </c>
      <c r="C1933" s="128" t="str">
        <f t="shared" si="1436"/>
        <v>N</v>
      </c>
      <c r="D1933" s="117">
        <v>2343691</v>
      </c>
      <c r="E1933" s="135">
        <f t="shared" si="1437"/>
        <v>5</v>
      </c>
      <c r="F1933" s="124">
        <v>40936</v>
      </c>
      <c r="G1933" s="125">
        <v>40941</v>
      </c>
      <c r="H1933" s="117">
        <v>2343691</v>
      </c>
      <c r="I1933" s="124">
        <v>40936</v>
      </c>
      <c r="J1933" s="124">
        <v>40941</v>
      </c>
      <c r="K1933" s="126">
        <v>2000</v>
      </c>
      <c r="L1933" s="127" t="s">
        <v>568</v>
      </c>
      <c r="N1933" s="129" t="str">
        <f t="shared" si="1455"/>
        <v>N</v>
      </c>
      <c r="O1933" s="128" t="s">
        <v>917</v>
      </c>
      <c r="P1933" s="129" t="s">
        <v>39</v>
      </c>
      <c r="Q1933" s="111">
        <f t="shared" si="1428"/>
        <v>6</v>
      </c>
      <c r="R1933" s="111">
        <f t="shared" si="1415"/>
        <v>6</v>
      </c>
      <c r="S1933" s="129">
        <v>0</v>
      </c>
      <c r="T1933" s="129">
        <v>5</v>
      </c>
      <c r="W1933" s="111"/>
      <c r="AC1933" s="130"/>
      <c r="AD1933" s="130">
        <v>24247</v>
      </c>
      <c r="AE1933" s="128" t="s">
        <v>32</v>
      </c>
      <c r="AF1933" s="128" t="s">
        <v>33</v>
      </c>
      <c r="AG1933" s="128" t="s">
        <v>872</v>
      </c>
      <c r="AH1933" s="108" t="s">
        <v>31</v>
      </c>
      <c r="AI1933" s="128" t="s">
        <v>87</v>
      </c>
      <c r="AJ1933" s="129" t="s">
        <v>89</v>
      </c>
      <c r="AK1933" s="129">
        <v>3</v>
      </c>
      <c r="AL1933" s="3" t="s">
        <v>992</v>
      </c>
      <c r="AN1933" s="117">
        <v>6</v>
      </c>
      <c r="AP1933" s="129" t="s">
        <v>60</v>
      </c>
      <c r="AR1933" s="128" t="s">
        <v>44</v>
      </c>
      <c r="AS1933" s="129" t="s">
        <v>61</v>
      </c>
      <c r="BC1933" s="129" t="s">
        <v>38</v>
      </c>
      <c r="BF1933" s="111">
        <f t="shared" si="1456"/>
        <v>6</v>
      </c>
      <c r="BG1933" s="111">
        <f t="shared" si="1457"/>
        <v>6</v>
      </c>
      <c r="BH1933" s="111">
        <f t="shared" si="1432"/>
        <v>6</v>
      </c>
      <c r="BI1933" s="111">
        <f t="shared" si="1433"/>
        <v>45.598360655737707</v>
      </c>
      <c r="BJ1933" s="129">
        <f t="shared" si="1450"/>
        <v>0</v>
      </c>
      <c r="BK1933" s="129">
        <f t="shared" si="1434"/>
        <v>0</v>
      </c>
      <c r="BL1933" s="129" t="str">
        <f t="shared" si="1416"/>
        <v>CONVICTION</v>
      </c>
      <c r="BM1933" s="129" t="str">
        <f t="shared" si="1451"/>
        <v>NONE</v>
      </c>
      <c r="BN1933" s="129" t="s">
        <v>566</v>
      </c>
      <c r="BP1933" s="137" t="str">
        <f t="shared" si="1438"/>
        <v>CONVICTION</v>
      </c>
      <c r="BQ1933" s="128" t="str">
        <f t="shared" si="1439"/>
        <v>Y</v>
      </c>
      <c r="BR1933" s="129" t="str">
        <f t="shared" si="1440"/>
        <v>DETAINED</v>
      </c>
      <c r="BS1933" s="129" t="str">
        <f t="shared" si="1441"/>
        <v>DISPOSED</v>
      </c>
      <c r="BT1933" s="129" t="str">
        <f t="shared" si="1442"/>
        <v>N</v>
      </c>
      <c r="BU1933" s="109">
        <f t="shared" si="1443"/>
        <v>1</v>
      </c>
      <c r="BV1933" s="109">
        <f t="shared" si="1444"/>
        <v>1</v>
      </c>
      <c r="BW1933" s="109">
        <f t="shared" si="1420"/>
        <v>0</v>
      </c>
      <c r="BX1933" s="111">
        <f t="shared" si="1445"/>
        <v>0</v>
      </c>
      <c r="BY1933" s="129">
        <f t="shared" si="1446"/>
        <v>-6</v>
      </c>
      <c r="BZ1933" s="111">
        <f t="shared" si="1447"/>
        <v>0</v>
      </c>
      <c r="CA1933" s="138">
        <f t="shared" si="1448"/>
        <v>6</v>
      </c>
      <c r="CB1933" s="111" t="e">
        <f t="shared" si="1458"/>
        <v>#VALUE!</v>
      </c>
      <c r="CC1933" s="129">
        <f>G1933-I1933+1</f>
        <v>6</v>
      </c>
      <c r="CD1933" s="129">
        <f>G1933-J1933</f>
        <v>0</v>
      </c>
      <c r="CG1933" s="129" t="str">
        <f t="shared" si="1449"/>
        <v>Y</v>
      </c>
      <c r="CI1933" s="129" t="str">
        <f t="shared" si="1452"/>
        <v>0-10 DAYS</v>
      </c>
      <c r="CJ1933" s="137">
        <f t="shared" si="1453"/>
        <v>1</v>
      </c>
      <c r="CK1933" s="129" t="str">
        <f t="shared" si="1454"/>
        <v>Booked</v>
      </c>
    </row>
    <row r="1934" spans="1:89" ht="15" customHeight="1" x14ac:dyDescent="0.25">
      <c r="A1934" s="111">
        <v>1310</v>
      </c>
      <c r="B1934" s="128" t="str">
        <f t="shared" si="1435"/>
        <v>N</v>
      </c>
      <c r="C1934" s="128" t="str">
        <f t="shared" si="1436"/>
        <v>Y</v>
      </c>
      <c r="D1934" s="117">
        <v>2344853</v>
      </c>
      <c r="E1934" s="135">
        <f t="shared" si="1437"/>
        <v>2</v>
      </c>
      <c r="F1934" s="124">
        <v>40956</v>
      </c>
      <c r="G1934" s="125">
        <v>41081</v>
      </c>
      <c r="H1934" s="117">
        <v>2344853</v>
      </c>
      <c r="I1934" s="124">
        <v>40996</v>
      </c>
      <c r="J1934" s="124">
        <v>40998</v>
      </c>
      <c r="K1934" s="126">
        <v>2000</v>
      </c>
      <c r="L1934" s="127" t="s">
        <v>568</v>
      </c>
      <c r="M1934" s="125">
        <v>40959</v>
      </c>
      <c r="N1934" s="129" t="str">
        <f t="shared" si="1455"/>
        <v>Y</v>
      </c>
      <c r="O1934" s="128" t="s">
        <v>76</v>
      </c>
      <c r="P1934" s="129" t="s">
        <v>589</v>
      </c>
      <c r="Q1934" s="111">
        <f t="shared" si="1428"/>
        <v>3</v>
      </c>
      <c r="R1934" s="111">
        <f t="shared" si="1415"/>
        <v>126</v>
      </c>
      <c r="S1934" s="129">
        <v>0</v>
      </c>
      <c r="T1934" s="129">
        <v>0</v>
      </c>
      <c r="W1934" s="111"/>
      <c r="AC1934" s="130"/>
      <c r="AD1934" s="130">
        <v>30628</v>
      </c>
      <c r="AE1934" s="128" t="s">
        <v>32</v>
      </c>
      <c r="AF1934" s="128" t="s">
        <v>69</v>
      </c>
      <c r="AG1934" s="128" t="s">
        <v>874</v>
      </c>
      <c r="AH1934" s="108" t="s">
        <v>31</v>
      </c>
      <c r="AI1934" s="128" t="s">
        <v>42</v>
      </c>
      <c r="AJ1934" s="129" t="s">
        <v>48</v>
      </c>
      <c r="AK1934" s="129">
        <v>6</v>
      </c>
      <c r="AL1934" s="3" t="s">
        <v>48</v>
      </c>
      <c r="AP1934" s="129" t="s">
        <v>107</v>
      </c>
      <c r="AR1934" s="128" t="s">
        <v>44</v>
      </c>
      <c r="AS1934" s="129" t="s">
        <v>57</v>
      </c>
      <c r="AV1934" s="3" t="s">
        <v>88</v>
      </c>
      <c r="AW1934" s="125">
        <v>40989</v>
      </c>
      <c r="BC1934" s="129" t="s">
        <v>52</v>
      </c>
      <c r="BF1934" s="111">
        <v>3</v>
      </c>
      <c r="BG1934" s="111">
        <f t="shared" si="1457"/>
        <v>86</v>
      </c>
      <c r="BH1934" s="111">
        <f t="shared" si="1432"/>
        <v>126</v>
      </c>
      <c r="BI1934" s="111">
        <f t="shared" si="1433"/>
        <v>28.218579234972676</v>
      </c>
      <c r="BJ1934" s="129">
        <f>(G1934-J1934)+(M1934-G1934)</f>
        <v>-39</v>
      </c>
      <c r="BK1934" s="129">
        <f t="shared" si="1434"/>
        <v>-83</v>
      </c>
      <c r="BL1934" s="129" t="str">
        <f t="shared" si="1416"/>
        <v>DEFERRED</v>
      </c>
      <c r="BM1934" s="129" t="s">
        <v>76</v>
      </c>
      <c r="BN1934" s="129" t="s">
        <v>88</v>
      </c>
      <c r="BP1934" s="137" t="str">
        <f t="shared" si="1438"/>
        <v>DEFERRED</v>
      </c>
      <c r="BQ1934" s="128" t="str">
        <f t="shared" si="1439"/>
        <v>Y</v>
      </c>
      <c r="BR1934" s="129" t="str">
        <f t="shared" si="1440"/>
        <v>ON BOND</v>
      </c>
      <c r="BS1934" s="129" t="str">
        <f t="shared" si="1441"/>
        <v>DISPOSED</v>
      </c>
      <c r="BT1934" s="129" t="str">
        <f t="shared" si="1442"/>
        <v>N</v>
      </c>
      <c r="BU1934" s="109">
        <f t="shared" si="1443"/>
        <v>2.3809523809523808E-2</v>
      </c>
      <c r="BV1934" s="109">
        <f t="shared" si="1444"/>
        <v>3.4883720930232558E-2</v>
      </c>
      <c r="BW1934" s="109">
        <f t="shared" si="1420"/>
        <v>1.1074197120708749E-2</v>
      </c>
      <c r="BX1934" s="111">
        <f t="shared" si="1445"/>
        <v>0</v>
      </c>
      <c r="BY1934" s="129">
        <f t="shared" si="1446"/>
        <v>-3</v>
      </c>
      <c r="BZ1934" s="111">
        <f t="shared" si="1447"/>
        <v>0</v>
      </c>
      <c r="CA1934" s="138">
        <f t="shared" si="1448"/>
        <v>-36</v>
      </c>
      <c r="CB1934" s="111" t="e">
        <f t="shared" si="1458"/>
        <v>#VALUE!</v>
      </c>
      <c r="CD1934" s="129">
        <f>G1934-J1934</f>
        <v>83</v>
      </c>
      <c r="CG1934" s="129" t="str">
        <f t="shared" si="1449"/>
        <v>N</v>
      </c>
      <c r="CI1934" s="129" t="str">
        <f t="shared" si="1452"/>
        <v>0-10 DAYS</v>
      </c>
      <c r="CJ1934" s="137">
        <f t="shared" si="1453"/>
        <v>1</v>
      </c>
      <c r="CK1934" s="129" t="str">
        <f t="shared" si="1454"/>
        <v>Booked</v>
      </c>
    </row>
    <row r="1935" spans="1:89" ht="15.75" customHeight="1" x14ac:dyDescent="0.25">
      <c r="A1935" s="111">
        <v>2704</v>
      </c>
      <c r="B1935" s="128" t="str">
        <f t="shared" si="1435"/>
        <v>N</v>
      </c>
      <c r="C1935" s="128" t="str">
        <f t="shared" si="1436"/>
        <v>N</v>
      </c>
      <c r="D1935" s="117">
        <v>2345079</v>
      </c>
      <c r="E1935" s="135">
        <f t="shared" si="1437"/>
        <v>1</v>
      </c>
      <c r="F1935" s="124">
        <v>41009</v>
      </c>
      <c r="G1935" s="125">
        <v>41080</v>
      </c>
      <c r="H1935" s="117">
        <v>2345079</v>
      </c>
      <c r="I1935" s="124">
        <v>41010</v>
      </c>
      <c r="J1935" s="124">
        <v>41011</v>
      </c>
      <c r="K1935" s="126">
        <v>10000</v>
      </c>
      <c r="L1935" s="127" t="s">
        <v>570</v>
      </c>
      <c r="M1935" s="125">
        <v>41011</v>
      </c>
      <c r="N1935" s="129" t="str">
        <f t="shared" si="1455"/>
        <v>Y</v>
      </c>
      <c r="O1935" s="128" t="s">
        <v>76</v>
      </c>
      <c r="P1935" s="129" t="s">
        <v>55</v>
      </c>
      <c r="Q1935" s="111">
        <f t="shared" si="1428"/>
        <v>2</v>
      </c>
      <c r="R1935" s="111">
        <f t="shared" si="1415"/>
        <v>72</v>
      </c>
      <c r="S1935" s="129">
        <v>3</v>
      </c>
      <c r="T1935" s="129">
        <v>4</v>
      </c>
      <c r="U1935" s="129">
        <v>2</v>
      </c>
      <c r="W1935" s="111"/>
      <c r="AC1935" s="130"/>
      <c r="AD1935" s="130">
        <v>22168</v>
      </c>
      <c r="AE1935" s="128" t="s">
        <v>32</v>
      </c>
      <c r="AF1935" s="128" t="s">
        <v>33</v>
      </c>
      <c r="AG1935" s="128" t="s">
        <v>872</v>
      </c>
      <c r="AH1935" s="108" t="s">
        <v>31</v>
      </c>
      <c r="AI1935" s="128" t="s">
        <v>97</v>
      </c>
      <c r="AJ1935" s="129" t="s">
        <v>55</v>
      </c>
      <c r="AK1935" s="129">
        <v>7</v>
      </c>
      <c r="AL1935" s="3" t="s">
        <v>55</v>
      </c>
      <c r="AP1935" s="129" t="s">
        <v>111</v>
      </c>
      <c r="AR1935" s="128" t="s">
        <v>67</v>
      </c>
      <c r="AS1935" s="129" t="s">
        <v>45</v>
      </c>
      <c r="AT1935" s="129" t="s">
        <v>478</v>
      </c>
      <c r="BC1935" s="129" t="s">
        <v>38</v>
      </c>
      <c r="BF1935" s="111">
        <f t="shared" si="1456"/>
        <v>2</v>
      </c>
      <c r="BG1935" s="111">
        <f t="shared" si="1457"/>
        <v>71</v>
      </c>
      <c r="BH1935" s="111">
        <f t="shared" si="1432"/>
        <v>72</v>
      </c>
      <c r="BI1935" s="111">
        <f t="shared" si="1433"/>
        <v>51.478142076502735</v>
      </c>
      <c r="BJ1935" s="129">
        <f>(G1935-J1935)+(M1935-G1935)</f>
        <v>0</v>
      </c>
      <c r="BK1935" s="129">
        <f t="shared" si="1434"/>
        <v>-69</v>
      </c>
      <c r="BL1935" s="129" t="str">
        <f t="shared" si="1416"/>
        <v>NO CONVICTION</v>
      </c>
      <c r="BM1935" s="129" t="s">
        <v>76</v>
      </c>
      <c r="BN1935" s="129" t="s">
        <v>88</v>
      </c>
      <c r="BP1935" s="137" t="str">
        <f t="shared" si="1438"/>
        <v>NO CONVICTION</v>
      </c>
      <c r="BQ1935" s="128" t="str">
        <f t="shared" si="1439"/>
        <v>Y</v>
      </c>
      <c r="BR1935" s="129" t="str">
        <f t="shared" si="1440"/>
        <v>ON BOND</v>
      </c>
      <c r="BS1935" s="129" t="str">
        <f t="shared" si="1441"/>
        <v>DISPOSED</v>
      </c>
      <c r="BT1935" s="129" t="str">
        <f t="shared" si="1442"/>
        <v>Y</v>
      </c>
      <c r="BU1935" s="109">
        <f>IFERROR(Q1935/R1935,BR1935)</f>
        <v>2.7777777777777776E-2</v>
      </c>
      <c r="BV1935" s="109">
        <f t="shared" si="1444"/>
        <v>2.8169014084507043E-2</v>
      </c>
      <c r="BW1935" s="109">
        <f t="shared" si="1420"/>
        <v>3.9123630672926665E-4</v>
      </c>
      <c r="BX1935" s="111">
        <f t="shared" si="1445"/>
        <v>0</v>
      </c>
      <c r="BY1935" s="129">
        <f t="shared" si="1446"/>
        <v>-2</v>
      </c>
      <c r="BZ1935" s="111">
        <f t="shared" si="1447"/>
        <v>0</v>
      </c>
      <c r="CA1935" s="138">
        <f t="shared" si="1448"/>
        <v>2</v>
      </c>
      <c r="CB1935" s="111" t="e">
        <f t="shared" si="1458"/>
        <v>#VALUE!</v>
      </c>
      <c r="CC1935" s="129">
        <f>M1935-I1935+1</f>
        <v>2</v>
      </c>
      <c r="CD1935" s="111">
        <f>CC1935-BF1935</f>
        <v>0</v>
      </c>
      <c r="CG1935" s="129" t="str">
        <f t="shared" si="1449"/>
        <v>Y</v>
      </c>
      <c r="CI1935" s="129" t="str">
        <f t="shared" si="1452"/>
        <v>0-10 DAYS</v>
      </c>
      <c r="CJ1935" s="137">
        <f t="shared" si="1453"/>
        <v>1</v>
      </c>
      <c r="CK1935" s="129" t="str">
        <f t="shared" si="1454"/>
        <v>Booked</v>
      </c>
    </row>
    <row r="1936" spans="1:89" ht="15.75" customHeight="1" x14ac:dyDescent="0.25">
      <c r="A1936" s="111">
        <v>408</v>
      </c>
      <c r="B1936" s="128" t="str">
        <f t="shared" si="1435"/>
        <v>N</v>
      </c>
      <c r="C1936" s="128" t="str">
        <f t="shared" si="1436"/>
        <v>N</v>
      </c>
      <c r="D1936" s="117">
        <v>2345228</v>
      </c>
      <c r="E1936" s="135">
        <f t="shared" si="1437"/>
        <v>1</v>
      </c>
      <c r="F1936" s="124">
        <v>40926</v>
      </c>
      <c r="G1936" s="125">
        <v>40974</v>
      </c>
      <c r="H1936" s="117">
        <v>2345228</v>
      </c>
      <c r="I1936" s="124">
        <v>40926</v>
      </c>
      <c r="J1936" s="124">
        <v>40927</v>
      </c>
      <c r="K1936" s="126">
        <v>5000</v>
      </c>
      <c r="L1936" s="127" t="s">
        <v>569</v>
      </c>
      <c r="M1936" s="125">
        <v>40927</v>
      </c>
      <c r="N1936" s="129" t="str">
        <f t="shared" si="1455"/>
        <v>Y</v>
      </c>
      <c r="O1936" s="128" t="s">
        <v>76</v>
      </c>
      <c r="P1936" s="129" t="s">
        <v>123</v>
      </c>
      <c r="Q1936" s="111">
        <f t="shared" si="1428"/>
        <v>2</v>
      </c>
      <c r="R1936" s="111">
        <f t="shared" si="1415"/>
        <v>49</v>
      </c>
      <c r="S1936" s="129">
        <v>0</v>
      </c>
      <c r="T1936" s="129">
        <v>1</v>
      </c>
      <c r="W1936" s="111"/>
      <c r="AC1936" s="130"/>
      <c r="AD1936" s="130">
        <v>25877</v>
      </c>
      <c r="AE1936" s="128" t="s">
        <v>46</v>
      </c>
      <c r="AF1936" s="128" t="s">
        <v>69</v>
      </c>
      <c r="AG1936" s="128" t="s">
        <v>874</v>
      </c>
      <c r="AH1936" s="108" t="s">
        <v>31</v>
      </c>
      <c r="AI1936" s="128" t="s">
        <v>59</v>
      </c>
      <c r="AJ1936" s="129" t="s">
        <v>123</v>
      </c>
      <c r="AK1936" s="129">
        <v>4</v>
      </c>
      <c r="AL1936" s="3" t="s">
        <v>123</v>
      </c>
      <c r="AP1936" s="129" t="s">
        <v>136</v>
      </c>
      <c r="AR1936" s="128" t="s">
        <v>67</v>
      </c>
      <c r="AS1936" s="129" t="s">
        <v>64</v>
      </c>
      <c r="BC1936" s="129" t="s">
        <v>38</v>
      </c>
      <c r="BF1936" s="111">
        <f t="shared" si="1456"/>
        <v>2</v>
      </c>
      <c r="BG1936" s="111">
        <f t="shared" si="1457"/>
        <v>49</v>
      </c>
      <c r="BH1936" s="111">
        <f t="shared" si="1432"/>
        <v>49</v>
      </c>
      <c r="BI1936" s="111">
        <f t="shared" si="1433"/>
        <v>41.117486338797811</v>
      </c>
      <c r="BJ1936" s="129">
        <f>(G1936-J1936)+(M1936-G1936)</f>
        <v>0</v>
      </c>
      <c r="BK1936" s="129">
        <f t="shared" si="1434"/>
        <v>-47</v>
      </c>
      <c r="BL1936" s="129" t="str">
        <f t="shared" si="1416"/>
        <v>NO CONVICTION</v>
      </c>
      <c r="BM1936" s="129" t="s">
        <v>76</v>
      </c>
      <c r="BN1936" s="129" t="s">
        <v>88</v>
      </c>
      <c r="BP1936" s="137" t="str">
        <f t="shared" si="1438"/>
        <v>NO CONVICTION</v>
      </c>
      <c r="BQ1936" s="128" t="str">
        <f t="shared" si="1439"/>
        <v>Y</v>
      </c>
      <c r="BR1936" s="129" t="str">
        <f t="shared" si="1440"/>
        <v>ON BOND</v>
      </c>
      <c r="BS1936" s="129" t="str">
        <f t="shared" si="1441"/>
        <v>DISPOSED</v>
      </c>
      <c r="BT1936" s="129" t="str">
        <f t="shared" si="1442"/>
        <v>N</v>
      </c>
      <c r="BU1936" s="109">
        <f>IFERROR(Q1936/R1936,BR1936)</f>
        <v>4.0816326530612242E-2</v>
      </c>
      <c r="BV1936" s="109">
        <f t="shared" si="1444"/>
        <v>4.0816326530612242E-2</v>
      </c>
      <c r="BW1936" s="109">
        <f t="shared" si="1420"/>
        <v>0</v>
      </c>
      <c r="BX1936" s="111">
        <f t="shared" si="1445"/>
        <v>0</v>
      </c>
      <c r="BY1936" s="129">
        <f t="shared" si="1446"/>
        <v>-2</v>
      </c>
      <c r="BZ1936" s="111">
        <f t="shared" si="1447"/>
        <v>0</v>
      </c>
      <c r="CA1936" s="138">
        <f t="shared" si="1448"/>
        <v>2</v>
      </c>
      <c r="CB1936" s="111" t="e">
        <f t="shared" si="1458"/>
        <v>#VALUE!</v>
      </c>
      <c r="CC1936" s="129">
        <f>M1936-I1936+1</f>
        <v>2</v>
      </c>
      <c r="CD1936" s="111">
        <f>CC1936-BF1936</f>
        <v>0</v>
      </c>
      <c r="CG1936" s="129" t="str">
        <f t="shared" si="1449"/>
        <v>Y</v>
      </c>
      <c r="CI1936" s="129" t="str">
        <f t="shared" si="1452"/>
        <v>0-10 DAYS</v>
      </c>
      <c r="CJ1936" s="137">
        <f t="shared" si="1453"/>
        <v>1</v>
      </c>
      <c r="CK1936" s="129" t="str">
        <f t="shared" si="1454"/>
        <v>Booked</v>
      </c>
    </row>
    <row r="1937" spans="1:89" ht="15.75" customHeight="1" x14ac:dyDescent="0.25">
      <c r="A1937" s="111">
        <v>792</v>
      </c>
      <c r="B1937" s="128" t="str">
        <f t="shared" si="1435"/>
        <v>N</v>
      </c>
      <c r="C1937" s="128" t="str">
        <f t="shared" si="1436"/>
        <v>N</v>
      </c>
      <c r="D1937" s="117">
        <v>2345789</v>
      </c>
      <c r="E1937" s="135">
        <f t="shared" si="1437"/>
        <v>6</v>
      </c>
      <c r="F1937" s="124">
        <v>40939</v>
      </c>
      <c r="G1937" s="125">
        <v>41367</v>
      </c>
      <c r="H1937" s="117">
        <v>2345789</v>
      </c>
      <c r="I1937" s="124">
        <v>40939</v>
      </c>
      <c r="J1937" s="125">
        <v>41367</v>
      </c>
      <c r="K1937" s="126" t="s">
        <v>564</v>
      </c>
      <c r="L1937" s="127" t="s">
        <v>564</v>
      </c>
      <c r="N1937" s="129" t="s">
        <v>566</v>
      </c>
      <c r="O1937" s="128" t="s">
        <v>917</v>
      </c>
      <c r="P1937" s="129" t="s">
        <v>39</v>
      </c>
      <c r="Q1937" s="111">
        <f t="shared" si="1428"/>
        <v>429</v>
      </c>
      <c r="R1937" s="111">
        <f t="shared" si="1415"/>
        <v>429</v>
      </c>
      <c r="S1937" s="129">
        <v>0</v>
      </c>
      <c r="T1937" s="129">
        <v>4</v>
      </c>
      <c r="W1937" s="111"/>
      <c r="AC1937" s="130"/>
      <c r="AD1937" s="130">
        <v>33159</v>
      </c>
      <c r="AE1937" s="128" t="s">
        <v>32</v>
      </c>
      <c r="AF1937" s="128" t="s">
        <v>33</v>
      </c>
      <c r="AG1937" s="128" t="s">
        <v>872</v>
      </c>
      <c r="AH1937" s="108" t="s">
        <v>58</v>
      </c>
      <c r="AI1937" s="128" t="s">
        <v>87</v>
      </c>
      <c r="AJ1937" s="129" t="s">
        <v>89</v>
      </c>
      <c r="AK1937" s="129">
        <v>14</v>
      </c>
      <c r="AL1937" s="3" t="s">
        <v>362</v>
      </c>
      <c r="AM1937" s="117">
        <v>20</v>
      </c>
      <c r="AP1937" s="129" t="s">
        <v>105</v>
      </c>
      <c r="AR1937" s="128" t="s">
        <v>92</v>
      </c>
      <c r="AS1937" s="129" t="s">
        <v>106</v>
      </c>
      <c r="BC1937" s="129" t="s">
        <v>38</v>
      </c>
      <c r="BF1937" s="111">
        <f t="shared" si="1456"/>
        <v>429</v>
      </c>
      <c r="BG1937" s="111">
        <f t="shared" si="1457"/>
        <v>429</v>
      </c>
      <c r="BH1937" s="111">
        <f t="shared" si="1432"/>
        <v>429</v>
      </c>
      <c r="BI1937" s="111">
        <f t="shared" si="1433"/>
        <v>21.256830601092897</v>
      </c>
      <c r="BJ1937" s="129">
        <f t="shared" si="1450"/>
        <v>0</v>
      </c>
      <c r="BK1937" s="129">
        <f t="shared" si="1434"/>
        <v>0</v>
      </c>
      <c r="BL1937" s="129" t="str">
        <f t="shared" si="1416"/>
        <v>CONVICTION</v>
      </c>
      <c r="BM1937" s="129" t="str">
        <f t="shared" si="1451"/>
        <v>NONE</v>
      </c>
      <c r="BN1937" s="129" t="s">
        <v>566</v>
      </c>
      <c r="BP1937" s="137" t="str">
        <f t="shared" si="1438"/>
        <v>CONVICTION</v>
      </c>
      <c r="BQ1937" s="128" t="str">
        <f t="shared" si="1439"/>
        <v>Y</v>
      </c>
      <c r="BR1937" s="129" t="str">
        <f t="shared" si="1440"/>
        <v>DETAINED</v>
      </c>
      <c r="BS1937" s="129" t="str">
        <f t="shared" si="1441"/>
        <v>DISPOSED</v>
      </c>
      <c r="BT1937" s="129" t="str">
        <f t="shared" si="1442"/>
        <v>N</v>
      </c>
      <c r="BU1937" s="109">
        <f t="shared" si="1443"/>
        <v>1</v>
      </c>
      <c r="BV1937" s="109">
        <f t="shared" si="1444"/>
        <v>1</v>
      </c>
      <c r="BW1937" s="109">
        <f t="shared" si="1420"/>
        <v>0</v>
      </c>
      <c r="BX1937" s="111">
        <f t="shared" si="1445"/>
        <v>0</v>
      </c>
      <c r="BY1937" s="129">
        <f t="shared" si="1446"/>
        <v>-429</v>
      </c>
      <c r="BZ1937" s="111">
        <f t="shared" si="1447"/>
        <v>0</v>
      </c>
      <c r="CA1937" s="138">
        <f t="shared" si="1448"/>
        <v>429</v>
      </c>
      <c r="CB1937" s="111" t="e">
        <f t="shared" si="1458"/>
        <v>#VALUE!</v>
      </c>
      <c r="CC1937" s="129">
        <f>G1937-I1937+1</f>
        <v>429</v>
      </c>
      <c r="CD1937" s="129">
        <f>G1937-J1937</f>
        <v>0</v>
      </c>
      <c r="CG1937" s="129" t="str">
        <f t="shared" si="1449"/>
        <v>Y</v>
      </c>
      <c r="CI1937" s="129" t="str">
        <f t="shared" si="1452"/>
        <v xml:space="preserve"> &gt;1YRS&lt;2YRS</v>
      </c>
      <c r="CJ1937" s="137">
        <f t="shared" si="1453"/>
        <v>0</v>
      </c>
      <c r="CK1937" s="129" t="str">
        <f t="shared" si="1454"/>
        <v>Booked</v>
      </c>
    </row>
    <row r="1938" spans="1:89" ht="15" customHeight="1" x14ac:dyDescent="0.25">
      <c r="A1938" s="111">
        <v>84</v>
      </c>
      <c r="B1938" s="128" t="str">
        <f t="shared" si="1435"/>
        <v>N</v>
      </c>
      <c r="C1938" s="128" t="str">
        <f t="shared" si="1436"/>
        <v>N</v>
      </c>
      <c r="D1938" s="117">
        <v>2346349</v>
      </c>
      <c r="E1938" s="135">
        <f t="shared" si="1437"/>
        <v>1</v>
      </c>
      <c r="F1938" s="124">
        <v>40913</v>
      </c>
      <c r="G1938" s="125">
        <v>40935</v>
      </c>
      <c r="H1938" s="117">
        <v>2346349</v>
      </c>
      <c r="I1938" s="124" t="s">
        <v>562</v>
      </c>
      <c r="J1938" s="124" t="s">
        <v>562</v>
      </c>
      <c r="K1938" s="126">
        <v>30000</v>
      </c>
      <c r="L1938" s="129" t="s">
        <v>572</v>
      </c>
      <c r="N1938" s="124" t="s">
        <v>1343</v>
      </c>
      <c r="O1938" s="128" t="s">
        <v>917</v>
      </c>
      <c r="P1938" s="129" t="s">
        <v>55</v>
      </c>
      <c r="Q1938" s="111">
        <f t="shared" si="1428"/>
        <v>0</v>
      </c>
      <c r="R1938" s="111">
        <f t="shared" ref="R1938:R2001" si="1459">BH1938</f>
        <v>23</v>
      </c>
      <c r="S1938" s="129">
        <v>0</v>
      </c>
      <c r="T1938" s="129">
        <v>1</v>
      </c>
      <c r="W1938" s="111"/>
      <c r="AB1938" s="131" t="s">
        <v>112</v>
      </c>
      <c r="AC1938" s="130"/>
      <c r="AD1938" s="130">
        <v>32848</v>
      </c>
      <c r="AE1938" s="128" t="s">
        <v>32</v>
      </c>
      <c r="AF1938" s="128" t="s">
        <v>40</v>
      </c>
      <c r="AG1938" s="128" t="s">
        <v>41</v>
      </c>
      <c r="AH1938" s="108" t="s">
        <v>31</v>
      </c>
      <c r="AI1938" s="128" t="s">
        <v>42</v>
      </c>
      <c r="AJ1938" s="129" t="s">
        <v>55</v>
      </c>
      <c r="AK1938" s="129">
        <v>1</v>
      </c>
      <c r="AL1938" s="3" t="s">
        <v>55</v>
      </c>
      <c r="AP1938" s="129" t="s">
        <v>110</v>
      </c>
      <c r="AR1938" s="128" t="s">
        <v>50</v>
      </c>
      <c r="AS1938" s="129" t="s">
        <v>74</v>
      </c>
      <c r="BC1938" s="129" t="s">
        <v>79</v>
      </c>
      <c r="BF1938" s="111">
        <v>0</v>
      </c>
      <c r="BG1938" s="111">
        <v>0</v>
      </c>
      <c r="BH1938" s="111">
        <f t="shared" si="1432"/>
        <v>23</v>
      </c>
      <c r="BI1938" s="111">
        <f t="shared" si="1433"/>
        <v>22.035519125683059</v>
      </c>
      <c r="BJ1938" s="129" t="e">
        <f>(G1938-J1938)+(M1938-G1938)</f>
        <v>#VALUE!</v>
      </c>
      <c r="BK1938" s="129" t="e">
        <f t="shared" si="1434"/>
        <v>#VALUE!</v>
      </c>
      <c r="BL1938" s="129" t="str">
        <f t="shared" si="1416"/>
        <v>NO CONVICTION</v>
      </c>
      <c r="BM1938" s="129" t="str">
        <f t="shared" si="1451"/>
        <v>NONE</v>
      </c>
      <c r="BN1938" s="129" t="s">
        <v>566</v>
      </c>
      <c r="BP1938" s="137" t="str">
        <f t="shared" si="1438"/>
        <v>NO CONVICTION</v>
      </c>
      <c r="BQ1938" s="128">
        <f t="shared" si="1439"/>
        <v>0</v>
      </c>
      <c r="BR1938" s="129" t="s">
        <v>1345</v>
      </c>
      <c r="BS1938" s="129" t="str">
        <f t="shared" si="1441"/>
        <v>DISPOSED</v>
      </c>
      <c r="BT1938" s="129" t="str">
        <f t="shared" si="1442"/>
        <v>N</v>
      </c>
      <c r="BU1938" s="109">
        <f>IFERROR(Q1938/R1938,BR1938)</f>
        <v>0</v>
      </c>
      <c r="BV1938" s="109">
        <v>0</v>
      </c>
      <c r="BW1938" s="109">
        <f t="shared" si="1420"/>
        <v>0</v>
      </c>
      <c r="BX1938" s="111">
        <f t="shared" si="1445"/>
        <v>0</v>
      </c>
      <c r="BY1938" s="129" t="e">
        <f t="shared" si="1446"/>
        <v>#VALUE!</v>
      </c>
      <c r="BZ1938" s="111" t="e">
        <f t="shared" si="1447"/>
        <v>#VALUE!</v>
      </c>
      <c r="CA1938" s="138" t="e">
        <f t="shared" si="1448"/>
        <v>#VALUE!</v>
      </c>
      <c r="CB1938" s="111">
        <v>0</v>
      </c>
      <c r="CC1938" s="129">
        <v>0</v>
      </c>
      <c r="CG1938" s="129" t="str">
        <f t="shared" si="1449"/>
        <v>Y</v>
      </c>
      <c r="CI1938" s="129" t="str">
        <f t="shared" si="1452"/>
        <v>0-10 DAYS</v>
      </c>
      <c r="CJ1938" s="137">
        <f t="shared" si="1453"/>
        <v>1</v>
      </c>
      <c r="CK1938" s="129" t="str">
        <f t="shared" si="1454"/>
        <v>Not Booked</v>
      </c>
    </row>
    <row r="1939" spans="1:89" ht="15" customHeight="1" x14ac:dyDescent="0.25">
      <c r="A1939" s="111">
        <v>330</v>
      </c>
      <c r="B1939" s="128" t="str">
        <f t="shared" si="1435"/>
        <v>N</v>
      </c>
      <c r="C1939" s="128" t="str">
        <f t="shared" si="1436"/>
        <v>N</v>
      </c>
      <c r="D1939" s="117">
        <v>2346890</v>
      </c>
      <c r="E1939" s="135">
        <f t="shared" si="1437"/>
        <v>6</v>
      </c>
      <c r="F1939" s="124">
        <v>40921</v>
      </c>
      <c r="G1939" s="125">
        <v>41031</v>
      </c>
      <c r="H1939" s="117">
        <v>2346890</v>
      </c>
      <c r="I1939" s="124">
        <v>40921</v>
      </c>
      <c r="J1939" s="124">
        <v>41031</v>
      </c>
      <c r="K1939" s="126" t="s">
        <v>564</v>
      </c>
      <c r="L1939" s="127" t="s">
        <v>564</v>
      </c>
      <c r="N1939" s="129" t="s">
        <v>566</v>
      </c>
      <c r="O1939" s="128" t="s">
        <v>917</v>
      </c>
      <c r="P1939" s="129" t="s">
        <v>39</v>
      </c>
      <c r="Q1939" s="111">
        <f t="shared" si="1428"/>
        <v>111</v>
      </c>
      <c r="R1939" s="111">
        <f t="shared" si="1459"/>
        <v>111</v>
      </c>
      <c r="S1939" s="129">
        <v>2</v>
      </c>
      <c r="T1939" s="129">
        <v>1</v>
      </c>
      <c r="U1939" s="129">
        <v>1</v>
      </c>
      <c r="W1939" s="111"/>
      <c r="AC1939" s="130"/>
      <c r="AD1939" s="130">
        <v>33100</v>
      </c>
      <c r="AE1939" s="128" t="s">
        <v>32</v>
      </c>
      <c r="AF1939" s="128" t="s">
        <v>192</v>
      </c>
      <c r="AG1939" s="128" t="s">
        <v>873</v>
      </c>
      <c r="AH1939" s="108" t="s">
        <v>58</v>
      </c>
      <c r="AI1939" s="128" t="s">
        <v>100</v>
      </c>
      <c r="AJ1939" s="129" t="s">
        <v>89</v>
      </c>
      <c r="AK1939" s="129">
        <v>4</v>
      </c>
      <c r="AL1939" s="3" t="s">
        <v>362</v>
      </c>
      <c r="AM1939" s="117">
        <v>5</v>
      </c>
      <c r="AP1939" s="129" t="s">
        <v>56</v>
      </c>
      <c r="AR1939" s="128" t="s">
        <v>50</v>
      </c>
      <c r="AS1939" s="129" t="s">
        <v>57</v>
      </c>
      <c r="BC1939" s="129" t="s">
        <v>38</v>
      </c>
      <c r="BF1939" s="111">
        <f t="shared" ref="BF1939:BF1958" si="1460">IF(J1939&gt;1/1/1900,((J1939+1)-I1939),"STILL OPEN")</f>
        <v>111</v>
      </c>
      <c r="BG1939" s="111">
        <f t="shared" ref="BG1939:BG1958" si="1461">IF(G1939&gt;1/1/1900,((G1939+1)-I1939),"STILL OPEN")</f>
        <v>111</v>
      </c>
      <c r="BH1939" s="111">
        <f t="shared" si="1432"/>
        <v>111</v>
      </c>
      <c r="BI1939" s="111">
        <f t="shared" si="1433"/>
        <v>21.368852459016395</v>
      </c>
      <c r="BJ1939" s="129">
        <f t="shared" si="1450"/>
        <v>0</v>
      </c>
      <c r="BK1939" s="129">
        <f t="shared" si="1434"/>
        <v>0</v>
      </c>
      <c r="BL1939" s="129" t="str">
        <f t="shared" si="1416"/>
        <v>CONVICTION</v>
      </c>
      <c r="BM1939" s="129" t="str">
        <f t="shared" si="1451"/>
        <v>NONE</v>
      </c>
      <c r="BN1939" s="129" t="s">
        <v>566</v>
      </c>
      <c r="BP1939" s="137" t="str">
        <f t="shared" si="1438"/>
        <v>CONVICTION</v>
      </c>
      <c r="BQ1939" s="128" t="str">
        <f t="shared" si="1439"/>
        <v>Y</v>
      </c>
      <c r="BR1939" s="129" t="str">
        <f t="shared" si="1440"/>
        <v>DETAINED</v>
      </c>
      <c r="BS1939" s="129" t="str">
        <f t="shared" si="1441"/>
        <v>DISPOSED</v>
      </c>
      <c r="BT1939" s="129" t="str">
        <f t="shared" si="1442"/>
        <v>Y</v>
      </c>
      <c r="BU1939" s="109">
        <f t="shared" si="1443"/>
        <v>1</v>
      </c>
      <c r="BV1939" s="109">
        <f t="shared" si="1444"/>
        <v>1</v>
      </c>
      <c r="BW1939" s="109">
        <f t="shared" si="1420"/>
        <v>0</v>
      </c>
      <c r="BX1939" s="111">
        <f t="shared" si="1445"/>
        <v>0</v>
      </c>
      <c r="BY1939" s="129">
        <f t="shared" si="1446"/>
        <v>-111</v>
      </c>
      <c r="BZ1939" s="111">
        <f t="shared" si="1447"/>
        <v>0</v>
      </c>
      <c r="CA1939" s="138">
        <f t="shared" si="1448"/>
        <v>111</v>
      </c>
      <c r="CB1939" s="111" t="e">
        <f t="shared" ref="CB1939:CB1958" si="1462">IF(AF1939&gt;1/1/1900,((AF1939+1)-AE1939),"STILL OPEN")</f>
        <v>#VALUE!</v>
      </c>
      <c r="CC1939" s="129">
        <f t="shared" ref="CC1939:CC1950" si="1463">G1939-I1939+1</f>
        <v>111</v>
      </c>
      <c r="CD1939" s="129">
        <f t="shared" ref="CD1939:CD1950" si="1464">G1939-J1939</f>
        <v>0</v>
      </c>
      <c r="CG1939" s="129" t="str">
        <f t="shared" si="1449"/>
        <v>Y</v>
      </c>
      <c r="CI1939" s="129" t="str">
        <f t="shared" si="1452"/>
        <v>91-120 DAYS</v>
      </c>
      <c r="CJ1939" s="137">
        <f t="shared" si="1453"/>
        <v>0</v>
      </c>
      <c r="CK1939" s="129" t="str">
        <f t="shared" si="1454"/>
        <v>Booked</v>
      </c>
    </row>
    <row r="1940" spans="1:89" ht="15.75" customHeight="1" x14ac:dyDescent="0.25">
      <c r="A1940" s="111">
        <v>656</v>
      </c>
      <c r="B1940" s="128" t="str">
        <f t="shared" si="1435"/>
        <v>N</v>
      </c>
      <c r="C1940" s="128" t="str">
        <f t="shared" si="1436"/>
        <v>Y</v>
      </c>
      <c r="D1940" s="117">
        <v>2347137</v>
      </c>
      <c r="E1940" s="135">
        <f t="shared" si="1437"/>
        <v>6</v>
      </c>
      <c r="F1940" s="124">
        <v>40934</v>
      </c>
      <c r="G1940" s="125">
        <v>41260</v>
      </c>
      <c r="H1940" s="117">
        <v>2347137</v>
      </c>
      <c r="I1940" s="124">
        <v>41053</v>
      </c>
      <c r="J1940" s="124">
        <v>41054</v>
      </c>
      <c r="K1940" s="126">
        <v>2000</v>
      </c>
      <c r="L1940" s="127" t="s">
        <v>568</v>
      </c>
      <c r="M1940" s="125">
        <v>41054</v>
      </c>
      <c r="N1940" s="129" t="str">
        <f t="shared" ref="N1940:N1945" si="1465">IF(M1940&gt;1/1/1,"Y","N")</f>
        <v>Y</v>
      </c>
      <c r="O1940" s="128" t="s">
        <v>76</v>
      </c>
      <c r="P1940" s="129" t="s">
        <v>39</v>
      </c>
      <c r="Q1940" s="111">
        <v>8</v>
      </c>
      <c r="R1940" s="111">
        <f t="shared" si="1459"/>
        <v>327</v>
      </c>
      <c r="S1940" s="129">
        <v>1</v>
      </c>
      <c r="T1940" s="129">
        <v>1</v>
      </c>
      <c r="U1940" s="129">
        <v>1</v>
      </c>
      <c r="W1940" s="111"/>
      <c r="AC1940" s="130"/>
      <c r="AD1940" s="130">
        <v>31450</v>
      </c>
      <c r="AE1940" s="128" t="s">
        <v>32</v>
      </c>
      <c r="AF1940" s="128" t="s">
        <v>69</v>
      </c>
      <c r="AG1940" s="128" t="s">
        <v>874</v>
      </c>
      <c r="AH1940" s="108" t="s">
        <v>31</v>
      </c>
      <c r="AI1940" s="128" t="s">
        <v>113</v>
      </c>
      <c r="AJ1940" s="129" t="s">
        <v>89</v>
      </c>
      <c r="AK1940" s="129">
        <v>8</v>
      </c>
      <c r="AL1940" s="3" t="s">
        <v>362</v>
      </c>
      <c r="AM1940" s="117">
        <v>3</v>
      </c>
      <c r="AP1940" s="129" t="s">
        <v>60</v>
      </c>
      <c r="AR1940" s="128" t="s">
        <v>44</v>
      </c>
      <c r="AS1940" s="129" t="s">
        <v>61</v>
      </c>
      <c r="AT1940" s="129" t="s">
        <v>1295</v>
      </c>
      <c r="AU1940" s="119">
        <v>41187</v>
      </c>
      <c r="AX1940" s="129" t="s">
        <v>88</v>
      </c>
      <c r="BC1940" s="129" t="s">
        <v>52</v>
      </c>
      <c r="BF1940" s="111">
        <v>8</v>
      </c>
      <c r="BG1940" s="111">
        <f t="shared" si="1461"/>
        <v>208</v>
      </c>
      <c r="BH1940" s="111">
        <f t="shared" si="1432"/>
        <v>327</v>
      </c>
      <c r="BI1940" s="111">
        <f t="shared" si="1433"/>
        <v>25.912568306010929</v>
      </c>
      <c r="BJ1940" s="129">
        <f>(G1940-J1940)+(M1940-G1940)</f>
        <v>0</v>
      </c>
      <c r="BK1940" s="129">
        <f t="shared" si="1434"/>
        <v>-206</v>
      </c>
      <c r="BL1940" s="129" t="str">
        <f t="shared" si="1416"/>
        <v>CONVICTION</v>
      </c>
      <c r="BM1940" s="129" t="s">
        <v>76</v>
      </c>
      <c r="BN1940" s="129" t="s">
        <v>88</v>
      </c>
      <c r="BP1940" s="137" t="str">
        <f t="shared" si="1438"/>
        <v>CONVICTION</v>
      </c>
      <c r="BQ1940" s="128" t="str">
        <f t="shared" si="1439"/>
        <v>Y</v>
      </c>
      <c r="BR1940" s="129" t="s">
        <v>574</v>
      </c>
      <c r="BS1940" s="129" t="str">
        <f t="shared" si="1441"/>
        <v>DISPOSED</v>
      </c>
      <c r="BT1940" s="129" t="str">
        <f t="shared" si="1442"/>
        <v>Y</v>
      </c>
      <c r="BU1940" s="109">
        <f t="shared" si="1443"/>
        <v>2.4464831804281346E-2</v>
      </c>
      <c r="BV1940" s="109">
        <f t="shared" si="1444"/>
        <v>9.6153846153846159E-3</v>
      </c>
      <c r="BW1940" s="109">
        <f t="shared" si="1420"/>
        <v>-1.484944718889673E-2</v>
      </c>
      <c r="BX1940" s="111">
        <f t="shared" si="1445"/>
        <v>0</v>
      </c>
      <c r="BY1940" s="129">
        <f t="shared" si="1446"/>
        <v>-2</v>
      </c>
      <c r="BZ1940" s="111">
        <f t="shared" si="1447"/>
        <v>6</v>
      </c>
      <c r="CA1940" s="138">
        <f t="shared" si="1448"/>
        <v>208</v>
      </c>
      <c r="CB1940" s="111">
        <v>8</v>
      </c>
      <c r="CC1940" s="129">
        <f t="shared" si="1463"/>
        <v>208</v>
      </c>
      <c r="CD1940" s="129">
        <f t="shared" si="1464"/>
        <v>206</v>
      </c>
      <c r="CG1940" s="129" t="str">
        <f t="shared" si="1449"/>
        <v>Y</v>
      </c>
      <c r="CI1940" s="129" t="str">
        <f t="shared" si="1452"/>
        <v>0-10 DAYS</v>
      </c>
      <c r="CJ1940" s="137">
        <f t="shared" si="1453"/>
        <v>1</v>
      </c>
      <c r="CK1940" s="129" t="str">
        <f t="shared" si="1454"/>
        <v>Booked</v>
      </c>
    </row>
    <row r="1941" spans="1:89" ht="15.75" customHeight="1" x14ac:dyDescent="0.25">
      <c r="A1941" s="111">
        <v>566</v>
      </c>
      <c r="B1941" s="128" t="str">
        <f t="shared" si="1435"/>
        <v>N</v>
      </c>
      <c r="C1941" s="128" t="str">
        <f t="shared" si="1436"/>
        <v>N</v>
      </c>
      <c r="D1941" s="117">
        <v>2347703</v>
      </c>
      <c r="E1941" s="135">
        <f t="shared" si="1437"/>
        <v>6</v>
      </c>
      <c r="F1941" s="124">
        <v>40931</v>
      </c>
      <c r="G1941" s="125">
        <v>41359</v>
      </c>
      <c r="H1941" s="117">
        <v>2347703</v>
      </c>
      <c r="I1941" s="124">
        <v>40931</v>
      </c>
      <c r="J1941" s="124">
        <v>41359</v>
      </c>
      <c r="K1941" s="126">
        <v>135000</v>
      </c>
      <c r="L1941" s="129" t="s">
        <v>572</v>
      </c>
      <c r="N1941" s="129" t="str">
        <f t="shared" si="1465"/>
        <v>N</v>
      </c>
      <c r="O1941" s="128" t="s">
        <v>917</v>
      </c>
      <c r="P1941" s="129" t="s">
        <v>39</v>
      </c>
      <c r="Q1941" s="111">
        <f t="shared" si="1428"/>
        <v>429</v>
      </c>
      <c r="R1941" s="111">
        <f t="shared" si="1459"/>
        <v>429</v>
      </c>
      <c r="S1941" s="129">
        <v>2</v>
      </c>
      <c r="T1941" s="129">
        <v>0</v>
      </c>
      <c r="W1941" s="111"/>
      <c r="AC1941" s="130"/>
      <c r="AD1941" s="130">
        <v>22796</v>
      </c>
      <c r="AE1941" s="128" t="s">
        <v>32</v>
      </c>
      <c r="AF1941" s="128" t="s">
        <v>69</v>
      </c>
      <c r="AG1941" s="128" t="s">
        <v>874</v>
      </c>
      <c r="AH1941" s="108" t="s">
        <v>58</v>
      </c>
      <c r="AI1941" s="128" t="s">
        <v>80</v>
      </c>
      <c r="AJ1941" s="129" t="s">
        <v>89</v>
      </c>
      <c r="AK1941" s="129">
        <v>18</v>
      </c>
      <c r="AL1941" s="3" t="s">
        <v>362</v>
      </c>
      <c r="AM1941" s="117">
        <v>3</v>
      </c>
      <c r="AP1941" s="129" t="s">
        <v>56</v>
      </c>
      <c r="AR1941" s="128" t="s">
        <v>50</v>
      </c>
      <c r="AS1941" s="129" t="s">
        <v>57</v>
      </c>
      <c r="BC1941" s="129" t="s">
        <v>52</v>
      </c>
      <c r="BF1941" s="111">
        <f t="shared" si="1460"/>
        <v>429</v>
      </c>
      <c r="BG1941" s="111">
        <f t="shared" si="1461"/>
        <v>429</v>
      </c>
      <c r="BH1941" s="111">
        <f t="shared" si="1432"/>
        <v>429</v>
      </c>
      <c r="BI1941" s="111">
        <f t="shared" si="1433"/>
        <v>49.549180327868854</v>
      </c>
      <c r="BJ1941" s="129">
        <f t="shared" si="1450"/>
        <v>0</v>
      </c>
      <c r="BK1941" s="129">
        <f t="shared" si="1434"/>
        <v>0</v>
      </c>
      <c r="BL1941" s="129" t="str">
        <f t="shared" ref="BL1941:BL2004" si="1466">IF(OR(AL1941="AQUITTAL",AL1941="DISMISSED",AL1941="FINE",AL1941="NO BILL"),"NO CONVICTION",IF(OR(AL1941="HCJ",AL1941="MHH",AL1941="PROBATION",AL1941="STJ",AL1941="TDC"),"CONVICTION",IF(AL1941="DEFERRED","DEFERRED",0)))</f>
        <v>CONVICTION</v>
      </c>
      <c r="BM1941" s="129" t="str">
        <f t="shared" si="1451"/>
        <v>NONE</v>
      </c>
      <c r="BN1941" s="129" t="s">
        <v>566</v>
      </c>
      <c r="BP1941" s="137" t="str">
        <f t="shared" si="1438"/>
        <v>CONVICTION</v>
      </c>
      <c r="BQ1941" s="128" t="str">
        <f t="shared" si="1439"/>
        <v>Y</v>
      </c>
      <c r="BR1941" s="129" t="str">
        <f t="shared" si="1440"/>
        <v>DETAINED</v>
      </c>
      <c r="BS1941" s="129" t="str">
        <f t="shared" si="1441"/>
        <v>DISPOSED</v>
      </c>
      <c r="BT1941" s="129" t="str">
        <f t="shared" si="1442"/>
        <v>Y</v>
      </c>
      <c r="BU1941" s="109">
        <f t="shared" si="1443"/>
        <v>1</v>
      </c>
      <c r="BV1941" s="109">
        <f t="shared" si="1444"/>
        <v>1</v>
      </c>
      <c r="BW1941" s="109">
        <f t="shared" si="1420"/>
        <v>0</v>
      </c>
      <c r="BX1941" s="111">
        <f t="shared" si="1445"/>
        <v>0</v>
      </c>
      <c r="BY1941" s="129">
        <f t="shared" si="1446"/>
        <v>-429</v>
      </c>
      <c r="BZ1941" s="111">
        <f t="shared" si="1447"/>
        <v>0</v>
      </c>
      <c r="CA1941" s="138">
        <f t="shared" si="1448"/>
        <v>429</v>
      </c>
      <c r="CB1941" s="111" t="e">
        <f t="shared" si="1462"/>
        <v>#VALUE!</v>
      </c>
      <c r="CC1941" s="129">
        <f t="shared" si="1463"/>
        <v>429</v>
      </c>
      <c r="CD1941" s="129">
        <f t="shared" si="1464"/>
        <v>0</v>
      </c>
      <c r="CG1941" s="129" t="str">
        <f t="shared" si="1449"/>
        <v>Y</v>
      </c>
      <c r="CI1941" s="129" t="str">
        <f t="shared" si="1452"/>
        <v xml:space="preserve"> &gt;1YRS&lt;2YRS</v>
      </c>
      <c r="CJ1941" s="137">
        <f t="shared" si="1453"/>
        <v>0</v>
      </c>
      <c r="CK1941" s="129" t="str">
        <f t="shared" si="1454"/>
        <v>Booked</v>
      </c>
    </row>
    <row r="1942" spans="1:89" ht="15" customHeight="1" x14ac:dyDescent="0.25">
      <c r="A1942" s="111">
        <v>966</v>
      </c>
      <c r="B1942" s="128" t="str">
        <f t="shared" si="1435"/>
        <v>N</v>
      </c>
      <c r="C1942" s="128" t="str">
        <f t="shared" si="1436"/>
        <v>N</v>
      </c>
      <c r="D1942" s="117">
        <v>2348115</v>
      </c>
      <c r="E1942" s="135">
        <f t="shared" si="1437"/>
        <v>6</v>
      </c>
      <c r="F1942" s="124">
        <v>40944</v>
      </c>
      <c r="G1942" s="125">
        <v>40946</v>
      </c>
      <c r="H1942" s="117">
        <v>2348115</v>
      </c>
      <c r="I1942" s="124">
        <v>40944</v>
      </c>
      <c r="J1942" s="124">
        <v>40946</v>
      </c>
      <c r="K1942" s="126">
        <v>15000</v>
      </c>
      <c r="L1942" s="127" t="s">
        <v>571</v>
      </c>
      <c r="N1942" s="129" t="str">
        <f t="shared" si="1465"/>
        <v>N</v>
      </c>
      <c r="O1942" s="128" t="s">
        <v>917</v>
      </c>
      <c r="P1942" s="129" t="s">
        <v>39</v>
      </c>
      <c r="Q1942" s="111">
        <f t="shared" si="1428"/>
        <v>3</v>
      </c>
      <c r="R1942" s="111">
        <f t="shared" si="1459"/>
        <v>3</v>
      </c>
      <c r="S1942" s="129">
        <v>2</v>
      </c>
      <c r="T1942" s="129">
        <v>0</v>
      </c>
      <c r="U1942" s="129">
        <v>2</v>
      </c>
      <c r="W1942" s="111"/>
      <c r="AC1942" s="130"/>
      <c r="AD1942" s="130">
        <v>32398</v>
      </c>
      <c r="AE1942" s="128" t="s">
        <v>32</v>
      </c>
      <c r="AF1942" s="128" t="s">
        <v>69</v>
      </c>
      <c r="AG1942" s="128" t="s">
        <v>874</v>
      </c>
      <c r="AH1942" s="108" t="s">
        <v>58</v>
      </c>
      <c r="AI1942" s="128" t="s">
        <v>90</v>
      </c>
      <c r="AJ1942" s="129" t="s">
        <v>89</v>
      </c>
      <c r="AK1942" s="129">
        <v>2</v>
      </c>
      <c r="AL1942" s="3" t="s">
        <v>362</v>
      </c>
      <c r="AM1942" s="117">
        <v>2</v>
      </c>
      <c r="AP1942" s="129" t="s">
        <v>107</v>
      </c>
      <c r="AR1942" s="128" t="s">
        <v>44</v>
      </c>
      <c r="AS1942" s="129" t="s">
        <v>57</v>
      </c>
      <c r="BC1942" s="129" t="s">
        <v>38</v>
      </c>
      <c r="BF1942" s="111">
        <f t="shared" si="1460"/>
        <v>3</v>
      </c>
      <c r="BG1942" s="111">
        <f t="shared" si="1461"/>
        <v>3</v>
      </c>
      <c r="BH1942" s="111">
        <f t="shared" si="1432"/>
        <v>3</v>
      </c>
      <c r="BI1942" s="111">
        <f t="shared" si="1433"/>
        <v>23.349726775956285</v>
      </c>
      <c r="BJ1942" s="129">
        <f t="shared" si="1450"/>
        <v>0</v>
      </c>
      <c r="BK1942" s="129">
        <f t="shared" si="1434"/>
        <v>0</v>
      </c>
      <c r="BL1942" s="129" t="str">
        <f t="shared" si="1466"/>
        <v>CONVICTION</v>
      </c>
      <c r="BM1942" s="129" t="str">
        <f t="shared" si="1451"/>
        <v>NONE</v>
      </c>
      <c r="BN1942" s="129" t="s">
        <v>566</v>
      </c>
      <c r="BP1942" s="137" t="str">
        <f t="shared" si="1438"/>
        <v>CONVICTION</v>
      </c>
      <c r="BQ1942" s="128" t="str">
        <f t="shared" si="1439"/>
        <v>Y</v>
      </c>
      <c r="BR1942" s="129" t="str">
        <f t="shared" si="1440"/>
        <v>DETAINED</v>
      </c>
      <c r="BS1942" s="129" t="str">
        <f t="shared" si="1441"/>
        <v>DISPOSED</v>
      </c>
      <c r="BT1942" s="129" t="str">
        <f t="shared" si="1442"/>
        <v>Y</v>
      </c>
      <c r="BU1942" s="109">
        <f t="shared" si="1443"/>
        <v>1</v>
      </c>
      <c r="BV1942" s="109">
        <f t="shared" si="1444"/>
        <v>1</v>
      </c>
      <c r="BW1942" s="109">
        <f t="shared" si="1420"/>
        <v>0</v>
      </c>
      <c r="BX1942" s="111">
        <f t="shared" si="1445"/>
        <v>0</v>
      </c>
      <c r="BY1942" s="129">
        <f t="shared" si="1446"/>
        <v>-3</v>
      </c>
      <c r="BZ1942" s="111">
        <f t="shared" si="1447"/>
        <v>0</v>
      </c>
      <c r="CA1942" s="138">
        <f t="shared" si="1448"/>
        <v>3</v>
      </c>
      <c r="CB1942" s="111" t="e">
        <f t="shared" si="1462"/>
        <v>#VALUE!</v>
      </c>
      <c r="CC1942" s="129">
        <f t="shared" si="1463"/>
        <v>3</v>
      </c>
      <c r="CD1942" s="129">
        <f t="shared" si="1464"/>
        <v>0</v>
      </c>
      <c r="CG1942" s="129" t="str">
        <f t="shared" si="1449"/>
        <v>Y</v>
      </c>
      <c r="CI1942" s="129" t="str">
        <f t="shared" si="1452"/>
        <v>0-10 DAYS</v>
      </c>
      <c r="CJ1942" s="137">
        <f t="shared" si="1453"/>
        <v>1</v>
      </c>
      <c r="CK1942" s="129" t="str">
        <f t="shared" si="1454"/>
        <v>Booked</v>
      </c>
    </row>
    <row r="1943" spans="1:89" ht="15.75" customHeight="1" x14ac:dyDescent="0.25">
      <c r="A1943" s="111">
        <v>3085</v>
      </c>
      <c r="B1943" s="128" t="str">
        <f t="shared" si="1435"/>
        <v>N</v>
      </c>
      <c r="C1943" s="128" t="str">
        <f t="shared" si="1436"/>
        <v>N</v>
      </c>
      <c r="D1943" s="117">
        <v>2349001</v>
      </c>
      <c r="E1943" s="135">
        <f t="shared" si="1437"/>
        <v>4</v>
      </c>
      <c r="F1943" s="124">
        <v>41023</v>
      </c>
      <c r="G1943" s="125">
        <v>41151</v>
      </c>
      <c r="H1943" s="117">
        <v>2349001</v>
      </c>
      <c r="I1943" s="124">
        <v>41023</v>
      </c>
      <c r="J1943" s="124">
        <v>41151</v>
      </c>
      <c r="K1943" s="126">
        <v>55000</v>
      </c>
      <c r="L1943" s="129" t="s">
        <v>572</v>
      </c>
      <c r="N1943" s="129" t="str">
        <f t="shared" si="1465"/>
        <v>N</v>
      </c>
      <c r="O1943" s="128" t="s">
        <v>917</v>
      </c>
      <c r="P1943" s="129" t="s">
        <v>39</v>
      </c>
      <c r="Q1943" s="111">
        <f t="shared" ref="Q1943:Q1960" si="1467">BF1943</f>
        <v>129</v>
      </c>
      <c r="R1943" s="111">
        <f t="shared" si="1459"/>
        <v>129</v>
      </c>
      <c r="S1943" s="129">
        <v>1</v>
      </c>
      <c r="T1943" s="129">
        <v>0</v>
      </c>
      <c r="W1943" s="111"/>
      <c r="AB1943" s="131" t="s">
        <v>112</v>
      </c>
      <c r="AC1943" s="130"/>
      <c r="AD1943" s="130">
        <v>28824</v>
      </c>
      <c r="AE1943" s="128" t="s">
        <v>32</v>
      </c>
      <c r="AF1943" s="128" t="s">
        <v>40</v>
      </c>
      <c r="AG1943" s="128" t="s">
        <v>41</v>
      </c>
      <c r="AH1943" s="108" t="s">
        <v>31</v>
      </c>
      <c r="AI1943" s="128" t="s">
        <v>90</v>
      </c>
      <c r="AJ1943" s="129" t="s">
        <v>89</v>
      </c>
      <c r="AK1943" s="129">
        <v>7</v>
      </c>
      <c r="AL1943" s="3" t="s">
        <v>991</v>
      </c>
      <c r="AO1943" s="128">
        <v>130</v>
      </c>
      <c r="AP1943" s="129" t="s">
        <v>63</v>
      </c>
      <c r="AR1943" s="128" t="s">
        <v>44</v>
      </c>
      <c r="AS1943" s="129" t="s">
        <v>64</v>
      </c>
      <c r="BC1943" s="129" t="s">
        <v>52</v>
      </c>
      <c r="BF1943" s="111">
        <f t="shared" si="1460"/>
        <v>129</v>
      </c>
      <c r="BG1943" s="111">
        <f t="shared" si="1461"/>
        <v>129</v>
      </c>
      <c r="BH1943" s="111">
        <f t="shared" si="1432"/>
        <v>129</v>
      </c>
      <c r="BI1943" s="111">
        <f t="shared" si="1433"/>
        <v>33.330601092896174</v>
      </c>
      <c r="BJ1943" s="129">
        <f t="shared" si="1450"/>
        <v>0</v>
      </c>
      <c r="BK1943" s="129">
        <f t="shared" si="1434"/>
        <v>0</v>
      </c>
      <c r="BL1943" s="129" t="str">
        <f t="shared" si="1466"/>
        <v>CONVICTION</v>
      </c>
      <c r="BM1943" s="129" t="str">
        <f t="shared" si="1451"/>
        <v>NONE</v>
      </c>
      <c r="BN1943" s="129" t="s">
        <v>566</v>
      </c>
      <c r="BP1943" s="137" t="str">
        <f t="shared" si="1438"/>
        <v>CONVICTION</v>
      </c>
      <c r="BQ1943" s="128" t="str">
        <f t="shared" si="1439"/>
        <v>Y</v>
      </c>
      <c r="BR1943" s="129" t="str">
        <f t="shared" si="1440"/>
        <v>DETAINED</v>
      </c>
      <c r="BS1943" s="129" t="str">
        <f t="shared" si="1441"/>
        <v>DISPOSED</v>
      </c>
      <c r="BT1943" s="129" t="str">
        <f t="shared" si="1442"/>
        <v>Y</v>
      </c>
      <c r="BU1943" s="109">
        <f t="shared" si="1443"/>
        <v>1</v>
      </c>
      <c r="BV1943" s="109">
        <f t="shared" si="1444"/>
        <v>1</v>
      </c>
      <c r="BW1943" s="109">
        <f t="shared" si="1420"/>
        <v>0</v>
      </c>
      <c r="BX1943" s="111">
        <f t="shared" si="1445"/>
        <v>0</v>
      </c>
      <c r="BY1943" s="129">
        <f t="shared" si="1446"/>
        <v>-129</v>
      </c>
      <c r="BZ1943" s="111">
        <f t="shared" si="1447"/>
        <v>0</v>
      </c>
      <c r="CA1943" s="138">
        <f t="shared" si="1448"/>
        <v>129</v>
      </c>
      <c r="CB1943" s="111" t="e">
        <f t="shared" si="1462"/>
        <v>#VALUE!</v>
      </c>
      <c r="CC1943" s="129">
        <f t="shared" si="1463"/>
        <v>129</v>
      </c>
      <c r="CD1943" s="129">
        <f t="shared" si="1464"/>
        <v>0</v>
      </c>
      <c r="CG1943" s="129" t="str">
        <f t="shared" si="1449"/>
        <v>Y</v>
      </c>
      <c r="CI1943" s="129" t="str">
        <f t="shared" si="1452"/>
        <v>121-365 DAYS</v>
      </c>
      <c r="CJ1943" s="137">
        <f t="shared" si="1453"/>
        <v>6</v>
      </c>
      <c r="CK1943" s="129" t="str">
        <f t="shared" si="1454"/>
        <v>Booked</v>
      </c>
    </row>
    <row r="1944" spans="1:89" ht="15.75" customHeight="1" x14ac:dyDescent="0.25">
      <c r="A1944" s="111">
        <v>2821</v>
      </c>
      <c r="B1944" s="128" t="str">
        <f t="shared" si="1435"/>
        <v>N</v>
      </c>
      <c r="C1944" s="128" t="str">
        <f t="shared" si="1436"/>
        <v>N</v>
      </c>
      <c r="D1944" s="117">
        <v>2350526</v>
      </c>
      <c r="E1944" s="135">
        <f t="shared" si="1437"/>
        <v>6</v>
      </c>
      <c r="F1944" s="124">
        <v>41012</v>
      </c>
      <c r="G1944" s="125">
        <v>41170</v>
      </c>
      <c r="H1944" s="117">
        <v>2350526</v>
      </c>
      <c r="I1944" s="124">
        <v>41012</v>
      </c>
      <c r="J1944" s="124">
        <v>41170</v>
      </c>
      <c r="K1944" s="126">
        <v>200000</v>
      </c>
      <c r="L1944" s="129" t="s">
        <v>572</v>
      </c>
      <c r="N1944" s="129" t="str">
        <f t="shared" si="1465"/>
        <v>N</v>
      </c>
      <c r="O1944" s="128" t="s">
        <v>917</v>
      </c>
      <c r="P1944" s="129" t="s">
        <v>39</v>
      </c>
      <c r="Q1944" s="111">
        <f t="shared" si="1467"/>
        <v>159</v>
      </c>
      <c r="R1944" s="111">
        <f t="shared" si="1459"/>
        <v>159</v>
      </c>
      <c r="S1944" s="129">
        <v>0</v>
      </c>
      <c r="T1944" s="129">
        <v>1</v>
      </c>
      <c r="W1944" s="115"/>
      <c r="X1944" s="114"/>
      <c r="Y1944" s="32"/>
      <c r="Z1944" s="32"/>
      <c r="AB1944" s="131" t="s">
        <v>112</v>
      </c>
      <c r="AC1944" s="130"/>
      <c r="AD1944" s="130">
        <v>31054</v>
      </c>
      <c r="AE1944" s="128" t="s">
        <v>32</v>
      </c>
      <c r="AF1944" s="128" t="s">
        <v>40</v>
      </c>
      <c r="AG1944" s="128" t="s">
        <v>41</v>
      </c>
      <c r="AH1944" s="108" t="s">
        <v>31</v>
      </c>
      <c r="AI1944" s="128" t="s">
        <v>59</v>
      </c>
      <c r="AJ1944" s="129" t="s">
        <v>89</v>
      </c>
      <c r="AK1944" s="129">
        <v>7</v>
      </c>
      <c r="AL1944" s="3" t="s">
        <v>362</v>
      </c>
      <c r="AM1944" s="117">
        <v>2</v>
      </c>
      <c r="AP1944" s="129" t="s">
        <v>56</v>
      </c>
      <c r="AR1944" s="128" t="s">
        <v>50</v>
      </c>
      <c r="AS1944" s="129" t="s">
        <v>57</v>
      </c>
      <c r="BC1944" s="129" t="s">
        <v>38</v>
      </c>
      <c r="BF1944" s="111">
        <f t="shared" si="1460"/>
        <v>159</v>
      </c>
      <c r="BG1944" s="111">
        <f t="shared" si="1461"/>
        <v>159</v>
      </c>
      <c r="BH1944" s="111">
        <f t="shared" si="1432"/>
        <v>159</v>
      </c>
      <c r="BI1944" s="111">
        <f t="shared" si="1433"/>
        <v>27.207650273224044</v>
      </c>
      <c r="BJ1944" s="129">
        <f t="shared" si="1450"/>
        <v>0</v>
      </c>
      <c r="BK1944" s="129">
        <f t="shared" si="1434"/>
        <v>0</v>
      </c>
      <c r="BL1944" s="129" t="str">
        <f t="shared" si="1466"/>
        <v>CONVICTION</v>
      </c>
      <c r="BM1944" s="129" t="str">
        <f t="shared" si="1451"/>
        <v>NONE</v>
      </c>
      <c r="BN1944" s="129" t="s">
        <v>566</v>
      </c>
      <c r="BP1944" s="137" t="str">
        <f t="shared" si="1438"/>
        <v>CONVICTION</v>
      </c>
      <c r="BQ1944" s="128" t="str">
        <f t="shared" si="1439"/>
        <v>Y</v>
      </c>
      <c r="BR1944" s="129" t="str">
        <f t="shared" si="1440"/>
        <v>DETAINED</v>
      </c>
      <c r="BS1944" s="129" t="str">
        <f t="shared" si="1441"/>
        <v>DISPOSED</v>
      </c>
      <c r="BT1944" s="129" t="str">
        <f t="shared" si="1442"/>
        <v>N</v>
      </c>
      <c r="BU1944" s="109">
        <f t="shared" si="1443"/>
        <v>1</v>
      </c>
      <c r="BV1944" s="109">
        <f t="shared" si="1444"/>
        <v>1</v>
      </c>
      <c r="BW1944" s="109">
        <f t="shared" si="1420"/>
        <v>0</v>
      </c>
      <c r="BX1944" s="111">
        <f t="shared" si="1445"/>
        <v>0</v>
      </c>
      <c r="BY1944" s="129">
        <f t="shared" si="1446"/>
        <v>-159</v>
      </c>
      <c r="BZ1944" s="111">
        <f t="shared" si="1447"/>
        <v>0</v>
      </c>
      <c r="CA1944" s="138">
        <f t="shared" si="1448"/>
        <v>159</v>
      </c>
      <c r="CB1944" s="111" t="e">
        <f t="shared" si="1462"/>
        <v>#VALUE!</v>
      </c>
      <c r="CC1944" s="129">
        <f t="shared" si="1463"/>
        <v>159</v>
      </c>
      <c r="CD1944" s="129">
        <f t="shared" si="1464"/>
        <v>0</v>
      </c>
      <c r="CG1944" s="129" t="str">
        <f t="shared" si="1449"/>
        <v>Y</v>
      </c>
      <c r="CI1944" s="129" t="str">
        <f t="shared" si="1452"/>
        <v>121-365 DAYS</v>
      </c>
      <c r="CJ1944" s="137">
        <f t="shared" si="1453"/>
        <v>6</v>
      </c>
      <c r="CK1944" s="129" t="str">
        <f t="shared" si="1454"/>
        <v>Booked</v>
      </c>
    </row>
    <row r="1945" spans="1:89" ht="15" customHeight="1" x14ac:dyDescent="0.25">
      <c r="A1945" s="111">
        <v>1924</v>
      </c>
      <c r="B1945" s="128" t="str">
        <f t="shared" si="1435"/>
        <v>N</v>
      </c>
      <c r="C1945" s="128" t="str">
        <f t="shared" si="1436"/>
        <v>N</v>
      </c>
      <c r="D1945" s="117">
        <v>2350621</v>
      </c>
      <c r="E1945" s="135">
        <f t="shared" si="1437"/>
        <v>2</v>
      </c>
      <c r="F1945" s="124">
        <v>40981</v>
      </c>
      <c r="G1945" s="125">
        <v>40982</v>
      </c>
      <c r="H1945" s="117">
        <v>2350621</v>
      </c>
      <c r="I1945" s="124">
        <v>40981</v>
      </c>
      <c r="J1945" s="124">
        <v>40982</v>
      </c>
      <c r="K1945" s="126">
        <v>2000</v>
      </c>
      <c r="L1945" s="127" t="s">
        <v>568</v>
      </c>
      <c r="N1945" s="129" t="str">
        <f t="shared" si="1465"/>
        <v>N</v>
      </c>
      <c r="O1945" s="128" t="s">
        <v>917</v>
      </c>
      <c r="P1945" s="129" t="s">
        <v>589</v>
      </c>
      <c r="Q1945" s="111">
        <f t="shared" si="1467"/>
        <v>2</v>
      </c>
      <c r="R1945" s="111">
        <f t="shared" si="1459"/>
        <v>2</v>
      </c>
      <c r="S1945" s="129">
        <v>0</v>
      </c>
      <c r="T1945" s="129">
        <v>1</v>
      </c>
      <c r="W1945" s="111"/>
      <c r="AC1945" s="130"/>
      <c r="AD1945" s="130">
        <v>29179</v>
      </c>
      <c r="AE1945" s="128" t="s">
        <v>32</v>
      </c>
      <c r="AF1945" s="128" t="s">
        <v>69</v>
      </c>
      <c r="AG1945" s="128" t="s">
        <v>874</v>
      </c>
      <c r="AH1945" s="108" t="s">
        <v>31</v>
      </c>
      <c r="AI1945" s="128" t="s">
        <v>118</v>
      </c>
      <c r="AJ1945" s="129" t="s">
        <v>48</v>
      </c>
      <c r="AL1945" s="3" t="s">
        <v>48</v>
      </c>
      <c r="AP1945" s="129" t="s">
        <v>43</v>
      </c>
      <c r="AR1945" s="128" t="s">
        <v>44</v>
      </c>
      <c r="AS1945" s="129" t="s">
        <v>45</v>
      </c>
      <c r="AT1945" s="129" t="s">
        <v>392</v>
      </c>
      <c r="BC1945" s="129" t="s">
        <v>38</v>
      </c>
      <c r="BF1945" s="111">
        <f t="shared" si="1460"/>
        <v>2</v>
      </c>
      <c r="BG1945" s="111">
        <f t="shared" si="1461"/>
        <v>2</v>
      </c>
      <c r="BH1945" s="111">
        <f t="shared" si="1432"/>
        <v>2</v>
      </c>
      <c r="BI1945" s="111">
        <f t="shared" si="1433"/>
        <v>32.245901639344261</v>
      </c>
      <c r="BJ1945" s="129">
        <f t="shared" si="1450"/>
        <v>0</v>
      </c>
      <c r="BK1945" s="129">
        <f t="shared" si="1434"/>
        <v>0</v>
      </c>
      <c r="BL1945" s="129" t="str">
        <f t="shared" si="1466"/>
        <v>DEFERRED</v>
      </c>
      <c r="BM1945" s="129" t="str">
        <f t="shared" si="1451"/>
        <v>NONE</v>
      </c>
      <c r="BN1945" s="129" t="s">
        <v>566</v>
      </c>
      <c r="BP1945" s="137" t="str">
        <f t="shared" si="1438"/>
        <v>DEFERRED</v>
      </c>
      <c r="BQ1945" s="128" t="str">
        <f t="shared" si="1439"/>
        <v>Y</v>
      </c>
      <c r="BR1945" s="129" t="str">
        <f t="shared" si="1440"/>
        <v>DETAINED</v>
      </c>
      <c r="BS1945" s="129" t="str">
        <f t="shared" si="1441"/>
        <v>DISPOSED</v>
      </c>
      <c r="BT1945" s="129" t="str">
        <f t="shared" si="1442"/>
        <v>N</v>
      </c>
      <c r="BU1945" s="109">
        <f t="shared" si="1443"/>
        <v>1</v>
      </c>
      <c r="BV1945" s="109">
        <f t="shared" si="1444"/>
        <v>1</v>
      </c>
      <c r="BW1945" s="109">
        <f t="shared" si="1420"/>
        <v>0</v>
      </c>
      <c r="BX1945" s="111">
        <f t="shared" si="1445"/>
        <v>0</v>
      </c>
      <c r="BY1945" s="129">
        <f t="shared" si="1446"/>
        <v>-2</v>
      </c>
      <c r="BZ1945" s="111">
        <f t="shared" si="1447"/>
        <v>0</v>
      </c>
      <c r="CA1945" s="138">
        <f t="shared" si="1448"/>
        <v>2</v>
      </c>
      <c r="CB1945" s="111" t="e">
        <f t="shared" si="1462"/>
        <v>#VALUE!</v>
      </c>
      <c r="CC1945" s="129">
        <f t="shared" si="1463"/>
        <v>2</v>
      </c>
      <c r="CD1945" s="129">
        <f t="shared" si="1464"/>
        <v>0</v>
      </c>
      <c r="CG1945" s="129" t="str">
        <f t="shared" si="1449"/>
        <v>Y</v>
      </c>
      <c r="CI1945" s="129" t="str">
        <f t="shared" si="1452"/>
        <v>0-10 DAYS</v>
      </c>
      <c r="CJ1945" s="137">
        <f t="shared" si="1453"/>
        <v>1</v>
      </c>
      <c r="CK1945" s="129" t="str">
        <f t="shared" si="1454"/>
        <v>Booked</v>
      </c>
    </row>
    <row r="1946" spans="1:89" ht="15" customHeight="1" x14ac:dyDescent="0.25">
      <c r="A1946" s="111">
        <v>2273</v>
      </c>
      <c r="B1946" s="128" t="str">
        <f t="shared" si="1435"/>
        <v>N</v>
      </c>
      <c r="C1946" s="128" t="str">
        <f t="shared" si="1436"/>
        <v>N</v>
      </c>
      <c r="D1946" s="117">
        <v>2352226</v>
      </c>
      <c r="E1946" s="135">
        <f t="shared" si="1437"/>
        <v>5</v>
      </c>
      <c r="F1946" s="124">
        <v>40995</v>
      </c>
      <c r="G1946" s="125">
        <v>41011</v>
      </c>
      <c r="H1946" s="117">
        <v>2352226</v>
      </c>
      <c r="I1946" s="124">
        <v>40996</v>
      </c>
      <c r="J1946" s="124">
        <v>41011</v>
      </c>
      <c r="K1946" s="126" t="s">
        <v>564</v>
      </c>
      <c r="L1946" s="127" t="s">
        <v>564</v>
      </c>
      <c r="N1946" s="129" t="s">
        <v>566</v>
      </c>
      <c r="O1946" s="128" t="s">
        <v>917</v>
      </c>
      <c r="P1946" s="129" t="s">
        <v>39</v>
      </c>
      <c r="Q1946" s="111">
        <f t="shared" si="1467"/>
        <v>16</v>
      </c>
      <c r="R1946" s="111">
        <f t="shared" si="1459"/>
        <v>17</v>
      </c>
      <c r="S1946" s="129">
        <v>1</v>
      </c>
      <c r="T1946" s="129">
        <v>0</v>
      </c>
      <c r="U1946" s="129">
        <v>1</v>
      </c>
      <c r="W1946" s="111"/>
      <c r="AC1946" s="130"/>
      <c r="AD1946" s="130">
        <v>33239</v>
      </c>
      <c r="AE1946" s="128" t="s">
        <v>32</v>
      </c>
      <c r="AF1946" s="128" t="s">
        <v>69</v>
      </c>
      <c r="AG1946" s="128" t="s">
        <v>874</v>
      </c>
      <c r="AH1946" s="108" t="s">
        <v>58</v>
      </c>
      <c r="AI1946" s="128" t="s">
        <v>34</v>
      </c>
      <c r="AJ1946" s="129" t="s">
        <v>89</v>
      </c>
      <c r="AK1946" s="129">
        <v>3</v>
      </c>
      <c r="AL1946" s="3" t="s">
        <v>992</v>
      </c>
      <c r="AN1946" s="117">
        <v>6</v>
      </c>
      <c r="AP1946" s="129" t="s">
        <v>63</v>
      </c>
      <c r="AR1946" s="128" t="s">
        <v>44</v>
      </c>
      <c r="AS1946" s="129" t="s">
        <v>64</v>
      </c>
      <c r="BC1946" s="129" t="s">
        <v>38</v>
      </c>
      <c r="BF1946" s="111">
        <f t="shared" si="1460"/>
        <v>16</v>
      </c>
      <c r="BG1946" s="111">
        <f t="shared" si="1461"/>
        <v>16</v>
      </c>
      <c r="BH1946" s="111">
        <f t="shared" si="1432"/>
        <v>17</v>
      </c>
      <c r="BI1946" s="111">
        <f t="shared" si="1433"/>
        <v>21.191256830601095</v>
      </c>
      <c r="BJ1946" s="129">
        <f t="shared" si="1450"/>
        <v>0</v>
      </c>
      <c r="BK1946" s="129">
        <f t="shared" si="1434"/>
        <v>0</v>
      </c>
      <c r="BL1946" s="129" t="str">
        <f t="shared" si="1466"/>
        <v>CONVICTION</v>
      </c>
      <c r="BM1946" s="129" t="str">
        <f t="shared" si="1451"/>
        <v>NONE</v>
      </c>
      <c r="BN1946" s="129" t="s">
        <v>566</v>
      </c>
      <c r="BP1946" s="137" t="str">
        <f t="shared" si="1438"/>
        <v>CONVICTION</v>
      </c>
      <c r="BQ1946" s="128" t="str">
        <f t="shared" si="1439"/>
        <v>Y</v>
      </c>
      <c r="BR1946" s="129" t="str">
        <f t="shared" si="1440"/>
        <v>DETAINED</v>
      </c>
      <c r="BS1946" s="129" t="str">
        <f t="shared" si="1441"/>
        <v>DISPOSED</v>
      </c>
      <c r="BT1946" s="129" t="str">
        <f t="shared" si="1442"/>
        <v>Y</v>
      </c>
      <c r="BU1946" s="109">
        <f t="shared" si="1443"/>
        <v>0.94117647058823528</v>
      </c>
      <c r="BV1946" s="109">
        <f t="shared" si="1444"/>
        <v>1</v>
      </c>
      <c r="BW1946" s="109">
        <f t="shared" si="1420"/>
        <v>5.8823529411764719E-2</v>
      </c>
      <c r="BX1946" s="111">
        <f t="shared" si="1445"/>
        <v>0</v>
      </c>
      <c r="BY1946" s="129">
        <f t="shared" si="1446"/>
        <v>-16</v>
      </c>
      <c r="BZ1946" s="111">
        <f t="shared" si="1447"/>
        <v>0</v>
      </c>
      <c r="CA1946" s="138">
        <f t="shared" si="1448"/>
        <v>16</v>
      </c>
      <c r="CB1946" s="111" t="e">
        <f t="shared" si="1462"/>
        <v>#VALUE!</v>
      </c>
      <c r="CC1946" s="129">
        <f t="shared" si="1463"/>
        <v>16</v>
      </c>
      <c r="CD1946" s="129">
        <f t="shared" si="1464"/>
        <v>0</v>
      </c>
      <c r="CG1946" s="129" t="str">
        <f t="shared" si="1449"/>
        <v>Y</v>
      </c>
      <c r="CI1946" s="129" t="str">
        <f t="shared" si="1452"/>
        <v>11-30 DAYS</v>
      </c>
      <c r="CJ1946" s="137">
        <f t="shared" si="1453"/>
        <v>2</v>
      </c>
      <c r="CK1946" s="129" t="str">
        <f t="shared" si="1454"/>
        <v>Booked</v>
      </c>
    </row>
    <row r="1947" spans="1:89" ht="15" customHeight="1" x14ac:dyDescent="0.25">
      <c r="A1947" s="111">
        <v>2004</v>
      </c>
      <c r="B1947" s="128" t="str">
        <f t="shared" si="1435"/>
        <v>N</v>
      </c>
      <c r="C1947" s="128" t="str">
        <f t="shared" si="1436"/>
        <v>N</v>
      </c>
      <c r="D1947" s="117">
        <v>2352450</v>
      </c>
      <c r="E1947" s="135">
        <f t="shared" si="1437"/>
        <v>6</v>
      </c>
      <c r="F1947" s="124">
        <v>40984</v>
      </c>
      <c r="G1947" s="125">
        <v>41066</v>
      </c>
      <c r="H1947" s="117">
        <v>2352450</v>
      </c>
      <c r="I1947" s="124">
        <v>40984</v>
      </c>
      <c r="J1947" s="124">
        <v>41066</v>
      </c>
      <c r="K1947" s="126">
        <v>30000</v>
      </c>
      <c r="L1947" s="129" t="s">
        <v>572</v>
      </c>
      <c r="N1947" s="129" t="str">
        <f>IF(M1947&gt;1/1/1,"Y","N")</f>
        <v>N</v>
      </c>
      <c r="O1947" s="128" t="s">
        <v>917</v>
      </c>
      <c r="P1947" s="129" t="s">
        <v>39</v>
      </c>
      <c r="Q1947" s="111">
        <f t="shared" si="1467"/>
        <v>83</v>
      </c>
      <c r="R1947" s="111">
        <f t="shared" si="1459"/>
        <v>83</v>
      </c>
      <c r="S1947" s="129">
        <v>3</v>
      </c>
      <c r="T1947" s="129">
        <v>1</v>
      </c>
      <c r="U1947" s="129">
        <v>1</v>
      </c>
      <c r="W1947" s="111"/>
      <c r="AC1947" s="130"/>
      <c r="AD1947" s="130">
        <v>33079</v>
      </c>
      <c r="AE1947" s="128" t="s">
        <v>32</v>
      </c>
      <c r="AF1947" s="128" t="s">
        <v>33</v>
      </c>
      <c r="AG1947" s="128" t="s">
        <v>872</v>
      </c>
      <c r="AH1947" s="108" t="s">
        <v>31</v>
      </c>
      <c r="AI1947" s="128" t="s">
        <v>71</v>
      </c>
      <c r="AJ1947" s="129" t="s">
        <v>89</v>
      </c>
      <c r="AK1947" s="129">
        <v>4</v>
      </c>
      <c r="AL1947" s="3" t="s">
        <v>362</v>
      </c>
      <c r="AM1947" s="117">
        <v>2</v>
      </c>
      <c r="AP1947" s="129" t="s">
        <v>81</v>
      </c>
      <c r="AR1947" s="128" t="s">
        <v>50</v>
      </c>
      <c r="AS1947" s="129" t="s">
        <v>82</v>
      </c>
      <c r="BC1947" s="129" t="s">
        <v>99</v>
      </c>
      <c r="BF1947" s="111">
        <f t="shared" si="1460"/>
        <v>83</v>
      </c>
      <c r="BG1947" s="111">
        <f t="shared" si="1461"/>
        <v>83</v>
      </c>
      <c r="BH1947" s="111">
        <f t="shared" si="1432"/>
        <v>83</v>
      </c>
      <c r="BI1947" s="111">
        <f t="shared" si="1433"/>
        <v>21.598360655737704</v>
      </c>
      <c r="BJ1947" s="129">
        <f t="shared" si="1450"/>
        <v>0</v>
      </c>
      <c r="BK1947" s="129">
        <f t="shared" si="1434"/>
        <v>0</v>
      </c>
      <c r="BL1947" s="129" t="str">
        <f t="shared" si="1466"/>
        <v>CONVICTION</v>
      </c>
      <c r="BM1947" s="129" t="str">
        <f t="shared" si="1451"/>
        <v>NONE</v>
      </c>
      <c r="BN1947" s="129" t="s">
        <v>566</v>
      </c>
      <c r="BP1947" s="137" t="str">
        <f t="shared" si="1438"/>
        <v>CONVICTION</v>
      </c>
      <c r="BQ1947" s="128" t="str">
        <f t="shared" si="1439"/>
        <v>Y</v>
      </c>
      <c r="BR1947" s="129" t="str">
        <f t="shared" si="1440"/>
        <v>DETAINED</v>
      </c>
      <c r="BS1947" s="129" t="str">
        <f t="shared" si="1441"/>
        <v>DISPOSED</v>
      </c>
      <c r="BT1947" s="129" t="str">
        <f t="shared" si="1442"/>
        <v>Y</v>
      </c>
      <c r="BU1947" s="109">
        <f t="shared" si="1443"/>
        <v>1</v>
      </c>
      <c r="BV1947" s="109">
        <f t="shared" si="1444"/>
        <v>1</v>
      </c>
      <c r="BW1947" s="109">
        <f t="shared" si="1420"/>
        <v>0</v>
      </c>
      <c r="BX1947" s="111">
        <f t="shared" si="1445"/>
        <v>0</v>
      </c>
      <c r="BY1947" s="129">
        <f t="shared" si="1446"/>
        <v>-83</v>
      </c>
      <c r="BZ1947" s="111">
        <f t="shared" si="1447"/>
        <v>0</v>
      </c>
      <c r="CA1947" s="138">
        <f t="shared" si="1448"/>
        <v>83</v>
      </c>
      <c r="CB1947" s="111" t="e">
        <f t="shared" si="1462"/>
        <v>#VALUE!</v>
      </c>
      <c r="CC1947" s="129">
        <f t="shared" si="1463"/>
        <v>83</v>
      </c>
      <c r="CD1947" s="129">
        <f t="shared" si="1464"/>
        <v>0</v>
      </c>
      <c r="CG1947" s="129" t="str">
        <f t="shared" si="1449"/>
        <v>Y</v>
      </c>
      <c r="CI1947" s="129" t="str">
        <f t="shared" si="1452"/>
        <v>61-90 DAYS</v>
      </c>
      <c r="CJ1947" s="137">
        <f t="shared" si="1453"/>
        <v>4</v>
      </c>
      <c r="CK1947" s="129" t="str">
        <f t="shared" si="1454"/>
        <v>Booked</v>
      </c>
    </row>
    <row r="1948" spans="1:89" ht="15" customHeight="1" x14ac:dyDescent="0.25">
      <c r="A1948" s="111">
        <v>2087</v>
      </c>
      <c r="B1948" s="128" t="str">
        <f t="shared" si="1435"/>
        <v>N</v>
      </c>
      <c r="C1948" s="128" t="str">
        <f t="shared" si="1436"/>
        <v>N</v>
      </c>
      <c r="D1948" s="117">
        <v>2353080</v>
      </c>
      <c r="E1948" s="135">
        <f t="shared" si="1437"/>
        <v>5</v>
      </c>
      <c r="F1948" s="124">
        <v>40987</v>
      </c>
      <c r="G1948" s="125">
        <v>41046</v>
      </c>
      <c r="H1948" s="117">
        <v>2353080</v>
      </c>
      <c r="I1948" s="124">
        <v>40988</v>
      </c>
      <c r="J1948" s="124">
        <v>41046</v>
      </c>
      <c r="K1948" s="126">
        <v>30000</v>
      </c>
      <c r="L1948" s="129" t="s">
        <v>572</v>
      </c>
      <c r="N1948" s="129" t="str">
        <f>IF(M1948&gt;1/1/1,"Y","N")</f>
        <v>N</v>
      </c>
      <c r="O1948" s="128" t="s">
        <v>917</v>
      </c>
      <c r="P1948" s="129" t="s">
        <v>39</v>
      </c>
      <c r="Q1948" s="111">
        <f t="shared" si="1467"/>
        <v>59</v>
      </c>
      <c r="R1948" s="111">
        <f t="shared" si="1459"/>
        <v>60</v>
      </c>
      <c r="S1948" s="129">
        <v>2</v>
      </c>
      <c r="T1948" s="129">
        <v>5</v>
      </c>
      <c r="U1948" s="129">
        <v>1</v>
      </c>
      <c r="W1948" s="111"/>
      <c r="AC1948" s="130"/>
      <c r="AD1948" s="130">
        <v>33229</v>
      </c>
      <c r="AE1948" s="128" t="s">
        <v>32</v>
      </c>
      <c r="AF1948" s="128" t="s">
        <v>33</v>
      </c>
      <c r="AG1948" s="128" t="s">
        <v>872</v>
      </c>
      <c r="AH1948" s="108" t="s">
        <v>58</v>
      </c>
      <c r="AI1948" s="128" t="s">
        <v>95</v>
      </c>
      <c r="AJ1948" s="129" t="s">
        <v>89</v>
      </c>
      <c r="AK1948" s="129">
        <v>4</v>
      </c>
      <c r="AL1948" s="3" t="s">
        <v>992</v>
      </c>
      <c r="AN1948" s="117">
        <v>9</v>
      </c>
      <c r="AP1948" s="129" t="s">
        <v>107</v>
      </c>
      <c r="AR1948" s="128" t="s">
        <v>44</v>
      </c>
      <c r="AS1948" s="129" t="s">
        <v>57</v>
      </c>
      <c r="BC1948" s="129" t="s">
        <v>38</v>
      </c>
      <c r="BF1948" s="111">
        <f t="shared" si="1460"/>
        <v>59</v>
      </c>
      <c r="BG1948" s="111">
        <f t="shared" si="1461"/>
        <v>59</v>
      </c>
      <c r="BH1948" s="111">
        <f t="shared" si="1432"/>
        <v>60</v>
      </c>
      <c r="BI1948" s="111">
        <f t="shared" si="1433"/>
        <v>21.196721311475411</v>
      </c>
      <c r="BJ1948" s="129">
        <f t="shared" si="1450"/>
        <v>0</v>
      </c>
      <c r="BK1948" s="129">
        <f t="shared" si="1434"/>
        <v>0</v>
      </c>
      <c r="BL1948" s="129" t="str">
        <f t="shared" si="1466"/>
        <v>CONVICTION</v>
      </c>
      <c r="BM1948" s="129" t="str">
        <f t="shared" si="1451"/>
        <v>NONE</v>
      </c>
      <c r="BN1948" s="129" t="s">
        <v>566</v>
      </c>
      <c r="BP1948" s="137" t="str">
        <f t="shared" si="1438"/>
        <v>CONVICTION</v>
      </c>
      <c r="BQ1948" s="128" t="str">
        <f t="shared" si="1439"/>
        <v>Y</v>
      </c>
      <c r="BR1948" s="129" t="str">
        <f t="shared" si="1440"/>
        <v>DETAINED</v>
      </c>
      <c r="BS1948" s="129" t="str">
        <f t="shared" si="1441"/>
        <v>DISPOSED</v>
      </c>
      <c r="BT1948" s="129" t="str">
        <f t="shared" si="1442"/>
        <v>Y</v>
      </c>
      <c r="BU1948" s="109">
        <f t="shared" si="1443"/>
        <v>0.98333333333333328</v>
      </c>
      <c r="BV1948" s="109">
        <f t="shared" si="1444"/>
        <v>1</v>
      </c>
      <c r="BW1948" s="109">
        <f t="shared" si="1420"/>
        <v>1.6666666666666718E-2</v>
      </c>
      <c r="BX1948" s="111">
        <f t="shared" si="1445"/>
        <v>0</v>
      </c>
      <c r="BY1948" s="129">
        <f t="shared" si="1446"/>
        <v>-59</v>
      </c>
      <c r="BZ1948" s="111">
        <f t="shared" si="1447"/>
        <v>0</v>
      </c>
      <c r="CA1948" s="138">
        <f t="shared" si="1448"/>
        <v>59</v>
      </c>
      <c r="CB1948" s="111" t="e">
        <f t="shared" si="1462"/>
        <v>#VALUE!</v>
      </c>
      <c r="CC1948" s="129">
        <f t="shared" si="1463"/>
        <v>59</v>
      </c>
      <c r="CD1948" s="129">
        <f t="shared" si="1464"/>
        <v>0</v>
      </c>
      <c r="CG1948" s="129" t="str">
        <f t="shared" si="1449"/>
        <v>Y</v>
      </c>
      <c r="CI1948" s="129" t="str">
        <f t="shared" si="1452"/>
        <v>31-60 DAYS</v>
      </c>
      <c r="CJ1948" s="137">
        <f t="shared" si="1453"/>
        <v>3</v>
      </c>
      <c r="CK1948" s="129" t="str">
        <f t="shared" si="1454"/>
        <v>Booked</v>
      </c>
    </row>
    <row r="1949" spans="1:89" ht="15" customHeight="1" x14ac:dyDescent="0.25">
      <c r="A1949" s="111">
        <v>2967</v>
      </c>
      <c r="B1949" s="128" t="str">
        <f t="shared" si="1435"/>
        <v>N</v>
      </c>
      <c r="C1949" s="128" t="str">
        <f t="shared" si="1436"/>
        <v>N</v>
      </c>
      <c r="D1949" s="117">
        <v>2353934</v>
      </c>
      <c r="E1949" s="135">
        <f t="shared" si="1437"/>
        <v>6</v>
      </c>
      <c r="F1949" s="124">
        <v>41018</v>
      </c>
      <c r="G1949" s="125">
        <v>41165</v>
      </c>
      <c r="H1949" s="117">
        <v>2353934</v>
      </c>
      <c r="I1949" s="124">
        <v>41101</v>
      </c>
      <c r="J1949" s="124">
        <v>41165</v>
      </c>
      <c r="K1949" s="126" t="s">
        <v>564</v>
      </c>
      <c r="L1949" s="127" t="s">
        <v>564</v>
      </c>
      <c r="N1949" s="129" t="s">
        <v>566</v>
      </c>
      <c r="O1949" s="128" t="s">
        <v>917</v>
      </c>
      <c r="P1949" s="129" t="s">
        <v>39</v>
      </c>
      <c r="Q1949" s="111">
        <f t="shared" si="1467"/>
        <v>65</v>
      </c>
      <c r="R1949" s="111">
        <f t="shared" si="1459"/>
        <v>148</v>
      </c>
      <c r="S1949" s="129">
        <v>2</v>
      </c>
      <c r="T1949" s="129">
        <v>4</v>
      </c>
      <c r="U1949" s="129">
        <v>1</v>
      </c>
      <c r="W1949" s="111"/>
      <c r="AC1949" s="130"/>
      <c r="AD1949" s="130">
        <v>33122</v>
      </c>
      <c r="AE1949" s="128" t="s">
        <v>32</v>
      </c>
      <c r="AF1949" s="128" t="s">
        <v>33</v>
      </c>
      <c r="AG1949" s="128" t="s">
        <v>872</v>
      </c>
      <c r="AH1949" s="108" t="s">
        <v>31</v>
      </c>
      <c r="AI1949" s="128" t="s">
        <v>53</v>
      </c>
      <c r="AJ1949" s="129" t="s">
        <v>89</v>
      </c>
      <c r="AK1949" s="129">
        <v>3</v>
      </c>
      <c r="AL1949" s="3" t="s">
        <v>362</v>
      </c>
      <c r="AM1949" s="117">
        <v>3</v>
      </c>
      <c r="AP1949" s="129" t="s">
        <v>56</v>
      </c>
      <c r="AR1949" s="128" t="s">
        <v>50</v>
      </c>
      <c r="AS1949" s="129" t="s">
        <v>57</v>
      </c>
      <c r="BC1949" s="129" t="s">
        <v>38</v>
      </c>
      <c r="BF1949" s="111">
        <f t="shared" si="1460"/>
        <v>65</v>
      </c>
      <c r="BG1949" s="111">
        <f t="shared" si="1461"/>
        <v>65</v>
      </c>
      <c r="BH1949" s="111">
        <f t="shared" si="1432"/>
        <v>148</v>
      </c>
      <c r="BI1949" s="111">
        <f t="shared" si="1433"/>
        <v>21.57377049180328</v>
      </c>
      <c r="BJ1949" s="129">
        <f t="shared" si="1450"/>
        <v>0</v>
      </c>
      <c r="BK1949" s="129">
        <f t="shared" si="1434"/>
        <v>0</v>
      </c>
      <c r="BL1949" s="129" t="str">
        <f t="shared" si="1466"/>
        <v>CONVICTION</v>
      </c>
      <c r="BM1949" s="129" t="str">
        <f t="shared" si="1451"/>
        <v>NONE</v>
      </c>
      <c r="BN1949" s="129" t="s">
        <v>566</v>
      </c>
      <c r="BP1949" s="137" t="str">
        <f t="shared" si="1438"/>
        <v>CONVICTION</v>
      </c>
      <c r="BQ1949" s="128" t="str">
        <f t="shared" si="1439"/>
        <v>Y</v>
      </c>
      <c r="BR1949" s="129" t="str">
        <f t="shared" si="1440"/>
        <v>DETAINED</v>
      </c>
      <c r="BS1949" s="129" t="str">
        <f t="shared" si="1441"/>
        <v>DISPOSED</v>
      </c>
      <c r="BT1949" s="129" t="str">
        <f t="shared" si="1442"/>
        <v>Y</v>
      </c>
      <c r="BU1949" s="109">
        <f t="shared" si="1443"/>
        <v>0.4391891891891892</v>
      </c>
      <c r="BV1949" s="109">
        <f t="shared" si="1444"/>
        <v>1</v>
      </c>
      <c r="BW1949" s="109">
        <f t="shared" si="1420"/>
        <v>0.56081081081081074</v>
      </c>
      <c r="BX1949" s="111">
        <f t="shared" si="1445"/>
        <v>0</v>
      </c>
      <c r="BY1949" s="129">
        <f t="shared" si="1446"/>
        <v>-65</v>
      </c>
      <c r="BZ1949" s="111">
        <f t="shared" si="1447"/>
        <v>0</v>
      </c>
      <c r="CA1949" s="138">
        <f t="shared" si="1448"/>
        <v>65</v>
      </c>
      <c r="CB1949" s="111" t="e">
        <f t="shared" si="1462"/>
        <v>#VALUE!</v>
      </c>
      <c r="CC1949" s="129">
        <f t="shared" si="1463"/>
        <v>65</v>
      </c>
      <c r="CD1949" s="129">
        <f t="shared" si="1464"/>
        <v>0</v>
      </c>
      <c r="CG1949" s="129" t="str">
        <f t="shared" si="1449"/>
        <v>Y</v>
      </c>
      <c r="CI1949" s="129" t="str">
        <f t="shared" si="1452"/>
        <v>61-90 DAYS</v>
      </c>
      <c r="CJ1949" s="137">
        <f t="shared" si="1453"/>
        <v>4</v>
      </c>
      <c r="CK1949" s="129" t="str">
        <f t="shared" si="1454"/>
        <v>Booked</v>
      </c>
    </row>
    <row r="1950" spans="1:89" ht="15.75" customHeight="1" x14ac:dyDescent="0.25">
      <c r="A1950" s="111">
        <v>1595</v>
      </c>
      <c r="B1950" s="128" t="str">
        <f t="shared" si="1435"/>
        <v>N</v>
      </c>
      <c r="C1950" s="128" t="str">
        <f t="shared" si="1436"/>
        <v>N</v>
      </c>
      <c r="D1950" s="117">
        <v>2354167</v>
      </c>
      <c r="E1950" s="135">
        <f t="shared" si="1437"/>
        <v>2</v>
      </c>
      <c r="F1950" s="124">
        <v>40968</v>
      </c>
      <c r="G1950" s="125">
        <v>40970</v>
      </c>
      <c r="H1950" s="117">
        <v>2354167</v>
      </c>
      <c r="I1950" s="124">
        <v>40968</v>
      </c>
      <c r="J1950" s="124">
        <v>40970</v>
      </c>
      <c r="K1950" s="126">
        <v>5000</v>
      </c>
      <c r="L1950" s="127" t="s">
        <v>569</v>
      </c>
      <c r="N1950" s="129" t="str">
        <f>IF(M1950&gt;1/1/1,"Y","N")</f>
        <v>N</v>
      </c>
      <c r="O1950" s="128" t="s">
        <v>917</v>
      </c>
      <c r="P1950" s="129" t="s">
        <v>589</v>
      </c>
      <c r="Q1950" s="111">
        <f t="shared" si="1467"/>
        <v>3</v>
      </c>
      <c r="R1950" s="111">
        <f t="shared" si="1459"/>
        <v>3</v>
      </c>
      <c r="S1950" s="129">
        <v>1</v>
      </c>
      <c r="T1950" s="129">
        <v>20</v>
      </c>
      <c r="W1950" s="111"/>
      <c r="AC1950" s="130"/>
      <c r="AD1950" s="130">
        <v>25352</v>
      </c>
      <c r="AE1950" s="128" t="s">
        <v>46</v>
      </c>
      <c r="AF1950" s="128" t="s">
        <v>69</v>
      </c>
      <c r="AG1950" s="128" t="s">
        <v>874</v>
      </c>
      <c r="AH1950" s="108" t="s">
        <v>58</v>
      </c>
      <c r="AI1950" s="128" t="s">
        <v>70</v>
      </c>
      <c r="AJ1950" s="129" t="s">
        <v>48</v>
      </c>
      <c r="AK1950" s="129">
        <v>2</v>
      </c>
      <c r="AL1950" s="3" t="s">
        <v>48</v>
      </c>
      <c r="AP1950" s="129" t="s">
        <v>43</v>
      </c>
      <c r="AR1950" s="128" t="s">
        <v>44</v>
      </c>
      <c r="AS1950" s="129" t="s">
        <v>45</v>
      </c>
      <c r="AT1950" s="129" t="s">
        <v>352</v>
      </c>
      <c r="BC1950" s="129" t="s">
        <v>38</v>
      </c>
      <c r="BF1950" s="111">
        <f t="shared" si="1460"/>
        <v>3</v>
      </c>
      <c r="BG1950" s="111">
        <f t="shared" si="1461"/>
        <v>3</v>
      </c>
      <c r="BH1950" s="111">
        <f t="shared" si="1432"/>
        <v>3</v>
      </c>
      <c r="BI1950" s="111">
        <f t="shared" si="1433"/>
        <v>42.666666666666664</v>
      </c>
      <c r="BJ1950" s="129">
        <f t="shared" si="1450"/>
        <v>0</v>
      </c>
      <c r="BK1950" s="129">
        <f t="shared" si="1434"/>
        <v>0</v>
      </c>
      <c r="BL1950" s="129" t="str">
        <f t="shared" si="1466"/>
        <v>DEFERRED</v>
      </c>
      <c r="BM1950" s="129" t="str">
        <f t="shared" si="1451"/>
        <v>NONE</v>
      </c>
      <c r="BN1950" s="129" t="s">
        <v>566</v>
      </c>
      <c r="BP1950" s="137" t="str">
        <f t="shared" si="1438"/>
        <v>DEFERRED</v>
      </c>
      <c r="BQ1950" s="128" t="str">
        <f t="shared" si="1439"/>
        <v>Y</v>
      </c>
      <c r="BR1950" s="129" t="str">
        <f t="shared" si="1440"/>
        <v>DETAINED</v>
      </c>
      <c r="BS1950" s="129" t="str">
        <f t="shared" si="1441"/>
        <v>DISPOSED</v>
      </c>
      <c r="BT1950" s="129" t="str">
        <f t="shared" si="1442"/>
        <v>Y</v>
      </c>
      <c r="BU1950" s="109">
        <f t="shared" si="1443"/>
        <v>1</v>
      </c>
      <c r="BV1950" s="109">
        <f t="shared" si="1444"/>
        <v>1</v>
      </c>
      <c r="BW1950" s="109">
        <f t="shared" si="1420"/>
        <v>0</v>
      </c>
      <c r="BX1950" s="111">
        <f t="shared" si="1445"/>
        <v>0</v>
      </c>
      <c r="BY1950" s="129">
        <f t="shared" si="1446"/>
        <v>-3</v>
      </c>
      <c r="BZ1950" s="111">
        <f t="shared" si="1447"/>
        <v>0</v>
      </c>
      <c r="CA1950" s="138">
        <f t="shared" si="1448"/>
        <v>3</v>
      </c>
      <c r="CB1950" s="111" t="e">
        <f t="shared" si="1462"/>
        <v>#VALUE!</v>
      </c>
      <c r="CC1950" s="129">
        <f t="shared" si="1463"/>
        <v>3</v>
      </c>
      <c r="CD1950" s="129">
        <f t="shared" si="1464"/>
        <v>0</v>
      </c>
      <c r="CG1950" s="129" t="str">
        <f t="shared" si="1449"/>
        <v>Y</v>
      </c>
      <c r="CI1950" s="129" t="str">
        <f t="shared" si="1452"/>
        <v>0-10 DAYS</v>
      </c>
      <c r="CJ1950" s="137">
        <f t="shared" si="1453"/>
        <v>1</v>
      </c>
      <c r="CK1950" s="129" t="str">
        <f t="shared" si="1454"/>
        <v>Booked</v>
      </c>
    </row>
    <row r="1951" spans="1:89" ht="15.75" customHeight="1" x14ac:dyDescent="0.25">
      <c r="A1951" s="111">
        <v>3238</v>
      </c>
      <c r="B1951" s="128" t="str">
        <f t="shared" si="1435"/>
        <v>N</v>
      </c>
      <c r="C1951" s="128" t="str">
        <f t="shared" si="1436"/>
        <v>N</v>
      </c>
      <c r="D1951" s="117">
        <v>2354375</v>
      </c>
      <c r="E1951" s="135">
        <f t="shared" si="1437"/>
        <v>5</v>
      </c>
      <c r="F1951" s="124">
        <v>41028</v>
      </c>
      <c r="G1951" s="125">
        <v>41050</v>
      </c>
      <c r="H1951" s="117">
        <v>2354375</v>
      </c>
      <c r="I1951" s="124">
        <v>41028</v>
      </c>
      <c r="J1951" s="124">
        <v>41030</v>
      </c>
      <c r="K1951" s="126">
        <v>5000</v>
      </c>
      <c r="L1951" s="127" t="s">
        <v>569</v>
      </c>
      <c r="M1951" s="125">
        <v>41030</v>
      </c>
      <c r="N1951" s="129" t="str">
        <f>IF(M1951&gt;1/1/1,"Y","N")</f>
        <v>Y</v>
      </c>
      <c r="O1951" s="128" t="s">
        <v>76</v>
      </c>
      <c r="P1951" s="129" t="s">
        <v>39</v>
      </c>
      <c r="Q1951" s="111">
        <f t="shared" si="1467"/>
        <v>3</v>
      </c>
      <c r="R1951" s="111">
        <f t="shared" si="1459"/>
        <v>23</v>
      </c>
      <c r="S1951" s="129">
        <v>2</v>
      </c>
      <c r="T1951" s="129">
        <v>1</v>
      </c>
      <c r="U1951" s="129">
        <v>1</v>
      </c>
      <c r="W1951" s="111"/>
      <c r="AB1951" s="131" t="s">
        <v>112</v>
      </c>
      <c r="AC1951" s="130"/>
      <c r="AD1951" s="130">
        <v>33200</v>
      </c>
      <c r="AE1951" s="128" t="s">
        <v>32</v>
      </c>
      <c r="AF1951" s="128" t="s">
        <v>40</v>
      </c>
      <c r="AG1951" s="128" t="s">
        <v>41</v>
      </c>
      <c r="AH1951" s="108" t="s">
        <v>31</v>
      </c>
      <c r="AI1951" s="128" t="s">
        <v>85</v>
      </c>
      <c r="AJ1951" s="129" t="s">
        <v>89</v>
      </c>
      <c r="AK1951" s="129">
        <v>4</v>
      </c>
      <c r="AL1951" s="3" t="s">
        <v>992</v>
      </c>
      <c r="AN1951" s="117">
        <v>6</v>
      </c>
      <c r="AP1951" s="129" t="s">
        <v>426</v>
      </c>
      <c r="AR1951" s="128" t="s">
        <v>44</v>
      </c>
      <c r="AS1951" s="129" t="s">
        <v>64</v>
      </c>
      <c r="BC1951" s="129" t="s">
        <v>38</v>
      </c>
      <c r="BF1951" s="111">
        <f t="shared" si="1460"/>
        <v>3</v>
      </c>
      <c r="BG1951" s="111">
        <f t="shared" si="1461"/>
        <v>23</v>
      </c>
      <c r="BH1951" s="111">
        <f t="shared" si="1432"/>
        <v>23</v>
      </c>
      <c r="BI1951" s="111">
        <f t="shared" si="1433"/>
        <v>21.387978142076502</v>
      </c>
      <c r="BJ1951" s="129">
        <f>(G1951-J1951)+(M1951-G1951)</f>
        <v>0</v>
      </c>
      <c r="BK1951" s="129">
        <f t="shared" si="1434"/>
        <v>-20</v>
      </c>
      <c r="BL1951" s="129" t="str">
        <f t="shared" si="1466"/>
        <v>CONVICTION</v>
      </c>
      <c r="BM1951" s="129" t="s">
        <v>76</v>
      </c>
      <c r="BN1951" s="129" t="s">
        <v>88</v>
      </c>
      <c r="BP1951" s="137" t="str">
        <f t="shared" si="1438"/>
        <v>CONVICTION</v>
      </c>
      <c r="BQ1951" s="128" t="str">
        <f t="shared" si="1439"/>
        <v>Y</v>
      </c>
      <c r="BR1951" s="129" t="str">
        <f>IF(J1951&lt;G1951,"ON BOND",0)</f>
        <v>ON BOND</v>
      </c>
      <c r="BS1951" s="129" t="str">
        <f t="shared" si="1441"/>
        <v>DISPOSED</v>
      </c>
      <c r="BT1951" s="129" t="str">
        <f t="shared" si="1442"/>
        <v>Y</v>
      </c>
      <c r="BU1951" s="109">
        <f t="shared" si="1443"/>
        <v>0.13043478260869565</v>
      </c>
      <c r="BV1951" s="109">
        <f t="shared" si="1444"/>
        <v>0.13043478260869565</v>
      </c>
      <c r="BW1951" s="109">
        <f t="shared" si="1420"/>
        <v>0</v>
      </c>
      <c r="BX1951" s="111">
        <f t="shared" si="1445"/>
        <v>0</v>
      </c>
      <c r="BY1951" s="129">
        <f t="shared" si="1446"/>
        <v>-3</v>
      </c>
      <c r="BZ1951" s="111">
        <f t="shared" si="1447"/>
        <v>0</v>
      </c>
      <c r="CA1951" s="138">
        <f t="shared" si="1448"/>
        <v>3</v>
      </c>
      <c r="CB1951" s="111" t="e">
        <f t="shared" si="1462"/>
        <v>#VALUE!</v>
      </c>
      <c r="CC1951" s="129">
        <f>M1951-I1951+1</f>
        <v>3</v>
      </c>
      <c r="CD1951" s="111">
        <f>CC1951-BF1951</f>
        <v>0</v>
      </c>
      <c r="CG1951" s="129" t="str">
        <f t="shared" si="1449"/>
        <v>Y</v>
      </c>
      <c r="CI1951" s="129" t="str">
        <f t="shared" si="1452"/>
        <v>0-10 DAYS</v>
      </c>
      <c r="CJ1951" s="137">
        <f t="shared" si="1453"/>
        <v>1</v>
      </c>
      <c r="CK1951" s="129" t="str">
        <f t="shared" si="1454"/>
        <v>Booked</v>
      </c>
    </row>
    <row r="1952" spans="1:89" ht="15.75" customHeight="1" x14ac:dyDescent="0.25">
      <c r="A1952" s="111">
        <v>222</v>
      </c>
      <c r="B1952" s="128" t="str">
        <f t="shared" si="1435"/>
        <v>N</v>
      </c>
      <c r="C1952" s="128" t="str">
        <f t="shared" si="1436"/>
        <v>N</v>
      </c>
      <c r="D1952" s="117">
        <v>2354654</v>
      </c>
      <c r="E1952" s="135">
        <f t="shared" si="1437"/>
        <v>4</v>
      </c>
      <c r="F1952" s="124">
        <v>40661</v>
      </c>
      <c r="G1952" s="125">
        <v>40940</v>
      </c>
      <c r="H1952" s="117">
        <v>2354654</v>
      </c>
      <c r="I1952" s="124">
        <v>40667</v>
      </c>
      <c r="J1952" s="124">
        <v>40670</v>
      </c>
      <c r="K1952" s="126">
        <v>10000</v>
      </c>
      <c r="L1952" s="127" t="s">
        <v>570</v>
      </c>
      <c r="M1952" s="125">
        <v>40670</v>
      </c>
      <c r="N1952" s="129" t="str">
        <f>IF(M1952&gt;1/1/1,"Y","N")</f>
        <v>Y</v>
      </c>
      <c r="O1952" s="128" t="s">
        <v>76</v>
      </c>
      <c r="P1952" s="129" t="s">
        <v>77</v>
      </c>
      <c r="Q1952" s="111">
        <f t="shared" si="1467"/>
        <v>4</v>
      </c>
      <c r="R1952" s="111">
        <f t="shared" si="1459"/>
        <v>280</v>
      </c>
      <c r="S1952" s="129">
        <v>1</v>
      </c>
      <c r="T1952" s="129">
        <v>0</v>
      </c>
      <c r="U1952" s="129">
        <v>1</v>
      </c>
      <c r="W1952" s="111"/>
      <c r="AC1952" s="130"/>
      <c r="AD1952" s="130">
        <v>31757</v>
      </c>
      <c r="AE1952" s="128" t="s">
        <v>32</v>
      </c>
      <c r="AF1952" s="128" t="s">
        <v>33</v>
      </c>
      <c r="AG1952" s="128" t="s">
        <v>872</v>
      </c>
      <c r="AH1952" s="108" t="s">
        <v>58</v>
      </c>
      <c r="AI1952" s="128" t="s">
        <v>113</v>
      </c>
      <c r="AJ1952" s="129" t="s">
        <v>89</v>
      </c>
      <c r="AK1952" s="129">
        <v>9</v>
      </c>
      <c r="AL1952" s="3" t="s">
        <v>991</v>
      </c>
      <c r="AO1952" s="128">
        <v>40</v>
      </c>
      <c r="AP1952" s="129" t="s">
        <v>150</v>
      </c>
      <c r="AR1952" s="128" t="s">
        <v>67</v>
      </c>
      <c r="AS1952" s="129" t="s">
        <v>74</v>
      </c>
      <c r="BC1952" s="129" t="s">
        <v>38</v>
      </c>
      <c r="BF1952" s="111">
        <f t="shared" si="1460"/>
        <v>4</v>
      </c>
      <c r="BG1952" s="111">
        <f t="shared" si="1461"/>
        <v>274</v>
      </c>
      <c r="BH1952" s="111">
        <f t="shared" si="1432"/>
        <v>280</v>
      </c>
      <c r="BI1952" s="111">
        <f t="shared" si="1433"/>
        <v>24.327868852459016</v>
      </c>
      <c r="BJ1952" s="129">
        <f>(G1952-J1952)+(M1952-G1952)</f>
        <v>0</v>
      </c>
      <c r="BK1952" s="129">
        <f t="shared" si="1434"/>
        <v>-270</v>
      </c>
      <c r="BL1952" s="129" t="str">
        <f t="shared" si="1466"/>
        <v>CONVICTION</v>
      </c>
      <c r="BM1952" s="129" t="s">
        <v>76</v>
      </c>
      <c r="BN1952" s="129" t="s">
        <v>88</v>
      </c>
      <c r="BP1952" s="137" t="str">
        <f t="shared" si="1438"/>
        <v>CONVICTION</v>
      </c>
      <c r="BQ1952" s="128" t="str">
        <f t="shared" si="1439"/>
        <v>Y</v>
      </c>
      <c r="BR1952" s="129" t="str">
        <f t="shared" si="1440"/>
        <v>ON BOND</v>
      </c>
      <c r="BS1952" s="129" t="str">
        <f t="shared" si="1441"/>
        <v>DISPOSED</v>
      </c>
      <c r="BT1952" s="129" t="str">
        <f t="shared" si="1442"/>
        <v>Y</v>
      </c>
      <c r="BU1952" s="109">
        <f t="shared" si="1443"/>
        <v>1.4285714285714285E-2</v>
      </c>
      <c r="BV1952" s="109">
        <f t="shared" si="1444"/>
        <v>1.4598540145985401E-2</v>
      </c>
      <c r="BW1952" s="109">
        <f t="shared" si="1420"/>
        <v>3.1282586027111571E-4</v>
      </c>
      <c r="BX1952" s="111">
        <f t="shared" si="1445"/>
        <v>0</v>
      </c>
      <c r="BY1952" s="129">
        <f t="shared" si="1446"/>
        <v>-4</v>
      </c>
      <c r="BZ1952" s="111">
        <f t="shared" si="1447"/>
        <v>0</v>
      </c>
      <c r="CA1952" s="138">
        <f t="shared" si="1448"/>
        <v>4</v>
      </c>
      <c r="CB1952" s="111" t="e">
        <f t="shared" si="1462"/>
        <v>#VALUE!</v>
      </c>
      <c r="CC1952" s="129">
        <f>M1952-I1952+1</f>
        <v>4</v>
      </c>
      <c r="CD1952" s="111">
        <f>CC1952-BF1952</f>
        <v>0</v>
      </c>
      <c r="CG1952" s="129" t="str">
        <f t="shared" si="1449"/>
        <v>Y</v>
      </c>
      <c r="CI1952" s="129" t="str">
        <f t="shared" si="1452"/>
        <v>0-10 DAYS</v>
      </c>
      <c r="CJ1952" s="137">
        <f t="shared" si="1453"/>
        <v>1</v>
      </c>
      <c r="CK1952" s="129" t="str">
        <f t="shared" si="1454"/>
        <v>Booked</v>
      </c>
    </row>
    <row r="1953" spans="1:89" ht="15.75" customHeight="1" x14ac:dyDescent="0.25">
      <c r="A1953" s="111">
        <v>2339</v>
      </c>
      <c r="B1953" s="128" t="str">
        <f t="shared" si="1435"/>
        <v>N</v>
      </c>
      <c r="C1953" s="128" t="str">
        <f t="shared" si="1436"/>
        <v>N</v>
      </c>
      <c r="D1953" s="117">
        <v>2354812</v>
      </c>
      <c r="E1953" s="135">
        <f t="shared" si="1437"/>
        <v>6</v>
      </c>
      <c r="F1953" s="124">
        <v>40997</v>
      </c>
      <c r="G1953" s="125">
        <v>41108</v>
      </c>
      <c r="H1953" s="117">
        <v>2354812</v>
      </c>
      <c r="I1953" s="124">
        <v>40997</v>
      </c>
      <c r="J1953" s="124">
        <v>41108</v>
      </c>
      <c r="K1953" s="126">
        <v>50000</v>
      </c>
      <c r="L1953" s="129" t="s">
        <v>572</v>
      </c>
      <c r="N1953" s="129" t="str">
        <f>IF(M1953&gt;1/1/1,"Y","N")</f>
        <v>N</v>
      </c>
      <c r="O1953" s="128" t="s">
        <v>917</v>
      </c>
      <c r="P1953" s="129" t="s">
        <v>39</v>
      </c>
      <c r="Q1953" s="111">
        <f t="shared" si="1467"/>
        <v>112</v>
      </c>
      <c r="R1953" s="111">
        <f t="shared" si="1459"/>
        <v>112</v>
      </c>
      <c r="S1953" s="129">
        <v>1</v>
      </c>
      <c r="T1953" s="129">
        <v>5</v>
      </c>
      <c r="U1953" s="129">
        <v>1</v>
      </c>
      <c r="W1953" s="111"/>
      <c r="AC1953" s="130"/>
      <c r="AD1953" s="130">
        <v>32472</v>
      </c>
      <c r="AE1953" s="128" t="s">
        <v>32</v>
      </c>
      <c r="AF1953" s="128" t="s">
        <v>33</v>
      </c>
      <c r="AG1953" s="128" t="s">
        <v>872</v>
      </c>
      <c r="AH1953" s="108" t="s">
        <v>58</v>
      </c>
      <c r="AI1953" s="128" t="s">
        <v>59</v>
      </c>
      <c r="AJ1953" s="129" t="s">
        <v>89</v>
      </c>
      <c r="AK1953" s="129">
        <v>10</v>
      </c>
      <c r="AL1953" s="3" t="s">
        <v>362</v>
      </c>
      <c r="AM1953" s="114">
        <v>12</v>
      </c>
      <c r="AN1953" s="114"/>
      <c r="AP1953" s="129" t="s">
        <v>105</v>
      </c>
      <c r="AR1953" s="128" t="s">
        <v>92</v>
      </c>
      <c r="AS1953" s="129" t="s">
        <v>106</v>
      </c>
      <c r="BC1953" s="129" t="s">
        <v>38</v>
      </c>
      <c r="BF1953" s="111">
        <f t="shared" si="1460"/>
        <v>112</v>
      </c>
      <c r="BG1953" s="111">
        <f t="shared" si="1461"/>
        <v>112</v>
      </c>
      <c r="BH1953" s="111">
        <f t="shared" si="1432"/>
        <v>112</v>
      </c>
      <c r="BI1953" s="111">
        <f t="shared" si="1433"/>
        <v>23.292349726775956</v>
      </c>
      <c r="BJ1953" s="129">
        <f t="shared" si="1450"/>
        <v>0</v>
      </c>
      <c r="BK1953" s="129">
        <f t="shared" si="1434"/>
        <v>0</v>
      </c>
      <c r="BL1953" s="129" t="str">
        <f t="shared" si="1466"/>
        <v>CONVICTION</v>
      </c>
      <c r="BM1953" s="129" t="str">
        <f t="shared" si="1451"/>
        <v>NONE</v>
      </c>
      <c r="BN1953" s="129" t="s">
        <v>566</v>
      </c>
      <c r="BP1953" s="137" t="str">
        <f t="shared" si="1438"/>
        <v>CONVICTION</v>
      </c>
      <c r="BQ1953" s="128" t="str">
        <f t="shared" si="1439"/>
        <v>Y</v>
      </c>
      <c r="BR1953" s="129" t="str">
        <f t="shared" si="1440"/>
        <v>DETAINED</v>
      </c>
      <c r="BS1953" s="129" t="str">
        <f t="shared" si="1441"/>
        <v>DISPOSED</v>
      </c>
      <c r="BT1953" s="129" t="str">
        <f t="shared" si="1442"/>
        <v>Y</v>
      </c>
      <c r="BU1953" s="109">
        <f t="shared" si="1443"/>
        <v>1</v>
      </c>
      <c r="BV1953" s="109">
        <f t="shared" si="1444"/>
        <v>1</v>
      </c>
      <c r="BW1953" s="109">
        <f t="shared" ref="BW1953:BW1962" si="1468">BV1953-BU1953</f>
        <v>0</v>
      </c>
      <c r="BX1953" s="111">
        <f t="shared" si="1445"/>
        <v>0</v>
      </c>
      <c r="BY1953" s="129">
        <f t="shared" si="1446"/>
        <v>-112</v>
      </c>
      <c r="BZ1953" s="111">
        <f t="shared" si="1447"/>
        <v>0</v>
      </c>
      <c r="CA1953" s="138">
        <f t="shared" si="1448"/>
        <v>112</v>
      </c>
      <c r="CB1953" s="111" t="e">
        <f t="shared" si="1462"/>
        <v>#VALUE!</v>
      </c>
      <c r="CC1953" s="129">
        <f t="shared" ref="CC1953:CC1958" si="1469">G1953-I1953+1</f>
        <v>112</v>
      </c>
      <c r="CD1953" s="129">
        <f t="shared" ref="CD1953:CD1958" si="1470">G1953-J1953</f>
        <v>0</v>
      </c>
      <c r="CG1953" s="129" t="str">
        <f t="shared" si="1449"/>
        <v>Y</v>
      </c>
      <c r="CI1953" s="129" t="str">
        <f t="shared" si="1452"/>
        <v>91-120 DAYS</v>
      </c>
      <c r="CJ1953" s="137">
        <f t="shared" si="1453"/>
        <v>0</v>
      </c>
      <c r="CK1953" s="129" t="str">
        <f t="shared" si="1454"/>
        <v>Booked</v>
      </c>
    </row>
    <row r="1954" spans="1:89" ht="15.75" customHeight="1" x14ac:dyDescent="0.25">
      <c r="A1954" s="111">
        <v>466</v>
      </c>
      <c r="B1954" s="128" t="str">
        <f t="shared" si="1435"/>
        <v>N</v>
      </c>
      <c r="C1954" s="128" t="str">
        <f t="shared" si="1436"/>
        <v>N</v>
      </c>
      <c r="D1954" s="117">
        <v>2355138</v>
      </c>
      <c r="E1954" s="135">
        <f t="shared" si="1437"/>
        <v>5</v>
      </c>
      <c r="F1954" s="124">
        <v>40927</v>
      </c>
      <c r="G1954" s="125">
        <v>41011</v>
      </c>
      <c r="H1954" s="117">
        <v>2355138</v>
      </c>
      <c r="I1954" s="124">
        <v>40928</v>
      </c>
      <c r="J1954" s="124">
        <v>41011</v>
      </c>
      <c r="K1954" s="126">
        <v>15000</v>
      </c>
      <c r="L1954" s="127" t="s">
        <v>571</v>
      </c>
      <c r="N1954" s="129" t="str">
        <f>IF(M1954&gt;1/1/1,"Y","N")</f>
        <v>N</v>
      </c>
      <c r="O1954" s="128" t="s">
        <v>917</v>
      </c>
      <c r="P1954" s="129" t="s">
        <v>39</v>
      </c>
      <c r="Q1954" s="111">
        <f t="shared" si="1467"/>
        <v>84</v>
      </c>
      <c r="R1954" s="111">
        <f t="shared" si="1459"/>
        <v>85</v>
      </c>
      <c r="S1954" s="129">
        <v>2</v>
      </c>
      <c r="T1954" s="129">
        <v>0</v>
      </c>
      <c r="U1954" s="129">
        <v>1</v>
      </c>
      <c r="W1954" s="111"/>
      <c r="AC1954" s="130"/>
      <c r="AD1954" s="130">
        <v>20473</v>
      </c>
      <c r="AE1954" s="128" t="s">
        <v>32</v>
      </c>
      <c r="AF1954" s="128" t="s">
        <v>69</v>
      </c>
      <c r="AG1954" s="128" t="s">
        <v>874</v>
      </c>
      <c r="AH1954" s="108" t="s">
        <v>31</v>
      </c>
      <c r="AI1954" s="128" t="s">
        <v>47</v>
      </c>
      <c r="AJ1954" s="129" t="s">
        <v>89</v>
      </c>
      <c r="AK1954" s="129">
        <v>4</v>
      </c>
      <c r="AL1954" s="3" t="s">
        <v>992</v>
      </c>
      <c r="AN1954" s="117">
        <v>6</v>
      </c>
      <c r="AP1954" s="129" t="s">
        <v>43</v>
      </c>
      <c r="AR1954" s="128" t="s">
        <v>44</v>
      </c>
      <c r="AS1954" s="129" t="s">
        <v>45</v>
      </c>
      <c r="BC1954" s="129" t="s">
        <v>38</v>
      </c>
      <c r="BF1954" s="111">
        <f t="shared" si="1460"/>
        <v>84</v>
      </c>
      <c r="BG1954" s="111">
        <f t="shared" si="1461"/>
        <v>84</v>
      </c>
      <c r="BH1954" s="111">
        <f t="shared" si="1432"/>
        <v>85</v>
      </c>
      <c r="BI1954" s="111">
        <f t="shared" si="1433"/>
        <v>55.885245901639344</v>
      </c>
      <c r="BJ1954" s="129">
        <f t="shared" si="1450"/>
        <v>0</v>
      </c>
      <c r="BK1954" s="129">
        <f t="shared" si="1434"/>
        <v>0</v>
      </c>
      <c r="BL1954" s="129" t="str">
        <f t="shared" si="1466"/>
        <v>CONVICTION</v>
      </c>
      <c r="BM1954" s="129" t="str">
        <f t="shared" si="1451"/>
        <v>NONE</v>
      </c>
      <c r="BN1954" s="129" t="s">
        <v>566</v>
      </c>
      <c r="BP1954" s="137" t="str">
        <f t="shared" si="1438"/>
        <v>CONVICTION</v>
      </c>
      <c r="BQ1954" s="128" t="str">
        <f t="shared" si="1439"/>
        <v>Y</v>
      </c>
      <c r="BR1954" s="129" t="str">
        <f t="shared" si="1440"/>
        <v>DETAINED</v>
      </c>
      <c r="BS1954" s="129" t="str">
        <f t="shared" si="1441"/>
        <v>DISPOSED</v>
      </c>
      <c r="BT1954" s="129" t="str">
        <f t="shared" si="1442"/>
        <v>Y</v>
      </c>
      <c r="BU1954" s="109">
        <f t="shared" si="1443"/>
        <v>0.9882352941176471</v>
      </c>
      <c r="BV1954" s="109">
        <f t="shared" si="1444"/>
        <v>1</v>
      </c>
      <c r="BW1954" s="109">
        <f t="shared" si="1468"/>
        <v>1.1764705882352899E-2</v>
      </c>
      <c r="BX1954" s="111">
        <f t="shared" si="1445"/>
        <v>0</v>
      </c>
      <c r="BY1954" s="129">
        <f t="shared" si="1446"/>
        <v>-84</v>
      </c>
      <c r="BZ1954" s="111">
        <f t="shared" si="1447"/>
        <v>0</v>
      </c>
      <c r="CA1954" s="138">
        <f t="shared" si="1448"/>
        <v>84</v>
      </c>
      <c r="CB1954" s="111" t="e">
        <f t="shared" si="1462"/>
        <v>#VALUE!</v>
      </c>
      <c r="CC1954" s="129">
        <f t="shared" si="1469"/>
        <v>84</v>
      </c>
      <c r="CD1954" s="129">
        <f t="shared" si="1470"/>
        <v>0</v>
      </c>
      <c r="CG1954" s="129" t="str">
        <f t="shared" si="1449"/>
        <v>Y</v>
      </c>
      <c r="CI1954" s="129" t="str">
        <f t="shared" si="1452"/>
        <v>61-90 DAYS</v>
      </c>
      <c r="CJ1954" s="137">
        <f t="shared" si="1453"/>
        <v>4</v>
      </c>
      <c r="CK1954" s="129" t="str">
        <f t="shared" si="1454"/>
        <v>Booked</v>
      </c>
    </row>
    <row r="1955" spans="1:89" ht="15.75" customHeight="1" x14ac:dyDescent="0.25">
      <c r="A1955" s="111">
        <v>2750</v>
      </c>
      <c r="B1955" s="128" t="str">
        <f t="shared" si="1435"/>
        <v>N</v>
      </c>
      <c r="C1955" s="128" t="str">
        <f t="shared" si="1436"/>
        <v>N</v>
      </c>
      <c r="D1955" s="117">
        <v>2355212</v>
      </c>
      <c r="E1955" s="135">
        <f t="shared" si="1437"/>
        <v>4</v>
      </c>
      <c r="F1955" s="124">
        <v>41011</v>
      </c>
      <c r="G1955" s="125">
        <v>41113</v>
      </c>
      <c r="H1955" s="117">
        <v>2355212</v>
      </c>
      <c r="I1955" s="124">
        <v>41011</v>
      </c>
      <c r="J1955" s="124">
        <v>41113</v>
      </c>
      <c r="K1955" s="126" t="s">
        <v>564</v>
      </c>
      <c r="L1955" s="127" t="s">
        <v>564</v>
      </c>
      <c r="N1955" s="129" t="s">
        <v>566</v>
      </c>
      <c r="O1955" s="128" t="s">
        <v>917</v>
      </c>
      <c r="P1955" s="129" t="s">
        <v>39</v>
      </c>
      <c r="Q1955" s="111">
        <f t="shared" si="1467"/>
        <v>103</v>
      </c>
      <c r="R1955" s="111">
        <f t="shared" si="1459"/>
        <v>103</v>
      </c>
      <c r="S1955" s="129">
        <v>1</v>
      </c>
      <c r="T1955" s="129">
        <v>3</v>
      </c>
      <c r="U1955" s="129">
        <v>1</v>
      </c>
      <c r="W1955" s="111"/>
      <c r="AC1955" s="130"/>
      <c r="AD1955" s="130">
        <v>31791</v>
      </c>
      <c r="AE1955" s="128" t="s">
        <v>32</v>
      </c>
      <c r="AF1955" s="128" t="s">
        <v>69</v>
      </c>
      <c r="AG1955" s="128" t="s">
        <v>874</v>
      </c>
      <c r="AH1955" s="108" t="s">
        <v>58</v>
      </c>
      <c r="AI1955" s="128" t="s">
        <v>70</v>
      </c>
      <c r="AJ1955" s="129" t="s">
        <v>89</v>
      </c>
      <c r="AK1955" s="129">
        <v>5</v>
      </c>
      <c r="AL1955" s="3" t="s">
        <v>991</v>
      </c>
      <c r="AO1955" s="128">
        <v>60</v>
      </c>
      <c r="AP1955" s="129" t="s">
        <v>43</v>
      </c>
      <c r="AR1955" s="128" t="s">
        <v>44</v>
      </c>
      <c r="AS1955" s="129" t="s">
        <v>45</v>
      </c>
      <c r="BC1955" s="129" t="s">
        <v>52</v>
      </c>
      <c r="BF1955" s="111">
        <f t="shared" si="1460"/>
        <v>103</v>
      </c>
      <c r="BG1955" s="111">
        <f t="shared" si="1461"/>
        <v>103</v>
      </c>
      <c r="BH1955" s="111">
        <f t="shared" si="1432"/>
        <v>103</v>
      </c>
      <c r="BI1955" s="111">
        <f t="shared" si="1433"/>
        <v>25.191256830601095</v>
      </c>
      <c r="BJ1955" s="129">
        <f t="shared" si="1450"/>
        <v>0</v>
      </c>
      <c r="BK1955" s="129">
        <f t="shared" si="1434"/>
        <v>0</v>
      </c>
      <c r="BL1955" s="129" t="str">
        <f t="shared" si="1466"/>
        <v>CONVICTION</v>
      </c>
      <c r="BM1955" s="129" t="str">
        <f t="shared" si="1451"/>
        <v>NONE</v>
      </c>
      <c r="BN1955" s="129" t="s">
        <v>566</v>
      </c>
      <c r="BP1955" s="137" t="str">
        <f t="shared" si="1438"/>
        <v>CONVICTION</v>
      </c>
      <c r="BQ1955" s="128" t="str">
        <f t="shared" si="1439"/>
        <v>Y</v>
      </c>
      <c r="BR1955" s="129" t="str">
        <f t="shared" si="1440"/>
        <v>DETAINED</v>
      </c>
      <c r="BS1955" s="129" t="str">
        <f t="shared" si="1441"/>
        <v>DISPOSED</v>
      </c>
      <c r="BT1955" s="129" t="str">
        <f t="shared" si="1442"/>
        <v>Y</v>
      </c>
      <c r="BU1955" s="109">
        <f t="shared" si="1443"/>
        <v>1</v>
      </c>
      <c r="BV1955" s="109">
        <f t="shared" si="1444"/>
        <v>1</v>
      </c>
      <c r="BW1955" s="109">
        <f t="shared" si="1468"/>
        <v>0</v>
      </c>
      <c r="BX1955" s="111">
        <f t="shared" si="1445"/>
        <v>0</v>
      </c>
      <c r="BY1955" s="129">
        <f t="shared" si="1446"/>
        <v>-103</v>
      </c>
      <c r="BZ1955" s="111">
        <f t="shared" si="1447"/>
        <v>0</v>
      </c>
      <c r="CA1955" s="138">
        <f t="shared" si="1448"/>
        <v>103</v>
      </c>
      <c r="CB1955" s="111" t="e">
        <f t="shared" si="1462"/>
        <v>#VALUE!</v>
      </c>
      <c r="CC1955" s="129">
        <f t="shared" si="1469"/>
        <v>103</v>
      </c>
      <c r="CD1955" s="129">
        <f t="shared" si="1470"/>
        <v>0</v>
      </c>
      <c r="CG1955" s="129" t="str">
        <f t="shared" si="1449"/>
        <v>Y</v>
      </c>
      <c r="CI1955" s="129" t="str">
        <f t="shared" si="1452"/>
        <v>91-120 DAYS</v>
      </c>
      <c r="CJ1955" s="137">
        <f t="shared" si="1453"/>
        <v>0</v>
      </c>
      <c r="CK1955" s="129" t="str">
        <f t="shared" si="1454"/>
        <v>Booked</v>
      </c>
    </row>
    <row r="1956" spans="1:89" ht="15" customHeight="1" x14ac:dyDescent="0.25">
      <c r="A1956" s="111">
        <v>2095</v>
      </c>
      <c r="B1956" s="128" t="str">
        <f t="shared" si="1435"/>
        <v>N</v>
      </c>
      <c r="C1956" s="128" t="str">
        <f t="shared" si="1436"/>
        <v>N</v>
      </c>
      <c r="D1956" s="117">
        <v>2355596</v>
      </c>
      <c r="E1956" s="135">
        <f t="shared" si="1437"/>
        <v>4</v>
      </c>
      <c r="F1956" s="124">
        <v>40987</v>
      </c>
      <c r="G1956" s="125">
        <v>40989</v>
      </c>
      <c r="H1956" s="117">
        <v>2355596</v>
      </c>
      <c r="I1956" s="124">
        <v>40988</v>
      </c>
      <c r="J1956" s="124">
        <v>40989</v>
      </c>
      <c r="K1956" s="126" t="s">
        <v>564</v>
      </c>
      <c r="L1956" s="127" t="s">
        <v>564</v>
      </c>
      <c r="N1956" s="129" t="s">
        <v>566</v>
      </c>
      <c r="O1956" s="128" t="s">
        <v>917</v>
      </c>
      <c r="P1956" s="129" t="s">
        <v>39</v>
      </c>
      <c r="Q1956" s="111">
        <f t="shared" si="1467"/>
        <v>2</v>
      </c>
      <c r="R1956" s="111">
        <f t="shared" si="1459"/>
        <v>3</v>
      </c>
      <c r="S1956" s="129">
        <v>2</v>
      </c>
      <c r="T1956" s="129">
        <v>0</v>
      </c>
      <c r="U1956" s="129">
        <v>1</v>
      </c>
      <c r="W1956" s="111"/>
      <c r="AC1956" s="130"/>
      <c r="AD1956" s="130">
        <v>32704</v>
      </c>
      <c r="AE1956" s="128" t="s">
        <v>32</v>
      </c>
      <c r="AF1956" s="128" t="s">
        <v>33</v>
      </c>
      <c r="AG1956" s="128" t="s">
        <v>872</v>
      </c>
      <c r="AH1956" s="108" t="s">
        <v>58</v>
      </c>
      <c r="AI1956" s="128" t="s">
        <v>118</v>
      </c>
      <c r="AJ1956" s="129" t="s">
        <v>89</v>
      </c>
      <c r="AK1956" s="129">
        <v>1</v>
      </c>
      <c r="AL1956" s="3" t="s">
        <v>991</v>
      </c>
      <c r="AO1956" s="128">
        <v>270</v>
      </c>
      <c r="AP1956" s="129" t="s">
        <v>43</v>
      </c>
      <c r="AR1956" s="128" t="s">
        <v>44</v>
      </c>
      <c r="AS1956" s="129" t="s">
        <v>45</v>
      </c>
      <c r="BC1956" s="129" t="s">
        <v>38</v>
      </c>
      <c r="BF1956" s="111">
        <f t="shared" si="1460"/>
        <v>2</v>
      </c>
      <c r="BG1956" s="111">
        <f t="shared" si="1461"/>
        <v>2</v>
      </c>
      <c r="BH1956" s="111">
        <f t="shared" si="1432"/>
        <v>3</v>
      </c>
      <c r="BI1956" s="111">
        <f t="shared" si="1433"/>
        <v>22.631147540983605</v>
      </c>
      <c r="BJ1956" s="129">
        <f t="shared" si="1450"/>
        <v>0</v>
      </c>
      <c r="BK1956" s="129">
        <f t="shared" si="1434"/>
        <v>0</v>
      </c>
      <c r="BL1956" s="129" t="str">
        <f t="shared" si="1466"/>
        <v>CONVICTION</v>
      </c>
      <c r="BM1956" s="129" t="str">
        <f t="shared" si="1451"/>
        <v>NONE</v>
      </c>
      <c r="BN1956" s="129" t="s">
        <v>566</v>
      </c>
      <c r="BP1956" s="137" t="str">
        <f t="shared" si="1438"/>
        <v>CONVICTION</v>
      </c>
      <c r="BQ1956" s="128" t="str">
        <f t="shared" si="1439"/>
        <v>Y</v>
      </c>
      <c r="BR1956" s="129" t="str">
        <f t="shared" si="1440"/>
        <v>DETAINED</v>
      </c>
      <c r="BS1956" s="129" t="str">
        <f t="shared" si="1441"/>
        <v>DISPOSED</v>
      </c>
      <c r="BT1956" s="129" t="str">
        <f t="shared" si="1442"/>
        <v>Y</v>
      </c>
      <c r="BU1956" s="109">
        <f t="shared" si="1443"/>
        <v>0.66666666666666663</v>
      </c>
      <c r="BV1956" s="109">
        <f t="shared" si="1444"/>
        <v>1</v>
      </c>
      <c r="BW1956" s="109">
        <f t="shared" si="1468"/>
        <v>0.33333333333333337</v>
      </c>
      <c r="BX1956" s="111">
        <f t="shared" si="1445"/>
        <v>0</v>
      </c>
      <c r="BY1956" s="129">
        <f t="shared" si="1446"/>
        <v>-2</v>
      </c>
      <c r="BZ1956" s="111">
        <f t="shared" si="1447"/>
        <v>0</v>
      </c>
      <c r="CA1956" s="138">
        <f t="shared" si="1448"/>
        <v>2</v>
      </c>
      <c r="CB1956" s="111" t="e">
        <f t="shared" si="1462"/>
        <v>#VALUE!</v>
      </c>
      <c r="CC1956" s="129">
        <f t="shared" si="1469"/>
        <v>2</v>
      </c>
      <c r="CD1956" s="129">
        <f t="shared" si="1470"/>
        <v>0</v>
      </c>
      <c r="CG1956" s="129" t="str">
        <f t="shared" si="1449"/>
        <v>Y</v>
      </c>
      <c r="CI1956" s="129" t="str">
        <f t="shared" si="1452"/>
        <v>0-10 DAYS</v>
      </c>
      <c r="CJ1956" s="137">
        <f t="shared" si="1453"/>
        <v>1</v>
      </c>
      <c r="CK1956" s="129" t="str">
        <f t="shared" si="1454"/>
        <v>Booked</v>
      </c>
    </row>
    <row r="1957" spans="1:89" ht="15.75" customHeight="1" x14ac:dyDescent="0.25">
      <c r="A1957" s="111">
        <v>2538</v>
      </c>
      <c r="B1957" s="128" t="str">
        <f t="shared" si="1435"/>
        <v>N</v>
      </c>
      <c r="C1957" s="128" t="str">
        <f t="shared" si="1436"/>
        <v>N</v>
      </c>
      <c r="D1957" s="117">
        <v>2355807</v>
      </c>
      <c r="E1957" s="135">
        <f t="shared" si="1437"/>
        <v>4</v>
      </c>
      <c r="F1957" s="124">
        <v>41003</v>
      </c>
      <c r="G1957" s="125">
        <v>41024</v>
      </c>
      <c r="H1957" s="117">
        <v>2355807</v>
      </c>
      <c r="I1957" s="124">
        <v>41004</v>
      </c>
      <c r="J1957" s="124">
        <v>41024</v>
      </c>
      <c r="K1957" s="126">
        <v>2000</v>
      </c>
      <c r="L1957" s="127" t="s">
        <v>568</v>
      </c>
      <c r="N1957" s="129" t="str">
        <f>IF(M1957&gt;1/1/1,"Y","N")</f>
        <v>N</v>
      </c>
      <c r="O1957" s="128" t="s">
        <v>917</v>
      </c>
      <c r="P1957" s="129" t="s">
        <v>39</v>
      </c>
      <c r="Q1957" s="111">
        <f t="shared" si="1467"/>
        <v>21</v>
      </c>
      <c r="R1957" s="111">
        <f t="shared" si="1459"/>
        <v>22</v>
      </c>
      <c r="S1957" s="129">
        <v>2</v>
      </c>
      <c r="T1957" s="129">
        <v>3</v>
      </c>
      <c r="U1957" s="129">
        <v>1</v>
      </c>
      <c r="W1957" s="111"/>
      <c r="AC1957" s="130"/>
      <c r="AD1957" s="130">
        <v>31995</v>
      </c>
      <c r="AE1957" s="128" t="s">
        <v>32</v>
      </c>
      <c r="AF1957" s="128" t="s">
        <v>69</v>
      </c>
      <c r="AG1957" s="128" t="s">
        <v>874</v>
      </c>
      <c r="AH1957" s="108" t="s">
        <v>58</v>
      </c>
      <c r="AI1957" s="128" t="s">
        <v>71</v>
      </c>
      <c r="AJ1957" s="129" t="s">
        <v>89</v>
      </c>
      <c r="AK1957" s="129">
        <v>2</v>
      </c>
      <c r="AL1957" s="3" t="s">
        <v>991</v>
      </c>
      <c r="AO1957" s="128">
        <v>30</v>
      </c>
      <c r="AP1957" s="129" t="s">
        <v>43</v>
      </c>
      <c r="AR1957" s="128" t="s">
        <v>44</v>
      </c>
      <c r="AS1957" s="129" t="s">
        <v>45</v>
      </c>
      <c r="BC1957" s="129" t="s">
        <v>38</v>
      </c>
      <c r="BF1957" s="111">
        <f t="shared" si="1460"/>
        <v>21</v>
      </c>
      <c r="BG1957" s="111">
        <f t="shared" si="1461"/>
        <v>21</v>
      </c>
      <c r="BH1957" s="111">
        <f t="shared" si="1432"/>
        <v>22</v>
      </c>
      <c r="BI1957" s="111">
        <f t="shared" si="1433"/>
        <v>24.612021857923498</v>
      </c>
      <c r="BJ1957" s="129">
        <f t="shared" si="1450"/>
        <v>0</v>
      </c>
      <c r="BK1957" s="129">
        <f t="shared" si="1434"/>
        <v>0</v>
      </c>
      <c r="BL1957" s="129" t="str">
        <f t="shared" si="1466"/>
        <v>CONVICTION</v>
      </c>
      <c r="BM1957" s="129" t="str">
        <f t="shared" si="1451"/>
        <v>NONE</v>
      </c>
      <c r="BN1957" s="129" t="s">
        <v>566</v>
      </c>
      <c r="BP1957" s="137" t="str">
        <f t="shared" si="1438"/>
        <v>CONVICTION</v>
      </c>
      <c r="BQ1957" s="128" t="str">
        <f t="shared" si="1439"/>
        <v>Y</v>
      </c>
      <c r="BR1957" s="129" t="str">
        <f t="shared" si="1440"/>
        <v>DETAINED</v>
      </c>
      <c r="BS1957" s="129" t="str">
        <f t="shared" si="1441"/>
        <v>DISPOSED</v>
      </c>
      <c r="BT1957" s="129" t="str">
        <f t="shared" si="1442"/>
        <v>Y</v>
      </c>
      <c r="BU1957" s="109">
        <f t="shared" si="1443"/>
        <v>0.95454545454545459</v>
      </c>
      <c r="BV1957" s="109">
        <f t="shared" si="1444"/>
        <v>1</v>
      </c>
      <c r="BW1957" s="109">
        <f t="shared" si="1468"/>
        <v>4.5454545454545414E-2</v>
      </c>
      <c r="BX1957" s="111">
        <f t="shared" si="1445"/>
        <v>0</v>
      </c>
      <c r="BY1957" s="129">
        <f t="shared" si="1446"/>
        <v>-21</v>
      </c>
      <c r="BZ1957" s="111">
        <f t="shared" si="1447"/>
        <v>0</v>
      </c>
      <c r="CA1957" s="138">
        <f t="shared" si="1448"/>
        <v>21</v>
      </c>
      <c r="CB1957" s="111" t="e">
        <f t="shared" si="1462"/>
        <v>#VALUE!</v>
      </c>
      <c r="CC1957" s="129">
        <f t="shared" si="1469"/>
        <v>21</v>
      </c>
      <c r="CD1957" s="129">
        <f t="shared" si="1470"/>
        <v>0</v>
      </c>
      <c r="CG1957" s="129" t="str">
        <f t="shared" si="1449"/>
        <v>Y</v>
      </c>
      <c r="CI1957" s="129" t="str">
        <f t="shared" si="1452"/>
        <v>11-30 DAYS</v>
      </c>
      <c r="CJ1957" s="137">
        <f t="shared" si="1453"/>
        <v>2</v>
      </c>
      <c r="CK1957" s="129" t="str">
        <f t="shared" si="1454"/>
        <v>Booked</v>
      </c>
    </row>
    <row r="1958" spans="1:89" ht="15.75" customHeight="1" x14ac:dyDescent="0.25">
      <c r="A1958" s="111">
        <v>540</v>
      </c>
      <c r="B1958" s="128" t="str">
        <f t="shared" si="1435"/>
        <v>N</v>
      </c>
      <c r="C1958" s="128" t="str">
        <f t="shared" si="1436"/>
        <v>N</v>
      </c>
      <c r="D1958" s="117">
        <v>2355931</v>
      </c>
      <c r="E1958" s="135">
        <f t="shared" si="1437"/>
        <v>4</v>
      </c>
      <c r="F1958" s="124">
        <v>40930</v>
      </c>
      <c r="G1958" s="125">
        <v>41404</v>
      </c>
      <c r="H1958" s="117">
        <v>2355931</v>
      </c>
      <c r="I1958" s="124">
        <v>40930</v>
      </c>
      <c r="J1958" s="125">
        <v>41404</v>
      </c>
      <c r="K1958" s="126">
        <v>10000</v>
      </c>
      <c r="L1958" s="127" t="s">
        <v>570</v>
      </c>
      <c r="N1958" s="129" t="str">
        <f>IF(M1958&gt;1/1/1,"Y","N")</f>
        <v>N</v>
      </c>
      <c r="O1958" s="128" t="s">
        <v>917</v>
      </c>
      <c r="P1958" s="129" t="s">
        <v>39</v>
      </c>
      <c r="Q1958" s="111">
        <f t="shared" si="1467"/>
        <v>475</v>
      </c>
      <c r="R1958" s="111">
        <f t="shared" si="1459"/>
        <v>475</v>
      </c>
      <c r="S1958" s="129">
        <v>4</v>
      </c>
      <c r="T1958" s="129">
        <v>16</v>
      </c>
      <c r="W1958" s="111"/>
      <c r="AC1958" s="130"/>
      <c r="AD1958" s="130">
        <v>33118</v>
      </c>
      <c r="AE1958" s="128" t="s">
        <v>32</v>
      </c>
      <c r="AF1958" s="128" t="s">
        <v>33</v>
      </c>
      <c r="AG1958" s="128" t="s">
        <v>872</v>
      </c>
      <c r="AH1958" s="108" t="s">
        <v>58</v>
      </c>
      <c r="AI1958" s="128" t="s">
        <v>141</v>
      </c>
      <c r="AJ1958" s="129" t="s">
        <v>31</v>
      </c>
      <c r="AK1958" s="129">
        <v>11</v>
      </c>
      <c r="AL1958" s="3" t="s">
        <v>991</v>
      </c>
      <c r="AO1958" s="128">
        <v>365</v>
      </c>
      <c r="AP1958" s="129" t="s">
        <v>186</v>
      </c>
      <c r="AR1958" s="128" t="s">
        <v>50</v>
      </c>
      <c r="AS1958" s="129" t="s">
        <v>106</v>
      </c>
      <c r="BC1958" s="129" t="s">
        <v>38</v>
      </c>
      <c r="BF1958" s="111">
        <f t="shared" si="1460"/>
        <v>475</v>
      </c>
      <c r="BG1958" s="111">
        <f t="shared" si="1461"/>
        <v>475</v>
      </c>
      <c r="BH1958" s="111">
        <f t="shared" si="1432"/>
        <v>475</v>
      </c>
      <c r="BI1958" s="111">
        <f t="shared" si="1433"/>
        <v>21.344262295081968</v>
      </c>
      <c r="BJ1958" s="129">
        <f t="shared" si="1450"/>
        <v>0</v>
      </c>
      <c r="BK1958" s="129">
        <f t="shared" si="1434"/>
        <v>0</v>
      </c>
      <c r="BL1958" s="129" t="str">
        <f t="shared" si="1466"/>
        <v>CONVICTION</v>
      </c>
      <c r="BM1958" s="129" t="str">
        <f t="shared" si="1451"/>
        <v>NONE</v>
      </c>
      <c r="BN1958" s="129" t="s">
        <v>566</v>
      </c>
      <c r="BP1958" s="137" t="str">
        <f t="shared" si="1438"/>
        <v/>
      </c>
      <c r="BQ1958" s="128" t="str">
        <f t="shared" si="1439"/>
        <v>Y</v>
      </c>
      <c r="BR1958" s="129" t="str">
        <f t="shared" si="1440"/>
        <v>DETAINED</v>
      </c>
      <c r="BS1958" s="129" t="str">
        <f t="shared" si="1441"/>
        <v>DISPOSED</v>
      </c>
      <c r="BT1958" s="129" t="str">
        <f t="shared" si="1442"/>
        <v>Y</v>
      </c>
      <c r="BU1958" s="109">
        <f>IFERROR(Q1958/R1958,BR1958)</f>
        <v>1</v>
      </c>
      <c r="BV1958" s="109">
        <f t="shared" si="1444"/>
        <v>1</v>
      </c>
      <c r="BW1958" s="109">
        <f t="shared" si="1468"/>
        <v>0</v>
      </c>
      <c r="BX1958" s="111">
        <f t="shared" si="1445"/>
        <v>0</v>
      </c>
      <c r="BY1958" s="129">
        <f t="shared" si="1446"/>
        <v>-475</v>
      </c>
      <c r="BZ1958" s="111">
        <f t="shared" si="1447"/>
        <v>0</v>
      </c>
      <c r="CA1958" s="138">
        <f t="shared" si="1448"/>
        <v>475</v>
      </c>
      <c r="CB1958" s="111" t="e">
        <f t="shared" si="1462"/>
        <v>#VALUE!</v>
      </c>
      <c r="CC1958" s="129">
        <f t="shared" si="1469"/>
        <v>475</v>
      </c>
      <c r="CD1958" s="129">
        <f t="shared" si="1470"/>
        <v>0</v>
      </c>
      <c r="CG1958" s="129" t="str">
        <f t="shared" si="1449"/>
        <v>Y</v>
      </c>
      <c r="CI1958" s="129" t="str">
        <f t="shared" si="1452"/>
        <v xml:space="preserve"> &gt;1YRS&lt;2YRS</v>
      </c>
      <c r="CJ1958" s="137">
        <f t="shared" si="1453"/>
        <v>0</v>
      </c>
      <c r="CK1958" s="129" t="str">
        <f t="shared" si="1454"/>
        <v>Booked</v>
      </c>
    </row>
    <row r="1959" spans="1:89" ht="15" customHeight="1" x14ac:dyDescent="0.25">
      <c r="A1959" s="111">
        <v>1680</v>
      </c>
      <c r="B1959" s="128" t="str">
        <f t="shared" si="1435"/>
        <v>N</v>
      </c>
      <c r="C1959" s="128" t="str">
        <f t="shared" si="1436"/>
        <v>N</v>
      </c>
      <c r="D1959" s="117">
        <v>2356060</v>
      </c>
      <c r="E1959" s="135">
        <f t="shared" si="1437"/>
        <v>2</v>
      </c>
      <c r="F1959" s="124">
        <v>40970</v>
      </c>
      <c r="G1959" s="125">
        <v>41241</v>
      </c>
      <c r="H1959" s="117">
        <v>2356060</v>
      </c>
      <c r="I1959" s="124" t="s">
        <v>562</v>
      </c>
      <c r="J1959" s="124" t="s">
        <v>562</v>
      </c>
      <c r="K1959" s="126">
        <v>20000</v>
      </c>
      <c r="L1959" s="127" t="s">
        <v>571</v>
      </c>
      <c r="M1959" s="125">
        <v>40972</v>
      </c>
      <c r="N1959" s="129" t="str">
        <f>IF(M1959&gt;1/1/1,"Y",IF(Q1959="0","","N"))</f>
        <v>Y</v>
      </c>
      <c r="O1959" s="128" t="s">
        <v>585</v>
      </c>
      <c r="P1959" s="129" t="s">
        <v>589</v>
      </c>
      <c r="Q1959" s="111">
        <f t="shared" si="1467"/>
        <v>0</v>
      </c>
      <c r="R1959" s="111">
        <f t="shared" si="1459"/>
        <v>272</v>
      </c>
      <c r="S1959" s="129">
        <v>0</v>
      </c>
      <c r="T1959" s="129">
        <v>0</v>
      </c>
      <c r="W1959" s="111"/>
      <c r="AC1959" s="130"/>
      <c r="AD1959" s="130">
        <v>32574</v>
      </c>
      <c r="AE1959" s="128" t="s">
        <v>32</v>
      </c>
      <c r="AF1959" s="128" t="s">
        <v>33</v>
      </c>
      <c r="AG1959" s="128" t="s">
        <v>872</v>
      </c>
      <c r="AH1959" s="108" t="s">
        <v>58</v>
      </c>
      <c r="AI1959" s="128" t="s">
        <v>141</v>
      </c>
      <c r="AJ1959" s="129" t="s">
        <v>48</v>
      </c>
      <c r="AK1959" s="129">
        <v>11</v>
      </c>
      <c r="AL1959" s="3" t="s">
        <v>48</v>
      </c>
      <c r="AP1959" s="129" t="s">
        <v>164</v>
      </c>
      <c r="AR1959" s="128" t="s">
        <v>92</v>
      </c>
      <c r="AS1959" s="129" t="s">
        <v>82</v>
      </c>
      <c r="BC1959" s="129" t="s">
        <v>52</v>
      </c>
      <c r="BF1959" s="111">
        <v>0</v>
      </c>
      <c r="BG1959" s="111">
        <v>0</v>
      </c>
      <c r="BH1959" s="111">
        <f t="shared" si="1432"/>
        <v>272</v>
      </c>
      <c r="BI1959" s="111">
        <f t="shared" si="1433"/>
        <v>22.939890710382514</v>
      </c>
      <c r="BJ1959" s="129" t="e">
        <f>(G1959-J1959)+(M1959-G1959)</f>
        <v>#VALUE!</v>
      </c>
      <c r="BK1959" s="129" t="e">
        <f t="shared" si="1434"/>
        <v>#VALUE!</v>
      </c>
      <c r="BL1959" s="129" t="str">
        <f t="shared" si="1466"/>
        <v>DEFERRED</v>
      </c>
      <c r="BM1959" s="129" t="s">
        <v>76</v>
      </c>
      <c r="BN1959" s="129" t="s">
        <v>88</v>
      </c>
      <c r="BP1959" s="137" t="str">
        <f t="shared" si="1438"/>
        <v>DEFERRED</v>
      </c>
      <c r="BQ1959" s="128">
        <f t="shared" si="1439"/>
        <v>0</v>
      </c>
      <c r="BR1959" s="129" t="s">
        <v>575</v>
      </c>
      <c r="BS1959" s="129" t="str">
        <f t="shared" si="1441"/>
        <v>DISPOSED</v>
      </c>
      <c r="BT1959" s="129" t="str">
        <f t="shared" si="1442"/>
        <v>N</v>
      </c>
      <c r="BU1959" s="109">
        <f t="shared" si="1443"/>
        <v>0</v>
      </c>
      <c r="BV1959" s="109">
        <v>0</v>
      </c>
      <c r="BW1959" s="109">
        <f t="shared" si="1468"/>
        <v>0</v>
      </c>
      <c r="BX1959" s="111">
        <f t="shared" si="1445"/>
        <v>0</v>
      </c>
      <c r="BY1959" s="129" t="e">
        <f t="shared" si="1446"/>
        <v>#VALUE!</v>
      </c>
      <c r="BZ1959" s="111" t="e">
        <f t="shared" si="1447"/>
        <v>#VALUE!</v>
      </c>
      <c r="CA1959" s="138" t="e">
        <f t="shared" si="1448"/>
        <v>#VALUE!</v>
      </c>
      <c r="CB1959" s="111">
        <v>0</v>
      </c>
      <c r="CC1959" s="129">
        <v>0</v>
      </c>
      <c r="CD1959" s="111">
        <f>CC1959-BF1959</f>
        <v>0</v>
      </c>
      <c r="CG1959" s="129" t="str">
        <f t="shared" si="1449"/>
        <v>N</v>
      </c>
      <c r="CI1959" s="129" t="str">
        <f t="shared" si="1452"/>
        <v>0-10 DAYS</v>
      </c>
      <c r="CJ1959" s="137">
        <f t="shared" si="1453"/>
        <v>1</v>
      </c>
      <c r="CK1959" s="129" t="str">
        <f t="shared" si="1454"/>
        <v>Not Booked</v>
      </c>
    </row>
    <row r="1960" spans="1:89" ht="15" customHeight="1" x14ac:dyDescent="0.25">
      <c r="A1960" s="111">
        <v>2817</v>
      </c>
      <c r="B1960" s="128" t="str">
        <f t="shared" si="1435"/>
        <v>N</v>
      </c>
      <c r="C1960" s="128" t="str">
        <f t="shared" si="1436"/>
        <v>N</v>
      </c>
      <c r="D1960" s="117">
        <v>2356111</v>
      </c>
      <c r="E1960" s="135">
        <f t="shared" si="1437"/>
        <v>6</v>
      </c>
      <c r="F1960" s="124">
        <v>41012</v>
      </c>
      <c r="G1960" s="125">
        <v>41015</v>
      </c>
      <c r="H1960" s="117">
        <v>2356111</v>
      </c>
      <c r="I1960" s="124">
        <v>41013</v>
      </c>
      <c r="J1960" s="124">
        <v>41015</v>
      </c>
      <c r="K1960" s="126">
        <v>10000</v>
      </c>
      <c r="L1960" s="127" t="s">
        <v>570</v>
      </c>
      <c r="N1960" s="129" t="str">
        <f t="shared" ref="N1960:N1970" si="1471">IF(M1960&gt;1/1/1,"Y","N")</f>
        <v>N</v>
      </c>
      <c r="O1960" s="128" t="s">
        <v>917</v>
      </c>
      <c r="P1960" s="129" t="s">
        <v>39</v>
      </c>
      <c r="Q1960" s="111">
        <f t="shared" si="1467"/>
        <v>3</v>
      </c>
      <c r="R1960" s="111">
        <f t="shared" si="1459"/>
        <v>4</v>
      </c>
      <c r="S1960" s="129">
        <v>1</v>
      </c>
      <c r="T1960" s="129">
        <v>2</v>
      </c>
      <c r="W1960" s="111"/>
      <c r="AC1960" s="130"/>
      <c r="AD1960" s="130">
        <v>32419</v>
      </c>
      <c r="AE1960" s="128" t="s">
        <v>32</v>
      </c>
      <c r="AF1960" s="128" t="s">
        <v>69</v>
      </c>
      <c r="AG1960" s="128" t="s">
        <v>874</v>
      </c>
      <c r="AH1960" s="108" t="s">
        <v>31</v>
      </c>
      <c r="AI1960" s="128" t="s">
        <v>114</v>
      </c>
      <c r="AJ1960" s="129" t="s">
        <v>89</v>
      </c>
      <c r="AK1960" s="129">
        <v>1</v>
      </c>
      <c r="AL1960" s="3" t="s">
        <v>362</v>
      </c>
      <c r="AM1960" s="117">
        <v>2</v>
      </c>
      <c r="AP1960" s="129" t="s">
        <v>56</v>
      </c>
      <c r="AR1960" s="128" t="s">
        <v>50</v>
      </c>
      <c r="AS1960" s="129" t="s">
        <v>57</v>
      </c>
      <c r="BC1960" s="129" t="s">
        <v>38</v>
      </c>
      <c r="BF1960" s="111">
        <f>IF(J1960&gt;1/1/1900,((J1960+1)-I1960),"STILL OPEN")</f>
        <v>3</v>
      </c>
      <c r="BG1960" s="111">
        <f t="shared" ref="BG1960:BG1975" si="1472">IF(G1960&gt;1/1/1900,((G1960+1)-I1960),"STILL OPEN")</f>
        <v>3</v>
      </c>
      <c r="BH1960" s="111">
        <f t="shared" si="1432"/>
        <v>4</v>
      </c>
      <c r="BI1960" s="111">
        <f t="shared" si="1433"/>
        <v>23.478142076502731</v>
      </c>
      <c r="BJ1960" s="129">
        <f t="shared" si="1450"/>
        <v>0</v>
      </c>
      <c r="BK1960" s="129">
        <f t="shared" si="1434"/>
        <v>0</v>
      </c>
      <c r="BL1960" s="129" t="str">
        <f t="shared" si="1466"/>
        <v>CONVICTION</v>
      </c>
      <c r="BM1960" s="129" t="str">
        <f t="shared" si="1451"/>
        <v>NONE</v>
      </c>
      <c r="BN1960" s="129" t="s">
        <v>566</v>
      </c>
      <c r="BP1960" s="137" t="str">
        <f t="shared" si="1438"/>
        <v>CONVICTION</v>
      </c>
      <c r="BQ1960" s="128" t="str">
        <f t="shared" si="1439"/>
        <v>Y</v>
      </c>
      <c r="BR1960" s="129" t="str">
        <f t="shared" si="1440"/>
        <v>DETAINED</v>
      </c>
      <c r="BS1960" s="129" t="str">
        <f t="shared" si="1441"/>
        <v>DISPOSED</v>
      </c>
      <c r="BT1960" s="129" t="str">
        <f t="shared" si="1442"/>
        <v>Y</v>
      </c>
      <c r="BU1960" s="109">
        <f t="shared" si="1443"/>
        <v>0.75</v>
      </c>
      <c r="BV1960" s="109">
        <f t="shared" si="1444"/>
        <v>1</v>
      </c>
      <c r="BW1960" s="109">
        <f t="shared" si="1468"/>
        <v>0.25</v>
      </c>
      <c r="BX1960" s="111">
        <f t="shared" si="1445"/>
        <v>0</v>
      </c>
      <c r="BY1960" s="129">
        <f t="shared" si="1446"/>
        <v>-3</v>
      </c>
      <c r="BZ1960" s="111">
        <f t="shared" si="1447"/>
        <v>0</v>
      </c>
      <c r="CA1960" s="138">
        <f t="shared" si="1448"/>
        <v>3</v>
      </c>
      <c r="CB1960" s="111" t="e">
        <f>IF(AF1960&gt;1/1/1900,((AF1960+1)-AE1960),"STILL OPEN")</f>
        <v>#VALUE!</v>
      </c>
      <c r="CC1960" s="129">
        <f>G1960-I1960+1</f>
        <v>3</v>
      </c>
      <c r="CD1960" s="129">
        <f>G1960-J1960</f>
        <v>0</v>
      </c>
      <c r="CG1960" s="129" t="str">
        <f t="shared" si="1449"/>
        <v>Y</v>
      </c>
      <c r="CI1960" s="129" t="str">
        <f t="shared" si="1452"/>
        <v>0-10 DAYS</v>
      </c>
      <c r="CJ1960" s="137">
        <f t="shared" si="1453"/>
        <v>1</v>
      </c>
      <c r="CK1960" s="129" t="str">
        <f t="shared" si="1454"/>
        <v>Booked</v>
      </c>
    </row>
    <row r="1961" spans="1:89" ht="15.75" customHeight="1" x14ac:dyDescent="0.25">
      <c r="A1961" s="111">
        <v>2533</v>
      </c>
      <c r="B1961" s="128" t="str">
        <f t="shared" si="1435"/>
        <v>N</v>
      </c>
      <c r="C1961" s="128" t="str">
        <f t="shared" si="1436"/>
        <v>Y</v>
      </c>
      <c r="D1961" s="117">
        <v>2356469</v>
      </c>
      <c r="E1961" s="135">
        <f t="shared" si="1437"/>
        <v>6</v>
      </c>
      <c r="F1961" s="124">
        <v>41003</v>
      </c>
      <c r="G1961" s="125">
        <v>41381</v>
      </c>
      <c r="H1961" s="117">
        <v>2356469</v>
      </c>
      <c r="I1961" s="124">
        <v>41013</v>
      </c>
      <c r="J1961" s="124">
        <v>41015</v>
      </c>
      <c r="K1961" s="126">
        <v>10000</v>
      </c>
      <c r="L1961" s="127" t="s">
        <v>570</v>
      </c>
      <c r="M1961" s="125">
        <v>41015</v>
      </c>
      <c r="N1961" s="129" t="str">
        <f t="shared" si="1471"/>
        <v>Y</v>
      </c>
      <c r="O1961" s="128" t="s">
        <v>76</v>
      </c>
      <c r="P1961" s="129" t="s">
        <v>39</v>
      </c>
      <c r="Q1961" s="111">
        <v>366</v>
      </c>
      <c r="R1961" s="111">
        <f t="shared" si="1459"/>
        <v>379</v>
      </c>
      <c r="S1961" s="129">
        <v>0</v>
      </c>
      <c r="T1961" s="129">
        <v>2</v>
      </c>
      <c r="W1961" s="111"/>
      <c r="AC1961" s="130"/>
      <c r="AD1961" s="130">
        <v>33065</v>
      </c>
      <c r="AE1961" s="128" t="s">
        <v>32</v>
      </c>
      <c r="AF1961" s="128" t="s">
        <v>33</v>
      </c>
      <c r="AG1961" s="128" t="s">
        <v>872</v>
      </c>
      <c r="AH1961" s="108" t="s">
        <v>31</v>
      </c>
      <c r="AI1961" s="128" t="s">
        <v>70</v>
      </c>
      <c r="AJ1961" s="129" t="s">
        <v>89</v>
      </c>
      <c r="AK1961" s="129">
        <v>14</v>
      </c>
      <c r="AL1961" s="3" t="s">
        <v>362</v>
      </c>
      <c r="AM1961" s="117">
        <v>3</v>
      </c>
      <c r="AP1961" s="129" t="s">
        <v>186</v>
      </c>
      <c r="AR1961" s="128" t="s">
        <v>50</v>
      </c>
      <c r="AS1961" s="129" t="s">
        <v>106</v>
      </c>
      <c r="AT1961" s="129" t="s">
        <v>1170</v>
      </c>
      <c r="AU1961" s="3" t="s">
        <v>961</v>
      </c>
      <c r="AX1961" s="32" t="s">
        <v>51</v>
      </c>
      <c r="BC1961" s="129" t="s">
        <v>38</v>
      </c>
      <c r="BF1961" s="111">
        <v>366</v>
      </c>
      <c r="BG1961" s="111">
        <f t="shared" si="1472"/>
        <v>369</v>
      </c>
      <c r="BH1961" s="111">
        <f t="shared" si="1432"/>
        <v>379</v>
      </c>
      <c r="BI1961" s="111">
        <f t="shared" si="1433"/>
        <v>21.688524590163933</v>
      </c>
      <c r="BJ1961" s="129">
        <f>(G1961-J1961)+(M1961-G1961)</f>
        <v>0</v>
      </c>
      <c r="BK1961" s="129">
        <f t="shared" si="1434"/>
        <v>-366</v>
      </c>
      <c r="BL1961" s="129" t="str">
        <f t="shared" si="1466"/>
        <v>CONVICTION</v>
      </c>
      <c r="BM1961" s="129" t="s">
        <v>76</v>
      </c>
      <c r="BN1961" s="129" t="s">
        <v>566</v>
      </c>
      <c r="BP1961" s="137" t="str">
        <f t="shared" si="1438"/>
        <v>CONVICTION</v>
      </c>
      <c r="BQ1961" s="128" t="str">
        <f t="shared" si="1439"/>
        <v>Y</v>
      </c>
      <c r="BR1961" s="129" t="s">
        <v>574</v>
      </c>
      <c r="BS1961" s="129" t="str">
        <f t="shared" si="1441"/>
        <v>DISPOSED</v>
      </c>
      <c r="BT1961" s="129" t="str">
        <f t="shared" si="1442"/>
        <v>N</v>
      </c>
      <c r="BU1961" s="109">
        <f t="shared" si="1443"/>
        <v>0.96569920844327173</v>
      </c>
      <c r="BV1961" s="109">
        <f t="shared" si="1444"/>
        <v>8.130081300813009E-3</v>
      </c>
      <c r="BW1961" s="109">
        <f t="shared" si="1468"/>
        <v>-0.95756912714245868</v>
      </c>
      <c r="BX1961" s="111">
        <f t="shared" si="1445"/>
        <v>0</v>
      </c>
      <c r="BY1961" s="129">
        <f t="shared" si="1446"/>
        <v>-3</v>
      </c>
      <c r="BZ1961" s="111">
        <f t="shared" si="1447"/>
        <v>363</v>
      </c>
      <c r="CA1961" s="138">
        <f t="shared" si="1448"/>
        <v>369</v>
      </c>
      <c r="CB1961" s="111">
        <v>366</v>
      </c>
      <c r="CC1961" s="129">
        <f>G1961-I1961+1</f>
        <v>369</v>
      </c>
      <c r="CD1961" s="129">
        <f>G1961-J1961</f>
        <v>366</v>
      </c>
      <c r="CG1961" s="129" t="str">
        <f t="shared" si="1449"/>
        <v>Y</v>
      </c>
      <c r="CI1961" s="129" t="str">
        <f t="shared" si="1452"/>
        <v xml:space="preserve"> &gt;1YRS&lt;2YRS</v>
      </c>
      <c r="CJ1961" s="137">
        <f t="shared" si="1453"/>
        <v>0</v>
      </c>
      <c r="CK1961" s="129" t="str">
        <f t="shared" si="1454"/>
        <v>Booked</v>
      </c>
    </row>
    <row r="1962" spans="1:89" ht="15.75" customHeight="1" x14ac:dyDescent="0.25">
      <c r="A1962" s="111">
        <v>1406</v>
      </c>
      <c r="B1962" s="128" t="str">
        <f t="shared" si="1435"/>
        <v>N</v>
      </c>
      <c r="C1962" s="128" t="str">
        <f t="shared" si="1436"/>
        <v>N</v>
      </c>
      <c r="D1962" s="117">
        <v>2356643</v>
      </c>
      <c r="E1962" s="135">
        <f t="shared" si="1437"/>
        <v>5</v>
      </c>
      <c r="F1962" s="124">
        <v>40960</v>
      </c>
      <c r="G1962" s="125">
        <v>40962</v>
      </c>
      <c r="H1962" s="117">
        <v>2356643</v>
      </c>
      <c r="I1962" s="124">
        <v>40961</v>
      </c>
      <c r="J1962" s="124">
        <v>40962</v>
      </c>
      <c r="K1962" s="126">
        <v>5000</v>
      </c>
      <c r="L1962" s="127" t="s">
        <v>569</v>
      </c>
      <c r="N1962" s="129" t="str">
        <f t="shared" si="1471"/>
        <v>N</v>
      </c>
      <c r="O1962" s="128" t="s">
        <v>917</v>
      </c>
      <c r="P1962" s="129" t="s">
        <v>39</v>
      </c>
      <c r="Q1962" s="111">
        <f t="shared" ref="Q1962:Q1988" si="1473">BF1962</f>
        <v>2</v>
      </c>
      <c r="R1962" s="111">
        <f t="shared" si="1459"/>
        <v>3</v>
      </c>
      <c r="S1962" s="129">
        <v>4</v>
      </c>
      <c r="T1962" s="129">
        <v>4</v>
      </c>
      <c r="U1962" s="129">
        <v>2</v>
      </c>
      <c r="W1962" s="111"/>
      <c r="AC1962" s="130"/>
      <c r="AD1962" s="130">
        <v>33092</v>
      </c>
      <c r="AE1962" s="128" t="s">
        <v>32</v>
      </c>
      <c r="AF1962" s="128" t="s">
        <v>40</v>
      </c>
      <c r="AG1962" s="128" t="s">
        <v>41</v>
      </c>
      <c r="AH1962" s="108" t="s">
        <v>41</v>
      </c>
      <c r="AI1962" s="128" t="s">
        <v>97</v>
      </c>
      <c r="AJ1962" s="129" t="s">
        <v>89</v>
      </c>
      <c r="AK1962" s="129">
        <v>1</v>
      </c>
      <c r="AL1962" s="3" t="s">
        <v>992</v>
      </c>
      <c r="AN1962" s="117">
        <v>6</v>
      </c>
      <c r="AP1962" s="129" t="s">
        <v>60</v>
      </c>
      <c r="AR1962" s="128" t="s">
        <v>44</v>
      </c>
      <c r="AS1962" s="129" t="s">
        <v>61</v>
      </c>
      <c r="AT1962" s="129" t="s">
        <v>334</v>
      </c>
      <c r="BC1962" s="129" t="s">
        <v>38</v>
      </c>
      <c r="BF1962" s="111">
        <f t="shared" ref="BF1962:BF1975" si="1474">IF(J1962&gt;1/1/1900,((J1962+1)-I1962),"STILL OPEN")</f>
        <v>2</v>
      </c>
      <c r="BG1962" s="111">
        <f t="shared" si="1472"/>
        <v>2</v>
      </c>
      <c r="BH1962" s="111">
        <f t="shared" si="1432"/>
        <v>3</v>
      </c>
      <c r="BI1962" s="111">
        <f t="shared" si="1433"/>
        <v>21.497267759562842</v>
      </c>
      <c r="BJ1962" s="129">
        <f t="shared" si="1450"/>
        <v>0</v>
      </c>
      <c r="BK1962" s="129">
        <f t="shared" si="1434"/>
        <v>0</v>
      </c>
      <c r="BL1962" s="129" t="str">
        <f t="shared" si="1466"/>
        <v>CONVICTION</v>
      </c>
      <c r="BM1962" s="129" t="str">
        <f t="shared" si="1451"/>
        <v>NONE</v>
      </c>
      <c r="BN1962" s="129" t="s">
        <v>566</v>
      </c>
      <c r="BP1962" s="137" t="str">
        <f t="shared" si="1438"/>
        <v>CONVICTION</v>
      </c>
      <c r="BQ1962" s="128" t="str">
        <f t="shared" si="1439"/>
        <v>Y</v>
      </c>
      <c r="BR1962" s="129" t="str">
        <f t="shared" si="1440"/>
        <v>DETAINED</v>
      </c>
      <c r="BS1962" s="129" t="str">
        <f t="shared" si="1441"/>
        <v>DISPOSED</v>
      </c>
      <c r="BT1962" s="129" t="str">
        <f t="shared" si="1442"/>
        <v>Y</v>
      </c>
      <c r="BU1962" s="109">
        <f t="shared" si="1443"/>
        <v>0.66666666666666663</v>
      </c>
      <c r="BV1962" s="109">
        <f t="shared" si="1444"/>
        <v>1</v>
      </c>
      <c r="BW1962" s="109">
        <f t="shared" si="1468"/>
        <v>0.33333333333333337</v>
      </c>
      <c r="BX1962" s="111">
        <f t="shared" si="1445"/>
        <v>0</v>
      </c>
      <c r="BY1962" s="129">
        <f t="shared" si="1446"/>
        <v>-2</v>
      </c>
      <c r="BZ1962" s="111">
        <f t="shared" si="1447"/>
        <v>0</v>
      </c>
      <c r="CA1962" s="138">
        <f t="shared" si="1448"/>
        <v>2</v>
      </c>
      <c r="CB1962" s="111" t="e">
        <f t="shared" ref="CB1962:CB1975" si="1475">IF(AF1962&gt;1/1/1900,((AF1962+1)-AE1962),"STILL OPEN")</f>
        <v>#VALUE!</v>
      </c>
      <c r="CC1962" s="129">
        <f>G1962-I1962+1</f>
        <v>2</v>
      </c>
      <c r="CD1962" s="129">
        <f>G1962-J1962</f>
        <v>0</v>
      </c>
      <c r="CG1962" s="129" t="str">
        <f t="shared" si="1449"/>
        <v>Y</v>
      </c>
      <c r="CI1962" s="129" t="str">
        <f t="shared" si="1452"/>
        <v>0-10 DAYS</v>
      </c>
      <c r="CJ1962" s="137">
        <f t="shared" si="1453"/>
        <v>1</v>
      </c>
      <c r="CK1962" s="129" t="str">
        <f t="shared" si="1454"/>
        <v>Booked</v>
      </c>
    </row>
    <row r="1963" spans="1:89" ht="15" customHeight="1" x14ac:dyDescent="0.25">
      <c r="A1963" s="111">
        <v>839</v>
      </c>
      <c r="B1963" s="128" t="str">
        <f t="shared" si="1435"/>
        <v>N</v>
      </c>
      <c r="C1963" s="128" t="str">
        <f t="shared" si="1436"/>
        <v>N</v>
      </c>
      <c r="D1963" s="117">
        <v>2357266</v>
      </c>
      <c r="E1963" s="135">
        <f t="shared" si="1437"/>
        <v>6</v>
      </c>
      <c r="F1963" s="124">
        <v>40940</v>
      </c>
      <c r="G1963" s="125">
        <v>41656</v>
      </c>
      <c r="H1963" s="117">
        <v>2357266</v>
      </c>
      <c r="I1963" s="124">
        <v>40940</v>
      </c>
      <c r="J1963" s="125">
        <v>41656</v>
      </c>
      <c r="K1963" s="126">
        <v>140000</v>
      </c>
      <c r="L1963" s="129" t="s">
        <v>572</v>
      </c>
      <c r="N1963" s="129" t="str">
        <f t="shared" si="1471"/>
        <v>N</v>
      </c>
      <c r="O1963" s="128" t="s">
        <v>917</v>
      </c>
      <c r="P1963" s="129" t="s">
        <v>39</v>
      </c>
      <c r="Q1963" s="111">
        <v>717</v>
      </c>
      <c r="R1963" s="111">
        <f t="shared" si="1459"/>
        <v>717</v>
      </c>
      <c r="S1963" s="129">
        <v>2</v>
      </c>
      <c r="T1963" s="129">
        <v>4</v>
      </c>
      <c r="U1963" s="129">
        <v>2</v>
      </c>
      <c r="W1963" s="111"/>
      <c r="AC1963" s="130"/>
      <c r="AD1963" s="130">
        <v>33184</v>
      </c>
      <c r="AE1963" s="128" t="s">
        <v>32</v>
      </c>
      <c r="AF1963" s="128" t="s">
        <v>40</v>
      </c>
      <c r="AG1963" s="128" t="s">
        <v>41</v>
      </c>
      <c r="AH1963" s="108" t="s">
        <v>41</v>
      </c>
      <c r="AI1963" s="128" t="s">
        <v>80</v>
      </c>
      <c r="AJ1963" s="129" t="s">
        <v>89</v>
      </c>
      <c r="AK1963" s="129">
        <v>20</v>
      </c>
      <c r="AL1963" s="3" t="s">
        <v>362</v>
      </c>
      <c r="AM1963" s="117">
        <v>20</v>
      </c>
      <c r="AP1963" s="129" t="s">
        <v>252</v>
      </c>
      <c r="AR1963" s="128" t="s">
        <v>92</v>
      </c>
      <c r="AS1963" s="129" t="s">
        <v>74</v>
      </c>
      <c r="AT1963" s="129" t="s">
        <v>1383</v>
      </c>
      <c r="BC1963" s="129" t="s">
        <v>38</v>
      </c>
      <c r="BF1963" s="111">
        <v>717</v>
      </c>
      <c r="BG1963" s="111">
        <f t="shared" si="1472"/>
        <v>717</v>
      </c>
      <c r="BH1963" s="111">
        <f t="shared" si="1432"/>
        <v>717</v>
      </c>
      <c r="BI1963" s="111">
        <f t="shared" si="1433"/>
        <v>21.191256830601095</v>
      </c>
      <c r="BJ1963" s="129">
        <f t="shared" si="1450"/>
        <v>0</v>
      </c>
      <c r="BK1963" s="129">
        <f t="shared" si="1434"/>
        <v>0</v>
      </c>
      <c r="BL1963" s="129" t="str">
        <f t="shared" si="1466"/>
        <v>CONVICTION</v>
      </c>
      <c r="BM1963" s="129" t="str">
        <f t="shared" si="1451"/>
        <v>NONE</v>
      </c>
      <c r="BN1963" s="129" t="s">
        <v>566</v>
      </c>
      <c r="BP1963" s="137" t="str">
        <f t="shared" si="1438"/>
        <v>CONVICTION</v>
      </c>
      <c r="BQ1963" s="128" t="str">
        <f t="shared" si="1439"/>
        <v>Y</v>
      </c>
      <c r="BR1963" s="129" t="str">
        <f t="shared" si="1440"/>
        <v>DETAINED</v>
      </c>
      <c r="BS1963" s="129" t="str">
        <f t="shared" si="1441"/>
        <v>DISPOSED</v>
      </c>
      <c r="BT1963" s="129" t="str">
        <f t="shared" si="1442"/>
        <v>Y</v>
      </c>
      <c r="BU1963" s="109">
        <f>IFERROR(Q1963/R1963,BR1963)</f>
        <v>1</v>
      </c>
      <c r="BV1963" s="139">
        <v>1</v>
      </c>
      <c r="BW1963" s="109">
        <v>0</v>
      </c>
      <c r="BX1963" s="111">
        <f t="shared" si="1445"/>
        <v>0</v>
      </c>
      <c r="BY1963" s="129">
        <f t="shared" si="1446"/>
        <v>-717</v>
      </c>
      <c r="BZ1963" s="111">
        <f t="shared" si="1447"/>
        <v>0</v>
      </c>
      <c r="CA1963" s="138">
        <f t="shared" si="1448"/>
        <v>717</v>
      </c>
      <c r="CB1963" s="111" t="e">
        <f t="shared" si="1475"/>
        <v>#VALUE!</v>
      </c>
      <c r="CC1963" s="129">
        <v>717</v>
      </c>
      <c r="CG1963" s="129" t="str">
        <f t="shared" si="1449"/>
        <v>Y</v>
      </c>
      <c r="CH1963" s="129" t="e">
        <v>#N/A</v>
      </c>
      <c r="CI1963" s="129" t="str">
        <f t="shared" si="1452"/>
        <v xml:space="preserve"> &gt;1YRS&lt;2YRS</v>
      </c>
      <c r="CJ1963" s="137">
        <f t="shared" si="1453"/>
        <v>0</v>
      </c>
      <c r="CK1963" s="129" t="str">
        <f t="shared" si="1454"/>
        <v>Booked</v>
      </c>
    </row>
    <row r="1964" spans="1:89" ht="15" customHeight="1" x14ac:dyDescent="0.25">
      <c r="A1964" s="111">
        <v>1168</v>
      </c>
      <c r="B1964" s="128" t="str">
        <f t="shared" si="1435"/>
        <v>N</v>
      </c>
      <c r="C1964" s="128" t="str">
        <f t="shared" si="1436"/>
        <v>N</v>
      </c>
      <c r="D1964" s="117">
        <v>2358451</v>
      </c>
      <c r="E1964" s="135">
        <f t="shared" si="1437"/>
        <v>6</v>
      </c>
      <c r="F1964" s="124">
        <v>40951</v>
      </c>
      <c r="G1964" s="125">
        <v>41054</v>
      </c>
      <c r="H1964" s="117">
        <v>2358451</v>
      </c>
      <c r="I1964" s="124">
        <v>40952</v>
      </c>
      <c r="J1964" s="124">
        <v>41054</v>
      </c>
      <c r="K1964" s="126">
        <v>70000</v>
      </c>
      <c r="L1964" s="129" t="s">
        <v>572</v>
      </c>
      <c r="N1964" s="129" t="str">
        <f t="shared" si="1471"/>
        <v>N</v>
      </c>
      <c r="O1964" s="128" t="s">
        <v>917</v>
      </c>
      <c r="P1964" s="129" t="s">
        <v>39</v>
      </c>
      <c r="Q1964" s="111">
        <f t="shared" si="1473"/>
        <v>103</v>
      </c>
      <c r="R1964" s="111">
        <f t="shared" si="1459"/>
        <v>104</v>
      </c>
      <c r="S1964" s="129">
        <v>0</v>
      </c>
      <c r="T1964" s="129">
        <v>2</v>
      </c>
      <c r="W1964" s="111"/>
      <c r="AB1964" s="131" t="s">
        <v>112</v>
      </c>
      <c r="AC1964" s="130"/>
      <c r="AD1964" s="130">
        <v>24221</v>
      </c>
      <c r="AE1964" s="128" t="s">
        <v>32</v>
      </c>
      <c r="AF1964" s="128" t="s">
        <v>40</v>
      </c>
      <c r="AG1964" s="128" t="s">
        <v>41</v>
      </c>
      <c r="AH1964" s="108" t="s">
        <v>31</v>
      </c>
      <c r="AI1964" s="128" t="s">
        <v>53</v>
      </c>
      <c r="AJ1964" s="129" t="s">
        <v>89</v>
      </c>
      <c r="AK1964" s="129">
        <v>6</v>
      </c>
      <c r="AL1964" s="3" t="s">
        <v>362</v>
      </c>
      <c r="AM1964" s="117">
        <v>4</v>
      </c>
      <c r="AP1964" s="129" t="s">
        <v>49</v>
      </c>
      <c r="AR1964" s="128" t="s">
        <v>50</v>
      </c>
      <c r="AS1964" s="129" t="s">
        <v>45</v>
      </c>
      <c r="BC1964" s="129" t="s">
        <v>52</v>
      </c>
      <c r="BF1964" s="111">
        <f t="shared" si="1474"/>
        <v>103</v>
      </c>
      <c r="BG1964" s="111">
        <f t="shared" si="1472"/>
        <v>103</v>
      </c>
      <c r="BH1964" s="111">
        <f t="shared" si="1432"/>
        <v>104</v>
      </c>
      <c r="BI1964" s="111">
        <f t="shared" si="1433"/>
        <v>45.710382513661202</v>
      </c>
      <c r="BJ1964" s="129">
        <f t="shared" si="1450"/>
        <v>0</v>
      </c>
      <c r="BK1964" s="129">
        <f t="shared" si="1434"/>
        <v>0</v>
      </c>
      <c r="BL1964" s="129" t="str">
        <f t="shared" si="1466"/>
        <v>CONVICTION</v>
      </c>
      <c r="BM1964" s="129" t="str">
        <f t="shared" si="1451"/>
        <v>NONE</v>
      </c>
      <c r="BN1964" s="129" t="s">
        <v>566</v>
      </c>
      <c r="BP1964" s="137" t="str">
        <f t="shared" si="1438"/>
        <v>CONVICTION</v>
      </c>
      <c r="BQ1964" s="128" t="str">
        <f t="shared" si="1439"/>
        <v>Y</v>
      </c>
      <c r="BR1964" s="129" t="str">
        <f t="shared" si="1440"/>
        <v>DETAINED</v>
      </c>
      <c r="BS1964" s="129" t="str">
        <f t="shared" si="1441"/>
        <v>DISPOSED</v>
      </c>
      <c r="BT1964" s="129" t="str">
        <f t="shared" si="1442"/>
        <v>N</v>
      </c>
      <c r="BU1964" s="109">
        <f t="shared" si="1443"/>
        <v>0.99038461538461542</v>
      </c>
      <c r="BV1964" s="109">
        <f t="shared" si="1444"/>
        <v>1</v>
      </c>
      <c r="BW1964" s="109">
        <f t="shared" ref="BW1964:BW1971" si="1476">BV1964-BU1964</f>
        <v>9.6153846153845812E-3</v>
      </c>
      <c r="BX1964" s="111">
        <f t="shared" si="1445"/>
        <v>0</v>
      </c>
      <c r="BY1964" s="129">
        <f t="shared" si="1446"/>
        <v>-103</v>
      </c>
      <c r="BZ1964" s="111">
        <f t="shared" si="1447"/>
        <v>0</v>
      </c>
      <c r="CA1964" s="138">
        <f t="shared" si="1448"/>
        <v>103</v>
      </c>
      <c r="CB1964" s="111" t="e">
        <f t="shared" si="1475"/>
        <v>#VALUE!</v>
      </c>
      <c r="CC1964" s="129">
        <f>G1964-I1964+1</f>
        <v>103</v>
      </c>
      <c r="CD1964" s="129">
        <f>G1964-J1964</f>
        <v>0</v>
      </c>
      <c r="CG1964" s="129" t="str">
        <f t="shared" si="1449"/>
        <v>Y</v>
      </c>
      <c r="CI1964" s="129" t="str">
        <f t="shared" si="1452"/>
        <v>91-120 DAYS</v>
      </c>
      <c r="CJ1964" s="137">
        <f t="shared" si="1453"/>
        <v>0</v>
      </c>
      <c r="CK1964" s="129" t="str">
        <f t="shared" si="1454"/>
        <v>Booked</v>
      </c>
    </row>
    <row r="1965" spans="1:89" ht="15" customHeight="1" x14ac:dyDescent="0.25">
      <c r="A1965" s="111">
        <v>1253</v>
      </c>
      <c r="B1965" s="128" t="str">
        <f t="shared" si="1435"/>
        <v>Y</v>
      </c>
      <c r="C1965" s="128" t="str">
        <f t="shared" si="1436"/>
        <v>N</v>
      </c>
      <c r="D1965" s="117">
        <v>2358461</v>
      </c>
      <c r="E1965" s="135">
        <f t="shared" si="1437"/>
        <v>1</v>
      </c>
      <c r="F1965" s="124">
        <v>40954</v>
      </c>
      <c r="G1965" s="125">
        <v>40956</v>
      </c>
      <c r="H1965" s="117">
        <v>2358461</v>
      </c>
      <c r="I1965" s="124">
        <v>40954</v>
      </c>
      <c r="J1965" s="124">
        <v>40956</v>
      </c>
      <c r="K1965" s="126">
        <v>20000</v>
      </c>
      <c r="L1965" s="127" t="s">
        <v>571</v>
      </c>
      <c r="N1965" s="129" t="str">
        <f t="shared" si="1471"/>
        <v>N</v>
      </c>
      <c r="O1965" s="128" t="s">
        <v>917</v>
      </c>
      <c r="P1965" s="129" t="s">
        <v>55</v>
      </c>
      <c r="Q1965" s="111">
        <f t="shared" si="1473"/>
        <v>3</v>
      </c>
      <c r="R1965" s="111">
        <f t="shared" si="1459"/>
        <v>3</v>
      </c>
      <c r="S1965" s="129">
        <v>1</v>
      </c>
      <c r="T1965" s="129">
        <v>7</v>
      </c>
      <c r="W1965" s="111"/>
      <c r="AC1965" s="130"/>
      <c r="AD1965" s="130">
        <v>32879</v>
      </c>
      <c r="AE1965" s="128" t="s">
        <v>32</v>
      </c>
      <c r="AF1965" s="128" t="s">
        <v>33</v>
      </c>
      <c r="AG1965" s="128" t="s">
        <v>872</v>
      </c>
      <c r="AH1965" s="108" t="s">
        <v>58</v>
      </c>
      <c r="AI1965" s="128" t="s">
        <v>100</v>
      </c>
      <c r="AJ1965" s="129" t="s">
        <v>55</v>
      </c>
      <c r="AK1965" s="129">
        <v>1</v>
      </c>
      <c r="AL1965" s="3" t="s">
        <v>55</v>
      </c>
      <c r="AP1965" s="129" t="s">
        <v>164</v>
      </c>
      <c r="AR1965" s="128" t="s">
        <v>92</v>
      </c>
      <c r="AS1965" s="129" t="s">
        <v>82</v>
      </c>
      <c r="AT1965" s="129" t="s">
        <v>623</v>
      </c>
      <c r="BC1965" s="129" t="s">
        <v>79</v>
      </c>
      <c r="BD1965" s="129" t="s">
        <v>1225</v>
      </c>
      <c r="BF1965" s="111">
        <f t="shared" si="1474"/>
        <v>3</v>
      </c>
      <c r="BG1965" s="111">
        <f t="shared" si="1472"/>
        <v>3</v>
      </c>
      <c r="BH1965" s="111">
        <f t="shared" si="1432"/>
        <v>3</v>
      </c>
      <c r="BI1965" s="111">
        <f t="shared" si="1433"/>
        <v>22.062841530054644</v>
      </c>
      <c r="BJ1965" s="129">
        <f t="shared" si="1450"/>
        <v>0</v>
      </c>
      <c r="BK1965" s="129">
        <f t="shared" si="1434"/>
        <v>0</v>
      </c>
      <c r="BL1965" s="129" t="str">
        <f t="shared" si="1466"/>
        <v>NO CONVICTION</v>
      </c>
      <c r="BM1965" s="129" t="str">
        <f t="shared" si="1451"/>
        <v>NONE</v>
      </c>
      <c r="BN1965" s="129" t="s">
        <v>566</v>
      </c>
      <c r="BP1965" s="137" t="str">
        <f t="shared" si="1438"/>
        <v>NO CONVICTION</v>
      </c>
      <c r="BQ1965" s="128" t="str">
        <f t="shared" si="1439"/>
        <v>Y</v>
      </c>
      <c r="BR1965" s="129" t="str">
        <f t="shared" si="1440"/>
        <v>DETAINED</v>
      </c>
      <c r="BS1965" s="129" t="str">
        <f t="shared" si="1441"/>
        <v>DISPOSED</v>
      </c>
      <c r="BT1965" s="129" t="str">
        <f t="shared" si="1442"/>
        <v>Y</v>
      </c>
      <c r="BU1965" s="109">
        <f>IFERROR(Q1965/R1965,BR1965)</f>
        <v>1</v>
      </c>
      <c r="BV1965" s="109">
        <f t="shared" si="1444"/>
        <v>1</v>
      </c>
      <c r="BW1965" s="109">
        <f t="shared" si="1476"/>
        <v>0</v>
      </c>
      <c r="BX1965" s="111">
        <f t="shared" si="1445"/>
        <v>0</v>
      </c>
      <c r="BY1965" s="129">
        <f t="shared" si="1446"/>
        <v>-3</v>
      </c>
      <c r="BZ1965" s="111">
        <f t="shared" si="1447"/>
        <v>0</v>
      </c>
      <c r="CA1965" s="138">
        <f t="shared" si="1448"/>
        <v>3</v>
      </c>
      <c r="CB1965" s="111" t="e">
        <f t="shared" si="1475"/>
        <v>#VALUE!</v>
      </c>
      <c r="CC1965" s="129">
        <f>G1965-I1965+1</f>
        <v>3</v>
      </c>
      <c r="CD1965" s="129">
        <f>G1965-J1965</f>
        <v>0</v>
      </c>
      <c r="CG1965" s="129" t="str">
        <f t="shared" si="1449"/>
        <v>Y</v>
      </c>
      <c r="CI1965" s="129" t="str">
        <f t="shared" si="1452"/>
        <v>0-10 DAYS</v>
      </c>
      <c r="CJ1965" s="137">
        <f t="shared" si="1453"/>
        <v>1</v>
      </c>
      <c r="CK1965" s="129" t="str">
        <f t="shared" si="1454"/>
        <v>Booked</v>
      </c>
    </row>
    <row r="1966" spans="1:89" ht="15.75" customHeight="1" x14ac:dyDescent="0.25">
      <c r="A1966" s="111">
        <v>2210</v>
      </c>
      <c r="B1966" s="128" t="str">
        <f t="shared" si="1435"/>
        <v>N</v>
      </c>
      <c r="C1966" s="128" t="str">
        <f t="shared" si="1436"/>
        <v>N</v>
      </c>
      <c r="D1966" s="117">
        <v>2358709</v>
      </c>
      <c r="E1966" s="135">
        <f t="shared" si="1437"/>
        <v>2</v>
      </c>
      <c r="F1966" s="124">
        <v>40992</v>
      </c>
      <c r="G1966" s="125">
        <v>41158</v>
      </c>
      <c r="H1966" s="117">
        <v>2358709</v>
      </c>
      <c r="I1966" s="124">
        <v>40992</v>
      </c>
      <c r="J1966" s="124">
        <v>40994</v>
      </c>
      <c r="K1966" s="126">
        <v>10000</v>
      </c>
      <c r="L1966" s="127" t="s">
        <v>570</v>
      </c>
      <c r="M1966" s="125">
        <v>40994</v>
      </c>
      <c r="N1966" s="129" t="str">
        <f t="shared" si="1471"/>
        <v>Y</v>
      </c>
      <c r="O1966" s="128" t="s">
        <v>76</v>
      </c>
      <c r="P1966" s="129" t="s">
        <v>589</v>
      </c>
      <c r="Q1966" s="111">
        <f t="shared" si="1473"/>
        <v>3</v>
      </c>
      <c r="R1966" s="111">
        <f t="shared" si="1459"/>
        <v>167</v>
      </c>
      <c r="S1966" s="129">
        <v>0</v>
      </c>
      <c r="T1966" s="129">
        <v>0</v>
      </c>
      <c r="W1966" s="111"/>
      <c r="AC1966" s="130"/>
      <c r="AD1966" s="130">
        <v>32794</v>
      </c>
      <c r="AE1966" s="128" t="s">
        <v>32</v>
      </c>
      <c r="AF1966" s="128" t="s">
        <v>33</v>
      </c>
      <c r="AG1966" s="128" t="s">
        <v>872</v>
      </c>
      <c r="AH1966" s="108" t="s">
        <v>31</v>
      </c>
      <c r="AI1966" s="128" t="s">
        <v>141</v>
      </c>
      <c r="AJ1966" s="129" t="s">
        <v>48</v>
      </c>
      <c r="AK1966" s="129">
        <v>8</v>
      </c>
      <c r="AL1966" s="3" t="s">
        <v>48</v>
      </c>
      <c r="AP1966" s="129" t="s">
        <v>56</v>
      </c>
      <c r="AR1966" s="128" t="s">
        <v>50</v>
      </c>
      <c r="AS1966" s="129" t="s">
        <v>57</v>
      </c>
      <c r="BC1966" s="129" t="s">
        <v>52</v>
      </c>
      <c r="BF1966" s="111">
        <f t="shared" si="1474"/>
        <v>3</v>
      </c>
      <c r="BG1966" s="111">
        <f t="shared" si="1472"/>
        <v>167</v>
      </c>
      <c r="BH1966" s="111">
        <f t="shared" si="1432"/>
        <v>167</v>
      </c>
      <c r="BI1966" s="111">
        <f t="shared" si="1433"/>
        <v>22.398907103825138</v>
      </c>
      <c r="BJ1966" s="129">
        <f>(G1966-J1966)+(M1966-G1966)</f>
        <v>0</v>
      </c>
      <c r="BK1966" s="129">
        <f t="shared" si="1434"/>
        <v>-164</v>
      </c>
      <c r="BL1966" s="129" t="str">
        <f t="shared" si="1466"/>
        <v>DEFERRED</v>
      </c>
      <c r="BM1966" s="129" t="s">
        <v>76</v>
      </c>
      <c r="BN1966" s="129" t="s">
        <v>88</v>
      </c>
      <c r="BP1966" s="137" t="str">
        <f t="shared" si="1438"/>
        <v>DEFERRED</v>
      </c>
      <c r="BQ1966" s="128" t="str">
        <f t="shared" si="1439"/>
        <v>Y</v>
      </c>
      <c r="BR1966" s="129" t="str">
        <f t="shared" si="1440"/>
        <v>ON BOND</v>
      </c>
      <c r="BS1966" s="129" t="str">
        <f t="shared" si="1441"/>
        <v>DISPOSED</v>
      </c>
      <c r="BT1966" s="129" t="str">
        <f t="shared" si="1442"/>
        <v>N</v>
      </c>
      <c r="BU1966" s="109">
        <f t="shared" si="1443"/>
        <v>1.7964071856287425E-2</v>
      </c>
      <c r="BV1966" s="109">
        <f t="shared" si="1444"/>
        <v>1.7964071856287425E-2</v>
      </c>
      <c r="BW1966" s="109">
        <f t="shared" si="1476"/>
        <v>0</v>
      </c>
      <c r="BX1966" s="111">
        <f t="shared" si="1445"/>
        <v>0</v>
      </c>
      <c r="BY1966" s="129">
        <f t="shared" si="1446"/>
        <v>-3</v>
      </c>
      <c r="BZ1966" s="111">
        <f t="shared" si="1447"/>
        <v>0</v>
      </c>
      <c r="CA1966" s="138">
        <f t="shared" si="1448"/>
        <v>3</v>
      </c>
      <c r="CB1966" s="111" t="e">
        <f t="shared" si="1475"/>
        <v>#VALUE!</v>
      </c>
      <c r="CC1966" s="129">
        <f>M1966-I1966+1</f>
        <v>3</v>
      </c>
      <c r="CD1966" s="111">
        <f>CC1966-BF1966</f>
        <v>0</v>
      </c>
      <c r="CG1966" s="129" t="str">
        <f t="shared" si="1449"/>
        <v>N</v>
      </c>
      <c r="CI1966" s="129" t="str">
        <f t="shared" si="1452"/>
        <v>0-10 DAYS</v>
      </c>
      <c r="CJ1966" s="137">
        <f t="shared" si="1453"/>
        <v>1</v>
      </c>
      <c r="CK1966" s="129" t="str">
        <f t="shared" si="1454"/>
        <v>Booked</v>
      </c>
    </row>
    <row r="1967" spans="1:89" ht="15" customHeight="1" x14ac:dyDescent="0.25">
      <c r="A1967" s="111">
        <v>1214</v>
      </c>
      <c r="B1967" s="128" t="str">
        <f t="shared" si="1435"/>
        <v>N</v>
      </c>
      <c r="C1967" s="128" t="str">
        <f t="shared" si="1436"/>
        <v>N</v>
      </c>
      <c r="D1967" s="117">
        <v>2358831</v>
      </c>
      <c r="E1967" s="135">
        <f t="shared" si="1437"/>
        <v>1</v>
      </c>
      <c r="F1967" s="124">
        <v>40953</v>
      </c>
      <c r="G1967" s="125">
        <v>41032</v>
      </c>
      <c r="H1967" s="117">
        <v>2358831</v>
      </c>
      <c r="I1967" s="124">
        <v>40955</v>
      </c>
      <c r="J1967" s="124">
        <v>40956</v>
      </c>
      <c r="K1967" s="126">
        <v>30000</v>
      </c>
      <c r="L1967" s="129" t="s">
        <v>572</v>
      </c>
      <c r="M1967" s="125">
        <v>40956</v>
      </c>
      <c r="N1967" s="129" t="str">
        <f t="shared" si="1471"/>
        <v>Y</v>
      </c>
      <c r="O1967" s="128" t="s">
        <v>585</v>
      </c>
      <c r="P1967" s="129" t="s">
        <v>123</v>
      </c>
      <c r="Q1967" s="111">
        <f t="shared" si="1473"/>
        <v>2</v>
      </c>
      <c r="R1967" s="111">
        <f t="shared" si="1459"/>
        <v>80</v>
      </c>
      <c r="S1967" s="129">
        <v>0</v>
      </c>
      <c r="T1967" s="129">
        <v>1</v>
      </c>
      <c r="W1967" s="111"/>
      <c r="AC1967" s="130"/>
      <c r="AD1967" s="130">
        <v>32825</v>
      </c>
      <c r="AE1967" s="128" t="s">
        <v>46</v>
      </c>
      <c r="AF1967" s="128" t="s">
        <v>69</v>
      </c>
      <c r="AG1967" s="128" t="s">
        <v>874</v>
      </c>
      <c r="AH1967" s="108" t="s">
        <v>31</v>
      </c>
      <c r="AI1967" s="128" t="s">
        <v>71</v>
      </c>
      <c r="AJ1967" s="129" t="s">
        <v>123</v>
      </c>
      <c r="AK1967" s="129">
        <v>5</v>
      </c>
      <c r="AL1967" s="3" t="s">
        <v>123</v>
      </c>
      <c r="AP1967" s="129" t="s">
        <v>73</v>
      </c>
      <c r="AR1967" s="128" t="s">
        <v>50</v>
      </c>
      <c r="AS1967" s="129" t="s">
        <v>74</v>
      </c>
      <c r="BC1967" s="129" t="s">
        <v>52</v>
      </c>
      <c r="BF1967" s="111">
        <f t="shared" si="1474"/>
        <v>2</v>
      </c>
      <c r="BG1967" s="111">
        <f t="shared" si="1472"/>
        <v>78</v>
      </c>
      <c r="BH1967" s="111">
        <f t="shared" si="1432"/>
        <v>80</v>
      </c>
      <c r="BI1967" s="111">
        <f t="shared" si="1433"/>
        <v>22.207650273224044</v>
      </c>
      <c r="BJ1967" s="129">
        <f>(G1967-J1967)+(M1967-G1967)</f>
        <v>0</v>
      </c>
      <c r="BK1967" s="129">
        <f t="shared" si="1434"/>
        <v>-76</v>
      </c>
      <c r="BL1967" s="129" t="str">
        <f t="shared" si="1466"/>
        <v>NO CONVICTION</v>
      </c>
      <c r="BM1967" s="129" t="s">
        <v>76</v>
      </c>
      <c r="BN1967" s="129" t="s">
        <v>88</v>
      </c>
      <c r="BP1967" s="137" t="str">
        <f t="shared" si="1438"/>
        <v>NO CONVICTION</v>
      </c>
      <c r="BQ1967" s="128" t="str">
        <f t="shared" si="1439"/>
        <v>Y</v>
      </c>
      <c r="BR1967" s="129" t="str">
        <f t="shared" si="1440"/>
        <v>ON BOND</v>
      </c>
      <c r="BS1967" s="129" t="str">
        <f t="shared" si="1441"/>
        <v>DISPOSED</v>
      </c>
      <c r="BT1967" s="129" t="str">
        <f t="shared" si="1442"/>
        <v>N</v>
      </c>
      <c r="BU1967" s="109">
        <f>IFERROR(Q1967/R1967,BR1967)</f>
        <v>2.5000000000000001E-2</v>
      </c>
      <c r="BV1967" s="109">
        <f t="shared" si="1444"/>
        <v>2.564102564102564E-2</v>
      </c>
      <c r="BW1967" s="109">
        <f t="shared" si="1476"/>
        <v>6.4102564102563875E-4</v>
      </c>
      <c r="BX1967" s="111">
        <f t="shared" si="1445"/>
        <v>0</v>
      </c>
      <c r="BY1967" s="129">
        <f t="shared" si="1446"/>
        <v>-2</v>
      </c>
      <c r="BZ1967" s="111">
        <f t="shared" si="1447"/>
        <v>0</v>
      </c>
      <c r="CA1967" s="138">
        <f t="shared" si="1448"/>
        <v>2</v>
      </c>
      <c r="CB1967" s="111" t="e">
        <f t="shared" si="1475"/>
        <v>#VALUE!</v>
      </c>
      <c r="CC1967" s="129">
        <f>M1967-I1967+1</f>
        <v>2</v>
      </c>
      <c r="CD1967" s="111">
        <f>CC1967-BF1967</f>
        <v>0</v>
      </c>
      <c r="CG1967" s="129" t="str">
        <f t="shared" si="1449"/>
        <v>Y</v>
      </c>
      <c r="CI1967" s="129" t="str">
        <f t="shared" si="1452"/>
        <v>0-10 DAYS</v>
      </c>
      <c r="CJ1967" s="137">
        <f t="shared" si="1453"/>
        <v>1</v>
      </c>
      <c r="CK1967" s="129" t="str">
        <f t="shared" si="1454"/>
        <v>Booked</v>
      </c>
    </row>
    <row r="1968" spans="1:89" ht="15" customHeight="1" x14ac:dyDescent="0.25">
      <c r="A1968" s="111">
        <v>170</v>
      </c>
      <c r="B1968" s="128" t="str">
        <f t="shared" si="1435"/>
        <v>N</v>
      </c>
      <c r="C1968" s="128" t="str">
        <f t="shared" si="1436"/>
        <v>N</v>
      </c>
      <c r="D1968" s="117">
        <v>2360373</v>
      </c>
      <c r="E1968" s="135">
        <f t="shared" si="1437"/>
        <v>4</v>
      </c>
      <c r="F1968" s="124">
        <v>40916</v>
      </c>
      <c r="G1968" s="125">
        <v>41107</v>
      </c>
      <c r="H1968" s="117">
        <v>2360373</v>
      </c>
      <c r="I1968" s="124">
        <v>40916</v>
      </c>
      <c r="J1968" s="124">
        <v>40983</v>
      </c>
      <c r="K1968" s="126">
        <v>20000</v>
      </c>
      <c r="L1968" s="127" t="s">
        <v>571</v>
      </c>
      <c r="M1968" s="125">
        <v>40983</v>
      </c>
      <c r="N1968" s="129" t="str">
        <f t="shared" si="1471"/>
        <v>Y</v>
      </c>
      <c r="O1968" s="128" t="s">
        <v>76</v>
      </c>
      <c r="P1968" s="129" t="s">
        <v>39</v>
      </c>
      <c r="Q1968" s="111">
        <f t="shared" si="1473"/>
        <v>68</v>
      </c>
      <c r="R1968" s="111">
        <f t="shared" si="1459"/>
        <v>192</v>
      </c>
      <c r="S1968" s="129">
        <v>1</v>
      </c>
      <c r="T1968" s="129">
        <v>0</v>
      </c>
      <c r="V1968" s="129">
        <v>1</v>
      </c>
      <c r="W1968" s="111"/>
      <c r="X1968" s="129"/>
      <c r="AC1968" s="130"/>
      <c r="AD1968" s="130">
        <v>31027</v>
      </c>
      <c r="AE1968" s="128" t="s">
        <v>46</v>
      </c>
      <c r="AF1968" s="128" t="s">
        <v>33</v>
      </c>
      <c r="AG1968" s="128" t="s">
        <v>872</v>
      </c>
      <c r="AH1968" s="108" t="s">
        <v>31</v>
      </c>
      <c r="AI1968" s="128" t="s">
        <v>80</v>
      </c>
      <c r="AJ1968" s="129" t="s">
        <v>89</v>
      </c>
      <c r="AK1968" s="129">
        <v>8</v>
      </c>
      <c r="AL1968" s="3" t="s">
        <v>991</v>
      </c>
      <c r="AO1968" s="128">
        <v>60</v>
      </c>
      <c r="AP1968" s="129" t="s">
        <v>43</v>
      </c>
      <c r="AR1968" s="128" t="s">
        <v>44</v>
      </c>
      <c r="AS1968" s="129" t="s">
        <v>45</v>
      </c>
      <c r="BC1968" s="129" t="s">
        <v>52</v>
      </c>
      <c r="BF1968" s="111">
        <f t="shared" si="1474"/>
        <v>68</v>
      </c>
      <c r="BG1968" s="111">
        <f t="shared" si="1472"/>
        <v>192</v>
      </c>
      <c r="BH1968" s="111">
        <f t="shared" si="1432"/>
        <v>192</v>
      </c>
      <c r="BI1968" s="111">
        <f t="shared" si="1433"/>
        <v>27.019125683060111</v>
      </c>
      <c r="BJ1968" s="129">
        <f>(G1968-J1968)+(M1968-G1968)</f>
        <v>0</v>
      </c>
      <c r="BK1968" s="129">
        <f t="shared" si="1434"/>
        <v>-124</v>
      </c>
      <c r="BL1968" s="129" t="str">
        <f t="shared" si="1466"/>
        <v>CONVICTION</v>
      </c>
      <c r="BM1968" s="129" t="s">
        <v>76</v>
      </c>
      <c r="BN1968" s="129" t="s">
        <v>88</v>
      </c>
      <c r="BP1968" s="137" t="str">
        <f t="shared" si="1438"/>
        <v>CONVICTION</v>
      </c>
      <c r="BQ1968" s="128" t="str">
        <f t="shared" si="1439"/>
        <v>Y</v>
      </c>
      <c r="BR1968" s="129" t="str">
        <f>IF(J1968&lt;G1968,"ON BOND",0)</f>
        <v>ON BOND</v>
      </c>
      <c r="BS1968" s="129" t="str">
        <f t="shared" si="1441"/>
        <v>DISPOSED</v>
      </c>
      <c r="BT1968" s="129" t="str">
        <f t="shared" si="1442"/>
        <v>Y</v>
      </c>
      <c r="BU1968" s="109">
        <f t="shared" si="1443"/>
        <v>0.35416666666666669</v>
      </c>
      <c r="BV1968" s="109">
        <f t="shared" si="1444"/>
        <v>0.35416666666666669</v>
      </c>
      <c r="BW1968" s="109">
        <f t="shared" si="1476"/>
        <v>0</v>
      </c>
      <c r="BX1968" s="111">
        <f t="shared" si="1445"/>
        <v>0</v>
      </c>
      <c r="BY1968" s="129">
        <f t="shared" si="1446"/>
        <v>-68</v>
      </c>
      <c r="BZ1968" s="111">
        <f t="shared" si="1447"/>
        <v>0</v>
      </c>
      <c r="CA1968" s="138">
        <f t="shared" si="1448"/>
        <v>68</v>
      </c>
      <c r="CB1968" s="111" t="e">
        <f t="shared" si="1475"/>
        <v>#VALUE!</v>
      </c>
      <c r="CC1968" s="129">
        <f>M1968-I1968+1</f>
        <v>68</v>
      </c>
      <c r="CD1968" s="111">
        <f>CC1968-BF1968</f>
        <v>0</v>
      </c>
      <c r="CG1968" s="129" t="str">
        <f t="shared" si="1449"/>
        <v>Y</v>
      </c>
      <c r="CI1968" s="129" t="str">
        <f t="shared" si="1452"/>
        <v>61-90 DAYS</v>
      </c>
      <c r="CJ1968" s="137">
        <f t="shared" si="1453"/>
        <v>4</v>
      </c>
      <c r="CK1968" s="129" t="str">
        <f t="shared" si="1454"/>
        <v>Booked</v>
      </c>
    </row>
    <row r="1969" spans="1:89" ht="15" customHeight="1" x14ac:dyDescent="0.25">
      <c r="A1969" s="111">
        <v>1889</v>
      </c>
      <c r="B1969" s="128" t="str">
        <f t="shared" si="1435"/>
        <v>N</v>
      </c>
      <c r="C1969" s="128" t="str">
        <f t="shared" si="1436"/>
        <v>N</v>
      </c>
      <c r="D1969" s="117">
        <v>2360392</v>
      </c>
      <c r="E1969" s="135">
        <f t="shared" si="1437"/>
        <v>2</v>
      </c>
      <c r="F1969" s="124">
        <v>40978</v>
      </c>
      <c r="G1969" s="125">
        <v>40980</v>
      </c>
      <c r="H1969" s="117">
        <v>2360392</v>
      </c>
      <c r="I1969" s="124">
        <v>40979</v>
      </c>
      <c r="J1969" s="124">
        <v>40980</v>
      </c>
      <c r="K1969" s="126">
        <v>10000</v>
      </c>
      <c r="L1969" s="127" t="s">
        <v>570</v>
      </c>
      <c r="N1969" s="129" t="str">
        <f t="shared" si="1471"/>
        <v>N</v>
      </c>
      <c r="O1969" s="128" t="s">
        <v>917</v>
      </c>
      <c r="P1969" s="129" t="s">
        <v>589</v>
      </c>
      <c r="Q1969" s="111">
        <f t="shared" si="1473"/>
        <v>2</v>
      </c>
      <c r="R1969" s="111">
        <f t="shared" si="1459"/>
        <v>3</v>
      </c>
      <c r="S1969" s="129">
        <v>1</v>
      </c>
      <c r="T1969" s="129">
        <v>1</v>
      </c>
      <c r="V1969" s="117">
        <v>1</v>
      </c>
      <c r="W1969" s="111"/>
      <c r="AC1969" s="130"/>
      <c r="AD1969" s="130">
        <v>31377</v>
      </c>
      <c r="AE1969" s="128" t="s">
        <v>32</v>
      </c>
      <c r="AF1969" s="128" t="s">
        <v>33</v>
      </c>
      <c r="AG1969" s="128" t="s">
        <v>872</v>
      </c>
      <c r="AH1969" s="108" t="s">
        <v>31</v>
      </c>
      <c r="AI1969" s="128" t="s">
        <v>59</v>
      </c>
      <c r="AJ1969" s="129" t="s">
        <v>48</v>
      </c>
      <c r="AK1969" s="129">
        <v>1</v>
      </c>
      <c r="AL1969" s="3" t="s">
        <v>48</v>
      </c>
      <c r="AP1969" s="129" t="s">
        <v>561</v>
      </c>
      <c r="AR1969" s="128" t="s">
        <v>67</v>
      </c>
      <c r="AS1969" s="129" t="s">
        <v>64</v>
      </c>
      <c r="BC1969" s="129" t="s">
        <v>38</v>
      </c>
      <c r="BF1969" s="111">
        <f t="shared" si="1474"/>
        <v>2</v>
      </c>
      <c r="BG1969" s="111">
        <f t="shared" si="1472"/>
        <v>2</v>
      </c>
      <c r="BH1969" s="111">
        <f t="shared" si="1432"/>
        <v>3</v>
      </c>
      <c r="BI1969" s="111">
        <f t="shared" si="1433"/>
        <v>26.23224043715847</v>
      </c>
      <c r="BJ1969" s="129">
        <f t="shared" si="1450"/>
        <v>0</v>
      </c>
      <c r="BK1969" s="129">
        <f t="shared" si="1434"/>
        <v>0</v>
      </c>
      <c r="BL1969" s="129" t="str">
        <f t="shared" si="1466"/>
        <v>DEFERRED</v>
      </c>
      <c r="BM1969" s="129" t="str">
        <f t="shared" si="1451"/>
        <v>NONE</v>
      </c>
      <c r="BN1969" s="129" t="s">
        <v>566</v>
      </c>
      <c r="BP1969" s="137" t="str">
        <f t="shared" si="1438"/>
        <v>DEFERRED</v>
      </c>
      <c r="BQ1969" s="128" t="str">
        <f t="shared" si="1439"/>
        <v>Y</v>
      </c>
      <c r="BR1969" s="129" t="str">
        <f t="shared" si="1440"/>
        <v>DETAINED</v>
      </c>
      <c r="BS1969" s="129" t="str">
        <f t="shared" si="1441"/>
        <v>DISPOSED</v>
      </c>
      <c r="BT1969" s="129" t="str">
        <f t="shared" si="1442"/>
        <v>Y</v>
      </c>
      <c r="BU1969" s="109">
        <f t="shared" si="1443"/>
        <v>0.66666666666666663</v>
      </c>
      <c r="BV1969" s="109">
        <f t="shared" si="1444"/>
        <v>1</v>
      </c>
      <c r="BW1969" s="109">
        <f t="shared" si="1476"/>
        <v>0.33333333333333337</v>
      </c>
      <c r="BX1969" s="111">
        <f t="shared" si="1445"/>
        <v>0</v>
      </c>
      <c r="BY1969" s="129">
        <f t="shared" si="1446"/>
        <v>-2</v>
      </c>
      <c r="BZ1969" s="111">
        <f t="shared" si="1447"/>
        <v>0</v>
      </c>
      <c r="CA1969" s="138">
        <f t="shared" si="1448"/>
        <v>2</v>
      </c>
      <c r="CB1969" s="111" t="e">
        <f t="shared" si="1475"/>
        <v>#VALUE!</v>
      </c>
      <c r="CC1969" s="129">
        <f>G1969-I1969+1</f>
        <v>2</v>
      </c>
      <c r="CD1969" s="129">
        <f>G1969-J1969</f>
        <v>0</v>
      </c>
      <c r="CG1969" s="129" t="str">
        <f t="shared" si="1449"/>
        <v>Y</v>
      </c>
      <c r="CI1969" s="129" t="str">
        <f t="shared" si="1452"/>
        <v>0-10 DAYS</v>
      </c>
      <c r="CJ1969" s="137">
        <f t="shared" si="1453"/>
        <v>1</v>
      </c>
      <c r="CK1969" s="129" t="str">
        <f t="shared" si="1454"/>
        <v>Booked</v>
      </c>
    </row>
    <row r="1970" spans="1:89" ht="15" customHeight="1" x14ac:dyDescent="0.25">
      <c r="A1970" s="111">
        <v>561</v>
      </c>
      <c r="B1970" s="128" t="str">
        <f t="shared" si="1435"/>
        <v>N</v>
      </c>
      <c r="C1970" s="128" t="str">
        <f t="shared" si="1436"/>
        <v>N</v>
      </c>
      <c r="D1970" s="117">
        <v>2360425</v>
      </c>
      <c r="E1970" s="135">
        <f t="shared" si="1437"/>
        <v>6</v>
      </c>
      <c r="F1970" s="124">
        <v>40931</v>
      </c>
      <c r="G1970" s="125">
        <v>40948</v>
      </c>
      <c r="H1970" s="117">
        <v>2360425</v>
      </c>
      <c r="I1970" s="124">
        <v>40932</v>
      </c>
      <c r="J1970" s="124">
        <v>40948</v>
      </c>
      <c r="K1970" s="126">
        <v>35000</v>
      </c>
      <c r="L1970" s="129" t="s">
        <v>572</v>
      </c>
      <c r="N1970" s="129" t="str">
        <f t="shared" si="1471"/>
        <v>N</v>
      </c>
      <c r="O1970" s="128" t="s">
        <v>917</v>
      </c>
      <c r="P1970" s="129" t="s">
        <v>39</v>
      </c>
      <c r="Q1970" s="111">
        <f t="shared" si="1473"/>
        <v>17</v>
      </c>
      <c r="R1970" s="111">
        <f t="shared" si="1459"/>
        <v>18</v>
      </c>
      <c r="S1970" s="129">
        <v>0</v>
      </c>
      <c r="T1970" s="129">
        <v>0</v>
      </c>
      <c r="W1970" s="111"/>
      <c r="AB1970" s="131" t="s">
        <v>112</v>
      </c>
      <c r="AC1970" s="130"/>
      <c r="AD1970" s="130">
        <v>33257</v>
      </c>
      <c r="AE1970" s="128" t="s">
        <v>32</v>
      </c>
      <c r="AF1970" s="128" t="s">
        <v>40</v>
      </c>
      <c r="AG1970" s="128" t="s">
        <v>41</v>
      </c>
      <c r="AH1970" s="108" t="s">
        <v>31</v>
      </c>
      <c r="AI1970" s="128" t="s">
        <v>113</v>
      </c>
      <c r="AJ1970" s="129" t="s">
        <v>89</v>
      </c>
      <c r="AK1970" s="129">
        <v>3</v>
      </c>
      <c r="AL1970" s="3" t="s">
        <v>362</v>
      </c>
      <c r="AM1970" s="117">
        <v>2</v>
      </c>
      <c r="AP1970" s="129" t="s">
        <v>56</v>
      </c>
      <c r="AR1970" s="128" t="s">
        <v>50</v>
      </c>
      <c r="AS1970" s="129" t="s">
        <v>57</v>
      </c>
      <c r="BC1970" s="129" t="s">
        <v>38</v>
      </c>
      <c r="BF1970" s="111">
        <f t="shared" si="1474"/>
        <v>17</v>
      </c>
      <c r="BG1970" s="111">
        <f t="shared" si="1472"/>
        <v>17</v>
      </c>
      <c r="BH1970" s="111">
        <f t="shared" si="1432"/>
        <v>18</v>
      </c>
      <c r="BI1970" s="111">
        <f t="shared" si="1433"/>
        <v>20.967213114754099</v>
      </c>
      <c r="BJ1970" s="129">
        <f t="shared" si="1450"/>
        <v>0</v>
      </c>
      <c r="BK1970" s="129">
        <f t="shared" si="1434"/>
        <v>0</v>
      </c>
      <c r="BL1970" s="129" t="str">
        <f t="shared" si="1466"/>
        <v>CONVICTION</v>
      </c>
      <c r="BM1970" s="129" t="str">
        <f t="shared" si="1451"/>
        <v>NONE</v>
      </c>
      <c r="BN1970" s="129" t="s">
        <v>566</v>
      </c>
      <c r="BP1970" s="137" t="str">
        <f t="shared" si="1438"/>
        <v>CONVICTION</v>
      </c>
      <c r="BQ1970" s="128" t="str">
        <f t="shared" si="1439"/>
        <v>Y</v>
      </c>
      <c r="BR1970" s="129" t="str">
        <f t="shared" si="1440"/>
        <v>DETAINED</v>
      </c>
      <c r="BS1970" s="129" t="str">
        <f t="shared" si="1441"/>
        <v>DISPOSED</v>
      </c>
      <c r="BT1970" s="129" t="str">
        <f t="shared" si="1442"/>
        <v>N</v>
      </c>
      <c r="BU1970" s="109">
        <f t="shared" si="1443"/>
        <v>0.94444444444444442</v>
      </c>
      <c r="BV1970" s="109">
        <f t="shared" si="1444"/>
        <v>1</v>
      </c>
      <c r="BW1970" s="109">
        <f t="shared" si="1476"/>
        <v>5.555555555555558E-2</v>
      </c>
      <c r="BX1970" s="111">
        <f t="shared" si="1445"/>
        <v>0</v>
      </c>
      <c r="BY1970" s="129">
        <f t="shared" si="1446"/>
        <v>-17</v>
      </c>
      <c r="BZ1970" s="111">
        <f t="shared" si="1447"/>
        <v>0</v>
      </c>
      <c r="CA1970" s="138">
        <f t="shared" si="1448"/>
        <v>17</v>
      </c>
      <c r="CB1970" s="111" t="e">
        <f t="shared" si="1475"/>
        <v>#VALUE!</v>
      </c>
      <c r="CC1970" s="129">
        <f>G1970-I1970+1</f>
        <v>17</v>
      </c>
      <c r="CD1970" s="129">
        <f>G1970-J1970</f>
        <v>0</v>
      </c>
      <c r="CG1970" s="129" t="str">
        <f t="shared" si="1449"/>
        <v>N</v>
      </c>
      <c r="CI1970" s="129" t="str">
        <f t="shared" si="1452"/>
        <v>11-30 DAYS</v>
      </c>
      <c r="CJ1970" s="137">
        <f t="shared" si="1453"/>
        <v>2</v>
      </c>
      <c r="CK1970" s="129" t="str">
        <f t="shared" si="1454"/>
        <v>Booked</v>
      </c>
    </row>
    <row r="1971" spans="1:89" ht="15.75" customHeight="1" x14ac:dyDescent="0.25">
      <c r="A1971" s="111">
        <v>2912</v>
      </c>
      <c r="B1971" s="128" t="str">
        <f t="shared" si="1435"/>
        <v>N</v>
      </c>
      <c r="C1971" s="128" t="str">
        <f t="shared" si="1436"/>
        <v>N</v>
      </c>
      <c r="D1971" s="117">
        <v>2361602</v>
      </c>
      <c r="E1971" s="135">
        <f t="shared" si="1437"/>
        <v>1</v>
      </c>
      <c r="F1971" s="124">
        <v>41016</v>
      </c>
      <c r="G1971" s="125">
        <v>41045</v>
      </c>
      <c r="H1971" s="117">
        <v>2361602</v>
      </c>
      <c r="I1971" s="124">
        <v>41017</v>
      </c>
      <c r="J1971" s="124">
        <v>41045</v>
      </c>
      <c r="K1971" s="126" t="s">
        <v>564</v>
      </c>
      <c r="L1971" s="127" t="s">
        <v>564</v>
      </c>
      <c r="N1971" s="129" t="s">
        <v>566</v>
      </c>
      <c r="O1971" s="128" t="s">
        <v>917</v>
      </c>
      <c r="P1971" s="129" t="s">
        <v>55</v>
      </c>
      <c r="Q1971" s="111">
        <f t="shared" si="1473"/>
        <v>29</v>
      </c>
      <c r="R1971" s="111">
        <f t="shared" si="1459"/>
        <v>30</v>
      </c>
      <c r="S1971" s="129">
        <v>2</v>
      </c>
      <c r="T1971" s="129">
        <v>0</v>
      </c>
      <c r="U1971" s="129">
        <v>2</v>
      </c>
      <c r="W1971" s="111"/>
      <c r="AC1971" s="130"/>
      <c r="AD1971" s="130">
        <v>32379</v>
      </c>
      <c r="AE1971" s="128" t="s">
        <v>32</v>
      </c>
      <c r="AF1971" s="128" t="s">
        <v>33</v>
      </c>
      <c r="AG1971" s="128" t="s">
        <v>872</v>
      </c>
      <c r="AH1971" s="108" t="s">
        <v>58</v>
      </c>
      <c r="AI1971" s="128" t="s">
        <v>71</v>
      </c>
      <c r="AJ1971" s="129" t="s">
        <v>55</v>
      </c>
      <c r="AK1971" s="129">
        <v>3</v>
      </c>
      <c r="AL1971" s="3" t="s">
        <v>55</v>
      </c>
      <c r="AP1971" s="129" t="s">
        <v>93</v>
      </c>
      <c r="AR1971" s="128" t="s">
        <v>67</v>
      </c>
      <c r="AS1971" s="129" t="s">
        <v>45</v>
      </c>
      <c r="BC1971" s="129" t="s">
        <v>52</v>
      </c>
      <c r="BF1971" s="111">
        <f t="shared" si="1474"/>
        <v>29</v>
      </c>
      <c r="BG1971" s="111">
        <f t="shared" si="1472"/>
        <v>29</v>
      </c>
      <c r="BH1971" s="111">
        <f t="shared" si="1432"/>
        <v>30</v>
      </c>
      <c r="BI1971" s="111">
        <f t="shared" si="1433"/>
        <v>23.598360655737704</v>
      </c>
      <c r="BJ1971" s="129">
        <f t="shared" si="1450"/>
        <v>0</v>
      </c>
      <c r="BK1971" s="129">
        <f t="shared" si="1434"/>
        <v>0</v>
      </c>
      <c r="BL1971" s="129" t="str">
        <f t="shared" si="1466"/>
        <v>NO CONVICTION</v>
      </c>
      <c r="BM1971" s="129" t="str">
        <f t="shared" si="1451"/>
        <v>NONE</v>
      </c>
      <c r="BN1971" s="129" t="s">
        <v>566</v>
      </c>
      <c r="BP1971" s="137" t="str">
        <f t="shared" si="1438"/>
        <v>NO CONVICTION</v>
      </c>
      <c r="BQ1971" s="128" t="str">
        <f t="shared" si="1439"/>
        <v>Y</v>
      </c>
      <c r="BR1971" s="129" t="str">
        <f t="shared" si="1440"/>
        <v>DETAINED</v>
      </c>
      <c r="BS1971" s="129" t="str">
        <f t="shared" si="1441"/>
        <v>DISPOSED</v>
      </c>
      <c r="BT1971" s="129" t="str">
        <f t="shared" si="1442"/>
        <v>Y</v>
      </c>
      <c r="BU1971" s="109">
        <f>IFERROR(Q1971/R1971,BR1971)</f>
        <v>0.96666666666666667</v>
      </c>
      <c r="BV1971" s="109">
        <f t="shared" si="1444"/>
        <v>1</v>
      </c>
      <c r="BW1971" s="109">
        <f t="shared" si="1476"/>
        <v>3.3333333333333326E-2</v>
      </c>
      <c r="BX1971" s="111">
        <f t="shared" si="1445"/>
        <v>0</v>
      </c>
      <c r="BY1971" s="129">
        <f t="shared" si="1446"/>
        <v>-29</v>
      </c>
      <c r="BZ1971" s="111">
        <f t="shared" si="1447"/>
        <v>0</v>
      </c>
      <c r="CA1971" s="138">
        <f t="shared" si="1448"/>
        <v>29</v>
      </c>
      <c r="CB1971" s="111" t="e">
        <f t="shared" si="1475"/>
        <v>#VALUE!</v>
      </c>
      <c r="CC1971" s="129">
        <f>G1971-I1971+1</f>
        <v>29</v>
      </c>
      <c r="CD1971" s="129">
        <f>G1971-J1971</f>
        <v>0</v>
      </c>
      <c r="CG1971" s="129" t="str">
        <f t="shared" si="1449"/>
        <v>Y</v>
      </c>
      <c r="CI1971" s="129" t="str">
        <f t="shared" si="1452"/>
        <v>11-30 DAYS</v>
      </c>
      <c r="CJ1971" s="137">
        <f t="shared" si="1453"/>
        <v>2</v>
      </c>
      <c r="CK1971" s="129" t="str">
        <f t="shared" si="1454"/>
        <v>Booked</v>
      </c>
    </row>
    <row r="1972" spans="1:89" ht="15.75" customHeight="1" x14ac:dyDescent="0.25">
      <c r="A1972" s="111">
        <v>756</v>
      </c>
      <c r="B1972" s="128" t="str">
        <f t="shared" si="1435"/>
        <v>N</v>
      </c>
      <c r="C1972" s="128" t="str">
        <f t="shared" si="1436"/>
        <v>N</v>
      </c>
      <c r="D1972" s="117">
        <v>2361680</v>
      </c>
      <c r="E1972" s="135">
        <f t="shared" si="1437"/>
        <v>6</v>
      </c>
      <c r="F1972" s="124">
        <v>40938</v>
      </c>
      <c r="G1972" s="125">
        <v>41680</v>
      </c>
      <c r="H1972" s="117">
        <v>2361680</v>
      </c>
      <c r="I1972" s="124">
        <v>41076</v>
      </c>
      <c r="J1972" s="125">
        <v>41680</v>
      </c>
      <c r="K1972" s="126">
        <v>30000</v>
      </c>
      <c r="L1972" s="129" t="s">
        <v>572</v>
      </c>
      <c r="N1972" s="129" t="s">
        <v>566</v>
      </c>
      <c r="O1972" s="128" t="s">
        <v>917</v>
      </c>
      <c r="P1972" s="129" t="s">
        <v>39</v>
      </c>
      <c r="Q1972" s="111">
        <v>163</v>
      </c>
      <c r="R1972" s="111">
        <f t="shared" si="1459"/>
        <v>743</v>
      </c>
      <c r="S1972" s="129">
        <v>1</v>
      </c>
      <c r="T1972" s="129">
        <v>4</v>
      </c>
      <c r="U1972" s="129">
        <v>1</v>
      </c>
      <c r="W1972" s="111"/>
      <c r="AB1972" s="131" t="s">
        <v>112</v>
      </c>
      <c r="AC1972" s="130"/>
      <c r="AD1972" s="130">
        <v>33322</v>
      </c>
      <c r="AE1972" s="128" t="s">
        <v>32</v>
      </c>
      <c r="AF1972" s="128" t="s">
        <v>40</v>
      </c>
      <c r="AG1972" s="128" t="s">
        <v>41</v>
      </c>
      <c r="AH1972" s="108" t="s">
        <v>31</v>
      </c>
      <c r="AI1972" s="128" t="s">
        <v>100</v>
      </c>
      <c r="AJ1972" s="129" t="s">
        <v>89</v>
      </c>
      <c r="AK1972" s="129">
        <v>20</v>
      </c>
      <c r="AL1972" s="3" t="s">
        <v>362</v>
      </c>
      <c r="AM1972" s="117">
        <v>10</v>
      </c>
      <c r="AP1972" s="129" t="s">
        <v>110</v>
      </c>
      <c r="AR1972" s="128" t="s">
        <v>50</v>
      </c>
      <c r="AS1972" s="129" t="s">
        <v>74</v>
      </c>
      <c r="AT1972" s="129" t="s">
        <v>1384</v>
      </c>
      <c r="BC1972" s="129" t="s">
        <v>52</v>
      </c>
      <c r="BF1972" s="111">
        <v>163</v>
      </c>
      <c r="BG1972" s="111">
        <f t="shared" si="1472"/>
        <v>605</v>
      </c>
      <c r="BH1972" s="111">
        <f t="shared" si="1432"/>
        <v>743</v>
      </c>
      <c r="BI1972" s="111">
        <f t="shared" si="1433"/>
        <v>20.808743169398905</v>
      </c>
      <c r="BJ1972" s="129">
        <f t="shared" si="1450"/>
        <v>0</v>
      </c>
      <c r="BK1972" s="129">
        <f t="shared" si="1434"/>
        <v>0</v>
      </c>
      <c r="BL1972" s="129" t="str">
        <f t="shared" si="1466"/>
        <v>CONVICTION</v>
      </c>
      <c r="BM1972" s="129" t="str">
        <f t="shared" si="1451"/>
        <v>NONE</v>
      </c>
      <c r="BN1972" s="129" t="s">
        <v>566</v>
      </c>
      <c r="BP1972" s="137" t="str">
        <f t="shared" si="1438"/>
        <v>CONVICTION</v>
      </c>
      <c r="BQ1972" s="128" t="str">
        <f t="shared" si="1439"/>
        <v>Y</v>
      </c>
      <c r="BR1972" s="129" t="str">
        <f t="shared" si="1440"/>
        <v>DETAINED</v>
      </c>
      <c r="BS1972" s="129" t="str">
        <f t="shared" si="1441"/>
        <v>DISPOSED</v>
      </c>
      <c r="BT1972" s="129" t="str">
        <f t="shared" si="1442"/>
        <v>Y</v>
      </c>
      <c r="BU1972" s="109">
        <f>IFERROR(Q1972/R1972,BR1972)</f>
        <v>0.21938088829071331</v>
      </c>
      <c r="BV1972" s="129">
        <v>21.94</v>
      </c>
      <c r="BW1972" s="109">
        <v>0</v>
      </c>
      <c r="BX1972" s="111">
        <f t="shared" si="1445"/>
        <v>0</v>
      </c>
      <c r="BY1972" s="129">
        <f t="shared" si="1446"/>
        <v>-605</v>
      </c>
      <c r="BZ1972" s="111">
        <f t="shared" si="1447"/>
        <v>-442</v>
      </c>
      <c r="CA1972" s="138">
        <f t="shared" si="1448"/>
        <v>605</v>
      </c>
      <c r="CB1972" s="111" t="e">
        <f t="shared" si="1475"/>
        <v>#VALUE!</v>
      </c>
      <c r="CC1972" s="129">
        <v>163</v>
      </c>
      <c r="CG1972" s="129" t="str">
        <f t="shared" si="1449"/>
        <v>Y</v>
      </c>
      <c r="CH1972" s="129" t="e">
        <v>#N/A</v>
      </c>
      <c r="CI1972" s="129" t="str">
        <f t="shared" si="1452"/>
        <v>121-365 DAYS</v>
      </c>
      <c r="CJ1972" s="137">
        <f t="shared" si="1453"/>
        <v>6</v>
      </c>
      <c r="CK1972" s="129" t="str">
        <f t="shared" si="1454"/>
        <v>Booked</v>
      </c>
    </row>
    <row r="1973" spans="1:89" ht="15" customHeight="1" x14ac:dyDescent="0.25">
      <c r="A1973" s="111">
        <v>2555</v>
      </c>
      <c r="B1973" s="128" t="str">
        <f t="shared" si="1435"/>
        <v>N</v>
      </c>
      <c r="C1973" s="128" t="str">
        <f t="shared" si="1436"/>
        <v>N</v>
      </c>
      <c r="D1973" s="117">
        <v>2361915</v>
      </c>
      <c r="E1973" s="135">
        <f t="shared" si="1437"/>
        <v>4</v>
      </c>
      <c r="F1973" s="124">
        <v>41004</v>
      </c>
      <c r="G1973" s="125">
        <v>41200</v>
      </c>
      <c r="H1973" s="117">
        <v>2361915</v>
      </c>
      <c r="I1973" s="124">
        <v>41004</v>
      </c>
      <c r="J1973" s="124">
        <v>41005</v>
      </c>
      <c r="K1973" s="126">
        <v>5000</v>
      </c>
      <c r="L1973" s="127" t="s">
        <v>569</v>
      </c>
      <c r="M1973" s="125">
        <v>41005</v>
      </c>
      <c r="N1973" s="129" t="str">
        <f>IF(M1973&gt;1/1/1,"Y","N")</f>
        <v>Y</v>
      </c>
      <c r="O1973" s="128" t="s">
        <v>585</v>
      </c>
      <c r="P1973" s="129" t="s">
        <v>39</v>
      </c>
      <c r="Q1973" s="111">
        <f>BF1973</f>
        <v>2</v>
      </c>
      <c r="R1973" s="111">
        <f t="shared" si="1459"/>
        <v>197</v>
      </c>
      <c r="S1973" s="129">
        <v>0</v>
      </c>
      <c r="T1973" s="129">
        <v>1</v>
      </c>
      <c r="W1973" s="111"/>
      <c r="AC1973" s="130"/>
      <c r="AD1973" s="130">
        <v>32903</v>
      </c>
      <c r="AE1973" s="128" t="s">
        <v>32</v>
      </c>
      <c r="AF1973" s="128" t="s">
        <v>69</v>
      </c>
      <c r="AG1973" s="128" t="s">
        <v>874</v>
      </c>
      <c r="AH1973" s="108" t="s">
        <v>31</v>
      </c>
      <c r="AI1973" s="128" t="s">
        <v>71</v>
      </c>
      <c r="AJ1973" s="129" t="s">
        <v>89</v>
      </c>
      <c r="AK1973" s="129">
        <v>8</v>
      </c>
      <c r="AL1973" s="3" t="s">
        <v>991</v>
      </c>
      <c r="AO1973" s="128">
        <v>3</v>
      </c>
      <c r="AP1973" s="129" t="s">
        <v>151</v>
      </c>
      <c r="AR1973" s="128" t="s">
        <v>67</v>
      </c>
      <c r="AS1973" s="129" t="s">
        <v>64</v>
      </c>
      <c r="AT1973" s="3" t="s">
        <v>848</v>
      </c>
      <c r="AU1973" s="129"/>
      <c r="BC1973" s="129" t="s">
        <v>52</v>
      </c>
      <c r="BF1973" s="111">
        <v>2</v>
      </c>
      <c r="BG1973" s="111">
        <f t="shared" si="1472"/>
        <v>197</v>
      </c>
      <c r="BH1973" s="111">
        <f t="shared" si="1432"/>
        <v>197</v>
      </c>
      <c r="BI1973" s="111">
        <f t="shared" si="1433"/>
        <v>22.133879781420767</v>
      </c>
      <c r="BJ1973" s="129">
        <f>(G1973-J1973)+(M1973-G1973)</f>
        <v>0</v>
      </c>
      <c r="BK1973" s="129">
        <f t="shared" si="1434"/>
        <v>-195</v>
      </c>
      <c r="BL1973" s="129" t="str">
        <f t="shared" si="1466"/>
        <v>CONVICTION</v>
      </c>
      <c r="BM1973" s="129" t="s">
        <v>76</v>
      </c>
      <c r="BN1973" s="129" t="s">
        <v>88</v>
      </c>
      <c r="BP1973" s="137" t="str">
        <f t="shared" si="1438"/>
        <v>CONVICTION</v>
      </c>
      <c r="BQ1973" s="128" t="str">
        <f t="shared" si="1439"/>
        <v>Y</v>
      </c>
      <c r="BR1973" s="129" t="str">
        <f>IF(J1973&lt;G1973,"ON BOND",0)</f>
        <v>ON BOND</v>
      </c>
      <c r="BS1973" s="129" t="str">
        <f t="shared" si="1441"/>
        <v>DISPOSED</v>
      </c>
      <c r="BT1973" s="129" t="str">
        <f t="shared" si="1442"/>
        <v>N</v>
      </c>
      <c r="BU1973" s="109">
        <f t="shared" si="1443"/>
        <v>1.015228426395939E-2</v>
      </c>
      <c r="BV1973" s="109">
        <f t="shared" si="1444"/>
        <v>1.015228426395939E-2</v>
      </c>
      <c r="BW1973" s="109">
        <f t="shared" ref="BW1973:BW2025" si="1477">BV1973-BU1973</f>
        <v>0</v>
      </c>
      <c r="BX1973" s="111">
        <f t="shared" si="1445"/>
        <v>0</v>
      </c>
      <c r="BY1973" s="129">
        <f t="shared" si="1446"/>
        <v>-2</v>
      </c>
      <c r="BZ1973" s="111">
        <f t="shared" si="1447"/>
        <v>0</v>
      </c>
      <c r="CA1973" s="138">
        <f t="shared" si="1448"/>
        <v>2</v>
      </c>
      <c r="CB1973" s="111" t="e">
        <f t="shared" si="1475"/>
        <v>#VALUE!</v>
      </c>
      <c r="CD1973" s="129">
        <f>G1973-J1973</f>
        <v>195</v>
      </c>
      <c r="CG1973" s="129" t="str">
        <f t="shared" si="1449"/>
        <v>Y</v>
      </c>
      <c r="CI1973" s="129" t="str">
        <f t="shared" si="1452"/>
        <v>0-10 DAYS</v>
      </c>
      <c r="CJ1973" s="137">
        <f t="shared" si="1453"/>
        <v>1</v>
      </c>
      <c r="CK1973" s="129" t="str">
        <f t="shared" si="1454"/>
        <v>Booked</v>
      </c>
    </row>
    <row r="1974" spans="1:89" ht="15" customHeight="1" x14ac:dyDescent="0.25">
      <c r="A1974" s="111">
        <v>881</v>
      </c>
      <c r="B1974" s="128" t="str">
        <f t="shared" si="1435"/>
        <v>N</v>
      </c>
      <c r="C1974" s="128" t="str">
        <f t="shared" si="1436"/>
        <v>N</v>
      </c>
      <c r="D1974" s="117">
        <v>2362352</v>
      </c>
      <c r="E1974" s="135">
        <f t="shared" si="1437"/>
        <v>1</v>
      </c>
      <c r="F1974" s="124">
        <v>40941</v>
      </c>
      <c r="G1974" s="125">
        <v>41152</v>
      </c>
      <c r="H1974" s="117">
        <v>2362352</v>
      </c>
      <c r="I1974" s="124">
        <v>40941</v>
      </c>
      <c r="J1974" s="124">
        <v>40944</v>
      </c>
      <c r="K1974" s="126">
        <v>10000</v>
      </c>
      <c r="L1974" s="127" t="s">
        <v>570</v>
      </c>
      <c r="M1974" s="125">
        <v>40944</v>
      </c>
      <c r="N1974" s="129" t="str">
        <f>IF(M1974&gt;1/1/1,"Y","N")</f>
        <v>Y</v>
      </c>
      <c r="O1974" s="128" t="s">
        <v>76</v>
      </c>
      <c r="P1974" s="129" t="s">
        <v>55</v>
      </c>
      <c r="Q1974" s="111">
        <f t="shared" si="1473"/>
        <v>4</v>
      </c>
      <c r="R1974" s="111">
        <f t="shared" si="1459"/>
        <v>212</v>
      </c>
      <c r="S1974" s="129">
        <v>1</v>
      </c>
      <c r="T1974" s="129">
        <v>2</v>
      </c>
      <c r="U1974" s="129">
        <v>1</v>
      </c>
      <c r="W1974" s="111"/>
      <c r="AC1974" s="130"/>
      <c r="AD1974" s="130">
        <v>32906</v>
      </c>
      <c r="AE1974" s="128" t="s">
        <v>32</v>
      </c>
      <c r="AF1974" s="128" t="s">
        <v>40</v>
      </c>
      <c r="AG1974" s="128" t="s">
        <v>41</v>
      </c>
      <c r="AH1974" s="108" t="s">
        <v>41</v>
      </c>
      <c r="AI1974" s="128" t="s">
        <v>85</v>
      </c>
      <c r="AJ1974" s="129" t="s">
        <v>55</v>
      </c>
      <c r="AK1974" s="129">
        <v>3</v>
      </c>
      <c r="AL1974" s="3" t="s">
        <v>55</v>
      </c>
      <c r="AP1974" s="129" t="s">
        <v>101</v>
      </c>
      <c r="AR1974" s="128" t="s">
        <v>67</v>
      </c>
      <c r="AS1974" s="129" t="s">
        <v>64</v>
      </c>
      <c r="AT1974" s="129" t="s">
        <v>1420</v>
      </c>
      <c r="BC1974" s="129" t="s">
        <v>38</v>
      </c>
      <c r="BF1974" s="111">
        <f t="shared" si="1474"/>
        <v>4</v>
      </c>
      <c r="BG1974" s="111">
        <f t="shared" si="1472"/>
        <v>212</v>
      </c>
      <c r="BH1974" s="111">
        <f t="shared" si="1432"/>
        <v>212</v>
      </c>
      <c r="BI1974" s="111">
        <f t="shared" si="1433"/>
        <v>21.953551912568305</v>
      </c>
      <c r="BJ1974" s="129">
        <f>(G1974-J1974)+(M1974-G1974)</f>
        <v>0</v>
      </c>
      <c r="BK1974" s="129">
        <f t="shared" si="1434"/>
        <v>-208</v>
      </c>
      <c r="BL1974" s="129" t="str">
        <f t="shared" si="1466"/>
        <v>NO CONVICTION</v>
      </c>
      <c r="BM1974" s="129" t="s">
        <v>76</v>
      </c>
      <c r="BN1974" s="129" t="s">
        <v>88</v>
      </c>
      <c r="BP1974" s="137" t="str">
        <f t="shared" si="1438"/>
        <v>NO CONVICTION</v>
      </c>
      <c r="BQ1974" s="128" t="str">
        <f t="shared" si="1439"/>
        <v>Y</v>
      </c>
      <c r="BR1974" s="129" t="str">
        <f t="shared" si="1440"/>
        <v>ON BOND</v>
      </c>
      <c r="BS1974" s="129" t="str">
        <f t="shared" si="1441"/>
        <v>DISPOSED</v>
      </c>
      <c r="BT1974" s="129" t="str">
        <f t="shared" si="1442"/>
        <v>Y</v>
      </c>
      <c r="BU1974" s="109">
        <f>IFERROR(Q1974/R1974,BR1974)</f>
        <v>1.8867924528301886E-2</v>
      </c>
      <c r="BV1974" s="109">
        <f t="shared" si="1444"/>
        <v>1.8867924528301886E-2</v>
      </c>
      <c r="BW1974" s="109">
        <f t="shared" si="1477"/>
        <v>0</v>
      </c>
      <c r="BX1974" s="111">
        <f t="shared" si="1445"/>
        <v>0</v>
      </c>
      <c r="BY1974" s="129">
        <f t="shared" si="1446"/>
        <v>-4</v>
      </c>
      <c r="BZ1974" s="111">
        <f t="shared" si="1447"/>
        <v>0</v>
      </c>
      <c r="CA1974" s="138">
        <f t="shared" si="1448"/>
        <v>4</v>
      </c>
      <c r="CB1974" s="111" t="e">
        <f t="shared" si="1475"/>
        <v>#VALUE!</v>
      </c>
      <c r="CC1974" s="129">
        <f>M1974-I1974+1</f>
        <v>4</v>
      </c>
      <c r="CD1974" s="111">
        <f>CC1974-BF1974</f>
        <v>0</v>
      </c>
      <c r="CG1974" s="129" t="str">
        <f t="shared" si="1449"/>
        <v>Y</v>
      </c>
      <c r="CI1974" s="129" t="str">
        <f t="shared" si="1452"/>
        <v>0-10 DAYS</v>
      </c>
      <c r="CJ1974" s="137">
        <f t="shared" si="1453"/>
        <v>1</v>
      </c>
      <c r="CK1974" s="129" t="str">
        <f t="shared" si="1454"/>
        <v>Booked</v>
      </c>
    </row>
    <row r="1975" spans="1:89" ht="15.75" customHeight="1" x14ac:dyDescent="0.25">
      <c r="A1975" s="111">
        <v>2118</v>
      </c>
      <c r="B1975" s="128" t="str">
        <f t="shared" si="1435"/>
        <v>N</v>
      </c>
      <c r="C1975" s="128" t="str">
        <f t="shared" si="1436"/>
        <v>N</v>
      </c>
      <c r="D1975" s="117">
        <v>2362902</v>
      </c>
      <c r="E1975" s="135">
        <f t="shared" si="1437"/>
        <v>6</v>
      </c>
      <c r="F1975" s="124">
        <v>40988</v>
      </c>
      <c r="G1975" s="125">
        <v>41039</v>
      </c>
      <c r="H1975" s="117">
        <v>2362902</v>
      </c>
      <c r="I1975" s="124">
        <v>41001</v>
      </c>
      <c r="J1975" s="124">
        <v>41039</v>
      </c>
      <c r="K1975" s="126" t="s">
        <v>564</v>
      </c>
      <c r="L1975" s="127" t="s">
        <v>564</v>
      </c>
      <c r="N1975" s="129" t="s">
        <v>566</v>
      </c>
      <c r="O1975" s="128" t="s">
        <v>917</v>
      </c>
      <c r="P1975" s="129" t="s">
        <v>39</v>
      </c>
      <c r="Q1975" s="111">
        <f t="shared" si="1473"/>
        <v>39</v>
      </c>
      <c r="R1975" s="111">
        <f t="shared" si="1459"/>
        <v>52</v>
      </c>
      <c r="S1975" s="129">
        <v>0</v>
      </c>
      <c r="T1975" s="129">
        <v>1</v>
      </c>
      <c r="W1975" s="111"/>
      <c r="AC1975" s="130"/>
      <c r="AD1975" s="130">
        <v>33334</v>
      </c>
      <c r="AE1975" s="128" t="s">
        <v>32</v>
      </c>
      <c r="AF1975" s="128" t="s">
        <v>33</v>
      </c>
      <c r="AG1975" s="128" t="s">
        <v>872</v>
      </c>
      <c r="AH1975" s="108" t="s">
        <v>31</v>
      </c>
      <c r="AI1975" s="128" t="s">
        <v>118</v>
      </c>
      <c r="AJ1975" s="129" t="s">
        <v>89</v>
      </c>
      <c r="AK1975" s="129">
        <v>3</v>
      </c>
      <c r="AL1975" s="3" t="s">
        <v>362</v>
      </c>
      <c r="AM1975" s="117">
        <v>2</v>
      </c>
      <c r="AP1975" s="129" t="s">
        <v>150</v>
      </c>
      <c r="AR1975" s="128" t="s">
        <v>67</v>
      </c>
      <c r="AS1975" s="129" t="s">
        <v>74</v>
      </c>
      <c r="BC1975" s="129" t="s">
        <v>38</v>
      </c>
      <c r="BF1975" s="111">
        <f t="shared" si="1474"/>
        <v>39</v>
      </c>
      <c r="BG1975" s="111">
        <f t="shared" si="1472"/>
        <v>39</v>
      </c>
      <c r="BH1975" s="111">
        <f t="shared" si="1432"/>
        <v>52</v>
      </c>
      <c r="BI1975" s="111">
        <f t="shared" si="1433"/>
        <v>20.912568306010929</v>
      </c>
      <c r="BJ1975" s="129">
        <f t="shared" si="1450"/>
        <v>0</v>
      </c>
      <c r="BK1975" s="129">
        <f t="shared" si="1434"/>
        <v>0</v>
      </c>
      <c r="BL1975" s="129" t="str">
        <f t="shared" si="1466"/>
        <v>CONVICTION</v>
      </c>
      <c r="BM1975" s="129" t="str">
        <f t="shared" si="1451"/>
        <v>NONE</v>
      </c>
      <c r="BN1975" s="129" t="s">
        <v>566</v>
      </c>
      <c r="BP1975" s="137" t="str">
        <f t="shared" si="1438"/>
        <v>CONVICTION</v>
      </c>
      <c r="BQ1975" s="128" t="str">
        <f t="shared" si="1439"/>
        <v>Y</v>
      </c>
      <c r="BR1975" s="129" t="str">
        <f t="shared" si="1440"/>
        <v>DETAINED</v>
      </c>
      <c r="BS1975" s="129" t="str">
        <f t="shared" si="1441"/>
        <v>DISPOSED</v>
      </c>
      <c r="BT1975" s="129" t="str">
        <f t="shared" si="1442"/>
        <v>N</v>
      </c>
      <c r="BU1975" s="109">
        <f t="shared" si="1443"/>
        <v>0.75</v>
      </c>
      <c r="BV1975" s="109">
        <f t="shared" si="1444"/>
        <v>1</v>
      </c>
      <c r="BW1975" s="109">
        <f t="shared" si="1477"/>
        <v>0.25</v>
      </c>
      <c r="BX1975" s="111">
        <f t="shared" si="1445"/>
        <v>0</v>
      </c>
      <c r="BY1975" s="129">
        <f t="shared" si="1446"/>
        <v>-39</v>
      </c>
      <c r="BZ1975" s="111">
        <f t="shared" si="1447"/>
        <v>0</v>
      </c>
      <c r="CA1975" s="138">
        <f t="shared" si="1448"/>
        <v>39</v>
      </c>
      <c r="CB1975" s="111" t="e">
        <f t="shared" si="1475"/>
        <v>#VALUE!</v>
      </c>
      <c r="CC1975" s="129">
        <f>G1975-I1975+1</f>
        <v>39</v>
      </c>
      <c r="CD1975" s="129">
        <f>G1975-J1975</f>
        <v>0</v>
      </c>
      <c r="CG1975" s="129" t="str">
        <f t="shared" si="1449"/>
        <v>Y</v>
      </c>
      <c r="CI1975" s="129" t="str">
        <f t="shared" si="1452"/>
        <v>31-60 DAYS</v>
      </c>
      <c r="CJ1975" s="137">
        <f t="shared" si="1453"/>
        <v>3</v>
      </c>
      <c r="CK1975" s="129" t="str">
        <f t="shared" si="1454"/>
        <v>Booked</v>
      </c>
    </row>
    <row r="1976" spans="1:89" ht="15.75" customHeight="1" x14ac:dyDescent="0.25">
      <c r="A1976" s="111">
        <v>1473</v>
      </c>
      <c r="B1976" s="128" t="str">
        <f t="shared" si="1435"/>
        <v>N</v>
      </c>
      <c r="C1976" s="128" t="str">
        <f t="shared" si="1436"/>
        <v>N</v>
      </c>
      <c r="D1976" s="117">
        <v>2362997</v>
      </c>
      <c r="E1976" s="135">
        <f t="shared" si="1437"/>
        <v>2</v>
      </c>
      <c r="F1976" s="124">
        <v>40962</v>
      </c>
      <c r="G1976" s="125">
        <v>41023</v>
      </c>
      <c r="H1976" s="117">
        <v>2362997</v>
      </c>
      <c r="I1976" s="124" t="s">
        <v>562</v>
      </c>
      <c r="J1976" s="124" t="s">
        <v>562</v>
      </c>
      <c r="K1976" s="126">
        <v>2000</v>
      </c>
      <c r="L1976" s="127" t="s">
        <v>568</v>
      </c>
      <c r="M1976" s="125">
        <v>40964</v>
      </c>
      <c r="N1976" s="129" t="str">
        <f>IF(M1976&gt;1/1/1,"Y",IF(Q1976="0","","N"))</f>
        <v>Y</v>
      </c>
      <c r="O1976" s="128" t="s">
        <v>76</v>
      </c>
      <c r="P1976" s="129" t="s">
        <v>589</v>
      </c>
      <c r="Q1976" s="111">
        <f t="shared" si="1473"/>
        <v>0</v>
      </c>
      <c r="R1976" s="111">
        <f t="shared" si="1459"/>
        <v>62</v>
      </c>
      <c r="S1976" s="129">
        <v>0</v>
      </c>
      <c r="T1976" s="129">
        <v>1</v>
      </c>
      <c r="W1976" s="111"/>
      <c r="AC1976" s="130"/>
      <c r="AD1976" s="130">
        <v>33068</v>
      </c>
      <c r="AE1976" s="128" t="s">
        <v>32</v>
      </c>
      <c r="AF1976" s="128" t="s">
        <v>33</v>
      </c>
      <c r="AG1976" s="128" t="s">
        <v>872</v>
      </c>
      <c r="AH1976" s="108" t="s">
        <v>31</v>
      </c>
      <c r="AI1976" s="128" t="s">
        <v>114</v>
      </c>
      <c r="AJ1976" s="129" t="s">
        <v>48</v>
      </c>
      <c r="AK1976" s="129">
        <v>3</v>
      </c>
      <c r="AL1976" s="3" t="s">
        <v>48</v>
      </c>
      <c r="AP1976" s="129" t="s">
        <v>175</v>
      </c>
      <c r="AR1976" s="128" t="s">
        <v>44</v>
      </c>
      <c r="AS1976" s="129" t="s">
        <v>45</v>
      </c>
      <c r="BC1976" s="129" t="s">
        <v>52</v>
      </c>
      <c r="BF1976" s="111">
        <v>0</v>
      </c>
      <c r="BG1976" s="111">
        <v>0</v>
      </c>
      <c r="BH1976" s="111">
        <f t="shared" si="1432"/>
        <v>62</v>
      </c>
      <c r="BI1976" s="111">
        <f t="shared" si="1433"/>
        <v>21.568306010928961</v>
      </c>
      <c r="BJ1976" s="129" t="e">
        <f>(G1976-J1976)+(M1976-G1976)</f>
        <v>#VALUE!</v>
      </c>
      <c r="BK1976" s="129" t="e">
        <f t="shared" si="1434"/>
        <v>#VALUE!</v>
      </c>
      <c r="BL1976" s="129" t="str">
        <f t="shared" si="1466"/>
        <v>DEFERRED</v>
      </c>
      <c r="BM1976" s="129" t="s">
        <v>76</v>
      </c>
      <c r="BN1976" s="129" t="s">
        <v>88</v>
      </c>
      <c r="BP1976" s="137" t="str">
        <f t="shared" si="1438"/>
        <v>DEFERRED</v>
      </c>
      <c r="BQ1976" s="128">
        <f t="shared" si="1439"/>
        <v>0</v>
      </c>
      <c r="BR1976" s="129" t="s">
        <v>575</v>
      </c>
      <c r="BS1976" s="129" t="str">
        <f t="shared" si="1441"/>
        <v>DISPOSED</v>
      </c>
      <c r="BT1976" s="129" t="str">
        <f t="shared" si="1442"/>
        <v>N</v>
      </c>
      <c r="BU1976" s="109">
        <f t="shared" si="1443"/>
        <v>0</v>
      </c>
      <c r="BV1976" s="109">
        <v>0</v>
      </c>
      <c r="BW1976" s="109">
        <f t="shared" si="1477"/>
        <v>0</v>
      </c>
      <c r="BX1976" s="111">
        <f t="shared" si="1445"/>
        <v>0</v>
      </c>
      <c r="BY1976" s="129" t="e">
        <f t="shared" si="1446"/>
        <v>#VALUE!</v>
      </c>
      <c r="BZ1976" s="111" t="e">
        <f t="shared" si="1447"/>
        <v>#VALUE!</v>
      </c>
      <c r="CA1976" s="138" t="e">
        <f t="shared" si="1448"/>
        <v>#VALUE!</v>
      </c>
      <c r="CB1976" s="111">
        <v>0</v>
      </c>
      <c r="CC1976" s="129">
        <v>0</v>
      </c>
      <c r="CD1976" s="111">
        <f>CC1976-BF1976</f>
        <v>0</v>
      </c>
      <c r="CG1976" s="129" t="str">
        <f t="shared" si="1449"/>
        <v>Y</v>
      </c>
      <c r="CI1976" s="129" t="str">
        <f t="shared" si="1452"/>
        <v>0-10 DAYS</v>
      </c>
      <c r="CJ1976" s="137">
        <f t="shared" si="1453"/>
        <v>1</v>
      </c>
      <c r="CK1976" s="129" t="str">
        <f t="shared" si="1454"/>
        <v>Not Booked</v>
      </c>
    </row>
    <row r="1977" spans="1:89" ht="15.75" customHeight="1" x14ac:dyDescent="0.25">
      <c r="A1977" s="111">
        <v>1983</v>
      </c>
      <c r="B1977" s="128" t="str">
        <f t="shared" si="1435"/>
        <v>N</v>
      </c>
      <c r="C1977" s="128" t="str">
        <f t="shared" si="1436"/>
        <v>N</v>
      </c>
      <c r="D1977" s="117">
        <v>2363233</v>
      </c>
      <c r="E1977" s="135">
        <f t="shared" si="1437"/>
        <v>5</v>
      </c>
      <c r="F1977" s="124">
        <v>40983</v>
      </c>
      <c r="G1977" s="125">
        <v>41082</v>
      </c>
      <c r="H1977" s="117">
        <v>2363233</v>
      </c>
      <c r="I1977" s="124">
        <v>40983</v>
      </c>
      <c r="J1977" s="124">
        <v>40985</v>
      </c>
      <c r="K1977" s="126">
        <v>15000</v>
      </c>
      <c r="L1977" s="127" t="s">
        <v>571</v>
      </c>
      <c r="M1977" s="125">
        <v>40985</v>
      </c>
      <c r="N1977" s="129" t="str">
        <f>IF(M1977&gt;1/1/1,"Y","N")</f>
        <v>Y</v>
      </c>
      <c r="O1977" s="128" t="s">
        <v>585</v>
      </c>
      <c r="P1977" s="129" t="s">
        <v>39</v>
      </c>
      <c r="Q1977" s="111">
        <f t="shared" si="1473"/>
        <v>6</v>
      </c>
      <c r="R1977" s="111">
        <f t="shared" si="1459"/>
        <v>100</v>
      </c>
      <c r="S1977" s="129">
        <v>2</v>
      </c>
      <c r="T1977" s="129">
        <v>2</v>
      </c>
      <c r="W1977" s="111"/>
      <c r="AC1977" s="130"/>
      <c r="AD1977" s="130">
        <v>31123</v>
      </c>
      <c r="AE1977" s="128" t="s">
        <v>32</v>
      </c>
      <c r="AF1977" s="128" t="s">
        <v>33</v>
      </c>
      <c r="AG1977" s="128" t="s">
        <v>872</v>
      </c>
      <c r="AH1977" s="108" t="s">
        <v>58</v>
      </c>
      <c r="AI1977" s="128" t="s">
        <v>83</v>
      </c>
      <c r="AJ1977" s="129" t="s">
        <v>89</v>
      </c>
      <c r="AK1977" s="129">
        <v>5</v>
      </c>
      <c r="AL1977" s="3" t="s">
        <v>992</v>
      </c>
      <c r="AN1977" s="117">
        <v>6</v>
      </c>
      <c r="AP1977" s="129" t="s">
        <v>43</v>
      </c>
      <c r="AR1977" s="128" t="s">
        <v>44</v>
      </c>
      <c r="AS1977" s="129" t="s">
        <v>45</v>
      </c>
      <c r="AT1977" s="3" t="s">
        <v>841</v>
      </c>
      <c r="AU1977" s="129"/>
      <c r="BC1977" s="129" t="s">
        <v>52</v>
      </c>
      <c r="BD1977" s="152"/>
      <c r="BF1977" s="111">
        <v>6</v>
      </c>
      <c r="BG1977" s="111">
        <f>IF(G1977&gt;1/1/1900,((G1977+1)-I1977),"STILL OPEN")</f>
        <v>100</v>
      </c>
      <c r="BH1977" s="111">
        <f t="shared" si="1432"/>
        <v>100</v>
      </c>
      <c r="BI1977" s="111">
        <f t="shared" si="1433"/>
        <v>26.939890710382514</v>
      </c>
      <c r="BJ1977" s="129">
        <f>(G1977-J1977)+(M1977-G1977)</f>
        <v>0</v>
      </c>
      <c r="BK1977" s="129">
        <f t="shared" si="1434"/>
        <v>-97</v>
      </c>
      <c r="BL1977" s="129" t="str">
        <f t="shared" si="1466"/>
        <v>CONVICTION</v>
      </c>
      <c r="BM1977" s="129" t="s">
        <v>76</v>
      </c>
      <c r="BN1977" s="129" t="s">
        <v>88</v>
      </c>
      <c r="BP1977" s="137" t="str">
        <f t="shared" si="1438"/>
        <v>CONVICTION</v>
      </c>
      <c r="BQ1977" s="128" t="str">
        <f t="shared" si="1439"/>
        <v>Y</v>
      </c>
      <c r="BR1977" s="129" t="str">
        <f>IF(J1977&lt;G1977,"ON BOND",0)</f>
        <v>ON BOND</v>
      </c>
      <c r="BS1977" s="129" t="str">
        <f t="shared" si="1441"/>
        <v>DISPOSED</v>
      </c>
      <c r="BT1977" s="129" t="str">
        <f t="shared" si="1442"/>
        <v>Y</v>
      </c>
      <c r="BU1977" s="109">
        <f t="shared" si="1443"/>
        <v>0.06</v>
      </c>
      <c r="BV1977" s="109">
        <f t="shared" si="1444"/>
        <v>0.03</v>
      </c>
      <c r="BW1977" s="109">
        <f t="shared" si="1477"/>
        <v>-0.03</v>
      </c>
      <c r="BX1977" s="111">
        <f t="shared" si="1445"/>
        <v>0</v>
      </c>
      <c r="BY1977" s="129">
        <f t="shared" si="1446"/>
        <v>-3</v>
      </c>
      <c r="BZ1977" s="111">
        <f t="shared" si="1447"/>
        <v>3</v>
      </c>
      <c r="CA1977" s="138">
        <f t="shared" si="1448"/>
        <v>3</v>
      </c>
      <c r="CB1977" s="111" t="e">
        <f>IF(AF1977&gt;1/1/1900,((AF1977+1)-AE1977),"STILL OPEN")</f>
        <v>#VALUE!</v>
      </c>
      <c r="CD1977" s="129">
        <f>G1977-J1977</f>
        <v>97</v>
      </c>
      <c r="CG1977" s="129" t="str">
        <f t="shared" si="1449"/>
        <v>Y</v>
      </c>
      <c r="CI1977" s="129" t="str">
        <f t="shared" si="1452"/>
        <v>0-10 DAYS</v>
      </c>
      <c r="CJ1977" s="137">
        <f t="shared" si="1453"/>
        <v>1</v>
      </c>
      <c r="CK1977" s="129" t="str">
        <f t="shared" si="1454"/>
        <v>Booked</v>
      </c>
    </row>
    <row r="1978" spans="1:89" ht="15" customHeight="1" x14ac:dyDescent="0.25">
      <c r="A1978" s="111">
        <v>770</v>
      </c>
      <c r="B1978" s="128" t="str">
        <f t="shared" si="1435"/>
        <v>N</v>
      </c>
      <c r="C1978" s="128" t="str">
        <f t="shared" si="1436"/>
        <v>N</v>
      </c>
      <c r="D1978" s="117">
        <v>2364083</v>
      </c>
      <c r="E1978" s="135">
        <f t="shared" si="1437"/>
        <v>2</v>
      </c>
      <c r="F1978" s="124">
        <v>40939</v>
      </c>
      <c r="G1978" s="125">
        <v>41206</v>
      </c>
      <c r="H1978" s="117">
        <v>2364083</v>
      </c>
      <c r="I1978" s="124">
        <v>40939</v>
      </c>
      <c r="J1978" s="124">
        <v>40940</v>
      </c>
      <c r="K1978" s="126">
        <v>20000</v>
      </c>
      <c r="L1978" s="127" t="s">
        <v>571</v>
      </c>
      <c r="M1978" s="125">
        <v>40940</v>
      </c>
      <c r="N1978" s="129" t="str">
        <f>IF(M1978&gt;1/1/1,"Y","N")</f>
        <v>Y</v>
      </c>
      <c r="O1978" s="128" t="s">
        <v>76</v>
      </c>
      <c r="P1978" s="129" t="s">
        <v>589</v>
      </c>
      <c r="Q1978" s="111">
        <f t="shared" si="1473"/>
        <v>2</v>
      </c>
      <c r="R1978" s="111">
        <f t="shared" si="1459"/>
        <v>268</v>
      </c>
      <c r="S1978" s="129">
        <v>0</v>
      </c>
      <c r="T1978" s="129">
        <v>1</v>
      </c>
      <c r="W1978" s="111"/>
      <c r="AB1978" s="131" t="s">
        <v>112</v>
      </c>
      <c r="AC1978" s="130"/>
      <c r="AD1978" s="130">
        <v>28464</v>
      </c>
      <c r="AE1978" s="128" t="s">
        <v>32</v>
      </c>
      <c r="AF1978" s="128" t="s">
        <v>40</v>
      </c>
      <c r="AG1978" s="128" t="s">
        <v>41</v>
      </c>
      <c r="AH1978" s="108" t="s">
        <v>31</v>
      </c>
      <c r="AI1978" s="128" t="s">
        <v>141</v>
      </c>
      <c r="AJ1978" s="129" t="s">
        <v>48</v>
      </c>
      <c r="AK1978" s="129">
        <v>9</v>
      </c>
      <c r="AL1978" s="3" t="s">
        <v>48</v>
      </c>
      <c r="AP1978" s="129" t="s">
        <v>132</v>
      </c>
      <c r="AR1978" s="128" t="s">
        <v>92</v>
      </c>
      <c r="AS1978" s="129" t="s">
        <v>82</v>
      </c>
      <c r="BC1978" s="129" t="s">
        <v>52</v>
      </c>
      <c r="BF1978" s="111">
        <f>IF(J1978&gt;1/1/1900,((J1978+1)-I1978),"STILL OPEN")</f>
        <v>2</v>
      </c>
      <c r="BG1978" s="111">
        <f>IF(G1978&gt;1/1/1900,((G1978+1)-I1978),"STILL OPEN")</f>
        <v>268</v>
      </c>
      <c r="BH1978" s="111">
        <f t="shared" si="1432"/>
        <v>268</v>
      </c>
      <c r="BI1978" s="111">
        <f t="shared" si="1433"/>
        <v>34.084699453551913</v>
      </c>
      <c r="BJ1978" s="129">
        <f>(G1978-J1978)+(M1978-G1978)</f>
        <v>0</v>
      </c>
      <c r="BK1978" s="129">
        <f t="shared" si="1434"/>
        <v>-266</v>
      </c>
      <c r="BL1978" s="129" t="str">
        <f t="shared" si="1466"/>
        <v>DEFERRED</v>
      </c>
      <c r="BM1978" s="129" t="s">
        <v>76</v>
      </c>
      <c r="BN1978" s="129" t="s">
        <v>88</v>
      </c>
      <c r="BP1978" s="137" t="str">
        <f t="shared" si="1438"/>
        <v>DEFERRED</v>
      </c>
      <c r="BQ1978" s="128" t="str">
        <f t="shared" si="1439"/>
        <v>Y</v>
      </c>
      <c r="BR1978" s="129" t="str">
        <f t="shared" si="1440"/>
        <v>ON BOND</v>
      </c>
      <c r="BS1978" s="129" t="str">
        <f t="shared" si="1441"/>
        <v>DISPOSED</v>
      </c>
      <c r="BT1978" s="129" t="str">
        <f t="shared" si="1442"/>
        <v>N</v>
      </c>
      <c r="BU1978" s="109">
        <f t="shared" si="1443"/>
        <v>7.462686567164179E-3</v>
      </c>
      <c r="BV1978" s="109">
        <f t="shared" si="1444"/>
        <v>7.462686567164179E-3</v>
      </c>
      <c r="BW1978" s="109">
        <f t="shared" si="1477"/>
        <v>0</v>
      </c>
      <c r="BX1978" s="111">
        <f t="shared" si="1445"/>
        <v>0</v>
      </c>
      <c r="BY1978" s="129">
        <f t="shared" si="1446"/>
        <v>-2</v>
      </c>
      <c r="BZ1978" s="111">
        <f t="shared" si="1447"/>
        <v>0</v>
      </c>
      <c r="CA1978" s="138">
        <f t="shared" si="1448"/>
        <v>2</v>
      </c>
      <c r="CB1978" s="111" t="e">
        <f>IF(AF1978&gt;1/1/1900,((AF1978+1)-AE1978),"STILL OPEN")</f>
        <v>#VALUE!</v>
      </c>
      <c r="CC1978" s="129">
        <f>M1978-I1978+1</f>
        <v>2</v>
      </c>
      <c r="CD1978" s="111">
        <f>CC1978-BF1978</f>
        <v>0</v>
      </c>
      <c r="CG1978" s="129" t="str">
        <f t="shared" si="1449"/>
        <v>Y</v>
      </c>
      <c r="CI1978" s="129" t="str">
        <f t="shared" si="1452"/>
        <v>0-10 DAYS</v>
      </c>
      <c r="CJ1978" s="137">
        <f t="shared" si="1453"/>
        <v>1</v>
      </c>
      <c r="CK1978" s="129" t="str">
        <f t="shared" si="1454"/>
        <v>Booked</v>
      </c>
    </row>
    <row r="1979" spans="1:89" ht="15" customHeight="1" x14ac:dyDescent="0.25">
      <c r="A1979" s="111">
        <v>377</v>
      </c>
      <c r="B1979" s="128" t="str">
        <f t="shared" si="1435"/>
        <v>N</v>
      </c>
      <c r="C1979" s="128" t="str">
        <f t="shared" si="1436"/>
        <v>N</v>
      </c>
      <c r="D1979" s="117">
        <v>2364316</v>
      </c>
      <c r="E1979" s="135">
        <f t="shared" si="1437"/>
        <v>4</v>
      </c>
      <c r="F1979" s="124">
        <v>40837</v>
      </c>
      <c r="G1979" s="125">
        <v>40981</v>
      </c>
      <c r="H1979" s="117">
        <v>2364316</v>
      </c>
      <c r="I1979" s="124">
        <v>40971</v>
      </c>
      <c r="J1979" s="124">
        <v>40981</v>
      </c>
      <c r="K1979" s="126">
        <v>5000</v>
      </c>
      <c r="L1979" s="127" t="s">
        <v>569</v>
      </c>
      <c r="M1979" s="125">
        <v>41002</v>
      </c>
      <c r="N1979" s="129" t="str">
        <f>IF(M1979&gt;1/1/1,"Y","N")</f>
        <v>Y</v>
      </c>
      <c r="O1979" s="128" t="s">
        <v>76</v>
      </c>
      <c r="P1979" s="129" t="s">
        <v>77</v>
      </c>
      <c r="Q1979" s="111">
        <f t="shared" si="1473"/>
        <v>11</v>
      </c>
      <c r="R1979" s="111">
        <f t="shared" si="1459"/>
        <v>145</v>
      </c>
      <c r="S1979" s="129">
        <v>0</v>
      </c>
      <c r="T1979" s="129">
        <v>1</v>
      </c>
      <c r="W1979" s="111"/>
      <c r="AC1979" s="130"/>
      <c r="AD1979" s="130">
        <v>33381</v>
      </c>
      <c r="AE1979" s="128" t="s">
        <v>32</v>
      </c>
      <c r="AF1979" s="128" t="s">
        <v>33</v>
      </c>
      <c r="AG1979" s="128" t="s">
        <v>872</v>
      </c>
      <c r="AH1979" s="108" t="s">
        <v>31</v>
      </c>
      <c r="AI1979" s="128" t="s">
        <v>42</v>
      </c>
      <c r="AJ1979" s="129" t="s">
        <v>89</v>
      </c>
      <c r="AK1979" s="129">
        <v>6</v>
      </c>
      <c r="AL1979" s="3" t="s">
        <v>991</v>
      </c>
      <c r="AO1979" s="128">
        <v>120</v>
      </c>
      <c r="AP1979" s="129" t="s">
        <v>43</v>
      </c>
      <c r="AR1979" s="128" t="s">
        <v>44</v>
      </c>
      <c r="AS1979" s="129" t="s">
        <v>64</v>
      </c>
      <c r="BC1979" s="129" t="s">
        <v>52</v>
      </c>
      <c r="BF1979" s="111">
        <f>IF(J1979&gt;1/1/1900,((J1979+1)-I1979),"STILL OPEN")</f>
        <v>11</v>
      </c>
      <c r="BG1979" s="111">
        <f>IF(G1979&gt;1/1/1900,((G1979+1)-I1979),"STILL OPEN")</f>
        <v>11</v>
      </c>
      <c r="BH1979" s="111">
        <f t="shared" si="1432"/>
        <v>145</v>
      </c>
      <c r="BI1979" s="111">
        <f t="shared" si="1433"/>
        <v>20.371584699453553</v>
      </c>
      <c r="BJ1979" s="129">
        <f>G1979-J1979</f>
        <v>0</v>
      </c>
      <c r="BK1979" s="129">
        <f t="shared" si="1434"/>
        <v>0</v>
      </c>
      <c r="BL1979" s="129" t="str">
        <f t="shared" si="1466"/>
        <v>CONVICTION</v>
      </c>
      <c r="BM1979" s="129" t="s">
        <v>76</v>
      </c>
      <c r="BN1979" s="129" t="s">
        <v>88</v>
      </c>
      <c r="BP1979" s="137" t="str">
        <f t="shared" si="1438"/>
        <v>CONVICTION</v>
      </c>
      <c r="BQ1979" s="128" t="str">
        <f t="shared" si="1439"/>
        <v>Y</v>
      </c>
      <c r="BR1979" s="129" t="str">
        <f t="shared" si="1440"/>
        <v>ON BOND</v>
      </c>
      <c r="BS1979" s="129" t="str">
        <f t="shared" si="1441"/>
        <v>DISPOSED</v>
      </c>
      <c r="BT1979" s="129" t="str">
        <f t="shared" si="1442"/>
        <v>N</v>
      </c>
      <c r="BU1979" s="109">
        <f t="shared" si="1443"/>
        <v>7.586206896551724E-2</v>
      </c>
      <c r="BV1979" s="109">
        <f t="shared" si="1444"/>
        <v>1</v>
      </c>
      <c r="BW1979" s="109">
        <f t="shared" si="1477"/>
        <v>0.92413793103448272</v>
      </c>
      <c r="BX1979" s="111">
        <f t="shared" si="1445"/>
        <v>0</v>
      </c>
      <c r="BY1979" s="129">
        <f t="shared" si="1446"/>
        <v>-11</v>
      </c>
      <c r="BZ1979" s="111">
        <f t="shared" si="1447"/>
        <v>0</v>
      </c>
      <c r="CA1979" s="138">
        <f t="shared" si="1448"/>
        <v>32</v>
      </c>
      <c r="CB1979" s="111" t="e">
        <f>IF(AF1979&gt;1/1/1900,((AF1979+1)-AE1979),"STILL OPEN")</f>
        <v>#VALUE!</v>
      </c>
      <c r="CC1979" s="129">
        <f>M1979-I1979+1</f>
        <v>32</v>
      </c>
      <c r="CD1979" s="111">
        <f>CC1979-BF1979</f>
        <v>21</v>
      </c>
      <c r="CG1979" s="129" t="str">
        <f t="shared" si="1449"/>
        <v>Y</v>
      </c>
      <c r="CI1979" s="129" t="str">
        <f t="shared" si="1452"/>
        <v>11-30 DAYS</v>
      </c>
      <c r="CJ1979" s="137">
        <f t="shared" si="1453"/>
        <v>2</v>
      </c>
      <c r="CK1979" s="129" t="str">
        <f t="shared" si="1454"/>
        <v>Booked</v>
      </c>
    </row>
    <row r="1980" spans="1:89" ht="15.75" customHeight="1" x14ac:dyDescent="0.25">
      <c r="A1980" s="111">
        <v>958</v>
      </c>
      <c r="B1980" s="128" t="str">
        <f t="shared" si="1435"/>
        <v>N</v>
      </c>
      <c r="C1980" s="128" t="str">
        <f t="shared" si="1436"/>
        <v>N</v>
      </c>
      <c r="D1980" s="117">
        <v>2364826</v>
      </c>
      <c r="E1980" s="135">
        <f t="shared" si="1437"/>
        <v>2</v>
      </c>
      <c r="F1980" s="124">
        <v>40944</v>
      </c>
      <c r="G1980" s="125">
        <v>41058</v>
      </c>
      <c r="H1980" s="117">
        <v>2364826</v>
      </c>
      <c r="I1980" s="124" t="s">
        <v>562</v>
      </c>
      <c r="J1980" s="124" t="s">
        <v>562</v>
      </c>
      <c r="K1980" s="126">
        <v>2000</v>
      </c>
      <c r="L1980" s="127" t="s">
        <v>568</v>
      </c>
      <c r="M1980" s="125">
        <v>40945</v>
      </c>
      <c r="N1980" s="129" t="str">
        <f>IF(M1980&gt;1/1/1,"Y",IF(Q1980="0","","N"))</f>
        <v>Y</v>
      </c>
      <c r="O1980" s="128" t="s">
        <v>76</v>
      </c>
      <c r="P1980" s="129" t="s">
        <v>589</v>
      </c>
      <c r="Q1980" s="111">
        <f t="shared" si="1473"/>
        <v>0</v>
      </c>
      <c r="R1980" s="111">
        <f t="shared" si="1459"/>
        <v>115</v>
      </c>
      <c r="S1980" s="129">
        <v>0</v>
      </c>
      <c r="T1980" s="129">
        <v>0</v>
      </c>
      <c r="W1980" s="111"/>
      <c r="AC1980" s="130"/>
      <c r="AD1980" s="130">
        <v>31320</v>
      </c>
      <c r="AE1980" s="128" t="s">
        <v>46</v>
      </c>
      <c r="AF1980" s="128" t="s">
        <v>33</v>
      </c>
      <c r="AG1980" s="128" t="s">
        <v>872</v>
      </c>
      <c r="AH1980" s="108" t="s">
        <v>31</v>
      </c>
      <c r="AI1980" s="128" t="s">
        <v>118</v>
      </c>
      <c r="AJ1980" s="129" t="s">
        <v>48</v>
      </c>
      <c r="AK1980" s="129">
        <v>6</v>
      </c>
      <c r="AL1980" s="3" t="s">
        <v>48</v>
      </c>
      <c r="AP1980" s="129" t="s">
        <v>155</v>
      </c>
      <c r="AR1980" s="128" t="s">
        <v>44</v>
      </c>
      <c r="AS1980" s="129" t="s">
        <v>64</v>
      </c>
      <c r="BC1980" s="129" t="s">
        <v>52</v>
      </c>
      <c r="BF1980" s="111">
        <v>0</v>
      </c>
      <c r="BG1980" s="111">
        <v>0</v>
      </c>
      <c r="BH1980" s="111">
        <f t="shared" si="1432"/>
        <v>115</v>
      </c>
      <c r="BI1980" s="111">
        <f t="shared" si="1433"/>
        <v>26.295081967213115</v>
      </c>
      <c r="BJ1980" s="129" t="e">
        <f>(G1980-J1980)+(M1980-G1980)</f>
        <v>#VALUE!</v>
      </c>
      <c r="BK1980" s="129" t="e">
        <f t="shared" si="1434"/>
        <v>#VALUE!</v>
      </c>
      <c r="BL1980" s="129" t="str">
        <f t="shared" si="1466"/>
        <v>DEFERRED</v>
      </c>
      <c r="BM1980" s="129" t="s">
        <v>76</v>
      </c>
      <c r="BN1980" s="129" t="s">
        <v>88</v>
      </c>
      <c r="BP1980" s="137" t="str">
        <f t="shared" si="1438"/>
        <v>DEFERRED</v>
      </c>
      <c r="BQ1980" s="128">
        <f t="shared" si="1439"/>
        <v>0</v>
      </c>
      <c r="BR1980" s="129" t="s">
        <v>575</v>
      </c>
      <c r="BS1980" s="129" t="str">
        <f t="shared" si="1441"/>
        <v>DISPOSED</v>
      </c>
      <c r="BT1980" s="129" t="str">
        <f t="shared" si="1442"/>
        <v>N</v>
      </c>
      <c r="BU1980" s="109">
        <f t="shared" si="1443"/>
        <v>0</v>
      </c>
      <c r="BV1980" s="109">
        <v>0</v>
      </c>
      <c r="BW1980" s="109">
        <f t="shared" si="1477"/>
        <v>0</v>
      </c>
      <c r="BX1980" s="111">
        <f t="shared" si="1445"/>
        <v>0</v>
      </c>
      <c r="BY1980" s="129" t="e">
        <f t="shared" si="1446"/>
        <v>#VALUE!</v>
      </c>
      <c r="BZ1980" s="111" t="e">
        <f t="shared" si="1447"/>
        <v>#VALUE!</v>
      </c>
      <c r="CA1980" s="138" t="e">
        <f t="shared" si="1448"/>
        <v>#VALUE!</v>
      </c>
      <c r="CB1980" s="111">
        <v>0</v>
      </c>
      <c r="CC1980" s="129">
        <v>0</v>
      </c>
      <c r="CD1980" s="111">
        <f>CC1980-BF1980</f>
        <v>0</v>
      </c>
      <c r="CG1980" s="129" t="str">
        <f t="shared" si="1449"/>
        <v>N</v>
      </c>
      <c r="CI1980" s="129" t="str">
        <f t="shared" si="1452"/>
        <v>0-10 DAYS</v>
      </c>
      <c r="CJ1980" s="137">
        <f t="shared" si="1453"/>
        <v>1</v>
      </c>
      <c r="CK1980" s="129" t="str">
        <f t="shared" si="1454"/>
        <v>Not Booked</v>
      </c>
    </row>
    <row r="1981" spans="1:89" ht="15" customHeight="1" x14ac:dyDescent="0.25">
      <c r="A1981" s="111">
        <v>856</v>
      </c>
      <c r="B1981" s="128" t="str">
        <f t="shared" si="1435"/>
        <v>N</v>
      </c>
      <c r="C1981" s="128" t="str">
        <f t="shared" si="1436"/>
        <v>N</v>
      </c>
      <c r="D1981" s="117">
        <v>2365727</v>
      </c>
      <c r="E1981" s="135">
        <f t="shared" si="1437"/>
        <v>2</v>
      </c>
      <c r="F1981" s="124">
        <v>40940</v>
      </c>
      <c r="G1981" s="125">
        <v>41113</v>
      </c>
      <c r="H1981" s="117">
        <v>2365727</v>
      </c>
      <c r="I1981" s="124">
        <v>40941</v>
      </c>
      <c r="J1981" s="124">
        <v>40944</v>
      </c>
      <c r="K1981" s="126">
        <v>5000</v>
      </c>
      <c r="L1981" s="127" t="s">
        <v>569</v>
      </c>
      <c r="M1981" s="125">
        <v>40944</v>
      </c>
      <c r="N1981" s="129" t="str">
        <f>IF(M1981&gt;1/1/1,"Y","N")</f>
        <v>Y</v>
      </c>
      <c r="O1981" s="128" t="s">
        <v>76</v>
      </c>
      <c r="P1981" s="129" t="s">
        <v>589</v>
      </c>
      <c r="Q1981" s="111">
        <f t="shared" si="1473"/>
        <v>4</v>
      </c>
      <c r="R1981" s="111">
        <f t="shared" si="1459"/>
        <v>174</v>
      </c>
      <c r="S1981" s="129">
        <v>1</v>
      </c>
      <c r="T1981" s="129">
        <v>4</v>
      </c>
      <c r="U1981" s="129">
        <v>1</v>
      </c>
      <c r="W1981" s="111"/>
      <c r="AB1981" s="131" t="s">
        <v>112</v>
      </c>
      <c r="AC1981" s="130"/>
      <c r="AD1981" s="130">
        <v>33065</v>
      </c>
      <c r="AE1981" s="128" t="s">
        <v>32</v>
      </c>
      <c r="AF1981" s="128" t="s">
        <v>40</v>
      </c>
      <c r="AG1981" s="128" t="s">
        <v>41</v>
      </c>
      <c r="AH1981" s="108" t="s">
        <v>31</v>
      </c>
      <c r="AI1981" s="128" t="s">
        <v>62</v>
      </c>
      <c r="AJ1981" s="129" t="s">
        <v>48</v>
      </c>
      <c r="AK1981" s="129">
        <v>8</v>
      </c>
      <c r="AL1981" s="3" t="s">
        <v>48</v>
      </c>
      <c r="AP1981" s="129" t="s">
        <v>121</v>
      </c>
      <c r="AR1981" s="128" t="s">
        <v>44</v>
      </c>
      <c r="AS1981" s="129" t="s">
        <v>122</v>
      </c>
      <c r="BC1981" s="129" t="s">
        <v>52</v>
      </c>
      <c r="BF1981" s="111">
        <f>IF(J1981&gt;1/1/1900,((J1981+1)-I1981),"STILL OPEN")</f>
        <v>4</v>
      </c>
      <c r="BG1981" s="111">
        <f>IF(G1981&gt;1/1/1900,((G1981+1)-I1981),"STILL OPEN")</f>
        <v>173</v>
      </c>
      <c r="BH1981" s="111">
        <f t="shared" si="1432"/>
        <v>174</v>
      </c>
      <c r="BI1981" s="111">
        <f t="shared" si="1433"/>
        <v>21.516393442622952</v>
      </c>
      <c r="BJ1981" s="129">
        <f>(G1981-J1981)+(M1981-G1981)</f>
        <v>0</v>
      </c>
      <c r="BK1981" s="129">
        <f t="shared" si="1434"/>
        <v>-169</v>
      </c>
      <c r="BL1981" s="129" t="str">
        <f t="shared" si="1466"/>
        <v>DEFERRED</v>
      </c>
      <c r="BM1981" s="129" t="s">
        <v>76</v>
      </c>
      <c r="BN1981" s="129" t="s">
        <v>88</v>
      </c>
      <c r="BP1981" s="137" t="str">
        <f t="shared" si="1438"/>
        <v>DEFERRED</v>
      </c>
      <c r="BQ1981" s="128" t="str">
        <f t="shared" si="1439"/>
        <v>Y</v>
      </c>
      <c r="BR1981" s="129" t="str">
        <f t="shared" si="1440"/>
        <v>ON BOND</v>
      </c>
      <c r="BS1981" s="129" t="str">
        <f t="shared" si="1441"/>
        <v>DISPOSED</v>
      </c>
      <c r="BT1981" s="129" t="str">
        <f t="shared" si="1442"/>
        <v>Y</v>
      </c>
      <c r="BU1981" s="109">
        <f t="shared" si="1443"/>
        <v>2.2988505747126436E-2</v>
      </c>
      <c r="BV1981" s="109">
        <f t="shared" si="1444"/>
        <v>2.3121387283236993E-2</v>
      </c>
      <c r="BW1981" s="109">
        <f t="shared" si="1477"/>
        <v>1.3288153611055661E-4</v>
      </c>
      <c r="BX1981" s="111">
        <f t="shared" si="1445"/>
        <v>0</v>
      </c>
      <c r="BY1981" s="129">
        <f t="shared" si="1446"/>
        <v>-4</v>
      </c>
      <c r="BZ1981" s="111">
        <f t="shared" si="1447"/>
        <v>0</v>
      </c>
      <c r="CA1981" s="138">
        <f t="shared" si="1448"/>
        <v>4</v>
      </c>
      <c r="CB1981" s="111" t="e">
        <f>IF(AF1981&gt;1/1/1900,((AF1981+1)-AE1981),"STILL OPEN")</f>
        <v>#VALUE!</v>
      </c>
      <c r="CC1981" s="129">
        <f>M1981-I1981+1</f>
        <v>4</v>
      </c>
      <c r="CD1981" s="111">
        <f>CC1981-BF1981</f>
        <v>0</v>
      </c>
      <c r="CG1981" s="129" t="str">
        <f t="shared" si="1449"/>
        <v>Y</v>
      </c>
      <c r="CI1981" s="129" t="str">
        <f t="shared" si="1452"/>
        <v>0-10 DAYS</v>
      </c>
      <c r="CJ1981" s="137">
        <f t="shared" si="1453"/>
        <v>1</v>
      </c>
      <c r="CK1981" s="129" t="str">
        <f t="shared" si="1454"/>
        <v>Booked</v>
      </c>
    </row>
    <row r="1982" spans="1:89" ht="15" customHeight="1" x14ac:dyDescent="0.25">
      <c r="A1982" s="111">
        <v>1131</v>
      </c>
      <c r="B1982" s="128" t="str">
        <f t="shared" si="1435"/>
        <v>N</v>
      </c>
      <c r="C1982" s="128" t="str">
        <f t="shared" si="1436"/>
        <v>N</v>
      </c>
      <c r="D1982" s="117">
        <v>2365760</v>
      </c>
      <c r="E1982" s="135">
        <f t="shared" si="1437"/>
        <v>5</v>
      </c>
      <c r="F1982" s="124">
        <v>40949</v>
      </c>
      <c r="G1982" s="125">
        <v>40952</v>
      </c>
      <c r="H1982" s="117">
        <v>2365760</v>
      </c>
      <c r="I1982" s="124">
        <v>40950</v>
      </c>
      <c r="J1982" s="124">
        <v>40952</v>
      </c>
      <c r="K1982" s="126">
        <v>35000</v>
      </c>
      <c r="L1982" s="129" t="s">
        <v>572</v>
      </c>
      <c r="N1982" s="129" t="str">
        <f>IF(M1982&gt;1/1/1,"Y","N")</f>
        <v>N</v>
      </c>
      <c r="O1982" s="128" t="s">
        <v>917</v>
      </c>
      <c r="P1982" s="129" t="s">
        <v>39</v>
      </c>
      <c r="Q1982" s="111">
        <f t="shared" si="1473"/>
        <v>3</v>
      </c>
      <c r="R1982" s="111">
        <f t="shared" si="1459"/>
        <v>4</v>
      </c>
      <c r="S1982" s="129">
        <v>1</v>
      </c>
      <c r="T1982" s="129">
        <v>1</v>
      </c>
      <c r="W1982" s="111"/>
      <c r="AC1982" s="130"/>
      <c r="AD1982" s="130">
        <v>29588</v>
      </c>
      <c r="AE1982" s="128" t="s">
        <v>32</v>
      </c>
      <c r="AF1982" s="128" t="s">
        <v>69</v>
      </c>
      <c r="AG1982" s="128" t="s">
        <v>874</v>
      </c>
      <c r="AH1982" s="108" t="s">
        <v>31</v>
      </c>
      <c r="AI1982" s="128" t="s">
        <v>34</v>
      </c>
      <c r="AJ1982" s="129" t="s">
        <v>89</v>
      </c>
      <c r="AK1982" s="129">
        <v>1</v>
      </c>
      <c r="AL1982" s="3" t="s">
        <v>992</v>
      </c>
      <c r="AN1982" s="117">
        <v>9</v>
      </c>
      <c r="AP1982" s="129" t="s">
        <v>43</v>
      </c>
      <c r="AR1982" s="128" t="s">
        <v>44</v>
      </c>
      <c r="AS1982" s="129" t="s">
        <v>45</v>
      </c>
      <c r="BC1982" s="129" t="s">
        <v>38</v>
      </c>
      <c r="BF1982" s="111">
        <f>IF(J1982&gt;1/1/1900,((J1982+1)-I1982),"STILL OPEN")</f>
        <v>3</v>
      </c>
      <c r="BG1982" s="111">
        <f>IF(G1982&gt;1/1/1900,((G1982+1)-I1982),"STILL OPEN")</f>
        <v>3</v>
      </c>
      <c r="BH1982" s="111">
        <f t="shared" si="1432"/>
        <v>4</v>
      </c>
      <c r="BI1982" s="111">
        <f t="shared" si="1433"/>
        <v>31.040983606557376</v>
      </c>
      <c r="BJ1982" s="129">
        <f t="shared" si="1450"/>
        <v>0</v>
      </c>
      <c r="BK1982" s="129">
        <f t="shared" si="1434"/>
        <v>0</v>
      </c>
      <c r="BL1982" s="129" t="str">
        <f t="shared" si="1466"/>
        <v>CONVICTION</v>
      </c>
      <c r="BM1982" s="129" t="str">
        <f t="shared" si="1451"/>
        <v>NONE</v>
      </c>
      <c r="BN1982" s="129" t="s">
        <v>566</v>
      </c>
      <c r="BP1982" s="137" t="str">
        <f t="shared" si="1438"/>
        <v>CONVICTION</v>
      </c>
      <c r="BQ1982" s="128" t="str">
        <f t="shared" si="1439"/>
        <v>Y</v>
      </c>
      <c r="BR1982" s="129" t="str">
        <f t="shared" si="1440"/>
        <v>DETAINED</v>
      </c>
      <c r="BS1982" s="129" t="str">
        <f t="shared" si="1441"/>
        <v>DISPOSED</v>
      </c>
      <c r="BT1982" s="129" t="str">
        <f t="shared" si="1442"/>
        <v>Y</v>
      </c>
      <c r="BU1982" s="109">
        <f t="shared" si="1443"/>
        <v>0.75</v>
      </c>
      <c r="BV1982" s="109">
        <f t="shared" si="1444"/>
        <v>1</v>
      </c>
      <c r="BW1982" s="109">
        <f t="shared" si="1477"/>
        <v>0.25</v>
      </c>
      <c r="BX1982" s="111">
        <f t="shared" si="1445"/>
        <v>0</v>
      </c>
      <c r="BY1982" s="129">
        <f t="shared" si="1446"/>
        <v>-3</v>
      </c>
      <c r="BZ1982" s="111">
        <f t="shared" si="1447"/>
        <v>0</v>
      </c>
      <c r="CA1982" s="138">
        <f t="shared" si="1448"/>
        <v>3</v>
      </c>
      <c r="CB1982" s="111" t="e">
        <f>IF(AF1982&gt;1/1/1900,((AF1982+1)-AE1982),"STILL OPEN")</f>
        <v>#VALUE!</v>
      </c>
      <c r="CC1982" s="129">
        <f>G1982-I1982+1</f>
        <v>3</v>
      </c>
      <c r="CD1982" s="129">
        <f>G1982-J1982</f>
        <v>0</v>
      </c>
      <c r="CG1982" s="129" t="str">
        <f t="shared" si="1449"/>
        <v>Y</v>
      </c>
      <c r="CI1982" s="129" t="str">
        <f t="shared" si="1452"/>
        <v>0-10 DAYS</v>
      </c>
      <c r="CJ1982" s="137">
        <f t="shared" si="1453"/>
        <v>1</v>
      </c>
      <c r="CK1982" s="129" t="str">
        <f t="shared" si="1454"/>
        <v>Booked</v>
      </c>
    </row>
    <row r="1983" spans="1:89" ht="15.75" customHeight="1" x14ac:dyDescent="0.25">
      <c r="A1983" s="111">
        <v>2809</v>
      </c>
      <c r="B1983" s="128" t="str">
        <f t="shared" si="1435"/>
        <v>N</v>
      </c>
      <c r="C1983" s="128" t="str">
        <f t="shared" si="1436"/>
        <v>N</v>
      </c>
      <c r="D1983" s="117">
        <v>2366605</v>
      </c>
      <c r="E1983" s="135">
        <f t="shared" si="1437"/>
        <v>2</v>
      </c>
      <c r="F1983" s="124">
        <v>41012</v>
      </c>
      <c r="G1983" s="125">
        <v>41254</v>
      </c>
      <c r="H1983" s="117">
        <v>2366605</v>
      </c>
      <c r="I1983" s="124">
        <v>41012</v>
      </c>
      <c r="J1983" s="124">
        <v>41013</v>
      </c>
      <c r="K1983" s="126">
        <v>12000</v>
      </c>
      <c r="L1983" s="127" t="s">
        <v>571</v>
      </c>
      <c r="M1983" s="125">
        <v>41013</v>
      </c>
      <c r="N1983" s="129" t="str">
        <f>IF(M1983&gt;1/1/1,"Y","N")</f>
        <v>Y</v>
      </c>
      <c r="O1983" s="128" t="s">
        <v>76</v>
      </c>
      <c r="P1983" s="129" t="s">
        <v>589</v>
      </c>
      <c r="Q1983" s="111">
        <f t="shared" si="1473"/>
        <v>2</v>
      </c>
      <c r="R1983" s="111">
        <f t="shared" si="1459"/>
        <v>243</v>
      </c>
      <c r="S1983" s="129">
        <v>0</v>
      </c>
      <c r="T1983" s="129">
        <v>1</v>
      </c>
      <c r="W1983" s="111"/>
      <c r="AC1983" s="130"/>
      <c r="AD1983" s="130">
        <v>33133</v>
      </c>
      <c r="AE1983" s="128" t="s">
        <v>32</v>
      </c>
      <c r="AF1983" s="128" t="s">
        <v>69</v>
      </c>
      <c r="AG1983" s="128" t="s">
        <v>874</v>
      </c>
      <c r="AH1983" s="108" t="s">
        <v>31</v>
      </c>
      <c r="AI1983" s="128" t="s">
        <v>47</v>
      </c>
      <c r="AJ1983" s="129" t="s">
        <v>48</v>
      </c>
      <c r="AK1983" s="129">
        <v>8</v>
      </c>
      <c r="AL1983" s="3" t="s">
        <v>48</v>
      </c>
      <c r="AP1983" s="129" t="s">
        <v>175</v>
      </c>
      <c r="AR1983" s="128" t="s">
        <v>44</v>
      </c>
      <c r="AS1983" s="129" t="s">
        <v>45</v>
      </c>
      <c r="BC1983" s="129" t="s">
        <v>52</v>
      </c>
      <c r="BF1983" s="111">
        <f>IF(J1983&gt;1/1/1900,((J1983+1)-I1983),"STILL OPEN")</f>
        <v>2</v>
      </c>
      <c r="BG1983" s="111">
        <f>IF(G1983&gt;1/1/1900,((G1983+1)-I1983),"STILL OPEN")</f>
        <v>243</v>
      </c>
      <c r="BH1983" s="111">
        <f t="shared" si="1432"/>
        <v>243</v>
      </c>
      <c r="BI1983" s="111">
        <f t="shared" si="1433"/>
        <v>21.527322404371585</v>
      </c>
      <c r="BJ1983" s="129">
        <f>(G1983-J1983)+(M1983-G1983)</f>
        <v>0</v>
      </c>
      <c r="BK1983" s="129">
        <f t="shared" si="1434"/>
        <v>-241</v>
      </c>
      <c r="BL1983" s="129" t="str">
        <f t="shared" si="1466"/>
        <v>DEFERRED</v>
      </c>
      <c r="BM1983" s="129" t="s">
        <v>76</v>
      </c>
      <c r="BN1983" s="129" t="s">
        <v>88</v>
      </c>
      <c r="BP1983" s="137" t="str">
        <f t="shared" si="1438"/>
        <v>DEFERRED</v>
      </c>
      <c r="BQ1983" s="128" t="str">
        <f t="shared" si="1439"/>
        <v>Y</v>
      </c>
      <c r="BR1983" s="129" t="str">
        <f t="shared" si="1440"/>
        <v>ON BOND</v>
      </c>
      <c r="BS1983" s="129" t="str">
        <f t="shared" si="1441"/>
        <v>DISPOSED</v>
      </c>
      <c r="BT1983" s="129" t="str">
        <f t="shared" si="1442"/>
        <v>N</v>
      </c>
      <c r="BU1983" s="109">
        <f t="shared" si="1443"/>
        <v>8.23045267489712E-3</v>
      </c>
      <c r="BV1983" s="109">
        <f t="shared" si="1444"/>
        <v>8.23045267489712E-3</v>
      </c>
      <c r="BW1983" s="109">
        <f t="shared" si="1477"/>
        <v>0</v>
      </c>
      <c r="BX1983" s="111">
        <f t="shared" si="1445"/>
        <v>0</v>
      </c>
      <c r="BY1983" s="129">
        <f t="shared" si="1446"/>
        <v>-2</v>
      </c>
      <c r="BZ1983" s="111">
        <f t="shared" si="1447"/>
        <v>0</v>
      </c>
      <c r="CA1983" s="138">
        <f t="shared" si="1448"/>
        <v>2</v>
      </c>
      <c r="CB1983" s="111" t="e">
        <f>IF(AF1983&gt;1/1/1900,((AF1983+1)-AE1983),"STILL OPEN")</f>
        <v>#VALUE!</v>
      </c>
      <c r="CC1983" s="129">
        <f>M1983-I1983+1</f>
        <v>2</v>
      </c>
      <c r="CD1983" s="111">
        <f>CC1983-BF1983</f>
        <v>0</v>
      </c>
      <c r="CG1983" s="129" t="str">
        <f t="shared" si="1449"/>
        <v>Y</v>
      </c>
      <c r="CI1983" s="129" t="str">
        <f t="shared" si="1452"/>
        <v>0-10 DAYS</v>
      </c>
      <c r="CJ1983" s="137">
        <f t="shared" si="1453"/>
        <v>1</v>
      </c>
      <c r="CK1983" s="129" t="str">
        <f t="shared" si="1454"/>
        <v>Booked</v>
      </c>
    </row>
    <row r="1984" spans="1:89" ht="15.75" customHeight="1" x14ac:dyDescent="0.25">
      <c r="A1984" s="111">
        <v>1662</v>
      </c>
      <c r="B1984" s="128" t="str">
        <f t="shared" si="1435"/>
        <v>N</v>
      </c>
      <c r="C1984" s="128" t="str">
        <f t="shared" si="1436"/>
        <v>Y</v>
      </c>
      <c r="D1984" s="117">
        <v>2366804</v>
      </c>
      <c r="E1984" s="135">
        <f t="shared" si="1437"/>
        <v>6</v>
      </c>
      <c r="F1984" s="124">
        <v>40970</v>
      </c>
      <c r="G1984" s="125">
        <v>41059</v>
      </c>
      <c r="H1984" s="117">
        <v>2366804</v>
      </c>
      <c r="I1984" s="124">
        <v>40970</v>
      </c>
      <c r="J1984" s="124">
        <v>40972</v>
      </c>
      <c r="K1984" s="126">
        <v>10000</v>
      </c>
      <c r="L1984" s="127" t="s">
        <v>570</v>
      </c>
      <c r="M1984" s="125">
        <v>40972</v>
      </c>
      <c r="N1984" s="129" t="str">
        <f>IF(M1984&gt;1/1/1,"Y","N")</f>
        <v>Y</v>
      </c>
      <c r="O1984" s="128" t="s">
        <v>585</v>
      </c>
      <c r="P1984" s="129" t="s">
        <v>39</v>
      </c>
      <c r="Q1984" s="111">
        <v>43</v>
      </c>
      <c r="R1984" s="111">
        <f t="shared" si="1459"/>
        <v>90</v>
      </c>
      <c r="S1984" s="129">
        <v>0</v>
      </c>
      <c r="T1984" s="129">
        <v>2</v>
      </c>
      <c r="W1984" s="111"/>
      <c r="AC1984" s="130"/>
      <c r="AD1984" s="130">
        <v>30758</v>
      </c>
      <c r="AE1984" s="128" t="s">
        <v>32</v>
      </c>
      <c r="AF1984" s="128" t="s">
        <v>69</v>
      </c>
      <c r="AG1984" s="128" t="s">
        <v>874</v>
      </c>
      <c r="AH1984" s="108" t="s">
        <v>31</v>
      </c>
      <c r="AI1984" s="128" t="s">
        <v>72</v>
      </c>
      <c r="AJ1984" s="129" t="s">
        <v>89</v>
      </c>
      <c r="AK1984" s="129">
        <v>4</v>
      </c>
      <c r="AL1984" s="3" t="s">
        <v>362</v>
      </c>
      <c r="AM1984" s="117">
        <v>3</v>
      </c>
      <c r="AP1984" s="129" t="s">
        <v>66</v>
      </c>
      <c r="AR1984" s="128" t="s">
        <v>67</v>
      </c>
      <c r="AS1984" s="129" t="s">
        <v>68</v>
      </c>
      <c r="AU1984" s="3" t="s">
        <v>837</v>
      </c>
      <c r="AV1984" s="3" t="s">
        <v>88</v>
      </c>
      <c r="AW1984" s="125">
        <v>41008</v>
      </c>
      <c r="BA1984" s="125">
        <v>41043</v>
      </c>
      <c r="BB1984" s="129">
        <v>247</v>
      </c>
      <c r="BC1984" s="129" t="s">
        <v>38</v>
      </c>
      <c r="BF1984" s="111">
        <v>43</v>
      </c>
      <c r="BG1984" s="111">
        <f>IF(G1984&gt;1/1/1900,((G1984+1)-I1984),"STILL OPEN")</f>
        <v>90</v>
      </c>
      <c r="BH1984" s="111">
        <f t="shared" si="1432"/>
        <v>90</v>
      </c>
      <c r="BI1984" s="111">
        <f t="shared" si="1433"/>
        <v>27.901639344262296</v>
      </c>
      <c r="BJ1984" s="129">
        <f>(G1984-J1984)+(M1984-G1984)</f>
        <v>0</v>
      </c>
      <c r="BK1984" s="129">
        <f t="shared" si="1434"/>
        <v>-87</v>
      </c>
      <c r="BL1984" s="129" t="str">
        <f t="shared" si="1466"/>
        <v>CONVICTION</v>
      </c>
      <c r="BM1984" s="129" t="s">
        <v>76</v>
      </c>
      <c r="BN1984" s="129" t="s">
        <v>88</v>
      </c>
      <c r="BP1984" s="137" t="str">
        <f t="shared" si="1438"/>
        <v>CONVICTION</v>
      </c>
      <c r="BQ1984" s="128" t="str">
        <f t="shared" si="1439"/>
        <v>Y</v>
      </c>
      <c r="BR1984" s="129" t="s">
        <v>574</v>
      </c>
      <c r="BS1984" s="129" t="str">
        <f t="shared" si="1441"/>
        <v>DISPOSED</v>
      </c>
      <c r="BT1984" s="129" t="str">
        <f t="shared" si="1442"/>
        <v>N</v>
      </c>
      <c r="BU1984" s="109">
        <f t="shared" si="1443"/>
        <v>0.4777777777777778</v>
      </c>
      <c r="BV1984" s="109">
        <f t="shared" si="1444"/>
        <v>3.3333333333333333E-2</v>
      </c>
      <c r="BW1984" s="109">
        <f t="shared" si="1477"/>
        <v>-0.44444444444444448</v>
      </c>
      <c r="BX1984" s="111">
        <f t="shared" si="1445"/>
        <v>0</v>
      </c>
      <c r="BY1984" s="129">
        <f t="shared" si="1446"/>
        <v>-3</v>
      </c>
      <c r="BZ1984" s="111">
        <f t="shared" si="1447"/>
        <v>40</v>
      </c>
      <c r="CA1984" s="138">
        <f t="shared" si="1448"/>
        <v>90</v>
      </c>
      <c r="CB1984" s="111">
        <v>43</v>
      </c>
      <c r="CC1984" s="129">
        <f>G1984-I1984+1</f>
        <v>90</v>
      </c>
      <c r="CD1984" s="129">
        <f>G1984-J1984</f>
        <v>87</v>
      </c>
      <c r="CG1984" s="129" t="str">
        <f t="shared" si="1449"/>
        <v>Y</v>
      </c>
      <c r="CI1984" s="129" t="str">
        <f t="shared" si="1452"/>
        <v>31-60 DAYS</v>
      </c>
      <c r="CJ1984" s="137">
        <f t="shared" si="1453"/>
        <v>3</v>
      </c>
      <c r="CK1984" s="129" t="str">
        <f t="shared" si="1454"/>
        <v>Booked</v>
      </c>
    </row>
    <row r="1985" spans="1:89" ht="15" customHeight="1" x14ac:dyDescent="0.25">
      <c r="A1985" s="111">
        <v>827</v>
      </c>
      <c r="B1985" s="128" t="str">
        <f t="shared" si="1435"/>
        <v>N</v>
      </c>
      <c r="C1985" s="128" t="str">
        <f t="shared" si="1436"/>
        <v>N</v>
      </c>
      <c r="D1985" s="117">
        <v>2368086</v>
      </c>
      <c r="E1985" s="135">
        <f t="shared" si="1437"/>
        <v>2</v>
      </c>
      <c r="F1985" s="124">
        <v>40940</v>
      </c>
      <c r="G1985" s="125">
        <v>40941</v>
      </c>
      <c r="H1985" s="117">
        <v>2368086</v>
      </c>
      <c r="I1985" s="124" t="s">
        <v>562</v>
      </c>
      <c r="J1985" s="124" t="s">
        <v>562</v>
      </c>
      <c r="K1985" s="126">
        <v>2000</v>
      </c>
      <c r="L1985" s="127" t="s">
        <v>568</v>
      </c>
      <c r="N1985" s="124" t="s">
        <v>1343</v>
      </c>
      <c r="O1985" s="128" t="s">
        <v>917</v>
      </c>
      <c r="P1985" s="129" t="s">
        <v>589</v>
      </c>
      <c r="Q1985" s="111">
        <f t="shared" si="1473"/>
        <v>0</v>
      </c>
      <c r="R1985" s="111">
        <f t="shared" si="1459"/>
        <v>2</v>
      </c>
      <c r="S1985" s="129">
        <v>1</v>
      </c>
      <c r="T1985" s="129">
        <v>0</v>
      </c>
      <c r="V1985" s="117">
        <v>1</v>
      </c>
      <c r="W1985" s="111"/>
      <c r="AC1985" s="130"/>
      <c r="AD1985" s="130">
        <v>30157</v>
      </c>
      <c r="AE1985" s="128" t="s">
        <v>32</v>
      </c>
      <c r="AF1985" s="128" t="s">
        <v>69</v>
      </c>
      <c r="AG1985" s="128" t="s">
        <v>874</v>
      </c>
      <c r="AH1985" s="108" t="s">
        <v>31</v>
      </c>
      <c r="AI1985" s="128" t="s">
        <v>114</v>
      </c>
      <c r="AJ1985" s="129" t="s">
        <v>48</v>
      </c>
      <c r="AK1985" s="129">
        <v>1</v>
      </c>
      <c r="AL1985" s="3" t="s">
        <v>48</v>
      </c>
      <c r="AP1985" s="129" t="s">
        <v>43</v>
      </c>
      <c r="AR1985" s="128" t="s">
        <v>44</v>
      </c>
      <c r="AS1985" s="129" t="s">
        <v>45</v>
      </c>
      <c r="BC1985" s="129" t="s">
        <v>38</v>
      </c>
      <c r="BF1985" s="111">
        <v>0</v>
      </c>
      <c r="BG1985" s="111">
        <v>0</v>
      </c>
      <c r="BH1985" s="111">
        <f t="shared" ref="BH1985:BH2048" si="1478">IF(G1985&gt;1/1/1900,((G1985+1)-F1985),"STILL OPEN")</f>
        <v>2</v>
      </c>
      <c r="BI1985" s="111">
        <f t="shared" ref="BI1985:BI2048" si="1479">(F1985-AD1985)/366</f>
        <v>29.461748633879782</v>
      </c>
      <c r="BJ1985" s="129" t="e">
        <f>(G1985-J1985)+(M1985-G1985)</f>
        <v>#VALUE!</v>
      </c>
      <c r="BK1985" s="129" t="e">
        <f t="shared" ref="BK1985:BK2048" si="1480">J1985-G1985</f>
        <v>#VALUE!</v>
      </c>
      <c r="BL1985" s="129" t="str">
        <f t="shared" si="1466"/>
        <v>DEFERRED</v>
      </c>
      <c r="BM1985" s="129" t="str">
        <f t="shared" si="1451"/>
        <v>NONE</v>
      </c>
      <c r="BN1985" s="129" t="s">
        <v>566</v>
      </c>
      <c r="BP1985" s="137" t="str">
        <f t="shared" si="1438"/>
        <v>DEFERRED</v>
      </c>
      <c r="BQ1985" s="128">
        <f t="shared" si="1439"/>
        <v>0</v>
      </c>
      <c r="BR1985" s="129" t="s">
        <v>1344</v>
      </c>
      <c r="BS1985" s="129" t="str">
        <f t="shared" si="1441"/>
        <v>DISPOSED</v>
      </c>
      <c r="BT1985" s="129" t="str">
        <f t="shared" si="1442"/>
        <v>Y</v>
      </c>
      <c r="BU1985" s="109">
        <f t="shared" si="1443"/>
        <v>0</v>
      </c>
      <c r="BV1985" s="109">
        <v>0</v>
      </c>
      <c r="BW1985" s="109">
        <f t="shared" si="1477"/>
        <v>0</v>
      </c>
      <c r="BX1985" s="111">
        <f t="shared" si="1445"/>
        <v>0</v>
      </c>
      <c r="BY1985" s="129" t="e">
        <f t="shared" si="1446"/>
        <v>#VALUE!</v>
      </c>
      <c r="BZ1985" s="111" t="e">
        <f t="shared" si="1447"/>
        <v>#VALUE!</v>
      </c>
      <c r="CA1985" s="138" t="e">
        <f t="shared" si="1448"/>
        <v>#VALUE!</v>
      </c>
      <c r="CB1985" s="111">
        <v>0</v>
      </c>
      <c r="CC1985" s="129">
        <v>0</v>
      </c>
      <c r="CG1985" s="129" t="str">
        <f t="shared" si="1449"/>
        <v>Y</v>
      </c>
      <c r="CI1985" s="129" t="str">
        <f t="shared" si="1452"/>
        <v>0-10 DAYS</v>
      </c>
      <c r="CJ1985" s="137">
        <f t="shared" si="1453"/>
        <v>1</v>
      </c>
      <c r="CK1985" s="129" t="str">
        <f t="shared" si="1454"/>
        <v>Not Booked</v>
      </c>
    </row>
    <row r="1986" spans="1:89" ht="15" customHeight="1" x14ac:dyDescent="0.25">
      <c r="A1986" s="111">
        <v>244</v>
      </c>
      <c r="B1986" s="128" t="str">
        <f t="shared" ref="B1986:B2049" si="1481">IF(BD1986&lt;&gt;"","Y","N")</f>
        <v>N</v>
      </c>
      <c r="C1986" s="128" t="str">
        <f t="shared" ref="C1986:C2049" si="1482">IF((AND(AV1986="",AX1986="",AY1986="")),"N","Y")</f>
        <v>N</v>
      </c>
      <c r="D1986" s="117">
        <v>2369571</v>
      </c>
      <c r="E1986" s="135">
        <f t="shared" ref="E1986:E2049" si="1483">IF(OR(AL1986="ACQUITTAL",AL1986="ACQUIT",AL1986="acq insane",AL1986="DISMISSED",AL1986="NO BILL"),1,IF(AL1986="DEFERRED",2,IF(AL1986="PROBATION",3,IF(OR(AL1986="HCJ",AL1986="fine"),4,IF(AL1986="STJ",5,IF(AL1986="TDC",6,""))))))</f>
        <v>4</v>
      </c>
      <c r="F1986" s="124">
        <v>40919</v>
      </c>
      <c r="G1986" s="125">
        <v>40920</v>
      </c>
      <c r="H1986" s="117">
        <v>2369571</v>
      </c>
      <c r="I1986" s="124">
        <v>40919</v>
      </c>
      <c r="J1986" s="124">
        <v>40920</v>
      </c>
      <c r="K1986" s="126" t="s">
        <v>564</v>
      </c>
      <c r="L1986" s="127" t="s">
        <v>564</v>
      </c>
      <c r="N1986" s="129" t="s">
        <v>566</v>
      </c>
      <c r="O1986" s="128" t="s">
        <v>917</v>
      </c>
      <c r="P1986" s="129" t="s">
        <v>39</v>
      </c>
      <c r="Q1986" s="111">
        <f t="shared" si="1473"/>
        <v>2</v>
      </c>
      <c r="R1986" s="111">
        <f t="shared" si="1459"/>
        <v>2</v>
      </c>
      <c r="S1986" s="129">
        <v>0</v>
      </c>
      <c r="T1986" s="129">
        <v>1</v>
      </c>
      <c r="W1986" s="111"/>
      <c r="AC1986" s="130"/>
      <c r="AD1986" s="130">
        <v>33117</v>
      </c>
      <c r="AE1986" s="128" t="s">
        <v>32</v>
      </c>
      <c r="AF1986" s="128" t="s">
        <v>69</v>
      </c>
      <c r="AG1986" s="128" t="s">
        <v>874</v>
      </c>
      <c r="AH1986" s="108" t="s">
        <v>31</v>
      </c>
      <c r="AI1986" s="128" t="s">
        <v>114</v>
      </c>
      <c r="AJ1986" s="129" t="s">
        <v>89</v>
      </c>
      <c r="AK1986" s="129">
        <v>1</v>
      </c>
      <c r="AL1986" s="3" t="s">
        <v>991</v>
      </c>
      <c r="AO1986" s="128">
        <v>60</v>
      </c>
      <c r="AP1986" s="129" t="s">
        <v>159</v>
      </c>
      <c r="AR1986" s="128" t="s">
        <v>44</v>
      </c>
      <c r="AS1986" s="129" t="s">
        <v>61</v>
      </c>
      <c r="AT1986" s="129" t="s">
        <v>178</v>
      </c>
      <c r="BC1986" s="129" t="s">
        <v>38</v>
      </c>
      <c r="BF1986" s="111">
        <f>IF(J1986&gt;1/1/1900,((J1986+1)-I1986),"STILL OPEN")</f>
        <v>2</v>
      </c>
      <c r="BG1986" s="111">
        <f t="shared" ref="BG1986:BG2016" si="1484">IF(G1986&gt;1/1/1900,((G1986+1)-I1986),"STILL OPEN")</f>
        <v>2</v>
      </c>
      <c r="BH1986" s="111">
        <f t="shared" si="1478"/>
        <v>2</v>
      </c>
      <c r="BI1986" s="111">
        <f t="shared" si="1479"/>
        <v>21.316939890710383</v>
      </c>
      <c r="BJ1986" s="129">
        <f t="shared" ref="BJ1986:BJ2049" si="1485">G1986-J1986-M1986</f>
        <v>0</v>
      </c>
      <c r="BK1986" s="129">
        <f t="shared" si="1480"/>
        <v>0</v>
      </c>
      <c r="BL1986" s="129" t="str">
        <f t="shared" si="1466"/>
        <v>CONVICTION</v>
      </c>
      <c r="BM1986" s="129" t="str">
        <f t="shared" ref="BM1986:BM2049" si="1486">O1986</f>
        <v>NONE</v>
      </c>
      <c r="BN1986" s="129" t="s">
        <v>566</v>
      </c>
      <c r="BP1986" s="137" t="str">
        <f t="shared" ref="BP1986:BP2049" si="1487">IF(OR(AJ1986="AQUITTAL",AJ1986="DISMISSED",AJ1986="FINE",AJ1986="NO BILL"),"NO CONVICTION",IF(OR(AJ1986="HCJ",AJ1986="MHH",AJ1986="PROBATION",AJ1986="STJ",AJ1986="TDC",AJ1986="CONVICTED"),"CONVICTION",IF(AJ1986="DEFERRED","DEFERRED","")))</f>
        <v>CONVICTION</v>
      </c>
      <c r="BQ1986" s="128" t="str">
        <f t="shared" ref="BQ1986:BQ2049" si="1488">IF(BF1986&gt;0,"Y",BF1986)</f>
        <v>Y</v>
      </c>
      <c r="BR1986" s="129" t="str">
        <f t="shared" ref="BR1986:BR2049" si="1489">IF(AND(J1986="NOT BOOKED",M1986&gt;1/1/1),"BONDED - BEFORE BOOKED",IF(BG1986="STILL OPEN","STILL OPEN",IF(N1986="Y","ON BOND",IF(J1986&gt;=G1986,"DETAINED","RELEASED"))))</f>
        <v>DETAINED</v>
      </c>
      <c r="BS1986" s="129" t="str">
        <f t="shared" ref="BS1986:BS2049" si="1490">IF(G1986&lt;&gt;"","DISPOSED","")</f>
        <v>DISPOSED</v>
      </c>
      <c r="BT1986" s="129" t="str">
        <f t="shared" ref="BT1986:BT2049" si="1491">IF(S1986&gt;0,"Y","N")</f>
        <v>N</v>
      </c>
      <c r="BU1986" s="109">
        <f t="shared" ref="BU1986:BU2049" si="1492">Q1986/R1986</f>
        <v>1</v>
      </c>
      <c r="BV1986" s="109">
        <f t="shared" ref="BV1986:BV2049" si="1493">IF(I1986&gt;F1986,((J1986-I1986+1)/(G1986-I1986+1)),(J1986-I1986+1)/(G1986-F1986+1))</f>
        <v>1</v>
      </c>
      <c r="BW1986" s="109">
        <f t="shared" si="1477"/>
        <v>0</v>
      </c>
      <c r="BX1986" s="111">
        <f t="shared" ref="BX1986:BX2049" si="1494">+Q1986-BF1986</f>
        <v>0</v>
      </c>
      <c r="BY1986" s="129">
        <f t="shared" ref="BY1986:BY2049" si="1495">I1986-J1986-1</f>
        <v>-2</v>
      </c>
      <c r="BZ1986" s="111">
        <f t="shared" ref="BZ1986:BZ2049" si="1496">BY1986+BF1986</f>
        <v>0</v>
      </c>
      <c r="CA1986" s="138">
        <f t="shared" ref="CA1986:CA2049" si="1497">IF(AND(BS1986="DISPOSED",BR1986="DETAINED"),G1986-I1986+1,IF(AND(BS1986="DISPOSED",BR1986="ON BOND"),M1986-I1986+1,IF(AND(BS1986="STILL OPEN","STILL OPEN"),"NOT BOOKED")))</f>
        <v>2</v>
      </c>
      <c r="CB1986" s="111" t="e">
        <f>IF(AF1986&gt;1/1/1900,((AF1986+1)-AE1986),"STILL OPEN")</f>
        <v>#VALUE!</v>
      </c>
      <c r="CC1986" s="129">
        <f>G1986-I1986+1</f>
        <v>2</v>
      </c>
      <c r="CD1986" s="129">
        <f>G1986-J1986</f>
        <v>0</v>
      </c>
      <c r="CG1986" s="129" t="str">
        <f t="shared" ref="CG1986:CG2049" si="1498">IF((S1986+T1986+U1986)&gt;0,"Y","N")</f>
        <v>Y</v>
      </c>
      <c r="CI1986" s="129" t="str">
        <f t="shared" si="1452"/>
        <v>0-10 DAYS</v>
      </c>
      <c r="CJ1986" s="137">
        <f t="shared" si="1453"/>
        <v>1</v>
      </c>
      <c r="CK1986" s="129" t="str">
        <f t="shared" si="1454"/>
        <v>Booked</v>
      </c>
    </row>
    <row r="1987" spans="1:89" ht="15" customHeight="1" x14ac:dyDescent="0.25">
      <c r="A1987" s="111">
        <v>300</v>
      </c>
      <c r="B1987" s="128" t="str">
        <f t="shared" si="1481"/>
        <v>N</v>
      </c>
      <c r="C1987" s="128" t="str">
        <f t="shared" si="1482"/>
        <v>N</v>
      </c>
      <c r="D1987" s="117">
        <v>2370061</v>
      </c>
      <c r="E1987" s="135">
        <f t="shared" si="1483"/>
        <v>3</v>
      </c>
      <c r="F1987" s="124">
        <v>40921</v>
      </c>
      <c r="G1987" s="125">
        <v>40946</v>
      </c>
      <c r="H1987" s="117">
        <v>2370061</v>
      </c>
      <c r="I1987" s="124">
        <v>40921</v>
      </c>
      <c r="J1987" s="124">
        <v>40946</v>
      </c>
      <c r="K1987" s="126">
        <v>5000</v>
      </c>
      <c r="L1987" s="127" t="s">
        <v>569</v>
      </c>
      <c r="N1987" s="129" t="str">
        <f>IF(M1987&gt;1/1/1,"Y","N")</f>
        <v>N</v>
      </c>
      <c r="O1987" s="128" t="s">
        <v>917</v>
      </c>
      <c r="P1987" s="129" t="s">
        <v>39</v>
      </c>
      <c r="Q1987" s="111">
        <f t="shared" si="1473"/>
        <v>26</v>
      </c>
      <c r="R1987" s="111">
        <f t="shared" si="1459"/>
        <v>26</v>
      </c>
      <c r="S1987" s="129">
        <v>1</v>
      </c>
      <c r="T1987" s="129">
        <v>3</v>
      </c>
      <c r="W1987" s="111"/>
      <c r="AC1987" s="130"/>
      <c r="AD1987" s="130">
        <v>30545</v>
      </c>
      <c r="AE1987" s="128" t="s">
        <v>46</v>
      </c>
      <c r="AF1987" s="128" t="s">
        <v>33</v>
      </c>
      <c r="AG1987" s="128" t="s">
        <v>872</v>
      </c>
      <c r="AH1987" s="108" t="s">
        <v>58</v>
      </c>
      <c r="AI1987" s="128" t="s">
        <v>83</v>
      </c>
      <c r="AJ1987" s="129" t="s">
        <v>89</v>
      </c>
      <c r="AK1987" s="129">
        <v>2</v>
      </c>
      <c r="AL1987" s="3" t="s">
        <v>185</v>
      </c>
      <c r="AP1987" s="129" t="s">
        <v>60</v>
      </c>
      <c r="AR1987" s="128" t="s">
        <v>44</v>
      </c>
      <c r="AS1987" s="129" t="s">
        <v>61</v>
      </c>
      <c r="BC1987" s="129" t="s">
        <v>38</v>
      </c>
      <c r="BF1987" s="111">
        <f>IF(J1987&gt;1/1/1900,((J1987+1)-I1987),"STILL OPEN")</f>
        <v>26</v>
      </c>
      <c r="BG1987" s="111">
        <f t="shared" si="1484"/>
        <v>26</v>
      </c>
      <c r="BH1987" s="111">
        <f t="shared" si="1478"/>
        <v>26</v>
      </c>
      <c r="BI1987" s="111">
        <f t="shared" si="1479"/>
        <v>28.349726775956285</v>
      </c>
      <c r="BJ1987" s="129">
        <f t="shared" si="1485"/>
        <v>0</v>
      </c>
      <c r="BK1987" s="129">
        <f t="shared" si="1480"/>
        <v>0</v>
      </c>
      <c r="BL1987" s="129" t="str">
        <f t="shared" si="1466"/>
        <v>CONVICTION</v>
      </c>
      <c r="BM1987" s="129" t="str">
        <f t="shared" si="1486"/>
        <v>NONE</v>
      </c>
      <c r="BN1987" s="129" t="s">
        <v>566</v>
      </c>
      <c r="BP1987" s="137" t="str">
        <f t="shared" si="1487"/>
        <v>CONVICTION</v>
      </c>
      <c r="BQ1987" s="128" t="str">
        <f t="shared" si="1488"/>
        <v>Y</v>
      </c>
      <c r="BR1987" s="129" t="str">
        <f t="shared" si="1489"/>
        <v>DETAINED</v>
      </c>
      <c r="BS1987" s="129" t="str">
        <f t="shared" si="1490"/>
        <v>DISPOSED</v>
      </c>
      <c r="BT1987" s="129" t="str">
        <f t="shared" si="1491"/>
        <v>Y</v>
      </c>
      <c r="BU1987" s="109">
        <f t="shared" si="1492"/>
        <v>1</v>
      </c>
      <c r="BV1987" s="109">
        <f t="shared" si="1493"/>
        <v>1</v>
      </c>
      <c r="BW1987" s="109">
        <f t="shared" si="1477"/>
        <v>0</v>
      </c>
      <c r="BX1987" s="111">
        <f t="shared" si="1494"/>
        <v>0</v>
      </c>
      <c r="BY1987" s="129">
        <f t="shared" si="1495"/>
        <v>-26</v>
      </c>
      <c r="BZ1987" s="111">
        <f t="shared" si="1496"/>
        <v>0</v>
      </c>
      <c r="CA1987" s="138">
        <f t="shared" si="1497"/>
        <v>26</v>
      </c>
      <c r="CB1987" s="111" t="e">
        <f>IF(AF1987&gt;1/1/1900,((AF1987+1)-AE1987),"STILL OPEN")</f>
        <v>#VALUE!</v>
      </c>
      <c r="CC1987" s="129">
        <f>G1987-I1987+1</f>
        <v>26</v>
      </c>
      <c r="CD1987" s="129">
        <f>G1987-J1987</f>
        <v>0</v>
      </c>
      <c r="CG1987" s="129" t="str">
        <f t="shared" si="1498"/>
        <v>Y</v>
      </c>
      <c r="CI1987" s="129" t="str">
        <f t="shared" ref="CI1987:CI2050" si="1499">IF(BF1987&lt;11,"0-10 DAYS",IF(AND(BF1987&gt;10,BF1987&lt;31),"11-30 DAYS",IF((AND(BF1987&gt;30,BF1987&lt;61)),"31-60 DAYS",IF(AND(BF1987&gt;60,BF1987&lt;91),"61-90 DAYS",IF(AND(BF1987&gt;90,BF1987&lt;121),"91-120 DAYS",IF(AND(BF1987&gt;120,BF1987&lt;366),"121-365 DAYS",IF(AND(BF1987&gt;365,BF1987&lt;730)," &gt;1YRS&lt;2YRS",IF(AND(BF1987&gt;729,BF1987&lt;1095),"&gt;2YRS&lt;3YRS",IF(BF1987&gt;1094,"&gt;3YRS")))))))))</f>
        <v>11-30 DAYS</v>
      </c>
      <c r="CJ1987" s="137">
        <f t="shared" ref="CJ1987:CJ2050" si="1500">IF(CI1987="0-10 DAYS",1,IF(CI1987="11-30 DAYS",2,IF(CI1987="31-60 DAYS",3,IF(CI1987="61-90 DAYS",4,IF(CK1987="91-120 DAYS",5,IF(CI1987="121-365 DAYS",6,IF(CI1987="&gt;1YRS&lt;2YRS",7,IF(CI1987="&gt;2YRS&lt;3YRS",8,IF(CI1987="&gt;3YRS",9,0)))))))))</f>
        <v>2</v>
      </c>
      <c r="CK1987" s="129" t="str">
        <f t="shared" ref="CK1987:CK2050" si="1501">IF(I1987="Not Booked","Not Booked","Booked")</f>
        <v>Booked</v>
      </c>
    </row>
    <row r="1988" spans="1:89" ht="15.75" customHeight="1" x14ac:dyDescent="0.25">
      <c r="A1988" s="111">
        <v>1397</v>
      </c>
      <c r="B1988" s="128" t="str">
        <f t="shared" si="1481"/>
        <v>N</v>
      </c>
      <c r="C1988" s="128" t="str">
        <f t="shared" si="1482"/>
        <v>N</v>
      </c>
      <c r="D1988" s="117">
        <v>2370073</v>
      </c>
      <c r="E1988" s="135">
        <f t="shared" si="1483"/>
        <v>4</v>
      </c>
      <c r="F1988" s="124">
        <v>40960</v>
      </c>
      <c r="G1988" s="125">
        <v>41281</v>
      </c>
      <c r="H1988" s="117">
        <v>2370073</v>
      </c>
      <c r="I1988" s="124">
        <v>40961</v>
      </c>
      <c r="J1988" s="124">
        <v>40987</v>
      </c>
      <c r="K1988" s="126">
        <v>20000</v>
      </c>
      <c r="L1988" s="127" t="s">
        <v>571</v>
      </c>
      <c r="M1988" s="125">
        <v>40987</v>
      </c>
      <c r="N1988" s="129" t="str">
        <f>IF(M1988&gt;1/1/1,"Y","N")</f>
        <v>Y</v>
      </c>
      <c r="O1988" s="128" t="s">
        <v>76</v>
      </c>
      <c r="P1988" s="129" t="s">
        <v>39</v>
      </c>
      <c r="Q1988" s="111">
        <f t="shared" si="1473"/>
        <v>27</v>
      </c>
      <c r="R1988" s="111">
        <f t="shared" si="1459"/>
        <v>322</v>
      </c>
      <c r="S1988" s="129">
        <v>1</v>
      </c>
      <c r="T1988" s="129">
        <v>8</v>
      </c>
      <c r="W1988" s="111"/>
      <c r="AC1988" s="130"/>
      <c r="AD1988" s="130">
        <v>32763</v>
      </c>
      <c r="AE1988" s="128" t="s">
        <v>32</v>
      </c>
      <c r="AF1988" s="128" t="s">
        <v>33</v>
      </c>
      <c r="AG1988" s="128" t="s">
        <v>872</v>
      </c>
      <c r="AH1988" s="108" t="s">
        <v>31</v>
      </c>
      <c r="AI1988" s="128" t="s">
        <v>47</v>
      </c>
      <c r="AJ1988" s="129" t="s">
        <v>89</v>
      </c>
      <c r="AK1988" s="129">
        <v>12</v>
      </c>
      <c r="AL1988" s="3" t="s">
        <v>991</v>
      </c>
      <c r="AO1988" s="128">
        <v>60</v>
      </c>
      <c r="AP1988" s="129" t="s">
        <v>56</v>
      </c>
      <c r="AR1988" s="128" t="s">
        <v>50</v>
      </c>
      <c r="AS1988" s="129" t="s">
        <v>57</v>
      </c>
      <c r="AT1988" s="129" t="s">
        <v>628</v>
      </c>
      <c r="BC1988" s="129" t="s">
        <v>52</v>
      </c>
      <c r="BF1988" s="111">
        <f>IF(J1988&gt;1/1/1900,((J1988+1)-I1988),"STILL OPEN")</f>
        <v>27</v>
      </c>
      <c r="BG1988" s="111">
        <f t="shared" si="1484"/>
        <v>321</v>
      </c>
      <c r="BH1988" s="111">
        <f t="shared" si="1478"/>
        <v>322</v>
      </c>
      <c r="BI1988" s="111">
        <f t="shared" si="1479"/>
        <v>22.396174863387976</v>
      </c>
      <c r="BJ1988" s="129">
        <f>(G1988-J1988)+(M1988-G1988)</f>
        <v>0</v>
      </c>
      <c r="BK1988" s="129">
        <f t="shared" si="1480"/>
        <v>-294</v>
      </c>
      <c r="BL1988" s="129" t="str">
        <f t="shared" si="1466"/>
        <v>CONVICTION</v>
      </c>
      <c r="BM1988" s="129" t="s">
        <v>76</v>
      </c>
      <c r="BN1988" s="129" t="s">
        <v>88</v>
      </c>
      <c r="BP1988" s="137" t="str">
        <f t="shared" si="1487"/>
        <v>CONVICTION</v>
      </c>
      <c r="BQ1988" s="128" t="str">
        <f t="shared" si="1488"/>
        <v>Y</v>
      </c>
      <c r="BR1988" s="129" t="str">
        <f>IF(J1988&lt;G1988,"ON BOND",0)</f>
        <v>ON BOND</v>
      </c>
      <c r="BS1988" s="129" t="str">
        <f t="shared" si="1490"/>
        <v>DISPOSED</v>
      </c>
      <c r="BT1988" s="129" t="str">
        <f t="shared" si="1491"/>
        <v>Y</v>
      </c>
      <c r="BU1988" s="109">
        <f t="shared" si="1492"/>
        <v>8.3850931677018639E-2</v>
      </c>
      <c r="BV1988" s="109">
        <f t="shared" si="1493"/>
        <v>8.4112149532710276E-2</v>
      </c>
      <c r="BW1988" s="109">
        <f t="shared" si="1477"/>
        <v>2.6121785569163669E-4</v>
      </c>
      <c r="BX1988" s="111">
        <f t="shared" si="1494"/>
        <v>0</v>
      </c>
      <c r="BY1988" s="129">
        <f t="shared" si="1495"/>
        <v>-27</v>
      </c>
      <c r="BZ1988" s="111">
        <f t="shared" si="1496"/>
        <v>0</v>
      </c>
      <c r="CA1988" s="138">
        <f t="shared" si="1497"/>
        <v>27</v>
      </c>
      <c r="CB1988" s="111" t="e">
        <f>IF(AF1988&gt;1/1/1900,((AF1988+1)-AE1988),"STILL OPEN")</f>
        <v>#VALUE!</v>
      </c>
      <c r="CC1988" s="129">
        <f>M1988-I1988+1</f>
        <v>27</v>
      </c>
      <c r="CD1988" s="111">
        <f>CC1988-BF1988</f>
        <v>0</v>
      </c>
      <c r="CG1988" s="129" t="str">
        <f t="shared" si="1498"/>
        <v>Y</v>
      </c>
      <c r="CI1988" s="129" t="str">
        <f t="shared" si="1499"/>
        <v>11-30 DAYS</v>
      </c>
      <c r="CJ1988" s="137">
        <f t="shared" si="1500"/>
        <v>2</v>
      </c>
      <c r="CK1988" s="129" t="str">
        <f t="shared" si="1501"/>
        <v>Booked</v>
      </c>
    </row>
    <row r="1989" spans="1:89" ht="15" customHeight="1" x14ac:dyDescent="0.25">
      <c r="A1989" s="111">
        <v>3152</v>
      </c>
      <c r="B1989" s="128" t="str">
        <f t="shared" si="1481"/>
        <v>N</v>
      </c>
      <c r="C1989" s="128" t="str">
        <f t="shared" si="1482"/>
        <v>Y</v>
      </c>
      <c r="D1989" s="117">
        <v>2370186</v>
      </c>
      <c r="E1989" s="135">
        <f t="shared" si="1483"/>
        <v>4</v>
      </c>
      <c r="F1989" s="124">
        <v>41025</v>
      </c>
      <c r="G1989" s="125">
        <v>41247</v>
      </c>
      <c r="H1989" s="117">
        <v>2370186</v>
      </c>
      <c r="I1989" s="124">
        <v>41178</v>
      </c>
      <c r="J1989" s="124">
        <v>41184</v>
      </c>
      <c r="K1989" s="126">
        <v>15000</v>
      </c>
      <c r="L1989" s="127" t="s">
        <v>571</v>
      </c>
      <c r="M1989" s="125">
        <v>41128</v>
      </c>
      <c r="N1989" s="129" t="str">
        <f>IF(M1989&gt;1/1/1,"Y","N")</f>
        <v>Y</v>
      </c>
      <c r="O1989" s="128" t="s">
        <v>76</v>
      </c>
      <c r="P1989" s="129" t="s">
        <v>665</v>
      </c>
      <c r="Q1989" s="111">
        <v>6</v>
      </c>
      <c r="R1989" s="111">
        <f t="shared" si="1459"/>
        <v>223</v>
      </c>
      <c r="S1989" s="129">
        <v>1</v>
      </c>
      <c r="T1989" s="129">
        <v>0</v>
      </c>
      <c r="U1989" s="129">
        <v>1</v>
      </c>
      <c r="W1989" s="111"/>
      <c r="AC1989" s="130"/>
      <c r="AD1989" s="130">
        <v>32682</v>
      </c>
      <c r="AE1989" s="128" t="s">
        <v>32</v>
      </c>
      <c r="AF1989" s="128" t="s">
        <v>33</v>
      </c>
      <c r="AG1989" s="128" t="s">
        <v>872</v>
      </c>
      <c r="AH1989" s="108" t="s">
        <v>58</v>
      </c>
      <c r="AI1989" s="128" t="s">
        <v>90</v>
      </c>
      <c r="AJ1989" s="129" t="s">
        <v>89</v>
      </c>
      <c r="AK1989" s="129">
        <v>11</v>
      </c>
      <c r="AL1989" s="3" t="s">
        <v>991</v>
      </c>
      <c r="AO1989" s="128">
        <v>105</v>
      </c>
      <c r="AP1989" s="129" t="s">
        <v>127</v>
      </c>
      <c r="AR1989" s="128" t="s">
        <v>44</v>
      </c>
      <c r="AS1989" s="129" t="s">
        <v>82</v>
      </c>
      <c r="AT1989" s="129" t="s">
        <v>1312</v>
      </c>
      <c r="AU1989" s="3" t="s">
        <v>796</v>
      </c>
      <c r="AV1989" s="3" t="s">
        <v>51</v>
      </c>
      <c r="AW1989" s="125">
        <v>41219</v>
      </c>
      <c r="AX1989" s="32" t="s">
        <v>88</v>
      </c>
      <c r="AY1989" s="123"/>
      <c r="BA1989" s="125">
        <v>41479</v>
      </c>
      <c r="BB1989" s="129">
        <v>785</v>
      </c>
      <c r="BC1989" s="129" t="s">
        <v>38</v>
      </c>
      <c r="BF1989" s="111">
        <v>6</v>
      </c>
      <c r="BG1989" s="111">
        <f t="shared" si="1484"/>
        <v>70</v>
      </c>
      <c r="BH1989" s="111">
        <f t="shared" si="1478"/>
        <v>223</v>
      </c>
      <c r="BI1989" s="111">
        <f t="shared" si="1479"/>
        <v>22.795081967213115</v>
      </c>
      <c r="BJ1989" s="129">
        <f>(G1989-J1989)+(M1989-G1989)</f>
        <v>-56</v>
      </c>
      <c r="BK1989" s="129">
        <f t="shared" si="1480"/>
        <v>-63</v>
      </c>
      <c r="BL1989" s="129" t="str">
        <f t="shared" si="1466"/>
        <v>CONVICTION</v>
      </c>
      <c r="BM1989" s="129" t="s">
        <v>76</v>
      </c>
      <c r="BN1989" s="129" t="s">
        <v>566</v>
      </c>
      <c r="BP1989" s="137" t="str">
        <f t="shared" si="1487"/>
        <v>CONVICTION</v>
      </c>
      <c r="BQ1989" s="128" t="str">
        <f t="shared" si="1488"/>
        <v>Y</v>
      </c>
      <c r="BR1989" s="129" t="str">
        <f t="shared" si="1489"/>
        <v>ON BOND</v>
      </c>
      <c r="BS1989" s="129" t="str">
        <f t="shared" si="1490"/>
        <v>DISPOSED</v>
      </c>
      <c r="BT1989" s="129" t="str">
        <f t="shared" si="1491"/>
        <v>Y</v>
      </c>
      <c r="BU1989" s="109">
        <f t="shared" si="1492"/>
        <v>2.6905829596412557E-2</v>
      </c>
      <c r="BV1989" s="109">
        <f t="shared" si="1493"/>
        <v>0.1</v>
      </c>
      <c r="BW1989" s="109">
        <f t="shared" si="1477"/>
        <v>7.3094170403587455E-2</v>
      </c>
      <c r="BX1989" s="111">
        <f t="shared" si="1494"/>
        <v>0</v>
      </c>
      <c r="BY1989" s="129">
        <f t="shared" si="1495"/>
        <v>-7</v>
      </c>
      <c r="BZ1989" s="111">
        <f t="shared" si="1496"/>
        <v>-1</v>
      </c>
      <c r="CA1989" s="138">
        <f t="shared" si="1497"/>
        <v>-49</v>
      </c>
      <c r="CB1989" s="111">
        <v>6</v>
      </c>
      <c r="CD1989" s="129">
        <f>G1989-J1989</f>
        <v>63</v>
      </c>
      <c r="CG1989" s="129" t="str">
        <f t="shared" si="1498"/>
        <v>Y</v>
      </c>
      <c r="CI1989" s="129" t="str">
        <f t="shared" si="1499"/>
        <v>0-10 DAYS</v>
      </c>
      <c r="CJ1989" s="137">
        <f t="shared" si="1500"/>
        <v>1</v>
      </c>
      <c r="CK1989" s="129" t="str">
        <f t="shared" si="1501"/>
        <v>Booked</v>
      </c>
    </row>
    <row r="1990" spans="1:89" ht="15" customHeight="1" x14ac:dyDescent="0.25">
      <c r="A1990" s="111">
        <v>2454</v>
      </c>
      <c r="B1990" s="128" t="str">
        <f t="shared" si="1481"/>
        <v>N</v>
      </c>
      <c r="C1990" s="128" t="str">
        <f t="shared" si="1482"/>
        <v>N</v>
      </c>
      <c r="D1990" s="117">
        <v>2370436</v>
      </c>
      <c r="E1990" s="135">
        <f t="shared" si="1483"/>
        <v>4</v>
      </c>
      <c r="F1990" s="124">
        <v>41001</v>
      </c>
      <c r="G1990" s="125">
        <v>41116</v>
      </c>
      <c r="H1990" s="117">
        <v>2370436</v>
      </c>
      <c r="I1990" s="124">
        <v>41002</v>
      </c>
      <c r="J1990" s="124">
        <v>41116</v>
      </c>
      <c r="K1990" s="126">
        <v>5000</v>
      </c>
      <c r="L1990" s="127" t="s">
        <v>569</v>
      </c>
      <c r="N1990" s="129" t="str">
        <f>IF(M1990&gt;1/1/1,"Y","N")</f>
        <v>N</v>
      </c>
      <c r="O1990" s="128" t="s">
        <v>917</v>
      </c>
      <c r="P1990" s="129" t="s">
        <v>39</v>
      </c>
      <c r="Q1990" s="111">
        <f t="shared" ref="Q1990:Q2003" si="1502">BF1990</f>
        <v>115</v>
      </c>
      <c r="R1990" s="111">
        <f t="shared" si="1459"/>
        <v>116</v>
      </c>
      <c r="S1990" s="129">
        <v>0</v>
      </c>
      <c r="T1990" s="129">
        <v>1</v>
      </c>
      <c r="W1990" s="111"/>
      <c r="AC1990" s="130"/>
      <c r="AD1990" s="130">
        <v>30044</v>
      </c>
      <c r="AE1990" s="128" t="s">
        <v>32</v>
      </c>
      <c r="AF1990" s="128" t="s">
        <v>33</v>
      </c>
      <c r="AG1990" s="128" t="s">
        <v>872</v>
      </c>
      <c r="AH1990" s="108" t="s">
        <v>31</v>
      </c>
      <c r="AI1990" s="128" t="s">
        <v>42</v>
      </c>
      <c r="AJ1990" s="129" t="s">
        <v>89</v>
      </c>
      <c r="AK1990" s="129">
        <v>4</v>
      </c>
      <c r="AL1990" s="3" t="s">
        <v>991</v>
      </c>
      <c r="AO1990" s="128">
        <v>365</v>
      </c>
      <c r="AP1990" s="129" t="s">
        <v>84</v>
      </c>
      <c r="AR1990" s="128" t="s">
        <v>67</v>
      </c>
      <c r="AS1990" s="129" t="s">
        <v>74</v>
      </c>
      <c r="BC1990" s="129" t="s">
        <v>38</v>
      </c>
      <c r="BF1990" s="111">
        <f t="shared" ref="BF1990:BF2003" si="1503">IF(J1990&gt;1/1/1900,((J1990+1)-I1990),"STILL OPEN")</f>
        <v>115</v>
      </c>
      <c r="BG1990" s="111">
        <f t="shared" si="1484"/>
        <v>115</v>
      </c>
      <c r="BH1990" s="111">
        <f t="shared" si="1478"/>
        <v>116</v>
      </c>
      <c r="BI1990" s="111">
        <f t="shared" si="1479"/>
        <v>29.937158469945356</v>
      </c>
      <c r="BJ1990" s="129">
        <f t="shared" si="1485"/>
        <v>0</v>
      </c>
      <c r="BK1990" s="129">
        <f t="shared" si="1480"/>
        <v>0</v>
      </c>
      <c r="BL1990" s="129" t="str">
        <f t="shared" si="1466"/>
        <v>CONVICTION</v>
      </c>
      <c r="BM1990" s="129" t="str">
        <f t="shared" si="1486"/>
        <v>NONE</v>
      </c>
      <c r="BN1990" s="129" t="s">
        <v>566</v>
      </c>
      <c r="BP1990" s="137" t="str">
        <f t="shared" si="1487"/>
        <v>CONVICTION</v>
      </c>
      <c r="BQ1990" s="128" t="str">
        <f t="shared" si="1488"/>
        <v>Y</v>
      </c>
      <c r="BR1990" s="129" t="str">
        <f t="shared" si="1489"/>
        <v>DETAINED</v>
      </c>
      <c r="BS1990" s="129" t="str">
        <f t="shared" si="1490"/>
        <v>DISPOSED</v>
      </c>
      <c r="BT1990" s="129" t="str">
        <f t="shared" si="1491"/>
        <v>N</v>
      </c>
      <c r="BU1990" s="109">
        <f t="shared" si="1492"/>
        <v>0.99137931034482762</v>
      </c>
      <c r="BV1990" s="109">
        <f t="shared" si="1493"/>
        <v>1</v>
      </c>
      <c r="BW1990" s="109">
        <f t="shared" si="1477"/>
        <v>8.6206896551723755E-3</v>
      </c>
      <c r="BX1990" s="111">
        <f t="shared" si="1494"/>
        <v>0</v>
      </c>
      <c r="BY1990" s="129">
        <f t="shared" si="1495"/>
        <v>-115</v>
      </c>
      <c r="BZ1990" s="111">
        <f t="shared" si="1496"/>
        <v>0</v>
      </c>
      <c r="CA1990" s="138">
        <f t="shared" si="1497"/>
        <v>115</v>
      </c>
      <c r="CB1990" s="111" t="e">
        <f t="shared" ref="CB1990:CB2003" si="1504">IF(AF1990&gt;1/1/1900,((AF1990+1)-AE1990),"STILL OPEN")</f>
        <v>#VALUE!</v>
      </c>
      <c r="CC1990" s="129">
        <f>G1990-I1990+1</f>
        <v>115</v>
      </c>
      <c r="CD1990" s="129">
        <f>G1990-J1990</f>
        <v>0</v>
      </c>
      <c r="CG1990" s="129" t="str">
        <f t="shared" si="1498"/>
        <v>Y</v>
      </c>
      <c r="CI1990" s="129" t="str">
        <f t="shared" si="1499"/>
        <v>91-120 DAYS</v>
      </c>
      <c r="CJ1990" s="137">
        <f t="shared" si="1500"/>
        <v>0</v>
      </c>
      <c r="CK1990" s="129" t="str">
        <f t="shared" si="1501"/>
        <v>Booked</v>
      </c>
    </row>
    <row r="1991" spans="1:89" ht="15" customHeight="1" x14ac:dyDescent="0.25">
      <c r="A1991" s="111">
        <v>3173</v>
      </c>
      <c r="B1991" s="128" t="str">
        <f t="shared" si="1481"/>
        <v>N</v>
      </c>
      <c r="C1991" s="128" t="str">
        <f t="shared" si="1482"/>
        <v>N</v>
      </c>
      <c r="D1991" s="117">
        <v>2370537</v>
      </c>
      <c r="E1991" s="135">
        <f t="shared" si="1483"/>
        <v>5</v>
      </c>
      <c r="F1991" s="124">
        <v>41025</v>
      </c>
      <c r="G1991" s="125">
        <v>41029</v>
      </c>
      <c r="H1991" s="117">
        <v>2370537</v>
      </c>
      <c r="I1991" s="124">
        <v>41026</v>
      </c>
      <c r="J1991" s="124">
        <v>41029</v>
      </c>
      <c r="K1991" s="126">
        <v>2000</v>
      </c>
      <c r="L1991" s="127" t="s">
        <v>568</v>
      </c>
      <c r="N1991" s="129" t="str">
        <f>IF(M1991&gt;1/1/1,"Y","N")</f>
        <v>N</v>
      </c>
      <c r="O1991" s="128" t="s">
        <v>917</v>
      </c>
      <c r="P1991" s="129" t="s">
        <v>39</v>
      </c>
      <c r="Q1991" s="111">
        <f t="shared" si="1502"/>
        <v>4</v>
      </c>
      <c r="R1991" s="111">
        <f t="shared" si="1459"/>
        <v>5</v>
      </c>
      <c r="S1991" s="129">
        <v>4</v>
      </c>
      <c r="T1991" s="129">
        <v>3</v>
      </c>
      <c r="W1991" s="111"/>
      <c r="AC1991" s="130"/>
      <c r="AD1991" s="130">
        <v>33413</v>
      </c>
      <c r="AE1991" s="128" t="s">
        <v>32</v>
      </c>
      <c r="AF1991" s="128" t="s">
        <v>40</v>
      </c>
      <c r="AG1991" s="128" t="s">
        <v>41</v>
      </c>
      <c r="AH1991" s="108" t="s">
        <v>41</v>
      </c>
      <c r="AI1991" s="128" t="s">
        <v>59</v>
      </c>
      <c r="AJ1991" s="129" t="s">
        <v>89</v>
      </c>
      <c r="AK1991" s="129">
        <v>1</v>
      </c>
      <c r="AL1991" s="3" t="s">
        <v>992</v>
      </c>
      <c r="AN1991" s="117">
        <v>6</v>
      </c>
      <c r="AP1991" s="129" t="s">
        <v>60</v>
      </c>
      <c r="AR1991" s="128" t="s">
        <v>44</v>
      </c>
      <c r="AS1991" s="129" t="s">
        <v>61</v>
      </c>
      <c r="BC1991" s="129" t="s">
        <v>38</v>
      </c>
      <c r="BF1991" s="111">
        <f t="shared" si="1503"/>
        <v>4</v>
      </c>
      <c r="BG1991" s="111">
        <f t="shared" si="1484"/>
        <v>4</v>
      </c>
      <c r="BH1991" s="111">
        <f t="shared" si="1478"/>
        <v>5</v>
      </c>
      <c r="BI1991" s="111">
        <f t="shared" si="1479"/>
        <v>20.797814207650273</v>
      </c>
      <c r="BJ1991" s="129">
        <f t="shared" si="1485"/>
        <v>0</v>
      </c>
      <c r="BK1991" s="129">
        <f t="shared" si="1480"/>
        <v>0</v>
      </c>
      <c r="BL1991" s="129" t="str">
        <f t="shared" si="1466"/>
        <v>CONVICTION</v>
      </c>
      <c r="BM1991" s="129" t="str">
        <f t="shared" si="1486"/>
        <v>NONE</v>
      </c>
      <c r="BN1991" s="129" t="s">
        <v>566</v>
      </c>
      <c r="BP1991" s="137" t="str">
        <f t="shared" si="1487"/>
        <v>CONVICTION</v>
      </c>
      <c r="BQ1991" s="128" t="str">
        <f t="shared" si="1488"/>
        <v>Y</v>
      </c>
      <c r="BR1991" s="129" t="str">
        <f t="shared" si="1489"/>
        <v>DETAINED</v>
      </c>
      <c r="BS1991" s="129" t="str">
        <f t="shared" si="1490"/>
        <v>DISPOSED</v>
      </c>
      <c r="BT1991" s="129" t="str">
        <f t="shared" si="1491"/>
        <v>Y</v>
      </c>
      <c r="BU1991" s="109">
        <f t="shared" si="1492"/>
        <v>0.8</v>
      </c>
      <c r="BV1991" s="109">
        <f t="shared" si="1493"/>
        <v>1</v>
      </c>
      <c r="BW1991" s="109">
        <f t="shared" si="1477"/>
        <v>0.19999999999999996</v>
      </c>
      <c r="BX1991" s="111">
        <f t="shared" si="1494"/>
        <v>0</v>
      </c>
      <c r="BY1991" s="129">
        <f t="shared" si="1495"/>
        <v>-4</v>
      </c>
      <c r="BZ1991" s="111">
        <f t="shared" si="1496"/>
        <v>0</v>
      </c>
      <c r="CA1991" s="138">
        <f t="shared" si="1497"/>
        <v>4</v>
      </c>
      <c r="CB1991" s="111" t="e">
        <f t="shared" si="1504"/>
        <v>#VALUE!</v>
      </c>
      <c r="CC1991" s="129">
        <f>G1991-I1991+1</f>
        <v>4</v>
      </c>
      <c r="CD1991" s="129">
        <f>G1991-J1991</f>
        <v>0</v>
      </c>
      <c r="CG1991" s="129" t="str">
        <f t="shared" si="1498"/>
        <v>Y</v>
      </c>
      <c r="CI1991" s="129" t="str">
        <f t="shared" si="1499"/>
        <v>0-10 DAYS</v>
      </c>
      <c r="CJ1991" s="137">
        <f t="shared" si="1500"/>
        <v>1</v>
      </c>
      <c r="CK1991" s="129" t="str">
        <f t="shared" si="1501"/>
        <v>Booked</v>
      </c>
    </row>
    <row r="1992" spans="1:89" ht="15" customHeight="1" x14ac:dyDescent="0.25">
      <c r="A1992" s="111">
        <v>1664</v>
      </c>
      <c r="B1992" s="128" t="str">
        <f t="shared" si="1481"/>
        <v>N</v>
      </c>
      <c r="C1992" s="128" t="str">
        <f t="shared" si="1482"/>
        <v>N</v>
      </c>
      <c r="D1992" s="117">
        <v>2371396</v>
      </c>
      <c r="E1992" s="135">
        <f t="shared" si="1483"/>
        <v>1</v>
      </c>
      <c r="F1992" s="124">
        <v>40970</v>
      </c>
      <c r="G1992" s="125">
        <v>41171</v>
      </c>
      <c r="H1992" s="117">
        <v>2371396</v>
      </c>
      <c r="I1992" s="124">
        <v>40980</v>
      </c>
      <c r="J1992" s="124">
        <v>41171</v>
      </c>
      <c r="K1992" s="126" t="s">
        <v>564</v>
      </c>
      <c r="L1992" s="127" t="s">
        <v>564</v>
      </c>
      <c r="N1992" s="129" t="s">
        <v>566</v>
      </c>
      <c r="O1992" s="128" t="s">
        <v>917</v>
      </c>
      <c r="P1992" s="129" t="s">
        <v>55</v>
      </c>
      <c r="Q1992" s="111">
        <f t="shared" si="1502"/>
        <v>192</v>
      </c>
      <c r="R1992" s="111">
        <f t="shared" si="1459"/>
        <v>202</v>
      </c>
      <c r="S1992" s="129">
        <v>2</v>
      </c>
      <c r="T1992" s="129">
        <v>2</v>
      </c>
      <c r="W1992" s="111"/>
      <c r="AC1992" s="130"/>
      <c r="AD1992" s="130">
        <v>33271</v>
      </c>
      <c r="AE1992" s="128" t="s">
        <v>32</v>
      </c>
      <c r="AF1992" s="128" t="s">
        <v>33</v>
      </c>
      <c r="AG1992" s="128" t="s">
        <v>872</v>
      </c>
      <c r="AH1992" s="108" t="s">
        <v>31</v>
      </c>
      <c r="AI1992" s="128" t="s">
        <v>59</v>
      </c>
      <c r="AJ1992" s="129" t="s">
        <v>55</v>
      </c>
      <c r="AK1992" s="129">
        <v>9</v>
      </c>
      <c r="AL1992" s="3" t="s">
        <v>55</v>
      </c>
      <c r="AP1992" s="129" t="s">
        <v>105</v>
      </c>
      <c r="AR1992" s="128" t="s">
        <v>92</v>
      </c>
      <c r="AS1992" s="129" t="s">
        <v>106</v>
      </c>
      <c r="BC1992" s="129" t="s">
        <v>38</v>
      </c>
      <c r="BF1992" s="111">
        <f t="shared" si="1503"/>
        <v>192</v>
      </c>
      <c r="BG1992" s="111">
        <f t="shared" si="1484"/>
        <v>192</v>
      </c>
      <c r="BH1992" s="111">
        <f t="shared" si="1478"/>
        <v>202</v>
      </c>
      <c r="BI1992" s="111">
        <f t="shared" si="1479"/>
        <v>21.035519125683059</v>
      </c>
      <c r="BJ1992" s="129">
        <f t="shared" si="1485"/>
        <v>0</v>
      </c>
      <c r="BK1992" s="129">
        <f t="shared" si="1480"/>
        <v>0</v>
      </c>
      <c r="BL1992" s="129" t="str">
        <f t="shared" si="1466"/>
        <v>NO CONVICTION</v>
      </c>
      <c r="BM1992" s="129" t="str">
        <f t="shared" si="1486"/>
        <v>NONE</v>
      </c>
      <c r="BN1992" s="129" t="s">
        <v>566</v>
      </c>
      <c r="BP1992" s="137" t="str">
        <f t="shared" si="1487"/>
        <v>NO CONVICTION</v>
      </c>
      <c r="BQ1992" s="128" t="str">
        <f t="shared" si="1488"/>
        <v>Y</v>
      </c>
      <c r="BR1992" s="129" t="str">
        <f t="shared" si="1489"/>
        <v>DETAINED</v>
      </c>
      <c r="BS1992" s="129" t="str">
        <f t="shared" si="1490"/>
        <v>DISPOSED</v>
      </c>
      <c r="BT1992" s="129" t="str">
        <f t="shared" si="1491"/>
        <v>Y</v>
      </c>
      <c r="BU1992" s="109">
        <f>IFERROR(Q1992/R1992,BR1992)</f>
        <v>0.95049504950495045</v>
      </c>
      <c r="BV1992" s="109">
        <f t="shared" si="1493"/>
        <v>1</v>
      </c>
      <c r="BW1992" s="109">
        <f t="shared" si="1477"/>
        <v>4.9504950495049549E-2</v>
      </c>
      <c r="BX1992" s="111">
        <f t="shared" si="1494"/>
        <v>0</v>
      </c>
      <c r="BY1992" s="129">
        <f t="shared" si="1495"/>
        <v>-192</v>
      </c>
      <c r="BZ1992" s="111">
        <f t="shared" si="1496"/>
        <v>0</v>
      </c>
      <c r="CA1992" s="138">
        <f t="shared" si="1497"/>
        <v>192</v>
      </c>
      <c r="CB1992" s="111" t="e">
        <f t="shared" si="1504"/>
        <v>#VALUE!</v>
      </c>
      <c r="CC1992" s="129">
        <f>G1992-I1992+1</f>
        <v>192</v>
      </c>
      <c r="CD1992" s="129">
        <f>G1992-J1992</f>
        <v>0</v>
      </c>
      <c r="CG1992" s="129" t="str">
        <f t="shared" si="1498"/>
        <v>Y</v>
      </c>
      <c r="CI1992" s="129" t="str">
        <f t="shared" si="1499"/>
        <v>121-365 DAYS</v>
      </c>
      <c r="CJ1992" s="137">
        <f t="shared" si="1500"/>
        <v>6</v>
      </c>
      <c r="CK1992" s="129" t="str">
        <f t="shared" si="1501"/>
        <v>Booked</v>
      </c>
    </row>
    <row r="1993" spans="1:89" ht="15" customHeight="1" x14ac:dyDescent="0.25">
      <c r="A1993" s="111">
        <v>3200</v>
      </c>
      <c r="B1993" s="128" t="str">
        <f t="shared" si="1481"/>
        <v>N</v>
      </c>
      <c r="C1993" s="128" t="str">
        <f t="shared" si="1482"/>
        <v>Y</v>
      </c>
      <c r="D1993" s="117">
        <v>2371419</v>
      </c>
      <c r="E1993" s="135">
        <f t="shared" si="1483"/>
        <v>5</v>
      </c>
      <c r="F1993" s="124">
        <v>41026</v>
      </c>
      <c r="G1993" s="125">
        <v>41150</v>
      </c>
      <c r="H1993" s="117">
        <v>2371419</v>
      </c>
      <c r="I1993" s="124">
        <v>41026</v>
      </c>
      <c r="J1993" s="124">
        <v>41039</v>
      </c>
      <c r="K1993" s="126">
        <v>15000</v>
      </c>
      <c r="L1993" s="127" t="s">
        <v>571</v>
      </c>
      <c r="M1993" s="125">
        <v>41039</v>
      </c>
      <c r="N1993" s="129" t="str">
        <f>IF(M1993&gt;1/1/1,"Y","N")</f>
        <v>Y</v>
      </c>
      <c r="O1993" s="128" t="s">
        <v>76</v>
      </c>
      <c r="P1993" s="129" t="s">
        <v>39</v>
      </c>
      <c r="Q1993" s="111">
        <v>65</v>
      </c>
      <c r="R1993" s="111">
        <f t="shared" si="1459"/>
        <v>125</v>
      </c>
      <c r="S1993" s="129">
        <v>2</v>
      </c>
      <c r="T1993" s="129">
        <v>2</v>
      </c>
      <c r="U1993" s="129">
        <v>2</v>
      </c>
      <c r="W1993" s="111"/>
      <c r="AC1993" s="130"/>
      <c r="AD1993" s="130">
        <v>33423</v>
      </c>
      <c r="AE1993" s="128" t="s">
        <v>32</v>
      </c>
      <c r="AF1993" s="128" t="s">
        <v>69</v>
      </c>
      <c r="AG1993" s="128" t="s">
        <v>874</v>
      </c>
      <c r="AH1993" s="108" t="s">
        <v>58</v>
      </c>
      <c r="AI1993" s="128" t="s">
        <v>72</v>
      </c>
      <c r="AJ1993" s="129" t="s">
        <v>89</v>
      </c>
      <c r="AK1993" s="129">
        <v>5</v>
      </c>
      <c r="AL1993" s="3" t="s">
        <v>992</v>
      </c>
      <c r="AN1993" s="117">
        <v>9</v>
      </c>
      <c r="AP1993" s="129" t="s">
        <v>108</v>
      </c>
      <c r="AR1993" s="128" t="s">
        <v>44</v>
      </c>
      <c r="AS1993" s="129" t="s">
        <v>61</v>
      </c>
      <c r="AU1993" s="118" t="s">
        <v>798</v>
      </c>
      <c r="AX1993" s="32" t="s">
        <v>88</v>
      </c>
      <c r="BC1993" s="129" t="s">
        <v>52</v>
      </c>
      <c r="BF1993" s="111">
        <v>65</v>
      </c>
      <c r="BG1993" s="111">
        <f t="shared" si="1484"/>
        <v>125</v>
      </c>
      <c r="BH1993" s="111">
        <f t="shared" si="1478"/>
        <v>125</v>
      </c>
      <c r="BI1993" s="111">
        <f t="shared" si="1479"/>
        <v>20.773224043715846</v>
      </c>
      <c r="BJ1993" s="129">
        <f>(G1993-J1993)+(M1993-G1993)</f>
        <v>0</v>
      </c>
      <c r="BK1993" s="129">
        <f t="shared" si="1480"/>
        <v>-111</v>
      </c>
      <c r="BL1993" s="129" t="str">
        <f t="shared" si="1466"/>
        <v>CONVICTION</v>
      </c>
      <c r="BM1993" s="129" t="s">
        <v>76</v>
      </c>
      <c r="BN1993" s="129" t="s">
        <v>88</v>
      </c>
      <c r="BP1993" s="137" t="str">
        <f t="shared" si="1487"/>
        <v>CONVICTION</v>
      </c>
      <c r="BQ1993" s="128" t="str">
        <f t="shared" si="1488"/>
        <v>Y</v>
      </c>
      <c r="BR1993" s="129" t="s">
        <v>574</v>
      </c>
      <c r="BS1993" s="129" t="str">
        <f t="shared" si="1490"/>
        <v>DISPOSED</v>
      </c>
      <c r="BT1993" s="129" t="str">
        <f t="shared" si="1491"/>
        <v>Y</v>
      </c>
      <c r="BU1993" s="109">
        <f t="shared" si="1492"/>
        <v>0.52</v>
      </c>
      <c r="BV1993" s="109">
        <f t="shared" si="1493"/>
        <v>0.112</v>
      </c>
      <c r="BW1993" s="109">
        <f t="shared" si="1477"/>
        <v>-0.40800000000000003</v>
      </c>
      <c r="BX1993" s="111">
        <f t="shared" si="1494"/>
        <v>0</v>
      </c>
      <c r="BY1993" s="129">
        <f t="shared" si="1495"/>
        <v>-14</v>
      </c>
      <c r="BZ1993" s="111">
        <f t="shared" si="1496"/>
        <v>51</v>
      </c>
      <c r="CA1993" s="138">
        <f t="shared" si="1497"/>
        <v>125</v>
      </c>
      <c r="CB1993" s="111">
        <v>65</v>
      </c>
      <c r="CC1993" s="129">
        <f>G1993-I1993+1</f>
        <v>125</v>
      </c>
      <c r="CD1993" s="129">
        <f>G1993-J1993</f>
        <v>111</v>
      </c>
      <c r="CG1993" s="129" t="str">
        <f t="shared" si="1498"/>
        <v>Y</v>
      </c>
      <c r="CI1993" s="129" t="str">
        <f t="shared" si="1499"/>
        <v>61-90 DAYS</v>
      </c>
      <c r="CJ1993" s="137">
        <f t="shared" si="1500"/>
        <v>4</v>
      </c>
      <c r="CK1993" s="129" t="str">
        <f t="shared" si="1501"/>
        <v>Booked</v>
      </c>
    </row>
    <row r="1994" spans="1:89" ht="15.75" customHeight="1" x14ac:dyDescent="0.25">
      <c r="A1994" s="111">
        <v>1477</v>
      </c>
      <c r="B1994" s="128" t="str">
        <f t="shared" si="1481"/>
        <v>N</v>
      </c>
      <c r="C1994" s="128" t="str">
        <f t="shared" si="1482"/>
        <v>N</v>
      </c>
      <c r="D1994" s="117">
        <v>2371537</v>
      </c>
      <c r="E1994" s="135">
        <f t="shared" si="1483"/>
        <v>1</v>
      </c>
      <c r="F1994" s="124">
        <v>40963</v>
      </c>
      <c r="G1994" s="125">
        <v>41046</v>
      </c>
      <c r="H1994" s="117">
        <v>2371537</v>
      </c>
      <c r="I1994" s="124">
        <v>40963</v>
      </c>
      <c r="J1994" s="124">
        <v>40965</v>
      </c>
      <c r="K1994" s="126">
        <v>2000</v>
      </c>
      <c r="L1994" s="127" t="s">
        <v>568</v>
      </c>
      <c r="M1994" s="125">
        <v>40965</v>
      </c>
      <c r="N1994" s="129" t="str">
        <f>IF(M1994&gt;1/1/1,"Y","N")</f>
        <v>Y</v>
      </c>
      <c r="O1994" s="128" t="s">
        <v>76</v>
      </c>
      <c r="P1994" s="129" t="s">
        <v>55</v>
      </c>
      <c r="Q1994" s="111">
        <f t="shared" si="1502"/>
        <v>3</v>
      </c>
      <c r="R1994" s="111">
        <f t="shared" si="1459"/>
        <v>84</v>
      </c>
      <c r="S1994" s="129">
        <v>0</v>
      </c>
      <c r="T1994" s="129">
        <v>0</v>
      </c>
      <c r="W1994" s="111"/>
      <c r="AC1994" s="130"/>
      <c r="AD1994" s="130">
        <v>32008</v>
      </c>
      <c r="AE1994" s="128" t="s">
        <v>46</v>
      </c>
      <c r="AF1994" s="128" t="s">
        <v>33</v>
      </c>
      <c r="AG1994" s="128" t="s">
        <v>872</v>
      </c>
      <c r="AH1994" s="108" t="s">
        <v>31</v>
      </c>
      <c r="AI1994" s="128" t="s">
        <v>65</v>
      </c>
      <c r="AJ1994" s="129" t="s">
        <v>55</v>
      </c>
      <c r="AK1994" s="129">
        <v>7</v>
      </c>
      <c r="AL1994" s="3" t="s">
        <v>55</v>
      </c>
      <c r="AP1994" s="129" t="s">
        <v>43</v>
      </c>
      <c r="AR1994" s="128" t="s">
        <v>44</v>
      </c>
      <c r="AS1994" s="129" t="s">
        <v>45</v>
      </c>
      <c r="AT1994" s="129" t="s">
        <v>340</v>
      </c>
      <c r="BC1994" s="129" t="s">
        <v>38</v>
      </c>
      <c r="BF1994" s="111">
        <f t="shared" si="1503"/>
        <v>3</v>
      </c>
      <c r="BG1994" s="111">
        <f t="shared" si="1484"/>
        <v>84</v>
      </c>
      <c r="BH1994" s="111">
        <f t="shared" si="1478"/>
        <v>84</v>
      </c>
      <c r="BI1994" s="111">
        <f t="shared" si="1479"/>
        <v>24.467213114754099</v>
      </c>
      <c r="BJ1994" s="129">
        <f>(G1994-J1994)+(M1994-G1994)</f>
        <v>0</v>
      </c>
      <c r="BK1994" s="129">
        <f t="shared" si="1480"/>
        <v>-81</v>
      </c>
      <c r="BL1994" s="129" t="str">
        <f t="shared" si="1466"/>
        <v>NO CONVICTION</v>
      </c>
      <c r="BM1994" s="129" t="s">
        <v>76</v>
      </c>
      <c r="BN1994" s="129" t="s">
        <v>88</v>
      </c>
      <c r="BP1994" s="137" t="str">
        <f t="shared" si="1487"/>
        <v>NO CONVICTION</v>
      </c>
      <c r="BQ1994" s="128" t="str">
        <f t="shared" si="1488"/>
        <v>Y</v>
      </c>
      <c r="BR1994" s="129" t="str">
        <f t="shared" si="1489"/>
        <v>ON BOND</v>
      </c>
      <c r="BS1994" s="129" t="str">
        <f t="shared" si="1490"/>
        <v>DISPOSED</v>
      </c>
      <c r="BT1994" s="129" t="str">
        <f t="shared" si="1491"/>
        <v>N</v>
      </c>
      <c r="BU1994" s="109">
        <f>IFERROR(Q1994/R1994,BR1994)</f>
        <v>3.5714285714285712E-2</v>
      </c>
      <c r="BV1994" s="109">
        <f t="shared" si="1493"/>
        <v>3.5714285714285712E-2</v>
      </c>
      <c r="BW1994" s="109">
        <f t="shared" si="1477"/>
        <v>0</v>
      </c>
      <c r="BX1994" s="111">
        <f t="shared" si="1494"/>
        <v>0</v>
      </c>
      <c r="BY1994" s="129">
        <f t="shared" si="1495"/>
        <v>-3</v>
      </c>
      <c r="BZ1994" s="111">
        <f t="shared" si="1496"/>
        <v>0</v>
      </c>
      <c r="CA1994" s="138">
        <f t="shared" si="1497"/>
        <v>3</v>
      </c>
      <c r="CB1994" s="111" t="e">
        <f t="shared" si="1504"/>
        <v>#VALUE!</v>
      </c>
      <c r="CC1994" s="129">
        <f>M1994-I1994+1</f>
        <v>3</v>
      </c>
      <c r="CD1994" s="111">
        <f>CC1994-BF1994</f>
        <v>0</v>
      </c>
      <c r="CG1994" s="129" t="str">
        <f t="shared" si="1498"/>
        <v>N</v>
      </c>
      <c r="CI1994" s="129" t="str">
        <f t="shared" si="1499"/>
        <v>0-10 DAYS</v>
      </c>
      <c r="CJ1994" s="137">
        <f t="shared" si="1500"/>
        <v>1</v>
      </c>
      <c r="CK1994" s="129" t="str">
        <f t="shared" si="1501"/>
        <v>Booked</v>
      </c>
    </row>
    <row r="1995" spans="1:89" ht="15" customHeight="1" x14ac:dyDescent="0.25">
      <c r="A1995" s="111">
        <v>2922</v>
      </c>
      <c r="B1995" s="128" t="str">
        <f t="shared" si="1481"/>
        <v>N</v>
      </c>
      <c r="C1995" s="128" t="str">
        <f t="shared" si="1482"/>
        <v>N</v>
      </c>
      <c r="D1995" s="117">
        <v>2372200</v>
      </c>
      <c r="E1995" s="135">
        <f t="shared" si="1483"/>
        <v>6</v>
      </c>
      <c r="F1995" s="124">
        <v>41017</v>
      </c>
      <c r="G1995" s="125">
        <v>41186</v>
      </c>
      <c r="H1995" s="117">
        <v>2372200</v>
      </c>
      <c r="I1995" s="124">
        <v>41017</v>
      </c>
      <c r="J1995" s="124">
        <v>41186</v>
      </c>
      <c r="K1995" s="126" t="s">
        <v>564</v>
      </c>
      <c r="L1995" s="127" t="s">
        <v>564</v>
      </c>
      <c r="N1995" s="129" t="s">
        <v>566</v>
      </c>
      <c r="O1995" s="128" t="s">
        <v>917</v>
      </c>
      <c r="P1995" s="129" t="s">
        <v>39</v>
      </c>
      <c r="Q1995" s="111">
        <f t="shared" si="1502"/>
        <v>170</v>
      </c>
      <c r="R1995" s="111">
        <f t="shared" si="1459"/>
        <v>170</v>
      </c>
      <c r="S1995" s="129">
        <v>5</v>
      </c>
      <c r="T1995" s="129">
        <v>6</v>
      </c>
      <c r="W1995" s="111"/>
      <c r="AC1995" s="130"/>
      <c r="AD1995" s="130">
        <v>33424</v>
      </c>
      <c r="AE1995" s="128" t="s">
        <v>32</v>
      </c>
      <c r="AF1995" s="128" t="s">
        <v>33</v>
      </c>
      <c r="AG1995" s="128" t="s">
        <v>872</v>
      </c>
      <c r="AH1995" s="108" t="s">
        <v>58</v>
      </c>
      <c r="AI1995" s="128" t="s">
        <v>100</v>
      </c>
      <c r="AJ1995" s="129" t="s">
        <v>89</v>
      </c>
      <c r="AK1995" s="129">
        <v>8</v>
      </c>
      <c r="AL1995" s="3" t="s">
        <v>362</v>
      </c>
      <c r="AM1995" s="117">
        <v>7</v>
      </c>
      <c r="AP1995" s="129" t="s">
        <v>56</v>
      </c>
      <c r="AR1995" s="128" t="s">
        <v>50</v>
      </c>
      <c r="AS1995" s="129" t="s">
        <v>57</v>
      </c>
      <c r="AT1995" s="129" t="s">
        <v>500</v>
      </c>
      <c r="BC1995" s="129" t="s">
        <v>52</v>
      </c>
      <c r="BF1995" s="111">
        <f t="shared" si="1503"/>
        <v>170</v>
      </c>
      <c r="BG1995" s="111">
        <f t="shared" si="1484"/>
        <v>170</v>
      </c>
      <c r="BH1995" s="111">
        <f t="shared" si="1478"/>
        <v>170</v>
      </c>
      <c r="BI1995" s="111">
        <f t="shared" si="1479"/>
        <v>20.745901639344261</v>
      </c>
      <c r="BJ1995" s="129">
        <f t="shared" si="1485"/>
        <v>0</v>
      </c>
      <c r="BK1995" s="129">
        <f t="shared" si="1480"/>
        <v>0</v>
      </c>
      <c r="BL1995" s="129" t="str">
        <f t="shared" si="1466"/>
        <v>CONVICTION</v>
      </c>
      <c r="BM1995" s="129" t="str">
        <f t="shared" si="1486"/>
        <v>NONE</v>
      </c>
      <c r="BN1995" s="129" t="s">
        <v>566</v>
      </c>
      <c r="BP1995" s="137" t="str">
        <f t="shared" si="1487"/>
        <v>CONVICTION</v>
      </c>
      <c r="BQ1995" s="128" t="str">
        <f t="shared" si="1488"/>
        <v>Y</v>
      </c>
      <c r="BR1995" s="129" t="str">
        <f t="shared" si="1489"/>
        <v>DETAINED</v>
      </c>
      <c r="BS1995" s="129" t="str">
        <f t="shared" si="1490"/>
        <v>DISPOSED</v>
      </c>
      <c r="BT1995" s="129" t="str">
        <f t="shared" si="1491"/>
        <v>Y</v>
      </c>
      <c r="BU1995" s="109">
        <f t="shared" si="1492"/>
        <v>1</v>
      </c>
      <c r="BV1995" s="109">
        <f t="shared" si="1493"/>
        <v>1</v>
      </c>
      <c r="BW1995" s="109">
        <f t="shared" si="1477"/>
        <v>0</v>
      </c>
      <c r="BX1995" s="111">
        <f t="shared" si="1494"/>
        <v>0</v>
      </c>
      <c r="BY1995" s="129">
        <f t="shared" si="1495"/>
        <v>-170</v>
      </c>
      <c r="BZ1995" s="111">
        <f t="shared" si="1496"/>
        <v>0</v>
      </c>
      <c r="CA1995" s="138">
        <f t="shared" si="1497"/>
        <v>170</v>
      </c>
      <c r="CB1995" s="111" t="e">
        <f t="shared" si="1504"/>
        <v>#VALUE!</v>
      </c>
      <c r="CC1995" s="129">
        <f>G1995-I1995+1</f>
        <v>170</v>
      </c>
      <c r="CD1995" s="129">
        <f>G1995-J1995</f>
        <v>0</v>
      </c>
      <c r="CG1995" s="129" t="str">
        <f t="shared" si="1498"/>
        <v>Y</v>
      </c>
      <c r="CI1995" s="129" t="str">
        <f t="shared" si="1499"/>
        <v>121-365 DAYS</v>
      </c>
      <c r="CJ1995" s="137">
        <f t="shared" si="1500"/>
        <v>6</v>
      </c>
      <c r="CK1995" s="129" t="str">
        <f t="shared" si="1501"/>
        <v>Booked</v>
      </c>
    </row>
    <row r="1996" spans="1:89" ht="15.75" customHeight="1" x14ac:dyDescent="0.25">
      <c r="A1996" s="111">
        <v>2825</v>
      </c>
      <c r="B1996" s="128" t="str">
        <f t="shared" si="1481"/>
        <v>N</v>
      </c>
      <c r="C1996" s="128" t="str">
        <f t="shared" si="1482"/>
        <v>N</v>
      </c>
      <c r="D1996" s="117">
        <v>2372974</v>
      </c>
      <c r="E1996" s="135">
        <f t="shared" si="1483"/>
        <v>4</v>
      </c>
      <c r="F1996" s="124">
        <v>41013</v>
      </c>
      <c r="G1996" s="125">
        <v>41015</v>
      </c>
      <c r="H1996" s="117">
        <v>2372974</v>
      </c>
      <c r="I1996" s="124">
        <v>41013</v>
      </c>
      <c r="J1996" s="124">
        <v>41015</v>
      </c>
      <c r="K1996" s="126">
        <v>15000</v>
      </c>
      <c r="L1996" s="127" t="s">
        <v>571</v>
      </c>
      <c r="N1996" s="129" t="str">
        <f>IF(M1996&gt;1/1/1,"Y","N")</f>
        <v>N</v>
      </c>
      <c r="O1996" s="128" t="s">
        <v>917</v>
      </c>
      <c r="P1996" s="129" t="s">
        <v>39</v>
      </c>
      <c r="Q1996" s="111">
        <f t="shared" si="1502"/>
        <v>3</v>
      </c>
      <c r="R1996" s="111">
        <f t="shared" si="1459"/>
        <v>3</v>
      </c>
      <c r="S1996" s="129">
        <v>1</v>
      </c>
      <c r="T1996" s="129">
        <v>1</v>
      </c>
      <c r="U1996" s="129">
        <v>1</v>
      </c>
      <c r="W1996" s="111"/>
      <c r="AC1996" s="130"/>
      <c r="AD1996" s="130">
        <v>20148</v>
      </c>
      <c r="AE1996" s="128" t="s">
        <v>32</v>
      </c>
      <c r="AF1996" s="128" t="s">
        <v>69</v>
      </c>
      <c r="AG1996" s="128" t="s">
        <v>874</v>
      </c>
      <c r="AH1996" s="108" t="s">
        <v>31</v>
      </c>
      <c r="AI1996" s="128" t="s">
        <v>114</v>
      </c>
      <c r="AJ1996" s="129" t="s">
        <v>89</v>
      </c>
      <c r="AK1996" s="129">
        <v>1</v>
      </c>
      <c r="AL1996" s="3" t="s">
        <v>991</v>
      </c>
      <c r="AO1996" s="128">
        <v>60</v>
      </c>
      <c r="AP1996" s="129" t="s">
        <v>43</v>
      </c>
      <c r="AR1996" s="128" t="s">
        <v>44</v>
      </c>
      <c r="AS1996" s="129" t="s">
        <v>45</v>
      </c>
      <c r="BC1996" s="129" t="s">
        <v>38</v>
      </c>
      <c r="BF1996" s="111">
        <f t="shared" si="1503"/>
        <v>3</v>
      </c>
      <c r="BG1996" s="111">
        <f t="shared" si="1484"/>
        <v>3</v>
      </c>
      <c r="BH1996" s="111">
        <f t="shared" si="1478"/>
        <v>3</v>
      </c>
      <c r="BI1996" s="111">
        <f t="shared" si="1479"/>
        <v>57.008196721311478</v>
      </c>
      <c r="BJ1996" s="129">
        <f t="shared" si="1485"/>
        <v>0</v>
      </c>
      <c r="BK1996" s="129">
        <f t="shared" si="1480"/>
        <v>0</v>
      </c>
      <c r="BL1996" s="129" t="str">
        <f t="shared" si="1466"/>
        <v>CONVICTION</v>
      </c>
      <c r="BM1996" s="129" t="str">
        <f t="shared" si="1486"/>
        <v>NONE</v>
      </c>
      <c r="BN1996" s="129" t="s">
        <v>566</v>
      </c>
      <c r="BP1996" s="137" t="str">
        <f t="shared" si="1487"/>
        <v>CONVICTION</v>
      </c>
      <c r="BQ1996" s="128" t="str">
        <f t="shared" si="1488"/>
        <v>Y</v>
      </c>
      <c r="BR1996" s="129" t="str">
        <f t="shared" si="1489"/>
        <v>DETAINED</v>
      </c>
      <c r="BS1996" s="129" t="str">
        <f t="shared" si="1490"/>
        <v>DISPOSED</v>
      </c>
      <c r="BT1996" s="129" t="str">
        <f t="shared" si="1491"/>
        <v>Y</v>
      </c>
      <c r="BU1996" s="109">
        <f t="shared" si="1492"/>
        <v>1</v>
      </c>
      <c r="BV1996" s="109">
        <f t="shared" si="1493"/>
        <v>1</v>
      </c>
      <c r="BW1996" s="109">
        <f t="shared" si="1477"/>
        <v>0</v>
      </c>
      <c r="BX1996" s="111">
        <f t="shared" si="1494"/>
        <v>0</v>
      </c>
      <c r="BY1996" s="129">
        <f t="shared" si="1495"/>
        <v>-3</v>
      </c>
      <c r="BZ1996" s="111">
        <f t="shared" si="1496"/>
        <v>0</v>
      </c>
      <c r="CA1996" s="138">
        <f t="shared" si="1497"/>
        <v>3</v>
      </c>
      <c r="CB1996" s="111" t="e">
        <f t="shared" si="1504"/>
        <v>#VALUE!</v>
      </c>
      <c r="CC1996" s="129">
        <f>G1996-I1996+1</f>
        <v>3</v>
      </c>
      <c r="CD1996" s="129">
        <f>G1996-J1996</f>
        <v>0</v>
      </c>
      <c r="CG1996" s="129" t="str">
        <f t="shared" si="1498"/>
        <v>Y</v>
      </c>
      <c r="CI1996" s="129" t="str">
        <f t="shared" si="1499"/>
        <v>0-10 DAYS</v>
      </c>
      <c r="CJ1996" s="137">
        <f t="shared" si="1500"/>
        <v>1</v>
      </c>
      <c r="CK1996" s="129" t="str">
        <f t="shared" si="1501"/>
        <v>Booked</v>
      </c>
    </row>
    <row r="1997" spans="1:89" ht="15.75" customHeight="1" x14ac:dyDescent="0.25">
      <c r="A1997" s="111">
        <v>836</v>
      </c>
      <c r="B1997" s="128" t="str">
        <f t="shared" si="1481"/>
        <v>N</v>
      </c>
      <c r="C1997" s="128" t="str">
        <f t="shared" si="1482"/>
        <v>N</v>
      </c>
      <c r="D1997" s="117">
        <v>2373464</v>
      </c>
      <c r="E1997" s="135">
        <f t="shared" si="1483"/>
        <v>1</v>
      </c>
      <c r="F1997" s="124">
        <v>40940</v>
      </c>
      <c r="G1997" s="125">
        <v>40998</v>
      </c>
      <c r="H1997" s="117">
        <v>2373464</v>
      </c>
      <c r="I1997" s="124">
        <v>40965</v>
      </c>
      <c r="J1997" s="124">
        <v>40998</v>
      </c>
      <c r="K1997" s="126">
        <v>2000</v>
      </c>
      <c r="L1997" s="127" t="s">
        <v>568</v>
      </c>
      <c r="N1997" s="129" t="str">
        <f>IF(M1997&gt;1/1/1,"Y","N")</f>
        <v>N</v>
      </c>
      <c r="O1997" s="128" t="s">
        <v>917</v>
      </c>
      <c r="P1997" s="129" t="s">
        <v>55</v>
      </c>
      <c r="Q1997" s="111">
        <f t="shared" si="1502"/>
        <v>34</v>
      </c>
      <c r="R1997" s="111">
        <f t="shared" si="1459"/>
        <v>59</v>
      </c>
      <c r="S1997" s="129">
        <v>0</v>
      </c>
      <c r="T1997" s="129">
        <v>1</v>
      </c>
      <c r="W1997" s="111"/>
      <c r="AC1997" s="130"/>
      <c r="AD1997" s="130">
        <v>21938</v>
      </c>
      <c r="AE1997" s="128" t="s">
        <v>46</v>
      </c>
      <c r="AF1997" s="128" t="s">
        <v>69</v>
      </c>
      <c r="AG1997" s="128" t="s">
        <v>874</v>
      </c>
      <c r="AH1997" s="108" t="s">
        <v>58</v>
      </c>
      <c r="AI1997" s="128" t="s">
        <v>113</v>
      </c>
      <c r="AJ1997" s="129" t="s">
        <v>55</v>
      </c>
      <c r="AK1997" s="129">
        <v>5</v>
      </c>
      <c r="AL1997" s="3" t="s">
        <v>55</v>
      </c>
      <c r="AP1997" s="129" t="s">
        <v>43</v>
      </c>
      <c r="AR1997" s="128" t="s">
        <v>44</v>
      </c>
      <c r="AS1997" s="129" t="s">
        <v>45</v>
      </c>
      <c r="BC1997" s="129" t="s">
        <v>38</v>
      </c>
      <c r="BF1997" s="111">
        <f t="shared" si="1503"/>
        <v>34</v>
      </c>
      <c r="BG1997" s="111">
        <f t="shared" si="1484"/>
        <v>34</v>
      </c>
      <c r="BH1997" s="111">
        <f t="shared" si="1478"/>
        <v>59</v>
      </c>
      <c r="BI1997" s="111">
        <f t="shared" si="1479"/>
        <v>51.918032786885249</v>
      </c>
      <c r="BJ1997" s="129">
        <f t="shared" si="1485"/>
        <v>0</v>
      </c>
      <c r="BK1997" s="129">
        <f t="shared" si="1480"/>
        <v>0</v>
      </c>
      <c r="BL1997" s="129" t="str">
        <f t="shared" si="1466"/>
        <v>NO CONVICTION</v>
      </c>
      <c r="BM1997" s="129" t="str">
        <f t="shared" si="1486"/>
        <v>NONE</v>
      </c>
      <c r="BN1997" s="129" t="s">
        <v>566</v>
      </c>
      <c r="BP1997" s="137" t="str">
        <f t="shared" si="1487"/>
        <v>NO CONVICTION</v>
      </c>
      <c r="BQ1997" s="128" t="str">
        <f t="shared" si="1488"/>
        <v>Y</v>
      </c>
      <c r="BR1997" s="129" t="str">
        <f t="shared" si="1489"/>
        <v>DETAINED</v>
      </c>
      <c r="BS1997" s="129" t="str">
        <f t="shared" si="1490"/>
        <v>DISPOSED</v>
      </c>
      <c r="BT1997" s="129" t="str">
        <f t="shared" si="1491"/>
        <v>N</v>
      </c>
      <c r="BU1997" s="109">
        <f>IFERROR(Q1997/R1997,BR1997)</f>
        <v>0.57627118644067798</v>
      </c>
      <c r="BV1997" s="109">
        <f t="shared" si="1493"/>
        <v>1</v>
      </c>
      <c r="BW1997" s="109">
        <f t="shared" si="1477"/>
        <v>0.42372881355932202</v>
      </c>
      <c r="BX1997" s="111">
        <f t="shared" si="1494"/>
        <v>0</v>
      </c>
      <c r="BY1997" s="129">
        <f t="shared" si="1495"/>
        <v>-34</v>
      </c>
      <c r="BZ1997" s="111">
        <f t="shared" si="1496"/>
        <v>0</v>
      </c>
      <c r="CA1997" s="138">
        <f t="shared" si="1497"/>
        <v>34</v>
      </c>
      <c r="CB1997" s="111" t="e">
        <f t="shared" si="1504"/>
        <v>#VALUE!</v>
      </c>
      <c r="CC1997" s="129">
        <f>G1997-I1997+1</f>
        <v>34</v>
      </c>
      <c r="CD1997" s="129">
        <f>G1997-J1997</f>
        <v>0</v>
      </c>
      <c r="CG1997" s="129" t="str">
        <f t="shared" si="1498"/>
        <v>Y</v>
      </c>
      <c r="CI1997" s="129" t="str">
        <f t="shared" si="1499"/>
        <v>31-60 DAYS</v>
      </c>
      <c r="CJ1997" s="137">
        <f t="shared" si="1500"/>
        <v>3</v>
      </c>
      <c r="CK1997" s="129" t="str">
        <f t="shared" si="1501"/>
        <v>Booked</v>
      </c>
    </row>
    <row r="1998" spans="1:89" ht="15" customHeight="1" x14ac:dyDescent="0.25">
      <c r="A1998" s="111">
        <v>3046</v>
      </c>
      <c r="B1998" s="128" t="str">
        <f t="shared" si="1481"/>
        <v>N</v>
      </c>
      <c r="C1998" s="128" t="str">
        <f t="shared" si="1482"/>
        <v>N</v>
      </c>
      <c r="D1998" s="117">
        <v>2373540</v>
      </c>
      <c r="E1998" s="135">
        <f t="shared" si="1483"/>
        <v>1</v>
      </c>
      <c r="F1998" s="124">
        <v>41022</v>
      </c>
      <c r="G1998" s="125">
        <v>41103</v>
      </c>
      <c r="H1998" s="117">
        <v>2373540</v>
      </c>
      <c r="I1998" s="124">
        <v>41022</v>
      </c>
      <c r="J1998" s="124">
        <v>41023</v>
      </c>
      <c r="K1998" s="126">
        <v>5000</v>
      </c>
      <c r="L1998" s="127" t="s">
        <v>569</v>
      </c>
      <c r="M1998" s="125">
        <v>41023</v>
      </c>
      <c r="N1998" s="129" t="str">
        <f>IF(M1998&gt;1/1/1,"Y","N")</f>
        <v>Y</v>
      </c>
      <c r="O1998" s="128" t="s">
        <v>76</v>
      </c>
      <c r="P1998" s="129" t="s">
        <v>55</v>
      </c>
      <c r="Q1998" s="111">
        <f t="shared" si="1502"/>
        <v>2</v>
      </c>
      <c r="R1998" s="111">
        <f t="shared" si="1459"/>
        <v>82</v>
      </c>
      <c r="S1998" s="129">
        <v>1</v>
      </c>
      <c r="T1998" s="129">
        <v>0</v>
      </c>
      <c r="W1998" s="111"/>
      <c r="AC1998" s="130"/>
      <c r="AD1998" s="130">
        <v>33367</v>
      </c>
      <c r="AE1998" s="128" t="s">
        <v>32</v>
      </c>
      <c r="AF1998" s="128" t="s">
        <v>40</v>
      </c>
      <c r="AG1998" s="128" t="s">
        <v>41</v>
      </c>
      <c r="AH1998" s="108" t="s">
        <v>41</v>
      </c>
      <c r="AI1998" s="128" t="s">
        <v>62</v>
      </c>
      <c r="AJ1998" s="129" t="s">
        <v>55</v>
      </c>
      <c r="AK1998" s="129">
        <v>5</v>
      </c>
      <c r="AL1998" s="3" t="s">
        <v>55</v>
      </c>
      <c r="AP1998" s="129" t="s">
        <v>43</v>
      </c>
      <c r="AR1998" s="128" t="s">
        <v>44</v>
      </c>
      <c r="AS1998" s="129" t="s">
        <v>45</v>
      </c>
      <c r="BC1998" s="129" t="s">
        <v>52</v>
      </c>
      <c r="BF1998" s="111">
        <f t="shared" si="1503"/>
        <v>2</v>
      </c>
      <c r="BG1998" s="111">
        <f t="shared" si="1484"/>
        <v>82</v>
      </c>
      <c r="BH1998" s="111">
        <f t="shared" si="1478"/>
        <v>82</v>
      </c>
      <c r="BI1998" s="111">
        <f t="shared" si="1479"/>
        <v>20.915300546448087</v>
      </c>
      <c r="BJ1998" s="129">
        <f>(G1998-J1998)+(M1998-G1998)</f>
        <v>0</v>
      </c>
      <c r="BK1998" s="129">
        <f t="shared" si="1480"/>
        <v>-80</v>
      </c>
      <c r="BL1998" s="129" t="str">
        <f t="shared" si="1466"/>
        <v>NO CONVICTION</v>
      </c>
      <c r="BM1998" s="129" t="s">
        <v>76</v>
      </c>
      <c r="BN1998" s="129" t="s">
        <v>88</v>
      </c>
      <c r="BP1998" s="137" t="str">
        <f t="shared" si="1487"/>
        <v>NO CONVICTION</v>
      </c>
      <c r="BQ1998" s="128" t="str">
        <f t="shared" si="1488"/>
        <v>Y</v>
      </c>
      <c r="BR1998" s="129" t="str">
        <f t="shared" si="1489"/>
        <v>ON BOND</v>
      </c>
      <c r="BS1998" s="129" t="str">
        <f t="shared" si="1490"/>
        <v>DISPOSED</v>
      </c>
      <c r="BT1998" s="129" t="str">
        <f t="shared" si="1491"/>
        <v>Y</v>
      </c>
      <c r="BU1998" s="109">
        <f>IFERROR(Q1998/R1998,BR1998)</f>
        <v>2.4390243902439025E-2</v>
      </c>
      <c r="BV1998" s="109">
        <f t="shared" si="1493"/>
        <v>2.4390243902439025E-2</v>
      </c>
      <c r="BW1998" s="109">
        <f t="shared" si="1477"/>
        <v>0</v>
      </c>
      <c r="BX1998" s="111">
        <f t="shared" si="1494"/>
        <v>0</v>
      </c>
      <c r="BY1998" s="129">
        <f t="shared" si="1495"/>
        <v>-2</v>
      </c>
      <c r="BZ1998" s="111">
        <f t="shared" si="1496"/>
        <v>0</v>
      </c>
      <c r="CA1998" s="138">
        <f t="shared" si="1497"/>
        <v>2</v>
      </c>
      <c r="CB1998" s="111" t="e">
        <f t="shared" si="1504"/>
        <v>#VALUE!</v>
      </c>
      <c r="CC1998" s="129">
        <f>M1998-I1998+1</f>
        <v>2</v>
      </c>
      <c r="CD1998" s="111">
        <f>CC1998-BF1998</f>
        <v>0</v>
      </c>
      <c r="CG1998" s="129" t="str">
        <f t="shared" si="1498"/>
        <v>Y</v>
      </c>
      <c r="CI1998" s="129" t="str">
        <f t="shared" si="1499"/>
        <v>0-10 DAYS</v>
      </c>
      <c r="CJ1998" s="137">
        <f t="shared" si="1500"/>
        <v>1</v>
      </c>
      <c r="CK1998" s="129" t="str">
        <f t="shared" si="1501"/>
        <v>Booked</v>
      </c>
    </row>
    <row r="1999" spans="1:89" ht="15.75" customHeight="1" x14ac:dyDescent="0.25">
      <c r="A1999" s="111">
        <v>1452</v>
      </c>
      <c r="B1999" s="128" t="str">
        <f t="shared" si="1481"/>
        <v>N</v>
      </c>
      <c r="C1999" s="128" t="str">
        <f t="shared" si="1482"/>
        <v>N</v>
      </c>
      <c r="D1999" s="117">
        <v>2373697</v>
      </c>
      <c r="E1999" s="135">
        <f t="shared" si="1483"/>
        <v>2</v>
      </c>
      <c r="F1999" s="124">
        <v>40962</v>
      </c>
      <c r="G1999" s="125">
        <v>41018</v>
      </c>
      <c r="H1999" s="117">
        <v>2373697</v>
      </c>
      <c r="I1999" s="124">
        <v>40962</v>
      </c>
      <c r="J1999" s="124">
        <v>41018</v>
      </c>
      <c r="K1999" s="126">
        <v>30000</v>
      </c>
      <c r="L1999" s="129" t="s">
        <v>572</v>
      </c>
      <c r="N1999" s="129" t="str">
        <f>IF(M1999&gt;1/1/1,"Y","N")</f>
        <v>N</v>
      </c>
      <c r="O1999" s="128" t="s">
        <v>917</v>
      </c>
      <c r="P1999" s="129" t="s">
        <v>589</v>
      </c>
      <c r="Q1999" s="111">
        <f t="shared" si="1502"/>
        <v>57</v>
      </c>
      <c r="R1999" s="111">
        <f t="shared" si="1459"/>
        <v>57</v>
      </c>
      <c r="S1999" s="129">
        <v>0</v>
      </c>
      <c r="T1999" s="129">
        <v>5</v>
      </c>
      <c r="W1999" s="111"/>
      <c r="AC1999" s="130"/>
      <c r="AD1999" s="130">
        <v>32646</v>
      </c>
      <c r="AE1999" s="128" t="s">
        <v>32</v>
      </c>
      <c r="AF1999" s="128" t="s">
        <v>69</v>
      </c>
      <c r="AG1999" s="128" t="s">
        <v>874</v>
      </c>
      <c r="AH1999" s="108" t="s">
        <v>58</v>
      </c>
      <c r="AI1999" s="128" t="s">
        <v>95</v>
      </c>
      <c r="AJ1999" s="129" t="s">
        <v>48</v>
      </c>
      <c r="AK1999" s="129">
        <v>3</v>
      </c>
      <c r="AL1999" s="3" t="s">
        <v>48</v>
      </c>
      <c r="AP1999" s="129" t="s">
        <v>110</v>
      </c>
      <c r="AR1999" s="128" t="s">
        <v>50</v>
      </c>
      <c r="AS1999" s="129" t="s">
        <v>74</v>
      </c>
      <c r="BC1999" s="129" t="s">
        <v>52</v>
      </c>
      <c r="BF1999" s="111">
        <f t="shared" si="1503"/>
        <v>57</v>
      </c>
      <c r="BG1999" s="111">
        <f t="shared" si="1484"/>
        <v>57</v>
      </c>
      <c r="BH1999" s="111">
        <f t="shared" si="1478"/>
        <v>57</v>
      </c>
      <c r="BI1999" s="111">
        <f t="shared" si="1479"/>
        <v>22.721311475409838</v>
      </c>
      <c r="BJ1999" s="129">
        <f t="shared" si="1485"/>
        <v>0</v>
      </c>
      <c r="BK1999" s="129">
        <f t="shared" si="1480"/>
        <v>0</v>
      </c>
      <c r="BL1999" s="129" t="str">
        <f t="shared" si="1466"/>
        <v>DEFERRED</v>
      </c>
      <c r="BM1999" s="129" t="str">
        <f t="shared" si="1486"/>
        <v>NONE</v>
      </c>
      <c r="BN1999" s="129" t="s">
        <v>566</v>
      </c>
      <c r="BP1999" s="137" t="str">
        <f t="shared" si="1487"/>
        <v>DEFERRED</v>
      </c>
      <c r="BQ1999" s="128" t="str">
        <f t="shared" si="1488"/>
        <v>Y</v>
      </c>
      <c r="BR1999" s="129" t="str">
        <f t="shared" si="1489"/>
        <v>DETAINED</v>
      </c>
      <c r="BS1999" s="129" t="str">
        <f t="shared" si="1490"/>
        <v>DISPOSED</v>
      </c>
      <c r="BT1999" s="129" t="str">
        <f t="shared" si="1491"/>
        <v>N</v>
      </c>
      <c r="BU1999" s="109">
        <f t="shared" si="1492"/>
        <v>1</v>
      </c>
      <c r="BV1999" s="109">
        <f t="shared" si="1493"/>
        <v>1</v>
      </c>
      <c r="BW1999" s="109">
        <f t="shared" si="1477"/>
        <v>0</v>
      </c>
      <c r="BX1999" s="111">
        <f t="shared" si="1494"/>
        <v>0</v>
      </c>
      <c r="BY1999" s="129">
        <f t="shared" si="1495"/>
        <v>-57</v>
      </c>
      <c r="BZ1999" s="111">
        <f t="shared" si="1496"/>
        <v>0</v>
      </c>
      <c r="CA1999" s="138">
        <f t="shared" si="1497"/>
        <v>57</v>
      </c>
      <c r="CB1999" s="111" t="e">
        <f t="shared" si="1504"/>
        <v>#VALUE!</v>
      </c>
      <c r="CC1999" s="129">
        <f t="shared" ref="CC1999:CC2005" si="1505">G1999-I1999+1</f>
        <v>57</v>
      </c>
      <c r="CD1999" s="129">
        <f t="shared" ref="CD1999:CD2005" si="1506">G1999-J1999</f>
        <v>0</v>
      </c>
      <c r="CG1999" s="129" t="str">
        <f t="shared" si="1498"/>
        <v>Y</v>
      </c>
      <c r="CI1999" s="129" t="str">
        <f t="shared" si="1499"/>
        <v>31-60 DAYS</v>
      </c>
      <c r="CJ1999" s="137">
        <f t="shared" si="1500"/>
        <v>3</v>
      </c>
      <c r="CK1999" s="129" t="str">
        <f t="shared" si="1501"/>
        <v>Booked</v>
      </c>
    </row>
    <row r="2000" spans="1:89" ht="15.75" customHeight="1" x14ac:dyDescent="0.25">
      <c r="A2000" s="111">
        <v>27</v>
      </c>
      <c r="B2000" s="128" t="str">
        <f t="shared" si="1481"/>
        <v>N</v>
      </c>
      <c r="C2000" s="128" t="str">
        <f t="shared" si="1482"/>
        <v>N</v>
      </c>
      <c r="D2000" s="117">
        <v>2374202</v>
      </c>
      <c r="E2000" s="135">
        <f t="shared" si="1483"/>
        <v>1</v>
      </c>
      <c r="F2000" s="124">
        <v>40910</v>
      </c>
      <c r="G2000" s="125">
        <v>40913</v>
      </c>
      <c r="H2000" s="117">
        <v>2374202</v>
      </c>
      <c r="I2000" s="124">
        <v>40911</v>
      </c>
      <c r="J2000" s="124">
        <v>40913</v>
      </c>
      <c r="K2000" s="126">
        <v>5000</v>
      </c>
      <c r="L2000" s="127" t="s">
        <v>569</v>
      </c>
      <c r="N2000" s="129" t="str">
        <f>IF(M2000&gt;1/1/1,"Y","N")</f>
        <v>N</v>
      </c>
      <c r="O2000" s="128" t="s">
        <v>917</v>
      </c>
      <c r="P2000" s="129" t="s">
        <v>55</v>
      </c>
      <c r="Q2000" s="111">
        <f t="shared" si="1502"/>
        <v>3</v>
      </c>
      <c r="R2000" s="111">
        <f t="shared" si="1459"/>
        <v>4</v>
      </c>
      <c r="S2000" s="129">
        <v>1</v>
      </c>
      <c r="T2000" s="129">
        <v>0</v>
      </c>
      <c r="V2000" s="117">
        <v>1</v>
      </c>
      <c r="W2000" s="111"/>
      <c r="AC2000" s="130"/>
      <c r="AD2000" s="130">
        <v>33043</v>
      </c>
      <c r="AE2000" s="128" t="s">
        <v>32</v>
      </c>
      <c r="AF2000" s="128" t="s">
        <v>69</v>
      </c>
      <c r="AG2000" s="128" t="s">
        <v>874</v>
      </c>
      <c r="AH2000" s="108" t="s">
        <v>31</v>
      </c>
      <c r="AI2000" s="128" t="s">
        <v>70</v>
      </c>
      <c r="AJ2000" s="129" t="s">
        <v>55</v>
      </c>
      <c r="AK2000" s="129">
        <v>2</v>
      </c>
      <c r="AL2000" s="3" t="s">
        <v>55</v>
      </c>
      <c r="AP2000" s="129" t="s">
        <v>93</v>
      </c>
      <c r="AR2000" s="128" t="s">
        <v>67</v>
      </c>
      <c r="AS2000" s="129" t="s">
        <v>45</v>
      </c>
      <c r="BC2000" s="129" t="s">
        <v>38</v>
      </c>
      <c r="BF2000" s="111">
        <f t="shared" si="1503"/>
        <v>3</v>
      </c>
      <c r="BG2000" s="111">
        <f t="shared" si="1484"/>
        <v>3</v>
      </c>
      <c r="BH2000" s="111">
        <f t="shared" si="1478"/>
        <v>4</v>
      </c>
      <c r="BI2000" s="111">
        <f t="shared" si="1479"/>
        <v>21.494535519125684</v>
      </c>
      <c r="BJ2000" s="129">
        <f t="shared" si="1485"/>
        <v>0</v>
      </c>
      <c r="BK2000" s="129">
        <f t="shared" si="1480"/>
        <v>0</v>
      </c>
      <c r="BL2000" s="129" t="str">
        <f t="shared" si="1466"/>
        <v>NO CONVICTION</v>
      </c>
      <c r="BM2000" s="129" t="str">
        <f t="shared" si="1486"/>
        <v>NONE</v>
      </c>
      <c r="BN2000" s="129" t="s">
        <v>566</v>
      </c>
      <c r="BP2000" s="137" t="str">
        <f t="shared" si="1487"/>
        <v>NO CONVICTION</v>
      </c>
      <c r="BQ2000" s="128" t="str">
        <f t="shared" si="1488"/>
        <v>Y</v>
      </c>
      <c r="BR2000" s="129" t="str">
        <f t="shared" si="1489"/>
        <v>DETAINED</v>
      </c>
      <c r="BS2000" s="129" t="str">
        <f t="shared" si="1490"/>
        <v>DISPOSED</v>
      </c>
      <c r="BT2000" s="129" t="str">
        <f t="shared" si="1491"/>
        <v>Y</v>
      </c>
      <c r="BU2000" s="109">
        <f>IFERROR(Q2000/R2000,BR2000)</f>
        <v>0.75</v>
      </c>
      <c r="BV2000" s="109">
        <f t="shared" si="1493"/>
        <v>1</v>
      </c>
      <c r="BW2000" s="109">
        <f t="shared" si="1477"/>
        <v>0.25</v>
      </c>
      <c r="BX2000" s="111">
        <f t="shared" si="1494"/>
        <v>0</v>
      </c>
      <c r="BY2000" s="129">
        <f t="shared" si="1495"/>
        <v>-3</v>
      </c>
      <c r="BZ2000" s="111">
        <f t="shared" si="1496"/>
        <v>0</v>
      </c>
      <c r="CA2000" s="138">
        <f t="shared" si="1497"/>
        <v>3</v>
      </c>
      <c r="CB2000" s="111" t="e">
        <f t="shared" si="1504"/>
        <v>#VALUE!</v>
      </c>
      <c r="CC2000" s="129">
        <f t="shared" si="1505"/>
        <v>3</v>
      </c>
      <c r="CD2000" s="129">
        <f t="shared" si="1506"/>
        <v>0</v>
      </c>
      <c r="CG2000" s="129" t="str">
        <f t="shared" si="1498"/>
        <v>Y</v>
      </c>
      <c r="CI2000" s="129" t="str">
        <f t="shared" si="1499"/>
        <v>0-10 DAYS</v>
      </c>
      <c r="CJ2000" s="137">
        <f t="shared" si="1500"/>
        <v>1</v>
      </c>
      <c r="CK2000" s="129" t="str">
        <f t="shared" si="1501"/>
        <v>Booked</v>
      </c>
    </row>
    <row r="2001" spans="1:89" ht="15.75" customHeight="1" x14ac:dyDescent="0.25">
      <c r="A2001" s="111">
        <v>1909</v>
      </c>
      <c r="B2001" s="128" t="str">
        <f t="shared" si="1481"/>
        <v>N</v>
      </c>
      <c r="C2001" s="128" t="str">
        <f t="shared" si="1482"/>
        <v>N</v>
      </c>
      <c r="D2001" s="117">
        <v>2376678</v>
      </c>
      <c r="E2001" s="135">
        <f t="shared" si="1483"/>
        <v>2</v>
      </c>
      <c r="F2001" s="124">
        <v>40979</v>
      </c>
      <c r="G2001" s="125">
        <v>40981</v>
      </c>
      <c r="H2001" s="117">
        <v>2376678</v>
      </c>
      <c r="I2001" s="124">
        <v>40980</v>
      </c>
      <c r="J2001" s="124">
        <v>40981</v>
      </c>
      <c r="K2001" s="126" t="s">
        <v>564</v>
      </c>
      <c r="L2001" s="127" t="s">
        <v>564</v>
      </c>
      <c r="N2001" s="129" t="s">
        <v>566</v>
      </c>
      <c r="O2001" s="128" t="s">
        <v>917</v>
      </c>
      <c r="P2001" s="129" t="s">
        <v>589</v>
      </c>
      <c r="Q2001" s="111">
        <f t="shared" si="1502"/>
        <v>2</v>
      </c>
      <c r="R2001" s="111">
        <f t="shared" si="1459"/>
        <v>3</v>
      </c>
      <c r="S2001" s="129">
        <v>3</v>
      </c>
      <c r="T2001" s="129">
        <v>5</v>
      </c>
      <c r="W2001" s="111"/>
      <c r="AC2001" s="130"/>
      <c r="AD2001" s="130">
        <v>33300</v>
      </c>
      <c r="AE2001" s="128" t="s">
        <v>32</v>
      </c>
      <c r="AF2001" s="128" t="s">
        <v>33</v>
      </c>
      <c r="AG2001" s="128" t="s">
        <v>872</v>
      </c>
      <c r="AH2001" s="108" t="s">
        <v>58</v>
      </c>
      <c r="AI2001" s="128" t="s">
        <v>34</v>
      </c>
      <c r="AJ2001" s="129" t="s">
        <v>48</v>
      </c>
      <c r="AK2001" s="129">
        <v>1</v>
      </c>
      <c r="AL2001" s="3" t="s">
        <v>48</v>
      </c>
      <c r="AP2001" s="129" t="s">
        <v>150</v>
      </c>
      <c r="AR2001" s="128" t="s">
        <v>67</v>
      </c>
      <c r="AS2001" s="129" t="s">
        <v>74</v>
      </c>
      <c r="AT2001" s="129" t="s">
        <v>388</v>
      </c>
      <c r="BC2001" s="129" t="s">
        <v>38</v>
      </c>
      <c r="BF2001" s="111">
        <f t="shared" si="1503"/>
        <v>2</v>
      </c>
      <c r="BG2001" s="111">
        <f t="shared" si="1484"/>
        <v>2</v>
      </c>
      <c r="BH2001" s="111">
        <f t="shared" si="1478"/>
        <v>3</v>
      </c>
      <c r="BI2001" s="111">
        <f t="shared" si="1479"/>
        <v>20.980874316939889</v>
      </c>
      <c r="BJ2001" s="129">
        <f t="shared" si="1485"/>
        <v>0</v>
      </c>
      <c r="BK2001" s="129">
        <f t="shared" si="1480"/>
        <v>0</v>
      </c>
      <c r="BL2001" s="129" t="str">
        <f t="shared" si="1466"/>
        <v>DEFERRED</v>
      </c>
      <c r="BM2001" s="129" t="str">
        <f t="shared" si="1486"/>
        <v>NONE</v>
      </c>
      <c r="BN2001" s="129" t="s">
        <v>566</v>
      </c>
      <c r="BP2001" s="137" t="str">
        <f t="shared" si="1487"/>
        <v>DEFERRED</v>
      </c>
      <c r="BQ2001" s="128" t="str">
        <f t="shared" si="1488"/>
        <v>Y</v>
      </c>
      <c r="BR2001" s="129" t="str">
        <f t="shared" si="1489"/>
        <v>DETAINED</v>
      </c>
      <c r="BS2001" s="129" t="str">
        <f t="shared" si="1490"/>
        <v>DISPOSED</v>
      </c>
      <c r="BT2001" s="129" t="str">
        <f t="shared" si="1491"/>
        <v>Y</v>
      </c>
      <c r="BU2001" s="109">
        <f t="shared" si="1492"/>
        <v>0.66666666666666663</v>
      </c>
      <c r="BV2001" s="109">
        <f t="shared" si="1493"/>
        <v>1</v>
      </c>
      <c r="BW2001" s="109">
        <f t="shared" si="1477"/>
        <v>0.33333333333333337</v>
      </c>
      <c r="BX2001" s="111">
        <f t="shared" si="1494"/>
        <v>0</v>
      </c>
      <c r="BY2001" s="129">
        <f t="shared" si="1495"/>
        <v>-2</v>
      </c>
      <c r="BZ2001" s="111">
        <f t="shared" si="1496"/>
        <v>0</v>
      </c>
      <c r="CA2001" s="138">
        <f t="shared" si="1497"/>
        <v>2</v>
      </c>
      <c r="CB2001" s="111" t="e">
        <f t="shared" si="1504"/>
        <v>#VALUE!</v>
      </c>
      <c r="CC2001" s="129">
        <f t="shared" si="1505"/>
        <v>2</v>
      </c>
      <c r="CD2001" s="129">
        <f t="shared" si="1506"/>
        <v>0</v>
      </c>
      <c r="CG2001" s="129" t="str">
        <f t="shared" si="1498"/>
        <v>Y</v>
      </c>
      <c r="CI2001" s="129" t="str">
        <f t="shared" si="1499"/>
        <v>0-10 DAYS</v>
      </c>
      <c r="CJ2001" s="137">
        <f t="shared" si="1500"/>
        <v>1</v>
      </c>
      <c r="CK2001" s="129" t="str">
        <f t="shared" si="1501"/>
        <v>Booked</v>
      </c>
    </row>
    <row r="2002" spans="1:89" ht="15.75" customHeight="1" x14ac:dyDescent="0.25">
      <c r="A2002" s="111">
        <v>1139</v>
      </c>
      <c r="B2002" s="128" t="str">
        <f t="shared" si="1481"/>
        <v>N</v>
      </c>
      <c r="C2002" s="128" t="str">
        <f t="shared" si="1482"/>
        <v>Y</v>
      </c>
      <c r="D2002" s="117">
        <v>2376915</v>
      </c>
      <c r="E2002" s="135">
        <f t="shared" si="1483"/>
        <v>6</v>
      </c>
      <c r="F2002" s="124">
        <v>40949</v>
      </c>
      <c r="G2002" s="125">
        <v>41093</v>
      </c>
      <c r="H2002" s="117">
        <v>2376915</v>
      </c>
      <c r="I2002" s="124">
        <v>40952</v>
      </c>
      <c r="J2002" s="124">
        <v>41023</v>
      </c>
      <c r="K2002" s="126">
        <v>70000</v>
      </c>
      <c r="L2002" s="129" t="s">
        <v>572</v>
      </c>
      <c r="M2002" s="125">
        <v>41023</v>
      </c>
      <c r="N2002" s="129" t="str">
        <f t="shared" ref="N2002:N2008" si="1507">IF(M2002&gt;1/1/1,"Y","N")</f>
        <v>Y</v>
      </c>
      <c r="O2002" s="128" t="s">
        <v>585</v>
      </c>
      <c r="P2002" s="129" t="s">
        <v>39</v>
      </c>
      <c r="Q2002" s="111">
        <v>82</v>
      </c>
      <c r="R2002" s="111">
        <f t="shared" ref="R2002:R2065" si="1508">BH2002</f>
        <v>145</v>
      </c>
      <c r="S2002" s="129">
        <v>0</v>
      </c>
      <c r="T2002" s="129">
        <v>0</v>
      </c>
      <c r="W2002" s="111"/>
      <c r="AC2002" s="130"/>
      <c r="AD2002" s="130">
        <v>33322</v>
      </c>
      <c r="AE2002" s="128" t="s">
        <v>32</v>
      </c>
      <c r="AF2002" s="128" t="s">
        <v>40</v>
      </c>
      <c r="AG2002" s="128" t="s">
        <v>41</v>
      </c>
      <c r="AH2002" s="108" t="s">
        <v>41</v>
      </c>
      <c r="AI2002" s="128" t="s">
        <v>90</v>
      </c>
      <c r="AJ2002" s="129" t="s">
        <v>89</v>
      </c>
      <c r="AK2002" s="129">
        <v>8</v>
      </c>
      <c r="AL2002" s="3" t="s">
        <v>362</v>
      </c>
      <c r="AM2002" s="117">
        <v>15</v>
      </c>
      <c r="AP2002" s="129" t="s">
        <v>125</v>
      </c>
      <c r="AR2002" s="128" t="s">
        <v>50</v>
      </c>
      <c r="AS2002" s="129" t="s">
        <v>126</v>
      </c>
      <c r="AU2002" s="3" t="s">
        <v>710</v>
      </c>
      <c r="AX2002" s="32" t="s">
        <v>88</v>
      </c>
      <c r="BC2002" s="129" t="s">
        <v>52</v>
      </c>
      <c r="BF2002" s="111">
        <v>82</v>
      </c>
      <c r="BG2002" s="111">
        <f t="shared" si="1484"/>
        <v>142</v>
      </c>
      <c r="BH2002" s="111">
        <f t="shared" si="1478"/>
        <v>145</v>
      </c>
      <c r="BI2002" s="111">
        <f t="shared" si="1479"/>
        <v>20.838797814207652</v>
      </c>
      <c r="BJ2002" s="129">
        <f>(G2002-J2002)+(M2002-G2002)</f>
        <v>0</v>
      </c>
      <c r="BK2002" s="129">
        <f t="shared" si="1480"/>
        <v>-70</v>
      </c>
      <c r="BL2002" s="129" t="str">
        <f t="shared" si="1466"/>
        <v>CONVICTION</v>
      </c>
      <c r="BM2002" s="129" t="s">
        <v>76</v>
      </c>
      <c r="BN2002" s="129" t="s">
        <v>88</v>
      </c>
      <c r="BP2002" s="137" t="str">
        <f t="shared" si="1487"/>
        <v>CONVICTION</v>
      </c>
      <c r="BQ2002" s="128" t="str">
        <f t="shared" si="1488"/>
        <v>Y</v>
      </c>
      <c r="BR2002" s="129" t="s">
        <v>574</v>
      </c>
      <c r="BS2002" s="129" t="str">
        <f t="shared" si="1490"/>
        <v>DISPOSED</v>
      </c>
      <c r="BT2002" s="129" t="str">
        <f t="shared" si="1491"/>
        <v>N</v>
      </c>
      <c r="BU2002" s="109">
        <f t="shared" si="1492"/>
        <v>0.56551724137931036</v>
      </c>
      <c r="BV2002" s="109">
        <f t="shared" si="1493"/>
        <v>0.50704225352112675</v>
      </c>
      <c r="BW2002" s="109">
        <f t="shared" si="1477"/>
        <v>-5.8474987858183614E-2</v>
      </c>
      <c r="BX2002" s="111">
        <f t="shared" si="1494"/>
        <v>0</v>
      </c>
      <c r="BY2002" s="129">
        <f t="shared" si="1495"/>
        <v>-72</v>
      </c>
      <c r="BZ2002" s="111">
        <f t="shared" si="1496"/>
        <v>10</v>
      </c>
      <c r="CA2002" s="138">
        <f t="shared" si="1497"/>
        <v>142</v>
      </c>
      <c r="CB2002" s="111">
        <v>82</v>
      </c>
      <c r="CC2002" s="129">
        <f t="shared" si="1505"/>
        <v>142</v>
      </c>
      <c r="CD2002" s="129">
        <f t="shared" si="1506"/>
        <v>70</v>
      </c>
      <c r="CG2002" s="129" t="str">
        <f t="shared" si="1498"/>
        <v>N</v>
      </c>
      <c r="CI2002" s="129" t="str">
        <f t="shared" si="1499"/>
        <v>61-90 DAYS</v>
      </c>
      <c r="CJ2002" s="137">
        <f t="shared" si="1500"/>
        <v>4</v>
      </c>
      <c r="CK2002" s="129" t="str">
        <f t="shared" si="1501"/>
        <v>Booked</v>
      </c>
    </row>
    <row r="2003" spans="1:89" ht="15" customHeight="1" x14ac:dyDescent="0.25">
      <c r="A2003" s="111">
        <v>3067</v>
      </c>
      <c r="B2003" s="128" t="str">
        <f t="shared" si="1481"/>
        <v>N</v>
      </c>
      <c r="C2003" s="128" t="str">
        <f t="shared" si="1482"/>
        <v>N</v>
      </c>
      <c r="D2003" s="117">
        <v>2377111</v>
      </c>
      <c r="E2003" s="135">
        <f t="shared" si="1483"/>
        <v>2</v>
      </c>
      <c r="F2003" s="124">
        <v>41022</v>
      </c>
      <c r="G2003" s="125">
        <v>41087</v>
      </c>
      <c r="H2003" s="117">
        <v>2377111</v>
      </c>
      <c r="I2003" s="124">
        <v>41085</v>
      </c>
      <c r="J2003" s="124">
        <v>41087</v>
      </c>
      <c r="K2003" s="126">
        <v>2000</v>
      </c>
      <c r="L2003" s="127" t="s">
        <v>568</v>
      </c>
      <c r="N2003" s="129" t="str">
        <f t="shared" si="1507"/>
        <v>N</v>
      </c>
      <c r="O2003" s="128" t="s">
        <v>917</v>
      </c>
      <c r="P2003" s="129" t="s">
        <v>589</v>
      </c>
      <c r="Q2003" s="111">
        <f t="shared" si="1502"/>
        <v>3</v>
      </c>
      <c r="R2003" s="111">
        <f t="shared" si="1508"/>
        <v>66</v>
      </c>
      <c r="S2003" s="129">
        <v>2</v>
      </c>
      <c r="T2003" s="129">
        <v>4</v>
      </c>
      <c r="W2003" s="111"/>
      <c r="AC2003" s="130"/>
      <c r="AD2003" s="130">
        <v>32506</v>
      </c>
      <c r="AE2003" s="128" t="s">
        <v>46</v>
      </c>
      <c r="AF2003" s="128" t="s">
        <v>69</v>
      </c>
      <c r="AG2003" s="128" t="s">
        <v>874</v>
      </c>
      <c r="AH2003" s="108" t="s">
        <v>58</v>
      </c>
      <c r="AI2003" s="128" t="s">
        <v>59</v>
      </c>
      <c r="AJ2003" s="129" t="s">
        <v>48</v>
      </c>
      <c r="AK2003" s="129">
        <v>2</v>
      </c>
      <c r="AL2003" s="3" t="s">
        <v>48</v>
      </c>
      <c r="AP2003" s="129" t="s">
        <v>60</v>
      </c>
      <c r="AR2003" s="128" t="s">
        <v>44</v>
      </c>
      <c r="AS2003" s="129" t="s">
        <v>61</v>
      </c>
      <c r="BC2003" s="129" t="s">
        <v>38</v>
      </c>
      <c r="BF2003" s="111">
        <f t="shared" si="1503"/>
        <v>3</v>
      </c>
      <c r="BG2003" s="111">
        <f t="shared" si="1484"/>
        <v>3</v>
      </c>
      <c r="BH2003" s="111">
        <f t="shared" si="1478"/>
        <v>66</v>
      </c>
      <c r="BI2003" s="111">
        <f t="shared" si="1479"/>
        <v>23.26775956284153</v>
      </c>
      <c r="BJ2003" s="129">
        <f t="shared" si="1485"/>
        <v>0</v>
      </c>
      <c r="BK2003" s="129">
        <f t="shared" si="1480"/>
        <v>0</v>
      </c>
      <c r="BL2003" s="129" t="str">
        <f t="shared" si="1466"/>
        <v>DEFERRED</v>
      </c>
      <c r="BM2003" s="129" t="str">
        <f t="shared" si="1486"/>
        <v>NONE</v>
      </c>
      <c r="BN2003" s="129" t="s">
        <v>566</v>
      </c>
      <c r="BP2003" s="137" t="str">
        <f t="shared" si="1487"/>
        <v>DEFERRED</v>
      </c>
      <c r="BQ2003" s="128" t="str">
        <f t="shared" si="1488"/>
        <v>Y</v>
      </c>
      <c r="BR2003" s="129" t="str">
        <f t="shared" si="1489"/>
        <v>DETAINED</v>
      </c>
      <c r="BS2003" s="129" t="str">
        <f t="shared" si="1490"/>
        <v>DISPOSED</v>
      </c>
      <c r="BT2003" s="129" t="str">
        <f t="shared" si="1491"/>
        <v>Y</v>
      </c>
      <c r="BU2003" s="109">
        <f t="shared" si="1492"/>
        <v>4.5454545454545456E-2</v>
      </c>
      <c r="BV2003" s="109">
        <f t="shared" si="1493"/>
        <v>1</v>
      </c>
      <c r="BW2003" s="109">
        <f t="shared" si="1477"/>
        <v>0.95454545454545459</v>
      </c>
      <c r="BX2003" s="111">
        <f t="shared" si="1494"/>
        <v>0</v>
      </c>
      <c r="BY2003" s="129">
        <f t="shared" si="1495"/>
        <v>-3</v>
      </c>
      <c r="BZ2003" s="111">
        <f t="shared" si="1496"/>
        <v>0</v>
      </c>
      <c r="CA2003" s="138">
        <f t="shared" si="1497"/>
        <v>3</v>
      </c>
      <c r="CB2003" s="111" t="e">
        <f t="shared" si="1504"/>
        <v>#VALUE!</v>
      </c>
      <c r="CC2003" s="129">
        <f t="shared" si="1505"/>
        <v>3</v>
      </c>
      <c r="CD2003" s="129">
        <f t="shared" si="1506"/>
        <v>0</v>
      </c>
      <c r="CG2003" s="129" t="str">
        <f t="shared" si="1498"/>
        <v>Y</v>
      </c>
      <c r="CI2003" s="129" t="str">
        <f t="shared" si="1499"/>
        <v>0-10 DAYS</v>
      </c>
      <c r="CJ2003" s="137">
        <f t="shared" si="1500"/>
        <v>1</v>
      </c>
      <c r="CK2003" s="129" t="str">
        <f t="shared" si="1501"/>
        <v>Booked</v>
      </c>
    </row>
    <row r="2004" spans="1:89" ht="15.75" customHeight="1" x14ac:dyDescent="0.25">
      <c r="A2004" s="111">
        <v>2232</v>
      </c>
      <c r="B2004" s="128" t="str">
        <f t="shared" si="1481"/>
        <v>Y</v>
      </c>
      <c r="C2004" s="128" t="str">
        <f t="shared" si="1482"/>
        <v>Y</v>
      </c>
      <c r="D2004" s="114">
        <v>2377552</v>
      </c>
      <c r="E2004" s="135">
        <f t="shared" si="1483"/>
        <v>5</v>
      </c>
      <c r="F2004" s="124">
        <v>40993</v>
      </c>
      <c r="G2004" s="125">
        <v>41205</v>
      </c>
      <c r="H2004" s="114">
        <v>2377552</v>
      </c>
      <c r="I2004" s="124">
        <v>40993</v>
      </c>
      <c r="J2004" s="124">
        <v>41012</v>
      </c>
      <c r="K2004" s="126">
        <v>20000</v>
      </c>
      <c r="L2004" s="127" t="s">
        <v>571</v>
      </c>
      <c r="M2004" s="125">
        <v>41002</v>
      </c>
      <c r="N2004" s="129" t="str">
        <f t="shared" si="1507"/>
        <v>Y</v>
      </c>
      <c r="O2004" s="128" t="s">
        <v>76</v>
      </c>
      <c r="P2004" s="129" t="s">
        <v>39</v>
      </c>
      <c r="Q2004" s="111">
        <v>34</v>
      </c>
      <c r="R2004" s="111">
        <f t="shared" si="1508"/>
        <v>213</v>
      </c>
      <c r="S2004" s="129">
        <v>2</v>
      </c>
      <c r="T2004" s="129">
        <v>1</v>
      </c>
      <c r="W2004" s="111"/>
      <c r="AC2004" s="130"/>
      <c r="AD2004" s="130">
        <v>32731</v>
      </c>
      <c r="AE2004" s="128" t="s">
        <v>32</v>
      </c>
      <c r="AF2004" s="128" t="s">
        <v>33</v>
      </c>
      <c r="AG2004" s="128" t="s">
        <v>872</v>
      </c>
      <c r="AH2004" s="108" t="s">
        <v>31</v>
      </c>
      <c r="AI2004" s="128" t="s">
        <v>95</v>
      </c>
      <c r="AJ2004" s="129" t="s">
        <v>89</v>
      </c>
      <c r="AK2004" s="129">
        <v>5</v>
      </c>
      <c r="AL2004" s="3" t="s">
        <v>992</v>
      </c>
      <c r="AN2004" s="117">
        <v>6</v>
      </c>
      <c r="AP2004" s="129" t="s">
        <v>253</v>
      </c>
      <c r="AR2004" s="128" t="s">
        <v>44</v>
      </c>
      <c r="AS2004" s="129" t="s">
        <v>82</v>
      </c>
      <c r="AT2004" s="129" t="s">
        <v>1091</v>
      </c>
      <c r="AV2004" s="3" t="s">
        <v>88</v>
      </c>
      <c r="AW2004" s="125" t="s">
        <v>762</v>
      </c>
      <c r="BA2004" s="125" t="s">
        <v>1196</v>
      </c>
      <c r="BB2004" s="129">
        <v>750</v>
      </c>
      <c r="BC2004" s="129" t="s">
        <v>99</v>
      </c>
      <c r="BD2004" s="129" t="s">
        <v>1092</v>
      </c>
      <c r="BF2004" s="111">
        <v>34</v>
      </c>
      <c r="BG2004" s="111">
        <f t="shared" si="1484"/>
        <v>213</v>
      </c>
      <c r="BH2004" s="111">
        <f t="shared" si="1478"/>
        <v>213</v>
      </c>
      <c r="BI2004" s="111">
        <f t="shared" si="1479"/>
        <v>22.57377049180328</v>
      </c>
      <c r="BJ2004" s="129">
        <f>(G2004-J2004)+(M2004-G2004)</f>
        <v>-10</v>
      </c>
      <c r="BK2004" s="129">
        <f t="shared" si="1480"/>
        <v>-193</v>
      </c>
      <c r="BL2004" s="129" t="str">
        <f t="shared" si="1466"/>
        <v>CONVICTION</v>
      </c>
      <c r="BM2004" s="129" t="s">
        <v>76</v>
      </c>
      <c r="BN2004" s="129" t="s">
        <v>566</v>
      </c>
      <c r="BP2004" s="137" t="str">
        <f t="shared" si="1487"/>
        <v>CONVICTION</v>
      </c>
      <c r="BQ2004" s="128" t="str">
        <f t="shared" si="1488"/>
        <v>Y</v>
      </c>
      <c r="BR2004" s="129" t="s">
        <v>574</v>
      </c>
      <c r="BS2004" s="129" t="str">
        <f t="shared" si="1490"/>
        <v>DISPOSED</v>
      </c>
      <c r="BT2004" s="129" t="str">
        <f t="shared" si="1491"/>
        <v>Y</v>
      </c>
      <c r="BU2004" s="109">
        <f t="shared" si="1492"/>
        <v>0.15962441314553991</v>
      </c>
      <c r="BV2004" s="109">
        <f t="shared" si="1493"/>
        <v>9.3896713615023469E-2</v>
      </c>
      <c r="BW2004" s="109">
        <f t="shared" si="1477"/>
        <v>-6.5727699530516437E-2</v>
      </c>
      <c r="BX2004" s="111">
        <f t="shared" si="1494"/>
        <v>0</v>
      </c>
      <c r="BY2004" s="129">
        <f t="shared" si="1495"/>
        <v>-20</v>
      </c>
      <c r="BZ2004" s="111">
        <f t="shared" si="1496"/>
        <v>14</v>
      </c>
      <c r="CA2004" s="138">
        <f t="shared" si="1497"/>
        <v>213</v>
      </c>
      <c r="CB2004" s="111">
        <v>34</v>
      </c>
      <c r="CC2004" s="129">
        <f t="shared" si="1505"/>
        <v>213</v>
      </c>
      <c r="CD2004" s="129">
        <f t="shared" si="1506"/>
        <v>193</v>
      </c>
      <c r="CG2004" s="129" t="str">
        <f t="shared" si="1498"/>
        <v>Y</v>
      </c>
      <c r="CI2004" s="129" t="str">
        <f t="shared" si="1499"/>
        <v>31-60 DAYS</v>
      </c>
      <c r="CJ2004" s="137">
        <f t="shared" si="1500"/>
        <v>3</v>
      </c>
      <c r="CK2004" s="129" t="str">
        <f t="shared" si="1501"/>
        <v>Booked</v>
      </c>
    </row>
    <row r="2005" spans="1:89" ht="15" customHeight="1" x14ac:dyDescent="0.25">
      <c r="A2005" s="111">
        <v>401</v>
      </c>
      <c r="B2005" s="128" t="str">
        <f t="shared" si="1481"/>
        <v>N</v>
      </c>
      <c r="C2005" s="128" t="str">
        <f t="shared" si="1482"/>
        <v>N</v>
      </c>
      <c r="D2005" s="117">
        <v>2377785</v>
      </c>
      <c r="E2005" s="135">
        <f t="shared" si="1483"/>
        <v>5</v>
      </c>
      <c r="F2005" s="124">
        <v>40925</v>
      </c>
      <c r="G2005" s="125">
        <v>40927</v>
      </c>
      <c r="H2005" s="117">
        <v>2377785</v>
      </c>
      <c r="I2005" s="124">
        <v>40925</v>
      </c>
      <c r="J2005" s="124">
        <v>40927</v>
      </c>
      <c r="K2005" s="126">
        <v>15000</v>
      </c>
      <c r="L2005" s="127" t="s">
        <v>571</v>
      </c>
      <c r="N2005" s="129" t="str">
        <f t="shared" si="1507"/>
        <v>N</v>
      </c>
      <c r="O2005" s="128" t="s">
        <v>917</v>
      </c>
      <c r="P2005" s="129" t="s">
        <v>39</v>
      </c>
      <c r="Q2005" s="111">
        <f t="shared" ref="Q2005:Q2036" si="1509">BF2005</f>
        <v>3</v>
      </c>
      <c r="R2005" s="111">
        <f t="shared" si="1508"/>
        <v>3</v>
      </c>
      <c r="S2005" s="129">
        <v>2</v>
      </c>
      <c r="T2005" s="129">
        <v>5</v>
      </c>
      <c r="U2005" s="129">
        <v>2</v>
      </c>
      <c r="W2005" s="111"/>
      <c r="AB2005" s="131" t="s">
        <v>112</v>
      </c>
      <c r="AC2005" s="130"/>
      <c r="AD2005" s="130">
        <v>24009</v>
      </c>
      <c r="AE2005" s="128" t="s">
        <v>46</v>
      </c>
      <c r="AF2005" s="128" t="s">
        <v>40</v>
      </c>
      <c r="AG2005" s="128" t="s">
        <v>41</v>
      </c>
      <c r="AH2005" s="108" t="s">
        <v>31</v>
      </c>
      <c r="AI2005" s="128" t="s">
        <v>42</v>
      </c>
      <c r="AJ2005" s="129" t="s">
        <v>89</v>
      </c>
      <c r="AK2005" s="129">
        <v>1</v>
      </c>
      <c r="AL2005" s="3" t="s">
        <v>992</v>
      </c>
      <c r="AN2005" s="117">
        <v>7</v>
      </c>
      <c r="AP2005" s="129" t="s">
        <v>60</v>
      </c>
      <c r="AR2005" s="128" t="s">
        <v>44</v>
      </c>
      <c r="AS2005" s="129" t="s">
        <v>61</v>
      </c>
      <c r="BC2005" s="129" t="s">
        <v>38</v>
      </c>
      <c r="BF2005" s="111">
        <f t="shared" ref="BF2005:BF2016" si="1510">IF(J2005&gt;1/1/1900,((J2005+1)-I2005),"STILL OPEN")</f>
        <v>3</v>
      </c>
      <c r="BG2005" s="111">
        <f t="shared" si="1484"/>
        <v>3</v>
      </c>
      <c r="BH2005" s="111">
        <f t="shared" si="1478"/>
        <v>3</v>
      </c>
      <c r="BI2005" s="111">
        <f t="shared" si="1479"/>
        <v>46.21857923497268</v>
      </c>
      <c r="BJ2005" s="129">
        <f t="shared" si="1485"/>
        <v>0</v>
      </c>
      <c r="BK2005" s="129">
        <f t="shared" si="1480"/>
        <v>0</v>
      </c>
      <c r="BL2005" s="129" t="str">
        <f t="shared" ref="BL2005:BL2068" si="1511">IF(OR(AL2005="AQUITTAL",AL2005="DISMISSED",AL2005="FINE",AL2005="NO BILL"),"NO CONVICTION",IF(OR(AL2005="HCJ",AL2005="MHH",AL2005="PROBATION",AL2005="STJ",AL2005="TDC"),"CONVICTION",IF(AL2005="DEFERRED","DEFERRED",0)))</f>
        <v>CONVICTION</v>
      </c>
      <c r="BM2005" s="129" t="str">
        <f t="shared" si="1486"/>
        <v>NONE</v>
      </c>
      <c r="BN2005" s="129" t="s">
        <v>566</v>
      </c>
      <c r="BP2005" s="137" t="str">
        <f t="shared" si="1487"/>
        <v>CONVICTION</v>
      </c>
      <c r="BQ2005" s="128" t="str">
        <f t="shared" si="1488"/>
        <v>Y</v>
      </c>
      <c r="BR2005" s="129" t="str">
        <f t="shared" si="1489"/>
        <v>DETAINED</v>
      </c>
      <c r="BS2005" s="129" t="str">
        <f t="shared" si="1490"/>
        <v>DISPOSED</v>
      </c>
      <c r="BT2005" s="129" t="str">
        <f t="shared" si="1491"/>
        <v>Y</v>
      </c>
      <c r="BU2005" s="109">
        <f t="shared" si="1492"/>
        <v>1</v>
      </c>
      <c r="BV2005" s="109">
        <f t="shared" si="1493"/>
        <v>1</v>
      </c>
      <c r="BW2005" s="109">
        <f t="shared" si="1477"/>
        <v>0</v>
      </c>
      <c r="BX2005" s="111">
        <f t="shared" si="1494"/>
        <v>0</v>
      </c>
      <c r="BY2005" s="129">
        <f t="shared" si="1495"/>
        <v>-3</v>
      </c>
      <c r="BZ2005" s="111">
        <f t="shared" si="1496"/>
        <v>0</v>
      </c>
      <c r="CA2005" s="138">
        <f t="shared" si="1497"/>
        <v>3</v>
      </c>
      <c r="CB2005" s="111" t="e">
        <f t="shared" ref="CB2005:CB2016" si="1512">IF(AF2005&gt;1/1/1900,((AF2005+1)-AE2005),"STILL OPEN")</f>
        <v>#VALUE!</v>
      </c>
      <c r="CC2005" s="129">
        <f t="shared" si="1505"/>
        <v>3</v>
      </c>
      <c r="CD2005" s="129">
        <f t="shared" si="1506"/>
        <v>0</v>
      </c>
      <c r="CG2005" s="129" t="str">
        <f t="shared" si="1498"/>
        <v>Y</v>
      </c>
      <c r="CI2005" s="129" t="str">
        <f t="shared" si="1499"/>
        <v>0-10 DAYS</v>
      </c>
      <c r="CJ2005" s="137">
        <f t="shared" si="1500"/>
        <v>1</v>
      </c>
      <c r="CK2005" s="129" t="str">
        <f t="shared" si="1501"/>
        <v>Booked</v>
      </c>
    </row>
    <row r="2006" spans="1:89" ht="15" customHeight="1" x14ac:dyDescent="0.25">
      <c r="A2006" s="111">
        <v>1107</v>
      </c>
      <c r="B2006" s="128" t="str">
        <f t="shared" si="1481"/>
        <v>N</v>
      </c>
      <c r="C2006" s="128" t="str">
        <f t="shared" si="1482"/>
        <v>N</v>
      </c>
      <c r="D2006" s="117">
        <v>2377806</v>
      </c>
      <c r="E2006" s="135">
        <f t="shared" si="1483"/>
        <v>1</v>
      </c>
      <c r="F2006" s="124">
        <v>40949</v>
      </c>
      <c r="G2006" s="125">
        <v>41030</v>
      </c>
      <c r="H2006" s="117">
        <v>2377806</v>
      </c>
      <c r="I2006" s="124">
        <v>40949</v>
      </c>
      <c r="J2006" s="124">
        <v>40965</v>
      </c>
      <c r="K2006" s="126">
        <v>30000</v>
      </c>
      <c r="L2006" s="129" t="s">
        <v>572</v>
      </c>
      <c r="M2006" s="125">
        <v>40965</v>
      </c>
      <c r="N2006" s="129" t="str">
        <f t="shared" si="1507"/>
        <v>Y</v>
      </c>
      <c r="O2006" s="128" t="s">
        <v>76</v>
      </c>
      <c r="P2006" s="129" t="s">
        <v>123</v>
      </c>
      <c r="Q2006" s="111">
        <f t="shared" si="1509"/>
        <v>17</v>
      </c>
      <c r="R2006" s="111">
        <f t="shared" si="1508"/>
        <v>82</v>
      </c>
      <c r="S2006" s="129">
        <v>1</v>
      </c>
      <c r="T2006" s="129">
        <v>2</v>
      </c>
      <c r="U2006" s="129">
        <v>1</v>
      </c>
      <c r="W2006" s="111"/>
      <c r="AC2006" s="130"/>
      <c r="AD2006" s="130">
        <v>32846</v>
      </c>
      <c r="AE2006" s="128" t="s">
        <v>32</v>
      </c>
      <c r="AF2006" s="128" t="s">
        <v>33</v>
      </c>
      <c r="AG2006" s="128" t="s">
        <v>872</v>
      </c>
      <c r="AH2006" s="108" t="s">
        <v>31</v>
      </c>
      <c r="AI2006" s="128" t="s">
        <v>95</v>
      </c>
      <c r="AJ2006" s="129" t="s">
        <v>123</v>
      </c>
      <c r="AK2006" s="129">
        <v>5</v>
      </c>
      <c r="AL2006" s="3" t="s">
        <v>123</v>
      </c>
      <c r="AP2006" s="129" t="s">
        <v>105</v>
      </c>
      <c r="AR2006" s="128" t="s">
        <v>92</v>
      </c>
      <c r="AS2006" s="129" t="s">
        <v>106</v>
      </c>
      <c r="AT2006" s="129" t="s">
        <v>288</v>
      </c>
      <c r="BC2006" s="129" t="s">
        <v>52</v>
      </c>
      <c r="BF2006" s="111">
        <f t="shared" si="1510"/>
        <v>17</v>
      </c>
      <c r="BG2006" s="111">
        <f t="shared" si="1484"/>
        <v>82</v>
      </c>
      <c r="BH2006" s="111">
        <f t="shared" si="1478"/>
        <v>82</v>
      </c>
      <c r="BI2006" s="111">
        <f t="shared" si="1479"/>
        <v>22.139344262295083</v>
      </c>
      <c r="BJ2006" s="129">
        <f>(G2006-J2006)+(M2006-G2006)</f>
        <v>0</v>
      </c>
      <c r="BK2006" s="129">
        <f t="shared" si="1480"/>
        <v>-65</v>
      </c>
      <c r="BL2006" s="129" t="str">
        <f t="shared" si="1511"/>
        <v>NO CONVICTION</v>
      </c>
      <c r="BM2006" s="129" t="s">
        <v>76</v>
      </c>
      <c r="BN2006" s="129" t="s">
        <v>88</v>
      </c>
      <c r="BP2006" s="137" t="str">
        <f t="shared" si="1487"/>
        <v>NO CONVICTION</v>
      </c>
      <c r="BQ2006" s="128" t="str">
        <f t="shared" si="1488"/>
        <v>Y</v>
      </c>
      <c r="BR2006" s="129" t="str">
        <f t="shared" si="1489"/>
        <v>ON BOND</v>
      </c>
      <c r="BS2006" s="129" t="str">
        <f t="shared" si="1490"/>
        <v>DISPOSED</v>
      </c>
      <c r="BT2006" s="129" t="str">
        <f t="shared" si="1491"/>
        <v>Y</v>
      </c>
      <c r="BU2006" s="109">
        <f>IFERROR(Q2006/R2006,BR2006)</f>
        <v>0.2073170731707317</v>
      </c>
      <c r="BV2006" s="109">
        <f t="shared" si="1493"/>
        <v>0.2073170731707317</v>
      </c>
      <c r="BW2006" s="109">
        <f t="shared" si="1477"/>
        <v>0</v>
      </c>
      <c r="BX2006" s="111">
        <f t="shared" si="1494"/>
        <v>0</v>
      </c>
      <c r="BY2006" s="129">
        <f t="shared" si="1495"/>
        <v>-17</v>
      </c>
      <c r="BZ2006" s="111">
        <f t="shared" si="1496"/>
        <v>0</v>
      </c>
      <c r="CA2006" s="138">
        <f t="shared" si="1497"/>
        <v>17</v>
      </c>
      <c r="CB2006" s="111" t="e">
        <f t="shared" si="1512"/>
        <v>#VALUE!</v>
      </c>
      <c r="CC2006" s="129">
        <f>M2006-I2006+1</f>
        <v>17</v>
      </c>
      <c r="CD2006" s="111">
        <f>CC2006-BF2006</f>
        <v>0</v>
      </c>
      <c r="CG2006" s="129" t="str">
        <f t="shared" si="1498"/>
        <v>Y</v>
      </c>
      <c r="CI2006" s="129" t="str">
        <f t="shared" si="1499"/>
        <v>11-30 DAYS</v>
      </c>
      <c r="CJ2006" s="137">
        <f t="shared" si="1500"/>
        <v>2</v>
      </c>
      <c r="CK2006" s="129" t="str">
        <f t="shared" si="1501"/>
        <v>Booked</v>
      </c>
    </row>
    <row r="2007" spans="1:89" ht="15.75" customHeight="1" x14ac:dyDescent="0.25">
      <c r="A2007" s="111">
        <v>2652</v>
      </c>
      <c r="B2007" s="128" t="str">
        <f t="shared" si="1481"/>
        <v>N</v>
      </c>
      <c r="C2007" s="128" t="str">
        <f t="shared" si="1482"/>
        <v>N</v>
      </c>
      <c r="D2007" s="117">
        <v>2377847</v>
      </c>
      <c r="E2007" s="135">
        <f t="shared" si="1483"/>
        <v>4</v>
      </c>
      <c r="F2007" s="124">
        <v>41007</v>
      </c>
      <c r="G2007" s="125">
        <v>41009</v>
      </c>
      <c r="H2007" s="117">
        <v>2377847</v>
      </c>
      <c r="I2007" s="124">
        <v>41007</v>
      </c>
      <c r="J2007" s="124">
        <v>41009</v>
      </c>
      <c r="K2007" s="126">
        <v>5000</v>
      </c>
      <c r="L2007" s="127" t="s">
        <v>569</v>
      </c>
      <c r="N2007" s="129" t="str">
        <f t="shared" si="1507"/>
        <v>N</v>
      </c>
      <c r="O2007" s="128" t="s">
        <v>917</v>
      </c>
      <c r="P2007" s="129" t="s">
        <v>39</v>
      </c>
      <c r="Q2007" s="111">
        <f t="shared" si="1509"/>
        <v>3</v>
      </c>
      <c r="R2007" s="111">
        <f t="shared" si="1508"/>
        <v>3</v>
      </c>
      <c r="S2007" s="129">
        <v>0</v>
      </c>
      <c r="T2007" s="129">
        <v>5</v>
      </c>
      <c r="W2007" s="111"/>
      <c r="AC2007" s="130"/>
      <c r="AD2007" s="130">
        <v>32478</v>
      </c>
      <c r="AE2007" s="128" t="s">
        <v>46</v>
      </c>
      <c r="AF2007" s="128" t="s">
        <v>33</v>
      </c>
      <c r="AG2007" s="128" t="s">
        <v>872</v>
      </c>
      <c r="AH2007" s="108" t="s">
        <v>31</v>
      </c>
      <c r="AI2007" s="128" t="s">
        <v>47</v>
      </c>
      <c r="AJ2007" s="129" t="s">
        <v>89</v>
      </c>
      <c r="AK2007" s="129">
        <v>1</v>
      </c>
      <c r="AL2007" s="3" t="s">
        <v>991</v>
      </c>
      <c r="AO2007" s="128">
        <v>90</v>
      </c>
      <c r="AP2007" s="129" t="s">
        <v>43</v>
      </c>
      <c r="AR2007" s="128" t="s">
        <v>44</v>
      </c>
      <c r="AS2007" s="129" t="s">
        <v>45</v>
      </c>
      <c r="AT2007" s="129" t="s">
        <v>469</v>
      </c>
      <c r="BC2007" s="129" t="s">
        <v>38</v>
      </c>
      <c r="BF2007" s="111">
        <f t="shared" si="1510"/>
        <v>3</v>
      </c>
      <c r="BG2007" s="111">
        <f t="shared" si="1484"/>
        <v>3</v>
      </c>
      <c r="BH2007" s="111">
        <f t="shared" si="1478"/>
        <v>3</v>
      </c>
      <c r="BI2007" s="111">
        <f t="shared" si="1479"/>
        <v>23.303278688524589</v>
      </c>
      <c r="BJ2007" s="129">
        <f t="shared" si="1485"/>
        <v>0</v>
      </c>
      <c r="BK2007" s="129">
        <f t="shared" si="1480"/>
        <v>0</v>
      </c>
      <c r="BL2007" s="129" t="str">
        <f t="shared" si="1511"/>
        <v>CONVICTION</v>
      </c>
      <c r="BM2007" s="129" t="str">
        <f t="shared" si="1486"/>
        <v>NONE</v>
      </c>
      <c r="BN2007" s="129" t="s">
        <v>566</v>
      </c>
      <c r="BP2007" s="137" t="str">
        <f t="shared" si="1487"/>
        <v>CONVICTION</v>
      </c>
      <c r="BQ2007" s="128" t="str">
        <f t="shared" si="1488"/>
        <v>Y</v>
      </c>
      <c r="BR2007" s="129" t="str">
        <f t="shared" si="1489"/>
        <v>DETAINED</v>
      </c>
      <c r="BS2007" s="129" t="str">
        <f t="shared" si="1490"/>
        <v>DISPOSED</v>
      </c>
      <c r="BT2007" s="129" t="str">
        <f t="shared" si="1491"/>
        <v>N</v>
      </c>
      <c r="BU2007" s="109">
        <f t="shared" si="1492"/>
        <v>1</v>
      </c>
      <c r="BV2007" s="109">
        <f t="shared" si="1493"/>
        <v>1</v>
      </c>
      <c r="BW2007" s="109">
        <f t="shared" si="1477"/>
        <v>0</v>
      </c>
      <c r="BX2007" s="111">
        <f t="shared" si="1494"/>
        <v>0</v>
      </c>
      <c r="BY2007" s="129">
        <f t="shared" si="1495"/>
        <v>-3</v>
      </c>
      <c r="BZ2007" s="111">
        <f t="shared" si="1496"/>
        <v>0</v>
      </c>
      <c r="CA2007" s="138">
        <f t="shared" si="1497"/>
        <v>3</v>
      </c>
      <c r="CB2007" s="111" t="e">
        <f t="shared" si="1512"/>
        <v>#VALUE!</v>
      </c>
      <c r="CC2007" s="129">
        <f>G2007-I2007+1</f>
        <v>3</v>
      </c>
      <c r="CD2007" s="129">
        <f>G2007-J2007</f>
        <v>0</v>
      </c>
      <c r="CG2007" s="129" t="str">
        <f t="shared" si="1498"/>
        <v>Y</v>
      </c>
      <c r="CI2007" s="129" t="str">
        <f t="shared" si="1499"/>
        <v>0-10 DAYS</v>
      </c>
      <c r="CJ2007" s="137">
        <f t="shared" si="1500"/>
        <v>1</v>
      </c>
      <c r="CK2007" s="129" t="str">
        <f t="shared" si="1501"/>
        <v>Booked</v>
      </c>
    </row>
    <row r="2008" spans="1:89" ht="15.75" customHeight="1" x14ac:dyDescent="0.25">
      <c r="A2008" s="111">
        <v>2544</v>
      </c>
      <c r="B2008" s="128" t="str">
        <f t="shared" si="1481"/>
        <v>N</v>
      </c>
      <c r="C2008" s="128" t="str">
        <f t="shared" si="1482"/>
        <v>N</v>
      </c>
      <c r="D2008" s="117">
        <v>2378206</v>
      </c>
      <c r="E2008" s="135">
        <f t="shared" si="1483"/>
        <v>2</v>
      </c>
      <c r="F2008" s="124">
        <v>41004</v>
      </c>
      <c r="G2008" s="125">
        <v>41107</v>
      </c>
      <c r="H2008" s="117">
        <v>2378206</v>
      </c>
      <c r="I2008" s="124">
        <v>41004</v>
      </c>
      <c r="J2008" s="124">
        <v>41005</v>
      </c>
      <c r="K2008" s="126">
        <v>4000</v>
      </c>
      <c r="L2008" s="127" t="s">
        <v>569</v>
      </c>
      <c r="M2008" s="125">
        <v>41005</v>
      </c>
      <c r="N2008" s="129" t="str">
        <f t="shared" si="1507"/>
        <v>Y</v>
      </c>
      <c r="O2008" s="128" t="s">
        <v>76</v>
      </c>
      <c r="P2008" s="129" t="s">
        <v>589</v>
      </c>
      <c r="Q2008" s="111">
        <f t="shared" si="1509"/>
        <v>2</v>
      </c>
      <c r="R2008" s="111">
        <f t="shared" si="1508"/>
        <v>104</v>
      </c>
      <c r="S2008" s="129">
        <v>0</v>
      </c>
      <c r="T2008" s="129">
        <v>1</v>
      </c>
      <c r="W2008" s="111"/>
      <c r="AC2008" s="130"/>
      <c r="AD2008" s="130">
        <v>32951</v>
      </c>
      <c r="AE2008" s="128" t="s">
        <v>32</v>
      </c>
      <c r="AF2008" s="128" t="s">
        <v>33</v>
      </c>
      <c r="AG2008" s="128" t="s">
        <v>872</v>
      </c>
      <c r="AH2008" s="108" t="s">
        <v>58</v>
      </c>
      <c r="AI2008" s="128" t="s">
        <v>95</v>
      </c>
      <c r="AJ2008" s="129" t="s">
        <v>48</v>
      </c>
      <c r="AK2008" s="129">
        <v>5</v>
      </c>
      <c r="AL2008" s="3" t="s">
        <v>48</v>
      </c>
      <c r="AP2008" s="129" t="s">
        <v>290</v>
      </c>
      <c r="AR2008" s="128" t="s">
        <v>50</v>
      </c>
      <c r="AS2008" s="129" t="s">
        <v>64</v>
      </c>
      <c r="BC2008" s="129" t="s">
        <v>38</v>
      </c>
      <c r="BF2008" s="111">
        <f t="shared" si="1510"/>
        <v>2</v>
      </c>
      <c r="BG2008" s="111">
        <f t="shared" si="1484"/>
        <v>104</v>
      </c>
      <c r="BH2008" s="111">
        <f t="shared" si="1478"/>
        <v>104</v>
      </c>
      <c r="BI2008" s="111">
        <f t="shared" si="1479"/>
        <v>22.002732240437158</v>
      </c>
      <c r="BJ2008" s="129">
        <f>(G2008-J2008)+(M2008-G2008)</f>
        <v>0</v>
      </c>
      <c r="BK2008" s="129">
        <f t="shared" si="1480"/>
        <v>-102</v>
      </c>
      <c r="BL2008" s="129" t="str">
        <f t="shared" si="1511"/>
        <v>DEFERRED</v>
      </c>
      <c r="BM2008" s="129" t="s">
        <v>76</v>
      </c>
      <c r="BN2008" s="129" t="s">
        <v>88</v>
      </c>
      <c r="BP2008" s="137" t="str">
        <f t="shared" si="1487"/>
        <v>DEFERRED</v>
      </c>
      <c r="BQ2008" s="128" t="str">
        <f t="shared" si="1488"/>
        <v>Y</v>
      </c>
      <c r="BR2008" s="129" t="str">
        <f t="shared" si="1489"/>
        <v>ON BOND</v>
      </c>
      <c r="BS2008" s="129" t="str">
        <f t="shared" si="1490"/>
        <v>DISPOSED</v>
      </c>
      <c r="BT2008" s="129" t="str">
        <f t="shared" si="1491"/>
        <v>N</v>
      </c>
      <c r="BU2008" s="109">
        <f t="shared" si="1492"/>
        <v>1.9230769230769232E-2</v>
      </c>
      <c r="BV2008" s="109">
        <f t="shared" si="1493"/>
        <v>1.9230769230769232E-2</v>
      </c>
      <c r="BW2008" s="109">
        <f t="shared" si="1477"/>
        <v>0</v>
      </c>
      <c r="BX2008" s="111">
        <f t="shared" si="1494"/>
        <v>0</v>
      </c>
      <c r="BY2008" s="129">
        <f t="shared" si="1495"/>
        <v>-2</v>
      </c>
      <c r="BZ2008" s="111">
        <f t="shared" si="1496"/>
        <v>0</v>
      </c>
      <c r="CA2008" s="138">
        <f t="shared" si="1497"/>
        <v>2</v>
      </c>
      <c r="CB2008" s="111" t="e">
        <f t="shared" si="1512"/>
        <v>#VALUE!</v>
      </c>
      <c r="CC2008" s="129">
        <f>M2008-I2008+1</f>
        <v>2</v>
      </c>
      <c r="CD2008" s="111">
        <f>CC2008-BF2008</f>
        <v>0</v>
      </c>
      <c r="CG2008" s="129" t="str">
        <f t="shared" si="1498"/>
        <v>Y</v>
      </c>
      <c r="CI2008" s="129" t="str">
        <f t="shared" si="1499"/>
        <v>0-10 DAYS</v>
      </c>
      <c r="CJ2008" s="137">
        <f t="shared" si="1500"/>
        <v>1</v>
      </c>
      <c r="CK2008" s="129" t="str">
        <f t="shared" si="1501"/>
        <v>Booked</v>
      </c>
    </row>
    <row r="2009" spans="1:89" ht="15" customHeight="1" x14ac:dyDescent="0.25">
      <c r="A2009" s="111">
        <v>905</v>
      </c>
      <c r="B2009" s="128" t="str">
        <f t="shared" si="1481"/>
        <v>N</v>
      </c>
      <c r="C2009" s="128" t="str">
        <f t="shared" si="1482"/>
        <v>N</v>
      </c>
      <c r="D2009" s="117">
        <v>2378552</v>
      </c>
      <c r="E2009" s="135">
        <f t="shared" si="1483"/>
        <v>6</v>
      </c>
      <c r="F2009" s="124">
        <v>40942</v>
      </c>
      <c r="G2009" s="125">
        <v>40975</v>
      </c>
      <c r="H2009" s="117">
        <v>2378552</v>
      </c>
      <c r="I2009" s="124">
        <v>40959</v>
      </c>
      <c r="J2009" s="124">
        <v>40975</v>
      </c>
      <c r="K2009" s="126" t="s">
        <v>564</v>
      </c>
      <c r="L2009" s="127" t="s">
        <v>564</v>
      </c>
      <c r="N2009" s="129" t="s">
        <v>566</v>
      </c>
      <c r="O2009" s="128" t="s">
        <v>917</v>
      </c>
      <c r="P2009" s="129" t="s">
        <v>39</v>
      </c>
      <c r="Q2009" s="111">
        <f t="shared" si="1509"/>
        <v>17</v>
      </c>
      <c r="R2009" s="111">
        <f t="shared" si="1508"/>
        <v>34</v>
      </c>
      <c r="S2009" s="129">
        <v>1</v>
      </c>
      <c r="T2009" s="129">
        <v>0</v>
      </c>
      <c r="W2009" s="111"/>
      <c r="AC2009" s="130"/>
      <c r="AD2009" s="130">
        <v>30577</v>
      </c>
      <c r="AE2009" s="128" t="s">
        <v>46</v>
      </c>
      <c r="AF2009" s="128" t="s">
        <v>40</v>
      </c>
      <c r="AG2009" s="128" t="s">
        <v>41</v>
      </c>
      <c r="AH2009" s="108" t="s">
        <v>41</v>
      </c>
      <c r="AI2009" s="128" t="s">
        <v>114</v>
      </c>
      <c r="AJ2009" s="129" t="s">
        <v>89</v>
      </c>
      <c r="AK2009" s="129">
        <v>2</v>
      </c>
      <c r="AL2009" s="3" t="s">
        <v>362</v>
      </c>
      <c r="AM2009" s="117">
        <v>5</v>
      </c>
      <c r="AP2009" s="129" t="s">
        <v>132</v>
      </c>
      <c r="AR2009" s="128" t="s">
        <v>92</v>
      </c>
      <c r="AS2009" s="129" t="s">
        <v>82</v>
      </c>
      <c r="BC2009" s="129" t="s">
        <v>52</v>
      </c>
      <c r="BF2009" s="111">
        <f t="shared" si="1510"/>
        <v>17</v>
      </c>
      <c r="BG2009" s="111">
        <f t="shared" si="1484"/>
        <v>17</v>
      </c>
      <c r="BH2009" s="111">
        <f t="shared" si="1478"/>
        <v>34</v>
      </c>
      <c r="BI2009" s="111">
        <f t="shared" si="1479"/>
        <v>28.319672131147541</v>
      </c>
      <c r="BJ2009" s="129">
        <f t="shared" si="1485"/>
        <v>0</v>
      </c>
      <c r="BK2009" s="129">
        <f t="shared" si="1480"/>
        <v>0</v>
      </c>
      <c r="BL2009" s="129" t="str">
        <f t="shared" si="1511"/>
        <v>CONVICTION</v>
      </c>
      <c r="BM2009" s="129" t="str">
        <f t="shared" si="1486"/>
        <v>NONE</v>
      </c>
      <c r="BN2009" s="129" t="s">
        <v>566</v>
      </c>
      <c r="BP2009" s="137" t="str">
        <f t="shared" si="1487"/>
        <v>CONVICTION</v>
      </c>
      <c r="BQ2009" s="128" t="str">
        <f t="shared" si="1488"/>
        <v>Y</v>
      </c>
      <c r="BR2009" s="129" t="str">
        <f t="shared" si="1489"/>
        <v>DETAINED</v>
      </c>
      <c r="BS2009" s="129" t="str">
        <f t="shared" si="1490"/>
        <v>DISPOSED</v>
      </c>
      <c r="BT2009" s="129" t="str">
        <f t="shared" si="1491"/>
        <v>Y</v>
      </c>
      <c r="BU2009" s="109">
        <f t="shared" si="1492"/>
        <v>0.5</v>
      </c>
      <c r="BV2009" s="109">
        <f t="shared" si="1493"/>
        <v>1</v>
      </c>
      <c r="BW2009" s="109">
        <f t="shared" si="1477"/>
        <v>0.5</v>
      </c>
      <c r="BX2009" s="111">
        <f t="shared" si="1494"/>
        <v>0</v>
      </c>
      <c r="BY2009" s="129">
        <f t="shared" si="1495"/>
        <v>-17</v>
      </c>
      <c r="BZ2009" s="111">
        <f t="shared" si="1496"/>
        <v>0</v>
      </c>
      <c r="CA2009" s="138">
        <f t="shared" si="1497"/>
        <v>17</v>
      </c>
      <c r="CB2009" s="111" t="e">
        <f t="shared" si="1512"/>
        <v>#VALUE!</v>
      </c>
      <c r="CC2009" s="129">
        <f>G2009-I2009+1</f>
        <v>17</v>
      </c>
      <c r="CD2009" s="129">
        <f>G2009-J2009</f>
        <v>0</v>
      </c>
      <c r="CG2009" s="129" t="str">
        <f t="shared" si="1498"/>
        <v>Y</v>
      </c>
      <c r="CI2009" s="129" t="str">
        <f t="shared" si="1499"/>
        <v>11-30 DAYS</v>
      </c>
      <c r="CJ2009" s="137">
        <f t="shared" si="1500"/>
        <v>2</v>
      </c>
      <c r="CK2009" s="129" t="str">
        <f t="shared" si="1501"/>
        <v>Booked</v>
      </c>
    </row>
    <row r="2010" spans="1:89" ht="15" customHeight="1" x14ac:dyDescent="0.25">
      <c r="A2010" s="111">
        <v>1786</v>
      </c>
      <c r="B2010" s="128" t="str">
        <f t="shared" si="1481"/>
        <v>N</v>
      </c>
      <c r="C2010" s="128" t="str">
        <f t="shared" si="1482"/>
        <v>N</v>
      </c>
      <c r="D2010" s="117">
        <v>2378807</v>
      </c>
      <c r="E2010" s="135">
        <f t="shared" si="1483"/>
        <v>2</v>
      </c>
      <c r="F2010" s="124">
        <v>40975</v>
      </c>
      <c r="G2010" s="125">
        <v>41029</v>
      </c>
      <c r="H2010" s="117">
        <v>2378807</v>
      </c>
      <c r="I2010" s="124">
        <v>41023</v>
      </c>
      <c r="J2010" s="124">
        <v>41029</v>
      </c>
      <c r="K2010" s="126">
        <v>50000</v>
      </c>
      <c r="L2010" s="129" t="s">
        <v>572</v>
      </c>
      <c r="N2010" s="129" t="str">
        <f>IF(M2010&gt;1/1/1,"Y","N")</f>
        <v>N</v>
      </c>
      <c r="O2010" s="128" t="s">
        <v>917</v>
      </c>
      <c r="P2010" s="129" t="s">
        <v>589</v>
      </c>
      <c r="Q2010" s="111">
        <f t="shared" si="1509"/>
        <v>7</v>
      </c>
      <c r="R2010" s="111">
        <f t="shared" si="1508"/>
        <v>55</v>
      </c>
      <c r="S2010" s="129">
        <v>0</v>
      </c>
      <c r="T2010" s="129">
        <v>7</v>
      </c>
      <c r="W2010" s="111"/>
      <c r="AC2010" s="130"/>
      <c r="AD2010" s="130">
        <v>32942</v>
      </c>
      <c r="AE2010" s="128" t="s">
        <v>32</v>
      </c>
      <c r="AF2010" s="128" t="s">
        <v>33</v>
      </c>
      <c r="AG2010" s="128" t="s">
        <v>872</v>
      </c>
      <c r="AH2010" s="108" t="s">
        <v>58</v>
      </c>
      <c r="AI2010" s="128" t="s">
        <v>53</v>
      </c>
      <c r="AJ2010" s="129" t="s">
        <v>48</v>
      </c>
      <c r="AK2010" s="129">
        <v>3</v>
      </c>
      <c r="AL2010" s="3" t="s">
        <v>48</v>
      </c>
      <c r="AP2010" s="129" t="s">
        <v>110</v>
      </c>
      <c r="AR2010" s="128" t="s">
        <v>50</v>
      </c>
      <c r="AS2010" s="129" t="s">
        <v>74</v>
      </c>
      <c r="AT2010" s="129" t="s">
        <v>636</v>
      </c>
      <c r="AX2010" s="32"/>
      <c r="BC2010" s="129" t="s">
        <v>38</v>
      </c>
      <c r="BF2010" s="111">
        <f t="shared" si="1510"/>
        <v>7</v>
      </c>
      <c r="BG2010" s="111">
        <f t="shared" si="1484"/>
        <v>7</v>
      </c>
      <c r="BH2010" s="111">
        <f t="shared" si="1478"/>
        <v>55</v>
      </c>
      <c r="BI2010" s="111">
        <f t="shared" si="1479"/>
        <v>21.948087431693988</v>
      </c>
      <c r="BJ2010" s="129">
        <f t="shared" si="1485"/>
        <v>0</v>
      </c>
      <c r="BK2010" s="129">
        <f t="shared" si="1480"/>
        <v>0</v>
      </c>
      <c r="BL2010" s="129" t="str">
        <f t="shared" si="1511"/>
        <v>DEFERRED</v>
      </c>
      <c r="BM2010" s="129" t="str">
        <f t="shared" si="1486"/>
        <v>NONE</v>
      </c>
      <c r="BN2010" s="129" t="s">
        <v>566</v>
      </c>
      <c r="BP2010" s="137" t="str">
        <f t="shared" si="1487"/>
        <v>DEFERRED</v>
      </c>
      <c r="BQ2010" s="128" t="str">
        <f t="shared" si="1488"/>
        <v>Y</v>
      </c>
      <c r="BR2010" s="129" t="str">
        <f t="shared" si="1489"/>
        <v>DETAINED</v>
      </c>
      <c r="BS2010" s="129" t="str">
        <f t="shared" si="1490"/>
        <v>DISPOSED</v>
      </c>
      <c r="BT2010" s="129" t="str">
        <f t="shared" si="1491"/>
        <v>N</v>
      </c>
      <c r="BU2010" s="109">
        <f t="shared" si="1492"/>
        <v>0.12727272727272726</v>
      </c>
      <c r="BV2010" s="109">
        <f t="shared" si="1493"/>
        <v>1</v>
      </c>
      <c r="BW2010" s="109">
        <f t="shared" si="1477"/>
        <v>0.8727272727272728</v>
      </c>
      <c r="BX2010" s="111">
        <f t="shared" si="1494"/>
        <v>0</v>
      </c>
      <c r="BY2010" s="129">
        <f t="shared" si="1495"/>
        <v>-7</v>
      </c>
      <c r="BZ2010" s="111">
        <f t="shared" si="1496"/>
        <v>0</v>
      </c>
      <c r="CA2010" s="138">
        <f t="shared" si="1497"/>
        <v>7</v>
      </c>
      <c r="CB2010" s="111" t="e">
        <f t="shared" si="1512"/>
        <v>#VALUE!</v>
      </c>
      <c r="CC2010" s="129">
        <f>G2010-I2010+1</f>
        <v>7</v>
      </c>
      <c r="CD2010" s="129">
        <f>G2010-J2010</f>
        <v>0</v>
      </c>
      <c r="CG2010" s="129" t="str">
        <f t="shared" si="1498"/>
        <v>Y</v>
      </c>
      <c r="CI2010" s="129" t="str">
        <f t="shared" si="1499"/>
        <v>0-10 DAYS</v>
      </c>
      <c r="CJ2010" s="137">
        <f t="shared" si="1500"/>
        <v>1</v>
      </c>
      <c r="CK2010" s="129" t="str">
        <f t="shared" si="1501"/>
        <v>Booked</v>
      </c>
    </row>
    <row r="2011" spans="1:89" ht="15" customHeight="1" x14ac:dyDescent="0.25">
      <c r="A2011" s="111">
        <v>727</v>
      </c>
      <c r="B2011" s="128" t="str">
        <f t="shared" si="1481"/>
        <v>N</v>
      </c>
      <c r="C2011" s="128" t="str">
        <f t="shared" si="1482"/>
        <v>N</v>
      </c>
      <c r="D2011" s="117">
        <v>2379963</v>
      </c>
      <c r="E2011" s="135">
        <f t="shared" si="1483"/>
        <v>4</v>
      </c>
      <c r="F2011" s="124">
        <v>40937</v>
      </c>
      <c r="G2011" s="125">
        <v>40967</v>
      </c>
      <c r="H2011" s="117">
        <v>2379963</v>
      </c>
      <c r="I2011" s="124">
        <v>40938</v>
      </c>
      <c r="J2011" s="124">
        <v>40967</v>
      </c>
      <c r="K2011" s="126">
        <v>35000</v>
      </c>
      <c r="L2011" s="129" t="s">
        <v>572</v>
      </c>
      <c r="N2011" s="129" t="str">
        <f>IF(M2011&gt;1/1/1,"Y","N")</f>
        <v>N</v>
      </c>
      <c r="O2011" s="128" t="s">
        <v>917</v>
      </c>
      <c r="P2011" s="129" t="s">
        <v>39</v>
      </c>
      <c r="Q2011" s="111">
        <f t="shared" si="1509"/>
        <v>30</v>
      </c>
      <c r="R2011" s="111">
        <f t="shared" si="1508"/>
        <v>31</v>
      </c>
      <c r="S2011" s="129">
        <v>0</v>
      </c>
      <c r="T2011" s="129">
        <v>2</v>
      </c>
      <c r="W2011" s="111"/>
      <c r="AC2011" s="130"/>
      <c r="AD2011" s="130">
        <v>31882</v>
      </c>
      <c r="AE2011" s="128" t="s">
        <v>32</v>
      </c>
      <c r="AF2011" s="128" t="s">
        <v>69</v>
      </c>
      <c r="AG2011" s="128" t="s">
        <v>874</v>
      </c>
      <c r="AH2011" s="108" t="s">
        <v>31</v>
      </c>
      <c r="AI2011" s="128" t="s">
        <v>34</v>
      </c>
      <c r="AJ2011" s="129" t="s">
        <v>89</v>
      </c>
      <c r="AK2011" s="129">
        <v>3</v>
      </c>
      <c r="AL2011" s="3" t="s">
        <v>991</v>
      </c>
      <c r="AO2011" s="128">
        <v>120</v>
      </c>
      <c r="AP2011" s="129" t="s">
        <v>43</v>
      </c>
      <c r="AR2011" s="128" t="s">
        <v>44</v>
      </c>
      <c r="AS2011" s="129" t="s">
        <v>45</v>
      </c>
      <c r="BC2011" s="129" t="s">
        <v>38</v>
      </c>
      <c r="BF2011" s="111">
        <f t="shared" si="1510"/>
        <v>30</v>
      </c>
      <c r="BG2011" s="111">
        <f t="shared" si="1484"/>
        <v>30</v>
      </c>
      <c r="BH2011" s="111">
        <f t="shared" si="1478"/>
        <v>31</v>
      </c>
      <c r="BI2011" s="111">
        <f t="shared" si="1479"/>
        <v>24.740437158469945</v>
      </c>
      <c r="BJ2011" s="129">
        <f t="shared" si="1485"/>
        <v>0</v>
      </c>
      <c r="BK2011" s="129">
        <f t="shared" si="1480"/>
        <v>0</v>
      </c>
      <c r="BL2011" s="129" t="str">
        <f t="shared" si="1511"/>
        <v>CONVICTION</v>
      </c>
      <c r="BM2011" s="129" t="str">
        <f t="shared" si="1486"/>
        <v>NONE</v>
      </c>
      <c r="BN2011" s="129" t="s">
        <v>566</v>
      </c>
      <c r="BP2011" s="137" t="str">
        <f t="shared" si="1487"/>
        <v>CONVICTION</v>
      </c>
      <c r="BQ2011" s="128" t="str">
        <f t="shared" si="1488"/>
        <v>Y</v>
      </c>
      <c r="BR2011" s="129" t="str">
        <f t="shared" si="1489"/>
        <v>DETAINED</v>
      </c>
      <c r="BS2011" s="129" t="str">
        <f t="shared" si="1490"/>
        <v>DISPOSED</v>
      </c>
      <c r="BT2011" s="129" t="str">
        <f t="shared" si="1491"/>
        <v>N</v>
      </c>
      <c r="BU2011" s="109">
        <f t="shared" si="1492"/>
        <v>0.967741935483871</v>
      </c>
      <c r="BV2011" s="109">
        <f t="shared" si="1493"/>
        <v>1</v>
      </c>
      <c r="BW2011" s="109">
        <f t="shared" si="1477"/>
        <v>3.2258064516129004E-2</v>
      </c>
      <c r="BX2011" s="111">
        <f t="shared" si="1494"/>
        <v>0</v>
      </c>
      <c r="BY2011" s="129">
        <f t="shared" si="1495"/>
        <v>-30</v>
      </c>
      <c r="BZ2011" s="111">
        <f t="shared" si="1496"/>
        <v>0</v>
      </c>
      <c r="CA2011" s="138">
        <f t="shared" si="1497"/>
        <v>30</v>
      </c>
      <c r="CB2011" s="111" t="e">
        <f t="shared" si="1512"/>
        <v>#VALUE!</v>
      </c>
      <c r="CC2011" s="129">
        <f>G2011-I2011+1</f>
        <v>30</v>
      </c>
      <c r="CD2011" s="129">
        <f>G2011-J2011</f>
        <v>0</v>
      </c>
      <c r="CG2011" s="129" t="str">
        <f t="shared" si="1498"/>
        <v>Y</v>
      </c>
      <c r="CI2011" s="129" t="str">
        <f t="shared" si="1499"/>
        <v>11-30 DAYS</v>
      </c>
      <c r="CJ2011" s="137">
        <f t="shared" si="1500"/>
        <v>2</v>
      </c>
      <c r="CK2011" s="129" t="str">
        <f t="shared" si="1501"/>
        <v>Booked</v>
      </c>
    </row>
    <row r="2012" spans="1:89" ht="15" customHeight="1" x14ac:dyDescent="0.25">
      <c r="A2012" s="111">
        <v>1989</v>
      </c>
      <c r="B2012" s="128" t="str">
        <f t="shared" si="1481"/>
        <v>N</v>
      </c>
      <c r="C2012" s="128" t="str">
        <f t="shared" si="1482"/>
        <v>N</v>
      </c>
      <c r="D2012" s="117">
        <v>2381161</v>
      </c>
      <c r="E2012" s="135">
        <f t="shared" si="1483"/>
        <v>6</v>
      </c>
      <c r="F2012" s="124">
        <v>40983</v>
      </c>
      <c r="G2012" s="125">
        <v>41465</v>
      </c>
      <c r="H2012" s="117">
        <v>2381161</v>
      </c>
      <c r="I2012" s="124">
        <v>40985</v>
      </c>
      <c r="J2012" s="124">
        <v>41000</v>
      </c>
      <c r="K2012" s="126">
        <v>30000</v>
      </c>
      <c r="L2012" s="129" t="s">
        <v>572</v>
      </c>
      <c r="M2012" s="125">
        <v>41000</v>
      </c>
      <c r="N2012" s="129" t="str">
        <f>IF(M2012&gt;1/1/1,"Y","N")</f>
        <v>Y</v>
      </c>
      <c r="O2012" s="128" t="s">
        <v>76</v>
      </c>
      <c r="P2012" s="129" t="s">
        <v>39</v>
      </c>
      <c r="Q2012" s="111">
        <f t="shared" si="1509"/>
        <v>16</v>
      </c>
      <c r="R2012" s="111">
        <f t="shared" si="1508"/>
        <v>483</v>
      </c>
      <c r="S2012" s="129">
        <v>0</v>
      </c>
      <c r="T2012" s="129">
        <v>3</v>
      </c>
      <c r="W2012" s="111"/>
      <c r="AC2012" s="130"/>
      <c r="AD2012" s="130">
        <v>33350</v>
      </c>
      <c r="AE2012" s="128" t="s">
        <v>46</v>
      </c>
      <c r="AF2012" s="128" t="s">
        <v>33</v>
      </c>
      <c r="AG2012" s="128" t="s">
        <v>872</v>
      </c>
      <c r="AH2012" s="108" t="s">
        <v>31</v>
      </c>
      <c r="AI2012" s="128" t="s">
        <v>65</v>
      </c>
      <c r="AJ2012" s="129" t="s">
        <v>89</v>
      </c>
      <c r="AK2012" s="129">
        <v>19</v>
      </c>
      <c r="AL2012" s="3" t="s">
        <v>362</v>
      </c>
      <c r="AM2012" s="117">
        <v>15</v>
      </c>
      <c r="AP2012" s="129" t="s">
        <v>105</v>
      </c>
      <c r="AR2012" s="128" t="s">
        <v>92</v>
      </c>
      <c r="AS2012" s="129" t="s">
        <v>106</v>
      </c>
      <c r="AT2012" s="129" t="s">
        <v>1159</v>
      </c>
      <c r="BC2012" s="129" t="s">
        <v>52</v>
      </c>
      <c r="BF2012" s="111">
        <f t="shared" si="1510"/>
        <v>16</v>
      </c>
      <c r="BG2012" s="111">
        <f t="shared" si="1484"/>
        <v>481</v>
      </c>
      <c r="BH2012" s="111">
        <f t="shared" si="1478"/>
        <v>483</v>
      </c>
      <c r="BI2012" s="111">
        <f t="shared" si="1479"/>
        <v>20.855191256830601</v>
      </c>
      <c r="BJ2012" s="129">
        <f>(G2012-J2012)+(M2012-G2012)</f>
        <v>0</v>
      </c>
      <c r="BK2012" s="129">
        <f t="shared" si="1480"/>
        <v>-465</v>
      </c>
      <c r="BL2012" s="129" t="str">
        <f t="shared" si="1511"/>
        <v>CONVICTION</v>
      </c>
      <c r="BM2012" s="129" t="s">
        <v>76</v>
      </c>
      <c r="BN2012" s="129" t="s">
        <v>88</v>
      </c>
      <c r="BP2012" s="137" t="str">
        <f t="shared" si="1487"/>
        <v>CONVICTION</v>
      </c>
      <c r="BQ2012" s="128" t="str">
        <f t="shared" si="1488"/>
        <v>Y</v>
      </c>
      <c r="BR2012" s="129" t="str">
        <f>IF(J2012&lt;G2012,"ON BOND",0)</f>
        <v>ON BOND</v>
      </c>
      <c r="BS2012" s="129" t="str">
        <f t="shared" si="1490"/>
        <v>DISPOSED</v>
      </c>
      <c r="BT2012" s="129" t="str">
        <f t="shared" si="1491"/>
        <v>N</v>
      </c>
      <c r="BU2012" s="109">
        <f t="shared" si="1492"/>
        <v>3.3126293995859216E-2</v>
      </c>
      <c r="BV2012" s="109">
        <f t="shared" si="1493"/>
        <v>3.3264033264033266E-2</v>
      </c>
      <c r="BW2012" s="109">
        <f t="shared" si="1477"/>
        <v>1.3773926817405024E-4</v>
      </c>
      <c r="BX2012" s="111">
        <f t="shared" si="1494"/>
        <v>0</v>
      </c>
      <c r="BY2012" s="129">
        <f t="shared" si="1495"/>
        <v>-16</v>
      </c>
      <c r="BZ2012" s="111">
        <f t="shared" si="1496"/>
        <v>0</v>
      </c>
      <c r="CA2012" s="138">
        <f t="shared" si="1497"/>
        <v>16</v>
      </c>
      <c r="CB2012" s="111" t="e">
        <f t="shared" si="1512"/>
        <v>#VALUE!</v>
      </c>
      <c r="CC2012" s="129">
        <f>M2012-I2012+1</f>
        <v>16</v>
      </c>
      <c r="CD2012" s="111">
        <f>CC2012-BF2012</f>
        <v>0</v>
      </c>
      <c r="CG2012" s="129" t="str">
        <f t="shared" si="1498"/>
        <v>Y</v>
      </c>
      <c r="CI2012" s="129" t="str">
        <f t="shared" si="1499"/>
        <v>11-30 DAYS</v>
      </c>
      <c r="CJ2012" s="137">
        <f t="shared" si="1500"/>
        <v>2</v>
      </c>
      <c r="CK2012" s="129" t="str">
        <f t="shared" si="1501"/>
        <v>Booked</v>
      </c>
    </row>
    <row r="2013" spans="1:89" ht="15.75" customHeight="1" x14ac:dyDescent="0.25">
      <c r="A2013" s="111">
        <v>1058</v>
      </c>
      <c r="B2013" s="128" t="str">
        <f t="shared" si="1481"/>
        <v>N</v>
      </c>
      <c r="C2013" s="128" t="str">
        <f t="shared" si="1482"/>
        <v>N</v>
      </c>
      <c r="D2013" s="117">
        <v>2381691</v>
      </c>
      <c r="E2013" s="135">
        <f t="shared" si="1483"/>
        <v>6</v>
      </c>
      <c r="F2013" s="124">
        <v>40948</v>
      </c>
      <c r="G2013" s="125">
        <v>41593</v>
      </c>
      <c r="H2013" s="117">
        <v>2381691</v>
      </c>
      <c r="I2013" s="124">
        <v>40948</v>
      </c>
      <c r="J2013" s="125">
        <v>41593</v>
      </c>
      <c r="K2013" s="126">
        <v>30000</v>
      </c>
      <c r="L2013" s="129" t="s">
        <v>572</v>
      </c>
      <c r="N2013" s="129" t="str">
        <f>IF(M2013&gt;1/1/1,"Y","N")</f>
        <v>N</v>
      </c>
      <c r="O2013" s="128" t="s">
        <v>917</v>
      </c>
      <c r="P2013" s="129" t="s">
        <v>39</v>
      </c>
      <c r="Q2013" s="111">
        <f t="shared" si="1509"/>
        <v>646</v>
      </c>
      <c r="R2013" s="111">
        <f t="shared" si="1508"/>
        <v>646</v>
      </c>
      <c r="S2013" s="129">
        <v>1</v>
      </c>
      <c r="T2013" s="129">
        <v>1</v>
      </c>
      <c r="U2013" s="129">
        <v>1</v>
      </c>
      <c r="W2013" s="111"/>
      <c r="AC2013" s="130"/>
      <c r="AD2013" s="130">
        <v>31994</v>
      </c>
      <c r="AE2013" s="128" t="s">
        <v>32</v>
      </c>
      <c r="AF2013" s="128" t="s">
        <v>33</v>
      </c>
      <c r="AG2013" s="128" t="s">
        <v>872</v>
      </c>
      <c r="AH2013" s="108" t="s">
        <v>31</v>
      </c>
      <c r="AI2013" s="128" t="s">
        <v>62</v>
      </c>
      <c r="AJ2013" s="129" t="s">
        <v>89</v>
      </c>
      <c r="AK2013" s="129">
        <v>10</v>
      </c>
      <c r="AL2013" s="3" t="s">
        <v>362</v>
      </c>
      <c r="AM2013" s="117">
        <v>4</v>
      </c>
      <c r="AP2013" s="129" t="s">
        <v>105</v>
      </c>
      <c r="AR2013" s="128" t="s">
        <v>92</v>
      </c>
      <c r="AS2013" s="129" t="s">
        <v>106</v>
      </c>
      <c r="BC2013" s="129" t="s">
        <v>38</v>
      </c>
      <c r="BF2013" s="111">
        <f t="shared" si="1510"/>
        <v>646</v>
      </c>
      <c r="BG2013" s="111">
        <f t="shared" si="1484"/>
        <v>646</v>
      </c>
      <c r="BH2013" s="111">
        <f t="shared" si="1478"/>
        <v>646</v>
      </c>
      <c r="BI2013" s="111">
        <f t="shared" si="1479"/>
        <v>24.464480874316941</v>
      </c>
      <c r="BJ2013" s="129">
        <f t="shared" si="1485"/>
        <v>0</v>
      </c>
      <c r="BK2013" s="129">
        <f t="shared" si="1480"/>
        <v>0</v>
      </c>
      <c r="BL2013" s="129" t="str">
        <f t="shared" si="1511"/>
        <v>CONVICTION</v>
      </c>
      <c r="BM2013" s="129" t="str">
        <f t="shared" si="1486"/>
        <v>NONE</v>
      </c>
      <c r="BN2013" s="129" t="s">
        <v>566</v>
      </c>
      <c r="BP2013" s="137" t="str">
        <f t="shared" si="1487"/>
        <v>CONVICTION</v>
      </c>
      <c r="BQ2013" s="128" t="str">
        <f t="shared" si="1488"/>
        <v>Y</v>
      </c>
      <c r="BR2013" s="129" t="str">
        <f t="shared" si="1489"/>
        <v>DETAINED</v>
      </c>
      <c r="BS2013" s="129" t="str">
        <f t="shared" si="1490"/>
        <v>DISPOSED</v>
      </c>
      <c r="BT2013" s="129" t="str">
        <f t="shared" si="1491"/>
        <v>Y</v>
      </c>
      <c r="BU2013" s="109">
        <f t="shared" si="1492"/>
        <v>1</v>
      </c>
      <c r="BV2013" s="109">
        <f t="shared" si="1493"/>
        <v>1</v>
      </c>
      <c r="BW2013" s="109">
        <f t="shared" si="1477"/>
        <v>0</v>
      </c>
      <c r="BX2013" s="111">
        <f t="shared" si="1494"/>
        <v>0</v>
      </c>
      <c r="BY2013" s="129">
        <f t="shared" si="1495"/>
        <v>-646</v>
      </c>
      <c r="BZ2013" s="111">
        <f t="shared" si="1496"/>
        <v>0</v>
      </c>
      <c r="CA2013" s="138">
        <f t="shared" si="1497"/>
        <v>646</v>
      </c>
      <c r="CB2013" s="111" t="e">
        <f t="shared" si="1512"/>
        <v>#VALUE!</v>
      </c>
      <c r="CC2013" s="129">
        <f>G2013-I2013+1</f>
        <v>646</v>
      </c>
      <c r="CD2013" s="129">
        <f>G2013-J2013</f>
        <v>0</v>
      </c>
      <c r="CG2013" s="129" t="str">
        <f t="shared" si="1498"/>
        <v>Y</v>
      </c>
      <c r="CI2013" s="129" t="str">
        <f t="shared" si="1499"/>
        <v xml:space="preserve"> &gt;1YRS&lt;2YRS</v>
      </c>
      <c r="CJ2013" s="137">
        <f t="shared" si="1500"/>
        <v>0</v>
      </c>
      <c r="CK2013" s="129" t="str">
        <f t="shared" si="1501"/>
        <v>Booked</v>
      </c>
    </row>
    <row r="2014" spans="1:89" ht="15" customHeight="1" x14ac:dyDescent="0.25">
      <c r="A2014" s="111">
        <v>2295</v>
      </c>
      <c r="B2014" s="128" t="str">
        <f t="shared" si="1481"/>
        <v>N</v>
      </c>
      <c r="C2014" s="128" t="str">
        <f t="shared" si="1482"/>
        <v>N</v>
      </c>
      <c r="D2014" s="117">
        <v>2381714</v>
      </c>
      <c r="E2014" s="135">
        <f t="shared" si="1483"/>
        <v>2</v>
      </c>
      <c r="F2014" s="124">
        <v>40995</v>
      </c>
      <c r="G2014" s="125">
        <v>41123</v>
      </c>
      <c r="H2014" s="117">
        <v>2381714</v>
      </c>
      <c r="I2014" s="124">
        <v>40996</v>
      </c>
      <c r="J2014" s="124">
        <v>41123</v>
      </c>
      <c r="K2014" s="126" t="s">
        <v>564</v>
      </c>
      <c r="L2014" s="127" t="s">
        <v>564</v>
      </c>
      <c r="N2014" s="129" t="s">
        <v>566</v>
      </c>
      <c r="O2014" s="128" t="s">
        <v>917</v>
      </c>
      <c r="P2014" s="129" t="s">
        <v>589</v>
      </c>
      <c r="Q2014" s="111">
        <f t="shared" si="1509"/>
        <v>128</v>
      </c>
      <c r="R2014" s="111">
        <f t="shared" si="1508"/>
        <v>129</v>
      </c>
      <c r="S2014" s="129">
        <v>0</v>
      </c>
      <c r="T2014" s="129">
        <v>4</v>
      </c>
      <c r="W2014" s="111"/>
      <c r="AC2014" s="130"/>
      <c r="AD2014" s="130">
        <v>32869</v>
      </c>
      <c r="AE2014" s="128" t="s">
        <v>32</v>
      </c>
      <c r="AF2014" s="128" t="s">
        <v>33</v>
      </c>
      <c r="AG2014" s="128" t="s">
        <v>872</v>
      </c>
      <c r="AH2014" s="108" t="s">
        <v>31</v>
      </c>
      <c r="AI2014" s="128" t="s">
        <v>97</v>
      </c>
      <c r="AJ2014" s="129" t="s">
        <v>48</v>
      </c>
      <c r="AK2014" s="129">
        <v>11</v>
      </c>
      <c r="AL2014" s="3" t="s">
        <v>48</v>
      </c>
      <c r="AP2014" s="129" t="s">
        <v>84</v>
      </c>
      <c r="AR2014" s="128" t="s">
        <v>67</v>
      </c>
      <c r="AS2014" s="129" t="s">
        <v>74</v>
      </c>
      <c r="BC2014" s="129" t="s">
        <v>52</v>
      </c>
      <c r="BF2014" s="111">
        <f t="shared" si="1510"/>
        <v>128</v>
      </c>
      <c r="BG2014" s="111">
        <f t="shared" si="1484"/>
        <v>128</v>
      </c>
      <c r="BH2014" s="111">
        <f t="shared" si="1478"/>
        <v>129</v>
      </c>
      <c r="BI2014" s="111">
        <f t="shared" si="1479"/>
        <v>22.202185792349727</v>
      </c>
      <c r="BJ2014" s="129">
        <f t="shared" si="1485"/>
        <v>0</v>
      </c>
      <c r="BK2014" s="129">
        <f t="shared" si="1480"/>
        <v>0</v>
      </c>
      <c r="BL2014" s="129" t="str">
        <f t="shared" si="1511"/>
        <v>DEFERRED</v>
      </c>
      <c r="BM2014" s="129" t="str">
        <f t="shared" si="1486"/>
        <v>NONE</v>
      </c>
      <c r="BN2014" s="129" t="s">
        <v>566</v>
      </c>
      <c r="BP2014" s="137" t="str">
        <f t="shared" si="1487"/>
        <v>DEFERRED</v>
      </c>
      <c r="BQ2014" s="128" t="str">
        <f t="shared" si="1488"/>
        <v>Y</v>
      </c>
      <c r="BR2014" s="129" t="str">
        <f t="shared" si="1489"/>
        <v>DETAINED</v>
      </c>
      <c r="BS2014" s="129" t="str">
        <f t="shared" si="1490"/>
        <v>DISPOSED</v>
      </c>
      <c r="BT2014" s="129" t="str">
        <f t="shared" si="1491"/>
        <v>N</v>
      </c>
      <c r="BU2014" s="109">
        <f t="shared" si="1492"/>
        <v>0.99224806201550386</v>
      </c>
      <c r="BV2014" s="109">
        <f t="shared" si="1493"/>
        <v>1</v>
      </c>
      <c r="BW2014" s="109">
        <f t="shared" si="1477"/>
        <v>7.7519379844961378E-3</v>
      </c>
      <c r="BX2014" s="111">
        <f t="shared" si="1494"/>
        <v>0</v>
      </c>
      <c r="BY2014" s="129">
        <f t="shared" si="1495"/>
        <v>-128</v>
      </c>
      <c r="BZ2014" s="111">
        <f t="shared" si="1496"/>
        <v>0</v>
      </c>
      <c r="CA2014" s="138">
        <f t="shared" si="1497"/>
        <v>128</v>
      </c>
      <c r="CB2014" s="111" t="e">
        <f t="shared" si="1512"/>
        <v>#VALUE!</v>
      </c>
      <c r="CC2014" s="129">
        <f>G2014-I2014+1</f>
        <v>128</v>
      </c>
      <c r="CD2014" s="129">
        <f>G2014-J2014</f>
        <v>0</v>
      </c>
      <c r="CG2014" s="129" t="str">
        <f t="shared" si="1498"/>
        <v>Y</v>
      </c>
      <c r="CI2014" s="129" t="str">
        <f t="shared" si="1499"/>
        <v>121-365 DAYS</v>
      </c>
      <c r="CJ2014" s="137">
        <f t="shared" si="1500"/>
        <v>6</v>
      </c>
      <c r="CK2014" s="129" t="str">
        <f t="shared" si="1501"/>
        <v>Booked</v>
      </c>
    </row>
    <row r="2015" spans="1:89" ht="15.75" customHeight="1" x14ac:dyDescent="0.25">
      <c r="A2015" s="111">
        <v>3030</v>
      </c>
      <c r="B2015" s="128" t="str">
        <f t="shared" si="1481"/>
        <v>N</v>
      </c>
      <c r="C2015" s="128" t="str">
        <f t="shared" si="1482"/>
        <v>N</v>
      </c>
      <c r="D2015" s="117">
        <v>2381831</v>
      </c>
      <c r="E2015" s="135">
        <f t="shared" si="1483"/>
        <v>5</v>
      </c>
      <c r="F2015" s="124">
        <v>41021</v>
      </c>
      <c r="G2015" s="125">
        <v>41060</v>
      </c>
      <c r="H2015" s="117">
        <v>2381831</v>
      </c>
      <c r="I2015" s="124">
        <v>41021</v>
      </c>
      <c r="J2015" s="124">
        <v>41060</v>
      </c>
      <c r="K2015" s="126">
        <v>15000</v>
      </c>
      <c r="L2015" s="127" t="s">
        <v>571</v>
      </c>
      <c r="N2015" s="129" t="str">
        <f>IF(M2015&gt;1/1/1,"Y","N")</f>
        <v>N</v>
      </c>
      <c r="O2015" s="128" t="s">
        <v>917</v>
      </c>
      <c r="P2015" s="129" t="s">
        <v>39</v>
      </c>
      <c r="Q2015" s="111">
        <f t="shared" si="1509"/>
        <v>40</v>
      </c>
      <c r="R2015" s="111">
        <f t="shared" si="1508"/>
        <v>40</v>
      </c>
      <c r="S2015" s="129">
        <v>5</v>
      </c>
      <c r="T2015" s="129">
        <v>2</v>
      </c>
      <c r="U2015" s="129">
        <v>4</v>
      </c>
      <c r="V2015" s="117">
        <v>1</v>
      </c>
      <c r="W2015" s="111"/>
      <c r="AC2015" s="130"/>
      <c r="AD2015" s="130">
        <v>33283</v>
      </c>
      <c r="AE2015" s="128" t="s">
        <v>32</v>
      </c>
      <c r="AF2015" s="128" t="s">
        <v>33</v>
      </c>
      <c r="AG2015" s="128" t="s">
        <v>872</v>
      </c>
      <c r="AH2015" s="108" t="s">
        <v>31</v>
      </c>
      <c r="AI2015" s="128" t="s">
        <v>72</v>
      </c>
      <c r="AJ2015" s="129" t="s">
        <v>89</v>
      </c>
      <c r="AK2015" s="129">
        <v>2</v>
      </c>
      <c r="AL2015" s="3" t="s">
        <v>992</v>
      </c>
      <c r="AN2015" s="117">
        <v>6</v>
      </c>
      <c r="AP2015" s="129" t="s">
        <v>43</v>
      </c>
      <c r="AR2015" s="128" t="s">
        <v>44</v>
      </c>
      <c r="AS2015" s="129" t="s">
        <v>45</v>
      </c>
      <c r="BC2015" s="129" t="s">
        <v>38</v>
      </c>
      <c r="BF2015" s="111">
        <f t="shared" si="1510"/>
        <v>40</v>
      </c>
      <c r="BG2015" s="111">
        <f t="shared" si="1484"/>
        <v>40</v>
      </c>
      <c r="BH2015" s="111">
        <f t="shared" si="1478"/>
        <v>40</v>
      </c>
      <c r="BI2015" s="111">
        <f t="shared" si="1479"/>
        <v>21.142076502732241</v>
      </c>
      <c r="BJ2015" s="129">
        <f t="shared" si="1485"/>
        <v>0</v>
      </c>
      <c r="BK2015" s="129">
        <f t="shared" si="1480"/>
        <v>0</v>
      </c>
      <c r="BL2015" s="129" t="str">
        <f t="shared" si="1511"/>
        <v>CONVICTION</v>
      </c>
      <c r="BM2015" s="129" t="str">
        <f t="shared" si="1486"/>
        <v>NONE</v>
      </c>
      <c r="BN2015" s="129" t="s">
        <v>566</v>
      </c>
      <c r="BP2015" s="137" t="str">
        <f t="shared" si="1487"/>
        <v>CONVICTION</v>
      </c>
      <c r="BQ2015" s="128" t="str">
        <f t="shared" si="1488"/>
        <v>Y</v>
      </c>
      <c r="BR2015" s="129" t="str">
        <f t="shared" si="1489"/>
        <v>DETAINED</v>
      </c>
      <c r="BS2015" s="129" t="str">
        <f t="shared" si="1490"/>
        <v>DISPOSED</v>
      </c>
      <c r="BT2015" s="129" t="str">
        <f t="shared" si="1491"/>
        <v>Y</v>
      </c>
      <c r="BU2015" s="109">
        <f t="shared" si="1492"/>
        <v>1</v>
      </c>
      <c r="BV2015" s="109">
        <f t="shared" si="1493"/>
        <v>1</v>
      </c>
      <c r="BW2015" s="109">
        <f t="shared" si="1477"/>
        <v>0</v>
      </c>
      <c r="BX2015" s="111">
        <f t="shared" si="1494"/>
        <v>0</v>
      </c>
      <c r="BY2015" s="129">
        <f t="shared" si="1495"/>
        <v>-40</v>
      </c>
      <c r="BZ2015" s="111">
        <f t="shared" si="1496"/>
        <v>0</v>
      </c>
      <c r="CA2015" s="138">
        <f t="shared" si="1497"/>
        <v>40</v>
      </c>
      <c r="CB2015" s="111" t="e">
        <f t="shared" si="1512"/>
        <v>#VALUE!</v>
      </c>
      <c r="CC2015" s="129">
        <f>G2015-I2015+1</f>
        <v>40</v>
      </c>
      <c r="CD2015" s="129">
        <f>G2015-J2015</f>
        <v>0</v>
      </c>
      <c r="CG2015" s="129" t="str">
        <f t="shared" si="1498"/>
        <v>Y</v>
      </c>
      <c r="CI2015" s="129" t="str">
        <f t="shared" si="1499"/>
        <v>31-60 DAYS</v>
      </c>
      <c r="CJ2015" s="137">
        <f t="shared" si="1500"/>
        <v>3</v>
      </c>
      <c r="CK2015" s="129" t="str">
        <f t="shared" si="1501"/>
        <v>Booked</v>
      </c>
    </row>
    <row r="2016" spans="1:89" ht="15.75" customHeight="1" x14ac:dyDescent="0.25">
      <c r="A2016" s="111">
        <v>312</v>
      </c>
      <c r="B2016" s="128" t="str">
        <f t="shared" si="1481"/>
        <v>N</v>
      </c>
      <c r="C2016" s="128" t="str">
        <f t="shared" si="1482"/>
        <v>N</v>
      </c>
      <c r="D2016" s="117">
        <v>2382302</v>
      </c>
      <c r="E2016" s="135">
        <f t="shared" si="1483"/>
        <v>6</v>
      </c>
      <c r="F2016" s="124">
        <v>40921</v>
      </c>
      <c r="G2016" s="124">
        <v>41383</v>
      </c>
      <c r="H2016" s="117">
        <v>2382302</v>
      </c>
      <c r="I2016" s="124">
        <v>40921</v>
      </c>
      <c r="J2016" s="124">
        <v>41179</v>
      </c>
      <c r="K2016" s="126">
        <v>7500</v>
      </c>
      <c r="L2016" s="127" t="s">
        <v>570</v>
      </c>
      <c r="M2016" s="124">
        <v>41179</v>
      </c>
      <c r="N2016" s="129" t="str">
        <f>IF(M2016&gt;1/1/1,"Y","N")</f>
        <v>Y</v>
      </c>
      <c r="O2016" s="128" t="s">
        <v>76</v>
      </c>
      <c r="P2016" s="129" t="s">
        <v>39</v>
      </c>
      <c r="Q2016" s="111">
        <f t="shared" si="1509"/>
        <v>259</v>
      </c>
      <c r="R2016" s="111">
        <f t="shared" si="1508"/>
        <v>463</v>
      </c>
      <c r="S2016" s="129">
        <v>2</v>
      </c>
      <c r="T2016" s="129">
        <v>0</v>
      </c>
      <c r="U2016" s="129">
        <v>2</v>
      </c>
      <c r="W2016" s="111"/>
      <c r="AB2016" s="131" t="s">
        <v>112</v>
      </c>
      <c r="AC2016" s="130"/>
      <c r="AD2016" s="130">
        <v>29770</v>
      </c>
      <c r="AE2016" s="128" t="s">
        <v>32</v>
      </c>
      <c r="AF2016" s="128" t="s">
        <v>40</v>
      </c>
      <c r="AG2016" s="128" t="s">
        <v>41</v>
      </c>
      <c r="AH2016" s="108" t="s">
        <v>31</v>
      </c>
      <c r="AI2016" s="128" t="s">
        <v>62</v>
      </c>
      <c r="AJ2016" s="129" t="s">
        <v>89</v>
      </c>
      <c r="AK2016" s="129">
        <v>17</v>
      </c>
      <c r="AL2016" s="3" t="s">
        <v>362</v>
      </c>
      <c r="AM2016" s="117">
        <v>8</v>
      </c>
      <c r="AP2016" s="129" t="s">
        <v>191</v>
      </c>
      <c r="AR2016" s="128" t="s">
        <v>50</v>
      </c>
      <c r="AS2016" s="129" t="s">
        <v>82</v>
      </c>
      <c r="AT2016" s="129" t="s">
        <v>944</v>
      </c>
      <c r="BC2016" s="129" t="s">
        <v>38</v>
      </c>
      <c r="BF2016" s="111">
        <f t="shared" si="1510"/>
        <v>259</v>
      </c>
      <c r="BG2016" s="111">
        <f t="shared" si="1484"/>
        <v>463</v>
      </c>
      <c r="BH2016" s="111">
        <f t="shared" si="1478"/>
        <v>463</v>
      </c>
      <c r="BI2016" s="111">
        <f t="shared" si="1479"/>
        <v>30.467213114754099</v>
      </c>
      <c r="BJ2016" s="129">
        <f>(G2016-J2016)+(M2016-G2016)</f>
        <v>0</v>
      </c>
      <c r="BK2016" s="129">
        <f t="shared" si="1480"/>
        <v>-204</v>
      </c>
      <c r="BL2016" s="129" t="str">
        <f t="shared" si="1511"/>
        <v>CONVICTION</v>
      </c>
      <c r="BM2016" s="129" t="s">
        <v>76</v>
      </c>
      <c r="BN2016" s="129" t="s">
        <v>566</v>
      </c>
      <c r="BP2016" s="137" t="str">
        <f t="shared" si="1487"/>
        <v>CONVICTION</v>
      </c>
      <c r="BQ2016" s="128" t="str">
        <f t="shared" si="1488"/>
        <v>Y</v>
      </c>
      <c r="BR2016" s="129" t="str">
        <f>IF(J2016&lt;G2016,"ON BOND",0)</f>
        <v>ON BOND</v>
      </c>
      <c r="BS2016" s="129" t="str">
        <f t="shared" si="1490"/>
        <v>DISPOSED</v>
      </c>
      <c r="BT2016" s="129" t="str">
        <f t="shared" si="1491"/>
        <v>Y</v>
      </c>
      <c r="BU2016" s="109">
        <f t="shared" si="1492"/>
        <v>0.55939524838012955</v>
      </c>
      <c r="BV2016" s="109">
        <f t="shared" si="1493"/>
        <v>0.55939524838012955</v>
      </c>
      <c r="BW2016" s="109">
        <f t="shared" si="1477"/>
        <v>0</v>
      </c>
      <c r="BX2016" s="111">
        <f t="shared" si="1494"/>
        <v>0</v>
      </c>
      <c r="BY2016" s="129">
        <f t="shared" si="1495"/>
        <v>-259</v>
      </c>
      <c r="BZ2016" s="111">
        <f t="shared" si="1496"/>
        <v>0</v>
      </c>
      <c r="CA2016" s="138">
        <f t="shared" si="1497"/>
        <v>259</v>
      </c>
      <c r="CB2016" s="111" t="e">
        <f t="shared" si="1512"/>
        <v>#VALUE!</v>
      </c>
      <c r="CC2016" s="129">
        <f>M2016-I2016+1</f>
        <v>259</v>
      </c>
      <c r="CD2016" s="111">
        <f>CC2016-BF2016</f>
        <v>0</v>
      </c>
      <c r="CG2016" s="129" t="str">
        <f t="shared" si="1498"/>
        <v>Y</v>
      </c>
      <c r="CI2016" s="129" t="str">
        <f t="shared" si="1499"/>
        <v>121-365 DAYS</v>
      </c>
      <c r="CJ2016" s="137">
        <f t="shared" si="1500"/>
        <v>6</v>
      </c>
      <c r="CK2016" s="129" t="str">
        <f t="shared" si="1501"/>
        <v>Booked</v>
      </c>
    </row>
    <row r="2017" spans="1:89" ht="15" customHeight="1" x14ac:dyDescent="0.25">
      <c r="A2017" s="111">
        <v>169</v>
      </c>
      <c r="B2017" s="128" t="str">
        <f t="shared" si="1481"/>
        <v>N</v>
      </c>
      <c r="C2017" s="128" t="str">
        <f t="shared" si="1482"/>
        <v>N</v>
      </c>
      <c r="D2017" s="117">
        <v>2382417</v>
      </c>
      <c r="E2017" s="135">
        <f t="shared" si="1483"/>
        <v>2</v>
      </c>
      <c r="F2017" s="124">
        <v>40916</v>
      </c>
      <c r="G2017" s="125">
        <v>40918</v>
      </c>
      <c r="H2017" s="117">
        <v>2382417</v>
      </c>
      <c r="I2017" s="124" t="s">
        <v>562</v>
      </c>
      <c r="J2017" s="124" t="s">
        <v>562</v>
      </c>
      <c r="K2017" s="126">
        <v>2000</v>
      </c>
      <c r="L2017" s="127" t="s">
        <v>568</v>
      </c>
      <c r="M2017" s="125">
        <v>40916</v>
      </c>
      <c r="N2017" s="129" t="str">
        <f>IF(M2017&gt;1/1/1,"Y",IF(Q2017="0","","N"))</f>
        <v>Y</v>
      </c>
      <c r="O2017" s="112" t="s">
        <v>160</v>
      </c>
      <c r="P2017" s="129" t="s">
        <v>589</v>
      </c>
      <c r="Q2017" s="111">
        <f t="shared" si="1509"/>
        <v>0</v>
      </c>
      <c r="R2017" s="111">
        <f t="shared" si="1508"/>
        <v>3</v>
      </c>
      <c r="S2017" s="129">
        <v>0</v>
      </c>
      <c r="T2017" s="129">
        <v>1</v>
      </c>
      <c r="W2017" s="111"/>
      <c r="AC2017" s="130"/>
      <c r="AD2017" s="130">
        <v>28152</v>
      </c>
      <c r="AE2017" s="128" t="s">
        <v>46</v>
      </c>
      <c r="AF2017" s="128" t="s">
        <v>69</v>
      </c>
      <c r="AG2017" s="128" t="s">
        <v>874</v>
      </c>
      <c r="AH2017" s="108" t="s">
        <v>31</v>
      </c>
      <c r="AI2017" s="128" t="s">
        <v>72</v>
      </c>
      <c r="AJ2017" s="129" t="s">
        <v>48</v>
      </c>
      <c r="AK2017" s="129">
        <v>2</v>
      </c>
      <c r="AL2017" s="3" t="s">
        <v>48</v>
      </c>
      <c r="AP2017" s="129" t="s">
        <v>43</v>
      </c>
      <c r="AR2017" s="128" t="s">
        <v>44</v>
      </c>
      <c r="AS2017" s="129" t="s">
        <v>45</v>
      </c>
      <c r="AT2017" s="32" t="s">
        <v>161</v>
      </c>
      <c r="AZ2017" s="140"/>
      <c r="BC2017" s="129" t="s">
        <v>38</v>
      </c>
      <c r="BD2017" s="32"/>
      <c r="BF2017" s="111">
        <v>0</v>
      </c>
      <c r="BG2017" s="111">
        <v>0</v>
      </c>
      <c r="BH2017" s="111">
        <f t="shared" si="1478"/>
        <v>3</v>
      </c>
      <c r="BI2017" s="111">
        <f t="shared" si="1479"/>
        <v>34.874316939890711</v>
      </c>
      <c r="BJ2017" s="129" t="e">
        <f>(G2017-J2017)+(M2017-G2017)</f>
        <v>#VALUE!</v>
      </c>
      <c r="BK2017" s="129" t="e">
        <f t="shared" si="1480"/>
        <v>#VALUE!</v>
      </c>
      <c r="BL2017" s="129" t="str">
        <f t="shared" si="1511"/>
        <v>DEFERRED</v>
      </c>
      <c r="BM2017" s="129" t="s">
        <v>160</v>
      </c>
      <c r="BN2017" s="129" t="s">
        <v>88</v>
      </c>
      <c r="BP2017" s="137" t="str">
        <f t="shared" si="1487"/>
        <v>DEFERRED</v>
      </c>
      <c r="BQ2017" s="128">
        <f t="shared" si="1488"/>
        <v>0</v>
      </c>
      <c r="BR2017" s="129" t="s">
        <v>575</v>
      </c>
      <c r="BS2017" s="129" t="str">
        <f t="shared" si="1490"/>
        <v>DISPOSED</v>
      </c>
      <c r="BT2017" s="129" t="str">
        <f t="shared" si="1491"/>
        <v>N</v>
      </c>
      <c r="BU2017" s="109">
        <f t="shared" si="1492"/>
        <v>0</v>
      </c>
      <c r="BV2017" s="109">
        <v>0</v>
      </c>
      <c r="BW2017" s="109">
        <f t="shared" si="1477"/>
        <v>0</v>
      </c>
      <c r="BX2017" s="111">
        <f t="shared" si="1494"/>
        <v>0</v>
      </c>
      <c r="BY2017" s="129" t="e">
        <f t="shared" si="1495"/>
        <v>#VALUE!</v>
      </c>
      <c r="BZ2017" s="111" t="e">
        <f t="shared" si="1496"/>
        <v>#VALUE!</v>
      </c>
      <c r="CA2017" s="138" t="e">
        <f t="shared" si="1497"/>
        <v>#VALUE!</v>
      </c>
      <c r="CB2017" s="111">
        <v>0</v>
      </c>
      <c r="CC2017" s="129">
        <v>0</v>
      </c>
      <c r="CD2017" s="111">
        <f>CC2017-BF2017</f>
        <v>0</v>
      </c>
      <c r="CG2017" s="129" t="str">
        <f t="shared" si="1498"/>
        <v>Y</v>
      </c>
      <c r="CI2017" s="129" t="str">
        <f t="shared" si="1499"/>
        <v>0-10 DAYS</v>
      </c>
      <c r="CJ2017" s="137">
        <f t="shared" si="1500"/>
        <v>1</v>
      </c>
      <c r="CK2017" s="129" t="str">
        <f t="shared" si="1501"/>
        <v>Not Booked</v>
      </c>
    </row>
    <row r="2018" spans="1:89" ht="15" customHeight="1" x14ac:dyDescent="0.25">
      <c r="A2018" s="111">
        <v>92</v>
      </c>
      <c r="B2018" s="128" t="str">
        <f t="shared" si="1481"/>
        <v>N</v>
      </c>
      <c r="C2018" s="128" t="str">
        <f t="shared" si="1482"/>
        <v>N</v>
      </c>
      <c r="D2018" s="117">
        <v>2383795</v>
      </c>
      <c r="E2018" s="135">
        <f t="shared" si="1483"/>
        <v>6</v>
      </c>
      <c r="F2018" s="124">
        <v>40913</v>
      </c>
      <c r="G2018" s="125">
        <v>41037</v>
      </c>
      <c r="H2018" s="117">
        <v>2383795</v>
      </c>
      <c r="I2018" s="124">
        <v>40914</v>
      </c>
      <c r="J2018" s="124">
        <f>G2018</f>
        <v>41037</v>
      </c>
      <c r="K2018" s="126" t="s">
        <v>564</v>
      </c>
      <c r="L2018" s="127" t="s">
        <v>564</v>
      </c>
      <c r="N2018" s="129" t="s">
        <v>566</v>
      </c>
      <c r="O2018" s="128" t="s">
        <v>917</v>
      </c>
      <c r="P2018" s="129" t="s">
        <v>39</v>
      </c>
      <c r="Q2018" s="111">
        <f t="shared" si="1509"/>
        <v>124</v>
      </c>
      <c r="R2018" s="111">
        <f t="shared" si="1508"/>
        <v>125</v>
      </c>
      <c r="S2018" s="129">
        <v>0</v>
      </c>
      <c r="T2018" s="129">
        <v>2</v>
      </c>
      <c r="W2018" s="111"/>
      <c r="AC2018" s="130"/>
      <c r="AD2018" s="130">
        <v>33509</v>
      </c>
      <c r="AE2018" s="128" t="s">
        <v>32</v>
      </c>
      <c r="AF2018" s="128" t="s">
        <v>40</v>
      </c>
      <c r="AG2018" s="128" t="s">
        <v>41</v>
      </c>
      <c r="AH2018" s="108" t="s">
        <v>41</v>
      </c>
      <c r="AI2018" s="128" t="s">
        <v>72</v>
      </c>
      <c r="AJ2018" s="129" t="s">
        <v>89</v>
      </c>
      <c r="AK2018" s="129">
        <v>5</v>
      </c>
      <c r="AL2018" s="3" t="s">
        <v>362</v>
      </c>
      <c r="AM2018" s="117">
        <v>5</v>
      </c>
      <c r="AP2018" s="129" t="s">
        <v>84</v>
      </c>
      <c r="AR2018" s="128" t="s">
        <v>67</v>
      </c>
      <c r="AS2018" s="129" t="s">
        <v>74</v>
      </c>
      <c r="BC2018" s="129" t="s">
        <v>38</v>
      </c>
      <c r="BF2018" s="111">
        <f t="shared" ref="BF2018:BF2033" si="1513">IF(J2018&gt;1/1/1900,((J2018+1)-I2018),"STILL OPEN")</f>
        <v>124</v>
      </c>
      <c r="BG2018" s="111">
        <f t="shared" ref="BG2018:BG2033" si="1514">IF(G2018&gt;1/1/1900,((G2018+1)-I2018),"STILL OPEN")</f>
        <v>124</v>
      </c>
      <c r="BH2018" s="111">
        <f t="shared" si="1478"/>
        <v>125</v>
      </c>
      <c r="BI2018" s="111">
        <f t="shared" si="1479"/>
        <v>20.229508196721312</v>
      </c>
      <c r="BJ2018" s="129">
        <f t="shared" si="1485"/>
        <v>0</v>
      </c>
      <c r="BK2018" s="129">
        <f t="shared" si="1480"/>
        <v>0</v>
      </c>
      <c r="BL2018" s="129" t="str">
        <f t="shared" si="1511"/>
        <v>CONVICTION</v>
      </c>
      <c r="BM2018" s="129" t="str">
        <f t="shared" si="1486"/>
        <v>NONE</v>
      </c>
      <c r="BN2018" s="129" t="s">
        <v>566</v>
      </c>
      <c r="BP2018" s="137" t="str">
        <f t="shared" si="1487"/>
        <v>CONVICTION</v>
      </c>
      <c r="BQ2018" s="128" t="str">
        <f t="shared" si="1488"/>
        <v>Y</v>
      </c>
      <c r="BR2018" s="129" t="str">
        <f t="shared" si="1489"/>
        <v>DETAINED</v>
      </c>
      <c r="BS2018" s="129" t="str">
        <f t="shared" si="1490"/>
        <v>DISPOSED</v>
      </c>
      <c r="BT2018" s="129" t="str">
        <f t="shared" si="1491"/>
        <v>N</v>
      </c>
      <c r="BU2018" s="109">
        <f t="shared" si="1492"/>
        <v>0.99199999999999999</v>
      </c>
      <c r="BV2018" s="109">
        <f t="shared" si="1493"/>
        <v>1</v>
      </c>
      <c r="BW2018" s="109">
        <f t="shared" si="1477"/>
        <v>8.0000000000000071E-3</v>
      </c>
      <c r="BX2018" s="111">
        <f t="shared" si="1494"/>
        <v>0</v>
      </c>
      <c r="BY2018" s="129">
        <f t="shared" si="1495"/>
        <v>-124</v>
      </c>
      <c r="BZ2018" s="111">
        <f t="shared" si="1496"/>
        <v>0</v>
      </c>
      <c r="CA2018" s="138">
        <f t="shared" si="1497"/>
        <v>124</v>
      </c>
      <c r="CB2018" s="111" t="e">
        <f t="shared" ref="CB2018:CB2033" si="1515">IF(AF2018&gt;1/1/1900,((AF2018+1)-AE2018),"STILL OPEN")</f>
        <v>#VALUE!</v>
      </c>
      <c r="CC2018" s="129">
        <f t="shared" ref="CC2018:CC2024" si="1516">G2018-I2018+1</f>
        <v>124</v>
      </c>
      <c r="CD2018" s="129">
        <f t="shared" ref="CD2018:CD2024" si="1517">G2018-J2018</f>
        <v>0</v>
      </c>
      <c r="CG2018" s="129" t="str">
        <f t="shared" si="1498"/>
        <v>Y</v>
      </c>
      <c r="CI2018" s="129" t="str">
        <f t="shared" si="1499"/>
        <v>121-365 DAYS</v>
      </c>
      <c r="CJ2018" s="137">
        <f t="shared" si="1500"/>
        <v>6</v>
      </c>
      <c r="CK2018" s="129" t="str">
        <f t="shared" si="1501"/>
        <v>Booked</v>
      </c>
    </row>
    <row r="2019" spans="1:89" ht="15.75" customHeight="1" x14ac:dyDescent="0.25">
      <c r="A2019" s="111">
        <v>2995</v>
      </c>
      <c r="B2019" s="128" t="str">
        <f t="shared" si="1481"/>
        <v>N</v>
      </c>
      <c r="C2019" s="128" t="str">
        <f t="shared" si="1482"/>
        <v>N</v>
      </c>
      <c r="D2019" s="117">
        <v>2384156</v>
      </c>
      <c r="E2019" s="135">
        <f t="shared" si="1483"/>
        <v>6</v>
      </c>
      <c r="F2019" s="124">
        <v>41019</v>
      </c>
      <c r="G2019" s="125">
        <v>41172</v>
      </c>
      <c r="H2019" s="117">
        <v>2384156</v>
      </c>
      <c r="I2019" s="124">
        <v>41124</v>
      </c>
      <c r="J2019" s="124">
        <v>41172</v>
      </c>
      <c r="K2019" s="126">
        <v>10000</v>
      </c>
      <c r="L2019" s="127" t="s">
        <v>570</v>
      </c>
      <c r="N2019" s="129" t="str">
        <f>IF(M2019&gt;1/1/1,"Y","N")</f>
        <v>N</v>
      </c>
      <c r="O2019" s="128" t="s">
        <v>917</v>
      </c>
      <c r="P2019" s="129" t="s">
        <v>39</v>
      </c>
      <c r="Q2019" s="111">
        <f t="shared" si="1509"/>
        <v>49</v>
      </c>
      <c r="R2019" s="111">
        <f t="shared" si="1508"/>
        <v>154</v>
      </c>
      <c r="S2019" s="129">
        <v>1</v>
      </c>
      <c r="T2019" s="129">
        <v>1</v>
      </c>
      <c r="U2019" s="129">
        <v>1</v>
      </c>
      <c r="W2019" s="111"/>
      <c r="AC2019" s="130"/>
      <c r="AD2019" s="130">
        <v>23584</v>
      </c>
      <c r="AE2019" s="128" t="s">
        <v>32</v>
      </c>
      <c r="AF2019" s="128" t="s">
        <v>33</v>
      </c>
      <c r="AG2019" s="128" t="s">
        <v>872</v>
      </c>
      <c r="AH2019" s="108" t="s">
        <v>31</v>
      </c>
      <c r="AI2019" s="128" t="s">
        <v>100</v>
      </c>
      <c r="AJ2019" s="129" t="s">
        <v>89</v>
      </c>
      <c r="AK2019" s="129">
        <v>3</v>
      </c>
      <c r="AL2019" s="3" t="s">
        <v>362</v>
      </c>
      <c r="AM2019" s="117">
        <v>2</v>
      </c>
      <c r="AP2019" s="129" t="s">
        <v>170</v>
      </c>
      <c r="AR2019" s="128" t="s">
        <v>67</v>
      </c>
      <c r="AS2019" s="129" t="s">
        <v>64</v>
      </c>
      <c r="BC2019" s="129" t="s">
        <v>99</v>
      </c>
      <c r="BF2019" s="111">
        <f t="shared" si="1513"/>
        <v>49</v>
      </c>
      <c r="BG2019" s="111">
        <f t="shared" si="1514"/>
        <v>49</v>
      </c>
      <c r="BH2019" s="111">
        <f t="shared" si="1478"/>
        <v>154</v>
      </c>
      <c r="BI2019" s="111">
        <f t="shared" si="1479"/>
        <v>47.636612021857921</v>
      </c>
      <c r="BJ2019" s="129">
        <f t="shared" si="1485"/>
        <v>0</v>
      </c>
      <c r="BK2019" s="129">
        <f t="shared" si="1480"/>
        <v>0</v>
      </c>
      <c r="BL2019" s="129" t="str">
        <f t="shared" si="1511"/>
        <v>CONVICTION</v>
      </c>
      <c r="BM2019" s="129" t="str">
        <f t="shared" si="1486"/>
        <v>NONE</v>
      </c>
      <c r="BN2019" s="129" t="s">
        <v>566</v>
      </c>
      <c r="BP2019" s="137" t="str">
        <f t="shared" si="1487"/>
        <v>CONVICTION</v>
      </c>
      <c r="BQ2019" s="128" t="str">
        <f t="shared" si="1488"/>
        <v>Y</v>
      </c>
      <c r="BR2019" s="129" t="str">
        <f t="shared" si="1489"/>
        <v>DETAINED</v>
      </c>
      <c r="BS2019" s="129" t="str">
        <f t="shared" si="1490"/>
        <v>DISPOSED</v>
      </c>
      <c r="BT2019" s="129" t="str">
        <f t="shared" si="1491"/>
        <v>Y</v>
      </c>
      <c r="BU2019" s="109">
        <f t="shared" si="1492"/>
        <v>0.31818181818181818</v>
      </c>
      <c r="BV2019" s="109">
        <f t="shared" si="1493"/>
        <v>1</v>
      </c>
      <c r="BW2019" s="109">
        <f t="shared" si="1477"/>
        <v>0.68181818181818188</v>
      </c>
      <c r="BX2019" s="111">
        <f t="shared" si="1494"/>
        <v>0</v>
      </c>
      <c r="BY2019" s="129">
        <f t="shared" si="1495"/>
        <v>-49</v>
      </c>
      <c r="BZ2019" s="111">
        <f t="shared" si="1496"/>
        <v>0</v>
      </c>
      <c r="CA2019" s="138">
        <f t="shared" si="1497"/>
        <v>49</v>
      </c>
      <c r="CB2019" s="111" t="e">
        <f t="shared" si="1515"/>
        <v>#VALUE!</v>
      </c>
      <c r="CC2019" s="129">
        <f t="shared" si="1516"/>
        <v>49</v>
      </c>
      <c r="CD2019" s="129">
        <f t="shared" si="1517"/>
        <v>0</v>
      </c>
      <c r="CG2019" s="129" t="str">
        <f t="shared" si="1498"/>
        <v>Y</v>
      </c>
      <c r="CI2019" s="129" t="str">
        <f t="shared" si="1499"/>
        <v>31-60 DAYS</v>
      </c>
      <c r="CJ2019" s="137">
        <f t="shared" si="1500"/>
        <v>3</v>
      </c>
      <c r="CK2019" s="129" t="str">
        <f t="shared" si="1501"/>
        <v>Booked</v>
      </c>
    </row>
    <row r="2020" spans="1:89" ht="15" customHeight="1" x14ac:dyDescent="0.25">
      <c r="A2020" s="111">
        <v>2097</v>
      </c>
      <c r="B2020" s="128" t="str">
        <f t="shared" si="1481"/>
        <v>N</v>
      </c>
      <c r="C2020" s="128" t="str">
        <f t="shared" si="1482"/>
        <v>N</v>
      </c>
      <c r="D2020" s="117">
        <v>2384393</v>
      </c>
      <c r="E2020" s="135">
        <f t="shared" si="1483"/>
        <v>6</v>
      </c>
      <c r="F2020" s="124">
        <v>40987</v>
      </c>
      <c r="G2020" s="125">
        <v>40990</v>
      </c>
      <c r="H2020" s="117">
        <v>2384393</v>
      </c>
      <c r="I2020" s="124">
        <v>40988</v>
      </c>
      <c r="J2020" s="124">
        <v>40990</v>
      </c>
      <c r="K2020" s="126">
        <v>30000</v>
      </c>
      <c r="L2020" s="129" t="s">
        <v>572</v>
      </c>
      <c r="N2020" s="129" t="str">
        <f>IF(M2020&gt;1/1/1,"Y","N")</f>
        <v>N</v>
      </c>
      <c r="O2020" s="128" t="s">
        <v>917</v>
      </c>
      <c r="P2020" s="129" t="s">
        <v>39</v>
      </c>
      <c r="Q2020" s="111">
        <f t="shared" si="1509"/>
        <v>3</v>
      </c>
      <c r="R2020" s="111">
        <f t="shared" si="1508"/>
        <v>4</v>
      </c>
      <c r="S2020" s="129">
        <v>1</v>
      </c>
      <c r="T2020" s="129">
        <v>1</v>
      </c>
      <c r="U2020" s="129">
        <v>1</v>
      </c>
      <c r="W2020" s="111"/>
      <c r="AC2020" s="130"/>
      <c r="AD2020" s="130">
        <v>32566</v>
      </c>
      <c r="AE2020" s="128" t="s">
        <v>32</v>
      </c>
      <c r="AF2020" s="128" t="s">
        <v>33</v>
      </c>
      <c r="AG2020" s="128" t="s">
        <v>872</v>
      </c>
      <c r="AH2020" s="108" t="s">
        <v>31</v>
      </c>
      <c r="AI2020" s="128" t="s">
        <v>70</v>
      </c>
      <c r="AJ2020" s="129" t="s">
        <v>89</v>
      </c>
      <c r="AK2020" s="129">
        <v>2</v>
      </c>
      <c r="AL2020" s="3" t="s">
        <v>362</v>
      </c>
      <c r="AM2020" s="117">
        <v>2</v>
      </c>
      <c r="AP2020" s="129" t="s">
        <v>101</v>
      </c>
      <c r="AR2020" s="128" t="s">
        <v>67</v>
      </c>
      <c r="AS2020" s="129" t="s">
        <v>64</v>
      </c>
      <c r="BC2020" s="129" t="s">
        <v>38</v>
      </c>
      <c r="BF2020" s="111">
        <f t="shared" si="1513"/>
        <v>3</v>
      </c>
      <c r="BG2020" s="111">
        <f t="shared" si="1514"/>
        <v>3</v>
      </c>
      <c r="BH2020" s="111">
        <f t="shared" si="1478"/>
        <v>4</v>
      </c>
      <c r="BI2020" s="111">
        <f t="shared" si="1479"/>
        <v>23.008196721311474</v>
      </c>
      <c r="BJ2020" s="129">
        <f t="shared" si="1485"/>
        <v>0</v>
      </c>
      <c r="BK2020" s="129">
        <f t="shared" si="1480"/>
        <v>0</v>
      </c>
      <c r="BL2020" s="129" t="str">
        <f t="shared" si="1511"/>
        <v>CONVICTION</v>
      </c>
      <c r="BM2020" s="129" t="str">
        <f t="shared" si="1486"/>
        <v>NONE</v>
      </c>
      <c r="BN2020" s="129" t="s">
        <v>566</v>
      </c>
      <c r="BP2020" s="137" t="str">
        <f t="shared" si="1487"/>
        <v>CONVICTION</v>
      </c>
      <c r="BQ2020" s="128" t="str">
        <f t="shared" si="1488"/>
        <v>Y</v>
      </c>
      <c r="BR2020" s="129" t="str">
        <f t="shared" si="1489"/>
        <v>DETAINED</v>
      </c>
      <c r="BS2020" s="129" t="str">
        <f t="shared" si="1490"/>
        <v>DISPOSED</v>
      </c>
      <c r="BT2020" s="129" t="str">
        <f t="shared" si="1491"/>
        <v>Y</v>
      </c>
      <c r="BU2020" s="109">
        <f t="shared" si="1492"/>
        <v>0.75</v>
      </c>
      <c r="BV2020" s="109">
        <f t="shared" si="1493"/>
        <v>1</v>
      </c>
      <c r="BW2020" s="109">
        <f t="shared" si="1477"/>
        <v>0.25</v>
      </c>
      <c r="BX2020" s="111">
        <f t="shared" si="1494"/>
        <v>0</v>
      </c>
      <c r="BY2020" s="129">
        <f t="shared" si="1495"/>
        <v>-3</v>
      </c>
      <c r="BZ2020" s="111">
        <f t="shared" si="1496"/>
        <v>0</v>
      </c>
      <c r="CA2020" s="138">
        <f t="shared" si="1497"/>
        <v>3</v>
      </c>
      <c r="CB2020" s="111" t="e">
        <f t="shared" si="1515"/>
        <v>#VALUE!</v>
      </c>
      <c r="CC2020" s="129">
        <f t="shared" si="1516"/>
        <v>3</v>
      </c>
      <c r="CD2020" s="129">
        <f t="shared" si="1517"/>
        <v>0</v>
      </c>
      <c r="CG2020" s="129" t="str">
        <f t="shared" si="1498"/>
        <v>Y</v>
      </c>
      <c r="CI2020" s="129" t="str">
        <f t="shared" si="1499"/>
        <v>0-10 DAYS</v>
      </c>
      <c r="CJ2020" s="137">
        <f t="shared" si="1500"/>
        <v>1</v>
      </c>
      <c r="CK2020" s="129" t="str">
        <f t="shared" si="1501"/>
        <v>Booked</v>
      </c>
    </row>
    <row r="2021" spans="1:89" ht="15.75" customHeight="1" x14ac:dyDescent="0.25">
      <c r="A2021" s="111">
        <v>679</v>
      </c>
      <c r="B2021" s="128" t="str">
        <f t="shared" si="1481"/>
        <v>N</v>
      </c>
      <c r="C2021" s="128" t="str">
        <f t="shared" si="1482"/>
        <v>N</v>
      </c>
      <c r="D2021" s="117">
        <v>2384768</v>
      </c>
      <c r="E2021" s="135">
        <f t="shared" si="1483"/>
        <v>6</v>
      </c>
      <c r="F2021" s="124">
        <v>40935</v>
      </c>
      <c r="G2021" s="125">
        <v>40969</v>
      </c>
      <c r="H2021" s="117">
        <v>2384768</v>
      </c>
      <c r="I2021" s="124">
        <v>40936</v>
      </c>
      <c r="J2021" s="124">
        <v>40969</v>
      </c>
      <c r="K2021" s="126">
        <v>20000</v>
      </c>
      <c r="L2021" s="127" t="s">
        <v>571</v>
      </c>
      <c r="N2021" s="129" t="str">
        <f>IF(M2021&gt;1/1/1,"Y","N")</f>
        <v>N</v>
      </c>
      <c r="O2021" s="128" t="s">
        <v>917</v>
      </c>
      <c r="P2021" s="129" t="s">
        <v>39</v>
      </c>
      <c r="Q2021" s="111">
        <f t="shared" si="1509"/>
        <v>34</v>
      </c>
      <c r="R2021" s="111">
        <f t="shared" si="1508"/>
        <v>35</v>
      </c>
      <c r="S2021" s="129">
        <v>2</v>
      </c>
      <c r="T2021" s="129">
        <v>3</v>
      </c>
      <c r="W2021" s="111"/>
      <c r="AC2021" s="130"/>
      <c r="AD2021" s="130">
        <v>32955</v>
      </c>
      <c r="AE2021" s="128" t="s">
        <v>32</v>
      </c>
      <c r="AF2021" s="128" t="s">
        <v>33</v>
      </c>
      <c r="AG2021" s="128" t="s">
        <v>872</v>
      </c>
      <c r="AH2021" s="108" t="s">
        <v>31</v>
      </c>
      <c r="AI2021" s="128" t="s">
        <v>71</v>
      </c>
      <c r="AJ2021" s="129" t="s">
        <v>89</v>
      </c>
      <c r="AK2021" s="129">
        <v>2</v>
      </c>
      <c r="AL2021" s="3" t="s">
        <v>362</v>
      </c>
      <c r="AM2021" s="117">
        <v>2</v>
      </c>
      <c r="AP2021" s="129" t="s">
        <v>186</v>
      </c>
      <c r="AR2021" s="128" t="s">
        <v>50</v>
      </c>
      <c r="AS2021" s="129" t="s">
        <v>106</v>
      </c>
      <c r="BC2021" s="129" t="s">
        <v>38</v>
      </c>
      <c r="BF2021" s="111">
        <f t="shared" si="1513"/>
        <v>34</v>
      </c>
      <c r="BG2021" s="111">
        <f t="shared" si="1514"/>
        <v>34</v>
      </c>
      <c r="BH2021" s="111">
        <f t="shared" si="1478"/>
        <v>35</v>
      </c>
      <c r="BI2021" s="111">
        <f t="shared" si="1479"/>
        <v>21.803278688524589</v>
      </c>
      <c r="BJ2021" s="129">
        <f t="shared" si="1485"/>
        <v>0</v>
      </c>
      <c r="BK2021" s="129">
        <f t="shared" si="1480"/>
        <v>0</v>
      </c>
      <c r="BL2021" s="129" t="str">
        <f t="shared" si="1511"/>
        <v>CONVICTION</v>
      </c>
      <c r="BM2021" s="129" t="str">
        <f t="shared" si="1486"/>
        <v>NONE</v>
      </c>
      <c r="BN2021" s="129" t="s">
        <v>566</v>
      </c>
      <c r="BP2021" s="137" t="str">
        <f t="shared" si="1487"/>
        <v>CONVICTION</v>
      </c>
      <c r="BQ2021" s="128" t="str">
        <f t="shared" si="1488"/>
        <v>Y</v>
      </c>
      <c r="BR2021" s="129" t="str">
        <f t="shared" si="1489"/>
        <v>DETAINED</v>
      </c>
      <c r="BS2021" s="129" t="str">
        <f t="shared" si="1490"/>
        <v>DISPOSED</v>
      </c>
      <c r="BT2021" s="129" t="str">
        <f t="shared" si="1491"/>
        <v>Y</v>
      </c>
      <c r="BU2021" s="109">
        <f t="shared" si="1492"/>
        <v>0.97142857142857142</v>
      </c>
      <c r="BV2021" s="109">
        <f t="shared" si="1493"/>
        <v>1</v>
      </c>
      <c r="BW2021" s="109">
        <f t="shared" si="1477"/>
        <v>2.8571428571428581E-2</v>
      </c>
      <c r="BX2021" s="111">
        <f t="shared" si="1494"/>
        <v>0</v>
      </c>
      <c r="BY2021" s="129">
        <f t="shared" si="1495"/>
        <v>-34</v>
      </c>
      <c r="BZ2021" s="111">
        <f t="shared" si="1496"/>
        <v>0</v>
      </c>
      <c r="CA2021" s="138">
        <f t="shared" si="1497"/>
        <v>34</v>
      </c>
      <c r="CB2021" s="111" t="e">
        <f t="shared" si="1515"/>
        <v>#VALUE!</v>
      </c>
      <c r="CC2021" s="129">
        <f t="shared" si="1516"/>
        <v>34</v>
      </c>
      <c r="CD2021" s="129">
        <f t="shared" si="1517"/>
        <v>0</v>
      </c>
      <c r="CG2021" s="129" t="str">
        <f t="shared" si="1498"/>
        <v>Y</v>
      </c>
      <c r="CI2021" s="129" t="str">
        <f t="shared" si="1499"/>
        <v>31-60 DAYS</v>
      </c>
      <c r="CJ2021" s="137">
        <f t="shared" si="1500"/>
        <v>3</v>
      </c>
      <c r="CK2021" s="129" t="str">
        <f t="shared" si="1501"/>
        <v>Booked</v>
      </c>
    </row>
    <row r="2022" spans="1:89" ht="15" customHeight="1" x14ac:dyDescent="0.25">
      <c r="A2022" s="111">
        <v>109</v>
      </c>
      <c r="B2022" s="128" t="str">
        <f t="shared" si="1481"/>
        <v>N</v>
      </c>
      <c r="C2022" s="128" t="str">
        <f t="shared" si="1482"/>
        <v>N</v>
      </c>
      <c r="D2022" s="117">
        <v>2385353</v>
      </c>
      <c r="E2022" s="135">
        <f t="shared" si="1483"/>
        <v>6</v>
      </c>
      <c r="F2022" s="124">
        <v>40913</v>
      </c>
      <c r="G2022" s="125">
        <v>41102</v>
      </c>
      <c r="H2022" s="117">
        <v>2385353</v>
      </c>
      <c r="I2022" s="124">
        <v>41026</v>
      </c>
      <c r="J2022" s="124">
        <v>41102</v>
      </c>
      <c r="K2022" s="126" t="s">
        <v>564</v>
      </c>
      <c r="L2022" s="127" t="s">
        <v>564</v>
      </c>
      <c r="N2022" s="129" t="s">
        <v>566</v>
      </c>
      <c r="O2022" s="128" t="s">
        <v>917</v>
      </c>
      <c r="P2022" s="129" t="s">
        <v>39</v>
      </c>
      <c r="Q2022" s="111">
        <f t="shared" si="1509"/>
        <v>77</v>
      </c>
      <c r="R2022" s="111">
        <f t="shared" si="1508"/>
        <v>190</v>
      </c>
      <c r="S2022" s="129">
        <v>1</v>
      </c>
      <c r="T2022" s="129">
        <v>0</v>
      </c>
      <c r="V2022" s="117">
        <v>1</v>
      </c>
      <c r="W2022" s="111"/>
      <c r="AC2022" s="130"/>
      <c r="AD2022" s="130">
        <v>33078</v>
      </c>
      <c r="AE2022" s="128" t="s">
        <v>32</v>
      </c>
      <c r="AF2022" s="128" t="s">
        <v>33</v>
      </c>
      <c r="AG2022" s="128" t="s">
        <v>872</v>
      </c>
      <c r="AH2022" s="108" t="s">
        <v>31</v>
      </c>
      <c r="AI2022" s="128" t="s">
        <v>83</v>
      </c>
      <c r="AJ2022" s="129" t="s">
        <v>89</v>
      </c>
      <c r="AK2022" s="129">
        <v>4</v>
      </c>
      <c r="AL2022" s="3" t="s">
        <v>362</v>
      </c>
      <c r="AM2022" s="117">
        <v>2</v>
      </c>
      <c r="AP2022" s="129" t="s">
        <v>56</v>
      </c>
      <c r="AR2022" s="128" t="s">
        <v>50</v>
      </c>
      <c r="AS2022" s="129" t="s">
        <v>57</v>
      </c>
      <c r="AT2022" s="129" t="s">
        <v>147</v>
      </c>
      <c r="BC2022" s="129" t="s">
        <v>38</v>
      </c>
      <c r="BF2022" s="111">
        <f t="shared" si="1513"/>
        <v>77</v>
      </c>
      <c r="BG2022" s="111">
        <f t="shared" si="1514"/>
        <v>77</v>
      </c>
      <c r="BH2022" s="111">
        <f t="shared" si="1478"/>
        <v>190</v>
      </c>
      <c r="BI2022" s="111">
        <f t="shared" si="1479"/>
        <v>21.407103825136613</v>
      </c>
      <c r="BJ2022" s="129">
        <f t="shared" si="1485"/>
        <v>0</v>
      </c>
      <c r="BK2022" s="129">
        <f t="shared" si="1480"/>
        <v>0</v>
      </c>
      <c r="BL2022" s="129" t="str">
        <f t="shared" si="1511"/>
        <v>CONVICTION</v>
      </c>
      <c r="BM2022" s="129" t="str">
        <f t="shared" si="1486"/>
        <v>NONE</v>
      </c>
      <c r="BN2022" s="129" t="s">
        <v>566</v>
      </c>
      <c r="BP2022" s="137" t="str">
        <f t="shared" si="1487"/>
        <v>CONVICTION</v>
      </c>
      <c r="BQ2022" s="128" t="str">
        <f t="shared" si="1488"/>
        <v>Y</v>
      </c>
      <c r="BR2022" s="129" t="str">
        <f t="shared" si="1489"/>
        <v>DETAINED</v>
      </c>
      <c r="BS2022" s="129" t="str">
        <f t="shared" si="1490"/>
        <v>DISPOSED</v>
      </c>
      <c r="BT2022" s="129" t="str">
        <f t="shared" si="1491"/>
        <v>Y</v>
      </c>
      <c r="BU2022" s="109">
        <f t="shared" si="1492"/>
        <v>0.40526315789473683</v>
      </c>
      <c r="BV2022" s="109">
        <f t="shared" si="1493"/>
        <v>1</v>
      </c>
      <c r="BW2022" s="109">
        <f t="shared" si="1477"/>
        <v>0.59473684210526323</v>
      </c>
      <c r="BX2022" s="111">
        <f t="shared" si="1494"/>
        <v>0</v>
      </c>
      <c r="BY2022" s="129">
        <f t="shared" si="1495"/>
        <v>-77</v>
      </c>
      <c r="BZ2022" s="111">
        <f t="shared" si="1496"/>
        <v>0</v>
      </c>
      <c r="CA2022" s="138">
        <f t="shared" si="1497"/>
        <v>77</v>
      </c>
      <c r="CB2022" s="111" t="e">
        <f t="shared" si="1515"/>
        <v>#VALUE!</v>
      </c>
      <c r="CC2022" s="129">
        <f t="shared" si="1516"/>
        <v>77</v>
      </c>
      <c r="CD2022" s="129">
        <f t="shared" si="1517"/>
        <v>0</v>
      </c>
      <c r="CG2022" s="129" t="str">
        <f t="shared" si="1498"/>
        <v>Y</v>
      </c>
      <c r="CI2022" s="129" t="str">
        <f t="shared" si="1499"/>
        <v>61-90 DAYS</v>
      </c>
      <c r="CJ2022" s="137">
        <f t="shared" si="1500"/>
        <v>4</v>
      </c>
      <c r="CK2022" s="129" t="str">
        <f t="shared" si="1501"/>
        <v>Booked</v>
      </c>
    </row>
    <row r="2023" spans="1:89" ht="15" customHeight="1" x14ac:dyDescent="0.25">
      <c r="A2023" s="111">
        <v>1861</v>
      </c>
      <c r="B2023" s="128" t="str">
        <f t="shared" si="1481"/>
        <v>N</v>
      </c>
      <c r="C2023" s="128" t="str">
        <f t="shared" si="1482"/>
        <v>N</v>
      </c>
      <c r="D2023" s="117">
        <v>2385598</v>
      </c>
      <c r="E2023" s="135">
        <f t="shared" si="1483"/>
        <v>6</v>
      </c>
      <c r="F2023" s="124">
        <v>40977</v>
      </c>
      <c r="G2023" s="125">
        <v>41102</v>
      </c>
      <c r="H2023" s="117">
        <v>2385598</v>
      </c>
      <c r="I2023" s="124">
        <v>40977</v>
      </c>
      <c r="J2023" s="124">
        <v>41102</v>
      </c>
      <c r="K2023" s="126">
        <v>10000</v>
      </c>
      <c r="L2023" s="127" t="s">
        <v>570</v>
      </c>
      <c r="N2023" s="129" t="str">
        <f t="shared" ref="N2023:N2031" si="1518">IF(M2023&gt;1/1/1,"Y","N")</f>
        <v>N</v>
      </c>
      <c r="O2023" s="128" t="s">
        <v>917</v>
      </c>
      <c r="P2023" s="129" t="s">
        <v>39</v>
      </c>
      <c r="Q2023" s="111">
        <f t="shared" si="1509"/>
        <v>126</v>
      </c>
      <c r="R2023" s="111">
        <f t="shared" si="1508"/>
        <v>126</v>
      </c>
      <c r="S2023" s="129">
        <v>1</v>
      </c>
      <c r="T2023" s="129">
        <v>6</v>
      </c>
      <c r="U2023" s="129">
        <v>1</v>
      </c>
      <c r="W2023" s="111"/>
      <c r="AC2023" s="130"/>
      <c r="AD2023" s="130">
        <v>33147</v>
      </c>
      <c r="AE2023" s="128" t="s">
        <v>32</v>
      </c>
      <c r="AF2023" s="128" t="s">
        <v>40</v>
      </c>
      <c r="AG2023" s="128" t="s">
        <v>41</v>
      </c>
      <c r="AH2023" s="108" t="s">
        <v>41</v>
      </c>
      <c r="AI2023" s="128" t="s">
        <v>62</v>
      </c>
      <c r="AJ2023" s="129" t="s">
        <v>89</v>
      </c>
      <c r="AK2023" s="129">
        <v>5</v>
      </c>
      <c r="AL2023" s="3" t="s">
        <v>362</v>
      </c>
      <c r="AM2023" s="117">
        <v>4</v>
      </c>
      <c r="AP2023" s="129" t="s">
        <v>49</v>
      </c>
      <c r="AR2023" s="128" t="s">
        <v>50</v>
      </c>
      <c r="AS2023" s="129" t="s">
        <v>45</v>
      </c>
      <c r="BC2023" s="129" t="s">
        <v>38</v>
      </c>
      <c r="BF2023" s="111">
        <f t="shared" si="1513"/>
        <v>126</v>
      </c>
      <c r="BG2023" s="111">
        <f t="shared" si="1514"/>
        <v>126</v>
      </c>
      <c r="BH2023" s="111">
        <f t="shared" si="1478"/>
        <v>126</v>
      </c>
      <c r="BI2023" s="111">
        <f t="shared" si="1479"/>
        <v>21.393442622950818</v>
      </c>
      <c r="BJ2023" s="129">
        <f t="shared" si="1485"/>
        <v>0</v>
      </c>
      <c r="BK2023" s="129">
        <f t="shared" si="1480"/>
        <v>0</v>
      </c>
      <c r="BL2023" s="129" t="str">
        <f t="shared" si="1511"/>
        <v>CONVICTION</v>
      </c>
      <c r="BM2023" s="129" t="str">
        <f t="shared" si="1486"/>
        <v>NONE</v>
      </c>
      <c r="BN2023" s="129" t="s">
        <v>566</v>
      </c>
      <c r="BP2023" s="137" t="str">
        <f t="shared" si="1487"/>
        <v>CONVICTION</v>
      </c>
      <c r="BQ2023" s="128" t="str">
        <f t="shared" si="1488"/>
        <v>Y</v>
      </c>
      <c r="BR2023" s="129" t="str">
        <f t="shared" si="1489"/>
        <v>DETAINED</v>
      </c>
      <c r="BS2023" s="129" t="str">
        <f t="shared" si="1490"/>
        <v>DISPOSED</v>
      </c>
      <c r="BT2023" s="129" t="str">
        <f t="shared" si="1491"/>
        <v>Y</v>
      </c>
      <c r="BU2023" s="109">
        <f t="shared" si="1492"/>
        <v>1</v>
      </c>
      <c r="BV2023" s="109">
        <f t="shared" si="1493"/>
        <v>1</v>
      </c>
      <c r="BW2023" s="109">
        <f t="shared" si="1477"/>
        <v>0</v>
      </c>
      <c r="BX2023" s="111">
        <f t="shared" si="1494"/>
        <v>0</v>
      </c>
      <c r="BY2023" s="129">
        <f t="shared" si="1495"/>
        <v>-126</v>
      </c>
      <c r="BZ2023" s="111">
        <f t="shared" si="1496"/>
        <v>0</v>
      </c>
      <c r="CA2023" s="138">
        <f t="shared" si="1497"/>
        <v>126</v>
      </c>
      <c r="CB2023" s="111" t="e">
        <f t="shared" si="1515"/>
        <v>#VALUE!</v>
      </c>
      <c r="CC2023" s="129">
        <f t="shared" si="1516"/>
        <v>126</v>
      </c>
      <c r="CD2023" s="129">
        <f t="shared" si="1517"/>
        <v>0</v>
      </c>
      <c r="CG2023" s="129" t="str">
        <f t="shared" si="1498"/>
        <v>Y</v>
      </c>
      <c r="CI2023" s="129" t="str">
        <f t="shared" si="1499"/>
        <v>121-365 DAYS</v>
      </c>
      <c r="CJ2023" s="137">
        <f t="shared" si="1500"/>
        <v>6</v>
      </c>
      <c r="CK2023" s="129" t="str">
        <f t="shared" si="1501"/>
        <v>Booked</v>
      </c>
    </row>
    <row r="2024" spans="1:89" ht="15.75" customHeight="1" x14ac:dyDescent="0.25">
      <c r="A2024" s="111">
        <v>304</v>
      </c>
      <c r="B2024" s="128" t="str">
        <f t="shared" si="1481"/>
        <v>N</v>
      </c>
      <c r="C2024" s="128" t="str">
        <f t="shared" si="1482"/>
        <v>N</v>
      </c>
      <c r="D2024" s="117">
        <v>2385762</v>
      </c>
      <c r="E2024" s="135">
        <f t="shared" si="1483"/>
        <v>5</v>
      </c>
      <c r="F2024" s="124">
        <v>40921</v>
      </c>
      <c r="G2024" s="125">
        <v>40925</v>
      </c>
      <c r="H2024" s="117">
        <v>2385762</v>
      </c>
      <c r="I2024" s="124">
        <v>40921</v>
      </c>
      <c r="J2024" s="124">
        <v>40925</v>
      </c>
      <c r="K2024" s="126">
        <v>5000</v>
      </c>
      <c r="L2024" s="127" t="s">
        <v>569</v>
      </c>
      <c r="N2024" s="129" t="str">
        <f t="shared" si="1518"/>
        <v>N</v>
      </c>
      <c r="O2024" s="128" t="s">
        <v>917</v>
      </c>
      <c r="P2024" s="129" t="s">
        <v>39</v>
      </c>
      <c r="Q2024" s="111">
        <f t="shared" si="1509"/>
        <v>5</v>
      </c>
      <c r="R2024" s="111">
        <f t="shared" si="1508"/>
        <v>5</v>
      </c>
      <c r="S2024" s="129">
        <v>2</v>
      </c>
      <c r="T2024" s="129">
        <v>5</v>
      </c>
      <c r="U2024" s="129">
        <v>1</v>
      </c>
      <c r="W2024" s="111"/>
      <c r="AC2024" s="130"/>
      <c r="AD2024" s="130">
        <v>33274</v>
      </c>
      <c r="AE2024" s="128" t="s">
        <v>32</v>
      </c>
      <c r="AF2024" s="128" t="s">
        <v>33</v>
      </c>
      <c r="AG2024" s="128" t="s">
        <v>872</v>
      </c>
      <c r="AH2024" s="108" t="s">
        <v>58</v>
      </c>
      <c r="AI2024" s="128" t="s">
        <v>114</v>
      </c>
      <c r="AJ2024" s="129" t="s">
        <v>89</v>
      </c>
      <c r="AK2024" s="129">
        <v>1</v>
      </c>
      <c r="AL2024" s="3" t="s">
        <v>992</v>
      </c>
      <c r="AN2024" s="117">
        <v>8</v>
      </c>
      <c r="AP2024" s="129" t="s">
        <v>127</v>
      </c>
      <c r="AR2024" s="128" t="s">
        <v>44</v>
      </c>
      <c r="AS2024" s="129" t="s">
        <v>82</v>
      </c>
      <c r="BC2024" s="129" t="s">
        <v>38</v>
      </c>
      <c r="BF2024" s="111">
        <f t="shared" si="1513"/>
        <v>5</v>
      </c>
      <c r="BG2024" s="111">
        <f t="shared" si="1514"/>
        <v>5</v>
      </c>
      <c r="BH2024" s="111">
        <f t="shared" si="1478"/>
        <v>5</v>
      </c>
      <c r="BI2024" s="111">
        <f t="shared" si="1479"/>
        <v>20.893442622950818</v>
      </c>
      <c r="BJ2024" s="129">
        <f t="shared" si="1485"/>
        <v>0</v>
      </c>
      <c r="BK2024" s="129">
        <f t="shared" si="1480"/>
        <v>0</v>
      </c>
      <c r="BL2024" s="129" t="str">
        <f t="shared" si="1511"/>
        <v>CONVICTION</v>
      </c>
      <c r="BM2024" s="129" t="str">
        <f t="shared" si="1486"/>
        <v>NONE</v>
      </c>
      <c r="BN2024" s="129" t="s">
        <v>566</v>
      </c>
      <c r="BP2024" s="137" t="str">
        <f t="shared" si="1487"/>
        <v>CONVICTION</v>
      </c>
      <c r="BQ2024" s="128" t="str">
        <f t="shared" si="1488"/>
        <v>Y</v>
      </c>
      <c r="BR2024" s="129" t="str">
        <f t="shared" si="1489"/>
        <v>DETAINED</v>
      </c>
      <c r="BS2024" s="129" t="str">
        <f t="shared" si="1490"/>
        <v>DISPOSED</v>
      </c>
      <c r="BT2024" s="129" t="str">
        <f t="shared" si="1491"/>
        <v>Y</v>
      </c>
      <c r="BU2024" s="109">
        <f t="shared" si="1492"/>
        <v>1</v>
      </c>
      <c r="BV2024" s="109">
        <f t="shared" si="1493"/>
        <v>1</v>
      </c>
      <c r="BW2024" s="109">
        <f t="shared" si="1477"/>
        <v>0</v>
      </c>
      <c r="BX2024" s="111">
        <f t="shared" si="1494"/>
        <v>0</v>
      </c>
      <c r="BY2024" s="129">
        <f t="shared" si="1495"/>
        <v>-5</v>
      </c>
      <c r="BZ2024" s="111">
        <f t="shared" si="1496"/>
        <v>0</v>
      </c>
      <c r="CA2024" s="138">
        <f t="shared" si="1497"/>
        <v>5</v>
      </c>
      <c r="CB2024" s="111" t="e">
        <f t="shared" si="1515"/>
        <v>#VALUE!</v>
      </c>
      <c r="CC2024" s="129">
        <f t="shared" si="1516"/>
        <v>5</v>
      </c>
      <c r="CD2024" s="129">
        <f t="shared" si="1517"/>
        <v>0</v>
      </c>
      <c r="CG2024" s="129" t="str">
        <f t="shared" si="1498"/>
        <v>Y</v>
      </c>
      <c r="CI2024" s="129" t="str">
        <f t="shared" si="1499"/>
        <v>0-10 DAYS</v>
      </c>
      <c r="CJ2024" s="137">
        <f t="shared" si="1500"/>
        <v>1</v>
      </c>
      <c r="CK2024" s="129" t="str">
        <f t="shared" si="1501"/>
        <v>Booked</v>
      </c>
    </row>
    <row r="2025" spans="1:89" ht="15" customHeight="1" x14ac:dyDescent="0.25">
      <c r="A2025" s="111">
        <v>2264</v>
      </c>
      <c r="B2025" s="128" t="str">
        <f t="shared" si="1481"/>
        <v>N</v>
      </c>
      <c r="C2025" s="128" t="str">
        <f t="shared" si="1482"/>
        <v>N</v>
      </c>
      <c r="D2025" s="117">
        <v>2386251</v>
      </c>
      <c r="E2025" s="135">
        <f t="shared" si="1483"/>
        <v>2</v>
      </c>
      <c r="F2025" s="124">
        <v>40995</v>
      </c>
      <c r="G2025" s="125">
        <v>41162</v>
      </c>
      <c r="H2025" s="117">
        <v>2386251</v>
      </c>
      <c r="I2025" s="124">
        <v>40995</v>
      </c>
      <c r="J2025" s="124">
        <v>41009</v>
      </c>
      <c r="K2025" s="126">
        <v>20000</v>
      </c>
      <c r="L2025" s="127" t="s">
        <v>571</v>
      </c>
      <c r="M2025" s="125">
        <v>41009</v>
      </c>
      <c r="N2025" s="129" t="str">
        <f t="shared" si="1518"/>
        <v>Y</v>
      </c>
      <c r="O2025" s="128" t="s">
        <v>585</v>
      </c>
      <c r="P2025" s="129" t="s">
        <v>589</v>
      </c>
      <c r="Q2025" s="111">
        <f t="shared" si="1509"/>
        <v>15</v>
      </c>
      <c r="R2025" s="111">
        <f t="shared" si="1508"/>
        <v>168</v>
      </c>
      <c r="S2025" s="129">
        <v>0</v>
      </c>
      <c r="T2025" s="129">
        <v>0</v>
      </c>
      <c r="W2025" s="111"/>
      <c r="AB2025" s="131" t="s">
        <v>112</v>
      </c>
      <c r="AC2025" s="130"/>
      <c r="AD2025" s="130">
        <v>32304</v>
      </c>
      <c r="AE2025" s="128" t="s">
        <v>32</v>
      </c>
      <c r="AF2025" s="128" t="s">
        <v>40</v>
      </c>
      <c r="AG2025" s="128" t="s">
        <v>41</v>
      </c>
      <c r="AH2025" s="108" t="s">
        <v>31</v>
      </c>
      <c r="AI2025" s="128" t="s">
        <v>70</v>
      </c>
      <c r="AJ2025" s="129" t="s">
        <v>48</v>
      </c>
      <c r="AK2025" s="129">
        <v>9</v>
      </c>
      <c r="AL2025" s="3" t="s">
        <v>48</v>
      </c>
      <c r="AP2025" s="129" t="s">
        <v>132</v>
      </c>
      <c r="AR2025" s="128" t="s">
        <v>92</v>
      </c>
      <c r="AS2025" s="129" t="s">
        <v>82</v>
      </c>
      <c r="BC2025" s="129" t="s">
        <v>38</v>
      </c>
      <c r="BF2025" s="111">
        <f t="shared" si="1513"/>
        <v>15</v>
      </c>
      <c r="BG2025" s="111">
        <f t="shared" si="1514"/>
        <v>168</v>
      </c>
      <c r="BH2025" s="111">
        <f t="shared" si="1478"/>
        <v>168</v>
      </c>
      <c r="BI2025" s="111">
        <f t="shared" si="1479"/>
        <v>23.745901639344261</v>
      </c>
      <c r="BJ2025" s="129">
        <f>(G2025-J2025)+(M2025-G2025)</f>
        <v>0</v>
      </c>
      <c r="BK2025" s="129">
        <f t="shared" si="1480"/>
        <v>-153</v>
      </c>
      <c r="BL2025" s="129" t="str">
        <f t="shared" si="1511"/>
        <v>DEFERRED</v>
      </c>
      <c r="BM2025" s="129" t="s">
        <v>76</v>
      </c>
      <c r="BN2025" s="129" t="s">
        <v>88</v>
      </c>
      <c r="BP2025" s="137" t="str">
        <f t="shared" si="1487"/>
        <v>DEFERRED</v>
      </c>
      <c r="BQ2025" s="128" t="str">
        <f t="shared" si="1488"/>
        <v>Y</v>
      </c>
      <c r="BR2025" s="129" t="str">
        <f t="shared" si="1489"/>
        <v>ON BOND</v>
      </c>
      <c r="BS2025" s="129" t="str">
        <f t="shared" si="1490"/>
        <v>DISPOSED</v>
      </c>
      <c r="BT2025" s="129" t="str">
        <f t="shared" si="1491"/>
        <v>N</v>
      </c>
      <c r="BU2025" s="109">
        <f t="shared" si="1492"/>
        <v>8.9285714285714288E-2</v>
      </c>
      <c r="BV2025" s="109">
        <f t="shared" si="1493"/>
        <v>8.9285714285714288E-2</v>
      </c>
      <c r="BW2025" s="109">
        <f t="shared" si="1477"/>
        <v>0</v>
      </c>
      <c r="BX2025" s="111">
        <f t="shared" si="1494"/>
        <v>0</v>
      </c>
      <c r="BY2025" s="129">
        <f t="shared" si="1495"/>
        <v>-15</v>
      </c>
      <c r="BZ2025" s="111">
        <f t="shared" si="1496"/>
        <v>0</v>
      </c>
      <c r="CA2025" s="138">
        <f t="shared" si="1497"/>
        <v>15</v>
      </c>
      <c r="CB2025" s="111" t="e">
        <f t="shared" si="1515"/>
        <v>#VALUE!</v>
      </c>
      <c r="CC2025" s="129">
        <f>M2025-I2025+1</f>
        <v>15</v>
      </c>
      <c r="CD2025" s="111">
        <f>CC2025-BF2025</f>
        <v>0</v>
      </c>
      <c r="CG2025" s="129" t="str">
        <f t="shared" si="1498"/>
        <v>N</v>
      </c>
      <c r="CI2025" s="129" t="str">
        <f t="shared" si="1499"/>
        <v>11-30 DAYS</v>
      </c>
      <c r="CJ2025" s="137">
        <f t="shared" si="1500"/>
        <v>2</v>
      </c>
      <c r="CK2025" s="129" t="str">
        <f t="shared" si="1501"/>
        <v>Booked</v>
      </c>
    </row>
    <row r="2026" spans="1:89" ht="15.75" customHeight="1" x14ac:dyDescent="0.25">
      <c r="A2026" s="111">
        <v>1077</v>
      </c>
      <c r="B2026" s="128" t="str">
        <f t="shared" si="1481"/>
        <v>N</v>
      </c>
      <c r="C2026" s="128" t="str">
        <f t="shared" si="1482"/>
        <v>Y</v>
      </c>
      <c r="D2026" s="114">
        <v>2386693</v>
      </c>
      <c r="E2026" s="135">
        <f t="shared" si="1483"/>
        <v>1</v>
      </c>
      <c r="F2026" s="124">
        <v>40948</v>
      </c>
      <c r="G2026" s="125">
        <v>41764</v>
      </c>
      <c r="H2026" s="114">
        <v>2386693</v>
      </c>
      <c r="I2026" s="124">
        <v>41276</v>
      </c>
      <c r="J2026" s="124" t="s">
        <v>1385</v>
      </c>
      <c r="K2026" s="126">
        <v>30000</v>
      </c>
      <c r="L2026" s="129" t="s">
        <v>572</v>
      </c>
      <c r="M2026" s="125">
        <v>40950</v>
      </c>
      <c r="N2026" s="129" t="str">
        <f t="shared" si="1518"/>
        <v>Y</v>
      </c>
      <c r="O2026" s="128" t="s">
        <v>76</v>
      </c>
      <c r="P2026" s="129" t="s">
        <v>55</v>
      </c>
      <c r="Q2026" s="111">
        <v>487</v>
      </c>
      <c r="R2026" s="111">
        <f t="shared" si="1508"/>
        <v>817</v>
      </c>
      <c r="S2026" s="129">
        <v>0</v>
      </c>
      <c r="T2026" s="129">
        <v>1</v>
      </c>
      <c r="W2026" s="111"/>
      <c r="AC2026" s="130"/>
      <c r="AD2026" s="130">
        <v>33370</v>
      </c>
      <c r="AE2026" s="128" t="s">
        <v>32</v>
      </c>
      <c r="AF2026" s="128" t="s">
        <v>33</v>
      </c>
      <c r="AG2026" s="128" t="s">
        <v>872</v>
      </c>
      <c r="AH2026" s="108" t="s">
        <v>58</v>
      </c>
      <c r="AI2026" s="128" t="s">
        <v>85</v>
      </c>
      <c r="AJ2026" s="129" t="s">
        <v>55</v>
      </c>
      <c r="AK2026" s="129">
        <v>24</v>
      </c>
      <c r="AL2026" s="3" t="s">
        <v>55</v>
      </c>
      <c r="AP2026" s="129" t="s">
        <v>105</v>
      </c>
      <c r="AR2026" s="128" t="s">
        <v>92</v>
      </c>
      <c r="AS2026" s="129" t="s">
        <v>106</v>
      </c>
      <c r="AT2026" s="129" t="s">
        <v>1274</v>
      </c>
      <c r="AV2026" s="3" t="s">
        <v>88</v>
      </c>
      <c r="AW2026" s="125">
        <v>41213</v>
      </c>
      <c r="BA2026" s="129" t="s">
        <v>1197</v>
      </c>
      <c r="BB2026" s="129">
        <v>485</v>
      </c>
      <c r="BC2026" s="129" t="s">
        <v>52</v>
      </c>
      <c r="BF2026" s="111">
        <v>487</v>
      </c>
      <c r="BG2026" s="111">
        <f t="shared" si="1514"/>
        <v>489</v>
      </c>
      <c r="BH2026" s="111">
        <f t="shared" si="1478"/>
        <v>817</v>
      </c>
      <c r="BI2026" s="111">
        <f t="shared" si="1479"/>
        <v>20.704918032786885</v>
      </c>
      <c r="BJ2026" s="129" t="e">
        <f>(G2026-J2026)+(M2026-G2026)</f>
        <v>#VALUE!</v>
      </c>
      <c r="BK2026" s="129" t="e">
        <f t="shared" si="1480"/>
        <v>#VALUE!</v>
      </c>
      <c r="BL2026" s="129" t="str">
        <f t="shared" si="1511"/>
        <v>NO CONVICTION</v>
      </c>
      <c r="BM2026" s="129" t="s">
        <v>76</v>
      </c>
      <c r="BN2026" s="129" t="s">
        <v>88</v>
      </c>
      <c r="BP2026" s="137" t="str">
        <f t="shared" si="1487"/>
        <v>NO CONVICTION</v>
      </c>
      <c r="BQ2026" s="128" t="str">
        <f t="shared" si="1488"/>
        <v>Y</v>
      </c>
      <c r="BR2026" s="129" t="s">
        <v>574</v>
      </c>
      <c r="BS2026" s="129" t="str">
        <f t="shared" si="1490"/>
        <v>DISPOSED</v>
      </c>
      <c r="BT2026" s="129" t="str">
        <f t="shared" si="1491"/>
        <v>N</v>
      </c>
      <c r="BU2026" s="109">
        <f>IFERROR(Q2026/R2026,BR2026)</f>
        <v>0.59608323133414931</v>
      </c>
      <c r="BV2026" s="139">
        <v>0.59609999999999996</v>
      </c>
      <c r="BW2026" s="109">
        <v>0</v>
      </c>
      <c r="BX2026" s="111">
        <f t="shared" si="1494"/>
        <v>0</v>
      </c>
      <c r="BY2026" s="129" t="e">
        <f t="shared" si="1495"/>
        <v>#VALUE!</v>
      </c>
      <c r="BZ2026" s="111" t="e">
        <f t="shared" si="1496"/>
        <v>#VALUE!</v>
      </c>
      <c r="CA2026" s="138">
        <f t="shared" si="1497"/>
        <v>489</v>
      </c>
      <c r="CB2026" s="111" t="e">
        <f t="shared" si="1515"/>
        <v>#VALUE!</v>
      </c>
      <c r="CC2026" s="129">
        <v>487</v>
      </c>
      <c r="CG2026" s="129" t="str">
        <f t="shared" si="1498"/>
        <v>Y</v>
      </c>
      <c r="CH2026" s="129" t="e">
        <v>#N/A</v>
      </c>
      <c r="CI2026" s="129" t="str">
        <f t="shared" si="1499"/>
        <v xml:space="preserve"> &gt;1YRS&lt;2YRS</v>
      </c>
      <c r="CJ2026" s="137">
        <f t="shared" si="1500"/>
        <v>0</v>
      </c>
      <c r="CK2026" s="129" t="str">
        <f t="shared" si="1501"/>
        <v>Booked</v>
      </c>
    </row>
    <row r="2027" spans="1:89" ht="15.75" customHeight="1" x14ac:dyDescent="0.25">
      <c r="A2027" s="111">
        <v>439</v>
      </c>
      <c r="B2027" s="128" t="str">
        <f t="shared" si="1481"/>
        <v>N</v>
      </c>
      <c r="C2027" s="128" t="str">
        <f t="shared" si="1482"/>
        <v>N</v>
      </c>
      <c r="D2027" s="117">
        <v>2386730</v>
      </c>
      <c r="E2027" s="135">
        <f t="shared" si="1483"/>
        <v>2</v>
      </c>
      <c r="F2027" s="124">
        <v>40927</v>
      </c>
      <c r="G2027" s="125">
        <v>41009</v>
      </c>
      <c r="H2027" s="117">
        <v>2386730</v>
      </c>
      <c r="I2027" s="124">
        <v>40927</v>
      </c>
      <c r="J2027" s="124">
        <v>40929</v>
      </c>
      <c r="K2027" s="126">
        <v>10000</v>
      </c>
      <c r="L2027" s="127" t="s">
        <v>570</v>
      </c>
      <c r="M2027" s="125">
        <v>40929</v>
      </c>
      <c r="N2027" s="129" t="str">
        <f t="shared" si="1518"/>
        <v>Y</v>
      </c>
      <c r="O2027" s="128" t="s">
        <v>76</v>
      </c>
      <c r="P2027" s="129" t="s">
        <v>589</v>
      </c>
      <c r="Q2027" s="111">
        <f t="shared" si="1509"/>
        <v>3</v>
      </c>
      <c r="R2027" s="111">
        <f t="shared" si="1508"/>
        <v>83</v>
      </c>
      <c r="S2027" s="129">
        <v>2</v>
      </c>
      <c r="T2027" s="129">
        <v>3</v>
      </c>
      <c r="W2027" s="111"/>
      <c r="AC2027" s="130"/>
      <c r="AD2027" s="130">
        <v>32420</v>
      </c>
      <c r="AE2027" s="128" t="s">
        <v>32</v>
      </c>
      <c r="AF2027" s="128" t="s">
        <v>40</v>
      </c>
      <c r="AG2027" s="128" t="s">
        <v>41</v>
      </c>
      <c r="AH2027" s="108" t="s">
        <v>41</v>
      </c>
      <c r="AI2027" s="128" t="s">
        <v>70</v>
      </c>
      <c r="AJ2027" s="129" t="s">
        <v>48</v>
      </c>
      <c r="AK2027" s="129">
        <v>6</v>
      </c>
      <c r="AL2027" s="3" t="s">
        <v>48</v>
      </c>
      <c r="AP2027" s="129" t="s">
        <v>93</v>
      </c>
      <c r="AR2027" s="128" t="s">
        <v>67</v>
      </c>
      <c r="AS2027" s="129" t="s">
        <v>45</v>
      </c>
      <c r="BC2027" s="129" t="s">
        <v>52</v>
      </c>
      <c r="BF2027" s="111">
        <f t="shared" si="1513"/>
        <v>3</v>
      </c>
      <c r="BG2027" s="111">
        <f t="shared" si="1514"/>
        <v>83</v>
      </c>
      <c r="BH2027" s="111">
        <f t="shared" si="1478"/>
        <v>83</v>
      </c>
      <c r="BI2027" s="111">
        <f t="shared" si="1479"/>
        <v>23.243169398907103</v>
      </c>
      <c r="BJ2027" s="129">
        <f>(G2027-J2027)+(M2027-G2027)</f>
        <v>0</v>
      </c>
      <c r="BK2027" s="129">
        <f t="shared" si="1480"/>
        <v>-80</v>
      </c>
      <c r="BL2027" s="129" t="str">
        <f t="shared" si="1511"/>
        <v>DEFERRED</v>
      </c>
      <c r="BM2027" s="129" t="s">
        <v>76</v>
      </c>
      <c r="BN2027" s="129" t="s">
        <v>88</v>
      </c>
      <c r="BP2027" s="137" t="str">
        <f t="shared" si="1487"/>
        <v>DEFERRED</v>
      </c>
      <c r="BQ2027" s="128" t="str">
        <f t="shared" si="1488"/>
        <v>Y</v>
      </c>
      <c r="BR2027" s="129" t="str">
        <f t="shared" si="1489"/>
        <v>ON BOND</v>
      </c>
      <c r="BS2027" s="129" t="str">
        <f t="shared" si="1490"/>
        <v>DISPOSED</v>
      </c>
      <c r="BT2027" s="129" t="str">
        <f t="shared" si="1491"/>
        <v>Y</v>
      </c>
      <c r="BU2027" s="109">
        <f t="shared" si="1492"/>
        <v>3.614457831325301E-2</v>
      </c>
      <c r="BV2027" s="109">
        <f t="shared" si="1493"/>
        <v>3.614457831325301E-2</v>
      </c>
      <c r="BW2027" s="109">
        <f t="shared" ref="BW2027:BW2090" si="1519">BV2027-BU2027</f>
        <v>0</v>
      </c>
      <c r="BX2027" s="111">
        <f t="shared" si="1494"/>
        <v>0</v>
      </c>
      <c r="BY2027" s="129">
        <f t="shared" si="1495"/>
        <v>-3</v>
      </c>
      <c r="BZ2027" s="111">
        <f t="shared" si="1496"/>
        <v>0</v>
      </c>
      <c r="CA2027" s="138">
        <f t="shared" si="1497"/>
        <v>3</v>
      </c>
      <c r="CB2027" s="111" t="e">
        <f t="shared" si="1515"/>
        <v>#VALUE!</v>
      </c>
      <c r="CC2027" s="129">
        <f>M2027-I2027+1</f>
        <v>3</v>
      </c>
      <c r="CD2027" s="111">
        <f>CC2027-BF2027</f>
        <v>0</v>
      </c>
      <c r="CG2027" s="129" t="str">
        <f t="shared" si="1498"/>
        <v>Y</v>
      </c>
      <c r="CI2027" s="129" t="str">
        <f t="shared" si="1499"/>
        <v>0-10 DAYS</v>
      </c>
      <c r="CJ2027" s="137">
        <f t="shared" si="1500"/>
        <v>1</v>
      </c>
      <c r="CK2027" s="129" t="str">
        <f t="shared" si="1501"/>
        <v>Booked</v>
      </c>
    </row>
    <row r="2028" spans="1:89" ht="15.75" customHeight="1" x14ac:dyDescent="0.25">
      <c r="A2028" s="111">
        <v>3213</v>
      </c>
      <c r="B2028" s="128" t="str">
        <f t="shared" si="1481"/>
        <v>N</v>
      </c>
      <c r="C2028" s="128" t="str">
        <f t="shared" si="1482"/>
        <v>N</v>
      </c>
      <c r="D2028" s="117">
        <v>2387108</v>
      </c>
      <c r="E2028" s="135">
        <f t="shared" si="1483"/>
        <v>6</v>
      </c>
      <c r="F2028" s="124">
        <v>41027</v>
      </c>
      <c r="G2028" s="125">
        <v>41114</v>
      </c>
      <c r="H2028" s="117">
        <v>2387108</v>
      </c>
      <c r="I2028" s="124">
        <v>41027</v>
      </c>
      <c r="J2028" s="124">
        <v>41114</v>
      </c>
      <c r="K2028" s="126">
        <v>240000</v>
      </c>
      <c r="L2028" s="129" t="s">
        <v>572</v>
      </c>
      <c r="N2028" s="129" t="str">
        <f t="shared" si="1518"/>
        <v>N</v>
      </c>
      <c r="O2028" s="128" t="s">
        <v>917</v>
      </c>
      <c r="P2028" s="129" t="s">
        <v>39</v>
      </c>
      <c r="Q2028" s="111">
        <f t="shared" si="1509"/>
        <v>88</v>
      </c>
      <c r="R2028" s="111">
        <f t="shared" si="1508"/>
        <v>88</v>
      </c>
      <c r="S2028" s="129">
        <v>0</v>
      </c>
      <c r="T2028" s="129">
        <v>0</v>
      </c>
      <c r="W2028" s="111"/>
      <c r="AB2028" s="131" t="s">
        <v>112</v>
      </c>
      <c r="AC2028" s="130"/>
      <c r="AD2028" s="130">
        <v>33301</v>
      </c>
      <c r="AE2028" s="128" t="s">
        <v>32</v>
      </c>
      <c r="AF2028" s="128" t="s">
        <v>40</v>
      </c>
      <c r="AG2028" s="128" t="s">
        <v>41</v>
      </c>
      <c r="AH2028" s="108" t="s">
        <v>31</v>
      </c>
      <c r="AI2028" s="128" t="s">
        <v>114</v>
      </c>
      <c r="AJ2028" s="129" t="s">
        <v>89</v>
      </c>
      <c r="AK2028" s="129">
        <v>5</v>
      </c>
      <c r="AL2028" s="3" t="s">
        <v>362</v>
      </c>
      <c r="AM2028" s="117">
        <v>8</v>
      </c>
      <c r="AP2028" s="129" t="s">
        <v>132</v>
      </c>
      <c r="AR2028" s="128" t="s">
        <v>92</v>
      </c>
      <c r="AS2028" s="129" t="s">
        <v>82</v>
      </c>
      <c r="BC2028" s="129" t="s">
        <v>52</v>
      </c>
      <c r="BF2028" s="111">
        <f t="shared" si="1513"/>
        <v>88</v>
      </c>
      <c r="BG2028" s="111">
        <f t="shared" si="1514"/>
        <v>88</v>
      </c>
      <c r="BH2028" s="111">
        <f t="shared" si="1478"/>
        <v>88</v>
      </c>
      <c r="BI2028" s="111">
        <f t="shared" si="1479"/>
        <v>21.10928961748634</v>
      </c>
      <c r="BJ2028" s="129">
        <f t="shared" si="1485"/>
        <v>0</v>
      </c>
      <c r="BK2028" s="129">
        <f t="shared" si="1480"/>
        <v>0</v>
      </c>
      <c r="BL2028" s="129" t="str">
        <f t="shared" si="1511"/>
        <v>CONVICTION</v>
      </c>
      <c r="BM2028" s="129" t="str">
        <f t="shared" si="1486"/>
        <v>NONE</v>
      </c>
      <c r="BN2028" s="129" t="s">
        <v>566</v>
      </c>
      <c r="BP2028" s="137" t="str">
        <f t="shared" si="1487"/>
        <v>CONVICTION</v>
      </c>
      <c r="BQ2028" s="128" t="str">
        <f t="shared" si="1488"/>
        <v>Y</v>
      </c>
      <c r="BR2028" s="129" t="str">
        <f t="shared" si="1489"/>
        <v>DETAINED</v>
      </c>
      <c r="BS2028" s="129" t="str">
        <f t="shared" si="1490"/>
        <v>DISPOSED</v>
      </c>
      <c r="BT2028" s="129" t="str">
        <f t="shared" si="1491"/>
        <v>N</v>
      </c>
      <c r="BU2028" s="109">
        <f t="shared" si="1492"/>
        <v>1</v>
      </c>
      <c r="BV2028" s="109">
        <f t="shared" si="1493"/>
        <v>1</v>
      </c>
      <c r="BW2028" s="109">
        <f t="shared" si="1519"/>
        <v>0</v>
      </c>
      <c r="BX2028" s="111">
        <f t="shared" si="1494"/>
        <v>0</v>
      </c>
      <c r="BY2028" s="129">
        <f t="shared" si="1495"/>
        <v>-88</v>
      </c>
      <c r="BZ2028" s="111">
        <f t="shared" si="1496"/>
        <v>0</v>
      </c>
      <c r="CA2028" s="138">
        <f t="shared" si="1497"/>
        <v>88</v>
      </c>
      <c r="CB2028" s="111" t="e">
        <f t="shared" si="1515"/>
        <v>#VALUE!</v>
      </c>
      <c r="CC2028" s="129">
        <f>G2028-I2028+1</f>
        <v>88</v>
      </c>
      <c r="CD2028" s="129">
        <f>G2028-J2028</f>
        <v>0</v>
      </c>
      <c r="CG2028" s="129" t="str">
        <f t="shared" si="1498"/>
        <v>N</v>
      </c>
      <c r="CI2028" s="129" t="str">
        <f t="shared" si="1499"/>
        <v>61-90 DAYS</v>
      </c>
      <c r="CJ2028" s="137">
        <f t="shared" si="1500"/>
        <v>4</v>
      </c>
      <c r="CK2028" s="129" t="str">
        <f t="shared" si="1501"/>
        <v>Booked</v>
      </c>
    </row>
    <row r="2029" spans="1:89" ht="15.75" customHeight="1" x14ac:dyDescent="0.25">
      <c r="A2029" s="111">
        <v>2388</v>
      </c>
      <c r="B2029" s="128" t="str">
        <f t="shared" si="1481"/>
        <v>N</v>
      </c>
      <c r="C2029" s="128" t="str">
        <f t="shared" si="1482"/>
        <v>N</v>
      </c>
      <c r="D2029" s="117">
        <v>2387293</v>
      </c>
      <c r="E2029" s="135">
        <f t="shared" si="1483"/>
        <v>5</v>
      </c>
      <c r="F2029" s="124">
        <v>40998</v>
      </c>
      <c r="G2029" s="125">
        <v>41001</v>
      </c>
      <c r="H2029" s="117">
        <v>2387293</v>
      </c>
      <c r="I2029" s="124">
        <v>40998</v>
      </c>
      <c r="J2029" s="124">
        <v>41001</v>
      </c>
      <c r="K2029" s="126">
        <v>10000</v>
      </c>
      <c r="L2029" s="127" t="s">
        <v>570</v>
      </c>
      <c r="N2029" s="129" t="str">
        <f t="shared" si="1518"/>
        <v>N</v>
      </c>
      <c r="O2029" s="128" t="s">
        <v>917</v>
      </c>
      <c r="P2029" s="129" t="s">
        <v>39</v>
      </c>
      <c r="Q2029" s="111">
        <f t="shared" si="1509"/>
        <v>4</v>
      </c>
      <c r="R2029" s="111">
        <f t="shared" si="1508"/>
        <v>4</v>
      </c>
      <c r="S2029" s="129">
        <v>1</v>
      </c>
      <c r="T2029" s="129">
        <v>2</v>
      </c>
      <c r="U2029" s="129">
        <v>1</v>
      </c>
      <c r="W2029" s="111"/>
      <c r="AC2029" s="130"/>
      <c r="AD2029" s="130">
        <v>33445</v>
      </c>
      <c r="AE2029" s="128" t="s">
        <v>32</v>
      </c>
      <c r="AF2029" s="128" t="s">
        <v>33</v>
      </c>
      <c r="AG2029" s="128" t="s">
        <v>872</v>
      </c>
      <c r="AH2029" s="108" t="s">
        <v>31</v>
      </c>
      <c r="AI2029" s="128" t="s">
        <v>97</v>
      </c>
      <c r="AJ2029" s="129" t="s">
        <v>89</v>
      </c>
      <c r="AK2029" s="129">
        <v>1</v>
      </c>
      <c r="AL2029" s="3" t="s">
        <v>992</v>
      </c>
      <c r="AN2029" s="117">
        <v>8</v>
      </c>
      <c r="AP2029" s="129" t="s">
        <v>43</v>
      </c>
      <c r="AR2029" s="128" t="s">
        <v>44</v>
      </c>
      <c r="AS2029" s="129" t="s">
        <v>45</v>
      </c>
      <c r="BC2029" s="129" t="s">
        <v>38</v>
      </c>
      <c r="BF2029" s="111">
        <f t="shared" si="1513"/>
        <v>4</v>
      </c>
      <c r="BG2029" s="111">
        <f t="shared" si="1514"/>
        <v>4</v>
      </c>
      <c r="BH2029" s="111">
        <f t="shared" si="1478"/>
        <v>4</v>
      </c>
      <c r="BI2029" s="111">
        <f t="shared" si="1479"/>
        <v>20.636612021857925</v>
      </c>
      <c r="BJ2029" s="129">
        <f t="shared" si="1485"/>
        <v>0</v>
      </c>
      <c r="BK2029" s="129">
        <f t="shared" si="1480"/>
        <v>0</v>
      </c>
      <c r="BL2029" s="129" t="str">
        <f t="shared" si="1511"/>
        <v>CONVICTION</v>
      </c>
      <c r="BM2029" s="129" t="str">
        <f t="shared" si="1486"/>
        <v>NONE</v>
      </c>
      <c r="BN2029" s="129" t="s">
        <v>566</v>
      </c>
      <c r="BP2029" s="137" t="str">
        <f t="shared" si="1487"/>
        <v>CONVICTION</v>
      </c>
      <c r="BQ2029" s="128" t="str">
        <f t="shared" si="1488"/>
        <v>Y</v>
      </c>
      <c r="BR2029" s="129" t="str">
        <f t="shared" si="1489"/>
        <v>DETAINED</v>
      </c>
      <c r="BS2029" s="129" t="str">
        <f t="shared" si="1490"/>
        <v>DISPOSED</v>
      </c>
      <c r="BT2029" s="129" t="str">
        <f t="shared" si="1491"/>
        <v>Y</v>
      </c>
      <c r="BU2029" s="109">
        <f t="shared" si="1492"/>
        <v>1</v>
      </c>
      <c r="BV2029" s="109">
        <f t="shared" si="1493"/>
        <v>1</v>
      </c>
      <c r="BW2029" s="109">
        <f t="shared" si="1519"/>
        <v>0</v>
      </c>
      <c r="BX2029" s="111">
        <f t="shared" si="1494"/>
        <v>0</v>
      </c>
      <c r="BY2029" s="129">
        <f t="shared" si="1495"/>
        <v>-4</v>
      </c>
      <c r="BZ2029" s="111">
        <f t="shared" si="1496"/>
        <v>0</v>
      </c>
      <c r="CA2029" s="138">
        <f t="shared" si="1497"/>
        <v>4</v>
      </c>
      <c r="CB2029" s="111" t="e">
        <f t="shared" si="1515"/>
        <v>#VALUE!</v>
      </c>
      <c r="CC2029" s="129">
        <f>G2029-I2029+1</f>
        <v>4</v>
      </c>
      <c r="CD2029" s="129">
        <f>G2029-J2029</f>
        <v>0</v>
      </c>
      <c r="CG2029" s="129" t="str">
        <f t="shared" si="1498"/>
        <v>Y</v>
      </c>
      <c r="CI2029" s="129" t="str">
        <f t="shared" si="1499"/>
        <v>0-10 DAYS</v>
      </c>
      <c r="CJ2029" s="137">
        <f t="shared" si="1500"/>
        <v>1</v>
      </c>
      <c r="CK2029" s="129" t="str">
        <f t="shared" si="1501"/>
        <v>Booked</v>
      </c>
    </row>
    <row r="2030" spans="1:89" ht="15" customHeight="1" x14ac:dyDescent="0.25">
      <c r="A2030" s="111">
        <v>3071</v>
      </c>
      <c r="B2030" s="128" t="str">
        <f t="shared" si="1481"/>
        <v>N</v>
      </c>
      <c r="C2030" s="128" t="str">
        <f t="shared" si="1482"/>
        <v>N</v>
      </c>
      <c r="D2030" s="117">
        <v>2388400</v>
      </c>
      <c r="E2030" s="135">
        <f t="shared" si="1483"/>
        <v>2</v>
      </c>
      <c r="F2030" s="124">
        <v>41023</v>
      </c>
      <c r="G2030" s="125">
        <v>41148</v>
      </c>
      <c r="H2030" s="117">
        <v>2388400</v>
      </c>
      <c r="I2030" s="124">
        <v>41023</v>
      </c>
      <c r="J2030" s="124">
        <v>41025</v>
      </c>
      <c r="K2030" s="126">
        <v>30000</v>
      </c>
      <c r="L2030" s="129" t="s">
        <v>572</v>
      </c>
      <c r="M2030" s="125">
        <v>41025</v>
      </c>
      <c r="N2030" s="129" t="str">
        <f t="shared" si="1518"/>
        <v>Y</v>
      </c>
      <c r="O2030" s="128" t="s">
        <v>76</v>
      </c>
      <c r="P2030" s="129" t="s">
        <v>589</v>
      </c>
      <c r="Q2030" s="111">
        <f t="shared" si="1509"/>
        <v>3</v>
      </c>
      <c r="R2030" s="111">
        <f t="shared" si="1508"/>
        <v>126</v>
      </c>
      <c r="S2030" s="129">
        <v>1</v>
      </c>
      <c r="T2030" s="129">
        <v>0</v>
      </c>
      <c r="U2030" s="129">
        <v>1</v>
      </c>
      <c r="W2030" s="111"/>
      <c r="AC2030" s="130"/>
      <c r="AD2030" s="130">
        <v>33473</v>
      </c>
      <c r="AE2030" s="128" t="s">
        <v>32</v>
      </c>
      <c r="AF2030" s="128" t="s">
        <v>69</v>
      </c>
      <c r="AG2030" s="128" t="s">
        <v>874</v>
      </c>
      <c r="AH2030" s="108" t="s">
        <v>31</v>
      </c>
      <c r="AI2030" s="128" t="s">
        <v>100</v>
      </c>
      <c r="AJ2030" s="129" t="s">
        <v>48</v>
      </c>
      <c r="AK2030" s="129">
        <v>6</v>
      </c>
      <c r="AL2030" s="3" t="s">
        <v>48</v>
      </c>
      <c r="AP2030" s="129" t="s">
        <v>205</v>
      </c>
      <c r="AR2030" s="128" t="s">
        <v>92</v>
      </c>
      <c r="AS2030" s="129" t="s">
        <v>82</v>
      </c>
      <c r="BC2030" s="129" t="s">
        <v>52</v>
      </c>
      <c r="BF2030" s="111">
        <f t="shared" si="1513"/>
        <v>3</v>
      </c>
      <c r="BG2030" s="111">
        <f t="shared" si="1514"/>
        <v>126</v>
      </c>
      <c r="BH2030" s="111">
        <f t="shared" si="1478"/>
        <v>126</v>
      </c>
      <c r="BI2030" s="111">
        <f t="shared" si="1479"/>
        <v>20.628415300546447</v>
      </c>
      <c r="BJ2030" s="129">
        <f>(G2030-J2030)+(M2030-G2030)</f>
        <v>0</v>
      </c>
      <c r="BK2030" s="129">
        <f t="shared" si="1480"/>
        <v>-123</v>
      </c>
      <c r="BL2030" s="129" t="str">
        <f t="shared" si="1511"/>
        <v>DEFERRED</v>
      </c>
      <c r="BM2030" s="129" t="s">
        <v>76</v>
      </c>
      <c r="BN2030" s="129" t="s">
        <v>88</v>
      </c>
      <c r="BP2030" s="137" t="str">
        <f t="shared" si="1487"/>
        <v>DEFERRED</v>
      </c>
      <c r="BQ2030" s="128" t="str">
        <f t="shared" si="1488"/>
        <v>Y</v>
      </c>
      <c r="BR2030" s="129" t="str">
        <f t="shared" si="1489"/>
        <v>ON BOND</v>
      </c>
      <c r="BS2030" s="129" t="str">
        <f t="shared" si="1490"/>
        <v>DISPOSED</v>
      </c>
      <c r="BT2030" s="129" t="str">
        <f t="shared" si="1491"/>
        <v>Y</v>
      </c>
      <c r="BU2030" s="109">
        <f t="shared" si="1492"/>
        <v>2.3809523809523808E-2</v>
      </c>
      <c r="BV2030" s="109">
        <f t="shared" si="1493"/>
        <v>2.3809523809523808E-2</v>
      </c>
      <c r="BW2030" s="109">
        <f t="shared" si="1519"/>
        <v>0</v>
      </c>
      <c r="BX2030" s="111">
        <f t="shared" si="1494"/>
        <v>0</v>
      </c>
      <c r="BY2030" s="129">
        <f t="shared" si="1495"/>
        <v>-3</v>
      </c>
      <c r="BZ2030" s="111">
        <f t="shared" si="1496"/>
        <v>0</v>
      </c>
      <c r="CA2030" s="138">
        <f t="shared" si="1497"/>
        <v>3</v>
      </c>
      <c r="CB2030" s="111" t="e">
        <f t="shared" si="1515"/>
        <v>#VALUE!</v>
      </c>
      <c r="CC2030" s="129">
        <f>M2030-I2030+1</f>
        <v>3</v>
      </c>
      <c r="CD2030" s="111">
        <f>CC2030-BF2030</f>
        <v>0</v>
      </c>
      <c r="CG2030" s="129" t="str">
        <f t="shared" si="1498"/>
        <v>Y</v>
      </c>
      <c r="CI2030" s="129" t="str">
        <f t="shared" si="1499"/>
        <v>0-10 DAYS</v>
      </c>
      <c r="CJ2030" s="137">
        <f t="shared" si="1500"/>
        <v>1</v>
      </c>
      <c r="CK2030" s="129" t="str">
        <f t="shared" si="1501"/>
        <v>Booked</v>
      </c>
    </row>
    <row r="2031" spans="1:89" ht="15.75" customHeight="1" x14ac:dyDescent="0.25">
      <c r="A2031" s="111">
        <v>402</v>
      </c>
      <c r="B2031" s="128" t="str">
        <f t="shared" si="1481"/>
        <v>N</v>
      </c>
      <c r="C2031" s="128" t="str">
        <f t="shared" si="1482"/>
        <v>N</v>
      </c>
      <c r="D2031" s="117">
        <v>2388796</v>
      </c>
      <c r="E2031" s="135">
        <f t="shared" si="1483"/>
        <v>2</v>
      </c>
      <c r="F2031" s="124">
        <v>40925</v>
      </c>
      <c r="G2031" s="125">
        <v>41192</v>
      </c>
      <c r="H2031" s="117">
        <v>2388796</v>
      </c>
      <c r="I2031" s="124">
        <v>40926</v>
      </c>
      <c r="J2031" s="124">
        <v>40927</v>
      </c>
      <c r="K2031" s="126">
        <v>5000</v>
      </c>
      <c r="L2031" s="127" t="s">
        <v>569</v>
      </c>
      <c r="M2031" s="125">
        <v>40927</v>
      </c>
      <c r="N2031" s="129" t="str">
        <f t="shared" si="1518"/>
        <v>Y</v>
      </c>
      <c r="O2031" s="128" t="s">
        <v>76</v>
      </c>
      <c r="P2031" s="129" t="s">
        <v>589</v>
      </c>
      <c r="Q2031" s="111">
        <f t="shared" si="1509"/>
        <v>2</v>
      </c>
      <c r="R2031" s="111">
        <f t="shared" si="1508"/>
        <v>268</v>
      </c>
      <c r="S2031" s="129">
        <v>0</v>
      </c>
      <c r="T2031" s="129">
        <v>0</v>
      </c>
      <c r="W2031" s="111"/>
      <c r="AC2031" s="130"/>
      <c r="AD2031" s="130">
        <v>32129</v>
      </c>
      <c r="AE2031" s="128" t="s">
        <v>32</v>
      </c>
      <c r="AF2031" s="128" t="s">
        <v>33</v>
      </c>
      <c r="AG2031" s="128" t="s">
        <v>872</v>
      </c>
      <c r="AH2031" s="108" t="s">
        <v>31</v>
      </c>
      <c r="AI2031" s="128" t="s">
        <v>95</v>
      </c>
      <c r="AJ2031" s="129" t="s">
        <v>48</v>
      </c>
      <c r="AK2031" s="129">
        <v>13</v>
      </c>
      <c r="AL2031" s="3" t="s">
        <v>48</v>
      </c>
      <c r="AP2031" s="129" t="s">
        <v>136</v>
      </c>
      <c r="AR2031" s="128" t="s">
        <v>67</v>
      </c>
      <c r="AS2031" s="129" t="s">
        <v>64</v>
      </c>
      <c r="BC2031" s="129" t="s">
        <v>38</v>
      </c>
      <c r="BF2031" s="111">
        <f t="shared" si="1513"/>
        <v>2</v>
      </c>
      <c r="BG2031" s="111">
        <f t="shared" si="1514"/>
        <v>267</v>
      </c>
      <c r="BH2031" s="111">
        <f t="shared" si="1478"/>
        <v>268</v>
      </c>
      <c r="BI2031" s="111">
        <f t="shared" si="1479"/>
        <v>24.032786885245901</v>
      </c>
      <c r="BJ2031" s="129">
        <f>(G2031-J2031)+(M2031-G2031)</f>
        <v>0</v>
      </c>
      <c r="BK2031" s="129">
        <f t="shared" si="1480"/>
        <v>-265</v>
      </c>
      <c r="BL2031" s="129" t="str">
        <f t="shared" si="1511"/>
        <v>DEFERRED</v>
      </c>
      <c r="BM2031" s="129" t="s">
        <v>76</v>
      </c>
      <c r="BN2031" s="129" t="s">
        <v>88</v>
      </c>
      <c r="BP2031" s="137" t="str">
        <f t="shared" si="1487"/>
        <v>DEFERRED</v>
      </c>
      <c r="BQ2031" s="128" t="str">
        <f t="shared" si="1488"/>
        <v>Y</v>
      </c>
      <c r="BR2031" s="129" t="str">
        <f t="shared" si="1489"/>
        <v>ON BOND</v>
      </c>
      <c r="BS2031" s="129" t="str">
        <f t="shared" si="1490"/>
        <v>DISPOSED</v>
      </c>
      <c r="BT2031" s="129" t="str">
        <f t="shared" si="1491"/>
        <v>N</v>
      </c>
      <c r="BU2031" s="109">
        <f t="shared" si="1492"/>
        <v>7.462686567164179E-3</v>
      </c>
      <c r="BV2031" s="109">
        <f t="shared" si="1493"/>
        <v>7.4906367041198503E-3</v>
      </c>
      <c r="BW2031" s="109">
        <f t="shared" si="1519"/>
        <v>2.7950136955671306E-5</v>
      </c>
      <c r="BX2031" s="111">
        <f t="shared" si="1494"/>
        <v>0</v>
      </c>
      <c r="BY2031" s="129">
        <f t="shared" si="1495"/>
        <v>-2</v>
      </c>
      <c r="BZ2031" s="111">
        <f t="shared" si="1496"/>
        <v>0</v>
      </c>
      <c r="CA2031" s="138">
        <f t="shared" si="1497"/>
        <v>2</v>
      </c>
      <c r="CB2031" s="111" t="e">
        <f t="shared" si="1515"/>
        <v>#VALUE!</v>
      </c>
      <c r="CC2031" s="129">
        <f>M2031-I2031+1</f>
        <v>2</v>
      </c>
      <c r="CD2031" s="111">
        <f>CC2031-BF2031</f>
        <v>0</v>
      </c>
      <c r="CG2031" s="129" t="str">
        <f t="shared" si="1498"/>
        <v>N</v>
      </c>
      <c r="CI2031" s="129" t="str">
        <f t="shared" si="1499"/>
        <v>0-10 DAYS</v>
      </c>
      <c r="CJ2031" s="137">
        <f t="shared" si="1500"/>
        <v>1</v>
      </c>
      <c r="CK2031" s="129" t="str">
        <f t="shared" si="1501"/>
        <v>Booked</v>
      </c>
    </row>
    <row r="2032" spans="1:89" ht="15.75" customHeight="1" x14ac:dyDescent="0.25">
      <c r="A2032" s="111">
        <v>2262</v>
      </c>
      <c r="B2032" s="128" t="str">
        <f t="shared" si="1481"/>
        <v>N</v>
      </c>
      <c r="C2032" s="128" t="str">
        <f t="shared" si="1482"/>
        <v>N</v>
      </c>
      <c r="D2032" s="117">
        <v>2389259</v>
      </c>
      <c r="E2032" s="135">
        <f t="shared" si="1483"/>
        <v>2</v>
      </c>
      <c r="F2032" s="124">
        <v>40995</v>
      </c>
      <c r="G2032" s="125">
        <v>41019</v>
      </c>
      <c r="H2032" s="117">
        <v>2389259</v>
      </c>
      <c r="I2032" s="124">
        <v>40995</v>
      </c>
      <c r="J2032" s="124">
        <v>41019</v>
      </c>
      <c r="K2032" s="126" t="s">
        <v>564</v>
      </c>
      <c r="L2032" s="127" t="s">
        <v>564</v>
      </c>
      <c r="N2032" s="129" t="s">
        <v>566</v>
      </c>
      <c r="O2032" s="128" t="s">
        <v>917</v>
      </c>
      <c r="P2032" s="129" t="s">
        <v>589</v>
      </c>
      <c r="Q2032" s="111">
        <f t="shared" si="1509"/>
        <v>25</v>
      </c>
      <c r="R2032" s="111">
        <f t="shared" si="1508"/>
        <v>25</v>
      </c>
      <c r="S2032" s="129">
        <v>1</v>
      </c>
      <c r="T2032" s="129">
        <v>0</v>
      </c>
      <c r="V2032" s="117">
        <v>1</v>
      </c>
      <c r="W2032" s="111"/>
      <c r="AC2032" s="130"/>
      <c r="AD2032" s="130">
        <v>30873</v>
      </c>
      <c r="AE2032" s="128" t="s">
        <v>32</v>
      </c>
      <c r="AF2032" s="128" t="s">
        <v>69</v>
      </c>
      <c r="AG2032" s="128" t="s">
        <v>874</v>
      </c>
      <c r="AH2032" s="108" t="s">
        <v>58</v>
      </c>
      <c r="AI2032" s="128" t="s">
        <v>85</v>
      </c>
      <c r="AJ2032" s="129" t="s">
        <v>48</v>
      </c>
      <c r="AK2032" s="129">
        <v>3</v>
      </c>
      <c r="AL2032" s="3" t="s">
        <v>48</v>
      </c>
      <c r="AP2032" s="129" t="s">
        <v>43</v>
      </c>
      <c r="AR2032" s="128" t="s">
        <v>44</v>
      </c>
      <c r="AS2032" s="129" t="s">
        <v>45</v>
      </c>
      <c r="BC2032" s="129" t="s">
        <v>38</v>
      </c>
      <c r="BF2032" s="111">
        <f t="shared" si="1513"/>
        <v>25</v>
      </c>
      <c r="BG2032" s="111">
        <f t="shared" si="1514"/>
        <v>25</v>
      </c>
      <c r="BH2032" s="111">
        <f t="shared" si="1478"/>
        <v>25</v>
      </c>
      <c r="BI2032" s="111">
        <f t="shared" si="1479"/>
        <v>27.655737704918032</v>
      </c>
      <c r="BJ2032" s="129">
        <f t="shared" si="1485"/>
        <v>0</v>
      </c>
      <c r="BK2032" s="129">
        <f t="shared" si="1480"/>
        <v>0</v>
      </c>
      <c r="BL2032" s="129" t="str">
        <f t="shared" si="1511"/>
        <v>DEFERRED</v>
      </c>
      <c r="BM2032" s="129" t="str">
        <f t="shared" si="1486"/>
        <v>NONE</v>
      </c>
      <c r="BN2032" s="129" t="s">
        <v>566</v>
      </c>
      <c r="BP2032" s="137" t="str">
        <f t="shared" si="1487"/>
        <v>DEFERRED</v>
      </c>
      <c r="BQ2032" s="128" t="str">
        <f t="shared" si="1488"/>
        <v>Y</v>
      </c>
      <c r="BR2032" s="129" t="str">
        <f t="shared" si="1489"/>
        <v>DETAINED</v>
      </c>
      <c r="BS2032" s="129" t="str">
        <f t="shared" si="1490"/>
        <v>DISPOSED</v>
      </c>
      <c r="BT2032" s="129" t="str">
        <f t="shared" si="1491"/>
        <v>Y</v>
      </c>
      <c r="BU2032" s="109">
        <f t="shared" si="1492"/>
        <v>1</v>
      </c>
      <c r="BV2032" s="109">
        <f t="shared" si="1493"/>
        <v>1</v>
      </c>
      <c r="BW2032" s="109">
        <f t="shared" si="1519"/>
        <v>0</v>
      </c>
      <c r="BX2032" s="111">
        <f t="shared" si="1494"/>
        <v>0</v>
      </c>
      <c r="BY2032" s="129">
        <f t="shared" si="1495"/>
        <v>-25</v>
      </c>
      <c r="BZ2032" s="111">
        <f t="shared" si="1496"/>
        <v>0</v>
      </c>
      <c r="CA2032" s="138">
        <f t="shared" si="1497"/>
        <v>25</v>
      </c>
      <c r="CB2032" s="111" t="e">
        <f t="shared" si="1515"/>
        <v>#VALUE!</v>
      </c>
      <c r="CC2032" s="129">
        <f>G2032-I2032+1</f>
        <v>25</v>
      </c>
      <c r="CD2032" s="129">
        <f>G2032-J2032</f>
        <v>0</v>
      </c>
      <c r="CG2032" s="129" t="str">
        <f t="shared" si="1498"/>
        <v>Y</v>
      </c>
      <c r="CI2032" s="129" t="str">
        <f t="shared" si="1499"/>
        <v>11-30 DAYS</v>
      </c>
      <c r="CJ2032" s="137">
        <f t="shared" si="1500"/>
        <v>2</v>
      </c>
      <c r="CK2032" s="129" t="str">
        <f t="shared" si="1501"/>
        <v>Booked</v>
      </c>
    </row>
    <row r="2033" spans="1:89" ht="15" customHeight="1" x14ac:dyDescent="0.25">
      <c r="A2033" s="111">
        <v>857</v>
      </c>
      <c r="B2033" s="128" t="str">
        <f t="shared" si="1481"/>
        <v>N</v>
      </c>
      <c r="C2033" s="128" t="str">
        <f t="shared" si="1482"/>
        <v>N</v>
      </c>
      <c r="D2033" s="117">
        <v>2389361</v>
      </c>
      <c r="E2033" s="135">
        <f t="shared" si="1483"/>
        <v>1</v>
      </c>
      <c r="F2033" s="124">
        <v>40940</v>
      </c>
      <c r="G2033" s="125">
        <v>41151</v>
      </c>
      <c r="H2033" s="117">
        <v>2389361</v>
      </c>
      <c r="I2033" s="124">
        <v>40941</v>
      </c>
      <c r="J2033" s="124">
        <v>40943</v>
      </c>
      <c r="K2033" s="126">
        <v>30000</v>
      </c>
      <c r="L2033" s="129" t="s">
        <v>572</v>
      </c>
      <c r="M2033" s="125">
        <v>40943</v>
      </c>
      <c r="N2033" s="129" t="str">
        <f>IF(M2033&gt;1/1/1,"Y","N")</f>
        <v>Y</v>
      </c>
      <c r="O2033" s="128" t="s">
        <v>76</v>
      </c>
      <c r="P2033" s="129" t="s">
        <v>55</v>
      </c>
      <c r="Q2033" s="111">
        <f t="shared" si="1509"/>
        <v>3</v>
      </c>
      <c r="R2033" s="111">
        <f t="shared" si="1508"/>
        <v>212</v>
      </c>
      <c r="S2033" s="129">
        <v>1</v>
      </c>
      <c r="T2033" s="129">
        <v>0</v>
      </c>
      <c r="U2033" s="129">
        <v>1</v>
      </c>
      <c r="W2033" s="111"/>
      <c r="AC2033" s="130"/>
      <c r="AD2033" s="130">
        <v>32902</v>
      </c>
      <c r="AE2033" s="128" t="s">
        <v>32</v>
      </c>
      <c r="AF2033" s="128" t="s">
        <v>33</v>
      </c>
      <c r="AG2033" s="128" t="s">
        <v>872</v>
      </c>
      <c r="AH2033" s="108" t="s">
        <v>31</v>
      </c>
      <c r="AI2033" s="128" t="s">
        <v>95</v>
      </c>
      <c r="AJ2033" s="129" t="s">
        <v>55</v>
      </c>
      <c r="AK2033" s="129">
        <v>9</v>
      </c>
      <c r="AL2033" s="3" t="s">
        <v>55</v>
      </c>
      <c r="AP2033" s="129" t="s">
        <v>101</v>
      </c>
      <c r="AR2033" s="128" t="s">
        <v>67</v>
      </c>
      <c r="AS2033" s="129" t="s">
        <v>64</v>
      </c>
      <c r="BC2033" s="129" t="s">
        <v>52</v>
      </c>
      <c r="BF2033" s="111">
        <f t="shared" si="1513"/>
        <v>3</v>
      </c>
      <c r="BG2033" s="111">
        <f t="shared" si="1514"/>
        <v>211</v>
      </c>
      <c r="BH2033" s="111">
        <f t="shared" si="1478"/>
        <v>212</v>
      </c>
      <c r="BI2033" s="111">
        <f t="shared" si="1479"/>
        <v>21.961748633879782</v>
      </c>
      <c r="BJ2033" s="129">
        <f>(G2033-J2033)+(M2033-G2033)</f>
        <v>0</v>
      </c>
      <c r="BK2033" s="129">
        <f t="shared" si="1480"/>
        <v>-208</v>
      </c>
      <c r="BL2033" s="129" t="str">
        <f t="shared" si="1511"/>
        <v>NO CONVICTION</v>
      </c>
      <c r="BM2033" s="129" t="s">
        <v>76</v>
      </c>
      <c r="BN2033" s="129" t="s">
        <v>88</v>
      </c>
      <c r="BP2033" s="137" t="str">
        <f t="shared" si="1487"/>
        <v>NO CONVICTION</v>
      </c>
      <c r="BQ2033" s="128" t="str">
        <f t="shared" si="1488"/>
        <v>Y</v>
      </c>
      <c r="BR2033" s="129" t="str">
        <f t="shared" si="1489"/>
        <v>ON BOND</v>
      </c>
      <c r="BS2033" s="129" t="str">
        <f t="shared" si="1490"/>
        <v>DISPOSED</v>
      </c>
      <c r="BT2033" s="129" t="str">
        <f t="shared" si="1491"/>
        <v>Y</v>
      </c>
      <c r="BU2033" s="109">
        <f>IFERROR(Q2033/R2033,BR2033)</f>
        <v>1.4150943396226415E-2</v>
      </c>
      <c r="BV2033" s="109">
        <f t="shared" si="1493"/>
        <v>1.4218009478672985E-2</v>
      </c>
      <c r="BW2033" s="109">
        <f t="shared" si="1519"/>
        <v>6.7066082446569711E-5</v>
      </c>
      <c r="BX2033" s="111">
        <f t="shared" si="1494"/>
        <v>0</v>
      </c>
      <c r="BY2033" s="129">
        <f t="shared" si="1495"/>
        <v>-3</v>
      </c>
      <c r="BZ2033" s="111">
        <f t="shared" si="1496"/>
        <v>0</v>
      </c>
      <c r="CA2033" s="138">
        <f t="shared" si="1497"/>
        <v>3</v>
      </c>
      <c r="CB2033" s="111" t="e">
        <f t="shared" si="1515"/>
        <v>#VALUE!</v>
      </c>
      <c r="CC2033" s="129">
        <f>M2033-I2033+1</f>
        <v>3</v>
      </c>
      <c r="CD2033" s="111">
        <f>CC2033-BF2033</f>
        <v>0</v>
      </c>
      <c r="CG2033" s="129" t="str">
        <f t="shared" si="1498"/>
        <v>Y</v>
      </c>
      <c r="CI2033" s="129" t="str">
        <f t="shared" si="1499"/>
        <v>0-10 DAYS</v>
      </c>
      <c r="CJ2033" s="137">
        <f t="shared" si="1500"/>
        <v>1</v>
      </c>
      <c r="CK2033" s="129" t="str">
        <f t="shared" si="1501"/>
        <v>Booked</v>
      </c>
    </row>
    <row r="2034" spans="1:89" ht="15.75" customHeight="1" x14ac:dyDescent="0.25">
      <c r="A2034" s="111">
        <v>2214</v>
      </c>
      <c r="B2034" s="128" t="str">
        <f t="shared" si="1481"/>
        <v>N</v>
      </c>
      <c r="C2034" s="128" t="str">
        <f t="shared" si="1482"/>
        <v>N</v>
      </c>
      <c r="D2034" s="117">
        <v>2389763</v>
      </c>
      <c r="E2034" s="135">
        <f t="shared" si="1483"/>
        <v>2</v>
      </c>
      <c r="F2034" s="124">
        <v>40992</v>
      </c>
      <c r="G2034" s="125">
        <v>41074</v>
      </c>
      <c r="H2034" s="117">
        <v>2389763</v>
      </c>
      <c r="I2034" s="124" t="s">
        <v>562</v>
      </c>
      <c r="J2034" s="124" t="s">
        <v>562</v>
      </c>
      <c r="K2034" s="126">
        <v>2000</v>
      </c>
      <c r="L2034" s="127" t="s">
        <v>568</v>
      </c>
      <c r="M2034" s="125">
        <v>40993</v>
      </c>
      <c r="N2034" s="129" t="str">
        <f>IF(M2034&gt;1/1/1,"Y",IF(Q2034="0","","N"))</f>
        <v>Y</v>
      </c>
      <c r="O2034" s="128" t="s">
        <v>76</v>
      </c>
      <c r="P2034" s="129" t="s">
        <v>589</v>
      </c>
      <c r="Q2034" s="111">
        <f t="shared" si="1509"/>
        <v>0</v>
      </c>
      <c r="R2034" s="111">
        <f t="shared" si="1508"/>
        <v>83</v>
      </c>
      <c r="S2034" s="129">
        <v>1</v>
      </c>
      <c r="T2034" s="129">
        <v>0</v>
      </c>
      <c r="V2034" s="117">
        <v>1</v>
      </c>
      <c r="W2034" s="111"/>
      <c r="AC2034" s="130"/>
      <c r="AD2034" s="130">
        <v>32742</v>
      </c>
      <c r="AE2034" s="128" t="s">
        <v>32</v>
      </c>
      <c r="AF2034" s="128" t="s">
        <v>33</v>
      </c>
      <c r="AG2034" s="128" t="s">
        <v>872</v>
      </c>
      <c r="AH2034" s="108" t="s">
        <v>58</v>
      </c>
      <c r="AI2034" s="128" t="s">
        <v>95</v>
      </c>
      <c r="AJ2034" s="129" t="s">
        <v>48</v>
      </c>
      <c r="AK2034" s="129">
        <v>4</v>
      </c>
      <c r="AL2034" s="3" t="s">
        <v>48</v>
      </c>
      <c r="AP2034" s="129" t="s">
        <v>175</v>
      </c>
      <c r="AR2034" s="128" t="s">
        <v>44</v>
      </c>
      <c r="AS2034" s="129" t="s">
        <v>45</v>
      </c>
      <c r="BC2034" s="129" t="s">
        <v>52</v>
      </c>
      <c r="BF2034" s="111">
        <v>0</v>
      </c>
      <c r="BG2034" s="111">
        <v>0</v>
      </c>
      <c r="BH2034" s="111">
        <f t="shared" si="1478"/>
        <v>83</v>
      </c>
      <c r="BI2034" s="111">
        <f t="shared" si="1479"/>
        <v>22.540983606557376</v>
      </c>
      <c r="BJ2034" s="129" t="e">
        <f>(G2034-J2034)+(M2034-G2034)</f>
        <v>#VALUE!</v>
      </c>
      <c r="BK2034" s="129" t="e">
        <f t="shared" si="1480"/>
        <v>#VALUE!</v>
      </c>
      <c r="BL2034" s="129" t="str">
        <f t="shared" si="1511"/>
        <v>DEFERRED</v>
      </c>
      <c r="BM2034" s="129" t="s">
        <v>76</v>
      </c>
      <c r="BN2034" s="129" t="s">
        <v>88</v>
      </c>
      <c r="BP2034" s="137" t="str">
        <f t="shared" si="1487"/>
        <v>DEFERRED</v>
      </c>
      <c r="BQ2034" s="128">
        <f t="shared" si="1488"/>
        <v>0</v>
      </c>
      <c r="BR2034" s="129" t="s">
        <v>575</v>
      </c>
      <c r="BS2034" s="129" t="str">
        <f t="shared" si="1490"/>
        <v>DISPOSED</v>
      </c>
      <c r="BT2034" s="129" t="str">
        <f t="shared" si="1491"/>
        <v>Y</v>
      </c>
      <c r="BU2034" s="109">
        <f t="shared" si="1492"/>
        <v>0</v>
      </c>
      <c r="BV2034" s="109">
        <v>0</v>
      </c>
      <c r="BW2034" s="109">
        <f t="shared" si="1519"/>
        <v>0</v>
      </c>
      <c r="BX2034" s="111">
        <f t="shared" si="1494"/>
        <v>0</v>
      </c>
      <c r="BY2034" s="129" t="e">
        <f t="shared" si="1495"/>
        <v>#VALUE!</v>
      </c>
      <c r="BZ2034" s="111" t="e">
        <f t="shared" si="1496"/>
        <v>#VALUE!</v>
      </c>
      <c r="CA2034" s="138" t="e">
        <f t="shared" si="1497"/>
        <v>#VALUE!</v>
      </c>
      <c r="CB2034" s="111">
        <v>0</v>
      </c>
      <c r="CC2034" s="129">
        <v>0</v>
      </c>
      <c r="CD2034" s="111">
        <f>CC2034-BF2034</f>
        <v>0</v>
      </c>
      <c r="CG2034" s="129" t="str">
        <f t="shared" si="1498"/>
        <v>Y</v>
      </c>
      <c r="CI2034" s="129" t="str">
        <f t="shared" si="1499"/>
        <v>0-10 DAYS</v>
      </c>
      <c r="CJ2034" s="137">
        <f t="shared" si="1500"/>
        <v>1</v>
      </c>
      <c r="CK2034" s="129" t="str">
        <f t="shared" si="1501"/>
        <v>Not Booked</v>
      </c>
    </row>
    <row r="2035" spans="1:89" ht="15" customHeight="1" x14ac:dyDescent="0.25">
      <c r="A2035" s="111">
        <v>22</v>
      </c>
      <c r="B2035" s="128" t="str">
        <f t="shared" si="1481"/>
        <v>N</v>
      </c>
      <c r="C2035" s="128" t="str">
        <f t="shared" si="1482"/>
        <v>N</v>
      </c>
      <c r="D2035" s="117">
        <v>2391046</v>
      </c>
      <c r="E2035" s="135">
        <f t="shared" si="1483"/>
        <v>6</v>
      </c>
      <c r="F2035" s="124">
        <v>40910</v>
      </c>
      <c r="G2035" s="125">
        <v>41137</v>
      </c>
      <c r="H2035" s="117">
        <v>2391046</v>
      </c>
      <c r="I2035" s="124">
        <v>40910</v>
      </c>
      <c r="J2035" s="124">
        <v>41137</v>
      </c>
      <c r="K2035" s="126" t="s">
        <v>564</v>
      </c>
      <c r="L2035" s="127" t="s">
        <v>564</v>
      </c>
      <c r="N2035" s="129" t="s">
        <v>566</v>
      </c>
      <c r="O2035" s="128" t="s">
        <v>917</v>
      </c>
      <c r="P2035" s="129" t="s">
        <v>39</v>
      </c>
      <c r="Q2035" s="111">
        <f t="shared" si="1509"/>
        <v>228</v>
      </c>
      <c r="R2035" s="111">
        <f t="shared" si="1508"/>
        <v>228</v>
      </c>
      <c r="S2035" s="129">
        <v>1</v>
      </c>
      <c r="T2035" s="129">
        <v>4</v>
      </c>
      <c r="U2035" s="129">
        <v>1</v>
      </c>
      <c r="V2035" s="117">
        <v>1</v>
      </c>
      <c r="W2035" s="111"/>
      <c r="AC2035" s="130"/>
      <c r="AD2035" s="130">
        <v>33176</v>
      </c>
      <c r="AE2035" s="128" t="s">
        <v>32</v>
      </c>
      <c r="AF2035" s="128" t="s">
        <v>40</v>
      </c>
      <c r="AG2035" s="128" t="s">
        <v>41</v>
      </c>
      <c r="AH2035" s="108" t="s">
        <v>41</v>
      </c>
      <c r="AI2035" s="128" t="s">
        <v>47</v>
      </c>
      <c r="AJ2035" s="129" t="s">
        <v>89</v>
      </c>
      <c r="AK2035" s="129">
        <v>7</v>
      </c>
      <c r="AL2035" s="3" t="s">
        <v>362</v>
      </c>
      <c r="AM2035" s="117">
        <v>5</v>
      </c>
      <c r="AP2035" s="129" t="s">
        <v>73</v>
      </c>
      <c r="AR2035" s="128" t="s">
        <v>50</v>
      </c>
      <c r="AS2035" s="129" t="s">
        <v>74</v>
      </c>
      <c r="BC2035" s="129" t="s">
        <v>38</v>
      </c>
      <c r="BF2035" s="111">
        <f>IF(J2035&gt;1/1/1900,((J2035+1)-I2035),"STILL OPEN")</f>
        <v>228</v>
      </c>
      <c r="BG2035" s="111">
        <f t="shared" ref="BG2035:BG2044" si="1520">IF(G2035&gt;1/1/1900,((G2035+1)-I2035),"STILL OPEN")</f>
        <v>228</v>
      </c>
      <c r="BH2035" s="111">
        <f t="shared" si="1478"/>
        <v>228</v>
      </c>
      <c r="BI2035" s="111">
        <f t="shared" si="1479"/>
        <v>21.131147540983605</v>
      </c>
      <c r="BJ2035" s="129">
        <f t="shared" si="1485"/>
        <v>0</v>
      </c>
      <c r="BK2035" s="129">
        <f t="shared" si="1480"/>
        <v>0</v>
      </c>
      <c r="BL2035" s="129" t="str">
        <f t="shared" si="1511"/>
        <v>CONVICTION</v>
      </c>
      <c r="BM2035" s="129" t="str">
        <f t="shared" si="1486"/>
        <v>NONE</v>
      </c>
      <c r="BN2035" s="129" t="s">
        <v>566</v>
      </c>
      <c r="BP2035" s="137" t="str">
        <f t="shared" si="1487"/>
        <v>CONVICTION</v>
      </c>
      <c r="BQ2035" s="128" t="str">
        <f t="shared" si="1488"/>
        <v>Y</v>
      </c>
      <c r="BR2035" s="129" t="str">
        <f t="shared" si="1489"/>
        <v>DETAINED</v>
      </c>
      <c r="BS2035" s="129" t="str">
        <f t="shared" si="1490"/>
        <v>DISPOSED</v>
      </c>
      <c r="BT2035" s="129" t="str">
        <f t="shared" si="1491"/>
        <v>Y</v>
      </c>
      <c r="BU2035" s="109">
        <f t="shared" si="1492"/>
        <v>1</v>
      </c>
      <c r="BV2035" s="109">
        <f t="shared" si="1493"/>
        <v>1</v>
      </c>
      <c r="BW2035" s="109">
        <f t="shared" si="1519"/>
        <v>0</v>
      </c>
      <c r="BX2035" s="111">
        <f t="shared" si="1494"/>
        <v>0</v>
      </c>
      <c r="BY2035" s="129">
        <f t="shared" si="1495"/>
        <v>-228</v>
      </c>
      <c r="BZ2035" s="111">
        <f t="shared" si="1496"/>
        <v>0</v>
      </c>
      <c r="CA2035" s="138">
        <f t="shared" si="1497"/>
        <v>228</v>
      </c>
      <c r="CB2035" s="111" t="e">
        <f>IF(AF2035&gt;1/1/1900,((AF2035+1)-AE2035),"STILL OPEN")</f>
        <v>#VALUE!</v>
      </c>
      <c r="CC2035" s="129">
        <f>G2035-I2035+1</f>
        <v>228</v>
      </c>
      <c r="CD2035" s="129">
        <f>G2035-J2035</f>
        <v>0</v>
      </c>
      <c r="CG2035" s="129" t="str">
        <f t="shared" si="1498"/>
        <v>Y</v>
      </c>
      <c r="CI2035" s="129" t="str">
        <f t="shared" si="1499"/>
        <v>121-365 DAYS</v>
      </c>
      <c r="CJ2035" s="137">
        <f t="shared" si="1500"/>
        <v>6</v>
      </c>
      <c r="CK2035" s="129" t="str">
        <f t="shared" si="1501"/>
        <v>Booked</v>
      </c>
    </row>
    <row r="2036" spans="1:89" ht="15" customHeight="1" x14ac:dyDescent="0.25">
      <c r="A2036" s="111">
        <v>1613</v>
      </c>
      <c r="B2036" s="128" t="str">
        <f t="shared" si="1481"/>
        <v>N</v>
      </c>
      <c r="C2036" s="128" t="str">
        <f t="shared" si="1482"/>
        <v>N</v>
      </c>
      <c r="D2036" s="117">
        <v>2391251</v>
      </c>
      <c r="E2036" s="135">
        <f t="shared" si="1483"/>
        <v>2</v>
      </c>
      <c r="F2036" s="124">
        <v>40968</v>
      </c>
      <c r="G2036" s="125">
        <v>40990</v>
      </c>
      <c r="H2036" s="117">
        <v>2391251</v>
      </c>
      <c r="I2036" s="124">
        <v>40969</v>
      </c>
      <c r="J2036" s="124">
        <v>40978</v>
      </c>
      <c r="K2036" s="126">
        <v>10000</v>
      </c>
      <c r="L2036" s="127" t="s">
        <v>570</v>
      </c>
      <c r="M2036" s="125">
        <v>40978</v>
      </c>
      <c r="N2036" s="129" t="str">
        <f>IF(M2036&gt;1/1/1,"Y","N")</f>
        <v>Y</v>
      </c>
      <c r="O2036" s="128" t="s">
        <v>76</v>
      </c>
      <c r="P2036" s="129" t="s">
        <v>589</v>
      </c>
      <c r="Q2036" s="111">
        <f t="shared" si="1509"/>
        <v>10</v>
      </c>
      <c r="R2036" s="111">
        <f t="shared" si="1508"/>
        <v>23</v>
      </c>
      <c r="S2036" s="129">
        <v>0</v>
      </c>
      <c r="T2036" s="129">
        <v>0</v>
      </c>
      <c r="W2036" s="111"/>
      <c r="AC2036" s="130"/>
      <c r="AD2036" s="130">
        <v>33277</v>
      </c>
      <c r="AE2036" s="128" t="s">
        <v>32</v>
      </c>
      <c r="AF2036" s="128" t="s">
        <v>33</v>
      </c>
      <c r="AG2036" s="128" t="s">
        <v>872</v>
      </c>
      <c r="AH2036" s="108" t="s">
        <v>31</v>
      </c>
      <c r="AI2036" s="128" t="s">
        <v>85</v>
      </c>
      <c r="AJ2036" s="129" t="s">
        <v>48</v>
      </c>
      <c r="AK2036" s="129">
        <v>3</v>
      </c>
      <c r="AL2036" s="3" t="s">
        <v>48</v>
      </c>
      <c r="AP2036" s="129" t="s">
        <v>49</v>
      </c>
      <c r="AR2036" s="128" t="s">
        <v>50</v>
      </c>
      <c r="AS2036" s="129" t="s">
        <v>45</v>
      </c>
      <c r="AT2036" s="129" t="s">
        <v>355</v>
      </c>
      <c r="BC2036" s="129" t="s">
        <v>38</v>
      </c>
      <c r="BF2036" s="111">
        <f>IF(J2036&gt;1/1/1900,((J2036+1)-I2036),"STILL OPEN")</f>
        <v>10</v>
      </c>
      <c r="BG2036" s="111">
        <f t="shared" si="1520"/>
        <v>22</v>
      </c>
      <c r="BH2036" s="111">
        <f t="shared" si="1478"/>
        <v>23</v>
      </c>
      <c r="BI2036" s="111">
        <f t="shared" si="1479"/>
        <v>21.013661202185791</v>
      </c>
      <c r="BJ2036" s="129">
        <f>(G2036-J2036)+(M2036-G2036)</f>
        <v>0</v>
      </c>
      <c r="BK2036" s="129">
        <f t="shared" si="1480"/>
        <v>-12</v>
      </c>
      <c r="BL2036" s="129" t="str">
        <f t="shared" si="1511"/>
        <v>DEFERRED</v>
      </c>
      <c r="BM2036" s="129" t="s">
        <v>76</v>
      </c>
      <c r="BN2036" s="129" t="s">
        <v>88</v>
      </c>
      <c r="BP2036" s="137" t="str">
        <f t="shared" si="1487"/>
        <v>DEFERRED</v>
      </c>
      <c r="BQ2036" s="128" t="str">
        <f t="shared" si="1488"/>
        <v>Y</v>
      </c>
      <c r="BR2036" s="129" t="str">
        <f t="shared" si="1489"/>
        <v>ON BOND</v>
      </c>
      <c r="BS2036" s="129" t="str">
        <f t="shared" si="1490"/>
        <v>DISPOSED</v>
      </c>
      <c r="BT2036" s="129" t="str">
        <f t="shared" si="1491"/>
        <v>N</v>
      </c>
      <c r="BU2036" s="109">
        <f t="shared" si="1492"/>
        <v>0.43478260869565216</v>
      </c>
      <c r="BV2036" s="109">
        <f t="shared" si="1493"/>
        <v>0.45454545454545453</v>
      </c>
      <c r="BW2036" s="109">
        <f t="shared" si="1519"/>
        <v>1.9762845849802368E-2</v>
      </c>
      <c r="BX2036" s="111">
        <f t="shared" si="1494"/>
        <v>0</v>
      </c>
      <c r="BY2036" s="129">
        <f t="shared" si="1495"/>
        <v>-10</v>
      </c>
      <c r="BZ2036" s="111">
        <f t="shared" si="1496"/>
        <v>0</v>
      </c>
      <c r="CA2036" s="138">
        <f t="shared" si="1497"/>
        <v>10</v>
      </c>
      <c r="CB2036" s="111" t="e">
        <f>IF(AF2036&gt;1/1/1900,((AF2036+1)-AE2036),"STILL OPEN")</f>
        <v>#VALUE!</v>
      </c>
      <c r="CC2036" s="129">
        <f>M2036-I2036+1</f>
        <v>10</v>
      </c>
      <c r="CD2036" s="111">
        <f>CC2036-BF2036</f>
        <v>0</v>
      </c>
      <c r="CG2036" s="129" t="str">
        <f t="shared" si="1498"/>
        <v>N</v>
      </c>
      <c r="CI2036" s="129" t="str">
        <f t="shared" si="1499"/>
        <v>0-10 DAYS</v>
      </c>
      <c r="CJ2036" s="137">
        <f t="shared" si="1500"/>
        <v>1</v>
      </c>
      <c r="CK2036" s="129" t="str">
        <f t="shared" si="1501"/>
        <v>Booked</v>
      </c>
    </row>
    <row r="2037" spans="1:89" ht="15.75" customHeight="1" x14ac:dyDescent="0.25">
      <c r="A2037" s="111">
        <v>2718</v>
      </c>
      <c r="B2037" s="128" t="str">
        <f t="shared" si="1481"/>
        <v>Y</v>
      </c>
      <c r="C2037" s="128" t="str">
        <f t="shared" si="1482"/>
        <v>Y</v>
      </c>
      <c r="D2037" s="117">
        <v>2391305</v>
      </c>
      <c r="E2037" s="135">
        <f t="shared" si="1483"/>
        <v>4</v>
      </c>
      <c r="F2037" s="124">
        <v>41010</v>
      </c>
      <c r="G2037" s="125">
        <v>41080</v>
      </c>
      <c r="H2037" s="117">
        <v>2391305</v>
      </c>
      <c r="I2037" s="124">
        <v>41010</v>
      </c>
      <c r="J2037" s="124">
        <v>41011</v>
      </c>
      <c r="K2037" s="126">
        <v>5000</v>
      </c>
      <c r="L2037" s="127" t="s">
        <v>569</v>
      </c>
      <c r="M2037" s="125">
        <v>41011</v>
      </c>
      <c r="N2037" s="129" t="str">
        <f>IF(M2037&gt;1/1/1,"Y","N")</f>
        <v>Y</v>
      </c>
      <c r="O2037" s="128" t="s">
        <v>76</v>
      </c>
      <c r="P2037" s="129" t="s">
        <v>39</v>
      </c>
      <c r="Q2037" s="111">
        <v>37</v>
      </c>
      <c r="R2037" s="111">
        <f t="shared" si="1508"/>
        <v>71</v>
      </c>
      <c r="S2037" s="129">
        <v>1</v>
      </c>
      <c r="T2037" s="129">
        <v>4</v>
      </c>
      <c r="U2037" s="129">
        <v>1</v>
      </c>
      <c r="W2037" s="111"/>
      <c r="AC2037" s="130"/>
      <c r="AD2037" s="130">
        <v>33513</v>
      </c>
      <c r="AE2037" s="128" t="s">
        <v>32</v>
      </c>
      <c r="AF2037" s="128" t="s">
        <v>33</v>
      </c>
      <c r="AG2037" s="128" t="s">
        <v>872</v>
      </c>
      <c r="AH2037" s="108" t="s">
        <v>58</v>
      </c>
      <c r="AI2037" s="128" t="s">
        <v>100</v>
      </c>
      <c r="AJ2037" s="129" t="s">
        <v>89</v>
      </c>
      <c r="AK2037" s="129">
        <v>6</v>
      </c>
      <c r="AL2037" s="3" t="s">
        <v>991</v>
      </c>
      <c r="AO2037" s="128">
        <v>365</v>
      </c>
      <c r="AP2037" s="129" t="s">
        <v>43</v>
      </c>
      <c r="AR2037" s="128" t="s">
        <v>44</v>
      </c>
      <c r="AS2037" s="129" t="s">
        <v>45</v>
      </c>
      <c r="AT2037" s="129" t="s">
        <v>1104</v>
      </c>
      <c r="AV2037" s="3" t="s">
        <v>88</v>
      </c>
      <c r="AW2037" s="129" t="s">
        <v>781</v>
      </c>
      <c r="BA2037" s="125">
        <v>41264</v>
      </c>
      <c r="BB2037" s="129">
        <v>235</v>
      </c>
      <c r="BC2037" s="129" t="s">
        <v>38</v>
      </c>
      <c r="BD2037" s="129" t="s">
        <v>1105</v>
      </c>
      <c r="BF2037" s="111">
        <v>37</v>
      </c>
      <c r="BG2037" s="111">
        <f t="shared" si="1520"/>
        <v>71</v>
      </c>
      <c r="BH2037" s="111">
        <f t="shared" si="1478"/>
        <v>71</v>
      </c>
      <c r="BI2037" s="111">
        <f t="shared" si="1479"/>
        <v>20.483606557377048</v>
      </c>
      <c r="BJ2037" s="129">
        <f>(G2037-J2037)+(M2037-G2037)</f>
        <v>0</v>
      </c>
      <c r="BK2037" s="129">
        <f t="shared" si="1480"/>
        <v>-69</v>
      </c>
      <c r="BL2037" s="129" t="str">
        <f t="shared" si="1511"/>
        <v>CONVICTION</v>
      </c>
      <c r="BM2037" s="129" t="s">
        <v>76</v>
      </c>
      <c r="BN2037" s="129" t="s">
        <v>566</v>
      </c>
      <c r="BP2037" s="137" t="str">
        <f t="shared" si="1487"/>
        <v>CONVICTION</v>
      </c>
      <c r="BQ2037" s="128" t="str">
        <f t="shared" si="1488"/>
        <v>Y</v>
      </c>
      <c r="BR2037" s="129" t="s">
        <v>574</v>
      </c>
      <c r="BS2037" s="129" t="str">
        <f t="shared" si="1490"/>
        <v>DISPOSED</v>
      </c>
      <c r="BT2037" s="129" t="str">
        <f t="shared" si="1491"/>
        <v>Y</v>
      </c>
      <c r="BU2037" s="109">
        <f t="shared" si="1492"/>
        <v>0.52112676056338025</v>
      </c>
      <c r="BV2037" s="109">
        <f t="shared" si="1493"/>
        <v>2.8169014084507043E-2</v>
      </c>
      <c r="BW2037" s="109">
        <f t="shared" si="1519"/>
        <v>-0.49295774647887319</v>
      </c>
      <c r="BX2037" s="111">
        <f t="shared" si="1494"/>
        <v>0</v>
      </c>
      <c r="BY2037" s="129">
        <f t="shared" si="1495"/>
        <v>-2</v>
      </c>
      <c r="BZ2037" s="111">
        <f t="shared" si="1496"/>
        <v>35</v>
      </c>
      <c r="CA2037" s="138">
        <f t="shared" si="1497"/>
        <v>71</v>
      </c>
      <c r="CB2037" s="111">
        <v>37</v>
      </c>
      <c r="CC2037" s="129">
        <f t="shared" ref="CC2037:CC2042" si="1521">G2037-I2037+1</f>
        <v>71</v>
      </c>
      <c r="CD2037" s="129">
        <f t="shared" ref="CD2037:CD2042" si="1522">G2037-J2037</f>
        <v>69</v>
      </c>
      <c r="CG2037" s="129" t="str">
        <f t="shared" si="1498"/>
        <v>Y</v>
      </c>
      <c r="CI2037" s="129" t="str">
        <f t="shared" si="1499"/>
        <v>31-60 DAYS</v>
      </c>
      <c r="CJ2037" s="137">
        <f t="shared" si="1500"/>
        <v>3</v>
      </c>
      <c r="CK2037" s="129" t="str">
        <f t="shared" si="1501"/>
        <v>Booked</v>
      </c>
    </row>
    <row r="2038" spans="1:89" ht="15.75" customHeight="1" x14ac:dyDescent="0.25">
      <c r="A2038" s="111">
        <v>1089</v>
      </c>
      <c r="B2038" s="128" t="str">
        <f t="shared" si="1481"/>
        <v>N</v>
      </c>
      <c r="C2038" s="128" t="str">
        <f t="shared" si="1482"/>
        <v>N</v>
      </c>
      <c r="D2038" s="117">
        <v>2391501</v>
      </c>
      <c r="E2038" s="135">
        <f t="shared" si="1483"/>
        <v>1</v>
      </c>
      <c r="F2038" s="124">
        <v>40948</v>
      </c>
      <c r="G2038" s="125">
        <v>41039</v>
      </c>
      <c r="H2038" s="117">
        <v>2391501</v>
      </c>
      <c r="I2038" s="124">
        <v>40949</v>
      </c>
      <c r="J2038" s="124">
        <v>41039</v>
      </c>
      <c r="K2038" s="126">
        <v>40000</v>
      </c>
      <c r="L2038" s="129" t="s">
        <v>572</v>
      </c>
      <c r="N2038" s="129" t="str">
        <f>IF(M2038&gt;1/1/1,"Y","N")</f>
        <v>N</v>
      </c>
      <c r="O2038" s="128" t="s">
        <v>917</v>
      </c>
      <c r="P2038" s="129" t="s">
        <v>55</v>
      </c>
      <c r="Q2038" s="111">
        <f t="shared" ref="Q2038:Q2047" si="1523">BF2038</f>
        <v>91</v>
      </c>
      <c r="R2038" s="111">
        <f t="shared" si="1508"/>
        <v>92</v>
      </c>
      <c r="S2038" s="129">
        <v>1</v>
      </c>
      <c r="T2038" s="129">
        <v>0</v>
      </c>
      <c r="U2038" s="129">
        <v>1</v>
      </c>
      <c r="W2038" s="111"/>
      <c r="AC2038" s="130"/>
      <c r="AD2038" s="130">
        <v>33188</v>
      </c>
      <c r="AE2038" s="128" t="s">
        <v>32</v>
      </c>
      <c r="AF2038" s="128" t="s">
        <v>33</v>
      </c>
      <c r="AG2038" s="128" t="s">
        <v>872</v>
      </c>
      <c r="AH2038" s="108" t="s">
        <v>31</v>
      </c>
      <c r="AI2038" s="128" t="s">
        <v>42</v>
      </c>
      <c r="AJ2038" s="129" t="s">
        <v>55</v>
      </c>
      <c r="AK2038" s="129">
        <v>5</v>
      </c>
      <c r="AL2038" s="3" t="s">
        <v>55</v>
      </c>
      <c r="AP2038" s="129" t="s">
        <v>105</v>
      </c>
      <c r="AR2038" s="128" t="s">
        <v>92</v>
      </c>
      <c r="AS2038" s="129" t="s">
        <v>106</v>
      </c>
      <c r="BC2038" s="129" t="s">
        <v>38</v>
      </c>
      <c r="BF2038" s="111">
        <f t="shared" ref="BF2038:BF2044" si="1524">IF(J2038&gt;1/1/1900,((J2038+1)-I2038),"STILL OPEN")</f>
        <v>91</v>
      </c>
      <c r="BG2038" s="111">
        <f t="shared" si="1520"/>
        <v>91</v>
      </c>
      <c r="BH2038" s="111">
        <f t="shared" si="1478"/>
        <v>92</v>
      </c>
      <c r="BI2038" s="111">
        <f t="shared" si="1479"/>
        <v>21.202185792349727</v>
      </c>
      <c r="BJ2038" s="129">
        <f t="shared" si="1485"/>
        <v>0</v>
      </c>
      <c r="BK2038" s="129">
        <f t="shared" si="1480"/>
        <v>0</v>
      </c>
      <c r="BL2038" s="129" t="str">
        <f t="shared" si="1511"/>
        <v>NO CONVICTION</v>
      </c>
      <c r="BM2038" s="129" t="str">
        <f t="shared" si="1486"/>
        <v>NONE</v>
      </c>
      <c r="BN2038" s="129" t="s">
        <v>566</v>
      </c>
      <c r="BP2038" s="137" t="str">
        <f t="shared" si="1487"/>
        <v>NO CONVICTION</v>
      </c>
      <c r="BQ2038" s="128" t="str">
        <f t="shared" si="1488"/>
        <v>Y</v>
      </c>
      <c r="BR2038" s="129" t="str">
        <f t="shared" si="1489"/>
        <v>DETAINED</v>
      </c>
      <c r="BS2038" s="129" t="str">
        <f t="shared" si="1490"/>
        <v>DISPOSED</v>
      </c>
      <c r="BT2038" s="129" t="str">
        <f t="shared" si="1491"/>
        <v>Y</v>
      </c>
      <c r="BU2038" s="109">
        <f>IFERROR(Q2038/R2038,BR2038)</f>
        <v>0.98913043478260865</v>
      </c>
      <c r="BV2038" s="109">
        <f t="shared" si="1493"/>
        <v>1</v>
      </c>
      <c r="BW2038" s="109">
        <f t="shared" si="1519"/>
        <v>1.0869565217391353E-2</v>
      </c>
      <c r="BX2038" s="111">
        <f t="shared" si="1494"/>
        <v>0</v>
      </c>
      <c r="BY2038" s="129">
        <f t="shared" si="1495"/>
        <v>-91</v>
      </c>
      <c r="BZ2038" s="111">
        <f t="shared" si="1496"/>
        <v>0</v>
      </c>
      <c r="CA2038" s="138">
        <f t="shared" si="1497"/>
        <v>91</v>
      </c>
      <c r="CB2038" s="111" t="e">
        <f t="shared" ref="CB2038:CB2044" si="1525">IF(AF2038&gt;1/1/1900,((AF2038+1)-AE2038),"STILL OPEN")</f>
        <v>#VALUE!</v>
      </c>
      <c r="CC2038" s="129">
        <f t="shared" si="1521"/>
        <v>91</v>
      </c>
      <c r="CD2038" s="129">
        <f t="shared" si="1522"/>
        <v>0</v>
      </c>
      <c r="CG2038" s="129" t="str">
        <f t="shared" si="1498"/>
        <v>Y</v>
      </c>
      <c r="CI2038" s="129" t="str">
        <f t="shared" si="1499"/>
        <v>91-120 DAYS</v>
      </c>
      <c r="CJ2038" s="137">
        <f t="shared" si="1500"/>
        <v>0</v>
      </c>
      <c r="CK2038" s="129" t="str">
        <f t="shared" si="1501"/>
        <v>Booked</v>
      </c>
    </row>
    <row r="2039" spans="1:89" ht="15" customHeight="1" x14ac:dyDescent="0.25">
      <c r="A2039" s="111">
        <v>2003</v>
      </c>
      <c r="B2039" s="128" t="str">
        <f t="shared" si="1481"/>
        <v>N</v>
      </c>
      <c r="C2039" s="128" t="str">
        <f t="shared" si="1482"/>
        <v>N</v>
      </c>
      <c r="D2039" s="117">
        <v>2392447</v>
      </c>
      <c r="E2039" s="135">
        <f t="shared" si="1483"/>
        <v>6</v>
      </c>
      <c r="F2039" s="124">
        <v>40984</v>
      </c>
      <c r="G2039" s="125">
        <v>41068</v>
      </c>
      <c r="H2039" s="117">
        <v>2392447</v>
      </c>
      <c r="I2039" s="124">
        <v>40984</v>
      </c>
      <c r="J2039" s="124">
        <v>41068</v>
      </c>
      <c r="K2039" s="126" t="s">
        <v>564</v>
      </c>
      <c r="L2039" s="127" t="s">
        <v>564</v>
      </c>
      <c r="N2039" s="129" t="s">
        <v>566</v>
      </c>
      <c r="O2039" s="128" t="s">
        <v>917</v>
      </c>
      <c r="P2039" s="129" t="s">
        <v>39</v>
      </c>
      <c r="Q2039" s="111">
        <f t="shared" si="1523"/>
        <v>85</v>
      </c>
      <c r="R2039" s="111">
        <f t="shared" si="1508"/>
        <v>85</v>
      </c>
      <c r="S2039" s="129">
        <v>2</v>
      </c>
      <c r="T2039" s="129">
        <v>2</v>
      </c>
      <c r="U2039" s="129">
        <v>1</v>
      </c>
      <c r="W2039" s="111"/>
      <c r="AC2039" s="130"/>
      <c r="AD2039" s="130">
        <v>33472</v>
      </c>
      <c r="AE2039" s="128" t="s">
        <v>32</v>
      </c>
      <c r="AF2039" s="128" t="s">
        <v>33</v>
      </c>
      <c r="AG2039" s="128" t="s">
        <v>872</v>
      </c>
      <c r="AH2039" s="108" t="s">
        <v>31</v>
      </c>
      <c r="AI2039" s="128" t="s">
        <v>71</v>
      </c>
      <c r="AJ2039" s="129" t="s">
        <v>89</v>
      </c>
      <c r="AK2039" s="129">
        <v>6</v>
      </c>
      <c r="AL2039" s="3" t="s">
        <v>362</v>
      </c>
      <c r="AM2039" s="117">
        <v>3</v>
      </c>
      <c r="AP2039" s="129" t="s">
        <v>93</v>
      </c>
      <c r="AR2039" s="128" t="s">
        <v>67</v>
      </c>
      <c r="AS2039" s="129" t="s">
        <v>45</v>
      </c>
      <c r="BC2039" s="129" t="s">
        <v>52</v>
      </c>
      <c r="BF2039" s="111">
        <f t="shared" si="1524"/>
        <v>85</v>
      </c>
      <c r="BG2039" s="111">
        <f t="shared" si="1520"/>
        <v>85</v>
      </c>
      <c r="BH2039" s="111">
        <f t="shared" si="1478"/>
        <v>85</v>
      </c>
      <c r="BI2039" s="111">
        <f t="shared" si="1479"/>
        <v>20.524590163934427</v>
      </c>
      <c r="BJ2039" s="129">
        <f t="shared" si="1485"/>
        <v>0</v>
      </c>
      <c r="BK2039" s="129">
        <f t="shared" si="1480"/>
        <v>0</v>
      </c>
      <c r="BL2039" s="129" t="str">
        <f t="shared" si="1511"/>
        <v>CONVICTION</v>
      </c>
      <c r="BM2039" s="129" t="str">
        <f t="shared" si="1486"/>
        <v>NONE</v>
      </c>
      <c r="BN2039" s="129" t="s">
        <v>566</v>
      </c>
      <c r="BP2039" s="137" t="str">
        <f t="shared" si="1487"/>
        <v>CONVICTION</v>
      </c>
      <c r="BQ2039" s="128" t="str">
        <f t="shared" si="1488"/>
        <v>Y</v>
      </c>
      <c r="BR2039" s="129" t="str">
        <f t="shared" si="1489"/>
        <v>DETAINED</v>
      </c>
      <c r="BS2039" s="129" t="str">
        <f t="shared" si="1490"/>
        <v>DISPOSED</v>
      </c>
      <c r="BT2039" s="129" t="str">
        <f t="shared" si="1491"/>
        <v>Y</v>
      </c>
      <c r="BU2039" s="109">
        <f t="shared" si="1492"/>
        <v>1</v>
      </c>
      <c r="BV2039" s="109">
        <f t="shared" si="1493"/>
        <v>1</v>
      </c>
      <c r="BW2039" s="109">
        <f t="shared" si="1519"/>
        <v>0</v>
      </c>
      <c r="BX2039" s="111">
        <f t="shared" si="1494"/>
        <v>0</v>
      </c>
      <c r="BY2039" s="129">
        <f t="shared" si="1495"/>
        <v>-85</v>
      </c>
      <c r="BZ2039" s="111">
        <f t="shared" si="1496"/>
        <v>0</v>
      </c>
      <c r="CA2039" s="138">
        <f t="shared" si="1497"/>
        <v>85</v>
      </c>
      <c r="CB2039" s="111" t="e">
        <f t="shared" si="1525"/>
        <v>#VALUE!</v>
      </c>
      <c r="CC2039" s="129">
        <f t="shared" si="1521"/>
        <v>85</v>
      </c>
      <c r="CD2039" s="129">
        <f t="shared" si="1522"/>
        <v>0</v>
      </c>
      <c r="CG2039" s="129" t="str">
        <f t="shared" si="1498"/>
        <v>Y</v>
      </c>
      <c r="CI2039" s="129" t="str">
        <f t="shared" si="1499"/>
        <v>61-90 DAYS</v>
      </c>
      <c r="CJ2039" s="137">
        <f t="shared" si="1500"/>
        <v>4</v>
      </c>
      <c r="CK2039" s="129" t="str">
        <f t="shared" si="1501"/>
        <v>Booked</v>
      </c>
    </row>
    <row r="2040" spans="1:89" ht="15.75" customHeight="1" x14ac:dyDescent="0.25">
      <c r="A2040" s="111">
        <v>2089</v>
      </c>
      <c r="B2040" s="128" t="str">
        <f t="shared" si="1481"/>
        <v>N</v>
      </c>
      <c r="C2040" s="128" t="str">
        <f t="shared" si="1482"/>
        <v>N</v>
      </c>
      <c r="D2040" s="117">
        <v>2392456</v>
      </c>
      <c r="E2040" s="135">
        <f t="shared" si="1483"/>
        <v>6</v>
      </c>
      <c r="F2040" s="124">
        <v>40987</v>
      </c>
      <c r="G2040" s="125">
        <v>40989</v>
      </c>
      <c r="H2040" s="117">
        <v>2392456</v>
      </c>
      <c r="I2040" s="124">
        <v>40987</v>
      </c>
      <c r="J2040" s="124">
        <v>40989</v>
      </c>
      <c r="K2040" s="126">
        <v>10000</v>
      </c>
      <c r="L2040" s="127" t="s">
        <v>570</v>
      </c>
      <c r="N2040" s="129" t="str">
        <f>IF(M2040&gt;1/1/1,"Y","N")</f>
        <v>N</v>
      </c>
      <c r="O2040" s="128" t="s">
        <v>917</v>
      </c>
      <c r="P2040" s="129" t="s">
        <v>39</v>
      </c>
      <c r="Q2040" s="111">
        <f t="shared" si="1523"/>
        <v>3</v>
      </c>
      <c r="R2040" s="111">
        <f t="shared" si="1508"/>
        <v>3</v>
      </c>
      <c r="S2040" s="129">
        <v>0</v>
      </c>
      <c r="T2040" s="129">
        <v>3</v>
      </c>
      <c r="W2040" s="111"/>
      <c r="AC2040" s="130"/>
      <c r="AD2040" s="130">
        <v>29468</v>
      </c>
      <c r="AE2040" s="128" t="s">
        <v>32</v>
      </c>
      <c r="AF2040" s="128" t="s">
        <v>33</v>
      </c>
      <c r="AG2040" s="128" t="s">
        <v>872</v>
      </c>
      <c r="AH2040" s="108" t="s">
        <v>31</v>
      </c>
      <c r="AI2040" s="128" t="s">
        <v>85</v>
      </c>
      <c r="AJ2040" s="129" t="s">
        <v>89</v>
      </c>
      <c r="AK2040" s="129">
        <v>1</v>
      </c>
      <c r="AL2040" s="3" t="s">
        <v>362</v>
      </c>
      <c r="AM2040" s="117">
        <v>2</v>
      </c>
      <c r="AP2040" s="129" t="s">
        <v>56</v>
      </c>
      <c r="AR2040" s="128" t="s">
        <v>50</v>
      </c>
      <c r="AS2040" s="129" t="s">
        <v>57</v>
      </c>
      <c r="BC2040" s="129" t="s">
        <v>99</v>
      </c>
      <c r="BF2040" s="111">
        <f t="shared" si="1524"/>
        <v>3</v>
      </c>
      <c r="BG2040" s="111">
        <f t="shared" si="1520"/>
        <v>3</v>
      </c>
      <c r="BH2040" s="111">
        <f t="shared" si="1478"/>
        <v>3</v>
      </c>
      <c r="BI2040" s="111">
        <f t="shared" si="1479"/>
        <v>31.472677595628415</v>
      </c>
      <c r="BJ2040" s="129">
        <f t="shared" si="1485"/>
        <v>0</v>
      </c>
      <c r="BK2040" s="129">
        <f t="shared" si="1480"/>
        <v>0</v>
      </c>
      <c r="BL2040" s="129" t="str">
        <f t="shared" si="1511"/>
        <v>CONVICTION</v>
      </c>
      <c r="BM2040" s="129" t="str">
        <f t="shared" si="1486"/>
        <v>NONE</v>
      </c>
      <c r="BN2040" s="129" t="s">
        <v>566</v>
      </c>
      <c r="BP2040" s="137" t="str">
        <f t="shared" si="1487"/>
        <v>CONVICTION</v>
      </c>
      <c r="BQ2040" s="128" t="str">
        <f t="shared" si="1488"/>
        <v>Y</v>
      </c>
      <c r="BR2040" s="129" t="str">
        <f t="shared" si="1489"/>
        <v>DETAINED</v>
      </c>
      <c r="BS2040" s="129" t="str">
        <f t="shared" si="1490"/>
        <v>DISPOSED</v>
      </c>
      <c r="BT2040" s="129" t="str">
        <f t="shared" si="1491"/>
        <v>N</v>
      </c>
      <c r="BU2040" s="109">
        <f t="shared" si="1492"/>
        <v>1</v>
      </c>
      <c r="BV2040" s="109">
        <f t="shared" si="1493"/>
        <v>1</v>
      </c>
      <c r="BW2040" s="109">
        <f t="shared" si="1519"/>
        <v>0</v>
      </c>
      <c r="BX2040" s="111">
        <f t="shared" si="1494"/>
        <v>0</v>
      </c>
      <c r="BY2040" s="129">
        <f t="shared" si="1495"/>
        <v>-3</v>
      </c>
      <c r="BZ2040" s="111">
        <f t="shared" si="1496"/>
        <v>0</v>
      </c>
      <c r="CA2040" s="138">
        <f t="shared" si="1497"/>
        <v>3</v>
      </c>
      <c r="CB2040" s="111" t="e">
        <f t="shared" si="1525"/>
        <v>#VALUE!</v>
      </c>
      <c r="CC2040" s="129">
        <f t="shared" si="1521"/>
        <v>3</v>
      </c>
      <c r="CD2040" s="129">
        <f t="shared" si="1522"/>
        <v>0</v>
      </c>
      <c r="CG2040" s="129" t="str">
        <f t="shared" si="1498"/>
        <v>Y</v>
      </c>
      <c r="CI2040" s="129" t="str">
        <f t="shared" si="1499"/>
        <v>0-10 DAYS</v>
      </c>
      <c r="CJ2040" s="137">
        <f t="shared" si="1500"/>
        <v>1</v>
      </c>
      <c r="CK2040" s="129" t="str">
        <f t="shared" si="1501"/>
        <v>Booked</v>
      </c>
    </row>
    <row r="2041" spans="1:89" ht="15.75" customHeight="1" x14ac:dyDescent="0.25">
      <c r="A2041" s="111">
        <v>2997</v>
      </c>
      <c r="B2041" s="128" t="str">
        <f t="shared" si="1481"/>
        <v>N</v>
      </c>
      <c r="C2041" s="128" t="str">
        <f t="shared" si="1482"/>
        <v>N</v>
      </c>
      <c r="D2041" s="117">
        <v>2392650</v>
      </c>
      <c r="E2041" s="135">
        <f t="shared" si="1483"/>
        <v>4</v>
      </c>
      <c r="F2041" s="124">
        <v>41019</v>
      </c>
      <c r="G2041" s="125">
        <v>41039</v>
      </c>
      <c r="H2041" s="117">
        <v>2392650</v>
      </c>
      <c r="I2041" s="124">
        <v>41019</v>
      </c>
      <c r="J2041" s="124">
        <v>41039</v>
      </c>
      <c r="K2041" s="126">
        <v>2000</v>
      </c>
      <c r="L2041" s="127" t="s">
        <v>568</v>
      </c>
      <c r="N2041" s="129" t="str">
        <f>IF(M2041&gt;1/1/1,"Y","N")</f>
        <v>N</v>
      </c>
      <c r="O2041" s="128" t="s">
        <v>917</v>
      </c>
      <c r="P2041" s="129" t="s">
        <v>39</v>
      </c>
      <c r="Q2041" s="111">
        <f t="shared" si="1523"/>
        <v>21</v>
      </c>
      <c r="R2041" s="111">
        <f t="shared" si="1508"/>
        <v>21</v>
      </c>
      <c r="S2041" s="129">
        <v>2</v>
      </c>
      <c r="T2041" s="129">
        <v>1</v>
      </c>
      <c r="W2041" s="111"/>
      <c r="AC2041" s="130"/>
      <c r="AD2041" s="130">
        <v>25330</v>
      </c>
      <c r="AE2041" s="128" t="s">
        <v>32</v>
      </c>
      <c r="AF2041" s="128" t="s">
        <v>33</v>
      </c>
      <c r="AG2041" s="128" t="s">
        <v>872</v>
      </c>
      <c r="AH2041" s="108" t="s">
        <v>31</v>
      </c>
      <c r="AI2041" s="128" t="s">
        <v>97</v>
      </c>
      <c r="AJ2041" s="129" t="s">
        <v>89</v>
      </c>
      <c r="AK2041" s="129">
        <v>2</v>
      </c>
      <c r="AL2041" s="3" t="s">
        <v>991</v>
      </c>
      <c r="AO2041" s="128">
        <v>120</v>
      </c>
      <c r="AP2041" s="129" t="s">
        <v>43</v>
      </c>
      <c r="AR2041" s="128" t="s">
        <v>44</v>
      </c>
      <c r="AS2041" s="129" t="s">
        <v>45</v>
      </c>
      <c r="BC2041" s="129" t="s">
        <v>38</v>
      </c>
      <c r="BF2041" s="111">
        <f t="shared" si="1524"/>
        <v>21</v>
      </c>
      <c r="BG2041" s="111">
        <f t="shared" si="1520"/>
        <v>21</v>
      </c>
      <c r="BH2041" s="111">
        <f t="shared" si="1478"/>
        <v>21</v>
      </c>
      <c r="BI2041" s="111">
        <f t="shared" si="1479"/>
        <v>42.866120218579233</v>
      </c>
      <c r="BJ2041" s="129">
        <f t="shared" si="1485"/>
        <v>0</v>
      </c>
      <c r="BK2041" s="129">
        <f t="shared" si="1480"/>
        <v>0</v>
      </c>
      <c r="BL2041" s="129" t="str">
        <f t="shared" si="1511"/>
        <v>CONVICTION</v>
      </c>
      <c r="BM2041" s="129" t="str">
        <f t="shared" si="1486"/>
        <v>NONE</v>
      </c>
      <c r="BN2041" s="129" t="s">
        <v>566</v>
      </c>
      <c r="BP2041" s="137" t="str">
        <f t="shared" si="1487"/>
        <v>CONVICTION</v>
      </c>
      <c r="BQ2041" s="128" t="str">
        <f t="shared" si="1488"/>
        <v>Y</v>
      </c>
      <c r="BR2041" s="129" t="str">
        <f t="shared" si="1489"/>
        <v>DETAINED</v>
      </c>
      <c r="BS2041" s="129" t="str">
        <f t="shared" si="1490"/>
        <v>DISPOSED</v>
      </c>
      <c r="BT2041" s="129" t="str">
        <f t="shared" si="1491"/>
        <v>Y</v>
      </c>
      <c r="BU2041" s="109">
        <f t="shared" si="1492"/>
        <v>1</v>
      </c>
      <c r="BV2041" s="109">
        <f t="shared" si="1493"/>
        <v>1</v>
      </c>
      <c r="BW2041" s="109">
        <f t="shared" si="1519"/>
        <v>0</v>
      </c>
      <c r="BX2041" s="111">
        <f t="shared" si="1494"/>
        <v>0</v>
      </c>
      <c r="BY2041" s="129">
        <f t="shared" si="1495"/>
        <v>-21</v>
      </c>
      <c r="BZ2041" s="111">
        <f t="shared" si="1496"/>
        <v>0</v>
      </c>
      <c r="CA2041" s="138">
        <f t="shared" si="1497"/>
        <v>21</v>
      </c>
      <c r="CB2041" s="111" t="e">
        <f t="shared" si="1525"/>
        <v>#VALUE!</v>
      </c>
      <c r="CC2041" s="129">
        <f t="shared" si="1521"/>
        <v>21</v>
      </c>
      <c r="CD2041" s="129">
        <f t="shared" si="1522"/>
        <v>0</v>
      </c>
      <c r="CG2041" s="129" t="str">
        <f t="shared" si="1498"/>
        <v>Y</v>
      </c>
      <c r="CI2041" s="129" t="str">
        <f t="shared" si="1499"/>
        <v>11-30 DAYS</v>
      </c>
      <c r="CJ2041" s="137">
        <f t="shared" si="1500"/>
        <v>2</v>
      </c>
      <c r="CK2041" s="129" t="str">
        <f t="shared" si="1501"/>
        <v>Booked</v>
      </c>
    </row>
    <row r="2042" spans="1:89" ht="15" customHeight="1" x14ac:dyDescent="0.25">
      <c r="A2042" s="111">
        <v>2567</v>
      </c>
      <c r="B2042" s="128" t="str">
        <f t="shared" si="1481"/>
        <v>N</v>
      </c>
      <c r="C2042" s="128" t="str">
        <f t="shared" si="1482"/>
        <v>N</v>
      </c>
      <c r="D2042" s="117">
        <v>2392750</v>
      </c>
      <c r="E2042" s="135">
        <f t="shared" si="1483"/>
        <v>6</v>
      </c>
      <c r="F2042" s="124">
        <v>41004</v>
      </c>
      <c r="G2042" s="125">
        <v>41116</v>
      </c>
      <c r="H2042" s="117">
        <v>2392750</v>
      </c>
      <c r="I2042" s="124">
        <v>41006</v>
      </c>
      <c r="J2042" s="124">
        <v>41116</v>
      </c>
      <c r="K2042" s="126" t="s">
        <v>564</v>
      </c>
      <c r="L2042" s="127" t="s">
        <v>564</v>
      </c>
      <c r="N2042" s="129" t="s">
        <v>566</v>
      </c>
      <c r="O2042" s="128" t="s">
        <v>917</v>
      </c>
      <c r="P2042" s="129" t="s">
        <v>39</v>
      </c>
      <c r="Q2042" s="111">
        <f t="shared" si="1523"/>
        <v>111</v>
      </c>
      <c r="R2042" s="111">
        <f t="shared" si="1508"/>
        <v>113</v>
      </c>
      <c r="S2042" s="129">
        <v>2</v>
      </c>
      <c r="T2042" s="129">
        <v>0</v>
      </c>
      <c r="U2042" s="129">
        <v>2</v>
      </c>
      <c r="W2042" s="111"/>
      <c r="AC2042" s="130"/>
      <c r="AD2042" s="130">
        <v>33078</v>
      </c>
      <c r="AE2042" s="128" t="s">
        <v>32</v>
      </c>
      <c r="AF2042" s="128" t="s">
        <v>69</v>
      </c>
      <c r="AG2042" s="128" t="s">
        <v>874</v>
      </c>
      <c r="AH2042" s="108" t="s">
        <v>31</v>
      </c>
      <c r="AI2042" s="128" t="s">
        <v>72</v>
      </c>
      <c r="AJ2042" s="129" t="s">
        <v>89</v>
      </c>
      <c r="AK2042" s="129">
        <v>4</v>
      </c>
      <c r="AL2042" s="3" t="s">
        <v>362</v>
      </c>
      <c r="AM2042" s="117">
        <v>7</v>
      </c>
      <c r="AP2042" s="129" t="s">
        <v>56</v>
      </c>
      <c r="AR2042" s="128" t="s">
        <v>50</v>
      </c>
      <c r="AS2042" s="129" t="s">
        <v>57</v>
      </c>
      <c r="BC2042" s="129" t="s">
        <v>38</v>
      </c>
      <c r="BF2042" s="111">
        <f t="shared" si="1524"/>
        <v>111</v>
      </c>
      <c r="BG2042" s="111">
        <f t="shared" si="1520"/>
        <v>111</v>
      </c>
      <c r="BH2042" s="111">
        <f t="shared" si="1478"/>
        <v>113</v>
      </c>
      <c r="BI2042" s="111">
        <f t="shared" si="1479"/>
        <v>21.655737704918032</v>
      </c>
      <c r="BJ2042" s="129">
        <f t="shared" si="1485"/>
        <v>0</v>
      </c>
      <c r="BK2042" s="129">
        <f t="shared" si="1480"/>
        <v>0</v>
      </c>
      <c r="BL2042" s="129" t="str">
        <f t="shared" si="1511"/>
        <v>CONVICTION</v>
      </c>
      <c r="BM2042" s="129" t="str">
        <f t="shared" si="1486"/>
        <v>NONE</v>
      </c>
      <c r="BN2042" s="129" t="s">
        <v>566</v>
      </c>
      <c r="BP2042" s="137" t="str">
        <f t="shared" si="1487"/>
        <v>CONVICTION</v>
      </c>
      <c r="BQ2042" s="128" t="str">
        <f t="shared" si="1488"/>
        <v>Y</v>
      </c>
      <c r="BR2042" s="129" t="str">
        <f t="shared" si="1489"/>
        <v>DETAINED</v>
      </c>
      <c r="BS2042" s="129" t="str">
        <f t="shared" si="1490"/>
        <v>DISPOSED</v>
      </c>
      <c r="BT2042" s="129" t="str">
        <f t="shared" si="1491"/>
        <v>Y</v>
      </c>
      <c r="BU2042" s="109">
        <f t="shared" si="1492"/>
        <v>0.98230088495575218</v>
      </c>
      <c r="BV2042" s="109">
        <f t="shared" si="1493"/>
        <v>1</v>
      </c>
      <c r="BW2042" s="109">
        <f t="shared" si="1519"/>
        <v>1.7699115044247815E-2</v>
      </c>
      <c r="BX2042" s="111">
        <f t="shared" si="1494"/>
        <v>0</v>
      </c>
      <c r="BY2042" s="129">
        <f t="shared" si="1495"/>
        <v>-111</v>
      </c>
      <c r="BZ2042" s="111">
        <f t="shared" si="1496"/>
        <v>0</v>
      </c>
      <c r="CA2042" s="138">
        <f t="shared" si="1497"/>
        <v>111</v>
      </c>
      <c r="CB2042" s="111" t="e">
        <f t="shared" si="1525"/>
        <v>#VALUE!</v>
      </c>
      <c r="CC2042" s="129">
        <f t="shared" si="1521"/>
        <v>111</v>
      </c>
      <c r="CD2042" s="129">
        <f t="shared" si="1522"/>
        <v>0</v>
      </c>
      <c r="CG2042" s="129" t="str">
        <f t="shared" si="1498"/>
        <v>Y</v>
      </c>
      <c r="CI2042" s="129" t="str">
        <f t="shared" si="1499"/>
        <v>91-120 DAYS</v>
      </c>
      <c r="CJ2042" s="137">
        <f t="shared" si="1500"/>
        <v>0</v>
      </c>
      <c r="CK2042" s="129" t="str">
        <f t="shared" si="1501"/>
        <v>Booked</v>
      </c>
    </row>
    <row r="2043" spans="1:89" ht="15.75" customHeight="1" x14ac:dyDescent="0.25">
      <c r="A2043" s="111">
        <v>673</v>
      </c>
      <c r="B2043" s="128" t="str">
        <f t="shared" si="1481"/>
        <v>N</v>
      </c>
      <c r="C2043" s="128" t="str">
        <f t="shared" si="1482"/>
        <v>N</v>
      </c>
      <c r="D2043" s="117">
        <v>2393258</v>
      </c>
      <c r="E2043" s="135">
        <f t="shared" si="1483"/>
        <v>2</v>
      </c>
      <c r="F2043" s="124">
        <v>40935</v>
      </c>
      <c r="G2043" s="125">
        <v>41047</v>
      </c>
      <c r="H2043" s="117">
        <v>2393258</v>
      </c>
      <c r="I2043" s="124">
        <v>40935</v>
      </c>
      <c r="J2043" s="124">
        <v>40937</v>
      </c>
      <c r="K2043" s="126">
        <v>2000</v>
      </c>
      <c r="L2043" s="127" t="s">
        <v>568</v>
      </c>
      <c r="M2043" s="125">
        <v>40937</v>
      </c>
      <c r="N2043" s="129" t="str">
        <f>IF(M2043&gt;1/1/1,"Y","N")</f>
        <v>Y</v>
      </c>
      <c r="O2043" s="128" t="s">
        <v>76</v>
      </c>
      <c r="P2043" s="129" t="s">
        <v>589</v>
      </c>
      <c r="Q2043" s="111">
        <f t="shared" si="1523"/>
        <v>3</v>
      </c>
      <c r="R2043" s="111">
        <f t="shared" si="1508"/>
        <v>113</v>
      </c>
      <c r="S2043" s="129">
        <v>0</v>
      </c>
      <c r="T2043" s="129">
        <v>1</v>
      </c>
      <c r="W2043" s="111"/>
      <c r="AC2043" s="130"/>
      <c r="AD2043" s="130">
        <v>32852</v>
      </c>
      <c r="AE2043" s="128" t="s">
        <v>32</v>
      </c>
      <c r="AF2043" s="128" t="s">
        <v>40</v>
      </c>
      <c r="AG2043" s="128" t="s">
        <v>41</v>
      </c>
      <c r="AH2043" s="108" t="s">
        <v>41</v>
      </c>
      <c r="AI2043" s="128" t="s">
        <v>65</v>
      </c>
      <c r="AJ2043" s="129" t="s">
        <v>48</v>
      </c>
      <c r="AK2043" s="129">
        <v>6</v>
      </c>
      <c r="AL2043" s="3" t="s">
        <v>48</v>
      </c>
      <c r="AP2043" s="129" t="s">
        <v>43</v>
      </c>
      <c r="AR2043" s="128" t="s">
        <v>44</v>
      </c>
      <c r="AS2043" s="129" t="s">
        <v>45</v>
      </c>
      <c r="BC2043" s="129" t="s">
        <v>52</v>
      </c>
      <c r="BF2043" s="111">
        <f t="shared" si="1524"/>
        <v>3</v>
      </c>
      <c r="BG2043" s="111">
        <f t="shared" si="1520"/>
        <v>113</v>
      </c>
      <c r="BH2043" s="111">
        <f t="shared" si="1478"/>
        <v>113</v>
      </c>
      <c r="BI2043" s="111">
        <f t="shared" si="1479"/>
        <v>22.084699453551913</v>
      </c>
      <c r="BJ2043" s="129">
        <f>(G2043-J2043)+(M2043-G2043)</f>
        <v>0</v>
      </c>
      <c r="BK2043" s="129">
        <f t="shared" si="1480"/>
        <v>-110</v>
      </c>
      <c r="BL2043" s="129" t="str">
        <f t="shared" si="1511"/>
        <v>DEFERRED</v>
      </c>
      <c r="BM2043" s="129" t="s">
        <v>76</v>
      </c>
      <c r="BN2043" s="129" t="s">
        <v>88</v>
      </c>
      <c r="BP2043" s="137" t="str">
        <f t="shared" si="1487"/>
        <v>DEFERRED</v>
      </c>
      <c r="BQ2043" s="128" t="str">
        <f t="shared" si="1488"/>
        <v>Y</v>
      </c>
      <c r="BR2043" s="129" t="str">
        <f t="shared" si="1489"/>
        <v>ON BOND</v>
      </c>
      <c r="BS2043" s="129" t="str">
        <f t="shared" si="1490"/>
        <v>DISPOSED</v>
      </c>
      <c r="BT2043" s="129" t="str">
        <f t="shared" si="1491"/>
        <v>N</v>
      </c>
      <c r="BU2043" s="109">
        <f t="shared" si="1492"/>
        <v>2.6548672566371681E-2</v>
      </c>
      <c r="BV2043" s="109">
        <f t="shared" si="1493"/>
        <v>2.6548672566371681E-2</v>
      </c>
      <c r="BW2043" s="109">
        <f t="shared" si="1519"/>
        <v>0</v>
      </c>
      <c r="BX2043" s="111">
        <f t="shared" si="1494"/>
        <v>0</v>
      </c>
      <c r="BY2043" s="129">
        <f t="shared" si="1495"/>
        <v>-3</v>
      </c>
      <c r="BZ2043" s="111">
        <f t="shared" si="1496"/>
        <v>0</v>
      </c>
      <c r="CA2043" s="138">
        <f t="shared" si="1497"/>
        <v>3</v>
      </c>
      <c r="CB2043" s="111" t="e">
        <f t="shared" si="1525"/>
        <v>#VALUE!</v>
      </c>
      <c r="CC2043" s="129">
        <f>M2043-I2043+1</f>
        <v>3</v>
      </c>
      <c r="CD2043" s="111">
        <f>CC2043-BF2043</f>
        <v>0</v>
      </c>
      <c r="CG2043" s="129" t="str">
        <f t="shared" si="1498"/>
        <v>Y</v>
      </c>
      <c r="CI2043" s="129" t="str">
        <f t="shared" si="1499"/>
        <v>0-10 DAYS</v>
      </c>
      <c r="CJ2043" s="137">
        <f t="shared" si="1500"/>
        <v>1</v>
      </c>
      <c r="CK2043" s="129" t="str">
        <f t="shared" si="1501"/>
        <v>Booked</v>
      </c>
    </row>
    <row r="2044" spans="1:89" ht="15.75" customHeight="1" x14ac:dyDescent="0.25">
      <c r="A2044" s="111">
        <v>1485</v>
      </c>
      <c r="B2044" s="128" t="str">
        <f t="shared" si="1481"/>
        <v>N</v>
      </c>
      <c r="C2044" s="128" t="str">
        <f t="shared" si="1482"/>
        <v>N</v>
      </c>
      <c r="D2044" s="117">
        <v>2394403</v>
      </c>
      <c r="E2044" s="135">
        <f t="shared" si="1483"/>
        <v>4</v>
      </c>
      <c r="F2044" s="124">
        <v>40963</v>
      </c>
      <c r="G2044" s="125">
        <v>40966</v>
      </c>
      <c r="H2044" s="117">
        <v>2394403</v>
      </c>
      <c r="I2044" s="124">
        <v>40963</v>
      </c>
      <c r="J2044" s="124">
        <v>40966</v>
      </c>
      <c r="K2044" s="126">
        <v>15000</v>
      </c>
      <c r="L2044" s="127" t="s">
        <v>571</v>
      </c>
      <c r="N2044" s="129" t="str">
        <f>IF(M2044&gt;1/1/1,"Y","N")</f>
        <v>N</v>
      </c>
      <c r="O2044" s="128" t="s">
        <v>917</v>
      </c>
      <c r="P2044" s="129" t="s">
        <v>39</v>
      </c>
      <c r="Q2044" s="111">
        <f t="shared" si="1523"/>
        <v>4</v>
      </c>
      <c r="R2044" s="111">
        <f t="shared" si="1508"/>
        <v>4</v>
      </c>
      <c r="S2044" s="129">
        <v>5</v>
      </c>
      <c r="T2044" s="129">
        <v>3</v>
      </c>
      <c r="U2044" s="129">
        <v>2</v>
      </c>
      <c r="W2044" s="111"/>
      <c r="AC2044" s="130"/>
      <c r="AD2044" s="130">
        <v>26805</v>
      </c>
      <c r="AE2044" s="128" t="s">
        <v>32</v>
      </c>
      <c r="AF2044" s="128" t="s">
        <v>33</v>
      </c>
      <c r="AG2044" s="128" t="s">
        <v>872</v>
      </c>
      <c r="AH2044" s="108" t="s">
        <v>31</v>
      </c>
      <c r="AI2044" s="128" t="s">
        <v>83</v>
      </c>
      <c r="AJ2044" s="129" t="s">
        <v>89</v>
      </c>
      <c r="AK2044" s="129">
        <v>1</v>
      </c>
      <c r="AL2044" s="3" t="s">
        <v>991</v>
      </c>
      <c r="AO2044" s="128">
        <v>30</v>
      </c>
      <c r="AP2044" s="129" t="s">
        <v>43</v>
      </c>
      <c r="AR2044" s="128" t="s">
        <v>44</v>
      </c>
      <c r="AS2044" s="129" t="s">
        <v>45</v>
      </c>
      <c r="AT2044" s="129" t="s">
        <v>559</v>
      </c>
      <c r="AY2044" s="123"/>
      <c r="BC2044" s="129" t="s">
        <v>38</v>
      </c>
      <c r="BF2044" s="111">
        <f t="shared" si="1524"/>
        <v>4</v>
      </c>
      <c r="BG2044" s="111">
        <f t="shared" si="1520"/>
        <v>4</v>
      </c>
      <c r="BH2044" s="111">
        <f t="shared" si="1478"/>
        <v>4</v>
      </c>
      <c r="BI2044" s="111">
        <f t="shared" si="1479"/>
        <v>38.68306010928962</v>
      </c>
      <c r="BJ2044" s="129">
        <f t="shared" si="1485"/>
        <v>0</v>
      </c>
      <c r="BK2044" s="129">
        <f t="shared" si="1480"/>
        <v>0</v>
      </c>
      <c r="BL2044" s="129" t="str">
        <f t="shared" si="1511"/>
        <v>CONVICTION</v>
      </c>
      <c r="BM2044" s="129" t="str">
        <f t="shared" si="1486"/>
        <v>NONE</v>
      </c>
      <c r="BN2044" s="129" t="s">
        <v>566</v>
      </c>
      <c r="BP2044" s="137" t="str">
        <f t="shared" si="1487"/>
        <v>CONVICTION</v>
      </c>
      <c r="BQ2044" s="128" t="str">
        <f t="shared" si="1488"/>
        <v>Y</v>
      </c>
      <c r="BR2044" s="129" t="str">
        <f t="shared" si="1489"/>
        <v>DETAINED</v>
      </c>
      <c r="BS2044" s="129" t="str">
        <f t="shared" si="1490"/>
        <v>DISPOSED</v>
      </c>
      <c r="BT2044" s="129" t="str">
        <f t="shared" si="1491"/>
        <v>Y</v>
      </c>
      <c r="BU2044" s="109">
        <f t="shared" si="1492"/>
        <v>1</v>
      </c>
      <c r="BV2044" s="109">
        <f t="shared" si="1493"/>
        <v>1</v>
      </c>
      <c r="BW2044" s="109">
        <f t="shared" si="1519"/>
        <v>0</v>
      </c>
      <c r="BX2044" s="111">
        <f t="shared" si="1494"/>
        <v>0</v>
      </c>
      <c r="BY2044" s="129">
        <f t="shared" si="1495"/>
        <v>-4</v>
      </c>
      <c r="BZ2044" s="111">
        <f t="shared" si="1496"/>
        <v>0</v>
      </c>
      <c r="CA2044" s="138">
        <f t="shared" si="1497"/>
        <v>4</v>
      </c>
      <c r="CB2044" s="111" t="e">
        <f t="shared" si="1525"/>
        <v>#VALUE!</v>
      </c>
      <c r="CC2044" s="129">
        <f>G2044-I2044+1</f>
        <v>4</v>
      </c>
      <c r="CD2044" s="129">
        <f>G2044-J2044</f>
        <v>0</v>
      </c>
      <c r="CG2044" s="129" t="str">
        <f t="shared" si="1498"/>
        <v>Y</v>
      </c>
      <c r="CI2044" s="129" t="str">
        <f t="shared" si="1499"/>
        <v>0-10 DAYS</v>
      </c>
      <c r="CJ2044" s="137">
        <f t="shared" si="1500"/>
        <v>1</v>
      </c>
      <c r="CK2044" s="129" t="str">
        <f t="shared" si="1501"/>
        <v>Booked</v>
      </c>
    </row>
    <row r="2045" spans="1:89" ht="15.75" customHeight="1" x14ac:dyDescent="0.25">
      <c r="A2045" s="111">
        <v>3199</v>
      </c>
      <c r="B2045" s="128" t="str">
        <f t="shared" si="1481"/>
        <v>N</v>
      </c>
      <c r="C2045" s="128" t="str">
        <f t="shared" si="1482"/>
        <v>N</v>
      </c>
      <c r="D2045" s="117">
        <v>2395657</v>
      </c>
      <c r="E2045" s="135">
        <f t="shared" si="1483"/>
        <v>1</v>
      </c>
      <c r="F2045" s="124">
        <v>41026</v>
      </c>
      <c r="G2045" s="125">
        <v>41089</v>
      </c>
      <c r="H2045" s="117">
        <v>2395657</v>
      </c>
      <c r="I2045" s="124" t="s">
        <v>562</v>
      </c>
      <c r="J2045" s="124" t="s">
        <v>562</v>
      </c>
      <c r="K2045" s="126">
        <v>2000</v>
      </c>
      <c r="L2045" s="127" t="s">
        <v>568</v>
      </c>
      <c r="M2045" s="125">
        <v>41028</v>
      </c>
      <c r="N2045" s="129" t="str">
        <f>IF(M2045&gt;1/1/1,"Y",IF(Q2045="0","","N"))</f>
        <v>Y</v>
      </c>
      <c r="O2045" s="128" t="s">
        <v>76</v>
      </c>
      <c r="P2045" s="129" t="s">
        <v>55</v>
      </c>
      <c r="Q2045" s="111">
        <f t="shared" si="1523"/>
        <v>0</v>
      </c>
      <c r="R2045" s="111">
        <f t="shared" si="1508"/>
        <v>64</v>
      </c>
      <c r="S2045" s="129">
        <v>0</v>
      </c>
      <c r="T2045" s="129">
        <v>2</v>
      </c>
      <c r="W2045" s="111"/>
      <c r="AC2045" s="130"/>
      <c r="AD2045" s="130">
        <v>33334</v>
      </c>
      <c r="AE2045" s="128" t="s">
        <v>32</v>
      </c>
      <c r="AF2045" s="128" t="s">
        <v>40</v>
      </c>
      <c r="AG2045" s="128" t="s">
        <v>41</v>
      </c>
      <c r="AH2045" s="108" t="s">
        <v>41</v>
      </c>
      <c r="AI2045" s="128" t="s">
        <v>85</v>
      </c>
      <c r="AJ2045" s="129" t="s">
        <v>55</v>
      </c>
      <c r="AK2045" s="129">
        <v>4</v>
      </c>
      <c r="AL2045" s="3" t="s">
        <v>55</v>
      </c>
      <c r="AP2045" s="129" t="s">
        <v>43</v>
      </c>
      <c r="AR2045" s="128" t="s">
        <v>44</v>
      </c>
      <c r="AS2045" s="129" t="s">
        <v>45</v>
      </c>
      <c r="AT2045" s="129" t="s">
        <v>532</v>
      </c>
      <c r="AX2045" s="32"/>
      <c r="BC2045" s="129" t="s">
        <v>52</v>
      </c>
      <c r="BF2045" s="111">
        <v>0</v>
      </c>
      <c r="BG2045" s="111">
        <v>0</v>
      </c>
      <c r="BH2045" s="111">
        <f t="shared" si="1478"/>
        <v>64</v>
      </c>
      <c r="BI2045" s="111">
        <f t="shared" si="1479"/>
        <v>21.016393442622952</v>
      </c>
      <c r="BJ2045" s="129" t="e">
        <f>(G2045-J2045)+(M2045-G2045)</f>
        <v>#VALUE!</v>
      </c>
      <c r="BK2045" s="129" t="e">
        <f t="shared" si="1480"/>
        <v>#VALUE!</v>
      </c>
      <c r="BL2045" s="129" t="str">
        <f t="shared" si="1511"/>
        <v>NO CONVICTION</v>
      </c>
      <c r="BM2045" s="129" t="s">
        <v>76</v>
      </c>
      <c r="BN2045" s="129" t="s">
        <v>88</v>
      </c>
      <c r="BP2045" s="137" t="str">
        <f t="shared" si="1487"/>
        <v>NO CONVICTION</v>
      </c>
      <c r="BQ2045" s="128">
        <f t="shared" si="1488"/>
        <v>0</v>
      </c>
      <c r="BR2045" s="129" t="s">
        <v>575</v>
      </c>
      <c r="BS2045" s="129" t="str">
        <f t="shared" si="1490"/>
        <v>DISPOSED</v>
      </c>
      <c r="BT2045" s="129" t="str">
        <f t="shared" si="1491"/>
        <v>N</v>
      </c>
      <c r="BU2045" s="109">
        <f>IFERROR(Q2045/R2045,BR2045)</f>
        <v>0</v>
      </c>
      <c r="BV2045" s="109">
        <v>0</v>
      </c>
      <c r="BW2045" s="109">
        <f t="shared" si="1519"/>
        <v>0</v>
      </c>
      <c r="BX2045" s="111">
        <f t="shared" si="1494"/>
        <v>0</v>
      </c>
      <c r="BY2045" s="129" t="e">
        <f t="shared" si="1495"/>
        <v>#VALUE!</v>
      </c>
      <c r="BZ2045" s="111" t="e">
        <f t="shared" si="1496"/>
        <v>#VALUE!</v>
      </c>
      <c r="CA2045" s="138" t="e">
        <f t="shared" si="1497"/>
        <v>#VALUE!</v>
      </c>
      <c r="CB2045" s="111">
        <v>0</v>
      </c>
      <c r="CC2045" s="129">
        <v>0</v>
      </c>
      <c r="CD2045" s="111">
        <f>CC2045-BF2045</f>
        <v>0</v>
      </c>
      <c r="CG2045" s="129" t="str">
        <f t="shared" si="1498"/>
        <v>Y</v>
      </c>
      <c r="CI2045" s="129" t="str">
        <f t="shared" si="1499"/>
        <v>0-10 DAYS</v>
      </c>
      <c r="CJ2045" s="137">
        <f t="shared" si="1500"/>
        <v>1</v>
      </c>
      <c r="CK2045" s="129" t="str">
        <f t="shared" si="1501"/>
        <v>Not Booked</v>
      </c>
    </row>
    <row r="2046" spans="1:89" ht="15.75" customHeight="1" x14ac:dyDescent="0.25">
      <c r="A2046" s="111">
        <v>149</v>
      </c>
      <c r="B2046" s="128" t="str">
        <f t="shared" si="1481"/>
        <v>N</v>
      </c>
      <c r="C2046" s="128" t="str">
        <f t="shared" si="1482"/>
        <v>N</v>
      </c>
      <c r="D2046" s="117">
        <v>2396021</v>
      </c>
      <c r="E2046" s="135">
        <f t="shared" si="1483"/>
        <v>5</v>
      </c>
      <c r="F2046" s="124">
        <v>40915</v>
      </c>
      <c r="G2046" s="125">
        <v>41148</v>
      </c>
      <c r="H2046" s="117">
        <v>2396021</v>
      </c>
      <c r="I2046" s="124">
        <v>40915</v>
      </c>
      <c r="J2046" s="124">
        <v>40917</v>
      </c>
      <c r="K2046" s="126">
        <v>2000</v>
      </c>
      <c r="L2046" s="127" t="s">
        <v>568</v>
      </c>
      <c r="M2046" s="125">
        <v>40917</v>
      </c>
      <c r="N2046" s="129" t="str">
        <f t="shared" ref="N2046:N2057" si="1526">IF(M2046&gt;1/1/1,"Y","N")</f>
        <v>Y</v>
      </c>
      <c r="O2046" s="128" t="s">
        <v>76</v>
      </c>
      <c r="P2046" s="129" t="s">
        <v>39</v>
      </c>
      <c r="Q2046" s="111">
        <f t="shared" si="1523"/>
        <v>3</v>
      </c>
      <c r="R2046" s="111">
        <f t="shared" si="1508"/>
        <v>234</v>
      </c>
      <c r="S2046" s="129">
        <v>0</v>
      </c>
      <c r="T2046" s="129">
        <v>6</v>
      </c>
      <c r="W2046" s="111"/>
      <c r="AC2046" s="130"/>
      <c r="AD2046" s="130">
        <v>32811</v>
      </c>
      <c r="AE2046" s="128" t="s">
        <v>32</v>
      </c>
      <c r="AF2046" s="128" t="s">
        <v>138</v>
      </c>
      <c r="AG2046" s="128" t="s">
        <v>873</v>
      </c>
      <c r="AH2046" s="108" t="s">
        <v>31</v>
      </c>
      <c r="AI2046" s="128" t="s">
        <v>47</v>
      </c>
      <c r="AJ2046" s="129" t="s">
        <v>89</v>
      </c>
      <c r="AK2046" s="129">
        <v>9</v>
      </c>
      <c r="AL2046" s="3" t="s">
        <v>992</v>
      </c>
      <c r="AN2046" s="117">
        <v>10</v>
      </c>
      <c r="AP2046" s="129" t="s">
        <v>108</v>
      </c>
      <c r="AR2046" s="128" t="s">
        <v>44</v>
      </c>
      <c r="AS2046" s="129" t="s">
        <v>61</v>
      </c>
      <c r="AT2046" s="125" t="s">
        <v>156</v>
      </c>
      <c r="BC2046" s="129" t="s">
        <v>52</v>
      </c>
      <c r="BD2046" s="125"/>
      <c r="BF2046" s="111">
        <f>IF(J2046&gt;1/1/1900,((J2046+1)-I2046),"STILL OPEN")</f>
        <v>3</v>
      </c>
      <c r="BG2046" s="111">
        <f t="shared" ref="BG2046:BG2081" si="1527">IF(G2046&gt;1/1/1900,((G2046+1)-I2046),"STILL OPEN")</f>
        <v>234</v>
      </c>
      <c r="BH2046" s="111">
        <f t="shared" si="1478"/>
        <v>234</v>
      </c>
      <c r="BI2046" s="111">
        <f t="shared" si="1479"/>
        <v>22.142076502732241</v>
      </c>
      <c r="BJ2046" s="129">
        <f>(G2046-J2046)+(M2046-G2046)</f>
        <v>0</v>
      </c>
      <c r="BK2046" s="129">
        <f t="shared" si="1480"/>
        <v>-231</v>
      </c>
      <c r="BL2046" s="129" t="str">
        <f t="shared" si="1511"/>
        <v>CONVICTION</v>
      </c>
      <c r="BM2046" s="129" t="s">
        <v>76</v>
      </c>
      <c r="BN2046" s="129" t="s">
        <v>88</v>
      </c>
      <c r="BP2046" s="137" t="str">
        <f t="shared" si="1487"/>
        <v>CONVICTION</v>
      </c>
      <c r="BQ2046" s="128" t="str">
        <f t="shared" si="1488"/>
        <v>Y</v>
      </c>
      <c r="BR2046" s="129" t="str">
        <f>IF(J2046&lt;G2046,"ON BOND",0)</f>
        <v>ON BOND</v>
      </c>
      <c r="BS2046" s="129" t="str">
        <f t="shared" si="1490"/>
        <v>DISPOSED</v>
      </c>
      <c r="BT2046" s="129" t="str">
        <f t="shared" si="1491"/>
        <v>N</v>
      </c>
      <c r="BU2046" s="109">
        <f t="shared" si="1492"/>
        <v>1.282051282051282E-2</v>
      </c>
      <c r="BV2046" s="109">
        <f t="shared" si="1493"/>
        <v>1.282051282051282E-2</v>
      </c>
      <c r="BW2046" s="109">
        <f t="shared" si="1519"/>
        <v>0</v>
      </c>
      <c r="BX2046" s="111">
        <f t="shared" si="1494"/>
        <v>0</v>
      </c>
      <c r="BY2046" s="129">
        <f t="shared" si="1495"/>
        <v>-3</v>
      </c>
      <c r="BZ2046" s="111">
        <f t="shared" si="1496"/>
        <v>0</v>
      </c>
      <c r="CA2046" s="138">
        <f t="shared" si="1497"/>
        <v>3</v>
      </c>
      <c r="CB2046" s="111" t="e">
        <f>IF(AF2046&gt;1/1/1900,((AF2046+1)-AE2046),"STILL OPEN")</f>
        <v>#VALUE!</v>
      </c>
      <c r="CC2046" s="129">
        <f>M2046-I2046+1</f>
        <v>3</v>
      </c>
      <c r="CD2046" s="111">
        <f>CC2046-BF2046</f>
        <v>0</v>
      </c>
      <c r="CG2046" s="129" t="str">
        <f t="shared" si="1498"/>
        <v>Y</v>
      </c>
      <c r="CI2046" s="129" t="str">
        <f t="shared" si="1499"/>
        <v>0-10 DAYS</v>
      </c>
      <c r="CJ2046" s="137">
        <f t="shared" si="1500"/>
        <v>1</v>
      </c>
      <c r="CK2046" s="129" t="str">
        <f t="shared" si="1501"/>
        <v>Booked</v>
      </c>
    </row>
    <row r="2047" spans="1:89" ht="15.75" customHeight="1" x14ac:dyDescent="0.25">
      <c r="A2047" s="111">
        <v>768</v>
      </c>
      <c r="B2047" s="128" t="str">
        <f t="shared" si="1481"/>
        <v>N</v>
      </c>
      <c r="C2047" s="128" t="str">
        <f t="shared" si="1482"/>
        <v>N</v>
      </c>
      <c r="D2047" s="117">
        <v>2396082</v>
      </c>
      <c r="E2047" s="135">
        <f t="shared" si="1483"/>
        <v>5</v>
      </c>
      <c r="F2047" s="124">
        <v>40938</v>
      </c>
      <c r="G2047" s="125">
        <v>41190</v>
      </c>
      <c r="H2047" s="117">
        <v>2396082</v>
      </c>
      <c r="I2047" s="124">
        <v>40939</v>
      </c>
      <c r="J2047" s="124">
        <v>40941</v>
      </c>
      <c r="K2047" s="126">
        <v>30000</v>
      </c>
      <c r="L2047" s="129" t="s">
        <v>572</v>
      </c>
      <c r="M2047" s="125">
        <v>40941</v>
      </c>
      <c r="N2047" s="129" t="str">
        <f t="shared" si="1526"/>
        <v>Y</v>
      </c>
      <c r="O2047" s="128" t="s">
        <v>76</v>
      </c>
      <c r="P2047" s="129" t="s">
        <v>39</v>
      </c>
      <c r="Q2047" s="111">
        <f t="shared" si="1523"/>
        <v>3</v>
      </c>
      <c r="R2047" s="111">
        <f t="shared" si="1508"/>
        <v>253</v>
      </c>
      <c r="S2047" s="129">
        <v>3</v>
      </c>
      <c r="T2047" s="129">
        <v>0</v>
      </c>
      <c r="U2047" s="129">
        <v>2</v>
      </c>
      <c r="W2047" s="111"/>
      <c r="AC2047" s="130"/>
      <c r="AD2047" s="130">
        <v>33466</v>
      </c>
      <c r="AE2047" s="128" t="s">
        <v>32</v>
      </c>
      <c r="AF2047" s="128" t="s">
        <v>33</v>
      </c>
      <c r="AG2047" s="128" t="s">
        <v>872</v>
      </c>
      <c r="AH2047" s="108" t="s">
        <v>58</v>
      </c>
      <c r="AI2047" s="128" t="s">
        <v>113</v>
      </c>
      <c r="AJ2047" s="129" t="s">
        <v>89</v>
      </c>
      <c r="AK2047" s="129">
        <v>13</v>
      </c>
      <c r="AL2047" s="3" t="s">
        <v>992</v>
      </c>
      <c r="AN2047" s="117">
        <v>6</v>
      </c>
      <c r="AP2047" s="129" t="s">
        <v>132</v>
      </c>
      <c r="AR2047" s="128" t="s">
        <v>92</v>
      </c>
      <c r="AS2047" s="129" t="s">
        <v>82</v>
      </c>
      <c r="BC2047" s="129" t="s">
        <v>52</v>
      </c>
      <c r="BD2047" s="3"/>
      <c r="BF2047" s="111">
        <f>IF(J2047&gt;1/1/1900,((J2047+1)-I2047),"STILL OPEN")</f>
        <v>3</v>
      </c>
      <c r="BG2047" s="111">
        <f t="shared" si="1527"/>
        <v>252</v>
      </c>
      <c r="BH2047" s="111">
        <f t="shared" si="1478"/>
        <v>253</v>
      </c>
      <c r="BI2047" s="111">
        <f t="shared" si="1479"/>
        <v>20.415300546448087</v>
      </c>
      <c r="BJ2047" s="129">
        <f>(G2047-J2047)+(M2047-G2047)</f>
        <v>0</v>
      </c>
      <c r="BK2047" s="129">
        <f t="shared" si="1480"/>
        <v>-249</v>
      </c>
      <c r="BL2047" s="129" t="str">
        <f t="shared" si="1511"/>
        <v>CONVICTION</v>
      </c>
      <c r="BM2047" s="129" t="s">
        <v>76</v>
      </c>
      <c r="BN2047" s="129" t="s">
        <v>88</v>
      </c>
      <c r="BP2047" s="137" t="str">
        <f t="shared" si="1487"/>
        <v>CONVICTION</v>
      </c>
      <c r="BQ2047" s="128" t="str">
        <f t="shared" si="1488"/>
        <v>Y</v>
      </c>
      <c r="BR2047" s="129" t="str">
        <f>IF(J2047&lt;G2047,"ON BOND",0)</f>
        <v>ON BOND</v>
      </c>
      <c r="BS2047" s="129" t="str">
        <f t="shared" si="1490"/>
        <v>DISPOSED</v>
      </c>
      <c r="BT2047" s="129" t="str">
        <f t="shared" si="1491"/>
        <v>Y</v>
      </c>
      <c r="BU2047" s="109">
        <f t="shared" si="1492"/>
        <v>1.1857707509881422E-2</v>
      </c>
      <c r="BV2047" s="109">
        <f t="shared" si="1493"/>
        <v>1.1904761904761904E-2</v>
      </c>
      <c r="BW2047" s="109">
        <f t="shared" si="1519"/>
        <v>4.7054394880481978E-5</v>
      </c>
      <c r="BX2047" s="111">
        <f t="shared" si="1494"/>
        <v>0</v>
      </c>
      <c r="BY2047" s="129">
        <f t="shared" si="1495"/>
        <v>-3</v>
      </c>
      <c r="BZ2047" s="111">
        <f t="shared" si="1496"/>
        <v>0</v>
      </c>
      <c r="CA2047" s="138">
        <f t="shared" si="1497"/>
        <v>3</v>
      </c>
      <c r="CB2047" s="111" t="e">
        <f>IF(AF2047&gt;1/1/1900,((AF2047+1)-AE2047),"STILL OPEN")</f>
        <v>#VALUE!</v>
      </c>
      <c r="CC2047" s="129">
        <f>M2047-I2047+1</f>
        <v>3</v>
      </c>
      <c r="CD2047" s="111">
        <f>CC2047-BF2047</f>
        <v>0</v>
      </c>
      <c r="CG2047" s="129" t="str">
        <f t="shared" si="1498"/>
        <v>Y</v>
      </c>
      <c r="CI2047" s="129" t="str">
        <f t="shared" si="1499"/>
        <v>0-10 DAYS</v>
      </c>
      <c r="CJ2047" s="137">
        <f t="shared" si="1500"/>
        <v>1</v>
      </c>
      <c r="CK2047" s="129" t="str">
        <f t="shared" si="1501"/>
        <v>Booked</v>
      </c>
    </row>
    <row r="2048" spans="1:89" ht="15.75" customHeight="1" x14ac:dyDescent="0.25">
      <c r="A2048" s="111">
        <v>2742</v>
      </c>
      <c r="B2048" s="128" t="str">
        <f t="shared" si="1481"/>
        <v>Y</v>
      </c>
      <c r="C2048" s="128" t="str">
        <f t="shared" si="1482"/>
        <v>Y</v>
      </c>
      <c r="D2048" s="114">
        <v>2396941</v>
      </c>
      <c r="E2048" s="135">
        <f t="shared" si="1483"/>
        <v>2</v>
      </c>
      <c r="F2048" s="124">
        <v>41010</v>
      </c>
      <c r="G2048" s="125">
        <v>41213</v>
      </c>
      <c r="H2048" s="114">
        <v>2396941</v>
      </c>
      <c r="I2048" s="124">
        <v>41011</v>
      </c>
      <c r="J2048" s="124">
        <v>41012</v>
      </c>
      <c r="K2048" s="126">
        <v>5000</v>
      </c>
      <c r="L2048" s="127" t="s">
        <v>569</v>
      </c>
      <c r="M2048" s="125">
        <v>41012</v>
      </c>
      <c r="N2048" s="129" t="str">
        <f t="shared" si="1526"/>
        <v>Y</v>
      </c>
      <c r="O2048" s="128" t="s">
        <v>76</v>
      </c>
      <c r="P2048" s="129" t="s">
        <v>589</v>
      </c>
      <c r="Q2048" s="111">
        <v>15</v>
      </c>
      <c r="R2048" s="111">
        <f t="shared" si="1508"/>
        <v>204</v>
      </c>
      <c r="S2048" s="129">
        <v>0</v>
      </c>
      <c r="T2048" s="129">
        <v>2</v>
      </c>
      <c r="W2048" s="111"/>
      <c r="AC2048" s="130"/>
      <c r="AD2048" s="130">
        <v>32514</v>
      </c>
      <c r="AE2048" s="128" t="s">
        <v>32</v>
      </c>
      <c r="AF2048" s="128" t="s">
        <v>69</v>
      </c>
      <c r="AG2048" s="128" t="s">
        <v>874</v>
      </c>
      <c r="AH2048" s="108" t="s">
        <v>31</v>
      </c>
      <c r="AI2048" s="128" t="s">
        <v>114</v>
      </c>
      <c r="AJ2048" s="129" t="s">
        <v>48</v>
      </c>
      <c r="AK2048" s="129">
        <v>12</v>
      </c>
      <c r="AL2048" s="3" t="s">
        <v>48</v>
      </c>
      <c r="AP2048" s="129" t="s">
        <v>93</v>
      </c>
      <c r="AR2048" s="128" t="s">
        <v>67</v>
      </c>
      <c r="AS2048" s="129" t="s">
        <v>45</v>
      </c>
      <c r="AT2048" s="129" t="s">
        <v>1106</v>
      </c>
      <c r="AU2048" s="3" t="s">
        <v>853</v>
      </c>
      <c r="AV2048" s="3" t="s">
        <v>88</v>
      </c>
      <c r="AW2048" s="129" t="s">
        <v>783</v>
      </c>
      <c r="BA2048" s="125">
        <v>41215</v>
      </c>
      <c r="BB2048" s="129">
        <v>243</v>
      </c>
      <c r="BC2048" s="129" t="s">
        <v>52</v>
      </c>
      <c r="BD2048" s="32" t="s">
        <v>1265</v>
      </c>
      <c r="BF2048" s="111">
        <v>15</v>
      </c>
      <c r="BG2048" s="111">
        <f t="shared" si="1527"/>
        <v>203</v>
      </c>
      <c r="BH2048" s="111">
        <f t="shared" si="1478"/>
        <v>204</v>
      </c>
      <c r="BI2048" s="111">
        <f t="shared" si="1479"/>
        <v>23.21311475409836</v>
      </c>
      <c r="BJ2048" s="129">
        <f>(G2048-J2048)+(M2048-G2048)</f>
        <v>0</v>
      </c>
      <c r="BK2048" s="129">
        <f t="shared" si="1480"/>
        <v>-201</v>
      </c>
      <c r="BL2048" s="129" t="str">
        <f t="shared" si="1511"/>
        <v>DEFERRED</v>
      </c>
      <c r="BM2048" s="129" t="s">
        <v>76</v>
      </c>
      <c r="BN2048" s="129" t="s">
        <v>566</v>
      </c>
      <c r="BP2048" s="137" t="str">
        <f t="shared" si="1487"/>
        <v>DEFERRED</v>
      </c>
      <c r="BQ2048" s="128" t="str">
        <f t="shared" si="1488"/>
        <v>Y</v>
      </c>
      <c r="BR2048" s="129" t="s">
        <v>574</v>
      </c>
      <c r="BS2048" s="129" t="str">
        <f t="shared" si="1490"/>
        <v>DISPOSED</v>
      </c>
      <c r="BT2048" s="129" t="str">
        <f t="shared" si="1491"/>
        <v>N</v>
      </c>
      <c r="BU2048" s="109">
        <f t="shared" si="1492"/>
        <v>7.3529411764705885E-2</v>
      </c>
      <c r="BV2048" s="109">
        <f t="shared" si="1493"/>
        <v>9.852216748768473E-3</v>
      </c>
      <c r="BW2048" s="109">
        <f t="shared" si="1519"/>
        <v>-6.367719501593741E-2</v>
      </c>
      <c r="BX2048" s="111">
        <f t="shared" si="1494"/>
        <v>0</v>
      </c>
      <c r="BY2048" s="129">
        <f t="shared" si="1495"/>
        <v>-2</v>
      </c>
      <c r="BZ2048" s="111">
        <f t="shared" si="1496"/>
        <v>13</v>
      </c>
      <c r="CA2048" s="138">
        <f t="shared" si="1497"/>
        <v>203</v>
      </c>
      <c r="CB2048" s="111">
        <v>15</v>
      </c>
      <c r="CC2048" s="129">
        <f>G2048-I2048+1</f>
        <v>203</v>
      </c>
      <c r="CD2048" s="129">
        <f>G2048-J2048</f>
        <v>201</v>
      </c>
      <c r="CG2048" s="129" t="str">
        <f t="shared" si="1498"/>
        <v>Y</v>
      </c>
      <c r="CI2048" s="129" t="str">
        <f t="shared" si="1499"/>
        <v>11-30 DAYS</v>
      </c>
      <c r="CJ2048" s="137">
        <f t="shared" si="1500"/>
        <v>2</v>
      </c>
      <c r="CK2048" s="129" t="str">
        <f t="shared" si="1501"/>
        <v>Booked</v>
      </c>
    </row>
    <row r="2049" spans="1:89" ht="15" customHeight="1" x14ac:dyDescent="0.25">
      <c r="A2049" s="111">
        <v>345</v>
      </c>
      <c r="B2049" s="128" t="str">
        <f t="shared" si="1481"/>
        <v>N</v>
      </c>
      <c r="C2049" s="128" t="str">
        <f t="shared" si="1482"/>
        <v>N</v>
      </c>
      <c r="D2049" s="117">
        <v>2399982</v>
      </c>
      <c r="E2049" s="135">
        <f t="shared" si="1483"/>
        <v>6</v>
      </c>
      <c r="F2049" s="124">
        <v>40922</v>
      </c>
      <c r="G2049" s="125">
        <v>40969</v>
      </c>
      <c r="H2049" s="117">
        <v>2399982</v>
      </c>
      <c r="I2049" s="124">
        <v>40923</v>
      </c>
      <c r="J2049" s="124">
        <v>40969</v>
      </c>
      <c r="K2049" s="126">
        <v>20000</v>
      </c>
      <c r="L2049" s="127" t="s">
        <v>571</v>
      </c>
      <c r="N2049" s="129" t="str">
        <f t="shared" si="1526"/>
        <v>N</v>
      </c>
      <c r="O2049" s="128" t="s">
        <v>917</v>
      </c>
      <c r="P2049" s="129" t="s">
        <v>39</v>
      </c>
      <c r="Q2049" s="111">
        <f t="shared" ref="Q2049:Q2078" si="1528">BF2049</f>
        <v>47</v>
      </c>
      <c r="R2049" s="111">
        <f t="shared" si="1508"/>
        <v>48</v>
      </c>
      <c r="S2049" s="129">
        <v>2</v>
      </c>
      <c r="T2049" s="129">
        <v>0</v>
      </c>
      <c r="U2049" s="129">
        <v>2</v>
      </c>
      <c r="W2049" s="111"/>
      <c r="AC2049" s="130"/>
      <c r="AD2049" s="130">
        <v>33430</v>
      </c>
      <c r="AE2049" s="128" t="s">
        <v>32</v>
      </c>
      <c r="AF2049" s="128" t="s">
        <v>33</v>
      </c>
      <c r="AG2049" s="128" t="s">
        <v>872</v>
      </c>
      <c r="AH2049" s="108" t="s">
        <v>58</v>
      </c>
      <c r="AI2049" s="128" t="s">
        <v>113</v>
      </c>
      <c r="AJ2049" s="129" t="s">
        <v>89</v>
      </c>
      <c r="AK2049" s="129">
        <v>3</v>
      </c>
      <c r="AL2049" s="3" t="s">
        <v>362</v>
      </c>
      <c r="AM2049" s="117">
        <v>2</v>
      </c>
      <c r="AP2049" s="129" t="s">
        <v>186</v>
      </c>
      <c r="AR2049" s="128" t="s">
        <v>50</v>
      </c>
      <c r="AS2049" s="129" t="s">
        <v>106</v>
      </c>
      <c r="BC2049" s="129" t="s">
        <v>38</v>
      </c>
      <c r="BF2049" s="111">
        <f t="shared" ref="BF2049:BF2061" si="1529">IF(J2049&gt;1/1/1900,((J2049+1)-I2049),"STILL OPEN")</f>
        <v>47</v>
      </c>
      <c r="BG2049" s="111">
        <f t="shared" si="1527"/>
        <v>47</v>
      </c>
      <c r="BH2049" s="111">
        <f t="shared" ref="BH2049:BH2112" si="1530">IF(G2049&gt;1/1/1900,((G2049+1)-F2049),"STILL OPEN")</f>
        <v>48</v>
      </c>
      <c r="BI2049" s="111">
        <f t="shared" ref="BI2049:BI2112" si="1531">(F2049-AD2049)/366</f>
        <v>20.469945355191257</v>
      </c>
      <c r="BJ2049" s="129">
        <f t="shared" si="1485"/>
        <v>0</v>
      </c>
      <c r="BK2049" s="129">
        <f t="shared" ref="BK2049:BK2112" si="1532">J2049-G2049</f>
        <v>0</v>
      </c>
      <c r="BL2049" s="129" t="str">
        <f t="shared" si="1511"/>
        <v>CONVICTION</v>
      </c>
      <c r="BM2049" s="129" t="str">
        <f t="shared" si="1486"/>
        <v>NONE</v>
      </c>
      <c r="BN2049" s="129" t="s">
        <v>566</v>
      </c>
      <c r="BP2049" s="137" t="str">
        <f t="shared" si="1487"/>
        <v>CONVICTION</v>
      </c>
      <c r="BQ2049" s="128" t="str">
        <f t="shared" si="1488"/>
        <v>Y</v>
      </c>
      <c r="BR2049" s="129" t="str">
        <f t="shared" si="1489"/>
        <v>DETAINED</v>
      </c>
      <c r="BS2049" s="129" t="str">
        <f t="shared" si="1490"/>
        <v>DISPOSED</v>
      </c>
      <c r="BT2049" s="129" t="str">
        <f t="shared" si="1491"/>
        <v>Y</v>
      </c>
      <c r="BU2049" s="109">
        <f t="shared" si="1492"/>
        <v>0.97916666666666663</v>
      </c>
      <c r="BV2049" s="109">
        <f t="shared" si="1493"/>
        <v>1</v>
      </c>
      <c r="BW2049" s="109">
        <f t="shared" si="1519"/>
        <v>2.083333333333337E-2</v>
      </c>
      <c r="BX2049" s="111">
        <f t="shared" si="1494"/>
        <v>0</v>
      </c>
      <c r="BY2049" s="129">
        <f t="shared" si="1495"/>
        <v>-47</v>
      </c>
      <c r="BZ2049" s="111">
        <f t="shared" si="1496"/>
        <v>0</v>
      </c>
      <c r="CA2049" s="138">
        <f t="shared" si="1497"/>
        <v>47</v>
      </c>
      <c r="CB2049" s="111" t="e">
        <f t="shared" ref="CB2049:CB2061" si="1533">IF(AF2049&gt;1/1/1900,((AF2049+1)-AE2049),"STILL OPEN")</f>
        <v>#VALUE!</v>
      </c>
      <c r="CC2049" s="129">
        <f>G2049-I2049+1</f>
        <v>47</v>
      </c>
      <c r="CD2049" s="129">
        <f>G2049-J2049</f>
        <v>0</v>
      </c>
      <c r="CG2049" s="129" t="str">
        <f t="shared" si="1498"/>
        <v>Y</v>
      </c>
      <c r="CI2049" s="129" t="str">
        <f t="shared" si="1499"/>
        <v>31-60 DAYS</v>
      </c>
      <c r="CJ2049" s="137">
        <f t="shared" si="1500"/>
        <v>3</v>
      </c>
      <c r="CK2049" s="129" t="str">
        <f t="shared" si="1501"/>
        <v>Booked</v>
      </c>
    </row>
    <row r="2050" spans="1:89" ht="15" customHeight="1" x14ac:dyDescent="0.25">
      <c r="A2050" s="111">
        <v>2174</v>
      </c>
      <c r="B2050" s="128" t="str">
        <f t="shared" ref="B2050:B2113" si="1534">IF(BD2050&lt;&gt;"","Y","N")</f>
        <v>N</v>
      </c>
      <c r="C2050" s="128" t="str">
        <f t="shared" ref="C2050:C2113" si="1535">IF((AND(AV2050="",AX2050="",AY2050="")),"N","Y")</f>
        <v>N</v>
      </c>
      <c r="D2050" s="117">
        <v>2401422</v>
      </c>
      <c r="E2050" s="135">
        <f t="shared" ref="E2050:E2113" si="1536">IF(OR(AL2050="ACQUITTAL",AL2050="ACQUIT",AL2050="acq insane",AL2050="DISMISSED",AL2050="NO BILL"),1,IF(AL2050="DEFERRED",2,IF(AL2050="PROBATION",3,IF(OR(AL2050="HCJ",AL2050="fine"),4,IF(AL2050="STJ",5,IF(AL2050="TDC",6,""))))))</f>
        <v>2</v>
      </c>
      <c r="F2050" s="124">
        <v>40990</v>
      </c>
      <c r="G2050" s="125">
        <v>40995</v>
      </c>
      <c r="H2050" s="117">
        <v>2401422</v>
      </c>
      <c r="I2050" s="124">
        <v>40991</v>
      </c>
      <c r="J2050" s="124">
        <v>40995</v>
      </c>
      <c r="K2050" s="126">
        <v>50000</v>
      </c>
      <c r="L2050" s="129" t="s">
        <v>572</v>
      </c>
      <c r="N2050" s="129" t="str">
        <f t="shared" si="1526"/>
        <v>N</v>
      </c>
      <c r="O2050" s="128" t="s">
        <v>917</v>
      </c>
      <c r="P2050" s="129" t="s">
        <v>589</v>
      </c>
      <c r="Q2050" s="111">
        <f t="shared" si="1528"/>
        <v>5</v>
      </c>
      <c r="R2050" s="111">
        <f t="shared" si="1508"/>
        <v>6</v>
      </c>
      <c r="S2050" s="129">
        <v>2</v>
      </c>
      <c r="T2050" s="129">
        <v>4</v>
      </c>
      <c r="W2050" s="111"/>
      <c r="AC2050" s="130"/>
      <c r="AD2050" s="130">
        <v>32883</v>
      </c>
      <c r="AE2050" s="128" t="s">
        <v>32</v>
      </c>
      <c r="AF2050" s="128" t="s">
        <v>33</v>
      </c>
      <c r="AG2050" s="128" t="s">
        <v>872</v>
      </c>
      <c r="AH2050" s="108" t="s">
        <v>31</v>
      </c>
      <c r="AI2050" s="128" t="s">
        <v>71</v>
      </c>
      <c r="AJ2050" s="129" t="s">
        <v>48</v>
      </c>
      <c r="AK2050" s="129">
        <v>2</v>
      </c>
      <c r="AL2050" s="3" t="s">
        <v>48</v>
      </c>
      <c r="AP2050" s="129" t="s">
        <v>110</v>
      </c>
      <c r="AR2050" s="128" t="s">
        <v>50</v>
      </c>
      <c r="AS2050" s="129" t="s">
        <v>74</v>
      </c>
      <c r="BC2050" s="129" t="s">
        <v>99</v>
      </c>
      <c r="BF2050" s="111">
        <f t="shared" si="1529"/>
        <v>5</v>
      </c>
      <c r="BG2050" s="111">
        <f t="shared" si="1527"/>
        <v>5</v>
      </c>
      <c r="BH2050" s="111">
        <f t="shared" si="1530"/>
        <v>6</v>
      </c>
      <c r="BI2050" s="111">
        <f t="shared" si="1531"/>
        <v>22.150273224043715</v>
      </c>
      <c r="BJ2050" s="129">
        <f t="shared" ref="BJ2050:BJ2113" si="1537">G2050-J2050-M2050</f>
        <v>0</v>
      </c>
      <c r="BK2050" s="129">
        <f t="shared" si="1532"/>
        <v>0</v>
      </c>
      <c r="BL2050" s="129" t="str">
        <f t="shared" si="1511"/>
        <v>DEFERRED</v>
      </c>
      <c r="BM2050" s="129" t="str">
        <f t="shared" ref="BM2050:BM2113" si="1538">O2050</f>
        <v>NONE</v>
      </c>
      <c r="BN2050" s="129" t="s">
        <v>566</v>
      </c>
      <c r="BP2050" s="137" t="str">
        <f t="shared" ref="BP2050:BP2113" si="1539">IF(OR(AJ2050="AQUITTAL",AJ2050="DISMISSED",AJ2050="FINE",AJ2050="NO BILL"),"NO CONVICTION",IF(OR(AJ2050="HCJ",AJ2050="MHH",AJ2050="PROBATION",AJ2050="STJ",AJ2050="TDC",AJ2050="CONVICTED"),"CONVICTION",IF(AJ2050="DEFERRED","DEFERRED","")))</f>
        <v>DEFERRED</v>
      </c>
      <c r="BQ2050" s="128" t="str">
        <f t="shared" ref="BQ2050:BQ2113" si="1540">IF(BF2050&gt;0,"Y",BF2050)</f>
        <v>Y</v>
      </c>
      <c r="BR2050" s="129" t="str">
        <f t="shared" ref="BR2050:BR2113" si="1541">IF(AND(J2050="NOT BOOKED",M2050&gt;1/1/1),"BONDED - BEFORE BOOKED",IF(BG2050="STILL OPEN","STILL OPEN",IF(N2050="Y","ON BOND",IF(J2050&gt;=G2050,"DETAINED","RELEASED"))))</f>
        <v>DETAINED</v>
      </c>
      <c r="BS2050" s="129" t="str">
        <f t="shared" ref="BS2050:BS2113" si="1542">IF(G2050&lt;&gt;"","DISPOSED","")</f>
        <v>DISPOSED</v>
      </c>
      <c r="BT2050" s="129" t="str">
        <f t="shared" ref="BT2050:BT2113" si="1543">IF(S2050&gt;0,"Y","N")</f>
        <v>Y</v>
      </c>
      <c r="BU2050" s="109">
        <f t="shared" ref="BU2050:BU2113" si="1544">Q2050/R2050</f>
        <v>0.83333333333333337</v>
      </c>
      <c r="BV2050" s="109">
        <f t="shared" ref="BV2050:BV2113" si="1545">IF(I2050&gt;F2050,((J2050-I2050+1)/(G2050-I2050+1)),(J2050-I2050+1)/(G2050-F2050+1))</f>
        <v>1</v>
      </c>
      <c r="BW2050" s="109">
        <f t="shared" si="1519"/>
        <v>0.16666666666666663</v>
      </c>
      <c r="BX2050" s="111">
        <f t="shared" ref="BX2050:BX2113" si="1546">+Q2050-BF2050</f>
        <v>0</v>
      </c>
      <c r="BY2050" s="129">
        <f t="shared" ref="BY2050:BY2113" si="1547">I2050-J2050-1</f>
        <v>-5</v>
      </c>
      <c r="BZ2050" s="111">
        <f t="shared" ref="BZ2050:BZ2113" si="1548">BY2050+BF2050</f>
        <v>0</v>
      </c>
      <c r="CA2050" s="138">
        <f t="shared" ref="CA2050:CA2113" si="1549">IF(AND(BS2050="DISPOSED",BR2050="DETAINED"),G2050-I2050+1,IF(AND(BS2050="DISPOSED",BR2050="ON BOND"),M2050-I2050+1,IF(AND(BS2050="STILL OPEN","STILL OPEN"),"NOT BOOKED")))</f>
        <v>5</v>
      </c>
      <c r="CB2050" s="111" t="e">
        <f t="shared" si="1533"/>
        <v>#VALUE!</v>
      </c>
      <c r="CC2050" s="129">
        <f>G2050-I2050+1</f>
        <v>5</v>
      </c>
      <c r="CD2050" s="129">
        <f>G2050-J2050</f>
        <v>0</v>
      </c>
      <c r="CG2050" s="129" t="str">
        <f t="shared" ref="CG2050:CG2113" si="1550">IF((S2050+T2050+U2050)&gt;0,"Y","N")</f>
        <v>Y</v>
      </c>
      <c r="CI2050" s="129" t="str">
        <f t="shared" si="1499"/>
        <v>0-10 DAYS</v>
      </c>
      <c r="CJ2050" s="137">
        <f t="shared" si="1500"/>
        <v>1</v>
      </c>
      <c r="CK2050" s="129" t="str">
        <f t="shared" si="1501"/>
        <v>Booked</v>
      </c>
    </row>
    <row r="2051" spans="1:89" ht="15.75" customHeight="1" x14ac:dyDescent="0.25">
      <c r="A2051" s="111">
        <v>1240</v>
      </c>
      <c r="B2051" s="128" t="str">
        <f t="shared" si="1534"/>
        <v>N</v>
      </c>
      <c r="C2051" s="128" t="str">
        <f t="shared" si="1535"/>
        <v>N</v>
      </c>
      <c r="D2051" s="117">
        <v>2401429</v>
      </c>
      <c r="E2051" s="135">
        <f t="shared" si="1536"/>
        <v>2</v>
      </c>
      <c r="F2051" s="124">
        <v>40954</v>
      </c>
      <c r="G2051" s="125">
        <v>40969</v>
      </c>
      <c r="H2051" s="117">
        <v>2401429</v>
      </c>
      <c r="I2051" s="124">
        <v>40954</v>
      </c>
      <c r="J2051" s="124">
        <v>40969</v>
      </c>
      <c r="K2051" s="126">
        <v>10000</v>
      </c>
      <c r="L2051" s="127" t="s">
        <v>570</v>
      </c>
      <c r="N2051" s="129" t="str">
        <f t="shared" si="1526"/>
        <v>N</v>
      </c>
      <c r="O2051" s="128" t="s">
        <v>917</v>
      </c>
      <c r="P2051" s="129" t="s">
        <v>589</v>
      </c>
      <c r="Q2051" s="111">
        <f t="shared" si="1528"/>
        <v>16</v>
      </c>
      <c r="R2051" s="111">
        <f t="shared" si="1508"/>
        <v>16</v>
      </c>
      <c r="S2051" s="129">
        <v>0</v>
      </c>
      <c r="T2051" s="129">
        <v>3</v>
      </c>
      <c r="W2051" s="111"/>
      <c r="AC2051" s="130"/>
      <c r="AD2051" s="130">
        <v>33223</v>
      </c>
      <c r="AE2051" s="128" t="s">
        <v>32</v>
      </c>
      <c r="AF2051" s="128" t="s">
        <v>33</v>
      </c>
      <c r="AG2051" s="128" t="s">
        <v>872</v>
      </c>
      <c r="AH2051" s="108" t="s">
        <v>58</v>
      </c>
      <c r="AI2051" s="128" t="s">
        <v>100</v>
      </c>
      <c r="AJ2051" s="129" t="s">
        <v>48</v>
      </c>
      <c r="AK2051" s="129">
        <v>2</v>
      </c>
      <c r="AL2051" s="3" t="s">
        <v>48</v>
      </c>
      <c r="AP2051" s="129" t="s">
        <v>81</v>
      </c>
      <c r="AR2051" s="128" t="s">
        <v>50</v>
      </c>
      <c r="AS2051" s="129" t="s">
        <v>82</v>
      </c>
      <c r="AT2051" s="129" t="s">
        <v>310</v>
      </c>
      <c r="BC2051" s="129" t="s">
        <v>38</v>
      </c>
      <c r="BF2051" s="111">
        <f t="shared" si="1529"/>
        <v>16</v>
      </c>
      <c r="BG2051" s="111">
        <f t="shared" si="1527"/>
        <v>16</v>
      </c>
      <c r="BH2051" s="111">
        <f t="shared" si="1530"/>
        <v>16</v>
      </c>
      <c r="BI2051" s="111">
        <f t="shared" si="1531"/>
        <v>21.122950819672131</v>
      </c>
      <c r="BJ2051" s="129">
        <f t="shared" si="1537"/>
        <v>0</v>
      </c>
      <c r="BK2051" s="129">
        <f t="shared" si="1532"/>
        <v>0</v>
      </c>
      <c r="BL2051" s="129" t="str">
        <f t="shared" si="1511"/>
        <v>DEFERRED</v>
      </c>
      <c r="BM2051" s="129" t="str">
        <f t="shared" si="1538"/>
        <v>NONE</v>
      </c>
      <c r="BN2051" s="129" t="s">
        <v>566</v>
      </c>
      <c r="BP2051" s="137" t="str">
        <f t="shared" si="1539"/>
        <v>DEFERRED</v>
      </c>
      <c r="BQ2051" s="128" t="str">
        <f t="shared" si="1540"/>
        <v>Y</v>
      </c>
      <c r="BR2051" s="129" t="str">
        <f t="shared" si="1541"/>
        <v>DETAINED</v>
      </c>
      <c r="BS2051" s="129" t="str">
        <f t="shared" si="1542"/>
        <v>DISPOSED</v>
      </c>
      <c r="BT2051" s="129" t="str">
        <f t="shared" si="1543"/>
        <v>N</v>
      </c>
      <c r="BU2051" s="109">
        <f t="shared" si="1544"/>
        <v>1</v>
      </c>
      <c r="BV2051" s="109">
        <f t="shared" si="1545"/>
        <v>1</v>
      </c>
      <c r="BW2051" s="109">
        <f t="shared" si="1519"/>
        <v>0</v>
      </c>
      <c r="BX2051" s="111">
        <f t="shared" si="1546"/>
        <v>0</v>
      </c>
      <c r="BY2051" s="129">
        <f t="shared" si="1547"/>
        <v>-16</v>
      </c>
      <c r="BZ2051" s="111">
        <f t="shared" si="1548"/>
        <v>0</v>
      </c>
      <c r="CA2051" s="138">
        <f t="shared" si="1549"/>
        <v>16</v>
      </c>
      <c r="CB2051" s="111" t="e">
        <f t="shared" si="1533"/>
        <v>#VALUE!</v>
      </c>
      <c r="CC2051" s="129">
        <f>G2051-I2051+1</f>
        <v>16</v>
      </c>
      <c r="CD2051" s="129">
        <f>G2051-J2051</f>
        <v>0</v>
      </c>
      <c r="CG2051" s="129" t="str">
        <f t="shared" si="1550"/>
        <v>Y</v>
      </c>
      <c r="CI2051" s="129" t="str">
        <f t="shared" ref="CI2051:CI2114" si="1551">IF(BF2051&lt;11,"0-10 DAYS",IF(AND(BF2051&gt;10,BF2051&lt;31),"11-30 DAYS",IF((AND(BF2051&gt;30,BF2051&lt;61)),"31-60 DAYS",IF(AND(BF2051&gt;60,BF2051&lt;91),"61-90 DAYS",IF(AND(BF2051&gt;90,BF2051&lt;121),"91-120 DAYS",IF(AND(BF2051&gt;120,BF2051&lt;366),"121-365 DAYS",IF(AND(BF2051&gt;365,BF2051&lt;730)," &gt;1YRS&lt;2YRS",IF(AND(BF2051&gt;729,BF2051&lt;1095),"&gt;2YRS&lt;3YRS",IF(BF2051&gt;1094,"&gt;3YRS")))))))))</f>
        <v>11-30 DAYS</v>
      </c>
      <c r="CJ2051" s="137">
        <f t="shared" ref="CJ2051:CJ2114" si="1552">IF(CI2051="0-10 DAYS",1,IF(CI2051="11-30 DAYS",2,IF(CI2051="31-60 DAYS",3,IF(CI2051="61-90 DAYS",4,IF(CK2051="91-120 DAYS",5,IF(CI2051="121-365 DAYS",6,IF(CI2051="&gt;1YRS&lt;2YRS",7,IF(CI2051="&gt;2YRS&lt;3YRS",8,IF(CI2051="&gt;3YRS",9,0)))))))))</f>
        <v>2</v>
      </c>
      <c r="CK2051" s="129" t="str">
        <f t="shared" ref="CK2051:CK2114" si="1553">IF(I2051="Not Booked","Not Booked","Booked")</f>
        <v>Booked</v>
      </c>
    </row>
    <row r="2052" spans="1:89" ht="15" customHeight="1" x14ac:dyDescent="0.25">
      <c r="A2052" s="111">
        <v>2666</v>
      </c>
      <c r="B2052" s="128" t="str">
        <f t="shared" si="1534"/>
        <v>N</v>
      </c>
      <c r="C2052" s="128" t="str">
        <f t="shared" si="1535"/>
        <v>N</v>
      </c>
      <c r="D2052" s="117">
        <v>2401490</v>
      </c>
      <c r="E2052" s="135">
        <f t="shared" si="1536"/>
        <v>1</v>
      </c>
      <c r="F2052" s="124">
        <v>41008</v>
      </c>
      <c r="G2052" s="125">
        <v>41107</v>
      </c>
      <c r="H2052" s="117">
        <v>2401490</v>
      </c>
      <c r="I2052" s="124">
        <v>41008</v>
      </c>
      <c r="J2052" s="124">
        <v>41055</v>
      </c>
      <c r="K2052" s="126">
        <v>5000</v>
      </c>
      <c r="L2052" s="127" t="s">
        <v>569</v>
      </c>
      <c r="M2052" s="125">
        <v>41055</v>
      </c>
      <c r="N2052" s="129" t="str">
        <f t="shared" si="1526"/>
        <v>Y</v>
      </c>
      <c r="O2052" s="128" t="s">
        <v>76</v>
      </c>
      <c r="P2052" s="129" t="s">
        <v>55</v>
      </c>
      <c r="Q2052" s="111">
        <f t="shared" si="1528"/>
        <v>48</v>
      </c>
      <c r="R2052" s="111">
        <f t="shared" si="1508"/>
        <v>100</v>
      </c>
      <c r="S2052" s="129">
        <v>1</v>
      </c>
      <c r="T2052" s="129">
        <v>2</v>
      </c>
      <c r="U2052" s="129">
        <v>1</v>
      </c>
      <c r="W2052" s="111"/>
      <c r="AC2052" s="130"/>
      <c r="AD2052" s="130">
        <v>33213</v>
      </c>
      <c r="AE2052" s="128" t="s">
        <v>32</v>
      </c>
      <c r="AF2052" s="128" t="s">
        <v>40</v>
      </c>
      <c r="AG2052" s="128" t="s">
        <v>41</v>
      </c>
      <c r="AH2052" s="108" t="s">
        <v>41</v>
      </c>
      <c r="AI2052" s="128" t="s">
        <v>87</v>
      </c>
      <c r="AJ2052" s="129" t="s">
        <v>55</v>
      </c>
      <c r="AK2052" s="129">
        <v>8</v>
      </c>
      <c r="AL2052" s="3" t="s">
        <v>55</v>
      </c>
      <c r="AP2052" s="129" t="s">
        <v>197</v>
      </c>
      <c r="AR2052" s="128" t="s">
        <v>44</v>
      </c>
      <c r="AS2052" s="129" t="s">
        <v>61</v>
      </c>
      <c r="BC2052" s="129" t="s">
        <v>38</v>
      </c>
      <c r="BF2052" s="111">
        <f t="shared" si="1529"/>
        <v>48</v>
      </c>
      <c r="BG2052" s="111">
        <f t="shared" si="1527"/>
        <v>100</v>
      </c>
      <c r="BH2052" s="111">
        <f t="shared" si="1530"/>
        <v>100</v>
      </c>
      <c r="BI2052" s="111">
        <f t="shared" si="1531"/>
        <v>21.297814207650273</v>
      </c>
      <c r="BJ2052" s="129">
        <f>(G2052-J2052)+(M2052-G2052)</f>
        <v>0</v>
      </c>
      <c r="BK2052" s="129">
        <f t="shared" si="1532"/>
        <v>-52</v>
      </c>
      <c r="BL2052" s="129" t="str">
        <f t="shared" si="1511"/>
        <v>NO CONVICTION</v>
      </c>
      <c r="BM2052" s="129" t="s">
        <v>76</v>
      </c>
      <c r="BN2052" s="129" t="s">
        <v>88</v>
      </c>
      <c r="BP2052" s="137" t="str">
        <f t="shared" si="1539"/>
        <v>NO CONVICTION</v>
      </c>
      <c r="BQ2052" s="128" t="str">
        <f t="shared" si="1540"/>
        <v>Y</v>
      </c>
      <c r="BR2052" s="129" t="str">
        <f t="shared" si="1541"/>
        <v>ON BOND</v>
      </c>
      <c r="BS2052" s="129" t="str">
        <f t="shared" si="1542"/>
        <v>DISPOSED</v>
      </c>
      <c r="BT2052" s="129" t="str">
        <f t="shared" si="1543"/>
        <v>Y</v>
      </c>
      <c r="BU2052" s="109">
        <f>IFERROR(Q2052/R2052,BR2052)</f>
        <v>0.48</v>
      </c>
      <c r="BV2052" s="109">
        <f t="shared" si="1545"/>
        <v>0.48</v>
      </c>
      <c r="BW2052" s="109">
        <f t="shared" si="1519"/>
        <v>0</v>
      </c>
      <c r="BX2052" s="111">
        <f t="shared" si="1546"/>
        <v>0</v>
      </c>
      <c r="BY2052" s="129">
        <f t="shared" si="1547"/>
        <v>-48</v>
      </c>
      <c r="BZ2052" s="111">
        <f t="shared" si="1548"/>
        <v>0</v>
      </c>
      <c r="CA2052" s="138">
        <f t="shared" si="1549"/>
        <v>48</v>
      </c>
      <c r="CB2052" s="111" t="e">
        <f t="shared" si="1533"/>
        <v>#VALUE!</v>
      </c>
      <c r="CC2052" s="129">
        <f>M2052-I2052+1</f>
        <v>48</v>
      </c>
      <c r="CD2052" s="111">
        <f>CC2052-BF2052</f>
        <v>0</v>
      </c>
      <c r="CG2052" s="129" t="str">
        <f t="shared" si="1550"/>
        <v>Y</v>
      </c>
      <c r="CI2052" s="129" t="str">
        <f t="shared" si="1551"/>
        <v>31-60 DAYS</v>
      </c>
      <c r="CJ2052" s="137">
        <f t="shared" si="1552"/>
        <v>3</v>
      </c>
      <c r="CK2052" s="129" t="str">
        <f t="shared" si="1553"/>
        <v>Booked</v>
      </c>
    </row>
    <row r="2053" spans="1:89" ht="15.75" customHeight="1" x14ac:dyDescent="0.25">
      <c r="A2053" s="111">
        <v>927</v>
      </c>
      <c r="B2053" s="128" t="str">
        <f t="shared" si="1534"/>
        <v>N</v>
      </c>
      <c r="C2053" s="128" t="str">
        <f t="shared" si="1535"/>
        <v>N</v>
      </c>
      <c r="D2053" s="117">
        <v>2401679</v>
      </c>
      <c r="E2053" s="135">
        <f t="shared" si="1536"/>
        <v>5</v>
      </c>
      <c r="F2053" s="124">
        <v>40943</v>
      </c>
      <c r="G2053" s="125">
        <v>41039</v>
      </c>
      <c r="H2053" s="117">
        <v>2401679</v>
      </c>
      <c r="I2053" s="124">
        <v>40943</v>
      </c>
      <c r="J2053" s="124">
        <v>41039</v>
      </c>
      <c r="K2053" s="126">
        <v>5000</v>
      </c>
      <c r="L2053" s="127" t="s">
        <v>569</v>
      </c>
      <c r="N2053" s="129" t="str">
        <f t="shared" si="1526"/>
        <v>N</v>
      </c>
      <c r="O2053" s="128" t="s">
        <v>917</v>
      </c>
      <c r="P2053" s="129" t="s">
        <v>39</v>
      </c>
      <c r="Q2053" s="111">
        <f t="shared" si="1528"/>
        <v>97</v>
      </c>
      <c r="R2053" s="111">
        <f t="shared" si="1508"/>
        <v>97</v>
      </c>
      <c r="S2053" s="129">
        <v>1</v>
      </c>
      <c r="T2053" s="129">
        <v>1</v>
      </c>
      <c r="U2053" s="129">
        <v>1</v>
      </c>
      <c r="W2053" s="111"/>
      <c r="AC2053" s="130"/>
      <c r="AD2053" s="130">
        <v>32550</v>
      </c>
      <c r="AE2053" s="128" t="s">
        <v>46</v>
      </c>
      <c r="AF2053" s="128" t="s">
        <v>33</v>
      </c>
      <c r="AG2053" s="128" t="s">
        <v>872</v>
      </c>
      <c r="AH2053" s="108" t="s">
        <v>31</v>
      </c>
      <c r="AI2053" s="128" t="s">
        <v>95</v>
      </c>
      <c r="AJ2053" s="129" t="s">
        <v>89</v>
      </c>
      <c r="AK2053" s="129">
        <v>3</v>
      </c>
      <c r="AL2053" s="3" t="s">
        <v>992</v>
      </c>
      <c r="AN2053" s="117">
        <v>8</v>
      </c>
      <c r="AP2053" s="129" t="s">
        <v>43</v>
      </c>
      <c r="AR2053" s="128" t="s">
        <v>44</v>
      </c>
      <c r="AS2053" s="129" t="s">
        <v>45</v>
      </c>
      <c r="BC2053" s="129" t="s">
        <v>38</v>
      </c>
      <c r="BF2053" s="111">
        <f t="shared" si="1529"/>
        <v>97</v>
      </c>
      <c r="BG2053" s="111">
        <f t="shared" si="1527"/>
        <v>97</v>
      </c>
      <c r="BH2053" s="111">
        <f t="shared" si="1530"/>
        <v>97</v>
      </c>
      <c r="BI2053" s="111">
        <f t="shared" si="1531"/>
        <v>22.931693989071039</v>
      </c>
      <c r="BJ2053" s="129">
        <f t="shared" si="1537"/>
        <v>0</v>
      </c>
      <c r="BK2053" s="129">
        <f t="shared" si="1532"/>
        <v>0</v>
      </c>
      <c r="BL2053" s="129" t="str">
        <f t="shared" si="1511"/>
        <v>CONVICTION</v>
      </c>
      <c r="BM2053" s="129" t="str">
        <f t="shared" si="1538"/>
        <v>NONE</v>
      </c>
      <c r="BN2053" s="129" t="s">
        <v>566</v>
      </c>
      <c r="BP2053" s="137" t="str">
        <f t="shared" si="1539"/>
        <v>CONVICTION</v>
      </c>
      <c r="BQ2053" s="128" t="str">
        <f t="shared" si="1540"/>
        <v>Y</v>
      </c>
      <c r="BR2053" s="129" t="str">
        <f t="shared" si="1541"/>
        <v>DETAINED</v>
      </c>
      <c r="BS2053" s="129" t="str">
        <f t="shared" si="1542"/>
        <v>DISPOSED</v>
      </c>
      <c r="BT2053" s="129" t="str">
        <f t="shared" si="1543"/>
        <v>Y</v>
      </c>
      <c r="BU2053" s="109">
        <f t="shared" si="1544"/>
        <v>1</v>
      </c>
      <c r="BV2053" s="109">
        <f t="shared" si="1545"/>
        <v>1</v>
      </c>
      <c r="BW2053" s="109">
        <f t="shared" si="1519"/>
        <v>0</v>
      </c>
      <c r="BX2053" s="111">
        <f t="shared" si="1546"/>
        <v>0</v>
      </c>
      <c r="BY2053" s="129">
        <f t="shared" si="1547"/>
        <v>-97</v>
      </c>
      <c r="BZ2053" s="111">
        <f t="shared" si="1548"/>
        <v>0</v>
      </c>
      <c r="CA2053" s="138">
        <f t="shared" si="1549"/>
        <v>97</v>
      </c>
      <c r="CB2053" s="111" t="e">
        <f t="shared" si="1533"/>
        <v>#VALUE!</v>
      </c>
      <c r="CC2053" s="129">
        <f>G2053-I2053+1</f>
        <v>97</v>
      </c>
      <c r="CD2053" s="129">
        <f>G2053-J2053</f>
        <v>0</v>
      </c>
      <c r="CG2053" s="129" t="str">
        <f t="shared" si="1550"/>
        <v>Y</v>
      </c>
      <c r="CI2053" s="129" t="str">
        <f t="shared" si="1551"/>
        <v>91-120 DAYS</v>
      </c>
      <c r="CJ2053" s="137">
        <f t="shared" si="1552"/>
        <v>0</v>
      </c>
      <c r="CK2053" s="129" t="str">
        <f t="shared" si="1553"/>
        <v>Booked</v>
      </c>
    </row>
    <row r="2054" spans="1:89" ht="15" customHeight="1" x14ac:dyDescent="0.25">
      <c r="A2054" s="111">
        <v>2054</v>
      </c>
      <c r="B2054" s="128" t="str">
        <f t="shared" si="1534"/>
        <v>N</v>
      </c>
      <c r="C2054" s="128" t="str">
        <f t="shared" si="1535"/>
        <v>N</v>
      </c>
      <c r="D2054" s="117">
        <v>2401906</v>
      </c>
      <c r="E2054" s="135">
        <f t="shared" si="1536"/>
        <v>2</v>
      </c>
      <c r="F2054" s="124">
        <v>40986</v>
      </c>
      <c r="G2054" s="125">
        <v>41011</v>
      </c>
      <c r="H2054" s="117">
        <v>2401906</v>
      </c>
      <c r="I2054" s="124">
        <v>40986</v>
      </c>
      <c r="J2054" s="124">
        <v>40987</v>
      </c>
      <c r="K2054" s="126">
        <v>2000</v>
      </c>
      <c r="L2054" s="127" t="s">
        <v>568</v>
      </c>
      <c r="M2054" s="125">
        <v>40987</v>
      </c>
      <c r="N2054" s="129" t="str">
        <f t="shared" si="1526"/>
        <v>Y</v>
      </c>
      <c r="O2054" s="128" t="s">
        <v>76</v>
      </c>
      <c r="P2054" s="129" t="s">
        <v>589</v>
      </c>
      <c r="Q2054" s="111">
        <f t="shared" si="1528"/>
        <v>2</v>
      </c>
      <c r="R2054" s="111">
        <f t="shared" si="1508"/>
        <v>26</v>
      </c>
      <c r="S2054" s="129">
        <v>0</v>
      </c>
      <c r="T2054" s="129">
        <v>1</v>
      </c>
      <c r="W2054" s="111"/>
      <c r="AC2054" s="130"/>
      <c r="AD2054" s="130">
        <v>33606</v>
      </c>
      <c r="AE2054" s="128" t="s">
        <v>32</v>
      </c>
      <c r="AF2054" s="128" t="s">
        <v>40</v>
      </c>
      <c r="AG2054" s="128" t="s">
        <v>41</v>
      </c>
      <c r="AH2054" s="108" t="s">
        <v>41</v>
      </c>
      <c r="AI2054" s="128" t="s">
        <v>114</v>
      </c>
      <c r="AJ2054" s="129" t="s">
        <v>48</v>
      </c>
      <c r="AK2054" s="129">
        <v>2</v>
      </c>
      <c r="AL2054" s="3" t="s">
        <v>48</v>
      </c>
      <c r="AP2054" s="129" t="s">
        <v>103</v>
      </c>
      <c r="AR2054" s="128" t="s">
        <v>44</v>
      </c>
      <c r="AS2054" s="129" t="s">
        <v>45</v>
      </c>
      <c r="BC2054" s="129" t="s">
        <v>52</v>
      </c>
      <c r="BF2054" s="111">
        <f t="shared" si="1529"/>
        <v>2</v>
      </c>
      <c r="BG2054" s="111">
        <f t="shared" si="1527"/>
        <v>26</v>
      </c>
      <c r="BH2054" s="111">
        <f t="shared" si="1530"/>
        <v>26</v>
      </c>
      <c r="BI2054" s="111">
        <f t="shared" si="1531"/>
        <v>20.16393442622951</v>
      </c>
      <c r="BJ2054" s="129">
        <f>(G2054-J2054)+(M2054-G2054)</f>
        <v>0</v>
      </c>
      <c r="BK2054" s="129">
        <f t="shared" si="1532"/>
        <v>-24</v>
      </c>
      <c r="BL2054" s="129" t="str">
        <f t="shared" si="1511"/>
        <v>DEFERRED</v>
      </c>
      <c r="BM2054" s="129" t="s">
        <v>76</v>
      </c>
      <c r="BN2054" s="129" t="s">
        <v>88</v>
      </c>
      <c r="BP2054" s="137" t="str">
        <f t="shared" si="1539"/>
        <v>DEFERRED</v>
      </c>
      <c r="BQ2054" s="128" t="str">
        <f t="shared" si="1540"/>
        <v>Y</v>
      </c>
      <c r="BR2054" s="129" t="str">
        <f t="shared" si="1541"/>
        <v>ON BOND</v>
      </c>
      <c r="BS2054" s="129" t="str">
        <f t="shared" si="1542"/>
        <v>DISPOSED</v>
      </c>
      <c r="BT2054" s="129" t="str">
        <f t="shared" si="1543"/>
        <v>N</v>
      </c>
      <c r="BU2054" s="109">
        <f t="shared" si="1544"/>
        <v>7.6923076923076927E-2</v>
      </c>
      <c r="BV2054" s="109">
        <f t="shared" si="1545"/>
        <v>7.6923076923076927E-2</v>
      </c>
      <c r="BW2054" s="109">
        <f t="shared" si="1519"/>
        <v>0</v>
      </c>
      <c r="BX2054" s="111">
        <f t="shared" si="1546"/>
        <v>0</v>
      </c>
      <c r="BY2054" s="129">
        <f t="shared" si="1547"/>
        <v>-2</v>
      </c>
      <c r="BZ2054" s="111">
        <f t="shared" si="1548"/>
        <v>0</v>
      </c>
      <c r="CA2054" s="138">
        <f t="shared" si="1549"/>
        <v>2</v>
      </c>
      <c r="CB2054" s="111" t="e">
        <f t="shared" si="1533"/>
        <v>#VALUE!</v>
      </c>
      <c r="CC2054" s="129">
        <f>M2054-I2054+1</f>
        <v>2</v>
      </c>
      <c r="CD2054" s="111">
        <f>CC2054-BF2054</f>
        <v>0</v>
      </c>
      <c r="CG2054" s="129" t="str">
        <f t="shared" si="1550"/>
        <v>Y</v>
      </c>
      <c r="CI2054" s="129" t="str">
        <f t="shared" si="1551"/>
        <v>0-10 DAYS</v>
      </c>
      <c r="CJ2054" s="137">
        <f t="shared" si="1552"/>
        <v>1</v>
      </c>
      <c r="CK2054" s="129" t="str">
        <f t="shared" si="1553"/>
        <v>Booked</v>
      </c>
    </row>
    <row r="2055" spans="1:89" ht="15.75" customHeight="1" x14ac:dyDescent="0.25">
      <c r="A2055" s="111">
        <v>45</v>
      </c>
      <c r="B2055" s="128" t="str">
        <f t="shared" si="1534"/>
        <v>N</v>
      </c>
      <c r="C2055" s="128" t="str">
        <f t="shared" si="1535"/>
        <v>Y</v>
      </c>
      <c r="D2055" s="117">
        <v>2401981</v>
      </c>
      <c r="E2055" s="135">
        <f t="shared" si="1536"/>
        <v>1</v>
      </c>
      <c r="F2055" s="124">
        <v>40911</v>
      </c>
      <c r="G2055" s="125">
        <v>41078</v>
      </c>
      <c r="H2055" s="117">
        <v>2401981</v>
      </c>
      <c r="I2055" s="124">
        <v>40912</v>
      </c>
      <c r="J2055" s="124">
        <v>40914</v>
      </c>
      <c r="K2055" s="126">
        <v>30000</v>
      </c>
      <c r="L2055" s="129" t="s">
        <v>572</v>
      </c>
      <c r="M2055" s="125">
        <v>40914</v>
      </c>
      <c r="N2055" s="129" t="str">
        <f t="shared" si="1526"/>
        <v>Y</v>
      </c>
      <c r="O2055" s="128" t="s">
        <v>76</v>
      </c>
      <c r="P2055" s="129" t="s">
        <v>55</v>
      </c>
      <c r="Q2055" s="111">
        <v>32</v>
      </c>
      <c r="R2055" s="111">
        <f t="shared" si="1508"/>
        <v>168</v>
      </c>
      <c r="S2055" s="129">
        <v>0</v>
      </c>
      <c r="T2055" s="129">
        <v>1</v>
      </c>
      <c r="W2055" s="111"/>
      <c r="AC2055" s="130"/>
      <c r="AD2055" s="130">
        <v>33132</v>
      </c>
      <c r="AE2055" s="128" t="s">
        <v>32</v>
      </c>
      <c r="AF2055" s="128" t="s">
        <v>33</v>
      </c>
      <c r="AG2055" s="128" t="s">
        <v>872</v>
      </c>
      <c r="AH2055" s="108" t="s">
        <v>31</v>
      </c>
      <c r="AI2055" s="128" t="s">
        <v>71</v>
      </c>
      <c r="AJ2055" s="129" t="s">
        <v>55</v>
      </c>
      <c r="AK2055" s="129">
        <v>9</v>
      </c>
      <c r="AL2055" s="3" t="s">
        <v>55</v>
      </c>
      <c r="AP2055" s="129" t="s">
        <v>110</v>
      </c>
      <c r="AR2055" s="128" t="s">
        <v>50</v>
      </c>
      <c r="AS2055" s="129" t="s">
        <v>74</v>
      </c>
      <c r="AU2055" s="3" t="s">
        <v>674</v>
      </c>
      <c r="AX2055" s="32" t="s">
        <v>88</v>
      </c>
      <c r="BC2055" s="129" t="s">
        <v>99</v>
      </c>
      <c r="BF2055" s="111">
        <v>32</v>
      </c>
      <c r="BG2055" s="111">
        <f t="shared" si="1527"/>
        <v>167</v>
      </c>
      <c r="BH2055" s="111">
        <f t="shared" si="1530"/>
        <v>168</v>
      </c>
      <c r="BI2055" s="111">
        <f t="shared" si="1531"/>
        <v>21.254098360655739</v>
      </c>
      <c r="BJ2055" s="129">
        <f>(G2055-J2055)+(M2055-G2055)</f>
        <v>0</v>
      </c>
      <c r="BK2055" s="129">
        <f t="shared" si="1532"/>
        <v>-164</v>
      </c>
      <c r="BL2055" s="129" t="str">
        <f t="shared" si="1511"/>
        <v>NO CONVICTION</v>
      </c>
      <c r="BM2055" s="129" t="s">
        <v>76</v>
      </c>
      <c r="BN2055" s="129" t="s">
        <v>88</v>
      </c>
      <c r="BP2055" s="137" t="str">
        <f t="shared" si="1539"/>
        <v>NO CONVICTION</v>
      </c>
      <c r="BQ2055" s="128" t="str">
        <f t="shared" si="1540"/>
        <v>Y</v>
      </c>
      <c r="BR2055" s="129" t="str">
        <f t="shared" si="1541"/>
        <v>ON BOND</v>
      </c>
      <c r="BS2055" s="129" t="str">
        <f t="shared" si="1542"/>
        <v>DISPOSED</v>
      </c>
      <c r="BT2055" s="129" t="str">
        <f t="shared" si="1543"/>
        <v>N</v>
      </c>
      <c r="BU2055" s="109">
        <f>IFERROR(Q2055/R2055,BR2055)</f>
        <v>0.19047619047619047</v>
      </c>
      <c r="BV2055" s="109">
        <f t="shared" si="1545"/>
        <v>1.7964071856287425E-2</v>
      </c>
      <c r="BW2055" s="109">
        <f t="shared" si="1519"/>
        <v>-0.17251211861990304</v>
      </c>
      <c r="BX2055" s="111">
        <f t="shared" si="1546"/>
        <v>0</v>
      </c>
      <c r="BY2055" s="129">
        <f t="shared" si="1547"/>
        <v>-3</v>
      </c>
      <c r="BZ2055" s="111">
        <f t="shared" si="1548"/>
        <v>29</v>
      </c>
      <c r="CA2055" s="138">
        <f t="shared" si="1549"/>
        <v>3</v>
      </c>
      <c r="CB2055" s="111">
        <v>32</v>
      </c>
      <c r="CD2055" s="129">
        <f>G2055-J2055</f>
        <v>164</v>
      </c>
      <c r="CG2055" s="129" t="str">
        <f t="shared" si="1550"/>
        <v>Y</v>
      </c>
      <c r="CI2055" s="129" t="str">
        <f t="shared" si="1551"/>
        <v>31-60 DAYS</v>
      </c>
      <c r="CJ2055" s="137">
        <f t="shared" si="1552"/>
        <v>3</v>
      </c>
      <c r="CK2055" s="129" t="str">
        <f t="shared" si="1553"/>
        <v>Booked</v>
      </c>
    </row>
    <row r="2056" spans="1:89" ht="15.75" customHeight="1" x14ac:dyDescent="0.25">
      <c r="A2056" s="111">
        <v>3186</v>
      </c>
      <c r="B2056" s="128" t="str">
        <f t="shared" si="1534"/>
        <v>N</v>
      </c>
      <c r="C2056" s="128" t="str">
        <f t="shared" si="1535"/>
        <v>N</v>
      </c>
      <c r="D2056" s="117">
        <v>2402975</v>
      </c>
      <c r="E2056" s="135">
        <f t="shared" si="1536"/>
        <v>1</v>
      </c>
      <c r="F2056" s="124">
        <v>41026</v>
      </c>
      <c r="G2056" s="125">
        <v>41030</v>
      </c>
      <c r="H2056" s="117">
        <v>2402975</v>
      </c>
      <c r="I2056" s="124">
        <v>41026</v>
      </c>
      <c r="J2056" s="124">
        <v>41030</v>
      </c>
      <c r="K2056" s="126">
        <v>2000</v>
      </c>
      <c r="L2056" s="127" t="s">
        <v>568</v>
      </c>
      <c r="N2056" s="129" t="str">
        <f t="shared" si="1526"/>
        <v>N</v>
      </c>
      <c r="O2056" s="128" t="s">
        <v>917</v>
      </c>
      <c r="P2056" s="129" t="s">
        <v>55</v>
      </c>
      <c r="Q2056" s="111">
        <f t="shared" si="1528"/>
        <v>5</v>
      </c>
      <c r="R2056" s="111">
        <f t="shared" si="1508"/>
        <v>5</v>
      </c>
      <c r="S2056" s="129">
        <v>0</v>
      </c>
      <c r="T2056" s="129">
        <v>2</v>
      </c>
      <c r="W2056" s="111"/>
      <c r="AC2056" s="130"/>
      <c r="AD2056" s="130">
        <v>33429</v>
      </c>
      <c r="AE2056" s="128" t="s">
        <v>46</v>
      </c>
      <c r="AF2056" s="128" t="s">
        <v>33</v>
      </c>
      <c r="AG2056" s="128" t="s">
        <v>872</v>
      </c>
      <c r="AH2056" s="108" t="s">
        <v>58</v>
      </c>
      <c r="AI2056" s="128" t="s">
        <v>65</v>
      </c>
      <c r="AJ2056" s="129" t="s">
        <v>55</v>
      </c>
      <c r="AK2056" s="129">
        <v>2</v>
      </c>
      <c r="AL2056" s="3" t="s">
        <v>55</v>
      </c>
      <c r="AP2056" s="129" t="s">
        <v>43</v>
      </c>
      <c r="AR2056" s="128" t="s">
        <v>44</v>
      </c>
      <c r="AS2056" s="129" t="s">
        <v>45</v>
      </c>
      <c r="BC2056" s="129" t="s">
        <v>38</v>
      </c>
      <c r="BF2056" s="111">
        <f t="shared" si="1529"/>
        <v>5</v>
      </c>
      <c r="BG2056" s="111">
        <f t="shared" si="1527"/>
        <v>5</v>
      </c>
      <c r="BH2056" s="111">
        <f t="shared" si="1530"/>
        <v>5</v>
      </c>
      <c r="BI2056" s="111">
        <f t="shared" si="1531"/>
        <v>20.756830601092897</v>
      </c>
      <c r="BJ2056" s="129">
        <f t="shared" si="1537"/>
        <v>0</v>
      </c>
      <c r="BK2056" s="129">
        <f t="shared" si="1532"/>
        <v>0</v>
      </c>
      <c r="BL2056" s="129" t="str">
        <f t="shared" si="1511"/>
        <v>NO CONVICTION</v>
      </c>
      <c r="BM2056" s="129" t="str">
        <f t="shared" si="1538"/>
        <v>NONE</v>
      </c>
      <c r="BN2056" s="129" t="s">
        <v>566</v>
      </c>
      <c r="BP2056" s="137" t="str">
        <f t="shared" si="1539"/>
        <v>NO CONVICTION</v>
      </c>
      <c r="BQ2056" s="128" t="str">
        <f t="shared" si="1540"/>
        <v>Y</v>
      </c>
      <c r="BR2056" s="129" t="str">
        <f t="shared" si="1541"/>
        <v>DETAINED</v>
      </c>
      <c r="BS2056" s="129" t="str">
        <f t="shared" si="1542"/>
        <v>DISPOSED</v>
      </c>
      <c r="BT2056" s="129" t="str">
        <f t="shared" si="1543"/>
        <v>N</v>
      </c>
      <c r="BU2056" s="109">
        <f>IFERROR(Q2056/R2056,BR2056)</f>
        <v>1</v>
      </c>
      <c r="BV2056" s="109">
        <f t="shared" si="1545"/>
        <v>1</v>
      </c>
      <c r="BW2056" s="109">
        <f t="shared" si="1519"/>
        <v>0</v>
      </c>
      <c r="BX2056" s="111">
        <f t="shared" si="1546"/>
        <v>0</v>
      </c>
      <c r="BY2056" s="129">
        <f t="shared" si="1547"/>
        <v>-5</v>
      </c>
      <c r="BZ2056" s="111">
        <f t="shared" si="1548"/>
        <v>0</v>
      </c>
      <c r="CA2056" s="138">
        <f t="shared" si="1549"/>
        <v>5</v>
      </c>
      <c r="CB2056" s="111" t="e">
        <f t="shared" si="1533"/>
        <v>#VALUE!</v>
      </c>
      <c r="CC2056" s="129">
        <f>G2056-I2056+1</f>
        <v>5</v>
      </c>
      <c r="CD2056" s="129">
        <f>G2056-J2056</f>
        <v>0</v>
      </c>
      <c r="CG2056" s="129" t="str">
        <f t="shared" si="1550"/>
        <v>Y</v>
      </c>
      <c r="CI2056" s="129" t="str">
        <f t="shared" si="1551"/>
        <v>0-10 DAYS</v>
      </c>
      <c r="CJ2056" s="137">
        <f t="shared" si="1552"/>
        <v>1</v>
      </c>
      <c r="CK2056" s="129" t="str">
        <f t="shared" si="1553"/>
        <v>Booked</v>
      </c>
    </row>
    <row r="2057" spans="1:89" ht="15.75" customHeight="1" x14ac:dyDescent="0.25">
      <c r="A2057" s="111">
        <v>2142</v>
      </c>
      <c r="B2057" s="128" t="str">
        <f t="shared" si="1534"/>
        <v>Y</v>
      </c>
      <c r="C2057" s="128" t="str">
        <f t="shared" si="1535"/>
        <v>N</v>
      </c>
      <c r="D2057" s="117">
        <v>2403118</v>
      </c>
      <c r="E2057" s="135">
        <f t="shared" si="1536"/>
        <v>2</v>
      </c>
      <c r="F2057" s="124">
        <v>40989</v>
      </c>
      <c r="G2057" s="125">
        <v>41093</v>
      </c>
      <c r="H2057" s="117">
        <v>2403118</v>
      </c>
      <c r="I2057" s="124">
        <v>40990</v>
      </c>
      <c r="J2057" s="124">
        <v>41093</v>
      </c>
      <c r="K2057" s="126">
        <v>30000</v>
      </c>
      <c r="L2057" s="129" t="s">
        <v>572</v>
      </c>
      <c r="N2057" s="129" t="str">
        <f t="shared" si="1526"/>
        <v>N</v>
      </c>
      <c r="O2057" s="128" t="s">
        <v>917</v>
      </c>
      <c r="P2057" s="129" t="s">
        <v>589</v>
      </c>
      <c r="Q2057" s="111">
        <f t="shared" si="1528"/>
        <v>104</v>
      </c>
      <c r="R2057" s="111">
        <f t="shared" si="1508"/>
        <v>105</v>
      </c>
      <c r="S2057" s="129">
        <v>0</v>
      </c>
      <c r="T2057" s="129">
        <v>3</v>
      </c>
      <c r="W2057" s="111"/>
      <c r="AB2057" s="131" t="s">
        <v>112</v>
      </c>
      <c r="AC2057" s="130"/>
      <c r="AD2057" s="130">
        <v>33438</v>
      </c>
      <c r="AE2057" s="128" t="s">
        <v>32</v>
      </c>
      <c r="AF2057" s="128" t="s">
        <v>40</v>
      </c>
      <c r="AG2057" s="128" t="s">
        <v>41</v>
      </c>
      <c r="AH2057" s="108" t="s">
        <v>31</v>
      </c>
      <c r="AI2057" s="128" t="s">
        <v>53</v>
      </c>
      <c r="AJ2057" s="129" t="s">
        <v>48</v>
      </c>
      <c r="AK2057" s="129">
        <v>8</v>
      </c>
      <c r="AL2057" s="3" t="s">
        <v>48</v>
      </c>
      <c r="AP2057" s="129" t="s">
        <v>73</v>
      </c>
      <c r="AR2057" s="128" t="s">
        <v>50</v>
      </c>
      <c r="AS2057" s="129" t="s">
        <v>74</v>
      </c>
      <c r="BC2057" s="129" t="s">
        <v>38</v>
      </c>
      <c r="BD2057" s="129" t="s">
        <v>1226</v>
      </c>
      <c r="BF2057" s="111">
        <f t="shared" si="1529"/>
        <v>104</v>
      </c>
      <c r="BG2057" s="111">
        <f t="shared" si="1527"/>
        <v>104</v>
      </c>
      <c r="BH2057" s="111">
        <f t="shared" si="1530"/>
        <v>105</v>
      </c>
      <c r="BI2057" s="111">
        <f t="shared" si="1531"/>
        <v>20.631147540983605</v>
      </c>
      <c r="BJ2057" s="129">
        <f t="shared" si="1537"/>
        <v>0</v>
      </c>
      <c r="BK2057" s="129">
        <f t="shared" si="1532"/>
        <v>0</v>
      </c>
      <c r="BL2057" s="129" t="str">
        <f t="shared" si="1511"/>
        <v>DEFERRED</v>
      </c>
      <c r="BM2057" s="129" t="str">
        <f t="shared" si="1538"/>
        <v>NONE</v>
      </c>
      <c r="BN2057" s="129" t="s">
        <v>566</v>
      </c>
      <c r="BP2057" s="137" t="str">
        <f t="shared" si="1539"/>
        <v>DEFERRED</v>
      </c>
      <c r="BQ2057" s="128" t="str">
        <f t="shared" si="1540"/>
        <v>Y</v>
      </c>
      <c r="BR2057" s="129" t="str">
        <f t="shared" si="1541"/>
        <v>DETAINED</v>
      </c>
      <c r="BS2057" s="129" t="str">
        <f t="shared" si="1542"/>
        <v>DISPOSED</v>
      </c>
      <c r="BT2057" s="129" t="str">
        <f t="shared" si="1543"/>
        <v>N</v>
      </c>
      <c r="BU2057" s="109">
        <f t="shared" si="1544"/>
        <v>0.99047619047619051</v>
      </c>
      <c r="BV2057" s="109">
        <f t="shared" si="1545"/>
        <v>1</v>
      </c>
      <c r="BW2057" s="109">
        <f t="shared" si="1519"/>
        <v>9.52380952380949E-3</v>
      </c>
      <c r="BX2057" s="111">
        <f t="shared" si="1546"/>
        <v>0</v>
      </c>
      <c r="BY2057" s="129">
        <f t="shared" si="1547"/>
        <v>-104</v>
      </c>
      <c r="BZ2057" s="111">
        <f t="shared" si="1548"/>
        <v>0</v>
      </c>
      <c r="CA2057" s="138">
        <f t="shared" si="1549"/>
        <v>104</v>
      </c>
      <c r="CB2057" s="111" t="e">
        <f t="shared" si="1533"/>
        <v>#VALUE!</v>
      </c>
      <c r="CC2057" s="129">
        <f>G2057-I2057+1</f>
        <v>104</v>
      </c>
      <c r="CD2057" s="129">
        <f>G2057-J2057</f>
        <v>0</v>
      </c>
      <c r="CG2057" s="129" t="str">
        <f t="shared" si="1550"/>
        <v>Y</v>
      </c>
      <c r="CI2057" s="129" t="str">
        <f t="shared" si="1551"/>
        <v>91-120 DAYS</v>
      </c>
      <c r="CJ2057" s="137">
        <f t="shared" si="1552"/>
        <v>0</v>
      </c>
      <c r="CK2057" s="129" t="str">
        <f t="shared" si="1553"/>
        <v>Booked</v>
      </c>
    </row>
    <row r="2058" spans="1:89" ht="15" customHeight="1" x14ac:dyDescent="0.25">
      <c r="A2058" s="111">
        <v>432</v>
      </c>
      <c r="B2058" s="128" t="str">
        <f t="shared" si="1534"/>
        <v>N</v>
      </c>
      <c r="C2058" s="128" t="str">
        <f t="shared" si="1535"/>
        <v>N</v>
      </c>
      <c r="D2058" s="117">
        <v>2403160</v>
      </c>
      <c r="E2058" s="135">
        <f t="shared" si="1536"/>
        <v>6</v>
      </c>
      <c r="F2058" s="124">
        <v>40921</v>
      </c>
      <c r="G2058" s="125">
        <v>40934</v>
      </c>
      <c r="H2058" s="117">
        <v>2403160</v>
      </c>
      <c r="I2058" s="124">
        <v>40927</v>
      </c>
      <c r="J2058" s="124">
        <v>40934</v>
      </c>
      <c r="K2058" s="126" t="s">
        <v>564</v>
      </c>
      <c r="L2058" s="127" t="s">
        <v>564</v>
      </c>
      <c r="N2058" s="129" t="s">
        <v>566</v>
      </c>
      <c r="O2058" s="128" t="s">
        <v>917</v>
      </c>
      <c r="P2058" s="129" t="s">
        <v>39</v>
      </c>
      <c r="Q2058" s="111">
        <f t="shared" si="1528"/>
        <v>8</v>
      </c>
      <c r="R2058" s="111">
        <f t="shared" si="1508"/>
        <v>14</v>
      </c>
      <c r="S2058" s="129">
        <v>1</v>
      </c>
      <c r="T2058" s="129">
        <v>1</v>
      </c>
      <c r="V2058" s="117">
        <v>1</v>
      </c>
      <c r="W2058" s="111"/>
      <c r="AC2058" s="130"/>
      <c r="AD2058" s="130">
        <v>31862</v>
      </c>
      <c r="AE2058" s="128" t="s">
        <v>32</v>
      </c>
      <c r="AF2058" s="128" t="s">
        <v>33</v>
      </c>
      <c r="AG2058" s="128" t="s">
        <v>872</v>
      </c>
      <c r="AH2058" s="108" t="s">
        <v>31</v>
      </c>
      <c r="AI2058" s="128" t="s">
        <v>141</v>
      </c>
      <c r="AJ2058" s="129" t="s">
        <v>89</v>
      </c>
      <c r="AK2058" s="129">
        <v>3</v>
      </c>
      <c r="AL2058" s="3" t="s">
        <v>362</v>
      </c>
      <c r="AM2058" s="117">
        <v>3</v>
      </c>
      <c r="AP2058" s="129" t="s">
        <v>93</v>
      </c>
      <c r="AR2058" s="128" t="s">
        <v>67</v>
      </c>
      <c r="AS2058" s="129" t="s">
        <v>45</v>
      </c>
      <c r="AW2058" s="125"/>
      <c r="AY2058" s="123"/>
      <c r="BC2058" s="129" t="s">
        <v>99</v>
      </c>
      <c r="BF2058" s="111">
        <f t="shared" si="1529"/>
        <v>8</v>
      </c>
      <c r="BG2058" s="111">
        <f t="shared" si="1527"/>
        <v>8</v>
      </c>
      <c r="BH2058" s="111">
        <f t="shared" si="1530"/>
        <v>14</v>
      </c>
      <c r="BI2058" s="111">
        <f t="shared" si="1531"/>
        <v>24.751366120218581</v>
      </c>
      <c r="BJ2058" s="129">
        <f t="shared" si="1537"/>
        <v>0</v>
      </c>
      <c r="BK2058" s="129">
        <f t="shared" si="1532"/>
        <v>0</v>
      </c>
      <c r="BL2058" s="129" t="str">
        <f t="shared" si="1511"/>
        <v>CONVICTION</v>
      </c>
      <c r="BM2058" s="129" t="str">
        <f t="shared" si="1538"/>
        <v>NONE</v>
      </c>
      <c r="BN2058" s="129" t="s">
        <v>566</v>
      </c>
      <c r="BP2058" s="137" t="str">
        <f t="shared" si="1539"/>
        <v>CONVICTION</v>
      </c>
      <c r="BQ2058" s="128" t="str">
        <f t="shared" si="1540"/>
        <v>Y</v>
      </c>
      <c r="BR2058" s="129" t="str">
        <f t="shared" si="1541"/>
        <v>DETAINED</v>
      </c>
      <c r="BS2058" s="129" t="str">
        <f t="shared" si="1542"/>
        <v>DISPOSED</v>
      </c>
      <c r="BT2058" s="129" t="str">
        <f t="shared" si="1543"/>
        <v>Y</v>
      </c>
      <c r="BU2058" s="109">
        <f t="shared" si="1544"/>
        <v>0.5714285714285714</v>
      </c>
      <c r="BV2058" s="109">
        <f t="shared" si="1545"/>
        <v>1</v>
      </c>
      <c r="BW2058" s="109">
        <f t="shared" si="1519"/>
        <v>0.4285714285714286</v>
      </c>
      <c r="BX2058" s="111">
        <f t="shared" si="1546"/>
        <v>0</v>
      </c>
      <c r="BY2058" s="129">
        <f t="shared" si="1547"/>
        <v>-8</v>
      </c>
      <c r="BZ2058" s="111">
        <f t="shared" si="1548"/>
        <v>0</v>
      </c>
      <c r="CA2058" s="138">
        <f t="shared" si="1549"/>
        <v>8</v>
      </c>
      <c r="CB2058" s="111" t="e">
        <f t="shared" si="1533"/>
        <v>#VALUE!</v>
      </c>
      <c r="CC2058" s="129">
        <f>G2058-I2058+1</f>
        <v>8</v>
      </c>
      <c r="CD2058" s="129">
        <f>G2058-J2058</f>
        <v>0</v>
      </c>
      <c r="CG2058" s="129" t="str">
        <f t="shared" si="1550"/>
        <v>Y</v>
      </c>
      <c r="CI2058" s="129" t="str">
        <f t="shared" si="1551"/>
        <v>0-10 DAYS</v>
      </c>
      <c r="CJ2058" s="137">
        <f t="shared" si="1552"/>
        <v>1</v>
      </c>
      <c r="CK2058" s="129" t="str">
        <f t="shared" si="1553"/>
        <v>Booked</v>
      </c>
    </row>
    <row r="2059" spans="1:89" ht="15.75" customHeight="1" x14ac:dyDescent="0.25">
      <c r="A2059" s="111">
        <v>2584</v>
      </c>
      <c r="B2059" s="128" t="str">
        <f t="shared" si="1534"/>
        <v>N</v>
      </c>
      <c r="C2059" s="128" t="str">
        <f t="shared" si="1535"/>
        <v>N</v>
      </c>
      <c r="D2059" s="117">
        <v>2403515</v>
      </c>
      <c r="E2059" s="135">
        <f t="shared" si="1536"/>
        <v>2</v>
      </c>
      <c r="F2059" s="124">
        <v>41005</v>
      </c>
      <c r="G2059" s="125">
        <v>41164</v>
      </c>
      <c r="H2059" s="117">
        <v>2403515</v>
      </c>
      <c r="I2059" s="124">
        <v>41005</v>
      </c>
      <c r="J2059" s="124">
        <v>41006</v>
      </c>
      <c r="K2059" s="126">
        <v>2000</v>
      </c>
      <c r="L2059" s="127" t="s">
        <v>568</v>
      </c>
      <c r="M2059" s="125">
        <v>41006</v>
      </c>
      <c r="N2059" s="129" t="str">
        <f>IF(M2059&gt;1/1/1,"Y","N")</f>
        <v>Y</v>
      </c>
      <c r="O2059" s="128" t="s">
        <v>76</v>
      </c>
      <c r="P2059" s="129" t="s">
        <v>589</v>
      </c>
      <c r="Q2059" s="111">
        <f t="shared" si="1528"/>
        <v>2</v>
      </c>
      <c r="R2059" s="111">
        <f t="shared" si="1508"/>
        <v>160</v>
      </c>
      <c r="S2059" s="129">
        <v>0</v>
      </c>
      <c r="T2059" s="129">
        <v>0</v>
      </c>
      <c r="W2059" s="111"/>
      <c r="AC2059" s="130"/>
      <c r="AD2059" s="130">
        <v>25145</v>
      </c>
      <c r="AE2059" s="128" t="s">
        <v>46</v>
      </c>
      <c r="AF2059" s="128" t="s">
        <v>33</v>
      </c>
      <c r="AG2059" s="128" t="s">
        <v>872</v>
      </c>
      <c r="AH2059" s="108" t="s">
        <v>31</v>
      </c>
      <c r="AI2059" s="128" t="s">
        <v>141</v>
      </c>
      <c r="AJ2059" s="129" t="s">
        <v>48</v>
      </c>
      <c r="AK2059" s="129">
        <v>7</v>
      </c>
      <c r="AL2059" s="3" t="s">
        <v>48</v>
      </c>
      <c r="AP2059" s="129" t="s">
        <v>63</v>
      </c>
      <c r="AR2059" s="128" t="s">
        <v>44</v>
      </c>
      <c r="AS2059" s="129" t="s">
        <v>64</v>
      </c>
      <c r="BC2059" s="129" t="s">
        <v>38</v>
      </c>
      <c r="BF2059" s="111">
        <f t="shared" si="1529"/>
        <v>2</v>
      </c>
      <c r="BG2059" s="111">
        <f t="shared" si="1527"/>
        <v>160</v>
      </c>
      <c r="BH2059" s="111">
        <f t="shared" si="1530"/>
        <v>160</v>
      </c>
      <c r="BI2059" s="111">
        <f t="shared" si="1531"/>
        <v>43.333333333333336</v>
      </c>
      <c r="BJ2059" s="129">
        <f>(G2059-J2059)+(M2059-G2059)</f>
        <v>0</v>
      </c>
      <c r="BK2059" s="129">
        <f t="shared" si="1532"/>
        <v>-158</v>
      </c>
      <c r="BL2059" s="129" t="str">
        <f t="shared" si="1511"/>
        <v>DEFERRED</v>
      </c>
      <c r="BM2059" s="129" t="s">
        <v>76</v>
      </c>
      <c r="BN2059" s="129" t="s">
        <v>88</v>
      </c>
      <c r="BP2059" s="137" t="str">
        <f t="shared" si="1539"/>
        <v>DEFERRED</v>
      </c>
      <c r="BQ2059" s="128" t="str">
        <f t="shared" si="1540"/>
        <v>Y</v>
      </c>
      <c r="BR2059" s="129" t="str">
        <f t="shared" si="1541"/>
        <v>ON BOND</v>
      </c>
      <c r="BS2059" s="129" t="str">
        <f t="shared" si="1542"/>
        <v>DISPOSED</v>
      </c>
      <c r="BT2059" s="129" t="str">
        <f t="shared" si="1543"/>
        <v>N</v>
      </c>
      <c r="BU2059" s="109">
        <f t="shared" si="1544"/>
        <v>1.2500000000000001E-2</v>
      </c>
      <c r="BV2059" s="109">
        <f t="shared" si="1545"/>
        <v>1.2500000000000001E-2</v>
      </c>
      <c r="BW2059" s="109">
        <f t="shared" si="1519"/>
        <v>0</v>
      </c>
      <c r="BX2059" s="111">
        <f t="shared" si="1546"/>
        <v>0</v>
      </c>
      <c r="BY2059" s="129">
        <f t="shared" si="1547"/>
        <v>-2</v>
      </c>
      <c r="BZ2059" s="111">
        <f t="shared" si="1548"/>
        <v>0</v>
      </c>
      <c r="CA2059" s="138">
        <f t="shared" si="1549"/>
        <v>2</v>
      </c>
      <c r="CB2059" s="111" t="e">
        <f t="shared" si="1533"/>
        <v>#VALUE!</v>
      </c>
      <c r="CC2059" s="129">
        <f>M2059-I2059+1</f>
        <v>2</v>
      </c>
      <c r="CD2059" s="111">
        <f>CC2059-BF2059</f>
        <v>0</v>
      </c>
      <c r="CG2059" s="129" t="str">
        <f t="shared" si="1550"/>
        <v>N</v>
      </c>
      <c r="CI2059" s="129" t="str">
        <f t="shared" si="1551"/>
        <v>0-10 DAYS</v>
      </c>
      <c r="CJ2059" s="137">
        <f t="shared" si="1552"/>
        <v>1</v>
      </c>
      <c r="CK2059" s="129" t="str">
        <f t="shared" si="1553"/>
        <v>Booked</v>
      </c>
    </row>
    <row r="2060" spans="1:89" ht="15" customHeight="1" x14ac:dyDescent="0.25">
      <c r="A2060" s="111">
        <v>3154</v>
      </c>
      <c r="B2060" s="128" t="str">
        <f t="shared" si="1534"/>
        <v>N</v>
      </c>
      <c r="C2060" s="128" t="str">
        <f t="shared" si="1535"/>
        <v>N</v>
      </c>
      <c r="D2060" s="117">
        <v>2404140</v>
      </c>
      <c r="E2060" s="135">
        <f t="shared" si="1536"/>
        <v>1</v>
      </c>
      <c r="F2060" s="124">
        <v>41025</v>
      </c>
      <c r="G2060" s="125">
        <v>41058</v>
      </c>
      <c r="H2060" s="117">
        <v>2404140</v>
      </c>
      <c r="I2060" s="124">
        <v>41025</v>
      </c>
      <c r="J2060" s="124">
        <v>41058</v>
      </c>
      <c r="K2060" s="126" t="s">
        <v>564</v>
      </c>
      <c r="L2060" s="127" t="s">
        <v>564</v>
      </c>
      <c r="N2060" s="129" t="s">
        <v>566</v>
      </c>
      <c r="O2060" s="128" t="s">
        <v>917</v>
      </c>
      <c r="P2060" s="129" t="s">
        <v>55</v>
      </c>
      <c r="Q2060" s="111">
        <f t="shared" si="1528"/>
        <v>34</v>
      </c>
      <c r="R2060" s="111">
        <f t="shared" si="1508"/>
        <v>34</v>
      </c>
      <c r="S2060" s="129">
        <v>0</v>
      </c>
      <c r="T2060" s="129">
        <v>10</v>
      </c>
      <c r="W2060" s="111"/>
      <c r="AC2060" s="130"/>
      <c r="AD2060" s="130">
        <v>28571</v>
      </c>
      <c r="AE2060" s="128" t="s">
        <v>46</v>
      </c>
      <c r="AF2060" s="128" t="s">
        <v>33</v>
      </c>
      <c r="AG2060" s="128" t="s">
        <v>872</v>
      </c>
      <c r="AH2060" s="108" t="s">
        <v>58</v>
      </c>
      <c r="AI2060" s="128" t="s">
        <v>95</v>
      </c>
      <c r="AJ2060" s="129" t="s">
        <v>55</v>
      </c>
      <c r="AK2060" s="129">
        <v>4</v>
      </c>
      <c r="AL2060" s="3" t="s">
        <v>55</v>
      </c>
      <c r="AP2060" s="129" t="s">
        <v>43</v>
      </c>
      <c r="AR2060" s="128" t="s">
        <v>44</v>
      </c>
      <c r="AS2060" s="129" t="s">
        <v>45</v>
      </c>
      <c r="AT2060" s="129" t="s">
        <v>528</v>
      </c>
      <c r="BC2060" s="129" t="s">
        <v>38</v>
      </c>
      <c r="BF2060" s="111">
        <f t="shared" si="1529"/>
        <v>34</v>
      </c>
      <c r="BG2060" s="111">
        <f t="shared" si="1527"/>
        <v>34</v>
      </c>
      <c r="BH2060" s="111">
        <f t="shared" si="1530"/>
        <v>34</v>
      </c>
      <c r="BI2060" s="111">
        <f t="shared" si="1531"/>
        <v>34.027322404371581</v>
      </c>
      <c r="BJ2060" s="129">
        <f t="shared" si="1537"/>
        <v>0</v>
      </c>
      <c r="BK2060" s="129">
        <f t="shared" si="1532"/>
        <v>0</v>
      </c>
      <c r="BL2060" s="129" t="str">
        <f t="shared" si="1511"/>
        <v>NO CONVICTION</v>
      </c>
      <c r="BM2060" s="129" t="str">
        <f t="shared" si="1538"/>
        <v>NONE</v>
      </c>
      <c r="BN2060" s="129" t="s">
        <v>566</v>
      </c>
      <c r="BP2060" s="137" t="str">
        <f t="shared" si="1539"/>
        <v>NO CONVICTION</v>
      </c>
      <c r="BQ2060" s="128" t="str">
        <f t="shared" si="1540"/>
        <v>Y</v>
      </c>
      <c r="BR2060" s="129" t="str">
        <f t="shared" si="1541"/>
        <v>DETAINED</v>
      </c>
      <c r="BS2060" s="129" t="str">
        <f t="shared" si="1542"/>
        <v>DISPOSED</v>
      </c>
      <c r="BT2060" s="129" t="str">
        <f t="shared" si="1543"/>
        <v>N</v>
      </c>
      <c r="BU2060" s="109">
        <f>IFERROR(Q2060/R2060,BR2060)</f>
        <v>1</v>
      </c>
      <c r="BV2060" s="109">
        <f t="shared" si="1545"/>
        <v>1</v>
      </c>
      <c r="BW2060" s="109">
        <f t="shared" si="1519"/>
        <v>0</v>
      </c>
      <c r="BX2060" s="111">
        <f t="shared" si="1546"/>
        <v>0</v>
      </c>
      <c r="BY2060" s="129">
        <f t="shared" si="1547"/>
        <v>-34</v>
      </c>
      <c r="BZ2060" s="111">
        <f t="shared" si="1548"/>
        <v>0</v>
      </c>
      <c r="CA2060" s="138">
        <f t="shared" si="1549"/>
        <v>34</v>
      </c>
      <c r="CB2060" s="111" t="e">
        <f t="shared" si="1533"/>
        <v>#VALUE!</v>
      </c>
      <c r="CC2060" s="129">
        <f>G2060-I2060+1</f>
        <v>34</v>
      </c>
      <c r="CD2060" s="129">
        <f>G2060-J2060</f>
        <v>0</v>
      </c>
      <c r="CG2060" s="129" t="str">
        <f t="shared" si="1550"/>
        <v>Y</v>
      </c>
      <c r="CI2060" s="129" t="str">
        <f t="shared" si="1551"/>
        <v>31-60 DAYS</v>
      </c>
      <c r="CJ2060" s="137">
        <f t="shared" si="1552"/>
        <v>3</v>
      </c>
      <c r="CK2060" s="129" t="str">
        <f t="shared" si="1553"/>
        <v>Booked</v>
      </c>
    </row>
    <row r="2061" spans="1:89" ht="15.75" customHeight="1" x14ac:dyDescent="0.25">
      <c r="A2061" s="111">
        <v>2201</v>
      </c>
      <c r="B2061" s="128" t="str">
        <f t="shared" si="1534"/>
        <v>N</v>
      </c>
      <c r="C2061" s="128" t="str">
        <f t="shared" si="1535"/>
        <v>N</v>
      </c>
      <c r="D2061" s="117">
        <v>2404210</v>
      </c>
      <c r="E2061" s="135">
        <f t="shared" si="1536"/>
        <v>6</v>
      </c>
      <c r="F2061" s="124">
        <v>40991</v>
      </c>
      <c r="G2061" s="125">
        <v>41337</v>
      </c>
      <c r="H2061" s="117">
        <v>2404210</v>
      </c>
      <c r="I2061" s="124">
        <v>40996</v>
      </c>
      <c r="J2061" s="125">
        <v>41337</v>
      </c>
      <c r="K2061" s="126" t="s">
        <v>564</v>
      </c>
      <c r="L2061" s="127" t="s">
        <v>564</v>
      </c>
      <c r="N2061" s="129" t="s">
        <v>566</v>
      </c>
      <c r="O2061" s="128" t="s">
        <v>917</v>
      </c>
      <c r="P2061" s="129" t="s">
        <v>39</v>
      </c>
      <c r="Q2061" s="111">
        <f t="shared" si="1528"/>
        <v>342</v>
      </c>
      <c r="R2061" s="111">
        <f t="shared" si="1508"/>
        <v>347</v>
      </c>
      <c r="S2061" s="129">
        <v>0</v>
      </c>
      <c r="T2061" s="129">
        <v>0</v>
      </c>
      <c r="W2061" s="111"/>
      <c r="AC2061" s="130"/>
      <c r="AD2061" s="130">
        <v>32665</v>
      </c>
      <c r="AE2061" s="128" t="s">
        <v>32</v>
      </c>
      <c r="AF2061" s="128" t="s">
        <v>40</v>
      </c>
      <c r="AG2061" s="128" t="s">
        <v>41</v>
      </c>
      <c r="AH2061" s="108" t="s">
        <v>41</v>
      </c>
      <c r="AI2061" s="128" t="s">
        <v>71</v>
      </c>
      <c r="AJ2061" s="129" t="s">
        <v>89</v>
      </c>
      <c r="AK2061" s="129">
        <v>14</v>
      </c>
      <c r="AL2061" s="3" t="s">
        <v>362</v>
      </c>
      <c r="AM2061" s="117">
        <v>11</v>
      </c>
      <c r="AP2061" s="129" t="s">
        <v>162</v>
      </c>
      <c r="AR2061" s="128" t="s">
        <v>92</v>
      </c>
      <c r="AS2061" s="129" t="s">
        <v>163</v>
      </c>
      <c r="BC2061" s="129" t="s">
        <v>38</v>
      </c>
      <c r="BF2061" s="111">
        <f t="shared" si="1529"/>
        <v>342</v>
      </c>
      <c r="BG2061" s="111">
        <f t="shared" si="1527"/>
        <v>342</v>
      </c>
      <c r="BH2061" s="111">
        <f t="shared" si="1530"/>
        <v>347</v>
      </c>
      <c r="BI2061" s="111">
        <f t="shared" si="1531"/>
        <v>22.748633879781419</v>
      </c>
      <c r="BJ2061" s="129">
        <f t="shared" si="1537"/>
        <v>0</v>
      </c>
      <c r="BK2061" s="129">
        <f t="shared" si="1532"/>
        <v>0</v>
      </c>
      <c r="BL2061" s="129" t="str">
        <f t="shared" si="1511"/>
        <v>CONVICTION</v>
      </c>
      <c r="BM2061" s="129" t="str">
        <f t="shared" si="1538"/>
        <v>NONE</v>
      </c>
      <c r="BN2061" s="129" t="s">
        <v>566</v>
      </c>
      <c r="BP2061" s="137" t="str">
        <f t="shared" si="1539"/>
        <v>CONVICTION</v>
      </c>
      <c r="BQ2061" s="128" t="str">
        <f t="shared" si="1540"/>
        <v>Y</v>
      </c>
      <c r="BR2061" s="129" t="str">
        <f t="shared" si="1541"/>
        <v>DETAINED</v>
      </c>
      <c r="BS2061" s="129" t="str">
        <f t="shared" si="1542"/>
        <v>DISPOSED</v>
      </c>
      <c r="BT2061" s="129" t="str">
        <f t="shared" si="1543"/>
        <v>N</v>
      </c>
      <c r="BU2061" s="109">
        <f t="shared" si="1544"/>
        <v>0.98559077809798268</v>
      </c>
      <c r="BV2061" s="109">
        <f t="shared" si="1545"/>
        <v>1</v>
      </c>
      <c r="BW2061" s="109">
        <f t="shared" si="1519"/>
        <v>1.4409221902017322E-2</v>
      </c>
      <c r="BX2061" s="111">
        <f t="shared" si="1546"/>
        <v>0</v>
      </c>
      <c r="BY2061" s="129">
        <f t="shared" si="1547"/>
        <v>-342</v>
      </c>
      <c r="BZ2061" s="111">
        <f t="shared" si="1548"/>
        <v>0</v>
      </c>
      <c r="CA2061" s="138">
        <f t="shared" si="1549"/>
        <v>342</v>
      </c>
      <c r="CB2061" s="111" t="e">
        <f t="shared" si="1533"/>
        <v>#VALUE!</v>
      </c>
      <c r="CC2061" s="129">
        <f>G2061-I2061+1</f>
        <v>342</v>
      </c>
      <c r="CD2061" s="129">
        <f>G2061-J2061</f>
        <v>0</v>
      </c>
      <c r="CG2061" s="129" t="str">
        <f t="shared" si="1550"/>
        <v>N</v>
      </c>
      <c r="CI2061" s="129" t="str">
        <f t="shared" si="1551"/>
        <v>121-365 DAYS</v>
      </c>
      <c r="CJ2061" s="137">
        <f t="shared" si="1552"/>
        <v>6</v>
      </c>
      <c r="CK2061" s="129" t="str">
        <f t="shared" si="1553"/>
        <v>Booked</v>
      </c>
    </row>
    <row r="2062" spans="1:89" ht="15" customHeight="1" x14ac:dyDescent="0.25">
      <c r="A2062" s="111">
        <v>2541</v>
      </c>
      <c r="B2062" s="128" t="str">
        <f t="shared" si="1534"/>
        <v>N</v>
      </c>
      <c r="C2062" s="128" t="str">
        <f t="shared" si="1535"/>
        <v>N</v>
      </c>
      <c r="D2062" s="117">
        <v>2404666</v>
      </c>
      <c r="E2062" s="135">
        <f t="shared" si="1536"/>
        <v>1</v>
      </c>
      <c r="F2062" s="124">
        <v>41004</v>
      </c>
      <c r="G2062" s="125">
        <v>41555</v>
      </c>
      <c r="H2062" s="117">
        <v>2404666</v>
      </c>
      <c r="I2062" s="124" t="s">
        <v>562</v>
      </c>
      <c r="J2062" s="124" t="s">
        <v>562</v>
      </c>
      <c r="K2062" s="126">
        <v>2000</v>
      </c>
      <c r="L2062" s="127" t="s">
        <v>568</v>
      </c>
      <c r="M2062" s="125">
        <v>41005</v>
      </c>
      <c r="N2062" s="129" t="str">
        <f>IF(M2062&gt;1/1/1,"Y",IF(Q2062="NOT BOOKED","","N"))</f>
        <v>Y</v>
      </c>
      <c r="O2062" s="128" t="s">
        <v>76</v>
      </c>
      <c r="P2062" s="129" t="s">
        <v>55</v>
      </c>
      <c r="Q2062" s="111">
        <v>0</v>
      </c>
      <c r="R2062" s="111">
        <f t="shared" si="1508"/>
        <v>552</v>
      </c>
      <c r="S2062" s="129">
        <v>0</v>
      </c>
      <c r="T2062" s="129">
        <v>1</v>
      </c>
      <c r="W2062" s="111"/>
      <c r="AC2062" s="130"/>
      <c r="AD2062" s="130">
        <v>32183</v>
      </c>
      <c r="AE2062" s="128" t="s">
        <v>32</v>
      </c>
      <c r="AF2062" s="128" t="s">
        <v>138</v>
      </c>
      <c r="AG2062" s="128" t="s">
        <v>873</v>
      </c>
      <c r="AH2062" s="108" t="s">
        <v>31</v>
      </c>
      <c r="AI2062" s="128" t="s">
        <v>87</v>
      </c>
      <c r="AJ2062" s="129" t="s">
        <v>31</v>
      </c>
      <c r="AK2062" s="129">
        <v>16</v>
      </c>
      <c r="AL2062" s="3" t="s">
        <v>55</v>
      </c>
      <c r="AP2062" s="129" t="s">
        <v>108</v>
      </c>
      <c r="AR2062" s="128" t="s">
        <v>44</v>
      </c>
      <c r="AS2062" s="129" t="s">
        <v>61</v>
      </c>
      <c r="BC2062" s="129" t="s">
        <v>52</v>
      </c>
      <c r="BF2062" s="111">
        <v>0</v>
      </c>
      <c r="BG2062" s="111" t="e">
        <f t="shared" si="1527"/>
        <v>#VALUE!</v>
      </c>
      <c r="BH2062" s="111">
        <f t="shared" si="1530"/>
        <v>552</v>
      </c>
      <c r="BI2062" s="111">
        <f t="shared" si="1531"/>
        <v>24.101092896174862</v>
      </c>
      <c r="BJ2062" s="129" t="e">
        <f>(G2062-J2062)+(M2062-G2062)</f>
        <v>#VALUE!</v>
      </c>
      <c r="BK2062" s="129" t="e">
        <f t="shared" si="1532"/>
        <v>#VALUE!</v>
      </c>
      <c r="BL2062" s="129" t="str">
        <f t="shared" si="1511"/>
        <v>NO CONVICTION</v>
      </c>
      <c r="BM2062" s="129" t="s">
        <v>76</v>
      </c>
      <c r="BN2062" s="129" t="s">
        <v>88</v>
      </c>
      <c r="BP2062" s="137" t="str">
        <f t="shared" si="1539"/>
        <v/>
      </c>
      <c r="BQ2062" s="128">
        <f t="shared" si="1540"/>
        <v>0</v>
      </c>
      <c r="BR2062" s="129" t="s">
        <v>575</v>
      </c>
      <c r="BS2062" s="129" t="str">
        <f t="shared" si="1542"/>
        <v>DISPOSED</v>
      </c>
      <c r="BT2062" s="129" t="str">
        <f t="shared" si="1543"/>
        <v>N</v>
      </c>
      <c r="BU2062" s="109">
        <f>IFERROR(Q2062/R2062,BR2062)</f>
        <v>0</v>
      </c>
      <c r="BV2062" s="109">
        <v>0</v>
      </c>
      <c r="BW2062" s="109">
        <f t="shared" si="1519"/>
        <v>0</v>
      </c>
      <c r="BX2062" s="111">
        <f t="shared" si="1546"/>
        <v>0</v>
      </c>
      <c r="BY2062" s="129" t="e">
        <f t="shared" si="1547"/>
        <v>#VALUE!</v>
      </c>
      <c r="BZ2062" s="111" t="e">
        <f t="shared" si="1548"/>
        <v>#VALUE!</v>
      </c>
      <c r="CA2062" s="138" t="e">
        <f t="shared" si="1549"/>
        <v>#VALUE!</v>
      </c>
      <c r="CB2062" s="111" t="s">
        <v>562</v>
      </c>
      <c r="CC2062" s="129">
        <v>0</v>
      </c>
      <c r="CD2062" s="111">
        <f>CC2062-BF2062</f>
        <v>0</v>
      </c>
      <c r="CG2062" s="129" t="str">
        <f t="shared" si="1550"/>
        <v>Y</v>
      </c>
      <c r="CI2062" s="129" t="str">
        <f t="shared" si="1551"/>
        <v>0-10 DAYS</v>
      </c>
      <c r="CJ2062" s="137">
        <f t="shared" si="1552"/>
        <v>1</v>
      </c>
      <c r="CK2062" s="129" t="str">
        <f t="shared" si="1553"/>
        <v>Not Booked</v>
      </c>
    </row>
    <row r="2063" spans="1:89" ht="15.75" customHeight="1" x14ac:dyDescent="0.25">
      <c r="A2063" s="111">
        <v>348</v>
      </c>
      <c r="B2063" s="128" t="str">
        <f t="shared" si="1534"/>
        <v>N</v>
      </c>
      <c r="C2063" s="128" t="str">
        <f t="shared" si="1535"/>
        <v>N</v>
      </c>
      <c r="D2063" s="117">
        <v>2405021</v>
      </c>
      <c r="E2063" s="135">
        <f t="shared" si="1536"/>
        <v>5</v>
      </c>
      <c r="F2063" s="124">
        <v>40922</v>
      </c>
      <c r="G2063" s="125">
        <v>40987</v>
      </c>
      <c r="H2063" s="117">
        <v>2405021</v>
      </c>
      <c r="I2063" s="124">
        <v>40923</v>
      </c>
      <c r="J2063" s="124">
        <v>40987</v>
      </c>
      <c r="K2063" s="126">
        <v>10000</v>
      </c>
      <c r="L2063" s="127" t="s">
        <v>570</v>
      </c>
      <c r="N2063" s="129" t="str">
        <f>IF(M2063&gt;1/1/1,"Y","N")</f>
        <v>N</v>
      </c>
      <c r="O2063" s="128" t="s">
        <v>917</v>
      </c>
      <c r="P2063" s="129" t="s">
        <v>39</v>
      </c>
      <c r="Q2063" s="111">
        <f t="shared" si="1528"/>
        <v>65</v>
      </c>
      <c r="R2063" s="111">
        <f t="shared" si="1508"/>
        <v>66</v>
      </c>
      <c r="S2063" s="129">
        <v>3</v>
      </c>
      <c r="T2063" s="129">
        <v>4</v>
      </c>
      <c r="U2063" s="129">
        <v>1</v>
      </c>
      <c r="W2063" s="111"/>
      <c r="AC2063" s="130"/>
      <c r="AD2063" s="130">
        <v>33040</v>
      </c>
      <c r="AE2063" s="128" t="s">
        <v>32</v>
      </c>
      <c r="AF2063" s="128" t="s">
        <v>33</v>
      </c>
      <c r="AG2063" s="128" t="s">
        <v>872</v>
      </c>
      <c r="AH2063" s="108" t="s">
        <v>31</v>
      </c>
      <c r="AI2063" s="128" t="s">
        <v>65</v>
      </c>
      <c r="AJ2063" s="129" t="s">
        <v>89</v>
      </c>
      <c r="AK2063" s="129">
        <v>4</v>
      </c>
      <c r="AL2063" s="3" t="s">
        <v>992</v>
      </c>
      <c r="AN2063" s="117">
        <v>6</v>
      </c>
      <c r="AP2063" s="129" t="s">
        <v>197</v>
      </c>
      <c r="AR2063" s="128" t="s">
        <v>44</v>
      </c>
      <c r="AS2063" s="129" t="s">
        <v>61</v>
      </c>
      <c r="BC2063" s="129" t="s">
        <v>38</v>
      </c>
      <c r="BF2063" s="111">
        <f t="shared" ref="BF2063:BF2081" si="1554">IF(J2063&gt;1/1/1900,((J2063+1)-I2063),"STILL OPEN")</f>
        <v>65</v>
      </c>
      <c r="BG2063" s="111">
        <f t="shared" si="1527"/>
        <v>65</v>
      </c>
      <c r="BH2063" s="111">
        <f t="shared" si="1530"/>
        <v>66</v>
      </c>
      <c r="BI2063" s="111">
        <f t="shared" si="1531"/>
        <v>21.535519125683059</v>
      </c>
      <c r="BJ2063" s="129">
        <f t="shared" si="1537"/>
        <v>0</v>
      </c>
      <c r="BK2063" s="129">
        <f t="shared" si="1532"/>
        <v>0</v>
      </c>
      <c r="BL2063" s="129" t="str">
        <f t="shared" si="1511"/>
        <v>CONVICTION</v>
      </c>
      <c r="BM2063" s="129" t="str">
        <f t="shared" si="1538"/>
        <v>NONE</v>
      </c>
      <c r="BN2063" s="129" t="s">
        <v>566</v>
      </c>
      <c r="BP2063" s="137" t="str">
        <f t="shared" si="1539"/>
        <v>CONVICTION</v>
      </c>
      <c r="BQ2063" s="128" t="str">
        <f t="shared" si="1540"/>
        <v>Y</v>
      </c>
      <c r="BR2063" s="129" t="str">
        <f t="shared" si="1541"/>
        <v>DETAINED</v>
      </c>
      <c r="BS2063" s="129" t="str">
        <f t="shared" si="1542"/>
        <v>DISPOSED</v>
      </c>
      <c r="BT2063" s="129" t="str">
        <f t="shared" si="1543"/>
        <v>Y</v>
      </c>
      <c r="BU2063" s="109">
        <f t="shared" si="1544"/>
        <v>0.98484848484848486</v>
      </c>
      <c r="BV2063" s="109">
        <f t="shared" si="1545"/>
        <v>1</v>
      </c>
      <c r="BW2063" s="109">
        <f t="shared" si="1519"/>
        <v>1.5151515151515138E-2</v>
      </c>
      <c r="BX2063" s="111">
        <f t="shared" si="1546"/>
        <v>0</v>
      </c>
      <c r="BY2063" s="129">
        <f t="shared" si="1547"/>
        <v>-65</v>
      </c>
      <c r="BZ2063" s="111">
        <f t="shared" si="1548"/>
        <v>0</v>
      </c>
      <c r="CA2063" s="138">
        <f t="shared" si="1549"/>
        <v>65</v>
      </c>
      <c r="CB2063" s="111" t="e">
        <f t="shared" ref="CB2063:CB2081" si="1555">IF(AF2063&gt;1/1/1900,((AF2063+1)-AE2063),"STILL OPEN")</f>
        <v>#VALUE!</v>
      </c>
      <c r="CC2063" s="129">
        <f>G2063-I2063+1</f>
        <v>65</v>
      </c>
      <c r="CD2063" s="129">
        <f>G2063-J2063</f>
        <v>0</v>
      </c>
      <c r="CG2063" s="129" t="str">
        <f t="shared" si="1550"/>
        <v>Y</v>
      </c>
      <c r="CI2063" s="129" t="str">
        <f t="shared" si="1551"/>
        <v>61-90 DAYS</v>
      </c>
      <c r="CJ2063" s="137">
        <f t="shared" si="1552"/>
        <v>4</v>
      </c>
      <c r="CK2063" s="129" t="str">
        <f t="shared" si="1553"/>
        <v>Booked</v>
      </c>
    </row>
    <row r="2064" spans="1:89" ht="15.75" customHeight="1" x14ac:dyDescent="0.25">
      <c r="A2064" s="111">
        <v>1948</v>
      </c>
      <c r="B2064" s="128" t="str">
        <f t="shared" si="1534"/>
        <v>N</v>
      </c>
      <c r="C2064" s="128" t="str">
        <f t="shared" si="1535"/>
        <v>N</v>
      </c>
      <c r="D2064" s="117">
        <v>2405200</v>
      </c>
      <c r="E2064" s="135">
        <f t="shared" si="1536"/>
        <v>2</v>
      </c>
      <c r="F2064" s="124">
        <v>40982</v>
      </c>
      <c r="G2064" s="125">
        <v>41128</v>
      </c>
      <c r="H2064" s="117">
        <v>2405200</v>
      </c>
      <c r="I2064" s="124">
        <v>40982</v>
      </c>
      <c r="J2064" s="124">
        <v>40999</v>
      </c>
      <c r="K2064" s="126">
        <v>10000</v>
      </c>
      <c r="L2064" s="127" t="s">
        <v>570</v>
      </c>
      <c r="M2064" s="125">
        <v>40999</v>
      </c>
      <c r="N2064" s="129" t="str">
        <f>IF(M2064&gt;1/1/1,"Y","N")</f>
        <v>Y</v>
      </c>
      <c r="O2064" s="128" t="s">
        <v>76</v>
      </c>
      <c r="P2064" s="129" t="s">
        <v>589</v>
      </c>
      <c r="Q2064" s="111">
        <f t="shared" si="1528"/>
        <v>18</v>
      </c>
      <c r="R2064" s="111">
        <f t="shared" si="1508"/>
        <v>147</v>
      </c>
      <c r="S2064" s="129">
        <v>0</v>
      </c>
      <c r="T2064" s="129">
        <v>0</v>
      </c>
      <c r="W2064" s="111"/>
      <c r="AC2064" s="130"/>
      <c r="AD2064" s="130">
        <v>29536</v>
      </c>
      <c r="AE2064" s="128" t="s">
        <v>32</v>
      </c>
      <c r="AF2064" s="128" t="s">
        <v>69</v>
      </c>
      <c r="AG2064" s="128" t="s">
        <v>874</v>
      </c>
      <c r="AH2064" s="108" t="s">
        <v>31</v>
      </c>
      <c r="AI2064" s="128" t="s">
        <v>47</v>
      </c>
      <c r="AJ2064" s="129" t="s">
        <v>48</v>
      </c>
      <c r="AK2064" s="129">
        <v>6</v>
      </c>
      <c r="AL2064" s="3" t="s">
        <v>48</v>
      </c>
      <c r="AP2064" s="129" t="s">
        <v>73</v>
      </c>
      <c r="AR2064" s="128" t="s">
        <v>50</v>
      </c>
      <c r="AS2064" s="129" t="s">
        <v>74</v>
      </c>
      <c r="AX2064" s="32"/>
      <c r="BC2064" s="129" t="s">
        <v>52</v>
      </c>
      <c r="BF2064" s="111">
        <f t="shared" si="1554"/>
        <v>18</v>
      </c>
      <c r="BG2064" s="111">
        <f t="shared" si="1527"/>
        <v>147</v>
      </c>
      <c r="BH2064" s="111">
        <f t="shared" si="1530"/>
        <v>147</v>
      </c>
      <c r="BI2064" s="111">
        <f t="shared" si="1531"/>
        <v>31.273224043715846</v>
      </c>
      <c r="BJ2064" s="129">
        <f>(G2064-J2064)+(M2064-G2064)</f>
        <v>0</v>
      </c>
      <c r="BK2064" s="129">
        <f t="shared" si="1532"/>
        <v>-129</v>
      </c>
      <c r="BL2064" s="129" t="str">
        <f t="shared" si="1511"/>
        <v>DEFERRED</v>
      </c>
      <c r="BM2064" s="129" t="s">
        <v>76</v>
      </c>
      <c r="BN2064" s="129" t="s">
        <v>88</v>
      </c>
      <c r="BP2064" s="137" t="str">
        <f t="shared" si="1539"/>
        <v>DEFERRED</v>
      </c>
      <c r="BQ2064" s="128" t="str">
        <f t="shared" si="1540"/>
        <v>Y</v>
      </c>
      <c r="BR2064" s="129" t="str">
        <f t="shared" si="1541"/>
        <v>ON BOND</v>
      </c>
      <c r="BS2064" s="129" t="str">
        <f t="shared" si="1542"/>
        <v>DISPOSED</v>
      </c>
      <c r="BT2064" s="129" t="str">
        <f t="shared" si="1543"/>
        <v>N</v>
      </c>
      <c r="BU2064" s="109">
        <f t="shared" si="1544"/>
        <v>0.12244897959183673</v>
      </c>
      <c r="BV2064" s="109">
        <f t="shared" si="1545"/>
        <v>0.12244897959183673</v>
      </c>
      <c r="BW2064" s="109">
        <f t="shared" si="1519"/>
        <v>0</v>
      </c>
      <c r="BX2064" s="111">
        <f t="shared" si="1546"/>
        <v>0</v>
      </c>
      <c r="BY2064" s="129">
        <f t="shared" si="1547"/>
        <v>-18</v>
      </c>
      <c r="BZ2064" s="111">
        <f t="shared" si="1548"/>
        <v>0</v>
      </c>
      <c r="CA2064" s="138">
        <f t="shared" si="1549"/>
        <v>18</v>
      </c>
      <c r="CB2064" s="111" t="e">
        <f t="shared" si="1555"/>
        <v>#VALUE!</v>
      </c>
      <c r="CC2064" s="129">
        <f>M2064-I2064+1</f>
        <v>18</v>
      </c>
      <c r="CD2064" s="111">
        <f>CC2064-BF2064</f>
        <v>0</v>
      </c>
      <c r="CG2064" s="129" t="str">
        <f t="shared" si="1550"/>
        <v>N</v>
      </c>
      <c r="CI2064" s="129" t="str">
        <f t="shared" si="1551"/>
        <v>11-30 DAYS</v>
      </c>
      <c r="CJ2064" s="137">
        <f t="shared" si="1552"/>
        <v>2</v>
      </c>
      <c r="CK2064" s="129" t="str">
        <f t="shared" si="1553"/>
        <v>Booked</v>
      </c>
    </row>
    <row r="2065" spans="1:89" ht="15" customHeight="1" x14ac:dyDescent="0.25">
      <c r="A2065" s="111">
        <v>3113</v>
      </c>
      <c r="B2065" s="128" t="str">
        <f t="shared" si="1534"/>
        <v>N</v>
      </c>
      <c r="C2065" s="128" t="str">
        <f t="shared" si="1535"/>
        <v>N</v>
      </c>
      <c r="D2065" s="117">
        <v>2405848</v>
      </c>
      <c r="E2065" s="135">
        <f t="shared" si="1536"/>
        <v>1</v>
      </c>
      <c r="F2065" s="124">
        <v>41024</v>
      </c>
      <c r="G2065" s="125">
        <v>41039</v>
      </c>
      <c r="H2065" s="117">
        <v>2405848</v>
      </c>
      <c r="I2065" s="124">
        <v>41024</v>
      </c>
      <c r="J2065" s="124">
        <v>41039</v>
      </c>
      <c r="K2065" s="126" t="s">
        <v>564</v>
      </c>
      <c r="L2065" s="127" t="s">
        <v>564</v>
      </c>
      <c r="N2065" s="129" t="s">
        <v>566</v>
      </c>
      <c r="O2065" s="128" t="s">
        <v>917</v>
      </c>
      <c r="P2065" s="129" t="s">
        <v>55</v>
      </c>
      <c r="Q2065" s="111">
        <f t="shared" si="1528"/>
        <v>16</v>
      </c>
      <c r="R2065" s="111">
        <f t="shared" si="1508"/>
        <v>16</v>
      </c>
      <c r="S2065" s="129">
        <v>1</v>
      </c>
      <c r="T2065" s="129">
        <v>1</v>
      </c>
      <c r="W2065" s="111"/>
      <c r="AC2065" s="130"/>
      <c r="AD2065" s="130">
        <v>32591</v>
      </c>
      <c r="AE2065" s="128" t="s">
        <v>32</v>
      </c>
      <c r="AF2065" s="128" t="s">
        <v>33</v>
      </c>
      <c r="AG2065" s="128" t="s">
        <v>872</v>
      </c>
      <c r="AH2065" s="108" t="s">
        <v>31</v>
      </c>
      <c r="AI2065" s="128" t="s">
        <v>72</v>
      </c>
      <c r="AJ2065" s="129" t="s">
        <v>55</v>
      </c>
      <c r="AK2065" s="129">
        <v>2</v>
      </c>
      <c r="AL2065" s="3" t="s">
        <v>55</v>
      </c>
      <c r="AP2065" s="129" t="s">
        <v>43</v>
      </c>
      <c r="AR2065" s="128" t="s">
        <v>44</v>
      </c>
      <c r="AS2065" s="129" t="s">
        <v>45</v>
      </c>
      <c r="BC2065" s="129" t="s">
        <v>52</v>
      </c>
      <c r="BF2065" s="111">
        <f t="shared" si="1554"/>
        <v>16</v>
      </c>
      <c r="BG2065" s="111">
        <f t="shared" si="1527"/>
        <v>16</v>
      </c>
      <c r="BH2065" s="111">
        <f t="shared" si="1530"/>
        <v>16</v>
      </c>
      <c r="BI2065" s="111">
        <f t="shared" si="1531"/>
        <v>23.040983606557376</v>
      </c>
      <c r="BJ2065" s="129">
        <f t="shared" si="1537"/>
        <v>0</v>
      </c>
      <c r="BK2065" s="129">
        <f t="shared" si="1532"/>
        <v>0</v>
      </c>
      <c r="BL2065" s="129" t="str">
        <f t="shared" si="1511"/>
        <v>NO CONVICTION</v>
      </c>
      <c r="BM2065" s="129" t="str">
        <f t="shared" si="1538"/>
        <v>NONE</v>
      </c>
      <c r="BN2065" s="129" t="s">
        <v>566</v>
      </c>
      <c r="BP2065" s="137" t="str">
        <f t="shared" si="1539"/>
        <v>NO CONVICTION</v>
      </c>
      <c r="BQ2065" s="128" t="str">
        <f t="shared" si="1540"/>
        <v>Y</v>
      </c>
      <c r="BR2065" s="129" t="str">
        <f t="shared" si="1541"/>
        <v>DETAINED</v>
      </c>
      <c r="BS2065" s="129" t="str">
        <f t="shared" si="1542"/>
        <v>DISPOSED</v>
      </c>
      <c r="BT2065" s="129" t="str">
        <f t="shared" si="1543"/>
        <v>Y</v>
      </c>
      <c r="BU2065" s="109">
        <f>IFERROR(Q2065/R2065,BR2065)</f>
        <v>1</v>
      </c>
      <c r="BV2065" s="109">
        <f t="shared" si="1545"/>
        <v>1</v>
      </c>
      <c r="BW2065" s="109">
        <f t="shared" si="1519"/>
        <v>0</v>
      </c>
      <c r="BX2065" s="111">
        <f t="shared" si="1546"/>
        <v>0</v>
      </c>
      <c r="BY2065" s="129">
        <f t="shared" si="1547"/>
        <v>-16</v>
      </c>
      <c r="BZ2065" s="111">
        <f t="shared" si="1548"/>
        <v>0</v>
      </c>
      <c r="CA2065" s="138">
        <f t="shared" si="1549"/>
        <v>16</v>
      </c>
      <c r="CB2065" s="111" t="e">
        <f t="shared" si="1555"/>
        <v>#VALUE!</v>
      </c>
      <c r="CC2065" s="129">
        <f>G2065-I2065+1</f>
        <v>16</v>
      </c>
      <c r="CD2065" s="129">
        <f>G2065-J2065</f>
        <v>0</v>
      </c>
      <c r="CG2065" s="129" t="str">
        <f t="shared" si="1550"/>
        <v>Y</v>
      </c>
      <c r="CI2065" s="129" t="str">
        <f t="shared" si="1551"/>
        <v>11-30 DAYS</v>
      </c>
      <c r="CJ2065" s="137">
        <f t="shared" si="1552"/>
        <v>2</v>
      </c>
      <c r="CK2065" s="129" t="str">
        <f t="shared" si="1553"/>
        <v>Booked</v>
      </c>
    </row>
    <row r="2066" spans="1:89" ht="15.75" customHeight="1" x14ac:dyDescent="0.25">
      <c r="A2066" s="111">
        <v>1013</v>
      </c>
      <c r="B2066" s="128" t="str">
        <f t="shared" si="1534"/>
        <v>N</v>
      </c>
      <c r="C2066" s="128" t="str">
        <f t="shared" si="1535"/>
        <v>N</v>
      </c>
      <c r="D2066" s="117">
        <v>2405913</v>
      </c>
      <c r="E2066" s="135">
        <f t="shared" si="1536"/>
        <v>2</v>
      </c>
      <c r="F2066" s="124">
        <v>40946</v>
      </c>
      <c r="G2066" s="125">
        <v>41088</v>
      </c>
      <c r="H2066" s="117">
        <v>2405913</v>
      </c>
      <c r="I2066" s="124">
        <v>40947</v>
      </c>
      <c r="J2066" s="124">
        <v>40950</v>
      </c>
      <c r="K2066" s="126">
        <v>30000</v>
      </c>
      <c r="L2066" s="129" t="s">
        <v>572</v>
      </c>
      <c r="M2066" s="125">
        <v>40950</v>
      </c>
      <c r="N2066" s="129" t="str">
        <f>IF(M2066&gt;1/1/1,"Y","N")</f>
        <v>Y</v>
      </c>
      <c r="O2066" s="128" t="s">
        <v>76</v>
      </c>
      <c r="P2066" s="129" t="s">
        <v>589</v>
      </c>
      <c r="Q2066" s="111">
        <f t="shared" si="1528"/>
        <v>4</v>
      </c>
      <c r="R2066" s="111">
        <f t="shared" ref="R2066:R2129" si="1556">BH2066</f>
        <v>143</v>
      </c>
      <c r="S2066" s="129">
        <v>1</v>
      </c>
      <c r="T2066" s="129">
        <v>1</v>
      </c>
      <c r="W2066" s="111"/>
      <c r="AC2066" s="130"/>
      <c r="AD2066" s="130">
        <v>32751</v>
      </c>
      <c r="AE2066" s="128" t="s">
        <v>32</v>
      </c>
      <c r="AF2066" s="128" t="s">
        <v>69</v>
      </c>
      <c r="AG2066" s="128" t="s">
        <v>874</v>
      </c>
      <c r="AH2066" s="108" t="s">
        <v>58</v>
      </c>
      <c r="AI2066" s="128" t="s">
        <v>47</v>
      </c>
      <c r="AJ2066" s="129" t="s">
        <v>48</v>
      </c>
      <c r="AK2066" s="129">
        <v>7</v>
      </c>
      <c r="AL2066" s="3" t="s">
        <v>48</v>
      </c>
      <c r="AP2066" s="129" t="s">
        <v>150</v>
      </c>
      <c r="AR2066" s="128" t="s">
        <v>67</v>
      </c>
      <c r="AS2066" s="129" t="s">
        <v>74</v>
      </c>
      <c r="AW2066" s="123"/>
      <c r="AX2066" s="123"/>
      <c r="BC2066" s="129" t="s">
        <v>52</v>
      </c>
      <c r="BF2066" s="111">
        <f t="shared" si="1554"/>
        <v>4</v>
      </c>
      <c r="BG2066" s="111">
        <f t="shared" si="1527"/>
        <v>142</v>
      </c>
      <c r="BH2066" s="111">
        <f t="shared" si="1530"/>
        <v>143</v>
      </c>
      <c r="BI2066" s="111">
        <f t="shared" si="1531"/>
        <v>22.39071038251366</v>
      </c>
      <c r="BJ2066" s="129">
        <f>(G2066-J2066)+(M2066-G2066)</f>
        <v>0</v>
      </c>
      <c r="BK2066" s="129">
        <f t="shared" si="1532"/>
        <v>-138</v>
      </c>
      <c r="BL2066" s="129" t="str">
        <f t="shared" si="1511"/>
        <v>DEFERRED</v>
      </c>
      <c r="BM2066" s="129" t="s">
        <v>76</v>
      </c>
      <c r="BN2066" s="129" t="s">
        <v>88</v>
      </c>
      <c r="BP2066" s="137" t="str">
        <f t="shared" si="1539"/>
        <v>DEFERRED</v>
      </c>
      <c r="BQ2066" s="128" t="str">
        <f t="shared" si="1540"/>
        <v>Y</v>
      </c>
      <c r="BR2066" s="129" t="str">
        <f t="shared" si="1541"/>
        <v>ON BOND</v>
      </c>
      <c r="BS2066" s="129" t="str">
        <f t="shared" si="1542"/>
        <v>DISPOSED</v>
      </c>
      <c r="BT2066" s="129" t="str">
        <f t="shared" si="1543"/>
        <v>Y</v>
      </c>
      <c r="BU2066" s="109">
        <f t="shared" si="1544"/>
        <v>2.7972027972027972E-2</v>
      </c>
      <c r="BV2066" s="109">
        <f t="shared" si="1545"/>
        <v>2.8169014084507043E-2</v>
      </c>
      <c r="BW2066" s="109">
        <f t="shared" si="1519"/>
        <v>1.9698611247907089E-4</v>
      </c>
      <c r="BX2066" s="111">
        <f t="shared" si="1546"/>
        <v>0</v>
      </c>
      <c r="BY2066" s="129">
        <f t="shared" si="1547"/>
        <v>-4</v>
      </c>
      <c r="BZ2066" s="111">
        <f t="shared" si="1548"/>
        <v>0</v>
      </c>
      <c r="CA2066" s="138">
        <f t="shared" si="1549"/>
        <v>4</v>
      </c>
      <c r="CB2066" s="111" t="e">
        <f t="shared" si="1555"/>
        <v>#VALUE!</v>
      </c>
      <c r="CC2066" s="129">
        <f>M2066-I2066+1</f>
        <v>4</v>
      </c>
      <c r="CD2066" s="111">
        <f>CC2066-BF2066</f>
        <v>0</v>
      </c>
      <c r="CG2066" s="129" t="str">
        <f t="shared" si="1550"/>
        <v>Y</v>
      </c>
      <c r="CI2066" s="129" t="str">
        <f t="shared" si="1551"/>
        <v>0-10 DAYS</v>
      </c>
      <c r="CJ2066" s="137">
        <f t="shared" si="1552"/>
        <v>1</v>
      </c>
      <c r="CK2066" s="129" t="str">
        <f t="shared" si="1553"/>
        <v>Booked</v>
      </c>
    </row>
    <row r="2067" spans="1:89" ht="15.75" customHeight="1" x14ac:dyDescent="0.25">
      <c r="A2067" s="111">
        <v>887</v>
      </c>
      <c r="B2067" s="128" t="str">
        <f t="shared" si="1534"/>
        <v>N</v>
      </c>
      <c r="C2067" s="128" t="str">
        <f t="shared" si="1535"/>
        <v>N</v>
      </c>
      <c r="D2067" s="117">
        <v>2406060</v>
      </c>
      <c r="E2067" s="135">
        <f t="shared" si="1536"/>
        <v>5</v>
      </c>
      <c r="F2067" s="124">
        <v>40941</v>
      </c>
      <c r="G2067" s="125">
        <v>41172</v>
      </c>
      <c r="H2067" s="117">
        <v>2406060</v>
      </c>
      <c r="I2067" s="124">
        <v>40942</v>
      </c>
      <c r="J2067" s="124">
        <v>41172</v>
      </c>
      <c r="K2067" s="126">
        <v>50000</v>
      </c>
      <c r="L2067" s="129" t="s">
        <v>572</v>
      </c>
      <c r="N2067" s="129" t="str">
        <f>IF(M2067&gt;1/1/1,"Y","N")</f>
        <v>N</v>
      </c>
      <c r="O2067" s="128" t="s">
        <v>917</v>
      </c>
      <c r="P2067" s="129" t="s">
        <v>39</v>
      </c>
      <c r="Q2067" s="111">
        <f t="shared" si="1528"/>
        <v>231</v>
      </c>
      <c r="R2067" s="111">
        <f t="shared" si="1556"/>
        <v>232</v>
      </c>
      <c r="S2067" s="129">
        <v>3</v>
      </c>
      <c r="T2067" s="129">
        <v>2</v>
      </c>
      <c r="U2067" s="129">
        <v>3</v>
      </c>
      <c r="W2067" s="111"/>
      <c r="AB2067" s="131" t="s">
        <v>112</v>
      </c>
      <c r="AC2067" s="130"/>
      <c r="AD2067" s="130">
        <v>33424</v>
      </c>
      <c r="AE2067" s="128" t="s">
        <v>32</v>
      </c>
      <c r="AF2067" s="128" t="s">
        <v>40</v>
      </c>
      <c r="AG2067" s="128" t="s">
        <v>41</v>
      </c>
      <c r="AH2067" s="108" t="s">
        <v>31</v>
      </c>
      <c r="AI2067" s="128" t="s">
        <v>71</v>
      </c>
      <c r="AJ2067" s="129" t="s">
        <v>89</v>
      </c>
      <c r="AK2067" s="129">
        <v>10</v>
      </c>
      <c r="AL2067" s="3" t="s">
        <v>992</v>
      </c>
      <c r="AN2067" s="117">
        <v>12</v>
      </c>
      <c r="AP2067" s="129" t="s">
        <v>105</v>
      </c>
      <c r="AR2067" s="128" t="s">
        <v>92</v>
      </c>
      <c r="AS2067" s="129" t="s">
        <v>106</v>
      </c>
      <c r="BC2067" s="129" t="s">
        <v>52</v>
      </c>
      <c r="BF2067" s="111">
        <f t="shared" si="1554"/>
        <v>231</v>
      </c>
      <c r="BG2067" s="111">
        <f t="shared" si="1527"/>
        <v>231</v>
      </c>
      <c r="BH2067" s="111">
        <f t="shared" si="1530"/>
        <v>232</v>
      </c>
      <c r="BI2067" s="111">
        <f t="shared" si="1531"/>
        <v>20.538251366120218</v>
      </c>
      <c r="BJ2067" s="129">
        <f t="shared" si="1537"/>
        <v>0</v>
      </c>
      <c r="BK2067" s="129">
        <f t="shared" si="1532"/>
        <v>0</v>
      </c>
      <c r="BL2067" s="129" t="str">
        <f t="shared" si="1511"/>
        <v>CONVICTION</v>
      </c>
      <c r="BM2067" s="129" t="str">
        <f t="shared" si="1538"/>
        <v>NONE</v>
      </c>
      <c r="BN2067" s="129" t="s">
        <v>566</v>
      </c>
      <c r="BP2067" s="137" t="str">
        <f t="shared" si="1539"/>
        <v>CONVICTION</v>
      </c>
      <c r="BQ2067" s="128" t="str">
        <f t="shared" si="1540"/>
        <v>Y</v>
      </c>
      <c r="BR2067" s="129" t="str">
        <f t="shared" si="1541"/>
        <v>DETAINED</v>
      </c>
      <c r="BS2067" s="129" t="str">
        <f t="shared" si="1542"/>
        <v>DISPOSED</v>
      </c>
      <c r="BT2067" s="129" t="str">
        <f t="shared" si="1543"/>
        <v>Y</v>
      </c>
      <c r="BU2067" s="109">
        <f t="shared" si="1544"/>
        <v>0.99568965517241381</v>
      </c>
      <c r="BV2067" s="109">
        <f t="shared" si="1545"/>
        <v>1</v>
      </c>
      <c r="BW2067" s="109">
        <f t="shared" si="1519"/>
        <v>4.3103448275861878E-3</v>
      </c>
      <c r="BX2067" s="111">
        <f t="shared" si="1546"/>
        <v>0</v>
      </c>
      <c r="BY2067" s="129">
        <f t="shared" si="1547"/>
        <v>-231</v>
      </c>
      <c r="BZ2067" s="111">
        <f t="shared" si="1548"/>
        <v>0</v>
      </c>
      <c r="CA2067" s="138">
        <f t="shared" si="1549"/>
        <v>231</v>
      </c>
      <c r="CB2067" s="111" t="e">
        <f t="shared" si="1555"/>
        <v>#VALUE!</v>
      </c>
      <c r="CC2067" s="129">
        <f>G2067-I2067+1</f>
        <v>231</v>
      </c>
      <c r="CD2067" s="129">
        <f>G2067-J2067</f>
        <v>0</v>
      </c>
      <c r="CG2067" s="129" t="str">
        <f t="shared" si="1550"/>
        <v>Y</v>
      </c>
      <c r="CI2067" s="129" t="str">
        <f t="shared" si="1551"/>
        <v>121-365 DAYS</v>
      </c>
      <c r="CJ2067" s="137">
        <f t="shared" si="1552"/>
        <v>6</v>
      </c>
      <c r="CK2067" s="129" t="str">
        <f t="shared" si="1553"/>
        <v>Booked</v>
      </c>
    </row>
    <row r="2068" spans="1:89" ht="15.75" customHeight="1" x14ac:dyDescent="0.25">
      <c r="A2068" s="111">
        <v>1559</v>
      </c>
      <c r="B2068" s="128" t="str">
        <f t="shared" si="1534"/>
        <v>N</v>
      </c>
      <c r="C2068" s="128" t="str">
        <f t="shared" si="1535"/>
        <v>N</v>
      </c>
      <c r="D2068" s="117">
        <v>2406109</v>
      </c>
      <c r="E2068" s="135">
        <f t="shared" si="1536"/>
        <v>4</v>
      </c>
      <c r="F2068" s="124">
        <v>40967</v>
      </c>
      <c r="G2068" s="125">
        <v>41312</v>
      </c>
      <c r="H2068" s="117">
        <v>2406109</v>
      </c>
      <c r="I2068" s="124">
        <v>40968</v>
      </c>
      <c r="J2068" s="125">
        <v>41312</v>
      </c>
      <c r="K2068" s="126">
        <v>70000</v>
      </c>
      <c r="L2068" s="129" t="s">
        <v>572</v>
      </c>
      <c r="N2068" s="129" t="str">
        <f>IF(M2068&gt;1/1/1,"Y","N")</f>
        <v>N</v>
      </c>
      <c r="O2068" s="128" t="s">
        <v>917</v>
      </c>
      <c r="P2068" s="129" t="s">
        <v>39</v>
      </c>
      <c r="Q2068" s="111">
        <f t="shared" si="1528"/>
        <v>345</v>
      </c>
      <c r="R2068" s="111">
        <f t="shared" si="1556"/>
        <v>346</v>
      </c>
      <c r="S2068" s="129">
        <v>0</v>
      </c>
      <c r="T2068" s="129">
        <v>1</v>
      </c>
      <c r="W2068" s="111"/>
      <c r="AB2068" s="131" t="s">
        <v>112</v>
      </c>
      <c r="AC2068" s="130"/>
      <c r="AD2068" s="130">
        <v>26939</v>
      </c>
      <c r="AE2068" s="128" t="s">
        <v>32</v>
      </c>
      <c r="AF2068" s="128" t="s">
        <v>40</v>
      </c>
      <c r="AG2068" s="128" t="s">
        <v>41</v>
      </c>
      <c r="AH2068" s="108" t="s">
        <v>31</v>
      </c>
      <c r="AI2068" s="128" t="s">
        <v>80</v>
      </c>
      <c r="AJ2068" s="129" t="s">
        <v>89</v>
      </c>
      <c r="AK2068" s="129">
        <v>12</v>
      </c>
      <c r="AL2068" s="3" t="s">
        <v>991</v>
      </c>
      <c r="AO2068" s="128">
        <v>180</v>
      </c>
      <c r="AP2068" s="129" t="s">
        <v>73</v>
      </c>
      <c r="AR2068" s="128" t="s">
        <v>50</v>
      </c>
      <c r="AS2068" s="129" t="s">
        <v>74</v>
      </c>
      <c r="BC2068" s="129" t="s">
        <v>38</v>
      </c>
      <c r="BF2068" s="111">
        <f t="shared" si="1554"/>
        <v>345</v>
      </c>
      <c r="BG2068" s="111">
        <f t="shared" si="1527"/>
        <v>345</v>
      </c>
      <c r="BH2068" s="111">
        <f t="shared" si="1530"/>
        <v>346</v>
      </c>
      <c r="BI2068" s="111">
        <f t="shared" si="1531"/>
        <v>38.327868852459019</v>
      </c>
      <c r="BJ2068" s="129">
        <f t="shared" si="1537"/>
        <v>0</v>
      </c>
      <c r="BK2068" s="129">
        <f t="shared" si="1532"/>
        <v>0</v>
      </c>
      <c r="BL2068" s="129" t="str">
        <f t="shared" si="1511"/>
        <v>CONVICTION</v>
      </c>
      <c r="BM2068" s="129" t="str">
        <f t="shared" si="1538"/>
        <v>NONE</v>
      </c>
      <c r="BN2068" s="129" t="s">
        <v>566</v>
      </c>
      <c r="BP2068" s="137" t="str">
        <f t="shared" si="1539"/>
        <v>CONVICTION</v>
      </c>
      <c r="BQ2068" s="128" t="str">
        <f t="shared" si="1540"/>
        <v>Y</v>
      </c>
      <c r="BR2068" s="129" t="str">
        <f t="shared" si="1541"/>
        <v>DETAINED</v>
      </c>
      <c r="BS2068" s="129" t="str">
        <f t="shared" si="1542"/>
        <v>DISPOSED</v>
      </c>
      <c r="BT2068" s="129" t="str">
        <f t="shared" si="1543"/>
        <v>N</v>
      </c>
      <c r="BU2068" s="109">
        <f t="shared" si="1544"/>
        <v>0.99710982658959535</v>
      </c>
      <c r="BV2068" s="109">
        <f t="shared" si="1545"/>
        <v>1</v>
      </c>
      <c r="BW2068" s="109">
        <f t="shared" si="1519"/>
        <v>2.8901734104046506E-3</v>
      </c>
      <c r="BX2068" s="111">
        <f t="shared" si="1546"/>
        <v>0</v>
      </c>
      <c r="BY2068" s="129">
        <f t="shared" si="1547"/>
        <v>-345</v>
      </c>
      <c r="BZ2068" s="111">
        <f t="shared" si="1548"/>
        <v>0</v>
      </c>
      <c r="CA2068" s="138">
        <f t="shared" si="1549"/>
        <v>345</v>
      </c>
      <c r="CB2068" s="111" t="e">
        <f t="shared" si="1555"/>
        <v>#VALUE!</v>
      </c>
      <c r="CC2068" s="129">
        <f>G2068-I2068+1</f>
        <v>345</v>
      </c>
      <c r="CD2068" s="129">
        <f>G2068-J2068</f>
        <v>0</v>
      </c>
      <c r="CG2068" s="129" t="str">
        <f t="shared" si="1550"/>
        <v>Y</v>
      </c>
      <c r="CI2068" s="129" t="str">
        <f t="shared" si="1551"/>
        <v>121-365 DAYS</v>
      </c>
      <c r="CJ2068" s="137">
        <f t="shared" si="1552"/>
        <v>6</v>
      </c>
      <c r="CK2068" s="129" t="str">
        <f t="shared" si="1553"/>
        <v>Booked</v>
      </c>
    </row>
    <row r="2069" spans="1:89" ht="15" customHeight="1" x14ac:dyDescent="0.25">
      <c r="A2069" s="111">
        <v>419</v>
      </c>
      <c r="B2069" s="128" t="str">
        <f t="shared" si="1534"/>
        <v>N</v>
      </c>
      <c r="C2069" s="128" t="str">
        <f t="shared" si="1535"/>
        <v>N</v>
      </c>
      <c r="D2069" s="117">
        <v>2406635</v>
      </c>
      <c r="E2069" s="135">
        <f t="shared" si="1536"/>
        <v>1</v>
      </c>
      <c r="F2069" s="124">
        <v>40926</v>
      </c>
      <c r="G2069" s="125">
        <v>41313</v>
      </c>
      <c r="H2069" s="117">
        <v>2406635</v>
      </c>
      <c r="I2069" s="124">
        <v>40929</v>
      </c>
      <c r="J2069" s="125">
        <v>41313</v>
      </c>
      <c r="K2069" s="126">
        <v>120000</v>
      </c>
      <c r="L2069" s="129" t="s">
        <v>572</v>
      </c>
      <c r="N2069" s="129" t="str">
        <f>IF(M2069&gt;1/1/1,"Y","N")</f>
        <v>N</v>
      </c>
      <c r="O2069" s="128" t="s">
        <v>917</v>
      </c>
      <c r="P2069" s="129" t="s">
        <v>55</v>
      </c>
      <c r="Q2069" s="111">
        <f t="shared" si="1528"/>
        <v>385</v>
      </c>
      <c r="R2069" s="111">
        <f t="shared" si="1556"/>
        <v>388</v>
      </c>
      <c r="S2069" s="129">
        <v>1</v>
      </c>
      <c r="T2069" s="129">
        <v>0</v>
      </c>
      <c r="V2069" s="117">
        <v>1</v>
      </c>
      <c r="W2069" s="111"/>
      <c r="AB2069" s="131" t="s">
        <v>112</v>
      </c>
      <c r="AC2069" s="130"/>
      <c r="AD2069" s="130">
        <v>25815</v>
      </c>
      <c r="AE2069" s="128" t="s">
        <v>32</v>
      </c>
      <c r="AF2069" s="128" t="s">
        <v>40</v>
      </c>
      <c r="AG2069" s="128" t="s">
        <v>41</v>
      </c>
      <c r="AH2069" s="108" t="s">
        <v>31</v>
      </c>
      <c r="AI2069" s="128" t="s">
        <v>72</v>
      </c>
      <c r="AJ2069" s="129" t="s">
        <v>55</v>
      </c>
      <c r="AK2069" s="129">
        <v>9</v>
      </c>
      <c r="AL2069" s="3" t="s">
        <v>55</v>
      </c>
      <c r="AP2069" s="129" t="s">
        <v>129</v>
      </c>
      <c r="AR2069" s="128" t="s">
        <v>92</v>
      </c>
      <c r="AS2069" s="129" t="s">
        <v>126</v>
      </c>
      <c r="BC2069" s="129" t="s">
        <v>38</v>
      </c>
      <c r="BF2069" s="111">
        <f t="shared" si="1554"/>
        <v>385</v>
      </c>
      <c r="BG2069" s="111">
        <f t="shared" si="1527"/>
        <v>385</v>
      </c>
      <c r="BH2069" s="111">
        <f t="shared" si="1530"/>
        <v>388</v>
      </c>
      <c r="BI2069" s="111">
        <f t="shared" si="1531"/>
        <v>41.286885245901637</v>
      </c>
      <c r="BJ2069" s="129">
        <f t="shared" si="1537"/>
        <v>0</v>
      </c>
      <c r="BK2069" s="129">
        <f t="shared" si="1532"/>
        <v>0</v>
      </c>
      <c r="BL2069" s="129" t="str">
        <f t="shared" ref="BL2069:BL2132" si="1557">IF(OR(AL2069="AQUITTAL",AL2069="DISMISSED",AL2069="FINE",AL2069="NO BILL"),"NO CONVICTION",IF(OR(AL2069="HCJ",AL2069="MHH",AL2069="PROBATION",AL2069="STJ",AL2069="TDC"),"CONVICTION",IF(AL2069="DEFERRED","DEFERRED",0)))</f>
        <v>NO CONVICTION</v>
      </c>
      <c r="BM2069" s="129" t="str">
        <f t="shared" si="1538"/>
        <v>NONE</v>
      </c>
      <c r="BN2069" s="129" t="s">
        <v>566</v>
      </c>
      <c r="BP2069" s="137" t="str">
        <f t="shared" si="1539"/>
        <v>NO CONVICTION</v>
      </c>
      <c r="BQ2069" s="128" t="str">
        <f t="shared" si="1540"/>
        <v>Y</v>
      </c>
      <c r="BR2069" s="129" t="str">
        <f t="shared" si="1541"/>
        <v>DETAINED</v>
      </c>
      <c r="BS2069" s="129" t="str">
        <f t="shared" si="1542"/>
        <v>DISPOSED</v>
      </c>
      <c r="BT2069" s="129" t="str">
        <f t="shared" si="1543"/>
        <v>Y</v>
      </c>
      <c r="BU2069" s="109">
        <f>IFERROR(Q2069/R2069,BR2069)</f>
        <v>0.99226804123711343</v>
      </c>
      <c r="BV2069" s="109">
        <f t="shared" si="1545"/>
        <v>1</v>
      </c>
      <c r="BW2069" s="109">
        <f t="shared" si="1519"/>
        <v>7.7319587628865705E-3</v>
      </c>
      <c r="BX2069" s="111">
        <f t="shared" si="1546"/>
        <v>0</v>
      </c>
      <c r="BY2069" s="129">
        <f t="shared" si="1547"/>
        <v>-385</v>
      </c>
      <c r="BZ2069" s="111">
        <f t="shared" si="1548"/>
        <v>0</v>
      </c>
      <c r="CA2069" s="138">
        <f t="shared" si="1549"/>
        <v>385</v>
      </c>
      <c r="CB2069" s="111" t="e">
        <f t="shared" si="1555"/>
        <v>#VALUE!</v>
      </c>
      <c r="CC2069" s="129">
        <f>G2069-I2069+1</f>
        <v>385</v>
      </c>
      <c r="CD2069" s="129">
        <f>G2069-J2069</f>
        <v>0</v>
      </c>
      <c r="CG2069" s="129" t="str">
        <f t="shared" si="1550"/>
        <v>Y</v>
      </c>
      <c r="CI2069" s="129" t="str">
        <f t="shared" si="1551"/>
        <v xml:space="preserve"> &gt;1YRS&lt;2YRS</v>
      </c>
      <c r="CJ2069" s="137">
        <f t="shared" si="1552"/>
        <v>0</v>
      </c>
      <c r="CK2069" s="129" t="str">
        <f t="shared" si="1553"/>
        <v>Booked</v>
      </c>
    </row>
    <row r="2070" spans="1:89" ht="15.75" customHeight="1" x14ac:dyDescent="0.25">
      <c r="A2070" s="111">
        <v>1427</v>
      </c>
      <c r="B2070" s="128" t="str">
        <f t="shared" si="1534"/>
        <v>N</v>
      </c>
      <c r="C2070" s="128" t="str">
        <f t="shared" si="1535"/>
        <v>N</v>
      </c>
      <c r="D2070" s="117">
        <v>2406856</v>
      </c>
      <c r="E2070" s="135">
        <f t="shared" si="1536"/>
        <v>3</v>
      </c>
      <c r="F2070" s="124">
        <v>40961</v>
      </c>
      <c r="G2070" s="125">
        <v>40963</v>
      </c>
      <c r="H2070" s="117">
        <v>2406856</v>
      </c>
      <c r="I2070" s="124">
        <v>40961</v>
      </c>
      <c r="J2070" s="124">
        <v>40963</v>
      </c>
      <c r="K2070" s="126">
        <v>10000</v>
      </c>
      <c r="L2070" s="127" t="s">
        <v>570</v>
      </c>
      <c r="N2070" s="129" t="str">
        <f>IF(M2070&gt;1/1/1,"Y","N")</f>
        <v>N</v>
      </c>
      <c r="O2070" s="128" t="s">
        <v>917</v>
      </c>
      <c r="P2070" s="129" t="s">
        <v>39</v>
      </c>
      <c r="Q2070" s="111">
        <f t="shared" si="1528"/>
        <v>3</v>
      </c>
      <c r="R2070" s="111">
        <f t="shared" si="1556"/>
        <v>3</v>
      </c>
      <c r="S2070" s="129">
        <v>0</v>
      </c>
      <c r="T2070" s="129">
        <v>2</v>
      </c>
      <c r="W2070" s="111"/>
      <c r="AC2070" s="130"/>
      <c r="AD2070" s="130">
        <v>31702</v>
      </c>
      <c r="AE2070" s="128" t="s">
        <v>46</v>
      </c>
      <c r="AF2070" s="128" t="s">
        <v>69</v>
      </c>
      <c r="AG2070" s="128" t="s">
        <v>874</v>
      </c>
      <c r="AH2070" s="108" t="s">
        <v>58</v>
      </c>
      <c r="AI2070" s="128" t="s">
        <v>53</v>
      </c>
      <c r="AJ2070" s="129" t="s">
        <v>89</v>
      </c>
      <c r="AK2070" s="129">
        <v>1</v>
      </c>
      <c r="AL2070" s="3" t="s">
        <v>185</v>
      </c>
      <c r="AP2070" s="129" t="s">
        <v>66</v>
      </c>
      <c r="AR2070" s="128" t="s">
        <v>67</v>
      </c>
      <c r="AS2070" s="129" t="s">
        <v>68</v>
      </c>
      <c r="BC2070" s="129" t="s">
        <v>38</v>
      </c>
      <c r="BF2070" s="111">
        <f t="shared" si="1554"/>
        <v>3</v>
      </c>
      <c r="BG2070" s="111">
        <f t="shared" si="1527"/>
        <v>3</v>
      </c>
      <c r="BH2070" s="111">
        <f t="shared" si="1530"/>
        <v>3</v>
      </c>
      <c r="BI2070" s="111">
        <f t="shared" si="1531"/>
        <v>25.297814207650273</v>
      </c>
      <c r="BJ2070" s="129">
        <f t="shared" si="1537"/>
        <v>0</v>
      </c>
      <c r="BK2070" s="129">
        <f t="shared" si="1532"/>
        <v>0</v>
      </c>
      <c r="BL2070" s="129" t="str">
        <f t="shared" si="1557"/>
        <v>CONVICTION</v>
      </c>
      <c r="BM2070" s="129" t="str">
        <f t="shared" si="1538"/>
        <v>NONE</v>
      </c>
      <c r="BN2070" s="129" t="s">
        <v>566</v>
      </c>
      <c r="BP2070" s="137" t="str">
        <f t="shared" si="1539"/>
        <v>CONVICTION</v>
      </c>
      <c r="BQ2070" s="128" t="str">
        <f t="shared" si="1540"/>
        <v>Y</v>
      </c>
      <c r="BR2070" s="129" t="str">
        <f t="shared" si="1541"/>
        <v>DETAINED</v>
      </c>
      <c r="BS2070" s="129" t="str">
        <f t="shared" si="1542"/>
        <v>DISPOSED</v>
      </c>
      <c r="BT2070" s="129" t="str">
        <f t="shared" si="1543"/>
        <v>N</v>
      </c>
      <c r="BU2070" s="109">
        <f t="shared" si="1544"/>
        <v>1</v>
      </c>
      <c r="BV2070" s="109">
        <f t="shared" si="1545"/>
        <v>1</v>
      </c>
      <c r="BW2070" s="109">
        <f t="shared" si="1519"/>
        <v>0</v>
      </c>
      <c r="BX2070" s="111">
        <f t="shared" si="1546"/>
        <v>0</v>
      </c>
      <c r="BY2070" s="129">
        <f t="shared" si="1547"/>
        <v>-3</v>
      </c>
      <c r="BZ2070" s="111">
        <f t="shared" si="1548"/>
        <v>0</v>
      </c>
      <c r="CA2070" s="138">
        <f t="shared" si="1549"/>
        <v>3</v>
      </c>
      <c r="CB2070" s="111" t="e">
        <f t="shared" si="1555"/>
        <v>#VALUE!</v>
      </c>
      <c r="CC2070" s="129">
        <f>G2070-I2070+1</f>
        <v>3</v>
      </c>
      <c r="CD2070" s="129">
        <f>G2070-J2070</f>
        <v>0</v>
      </c>
      <c r="CG2070" s="129" t="str">
        <f t="shared" si="1550"/>
        <v>Y</v>
      </c>
      <c r="CI2070" s="129" t="str">
        <f t="shared" si="1551"/>
        <v>0-10 DAYS</v>
      </c>
      <c r="CJ2070" s="137">
        <f t="shared" si="1552"/>
        <v>1</v>
      </c>
      <c r="CK2070" s="129" t="str">
        <f t="shared" si="1553"/>
        <v>Booked</v>
      </c>
    </row>
    <row r="2071" spans="1:89" ht="15.75" customHeight="1" x14ac:dyDescent="0.25">
      <c r="A2071" s="111">
        <v>3246</v>
      </c>
      <c r="B2071" s="128" t="str">
        <f t="shared" si="1534"/>
        <v>Y</v>
      </c>
      <c r="C2071" s="128" t="str">
        <f t="shared" si="1535"/>
        <v>N</v>
      </c>
      <c r="D2071" s="114">
        <v>2407335</v>
      </c>
      <c r="E2071" s="135">
        <f t="shared" si="1536"/>
        <v>1</v>
      </c>
      <c r="F2071" s="124">
        <v>41029</v>
      </c>
      <c r="G2071" s="125">
        <v>41030</v>
      </c>
      <c r="H2071" s="114">
        <v>2407335</v>
      </c>
      <c r="I2071" s="124">
        <v>41029</v>
      </c>
      <c r="J2071" s="124">
        <v>41030</v>
      </c>
      <c r="K2071" s="126" t="s">
        <v>564</v>
      </c>
      <c r="L2071" s="127" t="s">
        <v>564</v>
      </c>
      <c r="N2071" s="129" t="s">
        <v>566</v>
      </c>
      <c r="O2071" s="128" t="s">
        <v>917</v>
      </c>
      <c r="P2071" s="129" t="s">
        <v>55</v>
      </c>
      <c r="Q2071" s="111">
        <f t="shared" si="1528"/>
        <v>2</v>
      </c>
      <c r="R2071" s="111">
        <f t="shared" si="1556"/>
        <v>2</v>
      </c>
      <c r="S2071" s="129">
        <v>1</v>
      </c>
      <c r="T2071" s="129">
        <v>6</v>
      </c>
      <c r="W2071" s="111"/>
      <c r="AC2071" s="130"/>
      <c r="AD2071" s="130">
        <v>33304</v>
      </c>
      <c r="AE2071" s="128" t="s">
        <v>32</v>
      </c>
      <c r="AF2071" s="128" t="s">
        <v>40</v>
      </c>
      <c r="AG2071" s="128" t="s">
        <v>41</v>
      </c>
      <c r="AH2071" s="108" t="s">
        <v>41</v>
      </c>
      <c r="AI2071" s="128" t="s">
        <v>118</v>
      </c>
      <c r="AJ2071" s="129" t="s">
        <v>55</v>
      </c>
      <c r="AK2071" s="129">
        <v>1</v>
      </c>
      <c r="AL2071" s="3" t="s">
        <v>55</v>
      </c>
      <c r="AP2071" s="129" t="s">
        <v>150</v>
      </c>
      <c r="AR2071" s="128" t="s">
        <v>67</v>
      </c>
      <c r="AS2071" s="129" t="s">
        <v>74</v>
      </c>
      <c r="AT2071" s="129" t="s">
        <v>538</v>
      </c>
      <c r="BC2071" s="129" t="s">
        <v>79</v>
      </c>
      <c r="BD2071" s="129" t="s">
        <v>1227</v>
      </c>
      <c r="BE2071" s="123"/>
      <c r="BF2071" s="111">
        <f t="shared" si="1554"/>
        <v>2</v>
      </c>
      <c r="BG2071" s="111">
        <f t="shared" si="1527"/>
        <v>2</v>
      </c>
      <c r="BH2071" s="111">
        <f t="shared" si="1530"/>
        <v>2</v>
      </c>
      <c r="BI2071" s="111">
        <f t="shared" si="1531"/>
        <v>21.106557377049182</v>
      </c>
      <c r="BJ2071" s="129">
        <f t="shared" si="1537"/>
        <v>0</v>
      </c>
      <c r="BK2071" s="129">
        <f t="shared" si="1532"/>
        <v>0</v>
      </c>
      <c r="BL2071" s="129" t="str">
        <f t="shared" si="1557"/>
        <v>NO CONVICTION</v>
      </c>
      <c r="BM2071" s="129" t="str">
        <f t="shared" si="1538"/>
        <v>NONE</v>
      </c>
      <c r="BN2071" s="129" t="s">
        <v>566</v>
      </c>
      <c r="BP2071" s="137" t="str">
        <f t="shared" si="1539"/>
        <v>NO CONVICTION</v>
      </c>
      <c r="BQ2071" s="128" t="str">
        <f t="shared" si="1540"/>
        <v>Y</v>
      </c>
      <c r="BR2071" s="129" t="str">
        <f t="shared" si="1541"/>
        <v>DETAINED</v>
      </c>
      <c r="BS2071" s="129" t="str">
        <f t="shared" si="1542"/>
        <v>DISPOSED</v>
      </c>
      <c r="BT2071" s="129" t="str">
        <f t="shared" si="1543"/>
        <v>Y</v>
      </c>
      <c r="BU2071" s="109">
        <f>IFERROR(Q2071/R2071,BR2071)</f>
        <v>1</v>
      </c>
      <c r="BV2071" s="109">
        <f t="shared" si="1545"/>
        <v>1</v>
      </c>
      <c r="BW2071" s="109">
        <f t="shared" si="1519"/>
        <v>0</v>
      </c>
      <c r="BX2071" s="111">
        <f t="shared" si="1546"/>
        <v>0</v>
      </c>
      <c r="BY2071" s="129">
        <f t="shared" si="1547"/>
        <v>-2</v>
      </c>
      <c r="BZ2071" s="111">
        <f t="shared" si="1548"/>
        <v>0</v>
      </c>
      <c r="CA2071" s="138">
        <f t="shared" si="1549"/>
        <v>2</v>
      </c>
      <c r="CB2071" s="111" t="e">
        <f t="shared" si="1555"/>
        <v>#VALUE!</v>
      </c>
      <c r="CC2071" s="129">
        <f>G2071-I2071+1</f>
        <v>2</v>
      </c>
      <c r="CD2071" s="129">
        <f>G2071-J2071</f>
        <v>0</v>
      </c>
      <c r="CG2071" s="129" t="str">
        <f t="shared" si="1550"/>
        <v>Y</v>
      </c>
      <c r="CI2071" s="129" t="str">
        <f t="shared" si="1551"/>
        <v>0-10 DAYS</v>
      </c>
      <c r="CJ2071" s="137">
        <f t="shared" si="1552"/>
        <v>1</v>
      </c>
      <c r="CK2071" s="129" t="str">
        <f t="shared" si="1553"/>
        <v>Booked</v>
      </c>
    </row>
    <row r="2072" spans="1:89" ht="15" customHeight="1" x14ac:dyDescent="0.25">
      <c r="A2072" s="111">
        <v>205</v>
      </c>
      <c r="B2072" s="128" t="str">
        <f t="shared" si="1534"/>
        <v>N</v>
      </c>
      <c r="C2072" s="128" t="str">
        <f t="shared" si="1535"/>
        <v>N</v>
      </c>
      <c r="D2072" s="117">
        <v>2407491</v>
      </c>
      <c r="E2072" s="135">
        <f t="shared" si="1536"/>
        <v>2</v>
      </c>
      <c r="F2072" s="124">
        <v>40918</v>
      </c>
      <c r="G2072" s="125">
        <v>40956</v>
      </c>
      <c r="H2072" s="117">
        <v>2407491</v>
      </c>
      <c r="I2072" s="124">
        <v>40918</v>
      </c>
      <c r="J2072" s="124">
        <v>40956</v>
      </c>
      <c r="K2072" s="126">
        <v>2000</v>
      </c>
      <c r="L2072" s="127" t="s">
        <v>568</v>
      </c>
      <c r="M2072" s="125">
        <v>40956</v>
      </c>
      <c r="N2072" s="129" t="str">
        <f t="shared" ref="N2072:N2081" si="1558">IF(M2072&gt;1/1/1,"Y","N")</f>
        <v>Y</v>
      </c>
      <c r="O2072" s="128" t="s">
        <v>76</v>
      </c>
      <c r="P2072" s="129" t="s">
        <v>589</v>
      </c>
      <c r="Q2072" s="111">
        <f t="shared" si="1528"/>
        <v>39</v>
      </c>
      <c r="R2072" s="111">
        <f t="shared" si="1556"/>
        <v>39</v>
      </c>
      <c r="S2072" s="129">
        <v>0</v>
      </c>
      <c r="T2072" s="129">
        <v>4</v>
      </c>
      <c r="W2072" s="111"/>
      <c r="AC2072" s="130"/>
      <c r="AD2072" s="130">
        <v>33178</v>
      </c>
      <c r="AE2072" s="128" t="s">
        <v>32</v>
      </c>
      <c r="AF2072" s="128" t="s">
        <v>69</v>
      </c>
      <c r="AG2072" s="128" t="s">
        <v>874</v>
      </c>
      <c r="AH2072" s="108" t="s">
        <v>31</v>
      </c>
      <c r="AI2072" s="128" t="s">
        <v>71</v>
      </c>
      <c r="AJ2072" s="129" t="s">
        <v>48</v>
      </c>
      <c r="AK2072" s="129">
        <v>4</v>
      </c>
      <c r="AL2072" s="3" t="s">
        <v>48</v>
      </c>
      <c r="AP2072" s="129" t="s">
        <v>93</v>
      </c>
      <c r="AR2072" s="128" t="s">
        <v>67</v>
      </c>
      <c r="AS2072" s="129" t="s">
        <v>45</v>
      </c>
      <c r="BC2072" s="129" t="s">
        <v>52</v>
      </c>
      <c r="BF2072" s="111">
        <f t="shared" si="1554"/>
        <v>39</v>
      </c>
      <c r="BG2072" s="111">
        <f t="shared" si="1527"/>
        <v>39</v>
      </c>
      <c r="BH2072" s="111">
        <f t="shared" si="1530"/>
        <v>39</v>
      </c>
      <c r="BI2072" s="111">
        <f t="shared" si="1531"/>
        <v>21.147540983606557</v>
      </c>
      <c r="BJ2072" s="129">
        <f>G2072-J2072</f>
        <v>0</v>
      </c>
      <c r="BK2072" s="129">
        <f t="shared" si="1532"/>
        <v>0</v>
      </c>
      <c r="BL2072" s="129" t="str">
        <f t="shared" si="1557"/>
        <v>DEFERRED</v>
      </c>
      <c r="BM2072" s="129" t="s">
        <v>76</v>
      </c>
      <c r="BN2072" s="129" t="s">
        <v>88</v>
      </c>
      <c r="BP2072" s="137" t="str">
        <f t="shared" si="1539"/>
        <v>DEFERRED</v>
      </c>
      <c r="BQ2072" s="128" t="str">
        <f t="shared" si="1540"/>
        <v>Y</v>
      </c>
      <c r="BR2072" s="129" t="str">
        <f t="shared" si="1541"/>
        <v>ON BOND</v>
      </c>
      <c r="BS2072" s="129" t="str">
        <f t="shared" si="1542"/>
        <v>DISPOSED</v>
      </c>
      <c r="BT2072" s="129" t="str">
        <f t="shared" si="1543"/>
        <v>N</v>
      </c>
      <c r="BU2072" s="109">
        <f t="shared" si="1544"/>
        <v>1</v>
      </c>
      <c r="BV2072" s="109">
        <f t="shared" si="1545"/>
        <v>1</v>
      </c>
      <c r="BW2072" s="109">
        <f t="shared" si="1519"/>
        <v>0</v>
      </c>
      <c r="BX2072" s="111">
        <f t="shared" si="1546"/>
        <v>0</v>
      </c>
      <c r="BY2072" s="129">
        <f t="shared" si="1547"/>
        <v>-39</v>
      </c>
      <c r="BZ2072" s="111">
        <f t="shared" si="1548"/>
        <v>0</v>
      </c>
      <c r="CA2072" s="138">
        <f t="shared" si="1549"/>
        <v>39</v>
      </c>
      <c r="CB2072" s="111" t="e">
        <f t="shared" si="1555"/>
        <v>#VALUE!</v>
      </c>
      <c r="CC2072" s="129">
        <f>M2072-I2072+1</f>
        <v>39</v>
      </c>
      <c r="CD2072" s="111">
        <f>CC2072-BF2072</f>
        <v>0</v>
      </c>
      <c r="CG2072" s="129" t="str">
        <f t="shared" si="1550"/>
        <v>Y</v>
      </c>
      <c r="CI2072" s="129" t="str">
        <f t="shared" si="1551"/>
        <v>31-60 DAYS</v>
      </c>
      <c r="CJ2072" s="137">
        <f t="shared" si="1552"/>
        <v>3</v>
      </c>
      <c r="CK2072" s="129" t="str">
        <f t="shared" si="1553"/>
        <v>Booked</v>
      </c>
    </row>
    <row r="2073" spans="1:89" ht="15" customHeight="1" x14ac:dyDescent="0.25">
      <c r="A2073" s="111">
        <v>2831</v>
      </c>
      <c r="B2073" s="128" t="str">
        <f t="shared" si="1534"/>
        <v>N</v>
      </c>
      <c r="C2073" s="128" t="str">
        <f t="shared" si="1535"/>
        <v>N</v>
      </c>
      <c r="D2073" s="117">
        <v>2407553</v>
      </c>
      <c r="E2073" s="135">
        <f t="shared" si="1536"/>
        <v>5</v>
      </c>
      <c r="F2073" s="124">
        <v>41013</v>
      </c>
      <c r="G2073" s="125">
        <v>41128</v>
      </c>
      <c r="H2073" s="117">
        <v>2407553</v>
      </c>
      <c r="I2073" s="124">
        <v>41013</v>
      </c>
      <c r="J2073" s="124">
        <v>41014</v>
      </c>
      <c r="K2073" s="126">
        <v>5000</v>
      </c>
      <c r="L2073" s="127" t="s">
        <v>569</v>
      </c>
      <c r="M2073" s="125">
        <v>41014</v>
      </c>
      <c r="N2073" s="129" t="str">
        <f t="shared" si="1558"/>
        <v>Y</v>
      </c>
      <c r="O2073" s="128" t="s">
        <v>76</v>
      </c>
      <c r="P2073" s="129" t="s">
        <v>39</v>
      </c>
      <c r="Q2073" s="111">
        <f t="shared" si="1528"/>
        <v>2</v>
      </c>
      <c r="R2073" s="111">
        <f t="shared" si="1556"/>
        <v>116</v>
      </c>
      <c r="S2073" s="129">
        <v>0</v>
      </c>
      <c r="T2073" s="129">
        <v>2</v>
      </c>
      <c r="W2073" s="111"/>
      <c r="AC2073" s="130"/>
      <c r="AD2073" s="130">
        <v>33120</v>
      </c>
      <c r="AE2073" s="128" t="s">
        <v>32</v>
      </c>
      <c r="AF2073" s="128" t="s">
        <v>33</v>
      </c>
      <c r="AG2073" s="128" t="s">
        <v>872</v>
      </c>
      <c r="AH2073" s="108" t="s">
        <v>31</v>
      </c>
      <c r="AI2073" s="128" t="s">
        <v>42</v>
      </c>
      <c r="AJ2073" s="129" t="s">
        <v>89</v>
      </c>
      <c r="AK2073" s="129">
        <v>6</v>
      </c>
      <c r="AL2073" s="3" t="s">
        <v>992</v>
      </c>
      <c r="AN2073" s="117">
        <v>6</v>
      </c>
      <c r="AP2073" s="129" t="s">
        <v>43</v>
      </c>
      <c r="AR2073" s="128" t="s">
        <v>44</v>
      </c>
      <c r="AS2073" s="129" t="s">
        <v>45</v>
      </c>
      <c r="BC2073" s="129" t="s">
        <v>52</v>
      </c>
      <c r="BF2073" s="111">
        <f t="shared" si="1554"/>
        <v>2</v>
      </c>
      <c r="BG2073" s="111">
        <f t="shared" si="1527"/>
        <v>116</v>
      </c>
      <c r="BH2073" s="111">
        <f t="shared" si="1530"/>
        <v>116</v>
      </c>
      <c r="BI2073" s="111">
        <f t="shared" si="1531"/>
        <v>21.565573770491802</v>
      </c>
      <c r="BJ2073" s="129">
        <f>(G2073-J2073)+(M2073-G2073)</f>
        <v>0</v>
      </c>
      <c r="BK2073" s="129">
        <f t="shared" si="1532"/>
        <v>-114</v>
      </c>
      <c r="BL2073" s="129" t="str">
        <f t="shared" si="1557"/>
        <v>CONVICTION</v>
      </c>
      <c r="BM2073" s="129" t="s">
        <v>76</v>
      </c>
      <c r="BN2073" s="129" t="s">
        <v>88</v>
      </c>
      <c r="BP2073" s="137" t="str">
        <f t="shared" si="1539"/>
        <v>CONVICTION</v>
      </c>
      <c r="BQ2073" s="128" t="str">
        <f t="shared" si="1540"/>
        <v>Y</v>
      </c>
      <c r="BR2073" s="129" t="str">
        <f>IF(J2073&lt;G2073,"ON BOND",0)</f>
        <v>ON BOND</v>
      </c>
      <c r="BS2073" s="129" t="str">
        <f t="shared" si="1542"/>
        <v>DISPOSED</v>
      </c>
      <c r="BT2073" s="129" t="str">
        <f t="shared" si="1543"/>
        <v>N</v>
      </c>
      <c r="BU2073" s="109">
        <f t="shared" si="1544"/>
        <v>1.7241379310344827E-2</v>
      </c>
      <c r="BV2073" s="109">
        <f t="shared" si="1545"/>
        <v>1.7241379310344827E-2</v>
      </c>
      <c r="BW2073" s="109">
        <f t="shared" si="1519"/>
        <v>0</v>
      </c>
      <c r="BX2073" s="111">
        <f t="shared" si="1546"/>
        <v>0</v>
      </c>
      <c r="BY2073" s="129">
        <f t="shared" si="1547"/>
        <v>-2</v>
      </c>
      <c r="BZ2073" s="111">
        <f t="shared" si="1548"/>
        <v>0</v>
      </c>
      <c r="CA2073" s="138">
        <f t="shared" si="1549"/>
        <v>2</v>
      </c>
      <c r="CB2073" s="111" t="e">
        <f t="shared" si="1555"/>
        <v>#VALUE!</v>
      </c>
      <c r="CC2073" s="129">
        <f>M2073-I2073+1</f>
        <v>2</v>
      </c>
      <c r="CD2073" s="111">
        <f>CC2073-BF2073</f>
        <v>0</v>
      </c>
      <c r="CG2073" s="129" t="str">
        <f t="shared" si="1550"/>
        <v>Y</v>
      </c>
      <c r="CI2073" s="129" t="str">
        <f t="shared" si="1551"/>
        <v>0-10 DAYS</v>
      </c>
      <c r="CJ2073" s="137">
        <f t="shared" si="1552"/>
        <v>1</v>
      </c>
      <c r="CK2073" s="129" t="str">
        <f t="shared" si="1553"/>
        <v>Booked</v>
      </c>
    </row>
    <row r="2074" spans="1:89" ht="15.75" customHeight="1" x14ac:dyDescent="0.25">
      <c r="A2074" s="111">
        <v>99</v>
      </c>
      <c r="B2074" s="128" t="str">
        <f t="shared" si="1534"/>
        <v>N</v>
      </c>
      <c r="C2074" s="128" t="str">
        <f t="shared" si="1535"/>
        <v>N</v>
      </c>
      <c r="D2074" s="117">
        <v>2408271</v>
      </c>
      <c r="E2074" s="135">
        <f t="shared" si="1536"/>
        <v>5</v>
      </c>
      <c r="F2074" s="124">
        <v>40913</v>
      </c>
      <c r="G2074" s="125">
        <v>40917</v>
      </c>
      <c r="H2074" s="117">
        <v>2408271</v>
      </c>
      <c r="I2074" s="124">
        <v>40914</v>
      </c>
      <c r="J2074" s="124">
        <v>40917</v>
      </c>
      <c r="K2074" s="126">
        <v>10000</v>
      </c>
      <c r="L2074" s="127" t="s">
        <v>570</v>
      </c>
      <c r="N2074" s="129" t="str">
        <f t="shared" si="1558"/>
        <v>N</v>
      </c>
      <c r="O2074" s="128" t="s">
        <v>917</v>
      </c>
      <c r="P2074" s="129" t="s">
        <v>77</v>
      </c>
      <c r="Q2074" s="111">
        <f t="shared" si="1528"/>
        <v>4</v>
      </c>
      <c r="R2074" s="111">
        <f t="shared" si="1556"/>
        <v>5</v>
      </c>
      <c r="S2074" s="129">
        <v>1</v>
      </c>
      <c r="T2074" s="129">
        <v>0</v>
      </c>
      <c r="W2074" s="111"/>
      <c r="AC2074" s="130"/>
      <c r="AD2074" s="130">
        <v>32450</v>
      </c>
      <c r="AE2074" s="128" t="s">
        <v>32</v>
      </c>
      <c r="AF2074" s="128" t="s">
        <v>69</v>
      </c>
      <c r="AG2074" s="128" t="s">
        <v>874</v>
      </c>
      <c r="AH2074" s="108" t="s">
        <v>31</v>
      </c>
      <c r="AI2074" s="128" t="s">
        <v>42</v>
      </c>
      <c r="AJ2074" s="129" t="s">
        <v>89</v>
      </c>
      <c r="AK2074" s="129">
        <v>1</v>
      </c>
      <c r="AL2074" s="3" t="s">
        <v>992</v>
      </c>
      <c r="AN2074" s="117">
        <v>10</v>
      </c>
      <c r="AP2074" s="129" t="s">
        <v>43</v>
      </c>
      <c r="AR2074" s="128" t="s">
        <v>44</v>
      </c>
      <c r="AS2074" s="129" t="s">
        <v>45</v>
      </c>
      <c r="BC2074" s="129" t="s">
        <v>38</v>
      </c>
      <c r="BF2074" s="111">
        <f t="shared" si="1554"/>
        <v>4</v>
      </c>
      <c r="BG2074" s="111">
        <f t="shared" si="1527"/>
        <v>4</v>
      </c>
      <c r="BH2074" s="111">
        <f t="shared" si="1530"/>
        <v>5</v>
      </c>
      <c r="BI2074" s="111">
        <f t="shared" si="1531"/>
        <v>23.122950819672131</v>
      </c>
      <c r="BJ2074" s="129">
        <f t="shared" si="1537"/>
        <v>0</v>
      </c>
      <c r="BK2074" s="129">
        <f t="shared" si="1532"/>
        <v>0</v>
      </c>
      <c r="BL2074" s="129" t="str">
        <f t="shared" si="1557"/>
        <v>CONVICTION</v>
      </c>
      <c r="BM2074" s="129" t="str">
        <f t="shared" si="1538"/>
        <v>NONE</v>
      </c>
      <c r="BN2074" s="129" t="s">
        <v>566</v>
      </c>
      <c r="BP2074" s="137" t="str">
        <f t="shared" si="1539"/>
        <v>CONVICTION</v>
      </c>
      <c r="BQ2074" s="128" t="str">
        <f t="shared" si="1540"/>
        <v>Y</v>
      </c>
      <c r="BR2074" s="129" t="str">
        <f t="shared" si="1541"/>
        <v>DETAINED</v>
      </c>
      <c r="BS2074" s="129" t="str">
        <f t="shared" si="1542"/>
        <v>DISPOSED</v>
      </c>
      <c r="BT2074" s="129" t="str">
        <f t="shared" si="1543"/>
        <v>Y</v>
      </c>
      <c r="BU2074" s="109">
        <f t="shared" si="1544"/>
        <v>0.8</v>
      </c>
      <c r="BV2074" s="109">
        <f t="shared" si="1545"/>
        <v>1</v>
      </c>
      <c r="BW2074" s="109">
        <f t="shared" si="1519"/>
        <v>0.19999999999999996</v>
      </c>
      <c r="BX2074" s="111">
        <f t="shared" si="1546"/>
        <v>0</v>
      </c>
      <c r="BY2074" s="129">
        <f t="shared" si="1547"/>
        <v>-4</v>
      </c>
      <c r="BZ2074" s="111">
        <f t="shared" si="1548"/>
        <v>0</v>
      </c>
      <c r="CA2074" s="138">
        <f t="shared" si="1549"/>
        <v>4</v>
      </c>
      <c r="CB2074" s="111" t="e">
        <f t="shared" si="1555"/>
        <v>#VALUE!</v>
      </c>
      <c r="CC2074" s="129">
        <f>G2074-I2074+1</f>
        <v>4</v>
      </c>
      <c r="CD2074" s="129">
        <f>G2074-J2074</f>
        <v>0</v>
      </c>
      <c r="CG2074" s="129" t="str">
        <f t="shared" si="1550"/>
        <v>Y</v>
      </c>
      <c r="CI2074" s="129" t="str">
        <f t="shared" si="1551"/>
        <v>0-10 DAYS</v>
      </c>
      <c r="CJ2074" s="137">
        <f t="shared" si="1552"/>
        <v>1</v>
      </c>
      <c r="CK2074" s="129" t="str">
        <f t="shared" si="1553"/>
        <v>Booked</v>
      </c>
    </row>
    <row r="2075" spans="1:89" ht="15" customHeight="1" x14ac:dyDescent="0.25">
      <c r="A2075" s="111">
        <v>317</v>
      </c>
      <c r="B2075" s="128" t="str">
        <f t="shared" si="1534"/>
        <v>N</v>
      </c>
      <c r="C2075" s="128" t="str">
        <f t="shared" si="1535"/>
        <v>N</v>
      </c>
      <c r="D2075" s="117">
        <v>2409699</v>
      </c>
      <c r="E2075" s="135">
        <f t="shared" si="1536"/>
        <v>3</v>
      </c>
      <c r="F2075" s="124">
        <v>40921</v>
      </c>
      <c r="G2075" s="125">
        <v>41354</v>
      </c>
      <c r="H2075" s="117">
        <v>2409699</v>
      </c>
      <c r="I2075" s="124">
        <v>40968</v>
      </c>
      <c r="J2075" s="124">
        <v>40972</v>
      </c>
      <c r="K2075" s="126">
        <v>15000</v>
      </c>
      <c r="L2075" s="127" t="s">
        <v>571</v>
      </c>
      <c r="M2075" s="125">
        <v>40972</v>
      </c>
      <c r="N2075" s="129" t="str">
        <f t="shared" si="1558"/>
        <v>Y</v>
      </c>
      <c r="O2075" s="128" t="s">
        <v>76</v>
      </c>
      <c r="P2075" s="129" t="s">
        <v>39</v>
      </c>
      <c r="Q2075" s="111">
        <f t="shared" si="1528"/>
        <v>5</v>
      </c>
      <c r="R2075" s="111">
        <f t="shared" si="1556"/>
        <v>434</v>
      </c>
      <c r="S2075" s="129">
        <v>2</v>
      </c>
      <c r="T2075" s="129">
        <v>0</v>
      </c>
      <c r="U2075" s="129">
        <v>2</v>
      </c>
      <c r="W2075" s="111"/>
      <c r="AC2075" s="130"/>
      <c r="AD2075" s="130">
        <v>33079</v>
      </c>
      <c r="AE2075" s="128" t="s">
        <v>32</v>
      </c>
      <c r="AF2075" s="128" t="s">
        <v>33</v>
      </c>
      <c r="AG2075" s="128" t="s">
        <v>872</v>
      </c>
      <c r="AH2075" s="108" t="s">
        <v>58</v>
      </c>
      <c r="AI2075" s="128" t="s">
        <v>80</v>
      </c>
      <c r="AJ2075" s="129" t="s">
        <v>89</v>
      </c>
      <c r="AK2075" s="129">
        <v>17</v>
      </c>
      <c r="AL2075" s="3" t="s">
        <v>185</v>
      </c>
      <c r="AP2075" s="129" t="s">
        <v>108</v>
      </c>
      <c r="AR2075" s="128" t="s">
        <v>44</v>
      </c>
      <c r="AS2075" s="129" t="s">
        <v>61</v>
      </c>
      <c r="BC2075" s="129" t="s">
        <v>52</v>
      </c>
      <c r="BF2075" s="111">
        <f t="shared" si="1554"/>
        <v>5</v>
      </c>
      <c r="BG2075" s="111">
        <f t="shared" si="1527"/>
        <v>387</v>
      </c>
      <c r="BH2075" s="111">
        <f t="shared" si="1530"/>
        <v>434</v>
      </c>
      <c r="BI2075" s="111">
        <f t="shared" si="1531"/>
        <v>21.42622950819672</v>
      </c>
      <c r="BJ2075" s="129">
        <f>(G2075-J2075)+(M2075-G2075)</f>
        <v>0</v>
      </c>
      <c r="BK2075" s="129">
        <f t="shared" si="1532"/>
        <v>-382</v>
      </c>
      <c r="BL2075" s="129" t="str">
        <f t="shared" si="1557"/>
        <v>CONVICTION</v>
      </c>
      <c r="BM2075" s="129" t="s">
        <v>76</v>
      </c>
      <c r="BN2075" s="129" t="s">
        <v>88</v>
      </c>
      <c r="BP2075" s="137" t="str">
        <f t="shared" si="1539"/>
        <v>CONVICTION</v>
      </c>
      <c r="BQ2075" s="128" t="str">
        <f t="shared" si="1540"/>
        <v>Y</v>
      </c>
      <c r="BR2075" s="129" t="str">
        <f>IF(J2075&lt;G2075,"ON BOND",0)</f>
        <v>ON BOND</v>
      </c>
      <c r="BS2075" s="129" t="str">
        <f t="shared" si="1542"/>
        <v>DISPOSED</v>
      </c>
      <c r="BT2075" s="129" t="str">
        <f t="shared" si="1543"/>
        <v>Y</v>
      </c>
      <c r="BU2075" s="109">
        <f t="shared" si="1544"/>
        <v>1.1520737327188941E-2</v>
      </c>
      <c r="BV2075" s="109">
        <f t="shared" si="1545"/>
        <v>1.2919896640826873E-2</v>
      </c>
      <c r="BW2075" s="109">
        <f t="shared" si="1519"/>
        <v>1.3991593136379321E-3</v>
      </c>
      <c r="BX2075" s="111">
        <f t="shared" si="1546"/>
        <v>0</v>
      </c>
      <c r="BY2075" s="129">
        <f t="shared" si="1547"/>
        <v>-5</v>
      </c>
      <c r="BZ2075" s="111">
        <f t="shared" si="1548"/>
        <v>0</v>
      </c>
      <c r="CA2075" s="138">
        <f t="shared" si="1549"/>
        <v>5</v>
      </c>
      <c r="CB2075" s="111" t="e">
        <f t="shared" si="1555"/>
        <v>#VALUE!</v>
      </c>
      <c r="CC2075" s="129">
        <f>M2075-I2075+1</f>
        <v>5</v>
      </c>
      <c r="CD2075" s="111">
        <f>CC2075-BF2075</f>
        <v>0</v>
      </c>
      <c r="CG2075" s="129" t="str">
        <f t="shared" si="1550"/>
        <v>Y</v>
      </c>
      <c r="CI2075" s="129" t="str">
        <f t="shared" si="1551"/>
        <v>0-10 DAYS</v>
      </c>
      <c r="CJ2075" s="137">
        <f t="shared" si="1552"/>
        <v>1</v>
      </c>
      <c r="CK2075" s="129" t="str">
        <f t="shared" si="1553"/>
        <v>Booked</v>
      </c>
    </row>
    <row r="2076" spans="1:89" ht="15.75" customHeight="1" x14ac:dyDescent="0.25">
      <c r="A2076" s="111">
        <v>1451</v>
      </c>
      <c r="B2076" s="128" t="str">
        <f t="shared" si="1534"/>
        <v>N</v>
      </c>
      <c r="C2076" s="128" t="str">
        <f t="shared" si="1535"/>
        <v>N</v>
      </c>
      <c r="D2076" s="117">
        <v>2410662</v>
      </c>
      <c r="E2076" s="135">
        <f t="shared" si="1536"/>
        <v>5</v>
      </c>
      <c r="F2076" s="124">
        <v>40962</v>
      </c>
      <c r="G2076" s="125">
        <v>41017</v>
      </c>
      <c r="H2076" s="117">
        <v>2410662</v>
      </c>
      <c r="I2076" s="124">
        <v>40980</v>
      </c>
      <c r="J2076" s="124">
        <v>41017</v>
      </c>
      <c r="K2076" s="126">
        <v>5000</v>
      </c>
      <c r="L2076" s="127" t="s">
        <v>569</v>
      </c>
      <c r="N2076" s="129" t="str">
        <f t="shared" si="1558"/>
        <v>N</v>
      </c>
      <c r="O2076" s="128" t="s">
        <v>917</v>
      </c>
      <c r="P2076" s="129" t="s">
        <v>39</v>
      </c>
      <c r="Q2076" s="111">
        <f t="shared" si="1528"/>
        <v>38</v>
      </c>
      <c r="R2076" s="111">
        <f t="shared" si="1556"/>
        <v>56</v>
      </c>
      <c r="S2076" s="129">
        <v>1</v>
      </c>
      <c r="T2076" s="129">
        <v>3</v>
      </c>
      <c r="W2076" s="111"/>
      <c r="AC2076" s="130"/>
      <c r="AD2076" s="130">
        <v>32000</v>
      </c>
      <c r="AE2076" s="128" t="s">
        <v>32</v>
      </c>
      <c r="AF2076" s="128" t="s">
        <v>69</v>
      </c>
      <c r="AG2076" s="128" t="s">
        <v>874</v>
      </c>
      <c r="AH2076" s="108" t="s">
        <v>58</v>
      </c>
      <c r="AI2076" s="128" t="s">
        <v>87</v>
      </c>
      <c r="AJ2076" s="129" t="s">
        <v>89</v>
      </c>
      <c r="AK2076" s="129">
        <v>4</v>
      </c>
      <c r="AL2076" s="3" t="s">
        <v>992</v>
      </c>
      <c r="AN2076" s="117">
        <v>8</v>
      </c>
      <c r="AP2076" s="129" t="s">
        <v>60</v>
      </c>
      <c r="AR2076" s="128" t="s">
        <v>44</v>
      </c>
      <c r="AS2076" s="129" t="s">
        <v>61</v>
      </c>
      <c r="AT2076" s="129" t="s">
        <v>339</v>
      </c>
      <c r="BC2076" s="129" t="s">
        <v>38</v>
      </c>
      <c r="BF2076" s="111">
        <f t="shared" si="1554"/>
        <v>38</v>
      </c>
      <c r="BG2076" s="111">
        <f t="shared" si="1527"/>
        <v>38</v>
      </c>
      <c r="BH2076" s="111">
        <f t="shared" si="1530"/>
        <v>56</v>
      </c>
      <c r="BI2076" s="111">
        <f t="shared" si="1531"/>
        <v>24.486338797814209</v>
      </c>
      <c r="BJ2076" s="129">
        <f t="shared" si="1537"/>
        <v>0</v>
      </c>
      <c r="BK2076" s="129">
        <f t="shared" si="1532"/>
        <v>0</v>
      </c>
      <c r="BL2076" s="129" t="str">
        <f t="shared" si="1557"/>
        <v>CONVICTION</v>
      </c>
      <c r="BM2076" s="129" t="str">
        <f t="shared" si="1538"/>
        <v>NONE</v>
      </c>
      <c r="BN2076" s="129" t="s">
        <v>566</v>
      </c>
      <c r="BP2076" s="137" t="str">
        <f t="shared" si="1539"/>
        <v>CONVICTION</v>
      </c>
      <c r="BQ2076" s="128" t="str">
        <f t="shared" si="1540"/>
        <v>Y</v>
      </c>
      <c r="BR2076" s="129" t="str">
        <f t="shared" si="1541"/>
        <v>DETAINED</v>
      </c>
      <c r="BS2076" s="129" t="str">
        <f t="shared" si="1542"/>
        <v>DISPOSED</v>
      </c>
      <c r="BT2076" s="129" t="str">
        <f t="shared" si="1543"/>
        <v>Y</v>
      </c>
      <c r="BU2076" s="109">
        <f t="shared" si="1544"/>
        <v>0.6785714285714286</v>
      </c>
      <c r="BV2076" s="109">
        <f t="shared" si="1545"/>
        <v>1</v>
      </c>
      <c r="BW2076" s="109">
        <f t="shared" si="1519"/>
        <v>0.3214285714285714</v>
      </c>
      <c r="BX2076" s="111">
        <f t="shared" si="1546"/>
        <v>0</v>
      </c>
      <c r="BY2076" s="129">
        <f t="shared" si="1547"/>
        <v>-38</v>
      </c>
      <c r="BZ2076" s="111">
        <f t="shared" si="1548"/>
        <v>0</v>
      </c>
      <c r="CA2076" s="138">
        <f t="shared" si="1549"/>
        <v>38</v>
      </c>
      <c r="CB2076" s="111" t="e">
        <f t="shared" si="1555"/>
        <v>#VALUE!</v>
      </c>
      <c r="CC2076" s="129">
        <f>G2076-I2076+1</f>
        <v>38</v>
      </c>
      <c r="CD2076" s="129">
        <f>G2076-J2076</f>
        <v>0</v>
      </c>
      <c r="CG2076" s="129" t="str">
        <f t="shared" si="1550"/>
        <v>Y</v>
      </c>
      <c r="CI2076" s="129" t="str">
        <f t="shared" si="1551"/>
        <v>31-60 DAYS</v>
      </c>
      <c r="CJ2076" s="137">
        <f t="shared" si="1552"/>
        <v>3</v>
      </c>
      <c r="CK2076" s="129" t="str">
        <f t="shared" si="1553"/>
        <v>Booked</v>
      </c>
    </row>
    <row r="2077" spans="1:89" ht="15.75" customHeight="1" x14ac:dyDescent="0.25">
      <c r="A2077" s="111">
        <v>412</v>
      </c>
      <c r="B2077" s="128" t="str">
        <f t="shared" si="1534"/>
        <v>N</v>
      </c>
      <c r="C2077" s="128" t="str">
        <f t="shared" si="1535"/>
        <v>N</v>
      </c>
      <c r="D2077" s="117">
        <v>2411591</v>
      </c>
      <c r="E2077" s="135">
        <f t="shared" si="1536"/>
        <v>6</v>
      </c>
      <c r="F2077" s="124">
        <v>40926</v>
      </c>
      <c r="G2077" s="125">
        <v>40952</v>
      </c>
      <c r="H2077" s="117">
        <v>2411591</v>
      </c>
      <c r="I2077" s="124">
        <v>40926</v>
      </c>
      <c r="J2077" s="124">
        <v>40952</v>
      </c>
      <c r="K2077" s="126">
        <v>5000</v>
      </c>
      <c r="L2077" s="127" t="s">
        <v>569</v>
      </c>
      <c r="N2077" s="129" t="str">
        <f t="shared" si="1558"/>
        <v>N</v>
      </c>
      <c r="O2077" s="128" t="s">
        <v>917</v>
      </c>
      <c r="P2077" s="129" t="s">
        <v>39</v>
      </c>
      <c r="Q2077" s="111">
        <f t="shared" si="1528"/>
        <v>27</v>
      </c>
      <c r="R2077" s="111">
        <f t="shared" si="1556"/>
        <v>27</v>
      </c>
      <c r="S2077" s="129">
        <v>1</v>
      </c>
      <c r="T2077" s="129">
        <v>1</v>
      </c>
      <c r="U2077" s="129">
        <v>2</v>
      </c>
      <c r="W2077" s="111"/>
      <c r="AC2077" s="130"/>
      <c r="AD2077" s="130">
        <v>30336</v>
      </c>
      <c r="AE2077" s="128" t="s">
        <v>32</v>
      </c>
      <c r="AF2077" s="128" t="s">
        <v>33</v>
      </c>
      <c r="AG2077" s="128" t="s">
        <v>872</v>
      </c>
      <c r="AH2077" s="108" t="s">
        <v>58</v>
      </c>
      <c r="AI2077" s="128" t="s">
        <v>59</v>
      </c>
      <c r="AJ2077" s="129" t="s">
        <v>89</v>
      </c>
      <c r="AK2077" s="129">
        <v>2</v>
      </c>
      <c r="AL2077" s="3" t="s">
        <v>362</v>
      </c>
      <c r="AM2077" s="117">
        <v>2</v>
      </c>
      <c r="AP2077" s="129" t="s">
        <v>101</v>
      </c>
      <c r="AR2077" s="128" t="s">
        <v>67</v>
      </c>
      <c r="AS2077" s="129" t="s">
        <v>64</v>
      </c>
      <c r="BC2077" s="129" t="s">
        <v>38</v>
      </c>
      <c r="BF2077" s="111">
        <f t="shared" si="1554"/>
        <v>27</v>
      </c>
      <c r="BG2077" s="111">
        <f t="shared" si="1527"/>
        <v>27</v>
      </c>
      <c r="BH2077" s="111">
        <f t="shared" si="1530"/>
        <v>27</v>
      </c>
      <c r="BI2077" s="111">
        <f t="shared" si="1531"/>
        <v>28.934426229508198</v>
      </c>
      <c r="BJ2077" s="129">
        <f t="shared" si="1537"/>
        <v>0</v>
      </c>
      <c r="BK2077" s="129">
        <f t="shared" si="1532"/>
        <v>0</v>
      </c>
      <c r="BL2077" s="129" t="str">
        <f t="shared" si="1557"/>
        <v>CONVICTION</v>
      </c>
      <c r="BM2077" s="129" t="str">
        <f t="shared" si="1538"/>
        <v>NONE</v>
      </c>
      <c r="BN2077" s="129" t="s">
        <v>566</v>
      </c>
      <c r="BP2077" s="137" t="str">
        <f t="shared" si="1539"/>
        <v>CONVICTION</v>
      </c>
      <c r="BQ2077" s="128" t="str">
        <f t="shared" si="1540"/>
        <v>Y</v>
      </c>
      <c r="BR2077" s="129" t="str">
        <f t="shared" si="1541"/>
        <v>DETAINED</v>
      </c>
      <c r="BS2077" s="129" t="str">
        <f t="shared" si="1542"/>
        <v>DISPOSED</v>
      </c>
      <c r="BT2077" s="129" t="str">
        <f t="shared" si="1543"/>
        <v>Y</v>
      </c>
      <c r="BU2077" s="109">
        <f t="shared" si="1544"/>
        <v>1</v>
      </c>
      <c r="BV2077" s="109">
        <f t="shared" si="1545"/>
        <v>1</v>
      </c>
      <c r="BW2077" s="109">
        <f t="shared" si="1519"/>
        <v>0</v>
      </c>
      <c r="BX2077" s="111">
        <f t="shared" si="1546"/>
        <v>0</v>
      </c>
      <c r="BY2077" s="129">
        <f t="shared" si="1547"/>
        <v>-27</v>
      </c>
      <c r="BZ2077" s="111">
        <f t="shared" si="1548"/>
        <v>0</v>
      </c>
      <c r="CA2077" s="138">
        <f t="shared" si="1549"/>
        <v>27</v>
      </c>
      <c r="CB2077" s="111" t="e">
        <f t="shared" si="1555"/>
        <v>#VALUE!</v>
      </c>
      <c r="CC2077" s="129">
        <f>G2077-I2077+1</f>
        <v>27</v>
      </c>
      <c r="CD2077" s="129">
        <f>G2077-J2077</f>
        <v>0</v>
      </c>
      <c r="CG2077" s="129" t="str">
        <f t="shared" si="1550"/>
        <v>Y</v>
      </c>
      <c r="CI2077" s="129" t="str">
        <f t="shared" si="1551"/>
        <v>11-30 DAYS</v>
      </c>
      <c r="CJ2077" s="137">
        <f t="shared" si="1552"/>
        <v>2</v>
      </c>
      <c r="CK2077" s="129" t="str">
        <f t="shared" si="1553"/>
        <v>Booked</v>
      </c>
    </row>
    <row r="2078" spans="1:89" ht="15" customHeight="1" x14ac:dyDescent="0.25">
      <c r="A2078" s="111">
        <v>1417</v>
      </c>
      <c r="B2078" s="128" t="str">
        <f t="shared" si="1534"/>
        <v>N</v>
      </c>
      <c r="C2078" s="128" t="str">
        <f t="shared" si="1535"/>
        <v>N</v>
      </c>
      <c r="D2078" s="117">
        <v>2411621</v>
      </c>
      <c r="E2078" s="135">
        <f t="shared" si="1536"/>
        <v>3</v>
      </c>
      <c r="F2078" s="124">
        <v>40961</v>
      </c>
      <c r="G2078" s="125">
        <v>41124</v>
      </c>
      <c r="H2078" s="117">
        <v>2411621</v>
      </c>
      <c r="I2078" s="124">
        <v>40961</v>
      </c>
      <c r="J2078" s="124">
        <v>40963</v>
      </c>
      <c r="K2078" s="126">
        <v>10000</v>
      </c>
      <c r="L2078" s="127" t="s">
        <v>570</v>
      </c>
      <c r="M2078" s="125">
        <v>40963</v>
      </c>
      <c r="N2078" s="129" t="str">
        <f t="shared" si="1558"/>
        <v>Y</v>
      </c>
      <c r="O2078" s="128" t="s">
        <v>585</v>
      </c>
      <c r="P2078" s="129" t="s">
        <v>39</v>
      </c>
      <c r="Q2078" s="111">
        <f t="shared" si="1528"/>
        <v>3</v>
      </c>
      <c r="R2078" s="111">
        <f t="shared" si="1556"/>
        <v>164</v>
      </c>
      <c r="S2078" s="129">
        <v>0</v>
      </c>
      <c r="T2078" s="129">
        <v>1</v>
      </c>
      <c r="W2078" s="111"/>
      <c r="AC2078" s="130"/>
      <c r="AD2078" s="130">
        <v>26673</v>
      </c>
      <c r="AE2078" s="128" t="s">
        <v>32</v>
      </c>
      <c r="AF2078" s="128" t="s">
        <v>69</v>
      </c>
      <c r="AG2078" s="128" t="s">
        <v>874</v>
      </c>
      <c r="AH2078" s="108" t="s">
        <v>31</v>
      </c>
      <c r="AI2078" s="128" t="s">
        <v>65</v>
      </c>
      <c r="AJ2078" s="129" t="s">
        <v>89</v>
      </c>
      <c r="AK2078" s="129">
        <v>7</v>
      </c>
      <c r="AL2078" s="3" t="s">
        <v>185</v>
      </c>
      <c r="AP2078" s="129" t="s">
        <v>66</v>
      </c>
      <c r="AR2078" s="128" t="s">
        <v>67</v>
      </c>
      <c r="AS2078" s="129" t="s">
        <v>68</v>
      </c>
      <c r="BC2078" s="129" t="s">
        <v>52</v>
      </c>
      <c r="BF2078" s="111">
        <f t="shared" si="1554"/>
        <v>3</v>
      </c>
      <c r="BG2078" s="111">
        <f t="shared" si="1527"/>
        <v>164</v>
      </c>
      <c r="BH2078" s="111">
        <f t="shared" si="1530"/>
        <v>164</v>
      </c>
      <c r="BI2078" s="111">
        <f t="shared" si="1531"/>
        <v>39.038251366120221</v>
      </c>
      <c r="BJ2078" s="129">
        <f>(G2078-J2078)+(M2078-G2078)</f>
        <v>0</v>
      </c>
      <c r="BK2078" s="129">
        <f t="shared" si="1532"/>
        <v>-161</v>
      </c>
      <c r="BL2078" s="129" t="str">
        <f t="shared" si="1557"/>
        <v>CONVICTION</v>
      </c>
      <c r="BM2078" s="129" t="s">
        <v>76</v>
      </c>
      <c r="BN2078" s="129" t="s">
        <v>88</v>
      </c>
      <c r="BP2078" s="137" t="str">
        <f t="shared" si="1539"/>
        <v>CONVICTION</v>
      </c>
      <c r="BQ2078" s="128" t="str">
        <f t="shared" si="1540"/>
        <v>Y</v>
      </c>
      <c r="BR2078" s="129" t="str">
        <f>IF(J2078&lt;G2078,"ON BOND",0)</f>
        <v>ON BOND</v>
      </c>
      <c r="BS2078" s="129" t="str">
        <f t="shared" si="1542"/>
        <v>DISPOSED</v>
      </c>
      <c r="BT2078" s="129" t="str">
        <f t="shared" si="1543"/>
        <v>N</v>
      </c>
      <c r="BU2078" s="109">
        <f t="shared" si="1544"/>
        <v>1.8292682926829267E-2</v>
      </c>
      <c r="BV2078" s="109">
        <f t="shared" si="1545"/>
        <v>1.8292682926829267E-2</v>
      </c>
      <c r="BW2078" s="109">
        <f t="shared" si="1519"/>
        <v>0</v>
      </c>
      <c r="BX2078" s="111">
        <f t="shared" si="1546"/>
        <v>0</v>
      </c>
      <c r="BY2078" s="129">
        <f t="shared" si="1547"/>
        <v>-3</v>
      </c>
      <c r="BZ2078" s="111">
        <f t="shared" si="1548"/>
        <v>0</v>
      </c>
      <c r="CA2078" s="138">
        <f t="shared" si="1549"/>
        <v>3</v>
      </c>
      <c r="CB2078" s="111" t="e">
        <f t="shared" si="1555"/>
        <v>#VALUE!</v>
      </c>
      <c r="CC2078" s="129">
        <f>M2078-I2078+1</f>
        <v>3</v>
      </c>
      <c r="CD2078" s="111">
        <f>CC2078-BF2078</f>
        <v>0</v>
      </c>
      <c r="CG2078" s="129" t="str">
        <f t="shared" si="1550"/>
        <v>Y</v>
      </c>
      <c r="CI2078" s="129" t="str">
        <f t="shared" si="1551"/>
        <v>0-10 DAYS</v>
      </c>
      <c r="CJ2078" s="137">
        <f t="shared" si="1552"/>
        <v>1</v>
      </c>
      <c r="CK2078" s="129" t="str">
        <f t="shared" si="1553"/>
        <v>Booked</v>
      </c>
    </row>
    <row r="2079" spans="1:89" ht="15" customHeight="1" x14ac:dyDescent="0.25">
      <c r="A2079" s="111">
        <v>1227</v>
      </c>
      <c r="B2079" s="128" t="str">
        <f t="shared" si="1534"/>
        <v>Y</v>
      </c>
      <c r="C2079" s="128" t="str">
        <f t="shared" si="1535"/>
        <v>Y</v>
      </c>
      <c r="D2079" s="117">
        <v>2412176</v>
      </c>
      <c r="E2079" s="135">
        <f t="shared" si="1536"/>
        <v>2</v>
      </c>
      <c r="F2079" s="124">
        <v>40953</v>
      </c>
      <c r="G2079" s="125">
        <v>40980</v>
      </c>
      <c r="H2079" s="117">
        <v>2412176</v>
      </c>
      <c r="I2079" s="124">
        <v>40954</v>
      </c>
      <c r="J2079" s="124">
        <v>40955</v>
      </c>
      <c r="K2079" s="126">
        <v>2000</v>
      </c>
      <c r="L2079" s="127" t="s">
        <v>568</v>
      </c>
      <c r="M2079" s="125">
        <v>40955</v>
      </c>
      <c r="N2079" s="129" t="str">
        <f t="shared" si="1558"/>
        <v>Y</v>
      </c>
      <c r="O2079" s="128" t="s">
        <v>76</v>
      </c>
      <c r="P2079" s="129" t="s">
        <v>589</v>
      </c>
      <c r="Q2079" s="111">
        <v>4</v>
      </c>
      <c r="R2079" s="111">
        <f t="shared" si="1556"/>
        <v>28</v>
      </c>
      <c r="S2079" s="129">
        <v>0</v>
      </c>
      <c r="T2079" s="129">
        <v>2</v>
      </c>
      <c r="W2079" s="111"/>
      <c r="AC2079" s="130"/>
      <c r="AD2079" s="130">
        <v>33321</v>
      </c>
      <c r="AE2079" s="128" t="s">
        <v>32</v>
      </c>
      <c r="AF2079" s="128" t="s">
        <v>69</v>
      </c>
      <c r="AG2079" s="128" t="s">
        <v>874</v>
      </c>
      <c r="AH2079" s="108" t="s">
        <v>31</v>
      </c>
      <c r="AI2079" s="128" t="s">
        <v>65</v>
      </c>
      <c r="AJ2079" s="129" t="s">
        <v>48</v>
      </c>
      <c r="AK2079" s="129">
        <v>4</v>
      </c>
      <c r="AL2079" s="3" t="s">
        <v>48</v>
      </c>
      <c r="AP2079" s="129" t="s">
        <v>43</v>
      </c>
      <c r="AR2079" s="128" t="s">
        <v>44</v>
      </c>
      <c r="AS2079" s="129" t="s">
        <v>45</v>
      </c>
      <c r="AT2079" s="129" t="s">
        <v>620</v>
      </c>
      <c r="AU2079" s="118" t="s">
        <v>821</v>
      </c>
      <c r="AV2079" s="3" t="s">
        <v>88</v>
      </c>
      <c r="AW2079" s="123" t="s">
        <v>717</v>
      </c>
      <c r="AX2079" s="32"/>
      <c r="BA2079" s="125">
        <v>41032</v>
      </c>
      <c r="BB2079" s="129">
        <v>323</v>
      </c>
      <c r="BC2079" s="129" t="s">
        <v>38</v>
      </c>
      <c r="BD2079" s="129" t="s">
        <v>1266</v>
      </c>
      <c r="BF2079" s="111">
        <v>4</v>
      </c>
      <c r="BG2079" s="111">
        <f t="shared" si="1527"/>
        <v>27</v>
      </c>
      <c r="BH2079" s="111">
        <f t="shared" si="1530"/>
        <v>28</v>
      </c>
      <c r="BI2079" s="111">
        <f t="shared" si="1531"/>
        <v>20.852459016393443</v>
      </c>
      <c r="BJ2079" s="129">
        <f>(G2079-J2079)+(M2079-G2079)</f>
        <v>0</v>
      </c>
      <c r="BK2079" s="129">
        <f t="shared" si="1532"/>
        <v>-25</v>
      </c>
      <c r="BL2079" s="129" t="str">
        <f t="shared" si="1557"/>
        <v>DEFERRED</v>
      </c>
      <c r="BM2079" s="129" t="s">
        <v>76</v>
      </c>
      <c r="BN2079" s="129" t="s">
        <v>88</v>
      </c>
      <c r="BP2079" s="137" t="str">
        <f t="shared" si="1539"/>
        <v>DEFERRED</v>
      </c>
      <c r="BQ2079" s="128" t="str">
        <f t="shared" si="1540"/>
        <v>Y</v>
      </c>
      <c r="BR2079" s="129" t="s">
        <v>574</v>
      </c>
      <c r="BS2079" s="129" t="str">
        <f t="shared" si="1542"/>
        <v>DISPOSED</v>
      </c>
      <c r="BT2079" s="129" t="str">
        <f t="shared" si="1543"/>
        <v>N</v>
      </c>
      <c r="BU2079" s="109">
        <f t="shared" si="1544"/>
        <v>0.14285714285714285</v>
      </c>
      <c r="BV2079" s="109">
        <f t="shared" si="1545"/>
        <v>7.407407407407407E-2</v>
      </c>
      <c r="BW2079" s="109">
        <f t="shared" si="1519"/>
        <v>-6.8783068783068779E-2</v>
      </c>
      <c r="BX2079" s="111">
        <f t="shared" si="1546"/>
        <v>0</v>
      </c>
      <c r="BY2079" s="129">
        <f t="shared" si="1547"/>
        <v>-2</v>
      </c>
      <c r="BZ2079" s="111">
        <f t="shared" si="1548"/>
        <v>2</v>
      </c>
      <c r="CA2079" s="138">
        <f t="shared" si="1549"/>
        <v>27</v>
      </c>
      <c r="CB2079" s="111">
        <v>4</v>
      </c>
      <c r="CC2079" s="129">
        <f>G2079-I2079+1</f>
        <v>27</v>
      </c>
      <c r="CD2079" s="129">
        <f>G2079-J2079</f>
        <v>25</v>
      </c>
      <c r="CG2079" s="129" t="str">
        <f t="shared" si="1550"/>
        <v>Y</v>
      </c>
      <c r="CI2079" s="129" t="str">
        <f t="shared" si="1551"/>
        <v>0-10 DAYS</v>
      </c>
      <c r="CJ2079" s="137">
        <f t="shared" si="1552"/>
        <v>1</v>
      </c>
      <c r="CK2079" s="129" t="str">
        <f t="shared" si="1553"/>
        <v>Booked</v>
      </c>
    </row>
    <row r="2080" spans="1:89" ht="15" customHeight="1" x14ac:dyDescent="0.25">
      <c r="A2080" s="111">
        <v>1099</v>
      </c>
      <c r="B2080" s="128" t="str">
        <f t="shared" si="1534"/>
        <v>N</v>
      </c>
      <c r="C2080" s="128" t="str">
        <f t="shared" si="1535"/>
        <v>N</v>
      </c>
      <c r="D2080" s="117">
        <v>2412452</v>
      </c>
      <c r="E2080" s="135">
        <f t="shared" si="1536"/>
        <v>5</v>
      </c>
      <c r="F2080" s="124">
        <v>40948</v>
      </c>
      <c r="G2080" s="125">
        <v>41158</v>
      </c>
      <c r="H2080" s="117">
        <v>2412452</v>
      </c>
      <c r="I2080" s="124">
        <v>40949</v>
      </c>
      <c r="J2080" s="124">
        <v>40954</v>
      </c>
      <c r="K2080" s="126">
        <v>30000</v>
      </c>
      <c r="L2080" s="129" t="s">
        <v>572</v>
      </c>
      <c r="M2080" s="125">
        <v>40954</v>
      </c>
      <c r="N2080" s="129" t="str">
        <f t="shared" si="1558"/>
        <v>Y</v>
      </c>
      <c r="O2080" s="128" t="s">
        <v>76</v>
      </c>
      <c r="P2080" s="129" t="s">
        <v>39</v>
      </c>
      <c r="Q2080" s="111">
        <f t="shared" ref="Q2080:Q2111" si="1559">BF2080</f>
        <v>6</v>
      </c>
      <c r="R2080" s="111">
        <f t="shared" si="1556"/>
        <v>211</v>
      </c>
      <c r="S2080" s="129">
        <v>2</v>
      </c>
      <c r="T2080" s="129">
        <v>0</v>
      </c>
      <c r="U2080" s="129">
        <v>1</v>
      </c>
      <c r="W2080" s="111"/>
      <c r="AC2080" s="130"/>
      <c r="AD2080" s="130">
        <v>31785</v>
      </c>
      <c r="AE2080" s="128" t="s">
        <v>32</v>
      </c>
      <c r="AF2080" s="128" t="s">
        <v>33</v>
      </c>
      <c r="AG2080" s="128" t="s">
        <v>872</v>
      </c>
      <c r="AH2080" s="108" t="s">
        <v>31</v>
      </c>
      <c r="AI2080" s="128" t="s">
        <v>100</v>
      </c>
      <c r="AJ2080" s="129" t="s">
        <v>89</v>
      </c>
      <c r="AK2080" s="129">
        <v>10</v>
      </c>
      <c r="AL2080" s="3" t="s">
        <v>992</v>
      </c>
      <c r="AN2080" s="117">
        <v>10</v>
      </c>
      <c r="AP2080" s="129" t="s">
        <v>104</v>
      </c>
      <c r="AR2080" s="128" t="s">
        <v>44</v>
      </c>
      <c r="AS2080" s="129" t="s">
        <v>64</v>
      </c>
      <c r="BC2080" s="129" t="s">
        <v>52</v>
      </c>
      <c r="BF2080" s="111">
        <f t="shared" si="1554"/>
        <v>6</v>
      </c>
      <c r="BG2080" s="111">
        <f t="shared" si="1527"/>
        <v>210</v>
      </c>
      <c r="BH2080" s="111">
        <f t="shared" si="1530"/>
        <v>211</v>
      </c>
      <c r="BI2080" s="111">
        <f t="shared" si="1531"/>
        <v>25.035519125683059</v>
      </c>
      <c r="BJ2080" s="129">
        <f>(G2080-J2080)+(M2080-G2080)</f>
        <v>0</v>
      </c>
      <c r="BK2080" s="129">
        <f t="shared" si="1532"/>
        <v>-204</v>
      </c>
      <c r="BL2080" s="129" t="str">
        <f t="shared" si="1557"/>
        <v>CONVICTION</v>
      </c>
      <c r="BM2080" s="129" t="s">
        <v>76</v>
      </c>
      <c r="BN2080" s="129" t="s">
        <v>88</v>
      </c>
      <c r="BP2080" s="137" t="str">
        <f t="shared" si="1539"/>
        <v>CONVICTION</v>
      </c>
      <c r="BQ2080" s="128" t="str">
        <f t="shared" si="1540"/>
        <v>Y</v>
      </c>
      <c r="BR2080" s="129" t="str">
        <f>IF(J2080&lt;G2080,"ON BOND",0)</f>
        <v>ON BOND</v>
      </c>
      <c r="BS2080" s="129" t="str">
        <f t="shared" si="1542"/>
        <v>DISPOSED</v>
      </c>
      <c r="BT2080" s="129" t="str">
        <f t="shared" si="1543"/>
        <v>Y</v>
      </c>
      <c r="BU2080" s="109">
        <f t="shared" si="1544"/>
        <v>2.843601895734597E-2</v>
      </c>
      <c r="BV2080" s="109">
        <f t="shared" si="1545"/>
        <v>2.8571428571428571E-2</v>
      </c>
      <c r="BW2080" s="109">
        <f t="shared" si="1519"/>
        <v>1.3540961408260027E-4</v>
      </c>
      <c r="BX2080" s="111">
        <f t="shared" si="1546"/>
        <v>0</v>
      </c>
      <c r="BY2080" s="129">
        <f t="shared" si="1547"/>
        <v>-6</v>
      </c>
      <c r="BZ2080" s="111">
        <f t="shared" si="1548"/>
        <v>0</v>
      </c>
      <c r="CA2080" s="138">
        <f t="shared" si="1549"/>
        <v>6</v>
      </c>
      <c r="CB2080" s="111" t="e">
        <f t="shared" si="1555"/>
        <v>#VALUE!</v>
      </c>
      <c r="CC2080" s="129">
        <f>M2080-I2080+1</f>
        <v>6</v>
      </c>
      <c r="CD2080" s="111">
        <f>CC2080-BF2080</f>
        <v>0</v>
      </c>
      <c r="CG2080" s="129" t="str">
        <f t="shared" si="1550"/>
        <v>Y</v>
      </c>
      <c r="CI2080" s="129" t="str">
        <f t="shared" si="1551"/>
        <v>0-10 DAYS</v>
      </c>
      <c r="CJ2080" s="137">
        <f t="shared" si="1552"/>
        <v>1</v>
      </c>
      <c r="CK2080" s="129" t="str">
        <f t="shared" si="1553"/>
        <v>Booked</v>
      </c>
    </row>
    <row r="2081" spans="1:89" ht="15.75" customHeight="1" x14ac:dyDescent="0.25">
      <c r="A2081" s="111">
        <v>1656</v>
      </c>
      <c r="B2081" s="128" t="str">
        <f t="shared" si="1534"/>
        <v>N</v>
      </c>
      <c r="C2081" s="128" t="str">
        <f t="shared" si="1535"/>
        <v>N</v>
      </c>
      <c r="D2081" s="117">
        <v>2412792</v>
      </c>
      <c r="E2081" s="135">
        <f t="shared" si="1536"/>
        <v>6</v>
      </c>
      <c r="F2081" s="124">
        <v>40970</v>
      </c>
      <c r="G2081" s="125">
        <v>41127</v>
      </c>
      <c r="H2081" s="117">
        <v>2412792</v>
      </c>
      <c r="I2081" s="124">
        <v>40970</v>
      </c>
      <c r="J2081" s="124">
        <v>40971</v>
      </c>
      <c r="K2081" s="126">
        <v>20000</v>
      </c>
      <c r="L2081" s="127" t="s">
        <v>571</v>
      </c>
      <c r="M2081" s="124">
        <v>40971</v>
      </c>
      <c r="N2081" s="129" t="str">
        <f t="shared" si="1558"/>
        <v>Y</v>
      </c>
      <c r="O2081" s="128" t="s">
        <v>76</v>
      </c>
      <c r="P2081" s="129" t="s">
        <v>39</v>
      </c>
      <c r="Q2081" s="111">
        <f t="shared" si="1559"/>
        <v>2</v>
      </c>
      <c r="R2081" s="111">
        <f t="shared" si="1556"/>
        <v>158</v>
      </c>
      <c r="S2081" s="129">
        <v>1</v>
      </c>
      <c r="T2081" s="129">
        <v>0</v>
      </c>
      <c r="U2081" s="129">
        <v>1</v>
      </c>
      <c r="W2081" s="111"/>
      <c r="AC2081" s="130"/>
      <c r="AD2081" s="130">
        <v>33077</v>
      </c>
      <c r="AE2081" s="128" t="s">
        <v>32</v>
      </c>
      <c r="AF2081" s="128" t="s">
        <v>33</v>
      </c>
      <c r="AG2081" s="128" t="s">
        <v>872</v>
      </c>
      <c r="AH2081" s="108" t="s">
        <v>31</v>
      </c>
      <c r="AI2081" s="128" t="s">
        <v>83</v>
      </c>
      <c r="AJ2081" s="129" t="s">
        <v>89</v>
      </c>
      <c r="AK2081" s="129">
        <v>6</v>
      </c>
      <c r="AL2081" s="3" t="s">
        <v>362</v>
      </c>
      <c r="AM2081" s="117">
        <v>2</v>
      </c>
      <c r="AP2081" s="129" t="s">
        <v>49</v>
      </c>
      <c r="AR2081" s="128" t="s">
        <v>50</v>
      </c>
      <c r="AS2081" s="129" t="s">
        <v>45</v>
      </c>
      <c r="AT2081" s="129" t="s">
        <v>1187</v>
      </c>
      <c r="BC2081" s="129" t="s">
        <v>52</v>
      </c>
      <c r="BF2081" s="111">
        <f t="shared" si="1554"/>
        <v>2</v>
      </c>
      <c r="BG2081" s="111">
        <f t="shared" si="1527"/>
        <v>158</v>
      </c>
      <c r="BH2081" s="111">
        <f t="shared" si="1530"/>
        <v>158</v>
      </c>
      <c r="BI2081" s="111">
        <f t="shared" si="1531"/>
        <v>21.565573770491802</v>
      </c>
      <c r="BJ2081" s="129">
        <f>(G2081-J2081)+(M2081-G2081)</f>
        <v>0</v>
      </c>
      <c r="BK2081" s="129">
        <f t="shared" si="1532"/>
        <v>-156</v>
      </c>
      <c r="BL2081" s="129" t="str">
        <f t="shared" si="1557"/>
        <v>CONVICTION</v>
      </c>
      <c r="BM2081" s="129" t="s">
        <v>76</v>
      </c>
      <c r="BN2081" s="129" t="s">
        <v>566</v>
      </c>
      <c r="BP2081" s="137" t="str">
        <f t="shared" si="1539"/>
        <v>CONVICTION</v>
      </c>
      <c r="BQ2081" s="128" t="str">
        <f t="shared" si="1540"/>
        <v>Y</v>
      </c>
      <c r="BR2081" s="129" t="s">
        <v>575</v>
      </c>
      <c r="BS2081" s="129" t="str">
        <f t="shared" si="1542"/>
        <v>DISPOSED</v>
      </c>
      <c r="BT2081" s="129" t="str">
        <f t="shared" si="1543"/>
        <v>Y</v>
      </c>
      <c r="BU2081" s="109">
        <f t="shared" si="1544"/>
        <v>1.2658227848101266E-2</v>
      </c>
      <c r="BV2081" s="109">
        <f t="shared" si="1545"/>
        <v>1.2658227848101266E-2</v>
      </c>
      <c r="BW2081" s="109">
        <f t="shared" si="1519"/>
        <v>0</v>
      </c>
      <c r="BX2081" s="111">
        <f t="shared" si="1546"/>
        <v>0</v>
      </c>
      <c r="BY2081" s="129">
        <f t="shared" si="1547"/>
        <v>-2</v>
      </c>
      <c r="BZ2081" s="111">
        <f t="shared" si="1548"/>
        <v>0</v>
      </c>
      <c r="CA2081" s="138">
        <f t="shared" si="1549"/>
        <v>2</v>
      </c>
      <c r="CB2081" s="111" t="e">
        <f t="shared" si="1555"/>
        <v>#VALUE!</v>
      </c>
      <c r="CC2081" s="129">
        <f>G2081-I2081+1</f>
        <v>158</v>
      </c>
      <c r="CD2081" s="129">
        <f>G2081-J2081</f>
        <v>156</v>
      </c>
      <c r="CE2081" s="129" t="s">
        <v>1325</v>
      </c>
      <c r="CG2081" s="129" t="str">
        <f t="shared" si="1550"/>
        <v>Y</v>
      </c>
      <c r="CI2081" s="129" t="str">
        <f t="shared" si="1551"/>
        <v>0-10 DAYS</v>
      </c>
      <c r="CJ2081" s="137">
        <f t="shared" si="1552"/>
        <v>1</v>
      </c>
      <c r="CK2081" s="129" t="str">
        <f t="shared" si="1553"/>
        <v>Booked</v>
      </c>
    </row>
    <row r="2082" spans="1:89" ht="15" customHeight="1" x14ac:dyDescent="0.25">
      <c r="A2082" s="111">
        <v>835</v>
      </c>
      <c r="B2082" s="128" t="str">
        <f t="shared" si="1534"/>
        <v>N</v>
      </c>
      <c r="C2082" s="128" t="str">
        <f t="shared" si="1535"/>
        <v>N</v>
      </c>
      <c r="D2082" s="117">
        <v>2412835</v>
      </c>
      <c r="E2082" s="135">
        <f t="shared" si="1536"/>
        <v>2</v>
      </c>
      <c r="F2082" s="124">
        <v>40940</v>
      </c>
      <c r="G2082" s="125">
        <v>41309</v>
      </c>
      <c r="H2082" s="117">
        <v>2412835</v>
      </c>
      <c r="I2082" s="124" t="s">
        <v>562</v>
      </c>
      <c r="J2082" s="124" t="s">
        <v>562</v>
      </c>
      <c r="K2082" s="126">
        <v>2000</v>
      </c>
      <c r="L2082" s="127" t="s">
        <v>568</v>
      </c>
      <c r="M2082" s="125">
        <v>41062</v>
      </c>
      <c r="N2082" s="129" t="str">
        <f>IF(M2082&gt;1/1/1,"Y",IF(Q2082="0","","N"))</f>
        <v>Y</v>
      </c>
      <c r="O2082" s="128" t="s">
        <v>76</v>
      </c>
      <c r="P2082" s="129" t="s">
        <v>589</v>
      </c>
      <c r="Q2082" s="111">
        <f t="shared" si="1559"/>
        <v>0</v>
      </c>
      <c r="R2082" s="111">
        <f t="shared" si="1556"/>
        <v>370</v>
      </c>
      <c r="S2082" s="129">
        <v>0</v>
      </c>
      <c r="T2082" s="129">
        <v>0</v>
      </c>
      <c r="W2082" s="111"/>
      <c r="AC2082" s="130"/>
      <c r="AD2082" s="130">
        <v>32734</v>
      </c>
      <c r="AE2082" s="128" t="s">
        <v>46</v>
      </c>
      <c r="AF2082" s="128" t="s">
        <v>33</v>
      </c>
      <c r="AG2082" s="128" t="s">
        <v>872</v>
      </c>
      <c r="AH2082" s="108" t="s">
        <v>31</v>
      </c>
      <c r="AI2082" s="128" t="s">
        <v>47</v>
      </c>
      <c r="AJ2082" s="129" t="s">
        <v>48</v>
      </c>
      <c r="AK2082" s="129">
        <v>10</v>
      </c>
      <c r="AL2082" s="3" t="s">
        <v>48</v>
      </c>
      <c r="AP2082" s="129" t="s">
        <v>63</v>
      </c>
      <c r="AR2082" s="128" t="s">
        <v>44</v>
      </c>
      <c r="AS2082" s="129" t="s">
        <v>64</v>
      </c>
      <c r="BC2082" s="129" t="s">
        <v>38</v>
      </c>
      <c r="BF2082" s="111">
        <v>0</v>
      </c>
      <c r="BG2082" s="111">
        <v>0</v>
      </c>
      <c r="BH2082" s="111">
        <f t="shared" si="1530"/>
        <v>370</v>
      </c>
      <c r="BI2082" s="111">
        <f t="shared" si="1531"/>
        <v>22.420765027322403</v>
      </c>
      <c r="BJ2082" s="129" t="e">
        <f>(G2082-J2082)+(M2082-G2082)</f>
        <v>#VALUE!</v>
      </c>
      <c r="BK2082" s="129" t="e">
        <f t="shared" si="1532"/>
        <v>#VALUE!</v>
      </c>
      <c r="BL2082" s="129" t="str">
        <f t="shared" si="1557"/>
        <v>DEFERRED</v>
      </c>
      <c r="BM2082" s="129" t="s">
        <v>76</v>
      </c>
      <c r="BN2082" s="129" t="s">
        <v>88</v>
      </c>
      <c r="BP2082" s="137" t="str">
        <f t="shared" si="1539"/>
        <v>DEFERRED</v>
      </c>
      <c r="BQ2082" s="128">
        <f t="shared" si="1540"/>
        <v>0</v>
      </c>
      <c r="BR2082" s="129" t="s">
        <v>575</v>
      </c>
      <c r="BS2082" s="129" t="str">
        <f t="shared" si="1542"/>
        <v>DISPOSED</v>
      </c>
      <c r="BT2082" s="129" t="str">
        <f t="shared" si="1543"/>
        <v>N</v>
      </c>
      <c r="BU2082" s="109">
        <f t="shared" si="1544"/>
        <v>0</v>
      </c>
      <c r="BV2082" s="109">
        <v>0</v>
      </c>
      <c r="BW2082" s="109">
        <f t="shared" si="1519"/>
        <v>0</v>
      </c>
      <c r="BX2082" s="111">
        <f t="shared" si="1546"/>
        <v>0</v>
      </c>
      <c r="BY2082" s="129" t="e">
        <f t="shared" si="1547"/>
        <v>#VALUE!</v>
      </c>
      <c r="BZ2082" s="111" t="e">
        <f t="shared" si="1548"/>
        <v>#VALUE!</v>
      </c>
      <c r="CA2082" s="138" t="e">
        <f t="shared" si="1549"/>
        <v>#VALUE!</v>
      </c>
      <c r="CB2082" s="111">
        <v>0</v>
      </c>
      <c r="CC2082" s="129">
        <v>0</v>
      </c>
      <c r="CD2082" s="111">
        <f>CC2082-BF2082</f>
        <v>0</v>
      </c>
      <c r="CG2082" s="129" t="str">
        <f t="shared" si="1550"/>
        <v>N</v>
      </c>
      <c r="CI2082" s="129" t="str">
        <f t="shared" si="1551"/>
        <v>0-10 DAYS</v>
      </c>
      <c r="CJ2082" s="137">
        <f t="shared" si="1552"/>
        <v>1</v>
      </c>
      <c r="CK2082" s="129" t="str">
        <f t="shared" si="1553"/>
        <v>Not Booked</v>
      </c>
    </row>
    <row r="2083" spans="1:89" ht="15" customHeight="1" x14ac:dyDescent="0.25">
      <c r="A2083" s="111">
        <v>599</v>
      </c>
      <c r="B2083" s="128" t="str">
        <f t="shared" si="1534"/>
        <v>N</v>
      </c>
      <c r="C2083" s="128" t="str">
        <f t="shared" si="1535"/>
        <v>N</v>
      </c>
      <c r="D2083" s="117">
        <v>2413011</v>
      </c>
      <c r="E2083" s="135">
        <f t="shared" si="1536"/>
        <v>6</v>
      </c>
      <c r="F2083" s="124">
        <v>40932</v>
      </c>
      <c r="G2083" s="125">
        <v>40961</v>
      </c>
      <c r="H2083" s="117">
        <v>2413011</v>
      </c>
      <c r="I2083" s="124">
        <v>40932</v>
      </c>
      <c r="J2083" s="124">
        <v>40961</v>
      </c>
      <c r="K2083" s="126">
        <v>20000</v>
      </c>
      <c r="L2083" s="127" t="s">
        <v>571</v>
      </c>
      <c r="N2083" s="129" t="str">
        <f>IF(M2083&gt;1/1/1,"Y","N")</f>
        <v>N</v>
      </c>
      <c r="O2083" s="128" t="s">
        <v>917</v>
      </c>
      <c r="P2083" s="129" t="s">
        <v>39</v>
      </c>
      <c r="Q2083" s="111">
        <f t="shared" si="1559"/>
        <v>30</v>
      </c>
      <c r="R2083" s="111">
        <f t="shared" si="1556"/>
        <v>30</v>
      </c>
      <c r="S2083" s="129">
        <v>1</v>
      </c>
      <c r="T2083" s="129">
        <v>1</v>
      </c>
      <c r="U2083" s="129">
        <v>1</v>
      </c>
      <c r="W2083" s="111"/>
      <c r="AC2083" s="130"/>
      <c r="AD2083" s="130">
        <v>33657</v>
      </c>
      <c r="AE2083" s="128" t="s">
        <v>32</v>
      </c>
      <c r="AF2083" s="128" t="s">
        <v>33</v>
      </c>
      <c r="AG2083" s="128" t="s">
        <v>872</v>
      </c>
      <c r="AH2083" s="108" t="s">
        <v>58</v>
      </c>
      <c r="AI2083" s="128" t="s">
        <v>95</v>
      </c>
      <c r="AJ2083" s="129" t="s">
        <v>89</v>
      </c>
      <c r="AK2083" s="129">
        <v>2</v>
      </c>
      <c r="AL2083" s="3" t="s">
        <v>362</v>
      </c>
      <c r="AM2083" s="117">
        <v>3</v>
      </c>
      <c r="AP2083" s="129" t="s">
        <v>56</v>
      </c>
      <c r="AR2083" s="128" t="s">
        <v>50</v>
      </c>
      <c r="AS2083" s="129" t="s">
        <v>57</v>
      </c>
      <c r="BC2083" s="129" t="s">
        <v>38</v>
      </c>
      <c r="BF2083" s="111">
        <f>IF(J2083&gt;1/1/1900,((J2083+1)-I2083),"STILL OPEN")</f>
        <v>30</v>
      </c>
      <c r="BG2083" s="111">
        <f>IF(G2083&gt;1/1/1900,((G2083+1)-I2083),"STILL OPEN")</f>
        <v>30</v>
      </c>
      <c r="BH2083" s="111">
        <f t="shared" si="1530"/>
        <v>30</v>
      </c>
      <c r="BI2083" s="111">
        <f t="shared" si="1531"/>
        <v>19.877049180327869</v>
      </c>
      <c r="BJ2083" s="129">
        <f t="shared" si="1537"/>
        <v>0</v>
      </c>
      <c r="BK2083" s="129">
        <f t="shared" si="1532"/>
        <v>0</v>
      </c>
      <c r="BL2083" s="129" t="str">
        <f t="shared" si="1557"/>
        <v>CONVICTION</v>
      </c>
      <c r="BM2083" s="129" t="str">
        <f t="shared" si="1538"/>
        <v>NONE</v>
      </c>
      <c r="BN2083" s="129" t="s">
        <v>566</v>
      </c>
      <c r="BP2083" s="137" t="str">
        <f t="shared" si="1539"/>
        <v>CONVICTION</v>
      </c>
      <c r="BQ2083" s="128" t="str">
        <f t="shared" si="1540"/>
        <v>Y</v>
      </c>
      <c r="BR2083" s="129" t="str">
        <f t="shared" si="1541"/>
        <v>DETAINED</v>
      </c>
      <c r="BS2083" s="129" t="str">
        <f t="shared" si="1542"/>
        <v>DISPOSED</v>
      </c>
      <c r="BT2083" s="129" t="str">
        <f t="shared" si="1543"/>
        <v>Y</v>
      </c>
      <c r="BU2083" s="109">
        <f t="shared" si="1544"/>
        <v>1</v>
      </c>
      <c r="BV2083" s="109">
        <f t="shared" si="1545"/>
        <v>1</v>
      </c>
      <c r="BW2083" s="109">
        <f t="shared" si="1519"/>
        <v>0</v>
      </c>
      <c r="BX2083" s="111">
        <f t="shared" si="1546"/>
        <v>0</v>
      </c>
      <c r="BY2083" s="129">
        <f t="shared" si="1547"/>
        <v>-30</v>
      </c>
      <c r="BZ2083" s="111">
        <f t="shared" si="1548"/>
        <v>0</v>
      </c>
      <c r="CA2083" s="138">
        <f t="shared" si="1549"/>
        <v>30</v>
      </c>
      <c r="CB2083" s="111" t="e">
        <f>IF(AF2083&gt;1/1/1900,((AF2083+1)-AE2083),"STILL OPEN")</f>
        <v>#VALUE!</v>
      </c>
      <c r="CC2083" s="129">
        <f>G2083-I2083+1</f>
        <v>30</v>
      </c>
      <c r="CD2083" s="129">
        <f>G2083-J2083</f>
        <v>0</v>
      </c>
      <c r="CG2083" s="129" t="str">
        <f t="shared" si="1550"/>
        <v>Y</v>
      </c>
      <c r="CI2083" s="129" t="str">
        <f t="shared" si="1551"/>
        <v>11-30 DAYS</v>
      </c>
      <c r="CJ2083" s="137">
        <f t="shared" si="1552"/>
        <v>2</v>
      </c>
      <c r="CK2083" s="129" t="str">
        <f t="shared" si="1553"/>
        <v>Booked</v>
      </c>
    </row>
    <row r="2084" spans="1:89" ht="15" customHeight="1" x14ac:dyDescent="0.25">
      <c r="A2084" s="111">
        <v>1669</v>
      </c>
      <c r="B2084" s="128" t="str">
        <f t="shared" si="1534"/>
        <v>N</v>
      </c>
      <c r="C2084" s="128" t="str">
        <f t="shared" si="1535"/>
        <v>N</v>
      </c>
      <c r="D2084" s="117">
        <v>2413260</v>
      </c>
      <c r="E2084" s="135">
        <f t="shared" si="1536"/>
        <v>1</v>
      </c>
      <c r="F2084" s="124">
        <v>40970</v>
      </c>
      <c r="G2084" s="125">
        <v>41059</v>
      </c>
      <c r="H2084" s="117">
        <v>2413260</v>
      </c>
      <c r="I2084" s="124" t="s">
        <v>562</v>
      </c>
      <c r="J2084" s="124" t="s">
        <v>562</v>
      </c>
      <c r="K2084" s="126">
        <v>5000</v>
      </c>
      <c r="L2084" s="127" t="s">
        <v>569</v>
      </c>
      <c r="N2084" s="124" t="s">
        <v>1343</v>
      </c>
      <c r="O2084" s="128" t="s">
        <v>917</v>
      </c>
      <c r="P2084" s="116" t="s">
        <v>55</v>
      </c>
      <c r="Q2084" s="111">
        <f t="shared" si="1559"/>
        <v>0</v>
      </c>
      <c r="R2084" s="111">
        <f t="shared" si="1556"/>
        <v>90</v>
      </c>
      <c r="S2084" s="129">
        <v>1</v>
      </c>
      <c r="T2084" s="129">
        <v>0</v>
      </c>
      <c r="U2084" s="129">
        <v>1</v>
      </c>
      <c r="W2084" s="111"/>
      <c r="AC2084" s="130"/>
      <c r="AD2084" s="130">
        <v>33590</v>
      </c>
      <c r="AE2084" s="128" t="s">
        <v>32</v>
      </c>
      <c r="AF2084" s="128" t="s">
        <v>69</v>
      </c>
      <c r="AG2084" s="128" t="s">
        <v>874</v>
      </c>
      <c r="AH2084" s="108" t="s">
        <v>31</v>
      </c>
      <c r="AI2084" s="128" t="s">
        <v>97</v>
      </c>
      <c r="AJ2084" s="129" t="s">
        <v>55</v>
      </c>
      <c r="AK2084" s="129">
        <v>3</v>
      </c>
      <c r="AL2084" s="3" t="s">
        <v>55</v>
      </c>
      <c r="AP2084" s="129" t="s">
        <v>107</v>
      </c>
      <c r="AR2084" s="128" t="s">
        <v>44</v>
      </c>
      <c r="AS2084" s="129" t="s">
        <v>57</v>
      </c>
      <c r="BC2084" s="129" t="s">
        <v>38</v>
      </c>
      <c r="BF2084" s="111">
        <v>0</v>
      </c>
      <c r="BG2084" s="111">
        <v>0</v>
      </c>
      <c r="BH2084" s="111">
        <f t="shared" si="1530"/>
        <v>90</v>
      </c>
      <c r="BI2084" s="111">
        <f t="shared" si="1531"/>
        <v>20.16393442622951</v>
      </c>
      <c r="BJ2084" s="129" t="e">
        <f>(G2084-J2084)+(M2084-G2084)</f>
        <v>#VALUE!</v>
      </c>
      <c r="BK2084" s="129" t="e">
        <f t="shared" si="1532"/>
        <v>#VALUE!</v>
      </c>
      <c r="BL2084" s="129" t="str">
        <f t="shared" si="1557"/>
        <v>NO CONVICTION</v>
      </c>
      <c r="BM2084" s="129" t="str">
        <f t="shared" si="1538"/>
        <v>NONE</v>
      </c>
      <c r="BN2084" s="129" t="s">
        <v>566</v>
      </c>
      <c r="BP2084" s="137" t="str">
        <f t="shared" si="1539"/>
        <v>NO CONVICTION</v>
      </c>
      <c r="BQ2084" s="128">
        <f t="shared" si="1540"/>
        <v>0</v>
      </c>
      <c r="BR2084" s="129" t="s">
        <v>1345</v>
      </c>
      <c r="BS2084" s="129" t="str">
        <f t="shared" si="1542"/>
        <v>DISPOSED</v>
      </c>
      <c r="BT2084" s="129" t="str">
        <f t="shared" si="1543"/>
        <v>Y</v>
      </c>
      <c r="BU2084" s="109">
        <f>IFERROR(Q2084/R2084,BR2084)</f>
        <v>0</v>
      </c>
      <c r="BV2084" s="109">
        <v>0</v>
      </c>
      <c r="BW2084" s="109">
        <f t="shared" si="1519"/>
        <v>0</v>
      </c>
      <c r="BX2084" s="111">
        <f t="shared" si="1546"/>
        <v>0</v>
      </c>
      <c r="BY2084" s="129" t="e">
        <f t="shared" si="1547"/>
        <v>#VALUE!</v>
      </c>
      <c r="BZ2084" s="111" t="e">
        <f t="shared" si="1548"/>
        <v>#VALUE!</v>
      </c>
      <c r="CA2084" s="138" t="e">
        <f t="shared" si="1549"/>
        <v>#VALUE!</v>
      </c>
      <c r="CB2084" s="111">
        <v>0</v>
      </c>
      <c r="CC2084" s="129">
        <v>0</v>
      </c>
      <c r="CG2084" s="129" t="str">
        <f t="shared" si="1550"/>
        <v>Y</v>
      </c>
      <c r="CI2084" s="129" t="str">
        <f t="shared" si="1551"/>
        <v>0-10 DAYS</v>
      </c>
      <c r="CJ2084" s="137">
        <f t="shared" si="1552"/>
        <v>1</v>
      </c>
      <c r="CK2084" s="129" t="str">
        <f t="shared" si="1553"/>
        <v>Not Booked</v>
      </c>
    </row>
    <row r="2085" spans="1:89" ht="15" customHeight="1" x14ac:dyDescent="0.25">
      <c r="A2085" s="111">
        <v>2510</v>
      </c>
      <c r="B2085" s="128" t="str">
        <f t="shared" si="1534"/>
        <v>N</v>
      </c>
      <c r="C2085" s="128" t="str">
        <f t="shared" si="1535"/>
        <v>N</v>
      </c>
      <c r="D2085" s="117">
        <v>2413368</v>
      </c>
      <c r="E2085" s="135">
        <f t="shared" si="1536"/>
        <v>6</v>
      </c>
      <c r="F2085" s="124">
        <v>41003</v>
      </c>
      <c r="G2085" s="125">
        <v>41494</v>
      </c>
      <c r="H2085" s="117">
        <v>2413368</v>
      </c>
      <c r="I2085" s="124">
        <v>41003</v>
      </c>
      <c r="J2085" s="124">
        <v>41107</v>
      </c>
      <c r="K2085" s="126">
        <v>35000</v>
      </c>
      <c r="L2085" s="129" t="s">
        <v>572</v>
      </c>
      <c r="M2085" s="125">
        <v>41107</v>
      </c>
      <c r="N2085" s="129" t="str">
        <f>IF(M2085&gt;1/1/1,"Y","N")</f>
        <v>Y</v>
      </c>
      <c r="O2085" s="128" t="s">
        <v>76</v>
      </c>
      <c r="P2085" s="129" t="s">
        <v>39</v>
      </c>
      <c r="Q2085" s="111">
        <f t="shared" si="1559"/>
        <v>105</v>
      </c>
      <c r="R2085" s="111">
        <f t="shared" si="1556"/>
        <v>492</v>
      </c>
      <c r="S2085" s="129">
        <v>0</v>
      </c>
      <c r="T2085" s="129">
        <v>0</v>
      </c>
      <c r="W2085" s="111"/>
      <c r="AC2085" s="130"/>
      <c r="AD2085" s="130">
        <v>33212</v>
      </c>
      <c r="AE2085" s="128" t="s">
        <v>32</v>
      </c>
      <c r="AF2085" s="128" t="s">
        <v>40</v>
      </c>
      <c r="AG2085" s="128" t="s">
        <v>41</v>
      </c>
      <c r="AH2085" s="108" t="s">
        <v>41</v>
      </c>
      <c r="AI2085" s="128" t="s">
        <v>65</v>
      </c>
      <c r="AJ2085" s="129" t="s">
        <v>89</v>
      </c>
      <c r="AK2085" s="129">
        <v>18</v>
      </c>
      <c r="AL2085" s="3" t="s">
        <v>362</v>
      </c>
      <c r="AM2085" s="114">
        <v>16</v>
      </c>
      <c r="AP2085" s="129" t="s">
        <v>105</v>
      </c>
      <c r="AR2085" s="128" t="s">
        <v>92</v>
      </c>
      <c r="AS2085" s="129" t="s">
        <v>106</v>
      </c>
      <c r="AT2085" s="129" t="s">
        <v>1173</v>
      </c>
      <c r="BC2085" s="129" t="s">
        <v>52</v>
      </c>
      <c r="BF2085" s="111">
        <f>IF(J2085&gt;1/1/1900,((J2085+1)-I2085),"STILL OPEN")</f>
        <v>105</v>
      </c>
      <c r="BG2085" s="111">
        <f>IF(G2085&gt;1/1/1900,((G2085+1)-I2085),"STILL OPEN")</f>
        <v>492</v>
      </c>
      <c r="BH2085" s="111">
        <f t="shared" si="1530"/>
        <v>492</v>
      </c>
      <c r="BI2085" s="111">
        <f t="shared" si="1531"/>
        <v>21.28688524590164</v>
      </c>
      <c r="BJ2085" s="129">
        <f>(G2085-J2085)+(M2085-G2085)</f>
        <v>0</v>
      </c>
      <c r="BK2085" s="129">
        <f t="shared" si="1532"/>
        <v>-387</v>
      </c>
      <c r="BL2085" s="129" t="str">
        <f t="shared" si="1557"/>
        <v>CONVICTION</v>
      </c>
      <c r="BM2085" s="129" t="s">
        <v>76</v>
      </c>
      <c r="BN2085" s="129" t="s">
        <v>88</v>
      </c>
      <c r="BP2085" s="137" t="str">
        <f t="shared" si="1539"/>
        <v>CONVICTION</v>
      </c>
      <c r="BQ2085" s="128" t="str">
        <f t="shared" si="1540"/>
        <v>Y</v>
      </c>
      <c r="BR2085" s="129" t="str">
        <f>IF(J2085&lt;G2085,"ON BOND",0)</f>
        <v>ON BOND</v>
      </c>
      <c r="BS2085" s="129" t="str">
        <f t="shared" si="1542"/>
        <v>DISPOSED</v>
      </c>
      <c r="BT2085" s="129" t="str">
        <f t="shared" si="1543"/>
        <v>N</v>
      </c>
      <c r="BU2085" s="109">
        <f t="shared" si="1544"/>
        <v>0.21341463414634146</v>
      </c>
      <c r="BV2085" s="109">
        <f t="shared" si="1545"/>
        <v>0.21341463414634146</v>
      </c>
      <c r="BW2085" s="109">
        <f t="shared" si="1519"/>
        <v>0</v>
      </c>
      <c r="BX2085" s="111">
        <f t="shared" si="1546"/>
        <v>0</v>
      </c>
      <c r="BY2085" s="129">
        <f t="shared" si="1547"/>
        <v>-105</v>
      </c>
      <c r="BZ2085" s="111">
        <f t="shared" si="1548"/>
        <v>0</v>
      </c>
      <c r="CA2085" s="138">
        <f t="shared" si="1549"/>
        <v>105</v>
      </c>
      <c r="CB2085" s="111" t="e">
        <f>IF(AF2085&gt;1/1/1900,((AF2085+1)-AE2085),"STILL OPEN")</f>
        <v>#VALUE!</v>
      </c>
      <c r="CC2085" s="129">
        <f>M2085-I2085+1</f>
        <v>105</v>
      </c>
      <c r="CD2085" s="111">
        <f>CC2085-BF2085</f>
        <v>0</v>
      </c>
      <c r="CG2085" s="129" t="str">
        <f t="shared" si="1550"/>
        <v>N</v>
      </c>
      <c r="CI2085" s="129" t="str">
        <f t="shared" si="1551"/>
        <v>91-120 DAYS</v>
      </c>
      <c r="CJ2085" s="137">
        <f t="shared" si="1552"/>
        <v>0</v>
      </c>
      <c r="CK2085" s="129" t="str">
        <f t="shared" si="1553"/>
        <v>Booked</v>
      </c>
    </row>
    <row r="2086" spans="1:89" ht="15" customHeight="1" x14ac:dyDescent="0.25">
      <c r="A2086" s="111">
        <v>271</v>
      </c>
      <c r="B2086" s="128" t="str">
        <f t="shared" si="1534"/>
        <v>N</v>
      </c>
      <c r="C2086" s="128" t="str">
        <f t="shared" si="1535"/>
        <v>N</v>
      </c>
      <c r="D2086" s="117">
        <v>2414174</v>
      </c>
      <c r="E2086" s="135">
        <f t="shared" si="1536"/>
        <v>5</v>
      </c>
      <c r="F2086" s="124">
        <v>40920</v>
      </c>
      <c r="G2086" s="125">
        <v>41065</v>
      </c>
      <c r="H2086" s="117">
        <v>2414174</v>
      </c>
      <c r="I2086" s="124">
        <v>40987</v>
      </c>
      <c r="J2086" s="124">
        <v>40935</v>
      </c>
      <c r="K2086" s="126">
        <v>10000</v>
      </c>
      <c r="L2086" s="127" t="s">
        <v>570</v>
      </c>
      <c r="M2086" s="125">
        <v>40935</v>
      </c>
      <c r="N2086" s="129" t="str">
        <f>IF(M2086&gt;1/1/1,"Y","N")</f>
        <v>Y</v>
      </c>
      <c r="O2086" s="128" t="s">
        <v>76</v>
      </c>
      <c r="P2086" s="129" t="s">
        <v>39</v>
      </c>
      <c r="Q2086" s="111">
        <v>95</v>
      </c>
      <c r="R2086" s="111">
        <f t="shared" si="1556"/>
        <v>146</v>
      </c>
      <c r="S2086" s="129">
        <v>1</v>
      </c>
      <c r="T2086" s="129">
        <v>5</v>
      </c>
      <c r="U2086" s="129">
        <v>1</v>
      </c>
      <c r="W2086" s="111"/>
      <c r="AC2086" s="130"/>
      <c r="AD2086" s="130">
        <v>30710</v>
      </c>
      <c r="AE2086" s="128" t="s">
        <v>46</v>
      </c>
      <c r="AF2086" s="128" t="s">
        <v>33</v>
      </c>
      <c r="AG2086" s="128" t="s">
        <v>872</v>
      </c>
      <c r="AH2086" s="108" t="s">
        <v>58</v>
      </c>
      <c r="AI2086" s="128" t="s">
        <v>100</v>
      </c>
      <c r="AJ2086" s="129" t="s">
        <v>89</v>
      </c>
      <c r="AK2086" s="129">
        <v>8</v>
      </c>
      <c r="AL2086" s="3" t="s">
        <v>992</v>
      </c>
      <c r="AN2086" s="117">
        <v>9</v>
      </c>
      <c r="AP2086" s="129" t="s">
        <v>60</v>
      </c>
      <c r="AR2086" s="128" t="s">
        <v>44</v>
      </c>
      <c r="AS2086" s="129" t="s">
        <v>61</v>
      </c>
      <c r="AT2086" s="129" t="s">
        <v>601</v>
      </c>
      <c r="BC2086" s="129" t="s">
        <v>38</v>
      </c>
      <c r="BF2086" s="111">
        <v>95</v>
      </c>
      <c r="BG2086" s="111">
        <f>IF(G2086&gt;1/1/1900,((G2086+1)-I2086),"STILL OPEN")</f>
        <v>79</v>
      </c>
      <c r="BH2086" s="111">
        <f t="shared" si="1530"/>
        <v>146</v>
      </c>
      <c r="BI2086" s="111">
        <f t="shared" si="1531"/>
        <v>27.896174863387976</v>
      </c>
      <c r="BJ2086" s="129">
        <f>(G2086-J2086)+(M2086-G2086)</f>
        <v>0</v>
      </c>
      <c r="BK2086" s="129">
        <f t="shared" si="1532"/>
        <v>-130</v>
      </c>
      <c r="BL2086" s="129" t="str">
        <f t="shared" si="1557"/>
        <v>CONVICTION</v>
      </c>
      <c r="BM2086" s="129" t="s">
        <v>76</v>
      </c>
      <c r="BN2086" s="129" t="s">
        <v>88</v>
      </c>
      <c r="BP2086" s="137" t="str">
        <f t="shared" si="1539"/>
        <v>CONVICTION</v>
      </c>
      <c r="BQ2086" s="128" t="str">
        <f t="shared" si="1540"/>
        <v>Y</v>
      </c>
      <c r="BR2086" s="129" t="s">
        <v>574</v>
      </c>
      <c r="BS2086" s="129" t="str">
        <f t="shared" si="1542"/>
        <v>DISPOSED</v>
      </c>
      <c r="BT2086" s="129" t="str">
        <f t="shared" si="1543"/>
        <v>Y</v>
      </c>
      <c r="BU2086" s="109">
        <f t="shared" si="1544"/>
        <v>0.65068493150684936</v>
      </c>
      <c r="BV2086" s="109">
        <f t="shared" si="1545"/>
        <v>-0.64556962025316456</v>
      </c>
      <c r="BW2086" s="109">
        <f t="shared" si="1519"/>
        <v>-1.2962545517600139</v>
      </c>
      <c r="BX2086" s="111">
        <f t="shared" si="1546"/>
        <v>0</v>
      </c>
      <c r="BY2086" s="129">
        <f t="shared" si="1547"/>
        <v>51</v>
      </c>
      <c r="BZ2086" s="111">
        <v>0</v>
      </c>
      <c r="CA2086" s="138">
        <f t="shared" si="1549"/>
        <v>79</v>
      </c>
      <c r="CB2086" s="111">
        <v>95</v>
      </c>
      <c r="CC2086" s="129">
        <f>G2086-I2086+1</f>
        <v>79</v>
      </c>
      <c r="CD2086" s="129">
        <f>G2086-J2086</f>
        <v>130</v>
      </c>
      <c r="CE2086" s="129" t="s">
        <v>1326</v>
      </c>
      <c r="CG2086" s="129" t="str">
        <f t="shared" si="1550"/>
        <v>Y</v>
      </c>
      <c r="CI2086" s="129" t="str">
        <f t="shared" si="1551"/>
        <v>91-120 DAYS</v>
      </c>
      <c r="CJ2086" s="137">
        <f t="shared" si="1552"/>
        <v>0</v>
      </c>
      <c r="CK2086" s="129" t="str">
        <f t="shared" si="1553"/>
        <v>Booked</v>
      </c>
    </row>
    <row r="2087" spans="1:89" ht="15" customHeight="1" x14ac:dyDescent="0.25">
      <c r="A2087" s="111">
        <v>2359</v>
      </c>
      <c r="B2087" s="128" t="str">
        <f t="shared" si="1534"/>
        <v>N</v>
      </c>
      <c r="C2087" s="128" t="str">
        <f t="shared" si="1535"/>
        <v>N</v>
      </c>
      <c r="D2087" s="117">
        <v>2414717</v>
      </c>
      <c r="E2087" s="135">
        <f t="shared" si="1536"/>
        <v>2</v>
      </c>
      <c r="F2087" s="124">
        <v>40998</v>
      </c>
      <c r="G2087" s="125">
        <v>41030</v>
      </c>
      <c r="H2087" s="117">
        <v>2414717</v>
      </c>
      <c r="I2087" s="124">
        <v>40998</v>
      </c>
      <c r="J2087" s="124">
        <v>40999</v>
      </c>
      <c r="K2087" s="126">
        <v>2000</v>
      </c>
      <c r="L2087" s="127" t="s">
        <v>568</v>
      </c>
      <c r="M2087" s="125">
        <v>40999</v>
      </c>
      <c r="N2087" s="129" t="str">
        <f>IF(M2087&gt;1/1/1,"Y","N")</f>
        <v>Y</v>
      </c>
      <c r="O2087" s="128" t="s">
        <v>585</v>
      </c>
      <c r="P2087" s="129" t="s">
        <v>589</v>
      </c>
      <c r="Q2087" s="111">
        <f t="shared" si="1559"/>
        <v>2</v>
      </c>
      <c r="R2087" s="111">
        <f t="shared" si="1556"/>
        <v>33</v>
      </c>
      <c r="S2087" s="129">
        <v>0</v>
      </c>
      <c r="T2087" s="129">
        <v>1</v>
      </c>
      <c r="W2087" s="111"/>
      <c r="AC2087" s="130"/>
      <c r="AD2087" s="130">
        <v>31307</v>
      </c>
      <c r="AE2087" s="128" t="s">
        <v>32</v>
      </c>
      <c r="AF2087" s="128" t="s">
        <v>69</v>
      </c>
      <c r="AG2087" s="128" t="s">
        <v>874</v>
      </c>
      <c r="AH2087" s="108" t="s">
        <v>31</v>
      </c>
      <c r="AI2087" s="128" t="s">
        <v>42</v>
      </c>
      <c r="AJ2087" s="129" t="s">
        <v>48</v>
      </c>
      <c r="AK2087" s="129">
        <v>2</v>
      </c>
      <c r="AL2087" s="3" t="s">
        <v>48</v>
      </c>
      <c r="AP2087" s="129" t="s">
        <v>43</v>
      </c>
      <c r="AR2087" s="128" t="s">
        <v>44</v>
      </c>
      <c r="AS2087" s="129" t="s">
        <v>45</v>
      </c>
      <c r="AT2087" s="129" t="s">
        <v>431</v>
      </c>
      <c r="BC2087" s="129" t="s">
        <v>38</v>
      </c>
      <c r="BF2087" s="111">
        <f>IF(J2087&gt;1/1/1900,((J2087+1)-I2087),"STILL OPEN")</f>
        <v>2</v>
      </c>
      <c r="BG2087" s="111">
        <f>IF(G2087&gt;1/1/1900,((G2087+1)-I2087),"STILL OPEN")</f>
        <v>33</v>
      </c>
      <c r="BH2087" s="111">
        <f t="shared" si="1530"/>
        <v>33</v>
      </c>
      <c r="BI2087" s="111">
        <f t="shared" si="1531"/>
        <v>26.478142076502731</v>
      </c>
      <c r="BJ2087" s="129">
        <f>(G2087-J2087)+(M2087-G2087)</f>
        <v>0</v>
      </c>
      <c r="BK2087" s="129">
        <f t="shared" si="1532"/>
        <v>-31</v>
      </c>
      <c r="BL2087" s="129" t="str">
        <f t="shared" si="1557"/>
        <v>DEFERRED</v>
      </c>
      <c r="BM2087" s="129" t="s">
        <v>76</v>
      </c>
      <c r="BN2087" s="129" t="s">
        <v>88</v>
      </c>
      <c r="BP2087" s="137" t="str">
        <f t="shared" si="1539"/>
        <v>DEFERRED</v>
      </c>
      <c r="BQ2087" s="128" t="str">
        <f t="shared" si="1540"/>
        <v>Y</v>
      </c>
      <c r="BR2087" s="129" t="str">
        <f t="shared" si="1541"/>
        <v>ON BOND</v>
      </c>
      <c r="BS2087" s="129" t="str">
        <f t="shared" si="1542"/>
        <v>DISPOSED</v>
      </c>
      <c r="BT2087" s="129" t="str">
        <f t="shared" si="1543"/>
        <v>N</v>
      </c>
      <c r="BU2087" s="109">
        <f t="shared" si="1544"/>
        <v>6.0606060606060608E-2</v>
      </c>
      <c r="BV2087" s="109">
        <f t="shared" si="1545"/>
        <v>6.0606060606060608E-2</v>
      </c>
      <c r="BW2087" s="109">
        <f t="shared" si="1519"/>
        <v>0</v>
      </c>
      <c r="BX2087" s="111">
        <f t="shared" si="1546"/>
        <v>0</v>
      </c>
      <c r="BY2087" s="129">
        <f t="shared" si="1547"/>
        <v>-2</v>
      </c>
      <c r="BZ2087" s="111">
        <f t="shared" si="1548"/>
        <v>0</v>
      </c>
      <c r="CA2087" s="138">
        <f t="shared" si="1549"/>
        <v>2</v>
      </c>
      <c r="CB2087" s="111" t="e">
        <f>IF(AF2087&gt;1/1/1900,((AF2087+1)-AE2087),"STILL OPEN")</f>
        <v>#VALUE!</v>
      </c>
      <c r="CC2087" s="129">
        <f>M2087-I2087+1</f>
        <v>2</v>
      </c>
      <c r="CD2087" s="111">
        <f>CC2087-BF2087</f>
        <v>0</v>
      </c>
      <c r="CG2087" s="129" t="str">
        <f t="shared" si="1550"/>
        <v>Y</v>
      </c>
      <c r="CI2087" s="129" t="str">
        <f t="shared" si="1551"/>
        <v>0-10 DAYS</v>
      </c>
      <c r="CJ2087" s="137">
        <f t="shared" si="1552"/>
        <v>1</v>
      </c>
      <c r="CK2087" s="129" t="str">
        <f t="shared" si="1553"/>
        <v>Booked</v>
      </c>
    </row>
    <row r="2088" spans="1:89" ht="15" customHeight="1" x14ac:dyDescent="0.25">
      <c r="A2088" s="111">
        <v>2893</v>
      </c>
      <c r="B2088" s="128" t="str">
        <f t="shared" si="1534"/>
        <v>N</v>
      </c>
      <c r="C2088" s="128" t="str">
        <f t="shared" si="1535"/>
        <v>N</v>
      </c>
      <c r="D2088" s="117">
        <v>2414863</v>
      </c>
      <c r="E2088" s="135">
        <f t="shared" si="1536"/>
        <v>2</v>
      </c>
      <c r="F2088" s="124">
        <v>41016</v>
      </c>
      <c r="G2088" s="125">
        <v>41337</v>
      </c>
      <c r="H2088" s="117">
        <v>2414863</v>
      </c>
      <c r="I2088" s="124" t="s">
        <v>562</v>
      </c>
      <c r="J2088" s="124" t="s">
        <v>562</v>
      </c>
      <c r="K2088" s="126">
        <v>5000</v>
      </c>
      <c r="L2088" s="127" t="s">
        <v>569</v>
      </c>
      <c r="M2088" s="125">
        <v>41081</v>
      </c>
      <c r="N2088" s="129" t="str">
        <f>IF(M2088&gt;1/1/1,"Y",IF(Q2088="0","","N"))</f>
        <v>Y</v>
      </c>
      <c r="O2088" s="128" t="s">
        <v>76</v>
      </c>
      <c r="P2088" s="129" t="s">
        <v>589</v>
      </c>
      <c r="Q2088" s="111">
        <f t="shared" si="1559"/>
        <v>0</v>
      </c>
      <c r="R2088" s="111">
        <f t="shared" si="1556"/>
        <v>322</v>
      </c>
      <c r="S2088" s="129">
        <v>0</v>
      </c>
      <c r="T2088" s="129">
        <v>0</v>
      </c>
      <c r="W2088" s="111"/>
      <c r="AC2088" s="130"/>
      <c r="AD2088" s="130">
        <v>30025</v>
      </c>
      <c r="AE2088" s="128" t="s">
        <v>46</v>
      </c>
      <c r="AF2088" s="128" t="s">
        <v>33</v>
      </c>
      <c r="AG2088" s="128" t="s">
        <v>872</v>
      </c>
      <c r="AH2088" s="108" t="s">
        <v>31</v>
      </c>
      <c r="AI2088" s="128" t="s">
        <v>118</v>
      </c>
      <c r="AJ2088" s="129" t="s">
        <v>48</v>
      </c>
      <c r="AK2088" s="129">
        <v>9</v>
      </c>
      <c r="AL2088" s="3" t="s">
        <v>48</v>
      </c>
      <c r="AP2088" s="129" t="s">
        <v>93</v>
      </c>
      <c r="AR2088" s="128" t="s">
        <v>67</v>
      </c>
      <c r="AS2088" s="129" t="s">
        <v>45</v>
      </c>
      <c r="BC2088" s="129" t="s">
        <v>38</v>
      </c>
      <c r="BF2088" s="111">
        <v>0</v>
      </c>
      <c r="BG2088" s="111">
        <v>0</v>
      </c>
      <c r="BH2088" s="111">
        <f t="shared" si="1530"/>
        <v>322</v>
      </c>
      <c r="BI2088" s="111">
        <f t="shared" si="1531"/>
        <v>30.030054644808743</v>
      </c>
      <c r="BJ2088" s="129" t="e">
        <f>(G2088-J2088)+(M2088-G2088)</f>
        <v>#VALUE!</v>
      </c>
      <c r="BK2088" s="129" t="e">
        <f t="shared" si="1532"/>
        <v>#VALUE!</v>
      </c>
      <c r="BL2088" s="129" t="str">
        <f t="shared" si="1557"/>
        <v>DEFERRED</v>
      </c>
      <c r="BM2088" s="129" t="s">
        <v>76</v>
      </c>
      <c r="BN2088" s="129" t="s">
        <v>88</v>
      </c>
      <c r="BP2088" s="137" t="str">
        <f t="shared" si="1539"/>
        <v>DEFERRED</v>
      </c>
      <c r="BQ2088" s="128">
        <f t="shared" si="1540"/>
        <v>0</v>
      </c>
      <c r="BR2088" s="129" t="s">
        <v>575</v>
      </c>
      <c r="BS2088" s="129" t="str">
        <f t="shared" si="1542"/>
        <v>DISPOSED</v>
      </c>
      <c r="BT2088" s="129" t="str">
        <f t="shared" si="1543"/>
        <v>N</v>
      </c>
      <c r="BU2088" s="109">
        <f t="shared" si="1544"/>
        <v>0</v>
      </c>
      <c r="BV2088" s="109">
        <v>0</v>
      </c>
      <c r="BW2088" s="109">
        <f t="shared" si="1519"/>
        <v>0</v>
      </c>
      <c r="BX2088" s="111">
        <f t="shared" si="1546"/>
        <v>0</v>
      </c>
      <c r="BY2088" s="129" t="e">
        <f t="shared" si="1547"/>
        <v>#VALUE!</v>
      </c>
      <c r="BZ2088" s="111" t="e">
        <f t="shared" si="1548"/>
        <v>#VALUE!</v>
      </c>
      <c r="CA2088" s="138" t="e">
        <f t="shared" si="1549"/>
        <v>#VALUE!</v>
      </c>
      <c r="CB2088" s="111">
        <v>0</v>
      </c>
      <c r="CC2088" s="129">
        <v>0</v>
      </c>
      <c r="CD2088" s="111">
        <f>CC2088-BF2088</f>
        <v>0</v>
      </c>
      <c r="CG2088" s="129" t="str">
        <f t="shared" si="1550"/>
        <v>N</v>
      </c>
      <c r="CI2088" s="129" t="str">
        <f t="shared" si="1551"/>
        <v>0-10 DAYS</v>
      </c>
      <c r="CJ2088" s="137">
        <f t="shared" si="1552"/>
        <v>1</v>
      </c>
      <c r="CK2088" s="129" t="str">
        <f t="shared" si="1553"/>
        <v>Not Booked</v>
      </c>
    </row>
    <row r="2089" spans="1:89" ht="15.75" customHeight="1" x14ac:dyDescent="0.25">
      <c r="A2089" s="111">
        <v>2077</v>
      </c>
      <c r="B2089" s="128" t="str">
        <f t="shared" si="1534"/>
        <v>N</v>
      </c>
      <c r="C2089" s="128" t="str">
        <f t="shared" si="1535"/>
        <v>N</v>
      </c>
      <c r="D2089" s="117">
        <v>2415479</v>
      </c>
      <c r="E2089" s="135">
        <f t="shared" si="1536"/>
        <v>3</v>
      </c>
      <c r="F2089" s="124">
        <v>40987</v>
      </c>
      <c r="G2089" s="125">
        <v>40988</v>
      </c>
      <c r="H2089" s="117">
        <v>2415479</v>
      </c>
      <c r="I2089" s="124">
        <v>40987</v>
      </c>
      <c r="J2089" s="124">
        <v>40988</v>
      </c>
      <c r="K2089" s="126">
        <v>10000</v>
      </c>
      <c r="L2089" s="127" t="s">
        <v>570</v>
      </c>
      <c r="N2089" s="129" t="str">
        <f>IF(M2089&gt;1/1/1,"Y","N")</f>
        <v>N</v>
      </c>
      <c r="O2089" s="128" t="s">
        <v>917</v>
      </c>
      <c r="P2089" s="129" t="s">
        <v>39</v>
      </c>
      <c r="Q2089" s="111">
        <f t="shared" si="1559"/>
        <v>2</v>
      </c>
      <c r="R2089" s="111">
        <f t="shared" si="1556"/>
        <v>2</v>
      </c>
      <c r="S2089" s="129">
        <v>0</v>
      </c>
      <c r="T2089" s="129">
        <v>2</v>
      </c>
      <c r="W2089" s="111"/>
      <c r="AB2089" s="131" t="s">
        <v>112</v>
      </c>
      <c r="AC2089" s="130"/>
      <c r="AD2089" s="130">
        <v>21791</v>
      </c>
      <c r="AE2089" s="128" t="s">
        <v>32</v>
      </c>
      <c r="AF2089" s="128" t="s">
        <v>40</v>
      </c>
      <c r="AG2089" s="128" t="s">
        <v>41</v>
      </c>
      <c r="AH2089" s="108" t="s">
        <v>31</v>
      </c>
      <c r="AI2089" s="128" t="s">
        <v>113</v>
      </c>
      <c r="AJ2089" s="129" t="s">
        <v>89</v>
      </c>
      <c r="AK2089" s="129">
        <v>1</v>
      </c>
      <c r="AL2089" s="3" t="s">
        <v>185</v>
      </c>
      <c r="AP2089" s="129" t="s">
        <v>66</v>
      </c>
      <c r="AR2089" s="128" t="s">
        <v>67</v>
      </c>
      <c r="AS2089" s="129" t="s">
        <v>68</v>
      </c>
      <c r="BC2089" s="129" t="s">
        <v>38</v>
      </c>
      <c r="BF2089" s="111">
        <f t="shared" ref="BF2089:BF2094" si="1560">IF(J2089&gt;1/1/1900,((J2089+1)-I2089),"STILL OPEN")</f>
        <v>2</v>
      </c>
      <c r="BG2089" s="111">
        <f t="shared" ref="BG2089:BG2094" si="1561">IF(G2089&gt;1/1/1900,((G2089+1)-I2089),"STILL OPEN")</f>
        <v>2</v>
      </c>
      <c r="BH2089" s="111">
        <f t="shared" si="1530"/>
        <v>2</v>
      </c>
      <c r="BI2089" s="111">
        <f t="shared" si="1531"/>
        <v>52.448087431693992</v>
      </c>
      <c r="BJ2089" s="129">
        <f t="shared" si="1537"/>
        <v>0</v>
      </c>
      <c r="BK2089" s="129">
        <f t="shared" si="1532"/>
        <v>0</v>
      </c>
      <c r="BL2089" s="129" t="str">
        <f t="shared" si="1557"/>
        <v>CONVICTION</v>
      </c>
      <c r="BM2089" s="129" t="str">
        <f t="shared" si="1538"/>
        <v>NONE</v>
      </c>
      <c r="BN2089" s="129" t="s">
        <v>566</v>
      </c>
      <c r="BP2089" s="137" t="str">
        <f t="shared" si="1539"/>
        <v>CONVICTION</v>
      </c>
      <c r="BQ2089" s="128" t="str">
        <f t="shared" si="1540"/>
        <v>Y</v>
      </c>
      <c r="BR2089" s="129" t="str">
        <f t="shared" si="1541"/>
        <v>DETAINED</v>
      </c>
      <c r="BS2089" s="129" t="str">
        <f t="shared" si="1542"/>
        <v>DISPOSED</v>
      </c>
      <c r="BT2089" s="129" t="str">
        <f t="shared" si="1543"/>
        <v>N</v>
      </c>
      <c r="BU2089" s="109">
        <f t="shared" si="1544"/>
        <v>1</v>
      </c>
      <c r="BV2089" s="109">
        <f t="shared" si="1545"/>
        <v>1</v>
      </c>
      <c r="BW2089" s="109">
        <f t="shared" si="1519"/>
        <v>0</v>
      </c>
      <c r="BX2089" s="111">
        <f t="shared" si="1546"/>
        <v>0</v>
      </c>
      <c r="BY2089" s="129">
        <f t="shared" si="1547"/>
        <v>-2</v>
      </c>
      <c r="BZ2089" s="111">
        <f t="shared" si="1548"/>
        <v>0</v>
      </c>
      <c r="CA2089" s="138">
        <f t="shared" si="1549"/>
        <v>2</v>
      </c>
      <c r="CB2089" s="111" t="e">
        <f t="shared" ref="CB2089:CB2094" si="1562">IF(AF2089&gt;1/1/1900,((AF2089+1)-AE2089),"STILL OPEN")</f>
        <v>#VALUE!</v>
      </c>
      <c r="CC2089" s="129">
        <f>G2089-I2089+1</f>
        <v>2</v>
      </c>
      <c r="CD2089" s="129">
        <f>G2089-J2089</f>
        <v>0</v>
      </c>
      <c r="CG2089" s="129" t="str">
        <f t="shared" si="1550"/>
        <v>Y</v>
      </c>
      <c r="CI2089" s="129" t="str">
        <f t="shared" si="1551"/>
        <v>0-10 DAYS</v>
      </c>
      <c r="CJ2089" s="137">
        <f t="shared" si="1552"/>
        <v>1</v>
      </c>
      <c r="CK2089" s="129" t="str">
        <f t="shared" si="1553"/>
        <v>Booked</v>
      </c>
    </row>
    <row r="2090" spans="1:89" ht="15.75" customHeight="1" x14ac:dyDescent="0.25">
      <c r="A2090" s="111">
        <v>3118</v>
      </c>
      <c r="B2090" s="128" t="str">
        <f t="shared" si="1534"/>
        <v>N</v>
      </c>
      <c r="C2090" s="128" t="str">
        <f t="shared" si="1535"/>
        <v>N</v>
      </c>
      <c r="D2090" s="117">
        <v>2415525</v>
      </c>
      <c r="E2090" s="135">
        <f t="shared" si="1536"/>
        <v>4</v>
      </c>
      <c r="F2090" s="124">
        <v>41024</v>
      </c>
      <c r="G2090" s="125">
        <v>41102</v>
      </c>
      <c r="H2090" s="117">
        <v>2415525</v>
      </c>
      <c r="I2090" s="124">
        <v>41024</v>
      </c>
      <c r="J2090" s="124">
        <v>41102</v>
      </c>
      <c r="K2090" s="126" t="s">
        <v>564</v>
      </c>
      <c r="L2090" s="127" t="s">
        <v>564</v>
      </c>
      <c r="N2090" s="129" t="s">
        <v>566</v>
      </c>
      <c r="O2090" s="128" t="s">
        <v>917</v>
      </c>
      <c r="P2090" s="129" t="s">
        <v>39</v>
      </c>
      <c r="Q2090" s="111">
        <f t="shared" si="1559"/>
        <v>79</v>
      </c>
      <c r="R2090" s="111">
        <f t="shared" si="1556"/>
        <v>79</v>
      </c>
      <c r="S2090" s="129">
        <v>0</v>
      </c>
      <c r="T2090" s="129">
        <v>1</v>
      </c>
      <c r="W2090" s="111"/>
      <c r="AC2090" s="130"/>
      <c r="AD2090" s="130">
        <v>28675</v>
      </c>
      <c r="AE2090" s="128" t="s">
        <v>32</v>
      </c>
      <c r="AF2090" s="128" t="s">
        <v>33</v>
      </c>
      <c r="AG2090" s="128" t="s">
        <v>872</v>
      </c>
      <c r="AH2090" s="108" t="s">
        <v>31</v>
      </c>
      <c r="AI2090" s="128" t="s">
        <v>59</v>
      </c>
      <c r="AJ2090" s="129" t="s">
        <v>89</v>
      </c>
      <c r="AK2090" s="129">
        <v>5</v>
      </c>
      <c r="AL2090" s="3" t="s">
        <v>991</v>
      </c>
      <c r="AO2090" s="128">
        <v>365</v>
      </c>
      <c r="AP2090" s="129" t="s">
        <v>150</v>
      </c>
      <c r="AR2090" s="128" t="s">
        <v>67</v>
      </c>
      <c r="AS2090" s="129" t="s">
        <v>74</v>
      </c>
      <c r="BC2090" s="129" t="s">
        <v>52</v>
      </c>
      <c r="BF2090" s="111">
        <f t="shared" si="1560"/>
        <v>79</v>
      </c>
      <c r="BG2090" s="111">
        <f t="shared" si="1561"/>
        <v>79</v>
      </c>
      <c r="BH2090" s="111">
        <f t="shared" si="1530"/>
        <v>79</v>
      </c>
      <c r="BI2090" s="111">
        <f t="shared" si="1531"/>
        <v>33.740437158469945</v>
      </c>
      <c r="BJ2090" s="129">
        <f t="shared" si="1537"/>
        <v>0</v>
      </c>
      <c r="BK2090" s="129">
        <f t="shared" si="1532"/>
        <v>0</v>
      </c>
      <c r="BL2090" s="129" t="str">
        <f t="shared" si="1557"/>
        <v>CONVICTION</v>
      </c>
      <c r="BM2090" s="129" t="str">
        <f t="shared" si="1538"/>
        <v>NONE</v>
      </c>
      <c r="BN2090" s="129" t="s">
        <v>566</v>
      </c>
      <c r="BP2090" s="137" t="str">
        <f t="shared" si="1539"/>
        <v>CONVICTION</v>
      </c>
      <c r="BQ2090" s="128" t="str">
        <f t="shared" si="1540"/>
        <v>Y</v>
      </c>
      <c r="BR2090" s="129" t="str">
        <f t="shared" si="1541"/>
        <v>DETAINED</v>
      </c>
      <c r="BS2090" s="129" t="str">
        <f t="shared" si="1542"/>
        <v>DISPOSED</v>
      </c>
      <c r="BT2090" s="129" t="str">
        <f t="shared" si="1543"/>
        <v>N</v>
      </c>
      <c r="BU2090" s="109">
        <f t="shared" si="1544"/>
        <v>1</v>
      </c>
      <c r="BV2090" s="109">
        <f t="shared" si="1545"/>
        <v>1</v>
      </c>
      <c r="BW2090" s="109">
        <f t="shared" si="1519"/>
        <v>0</v>
      </c>
      <c r="BX2090" s="111">
        <f t="shared" si="1546"/>
        <v>0</v>
      </c>
      <c r="BY2090" s="129">
        <f t="shared" si="1547"/>
        <v>-79</v>
      </c>
      <c r="BZ2090" s="111">
        <f t="shared" si="1548"/>
        <v>0</v>
      </c>
      <c r="CA2090" s="138">
        <f t="shared" si="1549"/>
        <v>79</v>
      </c>
      <c r="CB2090" s="111" t="e">
        <f t="shared" si="1562"/>
        <v>#VALUE!</v>
      </c>
      <c r="CC2090" s="129">
        <f>G2090-I2090+1</f>
        <v>79</v>
      </c>
      <c r="CD2090" s="129">
        <f>G2090-J2090</f>
        <v>0</v>
      </c>
      <c r="CG2090" s="129" t="str">
        <f t="shared" si="1550"/>
        <v>Y</v>
      </c>
      <c r="CI2090" s="129" t="str">
        <f t="shared" si="1551"/>
        <v>61-90 DAYS</v>
      </c>
      <c r="CJ2090" s="137">
        <f t="shared" si="1552"/>
        <v>4</v>
      </c>
      <c r="CK2090" s="129" t="str">
        <f t="shared" si="1553"/>
        <v>Booked</v>
      </c>
    </row>
    <row r="2091" spans="1:89" ht="15" customHeight="1" x14ac:dyDescent="0.25">
      <c r="A2091" s="111">
        <v>1165</v>
      </c>
      <c r="B2091" s="128" t="str">
        <f t="shared" si="1534"/>
        <v>N</v>
      </c>
      <c r="C2091" s="128" t="str">
        <f t="shared" si="1535"/>
        <v>N</v>
      </c>
      <c r="D2091" s="117">
        <v>2415744</v>
      </c>
      <c r="E2091" s="135">
        <f t="shared" si="1536"/>
        <v>2</v>
      </c>
      <c r="F2091" s="124">
        <v>40950</v>
      </c>
      <c r="G2091" s="125">
        <v>41103</v>
      </c>
      <c r="H2091" s="117">
        <v>2415744</v>
      </c>
      <c r="I2091" s="124">
        <v>40951</v>
      </c>
      <c r="J2091" s="124">
        <v>40952</v>
      </c>
      <c r="K2091" s="126">
        <v>30000</v>
      </c>
      <c r="L2091" s="129" t="s">
        <v>572</v>
      </c>
      <c r="M2091" s="125">
        <v>40952</v>
      </c>
      <c r="N2091" s="129" t="str">
        <f>IF(M2091&gt;1/1/1,"Y","N")</f>
        <v>Y</v>
      </c>
      <c r="O2091" s="128" t="s">
        <v>585</v>
      </c>
      <c r="P2091" s="129" t="s">
        <v>589</v>
      </c>
      <c r="Q2091" s="111">
        <f t="shared" si="1559"/>
        <v>2</v>
      </c>
      <c r="R2091" s="111">
        <f t="shared" si="1556"/>
        <v>154</v>
      </c>
      <c r="S2091" s="129">
        <v>1</v>
      </c>
      <c r="T2091" s="129">
        <v>0</v>
      </c>
      <c r="W2091" s="111"/>
      <c r="AB2091" s="131" t="s">
        <v>112</v>
      </c>
      <c r="AC2091" s="130"/>
      <c r="AD2091" s="130">
        <v>28812</v>
      </c>
      <c r="AE2091" s="128" t="s">
        <v>32</v>
      </c>
      <c r="AF2091" s="128" t="s">
        <v>40</v>
      </c>
      <c r="AG2091" s="128" t="s">
        <v>41</v>
      </c>
      <c r="AH2091" s="108" t="s">
        <v>31</v>
      </c>
      <c r="AI2091" s="128" t="s">
        <v>42</v>
      </c>
      <c r="AJ2091" s="129" t="s">
        <v>48</v>
      </c>
      <c r="AK2091" s="129">
        <v>6</v>
      </c>
      <c r="AL2091" s="3" t="s">
        <v>48</v>
      </c>
      <c r="AP2091" s="129" t="s">
        <v>91</v>
      </c>
      <c r="AR2091" s="128" t="s">
        <v>92</v>
      </c>
      <c r="AS2091" s="129" t="s">
        <v>74</v>
      </c>
      <c r="BC2091" s="129" t="s">
        <v>52</v>
      </c>
      <c r="BF2091" s="111">
        <f t="shared" si="1560"/>
        <v>2</v>
      </c>
      <c r="BG2091" s="111">
        <f t="shared" si="1561"/>
        <v>153</v>
      </c>
      <c r="BH2091" s="111">
        <f t="shared" si="1530"/>
        <v>154</v>
      </c>
      <c r="BI2091" s="111">
        <f t="shared" si="1531"/>
        <v>33.16393442622951</v>
      </c>
      <c r="BJ2091" s="129">
        <f>(G2091-J2091)+(M2091-G2091)</f>
        <v>0</v>
      </c>
      <c r="BK2091" s="129">
        <f t="shared" si="1532"/>
        <v>-151</v>
      </c>
      <c r="BL2091" s="129" t="str">
        <f t="shared" si="1557"/>
        <v>DEFERRED</v>
      </c>
      <c r="BM2091" s="129" t="s">
        <v>76</v>
      </c>
      <c r="BN2091" s="129" t="s">
        <v>88</v>
      </c>
      <c r="BP2091" s="137" t="str">
        <f t="shared" si="1539"/>
        <v>DEFERRED</v>
      </c>
      <c r="BQ2091" s="128" t="str">
        <f t="shared" si="1540"/>
        <v>Y</v>
      </c>
      <c r="BR2091" s="129" t="str">
        <f t="shared" si="1541"/>
        <v>ON BOND</v>
      </c>
      <c r="BS2091" s="129" t="str">
        <f t="shared" si="1542"/>
        <v>DISPOSED</v>
      </c>
      <c r="BT2091" s="129" t="str">
        <f t="shared" si="1543"/>
        <v>Y</v>
      </c>
      <c r="BU2091" s="109">
        <f t="shared" si="1544"/>
        <v>1.2987012987012988E-2</v>
      </c>
      <c r="BV2091" s="109">
        <f t="shared" si="1545"/>
        <v>1.3071895424836602E-2</v>
      </c>
      <c r="BW2091" s="109">
        <f t="shared" ref="BW2091:BW2129" si="1563">BV2091-BU2091</f>
        <v>8.4882437823613835E-5</v>
      </c>
      <c r="BX2091" s="111">
        <f t="shared" si="1546"/>
        <v>0</v>
      </c>
      <c r="BY2091" s="129">
        <f t="shared" si="1547"/>
        <v>-2</v>
      </c>
      <c r="BZ2091" s="111">
        <f t="shared" si="1548"/>
        <v>0</v>
      </c>
      <c r="CA2091" s="138">
        <f t="shared" si="1549"/>
        <v>2</v>
      </c>
      <c r="CB2091" s="111" t="e">
        <f t="shared" si="1562"/>
        <v>#VALUE!</v>
      </c>
      <c r="CC2091" s="129">
        <f>M2091-I2091+1</f>
        <v>2</v>
      </c>
      <c r="CD2091" s="111">
        <f>CC2091-BF2091</f>
        <v>0</v>
      </c>
      <c r="CG2091" s="129" t="str">
        <f t="shared" si="1550"/>
        <v>Y</v>
      </c>
      <c r="CI2091" s="129" t="str">
        <f t="shared" si="1551"/>
        <v>0-10 DAYS</v>
      </c>
      <c r="CJ2091" s="137">
        <f t="shared" si="1552"/>
        <v>1</v>
      </c>
      <c r="CK2091" s="129" t="str">
        <f t="shared" si="1553"/>
        <v>Booked</v>
      </c>
    </row>
    <row r="2092" spans="1:89" ht="15" customHeight="1" x14ac:dyDescent="0.25">
      <c r="A2092" s="111">
        <v>446</v>
      </c>
      <c r="B2092" s="128" t="str">
        <f t="shared" si="1534"/>
        <v>N</v>
      </c>
      <c r="C2092" s="128" t="str">
        <f t="shared" si="1535"/>
        <v>N</v>
      </c>
      <c r="D2092" s="117">
        <v>2417464</v>
      </c>
      <c r="E2092" s="135">
        <f t="shared" si="1536"/>
        <v>6</v>
      </c>
      <c r="F2092" s="124">
        <v>40927</v>
      </c>
      <c r="G2092" s="125">
        <v>41129</v>
      </c>
      <c r="H2092" s="117">
        <v>2417464</v>
      </c>
      <c r="I2092" s="124">
        <v>40927</v>
      </c>
      <c r="J2092" s="124">
        <v>41129</v>
      </c>
      <c r="K2092" s="126">
        <v>5000</v>
      </c>
      <c r="L2092" s="127" t="s">
        <v>569</v>
      </c>
      <c r="N2092" s="129" t="str">
        <f>IF(M2092&gt;1/1/1,"Y","N")</f>
        <v>N</v>
      </c>
      <c r="O2092" s="128" t="s">
        <v>917</v>
      </c>
      <c r="P2092" s="129" t="s">
        <v>39</v>
      </c>
      <c r="Q2092" s="111">
        <f t="shared" si="1559"/>
        <v>203</v>
      </c>
      <c r="R2092" s="111">
        <f t="shared" si="1556"/>
        <v>203</v>
      </c>
      <c r="S2092" s="129">
        <v>1</v>
      </c>
      <c r="T2092" s="129">
        <v>1</v>
      </c>
      <c r="W2092" s="111"/>
      <c r="AC2092" s="130"/>
      <c r="AD2092" s="130">
        <v>32394</v>
      </c>
      <c r="AE2092" s="128" t="s">
        <v>32</v>
      </c>
      <c r="AF2092" s="128" t="s">
        <v>33</v>
      </c>
      <c r="AG2092" s="128" t="s">
        <v>872</v>
      </c>
      <c r="AH2092" s="108" t="s">
        <v>58</v>
      </c>
      <c r="AI2092" s="128" t="s">
        <v>47</v>
      </c>
      <c r="AJ2092" s="129" t="s">
        <v>89</v>
      </c>
      <c r="AK2092" s="129">
        <v>6</v>
      </c>
      <c r="AL2092" s="3" t="s">
        <v>362</v>
      </c>
      <c r="AM2092" s="117">
        <v>2</v>
      </c>
      <c r="AP2092" s="129" t="s">
        <v>101</v>
      </c>
      <c r="AR2092" s="128" t="s">
        <v>67</v>
      </c>
      <c r="AS2092" s="129" t="s">
        <v>64</v>
      </c>
      <c r="BC2092" s="129" t="s">
        <v>38</v>
      </c>
      <c r="BF2092" s="111">
        <f t="shared" si="1560"/>
        <v>203</v>
      </c>
      <c r="BG2092" s="111">
        <f t="shared" si="1561"/>
        <v>203</v>
      </c>
      <c r="BH2092" s="111">
        <f t="shared" si="1530"/>
        <v>203</v>
      </c>
      <c r="BI2092" s="111">
        <f t="shared" si="1531"/>
        <v>23.314207650273225</v>
      </c>
      <c r="BJ2092" s="129">
        <f t="shared" si="1537"/>
        <v>0</v>
      </c>
      <c r="BK2092" s="129">
        <f t="shared" si="1532"/>
        <v>0</v>
      </c>
      <c r="BL2092" s="129" t="str">
        <f t="shared" si="1557"/>
        <v>CONVICTION</v>
      </c>
      <c r="BM2092" s="129" t="str">
        <f t="shared" si="1538"/>
        <v>NONE</v>
      </c>
      <c r="BN2092" s="129" t="s">
        <v>566</v>
      </c>
      <c r="BP2092" s="137" t="str">
        <f t="shared" si="1539"/>
        <v>CONVICTION</v>
      </c>
      <c r="BQ2092" s="128" t="str">
        <f t="shared" si="1540"/>
        <v>Y</v>
      </c>
      <c r="BR2092" s="129" t="str">
        <f t="shared" si="1541"/>
        <v>DETAINED</v>
      </c>
      <c r="BS2092" s="129" t="str">
        <f t="shared" si="1542"/>
        <v>DISPOSED</v>
      </c>
      <c r="BT2092" s="129" t="str">
        <f t="shared" si="1543"/>
        <v>Y</v>
      </c>
      <c r="BU2092" s="109">
        <f t="shared" si="1544"/>
        <v>1</v>
      </c>
      <c r="BV2092" s="109">
        <f t="shared" si="1545"/>
        <v>1</v>
      </c>
      <c r="BW2092" s="109">
        <f t="shared" si="1563"/>
        <v>0</v>
      </c>
      <c r="BX2092" s="111">
        <f t="shared" si="1546"/>
        <v>0</v>
      </c>
      <c r="BY2092" s="129">
        <f t="shared" si="1547"/>
        <v>-203</v>
      </c>
      <c r="BZ2092" s="111">
        <f t="shared" si="1548"/>
        <v>0</v>
      </c>
      <c r="CA2092" s="138">
        <f t="shared" si="1549"/>
        <v>203</v>
      </c>
      <c r="CB2092" s="111" t="e">
        <f t="shared" si="1562"/>
        <v>#VALUE!</v>
      </c>
      <c r="CC2092" s="129">
        <f>G2092-I2092+1</f>
        <v>203</v>
      </c>
      <c r="CD2092" s="129">
        <f>G2092-J2092</f>
        <v>0</v>
      </c>
      <c r="CG2092" s="129" t="str">
        <f t="shared" si="1550"/>
        <v>Y</v>
      </c>
      <c r="CI2092" s="129" t="str">
        <f t="shared" si="1551"/>
        <v>121-365 DAYS</v>
      </c>
      <c r="CJ2092" s="137">
        <f t="shared" si="1552"/>
        <v>6</v>
      </c>
      <c r="CK2092" s="129" t="str">
        <f t="shared" si="1553"/>
        <v>Booked</v>
      </c>
    </row>
    <row r="2093" spans="1:89" ht="15" customHeight="1" x14ac:dyDescent="0.25">
      <c r="A2093" s="111">
        <v>748</v>
      </c>
      <c r="B2093" s="128" t="str">
        <f t="shared" si="1534"/>
        <v>N</v>
      </c>
      <c r="C2093" s="128" t="str">
        <f t="shared" si="1535"/>
        <v>N</v>
      </c>
      <c r="D2093" s="117">
        <v>2417807</v>
      </c>
      <c r="E2093" s="135">
        <f t="shared" si="1536"/>
        <v>1</v>
      </c>
      <c r="F2093" s="124">
        <v>40938</v>
      </c>
      <c r="G2093" s="125">
        <v>40940</v>
      </c>
      <c r="H2093" s="117">
        <v>2417807</v>
      </c>
      <c r="I2093" s="124">
        <v>40938</v>
      </c>
      <c r="J2093" s="124">
        <v>40940</v>
      </c>
      <c r="K2093" s="126" t="s">
        <v>564</v>
      </c>
      <c r="L2093" s="127" t="s">
        <v>564</v>
      </c>
      <c r="N2093" s="129" t="s">
        <v>566</v>
      </c>
      <c r="O2093" s="128" t="s">
        <v>917</v>
      </c>
      <c r="P2093" s="116" t="s">
        <v>55</v>
      </c>
      <c r="Q2093" s="111">
        <f t="shared" si="1559"/>
        <v>3</v>
      </c>
      <c r="R2093" s="111">
        <f t="shared" si="1556"/>
        <v>3</v>
      </c>
      <c r="S2093" s="129">
        <v>1</v>
      </c>
      <c r="T2093" s="129">
        <v>0</v>
      </c>
      <c r="V2093" s="117">
        <v>1</v>
      </c>
      <c r="W2093" s="111"/>
      <c r="AC2093" s="130"/>
      <c r="AD2093" s="130">
        <v>32292</v>
      </c>
      <c r="AE2093" s="128" t="s">
        <v>46</v>
      </c>
      <c r="AF2093" s="128" t="s">
        <v>33</v>
      </c>
      <c r="AG2093" s="128" t="s">
        <v>872</v>
      </c>
      <c r="AH2093" s="108" t="s">
        <v>58</v>
      </c>
      <c r="AI2093" s="128" t="s">
        <v>90</v>
      </c>
      <c r="AJ2093" s="129" t="s">
        <v>55</v>
      </c>
      <c r="AK2093" s="129">
        <v>2</v>
      </c>
      <c r="AL2093" s="3" t="s">
        <v>55</v>
      </c>
      <c r="AP2093" s="129" t="s">
        <v>43</v>
      </c>
      <c r="AR2093" s="128" t="s">
        <v>44</v>
      </c>
      <c r="AS2093" s="129" t="s">
        <v>45</v>
      </c>
      <c r="BC2093" s="129" t="s">
        <v>38</v>
      </c>
      <c r="BF2093" s="111">
        <f t="shared" si="1560"/>
        <v>3</v>
      </c>
      <c r="BG2093" s="111">
        <f t="shared" si="1561"/>
        <v>3</v>
      </c>
      <c r="BH2093" s="111">
        <f t="shared" si="1530"/>
        <v>3</v>
      </c>
      <c r="BI2093" s="111">
        <f t="shared" si="1531"/>
        <v>23.622950819672131</v>
      </c>
      <c r="BJ2093" s="129">
        <f t="shared" si="1537"/>
        <v>0</v>
      </c>
      <c r="BK2093" s="129">
        <f t="shared" si="1532"/>
        <v>0</v>
      </c>
      <c r="BL2093" s="129" t="str">
        <f t="shared" si="1557"/>
        <v>NO CONVICTION</v>
      </c>
      <c r="BM2093" s="129" t="str">
        <f t="shared" si="1538"/>
        <v>NONE</v>
      </c>
      <c r="BN2093" s="129" t="s">
        <v>566</v>
      </c>
      <c r="BP2093" s="137" t="str">
        <f t="shared" si="1539"/>
        <v>NO CONVICTION</v>
      </c>
      <c r="BQ2093" s="128" t="str">
        <f t="shared" si="1540"/>
        <v>Y</v>
      </c>
      <c r="BR2093" s="129" t="str">
        <f t="shared" si="1541"/>
        <v>DETAINED</v>
      </c>
      <c r="BS2093" s="129" t="str">
        <f t="shared" si="1542"/>
        <v>DISPOSED</v>
      </c>
      <c r="BT2093" s="129" t="str">
        <f t="shared" si="1543"/>
        <v>Y</v>
      </c>
      <c r="BU2093" s="109">
        <f>IFERROR(Q2093/R2093,BR2093)</f>
        <v>1</v>
      </c>
      <c r="BV2093" s="109">
        <f t="shared" si="1545"/>
        <v>1</v>
      </c>
      <c r="BW2093" s="109">
        <f t="shared" si="1563"/>
        <v>0</v>
      </c>
      <c r="BX2093" s="111">
        <f t="shared" si="1546"/>
        <v>0</v>
      </c>
      <c r="BY2093" s="129">
        <f t="shared" si="1547"/>
        <v>-3</v>
      </c>
      <c r="BZ2093" s="111">
        <f t="shared" si="1548"/>
        <v>0</v>
      </c>
      <c r="CA2093" s="138">
        <f t="shared" si="1549"/>
        <v>3</v>
      </c>
      <c r="CB2093" s="111" t="e">
        <f t="shared" si="1562"/>
        <v>#VALUE!</v>
      </c>
      <c r="CC2093" s="129">
        <f>G2093-I2093+1</f>
        <v>3</v>
      </c>
      <c r="CD2093" s="129">
        <f>G2093-J2093</f>
        <v>0</v>
      </c>
      <c r="CG2093" s="129" t="str">
        <f t="shared" si="1550"/>
        <v>Y</v>
      </c>
      <c r="CI2093" s="129" t="str">
        <f t="shared" si="1551"/>
        <v>0-10 DAYS</v>
      </c>
      <c r="CJ2093" s="137">
        <f t="shared" si="1552"/>
        <v>1</v>
      </c>
      <c r="CK2093" s="129" t="str">
        <f t="shared" si="1553"/>
        <v>Booked</v>
      </c>
    </row>
    <row r="2094" spans="1:89" ht="15.75" customHeight="1" x14ac:dyDescent="0.25">
      <c r="A2094" s="111">
        <v>1411</v>
      </c>
      <c r="B2094" s="128" t="str">
        <f t="shared" si="1534"/>
        <v>Y</v>
      </c>
      <c r="C2094" s="128" t="str">
        <f t="shared" si="1535"/>
        <v>N</v>
      </c>
      <c r="D2094" s="117">
        <v>2417851</v>
      </c>
      <c r="E2094" s="135">
        <f t="shared" si="1536"/>
        <v>1</v>
      </c>
      <c r="F2094" s="124">
        <v>40961</v>
      </c>
      <c r="G2094" s="125">
        <v>41191</v>
      </c>
      <c r="H2094" s="117">
        <v>2417851</v>
      </c>
      <c r="I2094" s="124">
        <v>40962</v>
      </c>
      <c r="J2094" s="124">
        <v>41191</v>
      </c>
      <c r="K2094" s="126">
        <v>30000</v>
      </c>
      <c r="L2094" s="129" t="s">
        <v>572</v>
      </c>
      <c r="N2094" s="129" t="str">
        <f>IF(M2094&gt;1/1/1,"Y","N")</f>
        <v>N</v>
      </c>
      <c r="O2094" s="128" t="s">
        <v>917</v>
      </c>
      <c r="P2094" s="129" t="s">
        <v>55</v>
      </c>
      <c r="Q2094" s="111">
        <f t="shared" si="1559"/>
        <v>230</v>
      </c>
      <c r="R2094" s="111">
        <f t="shared" si="1556"/>
        <v>231</v>
      </c>
      <c r="S2094" s="129">
        <v>0</v>
      </c>
      <c r="T2094" s="129">
        <v>0</v>
      </c>
      <c r="W2094" s="111"/>
      <c r="AC2094" s="130"/>
      <c r="AD2094" s="130">
        <v>26376</v>
      </c>
      <c r="AE2094" s="128" t="s">
        <v>32</v>
      </c>
      <c r="AF2094" s="128" t="s">
        <v>69</v>
      </c>
      <c r="AG2094" s="128" t="s">
        <v>874</v>
      </c>
      <c r="AH2094" s="108" t="s">
        <v>31</v>
      </c>
      <c r="AI2094" s="128" t="s">
        <v>80</v>
      </c>
      <c r="AJ2094" s="129" t="s">
        <v>55</v>
      </c>
      <c r="AK2094" s="129">
        <v>8</v>
      </c>
      <c r="AL2094" s="3" t="s">
        <v>55</v>
      </c>
      <c r="AP2094" s="129" t="s">
        <v>43</v>
      </c>
      <c r="AR2094" s="128" t="s">
        <v>44</v>
      </c>
      <c r="AS2094" s="129" t="s">
        <v>45</v>
      </c>
      <c r="AT2094" s="129" t="s">
        <v>1421</v>
      </c>
      <c r="BC2094" s="129" t="s">
        <v>38</v>
      </c>
      <c r="BD2094" s="129" t="s">
        <v>652</v>
      </c>
      <c r="BF2094" s="111">
        <f t="shared" si="1560"/>
        <v>230</v>
      </c>
      <c r="BG2094" s="111">
        <f t="shared" si="1561"/>
        <v>230</v>
      </c>
      <c r="BH2094" s="111">
        <f t="shared" si="1530"/>
        <v>231</v>
      </c>
      <c r="BI2094" s="111">
        <f t="shared" si="1531"/>
        <v>39.849726775956285</v>
      </c>
      <c r="BJ2094" s="129">
        <f t="shared" si="1537"/>
        <v>0</v>
      </c>
      <c r="BK2094" s="129">
        <f t="shared" si="1532"/>
        <v>0</v>
      </c>
      <c r="BL2094" s="129" t="str">
        <f t="shared" si="1557"/>
        <v>NO CONVICTION</v>
      </c>
      <c r="BM2094" s="129" t="str">
        <f t="shared" si="1538"/>
        <v>NONE</v>
      </c>
      <c r="BN2094" s="129" t="s">
        <v>566</v>
      </c>
      <c r="BP2094" s="137" t="str">
        <f t="shared" si="1539"/>
        <v>NO CONVICTION</v>
      </c>
      <c r="BQ2094" s="128" t="str">
        <f t="shared" si="1540"/>
        <v>Y</v>
      </c>
      <c r="BR2094" s="129" t="str">
        <f t="shared" si="1541"/>
        <v>DETAINED</v>
      </c>
      <c r="BS2094" s="129" t="str">
        <f t="shared" si="1542"/>
        <v>DISPOSED</v>
      </c>
      <c r="BT2094" s="129" t="str">
        <f t="shared" si="1543"/>
        <v>N</v>
      </c>
      <c r="BU2094" s="109">
        <f>IFERROR(Q2094/R2094,BR2094)</f>
        <v>0.99567099567099571</v>
      </c>
      <c r="BV2094" s="109">
        <f t="shared" si="1545"/>
        <v>1</v>
      </c>
      <c r="BW2094" s="109">
        <f t="shared" si="1563"/>
        <v>4.3290043290042934E-3</v>
      </c>
      <c r="BX2094" s="111">
        <f t="shared" si="1546"/>
        <v>0</v>
      </c>
      <c r="BY2094" s="129">
        <f t="shared" si="1547"/>
        <v>-230</v>
      </c>
      <c r="BZ2094" s="111">
        <f t="shared" si="1548"/>
        <v>0</v>
      </c>
      <c r="CA2094" s="138">
        <f t="shared" si="1549"/>
        <v>230</v>
      </c>
      <c r="CB2094" s="111" t="e">
        <f t="shared" si="1562"/>
        <v>#VALUE!</v>
      </c>
      <c r="CC2094" s="129">
        <f>G2094-I2094+1</f>
        <v>230</v>
      </c>
      <c r="CD2094" s="129">
        <f>G2094-J2094</f>
        <v>0</v>
      </c>
      <c r="CG2094" s="129" t="str">
        <f t="shared" si="1550"/>
        <v>N</v>
      </c>
      <c r="CI2094" s="129" t="str">
        <f t="shared" si="1551"/>
        <v>121-365 DAYS</v>
      </c>
      <c r="CJ2094" s="137">
        <f t="shared" si="1552"/>
        <v>6</v>
      </c>
      <c r="CK2094" s="129" t="str">
        <f t="shared" si="1553"/>
        <v>Booked</v>
      </c>
    </row>
    <row r="2095" spans="1:89" ht="15" customHeight="1" x14ac:dyDescent="0.25">
      <c r="A2095" s="111">
        <v>2313</v>
      </c>
      <c r="B2095" s="128" t="str">
        <f t="shared" si="1534"/>
        <v>N</v>
      </c>
      <c r="C2095" s="128" t="str">
        <f t="shared" si="1535"/>
        <v>N</v>
      </c>
      <c r="D2095" s="151">
        <v>2418914</v>
      </c>
      <c r="E2095" s="135">
        <f t="shared" si="1536"/>
        <v>2</v>
      </c>
      <c r="F2095" s="124">
        <v>40987</v>
      </c>
      <c r="G2095" s="125">
        <v>41208</v>
      </c>
      <c r="H2095" s="151">
        <v>2418914</v>
      </c>
      <c r="I2095" s="124" t="s">
        <v>562</v>
      </c>
      <c r="J2095" s="124" t="s">
        <v>562</v>
      </c>
      <c r="K2095" s="126">
        <v>10000</v>
      </c>
      <c r="L2095" s="127" t="s">
        <v>570</v>
      </c>
      <c r="M2095" s="125">
        <v>40990</v>
      </c>
      <c r="N2095" s="129" t="str">
        <f>IF(M2095&gt;1/1/1,"Y",IF(Q2095="0","","N"))</f>
        <v>Y</v>
      </c>
      <c r="O2095" s="128" t="s">
        <v>76</v>
      </c>
      <c r="P2095" s="129" t="s">
        <v>589</v>
      </c>
      <c r="Q2095" s="111">
        <f t="shared" si="1559"/>
        <v>0</v>
      </c>
      <c r="R2095" s="111">
        <f t="shared" si="1556"/>
        <v>222</v>
      </c>
      <c r="S2095" s="129">
        <v>1</v>
      </c>
      <c r="T2095" s="129">
        <v>5</v>
      </c>
      <c r="W2095" s="111"/>
      <c r="AC2095" s="130"/>
      <c r="AD2095" s="130">
        <v>33541</v>
      </c>
      <c r="AE2095" s="128" t="s">
        <v>32</v>
      </c>
      <c r="AF2095" s="128" t="s">
        <v>33</v>
      </c>
      <c r="AG2095" s="128" t="s">
        <v>872</v>
      </c>
      <c r="AH2095" s="108" t="s">
        <v>31</v>
      </c>
      <c r="AI2095" s="128" t="s">
        <v>47</v>
      </c>
      <c r="AJ2095" s="129" t="s">
        <v>48</v>
      </c>
      <c r="AK2095" s="129">
        <v>10</v>
      </c>
      <c r="AL2095" s="3" t="s">
        <v>48</v>
      </c>
      <c r="AO2095" s="128">
        <v>15</v>
      </c>
      <c r="AP2095" s="129" t="s">
        <v>43</v>
      </c>
      <c r="AR2095" s="128" t="s">
        <v>44</v>
      </c>
      <c r="AS2095" s="129" t="s">
        <v>45</v>
      </c>
      <c r="AT2095" s="129" t="s">
        <v>652</v>
      </c>
      <c r="BC2095" s="129" t="s">
        <v>52</v>
      </c>
      <c r="BF2095" s="111">
        <v>0</v>
      </c>
      <c r="BG2095" s="111">
        <v>0</v>
      </c>
      <c r="BH2095" s="111">
        <f t="shared" si="1530"/>
        <v>222</v>
      </c>
      <c r="BI2095" s="111">
        <f t="shared" si="1531"/>
        <v>20.344262295081968</v>
      </c>
      <c r="BJ2095" s="129" t="e">
        <f>(G2095-J2095)+(M2095-G2095)</f>
        <v>#VALUE!</v>
      </c>
      <c r="BK2095" s="129" t="e">
        <f t="shared" si="1532"/>
        <v>#VALUE!</v>
      </c>
      <c r="BL2095" s="129" t="str">
        <f t="shared" si="1557"/>
        <v>DEFERRED</v>
      </c>
      <c r="BM2095" s="129" t="s">
        <v>76</v>
      </c>
      <c r="BN2095" s="129" t="s">
        <v>88</v>
      </c>
      <c r="BP2095" s="137" t="str">
        <f t="shared" si="1539"/>
        <v>DEFERRED</v>
      </c>
      <c r="BQ2095" s="128">
        <f t="shared" si="1540"/>
        <v>0</v>
      </c>
      <c r="BR2095" s="129" t="s">
        <v>575</v>
      </c>
      <c r="BS2095" s="129" t="str">
        <f t="shared" si="1542"/>
        <v>DISPOSED</v>
      </c>
      <c r="BT2095" s="129" t="str">
        <f t="shared" si="1543"/>
        <v>Y</v>
      </c>
      <c r="BU2095" s="109">
        <f t="shared" si="1544"/>
        <v>0</v>
      </c>
      <c r="BV2095" s="109">
        <v>0</v>
      </c>
      <c r="BW2095" s="109">
        <f t="shared" si="1563"/>
        <v>0</v>
      </c>
      <c r="BX2095" s="111">
        <f t="shared" si="1546"/>
        <v>0</v>
      </c>
      <c r="BY2095" s="129" t="e">
        <f t="shared" si="1547"/>
        <v>#VALUE!</v>
      </c>
      <c r="BZ2095" s="111" t="e">
        <f t="shared" si="1548"/>
        <v>#VALUE!</v>
      </c>
      <c r="CA2095" s="138" t="e">
        <f t="shared" si="1549"/>
        <v>#VALUE!</v>
      </c>
      <c r="CB2095" s="111">
        <v>0</v>
      </c>
      <c r="CC2095" s="129">
        <v>0</v>
      </c>
      <c r="CD2095" s="111">
        <f>CC2095-BF2095</f>
        <v>0</v>
      </c>
      <c r="CG2095" s="129" t="str">
        <f t="shared" si="1550"/>
        <v>Y</v>
      </c>
      <c r="CI2095" s="129" t="str">
        <f t="shared" si="1551"/>
        <v>0-10 DAYS</v>
      </c>
      <c r="CJ2095" s="137">
        <f t="shared" si="1552"/>
        <v>1</v>
      </c>
      <c r="CK2095" s="129" t="str">
        <f t="shared" si="1553"/>
        <v>Not Booked</v>
      </c>
    </row>
    <row r="2096" spans="1:89" ht="15" customHeight="1" x14ac:dyDescent="0.25">
      <c r="A2096" s="111">
        <v>1743</v>
      </c>
      <c r="B2096" s="128" t="str">
        <f t="shared" si="1534"/>
        <v>N</v>
      </c>
      <c r="C2096" s="128" t="str">
        <f t="shared" si="1535"/>
        <v>N</v>
      </c>
      <c r="D2096" s="117">
        <v>2418931</v>
      </c>
      <c r="E2096" s="135">
        <f t="shared" si="1536"/>
        <v>6</v>
      </c>
      <c r="F2096" s="124">
        <v>40973</v>
      </c>
      <c r="G2096" s="125">
        <v>41088</v>
      </c>
      <c r="H2096" s="117">
        <v>2418931</v>
      </c>
      <c r="I2096" s="124">
        <v>40984</v>
      </c>
      <c r="J2096" s="124">
        <v>41088</v>
      </c>
      <c r="K2096" s="126" t="s">
        <v>564</v>
      </c>
      <c r="L2096" s="127" t="s">
        <v>564</v>
      </c>
      <c r="N2096" s="129" t="s">
        <v>566</v>
      </c>
      <c r="O2096" s="128" t="s">
        <v>917</v>
      </c>
      <c r="P2096" s="129" t="s">
        <v>39</v>
      </c>
      <c r="Q2096" s="111">
        <f t="shared" si="1559"/>
        <v>105</v>
      </c>
      <c r="R2096" s="111">
        <f t="shared" si="1556"/>
        <v>116</v>
      </c>
      <c r="S2096" s="129">
        <v>0</v>
      </c>
      <c r="T2096" s="129">
        <v>2</v>
      </c>
      <c r="W2096" s="111"/>
      <c r="AC2096" s="130"/>
      <c r="AD2096" s="130">
        <v>33151</v>
      </c>
      <c r="AE2096" s="128" t="s">
        <v>32</v>
      </c>
      <c r="AF2096" s="128" t="s">
        <v>33</v>
      </c>
      <c r="AG2096" s="128" t="s">
        <v>872</v>
      </c>
      <c r="AH2096" s="108" t="s">
        <v>31</v>
      </c>
      <c r="AI2096" s="128" t="s">
        <v>118</v>
      </c>
      <c r="AJ2096" s="129" t="s">
        <v>89</v>
      </c>
      <c r="AK2096" s="129">
        <v>7</v>
      </c>
      <c r="AL2096" s="3" t="s">
        <v>362</v>
      </c>
      <c r="AM2096" s="117">
        <v>2</v>
      </c>
      <c r="AP2096" s="129" t="s">
        <v>73</v>
      </c>
      <c r="AR2096" s="128" t="s">
        <v>50</v>
      </c>
      <c r="AS2096" s="129" t="s">
        <v>74</v>
      </c>
      <c r="BC2096" s="129" t="s">
        <v>38</v>
      </c>
      <c r="BF2096" s="111">
        <f t="shared" ref="BF2096:BF2119" si="1564">IF(J2096&gt;1/1/1900,((J2096+1)-I2096),"STILL OPEN")</f>
        <v>105</v>
      </c>
      <c r="BG2096" s="111">
        <f t="shared" ref="BG2096:BG2119" si="1565">IF(G2096&gt;1/1/1900,((G2096+1)-I2096),"STILL OPEN")</f>
        <v>105</v>
      </c>
      <c r="BH2096" s="111">
        <f t="shared" si="1530"/>
        <v>116</v>
      </c>
      <c r="BI2096" s="111">
        <f t="shared" si="1531"/>
        <v>21.371584699453553</v>
      </c>
      <c r="BJ2096" s="129">
        <f t="shared" si="1537"/>
        <v>0</v>
      </c>
      <c r="BK2096" s="129">
        <f t="shared" si="1532"/>
        <v>0</v>
      </c>
      <c r="BL2096" s="129" t="str">
        <f t="shared" si="1557"/>
        <v>CONVICTION</v>
      </c>
      <c r="BM2096" s="129" t="str">
        <f t="shared" si="1538"/>
        <v>NONE</v>
      </c>
      <c r="BN2096" s="129" t="s">
        <v>566</v>
      </c>
      <c r="BP2096" s="137" t="str">
        <f t="shared" si="1539"/>
        <v>CONVICTION</v>
      </c>
      <c r="BQ2096" s="128" t="str">
        <f t="shared" si="1540"/>
        <v>Y</v>
      </c>
      <c r="BR2096" s="129" t="str">
        <f t="shared" si="1541"/>
        <v>DETAINED</v>
      </c>
      <c r="BS2096" s="129" t="str">
        <f t="shared" si="1542"/>
        <v>DISPOSED</v>
      </c>
      <c r="BT2096" s="129" t="str">
        <f t="shared" si="1543"/>
        <v>N</v>
      </c>
      <c r="BU2096" s="109">
        <f t="shared" si="1544"/>
        <v>0.90517241379310343</v>
      </c>
      <c r="BV2096" s="109">
        <f t="shared" si="1545"/>
        <v>1</v>
      </c>
      <c r="BW2096" s="109">
        <f t="shared" si="1563"/>
        <v>9.4827586206896575E-2</v>
      </c>
      <c r="BX2096" s="111">
        <f t="shared" si="1546"/>
        <v>0</v>
      </c>
      <c r="BY2096" s="129">
        <f t="shared" si="1547"/>
        <v>-105</v>
      </c>
      <c r="BZ2096" s="111">
        <f t="shared" si="1548"/>
        <v>0</v>
      </c>
      <c r="CA2096" s="138">
        <f t="shared" si="1549"/>
        <v>105</v>
      </c>
      <c r="CB2096" s="111" t="e">
        <f t="shared" ref="CB2096:CB2119" si="1566">IF(AF2096&gt;1/1/1900,((AF2096+1)-AE2096),"STILL OPEN")</f>
        <v>#VALUE!</v>
      </c>
      <c r="CC2096" s="129">
        <f>G2096-I2096+1</f>
        <v>105</v>
      </c>
      <c r="CD2096" s="129">
        <f t="shared" ref="CD2096:CD2101" si="1567">G2096-J2096</f>
        <v>0</v>
      </c>
      <c r="CG2096" s="129" t="str">
        <f t="shared" si="1550"/>
        <v>Y</v>
      </c>
      <c r="CI2096" s="129" t="str">
        <f t="shared" si="1551"/>
        <v>91-120 DAYS</v>
      </c>
      <c r="CJ2096" s="137">
        <f t="shared" si="1552"/>
        <v>0</v>
      </c>
      <c r="CK2096" s="129" t="str">
        <f t="shared" si="1553"/>
        <v>Booked</v>
      </c>
    </row>
    <row r="2097" spans="1:89" ht="15.75" customHeight="1" x14ac:dyDescent="0.25">
      <c r="A2097" s="111">
        <v>2455</v>
      </c>
      <c r="B2097" s="128" t="str">
        <f t="shared" si="1534"/>
        <v>Y</v>
      </c>
      <c r="C2097" s="128" t="str">
        <f t="shared" si="1535"/>
        <v>Y</v>
      </c>
      <c r="D2097" s="117">
        <v>2419007</v>
      </c>
      <c r="E2097" s="135">
        <f t="shared" si="1536"/>
        <v>2</v>
      </c>
      <c r="F2097" s="124">
        <v>41001</v>
      </c>
      <c r="G2097" s="125">
        <v>41143</v>
      </c>
      <c r="H2097" s="117">
        <v>2419007</v>
      </c>
      <c r="I2097" s="124">
        <v>41002</v>
      </c>
      <c r="J2097" s="124">
        <v>41003</v>
      </c>
      <c r="K2097" s="126">
        <v>10000</v>
      </c>
      <c r="L2097" s="127" t="s">
        <v>570</v>
      </c>
      <c r="M2097" s="125">
        <v>41003</v>
      </c>
      <c r="N2097" s="129" t="str">
        <f>IF(M2097&gt;1/1/1,"Y","N")</f>
        <v>Y</v>
      </c>
      <c r="O2097" s="128" t="s">
        <v>76</v>
      </c>
      <c r="P2097" s="129" t="s">
        <v>589</v>
      </c>
      <c r="Q2097" s="111">
        <v>7</v>
      </c>
      <c r="R2097" s="111">
        <f t="shared" si="1556"/>
        <v>143</v>
      </c>
      <c r="S2097" s="129">
        <v>0</v>
      </c>
      <c r="T2097" s="129">
        <v>2</v>
      </c>
      <c r="W2097" s="111"/>
      <c r="AC2097" s="130"/>
      <c r="AD2097" s="130">
        <v>33264</v>
      </c>
      <c r="AE2097" s="128" t="s">
        <v>32</v>
      </c>
      <c r="AF2097" s="128" t="s">
        <v>33</v>
      </c>
      <c r="AG2097" s="128" t="s">
        <v>872</v>
      </c>
      <c r="AH2097" s="108" t="s">
        <v>31</v>
      </c>
      <c r="AI2097" s="128" t="s">
        <v>65</v>
      </c>
      <c r="AJ2097" s="129" t="s">
        <v>48</v>
      </c>
      <c r="AK2097" s="129">
        <v>9</v>
      </c>
      <c r="AL2097" s="3" t="s">
        <v>48</v>
      </c>
      <c r="AP2097" s="129" t="s">
        <v>56</v>
      </c>
      <c r="AR2097" s="128" t="s">
        <v>50</v>
      </c>
      <c r="AS2097" s="129" t="s">
        <v>57</v>
      </c>
      <c r="AT2097" s="129" t="s">
        <v>441</v>
      </c>
      <c r="AU2097" s="3" t="s">
        <v>769</v>
      </c>
      <c r="AX2097" s="32" t="s">
        <v>88</v>
      </c>
      <c r="AY2097" s="123"/>
      <c r="BC2097" s="129" t="s">
        <v>52</v>
      </c>
      <c r="BD2097" s="129" t="s">
        <v>1296</v>
      </c>
      <c r="BF2097" s="111">
        <v>7</v>
      </c>
      <c r="BG2097" s="111">
        <f t="shared" si="1565"/>
        <v>142</v>
      </c>
      <c r="BH2097" s="111">
        <f t="shared" si="1530"/>
        <v>143</v>
      </c>
      <c r="BI2097" s="111">
        <f t="shared" si="1531"/>
        <v>21.139344262295083</v>
      </c>
      <c r="BJ2097" s="129">
        <f>(G2097-J2097)+(M2097-G2097)</f>
        <v>0</v>
      </c>
      <c r="BK2097" s="129">
        <f t="shared" si="1532"/>
        <v>-140</v>
      </c>
      <c r="BL2097" s="129" t="str">
        <f t="shared" si="1557"/>
        <v>DEFERRED</v>
      </c>
      <c r="BM2097" s="129" t="s">
        <v>76</v>
      </c>
      <c r="BN2097" s="129" t="s">
        <v>88</v>
      </c>
      <c r="BP2097" s="137" t="str">
        <f t="shared" si="1539"/>
        <v>DEFERRED</v>
      </c>
      <c r="BQ2097" s="128" t="str">
        <f t="shared" si="1540"/>
        <v>Y</v>
      </c>
      <c r="BR2097" s="129" t="str">
        <f t="shared" si="1541"/>
        <v>ON BOND</v>
      </c>
      <c r="BS2097" s="129" t="str">
        <f t="shared" si="1542"/>
        <v>DISPOSED</v>
      </c>
      <c r="BT2097" s="129" t="str">
        <f t="shared" si="1543"/>
        <v>N</v>
      </c>
      <c r="BU2097" s="109">
        <f t="shared" si="1544"/>
        <v>4.8951048951048952E-2</v>
      </c>
      <c r="BV2097" s="109">
        <f t="shared" si="1545"/>
        <v>1.4084507042253521E-2</v>
      </c>
      <c r="BW2097" s="109">
        <f t="shared" si="1563"/>
        <v>-3.4866541908795429E-2</v>
      </c>
      <c r="BX2097" s="111">
        <f t="shared" si="1546"/>
        <v>0</v>
      </c>
      <c r="BY2097" s="129">
        <f t="shared" si="1547"/>
        <v>-2</v>
      </c>
      <c r="BZ2097" s="111">
        <f t="shared" si="1548"/>
        <v>5</v>
      </c>
      <c r="CA2097" s="138">
        <f t="shared" si="1549"/>
        <v>2</v>
      </c>
      <c r="CB2097" s="111">
        <v>7</v>
      </c>
      <c r="CD2097" s="129">
        <f t="shared" si="1567"/>
        <v>140</v>
      </c>
      <c r="CG2097" s="129" t="str">
        <f t="shared" si="1550"/>
        <v>Y</v>
      </c>
      <c r="CI2097" s="129" t="str">
        <f t="shared" si="1551"/>
        <v>0-10 DAYS</v>
      </c>
      <c r="CJ2097" s="137">
        <f t="shared" si="1552"/>
        <v>1</v>
      </c>
      <c r="CK2097" s="129" t="str">
        <f t="shared" si="1553"/>
        <v>Booked</v>
      </c>
    </row>
    <row r="2098" spans="1:89" ht="15.75" customHeight="1" x14ac:dyDescent="0.25">
      <c r="A2098" s="111">
        <v>2731</v>
      </c>
      <c r="B2098" s="128" t="str">
        <f t="shared" si="1534"/>
        <v>N</v>
      </c>
      <c r="C2098" s="128" t="str">
        <f t="shared" si="1535"/>
        <v>N</v>
      </c>
      <c r="D2098" s="117">
        <v>2419167</v>
      </c>
      <c r="E2098" s="135">
        <f t="shared" si="1536"/>
        <v>1</v>
      </c>
      <c r="F2098" s="124">
        <v>41010</v>
      </c>
      <c r="G2098" s="125">
        <v>41086</v>
      </c>
      <c r="H2098" s="117">
        <v>2419167</v>
      </c>
      <c r="I2098" s="124">
        <v>41011</v>
      </c>
      <c r="J2098" s="124">
        <v>41086</v>
      </c>
      <c r="K2098" s="126">
        <v>150000</v>
      </c>
      <c r="L2098" s="129" t="s">
        <v>572</v>
      </c>
      <c r="N2098" s="129" t="str">
        <f>IF(M2098&gt;1/1/1,"Y","N")</f>
        <v>N</v>
      </c>
      <c r="O2098" s="128" t="s">
        <v>917</v>
      </c>
      <c r="P2098" s="129" t="s">
        <v>55</v>
      </c>
      <c r="Q2098" s="111">
        <f t="shared" si="1559"/>
        <v>76</v>
      </c>
      <c r="R2098" s="111">
        <f t="shared" si="1556"/>
        <v>77</v>
      </c>
      <c r="S2098" s="129">
        <v>0</v>
      </c>
      <c r="T2098" s="129">
        <v>3</v>
      </c>
      <c r="W2098" s="111"/>
      <c r="AC2098" s="130"/>
      <c r="AD2098" s="130">
        <v>33555</v>
      </c>
      <c r="AE2098" s="128" t="s">
        <v>32</v>
      </c>
      <c r="AF2098" s="128" t="s">
        <v>40</v>
      </c>
      <c r="AG2098" s="128" t="s">
        <v>41</v>
      </c>
      <c r="AH2098" s="108" t="s">
        <v>41</v>
      </c>
      <c r="AI2098" s="128" t="s">
        <v>85</v>
      </c>
      <c r="AJ2098" s="129" t="s">
        <v>55</v>
      </c>
      <c r="AK2098" s="129">
        <v>3</v>
      </c>
      <c r="AL2098" s="3" t="s">
        <v>55</v>
      </c>
      <c r="AP2098" s="129" t="s">
        <v>56</v>
      </c>
      <c r="AR2098" s="128" t="s">
        <v>50</v>
      </c>
      <c r="AS2098" s="129" t="s">
        <v>57</v>
      </c>
      <c r="BC2098" s="129" t="s">
        <v>38</v>
      </c>
      <c r="BF2098" s="111">
        <f t="shared" si="1564"/>
        <v>76</v>
      </c>
      <c r="BG2098" s="111">
        <f t="shared" si="1565"/>
        <v>76</v>
      </c>
      <c r="BH2098" s="111">
        <f t="shared" si="1530"/>
        <v>77</v>
      </c>
      <c r="BI2098" s="111">
        <f t="shared" si="1531"/>
        <v>20.368852459016395</v>
      </c>
      <c r="BJ2098" s="129">
        <f t="shared" si="1537"/>
        <v>0</v>
      </c>
      <c r="BK2098" s="129">
        <f t="shared" si="1532"/>
        <v>0</v>
      </c>
      <c r="BL2098" s="129" t="str">
        <f t="shared" si="1557"/>
        <v>NO CONVICTION</v>
      </c>
      <c r="BM2098" s="129" t="str">
        <f t="shared" si="1538"/>
        <v>NONE</v>
      </c>
      <c r="BN2098" s="129" t="s">
        <v>566</v>
      </c>
      <c r="BP2098" s="137" t="str">
        <f t="shared" si="1539"/>
        <v>NO CONVICTION</v>
      </c>
      <c r="BQ2098" s="128" t="str">
        <f t="shared" si="1540"/>
        <v>Y</v>
      </c>
      <c r="BR2098" s="129" t="str">
        <f t="shared" si="1541"/>
        <v>DETAINED</v>
      </c>
      <c r="BS2098" s="129" t="str">
        <f t="shared" si="1542"/>
        <v>DISPOSED</v>
      </c>
      <c r="BT2098" s="129" t="str">
        <f t="shared" si="1543"/>
        <v>N</v>
      </c>
      <c r="BU2098" s="109">
        <f>IFERROR(Q2098/R2098,BR2098)</f>
        <v>0.98701298701298701</v>
      </c>
      <c r="BV2098" s="109">
        <f t="shared" si="1545"/>
        <v>1</v>
      </c>
      <c r="BW2098" s="109">
        <f t="shared" si="1563"/>
        <v>1.2987012987012991E-2</v>
      </c>
      <c r="BX2098" s="111">
        <f t="shared" si="1546"/>
        <v>0</v>
      </c>
      <c r="BY2098" s="129">
        <f t="shared" si="1547"/>
        <v>-76</v>
      </c>
      <c r="BZ2098" s="111">
        <f t="shared" si="1548"/>
        <v>0</v>
      </c>
      <c r="CA2098" s="138">
        <f t="shared" si="1549"/>
        <v>76</v>
      </c>
      <c r="CB2098" s="111" t="e">
        <f t="shared" si="1566"/>
        <v>#VALUE!</v>
      </c>
      <c r="CC2098" s="129">
        <f>G2098-I2098+1</f>
        <v>76</v>
      </c>
      <c r="CD2098" s="129">
        <f t="shared" si="1567"/>
        <v>0</v>
      </c>
      <c r="CG2098" s="129" t="str">
        <f t="shared" si="1550"/>
        <v>Y</v>
      </c>
      <c r="CI2098" s="129" t="str">
        <f t="shared" si="1551"/>
        <v>61-90 DAYS</v>
      </c>
      <c r="CJ2098" s="137">
        <f t="shared" si="1552"/>
        <v>4</v>
      </c>
      <c r="CK2098" s="129" t="str">
        <f t="shared" si="1553"/>
        <v>Booked</v>
      </c>
    </row>
    <row r="2099" spans="1:89" ht="15.75" customHeight="1" x14ac:dyDescent="0.25">
      <c r="A2099" s="111">
        <v>853</v>
      </c>
      <c r="B2099" s="128" t="str">
        <f t="shared" si="1534"/>
        <v>N</v>
      </c>
      <c r="C2099" s="128" t="str">
        <f t="shared" si="1535"/>
        <v>N</v>
      </c>
      <c r="D2099" s="117">
        <v>2419699</v>
      </c>
      <c r="E2099" s="135">
        <f t="shared" si="1536"/>
        <v>1</v>
      </c>
      <c r="F2099" s="124">
        <v>40940</v>
      </c>
      <c r="G2099" s="125">
        <v>40997</v>
      </c>
      <c r="H2099" s="117">
        <v>2419699</v>
      </c>
      <c r="I2099" s="124">
        <v>40941</v>
      </c>
      <c r="J2099" s="124">
        <v>40997</v>
      </c>
      <c r="K2099" s="126" t="s">
        <v>564</v>
      </c>
      <c r="L2099" s="127" t="s">
        <v>564</v>
      </c>
      <c r="N2099" s="129" t="s">
        <v>566</v>
      </c>
      <c r="O2099" s="128" t="s">
        <v>917</v>
      </c>
      <c r="P2099" s="129" t="s">
        <v>55</v>
      </c>
      <c r="Q2099" s="111">
        <f t="shared" si="1559"/>
        <v>57</v>
      </c>
      <c r="R2099" s="111">
        <f t="shared" si="1556"/>
        <v>58</v>
      </c>
      <c r="S2099" s="129">
        <v>0</v>
      </c>
      <c r="T2099" s="129">
        <v>0</v>
      </c>
      <c r="W2099" s="111"/>
      <c r="AC2099" s="130"/>
      <c r="AD2099" s="130">
        <v>31200</v>
      </c>
      <c r="AE2099" s="128" t="s">
        <v>46</v>
      </c>
      <c r="AF2099" s="128" t="s">
        <v>69</v>
      </c>
      <c r="AG2099" s="128" t="s">
        <v>874</v>
      </c>
      <c r="AH2099" s="108" t="s">
        <v>58</v>
      </c>
      <c r="AI2099" s="128" t="s">
        <v>113</v>
      </c>
      <c r="AJ2099" s="129" t="s">
        <v>55</v>
      </c>
      <c r="AK2099" s="129">
        <v>3</v>
      </c>
      <c r="AL2099" s="3" t="s">
        <v>55</v>
      </c>
      <c r="AP2099" s="129" t="s">
        <v>81</v>
      </c>
      <c r="AR2099" s="128" t="s">
        <v>50</v>
      </c>
      <c r="AS2099" s="129" t="s">
        <v>82</v>
      </c>
      <c r="BC2099" s="129" t="s">
        <v>38</v>
      </c>
      <c r="BF2099" s="111">
        <f t="shared" si="1564"/>
        <v>57</v>
      </c>
      <c r="BG2099" s="111">
        <f t="shared" si="1565"/>
        <v>57</v>
      </c>
      <c r="BH2099" s="111">
        <f t="shared" si="1530"/>
        <v>58</v>
      </c>
      <c r="BI2099" s="111">
        <f t="shared" si="1531"/>
        <v>26.612021857923498</v>
      </c>
      <c r="BJ2099" s="129">
        <f t="shared" si="1537"/>
        <v>0</v>
      </c>
      <c r="BK2099" s="129">
        <f t="shared" si="1532"/>
        <v>0</v>
      </c>
      <c r="BL2099" s="129" t="str">
        <f t="shared" si="1557"/>
        <v>NO CONVICTION</v>
      </c>
      <c r="BM2099" s="129" t="str">
        <f t="shared" si="1538"/>
        <v>NONE</v>
      </c>
      <c r="BN2099" s="129" t="s">
        <v>566</v>
      </c>
      <c r="BP2099" s="137" t="str">
        <f t="shared" si="1539"/>
        <v>NO CONVICTION</v>
      </c>
      <c r="BQ2099" s="128" t="str">
        <f t="shared" si="1540"/>
        <v>Y</v>
      </c>
      <c r="BR2099" s="129" t="str">
        <f t="shared" si="1541"/>
        <v>DETAINED</v>
      </c>
      <c r="BS2099" s="129" t="str">
        <f t="shared" si="1542"/>
        <v>DISPOSED</v>
      </c>
      <c r="BT2099" s="129" t="str">
        <f t="shared" si="1543"/>
        <v>N</v>
      </c>
      <c r="BU2099" s="109">
        <f>IFERROR(Q2099/R2099,BR2099)</f>
        <v>0.98275862068965514</v>
      </c>
      <c r="BV2099" s="109">
        <f t="shared" si="1545"/>
        <v>1</v>
      </c>
      <c r="BW2099" s="109">
        <f t="shared" si="1563"/>
        <v>1.7241379310344862E-2</v>
      </c>
      <c r="BX2099" s="111">
        <f t="shared" si="1546"/>
        <v>0</v>
      </c>
      <c r="BY2099" s="129">
        <f t="shared" si="1547"/>
        <v>-57</v>
      </c>
      <c r="BZ2099" s="111">
        <f t="shared" si="1548"/>
        <v>0</v>
      </c>
      <c r="CA2099" s="138">
        <f t="shared" si="1549"/>
        <v>57</v>
      </c>
      <c r="CB2099" s="111" t="e">
        <f t="shared" si="1566"/>
        <v>#VALUE!</v>
      </c>
      <c r="CC2099" s="129">
        <f>G2099-I2099+1</f>
        <v>57</v>
      </c>
      <c r="CD2099" s="129">
        <f t="shared" si="1567"/>
        <v>0</v>
      </c>
      <c r="CG2099" s="129" t="str">
        <f t="shared" si="1550"/>
        <v>N</v>
      </c>
      <c r="CI2099" s="129" t="str">
        <f t="shared" si="1551"/>
        <v>31-60 DAYS</v>
      </c>
      <c r="CJ2099" s="137">
        <f t="shared" si="1552"/>
        <v>3</v>
      </c>
      <c r="CK2099" s="129" t="str">
        <f t="shared" si="1553"/>
        <v>Booked</v>
      </c>
    </row>
    <row r="2100" spans="1:89" ht="15" customHeight="1" x14ac:dyDescent="0.25">
      <c r="A2100" s="111">
        <v>2186</v>
      </c>
      <c r="B2100" s="128" t="str">
        <f t="shared" si="1534"/>
        <v>N</v>
      </c>
      <c r="C2100" s="128" t="str">
        <f t="shared" si="1535"/>
        <v>N</v>
      </c>
      <c r="D2100" s="117">
        <v>2420144</v>
      </c>
      <c r="E2100" s="135">
        <f t="shared" si="1536"/>
        <v>5</v>
      </c>
      <c r="F2100" s="124">
        <v>40990</v>
      </c>
      <c r="G2100" s="125">
        <v>41023</v>
      </c>
      <c r="H2100" s="117">
        <v>2420144</v>
      </c>
      <c r="I2100" s="124">
        <v>40991</v>
      </c>
      <c r="J2100" s="124">
        <v>41023</v>
      </c>
      <c r="K2100" s="126">
        <v>15000</v>
      </c>
      <c r="L2100" s="127" t="s">
        <v>571</v>
      </c>
      <c r="N2100" s="129" t="str">
        <f>IF(M2100&gt;1/1/1,"Y","N")</f>
        <v>N</v>
      </c>
      <c r="O2100" s="128" t="s">
        <v>917</v>
      </c>
      <c r="P2100" s="129" t="s">
        <v>39</v>
      </c>
      <c r="Q2100" s="111">
        <f t="shared" si="1559"/>
        <v>33</v>
      </c>
      <c r="R2100" s="111">
        <f t="shared" si="1556"/>
        <v>34</v>
      </c>
      <c r="S2100" s="129">
        <v>0</v>
      </c>
      <c r="T2100" s="129">
        <v>1</v>
      </c>
      <c r="W2100" s="111"/>
      <c r="AC2100" s="130"/>
      <c r="AD2100" s="130">
        <v>28996</v>
      </c>
      <c r="AE2100" s="128" t="s">
        <v>32</v>
      </c>
      <c r="AF2100" s="128" t="s">
        <v>33</v>
      </c>
      <c r="AG2100" s="128" t="s">
        <v>872</v>
      </c>
      <c r="AH2100" s="108" t="s">
        <v>58</v>
      </c>
      <c r="AI2100" s="128" t="s">
        <v>71</v>
      </c>
      <c r="AJ2100" s="129" t="s">
        <v>89</v>
      </c>
      <c r="AK2100" s="129">
        <v>2</v>
      </c>
      <c r="AL2100" s="3" t="s">
        <v>992</v>
      </c>
      <c r="AN2100" s="117">
        <v>9</v>
      </c>
      <c r="AP2100" s="129" t="s">
        <v>127</v>
      </c>
      <c r="AR2100" s="128" t="s">
        <v>44</v>
      </c>
      <c r="AS2100" s="129" t="s">
        <v>82</v>
      </c>
      <c r="BC2100" s="129" t="s">
        <v>38</v>
      </c>
      <c r="BF2100" s="111">
        <f t="shared" si="1564"/>
        <v>33</v>
      </c>
      <c r="BG2100" s="111">
        <f t="shared" si="1565"/>
        <v>33</v>
      </c>
      <c r="BH2100" s="111">
        <f t="shared" si="1530"/>
        <v>34</v>
      </c>
      <c r="BI2100" s="111">
        <f t="shared" si="1531"/>
        <v>32.770491803278688</v>
      </c>
      <c r="BJ2100" s="129">
        <f t="shared" si="1537"/>
        <v>0</v>
      </c>
      <c r="BK2100" s="129">
        <f t="shared" si="1532"/>
        <v>0</v>
      </c>
      <c r="BL2100" s="129" t="str">
        <f t="shared" si="1557"/>
        <v>CONVICTION</v>
      </c>
      <c r="BM2100" s="129" t="str">
        <f t="shared" si="1538"/>
        <v>NONE</v>
      </c>
      <c r="BN2100" s="129" t="s">
        <v>566</v>
      </c>
      <c r="BP2100" s="137" t="str">
        <f t="shared" si="1539"/>
        <v>CONVICTION</v>
      </c>
      <c r="BQ2100" s="128" t="str">
        <f t="shared" si="1540"/>
        <v>Y</v>
      </c>
      <c r="BR2100" s="129" t="str">
        <f t="shared" si="1541"/>
        <v>DETAINED</v>
      </c>
      <c r="BS2100" s="129" t="str">
        <f t="shared" si="1542"/>
        <v>DISPOSED</v>
      </c>
      <c r="BT2100" s="129" t="str">
        <f t="shared" si="1543"/>
        <v>N</v>
      </c>
      <c r="BU2100" s="109">
        <f t="shared" si="1544"/>
        <v>0.97058823529411764</v>
      </c>
      <c r="BV2100" s="109">
        <f t="shared" si="1545"/>
        <v>1</v>
      </c>
      <c r="BW2100" s="109">
        <f t="shared" si="1563"/>
        <v>2.9411764705882359E-2</v>
      </c>
      <c r="BX2100" s="111">
        <f t="shared" si="1546"/>
        <v>0</v>
      </c>
      <c r="BY2100" s="129">
        <f t="shared" si="1547"/>
        <v>-33</v>
      </c>
      <c r="BZ2100" s="111">
        <f t="shared" si="1548"/>
        <v>0</v>
      </c>
      <c r="CA2100" s="138">
        <f t="shared" si="1549"/>
        <v>33</v>
      </c>
      <c r="CB2100" s="111" t="e">
        <f t="shared" si="1566"/>
        <v>#VALUE!</v>
      </c>
      <c r="CC2100" s="129">
        <f>G2100-I2100+1</f>
        <v>33</v>
      </c>
      <c r="CD2100" s="129">
        <f t="shared" si="1567"/>
        <v>0</v>
      </c>
      <c r="CG2100" s="129" t="str">
        <f t="shared" si="1550"/>
        <v>Y</v>
      </c>
      <c r="CI2100" s="129" t="str">
        <f t="shared" si="1551"/>
        <v>31-60 DAYS</v>
      </c>
      <c r="CJ2100" s="137">
        <f t="shared" si="1552"/>
        <v>3</v>
      </c>
      <c r="CK2100" s="129" t="str">
        <f t="shared" si="1553"/>
        <v>Booked</v>
      </c>
    </row>
    <row r="2101" spans="1:89" ht="15" customHeight="1" x14ac:dyDescent="0.25">
      <c r="A2101" s="111">
        <v>763</v>
      </c>
      <c r="B2101" s="128" t="str">
        <f t="shared" si="1534"/>
        <v>N</v>
      </c>
      <c r="C2101" s="128" t="str">
        <f t="shared" si="1535"/>
        <v>N</v>
      </c>
      <c r="D2101" s="117">
        <v>2420913</v>
      </c>
      <c r="E2101" s="135">
        <f t="shared" si="1536"/>
        <v>6</v>
      </c>
      <c r="F2101" s="124">
        <v>40941</v>
      </c>
      <c r="G2101" s="125">
        <v>40949</v>
      </c>
      <c r="H2101" s="117">
        <v>2420913</v>
      </c>
      <c r="I2101" s="124">
        <v>40948</v>
      </c>
      <c r="J2101" s="124">
        <v>40949</v>
      </c>
      <c r="K2101" s="126" t="s">
        <v>564</v>
      </c>
      <c r="L2101" s="127" t="s">
        <v>564</v>
      </c>
      <c r="N2101" s="129" t="s">
        <v>566</v>
      </c>
      <c r="O2101" s="128" t="s">
        <v>917</v>
      </c>
      <c r="P2101" s="129" t="s">
        <v>39</v>
      </c>
      <c r="Q2101" s="111">
        <f t="shared" si="1559"/>
        <v>2</v>
      </c>
      <c r="R2101" s="111">
        <f t="shared" si="1556"/>
        <v>9</v>
      </c>
      <c r="S2101" s="129">
        <v>3</v>
      </c>
      <c r="T2101" s="129">
        <v>4</v>
      </c>
      <c r="W2101" s="111"/>
      <c r="AC2101" s="130"/>
      <c r="AD2101" s="130">
        <v>33686</v>
      </c>
      <c r="AE2101" s="128" t="s">
        <v>32</v>
      </c>
      <c r="AF2101" s="128" t="s">
        <v>69</v>
      </c>
      <c r="AG2101" s="128" t="s">
        <v>874</v>
      </c>
      <c r="AH2101" s="108" t="s">
        <v>31</v>
      </c>
      <c r="AI2101" s="128" t="s">
        <v>95</v>
      </c>
      <c r="AJ2101" s="129" t="s">
        <v>89</v>
      </c>
      <c r="AK2101" s="129">
        <v>3</v>
      </c>
      <c r="AL2101" s="3" t="s">
        <v>362</v>
      </c>
      <c r="AM2101" s="117">
        <v>4</v>
      </c>
      <c r="AP2101" s="129" t="s">
        <v>186</v>
      </c>
      <c r="AR2101" s="128" t="s">
        <v>50</v>
      </c>
      <c r="AS2101" s="129" t="s">
        <v>106</v>
      </c>
      <c r="BC2101" s="129" t="s">
        <v>38</v>
      </c>
      <c r="BF2101" s="111">
        <f t="shared" si="1564"/>
        <v>2</v>
      </c>
      <c r="BG2101" s="111">
        <f t="shared" si="1565"/>
        <v>2</v>
      </c>
      <c r="BH2101" s="111">
        <f t="shared" si="1530"/>
        <v>9</v>
      </c>
      <c r="BI2101" s="111">
        <f t="shared" si="1531"/>
        <v>19.8224043715847</v>
      </c>
      <c r="BJ2101" s="129">
        <f t="shared" si="1537"/>
        <v>0</v>
      </c>
      <c r="BK2101" s="129">
        <f t="shared" si="1532"/>
        <v>0</v>
      </c>
      <c r="BL2101" s="129" t="str">
        <f t="shared" si="1557"/>
        <v>CONVICTION</v>
      </c>
      <c r="BM2101" s="129" t="str">
        <f t="shared" si="1538"/>
        <v>NONE</v>
      </c>
      <c r="BN2101" s="129" t="s">
        <v>566</v>
      </c>
      <c r="BP2101" s="137" t="str">
        <f t="shared" si="1539"/>
        <v>CONVICTION</v>
      </c>
      <c r="BQ2101" s="128" t="str">
        <f t="shared" si="1540"/>
        <v>Y</v>
      </c>
      <c r="BR2101" s="129" t="str">
        <f t="shared" si="1541"/>
        <v>DETAINED</v>
      </c>
      <c r="BS2101" s="129" t="str">
        <f t="shared" si="1542"/>
        <v>DISPOSED</v>
      </c>
      <c r="BT2101" s="129" t="str">
        <f t="shared" si="1543"/>
        <v>Y</v>
      </c>
      <c r="BU2101" s="109">
        <f t="shared" si="1544"/>
        <v>0.22222222222222221</v>
      </c>
      <c r="BV2101" s="109">
        <f t="shared" si="1545"/>
        <v>1</v>
      </c>
      <c r="BW2101" s="109">
        <f t="shared" si="1563"/>
        <v>0.77777777777777779</v>
      </c>
      <c r="BX2101" s="111">
        <f t="shared" si="1546"/>
        <v>0</v>
      </c>
      <c r="BY2101" s="129">
        <f t="shared" si="1547"/>
        <v>-2</v>
      </c>
      <c r="BZ2101" s="111">
        <f t="shared" si="1548"/>
        <v>0</v>
      </c>
      <c r="CA2101" s="138">
        <f t="shared" si="1549"/>
        <v>2</v>
      </c>
      <c r="CB2101" s="111" t="e">
        <f t="shared" si="1566"/>
        <v>#VALUE!</v>
      </c>
      <c r="CC2101" s="129">
        <f>G2101-I2101+1</f>
        <v>2</v>
      </c>
      <c r="CD2101" s="129">
        <f t="shared" si="1567"/>
        <v>0</v>
      </c>
      <c r="CG2101" s="129" t="str">
        <f t="shared" si="1550"/>
        <v>Y</v>
      </c>
      <c r="CI2101" s="129" t="str">
        <f t="shared" si="1551"/>
        <v>0-10 DAYS</v>
      </c>
      <c r="CJ2101" s="137">
        <f t="shared" si="1552"/>
        <v>1</v>
      </c>
      <c r="CK2101" s="129" t="str">
        <f t="shared" si="1553"/>
        <v>Booked</v>
      </c>
    </row>
    <row r="2102" spans="1:89" ht="15.75" customHeight="1" x14ac:dyDescent="0.25">
      <c r="A2102" s="111">
        <v>1978</v>
      </c>
      <c r="B2102" s="128" t="str">
        <f t="shared" si="1534"/>
        <v>N</v>
      </c>
      <c r="C2102" s="128" t="str">
        <f t="shared" si="1535"/>
        <v>N</v>
      </c>
      <c r="D2102" s="117">
        <v>2421010</v>
      </c>
      <c r="E2102" s="135">
        <f t="shared" si="1536"/>
        <v>2</v>
      </c>
      <c r="F2102" s="124">
        <v>40982</v>
      </c>
      <c r="G2102" s="125">
        <v>41221</v>
      </c>
      <c r="H2102" s="117">
        <v>2421010</v>
      </c>
      <c r="I2102" s="124">
        <v>40983</v>
      </c>
      <c r="J2102" s="124">
        <v>40986</v>
      </c>
      <c r="K2102" s="126">
        <v>30000</v>
      </c>
      <c r="L2102" s="129" t="s">
        <v>572</v>
      </c>
      <c r="M2102" s="125">
        <v>40986</v>
      </c>
      <c r="N2102" s="129" t="str">
        <f>IF(M2102&gt;1/1/1,"Y","N")</f>
        <v>Y</v>
      </c>
      <c r="O2102" s="128" t="s">
        <v>585</v>
      </c>
      <c r="P2102" s="129" t="s">
        <v>589</v>
      </c>
      <c r="Q2102" s="111">
        <f t="shared" si="1559"/>
        <v>4</v>
      </c>
      <c r="R2102" s="111">
        <f t="shared" si="1556"/>
        <v>240</v>
      </c>
      <c r="S2102" s="129">
        <v>0</v>
      </c>
      <c r="T2102" s="129">
        <v>1</v>
      </c>
      <c r="W2102" s="111"/>
      <c r="AC2102" s="130"/>
      <c r="AD2102" s="130">
        <v>33456</v>
      </c>
      <c r="AE2102" s="128" t="s">
        <v>32</v>
      </c>
      <c r="AF2102" s="128" t="s">
        <v>69</v>
      </c>
      <c r="AG2102" s="128" t="s">
        <v>874</v>
      </c>
      <c r="AH2102" s="108" t="s">
        <v>58</v>
      </c>
      <c r="AI2102" s="128" t="s">
        <v>113</v>
      </c>
      <c r="AJ2102" s="129" t="s">
        <v>48</v>
      </c>
      <c r="AK2102" s="129">
        <v>10</v>
      </c>
      <c r="AL2102" s="3" t="s">
        <v>48</v>
      </c>
      <c r="AP2102" s="129" t="s">
        <v>105</v>
      </c>
      <c r="AR2102" s="128" t="s">
        <v>92</v>
      </c>
      <c r="AS2102" s="129" t="s">
        <v>106</v>
      </c>
      <c r="BC2102" s="129" t="s">
        <v>38</v>
      </c>
      <c r="BF2102" s="111">
        <f t="shared" si="1564"/>
        <v>4</v>
      </c>
      <c r="BG2102" s="111">
        <f t="shared" si="1565"/>
        <v>239</v>
      </c>
      <c r="BH2102" s="111">
        <f t="shared" si="1530"/>
        <v>240</v>
      </c>
      <c r="BI2102" s="111">
        <f t="shared" si="1531"/>
        <v>20.562841530054644</v>
      </c>
      <c r="BJ2102" s="129">
        <f>(G2102-J2102)+(M2102-G2102)</f>
        <v>0</v>
      </c>
      <c r="BK2102" s="129">
        <f t="shared" si="1532"/>
        <v>-235</v>
      </c>
      <c r="BL2102" s="129" t="str">
        <f t="shared" si="1557"/>
        <v>DEFERRED</v>
      </c>
      <c r="BM2102" s="129" t="s">
        <v>76</v>
      </c>
      <c r="BN2102" s="129" t="s">
        <v>88</v>
      </c>
      <c r="BP2102" s="137" t="str">
        <f t="shared" si="1539"/>
        <v>DEFERRED</v>
      </c>
      <c r="BQ2102" s="128" t="str">
        <f t="shared" si="1540"/>
        <v>Y</v>
      </c>
      <c r="BR2102" s="129" t="str">
        <f t="shared" si="1541"/>
        <v>ON BOND</v>
      </c>
      <c r="BS2102" s="129" t="str">
        <f t="shared" si="1542"/>
        <v>DISPOSED</v>
      </c>
      <c r="BT2102" s="129" t="str">
        <f t="shared" si="1543"/>
        <v>N</v>
      </c>
      <c r="BU2102" s="109">
        <f t="shared" si="1544"/>
        <v>1.6666666666666666E-2</v>
      </c>
      <c r="BV2102" s="109">
        <f t="shared" si="1545"/>
        <v>1.6736401673640166E-2</v>
      </c>
      <c r="BW2102" s="109">
        <f t="shared" si="1563"/>
        <v>6.9735006973499492E-5</v>
      </c>
      <c r="BX2102" s="111">
        <f t="shared" si="1546"/>
        <v>0</v>
      </c>
      <c r="BY2102" s="129">
        <f t="shared" si="1547"/>
        <v>-4</v>
      </c>
      <c r="BZ2102" s="111">
        <f t="shared" si="1548"/>
        <v>0</v>
      </c>
      <c r="CA2102" s="138">
        <f t="shared" si="1549"/>
        <v>4</v>
      </c>
      <c r="CB2102" s="111" t="e">
        <f t="shared" si="1566"/>
        <v>#VALUE!</v>
      </c>
      <c r="CC2102" s="129">
        <f>M2102-I2102+1</f>
        <v>4</v>
      </c>
      <c r="CD2102" s="111">
        <f>CC2102-BF2102</f>
        <v>0</v>
      </c>
      <c r="CG2102" s="129" t="str">
        <f t="shared" si="1550"/>
        <v>Y</v>
      </c>
      <c r="CI2102" s="129" t="str">
        <f t="shared" si="1551"/>
        <v>0-10 DAYS</v>
      </c>
      <c r="CJ2102" s="137">
        <f t="shared" si="1552"/>
        <v>1</v>
      </c>
      <c r="CK2102" s="129" t="str">
        <f t="shared" si="1553"/>
        <v>Booked</v>
      </c>
    </row>
    <row r="2103" spans="1:89" ht="15" customHeight="1" x14ac:dyDescent="0.25">
      <c r="A2103" s="111">
        <v>3099</v>
      </c>
      <c r="B2103" s="128" t="str">
        <f t="shared" si="1534"/>
        <v>N</v>
      </c>
      <c r="C2103" s="128" t="str">
        <f t="shared" si="1535"/>
        <v>N</v>
      </c>
      <c r="D2103" s="117">
        <v>2422022</v>
      </c>
      <c r="E2103" s="135">
        <f t="shared" si="1536"/>
        <v>2</v>
      </c>
      <c r="F2103" s="124">
        <v>41023</v>
      </c>
      <c r="G2103" s="125">
        <v>41058</v>
      </c>
      <c r="H2103" s="117">
        <v>2422022</v>
      </c>
      <c r="I2103" s="124">
        <v>41029</v>
      </c>
      <c r="J2103" s="124">
        <v>41030</v>
      </c>
      <c r="K2103" s="126">
        <v>2000</v>
      </c>
      <c r="L2103" s="127" t="s">
        <v>568</v>
      </c>
      <c r="M2103" s="125">
        <v>41030</v>
      </c>
      <c r="N2103" s="129" t="str">
        <f>IF(M2103&gt;1/1/1,"Y","N")</f>
        <v>Y</v>
      </c>
      <c r="O2103" s="128" t="s">
        <v>76</v>
      </c>
      <c r="P2103" s="129" t="s">
        <v>589</v>
      </c>
      <c r="Q2103" s="111">
        <f t="shared" si="1559"/>
        <v>2</v>
      </c>
      <c r="R2103" s="111">
        <f t="shared" si="1556"/>
        <v>36</v>
      </c>
      <c r="S2103" s="129">
        <v>0</v>
      </c>
      <c r="T2103" s="129">
        <v>2</v>
      </c>
      <c r="W2103" s="111"/>
      <c r="AC2103" s="130"/>
      <c r="AD2103" s="130">
        <v>33010</v>
      </c>
      <c r="AE2103" s="128" t="s">
        <v>32</v>
      </c>
      <c r="AF2103" s="128" t="s">
        <v>69</v>
      </c>
      <c r="AG2103" s="128" t="s">
        <v>874</v>
      </c>
      <c r="AH2103" s="108" t="s">
        <v>58</v>
      </c>
      <c r="AI2103" s="128" t="s">
        <v>53</v>
      </c>
      <c r="AJ2103" s="129" t="s">
        <v>48</v>
      </c>
      <c r="AK2103" s="129">
        <v>3</v>
      </c>
      <c r="AL2103" s="3" t="s">
        <v>48</v>
      </c>
      <c r="AP2103" s="129" t="s">
        <v>98</v>
      </c>
      <c r="AR2103" s="128" t="s">
        <v>44</v>
      </c>
      <c r="AS2103" s="129" t="s">
        <v>64</v>
      </c>
      <c r="BC2103" s="129" t="s">
        <v>38</v>
      </c>
      <c r="BF2103" s="111">
        <f t="shared" si="1564"/>
        <v>2</v>
      </c>
      <c r="BG2103" s="111">
        <f t="shared" si="1565"/>
        <v>30</v>
      </c>
      <c r="BH2103" s="111">
        <f t="shared" si="1530"/>
        <v>36</v>
      </c>
      <c r="BI2103" s="111">
        <f t="shared" si="1531"/>
        <v>21.893442622950818</v>
      </c>
      <c r="BJ2103" s="129">
        <f>(G2103-J2103)+(M2103-G2103)</f>
        <v>0</v>
      </c>
      <c r="BK2103" s="129">
        <f t="shared" si="1532"/>
        <v>-28</v>
      </c>
      <c r="BL2103" s="129" t="str">
        <f t="shared" si="1557"/>
        <v>DEFERRED</v>
      </c>
      <c r="BM2103" s="129" t="s">
        <v>76</v>
      </c>
      <c r="BN2103" s="129" t="s">
        <v>88</v>
      </c>
      <c r="BP2103" s="137" t="str">
        <f t="shared" si="1539"/>
        <v>DEFERRED</v>
      </c>
      <c r="BQ2103" s="128" t="str">
        <f t="shared" si="1540"/>
        <v>Y</v>
      </c>
      <c r="BR2103" s="129" t="str">
        <f t="shared" si="1541"/>
        <v>ON BOND</v>
      </c>
      <c r="BS2103" s="129" t="str">
        <f t="shared" si="1542"/>
        <v>DISPOSED</v>
      </c>
      <c r="BT2103" s="129" t="str">
        <f t="shared" si="1543"/>
        <v>N</v>
      </c>
      <c r="BU2103" s="109">
        <f t="shared" si="1544"/>
        <v>5.5555555555555552E-2</v>
      </c>
      <c r="BV2103" s="109">
        <f t="shared" si="1545"/>
        <v>6.6666666666666666E-2</v>
      </c>
      <c r="BW2103" s="109">
        <f t="shared" si="1563"/>
        <v>1.1111111111111113E-2</v>
      </c>
      <c r="BX2103" s="111">
        <f t="shared" si="1546"/>
        <v>0</v>
      </c>
      <c r="BY2103" s="129">
        <f t="shared" si="1547"/>
        <v>-2</v>
      </c>
      <c r="BZ2103" s="111">
        <f t="shared" si="1548"/>
        <v>0</v>
      </c>
      <c r="CA2103" s="138">
        <f t="shared" si="1549"/>
        <v>2</v>
      </c>
      <c r="CB2103" s="111" t="e">
        <f t="shared" si="1566"/>
        <v>#VALUE!</v>
      </c>
      <c r="CC2103" s="129">
        <f>M2103-I2103+1</f>
        <v>2</v>
      </c>
      <c r="CD2103" s="111">
        <f>CC2103-BF2103</f>
        <v>0</v>
      </c>
      <c r="CG2103" s="129" t="str">
        <f t="shared" si="1550"/>
        <v>Y</v>
      </c>
      <c r="CI2103" s="129" t="str">
        <f t="shared" si="1551"/>
        <v>0-10 DAYS</v>
      </c>
      <c r="CJ2103" s="137">
        <f t="shared" si="1552"/>
        <v>1</v>
      </c>
      <c r="CK2103" s="129" t="str">
        <f t="shared" si="1553"/>
        <v>Booked</v>
      </c>
    </row>
    <row r="2104" spans="1:89" ht="15.75" customHeight="1" x14ac:dyDescent="0.25">
      <c r="A2104" s="111">
        <v>2321</v>
      </c>
      <c r="B2104" s="128" t="str">
        <f t="shared" si="1534"/>
        <v>N</v>
      </c>
      <c r="C2104" s="128" t="str">
        <f t="shared" si="1535"/>
        <v>N</v>
      </c>
      <c r="D2104" s="117">
        <v>2423003</v>
      </c>
      <c r="E2104" s="135">
        <f t="shared" si="1536"/>
        <v>5</v>
      </c>
      <c r="F2104" s="124">
        <v>40996</v>
      </c>
      <c r="G2104" s="125">
        <v>41012</v>
      </c>
      <c r="H2104" s="117">
        <v>2423003</v>
      </c>
      <c r="I2104" s="124">
        <v>40997</v>
      </c>
      <c r="J2104" s="124">
        <v>41012</v>
      </c>
      <c r="K2104" s="126" t="s">
        <v>564</v>
      </c>
      <c r="L2104" s="127" t="s">
        <v>564</v>
      </c>
      <c r="N2104" s="129" t="s">
        <v>566</v>
      </c>
      <c r="O2104" s="128" t="s">
        <v>917</v>
      </c>
      <c r="P2104" s="129" t="s">
        <v>39</v>
      </c>
      <c r="Q2104" s="111">
        <f t="shared" si="1559"/>
        <v>16</v>
      </c>
      <c r="R2104" s="111">
        <f t="shared" si="1556"/>
        <v>17</v>
      </c>
      <c r="S2104" s="129">
        <v>1</v>
      </c>
      <c r="T2104" s="129">
        <v>2</v>
      </c>
      <c r="V2104" s="117">
        <v>1</v>
      </c>
      <c r="W2104" s="111"/>
      <c r="AC2104" s="130"/>
      <c r="AD2104" s="130">
        <v>29439</v>
      </c>
      <c r="AE2104" s="128" t="s">
        <v>32</v>
      </c>
      <c r="AF2104" s="128" t="s">
        <v>33</v>
      </c>
      <c r="AG2104" s="128" t="s">
        <v>872</v>
      </c>
      <c r="AH2104" s="108" t="s">
        <v>58</v>
      </c>
      <c r="AI2104" s="128" t="s">
        <v>114</v>
      </c>
      <c r="AJ2104" s="129" t="s">
        <v>89</v>
      </c>
      <c r="AK2104" s="129">
        <v>2</v>
      </c>
      <c r="AL2104" s="3" t="s">
        <v>992</v>
      </c>
      <c r="AN2104" s="117">
        <v>6</v>
      </c>
      <c r="AP2104" s="129" t="s">
        <v>175</v>
      </c>
      <c r="AR2104" s="128" t="s">
        <v>44</v>
      </c>
      <c r="AS2104" s="129" t="s">
        <v>45</v>
      </c>
      <c r="BC2104" s="129" t="s">
        <v>38</v>
      </c>
      <c r="BF2104" s="111">
        <f t="shared" si="1564"/>
        <v>16</v>
      </c>
      <c r="BG2104" s="111">
        <f t="shared" si="1565"/>
        <v>16</v>
      </c>
      <c r="BH2104" s="111">
        <f t="shared" si="1530"/>
        <v>17</v>
      </c>
      <c r="BI2104" s="111">
        <f t="shared" si="1531"/>
        <v>31.576502732240439</v>
      </c>
      <c r="BJ2104" s="129">
        <f t="shared" si="1537"/>
        <v>0</v>
      </c>
      <c r="BK2104" s="129">
        <f t="shared" si="1532"/>
        <v>0</v>
      </c>
      <c r="BL2104" s="129" t="str">
        <f t="shared" si="1557"/>
        <v>CONVICTION</v>
      </c>
      <c r="BM2104" s="129" t="str">
        <f t="shared" si="1538"/>
        <v>NONE</v>
      </c>
      <c r="BN2104" s="129" t="s">
        <v>566</v>
      </c>
      <c r="BP2104" s="137" t="str">
        <f t="shared" si="1539"/>
        <v>CONVICTION</v>
      </c>
      <c r="BQ2104" s="128" t="str">
        <f t="shared" si="1540"/>
        <v>Y</v>
      </c>
      <c r="BR2104" s="129" t="str">
        <f t="shared" si="1541"/>
        <v>DETAINED</v>
      </c>
      <c r="BS2104" s="129" t="str">
        <f t="shared" si="1542"/>
        <v>DISPOSED</v>
      </c>
      <c r="BT2104" s="129" t="str">
        <f t="shared" si="1543"/>
        <v>Y</v>
      </c>
      <c r="BU2104" s="109">
        <f t="shared" si="1544"/>
        <v>0.94117647058823528</v>
      </c>
      <c r="BV2104" s="109">
        <f t="shared" si="1545"/>
        <v>1</v>
      </c>
      <c r="BW2104" s="109">
        <f t="shared" si="1563"/>
        <v>5.8823529411764719E-2</v>
      </c>
      <c r="BX2104" s="111">
        <f t="shared" si="1546"/>
        <v>0</v>
      </c>
      <c r="BY2104" s="129">
        <f t="shared" si="1547"/>
        <v>-16</v>
      </c>
      <c r="BZ2104" s="111">
        <f t="shared" si="1548"/>
        <v>0</v>
      </c>
      <c r="CA2104" s="138">
        <f t="shared" si="1549"/>
        <v>16</v>
      </c>
      <c r="CB2104" s="111" t="e">
        <f t="shared" si="1566"/>
        <v>#VALUE!</v>
      </c>
      <c r="CC2104" s="129">
        <f>G2104-I2104+1</f>
        <v>16</v>
      </c>
      <c r="CD2104" s="129">
        <f>G2104-J2104</f>
        <v>0</v>
      </c>
      <c r="CG2104" s="129" t="str">
        <f t="shared" si="1550"/>
        <v>Y</v>
      </c>
      <c r="CI2104" s="129" t="str">
        <f t="shared" si="1551"/>
        <v>11-30 DAYS</v>
      </c>
      <c r="CJ2104" s="137">
        <f t="shared" si="1552"/>
        <v>2</v>
      </c>
      <c r="CK2104" s="129" t="str">
        <f t="shared" si="1553"/>
        <v>Booked</v>
      </c>
    </row>
    <row r="2105" spans="1:89" ht="15.75" customHeight="1" x14ac:dyDescent="0.25">
      <c r="A2105" s="111">
        <v>2318</v>
      </c>
      <c r="B2105" s="128" t="str">
        <f t="shared" si="1534"/>
        <v>N</v>
      </c>
      <c r="C2105" s="128" t="str">
        <f t="shared" si="1535"/>
        <v>N</v>
      </c>
      <c r="D2105" s="117">
        <v>2423491</v>
      </c>
      <c r="E2105" s="135">
        <f t="shared" si="1536"/>
        <v>5</v>
      </c>
      <c r="F2105" s="124">
        <v>40996</v>
      </c>
      <c r="G2105" s="125">
        <v>41221</v>
      </c>
      <c r="H2105" s="117">
        <v>2423491</v>
      </c>
      <c r="I2105" s="124">
        <v>40996</v>
      </c>
      <c r="J2105" s="124">
        <v>40997</v>
      </c>
      <c r="K2105" s="126">
        <v>5000</v>
      </c>
      <c r="L2105" s="127" t="s">
        <v>569</v>
      </c>
      <c r="M2105" s="125">
        <v>40997</v>
      </c>
      <c r="N2105" s="129" t="str">
        <f>IF(M2105&gt;1/1/1,"Y","N")</f>
        <v>Y</v>
      </c>
      <c r="O2105" s="128" t="s">
        <v>76</v>
      </c>
      <c r="P2105" s="129" t="s">
        <v>39</v>
      </c>
      <c r="Q2105" s="111">
        <f t="shared" si="1559"/>
        <v>2</v>
      </c>
      <c r="R2105" s="111">
        <f t="shared" si="1556"/>
        <v>226</v>
      </c>
      <c r="S2105" s="129">
        <v>3</v>
      </c>
      <c r="T2105" s="129">
        <v>0</v>
      </c>
      <c r="U2105" s="129">
        <v>2</v>
      </c>
      <c r="W2105" s="111"/>
      <c r="AC2105" s="130"/>
      <c r="AD2105" s="130">
        <v>33564</v>
      </c>
      <c r="AE2105" s="128" t="s">
        <v>32</v>
      </c>
      <c r="AF2105" s="128" t="s">
        <v>69</v>
      </c>
      <c r="AG2105" s="128" t="s">
        <v>874</v>
      </c>
      <c r="AH2105" s="108" t="s">
        <v>31</v>
      </c>
      <c r="AI2105" s="128" t="s">
        <v>87</v>
      </c>
      <c r="AJ2105" s="129" t="s">
        <v>89</v>
      </c>
      <c r="AK2105" s="129">
        <v>10</v>
      </c>
      <c r="AL2105" s="3" t="s">
        <v>992</v>
      </c>
      <c r="AN2105" s="117">
        <v>7</v>
      </c>
      <c r="AP2105" s="129" t="s">
        <v>108</v>
      </c>
      <c r="AR2105" s="128" t="s">
        <v>44</v>
      </c>
      <c r="AS2105" s="129" t="s">
        <v>61</v>
      </c>
      <c r="BC2105" s="129" t="s">
        <v>52</v>
      </c>
      <c r="BF2105" s="111">
        <f t="shared" si="1564"/>
        <v>2</v>
      </c>
      <c r="BG2105" s="111">
        <f t="shared" si="1565"/>
        <v>226</v>
      </c>
      <c r="BH2105" s="111">
        <f t="shared" si="1530"/>
        <v>226</v>
      </c>
      <c r="BI2105" s="111">
        <f t="shared" si="1531"/>
        <v>20.306010928961747</v>
      </c>
      <c r="BJ2105" s="129">
        <f>(G2105-J2105)+(M2105-G2105)</f>
        <v>0</v>
      </c>
      <c r="BK2105" s="129">
        <f t="shared" si="1532"/>
        <v>-224</v>
      </c>
      <c r="BL2105" s="129" t="str">
        <f t="shared" si="1557"/>
        <v>CONVICTION</v>
      </c>
      <c r="BM2105" s="129" t="s">
        <v>76</v>
      </c>
      <c r="BN2105" s="129" t="s">
        <v>88</v>
      </c>
      <c r="BP2105" s="137" t="str">
        <f t="shared" si="1539"/>
        <v>CONVICTION</v>
      </c>
      <c r="BQ2105" s="128" t="str">
        <f t="shared" si="1540"/>
        <v>Y</v>
      </c>
      <c r="BR2105" s="129" t="str">
        <f>IF(J2105&lt;G2105,"ON BOND",0)</f>
        <v>ON BOND</v>
      </c>
      <c r="BS2105" s="129" t="str">
        <f t="shared" si="1542"/>
        <v>DISPOSED</v>
      </c>
      <c r="BT2105" s="129" t="str">
        <f t="shared" si="1543"/>
        <v>Y</v>
      </c>
      <c r="BU2105" s="109">
        <f t="shared" si="1544"/>
        <v>8.8495575221238937E-3</v>
      </c>
      <c r="BV2105" s="109">
        <f t="shared" si="1545"/>
        <v>8.8495575221238937E-3</v>
      </c>
      <c r="BW2105" s="109">
        <f t="shared" si="1563"/>
        <v>0</v>
      </c>
      <c r="BX2105" s="111">
        <f t="shared" si="1546"/>
        <v>0</v>
      </c>
      <c r="BY2105" s="129">
        <f t="shared" si="1547"/>
        <v>-2</v>
      </c>
      <c r="BZ2105" s="111">
        <f t="shared" si="1548"/>
        <v>0</v>
      </c>
      <c r="CA2105" s="138">
        <f t="shared" si="1549"/>
        <v>2</v>
      </c>
      <c r="CB2105" s="111" t="e">
        <f t="shared" si="1566"/>
        <v>#VALUE!</v>
      </c>
      <c r="CC2105" s="129">
        <f>M2105-I2105+1</f>
        <v>2</v>
      </c>
      <c r="CD2105" s="111">
        <f>CC2105-BF2105</f>
        <v>0</v>
      </c>
      <c r="CG2105" s="129" t="str">
        <f t="shared" si="1550"/>
        <v>Y</v>
      </c>
      <c r="CI2105" s="129" t="str">
        <f t="shared" si="1551"/>
        <v>0-10 DAYS</v>
      </c>
      <c r="CJ2105" s="137">
        <f t="shared" si="1552"/>
        <v>1</v>
      </c>
      <c r="CK2105" s="129" t="str">
        <f t="shared" si="1553"/>
        <v>Booked</v>
      </c>
    </row>
    <row r="2106" spans="1:89" ht="15.75" customHeight="1" x14ac:dyDescent="0.25">
      <c r="A2106" s="111">
        <v>909</v>
      </c>
      <c r="B2106" s="128" t="str">
        <f t="shared" si="1534"/>
        <v>N</v>
      </c>
      <c r="C2106" s="128" t="str">
        <f t="shared" si="1535"/>
        <v>N</v>
      </c>
      <c r="D2106" s="117">
        <v>2423658</v>
      </c>
      <c r="E2106" s="135">
        <f t="shared" si="1536"/>
        <v>3</v>
      </c>
      <c r="F2106" s="124">
        <v>40942</v>
      </c>
      <c r="G2106" s="125">
        <v>41148</v>
      </c>
      <c r="H2106" s="117">
        <v>2423658</v>
      </c>
      <c r="I2106" s="124">
        <v>40943</v>
      </c>
      <c r="J2106" s="124">
        <v>40948</v>
      </c>
      <c r="K2106" s="126">
        <v>20000</v>
      </c>
      <c r="L2106" s="127" t="s">
        <v>571</v>
      </c>
      <c r="M2106" s="125">
        <v>40948</v>
      </c>
      <c r="N2106" s="129" t="str">
        <f>IF(M2106&gt;1/1/1,"Y","N")</f>
        <v>Y</v>
      </c>
      <c r="O2106" s="128" t="s">
        <v>76</v>
      </c>
      <c r="P2106" s="129" t="s">
        <v>39</v>
      </c>
      <c r="Q2106" s="111">
        <f t="shared" si="1559"/>
        <v>6</v>
      </c>
      <c r="R2106" s="111">
        <f t="shared" si="1556"/>
        <v>207</v>
      </c>
      <c r="S2106" s="129">
        <v>0</v>
      </c>
      <c r="T2106" s="129">
        <v>6</v>
      </c>
      <c r="W2106" s="111"/>
      <c r="AC2106" s="130"/>
      <c r="AD2106" s="130">
        <v>26622</v>
      </c>
      <c r="AE2106" s="128" t="s">
        <v>32</v>
      </c>
      <c r="AF2106" s="128" t="s">
        <v>33</v>
      </c>
      <c r="AG2106" s="128" t="s">
        <v>872</v>
      </c>
      <c r="AH2106" s="108" t="s">
        <v>31</v>
      </c>
      <c r="AI2106" s="128" t="s">
        <v>97</v>
      </c>
      <c r="AJ2106" s="129" t="s">
        <v>89</v>
      </c>
      <c r="AK2106" s="129">
        <v>6</v>
      </c>
      <c r="AL2106" s="3" t="s">
        <v>185</v>
      </c>
      <c r="AP2106" s="129" t="s">
        <v>96</v>
      </c>
      <c r="AR2106" s="128" t="s">
        <v>67</v>
      </c>
      <c r="AS2106" s="129" t="s">
        <v>64</v>
      </c>
      <c r="BC2106" s="129" t="s">
        <v>99</v>
      </c>
      <c r="BF2106" s="111">
        <f t="shared" si="1564"/>
        <v>6</v>
      </c>
      <c r="BG2106" s="111">
        <f t="shared" si="1565"/>
        <v>206</v>
      </c>
      <c r="BH2106" s="111">
        <f t="shared" si="1530"/>
        <v>207</v>
      </c>
      <c r="BI2106" s="111">
        <f t="shared" si="1531"/>
        <v>39.125683060109289</v>
      </c>
      <c r="BJ2106" s="129">
        <f>(G2106-J2106)+(M2106-G2106)</f>
        <v>0</v>
      </c>
      <c r="BK2106" s="129">
        <f t="shared" si="1532"/>
        <v>-200</v>
      </c>
      <c r="BL2106" s="129" t="str">
        <f t="shared" si="1557"/>
        <v>CONVICTION</v>
      </c>
      <c r="BM2106" s="129" t="s">
        <v>76</v>
      </c>
      <c r="BN2106" s="129" t="s">
        <v>88</v>
      </c>
      <c r="BP2106" s="137" t="str">
        <f t="shared" si="1539"/>
        <v>CONVICTION</v>
      </c>
      <c r="BQ2106" s="128" t="str">
        <f t="shared" si="1540"/>
        <v>Y</v>
      </c>
      <c r="BR2106" s="129" t="str">
        <f>IF(J2106&lt;G2106,"ON BOND",0)</f>
        <v>ON BOND</v>
      </c>
      <c r="BS2106" s="129" t="str">
        <f t="shared" si="1542"/>
        <v>DISPOSED</v>
      </c>
      <c r="BT2106" s="129" t="str">
        <f t="shared" si="1543"/>
        <v>N</v>
      </c>
      <c r="BU2106" s="109">
        <f t="shared" si="1544"/>
        <v>2.8985507246376812E-2</v>
      </c>
      <c r="BV2106" s="109">
        <f t="shared" si="1545"/>
        <v>2.9126213592233011E-2</v>
      </c>
      <c r="BW2106" s="109">
        <f t="shared" si="1563"/>
        <v>1.4070634585619871E-4</v>
      </c>
      <c r="BX2106" s="111">
        <f t="shared" si="1546"/>
        <v>0</v>
      </c>
      <c r="BY2106" s="129">
        <f t="shared" si="1547"/>
        <v>-6</v>
      </c>
      <c r="BZ2106" s="111">
        <f t="shared" si="1548"/>
        <v>0</v>
      </c>
      <c r="CA2106" s="138">
        <f t="shared" si="1549"/>
        <v>6</v>
      </c>
      <c r="CB2106" s="111" t="e">
        <f t="shared" si="1566"/>
        <v>#VALUE!</v>
      </c>
      <c r="CC2106" s="129">
        <f>M2106-I2106+1</f>
        <v>6</v>
      </c>
      <c r="CD2106" s="111">
        <f>CC2106-BF2106</f>
        <v>0</v>
      </c>
      <c r="CG2106" s="129" t="str">
        <f t="shared" si="1550"/>
        <v>Y</v>
      </c>
      <c r="CI2106" s="129" t="str">
        <f t="shared" si="1551"/>
        <v>0-10 DAYS</v>
      </c>
      <c r="CJ2106" s="137">
        <f t="shared" si="1552"/>
        <v>1</v>
      </c>
      <c r="CK2106" s="129" t="str">
        <f t="shared" si="1553"/>
        <v>Booked</v>
      </c>
    </row>
    <row r="2107" spans="1:89" ht="15.75" customHeight="1" x14ac:dyDescent="0.25">
      <c r="A2107" s="111">
        <v>2300</v>
      </c>
      <c r="B2107" s="128" t="str">
        <f t="shared" si="1534"/>
        <v>N</v>
      </c>
      <c r="C2107" s="128" t="str">
        <f t="shared" si="1535"/>
        <v>N</v>
      </c>
      <c r="D2107" s="117">
        <v>2424958</v>
      </c>
      <c r="E2107" s="135">
        <f t="shared" si="1536"/>
        <v>6</v>
      </c>
      <c r="F2107" s="124">
        <v>40996</v>
      </c>
      <c r="G2107" s="125">
        <v>41131</v>
      </c>
      <c r="H2107" s="117">
        <v>2424958</v>
      </c>
      <c r="I2107" s="124">
        <v>40996</v>
      </c>
      <c r="J2107" s="124">
        <v>41131</v>
      </c>
      <c r="K2107" s="126">
        <v>10000</v>
      </c>
      <c r="L2107" s="127" t="s">
        <v>570</v>
      </c>
      <c r="N2107" s="129" t="str">
        <f>IF(M2107&gt;1/1/1,"Y","N")</f>
        <v>N</v>
      </c>
      <c r="O2107" s="128" t="s">
        <v>917</v>
      </c>
      <c r="P2107" s="129" t="s">
        <v>39</v>
      </c>
      <c r="Q2107" s="111">
        <f t="shared" si="1559"/>
        <v>136</v>
      </c>
      <c r="R2107" s="111">
        <f t="shared" si="1556"/>
        <v>136</v>
      </c>
      <c r="S2107" s="129">
        <v>0</v>
      </c>
      <c r="T2107" s="129">
        <v>1</v>
      </c>
      <c r="W2107" s="111"/>
      <c r="AC2107" s="130"/>
      <c r="AD2107" s="130">
        <v>22787</v>
      </c>
      <c r="AE2107" s="128" t="s">
        <v>32</v>
      </c>
      <c r="AF2107" s="128" t="s">
        <v>69</v>
      </c>
      <c r="AG2107" s="128" t="s">
        <v>874</v>
      </c>
      <c r="AH2107" s="108" t="s">
        <v>31</v>
      </c>
      <c r="AI2107" s="128" t="s">
        <v>118</v>
      </c>
      <c r="AJ2107" s="129" t="s">
        <v>89</v>
      </c>
      <c r="AK2107" s="129">
        <v>7</v>
      </c>
      <c r="AL2107" s="3" t="s">
        <v>362</v>
      </c>
      <c r="AM2107" s="117">
        <v>2</v>
      </c>
      <c r="AP2107" s="129" t="s">
        <v>144</v>
      </c>
      <c r="AR2107" s="128" t="s">
        <v>67</v>
      </c>
      <c r="AS2107" s="129" t="s">
        <v>74</v>
      </c>
      <c r="BC2107" s="129" t="s">
        <v>38</v>
      </c>
      <c r="BF2107" s="111">
        <f t="shared" si="1564"/>
        <v>136</v>
      </c>
      <c r="BG2107" s="111">
        <f t="shared" si="1565"/>
        <v>136</v>
      </c>
      <c r="BH2107" s="111">
        <f t="shared" si="1530"/>
        <v>136</v>
      </c>
      <c r="BI2107" s="111">
        <f t="shared" si="1531"/>
        <v>49.751366120218577</v>
      </c>
      <c r="BJ2107" s="129">
        <f t="shared" si="1537"/>
        <v>0</v>
      </c>
      <c r="BK2107" s="129">
        <f t="shared" si="1532"/>
        <v>0</v>
      </c>
      <c r="BL2107" s="129" t="str">
        <f t="shared" si="1557"/>
        <v>CONVICTION</v>
      </c>
      <c r="BM2107" s="129" t="str">
        <f t="shared" si="1538"/>
        <v>NONE</v>
      </c>
      <c r="BN2107" s="129" t="s">
        <v>566</v>
      </c>
      <c r="BP2107" s="137" t="str">
        <f t="shared" si="1539"/>
        <v>CONVICTION</v>
      </c>
      <c r="BQ2107" s="128" t="str">
        <f t="shared" si="1540"/>
        <v>Y</v>
      </c>
      <c r="BR2107" s="129" t="str">
        <f t="shared" si="1541"/>
        <v>DETAINED</v>
      </c>
      <c r="BS2107" s="129" t="str">
        <f t="shared" si="1542"/>
        <v>DISPOSED</v>
      </c>
      <c r="BT2107" s="129" t="str">
        <f t="shared" si="1543"/>
        <v>N</v>
      </c>
      <c r="BU2107" s="109">
        <f t="shared" si="1544"/>
        <v>1</v>
      </c>
      <c r="BV2107" s="109">
        <f t="shared" si="1545"/>
        <v>1</v>
      </c>
      <c r="BW2107" s="109">
        <f t="shared" si="1563"/>
        <v>0</v>
      </c>
      <c r="BX2107" s="111">
        <f t="shared" si="1546"/>
        <v>0</v>
      </c>
      <c r="BY2107" s="129">
        <f t="shared" si="1547"/>
        <v>-136</v>
      </c>
      <c r="BZ2107" s="111">
        <f t="shared" si="1548"/>
        <v>0</v>
      </c>
      <c r="CA2107" s="138">
        <f t="shared" si="1549"/>
        <v>136</v>
      </c>
      <c r="CB2107" s="111" t="e">
        <f t="shared" si="1566"/>
        <v>#VALUE!</v>
      </c>
      <c r="CC2107" s="129">
        <f t="shared" ref="CC2107:CC2116" si="1568">G2107-I2107+1</f>
        <v>136</v>
      </c>
      <c r="CD2107" s="129">
        <f t="shared" ref="CD2107:CD2116" si="1569">G2107-J2107</f>
        <v>0</v>
      </c>
      <c r="CG2107" s="129" t="str">
        <f t="shared" si="1550"/>
        <v>Y</v>
      </c>
      <c r="CI2107" s="129" t="str">
        <f t="shared" si="1551"/>
        <v>121-365 DAYS</v>
      </c>
      <c r="CJ2107" s="137">
        <f t="shared" si="1552"/>
        <v>6</v>
      </c>
      <c r="CK2107" s="129" t="str">
        <f t="shared" si="1553"/>
        <v>Booked</v>
      </c>
    </row>
    <row r="2108" spans="1:89" ht="15" customHeight="1" x14ac:dyDescent="0.25">
      <c r="A2108" s="111">
        <v>1543</v>
      </c>
      <c r="B2108" s="128" t="str">
        <f t="shared" si="1534"/>
        <v>N</v>
      </c>
      <c r="C2108" s="128" t="str">
        <f t="shared" si="1535"/>
        <v>N</v>
      </c>
      <c r="D2108" s="117">
        <v>2425458</v>
      </c>
      <c r="E2108" s="135">
        <f t="shared" si="1536"/>
        <v>1</v>
      </c>
      <c r="F2108" s="124">
        <v>40966</v>
      </c>
      <c r="G2108" s="125">
        <v>40967</v>
      </c>
      <c r="H2108" s="117">
        <v>2425458</v>
      </c>
      <c r="I2108" s="124">
        <v>40966</v>
      </c>
      <c r="J2108" s="124">
        <v>40967</v>
      </c>
      <c r="K2108" s="126">
        <v>2000</v>
      </c>
      <c r="L2108" s="127" t="s">
        <v>568</v>
      </c>
      <c r="N2108" s="129" t="str">
        <f>IF(M2108&gt;1/1/1,"Y","N")</f>
        <v>N</v>
      </c>
      <c r="O2108" s="128" t="s">
        <v>917</v>
      </c>
      <c r="P2108" s="116" t="s">
        <v>55</v>
      </c>
      <c r="Q2108" s="111">
        <f t="shared" si="1559"/>
        <v>2</v>
      </c>
      <c r="R2108" s="111">
        <f t="shared" si="1556"/>
        <v>2</v>
      </c>
      <c r="S2108" s="129">
        <v>0</v>
      </c>
      <c r="T2108" s="129">
        <v>1</v>
      </c>
      <c r="W2108" s="111"/>
      <c r="AB2108" s="131" t="s">
        <v>112</v>
      </c>
      <c r="AC2108" s="130"/>
      <c r="AD2108" s="130">
        <v>32094</v>
      </c>
      <c r="AE2108" s="128" t="s">
        <v>32</v>
      </c>
      <c r="AF2108" s="128" t="s">
        <v>40</v>
      </c>
      <c r="AG2108" s="128" t="s">
        <v>41</v>
      </c>
      <c r="AH2108" s="108" t="s">
        <v>58</v>
      </c>
      <c r="AI2108" s="128" t="s">
        <v>85</v>
      </c>
      <c r="AJ2108" s="129" t="s">
        <v>55</v>
      </c>
      <c r="AK2108" s="129">
        <v>1</v>
      </c>
      <c r="AL2108" s="3" t="s">
        <v>55</v>
      </c>
      <c r="AP2108" s="129" t="s">
        <v>43</v>
      </c>
      <c r="AR2108" s="128" t="s">
        <v>44</v>
      </c>
      <c r="AS2108" s="129" t="s">
        <v>45</v>
      </c>
      <c r="AT2108" s="129" t="s">
        <v>344</v>
      </c>
      <c r="BC2108" s="129" t="s">
        <v>38</v>
      </c>
      <c r="BF2108" s="111">
        <f t="shared" si="1564"/>
        <v>2</v>
      </c>
      <c r="BG2108" s="111">
        <f t="shared" si="1565"/>
        <v>2</v>
      </c>
      <c r="BH2108" s="111">
        <f t="shared" si="1530"/>
        <v>2</v>
      </c>
      <c r="BI2108" s="111">
        <f t="shared" si="1531"/>
        <v>24.240437158469945</v>
      </c>
      <c r="BJ2108" s="129">
        <f t="shared" si="1537"/>
        <v>0</v>
      </c>
      <c r="BK2108" s="129">
        <f t="shared" si="1532"/>
        <v>0</v>
      </c>
      <c r="BL2108" s="129" t="str">
        <f t="shared" si="1557"/>
        <v>NO CONVICTION</v>
      </c>
      <c r="BM2108" s="129" t="str">
        <f t="shared" si="1538"/>
        <v>NONE</v>
      </c>
      <c r="BN2108" s="129" t="s">
        <v>566</v>
      </c>
      <c r="BP2108" s="137" t="str">
        <f t="shared" si="1539"/>
        <v>NO CONVICTION</v>
      </c>
      <c r="BQ2108" s="128" t="str">
        <f t="shared" si="1540"/>
        <v>Y</v>
      </c>
      <c r="BR2108" s="129" t="str">
        <f t="shared" si="1541"/>
        <v>DETAINED</v>
      </c>
      <c r="BS2108" s="129" t="str">
        <f t="shared" si="1542"/>
        <v>DISPOSED</v>
      </c>
      <c r="BT2108" s="129" t="str">
        <f t="shared" si="1543"/>
        <v>N</v>
      </c>
      <c r="BU2108" s="109">
        <f>IFERROR(Q2108/R2108,BR2108)</f>
        <v>1</v>
      </c>
      <c r="BV2108" s="109">
        <f t="shared" si="1545"/>
        <v>1</v>
      </c>
      <c r="BW2108" s="109">
        <f t="shared" si="1563"/>
        <v>0</v>
      </c>
      <c r="BX2108" s="111">
        <f t="shared" si="1546"/>
        <v>0</v>
      </c>
      <c r="BY2108" s="129">
        <f t="shared" si="1547"/>
        <v>-2</v>
      </c>
      <c r="BZ2108" s="111">
        <f t="shared" si="1548"/>
        <v>0</v>
      </c>
      <c r="CA2108" s="138">
        <f t="shared" si="1549"/>
        <v>2</v>
      </c>
      <c r="CB2108" s="111" t="e">
        <f t="shared" si="1566"/>
        <v>#VALUE!</v>
      </c>
      <c r="CC2108" s="129">
        <f t="shared" si="1568"/>
        <v>2</v>
      </c>
      <c r="CD2108" s="129">
        <f t="shared" si="1569"/>
        <v>0</v>
      </c>
      <c r="CG2108" s="129" t="str">
        <f t="shared" si="1550"/>
        <v>Y</v>
      </c>
      <c r="CI2108" s="129" t="str">
        <f t="shared" si="1551"/>
        <v>0-10 DAYS</v>
      </c>
      <c r="CJ2108" s="137">
        <f t="shared" si="1552"/>
        <v>1</v>
      </c>
      <c r="CK2108" s="129" t="str">
        <f t="shared" si="1553"/>
        <v>Booked</v>
      </c>
    </row>
    <row r="2109" spans="1:89" ht="15.75" customHeight="1" x14ac:dyDescent="0.25">
      <c r="A2109" s="111">
        <v>2342</v>
      </c>
      <c r="B2109" s="128" t="str">
        <f t="shared" si="1534"/>
        <v>N</v>
      </c>
      <c r="C2109" s="128" t="str">
        <f t="shared" si="1535"/>
        <v>N</v>
      </c>
      <c r="D2109" s="117">
        <v>2427017</v>
      </c>
      <c r="E2109" s="135">
        <f t="shared" si="1536"/>
        <v>6</v>
      </c>
      <c r="F2109" s="124">
        <v>40997</v>
      </c>
      <c r="G2109" s="125">
        <v>41141</v>
      </c>
      <c r="H2109" s="117">
        <v>2427017</v>
      </c>
      <c r="I2109" s="124">
        <v>41107</v>
      </c>
      <c r="J2109" s="124">
        <v>41141</v>
      </c>
      <c r="K2109" s="126" t="s">
        <v>564</v>
      </c>
      <c r="L2109" s="127" t="s">
        <v>564</v>
      </c>
      <c r="N2109" s="129" t="s">
        <v>566</v>
      </c>
      <c r="O2109" s="128" t="s">
        <v>917</v>
      </c>
      <c r="P2109" s="129" t="s">
        <v>39</v>
      </c>
      <c r="Q2109" s="111">
        <f t="shared" si="1559"/>
        <v>35</v>
      </c>
      <c r="R2109" s="111">
        <f t="shared" si="1556"/>
        <v>145</v>
      </c>
      <c r="S2109" s="129">
        <v>0</v>
      </c>
      <c r="T2109" s="129">
        <v>0</v>
      </c>
      <c r="W2109" s="111"/>
      <c r="AC2109" s="130"/>
      <c r="AD2109" s="130">
        <v>26719</v>
      </c>
      <c r="AE2109" s="128" t="s">
        <v>46</v>
      </c>
      <c r="AF2109" s="128" t="s">
        <v>40</v>
      </c>
      <c r="AG2109" s="128" t="s">
        <v>41</v>
      </c>
      <c r="AH2109" s="108" t="s">
        <v>41</v>
      </c>
      <c r="AI2109" s="128" t="s">
        <v>47</v>
      </c>
      <c r="AJ2109" s="129" t="s">
        <v>89</v>
      </c>
      <c r="AK2109" s="129">
        <v>3</v>
      </c>
      <c r="AL2109" s="3" t="s">
        <v>362</v>
      </c>
      <c r="AM2109" s="117">
        <v>2</v>
      </c>
      <c r="AP2109" s="129" t="s">
        <v>186</v>
      </c>
      <c r="AR2109" s="128" t="s">
        <v>50</v>
      </c>
      <c r="AS2109" s="129" t="s">
        <v>106</v>
      </c>
      <c r="BC2109" s="129" t="s">
        <v>38</v>
      </c>
      <c r="BF2109" s="111">
        <f t="shared" si="1564"/>
        <v>35</v>
      </c>
      <c r="BG2109" s="111">
        <f t="shared" si="1565"/>
        <v>35</v>
      </c>
      <c r="BH2109" s="111">
        <f t="shared" si="1530"/>
        <v>145</v>
      </c>
      <c r="BI2109" s="111">
        <f t="shared" si="1531"/>
        <v>39.010928961748633</v>
      </c>
      <c r="BJ2109" s="129">
        <f t="shared" si="1537"/>
        <v>0</v>
      </c>
      <c r="BK2109" s="129">
        <f t="shared" si="1532"/>
        <v>0</v>
      </c>
      <c r="BL2109" s="129" t="str">
        <f t="shared" si="1557"/>
        <v>CONVICTION</v>
      </c>
      <c r="BM2109" s="129" t="str">
        <f t="shared" si="1538"/>
        <v>NONE</v>
      </c>
      <c r="BN2109" s="129" t="s">
        <v>566</v>
      </c>
      <c r="BP2109" s="137" t="str">
        <f t="shared" si="1539"/>
        <v>CONVICTION</v>
      </c>
      <c r="BQ2109" s="128" t="str">
        <f t="shared" si="1540"/>
        <v>Y</v>
      </c>
      <c r="BR2109" s="129" t="str">
        <f t="shared" si="1541"/>
        <v>DETAINED</v>
      </c>
      <c r="BS2109" s="129" t="str">
        <f t="shared" si="1542"/>
        <v>DISPOSED</v>
      </c>
      <c r="BT2109" s="129" t="str">
        <f t="shared" si="1543"/>
        <v>N</v>
      </c>
      <c r="BU2109" s="109">
        <f t="shared" si="1544"/>
        <v>0.2413793103448276</v>
      </c>
      <c r="BV2109" s="109">
        <f t="shared" si="1545"/>
        <v>1</v>
      </c>
      <c r="BW2109" s="109">
        <f t="shared" si="1563"/>
        <v>0.75862068965517238</v>
      </c>
      <c r="BX2109" s="111">
        <f t="shared" si="1546"/>
        <v>0</v>
      </c>
      <c r="BY2109" s="129">
        <f t="shared" si="1547"/>
        <v>-35</v>
      </c>
      <c r="BZ2109" s="111">
        <f t="shared" si="1548"/>
        <v>0</v>
      </c>
      <c r="CA2109" s="138">
        <f t="shared" si="1549"/>
        <v>35</v>
      </c>
      <c r="CB2109" s="111" t="e">
        <f t="shared" si="1566"/>
        <v>#VALUE!</v>
      </c>
      <c r="CC2109" s="129">
        <f t="shared" si="1568"/>
        <v>35</v>
      </c>
      <c r="CD2109" s="129">
        <f t="shared" si="1569"/>
        <v>0</v>
      </c>
      <c r="CG2109" s="129" t="str">
        <f t="shared" si="1550"/>
        <v>N</v>
      </c>
      <c r="CI2109" s="129" t="str">
        <f t="shared" si="1551"/>
        <v>31-60 DAYS</v>
      </c>
      <c r="CJ2109" s="137">
        <f t="shared" si="1552"/>
        <v>3</v>
      </c>
      <c r="CK2109" s="129" t="str">
        <f t="shared" si="1553"/>
        <v>Booked</v>
      </c>
    </row>
    <row r="2110" spans="1:89" ht="15.75" customHeight="1" x14ac:dyDescent="0.25">
      <c r="A2110" s="111">
        <v>1610</v>
      </c>
      <c r="B2110" s="128" t="str">
        <f t="shared" si="1534"/>
        <v>N</v>
      </c>
      <c r="C2110" s="128" t="str">
        <f t="shared" si="1535"/>
        <v>N</v>
      </c>
      <c r="D2110" s="117">
        <v>2427388</v>
      </c>
      <c r="E2110" s="135">
        <f t="shared" si="1536"/>
        <v>6</v>
      </c>
      <c r="F2110" s="124">
        <v>40968</v>
      </c>
      <c r="G2110" s="125">
        <v>40996</v>
      </c>
      <c r="H2110" s="117">
        <v>2427388</v>
      </c>
      <c r="I2110" s="124">
        <v>40968</v>
      </c>
      <c r="J2110" s="124">
        <v>40996</v>
      </c>
      <c r="K2110" s="126">
        <v>10000</v>
      </c>
      <c r="L2110" s="127" t="s">
        <v>570</v>
      </c>
      <c r="N2110" s="129" t="str">
        <f>IF(M2110&gt;1/1/1,"Y","N")</f>
        <v>N</v>
      </c>
      <c r="O2110" s="128" t="s">
        <v>917</v>
      </c>
      <c r="P2110" s="129" t="s">
        <v>39</v>
      </c>
      <c r="Q2110" s="111">
        <f t="shared" si="1559"/>
        <v>29</v>
      </c>
      <c r="R2110" s="111">
        <f t="shared" si="1556"/>
        <v>29</v>
      </c>
      <c r="S2110" s="129">
        <v>0</v>
      </c>
      <c r="T2110" s="129">
        <v>1</v>
      </c>
      <c r="W2110" s="111"/>
      <c r="AC2110" s="130"/>
      <c r="AD2110" s="130">
        <v>33742</v>
      </c>
      <c r="AE2110" s="128" t="s">
        <v>32</v>
      </c>
      <c r="AF2110" s="128" t="s">
        <v>69</v>
      </c>
      <c r="AG2110" s="128" t="s">
        <v>874</v>
      </c>
      <c r="AH2110" s="108" t="s">
        <v>31</v>
      </c>
      <c r="AI2110" s="128" t="s">
        <v>97</v>
      </c>
      <c r="AJ2110" s="129" t="s">
        <v>89</v>
      </c>
      <c r="AK2110" s="129">
        <v>2</v>
      </c>
      <c r="AL2110" s="3" t="s">
        <v>362</v>
      </c>
      <c r="AM2110" s="117">
        <v>2</v>
      </c>
      <c r="AP2110" s="129" t="s">
        <v>56</v>
      </c>
      <c r="AR2110" s="128" t="s">
        <v>50</v>
      </c>
      <c r="AS2110" s="129" t="s">
        <v>57</v>
      </c>
      <c r="BC2110" s="129" t="s">
        <v>99</v>
      </c>
      <c r="BF2110" s="111">
        <f t="shared" si="1564"/>
        <v>29</v>
      </c>
      <c r="BG2110" s="111">
        <f t="shared" si="1565"/>
        <v>29</v>
      </c>
      <c r="BH2110" s="111">
        <f t="shared" si="1530"/>
        <v>29</v>
      </c>
      <c r="BI2110" s="111">
        <f t="shared" si="1531"/>
        <v>19.743169398907103</v>
      </c>
      <c r="BJ2110" s="129">
        <f t="shared" si="1537"/>
        <v>0</v>
      </c>
      <c r="BK2110" s="129">
        <f t="shared" si="1532"/>
        <v>0</v>
      </c>
      <c r="BL2110" s="129" t="str">
        <f t="shared" si="1557"/>
        <v>CONVICTION</v>
      </c>
      <c r="BM2110" s="129" t="str">
        <f t="shared" si="1538"/>
        <v>NONE</v>
      </c>
      <c r="BN2110" s="129" t="s">
        <v>566</v>
      </c>
      <c r="BP2110" s="137" t="str">
        <f t="shared" si="1539"/>
        <v>CONVICTION</v>
      </c>
      <c r="BQ2110" s="128" t="str">
        <f t="shared" si="1540"/>
        <v>Y</v>
      </c>
      <c r="BR2110" s="129" t="str">
        <f t="shared" si="1541"/>
        <v>DETAINED</v>
      </c>
      <c r="BS2110" s="129" t="str">
        <f t="shared" si="1542"/>
        <v>DISPOSED</v>
      </c>
      <c r="BT2110" s="129" t="str">
        <f t="shared" si="1543"/>
        <v>N</v>
      </c>
      <c r="BU2110" s="109">
        <f t="shared" si="1544"/>
        <v>1</v>
      </c>
      <c r="BV2110" s="109">
        <f t="shared" si="1545"/>
        <v>1</v>
      </c>
      <c r="BW2110" s="109">
        <f t="shared" si="1563"/>
        <v>0</v>
      </c>
      <c r="BX2110" s="111">
        <f t="shared" si="1546"/>
        <v>0</v>
      </c>
      <c r="BY2110" s="129">
        <f t="shared" si="1547"/>
        <v>-29</v>
      </c>
      <c r="BZ2110" s="111">
        <f t="shared" si="1548"/>
        <v>0</v>
      </c>
      <c r="CA2110" s="138">
        <f t="shared" si="1549"/>
        <v>29</v>
      </c>
      <c r="CB2110" s="111" t="e">
        <f t="shared" si="1566"/>
        <v>#VALUE!</v>
      </c>
      <c r="CC2110" s="129">
        <f t="shared" si="1568"/>
        <v>29</v>
      </c>
      <c r="CD2110" s="129">
        <f t="shared" si="1569"/>
        <v>0</v>
      </c>
      <c r="CG2110" s="129" t="str">
        <f t="shared" si="1550"/>
        <v>Y</v>
      </c>
      <c r="CI2110" s="129" t="str">
        <f t="shared" si="1551"/>
        <v>11-30 DAYS</v>
      </c>
      <c r="CJ2110" s="137">
        <f t="shared" si="1552"/>
        <v>2</v>
      </c>
      <c r="CK2110" s="129" t="str">
        <f t="shared" si="1553"/>
        <v>Booked</v>
      </c>
    </row>
    <row r="2111" spans="1:89" ht="15" customHeight="1" x14ac:dyDescent="0.25">
      <c r="A2111" s="111">
        <v>2734</v>
      </c>
      <c r="B2111" s="128" t="str">
        <f t="shared" si="1534"/>
        <v>N</v>
      </c>
      <c r="C2111" s="128" t="str">
        <f t="shared" si="1535"/>
        <v>N</v>
      </c>
      <c r="D2111" s="117">
        <v>2428576</v>
      </c>
      <c r="E2111" s="135">
        <f t="shared" si="1536"/>
        <v>6</v>
      </c>
      <c r="F2111" s="124">
        <v>41010</v>
      </c>
      <c r="G2111" s="125">
        <v>41082</v>
      </c>
      <c r="H2111" s="117">
        <v>2428576</v>
      </c>
      <c r="I2111" s="124">
        <v>41011</v>
      </c>
      <c r="J2111" s="124">
        <v>41082</v>
      </c>
      <c r="K2111" s="126">
        <v>10000</v>
      </c>
      <c r="L2111" s="127" t="s">
        <v>570</v>
      </c>
      <c r="N2111" s="129" t="str">
        <f>IF(M2111&gt;1/1/1,"Y","N")</f>
        <v>N</v>
      </c>
      <c r="O2111" s="128" t="s">
        <v>917</v>
      </c>
      <c r="P2111" s="129" t="s">
        <v>39</v>
      </c>
      <c r="Q2111" s="111">
        <f t="shared" si="1559"/>
        <v>72</v>
      </c>
      <c r="R2111" s="111">
        <f t="shared" si="1556"/>
        <v>73</v>
      </c>
      <c r="S2111" s="129">
        <v>1</v>
      </c>
      <c r="T2111" s="129">
        <v>0</v>
      </c>
      <c r="U2111" s="129">
        <v>1</v>
      </c>
      <c r="W2111" s="115"/>
      <c r="X2111" s="114"/>
      <c r="Y2111" s="32"/>
      <c r="Z2111" s="32"/>
      <c r="AC2111" s="130"/>
      <c r="AD2111" s="130">
        <v>33709</v>
      </c>
      <c r="AE2111" s="128" t="s">
        <v>32</v>
      </c>
      <c r="AF2111" s="128" t="s">
        <v>33</v>
      </c>
      <c r="AG2111" s="128" t="s">
        <v>872</v>
      </c>
      <c r="AH2111" s="108" t="s">
        <v>31</v>
      </c>
      <c r="AI2111" s="128" t="s">
        <v>47</v>
      </c>
      <c r="AJ2111" s="129" t="s">
        <v>89</v>
      </c>
      <c r="AK2111" s="129">
        <v>3</v>
      </c>
      <c r="AL2111" s="3" t="s">
        <v>362</v>
      </c>
      <c r="AM2111" s="117">
        <v>2</v>
      </c>
      <c r="AP2111" s="129" t="s">
        <v>101</v>
      </c>
      <c r="AR2111" s="128" t="s">
        <v>67</v>
      </c>
      <c r="AS2111" s="129" t="s">
        <v>64</v>
      </c>
      <c r="BC2111" s="129" t="s">
        <v>38</v>
      </c>
      <c r="BF2111" s="111">
        <f t="shared" si="1564"/>
        <v>72</v>
      </c>
      <c r="BG2111" s="111">
        <f t="shared" si="1565"/>
        <v>72</v>
      </c>
      <c r="BH2111" s="111">
        <f t="shared" si="1530"/>
        <v>73</v>
      </c>
      <c r="BI2111" s="111">
        <f t="shared" si="1531"/>
        <v>19.948087431693988</v>
      </c>
      <c r="BJ2111" s="129">
        <f t="shared" si="1537"/>
        <v>0</v>
      </c>
      <c r="BK2111" s="129">
        <f t="shared" si="1532"/>
        <v>0</v>
      </c>
      <c r="BL2111" s="129" t="str">
        <f t="shared" si="1557"/>
        <v>CONVICTION</v>
      </c>
      <c r="BM2111" s="129" t="str">
        <f t="shared" si="1538"/>
        <v>NONE</v>
      </c>
      <c r="BN2111" s="129" t="s">
        <v>566</v>
      </c>
      <c r="BP2111" s="137" t="str">
        <f t="shared" si="1539"/>
        <v>CONVICTION</v>
      </c>
      <c r="BQ2111" s="128" t="str">
        <f t="shared" si="1540"/>
        <v>Y</v>
      </c>
      <c r="BR2111" s="129" t="str">
        <f t="shared" si="1541"/>
        <v>DETAINED</v>
      </c>
      <c r="BS2111" s="129" t="str">
        <f t="shared" si="1542"/>
        <v>DISPOSED</v>
      </c>
      <c r="BT2111" s="129" t="str">
        <f t="shared" si="1543"/>
        <v>Y</v>
      </c>
      <c r="BU2111" s="109">
        <f t="shared" si="1544"/>
        <v>0.98630136986301364</v>
      </c>
      <c r="BV2111" s="109">
        <f t="shared" si="1545"/>
        <v>1</v>
      </c>
      <c r="BW2111" s="109">
        <f t="shared" si="1563"/>
        <v>1.3698630136986356E-2</v>
      </c>
      <c r="BX2111" s="111">
        <f t="shared" si="1546"/>
        <v>0</v>
      </c>
      <c r="BY2111" s="129">
        <f t="shared" si="1547"/>
        <v>-72</v>
      </c>
      <c r="BZ2111" s="111">
        <f t="shared" si="1548"/>
        <v>0</v>
      </c>
      <c r="CA2111" s="138">
        <f t="shared" si="1549"/>
        <v>72</v>
      </c>
      <c r="CB2111" s="111" t="e">
        <f t="shared" si="1566"/>
        <v>#VALUE!</v>
      </c>
      <c r="CC2111" s="129">
        <f t="shared" si="1568"/>
        <v>72</v>
      </c>
      <c r="CD2111" s="129">
        <f t="shared" si="1569"/>
        <v>0</v>
      </c>
      <c r="CG2111" s="129" t="str">
        <f t="shared" si="1550"/>
        <v>Y</v>
      </c>
      <c r="CI2111" s="129" t="str">
        <f t="shared" si="1551"/>
        <v>61-90 DAYS</v>
      </c>
      <c r="CJ2111" s="137">
        <f t="shared" si="1552"/>
        <v>4</v>
      </c>
      <c r="CK2111" s="129" t="str">
        <f t="shared" si="1553"/>
        <v>Booked</v>
      </c>
    </row>
    <row r="2112" spans="1:89" ht="15" customHeight="1" x14ac:dyDescent="0.25">
      <c r="A2112" s="111">
        <v>3151</v>
      </c>
      <c r="B2112" s="128" t="str">
        <f t="shared" si="1534"/>
        <v>N</v>
      </c>
      <c r="C2112" s="128" t="str">
        <f t="shared" si="1535"/>
        <v>N</v>
      </c>
      <c r="D2112" s="117">
        <v>2428640</v>
      </c>
      <c r="E2112" s="135">
        <f t="shared" si="1536"/>
        <v>5</v>
      </c>
      <c r="F2112" s="124">
        <v>41025</v>
      </c>
      <c r="G2112" s="125">
        <v>41067</v>
      </c>
      <c r="H2112" s="117">
        <v>2428640</v>
      </c>
      <c r="I2112" s="124">
        <v>41025</v>
      </c>
      <c r="J2112" s="124">
        <v>41067</v>
      </c>
      <c r="K2112" s="126" t="s">
        <v>564</v>
      </c>
      <c r="L2112" s="127" t="s">
        <v>564</v>
      </c>
      <c r="N2112" s="129" t="s">
        <v>566</v>
      </c>
      <c r="O2112" s="128" t="s">
        <v>917</v>
      </c>
      <c r="P2112" s="129" t="s">
        <v>39</v>
      </c>
      <c r="Q2112" s="111">
        <f t="shared" ref="Q2112:Q2143" si="1570">BF2112</f>
        <v>43</v>
      </c>
      <c r="R2112" s="111">
        <f t="shared" si="1556"/>
        <v>43</v>
      </c>
      <c r="S2112" s="129">
        <v>1</v>
      </c>
      <c r="T2112" s="129">
        <v>0</v>
      </c>
      <c r="W2112" s="111"/>
      <c r="AC2112" s="130"/>
      <c r="AD2112" s="130">
        <v>32015</v>
      </c>
      <c r="AE2112" s="128" t="s">
        <v>32</v>
      </c>
      <c r="AF2112" s="128" t="s">
        <v>33</v>
      </c>
      <c r="AG2112" s="128" t="s">
        <v>872</v>
      </c>
      <c r="AH2112" s="108" t="s">
        <v>31</v>
      </c>
      <c r="AI2112" s="128" t="s">
        <v>90</v>
      </c>
      <c r="AJ2112" s="129" t="s">
        <v>89</v>
      </c>
      <c r="AK2112" s="129">
        <v>4</v>
      </c>
      <c r="AL2112" s="3" t="s">
        <v>992</v>
      </c>
      <c r="AN2112" s="117">
        <v>6</v>
      </c>
      <c r="AP2112" s="129" t="s">
        <v>127</v>
      </c>
      <c r="AR2112" s="128" t="s">
        <v>44</v>
      </c>
      <c r="AS2112" s="129" t="s">
        <v>82</v>
      </c>
      <c r="BC2112" s="129" t="s">
        <v>52</v>
      </c>
      <c r="BF2112" s="111">
        <f t="shared" si="1564"/>
        <v>43</v>
      </c>
      <c r="BG2112" s="111">
        <f t="shared" si="1565"/>
        <v>43</v>
      </c>
      <c r="BH2112" s="111">
        <f t="shared" si="1530"/>
        <v>43</v>
      </c>
      <c r="BI2112" s="111">
        <f t="shared" si="1531"/>
        <v>24.617486338797814</v>
      </c>
      <c r="BJ2112" s="129">
        <f t="shared" si="1537"/>
        <v>0</v>
      </c>
      <c r="BK2112" s="129">
        <f t="shared" si="1532"/>
        <v>0</v>
      </c>
      <c r="BL2112" s="129" t="str">
        <f t="shared" si="1557"/>
        <v>CONVICTION</v>
      </c>
      <c r="BM2112" s="129" t="str">
        <f t="shared" si="1538"/>
        <v>NONE</v>
      </c>
      <c r="BN2112" s="129" t="s">
        <v>566</v>
      </c>
      <c r="BP2112" s="137" t="str">
        <f t="shared" si="1539"/>
        <v>CONVICTION</v>
      </c>
      <c r="BQ2112" s="128" t="str">
        <f t="shared" si="1540"/>
        <v>Y</v>
      </c>
      <c r="BR2112" s="129" t="str">
        <f t="shared" si="1541"/>
        <v>DETAINED</v>
      </c>
      <c r="BS2112" s="129" t="str">
        <f t="shared" si="1542"/>
        <v>DISPOSED</v>
      </c>
      <c r="BT2112" s="129" t="str">
        <f t="shared" si="1543"/>
        <v>Y</v>
      </c>
      <c r="BU2112" s="109">
        <f t="shared" si="1544"/>
        <v>1</v>
      </c>
      <c r="BV2112" s="109">
        <f t="shared" si="1545"/>
        <v>1</v>
      </c>
      <c r="BW2112" s="109">
        <f t="shared" si="1563"/>
        <v>0</v>
      </c>
      <c r="BX2112" s="111">
        <f t="shared" si="1546"/>
        <v>0</v>
      </c>
      <c r="BY2112" s="129">
        <f t="shared" si="1547"/>
        <v>-43</v>
      </c>
      <c r="BZ2112" s="111">
        <f t="shared" si="1548"/>
        <v>0</v>
      </c>
      <c r="CA2112" s="138">
        <f t="shared" si="1549"/>
        <v>43</v>
      </c>
      <c r="CB2112" s="111" t="e">
        <f t="shared" si="1566"/>
        <v>#VALUE!</v>
      </c>
      <c r="CC2112" s="129">
        <f t="shared" si="1568"/>
        <v>43</v>
      </c>
      <c r="CD2112" s="129">
        <f t="shared" si="1569"/>
        <v>0</v>
      </c>
      <c r="CG2112" s="129" t="str">
        <f t="shared" si="1550"/>
        <v>Y</v>
      </c>
      <c r="CI2112" s="129" t="str">
        <f t="shared" si="1551"/>
        <v>31-60 DAYS</v>
      </c>
      <c r="CJ2112" s="137">
        <f t="shared" si="1552"/>
        <v>3</v>
      </c>
      <c r="CK2112" s="129" t="str">
        <f t="shared" si="1553"/>
        <v>Booked</v>
      </c>
    </row>
    <row r="2113" spans="1:89" ht="15.75" customHeight="1" x14ac:dyDescent="0.25">
      <c r="A2113" s="111">
        <v>876</v>
      </c>
      <c r="B2113" s="128" t="str">
        <f t="shared" si="1534"/>
        <v>N</v>
      </c>
      <c r="C2113" s="128" t="str">
        <f t="shared" si="1535"/>
        <v>N</v>
      </c>
      <c r="D2113" s="117">
        <v>2428780</v>
      </c>
      <c r="E2113" s="135">
        <f t="shared" si="1536"/>
        <v>6</v>
      </c>
      <c r="F2113" s="124">
        <v>40941</v>
      </c>
      <c r="G2113" s="125">
        <v>41011</v>
      </c>
      <c r="H2113" s="117">
        <v>2428780</v>
      </c>
      <c r="I2113" s="124">
        <v>40947</v>
      </c>
      <c r="J2113" s="124">
        <v>41011</v>
      </c>
      <c r="K2113" s="126">
        <v>100000</v>
      </c>
      <c r="L2113" s="129" t="s">
        <v>572</v>
      </c>
      <c r="N2113" s="129" t="str">
        <f>IF(M2113&gt;1/1/1,"Y","N")</f>
        <v>N</v>
      </c>
      <c r="O2113" s="128" t="s">
        <v>917</v>
      </c>
      <c r="P2113" s="129" t="s">
        <v>39</v>
      </c>
      <c r="Q2113" s="111">
        <f t="shared" si="1570"/>
        <v>65</v>
      </c>
      <c r="R2113" s="111">
        <f t="shared" si="1556"/>
        <v>71</v>
      </c>
      <c r="S2113" s="129">
        <v>1</v>
      </c>
      <c r="T2113" s="129">
        <v>1</v>
      </c>
      <c r="U2113" s="129">
        <v>1</v>
      </c>
      <c r="W2113" s="111"/>
      <c r="AC2113" s="130"/>
      <c r="AD2113" s="130">
        <v>33059</v>
      </c>
      <c r="AE2113" s="128" t="s">
        <v>46</v>
      </c>
      <c r="AF2113" s="128" t="s">
        <v>69</v>
      </c>
      <c r="AG2113" s="128" t="s">
        <v>874</v>
      </c>
      <c r="AH2113" s="108" t="s">
        <v>31</v>
      </c>
      <c r="AI2113" s="128" t="s">
        <v>42</v>
      </c>
      <c r="AJ2113" s="129" t="s">
        <v>89</v>
      </c>
      <c r="AK2113" s="129">
        <v>6</v>
      </c>
      <c r="AL2113" s="3" t="s">
        <v>362</v>
      </c>
      <c r="AM2113" s="117">
        <v>4</v>
      </c>
      <c r="AP2113" s="129" t="s">
        <v>56</v>
      </c>
      <c r="AR2113" s="128" t="s">
        <v>50</v>
      </c>
      <c r="AS2113" s="129" t="s">
        <v>57</v>
      </c>
      <c r="BC2113" s="129" t="s">
        <v>52</v>
      </c>
      <c r="BF2113" s="111">
        <f t="shared" si="1564"/>
        <v>65</v>
      </c>
      <c r="BG2113" s="111">
        <f t="shared" si="1565"/>
        <v>65</v>
      </c>
      <c r="BH2113" s="111">
        <f t="shared" ref="BH2113:BH2176" si="1571">IF(G2113&gt;1/1/1900,((G2113+1)-F2113),"STILL OPEN")</f>
        <v>71</v>
      </c>
      <c r="BI2113" s="111">
        <f t="shared" ref="BI2113:BI2176" si="1572">(F2113-AD2113)/366</f>
        <v>21.535519125683059</v>
      </c>
      <c r="BJ2113" s="129">
        <f t="shared" si="1537"/>
        <v>0</v>
      </c>
      <c r="BK2113" s="129">
        <f t="shared" ref="BK2113:BK2176" si="1573">J2113-G2113</f>
        <v>0</v>
      </c>
      <c r="BL2113" s="129" t="str">
        <f t="shared" si="1557"/>
        <v>CONVICTION</v>
      </c>
      <c r="BM2113" s="129" t="str">
        <f t="shared" si="1538"/>
        <v>NONE</v>
      </c>
      <c r="BN2113" s="129" t="s">
        <v>566</v>
      </c>
      <c r="BP2113" s="137" t="str">
        <f t="shared" si="1539"/>
        <v>CONVICTION</v>
      </c>
      <c r="BQ2113" s="128" t="str">
        <f t="shared" si="1540"/>
        <v>Y</v>
      </c>
      <c r="BR2113" s="129" t="str">
        <f t="shared" si="1541"/>
        <v>DETAINED</v>
      </c>
      <c r="BS2113" s="129" t="str">
        <f t="shared" si="1542"/>
        <v>DISPOSED</v>
      </c>
      <c r="BT2113" s="129" t="str">
        <f t="shared" si="1543"/>
        <v>Y</v>
      </c>
      <c r="BU2113" s="109">
        <f t="shared" si="1544"/>
        <v>0.91549295774647887</v>
      </c>
      <c r="BV2113" s="109">
        <f t="shared" si="1545"/>
        <v>1</v>
      </c>
      <c r="BW2113" s="109">
        <f t="shared" si="1563"/>
        <v>8.4507042253521125E-2</v>
      </c>
      <c r="BX2113" s="111">
        <f t="shared" si="1546"/>
        <v>0</v>
      </c>
      <c r="BY2113" s="129">
        <f t="shared" si="1547"/>
        <v>-65</v>
      </c>
      <c r="BZ2113" s="111">
        <f t="shared" si="1548"/>
        <v>0</v>
      </c>
      <c r="CA2113" s="138">
        <f t="shared" si="1549"/>
        <v>65</v>
      </c>
      <c r="CB2113" s="111" t="e">
        <f t="shared" si="1566"/>
        <v>#VALUE!</v>
      </c>
      <c r="CC2113" s="129">
        <f t="shared" si="1568"/>
        <v>65</v>
      </c>
      <c r="CD2113" s="129">
        <f t="shared" si="1569"/>
        <v>0</v>
      </c>
      <c r="CG2113" s="129" t="str">
        <f t="shared" si="1550"/>
        <v>Y</v>
      </c>
      <c r="CI2113" s="129" t="str">
        <f t="shared" si="1551"/>
        <v>61-90 DAYS</v>
      </c>
      <c r="CJ2113" s="137">
        <f t="shared" si="1552"/>
        <v>4</v>
      </c>
      <c r="CK2113" s="129" t="str">
        <f t="shared" si="1553"/>
        <v>Booked</v>
      </c>
    </row>
    <row r="2114" spans="1:89" ht="15.75" customHeight="1" x14ac:dyDescent="0.25">
      <c r="A2114" s="111">
        <v>2829</v>
      </c>
      <c r="B2114" s="128" t="str">
        <f t="shared" ref="B2114:B2177" si="1574">IF(BD2114&lt;&gt;"","Y","N")</f>
        <v>N</v>
      </c>
      <c r="C2114" s="128" t="str">
        <f t="shared" ref="C2114:C2177" si="1575">IF((AND(AV2114="",AX2114="",AY2114="")),"N","Y")</f>
        <v>N</v>
      </c>
      <c r="D2114" s="117">
        <v>2429235</v>
      </c>
      <c r="E2114" s="135">
        <f t="shared" ref="E2114:E2177" si="1576">IF(OR(AL2114="ACQUITTAL",AL2114="ACQUIT",AL2114="acq insane",AL2114="DISMISSED",AL2114="NO BILL"),1,IF(AL2114="DEFERRED",2,IF(AL2114="PROBATION",3,IF(OR(AL2114="HCJ",AL2114="fine"),4,IF(AL2114="STJ",5,IF(AL2114="TDC",6,""))))))</f>
        <v>4</v>
      </c>
      <c r="F2114" s="124">
        <v>41013</v>
      </c>
      <c r="G2114" s="125">
        <v>41016</v>
      </c>
      <c r="H2114" s="117">
        <v>2429235</v>
      </c>
      <c r="I2114" s="124">
        <v>41013</v>
      </c>
      <c r="J2114" s="124">
        <v>41016</v>
      </c>
      <c r="K2114" s="126">
        <v>15000</v>
      </c>
      <c r="L2114" s="127" t="s">
        <v>571</v>
      </c>
      <c r="N2114" s="129" t="str">
        <f>IF(M2114&gt;1/1/1,"Y","N")</f>
        <v>N</v>
      </c>
      <c r="O2114" s="128" t="s">
        <v>917</v>
      </c>
      <c r="P2114" s="129" t="s">
        <v>39</v>
      </c>
      <c r="Q2114" s="111">
        <f t="shared" si="1570"/>
        <v>4</v>
      </c>
      <c r="R2114" s="111">
        <f t="shared" si="1556"/>
        <v>4</v>
      </c>
      <c r="S2114" s="129">
        <v>3</v>
      </c>
      <c r="T2114" s="129">
        <v>1</v>
      </c>
      <c r="U2114" s="129">
        <v>1</v>
      </c>
      <c r="W2114" s="111"/>
      <c r="AC2114" s="130"/>
      <c r="AD2114" s="130">
        <v>33737</v>
      </c>
      <c r="AE2114" s="128" t="s">
        <v>32</v>
      </c>
      <c r="AF2114" s="128" t="s">
        <v>40</v>
      </c>
      <c r="AG2114" s="128" t="s">
        <v>41</v>
      </c>
      <c r="AH2114" s="108" t="s">
        <v>41</v>
      </c>
      <c r="AI2114" s="128" t="s">
        <v>83</v>
      </c>
      <c r="AJ2114" s="129" t="s">
        <v>89</v>
      </c>
      <c r="AK2114" s="129">
        <v>2</v>
      </c>
      <c r="AL2114" s="3" t="s">
        <v>991</v>
      </c>
      <c r="AO2114" s="128">
        <v>270</v>
      </c>
      <c r="AP2114" s="129" t="s">
        <v>43</v>
      </c>
      <c r="AR2114" s="128" t="s">
        <v>44</v>
      </c>
      <c r="AS2114" s="129" t="s">
        <v>45</v>
      </c>
      <c r="BC2114" s="129" t="s">
        <v>38</v>
      </c>
      <c r="BF2114" s="111">
        <f t="shared" si="1564"/>
        <v>4</v>
      </c>
      <c r="BG2114" s="111">
        <f t="shared" si="1565"/>
        <v>4</v>
      </c>
      <c r="BH2114" s="111">
        <f t="shared" si="1571"/>
        <v>4</v>
      </c>
      <c r="BI2114" s="111">
        <f t="shared" si="1572"/>
        <v>19.879781420765028</v>
      </c>
      <c r="BJ2114" s="129">
        <f t="shared" ref="BJ2114:BJ2173" si="1577">G2114-J2114-M2114</f>
        <v>0</v>
      </c>
      <c r="BK2114" s="129">
        <f t="shared" si="1573"/>
        <v>0</v>
      </c>
      <c r="BL2114" s="129" t="str">
        <f t="shared" si="1557"/>
        <v>CONVICTION</v>
      </c>
      <c r="BM2114" s="129" t="str">
        <f t="shared" ref="BM2114:BM2173" si="1578">O2114</f>
        <v>NONE</v>
      </c>
      <c r="BN2114" s="129" t="s">
        <v>566</v>
      </c>
      <c r="BP2114" s="137" t="str">
        <f t="shared" ref="BP2114:BP2177" si="1579">IF(OR(AJ2114="AQUITTAL",AJ2114="DISMISSED",AJ2114="FINE",AJ2114="NO BILL"),"NO CONVICTION",IF(OR(AJ2114="HCJ",AJ2114="MHH",AJ2114="PROBATION",AJ2114="STJ",AJ2114="TDC",AJ2114="CONVICTED"),"CONVICTION",IF(AJ2114="DEFERRED","DEFERRED","")))</f>
        <v>CONVICTION</v>
      </c>
      <c r="BQ2114" s="128" t="str">
        <f t="shared" ref="BQ2114:BQ2177" si="1580">IF(BF2114&gt;0,"Y",BF2114)</f>
        <v>Y</v>
      </c>
      <c r="BR2114" s="129" t="str">
        <f t="shared" ref="BR2114:BR2176" si="1581">IF(AND(J2114="NOT BOOKED",M2114&gt;1/1/1),"BONDED - BEFORE BOOKED",IF(BG2114="STILL OPEN","STILL OPEN",IF(N2114="Y","ON BOND",IF(J2114&gt;=G2114,"DETAINED","RELEASED"))))</f>
        <v>DETAINED</v>
      </c>
      <c r="BS2114" s="129" t="str">
        <f t="shared" ref="BS2114:BS2177" si="1582">IF(G2114&lt;&gt;"","DISPOSED","")</f>
        <v>DISPOSED</v>
      </c>
      <c r="BT2114" s="129" t="str">
        <f t="shared" ref="BT2114:BT2177" si="1583">IF(S2114&gt;0,"Y","N")</f>
        <v>Y</v>
      </c>
      <c r="BU2114" s="109">
        <f t="shared" ref="BU2114:BU2177" si="1584">Q2114/R2114</f>
        <v>1</v>
      </c>
      <c r="BV2114" s="109">
        <f t="shared" ref="BV2114:BV2177" si="1585">IF(I2114&gt;F2114,((J2114-I2114+1)/(G2114-I2114+1)),(J2114-I2114+1)/(G2114-F2114+1))</f>
        <v>1</v>
      </c>
      <c r="BW2114" s="109">
        <f t="shared" si="1563"/>
        <v>0</v>
      </c>
      <c r="BX2114" s="111">
        <f t="shared" ref="BX2114:BX2177" si="1586">+Q2114-BF2114</f>
        <v>0</v>
      </c>
      <c r="BY2114" s="129">
        <f t="shared" ref="BY2114:BY2177" si="1587">I2114-J2114-1</f>
        <v>-4</v>
      </c>
      <c r="BZ2114" s="111">
        <f t="shared" ref="BZ2114:BZ2177" si="1588">BY2114+BF2114</f>
        <v>0</v>
      </c>
      <c r="CA2114" s="138">
        <f t="shared" ref="CA2114:CA2177" si="1589">IF(AND(BS2114="DISPOSED",BR2114="DETAINED"),G2114-I2114+1,IF(AND(BS2114="DISPOSED",BR2114="ON BOND"),M2114-I2114+1,IF(AND(BS2114="STILL OPEN","STILL OPEN"),"NOT BOOKED")))</f>
        <v>4</v>
      </c>
      <c r="CB2114" s="111" t="e">
        <f t="shared" si="1566"/>
        <v>#VALUE!</v>
      </c>
      <c r="CC2114" s="129">
        <f t="shared" si="1568"/>
        <v>4</v>
      </c>
      <c r="CD2114" s="129">
        <f t="shared" si="1569"/>
        <v>0</v>
      </c>
      <c r="CG2114" s="129" t="str">
        <f t="shared" ref="CG2114:CG2177" si="1590">IF((S2114+T2114+U2114)&gt;0,"Y","N")</f>
        <v>Y</v>
      </c>
      <c r="CI2114" s="129" t="str">
        <f t="shared" si="1551"/>
        <v>0-10 DAYS</v>
      </c>
      <c r="CJ2114" s="137">
        <f t="shared" si="1552"/>
        <v>1</v>
      </c>
      <c r="CK2114" s="129" t="str">
        <f t="shared" si="1553"/>
        <v>Booked</v>
      </c>
    </row>
    <row r="2115" spans="1:89" ht="15.75" customHeight="1" x14ac:dyDescent="0.25">
      <c r="A2115" s="111">
        <v>1609</v>
      </c>
      <c r="B2115" s="128" t="str">
        <f t="shared" si="1574"/>
        <v>N</v>
      </c>
      <c r="C2115" s="128" t="str">
        <f t="shared" si="1575"/>
        <v>N</v>
      </c>
      <c r="D2115" s="117">
        <v>2429857</v>
      </c>
      <c r="E2115" s="135">
        <f t="shared" si="1576"/>
        <v>5</v>
      </c>
      <c r="F2115" s="124">
        <v>40968</v>
      </c>
      <c r="G2115" s="125">
        <v>41025</v>
      </c>
      <c r="H2115" s="117">
        <v>2429857</v>
      </c>
      <c r="I2115" s="124">
        <v>40971</v>
      </c>
      <c r="J2115" s="124">
        <v>41025</v>
      </c>
      <c r="K2115" s="126">
        <v>20000</v>
      </c>
      <c r="L2115" s="127" t="s">
        <v>571</v>
      </c>
      <c r="N2115" s="129" t="str">
        <f>IF(M2115&gt;1/1/1,"Y","N")</f>
        <v>N</v>
      </c>
      <c r="O2115" s="128" t="s">
        <v>917</v>
      </c>
      <c r="P2115" s="129" t="s">
        <v>39</v>
      </c>
      <c r="Q2115" s="111">
        <f t="shared" si="1570"/>
        <v>55</v>
      </c>
      <c r="R2115" s="111">
        <f t="shared" si="1556"/>
        <v>58</v>
      </c>
      <c r="S2115" s="129">
        <v>2</v>
      </c>
      <c r="T2115" s="129">
        <v>2</v>
      </c>
      <c r="W2115" s="111"/>
      <c r="AC2115" s="130"/>
      <c r="AD2115" s="130">
        <v>33603</v>
      </c>
      <c r="AE2115" s="128" t="s">
        <v>32</v>
      </c>
      <c r="AF2115" s="128" t="s">
        <v>40</v>
      </c>
      <c r="AG2115" s="128" t="s">
        <v>41</v>
      </c>
      <c r="AH2115" s="108" t="s">
        <v>41</v>
      </c>
      <c r="AI2115" s="128" t="s">
        <v>34</v>
      </c>
      <c r="AJ2115" s="129" t="s">
        <v>89</v>
      </c>
      <c r="AK2115" s="129">
        <v>6</v>
      </c>
      <c r="AL2115" s="3" t="s">
        <v>992</v>
      </c>
      <c r="AN2115" s="117">
        <v>7</v>
      </c>
      <c r="AP2115" s="129" t="s">
        <v>107</v>
      </c>
      <c r="AR2115" s="128" t="s">
        <v>44</v>
      </c>
      <c r="AS2115" s="129" t="s">
        <v>57</v>
      </c>
      <c r="BC2115" s="129" t="s">
        <v>52</v>
      </c>
      <c r="BF2115" s="111">
        <f t="shared" si="1564"/>
        <v>55</v>
      </c>
      <c r="BG2115" s="111">
        <f t="shared" si="1565"/>
        <v>55</v>
      </c>
      <c r="BH2115" s="111">
        <f t="shared" si="1571"/>
        <v>58</v>
      </c>
      <c r="BI2115" s="111">
        <f t="shared" si="1572"/>
        <v>20.122950819672131</v>
      </c>
      <c r="BJ2115" s="129">
        <f t="shared" si="1577"/>
        <v>0</v>
      </c>
      <c r="BK2115" s="129">
        <f t="shared" si="1573"/>
        <v>0</v>
      </c>
      <c r="BL2115" s="129" t="str">
        <f t="shared" si="1557"/>
        <v>CONVICTION</v>
      </c>
      <c r="BM2115" s="129" t="str">
        <f t="shared" si="1578"/>
        <v>NONE</v>
      </c>
      <c r="BN2115" s="129" t="s">
        <v>566</v>
      </c>
      <c r="BP2115" s="137" t="str">
        <f t="shared" si="1579"/>
        <v>CONVICTION</v>
      </c>
      <c r="BQ2115" s="128" t="str">
        <f t="shared" si="1580"/>
        <v>Y</v>
      </c>
      <c r="BR2115" s="129" t="str">
        <f t="shared" si="1581"/>
        <v>DETAINED</v>
      </c>
      <c r="BS2115" s="129" t="str">
        <f t="shared" si="1582"/>
        <v>DISPOSED</v>
      </c>
      <c r="BT2115" s="129" t="str">
        <f t="shared" si="1583"/>
        <v>Y</v>
      </c>
      <c r="BU2115" s="109">
        <f t="shared" si="1584"/>
        <v>0.94827586206896552</v>
      </c>
      <c r="BV2115" s="109">
        <f t="shared" si="1585"/>
        <v>1</v>
      </c>
      <c r="BW2115" s="109">
        <f t="shared" si="1563"/>
        <v>5.1724137931034475E-2</v>
      </c>
      <c r="BX2115" s="111">
        <f t="shared" si="1586"/>
        <v>0</v>
      </c>
      <c r="BY2115" s="129">
        <f t="shared" si="1587"/>
        <v>-55</v>
      </c>
      <c r="BZ2115" s="111">
        <f t="shared" si="1588"/>
        <v>0</v>
      </c>
      <c r="CA2115" s="138">
        <f t="shared" si="1589"/>
        <v>55</v>
      </c>
      <c r="CB2115" s="111" t="e">
        <f t="shared" si="1566"/>
        <v>#VALUE!</v>
      </c>
      <c r="CC2115" s="129">
        <f t="shared" si="1568"/>
        <v>55</v>
      </c>
      <c r="CD2115" s="129">
        <f t="shared" si="1569"/>
        <v>0</v>
      </c>
      <c r="CG2115" s="129" t="str">
        <f t="shared" si="1590"/>
        <v>Y</v>
      </c>
      <c r="CI2115" s="129" t="str">
        <f t="shared" ref="CI2115:CI2178" si="1591">IF(BF2115&lt;11,"0-10 DAYS",IF(AND(BF2115&gt;10,BF2115&lt;31),"11-30 DAYS",IF((AND(BF2115&gt;30,BF2115&lt;61)),"31-60 DAYS",IF(AND(BF2115&gt;60,BF2115&lt;91),"61-90 DAYS",IF(AND(BF2115&gt;90,BF2115&lt;121),"91-120 DAYS",IF(AND(BF2115&gt;120,BF2115&lt;366),"121-365 DAYS",IF(AND(BF2115&gt;365,BF2115&lt;730)," &gt;1YRS&lt;2YRS",IF(AND(BF2115&gt;729,BF2115&lt;1095),"&gt;2YRS&lt;3YRS",IF(BF2115&gt;1094,"&gt;3YRS")))))))))</f>
        <v>31-60 DAYS</v>
      </c>
      <c r="CJ2115" s="137">
        <f t="shared" ref="CJ2115:CJ2178" si="1592">IF(CI2115="0-10 DAYS",1,IF(CI2115="11-30 DAYS",2,IF(CI2115="31-60 DAYS",3,IF(CI2115="61-90 DAYS",4,IF(CK2115="91-120 DAYS",5,IF(CI2115="121-365 DAYS",6,IF(CI2115="&gt;1YRS&lt;2YRS",7,IF(CI2115="&gt;2YRS&lt;3YRS",8,IF(CI2115="&gt;3YRS",9,0)))))))))</f>
        <v>3</v>
      </c>
      <c r="CK2115" s="129" t="str">
        <f t="shared" ref="CK2115:CK2178" si="1593">IF(I2115="Not Booked","Not Booked","Booked")</f>
        <v>Booked</v>
      </c>
    </row>
    <row r="2116" spans="1:89" ht="15.75" customHeight="1" x14ac:dyDescent="0.25">
      <c r="A2116" s="111">
        <v>305</v>
      </c>
      <c r="B2116" s="128" t="str">
        <f t="shared" si="1574"/>
        <v>N</v>
      </c>
      <c r="C2116" s="128" t="str">
        <f t="shared" si="1575"/>
        <v>N</v>
      </c>
      <c r="D2116" s="117">
        <v>2430431</v>
      </c>
      <c r="E2116" s="135">
        <f t="shared" si="1576"/>
        <v>5</v>
      </c>
      <c r="F2116" s="124">
        <v>40921</v>
      </c>
      <c r="G2116" s="125">
        <v>40925</v>
      </c>
      <c r="H2116" s="117">
        <v>2430431</v>
      </c>
      <c r="I2116" s="124">
        <v>40921</v>
      </c>
      <c r="J2116" s="124">
        <v>40925</v>
      </c>
      <c r="K2116" s="126">
        <v>2000</v>
      </c>
      <c r="L2116" s="127" t="s">
        <v>568</v>
      </c>
      <c r="N2116" s="129" t="str">
        <f>IF(M2116&gt;1/1/1,"Y","N")</f>
        <v>N</v>
      </c>
      <c r="O2116" s="128" t="s">
        <v>917</v>
      </c>
      <c r="P2116" s="129" t="s">
        <v>39</v>
      </c>
      <c r="Q2116" s="111">
        <f t="shared" si="1570"/>
        <v>5</v>
      </c>
      <c r="R2116" s="111">
        <f t="shared" si="1556"/>
        <v>5</v>
      </c>
      <c r="S2116" s="129">
        <v>3</v>
      </c>
      <c r="T2116" s="129">
        <v>0</v>
      </c>
      <c r="U2116" s="129">
        <v>3</v>
      </c>
      <c r="W2116" s="111"/>
      <c r="AC2116" s="130"/>
      <c r="AD2116" s="130">
        <v>32384</v>
      </c>
      <c r="AE2116" s="128" t="s">
        <v>32</v>
      </c>
      <c r="AF2116" s="128" t="s">
        <v>33</v>
      </c>
      <c r="AG2116" s="128" t="s">
        <v>872</v>
      </c>
      <c r="AH2116" s="108" t="s">
        <v>58</v>
      </c>
      <c r="AI2116" s="128" t="s">
        <v>114</v>
      </c>
      <c r="AJ2116" s="129" t="s">
        <v>89</v>
      </c>
      <c r="AK2116" s="129">
        <v>1</v>
      </c>
      <c r="AL2116" s="3" t="s">
        <v>992</v>
      </c>
      <c r="AN2116" s="117">
        <v>8</v>
      </c>
      <c r="AP2116" s="129" t="s">
        <v>43</v>
      </c>
      <c r="AR2116" s="128" t="s">
        <v>44</v>
      </c>
      <c r="AS2116" s="129" t="s">
        <v>45</v>
      </c>
      <c r="BC2116" s="129" t="s">
        <v>38</v>
      </c>
      <c r="BF2116" s="111">
        <f t="shared" si="1564"/>
        <v>5</v>
      </c>
      <c r="BG2116" s="111">
        <f t="shared" si="1565"/>
        <v>5</v>
      </c>
      <c r="BH2116" s="111">
        <f t="shared" si="1571"/>
        <v>5</v>
      </c>
      <c r="BI2116" s="111">
        <f t="shared" si="1572"/>
        <v>23.325136612021858</v>
      </c>
      <c r="BJ2116" s="129">
        <f t="shared" si="1577"/>
        <v>0</v>
      </c>
      <c r="BK2116" s="129">
        <f t="shared" si="1573"/>
        <v>0</v>
      </c>
      <c r="BL2116" s="129" t="str">
        <f t="shared" si="1557"/>
        <v>CONVICTION</v>
      </c>
      <c r="BM2116" s="129" t="str">
        <f t="shared" si="1578"/>
        <v>NONE</v>
      </c>
      <c r="BN2116" s="129" t="s">
        <v>566</v>
      </c>
      <c r="BP2116" s="137" t="str">
        <f t="shared" si="1579"/>
        <v>CONVICTION</v>
      </c>
      <c r="BQ2116" s="128" t="str">
        <f t="shared" si="1580"/>
        <v>Y</v>
      </c>
      <c r="BR2116" s="129" t="str">
        <f t="shared" si="1581"/>
        <v>DETAINED</v>
      </c>
      <c r="BS2116" s="129" t="str">
        <f t="shared" si="1582"/>
        <v>DISPOSED</v>
      </c>
      <c r="BT2116" s="129" t="str">
        <f t="shared" si="1583"/>
        <v>Y</v>
      </c>
      <c r="BU2116" s="109">
        <f t="shared" si="1584"/>
        <v>1</v>
      </c>
      <c r="BV2116" s="109">
        <f t="shared" si="1585"/>
        <v>1</v>
      </c>
      <c r="BW2116" s="109">
        <f t="shared" si="1563"/>
        <v>0</v>
      </c>
      <c r="BX2116" s="111">
        <f t="shared" si="1586"/>
        <v>0</v>
      </c>
      <c r="BY2116" s="129">
        <f t="shared" si="1587"/>
        <v>-5</v>
      </c>
      <c r="BZ2116" s="111">
        <f t="shared" si="1588"/>
        <v>0</v>
      </c>
      <c r="CA2116" s="138">
        <f t="shared" si="1589"/>
        <v>5</v>
      </c>
      <c r="CB2116" s="111" t="e">
        <f t="shared" si="1566"/>
        <v>#VALUE!</v>
      </c>
      <c r="CC2116" s="129">
        <f t="shared" si="1568"/>
        <v>5</v>
      </c>
      <c r="CD2116" s="129">
        <f t="shared" si="1569"/>
        <v>0</v>
      </c>
      <c r="CG2116" s="129" t="str">
        <f t="shared" si="1590"/>
        <v>Y</v>
      </c>
      <c r="CI2116" s="129" t="str">
        <f t="shared" si="1591"/>
        <v>0-10 DAYS</v>
      </c>
      <c r="CJ2116" s="137">
        <f t="shared" si="1592"/>
        <v>1</v>
      </c>
      <c r="CK2116" s="129" t="str">
        <f t="shared" si="1593"/>
        <v>Booked</v>
      </c>
    </row>
    <row r="2117" spans="1:89" ht="15.75" customHeight="1" x14ac:dyDescent="0.25">
      <c r="A2117" s="111">
        <v>2045</v>
      </c>
      <c r="B2117" s="128" t="str">
        <f t="shared" si="1574"/>
        <v>N</v>
      </c>
      <c r="C2117" s="128" t="str">
        <f t="shared" si="1575"/>
        <v>N</v>
      </c>
      <c r="D2117" s="117">
        <v>2430557</v>
      </c>
      <c r="E2117" s="135">
        <f t="shared" si="1576"/>
        <v>4</v>
      </c>
      <c r="F2117" s="124">
        <v>40985</v>
      </c>
      <c r="G2117" s="125">
        <v>41158</v>
      </c>
      <c r="H2117" s="117">
        <v>2430557</v>
      </c>
      <c r="I2117" s="124">
        <v>40985</v>
      </c>
      <c r="J2117" s="124">
        <v>40986</v>
      </c>
      <c r="K2117" s="126">
        <v>2000</v>
      </c>
      <c r="L2117" s="127" t="s">
        <v>568</v>
      </c>
      <c r="M2117" s="125">
        <v>40986</v>
      </c>
      <c r="N2117" s="129" t="str">
        <f>IF(M2117&gt;1/1/1,"Y","N")</f>
        <v>Y</v>
      </c>
      <c r="O2117" s="128" t="s">
        <v>76</v>
      </c>
      <c r="P2117" s="129" t="s">
        <v>39</v>
      </c>
      <c r="Q2117" s="111">
        <f t="shared" si="1570"/>
        <v>2</v>
      </c>
      <c r="R2117" s="111">
        <f t="shared" si="1556"/>
        <v>174</v>
      </c>
      <c r="S2117" s="129">
        <v>0</v>
      </c>
      <c r="T2117" s="129">
        <v>0</v>
      </c>
      <c r="W2117" s="111"/>
      <c r="AB2117" s="131" t="s">
        <v>112</v>
      </c>
      <c r="AC2117" s="130"/>
      <c r="AD2117" s="130">
        <v>33684</v>
      </c>
      <c r="AE2117" s="128" t="s">
        <v>32</v>
      </c>
      <c r="AF2117" s="128" t="s">
        <v>40</v>
      </c>
      <c r="AG2117" s="128" t="s">
        <v>41</v>
      </c>
      <c r="AH2117" s="108" t="s">
        <v>31</v>
      </c>
      <c r="AI2117" s="128" t="s">
        <v>80</v>
      </c>
      <c r="AJ2117" s="129" t="s">
        <v>89</v>
      </c>
      <c r="AK2117" s="129">
        <v>6</v>
      </c>
      <c r="AL2117" s="3" t="s">
        <v>991</v>
      </c>
      <c r="AO2117" s="128">
        <v>2</v>
      </c>
      <c r="AP2117" s="129" t="s">
        <v>175</v>
      </c>
      <c r="AR2117" s="128" t="s">
        <v>44</v>
      </c>
      <c r="AS2117" s="129" t="s">
        <v>45</v>
      </c>
      <c r="BC2117" s="129" t="s">
        <v>52</v>
      </c>
      <c r="BF2117" s="111">
        <f t="shared" si="1564"/>
        <v>2</v>
      </c>
      <c r="BG2117" s="111">
        <f t="shared" si="1565"/>
        <v>174</v>
      </c>
      <c r="BH2117" s="111">
        <f t="shared" si="1571"/>
        <v>174</v>
      </c>
      <c r="BI2117" s="111">
        <f t="shared" si="1572"/>
        <v>19.948087431693988</v>
      </c>
      <c r="BJ2117" s="129">
        <f>(G2117-J2117)+(M2117-G2117)</f>
        <v>0</v>
      </c>
      <c r="BK2117" s="129">
        <f t="shared" si="1573"/>
        <v>-172</v>
      </c>
      <c r="BL2117" s="129" t="str">
        <f t="shared" si="1557"/>
        <v>CONVICTION</v>
      </c>
      <c r="BM2117" s="129" t="s">
        <v>76</v>
      </c>
      <c r="BN2117" s="129" t="s">
        <v>88</v>
      </c>
      <c r="BP2117" s="137" t="str">
        <f t="shared" si="1579"/>
        <v>CONVICTION</v>
      </c>
      <c r="BQ2117" s="128" t="str">
        <f t="shared" si="1580"/>
        <v>Y</v>
      </c>
      <c r="BR2117" s="129" t="str">
        <f>IF(J2117&lt;G2117,"ON BOND",0)</f>
        <v>ON BOND</v>
      </c>
      <c r="BS2117" s="129" t="str">
        <f t="shared" si="1582"/>
        <v>DISPOSED</v>
      </c>
      <c r="BT2117" s="129" t="str">
        <f t="shared" si="1583"/>
        <v>N</v>
      </c>
      <c r="BU2117" s="109">
        <f t="shared" si="1584"/>
        <v>1.1494252873563218E-2</v>
      </c>
      <c r="BV2117" s="109">
        <f t="shared" si="1585"/>
        <v>1.1494252873563218E-2</v>
      </c>
      <c r="BW2117" s="109">
        <f t="shared" si="1563"/>
        <v>0</v>
      </c>
      <c r="BX2117" s="111">
        <f t="shared" si="1586"/>
        <v>0</v>
      </c>
      <c r="BY2117" s="129">
        <f t="shared" si="1587"/>
        <v>-2</v>
      </c>
      <c r="BZ2117" s="111">
        <f t="shared" si="1588"/>
        <v>0</v>
      </c>
      <c r="CA2117" s="138">
        <f t="shared" si="1589"/>
        <v>2</v>
      </c>
      <c r="CB2117" s="111" t="e">
        <f t="shared" si="1566"/>
        <v>#VALUE!</v>
      </c>
      <c r="CC2117" s="129">
        <f>M2117-I2117+1</f>
        <v>2</v>
      </c>
      <c r="CD2117" s="111">
        <f>CC2117-BF2117</f>
        <v>0</v>
      </c>
      <c r="CG2117" s="129" t="str">
        <f t="shared" si="1590"/>
        <v>N</v>
      </c>
      <c r="CI2117" s="129" t="str">
        <f t="shared" si="1591"/>
        <v>0-10 DAYS</v>
      </c>
      <c r="CJ2117" s="137">
        <f t="shared" si="1592"/>
        <v>1</v>
      </c>
      <c r="CK2117" s="129" t="str">
        <f t="shared" si="1593"/>
        <v>Booked</v>
      </c>
    </row>
    <row r="2118" spans="1:89" ht="15" customHeight="1" x14ac:dyDescent="0.25">
      <c r="A2118" s="111">
        <v>2925</v>
      </c>
      <c r="B2118" s="128" t="str">
        <f t="shared" si="1574"/>
        <v>N</v>
      </c>
      <c r="C2118" s="128" t="str">
        <f t="shared" si="1575"/>
        <v>N</v>
      </c>
      <c r="D2118" s="117">
        <v>2430711</v>
      </c>
      <c r="E2118" s="135">
        <f t="shared" si="1576"/>
        <v>6</v>
      </c>
      <c r="F2118" s="124">
        <v>41017</v>
      </c>
      <c r="G2118" s="125">
        <v>41142</v>
      </c>
      <c r="H2118" s="117">
        <v>2430711</v>
      </c>
      <c r="I2118" s="124">
        <v>41017</v>
      </c>
      <c r="J2118" s="124">
        <v>41142</v>
      </c>
      <c r="K2118" s="126" t="s">
        <v>564</v>
      </c>
      <c r="L2118" s="127" t="s">
        <v>564</v>
      </c>
      <c r="N2118" s="129" t="s">
        <v>566</v>
      </c>
      <c r="O2118" s="128" t="s">
        <v>917</v>
      </c>
      <c r="P2118" s="129" t="s">
        <v>39</v>
      </c>
      <c r="Q2118" s="111">
        <f t="shared" si="1570"/>
        <v>126</v>
      </c>
      <c r="R2118" s="111">
        <f t="shared" si="1556"/>
        <v>126</v>
      </c>
      <c r="S2118" s="129">
        <v>3</v>
      </c>
      <c r="T2118" s="129">
        <v>3</v>
      </c>
      <c r="U2118" s="129">
        <v>1</v>
      </c>
      <c r="W2118" s="111"/>
      <c r="AC2118" s="130"/>
      <c r="AD2118" s="130">
        <v>30895</v>
      </c>
      <c r="AE2118" s="128" t="s">
        <v>46</v>
      </c>
      <c r="AF2118" s="128" t="s">
        <v>69</v>
      </c>
      <c r="AG2118" s="128" t="s">
        <v>874</v>
      </c>
      <c r="AH2118" s="108" t="s">
        <v>58</v>
      </c>
      <c r="AI2118" s="128" t="s">
        <v>34</v>
      </c>
      <c r="AJ2118" s="129" t="s">
        <v>89</v>
      </c>
      <c r="AK2118" s="129">
        <v>6</v>
      </c>
      <c r="AL2118" s="3" t="s">
        <v>362</v>
      </c>
      <c r="AM2118" s="117">
        <v>6</v>
      </c>
      <c r="AP2118" s="129" t="s">
        <v>49</v>
      </c>
      <c r="AR2118" s="128" t="s">
        <v>50</v>
      </c>
      <c r="AS2118" s="129" t="s">
        <v>45</v>
      </c>
      <c r="BC2118" s="129" t="s">
        <v>38</v>
      </c>
      <c r="BF2118" s="111">
        <f t="shared" si="1564"/>
        <v>126</v>
      </c>
      <c r="BG2118" s="111">
        <f t="shared" si="1565"/>
        <v>126</v>
      </c>
      <c r="BH2118" s="111">
        <f t="shared" si="1571"/>
        <v>126</v>
      </c>
      <c r="BI2118" s="111">
        <f t="shared" si="1572"/>
        <v>27.655737704918032</v>
      </c>
      <c r="BJ2118" s="129">
        <f t="shared" si="1577"/>
        <v>0</v>
      </c>
      <c r="BK2118" s="129">
        <f t="shared" si="1573"/>
        <v>0</v>
      </c>
      <c r="BL2118" s="129" t="str">
        <f t="shared" si="1557"/>
        <v>CONVICTION</v>
      </c>
      <c r="BM2118" s="129" t="str">
        <f t="shared" si="1578"/>
        <v>NONE</v>
      </c>
      <c r="BN2118" s="129" t="s">
        <v>566</v>
      </c>
      <c r="BP2118" s="137" t="str">
        <f t="shared" si="1579"/>
        <v>CONVICTION</v>
      </c>
      <c r="BQ2118" s="128" t="str">
        <f t="shared" si="1580"/>
        <v>Y</v>
      </c>
      <c r="BR2118" s="129" t="str">
        <f t="shared" si="1581"/>
        <v>DETAINED</v>
      </c>
      <c r="BS2118" s="129" t="str">
        <f t="shared" si="1582"/>
        <v>DISPOSED</v>
      </c>
      <c r="BT2118" s="129" t="str">
        <f t="shared" si="1583"/>
        <v>Y</v>
      </c>
      <c r="BU2118" s="109">
        <f t="shared" si="1584"/>
        <v>1</v>
      </c>
      <c r="BV2118" s="109">
        <f t="shared" si="1585"/>
        <v>1</v>
      </c>
      <c r="BW2118" s="109">
        <f t="shared" si="1563"/>
        <v>0</v>
      </c>
      <c r="BX2118" s="111">
        <f t="shared" si="1586"/>
        <v>0</v>
      </c>
      <c r="BY2118" s="129">
        <f t="shared" si="1587"/>
        <v>-126</v>
      </c>
      <c r="BZ2118" s="111">
        <f t="shared" si="1588"/>
        <v>0</v>
      </c>
      <c r="CA2118" s="138">
        <f t="shared" si="1589"/>
        <v>126</v>
      </c>
      <c r="CB2118" s="111" t="e">
        <f t="shared" si="1566"/>
        <v>#VALUE!</v>
      </c>
      <c r="CC2118" s="129">
        <f>G2118-I2118+1</f>
        <v>126</v>
      </c>
      <c r="CD2118" s="129">
        <f>G2118-J2118</f>
        <v>0</v>
      </c>
      <c r="CG2118" s="129" t="str">
        <f t="shared" si="1590"/>
        <v>Y</v>
      </c>
      <c r="CI2118" s="129" t="str">
        <f t="shared" si="1591"/>
        <v>121-365 DAYS</v>
      </c>
      <c r="CJ2118" s="137">
        <f t="shared" si="1592"/>
        <v>6</v>
      </c>
      <c r="CK2118" s="129" t="str">
        <f t="shared" si="1593"/>
        <v>Booked</v>
      </c>
    </row>
    <row r="2119" spans="1:89" ht="15.75" customHeight="1" x14ac:dyDescent="0.25">
      <c r="A2119" s="111">
        <v>1850</v>
      </c>
      <c r="B2119" s="128" t="str">
        <f t="shared" si="1574"/>
        <v>N</v>
      </c>
      <c r="C2119" s="128" t="str">
        <f t="shared" si="1575"/>
        <v>N</v>
      </c>
      <c r="D2119" s="117">
        <v>2430840</v>
      </c>
      <c r="E2119" s="135">
        <f t="shared" si="1576"/>
        <v>2</v>
      </c>
      <c r="F2119" s="124">
        <v>40977</v>
      </c>
      <c r="G2119" s="125">
        <v>41023</v>
      </c>
      <c r="H2119" s="117">
        <v>2430840</v>
      </c>
      <c r="I2119" s="124">
        <v>40977</v>
      </c>
      <c r="J2119" s="124">
        <v>41023</v>
      </c>
      <c r="K2119" s="126">
        <v>10000</v>
      </c>
      <c r="L2119" s="127" t="s">
        <v>570</v>
      </c>
      <c r="N2119" s="129" t="str">
        <f>IF(M2119&gt;1/1/1,"Y","N")</f>
        <v>N</v>
      </c>
      <c r="O2119" s="128" t="s">
        <v>917</v>
      </c>
      <c r="P2119" s="129" t="s">
        <v>589</v>
      </c>
      <c r="Q2119" s="111">
        <f t="shared" si="1570"/>
        <v>47</v>
      </c>
      <c r="R2119" s="111">
        <f t="shared" si="1556"/>
        <v>47</v>
      </c>
      <c r="S2119" s="129">
        <v>0</v>
      </c>
      <c r="T2119" s="129">
        <v>1</v>
      </c>
      <c r="W2119" s="111"/>
      <c r="AC2119" s="130"/>
      <c r="AD2119" s="130">
        <v>27910</v>
      </c>
      <c r="AE2119" s="128" t="s">
        <v>46</v>
      </c>
      <c r="AF2119" s="128" t="s">
        <v>69</v>
      </c>
      <c r="AG2119" s="128" t="s">
        <v>874</v>
      </c>
      <c r="AH2119" s="108" t="s">
        <v>31</v>
      </c>
      <c r="AI2119" s="128" t="s">
        <v>114</v>
      </c>
      <c r="AJ2119" s="129" t="s">
        <v>48</v>
      </c>
      <c r="AK2119" s="129">
        <v>3</v>
      </c>
      <c r="AL2119" s="3" t="s">
        <v>48</v>
      </c>
      <c r="AP2119" s="129" t="s">
        <v>43</v>
      </c>
      <c r="AR2119" s="128" t="s">
        <v>44</v>
      </c>
      <c r="AS2119" s="129" t="s">
        <v>45</v>
      </c>
      <c r="BC2119" s="129" t="s">
        <v>38</v>
      </c>
      <c r="BF2119" s="111">
        <f t="shared" si="1564"/>
        <v>47</v>
      </c>
      <c r="BG2119" s="111">
        <f t="shared" si="1565"/>
        <v>47</v>
      </c>
      <c r="BH2119" s="111">
        <f t="shared" si="1571"/>
        <v>47</v>
      </c>
      <c r="BI2119" s="111">
        <f t="shared" si="1572"/>
        <v>35.702185792349724</v>
      </c>
      <c r="BJ2119" s="129">
        <f t="shared" si="1577"/>
        <v>0</v>
      </c>
      <c r="BK2119" s="129">
        <f t="shared" si="1573"/>
        <v>0</v>
      </c>
      <c r="BL2119" s="129" t="str">
        <f t="shared" si="1557"/>
        <v>DEFERRED</v>
      </c>
      <c r="BM2119" s="129" t="str">
        <f t="shared" si="1578"/>
        <v>NONE</v>
      </c>
      <c r="BN2119" s="129" t="s">
        <v>566</v>
      </c>
      <c r="BP2119" s="137" t="str">
        <f t="shared" si="1579"/>
        <v>DEFERRED</v>
      </c>
      <c r="BQ2119" s="128" t="str">
        <f t="shared" si="1580"/>
        <v>Y</v>
      </c>
      <c r="BR2119" s="129" t="str">
        <f t="shared" si="1581"/>
        <v>DETAINED</v>
      </c>
      <c r="BS2119" s="129" t="str">
        <f t="shared" si="1582"/>
        <v>DISPOSED</v>
      </c>
      <c r="BT2119" s="129" t="str">
        <f t="shared" si="1583"/>
        <v>N</v>
      </c>
      <c r="BU2119" s="109">
        <f t="shared" si="1584"/>
        <v>1</v>
      </c>
      <c r="BV2119" s="109">
        <f t="shared" si="1585"/>
        <v>1</v>
      </c>
      <c r="BW2119" s="109">
        <f t="shared" si="1563"/>
        <v>0</v>
      </c>
      <c r="BX2119" s="111">
        <f t="shared" si="1586"/>
        <v>0</v>
      </c>
      <c r="BY2119" s="129">
        <f t="shared" si="1587"/>
        <v>-47</v>
      </c>
      <c r="BZ2119" s="111">
        <f t="shared" si="1588"/>
        <v>0</v>
      </c>
      <c r="CA2119" s="138">
        <f t="shared" si="1589"/>
        <v>47</v>
      </c>
      <c r="CB2119" s="111" t="e">
        <f t="shared" si="1566"/>
        <v>#VALUE!</v>
      </c>
      <c r="CC2119" s="129">
        <f>G2119-I2119+1</f>
        <v>47</v>
      </c>
      <c r="CD2119" s="129">
        <f>G2119-J2119</f>
        <v>0</v>
      </c>
      <c r="CG2119" s="129" t="str">
        <f t="shared" si="1590"/>
        <v>Y</v>
      </c>
      <c r="CI2119" s="129" t="str">
        <f t="shared" si="1591"/>
        <v>31-60 DAYS</v>
      </c>
      <c r="CJ2119" s="137">
        <f t="shared" si="1592"/>
        <v>3</v>
      </c>
      <c r="CK2119" s="129" t="str">
        <f t="shared" si="1593"/>
        <v>Booked</v>
      </c>
    </row>
    <row r="2120" spans="1:89" ht="15.75" customHeight="1" x14ac:dyDescent="0.25">
      <c r="A2120" s="111">
        <v>2374</v>
      </c>
      <c r="B2120" s="128" t="str">
        <f t="shared" si="1574"/>
        <v>N</v>
      </c>
      <c r="C2120" s="128" t="str">
        <f t="shared" si="1575"/>
        <v>N</v>
      </c>
      <c r="D2120" s="117">
        <v>2430923</v>
      </c>
      <c r="E2120" s="135">
        <f t="shared" si="1576"/>
        <v>2</v>
      </c>
      <c r="F2120" s="124">
        <v>40998</v>
      </c>
      <c r="G2120" s="125">
        <v>41117</v>
      </c>
      <c r="H2120" s="117">
        <v>2430923</v>
      </c>
      <c r="I2120" s="124" t="s">
        <v>562</v>
      </c>
      <c r="J2120" s="124" t="s">
        <v>562</v>
      </c>
      <c r="K2120" s="126">
        <v>2000</v>
      </c>
      <c r="L2120" s="127" t="s">
        <v>568</v>
      </c>
      <c r="M2120" s="125">
        <v>41005</v>
      </c>
      <c r="N2120" s="129" t="str">
        <f>IF(M2120&gt;1/1/1,"Y",IF(Q2120="0","","N"))</f>
        <v>Y</v>
      </c>
      <c r="O2120" s="128" t="s">
        <v>76</v>
      </c>
      <c r="P2120" s="129" t="s">
        <v>589</v>
      </c>
      <c r="Q2120" s="111">
        <f t="shared" si="1570"/>
        <v>0</v>
      </c>
      <c r="R2120" s="111">
        <f t="shared" si="1556"/>
        <v>120</v>
      </c>
      <c r="S2120" s="129">
        <v>0</v>
      </c>
      <c r="T2120" s="129">
        <v>0</v>
      </c>
      <c r="W2120" s="111"/>
      <c r="AC2120" s="130"/>
      <c r="AD2120" s="130">
        <v>33567</v>
      </c>
      <c r="AE2120" s="128" t="s">
        <v>46</v>
      </c>
      <c r="AF2120" s="128" t="s">
        <v>33</v>
      </c>
      <c r="AG2120" s="128" t="s">
        <v>872</v>
      </c>
      <c r="AH2120" s="108" t="s">
        <v>31</v>
      </c>
      <c r="AI2120" s="128" t="s">
        <v>42</v>
      </c>
      <c r="AJ2120" s="129" t="s">
        <v>48</v>
      </c>
      <c r="AK2120" s="129">
        <v>6</v>
      </c>
      <c r="AL2120" s="3" t="s">
        <v>48</v>
      </c>
      <c r="AP2120" s="129" t="s">
        <v>197</v>
      </c>
      <c r="AR2120" s="128" t="s">
        <v>44</v>
      </c>
      <c r="AS2120" s="129" t="s">
        <v>61</v>
      </c>
      <c r="AT2120" s="129" t="s">
        <v>433</v>
      </c>
      <c r="BC2120" s="129" t="s">
        <v>52</v>
      </c>
      <c r="BF2120" s="111">
        <v>0</v>
      </c>
      <c r="BG2120" s="111">
        <v>0</v>
      </c>
      <c r="BH2120" s="111">
        <f t="shared" si="1571"/>
        <v>120</v>
      </c>
      <c r="BI2120" s="111">
        <f t="shared" si="1572"/>
        <v>20.303278688524589</v>
      </c>
      <c r="BJ2120" s="129" t="e">
        <f>(G2120-J2120)+(M2120-G2120)</f>
        <v>#VALUE!</v>
      </c>
      <c r="BK2120" s="129" t="e">
        <f t="shared" si="1573"/>
        <v>#VALUE!</v>
      </c>
      <c r="BL2120" s="129" t="str">
        <f t="shared" si="1557"/>
        <v>DEFERRED</v>
      </c>
      <c r="BM2120" s="129" t="s">
        <v>76</v>
      </c>
      <c r="BN2120" s="129" t="s">
        <v>88</v>
      </c>
      <c r="BP2120" s="137" t="str">
        <f t="shared" si="1579"/>
        <v>DEFERRED</v>
      </c>
      <c r="BQ2120" s="128">
        <f t="shared" si="1580"/>
        <v>0</v>
      </c>
      <c r="BR2120" s="129" t="s">
        <v>575</v>
      </c>
      <c r="BS2120" s="129" t="str">
        <f t="shared" si="1582"/>
        <v>DISPOSED</v>
      </c>
      <c r="BT2120" s="129" t="str">
        <f t="shared" si="1583"/>
        <v>N</v>
      </c>
      <c r="BU2120" s="109">
        <f t="shared" si="1584"/>
        <v>0</v>
      </c>
      <c r="BV2120" s="109">
        <v>0</v>
      </c>
      <c r="BW2120" s="109">
        <f t="shared" si="1563"/>
        <v>0</v>
      </c>
      <c r="BX2120" s="111">
        <f t="shared" si="1586"/>
        <v>0</v>
      </c>
      <c r="BY2120" s="129" t="e">
        <f t="shared" si="1587"/>
        <v>#VALUE!</v>
      </c>
      <c r="BZ2120" s="111" t="e">
        <f t="shared" si="1588"/>
        <v>#VALUE!</v>
      </c>
      <c r="CA2120" s="138" t="e">
        <f t="shared" si="1589"/>
        <v>#VALUE!</v>
      </c>
      <c r="CB2120" s="111">
        <v>0</v>
      </c>
      <c r="CC2120" s="129">
        <v>0</v>
      </c>
      <c r="CD2120" s="111">
        <f>CC2120-BF2120</f>
        <v>0</v>
      </c>
      <c r="CG2120" s="129" t="str">
        <f t="shared" si="1590"/>
        <v>N</v>
      </c>
      <c r="CI2120" s="129" t="str">
        <f t="shared" si="1591"/>
        <v>0-10 DAYS</v>
      </c>
      <c r="CJ2120" s="137">
        <f t="shared" si="1592"/>
        <v>1</v>
      </c>
      <c r="CK2120" s="129" t="str">
        <f t="shared" si="1593"/>
        <v>Not Booked</v>
      </c>
    </row>
    <row r="2121" spans="1:89" ht="15" customHeight="1" x14ac:dyDescent="0.25">
      <c r="A2121" s="111">
        <v>1742</v>
      </c>
      <c r="B2121" s="128" t="str">
        <f t="shared" si="1574"/>
        <v>N</v>
      </c>
      <c r="C2121" s="128" t="str">
        <f t="shared" si="1575"/>
        <v>N</v>
      </c>
      <c r="D2121" s="114">
        <v>2431185</v>
      </c>
      <c r="E2121" s="135">
        <f t="shared" si="1576"/>
        <v>6</v>
      </c>
      <c r="F2121" s="124">
        <v>40973</v>
      </c>
      <c r="G2121" s="125">
        <v>41278</v>
      </c>
      <c r="H2121" s="114">
        <v>2431185</v>
      </c>
      <c r="I2121" s="124">
        <v>40974</v>
      </c>
      <c r="J2121" s="124">
        <v>41014</v>
      </c>
      <c r="K2121" s="126">
        <v>20000</v>
      </c>
      <c r="L2121" s="127" t="s">
        <v>571</v>
      </c>
      <c r="M2121" s="125">
        <v>41014</v>
      </c>
      <c r="N2121" s="129" t="str">
        <f>IF(M2121&gt;1/1/1,"Y","N")</f>
        <v>Y</v>
      </c>
      <c r="O2121" s="128" t="s">
        <v>585</v>
      </c>
      <c r="P2121" s="129" t="s">
        <v>39</v>
      </c>
      <c r="Q2121" s="111">
        <f t="shared" si="1570"/>
        <v>41</v>
      </c>
      <c r="R2121" s="111">
        <f t="shared" si="1556"/>
        <v>306</v>
      </c>
      <c r="S2121" s="129">
        <v>0</v>
      </c>
      <c r="T2121" s="129">
        <v>1</v>
      </c>
      <c r="W2121" s="111"/>
      <c r="AC2121" s="130"/>
      <c r="AD2121" s="130">
        <v>30341</v>
      </c>
      <c r="AE2121" s="128" t="s">
        <v>32</v>
      </c>
      <c r="AF2121" s="128" t="s">
        <v>69</v>
      </c>
      <c r="AG2121" s="128" t="s">
        <v>874</v>
      </c>
      <c r="AH2121" s="108" t="s">
        <v>58</v>
      </c>
      <c r="AI2121" s="128" t="s">
        <v>71</v>
      </c>
      <c r="AJ2121" s="129" t="s">
        <v>89</v>
      </c>
      <c r="AK2121" s="129">
        <v>8</v>
      </c>
      <c r="AL2121" s="3" t="s">
        <v>362</v>
      </c>
      <c r="AM2121" s="117">
        <v>3</v>
      </c>
      <c r="AP2121" s="129" t="s">
        <v>56</v>
      </c>
      <c r="AR2121" s="128" t="s">
        <v>50</v>
      </c>
      <c r="AS2121" s="129" t="s">
        <v>57</v>
      </c>
      <c r="BC2121" s="129" t="s">
        <v>52</v>
      </c>
      <c r="BF2121" s="111">
        <f>IF(J2121&gt;1/1/1900,((J2121+1)-I2121),"STILL OPEN")</f>
        <v>41</v>
      </c>
      <c r="BG2121" s="111">
        <f>IF(G2121&gt;1/1/1900,((G2121+1)-I2121),"STILL OPEN")</f>
        <v>305</v>
      </c>
      <c r="BH2121" s="111">
        <f t="shared" si="1571"/>
        <v>306</v>
      </c>
      <c r="BI2121" s="111">
        <f t="shared" si="1572"/>
        <v>29.049180327868854</v>
      </c>
      <c r="BJ2121" s="129">
        <f>(G2121-J2121)+(M2121-G2121)</f>
        <v>0</v>
      </c>
      <c r="BK2121" s="129">
        <f t="shared" si="1573"/>
        <v>-264</v>
      </c>
      <c r="BL2121" s="129" t="str">
        <f t="shared" si="1557"/>
        <v>CONVICTION</v>
      </c>
      <c r="BM2121" s="129" t="s">
        <v>76</v>
      </c>
      <c r="BN2121" s="129" t="s">
        <v>88</v>
      </c>
      <c r="BP2121" s="137" t="str">
        <f t="shared" si="1579"/>
        <v>CONVICTION</v>
      </c>
      <c r="BQ2121" s="128" t="str">
        <f t="shared" si="1580"/>
        <v>Y</v>
      </c>
      <c r="BR2121" s="129" t="str">
        <f>IF(J2121&lt;G2121,"ON BOND",0)</f>
        <v>ON BOND</v>
      </c>
      <c r="BS2121" s="129" t="str">
        <f t="shared" si="1582"/>
        <v>DISPOSED</v>
      </c>
      <c r="BT2121" s="129" t="str">
        <f t="shared" si="1583"/>
        <v>N</v>
      </c>
      <c r="BU2121" s="109">
        <f t="shared" si="1584"/>
        <v>0.13398692810457516</v>
      </c>
      <c r="BV2121" s="109">
        <f t="shared" si="1585"/>
        <v>0.13442622950819672</v>
      </c>
      <c r="BW2121" s="109">
        <f t="shared" si="1563"/>
        <v>4.393014036215559E-4</v>
      </c>
      <c r="BX2121" s="111">
        <f t="shared" si="1586"/>
        <v>0</v>
      </c>
      <c r="BY2121" s="129">
        <f t="shared" si="1587"/>
        <v>-41</v>
      </c>
      <c r="BZ2121" s="111">
        <f t="shared" si="1588"/>
        <v>0</v>
      </c>
      <c r="CA2121" s="138">
        <f t="shared" si="1589"/>
        <v>41</v>
      </c>
      <c r="CB2121" s="111" t="e">
        <f>IF(AF2121&gt;1/1/1900,((AF2121+1)-AE2121),"STILL OPEN")</f>
        <v>#VALUE!</v>
      </c>
      <c r="CC2121" s="129">
        <f>M2121-I2121+1</f>
        <v>41</v>
      </c>
      <c r="CD2121" s="111">
        <f>CC2121-BF2121</f>
        <v>0</v>
      </c>
      <c r="CG2121" s="129" t="str">
        <f t="shared" si="1590"/>
        <v>Y</v>
      </c>
      <c r="CI2121" s="129" t="str">
        <f t="shared" si="1591"/>
        <v>31-60 DAYS</v>
      </c>
      <c r="CJ2121" s="137">
        <f t="shared" si="1592"/>
        <v>3</v>
      </c>
      <c r="CK2121" s="129" t="str">
        <f t="shared" si="1593"/>
        <v>Booked</v>
      </c>
    </row>
    <row r="2122" spans="1:89" ht="15" customHeight="1" x14ac:dyDescent="0.25">
      <c r="A2122" s="111">
        <v>2119</v>
      </c>
      <c r="B2122" s="128" t="str">
        <f t="shared" si="1574"/>
        <v>N</v>
      </c>
      <c r="C2122" s="128" t="str">
        <f t="shared" si="1575"/>
        <v>N</v>
      </c>
      <c r="D2122" s="117">
        <v>2431327</v>
      </c>
      <c r="E2122" s="135">
        <f t="shared" si="1576"/>
        <v>5</v>
      </c>
      <c r="F2122" s="124">
        <v>40988</v>
      </c>
      <c r="G2122" s="125">
        <v>40990</v>
      </c>
      <c r="H2122" s="117">
        <v>2431327</v>
      </c>
      <c r="I2122" s="124">
        <v>40988</v>
      </c>
      <c r="J2122" s="124">
        <v>40990</v>
      </c>
      <c r="K2122" s="126">
        <v>2000</v>
      </c>
      <c r="L2122" s="127" t="s">
        <v>568</v>
      </c>
      <c r="N2122" s="129" t="str">
        <f>IF(M2122&gt;1/1/1,"Y","N")</f>
        <v>N</v>
      </c>
      <c r="O2122" s="128" t="s">
        <v>917</v>
      </c>
      <c r="P2122" s="129" t="s">
        <v>39</v>
      </c>
      <c r="Q2122" s="111">
        <f t="shared" si="1570"/>
        <v>3</v>
      </c>
      <c r="R2122" s="111">
        <f t="shared" si="1556"/>
        <v>3</v>
      </c>
      <c r="S2122" s="129">
        <v>1</v>
      </c>
      <c r="T2122" s="129">
        <v>2</v>
      </c>
      <c r="W2122" s="111"/>
      <c r="AC2122" s="130"/>
      <c r="AD2122" s="130">
        <v>32937</v>
      </c>
      <c r="AE2122" s="128" t="s">
        <v>32</v>
      </c>
      <c r="AF2122" s="128" t="s">
        <v>69</v>
      </c>
      <c r="AG2122" s="128" t="s">
        <v>874</v>
      </c>
      <c r="AH2122" s="108" t="s">
        <v>31</v>
      </c>
      <c r="AI2122" s="128" t="s">
        <v>90</v>
      </c>
      <c r="AJ2122" s="129" t="s">
        <v>89</v>
      </c>
      <c r="AK2122" s="129">
        <v>1</v>
      </c>
      <c r="AL2122" s="3" t="s">
        <v>992</v>
      </c>
      <c r="AN2122" s="117">
        <v>6</v>
      </c>
      <c r="AP2122" s="129" t="s">
        <v>107</v>
      </c>
      <c r="AR2122" s="128" t="s">
        <v>44</v>
      </c>
      <c r="AS2122" s="129" t="s">
        <v>57</v>
      </c>
      <c r="BC2122" s="129" t="s">
        <v>38</v>
      </c>
      <c r="BF2122" s="111">
        <f>IF(J2122&gt;1/1/1900,((J2122+1)-I2122),"STILL OPEN")</f>
        <v>3</v>
      </c>
      <c r="BG2122" s="111">
        <f>IF(G2122&gt;1/1/1900,((G2122+1)-I2122),"STILL OPEN")</f>
        <v>3</v>
      </c>
      <c r="BH2122" s="111">
        <f t="shared" si="1571"/>
        <v>3</v>
      </c>
      <c r="BI2122" s="111">
        <f t="shared" si="1572"/>
        <v>21.997267759562842</v>
      </c>
      <c r="BJ2122" s="129">
        <f t="shared" si="1577"/>
        <v>0</v>
      </c>
      <c r="BK2122" s="129">
        <f t="shared" si="1573"/>
        <v>0</v>
      </c>
      <c r="BL2122" s="129" t="str">
        <f t="shared" si="1557"/>
        <v>CONVICTION</v>
      </c>
      <c r="BM2122" s="129" t="str">
        <f t="shared" si="1578"/>
        <v>NONE</v>
      </c>
      <c r="BN2122" s="129" t="s">
        <v>566</v>
      </c>
      <c r="BP2122" s="137" t="str">
        <f t="shared" si="1579"/>
        <v>CONVICTION</v>
      </c>
      <c r="BQ2122" s="128" t="str">
        <f t="shared" si="1580"/>
        <v>Y</v>
      </c>
      <c r="BR2122" s="129" t="str">
        <f t="shared" si="1581"/>
        <v>DETAINED</v>
      </c>
      <c r="BS2122" s="129" t="str">
        <f t="shared" si="1582"/>
        <v>DISPOSED</v>
      </c>
      <c r="BT2122" s="129" t="str">
        <f t="shared" si="1583"/>
        <v>Y</v>
      </c>
      <c r="BU2122" s="109">
        <f t="shared" si="1584"/>
        <v>1</v>
      </c>
      <c r="BV2122" s="109">
        <f t="shared" si="1585"/>
        <v>1</v>
      </c>
      <c r="BW2122" s="109">
        <f t="shared" si="1563"/>
        <v>0</v>
      </c>
      <c r="BX2122" s="111">
        <f t="shared" si="1586"/>
        <v>0</v>
      </c>
      <c r="BY2122" s="129">
        <f t="shared" si="1587"/>
        <v>-3</v>
      </c>
      <c r="BZ2122" s="111">
        <f t="shared" si="1588"/>
        <v>0</v>
      </c>
      <c r="CA2122" s="138">
        <f t="shared" si="1589"/>
        <v>3</v>
      </c>
      <c r="CB2122" s="111" t="e">
        <f>IF(AF2122&gt;1/1/1900,((AF2122+1)-AE2122),"STILL OPEN")</f>
        <v>#VALUE!</v>
      </c>
      <c r="CC2122" s="129">
        <f>G2122-I2122+1</f>
        <v>3</v>
      </c>
      <c r="CD2122" s="129">
        <f>G2122-J2122</f>
        <v>0</v>
      </c>
      <c r="CG2122" s="129" t="str">
        <f t="shared" si="1590"/>
        <v>Y</v>
      </c>
      <c r="CI2122" s="129" t="str">
        <f t="shared" si="1591"/>
        <v>0-10 DAYS</v>
      </c>
      <c r="CJ2122" s="137">
        <f t="shared" si="1592"/>
        <v>1</v>
      </c>
      <c r="CK2122" s="129" t="str">
        <f t="shared" si="1593"/>
        <v>Booked</v>
      </c>
    </row>
    <row r="2123" spans="1:89" ht="15.75" customHeight="1" x14ac:dyDescent="0.25">
      <c r="A2123" s="111">
        <v>2681</v>
      </c>
      <c r="B2123" s="128" t="str">
        <f t="shared" si="1574"/>
        <v>N</v>
      </c>
      <c r="C2123" s="128" t="str">
        <f t="shared" si="1575"/>
        <v>N</v>
      </c>
      <c r="D2123" s="117">
        <v>2431703</v>
      </c>
      <c r="E2123" s="135">
        <f t="shared" si="1576"/>
        <v>4</v>
      </c>
      <c r="F2123" s="124">
        <v>41008</v>
      </c>
      <c r="G2123" s="125">
        <v>41449</v>
      </c>
      <c r="H2123" s="117">
        <v>2431703</v>
      </c>
      <c r="I2123" s="124">
        <v>41009</v>
      </c>
      <c r="J2123" s="124">
        <v>41010</v>
      </c>
      <c r="K2123" s="126">
        <v>10000</v>
      </c>
      <c r="L2123" s="127" t="s">
        <v>570</v>
      </c>
      <c r="M2123" s="125">
        <v>41010</v>
      </c>
      <c r="N2123" s="129" t="str">
        <f>IF(M2123&gt;1/1/1,"Y","N")</f>
        <v>Y</v>
      </c>
      <c r="O2123" s="128" t="s">
        <v>76</v>
      </c>
      <c r="P2123" s="129" t="s">
        <v>31</v>
      </c>
      <c r="Q2123" s="111">
        <f t="shared" si="1570"/>
        <v>2</v>
      </c>
      <c r="R2123" s="111">
        <f t="shared" si="1556"/>
        <v>442</v>
      </c>
      <c r="S2123" s="129">
        <v>2</v>
      </c>
      <c r="T2123" s="129">
        <v>1</v>
      </c>
      <c r="W2123" s="111"/>
      <c r="AC2123" s="130"/>
      <c r="AD2123" s="130">
        <v>31371</v>
      </c>
      <c r="AE2123" s="128" t="s">
        <v>32</v>
      </c>
      <c r="AF2123" s="128" t="s">
        <v>33</v>
      </c>
      <c r="AG2123" s="128" t="s">
        <v>872</v>
      </c>
      <c r="AH2123" s="108" t="s">
        <v>31</v>
      </c>
      <c r="AI2123" s="128" t="s">
        <v>47</v>
      </c>
      <c r="AJ2123" s="129" t="s">
        <v>89</v>
      </c>
      <c r="AK2123" s="129">
        <v>15</v>
      </c>
      <c r="AL2123" s="3" t="s">
        <v>991</v>
      </c>
      <c r="AO2123" s="128">
        <v>365</v>
      </c>
      <c r="AP2123" s="129" t="s">
        <v>101</v>
      </c>
      <c r="AR2123" s="128" t="s">
        <v>67</v>
      </c>
      <c r="AS2123" s="129" t="s">
        <v>64</v>
      </c>
      <c r="AX2123" s="32"/>
      <c r="BC2123" s="129" t="s">
        <v>52</v>
      </c>
      <c r="BF2123" s="111">
        <f>IF(J2123&gt;1/1/1900,((J2123+1)-I2123),"STILL OPEN")</f>
        <v>2</v>
      </c>
      <c r="BG2123" s="111">
        <f>IF(G2123&gt;1/1/1900,((G2123+1)-I2123),"STILL OPEN")</f>
        <v>441</v>
      </c>
      <c r="BH2123" s="111">
        <f t="shared" si="1571"/>
        <v>442</v>
      </c>
      <c r="BI2123" s="111">
        <f t="shared" si="1572"/>
        <v>26.330601092896174</v>
      </c>
      <c r="BJ2123" s="129">
        <f>(G2123-J2123)+(M2123-G2123)</f>
        <v>0</v>
      </c>
      <c r="BK2123" s="129">
        <f t="shared" si="1573"/>
        <v>-439</v>
      </c>
      <c r="BL2123" s="129" t="str">
        <f t="shared" si="1557"/>
        <v>CONVICTION</v>
      </c>
      <c r="BM2123" s="129" t="s">
        <v>76</v>
      </c>
      <c r="BN2123" s="129" t="s">
        <v>88</v>
      </c>
      <c r="BP2123" s="137" t="str">
        <f t="shared" si="1579"/>
        <v>CONVICTION</v>
      </c>
      <c r="BQ2123" s="128" t="str">
        <f t="shared" si="1580"/>
        <v>Y</v>
      </c>
      <c r="BR2123" s="129" t="str">
        <f t="shared" si="1581"/>
        <v>ON BOND</v>
      </c>
      <c r="BS2123" s="129" t="str">
        <f t="shared" si="1582"/>
        <v>DISPOSED</v>
      </c>
      <c r="BT2123" s="129" t="str">
        <f t="shared" si="1583"/>
        <v>Y</v>
      </c>
      <c r="BU2123" s="109">
        <f t="shared" si="1584"/>
        <v>4.5248868778280547E-3</v>
      </c>
      <c r="BV2123" s="109">
        <f t="shared" si="1585"/>
        <v>4.5351473922902496E-3</v>
      </c>
      <c r="BW2123" s="109">
        <f t="shared" si="1563"/>
        <v>1.026051446219485E-5</v>
      </c>
      <c r="BX2123" s="111">
        <f t="shared" si="1586"/>
        <v>0</v>
      </c>
      <c r="BY2123" s="129">
        <f t="shared" si="1587"/>
        <v>-2</v>
      </c>
      <c r="BZ2123" s="111">
        <f t="shared" si="1588"/>
        <v>0</v>
      </c>
      <c r="CA2123" s="138">
        <f t="shared" si="1589"/>
        <v>2</v>
      </c>
      <c r="CB2123" s="111" t="e">
        <f>IF(AF2123&gt;1/1/1900,((AF2123+1)-AE2123),"STILL OPEN")</f>
        <v>#VALUE!</v>
      </c>
      <c r="CC2123" s="129">
        <f>M2123-I2123+1</f>
        <v>2</v>
      </c>
      <c r="CD2123" s="111">
        <f>CC2123-BF2123</f>
        <v>0</v>
      </c>
      <c r="CG2123" s="129" t="str">
        <f t="shared" si="1590"/>
        <v>Y</v>
      </c>
      <c r="CI2123" s="129" t="str">
        <f t="shared" si="1591"/>
        <v>0-10 DAYS</v>
      </c>
      <c r="CJ2123" s="137">
        <f t="shared" si="1592"/>
        <v>1</v>
      </c>
      <c r="CK2123" s="129" t="str">
        <f t="shared" si="1593"/>
        <v>Booked</v>
      </c>
    </row>
    <row r="2124" spans="1:89" ht="15.75" customHeight="1" x14ac:dyDescent="0.25">
      <c r="A2124" s="111">
        <v>2907</v>
      </c>
      <c r="B2124" s="128" t="str">
        <f t="shared" si="1574"/>
        <v>N</v>
      </c>
      <c r="C2124" s="128" t="str">
        <f t="shared" si="1575"/>
        <v>N</v>
      </c>
      <c r="D2124" s="117">
        <v>2432612</v>
      </c>
      <c r="E2124" s="135">
        <f t="shared" si="1576"/>
        <v>1</v>
      </c>
      <c r="F2124" s="124">
        <v>41016</v>
      </c>
      <c r="G2124" s="125">
        <v>41046</v>
      </c>
      <c r="H2124" s="117">
        <v>2432612</v>
      </c>
      <c r="I2124" s="124">
        <v>41017</v>
      </c>
      <c r="J2124" s="124">
        <v>41018</v>
      </c>
      <c r="K2124" s="126">
        <v>2000</v>
      </c>
      <c r="L2124" s="127" t="s">
        <v>568</v>
      </c>
      <c r="M2124" s="125">
        <v>41018</v>
      </c>
      <c r="N2124" s="129" t="str">
        <f>IF(M2124&gt;1/1/1,"Y","N")</f>
        <v>Y</v>
      </c>
      <c r="O2124" s="128" t="s">
        <v>76</v>
      </c>
      <c r="P2124" s="129" t="s">
        <v>55</v>
      </c>
      <c r="Q2124" s="111">
        <f t="shared" si="1570"/>
        <v>2</v>
      </c>
      <c r="R2124" s="111">
        <f t="shared" si="1556"/>
        <v>31</v>
      </c>
      <c r="S2124" s="129">
        <v>0</v>
      </c>
      <c r="T2124" s="129">
        <v>0</v>
      </c>
      <c r="W2124" s="111"/>
      <c r="AC2124" s="130"/>
      <c r="AD2124" s="130">
        <v>33228</v>
      </c>
      <c r="AE2124" s="128" t="s">
        <v>32</v>
      </c>
      <c r="AF2124" s="128" t="s">
        <v>69</v>
      </c>
      <c r="AG2124" s="128" t="s">
        <v>874</v>
      </c>
      <c r="AH2124" s="108" t="s">
        <v>31</v>
      </c>
      <c r="AI2124" s="128" t="s">
        <v>95</v>
      </c>
      <c r="AJ2124" s="129" t="s">
        <v>55</v>
      </c>
      <c r="AK2124" s="129">
        <v>2</v>
      </c>
      <c r="AL2124" s="3" t="s">
        <v>55</v>
      </c>
      <c r="AP2124" s="129" t="s">
        <v>43</v>
      </c>
      <c r="AR2124" s="128" t="s">
        <v>44</v>
      </c>
      <c r="AS2124" s="129" t="s">
        <v>45</v>
      </c>
      <c r="BC2124" s="129" t="s">
        <v>52</v>
      </c>
      <c r="BF2124" s="111">
        <f>IF(J2124&gt;1/1/1900,((J2124+1)-I2124),"STILL OPEN")</f>
        <v>2</v>
      </c>
      <c r="BG2124" s="111">
        <f>IF(G2124&gt;1/1/1900,((G2124+1)-I2124),"STILL OPEN")</f>
        <v>30</v>
      </c>
      <c r="BH2124" s="111">
        <f t="shared" si="1571"/>
        <v>31</v>
      </c>
      <c r="BI2124" s="111">
        <f t="shared" si="1572"/>
        <v>21.278688524590162</v>
      </c>
      <c r="BJ2124" s="129">
        <f>(G2124-J2124)+(M2124-G2124)</f>
        <v>0</v>
      </c>
      <c r="BK2124" s="129">
        <f t="shared" si="1573"/>
        <v>-28</v>
      </c>
      <c r="BL2124" s="129" t="str">
        <f t="shared" si="1557"/>
        <v>NO CONVICTION</v>
      </c>
      <c r="BM2124" s="129" t="s">
        <v>76</v>
      </c>
      <c r="BN2124" s="129" t="s">
        <v>88</v>
      </c>
      <c r="BP2124" s="137" t="str">
        <f t="shared" si="1579"/>
        <v>NO CONVICTION</v>
      </c>
      <c r="BQ2124" s="128" t="str">
        <f t="shared" si="1580"/>
        <v>Y</v>
      </c>
      <c r="BR2124" s="129" t="str">
        <f t="shared" si="1581"/>
        <v>ON BOND</v>
      </c>
      <c r="BS2124" s="129" t="str">
        <f t="shared" si="1582"/>
        <v>DISPOSED</v>
      </c>
      <c r="BT2124" s="129" t="str">
        <f t="shared" si="1583"/>
        <v>N</v>
      </c>
      <c r="BU2124" s="109">
        <f>IFERROR(Q2124/R2124,BR2124)</f>
        <v>6.4516129032258063E-2</v>
      </c>
      <c r="BV2124" s="109">
        <f t="shared" si="1585"/>
        <v>6.6666666666666666E-2</v>
      </c>
      <c r="BW2124" s="109">
        <f t="shared" si="1563"/>
        <v>2.150537634408603E-3</v>
      </c>
      <c r="BX2124" s="111">
        <f t="shared" si="1586"/>
        <v>0</v>
      </c>
      <c r="BY2124" s="129">
        <f t="shared" si="1587"/>
        <v>-2</v>
      </c>
      <c r="BZ2124" s="111">
        <f t="shared" si="1588"/>
        <v>0</v>
      </c>
      <c r="CA2124" s="138">
        <f t="shared" si="1589"/>
        <v>2</v>
      </c>
      <c r="CB2124" s="111" t="e">
        <f>IF(AF2124&gt;1/1/1900,((AF2124+1)-AE2124),"STILL OPEN")</f>
        <v>#VALUE!</v>
      </c>
      <c r="CC2124" s="129">
        <f>M2124-I2124+1</f>
        <v>2</v>
      </c>
      <c r="CD2124" s="111">
        <f>CC2124-BF2124</f>
        <v>0</v>
      </c>
      <c r="CG2124" s="129" t="str">
        <f t="shared" si="1590"/>
        <v>N</v>
      </c>
      <c r="CI2124" s="129" t="str">
        <f t="shared" si="1591"/>
        <v>0-10 DAYS</v>
      </c>
      <c r="CJ2124" s="137">
        <f t="shared" si="1592"/>
        <v>1</v>
      </c>
      <c r="CK2124" s="129" t="str">
        <f t="shared" si="1593"/>
        <v>Booked</v>
      </c>
    </row>
    <row r="2125" spans="1:89" ht="15.75" customHeight="1" x14ac:dyDescent="0.25">
      <c r="A2125" s="111">
        <v>1996</v>
      </c>
      <c r="B2125" s="128" t="str">
        <f t="shared" si="1574"/>
        <v>N</v>
      </c>
      <c r="C2125" s="128" t="str">
        <f t="shared" si="1575"/>
        <v>Y</v>
      </c>
      <c r="D2125" s="117">
        <v>2433155</v>
      </c>
      <c r="E2125" s="135">
        <f t="shared" si="1576"/>
        <v>5</v>
      </c>
      <c r="F2125" s="124">
        <v>40983</v>
      </c>
      <c r="G2125" s="125">
        <v>41205</v>
      </c>
      <c r="H2125" s="117">
        <v>2433155</v>
      </c>
      <c r="I2125" s="124">
        <v>40984</v>
      </c>
      <c r="J2125" s="124">
        <v>41045</v>
      </c>
      <c r="K2125" s="126">
        <v>30000</v>
      </c>
      <c r="L2125" s="129" t="s">
        <v>572</v>
      </c>
      <c r="M2125" s="125">
        <v>41045</v>
      </c>
      <c r="N2125" s="129" t="str">
        <f>IF(M2125&gt;1/1/1,"Y","N")</f>
        <v>Y</v>
      </c>
      <c r="O2125" s="128" t="s">
        <v>76</v>
      </c>
      <c r="P2125" s="129" t="s">
        <v>39</v>
      </c>
      <c r="Q2125" s="111">
        <f t="shared" si="1570"/>
        <v>62</v>
      </c>
      <c r="R2125" s="111">
        <f t="shared" si="1556"/>
        <v>223</v>
      </c>
      <c r="S2125" s="129">
        <v>2</v>
      </c>
      <c r="T2125" s="129">
        <v>3</v>
      </c>
      <c r="U2125" s="129">
        <v>1</v>
      </c>
      <c r="W2125" s="111"/>
      <c r="AC2125" s="130"/>
      <c r="AD2125" s="130">
        <v>30144</v>
      </c>
      <c r="AE2125" s="128" t="s">
        <v>32</v>
      </c>
      <c r="AF2125" s="128" t="s">
        <v>33</v>
      </c>
      <c r="AG2125" s="128" t="s">
        <v>872</v>
      </c>
      <c r="AH2125" s="108" t="s">
        <v>31</v>
      </c>
      <c r="AI2125" s="128" t="s">
        <v>47</v>
      </c>
      <c r="AJ2125" s="129" t="s">
        <v>89</v>
      </c>
      <c r="AK2125" s="129">
        <v>11</v>
      </c>
      <c r="AL2125" s="3" t="s">
        <v>992</v>
      </c>
      <c r="AN2125" s="117">
        <v>10</v>
      </c>
      <c r="AP2125" s="129" t="s">
        <v>108</v>
      </c>
      <c r="AR2125" s="128" t="s">
        <v>44</v>
      </c>
      <c r="AS2125" s="129" t="s">
        <v>61</v>
      </c>
      <c r="AU2125" s="3" t="s">
        <v>842</v>
      </c>
      <c r="AX2125" s="32" t="s">
        <v>88</v>
      </c>
      <c r="BC2125" s="129" t="s">
        <v>38</v>
      </c>
      <c r="BF2125" s="111">
        <v>62</v>
      </c>
      <c r="BG2125" s="111">
        <f>IF(G2125&gt;1/1/1900,((G2125+1)-I2125),"STILL OPEN")</f>
        <v>222</v>
      </c>
      <c r="BH2125" s="111">
        <f t="shared" si="1571"/>
        <v>223</v>
      </c>
      <c r="BI2125" s="111">
        <f t="shared" si="1572"/>
        <v>29.614754098360656</v>
      </c>
      <c r="BJ2125" s="129">
        <f>(G2125-J2125)+(M2125-G2125)</f>
        <v>0</v>
      </c>
      <c r="BK2125" s="129">
        <f t="shared" si="1573"/>
        <v>-160</v>
      </c>
      <c r="BL2125" s="129" t="str">
        <f t="shared" si="1557"/>
        <v>CONVICTION</v>
      </c>
      <c r="BM2125" s="129" t="s">
        <v>76</v>
      </c>
      <c r="BN2125" s="129" t="s">
        <v>88</v>
      </c>
      <c r="BP2125" s="137" t="str">
        <f t="shared" si="1579"/>
        <v>CONVICTION</v>
      </c>
      <c r="BQ2125" s="128" t="str">
        <f t="shared" si="1580"/>
        <v>Y</v>
      </c>
      <c r="BR2125" s="129" t="str">
        <f>IF(J2125&lt;G2125,"ON BOND",0)</f>
        <v>ON BOND</v>
      </c>
      <c r="BS2125" s="129" t="str">
        <f t="shared" si="1582"/>
        <v>DISPOSED</v>
      </c>
      <c r="BT2125" s="129" t="str">
        <f t="shared" si="1583"/>
        <v>Y</v>
      </c>
      <c r="BU2125" s="109">
        <f t="shared" si="1584"/>
        <v>0.27802690582959644</v>
      </c>
      <c r="BV2125" s="109">
        <f t="shared" si="1585"/>
        <v>0.27927927927927926</v>
      </c>
      <c r="BW2125" s="109">
        <f t="shared" si="1563"/>
        <v>1.2523734496828198E-3</v>
      </c>
      <c r="BX2125" s="111">
        <f t="shared" si="1586"/>
        <v>0</v>
      </c>
      <c r="BY2125" s="129">
        <f t="shared" si="1587"/>
        <v>-62</v>
      </c>
      <c r="BZ2125" s="111">
        <f t="shared" si="1588"/>
        <v>0</v>
      </c>
      <c r="CA2125" s="138">
        <f t="shared" si="1589"/>
        <v>62</v>
      </c>
      <c r="CB2125" s="111" t="e">
        <f>IF(AF2125&gt;1/1/1900,((AF2125+1)-AE2125),"STILL OPEN")</f>
        <v>#VALUE!</v>
      </c>
      <c r="CD2125" s="129">
        <f>G2125-J2125</f>
        <v>160</v>
      </c>
      <c r="CG2125" s="129" t="str">
        <f t="shared" si="1590"/>
        <v>Y</v>
      </c>
      <c r="CI2125" s="129" t="str">
        <f t="shared" si="1591"/>
        <v>61-90 DAYS</v>
      </c>
      <c r="CJ2125" s="137">
        <f t="shared" si="1592"/>
        <v>4</v>
      </c>
      <c r="CK2125" s="129" t="str">
        <f t="shared" si="1593"/>
        <v>Booked</v>
      </c>
    </row>
    <row r="2126" spans="1:89" ht="15" customHeight="1" x14ac:dyDescent="0.25">
      <c r="A2126" s="111">
        <v>42</v>
      </c>
      <c r="B2126" s="128" t="str">
        <f t="shared" si="1574"/>
        <v>N</v>
      </c>
      <c r="C2126" s="128" t="str">
        <f t="shared" si="1575"/>
        <v>N</v>
      </c>
      <c r="D2126" s="117">
        <v>2433170</v>
      </c>
      <c r="E2126" s="135">
        <f t="shared" si="1576"/>
        <v>1</v>
      </c>
      <c r="F2126" s="124">
        <v>40911</v>
      </c>
      <c r="G2126" s="125">
        <v>40913</v>
      </c>
      <c r="H2126" s="117">
        <v>2433170</v>
      </c>
      <c r="I2126" s="124" t="s">
        <v>562</v>
      </c>
      <c r="J2126" s="124" t="s">
        <v>562</v>
      </c>
      <c r="K2126" s="126">
        <v>5000</v>
      </c>
      <c r="L2126" s="127" t="s">
        <v>569</v>
      </c>
      <c r="N2126" s="124" t="s">
        <v>1343</v>
      </c>
      <c r="O2126" s="128" t="s">
        <v>917</v>
      </c>
      <c r="P2126" s="129" t="s">
        <v>55</v>
      </c>
      <c r="Q2126" s="111">
        <f t="shared" si="1570"/>
        <v>0</v>
      </c>
      <c r="R2126" s="111">
        <f t="shared" si="1556"/>
        <v>3</v>
      </c>
      <c r="S2126" s="129">
        <v>0</v>
      </c>
      <c r="T2126" s="129">
        <v>0</v>
      </c>
      <c r="W2126" s="111"/>
      <c r="AC2126" s="130"/>
      <c r="AD2126" s="130">
        <v>32305</v>
      </c>
      <c r="AE2126" s="128" t="s">
        <v>32</v>
      </c>
      <c r="AF2126" s="128" t="s">
        <v>33</v>
      </c>
      <c r="AG2126" s="128" t="s">
        <v>872</v>
      </c>
      <c r="AH2126" s="108" t="s">
        <v>31</v>
      </c>
      <c r="AI2126" s="128" t="s">
        <v>95</v>
      </c>
      <c r="AJ2126" s="129" t="s">
        <v>55</v>
      </c>
      <c r="AK2126" s="129">
        <v>1</v>
      </c>
      <c r="AL2126" s="3" t="s">
        <v>55</v>
      </c>
      <c r="AP2126" s="129" t="s">
        <v>109</v>
      </c>
      <c r="AR2126" s="128" t="s">
        <v>67</v>
      </c>
      <c r="AS2126" s="129" t="s">
        <v>61</v>
      </c>
      <c r="BC2126" s="129" t="s">
        <v>79</v>
      </c>
      <c r="BF2126" s="111">
        <v>0</v>
      </c>
      <c r="BG2126" s="111">
        <v>0</v>
      </c>
      <c r="BH2126" s="111">
        <f t="shared" si="1571"/>
        <v>3</v>
      </c>
      <c r="BI2126" s="111">
        <f t="shared" si="1572"/>
        <v>23.513661202185791</v>
      </c>
      <c r="BJ2126" s="129" t="e">
        <f>(G2126-J2126)+(M2126-G2126)</f>
        <v>#VALUE!</v>
      </c>
      <c r="BK2126" s="129" t="e">
        <f t="shared" si="1573"/>
        <v>#VALUE!</v>
      </c>
      <c r="BL2126" s="129" t="str">
        <f t="shared" si="1557"/>
        <v>NO CONVICTION</v>
      </c>
      <c r="BM2126" s="129" t="str">
        <f t="shared" si="1578"/>
        <v>NONE</v>
      </c>
      <c r="BN2126" s="129" t="s">
        <v>566</v>
      </c>
      <c r="BP2126" s="137" t="str">
        <f t="shared" si="1579"/>
        <v>NO CONVICTION</v>
      </c>
      <c r="BQ2126" s="128">
        <f t="shared" si="1580"/>
        <v>0</v>
      </c>
      <c r="BR2126" s="129" t="s">
        <v>1345</v>
      </c>
      <c r="BS2126" s="129" t="str">
        <f t="shared" si="1582"/>
        <v>DISPOSED</v>
      </c>
      <c r="BT2126" s="129" t="str">
        <f t="shared" si="1583"/>
        <v>N</v>
      </c>
      <c r="BU2126" s="109">
        <f>IFERROR(Q2126/R2126,BR2126)</f>
        <v>0</v>
      </c>
      <c r="BV2126" s="109">
        <v>0</v>
      </c>
      <c r="BW2126" s="109">
        <f t="shared" si="1563"/>
        <v>0</v>
      </c>
      <c r="BX2126" s="111">
        <f t="shared" si="1586"/>
        <v>0</v>
      </c>
      <c r="BY2126" s="129" t="e">
        <f t="shared" si="1587"/>
        <v>#VALUE!</v>
      </c>
      <c r="BZ2126" s="111" t="e">
        <f t="shared" si="1588"/>
        <v>#VALUE!</v>
      </c>
      <c r="CA2126" s="138" t="e">
        <f t="shared" si="1589"/>
        <v>#VALUE!</v>
      </c>
      <c r="CB2126" s="111">
        <v>0</v>
      </c>
      <c r="CC2126" s="129">
        <v>0</v>
      </c>
      <c r="CG2126" s="129" t="str">
        <f t="shared" si="1590"/>
        <v>N</v>
      </c>
      <c r="CI2126" s="129" t="str">
        <f t="shared" si="1591"/>
        <v>0-10 DAYS</v>
      </c>
      <c r="CJ2126" s="137">
        <f t="shared" si="1592"/>
        <v>1</v>
      </c>
      <c r="CK2126" s="129" t="str">
        <f t="shared" si="1593"/>
        <v>Not Booked</v>
      </c>
    </row>
    <row r="2127" spans="1:89" ht="15" customHeight="1" x14ac:dyDescent="0.25">
      <c r="A2127" s="111">
        <v>1760</v>
      </c>
      <c r="B2127" s="128" t="str">
        <f t="shared" si="1574"/>
        <v>N</v>
      </c>
      <c r="C2127" s="128" t="str">
        <f t="shared" si="1575"/>
        <v>N</v>
      </c>
      <c r="D2127" s="117">
        <v>2433234</v>
      </c>
      <c r="E2127" s="135">
        <f t="shared" si="1576"/>
        <v>6</v>
      </c>
      <c r="F2127" s="124">
        <v>40974</v>
      </c>
      <c r="G2127" s="125">
        <v>41254</v>
      </c>
      <c r="H2127" s="117">
        <v>2433234</v>
      </c>
      <c r="I2127" s="124">
        <v>40975</v>
      </c>
      <c r="J2127" s="125">
        <v>41254</v>
      </c>
      <c r="K2127" s="126">
        <v>90000</v>
      </c>
      <c r="L2127" s="129" t="s">
        <v>572</v>
      </c>
      <c r="N2127" s="129" t="str">
        <f>IF(M2127&gt;1/1/1,"Y","N")</f>
        <v>N</v>
      </c>
      <c r="O2127" s="128" t="s">
        <v>917</v>
      </c>
      <c r="P2127" s="129" t="s">
        <v>39</v>
      </c>
      <c r="Q2127" s="111">
        <f t="shared" si="1570"/>
        <v>280</v>
      </c>
      <c r="R2127" s="111">
        <f t="shared" si="1556"/>
        <v>281</v>
      </c>
      <c r="S2127" s="129">
        <v>0</v>
      </c>
      <c r="T2127" s="129">
        <v>1</v>
      </c>
      <c r="W2127" s="111"/>
      <c r="AC2127" s="130"/>
      <c r="AD2127" s="130">
        <v>33716</v>
      </c>
      <c r="AE2127" s="128" t="s">
        <v>32</v>
      </c>
      <c r="AF2127" s="128" t="s">
        <v>33</v>
      </c>
      <c r="AG2127" s="128" t="s">
        <v>872</v>
      </c>
      <c r="AH2127" s="108" t="s">
        <v>58</v>
      </c>
      <c r="AI2127" s="128" t="s">
        <v>80</v>
      </c>
      <c r="AJ2127" s="129" t="s">
        <v>89</v>
      </c>
      <c r="AK2127" s="129">
        <v>8</v>
      </c>
      <c r="AL2127" s="3" t="s">
        <v>362</v>
      </c>
      <c r="AM2127" s="117">
        <v>9</v>
      </c>
      <c r="AP2127" s="129" t="s">
        <v>56</v>
      </c>
      <c r="AR2127" s="128" t="s">
        <v>50</v>
      </c>
      <c r="AS2127" s="129" t="s">
        <v>57</v>
      </c>
      <c r="BC2127" s="129" t="s">
        <v>38</v>
      </c>
      <c r="BF2127" s="111">
        <f>IF(J2127&gt;1/1/1900,((J2127+1)-I2127),"STILL OPEN")</f>
        <v>280</v>
      </c>
      <c r="BG2127" s="111">
        <f>IF(G2127&gt;1/1/1900,((G2127+1)-I2127),"STILL OPEN")</f>
        <v>280</v>
      </c>
      <c r="BH2127" s="111">
        <f t="shared" si="1571"/>
        <v>281</v>
      </c>
      <c r="BI2127" s="111">
        <f t="shared" si="1572"/>
        <v>19.830601092896174</v>
      </c>
      <c r="BJ2127" s="129">
        <f t="shared" si="1577"/>
        <v>0</v>
      </c>
      <c r="BK2127" s="129">
        <f t="shared" si="1573"/>
        <v>0</v>
      </c>
      <c r="BL2127" s="129" t="str">
        <f t="shared" si="1557"/>
        <v>CONVICTION</v>
      </c>
      <c r="BM2127" s="129" t="str">
        <f t="shared" si="1578"/>
        <v>NONE</v>
      </c>
      <c r="BN2127" s="129" t="s">
        <v>566</v>
      </c>
      <c r="BP2127" s="137" t="str">
        <f t="shared" si="1579"/>
        <v>CONVICTION</v>
      </c>
      <c r="BQ2127" s="128" t="str">
        <f t="shared" si="1580"/>
        <v>Y</v>
      </c>
      <c r="BR2127" s="129" t="str">
        <f t="shared" si="1581"/>
        <v>DETAINED</v>
      </c>
      <c r="BS2127" s="129" t="str">
        <f t="shared" si="1582"/>
        <v>DISPOSED</v>
      </c>
      <c r="BT2127" s="129" t="str">
        <f t="shared" si="1583"/>
        <v>N</v>
      </c>
      <c r="BU2127" s="109">
        <f t="shared" si="1584"/>
        <v>0.99644128113879005</v>
      </c>
      <c r="BV2127" s="109">
        <f t="shared" si="1585"/>
        <v>1</v>
      </c>
      <c r="BW2127" s="109">
        <f t="shared" si="1563"/>
        <v>3.558718861209953E-3</v>
      </c>
      <c r="BX2127" s="111">
        <f t="shared" si="1586"/>
        <v>0</v>
      </c>
      <c r="BY2127" s="129">
        <f t="shared" si="1587"/>
        <v>-280</v>
      </c>
      <c r="BZ2127" s="111">
        <f t="shared" si="1588"/>
        <v>0</v>
      </c>
      <c r="CA2127" s="138">
        <f t="shared" si="1589"/>
        <v>280</v>
      </c>
      <c r="CB2127" s="111" t="e">
        <f>IF(AF2127&gt;1/1/1900,((AF2127+1)-AE2127),"STILL OPEN")</f>
        <v>#VALUE!</v>
      </c>
      <c r="CC2127" s="129">
        <f>G2127-I2127+1</f>
        <v>280</v>
      </c>
      <c r="CD2127" s="129">
        <f>G2127-J2127</f>
        <v>0</v>
      </c>
      <c r="CG2127" s="129" t="str">
        <f t="shared" si="1590"/>
        <v>Y</v>
      </c>
      <c r="CI2127" s="129" t="str">
        <f t="shared" si="1591"/>
        <v>121-365 DAYS</v>
      </c>
      <c r="CJ2127" s="137">
        <f t="shared" si="1592"/>
        <v>6</v>
      </c>
      <c r="CK2127" s="129" t="str">
        <f t="shared" si="1593"/>
        <v>Booked</v>
      </c>
    </row>
    <row r="2128" spans="1:89" ht="31.5" customHeight="1" x14ac:dyDescent="0.25">
      <c r="A2128" s="111">
        <v>413</v>
      </c>
      <c r="B2128" s="128" t="str">
        <f t="shared" si="1574"/>
        <v>N</v>
      </c>
      <c r="C2128" s="128" t="str">
        <f t="shared" si="1575"/>
        <v>N</v>
      </c>
      <c r="D2128" s="117">
        <v>2433749</v>
      </c>
      <c r="E2128" s="135">
        <f t="shared" si="1576"/>
        <v>2</v>
      </c>
      <c r="F2128" s="124">
        <v>40926</v>
      </c>
      <c r="G2128" s="125">
        <v>41193</v>
      </c>
      <c r="H2128" s="117">
        <v>2433749</v>
      </c>
      <c r="I2128" s="124">
        <v>40926</v>
      </c>
      <c r="J2128" s="124">
        <v>41193</v>
      </c>
      <c r="K2128" s="126">
        <v>30000</v>
      </c>
      <c r="L2128" s="129" t="s">
        <v>572</v>
      </c>
      <c r="M2128" s="125"/>
      <c r="N2128" s="129" t="str">
        <f>IF(M2128&gt;1/1/1,"Y","N")</f>
        <v>N</v>
      </c>
      <c r="O2128" s="128" t="s">
        <v>917</v>
      </c>
      <c r="P2128" s="129" t="s">
        <v>589</v>
      </c>
      <c r="Q2128" s="111">
        <f t="shared" si="1570"/>
        <v>268</v>
      </c>
      <c r="R2128" s="111">
        <f t="shared" si="1556"/>
        <v>268</v>
      </c>
      <c r="S2128" s="129">
        <v>0</v>
      </c>
      <c r="T2128" s="129">
        <v>0</v>
      </c>
      <c r="W2128" s="111"/>
      <c r="AB2128" s="131" t="s">
        <v>112</v>
      </c>
      <c r="AC2128" s="130"/>
      <c r="AD2128" s="130">
        <v>31757</v>
      </c>
      <c r="AE2128" s="128" t="s">
        <v>32</v>
      </c>
      <c r="AF2128" s="128" t="s">
        <v>40</v>
      </c>
      <c r="AG2128" s="128" t="s">
        <v>41</v>
      </c>
      <c r="AH2128" s="108" t="s">
        <v>31</v>
      </c>
      <c r="AI2128" s="128" t="s">
        <v>65</v>
      </c>
      <c r="AJ2128" s="129" t="s">
        <v>48</v>
      </c>
      <c r="AK2128" s="129">
        <v>11</v>
      </c>
      <c r="AL2128" s="3" t="s">
        <v>48</v>
      </c>
      <c r="AP2128" s="129" t="s">
        <v>205</v>
      </c>
      <c r="AR2128" s="128" t="s">
        <v>92</v>
      </c>
      <c r="AS2128" s="129" t="s">
        <v>82</v>
      </c>
      <c r="BC2128" s="129" t="s">
        <v>52</v>
      </c>
      <c r="BF2128" s="111">
        <f>IF(J2128&gt;1/1/1900,((J2128+1)-I2128),"STILL OPEN")</f>
        <v>268</v>
      </c>
      <c r="BG2128" s="111">
        <f>IF(G2128&gt;1/1/1900,((G2128+1)-I2128),"STILL OPEN")</f>
        <v>268</v>
      </c>
      <c r="BH2128" s="111">
        <f t="shared" si="1571"/>
        <v>268</v>
      </c>
      <c r="BI2128" s="111">
        <f t="shared" si="1572"/>
        <v>25.051912568306012</v>
      </c>
      <c r="BJ2128" s="129">
        <f t="shared" si="1577"/>
        <v>0</v>
      </c>
      <c r="BK2128" s="129">
        <f t="shared" si="1573"/>
        <v>0</v>
      </c>
      <c r="BL2128" s="129" t="str">
        <f t="shared" si="1557"/>
        <v>DEFERRED</v>
      </c>
      <c r="BM2128" s="129" t="str">
        <f t="shared" si="1578"/>
        <v>NONE</v>
      </c>
      <c r="BN2128" s="129" t="s">
        <v>566</v>
      </c>
      <c r="BP2128" s="137" t="str">
        <f t="shared" si="1579"/>
        <v>DEFERRED</v>
      </c>
      <c r="BQ2128" s="128" t="str">
        <f t="shared" si="1580"/>
        <v>Y</v>
      </c>
      <c r="BR2128" s="129" t="str">
        <f t="shared" si="1581"/>
        <v>DETAINED</v>
      </c>
      <c r="BS2128" s="129" t="str">
        <f t="shared" si="1582"/>
        <v>DISPOSED</v>
      </c>
      <c r="BT2128" s="129" t="str">
        <f t="shared" si="1583"/>
        <v>N</v>
      </c>
      <c r="BU2128" s="109">
        <f t="shared" si="1584"/>
        <v>1</v>
      </c>
      <c r="BV2128" s="109">
        <f t="shared" si="1585"/>
        <v>1</v>
      </c>
      <c r="BW2128" s="109">
        <f t="shared" si="1563"/>
        <v>0</v>
      </c>
      <c r="BX2128" s="111">
        <f t="shared" si="1586"/>
        <v>0</v>
      </c>
      <c r="BY2128" s="129">
        <f t="shared" si="1587"/>
        <v>-268</v>
      </c>
      <c r="BZ2128" s="111">
        <f t="shared" si="1588"/>
        <v>0</v>
      </c>
      <c r="CA2128" s="138">
        <f t="shared" si="1589"/>
        <v>268</v>
      </c>
      <c r="CB2128" s="111" t="e">
        <f>IF(AF2128&gt;1/1/1900,((AF2128+1)-AE2128),"STILL OPEN")</f>
        <v>#VALUE!</v>
      </c>
      <c r="CC2128" s="129">
        <f>G2128-I2128+1</f>
        <v>268</v>
      </c>
      <c r="CD2128" s="129">
        <f>G2128-J2128</f>
        <v>0</v>
      </c>
      <c r="CG2128" s="129" t="str">
        <f t="shared" si="1590"/>
        <v>N</v>
      </c>
      <c r="CI2128" s="129" t="str">
        <f t="shared" si="1591"/>
        <v>121-365 DAYS</v>
      </c>
      <c r="CJ2128" s="137">
        <f t="shared" si="1592"/>
        <v>6</v>
      </c>
      <c r="CK2128" s="129" t="str">
        <f t="shared" si="1593"/>
        <v>Booked</v>
      </c>
    </row>
    <row r="2129" spans="1:89" ht="15.75" customHeight="1" x14ac:dyDescent="0.25">
      <c r="A2129" s="111">
        <v>3153</v>
      </c>
      <c r="B2129" s="128" t="str">
        <f t="shared" si="1574"/>
        <v>N</v>
      </c>
      <c r="C2129" s="128" t="str">
        <f t="shared" si="1575"/>
        <v>N</v>
      </c>
      <c r="D2129" s="117">
        <v>2433970</v>
      </c>
      <c r="E2129" s="135">
        <f t="shared" si="1576"/>
        <v>1</v>
      </c>
      <c r="F2129" s="124">
        <v>41025</v>
      </c>
      <c r="G2129" s="125">
        <v>41144</v>
      </c>
      <c r="H2129" s="117">
        <v>2433970</v>
      </c>
      <c r="I2129" s="124">
        <v>41054</v>
      </c>
      <c r="J2129" s="124">
        <v>41144</v>
      </c>
      <c r="K2129" s="126" t="s">
        <v>564</v>
      </c>
      <c r="L2129" s="127" t="s">
        <v>564</v>
      </c>
      <c r="N2129" s="129" t="s">
        <v>566</v>
      </c>
      <c r="O2129" s="128" t="s">
        <v>917</v>
      </c>
      <c r="P2129" s="129" t="s">
        <v>55</v>
      </c>
      <c r="Q2129" s="111">
        <f t="shared" si="1570"/>
        <v>91</v>
      </c>
      <c r="R2129" s="111">
        <f t="shared" si="1556"/>
        <v>120</v>
      </c>
      <c r="S2129" s="129">
        <v>0</v>
      </c>
      <c r="T2129" s="129">
        <v>0</v>
      </c>
      <c r="W2129" s="111"/>
      <c r="AC2129" s="130"/>
      <c r="AD2129" s="130">
        <v>33735</v>
      </c>
      <c r="AE2129" s="128" t="s">
        <v>32</v>
      </c>
      <c r="AF2129" s="128" t="s">
        <v>33</v>
      </c>
      <c r="AG2129" s="128" t="s">
        <v>872</v>
      </c>
      <c r="AH2129" s="108" t="s">
        <v>31</v>
      </c>
      <c r="AI2129" s="128" t="s">
        <v>62</v>
      </c>
      <c r="AJ2129" s="129" t="s">
        <v>55</v>
      </c>
      <c r="AK2129" s="129">
        <v>5</v>
      </c>
      <c r="AL2129" s="3" t="s">
        <v>55</v>
      </c>
      <c r="AP2129" s="129" t="s">
        <v>331</v>
      </c>
      <c r="AR2129" s="128" t="s">
        <v>92</v>
      </c>
      <c r="AS2129" s="129" t="s">
        <v>331</v>
      </c>
      <c r="BC2129" s="129" t="s">
        <v>38</v>
      </c>
      <c r="BF2129" s="111">
        <f>IF(J2129&gt;1/1/1900,((J2129+1)-I2129),"STILL OPEN")</f>
        <v>91</v>
      </c>
      <c r="BG2129" s="111">
        <f>IF(G2129&gt;1/1/1900,((G2129+1)-I2129),"STILL OPEN")</f>
        <v>91</v>
      </c>
      <c r="BH2129" s="111">
        <f t="shared" si="1571"/>
        <v>120</v>
      </c>
      <c r="BI2129" s="111">
        <f t="shared" si="1572"/>
        <v>19.918032786885245</v>
      </c>
      <c r="BJ2129" s="129">
        <f t="shared" si="1577"/>
        <v>0</v>
      </c>
      <c r="BK2129" s="129">
        <f t="shared" si="1573"/>
        <v>0</v>
      </c>
      <c r="BL2129" s="129" t="str">
        <f t="shared" si="1557"/>
        <v>NO CONVICTION</v>
      </c>
      <c r="BM2129" s="129" t="str">
        <f t="shared" si="1578"/>
        <v>NONE</v>
      </c>
      <c r="BN2129" s="129" t="s">
        <v>566</v>
      </c>
      <c r="BP2129" s="137" t="str">
        <f t="shared" si="1579"/>
        <v>NO CONVICTION</v>
      </c>
      <c r="BQ2129" s="128" t="str">
        <f t="shared" si="1580"/>
        <v>Y</v>
      </c>
      <c r="BR2129" s="129" t="str">
        <f t="shared" si="1581"/>
        <v>DETAINED</v>
      </c>
      <c r="BS2129" s="129" t="str">
        <f t="shared" si="1582"/>
        <v>DISPOSED</v>
      </c>
      <c r="BT2129" s="129" t="str">
        <f t="shared" si="1583"/>
        <v>N</v>
      </c>
      <c r="BU2129" s="109">
        <f>IFERROR(Q2129/R2129,BR2129)</f>
        <v>0.7583333333333333</v>
      </c>
      <c r="BV2129" s="109">
        <f t="shared" si="1585"/>
        <v>1</v>
      </c>
      <c r="BW2129" s="109">
        <f t="shared" si="1563"/>
        <v>0.2416666666666667</v>
      </c>
      <c r="BX2129" s="111">
        <f t="shared" si="1586"/>
        <v>0</v>
      </c>
      <c r="BY2129" s="129">
        <f t="shared" si="1587"/>
        <v>-91</v>
      </c>
      <c r="BZ2129" s="111">
        <f t="shared" si="1588"/>
        <v>0</v>
      </c>
      <c r="CA2129" s="138">
        <f t="shared" si="1589"/>
        <v>91</v>
      </c>
      <c r="CB2129" s="111" t="e">
        <f>IF(AF2129&gt;1/1/1900,((AF2129+1)-AE2129),"STILL OPEN")</f>
        <v>#VALUE!</v>
      </c>
      <c r="CC2129" s="129">
        <f>G2129-I2129+1</f>
        <v>91</v>
      </c>
      <c r="CD2129" s="129">
        <f>G2129-J2129</f>
        <v>0</v>
      </c>
      <c r="CG2129" s="129" t="str">
        <f t="shared" si="1590"/>
        <v>N</v>
      </c>
      <c r="CI2129" s="129" t="str">
        <f t="shared" si="1591"/>
        <v>91-120 DAYS</v>
      </c>
      <c r="CJ2129" s="137">
        <f t="shared" si="1592"/>
        <v>0</v>
      </c>
      <c r="CK2129" s="129" t="str">
        <f t="shared" si="1593"/>
        <v>Booked</v>
      </c>
    </row>
    <row r="2130" spans="1:89" ht="15" customHeight="1" x14ac:dyDescent="0.25">
      <c r="A2130" s="111">
        <v>3204</v>
      </c>
      <c r="B2130" s="128" t="str">
        <f t="shared" si="1574"/>
        <v>N</v>
      </c>
      <c r="C2130" s="128" t="str">
        <f t="shared" si="1575"/>
        <v>N</v>
      </c>
      <c r="D2130" s="117">
        <v>2434768</v>
      </c>
      <c r="E2130" s="135" t="str">
        <f t="shared" si="1576"/>
        <v/>
      </c>
      <c r="F2130" s="124">
        <v>41026</v>
      </c>
      <c r="G2130" s="125"/>
      <c r="H2130" s="117">
        <v>2434768</v>
      </c>
      <c r="I2130" s="124">
        <v>41027</v>
      </c>
      <c r="J2130" s="124">
        <v>41030</v>
      </c>
      <c r="K2130" s="126">
        <v>10000</v>
      </c>
      <c r="L2130" s="127" t="s">
        <v>570</v>
      </c>
      <c r="M2130" s="125">
        <v>41028</v>
      </c>
      <c r="N2130" s="129" t="str">
        <f>IF(M2130&gt;1/1/1,"Y","N")</f>
        <v>Y</v>
      </c>
      <c r="O2130" s="128" t="s">
        <v>585</v>
      </c>
      <c r="P2130" s="32" t="s">
        <v>1386</v>
      </c>
      <c r="Q2130" s="111" t="str">
        <f>BF2130</f>
        <v>STILL OPEN</v>
      </c>
      <c r="R2130" s="111" t="str">
        <f t="shared" ref="R2130" si="1594">BH2130</f>
        <v>STILL OPEN</v>
      </c>
      <c r="S2130" s="129">
        <v>0</v>
      </c>
      <c r="T2130" s="129">
        <v>1</v>
      </c>
      <c r="W2130" s="111"/>
      <c r="AC2130" s="130"/>
      <c r="AD2130" s="130">
        <v>14935</v>
      </c>
      <c r="AE2130" s="128" t="s">
        <v>32</v>
      </c>
      <c r="AF2130" s="128" t="s">
        <v>533</v>
      </c>
      <c r="AG2130" s="128" t="s">
        <v>873</v>
      </c>
      <c r="AH2130" s="108" t="s">
        <v>31</v>
      </c>
      <c r="AI2130" s="128" t="s">
        <v>70</v>
      </c>
      <c r="AJ2130" s="129" t="s">
        <v>192</v>
      </c>
      <c r="AP2130" s="129" t="s">
        <v>286</v>
      </c>
      <c r="AR2130" s="128" t="s">
        <v>67</v>
      </c>
      <c r="AS2130" s="129" t="s">
        <v>64</v>
      </c>
      <c r="BC2130" s="129" t="s">
        <v>52</v>
      </c>
      <c r="BF2130" s="111" t="s">
        <v>588</v>
      </c>
      <c r="BG2130" s="111" t="str">
        <f>IF(G2130&gt;1/1/1900,((G2130+1)-I2130),"STILL OPEN")</f>
        <v>STILL OPEN</v>
      </c>
      <c r="BH2130" s="111" t="str">
        <f t="shared" si="1571"/>
        <v>STILL OPEN</v>
      </c>
      <c r="BI2130" s="111">
        <f t="shared" si="1572"/>
        <v>71.286885245901644</v>
      </c>
      <c r="BJ2130" s="129">
        <f>(G2130-J2130)+(M2130-G2130)</f>
        <v>-2</v>
      </c>
      <c r="BK2130" s="129">
        <f t="shared" si="1573"/>
        <v>41030</v>
      </c>
      <c r="BL2130" s="129">
        <f t="shared" si="1557"/>
        <v>0</v>
      </c>
      <c r="BM2130" s="129" t="s">
        <v>76</v>
      </c>
      <c r="BP2130" s="137" t="str">
        <f t="shared" si="1579"/>
        <v/>
      </c>
      <c r="BQ2130" s="128" t="str">
        <f t="shared" si="1580"/>
        <v>Y</v>
      </c>
      <c r="BR2130" s="129" t="str">
        <f t="shared" si="1581"/>
        <v>STILL OPEN</v>
      </c>
      <c r="BS2130" s="129" t="s">
        <v>588</v>
      </c>
      <c r="BT2130" s="129" t="str">
        <f t="shared" si="1583"/>
        <v>N</v>
      </c>
      <c r="BU2130" s="109" t="str">
        <f>IFERROR(Q2130/R2130,BR2130)</f>
        <v>STILL OPEN</v>
      </c>
      <c r="BV2130" s="129" t="s">
        <v>588</v>
      </c>
      <c r="BW2130" s="109">
        <v>0</v>
      </c>
      <c r="BX2130" s="111" t="e">
        <f t="shared" si="1586"/>
        <v>#VALUE!</v>
      </c>
      <c r="BY2130" s="129">
        <f t="shared" si="1587"/>
        <v>-4</v>
      </c>
      <c r="BZ2130" s="111" t="e">
        <f t="shared" si="1588"/>
        <v>#VALUE!</v>
      </c>
      <c r="CA2130" s="138" t="e">
        <f t="shared" si="1589"/>
        <v>#VALUE!</v>
      </c>
      <c r="CB2130" s="111" t="s">
        <v>588</v>
      </c>
      <c r="CC2130" s="129" t="s">
        <v>588</v>
      </c>
      <c r="CG2130" s="129" t="str">
        <f t="shared" si="1590"/>
        <v>Y</v>
      </c>
      <c r="CH2130" s="129" t="e">
        <v>#N/A</v>
      </c>
      <c r="CI2130" s="129" t="str">
        <f t="shared" si="1591"/>
        <v>&gt;3YRS</v>
      </c>
      <c r="CJ2130" s="137">
        <f t="shared" si="1592"/>
        <v>9</v>
      </c>
      <c r="CK2130" s="129" t="str">
        <f t="shared" si="1593"/>
        <v>Booked</v>
      </c>
    </row>
    <row r="2131" spans="1:89" ht="15.75" customHeight="1" x14ac:dyDescent="0.25">
      <c r="A2131" s="111">
        <v>2710</v>
      </c>
      <c r="B2131" s="128" t="str">
        <f t="shared" si="1574"/>
        <v>N</v>
      </c>
      <c r="C2131" s="128" t="str">
        <f t="shared" si="1575"/>
        <v>N</v>
      </c>
      <c r="D2131" s="117">
        <v>2435057</v>
      </c>
      <c r="E2131" s="135">
        <f t="shared" si="1576"/>
        <v>1</v>
      </c>
      <c r="F2131" s="124">
        <v>41009</v>
      </c>
      <c r="G2131" s="125">
        <v>41151</v>
      </c>
      <c r="H2131" s="117">
        <v>2435057</v>
      </c>
      <c r="I2131" s="124" t="s">
        <v>562</v>
      </c>
      <c r="J2131" s="124" t="s">
        <v>562</v>
      </c>
      <c r="K2131" s="126">
        <v>5000</v>
      </c>
      <c r="L2131" s="127" t="s">
        <v>569</v>
      </c>
      <c r="M2131" s="125">
        <v>41067</v>
      </c>
      <c r="N2131" s="129" t="str">
        <f>IF(M2131&gt;1/1/1,"Y",IF(Q2131="0","","N"))</f>
        <v>Y</v>
      </c>
      <c r="O2131" s="128" t="s">
        <v>76</v>
      </c>
      <c r="P2131" s="129" t="s">
        <v>55</v>
      </c>
      <c r="Q2131" s="111">
        <f t="shared" si="1570"/>
        <v>0</v>
      </c>
      <c r="R2131" s="111">
        <f t="shared" ref="R2131:R2193" si="1595">BH2131</f>
        <v>143</v>
      </c>
      <c r="S2131" s="129">
        <v>0</v>
      </c>
      <c r="T2131" s="129">
        <v>1</v>
      </c>
      <c r="W2131" s="111"/>
      <c r="AC2131" s="130"/>
      <c r="AD2131" s="130">
        <v>24348</v>
      </c>
      <c r="AE2131" s="128" t="s">
        <v>32</v>
      </c>
      <c r="AF2131" s="128" t="s">
        <v>138</v>
      </c>
      <c r="AG2131" s="128" t="s">
        <v>873</v>
      </c>
      <c r="AH2131" s="108" t="s">
        <v>31</v>
      </c>
      <c r="AI2131" s="128" t="s">
        <v>114</v>
      </c>
      <c r="AJ2131" s="129" t="s">
        <v>55</v>
      </c>
      <c r="AK2131" s="129">
        <v>5</v>
      </c>
      <c r="AL2131" s="3" t="s">
        <v>55</v>
      </c>
      <c r="AP2131" s="129" t="s">
        <v>213</v>
      </c>
      <c r="AR2131" s="128" t="s">
        <v>67</v>
      </c>
      <c r="AS2131" s="129" t="s">
        <v>64</v>
      </c>
      <c r="BC2131" s="129" t="s">
        <v>52</v>
      </c>
      <c r="BF2131" s="111">
        <v>0</v>
      </c>
      <c r="BG2131" s="111">
        <v>0</v>
      </c>
      <c r="BH2131" s="111">
        <f t="shared" si="1571"/>
        <v>143</v>
      </c>
      <c r="BI2131" s="111">
        <f t="shared" si="1572"/>
        <v>45.521857923497265</v>
      </c>
      <c r="BJ2131" s="129" t="e">
        <f>(G2131-J2131)+(M2131-G2131)</f>
        <v>#VALUE!</v>
      </c>
      <c r="BK2131" s="129" t="e">
        <f t="shared" si="1573"/>
        <v>#VALUE!</v>
      </c>
      <c r="BL2131" s="129" t="str">
        <f t="shared" si="1557"/>
        <v>NO CONVICTION</v>
      </c>
      <c r="BM2131" s="129" t="s">
        <v>76</v>
      </c>
      <c r="BN2131" s="129" t="s">
        <v>88</v>
      </c>
      <c r="BP2131" s="137" t="str">
        <f t="shared" si="1579"/>
        <v>NO CONVICTION</v>
      </c>
      <c r="BQ2131" s="128">
        <f t="shared" si="1580"/>
        <v>0</v>
      </c>
      <c r="BR2131" s="129" t="s">
        <v>575</v>
      </c>
      <c r="BS2131" s="129" t="str">
        <f t="shared" si="1582"/>
        <v>DISPOSED</v>
      </c>
      <c r="BT2131" s="129" t="str">
        <f t="shared" si="1583"/>
        <v>N</v>
      </c>
      <c r="BU2131" s="109">
        <f>IFERROR(Q2131/R2131,BR2131)</f>
        <v>0</v>
      </c>
      <c r="BV2131" s="109">
        <v>0</v>
      </c>
      <c r="BW2131" s="109">
        <f t="shared" ref="BW2131:BW2194" si="1596">BV2131-BU2131</f>
        <v>0</v>
      </c>
      <c r="BX2131" s="111">
        <f t="shared" si="1586"/>
        <v>0</v>
      </c>
      <c r="BY2131" s="129" t="e">
        <f t="shared" si="1587"/>
        <v>#VALUE!</v>
      </c>
      <c r="BZ2131" s="111" t="e">
        <f t="shared" si="1588"/>
        <v>#VALUE!</v>
      </c>
      <c r="CA2131" s="138" t="e">
        <f t="shared" si="1589"/>
        <v>#VALUE!</v>
      </c>
      <c r="CB2131" s="111">
        <v>0</v>
      </c>
      <c r="CC2131" s="129">
        <v>0</v>
      </c>
      <c r="CD2131" s="111">
        <f>CC2131-BF2131</f>
        <v>0</v>
      </c>
      <c r="CG2131" s="129" t="str">
        <f t="shared" si="1590"/>
        <v>Y</v>
      </c>
      <c r="CI2131" s="129" t="str">
        <f t="shared" si="1591"/>
        <v>0-10 DAYS</v>
      </c>
      <c r="CJ2131" s="137">
        <f t="shared" si="1592"/>
        <v>1</v>
      </c>
      <c r="CK2131" s="129" t="str">
        <f t="shared" si="1593"/>
        <v>Not Booked</v>
      </c>
    </row>
    <row r="2132" spans="1:89" ht="15.75" customHeight="1" x14ac:dyDescent="0.25">
      <c r="A2132" s="111">
        <v>1135</v>
      </c>
      <c r="B2132" s="128" t="str">
        <f t="shared" si="1574"/>
        <v>N</v>
      </c>
      <c r="C2132" s="128" t="str">
        <f t="shared" si="1575"/>
        <v>N</v>
      </c>
      <c r="D2132" s="117">
        <v>2435273</v>
      </c>
      <c r="E2132" s="135">
        <f t="shared" si="1576"/>
        <v>6</v>
      </c>
      <c r="F2132" s="124">
        <v>40949</v>
      </c>
      <c r="G2132" s="125">
        <v>41409</v>
      </c>
      <c r="H2132" s="117">
        <v>2435273</v>
      </c>
      <c r="I2132" s="124">
        <v>40957</v>
      </c>
      <c r="J2132" s="124">
        <v>40963</v>
      </c>
      <c r="K2132" s="126">
        <v>10000</v>
      </c>
      <c r="L2132" s="127" t="s">
        <v>570</v>
      </c>
      <c r="M2132" s="125">
        <v>40963</v>
      </c>
      <c r="N2132" s="129" t="str">
        <f t="shared" ref="N2132:N2152" si="1597">IF(M2132&gt;1/1/1,"Y","N")</f>
        <v>Y</v>
      </c>
      <c r="O2132" s="128" t="s">
        <v>76</v>
      </c>
      <c r="P2132" s="129" t="s">
        <v>39</v>
      </c>
      <c r="Q2132" s="111">
        <f t="shared" si="1570"/>
        <v>7</v>
      </c>
      <c r="R2132" s="111">
        <f t="shared" si="1595"/>
        <v>461</v>
      </c>
      <c r="S2132" s="129">
        <v>0</v>
      </c>
      <c r="T2132" s="129">
        <v>3</v>
      </c>
      <c r="W2132" s="111"/>
      <c r="AC2132" s="130"/>
      <c r="AD2132" s="130">
        <v>33190</v>
      </c>
      <c r="AE2132" s="128" t="s">
        <v>32</v>
      </c>
      <c r="AF2132" s="128" t="s">
        <v>69</v>
      </c>
      <c r="AG2132" s="128" t="s">
        <v>874</v>
      </c>
      <c r="AH2132" s="108" t="s">
        <v>58</v>
      </c>
      <c r="AI2132" s="128" t="s">
        <v>34</v>
      </c>
      <c r="AJ2132" s="129" t="s">
        <v>89</v>
      </c>
      <c r="AK2132" s="129">
        <v>20</v>
      </c>
      <c r="AL2132" s="3" t="s">
        <v>362</v>
      </c>
      <c r="AM2132" s="117">
        <v>2</v>
      </c>
      <c r="AP2132" s="129" t="s">
        <v>125</v>
      </c>
      <c r="AR2132" s="128" t="s">
        <v>50</v>
      </c>
      <c r="AS2132" s="129" t="s">
        <v>126</v>
      </c>
      <c r="AT2132" s="129" t="s">
        <v>1253</v>
      </c>
      <c r="BC2132" s="129" t="s">
        <v>52</v>
      </c>
      <c r="BF2132" s="111">
        <f t="shared" ref="BF2132:BF2179" si="1598">IF(J2132&gt;1/1/1900,((J2132+1)-I2132),"STILL OPEN")</f>
        <v>7</v>
      </c>
      <c r="BG2132" s="111">
        <f t="shared" ref="BG2132:BG2163" si="1599">IF(G2132&gt;1/1/1900,((G2132+1)-I2132),"STILL OPEN")</f>
        <v>453</v>
      </c>
      <c r="BH2132" s="111">
        <f t="shared" si="1571"/>
        <v>461</v>
      </c>
      <c r="BI2132" s="111">
        <f t="shared" si="1572"/>
        <v>21.199453551912569</v>
      </c>
      <c r="BJ2132" s="129">
        <f>(G2132-J2132)+(M2132-G2132)</f>
        <v>0</v>
      </c>
      <c r="BK2132" s="129">
        <f t="shared" si="1573"/>
        <v>-446</v>
      </c>
      <c r="BL2132" s="129" t="str">
        <f t="shared" si="1557"/>
        <v>CONVICTION</v>
      </c>
      <c r="BM2132" s="129" t="s">
        <v>76</v>
      </c>
      <c r="BN2132" s="129" t="s">
        <v>566</v>
      </c>
      <c r="BP2132" s="137" t="str">
        <f t="shared" si="1579"/>
        <v>CONVICTION</v>
      </c>
      <c r="BQ2132" s="128" t="str">
        <f t="shared" si="1580"/>
        <v>Y</v>
      </c>
      <c r="BR2132" s="129" t="str">
        <f>IF(J2132&lt;G2132,"ON BOND",0)</f>
        <v>ON BOND</v>
      </c>
      <c r="BS2132" s="129" t="str">
        <f t="shared" si="1582"/>
        <v>DISPOSED</v>
      </c>
      <c r="BT2132" s="129" t="str">
        <f t="shared" si="1583"/>
        <v>N</v>
      </c>
      <c r="BU2132" s="109">
        <f t="shared" si="1584"/>
        <v>1.5184381778741865E-2</v>
      </c>
      <c r="BV2132" s="109">
        <f t="shared" si="1585"/>
        <v>1.5452538631346579E-2</v>
      </c>
      <c r="BW2132" s="109">
        <f t="shared" si="1596"/>
        <v>2.6815685260471456E-4</v>
      </c>
      <c r="BX2132" s="111">
        <f t="shared" si="1586"/>
        <v>0</v>
      </c>
      <c r="BY2132" s="129">
        <f t="shared" si="1587"/>
        <v>-7</v>
      </c>
      <c r="BZ2132" s="111">
        <f t="shared" si="1588"/>
        <v>0</v>
      </c>
      <c r="CA2132" s="138">
        <f t="shared" si="1589"/>
        <v>7</v>
      </c>
      <c r="CB2132" s="111" t="e">
        <f t="shared" ref="CB2132:CB2179" si="1600">IF(AF2132&gt;1/1/1900,((AF2132+1)-AE2132),"STILL OPEN")</f>
        <v>#VALUE!</v>
      </c>
      <c r="CC2132" s="129">
        <f>M2132-I2132+1</f>
        <v>7</v>
      </c>
      <c r="CD2132" s="111">
        <f>CC2132-BF2132</f>
        <v>0</v>
      </c>
      <c r="CG2132" s="129" t="str">
        <f t="shared" si="1590"/>
        <v>Y</v>
      </c>
      <c r="CI2132" s="129" t="str">
        <f t="shared" si="1591"/>
        <v>0-10 DAYS</v>
      </c>
      <c r="CJ2132" s="137">
        <f t="shared" si="1592"/>
        <v>1</v>
      </c>
      <c r="CK2132" s="129" t="str">
        <f t="shared" si="1593"/>
        <v>Booked</v>
      </c>
    </row>
    <row r="2133" spans="1:89" ht="15" customHeight="1" x14ac:dyDescent="0.25">
      <c r="A2133" s="111">
        <v>2196</v>
      </c>
      <c r="B2133" s="128" t="str">
        <f t="shared" si="1574"/>
        <v>N</v>
      </c>
      <c r="C2133" s="128" t="str">
        <f t="shared" si="1575"/>
        <v>N</v>
      </c>
      <c r="D2133" s="117">
        <v>2435382</v>
      </c>
      <c r="E2133" s="135">
        <f t="shared" si="1576"/>
        <v>5</v>
      </c>
      <c r="F2133" s="124">
        <v>40991</v>
      </c>
      <c r="G2133" s="125">
        <v>41024</v>
      </c>
      <c r="H2133" s="117">
        <v>2435382</v>
      </c>
      <c r="I2133" s="124">
        <v>40991</v>
      </c>
      <c r="J2133" s="124">
        <v>41024</v>
      </c>
      <c r="K2133" s="126">
        <v>15000</v>
      </c>
      <c r="L2133" s="127" t="s">
        <v>571</v>
      </c>
      <c r="N2133" s="129" t="str">
        <f t="shared" si="1597"/>
        <v>N</v>
      </c>
      <c r="O2133" s="128" t="s">
        <v>917</v>
      </c>
      <c r="P2133" s="129" t="s">
        <v>39</v>
      </c>
      <c r="Q2133" s="111">
        <f t="shared" si="1570"/>
        <v>34</v>
      </c>
      <c r="R2133" s="111">
        <f t="shared" si="1595"/>
        <v>34</v>
      </c>
      <c r="S2133" s="129">
        <v>2</v>
      </c>
      <c r="T2133" s="129">
        <v>2</v>
      </c>
      <c r="W2133" s="111"/>
      <c r="AC2133" s="130"/>
      <c r="AD2133" s="130">
        <v>33265</v>
      </c>
      <c r="AE2133" s="128" t="s">
        <v>32</v>
      </c>
      <c r="AF2133" s="128" t="s">
        <v>33</v>
      </c>
      <c r="AG2133" s="128" t="s">
        <v>872</v>
      </c>
      <c r="AH2133" s="108" t="s">
        <v>58</v>
      </c>
      <c r="AI2133" s="128" t="s">
        <v>113</v>
      </c>
      <c r="AJ2133" s="129" t="s">
        <v>89</v>
      </c>
      <c r="AK2133" s="129">
        <v>3</v>
      </c>
      <c r="AL2133" s="3" t="s">
        <v>992</v>
      </c>
      <c r="AN2133" s="117">
        <v>6</v>
      </c>
      <c r="AP2133" s="129" t="s">
        <v>127</v>
      </c>
      <c r="AR2133" s="128" t="s">
        <v>44</v>
      </c>
      <c r="AS2133" s="129" t="s">
        <v>82</v>
      </c>
      <c r="BC2133" s="129" t="s">
        <v>38</v>
      </c>
      <c r="BF2133" s="111">
        <f t="shared" si="1598"/>
        <v>34</v>
      </c>
      <c r="BG2133" s="111">
        <f t="shared" si="1599"/>
        <v>34</v>
      </c>
      <c r="BH2133" s="111">
        <f t="shared" si="1571"/>
        <v>34</v>
      </c>
      <c r="BI2133" s="111">
        <f t="shared" si="1572"/>
        <v>21.10928961748634</v>
      </c>
      <c r="BJ2133" s="129">
        <f t="shared" si="1577"/>
        <v>0</v>
      </c>
      <c r="BK2133" s="129">
        <f t="shared" si="1573"/>
        <v>0</v>
      </c>
      <c r="BL2133" s="129" t="str">
        <f t="shared" ref="BL2133:BL2196" si="1601">IF(OR(AL2133="AQUITTAL",AL2133="DISMISSED",AL2133="FINE",AL2133="NO BILL"),"NO CONVICTION",IF(OR(AL2133="HCJ",AL2133="MHH",AL2133="PROBATION",AL2133="STJ",AL2133="TDC"),"CONVICTION",IF(AL2133="DEFERRED","DEFERRED",0)))</f>
        <v>CONVICTION</v>
      </c>
      <c r="BM2133" s="129" t="str">
        <f t="shared" si="1578"/>
        <v>NONE</v>
      </c>
      <c r="BN2133" s="129" t="s">
        <v>566</v>
      </c>
      <c r="BP2133" s="137" t="str">
        <f t="shared" si="1579"/>
        <v>CONVICTION</v>
      </c>
      <c r="BQ2133" s="128" t="str">
        <f t="shared" si="1580"/>
        <v>Y</v>
      </c>
      <c r="BR2133" s="129" t="str">
        <f t="shared" si="1581"/>
        <v>DETAINED</v>
      </c>
      <c r="BS2133" s="129" t="str">
        <f t="shared" si="1582"/>
        <v>DISPOSED</v>
      </c>
      <c r="BT2133" s="129" t="str">
        <f t="shared" si="1583"/>
        <v>Y</v>
      </c>
      <c r="BU2133" s="109">
        <f t="shared" si="1584"/>
        <v>1</v>
      </c>
      <c r="BV2133" s="109">
        <f t="shared" si="1585"/>
        <v>1</v>
      </c>
      <c r="BW2133" s="109">
        <f t="shared" si="1596"/>
        <v>0</v>
      </c>
      <c r="BX2133" s="111">
        <f t="shared" si="1586"/>
        <v>0</v>
      </c>
      <c r="BY2133" s="129">
        <f t="shared" si="1587"/>
        <v>-34</v>
      </c>
      <c r="BZ2133" s="111">
        <f t="shared" si="1588"/>
        <v>0</v>
      </c>
      <c r="CA2133" s="138">
        <f t="shared" si="1589"/>
        <v>34</v>
      </c>
      <c r="CB2133" s="111" t="e">
        <f t="shared" si="1600"/>
        <v>#VALUE!</v>
      </c>
      <c r="CC2133" s="129">
        <f>G2133-I2133+1</f>
        <v>34</v>
      </c>
      <c r="CD2133" s="129">
        <f>G2133-J2133</f>
        <v>0</v>
      </c>
      <c r="CG2133" s="129" t="str">
        <f t="shared" si="1590"/>
        <v>Y</v>
      </c>
      <c r="CI2133" s="129" t="str">
        <f t="shared" si="1591"/>
        <v>31-60 DAYS</v>
      </c>
      <c r="CJ2133" s="137">
        <f t="shared" si="1592"/>
        <v>3</v>
      </c>
      <c r="CK2133" s="129" t="str">
        <f t="shared" si="1593"/>
        <v>Booked</v>
      </c>
    </row>
    <row r="2134" spans="1:89" ht="15" customHeight="1" x14ac:dyDescent="0.25">
      <c r="A2134" s="111">
        <v>478</v>
      </c>
      <c r="B2134" s="128" t="str">
        <f t="shared" si="1574"/>
        <v>N</v>
      </c>
      <c r="C2134" s="128" t="str">
        <f t="shared" si="1575"/>
        <v>N</v>
      </c>
      <c r="D2134" s="117">
        <v>2436361</v>
      </c>
      <c r="E2134" s="135">
        <f t="shared" si="1576"/>
        <v>4</v>
      </c>
      <c r="F2134" s="124">
        <v>40928</v>
      </c>
      <c r="G2134" s="125">
        <v>41109</v>
      </c>
      <c r="H2134" s="117">
        <v>2436361</v>
      </c>
      <c r="I2134" s="124">
        <v>40928</v>
      </c>
      <c r="J2134" s="124">
        <v>40928</v>
      </c>
      <c r="K2134" s="126">
        <v>5000</v>
      </c>
      <c r="L2134" s="127" t="s">
        <v>569</v>
      </c>
      <c r="M2134" s="125">
        <v>40928</v>
      </c>
      <c r="N2134" s="129" t="str">
        <f t="shared" si="1597"/>
        <v>Y</v>
      </c>
      <c r="O2134" s="128" t="s">
        <v>76</v>
      </c>
      <c r="P2134" s="129" t="s">
        <v>39</v>
      </c>
      <c r="Q2134" s="111">
        <f t="shared" si="1570"/>
        <v>1</v>
      </c>
      <c r="R2134" s="111">
        <f t="shared" si="1595"/>
        <v>182</v>
      </c>
      <c r="S2134" s="129">
        <v>0</v>
      </c>
      <c r="T2134" s="129">
        <v>1</v>
      </c>
      <c r="W2134" s="111"/>
      <c r="AC2134" s="130"/>
      <c r="AD2134" s="130">
        <v>33052</v>
      </c>
      <c r="AE2134" s="128" t="s">
        <v>46</v>
      </c>
      <c r="AF2134" s="128" t="s">
        <v>69</v>
      </c>
      <c r="AG2134" s="128" t="s">
        <v>874</v>
      </c>
      <c r="AH2134" s="108" t="s">
        <v>31</v>
      </c>
      <c r="AI2134" s="128" t="s">
        <v>42</v>
      </c>
      <c r="AJ2134" s="129" t="s">
        <v>89</v>
      </c>
      <c r="AK2134" s="129">
        <v>7</v>
      </c>
      <c r="AL2134" s="3" t="s">
        <v>991</v>
      </c>
      <c r="AO2134" s="128">
        <v>30</v>
      </c>
      <c r="AP2134" s="129" t="s">
        <v>213</v>
      </c>
      <c r="AR2134" s="128" t="s">
        <v>67</v>
      </c>
      <c r="AS2134" s="129" t="s">
        <v>64</v>
      </c>
      <c r="BC2134" s="129" t="s">
        <v>52</v>
      </c>
      <c r="BF2134" s="111">
        <f t="shared" si="1598"/>
        <v>1</v>
      </c>
      <c r="BG2134" s="111">
        <f t="shared" si="1599"/>
        <v>182</v>
      </c>
      <c r="BH2134" s="111">
        <f t="shared" si="1571"/>
        <v>182</v>
      </c>
      <c r="BI2134" s="111">
        <f t="shared" si="1572"/>
        <v>21.519125683060111</v>
      </c>
      <c r="BJ2134" s="129">
        <f>(G2134-J2134)+(M2134-G2134)</f>
        <v>0</v>
      </c>
      <c r="BK2134" s="129">
        <f t="shared" si="1573"/>
        <v>-181</v>
      </c>
      <c r="BL2134" s="129" t="str">
        <f t="shared" si="1601"/>
        <v>CONVICTION</v>
      </c>
      <c r="BM2134" s="129" t="s">
        <v>76</v>
      </c>
      <c r="BN2134" s="129" t="s">
        <v>88</v>
      </c>
      <c r="BP2134" s="137" t="str">
        <f t="shared" si="1579"/>
        <v>CONVICTION</v>
      </c>
      <c r="BQ2134" s="128" t="str">
        <f t="shared" si="1580"/>
        <v>Y</v>
      </c>
      <c r="BR2134" s="129" t="str">
        <f>IF(J2134&lt;G2134,"ON BOND",0)</f>
        <v>ON BOND</v>
      </c>
      <c r="BS2134" s="129" t="str">
        <f t="shared" si="1582"/>
        <v>DISPOSED</v>
      </c>
      <c r="BT2134" s="129" t="str">
        <f t="shared" si="1583"/>
        <v>N</v>
      </c>
      <c r="BU2134" s="109">
        <f t="shared" si="1584"/>
        <v>5.4945054945054949E-3</v>
      </c>
      <c r="BV2134" s="109">
        <f t="shared" si="1585"/>
        <v>5.4945054945054949E-3</v>
      </c>
      <c r="BW2134" s="109">
        <f t="shared" si="1596"/>
        <v>0</v>
      </c>
      <c r="BX2134" s="111">
        <f t="shared" si="1586"/>
        <v>0</v>
      </c>
      <c r="BY2134" s="129">
        <f t="shared" si="1587"/>
        <v>-1</v>
      </c>
      <c r="BZ2134" s="111">
        <f t="shared" si="1588"/>
        <v>0</v>
      </c>
      <c r="CA2134" s="138">
        <f t="shared" si="1589"/>
        <v>1</v>
      </c>
      <c r="CB2134" s="111" t="e">
        <f t="shared" si="1600"/>
        <v>#VALUE!</v>
      </c>
      <c r="CC2134" s="129">
        <f>M2134-I2134+1</f>
        <v>1</v>
      </c>
      <c r="CD2134" s="111">
        <f>CC2134-BF2134</f>
        <v>0</v>
      </c>
      <c r="CG2134" s="129" t="str">
        <f t="shared" si="1590"/>
        <v>Y</v>
      </c>
      <c r="CI2134" s="129" t="str">
        <f t="shared" si="1591"/>
        <v>0-10 DAYS</v>
      </c>
      <c r="CJ2134" s="137">
        <f t="shared" si="1592"/>
        <v>1</v>
      </c>
      <c r="CK2134" s="129" t="str">
        <f t="shared" si="1593"/>
        <v>Booked</v>
      </c>
    </row>
    <row r="2135" spans="1:89" ht="15.75" customHeight="1" x14ac:dyDescent="0.25">
      <c r="A2135" s="111">
        <v>453</v>
      </c>
      <c r="B2135" s="128" t="str">
        <f t="shared" si="1574"/>
        <v>N</v>
      </c>
      <c r="C2135" s="128" t="str">
        <f t="shared" si="1575"/>
        <v>N</v>
      </c>
      <c r="D2135" s="117">
        <v>2436866</v>
      </c>
      <c r="E2135" s="135">
        <f t="shared" si="1576"/>
        <v>2</v>
      </c>
      <c r="F2135" s="124">
        <v>40927</v>
      </c>
      <c r="G2135" s="125">
        <v>41025</v>
      </c>
      <c r="H2135" s="117">
        <v>2436866</v>
      </c>
      <c r="I2135" s="124">
        <v>40927</v>
      </c>
      <c r="J2135" s="124">
        <v>41025</v>
      </c>
      <c r="K2135" s="126">
        <v>10000</v>
      </c>
      <c r="L2135" s="127" t="s">
        <v>570</v>
      </c>
      <c r="N2135" s="129" t="str">
        <f t="shared" si="1597"/>
        <v>N</v>
      </c>
      <c r="O2135" s="128" t="s">
        <v>917</v>
      </c>
      <c r="P2135" s="129" t="s">
        <v>589</v>
      </c>
      <c r="Q2135" s="111">
        <f t="shared" si="1570"/>
        <v>99</v>
      </c>
      <c r="R2135" s="111">
        <f t="shared" si="1595"/>
        <v>99</v>
      </c>
      <c r="S2135" s="129">
        <v>0</v>
      </c>
      <c r="T2135" s="129">
        <v>4</v>
      </c>
      <c r="W2135" s="111"/>
      <c r="AC2135" s="130"/>
      <c r="AD2135" s="130">
        <v>32669</v>
      </c>
      <c r="AE2135" s="128" t="s">
        <v>32</v>
      </c>
      <c r="AF2135" s="128" t="s">
        <v>33</v>
      </c>
      <c r="AG2135" s="128" t="s">
        <v>872</v>
      </c>
      <c r="AH2135" s="108" t="s">
        <v>31</v>
      </c>
      <c r="AI2135" s="128" t="s">
        <v>72</v>
      </c>
      <c r="AJ2135" s="129" t="s">
        <v>48</v>
      </c>
      <c r="AK2135" s="129">
        <v>7</v>
      </c>
      <c r="AL2135" s="3" t="s">
        <v>48</v>
      </c>
      <c r="AP2135" s="129" t="s">
        <v>56</v>
      </c>
      <c r="AR2135" s="128" t="s">
        <v>50</v>
      </c>
      <c r="AS2135" s="129" t="s">
        <v>57</v>
      </c>
      <c r="BC2135" s="129" t="s">
        <v>38</v>
      </c>
      <c r="BF2135" s="111">
        <f t="shared" si="1598"/>
        <v>99</v>
      </c>
      <c r="BG2135" s="111">
        <f t="shared" si="1599"/>
        <v>99</v>
      </c>
      <c r="BH2135" s="111">
        <f t="shared" si="1571"/>
        <v>99</v>
      </c>
      <c r="BI2135" s="111">
        <f t="shared" si="1572"/>
        <v>22.562841530054644</v>
      </c>
      <c r="BJ2135" s="129">
        <f t="shared" si="1577"/>
        <v>0</v>
      </c>
      <c r="BK2135" s="129">
        <f t="shared" si="1573"/>
        <v>0</v>
      </c>
      <c r="BL2135" s="129" t="str">
        <f t="shared" si="1601"/>
        <v>DEFERRED</v>
      </c>
      <c r="BM2135" s="129" t="str">
        <f t="shared" si="1578"/>
        <v>NONE</v>
      </c>
      <c r="BN2135" s="129" t="s">
        <v>566</v>
      </c>
      <c r="BP2135" s="137" t="str">
        <f t="shared" si="1579"/>
        <v>DEFERRED</v>
      </c>
      <c r="BQ2135" s="128" t="str">
        <f t="shared" si="1580"/>
        <v>Y</v>
      </c>
      <c r="BR2135" s="129" t="str">
        <f t="shared" si="1581"/>
        <v>DETAINED</v>
      </c>
      <c r="BS2135" s="129" t="str">
        <f t="shared" si="1582"/>
        <v>DISPOSED</v>
      </c>
      <c r="BT2135" s="129" t="str">
        <f t="shared" si="1583"/>
        <v>N</v>
      </c>
      <c r="BU2135" s="109">
        <f t="shared" si="1584"/>
        <v>1</v>
      </c>
      <c r="BV2135" s="109">
        <f t="shared" si="1585"/>
        <v>1</v>
      </c>
      <c r="BW2135" s="109">
        <f t="shared" si="1596"/>
        <v>0</v>
      </c>
      <c r="BX2135" s="111">
        <f t="shared" si="1586"/>
        <v>0</v>
      </c>
      <c r="BY2135" s="129">
        <f t="shared" si="1587"/>
        <v>-99</v>
      </c>
      <c r="BZ2135" s="111">
        <f t="shared" si="1588"/>
        <v>0</v>
      </c>
      <c r="CA2135" s="138">
        <f t="shared" si="1589"/>
        <v>99</v>
      </c>
      <c r="CB2135" s="111" t="e">
        <f t="shared" si="1600"/>
        <v>#VALUE!</v>
      </c>
      <c r="CC2135" s="129">
        <f>G2135-I2135+1</f>
        <v>99</v>
      </c>
      <c r="CD2135" s="129">
        <f>G2135-J2135</f>
        <v>0</v>
      </c>
      <c r="CG2135" s="129" t="str">
        <f t="shared" si="1590"/>
        <v>Y</v>
      </c>
      <c r="CI2135" s="129" t="str">
        <f t="shared" si="1591"/>
        <v>91-120 DAYS</v>
      </c>
      <c r="CJ2135" s="137">
        <f t="shared" si="1592"/>
        <v>0</v>
      </c>
      <c r="CK2135" s="129" t="str">
        <f t="shared" si="1593"/>
        <v>Booked</v>
      </c>
    </row>
    <row r="2136" spans="1:89" ht="15" customHeight="1" x14ac:dyDescent="0.25">
      <c r="A2136" s="111">
        <v>2869</v>
      </c>
      <c r="B2136" s="128" t="str">
        <f t="shared" si="1574"/>
        <v>N</v>
      </c>
      <c r="C2136" s="128" t="str">
        <f t="shared" si="1575"/>
        <v>N</v>
      </c>
      <c r="D2136" s="117">
        <v>2437639</v>
      </c>
      <c r="E2136" s="135">
        <f t="shared" si="1576"/>
        <v>6</v>
      </c>
      <c r="F2136" s="124">
        <v>41015</v>
      </c>
      <c r="G2136" s="125">
        <v>41037</v>
      </c>
      <c r="H2136" s="117">
        <v>2437639</v>
      </c>
      <c r="I2136" s="124">
        <v>41019</v>
      </c>
      <c r="J2136" s="124">
        <v>41037</v>
      </c>
      <c r="K2136" s="126">
        <v>10000</v>
      </c>
      <c r="L2136" s="127" t="s">
        <v>570</v>
      </c>
      <c r="N2136" s="129" t="str">
        <f t="shared" si="1597"/>
        <v>N</v>
      </c>
      <c r="O2136" s="128" t="s">
        <v>917</v>
      </c>
      <c r="P2136" s="129" t="s">
        <v>39</v>
      </c>
      <c r="Q2136" s="111">
        <f t="shared" si="1570"/>
        <v>19</v>
      </c>
      <c r="R2136" s="111">
        <f t="shared" si="1595"/>
        <v>23</v>
      </c>
      <c r="S2136" s="129">
        <v>1</v>
      </c>
      <c r="T2136" s="129">
        <v>0</v>
      </c>
      <c r="U2136" s="129">
        <v>1</v>
      </c>
      <c r="W2136" s="111"/>
      <c r="AC2136" s="130"/>
      <c r="AD2136" s="130">
        <v>31923</v>
      </c>
      <c r="AE2136" s="128" t="s">
        <v>32</v>
      </c>
      <c r="AF2136" s="128" t="s">
        <v>33</v>
      </c>
      <c r="AG2136" s="128" t="s">
        <v>872</v>
      </c>
      <c r="AH2136" s="108" t="s">
        <v>58</v>
      </c>
      <c r="AI2136" s="128" t="s">
        <v>113</v>
      </c>
      <c r="AJ2136" s="129" t="s">
        <v>89</v>
      </c>
      <c r="AK2136" s="129">
        <v>3</v>
      </c>
      <c r="AL2136" s="3" t="s">
        <v>362</v>
      </c>
      <c r="AM2136" s="117">
        <v>2</v>
      </c>
      <c r="AP2136" s="129" t="s">
        <v>170</v>
      </c>
      <c r="AR2136" s="128" t="s">
        <v>67</v>
      </c>
      <c r="AS2136" s="129" t="s">
        <v>64</v>
      </c>
      <c r="BC2136" s="129" t="s">
        <v>38</v>
      </c>
      <c r="BF2136" s="111">
        <f t="shared" si="1598"/>
        <v>19</v>
      </c>
      <c r="BG2136" s="111">
        <f t="shared" si="1599"/>
        <v>19</v>
      </c>
      <c r="BH2136" s="111">
        <f t="shared" si="1571"/>
        <v>23</v>
      </c>
      <c r="BI2136" s="111">
        <f t="shared" si="1572"/>
        <v>24.84153005464481</v>
      </c>
      <c r="BJ2136" s="129">
        <f t="shared" si="1577"/>
        <v>0</v>
      </c>
      <c r="BK2136" s="129">
        <f t="shared" si="1573"/>
        <v>0</v>
      </c>
      <c r="BL2136" s="129" t="str">
        <f t="shared" si="1601"/>
        <v>CONVICTION</v>
      </c>
      <c r="BM2136" s="129" t="str">
        <f t="shared" si="1578"/>
        <v>NONE</v>
      </c>
      <c r="BN2136" s="129" t="s">
        <v>566</v>
      </c>
      <c r="BP2136" s="137" t="str">
        <f t="shared" si="1579"/>
        <v>CONVICTION</v>
      </c>
      <c r="BQ2136" s="128" t="str">
        <f t="shared" si="1580"/>
        <v>Y</v>
      </c>
      <c r="BR2136" s="129" t="str">
        <f t="shared" si="1581"/>
        <v>DETAINED</v>
      </c>
      <c r="BS2136" s="129" t="str">
        <f t="shared" si="1582"/>
        <v>DISPOSED</v>
      </c>
      <c r="BT2136" s="129" t="str">
        <f t="shared" si="1583"/>
        <v>Y</v>
      </c>
      <c r="BU2136" s="109">
        <f t="shared" si="1584"/>
        <v>0.82608695652173914</v>
      </c>
      <c r="BV2136" s="109">
        <f t="shared" si="1585"/>
        <v>1</v>
      </c>
      <c r="BW2136" s="109">
        <f t="shared" si="1596"/>
        <v>0.17391304347826086</v>
      </c>
      <c r="BX2136" s="111">
        <f t="shared" si="1586"/>
        <v>0</v>
      </c>
      <c r="BY2136" s="129">
        <f t="shared" si="1587"/>
        <v>-19</v>
      </c>
      <c r="BZ2136" s="111">
        <f t="shared" si="1588"/>
        <v>0</v>
      </c>
      <c r="CA2136" s="138">
        <f t="shared" si="1589"/>
        <v>19</v>
      </c>
      <c r="CB2136" s="111" t="e">
        <f t="shared" si="1600"/>
        <v>#VALUE!</v>
      </c>
      <c r="CC2136" s="129">
        <f>G2136-I2136+1</f>
        <v>19</v>
      </c>
      <c r="CD2136" s="129">
        <f>G2136-J2136</f>
        <v>0</v>
      </c>
      <c r="CG2136" s="129" t="str">
        <f t="shared" si="1590"/>
        <v>Y</v>
      </c>
      <c r="CI2136" s="129" t="str">
        <f t="shared" si="1591"/>
        <v>11-30 DAYS</v>
      </c>
      <c r="CJ2136" s="137">
        <f t="shared" si="1592"/>
        <v>2</v>
      </c>
      <c r="CK2136" s="129" t="str">
        <f t="shared" si="1593"/>
        <v>Booked</v>
      </c>
    </row>
    <row r="2137" spans="1:89" ht="15.75" customHeight="1" x14ac:dyDescent="0.25">
      <c r="A2137" s="111">
        <v>2948</v>
      </c>
      <c r="B2137" s="128" t="str">
        <f t="shared" si="1574"/>
        <v>N</v>
      </c>
      <c r="C2137" s="128" t="str">
        <f t="shared" si="1575"/>
        <v>N</v>
      </c>
      <c r="D2137" s="117">
        <v>2438099</v>
      </c>
      <c r="E2137" s="135">
        <f t="shared" si="1576"/>
        <v>1</v>
      </c>
      <c r="F2137" s="124">
        <v>41017</v>
      </c>
      <c r="G2137" s="125">
        <v>41071</v>
      </c>
      <c r="H2137" s="117">
        <v>2438099</v>
      </c>
      <c r="I2137" s="124">
        <v>41018</v>
      </c>
      <c r="J2137" s="124">
        <v>41021</v>
      </c>
      <c r="K2137" s="126">
        <v>2000</v>
      </c>
      <c r="L2137" s="127" t="s">
        <v>568</v>
      </c>
      <c r="M2137" s="125">
        <v>41021</v>
      </c>
      <c r="N2137" s="129" t="str">
        <f t="shared" si="1597"/>
        <v>Y</v>
      </c>
      <c r="O2137" s="128" t="s">
        <v>585</v>
      </c>
      <c r="P2137" s="129" t="s">
        <v>123</v>
      </c>
      <c r="Q2137" s="111">
        <f t="shared" si="1570"/>
        <v>4</v>
      </c>
      <c r="R2137" s="111">
        <f t="shared" si="1595"/>
        <v>55</v>
      </c>
      <c r="S2137" s="129">
        <v>0</v>
      </c>
      <c r="T2137" s="129">
        <v>1</v>
      </c>
      <c r="W2137" s="111"/>
      <c r="AC2137" s="130"/>
      <c r="AD2137" s="130">
        <v>30251</v>
      </c>
      <c r="AE2137" s="128" t="s">
        <v>32</v>
      </c>
      <c r="AF2137" s="128" t="s">
        <v>69</v>
      </c>
      <c r="AG2137" s="128" t="s">
        <v>874</v>
      </c>
      <c r="AH2137" s="108" t="s">
        <v>58</v>
      </c>
      <c r="AI2137" s="128" t="s">
        <v>53</v>
      </c>
      <c r="AJ2137" s="129" t="s">
        <v>123</v>
      </c>
      <c r="AK2137" s="129">
        <v>4</v>
      </c>
      <c r="AL2137" s="3" t="s">
        <v>123</v>
      </c>
      <c r="AP2137" s="129" t="s">
        <v>43</v>
      </c>
      <c r="AR2137" s="128" t="s">
        <v>44</v>
      </c>
      <c r="AS2137" s="129" t="s">
        <v>45</v>
      </c>
      <c r="AT2137" s="129" t="s">
        <v>504</v>
      </c>
      <c r="BC2137" s="129" t="s">
        <v>38</v>
      </c>
      <c r="BF2137" s="111">
        <f t="shared" si="1598"/>
        <v>4</v>
      </c>
      <c r="BG2137" s="111">
        <f t="shared" si="1599"/>
        <v>54</v>
      </c>
      <c r="BH2137" s="111">
        <f t="shared" si="1571"/>
        <v>55</v>
      </c>
      <c r="BI2137" s="111">
        <f t="shared" si="1572"/>
        <v>29.415300546448087</v>
      </c>
      <c r="BJ2137" s="129">
        <f>(G2137-J2137)+(M2137-G2137)</f>
        <v>0</v>
      </c>
      <c r="BK2137" s="129">
        <f t="shared" si="1573"/>
        <v>-50</v>
      </c>
      <c r="BL2137" s="129" t="str">
        <f t="shared" si="1601"/>
        <v>NO CONVICTION</v>
      </c>
      <c r="BM2137" s="129" t="s">
        <v>76</v>
      </c>
      <c r="BN2137" s="129" t="s">
        <v>88</v>
      </c>
      <c r="BP2137" s="137" t="str">
        <f t="shared" si="1579"/>
        <v>NO CONVICTION</v>
      </c>
      <c r="BQ2137" s="128" t="str">
        <f t="shared" si="1580"/>
        <v>Y</v>
      </c>
      <c r="BR2137" s="129" t="str">
        <f t="shared" si="1581"/>
        <v>ON BOND</v>
      </c>
      <c r="BS2137" s="129" t="str">
        <f t="shared" si="1582"/>
        <v>DISPOSED</v>
      </c>
      <c r="BT2137" s="129" t="str">
        <f t="shared" si="1583"/>
        <v>N</v>
      </c>
      <c r="BU2137" s="109">
        <f>IFERROR(Q2137/R2137,BR2137)</f>
        <v>7.2727272727272724E-2</v>
      </c>
      <c r="BV2137" s="109">
        <f t="shared" si="1585"/>
        <v>7.407407407407407E-2</v>
      </c>
      <c r="BW2137" s="109">
        <f t="shared" si="1596"/>
        <v>1.3468013468013462E-3</v>
      </c>
      <c r="BX2137" s="111">
        <f t="shared" si="1586"/>
        <v>0</v>
      </c>
      <c r="BY2137" s="129">
        <f t="shared" si="1587"/>
        <v>-4</v>
      </c>
      <c r="BZ2137" s="111">
        <f t="shared" si="1588"/>
        <v>0</v>
      </c>
      <c r="CA2137" s="138">
        <f t="shared" si="1589"/>
        <v>4</v>
      </c>
      <c r="CB2137" s="111" t="e">
        <f t="shared" si="1600"/>
        <v>#VALUE!</v>
      </c>
      <c r="CC2137" s="129">
        <f>M2137-I2137+1</f>
        <v>4</v>
      </c>
      <c r="CD2137" s="111">
        <f>CC2137-BF2137</f>
        <v>0</v>
      </c>
      <c r="CG2137" s="129" t="str">
        <f t="shared" si="1590"/>
        <v>Y</v>
      </c>
      <c r="CI2137" s="129" t="str">
        <f t="shared" si="1591"/>
        <v>0-10 DAYS</v>
      </c>
      <c r="CJ2137" s="137">
        <f t="shared" si="1592"/>
        <v>1</v>
      </c>
      <c r="CK2137" s="129" t="str">
        <f t="shared" si="1593"/>
        <v>Booked</v>
      </c>
    </row>
    <row r="2138" spans="1:89" ht="15.75" customHeight="1" x14ac:dyDescent="0.25">
      <c r="A2138" s="111">
        <v>819</v>
      </c>
      <c r="B2138" s="128" t="str">
        <f t="shared" si="1574"/>
        <v>N</v>
      </c>
      <c r="C2138" s="128" t="str">
        <f t="shared" si="1575"/>
        <v>Y</v>
      </c>
      <c r="D2138" s="117">
        <v>2438459</v>
      </c>
      <c r="E2138" s="135">
        <f t="shared" si="1576"/>
        <v>5</v>
      </c>
      <c r="F2138" s="124">
        <v>40940</v>
      </c>
      <c r="G2138" s="125">
        <v>41205</v>
      </c>
      <c r="H2138" s="117">
        <v>2438459</v>
      </c>
      <c r="I2138" s="124">
        <v>41054</v>
      </c>
      <c r="J2138" s="125">
        <v>41205</v>
      </c>
      <c r="K2138" s="126">
        <v>15000</v>
      </c>
      <c r="L2138" s="127" t="s">
        <v>571</v>
      </c>
      <c r="M2138" s="125">
        <v>40941</v>
      </c>
      <c r="N2138" s="129" t="str">
        <f t="shared" si="1597"/>
        <v>Y</v>
      </c>
      <c r="O2138" s="128" t="s">
        <v>76</v>
      </c>
      <c r="P2138" s="129" t="s">
        <v>39</v>
      </c>
      <c r="Q2138" s="111">
        <v>157</v>
      </c>
      <c r="R2138" s="111">
        <f t="shared" si="1595"/>
        <v>266</v>
      </c>
      <c r="S2138" s="129">
        <v>2</v>
      </c>
      <c r="T2138" s="129">
        <v>5</v>
      </c>
      <c r="U2138" s="129">
        <v>1</v>
      </c>
      <c r="W2138" s="111"/>
      <c r="AC2138" s="130"/>
      <c r="AD2138" s="130">
        <v>33793</v>
      </c>
      <c r="AE2138" s="128" t="s">
        <v>32</v>
      </c>
      <c r="AF2138" s="128" t="s">
        <v>40</v>
      </c>
      <c r="AG2138" s="128" t="s">
        <v>41</v>
      </c>
      <c r="AH2138" s="108" t="s">
        <v>41</v>
      </c>
      <c r="AI2138" s="128" t="s">
        <v>141</v>
      </c>
      <c r="AJ2138" s="129" t="s">
        <v>89</v>
      </c>
      <c r="AK2138" s="129">
        <v>14</v>
      </c>
      <c r="AL2138" s="3" t="s">
        <v>992</v>
      </c>
      <c r="AN2138" s="117">
        <v>8</v>
      </c>
      <c r="AP2138" s="129" t="s">
        <v>108</v>
      </c>
      <c r="AR2138" s="128" t="s">
        <v>44</v>
      </c>
      <c r="AS2138" s="129" t="s">
        <v>61</v>
      </c>
      <c r="AU2138" s="121">
        <v>41054</v>
      </c>
      <c r="AX2138" s="129" t="s">
        <v>88</v>
      </c>
      <c r="BC2138" s="129" t="s">
        <v>38</v>
      </c>
      <c r="BF2138" s="111">
        <v>157</v>
      </c>
      <c r="BG2138" s="111">
        <f t="shared" si="1599"/>
        <v>152</v>
      </c>
      <c r="BH2138" s="111">
        <f t="shared" si="1571"/>
        <v>266</v>
      </c>
      <c r="BI2138" s="111">
        <f t="shared" si="1572"/>
        <v>19.527322404371585</v>
      </c>
      <c r="BJ2138" s="129">
        <f>G2138-J2138</f>
        <v>0</v>
      </c>
      <c r="BK2138" s="129">
        <f t="shared" si="1573"/>
        <v>0</v>
      </c>
      <c r="BL2138" s="129" t="str">
        <f t="shared" si="1601"/>
        <v>CONVICTION</v>
      </c>
      <c r="BM2138" s="129" t="s">
        <v>76</v>
      </c>
      <c r="BN2138" s="129" t="s">
        <v>88</v>
      </c>
      <c r="BP2138" s="137" t="str">
        <f t="shared" si="1579"/>
        <v>CONVICTION</v>
      </c>
      <c r="BQ2138" s="128" t="str">
        <f t="shared" si="1580"/>
        <v>Y</v>
      </c>
      <c r="BR2138" s="129" t="s">
        <v>574</v>
      </c>
      <c r="BS2138" s="129" t="str">
        <f t="shared" si="1582"/>
        <v>DISPOSED</v>
      </c>
      <c r="BT2138" s="129" t="str">
        <f t="shared" si="1583"/>
        <v>Y</v>
      </c>
      <c r="BU2138" s="109">
        <f t="shared" si="1584"/>
        <v>0.59022556390977443</v>
      </c>
      <c r="BV2138" s="109">
        <f t="shared" si="1585"/>
        <v>1</v>
      </c>
      <c r="BW2138" s="109">
        <f t="shared" si="1596"/>
        <v>0.40977443609022557</v>
      </c>
      <c r="BX2138" s="111">
        <f t="shared" si="1586"/>
        <v>0</v>
      </c>
      <c r="BY2138" s="129">
        <f t="shared" si="1587"/>
        <v>-152</v>
      </c>
      <c r="BZ2138" s="111">
        <f t="shared" si="1588"/>
        <v>5</v>
      </c>
      <c r="CA2138" s="138">
        <f t="shared" si="1589"/>
        <v>152</v>
      </c>
      <c r="CB2138" s="111">
        <v>157</v>
      </c>
      <c r="CC2138" s="129">
        <f>G2138-I2138+1</f>
        <v>152</v>
      </c>
      <c r="CD2138" s="129">
        <f>G2138-J2138</f>
        <v>0</v>
      </c>
      <c r="CG2138" s="129" t="str">
        <f t="shared" si="1590"/>
        <v>Y</v>
      </c>
      <c r="CI2138" s="129" t="str">
        <f t="shared" si="1591"/>
        <v>121-365 DAYS</v>
      </c>
      <c r="CJ2138" s="137">
        <f t="shared" si="1592"/>
        <v>6</v>
      </c>
      <c r="CK2138" s="129" t="str">
        <f t="shared" si="1593"/>
        <v>Booked</v>
      </c>
    </row>
    <row r="2139" spans="1:89" ht="15.75" customHeight="1" x14ac:dyDescent="0.25">
      <c r="A2139" s="111">
        <v>3198</v>
      </c>
      <c r="B2139" s="128" t="str">
        <f t="shared" si="1574"/>
        <v>N</v>
      </c>
      <c r="C2139" s="128" t="str">
        <f t="shared" si="1575"/>
        <v>N</v>
      </c>
      <c r="D2139" s="117">
        <v>2439269</v>
      </c>
      <c r="E2139" s="135">
        <f t="shared" si="1576"/>
        <v>2</v>
      </c>
      <c r="F2139" s="124">
        <v>41026</v>
      </c>
      <c r="G2139" s="125">
        <v>41092</v>
      </c>
      <c r="H2139" s="117">
        <v>2439269</v>
      </c>
      <c r="I2139" s="124">
        <v>41031</v>
      </c>
      <c r="J2139" s="124">
        <v>41092</v>
      </c>
      <c r="K2139" s="126">
        <v>30000</v>
      </c>
      <c r="L2139" s="129" t="s">
        <v>572</v>
      </c>
      <c r="N2139" s="129" t="str">
        <f t="shared" si="1597"/>
        <v>N</v>
      </c>
      <c r="O2139" s="128" t="s">
        <v>917</v>
      </c>
      <c r="P2139" s="129" t="s">
        <v>589</v>
      </c>
      <c r="Q2139" s="111">
        <f t="shared" si="1570"/>
        <v>62</v>
      </c>
      <c r="R2139" s="111">
        <f t="shared" si="1595"/>
        <v>67</v>
      </c>
      <c r="S2139" s="129">
        <v>0</v>
      </c>
      <c r="T2139" s="129">
        <v>1</v>
      </c>
      <c r="W2139" s="111"/>
      <c r="AC2139" s="130"/>
      <c r="AD2139" s="130">
        <v>33526</v>
      </c>
      <c r="AE2139" s="128" t="s">
        <v>32</v>
      </c>
      <c r="AF2139" s="128" t="s">
        <v>33</v>
      </c>
      <c r="AG2139" s="128" t="s">
        <v>872</v>
      </c>
      <c r="AH2139" s="108" t="s">
        <v>31</v>
      </c>
      <c r="AI2139" s="128" t="s">
        <v>113</v>
      </c>
      <c r="AJ2139" s="129" t="s">
        <v>48</v>
      </c>
      <c r="AK2139" s="129">
        <v>6</v>
      </c>
      <c r="AL2139" s="3" t="s">
        <v>48</v>
      </c>
      <c r="AP2139" s="129" t="s">
        <v>73</v>
      </c>
      <c r="AR2139" s="128" t="s">
        <v>50</v>
      </c>
      <c r="AS2139" s="129" t="s">
        <v>74</v>
      </c>
      <c r="BC2139" s="129" t="s">
        <v>52</v>
      </c>
      <c r="BF2139" s="111">
        <f t="shared" si="1598"/>
        <v>62</v>
      </c>
      <c r="BG2139" s="111">
        <f t="shared" si="1599"/>
        <v>62</v>
      </c>
      <c r="BH2139" s="111">
        <f t="shared" si="1571"/>
        <v>67</v>
      </c>
      <c r="BI2139" s="111">
        <f t="shared" si="1572"/>
        <v>20.491803278688526</v>
      </c>
      <c r="BJ2139" s="129">
        <f t="shared" si="1577"/>
        <v>0</v>
      </c>
      <c r="BK2139" s="129">
        <f t="shared" si="1573"/>
        <v>0</v>
      </c>
      <c r="BL2139" s="129" t="str">
        <f t="shared" si="1601"/>
        <v>DEFERRED</v>
      </c>
      <c r="BM2139" s="129" t="str">
        <f t="shared" si="1578"/>
        <v>NONE</v>
      </c>
      <c r="BN2139" s="129" t="s">
        <v>566</v>
      </c>
      <c r="BP2139" s="137" t="str">
        <f t="shared" si="1579"/>
        <v>DEFERRED</v>
      </c>
      <c r="BQ2139" s="128" t="str">
        <f t="shared" si="1580"/>
        <v>Y</v>
      </c>
      <c r="BR2139" s="129" t="str">
        <f t="shared" si="1581"/>
        <v>DETAINED</v>
      </c>
      <c r="BS2139" s="129" t="str">
        <f t="shared" si="1582"/>
        <v>DISPOSED</v>
      </c>
      <c r="BT2139" s="129" t="str">
        <f t="shared" si="1583"/>
        <v>N</v>
      </c>
      <c r="BU2139" s="109">
        <f t="shared" si="1584"/>
        <v>0.92537313432835822</v>
      </c>
      <c r="BV2139" s="109">
        <f t="shared" si="1585"/>
        <v>1</v>
      </c>
      <c r="BW2139" s="109">
        <f t="shared" si="1596"/>
        <v>7.4626865671641784E-2</v>
      </c>
      <c r="BX2139" s="111">
        <f t="shared" si="1586"/>
        <v>0</v>
      </c>
      <c r="BY2139" s="129">
        <f t="shared" si="1587"/>
        <v>-62</v>
      </c>
      <c r="BZ2139" s="111">
        <f t="shared" si="1588"/>
        <v>0</v>
      </c>
      <c r="CA2139" s="138">
        <f t="shared" si="1589"/>
        <v>62</v>
      </c>
      <c r="CB2139" s="111" t="e">
        <f t="shared" si="1600"/>
        <v>#VALUE!</v>
      </c>
      <c r="CC2139" s="129">
        <f>G2139-I2139+1</f>
        <v>62</v>
      </c>
      <c r="CD2139" s="129">
        <f>G2139-J2139</f>
        <v>0</v>
      </c>
      <c r="CG2139" s="129" t="str">
        <f t="shared" si="1590"/>
        <v>Y</v>
      </c>
      <c r="CI2139" s="129" t="str">
        <f t="shared" si="1591"/>
        <v>61-90 DAYS</v>
      </c>
      <c r="CJ2139" s="137">
        <f t="shared" si="1592"/>
        <v>4</v>
      </c>
      <c r="CK2139" s="129" t="str">
        <f t="shared" si="1593"/>
        <v>Booked</v>
      </c>
    </row>
    <row r="2140" spans="1:89" ht="15.75" customHeight="1" x14ac:dyDescent="0.25">
      <c r="A2140" s="111">
        <v>252</v>
      </c>
      <c r="B2140" s="128" t="str">
        <f t="shared" si="1574"/>
        <v>N</v>
      </c>
      <c r="C2140" s="128" t="str">
        <f t="shared" si="1575"/>
        <v>N</v>
      </c>
      <c r="D2140" s="117">
        <v>2439395</v>
      </c>
      <c r="E2140" s="135">
        <f t="shared" si="1576"/>
        <v>5</v>
      </c>
      <c r="F2140" s="124">
        <v>40919</v>
      </c>
      <c r="G2140" s="125">
        <v>41050</v>
      </c>
      <c r="H2140" s="117">
        <v>2439395</v>
      </c>
      <c r="I2140" s="124">
        <v>40919</v>
      </c>
      <c r="J2140" s="124">
        <v>41050</v>
      </c>
      <c r="K2140" s="126">
        <v>15000</v>
      </c>
      <c r="L2140" s="127" t="s">
        <v>571</v>
      </c>
      <c r="N2140" s="129" t="str">
        <f t="shared" si="1597"/>
        <v>N</v>
      </c>
      <c r="O2140" s="128" t="s">
        <v>917</v>
      </c>
      <c r="P2140" s="129" t="s">
        <v>39</v>
      </c>
      <c r="Q2140" s="111">
        <f t="shared" si="1570"/>
        <v>132</v>
      </c>
      <c r="R2140" s="111">
        <f t="shared" si="1595"/>
        <v>132</v>
      </c>
      <c r="S2140" s="129">
        <v>4</v>
      </c>
      <c r="T2140" s="129">
        <v>1</v>
      </c>
      <c r="U2140" s="129">
        <v>1</v>
      </c>
      <c r="W2140" s="111"/>
      <c r="AC2140" s="130"/>
      <c r="AD2140" s="130">
        <v>32405</v>
      </c>
      <c r="AE2140" s="128" t="s">
        <v>32</v>
      </c>
      <c r="AF2140" s="128" t="s">
        <v>33</v>
      </c>
      <c r="AG2140" s="128" t="s">
        <v>872</v>
      </c>
      <c r="AH2140" s="108" t="s">
        <v>58</v>
      </c>
      <c r="AI2140" s="128" t="s">
        <v>141</v>
      </c>
      <c r="AJ2140" s="129" t="s">
        <v>89</v>
      </c>
      <c r="AK2140" s="129">
        <v>7</v>
      </c>
      <c r="AL2140" s="3" t="s">
        <v>992</v>
      </c>
      <c r="AN2140" s="117">
        <v>10</v>
      </c>
      <c r="AP2140" s="129" t="s">
        <v>108</v>
      </c>
      <c r="AR2140" s="128" t="s">
        <v>44</v>
      </c>
      <c r="AS2140" s="129" t="s">
        <v>61</v>
      </c>
      <c r="BC2140" s="129" t="s">
        <v>38</v>
      </c>
      <c r="BF2140" s="111">
        <f t="shared" si="1598"/>
        <v>132</v>
      </c>
      <c r="BG2140" s="111">
        <f t="shared" si="1599"/>
        <v>132</v>
      </c>
      <c r="BH2140" s="111">
        <f t="shared" si="1571"/>
        <v>132</v>
      </c>
      <c r="BI2140" s="111">
        <f t="shared" si="1572"/>
        <v>23.262295081967213</v>
      </c>
      <c r="BJ2140" s="129">
        <f t="shared" si="1577"/>
        <v>0</v>
      </c>
      <c r="BK2140" s="129">
        <f t="shared" si="1573"/>
        <v>0</v>
      </c>
      <c r="BL2140" s="129" t="str">
        <f t="shared" si="1601"/>
        <v>CONVICTION</v>
      </c>
      <c r="BM2140" s="129" t="str">
        <f t="shared" si="1578"/>
        <v>NONE</v>
      </c>
      <c r="BN2140" s="129" t="s">
        <v>566</v>
      </c>
      <c r="BP2140" s="137" t="str">
        <f t="shared" si="1579"/>
        <v>CONVICTION</v>
      </c>
      <c r="BQ2140" s="128" t="str">
        <f t="shared" si="1580"/>
        <v>Y</v>
      </c>
      <c r="BR2140" s="129" t="str">
        <f t="shared" si="1581"/>
        <v>DETAINED</v>
      </c>
      <c r="BS2140" s="129" t="str">
        <f t="shared" si="1582"/>
        <v>DISPOSED</v>
      </c>
      <c r="BT2140" s="129" t="str">
        <f t="shared" si="1583"/>
        <v>Y</v>
      </c>
      <c r="BU2140" s="109">
        <f t="shared" si="1584"/>
        <v>1</v>
      </c>
      <c r="BV2140" s="109">
        <f t="shared" si="1585"/>
        <v>1</v>
      </c>
      <c r="BW2140" s="109">
        <f t="shared" si="1596"/>
        <v>0</v>
      </c>
      <c r="BX2140" s="111">
        <f t="shared" si="1586"/>
        <v>0</v>
      </c>
      <c r="BY2140" s="129">
        <f t="shared" si="1587"/>
        <v>-132</v>
      </c>
      <c r="BZ2140" s="111">
        <f t="shared" si="1588"/>
        <v>0</v>
      </c>
      <c r="CA2140" s="138">
        <f t="shared" si="1589"/>
        <v>132</v>
      </c>
      <c r="CB2140" s="111" t="e">
        <f t="shared" si="1600"/>
        <v>#VALUE!</v>
      </c>
      <c r="CC2140" s="129">
        <f>G2140-I2140+1</f>
        <v>132</v>
      </c>
      <c r="CD2140" s="129">
        <f>G2140-J2140</f>
        <v>0</v>
      </c>
      <c r="CG2140" s="129" t="str">
        <f t="shared" si="1590"/>
        <v>Y</v>
      </c>
      <c r="CI2140" s="129" t="str">
        <f t="shared" si="1591"/>
        <v>121-365 DAYS</v>
      </c>
      <c r="CJ2140" s="137">
        <f t="shared" si="1592"/>
        <v>6</v>
      </c>
      <c r="CK2140" s="129" t="str">
        <f t="shared" si="1593"/>
        <v>Booked</v>
      </c>
    </row>
    <row r="2141" spans="1:89" ht="15.75" customHeight="1" x14ac:dyDescent="0.25">
      <c r="A2141" s="111">
        <v>2021</v>
      </c>
      <c r="B2141" s="128" t="str">
        <f t="shared" si="1574"/>
        <v>N</v>
      </c>
      <c r="C2141" s="128" t="str">
        <f t="shared" si="1575"/>
        <v>N</v>
      </c>
      <c r="D2141" s="117">
        <v>2439883</v>
      </c>
      <c r="E2141" s="135">
        <f t="shared" si="1576"/>
        <v>3</v>
      </c>
      <c r="F2141" s="124">
        <v>40984</v>
      </c>
      <c r="G2141" s="125">
        <v>41039</v>
      </c>
      <c r="H2141" s="117">
        <v>2439883</v>
      </c>
      <c r="I2141" s="124">
        <v>40985</v>
      </c>
      <c r="J2141" s="124">
        <v>41039</v>
      </c>
      <c r="K2141" s="126">
        <v>10000</v>
      </c>
      <c r="L2141" s="127" t="s">
        <v>570</v>
      </c>
      <c r="N2141" s="129" t="str">
        <f t="shared" si="1597"/>
        <v>N</v>
      </c>
      <c r="O2141" s="128" t="s">
        <v>917</v>
      </c>
      <c r="P2141" s="129" t="s">
        <v>39</v>
      </c>
      <c r="Q2141" s="111">
        <f t="shared" si="1570"/>
        <v>55</v>
      </c>
      <c r="R2141" s="111">
        <f t="shared" si="1595"/>
        <v>56</v>
      </c>
      <c r="S2141" s="129">
        <v>0</v>
      </c>
      <c r="T2141" s="129">
        <v>2</v>
      </c>
      <c r="W2141" s="111"/>
      <c r="AC2141" s="130"/>
      <c r="AD2141" s="130">
        <v>32845</v>
      </c>
      <c r="AE2141" s="128" t="s">
        <v>32</v>
      </c>
      <c r="AF2141" s="128" t="s">
        <v>40</v>
      </c>
      <c r="AG2141" s="128" t="s">
        <v>41</v>
      </c>
      <c r="AH2141" s="108" t="s">
        <v>41</v>
      </c>
      <c r="AI2141" s="128" t="s">
        <v>100</v>
      </c>
      <c r="AJ2141" s="129" t="s">
        <v>89</v>
      </c>
      <c r="AK2141" s="129">
        <v>3</v>
      </c>
      <c r="AL2141" s="3" t="s">
        <v>185</v>
      </c>
      <c r="AP2141" s="129" t="s">
        <v>66</v>
      </c>
      <c r="AR2141" s="128" t="s">
        <v>67</v>
      </c>
      <c r="AS2141" s="129" t="s">
        <v>68</v>
      </c>
      <c r="BC2141" s="129" t="s">
        <v>52</v>
      </c>
      <c r="BF2141" s="111">
        <f t="shared" si="1598"/>
        <v>55</v>
      </c>
      <c r="BG2141" s="111">
        <f t="shared" si="1599"/>
        <v>55</v>
      </c>
      <c r="BH2141" s="111">
        <f t="shared" si="1571"/>
        <v>56</v>
      </c>
      <c r="BI2141" s="111">
        <f t="shared" si="1572"/>
        <v>22.237704918032787</v>
      </c>
      <c r="BJ2141" s="129">
        <f t="shared" si="1577"/>
        <v>0</v>
      </c>
      <c r="BK2141" s="129">
        <f t="shared" si="1573"/>
        <v>0</v>
      </c>
      <c r="BL2141" s="129" t="str">
        <f t="shared" si="1601"/>
        <v>CONVICTION</v>
      </c>
      <c r="BM2141" s="129" t="str">
        <f t="shared" si="1578"/>
        <v>NONE</v>
      </c>
      <c r="BN2141" s="129" t="s">
        <v>566</v>
      </c>
      <c r="BP2141" s="137" t="str">
        <f t="shared" si="1579"/>
        <v>CONVICTION</v>
      </c>
      <c r="BQ2141" s="128" t="str">
        <f t="shared" si="1580"/>
        <v>Y</v>
      </c>
      <c r="BR2141" s="129" t="str">
        <f t="shared" si="1581"/>
        <v>DETAINED</v>
      </c>
      <c r="BS2141" s="129" t="str">
        <f t="shared" si="1582"/>
        <v>DISPOSED</v>
      </c>
      <c r="BT2141" s="129" t="str">
        <f t="shared" si="1583"/>
        <v>N</v>
      </c>
      <c r="BU2141" s="109">
        <f t="shared" si="1584"/>
        <v>0.9821428571428571</v>
      </c>
      <c r="BV2141" s="109">
        <f t="shared" si="1585"/>
        <v>1</v>
      </c>
      <c r="BW2141" s="109">
        <f t="shared" si="1596"/>
        <v>1.7857142857142905E-2</v>
      </c>
      <c r="BX2141" s="111">
        <f t="shared" si="1586"/>
        <v>0</v>
      </c>
      <c r="BY2141" s="129">
        <f t="shared" si="1587"/>
        <v>-55</v>
      </c>
      <c r="BZ2141" s="111">
        <f t="shared" si="1588"/>
        <v>0</v>
      </c>
      <c r="CA2141" s="138">
        <f t="shared" si="1589"/>
        <v>55</v>
      </c>
      <c r="CB2141" s="111" t="e">
        <f t="shared" si="1600"/>
        <v>#VALUE!</v>
      </c>
      <c r="CC2141" s="129">
        <f>G2141-I2141+1</f>
        <v>55</v>
      </c>
      <c r="CD2141" s="129">
        <f>G2141-J2141</f>
        <v>0</v>
      </c>
      <c r="CG2141" s="129" t="str">
        <f t="shared" si="1590"/>
        <v>Y</v>
      </c>
      <c r="CI2141" s="129" t="str">
        <f t="shared" si="1591"/>
        <v>31-60 DAYS</v>
      </c>
      <c r="CJ2141" s="137">
        <f t="shared" si="1592"/>
        <v>3</v>
      </c>
      <c r="CK2141" s="129" t="str">
        <f t="shared" si="1593"/>
        <v>Booked</v>
      </c>
    </row>
    <row r="2142" spans="1:89" ht="15.75" customHeight="1" x14ac:dyDescent="0.25">
      <c r="A2142" s="111">
        <v>2502</v>
      </c>
      <c r="B2142" s="128" t="str">
        <f t="shared" si="1574"/>
        <v>N</v>
      </c>
      <c r="C2142" s="128" t="str">
        <f t="shared" si="1575"/>
        <v>N</v>
      </c>
      <c r="D2142" s="117">
        <v>2439938</v>
      </c>
      <c r="E2142" s="135">
        <f t="shared" si="1576"/>
        <v>2</v>
      </c>
      <c r="F2142" s="124">
        <v>41003</v>
      </c>
      <c r="G2142" s="125">
        <v>41109</v>
      </c>
      <c r="H2142" s="117">
        <v>2439938</v>
      </c>
      <c r="I2142" s="124">
        <v>41003</v>
      </c>
      <c r="J2142" s="124">
        <v>41004</v>
      </c>
      <c r="K2142" s="126">
        <v>5000</v>
      </c>
      <c r="L2142" s="127" t="s">
        <v>569</v>
      </c>
      <c r="M2142" s="125">
        <v>41004</v>
      </c>
      <c r="N2142" s="129" t="str">
        <f t="shared" si="1597"/>
        <v>Y</v>
      </c>
      <c r="O2142" s="128" t="s">
        <v>76</v>
      </c>
      <c r="P2142" s="129" t="s">
        <v>589</v>
      </c>
      <c r="Q2142" s="111">
        <f t="shared" si="1570"/>
        <v>2</v>
      </c>
      <c r="R2142" s="111">
        <f t="shared" si="1595"/>
        <v>107</v>
      </c>
      <c r="S2142" s="129">
        <v>0</v>
      </c>
      <c r="T2142" s="129">
        <v>0</v>
      </c>
      <c r="W2142" s="111"/>
      <c r="AC2142" s="130"/>
      <c r="AD2142" s="130">
        <v>32881</v>
      </c>
      <c r="AE2142" s="128" t="s">
        <v>32</v>
      </c>
      <c r="AF2142" s="128" t="s">
        <v>33</v>
      </c>
      <c r="AG2142" s="128" t="s">
        <v>872</v>
      </c>
      <c r="AH2142" s="108" t="s">
        <v>31</v>
      </c>
      <c r="AI2142" s="128" t="s">
        <v>34</v>
      </c>
      <c r="AJ2142" s="129" t="s">
        <v>48</v>
      </c>
      <c r="AK2142" s="129">
        <v>5</v>
      </c>
      <c r="AL2142" s="3" t="s">
        <v>48</v>
      </c>
      <c r="AP2142" s="129" t="s">
        <v>93</v>
      </c>
      <c r="AR2142" s="128" t="s">
        <v>67</v>
      </c>
      <c r="AS2142" s="129" t="s">
        <v>45</v>
      </c>
      <c r="BC2142" s="129" t="s">
        <v>52</v>
      </c>
      <c r="BF2142" s="111">
        <f t="shared" si="1598"/>
        <v>2</v>
      </c>
      <c r="BG2142" s="111">
        <f t="shared" si="1599"/>
        <v>107</v>
      </c>
      <c r="BH2142" s="111">
        <f t="shared" si="1571"/>
        <v>107</v>
      </c>
      <c r="BI2142" s="111">
        <f t="shared" si="1572"/>
        <v>22.191256830601095</v>
      </c>
      <c r="BJ2142" s="129">
        <f>(G2142-J2142)+(M2142-G2142)</f>
        <v>0</v>
      </c>
      <c r="BK2142" s="129">
        <f t="shared" si="1573"/>
        <v>-105</v>
      </c>
      <c r="BL2142" s="129" t="str">
        <f t="shared" si="1601"/>
        <v>DEFERRED</v>
      </c>
      <c r="BM2142" s="129" t="s">
        <v>76</v>
      </c>
      <c r="BN2142" s="129" t="s">
        <v>88</v>
      </c>
      <c r="BP2142" s="137" t="str">
        <f t="shared" si="1579"/>
        <v>DEFERRED</v>
      </c>
      <c r="BQ2142" s="128" t="str">
        <f t="shared" si="1580"/>
        <v>Y</v>
      </c>
      <c r="BR2142" s="129" t="str">
        <f t="shared" si="1581"/>
        <v>ON BOND</v>
      </c>
      <c r="BS2142" s="129" t="str">
        <f t="shared" si="1582"/>
        <v>DISPOSED</v>
      </c>
      <c r="BT2142" s="129" t="str">
        <f t="shared" si="1583"/>
        <v>N</v>
      </c>
      <c r="BU2142" s="109">
        <f t="shared" si="1584"/>
        <v>1.8691588785046728E-2</v>
      </c>
      <c r="BV2142" s="109">
        <f t="shared" si="1585"/>
        <v>1.8691588785046728E-2</v>
      </c>
      <c r="BW2142" s="109">
        <f t="shared" si="1596"/>
        <v>0</v>
      </c>
      <c r="BX2142" s="111">
        <f t="shared" si="1586"/>
        <v>0</v>
      </c>
      <c r="BY2142" s="129">
        <f t="shared" si="1587"/>
        <v>-2</v>
      </c>
      <c r="BZ2142" s="111">
        <f t="shared" si="1588"/>
        <v>0</v>
      </c>
      <c r="CA2142" s="138">
        <f t="shared" si="1589"/>
        <v>2</v>
      </c>
      <c r="CB2142" s="111" t="e">
        <f t="shared" si="1600"/>
        <v>#VALUE!</v>
      </c>
      <c r="CC2142" s="129">
        <f>M2142-I2142+1</f>
        <v>2</v>
      </c>
      <c r="CD2142" s="111">
        <f>CC2142-BF2142</f>
        <v>0</v>
      </c>
      <c r="CG2142" s="129" t="str">
        <f t="shared" si="1590"/>
        <v>N</v>
      </c>
      <c r="CI2142" s="129" t="str">
        <f t="shared" si="1591"/>
        <v>0-10 DAYS</v>
      </c>
      <c r="CJ2142" s="137">
        <f t="shared" si="1592"/>
        <v>1</v>
      </c>
      <c r="CK2142" s="129" t="str">
        <f t="shared" si="1593"/>
        <v>Booked</v>
      </c>
    </row>
    <row r="2143" spans="1:89" ht="15" customHeight="1" x14ac:dyDescent="0.25">
      <c r="A2143" s="111">
        <v>2259</v>
      </c>
      <c r="B2143" s="128" t="str">
        <f t="shared" si="1574"/>
        <v>N</v>
      </c>
      <c r="C2143" s="128" t="str">
        <f t="shared" si="1575"/>
        <v>N</v>
      </c>
      <c r="D2143" s="117">
        <v>2440124</v>
      </c>
      <c r="E2143" s="135">
        <f t="shared" si="1576"/>
        <v>5</v>
      </c>
      <c r="F2143" s="124">
        <v>40994</v>
      </c>
      <c r="G2143" s="125">
        <v>41002</v>
      </c>
      <c r="H2143" s="117">
        <v>2440124</v>
      </c>
      <c r="I2143" s="124">
        <v>40995</v>
      </c>
      <c r="J2143" s="124">
        <v>41002</v>
      </c>
      <c r="K2143" s="126">
        <v>5000</v>
      </c>
      <c r="L2143" s="127" t="s">
        <v>569</v>
      </c>
      <c r="N2143" s="129" t="str">
        <f t="shared" si="1597"/>
        <v>N</v>
      </c>
      <c r="O2143" s="128" t="s">
        <v>917</v>
      </c>
      <c r="P2143" s="129" t="s">
        <v>39</v>
      </c>
      <c r="Q2143" s="111">
        <f t="shared" si="1570"/>
        <v>8</v>
      </c>
      <c r="R2143" s="111">
        <f t="shared" si="1595"/>
        <v>9</v>
      </c>
      <c r="S2143" s="129">
        <v>1</v>
      </c>
      <c r="T2143" s="129">
        <v>0</v>
      </c>
      <c r="U2143" s="129">
        <v>1</v>
      </c>
      <c r="W2143" s="111"/>
      <c r="AC2143" s="130"/>
      <c r="AD2143" s="130">
        <v>29367</v>
      </c>
      <c r="AE2143" s="128" t="s">
        <v>32</v>
      </c>
      <c r="AF2143" s="128" t="s">
        <v>33</v>
      </c>
      <c r="AG2143" s="128" t="s">
        <v>872</v>
      </c>
      <c r="AH2143" s="108" t="s">
        <v>31</v>
      </c>
      <c r="AI2143" s="128" t="s">
        <v>59</v>
      </c>
      <c r="AJ2143" s="129" t="s">
        <v>89</v>
      </c>
      <c r="AK2143" s="129">
        <v>2</v>
      </c>
      <c r="AL2143" s="3" t="s">
        <v>992</v>
      </c>
      <c r="AN2143" s="117">
        <v>6</v>
      </c>
      <c r="AP2143" s="129" t="s">
        <v>43</v>
      </c>
      <c r="AR2143" s="128" t="s">
        <v>44</v>
      </c>
      <c r="AS2143" s="129" t="s">
        <v>45</v>
      </c>
      <c r="AT2143" s="129" t="s">
        <v>424</v>
      </c>
      <c r="BC2143" s="129" t="s">
        <v>38</v>
      </c>
      <c r="BF2143" s="111">
        <f t="shared" si="1598"/>
        <v>8</v>
      </c>
      <c r="BG2143" s="111">
        <f t="shared" si="1599"/>
        <v>8</v>
      </c>
      <c r="BH2143" s="111">
        <f t="shared" si="1571"/>
        <v>9</v>
      </c>
      <c r="BI2143" s="111">
        <f t="shared" si="1572"/>
        <v>31.76775956284153</v>
      </c>
      <c r="BJ2143" s="129">
        <f t="shared" si="1577"/>
        <v>0</v>
      </c>
      <c r="BK2143" s="129">
        <f t="shared" si="1573"/>
        <v>0</v>
      </c>
      <c r="BL2143" s="129" t="str">
        <f t="shared" si="1601"/>
        <v>CONVICTION</v>
      </c>
      <c r="BM2143" s="129" t="str">
        <f t="shared" si="1578"/>
        <v>NONE</v>
      </c>
      <c r="BN2143" s="129" t="s">
        <v>566</v>
      </c>
      <c r="BP2143" s="137" t="str">
        <f t="shared" si="1579"/>
        <v>CONVICTION</v>
      </c>
      <c r="BQ2143" s="128" t="str">
        <f t="shared" si="1580"/>
        <v>Y</v>
      </c>
      <c r="BR2143" s="129" t="str">
        <f t="shared" si="1581"/>
        <v>DETAINED</v>
      </c>
      <c r="BS2143" s="129" t="str">
        <f t="shared" si="1582"/>
        <v>DISPOSED</v>
      </c>
      <c r="BT2143" s="129" t="str">
        <f t="shared" si="1583"/>
        <v>Y</v>
      </c>
      <c r="BU2143" s="109">
        <f t="shared" si="1584"/>
        <v>0.88888888888888884</v>
      </c>
      <c r="BV2143" s="109">
        <f t="shared" si="1585"/>
        <v>1</v>
      </c>
      <c r="BW2143" s="109">
        <f t="shared" si="1596"/>
        <v>0.11111111111111116</v>
      </c>
      <c r="BX2143" s="111">
        <f t="shared" si="1586"/>
        <v>0</v>
      </c>
      <c r="BY2143" s="129">
        <f t="shared" si="1587"/>
        <v>-8</v>
      </c>
      <c r="BZ2143" s="111">
        <f t="shared" si="1588"/>
        <v>0</v>
      </c>
      <c r="CA2143" s="138">
        <f t="shared" si="1589"/>
        <v>8</v>
      </c>
      <c r="CB2143" s="111" t="e">
        <f t="shared" si="1600"/>
        <v>#VALUE!</v>
      </c>
      <c r="CC2143" s="129">
        <f>G2143-I2143+1</f>
        <v>8</v>
      </c>
      <c r="CD2143" s="129">
        <f>G2143-J2143</f>
        <v>0</v>
      </c>
      <c r="CG2143" s="129" t="str">
        <f t="shared" si="1590"/>
        <v>Y</v>
      </c>
      <c r="CI2143" s="129" t="str">
        <f t="shared" si="1591"/>
        <v>0-10 DAYS</v>
      </c>
      <c r="CJ2143" s="137">
        <f t="shared" si="1592"/>
        <v>1</v>
      </c>
      <c r="CK2143" s="129" t="str">
        <f t="shared" si="1593"/>
        <v>Booked</v>
      </c>
    </row>
    <row r="2144" spans="1:89" ht="15.75" customHeight="1" x14ac:dyDescent="0.25">
      <c r="A2144" s="111">
        <v>574</v>
      </c>
      <c r="B2144" s="128" t="str">
        <f t="shared" si="1574"/>
        <v>N</v>
      </c>
      <c r="C2144" s="128" t="str">
        <f t="shared" si="1575"/>
        <v>N</v>
      </c>
      <c r="D2144" s="117">
        <v>2441121</v>
      </c>
      <c r="E2144" s="135">
        <f t="shared" si="1576"/>
        <v>1</v>
      </c>
      <c r="F2144" s="124">
        <v>40931</v>
      </c>
      <c r="G2144" s="125">
        <v>41010</v>
      </c>
      <c r="H2144" s="117">
        <v>2441121</v>
      </c>
      <c r="I2144" s="124">
        <v>40932</v>
      </c>
      <c r="J2144" s="124">
        <v>40935</v>
      </c>
      <c r="K2144" s="126">
        <v>9500</v>
      </c>
      <c r="L2144" s="127" t="s">
        <v>570</v>
      </c>
      <c r="M2144" s="125">
        <v>40935</v>
      </c>
      <c r="N2144" s="129" t="str">
        <f t="shared" si="1597"/>
        <v>Y</v>
      </c>
      <c r="O2144" s="128" t="s">
        <v>76</v>
      </c>
      <c r="P2144" s="129" t="s">
        <v>55</v>
      </c>
      <c r="Q2144" s="111">
        <f t="shared" ref="Q2144:Q2175" si="1602">BF2144</f>
        <v>4</v>
      </c>
      <c r="R2144" s="111">
        <f t="shared" si="1595"/>
        <v>80</v>
      </c>
      <c r="S2144" s="129">
        <v>1</v>
      </c>
      <c r="T2144" s="129">
        <v>0</v>
      </c>
      <c r="V2144" s="117">
        <v>1</v>
      </c>
      <c r="W2144" s="111"/>
      <c r="AC2144" s="130"/>
      <c r="AD2144" s="130">
        <v>33400</v>
      </c>
      <c r="AE2144" s="128" t="s">
        <v>32</v>
      </c>
      <c r="AF2144" s="128" t="s">
        <v>40</v>
      </c>
      <c r="AG2144" s="128" t="s">
        <v>41</v>
      </c>
      <c r="AH2144" s="108" t="s">
        <v>41</v>
      </c>
      <c r="AI2144" s="128" t="s">
        <v>62</v>
      </c>
      <c r="AJ2144" s="129" t="s">
        <v>55</v>
      </c>
      <c r="AK2144" s="129">
        <v>3</v>
      </c>
      <c r="AL2144" s="3" t="s">
        <v>55</v>
      </c>
      <c r="AP2144" s="129" t="s">
        <v>84</v>
      </c>
      <c r="AR2144" s="128" t="s">
        <v>67</v>
      </c>
      <c r="AS2144" s="129" t="s">
        <v>74</v>
      </c>
      <c r="BC2144" s="129" t="s">
        <v>52</v>
      </c>
      <c r="BF2144" s="111">
        <f t="shared" si="1598"/>
        <v>4</v>
      </c>
      <c r="BG2144" s="111">
        <f t="shared" si="1599"/>
        <v>79</v>
      </c>
      <c r="BH2144" s="111">
        <f t="shared" si="1571"/>
        <v>80</v>
      </c>
      <c r="BI2144" s="111">
        <f t="shared" si="1572"/>
        <v>20.576502732240439</v>
      </c>
      <c r="BJ2144" s="129">
        <f>(G2144-J2144)+(M2144-G2144)</f>
        <v>0</v>
      </c>
      <c r="BK2144" s="129">
        <f t="shared" si="1573"/>
        <v>-75</v>
      </c>
      <c r="BL2144" s="129" t="str">
        <f t="shared" si="1601"/>
        <v>NO CONVICTION</v>
      </c>
      <c r="BM2144" s="129" t="s">
        <v>76</v>
      </c>
      <c r="BN2144" s="129" t="s">
        <v>88</v>
      </c>
      <c r="BP2144" s="137" t="str">
        <f t="shared" si="1579"/>
        <v>NO CONVICTION</v>
      </c>
      <c r="BQ2144" s="128" t="str">
        <f t="shared" si="1580"/>
        <v>Y</v>
      </c>
      <c r="BR2144" s="129" t="str">
        <f t="shared" si="1581"/>
        <v>ON BOND</v>
      </c>
      <c r="BS2144" s="129" t="str">
        <f t="shared" si="1582"/>
        <v>DISPOSED</v>
      </c>
      <c r="BT2144" s="129" t="str">
        <f t="shared" si="1583"/>
        <v>Y</v>
      </c>
      <c r="BU2144" s="109">
        <f>IFERROR(Q2144/R2144,BR2144)</f>
        <v>0.05</v>
      </c>
      <c r="BV2144" s="109">
        <f t="shared" si="1585"/>
        <v>5.0632911392405063E-2</v>
      </c>
      <c r="BW2144" s="109">
        <f t="shared" si="1596"/>
        <v>6.3291139240505973E-4</v>
      </c>
      <c r="BX2144" s="111">
        <f t="shared" si="1586"/>
        <v>0</v>
      </c>
      <c r="BY2144" s="129">
        <f t="shared" si="1587"/>
        <v>-4</v>
      </c>
      <c r="BZ2144" s="111">
        <f t="shared" si="1588"/>
        <v>0</v>
      </c>
      <c r="CA2144" s="138">
        <f t="shared" si="1589"/>
        <v>4</v>
      </c>
      <c r="CB2144" s="111" t="e">
        <f t="shared" si="1600"/>
        <v>#VALUE!</v>
      </c>
      <c r="CC2144" s="129">
        <f>M2144-I2144+1</f>
        <v>4</v>
      </c>
      <c r="CD2144" s="111">
        <f>CC2144-BF2144</f>
        <v>0</v>
      </c>
      <c r="CG2144" s="129" t="str">
        <f t="shared" si="1590"/>
        <v>Y</v>
      </c>
      <c r="CI2144" s="129" t="str">
        <f t="shared" si="1591"/>
        <v>0-10 DAYS</v>
      </c>
      <c r="CJ2144" s="137">
        <f t="shared" si="1592"/>
        <v>1</v>
      </c>
      <c r="CK2144" s="129" t="str">
        <f t="shared" si="1593"/>
        <v>Booked</v>
      </c>
    </row>
    <row r="2145" spans="1:89" ht="15.75" customHeight="1" x14ac:dyDescent="0.25">
      <c r="A2145" s="111">
        <v>1797</v>
      </c>
      <c r="B2145" s="128" t="str">
        <f t="shared" si="1574"/>
        <v>N</v>
      </c>
      <c r="C2145" s="128" t="str">
        <f t="shared" si="1575"/>
        <v>N</v>
      </c>
      <c r="D2145" s="117">
        <v>2441929</v>
      </c>
      <c r="E2145" s="135">
        <f t="shared" si="1576"/>
        <v>1</v>
      </c>
      <c r="F2145" s="124">
        <v>40975</v>
      </c>
      <c r="G2145" s="125">
        <v>41059</v>
      </c>
      <c r="H2145" s="117">
        <v>2441929</v>
      </c>
      <c r="I2145" s="124">
        <v>40976</v>
      </c>
      <c r="J2145" s="125">
        <v>41059</v>
      </c>
      <c r="K2145" s="126">
        <v>20000</v>
      </c>
      <c r="L2145" s="127" t="s">
        <v>571</v>
      </c>
      <c r="N2145" s="129" t="str">
        <f t="shared" si="1597"/>
        <v>N</v>
      </c>
      <c r="O2145" s="128" t="s">
        <v>917</v>
      </c>
      <c r="P2145" s="129" t="s">
        <v>123</v>
      </c>
      <c r="Q2145" s="111">
        <f t="shared" si="1602"/>
        <v>84</v>
      </c>
      <c r="R2145" s="111">
        <f t="shared" si="1595"/>
        <v>85</v>
      </c>
      <c r="S2145" s="129">
        <v>0</v>
      </c>
      <c r="T2145" s="129">
        <v>1</v>
      </c>
      <c r="W2145" s="111"/>
      <c r="AC2145" s="130"/>
      <c r="AD2145" s="130">
        <v>33635</v>
      </c>
      <c r="AE2145" s="128" t="s">
        <v>32</v>
      </c>
      <c r="AF2145" s="128" t="s">
        <v>40</v>
      </c>
      <c r="AG2145" s="128" t="s">
        <v>41</v>
      </c>
      <c r="AH2145" s="108" t="s">
        <v>41</v>
      </c>
      <c r="AI2145" s="128" t="s">
        <v>72</v>
      </c>
      <c r="AJ2145" s="129" t="s">
        <v>123</v>
      </c>
      <c r="AK2145" s="129">
        <v>4</v>
      </c>
      <c r="AL2145" s="3" t="s">
        <v>123</v>
      </c>
      <c r="AP2145" s="129" t="s">
        <v>336</v>
      </c>
      <c r="AR2145" s="128" t="s">
        <v>46</v>
      </c>
      <c r="AS2145" s="129" t="s">
        <v>82</v>
      </c>
      <c r="BC2145" s="129" t="s">
        <v>38</v>
      </c>
      <c r="BF2145" s="111">
        <f t="shared" si="1598"/>
        <v>84</v>
      </c>
      <c r="BG2145" s="111">
        <f t="shared" si="1599"/>
        <v>84</v>
      </c>
      <c r="BH2145" s="111">
        <f t="shared" si="1571"/>
        <v>85</v>
      </c>
      <c r="BI2145" s="111">
        <f t="shared" si="1572"/>
        <v>20.05464480874317</v>
      </c>
      <c r="BJ2145" s="129">
        <f t="shared" si="1577"/>
        <v>0</v>
      </c>
      <c r="BK2145" s="129">
        <f t="shared" si="1573"/>
        <v>0</v>
      </c>
      <c r="BL2145" s="129" t="str">
        <f t="shared" si="1601"/>
        <v>NO CONVICTION</v>
      </c>
      <c r="BM2145" s="129" t="str">
        <f t="shared" si="1578"/>
        <v>NONE</v>
      </c>
      <c r="BN2145" s="129" t="s">
        <v>566</v>
      </c>
      <c r="BP2145" s="137" t="str">
        <f t="shared" si="1579"/>
        <v>NO CONVICTION</v>
      </c>
      <c r="BQ2145" s="128" t="str">
        <f t="shared" si="1580"/>
        <v>Y</v>
      </c>
      <c r="BR2145" s="129" t="str">
        <f t="shared" si="1581"/>
        <v>DETAINED</v>
      </c>
      <c r="BS2145" s="129" t="str">
        <f t="shared" si="1582"/>
        <v>DISPOSED</v>
      </c>
      <c r="BT2145" s="129" t="str">
        <f t="shared" si="1583"/>
        <v>N</v>
      </c>
      <c r="BU2145" s="109">
        <f>IFERROR(Q2145/R2145,BR2145)</f>
        <v>0.9882352941176471</v>
      </c>
      <c r="BV2145" s="109">
        <f t="shared" si="1585"/>
        <v>1</v>
      </c>
      <c r="BW2145" s="109">
        <f t="shared" si="1596"/>
        <v>1.1764705882352899E-2</v>
      </c>
      <c r="BX2145" s="111">
        <f t="shared" si="1586"/>
        <v>0</v>
      </c>
      <c r="BY2145" s="129">
        <f t="shared" si="1587"/>
        <v>-84</v>
      </c>
      <c r="BZ2145" s="111">
        <f t="shared" si="1588"/>
        <v>0</v>
      </c>
      <c r="CA2145" s="138">
        <f t="shared" si="1589"/>
        <v>84</v>
      </c>
      <c r="CB2145" s="111" t="e">
        <f t="shared" si="1600"/>
        <v>#VALUE!</v>
      </c>
      <c r="CC2145" s="129">
        <f>G2145-I2145+1</f>
        <v>84</v>
      </c>
      <c r="CD2145" s="129">
        <f>G2145-J2145</f>
        <v>0</v>
      </c>
      <c r="CG2145" s="129" t="str">
        <f t="shared" si="1590"/>
        <v>Y</v>
      </c>
      <c r="CI2145" s="129" t="str">
        <f t="shared" si="1591"/>
        <v>61-90 DAYS</v>
      </c>
      <c r="CJ2145" s="137">
        <f t="shared" si="1592"/>
        <v>4</v>
      </c>
      <c r="CK2145" s="129" t="str">
        <f t="shared" si="1593"/>
        <v>Booked</v>
      </c>
    </row>
    <row r="2146" spans="1:89" ht="15.75" customHeight="1" x14ac:dyDescent="0.25">
      <c r="A2146" s="111">
        <v>2358</v>
      </c>
      <c r="B2146" s="128" t="str">
        <f t="shared" si="1574"/>
        <v>N</v>
      </c>
      <c r="C2146" s="128" t="str">
        <f t="shared" si="1575"/>
        <v>N</v>
      </c>
      <c r="D2146" s="117">
        <v>2442982</v>
      </c>
      <c r="E2146" s="135">
        <f t="shared" si="1576"/>
        <v>4</v>
      </c>
      <c r="F2146" s="124">
        <v>40997</v>
      </c>
      <c r="G2146" s="125">
        <v>41102</v>
      </c>
      <c r="H2146" s="117">
        <v>2442982</v>
      </c>
      <c r="I2146" s="124">
        <v>41003</v>
      </c>
      <c r="J2146" s="124">
        <v>41069</v>
      </c>
      <c r="K2146" s="126">
        <v>5000</v>
      </c>
      <c r="L2146" s="127" t="s">
        <v>569</v>
      </c>
      <c r="M2146" s="125">
        <v>41069</v>
      </c>
      <c r="N2146" s="129" t="str">
        <f t="shared" si="1597"/>
        <v>Y</v>
      </c>
      <c r="O2146" s="128" t="s">
        <v>76</v>
      </c>
      <c r="P2146" s="129" t="s">
        <v>39</v>
      </c>
      <c r="Q2146" s="111">
        <f t="shared" si="1602"/>
        <v>67</v>
      </c>
      <c r="R2146" s="111">
        <f t="shared" si="1595"/>
        <v>106</v>
      </c>
      <c r="S2146" s="129">
        <v>1</v>
      </c>
      <c r="T2146" s="129">
        <v>0</v>
      </c>
      <c r="V2146" s="117">
        <v>1</v>
      </c>
      <c r="W2146" s="111"/>
      <c r="AC2146" s="130"/>
      <c r="AD2146" s="130">
        <v>33806</v>
      </c>
      <c r="AE2146" s="128" t="s">
        <v>32</v>
      </c>
      <c r="AF2146" s="128" t="s">
        <v>40</v>
      </c>
      <c r="AG2146" s="128" t="s">
        <v>41</v>
      </c>
      <c r="AH2146" s="108" t="s">
        <v>41</v>
      </c>
      <c r="AI2146" s="128" t="s">
        <v>85</v>
      </c>
      <c r="AJ2146" s="129" t="s">
        <v>89</v>
      </c>
      <c r="AK2146" s="129">
        <v>5</v>
      </c>
      <c r="AL2146" s="3" t="s">
        <v>991</v>
      </c>
      <c r="AO2146" s="128">
        <v>90</v>
      </c>
      <c r="AP2146" s="129" t="s">
        <v>105</v>
      </c>
      <c r="AR2146" s="128" t="s">
        <v>92</v>
      </c>
      <c r="AS2146" s="129" t="s">
        <v>106</v>
      </c>
      <c r="AT2146" s="129" t="s">
        <v>430</v>
      </c>
      <c r="BC2146" s="129" t="s">
        <v>38</v>
      </c>
      <c r="BF2146" s="111">
        <f t="shared" si="1598"/>
        <v>67</v>
      </c>
      <c r="BG2146" s="111">
        <f t="shared" si="1599"/>
        <v>100</v>
      </c>
      <c r="BH2146" s="111">
        <f t="shared" si="1571"/>
        <v>106</v>
      </c>
      <c r="BI2146" s="111">
        <f t="shared" si="1572"/>
        <v>19.647540983606557</v>
      </c>
      <c r="BJ2146" s="129">
        <f>(G2146-J2146)+(M2146-G2146)</f>
        <v>0</v>
      </c>
      <c r="BK2146" s="129">
        <f t="shared" si="1573"/>
        <v>-33</v>
      </c>
      <c r="BL2146" s="129" t="str">
        <f t="shared" si="1601"/>
        <v>CONVICTION</v>
      </c>
      <c r="BM2146" s="129" t="s">
        <v>76</v>
      </c>
      <c r="BN2146" s="129" t="s">
        <v>88</v>
      </c>
      <c r="BP2146" s="137" t="str">
        <f t="shared" si="1579"/>
        <v>CONVICTION</v>
      </c>
      <c r="BQ2146" s="128" t="str">
        <f t="shared" si="1580"/>
        <v>Y</v>
      </c>
      <c r="BR2146" s="129" t="str">
        <f>IF(J2146&lt;G2146,"ON BOND",0)</f>
        <v>ON BOND</v>
      </c>
      <c r="BS2146" s="129" t="str">
        <f t="shared" si="1582"/>
        <v>DISPOSED</v>
      </c>
      <c r="BT2146" s="129" t="str">
        <f t="shared" si="1583"/>
        <v>Y</v>
      </c>
      <c r="BU2146" s="109">
        <f t="shared" si="1584"/>
        <v>0.63207547169811318</v>
      </c>
      <c r="BV2146" s="109">
        <f t="shared" si="1585"/>
        <v>0.67</v>
      </c>
      <c r="BW2146" s="109">
        <f t="shared" si="1596"/>
        <v>3.7924528301886862E-2</v>
      </c>
      <c r="BX2146" s="111">
        <f t="shared" si="1586"/>
        <v>0</v>
      </c>
      <c r="BY2146" s="129">
        <f t="shared" si="1587"/>
        <v>-67</v>
      </c>
      <c r="BZ2146" s="111">
        <f t="shared" si="1588"/>
        <v>0</v>
      </c>
      <c r="CA2146" s="138">
        <f t="shared" si="1589"/>
        <v>67</v>
      </c>
      <c r="CB2146" s="111" t="e">
        <f t="shared" si="1600"/>
        <v>#VALUE!</v>
      </c>
      <c r="CC2146" s="129">
        <f>M2146-I2146+1</f>
        <v>67</v>
      </c>
      <c r="CD2146" s="111">
        <f>CC2146-BF2146</f>
        <v>0</v>
      </c>
      <c r="CG2146" s="129" t="str">
        <f t="shared" si="1590"/>
        <v>Y</v>
      </c>
      <c r="CI2146" s="129" t="str">
        <f t="shared" si="1591"/>
        <v>61-90 DAYS</v>
      </c>
      <c r="CJ2146" s="137">
        <f t="shared" si="1592"/>
        <v>4</v>
      </c>
      <c r="CK2146" s="129" t="str">
        <f t="shared" si="1593"/>
        <v>Booked</v>
      </c>
    </row>
    <row r="2147" spans="1:89" ht="15.75" customHeight="1" x14ac:dyDescent="0.25">
      <c r="A2147" s="111">
        <v>1841</v>
      </c>
      <c r="B2147" s="128" t="str">
        <f t="shared" si="1574"/>
        <v>N</v>
      </c>
      <c r="C2147" s="128" t="str">
        <f t="shared" si="1575"/>
        <v>N</v>
      </c>
      <c r="D2147" s="117">
        <v>2443020</v>
      </c>
      <c r="E2147" s="135">
        <f t="shared" si="1576"/>
        <v>6</v>
      </c>
      <c r="F2147" s="124">
        <v>40977</v>
      </c>
      <c r="G2147" s="125">
        <v>41145</v>
      </c>
      <c r="H2147" s="117">
        <v>2443020</v>
      </c>
      <c r="I2147" s="124">
        <v>40977</v>
      </c>
      <c r="J2147" s="124">
        <v>41145</v>
      </c>
      <c r="K2147" s="126">
        <v>30000</v>
      </c>
      <c r="L2147" s="129" t="s">
        <v>572</v>
      </c>
      <c r="N2147" s="129" t="str">
        <f t="shared" si="1597"/>
        <v>N</v>
      </c>
      <c r="O2147" s="128" t="s">
        <v>917</v>
      </c>
      <c r="P2147" s="129" t="s">
        <v>39</v>
      </c>
      <c r="Q2147" s="111">
        <f t="shared" si="1602"/>
        <v>169</v>
      </c>
      <c r="R2147" s="111">
        <f t="shared" si="1595"/>
        <v>169</v>
      </c>
      <c r="S2147" s="129">
        <v>1</v>
      </c>
      <c r="T2147" s="129">
        <v>1</v>
      </c>
      <c r="U2147" s="129">
        <v>1</v>
      </c>
      <c r="W2147" s="111"/>
      <c r="AC2147" s="130"/>
      <c r="AD2147" s="130">
        <v>33545</v>
      </c>
      <c r="AE2147" s="128" t="s">
        <v>32</v>
      </c>
      <c r="AF2147" s="128" t="s">
        <v>69</v>
      </c>
      <c r="AG2147" s="128" t="s">
        <v>874</v>
      </c>
      <c r="AH2147" s="108" t="s">
        <v>58</v>
      </c>
      <c r="AI2147" s="128" t="s">
        <v>83</v>
      </c>
      <c r="AJ2147" s="129" t="s">
        <v>89</v>
      </c>
      <c r="AK2147" s="129">
        <v>6</v>
      </c>
      <c r="AL2147" s="3" t="s">
        <v>362</v>
      </c>
      <c r="AM2147" s="114">
        <v>12</v>
      </c>
      <c r="AN2147" s="114"/>
      <c r="AP2147" s="129" t="s">
        <v>73</v>
      </c>
      <c r="AR2147" s="128" t="s">
        <v>50</v>
      </c>
      <c r="AS2147" s="129" t="s">
        <v>74</v>
      </c>
      <c r="BC2147" s="129" t="s">
        <v>38</v>
      </c>
      <c r="BF2147" s="111">
        <f t="shared" si="1598"/>
        <v>169</v>
      </c>
      <c r="BG2147" s="111">
        <f t="shared" si="1599"/>
        <v>169</v>
      </c>
      <c r="BH2147" s="111">
        <f t="shared" si="1571"/>
        <v>169</v>
      </c>
      <c r="BI2147" s="111">
        <f t="shared" si="1572"/>
        <v>20.306010928961747</v>
      </c>
      <c r="BJ2147" s="129">
        <f t="shared" si="1577"/>
        <v>0</v>
      </c>
      <c r="BK2147" s="129">
        <f t="shared" si="1573"/>
        <v>0</v>
      </c>
      <c r="BL2147" s="129" t="str">
        <f t="shared" si="1601"/>
        <v>CONVICTION</v>
      </c>
      <c r="BM2147" s="129" t="str">
        <f t="shared" si="1578"/>
        <v>NONE</v>
      </c>
      <c r="BN2147" s="129" t="s">
        <v>566</v>
      </c>
      <c r="BP2147" s="137" t="str">
        <f t="shared" si="1579"/>
        <v>CONVICTION</v>
      </c>
      <c r="BQ2147" s="128" t="str">
        <f t="shared" si="1580"/>
        <v>Y</v>
      </c>
      <c r="BR2147" s="129" t="str">
        <f t="shared" si="1581"/>
        <v>DETAINED</v>
      </c>
      <c r="BS2147" s="129" t="str">
        <f t="shared" si="1582"/>
        <v>DISPOSED</v>
      </c>
      <c r="BT2147" s="129" t="str">
        <f t="shared" si="1583"/>
        <v>Y</v>
      </c>
      <c r="BU2147" s="109">
        <f t="shared" si="1584"/>
        <v>1</v>
      </c>
      <c r="BV2147" s="109">
        <f t="shared" si="1585"/>
        <v>1</v>
      </c>
      <c r="BW2147" s="109">
        <f t="shared" si="1596"/>
        <v>0</v>
      </c>
      <c r="BX2147" s="111">
        <f t="shared" si="1586"/>
        <v>0</v>
      </c>
      <c r="BY2147" s="129">
        <f t="shared" si="1587"/>
        <v>-169</v>
      </c>
      <c r="BZ2147" s="111">
        <f t="shared" si="1588"/>
        <v>0</v>
      </c>
      <c r="CA2147" s="138">
        <f t="shared" si="1589"/>
        <v>169</v>
      </c>
      <c r="CB2147" s="111" t="e">
        <f t="shared" si="1600"/>
        <v>#VALUE!</v>
      </c>
      <c r="CC2147" s="129">
        <f t="shared" ref="CC2147:CC2153" si="1603">G2147-I2147+1</f>
        <v>169</v>
      </c>
      <c r="CD2147" s="129">
        <f t="shared" ref="CD2147:CD2153" si="1604">G2147-J2147</f>
        <v>0</v>
      </c>
      <c r="CG2147" s="129" t="str">
        <f t="shared" si="1590"/>
        <v>Y</v>
      </c>
      <c r="CI2147" s="129" t="str">
        <f t="shared" si="1591"/>
        <v>121-365 DAYS</v>
      </c>
      <c r="CJ2147" s="137">
        <f t="shared" si="1592"/>
        <v>6</v>
      </c>
      <c r="CK2147" s="129" t="str">
        <f t="shared" si="1593"/>
        <v>Booked</v>
      </c>
    </row>
    <row r="2148" spans="1:89" ht="15" customHeight="1" x14ac:dyDescent="0.25">
      <c r="A2148" s="111">
        <v>947</v>
      </c>
      <c r="B2148" s="128" t="str">
        <f t="shared" si="1574"/>
        <v>N</v>
      </c>
      <c r="C2148" s="128" t="str">
        <f t="shared" si="1575"/>
        <v>N</v>
      </c>
      <c r="D2148" s="117">
        <v>2443099</v>
      </c>
      <c r="E2148" s="135">
        <f t="shared" si="1576"/>
        <v>2</v>
      </c>
      <c r="F2148" s="124">
        <v>40943</v>
      </c>
      <c r="G2148" s="125">
        <v>41074</v>
      </c>
      <c r="H2148" s="117">
        <v>2443099</v>
      </c>
      <c r="I2148" s="124">
        <v>40944</v>
      </c>
      <c r="J2148" s="124">
        <v>41074</v>
      </c>
      <c r="K2148" s="126">
        <v>30000</v>
      </c>
      <c r="L2148" s="129" t="s">
        <v>572</v>
      </c>
      <c r="N2148" s="129" t="str">
        <f t="shared" si="1597"/>
        <v>N</v>
      </c>
      <c r="O2148" s="128" t="s">
        <v>917</v>
      </c>
      <c r="P2148" s="129" t="s">
        <v>589</v>
      </c>
      <c r="Q2148" s="111">
        <f t="shared" si="1602"/>
        <v>131</v>
      </c>
      <c r="R2148" s="111">
        <f t="shared" si="1595"/>
        <v>132</v>
      </c>
      <c r="S2148" s="129">
        <v>0</v>
      </c>
      <c r="T2148" s="129">
        <v>2</v>
      </c>
      <c r="W2148" s="111"/>
      <c r="AC2148" s="130"/>
      <c r="AD2148" s="130">
        <v>32111</v>
      </c>
      <c r="AE2148" s="128" t="s">
        <v>32</v>
      </c>
      <c r="AF2148" s="128" t="s">
        <v>33</v>
      </c>
      <c r="AG2148" s="128" t="s">
        <v>872</v>
      </c>
      <c r="AH2148" s="108" t="s">
        <v>31</v>
      </c>
      <c r="AI2148" s="128" t="s">
        <v>42</v>
      </c>
      <c r="AJ2148" s="129" t="s">
        <v>48</v>
      </c>
      <c r="AK2148" s="129">
        <v>6</v>
      </c>
      <c r="AL2148" s="3" t="s">
        <v>48</v>
      </c>
      <c r="AP2148" s="129" t="s">
        <v>110</v>
      </c>
      <c r="AR2148" s="128" t="s">
        <v>50</v>
      </c>
      <c r="AS2148" s="129" t="s">
        <v>74</v>
      </c>
      <c r="BC2148" s="129" t="s">
        <v>38</v>
      </c>
      <c r="BF2148" s="111">
        <f t="shared" si="1598"/>
        <v>131</v>
      </c>
      <c r="BG2148" s="111">
        <f t="shared" si="1599"/>
        <v>131</v>
      </c>
      <c r="BH2148" s="111">
        <f t="shared" si="1571"/>
        <v>132</v>
      </c>
      <c r="BI2148" s="111">
        <f t="shared" si="1572"/>
        <v>24.131147540983605</v>
      </c>
      <c r="BJ2148" s="129">
        <f t="shared" si="1577"/>
        <v>0</v>
      </c>
      <c r="BK2148" s="129">
        <f t="shared" si="1573"/>
        <v>0</v>
      </c>
      <c r="BL2148" s="129" t="str">
        <f t="shared" si="1601"/>
        <v>DEFERRED</v>
      </c>
      <c r="BM2148" s="129" t="str">
        <f t="shared" si="1578"/>
        <v>NONE</v>
      </c>
      <c r="BN2148" s="129" t="s">
        <v>566</v>
      </c>
      <c r="BP2148" s="137" t="str">
        <f t="shared" si="1579"/>
        <v>DEFERRED</v>
      </c>
      <c r="BQ2148" s="128" t="str">
        <f t="shared" si="1580"/>
        <v>Y</v>
      </c>
      <c r="BR2148" s="129" t="str">
        <f t="shared" si="1581"/>
        <v>DETAINED</v>
      </c>
      <c r="BS2148" s="129" t="str">
        <f t="shared" si="1582"/>
        <v>DISPOSED</v>
      </c>
      <c r="BT2148" s="129" t="str">
        <f t="shared" si="1583"/>
        <v>N</v>
      </c>
      <c r="BU2148" s="109">
        <f t="shared" si="1584"/>
        <v>0.99242424242424243</v>
      </c>
      <c r="BV2148" s="109">
        <f t="shared" si="1585"/>
        <v>1</v>
      </c>
      <c r="BW2148" s="109">
        <f t="shared" si="1596"/>
        <v>7.575757575757569E-3</v>
      </c>
      <c r="BX2148" s="111">
        <f t="shared" si="1586"/>
        <v>0</v>
      </c>
      <c r="BY2148" s="129">
        <f t="shared" si="1587"/>
        <v>-131</v>
      </c>
      <c r="BZ2148" s="111">
        <f t="shared" si="1588"/>
        <v>0</v>
      </c>
      <c r="CA2148" s="138">
        <f t="shared" si="1589"/>
        <v>131</v>
      </c>
      <c r="CB2148" s="111" t="e">
        <f t="shared" si="1600"/>
        <v>#VALUE!</v>
      </c>
      <c r="CC2148" s="129">
        <f t="shared" si="1603"/>
        <v>131</v>
      </c>
      <c r="CD2148" s="129">
        <f t="shared" si="1604"/>
        <v>0</v>
      </c>
      <c r="CG2148" s="129" t="str">
        <f t="shared" si="1590"/>
        <v>Y</v>
      </c>
      <c r="CI2148" s="129" t="str">
        <f t="shared" si="1591"/>
        <v>121-365 DAYS</v>
      </c>
      <c r="CJ2148" s="137">
        <f t="shared" si="1592"/>
        <v>6</v>
      </c>
      <c r="CK2148" s="129" t="str">
        <f t="shared" si="1593"/>
        <v>Booked</v>
      </c>
    </row>
    <row r="2149" spans="1:89" ht="15" customHeight="1" x14ac:dyDescent="0.25">
      <c r="A2149" s="111">
        <v>1038</v>
      </c>
      <c r="B2149" s="128" t="str">
        <f t="shared" si="1574"/>
        <v>N</v>
      </c>
      <c r="C2149" s="128" t="str">
        <f t="shared" si="1575"/>
        <v>N</v>
      </c>
      <c r="D2149" s="117">
        <v>2443607</v>
      </c>
      <c r="E2149" s="135">
        <f t="shared" si="1576"/>
        <v>2</v>
      </c>
      <c r="F2149" s="124">
        <v>40947</v>
      </c>
      <c r="G2149" s="125">
        <v>41166</v>
      </c>
      <c r="H2149" s="117">
        <v>2443607</v>
      </c>
      <c r="I2149" s="124">
        <v>40947</v>
      </c>
      <c r="J2149" s="124">
        <v>41166</v>
      </c>
      <c r="K2149" s="126">
        <v>30000</v>
      </c>
      <c r="L2149" s="129" t="s">
        <v>572</v>
      </c>
      <c r="N2149" s="129" t="str">
        <f t="shared" si="1597"/>
        <v>N</v>
      </c>
      <c r="O2149" s="128" t="s">
        <v>917</v>
      </c>
      <c r="P2149" s="129" t="s">
        <v>589</v>
      </c>
      <c r="Q2149" s="111">
        <f t="shared" si="1602"/>
        <v>220</v>
      </c>
      <c r="R2149" s="111">
        <f t="shared" si="1595"/>
        <v>220</v>
      </c>
      <c r="S2149" s="129">
        <v>0</v>
      </c>
      <c r="T2149" s="129">
        <v>2</v>
      </c>
      <c r="W2149" s="111"/>
      <c r="AC2149" s="130"/>
      <c r="AD2149" s="130">
        <v>33417</v>
      </c>
      <c r="AE2149" s="128" t="s">
        <v>32</v>
      </c>
      <c r="AF2149" s="128" t="s">
        <v>33</v>
      </c>
      <c r="AG2149" s="128" t="s">
        <v>872</v>
      </c>
      <c r="AH2149" s="108" t="s">
        <v>31</v>
      </c>
      <c r="AI2149" s="128" t="s">
        <v>118</v>
      </c>
      <c r="AJ2149" s="129" t="s">
        <v>48</v>
      </c>
      <c r="AK2149" s="129">
        <v>6</v>
      </c>
      <c r="AL2149" s="3" t="s">
        <v>48</v>
      </c>
      <c r="AP2149" s="129" t="s">
        <v>105</v>
      </c>
      <c r="AR2149" s="128" t="s">
        <v>92</v>
      </c>
      <c r="AS2149" s="129" t="s">
        <v>106</v>
      </c>
      <c r="BC2149" s="129" t="s">
        <v>38</v>
      </c>
      <c r="BF2149" s="111">
        <f t="shared" si="1598"/>
        <v>220</v>
      </c>
      <c r="BG2149" s="111">
        <f t="shared" si="1599"/>
        <v>220</v>
      </c>
      <c r="BH2149" s="111">
        <f t="shared" si="1571"/>
        <v>220</v>
      </c>
      <c r="BI2149" s="111">
        <f t="shared" si="1572"/>
        <v>20.57377049180328</v>
      </c>
      <c r="BJ2149" s="129">
        <f t="shared" si="1577"/>
        <v>0</v>
      </c>
      <c r="BK2149" s="129">
        <f t="shared" si="1573"/>
        <v>0</v>
      </c>
      <c r="BL2149" s="129" t="str">
        <f t="shared" si="1601"/>
        <v>DEFERRED</v>
      </c>
      <c r="BM2149" s="129" t="str">
        <f t="shared" si="1578"/>
        <v>NONE</v>
      </c>
      <c r="BN2149" s="129" t="s">
        <v>566</v>
      </c>
      <c r="BP2149" s="137" t="str">
        <f t="shared" si="1579"/>
        <v>DEFERRED</v>
      </c>
      <c r="BQ2149" s="128" t="str">
        <f t="shared" si="1580"/>
        <v>Y</v>
      </c>
      <c r="BR2149" s="129" t="str">
        <f t="shared" si="1581"/>
        <v>DETAINED</v>
      </c>
      <c r="BS2149" s="129" t="str">
        <f t="shared" si="1582"/>
        <v>DISPOSED</v>
      </c>
      <c r="BT2149" s="129" t="str">
        <f t="shared" si="1583"/>
        <v>N</v>
      </c>
      <c r="BU2149" s="109">
        <f t="shared" si="1584"/>
        <v>1</v>
      </c>
      <c r="BV2149" s="109">
        <f t="shared" si="1585"/>
        <v>1</v>
      </c>
      <c r="BW2149" s="109">
        <f t="shared" si="1596"/>
        <v>0</v>
      </c>
      <c r="BX2149" s="111">
        <f t="shared" si="1586"/>
        <v>0</v>
      </c>
      <c r="BY2149" s="129">
        <f t="shared" si="1587"/>
        <v>-220</v>
      </c>
      <c r="BZ2149" s="111">
        <f t="shared" si="1588"/>
        <v>0</v>
      </c>
      <c r="CA2149" s="138">
        <f t="shared" si="1589"/>
        <v>220</v>
      </c>
      <c r="CB2149" s="111" t="e">
        <f t="shared" si="1600"/>
        <v>#VALUE!</v>
      </c>
      <c r="CC2149" s="129">
        <f t="shared" si="1603"/>
        <v>220</v>
      </c>
      <c r="CD2149" s="129">
        <f t="shared" si="1604"/>
        <v>0</v>
      </c>
      <c r="CG2149" s="129" t="str">
        <f t="shared" si="1590"/>
        <v>Y</v>
      </c>
      <c r="CI2149" s="129" t="str">
        <f t="shared" si="1591"/>
        <v>121-365 DAYS</v>
      </c>
      <c r="CJ2149" s="137">
        <f t="shared" si="1592"/>
        <v>6</v>
      </c>
      <c r="CK2149" s="129" t="str">
        <f t="shared" si="1593"/>
        <v>Booked</v>
      </c>
    </row>
    <row r="2150" spans="1:89" ht="15" customHeight="1" x14ac:dyDescent="0.25">
      <c r="A2150" s="111">
        <v>1807</v>
      </c>
      <c r="B2150" s="128" t="str">
        <f t="shared" si="1574"/>
        <v>N</v>
      </c>
      <c r="C2150" s="128" t="str">
        <f t="shared" si="1575"/>
        <v>Y</v>
      </c>
      <c r="D2150" s="117">
        <v>2443851</v>
      </c>
      <c r="E2150" s="135">
        <f t="shared" si="1576"/>
        <v>6</v>
      </c>
      <c r="F2150" s="124">
        <v>40976</v>
      </c>
      <c r="G2150" s="125">
        <v>41045</v>
      </c>
      <c r="H2150" s="117">
        <v>2443851</v>
      </c>
      <c r="I2150" s="124">
        <v>41015</v>
      </c>
      <c r="J2150" s="124">
        <v>41045</v>
      </c>
      <c r="K2150" s="126">
        <v>20000</v>
      </c>
      <c r="L2150" s="127" t="s">
        <v>571</v>
      </c>
      <c r="M2150" s="125">
        <v>40977</v>
      </c>
      <c r="N2150" s="129" t="str">
        <f t="shared" si="1597"/>
        <v>Y</v>
      </c>
      <c r="O2150" s="128" t="s">
        <v>76</v>
      </c>
      <c r="P2150" s="129" t="s">
        <v>39</v>
      </c>
      <c r="Q2150" s="111">
        <f t="shared" si="1602"/>
        <v>31</v>
      </c>
      <c r="R2150" s="111">
        <f t="shared" si="1595"/>
        <v>70</v>
      </c>
      <c r="S2150" s="129">
        <v>1</v>
      </c>
      <c r="T2150" s="129">
        <v>2</v>
      </c>
      <c r="V2150" s="117">
        <v>1</v>
      </c>
      <c r="W2150" s="111"/>
      <c r="AB2150" s="131" t="s">
        <v>112</v>
      </c>
      <c r="AC2150" s="130"/>
      <c r="AD2150" s="130">
        <v>33781</v>
      </c>
      <c r="AE2150" s="128" t="s">
        <v>32</v>
      </c>
      <c r="AF2150" s="128" t="s">
        <v>40</v>
      </c>
      <c r="AG2150" s="128" t="s">
        <v>41</v>
      </c>
      <c r="AH2150" s="108" t="s">
        <v>31</v>
      </c>
      <c r="AI2150" s="128" t="s">
        <v>85</v>
      </c>
      <c r="AJ2150" s="129" t="s">
        <v>89</v>
      </c>
      <c r="AK2150" s="129">
        <v>4</v>
      </c>
      <c r="AL2150" s="3" t="s">
        <v>362</v>
      </c>
      <c r="AM2150" s="117">
        <v>2</v>
      </c>
      <c r="AP2150" s="129" t="s">
        <v>49</v>
      </c>
      <c r="AR2150" s="128" t="s">
        <v>50</v>
      </c>
      <c r="AS2150" s="129" t="s">
        <v>45</v>
      </c>
      <c r="AU2150" s="3" t="s">
        <v>740</v>
      </c>
      <c r="AX2150" s="32" t="s">
        <v>88</v>
      </c>
      <c r="BC2150" s="129" t="s">
        <v>99</v>
      </c>
      <c r="BF2150" s="111">
        <f>IF(J2150&gt;1/1/1900,((G2150+1)-I2150),"STILL OPEN")</f>
        <v>31</v>
      </c>
      <c r="BG2150" s="111">
        <f t="shared" si="1599"/>
        <v>31</v>
      </c>
      <c r="BH2150" s="111">
        <f t="shared" si="1571"/>
        <v>70</v>
      </c>
      <c r="BI2150" s="111">
        <f t="shared" si="1572"/>
        <v>19.65846994535519</v>
      </c>
      <c r="BJ2150" s="129">
        <f>G2150-J2150</f>
        <v>0</v>
      </c>
      <c r="BK2150" s="129">
        <f t="shared" si="1573"/>
        <v>0</v>
      </c>
      <c r="BL2150" s="129" t="str">
        <f t="shared" si="1601"/>
        <v>CONVICTION</v>
      </c>
      <c r="BM2150" s="129" t="s">
        <v>76</v>
      </c>
      <c r="BN2150" s="129" t="s">
        <v>88</v>
      </c>
      <c r="BP2150" s="137" t="str">
        <f t="shared" si="1579"/>
        <v>CONVICTION</v>
      </c>
      <c r="BQ2150" s="128" t="str">
        <f t="shared" si="1580"/>
        <v>Y</v>
      </c>
      <c r="BR2150" s="129" t="s">
        <v>574</v>
      </c>
      <c r="BS2150" s="129" t="str">
        <f t="shared" si="1582"/>
        <v>DISPOSED</v>
      </c>
      <c r="BT2150" s="129" t="str">
        <f t="shared" si="1583"/>
        <v>Y</v>
      </c>
      <c r="BU2150" s="109">
        <f t="shared" si="1584"/>
        <v>0.44285714285714284</v>
      </c>
      <c r="BV2150" s="109">
        <f t="shared" si="1585"/>
        <v>1</v>
      </c>
      <c r="BW2150" s="109">
        <f t="shared" si="1596"/>
        <v>0.55714285714285716</v>
      </c>
      <c r="BX2150" s="111">
        <f t="shared" si="1586"/>
        <v>0</v>
      </c>
      <c r="BY2150" s="129">
        <f t="shared" si="1587"/>
        <v>-31</v>
      </c>
      <c r="BZ2150" s="111">
        <f t="shared" si="1588"/>
        <v>0</v>
      </c>
      <c r="CA2150" s="138">
        <f t="shared" si="1589"/>
        <v>31</v>
      </c>
      <c r="CB2150" s="111" t="e">
        <f t="shared" si="1600"/>
        <v>#VALUE!</v>
      </c>
      <c r="CC2150" s="129">
        <f t="shared" si="1603"/>
        <v>31</v>
      </c>
      <c r="CD2150" s="129">
        <f t="shared" si="1604"/>
        <v>0</v>
      </c>
      <c r="CG2150" s="129" t="str">
        <f t="shared" si="1590"/>
        <v>Y</v>
      </c>
      <c r="CI2150" s="129" t="str">
        <f t="shared" si="1591"/>
        <v>31-60 DAYS</v>
      </c>
      <c r="CJ2150" s="137">
        <f t="shared" si="1592"/>
        <v>3</v>
      </c>
      <c r="CK2150" s="129" t="str">
        <f t="shared" si="1593"/>
        <v>Booked</v>
      </c>
    </row>
    <row r="2151" spans="1:89" ht="15.75" customHeight="1" x14ac:dyDescent="0.25">
      <c r="A2151" s="111">
        <v>1198</v>
      </c>
      <c r="B2151" s="128" t="str">
        <f t="shared" si="1574"/>
        <v>N</v>
      </c>
      <c r="C2151" s="128" t="str">
        <f t="shared" si="1575"/>
        <v>N</v>
      </c>
      <c r="D2151" s="117">
        <v>2444007</v>
      </c>
      <c r="E2151" s="135">
        <f t="shared" si="1576"/>
        <v>2</v>
      </c>
      <c r="F2151" s="124">
        <v>40952</v>
      </c>
      <c r="G2151" s="125">
        <v>40988</v>
      </c>
      <c r="H2151" s="117">
        <v>2444007</v>
      </c>
      <c r="I2151" s="124">
        <v>40953</v>
      </c>
      <c r="J2151" s="124">
        <v>40988</v>
      </c>
      <c r="K2151" s="126">
        <v>40000</v>
      </c>
      <c r="L2151" s="129" t="s">
        <v>572</v>
      </c>
      <c r="N2151" s="129" t="str">
        <f t="shared" si="1597"/>
        <v>N</v>
      </c>
      <c r="O2151" s="128" t="s">
        <v>917</v>
      </c>
      <c r="P2151" s="129" t="s">
        <v>589</v>
      </c>
      <c r="Q2151" s="111">
        <f t="shared" si="1602"/>
        <v>36</v>
      </c>
      <c r="R2151" s="111">
        <f t="shared" si="1595"/>
        <v>37</v>
      </c>
      <c r="S2151" s="129">
        <v>0</v>
      </c>
      <c r="T2151" s="129">
        <v>1</v>
      </c>
      <c r="W2151" s="111"/>
      <c r="AC2151" s="130"/>
      <c r="AD2151" s="130">
        <v>30816</v>
      </c>
      <c r="AE2151" s="128" t="s">
        <v>32</v>
      </c>
      <c r="AF2151" s="128" t="s">
        <v>33</v>
      </c>
      <c r="AG2151" s="128" t="s">
        <v>872</v>
      </c>
      <c r="AH2151" s="108" t="s">
        <v>31</v>
      </c>
      <c r="AI2151" s="128" t="s">
        <v>85</v>
      </c>
      <c r="AJ2151" s="129" t="s">
        <v>48</v>
      </c>
      <c r="AK2151" s="129">
        <v>2</v>
      </c>
      <c r="AL2151" s="3" t="s">
        <v>48</v>
      </c>
      <c r="AP2151" s="129" t="s">
        <v>49</v>
      </c>
      <c r="AR2151" s="128" t="s">
        <v>50</v>
      </c>
      <c r="AS2151" s="129" t="s">
        <v>45</v>
      </c>
      <c r="BC2151" s="129" t="s">
        <v>38</v>
      </c>
      <c r="BF2151" s="111">
        <f t="shared" si="1598"/>
        <v>36</v>
      </c>
      <c r="BG2151" s="111">
        <f t="shared" si="1599"/>
        <v>36</v>
      </c>
      <c r="BH2151" s="111">
        <f t="shared" si="1571"/>
        <v>37</v>
      </c>
      <c r="BI2151" s="111">
        <f t="shared" si="1572"/>
        <v>27.693989071038253</v>
      </c>
      <c r="BJ2151" s="129">
        <f t="shared" si="1577"/>
        <v>0</v>
      </c>
      <c r="BK2151" s="129">
        <f t="shared" si="1573"/>
        <v>0</v>
      </c>
      <c r="BL2151" s="129" t="str">
        <f t="shared" si="1601"/>
        <v>DEFERRED</v>
      </c>
      <c r="BM2151" s="129" t="str">
        <f t="shared" si="1578"/>
        <v>NONE</v>
      </c>
      <c r="BN2151" s="129" t="s">
        <v>566</v>
      </c>
      <c r="BP2151" s="137" t="str">
        <f t="shared" si="1579"/>
        <v>DEFERRED</v>
      </c>
      <c r="BQ2151" s="128" t="str">
        <f t="shared" si="1580"/>
        <v>Y</v>
      </c>
      <c r="BR2151" s="129" t="str">
        <f t="shared" si="1581"/>
        <v>DETAINED</v>
      </c>
      <c r="BS2151" s="129" t="str">
        <f t="shared" si="1582"/>
        <v>DISPOSED</v>
      </c>
      <c r="BT2151" s="129" t="str">
        <f t="shared" si="1583"/>
        <v>N</v>
      </c>
      <c r="BU2151" s="109">
        <f t="shared" si="1584"/>
        <v>0.97297297297297303</v>
      </c>
      <c r="BV2151" s="109">
        <f t="shared" si="1585"/>
        <v>1</v>
      </c>
      <c r="BW2151" s="109">
        <f t="shared" si="1596"/>
        <v>2.7027027027026973E-2</v>
      </c>
      <c r="BX2151" s="111">
        <f t="shared" si="1586"/>
        <v>0</v>
      </c>
      <c r="BY2151" s="129">
        <f t="shared" si="1587"/>
        <v>-36</v>
      </c>
      <c r="BZ2151" s="111">
        <f t="shared" si="1588"/>
        <v>0</v>
      </c>
      <c r="CA2151" s="138">
        <f t="shared" si="1589"/>
        <v>36</v>
      </c>
      <c r="CB2151" s="111" t="e">
        <f t="shared" si="1600"/>
        <v>#VALUE!</v>
      </c>
      <c r="CC2151" s="129">
        <f t="shared" si="1603"/>
        <v>36</v>
      </c>
      <c r="CD2151" s="129">
        <f t="shared" si="1604"/>
        <v>0</v>
      </c>
      <c r="CG2151" s="129" t="str">
        <f t="shared" si="1590"/>
        <v>Y</v>
      </c>
      <c r="CI2151" s="129" t="str">
        <f t="shared" si="1591"/>
        <v>31-60 DAYS</v>
      </c>
      <c r="CJ2151" s="137">
        <f t="shared" si="1592"/>
        <v>3</v>
      </c>
      <c r="CK2151" s="129" t="str">
        <f t="shared" si="1593"/>
        <v>Booked</v>
      </c>
    </row>
    <row r="2152" spans="1:89" ht="15" customHeight="1" x14ac:dyDescent="0.25">
      <c r="A2152" s="111">
        <v>455</v>
      </c>
      <c r="B2152" s="128" t="str">
        <f t="shared" si="1574"/>
        <v>N</v>
      </c>
      <c r="C2152" s="128" t="str">
        <f t="shared" si="1575"/>
        <v>N</v>
      </c>
      <c r="D2152" s="117">
        <v>2444093</v>
      </c>
      <c r="E2152" s="135">
        <f t="shared" si="1576"/>
        <v>2</v>
      </c>
      <c r="F2152" s="124">
        <v>40927</v>
      </c>
      <c r="G2152" s="125">
        <v>40975</v>
      </c>
      <c r="H2152" s="117">
        <v>2444093</v>
      </c>
      <c r="I2152" s="124">
        <v>40934</v>
      </c>
      <c r="J2152" s="124">
        <v>40975</v>
      </c>
      <c r="K2152" s="126">
        <v>10000</v>
      </c>
      <c r="L2152" s="127" t="s">
        <v>570</v>
      </c>
      <c r="N2152" s="129" t="str">
        <f t="shared" si="1597"/>
        <v>N</v>
      </c>
      <c r="O2152" s="128" t="s">
        <v>917</v>
      </c>
      <c r="P2152" s="129" t="s">
        <v>589</v>
      </c>
      <c r="Q2152" s="111">
        <f t="shared" si="1602"/>
        <v>42</v>
      </c>
      <c r="R2152" s="111">
        <f t="shared" si="1595"/>
        <v>49</v>
      </c>
      <c r="S2152" s="129">
        <v>0</v>
      </c>
      <c r="T2152" s="129">
        <v>1</v>
      </c>
      <c r="W2152" s="111"/>
      <c r="AC2152" s="130"/>
      <c r="AD2152" s="130">
        <v>30712</v>
      </c>
      <c r="AE2152" s="128" t="s">
        <v>32</v>
      </c>
      <c r="AF2152" s="128" t="s">
        <v>33</v>
      </c>
      <c r="AG2152" s="128" t="s">
        <v>872</v>
      </c>
      <c r="AH2152" s="108" t="s">
        <v>31</v>
      </c>
      <c r="AI2152" s="128" t="s">
        <v>118</v>
      </c>
      <c r="AJ2152" s="129" t="s">
        <v>48</v>
      </c>
      <c r="AK2152" s="129">
        <v>4</v>
      </c>
      <c r="AL2152" s="3" t="s">
        <v>48</v>
      </c>
      <c r="AP2152" s="129" t="s">
        <v>152</v>
      </c>
      <c r="AR2152" s="128" t="s">
        <v>67</v>
      </c>
      <c r="AS2152" s="129" t="s">
        <v>126</v>
      </c>
      <c r="BC2152" s="129" t="s">
        <v>38</v>
      </c>
      <c r="BF2152" s="111">
        <f t="shared" si="1598"/>
        <v>42</v>
      </c>
      <c r="BG2152" s="111">
        <f t="shared" si="1599"/>
        <v>42</v>
      </c>
      <c r="BH2152" s="111">
        <f t="shared" si="1571"/>
        <v>49</v>
      </c>
      <c r="BI2152" s="111">
        <f t="shared" si="1572"/>
        <v>27.909836065573771</v>
      </c>
      <c r="BJ2152" s="129">
        <f t="shared" si="1577"/>
        <v>0</v>
      </c>
      <c r="BK2152" s="129">
        <f t="shared" si="1573"/>
        <v>0</v>
      </c>
      <c r="BL2152" s="129" t="str">
        <f t="shared" si="1601"/>
        <v>DEFERRED</v>
      </c>
      <c r="BM2152" s="129" t="str">
        <f t="shared" si="1578"/>
        <v>NONE</v>
      </c>
      <c r="BN2152" s="129" t="s">
        <v>566</v>
      </c>
      <c r="BP2152" s="137" t="str">
        <f t="shared" si="1579"/>
        <v>DEFERRED</v>
      </c>
      <c r="BQ2152" s="128" t="str">
        <f t="shared" si="1580"/>
        <v>Y</v>
      </c>
      <c r="BR2152" s="129" t="str">
        <f t="shared" si="1581"/>
        <v>DETAINED</v>
      </c>
      <c r="BS2152" s="129" t="str">
        <f t="shared" si="1582"/>
        <v>DISPOSED</v>
      </c>
      <c r="BT2152" s="129" t="str">
        <f t="shared" si="1583"/>
        <v>N</v>
      </c>
      <c r="BU2152" s="109">
        <f t="shared" si="1584"/>
        <v>0.8571428571428571</v>
      </c>
      <c r="BV2152" s="109">
        <f t="shared" si="1585"/>
        <v>1</v>
      </c>
      <c r="BW2152" s="109">
        <f t="shared" si="1596"/>
        <v>0.1428571428571429</v>
      </c>
      <c r="BX2152" s="111">
        <f t="shared" si="1586"/>
        <v>0</v>
      </c>
      <c r="BY2152" s="129">
        <f t="shared" si="1587"/>
        <v>-42</v>
      </c>
      <c r="BZ2152" s="111">
        <f t="shared" si="1588"/>
        <v>0</v>
      </c>
      <c r="CA2152" s="138">
        <f t="shared" si="1589"/>
        <v>42</v>
      </c>
      <c r="CB2152" s="111" t="e">
        <f t="shared" si="1600"/>
        <v>#VALUE!</v>
      </c>
      <c r="CC2152" s="129">
        <f t="shared" si="1603"/>
        <v>42</v>
      </c>
      <c r="CD2152" s="129">
        <f t="shared" si="1604"/>
        <v>0</v>
      </c>
      <c r="CG2152" s="129" t="str">
        <f t="shared" si="1590"/>
        <v>Y</v>
      </c>
      <c r="CI2152" s="129" t="str">
        <f t="shared" si="1591"/>
        <v>31-60 DAYS</v>
      </c>
      <c r="CJ2152" s="137">
        <f t="shared" si="1592"/>
        <v>3</v>
      </c>
      <c r="CK2152" s="129" t="str">
        <f t="shared" si="1593"/>
        <v>Booked</v>
      </c>
    </row>
    <row r="2153" spans="1:89" ht="15.75" customHeight="1" x14ac:dyDescent="0.25">
      <c r="A2153" s="111">
        <v>984</v>
      </c>
      <c r="B2153" s="128" t="str">
        <f t="shared" si="1574"/>
        <v>N</v>
      </c>
      <c r="C2153" s="128" t="str">
        <f t="shared" si="1575"/>
        <v>N</v>
      </c>
      <c r="D2153" s="117">
        <v>2444277</v>
      </c>
      <c r="E2153" s="135">
        <f t="shared" si="1576"/>
        <v>2</v>
      </c>
      <c r="F2153" s="124">
        <v>40945</v>
      </c>
      <c r="G2153" s="125">
        <v>40975</v>
      </c>
      <c r="H2153" s="117">
        <v>2444277</v>
      </c>
      <c r="I2153" s="124">
        <v>40945</v>
      </c>
      <c r="J2153" s="124">
        <v>40975</v>
      </c>
      <c r="K2153" s="126" t="s">
        <v>564</v>
      </c>
      <c r="L2153" s="127" t="s">
        <v>564</v>
      </c>
      <c r="N2153" s="129" t="s">
        <v>566</v>
      </c>
      <c r="O2153" s="128" t="s">
        <v>917</v>
      </c>
      <c r="P2153" s="129" t="s">
        <v>589</v>
      </c>
      <c r="Q2153" s="111">
        <f t="shared" si="1602"/>
        <v>31</v>
      </c>
      <c r="R2153" s="111">
        <f t="shared" si="1595"/>
        <v>31</v>
      </c>
      <c r="S2153" s="129">
        <v>0</v>
      </c>
      <c r="T2153" s="129">
        <v>1</v>
      </c>
      <c r="W2153" s="111"/>
      <c r="AC2153" s="130"/>
      <c r="AD2153" s="130">
        <v>33494</v>
      </c>
      <c r="AE2153" s="128" t="s">
        <v>32</v>
      </c>
      <c r="AF2153" s="128" t="s">
        <v>40</v>
      </c>
      <c r="AG2153" s="128" t="s">
        <v>41</v>
      </c>
      <c r="AH2153" s="108" t="s">
        <v>41</v>
      </c>
      <c r="AI2153" s="128" t="s">
        <v>113</v>
      </c>
      <c r="AJ2153" s="129" t="s">
        <v>48</v>
      </c>
      <c r="AK2153" s="129">
        <v>3</v>
      </c>
      <c r="AL2153" s="3" t="s">
        <v>48</v>
      </c>
      <c r="AP2153" s="129" t="s">
        <v>150</v>
      </c>
      <c r="AR2153" s="128" t="s">
        <v>67</v>
      </c>
      <c r="AS2153" s="129" t="s">
        <v>74</v>
      </c>
      <c r="BC2153" s="129" t="s">
        <v>38</v>
      </c>
      <c r="BF2153" s="111">
        <f t="shared" si="1598"/>
        <v>31</v>
      </c>
      <c r="BG2153" s="111">
        <f t="shared" si="1599"/>
        <v>31</v>
      </c>
      <c r="BH2153" s="111">
        <f t="shared" si="1571"/>
        <v>31</v>
      </c>
      <c r="BI2153" s="111">
        <f t="shared" si="1572"/>
        <v>20.357923497267759</v>
      </c>
      <c r="BJ2153" s="129">
        <f t="shared" si="1577"/>
        <v>0</v>
      </c>
      <c r="BK2153" s="129">
        <f t="shared" si="1573"/>
        <v>0</v>
      </c>
      <c r="BL2153" s="129" t="str">
        <f t="shared" si="1601"/>
        <v>DEFERRED</v>
      </c>
      <c r="BM2153" s="129" t="str">
        <f t="shared" si="1578"/>
        <v>NONE</v>
      </c>
      <c r="BN2153" s="129" t="s">
        <v>566</v>
      </c>
      <c r="BP2153" s="137" t="str">
        <f t="shared" si="1579"/>
        <v>DEFERRED</v>
      </c>
      <c r="BQ2153" s="128" t="str">
        <f t="shared" si="1580"/>
        <v>Y</v>
      </c>
      <c r="BR2153" s="129" t="str">
        <f t="shared" si="1581"/>
        <v>DETAINED</v>
      </c>
      <c r="BS2153" s="129" t="str">
        <f t="shared" si="1582"/>
        <v>DISPOSED</v>
      </c>
      <c r="BT2153" s="129" t="str">
        <f t="shared" si="1583"/>
        <v>N</v>
      </c>
      <c r="BU2153" s="109">
        <f t="shared" si="1584"/>
        <v>1</v>
      </c>
      <c r="BV2153" s="109">
        <f t="shared" si="1585"/>
        <v>1</v>
      </c>
      <c r="BW2153" s="109">
        <f t="shared" si="1596"/>
        <v>0</v>
      </c>
      <c r="BX2153" s="111">
        <f t="shared" si="1586"/>
        <v>0</v>
      </c>
      <c r="BY2153" s="129">
        <f t="shared" si="1587"/>
        <v>-31</v>
      </c>
      <c r="BZ2153" s="111">
        <f t="shared" si="1588"/>
        <v>0</v>
      </c>
      <c r="CA2153" s="138">
        <f t="shared" si="1589"/>
        <v>31</v>
      </c>
      <c r="CB2153" s="111" t="e">
        <f t="shared" si="1600"/>
        <v>#VALUE!</v>
      </c>
      <c r="CC2153" s="129">
        <f t="shared" si="1603"/>
        <v>31</v>
      </c>
      <c r="CD2153" s="129">
        <f t="shared" si="1604"/>
        <v>0</v>
      </c>
      <c r="CG2153" s="129" t="str">
        <f t="shared" si="1590"/>
        <v>Y</v>
      </c>
      <c r="CI2153" s="129" t="str">
        <f t="shared" si="1591"/>
        <v>31-60 DAYS</v>
      </c>
      <c r="CJ2153" s="137">
        <f t="shared" si="1592"/>
        <v>3</v>
      </c>
      <c r="CK2153" s="129" t="str">
        <f t="shared" si="1593"/>
        <v>Booked</v>
      </c>
    </row>
    <row r="2154" spans="1:89" ht="15" customHeight="1" x14ac:dyDescent="0.25">
      <c r="A2154" s="111">
        <v>3075</v>
      </c>
      <c r="B2154" s="128" t="str">
        <f t="shared" si="1574"/>
        <v>N</v>
      </c>
      <c r="C2154" s="128" t="str">
        <f t="shared" si="1575"/>
        <v>N</v>
      </c>
      <c r="D2154" s="117">
        <v>2444508</v>
      </c>
      <c r="E2154" s="135">
        <f t="shared" si="1576"/>
        <v>2</v>
      </c>
      <c r="F2154" s="124">
        <v>41023</v>
      </c>
      <c r="G2154" s="125">
        <v>41204</v>
      </c>
      <c r="H2154" s="117">
        <v>2444508</v>
      </c>
      <c r="I2154" s="124">
        <v>41023</v>
      </c>
      <c r="J2154" s="124">
        <v>41024</v>
      </c>
      <c r="K2154" s="126">
        <v>2000</v>
      </c>
      <c r="L2154" s="127" t="s">
        <v>568</v>
      </c>
      <c r="M2154" s="125">
        <v>41024</v>
      </c>
      <c r="N2154" s="129" t="str">
        <f>IF(M2154&gt;1/1/1,"Y","N")</f>
        <v>Y</v>
      </c>
      <c r="O2154" s="128" t="s">
        <v>76</v>
      </c>
      <c r="P2154" s="129" t="s">
        <v>589</v>
      </c>
      <c r="Q2154" s="111">
        <f t="shared" si="1602"/>
        <v>2</v>
      </c>
      <c r="R2154" s="111">
        <f t="shared" si="1595"/>
        <v>182</v>
      </c>
      <c r="S2154" s="129">
        <v>0</v>
      </c>
      <c r="T2154" s="129">
        <v>4</v>
      </c>
      <c r="W2154" s="111"/>
      <c r="AC2154" s="130"/>
      <c r="AD2154" s="130">
        <v>32646</v>
      </c>
      <c r="AE2154" s="128" t="s">
        <v>32</v>
      </c>
      <c r="AF2154" s="128" t="s">
        <v>69</v>
      </c>
      <c r="AG2154" s="128" t="s">
        <v>874</v>
      </c>
      <c r="AH2154" s="108" t="s">
        <v>31</v>
      </c>
      <c r="AI2154" s="128" t="s">
        <v>118</v>
      </c>
      <c r="AJ2154" s="129" t="s">
        <v>48</v>
      </c>
      <c r="AK2154" s="129">
        <v>6</v>
      </c>
      <c r="AL2154" s="3" t="s">
        <v>48</v>
      </c>
      <c r="AP2154" s="129" t="s">
        <v>175</v>
      </c>
      <c r="AR2154" s="128" t="s">
        <v>44</v>
      </c>
      <c r="AS2154" s="129" t="s">
        <v>45</v>
      </c>
      <c r="BC2154" s="129" t="s">
        <v>52</v>
      </c>
      <c r="BF2154" s="111">
        <f t="shared" si="1598"/>
        <v>2</v>
      </c>
      <c r="BG2154" s="111">
        <f t="shared" si="1599"/>
        <v>182</v>
      </c>
      <c r="BH2154" s="111">
        <f t="shared" si="1571"/>
        <v>182</v>
      </c>
      <c r="BI2154" s="111">
        <f t="shared" si="1572"/>
        <v>22.887978142076502</v>
      </c>
      <c r="BJ2154" s="129">
        <f>(G2154-J2154)+(M2154-G2154)</f>
        <v>0</v>
      </c>
      <c r="BK2154" s="129">
        <f t="shared" si="1573"/>
        <v>-180</v>
      </c>
      <c r="BL2154" s="129" t="str">
        <f t="shared" si="1601"/>
        <v>DEFERRED</v>
      </c>
      <c r="BM2154" s="129" t="s">
        <v>76</v>
      </c>
      <c r="BN2154" s="129" t="s">
        <v>88</v>
      </c>
      <c r="BP2154" s="137" t="str">
        <f t="shared" si="1579"/>
        <v>DEFERRED</v>
      </c>
      <c r="BQ2154" s="128" t="str">
        <f t="shared" si="1580"/>
        <v>Y</v>
      </c>
      <c r="BR2154" s="129" t="str">
        <f t="shared" si="1581"/>
        <v>ON BOND</v>
      </c>
      <c r="BS2154" s="129" t="str">
        <f t="shared" si="1582"/>
        <v>DISPOSED</v>
      </c>
      <c r="BT2154" s="129" t="str">
        <f t="shared" si="1583"/>
        <v>N</v>
      </c>
      <c r="BU2154" s="109">
        <f t="shared" si="1584"/>
        <v>1.098901098901099E-2</v>
      </c>
      <c r="BV2154" s="109">
        <f t="shared" si="1585"/>
        <v>1.098901098901099E-2</v>
      </c>
      <c r="BW2154" s="109">
        <f t="shared" si="1596"/>
        <v>0</v>
      </c>
      <c r="BX2154" s="111">
        <f t="shared" si="1586"/>
        <v>0</v>
      </c>
      <c r="BY2154" s="129">
        <f t="shared" si="1587"/>
        <v>-2</v>
      </c>
      <c r="BZ2154" s="111">
        <f t="shared" si="1588"/>
        <v>0</v>
      </c>
      <c r="CA2154" s="138">
        <f t="shared" si="1589"/>
        <v>2</v>
      </c>
      <c r="CB2154" s="111" t="e">
        <f t="shared" si="1600"/>
        <v>#VALUE!</v>
      </c>
      <c r="CC2154" s="129">
        <f>M2154-I2154+1</f>
        <v>2</v>
      </c>
      <c r="CD2154" s="111">
        <f>CC2154-BF2154</f>
        <v>0</v>
      </c>
      <c r="CG2154" s="129" t="str">
        <f t="shared" si="1590"/>
        <v>Y</v>
      </c>
      <c r="CI2154" s="129" t="str">
        <f t="shared" si="1591"/>
        <v>0-10 DAYS</v>
      </c>
      <c r="CJ2154" s="137">
        <f t="shared" si="1592"/>
        <v>1</v>
      </c>
      <c r="CK2154" s="129" t="str">
        <f t="shared" si="1593"/>
        <v>Booked</v>
      </c>
    </row>
    <row r="2155" spans="1:89" ht="15" customHeight="1" x14ac:dyDescent="0.25">
      <c r="A2155" s="111">
        <v>25</v>
      </c>
      <c r="B2155" s="128" t="str">
        <f t="shared" si="1574"/>
        <v>N</v>
      </c>
      <c r="C2155" s="128" t="str">
        <f t="shared" si="1575"/>
        <v>N</v>
      </c>
      <c r="D2155" s="117">
        <v>2445136</v>
      </c>
      <c r="E2155" s="135">
        <f t="shared" si="1576"/>
        <v>1</v>
      </c>
      <c r="F2155" s="124">
        <v>40910</v>
      </c>
      <c r="G2155" s="125">
        <v>41152</v>
      </c>
      <c r="H2155" s="117">
        <v>2445136</v>
      </c>
      <c r="I2155" s="124">
        <v>40910</v>
      </c>
      <c r="J2155" s="124">
        <v>41152</v>
      </c>
      <c r="K2155" s="126" t="s">
        <v>564</v>
      </c>
      <c r="L2155" s="127" t="s">
        <v>564</v>
      </c>
      <c r="N2155" s="129" t="s">
        <v>566</v>
      </c>
      <c r="O2155" s="128" t="s">
        <v>917</v>
      </c>
      <c r="P2155" s="129" t="s">
        <v>55</v>
      </c>
      <c r="Q2155" s="111">
        <f t="shared" si="1602"/>
        <v>243</v>
      </c>
      <c r="R2155" s="111">
        <f t="shared" si="1595"/>
        <v>243</v>
      </c>
      <c r="S2155" s="129">
        <v>0</v>
      </c>
      <c r="T2155" s="129">
        <v>1</v>
      </c>
      <c r="W2155" s="111"/>
      <c r="AC2155" s="130"/>
      <c r="AD2155" s="130">
        <v>33604</v>
      </c>
      <c r="AE2155" s="128" t="s">
        <v>32</v>
      </c>
      <c r="AF2155" s="128" t="s">
        <v>33</v>
      </c>
      <c r="AG2155" s="128" t="s">
        <v>872</v>
      </c>
      <c r="AH2155" s="108" t="s">
        <v>31</v>
      </c>
      <c r="AI2155" s="128" t="s">
        <v>62</v>
      </c>
      <c r="AJ2155" s="129" t="s">
        <v>55</v>
      </c>
      <c r="AK2155" s="129">
        <v>10</v>
      </c>
      <c r="AL2155" s="3" t="s">
        <v>55</v>
      </c>
      <c r="AP2155" s="129" t="s">
        <v>56</v>
      </c>
      <c r="AR2155" s="128" t="s">
        <v>50</v>
      </c>
      <c r="AS2155" s="129" t="s">
        <v>57</v>
      </c>
      <c r="BC2155" s="129" t="s">
        <v>38</v>
      </c>
      <c r="BF2155" s="111">
        <f t="shared" si="1598"/>
        <v>243</v>
      </c>
      <c r="BG2155" s="111">
        <f t="shared" si="1599"/>
        <v>243</v>
      </c>
      <c r="BH2155" s="111">
        <f t="shared" si="1571"/>
        <v>243</v>
      </c>
      <c r="BI2155" s="111">
        <f t="shared" si="1572"/>
        <v>19.961748633879782</v>
      </c>
      <c r="BJ2155" s="129">
        <f t="shared" si="1577"/>
        <v>0</v>
      </c>
      <c r="BK2155" s="129">
        <f t="shared" si="1573"/>
        <v>0</v>
      </c>
      <c r="BL2155" s="129" t="str">
        <f t="shared" si="1601"/>
        <v>NO CONVICTION</v>
      </c>
      <c r="BM2155" s="129" t="str">
        <f t="shared" si="1578"/>
        <v>NONE</v>
      </c>
      <c r="BN2155" s="129" t="s">
        <v>566</v>
      </c>
      <c r="BP2155" s="137" t="str">
        <f t="shared" si="1579"/>
        <v>NO CONVICTION</v>
      </c>
      <c r="BQ2155" s="128" t="str">
        <f t="shared" si="1580"/>
        <v>Y</v>
      </c>
      <c r="BR2155" s="129" t="str">
        <f t="shared" si="1581"/>
        <v>DETAINED</v>
      </c>
      <c r="BS2155" s="129" t="str">
        <f t="shared" si="1582"/>
        <v>DISPOSED</v>
      </c>
      <c r="BT2155" s="129" t="str">
        <f t="shared" si="1583"/>
        <v>N</v>
      </c>
      <c r="BU2155" s="109">
        <f>IFERROR(Q2155/R2155,BR2155)</f>
        <v>1</v>
      </c>
      <c r="BV2155" s="109">
        <f t="shared" si="1585"/>
        <v>1</v>
      </c>
      <c r="BW2155" s="109">
        <f t="shared" si="1596"/>
        <v>0</v>
      </c>
      <c r="BX2155" s="111">
        <f t="shared" si="1586"/>
        <v>0</v>
      </c>
      <c r="BY2155" s="129">
        <f t="shared" si="1587"/>
        <v>-243</v>
      </c>
      <c r="BZ2155" s="111">
        <f t="shared" si="1588"/>
        <v>0</v>
      </c>
      <c r="CA2155" s="138">
        <f t="shared" si="1589"/>
        <v>243</v>
      </c>
      <c r="CB2155" s="111" t="e">
        <f t="shared" si="1600"/>
        <v>#VALUE!</v>
      </c>
      <c r="CC2155" s="129">
        <f>G2155-I2155+1</f>
        <v>243</v>
      </c>
      <c r="CD2155" s="129">
        <f>G2155-J2155</f>
        <v>0</v>
      </c>
      <c r="CG2155" s="129" t="str">
        <f t="shared" si="1590"/>
        <v>Y</v>
      </c>
      <c r="CI2155" s="129" t="str">
        <f t="shared" si="1591"/>
        <v>121-365 DAYS</v>
      </c>
      <c r="CJ2155" s="137">
        <f t="shared" si="1592"/>
        <v>6</v>
      </c>
      <c r="CK2155" s="129" t="str">
        <f t="shared" si="1593"/>
        <v>Booked</v>
      </c>
    </row>
    <row r="2156" spans="1:89" ht="15" customHeight="1" x14ac:dyDescent="0.25">
      <c r="A2156" s="111">
        <v>436</v>
      </c>
      <c r="B2156" s="128" t="str">
        <f t="shared" si="1574"/>
        <v>N</v>
      </c>
      <c r="C2156" s="128" t="str">
        <f t="shared" si="1575"/>
        <v>N</v>
      </c>
      <c r="D2156" s="117">
        <v>2445494</v>
      </c>
      <c r="E2156" s="135">
        <f t="shared" si="1576"/>
        <v>2</v>
      </c>
      <c r="F2156" s="124">
        <v>40927</v>
      </c>
      <c r="G2156" s="125">
        <v>40931</v>
      </c>
      <c r="H2156" s="117">
        <v>2445494</v>
      </c>
      <c r="I2156" s="124">
        <v>40927</v>
      </c>
      <c r="J2156" s="124">
        <v>40931</v>
      </c>
      <c r="K2156" s="126">
        <v>20000</v>
      </c>
      <c r="L2156" s="127" t="s">
        <v>571</v>
      </c>
      <c r="N2156" s="129" t="str">
        <f t="shared" ref="N2156:N2167" si="1605">IF(M2156&gt;1/1/1,"Y","N")</f>
        <v>N</v>
      </c>
      <c r="O2156" s="128" t="s">
        <v>917</v>
      </c>
      <c r="P2156" s="129" t="s">
        <v>589</v>
      </c>
      <c r="Q2156" s="111">
        <f t="shared" si="1602"/>
        <v>5</v>
      </c>
      <c r="R2156" s="111">
        <f t="shared" si="1595"/>
        <v>5</v>
      </c>
      <c r="S2156" s="129">
        <v>0</v>
      </c>
      <c r="T2156" s="129">
        <v>0</v>
      </c>
      <c r="W2156" s="111"/>
      <c r="AC2156" s="130"/>
      <c r="AD2156" s="130">
        <v>29092</v>
      </c>
      <c r="AE2156" s="128" t="s">
        <v>32</v>
      </c>
      <c r="AF2156" s="128" t="s">
        <v>33</v>
      </c>
      <c r="AG2156" s="128" t="s">
        <v>872</v>
      </c>
      <c r="AH2156" s="108" t="s">
        <v>31</v>
      </c>
      <c r="AI2156" s="128" t="s">
        <v>87</v>
      </c>
      <c r="AJ2156" s="129" t="s">
        <v>48</v>
      </c>
      <c r="AK2156" s="129">
        <v>2</v>
      </c>
      <c r="AL2156" s="3" t="s">
        <v>48</v>
      </c>
      <c r="AP2156" s="129" t="s">
        <v>49</v>
      </c>
      <c r="AR2156" s="128" t="s">
        <v>50</v>
      </c>
      <c r="AS2156" s="129" t="s">
        <v>45</v>
      </c>
      <c r="BC2156" s="129" t="s">
        <v>38</v>
      </c>
      <c r="BF2156" s="111">
        <f t="shared" si="1598"/>
        <v>5</v>
      </c>
      <c r="BG2156" s="111">
        <f t="shared" si="1599"/>
        <v>5</v>
      </c>
      <c r="BH2156" s="111">
        <f t="shared" si="1571"/>
        <v>5</v>
      </c>
      <c r="BI2156" s="111">
        <f t="shared" si="1572"/>
        <v>32.33606557377049</v>
      </c>
      <c r="BJ2156" s="129">
        <f t="shared" si="1577"/>
        <v>0</v>
      </c>
      <c r="BK2156" s="129">
        <f t="shared" si="1573"/>
        <v>0</v>
      </c>
      <c r="BL2156" s="129" t="str">
        <f t="shared" si="1601"/>
        <v>DEFERRED</v>
      </c>
      <c r="BM2156" s="129" t="str">
        <f t="shared" si="1578"/>
        <v>NONE</v>
      </c>
      <c r="BN2156" s="129" t="s">
        <v>566</v>
      </c>
      <c r="BP2156" s="137" t="str">
        <f t="shared" si="1579"/>
        <v>DEFERRED</v>
      </c>
      <c r="BQ2156" s="128" t="str">
        <f t="shared" si="1580"/>
        <v>Y</v>
      </c>
      <c r="BR2156" s="129" t="str">
        <f t="shared" si="1581"/>
        <v>DETAINED</v>
      </c>
      <c r="BS2156" s="129" t="str">
        <f t="shared" si="1582"/>
        <v>DISPOSED</v>
      </c>
      <c r="BT2156" s="129" t="str">
        <f t="shared" si="1583"/>
        <v>N</v>
      </c>
      <c r="BU2156" s="109">
        <f t="shared" si="1584"/>
        <v>1</v>
      </c>
      <c r="BV2156" s="109">
        <f t="shared" si="1585"/>
        <v>1</v>
      </c>
      <c r="BW2156" s="109">
        <f t="shared" si="1596"/>
        <v>0</v>
      </c>
      <c r="BX2156" s="111">
        <f t="shared" si="1586"/>
        <v>0</v>
      </c>
      <c r="BY2156" s="129">
        <f t="shared" si="1587"/>
        <v>-5</v>
      </c>
      <c r="BZ2156" s="111">
        <f t="shared" si="1588"/>
        <v>0</v>
      </c>
      <c r="CA2156" s="138">
        <f t="shared" si="1589"/>
        <v>5</v>
      </c>
      <c r="CB2156" s="111" t="e">
        <f t="shared" si="1600"/>
        <v>#VALUE!</v>
      </c>
      <c r="CC2156" s="129">
        <f>G2156-I2156+1</f>
        <v>5</v>
      </c>
      <c r="CD2156" s="129">
        <f>G2156-J2156</f>
        <v>0</v>
      </c>
      <c r="CG2156" s="129" t="str">
        <f t="shared" si="1590"/>
        <v>N</v>
      </c>
      <c r="CI2156" s="129" t="str">
        <f t="shared" si="1591"/>
        <v>0-10 DAYS</v>
      </c>
      <c r="CJ2156" s="137">
        <f t="shared" si="1592"/>
        <v>1</v>
      </c>
      <c r="CK2156" s="129" t="str">
        <f t="shared" si="1593"/>
        <v>Booked</v>
      </c>
    </row>
    <row r="2157" spans="1:89" ht="15.75" customHeight="1" x14ac:dyDescent="0.25">
      <c r="A2157" s="111">
        <v>520</v>
      </c>
      <c r="B2157" s="128" t="str">
        <f t="shared" si="1574"/>
        <v>N</v>
      </c>
      <c r="C2157" s="128" t="str">
        <f t="shared" si="1575"/>
        <v>N</v>
      </c>
      <c r="D2157" s="117">
        <v>2446018</v>
      </c>
      <c r="E2157" s="135">
        <f t="shared" si="1576"/>
        <v>1</v>
      </c>
      <c r="F2157" s="124">
        <v>40929</v>
      </c>
      <c r="G2157" s="125">
        <v>41184</v>
      </c>
      <c r="H2157" s="117">
        <v>2446018</v>
      </c>
      <c r="I2157" s="124">
        <v>40929</v>
      </c>
      <c r="J2157" s="124">
        <v>40932</v>
      </c>
      <c r="K2157" s="126">
        <v>2000</v>
      </c>
      <c r="L2157" s="127" t="s">
        <v>568</v>
      </c>
      <c r="M2157" s="125">
        <v>40932</v>
      </c>
      <c r="N2157" s="129" t="str">
        <f t="shared" si="1605"/>
        <v>Y</v>
      </c>
      <c r="O2157" s="128" t="s">
        <v>585</v>
      </c>
      <c r="P2157" s="129" t="s">
        <v>549</v>
      </c>
      <c r="Q2157" s="111">
        <f t="shared" si="1602"/>
        <v>4</v>
      </c>
      <c r="R2157" s="111">
        <f t="shared" si="1595"/>
        <v>256</v>
      </c>
      <c r="S2157" s="129">
        <v>0</v>
      </c>
      <c r="T2157" s="129">
        <v>0</v>
      </c>
      <c r="W2157" s="111"/>
      <c r="AB2157" s="131" t="s">
        <v>112</v>
      </c>
      <c r="AC2157" s="130"/>
      <c r="AD2157" s="130">
        <v>25513</v>
      </c>
      <c r="AE2157" s="128" t="s">
        <v>32</v>
      </c>
      <c r="AF2157" s="128" t="s">
        <v>40</v>
      </c>
      <c r="AG2157" s="128" t="s">
        <v>41</v>
      </c>
      <c r="AH2157" s="108" t="s">
        <v>31</v>
      </c>
      <c r="AI2157" s="128" t="s">
        <v>53</v>
      </c>
      <c r="AJ2157" s="129" t="s">
        <v>553</v>
      </c>
      <c r="AK2157" s="129">
        <v>18</v>
      </c>
      <c r="AL2157" s="3" t="s">
        <v>1334</v>
      </c>
      <c r="AP2157" s="129" t="s">
        <v>43</v>
      </c>
      <c r="AR2157" s="128" t="s">
        <v>44</v>
      </c>
      <c r="AS2157" s="129" t="s">
        <v>45</v>
      </c>
      <c r="BC2157" s="129" t="s">
        <v>52</v>
      </c>
      <c r="BF2157" s="111">
        <f t="shared" si="1598"/>
        <v>4</v>
      </c>
      <c r="BG2157" s="111">
        <f t="shared" si="1599"/>
        <v>256</v>
      </c>
      <c r="BH2157" s="111">
        <f t="shared" si="1571"/>
        <v>256</v>
      </c>
      <c r="BI2157" s="111">
        <f t="shared" si="1572"/>
        <v>42.120218579234972</v>
      </c>
      <c r="BJ2157" s="129">
        <f>(G2157-J2157)+(M2157-G2157)</f>
        <v>0</v>
      </c>
      <c r="BK2157" s="129">
        <f t="shared" si="1573"/>
        <v>-252</v>
      </c>
      <c r="BL2157" s="129">
        <f t="shared" si="1601"/>
        <v>0</v>
      </c>
      <c r="BM2157" s="129" t="s">
        <v>76</v>
      </c>
      <c r="BN2157" s="129" t="s">
        <v>88</v>
      </c>
      <c r="BP2157" s="137" t="str">
        <f t="shared" si="1579"/>
        <v>NO CONVICTION</v>
      </c>
      <c r="BQ2157" s="128" t="str">
        <f t="shared" si="1580"/>
        <v>Y</v>
      </c>
      <c r="BR2157" s="129" t="str">
        <f t="shared" si="1581"/>
        <v>ON BOND</v>
      </c>
      <c r="BS2157" s="129" t="str">
        <f t="shared" si="1582"/>
        <v>DISPOSED</v>
      </c>
      <c r="BT2157" s="129" t="str">
        <f t="shared" si="1583"/>
        <v>N</v>
      </c>
      <c r="BU2157" s="109">
        <f>IFERROR(Q2157/R2157,BR2157)</f>
        <v>1.5625E-2</v>
      </c>
      <c r="BV2157" s="109">
        <f t="shared" si="1585"/>
        <v>1.5625E-2</v>
      </c>
      <c r="BW2157" s="109">
        <f t="shared" si="1596"/>
        <v>0</v>
      </c>
      <c r="BX2157" s="111">
        <f t="shared" si="1586"/>
        <v>0</v>
      </c>
      <c r="BY2157" s="129">
        <f t="shared" si="1587"/>
        <v>-4</v>
      </c>
      <c r="BZ2157" s="111">
        <f t="shared" si="1588"/>
        <v>0</v>
      </c>
      <c r="CA2157" s="138">
        <f t="shared" si="1589"/>
        <v>4</v>
      </c>
      <c r="CB2157" s="111" t="e">
        <f t="shared" si="1600"/>
        <v>#VALUE!</v>
      </c>
      <c r="CC2157" s="129">
        <f>M2157-I2157+1</f>
        <v>4</v>
      </c>
      <c r="CD2157" s="111">
        <f>CC2157-BF2157</f>
        <v>0</v>
      </c>
      <c r="CG2157" s="129" t="str">
        <f t="shared" si="1590"/>
        <v>N</v>
      </c>
      <c r="CI2157" s="129" t="str">
        <f t="shared" si="1591"/>
        <v>0-10 DAYS</v>
      </c>
      <c r="CJ2157" s="137">
        <f t="shared" si="1592"/>
        <v>1</v>
      </c>
      <c r="CK2157" s="129" t="str">
        <f t="shared" si="1593"/>
        <v>Booked</v>
      </c>
    </row>
    <row r="2158" spans="1:89" ht="15.75" customHeight="1" x14ac:dyDescent="0.25">
      <c r="A2158" s="111">
        <v>2691</v>
      </c>
      <c r="B2158" s="128" t="str">
        <f t="shared" si="1574"/>
        <v>N</v>
      </c>
      <c r="C2158" s="128" t="str">
        <f t="shared" si="1575"/>
        <v>N</v>
      </c>
      <c r="D2158" s="117">
        <v>2446032</v>
      </c>
      <c r="E2158" s="135">
        <f t="shared" si="1576"/>
        <v>5</v>
      </c>
      <c r="F2158" s="124">
        <v>41009</v>
      </c>
      <c r="G2158" s="125">
        <v>41011</v>
      </c>
      <c r="H2158" s="117">
        <v>2446032</v>
      </c>
      <c r="I2158" s="124">
        <v>41009</v>
      </c>
      <c r="J2158" s="124">
        <v>41011</v>
      </c>
      <c r="K2158" s="126">
        <v>5000</v>
      </c>
      <c r="L2158" s="127" t="s">
        <v>569</v>
      </c>
      <c r="N2158" s="129" t="str">
        <f t="shared" si="1605"/>
        <v>N</v>
      </c>
      <c r="O2158" s="128" t="s">
        <v>917</v>
      </c>
      <c r="P2158" s="129" t="s">
        <v>39</v>
      </c>
      <c r="Q2158" s="111">
        <f t="shared" si="1602"/>
        <v>3</v>
      </c>
      <c r="R2158" s="111">
        <f t="shared" si="1595"/>
        <v>3</v>
      </c>
      <c r="S2158" s="129">
        <v>1</v>
      </c>
      <c r="T2158" s="129">
        <v>3</v>
      </c>
      <c r="W2158" s="111"/>
      <c r="AC2158" s="130"/>
      <c r="AD2158" s="130">
        <v>33726</v>
      </c>
      <c r="AE2158" s="128" t="s">
        <v>32</v>
      </c>
      <c r="AF2158" s="128" t="s">
        <v>33</v>
      </c>
      <c r="AG2158" s="128" t="s">
        <v>872</v>
      </c>
      <c r="AH2158" s="108" t="s">
        <v>31</v>
      </c>
      <c r="AI2158" s="128" t="s">
        <v>59</v>
      </c>
      <c r="AJ2158" s="129" t="s">
        <v>89</v>
      </c>
      <c r="AK2158" s="129">
        <v>2</v>
      </c>
      <c r="AL2158" s="3" t="s">
        <v>992</v>
      </c>
      <c r="AN2158" s="117">
        <v>6</v>
      </c>
      <c r="AP2158" s="129" t="s">
        <v>426</v>
      </c>
      <c r="AR2158" s="128" t="s">
        <v>44</v>
      </c>
      <c r="AS2158" s="129" t="s">
        <v>64</v>
      </c>
      <c r="BC2158" s="129" t="s">
        <v>38</v>
      </c>
      <c r="BF2158" s="111">
        <f t="shared" si="1598"/>
        <v>3</v>
      </c>
      <c r="BG2158" s="111">
        <f t="shared" si="1599"/>
        <v>3</v>
      </c>
      <c r="BH2158" s="111">
        <f t="shared" si="1571"/>
        <v>3</v>
      </c>
      <c r="BI2158" s="111">
        <f t="shared" si="1572"/>
        <v>19.898907103825138</v>
      </c>
      <c r="BJ2158" s="129">
        <f t="shared" si="1577"/>
        <v>0</v>
      </c>
      <c r="BK2158" s="129">
        <f t="shared" si="1573"/>
        <v>0</v>
      </c>
      <c r="BL2158" s="129" t="str">
        <f t="shared" si="1601"/>
        <v>CONVICTION</v>
      </c>
      <c r="BM2158" s="129" t="str">
        <f t="shared" si="1578"/>
        <v>NONE</v>
      </c>
      <c r="BN2158" s="129" t="s">
        <v>566</v>
      </c>
      <c r="BP2158" s="137" t="str">
        <f t="shared" si="1579"/>
        <v>CONVICTION</v>
      </c>
      <c r="BQ2158" s="128" t="str">
        <f t="shared" si="1580"/>
        <v>Y</v>
      </c>
      <c r="BR2158" s="129" t="str">
        <f t="shared" si="1581"/>
        <v>DETAINED</v>
      </c>
      <c r="BS2158" s="129" t="str">
        <f t="shared" si="1582"/>
        <v>DISPOSED</v>
      </c>
      <c r="BT2158" s="129" t="str">
        <f t="shared" si="1583"/>
        <v>Y</v>
      </c>
      <c r="BU2158" s="109">
        <f t="shared" si="1584"/>
        <v>1</v>
      </c>
      <c r="BV2158" s="109">
        <f t="shared" si="1585"/>
        <v>1</v>
      </c>
      <c r="BW2158" s="109">
        <f t="shared" si="1596"/>
        <v>0</v>
      </c>
      <c r="BX2158" s="111">
        <f t="shared" si="1586"/>
        <v>0</v>
      </c>
      <c r="BY2158" s="129">
        <f t="shared" si="1587"/>
        <v>-3</v>
      </c>
      <c r="BZ2158" s="111">
        <f t="shared" si="1588"/>
        <v>0</v>
      </c>
      <c r="CA2158" s="138">
        <f t="shared" si="1589"/>
        <v>3</v>
      </c>
      <c r="CB2158" s="111" t="e">
        <f t="shared" si="1600"/>
        <v>#VALUE!</v>
      </c>
      <c r="CC2158" s="129">
        <f>G2158-I2158+1</f>
        <v>3</v>
      </c>
      <c r="CD2158" s="129">
        <f>G2158-J2158</f>
        <v>0</v>
      </c>
      <c r="CG2158" s="129" t="str">
        <f t="shared" si="1590"/>
        <v>Y</v>
      </c>
      <c r="CI2158" s="129" t="str">
        <f t="shared" si="1591"/>
        <v>0-10 DAYS</v>
      </c>
      <c r="CJ2158" s="137">
        <f t="shared" si="1592"/>
        <v>1</v>
      </c>
      <c r="CK2158" s="129" t="str">
        <f t="shared" si="1593"/>
        <v>Booked</v>
      </c>
    </row>
    <row r="2159" spans="1:89" ht="15.75" customHeight="1" x14ac:dyDescent="0.25">
      <c r="A2159" s="111">
        <v>488</v>
      </c>
      <c r="B2159" s="128" t="str">
        <f t="shared" si="1574"/>
        <v>N</v>
      </c>
      <c r="C2159" s="128" t="str">
        <f t="shared" si="1575"/>
        <v>N</v>
      </c>
      <c r="D2159" s="117">
        <v>2446532</v>
      </c>
      <c r="E2159" s="135">
        <f t="shared" si="1576"/>
        <v>2</v>
      </c>
      <c r="F2159" s="124">
        <v>40928</v>
      </c>
      <c r="G2159" s="125">
        <v>41067</v>
      </c>
      <c r="H2159" s="117">
        <v>2446532</v>
      </c>
      <c r="I2159" s="124">
        <v>40928</v>
      </c>
      <c r="J2159" s="124">
        <v>40932</v>
      </c>
      <c r="K2159" s="126">
        <v>5000</v>
      </c>
      <c r="L2159" s="127" t="s">
        <v>569</v>
      </c>
      <c r="M2159" s="125">
        <v>40932</v>
      </c>
      <c r="N2159" s="129" t="str">
        <f t="shared" si="1605"/>
        <v>Y</v>
      </c>
      <c r="O2159" s="128" t="s">
        <v>585</v>
      </c>
      <c r="P2159" s="129" t="s">
        <v>77</v>
      </c>
      <c r="Q2159" s="111">
        <f t="shared" si="1602"/>
        <v>5</v>
      </c>
      <c r="R2159" s="111">
        <f t="shared" si="1595"/>
        <v>140</v>
      </c>
      <c r="S2159" s="129">
        <v>0</v>
      </c>
      <c r="T2159" s="129">
        <v>1</v>
      </c>
      <c r="W2159" s="111"/>
      <c r="AB2159" s="131" t="s">
        <v>112</v>
      </c>
      <c r="AC2159" s="130"/>
      <c r="AD2159" s="130">
        <v>33087</v>
      </c>
      <c r="AE2159" s="128" t="s">
        <v>32</v>
      </c>
      <c r="AF2159" s="128" t="s">
        <v>40</v>
      </c>
      <c r="AG2159" s="128" t="s">
        <v>41</v>
      </c>
      <c r="AH2159" s="108" t="s">
        <v>31</v>
      </c>
      <c r="AI2159" s="128" t="s">
        <v>53</v>
      </c>
      <c r="AJ2159" s="129" t="s">
        <v>48</v>
      </c>
      <c r="AK2159" s="129">
        <v>7</v>
      </c>
      <c r="AL2159" s="3" t="s">
        <v>48</v>
      </c>
      <c r="AP2159" s="129" t="s">
        <v>175</v>
      </c>
      <c r="AR2159" s="128" t="s">
        <v>44</v>
      </c>
      <c r="AS2159" s="129" t="s">
        <v>45</v>
      </c>
      <c r="BC2159" s="129" t="s">
        <v>52</v>
      </c>
      <c r="BF2159" s="111">
        <f t="shared" si="1598"/>
        <v>5</v>
      </c>
      <c r="BG2159" s="111">
        <f t="shared" si="1599"/>
        <v>140</v>
      </c>
      <c r="BH2159" s="111">
        <f t="shared" si="1571"/>
        <v>140</v>
      </c>
      <c r="BI2159" s="111">
        <f t="shared" si="1572"/>
        <v>21.423497267759561</v>
      </c>
      <c r="BJ2159" s="129">
        <f>(G2159-J2159)+(M2159-G2159)</f>
        <v>0</v>
      </c>
      <c r="BK2159" s="129">
        <f t="shared" si="1573"/>
        <v>-135</v>
      </c>
      <c r="BL2159" s="129" t="str">
        <f t="shared" si="1601"/>
        <v>DEFERRED</v>
      </c>
      <c r="BM2159" s="129" t="s">
        <v>76</v>
      </c>
      <c r="BN2159" s="129" t="s">
        <v>88</v>
      </c>
      <c r="BP2159" s="137" t="str">
        <f t="shared" si="1579"/>
        <v>DEFERRED</v>
      </c>
      <c r="BQ2159" s="128" t="str">
        <f t="shared" si="1580"/>
        <v>Y</v>
      </c>
      <c r="BR2159" s="129" t="str">
        <f t="shared" si="1581"/>
        <v>ON BOND</v>
      </c>
      <c r="BS2159" s="129" t="str">
        <f t="shared" si="1582"/>
        <v>DISPOSED</v>
      </c>
      <c r="BT2159" s="129" t="str">
        <f t="shared" si="1583"/>
        <v>N</v>
      </c>
      <c r="BU2159" s="109">
        <f t="shared" si="1584"/>
        <v>3.5714285714285712E-2</v>
      </c>
      <c r="BV2159" s="109">
        <f t="shared" si="1585"/>
        <v>3.5714285714285712E-2</v>
      </c>
      <c r="BW2159" s="109">
        <f t="shared" si="1596"/>
        <v>0</v>
      </c>
      <c r="BX2159" s="111">
        <f t="shared" si="1586"/>
        <v>0</v>
      </c>
      <c r="BY2159" s="129">
        <f t="shared" si="1587"/>
        <v>-5</v>
      </c>
      <c r="BZ2159" s="111">
        <f t="shared" si="1588"/>
        <v>0</v>
      </c>
      <c r="CA2159" s="138">
        <f t="shared" si="1589"/>
        <v>5</v>
      </c>
      <c r="CB2159" s="111" t="e">
        <f t="shared" si="1600"/>
        <v>#VALUE!</v>
      </c>
      <c r="CC2159" s="129">
        <f>M2159-I2159+1</f>
        <v>5</v>
      </c>
      <c r="CD2159" s="111">
        <f>CC2159-BF2159</f>
        <v>0</v>
      </c>
      <c r="CG2159" s="129" t="str">
        <f t="shared" si="1590"/>
        <v>Y</v>
      </c>
      <c r="CI2159" s="129" t="str">
        <f t="shared" si="1591"/>
        <v>0-10 DAYS</v>
      </c>
      <c r="CJ2159" s="137">
        <f t="shared" si="1592"/>
        <v>1</v>
      </c>
      <c r="CK2159" s="129" t="str">
        <f t="shared" si="1593"/>
        <v>Booked</v>
      </c>
    </row>
    <row r="2160" spans="1:89" ht="15" customHeight="1" x14ac:dyDescent="0.25">
      <c r="A2160" s="111">
        <v>850</v>
      </c>
      <c r="B2160" s="128" t="str">
        <f t="shared" si="1574"/>
        <v>N</v>
      </c>
      <c r="C2160" s="128" t="str">
        <f t="shared" si="1575"/>
        <v>N</v>
      </c>
      <c r="D2160" s="117">
        <v>2447317</v>
      </c>
      <c r="E2160" s="135">
        <f t="shared" si="1576"/>
        <v>2</v>
      </c>
      <c r="F2160" s="124">
        <v>40940</v>
      </c>
      <c r="G2160" s="125">
        <v>40991</v>
      </c>
      <c r="H2160" s="117">
        <v>2447317</v>
      </c>
      <c r="I2160" s="124">
        <v>40941</v>
      </c>
      <c r="J2160" s="124">
        <v>40943</v>
      </c>
      <c r="K2160" s="126">
        <v>2000</v>
      </c>
      <c r="L2160" s="127" t="s">
        <v>568</v>
      </c>
      <c r="M2160" s="125">
        <v>40943</v>
      </c>
      <c r="N2160" s="129" t="str">
        <f t="shared" si="1605"/>
        <v>Y</v>
      </c>
      <c r="O2160" s="128" t="s">
        <v>76</v>
      </c>
      <c r="P2160" s="129" t="s">
        <v>589</v>
      </c>
      <c r="Q2160" s="111">
        <f t="shared" si="1602"/>
        <v>3</v>
      </c>
      <c r="R2160" s="111">
        <f t="shared" si="1595"/>
        <v>52</v>
      </c>
      <c r="S2160" s="129">
        <v>0</v>
      </c>
      <c r="T2160" s="129">
        <v>2</v>
      </c>
      <c r="W2160" s="111"/>
      <c r="AC2160" s="130"/>
      <c r="AD2160" s="130">
        <v>31791</v>
      </c>
      <c r="AE2160" s="128" t="s">
        <v>32</v>
      </c>
      <c r="AF2160" s="128" t="s">
        <v>69</v>
      </c>
      <c r="AG2160" s="128" t="s">
        <v>874</v>
      </c>
      <c r="AH2160" s="108" t="s">
        <v>31</v>
      </c>
      <c r="AI2160" s="128" t="s">
        <v>113</v>
      </c>
      <c r="AJ2160" s="129" t="s">
        <v>48</v>
      </c>
      <c r="AK2160" s="129">
        <v>5</v>
      </c>
      <c r="AL2160" s="3" t="s">
        <v>48</v>
      </c>
      <c r="AP2160" s="129" t="s">
        <v>108</v>
      </c>
      <c r="AR2160" s="128" t="s">
        <v>44</v>
      </c>
      <c r="AS2160" s="129" t="s">
        <v>61</v>
      </c>
      <c r="BC2160" s="129" t="s">
        <v>38</v>
      </c>
      <c r="BF2160" s="111">
        <f t="shared" si="1598"/>
        <v>3</v>
      </c>
      <c r="BG2160" s="111">
        <f t="shared" si="1599"/>
        <v>51</v>
      </c>
      <c r="BH2160" s="111">
        <f t="shared" si="1571"/>
        <v>52</v>
      </c>
      <c r="BI2160" s="111">
        <f t="shared" si="1572"/>
        <v>24.997267759562842</v>
      </c>
      <c r="BJ2160" s="129">
        <f>(G2160-J2160)+(M2160-G2160)</f>
        <v>0</v>
      </c>
      <c r="BK2160" s="129">
        <f t="shared" si="1573"/>
        <v>-48</v>
      </c>
      <c r="BL2160" s="129" t="str">
        <f t="shared" si="1601"/>
        <v>DEFERRED</v>
      </c>
      <c r="BM2160" s="129" t="s">
        <v>76</v>
      </c>
      <c r="BN2160" s="129" t="s">
        <v>88</v>
      </c>
      <c r="BP2160" s="137" t="str">
        <f t="shared" si="1579"/>
        <v>DEFERRED</v>
      </c>
      <c r="BQ2160" s="128" t="str">
        <f t="shared" si="1580"/>
        <v>Y</v>
      </c>
      <c r="BR2160" s="129" t="str">
        <f t="shared" si="1581"/>
        <v>ON BOND</v>
      </c>
      <c r="BS2160" s="129" t="str">
        <f t="shared" si="1582"/>
        <v>DISPOSED</v>
      </c>
      <c r="BT2160" s="129" t="str">
        <f t="shared" si="1583"/>
        <v>N</v>
      </c>
      <c r="BU2160" s="109">
        <f t="shared" si="1584"/>
        <v>5.7692307692307696E-2</v>
      </c>
      <c r="BV2160" s="109">
        <f t="shared" si="1585"/>
        <v>5.8823529411764705E-2</v>
      </c>
      <c r="BW2160" s="109">
        <f t="shared" si="1596"/>
        <v>1.1312217194570096E-3</v>
      </c>
      <c r="BX2160" s="111">
        <f t="shared" si="1586"/>
        <v>0</v>
      </c>
      <c r="BY2160" s="129">
        <f t="shared" si="1587"/>
        <v>-3</v>
      </c>
      <c r="BZ2160" s="111">
        <f t="shared" si="1588"/>
        <v>0</v>
      </c>
      <c r="CA2160" s="138">
        <f t="shared" si="1589"/>
        <v>3</v>
      </c>
      <c r="CB2160" s="111" t="e">
        <f t="shared" si="1600"/>
        <v>#VALUE!</v>
      </c>
      <c r="CC2160" s="129">
        <f>M2160-I2160+1</f>
        <v>3</v>
      </c>
      <c r="CD2160" s="111">
        <f>CC2160-BF2160</f>
        <v>0</v>
      </c>
      <c r="CG2160" s="129" t="str">
        <f t="shared" si="1590"/>
        <v>Y</v>
      </c>
      <c r="CI2160" s="129" t="str">
        <f t="shared" si="1591"/>
        <v>0-10 DAYS</v>
      </c>
      <c r="CJ2160" s="137">
        <f t="shared" si="1592"/>
        <v>1</v>
      </c>
      <c r="CK2160" s="129" t="str">
        <f t="shared" si="1593"/>
        <v>Booked</v>
      </c>
    </row>
    <row r="2161" spans="1:89" ht="15.75" customHeight="1" x14ac:dyDescent="0.25">
      <c r="A2161" s="111">
        <v>1438</v>
      </c>
      <c r="B2161" s="128" t="str">
        <f t="shared" si="1574"/>
        <v>N</v>
      </c>
      <c r="C2161" s="128" t="str">
        <f t="shared" si="1575"/>
        <v>N</v>
      </c>
      <c r="D2161" s="117">
        <v>2448576</v>
      </c>
      <c r="E2161" s="135">
        <f t="shared" si="1576"/>
        <v>1</v>
      </c>
      <c r="F2161" s="124">
        <v>40961</v>
      </c>
      <c r="G2161" s="125">
        <v>40966</v>
      </c>
      <c r="H2161" s="117">
        <v>2448576</v>
      </c>
      <c r="I2161" s="124">
        <v>40962</v>
      </c>
      <c r="J2161" s="124">
        <v>40966</v>
      </c>
      <c r="K2161" s="126">
        <v>2000</v>
      </c>
      <c r="L2161" s="127" t="s">
        <v>568</v>
      </c>
      <c r="N2161" s="129" t="str">
        <f t="shared" si="1605"/>
        <v>N</v>
      </c>
      <c r="O2161" s="128" t="s">
        <v>917</v>
      </c>
      <c r="P2161" s="129" t="s">
        <v>55</v>
      </c>
      <c r="Q2161" s="111">
        <f t="shared" si="1602"/>
        <v>5</v>
      </c>
      <c r="R2161" s="111">
        <f t="shared" si="1595"/>
        <v>6</v>
      </c>
      <c r="S2161" s="129">
        <v>0</v>
      </c>
      <c r="T2161" s="129">
        <v>3</v>
      </c>
      <c r="W2161" s="111"/>
      <c r="AC2161" s="130"/>
      <c r="AD2161" s="130">
        <v>22995</v>
      </c>
      <c r="AE2161" s="128" t="s">
        <v>32</v>
      </c>
      <c r="AF2161" s="128" t="s">
        <v>69</v>
      </c>
      <c r="AG2161" s="128" t="s">
        <v>874</v>
      </c>
      <c r="AH2161" s="108" t="s">
        <v>58</v>
      </c>
      <c r="AI2161" s="128" t="s">
        <v>62</v>
      </c>
      <c r="AJ2161" s="129" t="s">
        <v>55</v>
      </c>
      <c r="AK2161" s="129">
        <v>2</v>
      </c>
      <c r="AL2161" s="3" t="s">
        <v>55</v>
      </c>
      <c r="AP2161" s="129" t="s">
        <v>43</v>
      </c>
      <c r="AR2161" s="128" t="s">
        <v>44</v>
      </c>
      <c r="AS2161" s="129" t="s">
        <v>45</v>
      </c>
      <c r="BC2161" s="129" t="s">
        <v>38</v>
      </c>
      <c r="BF2161" s="111">
        <f t="shared" si="1598"/>
        <v>5</v>
      </c>
      <c r="BG2161" s="111">
        <f t="shared" si="1599"/>
        <v>5</v>
      </c>
      <c r="BH2161" s="111">
        <f t="shared" si="1571"/>
        <v>6</v>
      </c>
      <c r="BI2161" s="111">
        <f t="shared" si="1572"/>
        <v>49.087431693989068</v>
      </c>
      <c r="BJ2161" s="129">
        <f t="shared" si="1577"/>
        <v>0</v>
      </c>
      <c r="BK2161" s="129">
        <f t="shared" si="1573"/>
        <v>0</v>
      </c>
      <c r="BL2161" s="129" t="str">
        <f t="shared" si="1601"/>
        <v>NO CONVICTION</v>
      </c>
      <c r="BM2161" s="129" t="str">
        <f t="shared" si="1578"/>
        <v>NONE</v>
      </c>
      <c r="BN2161" s="129" t="s">
        <v>566</v>
      </c>
      <c r="BP2161" s="137" t="str">
        <f t="shared" si="1579"/>
        <v>NO CONVICTION</v>
      </c>
      <c r="BQ2161" s="128" t="str">
        <f t="shared" si="1580"/>
        <v>Y</v>
      </c>
      <c r="BR2161" s="129" t="str">
        <f t="shared" si="1581"/>
        <v>DETAINED</v>
      </c>
      <c r="BS2161" s="129" t="str">
        <f t="shared" si="1582"/>
        <v>DISPOSED</v>
      </c>
      <c r="BT2161" s="129" t="str">
        <f t="shared" si="1583"/>
        <v>N</v>
      </c>
      <c r="BU2161" s="109">
        <f>IFERROR(Q2161/R2161,BR2161)</f>
        <v>0.83333333333333337</v>
      </c>
      <c r="BV2161" s="109">
        <f t="shared" si="1585"/>
        <v>1</v>
      </c>
      <c r="BW2161" s="109">
        <f t="shared" si="1596"/>
        <v>0.16666666666666663</v>
      </c>
      <c r="BX2161" s="111">
        <f t="shared" si="1586"/>
        <v>0</v>
      </c>
      <c r="BY2161" s="129">
        <f t="shared" si="1587"/>
        <v>-5</v>
      </c>
      <c r="BZ2161" s="111">
        <f t="shared" si="1588"/>
        <v>0</v>
      </c>
      <c r="CA2161" s="138">
        <f t="shared" si="1589"/>
        <v>5</v>
      </c>
      <c r="CB2161" s="111" t="e">
        <f t="shared" si="1600"/>
        <v>#VALUE!</v>
      </c>
      <c r="CC2161" s="129">
        <f>G2161-I2161+1</f>
        <v>5</v>
      </c>
      <c r="CD2161" s="129">
        <f>G2161-J2161</f>
        <v>0</v>
      </c>
      <c r="CG2161" s="129" t="str">
        <f t="shared" si="1590"/>
        <v>Y</v>
      </c>
      <c r="CI2161" s="129" t="str">
        <f t="shared" si="1591"/>
        <v>0-10 DAYS</v>
      </c>
      <c r="CJ2161" s="137">
        <f t="shared" si="1592"/>
        <v>1</v>
      </c>
      <c r="CK2161" s="129" t="str">
        <f t="shared" si="1593"/>
        <v>Booked</v>
      </c>
    </row>
    <row r="2162" spans="1:89" ht="15" customHeight="1" x14ac:dyDescent="0.25">
      <c r="A2162" s="111">
        <v>2743</v>
      </c>
      <c r="B2162" s="128" t="str">
        <f t="shared" si="1574"/>
        <v>N</v>
      </c>
      <c r="C2162" s="128" t="str">
        <f t="shared" si="1575"/>
        <v>N</v>
      </c>
      <c r="D2162" s="117">
        <v>2448964</v>
      </c>
      <c r="E2162" s="135">
        <f t="shared" si="1576"/>
        <v>6</v>
      </c>
      <c r="F2162" s="124">
        <v>41010</v>
      </c>
      <c r="G2162" s="125">
        <v>41033</v>
      </c>
      <c r="H2162" s="117">
        <v>2448964</v>
      </c>
      <c r="I2162" s="124">
        <v>41011</v>
      </c>
      <c r="J2162" s="124">
        <v>41033</v>
      </c>
      <c r="K2162" s="126">
        <v>5000</v>
      </c>
      <c r="L2162" s="127" t="s">
        <v>569</v>
      </c>
      <c r="N2162" s="129" t="str">
        <f t="shared" si="1605"/>
        <v>N</v>
      </c>
      <c r="O2162" s="128" t="s">
        <v>917</v>
      </c>
      <c r="P2162" s="129" t="s">
        <v>39</v>
      </c>
      <c r="Q2162" s="111">
        <f t="shared" si="1602"/>
        <v>23</v>
      </c>
      <c r="R2162" s="111">
        <f t="shared" si="1595"/>
        <v>24</v>
      </c>
      <c r="S2162" s="129">
        <v>0</v>
      </c>
      <c r="T2162" s="129">
        <v>1</v>
      </c>
      <c r="W2162" s="111"/>
      <c r="AC2162" s="130"/>
      <c r="AD2162" s="130">
        <v>32294</v>
      </c>
      <c r="AE2162" s="128" t="s">
        <v>46</v>
      </c>
      <c r="AF2162" s="128" t="s">
        <v>33</v>
      </c>
      <c r="AG2162" s="128" t="s">
        <v>872</v>
      </c>
      <c r="AH2162" s="108" t="s">
        <v>31</v>
      </c>
      <c r="AI2162" s="128" t="s">
        <v>87</v>
      </c>
      <c r="AJ2162" s="129" t="s">
        <v>89</v>
      </c>
      <c r="AK2162" s="129">
        <v>2</v>
      </c>
      <c r="AL2162" s="3" t="s">
        <v>362</v>
      </c>
      <c r="AM2162" s="117">
        <v>2</v>
      </c>
      <c r="AP2162" s="129" t="s">
        <v>93</v>
      </c>
      <c r="AR2162" s="128" t="s">
        <v>67</v>
      </c>
      <c r="AS2162" s="129" t="s">
        <v>45</v>
      </c>
      <c r="BC2162" s="129" t="s">
        <v>52</v>
      </c>
      <c r="BF2162" s="111">
        <f t="shared" si="1598"/>
        <v>23</v>
      </c>
      <c r="BG2162" s="111">
        <f t="shared" si="1599"/>
        <v>23</v>
      </c>
      <c r="BH2162" s="111">
        <f t="shared" si="1571"/>
        <v>24</v>
      </c>
      <c r="BI2162" s="111">
        <f t="shared" si="1572"/>
        <v>23.814207650273225</v>
      </c>
      <c r="BJ2162" s="129">
        <f t="shared" si="1577"/>
        <v>0</v>
      </c>
      <c r="BK2162" s="129">
        <f t="shared" si="1573"/>
        <v>0</v>
      </c>
      <c r="BL2162" s="129" t="str">
        <f t="shared" si="1601"/>
        <v>CONVICTION</v>
      </c>
      <c r="BM2162" s="129" t="str">
        <f t="shared" si="1578"/>
        <v>NONE</v>
      </c>
      <c r="BN2162" s="129" t="s">
        <v>566</v>
      </c>
      <c r="BP2162" s="137" t="str">
        <f t="shared" si="1579"/>
        <v>CONVICTION</v>
      </c>
      <c r="BQ2162" s="128" t="str">
        <f t="shared" si="1580"/>
        <v>Y</v>
      </c>
      <c r="BR2162" s="129" t="str">
        <f t="shared" si="1581"/>
        <v>DETAINED</v>
      </c>
      <c r="BS2162" s="129" t="str">
        <f t="shared" si="1582"/>
        <v>DISPOSED</v>
      </c>
      <c r="BT2162" s="129" t="str">
        <f t="shared" si="1583"/>
        <v>N</v>
      </c>
      <c r="BU2162" s="109">
        <f t="shared" si="1584"/>
        <v>0.95833333333333337</v>
      </c>
      <c r="BV2162" s="109">
        <f t="shared" si="1585"/>
        <v>1</v>
      </c>
      <c r="BW2162" s="109">
        <f t="shared" si="1596"/>
        <v>4.166666666666663E-2</v>
      </c>
      <c r="BX2162" s="111">
        <f t="shared" si="1586"/>
        <v>0</v>
      </c>
      <c r="BY2162" s="129">
        <f t="shared" si="1587"/>
        <v>-23</v>
      </c>
      <c r="BZ2162" s="111">
        <f t="shared" si="1588"/>
        <v>0</v>
      </c>
      <c r="CA2162" s="138">
        <f t="shared" si="1589"/>
        <v>23</v>
      </c>
      <c r="CB2162" s="111" t="e">
        <f t="shared" si="1600"/>
        <v>#VALUE!</v>
      </c>
      <c r="CC2162" s="129">
        <f>G2162-I2162+1</f>
        <v>23</v>
      </c>
      <c r="CD2162" s="129">
        <f>G2162-J2162</f>
        <v>0</v>
      </c>
      <c r="CG2162" s="129" t="str">
        <f t="shared" si="1590"/>
        <v>Y</v>
      </c>
      <c r="CI2162" s="129" t="str">
        <f t="shared" si="1591"/>
        <v>11-30 DAYS</v>
      </c>
      <c r="CJ2162" s="137">
        <f t="shared" si="1592"/>
        <v>2</v>
      </c>
      <c r="CK2162" s="129" t="str">
        <f t="shared" si="1593"/>
        <v>Booked</v>
      </c>
    </row>
    <row r="2163" spans="1:89" ht="15.75" customHeight="1" x14ac:dyDescent="0.25">
      <c r="A2163" s="111">
        <v>1148</v>
      </c>
      <c r="B2163" s="128" t="str">
        <f t="shared" si="1574"/>
        <v>N</v>
      </c>
      <c r="C2163" s="128" t="str">
        <f t="shared" si="1575"/>
        <v>N</v>
      </c>
      <c r="D2163" s="117">
        <v>2449028</v>
      </c>
      <c r="E2163" s="135">
        <f t="shared" si="1576"/>
        <v>6</v>
      </c>
      <c r="F2163" s="124">
        <v>40950</v>
      </c>
      <c r="G2163" s="125">
        <v>41061</v>
      </c>
      <c r="H2163" s="117">
        <v>2449028</v>
      </c>
      <c r="I2163" s="124">
        <v>40983</v>
      </c>
      <c r="J2163" s="124">
        <v>41061</v>
      </c>
      <c r="K2163" s="126">
        <v>15000</v>
      </c>
      <c r="L2163" s="127" t="s">
        <v>571</v>
      </c>
      <c r="M2163" s="125">
        <v>40951</v>
      </c>
      <c r="N2163" s="129" t="str">
        <f t="shared" si="1605"/>
        <v>Y</v>
      </c>
      <c r="O2163" s="128" t="s">
        <v>76</v>
      </c>
      <c r="P2163" s="129" t="s">
        <v>39</v>
      </c>
      <c r="Q2163" s="111">
        <f t="shared" si="1602"/>
        <v>79</v>
      </c>
      <c r="R2163" s="111">
        <f t="shared" si="1595"/>
        <v>112</v>
      </c>
      <c r="S2163" s="129">
        <v>2</v>
      </c>
      <c r="T2163" s="129">
        <v>0</v>
      </c>
      <c r="U2163" s="129">
        <v>1</v>
      </c>
      <c r="V2163" s="117">
        <v>1</v>
      </c>
      <c r="W2163" s="111"/>
      <c r="AC2163" s="130"/>
      <c r="AD2163" s="130">
        <v>33747</v>
      </c>
      <c r="AE2163" s="128" t="s">
        <v>32</v>
      </c>
      <c r="AF2163" s="128" t="s">
        <v>33</v>
      </c>
      <c r="AG2163" s="128" t="s">
        <v>872</v>
      </c>
      <c r="AH2163" s="108" t="s">
        <v>31</v>
      </c>
      <c r="AI2163" s="128" t="s">
        <v>100</v>
      </c>
      <c r="AJ2163" s="129" t="s">
        <v>89</v>
      </c>
      <c r="AK2163" s="129">
        <v>8</v>
      </c>
      <c r="AL2163" s="3" t="s">
        <v>362</v>
      </c>
      <c r="AM2163" s="117">
        <v>1</v>
      </c>
      <c r="AP2163" s="129" t="s">
        <v>108</v>
      </c>
      <c r="AR2163" s="128" t="s">
        <v>44</v>
      </c>
      <c r="AS2163" s="129" t="s">
        <v>61</v>
      </c>
      <c r="AT2163" s="3" t="s">
        <v>296</v>
      </c>
      <c r="BC2163" s="129" t="s">
        <v>52</v>
      </c>
      <c r="BF2163" s="111">
        <f t="shared" si="1598"/>
        <v>79</v>
      </c>
      <c r="BG2163" s="111">
        <f t="shared" si="1599"/>
        <v>79</v>
      </c>
      <c r="BH2163" s="111">
        <f t="shared" si="1571"/>
        <v>112</v>
      </c>
      <c r="BI2163" s="111">
        <f t="shared" si="1572"/>
        <v>19.680327868852459</v>
      </c>
      <c r="BJ2163" s="129">
        <f>G2163-J2163</f>
        <v>0</v>
      </c>
      <c r="BK2163" s="129">
        <f t="shared" si="1573"/>
        <v>0</v>
      </c>
      <c r="BL2163" s="129" t="str">
        <f t="shared" si="1601"/>
        <v>CONVICTION</v>
      </c>
      <c r="BM2163" s="129" t="s">
        <v>76</v>
      </c>
      <c r="BN2163" s="129" t="s">
        <v>88</v>
      </c>
      <c r="BP2163" s="137" t="str">
        <f t="shared" si="1579"/>
        <v>CONVICTION</v>
      </c>
      <c r="BQ2163" s="128" t="str">
        <f t="shared" si="1580"/>
        <v>Y</v>
      </c>
      <c r="BR2163" s="129" t="s">
        <v>575</v>
      </c>
      <c r="BS2163" s="129" t="str">
        <f t="shared" si="1582"/>
        <v>DISPOSED</v>
      </c>
      <c r="BT2163" s="129" t="str">
        <f t="shared" si="1583"/>
        <v>Y</v>
      </c>
      <c r="BU2163" s="109">
        <f t="shared" si="1584"/>
        <v>0.7053571428571429</v>
      </c>
      <c r="BV2163" s="109">
        <f t="shared" si="1585"/>
        <v>1</v>
      </c>
      <c r="BW2163" s="109">
        <f t="shared" si="1596"/>
        <v>0.2946428571428571</v>
      </c>
      <c r="BX2163" s="111">
        <f t="shared" si="1586"/>
        <v>0</v>
      </c>
      <c r="BY2163" s="129">
        <f t="shared" si="1587"/>
        <v>-79</v>
      </c>
      <c r="BZ2163" s="111">
        <f t="shared" si="1588"/>
        <v>0</v>
      </c>
      <c r="CA2163" s="138">
        <f t="shared" si="1589"/>
        <v>-31</v>
      </c>
      <c r="CB2163" s="111" t="e">
        <f t="shared" si="1600"/>
        <v>#VALUE!</v>
      </c>
      <c r="CC2163" s="129">
        <f>M2163-I2163+1</f>
        <v>-31</v>
      </c>
      <c r="CD2163" s="111">
        <f>CC2163-BF2163</f>
        <v>-110</v>
      </c>
      <c r="CG2163" s="129" t="str">
        <f t="shared" si="1590"/>
        <v>Y</v>
      </c>
      <c r="CI2163" s="129" t="str">
        <f t="shared" si="1591"/>
        <v>61-90 DAYS</v>
      </c>
      <c r="CJ2163" s="137">
        <f t="shared" si="1592"/>
        <v>4</v>
      </c>
      <c r="CK2163" s="129" t="str">
        <f t="shared" si="1593"/>
        <v>Booked</v>
      </c>
    </row>
    <row r="2164" spans="1:89" ht="15.75" customHeight="1" x14ac:dyDescent="0.25">
      <c r="A2164" s="111">
        <v>2668</v>
      </c>
      <c r="B2164" s="128" t="str">
        <f t="shared" si="1574"/>
        <v>N</v>
      </c>
      <c r="C2164" s="128" t="str">
        <f t="shared" si="1575"/>
        <v>N</v>
      </c>
      <c r="D2164" s="117">
        <v>2449493</v>
      </c>
      <c r="E2164" s="135">
        <f t="shared" si="1576"/>
        <v>2</v>
      </c>
      <c r="F2164" s="124">
        <v>41008</v>
      </c>
      <c r="G2164" s="125">
        <v>41009</v>
      </c>
      <c r="H2164" s="117">
        <v>2449493</v>
      </c>
      <c r="I2164" s="124">
        <v>41008</v>
      </c>
      <c r="J2164" s="124">
        <v>41009</v>
      </c>
      <c r="K2164" s="126">
        <v>2000</v>
      </c>
      <c r="L2164" s="127" t="s">
        <v>568</v>
      </c>
      <c r="N2164" s="129" t="str">
        <f t="shared" si="1605"/>
        <v>N</v>
      </c>
      <c r="O2164" s="128" t="s">
        <v>917</v>
      </c>
      <c r="P2164" s="129" t="s">
        <v>589</v>
      </c>
      <c r="Q2164" s="111">
        <f t="shared" si="1602"/>
        <v>2</v>
      </c>
      <c r="R2164" s="111">
        <f t="shared" si="1595"/>
        <v>2</v>
      </c>
      <c r="S2164" s="129">
        <v>0</v>
      </c>
      <c r="T2164" s="129">
        <v>4</v>
      </c>
      <c r="W2164" s="146"/>
      <c r="AC2164" s="130"/>
      <c r="AD2164" s="130">
        <v>33780</v>
      </c>
      <c r="AE2164" s="128" t="s">
        <v>46</v>
      </c>
      <c r="AF2164" s="128" t="s">
        <v>33</v>
      </c>
      <c r="AG2164" s="128" t="s">
        <v>872</v>
      </c>
      <c r="AH2164" s="108" t="s">
        <v>58</v>
      </c>
      <c r="AI2164" s="128" t="s">
        <v>71</v>
      </c>
      <c r="AJ2164" s="129" t="s">
        <v>48</v>
      </c>
      <c r="AK2164" s="129">
        <v>1</v>
      </c>
      <c r="AL2164" s="3" t="s">
        <v>48</v>
      </c>
      <c r="AP2164" s="129" t="s">
        <v>43</v>
      </c>
      <c r="AR2164" s="128" t="s">
        <v>44</v>
      </c>
      <c r="AS2164" s="129" t="s">
        <v>45</v>
      </c>
      <c r="AT2164" s="129" t="s">
        <v>472</v>
      </c>
      <c r="BC2164" s="129" t="s">
        <v>38</v>
      </c>
      <c r="BF2164" s="111">
        <f t="shared" si="1598"/>
        <v>2</v>
      </c>
      <c r="BG2164" s="111">
        <f t="shared" ref="BG2164:BG2195" si="1606">IF(G2164&gt;1/1/1900,((G2164+1)-I2164),"STILL OPEN")</f>
        <v>2</v>
      </c>
      <c r="BH2164" s="111">
        <f t="shared" si="1571"/>
        <v>2</v>
      </c>
      <c r="BI2164" s="111">
        <f t="shared" si="1572"/>
        <v>19.748633879781419</v>
      </c>
      <c r="BJ2164" s="129">
        <f t="shared" si="1577"/>
        <v>0</v>
      </c>
      <c r="BK2164" s="129">
        <f t="shared" si="1573"/>
        <v>0</v>
      </c>
      <c r="BL2164" s="129" t="str">
        <f t="shared" si="1601"/>
        <v>DEFERRED</v>
      </c>
      <c r="BM2164" s="129" t="str">
        <f t="shared" si="1578"/>
        <v>NONE</v>
      </c>
      <c r="BN2164" s="129" t="s">
        <v>566</v>
      </c>
      <c r="BP2164" s="137" t="str">
        <f t="shared" si="1579"/>
        <v>DEFERRED</v>
      </c>
      <c r="BQ2164" s="128" t="str">
        <f t="shared" si="1580"/>
        <v>Y</v>
      </c>
      <c r="BR2164" s="129" t="str">
        <f t="shared" si="1581"/>
        <v>DETAINED</v>
      </c>
      <c r="BS2164" s="129" t="str">
        <f t="shared" si="1582"/>
        <v>DISPOSED</v>
      </c>
      <c r="BT2164" s="129" t="str">
        <f t="shared" si="1583"/>
        <v>N</v>
      </c>
      <c r="BU2164" s="109">
        <f t="shared" si="1584"/>
        <v>1</v>
      </c>
      <c r="BV2164" s="109">
        <f t="shared" si="1585"/>
        <v>1</v>
      </c>
      <c r="BW2164" s="109">
        <f t="shared" si="1596"/>
        <v>0</v>
      </c>
      <c r="BX2164" s="111">
        <f t="shared" si="1586"/>
        <v>0</v>
      </c>
      <c r="BY2164" s="129">
        <f t="shared" si="1587"/>
        <v>-2</v>
      </c>
      <c r="BZ2164" s="111">
        <f t="shared" si="1588"/>
        <v>0</v>
      </c>
      <c r="CA2164" s="138">
        <f t="shared" si="1589"/>
        <v>2</v>
      </c>
      <c r="CB2164" s="111" t="e">
        <f t="shared" si="1600"/>
        <v>#VALUE!</v>
      </c>
      <c r="CC2164" s="129">
        <f t="shared" ref="CC2164:CC2173" si="1607">G2164-I2164+1</f>
        <v>2</v>
      </c>
      <c r="CD2164" s="129">
        <f t="shared" ref="CD2164:CD2173" si="1608">G2164-J2164</f>
        <v>0</v>
      </c>
      <c r="CG2164" s="129" t="str">
        <f t="shared" si="1590"/>
        <v>Y</v>
      </c>
      <c r="CI2164" s="129" t="str">
        <f t="shared" si="1591"/>
        <v>0-10 DAYS</v>
      </c>
      <c r="CJ2164" s="137">
        <f t="shared" si="1592"/>
        <v>1</v>
      </c>
      <c r="CK2164" s="129" t="str">
        <f t="shared" si="1593"/>
        <v>Booked</v>
      </c>
    </row>
    <row r="2165" spans="1:89" ht="15.75" customHeight="1" x14ac:dyDescent="0.25">
      <c r="A2165" s="111">
        <v>697</v>
      </c>
      <c r="B2165" s="128" t="str">
        <f t="shared" si="1574"/>
        <v>N</v>
      </c>
      <c r="C2165" s="128" t="str">
        <f t="shared" si="1575"/>
        <v>N</v>
      </c>
      <c r="D2165" s="117">
        <v>2449575</v>
      </c>
      <c r="E2165" s="135">
        <f t="shared" si="1576"/>
        <v>6</v>
      </c>
      <c r="F2165" s="124">
        <v>40936</v>
      </c>
      <c r="G2165" s="125">
        <v>41113</v>
      </c>
      <c r="H2165" s="117">
        <v>2449575</v>
      </c>
      <c r="I2165" s="124">
        <v>40936</v>
      </c>
      <c r="J2165" s="124">
        <v>41113</v>
      </c>
      <c r="K2165" s="126">
        <v>30000</v>
      </c>
      <c r="L2165" s="129" t="s">
        <v>572</v>
      </c>
      <c r="N2165" s="129" t="str">
        <f t="shared" si="1605"/>
        <v>N</v>
      </c>
      <c r="O2165" s="128" t="s">
        <v>917</v>
      </c>
      <c r="P2165" s="129" t="s">
        <v>39</v>
      </c>
      <c r="Q2165" s="111">
        <f t="shared" si="1602"/>
        <v>178</v>
      </c>
      <c r="R2165" s="111">
        <f t="shared" si="1595"/>
        <v>178</v>
      </c>
      <c r="S2165" s="129">
        <v>0</v>
      </c>
      <c r="T2165" s="129">
        <v>2</v>
      </c>
      <c r="W2165" s="111"/>
      <c r="AC2165" s="130"/>
      <c r="AD2165" s="130">
        <v>33614</v>
      </c>
      <c r="AE2165" s="128" t="s">
        <v>46</v>
      </c>
      <c r="AF2165" s="128" t="s">
        <v>69</v>
      </c>
      <c r="AG2165" s="128" t="s">
        <v>874</v>
      </c>
      <c r="AH2165" s="108" t="s">
        <v>31</v>
      </c>
      <c r="AI2165" s="128" t="s">
        <v>42</v>
      </c>
      <c r="AJ2165" s="129" t="s">
        <v>89</v>
      </c>
      <c r="AK2165" s="129">
        <v>7</v>
      </c>
      <c r="AL2165" s="3" t="s">
        <v>362</v>
      </c>
      <c r="AM2165" s="117">
        <v>5</v>
      </c>
      <c r="AP2165" s="129" t="s">
        <v>105</v>
      </c>
      <c r="AR2165" s="128" t="s">
        <v>92</v>
      </c>
      <c r="AS2165" s="129" t="s">
        <v>106</v>
      </c>
      <c r="BC2165" s="129" t="s">
        <v>38</v>
      </c>
      <c r="BF2165" s="111">
        <f t="shared" si="1598"/>
        <v>178</v>
      </c>
      <c r="BG2165" s="111">
        <f t="shared" si="1606"/>
        <v>178</v>
      </c>
      <c r="BH2165" s="111">
        <f t="shared" si="1571"/>
        <v>178</v>
      </c>
      <c r="BI2165" s="111">
        <f t="shared" si="1572"/>
        <v>20.005464480874316</v>
      </c>
      <c r="BJ2165" s="129">
        <f t="shared" si="1577"/>
        <v>0</v>
      </c>
      <c r="BK2165" s="129">
        <f t="shared" si="1573"/>
        <v>0</v>
      </c>
      <c r="BL2165" s="129" t="str">
        <f t="shared" si="1601"/>
        <v>CONVICTION</v>
      </c>
      <c r="BM2165" s="129" t="str">
        <f t="shared" si="1578"/>
        <v>NONE</v>
      </c>
      <c r="BN2165" s="129" t="s">
        <v>566</v>
      </c>
      <c r="BP2165" s="137" t="str">
        <f t="shared" si="1579"/>
        <v>CONVICTION</v>
      </c>
      <c r="BQ2165" s="128" t="str">
        <f t="shared" si="1580"/>
        <v>Y</v>
      </c>
      <c r="BR2165" s="129" t="str">
        <f t="shared" si="1581"/>
        <v>DETAINED</v>
      </c>
      <c r="BS2165" s="129" t="str">
        <f t="shared" si="1582"/>
        <v>DISPOSED</v>
      </c>
      <c r="BT2165" s="129" t="str">
        <f t="shared" si="1583"/>
        <v>N</v>
      </c>
      <c r="BU2165" s="109">
        <f t="shared" si="1584"/>
        <v>1</v>
      </c>
      <c r="BV2165" s="109">
        <f t="shared" si="1585"/>
        <v>1</v>
      </c>
      <c r="BW2165" s="109">
        <f t="shared" si="1596"/>
        <v>0</v>
      </c>
      <c r="BX2165" s="111">
        <f t="shared" si="1586"/>
        <v>0</v>
      </c>
      <c r="BY2165" s="129">
        <f t="shared" si="1587"/>
        <v>-178</v>
      </c>
      <c r="BZ2165" s="111">
        <f t="shared" si="1588"/>
        <v>0</v>
      </c>
      <c r="CA2165" s="138">
        <f t="shared" si="1589"/>
        <v>178</v>
      </c>
      <c r="CB2165" s="111" t="e">
        <f t="shared" si="1600"/>
        <v>#VALUE!</v>
      </c>
      <c r="CC2165" s="129">
        <f t="shared" si="1607"/>
        <v>178</v>
      </c>
      <c r="CD2165" s="129">
        <f t="shared" si="1608"/>
        <v>0</v>
      </c>
      <c r="CG2165" s="129" t="str">
        <f t="shared" si="1590"/>
        <v>Y</v>
      </c>
      <c r="CI2165" s="129" t="str">
        <f t="shared" si="1591"/>
        <v>121-365 DAYS</v>
      </c>
      <c r="CJ2165" s="137">
        <f t="shared" si="1592"/>
        <v>6</v>
      </c>
      <c r="CK2165" s="129" t="str">
        <f t="shared" si="1593"/>
        <v>Booked</v>
      </c>
    </row>
    <row r="2166" spans="1:89" ht="15.75" customHeight="1" x14ac:dyDescent="0.25">
      <c r="A2166" s="111">
        <v>2100</v>
      </c>
      <c r="B2166" s="128" t="str">
        <f t="shared" si="1574"/>
        <v>N</v>
      </c>
      <c r="C2166" s="128" t="str">
        <f t="shared" si="1575"/>
        <v>N</v>
      </c>
      <c r="D2166" s="117">
        <v>2449602</v>
      </c>
      <c r="E2166" s="135">
        <f t="shared" si="1576"/>
        <v>5</v>
      </c>
      <c r="F2166" s="124">
        <v>40988</v>
      </c>
      <c r="G2166" s="125">
        <v>40989</v>
      </c>
      <c r="H2166" s="117">
        <v>2449602</v>
      </c>
      <c r="I2166" s="124">
        <v>40988</v>
      </c>
      <c r="J2166" s="124">
        <v>40989</v>
      </c>
      <c r="K2166" s="126">
        <v>10000</v>
      </c>
      <c r="L2166" s="127" t="s">
        <v>570</v>
      </c>
      <c r="N2166" s="129" t="str">
        <f t="shared" si="1605"/>
        <v>N</v>
      </c>
      <c r="O2166" s="128" t="s">
        <v>917</v>
      </c>
      <c r="P2166" s="129" t="s">
        <v>39</v>
      </c>
      <c r="Q2166" s="111">
        <f t="shared" si="1602"/>
        <v>2</v>
      </c>
      <c r="R2166" s="111">
        <f t="shared" si="1595"/>
        <v>2</v>
      </c>
      <c r="S2166" s="129">
        <v>1</v>
      </c>
      <c r="T2166" s="129">
        <v>2</v>
      </c>
      <c r="U2166" s="129">
        <v>1</v>
      </c>
      <c r="W2166" s="111"/>
      <c r="AC2166" s="130"/>
      <c r="AD2166" s="130">
        <v>32559</v>
      </c>
      <c r="AE2166" s="128" t="s">
        <v>32</v>
      </c>
      <c r="AF2166" s="128" t="s">
        <v>33</v>
      </c>
      <c r="AG2166" s="128" t="s">
        <v>872</v>
      </c>
      <c r="AH2166" s="108" t="s">
        <v>58</v>
      </c>
      <c r="AI2166" s="128" t="s">
        <v>85</v>
      </c>
      <c r="AJ2166" s="129" t="s">
        <v>89</v>
      </c>
      <c r="AK2166" s="129">
        <v>1</v>
      </c>
      <c r="AL2166" s="3" t="s">
        <v>992</v>
      </c>
      <c r="AN2166" s="117">
        <v>7</v>
      </c>
      <c r="AP2166" s="129" t="s">
        <v>43</v>
      </c>
      <c r="AR2166" s="128" t="s">
        <v>44</v>
      </c>
      <c r="AS2166" s="129" t="s">
        <v>45</v>
      </c>
      <c r="BC2166" s="129" t="s">
        <v>38</v>
      </c>
      <c r="BF2166" s="111">
        <f t="shared" si="1598"/>
        <v>2</v>
      </c>
      <c r="BG2166" s="111">
        <f t="shared" si="1606"/>
        <v>2</v>
      </c>
      <c r="BH2166" s="111">
        <f t="shared" si="1571"/>
        <v>2</v>
      </c>
      <c r="BI2166" s="111">
        <f t="shared" si="1572"/>
        <v>23.030054644808743</v>
      </c>
      <c r="BJ2166" s="129">
        <f t="shared" si="1577"/>
        <v>0</v>
      </c>
      <c r="BK2166" s="129">
        <f t="shared" si="1573"/>
        <v>0</v>
      </c>
      <c r="BL2166" s="129" t="str">
        <f t="shared" si="1601"/>
        <v>CONVICTION</v>
      </c>
      <c r="BM2166" s="129" t="str">
        <f t="shared" si="1578"/>
        <v>NONE</v>
      </c>
      <c r="BN2166" s="129" t="s">
        <v>566</v>
      </c>
      <c r="BP2166" s="137" t="str">
        <f t="shared" si="1579"/>
        <v>CONVICTION</v>
      </c>
      <c r="BQ2166" s="128" t="str">
        <f t="shared" si="1580"/>
        <v>Y</v>
      </c>
      <c r="BR2166" s="129" t="str">
        <f t="shared" si="1581"/>
        <v>DETAINED</v>
      </c>
      <c r="BS2166" s="129" t="str">
        <f t="shared" si="1582"/>
        <v>DISPOSED</v>
      </c>
      <c r="BT2166" s="129" t="str">
        <f t="shared" si="1583"/>
        <v>Y</v>
      </c>
      <c r="BU2166" s="109">
        <f t="shared" si="1584"/>
        <v>1</v>
      </c>
      <c r="BV2166" s="109">
        <f t="shared" si="1585"/>
        <v>1</v>
      </c>
      <c r="BW2166" s="109">
        <f t="shared" si="1596"/>
        <v>0</v>
      </c>
      <c r="BX2166" s="111">
        <f t="shared" si="1586"/>
        <v>0</v>
      </c>
      <c r="BY2166" s="129">
        <f t="shared" si="1587"/>
        <v>-2</v>
      </c>
      <c r="BZ2166" s="111">
        <f t="shared" si="1588"/>
        <v>0</v>
      </c>
      <c r="CA2166" s="138">
        <f t="shared" si="1589"/>
        <v>2</v>
      </c>
      <c r="CB2166" s="111" t="e">
        <f t="shared" si="1600"/>
        <v>#VALUE!</v>
      </c>
      <c r="CC2166" s="129">
        <f t="shared" si="1607"/>
        <v>2</v>
      </c>
      <c r="CD2166" s="129">
        <f t="shared" si="1608"/>
        <v>0</v>
      </c>
      <c r="CG2166" s="129" t="str">
        <f t="shared" si="1590"/>
        <v>Y</v>
      </c>
      <c r="CI2166" s="129" t="str">
        <f t="shared" si="1591"/>
        <v>0-10 DAYS</v>
      </c>
      <c r="CJ2166" s="137">
        <f t="shared" si="1592"/>
        <v>1</v>
      </c>
      <c r="CK2166" s="129" t="str">
        <f t="shared" si="1593"/>
        <v>Booked</v>
      </c>
    </row>
    <row r="2167" spans="1:89" ht="15" customHeight="1" x14ac:dyDescent="0.25">
      <c r="A2167" s="111">
        <v>804</v>
      </c>
      <c r="B2167" s="128" t="str">
        <f t="shared" si="1574"/>
        <v>N</v>
      </c>
      <c r="C2167" s="128" t="str">
        <f t="shared" si="1575"/>
        <v>N</v>
      </c>
      <c r="D2167" s="117">
        <v>2449633</v>
      </c>
      <c r="E2167" s="135">
        <f t="shared" si="1576"/>
        <v>1</v>
      </c>
      <c r="F2167" s="124">
        <v>40939</v>
      </c>
      <c r="G2167" s="125">
        <v>40981</v>
      </c>
      <c r="H2167" s="117">
        <v>2449633</v>
      </c>
      <c r="I2167" s="124">
        <v>40940</v>
      </c>
      <c r="J2167" s="124">
        <v>40981</v>
      </c>
      <c r="K2167" s="126">
        <v>2000</v>
      </c>
      <c r="L2167" s="127" t="s">
        <v>568</v>
      </c>
      <c r="N2167" s="129" t="str">
        <f t="shared" si="1605"/>
        <v>N</v>
      </c>
      <c r="O2167" s="128" t="s">
        <v>917</v>
      </c>
      <c r="P2167" s="116" t="s">
        <v>55</v>
      </c>
      <c r="Q2167" s="111">
        <f t="shared" si="1602"/>
        <v>42</v>
      </c>
      <c r="R2167" s="111">
        <f t="shared" si="1595"/>
        <v>43</v>
      </c>
      <c r="S2167" s="129">
        <v>0</v>
      </c>
      <c r="T2167" s="129">
        <v>0</v>
      </c>
      <c r="W2167" s="111"/>
      <c r="AB2167" s="131" t="s">
        <v>112</v>
      </c>
      <c r="AC2167" s="130"/>
      <c r="AD2167" s="130">
        <v>33743</v>
      </c>
      <c r="AE2167" s="128" t="s">
        <v>32</v>
      </c>
      <c r="AF2167" s="128" t="s">
        <v>40</v>
      </c>
      <c r="AG2167" s="128" t="s">
        <v>41</v>
      </c>
      <c r="AH2167" s="108" t="s">
        <v>31</v>
      </c>
      <c r="AI2167" s="128" t="s">
        <v>47</v>
      </c>
      <c r="AJ2167" s="129" t="s">
        <v>55</v>
      </c>
      <c r="AK2167" s="129">
        <v>3</v>
      </c>
      <c r="AL2167" s="3" t="s">
        <v>55</v>
      </c>
      <c r="AP2167" s="129" t="s">
        <v>175</v>
      </c>
      <c r="AR2167" s="128" t="s">
        <v>44</v>
      </c>
      <c r="AS2167" s="129" t="s">
        <v>45</v>
      </c>
      <c r="BC2167" s="129" t="s">
        <v>38</v>
      </c>
      <c r="BF2167" s="111">
        <f t="shared" si="1598"/>
        <v>42</v>
      </c>
      <c r="BG2167" s="111">
        <f t="shared" si="1606"/>
        <v>42</v>
      </c>
      <c r="BH2167" s="111">
        <f t="shared" si="1571"/>
        <v>43</v>
      </c>
      <c r="BI2167" s="111">
        <f t="shared" si="1572"/>
        <v>19.661202185792348</v>
      </c>
      <c r="BJ2167" s="129">
        <f t="shared" si="1577"/>
        <v>0</v>
      </c>
      <c r="BK2167" s="129">
        <f t="shared" si="1573"/>
        <v>0</v>
      </c>
      <c r="BL2167" s="129" t="str">
        <f t="shared" si="1601"/>
        <v>NO CONVICTION</v>
      </c>
      <c r="BM2167" s="129" t="str">
        <f t="shared" si="1578"/>
        <v>NONE</v>
      </c>
      <c r="BN2167" s="129" t="s">
        <v>566</v>
      </c>
      <c r="BP2167" s="137" t="str">
        <f t="shared" si="1579"/>
        <v>NO CONVICTION</v>
      </c>
      <c r="BQ2167" s="128" t="str">
        <f t="shared" si="1580"/>
        <v>Y</v>
      </c>
      <c r="BR2167" s="129" t="str">
        <f t="shared" si="1581"/>
        <v>DETAINED</v>
      </c>
      <c r="BS2167" s="129" t="str">
        <f t="shared" si="1582"/>
        <v>DISPOSED</v>
      </c>
      <c r="BT2167" s="129" t="str">
        <f t="shared" si="1583"/>
        <v>N</v>
      </c>
      <c r="BU2167" s="109">
        <f>IFERROR(Q2167/R2167,BR2167)</f>
        <v>0.97674418604651159</v>
      </c>
      <c r="BV2167" s="109">
        <f t="shared" si="1585"/>
        <v>1</v>
      </c>
      <c r="BW2167" s="109">
        <f t="shared" si="1596"/>
        <v>2.3255813953488413E-2</v>
      </c>
      <c r="BX2167" s="111">
        <f t="shared" si="1586"/>
        <v>0</v>
      </c>
      <c r="BY2167" s="129">
        <f t="shared" si="1587"/>
        <v>-42</v>
      </c>
      <c r="BZ2167" s="111">
        <f t="shared" si="1588"/>
        <v>0</v>
      </c>
      <c r="CA2167" s="138">
        <f t="shared" si="1589"/>
        <v>42</v>
      </c>
      <c r="CB2167" s="111" t="e">
        <f t="shared" si="1600"/>
        <v>#VALUE!</v>
      </c>
      <c r="CC2167" s="129">
        <f t="shared" si="1607"/>
        <v>42</v>
      </c>
      <c r="CD2167" s="129">
        <f t="shared" si="1608"/>
        <v>0</v>
      </c>
      <c r="CG2167" s="129" t="str">
        <f t="shared" si="1590"/>
        <v>N</v>
      </c>
      <c r="CI2167" s="129" t="str">
        <f t="shared" si="1591"/>
        <v>31-60 DAYS</v>
      </c>
      <c r="CJ2167" s="137">
        <f t="shared" si="1592"/>
        <v>3</v>
      </c>
      <c r="CK2167" s="129" t="str">
        <f t="shared" si="1593"/>
        <v>Booked</v>
      </c>
    </row>
    <row r="2168" spans="1:89" ht="15.75" customHeight="1" x14ac:dyDescent="0.25">
      <c r="A2168" s="111">
        <v>183</v>
      </c>
      <c r="B2168" s="128" t="str">
        <f t="shared" si="1574"/>
        <v>N</v>
      </c>
      <c r="C2168" s="128" t="str">
        <f t="shared" si="1575"/>
        <v>N</v>
      </c>
      <c r="D2168" s="117">
        <v>2451008</v>
      </c>
      <c r="E2168" s="135">
        <f t="shared" si="1576"/>
        <v>3</v>
      </c>
      <c r="F2168" s="124">
        <v>40918</v>
      </c>
      <c r="G2168" s="125">
        <v>41416</v>
      </c>
      <c r="H2168" s="117">
        <v>2451008</v>
      </c>
      <c r="I2168" s="124">
        <v>41096</v>
      </c>
      <c r="J2168" s="125">
        <v>41416</v>
      </c>
      <c r="K2168" s="126" t="s">
        <v>564</v>
      </c>
      <c r="L2168" s="127" t="s">
        <v>564</v>
      </c>
      <c r="N2168" s="129" t="s">
        <v>566</v>
      </c>
      <c r="O2168" s="128" t="s">
        <v>917</v>
      </c>
      <c r="P2168" s="129" t="s">
        <v>39</v>
      </c>
      <c r="Q2168" s="111">
        <f t="shared" si="1602"/>
        <v>321</v>
      </c>
      <c r="R2168" s="111">
        <f t="shared" si="1595"/>
        <v>499</v>
      </c>
      <c r="S2168" s="129">
        <v>0</v>
      </c>
      <c r="T2168" s="129">
        <v>1</v>
      </c>
      <c r="W2168" s="111"/>
      <c r="AC2168" s="130"/>
      <c r="AD2168" s="130">
        <v>32402</v>
      </c>
      <c r="AE2168" s="128" t="s">
        <v>32</v>
      </c>
      <c r="AF2168" s="128" t="s">
        <v>69</v>
      </c>
      <c r="AG2168" s="128" t="s">
        <v>874</v>
      </c>
      <c r="AH2168" s="108" t="s">
        <v>58</v>
      </c>
      <c r="AI2168" s="128" t="s">
        <v>72</v>
      </c>
      <c r="AJ2168" s="129" t="s">
        <v>89</v>
      </c>
      <c r="AK2168" s="129">
        <v>15</v>
      </c>
      <c r="AL2168" s="3" t="s">
        <v>185</v>
      </c>
      <c r="AP2168" s="129" t="s">
        <v>165</v>
      </c>
      <c r="AR2168" s="128" t="s">
        <v>67</v>
      </c>
      <c r="AS2168" s="129" t="s">
        <v>64</v>
      </c>
      <c r="BC2168" s="129" t="s">
        <v>52</v>
      </c>
      <c r="BF2168" s="111">
        <f t="shared" si="1598"/>
        <v>321</v>
      </c>
      <c r="BG2168" s="111">
        <f t="shared" si="1606"/>
        <v>321</v>
      </c>
      <c r="BH2168" s="111">
        <f t="shared" si="1571"/>
        <v>499</v>
      </c>
      <c r="BI2168" s="111">
        <f t="shared" si="1572"/>
        <v>23.26775956284153</v>
      </c>
      <c r="BJ2168" s="129">
        <f t="shared" si="1577"/>
        <v>0</v>
      </c>
      <c r="BK2168" s="129">
        <f t="shared" si="1573"/>
        <v>0</v>
      </c>
      <c r="BL2168" s="129" t="str">
        <f t="shared" si="1601"/>
        <v>CONVICTION</v>
      </c>
      <c r="BM2168" s="129" t="str">
        <f t="shared" si="1578"/>
        <v>NONE</v>
      </c>
      <c r="BN2168" s="129" t="s">
        <v>566</v>
      </c>
      <c r="BP2168" s="137" t="str">
        <f t="shared" si="1579"/>
        <v>CONVICTION</v>
      </c>
      <c r="BQ2168" s="128" t="str">
        <f t="shared" si="1580"/>
        <v>Y</v>
      </c>
      <c r="BR2168" s="129" t="str">
        <f t="shared" si="1581"/>
        <v>DETAINED</v>
      </c>
      <c r="BS2168" s="129" t="str">
        <f t="shared" si="1582"/>
        <v>DISPOSED</v>
      </c>
      <c r="BT2168" s="129" t="str">
        <f t="shared" si="1583"/>
        <v>N</v>
      </c>
      <c r="BU2168" s="109">
        <f t="shared" si="1584"/>
        <v>0.64328657314629256</v>
      </c>
      <c r="BV2168" s="109">
        <f t="shared" si="1585"/>
        <v>1</v>
      </c>
      <c r="BW2168" s="109">
        <f t="shared" si="1596"/>
        <v>0.35671342685370744</v>
      </c>
      <c r="BX2168" s="111">
        <f t="shared" si="1586"/>
        <v>0</v>
      </c>
      <c r="BY2168" s="129">
        <f t="shared" si="1587"/>
        <v>-321</v>
      </c>
      <c r="BZ2168" s="111">
        <f t="shared" si="1588"/>
        <v>0</v>
      </c>
      <c r="CA2168" s="138">
        <f t="shared" si="1589"/>
        <v>321</v>
      </c>
      <c r="CB2168" s="111" t="e">
        <f t="shared" si="1600"/>
        <v>#VALUE!</v>
      </c>
      <c r="CC2168" s="129">
        <f t="shared" si="1607"/>
        <v>321</v>
      </c>
      <c r="CD2168" s="129">
        <f t="shared" si="1608"/>
        <v>0</v>
      </c>
      <c r="CG2168" s="129" t="str">
        <f t="shared" si="1590"/>
        <v>Y</v>
      </c>
      <c r="CI2168" s="129" t="str">
        <f t="shared" si="1591"/>
        <v>121-365 DAYS</v>
      </c>
      <c r="CJ2168" s="137">
        <f t="shared" si="1592"/>
        <v>6</v>
      </c>
      <c r="CK2168" s="129" t="str">
        <f t="shared" si="1593"/>
        <v>Booked</v>
      </c>
    </row>
    <row r="2169" spans="1:89" ht="15" customHeight="1" x14ac:dyDescent="0.25">
      <c r="A2169" s="111">
        <v>604</v>
      </c>
      <c r="B2169" s="128" t="str">
        <f t="shared" si="1574"/>
        <v>N</v>
      </c>
      <c r="C2169" s="128" t="str">
        <f t="shared" si="1575"/>
        <v>N</v>
      </c>
      <c r="D2169" s="117">
        <v>2451112</v>
      </c>
      <c r="E2169" s="135">
        <f t="shared" si="1576"/>
        <v>6</v>
      </c>
      <c r="F2169" s="124">
        <v>40932</v>
      </c>
      <c r="G2169" s="125">
        <v>41226</v>
      </c>
      <c r="H2169" s="117">
        <v>2451112</v>
      </c>
      <c r="I2169" s="124">
        <v>40932</v>
      </c>
      <c r="J2169" s="125">
        <v>41226</v>
      </c>
      <c r="K2169" s="126">
        <v>90000</v>
      </c>
      <c r="L2169" s="129" t="s">
        <v>572</v>
      </c>
      <c r="N2169" s="129" t="str">
        <f>IF(M2169&gt;1/1/1,"Y","N")</f>
        <v>N</v>
      </c>
      <c r="O2169" s="128" t="s">
        <v>917</v>
      </c>
      <c r="P2169" s="129" t="s">
        <v>39</v>
      </c>
      <c r="Q2169" s="111">
        <f t="shared" si="1602"/>
        <v>295</v>
      </c>
      <c r="R2169" s="111">
        <f t="shared" si="1595"/>
        <v>295</v>
      </c>
      <c r="S2169" s="129">
        <v>0</v>
      </c>
      <c r="T2169" s="129">
        <v>5</v>
      </c>
      <c r="W2169" s="111"/>
      <c r="AC2169" s="130"/>
      <c r="AD2169" s="130">
        <v>33476</v>
      </c>
      <c r="AE2169" s="128" t="s">
        <v>32</v>
      </c>
      <c r="AF2169" s="128" t="s">
        <v>40</v>
      </c>
      <c r="AG2169" s="128" t="s">
        <v>41</v>
      </c>
      <c r="AH2169" s="108" t="s">
        <v>41</v>
      </c>
      <c r="AI2169" s="128" t="s">
        <v>95</v>
      </c>
      <c r="AJ2169" s="129" t="s">
        <v>89</v>
      </c>
      <c r="AK2169" s="129">
        <v>14</v>
      </c>
      <c r="AL2169" s="3" t="s">
        <v>362</v>
      </c>
      <c r="AM2169" s="114">
        <v>20</v>
      </c>
      <c r="AP2169" s="129" t="s">
        <v>105</v>
      </c>
      <c r="AR2169" s="128" t="s">
        <v>92</v>
      </c>
      <c r="AS2169" s="129" t="s">
        <v>106</v>
      </c>
      <c r="BC2169" s="129" t="s">
        <v>38</v>
      </c>
      <c r="BF2169" s="111">
        <f t="shared" si="1598"/>
        <v>295</v>
      </c>
      <c r="BG2169" s="111">
        <f t="shared" si="1606"/>
        <v>295</v>
      </c>
      <c r="BH2169" s="111">
        <f t="shared" si="1571"/>
        <v>295</v>
      </c>
      <c r="BI2169" s="111">
        <f t="shared" si="1572"/>
        <v>20.371584699453553</v>
      </c>
      <c r="BJ2169" s="129">
        <f t="shared" si="1577"/>
        <v>0</v>
      </c>
      <c r="BK2169" s="129">
        <f t="shared" si="1573"/>
        <v>0</v>
      </c>
      <c r="BL2169" s="129" t="str">
        <f t="shared" si="1601"/>
        <v>CONVICTION</v>
      </c>
      <c r="BM2169" s="129" t="str">
        <f t="shared" si="1578"/>
        <v>NONE</v>
      </c>
      <c r="BN2169" s="129" t="s">
        <v>566</v>
      </c>
      <c r="BP2169" s="137" t="str">
        <f t="shared" si="1579"/>
        <v>CONVICTION</v>
      </c>
      <c r="BQ2169" s="128" t="str">
        <f t="shared" si="1580"/>
        <v>Y</v>
      </c>
      <c r="BR2169" s="129" t="str">
        <f t="shared" si="1581"/>
        <v>DETAINED</v>
      </c>
      <c r="BS2169" s="129" t="str">
        <f t="shared" si="1582"/>
        <v>DISPOSED</v>
      </c>
      <c r="BT2169" s="129" t="str">
        <f t="shared" si="1583"/>
        <v>N</v>
      </c>
      <c r="BU2169" s="109">
        <f t="shared" si="1584"/>
        <v>1</v>
      </c>
      <c r="BV2169" s="109">
        <f t="shared" si="1585"/>
        <v>1</v>
      </c>
      <c r="BW2169" s="109">
        <f t="shared" si="1596"/>
        <v>0</v>
      </c>
      <c r="BX2169" s="111">
        <f t="shared" si="1586"/>
        <v>0</v>
      </c>
      <c r="BY2169" s="129">
        <f t="shared" si="1587"/>
        <v>-295</v>
      </c>
      <c r="BZ2169" s="111">
        <f t="shared" si="1588"/>
        <v>0</v>
      </c>
      <c r="CA2169" s="138">
        <f t="shared" si="1589"/>
        <v>295</v>
      </c>
      <c r="CB2169" s="111" t="e">
        <f t="shared" si="1600"/>
        <v>#VALUE!</v>
      </c>
      <c r="CC2169" s="129">
        <f t="shared" si="1607"/>
        <v>295</v>
      </c>
      <c r="CD2169" s="129">
        <f t="shared" si="1608"/>
        <v>0</v>
      </c>
      <c r="CG2169" s="129" t="str">
        <f t="shared" si="1590"/>
        <v>Y</v>
      </c>
      <c r="CI2169" s="129" t="str">
        <f t="shared" si="1591"/>
        <v>121-365 DAYS</v>
      </c>
      <c r="CJ2169" s="137">
        <f t="shared" si="1592"/>
        <v>6</v>
      </c>
      <c r="CK2169" s="129" t="str">
        <f t="shared" si="1593"/>
        <v>Booked</v>
      </c>
    </row>
    <row r="2170" spans="1:89" ht="15.75" customHeight="1" x14ac:dyDescent="0.25">
      <c r="A2170" s="111">
        <v>1278</v>
      </c>
      <c r="B2170" s="128" t="str">
        <f t="shared" si="1574"/>
        <v>N</v>
      </c>
      <c r="C2170" s="128" t="str">
        <f t="shared" si="1575"/>
        <v>N</v>
      </c>
      <c r="D2170" s="117">
        <v>2451410</v>
      </c>
      <c r="E2170" s="135">
        <f t="shared" si="1576"/>
        <v>2</v>
      </c>
      <c r="F2170" s="124">
        <v>40955</v>
      </c>
      <c r="G2170" s="125">
        <v>41024</v>
      </c>
      <c r="H2170" s="117">
        <v>2451410</v>
      </c>
      <c r="I2170" s="124">
        <v>41012</v>
      </c>
      <c r="J2170" s="124">
        <v>41024</v>
      </c>
      <c r="K2170" s="126" t="s">
        <v>564</v>
      </c>
      <c r="L2170" s="127" t="s">
        <v>564</v>
      </c>
      <c r="N2170" s="129" t="s">
        <v>566</v>
      </c>
      <c r="O2170" s="128" t="s">
        <v>917</v>
      </c>
      <c r="P2170" s="129" t="s">
        <v>589</v>
      </c>
      <c r="Q2170" s="111">
        <f t="shared" si="1602"/>
        <v>13</v>
      </c>
      <c r="R2170" s="111">
        <f t="shared" si="1595"/>
        <v>70</v>
      </c>
      <c r="S2170" s="129">
        <v>1</v>
      </c>
      <c r="T2170" s="129">
        <v>3</v>
      </c>
      <c r="W2170" s="111"/>
      <c r="AC2170" s="130"/>
      <c r="AD2170" s="130">
        <v>33697</v>
      </c>
      <c r="AE2170" s="128" t="s">
        <v>32</v>
      </c>
      <c r="AF2170" s="128" t="s">
        <v>33</v>
      </c>
      <c r="AG2170" s="128" t="s">
        <v>872</v>
      </c>
      <c r="AH2170" s="108" t="s">
        <v>31</v>
      </c>
      <c r="AI2170" s="128" t="s">
        <v>141</v>
      </c>
      <c r="AJ2170" s="129" t="s">
        <v>48</v>
      </c>
      <c r="AK2170" s="129">
        <v>3</v>
      </c>
      <c r="AL2170" s="3" t="s">
        <v>48</v>
      </c>
      <c r="AP2170" s="129" t="s">
        <v>150</v>
      </c>
      <c r="AR2170" s="128" t="s">
        <v>67</v>
      </c>
      <c r="AS2170" s="129" t="s">
        <v>74</v>
      </c>
      <c r="BC2170" s="129" t="s">
        <v>38</v>
      </c>
      <c r="BF2170" s="111">
        <f t="shared" si="1598"/>
        <v>13</v>
      </c>
      <c r="BG2170" s="111">
        <f t="shared" si="1606"/>
        <v>13</v>
      </c>
      <c r="BH2170" s="111">
        <f t="shared" si="1571"/>
        <v>70</v>
      </c>
      <c r="BI2170" s="111">
        <f t="shared" si="1572"/>
        <v>19.830601092896174</v>
      </c>
      <c r="BJ2170" s="129">
        <f t="shared" si="1577"/>
        <v>0</v>
      </c>
      <c r="BK2170" s="129">
        <f t="shared" si="1573"/>
        <v>0</v>
      </c>
      <c r="BL2170" s="129" t="str">
        <f t="shared" si="1601"/>
        <v>DEFERRED</v>
      </c>
      <c r="BM2170" s="129" t="str">
        <f t="shared" si="1578"/>
        <v>NONE</v>
      </c>
      <c r="BN2170" s="129" t="s">
        <v>566</v>
      </c>
      <c r="BP2170" s="137" t="str">
        <f t="shared" si="1579"/>
        <v>DEFERRED</v>
      </c>
      <c r="BQ2170" s="128" t="str">
        <f t="shared" si="1580"/>
        <v>Y</v>
      </c>
      <c r="BR2170" s="129" t="str">
        <f t="shared" si="1581"/>
        <v>DETAINED</v>
      </c>
      <c r="BS2170" s="129" t="str">
        <f t="shared" si="1582"/>
        <v>DISPOSED</v>
      </c>
      <c r="BT2170" s="129" t="str">
        <f t="shared" si="1583"/>
        <v>Y</v>
      </c>
      <c r="BU2170" s="109">
        <f t="shared" si="1584"/>
        <v>0.18571428571428572</v>
      </c>
      <c r="BV2170" s="109">
        <f t="shared" si="1585"/>
        <v>1</v>
      </c>
      <c r="BW2170" s="109">
        <f t="shared" si="1596"/>
        <v>0.81428571428571428</v>
      </c>
      <c r="BX2170" s="111">
        <f t="shared" si="1586"/>
        <v>0</v>
      </c>
      <c r="BY2170" s="129">
        <f t="shared" si="1587"/>
        <v>-13</v>
      </c>
      <c r="BZ2170" s="111">
        <f t="shared" si="1588"/>
        <v>0</v>
      </c>
      <c r="CA2170" s="138">
        <f t="shared" si="1589"/>
        <v>13</v>
      </c>
      <c r="CB2170" s="111" t="e">
        <f t="shared" si="1600"/>
        <v>#VALUE!</v>
      </c>
      <c r="CC2170" s="129">
        <f t="shared" si="1607"/>
        <v>13</v>
      </c>
      <c r="CD2170" s="129">
        <f t="shared" si="1608"/>
        <v>0</v>
      </c>
      <c r="CG2170" s="129" t="str">
        <f t="shared" si="1590"/>
        <v>Y</v>
      </c>
      <c r="CI2170" s="129" t="str">
        <f t="shared" si="1591"/>
        <v>11-30 DAYS</v>
      </c>
      <c r="CJ2170" s="137">
        <f t="shared" si="1592"/>
        <v>2</v>
      </c>
      <c r="CK2170" s="129" t="str">
        <f t="shared" si="1593"/>
        <v>Booked</v>
      </c>
    </row>
    <row r="2171" spans="1:89" ht="15" customHeight="1" x14ac:dyDescent="0.25">
      <c r="A2171" s="111">
        <v>2307</v>
      </c>
      <c r="B2171" s="128" t="str">
        <f t="shared" si="1574"/>
        <v>N</v>
      </c>
      <c r="C2171" s="128" t="str">
        <f t="shared" si="1575"/>
        <v>N</v>
      </c>
      <c r="D2171" s="117">
        <v>2451431</v>
      </c>
      <c r="E2171" s="135">
        <f t="shared" si="1576"/>
        <v>6</v>
      </c>
      <c r="F2171" s="124">
        <v>40996</v>
      </c>
      <c r="G2171" s="125">
        <v>41380</v>
      </c>
      <c r="H2171" s="117">
        <v>2451431</v>
      </c>
      <c r="I2171" s="124">
        <v>40996</v>
      </c>
      <c r="J2171" s="125">
        <v>41380</v>
      </c>
      <c r="K2171" s="126" t="s">
        <v>564</v>
      </c>
      <c r="L2171" s="127" t="s">
        <v>564</v>
      </c>
      <c r="N2171" s="129" t="s">
        <v>566</v>
      </c>
      <c r="O2171" s="128" t="s">
        <v>917</v>
      </c>
      <c r="P2171" s="129" t="s">
        <v>39</v>
      </c>
      <c r="Q2171" s="111">
        <f t="shared" si="1602"/>
        <v>385</v>
      </c>
      <c r="R2171" s="111">
        <f t="shared" si="1595"/>
        <v>385</v>
      </c>
      <c r="S2171" s="129">
        <v>0</v>
      </c>
      <c r="T2171" s="129">
        <v>2</v>
      </c>
      <c r="W2171" s="111"/>
      <c r="AC2171" s="130"/>
      <c r="AD2171" s="130">
        <v>33616</v>
      </c>
      <c r="AE2171" s="128" t="s">
        <v>32</v>
      </c>
      <c r="AF2171" s="128" t="s">
        <v>33</v>
      </c>
      <c r="AG2171" s="128" t="s">
        <v>872</v>
      </c>
      <c r="AH2171" s="108" t="s">
        <v>31</v>
      </c>
      <c r="AI2171" s="128" t="s">
        <v>114</v>
      </c>
      <c r="AJ2171" s="129" t="s">
        <v>89</v>
      </c>
      <c r="AK2171" s="129">
        <v>14</v>
      </c>
      <c r="AL2171" s="3" t="s">
        <v>362</v>
      </c>
      <c r="AM2171" s="117">
        <v>3</v>
      </c>
      <c r="AP2171" s="129" t="s">
        <v>56</v>
      </c>
      <c r="AR2171" s="128" t="s">
        <v>50</v>
      </c>
      <c r="AS2171" s="129" t="s">
        <v>57</v>
      </c>
      <c r="BC2171" s="129" t="s">
        <v>38</v>
      </c>
      <c r="BF2171" s="111">
        <f t="shared" si="1598"/>
        <v>385</v>
      </c>
      <c r="BG2171" s="111">
        <f t="shared" si="1606"/>
        <v>385</v>
      </c>
      <c r="BH2171" s="111">
        <f t="shared" si="1571"/>
        <v>385</v>
      </c>
      <c r="BI2171" s="111">
        <f t="shared" si="1572"/>
        <v>20.16393442622951</v>
      </c>
      <c r="BJ2171" s="129">
        <f t="shared" si="1577"/>
        <v>0</v>
      </c>
      <c r="BK2171" s="129">
        <f t="shared" si="1573"/>
        <v>0</v>
      </c>
      <c r="BL2171" s="129" t="str">
        <f t="shared" si="1601"/>
        <v>CONVICTION</v>
      </c>
      <c r="BM2171" s="129" t="str">
        <f t="shared" si="1578"/>
        <v>NONE</v>
      </c>
      <c r="BN2171" s="129" t="s">
        <v>566</v>
      </c>
      <c r="BP2171" s="137" t="str">
        <f t="shared" si="1579"/>
        <v>CONVICTION</v>
      </c>
      <c r="BQ2171" s="128" t="str">
        <f t="shared" si="1580"/>
        <v>Y</v>
      </c>
      <c r="BR2171" s="129" t="str">
        <f t="shared" si="1581"/>
        <v>DETAINED</v>
      </c>
      <c r="BS2171" s="129" t="str">
        <f t="shared" si="1582"/>
        <v>DISPOSED</v>
      </c>
      <c r="BT2171" s="129" t="str">
        <f t="shared" si="1583"/>
        <v>N</v>
      </c>
      <c r="BU2171" s="109">
        <f t="shared" si="1584"/>
        <v>1</v>
      </c>
      <c r="BV2171" s="109">
        <f t="shared" si="1585"/>
        <v>1</v>
      </c>
      <c r="BW2171" s="109">
        <f t="shared" si="1596"/>
        <v>0</v>
      </c>
      <c r="BX2171" s="111">
        <f t="shared" si="1586"/>
        <v>0</v>
      </c>
      <c r="BY2171" s="129">
        <f t="shared" si="1587"/>
        <v>-385</v>
      </c>
      <c r="BZ2171" s="111">
        <f t="shared" si="1588"/>
        <v>0</v>
      </c>
      <c r="CA2171" s="138">
        <f t="shared" si="1589"/>
        <v>385</v>
      </c>
      <c r="CB2171" s="111" t="e">
        <f t="shared" si="1600"/>
        <v>#VALUE!</v>
      </c>
      <c r="CC2171" s="129">
        <f t="shared" si="1607"/>
        <v>385</v>
      </c>
      <c r="CD2171" s="129">
        <f t="shared" si="1608"/>
        <v>0</v>
      </c>
      <c r="CG2171" s="129" t="str">
        <f t="shared" si="1590"/>
        <v>Y</v>
      </c>
      <c r="CI2171" s="129" t="str">
        <f t="shared" si="1591"/>
        <v xml:space="preserve"> &gt;1YRS&lt;2YRS</v>
      </c>
      <c r="CJ2171" s="137">
        <f t="shared" si="1592"/>
        <v>0</v>
      </c>
      <c r="CK2171" s="129" t="str">
        <f t="shared" si="1593"/>
        <v>Booked</v>
      </c>
    </row>
    <row r="2172" spans="1:89" ht="15.75" customHeight="1" x14ac:dyDescent="0.25">
      <c r="A2172" s="111">
        <v>1147</v>
      </c>
      <c r="B2172" s="128" t="str">
        <f t="shared" si="1574"/>
        <v>N</v>
      </c>
      <c r="C2172" s="128" t="str">
        <f t="shared" si="1575"/>
        <v>N</v>
      </c>
      <c r="D2172" s="117">
        <v>2451558</v>
      </c>
      <c r="E2172" s="135">
        <f t="shared" si="1576"/>
        <v>5</v>
      </c>
      <c r="F2172" s="124">
        <v>40950</v>
      </c>
      <c r="G2172" s="125">
        <v>41148</v>
      </c>
      <c r="H2172" s="117">
        <v>2451558</v>
      </c>
      <c r="I2172" s="124">
        <v>40950</v>
      </c>
      <c r="J2172" s="124">
        <v>41148</v>
      </c>
      <c r="K2172" s="126" t="s">
        <v>564</v>
      </c>
      <c r="L2172" s="127" t="s">
        <v>564</v>
      </c>
      <c r="N2172" s="129" t="s">
        <v>566</v>
      </c>
      <c r="O2172" s="128" t="s">
        <v>917</v>
      </c>
      <c r="P2172" s="129" t="s">
        <v>39</v>
      </c>
      <c r="Q2172" s="111">
        <f t="shared" si="1602"/>
        <v>199</v>
      </c>
      <c r="R2172" s="111">
        <f t="shared" si="1595"/>
        <v>199</v>
      </c>
      <c r="S2172" s="129">
        <v>0</v>
      </c>
      <c r="T2172" s="129">
        <v>4</v>
      </c>
      <c r="W2172" s="111"/>
      <c r="AC2172" s="130"/>
      <c r="AD2172" s="130">
        <v>33509</v>
      </c>
      <c r="AE2172" s="128" t="s">
        <v>32</v>
      </c>
      <c r="AF2172" s="128" t="s">
        <v>33</v>
      </c>
      <c r="AG2172" s="128" t="s">
        <v>872</v>
      </c>
      <c r="AH2172" s="108" t="s">
        <v>58</v>
      </c>
      <c r="AI2172" s="128" t="s">
        <v>100</v>
      </c>
      <c r="AJ2172" s="129" t="s">
        <v>89</v>
      </c>
      <c r="AK2172" s="129">
        <v>10</v>
      </c>
      <c r="AL2172" s="3" t="s">
        <v>992</v>
      </c>
      <c r="AN2172" s="117">
        <v>8</v>
      </c>
      <c r="AP2172" s="129" t="s">
        <v>108</v>
      </c>
      <c r="AR2172" s="128" t="s">
        <v>44</v>
      </c>
      <c r="AS2172" s="129" t="s">
        <v>61</v>
      </c>
      <c r="BC2172" s="129" t="s">
        <v>52</v>
      </c>
      <c r="BF2172" s="111">
        <f t="shared" si="1598"/>
        <v>199</v>
      </c>
      <c r="BG2172" s="111">
        <f t="shared" si="1606"/>
        <v>199</v>
      </c>
      <c r="BH2172" s="111">
        <f t="shared" si="1571"/>
        <v>199</v>
      </c>
      <c r="BI2172" s="111">
        <f t="shared" si="1572"/>
        <v>20.330601092896174</v>
      </c>
      <c r="BJ2172" s="129">
        <f t="shared" si="1577"/>
        <v>0</v>
      </c>
      <c r="BK2172" s="129">
        <f t="shared" si="1573"/>
        <v>0</v>
      </c>
      <c r="BL2172" s="129" t="str">
        <f t="shared" si="1601"/>
        <v>CONVICTION</v>
      </c>
      <c r="BM2172" s="129" t="str">
        <f t="shared" si="1578"/>
        <v>NONE</v>
      </c>
      <c r="BN2172" s="129" t="s">
        <v>566</v>
      </c>
      <c r="BP2172" s="137" t="str">
        <f t="shared" si="1579"/>
        <v>CONVICTION</v>
      </c>
      <c r="BQ2172" s="128" t="str">
        <f t="shared" si="1580"/>
        <v>Y</v>
      </c>
      <c r="BR2172" s="129" t="str">
        <f t="shared" si="1581"/>
        <v>DETAINED</v>
      </c>
      <c r="BS2172" s="129" t="str">
        <f t="shared" si="1582"/>
        <v>DISPOSED</v>
      </c>
      <c r="BT2172" s="129" t="str">
        <f t="shared" si="1583"/>
        <v>N</v>
      </c>
      <c r="BU2172" s="109">
        <f t="shared" si="1584"/>
        <v>1</v>
      </c>
      <c r="BV2172" s="109">
        <f t="shared" si="1585"/>
        <v>1</v>
      </c>
      <c r="BW2172" s="109">
        <f t="shared" si="1596"/>
        <v>0</v>
      </c>
      <c r="BX2172" s="111">
        <f t="shared" si="1586"/>
        <v>0</v>
      </c>
      <c r="BY2172" s="129">
        <f t="shared" si="1587"/>
        <v>-199</v>
      </c>
      <c r="BZ2172" s="111">
        <f t="shared" si="1588"/>
        <v>0</v>
      </c>
      <c r="CA2172" s="138">
        <f t="shared" si="1589"/>
        <v>199</v>
      </c>
      <c r="CB2172" s="111" t="e">
        <f t="shared" si="1600"/>
        <v>#VALUE!</v>
      </c>
      <c r="CC2172" s="129">
        <f t="shared" si="1607"/>
        <v>199</v>
      </c>
      <c r="CD2172" s="129">
        <f t="shared" si="1608"/>
        <v>0</v>
      </c>
      <c r="CG2172" s="129" t="str">
        <f t="shared" si="1590"/>
        <v>Y</v>
      </c>
      <c r="CI2172" s="129" t="str">
        <f t="shared" si="1591"/>
        <v>121-365 DAYS</v>
      </c>
      <c r="CJ2172" s="137">
        <f t="shared" si="1592"/>
        <v>6</v>
      </c>
      <c r="CK2172" s="129" t="str">
        <f t="shared" si="1593"/>
        <v>Booked</v>
      </c>
    </row>
    <row r="2173" spans="1:89" ht="15" customHeight="1" x14ac:dyDescent="0.25">
      <c r="A2173" s="111">
        <v>1025</v>
      </c>
      <c r="B2173" s="128" t="str">
        <f t="shared" si="1574"/>
        <v>N</v>
      </c>
      <c r="C2173" s="128" t="str">
        <f t="shared" si="1575"/>
        <v>N</v>
      </c>
      <c r="D2173" s="117">
        <v>2451855</v>
      </c>
      <c r="E2173" s="135">
        <f t="shared" si="1576"/>
        <v>4</v>
      </c>
      <c r="F2173" s="124">
        <v>40947</v>
      </c>
      <c r="G2173" s="125">
        <v>41017</v>
      </c>
      <c r="H2173" s="117">
        <v>2451855</v>
      </c>
      <c r="I2173" s="124">
        <v>40947</v>
      </c>
      <c r="J2173" s="124">
        <v>41017</v>
      </c>
      <c r="K2173" s="126" t="s">
        <v>564</v>
      </c>
      <c r="L2173" s="127" t="s">
        <v>564</v>
      </c>
      <c r="N2173" s="129" t="s">
        <v>566</v>
      </c>
      <c r="O2173" s="128" t="s">
        <v>917</v>
      </c>
      <c r="P2173" s="129" t="s">
        <v>39</v>
      </c>
      <c r="Q2173" s="111">
        <f t="shared" si="1602"/>
        <v>71</v>
      </c>
      <c r="R2173" s="111">
        <f t="shared" si="1595"/>
        <v>71</v>
      </c>
      <c r="S2173" s="129">
        <v>0</v>
      </c>
      <c r="T2173" s="129">
        <v>1</v>
      </c>
      <c r="W2173" s="111"/>
      <c r="AC2173" s="130"/>
      <c r="AD2173" s="130">
        <v>33847</v>
      </c>
      <c r="AE2173" s="128" t="s">
        <v>32</v>
      </c>
      <c r="AF2173" s="128" t="s">
        <v>40</v>
      </c>
      <c r="AG2173" s="128" t="s">
        <v>41</v>
      </c>
      <c r="AH2173" s="108" t="s">
        <v>41</v>
      </c>
      <c r="AI2173" s="128" t="s">
        <v>47</v>
      </c>
      <c r="AJ2173" s="129" t="s">
        <v>89</v>
      </c>
      <c r="AK2173" s="129">
        <v>5</v>
      </c>
      <c r="AL2173" s="3" t="s">
        <v>991</v>
      </c>
      <c r="AO2173" s="128">
        <v>30</v>
      </c>
      <c r="AP2173" s="129" t="s">
        <v>43</v>
      </c>
      <c r="AR2173" s="128" t="s">
        <v>44</v>
      </c>
      <c r="AS2173" s="129" t="s">
        <v>45</v>
      </c>
      <c r="BC2173" s="129" t="s">
        <v>52</v>
      </c>
      <c r="BF2173" s="111">
        <f t="shared" si="1598"/>
        <v>71</v>
      </c>
      <c r="BG2173" s="111">
        <f t="shared" si="1606"/>
        <v>71</v>
      </c>
      <c r="BH2173" s="111">
        <f t="shared" si="1571"/>
        <v>71</v>
      </c>
      <c r="BI2173" s="111">
        <f t="shared" si="1572"/>
        <v>19.398907103825138</v>
      </c>
      <c r="BJ2173" s="129">
        <f t="shared" si="1577"/>
        <v>0</v>
      </c>
      <c r="BK2173" s="129">
        <f t="shared" si="1573"/>
        <v>0</v>
      </c>
      <c r="BL2173" s="129" t="str">
        <f t="shared" si="1601"/>
        <v>CONVICTION</v>
      </c>
      <c r="BM2173" s="129" t="str">
        <f t="shared" si="1578"/>
        <v>NONE</v>
      </c>
      <c r="BN2173" s="129" t="s">
        <v>566</v>
      </c>
      <c r="BP2173" s="137" t="str">
        <f t="shared" si="1579"/>
        <v>CONVICTION</v>
      </c>
      <c r="BQ2173" s="128" t="str">
        <f t="shared" si="1580"/>
        <v>Y</v>
      </c>
      <c r="BR2173" s="129" t="str">
        <f t="shared" si="1581"/>
        <v>DETAINED</v>
      </c>
      <c r="BS2173" s="129" t="str">
        <f t="shared" si="1582"/>
        <v>DISPOSED</v>
      </c>
      <c r="BT2173" s="129" t="str">
        <f t="shared" si="1583"/>
        <v>N</v>
      </c>
      <c r="BU2173" s="109">
        <f t="shared" si="1584"/>
        <v>1</v>
      </c>
      <c r="BV2173" s="109">
        <f t="shared" si="1585"/>
        <v>1</v>
      </c>
      <c r="BW2173" s="109">
        <f t="shared" si="1596"/>
        <v>0</v>
      </c>
      <c r="BX2173" s="111">
        <f t="shared" si="1586"/>
        <v>0</v>
      </c>
      <c r="BY2173" s="129">
        <f t="shared" si="1587"/>
        <v>-71</v>
      </c>
      <c r="BZ2173" s="111">
        <f t="shared" si="1588"/>
        <v>0</v>
      </c>
      <c r="CA2173" s="138">
        <f t="shared" si="1589"/>
        <v>71</v>
      </c>
      <c r="CB2173" s="111" t="e">
        <f t="shared" si="1600"/>
        <v>#VALUE!</v>
      </c>
      <c r="CC2173" s="129">
        <f t="shared" si="1607"/>
        <v>71</v>
      </c>
      <c r="CD2173" s="129">
        <f t="shared" si="1608"/>
        <v>0</v>
      </c>
      <c r="CG2173" s="129" t="str">
        <f t="shared" si="1590"/>
        <v>Y</v>
      </c>
      <c r="CI2173" s="129" t="str">
        <f t="shared" si="1591"/>
        <v>61-90 DAYS</v>
      </c>
      <c r="CJ2173" s="137">
        <f t="shared" si="1592"/>
        <v>4</v>
      </c>
      <c r="CK2173" s="129" t="str">
        <f t="shared" si="1593"/>
        <v>Booked</v>
      </c>
    </row>
    <row r="2174" spans="1:89" ht="15.75" customHeight="1" x14ac:dyDescent="0.25">
      <c r="A2174" s="111">
        <v>289</v>
      </c>
      <c r="B2174" s="128" t="str">
        <f t="shared" si="1574"/>
        <v>N</v>
      </c>
      <c r="C2174" s="128" t="str">
        <f t="shared" si="1575"/>
        <v>N</v>
      </c>
      <c r="D2174" s="117">
        <v>2452525</v>
      </c>
      <c r="E2174" s="135">
        <f t="shared" si="1576"/>
        <v>2</v>
      </c>
      <c r="F2174" s="124">
        <v>40920</v>
      </c>
      <c r="G2174" s="125">
        <v>41165</v>
      </c>
      <c r="H2174" s="117">
        <v>2452525</v>
      </c>
      <c r="I2174" s="124">
        <v>40920</v>
      </c>
      <c r="J2174" s="124">
        <v>40950</v>
      </c>
      <c r="K2174" s="126">
        <v>20000</v>
      </c>
      <c r="L2174" s="127" t="s">
        <v>571</v>
      </c>
      <c r="M2174" s="125">
        <v>40950</v>
      </c>
      <c r="N2174" s="129" t="str">
        <f t="shared" ref="N2174:N2179" si="1609">IF(M2174&gt;1/1/1,"Y","N")</f>
        <v>Y</v>
      </c>
      <c r="O2174" s="128" t="s">
        <v>76</v>
      </c>
      <c r="P2174" s="129" t="s">
        <v>589</v>
      </c>
      <c r="Q2174" s="111">
        <f t="shared" si="1602"/>
        <v>31</v>
      </c>
      <c r="R2174" s="111">
        <f t="shared" si="1595"/>
        <v>246</v>
      </c>
      <c r="S2174" s="129">
        <v>1</v>
      </c>
      <c r="T2174" s="129">
        <v>4</v>
      </c>
      <c r="W2174" s="111"/>
      <c r="AC2174" s="130"/>
      <c r="AD2174" s="130">
        <v>32852</v>
      </c>
      <c r="AE2174" s="128" t="s">
        <v>32</v>
      </c>
      <c r="AF2174" s="128" t="s">
        <v>33</v>
      </c>
      <c r="AG2174" s="128" t="s">
        <v>872</v>
      </c>
      <c r="AH2174" s="108" t="s">
        <v>58</v>
      </c>
      <c r="AI2174" s="128" t="s">
        <v>87</v>
      </c>
      <c r="AJ2174" s="129" t="s">
        <v>48</v>
      </c>
      <c r="AK2174" s="129">
        <v>9</v>
      </c>
      <c r="AL2174" s="3" t="s">
        <v>48</v>
      </c>
      <c r="AP2174" s="129" t="s">
        <v>186</v>
      </c>
      <c r="AR2174" s="128" t="s">
        <v>50</v>
      </c>
      <c r="AS2174" s="129" t="s">
        <v>106</v>
      </c>
      <c r="BC2174" s="129" t="s">
        <v>38</v>
      </c>
      <c r="BF2174" s="111">
        <f t="shared" si="1598"/>
        <v>31</v>
      </c>
      <c r="BG2174" s="111">
        <f t="shared" si="1606"/>
        <v>246</v>
      </c>
      <c r="BH2174" s="111">
        <f t="shared" si="1571"/>
        <v>246</v>
      </c>
      <c r="BI2174" s="111">
        <f t="shared" si="1572"/>
        <v>22.043715846994534</v>
      </c>
      <c r="BJ2174" s="129">
        <f>(G2174-J2174)+(M2174-G2174)</f>
        <v>0</v>
      </c>
      <c r="BK2174" s="129">
        <f t="shared" si="1573"/>
        <v>-215</v>
      </c>
      <c r="BL2174" s="129" t="str">
        <f t="shared" si="1601"/>
        <v>DEFERRED</v>
      </c>
      <c r="BM2174" s="129" t="s">
        <v>76</v>
      </c>
      <c r="BN2174" s="129" t="s">
        <v>88</v>
      </c>
      <c r="BP2174" s="137" t="str">
        <f t="shared" si="1579"/>
        <v>DEFERRED</v>
      </c>
      <c r="BQ2174" s="128" t="str">
        <f t="shared" si="1580"/>
        <v>Y</v>
      </c>
      <c r="BR2174" s="129" t="str">
        <f t="shared" si="1581"/>
        <v>ON BOND</v>
      </c>
      <c r="BS2174" s="129" t="str">
        <f t="shared" si="1582"/>
        <v>DISPOSED</v>
      </c>
      <c r="BT2174" s="129" t="str">
        <f t="shared" si="1583"/>
        <v>Y</v>
      </c>
      <c r="BU2174" s="109">
        <f t="shared" si="1584"/>
        <v>0.12601626016260162</v>
      </c>
      <c r="BV2174" s="109">
        <f t="shared" si="1585"/>
        <v>0.12601626016260162</v>
      </c>
      <c r="BW2174" s="109">
        <f t="shared" si="1596"/>
        <v>0</v>
      </c>
      <c r="BX2174" s="111">
        <f t="shared" si="1586"/>
        <v>0</v>
      </c>
      <c r="BY2174" s="129">
        <f t="shared" si="1587"/>
        <v>-31</v>
      </c>
      <c r="BZ2174" s="111">
        <f t="shared" si="1588"/>
        <v>0</v>
      </c>
      <c r="CA2174" s="138">
        <f t="shared" si="1589"/>
        <v>31</v>
      </c>
      <c r="CB2174" s="111" t="e">
        <f t="shared" si="1600"/>
        <v>#VALUE!</v>
      </c>
      <c r="CC2174" s="129">
        <f>M2174-I2174+1</f>
        <v>31</v>
      </c>
      <c r="CD2174" s="111">
        <f>CC2174-BF2174</f>
        <v>0</v>
      </c>
      <c r="CG2174" s="129" t="str">
        <f t="shared" si="1590"/>
        <v>Y</v>
      </c>
      <c r="CI2174" s="129" t="str">
        <f t="shared" si="1591"/>
        <v>31-60 DAYS</v>
      </c>
      <c r="CJ2174" s="137">
        <f t="shared" si="1592"/>
        <v>3</v>
      </c>
      <c r="CK2174" s="129" t="str">
        <f t="shared" si="1593"/>
        <v>Booked</v>
      </c>
    </row>
    <row r="2175" spans="1:89" ht="15" customHeight="1" x14ac:dyDescent="0.25">
      <c r="A2175" s="111">
        <v>962</v>
      </c>
      <c r="B2175" s="128" t="str">
        <f t="shared" si="1574"/>
        <v>N</v>
      </c>
      <c r="C2175" s="128" t="str">
        <f t="shared" si="1575"/>
        <v>N</v>
      </c>
      <c r="D2175" s="117">
        <v>2452696</v>
      </c>
      <c r="E2175" s="135">
        <f t="shared" si="1576"/>
        <v>1</v>
      </c>
      <c r="F2175" s="124">
        <v>40944</v>
      </c>
      <c r="G2175" s="125">
        <v>41200</v>
      </c>
      <c r="H2175" s="117">
        <v>2452696</v>
      </c>
      <c r="I2175" s="124">
        <v>40944</v>
      </c>
      <c r="J2175" s="124">
        <v>40945</v>
      </c>
      <c r="K2175" s="126">
        <v>5000</v>
      </c>
      <c r="L2175" s="127" t="s">
        <v>569</v>
      </c>
      <c r="M2175" s="125">
        <v>40945</v>
      </c>
      <c r="N2175" s="129" t="str">
        <f t="shared" si="1609"/>
        <v>Y</v>
      </c>
      <c r="O2175" s="128" t="s">
        <v>76</v>
      </c>
      <c r="P2175" s="129" t="s">
        <v>123</v>
      </c>
      <c r="Q2175" s="111">
        <f t="shared" si="1602"/>
        <v>2</v>
      </c>
      <c r="R2175" s="111">
        <f t="shared" si="1595"/>
        <v>257</v>
      </c>
      <c r="S2175" s="129">
        <v>0</v>
      </c>
      <c r="T2175" s="129">
        <v>0</v>
      </c>
      <c r="W2175" s="111"/>
      <c r="AC2175" s="130"/>
      <c r="AD2175" s="130">
        <v>32385</v>
      </c>
      <c r="AE2175" s="128" t="s">
        <v>32</v>
      </c>
      <c r="AF2175" s="128" t="s">
        <v>69</v>
      </c>
      <c r="AG2175" s="128" t="s">
        <v>874</v>
      </c>
      <c r="AH2175" s="108" t="s">
        <v>31</v>
      </c>
      <c r="AI2175" s="128" t="s">
        <v>34</v>
      </c>
      <c r="AJ2175" s="129" t="s">
        <v>123</v>
      </c>
      <c r="AK2175" s="129">
        <v>5</v>
      </c>
      <c r="AL2175" s="3" t="s">
        <v>123</v>
      </c>
      <c r="AP2175" s="129" t="s">
        <v>84</v>
      </c>
      <c r="AR2175" s="128" t="s">
        <v>67</v>
      </c>
      <c r="AS2175" s="129" t="s">
        <v>74</v>
      </c>
      <c r="BC2175" s="129" t="s">
        <v>52</v>
      </c>
      <c r="BF2175" s="111">
        <f t="shared" si="1598"/>
        <v>2</v>
      </c>
      <c r="BG2175" s="111">
        <f t="shared" si="1606"/>
        <v>257</v>
      </c>
      <c r="BH2175" s="111">
        <f t="shared" si="1571"/>
        <v>257</v>
      </c>
      <c r="BI2175" s="111">
        <f t="shared" si="1572"/>
        <v>23.385245901639344</v>
      </c>
      <c r="BJ2175" s="129">
        <f>(G2175-J2175)+(M2175-G2175)</f>
        <v>0</v>
      </c>
      <c r="BK2175" s="129">
        <f t="shared" si="1573"/>
        <v>-255</v>
      </c>
      <c r="BL2175" s="129" t="str">
        <f t="shared" si="1601"/>
        <v>NO CONVICTION</v>
      </c>
      <c r="BM2175" s="129" t="s">
        <v>76</v>
      </c>
      <c r="BN2175" s="129" t="s">
        <v>88</v>
      </c>
      <c r="BP2175" s="137" t="str">
        <f t="shared" si="1579"/>
        <v>NO CONVICTION</v>
      </c>
      <c r="BQ2175" s="128" t="str">
        <f t="shared" si="1580"/>
        <v>Y</v>
      </c>
      <c r="BR2175" s="129" t="str">
        <f t="shared" si="1581"/>
        <v>ON BOND</v>
      </c>
      <c r="BS2175" s="129" t="str">
        <f t="shared" si="1582"/>
        <v>DISPOSED</v>
      </c>
      <c r="BT2175" s="129" t="str">
        <f t="shared" si="1583"/>
        <v>N</v>
      </c>
      <c r="BU2175" s="109">
        <f>IFERROR(Q2175/R2175,BR2175)</f>
        <v>7.7821011673151752E-3</v>
      </c>
      <c r="BV2175" s="109">
        <f t="shared" si="1585"/>
        <v>7.7821011673151752E-3</v>
      </c>
      <c r="BW2175" s="109">
        <f t="shared" si="1596"/>
        <v>0</v>
      </c>
      <c r="BX2175" s="111">
        <f t="shared" si="1586"/>
        <v>0</v>
      </c>
      <c r="BY2175" s="129">
        <f t="shared" si="1587"/>
        <v>-2</v>
      </c>
      <c r="BZ2175" s="111">
        <f t="shared" si="1588"/>
        <v>0</v>
      </c>
      <c r="CA2175" s="138">
        <f t="shared" si="1589"/>
        <v>2</v>
      </c>
      <c r="CB2175" s="111" t="e">
        <f t="shared" si="1600"/>
        <v>#VALUE!</v>
      </c>
      <c r="CC2175" s="129">
        <f>M2175-I2175+1</f>
        <v>2</v>
      </c>
      <c r="CD2175" s="111">
        <f>CC2175-BF2175</f>
        <v>0</v>
      </c>
      <c r="CG2175" s="129" t="str">
        <f t="shared" si="1590"/>
        <v>N</v>
      </c>
      <c r="CI2175" s="129" t="str">
        <f t="shared" si="1591"/>
        <v>0-10 DAYS</v>
      </c>
      <c r="CJ2175" s="137">
        <f t="shared" si="1592"/>
        <v>1</v>
      </c>
      <c r="CK2175" s="129" t="str">
        <f t="shared" si="1593"/>
        <v>Booked</v>
      </c>
    </row>
    <row r="2176" spans="1:89" ht="15.75" customHeight="1" x14ac:dyDescent="0.25">
      <c r="A2176" s="111">
        <v>1037</v>
      </c>
      <c r="B2176" s="128" t="str">
        <f t="shared" si="1574"/>
        <v>N</v>
      </c>
      <c r="C2176" s="128" t="str">
        <f t="shared" si="1575"/>
        <v>N</v>
      </c>
      <c r="D2176" s="117">
        <v>2452952</v>
      </c>
      <c r="E2176" s="135">
        <f t="shared" si="1576"/>
        <v>1</v>
      </c>
      <c r="F2176" s="124">
        <v>40947</v>
      </c>
      <c r="G2176" s="125">
        <v>41039</v>
      </c>
      <c r="H2176" s="117">
        <v>2452952</v>
      </c>
      <c r="I2176" s="124">
        <v>40948</v>
      </c>
      <c r="J2176" s="124">
        <v>40948</v>
      </c>
      <c r="K2176" s="126">
        <v>10000</v>
      </c>
      <c r="L2176" s="127" t="s">
        <v>570</v>
      </c>
      <c r="M2176" s="125">
        <v>40948</v>
      </c>
      <c r="N2176" s="129" t="str">
        <f t="shared" si="1609"/>
        <v>Y</v>
      </c>
      <c r="O2176" s="128" t="s">
        <v>76</v>
      </c>
      <c r="P2176" s="129" t="s">
        <v>123</v>
      </c>
      <c r="Q2176" s="111">
        <f t="shared" ref="Q2176:Q2197" si="1610">BF2176</f>
        <v>1</v>
      </c>
      <c r="R2176" s="111">
        <f t="shared" si="1595"/>
        <v>93</v>
      </c>
      <c r="S2176" s="129">
        <v>1</v>
      </c>
      <c r="T2176" s="129">
        <v>0</v>
      </c>
      <c r="W2176" s="111"/>
      <c r="AB2176" s="131" t="s">
        <v>112</v>
      </c>
      <c r="AC2176" s="130"/>
      <c r="AD2176" s="130">
        <v>33834</v>
      </c>
      <c r="AE2176" s="128" t="s">
        <v>32</v>
      </c>
      <c r="AF2176" s="128" t="s">
        <v>40</v>
      </c>
      <c r="AG2176" s="128" t="s">
        <v>41</v>
      </c>
      <c r="AH2176" s="108" t="s">
        <v>31</v>
      </c>
      <c r="AI2176" s="128" t="s">
        <v>62</v>
      </c>
      <c r="AJ2176" s="129" t="s">
        <v>123</v>
      </c>
      <c r="AK2176" s="129">
        <v>5</v>
      </c>
      <c r="AL2176" s="3" t="s">
        <v>123</v>
      </c>
      <c r="AP2176" s="129" t="s">
        <v>43</v>
      </c>
      <c r="AR2176" s="128" t="s">
        <v>44</v>
      </c>
      <c r="AS2176" s="129" t="s">
        <v>45</v>
      </c>
      <c r="BC2176" s="129" t="s">
        <v>52</v>
      </c>
      <c r="BF2176" s="111">
        <f t="shared" si="1598"/>
        <v>1</v>
      </c>
      <c r="BG2176" s="111">
        <f t="shared" si="1606"/>
        <v>92</v>
      </c>
      <c r="BH2176" s="111">
        <f t="shared" si="1571"/>
        <v>93</v>
      </c>
      <c r="BI2176" s="111">
        <f t="shared" si="1572"/>
        <v>19.434426229508198</v>
      </c>
      <c r="BJ2176" s="129">
        <f>(G2176-J2176)+(M2176-G2176)</f>
        <v>0</v>
      </c>
      <c r="BK2176" s="129">
        <f t="shared" si="1573"/>
        <v>-91</v>
      </c>
      <c r="BL2176" s="129" t="str">
        <f t="shared" si="1601"/>
        <v>NO CONVICTION</v>
      </c>
      <c r="BM2176" s="129" t="s">
        <v>76</v>
      </c>
      <c r="BN2176" s="129" t="s">
        <v>88</v>
      </c>
      <c r="BP2176" s="137" t="str">
        <f t="shared" si="1579"/>
        <v>NO CONVICTION</v>
      </c>
      <c r="BQ2176" s="128" t="str">
        <f t="shared" si="1580"/>
        <v>Y</v>
      </c>
      <c r="BR2176" s="129" t="str">
        <f t="shared" si="1581"/>
        <v>ON BOND</v>
      </c>
      <c r="BS2176" s="129" t="str">
        <f t="shared" si="1582"/>
        <v>DISPOSED</v>
      </c>
      <c r="BT2176" s="129" t="str">
        <f t="shared" si="1583"/>
        <v>Y</v>
      </c>
      <c r="BU2176" s="109">
        <f>IFERROR(Q2176/R2176,BR2176)</f>
        <v>1.0752688172043012E-2</v>
      </c>
      <c r="BV2176" s="109">
        <f t="shared" si="1585"/>
        <v>1.0869565217391304E-2</v>
      </c>
      <c r="BW2176" s="109">
        <f t="shared" si="1596"/>
        <v>1.1687704534829244E-4</v>
      </c>
      <c r="BX2176" s="111">
        <f t="shared" si="1586"/>
        <v>0</v>
      </c>
      <c r="BY2176" s="129">
        <f t="shared" si="1587"/>
        <v>-1</v>
      </c>
      <c r="BZ2176" s="111">
        <f t="shared" si="1588"/>
        <v>0</v>
      </c>
      <c r="CA2176" s="138">
        <f t="shared" si="1589"/>
        <v>1</v>
      </c>
      <c r="CB2176" s="111" t="e">
        <f t="shared" si="1600"/>
        <v>#VALUE!</v>
      </c>
      <c r="CC2176" s="129">
        <f>M2176-I2176+1</f>
        <v>1</v>
      </c>
      <c r="CD2176" s="111">
        <f>CC2176-BF2176</f>
        <v>0</v>
      </c>
      <c r="CG2176" s="129" t="str">
        <f t="shared" si="1590"/>
        <v>Y</v>
      </c>
      <c r="CI2176" s="129" t="str">
        <f t="shared" si="1591"/>
        <v>0-10 DAYS</v>
      </c>
      <c r="CJ2176" s="137">
        <f t="shared" si="1592"/>
        <v>1</v>
      </c>
      <c r="CK2176" s="129" t="str">
        <f t="shared" si="1593"/>
        <v>Booked</v>
      </c>
    </row>
    <row r="2177" spans="1:89" ht="15" customHeight="1" x14ac:dyDescent="0.25">
      <c r="A2177" s="111">
        <v>2383</v>
      </c>
      <c r="B2177" s="128" t="str">
        <f t="shared" si="1574"/>
        <v>N</v>
      </c>
      <c r="C2177" s="128" t="str">
        <f t="shared" si="1575"/>
        <v>N</v>
      </c>
      <c r="D2177" s="117">
        <v>2453871</v>
      </c>
      <c r="E2177" s="135">
        <f t="shared" si="1576"/>
        <v>4</v>
      </c>
      <c r="F2177" s="124">
        <v>40998</v>
      </c>
      <c r="G2177" s="125">
        <v>41395</v>
      </c>
      <c r="H2177" s="117">
        <v>2453871</v>
      </c>
      <c r="I2177" s="124">
        <v>40999</v>
      </c>
      <c r="J2177" s="124">
        <v>41108</v>
      </c>
      <c r="K2177" s="126">
        <v>50000</v>
      </c>
      <c r="L2177" s="129" t="s">
        <v>572</v>
      </c>
      <c r="M2177" s="125">
        <v>41108</v>
      </c>
      <c r="N2177" s="129" t="str">
        <f t="shared" si="1609"/>
        <v>Y</v>
      </c>
      <c r="O2177" s="128" t="s">
        <v>76</v>
      </c>
      <c r="P2177" s="129" t="s">
        <v>39</v>
      </c>
      <c r="Q2177" s="111">
        <f t="shared" si="1610"/>
        <v>110</v>
      </c>
      <c r="R2177" s="111">
        <f t="shared" si="1595"/>
        <v>398</v>
      </c>
      <c r="S2177" s="129">
        <v>3</v>
      </c>
      <c r="T2177" s="129">
        <v>0</v>
      </c>
      <c r="U2177" s="129">
        <v>1</v>
      </c>
      <c r="W2177" s="111"/>
      <c r="AC2177" s="130"/>
      <c r="AD2177" s="130">
        <v>33701</v>
      </c>
      <c r="AE2177" s="128" t="s">
        <v>32</v>
      </c>
      <c r="AF2177" s="128" t="s">
        <v>33</v>
      </c>
      <c r="AG2177" s="128" t="s">
        <v>872</v>
      </c>
      <c r="AH2177" s="108" t="s">
        <v>58</v>
      </c>
      <c r="AI2177" s="128" t="s">
        <v>118</v>
      </c>
      <c r="AJ2177" s="129" t="s">
        <v>89</v>
      </c>
      <c r="AK2177" s="129">
        <v>9</v>
      </c>
      <c r="AL2177" s="3" t="s">
        <v>991</v>
      </c>
      <c r="AO2177" s="128">
        <v>180</v>
      </c>
      <c r="AP2177" s="129" t="s">
        <v>105</v>
      </c>
      <c r="AR2177" s="128" t="s">
        <v>92</v>
      </c>
      <c r="AS2177" s="129" t="s">
        <v>106</v>
      </c>
      <c r="BC2177" s="129" t="s">
        <v>38</v>
      </c>
      <c r="BF2177" s="111">
        <f t="shared" si="1598"/>
        <v>110</v>
      </c>
      <c r="BG2177" s="111">
        <f t="shared" si="1606"/>
        <v>397</v>
      </c>
      <c r="BH2177" s="111">
        <f t="shared" ref="BH2177:BH2240" si="1611">IF(G2177&gt;1/1/1900,((G2177+1)-F2177),"STILL OPEN")</f>
        <v>398</v>
      </c>
      <c r="BI2177" s="111">
        <f t="shared" ref="BI2177:BI2240" si="1612">(F2177-AD2177)/366</f>
        <v>19.937158469945356</v>
      </c>
      <c r="BJ2177" s="129">
        <f>(G2177-J2177)+(M2177-G2177)</f>
        <v>0</v>
      </c>
      <c r="BK2177" s="129">
        <f t="shared" ref="BK2177:BK2240" si="1613">J2177-G2177</f>
        <v>-287</v>
      </c>
      <c r="BL2177" s="129" t="str">
        <f t="shared" si="1601"/>
        <v>CONVICTION</v>
      </c>
      <c r="BM2177" s="129" t="s">
        <v>76</v>
      </c>
      <c r="BN2177" s="129" t="s">
        <v>88</v>
      </c>
      <c r="BP2177" s="137" t="str">
        <f t="shared" si="1579"/>
        <v>CONVICTION</v>
      </c>
      <c r="BQ2177" s="128" t="str">
        <f t="shared" si="1580"/>
        <v>Y</v>
      </c>
      <c r="BR2177" s="129" t="str">
        <f>IF(J2177&lt;G2177,"ON BOND",0)</f>
        <v>ON BOND</v>
      </c>
      <c r="BS2177" s="129" t="str">
        <f t="shared" si="1582"/>
        <v>DISPOSED</v>
      </c>
      <c r="BT2177" s="129" t="str">
        <f t="shared" si="1583"/>
        <v>Y</v>
      </c>
      <c r="BU2177" s="109">
        <f t="shared" si="1584"/>
        <v>0.27638190954773867</v>
      </c>
      <c r="BV2177" s="109">
        <f t="shared" si="1585"/>
        <v>0.2770780856423174</v>
      </c>
      <c r="BW2177" s="109">
        <f t="shared" si="1596"/>
        <v>6.9617609457872653E-4</v>
      </c>
      <c r="BX2177" s="111">
        <f t="shared" si="1586"/>
        <v>0</v>
      </c>
      <c r="BY2177" s="129">
        <f t="shared" si="1587"/>
        <v>-110</v>
      </c>
      <c r="BZ2177" s="111">
        <f t="shared" si="1588"/>
        <v>0</v>
      </c>
      <c r="CA2177" s="138">
        <f t="shared" si="1589"/>
        <v>110</v>
      </c>
      <c r="CB2177" s="111" t="e">
        <f t="shared" si="1600"/>
        <v>#VALUE!</v>
      </c>
      <c r="CC2177" s="129">
        <f>M2177-I2177+1</f>
        <v>110</v>
      </c>
      <c r="CD2177" s="111">
        <f>CC2177-BF2177</f>
        <v>0</v>
      </c>
      <c r="CG2177" s="129" t="str">
        <f t="shared" si="1590"/>
        <v>Y</v>
      </c>
      <c r="CI2177" s="129" t="str">
        <f t="shared" si="1591"/>
        <v>91-120 DAYS</v>
      </c>
      <c r="CJ2177" s="137">
        <f t="shared" si="1592"/>
        <v>0</v>
      </c>
      <c r="CK2177" s="129" t="str">
        <f t="shared" si="1593"/>
        <v>Booked</v>
      </c>
    </row>
    <row r="2178" spans="1:89" ht="15.75" customHeight="1" x14ac:dyDescent="0.25">
      <c r="A2178" s="111">
        <v>1851</v>
      </c>
      <c r="B2178" s="128" t="str">
        <f t="shared" ref="B2178:B2241" si="1614">IF(BD2178&lt;&gt;"","Y","N")</f>
        <v>N</v>
      </c>
      <c r="C2178" s="128" t="str">
        <f t="shared" ref="C2178:C2241" si="1615">IF((AND(AV2178="",AX2178="",AY2178="")),"N","Y")</f>
        <v>N</v>
      </c>
      <c r="D2178" s="117">
        <v>2453890</v>
      </c>
      <c r="E2178" s="135">
        <f t="shared" ref="E2178:E2241" si="1616">IF(OR(AL2178="ACQUITTAL",AL2178="ACQUIT",AL2178="acq insane",AL2178="DISMISSED",AL2178="NO BILL"),1,IF(AL2178="DEFERRED",2,IF(AL2178="PROBATION",3,IF(OR(AL2178="HCJ",AL2178="fine"),4,IF(AL2178="STJ",5,IF(AL2178="TDC",6,""))))))</f>
        <v>1</v>
      </c>
      <c r="F2178" s="124">
        <v>40943</v>
      </c>
      <c r="G2178" s="125">
        <v>40952</v>
      </c>
      <c r="H2178" s="117">
        <v>2453890</v>
      </c>
      <c r="I2178" s="124" t="s">
        <v>562</v>
      </c>
      <c r="J2178" s="124" t="s">
        <v>562</v>
      </c>
      <c r="K2178" s="126">
        <v>2000</v>
      </c>
      <c r="L2178" s="127" t="s">
        <v>568</v>
      </c>
      <c r="M2178" s="125">
        <v>40944</v>
      </c>
      <c r="N2178" s="129" t="str">
        <f t="shared" si="1609"/>
        <v>Y</v>
      </c>
      <c r="O2178" s="128" t="s">
        <v>76</v>
      </c>
      <c r="P2178" s="129" t="s">
        <v>123</v>
      </c>
      <c r="Q2178" s="111">
        <f t="shared" si="1610"/>
        <v>0</v>
      </c>
      <c r="R2178" s="111">
        <f t="shared" si="1595"/>
        <v>10</v>
      </c>
      <c r="S2178" s="129">
        <v>0</v>
      </c>
      <c r="T2178" s="129">
        <v>1</v>
      </c>
      <c r="W2178" s="111"/>
      <c r="AC2178" s="130"/>
      <c r="AD2178" s="130">
        <v>32611</v>
      </c>
      <c r="AE2178" s="128" t="s">
        <v>46</v>
      </c>
      <c r="AF2178" s="128" t="s">
        <v>33</v>
      </c>
      <c r="AG2178" s="128" t="s">
        <v>872</v>
      </c>
      <c r="AH2178" s="108" t="s">
        <v>58</v>
      </c>
      <c r="AI2178" s="128" t="s">
        <v>87</v>
      </c>
      <c r="AJ2178" s="129" t="s">
        <v>123</v>
      </c>
      <c r="AK2178" s="129">
        <v>10</v>
      </c>
      <c r="AL2178" s="3" t="s">
        <v>123</v>
      </c>
      <c r="AP2178" s="129" t="s">
        <v>1327</v>
      </c>
      <c r="AR2178" s="128" t="s">
        <v>67</v>
      </c>
      <c r="AS2178" s="129" t="s">
        <v>64</v>
      </c>
      <c r="AX2178" s="32"/>
      <c r="BC2178" s="129" t="s">
        <v>99</v>
      </c>
      <c r="BF2178" s="111">
        <v>0</v>
      </c>
      <c r="BG2178" s="111"/>
      <c r="BH2178" s="111">
        <f t="shared" si="1611"/>
        <v>10</v>
      </c>
      <c r="BI2178" s="111">
        <f t="shared" si="1612"/>
        <v>22.765027322404372</v>
      </c>
      <c r="BJ2178" s="129" t="e">
        <f>(G2178-J2178)+(M2178-G2178)</f>
        <v>#VALUE!</v>
      </c>
      <c r="BK2178" s="129" t="e">
        <f t="shared" si="1613"/>
        <v>#VALUE!</v>
      </c>
      <c r="BL2178" s="129" t="str">
        <f t="shared" si="1601"/>
        <v>NO CONVICTION</v>
      </c>
      <c r="BM2178" s="129" t="s">
        <v>76</v>
      </c>
      <c r="BN2178" s="129" t="s">
        <v>88</v>
      </c>
      <c r="BP2178" s="137" t="str">
        <f t="shared" ref="BP2178:BP2241" si="1617">IF(OR(AJ2178="AQUITTAL",AJ2178="DISMISSED",AJ2178="FINE",AJ2178="NO BILL"),"NO CONVICTION",IF(OR(AJ2178="HCJ",AJ2178="MHH",AJ2178="PROBATION",AJ2178="STJ",AJ2178="TDC",AJ2178="CONVICTED"),"CONVICTION",IF(AJ2178="DEFERRED","DEFERRED","")))</f>
        <v>NO CONVICTION</v>
      </c>
      <c r="BQ2178" s="128">
        <f t="shared" ref="BQ2178:BQ2241" si="1618">IF(BF2178&gt;0,"Y",BF2178)</f>
        <v>0</v>
      </c>
      <c r="BR2178" s="129" t="s">
        <v>575</v>
      </c>
      <c r="BS2178" s="129" t="str">
        <f t="shared" ref="BS2178:BS2241" si="1619">IF(G2178&lt;&gt;"","DISPOSED","")</f>
        <v>DISPOSED</v>
      </c>
      <c r="BT2178" s="129" t="str">
        <f t="shared" ref="BT2178:BT2241" si="1620">IF(S2178&gt;0,"Y","N")</f>
        <v>N</v>
      </c>
      <c r="BU2178" s="109">
        <f>IFERROR(Q2178/R2178,BR2178)</f>
        <v>0</v>
      </c>
      <c r="BV2178" s="109">
        <v>0</v>
      </c>
      <c r="BW2178" s="109">
        <f>BV2178-BU2178</f>
        <v>0</v>
      </c>
      <c r="BX2178" s="111">
        <f t="shared" ref="BX2178:BX2241" si="1621">+Q2178-BF2178</f>
        <v>0</v>
      </c>
      <c r="BY2178" s="129" t="e">
        <f t="shared" ref="BY2178:BY2241" si="1622">I2178-J2178-1</f>
        <v>#VALUE!</v>
      </c>
      <c r="BZ2178" s="111" t="e">
        <f t="shared" ref="BZ2178:BZ2241" si="1623">BY2178+BF2178</f>
        <v>#VALUE!</v>
      </c>
      <c r="CA2178" s="138" t="e">
        <f t="shared" ref="CA2178:CA2241" si="1624">IF(AND(BS2178="DISPOSED",BR2178="DETAINED"),G2178-I2178+1,IF(AND(BS2178="DISPOSED",BR2178="ON BOND"),M2178-I2178+1,IF(AND(BS2178="STILL OPEN","STILL OPEN"),"NOT BOOKED")))</f>
        <v>#VALUE!</v>
      </c>
      <c r="CB2178" s="111" t="e">
        <f t="shared" si="1600"/>
        <v>#VALUE!</v>
      </c>
      <c r="CD2178" s="129" t="e">
        <f>G2178-J2178</f>
        <v>#VALUE!</v>
      </c>
      <c r="CG2178" s="129" t="str">
        <f t="shared" ref="CG2178:CG2241" si="1625">IF((S2178+T2178+U2178)&gt;0,"Y","N")</f>
        <v>Y</v>
      </c>
      <c r="CI2178" s="129" t="str">
        <f t="shared" si="1591"/>
        <v>0-10 DAYS</v>
      </c>
      <c r="CJ2178" s="137">
        <f t="shared" si="1592"/>
        <v>1</v>
      </c>
      <c r="CK2178" s="129" t="str">
        <f t="shared" si="1593"/>
        <v>Not Booked</v>
      </c>
    </row>
    <row r="2179" spans="1:89" ht="15" customHeight="1" x14ac:dyDescent="0.25">
      <c r="A2179" s="111">
        <v>2380</v>
      </c>
      <c r="B2179" s="128" t="str">
        <f t="shared" si="1614"/>
        <v>N</v>
      </c>
      <c r="C2179" s="128" t="str">
        <f t="shared" si="1615"/>
        <v>N</v>
      </c>
      <c r="D2179" s="117">
        <v>2455384</v>
      </c>
      <c r="E2179" s="135">
        <f t="shared" si="1616"/>
        <v>2</v>
      </c>
      <c r="F2179" s="124">
        <v>40998</v>
      </c>
      <c r="G2179" s="125">
        <v>41193</v>
      </c>
      <c r="H2179" s="117">
        <v>2455384</v>
      </c>
      <c r="I2179" s="124">
        <v>41011</v>
      </c>
      <c r="J2179" s="124">
        <v>41193</v>
      </c>
      <c r="K2179" s="126">
        <v>30000</v>
      </c>
      <c r="L2179" s="129" t="s">
        <v>572</v>
      </c>
      <c r="N2179" s="129" t="str">
        <f t="shared" si="1609"/>
        <v>N</v>
      </c>
      <c r="O2179" s="128" t="s">
        <v>917</v>
      </c>
      <c r="P2179" s="129" t="s">
        <v>589</v>
      </c>
      <c r="Q2179" s="111">
        <f t="shared" si="1610"/>
        <v>183</v>
      </c>
      <c r="R2179" s="111">
        <f t="shared" si="1595"/>
        <v>196</v>
      </c>
      <c r="S2179" s="129">
        <v>1</v>
      </c>
      <c r="T2179" s="129">
        <v>2</v>
      </c>
      <c r="W2179" s="111"/>
      <c r="AC2179" s="130"/>
      <c r="AD2179" s="130">
        <v>32676</v>
      </c>
      <c r="AE2179" s="128" t="s">
        <v>46</v>
      </c>
      <c r="AF2179" s="128" t="s">
        <v>40</v>
      </c>
      <c r="AG2179" s="128" t="s">
        <v>41</v>
      </c>
      <c r="AH2179" s="108" t="s">
        <v>41</v>
      </c>
      <c r="AI2179" s="128" t="s">
        <v>83</v>
      </c>
      <c r="AJ2179" s="129" t="s">
        <v>48</v>
      </c>
      <c r="AK2179" s="129">
        <v>9</v>
      </c>
      <c r="AL2179" s="3" t="s">
        <v>48</v>
      </c>
      <c r="AP2179" s="129" t="s">
        <v>105</v>
      </c>
      <c r="AR2179" s="128" t="s">
        <v>92</v>
      </c>
      <c r="AS2179" s="129" t="s">
        <v>106</v>
      </c>
      <c r="BC2179" s="129" t="s">
        <v>38</v>
      </c>
      <c r="BF2179" s="111">
        <f t="shared" si="1598"/>
        <v>183</v>
      </c>
      <c r="BG2179" s="111">
        <f t="shared" si="1606"/>
        <v>183</v>
      </c>
      <c r="BH2179" s="111">
        <f t="shared" si="1611"/>
        <v>196</v>
      </c>
      <c r="BI2179" s="111">
        <f t="shared" si="1612"/>
        <v>22.737704918032787</v>
      </c>
      <c r="BJ2179" s="129">
        <f t="shared" ref="BJ2179:BJ2241" si="1626">G2179-J2179-M2179</f>
        <v>0</v>
      </c>
      <c r="BK2179" s="129">
        <f t="shared" si="1613"/>
        <v>0</v>
      </c>
      <c r="BL2179" s="129" t="str">
        <f t="shared" si="1601"/>
        <v>DEFERRED</v>
      </c>
      <c r="BM2179" s="129" t="str">
        <f t="shared" ref="BM2179:BM2241" si="1627">O2179</f>
        <v>NONE</v>
      </c>
      <c r="BN2179" s="129" t="s">
        <v>566</v>
      </c>
      <c r="BP2179" s="137" t="str">
        <f t="shared" si="1617"/>
        <v>DEFERRED</v>
      </c>
      <c r="BQ2179" s="128" t="str">
        <f t="shared" si="1618"/>
        <v>Y</v>
      </c>
      <c r="BR2179" s="129" t="str">
        <f t="shared" ref="BR2179:BR2241" si="1628">IF(AND(J2179="NOT BOOKED",M2179&gt;1/1/1),"BONDED - BEFORE BOOKED",IF(BG2179="STILL OPEN","STILL OPEN",IF(N2179="Y","ON BOND",IF(J2179&gt;=G2179,"DETAINED","RELEASED"))))</f>
        <v>DETAINED</v>
      </c>
      <c r="BS2179" s="129" t="str">
        <f t="shared" si="1619"/>
        <v>DISPOSED</v>
      </c>
      <c r="BT2179" s="129" t="str">
        <f t="shared" si="1620"/>
        <v>Y</v>
      </c>
      <c r="BU2179" s="109">
        <f t="shared" ref="BU2179:BU2241" si="1629">Q2179/R2179</f>
        <v>0.93367346938775508</v>
      </c>
      <c r="BV2179" s="109">
        <f t="shared" ref="BV2179:BV2241" si="1630">IF(I2179&gt;F2179,((J2179-I2179+1)/(G2179-I2179+1)),(J2179-I2179+1)/(G2179-F2179+1))</f>
        <v>1</v>
      </c>
      <c r="BW2179" s="109">
        <f t="shared" si="1596"/>
        <v>6.6326530612244916E-2</v>
      </c>
      <c r="BX2179" s="111">
        <f t="shared" si="1621"/>
        <v>0</v>
      </c>
      <c r="BY2179" s="129">
        <f t="shared" si="1622"/>
        <v>-183</v>
      </c>
      <c r="BZ2179" s="111">
        <f t="shared" si="1623"/>
        <v>0</v>
      </c>
      <c r="CA2179" s="138">
        <f t="shared" si="1624"/>
        <v>183</v>
      </c>
      <c r="CB2179" s="111" t="e">
        <f t="shared" si="1600"/>
        <v>#VALUE!</v>
      </c>
      <c r="CC2179" s="129">
        <f t="shared" ref="CC2179:CC2186" si="1631">G2179-I2179+1</f>
        <v>183</v>
      </c>
      <c r="CD2179" s="129">
        <f t="shared" ref="CD2179:CD2186" si="1632">G2179-J2179</f>
        <v>0</v>
      </c>
      <c r="CG2179" s="129" t="str">
        <f t="shared" si="1625"/>
        <v>Y</v>
      </c>
      <c r="CI2179" s="129" t="str">
        <f t="shared" ref="CI2179:CI2242" si="1633">IF(BF2179&lt;11,"0-10 DAYS",IF(AND(BF2179&gt;10,BF2179&lt;31),"11-30 DAYS",IF((AND(BF2179&gt;30,BF2179&lt;61)),"31-60 DAYS",IF(AND(BF2179&gt;60,BF2179&lt;91),"61-90 DAYS",IF(AND(BF2179&gt;90,BF2179&lt;121),"91-120 DAYS",IF(AND(BF2179&gt;120,BF2179&lt;366),"121-365 DAYS",IF(AND(BF2179&gt;365,BF2179&lt;730)," &gt;1YRS&lt;2YRS",IF(AND(BF2179&gt;729,BF2179&lt;1095),"&gt;2YRS&lt;3YRS",IF(BF2179&gt;1094,"&gt;3YRS")))))))))</f>
        <v>121-365 DAYS</v>
      </c>
      <c r="CJ2179" s="137">
        <f t="shared" ref="CJ2179:CJ2242" si="1634">IF(CI2179="0-10 DAYS",1,IF(CI2179="11-30 DAYS",2,IF(CI2179="31-60 DAYS",3,IF(CI2179="61-90 DAYS",4,IF(CK2179="91-120 DAYS",5,IF(CI2179="121-365 DAYS",6,IF(CI2179="&gt;1YRS&lt;2YRS",7,IF(CI2179="&gt;2YRS&lt;3YRS",8,IF(CI2179="&gt;3YRS",9,0)))))))))</f>
        <v>6</v>
      </c>
      <c r="CK2179" s="129" t="str">
        <f t="shared" ref="CK2179:CK2242" si="1635">IF(I2179="Not Booked","Not Booked","Booked")</f>
        <v>Booked</v>
      </c>
    </row>
    <row r="2180" spans="1:89" ht="15" customHeight="1" x14ac:dyDescent="0.25">
      <c r="A2180" s="111">
        <v>2350</v>
      </c>
      <c r="B2180" s="128" t="str">
        <f t="shared" si="1614"/>
        <v>N</v>
      </c>
      <c r="C2180" s="128" t="str">
        <f t="shared" si="1615"/>
        <v>N</v>
      </c>
      <c r="D2180" s="117">
        <v>2455795</v>
      </c>
      <c r="E2180" s="135">
        <f t="shared" si="1616"/>
        <v>6</v>
      </c>
      <c r="F2180" s="124">
        <v>40997</v>
      </c>
      <c r="G2180" s="125">
        <v>41627</v>
      </c>
      <c r="H2180" s="117">
        <v>2455795</v>
      </c>
      <c r="I2180" s="124">
        <v>41561</v>
      </c>
      <c r="J2180" s="125">
        <v>41627</v>
      </c>
      <c r="K2180" s="126">
        <v>50000</v>
      </c>
      <c r="L2180" s="129" t="s">
        <v>572</v>
      </c>
      <c r="M2180" s="125">
        <v>41326</v>
      </c>
      <c r="N2180" s="129" t="str">
        <f>IF(M2180&gt;1/1/1,"Y",IF(Q2180="NOT BOOKED","","N"))</f>
        <v>Y</v>
      </c>
      <c r="O2180" s="128" t="s">
        <v>76</v>
      </c>
      <c r="P2180" s="129" t="s">
        <v>968</v>
      </c>
      <c r="Q2180" s="111">
        <v>67</v>
      </c>
      <c r="R2180" s="111">
        <f t="shared" si="1595"/>
        <v>631</v>
      </c>
      <c r="S2180" s="129">
        <v>0</v>
      </c>
      <c r="T2180" s="129">
        <v>0</v>
      </c>
      <c r="W2180" s="111"/>
      <c r="AC2180" s="130"/>
      <c r="AD2180" s="130">
        <v>33379</v>
      </c>
      <c r="AE2180" s="128" t="s">
        <v>32</v>
      </c>
      <c r="AF2180" s="128" t="s">
        <v>33</v>
      </c>
      <c r="AG2180" s="128" t="s">
        <v>872</v>
      </c>
      <c r="AH2180" s="108" t="s">
        <v>31</v>
      </c>
      <c r="AI2180" s="128" t="s">
        <v>87</v>
      </c>
      <c r="AJ2180" s="129" t="s">
        <v>89</v>
      </c>
      <c r="AK2180" s="129">
        <v>22</v>
      </c>
      <c r="AL2180" s="3" t="s">
        <v>362</v>
      </c>
      <c r="AM2180" s="117">
        <v>40</v>
      </c>
      <c r="AP2180" s="129" t="s">
        <v>179</v>
      </c>
      <c r="AR2180" s="128" t="s">
        <v>92</v>
      </c>
      <c r="AS2180" s="129" t="s">
        <v>179</v>
      </c>
      <c r="AT2180" s="129" t="s">
        <v>1331</v>
      </c>
      <c r="BC2180" s="129" t="s">
        <v>52</v>
      </c>
      <c r="BF2180" s="111">
        <v>67</v>
      </c>
      <c r="BG2180" s="111">
        <f t="shared" si="1606"/>
        <v>67</v>
      </c>
      <c r="BH2180" s="111">
        <f t="shared" si="1611"/>
        <v>631</v>
      </c>
      <c r="BI2180" s="111">
        <f t="shared" si="1612"/>
        <v>20.814207650273225</v>
      </c>
      <c r="BJ2180" s="129">
        <f>G2180-J2180</f>
        <v>0</v>
      </c>
      <c r="BK2180" s="129">
        <f t="shared" si="1613"/>
        <v>0</v>
      </c>
      <c r="BL2180" s="129" t="str">
        <f t="shared" si="1601"/>
        <v>CONVICTION</v>
      </c>
      <c r="BM2180" s="129" t="s">
        <v>76</v>
      </c>
      <c r="BN2180" s="129" t="s">
        <v>88</v>
      </c>
      <c r="BP2180" s="137" t="str">
        <f t="shared" si="1617"/>
        <v>CONVICTION</v>
      </c>
      <c r="BQ2180" s="128" t="str">
        <f t="shared" si="1618"/>
        <v>Y</v>
      </c>
      <c r="BR2180" s="129" t="s">
        <v>574</v>
      </c>
      <c r="BS2180" s="129" t="str">
        <f t="shared" si="1619"/>
        <v>DISPOSED</v>
      </c>
      <c r="BT2180" s="129" t="str">
        <f t="shared" si="1620"/>
        <v>N</v>
      </c>
      <c r="BU2180" s="109">
        <f t="shared" si="1629"/>
        <v>0.10618066561014262</v>
      </c>
      <c r="BV2180" s="109">
        <f t="shared" si="1630"/>
        <v>1</v>
      </c>
      <c r="BW2180" s="109">
        <f t="shared" si="1596"/>
        <v>0.89381933438985739</v>
      </c>
      <c r="BX2180" s="111">
        <f t="shared" si="1621"/>
        <v>0</v>
      </c>
      <c r="BY2180" s="129">
        <f t="shared" si="1622"/>
        <v>-67</v>
      </c>
      <c r="BZ2180" s="111">
        <f t="shared" si="1623"/>
        <v>0</v>
      </c>
      <c r="CA2180" s="138">
        <f t="shared" si="1624"/>
        <v>67</v>
      </c>
      <c r="CB2180" s="111">
        <v>67</v>
      </c>
      <c r="CC2180" s="129">
        <f t="shared" si="1631"/>
        <v>67</v>
      </c>
      <c r="CD2180" s="129">
        <f t="shared" si="1632"/>
        <v>0</v>
      </c>
      <c r="CG2180" s="129" t="str">
        <f t="shared" si="1625"/>
        <v>N</v>
      </c>
      <c r="CI2180" s="129" t="str">
        <f t="shared" si="1633"/>
        <v>61-90 DAYS</v>
      </c>
      <c r="CJ2180" s="137">
        <f t="shared" si="1634"/>
        <v>4</v>
      </c>
      <c r="CK2180" s="129" t="str">
        <f t="shared" si="1635"/>
        <v>Booked</v>
      </c>
    </row>
    <row r="2181" spans="1:89" ht="15.75" customHeight="1" x14ac:dyDescent="0.25">
      <c r="A2181" s="111">
        <v>1238</v>
      </c>
      <c r="B2181" s="128" t="str">
        <f t="shared" si="1614"/>
        <v>N</v>
      </c>
      <c r="C2181" s="128" t="str">
        <f t="shared" si="1615"/>
        <v>N</v>
      </c>
      <c r="D2181" s="117">
        <v>2456807</v>
      </c>
      <c r="E2181" s="135">
        <f t="shared" si="1616"/>
        <v>2</v>
      </c>
      <c r="F2181" s="124">
        <v>40954</v>
      </c>
      <c r="G2181" s="125">
        <v>40955</v>
      </c>
      <c r="H2181" s="117">
        <v>2456807</v>
      </c>
      <c r="I2181" s="124">
        <v>40954</v>
      </c>
      <c r="J2181" s="124">
        <v>40955</v>
      </c>
      <c r="K2181" s="126">
        <v>2000</v>
      </c>
      <c r="L2181" s="127" t="s">
        <v>568</v>
      </c>
      <c r="N2181" s="129" t="str">
        <f>IF(M2181&gt;1/1/1,"Y","N")</f>
        <v>N</v>
      </c>
      <c r="O2181" s="128" t="s">
        <v>917</v>
      </c>
      <c r="P2181" s="129" t="s">
        <v>589</v>
      </c>
      <c r="Q2181" s="111">
        <f t="shared" si="1610"/>
        <v>2</v>
      </c>
      <c r="R2181" s="111">
        <f t="shared" si="1595"/>
        <v>2</v>
      </c>
      <c r="S2181" s="129">
        <v>0</v>
      </c>
      <c r="T2181" s="129">
        <v>3</v>
      </c>
      <c r="W2181" s="111"/>
      <c r="AB2181" s="131" t="s">
        <v>112</v>
      </c>
      <c r="AC2181" s="130"/>
      <c r="AD2181" s="130">
        <v>30795</v>
      </c>
      <c r="AE2181" s="128" t="s">
        <v>46</v>
      </c>
      <c r="AF2181" s="128" t="s">
        <v>40</v>
      </c>
      <c r="AG2181" s="128" t="s">
        <v>41</v>
      </c>
      <c r="AH2181" s="108" t="s">
        <v>31</v>
      </c>
      <c r="AI2181" s="128" t="s">
        <v>113</v>
      </c>
      <c r="AJ2181" s="129" t="s">
        <v>48</v>
      </c>
      <c r="AK2181" s="129">
        <v>1</v>
      </c>
      <c r="AL2181" s="3" t="s">
        <v>48</v>
      </c>
      <c r="AP2181" s="129" t="s">
        <v>43</v>
      </c>
      <c r="AR2181" s="128" t="s">
        <v>44</v>
      </c>
      <c r="AS2181" s="129" t="s">
        <v>45</v>
      </c>
      <c r="AT2181" s="129" t="s">
        <v>309</v>
      </c>
      <c r="BC2181" s="129" t="s">
        <v>38</v>
      </c>
      <c r="BF2181" s="111">
        <f t="shared" ref="BF2181:BF2197" si="1636">IF(J2181&gt;1/1/1900,((J2181+1)-I2181),"STILL OPEN")</f>
        <v>2</v>
      </c>
      <c r="BG2181" s="111">
        <f t="shared" si="1606"/>
        <v>2</v>
      </c>
      <c r="BH2181" s="111">
        <f t="shared" si="1611"/>
        <v>2</v>
      </c>
      <c r="BI2181" s="111">
        <f t="shared" si="1612"/>
        <v>27.756830601092897</v>
      </c>
      <c r="BJ2181" s="129">
        <f t="shared" si="1626"/>
        <v>0</v>
      </c>
      <c r="BK2181" s="129">
        <f t="shared" si="1613"/>
        <v>0</v>
      </c>
      <c r="BL2181" s="129" t="str">
        <f t="shared" si="1601"/>
        <v>DEFERRED</v>
      </c>
      <c r="BM2181" s="129" t="str">
        <f t="shared" si="1627"/>
        <v>NONE</v>
      </c>
      <c r="BN2181" s="129" t="s">
        <v>566</v>
      </c>
      <c r="BP2181" s="137" t="str">
        <f t="shared" si="1617"/>
        <v>DEFERRED</v>
      </c>
      <c r="BQ2181" s="128" t="str">
        <f t="shared" si="1618"/>
        <v>Y</v>
      </c>
      <c r="BR2181" s="129" t="str">
        <f t="shared" si="1628"/>
        <v>DETAINED</v>
      </c>
      <c r="BS2181" s="129" t="str">
        <f t="shared" si="1619"/>
        <v>DISPOSED</v>
      </c>
      <c r="BT2181" s="129" t="str">
        <f t="shared" si="1620"/>
        <v>N</v>
      </c>
      <c r="BU2181" s="109">
        <f t="shared" si="1629"/>
        <v>1</v>
      </c>
      <c r="BV2181" s="109">
        <f t="shared" si="1630"/>
        <v>1</v>
      </c>
      <c r="BW2181" s="109">
        <f t="shared" si="1596"/>
        <v>0</v>
      </c>
      <c r="BX2181" s="111">
        <f t="shared" si="1621"/>
        <v>0</v>
      </c>
      <c r="BY2181" s="129">
        <f t="shared" si="1622"/>
        <v>-2</v>
      </c>
      <c r="BZ2181" s="111">
        <f t="shared" si="1623"/>
        <v>0</v>
      </c>
      <c r="CA2181" s="138">
        <f t="shared" si="1624"/>
        <v>2</v>
      </c>
      <c r="CB2181" s="111" t="e">
        <f t="shared" ref="CB2181:CB2197" si="1637">IF(AF2181&gt;1/1/1900,((AF2181+1)-AE2181),"STILL OPEN")</f>
        <v>#VALUE!</v>
      </c>
      <c r="CC2181" s="129">
        <f t="shared" si="1631"/>
        <v>2</v>
      </c>
      <c r="CD2181" s="129">
        <f t="shared" si="1632"/>
        <v>0</v>
      </c>
      <c r="CG2181" s="129" t="str">
        <f t="shared" si="1625"/>
        <v>Y</v>
      </c>
      <c r="CI2181" s="129" t="str">
        <f t="shared" si="1633"/>
        <v>0-10 DAYS</v>
      </c>
      <c r="CJ2181" s="137">
        <f t="shared" si="1634"/>
        <v>1</v>
      </c>
      <c r="CK2181" s="129" t="str">
        <f t="shared" si="1635"/>
        <v>Booked</v>
      </c>
    </row>
    <row r="2182" spans="1:89" ht="15" customHeight="1" x14ac:dyDescent="0.25">
      <c r="A2182" s="111">
        <v>379</v>
      </c>
      <c r="B2182" s="128" t="str">
        <f t="shared" si="1614"/>
        <v>N</v>
      </c>
      <c r="C2182" s="128" t="str">
        <f t="shared" si="1615"/>
        <v>N</v>
      </c>
      <c r="D2182" s="117">
        <v>2456901</v>
      </c>
      <c r="E2182" s="135">
        <f t="shared" si="1616"/>
        <v>2</v>
      </c>
      <c r="F2182" s="124">
        <v>40924</v>
      </c>
      <c r="G2182" s="125">
        <v>40948</v>
      </c>
      <c r="H2182" s="117">
        <v>2456901</v>
      </c>
      <c r="I2182" s="124">
        <v>40925</v>
      </c>
      <c r="J2182" s="124">
        <v>40948</v>
      </c>
      <c r="K2182" s="126" t="s">
        <v>564</v>
      </c>
      <c r="L2182" s="127" t="s">
        <v>564</v>
      </c>
      <c r="N2182" s="129" t="s">
        <v>566</v>
      </c>
      <c r="O2182" s="128" t="s">
        <v>917</v>
      </c>
      <c r="P2182" s="129" t="s">
        <v>589</v>
      </c>
      <c r="Q2182" s="111">
        <f t="shared" si="1610"/>
        <v>24</v>
      </c>
      <c r="R2182" s="111">
        <f t="shared" si="1595"/>
        <v>25</v>
      </c>
      <c r="S2182" s="129">
        <v>0</v>
      </c>
      <c r="T2182" s="129">
        <v>0</v>
      </c>
      <c r="W2182" s="111"/>
      <c r="AC2182" s="130"/>
      <c r="AD2182" s="130">
        <v>31576</v>
      </c>
      <c r="AE2182" s="128" t="s">
        <v>46</v>
      </c>
      <c r="AF2182" s="128" t="s">
        <v>40</v>
      </c>
      <c r="AG2182" s="128" t="s">
        <v>41</v>
      </c>
      <c r="AH2182" s="108" t="s">
        <v>41</v>
      </c>
      <c r="AI2182" s="128" t="s">
        <v>85</v>
      </c>
      <c r="AJ2182" s="129" t="s">
        <v>48</v>
      </c>
      <c r="AK2182" s="129">
        <v>3</v>
      </c>
      <c r="AL2182" s="3" t="s">
        <v>48</v>
      </c>
      <c r="AP2182" s="129" t="s">
        <v>110</v>
      </c>
      <c r="AR2182" s="128" t="s">
        <v>50</v>
      </c>
      <c r="AS2182" s="129" t="s">
        <v>74</v>
      </c>
      <c r="AT2182" s="3" t="s">
        <v>603</v>
      </c>
      <c r="BC2182" s="129" t="s">
        <v>38</v>
      </c>
      <c r="BF2182" s="111">
        <f t="shared" si="1636"/>
        <v>24</v>
      </c>
      <c r="BG2182" s="111">
        <f t="shared" si="1606"/>
        <v>24</v>
      </c>
      <c r="BH2182" s="111">
        <f t="shared" si="1611"/>
        <v>25</v>
      </c>
      <c r="BI2182" s="111">
        <f t="shared" si="1612"/>
        <v>25.540983606557376</v>
      </c>
      <c r="BJ2182" s="129">
        <f t="shared" si="1626"/>
        <v>0</v>
      </c>
      <c r="BK2182" s="129">
        <f t="shared" si="1613"/>
        <v>0</v>
      </c>
      <c r="BL2182" s="129" t="str">
        <f t="shared" si="1601"/>
        <v>DEFERRED</v>
      </c>
      <c r="BM2182" s="129" t="str">
        <f t="shared" si="1627"/>
        <v>NONE</v>
      </c>
      <c r="BN2182" s="129" t="s">
        <v>566</v>
      </c>
      <c r="BP2182" s="137" t="str">
        <f t="shared" si="1617"/>
        <v>DEFERRED</v>
      </c>
      <c r="BQ2182" s="128" t="str">
        <f t="shared" si="1618"/>
        <v>Y</v>
      </c>
      <c r="BR2182" s="129" t="str">
        <f t="shared" si="1628"/>
        <v>DETAINED</v>
      </c>
      <c r="BS2182" s="129" t="str">
        <f t="shared" si="1619"/>
        <v>DISPOSED</v>
      </c>
      <c r="BT2182" s="129" t="str">
        <f t="shared" si="1620"/>
        <v>N</v>
      </c>
      <c r="BU2182" s="109">
        <f t="shared" si="1629"/>
        <v>0.96</v>
      </c>
      <c r="BV2182" s="109">
        <f t="shared" si="1630"/>
        <v>1</v>
      </c>
      <c r="BW2182" s="109">
        <f t="shared" si="1596"/>
        <v>4.0000000000000036E-2</v>
      </c>
      <c r="BX2182" s="111">
        <f t="shared" si="1621"/>
        <v>0</v>
      </c>
      <c r="BY2182" s="129">
        <f t="shared" si="1622"/>
        <v>-24</v>
      </c>
      <c r="BZ2182" s="111">
        <f t="shared" si="1623"/>
        <v>0</v>
      </c>
      <c r="CA2182" s="138">
        <f t="shared" si="1624"/>
        <v>24</v>
      </c>
      <c r="CB2182" s="111" t="e">
        <f t="shared" si="1637"/>
        <v>#VALUE!</v>
      </c>
      <c r="CC2182" s="129">
        <f t="shared" si="1631"/>
        <v>24</v>
      </c>
      <c r="CD2182" s="129">
        <f t="shared" si="1632"/>
        <v>0</v>
      </c>
      <c r="CG2182" s="129" t="str">
        <f t="shared" si="1625"/>
        <v>N</v>
      </c>
      <c r="CI2182" s="129" t="str">
        <f t="shared" si="1633"/>
        <v>11-30 DAYS</v>
      </c>
      <c r="CJ2182" s="137">
        <f t="shared" si="1634"/>
        <v>2</v>
      </c>
      <c r="CK2182" s="129" t="str">
        <f t="shared" si="1635"/>
        <v>Booked</v>
      </c>
    </row>
    <row r="2183" spans="1:89" ht="15" customHeight="1" x14ac:dyDescent="0.25">
      <c r="A2183" s="111">
        <v>1362</v>
      </c>
      <c r="B2183" s="128" t="str">
        <f t="shared" si="1614"/>
        <v>N</v>
      </c>
      <c r="C2183" s="128" t="str">
        <f t="shared" si="1615"/>
        <v>N</v>
      </c>
      <c r="D2183" s="117">
        <v>2457096</v>
      </c>
      <c r="E2183" s="135">
        <f t="shared" si="1616"/>
        <v>1</v>
      </c>
      <c r="F2183" s="124">
        <v>40958</v>
      </c>
      <c r="G2183" s="125">
        <v>40960</v>
      </c>
      <c r="H2183" s="117">
        <v>2457096</v>
      </c>
      <c r="I2183" s="124">
        <v>40958</v>
      </c>
      <c r="J2183" s="124">
        <v>40960</v>
      </c>
      <c r="K2183" s="126">
        <v>5000</v>
      </c>
      <c r="L2183" s="127" t="s">
        <v>569</v>
      </c>
      <c r="N2183" s="129" t="str">
        <f t="shared" ref="N2183:N2189" si="1638">IF(M2183&gt;1/1/1,"Y","N")</f>
        <v>N</v>
      </c>
      <c r="O2183" s="128" t="s">
        <v>917</v>
      </c>
      <c r="P2183" s="129" t="s">
        <v>55</v>
      </c>
      <c r="Q2183" s="111">
        <f t="shared" si="1610"/>
        <v>3</v>
      </c>
      <c r="R2183" s="111">
        <f t="shared" si="1595"/>
        <v>3</v>
      </c>
      <c r="S2183" s="129">
        <v>0</v>
      </c>
      <c r="T2183" s="129">
        <v>1</v>
      </c>
      <c r="W2183" s="111"/>
      <c r="AB2183" s="131" t="s">
        <v>112</v>
      </c>
      <c r="AC2183" s="130"/>
      <c r="AD2183" s="130">
        <v>33178</v>
      </c>
      <c r="AE2183" s="128" t="s">
        <v>32</v>
      </c>
      <c r="AF2183" s="128" t="s">
        <v>40</v>
      </c>
      <c r="AG2183" s="128" t="s">
        <v>41</v>
      </c>
      <c r="AH2183" s="108" t="s">
        <v>31</v>
      </c>
      <c r="AI2183" s="128" t="s">
        <v>65</v>
      </c>
      <c r="AJ2183" s="129" t="s">
        <v>55</v>
      </c>
      <c r="AK2183" s="129">
        <v>1</v>
      </c>
      <c r="AL2183" s="3" t="s">
        <v>55</v>
      </c>
      <c r="AP2183" s="129" t="s">
        <v>98</v>
      </c>
      <c r="AR2183" s="128" t="s">
        <v>44</v>
      </c>
      <c r="AS2183" s="129" t="s">
        <v>64</v>
      </c>
      <c r="BC2183" s="129" t="s">
        <v>38</v>
      </c>
      <c r="BF2183" s="111">
        <f t="shared" si="1636"/>
        <v>3</v>
      </c>
      <c r="BG2183" s="111">
        <f t="shared" si="1606"/>
        <v>3</v>
      </c>
      <c r="BH2183" s="111">
        <f t="shared" si="1611"/>
        <v>3</v>
      </c>
      <c r="BI2183" s="111">
        <f t="shared" si="1612"/>
        <v>21.256830601092897</v>
      </c>
      <c r="BJ2183" s="129">
        <f t="shared" si="1626"/>
        <v>0</v>
      </c>
      <c r="BK2183" s="129">
        <f t="shared" si="1613"/>
        <v>0</v>
      </c>
      <c r="BL2183" s="129" t="str">
        <f t="shared" si="1601"/>
        <v>NO CONVICTION</v>
      </c>
      <c r="BM2183" s="129" t="str">
        <f t="shared" si="1627"/>
        <v>NONE</v>
      </c>
      <c r="BN2183" s="129" t="s">
        <v>566</v>
      </c>
      <c r="BP2183" s="137" t="str">
        <f t="shared" si="1617"/>
        <v>NO CONVICTION</v>
      </c>
      <c r="BQ2183" s="128" t="str">
        <f t="shared" si="1618"/>
        <v>Y</v>
      </c>
      <c r="BR2183" s="129" t="str">
        <f t="shared" si="1628"/>
        <v>DETAINED</v>
      </c>
      <c r="BS2183" s="129" t="str">
        <f t="shared" si="1619"/>
        <v>DISPOSED</v>
      </c>
      <c r="BT2183" s="129" t="str">
        <f t="shared" si="1620"/>
        <v>N</v>
      </c>
      <c r="BU2183" s="109">
        <f>IFERROR(Q2183/R2183,BR2183)</f>
        <v>1</v>
      </c>
      <c r="BV2183" s="109">
        <f t="shared" si="1630"/>
        <v>1</v>
      </c>
      <c r="BW2183" s="109">
        <f t="shared" si="1596"/>
        <v>0</v>
      </c>
      <c r="BX2183" s="111">
        <f t="shared" si="1621"/>
        <v>0</v>
      </c>
      <c r="BY2183" s="129">
        <f t="shared" si="1622"/>
        <v>-3</v>
      </c>
      <c r="BZ2183" s="111">
        <f t="shared" si="1623"/>
        <v>0</v>
      </c>
      <c r="CA2183" s="138">
        <f t="shared" si="1624"/>
        <v>3</v>
      </c>
      <c r="CB2183" s="111" t="e">
        <f t="shared" si="1637"/>
        <v>#VALUE!</v>
      </c>
      <c r="CC2183" s="129">
        <f t="shared" si="1631"/>
        <v>3</v>
      </c>
      <c r="CD2183" s="129">
        <f t="shared" si="1632"/>
        <v>0</v>
      </c>
      <c r="CG2183" s="129" t="str">
        <f t="shared" si="1625"/>
        <v>Y</v>
      </c>
      <c r="CI2183" s="129" t="str">
        <f t="shared" si="1633"/>
        <v>0-10 DAYS</v>
      </c>
      <c r="CJ2183" s="137">
        <f t="shared" si="1634"/>
        <v>1</v>
      </c>
      <c r="CK2183" s="129" t="str">
        <f t="shared" si="1635"/>
        <v>Booked</v>
      </c>
    </row>
    <row r="2184" spans="1:89" ht="15.75" customHeight="1" x14ac:dyDescent="0.25">
      <c r="A2184" s="111">
        <v>1929</v>
      </c>
      <c r="B2184" s="128" t="str">
        <f t="shared" si="1614"/>
        <v>N</v>
      </c>
      <c r="C2184" s="128" t="str">
        <f t="shared" si="1615"/>
        <v>N</v>
      </c>
      <c r="D2184" s="117">
        <v>2457237</v>
      </c>
      <c r="E2184" s="135">
        <f t="shared" si="1616"/>
        <v>4</v>
      </c>
      <c r="F2184" s="124">
        <v>40981</v>
      </c>
      <c r="G2184" s="125">
        <v>41338</v>
      </c>
      <c r="H2184" s="117">
        <v>2457237</v>
      </c>
      <c r="I2184" s="124">
        <v>40981</v>
      </c>
      <c r="J2184" s="125">
        <v>41338</v>
      </c>
      <c r="K2184" s="126">
        <v>5000</v>
      </c>
      <c r="L2184" s="127" t="s">
        <v>569</v>
      </c>
      <c r="N2184" s="129" t="str">
        <f t="shared" si="1638"/>
        <v>N</v>
      </c>
      <c r="O2184" s="128" t="s">
        <v>917</v>
      </c>
      <c r="P2184" s="129" t="s">
        <v>39</v>
      </c>
      <c r="Q2184" s="111">
        <f t="shared" si="1610"/>
        <v>358</v>
      </c>
      <c r="R2184" s="111">
        <f t="shared" si="1595"/>
        <v>358</v>
      </c>
      <c r="S2184" s="129">
        <v>1</v>
      </c>
      <c r="T2184" s="129">
        <v>2</v>
      </c>
      <c r="U2184" s="129">
        <v>1</v>
      </c>
      <c r="W2184" s="111"/>
      <c r="AC2184" s="130"/>
      <c r="AD2184" s="130">
        <v>33781</v>
      </c>
      <c r="AE2184" s="128" t="s">
        <v>32</v>
      </c>
      <c r="AF2184" s="128" t="s">
        <v>40</v>
      </c>
      <c r="AG2184" s="128" t="s">
        <v>41</v>
      </c>
      <c r="AH2184" s="108" t="s">
        <v>41</v>
      </c>
      <c r="AI2184" s="128" t="s">
        <v>47</v>
      </c>
      <c r="AJ2184" s="129" t="s">
        <v>89</v>
      </c>
      <c r="AK2184" s="129">
        <v>14</v>
      </c>
      <c r="AL2184" s="3" t="s">
        <v>991</v>
      </c>
      <c r="AO2184" s="128">
        <v>365</v>
      </c>
      <c r="AP2184" s="129" t="s">
        <v>101</v>
      </c>
      <c r="AR2184" s="128" t="s">
        <v>67</v>
      </c>
      <c r="AS2184" s="129" t="s">
        <v>64</v>
      </c>
      <c r="BC2184" s="129" t="s">
        <v>52</v>
      </c>
      <c r="BF2184" s="111">
        <f t="shared" si="1636"/>
        <v>358</v>
      </c>
      <c r="BG2184" s="111">
        <f t="shared" si="1606"/>
        <v>358</v>
      </c>
      <c r="BH2184" s="111">
        <f t="shared" si="1611"/>
        <v>358</v>
      </c>
      <c r="BI2184" s="111">
        <f t="shared" si="1612"/>
        <v>19.672131147540984</v>
      </c>
      <c r="BJ2184" s="129">
        <f t="shared" si="1626"/>
        <v>0</v>
      </c>
      <c r="BK2184" s="129">
        <f t="shared" si="1613"/>
        <v>0</v>
      </c>
      <c r="BL2184" s="129" t="str">
        <f t="shared" si="1601"/>
        <v>CONVICTION</v>
      </c>
      <c r="BM2184" s="129" t="str">
        <f t="shared" si="1627"/>
        <v>NONE</v>
      </c>
      <c r="BN2184" s="129" t="s">
        <v>566</v>
      </c>
      <c r="BP2184" s="137" t="str">
        <f t="shared" si="1617"/>
        <v>CONVICTION</v>
      </c>
      <c r="BQ2184" s="128" t="str">
        <f t="shared" si="1618"/>
        <v>Y</v>
      </c>
      <c r="BR2184" s="129" t="str">
        <f t="shared" si="1628"/>
        <v>DETAINED</v>
      </c>
      <c r="BS2184" s="129" t="str">
        <f t="shared" si="1619"/>
        <v>DISPOSED</v>
      </c>
      <c r="BT2184" s="129" t="str">
        <f t="shared" si="1620"/>
        <v>Y</v>
      </c>
      <c r="BU2184" s="109">
        <f t="shared" si="1629"/>
        <v>1</v>
      </c>
      <c r="BV2184" s="109">
        <f t="shared" si="1630"/>
        <v>1</v>
      </c>
      <c r="BW2184" s="109">
        <f t="shared" si="1596"/>
        <v>0</v>
      </c>
      <c r="BX2184" s="111">
        <f t="shared" si="1621"/>
        <v>0</v>
      </c>
      <c r="BY2184" s="129">
        <f t="shared" si="1622"/>
        <v>-358</v>
      </c>
      <c r="BZ2184" s="111">
        <f t="shared" si="1623"/>
        <v>0</v>
      </c>
      <c r="CA2184" s="138">
        <f t="shared" si="1624"/>
        <v>358</v>
      </c>
      <c r="CB2184" s="111" t="e">
        <f t="shared" si="1637"/>
        <v>#VALUE!</v>
      </c>
      <c r="CC2184" s="129">
        <f t="shared" si="1631"/>
        <v>358</v>
      </c>
      <c r="CD2184" s="129">
        <f t="shared" si="1632"/>
        <v>0</v>
      </c>
      <c r="CG2184" s="129" t="str">
        <f t="shared" si="1625"/>
        <v>Y</v>
      </c>
      <c r="CI2184" s="129" t="str">
        <f t="shared" si="1633"/>
        <v>121-365 DAYS</v>
      </c>
      <c r="CJ2184" s="137">
        <f t="shared" si="1634"/>
        <v>6</v>
      </c>
      <c r="CK2184" s="129" t="str">
        <f t="shared" si="1635"/>
        <v>Booked</v>
      </c>
    </row>
    <row r="2185" spans="1:89" ht="15.75" customHeight="1" x14ac:dyDescent="0.25">
      <c r="A2185" s="111">
        <v>2036</v>
      </c>
      <c r="B2185" s="128" t="str">
        <f t="shared" si="1614"/>
        <v>N</v>
      </c>
      <c r="C2185" s="128" t="str">
        <f t="shared" si="1615"/>
        <v>N</v>
      </c>
      <c r="D2185" s="117">
        <v>2457548</v>
      </c>
      <c r="E2185" s="135">
        <f t="shared" si="1616"/>
        <v>2</v>
      </c>
      <c r="F2185" s="124">
        <v>40985</v>
      </c>
      <c r="G2185" s="125">
        <v>40987</v>
      </c>
      <c r="H2185" s="117">
        <v>2457548</v>
      </c>
      <c r="I2185" s="124">
        <v>40986</v>
      </c>
      <c r="J2185" s="124">
        <v>40987</v>
      </c>
      <c r="K2185" s="126">
        <v>10000</v>
      </c>
      <c r="L2185" s="127" t="s">
        <v>570</v>
      </c>
      <c r="N2185" s="129" t="str">
        <f t="shared" si="1638"/>
        <v>N</v>
      </c>
      <c r="O2185" s="128" t="s">
        <v>917</v>
      </c>
      <c r="P2185" s="129" t="s">
        <v>589</v>
      </c>
      <c r="Q2185" s="111">
        <f t="shared" si="1610"/>
        <v>2</v>
      </c>
      <c r="R2185" s="111">
        <f t="shared" si="1595"/>
        <v>3</v>
      </c>
      <c r="S2185" s="129">
        <v>0</v>
      </c>
      <c r="T2185" s="129">
        <v>1</v>
      </c>
      <c r="W2185" s="111"/>
      <c r="AC2185" s="130"/>
      <c r="AD2185" s="130">
        <v>33729</v>
      </c>
      <c r="AE2185" s="128" t="s">
        <v>32</v>
      </c>
      <c r="AF2185" s="128" t="s">
        <v>69</v>
      </c>
      <c r="AG2185" s="128" t="s">
        <v>874</v>
      </c>
      <c r="AH2185" s="108" t="s">
        <v>58</v>
      </c>
      <c r="AI2185" s="128" t="s">
        <v>70</v>
      </c>
      <c r="AJ2185" s="129" t="s">
        <v>48</v>
      </c>
      <c r="AK2185" s="129">
        <v>1</v>
      </c>
      <c r="AL2185" s="3" t="s">
        <v>48</v>
      </c>
      <c r="AP2185" s="129" t="s">
        <v>107</v>
      </c>
      <c r="AR2185" s="128" t="s">
        <v>44</v>
      </c>
      <c r="AS2185" s="129" t="s">
        <v>57</v>
      </c>
      <c r="BC2185" s="129" t="s">
        <v>38</v>
      </c>
      <c r="BF2185" s="111">
        <f t="shared" si="1636"/>
        <v>2</v>
      </c>
      <c r="BG2185" s="111">
        <f t="shared" si="1606"/>
        <v>2</v>
      </c>
      <c r="BH2185" s="111">
        <f t="shared" si="1611"/>
        <v>3</v>
      </c>
      <c r="BI2185" s="111">
        <f t="shared" si="1612"/>
        <v>19.825136612021858</v>
      </c>
      <c r="BJ2185" s="129">
        <f t="shared" si="1626"/>
        <v>0</v>
      </c>
      <c r="BK2185" s="129">
        <f t="shared" si="1613"/>
        <v>0</v>
      </c>
      <c r="BL2185" s="129" t="str">
        <f t="shared" si="1601"/>
        <v>DEFERRED</v>
      </c>
      <c r="BM2185" s="129" t="str">
        <f t="shared" si="1627"/>
        <v>NONE</v>
      </c>
      <c r="BN2185" s="129" t="s">
        <v>566</v>
      </c>
      <c r="BP2185" s="137" t="str">
        <f t="shared" si="1617"/>
        <v>DEFERRED</v>
      </c>
      <c r="BQ2185" s="128" t="str">
        <f t="shared" si="1618"/>
        <v>Y</v>
      </c>
      <c r="BR2185" s="129" t="str">
        <f t="shared" si="1628"/>
        <v>DETAINED</v>
      </c>
      <c r="BS2185" s="129" t="str">
        <f t="shared" si="1619"/>
        <v>DISPOSED</v>
      </c>
      <c r="BT2185" s="129" t="str">
        <f t="shared" si="1620"/>
        <v>N</v>
      </c>
      <c r="BU2185" s="109">
        <f t="shared" si="1629"/>
        <v>0.66666666666666663</v>
      </c>
      <c r="BV2185" s="109">
        <f t="shared" si="1630"/>
        <v>1</v>
      </c>
      <c r="BW2185" s="109">
        <f t="shared" si="1596"/>
        <v>0.33333333333333337</v>
      </c>
      <c r="BX2185" s="111">
        <f t="shared" si="1621"/>
        <v>0</v>
      </c>
      <c r="BY2185" s="129">
        <f t="shared" si="1622"/>
        <v>-2</v>
      </c>
      <c r="BZ2185" s="111">
        <f t="shared" si="1623"/>
        <v>0</v>
      </c>
      <c r="CA2185" s="138">
        <f t="shared" si="1624"/>
        <v>2</v>
      </c>
      <c r="CB2185" s="111" t="e">
        <f t="shared" si="1637"/>
        <v>#VALUE!</v>
      </c>
      <c r="CC2185" s="129">
        <f t="shared" si="1631"/>
        <v>2</v>
      </c>
      <c r="CD2185" s="129">
        <f t="shared" si="1632"/>
        <v>0</v>
      </c>
      <c r="CG2185" s="129" t="str">
        <f t="shared" si="1625"/>
        <v>Y</v>
      </c>
      <c r="CI2185" s="129" t="str">
        <f t="shared" si="1633"/>
        <v>0-10 DAYS</v>
      </c>
      <c r="CJ2185" s="137">
        <f t="shared" si="1634"/>
        <v>1</v>
      </c>
      <c r="CK2185" s="129" t="str">
        <f t="shared" si="1635"/>
        <v>Booked</v>
      </c>
    </row>
    <row r="2186" spans="1:89" ht="15.75" customHeight="1" x14ac:dyDescent="0.25">
      <c r="A2186" s="111">
        <v>1376</v>
      </c>
      <c r="B2186" s="128" t="str">
        <f t="shared" si="1614"/>
        <v>N</v>
      </c>
      <c r="C2186" s="128" t="str">
        <f t="shared" si="1615"/>
        <v>N</v>
      </c>
      <c r="D2186" s="117">
        <v>2457861</v>
      </c>
      <c r="E2186" s="135">
        <f t="shared" si="1616"/>
        <v>2</v>
      </c>
      <c r="F2186" s="124">
        <v>40959</v>
      </c>
      <c r="G2186" s="125">
        <v>40974</v>
      </c>
      <c r="H2186" s="117">
        <v>2457861</v>
      </c>
      <c r="I2186" s="124">
        <v>40961</v>
      </c>
      <c r="J2186" s="124">
        <v>40974</v>
      </c>
      <c r="K2186" s="126">
        <v>5000</v>
      </c>
      <c r="L2186" s="127" t="s">
        <v>569</v>
      </c>
      <c r="N2186" s="129" t="str">
        <f t="shared" si="1638"/>
        <v>N</v>
      </c>
      <c r="O2186" s="128" t="s">
        <v>917</v>
      </c>
      <c r="P2186" s="129" t="s">
        <v>589</v>
      </c>
      <c r="Q2186" s="111">
        <f t="shared" si="1610"/>
        <v>14</v>
      </c>
      <c r="R2186" s="111">
        <f t="shared" si="1595"/>
        <v>16</v>
      </c>
      <c r="S2186" s="129">
        <v>1</v>
      </c>
      <c r="T2186" s="129">
        <v>2</v>
      </c>
      <c r="U2186" s="129">
        <v>1</v>
      </c>
      <c r="W2186" s="111"/>
      <c r="AC2186" s="130"/>
      <c r="AD2186" s="130">
        <v>33351</v>
      </c>
      <c r="AE2186" s="128" t="s">
        <v>32</v>
      </c>
      <c r="AF2186" s="128" t="s">
        <v>33</v>
      </c>
      <c r="AG2186" s="128" t="s">
        <v>872</v>
      </c>
      <c r="AH2186" s="108" t="s">
        <v>58</v>
      </c>
      <c r="AI2186" s="128" t="s">
        <v>80</v>
      </c>
      <c r="AJ2186" s="129" t="s">
        <v>48</v>
      </c>
      <c r="AK2186" s="129">
        <v>4</v>
      </c>
      <c r="AL2186" s="3" t="s">
        <v>48</v>
      </c>
      <c r="AP2186" s="129" t="s">
        <v>109</v>
      </c>
      <c r="AR2186" s="128" t="s">
        <v>67</v>
      </c>
      <c r="AS2186" s="129" t="s">
        <v>61</v>
      </c>
      <c r="BC2186" s="129" t="s">
        <v>38</v>
      </c>
      <c r="BF2186" s="111">
        <f t="shared" si="1636"/>
        <v>14</v>
      </c>
      <c r="BG2186" s="111">
        <f t="shared" si="1606"/>
        <v>14</v>
      </c>
      <c r="BH2186" s="111">
        <f t="shared" si="1611"/>
        <v>16</v>
      </c>
      <c r="BI2186" s="111">
        <f t="shared" si="1612"/>
        <v>20.78688524590164</v>
      </c>
      <c r="BJ2186" s="129">
        <f t="shared" si="1626"/>
        <v>0</v>
      </c>
      <c r="BK2186" s="129">
        <f t="shared" si="1613"/>
        <v>0</v>
      </c>
      <c r="BL2186" s="129" t="str">
        <f t="shared" si="1601"/>
        <v>DEFERRED</v>
      </c>
      <c r="BM2186" s="129" t="str">
        <f t="shared" si="1627"/>
        <v>NONE</v>
      </c>
      <c r="BN2186" s="129" t="s">
        <v>566</v>
      </c>
      <c r="BP2186" s="137" t="str">
        <f t="shared" si="1617"/>
        <v>DEFERRED</v>
      </c>
      <c r="BQ2186" s="128" t="str">
        <f t="shared" si="1618"/>
        <v>Y</v>
      </c>
      <c r="BR2186" s="129" t="str">
        <f t="shared" si="1628"/>
        <v>DETAINED</v>
      </c>
      <c r="BS2186" s="129" t="str">
        <f t="shared" si="1619"/>
        <v>DISPOSED</v>
      </c>
      <c r="BT2186" s="129" t="str">
        <f t="shared" si="1620"/>
        <v>Y</v>
      </c>
      <c r="BU2186" s="109">
        <f t="shared" si="1629"/>
        <v>0.875</v>
      </c>
      <c r="BV2186" s="109">
        <f t="shared" si="1630"/>
        <v>1</v>
      </c>
      <c r="BW2186" s="109">
        <f t="shared" si="1596"/>
        <v>0.125</v>
      </c>
      <c r="BX2186" s="111">
        <f t="shared" si="1621"/>
        <v>0</v>
      </c>
      <c r="BY2186" s="129">
        <f t="shared" si="1622"/>
        <v>-14</v>
      </c>
      <c r="BZ2186" s="111">
        <f t="shared" si="1623"/>
        <v>0</v>
      </c>
      <c r="CA2186" s="138">
        <f t="shared" si="1624"/>
        <v>14</v>
      </c>
      <c r="CB2186" s="111" t="e">
        <f t="shared" si="1637"/>
        <v>#VALUE!</v>
      </c>
      <c r="CC2186" s="129">
        <f t="shared" si="1631"/>
        <v>14</v>
      </c>
      <c r="CD2186" s="129">
        <f t="shared" si="1632"/>
        <v>0</v>
      </c>
      <c r="CG2186" s="129" t="str">
        <f t="shared" si="1625"/>
        <v>Y</v>
      </c>
      <c r="CI2186" s="129" t="str">
        <f t="shared" si="1633"/>
        <v>11-30 DAYS</v>
      </c>
      <c r="CJ2186" s="137">
        <f t="shared" si="1634"/>
        <v>2</v>
      </c>
      <c r="CK2186" s="129" t="str">
        <f t="shared" si="1635"/>
        <v>Booked</v>
      </c>
    </row>
    <row r="2187" spans="1:89" ht="15.75" customHeight="1" x14ac:dyDescent="0.25">
      <c r="A2187" s="111">
        <v>2528</v>
      </c>
      <c r="B2187" s="128" t="str">
        <f t="shared" si="1614"/>
        <v>N</v>
      </c>
      <c r="C2187" s="128" t="str">
        <f t="shared" si="1615"/>
        <v>N</v>
      </c>
      <c r="D2187" s="117">
        <v>2458185</v>
      </c>
      <c r="E2187" s="135">
        <f t="shared" si="1616"/>
        <v>2</v>
      </c>
      <c r="F2187" s="124">
        <v>41003</v>
      </c>
      <c r="G2187" s="125">
        <v>41556</v>
      </c>
      <c r="H2187" s="117">
        <v>2458185</v>
      </c>
      <c r="I2187" s="124">
        <v>41004</v>
      </c>
      <c r="J2187" s="124">
        <v>41006</v>
      </c>
      <c r="K2187" s="126">
        <v>10000</v>
      </c>
      <c r="L2187" s="127" t="s">
        <v>570</v>
      </c>
      <c r="M2187" s="124">
        <v>41006</v>
      </c>
      <c r="N2187" s="129" t="str">
        <f t="shared" si="1638"/>
        <v>Y</v>
      </c>
      <c r="O2187" s="128" t="s">
        <v>76</v>
      </c>
      <c r="P2187" s="129" t="s">
        <v>589</v>
      </c>
      <c r="Q2187" s="111">
        <f t="shared" si="1610"/>
        <v>3</v>
      </c>
      <c r="R2187" s="111">
        <f t="shared" si="1595"/>
        <v>554</v>
      </c>
      <c r="S2187" s="129">
        <v>0</v>
      </c>
      <c r="T2187" s="129">
        <v>0</v>
      </c>
      <c r="W2187" s="111"/>
      <c r="AC2187" s="130"/>
      <c r="AD2187" s="130">
        <v>33081</v>
      </c>
      <c r="AE2187" s="128" t="s">
        <v>32</v>
      </c>
      <c r="AF2187" s="128" t="s">
        <v>33</v>
      </c>
      <c r="AG2187" s="128" t="s">
        <v>872</v>
      </c>
      <c r="AH2187" s="108" t="s">
        <v>58</v>
      </c>
      <c r="AI2187" s="128" t="s">
        <v>141</v>
      </c>
      <c r="AJ2187" s="129" t="s">
        <v>48</v>
      </c>
      <c r="AK2187" s="129">
        <v>21</v>
      </c>
      <c r="AL2187" s="3" t="s">
        <v>48</v>
      </c>
      <c r="AP2187" s="129" t="s">
        <v>56</v>
      </c>
      <c r="AR2187" s="128" t="s">
        <v>50</v>
      </c>
      <c r="AS2187" s="129" t="s">
        <v>57</v>
      </c>
      <c r="AT2187" s="129" t="s">
        <v>1174</v>
      </c>
      <c r="BC2187" s="129" t="s">
        <v>52</v>
      </c>
      <c r="BF2187" s="111">
        <f t="shared" si="1636"/>
        <v>3</v>
      </c>
      <c r="BG2187" s="111">
        <f t="shared" si="1606"/>
        <v>553</v>
      </c>
      <c r="BH2187" s="111">
        <f t="shared" si="1611"/>
        <v>554</v>
      </c>
      <c r="BI2187" s="111">
        <f t="shared" si="1612"/>
        <v>21.644808743169399</v>
      </c>
      <c r="BJ2187" s="129">
        <f>(G2187-J2187)+(M2187-G2187)</f>
        <v>0</v>
      </c>
      <c r="BK2187" s="129">
        <f t="shared" si="1613"/>
        <v>-550</v>
      </c>
      <c r="BL2187" s="129" t="str">
        <f t="shared" si="1601"/>
        <v>DEFERRED</v>
      </c>
      <c r="BM2187" s="129" t="s">
        <v>76</v>
      </c>
      <c r="BN2187" s="129" t="s">
        <v>88</v>
      </c>
      <c r="BP2187" s="137" t="str">
        <f t="shared" si="1617"/>
        <v>DEFERRED</v>
      </c>
      <c r="BQ2187" s="128" t="str">
        <f t="shared" si="1618"/>
        <v>Y</v>
      </c>
      <c r="BR2187" s="129" t="str">
        <f t="shared" si="1628"/>
        <v>ON BOND</v>
      </c>
      <c r="BS2187" s="129" t="str">
        <f t="shared" si="1619"/>
        <v>DISPOSED</v>
      </c>
      <c r="BT2187" s="129" t="str">
        <f t="shared" si="1620"/>
        <v>N</v>
      </c>
      <c r="BU2187" s="109">
        <f t="shared" si="1629"/>
        <v>5.415162454873646E-3</v>
      </c>
      <c r="BV2187" s="109">
        <f t="shared" si="1630"/>
        <v>5.4249547920433997E-3</v>
      </c>
      <c r="BW2187" s="109">
        <f t="shared" si="1596"/>
        <v>9.7923371697537093E-6</v>
      </c>
      <c r="BX2187" s="111">
        <f t="shared" si="1621"/>
        <v>0</v>
      </c>
      <c r="BY2187" s="129">
        <f t="shared" si="1622"/>
        <v>-3</v>
      </c>
      <c r="BZ2187" s="111">
        <f t="shared" si="1623"/>
        <v>0</v>
      </c>
      <c r="CA2187" s="138">
        <f t="shared" si="1624"/>
        <v>3</v>
      </c>
      <c r="CB2187" s="111" t="e">
        <f t="shared" si="1637"/>
        <v>#VALUE!</v>
      </c>
      <c r="CC2187" s="129">
        <f>M2187-I2187+1</f>
        <v>3</v>
      </c>
      <c r="CD2187" s="111">
        <f>CC2187-BF2187</f>
        <v>0</v>
      </c>
      <c r="CG2187" s="129" t="str">
        <f t="shared" si="1625"/>
        <v>N</v>
      </c>
      <c r="CI2187" s="129" t="str">
        <f t="shared" si="1633"/>
        <v>0-10 DAYS</v>
      </c>
      <c r="CJ2187" s="137">
        <f t="shared" si="1634"/>
        <v>1</v>
      </c>
      <c r="CK2187" s="129" t="str">
        <f t="shared" si="1635"/>
        <v>Booked</v>
      </c>
    </row>
    <row r="2188" spans="1:89" ht="15.75" customHeight="1" x14ac:dyDescent="0.25">
      <c r="A2188" s="111">
        <v>3051</v>
      </c>
      <c r="B2188" s="128" t="str">
        <f t="shared" si="1614"/>
        <v>N</v>
      </c>
      <c r="C2188" s="128" t="str">
        <f t="shared" si="1615"/>
        <v>N</v>
      </c>
      <c r="D2188" s="117">
        <v>2458603</v>
      </c>
      <c r="E2188" s="135">
        <f t="shared" si="1616"/>
        <v>5</v>
      </c>
      <c r="F2188" s="124">
        <v>41022</v>
      </c>
      <c r="G2188" s="125">
        <v>41023</v>
      </c>
      <c r="H2188" s="117">
        <v>2458603</v>
      </c>
      <c r="I2188" s="124">
        <v>41022</v>
      </c>
      <c r="J2188" s="124">
        <v>41023</v>
      </c>
      <c r="K2188" s="126">
        <v>5000</v>
      </c>
      <c r="L2188" s="127" t="s">
        <v>569</v>
      </c>
      <c r="N2188" s="129" t="str">
        <f t="shared" si="1638"/>
        <v>N</v>
      </c>
      <c r="O2188" s="128" t="s">
        <v>917</v>
      </c>
      <c r="P2188" s="129" t="s">
        <v>39</v>
      </c>
      <c r="Q2188" s="111">
        <f t="shared" si="1610"/>
        <v>2</v>
      </c>
      <c r="R2188" s="111">
        <f t="shared" si="1595"/>
        <v>2</v>
      </c>
      <c r="S2188" s="129">
        <v>1</v>
      </c>
      <c r="T2188" s="129">
        <v>0</v>
      </c>
      <c r="U2188" s="129">
        <v>1</v>
      </c>
      <c r="W2188" s="111"/>
      <c r="AB2188" s="131" t="s">
        <v>112</v>
      </c>
      <c r="AC2188" s="130"/>
      <c r="AD2188" s="130">
        <v>33057</v>
      </c>
      <c r="AE2188" s="128" t="s">
        <v>32</v>
      </c>
      <c r="AF2188" s="128" t="s">
        <v>40</v>
      </c>
      <c r="AG2188" s="128" t="s">
        <v>41</v>
      </c>
      <c r="AH2188" s="108" t="s">
        <v>31</v>
      </c>
      <c r="AI2188" s="128" t="s">
        <v>83</v>
      </c>
      <c r="AJ2188" s="129" t="s">
        <v>89</v>
      </c>
      <c r="AK2188" s="129">
        <v>1</v>
      </c>
      <c r="AL2188" s="3" t="s">
        <v>992</v>
      </c>
      <c r="AN2188" s="117">
        <v>6</v>
      </c>
      <c r="AP2188" s="129" t="s">
        <v>63</v>
      </c>
      <c r="AR2188" s="128" t="s">
        <v>44</v>
      </c>
      <c r="AS2188" s="129" t="s">
        <v>64</v>
      </c>
      <c r="AT2188" s="32" t="s">
        <v>1228</v>
      </c>
      <c r="BC2188" s="129" t="s">
        <v>79</v>
      </c>
      <c r="BF2188" s="111">
        <f t="shared" si="1636"/>
        <v>2</v>
      </c>
      <c r="BG2188" s="111">
        <f t="shared" si="1606"/>
        <v>2</v>
      </c>
      <c r="BH2188" s="111">
        <f t="shared" si="1611"/>
        <v>2</v>
      </c>
      <c r="BI2188" s="111">
        <f t="shared" si="1612"/>
        <v>21.762295081967213</v>
      </c>
      <c r="BJ2188" s="129">
        <f t="shared" si="1626"/>
        <v>0</v>
      </c>
      <c r="BK2188" s="129">
        <f t="shared" si="1613"/>
        <v>0</v>
      </c>
      <c r="BL2188" s="129" t="str">
        <f t="shared" si="1601"/>
        <v>CONVICTION</v>
      </c>
      <c r="BM2188" s="129" t="str">
        <f t="shared" si="1627"/>
        <v>NONE</v>
      </c>
      <c r="BN2188" s="129" t="s">
        <v>566</v>
      </c>
      <c r="BP2188" s="137" t="str">
        <f t="shared" si="1617"/>
        <v>CONVICTION</v>
      </c>
      <c r="BQ2188" s="128" t="str">
        <f t="shared" si="1618"/>
        <v>Y</v>
      </c>
      <c r="BR2188" s="129" t="str">
        <f t="shared" si="1628"/>
        <v>DETAINED</v>
      </c>
      <c r="BS2188" s="129" t="str">
        <f t="shared" si="1619"/>
        <v>DISPOSED</v>
      </c>
      <c r="BT2188" s="129" t="str">
        <f t="shared" si="1620"/>
        <v>Y</v>
      </c>
      <c r="BU2188" s="109">
        <f t="shared" si="1629"/>
        <v>1</v>
      </c>
      <c r="BV2188" s="109">
        <f t="shared" si="1630"/>
        <v>1</v>
      </c>
      <c r="BW2188" s="109">
        <f t="shared" si="1596"/>
        <v>0</v>
      </c>
      <c r="BX2188" s="111">
        <f t="shared" si="1621"/>
        <v>0</v>
      </c>
      <c r="BY2188" s="129">
        <f t="shared" si="1622"/>
        <v>-2</v>
      </c>
      <c r="BZ2188" s="111">
        <f t="shared" si="1623"/>
        <v>0</v>
      </c>
      <c r="CA2188" s="138">
        <f t="shared" si="1624"/>
        <v>2</v>
      </c>
      <c r="CB2188" s="111" t="e">
        <f t="shared" si="1637"/>
        <v>#VALUE!</v>
      </c>
      <c r="CC2188" s="129">
        <f>G2188-I2188+1</f>
        <v>2</v>
      </c>
      <c r="CD2188" s="129">
        <f>G2188-J2188</f>
        <v>0</v>
      </c>
      <c r="CG2188" s="129" t="str">
        <f t="shared" si="1625"/>
        <v>Y</v>
      </c>
      <c r="CI2188" s="129" t="str">
        <f t="shared" si="1633"/>
        <v>0-10 DAYS</v>
      </c>
      <c r="CJ2188" s="137">
        <f t="shared" si="1634"/>
        <v>1</v>
      </c>
      <c r="CK2188" s="129" t="str">
        <f t="shared" si="1635"/>
        <v>Booked</v>
      </c>
    </row>
    <row r="2189" spans="1:89" ht="15.75" customHeight="1" x14ac:dyDescent="0.25">
      <c r="A2189" s="111">
        <v>1653</v>
      </c>
      <c r="B2189" s="128" t="str">
        <f t="shared" si="1614"/>
        <v>N</v>
      </c>
      <c r="C2189" s="128" t="str">
        <f t="shared" si="1615"/>
        <v>N</v>
      </c>
      <c r="D2189" s="117">
        <v>2459528</v>
      </c>
      <c r="E2189" s="135">
        <f t="shared" si="1616"/>
        <v>2</v>
      </c>
      <c r="F2189" s="124">
        <v>40969</v>
      </c>
      <c r="G2189" s="125">
        <v>40992</v>
      </c>
      <c r="H2189" s="117">
        <v>2459528</v>
      </c>
      <c r="I2189" s="124">
        <v>40970</v>
      </c>
      <c r="J2189" s="124">
        <v>40971</v>
      </c>
      <c r="K2189" s="126">
        <v>2000</v>
      </c>
      <c r="L2189" s="127" t="s">
        <v>568</v>
      </c>
      <c r="M2189" s="125">
        <v>40971</v>
      </c>
      <c r="N2189" s="129" t="str">
        <f t="shared" si="1638"/>
        <v>Y</v>
      </c>
      <c r="O2189" s="128" t="s">
        <v>76</v>
      </c>
      <c r="P2189" s="129" t="s">
        <v>589</v>
      </c>
      <c r="Q2189" s="111">
        <f t="shared" si="1610"/>
        <v>2</v>
      </c>
      <c r="R2189" s="111">
        <f t="shared" si="1595"/>
        <v>24</v>
      </c>
      <c r="S2189" s="129">
        <v>0</v>
      </c>
      <c r="T2189" s="129">
        <v>5</v>
      </c>
      <c r="W2189" s="111"/>
      <c r="AC2189" s="130"/>
      <c r="AD2189" s="130">
        <v>33879</v>
      </c>
      <c r="AE2189" s="128" t="s">
        <v>32</v>
      </c>
      <c r="AF2189" s="128" t="s">
        <v>40</v>
      </c>
      <c r="AG2189" s="128" t="s">
        <v>41</v>
      </c>
      <c r="AH2189" s="108" t="s">
        <v>41</v>
      </c>
      <c r="AI2189" s="128" t="s">
        <v>97</v>
      </c>
      <c r="AJ2189" s="129" t="s">
        <v>48</v>
      </c>
      <c r="AK2189" s="129">
        <v>7</v>
      </c>
      <c r="AL2189" s="3" t="s">
        <v>48</v>
      </c>
      <c r="AP2189" s="129" t="s">
        <v>175</v>
      </c>
      <c r="AR2189" s="128" t="s">
        <v>44</v>
      </c>
      <c r="AS2189" s="129" t="s">
        <v>45</v>
      </c>
      <c r="BC2189" s="129" t="s">
        <v>52</v>
      </c>
      <c r="BF2189" s="111">
        <f t="shared" si="1636"/>
        <v>2</v>
      </c>
      <c r="BG2189" s="111">
        <f t="shared" si="1606"/>
        <v>23</v>
      </c>
      <c r="BH2189" s="111">
        <f t="shared" si="1611"/>
        <v>24</v>
      </c>
      <c r="BI2189" s="111">
        <f t="shared" si="1612"/>
        <v>19.371584699453553</v>
      </c>
      <c r="BJ2189" s="129">
        <f>(G2189-J2189)+(M2189-G2189)</f>
        <v>0</v>
      </c>
      <c r="BK2189" s="129">
        <f t="shared" si="1613"/>
        <v>-21</v>
      </c>
      <c r="BL2189" s="129" t="str">
        <f t="shared" si="1601"/>
        <v>DEFERRED</v>
      </c>
      <c r="BM2189" s="129" t="s">
        <v>76</v>
      </c>
      <c r="BN2189" s="129" t="s">
        <v>88</v>
      </c>
      <c r="BP2189" s="137" t="str">
        <f t="shared" si="1617"/>
        <v>DEFERRED</v>
      </c>
      <c r="BQ2189" s="128" t="str">
        <f t="shared" si="1618"/>
        <v>Y</v>
      </c>
      <c r="BR2189" s="129" t="str">
        <f t="shared" si="1628"/>
        <v>ON BOND</v>
      </c>
      <c r="BS2189" s="129" t="str">
        <f t="shared" si="1619"/>
        <v>DISPOSED</v>
      </c>
      <c r="BT2189" s="129" t="str">
        <f t="shared" si="1620"/>
        <v>N</v>
      </c>
      <c r="BU2189" s="109">
        <f t="shared" si="1629"/>
        <v>8.3333333333333329E-2</v>
      </c>
      <c r="BV2189" s="109">
        <f t="shared" si="1630"/>
        <v>8.6956521739130432E-2</v>
      </c>
      <c r="BW2189" s="109">
        <f t="shared" si="1596"/>
        <v>3.6231884057971037E-3</v>
      </c>
      <c r="BX2189" s="111">
        <f t="shared" si="1621"/>
        <v>0</v>
      </c>
      <c r="BY2189" s="129">
        <f t="shared" si="1622"/>
        <v>-2</v>
      </c>
      <c r="BZ2189" s="111">
        <f t="shared" si="1623"/>
        <v>0</v>
      </c>
      <c r="CA2189" s="138">
        <f t="shared" si="1624"/>
        <v>2</v>
      </c>
      <c r="CB2189" s="111" t="e">
        <f t="shared" si="1637"/>
        <v>#VALUE!</v>
      </c>
      <c r="CC2189" s="129">
        <f>M2189-I2189+1</f>
        <v>2</v>
      </c>
      <c r="CD2189" s="111">
        <f>CC2189-BF2189</f>
        <v>0</v>
      </c>
      <c r="CG2189" s="129" t="str">
        <f t="shared" si="1625"/>
        <v>Y</v>
      </c>
      <c r="CI2189" s="129" t="str">
        <f t="shared" si="1633"/>
        <v>0-10 DAYS</v>
      </c>
      <c r="CJ2189" s="137">
        <f t="shared" si="1634"/>
        <v>1</v>
      </c>
      <c r="CK2189" s="129" t="str">
        <f t="shared" si="1635"/>
        <v>Booked</v>
      </c>
    </row>
    <row r="2190" spans="1:89" ht="15.75" customHeight="1" x14ac:dyDescent="0.25">
      <c r="A2190" s="111">
        <v>1704</v>
      </c>
      <c r="B2190" s="128" t="str">
        <f t="shared" si="1614"/>
        <v>N</v>
      </c>
      <c r="C2190" s="128" t="str">
        <f t="shared" si="1615"/>
        <v>N</v>
      </c>
      <c r="D2190" s="117">
        <v>2460386</v>
      </c>
      <c r="E2190" s="135">
        <f t="shared" si="1616"/>
        <v>1</v>
      </c>
      <c r="F2190" s="124">
        <v>40972</v>
      </c>
      <c r="G2190" s="125">
        <v>40980</v>
      </c>
      <c r="H2190" s="117">
        <v>2460386</v>
      </c>
      <c r="I2190" s="124">
        <v>40972</v>
      </c>
      <c r="J2190" s="124">
        <v>40980</v>
      </c>
      <c r="K2190" s="126" t="s">
        <v>564</v>
      </c>
      <c r="L2190" s="127" t="s">
        <v>564</v>
      </c>
      <c r="N2190" s="129" t="s">
        <v>566</v>
      </c>
      <c r="O2190" s="128" t="s">
        <v>917</v>
      </c>
      <c r="P2190" s="129" t="s">
        <v>55</v>
      </c>
      <c r="Q2190" s="111">
        <f t="shared" si="1610"/>
        <v>9</v>
      </c>
      <c r="R2190" s="111">
        <f t="shared" si="1595"/>
        <v>9</v>
      </c>
      <c r="S2190" s="129">
        <v>0</v>
      </c>
      <c r="T2190" s="129">
        <v>2</v>
      </c>
      <c r="U2190" s="129">
        <v>0</v>
      </c>
      <c r="W2190" s="111"/>
      <c r="AC2190" s="130"/>
      <c r="AD2190" s="130">
        <v>33238</v>
      </c>
      <c r="AE2190" s="128" t="s">
        <v>32</v>
      </c>
      <c r="AF2190" s="128" t="s">
        <v>33</v>
      </c>
      <c r="AG2190" s="128" t="s">
        <v>872</v>
      </c>
      <c r="AH2190" s="108" t="s">
        <v>58</v>
      </c>
      <c r="AI2190" s="128" t="s">
        <v>83</v>
      </c>
      <c r="AJ2190" s="129" t="s">
        <v>55</v>
      </c>
      <c r="AK2190" s="129">
        <v>2</v>
      </c>
      <c r="AL2190" s="3" t="s">
        <v>55</v>
      </c>
      <c r="AP2190" s="129" t="s">
        <v>43</v>
      </c>
      <c r="AR2190" s="128" t="s">
        <v>44</v>
      </c>
      <c r="AS2190" s="129" t="s">
        <v>45</v>
      </c>
      <c r="BC2190" s="129" t="s">
        <v>38</v>
      </c>
      <c r="BF2190" s="111">
        <f t="shared" si="1636"/>
        <v>9</v>
      </c>
      <c r="BG2190" s="111">
        <f t="shared" si="1606"/>
        <v>9</v>
      </c>
      <c r="BH2190" s="111">
        <f t="shared" si="1611"/>
        <v>9</v>
      </c>
      <c r="BI2190" s="111">
        <f t="shared" si="1612"/>
        <v>21.131147540983605</v>
      </c>
      <c r="BJ2190" s="129">
        <f t="shared" si="1626"/>
        <v>0</v>
      </c>
      <c r="BK2190" s="129">
        <f t="shared" si="1613"/>
        <v>0</v>
      </c>
      <c r="BL2190" s="129" t="str">
        <f t="shared" si="1601"/>
        <v>NO CONVICTION</v>
      </c>
      <c r="BM2190" s="129" t="str">
        <f t="shared" si="1627"/>
        <v>NONE</v>
      </c>
      <c r="BN2190" s="129" t="s">
        <v>566</v>
      </c>
      <c r="BP2190" s="137" t="str">
        <f t="shared" si="1617"/>
        <v>NO CONVICTION</v>
      </c>
      <c r="BQ2190" s="128" t="str">
        <f t="shared" si="1618"/>
        <v>Y</v>
      </c>
      <c r="BR2190" s="129" t="str">
        <f t="shared" si="1628"/>
        <v>DETAINED</v>
      </c>
      <c r="BS2190" s="129" t="str">
        <f t="shared" si="1619"/>
        <v>DISPOSED</v>
      </c>
      <c r="BT2190" s="129" t="str">
        <f t="shared" si="1620"/>
        <v>N</v>
      </c>
      <c r="BU2190" s="109">
        <f>IFERROR(Q2190/R2190,BR2190)</f>
        <v>1</v>
      </c>
      <c r="BV2190" s="109">
        <f t="shared" si="1630"/>
        <v>1</v>
      </c>
      <c r="BW2190" s="109">
        <f t="shared" si="1596"/>
        <v>0</v>
      </c>
      <c r="BX2190" s="111">
        <f t="shared" si="1621"/>
        <v>0</v>
      </c>
      <c r="BY2190" s="129">
        <f t="shared" si="1622"/>
        <v>-9</v>
      </c>
      <c r="BZ2190" s="111">
        <f t="shared" si="1623"/>
        <v>0</v>
      </c>
      <c r="CA2190" s="138">
        <f t="shared" si="1624"/>
        <v>9</v>
      </c>
      <c r="CB2190" s="111" t="e">
        <f t="shared" si="1637"/>
        <v>#VALUE!</v>
      </c>
      <c r="CC2190" s="129">
        <f>G2190-I2190+1</f>
        <v>9</v>
      </c>
      <c r="CD2190" s="129">
        <f>G2190-J2190</f>
        <v>0</v>
      </c>
      <c r="CG2190" s="129" t="str">
        <f t="shared" si="1625"/>
        <v>Y</v>
      </c>
      <c r="CI2190" s="129" t="str">
        <f t="shared" si="1633"/>
        <v>0-10 DAYS</v>
      </c>
      <c r="CJ2190" s="137">
        <f t="shared" si="1634"/>
        <v>1</v>
      </c>
      <c r="CK2190" s="129" t="str">
        <f t="shared" si="1635"/>
        <v>Booked</v>
      </c>
    </row>
    <row r="2191" spans="1:89" ht="15.75" customHeight="1" x14ac:dyDescent="0.25">
      <c r="A2191" s="111">
        <v>140</v>
      </c>
      <c r="B2191" s="128" t="str">
        <f t="shared" si="1614"/>
        <v>N</v>
      </c>
      <c r="C2191" s="128" t="str">
        <f t="shared" si="1615"/>
        <v>N</v>
      </c>
      <c r="D2191" s="117">
        <v>2460883</v>
      </c>
      <c r="E2191" s="135">
        <f t="shared" si="1616"/>
        <v>5</v>
      </c>
      <c r="F2191" s="124">
        <v>40915</v>
      </c>
      <c r="G2191" s="125">
        <v>40917</v>
      </c>
      <c r="H2191" s="117">
        <v>2460883</v>
      </c>
      <c r="I2191" s="124">
        <v>40915</v>
      </c>
      <c r="J2191" s="124">
        <v>40917</v>
      </c>
      <c r="K2191" s="126">
        <v>15000</v>
      </c>
      <c r="L2191" s="127" t="s">
        <v>571</v>
      </c>
      <c r="N2191" s="129" t="str">
        <f>IF(M2191&gt;1/1/1,"Y","N")</f>
        <v>N</v>
      </c>
      <c r="O2191" s="128" t="s">
        <v>917</v>
      </c>
      <c r="P2191" s="129" t="s">
        <v>39</v>
      </c>
      <c r="Q2191" s="111">
        <f t="shared" si="1610"/>
        <v>3</v>
      </c>
      <c r="R2191" s="111">
        <f t="shared" si="1595"/>
        <v>3</v>
      </c>
      <c r="S2191" s="129">
        <v>5</v>
      </c>
      <c r="T2191" s="129">
        <v>0</v>
      </c>
      <c r="W2191" s="111"/>
      <c r="AC2191" s="130"/>
      <c r="AD2191" s="130">
        <v>25076</v>
      </c>
      <c r="AE2191" s="128" t="s">
        <v>46</v>
      </c>
      <c r="AF2191" s="128" t="s">
        <v>33</v>
      </c>
      <c r="AG2191" s="128" t="s">
        <v>872</v>
      </c>
      <c r="AH2191" s="108" t="s">
        <v>58</v>
      </c>
      <c r="AI2191" s="128" t="s">
        <v>72</v>
      </c>
      <c r="AJ2191" s="129" t="s">
        <v>89</v>
      </c>
      <c r="AK2191" s="129">
        <v>1</v>
      </c>
      <c r="AL2191" s="3" t="s">
        <v>992</v>
      </c>
      <c r="AN2191" s="117">
        <v>6</v>
      </c>
      <c r="AP2191" s="129" t="s">
        <v>127</v>
      </c>
      <c r="AR2191" s="128" t="s">
        <v>44</v>
      </c>
      <c r="AS2191" s="129" t="s">
        <v>82</v>
      </c>
      <c r="BC2191" s="129" t="s">
        <v>38</v>
      </c>
      <c r="BF2191" s="111">
        <f t="shared" si="1636"/>
        <v>3</v>
      </c>
      <c r="BG2191" s="111">
        <f t="shared" si="1606"/>
        <v>3</v>
      </c>
      <c r="BH2191" s="111">
        <f t="shared" si="1611"/>
        <v>3</v>
      </c>
      <c r="BI2191" s="111">
        <f t="shared" si="1612"/>
        <v>43.275956284153004</v>
      </c>
      <c r="BJ2191" s="129">
        <f t="shared" si="1626"/>
        <v>0</v>
      </c>
      <c r="BK2191" s="129">
        <f t="shared" si="1613"/>
        <v>0</v>
      </c>
      <c r="BL2191" s="129" t="str">
        <f t="shared" si="1601"/>
        <v>CONVICTION</v>
      </c>
      <c r="BM2191" s="129" t="str">
        <f t="shared" si="1627"/>
        <v>NONE</v>
      </c>
      <c r="BN2191" s="129" t="s">
        <v>566</v>
      </c>
      <c r="BP2191" s="137" t="str">
        <f t="shared" si="1617"/>
        <v>CONVICTION</v>
      </c>
      <c r="BQ2191" s="128" t="str">
        <f t="shared" si="1618"/>
        <v>Y</v>
      </c>
      <c r="BR2191" s="129" t="str">
        <f t="shared" si="1628"/>
        <v>DETAINED</v>
      </c>
      <c r="BS2191" s="129" t="str">
        <f t="shared" si="1619"/>
        <v>DISPOSED</v>
      </c>
      <c r="BT2191" s="129" t="str">
        <f t="shared" si="1620"/>
        <v>Y</v>
      </c>
      <c r="BU2191" s="109">
        <f t="shared" si="1629"/>
        <v>1</v>
      </c>
      <c r="BV2191" s="109">
        <f t="shared" si="1630"/>
        <v>1</v>
      </c>
      <c r="BW2191" s="109">
        <f t="shared" si="1596"/>
        <v>0</v>
      </c>
      <c r="BX2191" s="111">
        <f t="shared" si="1621"/>
        <v>0</v>
      </c>
      <c r="BY2191" s="129">
        <f t="shared" si="1622"/>
        <v>-3</v>
      </c>
      <c r="BZ2191" s="111">
        <f t="shared" si="1623"/>
        <v>0</v>
      </c>
      <c r="CA2191" s="138">
        <f t="shared" si="1624"/>
        <v>3</v>
      </c>
      <c r="CB2191" s="111" t="e">
        <f t="shared" si="1637"/>
        <v>#VALUE!</v>
      </c>
      <c r="CC2191" s="129">
        <f>G2191-I2191+1</f>
        <v>3</v>
      </c>
      <c r="CD2191" s="129">
        <f>G2191-J2191</f>
        <v>0</v>
      </c>
      <c r="CG2191" s="129" t="str">
        <f t="shared" si="1625"/>
        <v>Y</v>
      </c>
      <c r="CI2191" s="129" t="str">
        <f t="shared" si="1633"/>
        <v>0-10 DAYS</v>
      </c>
      <c r="CJ2191" s="137">
        <f t="shared" si="1634"/>
        <v>1</v>
      </c>
      <c r="CK2191" s="129" t="str">
        <f t="shared" si="1635"/>
        <v>Booked</v>
      </c>
    </row>
    <row r="2192" spans="1:89" ht="15" customHeight="1" x14ac:dyDescent="0.25">
      <c r="A2192" s="111">
        <v>1488</v>
      </c>
      <c r="B2192" s="128" t="str">
        <f t="shared" si="1614"/>
        <v>Y</v>
      </c>
      <c r="C2192" s="128" t="str">
        <f t="shared" si="1615"/>
        <v>Y</v>
      </c>
      <c r="D2192" s="117">
        <v>2461443</v>
      </c>
      <c r="E2192" s="135">
        <f t="shared" si="1616"/>
        <v>4</v>
      </c>
      <c r="F2192" s="124">
        <v>40963</v>
      </c>
      <c r="G2192" s="125">
        <v>41138</v>
      </c>
      <c r="H2192" s="117">
        <v>2461443</v>
      </c>
      <c r="I2192" s="124">
        <v>40964</v>
      </c>
      <c r="J2192" s="124">
        <v>40966</v>
      </c>
      <c r="K2192" s="126">
        <v>5000</v>
      </c>
      <c r="L2192" s="127" t="s">
        <v>569</v>
      </c>
      <c r="M2192" s="125">
        <v>40966</v>
      </c>
      <c r="N2192" s="129" t="str">
        <f>IF(M2192&gt;1/1/1,"Y","N")</f>
        <v>Y</v>
      </c>
      <c r="O2192" s="128" t="s">
        <v>76</v>
      </c>
      <c r="P2192" s="129" t="s">
        <v>39</v>
      </c>
      <c r="Q2192" s="111">
        <v>8</v>
      </c>
      <c r="R2192" s="111">
        <f t="shared" si="1595"/>
        <v>176</v>
      </c>
      <c r="S2192" s="129">
        <v>0</v>
      </c>
      <c r="T2192" s="129">
        <v>1</v>
      </c>
      <c r="U2192" s="129">
        <v>2</v>
      </c>
      <c r="W2192" s="111"/>
      <c r="AC2192" s="130"/>
      <c r="AD2192" s="130">
        <v>33011</v>
      </c>
      <c r="AE2192" s="128" t="s">
        <v>32</v>
      </c>
      <c r="AF2192" s="128" t="s">
        <v>40</v>
      </c>
      <c r="AG2192" s="128" t="s">
        <v>41</v>
      </c>
      <c r="AH2192" s="108" t="s">
        <v>41</v>
      </c>
      <c r="AI2192" s="128" t="s">
        <v>47</v>
      </c>
      <c r="AJ2192" s="129" t="s">
        <v>89</v>
      </c>
      <c r="AK2192" s="129">
        <v>6</v>
      </c>
      <c r="AL2192" s="3" t="s">
        <v>991</v>
      </c>
      <c r="AO2192" s="128">
        <v>240</v>
      </c>
      <c r="AP2192" s="129" t="s">
        <v>43</v>
      </c>
      <c r="AR2192" s="128" t="s">
        <v>44</v>
      </c>
      <c r="AS2192" s="129" t="s">
        <v>45</v>
      </c>
      <c r="AV2192" s="3" t="s">
        <v>88</v>
      </c>
      <c r="AW2192" s="123" t="s">
        <v>727</v>
      </c>
      <c r="BA2192" s="125">
        <v>41408</v>
      </c>
      <c r="BB2192" s="129">
        <v>308</v>
      </c>
      <c r="BC2192" s="129" t="s">
        <v>38</v>
      </c>
      <c r="BD2192" s="129" t="s">
        <v>1267</v>
      </c>
      <c r="BF2192" s="111">
        <v>8</v>
      </c>
      <c r="BG2192" s="111">
        <f t="shared" si="1606"/>
        <v>175</v>
      </c>
      <c r="BH2192" s="111">
        <f t="shared" si="1611"/>
        <v>176</v>
      </c>
      <c r="BI2192" s="111">
        <f t="shared" si="1612"/>
        <v>21.726775956284154</v>
      </c>
      <c r="BJ2192" s="129">
        <f>(G2192-J2192)+(M2192-G2192)</f>
        <v>0</v>
      </c>
      <c r="BK2192" s="129">
        <f t="shared" si="1613"/>
        <v>-172</v>
      </c>
      <c r="BL2192" s="129" t="str">
        <f t="shared" si="1601"/>
        <v>CONVICTION</v>
      </c>
      <c r="BM2192" s="129" t="s">
        <v>76</v>
      </c>
      <c r="BN2192" s="129" t="s">
        <v>88</v>
      </c>
      <c r="BP2192" s="137" t="str">
        <f t="shared" si="1617"/>
        <v>CONVICTION</v>
      </c>
      <c r="BQ2192" s="128" t="str">
        <f t="shared" si="1618"/>
        <v>Y</v>
      </c>
      <c r="BR2192" s="129" t="s">
        <v>574</v>
      </c>
      <c r="BS2192" s="129" t="str">
        <f t="shared" si="1619"/>
        <v>DISPOSED</v>
      </c>
      <c r="BT2192" s="129" t="str">
        <f t="shared" si="1620"/>
        <v>N</v>
      </c>
      <c r="BU2192" s="109">
        <f t="shared" si="1629"/>
        <v>4.5454545454545456E-2</v>
      </c>
      <c r="BV2192" s="109">
        <f t="shared" si="1630"/>
        <v>1.7142857142857144E-2</v>
      </c>
      <c r="BW2192" s="109">
        <f t="shared" si="1596"/>
        <v>-2.8311688311688312E-2</v>
      </c>
      <c r="BX2192" s="111">
        <f t="shared" si="1621"/>
        <v>0</v>
      </c>
      <c r="BY2192" s="129">
        <f t="shared" si="1622"/>
        <v>-3</v>
      </c>
      <c r="BZ2192" s="111">
        <f t="shared" si="1623"/>
        <v>5</v>
      </c>
      <c r="CA2192" s="138">
        <f t="shared" si="1624"/>
        <v>175</v>
      </c>
      <c r="CB2192" s="111">
        <v>8</v>
      </c>
      <c r="CC2192" s="129">
        <f>G2192-I2192+1</f>
        <v>175</v>
      </c>
      <c r="CD2192" s="129">
        <f>G2192-J2192</f>
        <v>172</v>
      </c>
      <c r="CG2192" s="129" t="str">
        <f t="shared" si="1625"/>
        <v>Y</v>
      </c>
      <c r="CI2192" s="129" t="str">
        <f t="shared" si="1633"/>
        <v>0-10 DAYS</v>
      </c>
      <c r="CJ2192" s="137">
        <f t="shared" si="1634"/>
        <v>1</v>
      </c>
      <c r="CK2192" s="129" t="str">
        <f t="shared" si="1635"/>
        <v>Booked</v>
      </c>
    </row>
    <row r="2193" spans="1:89" ht="15.75" customHeight="1" x14ac:dyDescent="0.25">
      <c r="A2193" s="111">
        <v>2171</v>
      </c>
      <c r="B2193" s="128" t="str">
        <f t="shared" si="1614"/>
        <v>N</v>
      </c>
      <c r="C2193" s="128" t="str">
        <f t="shared" si="1615"/>
        <v>N</v>
      </c>
      <c r="D2193" s="117">
        <v>2461989</v>
      </c>
      <c r="E2193" s="135">
        <f t="shared" si="1616"/>
        <v>2</v>
      </c>
      <c r="F2193" s="124">
        <v>40990</v>
      </c>
      <c r="G2193" s="125">
        <v>41108</v>
      </c>
      <c r="H2193" s="117">
        <v>2461989</v>
      </c>
      <c r="I2193" s="124">
        <v>40990</v>
      </c>
      <c r="J2193" s="124">
        <v>41108</v>
      </c>
      <c r="K2193" s="126" t="s">
        <v>564</v>
      </c>
      <c r="L2193" s="127" t="s">
        <v>564</v>
      </c>
      <c r="N2193" s="129" t="s">
        <v>566</v>
      </c>
      <c r="O2193" s="128" t="s">
        <v>917</v>
      </c>
      <c r="P2193" s="129" t="s">
        <v>589</v>
      </c>
      <c r="Q2193" s="111">
        <f t="shared" si="1610"/>
        <v>119</v>
      </c>
      <c r="R2193" s="111">
        <f t="shared" si="1595"/>
        <v>119</v>
      </c>
      <c r="S2193" s="129">
        <v>1</v>
      </c>
      <c r="T2193" s="129">
        <v>3</v>
      </c>
      <c r="V2193" s="117">
        <v>1</v>
      </c>
      <c r="W2193" s="111"/>
      <c r="AC2193" s="130"/>
      <c r="AD2193" s="130">
        <v>33854</v>
      </c>
      <c r="AE2193" s="128" t="s">
        <v>32</v>
      </c>
      <c r="AF2193" s="128" t="s">
        <v>33</v>
      </c>
      <c r="AG2193" s="128" t="s">
        <v>872</v>
      </c>
      <c r="AH2193" s="108" t="s">
        <v>31</v>
      </c>
      <c r="AI2193" s="128" t="s">
        <v>72</v>
      </c>
      <c r="AJ2193" s="129" t="s">
        <v>48</v>
      </c>
      <c r="AK2193" s="129">
        <v>5</v>
      </c>
      <c r="AL2193" s="3" t="s">
        <v>48</v>
      </c>
      <c r="AP2193" s="129" t="s">
        <v>60</v>
      </c>
      <c r="AR2193" s="128" t="s">
        <v>44</v>
      </c>
      <c r="AS2193" s="129" t="s">
        <v>61</v>
      </c>
      <c r="AT2193" s="129" t="s">
        <v>409</v>
      </c>
      <c r="AU2193" s="118" t="s">
        <v>827</v>
      </c>
      <c r="AX2193" s="32"/>
      <c r="BC2193" s="129" t="s">
        <v>38</v>
      </c>
      <c r="BF2193" s="111">
        <f t="shared" si="1636"/>
        <v>119</v>
      </c>
      <c r="BG2193" s="111">
        <f t="shared" si="1606"/>
        <v>119</v>
      </c>
      <c r="BH2193" s="111">
        <f t="shared" si="1611"/>
        <v>119</v>
      </c>
      <c r="BI2193" s="111">
        <f t="shared" si="1612"/>
        <v>19.497267759562842</v>
      </c>
      <c r="BJ2193" s="129">
        <f t="shared" si="1626"/>
        <v>0</v>
      </c>
      <c r="BK2193" s="129">
        <f t="shared" si="1613"/>
        <v>0</v>
      </c>
      <c r="BL2193" s="129" t="str">
        <f t="shared" si="1601"/>
        <v>DEFERRED</v>
      </c>
      <c r="BM2193" s="129" t="str">
        <f t="shared" si="1627"/>
        <v>NONE</v>
      </c>
      <c r="BN2193" s="129" t="s">
        <v>566</v>
      </c>
      <c r="BP2193" s="137" t="str">
        <f t="shared" si="1617"/>
        <v>DEFERRED</v>
      </c>
      <c r="BQ2193" s="128" t="str">
        <f t="shared" si="1618"/>
        <v>Y</v>
      </c>
      <c r="BR2193" s="129" t="str">
        <f t="shared" si="1628"/>
        <v>DETAINED</v>
      </c>
      <c r="BS2193" s="129" t="str">
        <f t="shared" si="1619"/>
        <v>DISPOSED</v>
      </c>
      <c r="BT2193" s="129" t="str">
        <f t="shared" si="1620"/>
        <v>Y</v>
      </c>
      <c r="BU2193" s="109">
        <f t="shared" si="1629"/>
        <v>1</v>
      </c>
      <c r="BV2193" s="109">
        <f t="shared" si="1630"/>
        <v>1</v>
      </c>
      <c r="BW2193" s="109">
        <f t="shared" si="1596"/>
        <v>0</v>
      </c>
      <c r="BX2193" s="111">
        <f t="shared" si="1621"/>
        <v>0</v>
      </c>
      <c r="BY2193" s="129">
        <f t="shared" si="1622"/>
        <v>-119</v>
      </c>
      <c r="BZ2193" s="111">
        <f t="shared" si="1623"/>
        <v>0</v>
      </c>
      <c r="CA2193" s="138">
        <f t="shared" si="1624"/>
        <v>119</v>
      </c>
      <c r="CB2193" s="111" t="e">
        <f t="shared" si="1637"/>
        <v>#VALUE!</v>
      </c>
      <c r="CC2193" s="129">
        <f>G2193-I2193+1</f>
        <v>119</v>
      </c>
      <c r="CD2193" s="129">
        <f>G2193-J2193</f>
        <v>0</v>
      </c>
      <c r="CG2193" s="129" t="str">
        <f t="shared" si="1625"/>
        <v>Y</v>
      </c>
      <c r="CI2193" s="129" t="str">
        <f t="shared" si="1633"/>
        <v>91-120 DAYS</v>
      </c>
      <c r="CJ2193" s="137">
        <f t="shared" si="1634"/>
        <v>0</v>
      </c>
      <c r="CK2193" s="129" t="str">
        <f t="shared" si="1635"/>
        <v>Booked</v>
      </c>
    </row>
    <row r="2194" spans="1:89" ht="15" customHeight="1" x14ac:dyDescent="0.25">
      <c r="A2194" s="111">
        <v>1746</v>
      </c>
      <c r="B2194" s="128" t="str">
        <f t="shared" si="1614"/>
        <v>N</v>
      </c>
      <c r="C2194" s="128" t="str">
        <f t="shared" si="1615"/>
        <v>N</v>
      </c>
      <c r="D2194" s="117">
        <v>2462003</v>
      </c>
      <c r="E2194" s="135">
        <f t="shared" si="1616"/>
        <v>1</v>
      </c>
      <c r="F2194" s="124">
        <v>40974</v>
      </c>
      <c r="G2194" s="125">
        <v>40991</v>
      </c>
      <c r="H2194" s="117">
        <v>2462003</v>
      </c>
      <c r="I2194" s="124">
        <v>40974</v>
      </c>
      <c r="J2194" s="124">
        <v>40976</v>
      </c>
      <c r="K2194" s="126">
        <v>2000</v>
      </c>
      <c r="L2194" s="127" t="s">
        <v>568</v>
      </c>
      <c r="M2194" s="125">
        <v>40976</v>
      </c>
      <c r="N2194" s="129" t="str">
        <f>IF(M2194&gt;1/1/1,"Y","N")</f>
        <v>Y</v>
      </c>
      <c r="O2194" s="128" t="s">
        <v>76</v>
      </c>
      <c r="P2194" s="129" t="s">
        <v>55</v>
      </c>
      <c r="Q2194" s="111">
        <f t="shared" si="1610"/>
        <v>3</v>
      </c>
      <c r="R2194" s="111">
        <f t="shared" ref="R2194:R2257" si="1639">BH2194</f>
        <v>18</v>
      </c>
      <c r="S2194" s="129">
        <v>1</v>
      </c>
      <c r="T2194" s="129">
        <v>1</v>
      </c>
      <c r="V2194" s="117">
        <v>1</v>
      </c>
      <c r="W2194" s="111"/>
      <c r="AC2194" s="130"/>
      <c r="AD2194" s="130">
        <v>33501</v>
      </c>
      <c r="AE2194" s="128" t="s">
        <v>32</v>
      </c>
      <c r="AF2194" s="128" t="s">
        <v>69</v>
      </c>
      <c r="AG2194" s="128" t="s">
        <v>874</v>
      </c>
      <c r="AH2194" s="108" t="s">
        <v>58</v>
      </c>
      <c r="AI2194" s="128" t="s">
        <v>97</v>
      </c>
      <c r="AJ2194" s="129" t="s">
        <v>55</v>
      </c>
      <c r="AK2194" s="129">
        <v>2</v>
      </c>
      <c r="AL2194" s="3" t="s">
        <v>55</v>
      </c>
      <c r="AP2194" s="129" t="s">
        <v>121</v>
      </c>
      <c r="AR2194" s="128" t="s">
        <v>44</v>
      </c>
      <c r="AS2194" s="129" t="s">
        <v>122</v>
      </c>
      <c r="BC2194" s="129" t="s">
        <v>79</v>
      </c>
      <c r="BF2194" s="111">
        <f t="shared" si="1636"/>
        <v>3</v>
      </c>
      <c r="BG2194" s="111">
        <f t="shared" si="1606"/>
        <v>18</v>
      </c>
      <c r="BH2194" s="111">
        <f t="shared" si="1611"/>
        <v>18</v>
      </c>
      <c r="BI2194" s="111">
        <f t="shared" si="1612"/>
        <v>20.418032786885245</v>
      </c>
      <c r="BJ2194" s="129">
        <f>(G2194-J2194)+(M2194-G2194)</f>
        <v>0</v>
      </c>
      <c r="BK2194" s="129">
        <f t="shared" si="1613"/>
        <v>-15</v>
      </c>
      <c r="BL2194" s="129" t="str">
        <f t="shared" si="1601"/>
        <v>NO CONVICTION</v>
      </c>
      <c r="BM2194" s="129" t="s">
        <v>76</v>
      </c>
      <c r="BN2194" s="129" t="s">
        <v>88</v>
      </c>
      <c r="BP2194" s="137" t="str">
        <f t="shared" si="1617"/>
        <v>NO CONVICTION</v>
      </c>
      <c r="BQ2194" s="128" t="str">
        <f t="shared" si="1618"/>
        <v>Y</v>
      </c>
      <c r="BR2194" s="129" t="str">
        <f t="shared" si="1628"/>
        <v>ON BOND</v>
      </c>
      <c r="BS2194" s="129" t="str">
        <f t="shared" si="1619"/>
        <v>DISPOSED</v>
      </c>
      <c r="BT2194" s="129" t="str">
        <f t="shared" si="1620"/>
        <v>Y</v>
      </c>
      <c r="BU2194" s="109">
        <f>IFERROR(Q2194/R2194,BR2194)</f>
        <v>0.16666666666666666</v>
      </c>
      <c r="BV2194" s="109">
        <f t="shared" si="1630"/>
        <v>0.16666666666666666</v>
      </c>
      <c r="BW2194" s="109">
        <f t="shared" si="1596"/>
        <v>0</v>
      </c>
      <c r="BX2194" s="111">
        <f t="shared" si="1621"/>
        <v>0</v>
      </c>
      <c r="BY2194" s="129">
        <f t="shared" si="1622"/>
        <v>-3</v>
      </c>
      <c r="BZ2194" s="111">
        <f t="shared" si="1623"/>
        <v>0</v>
      </c>
      <c r="CA2194" s="138">
        <f t="shared" si="1624"/>
        <v>3</v>
      </c>
      <c r="CB2194" s="111" t="e">
        <f t="shared" si="1637"/>
        <v>#VALUE!</v>
      </c>
      <c r="CC2194" s="129">
        <f>M2194-I2194+1</f>
        <v>3</v>
      </c>
      <c r="CD2194" s="111">
        <f>CC2194-BF2194</f>
        <v>0</v>
      </c>
      <c r="CG2194" s="129" t="str">
        <f t="shared" si="1625"/>
        <v>Y</v>
      </c>
      <c r="CI2194" s="129" t="str">
        <f t="shared" si="1633"/>
        <v>0-10 DAYS</v>
      </c>
      <c r="CJ2194" s="137">
        <f t="shared" si="1634"/>
        <v>1</v>
      </c>
      <c r="CK2194" s="129" t="str">
        <f t="shared" si="1635"/>
        <v>Booked</v>
      </c>
    </row>
    <row r="2195" spans="1:89" ht="15" customHeight="1" x14ac:dyDescent="0.25">
      <c r="A2195" s="111">
        <v>2349</v>
      </c>
      <c r="B2195" s="128" t="str">
        <f t="shared" si="1614"/>
        <v>N</v>
      </c>
      <c r="C2195" s="128" t="str">
        <f t="shared" si="1615"/>
        <v>N</v>
      </c>
      <c r="D2195" s="117">
        <v>2464095</v>
      </c>
      <c r="E2195" s="135">
        <f t="shared" si="1616"/>
        <v>6</v>
      </c>
      <c r="F2195" s="124">
        <v>40997</v>
      </c>
      <c r="G2195" s="125">
        <v>41151</v>
      </c>
      <c r="H2195" s="117">
        <v>2464095</v>
      </c>
      <c r="I2195" s="124">
        <v>41009</v>
      </c>
      <c r="J2195" s="124">
        <v>41151</v>
      </c>
      <c r="K2195" s="126" t="s">
        <v>564</v>
      </c>
      <c r="L2195" s="127" t="s">
        <v>564</v>
      </c>
      <c r="N2195" s="129" t="s">
        <v>566</v>
      </c>
      <c r="O2195" s="128" t="s">
        <v>917</v>
      </c>
      <c r="P2195" s="129" t="s">
        <v>77</v>
      </c>
      <c r="Q2195" s="111">
        <f t="shared" si="1610"/>
        <v>143</v>
      </c>
      <c r="R2195" s="111">
        <f t="shared" si="1639"/>
        <v>155</v>
      </c>
      <c r="S2195" s="129">
        <v>1</v>
      </c>
      <c r="T2195" s="129">
        <v>0</v>
      </c>
      <c r="V2195" s="117">
        <v>1</v>
      </c>
      <c r="W2195" s="111"/>
      <c r="AC2195" s="130"/>
      <c r="AD2195" s="130">
        <v>33847</v>
      </c>
      <c r="AE2195" s="128" t="s">
        <v>32</v>
      </c>
      <c r="AF2195" s="128" t="s">
        <v>33</v>
      </c>
      <c r="AG2195" s="128" t="s">
        <v>872</v>
      </c>
      <c r="AH2195" s="108" t="s">
        <v>58</v>
      </c>
      <c r="AI2195" s="128" t="s">
        <v>53</v>
      </c>
      <c r="AJ2195" s="129" t="s">
        <v>89</v>
      </c>
      <c r="AK2195" s="129">
        <v>8</v>
      </c>
      <c r="AL2195" s="3" t="s">
        <v>362</v>
      </c>
      <c r="AM2195" s="117">
        <v>2</v>
      </c>
      <c r="AP2195" s="129" t="s">
        <v>342</v>
      </c>
      <c r="AR2195" s="128" t="s">
        <v>67</v>
      </c>
      <c r="AS2195" s="129" t="s">
        <v>64</v>
      </c>
      <c r="BC2195" s="129" t="s">
        <v>52</v>
      </c>
      <c r="BF2195" s="111">
        <f t="shared" si="1636"/>
        <v>143</v>
      </c>
      <c r="BG2195" s="111">
        <f t="shared" si="1606"/>
        <v>143</v>
      </c>
      <c r="BH2195" s="111">
        <f t="shared" si="1611"/>
        <v>155</v>
      </c>
      <c r="BI2195" s="111">
        <f t="shared" si="1612"/>
        <v>19.535519125683059</v>
      </c>
      <c r="BJ2195" s="129">
        <f t="shared" si="1626"/>
        <v>0</v>
      </c>
      <c r="BK2195" s="129">
        <f t="shared" si="1613"/>
        <v>0</v>
      </c>
      <c r="BL2195" s="129" t="str">
        <f t="shared" si="1601"/>
        <v>CONVICTION</v>
      </c>
      <c r="BM2195" s="129" t="str">
        <f t="shared" si="1627"/>
        <v>NONE</v>
      </c>
      <c r="BN2195" s="129" t="s">
        <v>566</v>
      </c>
      <c r="BP2195" s="137" t="str">
        <f t="shared" si="1617"/>
        <v>CONVICTION</v>
      </c>
      <c r="BQ2195" s="128" t="str">
        <f t="shared" si="1618"/>
        <v>Y</v>
      </c>
      <c r="BR2195" s="129" t="str">
        <f t="shared" si="1628"/>
        <v>DETAINED</v>
      </c>
      <c r="BS2195" s="129" t="str">
        <f t="shared" si="1619"/>
        <v>DISPOSED</v>
      </c>
      <c r="BT2195" s="129" t="str">
        <f t="shared" si="1620"/>
        <v>Y</v>
      </c>
      <c r="BU2195" s="109">
        <f t="shared" si="1629"/>
        <v>0.92258064516129035</v>
      </c>
      <c r="BV2195" s="109">
        <f t="shared" si="1630"/>
        <v>1</v>
      </c>
      <c r="BW2195" s="109">
        <f t="shared" ref="BW2195:BW2205" si="1640">BV2195-BU2195</f>
        <v>7.7419354838709653E-2</v>
      </c>
      <c r="BX2195" s="111">
        <f t="shared" si="1621"/>
        <v>0</v>
      </c>
      <c r="BY2195" s="129">
        <f t="shared" si="1622"/>
        <v>-143</v>
      </c>
      <c r="BZ2195" s="111">
        <f t="shared" si="1623"/>
        <v>0</v>
      </c>
      <c r="CA2195" s="138">
        <f t="shared" si="1624"/>
        <v>143</v>
      </c>
      <c r="CB2195" s="111" t="e">
        <f t="shared" si="1637"/>
        <v>#VALUE!</v>
      </c>
      <c r="CC2195" s="129">
        <f t="shared" ref="CC2195:CC2201" si="1641">G2195-I2195+1</f>
        <v>143</v>
      </c>
      <c r="CD2195" s="129">
        <f t="shared" ref="CD2195:CD2201" si="1642">G2195-J2195</f>
        <v>0</v>
      </c>
      <c r="CG2195" s="129" t="str">
        <f t="shared" si="1625"/>
        <v>Y</v>
      </c>
      <c r="CI2195" s="129" t="str">
        <f t="shared" si="1633"/>
        <v>121-365 DAYS</v>
      </c>
      <c r="CJ2195" s="137">
        <f t="shared" si="1634"/>
        <v>6</v>
      </c>
      <c r="CK2195" s="129" t="str">
        <f t="shared" si="1635"/>
        <v>Booked</v>
      </c>
    </row>
    <row r="2196" spans="1:89" ht="15" customHeight="1" x14ac:dyDescent="0.25">
      <c r="A2196" s="111">
        <v>1243</v>
      </c>
      <c r="B2196" s="128" t="str">
        <f t="shared" si="1614"/>
        <v>N</v>
      </c>
      <c r="C2196" s="128" t="str">
        <f t="shared" si="1615"/>
        <v>N</v>
      </c>
      <c r="D2196" s="117">
        <v>2464112</v>
      </c>
      <c r="E2196" s="135">
        <f t="shared" si="1616"/>
        <v>2</v>
      </c>
      <c r="F2196" s="124">
        <v>40954</v>
      </c>
      <c r="G2196" s="125">
        <v>40991</v>
      </c>
      <c r="H2196" s="117">
        <v>2464112</v>
      </c>
      <c r="I2196" s="124">
        <v>40990</v>
      </c>
      <c r="J2196" s="124">
        <v>40991</v>
      </c>
      <c r="K2196" s="126">
        <v>10000</v>
      </c>
      <c r="L2196" s="127" t="s">
        <v>570</v>
      </c>
      <c r="N2196" s="129" t="str">
        <f t="shared" ref="N2196:N2201" si="1643">IF(M2196&gt;1/1/1,"Y","N")</f>
        <v>N</v>
      </c>
      <c r="O2196" s="128" t="s">
        <v>917</v>
      </c>
      <c r="P2196" s="129" t="s">
        <v>589</v>
      </c>
      <c r="Q2196" s="111">
        <f t="shared" si="1610"/>
        <v>2</v>
      </c>
      <c r="R2196" s="111">
        <f t="shared" si="1639"/>
        <v>38</v>
      </c>
      <c r="S2196" s="129">
        <v>1</v>
      </c>
      <c r="T2196" s="129">
        <v>2</v>
      </c>
      <c r="W2196" s="111"/>
      <c r="AC2196" s="130"/>
      <c r="AD2196" s="130">
        <v>33778</v>
      </c>
      <c r="AE2196" s="128" t="s">
        <v>32</v>
      </c>
      <c r="AF2196" s="128" t="s">
        <v>33</v>
      </c>
      <c r="AG2196" s="128" t="s">
        <v>872</v>
      </c>
      <c r="AH2196" s="108" t="s">
        <v>31</v>
      </c>
      <c r="AI2196" s="128" t="s">
        <v>114</v>
      </c>
      <c r="AJ2196" s="129" t="s">
        <v>48</v>
      </c>
      <c r="AK2196" s="129">
        <v>2</v>
      </c>
      <c r="AL2196" s="3" t="s">
        <v>48</v>
      </c>
      <c r="AP2196" s="129" t="s">
        <v>56</v>
      </c>
      <c r="AR2196" s="128" t="s">
        <v>50</v>
      </c>
      <c r="AS2196" s="129" t="s">
        <v>57</v>
      </c>
      <c r="AT2196" s="129" t="s">
        <v>311</v>
      </c>
      <c r="BC2196" s="129" t="s">
        <v>38</v>
      </c>
      <c r="BF2196" s="111">
        <f t="shared" si="1636"/>
        <v>2</v>
      </c>
      <c r="BG2196" s="111">
        <f t="shared" ref="BG2196:BG2201" si="1644">IF(G2196&gt;1/1/1900,((G2196+1)-I2196),"STILL OPEN")</f>
        <v>2</v>
      </c>
      <c r="BH2196" s="111">
        <f t="shared" si="1611"/>
        <v>38</v>
      </c>
      <c r="BI2196" s="111">
        <f t="shared" si="1612"/>
        <v>19.606557377049182</v>
      </c>
      <c r="BJ2196" s="129">
        <f t="shared" si="1626"/>
        <v>0</v>
      </c>
      <c r="BK2196" s="129">
        <f t="shared" si="1613"/>
        <v>0</v>
      </c>
      <c r="BL2196" s="129" t="str">
        <f t="shared" si="1601"/>
        <v>DEFERRED</v>
      </c>
      <c r="BM2196" s="129" t="str">
        <f t="shared" si="1627"/>
        <v>NONE</v>
      </c>
      <c r="BN2196" s="129" t="s">
        <v>566</v>
      </c>
      <c r="BP2196" s="137" t="str">
        <f t="shared" si="1617"/>
        <v>DEFERRED</v>
      </c>
      <c r="BQ2196" s="128" t="str">
        <f t="shared" si="1618"/>
        <v>Y</v>
      </c>
      <c r="BR2196" s="129" t="str">
        <f t="shared" si="1628"/>
        <v>DETAINED</v>
      </c>
      <c r="BS2196" s="129" t="str">
        <f t="shared" si="1619"/>
        <v>DISPOSED</v>
      </c>
      <c r="BT2196" s="129" t="str">
        <f t="shared" si="1620"/>
        <v>Y</v>
      </c>
      <c r="BU2196" s="109">
        <f t="shared" si="1629"/>
        <v>5.2631578947368418E-2</v>
      </c>
      <c r="BV2196" s="109">
        <f t="shared" si="1630"/>
        <v>1</v>
      </c>
      <c r="BW2196" s="109">
        <f t="shared" si="1640"/>
        <v>0.94736842105263164</v>
      </c>
      <c r="BX2196" s="111">
        <f t="shared" si="1621"/>
        <v>0</v>
      </c>
      <c r="BY2196" s="129">
        <f t="shared" si="1622"/>
        <v>-2</v>
      </c>
      <c r="BZ2196" s="111">
        <f t="shared" si="1623"/>
        <v>0</v>
      </c>
      <c r="CA2196" s="138">
        <f t="shared" si="1624"/>
        <v>2</v>
      </c>
      <c r="CB2196" s="111" t="e">
        <f t="shared" si="1637"/>
        <v>#VALUE!</v>
      </c>
      <c r="CC2196" s="129">
        <f t="shared" si="1641"/>
        <v>2</v>
      </c>
      <c r="CD2196" s="129">
        <f t="shared" si="1642"/>
        <v>0</v>
      </c>
      <c r="CG2196" s="129" t="str">
        <f t="shared" si="1625"/>
        <v>Y</v>
      </c>
      <c r="CI2196" s="129" t="str">
        <f t="shared" si="1633"/>
        <v>0-10 DAYS</v>
      </c>
      <c r="CJ2196" s="137">
        <f t="shared" si="1634"/>
        <v>1</v>
      </c>
      <c r="CK2196" s="129" t="str">
        <f t="shared" si="1635"/>
        <v>Booked</v>
      </c>
    </row>
    <row r="2197" spans="1:89" ht="15" customHeight="1" x14ac:dyDescent="0.25">
      <c r="A2197" s="111">
        <v>1977</v>
      </c>
      <c r="B2197" s="128" t="str">
        <f t="shared" si="1614"/>
        <v>N</v>
      </c>
      <c r="C2197" s="128" t="str">
        <f t="shared" si="1615"/>
        <v>N</v>
      </c>
      <c r="D2197" s="117">
        <v>2464167</v>
      </c>
      <c r="E2197" s="135">
        <f t="shared" si="1616"/>
        <v>2</v>
      </c>
      <c r="F2197" s="124">
        <v>40982</v>
      </c>
      <c r="G2197" s="125">
        <v>40984</v>
      </c>
      <c r="H2197" s="117">
        <v>2464167</v>
      </c>
      <c r="I2197" s="124">
        <v>40983</v>
      </c>
      <c r="J2197" s="124">
        <v>40984</v>
      </c>
      <c r="K2197" s="126">
        <v>10000</v>
      </c>
      <c r="L2197" s="127" t="s">
        <v>570</v>
      </c>
      <c r="N2197" s="129" t="str">
        <f t="shared" si="1643"/>
        <v>N</v>
      </c>
      <c r="O2197" s="128" t="s">
        <v>917</v>
      </c>
      <c r="P2197" s="129" t="s">
        <v>589</v>
      </c>
      <c r="Q2197" s="111">
        <f t="shared" si="1610"/>
        <v>2</v>
      </c>
      <c r="R2197" s="111">
        <f t="shared" si="1639"/>
        <v>3</v>
      </c>
      <c r="S2197" s="129">
        <v>0</v>
      </c>
      <c r="T2197" s="129">
        <v>3</v>
      </c>
      <c r="W2197" s="111"/>
      <c r="AB2197" s="131" t="s">
        <v>112</v>
      </c>
      <c r="AC2197" s="130"/>
      <c r="AD2197" s="130">
        <v>32540</v>
      </c>
      <c r="AE2197" s="128" t="s">
        <v>32</v>
      </c>
      <c r="AF2197" s="128" t="s">
        <v>40</v>
      </c>
      <c r="AG2197" s="128" t="s">
        <v>41</v>
      </c>
      <c r="AH2197" s="108" t="s">
        <v>31</v>
      </c>
      <c r="AI2197" s="128" t="s">
        <v>72</v>
      </c>
      <c r="AJ2197" s="129" t="s">
        <v>48</v>
      </c>
      <c r="AK2197" s="129">
        <v>1</v>
      </c>
      <c r="AL2197" s="3" t="s">
        <v>48</v>
      </c>
      <c r="AP2197" s="129" t="s">
        <v>49</v>
      </c>
      <c r="AR2197" s="128" t="s">
        <v>50</v>
      </c>
      <c r="AS2197" s="129" t="s">
        <v>45</v>
      </c>
      <c r="BC2197" s="129" t="s">
        <v>38</v>
      </c>
      <c r="BF2197" s="111">
        <f t="shared" si="1636"/>
        <v>2</v>
      </c>
      <c r="BG2197" s="111">
        <f t="shared" si="1644"/>
        <v>2</v>
      </c>
      <c r="BH2197" s="111">
        <f t="shared" si="1611"/>
        <v>3</v>
      </c>
      <c r="BI2197" s="111">
        <f t="shared" si="1612"/>
        <v>23.065573770491802</v>
      </c>
      <c r="BJ2197" s="129">
        <f t="shared" si="1626"/>
        <v>0</v>
      </c>
      <c r="BK2197" s="129">
        <f t="shared" si="1613"/>
        <v>0</v>
      </c>
      <c r="BL2197" s="129" t="str">
        <f t="shared" ref="BL2197:BL2230" si="1645">IF(OR(AL2197="AQUITTAL",AL2197="DISMISSED",AL2197="FINE",AL2197="NO BILL"),"NO CONVICTION",IF(OR(AL2197="HCJ",AL2197="MHH",AL2197="PROBATION",AL2197="STJ",AL2197="TDC"),"CONVICTION",IF(AL2197="DEFERRED","DEFERRED",0)))</f>
        <v>DEFERRED</v>
      </c>
      <c r="BM2197" s="129" t="str">
        <f t="shared" si="1627"/>
        <v>NONE</v>
      </c>
      <c r="BN2197" s="129" t="s">
        <v>566</v>
      </c>
      <c r="BP2197" s="137" t="str">
        <f t="shared" si="1617"/>
        <v>DEFERRED</v>
      </c>
      <c r="BQ2197" s="128" t="str">
        <f t="shared" si="1618"/>
        <v>Y</v>
      </c>
      <c r="BR2197" s="129" t="str">
        <f t="shared" si="1628"/>
        <v>DETAINED</v>
      </c>
      <c r="BS2197" s="129" t="str">
        <f t="shared" si="1619"/>
        <v>DISPOSED</v>
      </c>
      <c r="BT2197" s="129" t="str">
        <f t="shared" si="1620"/>
        <v>N</v>
      </c>
      <c r="BU2197" s="109">
        <f t="shared" si="1629"/>
        <v>0.66666666666666663</v>
      </c>
      <c r="BV2197" s="109">
        <f t="shared" si="1630"/>
        <v>1</v>
      </c>
      <c r="BW2197" s="109">
        <f t="shared" si="1640"/>
        <v>0.33333333333333337</v>
      </c>
      <c r="BX2197" s="111">
        <f t="shared" si="1621"/>
        <v>0</v>
      </c>
      <c r="BY2197" s="129">
        <f t="shared" si="1622"/>
        <v>-2</v>
      </c>
      <c r="BZ2197" s="111">
        <f t="shared" si="1623"/>
        <v>0</v>
      </c>
      <c r="CA2197" s="138">
        <f t="shared" si="1624"/>
        <v>2</v>
      </c>
      <c r="CB2197" s="111" t="e">
        <f t="shared" si="1637"/>
        <v>#VALUE!</v>
      </c>
      <c r="CC2197" s="129">
        <f t="shared" si="1641"/>
        <v>2</v>
      </c>
      <c r="CD2197" s="129">
        <f t="shared" si="1642"/>
        <v>0</v>
      </c>
      <c r="CG2197" s="129" t="str">
        <f t="shared" si="1625"/>
        <v>Y</v>
      </c>
      <c r="CI2197" s="129" t="str">
        <f t="shared" si="1633"/>
        <v>0-10 DAYS</v>
      </c>
      <c r="CJ2197" s="137">
        <f t="shared" si="1634"/>
        <v>1</v>
      </c>
      <c r="CK2197" s="129" t="str">
        <f t="shared" si="1635"/>
        <v>Booked</v>
      </c>
    </row>
    <row r="2198" spans="1:89" ht="15.75" customHeight="1" x14ac:dyDescent="0.25">
      <c r="A2198" s="111">
        <v>199</v>
      </c>
      <c r="B2198" s="128" t="str">
        <f t="shared" si="1614"/>
        <v>N</v>
      </c>
      <c r="C2198" s="128" t="str">
        <f t="shared" si="1615"/>
        <v>Y</v>
      </c>
      <c r="D2198" s="117">
        <v>2464383</v>
      </c>
      <c r="E2198" s="135">
        <f t="shared" si="1616"/>
        <v>6</v>
      </c>
      <c r="F2198" s="124">
        <v>40917</v>
      </c>
      <c r="G2198" s="125">
        <v>41107</v>
      </c>
      <c r="H2198" s="117">
        <v>2464383</v>
      </c>
      <c r="I2198" s="124">
        <v>40918</v>
      </c>
      <c r="J2198" s="124">
        <v>40921</v>
      </c>
      <c r="K2198" s="126">
        <v>10000</v>
      </c>
      <c r="L2198" s="127" t="s">
        <v>570</v>
      </c>
      <c r="M2198" s="125">
        <v>40921</v>
      </c>
      <c r="N2198" s="129" t="str">
        <f t="shared" si="1643"/>
        <v>Y</v>
      </c>
      <c r="O2198" s="128" t="s">
        <v>76</v>
      </c>
      <c r="P2198" s="129" t="s">
        <v>39</v>
      </c>
      <c r="Q2198" s="111">
        <v>43</v>
      </c>
      <c r="R2198" s="111">
        <f t="shared" si="1639"/>
        <v>191</v>
      </c>
      <c r="S2198" s="129">
        <v>1</v>
      </c>
      <c r="T2198" s="129">
        <v>2</v>
      </c>
      <c r="U2198" s="129">
        <v>1</v>
      </c>
      <c r="W2198" s="111"/>
      <c r="AC2198" s="130"/>
      <c r="AD2198" s="130">
        <v>33903</v>
      </c>
      <c r="AE2198" s="128" t="s">
        <v>32</v>
      </c>
      <c r="AF2198" s="128" t="s">
        <v>33</v>
      </c>
      <c r="AG2198" s="128" t="s">
        <v>872</v>
      </c>
      <c r="AH2198" s="108" t="s">
        <v>58</v>
      </c>
      <c r="AI2198" s="128" t="s">
        <v>100</v>
      </c>
      <c r="AJ2198" s="129" t="s">
        <v>89</v>
      </c>
      <c r="AK2198" s="129">
        <v>11</v>
      </c>
      <c r="AL2198" s="3" t="s">
        <v>362</v>
      </c>
      <c r="AM2198" s="117">
        <v>2</v>
      </c>
      <c r="AP2198" s="129" t="s">
        <v>56</v>
      </c>
      <c r="AR2198" s="128" t="s">
        <v>50</v>
      </c>
      <c r="AS2198" s="129" t="s">
        <v>57</v>
      </c>
      <c r="AT2198" s="129" t="s">
        <v>1089</v>
      </c>
      <c r="AU2198" s="121"/>
      <c r="AV2198" s="121" t="s">
        <v>88</v>
      </c>
      <c r="AW2198" s="123" t="s">
        <v>687</v>
      </c>
      <c r="AX2198" s="123"/>
      <c r="BA2198" s="125">
        <v>41110</v>
      </c>
      <c r="BB2198" s="129">
        <v>235</v>
      </c>
      <c r="BC2198" s="129" t="s">
        <v>38</v>
      </c>
      <c r="BF2198" s="111">
        <v>43</v>
      </c>
      <c r="BG2198" s="111">
        <f t="shared" si="1644"/>
        <v>190</v>
      </c>
      <c r="BH2198" s="111">
        <f t="shared" si="1611"/>
        <v>191</v>
      </c>
      <c r="BI2198" s="111">
        <f t="shared" si="1612"/>
        <v>19.16393442622951</v>
      </c>
      <c r="BJ2198" s="129">
        <f>(G2198-J2198)+(M2198-G2198)</f>
        <v>0</v>
      </c>
      <c r="BK2198" s="129">
        <f t="shared" si="1613"/>
        <v>-186</v>
      </c>
      <c r="BL2198" s="129" t="str">
        <f t="shared" si="1645"/>
        <v>CONVICTION</v>
      </c>
      <c r="BM2198" s="129" t="s">
        <v>76</v>
      </c>
      <c r="BN2198" s="129" t="s">
        <v>566</v>
      </c>
      <c r="BP2198" s="137" t="str">
        <f t="shared" si="1617"/>
        <v>CONVICTION</v>
      </c>
      <c r="BQ2198" s="128" t="str">
        <f t="shared" si="1618"/>
        <v>Y</v>
      </c>
      <c r="BR2198" s="129" t="s">
        <v>574</v>
      </c>
      <c r="BS2198" s="129" t="str">
        <f t="shared" si="1619"/>
        <v>DISPOSED</v>
      </c>
      <c r="BT2198" s="129" t="str">
        <f t="shared" si="1620"/>
        <v>Y</v>
      </c>
      <c r="BU2198" s="109">
        <f t="shared" si="1629"/>
        <v>0.22513089005235601</v>
      </c>
      <c r="BV2198" s="109">
        <f t="shared" si="1630"/>
        <v>2.1052631578947368E-2</v>
      </c>
      <c r="BW2198" s="109">
        <f t="shared" si="1640"/>
        <v>-0.20407825847340863</v>
      </c>
      <c r="BX2198" s="111">
        <f t="shared" si="1621"/>
        <v>0</v>
      </c>
      <c r="BY2198" s="129">
        <f t="shared" si="1622"/>
        <v>-4</v>
      </c>
      <c r="BZ2198" s="111">
        <f t="shared" si="1623"/>
        <v>39</v>
      </c>
      <c r="CA2198" s="138">
        <f t="shared" si="1624"/>
        <v>190</v>
      </c>
      <c r="CB2198" s="111">
        <v>43</v>
      </c>
      <c r="CC2198" s="129">
        <f t="shared" si="1641"/>
        <v>190</v>
      </c>
      <c r="CD2198" s="129">
        <f t="shared" si="1642"/>
        <v>186</v>
      </c>
      <c r="CG2198" s="129" t="str">
        <f t="shared" si="1625"/>
        <v>Y</v>
      </c>
      <c r="CI2198" s="129" t="str">
        <f t="shared" si="1633"/>
        <v>31-60 DAYS</v>
      </c>
      <c r="CJ2198" s="137">
        <f t="shared" si="1634"/>
        <v>3</v>
      </c>
      <c r="CK2198" s="129" t="str">
        <f t="shared" si="1635"/>
        <v>Booked</v>
      </c>
    </row>
    <row r="2199" spans="1:89" ht="15" customHeight="1" x14ac:dyDescent="0.25">
      <c r="A2199" s="111">
        <v>1749</v>
      </c>
      <c r="B2199" s="128" t="str">
        <f t="shared" si="1614"/>
        <v>N</v>
      </c>
      <c r="C2199" s="128" t="str">
        <f t="shared" si="1615"/>
        <v>N</v>
      </c>
      <c r="D2199" s="117">
        <v>2464537</v>
      </c>
      <c r="E2199" s="135">
        <f t="shared" si="1616"/>
        <v>4</v>
      </c>
      <c r="F2199" s="124">
        <v>40974</v>
      </c>
      <c r="G2199" s="125">
        <v>40976</v>
      </c>
      <c r="H2199" s="117">
        <v>2464537</v>
      </c>
      <c r="I2199" s="124">
        <v>40974</v>
      </c>
      <c r="J2199" s="124">
        <v>40976</v>
      </c>
      <c r="K2199" s="126">
        <v>5000</v>
      </c>
      <c r="L2199" s="127" t="s">
        <v>569</v>
      </c>
      <c r="N2199" s="129" t="str">
        <f t="shared" si="1643"/>
        <v>N</v>
      </c>
      <c r="O2199" s="128" t="s">
        <v>917</v>
      </c>
      <c r="P2199" s="129" t="s">
        <v>39</v>
      </c>
      <c r="Q2199" s="111">
        <f t="shared" ref="Q2199:Q2230" si="1646">BF2199</f>
        <v>3</v>
      </c>
      <c r="R2199" s="111">
        <f t="shared" si="1639"/>
        <v>3</v>
      </c>
      <c r="S2199" s="129">
        <v>1</v>
      </c>
      <c r="T2199" s="129">
        <v>4</v>
      </c>
      <c r="W2199" s="111"/>
      <c r="AC2199" s="130"/>
      <c r="AD2199" s="130">
        <v>24127</v>
      </c>
      <c r="AE2199" s="128" t="s">
        <v>32</v>
      </c>
      <c r="AF2199" s="128" t="s">
        <v>33</v>
      </c>
      <c r="AG2199" s="128" t="s">
        <v>872</v>
      </c>
      <c r="AH2199" s="108" t="s">
        <v>31</v>
      </c>
      <c r="AI2199" s="128" t="s">
        <v>83</v>
      </c>
      <c r="AJ2199" s="129" t="s">
        <v>89</v>
      </c>
      <c r="AK2199" s="129">
        <v>1</v>
      </c>
      <c r="AL2199" s="3" t="s">
        <v>991</v>
      </c>
      <c r="AO2199" s="128">
        <v>180</v>
      </c>
      <c r="AP2199" s="129" t="s">
        <v>60</v>
      </c>
      <c r="AR2199" s="128" t="s">
        <v>44</v>
      </c>
      <c r="AS2199" s="129" t="s">
        <v>61</v>
      </c>
      <c r="AT2199" s="129" t="s">
        <v>376</v>
      </c>
      <c r="BC2199" s="129" t="s">
        <v>99</v>
      </c>
      <c r="BF2199" s="111">
        <f>IF(J2199&gt;1/1/1900,((J2199+1)-I2199),"STILL OPEN")</f>
        <v>3</v>
      </c>
      <c r="BG2199" s="111">
        <f t="shared" si="1644"/>
        <v>3</v>
      </c>
      <c r="BH2199" s="111">
        <f t="shared" si="1611"/>
        <v>3</v>
      </c>
      <c r="BI2199" s="111">
        <f t="shared" si="1612"/>
        <v>46.030054644808743</v>
      </c>
      <c r="BJ2199" s="129">
        <f t="shared" si="1626"/>
        <v>0</v>
      </c>
      <c r="BK2199" s="129">
        <f t="shared" si="1613"/>
        <v>0</v>
      </c>
      <c r="BL2199" s="129" t="str">
        <f t="shared" si="1645"/>
        <v>CONVICTION</v>
      </c>
      <c r="BM2199" s="129" t="str">
        <f t="shared" si="1627"/>
        <v>NONE</v>
      </c>
      <c r="BN2199" s="129" t="s">
        <v>566</v>
      </c>
      <c r="BP2199" s="137" t="str">
        <f t="shared" si="1617"/>
        <v>CONVICTION</v>
      </c>
      <c r="BQ2199" s="128" t="str">
        <f t="shared" si="1618"/>
        <v>Y</v>
      </c>
      <c r="BR2199" s="129" t="str">
        <f t="shared" si="1628"/>
        <v>DETAINED</v>
      </c>
      <c r="BS2199" s="129" t="str">
        <f t="shared" si="1619"/>
        <v>DISPOSED</v>
      </c>
      <c r="BT2199" s="129" t="str">
        <f t="shared" si="1620"/>
        <v>Y</v>
      </c>
      <c r="BU2199" s="109">
        <f t="shared" si="1629"/>
        <v>1</v>
      </c>
      <c r="BV2199" s="109">
        <f t="shared" si="1630"/>
        <v>1</v>
      </c>
      <c r="BW2199" s="109">
        <f t="shared" si="1640"/>
        <v>0</v>
      </c>
      <c r="BX2199" s="111">
        <f t="shared" si="1621"/>
        <v>0</v>
      </c>
      <c r="BY2199" s="129">
        <f t="shared" si="1622"/>
        <v>-3</v>
      </c>
      <c r="BZ2199" s="111">
        <f t="shared" si="1623"/>
        <v>0</v>
      </c>
      <c r="CA2199" s="138">
        <f t="shared" si="1624"/>
        <v>3</v>
      </c>
      <c r="CB2199" s="111" t="e">
        <f>IF(AF2199&gt;1/1/1900,((AF2199+1)-AE2199),"STILL OPEN")</f>
        <v>#VALUE!</v>
      </c>
      <c r="CC2199" s="129">
        <f t="shared" si="1641"/>
        <v>3</v>
      </c>
      <c r="CD2199" s="129">
        <f t="shared" si="1642"/>
        <v>0</v>
      </c>
      <c r="CG2199" s="129" t="str">
        <f t="shared" si="1625"/>
        <v>Y</v>
      </c>
      <c r="CI2199" s="129" t="str">
        <f t="shared" si="1633"/>
        <v>0-10 DAYS</v>
      </c>
      <c r="CJ2199" s="137">
        <f t="shared" si="1634"/>
        <v>1</v>
      </c>
      <c r="CK2199" s="129" t="str">
        <f t="shared" si="1635"/>
        <v>Booked</v>
      </c>
    </row>
    <row r="2200" spans="1:89" ht="15.75" customHeight="1" x14ac:dyDescent="0.25">
      <c r="A2200" s="111">
        <v>343</v>
      </c>
      <c r="B2200" s="128" t="str">
        <f t="shared" si="1614"/>
        <v>N</v>
      </c>
      <c r="C2200" s="128" t="str">
        <f t="shared" si="1615"/>
        <v>N</v>
      </c>
      <c r="D2200" s="117">
        <v>2464700</v>
      </c>
      <c r="E2200" s="135">
        <f t="shared" si="1616"/>
        <v>6</v>
      </c>
      <c r="F2200" s="124">
        <v>40922</v>
      </c>
      <c r="G2200" s="125">
        <v>41130</v>
      </c>
      <c r="H2200" s="117">
        <v>2464700</v>
      </c>
      <c r="I2200" s="124">
        <v>40927</v>
      </c>
      <c r="J2200" s="125">
        <v>41130</v>
      </c>
      <c r="K2200" s="126">
        <v>30000</v>
      </c>
      <c r="L2200" s="129" t="s">
        <v>572</v>
      </c>
      <c r="N2200" s="129" t="str">
        <f t="shared" si="1643"/>
        <v>N</v>
      </c>
      <c r="O2200" s="128" t="s">
        <v>917</v>
      </c>
      <c r="P2200" s="129" t="s">
        <v>39</v>
      </c>
      <c r="Q2200" s="111">
        <f t="shared" si="1646"/>
        <v>204</v>
      </c>
      <c r="R2200" s="111">
        <f t="shared" si="1639"/>
        <v>209</v>
      </c>
      <c r="S2200" s="129">
        <v>0</v>
      </c>
      <c r="T2200" s="129">
        <v>2</v>
      </c>
      <c r="W2200" s="111"/>
      <c r="AC2200" s="130"/>
      <c r="AD2200" s="130">
        <v>33074</v>
      </c>
      <c r="AE2200" s="128" t="s">
        <v>32</v>
      </c>
      <c r="AF2200" s="128" t="s">
        <v>33</v>
      </c>
      <c r="AG2200" s="128" t="s">
        <v>872</v>
      </c>
      <c r="AH2200" s="108" t="s">
        <v>31</v>
      </c>
      <c r="AI2200" s="128" t="s">
        <v>141</v>
      </c>
      <c r="AJ2200" s="129" t="s">
        <v>89</v>
      </c>
      <c r="AK2200" s="129">
        <v>10</v>
      </c>
      <c r="AL2200" s="3" t="s">
        <v>362</v>
      </c>
      <c r="AM2200" s="114">
        <v>15</v>
      </c>
      <c r="AN2200" s="114"/>
      <c r="AP2200" s="129" t="s">
        <v>105</v>
      </c>
      <c r="AR2200" s="128" t="s">
        <v>92</v>
      </c>
      <c r="AS2200" s="129" t="s">
        <v>106</v>
      </c>
      <c r="BC2200" s="129" t="s">
        <v>52</v>
      </c>
      <c r="BF2200" s="111">
        <f>IF(J2200&gt;1/1/1900,((J2200+1)-I2200),"STILL OPEN")</f>
        <v>204</v>
      </c>
      <c r="BG2200" s="111">
        <f t="shared" si="1644"/>
        <v>204</v>
      </c>
      <c r="BH2200" s="111">
        <f t="shared" si="1611"/>
        <v>209</v>
      </c>
      <c r="BI2200" s="111">
        <f t="shared" si="1612"/>
        <v>21.442622950819672</v>
      </c>
      <c r="BJ2200" s="129">
        <f t="shared" si="1626"/>
        <v>0</v>
      </c>
      <c r="BK2200" s="129">
        <f t="shared" si="1613"/>
        <v>0</v>
      </c>
      <c r="BL2200" s="129" t="str">
        <f t="shared" si="1645"/>
        <v>CONVICTION</v>
      </c>
      <c r="BM2200" s="129" t="str">
        <f t="shared" si="1627"/>
        <v>NONE</v>
      </c>
      <c r="BN2200" s="129" t="s">
        <v>566</v>
      </c>
      <c r="BP2200" s="137" t="str">
        <f t="shared" si="1617"/>
        <v>CONVICTION</v>
      </c>
      <c r="BQ2200" s="128" t="str">
        <f t="shared" si="1618"/>
        <v>Y</v>
      </c>
      <c r="BR2200" s="129" t="str">
        <f t="shared" si="1628"/>
        <v>DETAINED</v>
      </c>
      <c r="BS2200" s="129" t="str">
        <f t="shared" si="1619"/>
        <v>DISPOSED</v>
      </c>
      <c r="BT2200" s="129" t="str">
        <f t="shared" si="1620"/>
        <v>N</v>
      </c>
      <c r="BU2200" s="109">
        <f t="shared" si="1629"/>
        <v>0.97607655502392343</v>
      </c>
      <c r="BV2200" s="109">
        <f t="shared" si="1630"/>
        <v>1</v>
      </c>
      <c r="BW2200" s="109">
        <f t="shared" si="1640"/>
        <v>2.3923444976076569E-2</v>
      </c>
      <c r="BX2200" s="111">
        <f t="shared" si="1621"/>
        <v>0</v>
      </c>
      <c r="BY2200" s="129">
        <f t="shared" si="1622"/>
        <v>-204</v>
      </c>
      <c r="BZ2200" s="111">
        <f t="shared" si="1623"/>
        <v>0</v>
      </c>
      <c r="CA2200" s="138">
        <f t="shared" si="1624"/>
        <v>204</v>
      </c>
      <c r="CB2200" s="111" t="e">
        <f>IF(AF2200&gt;1/1/1900,((AF2200+1)-AE2200),"STILL OPEN")</f>
        <v>#VALUE!</v>
      </c>
      <c r="CC2200" s="129">
        <f t="shared" si="1641"/>
        <v>204</v>
      </c>
      <c r="CD2200" s="129">
        <f t="shared" si="1642"/>
        <v>0</v>
      </c>
      <c r="CG2200" s="129" t="str">
        <f t="shared" si="1625"/>
        <v>Y</v>
      </c>
      <c r="CI2200" s="129" t="str">
        <f t="shared" si="1633"/>
        <v>121-365 DAYS</v>
      </c>
      <c r="CJ2200" s="137">
        <f t="shared" si="1634"/>
        <v>6</v>
      </c>
      <c r="CK2200" s="129" t="str">
        <f t="shared" si="1635"/>
        <v>Booked</v>
      </c>
    </row>
    <row r="2201" spans="1:89" ht="15.75" customHeight="1" x14ac:dyDescent="0.25">
      <c r="A2201" s="111">
        <v>2294</v>
      </c>
      <c r="B2201" s="128" t="str">
        <f t="shared" si="1614"/>
        <v>N</v>
      </c>
      <c r="C2201" s="128" t="str">
        <f t="shared" si="1615"/>
        <v>N</v>
      </c>
      <c r="D2201" s="117">
        <v>2464887</v>
      </c>
      <c r="E2201" s="135">
        <f t="shared" si="1616"/>
        <v>2</v>
      </c>
      <c r="F2201" s="124">
        <v>40995</v>
      </c>
      <c r="G2201" s="125">
        <v>41150</v>
      </c>
      <c r="H2201" s="117">
        <v>2464887</v>
      </c>
      <c r="I2201" s="124">
        <v>40996</v>
      </c>
      <c r="J2201" s="125">
        <v>41150</v>
      </c>
      <c r="K2201" s="126">
        <v>10000</v>
      </c>
      <c r="L2201" s="127" t="s">
        <v>570</v>
      </c>
      <c r="N2201" s="129" t="str">
        <f t="shared" si="1643"/>
        <v>N</v>
      </c>
      <c r="O2201" s="128" t="s">
        <v>917</v>
      </c>
      <c r="P2201" s="129" t="s">
        <v>589</v>
      </c>
      <c r="Q2201" s="111">
        <f t="shared" si="1646"/>
        <v>155</v>
      </c>
      <c r="R2201" s="111">
        <f t="shared" si="1639"/>
        <v>156</v>
      </c>
      <c r="S2201" s="129">
        <v>0</v>
      </c>
      <c r="T2201" s="129">
        <v>0</v>
      </c>
      <c r="W2201" s="111"/>
      <c r="AC2201" s="130"/>
      <c r="AD2201" s="130">
        <v>33893</v>
      </c>
      <c r="AE2201" s="128" t="s">
        <v>32</v>
      </c>
      <c r="AF2201" s="128" t="s">
        <v>69</v>
      </c>
      <c r="AG2201" s="128" t="s">
        <v>874</v>
      </c>
      <c r="AH2201" s="108" t="s">
        <v>31</v>
      </c>
      <c r="AI2201" s="128" t="s">
        <v>72</v>
      </c>
      <c r="AJ2201" s="129" t="s">
        <v>48</v>
      </c>
      <c r="AK2201" s="129">
        <v>7</v>
      </c>
      <c r="AL2201" s="3" t="s">
        <v>48</v>
      </c>
      <c r="AO2201" s="128">
        <v>30</v>
      </c>
      <c r="AP2201" s="129" t="s">
        <v>56</v>
      </c>
      <c r="AR2201" s="128" t="s">
        <v>50</v>
      </c>
      <c r="AS2201" s="129" t="s">
        <v>57</v>
      </c>
      <c r="BC2201" s="129" t="s">
        <v>38</v>
      </c>
      <c r="BF2201" s="111">
        <f>IF(J2201&gt;1/1/1900,((J2201+1)-I2201),"STILL OPEN")</f>
        <v>155</v>
      </c>
      <c r="BG2201" s="111">
        <f t="shared" si="1644"/>
        <v>155</v>
      </c>
      <c r="BH2201" s="111">
        <f t="shared" si="1611"/>
        <v>156</v>
      </c>
      <c r="BI2201" s="111">
        <f t="shared" si="1612"/>
        <v>19.404371584699454</v>
      </c>
      <c r="BJ2201" s="129">
        <f t="shared" si="1626"/>
        <v>0</v>
      </c>
      <c r="BK2201" s="129">
        <f t="shared" si="1613"/>
        <v>0</v>
      </c>
      <c r="BL2201" s="129" t="str">
        <f t="shared" si="1645"/>
        <v>DEFERRED</v>
      </c>
      <c r="BM2201" s="129" t="str">
        <f t="shared" si="1627"/>
        <v>NONE</v>
      </c>
      <c r="BN2201" s="129" t="s">
        <v>566</v>
      </c>
      <c r="BP2201" s="137" t="str">
        <f t="shared" si="1617"/>
        <v>DEFERRED</v>
      </c>
      <c r="BQ2201" s="128" t="str">
        <f t="shared" si="1618"/>
        <v>Y</v>
      </c>
      <c r="BR2201" s="129" t="str">
        <f t="shared" si="1628"/>
        <v>DETAINED</v>
      </c>
      <c r="BS2201" s="129" t="str">
        <f t="shared" si="1619"/>
        <v>DISPOSED</v>
      </c>
      <c r="BT2201" s="129" t="str">
        <f t="shared" si="1620"/>
        <v>N</v>
      </c>
      <c r="BU2201" s="109">
        <f t="shared" si="1629"/>
        <v>0.99358974358974361</v>
      </c>
      <c r="BV2201" s="109">
        <f t="shared" si="1630"/>
        <v>1</v>
      </c>
      <c r="BW2201" s="109">
        <f t="shared" si="1640"/>
        <v>6.4102564102563875E-3</v>
      </c>
      <c r="BX2201" s="111">
        <f t="shared" si="1621"/>
        <v>0</v>
      </c>
      <c r="BY2201" s="129">
        <f t="shared" si="1622"/>
        <v>-155</v>
      </c>
      <c r="BZ2201" s="111">
        <f t="shared" si="1623"/>
        <v>0</v>
      </c>
      <c r="CA2201" s="138">
        <f t="shared" si="1624"/>
        <v>155</v>
      </c>
      <c r="CB2201" s="111" t="e">
        <f>IF(AF2201&gt;1/1/1900,((AF2201+1)-AE2201),"STILL OPEN")</f>
        <v>#VALUE!</v>
      </c>
      <c r="CC2201" s="129">
        <f t="shared" si="1641"/>
        <v>155</v>
      </c>
      <c r="CD2201" s="129">
        <f t="shared" si="1642"/>
        <v>0</v>
      </c>
      <c r="CG2201" s="129" t="str">
        <f t="shared" si="1625"/>
        <v>N</v>
      </c>
      <c r="CI2201" s="129" t="str">
        <f t="shared" si="1633"/>
        <v>121-365 DAYS</v>
      </c>
      <c r="CJ2201" s="137">
        <f t="shared" si="1634"/>
        <v>6</v>
      </c>
      <c r="CK2201" s="129" t="str">
        <f t="shared" si="1635"/>
        <v>Booked</v>
      </c>
    </row>
    <row r="2202" spans="1:89" ht="15.75" customHeight="1" x14ac:dyDescent="0.25">
      <c r="A2202" s="111">
        <v>3223</v>
      </c>
      <c r="B2202" s="128" t="str">
        <f t="shared" si="1614"/>
        <v>N</v>
      </c>
      <c r="C2202" s="128" t="str">
        <f t="shared" si="1615"/>
        <v>N</v>
      </c>
      <c r="D2202" s="117">
        <v>2464892</v>
      </c>
      <c r="E2202" s="135">
        <f t="shared" si="1616"/>
        <v>4</v>
      </c>
      <c r="F2202" s="124">
        <v>41027</v>
      </c>
      <c r="G2202" s="125">
        <v>41193</v>
      </c>
      <c r="H2202" s="117">
        <v>2464892</v>
      </c>
      <c r="I2202" s="124" t="s">
        <v>562</v>
      </c>
      <c r="J2202" s="124" t="s">
        <v>562</v>
      </c>
      <c r="K2202" s="126">
        <v>10000</v>
      </c>
      <c r="L2202" s="127" t="s">
        <v>570</v>
      </c>
      <c r="M2202" s="125">
        <v>41062</v>
      </c>
      <c r="N2202" s="129" t="str">
        <f>IF(M2202&gt;1/1/1,"Y",IF(Q2202="0","","N"))</f>
        <v>Y</v>
      </c>
      <c r="O2202" s="128" t="s">
        <v>76</v>
      </c>
      <c r="P2202" s="129" t="s">
        <v>39</v>
      </c>
      <c r="Q2202" s="111">
        <f t="shared" si="1646"/>
        <v>0</v>
      </c>
      <c r="R2202" s="111">
        <f t="shared" si="1639"/>
        <v>167</v>
      </c>
      <c r="S2202" s="129">
        <v>1</v>
      </c>
      <c r="T2202" s="129">
        <v>0</v>
      </c>
      <c r="W2202" s="111"/>
      <c r="AC2202" s="130"/>
      <c r="AD2202" s="130">
        <v>33578</v>
      </c>
      <c r="AE2202" s="128" t="s">
        <v>46</v>
      </c>
      <c r="AF2202" s="128" t="s">
        <v>69</v>
      </c>
      <c r="AG2202" s="128" t="s">
        <v>874</v>
      </c>
      <c r="AH2202" s="108" t="s">
        <v>31</v>
      </c>
      <c r="AI2202" s="128" t="s">
        <v>87</v>
      </c>
      <c r="AJ2202" s="129" t="s">
        <v>89</v>
      </c>
      <c r="AK2202" s="129">
        <v>7</v>
      </c>
      <c r="AL2202" s="3" t="s">
        <v>991</v>
      </c>
      <c r="AO2202" s="128">
        <v>1</v>
      </c>
      <c r="AP2202" s="129" t="s">
        <v>56</v>
      </c>
      <c r="AR2202" s="128" t="s">
        <v>50</v>
      </c>
      <c r="AS2202" s="129" t="s">
        <v>57</v>
      </c>
      <c r="BC2202" s="129" t="s">
        <v>38</v>
      </c>
      <c r="BF2202" s="111">
        <v>0</v>
      </c>
      <c r="BG2202" s="111">
        <v>0</v>
      </c>
      <c r="BH2202" s="111">
        <f t="shared" si="1611"/>
        <v>167</v>
      </c>
      <c r="BI2202" s="111">
        <f t="shared" si="1612"/>
        <v>20.352459016393443</v>
      </c>
      <c r="BJ2202" s="129" t="e">
        <f>(G2202-J2202)+(M2202-G2202)</f>
        <v>#VALUE!</v>
      </c>
      <c r="BK2202" s="129" t="e">
        <f t="shared" si="1613"/>
        <v>#VALUE!</v>
      </c>
      <c r="BL2202" s="129" t="str">
        <f t="shared" si="1645"/>
        <v>CONVICTION</v>
      </c>
      <c r="BM2202" s="129" t="s">
        <v>76</v>
      </c>
      <c r="BN2202" s="129" t="s">
        <v>88</v>
      </c>
      <c r="BP2202" s="137" t="str">
        <f t="shared" si="1617"/>
        <v>CONVICTION</v>
      </c>
      <c r="BQ2202" s="128">
        <f t="shared" si="1618"/>
        <v>0</v>
      </c>
      <c r="BR2202" s="129" t="s">
        <v>575</v>
      </c>
      <c r="BS2202" s="129" t="str">
        <f t="shared" si="1619"/>
        <v>DISPOSED</v>
      </c>
      <c r="BT2202" s="129" t="str">
        <f t="shared" si="1620"/>
        <v>Y</v>
      </c>
      <c r="BU2202" s="109">
        <f t="shared" si="1629"/>
        <v>0</v>
      </c>
      <c r="BV2202" s="109">
        <v>0</v>
      </c>
      <c r="BW2202" s="109">
        <f t="shared" si="1640"/>
        <v>0</v>
      </c>
      <c r="BX2202" s="111">
        <f t="shared" si="1621"/>
        <v>0</v>
      </c>
      <c r="BY2202" s="129" t="e">
        <f t="shared" si="1622"/>
        <v>#VALUE!</v>
      </c>
      <c r="BZ2202" s="111" t="e">
        <f t="shared" si="1623"/>
        <v>#VALUE!</v>
      </c>
      <c r="CA2202" s="138" t="e">
        <f t="shared" si="1624"/>
        <v>#VALUE!</v>
      </c>
      <c r="CB2202" s="111">
        <v>0</v>
      </c>
      <c r="CC2202" s="129">
        <v>0</v>
      </c>
      <c r="CD2202" s="111">
        <f>CC2202-BF2202</f>
        <v>0</v>
      </c>
      <c r="CG2202" s="129" t="str">
        <f t="shared" si="1625"/>
        <v>Y</v>
      </c>
      <c r="CI2202" s="129" t="str">
        <f t="shared" si="1633"/>
        <v>0-10 DAYS</v>
      </c>
      <c r="CJ2202" s="137">
        <f t="shared" si="1634"/>
        <v>1</v>
      </c>
      <c r="CK2202" s="129" t="str">
        <f t="shared" si="1635"/>
        <v>Not Booked</v>
      </c>
    </row>
    <row r="2203" spans="1:89" ht="15.75" customHeight="1" x14ac:dyDescent="0.25">
      <c r="A2203" s="111">
        <v>2053</v>
      </c>
      <c r="B2203" s="128" t="str">
        <f t="shared" si="1614"/>
        <v>N</v>
      </c>
      <c r="C2203" s="128" t="str">
        <f t="shared" si="1615"/>
        <v>N</v>
      </c>
      <c r="D2203" s="117">
        <v>2464992</v>
      </c>
      <c r="E2203" s="135">
        <f t="shared" si="1616"/>
        <v>5</v>
      </c>
      <c r="F2203" s="124">
        <v>40986</v>
      </c>
      <c r="G2203" s="125">
        <v>41103</v>
      </c>
      <c r="H2203" s="117">
        <v>2464992</v>
      </c>
      <c r="I2203" s="124">
        <v>40986</v>
      </c>
      <c r="J2203" s="124">
        <v>41103</v>
      </c>
      <c r="K2203" s="126">
        <v>35000</v>
      </c>
      <c r="L2203" s="129" t="s">
        <v>572</v>
      </c>
      <c r="N2203" s="129" t="str">
        <f>IF(M2203&gt;1/1/1,"Y","N")</f>
        <v>N</v>
      </c>
      <c r="O2203" s="128" t="s">
        <v>917</v>
      </c>
      <c r="P2203" s="129" t="s">
        <v>39</v>
      </c>
      <c r="Q2203" s="111">
        <f t="shared" si="1646"/>
        <v>118</v>
      </c>
      <c r="R2203" s="111">
        <f t="shared" si="1639"/>
        <v>118</v>
      </c>
      <c r="S2203" s="129">
        <v>1</v>
      </c>
      <c r="T2203" s="129">
        <v>0</v>
      </c>
      <c r="W2203" s="111"/>
      <c r="AC2203" s="130"/>
      <c r="AD2203" s="130">
        <v>30398</v>
      </c>
      <c r="AE2203" s="128" t="s">
        <v>32</v>
      </c>
      <c r="AF2203" s="128" t="s">
        <v>40</v>
      </c>
      <c r="AG2203" s="128" t="s">
        <v>41</v>
      </c>
      <c r="AH2203" s="108" t="s">
        <v>41</v>
      </c>
      <c r="AI2203" s="128" t="s">
        <v>141</v>
      </c>
      <c r="AJ2203" s="129" t="s">
        <v>89</v>
      </c>
      <c r="AK2203" s="129">
        <v>9</v>
      </c>
      <c r="AL2203" s="3" t="s">
        <v>992</v>
      </c>
      <c r="AN2203" s="117">
        <v>8</v>
      </c>
      <c r="AP2203" s="129" t="s">
        <v>302</v>
      </c>
      <c r="AR2203" s="128" t="s">
        <v>67</v>
      </c>
      <c r="AS2203" s="129" t="s">
        <v>64</v>
      </c>
      <c r="BC2203" s="129" t="s">
        <v>52</v>
      </c>
      <c r="BF2203" s="111">
        <f>IF(J2203&gt;1/1/1900,((J2203+1)-I2203),"STILL OPEN")</f>
        <v>118</v>
      </c>
      <c r="BG2203" s="111">
        <f>IF(G2203&gt;1/1/1900,((G2203+1)-I2203),"STILL OPEN")</f>
        <v>118</v>
      </c>
      <c r="BH2203" s="111">
        <f t="shared" si="1611"/>
        <v>118</v>
      </c>
      <c r="BI2203" s="111">
        <f t="shared" si="1612"/>
        <v>28.928961748633881</v>
      </c>
      <c r="BJ2203" s="129">
        <f t="shared" si="1626"/>
        <v>0</v>
      </c>
      <c r="BK2203" s="129">
        <f t="shared" si="1613"/>
        <v>0</v>
      </c>
      <c r="BL2203" s="129" t="str">
        <f t="shared" si="1645"/>
        <v>CONVICTION</v>
      </c>
      <c r="BM2203" s="129" t="str">
        <f t="shared" si="1627"/>
        <v>NONE</v>
      </c>
      <c r="BN2203" s="129" t="s">
        <v>566</v>
      </c>
      <c r="BP2203" s="137" t="str">
        <f t="shared" si="1617"/>
        <v>CONVICTION</v>
      </c>
      <c r="BQ2203" s="128" t="str">
        <f t="shared" si="1618"/>
        <v>Y</v>
      </c>
      <c r="BR2203" s="129" t="str">
        <f t="shared" si="1628"/>
        <v>DETAINED</v>
      </c>
      <c r="BS2203" s="129" t="str">
        <f t="shared" si="1619"/>
        <v>DISPOSED</v>
      </c>
      <c r="BT2203" s="129" t="str">
        <f t="shared" si="1620"/>
        <v>Y</v>
      </c>
      <c r="BU2203" s="109">
        <f t="shared" si="1629"/>
        <v>1</v>
      </c>
      <c r="BV2203" s="109">
        <f t="shared" si="1630"/>
        <v>1</v>
      </c>
      <c r="BW2203" s="109">
        <f t="shared" si="1640"/>
        <v>0</v>
      </c>
      <c r="BX2203" s="111">
        <f t="shared" si="1621"/>
        <v>0</v>
      </c>
      <c r="BY2203" s="129">
        <f t="shared" si="1622"/>
        <v>-118</v>
      </c>
      <c r="BZ2203" s="111">
        <f t="shared" si="1623"/>
        <v>0</v>
      </c>
      <c r="CA2203" s="138">
        <f t="shared" si="1624"/>
        <v>118</v>
      </c>
      <c r="CB2203" s="111" t="e">
        <f>IF(AF2203&gt;1/1/1900,((AF2203+1)-AE2203),"STILL OPEN")</f>
        <v>#VALUE!</v>
      </c>
      <c r="CC2203" s="129">
        <f>G2203-I2203+1</f>
        <v>118</v>
      </c>
      <c r="CD2203" s="129">
        <f>G2203-J2203</f>
        <v>0</v>
      </c>
      <c r="CG2203" s="129" t="str">
        <f t="shared" si="1625"/>
        <v>Y</v>
      </c>
      <c r="CI2203" s="129" t="str">
        <f t="shared" si="1633"/>
        <v>91-120 DAYS</v>
      </c>
      <c r="CJ2203" s="137">
        <f t="shared" si="1634"/>
        <v>0</v>
      </c>
      <c r="CK2203" s="129" t="str">
        <f t="shared" si="1635"/>
        <v>Booked</v>
      </c>
    </row>
    <row r="2204" spans="1:89" ht="15.75" customHeight="1" x14ac:dyDescent="0.25">
      <c r="A2204" s="111">
        <v>2633</v>
      </c>
      <c r="B2204" s="128" t="str">
        <f t="shared" si="1614"/>
        <v>N</v>
      </c>
      <c r="C2204" s="128" t="str">
        <f t="shared" si="1615"/>
        <v>N</v>
      </c>
      <c r="D2204" s="117">
        <v>2465486</v>
      </c>
      <c r="E2204" s="135">
        <f t="shared" si="1616"/>
        <v>1</v>
      </c>
      <c r="F2204" s="124">
        <v>41006</v>
      </c>
      <c r="G2204" s="125">
        <v>41030</v>
      </c>
      <c r="H2204" s="117">
        <v>2465486</v>
      </c>
      <c r="I2204" s="124" t="s">
        <v>562</v>
      </c>
      <c r="J2204" s="124" t="s">
        <v>562</v>
      </c>
      <c r="K2204" s="126">
        <v>10000</v>
      </c>
      <c r="L2204" s="127" t="s">
        <v>570</v>
      </c>
      <c r="M2204" s="125">
        <v>41007</v>
      </c>
      <c r="N2204" s="129" t="str">
        <f>IF(M2204&gt;1/1/1,"Y",IF(Q2204="0","","N"))</f>
        <v>Y</v>
      </c>
      <c r="O2204" s="128" t="s">
        <v>76</v>
      </c>
      <c r="P2204" s="129" t="s">
        <v>55</v>
      </c>
      <c r="Q2204" s="111">
        <f t="shared" si="1646"/>
        <v>0</v>
      </c>
      <c r="R2204" s="111">
        <f t="shared" si="1639"/>
        <v>25</v>
      </c>
      <c r="S2204" s="129">
        <v>0</v>
      </c>
      <c r="T2204" s="129">
        <v>0</v>
      </c>
      <c r="W2204" s="111"/>
      <c r="AC2204" s="130"/>
      <c r="AD2204" s="130">
        <v>30522</v>
      </c>
      <c r="AE2204" s="128" t="s">
        <v>46</v>
      </c>
      <c r="AF2204" s="128" t="s">
        <v>69</v>
      </c>
      <c r="AG2204" s="128" t="s">
        <v>874</v>
      </c>
      <c r="AH2204" s="108" t="s">
        <v>31</v>
      </c>
      <c r="AI2204" s="128" t="s">
        <v>83</v>
      </c>
      <c r="AJ2204" s="129" t="s">
        <v>55</v>
      </c>
      <c r="AK2204" s="129">
        <v>2</v>
      </c>
      <c r="AL2204" s="3" t="s">
        <v>55</v>
      </c>
      <c r="AP2204" s="129" t="s">
        <v>56</v>
      </c>
      <c r="AR2204" s="128" t="s">
        <v>50</v>
      </c>
      <c r="AS2204" s="129" t="s">
        <v>57</v>
      </c>
      <c r="BC2204" s="129" t="s">
        <v>52</v>
      </c>
      <c r="BF2204" s="111">
        <v>0</v>
      </c>
      <c r="BG2204" s="111">
        <v>0</v>
      </c>
      <c r="BH2204" s="111">
        <f t="shared" si="1611"/>
        <v>25</v>
      </c>
      <c r="BI2204" s="111">
        <f t="shared" si="1612"/>
        <v>28.644808743169399</v>
      </c>
      <c r="BJ2204" s="129" t="e">
        <f>(G2204-J2204)+(M2204-G2204)</f>
        <v>#VALUE!</v>
      </c>
      <c r="BK2204" s="129" t="e">
        <f t="shared" si="1613"/>
        <v>#VALUE!</v>
      </c>
      <c r="BL2204" s="129" t="str">
        <f t="shared" si="1645"/>
        <v>NO CONVICTION</v>
      </c>
      <c r="BM2204" s="129" t="s">
        <v>76</v>
      </c>
      <c r="BN2204" s="129" t="s">
        <v>88</v>
      </c>
      <c r="BP2204" s="137" t="str">
        <f t="shared" si="1617"/>
        <v>NO CONVICTION</v>
      </c>
      <c r="BQ2204" s="128">
        <f t="shared" si="1618"/>
        <v>0</v>
      </c>
      <c r="BR2204" s="129" t="s">
        <v>575</v>
      </c>
      <c r="BS2204" s="129" t="str">
        <f t="shared" si="1619"/>
        <v>DISPOSED</v>
      </c>
      <c r="BT2204" s="129" t="str">
        <f t="shared" si="1620"/>
        <v>N</v>
      </c>
      <c r="BU2204" s="109">
        <f>IFERROR(Q2204/R2204,BR2204)</f>
        <v>0</v>
      </c>
      <c r="BV2204" s="109">
        <v>0</v>
      </c>
      <c r="BW2204" s="109">
        <f t="shared" si="1640"/>
        <v>0</v>
      </c>
      <c r="BX2204" s="111">
        <f t="shared" si="1621"/>
        <v>0</v>
      </c>
      <c r="BY2204" s="129" t="e">
        <f t="shared" si="1622"/>
        <v>#VALUE!</v>
      </c>
      <c r="BZ2204" s="111" t="e">
        <f t="shared" si="1623"/>
        <v>#VALUE!</v>
      </c>
      <c r="CA2204" s="138" t="e">
        <f t="shared" si="1624"/>
        <v>#VALUE!</v>
      </c>
      <c r="CB2204" s="111">
        <v>0</v>
      </c>
      <c r="CC2204" s="129">
        <v>0</v>
      </c>
      <c r="CD2204" s="111">
        <f>CC2204-BF2204</f>
        <v>0</v>
      </c>
      <c r="CG2204" s="129" t="str">
        <f t="shared" si="1625"/>
        <v>N</v>
      </c>
      <c r="CI2204" s="129" t="str">
        <f t="shared" si="1633"/>
        <v>0-10 DAYS</v>
      </c>
      <c r="CJ2204" s="137">
        <f t="shared" si="1634"/>
        <v>1</v>
      </c>
      <c r="CK2204" s="129" t="str">
        <f t="shared" si="1635"/>
        <v>Not Booked</v>
      </c>
    </row>
    <row r="2205" spans="1:89" ht="15" customHeight="1" x14ac:dyDescent="0.25">
      <c r="A2205" s="111">
        <v>2836</v>
      </c>
      <c r="B2205" s="128" t="str">
        <f t="shared" si="1614"/>
        <v>N</v>
      </c>
      <c r="C2205" s="128" t="str">
        <f t="shared" si="1615"/>
        <v>N</v>
      </c>
      <c r="D2205" s="117">
        <v>2465771</v>
      </c>
      <c r="E2205" s="135">
        <f t="shared" si="1616"/>
        <v>3</v>
      </c>
      <c r="F2205" s="124">
        <v>41013</v>
      </c>
      <c r="G2205" s="125">
        <v>41164</v>
      </c>
      <c r="H2205" s="117">
        <v>2465771</v>
      </c>
      <c r="I2205" s="124">
        <v>41013</v>
      </c>
      <c r="J2205" s="124">
        <v>41021</v>
      </c>
      <c r="K2205" s="126">
        <v>10000</v>
      </c>
      <c r="L2205" s="127" t="s">
        <v>570</v>
      </c>
      <c r="M2205" s="125">
        <v>41021</v>
      </c>
      <c r="N2205" s="129" t="str">
        <f>IF(M2205&gt;1/1/1,"Y","N")</f>
        <v>Y</v>
      </c>
      <c r="O2205" s="128" t="s">
        <v>585</v>
      </c>
      <c r="P2205" s="129" t="s">
        <v>39</v>
      </c>
      <c r="Q2205" s="111">
        <f t="shared" si="1646"/>
        <v>9</v>
      </c>
      <c r="R2205" s="111">
        <f t="shared" si="1639"/>
        <v>152</v>
      </c>
      <c r="S2205" s="129">
        <v>0</v>
      </c>
      <c r="T2205" s="129">
        <v>2</v>
      </c>
      <c r="W2205" s="111"/>
      <c r="AC2205" s="130"/>
      <c r="AD2205" s="130">
        <v>22900</v>
      </c>
      <c r="AE2205" s="128" t="s">
        <v>32</v>
      </c>
      <c r="AF2205" s="128" t="s">
        <v>69</v>
      </c>
      <c r="AG2205" s="128" t="s">
        <v>874</v>
      </c>
      <c r="AH2205" s="108" t="s">
        <v>31</v>
      </c>
      <c r="AI2205" s="128" t="s">
        <v>53</v>
      </c>
      <c r="AJ2205" s="129" t="s">
        <v>89</v>
      </c>
      <c r="AK2205" s="129">
        <v>8</v>
      </c>
      <c r="AL2205" s="3" t="s">
        <v>185</v>
      </c>
      <c r="AP2205" s="129" t="s">
        <v>66</v>
      </c>
      <c r="AR2205" s="128" t="s">
        <v>67</v>
      </c>
      <c r="AS2205" s="129" t="s">
        <v>68</v>
      </c>
      <c r="BC2205" s="129" t="s">
        <v>38</v>
      </c>
      <c r="BF2205" s="111">
        <f t="shared" ref="BF2205:BF2216" si="1647">IF(J2205&gt;1/1/1900,((J2205+1)-I2205),"STILL OPEN")</f>
        <v>9</v>
      </c>
      <c r="BG2205" s="111">
        <f t="shared" ref="BG2205:BG2216" si="1648">IF(G2205&gt;1/1/1900,((G2205+1)-I2205),"STILL OPEN")</f>
        <v>152</v>
      </c>
      <c r="BH2205" s="111">
        <f t="shared" si="1611"/>
        <v>152</v>
      </c>
      <c r="BI2205" s="111">
        <f t="shared" si="1612"/>
        <v>49.489071038251367</v>
      </c>
      <c r="BJ2205" s="129">
        <f>(G2205-J2205)+(M2205-G2205)</f>
        <v>0</v>
      </c>
      <c r="BK2205" s="129">
        <f t="shared" si="1613"/>
        <v>-143</v>
      </c>
      <c r="BL2205" s="129" t="str">
        <f t="shared" si="1645"/>
        <v>CONVICTION</v>
      </c>
      <c r="BM2205" s="129" t="s">
        <v>76</v>
      </c>
      <c r="BN2205" s="129" t="s">
        <v>88</v>
      </c>
      <c r="BP2205" s="137" t="str">
        <f t="shared" si="1617"/>
        <v>CONVICTION</v>
      </c>
      <c r="BQ2205" s="128" t="str">
        <f t="shared" si="1618"/>
        <v>Y</v>
      </c>
      <c r="BR2205" s="129" t="str">
        <f>IF(J2205&lt;G2205,"ON BOND",0)</f>
        <v>ON BOND</v>
      </c>
      <c r="BS2205" s="129" t="str">
        <f t="shared" si="1619"/>
        <v>DISPOSED</v>
      </c>
      <c r="BT2205" s="129" t="str">
        <f t="shared" si="1620"/>
        <v>N</v>
      </c>
      <c r="BU2205" s="109">
        <f t="shared" si="1629"/>
        <v>5.921052631578947E-2</v>
      </c>
      <c r="BV2205" s="109">
        <f t="shared" si="1630"/>
        <v>5.921052631578947E-2</v>
      </c>
      <c r="BW2205" s="109">
        <f t="shared" si="1640"/>
        <v>0</v>
      </c>
      <c r="BX2205" s="111">
        <f t="shared" si="1621"/>
        <v>0</v>
      </c>
      <c r="BY2205" s="129">
        <f t="shared" si="1622"/>
        <v>-9</v>
      </c>
      <c r="BZ2205" s="111">
        <f t="shared" si="1623"/>
        <v>0</v>
      </c>
      <c r="CA2205" s="138">
        <f t="shared" si="1624"/>
        <v>9</v>
      </c>
      <c r="CB2205" s="111" t="e">
        <f t="shared" ref="CB2205:CB2216" si="1649">IF(AF2205&gt;1/1/1900,((AF2205+1)-AE2205),"STILL OPEN")</f>
        <v>#VALUE!</v>
      </c>
      <c r="CC2205" s="129">
        <f>M2205-I2205+1</f>
        <v>9</v>
      </c>
      <c r="CD2205" s="111">
        <f>CC2205-BF2205</f>
        <v>0</v>
      </c>
      <c r="CG2205" s="129" t="str">
        <f t="shared" si="1625"/>
        <v>Y</v>
      </c>
      <c r="CI2205" s="129" t="str">
        <f t="shared" si="1633"/>
        <v>0-10 DAYS</v>
      </c>
      <c r="CJ2205" s="137">
        <f t="shared" si="1634"/>
        <v>1</v>
      </c>
      <c r="CK2205" s="129" t="str">
        <f t="shared" si="1635"/>
        <v>Booked</v>
      </c>
    </row>
    <row r="2206" spans="1:89" ht="15" customHeight="1" x14ac:dyDescent="0.25">
      <c r="A2206" s="111">
        <v>1318</v>
      </c>
      <c r="B2206" s="128" t="str">
        <f t="shared" si="1614"/>
        <v>N</v>
      </c>
      <c r="C2206" s="128" t="str">
        <f t="shared" si="1615"/>
        <v>Y</v>
      </c>
      <c r="D2206" s="114">
        <v>2465886</v>
      </c>
      <c r="E2206" s="135" t="str">
        <f t="shared" si="1616"/>
        <v/>
      </c>
      <c r="F2206" s="124">
        <v>40956</v>
      </c>
      <c r="G2206" s="125"/>
      <c r="H2206" s="114">
        <v>2465886</v>
      </c>
      <c r="I2206" s="124">
        <v>41043</v>
      </c>
      <c r="J2206" s="124">
        <v>41066</v>
      </c>
      <c r="K2206" s="113">
        <v>35000</v>
      </c>
      <c r="L2206" s="129" t="s">
        <v>572</v>
      </c>
      <c r="M2206" s="125">
        <v>41066</v>
      </c>
      <c r="N2206" s="129" t="str">
        <f>IF(M2206&gt;1/1/1,"Y","N")</f>
        <v>Y</v>
      </c>
      <c r="O2206" s="128" t="s">
        <v>76</v>
      </c>
      <c r="P2206" s="32" t="s">
        <v>593</v>
      </c>
      <c r="Q2206" s="111" t="str">
        <f>BF2206</f>
        <v>STILL OPEN - FUGITIVE</v>
      </c>
      <c r="R2206" s="111" t="str">
        <f t="shared" si="1639"/>
        <v>STILL OPEN - FUGITIVE</v>
      </c>
      <c r="S2206" s="129">
        <v>0</v>
      </c>
      <c r="T2206" s="129">
        <v>3</v>
      </c>
      <c r="W2206" s="111"/>
      <c r="AC2206" s="130"/>
      <c r="AD2206" s="130">
        <v>33355</v>
      </c>
      <c r="AE2206" s="128" t="s">
        <v>32</v>
      </c>
      <c r="AF2206" s="128" t="s">
        <v>33</v>
      </c>
      <c r="AG2206" s="128" t="s">
        <v>872</v>
      </c>
      <c r="AH2206" s="108" t="s">
        <v>58</v>
      </c>
      <c r="AI2206" s="128" t="s">
        <v>72</v>
      </c>
      <c r="AJ2206" s="129" t="s">
        <v>31</v>
      </c>
      <c r="AP2206" s="129" t="s">
        <v>105</v>
      </c>
      <c r="AR2206" s="128" t="s">
        <v>92</v>
      </c>
      <c r="AS2206" s="129" t="s">
        <v>106</v>
      </c>
      <c r="AU2206" s="32" t="s">
        <v>723</v>
      </c>
      <c r="AV2206" s="3" t="s">
        <v>88</v>
      </c>
      <c r="AW2206" s="32" t="s">
        <v>866</v>
      </c>
      <c r="AX2206" s="32"/>
      <c r="AY2206" s="123" t="s">
        <v>88</v>
      </c>
      <c r="BA2206" s="32" t="s">
        <v>1387</v>
      </c>
      <c r="BB2206" s="32"/>
      <c r="BC2206" s="129" t="s">
        <v>38</v>
      </c>
      <c r="BF2206" s="111" t="s">
        <v>1318</v>
      </c>
      <c r="BG2206" s="111" t="s">
        <v>1318</v>
      </c>
      <c r="BH2206" s="111" t="s">
        <v>1318</v>
      </c>
      <c r="BI2206" s="111">
        <f t="shared" si="1612"/>
        <v>20.76775956284153</v>
      </c>
      <c r="BJ2206" s="129">
        <f>(G2206-J2206)+(M2206-G2206)</f>
        <v>0</v>
      </c>
      <c r="BK2206" s="129">
        <f t="shared" si="1613"/>
        <v>41066</v>
      </c>
      <c r="BL2206" s="129">
        <f t="shared" si="1645"/>
        <v>0</v>
      </c>
      <c r="BM2206" s="129" t="s">
        <v>76</v>
      </c>
      <c r="BN2206" s="129" t="s">
        <v>88</v>
      </c>
      <c r="BP2206" s="137" t="str">
        <f t="shared" si="1617"/>
        <v/>
      </c>
      <c r="BQ2206" s="128" t="str">
        <f t="shared" si="1618"/>
        <v>Y</v>
      </c>
      <c r="BR2206" s="129" t="s">
        <v>1318</v>
      </c>
      <c r="BS2206" s="129" t="s">
        <v>588</v>
      </c>
      <c r="BT2206" s="129" t="str">
        <f t="shared" si="1620"/>
        <v>N</v>
      </c>
      <c r="BU2206" s="109" t="str">
        <f>IFERROR(Q2206/R2206,BR2206)</f>
        <v>STILL OPEN - FUGITIVE</v>
      </c>
      <c r="BV2206" s="129" t="s">
        <v>588</v>
      </c>
      <c r="BW2206" s="109">
        <v>0</v>
      </c>
      <c r="BX2206" s="111" t="e">
        <f t="shared" si="1621"/>
        <v>#VALUE!</v>
      </c>
      <c r="BY2206" s="129">
        <f t="shared" si="1622"/>
        <v>-24</v>
      </c>
      <c r="BZ2206" s="111" t="e">
        <f t="shared" si="1623"/>
        <v>#VALUE!</v>
      </c>
      <c r="CA2206" s="138" t="e">
        <f t="shared" si="1624"/>
        <v>#VALUE!</v>
      </c>
      <c r="CB2206" s="111" t="s">
        <v>1318</v>
      </c>
      <c r="CC2206" s="129" t="s">
        <v>588</v>
      </c>
      <c r="CG2206" s="129" t="str">
        <f t="shared" si="1625"/>
        <v>Y</v>
      </c>
      <c r="CH2206" s="129" t="e">
        <v>#N/A</v>
      </c>
      <c r="CI2206" s="129" t="str">
        <f t="shared" si="1633"/>
        <v>&gt;3YRS</v>
      </c>
      <c r="CJ2206" s="137">
        <f t="shared" si="1634"/>
        <v>9</v>
      </c>
      <c r="CK2206" s="129" t="str">
        <f t="shared" si="1635"/>
        <v>Booked</v>
      </c>
    </row>
    <row r="2207" spans="1:89" ht="15" customHeight="1" x14ac:dyDescent="0.25">
      <c r="A2207" s="111">
        <v>2223</v>
      </c>
      <c r="B2207" s="128" t="str">
        <f t="shared" si="1614"/>
        <v>Y</v>
      </c>
      <c r="C2207" s="128" t="str">
        <f t="shared" si="1615"/>
        <v>N</v>
      </c>
      <c r="D2207" s="114">
        <v>2466220</v>
      </c>
      <c r="E2207" s="135">
        <f t="shared" si="1616"/>
        <v>1</v>
      </c>
      <c r="F2207" s="124">
        <v>40992</v>
      </c>
      <c r="G2207" s="125">
        <v>40994</v>
      </c>
      <c r="H2207" s="114">
        <v>2466220</v>
      </c>
      <c r="I2207" s="124">
        <v>40992</v>
      </c>
      <c r="J2207" s="124">
        <v>40994</v>
      </c>
      <c r="K2207" s="126">
        <v>5000</v>
      </c>
      <c r="L2207" s="127" t="s">
        <v>569</v>
      </c>
      <c r="N2207" s="129" t="str">
        <f>IF(M2207&gt;1/1/1,"Y","N")</f>
        <v>N</v>
      </c>
      <c r="O2207" s="128" t="s">
        <v>917</v>
      </c>
      <c r="P2207" s="129" t="s">
        <v>55</v>
      </c>
      <c r="Q2207" s="111">
        <f t="shared" si="1646"/>
        <v>3</v>
      </c>
      <c r="R2207" s="111">
        <f t="shared" si="1639"/>
        <v>3</v>
      </c>
      <c r="S2207" s="129">
        <v>0</v>
      </c>
      <c r="T2207" s="129">
        <v>0</v>
      </c>
      <c r="W2207" s="111"/>
      <c r="AC2207" s="130"/>
      <c r="AD2207" s="130">
        <v>32160</v>
      </c>
      <c r="AE2207" s="128" t="s">
        <v>32</v>
      </c>
      <c r="AF2207" s="128" t="s">
        <v>69</v>
      </c>
      <c r="AG2207" s="128" t="s">
        <v>874</v>
      </c>
      <c r="AH2207" s="108" t="s">
        <v>31</v>
      </c>
      <c r="AI2207" s="128" t="s">
        <v>83</v>
      </c>
      <c r="AJ2207" s="129" t="s">
        <v>55</v>
      </c>
      <c r="AK2207" s="129">
        <v>1</v>
      </c>
      <c r="AL2207" s="3" t="s">
        <v>55</v>
      </c>
      <c r="AP2207" s="129" t="s">
        <v>136</v>
      </c>
      <c r="AR2207" s="128" t="s">
        <v>67</v>
      </c>
      <c r="AS2207" s="129" t="s">
        <v>64</v>
      </c>
      <c r="AT2207" s="129" t="s">
        <v>649</v>
      </c>
      <c r="BC2207" s="129" t="s">
        <v>79</v>
      </c>
      <c r="BD2207" s="129" t="s">
        <v>649</v>
      </c>
      <c r="BF2207" s="111">
        <f t="shared" si="1647"/>
        <v>3</v>
      </c>
      <c r="BG2207" s="111">
        <f t="shared" si="1648"/>
        <v>3</v>
      </c>
      <c r="BH2207" s="111">
        <f t="shared" si="1611"/>
        <v>3</v>
      </c>
      <c r="BI2207" s="111">
        <f t="shared" si="1612"/>
        <v>24.131147540983605</v>
      </c>
      <c r="BJ2207" s="129">
        <f t="shared" si="1626"/>
        <v>0</v>
      </c>
      <c r="BK2207" s="129">
        <f t="shared" si="1613"/>
        <v>0</v>
      </c>
      <c r="BL2207" s="129" t="str">
        <f t="shared" si="1645"/>
        <v>NO CONVICTION</v>
      </c>
      <c r="BM2207" s="129" t="str">
        <f t="shared" si="1627"/>
        <v>NONE</v>
      </c>
      <c r="BN2207" s="129" t="s">
        <v>566</v>
      </c>
      <c r="BP2207" s="137" t="str">
        <f t="shared" si="1617"/>
        <v>NO CONVICTION</v>
      </c>
      <c r="BQ2207" s="128" t="str">
        <f t="shared" si="1618"/>
        <v>Y</v>
      </c>
      <c r="BR2207" s="129" t="str">
        <f t="shared" si="1628"/>
        <v>DETAINED</v>
      </c>
      <c r="BS2207" s="129" t="str">
        <f t="shared" si="1619"/>
        <v>DISPOSED</v>
      </c>
      <c r="BT2207" s="129" t="str">
        <f t="shared" si="1620"/>
        <v>N</v>
      </c>
      <c r="BU2207" s="109">
        <f>IFERROR(Q2207/R2207,BR2207)</f>
        <v>1</v>
      </c>
      <c r="BV2207" s="109">
        <f t="shared" si="1630"/>
        <v>1</v>
      </c>
      <c r="BW2207" s="109">
        <f t="shared" ref="BW2207:BW2270" si="1650">BV2207-BU2207</f>
        <v>0</v>
      </c>
      <c r="BX2207" s="111">
        <f t="shared" si="1621"/>
        <v>0</v>
      </c>
      <c r="BY2207" s="129">
        <f t="shared" si="1622"/>
        <v>-3</v>
      </c>
      <c r="BZ2207" s="111">
        <f t="shared" si="1623"/>
        <v>0</v>
      </c>
      <c r="CA2207" s="138">
        <f t="shared" si="1624"/>
        <v>3</v>
      </c>
      <c r="CB2207" s="111" t="e">
        <f t="shared" si="1649"/>
        <v>#VALUE!</v>
      </c>
      <c r="CC2207" s="129">
        <f>G2207-I2207+1</f>
        <v>3</v>
      </c>
      <c r="CD2207" s="129">
        <f>G2207-J2207</f>
        <v>0</v>
      </c>
      <c r="CG2207" s="129" t="str">
        <f t="shared" si="1625"/>
        <v>N</v>
      </c>
      <c r="CI2207" s="129" t="str">
        <f t="shared" si="1633"/>
        <v>0-10 DAYS</v>
      </c>
      <c r="CJ2207" s="137">
        <f t="shared" si="1634"/>
        <v>1</v>
      </c>
      <c r="CK2207" s="129" t="str">
        <f t="shared" si="1635"/>
        <v>Booked</v>
      </c>
    </row>
    <row r="2208" spans="1:89" ht="15.75" customHeight="1" x14ac:dyDescent="0.25">
      <c r="A2208" s="111">
        <v>1849</v>
      </c>
      <c r="B2208" s="128" t="str">
        <f t="shared" si="1614"/>
        <v>N</v>
      </c>
      <c r="C2208" s="128" t="str">
        <f t="shared" si="1615"/>
        <v>N</v>
      </c>
      <c r="D2208" s="117">
        <v>2468498</v>
      </c>
      <c r="E2208" s="135">
        <f t="shared" si="1616"/>
        <v>2</v>
      </c>
      <c r="F2208" s="124">
        <v>40977</v>
      </c>
      <c r="G2208" s="125">
        <v>41024</v>
      </c>
      <c r="H2208" s="117">
        <v>2468498</v>
      </c>
      <c r="I2208" s="124">
        <v>40977</v>
      </c>
      <c r="J2208" s="124">
        <v>41024</v>
      </c>
      <c r="K2208" s="126" t="s">
        <v>564</v>
      </c>
      <c r="L2208" s="127" t="s">
        <v>564</v>
      </c>
      <c r="N2208" s="129" t="s">
        <v>566</v>
      </c>
      <c r="O2208" s="128" t="s">
        <v>917</v>
      </c>
      <c r="P2208" s="129" t="s">
        <v>589</v>
      </c>
      <c r="Q2208" s="111">
        <f t="shared" si="1646"/>
        <v>48</v>
      </c>
      <c r="R2208" s="111">
        <f t="shared" si="1639"/>
        <v>48</v>
      </c>
      <c r="S2208" s="129">
        <v>0</v>
      </c>
      <c r="T2208" s="129">
        <v>2</v>
      </c>
      <c r="W2208" s="111"/>
      <c r="AC2208" s="130"/>
      <c r="AD2208" s="130">
        <v>29811</v>
      </c>
      <c r="AE2208" s="128" t="s">
        <v>32</v>
      </c>
      <c r="AF2208" s="128" t="s">
        <v>33</v>
      </c>
      <c r="AG2208" s="128" t="s">
        <v>872</v>
      </c>
      <c r="AH2208" s="108" t="s">
        <v>58</v>
      </c>
      <c r="AI2208" s="128" t="s">
        <v>141</v>
      </c>
      <c r="AJ2208" s="129" t="s">
        <v>48</v>
      </c>
      <c r="AK2208" s="129">
        <v>3</v>
      </c>
      <c r="AL2208" s="3" t="s">
        <v>48</v>
      </c>
      <c r="AP2208" s="129" t="s">
        <v>150</v>
      </c>
      <c r="AR2208" s="128" t="s">
        <v>67</v>
      </c>
      <c r="AS2208" s="129" t="s">
        <v>74</v>
      </c>
      <c r="BC2208" s="129" t="s">
        <v>38</v>
      </c>
      <c r="BF2208" s="111">
        <f t="shared" si="1647"/>
        <v>48</v>
      </c>
      <c r="BG2208" s="111">
        <f t="shared" si="1648"/>
        <v>48</v>
      </c>
      <c r="BH2208" s="111">
        <f t="shared" si="1611"/>
        <v>48</v>
      </c>
      <c r="BI2208" s="111">
        <f t="shared" si="1612"/>
        <v>30.508196721311474</v>
      </c>
      <c r="BJ2208" s="129">
        <f t="shared" si="1626"/>
        <v>0</v>
      </c>
      <c r="BK2208" s="129">
        <f t="shared" si="1613"/>
        <v>0</v>
      </c>
      <c r="BL2208" s="129" t="str">
        <f t="shared" si="1645"/>
        <v>DEFERRED</v>
      </c>
      <c r="BM2208" s="129" t="str">
        <f t="shared" si="1627"/>
        <v>NONE</v>
      </c>
      <c r="BN2208" s="129" t="s">
        <v>566</v>
      </c>
      <c r="BP2208" s="137" t="str">
        <f t="shared" si="1617"/>
        <v>DEFERRED</v>
      </c>
      <c r="BQ2208" s="128" t="str">
        <f t="shared" si="1618"/>
        <v>Y</v>
      </c>
      <c r="BR2208" s="129" t="str">
        <f t="shared" si="1628"/>
        <v>DETAINED</v>
      </c>
      <c r="BS2208" s="129" t="str">
        <f t="shared" si="1619"/>
        <v>DISPOSED</v>
      </c>
      <c r="BT2208" s="129" t="str">
        <f t="shared" si="1620"/>
        <v>N</v>
      </c>
      <c r="BU2208" s="109">
        <f t="shared" si="1629"/>
        <v>1</v>
      </c>
      <c r="BV2208" s="109">
        <f t="shared" si="1630"/>
        <v>1</v>
      </c>
      <c r="BW2208" s="109">
        <f t="shared" si="1650"/>
        <v>0</v>
      </c>
      <c r="BX2208" s="111">
        <f t="shared" si="1621"/>
        <v>0</v>
      </c>
      <c r="BY2208" s="129">
        <f t="shared" si="1622"/>
        <v>-48</v>
      </c>
      <c r="BZ2208" s="111">
        <f t="shared" si="1623"/>
        <v>0</v>
      </c>
      <c r="CA2208" s="138">
        <f t="shared" si="1624"/>
        <v>48</v>
      </c>
      <c r="CB2208" s="111" t="e">
        <f t="shared" si="1649"/>
        <v>#VALUE!</v>
      </c>
      <c r="CC2208" s="129">
        <f>G2208-I2208+1</f>
        <v>48</v>
      </c>
      <c r="CD2208" s="129">
        <f>G2208-J2208</f>
        <v>0</v>
      </c>
      <c r="CG2208" s="129" t="str">
        <f t="shared" si="1625"/>
        <v>Y</v>
      </c>
      <c r="CI2208" s="129" t="str">
        <f t="shared" si="1633"/>
        <v>31-60 DAYS</v>
      </c>
      <c r="CJ2208" s="137">
        <f t="shared" si="1634"/>
        <v>3</v>
      </c>
      <c r="CK2208" s="129" t="str">
        <f t="shared" si="1635"/>
        <v>Booked</v>
      </c>
    </row>
    <row r="2209" spans="1:89" ht="15" customHeight="1" x14ac:dyDescent="0.25">
      <c r="A2209" s="111">
        <v>1960</v>
      </c>
      <c r="B2209" s="128" t="str">
        <f t="shared" si="1614"/>
        <v>N</v>
      </c>
      <c r="C2209" s="128" t="str">
        <f t="shared" si="1615"/>
        <v>N</v>
      </c>
      <c r="D2209" s="117">
        <v>2469382</v>
      </c>
      <c r="E2209" s="135">
        <f t="shared" si="1616"/>
        <v>1</v>
      </c>
      <c r="F2209" s="124">
        <v>40982</v>
      </c>
      <c r="G2209" s="125">
        <v>41081</v>
      </c>
      <c r="H2209" s="117">
        <v>2469382</v>
      </c>
      <c r="I2209" s="124">
        <v>40982</v>
      </c>
      <c r="J2209" s="124">
        <v>40984</v>
      </c>
      <c r="K2209" s="126">
        <v>30000</v>
      </c>
      <c r="L2209" s="129" t="s">
        <v>572</v>
      </c>
      <c r="M2209" s="125">
        <v>40984</v>
      </c>
      <c r="N2209" s="129" t="str">
        <f t="shared" ref="N2209:N2214" si="1651">IF(M2209&gt;1/1/1,"Y","N")</f>
        <v>Y</v>
      </c>
      <c r="O2209" s="128" t="s">
        <v>585</v>
      </c>
      <c r="P2209" s="129" t="s">
        <v>123</v>
      </c>
      <c r="Q2209" s="111">
        <f t="shared" si="1646"/>
        <v>3</v>
      </c>
      <c r="R2209" s="111">
        <f t="shared" si="1639"/>
        <v>100</v>
      </c>
      <c r="S2209" s="129">
        <v>0</v>
      </c>
      <c r="T2209" s="129">
        <v>0</v>
      </c>
      <c r="W2209" s="111"/>
      <c r="AC2209" s="130"/>
      <c r="AD2209" s="130">
        <v>33770</v>
      </c>
      <c r="AE2209" s="128" t="s">
        <v>32</v>
      </c>
      <c r="AF2209" s="128" t="s">
        <v>33</v>
      </c>
      <c r="AG2209" s="128" t="s">
        <v>872</v>
      </c>
      <c r="AH2209" s="108" t="s">
        <v>31</v>
      </c>
      <c r="AI2209" s="128" t="s">
        <v>71</v>
      </c>
      <c r="AJ2209" s="129" t="s">
        <v>123</v>
      </c>
      <c r="AK2209" s="129">
        <v>6</v>
      </c>
      <c r="AL2209" s="3" t="s">
        <v>123</v>
      </c>
      <c r="AP2209" s="129" t="s">
        <v>91</v>
      </c>
      <c r="AR2209" s="128" t="s">
        <v>92</v>
      </c>
      <c r="AS2209" s="129" t="s">
        <v>74</v>
      </c>
      <c r="AT2209" s="129" t="s">
        <v>840</v>
      </c>
      <c r="BC2209" s="129" t="s">
        <v>52</v>
      </c>
      <c r="BF2209" s="111">
        <v>3</v>
      </c>
      <c r="BG2209" s="111">
        <f t="shared" si="1648"/>
        <v>100</v>
      </c>
      <c r="BH2209" s="111">
        <f t="shared" si="1611"/>
        <v>100</v>
      </c>
      <c r="BI2209" s="111">
        <f t="shared" si="1612"/>
        <v>19.704918032786885</v>
      </c>
      <c r="BJ2209" s="129">
        <f>(G2209-J2209)+(M2209-G2209)</f>
        <v>0</v>
      </c>
      <c r="BK2209" s="129">
        <f t="shared" si="1613"/>
        <v>-97</v>
      </c>
      <c r="BL2209" s="129" t="str">
        <f t="shared" si="1645"/>
        <v>NO CONVICTION</v>
      </c>
      <c r="BM2209" s="129" t="s">
        <v>76</v>
      </c>
      <c r="BN2209" s="129" t="s">
        <v>88</v>
      </c>
      <c r="BP2209" s="137" t="str">
        <f t="shared" si="1617"/>
        <v>NO CONVICTION</v>
      </c>
      <c r="BQ2209" s="128" t="str">
        <f t="shared" si="1618"/>
        <v>Y</v>
      </c>
      <c r="BR2209" s="129" t="str">
        <f t="shared" si="1628"/>
        <v>ON BOND</v>
      </c>
      <c r="BS2209" s="129" t="str">
        <f t="shared" si="1619"/>
        <v>DISPOSED</v>
      </c>
      <c r="BT2209" s="129" t="str">
        <f t="shared" si="1620"/>
        <v>N</v>
      </c>
      <c r="BU2209" s="109">
        <f>IFERROR(Q2209/R2209,BR2209)</f>
        <v>0.03</v>
      </c>
      <c r="BV2209" s="109">
        <f t="shared" si="1630"/>
        <v>0.03</v>
      </c>
      <c r="BW2209" s="109">
        <f t="shared" si="1650"/>
        <v>0</v>
      </c>
      <c r="BX2209" s="111">
        <f t="shared" si="1621"/>
        <v>0</v>
      </c>
      <c r="BY2209" s="129">
        <f t="shared" si="1622"/>
        <v>-3</v>
      </c>
      <c r="BZ2209" s="111">
        <f t="shared" si="1623"/>
        <v>0</v>
      </c>
      <c r="CA2209" s="138">
        <f t="shared" si="1624"/>
        <v>3</v>
      </c>
      <c r="CB2209" s="111" t="e">
        <f t="shared" si="1649"/>
        <v>#VALUE!</v>
      </c>
      <c r="CD2209" s="129">
        <f>G2209-J2209</f>
        <v>97</v>
      </c>
      <c r="CG2209" s="129" t="str">
        <f t="shared" si="1625"/>
        <v>N</v>
      </c>
      <c r="CI2209" s="129" t="str">
        <f t="shared" si="1633"/>
        <v>0-10 DAYS</v>
      </c>
      <c r="CJ2209" s="137">
        <f t="shared" si="1634"/>
        <v>1</v>
      </c>
      <c r="CK2209" s="129" t="str">
        <f t="shared" si="1635"/>
        <v>Booked</v>
      </c>
    </row>
    <row r="2210" spans="1:89" ht="15" customHeight="1" x14ac:dyDescent="0.25">
      <c r="A2210" s="111">
        <v>1046</v>
      </c>
      <c r="B2210" s="128" t="str">
        <f t="shared" si="1614"/>
        <v>N</v>
      </c>
      <c r="C2210" s="128" t="str">
        <f t="shared" si="1615"/>
        <v>N</v>
      </c>
      <c r="D2210" s="117">
        <v>2469812</v>
      </c>
      <c r="E2210" s="135">
        <f t="shared" si="1616"/>
        <v>4</v>
      </c>
      <c r="F2210" s="124">
        <v>40947</v>
      </c>
      <c r="G2210" s="125">
        <v>41008</v>
      </c>
      <c r="H2210" s="117">
        <v>2469812</v>
      </c>
      <c r="I2210" s="124">
        <v>40958</v>
      </c>
      <c r="J2210" s="124">
        <v>40959</v>
      </c>
      <c r="K2210" s="126">
        <v>5000</v>
      </c>
      <c r="L2210" s="127" t="s">
        <v>569</v>
      </c>
      <c r="M2210" s="125">
        <v>40959</v>
      </c>
      <c r="N2210" s="129" t="str">
        <f t="shared" si="1651"/>
        <v>Y</v>
      </c>
      <c r="O2210" s="128" t="s">
        <v>585</v>
      </c>
      <c r="P2210" s="129" t="s">
        <v>39</v>
      </c>
      <c r="Q2210" s="111">
        <f t="shared" si="1646"/>
        <v>2</v>
      </c>
      <c r="R2210" s="111">
        <f t="shared" si="1639"/>
        <v>62</v>
      </c>
      <c r="S2210" s="129">
        <v>1</v>
      </c>
      <c r="T2210" s="129">
        <v>0</v>
      </c>
      <c r="U2210" s="129">
        <v>1</v>
      </c>
      <c r="W2210" s="111"/>
      <c r="AC2210" s="130"/>
      <c r="AD2210" s="130">
        <v>33468</v>
      </c>
      <c r="AE2210" s="128" t="s">
        <v>32</v>
      </c>
      <c r="AF2210" s="128" t="s">
        <v>33</v>
      </c>
      <c r="AG2210" s="128" t="s">
        <v>872</v>
      </c>
      <c r="AH2210" s="108" t="s">
        <v>58</v>
      </c>
      <c r="AI2210" s="128" t="s">
        <v>53</v>
      </c>
      <c r="AJ2210" s="129" t="s">
        <v>89</v>
      </c>
      <c r="AK2210" s="129">
        <v>4</v>
      </c>
      <c r="AL2210" s="3" t="s">
        <v>991</v>
      </c>
      <c r="AO2210" s="128">
        <v>90</v>
      </c>
      <c r="AP2210" s="129" t="s">
        <v>278</v>
      </c>
      <c r="AR2210" s="128" t="s">
        <v>44</v>
      </c>
      <c r="AS2210" s="129" t="s">
        <v>45</v>
      </c>
      <c r="BC2210" s="129" t="s">
        <v>52</v>
      </c>
      <c r="BF2210" s="111">
        <f t="shared" si="1647"/>
        <v>2</v>
      </c>
      <c r="BG2210" s="111">
        <f t="shared" si="1648"/>
        <v>51</v>
      </c>
      <c r="BH2210" s="111">
        <f t="shared" si="1611"/>
        <v>62</v>
      </c>
      <c r="BI2210" s="111">
        <f t="shared" si="1612"/>
        <v>20.434426229508198</v>
      </c>
      <c r="BJ2210" s="129">
        <f>(G2210-J2210)+(M2210-G2210)</f>
        <v>0</v>
      </c>
      <c r="BK2210" s="129">
        <f t="shared" si="1613"/>
        <v>-49</v>
      </c>
      <c r="BL2210" s="129" t="str">
        <f t="shared" si="1645"/>
        <v>CONVICTION</v>
      </c>
      <c r="BM2210" s="129" t="s">
        <v>76</v>
      </c>
      <c r="BN2210" s="129" t="s">
        <v>88</v>
      </c>
      <c r="BP2210" s="137" t="str">
        <f t="shared" si="1617"/>
        <v>CONVICTION</v>
      </c>
      <c r="BQ2210" s="128" t="str">
        <f t="shared" si="1618"/>
        <v>Y</v>
      </c>
      <c r="BR2210" s="129" t="str">
        <f>IF(J2210&lt;G2210,"ON BOND",0)</f>
        <v>ON BOND</v>
      </c>
      <c r="BS2210" s="129" t="str">
        <f t="shared" si="1619"/>
        <v>DISPOSED</v>
      </c>
      <c r="BT2210" s="129" t="str">
        <f t="shared" si="1620"/>
        <v>Y</v>
      </c>
      <c r="BU2210" s="109">
        <f t="shared" si="1629"/>
        <v>3.2258064516129031E-2</v>
      </c>
      <c r="BV2210" s="109">
        <f t="shared" si="1630"/>
        <v>3.9215686274509803E-2</v>
      </c>
      <c r="BW2210" s="109">
        <f t="shared" si="1650"/>
        <v>6.957621758380772E-3</v>
      </c>
      <c r="BX2210" s="111">
        <f t="shared" si="1621"/>
        <v>0</v>
      </c>
      <c r="BY2210" s="129">
        <f t="shared" si="1622"/>
        <v>-2</v>
      </c>
      <c r="BZ2210" s="111">
        <f t="shared" si="1623"/>
        <v>0</v>
      </c>
      <c r="CA2210" s="138">
        <f t="shared" si="1624"/>
        <v>2</v>
      </c>
      <c r="CB2210" s="111" t="e">
        <f t="shared" si="1649"/>
        <v>#VALUE!</v>
      </c>
      <c r="CC2210" s="129">
        <f>M2210-I2210+1</f>
        <v>2</v>
      </c>
      <c r="CD2210" s="111">
        <f>CC2210-BF2210</f>
        <v>0</v>
      </c>
      <c r="CG2210" s="129" t="str">
        <f t="shared" si="1625"/>
        <v>Y</v>
      </c>
      <c r="CI2210" s="129" t="str">
        <f t="shared" si="1633"/>
        <v>0-10 DAYS</v>
      </c>
      <c r="CJ2210" s="137">
        <f t="shared" si="1634"/>
        <v>1</v>
      </c>
      <c r="CK2210" s="129" t="str">
        <f t="shared" si="1635"/>
        <v>Booked</v>
      </c>
    </row>
    <row r="2211" spans="1:89" ht="15.75" customHeight="1" x14ac:dyDescent="0.25">
      <c r="A2211" s="111">
        <v>381</v>
      </c>
      <c r="B2211" s="128" t="str">
        <f t="shared" si="1614"/>
        <v>N</v>
      </c>
      <c r="C2211" s="128" t="str">
        <f t="shared" si="1615"/>
        <v>N</v>
      </c>
      <c r="D2211" s="117">
        <v>2469993</v>
      </c>
      <c r="E2211" s="135">
        <f t="shared" si="1616"/>
        <v>1</v>
      </c>
      <c r="F2211" s="124">
        <v>40924</v>
      </c>
      <c r="G2211" s="125">
        <v>40983</v>
      </c>
      <c r="H2211" s="117">
        <v>2469993</v>
      </c>
      <c r="I2211" s="124">
        <v>40925</v>
      </c>
      <c r="J2211" s="124">
        <v>40954</v>
      </c>
      <c r="K2211" s="126">
        <v>10000</v>
      </c>
      <c r="L2211" s="127" t="s">
        <v>570</v>
      </c>
      <c r="M2211" s="125">
        <v>40954</v>
      </c>
      <c r="N2211" s="129" t="str">
        <f t="shared" si="1651"/>
        <v>Y</v>
      </c>
      <c r="O2211" s="128" t="s">
        <v>76</v>
      </c>
      <c r="P2211" s="129" t="s">
        <v>55</v>
      </c>
      <c r="Q2211" s="111">
        <f t="shared" si="1646"/>
        <v>30</v>
      </c>
      <c r="R2211" s="111">
        <f t="shared" si="1639"/>
        <v>60</v>
      </c>
      <c r="S2211" s="129">
        <v>1</v>
      </c>
      <c r="T2211" s="129">
        <v>1</v>
      </c>
      <c r="W2211" s="111"/>
      <c r="AC2211" s="130"/>
      <c r="AD2211" s="130">
        <v>33649</v>
      </c>
      <c r="AE2211" s="128" t="s">
        <v>32</v>
      </c>
      <c r="AF2211" s="128" t="s">
        <v>40</v>
      </c>
      <c r="AG2211" s="128" t="s">
        <v>41</v>
      </c>
      <c r="AH2211" s="108" t="s">
        <v>41</v>
      </c>
      <c r="AI2211" s="128" t="s">
        <v>95</v>
      </c>
      <c r="AJ2211" s="129" t="s">
        <v>55</v>
      </c>
      <c r="AL2211" s="3" t="s">
        <v>55</v>
      </c>
      <c r="AP2211" s="129" t="s">
        <v>56</v>
      </c>
      <c r="AR2211" s="128" t="s">
        <v>50</v>
      </c>
      <c r="AS2211" s="129" t="s">
        <v>57</v>
      </c>
      <c r="BC2211" s="129" t="s">
        <v>52</v>
      </c>
      <c r="BD2211" s="3"/>
      <c r="BF2211" s="111">
        <f t="shared" si="1647"/>
        <v>30</v>
      </c>
      <c r="BG2211" s="111">
        <f t="shared" si="1648"/>
        <v>59</v>
      </c>
      <c r="BH2211" s="111">
        <f t="shared" si="1611"/>
        <v>60</v>
      </c>
      <c r="BI2211" s="111">
        <f t="shared" si="1612"/>
        <v>19.877049180327869</v>
      </c>
      <c r="BJ2211" s="129">
        <f>(G2211-J2211)+(M2211-G2211)</f>
        <v>0</v>
      </c>
      <c r="BK2211" s="129">
        <f t="shared" si="1613"/>
        <v>-29</v>
      </c>
      <c r="BL2211" s="129" t="str">
        <f t="shared" si="1645"/>
        <v>NO CONVICTION</v>
      </c>
      <c r="BM2211" s="129" t="s">
        <v>76</v>
      </c>
      <c r="BN2211" s="129" t="s">
        <v>88</v>
      </c>
      <c r="BP2211" s="137" t="str">
        <f t="shared" si="1617"/>
        <v>NO CONVICTION</v>
      </c>
      <c r="BQ2211" s="128" t="str">
        <f t="shared" si="1618"/>
        <v>Y</v>
      </c>
      <c r="BR2211" s="129" t="str">
        <f t="shared" si="1628"/>
        <v>ON BOND</v>
      </c>
      <c r="BS2211" s="129" t="str">
        <f t="shared" si="1619"/>
        <v>DISPOSED</v>
      </c>
      <c r="BT2211" s="129" t="str">
        <f t="shared" si="1620"/>
        <v>Y</v>
      </c>
      <c r="BU2211" s="109">
        <f>IFERROR(Q2211/R2211,BR2211)</f>
        <v>0.5</v>
      </c>
      <c r="BV2211" s="109">
        <f t="shared" si="1630"/>
        <v>0.50847457627118642</v>
      </c>
      <c r="BW2211" s="109">
        <f t="shared" si="1650"/>
        <v>8.4745762711864181E-3</v>
      </c>
      <c r="BX2211" s="111">
        <f t="shared" si="1621"/>
        <v>0</v>
      </c>
      <c r="BY2211" s="129">
        <f t="shared" si="1622"/>
        <v>-30</v>
      </c>
      <c r="BZ2211" s="111">
        <f t="shared" si="1623"/>
        <v>0</v>
      </c>
      <c r="CA2211" s="138">
        <f t="shared" si="1624"/>
        <v>30</v>
      </c>
      <c r="CB2211" s="111" t="e">
        <f t="shared" si="1649"/>
        <v>#VALUE!</v>
      </c>
      <c r="CC2211" s="129">
        <f>M2211-I2211+1</f>
        <v>30</v>
      </c>
      <c r="CD2211" s="111">
        <f>CC2211-BF2211</f>
        <v>0</v>
      </c>
      <c r="CG2211" s="129" t="str">
        <f t="shared" si="1625"/>
        <v>Y</v>
      </c>
      <c r="CI2211" s="129" t="str">
        <f t="shared" si="1633"/>
        <v>11-30 DAYS</v>
      </c>
      <c r="CJ2211" s="137">
        <f t="shared" si="1634"/>
        <v>2</v>
      </c>
      <c r="CK2211" s="129" t="str">
        <f t="shared" si="1635"/>
        <v>Booked</v>
      </c>
    </row>
    <row r="2212" spans="1:89" ht="15.75" customHeight="1" x14ac:dyDescent="0.25">
      <c r="A2212" s="111">
        <v>1914</v>
      </c>
      <c r="B2212" s="128" t="str">
        <f t="shared" si="1614"/>
        <v>N</v>
      </c>
      <c r="C2212" s="128" t="str">
        <f t="shared" si="1615"/>
        <v>N</v>
      </c>
      <c r="D2212" s="117">
        <v>2470644</v>
      </c>
      <c r="E2212" s="135">
        <f t="shared" si="1616"/>
        <v>5</v>
      </c>
      <c r="F2212" s="124">
        <v>40980</v>
      </c>
      <c r="G2212" s="125">
        <v>40983</v>
      </c>
      <c r="H2212" s="117">
        <v>2470644</v>
      </c>
      <c r="I2212" s="124">
        <v>40980</v>
      </c>
      <c r="J2212" s="124">
        <v>40983</v>
      </c>
      <c r="K2212" s="126">
        <v>5000</v>
      </c>
      <c r="L2212" s="127" t="s">
        <v>569</v>
      </c>
      <c r="N2212" s="129" t="str">
        <f t="shared" si="1651"/>
        <v>N</v>
      </c>
      <c r="O2212" s="128" t="s">
        <v>917</v>
      </c>
      <c r="P2212" s="129" t="s">
        <v>39</v>
      </c>
      <c r="Q2212" s="111">
        <f t="shared" si="1646"/>
        <v>4</v>
      </c>
      <c r="R2212" s="111">
        <f t="shared" si="1639"/>
        <v>4</v>
      </c>
      <c r="S2212" s="129">
        <v>1</v>
      </c>
      <c r="T2212" s="129">
        <v>1</v>
      </c>
      <c r="U2212" s="129">
        <v>1</v>
      </c>
      <c r="W2212" s="111"/>
      <c r="AC2212" s="130"/>
      <c r="AD2212" s="130">
        <v>33816</v>
      </c>
      <c r="AE2212" s="128" t="s">
        <v>32</v>
      </c>
      <c r="AF2212" s="128" t="s">
        <v>69</v>
      </c>
      <c r="AG2212" s="128" t="s">
        <v>874</v>
      </c>
      <c r="AH2212" s="108" t="s">
        <v>31</v>
      </c>
      <c r="AI2212" s="128" t="s">
        <v>87</v>
      </c>
      <c r="AJ2212" s="129" t="s">
        <v>89</v>
      </c>
      <c r="AK2212" s="129">
        <v>2</v>
      </c>
      <c r="AL2212" s="3" t="s">
        <v>992</v>
      </c>
      <c r="AN2212" s="117">
        <v>15</v>
      </c>
      <c r="AP2212" s="129" t="s">
        <v>98</v>
      </c>
      <c r="AR2212" s="128" t="s">
        <v>44</v>
      </c>
      <c r="AS2212" s="129" t="s">
        <v>64</v>
      </c>
      <c r="BC2212" s="129" t="s">
        <v>38</v>
      </c>
      <c r="BF2212" s="111">
        <f t="shared" si="1647"/>
        <v>4</v>
      </c>
      <c r="BG2212" s="111">
        <f t="shared" si="1648"/>
        <v>4</v>
      </c>
      <c r="BH2212" s="111">
        <f t="shared" si="1611"/>
        <v>4</v>
      </c>
      <c r="BI2212" s="111">
        <f t="shared" si="1612"/>
        <v>19.57377049180328</v>
      </c>
      <c r="BJ2212" s="129">
        <f t="shared" si="1626"/>
        <v>0</v>
      </c>
      <c r="BK2212" s="129">
        <f t="shared" si="1613"/>
        <v>0</v>
      </c>
      <c r="BL2212" s="129" t="str">
        <f t="shared" si="1645"/>
        <v>CONVICTION</v>
      </c>
      <c r="BM2212" s="129" t="str">
        <f t="shared" si="1627"/>
        <v>NONE</v>
      </c>
      <c r="BN2212" s="129" t="s">
        <v>566</v>
      </c>
      <c r="BP2212" s="137" t="str">
        <f t="shared" si="1617"/>
        <v>CONVICTION</v>
      </c>
      <c r="BQ2212" s="128" t="str">
        <f t="shared" si="1618"/>
        <v>Y</v>
      </c>
      <c r="BR2212" s="129" t="str">
        <f t="shared" si="1628"/>
        <v>DETAINED</v>
      </c>
      <c r="BS2212" s="129" t="str">
        <f t="shared" si="1619"/>
        <v>DISPOSED</v>
      </c>
      <c r="BT2212" s="129" t="str">
        <f t="shared" si="1620"/>
        <v>Y</v>
      </c>
      <c r="BU2212" s="109">
        <f t="shared" si="1629"/>
        <v>1</v>
      </c>
      <c r="BV2212" s="109">
        <f t="shared" si="1630"/>
        <v>1</v>
      </c>
      <c r="BW2212" s="109">
        <f t="shared" si="1650"/>
        <v>0</v>
      </c>
      <c r="BX2212" s="111">
        <f t="shared" si="1621"/>
        <v>0</v>
      </c>
      <c r="BY2212" s="129">
        <f t="shared" si="1622"/>
        <v>-4</v>
      </c>
      <c r="BZ2212" s="111">
        <f t="shared" si="1623"/>
        <v>0</v>
      </c>
      <c r="CA2212" s="138">
        <f t="shared" si="1624"/>
        <v>4</v>
      </c>
      <c r="CB2212" s="111" t="e">
        <f t="shared" si="1649"/>
        <v>#VALUE!</v>
      </c>
      <c r="CC2212" s="129">
        <f>G2212-I2212+1</f>
        <v>4</v>
      </c>
      <c r="CD2212" s="129">
        <f>G2212-J2212</f>
        <v>0</v>
      </c>
      <c r="CG2212" s="129" t="str">
        <f t="shared" si="1625"/>
        <v>Y</v>
      </c>
      <c r="CI2212" s="129" t="str">
        <f t="shared" si="1633"/>
        <v>0-10 DAYS</v>
      </c>
      <c r="CJ2212" s="137">
        <f t="shared" si="1634"/>
        <v>1</v>
      </c>
      <c r="CK2212" s="129" t="str">
        <f t="shared" si="1635"/>
        <v>Booked</v>
      </c>
    </row>
    <row r="2213" spans="1:89" ht="15.75" customHeight="1" x14ac:dyDescent="0.25">
      <c r="A2213" s="111">
        <v>605</v>
      </c>
      <c r="B2213" s="128" t="str">
        <f t="shared" si="1614"/>
        <v>N</v>
      </c>
      <c r="C2213" s="128" t="str">
        <f t="shared" si="1615"/>
        <v>N</v>
      </c>
      <c r="D2213" s="117">
        <v>2471103</v>
      </c>
      <c r="E2213" s="135">
        <f t="shared" si="1616"/>
        <v>1</v>
      </c>
      <c r="F2213" s="124">
        <v>40932</v>
      </c>
      <c r="G2213" s="125">
        <v>41400</v>
      </c>
      <c r="H2213" s="117">
        <v>2471103</v>
      </c>
      <c r="I2213" s="124">
        <v>40932</v>
      </c>
      <c r="J2213" s="124">
        <v>40963</v>
      </c>
      <c r="K2213" s="126">
        <v>90000</v>
      </c>
      <c r="L2213" s="129" t="s">
        <v>572</v>
      </c>
      <c r="M2213" s="125">
        <v>40963</v>
      </c>
      <c r="N2213" s="129" t="str">
        <f t="shared" si="1651"/>
        <v>Y</v>
      </c>
      <c r="O2213" s="128" t="s">
        <v>76</v>
      </c>
      <c r="P2213" s="129" t="s">
        <v>55</v>
      </c>
      <c r="Q2213" s="111">
        <f t="shared" si="1646"/>
        <v>32</v>
      </c>
      <c r="R2213" s="111">
        <f t="shared" si="1639"/>
        <v>469</v>
      </c>
      <c r="S2213" s="129">
        <v>0</v>
      </c>
      <c r="T2213" s="129">
        <v>2</v>
      </c>
      <c r="W2213" s="111"/>
      <c r="AB2213" s="131" t="s">
        <v>112</v>
      </c>
      <c r="AC2213" s="130"/>
      <c r="AD2213" s="130">
        <v>33436</v>
      </c>
      <c r="AE2213" s="128" t="s">
        <v>32</v>
      </c>
      <c r="AF2213" s="128" t="s">
        <v>40</v>
      </c>
      <c r="AG2213" s="128" t="s">
        <v>41</v>
      </c>
      <c r="AH2213" s="108" t="s">
        <v>31</v>
      </c>
      <c r="AI2213" s="128" t="s">
        <v>95</v>
      </c>
      <c r="AJ2213" s="129" t="s">
        <v>31</v>
      </c>
      <c r="AK2213" s="129">
        <v>17</v>
      </c>
      <c r="AL2213" s="3" t="s">
        <v>55</v>
      </c>
      <c r="AP2213" s="129" t="s">
        <v>105</v>
      </c>
      <c r="AR2213" s="128" t="s">
        <v>92</v>
      </c>
      <c r="AS2213" s="129" t="s">
        <v>106</v>
      </c>
      <c r="AT2213" s="129" t="s">
        <v>1135</v>
      </c>
      <c r="BC2213" s="129" t="s">
        <v>52</v>
      </c>
      <c r="BF2213" s="111">
        <f t="shared" si="1647"/>
        <v>32</v>
      </c>
      <c r="BG2213" s="111">
        <f t="shared" si="1648"/>
        <v>469</v>
      </c>
      <c r="BH2213" s="111">
        <f t="shared" si="1611"/>
        <v>469</v>
      </c>
      <c r="BI2213" s="111">
        <f t="shared" si="1612"/>
        <v>20.480874316939889</v>
      </c>
      <c r="BJ2213" s="129">
        <f>(G2213-J2213)+(M2213-G2213)</f>
        <v>0</v>
      </c>
      <c r="BK2213" s="129">
        <f t="shared" si="1613"/>
        <v>-437</v>
      </c>
      <c r="BL2213" s="129" t="str">
        <f t="shared" si="1645"/>
        <v>NO CONVICTION</v>
      </c>
      <c r="BM2213" s="129" t="s">
        <v>76</v>
      </c>
      <c r="BN2213" s="129" t="s">
        <v>88</v>
      </c>
      <c r="BP2213" s="137" t="str">
        <f t="shared" si="1617"/>
        <v/>
      </c>
      <c r="BQ2213" s="128" t="str">
        <f t="shared" si="1618"/>
        <v>Y</v>
      </c>
      <c r="BR2213" s="129" t="str">
        <f t="shared" si="1628"/>
        <v>ON BOND</v>
      </c>
      <c r="BS2213" s="129" t="str">
        <f t="shared" si="1619"/>
        <v>DISPOSED</v>
      </c>
      <c r="BT2213" s="129" t="str">
        <f t="shared" si="1620"/>
        <v>N</v>
      </c>
      <c r="BU2213" s="109">
        <f>IFERROR(Q2213/R2213,BR2213)</f>
        <v>6.8230277185501065E-2</v>
      </c>
      <c r="BV2213" s="109">
        <f t="shared" si="1630"/>
        <v>6.8230277185501065E-2</v>
      </c>
      <c r="BW2213" s="109">
        <f t="shared" si="1650"/>
        <v>0</v>
      </c>
      <c r="BX2213" s="111">
        <f t="shared" si="1621"/>
        <v>0</v>
      </c>
      <c r="BY2213" s="129">
        <f t="shared" si="1622"/>
        <v>-32</v>
      </c>
      <c r="BZ2213" s="111">
        <f t="shared" si="1623"/>
        <v>0</v>
      </c>
      <c r="CA2213" s="138">
        <f t="shared" si="1624"/>
        <v>32</v>
      </c>
      <c r="CB2213" s="111" t="e">
        <f t="shared" si="1649"/>
        <v>#VALUE!</v>
      </c>
      <c r="CC2213" s="129">
        <f>M2213-I2213+1</f>
        <v>32</v>
      </c>
      <c r="CD2213" s="111">
        <f>CC2213-BF2213</f>
        <v>0</v>
      </c>
      <c r="CG2213" s="129" t="str">
        <f t="shared" si="1625"/>
        <v>Y</v>
      </c>
      <c r="CI2213" s="129" t="str">
        <f t="shared" si="1633"/>
        <v>31-60 DAYS</v>
      </c>
      <c r="CJ2213" s="137">
        <f t="shared" si="1634"/>
        <v>3</v>
      </c>
      <c r="CK2213" s="129" t="str">
        <f t="shared" si="1635"/>
        <v>Booked</v>
      </c>
    </row>
    <row r="2214" spans="1:89" ht="15.75" customHeight="1" x14ac:dyDescent="0.25">
      <c r="A2214" s="111">
        <v>1596</v>
      </c>
      <c r="B2214" s="128" t="str">
        <f t="shared" si="1614"/>
        <v>N</v>
      </c>
      <c r="C2214" s="128" t="str">
        <f t="shared" si="1615"/>
        <v>N</v>
      </c>
      <c r="D2214" s="117">
        <v>2471230</v>
      </c>
      <c r="E2214" s="135">
        <f t="shared" si="1616"/>
        <v>2</v>
      </c>
      <c r="F2214" s="124">
        <v>40968</v>
      </c>
      <c r="G2214" s="125">
        <v>40981</v>
      </c>
      <c r="H2214" s="117">
        <v>2471230</v>
      </c>
      <c r="I2214" s="124">
        <v>40968</v>
      </c>
      <c r="J2214" s="124">
        <v>40981</v>
      </c>
      <c r="K2214" s="126">
        <v>5000</v>
      </c>
      <c r="L2214" s="127" t="s">
        <v>569</v>
      </c>
      <c r="N2214" s="129" t="str">
        <f t="shared" si="1651"/>
        <v>N</v>
      </c>
      <c r="O2214" s="128" t="s">
        <v>917</v>
      </c>
      <c r="P2214" s="129" t="s">
        <v>589</v>
      </c>
      <c r="Q2214" s="111">
        <f t="shared" si="1646"/>
        <v>14</v>
      </c>
      <c r="R2214" s="111">
        <f t="shared" si="1639"/>
        <v>14</v>
      </c>
      <c r="S2214" s="129">
        <v>1</v>
      </c>
      <c r="T2214" s="129">
        <v>1</v>
      </c>
      <c r="U2214" s="129">
        <v>1</v>
      </c>
      <c r="W2214" s="111"/>
      <c r="AC2214" s="130"/>
      <c r="AD2214" s="130">
        <v>27263</v>
      </c>
      <c r="AE2214" s="128" t="s">
        <v>46</v>
      </c>
      <c r="AF2214" s="128" t="s">
        <v>69</v>
      </c>
      <c r="AG2214" s="128" t="s">
        <v>874</v>
      </c>
      <c r="AH2214" s="108" t="s">
        <v>58</v>
      </c>
      <c r="AI2214" s="128" t="s">
        <v>113</v>
      </c>
      <c r="AJ2214" s="129" t="s">
        <v>48</v>
      </c>
      <c r="AK2214" s="129">
        <v>4</v>
      </c>
      <c r="AL2214" s="3" t="s">
        <v>48</v>
      </c>
      <c r="AP2214" s="129" t="s">
        <v>43</v>
      </c>
      <c r="AR2214" s="128" t="s">
        <v>44</v>
      </c>
      <c r="AS2214" s="129" t="s">
        <v>45</v>
      </c>
      <c r="AT2214" s="129" t="s">
        <v>353</v>
      </c>
      <c r="BC2214" s="129" t="s">
        <v>38</v>
      </c>
      <c r="BF2214" s="111">
        <f t="shared" si="1647"/>
        <v>14</v>
      </c>
      <c r="BG2214" s="111">
        <f t="shared" si="1648"/>
        <v>14</v>
      </c>
      <c r="BH2214" s="111">
        <f t="shared" si="1611"/>
        <v>14</v>
      </c>
      <c r="BI2214" s="111">
        <f t="shared" si="1612"/>
        <v>37.44535519125683</v>
      </c>
      <c r="BJ2214" s="129">
        <f t="shared" si="1626"/>
        <v>0</v>
      </c>
      <c r="BK2214" s="129">
        <f t="shared" si="1613"/>
        <v>0</v>
      </c>
      <c r="BL2214" s="129" t="str">
        <f t="shared" si="1645"/>
        <v>DEFERRED</v>
      </c>
      <c r="BM2214" s="129" t="str">
        <f t="shared" si="1627"/>
        <v>NONE</v>
      </c>
      <c r="BN2214" s="129" t="s">
        <v>566</v>
      </c>
      <c r="BP2214" s="137" t="str">
        <f t="shared" si="1617"/>
        <v>DEFERRED</v>
      </c>
      <c r="BQ2214" s="128" t="str">
        <f t="shared" si="1618"/>
        <v>Y</v>
      </c>
      <c r="BR2214" s="129" t="str">
        <f t="shared" si="1628"/>
        <v>DETAINED</v>
      </c>
      <c r="BS2214" s="129" t="str">
        <f t="shared" si="1619"/>
        <v>DISPOSED</v>
      </c>
      <c r="BT2214" s="129" t="str">
        <f t="shared" si="1620"/>
        <v>Y</v>
      </c>
      <c r="BU2214" s="109">
        <f t="shared" si="1629"/>
        <v>1</v>
      </c>
      <c r="BV2214" s="109">
        <f t="shared" si="1630"/>
        <v>1</v>
      </c>
      <c r="BW2214" s="109">
        <f t="shared" si="1650"/>
        <v>0</v>
      </c>
      <c r="BX2214" s="111">
        <f t="shared" si="1621"/>
        <v>0</v>
      </c>
      <c r="BY2214" s="129">
        <f t="shared" si="1622"/>
        <v>-14</v>
      </c>
      <c r="BZ2214" s="111">
        <f t="shared" si="1623"/>
        <v>0</v>
      </c>
      <c r="CA2214" s="138">
        <f t="shared" si="1624"/>
        <v>14</v>
      </c>
      <c r="CB2214" s="111" t="e">
        <f t="shared" si="1649"/>
        <v>#VALUE!</v>
      </c>
      <c r="CC2214" s="129">
        <f>G2214-I2214+1</f>
        <v>14</v>
      </c>
      <c r="CD2214" s="129">
        <f>G2214-J2214</f>
        <v>0</v>
      </c>
      <c r="CG2214" s="129" t="str">
        <f t="shared" si="1625"/>
        <v>Y</v>
      </c>
      <c r="CI2214" s="129" t="str">
        <f t="shared" si="1633"/>
        <v>11-30 DAYS</v>
      </c>
      <c r="CJ2214" s="137">
        <f t="shared" si="1634"/>
        <v>2</v>
      </c>
      <c r="CK2214" s="129" t="str">
        <f t="shared" si="1635"/>
        <v>Booked</v>
      </c>
    </row>
    <row r="2215" spans="1:89" ht="15.75" customHeight="1" x14ac:dyDescent="0.25">
      <c r="A2215" s="111">
        <v>444</v>
      </c>
      <c r="B2215" s="128" t="str">
        <f t="shared" si="1614"/>
        <v>N</v>
      </c>
      <c r="C2215" s="128" t="str">
        <f t="shared" si="1615"/>
        <v>N</v>
      </c>
      <c r="D2215" s="117">
        <v>2471841</v>
      </c>
      <c r="E2215" s="135">
        <f t="shared" si="1616"/>
        <v>6</v>
      </c>
      <c r="F2215" s="124">
        <v>40927</v>
      </c>
      <c r="G2215" s="125">
        <v>41215</v>
      </c>
      <c r="H2215" s="117">
        <v>2471841</v>
      </c>
      <c r="I2215" s="124">
        <v>40929</v>
      </c>
      <c r="J2215" s="125">
        <v>41215</v>
      </c>
      <c r="K2215" s="126" t="s">
        <v>564</v>
      </c>
      <c r="L2215" s="127" t="s">
        <v>564</v>
      </c>
      <c r="N2215" s="129" t="s">
        <v>566</v>
      </c>
      <c r="O2215" s="128" t="s">
        <v>917</v>
      </c>
      <c r="P2215" s="129" t="s">
        <v>39</v>
      </c>
      <c r="Q2215" s="111">
        <f t="shared" si="1646"/>
        <v>287</v>
      </c>
      <c r="R2215" s="111">
        <f t="shared" si="1639"/>
        <v>289</v>
      </c>
      <c r="S2215" s="129">
        <v>1</v>
      </c>
      <c r="T2215" s="129">
        <v>1</v>
      </c>
      <c r="V2215" s="117">
        <v>1</v>
      </c>
      <c r="W2215" s="111"/>
      <c r="AB2215" s="131" t="s">
        <v>112</v>
      </c>
      <c r="AC2215" s="130"/>
      <c r="AD2215" s="130">
        <v>33943</v>
      </c>
      <c r="AE2215" s="128" t="s">
        <v>32</v>
      </c>
      <c r="AF2215" s="128" t="s">
        <v>40</v>
      </c>
      <c r="AG2215" s="128" t="s">
        <v>41</v>
      </c>
      <c r="AH2215" s="108" t="s">
        <v>31</v>
      </c>
      <c r="AI2215" s="128" t="s">
        <v>62</v>
      </c>
      <c r="AJ2215" s="129" t="s">
        <v>89</v>
      </c>
      <c r="AK2215" s="129">
        <v>10</v>
      </c>
      <c r="AL2215" s="3" t="s">
        <v>362</v>
      </c>
      <c r="AM2215" s="117">
        <v>10</v>
      </c>
      <c r="AP2215" s="129" t="s">
        <v>186</v>
      </c>
      <c r="AR2215" s="128" t="s">
        <v>50</v>
      </c>
      <c r="AS2215" s="129" t="s">
        <v>106</v>
      </c>
      <c r="BC2215" s="129" t="s">
        <v>38</v>
      </c>
      <c r="BF2215" s="111">
        <f t="shared" si="1647"/>
        <v>287</v>
      </c>
      <c r="BG2215" s="111">
        <f t="shared" si="1648"/>
        <v>287</v>
      </c>
      <c r="BH2215" s="111">
        <f t="shared" si="1611"/>
        <v>289</v>
      </c>
      <c r="BI2215" s="111">
        <f t="shared" si="1612"/>
        <v>19.081967213114755</v>
      </c>
      <c r="BJ2215" s="129">
        <f t="shared" si="1626"/>
        <v>0</v>
      </c>
      <c r="BK2215" s="129">
        <f t="shared" si="1613"/>
        <v>0</v>
      </c>
      <c r="BL2215" s="129" t="str">
        <f t="shared" si="1645"/>
        <v>CONVICTION</v>
      </c>
      <c r="BM2215" s="129" t="str">
        <f t="shared" si="1627"/>
        <v>NONE</v>
      </c>
      <c r="BN2215" s="129" t="s">
        <v>566</v>
      </c>
      <c r="BP2215" s="137" t="str">
        <f t="shared" si="1617"/>
        <v>CONVICTION</v>
      </c>
      <c r="BQ2215" s="128" t="str">
        <f t="shared" si="1618"/>
        <v>Y</v>
      </c>
      <c r="BR2215" s="129" t="str">
        <f t="shared" si="1628"/>
        <v>DETAINED</v>
      </c>
      <c r="BS2215" s="129" t="str">
        <f t="shared" si="1619"/>
        <v>DISPOSED</v>
      </c>
      <c r="BT2215" s="129" t="str">
        <f t="shared" si="1620"/>
        <v>Y</v>
      </c>
      <c r="BU2215" s="109">
        <f t="shared" si="1629"/>
        <v>0.99307958477508651</v>
      </c>
      <c r="BV2215" s="109">
        <f t="shared" si="1630"/>
        <v>1</v>
      </c>
      <c r="BW2215" s="109">
        <f t="shared" si="1650"/>
        <v>6.9204152249134898E-3</v>
      </c>
      <c r="BX2215" s="111">
        <f t="shared" si="1621"/>
        <v>0</v>
      </c>
      <c r="BY2215" s="129">
        <f t="shared" si="1622"/>
        <v>-287</v>
      </c>
      <c r="BZ2215" s="111">
        <f t="shared" si="1623"/>
        <v>0</v>
      </c>
      <c r="CA2215" s="138">
        <f t="shared" si="1624"/>
        <v>287</v>
      </c>
      <c r="CB2215" s="111" t="e">
        <f t="shared" si="1649"/>
        <v>#VALUE!</v>
      </c>
      <c r="CC2215" s="129">
        <f>G2215-I2215+1</f>
        <v>287</v>
      </c>
      <c r="CD2215" s="129">
        <f>G2215-J2215</f>
        <v>0</v>
      </c>
      <c r="CG2215" s="129" t="str">
        <f t="shared" si="1625"/>
        <v>Y</v>
      </c>
      <c r="CI2215" s="129" t="str">
        <f t="shared" si="1633"/>
        <v>121-365 DAYS</v>
      </c>
      <c r="CJ2215" s="137">
        <f t="shared" si="1634"/>
        <v>6</v>
      </c>
      <c r="CK2215" s="129" t="str">
        <f t="shared" si="1635"/>
        <v>Booked</v>
      </c>
    </row>
    <row r="2216" spans="1:89" ht="15.75" customHeight="1" x14ac:dyDescent="0.25">
      <c r="A2216" s="111">
        <v>2570</v>
      </c>
      <c r="B2216" s="128" t="str">
        <f t="shared" si="1614"/>
        <v>N</v>
      </c>
      <c r="C2216" s="128" t="str">
        <f t="shared" si="1615"/>
        <v>N</v>
      </c>
      <c r="D2216" s="117">
        <v>2472470</v>
      </c>
      <c r="E2216" s="135">
        <f t="shared" si="1616"/>
        <v>1</v>
      </c>
      <c r="F2216" s="124">
        <v>41004</v>
      </c>
      <c r="G2216" s="125">
        <v>41008</v>
      </c>
      <c r="H2216" s="117">
        <v>2472470</v>
      </c>
      <c r="I2216" s="124">
        <v>41005</v>
      </c>
      <c r="J2216" s="124">
        <v>41008</v>
      </c>
      <c r="K2216" s="126" t="s">
        <v>564</v>
      </c>
      <c r="L2216" s="127" t="s">
        <v>564</v>
      </c>
      <c r="N2216" s="129" t="s">
        <v>566</v>
      </c>
      <c r="O2216" s="128" t="s">
        <v>917</v>
      </c>
      <c r="P2216" s="129" t="s">
        <v>55</v>
      </c>
      <c r="Q2216" s="111">
        <f t="shared" si="1646"/>
        <v>4</v>
      </c>
      <c r="R2216" s="111">
        <f t="shared" si="1639"/>
        <v>5</v>
      </c>
      <c r="S2216" s="129">
        <v>1</v>
      </c>
      <c r="T2216" s="129">
        <v>1</v>
      </c>
      <c r="W2216" s="111"/>
      <c r="AB2216" s="131" t="s">
        <v>112</v>
      </c>
      <c r="AC2216" s="130"/>
      <c r="AD2216" s="130">
        <v>33786</v>
      </c>
      <c r="AE2216" s="128" t="s">
        <v>32</v>
      </c>
      <c r="AF2216" s="128" t="s">
        <v>40</v>
      </c>
      <c r="AG2216" s="128" t="s">
        <v>41</v>
      </c>
      <c r="AH2216" s="108" t="s">
        <v>31</v>
      </c>
      <c r="AI2216" s="128" t="s">
        <v>80</v>
      </c>
      <c r="AJ2216" s="129" t="s">
        <v>55</v>
      </c>
      <c r="AK2216" s="129">
        <v>1</v>
      </c>
      <c r="AL2216" s="3" t="s">
        <v>55</v>
      </c>
      <c r="AP2216" s="129" t="s">
        <v>197</v>
      </c>
      <c r="AR2216" s="128" t="s">
        <v>44</v>
      </c>
      <c r="AS2216" s="129" t="s">
        <v>61</v>
      </c>
      <c r="BC2216" s="129" t="s">
        <v>38</v>
      </c>
      <c r="BF2216" s="111">
        <f t="shared" si="1647"/>
        <v>4</v>
      </c>
      <c r="BG2216" s="111">
        <f t="shared" si="1648"/>
        <v>4</v>
      </c>
      <c r="BH2216" s="111">
        <f t="shared" si="1611"/>
        <v>5</v>
      </c>
      <c r="BI2216" s="111">
        <f t="shared" si="1612"/>
        <v>19.721311475409838</v>
      </c>
      <c r="BJ2216" s="129">
        <f t="shared" si="1626"/>
        <v>0</v>
      </c>
      <c r="BK2216" s="129">
        <f t="shared" si="1613"/>
        <v>0</v>
      </c>
      <c r="BL2216" s="129" t="str">
        <f t="shared" si="1645"/>
        <v>NO CONVICTION</v>
      </c>
      <c r="BM2216" s="129" t="str">
        <f t="shared" si="1627"/>
        <v>NONE</v>
      </c>
      <c r="BN2216" s="129" t="s">
        <v>566</v>
      </c>
      <c r="BP2216" s="137" t="str">
        <f t="shared" si="1617"/>
        <v>NO CONVICTION</v>
      </c>
      <c r="BQ2216" s="128" t="str">
        <f t="shared" si="1618"/>
        <v>Y</v>
      </c>
      <c r="BR2216" s="129" t="str">
        <f t="shared" si="1628"/>
        <v>DETAINED</v>
      </c>
      <c r="BS2216" s="129" t="str">
        <f t="shared" si="1619"/>
        <v>DISPOSED</v>
      </c>
      <c r="BT2216" s="129" t="str">
        <f t="shared" si="1620"/>
        <v>Y</v>
      </c>
      <c r="BU2216" s="109">
        <f>IFERROR(Q2216/R2216,BR2216)</f>
        <v>0.8</v>
      </c>
      <c r="BV2216" s="109">
        <f t="shared" si="1630"/>
        <v>1</v>
      </c>
      <c r="BW2216" s="109">
        <f t="shared" si="1650"/>
        <v>0.19999999999999996</v>
      </c>
      <c r="BX2216" s="111">
        <f t="shared" si="1621"/>
        <v>0</v>
      </c>
      <c r="BY2216" s="129">
        <f t="shared" si="1622"/>
        <v>-4</v>
      </c>
      <c r="BZ2216" s="111">
        <f t="shared" si="1623"/>
        <v>0</v>
      </c>
      <c r="CA2216" s="138">
        <f t="shared" si="1624"/>
        <v>4</v>
      </c>
      <c r="CB2216" s="111" t="e">
        <f t="shared" si="1649"/>
        <v>#VALUE!</v>
      </c>
      <c r="CC2216" s="129">
        <f>G2216-I2216+1</f>
        <v>4</v>
      </c>
      <c r="CD2216" s="129">
        <f>G2216-J2216</f>
        <v>0</v>
      </c>
      <c r="CG2216" s="129" t="str">
        <f t="shared" si="1625"/>
        <v>Y</v>
      </c>
      <c r="CI2216" s="129" t="str">
        <f t="shared" si="1633"/>
        <v>0-10 DAYS</v>
      </c>
      <c r="CJ2216" s="137">
        <f t="shared" si="1634"/>
        <v>1</v>
      </c>
      <c r="CK2216" s="129" t="str">
        <f t="shared" si="1635"/>
        <v>Booked</v>
      </c>
    </row>
    <row r="2217" spans="1:89" ht="15" customHeight="1" x14ac:dyDescent="0.25">
      <c r="A2217" s="111">
        <v>462</v>
      </c>
      <c r="B2217" s="128" t="str">
        <f t="shared" si="1614"/>
        <v>N</v>
      </c>
      <c r="C2217" s="128" t="str">
        <f t="shared" si="1615"/>
        <v>N</v>
      </c>
      <c r="D2217" s="117">
        <v>2472808</v>
      </c>
      <c r="E2217" s="135">
        <f t="shared" si="1616"/>
        <v>2</v>
      </c>
      <c r="F2217" s="124">
        <v>40927</v>
      </c>
      <c r="G2217" s="125">
        <v>40931</v>
      </c>
      <c r="H2217" s="117">
        <v>2472808</v>
      </c>
      <c r="I2217" s="124" t="s">
        <v>562</v>
      </c>
      <c r="J2217" s="124" t="s">
        <v>562</v>
      </c>
      <c r="K2217" s="126">
        <v>2000</v>
      </c>
      <c r="L2217" s="127" t="s">
        <v>568</v>
      </c>
      <c r="M2217" s="125">
        <v>40928</v>
      </c>
      <c r="N2217" s="129" t="str">
        <f>IF(M2217&gt;1/1/1,"Y",IF(Q2217="0","","N"))</f>
        <v>Y</v>
      </c>
      <c r="O2217" s="128" t="s">
        <v>76</v>
      </c>
      <c r="P2217" s="129" t="s">
        <v>589</v>
      </c>
      <c r="Q2217" s="111">
        <f t="shared" si="1646"/>
        <v>0</v>
      </c>
      <c r="R2217" s="111">
        <f t="shared" si="1639"/>
        <v>5</v>
      </c>
      <c r="S2217" s="129">
        <v>0</v>
      </c>
      <c r="T2217" s="129">
        <v>2</v>
      </c>
      <c r="W2217" s="111"/>
      <c r="AB2217" s="131" t="s">
        <v>112</v>
      </c>
      <c r="AC2217" s="130"/>
      <c r="AD2217" s="130">
        <v>33532</v>
      </c>
      <c r="AE2217" s="128" t="s">
        <v>32</v>
      </c>
      <c r="AF2217" s="128" t="s">
        <v>40</v>
      </c>
      <c r="AG2217" s="128" t="s">
        <v>41</v>
      </c>
      <c r="AH2217" s="108" t="s">
        <v>31</v>
      </c>
      <c r="AI2217" s="128" t="s">
        <v>114</v>
      </c>
      <c r="AJ2217" s="129" t="s">
        <v>48</v>
      </c>
      <c r="AK2217" s="129">
        <v>1</v>
      </c>
      <c r="AL2217" s="3" t="s">
        <v>48</v>
      </c>
      <c r="AP2217" s="129" t="s">
        <v>63</v>
      </c>
      <c r="AR2217" s="128" t="s">
        <v>44</v>
      </c>
      <c r="AS2217" s="129" t="s">
        <v>64</v>
      </c>
      <c r="BC2217" s="129" t="s">
        <v>38</v>
      </c>
      <c r="BF2217" s="111">
        <v>0</v>
      </c>
      <c r="BG2217" s="111">
        <v>0</v>
      </c>
      <c r="BH2217" s="111">
        <f t="shared" si="1611"/>
        <v>5</v>
      </c>
      <c r="BI2217" s="111">
        <f t="shared" si="1612"/>
        <v>20.204918032786885</v>
      </c>
      <c r="BJ2217" s="129" t="e">
        <f>(G2217-J2217)+(M2217-G2217)</f>
        <v>#VALUE!</v>
      </c>
      <c r="BK2217" s="129" t="e">
        <f t="shared" si="1613"/>
        <v>#VALUE!</v>
      </c>
      <c r="BL2217" s="129" t="str">
        <f t="shared" si="1645"/>
        <v>DEFERRED</v>
      </c>
      <c r="BM2217" s="129" t="s">
        <v>76</v>
      </c>
      <c r="BN2217" s="129" t="s">
        <v>88</v>
      </c>
      <c r="BP2217" s="137" t="str">
        <f t="shared" si="1617"/>
        <v>DEFERRED</v>
      </c>
      <c r="BQ2217" s="128">
        <f t="shared" si="1618"/>
        <v>0</v>
      </c>
      <c r="BR2217" s="129" t="s">
        <v>575</v>
      </c>
      <c r="BS2217" s="129" t="str">
        <f t="shared" si="1619"/>
        <v>DISPOSED</v>
      </c>
      <c r="BT2217" s="129" t="str">
        <f t="shared" si="1620"/>
        <v>N</v>
      </c>
      <c r="BU2217" s="109">
        <f t="shared" si="1629"/>
        <v>0</v>
      </c>
      <c r="BV2217" s="109">
        <v>0</v>
      </c>
      <c r="BW2217" s="109">
        <f t="shared" si="1650"/>
        <v>0</v>
      </c>
      <c r="BX2217" s="111">
        <f t="shared" si="1621"/>
        <v>0</v>
      </c>
      <c r="BY2217" s="129" t="e">
        <f t="shared" si="1622"/>
        <v>#VALUE!</v>
      </c>
      <c r="BZ2217" s="111" t="e">
        <f t="shared" si="1623"/>
        <v>#VALUE!</v>
      </c>
      <c r="CA2217" s="138" t="e">
        <f t="shared" si="1624"/>
        <v>#VALUE!</v>
      </c>
      <c r="CB2217" s="111">
        <v>0</v>
      </c>
      <c r="CC2217" s="129">
        <v>0</v>
      </c>
      <c r="CD2217" s="111">
        <f>CC2217-BF2217</f>
        <v>0</v>
      </c>
      <c r="CG2217" s="129" t="str">
        <f t="shared" si="1625"/>
        <v>Y</v>
      </c>
      <c r="CI2217" s="129" t="str">
        <f t="shared" si="1633"/>
        <v>0-10 DAYS</v>
      </c>
      <c r="CJ2217" s="137">
        <f t="shared" si="1634"/>
        <v>1</v>
      </c>
      <c r="CK2217" s="129" t="str">
        <f t="shared" si="1635"/>
        <v>Not Booked</v>
      </c>
    </row>
    <row r="2218" spans="1:89" ht="15" customHeight="1" x14ac:dyDescent="0.25">
      <c r="A2218" s="111">
        <v>184</v>
      </c>
      <c r="B2218" s="128" t="str">
        <f t="shared" si="1614"/>
        <v>N</v>
      </c>
      <c r="C2218" s="128" t="str">
        <f t="shared" si="1615"/>
        <v>N</v>
      </c>
      <c r="D2218" s="117">
        <v>2472854</v>
      </c>
      <c r="E2218" s="135">
        <f t="shared" si="1616"/>
        <v>4</v>
      </c>
      <c r="F2218" s="124">
        <v>40917</v>
      </c>
      <c r="G2218" s="125">
        <v>41093</v>
      </c>
      <c r="H2218" s="117">
        <v>2472854</v>
      </c>
      <c r="I2218" s="124">
        <v>40927</v>
      </c>
      <c r="J2218" s="124">
        <v>40929</v>
      </c>
      <c r="K2218" s="126">
        <v>2000</v>
      </c>
      <c r="L2218" s="127" t="s">
        <v>568</v>
      </c>
      <c r="M2218" s="125">
        <v>40929</v>
      </c>
      <c r="N2218" s="129" t="str">
        <f t="shared" ref="N2218:N2225" si="1652">IF(M2218&gt;1/1/1,"Y","N")</f>
        <v>Y</v>
      </c>
      <c r="O2218" s="128" t="s">
        <v>76</v>
      </c>
      <c r="P2218" s="129" t="s">
        <v>39</v>
      </c>
      <c r="Q2218" s="111">
        <f t="shared" si="1646"/>
        <v>3</v>
      </c>
      <c r="R2218" s="111">
        <f t="shared" si="1639"/>
        <v>177</v>
      </c>
      <c r="S2218" s="129">
        <v>0</v>
      </c>
      <c r="T2218" s="129">
        <v>0</v>
      </c>
      <c r="W2218" s="111"/>
      <c r="AC2218" s="130"/>
      <c r="AD2218" s="130">
        <v>32289</v>
      </c>
      <c r="AE2218" s="128" t="s">
        <v>46</v>
      </c>
      <c r="AF2218" s="128" t="s">
        <v>33</v>
      </c>
      <c r="AG2218" s="128" t="s">
        <v>872</v>
      </c>
      <c r="AH2218" s="108" t="s">
        <v>31</v>
      </c>
      <c r="AI2218" s="128" t="s">
        <v>118</v>
      </c>
      <c r="AJ2218" s="129" t="s">
        <v>89</v>
      </c>
      <c r="AK2218" s="129">
        <v>9</v>
      </c>
      <c r="AL2218" s="3" t="s">
        <v>991</v>
      </c>
      <c r="AO2218" s="128">
        <v>16</v>
      </c>
      <c r="AP2218" s="129" t="s">
        <v>104</v>
      </c>
      <c r="AR2218" s="128" t="s">
        <v>44</v>
      </c>
      <c r="AS2218" s="129" t="s">
        <v>64</v>
      </c>
      <c r="AT2218" s="129" t="s">
        <v>166</v>
      </c>
      <c r="BC2218" s="129" t="s">
        <v>52</v>
      </c>
      <c r="BF2218" s="111">
        <f t="shared" ref="BF2218:BF2230" si="1653">IF(J2218&gt;1/1/1900,((J2218+1)-I2218),"STILL OPEN")</f>
        <v>3</v>
      </c>
      <c r="BG2218" s="111">
        <f t="shared" ref="BG2218:BG2231" si="1654">IF(G2218&gt;1/1/1900,((G2218+1)-I2218),"STILL OPEN")</f>
        <v>167</v>
      </c>
      <c r="BH2218" s="111">
        <f t="shared" si="1611"/>
        <v>177</v>
      </c>
      <c r="BI2218" s="111">
        <f t="shared" si="1612"/>
        <v>23.57377049180328</v>
      </c>
      <c r="BJ2218" s="129">
        <f>(G2218-J2218)+(M2218-G2218)</f>
        <v>0</v>
      </c>
      <c r="BK2218" s="129">
        <f t="shared" si="1613"/>
        <v>-164</v>
      </c>
      <c r="BL2218" s="129" t="str">
        <f t="shared" si="1645"/>
        <v>CONVICTION</v>
      </c>
      <c r="BM2218" s="129" t="s">
        <v>76</v>
      </c>
      <c r="BN2218" s="129" t="s">
        <v>88</v>
      </c>
      <c r="BP2218" s="137" t="str">
        <f t="shared" si="1617"/>
        <v>CONVICTION</v>
      </c>
      <c r="BQ2218" s="128" t="str">
        <f t="shared" si="1618"/>
        <v>Y</v>
      </c>
      <c r="BR2218" s="129" t="str">
        <f>IF(J2218&lt;G2218,"ON BOND",0)</f>
        <v>ON BOND</v>
      </c>
      <c r="BS2218" s="129" t="str">
        <f t="shared" si="1619"/>
        <v>DISPOSED</v>
      </c>
      <c r="BT2218" s="129" t="str">
        <f t="shared" si="1620"/>
        <v>N</v>
      </c>
      <c r="BU2218" s="109">
        <f t="shared" si="1629"/>
        <v>1.6949152542372881E-2</v>
      </c>
      <c r="BV2218" s="109">
        <f t="shared" si="1630"/>
        <v>1.7964071856287425E-2</v>
      </c>
      <c r="BW2218" s="109">
        <f t="shared" si="1650"/>
        <v>1.0149193139145432E-3</v>
      </c>
      <c r="BX2218" s="111">
        <f t="shared" si="1621"/>
        <v>0</v>
      </c>
      <c r="BY2218" s="129">
        <f t="shared" si="1622"/>
        <v>-3</v>
      </c>
      <c r="BZ2218" s="111">
        <f t="shared" si="1623"/>
        <v>0</v>
      </c>
      <c r="CA2218" s="138">
        <f t="shared" si="1624"/>
        <v>3</v>
      </c>
      <c r="CB2218" s="111" t="e">
        <f t="shared" ref="CB2218:CB2230" si="1655">IF(AF2218&gt;1/1/1900,((AF2218+1)-AE2218),"STILL OPEN")</f>
        <v>#VALUE!</v>
      </c>
      <c r="CC2218" s="129">
        <f>M2218-I2218+1</f>
        <v>3</v>
      </c>
      <c r="CD2218" s="111">
        <f>CC2218-BF2218</f>
        <v>0</v>
      </c>
      <c r="CG2218" s="129" t="str">
        <f t="shared" si="1625"/>
        <v>N</v>
      </c>
      <c r="CI2218" s="129" t="str">
        <f t="shared" si="1633"/>
        <v>0-10 DAYS</v>
      </c>
      <c r="CJ2218" s="137">
        <f t="shared" si="1634"/>
        <v>1</v>
      </c>
      <c r="CK2218" s="129" t="str">
        <f t="shared" si="1635"/>
        <v>Booked</v>
      </c>
    </row>
    <row r="2219" spans="1:89" ht="15.75" customHeight="1" x14ac:dyDescent="0.25">
      <c r="A2219" s="111">
        <v>2253</v>
      </c>
      <c r="B2219" s="128" t="str">
        <f t="shared" si="1614"/>
        <v>Y</v>
      </c>
      <c r="C2219" s="128" t="str">
        <f t="shared" si="1615"/>
        <v>N</v>
      </c>
      <c r="D2219" s="117">
        <v>2472865</v>
      </c>
      <c r="E2219" s="135">
        <f t="shared" si="1616"/>
        <v>1</v>
      </c>
      <c r="F2219" s="124">
        <v>40994</v>
      </c>
      <c r="G2219" s="125">
        <v>40996</v>
      </c>
      <c r="H2219" s="117">
        <v>2472865</v>
      </c>
      <c r="I2219" s="124">
        <v>40994</v>
      </c>
      <c r="J2219" s="124">
        <v>40996</v>
      </c>
      <c r="K2219" s="126">
        <v>10000</v>
      </c>
      <c r="L2219" s="127" t="s">
        <v>570</v>
      </c>
      <c r="N2219" s="129" t="str">
        <f t="shared" si="1652"/>
        <v>N</v>
      </c>
      <c r="O2219" s="128" t="s">
        <v>917</v>
      </c>
      <c r="P2219" s="129" t="s">
        <v>55</v>
      </c>
      <c r="Q2219" s="111">
        <f t="shared" si="1646"/>
        <v>3</v>
      </c>
      <c r="R2219" s="111">
        <f t="shared" si="1639"/>
        <v>3</v>
      </c>
      <c r="S2219" s="129">
        <v>3</v>
      </c>
      <c r="T2219" s="129">
        <v>3</v>
      </c>
      <c r="U2219" s="129">
        <v>2</v>
      </c>
      <c r="W2219" s="111"/>
      <c r="AC2219" s="130"/>
      <c r="AD2219" s="130">
        <v>25284</v>
      </c>
      <c r="AE2219" s="128" t="s">
        <v>32</v>
      </c>
      <c r="AF2219" s="128" t="s">
        <v>33</v>
      </c>
      <c r="AG2219" s="128" t="s">
        <v>872</v>
      </c>
      <c r="AH2219" s="108" t="s">
        <v>58</v>
      </c>
      <c r="AI2219" s="128" t="s">
        <v>95</v>
      </c>
      <c r="AJ2219" s="129" t="s">
        <v>55</v>
      </c>
      <c r="AK2219" s="129">
        <v>2</v>
      </c>
      <c r="AL2219" s="3" t="s">
        <v>55</v>
      </c>
      <c r="AP2219" s="129" t="s">
        <v>136</v>
      </c>
      <c r="AR2219" s="128" t="s">
        <v>67</v>
      </c>
      <c r="AS2219" s="129" t="s">
        <v>64</v>
      </c>
      <c r="AT2219" s="129" t="s">
        <v>423</v>
      </c>
      <c r="BC2219" s="129" t="s">
        <v>79</v>
      </c>
      <c r="BD2219" s="129" t="s">
        <v>1229</v>
      </c>
      <c r="BF2219" s="111">
        <f t="shared" si="1653"/>
        <v>3</v>
      </c>
      <c r="BG2219" s="111">
        <f t="shared" si="1654"/>
        <v>3</v>
      </c>
      <c r="BH2219" s="111">
        <f t="shared" si="1611"/>
        <v>3</v>
      </c>
      <c r="BI2219" s="111">
        <f t="shared" si="1612"/>
        <v>42.923497267759565</v>
      </c>
      <c r="BJ2219" s="129">
        <f t="shared" si="1626"/>
        <v>0</v>
      </c>
      <c r="BK2219" s="129">
        <f t="shared" si="1613"/>
        <v>0</v>
      </c>
      <c r="BL2219" s="129" t="str">
        <f t="shared" si="1645"/>
        <v>NO CONVICTION</v>
      </c>
      <c r="BM2219" s="129" t="str">
        <f t="shared" si="1627"/>
        <v>NONE</v>
      </c>
      <c r="BN2219" s="129" t="s">
        <v>566</v>
      </c>
      <c r="BP2219" s="137" t="str">
        <f t="shared" si="1617"/>
        <v>NO CONVICTION</v>
      </c>
      <c r="BQ2219" s="128" t="str">
        <f t="shared" si="1618"/>
        <v>Y</v>
      </c>
      <c r="BR2219" s="129" t="str">
        <f t="shared" si="1628"/>
        <v>DETAINED</v>
      </c>
      <c r="BS2219" s="129" t="str">
        <f t="shared" si="1619"/>
        <v>DISPOSED</v>
      </c>
      <c r="BT2219" s="129" t="str">
        <f t="shared" si="1620"/>
        <v>Y</v>
      </c>
      <c r="BU2219" s="109">
        <f>IFERROR(Q2219/R2219,BR2219)</f>
        <v>1</v>
      </c>
      <c r="BV2219" s="109">
        <f t="shared" si="1630"/>
        <v>1</v>
      </c>
      <c r="BW2219" s="109">
        <f t="shared" si="1650"/>
        <v>0</v>
      </c>
      <c r="BX2219" s="111">
        <f t="shared" si="1621"/>
        <v>0</v>
      </c>
      <c r="BY2219" s="129">
        <f t="shared" si="1622"/>
        <v>-3</v>
      </c>
      <c r="BZ2219" s="111">
        <f t="shared" si="1623"/>
        <v>0</v>
      </c>
      <c r="CA2219" s="138">
        <f t="shared" si="1624"/>
        <v>3</v>
      </c>
      <c r="CB2219" s="111" t="e">
        <f t="shared" si="1655"/>
        <v>#VALUE!</v>
      </c>
      <c r="CC2219" s="129">
        <f>G2219-I2219+1</f>
        <v>3</v>
      </c>
      <c r="CD2219" s="129">
        <f t="shared" ref="CD2219:CD2224" si="1656">G2219-J2219</f>
        <v>0</v>
      </c>
      <c r="CG2219" s="129" t="str">
        <f t="shared" si="1625"/>
        <v>Y</v>
      </c>
      <c r="CI2219" s="129" t="str">
        <f t="shared" si="1633"/>
        <v>0-10 DAYS</v>
      </c>
      <c r="CJ2219" s="137">
        <f t="shared" si="1634"/>
        <v>1</v>
      </c>
      <c r="CK2219" s="129" t="str">
        <f t="shared" si="1635"/>
        <v>Booked</v>
      </c>
    </row>
    <row r="2220" spans="1:89" ht="15.75" customHeight="1" x14ac:dyDescent="0.25">
      <c r="A2220" s="111">
        <v>2009</v>
      </c>
      <c r="B2220" s="128" t="str">
        <f t="shared" si="1614"/>
        <v>Y</v>
      </c>
      <c r="C2220" s="128" t="str">
        <f t="shared" si="1615"/>
        <v>Y</v>
      </c>
      <c r="D2220" s="117">
        <v>2473736</v>
      </c>
      <c r="E2220" s="135">
        <f t="shared" si="1616"/>
        <v>2</v>
      </c>
      <c r="F2220" s="124">
        <v>40984</v>
      </c>
      <c r="G2220" s="125">
        <v>41108</v>
      </c>
      <c r="H2220" s="117">
        <v>2473736</v>
      </c>
      <c r="I2220" s="124">
        <v>40984</v>
      </c>
      <c r="J2220" s="124">
        <v>40999</v>
      </c>
      <c r="K2220" s="126">
        <v>30000</v>
      </c>
      <c r="L2220" s="129" t="s">
        <v>572</v>
      </c>
      <c r="M2220" s="125">
        <v>40999</v>
      </c>
      <c r="N2220" s="129" t="str">
        <f t="shared" si="1652"/>
        <v>Y</v>
      </c>
      <c r="O2220" s="128" t="s">
        <v>76</v>
      </c>
      <c r="P2220" s="129" t="s">
        <v>589</v>
      </c>
      <c r="Q2220" s="111">
        <v>88</v>
      </c>
      <c r="R2220" s="111">
        <f t="shared" si="1639"/>
        <v>125</v>
      </c>
      <c r="S2220" s="129">
        <v>0</v>
      </c>
      <c r="T2220" s="129">
        <v>1</v>
      </c>
      <c r="W2220" s="111"/>
      <c r="AC2220" s="130"/>
      <c r="AD2220" s="130">
        <v>33705</v>
      </c>
      <c r="AE2220" s="128" t="s">
        <v>46</v>
      </c>
      <c r="AF2220" s="128" t="s">
        <v>33</v>
      </c>
      <c r="AG2220" s="128" t="s">
        <v>872</v>
      </c>
      <c r="AH2220" s="108" t="s">
        <v>58</v>
      </c>
      <c r="AI2220" s="128" t="s">
        <v>47</v>
      </c>
      <c r="AJ2220" s="129" t="s">
        <v>48</v>
      </c>
      <c r="AK2220" s="129">
        <v>9</v>
      </c>
      <c r="AL2220" s="3" t="s">
        <v>48</v>
      </c>
      <c r="AP2220" s="129" t="s">
        <v>400</v>
      </c>
      <c r="AR2220" s="128" t="s">
        <v>67</v>
      </c>
      <c r="AS2220" s="129" t="s">
        <v>64</v>
      </c>
      <c r="AV2220" s="3" t="s">
        <v>88</v>
      </c>
      <c r="AW2220" s="129" t="s">
        <v>752</v>
      </c>
      <c r="BA2220" s="125" t="s">
        <v>1198</v>
      </c>
      <c r="BB2220" s="129">
        <v>470</v>
      </c>
      <c r="BC2220" s="129" t="s">
        <v>38</v>
      </c>
      <c r="BD2220" s="129" t="s">
        <v>1268</v>
      </c>
      <c r="BF2220" s="111">
        <v>88</v>
      </c>
      <c r="BG2220" s="111">
        <f t="shared" si="1654"/>
        <v>125</v>
      </c>
      <c r="BH2220" s="111">
        <f t="shared" si="1611"/>
        <v>125</v>
      </c>
      <c r="BI2220" s="111">
        <f t="shared" si="1612"/>
        <v>19.887978142076502</v>
      </c>
      <c r="BJ2220" s="129">
        <f>(G2220-J2220)+(M2220-G2220)</f>
        <v>0</v>
      </c>
      <c r="BK2220" s="129">
        <f t="shared" si="1613"/>
        <v>-109</v>
      </c>
      <c r="BL2220" s="129" t="str">
        <f t="shared" si="1645"/>
        <v>DEFERRED</v>
      </c>
      <c r="BM2220" s="129" t="s">
        <v>76</v>
      </c>
      <c r="BN2220" s="129" t="s">
        <v>88</v>
      </c>
      <c r="BP2220" s="137" t="str">
        <f t="shared" si="1617"/>
        <v>DEFERRED</v>
      </c>
      <c r="BQ2220" s="128" t="str">
        <f t="shared" si="1618"/>
        <v>Y</v>
      </c>
      <c r="BR2220" s="129" t="s">
        <v>574</v>
      </c>
      <c r="BS2220" s="129" t="str">
        <f t="shared" si="1619"/>
        <v>DISPOSED</v>
      </c>
      <c r="BT2220" s="129" t="str">
        <f t="shared" si="1620"/>
        <v>N</v>
      </c>
      <c r="BU2220" s="109">
        <f t="shared" si="1629"/>
        <v>0.70399999999999996</v>
      </c>
      <c r="BV2220" s="109">
        <f t="shared" si="1630"/>
        <v>0.128</v>
      </c>
      <c r="BW2220" s="109">
        <f t="shared" si="1650"/>
        <v>-0.57599999999999996</v>
      </c>
      <c r="BX2220" s="111">
        <f t="shared" si="1621"/>
        <v>0</v>
      </c>
      <c r="BY2220" s="129">
        <f t="shared" si="1622"/>
        <v>-16</v>
      </c>
      <c r="BZ2220" s="111">
        <f t="shared" si="1623"/>
        <v>72</v>
      </c>
      <c r="CA2220" s="138">
        <f t="shared" si="1624"/>
        <v>125</v>
      </c>
      <c r="CB2220" s="111">
        <v>88</v>
      </c>
      <c r="CC2220" s="129">
        <f>G2220-I2220+1</f>
        <v>125</v>
      </c>
      <c r="CD2220" s="129">
        <f t="shared" si="1656"/>
        <v>109</v>
      </c>
      <c r="CG2220" s="129" t="str">
        <f t="shared" si="1625"/>
        <v>Y</v>
      </c>
      <c r="CI2220" s="129" t="str">
        <f t="shared" si="1633"/>
        <v>61-90 DAYS</v>
      </c>
      <c r="CJ2220" s="137">
        <f t="shared" si="1634"/>
        <v>4</v>
      </c>
      <c r="CK2220" s="129" t="str">
        <f t="shared" si="1635"/>
        <v>Booked</v>
      </c>
    </row>
    <row r="2221" spans="1:89" ht="15.75" customHeight="1" x14ac:dyDescent="0.25">
      <c r="A2221" s="111">
        <v>1404</v>
      </c>
      <c r="B2221" s="128" t="str">
        <f t="shared" si="1614"/>
        <v>N</v>
      </c>
      <c r="C2221" s="128" t="str">
        <f t="shared" si="1615"/>
        <v>N</v>
      </c>
      <c r="D2221" s="117">
        <v>2474676</v>
      </c>
      <c r="E2221" s="135">
        <f t="shared" si="1616"/>
        <v>5</v>
      </c>
      <c r="F2221" s="124">
        <v>40960</v>
      </c>
      <c r="G2221" s="125">
        <v>41023</v>
      </c>
      <c r="H2221" s="117">
        <v>2474676</v>
      </c>
      <c r="I2221" s="124">
        <v>40960</v>
      </c>
      <c r="J2221" s="124">
        <v>41023</v>
      </c>
      <c r="K2221" s="126">
        <v>5000</v>
      </c>
      <c r="L2221" s="127" t="s">
        <v>569</v>
      </c>
      <c r="N2221" s="129" t="str">
        <f t="shared" si="1652"/>
        <v>N</v>
      </c>
      <c r="O2221" s="128" t="s">
        <v>917</v>
      </c>
      <c r="P2221" s="129" t="s">
        <v>39</v>
      </c>
      <c r="Q2221" s="111">
        <f t="shared" si="1646"/>
        <v>64</v>
      </c>
      <c r="R2221" s="111">
        <f t="shared" si="1639"/>
        <v>64</v>
      </c>
      <c r="S2221" s="129">
        <v>1</v>
      </c>
      <c r="T2221" s="129">
        <v>8</v>
      </c>
      <c r="U2221" s="129">
        <v>1</v>
      </c>
      <c r="W2221" s="111"/>
      <c r="AC2221" s="130"/>
      <c r="AD2221" s="130">
        <v>24918</v>
      </c>
      <c r="AE2221" s="128" t="s">
        <v>32</v>
      </c>
      <c r="AF2221" s="128" t="s">
        <v>33</v>
      </c>
      <c r="AG2221" s="128" t="s">
        <v>872</v>
      </c>
      <c r="AH2221" s="108" t="s">
        <v>58</v>
      </c>
      <c r="AI2221" s="128" t="s">
        <v>87</v>
      </c>
      <c r="AJ2221" s="129" t="s">
        <v>89</v>
      </c>
      <c r="AK2221" s="129">
        <v>3</v>
      </c>
      <c r="AL2221" s="3" t="s">
        <v>992</v>
      </c>
      <c r="AN2221" s="117">
        <v>6</v>
      </c>
      <c r="AP2221" s="129" t="s">
        <v>60</v>
      </c>
      <c r="AR2221" s="128" t="s">
        <v>44</v>
      </c>
      <c r="AS2221" s="129" t="s">
        <v>61</v>
      </c>
      <c r="BC2221" s="129" t="s">
        <v>38</v>
      </c>
      <c r="BF2221" s="111">
        <f t="shared" si="1653"/>
        <v>64</v>
      </c>
      <c r="BG2221" s="111">
        <f t="shared" si="1654"/>
        <v>64</v>
      </c>
      <c r="BH2221" s="111">
        <f t="shared" si="1611"/>
        <v>64</v>
      </c>
      <c r="BI2221" s="111">
        <f t="shared" si="1612"/>
        <v>43.830601092896174</v>
      </c>
      <c r="BJ2221" s="129">
        <f t="shared" si="1626"/>
        <v>0</v>
      </c>
      <c r="BK2221" s="129">
        <f t="shared" si="1613"/>
        <v>0</v>
      </c>
      <c r="BL2221" s="129" t="str">
        <f t="shared" si="1645"/>
        <v>CONVICTION</v>
      </c>
      <c r="BM2221" s="129" t="str">
        <f t="shared" si="1627"/>
        <v>NONE</v>
      </c>
      <c r="BN2221" s="129" t="s">
        <v>566</v>
      </c>
      <c r="BP2221" s="137" t="str">
        <f t="shared" si="1617"/>
        <v>CONVICTION</v>
      </c>
      <c r="BQ2221" s="128" t="str">
        <f t="shared" si="1618"/>
        <v>Y</v>
      </c>
      <c r="BR2221" s="129" t="str">
        <f t="shared" si="1628"/>
        <v>DETAINED</v>
      </c>
      <c r="BS2221" s="129" t="str">
        <f t="shared" si="1619"/>
        <v>DISPOSED</v>
      </c>
      <c r="BT2221" s="129" t="str">
        <f t="shared" si="1620"/>
        <v>Y</v>
      </c>
      <c r="BU2221" s="109">
        <f t="shared" si="1629"/>
        <v>1</v>
      </c>
      <c r="BV2221" s="109">
        <f t="shared" si="1630"/>
        <v>1</v>
      </c>
      <c r="BW2221" s="109">
        <f t="shared" si="1650"/>
        <v>0</v>
      </c>
      <c r="BX2221" s="111">
        <f t="shared" si="1621"/>
        <v>0</v>
      </c>
      <c r="BY2221" s="129">
        <f t="shared" si="1622"/>
        <v>-64</v>
      </c>
      <c r="BZ2221" s="111">
        <f t="shared" si="1623"/>
        <v>0</v>
      </c>
      <c r="CA2221" s="138">
        <f t="shared" si="1624"/>
        <v>64</v>
      </c>
      <c r="CB2221" s="111" t="e">
        <f t="shared" si="1655"/>
        <v>#VALUE!</v>
      </c>
      <c r="CC2221" s="129">
        <f>G2221-I2221+1</f>
        <v>64</v>
      </c>
      <c r="CD2221" s="129">
        <f t="shared" si="1656"/>
        <v>0</v>
      </c>
      <c r="CG2221" s="129" t="str">
        <f t="shared" si="1625"/>
        <v>Y</v>
      </c>
      <c r="CI2221" s="129" t="str">
        <f t="shared" si="1633"/>
        <v>61-90 DAYS</v>
      </c>
      <c r="CJ2221" s="137">
        <f t="shared" si="1634"/>
        <v>4</v>
      </c>
      <c r="CK2221" s="129" t="str">
        <f t="shared" si="1635"/>
        <v>Booked</v>
      </c>
    </row>
    <row r="2222" spans="1:89" ht="15" customHeight="1" x14ac:dyDescent="0.25">
      <c r="A2222" s="111">
        <v>1213</v>
      </c>
      <c r="B2222" s="128" t="str">
        <f t="shared" si="1614"/>
        <v>N</v>
      </c>
      <c r="C2222" s="128" t="str">
        <f t="shared" si="1615"/>
        <v>N</v>
      </c>
      <c r="D2222" s="117">
        <v>2475075</v>
      </c>
      <c r="E2222" s="135">
        <f t="shared" si="1616"/>
        <v>6</v>
      </c>
      <c r="F2222" s="124">
        <v>40953</v>
      </c>
      <c r="G2222" s="125">
        <v>41348</v>
      </c>
      <c r="H2222" s="117">
        <v>2475075</v>
      </c>
      <c r="I2222" s="124">
        <v>40958</v>
      </c>
      <c r="J2222" s="125">
        <v>41348</v>
      </c>
      <c r="K2222" s="126">
        <v>80000</v>
      </c>
      <c r="L2222" s="129" t="s">
        <v>572</v>
      </c>
      <c r="N2222" s="129" t="str">
        <f t="shared" si="1652"/>
        <v>N</v>
      </c>
      <c r="O2222" s="128" t="s">
        <v>917</v>
      </c>
      <c r="P2222" s="129" t="s">
        <v>39</v>
      </c>
      <c r="Q2222" s="111">
        <f t="shared" si="1646"/>
        <v>391</v>
      </c>
      <c r="R2222" s="111">
        <f t="shared" si="1639"/>
        <v>396</v>
      </c>
      <c r="S2222" s="129">
        <v>0</v>
      </c>
      <c r="T2222" s="129">
        <v>1</v>
      </c>
      <c r="W2222" s="111"/>
      <c r="AC2222" s="130"/>
      <c r="AD2222" s="130">
        <v>31809</v>
      </c>
      <c r="AE2222" s="128" t="s">
        <v>32</v>
      </c>
      <c r="AF2222" s="128" t="s">
        <v>69</v>
      </c>
      <c r="AG2222" s="128" t="s">
        <v>874</v>
      </c>
      <c r="AH2222" s="108" t="s">
        <v>31</v>
      </c>
      <c r="AI2222" s="128" t="s">
        <v>87</v>
      </c>
      <c r="AJ2222" s="129" t="s">
        <v>89</v>
      </c>
      <c r="AK2222" s="129">
        <v>11</v>
      </c>
      <c r="AL2222" s="3" t="s">
        <v>362</v>
      </c>
      <c r="AM2222" s="117">
        <v>12</v>
      </c>
      <c r="AP2222" s="129" t="s">
        <v>105</v>
      </c>
      <c r="AR2222" s="128" t="s">
        <v>92</v>
      </c>
      <c r="AS2222" s="129" t="s">
        <v>106</v>
      </c>
      <c r="BC2222" s="129" t="s">
        <v>38</v>
      </c>
      <c r="BF2222" s="111">
        <f t="shared" si="1653"/>
        <v>391</v>
      </c>
      <c r="BG2222" s="111">
        <f t="shared" si="1654"/>
        <v>391</v>
      </c>
      <c r="BH2222" s="111">
        <f t="shared" si="1611"/>
        <v>396</v>
      </c>
      <c r="BI2222" s="111">
        <f t="shared" si="1612"/>
        <v>24.983606557377048</v>
      </c>
      <c r="BJ2222" s="129">
        <f t="shared" si="1626"/>
        <v>0</v>
      </c>
      <c r="BK2222" s="129">
        <f t="shared" si="1613"/>
        <v>0</v>
      </c>
      <c r="BL2222" s="129" t="str">
        <f t="shared" si="1645"/>
        <v>CONVICTION</v>
      </c>
      <c r="BM2222" s="129" t="str">
        <f t="shared" si="1627"/>
        <v>NONE</v>
      </c>
      <c r="BN2222" s="129" t="s">
        <v>566</v>
      </c>
      <c r="BP2222" s="137" t="str">
        <f t="shared" si="1617"/>
        <v>CONVICTION</v>
      </c>
      <c r="BQ2222" s="128" t="str">
        <f t="shared" si="1618"/>
        <v>Y</v>
      </c>
      <c r="BR2222" s="129" t="str">
        <f t="shared" si="1628"/>
        <v>DETAINED</v>
      </c>
      <c r="BS2222" s="129" t="str">
        <f t="shared" si="1619"/>
        <v>DISPOSED</v>
      </c>
      <c r="BT2222" s="129" t="str">
        <f t="shared" si="1620"/>
        <v>N</v>
      </c>
      <c r="BU2222" s="109">
        <f t="shared" si="1629"/>
        <v>0.98737373737373735</v>
      </c>
      <c r="BV2222" s="109">
        <f t="shared" si="1630"/>
        <v>1</v>
      </c>
      <c r="BW2222" s="109">
        <f t="shared" si="1650"/>
        <v>1.2626262626262652E-2</v>
      </c>
      <c r="BX2222" s="111">
        <f t="shared" si="1621"/>
        <v>0</v>
      </c>
      <c r="BY2222" s="129">
        <f t="shared" si="1622"/>
        <v>-391</v>
      </c>
      <c r="BZ2222" s="111">
        <f t="shared" si="1623"/>
        <v>0</v>
      </c>
      <c r="CA2222" s="138">
        <f t="shared" si="1624"/>
        <v>391</v>
      </c>
      <c r="CB2222" s="111" t="e">
        <f t="shared" si="1655"/>
        <v>#VALUE!</v>
      </c>
      <c r="CC2222" s="129">
        <f>G2222-I2222+1</f>
        <v>391</v>
      </c>
      <c r="CD2222" s="129">
        <f t="shared" si="1656"/>
        <v>0</v>
      </c>
      <c r="CG2222" s="129" t="str">
        <f t="shared" si="1625"/>
        <v>Y</v>
      </c>
      <c r="CI2222" s="129" t="str">
        <f t="shared" si="1633"/>
        <v xml:space="preserve"> &gt;1YRS&lt;2YRS</v>
      </c>
      <c r="CJ2222" s="137">
        <f t="shared" si="1634"/>
        <v>0</v>
      </c>
      <c r="CK2222" s="129" t="str">
        <f t="shared" si="1635"/>
        <v>Booked</v>
      </c>
    </row>
    <row r="2223" spans="1:89" ht="15" customHeight="1" x14ac:dyDescent="0.25">
      <c r="A2223" s="111">
        <v>2381</v>
      </c>
      <c r="B2223" s="128" t="str">
        <f t="shared" si="1614"/>
        <v>N</v>
      </c>
      <c r="C2223" s="128" t="str">
        <f t="shared" si="1615"/>
        <v>N</v>
      </c>
      <c r="D2223" s="117">
        <v>2477470</v>
      </c>
      <c r="E2223" s="135">
        <f t="shared" si="1616"/>
        <v>2</v>
      </c>
      <c r="F2223" s="124">
        <v>40998</v>
      </c>
      <c r="G2223" s="125">
        <v>41184</v>
      </c>
      <c r="H2223" s="117">
        <v>2477470</v>
      </c>
      <c r="I2223" s="124">
        <v>41029</v>
      </c>
      <c r="J2223" s="124">
        <v>41184</v>
      </c>
      <c r="K2223" s="126">
        <v>30000</v>
      </c>
      <c r="L2223" s="129" t="s">
        <v>572</v>
      </c>
      <c r="N2223" s="129" t="str">
        <f t="shared" si="1652"/>
        <v>N</v>
      </c>
      <c r="O2223" s="128" t="s">
        <v>917</v>
      </c>
      <c r="P2223" s="129" t="s">
        <v>589</v>
      </c>
      <c r="Q2223" s="111">
        <f t="shared" si="1646"/>
        <v>156</v>
      </c>
      <c r="R2223" s="111">
        <f t="shared" si="1639"/>
        <v>187</v>
      </c>
      <c r="S2223" s="129">
        <v>0</v>
      </c>
      <c r="T2223" s="129">
        <v>4</v>
      </c>
      <c r="W2223" s="111"/>
      <c r="AC2223" s="130"/>
      <c r="AD2223" s="130">
        <v>31666</v>
      </c>
      <c r="AE2223" s="128" t="s">
        <v>32</v>
      </c>
      <c r="AF2223" s="128" t="s">
        <v>40</v>
      </c>
      <c r="AG2223" s="128" t="s">
        <v>41</v>
      </c>
      <c r="AH2223" s="108" t="s">
        <v>41</v>
      </c>
      <c r="AI2223" s="128" t="s">
        <v>83</v>
      </c>
      <c r="AJ2223" s="129" t="s">
        <v>48</v>
      </c>
      <c r="AK2223" s="129">
        <v>9</v>
      </c>
      <c r="AL2223" s="3" t="s">
        <v>48</v>
      </c>
      <c r="AP2223" s="129" t="s">
        <v>105</v>
      </c>
      <c r="AR2223" s="128" t="s">
        <v>92</v>
      </c>
      <c r="AS2223" s="129" t="s">
        <v>106</v>
      </c>
      <c r="BC2223" s="129" t="s">
        <v>38</v>
      </c>
      <c r="BF2223" s="111">
        <f t="shared" si="1653"/>
        <v>156</v>
      </c>
      <c r="BG2223" s="111">
        <f t="shared" si="1654"/>
        <v>156</v>
      </c>
      <c r="BH2223" s="111">
        <f t="shared" si="1611"/>
        <v>187</v>
      </c>
      <c r="BI2223" s="111">
        <f t="shared" si="1612"/>
        <v>25.497267759562842</v>
      </c>
      <c r="BJ2223" s="129">
        <f t="shared" si="1626"/>
        <v>0</v>
      </c>
      <c r="BK2223" s="129">
        <f t="shared" si="1613"/>
        <v>0</v>
      </c>
      <c r="BL2223" s="129" t="str">
        <f t="shared" si="1645"/>
        <v>DEFERRED</v>
      </c>
      <c r="BM2223" s="129" t="str">
        <f t="shared" si="1627"/>
        <v>NONE</v>
      </c>
      <c r="BN2223" s="129" t="s">
        <v>566</v>
      </c>
      <c r="BP2223" s="137" t="str">
        <f t="shared" si="1617"/>
        <v>DEFERRED</v>
      </c>
      <c r="BQ2223" s="128" t="str">
        <f t="shared" si="1618"/>
        <v>Y</v>
      </c>
      <c r="BR2223" s="129" t="str">
        <f t="shared" si="1628"/>
        <v>DETAINED</v>
      </c>
      <c r="BS2223" s="129" t="str">
        <f t="shared" si="1619"/>
        <v>DISPOSED</v>
      </c>
      <c r="BT2223" s="129" t="str">
        <f t="shared" si="1620"/>
        <v>N</v>
      </c>
      <c r="BU2223" s="109">
        <f t="shared" si="1629"/>
        <v>0.83422459893048129</v>
      </c>
      <c r="BV2223" s="109">
        <f t="shared" si="1630"/>
        <v>1</v>
      </c>
      <c r="BW2223" s="109">
        <f t="shared" si="1650"/>
        <v>0.16577540106951871</v>
      </c>
      <c r="BX2223" s="111">
        <f t="shared" si="1621"/>
        <v>0</v>
      </c>
      <c r="BY2223" s="129">
        <f t="shared" si="1622"/>
        <v>-156</v>
      </c>
      <c r="BZ2223" s="111">
        <f t="shared" si="1623"/>
        <v>0</v>
      </c>
      <c r="CA2223" s="138">
        <f t="shared" si="1624"/>
        <v>156</v>
      </c>
      <c r="CB2223" s="111" t="e">
        <f t="shared" si="1655"/>
        <v>#VALUE!</v>
      </c>
      <c r="CC2223" s="129">
        <f>G2223-I2223+1</f>
        <v>156</v>
      </c>
      <c r="CD2223" s="129">
        <f t="shared" si="1656"/>
        <v>0</v>
      </c>
      <c r="CG2223" s="129" t="str">
        <f t="shared" si="1625"/>
        <v>Y</v>
      </c>
      <c r="CI2223" s="129" t="str">
        <f t="shared" si="1633"/>
        <v>121-365 DAYS</v>
      </c>
      <c r="CJ2223" s="137">
        <f t="shared" si="1634"/>
        <v>6</v>
      </c>
      <c r="CK2223" s="129" t="str">
        <f t="shared" si="1635"/>
        <v>Booked</v>
      </c>
    </row>
    <row r="2224" spans="1:89" ht="15" customHeight="1" x14ac:dyDescent="0.25">
      <c r="A2224" s="111">
        <v>1133</v>
      </c>
      <c r="B2224" s="128" t="str">
        <f t="shared" si="1614"/>
        <v>N</v>
      </c>
      <c r="C2224" s="128" t="str">
        <f t="shared" si="1615"/>
        <v>Y</v>
      </c>
      <c r="D2224" s="117">
        <v>2477539</v>
      </c>
      <c r="E2224" s="135">
        <f t="shared" si="1616"/>
        <v>2</v>
      </c>
      <c r="F2224" s="124">
        <v>40949</v>
      </c>
      <c r="G2224" s="125">
        <v>41135</v>
      </c>
      <c r="H2224" s="117">
        <v>2477539</v>
      </c>
      <c r="I2224" s="124">
        <v>40950</v>
      </c>
      <c r="J2224" s="124">
        <v>40952</v>
      </c>
      <c r="K2224" s="126">
        <v>50000</v>
      </c>
      <c r="L2224" s="129" t="s">
        <v>572</v>
      </c>
      <c r="M2224" s="125">
        <v>40952</v>
      </c>
      <c r="N2224" s="129" t="str">
        <f t="shared" si="1652"/>
        <v>Y</v>
      </c>
      <c r="O2224" s="128" t="s">
        <v>585</v>
      </c>
      <c r="P2224" s="129" t="s">
        <v>589</v>
      </c>
      <c r="Q2224" s="111">
        <v>179</v>
      </c>
      <c r="R2224" s="111">
        <f t="shared" si="1639"/>
        <v>187</v>
      </c>
      <c r="S2224" s="129">
        <v>0</v>
      </c>
      <c r="T2224" s="129">
        <v>3</v>
      </c>
      <c r="W2224" s="111"/>
      <c r="AC2224" s="130"/>
      <c r="AD2224" s="130">
        <v>29255</v>
      </c>
      <c r="AE2224" s="128" t="s">
        <v>32</v>
      </c>
      <c r="AF2224" s="128" t="s">
        <v>33</v>
      </c>
      <c r="AG2224" s="128" t="s">
        <v>872</v>
      </c>
      <c r="AH2224" s="108" t="s">
        <v>31</v>
      </c>
      <c r="AI2224" s="128" t="s">
        <v>71</v>
      </c>
      <c r="AJ2224" s="129" t="s">
        <v>48</v>
      </c>
      <c r="AK2224" s="129">
        <v>10</v>
      </c>
      <c r="AL2224" s="3" t="s">
        <v>48</v>
      </c>
      <c r="AP2224" s="129" t="s">
        <v>73</v>
      </c>
      <c r="AR2224" s="128" t="s">
        <v>50</v>
      </c>
      <c r="AS2224" s="129" t="s">
        <v>74</v>
      </c>
      <c r="AU2224" s="121" t="s">
        <v>709</v>
      </c>
      <c r="AV2224" s="121"/>
      <c r="AX2224" s="32" t="s">
        <v>88</v>
      </c>
      <c r="BC2224" s="129" t="s">
        <v>52</v>
      </c>
      <c r="BF2224" s="111">
        <v>179</v>
      </c>
      <c r="BG2224" s="111">
        <f t="shared" si="1654"/>
        <v>186</v>
      </c>
      <c r="BH2224" s="111">
        <f t="shared" si="1611"/>
        <v>187</v>
      </c>
      <c r="BI2224" s="111">
        <f t="shared" si="1612"/>
        <v>31.950819672131146</v>
      </c>
      <c r="BJ2224" s="129">
        <f>(G2224-J2224)+(M2224-G2224)</f>
        <v>0</v>
      </c>
      <c r="BK2224" s="129">
        <f t="shared" si="1613"/>
        <v>-183</v>
      </c>
      <c r="BL2224" s="129" t="str">
        <f t="shared" si="1645"/>
        <v>DEFERRED</v>
      </c>
      <c r="BM2224" s="129" t="s">
        <v>76</v>
      </c>
      <c r="BN2224" s="129" t="s">
        <v>88</v>
      </c>
      <c r="BP2224" s="137" t="str">
        <f t="shared" si="1617"/>
        <v>DEFERRED</v>
      </c>
      <c r="BQ2224" s="128" t="str">
        <f t="shared" si="1618"/>
        <v>Y</v>
      </c>
      <c r="BR2224" s="129" t="str">
        <f t="shared" si="1628"/>
        <v>ON BOND</v>
      </c>
      <c r="BS2224" s="129" t="str">
        <f t="shared" si="1619"/>
        <v>DISPOSED</v>
      </c>
      <c r="BT2224" s="129" t="str">
        <f t="shared" si="1620"/>
        <v>N</v>
      </c>
      <c r="BU2224" s="109">
        <f t="shared" si="1629"/>
        <v>0.95721925133689845</v>
      </c>
      <c r="BV2224" s="109">
        <f t="shared" si="1630"/>
        <v>1.6129032258064516E-2</v>
      </c>
      <c r="BW2224" s="109">
        <f t="shared" si="1650"/>
        <v>-0.94109021907883394</v>
      </c>
      <c r="BX2224" s="111">
        <f t="shared" si="1621"/>
        <v>0</v>
      </c>
      <c r="BY2224" s="129">
        <f t="shared" si="1622"/>
        <v>-3</v>
      </c>
      <c r="BZ2224" s="111">
        <f t="shared" si="1623"/>
        <v>176</v>
      </c>
      <c r="CA2224" s="138">
        <f t="shared" si="1624"/>
        <v>3</v>
      </c>
      <c r="CB2224" s="111">
        <v>179</v>
      </c>
      <c r="CD2224" s="129">
        <f t="shared" si="1656"/>
        <v>183</v>
      </c>
      <c r="CG2224" s="129" t="str">
        <f t="shared" si="1625"/>
        <v>Y</v>
      </c>
      <c r="CI2224" s="129" t="str">
        <f t="shared" si="1633"/>
        <v>121-365 DAYS</v>
      </c>
      <c r="CJ2224" s="137">
        <f t="shared" si="1634"/>
        <v>6</v>
      </c>
      <c r="CK2224" s="129" t="str">
        <f t="shared" si="1635"/>
        <v>Booked</v>
      </c>
    </row>
    <row r="2225" spans="1:89" ht="15.75" customHeight="1" x14ac:dyDescent="0.25">
      <c r="A2225" s="111">
        <v>847</v>
      </c>
      <c r="B2225" s="128" t="str">
        <f t="shared" si="1614"/>
        <v>N</v>
      </c>
      <c r="C2225" s="128" t="str">
        <f t="shared" si="1615"/>
        <v>N</v>
      </c>
      <c r="D2225" s="117">
        <v>2478008</v>
      </c>
      <c r="E2225" s="135">
        <f t="shared" si="1616"/>
        <v>2</v>
      </c>
      <c r="F2225" s="124">
        <v>40940</v>
      </c>
      <c r="G2225" s="125">
        <v>40977</v>
      </c>
      <c r="H2225" s="117">
        <v>2478008</v>
      </c>
      <c r="I2225" s="124">
        <v>40941</v>
      </c>
      <c r="J2225" s="124">
        <v>40941</v>
      </c>
      <c r="K2225" s="126">
        <v>2000</v>
      </c>
      <c r="L2225" s="127" t="s">
        <v>568</v>
      </c>
      <c r="M2225" s="125">
        <v>40941</v>
      </c>
      <c r="N2225" s="129" t="str">
        <f t="shared" si="1652"/>
        <v>Y</v>
      </c>
      <c r="O2225" s="128" t="s">
        <v>76</v>
      </c>
      <c r="P2225" s="129" t="s">
        <v>589</v>
      </c>
      <c r="Q2225" s="111">
        <f t="shared" si="1646"/>
        <v>1</v>
      </c>
      <c r="R2225" s="111">
        <f t="shared" si="1639"/>
        <v>38</v>
      </c>
      <c r="S2225" s="129">
        <v>0</v>
      </c>
      <c r="T2225" s="129">
        <v>3</v>
      </c>
      <c r="W2225" s="111"/>
      <c r="AC2225" s="130"/>
      <c r="AD2225" s="130">
        <v>31462</v>
      </c>
      <c r="AE2225" s="128" t="s">
        <v>46</v>
      </c>
      <c r="AF2225" s="128" t="s">
        <v>69</v>
      </c>
      <c r="AG2225" s="128" t="s">
        <v>874</v>
      </c>
      <c r="AH2225" s="108" t="s">
        <v>31</v>
      </c>
      <c r="AI2225" s="128" t="s">
        <v>59</v>
      </c>
      <c r="AJ2225" s="129" t="s">
        <v>48</v>
      </c>
      <c r="AK2225" s="129">
        <v>2</v>
      </c>
      <c r="AL2225" s="3" t="s">
        <v>48</v>
      </c>
      <c r="AP2225" s="129" t="s">
        <v>60</v>
      </c>
      <c r="AR2225" s="128" t="s">
        <v>44</v>
      </c>
      <c r="AS2225" s="129" t="s">
        <v>61</v>
      </c>
      <c r="BC2225" s="129" t="s">
        <v>38</v>
      </c>
      <c r="BF2225" s="111">
        <f t="shared" si="1653"/>
        <v>1</v>
      </c>
      <c r="BG2225" s="111">
        <f t="shared" si="1654"/>
        <v>37</v>
      </c>
      <c r="BH2225" s="111">
        <f t="shared" si="1611"/>
        <v>38</v>
      </c>
      <c r="BI2225" s="111">
        <f t="shared" si="1612"/>
        <v>25.896174863387976</v>
      </c>
      <c r="BJ2225" s="129">
        <f>(G2225-J2225)+(M2225-G2225)</f>
        <v>0</v>
      </c>
      <c r="BK2225" s="129">
        <f t="shared" si="1613"/>
        <v>-36</v>
      </c>
      <c r="BL2225" s="129" t="str">
        <f t="shared" si="1645"/>
        <v>DEFERRED</v>
      </c>
      <c r="BM2225" s="129" t="s">
        <v>76</v>
      </c>
      <c r="BN2225" s="129" t="s">
        <v>88</v>
      </c>
      <c r="BP2225" s="137" t="str">
        <f t="shared" si="1617"/>
        <v>DEFERRED</v>
      </c>
      <c r="BQ2225" s="128" t="str">
        <f t="shared" si="1618"/>
        <v>Y</v>
      </c>
      <c r="BR2225" s="129" t="str">
        <f t="shared" si="1628"/>
        <v>ON BOND</v>
      </c>
      <c r="BS2225" s="129" t="str">
        <f t="shared" si="1619"/>
        <v>DISPOSED</v>
      </c>
      <c r="BT2225" s="129" t="str">
        <f t="shared" si="1620"/>
        <v>N</v>
      </c>
      <c r="BU2225" s="109">
        <f t="shared" si="1629"/>
        <v>2.6315789473684209E-2</v>
      </c>
      <c r="BV2225" s="109">
        <f t="shared" si="1630"/>
        <v>2.7027027027027029E-2</v>
      </c>
      <c r="BW2225" s="109">
        <f t="shared" si="1650"/>
        <v>7.1123755334281946E-4</v>
      </c>
      <c r="BX2225" s="111">
        <f t="shared" si="1621"/>
        <v>0</v>
      </c>
      <c r="BY2225" s="129">
        <f t="shared" si="1622"/>
        <v>-1</v>
      </c>
      <c r="BZ2225" s="111">
        <f t="shared" si="1623"/>
        <v>0</v>
      </c>
      <c r="CA2225" s="138">
        <f t="shared" si="1624"/>
        <v>1</v>
      </c>
      <c r="CB2225" s="111" t="e">
        <f t="shared" si="1655"/>
        <v>#VALUE!</v>
      </c>
      <c r="CC2225" s="129">
        <f>M2225-I2225+1</f>
        <v>1</v>
      </c>
      <c r="CD2225" s="111">
        <f>CC2225-BF2225</f>
        <v>0</v>
      </c>
      <c r="CG2225" s="129" t="str">
        <f t="shared" si="1625"/>
        <v>Y</v>
      </c>
      <c r="CI2225" s="129" t="str">
        <f t="shared" si="1633"/>
        <v>0-10 DAYS</v>
      </c>
      <c r="CJ2225" s="137">
        <f t="shared" si="1634"/>
        <v>1</v>
      </c>
      <c r="CK2225" s="129" t="str">
        <f t="shared" si="1635"/>
        <v>Booked</v>
      </c>
    </row>
    <row r="2226" spans="1:89" ht="15.75" customHeight="1" x14ac:dyDescent="0.25">
      <c r="A2226" s="111">
        <v>459</v>
      </c>
      <c r="B2226" s="128" t="str">
        <f t="shared" si="1614"/>
        <v>N</v>
      </c>
      <c r="C2226" s="128" t="str">
        <f t="shared" si="1615"/>
        <v>N</v>
      </c>
      <c r="D2226" s="117">
        <v>2479142</v>
      </c>
      <c r="E2226" s="135">
        <f t="shared" si="1616"/>
        <v>5</v>
      </c>
      <c r="F2226" s="124">
        <v>40927</v>
      </c>
      <c r="G2226" s="125">
        <v>40995</v>
      </c>
      <c r="H2226" s="117">
        <v>2479142</v>
      </c>
      <c r="I2226" s="124">
        <v>40939</v>
      </c>
      <c r="J2226" s="124">
        <v>40995</v>
      </c>
      <c r="K2226" s="126" t="s">
        <v>564</v>
      </c>
      <c r="L2226" s="127" t="s">
        <v>564</v>
      </c>
      <c r="N2226" s="129" t="s">
        <v>566</v>
      </c>
      <c r="O2226" s="128" t="s">
        <v>917</v>
      </c>
      <c r="P2226" s="129" t="s">
        <v>77</v>
      </c>
      <c r="Q2226" s="111">
        <f t="shared" si="1646"/>
        <v>57</v>
      </c>
      <c r="R2226" s="111">
        <f t="shared" si="1639"/>
        <v>69</v>
      </c>
      <c r="S2226" s="129">
        <v>1</v>
      </c>
      <c r="T2226" s="129">
        <v>5</v>
      </c>
      <c r="U2226" s="129">
        <v>1</v>
      </c>
      <c r="W2226" s="111"/>
      <c r="AC2226" s="130"/>
      <c r="AD2226" s="130">
        <v>32662</v>
      </c>
      <c r="AE2226" s="128" t="s">
        <v>32</v>
      </c>
      <c r="AF2226" s="128" t="s">
        <v>69</v>
      </c>
      <c r="AG2226" s="128" t="s">
        <v>874</v>
      </c>
      <c r="AH2226" s="108" t="s">
        <v>31</v>
      </c>
      <c r="AI2226" s="128" t="s">
        <v>97</v>
      </c>
      <c r="AJ2226" s="129" t="s">
        <v>89</v>
      </c>
      <c r="AK2226" s="129">
        <v>3</v>
      </c>
      <c r="AL2226" s="3" t="s">
        <v>992</v>
      </c>
      <c r="AN2226" s="117">
        <v>8</v>
      </c>
      <c r="AP2226" s="129" t="s">
        <v>155</v>
      </c>
      <c r="AR2226" s="128" t="s">
        <v>44</v>
      </c>
      <c r="AS2226" s="129" t="s">
        <v>64</v>
      </c>
      <c r="BC2226" s="129" t="s">
        <v>99</v>
      </c>
      <c r="BF2226" s="111">
        <f t="shared" si="1653"/>
        <v>57</v>
      </c>
      <c r="BG2226" s="111">
        <f t="shared" si="1654"/>
        <v>57</v>
      </c>
      <c r="BH2226" s="111">
        <f t="shared" si="1611"/>
        <v>69</v>
      </c>
      <c r="BI2226" s="111">
        <f t="shared" si="1612"/>
        <v>22.581967213114755</v>
      </c>
      <c r="BJ2226" s="129">
        <f t="shared" si="1626"/>
        <v>0</v>
      </c>
      <c r="BK2226" s="129">
        <f t="shared" si="1613"/>
        <v>0</v>
      </c>
      <c r="BL2226" s="129" t="str">
        <f t="shared" si="1645"/>
        <v>CONVICTION</v>
      </c>
      <c r="BM2226" s="129" t="str">
        <f t="shared" si="1627"/>
        <v>NONE</v>
      </c>
      <c r="BN2226" s="129" t="s">
        <v>566</v>
      </c>
      <c r="BP2226" s="137" t="str">
        <f t="shared" si="1617"/>
        <v>CONVICTION</v>
      </c>
      <c r="BQ2226" s="128" t="str">
        <f t="shared" si="1618"/>
        <v>Y</v>
      </c>
      <c r="BR2226" s="129" t="str">
        <f t="shared" si="1628"/>
        <v>DETAINED</v>
      </c>
      <c r="BS2226" s="129" t="str">
        <f t="shared" si="1619"/>
        <v>DISPOSED</v>
      </c>
      <c r="BT2226" s="129" t="str">
        <f t="shared" si="1620"/>
        <v>Y</v>
      </c>
      <c r="BU2226" s="109">
        <f t="shared" si="1629"/>
        <v>0.82608695652173914</v>
      </c>
      <c r="BV2226" s="109">
        <f t="shared" si="1630"/>
        <v>1</v>
      </c>
      <c r="BW2226" s="109">
        <f t="shared" si="1650"/>
        <v>0.17391304347826086</v>
      </c>
      <c r="BX2226" s="111">
        <f t="shared" si="1621"/>
        <v>0</v>
      </c>
      <c r="BY2226" s="129">
        <f t="shared" si="1622"/>
        <v>-57</v>
      </c>
      <c r="BZ2226" s="111">
        <f t="shared" si="1623"/>
        <v>0</v>
      </c>
      <c r="CA2226" s="138">
        <f t="shared" si="1624"/>
        <v>57</v>
      </c>
      <c r="CB2226" s="111" t="e">
        <f t="shared" si="1655"/>
        <v>#VALUE!</v>
      </c>
      <c r="CC2226" s="129">
        <f>G2226-I2226+1</f>
        <v>57</v>
      </c>
      <c r="CD2226" s="129">
        <f>G2226-J2226</f>
        <v>0</v>
      </c>
      <c r="CG2226" s="129" t="str">
        <f t="shared" si="1625"/>
        <v>Y</v>
      </c>
      <c r="CI2226" s="129" t="str">
        <f t="shared" si="1633"/>
        <v>31-60 DAYS</v>
      </c>
      <c r="CJ2226" s="137">
        <f t="shared" si="1634"/>
        <v>3</v>
      </c>
      <c r="CK2226" s="129" t="str">
        <f t="shared" si="1635"/>
        <v>Booked</v>
      </c>
    </row>
    <row r="2227" spans="1:89" ht="15.75" customHeight="1" x14ac:dyDescent="0.25">
      <c r="A2227" s="111">
        <v>696</v>
      </c>
      <c r="B2227" s="128" t="str">
        <f t="shared" si="1614"/>
        <v>N</v>
      </c>
      <c r="C2227" s="128" t="str">
        <f t="shared" si="1615"/>
        <v>N</v>
      </c>
      <c r="D2227" s="117">
        <v>2479178</v>
      </c>
      <c r="E2227" s="135">
        <f t="shared" si="1616"/>
        <v>6</v>
      </c>
      <c r="F2227" s="124">
        <v>40936</v>
      </c>
      <c r="G2227" s="125">
        <v>41060</v>
      </c>
      <c r="H2227" s="117">
        <v>2479178</v>
      </c>
      <c r="I2227" s="124">
        <v>40936</v>
      </c>
      <c r="J2227" s="124">
        <v>41060</v>
      </c>
      <c r="K2227" s="126" t="s">
        <v>564</v>
      </c>
      <c r="L2227" s="127" t="s">
        <v>564</v>
      </c>
      <c r="N2227" s="129" t="s">
        <v>566</v>
      </c>
      <c r="O2227" s="128" t="s">
        <v>917</v>
      </c>
      <c r="P2227" s="129" t="s">
        <v>39</v>
      </c>
      <c r="Q2227" s="111">
        <f t="shared" si="1646"/>
        <v>125</v>
      </c>
      <c r="R2227" s="111">
        <f t="shared" si="1639"/>
        <v>125</v>
      </c>
      <c r="S2227" s="129">
        <v>2</v>
      </c>
      <c r="T2227" s="129">
        <v>0</v>
      </c>
      <c r="U2227" s="129">
        <v>1</v>
      </c>
      <c r="W2227" s="111"/>
      <c r="AC2227" s="130"/>
      <c r="AD2227" s="130">
        <v>33802</v>
      </c>
      <c r="AE2227" s="128" t="s">
        <v>32</v>
      </c>
      <c r="AF2227" s="128" t="s">
        <v>69</v>
      </c>
      <c r="AG2227" s="128" t="s">
        <v>874</v>
      </c>
      <c r="AH2227" s="108" t="s">
        <v>31</v>
      </c>
      <c r="AI2227" s="128" t="s">
        <v>42</v>
      </c>
      <c r="AJ2227" s="129" t="s">
        <v>89</v>
      </c>
      <c r="AK2227" s="129">
        <v>5</v>
      </c>
      <c r="AL2227" s="3" t="s">
        <v>362</v>
      </c>
      <c r="AM2227" s="117">
        <v>8</v>
      </c>
      <c r="AP2227" s="129" t="s">
        <v>105</v>
      </c>
      <c r="AR2227" s="128" t="s">
        <v>92</v>
      </c>
      <c r="AS2227" s="129" t="s">
        <v>106</v>
      </c>
      <c r="BC2227" s="129" t="s">
        <v>99</v>
      </c>
      <c r="BF2227" s="111">
        <f t="shared" si="1653"/>
        <v>125</v>
      </c>
      <c r="BG2227" s="111">
        <f t="shared" si="1654"/>
        <v>125</v>
      </c>
      <c r="BH2227" s="111">
        <f t="shared" si="1611"/>
        <v>125</v>
      </c>
      <c r="BI2227" s="111">
        <f t="shared" si="1612"/>
        <v>19.491803278688526</v>
      </c>
      <c r="BJ2227" s="129">
        <f t="shared" si="1626"/>
        <v>0</v>
      </c>
      <c r="BK2227" s="129">
        <f t="shared" si="1613"/>
        <v>0</v>
      </c>
      <c r="BL2227" s="129" t="str">
        <f t="shared" si="1645"/>
        <v>CONVICTION</v>
      </c>
      <c r="BM2227" s="129" t="str">
        <f t="shared" si="1627"/>
        <v>NONE</v>
      </c>
      <c r="BN2227" s="129" t="s">
        <v>566</v>
      </c>
      <c r="BP2227" s="137" t="str">
        <f t="shared" si="1617"/>
        <v>CONVICTION</v>
      </c>
      <c r="BQ2227" s="128" t="str">
        <f t="shared" si="1618"/>
        <v>Y</v>
      </c>
      <c r="BR2227" s="129" t="str">
        <f t="shared" si="1628"/>
        <v>DETAINED</v>
      </c>
      <c r="BS2227" s="129" t="str">
        <f t="shared" si="1619"/>
        <v>DISPOSED</v>
      </c>
      <c r="BT2227" s="129" t="str">
        <f t="shared" si="1620"/>
        <v>Y</v>
      </c>
      <c r="BU2227" s="109">
        <f t="shared" si="1629"/>
        <v>1</v>
      </c>
      <c r="BV2227" s="109">
        <f t="shared" si="1630"/>
        <v>1</v>
      </c>
      <c r="BW2227" s="109">
        <f t="shared" si="1650"/>
        <v>0</v>
      </c>
      <c r="BX2227" s="111">
        <f t="shared" si="1621"/>
        <v>0</v>
      </c>
      <c r="BY2227" s="129">
        <f t="shared" si="1622"/>
        <v>-125</v>
      </c>
      <c r="BZ2227" s="111">
        <f t="shared" si="1623"/>
        <v>0</v>
      </c>
      <c r="CA2227" s="138">
        <f t="shared" si="1624"/>
        <v>125</v>
      </c>
      <c r="CB2227" s="111" t="e">
        <f t="shared" si="1655"/>
        <v>#VALUE!</v>
      </c>
      <c r="CC2227" s="129">
        <f>G2227-I2227+1</f>
        <v>125</v>
      </c>
      <c r="CD2227" s="129">
        <f>G2227-J2227</f>
        <v>0</v>
      </c>
      <c r="CG2227" s="129" t="str">
        <f t="shared" si="1625"/>
        <v>Y</v>
      </c>
      <c r="CI2227" s="129" t="str">
        <f t="shared" si="1633"/>
        <v>121-365 DAYS</v>
      </c>
      <c r="CJ2227" s="137">
        <f t="shared" si="1634"/>
        <v>6</v>
      </c>
      <c r="CK2227" s="129" t="str">
        <f t="shared" si="1635"/>
        <v>Booked</v>
      </c>
    </row>
    <row r="2228" spans="1:89" ht="15.75" customHeight="1" x14ac:dyDescent="0.25">
      <c r="A2228" s="111">
        <v>1456</v>
      </c>
      <c r="B2228" s="128" t="str">
        <f t="shared" si="1614"/>
        <v>N</v>
      </c>
      <c r="C2228" s="128" t="str">
        <f t="shared" si="1615"/>
        <v>N</v>
      </c>
      <c r="D2228" s="117">
        <v>2479206</v>
      </c>
      <c r="E2228" s="135">
        <f t="shared" si="1616"/>
        <v>2</v>
      </c>
      <c r="F2228" s="124">
        <v>40962</v>
      </c>
      <c r="G2228" s="125">
        <v>40977</v>
      </c>
      <c r="H2228" s="117">
        <v>2479206</v>
      </c>
      <c r="I2228" s="124">
        <v>40975</v>
      </c>
      <c r="J2228" s="124">
        <v>40977</v>
      </c>
      <c r="K2228" s="126">
        <v>5000</v>
      </c>
      <c r="L2228" s="127" t="s">
        <v>569</v>
      </c>
      <c r="N2228" s="129" t="str">
        <f>IF(M2228&gt;1/1/1,"Y","N")</f>
        <v>N</v>
      </c>
      <c r="O2228" s="128" t="s">
        <v>917</v>
      </c>
      <c r="P2228" s="129" t="s">
        <v>589</v>
      </c>
      <c r="Q2228" s="111">
        <f t="shared" si="1646"/>
        <v>3</v>
      </c>
      <c r="R2228" s="111">
        <f t="shared" si="1639"/>
        <v>16</v>
      </c>
      <c r="S2228" s="129">
        <v>0</v>
      </c>
      <c r="T2228" s="129">
        <v>3</v>
      </c>
      <c r="W2228" s="111"/>
      <c r="AC2228" s="130"/>
      <c r="AD2228" s="130">
        <v>33934</v>
      </c>
      <c r="AE2228" s="128" t="s">
        <v>32</v>
      </c>
      <c r="AF2228" s="128" t="s">
        <v>33</v>
      </c>
      <c r="AG2228" s="128" t="s">
        <v>872</v>
      </c>
      <c r="AH2228" s="108" t="s">
        <v>31</v>
      </c>
      <c r="AI2228" s="128" t="s">
        <v>114</v>
      </c>
      <c r="AJ2228" s="129" t="s">
        <v>48</v>
      </c>
      <c r="AK2228" s="129">
        <v>3</v>
      </c>
      <c r="AL2228" s="3" t="s">
        <v>48</v>
      </c>
      <c r="AP2228" s="129" t="s">
        <v>189</v>
      </c>
      <c r="AR2228" s="128" t="s">
        <v>67</v>
      </c>
      <c r="AS2228" s="129" t="s">
        <v>64</v>
      </c>
      <c r="AT2228" s="129" t="s">
        <v>1422</v>
      </c>
      <c r="BC2228" s="129" t="s">
        <v>38</v>
      </c>
      <c r="BF2228" s="111">
        <f t="shared" si="1653"/>
        <v>3</v>
      </c>
      <c r="BG2228" s="111">
        <f t="shared" si="1654"/>
        <v>3</v>
      </c>
      <c r="BH2228" s="111">
        <f t="shared" si="1611"/>
        <v>16</v>
      </c>
      <c r="BI2228" s="111">
        <f t="shared" si="1612"/>
        <v>19.202185792349727</v>
      </c>
      <c r="BJ2228" s="129">
        <f t="shared" si="1626"/>
        <v>0</v>
      </c>
      <c r="BK2228" s="129">
        <f t="shared" si="1613"/>
        <v>0</v>
      </c>
      <c r="BL2228" s="129" t="str">
        <f t="shared" si="1645"/>
        <v>DEFERRED</v>
      </c>
      <c r="BM2228" s="129" t="str">
        <f t="shared" si="1627"/>
        <v>NONE</v>
      </c>
      <c r="BN2228" s="129" t="s">
        <v>566</v>
      </c>
      <c r="BP2228" s="137" t="str">
        <f t="shared" si="1617"/>
        <v>DEFERRED</v>
      </c>
      <c r="BQ2228" s="128" t="str">
        <f t="shared" si="1618"/>
        <v>Y</v>
      </c>
      <c r="BR2228" s="129" t="str">
        <f t="shared" si="1628"/>
        <v>DETAINED</v>
      </c>
      <c r="BS2228" s="129" t="str">
        <f t="shared" si="1619"/>
        <v>DISPOSED</v>
      </c>
      <c r="BT2228" s="129" t="str">
        <f t="shared" si="1620"/>
        <v>N</v>
      </c>
      <c r="BU2228" s="109">
        <f t="shared" si="1629"/>
        <v>0.1875</v>
      </c>
      <c r="BV2228" s="109">
        <f t="shared" si="1630"/>
        <v>1</v>
      </c>
      <c r="BW2228" s="109">
        <f t="shared" si="1650"/>
        <v>0.8125</v>
      </c>
      <c r="BX2228" s="111">
        <f t="shared" si="1621"/>
        <v>0</v>
      </c>
      <c r="BY2228" s="129">
        <f t="shared" si="1622"/>
        <v>-3</v>
      </c>
      <c r="BZ2228" s="111">
        <f t="shared" si="1623"/>
        <v>0</v>
      </c>
      <c r="CA2228" s="138">
        <f t="shared" si="1624"/>
        <v>3</v>
      </c>
      <c r="CB2228" s="111" t="e">
        <f t="shared" si="1655"/>
        <v>#VALUE!</v>
      </c>
      <c r="CC2228" s="129">
        <f>G2228-I2228+1</f>
        <v>3</v>
      </c>
      <c r="CD2228" s="129">
        <f>G2228-J2228</f>
        <v>0</v>
      </c>
      <c r="CG2228" s="129" t="str">
        <f t="shared" si="1625"/>
        <v>Y</v>
      </c>
      <c r="CI2228" s="129" t="str">
        <f t="shared" si="1633"/>
        <v>0-10 DAYS</v>
      </c>
      <c r="CJ2228" s="137">
        <f t="shared" si="1634"/>
        <v>1</v>
      </c>
      <c r="CK2228" s="129" t="str">
        <f t="shared" si="1635"/>
        <v>Booked</v>
      </c>
    </row>
    <row r="2229" spans="1:89" ht="15.75" customHeight="1" x14ac:dyDescent="0.25">
      <c r="A2229" s="111">
        <v>2237</v>
      </c>
      <c r="B2229" s="128" t="str">
        <f t="shared" si="1614"/>
        <v>N</v>
      </c>
      <c r="C2229" s="128" t="str">
        <f t="shared" si="1615"/>
        <v>N</v>
      </c>
      <c r="D2229" s="117">
        <v>2479243</v>
      </c>
      <c r="E2229" s="135">
        <f t="shared" si="1616"/>
        <v>1</v>
      </c>
      <c r="F2229" s="124">
        <v>40993</v>
      </c>
      <c r="G2229" s="125">
        <v>41032</v>
      </c>
      <c r="H2229" s="117">
        <v>2479243</v>
      </c>
      <c r="I2229" s="124">
        <v>40993</v>
      </c>
      <c r="J2229" s="124">
        <v>40995</v>
      </c>
      <c r="K2229" s="126">
        <v>5000</v>
      </c>
      <c r="L2229" s="127" t="s">
        <v>569</v>
      </c>
      <c r="M2229" s="125">
        <v>40995</v>
      </c>
      <c r="N2229" s="129" t="str">
        <f>IF(M2229&gt;1/1/1,"Y","N")</f>
        <v>Y</v>
      </c>
      <c r="O2229" s="128" t="s">
        <v>76</v>
      </c>
      <c r="P2229" s="129" t="s">
        <v>55</v>
      </c>
      <c r="Q2229" s="111">
        <f t="shared" si="1646"/>
        <v>3</v>
      </c>
      <c r="R2229" s="111">
        <f t="shared" si="1639"/>
        <v>40</v>
      </c>
      <c r="S2229" s="129">
        <v>0</v>
      </c>
      <c r="T2229" s="129">
        <v>0</v>
      </c>
      <c r="W2229" s="111"/>
      <c r="AC2229" s="130"/>
      <c r="AD2229" s="130">
        <v>33788</v>
      </c>
      <c r="AE2229" s="128" t="s">
        <v>32</v>
      </c>
      <c r="AF2229" s="128" t="s">
        <v>40</v>
      </c>
      <c r="AG2229" s="128" t="s">
        <v>41</v>
      </c>
      <c r="AH2229" s="108" t="s">
        <v>41</v>
      </c>
      <c r="AI2229" s="128" t="s">
        <v>118</v>
      </c>
      <c r="AJ2229" s="129" t="s">
        <v>55</v>
      </c>
      <c r="AK2229" s="129">
        <v>3</v>
      </c>
      <c r="AL2229" s="3" t="s">
        <v>55</v>
      </c>
      <c r="AP2229" s="129" t="s">
        <v>108</v>
      </c>
      <c r="AR2229" s="128" t="s">
        <v>44</v>
      </c>
      <c r="AS2229" s="129" t="s">
        <v>61</v>
      </c>
      <c r="AT2229" s="129" t="s">
        <v>420</v>
      </c>
      <c r="BC2229" s="129" t="s">
        <v>52</v>
      </c>
      <c r="BF2229" s="111">
        <f t="shared" si="1653"/>
        <v>3</v>
      </c>
      <c r="BG2229" s="111">
        <f t="shared" si="1654"/>
        <v>40</v>
      </c>
      <c r="BH2229" s="111">
        <f t="shared" si="1611"/>
        <v>40</v>
      </c>
      <c r="BI2229" s="111">
        <f t="shared" si="1612"/>
        <v>19.685792349726775</v>
      </c>
      <c r="BJ2229" s="129">
        <f>(G2229-J2229)+(M2229-G2229)</f>
        <v>0</v>
      </c>
      <c r="BK2229" s="129">
        <f t="shared" si="1613"/>
        <v>-37</v>
      </c>
      <c r="BL2229" s="129" t="str">
        <f t="shared" si="1645"/>
        <v>NO CONVICTION</v>
      </c>
      <c r="BM2229" s="129" t="s">
        <v>76</v>
      </c>
      <c r="BN2229" s="129" t="s">
        <v>88</v>
      </c>
      <c r="BP2229" s="137" t="str">
        <f t="shared" si="1617"/>
        <v>NO CONVICTION</v>
      </c>
      <c r="BQ2229" s="128" t="str">
        <f t="shared" si="1618"/>
        <v>Y</v>
      </c>
      <c r="BR2229" s="129" t="str">
        <f t="shared" si="1628"/>
        <v>ON BOND</v>
      </c>
      <c r="BS2229" s="129" t="str">
        <f t="shared" si="1619"/>
        <v>DISPOSED</v>
      </c>
      <c r="BT2229" s="129" t="str">
        <f t="shared" si="1620"/>
        <v>N</v>
      </c>
      <c r="BU2229" s="109">
        <f>IFERROR(Q2229/R2229,BR2229)</f>
        <v>7.4999999999999997E-2</v>
      </c>
      <c r="BV2229" s="109">
        <f t="shared" si="1630"/>
        <v>7.4999999999999997E-2</v>
      </c>
      <c r="BW2229" s="109">
        <f t="shared" si="1650"/>
        <v>0</v>
      </c>
      <c r="BX2229" s="111">
        <f t="shared" si="1621"/>
        <v>0</v>
      </c>
      <c r="BY2229" s="129">
        <f t="shared" si="1622"/>
        <v>-3</v>
      </c>
      <c r="BZ2229" s="111">
        <f t="shared" si="1623"/>
        <v>0</v>
      </c>
      <c r="CA2229" s="138">
        <f t="shared" si="1624"/>
        <v>3</v>
      </c>
      <c r="CB2229" s="111" t="e">
        <f t="shared" si="1655"/>
        <v>#VALUE!</v>
      </c>
      <c r="CC2229" s="129">
        <f>M2229-I2229+1</f>
        <v>3</v>
      </c>
      <c r="CD2229" s="111">
        <f>CC2229-BF2229</f>
        <v>0</v>
      </c>
      <c r="CG2229" s="129" t="str">
        <f t="shared" si="1625"/>
        <v>N</v>
      </c>
      <c r="CI2229" s="129" t="str">
        <f t="shared" si="1633"/>
        <v>0-10 DAYS</v>
      </c>
      <c r="CJ2229" s="137">
        <f t="shared" si="1634"/>
        <v>1</v>
      </c>
      <c r="CK2229" s="129" t="str">
        <f t="shared" si="1635"/>
        <v>Booked</v>
      </c>
    </row>
    <row r="2230" spans="1:89" ht="15.75" customHeight="1" x14ac:dyDescent="0.25">
      <c r="A2230" s="111">
        <v>921</v>
      </c>
      <c r="B2230" s="128" t="str">
        <f t="shared" si="1614"/>
        <v>N</v>
      </c>
      <c r="C2230" s="128" t="str">
        <f t="shared" si="1615"/>
        <v>N</v>
      </c>
      <c r="D2230" s="117">
        <v>2479256</v>
      </c>
      <c r="E2230" s="135">
        <f t="shared" si="1616"/>
        <v>6</v>
      </c>
      <c r="F2230" s="124">
        <v>40942</v>
      </c>
      <c r="G2230" s="125">
        <v>41001</v>
      </c>
      <c r="H2230" s="117">
        <v>2479256</v>
      </c>
      <c r="I2230" s="124">
        <v>40943</v>
      </c>
      <c r="J2230" s="124">
        <v>41001</v>
      </c>
      <c r="K2230" s="126" t="s">
        <v>564</v>
      </c>
      <c r="L2230" s="127" t="s">
        <v>564</v>
      </c>
      <c r="N2230" s="129" t="s">
        <v>566</v>
      </c>
      <c r="O2230" s="128" t="s">
        <v>917</v>
      </c>
      <c r="P2230" s="129" t="s">
        <v>39</v>
      </c>
      <c r="Q2230" s="111">
        <f t="shared" si="1646"/>
        <v>59</v>
      </c>
      <c r="R2230" s="111">
        <f t="shared" si="1639"/>
        <v>60</v>
      </c>
      <c r="S2230" s="129">
        <v>1</v>
      </c>
      <c r="T2230" s="129">
        <v>1</v>
      </c>
      <c r="U2230" s="129">
        <v>1</v>
      </c>
      <c r="W2230" s="111"/>
      <c r="AC2230" s="130"/>
      <c r="AD2230" s="130">
        <v>33782</v>
      </c>
      <c r="AE2230" s="128" t="s">
        <v>32</v>
      </c>
      <c r="AF2230" s="128" t="s">
        <v>33</v>
      </c>
      <c r="AG2230" s="128" t="s">
        <v>872</v>
      </c>
      <c r="AH2230" s="108" t="s">
        <v>31</v>
      </c>
      <c r="AI2230" s="128" t="s">
        <v>114</v>
      </c>
      <c r="AJ2230" s="129" t="s">
        <v>89</v>
      </c>
      <c r="AK2230" s="129">
        <v>5</v>
      </c>
      <c r="AL2230" s="3" t="s">
        <v>362</v>
      </c>
      <c r="AM2230" s="117">
        <v>10</v>
      </c>
      <c r="AP2230" s="129" t="s">
        <v>56</v>
      </c>
      <c r="AR2230" s="128" t="s">
        <v>50</v>
      </c>
      <c r="AS2230" s="129" t="s">
        <v>57</v>
      </c>
      <c r="BC2230" s="129" t="s">
        <v>38</v>
      </c>
      <c r="BF2230" s="111">
        <f t="shared" si="1653"/>
        <v>59</v>
      </c>
      <c r="BG2230" s="111">
        <f t="shared" si="1654"/>
        <v>59</v>
      </c>
      <c r="BH2230" s="111">
        <f t="shared" si="1611"/>
        <v>60</v>
      </c>
      <c r="BI2230" s="111">
        <f t="shared" si="1612"/>
        <v>19.562841530054644</v>
      </c>
      <c r="BJ2230" s="129">
        <f t="shared" si="1626"/>
        <v>0</v>
      </c>
      <c r="BK2230" s="129">
        <f t="shared" si="1613"/>
        <v>0</v>
      </c>
      <c r="BL2230" s="129" t="str">
        <f t="shared" si="1645"/>
        <v>CONVICTION</v>
      </c>
      <c r="BM2230" s="129" t="str">
        <f t="shared" si="1627"/>
        <v>NONE</v>
      </c>
      <c r="BN2230" s="129" t="s">
        <v>566</v>
      </c>
      <c r="BP2230" s="137" t="str">
        <f t="shared" si="1617"/>
        <v>CONVICTION</v>
      </c>
      <c r="BQ2230" s="128" t="str">
        <f t="shared" si="1618"/>
        <v>Y</v>
      </c>
      <c r="BR2230" s="129" t="str">
        <f t="shared" si="1628"/>
        <v>DETAINED</v>
      </c>
      <c r="BS2230" s="129" t="str">
        <f t="shared" si="1619"/>
        <v>DISPOSED</v>
      </c>
      <c r="BT2230" s="129" t="str">
        <f t="shared" si="1620"/>
        <v>Y</v>
      </c>
      <c r="BU2230" s="109">
        <f t="shared" si="1629"/>
        <v>0.98333333333333328</v>
      </c>
      <c r="BV2230" s="109">
        <f t="shared" si="1630"/>
        <v>1</v>
      </c>
      <c r="BW2230" s="109">
        <f t="shared" si="1650"/>
        <v>1.6666666666666718E-2</v>
      </c>
      <c r="BX2230" s="111">
        <f t="shared" si="1621"/>
        <v>0</v>
      </c>
      <c r="BY2230" s="129">
        <f t="shared" si="1622"/>
        <v>-59</v>
      </c>
      <c r="BZ2230" s="111">
        <f t="shared" si="1623"/>
        <v>0</v>
      </c>
      <c r="CA2230" s="138">
        <f t="shared" si="1624"/>
        <v>59</v>
      </c>
      <c r="CB2230" s="111" t="e">
        <f t="shared" si="1655"/>
        <v>#VALUE!</v>
      </c>
      <c r="CC2230" s="129">
        <f>G2230-I2230+1</f>
        <v>59</v>
      </c>
      <c r="CD2230" s="129">
        <f>G2230-J2230</f>
        <v>0</v>
      </c>
      <c r="CG2230" s="129" t="str">
        <f t="shared" si="1625"/>
        <v>Y</v>
      </c>
      <c r="CI2230" s="129" t="str">
        <f t="shared" si="1633"/>
        <v>31-60 DAYS</v>
      </c>
      <c r="CJ2230" s="137">
        <f t="shared" si="1634"/>
        <v>3</v>
      </c>
      <c r="CK2230" s="129" t="str">
        <f t="shared" si="1635"/>
        <v>Booked</v>
      </c>
    </row>
    <row r="2231" spans="1:89" ht="15" customHeight="1" x14ac:dyDescent="0.25">
      <c r="A2231" s="111">
        <v>3167</v>
      </c>
      <c r="B2231" s="128" t="str">
        <f t="shared" si="1614"/>
        <v>Y</v>
      </c>
      <c r="C2231" s="128" t="str">
        <f t="shared" si="1615"/>
        <v>Y</v>
      </c>
      <c r="D2231" s="114">
        <v>2479500</v>
      </c>
      <c r="E2231" s="135">
        <f t="shared" si="1616"/>
        <v>5</v>
      </c>
      <c r="F2231" s="124">
        <v>41025</v>
      </c>
      <c r="G2231" s="125">
        <v>41570</v>
      </c>
      <c r="H2231" s="114">
        <v>2479500</v>
      </c>
      <c r="I2231" s="124">
        <v>41173</v>
      </c>
      <c r="J2231" s="124">
        <v>41179</v>
      </c>
      <c r="K2231" s="126">
        <v>6000</v>
      </c>
      <c r="L2231" s="127" t="s">
        <v>570</v>
      </c>
      <c r="M2231" s="125">
        <v>41179</v>
      </c>
      <c r="N2231" s="129" t="str">
        <f>IF(M2231&gt;1/1/1,"Y","N")</f>
        <v>Y</v>
      </c>
      <c r="O2231" s="128" t="s">
        <v>585</v>
      </c>
      <c r="P2231" s="129" t="s">
        <v>39</v>
      </c>
      <c r="Q2231" s="111">
        <v>65</v>
      </c>
      <c r="R2231" s="111">
        <f t="shared" si="1639"/>
        <v>546</v>
      </c>
      <c r="S2231" s="129">
        <v>0</v>
      </c>
      <c r="T2231" s="129">
        <v>1</v>
      </c>
      <c r="W2231" s="111"/>
      <c r="AC2231" s="130"/>
      <c r="AD2231" s="130">
        <v>33200</v>
      </c>
      <c r="AE2231" s="128" t="s">
        <v>32</v>
      </c>
      <c r="AF2231" s="128" t="s">
        <v>33</v>
      </c>
      <c r="AG2231" s="128" t="s">
        <v>872</v>
      </c>
      <c r="AH2231" s="108" t="s">
        <v>31</v>
      </c>
      <c r="AI2231" s="128" t="s">
        <v>71</v>
      </c>
      <c r="AJ2231" s="129" t="s">
        <v>89</v>
      </c>
      <c r="AK2231" s="129">
        <v>8</v>
      </c>
      <c r="AL2231" s="3" t="s">
        <v>992</v>
      </c>
      <c r="AN2231" s="117">
        <v>12</v>
      </c>
      <c r="AP2231" s="129" t="s">
        <v>63</v>
      </c>
      <c r="AR2231" s="128" t="s">
        <v>44</v>
      </c>
      <c r="AS2231" s="129" t="s">
        <v>64</v>
      </c>
      <c r="AT2231" s="129" t="s">
        <v>1124</v>
      </c>
      <c r="AU2231" s="125"/>
      <c r="AV2231" s="3" t="s">
        <v>88</v>
      </c>
      <c r="AW2231" s="125">
        <v>41298</v>
      </c>
      <c r="AX2231" s="3"/>
      <c r="AY2231" s="123"/>
      <c r="BB2231" s="32"/>
      <c r="BC2231" s="129" t="s">
        <v>38</v>
      </c>
      <c r="BD2231" s="129" t="s">
        <v>1113</v>
      </c>
      <c r="BF2231" s="111">
        <v>65</v>
      </c>
      <c r="BG2231" s="111">
        <f t="shared" si="1654"/>
        <v>398</v>
      </c>
      <c r="BH2231" s="111">
        <f t="shared" si="1611"/>
        <v>546</v>
      </c>
      <c r="BI2231" s="111">
        <f t="shared" si="1612"/>
        <v>21.379781420765028</v>
      </c>
      <c r="BJ2231" s="129">
        <f>(G2231-J2231)+(M2231-G2231)</f>
        <v>0</v>
      </c>
      <c r="BK2231" s="129">
        <f t="shared" si="1613"/>
        <v>-391</v>
      </c>
      <c r="BL2231" s="129" t="s">
        <v>1057</v>
      </c>
      <c r="BM2231" s="129" t="s">
        <v>76</v>
      </c>
      <c r="BN2231" s="129" t="s">
        <v>566</v>
      </c>
      <c r="BP2231" s="137" t="str">
        <f t="shared" si="1617"/>
        <v>CONVICTION</v>
      </c>
      <c r="BQ2231" s="128" t="str">
        <f t="shared" si="1618"/>
        <v>Y</v>
      </c>
      <c r="BR2231" s="129" t="s">
        <v>574</v>
      </c>
      <c r="BS2231" s="129" t="str">
        <f t="shared" si="1619"/>
        <v>DISPOSED</v>
      </c>
      <c r="BT2231" s="129" t="str">
        <f t="shared" si="1620"/>
        <v>N</v>
      </c>
      <c r="BU2231" s="109">
        <f t="shared" si="1629"/>
        <v>0.11904761904761904</v>
      </c>
      <c r="BV2231" s="109">
        <f t="shared" si="1630"/>
        <v>1.7587939698492462E-2</v>
      </c>
      <c r="BW2231" s="109">
        <f t="shared" si="1650"/>
        <v>-0.10145967934912659</v>
      </c>
      <c r="BX2231" s="111">
        <f t="shared" si="1621"/>
        <v>0</v>
      </c>
      <c r="BY2231" s="129">
        <f t="shared" si="1622"/>
        <v>-7</v>
      </c>
      <c r="BZ2231" s="111">
        <f t="shared" si="1623"/>
        <v>58</v>
      </c>
      <c r="CA2231" s="138">
        <f t="shared" si="1624"/>
        <v>398</v>
      </c>
      <c r="CB2231" s="111">
        <v>65</v>
      </c>
      <c r="CC2231" s="129">
        <f>G2231-I2231+1</f>
        <v>398</v>
      </c>
      <c r="CD2231" s="129">
        <f>G2231-J2231</f>
        <v>391</v>
      </c>
      <c r="CG2231" s="129" t="str">
        <f t="shared" si="1625"/>
        <v>Y</v>
      </c>
      <c r="CI2231" s="129" t="str">
        <f t="shared" si="1633"/>
        <v>61-90 DAYS</v>
      </c>
      <c r="CJ2231" s="137">
        <f t="shared" si="1634"/>
        <v>4</v>
      </c>
      <c r="CK2231" s="129" t="str">
        <f t="shared" si="1635"/>
        <v>Booked</v>
      </c>
    </row>
    <row r="2232" spans="1:89" ht="15.75" customHeight="1" x14ac:dyDescent="0.25">
      <c r="A2232" s="111">
        <v>1558</v>
      </c>
      <c r="B2232" s="128" t="str">
        <f t="shared" si="1614"/>
        <v>N</v>
      </c>
      <c r="C2232" s="128" t="str">
        <f t="shared" si="1615"/>
        <v>N</v>
      </c>
      <c r="D2232" s="117">
        <v>2479555</v>
      </c>
      <c r="E2232" s="135">
        <f t="shared" si="1616"/>
        <v>2</v>
      </c>
      <c r="F2232" s="124">
        <v>40967</v>
      </c>
      <c r="G2232" s="125">
        <v>41038</v>
      </c>
      <c r="H2232" s="117">
        <v>2479555</v>
      </c>
      <c r="I2232" s="124" t="s">
        <v>562</v>
      </c>
      <c r="J2232" s="124" t="s">
        <v>562</v>
      </c>
      <c r="K2232" s="126">
        <v>2000</v>
      </c>
      <c r="L2232" s="127" t="s">
        <v>568</v>
      </c>
      <c r="M2232" s="125">
        <v>40971</v>
      </c>
      <c r="N2232" s="129" t="str">
        <f>IF(M2232&gt;1/1/1,"Y",IF(Q2232="0","","N"))</f>
        <v>Y</v>
      </c>
      <c r="O2232" s="128" t="s">
        <v>76</v>
      </c>
      <c r="P2232" s="129" t="s">
        <v>589</v>
      </c>
      <c r="Q2232" s="111">
        <f t="shared" ref="Q2232:Q2260" si="1657">BF2232</f>
        <v>0</v>
      </c>
      <c r="R2232" s="111">
        <f t="shared" si="1639"/>
        <v>72</v>
      </c>
      <c r="S2232" s="129">
        <v>1</v>
      </c>
      <c r="T2232" s="129">
        <v>2</v>
      </c>
      <c r="V2232" s="117">
        <v>1</v>
      </c>
      <c r="W2232" s="111"/>
      <c r="AC2232" s="130"/>
      <c r="AD2232" s="130">
        <v>33348</v>
      </c>
      <c r="AE2232" s="128" t="s">
        <v>32</v>
      </c>
      <c r="AF2232" s="128" t="s">
        <v>33</v>
      </c>
      <c r="AG2232" s="128" t="s">
        <v>872</v>
      </c>
      <c r="AH2232" s="108" t="s">
        <v>31</v>
      </c>
      <c r="AI2232" s="128" t="s">
        <v>141</v>
      </c>
      <c r="AJ2232" s="129" t="s">
        <v>48</v>
      </c>
      <c r="AK2232" s="129">
        <v>6</v>
      </c>
      <c r="AL2232" s="3" t="s">
        <v>48</v>
      </c>
      <c r="AP2232" s="129" t="s">
        <v>104</v>
      </c>
      <c r="AR2232" s="128" t="s">
        <v>44</v>
      </c>
      <c r="AS2232" s="129" t="s">
        <v>64</v>
      </c>
      <c r="AT2232" s="129" t="s">
        <v>346</v>
      </c>
      <c r="BC2232" s="129" t="s">
        <v>38</v>
      </c>
      <c r="BF2232" s="111">
        <v>0</v>
      </c>
      <c r="BG2232" s="111">
        <v>0</v>
      </c>
      <c r="BH2232" s="111">
        <f t="shared" si="1611"/>
        <v>72</v>
      </c>
      <c r="BI2232" s="111">
        <f t="shared" si="1612"/>
        <v>20.816939890710383</v>
      </c>
      <c r="BJ2232" s="129" t="e">
        <f>(G2232-J2232)+(M2232-G2232)</f>
        <v>#VALUE!</v>
      </c>
      <c r="BK2232" s="129" t="e">
        <f t="shared" si="1613"/>
        <v>#VALUE!</v>
      </c>
      <c r="BL2232" s="129" t="str">
        <f t="shared" ref="BL2232:BL2295" si="1658">IF(OR(AL2232="AQUITTAL",AL2232="DISMISSED",AL2232="FINE",AL2232="NO BILL"),"NO CONVICTION",IF(OR(AL2232="HCJ",AL2232="MHH",AL2232="PROBATION",AL2232="STJ",AL2232="TDC"),"CONVICTION",IF(AL2232="DEFERRED","DEFERRED",0)))</f>
        <v>DEFERRED</v>
      </c>
      <c r="BM2232" s="129" t="s">
        <v>76</v>
      </c>
      <c r="BN2232" s="129" t="s">
        <v>88</v>
      </c>
      <c r="BP2232" s="137" t="str">
        <f t="shared" si="1617"/>
        <v>DEFERRED</v>
      </c>
      <c r="BQ2232" s="128">
        <f t="shared" si="1618"/>
        <v>0</v>
      </c>
      <c r="BR2232" s="129" t="s">
        <v>575</v>
      </c>
      <c r="BS2232" s="129" t="str">
        <f t="shared" si="1619"/>
        <v>DISPOSED</v>
      </c>
      <c r="BT2232" s="129" t="str">
        <f t="shared" si="1620"/>
        <v>Y</v>
      </c>
      <c r="BU2232" s="109">
        <f t="shared" si="1629"/>
        <v>0</v>
      </c>
      <c r="BV2232" s="109">
        <v>0</v>
      </c>
      <c r="BW2232" s="109">
        <f t="shared" si="1650"/>
        <v>0</v>
      </c>
      <c r="BX2232" s="111">
        <f t="shared" si="1621"/>
        <v>0</v>
      </c>
      <c r="BY2232" s="129" t="e">
        <f t="shared" si="1622"/>
        <v>#VALUE!</v>
      </c>
      <c r="BZ2232" s="111" t="e">
        <f t="shared" si="1623"/>
        <v>#VALUE!</v>
      </c>
      <c r="CA2232" s="138" t="e">
        <f t="shared" si="1624"/>
        <v>#VALUE!</v>
      </c>
      <c r="CB2232" s="111">
        <v>0</v>
      </c>
      <c r="CC2232" s="129">
        <v>0</v>
      </c>
      <c r="CD2232" s="111">
        <f>CC2232-BF2232</f>
        <v>0</v>
      </c>
      <c r="CG2232" s="129" t="str">
        <f t="shared" si="1625"/>
        <v>Y</v>
      </c>
      <c r="CI2232" s="129" t="str">
        <f t="shared" si="1633"/>
        <v>0-10 DAYS</v>
      </c>
      <c r="CJ2232" s="137">
        <f t="shared" si="1634"/>
        <v>1</v>
      </c>
      <c r="CK2232" s="129" t="str">
        <f t="shared" si="1635"/>
        <v>Not Booked</v>
      </c>
    </row>
    <row r="2233" spans="1:89" ht="15" customHeight="1" x14ac:dyDescent="0.25">
      <c r="A2233" s="111">
        <v>1611</v>
      </c>
      <c r="B2233" s="128" t="str">
        <f t="shared" si="1614"/>
        <v>N</v>
      </c>
      <c r="C2233" s="128" t="str">
        <f t="shared" si="1615"/>
        <v>N</v>
      </c>
      <c r="D2233" s="117">
        <v>2480007</v>
      </c>
      <c r="E2233" s="135">
        <f t="shared" si="1616"/>
        <v>4</v>
      </c>
      <c r="F2233" s="124">
        <v>40968</v>
      </c>
      <c r="G2233" s="125">
        <v>40981</v>
      </c>
      <c r="H2233" s="117">
        <v>2480007</v>
      </c>
      <c r="I2233" s="124">
        <v>40980</v>
      </c>
      <c r="J2233" s="124">
        <v>40981</v>
      </c>
      <c r="K2233" s="126">
        <v>2000</v>
      </c>
      <c r="L2233" s="127" t="s">
        <v>568</v>
      </c>
      <c r="N2233" s="129" t="str">
        <f t="shared" ref="N2233:N2245" si="1659">IF(M2233&gt;1/1/1,"Y","N")</f>
        <v>N</v>
      </c>
      <c r="O2233" s="128" t="s">
        <v>917</v>
      </c>
      <c r="P2233" s="129" t="s">
        <v>39</v>
      </c>
      <c r="Q2233" s="111">
        <f t="shared" si="1657"/>
        <v>2</v>
      </c>
      <c r="R2233" s="111">
        <f t="shared" si="1639"/>
        <v>14</v>
      </c>
      <c r="S2233" s="129">
        <v>0</v>
      </c>
      <c r="T2233" s="129">
        <v>3</v>
      </c>
      <c r="W2233" s="111"/>
      <c r="AC2233" s="130"/>
      <c r="AD2233" s="130">
        <v>29566</v>
      </c>
      <c r="AE2233" s="128" t="s">
        <v>32</v>
      </c>
      <c r="AF2233" s="128" t="s">
        <v>69</v>
      </c>
      <c r="AG2233" s="128" t="s">
        <v>874</v>
      </c>
      <c r="AH2233" s="108" t="s">
        <v>31</v>
      </c>
      <c r="AI2233" s="128" t="s">
        <v>53</v>
      </c>
      <c r="AJ2233" s="129" t="s">
        <v>89</v>
      </c>
      <c r="AK2233" s="129">
        <v>2</v>
      </c>
      <c r="AL2233" s="3" t="s">
        <v>991</v>
      </c>
      <c r="AO2233" s="128">
        <v>90</v>
      </c>
      <c r="AP2233" s="129" t="s">
        <v>60</v>
      </c>
      <c r="AR2233" s="128" t="s">
        <v>44</v>
      </c>
      <c r="AS2233" s="129" t="s">
        <v>61</v>
      </c>
      <c r="AT2233" s="129" t="s">
        <v>354</v>
      </c>
      <c r="BC2233" s="129" t="s">
        <v>38</v>
      </c>
      <c r="BF2233" s="111">
        <f t="shared" ref="BF2233:BF2246" si="1660">IF(J2233&gt;1/1/1900,((J2233+1)-I2233),"STILL OPEN")</f>
        <v>2</v>
      </c>
      <c r="BG2233" s="111">
        <f t="shared" ref="BG2233:BG2246" si="1661">IF(G2233&gt;1/1/1900,((G2233+1)-I2233),"STILL OPEN")</f>
        <v>2</v>
      </c>
      <c r="BH2233" s="111">
        <f t="shared" si="1611"/>
        <v>14</v>
      </c>
      <c r="BI2233" s="111">
        <f t="shared" si="1612"/>
        <v>31.153005464480874</v>
      </c>
      <c r="BJ2233" s="129">
        <f t="shared" si="1626"/>
        <v>0</v>
      </c>
      <c r="BK2233" s="129">
        <f t="shared" si="1613"/>
        <v>0</v>
      </c>
      <c r="BL2233" s="129" t="str">
        <f t="shared" si="1658"/>
        <v>CONVICTION</v>
      </c>
      <c r="BM2233" s="129" t="str">
        <f t="shared" si="1627"/>
        <v>NONE</v>
      </c>
      <c r="BN2233" s="129" t="s">
        <v>566</v>
      </c>
      <c r="BP2233" s="137" t="str">
        <f t="shared" si="1617"/>
        <v>CONVICTION</v>
      </c>
      <c r="BQ2233" s="128" t="str">
        <f t="shared" si="1618"/>
        <v>Y</v>
      </c>
      <c r="BR2233" s="129" t="str">
        <f t="shared" si="1628"/>
        <v>DETAINED</v>
      </c>
      <c r="BS2233" s="129" t="str">
        <f t="shared" si="1619"/>
        <v>DISPOSED</v>
      </c>
      <c r="BT2233" s="129" t="str">
        <f t="shared" si="1620"/>
        <v>N</v>
      </c>
      <c r="BU2233" s="109">
        <f t="shared" si="1629"/>
        <v>0.14285714285714285</v>
      </c>
      <c r="BV2233" s="109">
        <f t="shared" si="1630"/>
        <v>1</v>
      </c>
      <c r="BW2233" s="109">
        <f t="shared" si="1650"/>
        <v>0.85714285714285721</v>
      </c>
      <c r="BX2233" s="111">
        <f t="shared" si="1621"/>
        <v>0</v>
      </c>
      <c r="BY2233" s="129">
        <f t="shared" si="1622"/>
        <v>-2</v>
      </c>
      <c r="BZ2233" s="111">
        <f t="shared" si="1623"/>
        <v>0</v>
      </c>
      <c r="CA2233" s="138">
        <f t="shared" si="1624"/>
        <v>2</v>
      </c>
      <c r="CB2233" s="111" t="e">
        <f t="shared" ref="CB2233:CB2246" si="1662">IF(AF2233&gt;1/1/1900,((AF2233+1)-AE2233),"STILL OPEN")</f>
        <v>#VALUE!</v>
      </c>
      <c r="CC2233" s="129">
        <f>G2233-I2233+1</f>
        <v>2</v>
      </c>
      <c r="CD2233" s="129">
        <f t="shared" ref="CD2233:CD2239" si="1663">G2233-J2233</f>
        <v>0</v>
      </c>
      <c r="CG2233" s="129" t="str">
        <f t="shared" si="1625"/>
        <v>Y</v>
      </c>
      <c r="CI2233" s="129" t="str">
        <f t="shared" si="1633"/>
        <v>0-10 DAYS</v>
      </c>
      <c r="CJ2233" s="137">
        <f t="shared" si="1634"/>
        <v>1</v>
      </c>
      <c r="CK2233" s="129" t="str">
        <f t="shared" si="1635"/>
        <v>Booked</v>
      </c>
    </row>
    <row r="2234" spans="1:89" ht="15.75" customHeight="1" x14ac:dyDescent="0.25">
      <c r="A2234" s="111">
        <v>818</v>
      </c>
      <c r="B2234" s="128" t="str">
        <f t="shared" si="1614"/>
        <v>Y</v>
      </c>
      <c r="C2234" s="128" t="str">
        <f t="shared" si="1615"/>
        <v>Y</v>
      </c>
      <c r="D2234" s="117">
        <v>2480017</v>
      </c>
      <c r="E2234" s="135">
        <f t="shared" si="1616"/>
        <v>5</v>
      </c>
      <c r="F2234" s="124">
        <v>40940</v>
      </c>
      <c r="G2234" s="125">
        <v>41012</v>
      </c>
      <c r="H2234" s="117">
        <v>2480017</v>
      </c>
      <c r="I2234" s="124">
        <v>40940</v>
      </c>
      <c r="J2234" s="124">
        <v>40941</v>
      </c>
      <c r="K2234" s="126">
        <v>2000</v>
      </c>
      <c r="L2234" s="127" t="s">
        <v>568</v>
      </c>
      <c r="M2234" s="125">
        <v>40941</v>
      </c>
      <c r="N2234" s="129" t="str">
        <f t="shared" si="1659"/>
        <v>Y</v>
      </c>
      <c r="O2234" s="128" t="s">
        <v>76</v>
      </c>
      <c r="P2234" s="129" t="s">
        <v>39</v>
      </c>
      <c r="Q2234" s="111">
        <v>9</v>
      </c>
      <c r="R2234" s="111">
        <f t="shared" si="1639"/>
        <v>73</v>
      </c>
      <c r="S2234" s="129">
        <v>0</v>
      </c>
      <c r="T2234" s="129">
        <v>5</v>
      </c>
      <c r="W2234" s="111"/>
      <c r="AC2234" s="130"/>
      <c r="AD2234" s="130">
        <v>33656</v>
      </c>
      <c r="AE2234" s="128" t="s">
        <v>32</v>
      </c>
      <c r="AF2234" s="128" t="s">
        <v>40</v>
      </c>
      <c r="AG2234" s="128" t="s">
        <v>41</v>
      </c>
      <c r="AH2234" s="108" t="s">
        <v>41</v>
      </c>
      <c r="AI2234" s="128" t="s">
        <v>141</v>
      </c>
      <c r="AJ2234" s="129" t="s">
        <v>89</v>
      </c>
      <c r="AK2234" s="129">
        <v>4</v>
      </c>
      <c r="AL2234" s="3" t="s">
        <v>992</v>
      </c>
      <c r="AN2234" s="117">
        <v>7</v>
      </c>
      <c r="AP2234" s="129" t="s">
        <v>108</v>
      </c>
      <c r="AR2234" s="128" t="s">
        <v>44</v>
      </c>
      <c r="AS2234" s="129" t="s">
        <v>61</v>
      </c>
      <c r="AV2234" s="3" t="s">
        <v>88</v>
      </c>
      <c r="AW2234" s="123">
        <v>40987</v>
      </c>
      <c r="BA2234" s="125">
        <v>41022</v>
      </c>
      <c r="BB2234" s="129">
        <v>239</v>
      </c>
      <c r="BC2234" s="129" t="s">
        <v>38</v>
      </c>
      <c r="BD2234" s="129" t="s">
        <v>1070</v>
      </c>
      <c r="BF2234" s="111">
        <v>9</v>
      </c>
      <c r="BG2234" s="111">
        <f t="shared" si="1661"/>
        <v>73</v>
      </c>
      <c r="BH2234" s="111">
        <f t="shared" si="1611"/>
        <v>73</v>
      </c>
      <c r="BI2234" s="111">
        <f t="shared" si="1612"/>
        <v>19.901639344262296</v>
      </c>
      <c r="BJ2234" s="129">
        <f>(G2234-J2234)+(M2234-G2234)</f>
        <v>0</v>
      </c>
      <c r="BK2234" s="129">
        <f t="shared" si="1613"/>
        <v>-71</v>
      </c>
      <c r="BL2234" s="129" t="str">
        <f t="shared" si="1658"/>
        <v>CONVICTION</v>
      </c>
      <c r="BM2234" s="129" t="s">
        <v>76</v>
      </c>
      <c r="BN2234" s="129" t="s">
        <v>88</v>
      </c>
      <c r="BP2234" s="137" t="str">
        <f t="shared" si="1617"/>
        <v>CONVICTION</v>
      </c>
      <c r="BQ2234" s="128" t="str">
        <f t="shared" si="1618"/>
        <v>Y</v>
      </c>
      <c r="BR2234" s="129" t="s">
        <v>574</v>
      </c>
      <c r="BS2234" s="129" t="str">
        <f t="shared" si="1619"/>
        <v>DISPOSED</v>
      </c>
      <c r="BT2234" s="129" t="str">
        <f t="shared" si="1620"/>
        <v>N</v>
      </c>
      <c r="BU2234" s="109">
        <f t="shared" si="1629"/>
        <v>0.12328767123287671</v>
      </c>
      <c r="BV2234" s="109">
        <f t="shared" si="1630"/>
        <v>2.7397260273972601E-2</v>
      </c>
      <c r="BW2234" s="109">
        <f t="shared" si="1650"/>
        <v>-9.5890410958904104E-2</v>
      </c>
      <c r="BX2234" s="111">
        <f t="shared" si="1621"/>
        <v>0</v>
      </c>
      <c r="BY2234" s="129">
        <f t="shared" si="1622"/>
        <v>-2</v>
      </c>
      <c r="BZ2234" s="111">
        <f t="shared" si="1623"/>
        <v>7</v>
      </c>
      <c r="CA2234" s="138">
        <f t="shared" si="1624"/>
        <v>73</v>
      </c>
      <c r="CB2234" s="111">
        <v>9</v>
      </c>
      <c r="CC2234" s="129">
        <f>G2234-I2234+1</f>
        <v>73</v>
      </c>
      <c r="CD2234" s="129">
        <f t="shared" si="1663"/>
        <v>71</v>
      </c>
      <c r="CG2234" s="129" t="str">
        <f t="shared" si="1625"/>
        <v>Y</v>
      </c>
      <c r="CI2234" s="129" t="str">
        <f t="shared" si="1633"/>
        <v>0-10 DAYS</v>
      </c>
      <c r="CJ2234" s="137">
        <f t="shared" si="1634"/>
        <v>1</v>
      </c>
      <c r="CK2234" s="129" t="str">
        <f t="shared" si="1635"/>
        <v>Booked</v>
      </c>
    </row>
    <row r="2235" spans="1:89" ht="15.75" customHeight="1" x14ac:dyDescent="0.25">
      <c r="A2235" s="111">
        <v>1217</v>
      </c>
      <c r="B2235" s="128" t="str">
        <f t="shared" si="1614"/>
        <v>N</v>
      </c>
      <c r="C2235" s="128" t="str">
        <f t="shared" si="1615"/>
        <v>N</v>
      </c>
      <c r="D2235" s="114">
        <v>2480815</v>
      </c>
      <c r="E2235" s="135">
        <f t="shared" si="1616"/>
        <v>2</v>
      </c>
      <c r="F2235" s="124">
        <v>40953</v>
      </c>
      <c r="G2235" s="125">
        <v>40956</v>
      </c>
      <c r="H2235" s="114">
        <v>2480815</v>
      </c>
      <c r="I2235" s="124">
        <v>40953</v>
      </c>
      <c r="J2235" s="124">
        <v>40956</v>
      </c>
      <c r="K2235" s="126">
        <v>5000</v>
      </c>
      <c r="L2235" s="127" t="s">
        <v>569</v>
      </c>
      <c r="N2235" s="129" t="str">
        <f t="shared" si="1659"/>
        <v>N</v>
      </c>
      <c r="O2235" s="128" t="s">
        <v>917</v>
      </c>
      <c r="P2235" s="129" t="s">
        <v>589</v>
      </c>
      <c r="Q2235" s="111">
        <f t="shared" si="1657"/>
        <v>4</v>
      </c>
      <c r="R2235" s="111">
        <f t="shared" si="1639"/>
        <v>4</v>
      </c>
      <c r="S2235" s="129">
        <v>0</v>
      </c>
      <c r="T2235" s="129">
        <v>2</v>
      </c>
      <c r="W2235" s="111"/>
      <c r="AC2235" s="130"/>
      <c r="AD2235" s="130">
        <v>33486</v>
      </c>
      <c r="AE2235" s="128" t="s">
        <v>32</v>
      </c>
      <c r="AF2235" s="128" t="s">
        <v>33</v>
      </c>
      <c r="AG2235" s="128" t="s">
        <v>872</v>
      </c>
      <c r="AH2235" s="108" t="s">
        <v>58</v>
      </c>
      <c r="AI2235" s="128" t="s">
        <v>34</v>
      </c>
      <c r="AJ2235" s="129" t="s">
        <v>48</v>
      </c>
      <c r="AK2235" s="129">
        <v>2</v>
      </c>
      <c r="AL2235" s="3" t="s">
        <v>48</v>
      </c>
      <c r="AP2235" s="129" t="s">
        <v>93</v>
      </c>
      <c r="AR2235" s="128" t="s">
        <v>67</v>
      </c>
      <c r="AS2235" s="129" t="s">
        <v>45</v>
      </c>
      <c r="AT2235" s="129" t="s">
        <v>618</v>
      </c>
      <c r="AU2235" s="118" t="s">
        <v>820</v>
      </c>
      <c r="AX2235" s="32"/>
      <c r="BC2235" s="129" t="s">
        <v>38</v>
      </c>
      <c r="BF2235" s="111">
        <f t="shared" si="1660"/>
        <v>4</v>
      </c>
      <c r="BG2235" s="111">
        <f t="shared" si="1661"/>
        <v>4</v>
      </c>
      <c r="BH2235" s="111">
        <f t="shared" si="1611"/>
        <v>4</v>
      </c>
      <c r="BI2235" s="111">
        <f t="shared" si="1612"/>
        <v>20.401639344262296</v>
      </c>
      <c r="BJ2235" s="129">
        <f t="shared" si="1626"/>
        <v>0</v>
      </c>
      <c r="BK2235" s="129">
        <f t="shared" si="1613"/>
        <v>0</v>
      </c>
      <c r="BL2235" s="129" t="str">
        <f t="shared" si="1658"/>
        <v>DEFERRED</v>
      </c>
      <c r="BM2235" s="129" t="str">
        <f t="shared" si="1627"/>
        <v>NONE</v>
      </c>
      <c r="BN2235" s="129" t="s">
        <v>566</v>
      </c>
      <c r="BP2235" s="137" t="str">
        <f t="shared" si="1617"/>
        <v>DEFERRED</v>
      </c>
      <c r="BQ2235" s="128" t="str">
        <f t="shared" si="1618"/>
        <v>Y</v>
      </c>
      <c r="BR2235" s="129" t="str">
        <f t="shared" si="1628"/>
        <v>DETAINED</v>
      </c>
      <c r="BS2235" s="129" t="str">
        <f t="shared" si="1619"/>
        <v>DISPOSED</v>
      </c>
      <c r="BT2235" s="129" t="str">
        <f t="shared" si="1620"/>
        <v>N</v>
      </c>
      <c r="BU2235" s="109">
        <f t="shared" si="1629"/>
        <v>1</v>
      </c>
      <c r="BV2235" s="109">
        <f t="shared" si="1630"/>
        <v>1</v>
      </c>
      <c r="BW2235" s="109">
        <f t="shared" si="1650"/>
        <v>0</v>
      </c>
      <c r="BX2235" s="111">
        <f t="shared" si="1621"/>
        <v>0</v>
      </c>
      <c r="BY2235" s="129">
        <f t="shared" si="1622"/>
        <v>-4</v>
      </c>
      <c r="BZ2235" s="111">
        <f t="shared" si="1623"/>
        <v>0</v>
      </c>
      <c r="CA2235" s="138">
        <f t="shared" si="1624"/>
        <v>4</v>
      </c>
      <c r="CB2235" s="111" t="e">
        <f t="shared" si="1662"/>
        <v>#VALUE!</v>
      </c>
      <c r="CC2235" s="129">
        <f>G2235-I2235+1</f>
        <v>4</v>
      </c>
      <c r="CD2235" s="129">
        <f t="shared" si="1663"/>
        <v>0</v>
      </c>
      <c r="CG2235" s="129" t="str">
        <f t="shared" si="1625"/>
        <v>Y</v>
      </c>
      <c r="CI2235" s="129" t="str">
        <f t="shared" si="1633"/>
        <v>0-10 DAYS</v>
      </c>
      <c r="CJ2235" s="137">
        <f t="shared" si="1634"/>
        <v>1</v>
      </c>
      <c r="CK2235" s="129" t="str">
        <f t="shared" si="1635"/>
        <v>Booked</v>
      </c>
    </row>
    <row r="2236" spans="1:89" ht="15" customHeight="1" x14ac:dyDescent="0.25">
      <c r="A2236" s="111">
        <v>891</v>
      </c>
      <c r="B2236" s="128" t="str">
        <f t="shared" si="1614"/>
        <v>N</v>
      </c>
      <c r="C2236" s="128" t="str">
        <f t="shared" si="1615"/>
        <v>Y</v>
      </c>
      <c r="D2236" s="117">
        <v>2481589</v>
      </c>
      <c r="E2236" s="135">
        <f t="shared" si="1616"/>
        <v>4</v>
      </c>
      <c r="F2236" s="124">
        <v>40941</v>
      </c>
      <c r="G2236" s="125">
        <v>40949</v>
      </c>
      <c r="H2236" s="117">
        <v>2481589</v>
      </c>
      <c r="I2236" s="124">
        <v>40942</v>
      </c>
      <c r="J2236" s="124">
        <v>40944</v>
      </c>
      <c r="K2236" s="126">
        <v>2000</v>
      </c>
      <c r="L2236" s="127" t="s">
        <v>568</v>
      </c>
      <c r="M2236" s="125">
        <v>40944</v>
      </c>
      <c r="N2236" s="129" t="str">
        <f t="shared" si="1659"/>
        <v>Y</v>
      </c>
      <c r="O2236" s="128" t="s">
        <v>76</v>
      </c>
      <c r="P2236" s="129" t="s">
        <v>39</v>
      </c>
      <c r="Q2236" s="111">
        <f t="shared" si="1657"/>
        <v>3</v>
      </c>
      <c r="R2236" s="111">
        <f t="shared" si="1639"/>
        <v>9</v>
      </c>
      <c r="S2236" s="129">
        <v>0</v>
      </c>
      <c r="T2236" s="129">
        <v>0</v>
      </c>
      <c r="W2236" s="111"/>
      <c r="AC2236" s="130"/>
      <c r="AD2236" s="130">
        <v>33811</v>
      </c>
      <c r="AE2236" s="128" t="s">
        <v>32</v>
      </c>
      <c r="AF2236" s="128" t="s">
        <v>33</v>
      </c>
      <c r="AG2236" s="128" t="s">
        <v>872</v>
      </c>
      <c r="AH2236" s="108" t="s">
        <v>58</v>
      </c>
      <c r="AI2236" s="128" t="s">
        <v>65</v>
      </c>
      <c r="AJ2236" s="129" t="s">
        <v>89</v>
      </c>
      <c r="AK2236" s="129">
        <v>3</v>
      </c>
      <c r="AL2236" s="3" t="s">
        <v>991</v>
      </c>
      <c r="AO2236" s="128">
        <v>90</v>
      </c>
      <c r="AP2236" s="129" t="s">
        <v>43</v>
      </c>
      <c r="AR2236" s="128" t="s">
        <v>44</v>
      </c>
      <c r="AS2236" s="129" t="s">
        <v>45</v>
      </c>
      <c r="AU2236" s="3" t="s">
        <v>810</v>
      </c>
      <c r="AX2236" s="129" t="s">
        <v>88</v>
      </c>
      <c r="BC2236" s="129" t="s">
        <v>38</v>
      </c>
      <c r="BF2236" s="111">
        <v>3</v>
      </c>
      <c r="BG2236" s="111">
        <f t="shared" si="1661"/>
        <v>8</v>
      </c>
      <c r="BH2236" s="111">
        <f t="shared" si="1611"/>
        <v>9</v>
      </c>
      <c r="BI2236" s="111">
        <f t="shared" si="1612"/>
        <v>19.480874316939889</v>
      </c>
      <c r="BJ2236" s="129">
        <f>(G2236-J2236)+(M2236-G2236)</f>
        <v>0</v>
      </c>
      <c r="BK2236" s="129">
        <f t="shared" si="1613"/>
        <v>-5</v>
      </c>
      <c r="BL2236" s="129" t="str">
        <f t="shared" si="1658"/>
        <v>CONVICTION</v>
      </c>
      <c r="BM2236" s="129" t="s">
        <v>76</v>
      </c>
      <c r="BN2236" s="129" t="s">
        <v>88</v>
      </c>
      <c r="BP2236" s="137" t="str">
        <f t="shared" si="1617"/>
        <v>CONVICTION</v>
      </c>
      <c r="BQ2236" s="128" t="str">
        <f t="shared" si="1618"/>
        <v>Y</v>
      </c>
      <c r="BR2236" s="129" t="str">
        <f>IF(J2236&lt;G2236,"ON BOND",0)</f>
        <v>ON BOND</v>
      </c>
      <c r="BS2236" s="129" t="str">
        <f t="shared" si="1619"/>
        <v>DISPOSED</v>
      </c>
      <c r="BT2236" s="129" t="str">
        <f t="shared" si="1620"/>
        <v>N</v>
      </c>
      <c r="BU2236" s="109">
        <f t="shared" si="1629"/>
        <v>0.33333333333333331</v>
      </c>
      <c r="BV2236" s="109">
        <f t="shared" si="1630"/>
        <v>0.375</v>
      </c>
      <c r="BW2236" s="109">
        <f t="shared" si="1650"/>
        <v>4.1666666666666685E-2</v>
      </c>
      <c r="BX2236" s="111">
        <f t="shared" si="1621"/>
        <v>0</v>
      </c>
      <c r="BY2236" s="129">
        <f t="shared" si="1622"/>
        <v>-3</v>
      </c>
      <c r="BZ2236" s="111">
        <f t="shared" si="1623"/>
        <v>0</v>
      </c>
      <c r="CA2236" s="138">
        <f t="shared" si="1624"/>
        <v>3</v>
      </c>
      <c r="CB2236" s="111" t="e">
        <f t="shared" si="1662"/>
        <v>#VALUE!</v>
      </c>
      <c r="CD2236" s="129">
        <f t="shared" si="1663"/>
        <v>5</v>
      </c>
      <c r="CG2236" s="129" t="str">
        <f t="shared" si="1625"/>
        <v>N</v>
      </c>
      <c r="CI2236" s="129" t="str">
        <f t="shared" si="1633"/>
        <v>0-10 DAYS</v>
      </c>
      <c r="CJ2236" s="137">
        <f t="shared" si="1634"/>
        <v>1</v>
      </c>
      <c r="CK2236" s="129" t="str">
        <f t="shared" si="1635"/>
        <v>Booked</v>
      </c>
    </row>
    <row r="2237" spans="1:89" ht="15.75" customHeight="1" x14ac:dyDescent="0.25">
      <c r="A2237" s="111">
        <v>1845</v>
      </c>
      <c r="B2237" s="128" t="str">
        <f t="shared" si="1614"/>
        <v>Y</v>
      </c>
      <c r="C2237" s="128" t="str">
        <f t="shared" si="1615"/>
        <v>Y</v>
      </c>
      <c r="D2237" s="114">
        <v>2481719</v>
      </c>
      <c r="E2237" s="135">
        <f t="shared" si="1616"/>
        <v>2</v>
      </c>
      <c r="F2237" s="124">
        <v>40977</v>
      </c>
      <c r="G2237" s="125">
        <v>41481</v>
      </c>
      <c r="H2237" s="114">
        <v>2481719</v>
      </c>
      <c r="I2237" s="124">
        <v>40977</v>
      </c>
      <c r="J2237" s="124">
        <v>41027</v>
      </c>
      <c r="K2237" s="126">
        <v>10000</v>
      </c>
      <c r="L2237" s="127" t="s">
        <v>570</v>
      </c>
      <c r="M2237" s="125">
        <v>41027</v>
      </c>
      <c r="N2237" s="129" t="str">
        <f t="shared" si="1659"/>
        <v>Y</v>
      </c>
      <c r="O2237" s="128" t="s">
        <v>76</v>
      </c>
      <c r="P2237" s="129" t="s">
        <v>589</v>
      </c>
      <c r="Q2237" s="111">
        <f t="shared" si="1657"/>
        <v>115</v>
      </c>
      <c r="R2237" s="111">
        <f t="shared" si="1639"/>
        <v>505</v>
      </c>
      <c r="S2237" s="129">
        <v>2</v>
      </c>
      <c r="T2237" s="129">
        <v>2</v>
      </c>
      <c r="U2237" s="129">
        <v>1</v>
      </c>
      <c r="W2237" s="111"/>
      <c r="AC2237" s="130"/>
      <c r="AD2237" s="130">
        <v>30878</v>
      </c>
      <c r="AE2237" s="128" t="s">
        <v>32</v>
      </c>
      <c r="AF2237" s="128" t="s">
        <v>33</v>
      </c>
      <c r="AG2237" s="128" t="s">
        <v>872</v>
      </c>
      <c r="AH2237" s="108" t="s">
        <v>58</v>
      </c>
      <c r="AI2237" s="128" t="s">
        <v>83</v>
      </c>
      <c r="AJ2237" s="129" t="s">
        <v>48</v>
      </c>
      <c r="AK2237" s="129">
        <v>6</v>
      </c>
      <c r="AL2237" s="3" t="s">
        <v>48</v>
      </c>
      <c r="AP2237" s="129" t="s">
        <v>84</v>
      </c>
      <c r="AR2237" s="128" t="s">
        <v>67</v>
      </c>
      <c r="AS2237" s="129" t="s">
        <v>74</v>
      </c>
      <c r="AT2237" s="129" t="s">
        <v>1083</v>
      </c>
      <c r="AU2237" s="129"/>
      <c r="AV2237" s="3" t="s">
        <v>88</v>
      </c>
      <c r="AW2237" s="125">
        <v>41149</v>
      </c>
      <c r="AY2237" s="123"/>
      <c r="BC2237" s="129" t="s">
        <v>38</v>
      </c>
      <c r="BD2237" s="129" t="s">
        <v>1084</v>
      </c>
      <c r="BF2237" s="111">
        <v>115</v>
      </c>
      <c r="BG2237" s="111">
        <f t="shared" si="1661"/>
        <v>505</v>
      </c>
      <c r="BH2237" s="111">
        <f t="shared" si="1611"/>
        <v>505</v>
      </c>
      <c r="BI2237" s="111">
        <f t="shared" si="1612"/>
        <v>27.592896174863387</v>
      </c>
      <c r="BJ2237" s="129">
        <f>(G2237-J2237)+(M2237-G2237)</f>
        <v>0</v>
      </c>
      <c r="BK2237" s="129">
        <f t="shared" si="1613"/>
        <v>-454</v>
      </c>
      <c r="BL2237" s="129" t="str">
        <f t="shared" si="1658"/>
        <v>DEFERRED</v>
      </c>
      <c r="BM2237" s="129" t="s">
        <v>76</v>
      </c>
      <c r="BN2237" s="129" t="s">
        <v>566</v>
      </c>
      <c r="BP2237" s="137" t="str">
        <f t="shared" si="1617"/>
        <v>DEFERRED</v>
      </c>
      <c r="BQ2237" s="128" t="str">
        <f t="shared" si="1618"/>
        <v>Y</v>
      </c>
      <c r="BR2237" s="129" t="str">
        <f t="shared" si="1628"/>
        <v>ON BOND</v>
      </c>
      <c r="BS2237" s="129" t="str">
        <f t="shared" si="1619"/>
        <v>DISPOSED</v>
      </c>
      <c r="BT2237" s="129" t="str">
        <f t="shared" si="1620"/>
        <v>Y</v>
      </c>
      <c r="BU2237" s="109">
        <f t="shared" si="1629"/>
        <v>0.22772277227722773</v>
      </c>
      <c r="BV2237" s="109">
        <f t="shared" si="1630"/>
        <v>0.100990099009901</v>
      </c>
      <c r="BW2237" s="109">
        <f t="shared" si="1650"/>
        <v>-0.12673267326732673</v>
      </c>
      <c r="BX2237" s="111">
        <f t="shared" si="1621"/>
        <v>0</v>
      </c>
      <c r="BY2237" s="129">
        <f t="shared" si="1622"/>
        <v>-51</v>
      </c>
      <c r="BZ2237" s="111">
        <f t="shared" si="1623"/>
        <v>64</v>
      </c>
      <c r="CA2237" s="138">
        <f t="shared" si="1624"/>
        <v>51</v>
      </c>
      <c r="CB2237" s="111" t="e">
        <f t="shared" si="1662"/>
        <v>#VALUE!</v>
      </c>
      <c r="CD2237" s="129">
        <f t="shared" si="1663"/>
        <v>454</v>
      </c>
      <c r="CG2237" s="129" t="str">
        <f t="shared" si="1625"/>
        <v>Y</v>
      </c>
      <c r="CI2237" s="129" t="str">
        <f t="shared" si="1633"/>
        <v>91-120 DAYS</v>
      </c>
      <c r="CJ2237" s="137">
        <f t="shared" si="1634"/>
        <v>0</v>
      </c>
      <c r="CK2237" s="129" t="str">
        <f t="shared" si="1635"/>
        <v>Booked</v>
      </c>
    </row>
    <row r="2238" spans="1:89" ht="15" customHeight="1" x14ac:dyDescent="0.25">
      <c r="A2238" s="111">
        <v>1121</v>
      </c>
      <c r="B2238" s="128" t="str">
        <f t="shared" si="1614"/>
        <v>N</v>
      </c>
      <c r="C2238" s="128" t="str">
        <f t="shared" si="1615"/>
        <v>N</v>
      </c>
      <c r="D2238" s="117">
        <v>2482363</v>
      </c>
      <c r="E2238" s="135">
        <f t="shared" si="1616"/>
        <v>4</v>
      </c>
      <c r="F2238" s="124">
        <v>40949</v>
      </c>
      <c r="G2238" s="125">
        <v>41200</v>
      </c>
      <c r="H2238" s="117">
        <v>2482363</v>
      </c>
      <c r="I2238" s="124">
        <v>40949</v>
      </c>
      <c r="J2238" s="124">
        <v>41200</v>
      </c>
      <c r="K2238" s="126">
        <v>35000</v>
      </c>
      <c r="L2238" s="129" t="s">
        <v>572</v>
      </c>
      <c r="N2238" s="129" t="str">
        <f t="shared" si="1659"/>
        <v>N</v>
      </c>
      <c r="O2238" s="128" t="s">
        <v>917</v>
      </c>
      <c r="P2238" s="129" t="s">
        <v>39</v>
      </c>
      <c r="Q2238" s="111">
        <f t="shared" si="1657"/>
        <v>252</v>
      </c>
      <c r="R2238" s="111">
        <f t="shared" si="1639"/>
        <v>252</v>
      </c>
      <c r="S2238" s="129">
        <v>0</v>
      </c>
      <c r="T2238" s="129">
        <v>1</v>
      </c>
      <c r="W2238" s="111"/>
      <c r="AB2238" s="131" t="s">
        <v>112</v>
      </c>
      <c r="AC2238" s="130"/>
      <c r="AD2238" s="130">
        <v>33838</v>
      </c>
      <c r="AE2238" s="128" t="s">
        <v>32</v>
      </c>
      <c r="AF2238" s="128" t="s">
        <v>40</v>
      </c>
      <c r="AG2238" s="128" t="s">
        <v>41</v>
      </c>
      <c r="AH2238" s="108" t="s">
        <v>31</v>
      </c>
      <c r="AI2238" s="128" t="s">
        <v>85</v>
      </c>
      <c r="AJ2238" s="129" t="s">
        <v>89</v>
      </c>
      <c r="AK2238" s="129">
        <v>10</v>
      </c>
      <c r="AL2238" s="3" t="s">
        <v>991</v>
      </c>
      <c r="AO2238" s="128">
        <v>365</v>
      </c>
      <c r="AP2238" s="129" t="s">
        <v>56</v>
      </c>
      <c r="AR2238" s="128" t="s">
        <v>50</v>
      </c>
      <c r="AS2238" s="129" t="s">
        <v>57</v>
      </c>
      <c r="BC2238" s="129" t="s">
        <v>38</v>
      </c>
      <c r="BF2238" s="111">
        <f t="shared" si="1660"/>
        <v>252</v>
      </c>
      <c r="BG2238" s="111">
        <f t="shared" si="1661"/>
        <v>252</v>
      </c>
      <c r="BH2238" s="111">
        <f t="shared" si="1611"/>
        <v>252</v>
      </c>
      <c r="BI2238" s="111">
        <f t="shared" si="1612"/>
        <v>19.428961748633881</v>
      </c>
      <c r="BJ2238" s="129">
        <f t="shared" si="1626"/>
        <v>0</v>
      </c>
      <c r="BK2238" s="129">
        <f t="shared" si="1613"/>
        <v>0</v>
      </c>
      <c r="BL2238" s="129" t="str">
        <f t="shared" si="1658"/>
        <v>CONVICTION</v>
      </c>
      <c r="BM2238" s="129" t="str">
        <f t="shared" si="1627"/>
        <v>NONE</v>
      </c>
      <c r="BN2238" s="129" t="s">
        <v>566</v>
      </c>
      <c r="BP2238" s="137" t="str">
        <f t="shared" si="1617"/>
        <v>CONVICTION</v>
      </c>
      <c r="BQ2238" s="128" t="str">
        <f t="shared" si="1618"/>
        <v>Y</v>
      </c>
      <c r="BR2238" s="129" t="str">
        <f t="shared" si="1628"/>
        <v>DETAINED</v>
      </c>
      <c r="BS2238" s="129" t="str">
        <f t="shared" si="1619"/>
        <v>DISPOSED</v>
      </c>
      <c r="BT2238" s="129" t="str">
        <f t="shared" si="1620"/>
        <v>N</v>
      </c>
      <c r="BU2238" s="109">
        <f t="shared" si="1629"/>
        <v>1</v>
      </c>
      <c r="BV2238" s="109">
        <f t="shared" si="1630"/>
        <v>1</v>
      </c>
      <c r="BW2238" s="109">
        <f t="shared" si="1650"/>
        <v>0</v>
      </c>
      <c r="BX2238" s="111">
        <f t="shared" si="1621"/>
        <v>0</v>
      </c>
      <c r="BY2238" s="129">
        <f t="shared" si="1622"/>
        <v>-252</v>
      </c>
      <c r="BZ2238" s="111">
        <f t="shared" si="1623"/>
        <v>0</v>
      </c>
      <c r="CA2238" s="138">
        <f t="shared" si="1624"/>
        <v>252</v>
      </c>
      <c r="CB2238" s="111" t="e">
        <f t="shared" si="1662"/>
        <v>#VALUE!</v>
      </c>
      <c r="CC2238" s="129">
        <f>G2238-I2238+1</f>
        <v>252</v>
      </c>
      <c r="CD2238" s="129">
        <f t="shared" si="1663"/>
        <v>0</v>
      </c>
      <c r="CG2238" s="129" t="str">
        <f t="shared" si="1625"/>
        <v>Y</v>
      </c>
      <c r="CI2238" s="129" t="str">
        <f t="shared" si="1633"/>
        <v>121-365 DAYS</v>
      </c>
      <c r="CJ2238" s="137">
        <f t="shared" si="1634"/>
        <v>6</v>
      </c>
      <c r="CK2238" s="129" t="str">
        <f t="shared" si="1635"/>
        <v>Booked</v>
      </c>
    </row>
    <row r="2239" spans="1:89" ht="15.75" customHeight="1" x14ac:dyDescent="0.25">
      <c r="A2239" s="111">
        <v>1865</v>
      </c>
      <c r="B2239" s="128" t="str">
        <f t="shared" si="1614"/>
        <v>N</v>
      </c>
      <c r="C2239" s="128" t="str">
        <f t="shared" si="1615"/>
        <v>N</v>
      </c>
      <c r="D2239" s="117">
        <v>2483027</v>
      </c>
      <c r="E2239" s="135">
        <f t="shared" si="1616"/>
        <v>5</v>
      </c>
      <c r="F2239" s="124">
        <v>40978</v>
      </c>
      <c r="G2239" s="125">
        <v>41312</v>
      </c>
      <c r="H2239" s="117">
        <v>2483027</v>
      </c>
      <c r="I2239" s="124">
        <v>40977</v>
      </c>
      <c r="J2239" s="125">
        <v>41312</v>
      </c>
      <c r="K2239" s="126">
        <v>600000</v>
      </c>
      <c r="L2239" s="129" t="s">
        <v>572</v>
      </c>
      <c r="N2239" s="129" t="str">
        <f t="shared" si="1659"/>
        <v>N</v>
      </c>
      <c r="O2239" s="128" t="s">
        <v>917</v>
      </c>
      <c r="P2239" s="129" t="s">
        <v>39</v>
      </c>
      <c r="Q2239" s="111">
        <f t="shared" si="1657"/>
        <v>336</v>
      </c>
      <c r="R2239" s="111">
        <f t="shared" si="1639"/>
        <v>335</v>
      </c>
      <c r="S2239" s="129">
        <v>0</v>
      </c>
      <c r="T2239" s="129">
        <v>3</v>
      </c>
      <c r="W2239" s="111"/>
      <c r="AC2239" s="130"/>
      <c r="AD2239" s="130">
        <v>33745</v>
      </c>
      <c r="AE2239" s="128" t="s">
        <v>32</v>
      </c>
      <c r="AF2239" s="128" t="s">
        <v>40</v>
      </c>
      <c r="AG2239" s="128" t="s">
        <v>41</v>
      </c>
      <c r="AH2239" s="108" t="s">
        <v>41</v>
      </c>
      <c r="AI2239" s="128" t="s">
        <v>72</v>
      </c>
      <c r="AJ2239" s="129" t="s">
        <v>89</v>
      </c>
      <c r="AK2239" s="129">
        <v>8</v>
      </c>
      <c r="AL2239" s="3" t="s">
        <v>992</v>
      </c>
      <c r="AN2239" s="117">
        <v>10</v>
      </c>
      <c r="AP2239" s="129" t="s">
        <v>127</v>
      </c>
      <c r="AR2239" s="128" t="s">
        <v>44</v>
      </c>
      <c r="AS2239" s="129" t="s">
        <v>82</v>
      </c>
      <c r="BC2239" s="129" t="s">
        <v>52</v>
      </c>
      <c r="BF2239" s="111">
        <f>J2239-I2239+1</f>
        <v>336</v>
      </c>
      <c r="BG2239" s="111">
        <f t="shared" si="1661"/>
        <v>336</v>
      </c>
      <c r="BH2239" s="111">
        <f>IF(G2239&gt;1/1/1900,((G2239+1)-F2239),"STILL OPEN")</f>
        <v>335</v>
      </c>
      <c r="BI2239" s="111">
        <f t="shared" si="1612"/>
        <v>19.762295081967213</v>
      </c>
      <c r="BJ2239" s="129">
        <f t="shared" si="1626"/>
        <v>0</v>
      </c>
      <c r="BK2239" s="129">
        <f t="shared" si="1613"/>
        <v>0</v>
      </c>
      <c r="BL2239" s="129" t="str">
        <f t="shared" si="1658"/>
        <v>CONVICTION</v>
      </c>
      <c r="BM2239" s="129" t="str">
        <f t="shared" si="1627"/>
        <v>NONE</v>
      </c>
      <c r="BN2239" s="129" t="s">
        <v>566</v>
      </c>
      <c r="BP2239" s="137" t="str">
        <f t="shared" si="1617"/>
        <v>CONVICTION</v>
      </c>
      <c r="BQ2239" s="128" t="str">
        <f t="shared" si="1618"/>
        <v>Y</v>
      </c>
      <c r="BR2239" s="129" t="str">
        <f t="shared" si="1628"/>
        <v>DETAINED</v>
      </c>
      <c r="BS2239" s="129" t="str">
        <f t="shared" si="1619"/>
        <v>DISPOSED</v>
      </c>
      <c r="BT2239" s="129" t="str">
        <f t="shared" si="1620"/>
        <v>N</v>
      </c>
      <c r="BU2239" s="109">
        <v>1</v>
      </c>
      <c r="BV2239" s="109">
        <f t="shared" si="1630"/>
        <v>1.0029850746268656</v>
      </c>
      <c r="BW2239" s="109">
        <f t="shared" si="1650"/>
        <v>2.9850746268655914E-3</v>
      </c>
      <c r="BX2239" s="111">
        <f t="shared" si="1621"/>
        <v>0</v>
      </c>
      <c r="BY2239" s="129">
        <f t="shared" si="1622"/>
        <v>-336</v>
      </c>
      <c r="BZ2239" s="111">
        <f t="shared" si="1623"/>
        <v>0</v>
      </c>
      <c r="CA2239" s="138">
        <f t="shared" si="1624"/>
        <v>336</v>
      </c>
      <c r="CB2239" s="111" t="e">
        <f>AF2239-AE2239+1</f>
        <v>#VALUE!</v>
      </c>
      <c r="CC2239" s="129">
        <f>G2239-I2239+1</f>
        <v>336</v>
      </c>
      <c r="CD2239" s="129">
        <f t="shared" si="1663"/>
        <v>0</v>
      </c>
      <c r="CG2239" s="129" t="str">
        <f t="shared" si="1625"/>
        <v>Y</v>
      </c>
      <c r="CI2239" s="129" t="str">
        <f t="shared" si="1633"/>
        <v>121-365 DAYS</v>
      </c>
      <c r="CJ2239" s="137">
        <f t="shared" si="1634"/>
        <v>6</v>
      </c>
      <c r="CK2239" s="129" t="str">
        <f t="shared" si="1635"/>
        <v>Booked</v>
      </c>
    </row>
    <row r="2240" spans="1:89" ht="15" customHeight="1" x14ac:dyDescent="0.25">
      <c r="A2240" s="111">
        <v>3042</v>
      </c>
      <c r="B2240" s="128" t="str">
        <f t="shared" si="1614"/>
        <v>N</v>
      </c>
      <c r="C2240" s="128" t="str">
        <f t="shared" si="1615"/>
        <v>N</v>
      </c>
      <c r="D2240" s="117">
        <v>2483428</v>
      </c>
      <c r="E2240" s="135">
        <f t="shared" si="1616"/>
        <v>1</v>
      </c>
      <c r="F2240" s="124">
        <v>41021</v>
      </c>
      <c r="G2240" s="125">
        <v>41172</v>
      </c>
      <c r="H2240" s="117">
        <v>2483428</v>
      </c>
      <c r="I2240" s="124">
        <v>41021</v>
      </c>
      <c r="J2240" s="124">
        <v>41023</v>
      </c>
      <c r="K2240" s="126">
        <v>5000</v>
      </c>
      <c r="L2240" s="127" t="s">
        <v>569</v>
      </c>
      <c r="M2240" s="125">
        <v>41023</v>
      </c>
      <c r="N2240" s="129" t="str">
        <f t="shared" si="1659"/>
        <v>Y</v>
      </c>
      <c r="O2240" s="128" t="s">
        <v>76</v>
      </c>
      <c r="P2240" s="129" t="s">
        <v>55</v>
      </c>
      <c r="Q2240" s="111">
        <f t="shared" si="1657"/>
        <v>3</v>
      </c>
      <c r="R2240" s="111">
        <f t="shared" si="1639"/>
        <v>152</v>
      </c>
      <c r="S2240" s="129">
        <v>1</v>
      </c>
      <c r="T2240" s="129">
        <v>2</v>
      </c>
      <c r="U2240" s="129">
        <v>1</v>
      </c>
      <c r="W2240" s="111"/>
      <c r="AC2240" s="130"/>
      <c r="AD2240" s="130">
        <v>33860</v>
      </c>
      <c r="AE2240" s="128" t="s">
        <v>32</v>
      </c>
      <c r="AF2240" s="128" t="s">
        <v>33</v>
      </c>
      <c r="AG2240" s="128" t="s">
        <v>872</v>
      </c>
      <c r="AH2240" s="108" t="s">
        <v>31</v>
      </c>
      <c r="AI2240" s="128" t="s">
        <v>97</v>
      </c>
      <c r="AJ2240" s="129" t="s">
        <v>55</v>
      </c>
      <c r="AK2240" s="129">
        <v>9</v>
      </c>
      <c r="AL2240" s="3" t="s">
        <v>55</v>
      </c>
      <c r="AP2240" s="129" t="s">
        <v>43</v>
      </c>
      <c r="AR2240" s="128" t="s">
        <v>44</v>
      </c>
      <c r="AS2240" s="129" t="s">
        <v>45</v>
      </c>
      <c r="AT2240" s="129" t="s">
        <v>515</v>
      </c>
      <c r="BC2240" s="129" t="s">
        <v>38</v>
      </c>
      <c r="BF2240" s="111">
        <f t="shared" si="1660"/>
        <v>3</v>
      </c>
      <c r="BG2240" s="111">
        <f t="shared" si="1661"/>
        <v>152</v>
      </c>
      <c r="BH2240" s="111">
        <f t="shared" si="1611"/>
        <v>152</v>
      </c>
      <c r="BI2240" s="111">
        <f t="shared" si="1612"/>
        <v>19.565573770491802</v>
      </c>
      <c r="BJ2240" s="129">
        <f>(G2240-J2240)+(M2240-G2240)</f>
        <v>0</v>
      </c>
      <c r="BK2240" s="129">
        <f t="shared" si="1613"/>
        <v>-149</v>
      </c>
      <c r="BL2240" s="129" t="str">
        <f t="shared" si="1658"/>
        <v>NO CONVICTION</v>
      </c>
      <c r="BM2240" s="129" t="s">
        <v>76</v>
      </c>
      <c r="BN2240" s="129" t="s">
        <v>88</v>
      </c>
      <c r="BP2240" s="137" t="str">
        <f t="shared" si="1617"/>
        <v>NO CONVICTION</v>
      </c>
      <c r="BQ2240" s="128" t="str">
        <f t="shared" si="1618"/>
        <v>Y</v>
      </c>
      <c r="BR2240" s="129" t="str">
        <f t="shared" si="1628"/>
        <v>ON BOND</v>
      </c>
      <c r="BS2240" s="129" t="str">
        <f t="shared" si="1619"/>
        <v>DISPOSED</v>
      </c>
      <c r="BT2240" s="129" t="str">
        <f t="shared" si="1620"/>
        <v>Y</v>
      </c>
      <c r="BU2240" s="109">
        <f>IFERROR(Q2240/R2240,BR2240)</f>
        <v>1.9736842105263157E-2</v>
      </c>
      <c r="BV2240" s="109">
        <f t="shared" si="1630"/>
        <v>1.9736842105263157E-2</v>
      </c>
      <c r="BW2240" s="109">
        <f t="shared" si="1650"/>
        <v>0</v>
      </c>
      <c r="BX2240" s="111">
        <f t="shared" si="1621"/>
        <v>0</v>
      </c>
      <c r="BY2240" s="129">
        <f t="shared" si="1622"/>
        <v>-3</v>
      </c>
      <c r="BZ2240" s="111">
        <f t="shared" si="1623"/>
        <v>0</v>
      </c>
      <c r="CA2240" s="138">
        <f t="shared" si="1624"/>
        <v>3</v>
      </c>
      <c r="CB2240" s="111" t="e">
        <f t="shared" si="1662"/>
        <v>#VALUE!</v>
      </c>
      <c r="CC2240" s="129">
        <f>M2240-I2240+1</f>
        <v>3</v>
      </c>
      <c r="CD2240" s="111">
        <f>CC2240-BF2240</f>
        <v>0</v>
      </c>
      <c r="CG2240" s="129" t="str">
        <f t="shared" si="1625"/>
        <v>Y</v>
      </c>
      <c r="CI2240" s="129" t="str">
        <f t="shared" si="1633"/>
        <v>0-10 DAYS</v>
      </c>
      <c r="CJ2240" s="137">
        <f t="shared" si="1634"/>
        <v>1</v>
      </c>
      <c r="CK2240" s="129" t="str">
        <f t="shared" si="1635"/>
        <v>Booked</v>
      </c>
    </row>
    <row r="2241" spans="1:89" ht="15.75" customHeight="1" x14ac:dyDescent="0.25">
      <c r="A2241" s="111">
        <v>2903</v>
      </c>
      <c r="B2241" s="128" t="str">
        <f t="shared" si="1614"/>
        <v>N</v>
      </c>
      <c r="C2241" s="128" t="str">
        <f t="shared" si="1615"/>
        <v>N</v>
      </c>
      <c r="D2241" s="117">
        <v>2483586</v>
      </c>
      <c r="E2241" s="135">
        <f t="shared" si="1616"/>
        <v>2</v>
      </c>
      <c r="F2241" s="124">
        <v>41016</v>
      </c>
      <c r="G2241" s="125">
        <v>41018</v>
      </c>
      <c r="H2241" s="117">
        <v>2483586</v>
      </c>
      <c r="I2241" s="124">
        <v>41017</v>
      </c>
      <c r="J2241" s="124">
        <v>41018</v>
      </c>
      <c r="K2241" s="126">
        <v>2000</v>
      </c>
      <c r="L2241" s="127" t="s">
        <v>568</v>
      </c>
      <c r="N2241" s="129" t="str">
        <f t="shared" si="1659"/>
        <v>N</v>
      </c>
      <c r="O2241" s="128" t="s">
        <v>917</v>
      </c>
      <c r="P2241" s="129" t="s">
        <v>589</v>
      </c>
      <c r="Q2241" s="111">
        <f t="shared" si="1657"/>
        <v>2</v>
      </c>
      <c r="R2241" s="111">
        <f t="shared" si="1639"/>
        <v>3</v>
      </c>
      <c r="S2241" s="129">
        <v>1</v>
      </c>
      <c r="T2241" s="129">
        <v>0</v>
      </c>
      <c r="W2241" s="111"/>
      <c r="AC2241" s="130"/>
      <c r="AD2241" s="130">
        <v>31915</v>
      </c>
      <c r="AE2241" s="128" t="s">
        <v>32</v>
      </c>
      <c r="AF2241" s="128" t="s">
        <v>69</v>
      </c>
      <c r="AG2241" s="128" t="s">
        <v>874</v>
      </c>
      <c r="AH2241" s="108" t="s">
        <v>31</v>
      </c>
      <c r="AI2241" s="128" t="s">
        <v>114</v>
      </c>
      <c r="AJ2241" s="129" t="s">
        <v>48</v>
      </c>
      <c r="AK2241" s="129">
        <v>1</v>
      </c>
      <c r="AL2241" s="3" t="s">
        <v>48</v>
      </c>
      <c r="AP2241" s="129" t="s">
        <v>108</v>
      </c>
      <c r="AR2241" s="128" t="s">
        <v>44</v>
      </c>
      <c r="AS2241" s="129" t="s">
        <v>61</v>
      </c>
      <c r="AT2241" s="129" t="s">
        <v>496</v>
      </c>
      <c r="BC2241" s="129" t="s">
        <v>38</v>
      </c>
      <c r="BF2241" s="111">
        <f t="shared" si="1660"/>
        <v>2</v>
      </c>
      <c r="BG2241" s="111">
        <f t="shared" si="1661"/>
        <v>2</v>
      </c>
      <c r="BH2241" s="111">
        <f t="shared" ref="BH2241:BH2303" si="1664">IF(G2241&gt;1/1/1900,((G2241+1)-F2241),"STILL OPEN")</f>
        <v>3</v>
      </c>
      <c r="BI2241" s="111">
        <f t="shared" ref="BI2241:BI2303" si="1665">(F2241-AD2241)/366</f>
        <v>24.866120218579233</v>
      </c>
      <c r="BJ2241" s="129">
        <f t="shared" si="1626"/>
        <v>0</v>
      </c>
      <c r="BK2241" s="129">
        <f t="shared" ref="BK2241:BK2303" si="1666">J2241-G2241</f>
        <v>0</v>
      </c>
      <c r="BL2241" s="129" t="str">
        <f t="shared" si="1658"/>
        <v>DEFERRED</v>
      </c>
      <c r="BM2241" s="129" t="str">
        <f t="shared" si="1627"/>
        <v>NONE</v>
      </c>
      <c r="BN2241" s="129" t="s">
        <v>566</v>
      </c>
      <c r="BP2241" s="137" t="str">
        <f t="shared" si="1617"/>
        <v>DEFERRED</v>
      </c>
      <c r="BQ2241" s="128" t="str">
        <f t="shared" si="1618"/>
        <v>Y</v>
      </c>
      <c r="BR2241" s="129" t="str">
        <f t="shared" si="1628"/>
        <v>DETAINED</v>
      </c>
      <c r="BS2241" s="129" t="str">
        <f t="shared" si="1619"/>
        <v>DISPOSED</v>
      </c>
      <c r="BT2241" s="129" t="str">
        <f t="shared" si="1620"/>
        <v>Y</v>
      </c>
      <c r="BU2241" s="109">
        <f t="shared" si="1629"/>
        <v>0.66666666666666663</v>
      </c>
      <c r="BV2241" s="109">
        <f t="shared" si="1630"/>
        <v>1</v>
      </c>
      <c r="BW2241" s="109">
        <f t="shared" si="1650"/>
        <v>0.33333333333333337</v>
      </c>
      <c r="BX2241" s="111">
        <f t="shared" si="1621"/>
        <v>0</v>
      </c>
      <c r="BY2241" s="129">
        <f t="shared" si="1622"/>
        <v>-2</v>
      </c>
      <c r="BZ2241" s="111">
        <f t="shared" si="1623"/>
        <v>0</v>
      </c>
      <c r="CA2241" s="138">
        <f t="shared" si="1624"/>
        <v>2</v>
      </c>
      <c r="CB2241" s="111" t="e">
        <f t="shared" si="1662"/>
        <v>#VALUE!</v>
      </c>
      <c r="CC2241" s="129">
        <f>G2241-I2241+1</f>
        <v>2</v>
      </c>
      <c r="CD2241" s="129">
        <f>G2241-J2241</f>
        <v>0</v>
      </c>
      <c r="CG2241" s="129" t="str">
        <f t="shared" si="1625"/>
        <v>Y</v>
      </c>
      <c r="CI2241" s="129" t="str">
        <f t="shared" si="1633"/>
        <v>0-10 DAYS</v>
      </c>
      <c r="CJ2241" s="137">
        <f t="shared" si="1634"/>
        <v>1</v>
      </c>
      <c r="CK2241" s="129" t="str">
        <f t="shared" si="1635"/>
        <v>Booked</v>
      </c>
    </row>
    <row r="2242" spans="1:89" ht="15.75" customHeight="1" x14ac:dyDescent="0.25">
      <c r="A2242" s="111">
        <v>2527</v>
      </c>
      <c r="B2242" s="128" t="str">
        <f t="shared" ref="B2242:B2305" si="1667">IF(BD2242&lt;&gt;"","Y","N")</f>
        <v>Y</v>
      </c>
      <c r="C2242" s="128" t="str">
        <f t="shared" ref="C2242:C2305" si="1668">IF((AND(AV2242="",AX2242="",AY2242="")),"N","Y")</f>
        <v>Y</v>
      </c>
      <c r="D2242" s="117">
        <v>2483592</v>
      </c>
      <c r="E2242" s="135">
        <f t="shared" ref="E2242:E2305" si="1669">IF(OR(AL2242="ACQUITTAL",AL2242="ACQUIT",AL2242="acq insane",AL2242="DISMISSED",AL2242="NO BILL"),1,IF(AL2242="DEFERRED",2,IF(AL2242="PROBATION",3,IF(OR(AL2242="HCJ",AL2242="fine"),4,IF(AL2242="STJ",5,IF(AL2242="TDC",6,""))))))</f>
        <v>6</v>
      </c>
      <c r="F2242" s="124">
        <v>41003</v>
      </c>
      <c r="G2242" s="125">
        <v>41656</v>
      </c>
      <c r="H2242" s="117">
        <v>2483592</v>
      </c>
      <c r="I2242" s="124">
        <v>41004</v>
      </c>
      <c r="J2242" s="124">
        <v>41048</v>
      </c>
      <c r="K2242" s="126">
        <v>10000</v>
      </c>
      <c r="L2242" s="127" t="s">
        <v>570</v>
      </c>
      <c r="M2242" s="125">
        <v>41048</v>
      </c>
      <c r="N2242" s="129" t="str">
        <f t="shared" si="1659"/>
        <v>Y</v>
      </c>
      <c r="O2242" s="128" t="s">
        <v>76</v>
      </c>
      <c r="P2242" s="129" t="s">
        <v>39</v>
      </c>
      <c r="Q2242" s="111">
        <v>224</v>
      </c>
      <c r="R2242" s="111">
        <f t="shared" si="1639"/>
        <v>654</v>
      </c>
      <c r="S2242" s="129">
        <v>0</v>
      </c>
      <c r="T2242" s="129">
        <v>3</v>
      </c>
      <c r="W2242" s="111"/>
      <c r="AC2242" s="130"/>
      <c r="AD2242" s="130">
        <v>33779</v>
      </c>
      <c r="AE2242" s="128" t="s">
        <v>32</v>
      </c>
      <c r="AF2242" s="128" t="s">
        <v>33</v>
      </c>
      <c r="AG2242" s="128" t="s">
        <v>872</v>
      </c>
      <c r="AH2242" s="108" t="s">
        <v>31</v>
      </c>
      <c r="AI2242" s="128" t="s">
        <v>141</v>
      </c>
      <c r="AJ2242" s="129" t="s">
        <v>31</v>
      </c>
      <c r="AK2242" s="129">
        <v>15</v>
      </c>
      <c r="AL2242" s="3" t="s">
        <v>362</v>
      </c>
      <c r="AM2242" s="117">
        <v>20</v>
      </c>
      <c r="AP2242" s="129" t="s">
        <v>105</v>
      </c>
      <c r="AR2242" s="128" t="s">
        <v>92</v>
      </c>
      <c r="AS2242" s="129" t="s">
        <v>106</v>
      </c>
      <c r="AT2242" s="129" t="s">
        <v>1297</v>
      </c>
      <c r="AU2242" s="118" t="s">
        <v>772</v>
      </c>
      <c r="AX2242" s="32" t="s">
        <v>88</v>
      </c>
      <c r="BC2242" s="129" t="s">
        <v>38</v>
      </c>
      <c r="BD2242" s="129" t="s">
        <v>1275</v>
      </c>
      <c r="BF2242" s="111">
        <v>224</v>
      </c>
      <c r="BG2242" s="111">
        <f t="shared" si="1661"/>
        <v>653</v>
      </c>
      <c r="BH2242" s="111">
        <f t="shared" si="1664"/>
        <v>654</v>
      </c>
      <c r="BI2242" s="111">
        <f t="shared" si="1665"/>
        <v>19.737704918032787</v>
      </c>
      <c r="BJ2242" s="129">
        <f>(G2242-J2242)+(M2242-G2242)</f>
        <v>0</v>
      </c>
      <c r="BK2242" s="129">
        <f t="shared" si="1666"/>
        <v>-608</v>
      </c>
      <c r="BL2242" s="129" t="s">
        <v>1057</v>
      </c>
      <c r="BM2242" s="129" t="s">
        <v>76</v>
      </c>
      <c r="BN2242" s="129" t="s">
        <v>88</v>
      </c>
      <c r="BP2242" s="137" t="s">
        <v>1057</v>
      </c>
      <c r="BQ2242" s="128" t="str">
        <f t="shared" ref="BQ2242:BQ2305" si="1670">IF(BF2242&gt;0,"Y",BF2242)</f>
        <v>Y</v>
      </c>
      <c r="BR2242" s="129" t="s">
        <v>574</v>
      </c>
      <c r="BS2242" s="129" t="s">
        <v>1259</v>
      </c>
      <c r="BT2242" s="129" t="str">
        <f t="shared" ref="BT2242:BT2304" si="1671">IF(S2242&gt;0,"Y","N")</f>
        <v>N</v>
      </c>
      <c r="BU2242" s="109">
        <f>IFERROR(Q2242/R2242,BR2242)</f>
        <v>0.34250764525993882</v>
      </c>
      <c r="BV2242" s="109">
        <f t="shared" ref="BV2242:BV2305" si="1672">IF(I2242&gt;F2242,((J2242-I2242+1)/(G2242-I2242+1)),(J2242-I2242+1)/(G2242-F2242+1))</f>
        <v>6.8912710566615618E-2</v>
      </c>
      <c r="BW2242" s="109">
        <f t="shared" si="1650"/>
        <v>-0.27359493469332319</v>
      </c>
      <c r="BX2242" s="111">
        <f t="shared" ref="BX2242:BX2304" si="1673">+Q2242-BF2242</f>
        <v>0</v>
      </c>
      <c r="BY2242" s="129">
        <f t="shared" ref="BY2242:BY2305" si="1674">I2242-J2242-1</f>
        <v>-45</v>
      </c>
      <c r="BZ2242" s="111">
        <f t="shared" ref="BZ2242:BZ2305" si="1675">BY2242+BF2242</f>
        <v>179</v>
      </c>
      <c r="CA2242" s="138">
        <f t="shared" ref="CA2242:CA2305" si="1676">IF(AND(BS2242="DISPOSED",BR2242="DETAINED"),G2242-I2242+1,IF(AND(BS2242="DISPOSED",BR2242="ON BOND"),M2242-I2242+1,IF(AND(BS2242="STILL OPEN","STILL OPEN"),"NOT BOOKED")))</f>
        <v>653</v>
      </c>
      <c r="CB2242" s="111">
        <v>224</v>
      </c>
      <c r="CC2242" s="129">
        <f>G2242-I2242+1</f>
        <v>653</v>
      </c>
      <c r="CD2242" s="129">
        <f>G2242-J2242</f>
        <v>608</v>
      </c>
      <c r="CG2242" s="129" t="str">
        <f t="shared" ref="CG2242:CG2305" si="1677">IF((S2242+T2242+U2242)&gt;0,"Y","N")</f>
        <v>Y</v>
      </c>
      <c r="CI2242" s="129" t="str">
        <f t="shared" si="1633"/>
        <v>121-365 DAYS</v>
      </c>
      <c r="CJ2242" s="137">
        <f t="shared" si="1634"/>
        <v>6</v>
      </c>
      <c r="CK2242" s="129" t="str">
        <f t="shared" si="1635"/>
        <v>Booked</v>
      </c>
    </row>
    <row r="2243" spans="1:89" ht="15" customHeight="1" x14ac:dyDescent="0.25">
      <c r="A2243" s="111">
        <v>1182</v>
      </c>
      <c r="B2243" s="128" t="str">
        <f t="shared" si="1667"/>
        <v>N</v>
      </c>
      <c r="C2243" s="128" t="str">
        <f t="shared" si="1668"/>
        <v>N</v>
      </c>
      <c r="D2243" s="117">
        <v>2483698</v>
      </c>
      <c r="E2243" s="135">
        <f t="shared" si="1669"/>
        <v>2</v>
      </c>
      <c r="F2243" s="124">
        <v>40952</v>
      </c>
      <c r="G2243" s="125">
        <v>41072</v>
      </c>
      <c r="H2243" s="117">
        <v>2483698</v>
      </c>
      <c r="I2243" s="124">
        <v>40953</v>
      </c>
      <c r="J2243" s="124">
        <v>40955</v>
      </c>
      <c r="K2243" s="126">
        <v>2000</v>
      </c>
      <c r="L2243" s="127" t="s">
        <v>568</v>
      </c>
      <c r="M2243" s="125">
        <v>40955</v>
      </c>
      <c r="N2243" s="129" t="str">
        <f t="shared" si="1659"/>
        <v>Y</v>
      </c>
      <c r="O2243" s="128" t="s">
        <v>76</v>
      </c>
      <c r="P2243" s="129" t="s">
        <v>589</v>
      </c>
      <c r="Q2243" s="111">
        <f t="shared" si="1657"/>
        <v>3</v>
      </c>
      <c r="R2243" s="111">
        <f t="shared" si="1639"/>
        <v>121</v>
      </c>
      <c r="S2243" s="129">
        <v>1</v>
      </c>
      <c r="T2243" s="129">
        <v>0</v>
      </c>
      <c r="W2243" s="111"/>
      <c r="AC2243" s="130"/>
      <c r="AD2243" s="130">
        <v>31808</v>
      </c>
      <c r="AE2243" s="128" t="s">
        <v>32</v>
      </c>
      <c r="AF2243" s="128" t="s">
        <v>69</v>
      </c>
      <c r="AG2243" s="128" t="s">
        <v>874</v>
      </c>
      <c r="AH2243" s="108" t="s">
        <v>41</v>
      </c>
      <c r="AI2243" s="128" t="s">
        <v>65</v>
      </c>
      <c r="AJ2243" s="129" t="s">
        <v>48</v>
      </c>
      <c r="AK2243" s="129">
        <v>9</v>
      </c>
      <c r="AL2243" s="3" t="s">
        <v>48</v>
      </c>
      <c r="AP2243" s="129" t="s">
        <v>43</v>
      </c>
      <c r="AR2243" s="128" t="s">
        <v>44</v>
      </c>
      <c r="AS2243" s="129" t="s">
        <v>45</v>
      </c>
      <c r="BC2243" s="129" t="s">
        <v>52</v>
      </c>
      <c r="BF2243" s="111">
        <f t="shared" si="1660"/>
        <v>3</v>
      </c>
      <c r="BG2243" s="111">
        <f t="shared" si="1661"/>
        <v>120</v>
      </c>
      <c r="BH2243" s="111">
        <f t="shared" si="1664"/>
        <v>121</v>
      </c>
      <c r="BI2243" s="111">
        <f t="shared" si="1665"/>
        <v>24.983606557377048</v>
      </c>
      <c r="BJ2243" s="129">
        <f>(G2243-J2243)+(M2243-G2243)</f>
        <v>0</v>
      </c>
      <c r="BK2243" s="129">
        <f t="shared" si="1666"/>
        <v>-117</v>
      </c>
      <c r="BL2243" s="129" t="str">
        <f t="shared" si="1658"/>
        <v>DEFERRED</v>
      </c>
      <c r="BM2243" s="129" t="s">
        <v>76</v>
      </c>
      <c r="BN2243" s="129" t="s">
        <v>88</v>
      </c>
      <c r="BP2243" s="137" t="str">
        <f t="shared" ref="BP2243:BP2304" si="1678">IF(OR(AJ2243="AQUITTAL",AJ2243="DISMISSED",AJ2243="FINE",AJ2243="NO BILL"),"NO CONVICTION",IF(OR(AJ2243="HCJ",AJ2243="MHH",AJ2243="PROBATION",AJ2243="STJ",AJ2243="TDC",AJ2243="CONVICTED"),"CONVICTION",IF(AJ2243="DEFERRED","DEFERRED","")))</f>
        <v>DEFERRED</v>
      </c>
      <c r="BQ2243" s="128" t="str">
        <f t="shared" si="1670"/>
        <v>Y</v>
      </c>
      <c r="BR2243" s="129" t="str">
        <f t="shared" ref="BR2243:BR2304" si="1679">IF(AND(J2243="NOT BOOKED",M2243&gt;1/1/1),"BONDED - BEFORE BOOKED",IF(BG2243="STILL OPEN","STILL OPEN",IF(N2243="Y","ON BOND",IF(J2243&gt;=G2243,"DETAINED","RELEASED"))))</f>
        <v>ON BOND</v>
      </c>
      <c r="BS2243" s="129" t="str">
        <f t="shared" ref="BS2243:BS2304" si="1680">IF(G2243&lt;&gt;"","DISPOSED","")</f>
        <v>DISPOSED</v>
      </c>
      <c r="BT2243" s="129" t="str">
        <f t="shared" si="1671"/>
        <v>Y</v>
      </c>
      <c r="BU2243" s="109">
        <f t="shared" ref="BU2243:BU2304" si="1681">Q2243/R2243</f>
        <v>2.4793388429752067E-2</v>
      </c>
      <c r="BV2243" s="109">
        <f t="shared" si="1672"/>
        <v>2.5000000000000001E-2</v>
      </c>
      <c r="BW2243" s="109">
        <f t="shared" si="1650"/>
        <v>2.0661157024793458E-4</v>
      </c>
      <c r="BX2243" s="111">
        <f t="shared" si="1673"/>
        <v>0</v>
      </c>
      <c r="BY2243" s="129">
        <f t="shared" si="1674"/>
        <v>-3</v>
      </c>
      <c r="BZ2243" s="111">
        <f t="shared" si="1675"/>
        <v>0</v>
      </c>
      <c r="CA2243" s="138">
        <f t="shared" si="1676"/>
        <v>3</v>
      </c>
      <c r="CB2243" s="111" t="e">
        <f t="shared" si="1662"/>
        <v>#VALUE!</v>
      </c>
      <c r="CC2243" s="129">
        <f>M2243-I2243+1</f>
        <v>3</v>
      </c>
      <c r="CD2243" s="111">
        <f>CC2243-BF2243</f>
        <v>0</v>
      </c>
      <c r="CG2243" s="129" t="str">
        <f t="shared" si="1677"/>
        <v>Y</v>
      </c>
      <c r="CI2243" s="129" t="str">
        <f t="shared" ref="CI2243:CI2306" si="1682">IF(BF2243&lt;11,"0-10 DAYS",IF(AND(BF2243&gt;10,BF2243&lt;31),"11-30 DAYS",IF((AND(BF2243&gt;30,BF2243&lt;61)),"31-60 DAYS",IF(AND(BF2243&gt;60,BF2243&lt;91),"61-90 DAYS",IF(AND(BF2243&gt;90,BF2243&lt;121),"91-120 DAYS",IF(AND(BF2243&gt;120,BF2243&lt;366),"121-365 DAYS",IF(AND(BF2243&gt;365,BF2243&lt;730)," &gt;1YRS&lt;2YRS",IF(AND(BF2243&gt;729,BF2243&lt;1095),"&gt;2YRS&lt;3YRS",IF(BF2243&gt;1094,"&gt;3YRS")))))))))</f>
        <v>0-10 DAYS</v>
      </c>
      <c r="CJ2243" s="137">
        <f t="shared" ref="CJ2243:CJ2306" si="1683">IF(CI2243="0-10 DAYS",1,IF(CI2243="11-30 DAYS",2,IF(CI2243="31-60 DAYS",3,IF(CI2243="61-90 DAYS",4,IF(CK2243="91-120 DAYS",5,IF(CI2243="121-365 DAYS",6,IF(CI2243="&gt;1YRS&lt;2YRS",7,IF(CI2243="&gt;2YRS&lt;3YRS",8,IF(CI2243="&gt;3YRS",9,0)))))))))</f>
        <v>1</v>
      </c>
      <c r="CK2243" s="129" t="str">
        <f t="shared" ref="CK2243:CK2306" si="1684">IF(I2243="Not Booked","Not Booked","Booked")</f>
        <v>Booked</v>
      </c>
    </row>
    <row r="2244" spans="1:89" ht="15" customHeight="1" x14ac:dyDescent="0.25">
      <c r="A2244" s="111">
        <v>2308</v>
      </c>
      <c r="B2244" s="128" t="str">
        <f t="shared" si="1667"/>
        <v>N</v>
      </c>
      <c r="C2244" s="128" t="str">
        <f t="shared" si="1668"/>
        <v>N</v>
      </c>
      <c r="D2244" s="117">
        <v>2483733</v>
      </c>
      <c r="E2244" s="135">
        <f t="shared" si="1669"/>
        <v>6</v>
      </c>
      <c r="F2244" s="124">
        <v>40996</v>
      </c>
      <c r="G2244" s="125">
        <v>41163</v>
      </c>
      <c r="H2244" s="117">
        <v>2483733</v>
      </c>
      <c r="I2244" s="124">
        <v>40996</v>
      </c>
      <c r="J2244" s="124">
        <v>40999</v>
      </c>
      <c r="K2244" s="126">
        <v>10000</v>
      </c>
      <c r="L2244" s="127" t="s">
        <v>570</v>
      </c>
      <c r="M2244" s="125">
        <v>40999</v>
      </c>
      <c r="N2244" s="129" t="str">
        <f t="shared" si="1659"/>
        <v>Y</v>
      </c>
      <c r="O2244" s="128" t="s">
        <v>76</v>
      </c>
      <c r="P2244" s="129" t="s">
        <v>39</v>
      </c>
      <c r="Q2244" s="111">
        <f t="shared" si="1657"/>
        <v>4</v>
      </c>
      <c r="R2244" s="111">
        <f t="shared" si="1639"/>
        <v>168</v>
      </c>
      <c r="S2244" s="129">
        <v>0</v>
      </c>
      <c r="T2244" s="129">
        <v>3</v>
      </c>
      <c r="W2244" s="111"/>
      <c r="AC2244" s="130"/>
      <c r="AD2244" s="130">
        <v>33706</v>
      </c>
      <c r="AE2244" s="128" t="s">
        <v>32</v>
      </c>
      <c r="AF2244" s="128" t="s">
        <v>33</v>
      </c>
      <c r="AG2244" s="128" t="s">
        <v>872</v>
      </c>
      <c r="AH2244" s="108" t="s">
        <v>31</v>
      </c>
      <c r="AI2244" s="128" t="s">
        <v>114</v>
      </c>
      <c r="AJ2244" s="129" t="s">
        <v>89</v>
      </c>
      <c r="AK2244" s="129">
        <v>8</v>
      </c>
      <c r="AL2244" s="3" t="s">
        <v>362</v>
      </c>
      <c r="AM2244" s="117">
        <v>2</v>
      </c>
      <c r="AP2244" s="129" t="s">
        <v>56</v>
      </c>
      <c r="AR2244" s="128" t="s">
        <v>50</v>
      </c>
      <c r="AS2244" s="129" t="s">
        <v>57</v>
      </c>
      <c r="BC2244" s="129" t="s">
        <v>52</v>
      </c>
      <c r="BF2244" s="111">
        <f t="shared" si="1660"/>
        <v>4</v>
      </c>
      <c r="BG2244" s="111">
        <f t="shared" si="1661"/>
        <v>168</v>
      </c>
      <c r="BH2244" s="111">
        <f t="shared" si="1664"/>
        <v>168</v>
      </c>
      <c r="BI2244" s="111">
        <f t="shared" si="1665"/>
        <v>19.918032786885245</v>
      </c>
      <c r="BJ2244" s="129">
        <f>(G2244-J2244)+(M2244-G2244)</f>
        <v>0</v>
      </c>
      <c r="BK2244" s="129">
        <f t="shared" si="1666"/>
        <v>-164</v>
      </c>
      <c r="BL2244" s="129" t="str">
        <f t="shared" si="1658"/>
        <v>CONVICTION</v>
      </c>
      <c r="BM2244" s="129" t="s">
        <v>76</v>
      </c>
      <c r="BN2244" s="129" t="s">
        <v>88</v>
      </c>
      <c r="BP2244" s="137" t="str">
        <f t="shared" si="1678"/>
        <v>CONVICTION</v>
      </c>
      <c r="BQ2244" s="128" t="str">
        <f t="shared" si="1670"/>
        <v>Y</v>
      </c>
      <c r="BR2244" s="129" t="str">
        <f>IF(J2244&lt;G2244,"ON BOND",0)</f>
        <v>ON BOND</v>
      </c>
      <c r="BS2244" s="129" t="str">
        <f t="shared" si="1680"/>
        <v>DISPOSED</v>
      </c>
      <c r="BT2244" s="129" t="str">
        <f t="shared" si="1671"/>
        <v>N</v>
      </c>
      <c r="BU2244" s="109">
        <f t="shared" si="1681"/>
        <v>2.3809523809523808E-2</v>
      </c>
      <c r="BV2244" s="109">
        <f t="shared" si="1672"/>
        <v>2.3809523809523808E-2</v>
      </c>
      <c r="BW2244" s="109">
        <f t="shared" si="1650"/>
        <v>0</v>
      </c>
      <c r="BX2244" s="111">
        <f t="shared" si="1673"/>
        <v>0</v>
      </c>
      <c r="BY2244" s="129">
        <f t="shared" si="1674"/>
        <v>-4</v>
      </c>
      <c r="BZ2244" s="111">
        <f t="shared" si="1675"/>
        <v>0</v>
      </c>
      <c r="CA2244" s="138">
        <f t="shared" si="1676"/>
        <v>4</v>
      </c>
      <c r="CB2244" s="111" t="e">
        <f t="shared" si="1662"/>
        <v>#VALUE!</v>
      </c>
      <c r="CC2244" s="129">
        <f>M2244-I2244+1</f>
        <v>4</v>
      </c>
      <c r="CD2244" s="111">
        <f>CC2244-BF2244</f>
        <v>0</v>
      </c>
      <c r="CG2244" s="129" t="str">
        <f t="shared" si="1677"/>
        <v>Y</v>
      </c>
      <c r="CI2244" s="129" t="str">
        <f t="shared" si="1682"/>
        <v>0-10 DAYS</v>
      </c>
      <c r="CJ2244" s="137">
        <f t="shared" si="1683"/>
        <v>1</v>
      </c>
      <c r="CK2244" s="129" t="str">
        <f t="shared" si="1684"/>
        <v>Booked</v>
      </c>
    </row>
    <row r="2245" spans="1:89" ht="15.75" customHeight="1" x14ac:dyDescent="0.25">
      <c r="A2245" s="111">
        <v>941</v>
      </c>
      <c r="B2245" s="128" t="str">
        <f t="shared" si="1667"/>
        <v>N</v>
      </c>
      <c r="C2245" s="128" t="str">
        <f t="shared" si="1668"/>
        <v>N</v>
      </c>
      <c r="D2245" s="117">
        <v>2484296</v>
      </c>
      <c r="E2245" s="135">
        <f t="shared" si="1669"/>
        <v>2</v>
      </c>
      <c r="F2245" s="124">
        <v>40943</v>
      </c>
      <c r="G2245" s="125">
        <v>40987</v>
      </c>
      <c r="H2245" s="117">
        <v>2484296</v>
      </c>
      <c r="I2245" s="124">
        <v>40943</v>
      </c>
      <c r="J2245" s="124">
        <v>40945</v>
      </c>
      <c r="K2245" s="126">
        <v>10000</v>
      </c>
      <c r="L2245" s="127" t="s">
        <v>570</v>
      </c>
      <c r="M2245" s="125">
        <v>40945</v>
      </c>
      <c r="N2245" s="129" t="str">
        <f t="shared" si="1659"/>
        <v>Y</v>
      </c>
      <c r="O2245" s="128" t="s">
        <v>76</v>
      </c>
      <c r="P2245" s="129" t="s">
        <v>589</v>
      </c>
      <c r="Q2245" s="111">
        <f t="shared" si="1657"/>
        <v>3</v>
      </c>
      <c r="R2245" s="111">
        <f t="shared" si="1639"/>
        <v>45</v>
      </c>
      <c r="S2245" s="129">
        <v>0</v>
      </c>
      <c r="T2245" s="129">
        <v>0</v>
      </c>
      <c r="W2245" s="111"/>
      <c r="AC2245" s="130"/>
      <c r="AD2245" s="130">
        <v>33345</v>
      </c>
      <c r="AE2245" s="128" t="s">
        <v>32</v>
      </c>
      <c r="AF2245" s="128" t="s">
        <v>33</v>
      </c>
      <c r="AG2245" s="128" t="s">
        <v>872</v>
      </c>
      <c r="AH2245" s="108" t="s">
        <v>31</v>
      </c>
      <c r="AI2245" s="128" t="s">
        <v>65</v>
      </c>
      <c r="AJ2245" s="129" t="s">
        <v>48</v>
      </c>
      <c r="AK2245" s="129">
        <v>3</v>
      </c>
      <c r="AL2245" s="3" t="s">
        <v>48</v>
      </c>
      <c r="AP2245" s="129" t="s">
        <v>131</v>
      </c>
      <c r="AR2245" s="128" t="s">
        <v>50</v>
      </c>
      <c r="AS2245" s="129" t="s">
        <v>106</v>
      </c>
      <c r="BC2245" s="129" t="s">
        <v>52</v>
      </c>
      <c r="BF2245" s="111">
        <f t="shared" si="1660"/>
        <v>3</v>
      </c>
      <c r="BG2245" s="111">
        <f t="shared" si="1661"/>
        <v>45</v>
      </c>
      <c r="BH2245" s="111">
        <f t="shared" si="1664"/>
        <v>45</v>
      </c>
      <c r="BI2245" s="111">
        <f t="shared" si="1665"/>
        <v>20.759562841530055</v>
      </c>
      <c r="BJ2245" s="129">
        <f>(G2245-J2245)+(M2245-G2245)</f>
        <v>0</v>
      </c>
      <c r="BK2245" s="129">
        <f t="shared" si="1666"/>
        <v>-42</v>
      </c>
      <c r="BL2245" s="129" t="str">
        <f t="shared" si="1658"/>
        <v>DEFERRED</v>
      </c>
      <c r="BM2245" s="129" t="s">
        <v>76</v>
      </c>
      <c r="BN2245" s="129" t="s">
        <v>88</v>
      </c>
      <c r="BP2245" s="137" t="str">
        <f t="shared" si="1678"/>
        <v>DEFERRED</v>
      </c>
      <c r="BQ2245" s="128" t="str">
        <f t="shared" si="1670"/>
        <v>Y</v>
      </c>
      <c r="BR2245" s="129" t="str">
        <f t="shared" si="1679"/>
        <v>ON BOND</v>
      </c>
      <c r="BS2245" s="129" t="str">
        <f t="shared" si="1680"/>
        <v>DISPOSED</v>
      </c>
      <c r="BT2245" s="129" t="str">
        <f t="shared" si="1671"/>
        <v>N</v>
      </c>
      <c r="BU2245" s="109">
        <f t="shared" si="1681"/>
        <v>6.6666666666666666E-2</v>
      </c>
      <c r="BV2245" s="109">
        <f t="shared" si="1672"/>
        <v>6.6666666666666666E-2</v>
      </c>
      <c r="BW2245" s="109">
        <f t="shared" si="1650"/>
        <v>0</v>
      </c>
      <c r="BX2245" s="111">
        <f t="shared" si="1673"/>
        <v>0</v>
      </c>
      <c r="BY2245" s="129">
        <f t="shared" si="1674"/>
        <v>-3</v>
      </c>
      <c r="BZ2245" s="111">
        <f t="shared" si="1675"/>
        <v>0</v>
      </c>
      <c r="CA2245" s="138">
        <f t="shared" si="1676"/>
        <v>3</v>
      </c>
      <c r="CB2245" s="111" t="e">
        <f t="shared" si="1662"/>
        <v>#VALUE!</v>
      </c>
      <c r="CC2245" s="129">
        <f>M2245-I2245+1</f>
        <v>3</v>
      </c>
      <c r="CD2245" s="111">
        <f>CC2245-BF2245</f>
        <v>0</v>
      </c>
      <c r="CG2245" s="129" t="str">
        <f t="shared" si="1677"/>
        <v>N</v>
      </c>
      <c r="CI2245" s="129" t="str">
        <f t="shared" si="1682"/>
        <v>0-10 DAYS</v>
      </c>
      <c r="CJ2245" s="137">
        <f t="shared" si="1683"/>
        <v>1</v>
      </c>
      <c r="CK2245" s="129" t="str">
        <f t="shared" si="1684"/>
        <v>Booked</v>
      </c>
    </row>
    <row r="2246" spans="1:89" ht="15" customHeight="1" x14ac:dyDescent="0.25">
      <c r="A2246" s="111">
        <v>685</v>
      </c>
      <c r="B2246" s="128" t="str">
        <f t="shared" si="1667"/>
        <v>N</v>
      </c>
      <c r="C2246" s="128" t="str">
        <f t="shared" si="1668"/>
        <v>N</v>
      </c>
      <c r="D2246" s="117">
        <v>2484683</v>
      </c>
      <c r="E2246" s="135">
        <f t="shared" si="1669"/>
        <v>6</v>
      </c>
      <c r="F2246" s="124">
        <v>40935</v>
      </c>
      <c r="G2246" s="125">
        <v>41507</v>
      </c>
      <c r="H2246" s="117">
        <v>2484683</v>
      </c>
      <c r="I2246" s="124">
        <v>40936</v>
      </c>
      <c r="J2246" s="125">
        <v>41507</v>
      </c>
      <c r="K2246" s="126" t="s">
        <v>564</v>
      </c>
      <c r="L2246" s="127" t="s">
        <v>564</v>
      </c>
      <c r="N2246" s="129" t="s">
        <v>566</v>
      </c>
      <c r="O2246" s="128" t="s">
        <v>917</v>
      </c>
      <c r="P2246" s="129" t="s">
        <v>39</v>
      </c>
      <c r="Q2246" s="111">
        <f t="shared" si="1657"/>
        <v>572</v>
      </c>
      <c r="R2246" s="111">
        <f t="shared" si="1639"/>
        <v>573</v>
      </c>
      <c r="S2246" s="129">
        <v>1</v>
      </c>
      <c r="T2246" s="129">
        <v>1</v>
      </c>
      <c r="V2246" s="117">
        <v>1</v>
      </c>
      <c r="W2246" s="111"/>
      <c r="AC2246" s="130"/>
      <c r="AD2246" s="130">
        <v>33656</v>
      </c>
      <c r="AE2246" s="128" t="s">
        <v>32</v>
      </c>
      <c r="AF2246" s="128" t="s">
        <v>69</v>
      </c>
      <c r="AG2246" s="128" t="s">
        <v>874</v>
      </c>
      <c r="AH2246" s="108" t="s">
        <v>58</v>
      </c>
      <c r="AI2246" s="128" t="s">
        <v>65</v>
      </c>
      <c r="AJ2246" s="129" t="s">
        <v>31</v>
      </c>
      <c r="AK2246" s="129">
        <v>23</v>
      </c>
      <c r="AL2246" s="3" t="s">
        <v>362</v>
      </c>
      <c r="AM2246" s="114">
        <v>75</v>
      </c>
      <c r="AP2246" s="129" t="s">
        <v>35</v>
      </c>
      <c r="AR2246" s="128" t="s">
        <v>36</v>
      </c>
      <c r="AS2246" s="129" t="s">
        <v>37</v>
      </c>
      <c r="BC2246" s="129" t="s">
        <v>38</v>
      </c>
      <c r="BF2246" s="111">
        <f t="shared" si="1660"/>
        <v>572</v>
      </c>
      <c r="BG2246" s="111">
        <f t="shared" si="1661"/>
        <v>572</v>
      </c>
      <c r="BH2246" s="111">
        <f t="shared" si="1664"/>
        <v>573</v>
      </c>
      <c r="BI2246" s="111">
        <f t="shared" si="1665"/>
        <v>19.887978142076502</v>
      </c>
      <c r="BJ2246" s="129">
        <f t="shared" ref="BJ2246:BJ2304" si="1685">G2246-J2246-M2246</f>
        <v>0</v>
      </c>
      <c r="BK2246" s="129">
        <f t="shared" si="1666"/>
        <v>0</v>
      </c>
      <c r="BL2246" s="129" t="str">
        <f t="shared" si="1658"/>
        <v>CONVICTION</v>
      </c>
      <c r="BM2246" s="129" t="str">
        <f t="shared" ref="BM2246:BM2304" si="1686">O2246</f>
        <v>NONE</v>
      </c>
      <c r="BN2246" s="129" t="s">
        <v>566</v>
      </c>
      <c r="BP2246" s="137" t="str">
        <f t="shared" si="1678"/>
        <v/>
      </c>
      <c r="BQ2246" s="128" t="str">
        <f t="shared" si="1670"/>
        <v>Y</v>
      </c>
      <c r="BR2246" s="129" t="str">
        <f t="shared" si="1679"/>
        <v>DETAINED</v>
      </c>
      <c r="BS2246" s="129" t="str">
        <f t="shared" si="1680"/>
        <v>DISPOSED</v>
      </c>
      <c r="BT2246" s="129" t="str">
        <f t="shared" si="1671"/>
        <v>Y</v>
      </c>
      <c r="BU2246" s="109">
        <f>IFERROR(Q2246/R2246,BR2246)</f>
        <v>0.99825479930191974</v>
      </c>
      <c r="BV2246" s="109">
        <f t="shared" si="1672"/>
        <v>1</v>
      </c>
      <c r="BW2246" s="109">
        <f t="shared" si="1650"/>
        <v>1.7452006980802626E-3</v>
      </c>
      <c r="BX2246" s="111">
        <f t="shared" si="1673"/>
        <v>0</v>
      </c>
      <c r="BY2246" s="129">
        <f t="shared" si="1674"/>
        <v>-572</v>
      </c>
      <c r="BZ2246" s="111">
        <f t="shared" si="1675"/>
        <v>0</v>
      </c>
      <c r="CA2246" s="138">
        <f t="shared" si="1676"/>
        <v>572</v>
      </c>
      <c r="CB2246" s="111" t="e">
        <f t="shared" si="1662"/>
        <v>#VALUE!</v>
      </c>
      <c r="CC2246" s="129">
        <f>G2246-I2246+1</f>
        <v>572</v>
      </c>
      <c r="CD2246" s="129">
        <f>G2246-J2246</f>
        <v>0</v>
      </c>
      <c r="CG2246" s="129" t="str">
        <f t="shared" si="1677"/>
        <v>Y</v>
      </c>
      <c r="CI2246" s="129" t="str">
        <f t="shared" si="1682"/>
        <v xml:space="preserve"> &gt;1YRS&lt;2YRS</v>
      </c>
      <c r="CJ2246" s="137">
        <f t="shared" si="1683"/>
        <v>0</v>
      </c>
      <c r="CK2246" s="129" t="str">
        <f t="shared" si="1684"/>
        <v>Booked</v>
      </c>
    </row>
    <row r="2247" spans="1:89" ht="15.75" customHeight="1" x14ac:dyDescent="0.25">
      <c r="A2247" s="111">
        <v>2195</v>
      </c>
      <c r="B2247" s="128" t="str">
        <f t="shared" si="1667"/>
        <v>N</v>
      </c>
      <c r="C2247" s="128" t="str">
        <f t="shared" si="1668"/>
        <v>N</v>
      </c>
      <c r="D2247" s="117">
        <v>2484938</v>
      </c>
      <c r="E2247" s="135">
        <f t="shared" si="1669"/>
        <v>2</v>
      </c>
      <c r="F2247" s="124">
        <v>40991</v>
      </c>
      <c r="G2247" s="125">
        <v>41142</v>
      </c>
      <c r="H2247" s="117">
        <v>2484938</v>
      </c>
      <c r="I2247" s="124" t="s">
        <v>562</v>
      </c>
      <c r="J2247" s="124" t="s">
        <v>562</v>
      </c>
      <c r="K2247" s="126">
        <v>2000</v>
      </c>
      <c r="L2247" s="127" t="s">
        <v>568</v>
      </c>
      <c r="M2247" s="125">
        <v>40992</v>
      </c>
      <c r="N2247" s="129" t="str">
        <f>IF(M2247&gt;1/1/1,"Y",IF(Q2247="0","","N"))</f>
        <v>Y</v>
      </c>
      <c r="O2247" s="128" t="s">
        <v>76</v>
      </c>
      <c r="P2247" s="129" t="s">
        <v>589</v>
      </c>
      <c r="Q2247" s="111">
        <f t="shared" si="1657"/>
        <v>0</v>
      </c>
      <c r="R2247" s="111">
        <f t="shared" si="1639"/>
        <v>152</v>
      </c>
      <c r="S2247" s="129">
        <v>0</v>
      </c>
      <c r="T2247" s="129">
        <v>0</v>
      </c>
      <c r="W2247" s="111"/>
      <c r="AC2247" s="130"/>
      <c r="AD2247" s="130">
        <v>33414</v>
      </c>
      <c r="AE2247" s="128" t="s">
        <v>32</v>
      </c>
      <c r="AF2247" s="128" t="s">
        <v>40</v>
      </c>
      <c r="AG2247" s="128" t="s">
        <v>41</v>
      </c>
      <c r="AH2247" s="108" t="s">
        <v>41</v>
      </c>
      <c r="AI2247" s="128" t="s">
        <v>65</v>
      </c>
      <c r="AJ2247" s="129" t="s">
        <v>48</v>
      </c>
      <c r="AK2247" s="129">
        <v>7</v>
      </c>
      <c r="AL2247" s="3" t="s">
        <v>48</v>
      </c>
      <c r="AP2247" s="129" t="s">
        <v>175</v>
      </c>
      <c r="AR2247" s="128" t="s">
        <v>44</v>
      </c>
      <c r="AS2247" s="129" t="s">
        <v>45</v>
      </c>
      <c r="BC2247" s="129" t="s">
        <v>52</v>
      </c>
      <c r="BF2247" s="111">
        <v>0</v>
      </c>
      <c r="BG2247" s="111">
        <v>0</v>
      </c>
      <c r="BH2247" s="111">
        <f t="shared" si="1664"/>
        <v>152</v>
      </c>
      <c r="BI2247" s="111">
        <f t="shared" si="1665"/>
        <v>20.702185792349727</v>
      </c>
      <c r="BJ2247" s="129" t="e">
        <f>(G2247-J2247)+(M2247-G2247)</f>
        <v>#VALUE!</v>
      </c>
      <c r="BK2247" s="129" t="e">
        <f t="shared" si="1666"/>
        <v>#VALUE!</v>
      </c>
      <c r="BL2247" s="129" t="str">
        <f t="shared" si="1658"/>
        <v>DEFERRED</v>
      </c>
      <c r="BM2247" s="129" t="s">
        <v>76</v>
      </c>
      <c r="BN2247" s="129" t="s">
        <v>88</v>
      </c>
      <c r="BP2247" s="137" t="str">
        <f t="shared" si="1678"/>
        <v>DEFERRED</v>
      </c>
      <c r="BQ2247" s="128">
        <f t="shared" si="1670"/>
        <v>0</v>
      </c>
      <c r="BR2247" s="129" t="s">
        <v>575</v>
      </c>
      <c r="BS2247" s="129" t="str">
        <f t="shared" si="1680"/>
        <v>DISPOSED</v>
      </c>
      <c r="BT2247" s="129" t="str">
        <f t="shared" si="1671"/>
        <v>N</v>
      </c>
      <c r="BU2247" s="109">
        <f t="shared" si="1681"/>
        <v>0</v>
      </c>
      <c r="BV2247" s="109">
        <v>0</v>
      </c>
      <c r="BW2247" s="109">
        <f t="shared" si="1650"/>
        <v>0</v>
      </c>
      <c r="BX2247" s="111">
        <f t="shared" si="1673"/>
        <v>0</v>
      </c>
      <c r="BY2247" s="129" t="e">
        <f t="shared" si="1674"/>
        <v>#VALUE!</v>
      </c>
      <c r="BZ2247" s="111" t="e">
        <f t="shared" si="1675"/>
        <v>#VALUE!</v>
      </c>
      <c r="CA2247" s="138" t="e">
        <f t="shared" si="1676"/>
        <v>#VALUE!</v>
      </c>
      <c r="CB2247" s="111">
        <v>0</v>
      </c>
      <c r="CC2247" s="129">
        <v>0</v>
      </c>
      <c r="CD2247" s="111">
        <f>CC2247-BF2247</f>
        <v>0</v>
      </c>
      <c r="CG2247" s="129" t="str">
        <f t="shared" si="1677"/>
        <v>N</v>
      </c>
      <c r="CI2247" s="129" t="str">
        <f t="shared" si="1682"/>
        <v>0-10 DAYS</v>
      </c>
      <c r="CJ2247" s="137">
        <f t="shared" si="1683"/>
        <v>1</v>
      </c>
      <c r="CK2247" s="129" t="str">
        <f t="shared" si="1684"/>
        <v>Not Booked</v>
      </c>
    </row>
    <row r="2248" spans="1:89" ht="15" customHeight="1" x14ac:dyDescent="0.25">
      <c r="A2248" s="111">
        <v>172</v>
      </c>
      <c r="B2248" s="128" t="str">
        <f t="shared" si="1667"/>
        <v>N</v>
      </c>
      <c r="C2248" s="128" t="str">
        <f t="shared" si="1668"/>
        <v>N</v>
      </c>
      <c r="D2248" s="117">
        <v>2484971</v>
      </c>
      <c r="E2248" s="135">
        <f t="shared" si="1669"/>
        <v>2</v>
      </c>
      <c r="F2248" s="124">
        <v>40916</v>
      </c>
      <c r="G2248" s="125">
        <v>41044</v>
      </c>
      <c r="H2248" s="117">
        <v>2484971</v>
      </c>
      <c r="I2248" s="124" t="s">
        <v>562</v>
      </c>
      <c r="J2248" s="124" t="s">
        <v>562</v>
      </c>
      <c r="K2248" s="126">
        <v>2000</v>
      </c>
      <c r="L2248" s="127" t="s">
        <v>568</v>
      </c>
      <c r="M2248" s="125">
        <v>40917</v>
      </c>
      <c r="N2248" s="129" t="str">
        <f>IF(M2248&gt;1/1/1,"Y",IF(Q2248="0","","N"))</f>
        <v>Y</v>
      </c>
      <c r="O2248" s="128" t="s">
        <v>585</v>
      </c>
      <c r="P2248" s="129" t="s">
        <v>589</v>
      </c>
      <c r="Q2248" s="111">
        <f t="shared" si="1657"/>
        <v>0</v>
      </c>
      <c r="R2248" s="111">
        <f t="shared" si="1639"/>
        <v>129</v>
      </c>
      <c r="S2248" s="129">
        <v>0</v>
      </c>
      <c r="T2248" s="129">
        <v>1</v>
      </c>
      <c r="W2248" s="111"/>
      <c r="AC2248" s="130"/>
      <c r="AD2248" s="130">
        <v>31223</v>
      </c>
      <c r="AE2248" s="128" t="s">
        <v>32</v>
      </c>
      <c r="AF2248" s="128" t="s">
        <v>69</v>
      </c>
      <c r="AG2248" s="128" t="s">
        <v>874</v>
      </c>
      <c r="AH2248" s="108" t="s">
        <v>31</v>
      </c>
      <c r="AI2248" s="128" t="s">
        <v>71</v>
      </c>
      <c r="AJ2248" s="129" t="s">
        <v>48</v>
      </c>
      <c r="AK2248" s="129">
        <v>5</v>
      </c>
      <c r="AL2248" s="3" t="s">
        <v>48</v>
      </c>
      <c r="AP2248" s="129" t="s">
        <v>43</v>
      </c>
      <c r="AR2248" s="128" t="s">
        <v>44</v>
      </c>
      <c r="AS2248" s="129" t="s">
        <v>45</v>
      </c>
      <c r="BC2248" s="129" t="s">
        <v>52</v>
      </c>
      <c r="BF2248" s="111">
        <v>0</v>
      </c>
      <c r="BG2248" s="111">
        <v>0</v>
      </c>
      <c r="BH2248" s="111">
        <f t="shared" si="1664"/>
        <v>129</v>
      </c>
      <c r="BI2248" s="111">
        <f t="shared" si="1665"/>
        <v>26.483606557377048</v>
      </c>
      <c r="BJ2248" s="129" t="e">
        <f>(G2248-J2248)+(M2248-G2248)</f>
        <v>#VALUE!</v>
      </c>
      <c r="BK2248" s="129" t="e">
        <f t="shared" si="1666"/>
        <v>#VALUE!</v>
      </c>
      <c r="BL2248" s="129" t="str">
        <f t="shared" si="1658"/>
        <v>DEFERRED</v>
      </c>
      <c r="BM2248" s="129" t="s">
        <v>76</v>
      </c>
      <c r="BN2248" s="129" t="s">
        <v>88</v>
      </c>
      <c r="BP2248" s="137" t="str">
        <f t="shared" si="1678"/>
        <v>DEFERRED</v>
      </c>
      <c r="BQ2248" s="128">
        <f t="shared" si="1670"/>
        <v>0</v>
      </c>
      <c r="BR2248" s="129" t="s">
        <v>575</v>
      </c>
      <c r="BS2248" s="129" t="str">
        <f t="shared" si="1680"/>
        <v>DISPOSED</v>
      </c>
      <c r="BT2248" s="129" t="str">
        <f t="shared" si="1671"/>
        <v>N</v>
      </c>
      <c r="BU2248" s="109">
        <f t="shared" si="1681"/>
        <v>0</v>
      </c>
      <c r="BV2248" s="109">
        <v>0</v>
      </c>
      <c r="BW2248" s="109">
        <f t="shared" si="1650"/>
        <v>0</v>
      </c>
      <c r="BX2248" s="111">
        <f t="shared" si="1673"/>
        <v>0</v>
      </c>
      <c r="BY2248" s="129" t="e">
        <f t="shared" si="1674"/>
        <v>#VALUE!</v>
      </c>
      <c r="BZ2248" s="111" t="e">
        <f t="shared" si="1675"/>
        <v>#VALUE!</v>
      </c>
      <c r="CA2248" s="138" t="e">
        <f t="shared" si="1676"/>
        <v>#VALUE!</v>
      </c>
      <c r="CB2248" s="111">
        <v>0</v>
      </c>
      <c r="CC2248" s="129">
        <v>0</v>
      </c>
      <c r="CD2248" s="111">
        <f>CC2248-BF2248</f>
        <v>0</v>
      </c>
      <c r="CG2248" s="129" t="str">
        <f t="shared" si="1677"/>
        <v>Y</v>
      </c>
      <c r="CI2248" s="129" t="str">
        <f t="shared" si="1682"/>
        <v>0-10 DAYS</v>
      </c>
      <c r="CJ2248" s="137">
        <f t="shared" si="1683"/>
        <v>1</v>
      </c>
      <c r="CK2248" s="129" t="str">
        <f t="shared" si="1684"/>
        <v>Not Booked</v>
      </c>
    </row>
    <row r="2249" spans="1:89" ht="15.75" customHeight="1" x14ac:dyDescent="0.25">
      <c r="A2249" s="111">
        <v>2609</v>
      </c>
      <c r="B2249" s="128" t="str">
        <f t="shared" si="1667"/>
        <v>N</v>
      </c>
      <c r="C2249" s="128" t="str">
        <f t="shared" si="1668"/>
        <v>N</v>
      </c>
      <c r="D2249" s="117">
        <v>2485067</v>
      </c>
      <c r="E2249" s="135">
        <f t="shared" si="1669"/>
        <v>6</v>
      </c>
      <c r="F2249" s="124">
        <v>41005</v>
      </c>
      <c r="G2249" s="125">
        <v>41015</v>
      </c>
      <c r="H2249" s="117">
        <v>2485067</v>
      </c>
      <c r="I2249" s="124">
        <v>41005</v>
      </c>
      <c r="J2249" s="124">
        <v>41015</v>
      </c>
      <c r="K2249" s="126" t="s">
        <v>564</v>
      </c>
      <c r="L2249" s="127" t="s">
        <v>564</v>
      </c>
      <c r="N2249" s="129" t="s">
        <v>566</v>
      </c>
      <c r="O2249" s="128" t="s">
        <v>917</v>
      </c>
      <c r="P2249" s="129" t="s">
        <v>39</v>
      </c>
      <c r="Q2249" s="111">
        <f t="shared" si="1657"/>
        <v>11</v>
      </c>
      <c r="R2249" s="111">
        <f t="shared" si="1639"/>
        <v>11</v>
      </c>
      <c r="S2249" s="129">
        <v>1</v>
      </c>
      <c r="T2249" s="129">
        <v>0</v>
      </c>
      <c r="U2249" s="129">
        <v>1</v>
      </c>
      <c r="W2249" s="111"/>
      <c r="AB2249" s="131" t="s">
        <v>112</v>
      </c>
      <c r="AC2249" s="130"/>
      <c r="AD2249" s="130">
        <v>33097</v>
      </c>
      <c r="AE2249" s="128" t="s">
        <v>32</v>
      </c>
      <c r="AF2249" s="128" t="s">
        <v>40</v>
      </c>
      <c r="AG2249" s="128" t="s">
        <v>41</v>
      </c>
      <c r="AH2249" s="108" t="s">
        <v>31</v>
      </c>
      <c r="AI2249" s="128" t="s">
        <v>113</v>
      </c>
      <c r="AJ2249" s="129" t="s">
        <v>89</v>
      </c>
      <c r="AK2249" s="129">
        <v>2</v>
      </c>
      <c r="AL2249" s="3" t="s">
        <v>362</v>
      </c>
      <c r="AM2249" s="117">
        <v>1</v>
      </c>
      <c r="AP2249" s="129" t="s">
        <v>462</v>
      </c>
      <c r="AR2249" s="128" t="s">
        <v>46</v>
      </c>
      <c r="AS2249" s="129" t="s">
        <v>64</v>
      </c>
      <c r="BC2249" s="129" t="s">
        <v>38</v>
      </c>
      <c r="BF2249" s="111">
        <f t="shared" ref="BF2249:BF2259" si="1687">IF(J2249&gt;1/1/1900,((J2249+1)-I2249),"STILL OPEN")</f>
        <v>11</v>
      </c>
      <c r="BG2249" s="111">
        <f t="shared" ref="BG2249:BG2259" si="1688">IF(G2249&gt;1/1/1900,((G2249+1)-I2249),"STILL OPEN")</f>
        <v>11</v>
      </c>
      <c r="BH2249" s="111">
        <f t="shared" si="1664"/>
        <v>11</v>
      </c>
      <c r="BI2249" s="111">
        <f t="shared" si="1665"/>
        <v>21.606557377049182</v>
      </c>
      <c r="BJ2249" s="129">
        <f t="shared" si="1685"/>
        <v>0</v>
      </c>
      <c r="BK2249" s="129">
        <f t="shared" si="1666"/>
        <v>0</v>
      </c>
      <c r="BL2249" s="129" t="str">
        <f t="shared" si="1658"/>
        <v>CONVICTION</v>
      </c>
      <c r="BM2249" s="129" t="str">
        <f t="shared" si="1686"/>
        <v>NONE</v>
      </c>
      <c r="BN2249" s="129" t="s">
        <v>566</v>
      </c>
      <c r="BP2249" s="137" t="str">
        <f t="shared" si="1678"/>
        <v>CONVICTION</v>
      </c>
      <c r="BQ2249" s="128" t="str">
        <f t="shared" si="1670"/>
        <v>Y</v>
      </c>
      <c r="BR2249" s="129" t="str">
        <f t="shared" si="1679"/>
        <v>DETAINED</v>
      </c>
      <c r="BS2249" s="129" t="str">
        <f t="shared" si="1680"/>
        <v>DISPOSED</v>
      </c>
      <c r="BT2249" s="129" t="str">
        <f t="shared" si="1671"/>
        <v>Y</v>
      </c>
      <c r="BU2249" s="109">
        <f t="shared" si="1681"/>
        <v>1</v>
      </c>
      <c r="BV2249" s="109">
        <f t="shared" si="1672"/>
        <v>1</v>
      </c>
      <c r="BW2249" s="109">
        <f t="shared" si="1650"/>
        <v>0</v>
      </c>
      <c r="BX2249" s="111">
        <f t="shared" si="1673"/>
        <v>0</v>
      </c>
      <c r="BY2249" s="129">
        <f t="shared" si="1674"/>
        <v>-11</v>
      </c>
      <c r="BZ2249" s="111">
        <f t="shared" si="1675"/>
        <v>0</v>
      </c>
      <c r="CA2249" s="138">
        <f t="shared" si="1676"/>
        <v>11</v>
      </c>
      <c r="CB2249" s="111" t="e">
        <f t="shared" ref="CB2249:CB2259" si="1689">IF(AF2249&gt;1/1/1900,((AF2249+1)-AE2249),"STILL OPEN")</f>
        <v>#VALUE!</v>
      </c>
      <c r="CC2249" s="129">
        <f>G2249-I2249+1</f>
        <v>11</v>
      </c>
      <c r="CD2249" s="129">
        <f>G2249-J2249</f>
        <v>0</v>
      </c>
      <c r="CG2249" s="129" t="str">
        <f t="shared" si="1677"/>
        <v>Y</v>
      </c>
      <c r="CI2249" s="129" t="str">
        <f t="shared" si="1682"/>
        <v>11-30 DAYS</v>
      </c>
      <c r="CJ2249" s="137">
        <f t="shared" si="1683"/>
        <v>2</v>
      </c>
      <c r="CK2249" s="129" t="str">
        <f t="shared" si="1684"/>
        <v>Booked</v>
      </c>
    </row>
    <row r="2250" spans="1:89" ht="15" customHeight="1" x14ac:dyDescent="0.25">
      <c r="A2250" s="111">
        <v>3215</v>
      </c>
      <c r="B2250" s="128" t="str">
        <f t="shared" si="1667"/>
        <v>N</v>
      </c>
      <c r="C2250" s="128" t="str">
        <f t="shared" si="1668"/>
        <v>N</v>
      </c>
      <c r="D2250" s="117">
        <v>2485871</v>
      </c>
      <c r="E2250" s="135">
        <f t="shared" si="1669"/>
        <v>6</v>
      </c>
      <c r="F2250" s="124">
        <v>41027</v>
      </c>
      <c r="G2250" s="125">
        <v>41191</v>
      </c>
      <c r="H2250" s="117">
        <v>2485871</v>
      </c>
      <c r="I2250" s="124">
        <v>41027</v>
      </c>
      <c r="J2250" s="124">
        <v>41030</v>
      </c>
      <c r="K2250" s="126">
        <v>10000</v>
      </c>
      <c r="L2250" s="127" t="s">
        <v>570</v>
      </c>
      <c r="M2250" s="125">
        <v>41030</v>
      </c>
      <c r="N2250" s="129" t="str">
        <f>IF(M2250&gt;1/1/1,"Y","N")</f>
        <v>Y</v>
      </c>
      <c r="O2250" s="128" t="s">
        <v>76</v>
      </c>
      <c r="P2250" s="129" t="s">
        <v>39</v>
      </c>
      <c r="Q2250" s="111">
        <f t="shared" si="1657"/>
        <v>4</v>
      </c>
      <c r="R2250" s="111">
        <f t="shared" si="1639"/>
        <v>165</v>
      </c>
      <c r="S2250" s="129">
        <v>2</v>
      </c>
      <c r="T2250" s="129">
        <v>0</v>
      </c>
      <c r="U2250" s="129">
        <v>1</v>
      </c>
      <c r="W2250" s="111"/>
      <c r="AC2250" s="130"/>
      <c r="AD2250" s="130">
        <v>33921</v>
      </c>
      <c r="AE2250" s="128" t="s">
        <v>32</v>
      </c>
      <c r="AF2250" s="128" t="s">
        <v>33</v>
      </c>
      <c r="AG2250" s="128" t="s">
        <v>872</v>
      </c>
      <c r="AH2250" s="108" t="s">
        <v>31</v>
      </c>
      <c r="AI2250" s="128" t="s">
        <v>59</v>
      </c>
      <c r="AJ2250" s="129" t="s">
        <v>89</v>
      </c>
      <c r="AK2250" s="129">
        <v>7</v>
      </c>
      <c r="AL2250" s="3" t="s">
        <v>362</v>
      </c>
      <c r="AM2250" s="117">
        <v>3</v>
      </c>
      <c r="AP2250" s="129" t="s">
        <v>93</v>
      </c>
      <c r="AR2250" s="128" t="s">
        <v>67</v>
      </c>
      <c r="AS2250" s="129" t="s">
        <v>45</v>
      </c>
      <c r="AT2250" s="129" t="s">
        <v>534</v>
      </c>
      <c r="BC2250" s="129" t="s">
        <v>38</v>
      </c>
      <c r="BF2250" s="111">
        <f t="shared" si="1687"/>
        <v>4</v>
      </c>
      <c r="BG2250" s="111">
        <f t="shared" si="1688"/>
        <v>165</v>
      </c>
      <c r="BH2250" s="111">
        <f t="shared" si="1664"/>
        <v>165</v>
      </c>
      <c r="BI2250" s="111">
        <f t="shared" si="1665"/>
        <v>19.415300546448087</v>
      </c>
      <c r="BJ2250" s="129">
        <f>(G2250-J2250)+(M2250-G2250)</f>
        <v>0</v>
      </c>
      <c r="BK2250" s="129">
        <f t="shared" si="1666"/>
        <v>-161</v>
      </c>
      <c r="BL2250" s="129" t="str">
        <f t="shared" si="1658"/>
        <v>CONVICTION</v>
      </c>
      <c r="BM2250" s="129" t="s">
        <v>76</v>
      </c>
      <c r="BN2250" s="129" t="s">
        <v>88</v>
      </c>
      <c r="BP2250" s="137" t="str">
        <f t="shared" si="1678"/>
        <v>CONVICTION</v>
      </c>
      <c r="BQ2250" s="128" t="str">
        <f t="shared" si="1670"/>
        <v>Y</v>
      </c>
      <c r="BR2250" s="129" t="str">
        <f>IF(J2250&lt;G2250,"ON BOND",0)</f>
        <v>ON BOND</v>
      </c>
      <c r="BS2250" s="129" t="str">
        <f t="shared" si="1680"/>
        <v>DISPOSED</v>
      </c>
      <c r="BT2250" s="129" t="str">
        <f t="shared" si="1671"/>
        <v>Y</v>
      </c>
      <c r="BU2250" s="109">
        <f t="shared" si="1681"/>
        <v>2.4242424242424242E-2</v>
      </c>
      <c r="BV2250" s="109">
        <f t="shared" si="1672"/>
        <v>2.4242424242424242E-2</v>
      </c>
      <c r="BW2250" s="109">
        <f t="shared" si="1650"/>
        <v>0</v>
      </c>
      <c r="BX2250" s="111">
        <f t="shared" si="1673"/>
        <v>0</v>
      </c>
      <c r="BY2250" s="129">
        <f t="shared" si="1674"/>
        <v>-4</v>
      </c>
      <c r="BZ2250" s="111">
        <f t="shared" si="1675"/>
        <v>0</v>
      </c>
      <c r="CA2250" s="138">
        <f t="shared" si="1676"/>
        <v>4</v>
      </c>
      <c r="CB2250" s="111" t="e">
        <f t="shared" si="1689"/>
        <v>#VALUE!</v>
      </c>
      <c r="CC2250" s="129">
        <f>M2250-I2250+1</f>
        <v>4</v>
      </c>
      <c r="CD2250" s="111">
        <f>CC2250-BF2250</f>
        <v>0</v>
      </c>
      <c r="CG2250" s="129" t="str">
        <f t="shared" si="1677"/>
        <v>Y</v>
      </c>
      <c r="CI2250" s="129" t="str">
        <f t="shared" si="1682"/>
        <v>0-10 DAYS</v>
      </c>
      <c r="CJ2250" s="137">
        <f t="shared" si="1683"/>
        <v>1</v>
      </c>
      <c r="CK2250" s="129" t="str">
        <f t="shared" si="1684"/>
        <v>Booked</v>
      </c>
    </row>
    <row r="2251" spans="1:89" ht="15" customHeight="1" x14ac:dyDescent="0.25">
      <c r="A2251" s="111">
        <v>1599</v>
      </c>
      <c r="B2251" s="128" t="str">
        <f t="shared" si="1667"/>
        <v>N</v>
      </c>
      <c r="C2251" s="128" t="str">
        <f t="shared" si="1668"/>
        <v>N</v>
      </c>
      <c r="D2251" s="117">
        <v>2485946</v>
      </c>
      <c r="E2251" s="135">
        <f t="shared" si="1669"/>
        <v>6</v>
      </c>
      <c r="F2251" s="124">
        <v>40968</v>
      </c>
      <c r="G2251" s="125">
        <v>40995</v>
      </c>
      <c r="H2251" s="117">
        <v>2485946</v>
      </c>
      <c r="I2251" s="124">
        <v>40969</v>
      </c>
      <c r="J2251" s="124">
        <v>40995</v>
      </c>
      <c r="K2251" s="126" t="s">
        <v>564</v>
      </c>
      <c r="L2251" s="127" t="s">
        <v>564</v>
      </c>
      <c r="N2251" s="129" t="s">
        <v>566</v>
      </c>
      <c r="O2251" s="128" t="s">
        <v>917</v>
      </c>
      <c r="P2251" s="129" t="s">
        <v>39</v>
      </c>
      <c r="Q2251" s="111">
        <f t="shared" si="1657"/>
        <v>27</v>
      </c>
      <c r="R2251" s="111">
        <f t="shared" si="1639"/>
        <v>28</v>
      </c>
      <c r="S2251" s="129">
        <v>1</v>
      </c>
      <c r="T2251" s="129">
        <v>2</v>
      </c>
      <c r="U2251" s="129">
        <v>1</v>
      </c>
      <c r="W2251" s="111"/>
      <c r="AC2251" s="130"/>
      <c r="AD2251" s="130">
        <v>33942</v>
      </c>
      <c r="AE2251" s="128" t="s">
        <v>32</v>
      </c>
      <c r="AF2251" s="128" t="s">
        <v>40</v>
      </c>
      <c r="AG2251" s="128" t="s">
        <v>41</v>
      </c>
      <c r="AH2251" s="108" t="s">
        <v>41</v>
      </c>
      <c r="AI2251" s="128" t="s">
        <v>100</v>
      </c>
      <c r="AJ2251" s="129" t="s">
        <v>89</v>
      </c>
      <c r="AK2251" s="129">
        <v>3</v>
      </c>
      <c r="AL2251" s="3" t="s">
        <v>362</v>
      </c>
      <c r="AM2251" s="117">
        <v>2</v>
      </c>
      <c r="AP2251" s="129" t="s">
        <v>150</v>
      </c>
      <c r="AR2251" s="128" t="s">
        <v>67</v>
      </c>
      <c r="AS2251" s="129" t="s">
        <v>74</v>
      </c>
      <c r="BC2251" s="129" t="s">
        <v>38</v>
      </c>
      <c r="BF2251" s="111">
        <f t="shared" si="1687"/>
        <v>27</v>
      </c>
      <c r="BG2251" s="111">
        <f t="shared" si="1688"/>
        <v>27</v>
      </c>
      <c r="BH2251" s="111">
        <f t="shared" si="1664"/>
        <v>28</v>
      </c>
      <c r="BI2251" s="111">
        <f t="shared" si="1665"/>
        <v>19.196721311475411</v>
      </c>
      <c r="BJ2251" s="129">
        <f t="shared" si="1685"/>
        <v>0</v>
      </c>
      <c r="BK2251" s="129">
        <f t="shared" si="1666"/>
        <v>0</v>
      </c>
      <c r="BL2251" s="129" t="str">
        <f t="shared" si="1658"/>
        <v>CONVICTION</v>
      </c>
      <c r="BM2251" s="129" t="str">
        <f t="shared" si="1686"/>
        <v>NONE</v>
      </c>
      <c r="BN2251" s="129" t="s">
        <v>566</v>
      </c>
      <c r="BP2251" s="137" t="str">
        <f t="shared" si="1678"/>
        <v>CONVICTION</v>
      </c>
      <c r="BQ2251" s="128" t="str">
        <f t="shared" si="1670"/>
        <v>Y</v>
      </c>
      <c r="BR2251" s="129" t="str">
        <f t="shared" si="1679"/>
        <v>DETAINED</v>
      </c>
      <c r="BS2251" s="129" t="str">
        <f t="shared" si="1680"/>
        <v>DISPOSED</v>
      </c>
      <c r="BT2251" s="129" t="str">
        <f t="shared" si="1671"/>
        <v>Y</v>
      </c>
      <c r="BU2251" s="109">
        <f t="shared" si="1681"/>
        <v>0.9642857142857143</v>
      </c>
      <c r="BV2251" s="109">
        <f t="shared" si="1672"/>
        <v>1</v>
      </c>
      <c r="BW2251" s="109">
        <f t="shared" si="1650"/>
        <v>3.5714285714285698E-2</v>
      </c>
      <c r="BX2251" s="111">
        <f t="shared" si="1673"/>
        <v>0</v>
      </c>
      <c r="BY2251" s="129">
        <f t="shared" si="1674"/>
        <v>-27</v>
      </c>
      <c r="BZ2251" s="111">
        <f t="shared" si="1675"/>
        <v>0</v>
      </c>
      <c r="CA2251" s="138">
        <f t="shared" si="1676"/>
        <v>27</v>
      </c>
      <c r="CB2251" s="111" t="e">
        <f t="shared" si="1689"/>
        <v>#VALUE!</v>
      </c>
      <c r="CC2251" s="129">
        <f>G2251-I2251+1</f>
        <v>27</v>
      </c>
      <c r="CD2251" s="129">
        <f>G2251-J2251</f>
        <v>0</v>
      </c>
      <c r="CG2251" s="129" t="str">
        <f t="shared" si="1677"/>
        <v>Y</v>
      </c>
      <c r="CI2251" s="129" t="str">
        <f t="shared" si="1682"/>
        <v>11-30 DAYS</v>
      </c>
      <c r="CJ2251" s="137">
        <f t="shared" si="1683"/>
        <v>2</v>
      </c>
      <c r="CK2251" s="129" t="str">
        <f t="shared" si="1684"/>
        <v>Booked</v>
      </c>
    </row>
    <row r="2252" spans="1:89" ht="15" customHeight="1" x14ac:dyDescent="0.25">
      <c r="A2252" s="111">
        <v>87</v>
      </c>
      <c r="B2252" s="128" t="str">
        <f t="shared" si="1667"/>
        <v>N</v>
      </c>
      <c r="C2252" s="128" t="str">
        <f t="shared" si="1668"/>
        <v>Y</v>
      </c>
      <c r="D2252" s="117">
        <v>2486324</v>
      </c>
      <c r="E2252" s="135">
        <f t="shared" si="1669"/>
        <v>4</v>
      </c>
      <c r="F2252" s="124">
        <v>40913</v>
      </c>
      <c r="G2252" s="125">
        <v>41085</v>
      </c>
      <c r="H2252" s="117">
        <v>2486324</v>
      </c>
      <c r="I2252" s="124">
        <v>40913</v>
      </c>
      <c r="J2252" s="124">
        <v>40914</v>
      </c>
      <c r="K2252" s="126">
        <v>2000</v>
      </c>
      <c r="L2252" s="127" t="s">
        <v>568</v>
      </c>
      <c r="M2252" s="125">
        <v>40914</v>
      </c>
      <c r="N2252" s="129" t="str">
        <f t="shared" ref="N2252:N2259" si="1690">IF(M2252&gt;1/1/1,"Y","N")</f>
        <v>Y</v>
      </c>
      <c r="O2252" s="128" t="s">
        <v>76</v>
      </c>
      <c r="P2252" s="129" t="s">
        <v>39</v>
      </c>
      <c r="Q2252" s="111">
        <v>45</v>
      </c>
      <c r="R2252" s="111">
        <f t="shared" si="1639"/>
        <v>173</v>
      </c>
      <c r="S2252" s="129">
        <v>0</v>
      </c>
      <c r="T2252" s="129">
        <v>1</v>
      </c>
      <c r="W2252" s="111"/>
      <c r="AC2252" s="130"/>
      <c r="AD2252" s="130">
        <v>28657</v>
      </c>
      <c r="AE2252" s="128" t="s">
        <v>46</v>
      </c>
      <c r="AF2252" s="128" t="s">
        <v>33</v>
      </c>
      <c r="AG2252" s="128" t="s">
        <v>872</v>
      </c>
      <c r="AH2252" s="108" t="s">
        <v>31</v>
      </c>
      <c r="AI2252" s="128" t="s">
        <v>62</v>
      </c>
      <c r="AJ2252" s="129" t="s">
        <v>89</v>
      </c>
      <c r="AK2252" s="129">
        <v>11</v>
      </c>
      <c r="AL2252" s="3" t="s">
        <v>991</v>
      </c>
      <c r="AO2252" s="128">
        <v>60</v>
      </c>
      <c r="AP2252" s="129" t="s">
        <v>43</v>
      </c>
      <c r="AR2252" s="128" t="s">
        <v>44</v>
      </c>
      <c r="AS2252" s="129" t="s">
        <v>45</v>
      </c>
      <c r="AV2252" s="3" t="s">
        <v>88</v>
      </c>
      <c r="AW2252" s="123" t="s">
        <v>683</v>
      </c>
      <c r="AX2252" s="123"/>
      <c r="AZ2252" s="140"/>
      <c r="BA2252" s="125">
        <v>41073</v>
      </c>
      <c r="BB2252" s="129">
        <v>256</v>
      </c>
      <c r="BC2252" s="129" t="s">
        <v>38</v>
      </c>
      <c r="BF2252" s="111">
        <v>45</v>
      </c>
      <c r="BG2252" s="111">
        <f t="shared" si="1688"/>
        <v>173</v>
      </c>
      <c r="BH2252" s="111">
        <f t="shared" si="1664"/>
        <v>173</v>
      </c>
      <c r="BI2252" s="111">
        <f t="shared" si="1665"/>
        <v>33.486338797814206</v>
      </c>
      <c r="BJ2252" s="129">
        <f>(G2252-J2252)+(M2252-G2252)</f>
        <v>0</v>
      </c>
      <c r="BK2252" s="129">
        <f t="shared" si="1666"/>
        <v>-171</v>
      </c>
      <c r="BL2252" s="129" t="str">
        <f t="shared" si="1658"/>
        <v>CONVICTION</v>
      </c>
      <c r="BM2252" s="129" t="s">
        <v>76</v>
      </c>
      <c r="BN2252" s="129" t="s">
        <v>88</v>
      </c>
      <c r="BP2252" s="137" t="str">
        <f t="shared" si="1678"/>
        <v>CONVICTION</v>
      </c>
      <c r="BQ2252" s="128" t="str">
        <f t="shared" si="1670"/>
        <v>Y</v>
      </c>
      <c r="BR2252" s="129" t="s">
        <v>574</v>
      </c>
      <c r="BS2252" s="129" t="str">
        <f t="shared" si="1680"/>
        <v>DISPOSED</v>
      </c>
      <c r="BT2252" s="129" t="str">
        <f t="shared" si="1671"/>
        <v>N</v>
      </c>
      <c r="BU2252" s="109">
        <f t="shared" si="1681"/>
        <v>0.26011560693641617</v>
      </c>
      <c r="BV2252" s="109">
        <f t="shared" si="1672"/>
        <v>1.1560693641618497E-2</v>
      </c>
      <c r="BW2252" s="109">
        <f t="shared" si="1650"/>
        <v>-0.24855491329479767</v>
      </c>
      <c r="BX2252" s="111">
        <f t="shared" si="1673"/>
        <v>0</v>
      </c>
      <c r="BY2252" s="129">
        <f t="shared" si="1674"/>
        <v>-2</v>
      </c>
      <c r="BZ2252" s="111">
        <f t="shared" si="1675"/>
        <v>43</v>
      </c>
      <c r="CA2252" s="138">
        <f t="shared" si="1676"/>
        <v>173</v>
      </c>
      <c r="CB2252" s="111">
        <v>45</v>
      </c>
      <c r="CC2252" s="129">
        <f>G2252-I2252+1</f>
        <v>173</v>
      </c>
      <c r="CD2252" s="129">
        <f>G2252-J2252</f>
        <v>171</v>
      </c>
      <c r="CG2252" s="129" t="str">
        <f t="shared" si="1677"/>
        <v>Y</v>
      </c>
      <c r="CI2252" s="129" t="str">
        <f t="shared" si="1682"/>
        <v>31-60 DAYS</v>
      </c>
      <c r="CJ2252" s="137">
        <f t="shared" si="1683"/>
        <v>3</v>
      </c>
      <c r="CK2252" s="129" t="str">
        <f t="shared" si="1684"/>
        <v>Booked</v>
      </c>
    </row>
    <row r="2253" spans="1:89" ht="15.75" customHeight="1" x14ac:dyDescent="0.25">
      <c r="A2253" s="111">
        <v>2277</v>
      </c>
      <c r="B2253" s="128" t="str">
        <f t="shared" si="1667"/>
        <v>N</v>
      </c>
      <c r="C2253" s="128" t="str">
        <f t="shared" si="1668"/>
        <v>N</v>
      </c>
      <c r="D2253" s="117">
        <v>2486746</v>
      </c>
      <c r="E2253" s="135">
        <f t="shared" si="1669"/>
        <v>5</v>
      </c>
      <c r="F2253" s="124">
        <v>40995</v>
      </c>
      <c r="G2253" s="125">
        <v>41193</v>
      </c>
      <c r="H2253" s="117">
        <v>2486746</v>
      </c>
      <c r="I2253" s="124">
        <v>41065</v>
      </c>
      <c r="J2253" s="124">
        <v>41193</v>
      </c>
      <c r="K2253" s="126">
        <v>10000</v>
      </c>
      <c r="L2253" s="127" t="s">
        <v>570</v>
      </c>
      <c r="N2253" s="129" t="str">
        <f t="shared" si="1690"/>
        <v>N</v>
      </c>
      <c r="O2253" s="128" t="s">
        <v>917</v>
      </c>
      <c r="P2253" s="129" t="s">
        <v>39</v>
      </c>
      <c r="Q2253" s="111">
        <f t="shared" si="1657"/>
        <v>129</v>
      </c>
      <c r="R2253" s="111">
        <f t="shared" si="1639"/>
        <v>199</v>
      </c>
      <c r="S2253" s="129">
        <v>1</v>
      </c>
      <c r="T2253" s="129">
        <v>2</v>
      </c>
      <c r="U2253" s="129">
        <v>1</v>
      </c>
      <c r="W2253" s="111"/>
      <c r="AC2253" s="130"/>
      <c r="AD2253" s="130">
        <v>33038</v>
      </c>
      <c r="AE2253" s="128" t="s">
        <v>32</v>
      </c>
      <c r="AF2253" s="128" t="s">
        <v>33</v>
      </c>
      <c r="AG2253" s="128" t="s">
        <v>872</v>
      </c>
      <c r="AH2253" s="108" t="s">
        <v>58</v>
      </c>
      <c r="AI2253" s="128" t="s">
        <v>80</v>
      </c>
      <c r="AJ2253" s="129" t="s">
        <v>89</v>
      </c>
      <c r="AK2253" s="129">
        <v>5</v>
      </c>
      <c r="AL2253" s="3" t="s">
        <v>992</v>
      </c>
      <c r="AN2253" s="117">
        <v>6</v>
      </c>
      <c r="AP2253" s="129" t="s">
        <v>170</v>
      </c>
      <c r="AR2253" s="128" t="s">
        <v>67</v>
      </c>
      <c r="AS2253" s="129" t="s">
        <v>64</v>
      </c>
      <c r="BC2253" s="129" t="s">
        <v>38</v>
      </c>
      <c r="BF2253" s="111">
        <f t="shared" si="1687"/>
        <v>129</v>
      </c>
      <c r="BG2253" s="111">
        <f t="shared" si="1688"/>
        <v>129</v>
      </c>
      <c r="BH2253" s="111">
        <f t="shared" si="1664"/>
        <v>199</v>
      </c>
      <c r="BI2253" s="111">
        <f t="shared" si="1665"/>
        <v>21.740437158469945</v>
      </c>
      <c r="BJ2253" s="129">
        <f t="shared" si="1685"/>
        <v>0</v>
      </c>
      <c r="BK2253" s="129">
        <f t="shared" si="1666"/>
        <v>0</v>
      </c>
      <c r="BL2253" s="129" t="str">
        <f t="shared" si="1658"/>
        <v>CONVICTION</v>
      </c>
      <c r="BM2253" s="129" t="str">
        <f t="shared" si="1686"/>
        <v>NONE</v>
      </c>
      <c r="BN2253" s="129" t="s">
        <v>566</v>
      </c>
      <c r="BP2253" s="137" t="str">
        <f t="shared" si="1678"/>
        <v>CONVICTION</v>
      </c>
      <c r="BQ2253" s="128" t="str">
        <f t="shared" si="1670"/>
        <v>Y</v>
      </c>
      <c r="BR2253" s="129" t="str">
        <f t="shared" si="1679"/>
        <v>DETAINED</v>
      </c>
      <c r="BS2253" s="129" t="str">
        <f t="shared" si="1680"/>
        <v>DISPOSED</v>
      </c>
      <c r="BT2253" s="129" t="str">
        <f t="shared" si="1671"/>
        <v>Y</v>
      </c>
      <c r="BU2253" s="109">
        <f t="shared" si="1681"/>
        <v>0.64824120603015079</v>
      </c>
      <c r="BV2253" s="109">
        <f t="shared" si="1672"/>
        <v>1</v>
      </c>
      <c r="BW2253" s="109">
        <f t="shared" si="1650"/>
        <v>0.35175879396984921</v>
      </c>
      <c r="BX2253" s="111">
        <f t="shared" si="1673"/>
        <v>0</v>
      </c>
      <c r="BY2253" s="129">
        <f t="shared" si="1674"/>
        <v>-129</v>
      </c>
      <c r="BZ2253" s="111">
        <f t="shared" si="1675"/>
        <v>0</v>
      </c>
      <c r="CA2253" s="138">
        <f t="shared" si="1676"/>
        <v>129</v>
      </c>
      <c r="CB2253" s="111" t="e">
        <f t="shared" si="1689"/>
        <v>#VALUE!</v>
      </c>
      <c r="CC2253" s="129">
        <f>G2253-I2253+1</f>
        <v>129</v>
      </c>
      <c r="CD2253" s="129">
        <f>G2253-J2253</f>
        <v>0</v>
      </c>
      <c r="CG2253" s="129" t="str">
        <f t="shared" si="1677"/>
        <v>Y</v>
      </c>
      <c r="CI2253" s="129" t="str">
        <f t="shared" si="1682"/>
        <v>121-365 DAYS</v>
      </c>
      <c r="CJ2253" s="137">
        <f t="shared" si="1683"/>
        <v>6</v>
      </c>
      <c r="CK2253" s="129" t="str">
        <f t="shared" si="1684"/>
        <v>Booked</v>
      </c>
    </row>
    <row r="2254" spans="1:89" ht="15.75" customHeight="1" x14ac:dyDescent="0.25">
      <c r="A2254" s="111">
        <v>2588</v>
      </c>
      <c r="B2254" s="128" t="str">
        <f t="shared" si="1667"/>
        <v>N</v>
      </c>
      <c r="C2254" s="128" t="str">
        <f t="shared" si="1668"/>
        <v>N</v>
      </c>
      <c r="D2254" s="117">
        <v>2487206</v>
      </c>
      <c r="E2254" s="135">
        <f t="shared" si="1669"/>
        <v>6</v>
      </c>
      <c r="F2254" s="124">
        <v>41005</v>
      </c>
      <c r="G2254" s="125">
        <v>41060</v>
      </c>
      <c r="H2254" s="117">
        <v>2487206</v>
      </c>
      <c r="I2254" s="124">
        <v>41005</v>
      </c>
      <c r="J2254" s="124">
        <v>41060</v>
      </c>
      <c r="K2254" s="126">
        <v>100000</v>
      </c>
      <c r="L2254" s="129" t="s">
        <v>572</v>
      </c>
      <c r="N2254" s="129" t="str">
        <f t="shared" si="1690"/>
        <v>N</v>
      </c>
      <c r="O2254" s="128" t="s">
        <v>917</v>
      </c>
      <c r="P2254" s="129" t="s">
        <v>39</v>
      </c>
      <c r="Q2254" s="111">
        <f t="shared" si="1657"/>
        <v>56</v>
      </c>
      <c r="R2254" s="111">
        <f t="shared" si="1639"/>
        <v>56</v>
      </c>
      <c r="S2254" s="129">
        <v>1</v>
      </c>
      <c r="T2254" s="129">
        <v>0</v>
      </c>
      <c r="U2254" s="129">
        <v>1</v>
      </c>
      <c r="W2254" s="111"/>
      <c r="AC2254" s="130"/>
      <c r="AD2254" s="130">
        <v>33567</v>
      </c>
      <c r="AE2254" s="128" t="s">
        <v>32</v>
      </c>
      <c r="AF2254" s="128" t="s">
        <v>33</v>
      </c>
      <c r="AG2254" s="128" t="s">
        <v>872</v>
      </c>
      <c r="AH2254" s="108" t="s">
        <v>31</v>
      </c>
      <c r="AI2254" s="128" t="s">
        <v>83</v>
      </c>
      <c r="AJ2254" s="129" t="s">
        <v>89</v>
      </c>
      <c r="AK2254" s="129">
        <v>3</v>
      </c>
      <c r="AL2254" s="3" t="s">
        <v>362</v>
      </c>
      <c r="AM2254" s="117">
        <v>4</v>
      </c>
      <c r="AP2254" s="129" t="s">
        <v>81</v>
      </c>
      <c r="AR2254" s="128" t="s">
        <v>50</v>
      </c>
      <c r="AS2254" s="129" t="s">
        <v>82</v>
      </c>
      <c r="BC2254" s="129" t="s">
        <v>38</v>
      </c>
      <c r="BF2254" s="111">
        <f t="shared" si="1687"/>
        <v>56</v>
      </c>
      <c r="BG2254" s="111">
        <f t="shared" si="1688"/>
        <v>56</v>
      </c>
      <c r="BH2254" s="111">
        <f t="shared" si="1664"/>
        <v>56</v>
      </c>
      <c r="BI2254" s="111">
        <f t="shared" si="1665"/>
        <v>20.3224043715847</v>
      </c>
      <c r="BJ2254" s="129">
        <f t="shared" si="1685"/>
        <v>0</v>
      </c>
      <c r="BK2254" s="129">
        <f t="shared" si="1666"/>
        <v>0</v>
      </c>
      <c r="BL2254" s="129" t="str">
        <f t="shared" si="1658"/>
        <v>CONVICTION</v>
      </c>
      <c r="BM2254" s="129" t="str">
        <f t="shared" si="1686"/>
        <v>NONE</v>
      </c>
      <c r="BN2254" s="129" t="s">
        <v>566</v>
      </c>
      <c r="BP2254" s="137" t="str">
        <f t="shared" si="1678"/>
        <v>CONVICTION</v>
      </c>
      <c r="BQ2254" s="128" t="str">
        <f t="shared" si="1670"/>
        <v>Y</v>
      </c>
      <c r="BR2254" s="129" t="str">
        <f t="shared" si="1679"/>
        <v>DETAINED</v>
      </c>
      <c r="BS2254" s="129" t="str">
        <f t="shared" si="1680"/>
        <v>DISPOSED</v>
      </c>
      <c r="BT2254" s="129" t="str">
        <f t="shared" si="1671"/>
        <v>Y</v>
      </c>
      <c r="BU2254" s="109">
        <f t="shared" si="1681"/>
        <v>1</v>
      </c>
      <c r="BV2254" s="109">
        <f t="shared" si="1672"/>
        <v>1</v>
      </c>
      <c r="BW2254" s="109">
        <f t="shared" si="1650"/>
        <v>0</v>
      </c>
      <c r="BX2254" s="111">
        <f t="shared" si="1673"/>
        <v>0</v>
      </c>
      <c r="BY2254" s="129">
        <f t="shared" si="1674"/>
        <v>-56</v>
      </c>
      <c r="BZ2254" s="111">
        <f t="shared" si="1675"/>
        <v>0</v>
      </c>
      <c r="CA2254" s="138">
        <f t="shared" si="1676"/>
        <v>56</v>
      </c>
      <c r="CB2254" s="111" t="e">
        <f t="shared" si="1689"/>
        <v>#VALUE!</v>
      </c>
      <c r="CC2254" s="129">
        <f>G2254-I2254+1</f>
        <v>56</v>
      </c>
      <c r="CD2254" s="129">
        <f>G2254-J2254</f>
        <v>0</v>
      </c>
      <c r="CG2254" s="129" t="str">
        <f t="shared" si="1677"/>
        <v>Y</v>
      </c>
      <c r="CI2254" s="129" t="str">
        <f t="shared" si="1682"/>
        <v>31-60 DAYS</v>
      </c>
      <c r="CJ2254" s="137">
        <f t="shared" si="1683"/>
        <v>3</v>
      </c>
      <c r="CK2254" s="129" t="str">
        <f t="shared" si="1684"/>
        <v>Booked</v>
      </c>
    </row>
    <row r="2255" spans="1:89" ht="15" customHeight="1" x14ac:dyDescent="0.25">
      <c r="A2255" s="111">
        <v>337</v>
      </c>
      <c r="B2255" s="128" t="str">
        <f t="shared" si="1667"/>
        <v>N</v>
      </c>
      <c r="C2255" s="128" t="str">
        <f t="shared" si="1668"/>
        <v>N</v>
      </c>
      <c r="D2255" s="117">
        <v>2487341</v>
      </c>
      <c r="E2255" s="135">
        <f t="shared" si="1669"/>
        <v>2</v>
      </c>
      <c r="F2255" s="124">
        <v>40922</v>
      </c>
      <c r="G2255" s="125">
        <v>41018</v>
      </c>
      <c r="H2255" s="117">
        <v>2487341</v>
      </c>
      <c r="I2255" s="124">
        <v>40922</v>
      </c>
      <c r="J2255" s="124">
        <v>41018</v>
      </c>
      <c r="K2255" s="126">
        <v>5000</v>
      </c>
      <c r="L2255" s="127" t="s">
        <v>569</v>
      </c>
      <c r="M2255" s="125"/>
      <c r="N2255" s="129" t="str">
        <f t="shared" si="1690"/>
        <v>N</v>
      </c>
      <c r="O2255" s="128" t="s">
        <v>917</v>
      </c>
      <c r="P2255" s="129" t="s">
        <v>589</v>
      </c>
      <c r="Q2255" s="111">
        <f t="shared" si="1657"/>
        <v>97</v>
      </c>
      <c r="R2255" s="111">
        <f t="shared" si="1639"/>
        <v>97</v>
      </c>
      <c r="S2255" s="129">
        <v>1</v>
      </c>
      <c r="T2255" s="129">
        <v>0</v>
      </c>
      <c r="V2255" s="117">
        <v>1</v>
      </c>
      <c r="W2255" s="111"/>
      <c r="AC2255" s="130"/>
      <c r="AD2255" s="130">
        <v>33945</v>
      </c>
      <c r="AE2255" s="128" t="s">
        <v>32</v>
      </c>
      <c r="AF2255" s="128" t="s">
        <v>33</v>
      </c>
      <c r="AG2255" s="128" t="s">
        <v>872</v>
      </c>
      <c r="AH2255" s="108" t="s">
        <v>31</v>
      </c>
      <c r="AI2255" s="128" t="s">
        <v>114</v>
      </c>
      <c r="AJ2255" s="129" t="s">
        <v>48</v>
      </c>
      <c r="AK2255" s="129">
        <v>5</v>
      </c>
      <c r="AL2255" s="3" t="s">
        <v>48</v>
      </c>
      <c r="AP2255" s="129" t="s">
        <v>98</v>
      </c>
      <c r="AR2255" s="128" t="s">
        <v>44</v>
      </c>
      <c r="AS2255" s="129" t="s">
        <v>64</v>
      </c>
      <c r="AT2255" s="129" t="s">
        <v>196</v>
      </c>
      <c r="BC2255" s="129" t="s">
        <v>38</v>
      </c>
      <c r="BF2255" s="111">
        <f t="shared" si="1687"/>
        <v>97</v>
      </c>
      <c r="BG2255" s="111">
        <f t="shared" si="1688"/>
        <v>97</v>
      </c>
      <c r="BH2255" s="111">
        <f t="shared" si="1664"/>
        <v>97</v>
      </c>
      <c r="BI2255" s="111">
        <f t="shared" si="1665"/>
        <v>19.062841530054644</v>
      </c>
      <c r="BJ2255" s="129">
        <f t="shared" si="1685"/>
        <v>0</v>
      </c>
      <c r="BK2255" s="129">
        <f t="shared" si="1666"/>
        <v>0</v>
      </c>
      <c r="BL2255" s="129" t="str">
        <f t="shared" si="1658"/>
        <v>DEFERRED</v>
      </c>
      <c r="BM2255" s="129" t="str">
        <f t="shared" si="1686"/>
        <v>NONE</v>
      </c>
      <c r="BN2255" s="129" t="s">
        <v>566</v>
      </c>
      <c r="BP2255" s="137" t="str">
        <f t="shared" si="1678"/>
        <v>DEFERRED</v>
      </c>
      <c r="BQ2255" s="128" t="str">
        <f t="shared" si="1670"/>
        <v>Y</v>
      </c>
      <c r="BR2255" s="129" t="str">
        <f t="shared" si="1679"/>
        <v>DETAINED</v>
      </c>
      <c r="BS2255" s="129" t="str">
        <f t="shared" si="1680"/>
        <v>DISPOSED</v>
      </c>
      <c r="BT2255" s="129" t="str">
        <f t="shared" si="1671"/>
        <v>Y</v>
      </c>
      <c r="BU2255" s="109">
        <f t="shared" si="1681"/>
        <v>1</v>
      </c>
      <c r="BV2255" s="109">
        <f t="shared" si="1672"/>
        <v>1</v>
      </c>
      <c r="BW2255" s="109">
        <f t="shared" si="1650"/>
        <v>0</v>
      </c>
      <c r="BX2255" s="111">
        <f t="shared" si="1673"/>
        <v>0</v>
      </c>
      <c r="BY2255" s="129">
        <f t="shared" si="1674"/>
        <v>-97</v>
      </c>
      <c r="BZ2255" s="111">
        <f t="shared" si="1675"/>
        <v>0</v>
      </c>
      <c r="CA2255" s="138">
        <f t="shared" si="1676"/>
        <v>97</v>
      </c>
      <c r="CB2255" s="111" t="e">
        <f t="shared" si="1689"/>
        <v>#VALUE!</v>
      </c>
      <c r="CC2255" s="129">
        <f>G2255-I2255+1</f>
        <v>97</v>
      </c>
      <c r="CD2255" s="129">
        <f>G2255-J2255</f>
        <v>0</v>
      </c>
      <c r="CG2255" s="129" t="str">
        <f t="shared" si="1677"/>
        <v>Y</v>
      </c>
      <c r="CI2255" s="129" t="str">
        <f t="shared" si="1682"/>
        <v>91-120 DAYS</v>
      </c>
      <c r="CJ2255" s="137">
        <f t="shared" si="1683"/>
        <v>0</v>
      </c>
      <c r="CK2255" s="129" t="str">
        <f t="shared" si="1684"/>
        <v>Booked</v>
      </c>
    </row>
    <row r="2256" spans="1:89" ht="15.75" customHeight="1" x14ac:dyDescent="0.25">
      <c r="A2256" s="111">
        <v>2957</v>
      </c>
      <c r="B2256" s="128" t="str">
        <f t="shared" si="1667"/>
        <v>N</v>
      </c>
      <c r="C2256" s="128" t="str">
        <f t="shared" si="1668"/>
        <v>N</v>
      </c>
      <c r="D2256" s="117">
        <v>2487397</v>
      </c>
      <c r="E2256" s="135">
        <f t="shared" si="1669"/>
        <v>1</v>
      </c>
      <c r="F2256" s="124">
        <v>41018</v>
      </c>
      <c r="G2256" s="125">
        <v>41414</v>
      </c>
      <c r="H2256" s="117">
        <v>2487397</v>
      </c>
      <c r="I2256" s="124">
        <v>41025</v>
      </c>
      <c r="J2256" s="124">
        <v>41026</v>
      </c>
      <c r="K2256" s="126">
        <v>4000</v>
      </c>
      <c r="L2256" s="127" t="s">
        <v>569</v>
      </c>
      <c r="M2256" s="125">
        <v>41026</v>
      </c>
      <c r="N2256" s="129" t="str">
        <f t="shared" si="1690"/>
        <v>Y</v>
      </c>
      <c r="O2256" s="128" t="s">
        <v>76</v>
      </c>
      <c r="P2256" s="129" t="s">
        <v>55</v>
      </c>
      <c r="Q2256" s="111">
        <f t="shared" si="1657"/>
        <v>2</v>
      </c>
      <c r="R2256" s="111">
        <f t="shared" si="1639"/>
        <v>397</v>
      </c>
      <c r="S2256" s="129">
        <v>0</v>
      </c>
      <c r="T2256" s="129">
        <v>1</v>
      </c>
      <c r="W2256" s="111"/>
      <c r="AC2256" s="130"/>
      <c r="AD2256" s="130">
        <v>33346</v>
      </c>
      <c r="AE2256" s="128" t="s">
        <v>46</v>
      </c>
      <c r="AF2256" s="128" t="s">
        <v>69</v>
      </c>
      <c r="AG2256" s="128" t="s">
        <v>874</v>
      </c>
      <c r="AH2256" s="108" t="s">
        <v>31</v>
      </c>
      <c r="AI2256" s="128" t="s">
        <v>34</v>
      </c>
      <c r="AJ2256" s="129" t="s">
        <v>55</v>
      </c>
      <c r="AK2256" s="129">
        <v>13</v>
      </c>
      <c r="AL2256" s="3" t="s">
        <v>55</v>
      </c>
      <c r="AP2256" s="129" t="s">
        <v>155</v>
      </c>
      <c r="AR2256" s="128" t="s">
        <v>44</v>
      </c>
      <c r="AS2256" s="129" t="s">
        <v>64</v>
      </c>
      <c r="BC2256" s="129" t="s">
        <v>52</v>
      </c>
      <c r="BF2256" s="111">
        <f t="shared" si="1687"/>
        <v>2</v>
      </c>
      <c r="BG2256" s="111">
        <f t="shared" si="1688"/>
        <v>390</v>
      </c>
      <c r="BH2256" s="111">
        <f t="shared" si="1664"/>
        <v>397</v>
      </c>
      <c r="BI2256" s="111">
        <f t="shared" si="1665"/>
        <v>20.961748633879782</v>
      </c>
      <c r="BJ2256" s="129">
        <f>(G2256-J2256)+(M2256-G2256)</f>
        <v>0</v>
      </c>
      <c r="BK2256" s="129">
        <f t="shared" si="1666"/>
        <v>-388</v>
      </c>
      <c r="BL2256" s="129" t="str">
        <f t="shared" si="1658"/>
        <v>NO CONVICTION</v>
      </c>
      <c r="BM2256" s="129" t="s">
        <v>76</v>
      </c>
      <c r="BN2256" s="129" t="s">
        <v>88</v>
      </c>
      <c r="BP2256" s="137" t="str">
        <f t="shared" si="1678"/>
        <v>NO CONVICTION</v>
      </c>
      <c r="BQ2256" s="128" t="str">
        <f t="shared" si="1670"/>
        <v>Y</v>
      </c>
      <c r="BR2256" s="129" t="str">
        <f t="shared" si="1679"/>
        <v>ON BOND</v>
      </c>
      <c r="BS2256" s="129" t="str">
        <f t="shared" si="1680"/>
        <v>DISPOSED</v>
      </c>
      <c r="BT2256" s="129" t="str">
        <f t="shared" si="1671"/>
        <v>N</v>
      </c>
      <c r="BU2256" s="109">
        <f>IFERROR(Q2256/R2256,BR2256)</f>
        <v>5.0377833753148613E-3</v>
      </c>
      <c r="BV2256" s="109">
        <f t="shared" si="1672"/>
        <v>5.1282051282051282E-3</v>
      </c>
      <c r="BW2256" s="109">
        <f t="shared" si="1650"/>
        <v>9.0421752890266875E-5</v>
      </c>
      <c r="BX2256" s="111">
        <f t="shared" si="1673"/>
        <v>0</v>
      </c>
      <c r="BY2256" s="129">
        <f t="shared" si="1674"/>
        <v>-2</v>
      </c>
      <c r="BZ2256" s="111">
        <f t="shared" si="1675"/>
        <v>0</v>
      </c>
      <c r="CA2256" s="138">
        <f t="shared" si="1676"/>
        <v>2</v>
      </c>
      <c r="CB2256" s="111" t="e">
        <f t="shared" si="1689"/>
        <v>#VALUE!</v>
      </c>
      <c r="CC2256" s="129">
        <f>M2256-I2256+1</f>
        <v>2</v>
      </c>
      <c r="CD2256" s="111">
        <f>CC2256-BF2256</f>
        <v>0</v>
      </c>
      <c r="CG2256" s="129" t="str">
        <f t="shared" si="1677"/>
        <v>Y</v>
      </c>
      <c r="CI2256" s="129" t="str">
        <f t="shared" si="1682"/>
        <v>0-10 DAYS</v>
      </c>
      <c r="CJ2256" s="137">
        <f t="shared" si="1683"/>
        <v>1</v>
      </c>
      <c r="CK2256" s="129" t="str">
        <f t="shared" si="1684"/>
        <v>Booked</v>
      </c>
    </row>
    <row r="2257" spans="1:89" ht="15.75" customHeight="1" x14ac:dyDescent="0.25">
      <c r="A2257" s="111">
        <v>2696</v>
      </c>
      <c r="B2257" s="128" t="str">
        <f t="shared" si="1667"/>
        <v>N</v>
      </c>
      <c r="C2257" s="128" t="str">
        <f t="shared" si="1668"/>
        <v>N</v>
      </c>
      <c r="D2257" s="117">
        <v>2487778</v>
      </c>
      <c r="E2257" s="135">
        <f t="shared" si="1669"/>
        <v>6</v>
      </c>
      <c r="F2257" s="124">
        <v>41009</v>
      </c>
      <c r="G2257" s="125">
        <v>41409</v>
      </c>
      <c r="H2257" s="117">
        <v>2487778</v>
      </c>
      <c r="I2257" s="124">
        <v>41010</v>
      </c>
      <c r="J2257" s="125">
        <v>41409</v>
      </c>
      <c r="K2257" s="126">
        <v>10000</v>
      </c>
      <c r="L2257" s="127" t="s">
        <v>570</v>
      </c>
      <c r="N2257" s="129" t="str">
        <f t="shared" si="1690"/>
        <v>N</v>
      </c>
      <c r="O2257" s="128" t="s">
        <v>917</v>
      </c>
      <c r="P2257" s="129" t="s">
        <v>39</v>
      </c>
      <c r="Q2257" s="111">
        <f t="shared" si="1657"/>
        <v>400</v>
      </c>
      <c r="R2257" s="111">
        <f t="shared" si="1639"/>
        <v>401</v>
      </c>
      <c r="S2257" s="129">
        <v>2</v>
      </c>
      <c r="T2257" s="129">
        <v>2</v>
      </c>
      <c r="U2257" s="129">
        <v>1</v>
      </c>
      <c r="W2257" s="111"/>
      <c r="AC2257" s="130"/>
      <c r="AD2257" s="130">
        <v>33902</v>
      </c>
      <c r="AE2257" s="128" t="s">
        <v>32</v>
      </c>
      <c r="AF2257" s="128" t="s">
        <v>33</v>
      </c>
      <c r="AG2257" s="128" t="s">
        <v>872</v>
      </c>
      <c r="AH2257" s="108" t="s">
        <v>58</v>
      </c>
      <c r="AI2257" s="128" t="s">
        <v>80</v>
      </c>
      <c r="AJ2257" s="32" t="s">
        <v>89</v>
      </c>
      <c r="AK2257" s="129">
        <v>10</v>
      </c>
      <c r="AL2257" s="3" t="s">
        <v>362</v>
      </c>
      <c r="AM2257" s="117">
        <v>5</v>
      </c>
      <c r="AP2257" s="129" t="s">
        <v>101</v>
      </c>
      <c r="AR2257" s="128" t="s">
        <v>67</v>
      </c>
      <c r="AS2257" s="129" t="s">
        <v>64</v>
      </c>
      <c r="AT2257" s="129" t="s">
        <v>1281</v>
      </c>
      <c r="BC2257" s="129" t="s">
        <v>38</v>
      </c>
      <c r="BF2257" s="111">
        <f t="shared" si="1687"/>
        <v>400</v>
      </c>
      <c r="BG2257" s="111">
        <f t="shared" si="1688"/>
        <v>400</v>
      </c>
      <c r="BH2257" s="111">
        <f t="shared" si="1664"/>
        <v>401</v>
      </c>
      <c r="BI2257" s="111">
        <f t="shared" si="1665"/>
        <v>19.418032786885245</v>
      </c>
      <c r="BJ2257" s="129">
        <f t="shared" si="1685"/>
        <v>0</v>
      </c>
      <c r="BK2257" s="129">
        <f t="shared" si="1666"/>
        <v>0</v>
      </c>
      <c r="BL2257" s="129" t="str">
        <f t="shared" si="1658"/>
        <v>CONVICTION</v>
      </c>
      <c r="BM2257" s="129" t="str">
        <f t="shared" si="1686"/>
        <v>NONE</v>
      </c>
      <c r="BN2257" s="129" t="s">
        <v>566</v>
      </c>
      <c r="BP2257" s="137" t="str">
        <f t="shared" si="1678"/>
        <v>CONVICTION</v>
      </c>
      <c r="BQ2257" s="128" t="str">
        <f t="shared" si="1670"/>
        <v>Y</v>
      </c>
      <c r="BR2257" s="129" t="str">
        <f t="shared" si="1679"/>
        <v>DETAINED</v>
      </c>
      <c r="BS2257" s="129" t="str">
        <f t="shared" si="1680"/>
        <v>DISPOSED</v>
      </c>
      <c r="BT2257" s="129" t="str">
        <f t="shared" si="1671"/>
        <v>Y</v>
      </c>
      <c r="BU2257" s="109">
        <f t="shared" si="1681"/>
        <v>0.99750623441396513</v>
      </c>
      <c r="BV2257" s="109">
        <f t="shared" si="1672"/>
        <v>1</v>
      </c>
      <c r="BW2257" s="109">
        <f t="shared" si="1650"/>
        <v>2.4937655860348684E-3</v>
      </c>
      <c r="BX2257" s="111">
        <f t="shared" si="1673"/>
        <v>0</v>
      </c>
      <c r="BY2257" s="129">
        <f t="shared" si="1674"/>
        <v>-400</v>
      </c>
      <c r="BZ2257" s="111">
        <f t="shared" si="1675"/>
        <v>0</v>
      </c>
      <c r="CA2257" s="138">
        <f t="shared" si="1676"/>
        <v>400</v>
      </c>
      <c r="CB2257" s="111" t="e">
        <f t="shared" si="1689"/>
        <v>#VALUE!</v>
      </c>
      <c r="CC2257" s="129">
        <f>G2257-I2257+1</f>
        <v>400</v>
      </c>
      <c r="CD2257" s="129">
        <f>G2257-J2257</f>
        <v>0</v>
      </c>
      <c r="CG2257" s="129" t="str">
        <f t="shared" si="1677"/>
        <v>Y</v>
      </c>
      <c r="CI2257" s="129" t="str">
        <f t="shared" si="1682"/>
        <v xml:space="preserve"> &gt;1YRS&lt;2YRS</v>
      </c>
      <c r="CJ2257" s="137">
        <f t="shared" si="1683"/>
        <v>0</v>
      </c>
      <c r="CK2257" s="129" t="str">
        <f t="shared" si="1684"/>
        <v>Booked</v>
      </c>
    </row>
    <row r="2258" spans="1:89" ht="15.75" customHeight="1" x14ac:dyDescent="0.25">
      <c r="A2258" s="111">
        <v>2654</v>
      </c>
      <c r="B2258" s="128" t="str">
        <f t="shared" si="1667"/>
        <v>N</v>
      </c>
      <c r="C2258" s="128" t="str">
        <f t="shared" si="1668"/>
        <v>N</v>
      </c>
      <c r="D2258" s="117">
        <v>2488277</v>
      </c>
      <c r="E2258" s="135">
        <f t="shared" si="1669"/>
        <v>3</v>
      </c>
      <c r="F2258" s="124">
        <v>41007</v>
      </c>
      <c r="G2258" s="125">
        <v>41193</v>
      </c>
      <c r="H2258" s="117">
        <v>2488277</v>
      </c>
      <c r="I2258" s="124">
        <v>41007</v>
      </c>
      <c r="J2258" s="124">
        <v>41011</v>
      </c>
      <c r="K2258" s="126">
        <v>10000</v>
      </c>
      <c r="L2258" s="127" t="s">
        <v>570</v>
      </c>
      <c r="M2258" s="125">
        <v>41011</v>
      </c>
      <c r="N2258" s="129" t="str">
        <f t="shared" si="1690"/>
        <v>Y</v>
      </c>
      <c r="O2258" s="128" t="s">
        <v>585</v>
      </c>
      <c r="P2258" s="129" t="s">
        <v>39</v>
      </c>
      <c r="Q2258" s="111">
        <f t="shared" si="1657"/>
        <v>5</v>
      </c>
      <c r="R2258" s="111">
        <f t="shared" ref="R2258:R2320" si="1691">BH2258</f>
        <v>187</v>
      </c>
      <c r="S2258" s="129">
        <v>0</v>
      </c>
      <c r="T2258" s="129">
        <v>2</v>
      </c>
      <c r="W2258" s="111"/>
      <c r="AB2258" s="131" t="s">
        <v>112</v>
      </c>
      <c r="AC2258" s="130"/>
      <c r="AD2258" s="130">
        <v>32427</v>
      </c>
      <c r="AE2258" s="128" t="s">
        <v>32</v>
      </c>
      <c r="AF2258" s="128" t="s">
        <v>40</v>
      </c>
      <c r="AG2258" s="128" t="s">
        <v>41</v>
      </c>
      <c r="AH2258" s="108" t="s">
        <v>31</v>
      </c>
      <c r="AI2258" s="128" t="s">
        <v>87</v>
      </c>
      <c r="AJ2258" s="129" t="s">
        <v>89</v>
      </c>
      <c r="AK2258" s="129">
        <v>7</v>
      </c>
      <c r="AL2258" s="3" t="s">
        <v>185</v>
      </c>
      <c r="AO2258" s="128">
        <v>5</v>
      </c>
      <c r="AP2258" s="129" t="s">
        <v>66</v>
      </c>
      <c r="AR2258" s="128" t="s">
        <v>67</v>
      </c>
      <c r="AS2258" s="129" t="s">
        <v>68</v>
      </c>
      <c r="BC2258" s="129" t="s">
        <v>52</v>
      </c>
      <c r="BF2258" s="111">
        <f t="shared" si="1687"/>
        <v>5</v>
      </c>
      <c r="BG2258" s="111">
        <f t="shared" si="1688"/>
        <v>187</v>
      </c>
      <c r="BH2258" s="111">
        <f t="shared" si="1664"/>
        <v>187</v>
      </c>
      <c r="BI2258" s="111">
        <f t="shared" si="1665"/>
        <v>23.442622950819672</v>
      </c>
      <c r="BJ2258" s="129">
        <f>(G2258-J2258)+(M2258-G2258)</f>
        <v>0</v>
      </c>
      <c r="BK2258" s="129">
        <f t="shared" si="1666"/>
        <v>-182</v>
      </c>
      <c r="BL2258" s="129" t="str">
        <f t="shared" si="1658"/>
        <v>CONVICTION</v>
      </c>
      <c r="BM2258" s="129" t="s">
        <v>76</v>
      </c>
      <c r="BN2258" s="129" t="s">
        <v>88</v>
      </c>
      <c r="BP2258" s="137" t="str">
        <f t="shared" si="1678"/>
        <v>CONVICTION</v>
      </c>
      <c r="BQ2258" s="128" t="str">
        <f t="shared" si="1670"/>
        <v>Y</v>
      </c>
      <c r="BR2258" s="129" t="str">
        <f>IF(J2258&lt;G2258,"ON BOND",0)</f>
        <v>ON BOND</v>
      </c>
      <c r="BS2258" s="129" t="str">
        <f t="shared" si="1680"/>
        <v>DISPOSED</v>
      </c>
      <c r="BT2258" s="129" t="str">
        <f t="shared" si="1671"/>
        <v>N</v>
      </c>
      <c r="BU2258" s="109">
        <f t="shared" si="1681"/>
        <v>2.6737967914438502E-2</v>
      </c>
      <c r="BV2258" s="109">
        <f t="shared" si="1672"/>
        <v>2.6737967914438502E-2</v>
      </c>
      <c r="BW2258" s="109">
        <f t="shared" si="1650"/>
        <v>0</v>
      </c>
      <c r="BX2258" s="111">
        <f t="shared" si="1673"/>
        <v>0</v>
      </c>
      <c r="BY2258" s="129">
        <f t="shared" si="1674"/>
        <v>-5</v>
      </c>
      <c r="BZ2258" s="111">
        <f t="shared" si="1675"/>
        <v>0</v>
      </c>
      <c r="CA2258" s="138">
        <f t="shared" si="1676"/>
        <v>5</v>
      </c>
      <c r="CB2258" s="111" t="e">
        <f t="shared" si="1689"/>
        <v>#VALUE!</v>
      </c>
      <c r="CC2258" s="129">
        <f>M2258-I2258+1</f>
        <v>5</v>
      </c>
      <c r="CD2258" s="111">
        <f>CC2258-BF2258</f>
        <v>0</v>
      </c>
      <c r="CG2258" s="129" t="str">
        <f t="shared" si="1677"/>
        <v>Y</v>
      </c>
      <c r="CI2258" s="129" t="str">
        <f t="shared" si="1682"/>
        <v>0-10 DAYS</v>
      </c>
      <c r="CJ2258" s="137">
        <f t="shared" si="1683"/>
        <v>1</v>
      </c>
      <c r="CK2258" s="129" t="str">
        <f t="shared" si="1684"/>
        <v>Booked</v>
      </c>
    </row>
    <row r="2259" spans="1:89" ht="15" customHeight="1" x14ac:dyDescent="0.25">
      <c r="A2259" s="111">
        <v>326</v>
      </c>
      <c r="B2259" s="128" t="str">
        <f t="shared" si="1667"/>
        <v>N</v>
      </c>
      <c r="C2259" s="128" t="str">
        <f t="shared" si="1668"/>
        <v>N</v>
      </c>
      <c r="D2259" s="117">
        <v>2488447</v>
      </c>
      <c r="E2259" s="135">
        <f t="shared" si="1669"/>
        <v>1</v>
      </c>
      <c r="F2259" s="124">
        <v>40921</v>
      </c>
      <c r="G2259" s="125">
        <v>41074</v>
      </c>
      <c r="H2259" s="117">
        <v>2488447</v>
      </c>
      <c r="I2259" s="124">
        <v>40923</v>
      </c>
      <c r="J2259" s="124">
        <v>40978</v>
      </c>
      <c r="K2259" s="126">
        <v>90000</v>
      </c>
      <c r="L2259" s="129" t="s">
        <v>572</v>
      </c>
      <c r="M2259" s="125">
        <v>40978</v>
      </c>
      <c r="N2259" s="129" t="str">
        <f t="shared" si="1690"/>
        <v>Y</v>
      </c>
      <c r="O2259" s="128" t="s">
        <v>76</v>
      </c>
      <c r="P2259" s="129" t="s">
        <v>55</v>
      </c>
      <c r="Q2259" s="111">
        <f t="shared" si="1657"/>
        <v>56</v>
      </c>
      <c r="R2259" s="111">
        <f t="shared" si="1691"/>
        <v>154</v>
      </c>
      <c r="S2259" s="129">
        <v>0</v>
      </c>
      <c r="T2259" s="129">
        <v>0</v>
      </c>
      <c r="W2259" s="111"/>
      <c r="AB2259" s="131" t="s">
        <v>112</v>
      </c>
      <c r="AC2259" s="130"/>
      <c r="AD2259" s="130">
        <v>26875</v>
      </c>
      <c r="AE2259" s="128" t="s">
        <v>32</v>
      </c>
      <c r="AF2259" s="128" t="s">
        <v>40</v>
      </c>
      <c r="AG2259" s="128" t="s">
        <v>41</v>
      </c>
      <c r="AH2259" s="108" t="s">
        <v>31</v>
      </c>
      <c r="AI2259" s="128" t="s">
        <v>70</v>
      </c>
      <c r="AJ2259" s="129" t="s">
        <v>55</v>
      </c>
      <c r="AK2259" s="129">
        <v>8</v>
      </c>
      <c r="AL2259" s="3" t="s">
        <v>55</v>
      </c>
      <c r="AP2259" s="129" t="s">
        <v>110</v>
      </c>
      <c r="AR2259" s="128" t="s">
        <v>50</v>
      </c>
      <c r="AS2259" s="129" t="s">
        <v>74</v>
      </c>
      <c r="BC2259" s="129" t="s">
        <v>52</v>
      </c>
      <c r="BF2259" s="111">
        <f t="shared" si="1687"/>
        <v>56</v>
      </c>
      <c r="BG2259" s="111">
        <f t="shared" si="1688"/>
        <v>152</v>
      </c>
      <c r="BH2259" s="111">
        <f t="shared" si="1664"/>
        <v>154</v>
      </c>
      <c r="BI2259" s="111">
        <f t="shared" si="1665"/>
        <v>38.377049180327866</v>
      </c>
      <c r="BJ2259" s="129">
        <f>(G2259-J2259)+(M2259-G2259)</f>
        <v>0</v>
      </c>
      <c r="BK2259" s="129">
        <f t="shared" si="1666"/>
        <v>-96</v>
      </c>
      <c r="BL2259" s="129" t="str">
        <f t="shared" si="1658"/>
        <v>NO CONVICTION</v>
      </c>
      <c r="BM2259" s="129" t="s">
        <v>76</v>
      </c>
      <c r="BN2259" s="129" t="s">
        <v>88</v>
      </c>
      <c r="BP2259" s="137" t="str">
        <f t="shared" si="1678"/>
        <v>NO CONVICTION</v>
      </c>
      <c r="BQ2259" s="128" t="str">
        <f t="shared" si="1670"/>
        <v>Y</v>
      </c>
      <c r="BR2259" s="129" t="str">
        <f t="shared" si="1679"/>
        <v>ON BOND</v>
      </c>
      <c r="BS2259" s="129" t="str">
        <f t="shared" si="1680"/>
        <v>DISPOSED</v>
      </c>
      <c r="BT2259" s="129" t="str">
        <f t="shared" si="1671"/>
        <v>N</v>
      </c>
      <c r="BU2259" s="109">
        <f>IFERROR(Q2259/R2259,BR2259)</f>
        <v>0.36363636363636365</v>
      </c>
      <c r="BV2259" s="109">
        <f t="shared" si="1672"/>
        <v>0.36842105263157893</v>
      </c>
      <c r="BW2259" s="109">
        <f t="shared" si="1650"/>
        <v>4.7846889952152805E-3</v>
      </c>
      <c r="BX2259" s="111">
        <f t="shared" si="1673"/>
        <v>0</v>
      </c>
      <c r="BY2259" s="129">
        <f t="shared" si="1674"/>
        <v>-56</v>
      </c>
      <c r="BZ2259" s="111">
        <f t="shared" si="1675"/>
        <v>0</v>
      </c>
      <c r="CA2259" s="138">
        <f t="shared" si="1676"/>
        <v>56</v>
      </c>
      <c r="CB2259" s="111" t="e">
        <f t="shared" si="1689"/>
        <v>#VALUE!</v>
      </c>
      <c r="CC2259" s="129">
        <f>M2259-I2259+1</f>
        <v>56</v>
      </c>
      <c r="CD2259" s="111">
        <f>CC2259-BF2259</f>
        <v>0</v>
      </c>
      <c r="CG2259" s="129" t="str">
        <f t="shared" si="1677"/>
        <v>N</v>
      </c>
      <c r="CI2259" s="129" t="str">
        <f t="shared" si="1682"/>
        <v>31-60 DAYS</v>
      </c>
      <c r="CJ2259" s="137">
        <f t="shared" si="1683"/>
        <v>3</v>
      </c>
      <c r="CK2259" s="129" t="str">
        <f t="shared" si="1684"/>
        <v>Booked</v>
      </c>
    </row>
    <row r="2260" spans="1:89" ht="15" customHeight="1" x14ac:dyDescent="0.25">
      <c r="A2260" s="111">
        <v>1351</v>
      </c>
      <c r="B2260" s="128" t="str">
        <f t="shared" si="1667"/>
        <v>N</v>
      </c>
      <c r="C2260" s="128" t="str">
        <f t="shared" si="1668"/>
        <v>N</v>
      </c>
      <c r="D2260" s="117">
        <v>2489224</v>
      </c>
      <c r="E2260" s="135">
        <f t="shared" si="1669"/>
        <v>2</v>
      </c>
      <c r="F2260" s="124">
        <v>40958</v>
      </c>
      <c r="G2260" s="125">
        <v>41078</v>
      </c>
      <c r="H2260" s="117">
        <v>2489224</v>
      </c>
      <c r="I2260" s="124" t="s">
        <v>562</v>
      </c>
      <c r="J2260" s="124" t="s">
        <v>562</v>
      </c>
      <c r="K2260" s="126">
        <v>2000</v>
      </c>
      <c r="L2260" s="127" t="s">
        <v>568</v>
      </c>
      <c r="M2260" s="125">
        <v>40958</v>
      </c>
      <c r="N2260" s="129" t="str">
        <f>IF(M2260&gt;1/1/1,"Y",IF(Q2260="0","","N"))</f>
        <v>Y</v>
      </c>
      <c r="O2260" s="128" t="s">
        <v>76</v>
      </c>
      <c r="P2260" s="129" t="s">
        <v>589</v>
      </c>
      <c r="Q2260" s="111">
        <f t="shared" si="1657"/>
        <v>0</v>
      </c>
      <c r="R2260" s="111">
        <f t="shared" si="1691"/>
        <v>121</v>
      </c>
      <c r="S2260" s="129">
        <v>0</v>
      </c>
      <c r="T2260" s="129">
        <v>0</v>
      </c>
      <c r="W2260" s="111"/>
      <c r="AC2260" s="130"/>
      <c r="AD2260" s="130">
        <v>33159</v>
      </c>
      <c r="AE2260" s="128" t="s">
        <v>46</v>
      </c>
      <c r="AF2260" s="128" t="s">
        <v>33</v>
      </c>
      <c r="AG2260" s="128" t="s">
        <v>872</v>
      </c>
      <c r="AH2260" s="108" t="s">
        <v>31</v>
      </c>
      <c r="AI2260" s="128" t="s">
        <v>72</v>
      </c>
      <c r="AJ2260" s="129" t="s">
        <v>48</v>
      </c>
      <c r="AK2260" s="129">
        <v>6</v>
      </c>
      <c r="AL2260" s="3" t="s">
        <v>48</v>
      </c>
      <c r="AP2260" s="129" t="s">
        <v>108</v>
      </c>
      <c r="AR2260" s="128" t="s">
        <v>44</v>
      </c>
      <c r="AS2260" s="129" t="s">
        <v>61</v>
      </c>
      <c r="BC2260" s="129" t="s">
        <v>52</v>
      </c>
      <c r="BF2260" s="111">
        <v>0</v>
      </c>
      <c r="BG2260" s="111">
        <v>0</v>
      </c>
      <c r="BH2260" s="111">
        <f t="shared" si="1664"/>
        <v>121</v>
      </c>
      <c r="BI2260" s="111">
        <f t="shared" si="1665"/>
        <v>21.308743169398905</v>
      </c>
      <c r="BJ2260" s="129" t="e">
        <f>(G2260-J2260)+(M2260-G2260)</f>
        <v>#VALUE!</v>
      </c>
      <c r="BK2260" s="129" t="e">
        <f t="shared" si="1666"/>
        <v>#VALUE!</v>
      </c>
      <c r="BL2260" s="129" t="str">
        <f t="shared" si="1658"/>
        <v>DEFERRED</v>
      </c>
      <c r="BM2260" s="129" t="s">
        <v>76</v>
      </c>
      <c r="BN2260" s="129" t="s">
        <v>88</v>
      </c>
      <c r="BP2260" s="137" t="str">
        <f t="shared" si="1678"/>
        <v>DEFERRED</v>
      </c>
      <c r="BQ2260" s="128">
        <f t="shared" si="1670"/>
        <v>0</v>
      </c>
      <c r="BR2260" s="129" t="s">
        <v>575</v>
      </c>
      <c r="BS2260" s="129" t="str">
        <f t="shared" si="1680"/>
        <v>DISPOSED</v>
      </c>
      <c r="BT2260" s="129" t="str">
        <f t="shared" si="1671"/>
        <v>N</v>
      </c>
      <c r="BU2260" s="109">
        <f t="shared" si="1681"/>
        <v>0</v>
      </c>
      <c r="BV2260" s="109">
        <v>0</v>
      </c>
      <c r="BW2260" s="109">
        <f t="shared" si="1650"/>
        <v>0</v>
      </c>
      <c r="BX2260" s="111">
        <f t="shared" si="1673"/>
        <v>0</v>
      </c>
      <c r="BY2260" s="129" t="e">
        <f t="shared" si="1674"/>
        <v>#VALUE!</v>
      </c>
      <c r="BZ2260" s="111" t="e">
        <f t="shared" si="1675"/>
        <v>#VALUE!</v>
      </c>
      <c r="CA2260" s="138" t="e">
        <f t="shared" si="1676"/>
        <v>#VALUE!</v>
      </c>
      <c r="CB2260" s="111">
        <v>0</v>
      </c>
      <c r="CC2260" s="129">
        <v>0</v>
      </c>
      <c r="CD2260" s="111">
        <f>CC2260-BF2260</f>
        <v>0</v>
      </c>
      <c r="CG2260" s="129" t="str">
        <f t="shared" si="1677"/>
        <v>N</v>
      </c>
      <c r="CI2260" s="129" t="str">
        <f t="shared" si="1682"/>
        <v>0-10 DAYS</v>
      </c>
      <c r="CJ2260" s="137">
        <f t="shared" si="1683"/>
        <v>1</v>
      </c>
      <c r="CK2260" s="129" t="str">
        <f t="shared" si="1684"/>
        <v>Not Booked</v>
      </c>
    </row>
    <row r="2261" spans="1:89" ht="15" customHeight="1" x14ac:dyDescent="0.25">
      <c r="A2261" s="111">
        <v>3107</v>
      </c>
      <c r="B2261" s="128" t="str">
        <f t="shared" si="1667"/>
        <v>N</v>
      </c>
      <c r="C2261" s="128" t="str">
        <f t="shared" si="1668"/>
        <v>Y</v>
      </c>
      <c r="D2261" s="117">
        <v>2489991</v>
      </c>
      <c r="E2261" s="135">
        <f t="shared" si="1669"/>
        <v>6</v>
      </c>
      <c r="F2261" s="124">
        <v>41024</v>
      </c>
      <c r="G2261" s="125">
        <v>41191</v>
      </c>
      <c r="H2261" s="117">
        <v>2489991</v>
      </c>
      <c r="I2261" s="124">
        <v>41024</v>
      </c>
      <c r="J2261" s="124">
        <v>41025</v>
      </c>
      <c r="K2261" s="126">
        <v>20000</v>
      </c>
      <c r="L2261" s="127" t="s">
        <v>571</v>
      </c>
      <c r="M2261" s="125">
        <v>41025</v>
      </c>
      <c r="N2261" s="129" t="str">
        <f>IF(M2261&gt;1/1/1,"Y","N")</f>
        <v>Y</v>
      </c>
      <c r="O2261" s="128" t="s">
        <v>76</v>
      </c>
      <c r="P2261" s="129" t="s">
        <v>39</v>
      </c>
      <c r="Q2261" s="111">
        <v>118</v>
      </c>
      <c r="R2261" s="111">
        <f t="shared" si="1691"/>
        <v>168</v>
      </c>
      <c r="S2261" s="129">
        <v>1</v>
      </c>
      <c r="T2261" s="129">
        <v>2</v>
      </c>
      <c r="U2261" s="129">
        <v>1</v>
      </c>
      <c r="W2261" s="111"/>
      <c r="AC2261" s="130"/>
      <c r="AD2261" s="130">
        <v>33977</v>
      </c>
      <c r="AE2261" s="128" t="s">
        <v>32</v>
      </c>
      <c r="AF2261" s="128" t="s">
        <v>69</v>
      </c>
      <c r="AG2261" s="128" t="s">
        <v>874</v>
      </c>
      <c r="AH2261" s="108" t="s">
        <v>58</v>
      </c>
      <c r="AI2261" s="128" t="s">
        <v>47</v>
      </c>
      <c r="AJ2261" s="129" t="s">
        <v>89</v>
      </c>
      <c r="AK2261" s="129">
        <v>7</v>
      </c>
      <c r="AL2261" s="3" t="s">
        <v>362</v>
      </c>
      <c r="AM2261" s="117">
        <v>3</v>
      </c>
      <c r="AP2261" s="129" t="s">
        <v>56</v>
      </c>
      <c r="AR2261" s="128" t="s">
        <v>50</v>
      </c>
      <c r="AS2261" s="129" t="s">
        <v>57</v>
      </c>
      <c r="AT2261" s="129" t="s">
        <v>1111</v>
      </c>
      <c r="AV2261" s="3" t="s">
        <v>88</v>
      </c>
      <c r="AW2261" s="129" t="s">
        <v>793</v>
      </c>
      <c r="BA2261" s="125">
        <v>41141</v>
      </c>
      <c r="BB2261" s="129">
        <v>355</v>
      </c>
      <c r="BC2261" s="129" t="s">
        <v>52</v>
      </c>
      <c r="BF2261" s="111">
        <v>118</v>
      </c>
      <c r="BG2261" s="111">
        <f>IF(G2261&gt;1/1/1900,((G2261+1)-I2261),"STILL OPEN")</f>
        <v>168</v>
      </c>
      <c r="BH2261" s="111">
        <f t="shared" si="1664"/>
        <v>168</v>
      </c>
      <c r="BI2261" s="111">
        <f t="shared" si="1665"/>
        <v>19.254098360655739</v>
      </c>
      <c r="BJ2261" s="129">
        <f>(G2261-J2261)+(M2261-G2261)</f>
        <v>0</v>
      </c>
      <c r="BK2261" s="129">
        <f t="shared" si="1666"/>
        <v>-166</v>
      </c>
      <c r="BL2261" s="129" t="str">
        <f t="shared" si="1658"/>
        <v>CONVICTION</v>
      </c>
      <c r="BM2261" s="129" t="s">
        <v>76</v>
      </c>
      <c r="BN2261" s="129" t="s">
        <v>566</v>
      </c>
      <c r="BP2261" s="137" t="str">
        <f t="shared" si="1678"/>
        <v>CONVICTION</v>
      </c>
      <c r="BQ2261" s="128" t="str">
        <f t="shared" si="1670"/>
        <v>Y</v>
      </c>
      <c r="BR2261" s="129" t="s">
        <v>574</v>
      </c>
      <c r="BS2261" s="129" t="str">
        <f t="shared" si="1680"/>
        <v>DISPOSED</v>
      </c>
      <c r="BT2261" s="129" t="str">
        <f t="shared" si="1671"/>
        <v>Y</v>
      </c>
      <c r="BU2261" s="109">
        <f t="shared" si="1681"/>
        <v>0.70238095238095233</v>
      </c>
      <c r="BV2261" s="109">
        <f t="shared" si="1672"/>
        <v>1.1904761904761904E-2</v>
      </c>
      <c r="BW2261" s="109">
        <f t="shared" si="1650"/>
        <v>-0.69047619047619047</v>
      </c>
      <c r="BX2261" s="111">
        <f t="shared" si="1673"/>
        <v>0</v>
      </c>
      <c r="BY2261" s="129">
        <f t="shared" si="1674"/>
        <v>-2</v>
      </c>
      <c r="BZ2261" s="111">
        <f t="shared" si="1675"/>
        <v>116</v>
      </c>
      <c r="CA2261" s="138">
        <f t="shared" si="1676"/>
        <v>168</v>
      </c>
      <c r="CB2261" s="111">
        <v>118</v>
      </c>
      <c r="CC2261" s="129">
        <f>G2261-I2261+1</f>
        <v>168</v>
      </c>
      <c r="CD2261" s="129">
        <f>G2261-J2261</f>
        <v>166</v>
      </c>
      <c r="CG2261" s="129" t="str">
        <f t="shared" si="1677"/>
        <v>Y</v>
      </c>
      <c r="CI2261" s="129" t="str">
        <f t="shared" si="1682"/>
        <v>91-120 DAYS</v>
      </c>
      <c r="CJ2261" s="137">
        <f t="shared" si="1683"/>
        <v>0</v>
      </c>
      <c r="CK2261" s="129" t="str">
        <f t="shared" si="1684"/>
        <v>Booked</v>
      </c>
    </row>
    <row r="2262" spans="1:89" ht="15.75" customHeight="1" x14ac:dyDescent="0.25">
      <c r="A2262" s="111">
        <v>2565</v>
      </c>
      <c r="B2262" s="128" t="str">
        <f t="shared" si="1667"/>
        <v>N</v>
      </c>
      <c r="C2262" s="128" t="str">
        <f t="shared" si="1668"/>
        <v>N</v>
      </c>
      <c r="D2262" s="117">
        <v>2489994</v>
      </c>
      <c r="E2262" s="135">
        <f t="shared" si="1669"/>
        <v>2</v>
      </c>
      <c r="F2262" s="124">
        <v>41004</v>
      </c>
      <c r="G2262" s="125">
        <v>41115</v>
      </c>
      <c r="H2262" s="117">
        <v>2489994</v>
      </c>
      <c r="I2262" s="124" t="s">
        <v>562</v>
      </c>
      <c r="J2262" s="124" t="s">
        <v>562</v>
      </c>
      <c r="K2262" s="126">
        <v>2000</v>
      </c>
      <c r="L2262" s="127" t="s">
        <v>568</v>
      </c>
      <c r="M2262" s="125">
        <v>41006</v>
      </c>
      <c r="N2262" s="129" t="str">
        <f>IF(M2262&gt;1/1/1,"Y",IF(Q2262="0","","N"))</f>
        <v>Y</v>
      </c>
      <c r="O2262" s="128" t="s">
        <v>76</v>
      </c>
      <c r="P2262" s="129" t="s">
        <v>589</v>
      </c>
      <c r="Q2262" s="111">
        <f t="shared" ref="Q2262:Q2308" si="1692">BF2262</f>
        <v>0</v>
      </c>
      <c r="R2262" s="111">
        <f t="shared" si="1691"/>
        <v>112</v>
      </c>
      <c r="S2262" s="129">
        <v>0</v>
      </c>
      <c r="T2262" s="129">
        <v>0</v>
      </c>
      <c r="W2262" s="111"/>
      <c r="AC2262" s="130"/>
      <c r="AD2262" s="130">
        <v>33828</v>
      </c>
      <c r="AE2262" s="128" t="s">
        <v>32</v>
      </c>
      <c r="AF2262" s="128" t="s">
        <v>69</v>
      </c>
      <c r="AG2262" s="128" t="s">
        <v>874</v>
      </c>
      <c r="AH2262" s="108" t="s">
        <v>31</v>
      </c>
      <c r="AI2262" s="128" t="s">
        <v>34</v>
      </c>
      <c r="AJ2262" s="129" t="s">
        <v>48</v>
      </c>
      <c r="AK2262" s="129">
        <v>5</v>
      </c>
      <c r="AL2262" s="3" t="s">
        <v>48</v>
      </c>
      <c r="AP2262" s="129" t="s">
        <v>107</v>
      </c>
      <c r="AR2262" s="128" t="s">
        <v>44</v>
      </c>
      <c r="AS2262" s="129" t="s">
        <v>57</v>
      </c>
      <c r="BC2262" s="129" t="s">
        <v>52</v>
      </c>
      <c r="BF2262" s="111">
        <v>0</v>
      </c>
      <c r="BG2262" s="111">
        <v>0</v>
      </c>
      <c r="BH2262" s="111">
        <f t="shared" si="1664"/>
        <v>112</v>
      </c>
      <c r="BI2262" s="111">
        <f t="shared" si="1665"/>
        <v>19.606557377049182</v>
      </c>
      <c r="BJ2262" s="129" t="e">
        <f>(G2262-J2262)+(M2262-G2262)</f>
        <v>#VALUE!</v>
      </c>
      <c r="BK2262" s="129" t="e">
        <f t="shared" si="1666"/>
        <v>#VALUE!</v>
      </c>
      <c r="BL2262" s="129" t="str">
        <f t="shared" si="1658"/>
        <v>DEFERRED</v>
      </c>
      <c r="BM2262" s="129" t="s">
        <v>76</v>
      </c>
      <c r="BN2262" s="129" t="s">
        <v>88</v>
      </c>
      <c r="BP2262" s="137" t="str">
        <f t="shared" si="1678"/>
        <v>DEFERRED</v>
      </c>
      <c r="BQ2262" s="128">
        <f t="shared" si="1670"/>
        <v>0</v>
      </c>
      <c r="BR2262" s="129" t="s">
        <v>575</v>
      </c>
      <c r="BS2262" s="129" t="str">
        <f t="shared" si="1680"/>
        <v>DISPOSED</v>
      </c>
      <c r="BT2262" s="129" t="str">
        <f t="shared" si="1671"/>
        <v>N</v>
      </c>
      <c r="BU2262" s="109">
        <f t="shared" si="1681"/>
        <v>0</v>
      </c>
      <c r="BV2262" s="109">
        <v>0</v>
      </c>
      <c r="BW2262" s="109">
        <f t="shared" si="1650"/>
        <v>0</v>
      </c>
      <c r="BX2262" s="111">
        <f t="shared" si="1673"/>
        <v>0</v>
      </c>
      <c r="BY2262" s="129" t="e">
        <f t="shared" si="1674"/>
        <v>#VALUE!</v>
      </c>
      <c r="BZ2262" s="111" t="e">
        <f t="shared" si="1675"/>
        <v>#VALUE!</v>
      </c>
      <c r="CA2262" s="138" t="e">
        <f t="shared" si="1676"/>
        <v>#VALUE!</v>
      </c>
      <c r="CB2262" s="111">
        <v>0</v>
      </c>
      <c r="CC2262" s="129">
        <v>0</v>
      </c>
      <c r="CD2262" s="111">
        <f>CC2262-BF2262</f>
        <v>0</v>
      </c>
      <c r="CG2262" s="129" t="str">
        <f t="shared" si="1677"/>
        <v>N</v>
      </c>
      <c r="CI2262" s="129" t="str">
        <f t="shared" si="1682"/>
        <v>0-10 DAYS</v>
      </c>
      <c r="CJ2262" s="137">
        <f t="shared" si="1683"/>
        <v>1</v>
      </c>
      <c r="CK2262" s="129" t="str">
        <f t="shared" si="1684"/>
        <v>Not Booked</v>
      </c>
    </row>
    <row r="2263" spans="1:89" ht="15" customHeight="1" x14ac:dyDescent="0.25">
      <c r="A2263" s="111">
        <v>498</v>
      </c>
      <c r="B2263" s="128" t="str">
        <f t="shared" si="1667"/>
        <v>N</v>
      </c>
      <c r="C2263" s="128" t="str">
        <f t="shared" si="1668"/>
        <v>N</v>
      </c>
      <c r="D2263" s="117">
        <v>2490823</v>
      </c>
      <c r="E2263" s="135">
        <f t="shared" si="1669"/>
        <v>6</v>
      </c>
      <c r="F2263" s="124">
        <v>40928</v>
      </c>
      <c r="G2263" s="125">
        <v>41368</v>
      </c>
      <c r="H2263" s="117">
        <v>2490823</v>
      </c>
      <c r="I2263" s="124">
        <v>40970</v>
      </c>
      <c r="J2263" s="125">
        <v>41368</v>
      </c>
      <c r="K2263" s="126">
        <v>120000</v>
      </c>
      <c r="L2263" s="129" t="s">
        <v>572</v>
      </c>
      <c r="N2263" s="129" t="str">
        <f>IF(M2263&gt;1/1/1,"Y","N")</f>
        <v>N</v>
      </c>
      <c r="O2263" s="128" t="s">
        <v>917</v>
      </c>
      <c r="P2263" s="129" t="s">
        <v>39</v>
      </c>
      <c r="Q2263" s="111">
        <f t="shared" si="1692"/>
        <v>399</v>
      </c>
      <c r="R2263" s="111">
        <f t="shared" si="1691"/>
        <v>441</v>
      </c>
      <c r="S2263" s="129">
        <v>0</v>
      </c>
      <c r="T2263" s="129">
        <v>2</v>
      </c>
      <c r="W2263" s="111"/>
      <c r="AC2263" s="130"/>
      <c r="AD2263" s="130">
        <v>33171</v>
      </c>
      <c r="AE2263" s="128" t="s">
        <v>32</v>
      </c>
      <c r="AF2263" s="128" t="s">
        <v>33</v>
      </c>
      <c r="AG2263" s="128" t="s">
        <v>872</v>
      </c>
      <c r="AH2263" s="108" t="s">
        <v>58</v>
      </c>
      <c r="AI2263" s="128" t="s">
        <v>59</v>
      </c>
      <c r="AJ2263" s="129" t="s">
        <v>89</v>
      </c>
      <c r="AK2263" s="129">
        <v>13</v>
      </c>
      <c r="AL2263" s="3" t="s">
        <v>362</v>
      </c>
      <c r="AM2263" s="117">
        <v>18</v>
      </c>
      <c r="AP2263" s="129" t="s">
        <v>105</v>
      </c>
      <c r="AR2263" s="128" t="s">
        <v>92</v>
      </c>
      <c r="AS2263" s="129" t="s">
        <v>106</v>
      </c>
      <c r="BC2263" s="129" t="s">
        <v>38</v>
      </c>
      <c r="BF2263" s="111">
        <f t="shared" ref="BF2263:BF2268" si="1693">IF(J2263&gt;1/1/1900,((J2263+1)-I2263),"STILL OPEN")</f>
        <v>399</v>
      </c>
      <c r="BG2263" s="111">
        <f t="shared" ref="BG2263:BG2268" si="1694">IF(G2263&gt;1/1/1900,((G2263+1)-I2263),"STILL OPEN")</f>
        <v>399</v>
      </c>
      <c r="BH2263" s="111">
        <f t="shared" si="1664"/>
        <v>441</v>
      </c>
      <c r="BI2263" s="111">
        <f t="shared" si="1665"/>
        <v>21.193989071038253</v>
      </c>
      <c r="BJ2263" s="129">
        <f t="shared" si="1685"/>
        <v>0</v>
      </c>
      <c r="BK2263" s="129">
        <f t="shared" si="1666"/>
        <v>0</v>
      </c>
      <c r="BL2263" s="129" t="str">
        <f t="shared" si="1658"/>
        <v>CONVICTION</v>
      </c>
      <c r="BM2263" s="129" t="str">
        <f t="shared" si="1686"/>
        <v>NONE</v>
      </c>
      <c r="BN2263" s="129" t="s">
        <v>566</v>
      </c>
      <c r="BP2263" s="137" t="str">
        <f t="shared" si="1678"/>
        <v>CONVICTION</v>
      </c>
      <c r="BQ2263" s="128" t="str">
        <f t="shared" si="1670"/>
        <v>Y</v>
      </c>
      <c r="BR2263" s="129" t="str">
        <f t="shared" si="1679"/>
        <v>DETAINED</v>
      </c>
      <c r="BS2263" s="129" t="str">
        <f t="shared" si="1680"/>
        <v>DISPOSED</v>
      </c>
      <c r="BT2263" s="129" t="str">
        <f t="shared" si="1671"/>
        <v>N</v>
      </c>
      <c r="BU2263" s="109">
        <f t="shared" si="1681"/>
        <v>0.90476190476190477</v>
      </c>
      <c r="BV2263" s="109">
        <f t="shared" si="1672"/>
        <v>1</v>
      </c>
      <c r="BW2263" s="109">
        <f t="shared" si="1650"/>
        <v>9.5238095238095233E-2</v>
      </c>
      <c r="BX2263" s="111">
        <f t="shared" si="1673"/>
        <v>0</v>
      </c>
      <c r="BY2263" s="129">
        <f t="shared" si="1674"/>
        <v>-399</v>
      </c>
      <c r="BZ2263" s="111">
        <f t="shared" si="1675"/>
        <v>0</v>
      </c>
      <c r="CA2263" s="138">
        <f t="shared" si="1676"/>
        <v>399</v>
      </c>
      <c r="CB2263" s="111" t="e">
        <f t="shared" ref="CB2263:CB2268" si="1695">IF(AF2263&gt;1/1/1900,((AF2263+1)-AE2263),"STILL OPEN")</f>
        <v>#VALUE!</v>
      </c>
      <c r="CC2263" s="129">
        <f>G2263-I2263+1</f>
        <v>399</v>
      </c>
      <c r="CD2263" s="129">
        <f>G2263-J2263</f>
        <v>0</v>
      </c>
      <c r="CG2263" s="129" t="str">
        <f t="shared" si="1677"/>
        <v>Y</v>
      </c>
      <c r="CI2263" s="129" t="str">
        <f t="shared" si="1682"/>
        <v xml:space="preserve"> &gt;1YRS&lt;2YRS</v>
      </c>
      <c r="CJ2263" s="137">
        <f t="shared" si="1683"/>
        <v>0</v>
      </c>
      <c r="CK2263" s="129" t="str">
        <f t="shared" si="1684"/>
        <v>Booked</v>
      </c>
    </row>
    <row r="2264" spans="1:89" ht="15.75" customHeight="1" x14ac:dyDescent="0.25">
      <c r="A2264" s="111">
        <v>316</v>
      </c>
      <c r="B2264" s="128" t="str">
        <f t="shared" si="1667"/>
        <v>N</v>
      </c>
      <c r="C2264" s="128" t="str">
        <f t="shared" si="1668"/>
        <v>N</v>
      </c>
      <c r="D2264" s="117">
        <v>2490837</v>
      </c>
      <c r="E2264" s="135">
        <f t="shared" si="1669"/>
        <v>6</v>
      </c>
      <c r="F2264" s="124">
        <v>40921</v>
      </c>
      <c r="G2264" s="125">
        <v>41466</v>
      </c>
      <c r="H2264" s="117">
        <v>2490837</v>
      </c>
      <c r="I2264" s="124">
        <v>40921</v>
      </c>
      <c r="J2264" s="125">
        <v>41466</v>
      </c>
      <c r="K2264" s="126">
        <v>250000</v>
      </c>
      <c r="L2264" s="129" t="s">
        <v>572</v>
      </c>
      <c r="N2264" s="129" t="str">
        <f>IF(M2264&gt;1/1/1,"Y","N")</f>
        <v>N</v>
      </c>
      <c r="O2264" s="128" t="s">
        <v>917</v>
      </c>
      <c r="P2264" s="129" t="s">
        <v>39</v>
      </c>
      <c r="Q2264" s="111">
        <f t="shared" si="1692"/>
        <v>546</v>
      </c>
      <c r="R2264" s="111">
        <f t="shared" si="1691"/>
        <v>546</v>
      </c>
      <c r="S2264" s="129">
        <v>0</v>
      </c>
      <c r="T2264" s="129">
        <v>2</v>
      </c>
      <c r="W2264" s="111"/>
      <c r="AC2264" s="130"/>
      <c r="AD2264" s="130">
        <v>34029</v>
      </c>
      <c r="AE2264" s="128" t="s">
        <v>32</v>
      </c>
      <c r="AF2264" s="128" t="s">
        <v>33</v>
      </c>
      <c r="AG2264" s="128" t="s">
        <v>872</v>
      </c>
      <c r="AH2264" s="108" t="s">
        <v>58</v>
      </c>
      <c r="AI2264" s="128" t="s">
        <v>70</v>
      </c>
      <c r="AJ2264" s="129" t="s">
        <v>89</v>
      </c>
      <c r="AK2264" s="129">
        <v>20</v>
      </c>
      <c r="AL2264" s="3" t="s">
        <v>362</v>
      </c>
      <c r="AM2264" s="117">
        <v>10</v>
      </c>
      <c r="AP2264" s="129" t="s">
        <v>105</v>
      </c>
      <c r="AR2264" s="128" t="s">
        <v>92</v>
      </c>
      <c r="AS2264" s="129" t="s">
        <v>106</v>
      </c>
      <c r="BC2264" s="129" t="s">
        <v>38</v>
      </c>
      <c r="BF2264" s="111">
        <f t="shared" si="1693"/>
        <v>546</v>
      </c>
      <c r="BG2264" s="111">
        <f t="shared" si="1694"/>
        <v>546</v>
      </c>
      <c r="BH2264" s="111">
        <f t="shared" si="1664"/>
        <v>546</v>
      </c>
      <c r="BI2264" s="111">
        <f t="shared" si="1665"/>
        <v>18.830601092896174</v>
      </c>
      <c r="BJ2264" s="129">
        <f t="shared" si="1685"/>
        <v>0</v>
      </c>
      <c r="BK2264" s="129">
        <f t="shared" si="1666"/>
        <v>0</v>
      </c>
      <c r="BL2264" s="129" t="str">
        <f t="shared" si="1658"/>
        <v>CONVICTION</v>
      </c>
      <c r="BM2264" s="129" t="str">
        <f t="shared" si="1686"/>
        <v>NONE</v>
      </c>
      <c r="BN2264" s="129" t="s">
        <v>566</v>
      </c>
      <c r="BP2264" s="137" t="str">
        <f t="shared" si="1678"/>
        <v>CONVICTION</v>
      </c>
      <c r="BQ2264" s="128" t="str">
        <f t="shared" si="1670"/>
        <v>Y</v>
      </c>
      <c r="BR2264" s="129" t="str">
        <f t="shared" si="1679"/>
        <v>DETAINED</v>
      </c>
      <c r="BS2264" s="129" t="str">
        <f t="shared" si="1680"/>
        <v>DISPOSED</v>
      </c>
      <c r="BT2264" s="129" t="str">
        <f t="shared" si="1671"/>
        <v>N</v>
      </c>
      <c r="BU2264" s="109">
        <f t="shared" si="1681"/>
        <v>1</v>
      </c>
      <c r="BV2264" s="109">
        <f t="shared" si="1672"/>
        <v>1</v>
      </c>
      <c r="BW2264" s="109">
        <f t="shared" si="1650"/>
        <v>0</v>
      </c>
      <c r="BX2264" s="111">
        <f t="shared" si="1673"/>
        <v>0</v>
      </c>
      <c r="BY2264" s="129">
        <f t="shared" si="1674"/>
        <v>-546</v>
      </c>
      <c r="BZ2264" s="111">
        <f t="shared" si="1675"/>
        <v>0</v>
      </c>
      <c r="CA2264" s="138">
        <f t="shared" si="1676"/>
        <v>546</v>
      </c>
      <c r="CB2264" s="111" t="e">
        <f t="shared" si="1695"/>
        <v>#VALUE!</v>
      </c>
      <c r="CC2264" s="129">
        <f>G2264-I2264+1</f>
        <v>546</v>
      </c>
      <c r="CD2264" s="129">
        <f>G2264-J2264</f>
        <v>0</v>
      </c>
      <c r="CG2264" s="129" t="str">
        <f t="shared" si="1677"/>
        <v>Y</v>
      </c>
      <c r="CI2264" s="129" t="str">
        <f t="shared" si="1682"/>
        <v xml:space="preserve"> &gt;1YRS&lt;2YRS</v>
      </c>
      <c r="CJ2264" s="137">
        <f t="shared" si="1683"/>
        <v>0</v>
      </c>
      <c r="CK2264" s="129" t="str">
        <f t="shared" si="1684"/>
        <v>Booked</v>
      </c>
    </row>
    <row r="2265" spans="1:89" ht="15.75" customHeight="1" x14ac:dyDescent="0.25">
      <c r="A2265" s="111">
        <v>1435</v>
      </c>
      <c r="B2265" s="128" t="str">
        <f t="shared" si="1667"/>
        <v>N</v>
      </c>
      <c r="C2265" s="128" t="str">
        <f t="shared" si="1668"/>
        <v>N</v>
      </c>
      <c r="D2265" s="117">
        <v>2490960</v>
      </c>
      <c r="E2265" s="135">
        <f t="shared" si="1669"/>
        <v>2</v>
      </c>
      <c r="F2265" s="124">
        <v>40961</v>
      </c>
      <c r="G2265" s="125">
        <v>41025</v>
      </c>
      <c r="H2265" s="117">
        <v>2490960</v>
      </c>
      <c r="I2265" s="124">
        <v>40962</v>
      </c>
      <c r="J2265" s="124">
        <v>40963</v>
      </c>
      <c r="K2265" s="126">
        <v>2000</v>
      </c>
      <c r="L2265" s="127" t="s">
        <v>568</v>
      </c>
      <c r="M2265" s="125">
        <v>40963</v>
      </c>
      <c r="N2265" s="129" t="str">
        <f>IF(M2265&gt;1/1/1,"Y","N")</f>
        <v>Y</v>
      </c>
      <c r="O2265" s="128" t="s">
        <v>585</v>
      </c>
      <c r="P2265" s="129" t="s">
        <v>589</v>
      </c>
      <c r="Q2265" s="111">
        <f t="shared" si="1692"/>
        <v>2</v>
      </c>
      <c r="R2265" s="111">
        <f t="shared" si="1691"/>
        <v>65</v>
      </c>
      <c r="S2265" s="129">
        <v>0</v>
      </c>
      <c r="T2265" s="129">
        <v>1</v>
      </c>
      <c r="W2265" s="111"/>
      <c r="AB2265" s="131" t="s">
        <v>112</v>
      </c>
      <c r="AC2265" s="130"/>
      <c r="AD2265" s="130">
        <v>32760</v>
      </c>
      <c r="AE2265" s="128" t="s">
        <v>32</v>
      </c>
      <c r="AF2265" s="128" t="s">
        <v>40</v>
      </c>
      <c r="AG2265" s="128" t="s">
        <v>41</v>
      </c>
      <c r="AH2265" s="108" t="s">
        <v>31</v>
      </c>
      <c r="AI2265" s="128" t="s">
        <v>53</v>
      </c>
      <c r="AJ2265" s="129" t="s">
        <v>48</v>
      </c>
      <c r="AK2265" s="129">
        <v>4</v>
      </c>
      <c r="AL2265" s="3" t="s">
        <v>48</v>
      </c>
      <c r="AP2265" s="129" t="s">
        <v>43</v>
      </c>
      <c r="AR2265" s="128" t="s">
        <v>44</v>
      </c>
      <c r="AS2265" s="129" t="s">
        <v>45</v>
      </c>
      <c r="BC2265" s="129" t="s">
        <v>52</v>
      </c>
      <c r="BF2265" s="111">
        <f t="shared" si="1693"/>
        <v>2</v>
      </c>
      <c r="BG2265" s="111">
        <f t="shared" si="1694"/>
        <v>64</v>
      </c>
      <c r="BH2265" s="111">
        <f t="shared" si="1664"/>
        <v>65</v>
      </c>
      <c r="BI2265" s="111">
        <f t="shared" si="1665"/>
        <v>22.407103825136613</v>
      </c>
      <c r="BJ2265" s="129">
        <f>(G2265-J2265)+(M2265-G2265)</f>
        <v>0</v>
      </c>
      <c r="BK2265" s="129">
        <f t="shared" si="1666"/>
        <v>-62</v>
      </c>
      <c r="BL2265" s="129" t="str">
        <f t="shared" si="1658"/>
        <v>DEFERRED</v>
      </c>
      <c r="BM2265" s="129" t="s">
        <v>76</v>
      </c>
      <c r="BN2265" s="129" t="s">
        <v>88</v>
      </c>
      <c r="BP2265" s="137" t="str">
        <f t="shared" si="1678"/>
        <v>DEFERRED</v>
      </c>
      <c r="BQ2265" s="128" t="str">
        <f t="shared" si="1670"/>
        <v>Y</v>
      </c>
      <c r="BR2265" s="129" t="str">
        <f t="shared" si="1679"/>
        <v>ON BOND</v>
      </c>
      <c r="BS2265" s="129" t="str">
        <f t="shared" si="1680"/>
        <v>DISPOSED</v>
      </c>
      <c r="BT2265" s="129" t="str">
        <f t="shared" si="1671"/>
        <v>N</v>
      </c>
      <c r="BU2265" s="109">
        <f t="shared" si="1681"/>
        <v>3.0769230769230771E-2</v>
      </c>
      <c r="BV2265" s="109">
        <f t="shared" si="1672"/>
        <v>3.125E-2</v>
      </c>
      <c r="BW2265" s="109">
        <f t="shared" si="1650"/>
        <v>4.8076923076922906E-4</v>
      </c>
      <c r="BX2265" s="111">
        <f t="shared" si="1673"/>
        <v>0</v>
      </c>
      <c r="BY2265" s="129">
        <f t="shared" si="1674"/>
        <v>-2</v>
      </c>
      <c r="BZ2265" s="111">
        <f t="shared" si="1675"/>
        <v>0</v>
      </c>
      <c r="CA2265" s="138">
        <f t="shared" si="1676"/>
        <v>2</v>
      </c>
      <c r="CB2265" s="111" t="e">
        <f t="shared" si="1695"/>
        <v>#VALUE!</v>
      </c>
      <c r="CC2265" s="129">
        <f>M2265-I2265+1</f>
        <v>2</v>
      </c>
      <c r="CD2265" s="111">
        <f>CC2265-BF2265</f>
        <v>0</v>
      </c>
      <c r="CG2265" s="129" t="str">
        <f t="shared" si="1677"/>
        <v>Y</v>
      </c>
      <c r="CI2265" s="129" t="str">
        <f t="shared" si="1682"/>
        <v>0-10 DAYS</v>
      </c>
      <c r="CJ2265" s="137">
        <f t="shared" si="1683"/>
        <v>1</v>
      </c>
      <c r="CK2265" s="129" t="str">
        <f t="shared" si="1684"/>
        <v>Booked</v>
      </c>
    </row>
    <row r="2266" spans="1:89" ht="15" customHeight="1" x14ac:dyDescent="0.25">
      <c r="A2266" s="111">
        <v>810</v>
      </c>
      <c r="B2266" s="128" t="str">
        <f t="shared" si="1667"/>
        <v>N</v>
      </c>
      <c r="C2266" s="128" t="str">
        <f t="shared" si="1668"/>
        <v>N</v>
      </c>
      <c r="D2266" s="117">
        <v>2491046</v>
      </c>
      <c r="E2266" s="135">
        <f t="shared" si="1669"/>
        <v>5</v>
      </c>
      <c r="F2266" s="124">
        <v>40940</v>
      </c>
      <c r="G2266" s="125">
        <v>40981</v>
      </c>
      <c r="H2266" s="117">
        <v>2491046</v>
      </c>
      <c r="I2266" s="124">
        <v>40940</v>
      </c>
      <c r="J2266" s="124">
        <v>40981</v>
      </c>
      <c r="K2266" s="126" t="s">
        <v>564</v>
      </c>
      <c r="L2266" s="127" t="s">
        <v>564</v>
      </c>
      <c r="N2266" s="129" t="s">
        <v>566</v>
      </c>
      <c r="O2266" s="128" t="s">
        <v>917</v>
      </c>
      <c r="P2266" s="129" t="s">
        <v>39</v>
      </c>
      <c r="Q2266" s="111">
        <f t="shared" si="1692"/>
        <v>42</v>
      </c>
      <c r="R2266" s="111">
        <f t="shared" si="1691"/>
        <v>42</v>
      </c>
      <c r="S2266" s="129">
        <v>0</v>
      </c>
      <c r="T2266" s="129">
        <v>1</v>
      </c>
      <c r="W2266" s="111"/>
      <c r="AC2266" s="130"/>
      <c r="AD2266" s="130">
        <v>30688</v>
      </c>
      <c r="AE2266" s="128" t="s">
        <v>32</v>
      </c>
      <c r="AF2266" s="128" t="s">
        <v>33</v>
      </c>
      <c r="AG2266" s="128" t="s">
        <v>872</v>
      </c>
      <c r="AH2266" s="108" t="s">
        <v>31</v>
      </c>
      <c r="AI2266" s="128" t="s">
        <v>42</v>
      </c>
      <c r="AJ2266" s="129" t="s">
        <v>89</v>
      </c>
      <c r="AK2266" s="129">
        <v>3</v>
      </c>
      <c r="AL2266" s="3" t="s">
        <v>992</v>
      </c>
      <c r="AN2266" s="117">
        <v>6</v>
      </c>
      <c r="AP2266" s="129" t="s">
        <v>43</v>
      </c>
      <c r="AR2266" s="128" t="s">
        <v>44</v>
      </c>
      <c r="AS2266" s="129" t="s">
        <v>45</v>
      </c>
      <c r="BC2266" s="129" t="s">
        <v>38</v>
      </c>
      <c r="BF2266" s="111">
        <f t="shared" si="1693"/>
        <v>42</v>
      </c>
      <c r="BG2266" s="111">
        <f t="shared" si="1694"/>
        <v>42</v>
      </c>
      <c r="BH2266" s="111">
        <f t="shared" si="1664"/>
        <v>42</v>
      </c>
      <c r="BI2266" s="111">
        <f t="shared" si="1665"/>
        <v>28.010928961748633</v>
      </c>
      <c r="BJ2266" s="129">
        <f t="shared" si="1685"/>
        <v>0</v>
      </c>
      <c r="BK2266" s="129">
        <f t="shared" si="1666"/>
        <v>0</v>
      </c>
      <c r="BL2266" s="129" t="str">
        <f t="shared" si="1658"/>
        <v>CONVICTION</v>
      </c>
      <c r="BM2266" s="129" t="str">
        <f t="shared" si="1686"/>
        <v>NONE</v>
      </c>
      <c r="BN2266" s="129" t="s">
        <v>566</v>
      </c>
      <c r="BP2266" s="137" t="str">
        <f t="shared" si="1678"/>
        <v>CONVICTION</v>
      </c>
      <c r="BQ2266" s="128" t="str">
        <f t="shared" si="1670"/>
        <v>Y</v>
      </c>
      <c r="BR2266" s="129" t="str">
        <f t="shared" si="1679"/>
        <v>DETAINED</v>
      </c>
      <c r="BS2266" s="129" t="str">
        <f t="shared" si="1680"/>
        <v>DISPOSED</v>
      </c>
      <c r="BT2266" s="129" t="str">
        <f t="shared" si="1671"/>
        <v>N</v>
      </c>
      <c r="BU2266" s="109">
        <f t="shared" si="1681"/>
        <v>1</v>
      </c>
      <c r="BV2266" s="109">
        <f t="shared" si="1672"/>
        <v>1</v>
      </c>
      <c r="BW2266" s="109">
        <f t="shared" si="1650"/>
        <v>0</v>
      </c>
      <c r="BX2266" s="111">
        <f t="shared" si="1673"/>
        <v>0</v>
      </c>
      <c r="BY2266" s="129">
        <f t="shared" si="1674"/>
        <v>-42</v>
      </c>
      <c r="BZ2266" s="111">
        <f t="shared" si="1675"/>
        <v>0</v>
      </c>
      <c r="CA2266" s="138">
        <f t="shared" si="1676"/>
        <v>42</v>
      </c>
      <c r="CB2266" s="111" t="e">
        <f t="shared" si="1695"/>
        <v>#VALUE!</v>
      </c>
      <c r="CC2266" s="129">
        <f>G2266-I2266+1</f>
        <v>42</v>
      </c>
      <c r="CD2266" s="129">
        <f>G2266-J2266</f>
        <v>0</v>
      </c>
      <c r="CG2266" s="129" t="str">
        <f t="shared" si="1677"/>
        <v>Y</v>
      </c>
      <c r="CI2266" s="129" t="str">
        <f t="shared" si="1682"/>
        <v>31-60 DAYS</v>
      </c>
      <c r="CJ2266" s="137">
        <f t="shared" si="1683"/>
        <v>3</v>
      </c>
      <c r="CK2266" s="129" t="str">
        <f t="shared" si="1684"/>
        <v>Booked</v>
      </c>
    </row>
    <row r="2267" spans="1:89" ht="15.75" customHeight="1" x14ac:dyDescent="0.25">
      <c r="A2267" s="111">
        <v>644</v>
      </c>
      <c r="B2267" s="128" t="str">
        <f t="shared" si="1667"/>
        <v>N</v>
      </c>
      <c r="C2267" s="128" t="str">
        <f t="shared" si="1668"/>
        <v>N</v>
      </c>
      <c r="D2267" s="117">
        <v>2491250</v>
      </c>
      <c r="E2267" s="135">
        <f t="shared" si="1669"/>
        <v>6</v>
      </c>
      <c r="F2267" s="124">
        <v>40934</v>
      </c>
      <c r="G2267" s="125">
        <v>41024</v>
      </c>
      <c r="H2267" s="117">
        <v>2491250</v>
      </c>
      <c r="I2267" s="124">
        <v>40935</v>
      </c>
      <c r="J2267" s="124">
        <v>41024</v>
      </c>
      <c r="K2267" s="126">
        <v>30000</v>
      </c>
      <c r="L2267" s="129" t="s">
        <v>572</v>
      </c>
      <c r="N2267" s="129" t="str">
        <f>IF(M2267&gt;1/1/1,"Y","N")</f>
        <v>N</v>
      </c>
      <c r="O2267" s="128" t="s">
        <v>917</v>
      </c>
      <c r="P2267" s="129" t="s">
        <v>39</v>
      </c>
      <c r="Q2267" s="111">
        <f t="shared" si="1692"/>
        <v>90</v>
      </c>
      <c r="R2267" s="111">
        <f t="shared" si="1691"/>
        <v>91</v>
      </c>
      <c r="S2267" s="129">
        <v>0</v>
      </c>
      <c r="T2267" s="129">
        <v>1</v>
      </c>
      <c r="W2267" s="111"/>
      <c r="AB2267" s="131" t="s">
        <v>112</v>
      </c>
      <c r="AC2267" s="130"/>
      <c r="AD2267" s="130">
        <v>33956</v>
      </c>
      <c r="AE2267" s="128" t="s">
        <v>32</v>
      </c>
      <c r="AF2267" s="128" t="s">
        <v>40</v>
      </c>
      <c r="AG2267" s="128" t="s">
        <v>41</v>
      </c>
      <c r="AH2267" s="108" t="s">
        <v>31</v>
      </c>
      <c r="AI2267" s="128" t="s">
        <v>141</v>
      </c>
      <c r="AJ2267" s="129" t="s">
        <v>89</v>
      </c>
      <c r="AK2267" s="129">
        <v>5</v>
      </c>
      <c r="AL2267" s="3" t="s">
        <v>362</v>
      </c>
      <c r="AM2267" s="117">
        <v>1</v>
      </c>
      <c r="AP2267" s="129" t="s">
        <v>237</v>
      </c>
      <c r="AR2267" s="128" t="s">
        <v>44</v>
      </c>
      <c r="AS2267" s="129" t="s">
        <v>61</v>
      </c>
      <c r="BC2267" s="129" t="s">
        <v>38</v>
      </c>
      <c r="BF2267" s="111">
        <f t="shared" si="1693"/>
        <v>90</v>
      </c>
      <c r="BG2267" s="111">
        <f t="shared" si="1694"/>
        <v>90</v>
      </c>
      <c r="BH2267" s="111">
        <f t="shared" si="1664"/>
        <v>91</v>
      </c>
      <c r="BI2267" s="111">
        <f t="shared" si="1665"/>
        <v>19.065573770491802</v>
      </c>
      <c r="BJ2267" s="129">
        <f t="shared" si="1685"/>
        <v>0</v>
      </c>
      <c r="BK2267" s="129">
        <f t="shared" si="1666"/>
        <v>0</v>
      </c>
      <c r="BL2267" s="129" t="str">
        <f t="shared" si="1658"/>
        <v>CONVICTION</v>
      </c>
      <c r="BM2267" s="129" t="str">
        <f t="shared" si="1686"/>
        <v>NONE</v>
      </c>
      <c r="BN2267" s="129" t="s">
        <v>566</v>
      </c>
      <c r="BP2267" s="137" t="str">
        <f t="shared" si="1678"/>
        <v>CONVICTION</v>
      </c>
      <c r="BQ2267" s="128" t="str">
        <f t="shared" si="1670"/>
        <v>Y</v>
      </c>
      <c r="BR2267" s="129" t="str">
        <f t="shared" si="1679"/>
        <v>DETAINED</v>
      </c>
      <c r="BS2267" s="129" t="str">
        <f t="shared" si="1680"/>
        <v>DISPOSED</v>
      </c>
      <c r="BT2267" s="129" t="str">
        <f t="shared" si="1671"/>
        <v>N</v>
      </c>
      <c r="BU2267" s="109">
        <f t="shared" si="1681"/>
        <v>0.98901098901098905</v>
      </c>
      <c r="BV2267" s="109">
        <f t="shared" si="1672"/>
        <v>1</v>
      </c>
      <c r="BW2267" s="109">
        <f t="shared" si="1650"/>
        <v>1.098901098901095E-2</v>
      </c>
      <c r="BX2267" s="111">
        <f t="shared" si="1673"/>
        <v>0</v>
      </c>
      <c r="BY2267" s="129">
        <f t="shared" si="1674"/>
        <v>-90</v>
      </c>
      <c r="BZ2267" s="111">
        <f t="shared" si="1675"/>
        <v>0</v>
      </c>
      <c r="CA2267" s="138">
        <f t="shared" si="1676"/>
        <v>90</v>
      </c>
      <c r="CB2267" s="111" t="e">
        <f t="shared" si="1695"/>
        <v>#VALUE!</v>
      </c>
      <c r="CC2267" s="129">
        <f>G2267-I2267+1</f>
        <v>90</v>
      </c>
      <c r="CD2267" s="129">
        <f>G2267-J2267</f>
        <v>0</v>
      </c>
      <c r="CG2267" s="129" t="str">
        <f t="shared" si="1677"/>
        <v>Y</v>
      </c>
      <c r="CI2267" s="129" t="str">
        <f t="shared" si="1682"/>
        <v>61-90 DAYS</v>
      </c>
      <c r="CJ2267" s="137">
        <f t="shared" si="1683"/>
        <v>4</v>
      </c>
      <c r="CK2267" s="129" t="str">
        <f t="shared" si="1684"/>
        <v>Booked</v>
      </c>
    </row>
    <row r="2268" spans="1:89" ht="15" customHeight="1" x14ac:dyDescent="0.25">
      <c r="A2268" s="111">
        <v>945</v>
      </c>
      <c r="B2268" s="128" t="str">
        <f t="shared" si="1667"/>
        <v>N</v>
      </c>
      <c r="C2268" s="128" t="str">
        <f t="shared" si="1668"/>
        <v>N</v>
      </c>
      <c r="D2268" s="117">
        <v>2491714</v>
      </c>
      <c r="E2268" s="135">
        <f t="shared" si="1669"/>
        <v>6</v>
      </c>
      <c r="F2268" s="124">
        <v>40943</v>
      </c>
      <c r="G2268" s="125">
        <v>41016</v>
      </c>
      <c r="H2268" s="117">
        <v>2491714</v>
      </c>
      <c r="I2268" s="124">
        <v>40944</v>
      </c>
      <c r="J2268" s="124">
        <v>41016</v>
      </c>
      <c r="K2268" s="126">
        <v>15000</v>
      </c>
      <c r="L2268" s="127" t="s">
        <v>571</v>
      </c>
      <c r="N2268" s="129" t="str">
        <f>IF(M2268&gt;1/1/1,"Y","N")</f>
        <v>N</v>
      </c>
      <c r="O2268" s="128" t="s">
        <v>917</v>
      </c>
      <c r="P2268" s="129" t="s">
        <v>39</v>
      </c>
      <c r="Q2268" s="111">
        <f t="shared" si="1692"/>
        <v>73</v>
      </c>
      <c r="R2268" s="111">
        <f t="shared" si="1691"/>
        <v>74</v>
      </c>
      <c r="S2268" s="129">
        <v>1</v>
      </c>
      <c r="T2268" s="129">
        <v>1</v>
      </c>
      <c r="U2268" s="129">
        <v>1</v>
      </c>
      <c r="W2268" s="111"/>
      <c r="AC2268" s="130"/>
      <c r="AD2268" s="130">
        <v>34001</v>
      </c>
      <c r="AE2268" s="128" t="s">
        <v>32</v>
      </c>
      <c r="AF2268" s="128" t="s">
        <v>33</v>
      </c>
      <c r="AG2268" s="128" t="s">
        <v>872</v>
      </c>
      <c r="AH2268" s="108" t="s">
        <v>58</v>
      </c>
      <c r="AI2268" s="128" t="s">
        <v>141</v>
      </c>
      <c r="AJ2268" s="129" t="s">
        <v>89</v>
      </c>
      <c r="AK2268" s="129">
        <v>4</v>
      </c>
      <c r="AL2268" s="3" t="s">
        <v>362</v>
      </c>
      <c r="AM2268" s="117">
        <v>1</v>
      </c>
      <c r="AP2268" s="129" t="s">
        <v>107</v>
      </c>
      <c r="AR2268" s="128" t="s">
        <v>44</v>
      </c>
      <c r="AS2268" s="129" t="s">
        <v>57</v>
      </c>
      <c r="BC2268" s="129" t="s">
        <v>38</v>
      </c>
      <c r="BF2268" s="111">
        <f t="shared" si="1693"/>
        <v>73</v>
      </c>
      <c r="BG2268" s="111">
        <f t="shared" si="1694"/>
        <v>73</v>
      </c>
      <c r="BH2268" s="111">
        <f t="shared" si="1664"/>
        <v>74</v>
      </c>
      <c r="BI2268" s="111">
        <f t="shared" si="1665"/>
        <v>18.967213114754099</v>
      </c>
      <c r="BJ2268" s="129">
        <f t="shared" si="1685"/>
        <v>0</v>
      </c>
      <c r="BK2268" s="129">
        <f t="shared" si="1666"/>
        <v>0</v>
      </c>
      <c r="BL2268" s="129" t="str">
        <f t="shared" si="1658"/>
        <v>CONVICTION</v>
      </c>
      <c r="BM2268" s="129" t="str">
        <f t="shared" si="1686"/>
        <v>NONE</v>
      </c>
      <c r="BN2268" s="129" t="s">
        <v>566</v>
      </c>
      <c r="BP2268" s="137" t="str">
        <f t="shared" si="1678"/>
        <v>CONVICTION</v>
      </c>
      <c r="BQ2268" s="128" t="str">
        <f t="shared" si="1670"/>
        <v>Y</v>
      </c>
      <c r="BR2268" s="129" t="str">
        <f t="shared" si="1679"/>
        <v>DETAINED</v>
      </c>
      <c r="BS2268" s="129" t="str">
        <f t="shared" si="1680"/>
        <v>DISPOSED</v>
      </c>
      <c r="BT2268" s="129" t="str">
        <f t="shared" si="1671"/>
        <v>Y</v>
      </c>
      <c r="BU2268" s="109">
        <f t="shared" si="1681"/>
        <v>0.98648648648648651</v>
      </c>
      <c r="BV2268" s="109">
        <f t="shared" si="1672"/>
        <v>1</v>
      </c>
      <c r="BW2268" s="109">
        <f t="shared" si="1650"/>
        <v>1.3513513513513487E-2</v>
      </c>
      <c r="BX2268" s="111">
        <f t="shared" si="1673"/>
        <v>0</v>
      </c>
      <c r="BY2268" s="129">
        <f t="shared" si="1674"/>
        <v>-73</v>
      </c>
      <c r="BZ2268" s="111">
        <f t="shared" si="1675"/>
        <v>0</v>
      </c>
      <c r="CA2268" s="138">
        <f t="shared" si="1676"/>
        <v>73</v>
      </c>
      <c r="CB2268" s="111" t="e">
        <f t="shared" si="1695"/>
        <v>#VALUE!</v>
      </c>
      <c r="CC2268" s="129">
        <f>G2268-I2268+1</f>
        <v>73</v>
      </c>
      <c r="CD2268" s="129">
        <f>G2268-J2268</f>
        <v>0</v>
      </c>
      <c r="CG2268" s="129" t="str">
        <f t="shared" si="1677"/>
        <v>Y</v>
      </c>
      <c r="CI2268" s="129" t="str">
        <f t="shared" si="1682"/>
        <v>61-90 DAYS</v>
      </c>
      <c r="CJ2268" s="137">
        <f t="shared" si="1683"/>
        <v>4</v>
      </c>
      <c r="CK2268" s="129" t="str">
        <f t="shared" si="1684"/>
        <v>Booked</v>
      </c>
    </row>
    <row r="2269" spans="1:89" ht="15" customHeight="1" x14ac:dyDescent="0.25">
      <c r="A2269" s="111">
        <v>1906</v>
      </c>
      <c r="B2269" s="128" t="str">
        <f t="shared" si="1667"/>
        <v>N</v>
      </c>
      <c r="C2269" s="128" t="str">
        <f t="shared" si="1668"/>
        <v>N</v>
      </c>
      <c r="D2269" s="117">
        <v>2492333</v>
      </c>
      <c r="E2269" s="135">
        <f t="shared" si="1669"/>
        <v>1</v>
      </c>
      <c r="F2269" s="124">
        <v>40979</v>
      </c>
      <c r="G2269" s="125">
        <v>40981</v>
      </c>
      <c r="H2269" s="117">
        <v>2492333</v>
      </c>
      <c r="I2269" s="124" t="s">
        <v>562</v>
      </c>
      <c r="J2269" s="124" t="s">
        <v>562</v>
      </c>
      <c r="K2269" s="126">
        <v>2000</v>
      </c>
      <c r="L2269" s="127" t="s">
        <v>568</v>
      </c>
      <c r="N2269" s="124" t="s">
        <v>1343</v>
      </c>
      <c r="O2269" s="128" t="s">
        <v>917</v>
      </c>
      <c r="P2269" s="116" t="s">
        <v>55</v>
      </c>
      <c r="Q2269" s="111">
        <f t="shared" si="1692"/>
        <v>0</v>
      </c>
      <c r="R2269" s="111">
        <f t="shared" si="1691"/>
        <v>3</v>
      </c>
      <c r="S2269" s="129">
        <v>1</v>
      </c>
      <c r="T2269" s="129">
        <v>1</v>
      </c>
      <c r="W2269" s="111"/>
      <c r="AC2269" s="130"/>
      <c r="AD2269" s="130">
        <v>32773</v>
      </c>
      <c r="AE2269" s="128" t="s">
        <v>32</v>
      </c>
      <c r="AF2269" s="128" t="s">
        <v>33</v>
      </c>
      <c r="AG2269" s="128" t="s">
        <v>872</v>
      </c>
      <c r="AH2269" s="108" t="s">
        <v>31</v>
      </c>
      <c r="AI2269" s="128" t="s">
        <v>80</v>
      </c>
      <c r="AJ2269" s="129" t="s">
        <v>55</v>
      </c>
      <c r="AK2269" s="129">
        <v>1</v>
      </c>
      <c r="AL2269" s="3" t="s">
        <v>55</v>
      </c>
      <c r="AP2269" s="129" t="s">
        <v>104</v>
      </c>
      <c r="AR2269" s="128" t="s">
        <v>44</v>
      </c>
      <c r="AS2269" s="129" t="s">
        <v>64</v>
      </c>
      <c r="BC2269" s="129" t="s">
        <v>79</v>
      </c>
      <c r="BF2269" s="111">
        <v>0</v>
      </c>
      <c r="BG2269" s="111">
        <v>0</v>
      </c>
      <c r="BH2269" s="111">
        <f t="shared" si="1664"/>
        <v>3</v>
      </c>
      <c r="BI2269" s="111">
        <f t="shared" si="1665"/>
        <v>22.420765027322403</v>
      </c>
      <c r="BJ2269" s="129" t="e">
        <f>(G2269-J2269)+(M2269-G2269)</f>
        <v>#VALUE!</v>
      </c>
      <c r="BK2269" s="129" t="e">
        <f t="shared" si="1666"/>
        <v>#VALUE!</v>
      </c>
      <c r="BL2269" s="129" t="str">
        <f t="shared" si="1658"/>
        <v>NO CONVICTION</v>
      </c>
      <c r="BM2269" s="129" t="str">
        <f t="shared" si="1686"/>
        <v>NONE</v>
      </c>
      <c r="BN2269" s="129" t="s">
        <v>566</v>
      </c>
      <c r="BP2269" s="137" t="str">
        <f t="shared" si="1678"/>
        <v>NO CONVICTION</v>
      </c>
      <c r="BQ2269" s="128">
        <f t="shared" si="1670"/>
        <v>0</v>
      </c>
      <c r="BR2269" s="129" t="s">
        <v>1345</v>
      </c>
      <c r="BS2269" s="129" t="str">
        <f t="shared" si="1680"/>
        <v>DISPOSED</v>
      </c>
      <c r="BT2269" s="129" t="str">
        <f t="shared" si="1671"/>
        <v>Y</v>
      </c>
      <c r="BU2269" s="109">
        <f>IFERROR(Q2269/R2269,BR2269)</f>
        <v>0</v>
      </c>
      <c r="BV2269" s="109">
        <v>0</v>
      </c>
      <c r="BW2269" s="109">
        <f t="shared" si="1650"/>
        <v>0</v>
      </c>
      <c r="BX2269" s="111">
        <f t="shared" si="1673"/>
        <v>0</v>
      </c>
      <c r="BY2269" s="129" t="e">
        <f t="shared" si="1674"/>
        <v>#VALUE!</v>
      </c>
      <c r="BZ2269" s="111" t="e">
        <f t="shared" si="1675"/>
        <v>#VALUE!</v>
      </c>
      <c r="CA2269" s="138" t="e">
        <f t="shared" si="1676"/>
        <v>#VALUE!</v>
      </c>
      <c r="CB2269" s="111">
        <v>0</v>
      </c>
      <c r="CC2269" s="129">
        <v>0</v>
      </c>
      <c r="CG2269" s="129" t="str">
        <f t="shared" si="1677"/>
        <v>Y</v>
      </c>
      <c r="CI2269" s="129" t="str">
        <f t="shared" si="1682"/>
        <v>0-10 DAYS</v>
      </c>
      <c r="CJ2269" s="137">
        <f t="shared" si="1683"/>
        <v>1</v>
      </c>
      <c r="CK2269" s="129" t="str">
        <f t="shared" si="1684"/>
        <v>Not Booked</v>
      </c>
    </row>
    <row r="2270" spans="1:89" ht="15.75" customHeight="1" x14ac:dyDescent="0.25">
      <c r="A2270" s="111">
        <v>1918</v>
      </c>
      <c r="B2270" s="128" t="str">
        <f t="shared" si="1667"/>
        <v>N</v>
      </c>
      <c r="C2270" s="128" t="str">
        <f t="shared" si="1668"/>
        <v>N</v>
      </c>
      <c r="D2270" s="117">
        <v>2492417</v>
      </c>
      <c r="E2270" s="135">
        <f t="shared" si="1669"/>
        <v>1</v>
      </c>
      <c r="F2270" s="124">
        <v>40980</v>
      </c>
      <c r="G2270" s="125">
        <v>40982</v>
      </c>
      <c r="H2270" s="117">
        <v>2492417</v>
      </c>
      <c r="I2270" s="124">
        <v>40980</v>
      </c>
      <c r="J2270" s="124">
        <v>40981</v>
      </c>
      <c r="K2270" s="126">
        <v>5000</v>
      </c>
      <c r="L2270" s="127" t="s">
        <v>569</v>
      </c>
      <c r="M2270" s="125">
        <v>40981</v>
      </c>
      <c r="N2270" s="129" t="str">
        <f>IF(M2270&gt;1/1/1,"Y","N")</f>
        <v>Y</v>
      </c>
      <c r="O2270" s="128" t="s">
        <v>76</v>
      </c>
      <c r="P2270" s="129" t="s">
        <v>55</v>
      </c>
      <c r="Q2270" s="111">
        <f t="shared" si="1692"/>
        <v>2</v>
      </c>
      <c r="R2270" s="111">
        <f t="shared" si="1691"/>
        <v>3</v>
      </c>
      <c r="S2270" s="129">
        <v>0</v>
      </c>
      <c r="T2270" s="129">
        <v>3</v>
      </c>
      <c r="W2270" s="111"/>
      <c r="AC2270" s="130"/>
      <c r="AD2270" s="130">
        <v>34067</v>
      </c>
      <c r="AE2270" s="128" t="s">
        <v>32</v>
      </c>
      <c r="AF2270" s="128" t="s">
        <v>33</v>
      </c>
      <c r="AG2270" s="128" t="s">
        <v>872</v>
      </c>
      <c r="AH2270" s="108" t="s">
        <v>31</v>
      </c>
      <c r="AI2270" s="128" t="s">
        <v>100</v>
      </c>
      <c r="AJ2270" s="129" t="s">
        <v>55</v>
      </c>
      <c r="AK2270" s="129">
        <v>1</v>
      </c>
      <c r="AL2270" s="3" t="s">
        <v>55</v>
      </c>
      <c r="AP2270" s="129" t="s">
        <v>93</v>
      </c>
      <c r="AR2270" s="128" t="s">
        <v>67</v>
      </c>
      <c r="AS2270" s="129" t="s">
        <v>45</v>
      </c>
      <c r="BC2270" s="129" t="s">
        <v>52</v>
      </c>
      <c r="BF2270" s="111">
        <f t="shared" ref="BF2270:BF2278" si="1696">IF(J2270&gt;1/1/1900,((J2270+1)-I2270),"STILL OPEN")</f>
        <v>2</v>
      </c>
      <c r="BG2270" s="111">
        <f t="shared" ref="BG2270:BG2278" si="1697">IF(G2270&gt;1/1/1900,((G2270+1)-I2270),"STILL OPEN")</f>
        <v>3</v>
      </c>
      <c r="BH2270" s="111">
        <f t="shared" si="1664"/>
        <v>3</v>
      </c>
      <c r="BI2270" s="111">
        <f t="shared" si="1665"/>
        <v>18.887978142076502</v>
      </c>
      <c r="BJ2270" s="129">
        <f>(G2270-J2270)+(M2270-G2270)</f>
        <v>0</v>
      </c>
      <c r="BK2270" s="129">
        <f t="shared" si="1666"/>
        <v>-1</v>
      </c>
      <c r="BL2270" s="129" t="str">
        <f t="shared" si="1658"/>
        <v>NO CONVICTION</v>
      </c>
      <c r="BM2270" s="129" t="s">
        <v>76</v>
      </c>
      <c r="BN2270" s="129" t="s">
        <v>88</v>
      </c>
      <c r="BP2270" s="137" t="str">
        <f t="shared" si="1678"/>
        <v>NO CONVICTION</v>
      </c>
      <c r="BQ2270" s="128" t="str">
        <f t="shared" si="1670"/>
        <v>Y</v>
      </c>
      <c r="BR2270" s="129" t="str">
        <f t="shared" si="1679"/>
        <v>ON BOND</v>
      </c>
      <c r="BS2270" s="129" t="str">
        <f t="shared" si="1680"/>
        <v>DISPOSED</v>
      </c>
      <c r="BT2270" s="129" t="str">
        <f t="shared" si="1671"/>
        <v>N</v>
      </c>
      <c r="BU2270" s="109">
        <f>IFERROR(Q2270/R2270,BR2270)</f>
        <v>0.66666666666666663</v>
      </c>
      <c r="BV2270" s="109">
        <f t="shared" si="1672"/>
        <v>0.66666666666666663</v>
      </c>
      <c r="BW2270" s="109">
        <f t="shared" si="1650"/>
        <v>0</v>
      </c>
      <c r="BX2270" s="111">
        <f t="shared" si="1673"/>
        <v>0</v>
      </c>
      <c r="BY2270" s="129">
        <f t="shared" si="1674"/>
        <v>-2</v>
      </c>
      <c r="BZ2270" s="111">
        <f t="shared" si="1675"/>
        <v>0</v>
      </c>
      <c r="CA2270" s="138">
        <f t="shared" si="1676"/>
        <v>2</v>
      </c>
      <c r="CB2270" s="111" t="e">
        <f t="shared" ref="CB2270:CB2278" si="1698">IF(AF2270&gt;1/1/1900,((AF2270+1)-AE2270),"STILL OPEN")</f>
        <v>#VALUE!</v>
      </c>
      <c r="CC2270" s="129">
        <f>M2270-I2270+1</f>
        <v>2</v>
      </c>
      <c r="CD2270" s="111">
        <f>CC2270-BF2270</f>
        <v>0</v>
      </c>
      <c r="CG2270" s="129" t="str">
        <f t="shared" si="1677"/>
        <v>Y</v>
      </c>
      <c r="CI2270" s="129" t="str">
        <f t="shared" si="1682"/>
        <v>0-10 DAYS</v>
      </c>
      <c r="CJ2270" s="137">
        <f t="shared" si="1683"/>
        <v>1</v>
      </c>
      <c r="CK2270" s="129" t="str">
        <f t="shared" si="1684"/>
        <v>Booked</v>
      </c>
    </row>
    <row r="2271" spans="1:89" ht="15" customHeight="1" x14ac:dyDescent="0.25">
      <c r="A2271" s="111">
        <v>1239</v>
      </c>
      <c r="B2271" s="128" t="str">
        <f t="shared" si="1667"/>
        <v>N</v>
      </c>
      <c r="C2271" s="128" t="str">
        <f t="shared" si="1668"/>
        <v>N</v>
      </c>
      <c r="D2271" s="117">
        <v>2492778</v>
      </c>
      <c r="E2271" s="135">
        <f t="shared" si="1669"/>
        <v>2</v>
      </c>
      <c r="F2271" s="124">
        <v>40954</v>
      </c>
      <c r="G2271" s="125">
        <v>40955</v>
      </c>
      <c r="H2271" s="117">
        <v>2492778</v>
      </c>
      <c r="I2271" s="124">
        <v>40954</v>
      </c>
      <c r="J2271" s="124">
        <v>40955</v>
      </c>
      <c r="K2271" s="126">
        <v>2000</v>
      </c>
      <c r="L2271" s="127" t="s">
        <v>568</v>
      </c>
      <c r="N2271" s="129" t="str">
        <f>IF(M2271&gt;1/1/1,"Y","N")</f>
        <v>N</v>
      </c>
      <c r="O2271" s="128" t="s">
        <v>917</v>
      </c>
      <c r="P2271" s="129" t="s">
        <v>589</v>
      </c>
      <c r="Q2271" s="111">
        <f t="shared" si="1692"/>
        <v>2</v>
      </c>
      <c r="R2271" s="111">
        <f t="shared" si="1691"/>
        <v>2</v>
      </c>
      <c r="S2271" s="129">
        <v>0</v>
      </c>
      <c r="T2271" s="129">
        <v>1</v>
      </c>
      <c r="W2271" s="111"/>
      <c r="AC2271" s="130"/>
      <c r="AD2271" s="130">
        <v>34066</v>
      </c>
      <c r="AE2271" s="128" t="s">
        <v>46</v>
      </c>
      <c r="AF2271" s="128" t="s">
        <v>69</v>
      </c>
      <c r="AG2271" s="128" t="s">
        <v>874</v>
      </c>
      <c r="AH2271" s="108" t="s">
        <v>58</v>
      </c>
      <c r="AI2271" s="128" t="s">
        <v>100</v>
      </c>
      <c r="AJ2271" s="129" t="s">
        <v>48</v>
      </c>
      <c r="AK2271" s="129">
        <v>1</v>
      </c>
      <c r="AL2271" s="3" t="s">
        <v>48</v>
      </c>
      <c r="AP2271" s="129" t="s">
        <v>43</v>
      </c>
      <c r="AR2271" s="128" t="s">
        <v>44</v>
      </c>
      <c r="AS2271" s="129" t="s">
        <v>45</v>
      </c>
      <c r="AT2271" s="129" t="s">
        <v>621</v>
      </c>
      <c r="AU2271" s="118" t="s">
        <v>824</v>
      </c>
      <c r="AX2271" s="32"/>
      <c r="BC2271" s="129" t="s">
        <v>52</v>
      </c>
      <c r="BF2271" s="111">
        <f t="shared" si="1696"/>
        <v>2</v>
      </c>
      <c r="BG2271" s="111">
        <f t="shared" si="1697"/>
        <v>2</v>
      </c>
      <c r="BH2271" s="111">
        <f t="shared" si="1664"/>
        <v>2</v>
      </c>
      <c r="BI2271" s="111">
        <f t="shared" si="1665"/>
        <v>18.819672131147541</v>
      </c>
      <c r="BJ2271" s="129">
        <f t="shared" si="1685"/>
        <v>0</v>
      </c>
      <c r="BK2271" s="129">
        <f t="shared" si="1666"/>
        <v>0</v>
      </c>
      <c r="BL2271" s="129" t="str">
        <f t="shared" si="1658"/>
        <v>DEFERRED</v>
      </c>
      <c r="BM2271" s="129" t="str">
        <f t="shared" si="1686"/>
        <v>NONE</v>
      </c>
      <c r="BN2271" s="129" t="s">
        <v>566</v>
      </c>
      <c r="BP2271" s="137" t="str">
        <f t="shared" si="1678"/>
        <v>DEFERRED</v>
      </c>
      <c r="BQ2271" s="128" t="str">
        <f t="shared" si="1670"/>
        <v>Y</v>
      </c>
      <c r="BR2271" s="129" t="str">
        <f t="shared" si="1679"/>
        <v>DETAINED</v>
      </c>
      <c r="BS2271" s="129" t="str">
        <f t="shared" si="1680"/>
        <v>DISPOSED</v>
      </c>
      <c r="BT2271" s="129" t="str">
        <f t="shared" si="1671"/>
        <v>N</v>
      </c>
      <c r="BU2271" s="109">
        <f t="shared" si="1681"/>
        <v>1</v>
      </c>
      <c r="BV2271" s="109">
        <f t="shared" si="1672"/>
        <v>1</v>
      </c>
      <c r="BW2271" s="109">
        <f t="shared" ref="BW2271:BW2296" si="1699">BV2271-BU2271</f>
        <v>0</v>
      </c>
      <c r="BX2271" s="111">
        <f t="shared" si="1673"/>
        <v>0</v>
      </c>
      <c r="BY2271" s="129">
        <f t="shared" si="1674"/>
        <v>-2</v>
      </c>
      <c r="BZ2271" s="111">
        <f t="shared" si="1675"/>
        <v>0</v>
      </c>
      <c r="CA2271" s="138">
        <f t="shared" si="1676"/>
        <v>2</v>
      </c>
      <c r="CB2271" s="111" t="e">
        <f t="shared" si="1698"/>
        <v>#VALUE!</v>
      </c>
      <c r="CC2271" s="129">
        <f>G2271-I2271+1</f>
        <v>2</v>
      </c>
      <c r="CD2271" s="129">
        <f>G2271-J2271</f>
        <v>0</v>
      </c>
      <c r="CG2271" s="129" t="str">
        <f t="shared" si="1677"/>
        <v>Y</v>
      </c>
      <c r="CI2271" s="129" t="str">
        <f t="shared" si="1682"/>
        <v>0-10 DAYS</v>
      </c>
      <c r="CJ2271" s="137">
        <f t="shared" si="1683"/>
        <v>1</v>
      </c>
      <c r="CK2271" s="129" t="str">
        <f t="shared" si="1684"/>
        <v>Booked</v>
      </c>
    </row>
    <row r="2272" spans="1:89" ht="15.75" customHeight="1" x14ac:dyDescent="0.25">
      <c r="A2272" s="111">
        <v>1674</v>
      </c>
      <c r="B2272" s="128" t="str">
        <f t="shared" si="1667"/>
        <v>N</v>
      </c>
      <c r="C2272" s="128" t="str">
        <f t="shared" si="1668"/>
        <v>N</v>
      </c>
      <c r="D2272" s="117">
        <v>2492976</v>
      </c>
      <c r="E2272" s="135">
        <f t="shared" si="1669"/>
        <v>1</v>
      </c>
      <c r="F2272" s="124">
        <v>40970</v>
      </c>
      <c r="G2272" s="125">
        <v>41089</v>
      </c>
      <c r="H2272" s="117">
        <v>2492976</v>
      </c>
      <c r="I2272" s="124">
        <v>40971</v>
      </c>
      <c r="J2272" s="124">
        <v>40972</v>
      </c>
      <c r="K2272" s="126">
        <v>5000</v>
      </c>
      <c r="L2272" s="127" t="s">
        <v>569</v>
      </c>
      <c r="M2272" s="125">
        <v>40972</v>
      </c>
      <c r="N2272" s="129" t="str">
        <f>IF(M2272&gt;1/1/1,"Y","N")</f>
        <v>Y</v>
      </c>
      <c r="O2272" s="128" t="s">
        <v>76</v>
      </c>
      <c r="P2272" s="129" t="s">
        <v>123</v>
      </c>
      <c r="Q2272" s="111">
        <f t="shared" si="1692"/>
        <v>2</v>
      </c>
      <c r="R2272" s="111">
        <f t="shared" si="1691"/>
        <v>120</v>
      </c>
      <c r="S2272" s="129">
        <v>0</v>
      </c>
      <c r="T2272" s="129">
        <v>0</v>
      </c>
      <c r="W2272" s="111"/>
      <c r="AC2272" s="130"/>
      <c r="AD2272" s="130">
        <v>31074</v>
      </c>
      <c r="AE2272" s="128" t="s">
        <v>32</v>
      </c>
      <c r="AF2272" s="128" t="s">
        <v>69</v>
      </c>
      <c r="AG2272" s="128" t="s">
        <v>874</v>
      </c>
      <c r="AH2272" s="108" t="s">
        <v>58</v>
      </c>
      <c r="AI2272" s="128" t="s">
        <v>114</v>
      </c>
      <c r="AJ2272" s="129" t="s">
        <v>123</v>
      </c>
      <c r="AK2272" s="129">
        <v>6</v>
      </c>
      <c r="AL2272" s="3" t="s">
        <v>123</v>
      </c>
      <c r="AP2272" s="129" t="s">
        <v>93</v>
      </c>
      <c r="AR2272" s="128" t="s">
        <v>67</v>
      </c>
      <c r="AS2272" s="129" t="s">
        <v>45</v>
      </c>
      <c r="BC2272" s="129" t="s">
        <v>52</v>
      </c>
      <c r="BF2272" s="111">
        <f t="shared" si="1696"/>
        <v>2</v>
      </c>
      <c r="BG2272" s="111">
        <f t="shared" si="1697"/>
        <v>119</v>
      </c>
      <c r="BH2272" s="111">
        <f t="shared" si="1664"/>
        <v>120</v>
      </c>
      <c r="BI2272" s="111">
        <f t="shared" si="1665"/>
        <v>27.038251366120218</v>
      </c>
      <c r="BJ2272" s="129">
        <f>(G2272-J2272)+(M2272-G2272)</f>
        <v>0</v>
      </c>
      <c r="BK2272" s="129">
        <f t="shared" si="1666"/>
        <v>-117</v>
      </c>
      <c r="BL2272" s="129" t="str">
        <f t="shared" si="1658"/>
        <v>NO CONVICTION</v>
      </c>
      <c r="BM2272" s="129" t="s">
        <v>76</v>
      </c>
      <c r="BN2272" s="129" t="s">
        <v>88</v>
      </c>
      <c r="BP2272" s="137" t="str">
        <f t="shared" si="1678"/>
        <v>NO CONVICTION</v>
      </c>
      <c r="BQ2272" s="128" t="str">
        <f t="shared" si="1670"/>
        <v>Y</v>
      </c>
      <c r="BR2272" s="129" t="str">
        <f t="shared" si="1679"/>
        <v>ON BOND</v>
      </c>
      <c r="BS2272" s="129" t="str">
        <f t="shared" si="1680"/>
        <v>DISPOSED</v>
      </c>
      <c r="BT2272" s="129" t="str">
        <f t="shared" si="1671"/>
        <v>N</v>
      </c>
      <c r="BU2272" s="109">
        <f>IFERROR(Q2272/R2272,BR2272)</f>
        <v>1.6666666666666666E-2</v>
      </c>
      <c r="BV2272" s="109">
        <f t="shared" si="1672"/>
        <v>1.680672268907563E-2</v>
      </c>
      <c r="BW2272" s="109">
        <f t="shared" si="1699"/>
        <v>1.4005602240896309E-4</v>
      </c>
      <c r="BX2272" s="111">
        <f t="shared" si="1673"/>
        <v>0</v>
      </c>
      <c r="BY2272" s="129">
        <f t="shared" si="1674"/>
        <v>-2</v>
      </c>
      <c r="BZ2272" s="111">
        <f t="shared" si="1675"/>
        <v>0</v>
      </c>
      <c r="CA2272" s="138">
        <f t="shared" si="1676"/>
        <v>2</v>
      </c>
      <c r="CB2272" s="111" t="e">
        <f t="shared" si="1698"/>
        <v>#VALUE!</v>
      </c>
      <c r="CC2272" s="129">
        <f>M2272-I2272+1</f>
        <v>2</v>
      </c>
      <c r="CD2272" s="111">
        <f>CC2272-BF2272</f>
        <v>0</v>
      </c>
      <c r="CG2272" s="129" t="str">
        <f t="shared" si="1677"/>
        <v>N</v>
      </c>
      <c r="CI2272" s="129" t="str">
        <f t="shared" si="1682"/>
        <v>0-10 DAYS</v>
      </c>
      <c r="CJ2272" s="137">
        <f t="shared" si="1683"/>
        <v>1</v>
      </c>
      <c r="CK2272" s="129" t="str">
        <f t="shared" si="1684"/>
        <v>Booked</v>
      </c>
    </row>
    <row r="2273" spans="1:89" ht="15.75" customHeight="1" x14ac:dyDescent="0.25">
      <c r="A2273" s="111">
        <v>1241</v>
      </c>
      <c r="B2273" s="128" t="str">
        <f t="shared" si="1667"/>
        <v>N</v>
      </c>
      <c r="C2273" s="128" t="str">
        <f t="shared" si="1668"/>
        <v>N</v>
      </c>
      <c r="D2273" s="117">
        <v>2493029</v>
      </c>
      <c r="E2273" s="135">
        <f t="shared" si="1669"/>
        <v>5</v>
      </c>
      <c r="F2273" s="124">
        <v>40954</v>
      </c>
      <c r="G2273" s="125">
        <v>41061</v>
      </c>
      <c r="H2273" s="117">
        <v>2493029</v>
      </c>
      <c r="I2273" s="124">
        <v>40954</v>
      </c>
      <c r="J2273" s="124">
        <v>40955</v>
      </c>
      <c r="K2273" s="126">
        <v>2000</v>
      </c>
      <c r="L2273" s="127" t="s">
        <v>568</v>
      </c>
      <c r="M2273" s="125">
        <v>40955</v>
      </c>
      <c r="N2273" s="129" t="str">
        <f>IF(M2273&gt;1/1/1,"Y","N")</f>
        <v>Y</v>
      </c>
      <c r="O2273" s="128" t="s">
        <v>76</v>
      </c>
      <c r="P2273" s="129" t="s">
        <v>39</v>
      </c>
      <c r="Q2273" s="111">
        <f t="shared" si="1692"/>
        <v>2</v>
      </c>
      <c r="R2273" s="111">
        <f t="shared" si="1691"/>
        <v>108</v>
      </c>
      <c r="S2273" s="129">
        <v>0</v>
      </c>
      <c r="T2273" s="129">
        <v>1</v>
      </c>
      <c r="W2273" s="111"/>
      <c r="AC2273" s="130"/>
      <c r="AD2273" s="130">
        <v>32986</v>
      </c>
      <c r="AE2273" s="128" t="s">
        <v>32</v>
      </c>
      <c r="AF2273" s="128" t="s">
        <v>40</v>
      </c>
      <c r="AG2273" s="128" t="s">
        <v>41</v>
      </c>
      <c r="AH2273" s="108" t="s">
        <v>41</v>
      </c>
      <c r="AI2273" s="128" t="s">
        <v>72</v>
      </c>
      <c r="AJ2273" s="129" t="s">
        <v>89</v>
      </c>
      <c r="AK2273" s="129">
        <v>4</v>
      </c>
      <c r="AL2273" s="3" t="s">
        <v>992</v>
      </c>
      <c r="AN2273" s="117">
        <v>6</v>
      </c>
      <c r="AP2273" s="129" t="s">
        <v>175</v>
      </c>
      <c r="AR2273" s="128" t="s">
        <v>44</v>
      </c>
      <c r="AS2273" s="129" t="s">
        <v>45</v>
      </c>
      <c r="BC2273" s="129" t="s">
        <v>52</v>
      </c>
      <c r="BF2273" s="111">
        <f t="shared" si="1696"/>
        <v>2</v>
      </c>
      <c r="BG2273" s="111">
        <f t="shared" si="1697"/>
        <v>108</v>
      </c>
      <c r="BH2273" s="111">
        <f t="shared" si="1664"/>
        <v>108</v>
      </c>
      <c r="BI2273" s="111">
        <f t="shared" si="1665"/>
        <v>21.770491803278688</v>
      </c>
      <c r="BJ2273" s="129">
        <f>(G2273-J2273)+(M2273-G2273)</f>
        <v>0</v>
      </c>
      <c r="BK2273" s="129">
        <f t="shared" si="1666"/>
        <v>-106</v>
      </c>
      <c r="BL2273" s="129" t="str">
        <f t="shared" si="1658"/>
        <v>CONVICTION</v>
      </c>
      <c r="BM2273" s="129" t="s">
        <v>76</v>
      </c>
      <c r="BN2273" s="129" t="s">
        <v>88</v>
      </c>
      <c r="BP2273" s="137" t="str">
        <f t="shared" si="1678"/>
        <v>CONVICTION</v>
      </c>
      <c r="BQ2273" s="128" t="str">
        <f t="shared" si="1670"/>
        <v>Y</v>
      </c>
      <c r="BR2273" s="129" t="str">
        <f>IF(J2273&lt;G2273,"ON BOND",0)</f>
        <v>ON BOND</v>
      </c>
      <c r="BS2273" s="129" t="str">
        <f t="shared" si="1680"/>
        <v>DISPOSED</v>
      </c>
      <c r="BT2273" s="129" t="str">
        <f t="shared" si="1671"/>
        <v>N</v>
      </c>
      <c r="BU2273" s="109">
        <f t="shared" si="1681"/>
        <v>1.8518518518518517E-2</v>
      </c>
      <c r="BV2273" s="109">
        <f t="shared" si="1672"/>
        <v>1.8518518518518517E-2</v>
      </c>
      <c r="BW2273" s="109">
        <f t="shared" si="1699"/>
        <v>0</v>
      </c>
      <c r="BX2273" s="111">
        <f t="shared" si="1673"/>
        <v>0</v>
      </c>
      <c r="BY2273" s="129">
        <f t="shared" si="1674"/>
        <v>-2</v>
      </c>
      <c r="BZ2273" s="111">
        <f t="shared" si="1675"/>
        <v>0</v>
      </c>
      <c r="CA2273" s="138">
        <f t="shared" si="1676"/>
        <v>2</v>
      </c>
      <c r="CB2273" s="111" t="e">
        <f t="shared" si="1698"/>
        <v>#VALUE!</v>
      </c>
      <c r="CC2273" s="129">
        <f>M2273-I2273+1</f>
        <v>2</v>
      </c>
      <c r="CD2273" s="111">
        <f>CC2273-BF2273</f>
        <v>0</v>
      </c>
      <c r="CG2273" s="129" t="str">
        <f t="shared" si="1677"/>
        <v>Y</v>
      </c>
      <c r="CI2273" s="129" t="str">
        <f t="shared" si="1682"/>
        <v>0-10 DAYS</v>
      </c>
      <c r="CJ2273" s="137">
        <f t="shared" si="1683"/>
        <v>1</v>
      </c>
      <c r="CK2273" s="129" t="str">
        <f t="shared" si="1684"/>
        <v>Booked</v>
      </c>
    </row>
    <row r="2274" spans="1:89" ht="15.75" customHeight="1" x14ac:dyDescent="0.25">
      <c r="A2274" s="111">
        <v>2504</v>
      </c>
      <c r="B2274" s="128" t="str">
        <f t="shared" si="1667"/>
        <v>N</v>
      </c>
      <c r="C2274" s="128" t="str">
        <f t="shared" si="1668"/>
        <v>N</v>
      </c>
      <c r="D2274" s="117">
        <v>2493521</v>
      </c>
      <c r="E2274" s="135">
        <f t="shared" si="1669"/>
        <v>4</v>
      </c>
      <c r="F2274" s="124">
        <v>41003</v>
      </c>
      <c r="G2274" s="125">
        <v>41215</v>
      </c>
      <c r="H2274" s="117">
        <v>2493521</v>
      </c>
      <c r="I2274" s="124">
        <v>41003</v>
      </c>
      <c r="J2274" s="124">
        <v>41009</v>
      </c>
      <c r="K2274" s="126">
        <v>5000</v>
      </c>
      <c r="L2274" s="127" t="s">
        <v>569</v>
      </c>
      <c r="M2274" s="125">
        <v>41009</v>
      </c>
      <c r="N2274" s="129" t="str">
        <f>IF(M2274&gt;1/1/1,"Y","N")</f>
        <v>Y</v>
      </c>
      <c r="O2274" s="128" t="s">
        <v>76</v>
      </c>
      <c r="P2274" s="129" t="s">
        <v>39</v>
      </c>
      <c r="Q2274" s="111">
        <f t="shared" si="1692"/>
        <v>7</v>
      </c>
      <c r="R2274" s="111">
        <f t="shared" si="1691"/>
        <v>213</v>
      </c>
      <c r="S2274" s="129">
        <v>0</v>
      </c>
      <c r="T2274" s="129">
        <v>0</v>
      </c>
      <c r="W2274" s="111"/>
      <c r="AC2274" s="130"/>
      <c r="AD2274" s="130">
        <v>33670</v>
      </c>
      <c r="AE2274" s="128" t="s">
        <v>32</v>
      </c>
      <c r="AF2274" s="128" t="s">
        <v>33</v>
      </c>
      <c r="AG2274" s="128" t="s">
        <v>872</v>
      </c>
      <c r="AH2274" s="108" t="s">
        <v>31</v>
      </c>
      <c r="AI2274" s="128" t="s">
        <v>65</v>
      </c>
      <c r="AJ2274" s="129" t="s">
        <v>89</v>
      </c>
      <c r="AK2274" s="129">
        <v>12</v>
      </c>
      <c r="AL2274" s="3" t="s">
        <v>991</v>
      </c>
      <c r="AO2274" s="128">
        <v>22</v>
      </c>
      <c r="AP2274" s="129" t="s">
        <v>158</v>
      </c>
      <c r="AR2274" s="128" t="s">
        <v>67</v>
      </c>
      <c r="AS2274" s="129" t="s">
        <v>64</v>
      </c>
      <c r="BC2274" s="129" t="s">
        <v>38</v>
      </c>
      <c r="BF2274" s="111">
        <f t="shared" si="1696"/>
        <v>7</v>
      </c>
      <c r="BG2274" s="111">
        <f t="shared" si="1697"/>
        <v>213</v>
      </c>
      <c r="BH2274" s="111">
        <f t="shared" si="1664"/>
        <v>213</v>
      </c>
      <c r="BI2274" s="111">
        <f t="shared" si="1665"/>
        <v>20.035519125683059</v>
      </c>
      <c r="BJ2274" s="129">
        <f>(G2274-J2274)+(M2274-G2274)</f>
        <v>0</v>
      </c>
      <c r="BK2274" s="129">
        <f t="shared" si="1666"/>
        <v>-206</v>
      </c>
      <c r="BL2274" s="129" t="str">
        <f t="shared" si="1658"/>
        <v>CONVICTION</v>
      </c>
      <c r="BM2274" s="129" t="s">
        <v>76</v>
      </c>
      <c r="BN2274" s="129" t="s">
        <v>88</v>
      </c>
      <c r="BP2274" s="137" t="str">
        <f t="shared" si="1678"/>
        <v>CONVICTION</v>
      </c>
      <c r="BQ2274" s="128" t="str">
        <f t="shared" si="1670"/>
        <v>Y</v>
      </c>
      <c r="BR2274" s="129" t="str">
        <f>IF(J2274&lt;G2274,"ON BOND",0)</f>
        <v>ON BOND</v>
      </c>
      <c r="BS2274" s="129" t="str">
        <f t="shared" si="1680"/>
        <v>DISPOSED</v>
      </c>
      <c r="BT2274" s="129" t="str">
        <f t="shared" si="1671"/>
        <v>N</v>
      </c>
      <c r="BU2274" s="109">
        <f t="shared" si="1681"/>
        <v>3.2863849765258218E-2</v>
      </c>
      <c r="BV2274" s="109">
        <f t="shared" si="1672"/>
        <v>3.2863849765258218E-2</v>
      </c>
      <c r="BW2274" s="109">
        <f t="shared" si="1699"/>
        <v>0</v>
      </c>
      <c r="BX2274" s="111">
        <f t="shared" si="1673"/>
        <v>0</v>
      </c>
      <c r="BY2274" s="129">
        <f t="shared" si="1674"/>
        <v>-7</v>
      </c>
      <c r="BZ2274" s="111">
        <f t="shared" si="1675"/>
        <v>0</v>
      </c>
      <c r="CA2274" s="138">
        <f t="shared" si="1676"/>
        <v>7</v>
      </c>
      <c r="CB2274" s="111" t="e">
        <f t="shared" si="1698"/>
        <v>#VALUE!</v>
      </c>
      <c r="CC2274" s="129">
        <f>M2274-I2274+1</f>
        <v>7</v>
      </c>
      <c r="CD2274" s="111">
        <f>CC2274-BF2274</f>
        <v>0</v>
      </c>
      <c r="CG2274" s="129" t="str">
        <f t="shared" si="1677"/>
        <v>N</v>
      </c>
      <c r="CI2274" s="129" t="str">
        <f t="shared" si="1682"/>
        <v>0-10 DAYS</v>
      </c>
      <c r="CJ2274" s="137">
        <f t="shared" si="1683"/>
        <v>1</v>
      </c>
      <c r="CK2274" s="129" t="str">
        <f t="shared" si="1684"/>
        <v>Booked</v>
      </c>
    </row>
    <row r="2275" spans="1:89" ht="15.75" customHeight="1" x14ac:dyDescent="0.25">
      <c r="A2275" s="111">
        <v>2323</v>
      </c>
      <c r="B2275" s="128" t="str">
        <f t="shared" si="1667"/>
        <v>N</v>
      </c>
      <c r="C2275" s="128" t="str">
        <f t="shared" si="1668"/>
        <v>N</v>
      </c>
      <c r="D2275" s="117">
        <v>2494862</v>
      </c>
      <c r="E2275" s="135">
        <f t="shared" si="1669"/>
        <v>5</v>
      </c>
      <c r="F2275" s="124">
        <v>40996</v>
      </c>
      <c r="G2275" s="125">
        <v>41015</v>
      </c>
      <c r="H2275" s="117">
        <v>2494862</v>
      </c>
      <c r="I2275" s="124">
        <v>40997</v>
      </c>
      <c r="J2275" s="124">
        <v>41015</v>
      </c>
      <c r="K2275" s="126" t="s">
        <v>564</v>
      </c>
      <c r="L2275" s="127" t="s">
        <v>564</v>
      </c>
      <c r="N2275" s="129" t="s">
        <v>566</v>
      </c>
      <c r="O2275" s="128" t="s">
        <v>917</v>
      </c>
      <c r="P2275" s="129" t="s">
        <v>39</v>
      </c>
      <c r="Q2275" s="111">
        <f t="shared" si="1692"/>
        <v>19</v>
      </c>
      <c r="R2275" s="111">
        <f t="shared" si="1691"/>
        <v>20</v>
      </c>
      <c r="S2275" s="129">
        <v>0</v>
      </c>
      <c r="T2275" s="129">
        <v>1</v>
      </c>
      <c r="W2275" s="111"/>
      <c r="AC2275" s="130"/>
      <c r="AD2275" s="130">
        <v>33819</v>
      </c>
      <c r="AE2275" s="128" t="s">
        <v>32</v>
      </c>
      <c r="AF2275" s="128" t="s">
        <v>69</v>
      </c>
      <c r="AG2275" s="128" t="s">
        <v>874</v>
      </c>
      <c r="AH2275" s="108" t="s">
        <v>31</v>
      </c>
      <c r="AI2275" s="128" t="s">
        <v>59</v>
      </c>
      <c r="AJ2275" s="129" t="s">
        <v>89</v>
      </c>
      <c r="AK2275" s="129">
        <v>4</v>
      </c>
      <c r="AL2275" s="3" t="s">
        <v>992</v>
      </c>
      <c r="AN2275" s="117">
        <v>10</v>
      </c>
      <c r="AP2275" s="129" t="s">
        <v>108</v>
      </c>
      <c r="AR2275" s="128" t="s">
        <v>44</v>
      </c>
      <c r="AS2275" s="129" t="s">
        <v>61</v>
      </c>
      <c r="BC2275" s="129" t="s">
        <v>38</v>
      </c>
      <c r="BF2275" s="111">
        <f t="shared" si="1696"/>
        <v>19</v>
      </c>
      <c r="BG2275" s="111">
        <f t="shared" si="1697"/>
        <v>19</v>
      </c>
      <c r="BH2275" s="111">
        <f t="shared" si="1664"/>
        <v>20</v>
      </c>
      <c r="BI2275" s="111">
        <f t="shared" si="1665"/>
        <v>19.60928961748634</v>
      </c>
      <c r="BJ2275" s="129">
        <f t="shared" si="1685"/>
        <v>0</v>
      </c>
      <c r="BK2275" s="129">
        <f t="shared" si="1666"/>
        <v>0</v>
      </c>
      <c r="BL2275" s="129" t="str">
        <f t="shared" si="1658"/>
        <v>CONVICTION</v>
      </c>
      <c r="BM2275" s="129" t="str">
        <f t="shared" si="1686"/>
        <v>NONE</v>
      </c>
      <c r="BN2275" s="129" t="s">
        <v>566</v>
      </c>
      <c r="BP2275" s="137" t="str">
        <f t="shared" si="1678"/>
        <v>CONVICTION</v>
      </c>
      <c r="BQ2275" s="128" t="str">
        <f t="shared" si="1670"/>
        <v>Y</v>
      </c>
      <c r="BR2275" s="129" t="str">
        <f t="shared" si="1679"/>
        <v>DETAINED</v>
      </c>
      <c r="BS2275" s="129" t="str">
        <f t="shared" si="1680"/>
        <v>DISPOSED</v>
      </c>
      <c r="BT2275" s="129" t="str">
        <f t="shared" si="1671"/>
        <v>N</v>
      </c>
      <c r="BU2275" s="109">
        <f t="shared" si="1681"/>
        <v>0.95</v>
      </c>
      <c r="BV2275" s="109">
        <f t="shared" si="1672"/>
        <v>1</v>
      </c>
      <c r="BW2275" s="109">
        <f t="shared" si="1699"/>
        <v>5.0000000000000044E-2</v>
      </c>
      <c r="BX2275" s="111">
        <f t="shared" si="1673"/>
        <v>0</v>
      </c>
      <c r="BY2275" s="129">
        <f t="shared" si="1674"/>
        <v>-19</v>
      </c>
      <c r="BZ2275" s="111">
        <f t="shared" si="1675"/>
        <v>0</v>
      </c>
      <c r="CA2275" s="138">
        <f t="shared" si="1676"/>
        <v>19</v>
      </c>
      <c r="CB2275" s="111" t="e">
        <f t="shared" si="1698"/>
        <v>#VALUE!</v>
      </c>
      <c r="CC2275" s="129">
        <f>G2275-I2275+1</f>
        <v>19</v>
      </c>
      <c r="CD2275" s="129">
        <f>G2275-J2275</f>
        <v>0</v>
      </c>
      <c r="CG2275" s="129" t="str">
        <f t="shared" si="1677"/>
        <v>Y</v>
      </c>
      <c r="CI2275" s="129" t="str">
        <f t="shared" si="1682"/>
        <v>11-30 DAYS</v>
      </c>
      <c r="CJ2275" s="137">
        <f t="shared" si="1683"/>
        <v>2</v>
      </c>
      <c r="CK2275" s="129" t="str">
        <f t="shared" si="1684"/>
        <v>Booked</v>
      </c>
    </row>
    <row r="2276" spans="1:89" ht="15.75" customHeight="1" x14ac:dyDescent="0.25">
      <c r="A2276" s="111">
        <v>2864</v>
      </c>
      <c r="B2276" s="128" t="str">
        <f t="shared" si="1667"/>
        <v>N</v>
      </c>
      <c r="C2276" s="128" t="str">
        <f t="shared" si="1668"/>
        <v>N</v>
      </c>
      <c r="D2276" s="117">
        <v>2495402</v>
      </c>
      <c r="E2276" s="135">
        <f t="shared" si="1669"/>
        <v>2</v>
      </c>
      <c r="F2276" s="124">
        <v>41014</v>
      </c>
      <c r="G2276" s="125">
        <v>41103</v>
      </c>
      <c r="H2276" s="117">
        <v>2495402</v>
      </c>
      <c r="I2276" s="124">
        <v>41015</v>
      </c>
      <c r="J2276" s="124">
        <v>41016</v>
      </c>
      <c r="K2276" s="126">
        <v>5000</v>
      </c>
      <c r="L2276" s="127" t="s">
        <v>569</v>
      </c>
      <c r="M2276" s="125">
        <v>41016</v>
      </c>
      <c r="N2276" s="129" t="str">
        <f>IF(M2276&gt;1/1/1,"Y","N")</f>
        <v>Y</v>
      </c>
      <c r="O2276" s="128" t="s">
        <v>76</v>
      </c>
      <c r="P2276" s="129" t="s">
        <v>589</v>
      </c>
      <c r="Q2276" s="111">
        <f t="shared" si="1692"/>
        <v>2</v>
      </c>
      <c r="R2276" s="111">
        <f t="shared" si="1691"/>
        <v>90</v>
      </c>
      <c r="S2276" s="129">
        <v>0</v>
      </c>
      <c r="T2276" s="129">
        <v>1</v>
      </c>
      <c r="W2276" s="111"/>
      <c r="AC2276" s="130"/>
      <c r="AD2276" s="130">
        <v>33801</v>
      </c>
      <c r="AE2276" s="128" t="s">
        <v>32</v>
      </c>
      <c r="AF2276" s="128" t="s">
        <v>33</v>
      </c>
      <c r="AG2276" s="128" t="s">
        <v>872</v>
      </c>
      <c r="AH2276" s="108" t="s">
        <v>31</v>
      </c>
      <c r="AI2276" s="128" t="s">
        <v>65</v>
      </c>
      <c r="AJ2276" s="129" t="s">
        <v>48</v>
      </c>
      <c r="AK2276" s="129">
        <v>5</v>
      </c>
      <c r="AL2276" s="3" t="s">
        <v>48</v>
      </c>
      <c r="AP2276" s="129" t="s">
        <v>93</v>
      </c>
      <c r="AR2276" s="128" t="s">
        <v>67</v>
      </c>
      <c r="AS2276" s="129" t="s">
        <v>45</v>
      </c>
      <c r="AT2276" s="129" t="s">
        <v>494</v>
      </c>
      <c r="BC2276" s="129" t="s">
        <v>52</v>
      </c>
      <c r="BF2276" s="111">
        <f t="shared" si="1696"/>
        <v>2</v>
      </c>
      <c r="BG2276" s="111">
        <f t="shared" si="1697"/>
        <v>89</v>
      </c>
      <c r="BH2276" s="111">
        <f t="shared" si="1664"/>
        <v>90</v>
      </c>
      <c r="BI2276" s="111">
        <f t="shared" si="1665"/>
        <v>19.707650273224044</v>
      </c>
      <c r="BJ2276" s="129">
        <f>(G2276-J2276)+(M2276-G2276)</f>
        <v>0</v>
      </c>
      <c r="BK2276" s="129">
        <f t="shared" si="1666"/>
        <v>-87</v>
      </c>
      <c r="BL2276" s="129" t="str">
        <f t="shared" si="1658"/>
        <v>DEFERRED</v>
      </c>
      <c r="BM2276" s="129" t="s">
        <v>76</v>
      </c>
      <c r="BN2276" s="129" t="s">
        <v>88</v>
      </c>
      <c r="BP2276" s="137" t="str">
        <f t="shared" si="1678"/>
        <v>DEFERRED</v>
      </c>
      <c r="BQ2276" s="128" t="str">
        <f t="shared" si="1670"/>
        <v>Y</v>
      </c>
      <c r="BR2276" s="129" t="str">
        <f t="shared" si="1679"/>
        <v>ON BOND</v>
      </c>
      <c r="BS2276" s="129" t="str">
        <f t="shared" si="1680"/>
        <v>DISPOSED</v>
      </c>
      <c r="BT2276" s="129" t="str">
        <f t="shared" si="1671"/>
        <v>N</v>
      </c>
      <c r="BU2276" s="109">
        <f t="shared" si="1681"/>
        <v>2.2222222222222223E-2</v>
      </c>
      <c r="BV2276" s="109">
        <f t="shared" si="1672"/>
        <v>2.247191011235955E-2</v>
      </c>
      <c r="BW2276" s="109">
        <f t="shared" si="1699"/>
        <v>2.4968789013732687E-4</v>
      </c>
      <c r="BX2276" s="111">
        <f t="shared" si="1673"/>
        <v>0</v>
      </c>
      <c r="BY2276" s="129">
        <f t="shared" si="1674"/>
        <v>-2</v>
      </c>
      <c r="BZ2276" s="111">
        <f t="shared" si="1675"/>
        <v>0</v>
      </c>
      <c r="CA2276" s="138">
        <f t="shared" si="1676"/>
        <v>2</v>
      </c>
      <c r="CB2276" s="111" t="e">
        <f t="shared" si="1698"/>
        <v>#VALUE!</v>
      </c>
      <c r="CC2276" s="129">
        <f>M2276-I2276+1</f>
        <v>2</v>
      </c>
      <c r="CD2276" s="111">
        <f>CC2276-BF2276</f>
        <v>0</v>
      </c>
      <c r="CG2276" s="129" t="str">
        <f t="shared" si="1677"/>
        <v>Y</v>
      </c>
      <c r="CI2276" s="129" t="str">
        <f t="shared" si="1682"/>
        <v>0-10 DAYS</v>
      </c>
      <c r="CJ2276" s="137">
        <f t="shared" si="1683"/>
        <v>1</v>
      </c>
      <c r="CK2276" s="129" t="str">
        <f t="shared" si="1684"/>
        <v>Booked</v>
      </c>
    </row>
    <row r="2277" spans="1:89" ht="15.75" customHeight="1" x14ac:dyDescent="0.25">
      <c r="A2277" s="111">
        <v>1499</v>
      </c>
      <c r="B2277" s="128" t="str">
        <f t="shared" si="1667"/>
        <v>N</v>
      </c>
      <c r="C2277" s="128" t="str">
        <f t="shared" si="1668"/>
        <v>N</v>
      </c>
      <c r="D2277" s="117">
        <v>2496956</v>
      </c>
      <c r="E2277" s="135">
        <f t="shared" si="1669"/>
        <v>2</v>
      </c>
      <c r="F2277" s="124">
        <v>40964</v>
      </c>
      <c r="G2277" s="125">
        <v>41003</v>
      </c>
      <c r="H2277" s="117">
        <v>2496956</v>
      </c>
      <c r="I2277" s="124">
        <v>40964</v>
      </c>
      <c r="J2277" s="124">
        <v>41003</v>
      </c>
      <c r="K2277" s="126">
        <v>15000</v>
      </c>
      <c r="L2277" s="127" t="s">
        <v>571</v>
      </c>
      <c r="N2277" s="129" t="str">
        <f>IF(M2277&gt;1/1/1,"Y","N")</f>
        <v>N</v>
      </c>
      <c r="O2277" s="128" t="s">
        <v>917</v>
      </c>
      <c r="P2277" s="129" t="s">
        <v>589</v>
      </c>
      <c r="Q2277" s="111">
        <f t="shared" si="1692"/>
        <v>40</v>
      </c>
      <c r="R2277" s="111">
        <f t="shared" si="1691"/>
        <v>40</v>
      </c>
      <c r="S2277" s="129">
        <v>1</v>
      </c>
      <c r="T2277" s="129">
        <v>3</v>
      </c>
      <c r="W2277" s="111"/>
      <c r="AB2277" s="131" t="s">
        <v>112</v>
      </c>
      <c r="AC2277" s="130"/>
      <c r="AD2277" s="130">
        <v>33813</v>
      </c>
      <c r="AE2277" s="128" t="s">
        <v>32</v>
      </c>
      <c r="AF2277" s="128" t="s">
        <v>40</v>
      </c>
      <c r="AG2277" s="128" t="s">
        <v>41</v>
      </c>
      <c r="AH2277" s="108" t="s">
        <v>31</v>
      </c>
      <c r="AI2277" s="128" t="s">
        <v>95</v>
      </c>
      <c r="AJ2277" s="129" t="s">
        <v>48</v>
      </c>
      <c r="AK2277" s="129">
        <v>3</v>
      </c>
      <c r="AL2277" s="3" t="s">
        <v>48</v>
      </c>
      <c r="AP2277" s="129" t="s">
        <v>93</v>
      </c>
      <c r="AR2277" s="128" t="s">
        <v>67</v>
      </c>
      <c r="AS2277" s="129" t="s">
        <v>45</v>
      </c>
      <c r="BC2277" s="129" t="s">
        <v>99</v>
      </c>
      <c r="BF2277" s="111">
        <f t="shared" si="1696"/>
        <v>40</v>
      </c>
      <c r="BG2277" s="111">
        <f t="shared" si="1697"/>
        <v>40</v>
      </c>
      <c r="BH2277" s="111">
        <f t="shared" si="1664"/>
        <v>40</v>
      </c>
      <c r="BI2277" s="111">
        <f t="shared" si="1665"/>
        <v>19.538251366120218</v>
      </c>
      <c r="BJ2277" s="129">
        <f t="shared" si="1685"/>
        <v>0</v>
      </c>
      <c r="BK2277" s="129">
        <f t="shared" si="1666"/>
        <v>0</v>
      </c>
      <c r="BL2277" s="129" t="str">
        <f t="shared" si="1658"/>
        <v>DEFERRED</v>
      </c>
      <c r="BM2277" s="129" t="str">
        <f t="shared" si="1686"/>
        <v>NONE</v>
      </c>
      <c r="BN2277" s="129" t="s">
        <v>566</v>
      </c>
      <c r="BP2277" s="137" t="str">
        <f t="shared" si="1678"/>
        <v>DEFERRED</v>
      </c>
      <c r="BQ2277" s="128" t="str">
        <f t="shared" si="1670"/>
        <v>Y</v>
      </c>
      <c r="BR2277" s="129" t="str">
        <f t="shared" si="1679"/>
        <v>DETAINED</v>
      </c>
      <c r="BS2277" s="129" t="str">
        <f t="shared" si="1680"/>
        <v>DISPOSED</v>
      </c>
      <c r="BT2277" s="129" t="str">
        <f t="shared" si="1671"/>
        <v>Y</v>
      </c>
      <c r="BU2277" s="109">
        <f t="shared" si="1681"/>
        <v>1</v>
      </c>
      <c r="BV2277" s="109">
        <f t="shared" si="1672"/>
        <v>1</v>
      </c>
      <c r="BW2277" s="109">
        <f t="shared" si="1699"/>
        <v>0</v>
      </c>
      <c r="BX2277" s="111">
        <f t="shared" si="1673"/>
        <v>0</v>
      </c>
      <c r="BY2277" s="129">
        <f t="shared" si="1674"/>
        <v>-40</v>
      </c>
      <c r="BZ2277" s="111">
        <f t="shared" si="1675"/>
        <v>0</v>
      </c>
      <c r="CA2277" s="138">
        <f t="shared" si="1676"/>
        <v>40</v>
      </c>
      <c r="CB2277" s="111" t="e">
        <f t="shared" si="1698"/>
        <v>#VALUE!</v>
      </c>
      <c r="CC2277" s="129">
        <f>G2277-I2277+1</f>
        <v>40</v>
      </c>
      <c r="CD2277" s="129">
        <f>G2277-J2277</f>
        <v>0</v>
      </c>
      <c r="CG2277" s="129" t="str">
        <f t="shared" si="1677"/>
        <v>Y</v>
      </c>
      <c r="CI2277" s="129" t="str">
        <f t="shared" si="1682"/>
        <v>31-60 DAYS</v>
      </c>
      <c r="CJ2277" s="137">
        <f t="shared" si="1683"/>
        <v>3</v>
      </c>
      <c r="CK2277" s="129" t="str">
        <f t="shared" si="1684"/>
        <v>Booked</v>
      </c>
    </row>
    <row r="2278" spans="1:89" ht="15" customHeight="1" x14ac:dyDescent="0.25">
      <c r="A2278" s="111">
        <v>322</v>
      </c>
      <c r="B2278" s="128" t="str">
        <f t="shared" si="1667"/>
        <v>N</v>
      </c>
      <c r="C2278" s="128" t="str">
        <f t="shared" si="1668"/>
        <v>N</v>
      </c>
      <c r="D2278" s="117">
        <v>2497766</v>
      </c>
      <c r="E2278" s="135">
        <f t="shared" si="1669"/>
        <v>1</v>
      </c>
      <c r="F2278" s="124">
        <v>40921</v>
      </c>
      <c r="G2278" s="125">
        <v>41011</v>
      </c>
      <c r="H2278" s="117">
        <v>2497766</v>
      </c>
      <c r="I2278" s="124">
        <v>40925</v>
      </c>
      <c r="J2278" s="124">
        <v>40925</v>
      </c>
      <c r="K2278" s="126">
        <v>30000</v>
      </c>
      <c r="L2278" s="129" t="s">
        <v>572</v>
      </c>
      <c r="M2278" s="125">
        <v>40925</v>
      </c>
      <c r="N2278" s="129" t="str">
        <f>IF(M2278&gt;1/1/1,"Y","N")</f>
        <v>Y</v>
      </c>
      <c r="O2278" s="128" t="s">
        <v>76</v>
      </c>
      <c r="P2278" s="129" t="s">
        <v>123</v>
      </c>
      <c r="Q2278" s="111">
        <f t="shared" si="1692"/>
        <v>1</v>
      </c>
      <c r="R2278" s="111">
        <f t="shared" si="1691"/>
        <v>91</v>
      </c>
      <c r="S2278" s="129">
        <v>0</v>
      </c>
      <c r="T2278" s="129">
        <v>0</v>
      </c>
      <c r="W2278" s="111"/>
      <c r="AC2278" s="130"/>
      <c r="AD2278" s="130">
        <v>30781</v>
      </c>
      <c r="AE2278" s="128" t="s">
        <v>46</v>
      </c>
      <c r="AF2278" s="128" t="s">
        <v>40</v>
      </c>
      <c r="AG2278" s="128" t="s">
        <v>41</v>
      </c>
      <c r="AH2278" s="108" t="s">
        <v>41</v>
      </c>
      <c r="AI2278" s="128" t="s">
        <v>47</v>
      </c>
      <c r="AJ2278" s="129" t="s">
        <v>123</v>
      </c>
      <c r="AK2278" s="129">
        <v>5</v>
      </c>
      <c r="AL2278" s="3" t="s">
        <v>123</v>
      </c>
      <c r="AP2278" s="129" t="s">
        <v>129</v>
      </c>
      <c r="AR2278" s="128" t="s">
        <v>92</v>
      </c>
      <c r="AS2278" s="129" t="s">
        <v>126</v>
      </c>
      <c r="BC2278" s="129" t="s">
        <v>52</v>
      </c>
      <c r="BF2278" s="111">
        <f t="shared" si="1696"/>
        <v>1</v>
      </c>
      <c r="BG2278" s="111">
        <f t="shared" si="1697"/>
        <v>87</v>
      </c>
      <c r="BH2278" s="111">
        <f t="shared" si="1664"/>
        <v>91</v>
      </c>
      <c r="BI2278" s="111">
        <f t="shared" si="1665"/>
        <v>27.704918032786885</v>
      </c>
      <c r="BJ2278" s="129">
        <f>(G2278-J2278)+(M2278-G2278)</f>
        <v>0</v>
      </c>
      <c r="BK2278" s="129">
        <f t="shared" si="1666"/>
        <v>-86</v>
      </c>
      <c r="BL2278" s="129" t="str">
        <f t="shared" si="1658"/>
        <v>NO CONVICTION</v>
      </c>
      <c r="BM2278" s="129" t="s">
        <v>76</v>
      </c>
      <c r="BN2278" s="129" t="s">
        <v>88</v>
      </c>
      <c r="BP2278" s="137" t="str">
        <f t="shared" si="1678"/>
        <v>NO CONVICTION</v>
      </c>
      <c r="BQ2278" s="128" t="str">
        <f t="shared" si="1670"/>
        <v>Y</v>
      </c>
      <c r="BR2278" s="129" t="str">
        <f t="shared" si="1679"/>
        <v>ON BOND</v>
      </c>
      <c r="BS2278" s="129" t="str">
        <f t="shared" si="1680"/>
        <v>DISPOSED</v>
      </c>
      <c r="BT2278" s="129" t="str">
        <f t="shared" si="1671"/>
        <v>N</v>
      </c>
      <c r="BU2278" s="109">
        <f>IFERROR(Q2278/R2278,BR2278)</f>
        <v>1.098901098901099E-2</v>
      </c>
      <c r="BV2278" s="109">
        <f t="shared" si="1672"/>
        <v>1.1494252873563218E-2</v>
      </c>
      <c r="BW2278" s="109">
        <f t="shared" si="1699"/>
        <v>5.0524188455222836E-4</v>
      </c>
      <c r="BX2278" s="111">
        <f t="shared" si="1673"/>
        <v>0</v>
      </c>
      <c r="BY2278" s="129">
        <f t="shared" si="1674"/>
        <v>-1</v>
      </c>
      <c r="BZ2278" s="111">
        <f t="shared" si="1675"/>
        <v>0</v>
      </c>
      <c r="CA2278" s="138">
        <f t="shared" si="1676"/>
        <v>1</v>
      </c>
      <c r="CB2278" s="111" t="e">
        <f t="shared" si="1698"/>
        <v>#VALUE!</v>
      </c>
      <c r="CC2278" s="129">
        <f>M2278-I2278+1</f>
        <v>1</v>
      </c>
      <c r="CD2278" s="111">
        <f>CC2278-BF2278</f>
        <v>0</v>
      </c>
      <c r="CG2278" s="129" t="str">
        <f t="shared" si="1677"/>
        <v>N</v>
      </c>
      <c r="CI2278" s="129" t="str">
        <f t="shared" si="1682"/>
        <v>0-10 DAYS</v>
      </c>
      <c r="CJ2278" s="137">
        <f t="shared" si="1683"/>
        <v>1</v>
      </c>
      <c r="CK2278" s="129" t="str">
        <f t="shared" si="1684"/>
        <v>Booked</v>
      </c>
    </row>
    <row r="2279" spans="1:89" ht="15.75" customHeight="1" x14ac:dyDescent="0.25">
      <c r="A2279" s="111">
        <v>423</v>
      </c>
      <c r="B2279" s="128" t="str">
        <f t="shared" si="1667"/>
        <v>N</v>
      </c>
      <c r="C2279" s="128" t="str">
        <f t="shared" si="1668"/>
        <v>N</v>
      </c>
      <c r="D2279" s="117">
        <v>2498048</v>
      </c>
      <c r="E2279" s="135">
        <f t="shared" si="1669"/>
        <v>2</v>
      </c>
      <c r="F2279" s="124">
        <v>40926</v>
      </c>
      <c r="G2279" s="125">
        <v>41320</v>
      </c>
      <c r="H2279" s="117">
        <v>2498048</v>
      </c>
      <c r="I2279" s="124" t="s">
        <v>562</v>
      </c>
      <c r="J2279" s="124" t="s">
        <v>562</v>
      </c>
      <c r="K2279" s="126">
        <v>30000</v>
      </c>
      <c r="L2279" s="129" t="s">
        <v>572</v>
      </c>
      <c r="M2279" s="125">
        <v>40930</v>
      </c>
      <c r="N2279" s="129" t="str">
        <f>IF(M2279&gt;1/1/1,"Y",IF(Q2279="0","","N"))</f>
        <v>Y</v>
      </c>
      <c r="O2279" s="128" t="s">
        <v>76</v>
      </c>
      <c r="P2279" s="129" t="s">
        <v>589</v>
      </c>
      <c r="Q2279" s="111">
        <f t="shared" si="1692"/>
        <v>0</v>
      </c>
      <c r="R2279" s="111">
        <f t="shared" si="1691"/>
        <v>395</v>
      </c>
      <c r="S2279" s="129">
        <v>0</v>
      </c>
      <c r="T2279" s="129">
        <v>0</v>
      </c>
      <c r="W2279" s="111"/>
      <c r="AC2279" s="130"/>
      <c r="AD2279" s="130">
        <v>32498</v>
      </c>
      <c r="AE2279" s="128" t="s">
        <v>32</v>
      </c>
      <c r="AF2279" s="128" t="s">
        <v>33</v>
      </c>
      <c r="AG2279" s="128" t="s">
        <v>872</v>
      </c>
      <c r="AH2279" s="108" t="s">
        <v>31</v>
      </c>
      <c r="AI2279" s="128" t="s">
        <v>87</v>
      </c>
      <c r="AJ2279" s="129" t="s">
        <v>48</v>
      </c>
      <c r="AK2279" s="129">
        <v>17</v>
      </c>
      <c r="AL2279" s="3" t="s">
        <v>48</v>
      </c>
      <c r="AP2279" s="129" t="s">
        <v>129</v>
      </c>
      <c r="AR2279" s="128" t="s">
        <v>92</v>
      </c>
      <c r="AS2279" s="129" t="s">
        <v>126</v>
      </c>
      <c r="BC2279" s="129" t="s">
        <v>52</v>
      </c>
      <c r="BF2279" s="111">
        <v>0</v>
      </c>
      <c r="BG2279" s="111">
        <v>0</v>
      </c>
      <c r="BH2279" s="111">
        <f t="shared" si="1664"/>
        <v>395</v>
      </c>
      <c r="BI2279" s="111">
        <f t="shared" si="1665"/>
        <v>23.027322404371585</v>
      </c>
      <c r="BJ2279" s="129" t="e">
        <f>(G2279-J2279)+(M2279-G2279)</f>
        <v>#VALUE!</v>
      </c>
      <c r="BK2279" s="129" t="e">
        <f t="shared" si="1666"/>
        <v>#VALUE!</v>
      </c>
      <c r="BL2279" s="129" t="str">
        <f t="shared" si="1658"/>
        <v>DEFERRED</v>
      </c>
      <c r="BM2279" s="129" t="s">
        <v>76</v>
      </c>
      <c r="BN2279" s="129" t="s">
        <v>88</v>
      </c>
      <c r="BP2279" s="137" t="str">
        <f t="shared" si="1678"/>
        <v>DEFERRED</v>
      </c>
      <c r="BQ2279" s="128">
        <f t="shared" si="1670"/>
        <v>0</v>
      </c>
      <c r="BR2279" s="129" t="s">
        <v>575</v>
      </c>
      <c r="BS2279" s="129" t="str">
        <f t="shared" si="1680"/>
        <v>DISPOSED</v>
      </c>
      <c r="BT2279" s="129" t="str">
        <f t="shared" si="1671"/>
        <v>N</v>
      </c>
      <c r="BU2279" s="109">
        <f t="shared" si="1681"/>
        <v>0</v>
      </c>
      <c r="BV2279" s="109">
        <v>0</v>
      </c>
      <c r="BW2279" s="109">
        <f t="shared" si="1699"/>
        <v>0</v>
      </c>
      <c r="BX2279" s="111">
        <f t="shared" si="1673"/>
        <v>0</v>
      </c>
      <c r="BY2279" s="129" t="e">
        <f t="shared" si="1674"/>
        <v>#VALUE!</v>
      </c>
      <c r="BZ2279" s="111" t="e">
        <f t="shared" si="1675"/>
        <v>#VALUE!</v>
      </c>
      <c r="CA2279" s="138" t="e">
        <f t="shared" si="1676"/>
        <v>#VALUE!</v>
      </c>
      <c r="CB2279" s="111">
        <v>0</v>
      </c>
      <c r="CC2279" s="129">
        <v>0</v>
      </c>
      <c r="CD2279" s="111">
        <f>CC2279-BF2279</f>
        <v>0</v>
      </c>
      <c r="CG2279" s="129" t="str">
        <f t="shared" si="1677"/>
        <v>N</v>
      </c>
      <c r="CI2279" s="129" t="str">
        <f t="shared" si="1682"/>
        <v>0-10 DAYS</v>
      </c>
      <c r="CJ2279" s="137">
        <f t="shared" si="1683"/>
        <v>1</v>
      </c>
      <c r="CK2279" s="129" t="str">
        <f t="shared" si="1684"/>
        <v>Not Booked</v>
      </c>
    </row>
    <row r="2280" spans="1:89" ht="15.75" customHeight="1" x14ac:dyDescent="0.25">
      <c r="A2280" s="111">
        <v>942</v>
      </c>
      <c r="B2280" s="128" t="str">
        <f t="shared" si="1667"/>
        <v>N</v>
      </c>
      <c r="C2280" s="128" t="str">
        <f t="shared" si="1668"/>
        <v>N</v>
      </c>
      <c r="D2280" s="117">
        <v>2498424</v>
      </c>
      <c r="E2280" s="135">
        <f t="shared" si="1669"/>
        <v>1</v>
      </c>
      <c r="F2280" s="124">
        <v>40943</v>
      </c>
      <c r="G2280" s="125">
        <v>41382</v>
      </c>
      <c r="H2280" s="117">
        <v>2498424</v>
      </c>
      <c r="I2280" s="124">
        <v>40943</v>
      </c>
      <c r="J2280" s="124">
        <v>41251</v>
      </c>
      <c r="K2280" s="126">
        <v>30000</v>
      </c>
      <c r="L2280" s="129" t="s">
        <v>572</v>
      </c>
      <c r="M2280" s="124">
        <v>41251</v>
      </c>
      <c r="N2280" s="129" t="str">
        <f t="shared" ref="N2280:N2285" si="1700">IF(M2280&gt;1/1/1,"Y","N")</f>
        <v>Y</v>
      </c>
      <c r="O2280" s="128" t="s">
        <v>76</v>
      </c>
      <c r="P2280" s="129" t="s">
        <v>55</v>
      </c>
      <c r="Q2280" s="111">
        <f t="shared" si="1692"/>
        <v>309</v>
      </c>
      <c r="R2280" s="111">
        <f t="shared" si="1691"/>
        <v>440</v>
      </c>
      <c r="S2280" s="129">
        <v>2</v>
      </c>
      <c r="T2280" s="129">
        <v>1</v>
      </c>
      <c r="U2280" s="129">
        <v>1</v>
      </c>
      <c r="W2280" s="111"/>
      <c r="AC2280" s="130"/>
      <c r="AD2280" s="130">
        <v>34053</v>
      </c>
      <c r="AE2280" s="128" t="s">
        <v>32</v>
      </c>
      <c r="AF2280" s="128" t="s">
        <v>33</v>
      </c>
      <c r="AG2280" s="128" t="s">
        <v>872</v>
      </c>
      <c r="AH2280" s="108" t="s">
        <v>31</v>
      </c>
      <c r="AI2280" s="128" t="s">
        <v>80</v>
      </c>
      <c r="AJ2280" s="129" t="s">
        <v>55</v>
      </c>
      <c r="AK2280" s="129">
        <v>11</v>
      </c>
      <c r="AL2280" s="3" t="s">
        <v>55</v>
      </c>
      <c r="AP2280" s="129" t="s">
        <v>105</v>
      </c>
      <c r="AR2280" s="128" t="s">
        <v>92</v>
      </c>
      <c r="AS2280" s="129" t="s">
        <v>106</v>
      </c>
      <c r="BC2280" s="129" t="s">
        <v>38</v>
      </c>
      <c r="BF2280" s="111">
        <f t="shared" ref="BF2280:BF2308" si="1701">IF(J2280&gt;1/1/1900,((J2280+1)-I2280),"STILL OPEN")</f>
        <v>309</v>
      </c>
      <c r="BG2280" s="111">
        <f t="shared" ref="BG2280:BG2309" si="1702">IF(G2280&gt;1/1/1900,((G2280+1)-I2280),"STILL OPEN")</f>
        <v>440</v>
      </c>
      <c r="BH2280" s="111">
        <f t="shared" si="1664"/>
        <v>440</v>
      </c>
      <c r="BI2280" s="111">
        <f t="shared" si="1665"/>
        <v>18.825136612021858</v>
      </c>
      <c r="BJ2280" s="129">
        <f>(G2280-J2280)+(M2280-G2280)</f>
        <v>0</v>
      </c>
      <c r="BK2280" s="129">
        <f t="shared" si="1666"/>
        <v>-131</v>
      </c>
      <c r="BL2280" s="129" t="str">
        <f t="shared" si="1658"/>
        <v>NO CONVICTION</v>
      </c>
      <c r="BM2280" s="129" t="str">
        <f t="shared" si="1686"/>
        <v>SURETY</v>
      </c>
      <c r="BN2280" s="129" t="s">
        <v>88</v>
      </c>
      <c r="BP2280" s="137" t="str">
        <f t="shared" si="1678"/>
        <v>NO CONVICTION</v>
      </c>
      <c r="BQ2280" s="128" t="str">
        <f t="shared" si="1670"/>
        <v>Y</v>
      </c>
      <c r="BR2280" s="129" t="str">
        <f t="shared" si="1679"/>
        <v>ON BOND</v>
      </c>
      <c r="BS2280" s="129" t="str">
        <f t="shared" si="1680"/>
        <v>DISPOSED</v>
      </c>
      <c r="BT2280" s="129" t="str">
        <f t="shared" si="1671"/>
        <v>Y</v>
      </c>
      <c r="BU2280" s="109">
        <f>IFERROR(Q2280/R2280,BR2280)</f>
        <v>0.70227272727272727</v>
      </c>
      <c r="BV2280" s="109">
        <f t="shared" si="1672"/>
        <v>0.70227272727272727</v>
      </c>
      <c r="BW2280" s="109">
        <f t="shared" si="1699"/>
        <v>0</v>
      </c>
      <c r="BX2280" s="111">
        <f t="shared" si="1673"/>
        <v>0</v>
      </c>
      <c r="BY2280" s="129">
        <f t="shared" si="1674"/>
        <v>-309</v>
      </c>
      <c r="BZ2280" s="111">
        <f t="shared" si="1675"/>
        <v>0</v>
      </c>
      <c r="CA2280" s="138">
        <f t="shared" si="1676"/>
        <v>309</v>
      </c>
      <c r="CB2280" s="111" t="e">
        <f t="shared" ref="CB2280:CB2308" si="1703">IF(AF2280&gt;1/1/1900,((AF2280+1)-AE2280),"STILL OPEN")</f>
        <v>#VALUE!</v>
      </c>
      <c r="CC2280" s="129">
        <f>M2280-I2280+1</f>
        <v>309</v>
      </c>
      <c r="CD2280" s="111">
        <f>CC2280-BF2280</f>
        <v>0</v>
      </c>
      <c r="CG2280" s="129" t="str">
        <f t="shared" si="1677"/>
        <v>Y</v>
      </c>
      <c r="CI2280" s="129" t="str">
        <f t="shared" si="1682"/>
        <v>121-365 DAYS</v>
      </c>
      <c r="CJ2280" s="137">
        <f t="shared" si="1683"/>
        <v>6</v>
      </c>
      <c r="CK2280" s="129" t="str">
        <f t="shared" si="1684"/>
        <v>Booked</v>
      </c>
    </row>
    <row r="2281" spans="1:89" ht="15.75" customHeight="1" x14ac:dyDescent="0.25">
      <c r="A2281" s="111">
        <v>2519</v>
      </c>
      <c r="B2281" s="128" t="str">
        <f t="shared" si="1667"/>
        <v>N</v>
      </c>
      <c r="C2281" s="128" t="str">
        <f t="shared" si="1668"/>
        <v>N</v>
      </c>
      <c r="D2281" s="117">
        <v>2498614</v>
      </c>
      <c r="E2281" s="135">
        <f t="shared" si="1669"/>
        <v>2</v>
      </c>
      <c r="F2281" s="124">
        <v>41003</v>
      </c>
      <c r="G2281" s="125">
        <v>41009</v>
      </c>
      <c r="H2281" s="117">
        <v>2498614</v>
      </c>
      <c r="I2281" s="124">
        <v>41004</v>
      </c>
      <c r="J2281" s="124">
        <v>41009</v>
      </c>
      <c r="K2281" s="126">
        <v>2000</v>
      </c>
      <c r="L2281" s="127" t="s">
        <v>568</v>
      </c>
      <c r="N2281" s="129" t="str">
        <f t="shared" si="1700"/>
        <v>N</v>
      </c>
      <c r="O2281" s="128" t="s">
        <v>917</v>
      </c>
      <c r="P2281" s="129" t="s">
        <v>589</v>
      </c>
      <c r="Q2281" s="111">
        <f t="shared" si="1692"/>
        <v>6</v>
      </c>
      <c r="R2281" s="111">
        <f t="shared" si="1691"/>
        <v>7</v>
      </c>
      <c r="S2281" s="129">
        <v>0</v>
      </c>
      <c r="T2281" s="129">
        <v>1</v>
      </c>
      <c r="W2281" s="111"/>
      <c r="AC2281" s="130"/>
      <c r="AD2281" s="130">
        <v>33802</v>
      </c>
      <c r="AE2281" s="128" t="s">
        <v>32</v>
      </c>
      <c r="AF2281" s="128" t="s">
        <v>33</v>
      </c>
      <c r="AG2281" s="128" t="s">
        <v>872</v>
      </c>
      <c r="AH2281" s="108" t="s">
        <v>31</v>
      </c>
      <c r="AI2281" s="128" t="s">
        <v>47</v>
      </c>
      <c r="AJ2281" s="129" t="s">
        <v>48</v>
      </c>
      <c r="AK2281" s="129">
        <v>2</v>
      </c>
      <c r="AL2281" s="3" t="s">
        <v>48</v>
      </c>
      <c r="AP2281" s="129" t="s">
        <v>43</v>
      </c>
      <c r="AR2281" s="128" t="s">
        <v>44</v>
      </c>
      <c r="AS2281" s="129" t="s">
        <v>45</v>
      </c>
      <c r="AT2281" s="129" t="s">
        <v>451</v>
      </c>
      <c r="BC2281" s="129" t="s">
        <v>38</v>
      </c>
      <c r="BF2281" s="111">
        <f t="shared" si="1701"/>
        <v>6</v>
      </c>
      <c r="BG2281" s="111">
        <f t="shared" si="1702"/>
        <v>6</v>
      </c>
      <c r="BH2281" s="111">
        <f t="shared" si="1664"/>
        <v>7</v>
      </c>
      <c r="BI2281" s="111">
        <f t="shared" si="1665"/>
        <v>19.674863387978142</v>
      </c>
      <c r="BJ2281" s="129">
        <f t="shared" si="1685"/>
        <v>0</v>
      </c>
      <c r="BK2281" s="129">
        <f t="shared" si="1666"/>
        <v>0</v>
      </c>
      <c r="BL2281" s="129" t="str">
        <f t="shared" si="1658"/>
        <v>DEFERRED</v>
      </c>
      <c r="BM2281" s="129" t="str">
        <f t="shared" si="1686"/>
        <v>NONE</v>
      </c>
      <c r="BN2281" s="129" t="s">
        <v>566</v>
      </c>
      <c r="BP2281" s="137" t="str">
        <f t="shared" si="1678"/>
        <v>DEFERRED</v>
      </c>
      <c r="BQ2281" s="128" t="str">
        <f t="shared" si="1670"/>
        <v>Y</v>
      </c>
      <c r="BR2281" s="129" t="str">
        <f t="shared" si="1679"/>
        <v>DETAINED</v>
      </c>
      <c r="BS2281" s="129" t="str">
        <f t="shared" si="1680"/>
        <v>DISPOSED</v>
      </c>
      <c r="BT2281" s="129" t="str">
        <f t="shared" si="1671"/>
        <v>N</v>
      </c>
      <c r="BU2281" s="109">
        <f t="shared" si="1681"/>
        <v>0.8571428571428571</v>
      </c>
      <c r="BV2281" s="109">
        <f t="shared" si="1672"/>
        <v>1</v>
      </c>
      <c r="BW2281" s="109">
        <f t="shared" si="1699"/>
        <v>0.1428571428571429</v>
      </c>
      <c r="BX2281" s="111">
        <f t="shared" si="1673"/>
        <v>0</v>
      </c>
      <c r="BY2281" s="129">
        <f t="shared" si="1674"/>
        <v>-6</v>
      </c>
      <c r="BZ2281" s="111">
        <f t="shared" si="1675"/>
        <v>0</v>
      </c>
      <c r="CA2281" s="138">
        <f t="shared" si="1676"/>
        <v>6</v>
      </c>
      <c r="CB2281" s="111" t="e">
        <f t="shared" si="1703"/>
        <v>#VALUE!</v>
      </c>
      <c r="CC2281" s="129">
        <f>G2281-I2281+1</f>
        <v>6</v>
      </c>
      <c r="CD2281" s="129">
        <f>G2281-J2281</f>
        <v>0</v>
      </c>
      <c r="CG2281" s="129" t="str">
        <f t="shared" si="1677"/>
        <v>Y</v>
      </c>
      <c r="CI2281" s="129" t="str">
        <f t="shared" si="1682"/>
        <v>0-10 DAYS</v>
      </c>
      <c r="CJ2281" s="137">
        <f t="shared" si="1683"/>
        <v>1</v>
      </c>
      <c r="CK2281" s="129" t="str">
        <f t="shared" si="1684"/>
        <v>Booked</v>
      </c>
    </row>
    <row r="2282" spans="1:89" ht="15" customHeight="1" x14ac:dyDescent="0.25">
      <c r="A2282" s="111">
        <v>2123</v>
      </c>
      <c r="B2282" s="128" t="str">
        <f t="shared" si="1667"/>
        <v>N</v>
      </c>
      <c r="C2282" s="128" t="str">
        <f t="shared" si="1668"/>
        <v>N</v>
      </c>
      <c r="D2282" s="117">
        <v>2499626</v>
      </c>
      <c r="E2282" s="135">
        <f t="shared" si="1669"/>
        <v>6</v>
      </c>
      <c r="F2282" s="124">
        <v>40988</v>
      </c>
      <c r="G2282" s="125">
        <v>41190</v>
      </c>
      <c r="H2282" s="117">
        <v>2499626</v>
      </c>
      <c r="I2282" s="124">
        <v>40989</v>
      </c>
      <c r="J2282" s="124">
        <v>41190</v>
      </c>
      <c r="K2282" s="126">
        <v>160000</v>
      </c>
      <c r="L2282" s="129" t="s">
        <v>572</v>
      </c>
      <c r="N2282" s="129" t="str">
        <f t="shared" si="1700"/>
        <v>N</v>
      </c>
      <c r="O2282" s="128" t="s">
        <v>917</v>
      </c>
      <c r="P2282" s="129" t="s">
        <v>39</v>
      </c>
      <c r="Q2282" s="111">
        <f t="shared" si="1692"/>
        <v>202</v>
      </c>
      <c r="R2282" s="111">
        <f t="shared" si="1691"/>
        <v>203</v>
      </c>
      <c r="S2282" s="129">
        <v>1</v>
      </c>
      <c r="T2282" s="129">
        <v>1</v>
      </c>
      <c r="W2282" s="111"/>
      <c r="AC2282" s="130"/>
      <c r="AD2282" s="130">
        <v>34107</v>
      </c>
      <c r="AE2282" s="128" t="s">
        <v>32</v>
      </c>
      <c r="AF2282" s="128" t="s">
        <v>40</v>
      </c>
      <c r="AG2282" s="128" t="s">
        <v>41</v>
      </c>
      <c r="AH2282" s="108" t="s">
        <v>41</v>
      </c>
      <c r="AI2282" s="128" t="s">
        <v>42</v>
      </c>
      <c r="AJ2282" s="129" t="s">
        <v>89</v>
      </c>
      <c r="AK2282" s="129">
        <v>7</v>
      </c>
      <c r="AL2282" s="3" t="s">
        <v>362</v>
      </c>
      <c r="AM2282" s="117">
        <v>8</v>
      </c>
      <c r="AP2282" s="129" t="s">
        <v>105</v>
      </c>
      <c r="AR2282" s="128" t="s">
        <v>92</v>
      </c>
      <c r="AS2282" s="129" t="s">
        <v>106</v>
      </c>
      <c r="BC2282" s="129" t="s">
        <v>38</v>
      </c>
      <c r="BF2282" s="111">
        <f t="shared" si="1701"/>
        <v>202</v>
      </c>
      <c r="BG2282" s="111">
        <f t="shared" si="1702"/>
        <v>202</v>
      </c>
      <c r="BH2282" s="111">
        <f t="shared" si="1664"/>
        <v>203</v>
      </c>
      <c r="BI2282" s="111">
        <f t="shared" si="1665"/>
        <v>18.800546448087431</v>
      </c>
      <c r="BJ2282" s="129">
        <f t="shared" si="1685"/>
        <v>0</v>
      </c>
      <c r="BK2282" s="129">
        <f t="shared" si="1666"/>
        <v>0</v>
      </c>
      <c r="BL2282" s="129" t="str">
        <f t="shared" si="1658"/>
        <v>CONVICTION</v>
      </c>
      <c r="BM2282" s="129" t="str">
        <f t="shared" si="1686"/>
        <v>NONE</v>
      </c>
      <c r="BN2282" s="129" t="s">
        <v>566</v>
      </c>
      <c r="BP2282" s="137" t="str">
        <f t="shared" si="1678"/>
        <v>CONVICTION</v>
      </c>
      <c r="BQ2282" s="128" t="str">
        <f t="shared" si="1670"/>
        <v>Y</v>
      </c>
      <c r="BR2282" s="129" t="str">
        <f t="shared" si="1679"/>
        <v>DETAINED</v>
      </c>
      <c r="BS2282" s="129" t="str">
        <f t="shared" si="1680"/>
        <v>DISPOSED</v>
      </c>
      <c r="BT2282" s="129" t="str">
        <f t="shared" si="1671"/>
        <v>Y</v>
      </c>
      <c r="BU2282" s="109">
        <f t="shared" si="1681"/>
        <v>0.99507389162561577</v>
      </c>
      <c r="BV2282" s="109">
        <f t="shared" si="1672"/>
        <v>1</v>
      </c>
      <c r="BW2282" s="109">
        <f t="shared" si="1699"/>
        <v>4.9261083743842304E-3</v>
      </c>
      <c r="BX2282" s="111">
        <f t="shared" si="1673"/>
        <v>0</v>
      </c>
      <c r="BY2282" s="129">
        <f t="shared" si="1674"/>
        <v>-202</v>
      </c>
      <c r="BZ2282" s="111">
        <f t="shared" si="1675"/>
        <v>0</v>
      </c>
      <c r="CA2282" s="138">
        <f t="shared" si="1676"/>
        <v>202</v>
      </c>
      <c r="CB2282" s="111" t="e">
        <f t="shared" si="1703"/>
        <v>#VALUE!</v>
      </c>
      <c r="CC2282" s="129">
        <f>G2282-I2282+1</f>
        <v>202</v>
      </c>
      <c r="CD2282" s="129">
        <f>G2282-J2282</f>
        <v>0</v>
      </c>
      <c r="CG2282" s="129" t="str">
        <f t="shared" si="1677"/>
        <v>Y</v>
      </c>
      <c r="CI2282" s="129" t="str">
        <f t="shared" si="1682"/>
        <v>121-365 DAYS</v>
      </c>
      <c r="CJ2282" s="137">
        <f t="shared" si="1683"/>
        <v>6</v>
      </c>
      <c r="CK2282" s="129" t="str">
        <f t="shared" si="1684"/>
        <v>Booked</v>
      </c>
    </row>
    <row r="2283" spans="1:89" ht="15.75" customHeight="1" x14ac:dyDescent="0.25">
      <c r="A2283" s="111">
        <v>1173</v>
      </c>
      <c r="B2283" s="128" t="str">
        <f t="shared" si="1667"/>
        <v>N</v>
      </c>
      <c r="C2283" s="128" t="str">
        <f t="shared" si="1668"/>
        <v>N</v>
      </c>
      <c r="D2283" s="117">
        <v>2499874</v>
      </c>
      <c r="E2283" s="135">
        <f t="shared" si="1669"/>
        <v>6</v>
      </c>
      <c r="F2283" s="124">
        <v>40951</v>
      </c>
      <c r="G2283" s="125">
        <v>41025</v>
      </c>
      <c r="H2283" s="117">
        <v>2499874</v>
      </c>
      <c r="I2283" s="124">
        <v>40952</v>
      </c>
      <c r="J2283" s="124">
        <v>41025</v>
      </c>
      <c r="K2283" s="126">
        <v>35000</v>
      </c>
      <c r="L2283" s="129" t="s">
        <v>572</v>
      </c>
      <c r="N2283" s="129" t="str">
        <f t="shared" si="1700"/>
        <v>N</v>
      </c>
      <c r="O2283" s="128" t="s">
        <v>917</v>
      </c>
      <c r="P2283" s="129" t="s">
        <v>39</v>
      </c>
      <c r="Q2283" s="111">
        <f t="shared" si="1692"/>
        <v>74</v>
      </c>
      <c r="R2283" s="111">
        <f t="shared" si="1691"/>
        <v>75</v>
      </c>
      <c r="S2283" s="129">
        <v>1</v>
      </c>
      <c r="T2283" s="129">
        <v>2</v>
      </c>
      <c r="W2283" s="111"/>
      <c r="AB2283" s="131" t="s">
        <v>112</v>
      </c>
      <c r="AC2283" s="130"/>
      <c r="AD2283" s="130">
        <v>33742</v>
      </c>
      <c r="AE2283" s="128" t="s">
        <v>32</v>
      </c>
      <c r="AF2283" s="128" t="s">
        <v>40</v>
      </c>
      <c r="AG2283" s="128" t="s">
        <v>41</v>
      </c>
      <c r="AH2283" s="108" t="s">
        <v>31</v>
      </c>
      <c r="AI2283" s="128" t="s">
        <v>70</v>
      </c>
      <c r="AJ2283" s="129" t="s">
        <v>89</v>
      </c>
      <c r="AK2283" s="129">
        <v>6</v>
      </c>
      <c r="AL2283" s="3" t="s">
        <v>362</v>
      </c>
      <c r="AM2283" s="117">
        <v>3</v>
      </c>
      <c r="AP2283" s="129" t="s">
        <v>221</v>
      </c>
      <c r="AR2283" s="128" t="s">
        <v>67</v>
      </c>
      <c r="AS2283" s="129" t="s">
        <v>64</v>
      </c>
      <c r="BC2283" s="129" t="s">
        <v>38</v>
      </c>
      <c r="BF2283" s="111">
        <f t="shared" si="1701"/>
        <v>74</v>
      </c>
      <c r="BG2283" s="111">
        <f t="shared" si="1702"/>
        <v>74</v>
      </c>
      <c r="BH2283" s="111">
        <f t="shared" si="1664"/>
        <v>75</v>
      </c>
      <c r="BI2283" s="111">
        <f t="shared" si="1665"/>
        <v>19.696721311475411</v>
      </c>
      <c r="BJ2283" s="129">
        <f t="shared" si="1685"/>
        <v>0</v>
      </c>
      <c r="BK2283" s="129">
        <f t="shared" si="1666"/>
        <v>0</v>
      </c>
      <c r="BL2283" s="129" t="str">
        <f t="shared" si="1658"/>
        <v>CONVICTION</v>
      </c>
      <c r="BM2283" s="129" t="str">
        <f t="shared" si="1686"/>
        <v>NONE</v>
      </c>
      <c r="BN2283" s="129" t="s">
        <v>566</v>
      </c>
      <c r="BP2283" s="137" t="str">
        <f t="shared" si="1678"/>
        <v>CONVICTION</v>
      </c>
      <c r="BQ2283" s="128" t="str">
        <f t="shared" si="1670"/>
        <v>Y</v>
      </c>
      <c r="BR2283" s="129" t="str">
        <f t="shared" si="1679"/>
        <v>DETAINED</v>
      </c>
      <c r="BS2283" s="129" t="str">
        <f t="shared" si="1680"/>
        <v>DISPOSED</v>
      </c>
      <c r="BT2283" s="129" t="str">
        <f t="shared" si="1671"/>
        <v>Y</v>
      </c>
      <c r="BU2283" s="109">
        <f t="shared" si="1681"/>
        <v>0.98666666666666669</v>
      </c>
      <c r="BV2283" s="109">
        <f t="shared" si="1672"/>
        <v>1</v>
      </c>
      <c r="BW2283" s="109">
        <f t="shared" si="1699"/>
        <v>1.3333333333333308E-2</v>
      </c>
      <c r="BX2283" s="111">
        <f t="shared" si="1673"/>
        <v>0</v>
      </c>
      <c r="BY2283" s="129">
        <f t="shared" si="1674"/>
        <v>-74</v>
      </c>
      <c r="BZ2283" s="111">
        <f t="shared" si="1675"/>
        <v>0</v>
      </c>
      <c r="CA2283" s="138">
        <f t="shared" si="1676"/>
        <v>74</v>
      </c>
      <c r="CB2283" s="111" t="e">
        <f t="shared" si="1703"/>
        <v>#VALUE!</v>
      </c>
      <c r="CC2283" s="129">
        <f>G2283-I2283+1</f>
        <v>74</v>
      </c>
      <c r="CD2283" s="129">
        <f>G2283-J2283</f>
        <v>0</v>
      </c>
      <c r="CG2283" s="129" t="str">
        <f t="shared" si="1677"/>
        <v>Y</v>
      </c>
      <c r="CI2283" s="129" t="str">
        <f t="shared" si="1682"/>
        <v>61-90 DAYS</v>
      </c>
      <c r="CJ2283" s="137">
        <f t="shared" si="1683"/>
        <v>4</v>
      </c>
      <c r="CK2283" s="129" t="str">
        <f t="shared" si="1684"/>
        <v>Booked</v>
      </c>
    </row>
    <row r="2284" spans="1:89" ht="15" customHeight="1" x14ac:dyDescent="0.25">
      <c r="A2284" s="111">
        <v>1385</v>
      </c>
      <c r="B2284" s="128" t="str">
        <f t="shared" si="1667"/>
        <v>N</v>
      </c>
      <c r="C2284" s="128" t="str">
        <f t="shared" si="1668"/>
        <v>N</v>
      </c>
      <c r="D2284" s="117">
        <v>2500119</v>
      </c>
      <c r="E2284" s="135">
        <f t="shared" si="1669"/>
        <v>1</v>
      </c>
      <c r="F2284" s="124">
        <v>40960</v>
      </c>
      <c r="G2284" s="125">
        <v>41010</v>
      </c>
      <c r="H2284" s="117">
        <v>2500119</v>
      </c>
      <c r="I2284" s="124">
        <v>40964</v>
      </c>
      <c r="J2284" s="124">
        <v>41010</v>
      </c>
      <c r="K2284" s="126">
        <v>30000</v>
      </c>
      <c r="L2284" s="129" t="s">
        <v>572</v>
      </c>
      <c r="N2284" s="129" t="str">
        <f t="shared" si="1700"/>
        <v>N</v>
      </c>
      <c r="O2284" s="128" t="s">
        <v>917</v>
      </c>
      <c r="P2284" s="129" t="s">
        <v>123</v>
      </c>
      <c r="Q2284" s="111">
        <f t="shared" si="1692"/>
        <v>47</v>
      </c>
      <c r="R2284" s="111">
        <f t="shared" si="1691"/>
        <v>51</v>
      </c>
      <c r="S2284" s="129">
        <v>0</v>
      </c>
      <c r="T2284" s="129">
        <v>0</v>
      </c>
      <c r="W2284" s="111"/>
      <c r="AC2284" s="130"/>
      <c r="AD2284" s="130">
        <v>32177</v>
      </c>
      <c r="AE2284" s="128" t="s">
        <v>32</v>
      </c>
      <c r="AF2284" s="128" t="s">
        <v>33</v>
      </c>
      <c r="AG2284" s="128" t="s">
        <v>872</v>
      </c>
      <c r="AH2284" s="108" t="s">
        <v>31</v>
      </c>
      <c r="AI2284" s="128" t="s">
        <v>59</v>
      </c>
      <c r="AJ2284" s="129" t="s">
        <v>123</v>
      </c>
      <c r="AK2284" s="129">
        <v>4</v>
      </c>
      <c r="AL2284" s="3" t="s">
        <v>123</v>
      </c>
      <c r="AP2284" s="129" t="s">
        <v>73</v>
      </c>
      <c r="AR2284" s="128" t="s">
        <v>50</v>
      </c>
      <c r="AS2284" s="129" t="s">
        <v>74</v>
      </c>
      <c r="AT2284" s="129" t="s">
        <v>329</v>
      </c>
      <c r="BC2284" s="129" t="s">
        <v>52</v>
      </c>
      <c r="BF2284" s="111">
        <f t="shared" si="1701"/>
        <v>47</v>
      </c>
      <c r="BG2284" s="111">
        <f t="shared" si="1702"/>
        <v>47</v>
      </c>
      <c r="BH2284" s="111">
        <f t="shared" si="1664"/>
        <v>51</v>
      </c>
      <c r="BI2284" s="111">
        <f t="shared" si="1665"/>
        <v>23.997267759562842</v>
      </c>
      <c r="BJ2284" s="129">
        <f t="shared" si="1685"/>
        <v>0</v>
      </c>
      <c r="BK2284" s="129">
        <f t="shared" si="1666"/>
        <v>0</v>
      </c>
      <c r="BL2284" s="129" t="str">
        <f t="shared" si="1658"/>
        <v>NO CONVICTION</v>
      </c>
      <c r="BM2284" s="129" t="str">
        <f t="shared" si="1686"/>
        <v>NONE</v>
      </c>
      <c r="BN2284" s="129" t="s">
        <v>566</v>
      </c>
      <c r="BP2284" s="137" t="str">
        <f t="shared" si="1678"/>
        <v>NO CONVICTION</v>
      </c>
      <c r="BQ2284" s="128" t="str">
        <f t="shared" si="1670"/>
        <v>Y</v>
      </c>
      <c r="BR2284" s="129" t="str">
        <f t="shared" si="1679"/>
        <v>DETAINED</v>
      </c>
      <c r="BS2284" s="129" t="str">
        <f t="shared" si="1680"/>
        <v>DISPOSED</v>
      </c>
      <c r="BT2284" s="129" t="str">
        <f t="shared" si="1671"/>
        <v>N</v>
      </c>
      <c r="BU2284" s="109">
        <f>IFERROR(Q2284/R2284,BR2284)</f>
        <v>0.92156862745098034</v>
      </c>
      <c r="BV2284" s="109">
        <f t="shared" si="1672"/>
        <v>1</v>
      </c>
      <c r="BW2284" s="109">
        <f t="shared" si="1699"/>
        <v>7.8431372549019662E-2</v>
      </c>
      <c r="BX2284" s="111">
        <f t="shared" si="1673"/>
        <v>0</v>
      </c>
      <c r="BY2284" s="129">
        <f t="shared" si="1674"/>
        <v>-47</v>
      </c>
      <c r="BZ2284" s="111">
        <f t="shared" si="1675"/>
        <v>0</v>
      </c>
      <c r="CA2284" s="138">
        <f t="shared" si="1676"/>
        <v>47</v>
      </c>
      <c r="CB2284" s="111" t="e">
        <f t="shared" si="1703"/>
        <v>#VALUE!</v>
      </c>
      <c r="CC2284" s="129">
        <f>G2284-I2284+1</f>
        <v>47</v>
      </c>
      <c r="CD2284" s="129">
        <f>G2284-J2284</f>
        <v>0</v>
      </c>
      <c r="CG2284" s="129" t="str">
        <f t="shared" si="1677"/>
        <v>N</v>
      </c>
      <c r="CI2284" s="129" t="str">
        <f t="shared" si="1682"/>
        <v>31-60 DAYS</v>
      </c>
      <c r="CJ2284" s="137">
        <f t="shared" si="1683"/>
        <v>3</v>
      </c>
      <c r="CK2284" s="129" t="str">
        <f t="shared" si="1684"/>
        <v>Booked</v>
      </c>
    </row>
    <row r="2285" spans="1:89" ht="15" customHeight="1" x14ac:dyDescent="0.25">
      <c r="A2285" s="111">
        <v>1545</v>
      </c>
      <c r="B2285" s="128" t="str">
        <f t="shared" si="1667"/>
        <v>N</v>
      </c>
      <c r="C2285" s="128" t="str">
        <f t="shared" si="1668"/>
        <v>N</v>
      </c>
      <c r="D2285" s="117">
        <v>2500633</v>
      </c>
      <c r="E2285" s="135">
        <f t="shared" si="1669"/>
        <v>1</v>
      </c>
      <c r="F2285" s="124">
        <v>40966</v>
      </c>
      <c r="G2285" s="125">
        <v>41064</v>
      </c>
      <c r="H2285" s="117">
        <v>2500633</v>
      </c>
      <c r="I2285" s="124">
        <v>40966</v>
      </c>
      <c r="J2285" s="124">
        <v>40967</v>
      </c>
      <c r="K2285" s="126">
        <v>5000</v>
      </c>
      <c r="L2285" s="127" t="s">
        <v>569</v>
      </c>
      <c r="M2285" s="125">
        <v>40967</v>
      </c>
      <c r="N2285" s="129" t="str">
        <f t="shared" si="1700"/>
        <v>Y</v>
      </c>
      <c r="O2285" s="128" t="s">
        <v>76</v>
      </c>
      <c r="P2285" s="129" t="s">
        <v>55</v>
      </c>
      <c r="Q2285" s="111">
        <f t="shared" si="1692"/>
        <v>2</v>
      </c>
      <c r="R2285" s="111">
        <f t="shared" si="1691"/>
        <v>99</v>
      </c>
      <c r="S2285" s="129">
        <v>0</v>
      </c>
      <c r="T2285" s="129">
        <v>1</v>
      </c>
      <c r="W2285" s="111"/>
      <c r="AC2285" s="130"/>
      <c r="AD2285" s="130">
        <v>30519</v>
      </c>
      <c r="AE2285" s="128" t="s">
        <v>32</v>
      </c>
      <c r="AF2285" s="128" t="s">
        <v>33</v>
      </c>
      <c r="AG2285" s="128" t="s">
        <v>872</v>
      </c>
      <c r="AH2285" s="108" t="s">
        <v>31</v>
      </c>
      <c r="AI2285" s="128" t="s">
        <v>97</v>
      </c>
      <c r="AJ2285" s="129" t="s">
        <v>55</v>
      </c>
      <c r="AK2285" s="129">
        <v>5</v>
      </c>
      <c r="AL2285" s="3" t="s">
        <v>55</v>
      </c>
      <c r="AP2285" s="129" t="s">
        <v>345</v>
      </c>
      <c r="AR2285" s="128" t="s">
        <v>67</v>
      </c>
      <c r="AS2285" s="129" t="s">
        <v>64</v>
      </c>
      <c r="AT2285" s="129" t="s">
        <v>632</v>
      </c>
      <c r="BC2285" s="129" t="s">
        <v>52</v>
      </c>
      <c r="BF2285" s="111">
        <f t="shared" si="1701"/>
        <v>2</v>
      </c>
      <c r="BG2285" s="111">
        <f t="shared" si="1702"/>
        <v>99</v>
      </c>
      <c r="BH2285" s="111">
        <f t="shared" si="1664"/>
        <v>99</v>
      </c>
      <c r="BI2285" s="111">
        <f t="shared" si="1665"/>
        <v>28.543715846994534</v>
      </c>
      <c r="BJ2285" s="129">
        <f>(G2285-J2285)+(M2285-G2285)</f>
        <v>0</v>
      </c>
      <c r="BK2285" s="129">
        <f t="shared" si="1666"/>
        <v>-97</v>
      </c>
      <c r="BL2285" s="129" t="str">
        <f t="shared" si="1658"/>
        <v>NO CONVICTION</v>
      </c>
      <c r="BM2285" s="129" t="s">
        <v>76</v>
      </c>
      <c r="BN2285" s="129" t="s">
        <v>88</v>
      </c>
      <c r="BP2285" s="137" t="str">
        <f t="shared" si="1678"/>
        <v>NO CONVICTION</v>
      </c>
      <c r="BQ2285" s="128" t="str">
        <f t="shared" si="1670"/>
        <v>Y</v>
      </c>
      <c r="BR2285" s="129" t="str">
        <f t="shared" si="1679"/>
        <v>ON BOND</v>
      </c>
      <c r="BS2285" s="129" t="str">
        <f t="shared" si="1680"/>
        <v>DISPOSED</v>
      </c>
      <c r="BT2285" s="129" t="str">
        <f t="shared" si="1671"/>
        <v>N</v>
      </c>
      <c r="BU2285" s="109">
        <f>IFERROR(Q2285/R2285,BR2285)</f>
        <v>2.0202020202020204E-2</v>
      </c>
      <c r="BV2285" s="109">
        <f t="shared" si="1672"/>
        <v>2.0202020202020204E-2</v>
      </c>
      <c r="BW2285" s="109">
        <f t="shared" si="1699"/>
        <v>0</v>
      </c>
      <c r="BX2285" s="111">
        <f t="shared" si="1673"/>
        <v>0</v>
      </c>
      <c r="BY2285" s="129">
        <f t="shared" si="1674"/>
        <v>-2</v>
      </c>
      <c r="BZ2285" s="111">
        <f t="shared" si="1675"/>
        <v>0</v>
      </c>
      <c r="CA2285" s="138">
        <f t="shared" si="1676"/>
        <v>2</v>
      </c>
      <c r="CB2285" s="111" t="e">
        <f t="shared" si="1703"/>
        <v>#VALUE!</v>
      </c>
      <c r="CC2285" s="129">
        <f>M2285-I2285+1</f>
        <v>2</v>
      </c>
      <c r="CD2285" s="111">
        <f>CC2285-BF2285</f>
        <v>0</v>
      </c>
      <c r="CG2285" s="129" t="str">
        <f t="shared" si="1677"/>
        <v>Y</v>
      </c>
      <c r="CI2285" s="129" t="str">
        <f t="shared" si="1682"/>
        <v>0-10 DAYS</v>
      </c>
      <c r="CJ2285" s="137">
        <f t="shared" si="1683"/>
        <v>1</v>
      </c>
      <c r="CK2285" s="129" t="str">
        <f t="shared" si="1684"/>
        <v>Booked</v>
      </c>
    </row>
    <row r="2286" spans="1:89" ht="15" customHeight="1" x14ac:dyDescent="0.25">
      <c r="A2286" s="111">
        <v>2291</v>
      </c>
      <c r="B2286" s="128" t="str">
        <f t="shared" si="1667"/>
        <v>N</v>
      </c>
      <c r="C2286" s="128" t="str">
        <f t="shared" si="1668"/>
        <v>N</v>
      </c>
      <c r="D2286" s="117">
        <v>2502016</v>
      </c>
      <c r="E2286" s="135">
        <f t="shared" si="1669"/>
        <v>6</v>
      </c>
      <c r="F2286" s="124">
        <v>40995</v>
      </c>
      <c r="G2286" s="125">
        <v>41325</v>
      </c>
      <c r="H2286" s="117">
        <v>2502016</v>
      </c>
      <c r="I2286" s="124">
        <v>40996</v>
      </c>
      <c r="J2286" s="125">
        <v>41325</v>
      </c>
      <c r="K2286" s="126" t="s">
        <v>564</v>
      </c>
      <c r="L2286" s="127" t="s">
        <v>564</v>
      </c>
      <c r="N2286" s="129" t="s">
        <v>566</v>
      </c>
      <c r="O2286" s="128" t="s">
        <v>917</v>
      </c>
      <c r="P2286" s="129" t="s">
        <v>39</v>
      </c>
      <c r="Q2286" s="111">
        <f t="shared" si="1692"/>
        <v>330</v>
      </c>
      <c r="R2286" s="111">
        <f t="shared" si="1691"/>
        <v>331</v>
      </c>
      <c r="S2286" s="129">
        <v>1</v>
      </c>
      <c r="T2286" s="129">
        <v>1</v>
      </c>
      <c r="V2286" s="117">
        <v>1</v>
      </c>
      <c r="W2286" s="111"/>
      <c r="AC2286" s="130"/>
      <c r="AD2286" s="130">
        <v>29192</v>
      </c>
      <c r="AE2286" s="128" t="s">
        <v>46</v>
      </c>
      <c r="AF2286" s="128" t="s">
        <v>69</v>
      </c>
      <c r="AG2286" s="128" t="s">
        <v>874</v>
      </c>
      <c r="AH2286" s="108" t="s">
        <v>31</v>
      </c>
      <c r="AI2286" s="128" t="s">
        <v>70</v>
      </c>
      <c r="AJ2286" s="129" t="s">
        <v>89</v>
      </c>
      <c r="AK2286" s="129">
        <v>16</v>
      </c>
      <c r="AL2286" s="3" t="s">
        <v>362</v>
      </c>
      <c r="AM2286" s="117">
        <v>5</v>
      </c>
      <c r="AP2286" s="129" t="s">
        <v>254</v>
      </c>
      <c r="AR2286" s="128" t="s">
        <v>92</v>
      </c>
      <c r="AS2286" s="129" t="s">
        <v>82</v>
      </c>
      <c r="BC2286" s="129" t="s">
        <v>38</v>
      </c>
      <c r="BF2286" s="111">
        <f t="shared" si="1701"/>
        <v>330</v>
      </c>
      <c r="BG2286" s="111">
        <f t="shared" si="1702"/>
        <v>330</v>
      </c>
      <c r="BH2286" s="111">
        <f t="shared" si="1664"/>
        <v>331</v>
      </c>
      <c r="BI2286" s="111">
        <f t="shared" si="1665"/>
        <v>32.248633879781423</v>
      </c>
      <c r="BJ2286" s="129">
        <f t="shared" si="1685"/>
        <v>0</v>
      </c>
      <c r="BK2286" s="129">
        <f t="shared" si="1666"/>
        <v>0</v>
      </c>
      <c r="BL2286" s="129" t="str">
        <f t="shared" si="1658"/>
        <v>CONVICTION</v>
      </c>
      <c r="BM2286" s="129" t="str">
        <f t="shared" si="1686"/>
        <v>NONE</v>
      </c>
      <c r="BN2286" s="129" t="s">
        <v>566</v>
      </c>
      <c r="BP2286" s="137" t="str">
        <f t="shared" si="1678"/>
        <v>CONVICTION</v>
      </c>
      <c r="BQ2286" s="128" t="str">
        <f t="shared" si="1670"/>
        <v>Y</v>
      </c>
      <c r="BR2286" s="129" t="str">
        <f t="shared" si="1679"/>
        <v>DETAINED</v>
      </c>
      <c r="BS2286" s="129" t="str">
        <f t="shared" si="1680"/>
        <v>DISPOSED</v>
      </c>
      <c r="BT2286" s="129" t="str">
        <f t="shared" si="1671"/>
        <v>Y</v>
      </c>
      <c r="BU2286" s="109">
        <f t="shared" si="1681"/>
        <v>0.99697885196374625</v>
      </c>
      <c r="BV2286" s="109">
        <f t="shared" si="1672"/>
        <v>1</v>
      </c>
      <c r="BW2286" s="109">
        <f t="shared" si="1699"/>
        <v>3.0211480362537513E-3</v>
      </c>
      <c r="BX2286" s="111">
        <f t="shared" si="1673"/>
        <v>0</v>
      </c>
      <c r="BY2286" s="129">
        <f t="shared" si="1674"/>
        <v>-330</v>
      </c>
      <c r="BZ2286" s="111">
        <f t="shared" si="1675"/>
        <v>0</v>
      </c>
      <c r="CA2286" s="138">
        <f t="shared" si="1676"/>
        <v>330</v>
      </c>
      <c r="CB2286" s="111" t="e">
        <f t="shared" si="1703"/>
        <v>#VALUE!</v>
      </c>
      <c r="CC2286" s="129">
        <f>G2286-I2286+1</f>
        <v>330</v>
      </c>
      <c r="CD2286" s="129">
        <f>G2286-J2286</f>
        <v>0</v>
      </c>
      <c r="CG2286" s="129" t="str">
        <f t="shared" si="1677"/>
        <v>Y</v>
      </c>
      <c r="CI2286" s="129" t="str">
        <f t="shared" si="1682"/>
        <v>121-365 DAYS</v>
      </c>
      <c r="CJ2286" s="137">
        <f t="shared" si="1683"/>
        <v>6</v>
      </c>
      <c r="CK2286" s="129" t="str">
        <f t="shared" si="1684"/>
        <v>Booked</v>
      </c>
    </row>
    <row r="2287" spans="1:89" ht="15.75" customHeight="1" x14ac:dyDescent="0.25">
      <c r="A2287" s="111">
        <v>542</v>
      </c>
      <c r="B2287" s="128" t="str">
        <f t="shared" si="1667"/>
        <v>N</v>
      </c>
      <c r="C2287" s="128" t="str">
        <f t="shared" si="1668"/>
        <v>N</v>
      </c>
      <c r="D2287" s="117">
        <v>2502096</v>
      </c>
      <c r="E2287" s="135">
        <f t="shared" si="1669"/>
        <v>2</v>
      </c>
      <c r="F2287" s="124">
        <v>40930</v>
      </c>
      <c r="G2287" s="125">
        <v>40932</v>
      </c>
      <c r="H2287" s="117">
        <v>2502096</v>
      </c>
      <c r="I2287" s="124">
        <v>40930</v>
      </c>
      <c r="J2287" s="124">
        <v>40932</v>
      </c>
      <c r="K2287" s="126">
        <v>10000</v>
      </c>
      <c r="L2287" s="127" t="s">
        <v>570</v>
      </c>
      <c r="N2287" s="129" t="str">
        <f>IF(M2287&gt;1/1/1,"Y","N")</f>
        <v>N</v>
      </c>
      <c r="O2287" s="128" t="s">
        <v>917</v>
      </c>
      <c r="P2287" s="129" t="s">
        <v>589</v>
      </c>
      <c r="Q2287" s="111">
        <f t="shared" si="1692"/>
        <v>3</v>
      </c>
      <c r="R2287" s="111">
        <f t="shared" si="1691"/>
        <v>3</v>
      </c>
      <c r="S2287" s="129">
        <v>0</v>
      </c>
      <c r="T2287" s="129">
        <v>0</v>
      </c>
      <c r="W2287" s="111"/>
      <c r="AC2287" s="130"/>
      <c r="AD2287" s="130">
        <v>29962</v>
      </c>
      <c r="AE2287" s="128" t="s">
        <v>46</v>
      </c>
      <c r="AF2287" s="128" t="s">
        <v>69</v>
      </c>
      <c r="AG2287" s="128" t="s">
        <v>874</v>
      </c>
      <c r="AH2287" s="108" t="s">
        <v>31</v>
      </c>
      <c r="AI2287" s="128" t="s">
        <v>85</v>
      </c>
      <c r="AJ2287" s="129" t="s">
        <v>48</v>
      </c>
      <c r="AK2287" s="129">
        <v>2</v>
      </c>
      <c r="AL2287" s="3" t="s">
        <v>48</v>
      </c>
      <c r="AP2287" s="129" t="s">
        <v>93</v>
      </c>
      <c r="AR2287" s="128" t="s">
        <v>67</v>
      </c>
      <c r="AS2287" s="129" t="s">
        <v>45</v>
      </c>
      <c r="AT2287" s="129" t="s">
        <v>220</v>
      </c>
      <c r="BC2287" s="129" t="s">
        <v>38</v>
      </c>
      <c r="BF2287" s="111">
        <f t="shared" si="1701"/>
        <v>3</v>
      </c>
      <c r="BG2287" s="111">
        <f t="shared" si="1702"/>
        <v>3</v>
      </c>
      <c r="BH2287" s="111">
        <f t="shared" si="1664"/>
        <v>3</v>
      </c>
      <c r="BI2287" s="111">
        <f t="shared" si="1665"/>
        <v>29.967213114754099</v>
      </c>
      <c r="BJ2287" s="129">
        <f t="shared" si="1685"/>
        <v>0</v>
      </c>
      <c r="BK2287" s="129">
        <f t="shared" si="1666"/>
        <v>0</v>
      </c>
      <c r="BL2287" s="129" t="str">
        <f t="shared" si="1658"/>
        <v>DEFERRED</v>
      </c>
      <c r="BM2287" s="129" t="str">
        <f t="shared" si="1686"/>
        <v>NONE</v>
      </c>
      <c r="BN2287" s="129" t="s">
        <v>566</v>
      </c>
      <c r="BP2287" s="137" t="str">
        <f t="shared" si="1678"/>
        <v>DEFERRED</v>
      </c>
      <c r="BQ2287" s="128" t="str">
        <f t="shared" si="1670"/>
        <v>Y</v>
      </c>
      <c r="BR2287" s="129" t="str">
        <f t="shared" si="1679"/>
        <v>DETAINED</v>
      </c>
      <c r="BS2287" s="129" t="str">
        <f t="shared" si="1680"/>
        <v>DISPOSED</v>
      </c>
      <c r="BT2287" s="129" t="str">
        <f t="shared" si="1671"/>
        <v>N</v>
      </c>
      <c r="BU2287" s="109">
        <f t="shared" si="1681"/>
        <v>1</v>
      </c>
      <c r="BV2287" s="109">
        <f t="shared" si="1672"/>
        <v>1</v>
      </c>
      <c r="BW2287" s="109">
        <f t="shared" si="1699"/>
        <v>0</v>
      </c>
      <c r="BX2287" s="111">
        <f t="shared" si="1673"/>
        <v>0</v>
      </c>
      <c r="BY2287" s="129">
        <f t="shared" si="1674"/>
        <v>-3</v>
      </c>
      <c r="BZ2287" s="111">
        <f t="shared" si="1675"/>
        <v>0</v>
      </c>
      <c r="CA2287" s="138">
        <f t="shared" si="1676"/>
        <v>3</v>
      </c>
      <c r="CB2287" s="111" t="e">
        <f t="shared" si="1703"/>
        <v>#VALUE!</v>
      </c>
      <c r="CC2287" s="129">
        <f>G2287-I2287+1</f>
        <v>3</v>
      </c>
      <c r="CD2287" s="129">
        <f>G2287-J2287</f>
        <v>0</v>
      </c>
      <c r="CG2287" s="129" t="str">
        <f t="shared" si="1677"/>
        <v>N</v>
      </c>
      <c r="CI2287" s="129" t="str">
        <f t="shared" si="1682"/>
        <v>0-10 DAYS</v>
      </c>
      <c r="CJ2287" s="137">
        <f t="shared" si="1683"/>
        <v>1</v>
      </c>
      <c r="CK2287" s="129" t="str">
        <f t="shared" si="1684"/>
        <v>Booked</v>
      </c>
    </row>
    <row r="2288" spans="1:89" ht="15" customHeight="1" x14ac:dyDescent="0.25">
      <c r="A2288" s="111">
        <v>3124</v>
      </c>
      <c r="B2288" s="128" t="str">
        <f t="shared" si="1667"/>
        <v>N</v>
      </c>
      <c r="C2288" s="128" t="str">
        <f t="shared" si="1668"/>
        <v>N</v>
      </c>
      <c r="D2288" s="117">
        <v>2502276</v>
      </c>
      <c r="E2288" s="135">
        <f t="shared" si="1669"/>
        <v>2</v>
      </c>
      <c r="F2288" s="124">
        <v>41024</v>
      </c>
      <c r="G2288" s="125">
        <v>41102</v>
      </c>
      <c r="H2288" s="117">
        <v>2502276</v>
      </c>
      <c r="I2288" s="124">
        <v>41024</v>
      </c>
      <c r="J2288" s="124">
        <v>41102</v>
      </c>
      <c r="K2288" s="126">
        <v>1000</v>
      </c>
      <c r="L2288" s="127" t="s">
        <v>568</v>
      </c>
      <c r="N2288" s="129" t="str">
        <f>IF(M2288&gt;1/1/1,"Y","N")</f>
        <v>N</v>
      </c>
      <c r="O2288" s="128" t="s">
        <v>917</v>
      </c>
      <c r="P2288" s="129" t="s">
        <v>589</v>
      </c>
      <c r="Q2288" s="111">
        <f t="shared" si="1692"/>
        <v>79</v>
      </c>
      <c r="R2288" s="111">
        <f t="shared" si="1691"/>
        <v>79</v>
      </c>
      <c r="S2288" s="129">
        <v>1</v>
      </c>
      <c r="T2288" s="129">
        <v>2</v>
      </c>
      <c r="W2288" s="111"/>
      <c r="AC2288" s="130"/>
      <c r="AD2288" s="130">
        <v>34081</v>
      </c>
      <c r="AE2288" s="128" t="s">
        <v>32</v>
      </c>
      <c r="AF2288" s="128" t="s">
        <v>33</v>
      </c>
      <c r="AG2288" s="128" t="s">
        <v>872</v>
      </c>
      <c r="AH2288" s="108" t="s">
        <v>58</v>
      </c>
      <c r="AI2288" s="128" t="s">
        <v>62</v>
      </c>
      <c r="AJ2288" s="129" t="s">
        <v>48</v>
      </c>
      <c r="AK2288" s="129">
        <v>5</v>
      </c>
      <c r="AL2288" s="3" t="s">
        <v>48</v>
      </c>
      <c r="AP2288" s="129" t="s">
        <v>56</v>
      </c>
      <c r="AR2288" s="128" t="s">
        <v>50</v>
      </c>
      <c r="AS2288" s="129" t="s">
        <v>57</v>
      </c>
      <c r="BC2288" s="129" t="s">
        <v>99</v>
      </c>
      <c r="BF2288" s="111">
        <f t="shared" si="1701"/>
        <v>79</v>
      </c>
      <c r="BG2288" s="111">
        <f t="shared" si="1702"/>
        <v>79</v>
      </c>
      <c r="BH2288" s="111">
        <f t="shared" si="1664"/>
        <v>79</v>
      </c>
      <c r="BI2288" s="111">
        <f t="shared" si="1665"/>
        <v>18.969945355191257</v>
      </c>
      <c r="BJ2288" s="129">
        <f t="shared" si="1685"/>
        <v>0</v>
      </c>
      <c r="BK2288" s="129">
        <f t="shared" si="1666"/>
        <v>0</v>
      </c>
      <c r="BL2288" s="129" t="str">
        <f t="shared" si="1658"/>
        <v>DEFERRED</v>
      </c>
      <c r="BM2288" s="129" t="str">
        <f t="shared" si="1686"/>
        <v>NONE</v>
      </c>
      <c r="BN2288" s="129" t="s">
        <v>566</v>
      </c>
      <c r="BP2288" s="137" t="str">
        <f t="shared" si="1678"/>
        <v>DEFERRED</v>
      </c>
      <c r="BQ2288" s="128" t="str">
        <f t="shared" si="1670"/>
        <v>Y</v>
      </c>
      <c r="BR2288" s="129" t="str">
        <f t="shared" si="1679"/>
        <v>DETAINED</v>
      </c>
      <c r="BS2288" s="129" t="str">
        <f t="shared" si="1680"/>
        <v>DISPOSED</v>
      </c>
      <c r="BT2288" s="129" t="str">
        <f t="shared" si="1671"/>
        <v>Y</v>
      </c>
      <c r="BU2288" s="109">
        <f t="shared" si="1681"/>
        <v>1</v>
      </c>
      <c r="BV2288" s="109">
        <f t="shared" si="1672"/>
        <v>1</v>
      </c>
      <c r="BW2288" s="109">
        <f t="shared" si="1699"/>
        <v>0</v>
      </c>
      <c r="BX2288" s="111">
        <f t="shared" si="1673"/>
        <v>0</v>
      </c>
      <c r="BY2288" s="129">
        <f t="shared" si="1674"/>
        <v>-79</v>
      </c>
      <c r="BZ2288" s="111">
        <f t="shared" si="1675"/>
        <v>0</v>
      </c>
      <c r="CA2288" s="138">
        <f t="shared" si="1676"/>
        <v>79</v>
      </c>
      <c r="CB2288" s="111" t="e">
        <f t="shared" si="1703"/>
        <v>#VALUE!</v>
      </c>
      <c r="CC2288" s="129">
        <f>G2288-I2288+1</f>
        <v>79</v>
      </c>
      <c r="CD2288" s="129">
        <f>G2288-J2288</f>
        <v>0</v>
      </c>
      <c r="CG2288" s="129" t="str">
        <f t="shared" si="1677"/>
        <v>Y</v>
      </c>
      <c r="CI2288" s="129" t="str">
        <f t="shared" si="1682"/>
        <v>61-90 DAYS</v>
      </c>
      <c r="CJ2288" s="137">
        <f t="shared" si="1683"/>
        <v>4</v>
      </c>
      <c r="CK2288" s="129" t="str">
        <f t="shared" si="1684"/>
        <v>Booked</v>
      </c>
    </row>
    <row r="2289" spans="1:89" ht="15" customHeight="1" x14ac:dyDescent="0.25">
      <c r="A2289" s="111">
        <v>2105</v>
      </c>
      <c r="B2289" s="128" t="str">
        <f t="shared" si="1667"/>
        <v>N</v>
      </c>
      <c r="C2289" s="128" t="str">
        <f t="shared" si="1668"/>
        <v>N</v>
      </c>
      <c r="D2289" s="117">
        <v>2502318</v>
      </c>
      <c r="E2289" s="135">
        <f t="shared" si="1669"/>
        <v>1</v>
      </c>
      <c r="F2289" s="124">
        <v>40988</v>
      </c>
      <c r="G2289" s="125">
        <v>41004</v>
      </c>
      <c r="H2289" s="117">
        <v>2502318</v>
      </c>
      <c r="I2289" s="124">
        <v>40988</v>
      </c>
      <c r="J2289" s="124">
        <v>41004</v>
      </c>
      <c r="K2289" s="126">
        <v>5000</v>
      </c>
      <c r="L2289" s="127" t="s">
        <v>569</v>
      </c>
      <c r="N2289" s="129" t="str">
        <f>IF(M2289&gt;1/1/1,"Y","N")</f>
        <v>N</v>
      </c>
      <c r="O2289" s="128" t="s">
        <v>917</v>
      </c>
      <c r="P2289" s="129" t="s">
        <v>55</v>
      </c>
      <c r="Q2289" s="111">
        <f t="shared" si="1692"/>
        <v>17</v>
      </c>
      <c r="R2289" s="111">
        <f t="shared" si="1691"/>
        <v>17</v>
      </c>
      <c r="S2289" s="129">
        <v>2</v>
      </c>
      <c r="T2289" s="129">
        <v>2</v>
      </c>
      <c r="U2289" s="129">
        <v>1</v>
      </c>
      <c r="W2289" s="111"/>
      <c r="AC2289" s="130"/>
      <c r="AD2289" s="130">
        <v>33808</v>
      </c>
      <c r="AE2289" s="128" t="s">
        <v>32</v>
      </c>
      <c r="AF2289" s="128" t="s">
        <v>33</v>
      </c>
      <c r="AG2289" s="128" t="s">
        <v>872</v>
      </c>
      <c r="AH2289" s="108" t="s">
        <v>31</v>
      </c>
      <c r="AI2289" s="128" t="s">
        <v>141</v>
      </c>
      <c r="AJ2289" s="129" t="s">
        <v>55</v>
      </c>
      <c r="AK2289" s="129">
        <v>3</v>
      </c>
      <c r="AL2289" s="3" t="s">
        <v>55</v>
      </c>
      <c r="AP2289" s="129" t="s">
        <v>93</v>
      </c>
      <c r="AR2289" s="128" t="s">
        <v>67</v>
      </c>
      <c r="AS2289" s="129" t="s">
        <v>45</v>
      </c>
      <c r="AT2289" s="129" t="s">
        <v>405</v>
      </c>
      <c r="BC2289" s="129" t="s">
        <v>38</v>
      </c>
      <c r="BF2289" s="111">
        <f t="shared" si="1701"/>
        <v>17</v>
      </c>
      <c r="BG2289" s="111">
        <f t="shared" si="1702"/>
        <v>17</v>
      </c>
      <c r="BH2289" s="111">
        <f t="shared" si="1664"/>
        <v>17</v>
      </c>
      <c r="BI2289" s="111">
        <f t="shared" si="1665"/>
        <v>19.617486338797814</v>
      </c>
      <c r="BJ2289" s="129">
        <f t="shared" si="1685"/>
        <v>0</v>
      </c>
      <c r="BK2289" s="129">
        <f t="shared" si="1666"/>
        <v>0</v>
      </c>
      <c r="BL2289" s="129" t="str">
        <f t="shared" si="1658"/>
        <v>NO CONVICTION</v>
      </c>
      <c r="BM2289" s="129" t="str">
        <f t="shared" si="1686"/>
        <v>NONE</v>
      </c>
      <c r="BN2289" s="129" t="s">
        <v>566</v>
      </c>
      <c r="BP2289" s="137" t="str">
        <f t="shared" si="1678"/>
        <v>NO CONVICTION</v>
      </c>
      <c r="BQ2289" s="128" t="str">
        <f t="shared" si="1670"/>
        <v>Y</v>
      </c>
      <c r="BR2289" s="129" t="str">
        <f t="shared" si="1679"/>
        <v>DETAINED</v>
      </c>
      <c r="BS2289" s="129" t="str">
        <f t="shared" si="1680"/>
        <v>DISPOSED</v>
      </c>
      <c r="BT2289" s="129" t="str">
        <f t="shared" si="1671"/>
        <v>Y</v>
      </c>
      <c r="BU2289" s="109">
        <f>IFERROR(Q2289/R2289,BR2289)</f>
        <v>1</v>
      </c>
      <c r="BV2289" s="109">
        <f t="shared" si="1672"/>
        <v>1</v>
      </c>
      <c r="BW2289" s="109">
        <f t="shared" si="1699"/>
        <v>0</v>
      </c>
      <c r="BX2289" s="111">
        <f t="shared" si="1673"/>
        <v>0</v>
      </c>
      <c r="BY2289" s="129">
        <f t="shared" si="1674"/>
        <v>-17</v>
      </c>
      <c r="BZ2289" s="111">
        <f t="shared" si="1675"/>
        <v>0</v>
      </c>
      <c r="CA2289" s="138">
        <f t="shared" si="1676"/>
        <v>17</v>
      </c>
      <c r="CB2289" s="111" t="e">
        <f t="shared" si="1703"/>
        <v>#VALUE!</v>
      </c>
      <c r="CC2289" s="129">
        <f>G2289-I2289+1</f>
        <v>17</v>
      </c>
      <c r="CD2289" s="129">
        <f>G2289-J2289</f>
        <v>0</v>
      </c>
      <c r="CG2289" s="129" t="str">
        <f t="shared" si="1677"/>
        <v>Y</v>
      </c>
      <c r="CI2289" s="129" t="str">
        <f t="shared" si="1682"/>
        <v>11-30 DAYS</v>
      </c>
      <c r="CJ2289" s="137">
        <f t="shared" si="1683"/>
        <v>2</v>
      </c>
      <c r="CK2289" s="129" t="str">
        <f t="shared" si="1684"/>
        <v>Booked</v>
      </c>
    </row>
    <row r="2290" spans="1:89" ht="15.75" customHeight="1" x14ac:dyDescent="0.25">
      <c r="A2290" s="111">
        <v>2707</v>
      </c>
      <c r="B2290" s="128" t="str">
        <f t="shared" si="1667"/>
        <v>N</v>
      </c>
      <c r="C2290" s="128" t="str">
        <f t="shared" si="1668"/>
        <v>N</v>
      </c>
      <c r="D2290" s="117">
        <v>2502982</v>
      </c>
      <c r="E2290" s="135">
        <f t="shared" si="1669"/>
        <v>6</v>
      </c>
      <c r="F2290" s="124">
        <v>41009</v>
      </c>
      <c r="G2290" s="125">
        <v>41225</v>
      </c>
      <c r="H2290" s="117">
        <v>2502982</v>
      </c>
      <c r="I2290" s="124">
        <v>41010</v>
      </c>
      <c r="J2290" s="125">
        <v>41225</v>
      </c>
      <c r="K2290" s="126">
        <v>500000</v>
      </c>
      <c r="L2290" s="129" t="s">
        <v>572</v>
      </c>
      <c r="N2290" s="129" t="str">
        <f>IF(M2290&gt;1/1/1,"Y","N")</f>
        <v>N</v>
      </c>
      <c r="O2290" s="128" t="s">
        <v>917</v>
      </c>
      <c r="P2290" s="129" t="s">
        <v>39</v>
      </c>
      <c r="Q2290" s="111">
        <f t="shared" si="1692"/>
        <v>216</v>
      </c>
      <c r="R2290" s="111">
        <f t="shared" si="1691"/>
        <v>217</v>
      </c>
      <c r="S2290" s="129">
        <v>0</v>
      </c>
      <c r="T2290" s="129">
        <v>2</v>
      </c>
      <c r="W2290" s="111"/>
      <c r="AC2290" s="130"/>
      <c r="AD2290" s="130">
        <v>33778</v>
      </c>
      <c r="AE2290" s="128" t="s">
        <v>32</v>
      </c>
      <c r="AF2290" s="128" t="s">
        <v>33</v>
      </c>
      <c r="AG2290" s="128" t="s">
        <v>872</v>
      </c>
      <c r="AH2290" s="108" t="s">
        <v>58</v>
      </c>
      <c r="AI2290" s="128" t="s">
        <v>42</v>
      </c>
      <c r="AJ2290" s="129" t="s">
        <v>89</v>
      </c>
      <c r="AK2290" s="129">
        <v>9</v>
      </c>
      <c r="AL2290" s="3" t="s">
        <v>362</v>
      </c>
      <c r="AM2290" s="117">
        <v>6</v>
      </c>
      <c r="AP2290" s="129" t="s">
        <v>56</v>
      </c>
      <c r="AR2290" s="128" t="s">
        <v>50</v>
      </c>
      <c r="AS2290" s="129" t="s">
        <v>57</v>
      </c>
      <c r="BC2290" s="129" t="s">
        <v>52</v>
      </c>
      <c r="BF2290" s="111">
        <f t="shared" si="1701"/>
        <v>216</v>
      </c>
      <c r="BG2290" s="111">
        <f t="shared" si="1702"/>
        <v>216</v>
      </c>
      <c r="BH2290" s="111">
        <f t="shared" si="1664"/>
        <v>217</v>
      </c>
      <c r="BI2290" s="111">
        <f t="shared" si="1665"/>
        <v>19.756830601092897</v>
      </c>
      <c r="BJ2290" s="129">
        <f t="shared" si="1685"/>
        <v>0</v>
      </c>
      <c r="BK2290" s="129">
        <f t="shared" si="1666"/>
        <v>0</v>
      </c>
      <c r="BL2290" s="129" t="str">
        <f t="shared" si="1658"/>
        <v>CONVICTION</v>
      </c>
      <c r="BM2290" s="129" t="str">
        <f t="shared" si="1686"/>
        <v>NONE</v>
      </c>
      <c r="BN2290" s="129" t="s">
        <v>566</v>
      </c>
      <c r="BP2290" s="137" t="str">
        <f t="shared" si="1678"/>
        <v>CONVICTION</v>
      </c>
      <c r="BQ2290" s="128" t="str">
        <f t="shared" si="1670"/>
        <v>Y</v>
      </c>
      <c r="BR2290" s="129" t="str">
        <f t="shared" si="1679"/>
        <v>DETAINED</v>
      </c>
      <c r="BS2290" s="129" t="str">
        <f t="shared" si="1680"/>
        <v>DISPOSED</v>
      </c>
      <c r="BT2290" s="129" t="str">
        <f t="shared" si="1671"/>
        <v>N</v>
      </c>
      <c r="BU2290" s="109">
        <f t="shared" si="1681"/>
        <v>0.99539170506912444</v>
      </c>
      <c r="BV2290" s="109">
        <f t="shared" si="1672"/>
        <v>1</v>
      </c>
      <c r="BW2290" s="109">
        <f t="shared" si="1699"/>
        <v>4.6082949308755561E-3</v>
      </c>
      <c r="BX2290" s="111">
        <f t="shared" si="1673"/>
        <v>0</v>
      </c>
      <c r="BY2290" s="129">
        <f t="shared" si="1674"/>
        <v>-216</v>
      </c>
      <c r="BZ2290" s="111">
        <f t="shared" si="1675"/>
        <v>0</v>
      </c>
      <c r="CA2290" s="138">
        <f t="shared" si="1676"/>
        <v>216</v>
      </c>
      <c r="CB2290" s="111" t="e">
        <f t="shared" si="1703"/>
        <v>#VALUE!</v>
      </c>
      <c r="CC2290" s="129">
        <f>G2290-I2290+1</f>
        <v>216</v>
      </c>
      <c r="CD2290" s="129">
        <f>G2290-J2290</f>
        <v>0</v>
      </c>
      <c r="CG2290" s="129" t="str">
        <f t="shared" si="1677"/>
        <v>Y</v>
      </c>
      <c r="CI2290" s="129" t="str">
        <f t="shared" si="1682"/>
        <v>121-365 DAYS</v>
      </c>
      <c r="CJ2290" s="137">
        <f t="shared" si="1683"/>
        <v>6</v>
      </c>
      <c r="CK2290" s="129" t="str">
        <f t="shared" si="1684"/>
        <v>Booked</v>
      </c>
    </row>
    <row r="2291" spans="1:89" ht="15" customHeight="1" x14ac:dyDescent="0.25">
      <c r="A2291" s="111">
        <v>1501</v>
      </c>
      <c r="B2291" s="128" t="str">
        <f t="shared" si="1667"/>
        <v>N</v>
      </c>
      <c r="C2291" s="128" t="str">
        <f t="shared" si="1668"/>
        <v>N</v>
      </c>
      <c r="D2291" s="117">
        <v>2503148</v>
      </c>
      <c r="E2291" s="135">
        <f t="shared" si="1669"/>
        <v>2</v>
      </c>
      <c r="F2291" s="124">
        <v>40964</v>
      </c>
      <c r="G2291" s="125">
        <v>41064</v>
      </c>
      <c r="H2291" s="117">
        <v>2503148</v>
      </c>
      <c r="I2291" s="124">
        <v>40964</v>
      </c>
      <c r="J2291" s="124">
        <v>40965</v>
      </c>
      <c r="K2291" s="126">
        <v>2000</v>
      </c>
      <c r="L2291" s="127" t="s">
        <v>568</v>
      </c>
      <c r="M2291" s="125">
        <v>40965</v>
      </c>
      <c r="N2291" s="129" t="str">
        <f>IF(M2291&gt;1/1/1,"Y","N")</f>
        <v>Y</v>
      </c>
      <c r="O2291" s="128" t="s">
        <v>76</v>
      </c>
      <c r="P2291" s="129" t="s">
        <v>589</v>
      </c>
      <c r="Q2291" s="111">
        <f t="shared" si="1692"/>
        <v>2</v>
      </c>
      <c r="R2291" s="111">
        <f t="shared" si="1691"/>
        <v>101</v>
      </c>
      <c r="S2291" s="129">
        <v>0</v>
      </c>
      <c r="T2291" s="129">
        <v>0</v>
      </c>
      <c r="W2291" s="111"/>
      <c r="AC2291" s="130"/>
      <c r="AD2291" s="130">
        <v>31614</v>
      </c>
      <c r="AE2291" s="128" t="s">
        <v>32</v>
      </c>
      <c r="AF2291" s="128" t="s">
        <v>33</v>
      </c>
      <c r="AG2291" s="128" t="s">
        <v>872</v>
      </c>
      <c r="AH2291" s="108" t="s">
        <v>31</v>
      </c>
      <c r="AI2291" s="128" t="s">
        <v>65</v>
      </c>
      <c r="AJ2291" s="129" t="s">
        <v>48</v>
      </c>
      <c r="AK2291" s="129">
        <v>5</v>
      </c>
      <c r="AL2291" s="3" t="s">
        <v>48</v>
      </c>
      <c r="AP2291" s="129" t="s">
        <v>43</v>
      </c>
      <c r="AR2291" s="128" t="s">
        <v>44</v>
      </c>
      <c r="AS2291" s="129" t="s">
        <v>45</v>
      </c>
      <c r="BC2291" s="129" t="s">
        <v>52</v>
      </c>
      <c r="BF2291" s="111">
        <f t="shared" si="1701"/>
        <v>2</v>
      </c>
      <c r="BG2291" s="111">
        <f t="shared" si="1702"/>
        <v>101</v>
      </c>
      <c r="BH2291" s="111">
        <f t="shared" si="1664"/>
        <v>101</v>
      </c>
      <c r="BI2291" s="111">
        <f t="shared" si="1665"/>
        <v>25.546448087431695</v>
      </c>
      <c r="BJ2291" s="129">
        <f>(G2291-J2291)+(M2291-G2291)</f>
        <v>0</v>
      </c>
      <c r="BK2291" s="129">
        <f t="shared" si="1666"/>
        <v>-99</v>
      </c>
      <c r="BL2291" s="129" t="str">
        <f t="shared" si="1658"/>
        <v>DEFERRED</v>
      </c>
      <c r="BM2291" s="129" t="s">
        <v>76</v>
      </c>
      <c r="BN2291" s="129" t="s">
        <v>88</v>
      </c>
      <c r="BP2291" s="137" t="str">
        <f t="shared" si="1678"/>
        <v>DEFERRED</v>
      </c>
      <c r="BQ2291" s="128" t="str">
        <f t="shared" si="1670"/>
        <v>Y</v>
      </c>
      <c r="BR2291" s="129" t="str">
        <f t="shared" si="1679"/>
        <v>ON BOND</v>
      </c>
      <c r="BS2291" s="129" t="str">
        <f t="shared" si="1680"/>
        <v>DISPOSED</v>
      </c>
      <c r="BT2291" s="129" t="str">
        <f t="shared" si="1671"/>
        <v>N</v>
      </c>
      <c r="BU2291" s="109">
        <f t="shared" si="1681"/>
        <v>1.9801980198019802E-2</v>
      </c>
      <c r="BV2291" s="109">
        <f t="shared" si="1672"/>
        <v>1.9801980198019802E-2</v>
      </c>
      <c r="BW2291" s="109">
        <f t="shared" si="1699"/>
        <v>0</v>
      </c>
      <c r="BX2291" s="111">
        <f t="shared" si="1673"/>
        <v>0</v>
      </c>
      <c r="BY2291" s="129">
        <f t="shared" si="1674"/>
        <v>-2</v>
      </c>
      <c r="BZ2291" s="111">
        <f t="shared" si="1675"/>
        <v>0</v>
      </c>
      <c r="CA2291" s="138">
        <f t="shared" si="1676"/>
        <v>2</v>
      </c>
      <c r="CB2291" s="111" t="e">
        <f t="shared" si="1703"/>
        <v>#VALUE!</v>
      </c>
      <c r="CC2291" s="129">
        <f>M2291-I2291+1</f>
        <v>2</v>
      </c>
      <c r="CD2291" s="111">
        <f>CC2291-BF2291</f>
        <v>0</v>
      </c>
      <c r="CG2291" s="129" t="str">
        <f t="shared" si="1677"/>
        <v>N</v>
      </c>
      <c r="CI2291" s="129" t="str">
        <f t="shared" si="1682"/>
        <v>0-10 DAYS</v>
      </c>
      <c r="CJ2291" s="137">
        <f t="shared" si="1683"/>
        <v>1</v>
      </c>
      <c r="CK2291" s="129" t="str">
        <f t="shared" si="1684"/>
        <v>Booked</v>
      </c>
    </row>
    <row r="2292" spans="1:89" ht="15" customHeight="1" x14ac:dyDescent="0.25">
      <c r="A2292" s="111">
        <v>693</v>
      </c>
      <c r="B2292" s="128" t="str">
        <f t="shared" si="1667"/>
        <v>N</v>
      </c>
      <c r="C2292" s="128" t="str">
        <f t="shared" si="1668"/>
        <v>N</v>
      </c>
      <c r="D2292" s="117">
        <v>2503704</v>
      </c>
      <c r="E2292" s="135">
        <f t="shared" si="1669"/>
        <v>2</v>
      </c>
      <c r="F2292" s="124">
        <v>40936</v>
      </c>
      <c r="G2292" s="125">
        <v>40939</v>
      </c>
      <c r="H2292" s="117">
        <v>2503704</v>
      </c>
      <c r="I2292" s="124">
        <v>40936</v>
      </c>
      <c r="J2292" s="124">
        <v>40939</v>
      </c>
      <c r="K2292" s="126" t="s">
        <v>564</v>
      </c>
      <c r="L2292" s="127" t="s">
        <v>564</v>
      </c>
      <c r="N2292" s="129" t="s">
        <v>566</v>
      </c>
      <c r="O2292" s="128" t="s">
        <v>917</v>
      </c>
      <c r="P2292" s="129" t="s">
        <v>589</v>
      </c>
      <c r="Q2292" s="111">
        <f t="shared" si="1692"/>
        <v>4</v>
      </c>
      <c r="R2292" s="111">
        <f t="shared" si="1691"/>
        <v>4</v>
      </c>
      <c r="S2292" s="129">
        <v>0</v>
      </c>
      <c r="T2292" s="129">
        <v>0</v>
      </c>
      <c r="W2292" s="111"/>
      <c r="AC2292" s="130"/>
      <c r="AD2292" s="130">
        <v>32997</v>
      </c>
      <c r="AE2292" s="128" t="s">
        <v>32</v>
      </c>
      <c r="AF2292" s="128" t="s">
        <v>69</v>
      </c>
      <c r="AG2292" s="128" t="s">
        <v>874</v>
      </c>
      <c r="AH2292" s="108" t="s">
        <v>31</v>
      </c>
      <c r="AI2292" s="128" t="s">
        <v>97</v>
      </c>
      <c r="AJ2292" s="129" t="s">
        <v>48</v>
      </c>
      <c r="AK2292" s="129">
        <v>1</v>
      </c>
      <c r="AL2292" s="3" t="s">
        <v>48</v>
      </c>
      <c r="AP2292" s="129" t="s">
        <v>43</v>
      </c>
      <c r="AR2292" s="128" t="s">
        <v>44</v>
      </c>
      <c r="AS2292" s="129" t="s">
        <v>45</v>
      </c>
      <c r="BC2292" s="129" t="s">
        <v>38</v>
      </c>
      <c r="BF2292" s="111">
        <f t="shared" si="1701"/>
        <v>4</v>
      </c>
      <c r="BG2292" s="111">
        <f t="shared" si="1702"/>
        <v>4</v>
      </c>
      <c r="BH2292" s="111">
        <f t="shared" si="1664"/>
        <v>4</v>
      </c>
      <c r="BI2292" s="111">
        <f t="shared" si="1665"/>
        <v>21.691256830601095</v>
      </c>
      <c r="BJ2292" s="129">
        <f t="shared" si="1685"/>
        <v>0</v>
      </c>
      <c r="BK2292" s="129">
        <f t="shared" si="1666"/>
        <v>0</v>
      </c>
      <c r="BL2292" s="129" t="str">
        <f t="shared" si="1658"/>
        <v>DEFERRED</v>
      </c>
      <c r="BM2292" s="129" t="str">
        <f t="shared" si="1686"/>
        <v>NONE</v>
      </c>
      <c r="BN2292" s="129" t="s">
        <v>566</v>
      </c>
      <c r="BP2292" s="137" t="str">
        <f t="shared" si="1678"/>
        <v>DEFERRED</v>
      </c>
      <c r="BQ2292" s="128" t="str">
        <f t="shared" si="1670"/>
        <v>Y</v>
      </c>
      <c r="BR2292" s="129" t="str">
        <f t="shared" si="1679"/>
        <v>DETAINED</v>
      </c>
      <c r="BS2292" s="129" t="str">
        <f t="shared" si="1680"/>
        <v>DISPOSED</v>
      </c>
      <c r="BT2292" s="129" t="str">
        <f t="shared" si="1671"/>
        <v>N</v>
      </c>
      <c r="BU2292" s="109">
        <f t="shared" si="1681"/>
        <v>1</v>
      </c>
      <c r="BV2292" s="109">
        <f t="shared" si="1672"/>
        <v>1</v>
      </c>
      <c r="BW2292" s="109">
        <f t="shared" si="1699"/>
        <v>0</v>
      </c>
      <c r="BX2292" s="111">
        <f t="shared" si="1673"/>
        <v>0</v>
      </c>
      <c r="BY2292" s="129">
        <f t="shared" si="1674"/>
        <v>-4</v>
      </c>
      <c r="BZ2292" s="111">
        <f t="shared" si="1675"/>
        <v>0</v>
      </c>
      <c r="CA2292" s="138">
        <f t="shared" si="1676"/>
        <v>4</v>
      </c>
      <c r="CB2292" s="111" t="e">
        <f t="shared" si="1703"/>
        <v>#VALUE!</v>
      </c>
      <c r="CC2292" s="129">
        <f>G2292-I2292+1</f>
        <v>4</v>
      </c>
      <c r="CD2292" s="129">
        <f>G2292-J2292</f>
        <v>0</v>
      </c>
      <c r="CG2292" s="129" t="str">
        <f t="shared" si="1677"/>
        <v>N</v>
      </c>
      <c r="CI2292" s="129" t="str">
        <f t="shared" si="1682"/>
        <v>0-10 DAYS</v>
      </c>
      <c r="CJ2292" s="137">
        <f t="shared" si="1683"/>
        <v>1</v>
      </c>
      <c r="CK2292" s="129" t="str">
        <f t="shared" si="1684"/>
        <v>Booked</v>
      </c>
    </row>
    <row r="2293" spans="1:89" ht="15" customHeight="1" x14ac:dyDescent="0.25">
      <c r="A2293" s="111">
        <v>1649</v>
      </c>
      <c r="B2293" s="128" t="str">
        <f t="shared" si="1667"/>
        <v>N</v>
      </c>
      <c r="C2293" s="128" t="str">
        <f t="shared" si="1668"/>
        <v>N</v>
      </c>
      <c r="D2293" s="117">
        <v>2503768</v>
      </c>
      <c r="E2293" s="135">
        <f t="shared" si="1669"/>
        <v>2</v>
      </c>
      <c r="F2293" s="124">
        <v>40969</v>
      </c>
      <c r="G2293" s="125">
        <v>41101</v>
      </c>
      <c r="H2293" s="117">
        <v>2503768</v>
      </c>
      <c r="I2293" s="124">
        <v>40970</v>
      </c>
      <c r="J2293" s="124">
        <v>40976</v>
      </c>
      <c r="K2293" s="126">
        <v>2000</v>
      </c>
      <c r="L2293" s="127" t="s">
        <v>568</v>
      </c>
      <c r="M2293" s="125">
        <v>40976</v>
      </c>
      <c r="N2293" s="129" t="str">
        <f>IF(M2293&gt;1/1/1,"Y","N")</f>
        <v>Y</v>
      </c>
      <c r="O2293" s="128" t="s">
        <v>76</v>
      </c>
      <c r="P2293" s="129" t="s">
        <v>589</v>
      </c>
      <c r="Q2293" s="111">
        <f t="shared" si="1692"/>
        <v>7</v>
      </c>
      <c r="R2293" s="111">
        <f t="shared" si="1691"/>
        <v>133</v>
      </c>
      <c r="S2293" s="129">
        <v>1</v>
      </c>
      <c r="T2293" s="129">
        <v>0</v>
      </c>
      <c r="W2293" s="111"/>
      <c r="AC2293" s="130"/>
      <c r="AD2293" s="130">
        <v>33848</v>
      </c>
      <c r="AE2293" s="128" t="s">
        <v>32</v>
      </c>
      <c r="AF2293" s="128" t="s">
        <v>69</v>
      </c>
      <c r="AG2293" s="128" t="s">
        <v>874</v>
      </c>
      <c r="AH2293" s="108" t="s">
        <v>31</v>
      </c>
      <c r="AI2293" s="128" t="s">
        <v>53</v>
      </c>
      <c r="AJ2293" s="129" t="s">
        <v>48</v>
      </c>
      <c r="AK2293" s="129">
        <v>9</v>
      </c>
      <c r="AL2293" s="3" t="s">
        <v>48</v>
      </c>
      <c r="AP2293" s="129" t="s">
        <v>108</v>
      </c>
      <c r="AR2293" s="128" t="s">
        <v>44</v>
      </c>
      <c r="AS2293" s="129" t="s">
        <v>61</v>
      </c>
      <c r="BC2293" s="129" t="s">
        <v>52</v>
      </c>
      <c r="BF2293" s="111">
        <f t="shared" si="1701"/>
        <v>7</v>
      </c>
      <c r="BG2293" s="111">
        <f t="shared" si="1702"/>
        <v>132</v>
      </c>
      <c r="BH2293" s="111">
        <f t="shared" si="1664"/>
        <v>133</v>
      </c>
      <c r="BI2293" s="111">
        <f t="shared" si="1665"/>
        <v>19.456284153005466</v>
      </c>
      <c r="BJ2293" s="129">
        <f>(G2293-J2293)+(M2293-G2293)</f>
        <v>0</v>
      </c>
      <c r="BK2293" s="129">
        <f t="shared" si="1666"/>
        <v>-125</v>
      </c>
      <c r="BL2293" s="129" t="str">
        <f t="shared" si="1658"/>
        <v>DEFERRED</v>
      </c>
      <c r="BM2293" s="129" t="s">
        <v>76</v>
      </c>
      <c r="BN2293" s="129" t="s">
        <v>88</v>
      </c>
      <c r="BP2293" s="137" t="str">
        <f t="shared" si="1678"/>
        <v>DEFERRED</v>
      </c>
      <c r="BQ2293" s="128" t="str">
        <f t="shared" si="1670"/>
        <v>Y</v>
      </c>
      <c r="BR2293" s="129" t="str">
        <f t="shared" si="1679"/>
        <v>ON BOND</v>
      </c>
      <c r="BS2293" s="129" t="str">
        <f t="shared" si="1680"/>
        <v>DISPOSED</v>
      </c>
      <c r="BT2293" s="129" t="str">
        <f t="shared" si="1671"/>
        <v>Y</v>
      </c>
      <c r="BU2293" s="109">
        <f t="shared" si="1681"/>
        <v>5.2631578947368418E-2</v>
      </c>
      <c r="BV2293" s="109">
        <f t="shared" si="1672"/>
        <v>5.3030303030303032E-2</v>
      </c>
      <c r="BW2293" s="109">
        <f t="shared" si="1699"/>
        <v>3.9872408293461364E-4</v>
      </c>
      <c r="BX2293" s="111">
        <f t="shared" si="1673"/>
        <v>0</v>
      </c>
      <c r="BY2293" s="129">
        <f t="shared" si="1674"/>
        <v>-7</v>
      </c>
      <c r="BZ2293" s="111">
        <f t="shared" si="1675"/>
        <v>0</v>
      </c>
      <c r="CA2293" s="138">
        <f t="shared" si="1676"/>
        <v>7</v>
      </c>
      <c r="CB2293" s="111" t="e">
        <f t="shared" si="1703"/>
        <v>#VALUE!</v>
      </c>
      <c r="CC2293" s="129">
        <f>M2293-I2293+1</f>
        <v>7</v>
      </c>
      <c r="CD2293" s="111">
        <f>CC2293-BF2293</f>
        <v>0</v>
      </c>
      <c r="CG2293" s="129" t="str">
        <f t="shared" si="1677"/>
        <v>Y</v>
      </c>
      <c r="CI2293" s="129" t="str">
        <f t="shared" si="1682"/>
        <v>0-10 DAYS</v>
      </c>
      <c r="CJ2293" s="137">
        <f t="shared" si="1683"/>
        <v>1</v>
      </c>
      <c r="CK2293" s="129" t="str">
        <f t="shared" si="1684"/>
        <v>Booked</v>
      </c>
    </row>
    <row r="2294" spans="1:89" ht="15" customHeight="1" x14ac:dyDescent="0.25">
      <c r="A2294" s="111">
        <v>2128</v>
      </c>
      <c r="B2294" s="128" t="str">
        <f t="shared" si="1667"/>
        <v>N</v>
      </c>
      <c r="C2294" s="128" t="str">
        <f t="shared" si="1668"/>
        <v>N</v>
      </c>
      <c r="D2294" s="117">
        <v>2504088</v>
      </c>
      <c r="E2294" s="135">
        <f t="shared" si="1669"/>
        <v>5</v>
      </c>
      <c r="F2294" s="124">
        <v>40988</v>
      </c>
      <c r="G2294" s="125">
        <v>41016</v>
      </c>
      <c r="H2294" s="117">
        <v>2504088</v>
      </c>
      <c r="I2294" s="124">
        <v>40989</v>
      </c>
      <c r="J2294" s="124">
        <v>41016</v>
      </c>
      <c r="K2294" s="126">
        <v>10000</v>
      </c>
      <c r="L2294" s="127" t="s">
        <v>570</v>
      </c>
      <c r="N2294" s="129" t="str">
        <f>IF(M2294&gt;1/1/1,"Y","N")</f>
        <v>N</v>
      </c>
      <c r="O2294" s="128" t="s">
        <v>917</v>
      </c>
      <c r="P2294" s="129" t="s">
        <v>39</v>
      </c>
      <c r="Q2294" s="111">
        <f t="shared" si="1692"/>
        <v>28</v>
      </c>
      <c r="R2294" s="111">
        <f t="shared" si="1691"/>
        <v>29</v>
      </c>
      <c r="S2294" s="129">
        <v>0</v>
      </c>
      <c r="T2294" s="129">
        <v>1</v>
      </c>
      <c r="W2294" s="111"/>
      <c r="AC2294" s="130"/>
      <c r="AD2294" s="130">
        <v>33721</v>
      </c>
      <c r="AE2294" s="128" t="s">
        <v>32</v>
      </c>
      <c r="AF2294" s="128" t="s">
        <v>69</v>
      </c>
      <c r="AG2294" s="128" t="s">
        <v>874</v>
      </c>
      <c r="AH2294" s="108" t="s">
        <v>58</v>
      </c>
      <c r="AI2294" s="128" t="s">
        <v>65</v>
      </c>
      <c r="AJ2294" s="129" t="s">
        <v>89</v>
      </c>
      <c r="AK2294" s="129">
        <v>2</v>
      </c>
      <c r="AL2294" s="3" t="s">
        <v>992</v>
      </c>
      <c r="AN2294" s="117">
        <v>8</v>
      </c>
      <c r="AP2294" s="129" t="s">
        <v>107</v>
      </c>
      <c r="AR2294" s="128" t="s">
        <v>44</v>
      </c>
      <c r="AS2294" s="129" t="s">
        <v>57</v>
      </c>
      <c r="BC2294" s="129" t="s">
        <v>38</v>
      </c>
      <c r="BF2294" s="111">
        <f t="shared" si="1701"/>
        <v>28</v>
      </c>
      <c r="BG2294" s="111">
        <f t="shared" si="1702"/>
        <v>28</v>
      </c>
      <c r="BH2294" s="111">
        <f t="shared" si="1664"/>
        <v>29</v>
      </c>
      <c r="BI2294" s="111">
        <f t="shared" si="1665"/>
        <v>19.855191256830601</v>
      </c>
      <c r="BJ2294" s="129">
        <f t="shared" si="1685"/>
        <v>0</v>
      </c>
      <c r="BK2294" s="129">
        <f t="shared" si="1666"/>
        <v>0</v>
      </c>
      <c r="BL2294" s="129" t="str">
        <f t="shared" si="1658"/>
        <v>CONVICTION</v>
      </c>
      <c r="BM2294" s="129" t="str">
        <f t="shared" si="1686"/>
        <v>NONE</v>
      </c>
      <c r="BN2294" s="129" t="s">
        <v>566</v>
      </c>
      <c r="BP2294" s="137" t="str">
        <f t="shared" si="1678"/>
        <v>CONVICTION</v>
      </c>
      <c r="BQ2294" s="128" t="str">
        <f t="shared" si="1670"/>
        <v>Y</v>
      </c>
      <c r="BR2294" s="129" t="str">
        <f t="shared" si="1679"/>
        <v>DETAINED</v>
      </c>
      <c r="BS2294" s="129" t="str">
        <f t="shared" si="1680"/>
        <v>DISPOSED</v>
      </c>
      <c r="BT2294" s="129" t="str">
        <f t="shared" si="1671"/>
        <v>N</v>
      </c>
      <c r="BU2294" s="109">
        <f t="shared" si="1681"/>
        <v>0.96551724137931039</v>
      </c>
      <c r="BV2294" s="109">
        <f t="shared" si="1672"/>
        <v>1</v>
      </c>
      <c r="BW2294" s="109">
        <f t="shared" si="1699"/>
        <v>3.4482758620689613E-2</v>
      </c>
      <c r="BX2294" s="111">
        <f t="shared" si="1673"/>
        <v>0</v>
      </c>
      <c r="BY2294" s="129">
        <f t="shared" si="1674"/>
        <v>-28</v>
      </c>
      <c r="BZ2294" s="111">
        <f t="shared" si="1675"/>
        <v>0</v>
      </c>
      <c r="CA2294" s="138">
        <f t="shared" si="1676"/>
        <v>28</v>
      </c>
      <c r="CB2294" s="111" t="e">
        <f t="shared" si="1703"/>
        <v>#VALUE!</v>
      </c>
      <c r="CC2294" s="129">
        <f>G2294-I2294+1</f>
        <v>28</v>
      </c>
      <c r="CD2294" s="129">
        <f>G2294-J2294</f>
        <v>0</v>
      </c>
      <c r="CG2294" s="129" t="str">
        <f t="shared" si="1677"/>
        <v>Y</v>
      </c>
      <c r="CI2294" s="129" t="str">
        <f t="shared" si="1682"/>
        <v>11-30 DAYS</v>
      </c>
      <c r="CJ2294" s="137">
        <f t="shared" si="1683"/>
        <v>2</v>
      </c>
      <c r="CK2294" s="129" t="str">
        <f t="shared" si="1684"/>
        <v>Booked</v>
      </c>
    </row>
    <row r="2295" spans="1:89" ht="15.75" customHeight="1" x14ac:dyDescent="0.25">
      <c r="A2295" s="111">
        <v>2736</v>
      </c>
      <c r="B2295" s="128" t="str">
        <f t="shared" si="1667"/>
        <v>N</v>
      </c>
      <c r="C2295" s="128" t="str">
        <f t="shared" si="1668"/>
        <v>N</v>
      </c>
      <c r="D2295" s="117">
        <v>2504395</v>
      </c>
      <c r="E2295" s="135">
        <f t="shared" si="1669"/>
        <v>2</v>
      </c>
      <c r="F2295" s="124">
        <v>41010</v>
      </c>
      <c r="G2295" s="125">
        <v>41015</v>
      </c>
      <c r="H2295" s="117">
        <v>2504395</v>
      </c>
      <c r="I2295" s="124">
        <v>41011</v>
      </c>
      <c r="J2295" s="124">
        <v>41015</v>
      </c>
      <c r="K2295" s="126">
        <v>10000</v>
      </c>
      <c r="L2295" s="127" t="s">
        <v>570</v>
      </c>
      <c r="N2295" s="129" t="str">
        <f>IF(M2295&gt;1/1/1,"Y","N")</f>
        <v>N</v>
      </c>
      <c r="O2295" s="128" t="s">
        <v>917</v>
      </c>
      <c r="P2295" s="129" t="s">
        <v>589</v>
      </c>
      <c r="Q2295" s="111">
        <f t="shared" si="1692"/>
        <v>5</v>
      </c>
      <c r="R2295" s="111">
        <f t="shared" si="1691"/>
        <v>6</v>
      </c>
      <c r="S2295" s="129">
        <v>0</v>
      </c>
      <c r="T2295" s="129">
        <v>1</v>
      </c>
      <c r="W2295" s="111"/>
      <c r="AB2295" s="131" t="s">
        <v>112</v>
      </c>
      <c r="AC2295" s="130"/>
      <c r="AD2295" s="130">
        <v>33009</v>
      </c>
      <c r="AE2295" s="128" t="s">
        <v>32</v>
      </c>
      <c r="AF2295" s="128" t="s">
        <v>40</v>
      </c>
      <c r="AG2295" s="128" t="s">
        <v>41</v>
      </c>
      <c r="AH2295" s="108" t="s">
        <v>31</v>
      </c>
      <c r="AI2295" s="128" t="s">
        <v>100</v>
      </c>
      <c r="AJ2295" s="129" t="s">
        <v>48</v>
      </c>
      <c r="AK2295" s="129">
        <v>2</v>
      </c>
      <c r="AL2295" s="3" t="s">
        <v>48</v>
      </c>
      <c r="AP2295" s="129" t="s">
        <v>93</v>
      </c>
      <c r="AR2295" s="128" t="s">
        <v>67</v>
      </c>
      <c r="AS2295" s="129" t="s">
        <v>45</v>
      </c>
      <c r="AT2295" s="32" t="s">
        <v>1230</v>
      </c>
      <c r="BC2295" s="129" t="s">
        <v>79</v>
      </c>
      <c r="BF2295" s="111">
        <f t="shared" si="1701"/>
        <v>5</v>
      </c>
      <c r="BG2295" s="111">
        <f t="shared" si="1702"/>
        <v>5</v>
      </c>
      <c r="BH2295" s="111">
        <f t="shared" si="1664"/>
        <v>6</v>
      </c>
      <c r="BI2295" s="111">
        <f t="shared" si="1665"/>
        <v>21.860655737704917</v>
      </c>
      <c r="BJ2295" s="129">
        <f t="shared" si="1685"/>
        <v>0</v>
      </c>
      <c r="BK2295" s="129">
        <f t="shared" si="1666"/>
        <v>0</v>
      </c>
      <c r="BL2295" s="129" t="str">
        <f t="shared" si="1658"/>
        <v>DEFERRED</v>
      </c>
      <c r="BM2295" s="129" t="str">
        <f t="shared" si="1686"/>
        <v>NONE</v>
      </c>
      <c r="BN2295" s="129" t="s">
        <v>566</v>
      </c>
      <c r="BP2295" s="137" t="str">
        <f t="shared" si="1678"/>
        <v>DEFERRED</v>
      </c>
      <c r="BQ2295" s="128" t="str">
        <f t="shared" si="1670"/>
        <v>Y</v>
      </c>
      <c r="BR2295" s="129" t="str">
        <f t="shared" si="1679"/>
        <v>DETAINED</v>
      </c>
      <c r="BS2295" s="129" t="str">
        <f t="shared" si="1680"/>
        <v>DISPOSED</v>
      </c>
      <c r="BT2295" s="129" t="str">
        <f t="shared" si="1671"/>
        <v>N</v>
      </c>
      <c r="BU2295" s="109">
        <f t="shared" si="1681"/>
        <v>0.83333333333333337</v>
      </c>
      <c r="BV2295" s="109">
        <f t="shared" si="1672"/>
        <v>1</v>
      </c>
      <c r="BW2295" s="109">
        <f t="shared" si="1699"/>
        <v>0.16666666666666663</v>
      </c>
      <c r="BX2295" s="111">
        <f t="shared" si="1673"/>
        <v>0</v>
      </c>
      <c r="BY2295" s="129">
        <f t="shared" si="1674"/>
        <v>-5</v>
      </c>
      <c r="BZ2295" s="111">
        <f t="shared" si="1675"/>
        <v>0</v>
      </c>
      <c r="CA2295" s="138">
        <f t="shared" si="1676"/>
        <v>5</v>
      </c>
      <c r="CB2295" s="111" t="e">
        <f t="shared" si="1703"/>
        <v>#VALUE!</v>
      </c>
      <c r="CC2295" s="129">
        <f>G2295-I2295+1</f>
        <v>5</v>
      </c>
      <c r="CD2295" s="129">
        <f>G2295-J2295</f>
        <v>0</v>
      </c>
      <c r="CG2295" s="129" t="str">
        <f t="shared" si="1677"/>
        <v>Y</v>
      </c>
      <c r="CI2295" s="129" t="str">
        <f t="shared" si="1682"/>
        <v>0-10 DAYS</v>
      </c>
      <c r="CJ2295" s="137">
        <f t="shared" si="1683"/>
        <v>1</v>
      </c>
      <c r="CK2295" s="129" t="str">
        <f t="shared" si="1684"/>
        <v>Booked</v>
      </c>
    </row>
    <row r="2296" spans="1:89" ht="15.75" customHeight="1" x14ac:dyDescent="0.25">
      <c r="A2296" s="111">
        <v>886</v>
      </c>
      <c r="B2296" s="128" t="str">
        <f t="shared" si="1667"/>
        <v>Y</v>
      </c>
      <c r="C2296" s="128" t="str">
        <f t="shared" si="1668"/>
        <v>N</v>
      </c>
      <c r="D2296" s="117">
        <v>2504767</v>
      </c>
      <c r="E2296" s="135">
        <f t="shared" si="1669"/>
        <v>2</v>
      </c>
      <c r="F2296" s="124">
        <v>40941</v>
      </c>
      <c r="G2296" s="125">
        <v>41222</v>
      </c>
      <c r="H2296" s="117">
        <v>2504767</v>
      </c>
      <c r="I2296" s="124">
        <v>41069</v>
      </c>
      <c r="J2296" s="124">
        <v>41070</v>
      </c>
      <c r="K2296" s="126">
        <v>2000</v>
      </c>
      <c r="L2296" s="127" t="s">
        <v>568</v>
      </c>
      <c r="M2296" s="125">
        <v>41070</v>
      </c>
      <c r="N2296" s="129" t="str">
        <f>IF(M2296&gt;1/1/1,"Y","N")</f>
        <v>Y</v>
      </c>
      <c r="O2296" s="128" t="s">
        <v>585</v>
      </c>
      <c r="P2296" s="129" t="s">
        <v>589</v>
      </c>
      <c r="Q2296" s="111">
        <f t="shared" si="1692"/>
        <v>2</v>
      </c>
      <c r="R2296" s="111">
        <f t="shared" si="1691"/>
        <v>282</v>
      </c>
      <c r="S2296" s="129">
        <v>0</v>
      </c>
      <c r="T2296" s="129">
        <v>2</v>
      </c>
      <c r="W2296" s="111"/>
      <c r="AC2296" s="130"/>
      <c r="AD2296" s="130">
        <v>33832</v>
      </c>
      <c r="AE2296" s="128" t="s">
        <v>32</v>
      </c>
      <c r="AF2296" s="128" t="s">
        <v>33</v>
      </c>
      <c r="AG2296" s="128" t="s">
        <v>872</v>
      </c>
      <c r="AH2296" s="108" t="s">
        <v>31</v>
      </c>
      <c r="AI2296" s="128" t="s">
        <v>70</v>
      </c>
      <c r="AJ2296" s="129" t="s">
        <v>48</v>
      </c>
      <c r="AK2296" s="129">
        <v>9</v>
      </c>
      <c r="AL2296" s="3" t="s">
        <v>48</v>
      </c>
      <c r="AP2296" s="129" t="s">
        <v>43</v>
      </c>
      <c r="AR2296" s="128" t="s">
        <v>44</v>
      </c>
      <c r="AS2296" s="129" t="s">
        <v>45</v>
      </c>
      <c r="BC2296" s="129" t="s">
        <v>38</v>
      </c>
      <c r="BD2296" s="129" t="s">
        <v>1231</v>
      </c>
      <c r="BF2296" s="111">
        <f t="shared" si="1701"/>
        <v>2</v>
      </c>
      <c r="BG2296" s="111">
        <f t="shared" si="1702"/>
        <v>154</v>
      </c>
      <c r="BH2296" s="111">
        <f t="shared" si="1664"/>
        <v>282</v>
      </c>
      <c r="BI2296" s="111">
        <f t="shared" si="1665"/>
        <v>19.423497267759561</v>
      </c>
      <c r="BJ2296" s="129">
        <f>(G2296-J2296)+(M2296-G2296)</f>
        <v>0</v>
      </c>
      <c r="BK2296" s="129">
        <f t="shared" si="1666"/>
        <v>-152</v>
      </c>
      <c r="BL2296" s="129" t="str">
        <f t="shared" ref="BL2296:BL2358" si="1704">IF(OR(AL2296="AQUITTAL",AL2296="DISMISSED",AL2296="FINE",AL2296="NO BILL"),"NO CONVICTION",IF(OR(AL2296="HCJ",AL2296="MHH",AL2296="PROBATION",AL2296="STJ",AL2296="TDC"),"CONVICTION",IF(AL2296="DEFERRED","DEFERRED",0)))</f>
        <v>DEFERRED</v>
      </c>
      <c r="BM2296" s="129" t="s">
        <v>76</v>
      </c>
      <c r="BN2296" s="129" t="s">
        <v>88</v>
      </c>
      <c r="BP2296" s="137" t="str">
        <f t="shared" si="1678"/>
        <v>DEFERRED</v>
      </c>
      <c r="BQ2296" s="128" t="str">
        <f t="shared" si="1670"/>
        <v>Y</v>
      </c>
      <c r="BR2296" s="129" t="str">
        <f t="shared" si="1679"/>
        <v>ON BOND</v>
      </c>
      <c r="BS2296" s="129" t="str">
        <f t="shared" si="1680"/>
        <v>DISPOSED</v>
      </c>
      <c r="BT2296" s="129" t="str">
        <f t="shared" si="1671"/>
        <v>N</v>
      </c>
      <c r="BU2296" s="109">
        <f t="shared" si="1681"/>
        <v>7.0921985815602835E-3</v>
      </c>
      <c r="BV2296" s="109">
        <f t="shared" si="1672"/>
        <v>1.2987012987012988E-2</v>
      </c>
      <c r="BW2296" s="109">
        <f t="shared" si="1699"/>
        <v>5.8948144054527044E-3</v>
      </c>
      <c r="BX2296" s="111">
        <f t="shared" si="1673"/>
        <v>0</v>
      </c>
      <c r="BY2296" s="129">
        <f t="shared" si="1674"/>
        <v>-2</v>
      </c>
      <c r="BZ2296" s="111">
        <f t="shared" si="1675"/>
        <v>0</v>
      </c>
      <c r="CA2296" s="138">
        <f t="shared" si="1676"/>
        <v>2</v>
      </c>
      <c r="CB2296" s="111" t="e">
        <f t="shared" si="1703"/>
        <v>#VALUE!</v>
      </c>
      <c r="CC2296" s="129">
        <f>M2296-I2296+1</f>
        <v>2</v>
      </c>
      <c r="CD2296" s="111">
        <f>CC2296-BF2296</f>
        <v>0</v>
      </c>
      <c r="CG2296" s="129" t="str">
        <f t="shared" si="1677"/>
        <v>Y</v>
      </c>
      <c r="CI2296" s="129" t="str">
        <f t="shared" si="1682"/>
        <v>0-10 DAYS</v>
      </c>
      <c r="CJ2296" s="137">
        <f t="shared" si="1683"/>
        <v>1</v>
      </c>
      <c r="CK2296" s="129" t="str">
        <f t="shared" si="1684"/>
        <v>Booked</v>
      </c>
    </row>
    <row r="2297" spans="1:89" ht="15.75" customHeight="1" x14ac:dyDescent="0.25">
      <c r="A2297" s="111">
        <v>114</v>
      </c>
      <c r="B2297" s="128" t="str">
        <f t="shared" si="1667"/>
        <v>N</v>
      </c>
      <c r="C2297" s="128" t="str">
        <f t="shared" si="1668"/>
        <v>N</v>
      </c>
      <c r="D2297" s="117">
        <v>2504822</v>
      </c>
      <c r="E2297" s="135">
        <f t="shared" si="1669"/>
        <v>6</v>
      </c>
      <c r="F2297" s="124">
        <v>40913</v>
      </c>
      <c r="G2297" s="125">
        <v>42059</v>
      </c>
      <c r="H2297" s="117">
        <v>2504822</v>
      </c>
      <c r="I2297" s="124">
        <v>40914</v>
      </c>
      <c r="J2297" s="125">
        <v>42059</v>
      </c>
      <c r="K2297" s="126" t="s">
        <v>564</v>
      </c>
      <c r="L2297" s="127" t="s">
        <v>564</v>
      </c>
      <c r="N2297" s="129" t="s">
        <v>566</v>
      </c>
      <c r="O2297" s="128" t="s">
        <v>917</v>
      </c>
      <c r="P2297" s="129" t="s">
        <v>39</v>
      </c>
      <c r="Q2297" s="111">
        <f t="shared" ref="Q2297:R2297" si="1705">BG2297</f>
        <v>1146</v>
      </c>
      <c r="R2297" s="111">
        <f t="shared" si="1705"/>
        <v>1147</v>
      </c>
      <c r="S2297" s="129">
        <v>2</v>
      </c>
      <c r="T2297" s="129">
        <v>1</v>
      </c>
      <c r="U2297" s="129">
        <v>1</v>
      </c>
      <c r="W2297" s="111"/>
      <c r="AC2297" s="130"/>
      <c r="AD2297" s="130">
        <v>29381</v>
      </c>
      <c r="AE2297" s="128" t="s">
        <v>32</v>
      </c>
      <c r="AF2297" s="128" t="s">
        <v>33</v>
      </c>
      <c r="AG2297" s="128" t="s">
        <v>872</v>
      </c>
      <c r="AH2297" s="108" t="s">
        <v>31</v>
      </c>
      <c r="AI2297" s="128" t="s">
        <v>141</v>
      </c>
      <c r="AJ2297" s="129" t="s">
        <v>89</v>
      </c>
      <c r="AK2297" s="129">
        <v>18</v>
      </c>
      <c r="AL2297" s="3" t="s">
        <v>362</v>
      </c>
      <c r="AM2297" s="117">
        <v>3</v>
      </c>
      <c r="AP2297" s="129" t="s">
        <v>84</v>
      </c>
      <c r="AR2297" s="128" t="s">
        <v>67</v>
      </c>
      <c r="AS2297" s="129" t="s">
        <v>74</v>
      </c>
      <c r="AT2297" s="129" t="s">
        <v>1388</v>
      </c>
      <c r="BC2297" s="129" t="s">
        <v>38</v>
      </c>
      <c r="BF2297" s="111">
        <v>1147</v>
      </c>
      <c r="BG2297" s="111">
        <f t="shared" si="1702"/>
        <v>1146</v>
      </c>
      <c r="BH2297" s="111">
        <f t="shared" si="1664"/>
        <v>1147</v>
      </c>
      <c r="BI2297" s="111">
        <f t="shared" si="1665"/>
        <v>31.508196721311474</v>
      </c>
      <c r="BJ2297" s="129">
        <f>(G2297-J2297)+(M2297-G2297)</f>
        <v>-42059</v>
      </c>
      <c r="BK2297" s="129">
        <f t="shared" si="1666"/>
        <v>0</v>
      </c>
      <c r="BL2297" s="129" t="str">
        <f t="shared" si="1704"/>
        <v>CONVICTION</v>
      </c>
      <c r="BM2297" s="129" t="str">
        <f t="shared" ref="BM2297" si="1706">O2297</f>
        <v>NONE</v>
      </c>
      <c r="BN2297" s="129" t="s">
        <v>566</v>
      </c>
      <c r="BP2297" s="137" t="str">
        <f t="shared" si="1678"/>
        <v>CONVICTION</v>
      </c>
      <c r="BQ2297" s="128" t="str">
        <f t="shared" si="1670"/>
        <v>Y</v>
      </c>
      <c r="BR2297" s="129" t="str">
        <f t="shared" si="1679"/>
        <v>DETAINED</v>
      </c>
      <c r="BS2297" s="129" t="str">
        <f t="shared" si="1680"/>
        <v>DISPOSED</v>
      </c>
      <c r="BT2297" s="129" t="str">
        <f t="shared" si="1671"/>
        <v>Y</v>
      </c>
      <c r="BU2297" s="109">
        <v>1</v>
      </c>
      <c r="BV2297" s="139">
        <v>1</v>
      </c>
      <c r="BW2297" s="109">
        <v>0</v>
      </c>
      <c r="BX2297" s="111">
        <f t="shared" si="1673"/>
        <v>-1</v>
      </c>
      <c r="BY2297" s="129">
        <f t="shared" si="1674"/>
        <v>-1146</v>
      </c>
      <c r="BZ2297" s="111">
        <f t="shared" si="1675"/>
        <v>1</v>
      </c>
      <c r="CA2297" s="138">
        <f t="shared" si="1676"/>
        <v>1146</v>
      </c>
      <c r="CB2297" s="111" t="e">
        <f t="shared" si="1703"/>
        <v>#VALUE!</v>
      </c>
      <c r="CC2297" s="129">
        <v>1147</v>
      </c>
      <c r="CG2297" s="129" t="str">
        <f t="shared" si="1677"/>
        <v>Y</v>
      </c>
      <c r="CH2297" s="129" t="e">
        <v>#N/A</v>
      </c>
      <c r="CI2297" s="129" t="str">
        <f t="shared" si="1682"/>
        <v>&gt;3YRS</v>
      </c>
      <c r="CJ2297" s="137">
        <f t="shared" si="1683"/>
        <v>9</v>
      </c>
      <c r="CK2297" s="129" t="str">
        <f t="shared" si="1684"/>
        <v>Booked</v>
      </c>
    </row>
    <row r="2298" spans="1:89" ht="15.75" customHeight="1" x14ac:dyDescent="0.25">
      <c r="A2298" s="111">
        <v>1356</v>
      </c>
      <c r="B2298" s="128" t="str">
        <f t="shared" si="1667"/>
        <v>N</v>
      </c>
      <c r="C2298" s="128" t="str">
        <f t="shared" si="1668"/>
        <v>N</v>
      </c>
      <c r="D2298" s="117">
        <v>2504825</v>
      </c>
      <c r="E2298" s="135">
        <f t="shared" si="1669"/>
        <v>1</v>
      </c>
      <c r="F2298" s="124">
        <v>40958</v>
      </c>
      <c r="G2298" s="125">
        <v>40988</v>
      </c>
      <c r="H2298" s="117">
        <v>2504825</v>
      </c>
      <c r="I2298" s="124">
        <v>40958</v>
      </c>
      <c r="J2298" s="124">
        <v>40988</v>
      </c>
      <c r="K2298" s="126" t="s">
        <v>564</v>
      </c>
      <c r="L2298" s="127" t="s">
        <v>564</v>
      </c>
      <c r="N2298" s="129" t="s">
        <v>566</v>
      </c>
      <c r="O2298" s="128" t="s">
        <v>917</v>
      </c>
      <c r="P2298" s="129" t="s">
        <v>55</v>
      </c>
      <c r="Q2298" s="111">
        <f t="shared" si="1692"/>
        <v>31</v>
      </c>
      <c r="R2298" s="111">
        <f t="shared" si="1691"/>
        <v>31</v>
      </c>
      <c r="S2298" s="129">
        <v>1</v>
      </c>
      <c r="T2298" s="129">
        <v>0</v>
      </c>
      <c r="V2298" s="117">
        <v>1</v>
      </c>
      <c r="W2298" s="111"/>
      <c r="AC2298" s="130"/>
      <c r="AD2298" s="130">
        <v>33737</v>
      </c>
      <c r="AE2298" s="128" t="s">
        <v>32</v>
      </c>
      <c r="AF2298" s="128" t="s">
        <v>40</v>
      </c>
      <c r="AG2298" s="128" t="s">
        <v>41</v>
      </c>
      <c r="AH2298" s="108" t="s">
        <v>41</v>
      </c>
      <c r="AI2298" s="128" t="s">
        <v>90</v>
      </c>
      <c r="AJ2298" s="129" t="s">
        <v>55</v>
      </c>
      <c r="AK2298" s="129">
        <v>3</v>
      </c>
      <c r="AL2298" s="3" t="s">
        <v>55</v>
      </c>
      <c r="AP2298" s="129" t="s">
        <v>93</v>
      </c>
      <c r="AR2298" s="128" t="s">
        <v>67</v>
      </c>
      <c r="AS2298" s="129" t="s">
        <v>45</v>
      </c>
      <c r="BC2298" s="129" t="s">
        <v>52</v>
      </c>
      <c r="BF2298" s="111">
        <f t="shared" si="1701"/>
        <v>31</v>
      </c>
      <c r="BG2298" s="111">
        <f t="shared" si="1702"/>
        <v>31</v>
      </c>
      <c r="BH2298" s="111">
        <f t="shared" si="1664"/>
        <v>31</v>
      </c>
      <c r="BI2298" s="111">
        <f t="shared" si="1665"/>
        <v>19.729508196721312</v>
      </c>
      <c r="BJ2298" s="129">
        <f t="shared" si="1685"/>
        <v>0</v>
      </c>
      <c r="BK2298" s="129">
        <f t="shared" si="1666"/>
        <v>0</v>
      </c>
      <c r="BL2298" s="129" t="str">
        <f t="shared" si="1704"/>
        <v>NO CONVICTION</v>
      </c>
      <c r="BM2298" s="129" t="str">
        <f t="shared" si="1686"/>
        <v>NONE</v>
      </c>
      <c r="BN2298" s="129" t="s">
        <v>566</v>
      </c>
      <c r="BP2298" s="137" t="str">
        <f t="shared" si="1678"/>
        <v>NO CONVICTION</v>
      </c>
      <c r="BQ2298" s="128" t="str">
        <f t="shared" si="1670"/>
        <v>Y</v>
      </c>
      <c r="BR2298" s="129" t="str">
        <f t="shared" si="1679"/>
        <v>DETAINED</v>
      </c>
      <c r="BS2298" s="129" t="str">
        <f t="shared" si="1680"/>
        <v>DISPOSED</v>
      </c>
      <c r="BT2298" s="129" t="str">
        <f t="shared" si="1671"/>
        <v>Y</v>
      </c>
      <c r="BU2298" s="109">
        <f>IFERROR(Q2298/R2298,BR2298)</f>
        <v>1</v>
      </c>
      <c r="BV2298" s="109">
        <f t="shared" si="1672"/>
        <v>1</v>
      </c>
      <c r="BW2298" s="109">
        <f t="shared" ref="BW2298:BW2319" si="1707">BV2298-BU2298</f>
        <v>0</v>
      </c>
      <c r="BX2298" s="111">
        <f t="shared" si="1673"/>
        <v>0</v>
      </c>
      <c r="BY2298" s="129">
        <f t="shared" si="1674"/>
        <v>-31</v>
      </c>
      <c r="BZ2298" s="111">
        <f t="shared" si="1675"/>
        <v>0</v>
      </c>
      <c r="CA2298" s="138">
        <f t="shared" si="1676"/>
        <v>31</v>
      </c>
      <c r="CB2298" s="111" t="e">
        <f t="shared" si="1703"/>
        <v>#VALUE!</v>
      </c>
      <c r="CC2298" s="129">
        <f>G2298-I2298+1</f>
        <v>31</v>
      </c>
      <c r="CD2298" s="129">
        <f>G2298-J2298</f>
        <v>0</v>
      </c>
      <c r="CG2298" s="129" t="str">
        <f t="shared" si="1677"/>
        <v>Y</v>
      </c>
      <c r="CI2298" s="129" t="str">
        <f t="shared" si="1682"/>
        <v>31-60 DAYS</v>
      </c>
      <c r="CJ2298" s="137">
        <f t="shared" si="1683"/>
        <v>3</v>
      </c>
      <c r="CK2298" s="129" t="str">
        <f t="shared" si="1684"/>
        <v>Booked</v>
      </c>
    </row>
    <row r="2299" spans="1:89" ht="15.75" customHeight="1" x14ac:dyDescent="0.25">
      <c r="A2299" s="111">
        <v>404</v>
      </c>
      <c r="B2299" s="128" t="str">
        <f t="shared" si="1667"/>
        <v>N</v>
      </c>
      <c r="C2299" s="128" t="str">
        <f t="shared" si="1668"/>
        <v>N</v>
      </c>
      <c r="D2299" s="117">
        <v>2505073</v>
      </c>
      <c r="E2299" s="135">
        <f t="shared" si="1669"/>
        <v>2</v>
      </c>
      <c r="F2299" s="124">
        <v>40925</v>
      </c>
      <c r="G2299" s="125">
        <v>40927</v>
      </c>
      <c r="H2299" s="117">
        <v>2505073</v>
      </c>
      <c r="I2299" s="124">
        <v>40926</v>
      </c>
      <c r="J2299" s="124">
        <v>40927</v>
      </c>
      <c r="K2299" s="126">
        <v>2000</v>
      </c>
      <c r="L2299" s="127" t="s">
        <v>568</v>
      </c>
      <c r="N2299" s="129" t="str">
        <f>IF(M2299&gt;1/1/1,"Y","N")</f>
        <v>N</v>
      </c>
      <c r="O2299" s="128" t="s">
        <v>917</v>
      </c>
      <c r="P2299" s="129" t="s">
        <v>589</v>
      </c>
      <c r="Q2299" s="111">
        <f t="shared" si="1692"/>
        <v>2</v>
      </c>
      <c r="R2299" s="111">
        <f t="shared" si="1691"/>
        <v>3</v>
      </c>
      <c r="S2299" s="129">
        <v>0</v>
      </c>
      <c r="T2299" s="129">
        <v>0</v>
      </c>
      <c r="W2299" s="111"/>
      <c r="AC2299" s="130"/>
      <c r="AD2299" s="130">
        <v>30777</v>
      </c>
      <c r="AE2299" s="128" t="s">
        <v>32</v>
      </c>
      <c r="AF2299" s="128" t="s">
        <v>33</v>
      </c>
      <c r="AG2299" s="128" t="s">
        <v>872</v>
      </c>
      <c r="AH2299" s="108" t="s">
        <v>31</v>
      </c>
      <c r="AI2299" s="128" t="s">
        <v>53</v>
      </c>
      <c r="AJ2299" s="129" t="s">
        <v>48</v>
      </c>
      <c r="AK2299" s="129">
        <v>1</v>
      </c>
      <c r="AL2299" s="3" t="s">
        <v>48</v>
      </c>
      <c r="AP2299" s="129" t="s">
        <v>43</v>
      </c>
      <c r="AR2299" s="128" t="s">
        <v>44</v>
      </c>
      <c r="AS2299" s="129" t="s">
        <v>45</v>
      </c>
      <c r="BC2299" s="129" t="s">
        <v>38</v>
      </c>
      <c r="BF2299" s="111">
        <f t="shared" si="1701"/>
        <v>2</v>
      </c>
      <c r="BG2299" s="111">
        <f t="shared" si="1702"/>
        <v>2</v>
      </c>
      <c r="BH2299" s="111">
        <f t="shared" si="1664"/>
        <v>3</v>
      </c>
      <c r="BI2299" s="111">
        <f t="shared" si="1665"/>
        <v>27.726775956284154</v>
      </c>
      <c r="BJ2299" s="129">
        <f t="shared" si="1685"/>
        <v>0</v>
      </c>
      <c r="BK2299" s="129">
        <f t="shared" si="1666"/>
        <v>0</v>
      </c>
      <c r="BL2299" s="129" t="str">
        <f t="shared" si="1704"/>
        <v>DEFERRED</v>
      </c>
      <c r="BM2299" s="129" t="str">
        <f t="shared" si="1686"/>
        <v>NONE</v>
      </c>
      <c r="BN2299" s="129" t="s">
        <v>566</v>
      </c>
      <c r="BP2299" s="137" t="str">
        <f t="shared" si="1678"/>
        <v>DEFERRED</v>
      </c>
      <c r="BQ2299" s="128" t="str">
        <f t="shared" si="1670"/>
        <v>Y</v>
      </c>
      <c r="BR2299" s="129" t="str">
        <f t="shared" si="1679"/>
        <v>DETAINED</v>
      </c>
      <c r="BS2299" s="129" t="str">
        <f t="shared" si="1680"/>
        <v>DISPOSED</v>
      </c>
      <c r="BT2299" s="129" t="str">
        <f t="shared" si="1671"/>
        <v>N</v>
      </c>
      <c r="BU2299" s="109">
        <f t="shared" si="1681"/>
        <v>0.66666666666666663</v>
      </c>
      <c r="BV2299" s="109">
        <f t="shared" si="1672"/>
        <v>1</v>
      </c>
      <c r="BW2299" s="109">
        <f t="shared" si="1707"/>
        <v>0.33333333333333337</v>
      </c>
      <c r="BX2299" s="111">
        <f t="shared" si="1673"/>
        <v>0</v>
      </c>
      <c r="BY2299" s="129">
        <f t="shared" si="1674"/>
        <v>-2</v>
      </c>
      <c r="BZ2299" s="111">
        <f t="shared" si="1675"/>
        <v>0</v>
      </c>
      <c r="CA2299" s="138">
        <f t="shared" si="1676"/>
        <v>2</v>
      </c>
      <c r="CB2299" s="111" t="e">
        <f t="shared" si="1703"/>
        <v>#VALUE!</v>
      </c>
      <c r="CC2299" s="129">
        <f>G2299-I2299+1</f>
        <v>2</v>
      </c>
      <c r="CD2299" s="129">
        <f>G2299-J2299</f>
        <v>0</v>
      </c>
      <c r="CG2299" s="129" t="str">
        <f t="shared" si="1677"/>
        <v>N</v>
      </c>
      <c r="CI2299" s="129" t="str">
        <f t="shared" si="1682"/>
        <v>0-10 DAYS</v>
      </c>
      <c r="CJ2299" s="137">
        <f t="shared" si="1683"/>
        <v>1</v>
      </c>
      <c r="CK2299" s="129" t="str">
        <f t="shared" si="1684"/>
        <v>Booked</v>
      </c>
    </row>
    <row r="2300" spans="1:89" ht="15" customHeight="1" x14ac:dyDescent="0.25">
      <c r="A2300" s="111">
        <v>2405</v>
      </c>
      <c r="B2300" s="128" t="str">
        <f t="shared" si="1667"/>
        <v>N</v>
      </c>
      <c r="C2300" s="128" t="str">
        <f t="shared" si="1668"/>
        <v>N</v>
      </c>
      <c r="D2300" s="117">
        <v>2505223</v>
      </c>
      <c r="E2300" s="135">
        <f t="shared" si="1669"/>
        <v>2</v>
      </c>
      <c r="F2300" s="124">
        <v>40999</v>
      </c>
      <c r="G2300" s="125">
        <v>41145</v>
      </c>
      <c r="H2300" s="117">
        <v>2505223</v>
      </c>
      <c r="I2300" s="124">
        <v>41067</v>
      </c>
      <c r="J2300" s="124">
        <v>41067</v>
      </c>
      <c r="K2300" s="126">
        <v>2000</v>
      </c>
      <c r="L2300" s="127" t="s">
        <v>568</v>
      </c>
      <c r="M2300" s="125">
        <v>41067</v>
      </c>
      <c r="N2300" s="129" t="str">
        <f>IF(M2300&gt;1/1/1,"Y","N")</f>
        <v>Y</v>
      </c>
      <c r="O2300" s="112" t="s">
        <v>160</v>
      </c>
      <c r="P2300" s="129" t="s">
        <v>589</v>
      </c>
      <c r="Q2300" s="111">
        <f t="shared" si="1692"/>
        <v>1</v>
      </c>
      <c r="R2300" s="111">
        <f t="shared" si="1691"/>
        <v>147</v>
      </c>
      <c r="S2300" s="129">
        <v>0</v>
      </c>
      <c r="T2300" s="129">
        <v>2</v>
      </c>
      <c r="W2300" s="111"/>
      <c r="AC2300" s="130"/>
      <c r="AD2300" s="130">
        <v>33636</v>
      </c>
      <c r="AE2300" s="128" t="s">
        <v>32</v>
      </c>
      <c r="AF2300" s="128" t="s">
        <v>33</v>
      </c>
      <c r="AG2300" s="128" t="s">
        <v>872</v>
      </c>
      <c r="AH2300" s="108" t="s">
        <v>31</v>
      </c>
      <c r="AI2300" s="128" t="s">
        <v>47</v>
      </c>
      <c r="AJ2300" s="129" t="s">
        <v>48</v>
      </c>
      <c r="AK2300" s="129">
        <v>5</v>
      </c>
      <c r="AL2300" s="3" t="s">
        <v>48</v>
      </c>
      <c r="AP2300" s="129" t="s">
        <v>108</v>
      </c>
      <c r="AR2300" s="128" t="s">
        <v>44</v>
      </c>
      <c r="AS2300" s="129" t="s">
        <v>61</v>
      </c>
      <c r="BC2300" s="129" t="s">
        <v>38</v>
      </c>
      <c r="BF2300" s="111">
        <f t="shared" si="1701"/>
        <v>1</v>
      </c>
      <c r="BG2300" s="111">
        <f t="shared" si="1702"/>
        <v>79</v>
      </c>
      <c r="BH2300" s="111">
        <f t="shared" si="1664"/>
        <v>147</v>
      </c>
      <c r="BI2300" s="111">
        <f t="shared" si="1665"/>
        <v>20.117486338797814</v>
      </c>
      <c r="BJ2300" s="129">
        <f>(G2300-J2300)+(M2300-G2300)</f>
        <v>0</v>
      </c>
      <c r="BK2300" s="129">
        <f t="shared" si="1666"/>
        <v>-78</v>
      </c>
      <c r="BL2300" s="129" t="str">
        <f t="shared" si="1704"/>
        <v>DEFERRED</v>
      </c>
      <c r="BM2300" s="129" t="s">
        <v>160</v>
      </c>
      <c r="BN2300" s="129" t="s">
        <v>88</v>
      </c>
      <c r="BP2300" s="137" t="str">
        <f t="shared" si="1678"/>
        <v>DEFERRED</v>
      </c>
      <c r="BQ2300" s="128" t="str">
        <f t="shared" si="1670"/>
        <v>Y</v>
      </c>
      <c r="BR2300" s="129" t="str">
        <f t="shared" si="1679"/>
        <v>ON BOND</v>
      </c>
      <c r="BS2300" s="129" t="str">
        <f t="shared" si="1680"/>
        <v>DISPOSED</v>
      </c>
      <c r="BT2300" s="129" t="str">
        <f t="shared" si="1671"/>
        <v>N</v>
      </c>
      <c r="BU2300" s="109">
        <f t="shared" si="1681"/>
        <v>6.8027210884353739E-3</v>
      </c>
      <c r="BV2300" s="109">
        <f t="shared" si="1672"/>
        <v>1.2658227848101266E-2</v>
      </c>
      <c r="BW2300" s="109">
        <f t="shared" si="1707"/>
        <v>5.8555067596658917E-3</v>
      </c>
      <c r="BX2300" s="111">
        <f t="shared" si="1673"/>
        <v>0</v>
      </c>
      <c r="BY2300" s="129">
        <f t="shared" si="1674"/>
        <v>-1</v>
      </c>
      <c r="BZ2300" s="111">
        <f t="shared" si="1675"/>
        <v>0</v>
      </c>
      <c r="CA2300" s="138">
        <f t="shared" si="1676"/>
        <v>1</v>
      </c>
      <c r="CB2300" s="111" t="e">
        <f t="shared" si="1703"/>
        <v>#VALUE!</v>
      </c>
      <c r="CC2300" s="129">
        <f>M2300-I2300+1</f>
        <v>1</v>
      </c>
      <c r="CD2300" s="111">
        <f>CC2300-BF2300</f>
        <v>0</v>
      </c>
      <c r="CG2300" s="129" t="str">
        <f t="shared" si="1677"/>
        <v>Y</v>
      </c>
      <c r="CI2300" s="129" t="str">
        <f t="shared" si="1682"/>
        <v>0-10 DAYS</v>
      </c>
      <c r="CJ2300" s="137">
        <f t="shared" si="1683"/>
        <v>1</v>
      </c>
      <c r="CK2300" s="129" t="str">
        <f t="shared" si="1684"/>
        <v>Booked</v>
      </c>
    </row>
    <row r="2301" spans="1:89" ht="15.75" customHeight="1" x14ac:dyDescent="0.25">
      <c r="A2301" s="111">
        <v>683</v>
      </c>
      <c r="B2301" s="128" t="str">
        <f t="shared" si="1667"/>
        <v>N</v>
      </c>
      <c r="C2301" s="128" t="str">
        <f t="shared" si="1668"/>
        <v>N</v>
      </c>
      <c r="D2301" s="117">
        <v>2506010</v>
      </c>
      <c r="E2301" s="135">
        <f t="shared" si="1669"/>
        <v>1</v>
      </c>
      <c r="F2301" s="124">
        <v>40935</v>
      </c>
      <c r="G2301" s="125">
        <v>40977</v>
      </c>
      <c r="H2301" s="117">
        <v>2506010</v>
      </c>
      <c r="I2301" s="124">
        <v>40936</v>
      </c>
      <c r="J2301" s="124">
        <v>40977</v>
      </c>
      <c r="K2301" s="126">
        <v>20000</v>
      </c>
      <c r="L2301" s="127" t="s">
        <v>571</v>
      </c>
      <c r="N2301" s="129" t="str">
        <f>IF(M2301&gt;1/1/1,"Y","N")</f>
        <v>N</v>
      </c>
      <c r="O2301" s="128" t="s">
        <v>917</v>
      </c>
      <c r="P2301" s="129" t="s">
        <v>55</v>
      </c>
      <c r="Q2301" s="111">
        <f t="shared" si="1692"/>
        <v>42</v>
      </c>
      <c r="R2301" s="111">
        <f t="shared" si="1691"/>
        <v>43</v>
      </c>
      <c r="S2301" s="129">
        <v>0</v>
      </c>
      <c r="T2301" s="129">
        <v>1</v>
      </c>
      <c r="W2301" s="111"/>
      <c r="AC2301" s="130"/>
      <c r="AD2301" s="130">
        <v>32856</v>
      </c>
      <c r="AE2301" s="128" t="s">
        <v>32</v>
      </c>
      <c r="AF2301" s="128" t="s">
        <v>69</v>
      </c>
      <c r="AG2301" s="128" t="s">
        <v>874</v>
      </c>
      <c r="AH2301" s="108" t="s">
        <v>31</v>
      </c>
      <c r="AI2301" s="128" t="s">
        <v>62</v>
      </c>
      <c r="AJ2301" s="129" t="s">
        <v>55</v>
      </c>
      <c r="AK2301" s="129">
        <v>4</v>
      </c>
      <c r="AL2301" s="3" t="s">
        <v>55</v>
      </c>
      <c r="AP2301" s="129" t="s">
        <v>108</v>
      </c>
      <c r="AR2301" s="128" t="s">
        <v>44</v>
      </c>
      <c r="AS2301" s="129" t="s">
        <v>61</v>
      </c>
      <c r="BC2301" s="129" t="s">
        <v>52</v>
      </c>
      <c r="BF2301" s="111">
        <f t="shared" si="1701"/>
        <v>42</v>
      </c>
      <c r="BG2301" s="111">
        <f t="shared" si="1702"/>
        <v>42</v>
      </c>
      <c r="BH2301" s="111">
        <f t="shared" si="1664"/>
        <v>43</v>
      </c>
      <c r="BI2301" s="111">
        <f t="shared" si="1665"/>
        <v>22.07377049180328</v>
      </c>
      <c r="BJ2301" s="129">
        <f t="shared" si="1685"/>
        <v>0</v>
      </c>
      <c r="BK2301" s="129">
        <f t="shared" si="1666"/>
        <v>0</v>
      </c>
      <c r="BL2301" s="129" t="str">
        <f t="shared" si="1704"/>
        <v>NO CONVICTION</v>
      </c>
      <c r="BM2301" s="129" t="str">
        <f t="shared" si="1686"/>
        <v>NONE</v>
      </c>
      <c r="BN2301" s="129" t="s">
        <v>566</v>
      </c>
      <c r="BP2301" s="137" t="str">
        <f t="shared" si="1678"/>
        <v>NO CONVICTION</v>
      </c>
      <c r="BQ2301" s="128" t="str">
        <f t="shared" si="1670"/>
        <v>Y</v>
      </c>
      <c r="BR2301" s="129" t="str">
        <f t="shared" si="1679"/>
        <v>DETAINED</v>
      </c>
      <c r="BS2301" s="129" t="str">
        <f t="shared" si="1680"/>
        <v>DISPOSED</v>
      </c>
      <c r="BT2301" s="129" t="str">
        <f t="shared" si="1671"/>
        <v>N</v>
      </c>
      <c r="BU2301" s="109">
        <f>IFERROR(Q2301/R2301,BR2301)</f>
        <v>0.97674418604651159</v>
      </c>
      <c r="BV2301" s="109">
        <f t="shared" si="1672"/>
        <v>1</v>
      </c>
      <c r="BW2301" s="109">
        <f t="shared" si="1707"/>
        <v>2.3255813953488413E-2</v>
      </c>
      <c r="BX2301" s="111">
        <f t="shared" si="1673"/>
        <v>0</v>
      </c>
      <c r="BY2301" s="129">
        <f t="shared" si="1674"/>
        <v>-42</v>
      </c>
      <c r="BZ2301" s="111">
        <f t="shared" si="1675"/>
        <v>0</v>
      </c>
      <c r="CA2301" s="138">
        <f t="shared" si="1676"/>
        <v>42</v>
      </c>
      <c r="CB2301" s="111" t="e">
        <f t="shared" si="1703"/>
        <v>#VALUE!</v>
      </c>
      <c r="CC2301" s="129">
        <f>G2301-I2301+1</f>
        <v>42</v>
      </c>
      <c r="CD2301" s="129">
        <f>G2301-J2301</f>
        <v>0</v>
      </c>
      <c r="CG2301" s="129" t="str">
        <f t="shared" si="1677"/>
        <v>Y</v>
      </c>
      <c r="CI2301" s="129" t="str">
        <f t="shared" si="1682"/>
        <v>31-60 DAYS</v>
      </c>
      <c r="CJ2301" s="137">
        <f t="shared" si="1683"/>
        <v>3</v>
      </c>
      <c r="CK2301" s="129" t="str">
        <f t="shared" si="1684"/>
        <v>Booked</v>
      </c>
    </row>
    <row r="2302" spans="1:89" ht="15.75" customHeight="1" x14ac:dyDescent="0.25">
      <c r="A2302" s="111">
        <v>2092</v>
      </c>
      <c r="B2302" s="128" t="str">
        <f t="shared" si="1667"/>
        <v>N</v>
      </c>
      <c r="C2302" s="128" t="str">
        <f t="shared" si="1668"/>
        <v>N</v>
      </c>
      <c r="D2302" s="117">
        <v>2506542</v>
      </c>
      <c r="E2302" s="135">
        <f t="shared" si="1669"/>
        <v>6</v>
      </c>
      <c r="F2302" s="124">
        <v>40987</v>
      </c>
      <c r="G2302" s="125">
        <v>41312</v>
      </c>
      <c r="H2302" s="117">
        <v>2506542</v>
      </c>
      <c r="I2302" s="124">
        <v>40988</v>
      </c>
      <c r="J2302" s="125">
        <v>41312</v>
      </c>
      <c r="K2302" s="126" t="s">
        <v>564</v>
      </c>
      <c r="L2302" s="127" t="s">
        <v>564</v>
      </c>
      <c r="N2302" s="129" t="s">
        <v>566</v>
      </c>
      <c r="O2302" s="128" t="s">
        <v>917</v>
      </c>
      <c r="P2302" s="129" t="s">
        <v>39</v>
      </c>
      <c r="Q2302" s="111">
        <f t="shared" si="1692"/>
        <v>325</v>
      </c>
      <c r="R2302" s="111">
        <f t="shared" si="1691"/>
        <v>326</v>
      </c>
      <c r="S2302" s="129">
        <v>1</v>
      </c>
      <c r="T2302" s="129">
        <v>0</v>
      </c>
      <c r="V2302" s="117">
        <v>1</v>
      </c>
      <c r="W2302" s="111"/>
      <c r="AC2302" s="130"/>
      <c r="AD2302" s="130">
        <v>34119</v>
      </c>
      <c r="AE2302" s="128" t="s">
        <v>32</v>
      </c>
      <c r="AF2302" s="128" t="s">
        <v>33</v>
      </c>
      <c r="AG2302" s="128" t="s">
        <v>872</v>
      </c>
      <c r="AH2302" s="108" t="s">
        <v>31</v>
      </c>
      <c r="AI2302" s="128" t="s">
        <v>59</v>
      </c>
      <c r="AJ2302" s="129" t="s">
        <v>89</v>
      </c>
      <c r="AK2302" s="129">
        <v>12</v>
      </c>
      <c r="AL2302" s="3" t="s">
        <v>362</v>
      </c>
      <c r="AM2302" s="117">
        <v>15</v>
      </c>
      <c r="AP2302" s="129" t="s">
        <v>105</v>
      </c>
      <c r="AR2302" s="128" t="s">
        <v>92</v>
      </c>
      <c r="AS2302" s="129" t="s">
        <v>106</v>
      </c>
      <c r="BC2302" s="129" t="s">
        <v>38</v>
      </c>
      <c r="BF2302" s="111">
        <f t="shared" si="1701"/>
        <v>325</v>
      </c>
      <c r="BG2302" s="111">
        <f t="shared" si="1702"/>
        <v>325</v>
      </c>
      <c r="BH2302" s="111">
        <f t="shared" si="1664"/>
        <v>326</v>
      </c>
      <c r="BI2302" s="111">
        <f t="shared" si="1665"/>
        <v>18.765027322404372</v>
      </c>
      <c r="BJ2302" s="129">
        <f t="shared" si="1685"/>
        <v>0</v>
      </c>
      <c r="BK2302" s="129">
        <f t="shared" si="1666"/>
        <v>0</v>
      </c>
      <c r="BL2302" s="129" t="str">
        <f t="shared" si="1704"/>
        <v>CONVICTION</v>
      </c>
      <c r="BM2302" s="129" t="str">
        <f t="shared" si="1686"/>
        <v>NONE</v>
      </c>
      <c r="BN2302" s="129" t="s">
        <v>566</v>
      </c>
      <c r="BP2302" s="137" t="str">
        <f t="shared" si="1678"/>
        <v>CONVICTION</v>
      </c>
      <c r="BQ2302" s="128" t="str">
        <f t="shared" si="1670"/>
        <v>Y</v>
      </c>
      <c r="BR2302" s="129" t="str">
        <f t="shared" si="1679"/>
        <v>DETAINED</v>
      </c>
      <c r="BS2302" s="129" t="str">
        <f t="shared" si="1680"/>
        <v>DISPOSED</v>
      </c>
      <c r="BT2302" s="129" t="str">
        <f t="shared" si="1671"/>
        <v>Y</v>
      </c>
      <c r="BU2302" s="109">
        <f t="shared" si="1681"/>
        <v>0.99693251533742333</v>
      </c>
      <c r="BV2302" s="109">
        <f t="shared" si="1672"/>
        <v>1</v>
      </c>
      <c r="BW2302" s="109">
        <f t="shared" si="1707"/>
        <v>3.0674846625766694E-3</v>
      </c>
      <c r="BX2302" s="111">
        <f t="shared" si="1673"/>
        <v>0</v>
      </c>
      <c r="BY2302" s="129">
        <f t="shared" si="1674"/>
        <v>-325</v>
      </c>
      <c r="BZ2302" s="111">
        <f t="shared" si="1675"/>
        <v>0</v>
      </c>
      <c r="CA2302" s="138">
        <f t="shared" si="1676"/>
        <v>325</v>
      </c>
      <c r="CB2302" s="111" t="e">
        <f t="shared" si="1703"/>
        <v>#VALUE!</v>
      </c>
      <c r="CC2302" s="129">
        <f>G2302-I2302+1</f>
        <v>325</v>
      </c>
      <c r="CD2302" s="129">
        <f>G2302-J2302</f>
        <v>0</v>
      </c>
      <c r="CG2302" s="129" t="str">
        <f t="shared" si="1677"/>
        <v>Y</v>
      </c>
      <c r="CI2302" s="129" t="str">
        <f t="shared" si="1682"/>
        <v>121-365 DAYS</v>
      </c>
      <c r="CJ2302" s="137">
        <f t="shared" si="1683"/>
        <v>6</v>
      </c>
      <c r="CK2302" s="129" t="str">
        <f t="shared" si="1684"/>
        <v>Booked</v>
      </c>
    </row>
    <row r="2303" spans="1:89" ht="15" customHeight="1" x14ac:dyDescent="0.25">
      <c r="A2303" s="111">
        <v>1067</v>
      </c>
      <c r="B2303" s="128" t="str">
        <f t="shared" si="1667"/>
        <v>Y</v>
      </c>
      <c r="C2303" s="128" t="str">
        <f t="shared" si="1668"/>
        <v>N</v>
      </c>
      <c r="D2303" s="117">
        <v>2508188</v>
      </c>
      <c r="E2303" s="135">
        <f t="shared" si="1669"/>
        <v>2</v>
      </c>
      <c r="F2303" s="124">
        <v>40948</v>
      </c>
      <c r="G2303" s="125">
        <v>41148</v>
      </c>
      <c r="H2303" s="117">
        <v>2508188</v>
      </c>
      <c r="I2303" s="124">
        <v>40948</v>
      </c>
      <c r="J2303" s="124">
        <v>40950</v>
      </c>
      <c r="K2303" s="126">
        <v>5000</v>
      </c>
      <c r="L2303" s="127" t="s">
        <v>569</v>
      </c>
      <c r="M2303" s="125">
        <v>40950</v>
      </c>
      <c r="N2303" s="129" t="str">
        <f t="shared" ref="N2303:N2309" si="1708">IF(M2303&gt;1/1/1,"Y","N")</f>
        <v>Y</v>
      </c>
      <c r="O2303" s="128" t="s">
        <v>76</v>
      </c>
      <c r="P2303" s="129" t="s">
        <v>589</v>
      </c>
      <c r="Q2303" s="111">
        <f t="shared" si="1692"/>
        <v>3</v>
      </c>
      <c r="R2303" s="111">
        <f t="shared" si="1691"/>
        <v>201</v>
      </c>
      <c r="S2303" s="129">
        <v>0</v>
      </c>
      <c r="T2303" s="129">
        <v>2</v>
      </c>
      <c r="W2303" s="111"/>
      <c r="AC2303" s="130"/>
      <c r="AD2303" s="130">
        <v>32786</v>
      </c>
      <c r="AE2303" s="128" t="s">
        <v>46</v>
      </c>
      <c r="AF2303" s="128" t="s">
        <v>69</v>
      </c>
      <c r="AG2303" s="128" t="s">
        <v>874</v>
      </c>
      <c r="AH2303" s="108" t="s">
        <v>31</v>
      </c>
      <c r="AI2303" s="128" t="s">
        <v>72</v>
      </c>
      <c r="AJ2303" s="129" t="s">
        <v>48</v>
      </c>
      <c r="AK2303" s="129">
        <v>9</v>
      </c>
      <c r="AL2303" s="3" t="s">
        <v>48</v>
      </c>
      <c r="AP2303" s="129" t="s">
        <v>151</v>
      </c>
      <c r="AR2303" s="128" t="s">
        <v>67</v>
      </c>
      <c r="AS2303" s="129" t="s">
        <v>64</v>
      </c>
      <c r="BC2303" s="129" t="s">
        <v>38</v>
      </c>
      <c r="BD2303" s="129" t="s">
        <v>1232</v>
      </c>
      <c r="BF2303" s="111">
        <f t="shared" si="1701"/>
        <v>3</v>
      </c>
      <c r="BG2303" s="111">
        <f t="shared" si="1702"/>
        <v>201</v>
      </c>
      <c r="BH2303" s="111">
        <f t="shared" si="1664"/>
        <v>201</v>
      </c>
      <c r="BI2303" s="111">
        <f t="shared" si="1665"/>
        <v>22.300546448087431</v>
      </c>
      <c r="BJ2303" s="129">
        <f>(G2303-J2303)+(M2303-G2303)</f>
        <v>0</v>
      </c>
      <c r="BK2303" s="129">
        <f t="shared" si="1666"/>
        <v>-198</v>
      </c>
      <c r="BL2303" s="129" t="str">
        <f t="shared" si="1704"/>
        <v>DEFERRED</v>
      </c>
      <c r="BM2303" s="129" t="s">
        <v>76</v>
      </c>
      <c r="BN2303" s="129" t="s">
        <v>88</v>
      </c>
      <c r="BP2303" s="137" t="str">
        <f t="shared" si="1678"/>
        <v>DEFERRED</v>
      </c>
      <c r="BQ2303" s="128" t="str">
        <f t="shared" si="1670"/>
        <v>Y</v>
      </c>
      <c r="BR2303" s="129" t="str">
        <f t="shared" si="1679"/>
        <v>ON BOND</v>
      </c>
      <c r="BS2303" s="129" t="str">
        <f t="shared" si="1680"/>
        <v>DISPOSED</v>
      </c>
      <c r="BT2303" s="129" t="str">
        <f t="shared" si="1671"/>
        <v>N</v>
      </c>
      <c r="BU2303" s="109">
        <f t="shared" si="1681"/>
        <v>1.4925373134328358E-2</v>
      </c>
      <c r="BV2303" s="109">
        <f t="shared" si="1672"/>
        <v>1.4925373134328358E-2</v>
      </c>
      <c r="BW2303" s="109">
        <f t="shared" si="1707"/>
        <v>0</v>
      </c>
      <c r="BX2303" s="111">
        <f t="shared" si="1673"/>
        <v>0</v>
      </c>
      <c r="BY2303" s="129">
        <f t="shared" si="1674"/>
        <v>-3</v>
      </c>
      <c r="BZ2303" s="111">
        <f t="shared" si="1675"/>
        <v>0</v>
      </c>
      <c r="CA2303" s="138">
        <f t="shared" si="1676"/>
        <v>3</v>
      </c>
      <c r="CB2303" s="111" t="e">
        <f t="shared" si="1703"/>
        <v>#VALUE!</v>
      </c>
      <c r="CC2303" s="129">
        <f>M2303-I2303+1</f>
        <v>3</v>
      </c>
      <c r="CD2303" s="111">
        <f>CC2303-BF2303</f>
        <v>0</v>
      </c>
      <c r="CG2303" s="129" t="str">
        <f t="shared" si="1677"/>
        <v>Y</v>
      </c>
      <c r="CI2303" s="129" t="str">
        <f t="shared" si="1682"/>
        <v>0-10 DAYS</v>
      </c>
      <c r="CJ2303" s="137">
        <f t="shared" si="1683"/>
        <v>1</v>
      </c>
      <c r="CK2303" s="129" t="str">
        <f t="shared" si="1684"/>
        <v>Booked</v>
      </c>
    </row>
    <row r="2304" spans="1:89" ht="15" customHeight="1" x14ac:dyDescent="0.25">
      <c r="A2304" s="111">
        <v>3114</v>
      </c>
      <c r="B2304" s="128" t="str">
        <f t="shared" si="1667"/>
        <v>N</v>
      </c>
      <c r="C2304" s="128" t="str">
        <f t="shared" si="1668"/>
        <v>N</v>
      </c>
      <c r="D2304" s="117">
        <v>2509912</v>
      </c>
      <c r="E2304" s="135">
        <f t="shared" si="1669"/>
        <v>4</v>
      </c>
      <c r="F2304" s="124">
        <v>41024</v>
      </c>
      <c r="G2304" s="125">
        <v>41025</v>
      </c>
      <c r="H2304" s="117">
        <v>2509912</v>
      </c>
      <c r="I2304" s="124">
        <v>41024</v>
      </c>
      <c r="J2304" s="124">
        <v>41025</v>
      </c>
      <c r="K2304" s="126">
        <v>2000</v>
      </c>
      <c r="L2304" s="127" t="s">
        <v>568</v>
      </c>
      <c r="N2304" s="129" t="str">
        <f t="shared" si="1708"/>
        <v>N</v>
      </c>
      <c r="O2304" s="128" t="s">
        <v>917</v>
      </c>
      <c r="P2304" s="129" t="s">
        <v>39</v>
      </c>
      <c r="Q2304" s="111">
        <f t="shared" si="1692"/>
        <v>2</v>
      </c>
      <c r="R2304" s="111">
        <f t="shared" si="1691"/>
        <v>2</v>
      </c>
      <c r="S2304" s="129">
        <v>0</v>
      </c>
      <c r="T2304" s="129">
        <v>1</v>
      </c>
      <c r="W2304" s="111"/>
      <c r="AC2304" s="130"/>
      <c r="AD2304" s="130">
        <v>24627</v>
      </c>
      <c r="AE2304" s="128" t="s">
        <v>32</v>
      </c>
      <c r="AF2304" s="128" t="s">
        <v>33</v>
      </c>
      <c r="AG2304" s="128" t="s">
        <v>872</v>
      </c>
      <c r="AH2304" s="108" t="s">
        <v>31</v>
      </c>
      <c r="AI2304" s="128" t="s">
        <v>65</v>
      </c>
      <c r="AJ2304" s="129" t="s">
        <v>89</v>
      </c>
      <c r="AK2304" s="129">
        <v>1</v>
      </c>
      <c r="AL2304" s="3" t="s">
        <v>991</v>
      </c>
      <c r="AO2304" s="128">
        <v>60</v>
      </c>
      <c r="AP2304" s="129" t="s">
        <v>43</v>
      </c>
      <c r="AR2304" s="128" t="s">
        <v>44</v>
      </c>
      <c r="AS2304" s="129" t="s">
        <v>45</v>
      </c>
      <c r="BC2304" s="129" t="s">
        <v>38</v>
      </c>
      <c r="BF2304" s="111">
        <f t="shared" si="1701"/>
        <v>2</v>
      </c>
      <c r="BG2304" s="111">
        <f t="shared" si="1702"/>
        <v>2</v>
      </c>
      <c r="BH2304" s="111">
        <f t="shared" ref="BH2304:BH2367" si="1709">IF(G2304&gt;1/1/1900,((G2304+1)-F2304),"STILL OPEN")</f>
        <v>2</v>
      </c>
      <c r="BI2304" s="111">
        <f t="shared" ref="BI2304:BI2367" si="1710">(F2304-AD2304)/366</f>
        <v>44.800546448087431</v>
      </c>
      <c r="BJ2304" s="129">
        <f t="shared" si="1685"/>
        <v>0</v>
      </c>
      <c r="BK2304" s="129">
        <f t="shared" ref="BK2304:BK2367" si="1711">J2304-G2304</f>
        <v>0</v>
      </c>
      <c r="BL2304" s="129" t="str">
        <f t="shared" si="1704"/>
        <v>CONVICTION</v>
      </c>
      <c r="BM2304" s="129" t="str">
        <f t="shared" si="1686"/>
        <v>NONE</v>
      </c>
      <c r="BN2304" s="129" t="s">
        <v>566</v>
      </c>
      <c r="BP2304" s="137" t="str">
        <f t="shared" si="1678"/>
        <v>CONVICTION</v>
      </c>
      <c r="BQ2304" s="128" t="str">
        <f t="shared" si="1670"/>
        <v>Y</v>
      </c>
      <c r="BR2304" s="129" t="str">
        <f t="shared" si="1679"/>
        <v>DETAINED</v>
      </c>
      <c r="BS2304" s="129" t="str">
        <f t="shared" si="1680"/>
        <v>DISPOSED</v>
      </c>
      <c r="BT2304" s="129" t="str">
        <f t="shared" si="1671"/>
        <v>N</v>
      </c>
      <c r="BU2304" s="109">
        <f t="shared" si="1681"/>
        <v>1</v>
      </c>
      <c r="BV2304" s="109">
        <f t="shared" si="1672"/>
        <v>1</v>
      </c>
      <c r="BW2304" s="109">
        <f t="shared" si="1707"/>
        <v>0</v>
      </c>
      <c r="BX2304" s="111">
        <f t="shared" si="1673"/>
        <v>0</v>
      </c>
      <c r="BY2304" s="129">
        <f t="shared" si="1674"/>
        <v>-2</v>
      </c>
      <c r="BZ2304" s="111">
        <f t="shared" si="1675"/>
        <v>0</v>
      </c>
      <c r="CA2304" s="138">
        <f t="shared" si="1676"/>
        <v>2</v>
      </c>
      <c r="CB2304" s="111" t="e">
        <f t="shared" si="1703"/>
        <v>#VALUE!</v>
      </c>
      <c r="CC2304" s="129">
        <f>G2304-I2304+1</f>
        <v>2</v>
      </c>
      <c r="CD2304" s="129">
        <f>G2304-J2304</f>
        <v>0</v>
      </c>
      <c r="CG2304" s="129" t="str">
        <f t="shared" si="1677"/>
        <v>Y</v>
      </c>
      <c r="CI2304" s="129" t="str">
        <f t="shared" si="1682"/>
        <v>0-10 DAYS</v>
      </c>
      <c r="CJ2304" s="137">
        <f t="shared" si="1683"/>
        <v>1</v>
      </c>
      <c r="CK2304" s="129" t="str">
        <f t="shared" si="1684"/>
        <v>Booked</v>
      </c>
    </row>
    <row r="2305" spans="1:89" ht="15.75" customHeight="1" x14ac:dyDescent="0.25">
      <c r="A2305" s="111">
        <v>2904</v>
      </c>
      <c r="B2305" s="128" t="str">
        <f t="shared" si="1667"/>
        <v>N</v>
      </c>
      <c r="C2305" s="128" t="str">
        <f t="shared" si="1668"/>
        <v>N</v>
      </c>
      <c r="D2305" s="117">
        <v>2510091</v>
      </c>
      <c r="E2305" s="135">
        <f t="shared" si="1669"/>
        <v>1</v>
      </c>
      <c r="F2305" s="124">
        <v>41016</v>
      </c>
      <c r="G2305" s="125">
        <v>41218</v>
      </c>
      <c r="H2305" s="117">
        <v>2510091</v>
      </c>
      <c r="I2305" s="124">
        <v>41016</v>
      </c>
      <c r="J2305" s="124">
        <v>41018</v>
      </c>
      <c r="K2305" s="126">
        <v>5000</v>
      </c>
      <c r="L2305" s="127" t="s">
        <v>569</v>
      </c>
      <c r="M2305" s="125">
        <v>41018</v>
      </c>
      <c r="N2305" s="129" t="str">
        <f t="shared" si="1708"/>
        <v>Y</v>
      </c>
      <c r="O2305" s="128" t="s">
        <v>54</v>
      </c>
      <c r="P2305" s="129" t="s">
        <v>55</v>
      </c>
      <c r="Q2305" s="111">
        <f t="shared" si="1692"/>
        <v>3</v>
      </c>
      <c r="R2305" s="111">
        <f t="shared" si="1691"/>
        <v>203</v>
      </c>
      <c r="S2305" s="129">
        <v>0</v>
      </c>
      <c r="T2305" s="129">
        <v>0</v>
      </c>
      <c r="W2305" s="111"/>
      <c r="AC2305" s="130"/>
      <c r="AD2305" s="130">
        <v>25757</v>
      </c>
      <c r="AE2305" s="128" t="s">
        <v>46</v>
      </c>
      <c r="AF2305" s="128" t="s">
        <v>69</v>
      </c>
      <c r="AG2305" s="128" t="s">
        <v>874</v>
      </c>
      <c r="AH2305" s="108" t="s">
        <v>31</v>
      </c>
      <c r="AI2305" s="128" t="s">
        <v>72</v>
      </c>
      <c r="AJ2305" s="129" t="s">
        <v>55</v>
      </c>
      <c r="AK2305" s="129">
        <v>9</v>
      </c>
      <c r="AL2305" s="3" t="s">
        <v>55</v>
      </c>
      <c r="AP2305" s="129" t="s">
        <v>497</v>
      </c>
      <c r="AR2305" s="128" t="s">
        <v>67</v>
      </c>
      <c r="AS2305" s="129" t="s">
        <v>64</v>
      </c>
      <c r="AT2305" s="129" t="s">
        <v>660</v>
      </c>
      <c r="BC2305" s="129" t="s">
        <v>52</v>
      </c>
      <c r="BF2305" s="111">
        <f t="shared" si="1701"/>
        <v>3</v>
      </c>
      <c r="BG2305" s="111">
        <f t="shared" si="1702"/>
        <v>203</v>
      </c>
      <c r="BH2305" s="111">
        <f t="shared" si="1709"/>
        <v>203</v>
      </c>
      <c r="BI2305" s="111">
        <f t="shared" si="1710"/>
        <v>41.691256830601091</v>
      </c>
      <c r="BJ2305" s="129">
        <f>(G2305-J2305)+(M2305-G2305)</f>
        <v>0</v>
      </c>
      <c r="BK2305" s="129">
        <f t="shared" si="1711"/>
        <v>-200</v>
      </c>
      <c r="BL2305" s="129" t="str">
        <f t="shared" si="1704"/>
        <v>NO CONVICTION</v>
      </c>
      <c r="BM2305" s="129" t="s">
        <v>160</v>
      </c>
      <c r="BN2305" s="129" t="s">
        <v>88</v>
      </c>
      <c r="BP2305" s="137" t="str">
        <f t="shared" ref="BP2305:BP2368" si="1712">IF(OR(AJ2305="AQUITTAL",AJ2305="DISMISSED",AJ2305="FINE",AJ2305="NO BILL"),"NO CONVICTION",IF(OR(AJ2305="HCJ",AJ2305="MHH",AJ2305="PROBATION",AJ2305="STJ",AJ2305="TDC",AJ2305="CONVICTED"),"CONVICTION",IF(AJ2305="DEFERRED","DEFERRED","")))</f>
        <v>NO CONVICTION</v>
      </c>
      <c r="BQ2305" s="128" t="str">
        <f t="shared" si="1670"/>
        <v>Y</v>
      </c>
      <c r="BR2305" s="129" t="str">
        <f t="shared" ref="BR2305:BR2368" si="1713">IF(AND(J2305="NOT BOOKED",M2305&gt;1/1/1),"BONDED - BEFORE BOOKED",IF(BG2305="STILL OPEN","STILL OPEN",IF(N2305="Y","ON BOND",IF(J2305&gt;=G2305,"DETAINED","RELEASED"))))</f>
        <v>ON BOND</v>
      </c>
      <c r="BS2305" s="129" t="str">
        <f t="shared" ref="BS2305:BS2368" si="1714">IF(G2305&lt;&gt;"","DISPOSED","")</f>
        <v>DISPOSED</v>
      </c>
      <c r="BT2305" s="129" t="str">
        <f t="shared" ref="BT2305:BT2368" si="1715">IF(S2305&gt;0,"Y","N")</f>
        <v>N</v>
      </c>
      <c r="BU2305" s="109">
        <f>IFERROR(Q2305/R2305,BR2305)</f>
        <v>1.4778325123152709E-2</v>
      </c>
      <c r="BV2305" s="109">
        <f t="shared" si="1672"/>
        <v>1.4778325123152709E-2</v>
      </c>
      <c r="BW2305" s="109">
        <f t="shared" si="1707"/>
        <v>0</v>
      </c>
      <c r="BX2305" s="111">
        <f t="shared" ref="BX2305:BX2368" si="1716">+Q2305-BF2305</f>
        <v>0</v>
      </c>
      <c r="BY2305" s="129">
        <f t="shared" si="1674"/>
        <v>-3</v>
      </c>
      <c r="BZ2305" s="111">
        <f t="shared" si="1675"/>
        <v>0</v>
      </c>
      <c r="CA2305" s="138">
        <f t="shared" si="1676"/>
        <v>3</v>
      </c>
      <c r="CB2305" s="111" t="e">
        <f t="shared" si="1703"/>
        <v>#VALUE!</v>
      </c>
      <c r="CC2305" s="129">
        <f>M2305-I2305+1</f>
        <v>3</v>
      </c>
      <c r="CD2305" s="111">
        <f>CC2305-BF2305</f>
        <v>0</v>
      </c>
      <c r="CG2305" s="129" t="str">
        <f t="shared" si="1677"/>
        <v>N</v>
      </c>
      <c r="CI2305" s="129" t="str">
        <f t="shared" si="1682"/>
        <v>0-10 DAYS</v>
      </c>
      <c r="CJ2305" s="137">
        <f t="shared" si="1683"/>
        <v>1</v>
      </c>
      <c r="CK2305" s="129" t="str">
        <f t="shared" si="1684"/>
        <v>Booked</v>
      </c>
    </row>
    <row r="2306" spans="1:89" ht="15" customHeight="1" x14ac:dyDescent="0.25">
      <c r="A2306" s="111">
        <v>1154</v>
      </c>
      <c r="B2306" s="128" t="str">
        <f t="shared" ref="B2306:B2369" si="1717">IF(BD2306&lt;&gt;"","Y","N")</f>
        <v>N</v>
      </c>
      <c r="C2306" s="128" t="str">
        <f t="shared" ref="C2306:C2369" si="1718">IF((AND(AV2306="",AX2306="",AY2306="")),"N","Y")</f>
        <v>N</v>
      </c>
      <c r="D2306" s="117">
        <v>2510388</v>
      </c>
      <c r="E2306" s="135">
        <f t="shared" ref="E2306:E2369" si="1719">IF(OR(AL2306="ACQUITTAL",AL2306="ACQUIT",AL2306="acq insane",AL2306="DISMISSED",AL2306="NO BILL"),1,IF(AL2306="DEFERRED",2,IF(AL2306="PROBATION",3,IF(OR(AL2306="HCJ",AL2306="fine"),4,IF(AL2306="STJ",5,IF(AL2306="TDC",6,""))))))</f>
        <v>2</v>
      </c>
      <c r="F2306" s="124">
        <v>40950</v>
      </c>
      <c r="G2306" s="125">
        <v>41002</v>
      </c>
      <c r="H2306" s="117">
        <v>2510388</v>
      </c>
      <c r="I2306" s="124">
        <v>40950</v>
      </c>
      <c r="J2306" s="124">
        <v>40955</v>
      </c>
      <c r="K2306" s="126">
        <v>2000</v>
      </c>
      <c r="L2306" s="127" t="s">
        <v>568</v>
      </c>
      <c r="M2306" s="125">
        <v>40955</v>
      </c>
      <c r="N2306" s="129" t="str">
        <f t="shared" si="1708"/>
        <v>Y</v>
      </c>
      <c r="O2306" s="128" t="s">
        <v>76</v>
      </c>
      <c r="P2306" s="129" t="s">
        <v>589</v>
      </c>
      <c r="Q2306" s="111">
        <f t="shared" si="1692"/>
        <v>6</v>
      </c>
      <c r="R2306" s="111">
        <f t="shared" si="1691"/>
        <v>53</v>
      </c>
      <c r="S2306" s="129">
        <v>0</v>
      </c>
      <c r="T2306" s="129">
        <v>0</v>
      </c>
      <c r="W2306" s="111"/>
      <c r="AC2306" s="130"/>
      <c r="AD2306" s="130">
        <v>32436</v>
      </c>
      <c r="AE2306" s="128" t="s">
        <v>46</v>
      </c>
      <c r="AF2306" s="128" t="s">
        <v>33</v>
      </c>
      <c r="AG2306" s="128" t="s">
        <v>872</v>
      </c>
      <c r="AH2306" s="108" t="s">
        <v>31</v>
      </c>
      <c r="AI2306" s="128" t="s">
        <v>83</v>
      </c>
      <c r="AJ2306" s="129" t="s">
        <v>48</v>
      </c>
      <c r="AK2306" s="129">
        <v>3</v>
      </c>
      <c r="AL2306" s="3" t="s">
        <v>48</v>
      </c>
      <c r="AP2306" s="129" t="s">
        <v>43</v>
      </c>
      <c r="AR2306" s="128" t="s">
        <v>44</v>
      </c>
      <c r="AS2306" s="129" t="s">
        <v>45</v>
      </c>
      <c r="BC2306" s="129" t="s">
        <v>38</v>
      </c>
      <c r="BF2306" s="111">
        <f t="shared" si="1701"/>
        <v>6</v>
      </c>
      <c r="BG2306" s="111">
        <f t="shared" si="1702"/>
        <v>53</v>
      </c>
      <c r="BH2306" s="111">
        <f t="shared" si="1709"/>
        <v>53</v>
      </c>
      <c r="BI2306" s="111">
        <f t="shared" si="1710"/>
        <v>23.262295081967213</v>
      </c>
      <c r="BJ2306" s="129">
        <f>(G2306-J2306)+(M2306-G2306)</f>
        <v>0</v>
      </c>
      <c r="BK2306" s="129">
        <f t="shared" si="1711"/>
        <v>-47</v>
      </c>
      <c r="BL2306" s="129" t="str">
        <f t="shared" si="1704"/>
        <v>DEFERRED</v>
      </c>
      <c r="BM2306" s="129" t="s">
        <v>76</v>
      </c>
      <c r="BN2306" s="129" t="s">
        <v>88</v>
      </c>
      <c r="BP2306" s="137" t="str">
        <f t="shared" si="1712"/>
        <v>DEFERRED</v>
      </c>
      <c r="BQ2306" s="128" t="str">
        <f t="shared" ref="BQ2306:BQ2369" si="1720">IF(BF2306&gt;0,"Y",BF2306)</f>
        <v>Y</v>
      </c>
      <c r="BR2306" s="129" t="str">
        <f t="shared" si="1713"/>
        <v>ON BOND</v>
      </c>
      <c r="BS2306" s="129" t="str">
        <f t="shared" si="1714"/>
        <v>DISPOSED</v>
      </c>
      <c r="BT2306" s="129" t="str">
        <f t="shared" si="1715"/>
        <v>N</v>
      </c>
      <c r="BU2306" s="109">
        <f t="shared" ref="BU2306:BU2368" si="1721">Q2306/R2306</f>
        <v>0.11320754716981132</v>
      </c>
      <c r="BV2306" s="109">
        <f t="shared" ref="BV2306:BV2369" si="1722">IF(I2306&gt;F2306,((J2306-I2306+1)/(G2306-I2306+1)),(J2306-I2306+1)/(G2306-F2306+1))</f>
        <v>0.11320754716981132</v>
      </c>
      <c r="BW2306" s="109">
        <f t="shared" si="1707"/>
        <v>0</v>
      </c>
      <c r="BX2306" s="111">
        <f t="shared" si="1716"/>
        <v>0</v>
      </c>
      <c r="BY2306" s="129">
        <f t="shared" ref="BY2306:BY2369" si="1723">I2306-J2306-1</f>
        <v>-6</v>
      </c>
      <c r="BZ2306" s="111">
        <f t="shared" ref="BZ2306:BZ2369" si="1724">BY2306+BF2306</f>
        <v>0</v>
      </c>
      <c r="CA2306" s="138">
        <f t="shared" ref="CA2306:CA2369" si="1725">IF(AND(BS2306="DISPOSED",BR2306="DETAINED"),G2306-I2306+1,IF(AND(BS2306="DISPOSED",BR2306="ON BOND"),M2306-I2306+1,IF(AND(BS2306="STILL OPEN","STILL OPEN"),"NOT BOOKED")))</f>
        <v>6</v>
      </c>
      <c r="CB2306" s="111" t="e">
        <f t="shared" si="1703"/>
        <v>#VALUE!</v>
      </c>
      <c r="CC2306" s="129">
        <f>M2306-I2306+1</f>
        <v>6</v>
      </c>
      <c r="CD2306" s="111">
        <f>CC2306-BF2306</f>
        <v>0</v>
      </c>
      <c r="CG2306" s="129" t="str">
        <f t="shared" ref="CG2306:CG2369" si="1726">IF((S2306+T2306+U2306)&gt;0,"Y","N")</f>
        <v>N</v>
      </c>
      <c r="CI2306" s="129" t="str">
        <f t="shared" si="1682"/>
        <v>0-10 DAYS</v>
      </c>
      <c r="CJ2306" s="137">
        <f t="shared" si="1683"/>
        <v>1</v>
      </c>
      <c r="CK2306" s="129" t="str">
        <f t="shared" si="1684"/>
        <v>Booked</v>
      </c>
    </row>
    <row r="2307" spans="1:89" ht="15.75" customHeight="1" x14ac:dyDescent="0.25">
      <c r="A2307" s="111">
        <v>1526</v>
      </c>
      <c r="B2307" s="128" t="str">
        <f t="shared" si="1717"/>
        <v>N</v>
      </c>
      <c r="C2307" s="128" t="str">
        <f t="shared" si="1718"/>
        <v>N</v>
      </c>
      <c r="D2307" s="117">
        <v>2510956</v>
      </c>
      <c r="E2307" s="135">
        <f t="shared" si="1719"/>
        <v>2</v>
      </c>
      <c r="F2307" s="124">
        <v>40965</v>
      </c>
      <c r="G2307" s="125">
        <v>40967</v>
      </c>
      <c r="H2307" s="117">
        <v>2510956</v>
      </c>
      <c r="I2307" s="124">
        <v>40965</v>
      </c>
      <c r="J2307" s="124">
        <v>40967</v>
      </c>
      <c r="K2307" s="126">
        <v>5000</v>
      </c>
      <c r="L2307" s="127" t="s">
        <v>569</v>
      </c>
      <c r="N2307" s="129" t="str">
        <f t="shared" si="1708"/>
        <v>N</v>
      </c>
      <c r="O2307" s="128" t="s">
        <v>917</v>
      </c>
      <c r="P2307" s="129" t="s">
        <v>589</v>
      </c>
      <c r="Q2307" s="111">
        <f t="shared" si="1692"/>
        <v>3</v>
      </c>
      <c r="R2307" s="111">
        <f t="shared" si="1691"/>
        <v>3</v>
      </c>
      <c r="S2307" s="129">
        <v>0</v>
      </c>
      <c r="T2307" s="129">
        <v>1</v>
      </c>
      <c r="W2307" s="111"/>
      <c r="AC2307" s="130"/>
      <c r="AD2307" s="130">
        <v>33477</v>
      </c>
      <c r="AE2307" s="128" t="s">
        <v>46</v>
      </c>
      <c r="AF2307" s="128" t="s">
        <v>69</v>
      </c>
      <c r="AG2307" s="128" t="s">
        <v>874</v>
      </c>
      <c r="AH2307" s="108" t="s">
        <v>31</v>
      </c>
      <c r="AI2307" s="128" t="s">
        <v>65</v>
      </c>
      <c r="AJ2307" s="129" t="s">
        <v>48</v>
      </c>
      <c r="AK2307" s="129">
        <v>2</v>
      </c>
      <c r="AL2307" s="3" t="s">
        <v>48</v>
      </c>
      <c r="AP2307" s="129" t="s">
        <v>93</v>
      </c>
      <c r="AR2307" s="128" t="s">
        <v>67</v>
      </c>
      <c r="AS2307" s="129" t="s">
        <v>45</v>
      </c>
      <c r="AT2307" s="32" t="s">
        <v>343</v>
      </c>
      <c r="BC2307" s="129" t="s">
        <v>38</v>
      </c>
      <c r="BF2307" s="111">
        <f t="shared" si="1701"/>
        <v>3</v>
      </c>
      <c r="BG2307" s="111">
        <f t="shared" si="1702"/>
        <v>3</v>
      </c>
      <c r="BH2307" s="111">
        <f t="shared" si="1709"/>
        <v>3</v>
      </c>
      <c r="BI2307" s="111">
        <f t="shared" si="1710"/>
        <v>20.459016393442624</v>
      </c>
      <c r="BJ2307" s="129">
        <f t="shared" ref="BJ2307:BJ2369" si="1727">G2307-J2307-M2307</f>
        <v>0</v>
      </c>
      <c r="BK2307" s="129">
        <f t="shared" si="1711"/>
        <v>0</v>
      </c>
      <c r="BL2307" s="129" t="str">
        <f t="shared" si="1704"/>
        <v>DEFERRED</v>
      </c>
      <c r="BM2307" s="129" t="str">
        <f t="shared" ref="BM2307:BM2368" si="1728">O2307</f>
        <v>NONE</v>
      </c>
      <c r="BN2307" s="129" t="s">
        <v>566</v>
      </c>
      <c r="BP2307" s="137" t="str">
        <f t="shared" si="1712"/>
        <v>DEFERRED</v>
      </c>
      <c r="BQ2307" s="128" t="str">
        <f t="shared" si="1720"/>
        <v>Y</v>
      </c>
      <c r="BR2307" s="129" t="str">
        <f t="shared" si="1713"/>
        <v>DETAINED</v>
      </c>
      <c r="BS2307" s="129" t="str">
        <f t="shared" si="1714"/>
        <v>DISPOSED</v>
      </c>
      <c r="BT2307" s="129" t="str">
        <f t="shared" si="1715"/>
        <v>N</v>
      </c>
      <c r="BU2307" s="109">
        <f t="shared" si="1721"/>
        <v>1</v>
      </c>
      <c r="BV2307" s="109">
        <f t="shared" si="1722"/>
        <v>1</v>
      </c>
      <c r="BW2307" s="109">
        <f t="shared" si="1707"/>
        <v>0</v>
      </c>
      <c r="BX2307" s="111">
        <f t="shared" si="1716"/>
        <v>0</v>
      </c>
      <c r="BY2307" s="129">
        <f t="shared" si="1723"/>
        <v>-3</v>
      </c>
      <c r="BZ2307" s="111">
        <f t="shared" si="1724"/>
        <v>0</v>
      </c>
      <c r="CA2307" s="138">
        <f t="shared" si="1725"/>
        <v>3</v>
      </c>
      <c r="CB2307" s="111" t="e">
        <f t="shared" si="1703"/>
        <v>#VALUE!</v>
      </c>
      <c r="CC2307" s="129">
        <f>G2307-I2307+1</f>
        <v>3</v>
      </c>
      <c r="CD2307" s="129">
        <f>G2307-J2307</f>
        <v>0</v>
      </c>
      <c r="CG2307" s="129" t="str">
        <f t="shared" si="1726"/>
        <v>Y</v>
      </c>
      <c r="CI2307" s="129" t="str">
        <f t="shared" ref="CI2307:CI2370" si="1729">IF(BF2307&lt;11,"0-10 DAYS",IF(AND(BF2307&gt;10,BF2307&lt;31),"11-30 DAYS",IF((AND(BF2307&gt;30,BF2307&lt;61)),"31-60 DAYS",IF(AND(BF2307&gt;60,BF2307&lt;91),"61-90 DAYS",IF(AND(BF2307&gt;90,BF2307&lt;121),"91-120 DAYS",IF(AND(BF2307&gt;120,BF2307&lt;366),"121-365 DAYS",IF(AND(BF2307&gt;365,BF2307&lt;730)," &gt;1YRS&lt;2YRS",IF(AND(BF2307&gt;729,BF2307&lt;1095),"&gt;2YRS&lt;3YRS",IF(BF2307&gt;1094,"&gt;3YRS")))))))))</f>
        <v>0-10 DAYS</v>
      </c>
      <c r="CJ2307" s="137">
        <f t="shared" ref="CJ2307:CJ2370" si="1730">IF(CI2307="0-10 DAYS",1,IF(CI2307="11-30 DAYS",2,IF(CI2307="31-60 DAYS",3,IF(CI2307="61-90 DAYS",4,IF(CK2307="91-120 DAYS",5,IF(CI2307="121-365 DAYS",6,IF(CI2307="&gt;1YRS&lt;2YRS",7,IF(CI2307="&gt;2YRS&lt;3YRS",8,IF(CI2307="&gt;3YRS",9,0)))))))))</f>
        <v>1</v>
      </c>
      <c r="CK2307" s="129" t="str">
        <f t="shared" ref="CK2307:CK2370" si="1731">IF(I2307="Not Booked","Not Booked","Booked")</f>
        <v>Booked</v>
      </c>
    </row>
    <row r="2308" spans="1:89" ht="15" customHeight="1" x14ac:dyDescent="0.25">
      <c r="A2308" s="111">
        <v>2833</v>
      </c>
      <c r="B2308" s="128" t="str">
        <f t="shared" si="1717"/>
        <v>N</v>
      </c>
      <c r="C2308" s="128" t="str">
        <f t="shared" si="1718"/>
        <v>N</v>
      </c>
      <c r="D2308" s="117">
        <v>2510990</v>
      </c>
      <c r="E2308" s="135">
        <f t="shared" si="1719"/>
        <v>2</v>
      </c>
      <c r="F2308" s="124">
        <v>41013</v>
      </c>
      <c r="G2308" s="125">
        <v>41212</v>
      </c>
      <c r="H2308" s="117">
        <v>2510990</v>
      </c>
      <c r="I2308" s="124">
        <v>41013</v>
      </c>
      <c r="J2308" s="124">
        <v>41015</v>
      </c>
      <c r="K2308" s="126">
        <v>5000</v>
      </c>
      <c r="L2308" s="127" t="s">
        <v>569</v>
      </c>
      <c r="M2308" s="125">
        <v>41015</v>
      </c>
      <c r="N2308" s="129" t="str">
        <f t="shared" si="1708"/>
        <v>Y</v>
      </c>
      <c r="O2308" s="128" t="s">
        <v>76</v>
      </c>
      <c r="P2308" s="129" t="s">
        <v>589</v>
      </c>
      <c r="Q2308" s="111">
        <f t="shared" si="1692"/>
        <v>3</v>
      </c>
      <c r="R2308" s="111">
        <f t="shared" si="1691"/>
        <v>200</v>
      </c>
      <c r="S2308" s="129">
        <v>0</v>
      </c>
      <c r="T2308" s="129">
        <v>1</v>
      </c>
      <c r="W2308" s="111"/>
      <c r="AC2308" s="130"/>
      <c r="AD2308" s="130">
        <v>29417</v>
      </c>
      <c r="AE2308" s="128" t="s">
        <v>32</v>
      </c>
      <c r="AF2308" s="128" t="s">
        <v>40</v>
      </c>
      <c r="AG2308" s="128" t="s">
        <v>41</v>
      </c>
      <c r="AH2308" s="108" t="s">
        <v>41</v>
      </c>
      <c r="AI2308" s="128" t="s">
        <v>97</v>
      </c>
      <c r="AJ2308" s="129" t="s">
        <v>48</v>
      </c>
      <c r="AK2308" s="129">
        <v>8</v>
      </c>
      <c r="AL2308" s="3" t="s">
        <v>48</v>
      </c>
      <c r="AP2308" s="129" t="s">
        <v>150</v>
      </c>
      <c r="AR2308" s="128" t="s">
        <v>67</v>
      </c>
      <c r="AS2308" s="129" t="s">
        <v>74</v>
      </c>
      <c r="BC2308" s="129" t="s">
        <v>52</v>
      </c>
      <c r="BF2308" s="111">
        <f t="shared" si="1701"/>
        <v>3</v>
      </c>
      <c r="BG2308" s="111">
        <f t="shared" si="1702"/>
        <v>200</v>
      </c>
      <c r="BH2308" s="111">
        <f t="shared" si="1709"/>
        <v>200</v>
      </c>
      <c r="BI2308" s="111">
        <f t="shared" si="1710"/>
        <v>31.683060109289617</v>
      </c>
      <c r="BJ2308" s="129">
        <f>(G2308-J2308)+(M2308-G2308)</f>
        <v>0</v>
      </c>
      <c r="BK2308" s="129">
        <f t="shared" si="1711"/>
        <v>-197</v>
      </c>
      <c r="BL2308" s="129" t="str">
        <f t="shared" si="1704"/>
        <v>DEFERRED</v>
      </c>
      <c r="BM2308" s="129" t="s">
        <v>76</v>
      </c>
      <c r="BN2308" s="129" t="s">
        <v>88</v>
      </c>
      <c r="BP2308" s="137" t="str">
        <f t="shared" si="1712"/>
        <v>DEFERRED</v>
      </c>
      <c r="BQ2308" s="128" t="str">
        <f t="shared" si="1720"/>
        <v>Y</v>
      </c>
      <c r="BR2308" s="129" t="str">
        <f t="shared" si="1713"/>
        <v>ON BOND</v>
      </c>
      <c r="BS2308" s="129" t="str">
        <f t="shared" si="1714"/>
        <v>DISPOSED</v>
      </c>
      <c r="BT2308" s="129" t="str">
        <f t="shared" si="1715"/>
        <v>N</v>
      </c>
      <c r="BU2308" s="109">
        <f t="shared" si="1721"/>
        <v>1.4999999999999999E-2</v>
      </c>
      <c r="BV2308" s="109">
        <f t="shared" si="1722"/>
        <v>1.4999999999999999E-2</v>
      </c>
      <c r="BW2308" s="109">
        <f t="shared" si="1707"/>
        <v>0</v>
      </c>
      <c r="BX2308" s="111">
        <f t="shared" si="1716"/>
        <v>0</v>
      </c>
      <c r="BY2308" s="129">
        <f t="shared" si="1723"/>
        <v>-3</v>
      </c>
      <c r="BZ2308" s="111">
        <f t="shared" si="1724"/>
        <v>0</v>
      </c>
      <c r="CA2308" s="138">
        <f t="shared" si="1725"/>
        <v>3</v>
      </c>
      <c r="CB2308" s="111" t="e">
        <f t="shared" si="1703"/>
        <v>#VALUE!</v>
      </c>
      <c r="CC2308" s="129">
        <f>M2308-I2308+1</f>
        <v>3</v>
      </c>
      <c r="CD2308" s="111">
        <f>CC2308-BF2308</f>
        <v>0</v>
      </c>
      <c r="CG2308" s="129" t="str">
        <f t="shared" si="1726"/>
        <v>Y</v>
      </c>
      <c r="CI2308" s="129" t="str">
        <f t="shared" si="1729"/>
        <v>0-10 DAYS</v>
      </c>
      <c r="CJ2308" s="137">
        <f t="shared" si="1730"/>
        <v>1</v>
      </c>
      <c r="CK2308" s="129" t="str">
        <f t="shared" si="1731"/>
        <v>Booked</v>
      </c>
    </row>
    <row r="2309" spans="1:89" ht="15" customHeight="1" x14ac:dyDescent="0.25">
      <c r="A2309" s="111">
        <v>2610</v>
      </c>
      <c r="B2309" s="128" t="str">
        <f t="shared" si="1717"/>
        <v>N</v>
      </c>
      <c r="C2309" s="128" t="str">
        <f t="shared" si="1718"/>
        <v>Y</v>
      </c>
      <c r="D2309" s="117">
        <v>2511286</v>
      </c>
      <c r="E2309" s="135">
        <f t="shared" si="1719"/>
        <v>5</v>
      </c>
      <c r="F2309" s="124">
        <v>41005</v>
      </c>
      <c r="G2309" s="125">
        <v>41166</v>
      </c>
      <c r="H2309" s="117">
        <v>2511286</v>
      </c>
      <c r="I2309" s="124">
        <v>41006</v>
      </c>
      <c r="J2309" s="124">
        <v>41027</v>
      </c>
      <c r="K2309" s="126">
        <v>20000</v>
      </c>
      <c r="L2309" s="127" t="s">
        <v>571</v>
      </c>
      <c r="M2309" s="125">
        <v>41027</v>
      </c>
      <c r="N2309" s="129" t="str">
        <f t="shared" si="1708"/>
        <v>Y</v>
      </c>
      <c r="O2309" s="128" t="s">
        <v>585</v>
      </c>
      <c r="P2309" s="129" t="s">
        <v>39</v>
      </c>
      <c r="Q2309" s="111">
        <v>28</v>
      </c>
      <c r="R2309" s="111">
        <f t="shared" si="1691"/>
        <v>162</v>
      </c>
      <c r="S2309" s="129">
        <v>1</v>
      </c>
      <c r="T2309" s="129">
        <v>0</v>
      </c>
      <c r="U2309" s="129">
        <v>1</v>
      </c>
      <c r="W2309" s="111"/>
      <c r="AC2309" s="130"/>
      <c r="AD2309" s="130">
        <v>26904</v>
      </c>
      <c r="AE2309" s="128" t="s">
        <v>32</v>
      </c>
      <c r="AF2309" s="128" t="s">
        <v>69</v>
      </c>
      <c r="AG2309" s="128" t="s">
        <v>874</v>
      </c>
      <c r="AH2309" s="108" t="s">
        <v>58</v>
      </c>
      <c r="AI2309" s="128" t="s">
        <v>87</v>
      </c>
      <c r="AJ2309" s="129" t="s">
        <v>89</v>
      </c>
      <c r="AK2309" s="129">
        <v>9</v>
      </c>
      <c r="AL2309" s="3" t="s">
        <v>992</v>
      </c>
      <c r="AN2309" s="117">
        <v>6</v>
      </c>
      <c r="AP2309" s="129" t="s">
        <v>43</v>
      </c>
      <c r="AR2309" s="128" t="s">
        <v>44</v>
      </c>
      <c r="AS2309" s="129" t="s">
        <v>45</v>
      </c>
      <c r="AT2309" s="129" t="s">
        <v>1098</v>
      </c>
      <c r="AV2309" s="3" t="s">
        <v>88</v>
      </c>
      <c r="AW2309" s="129" t="s">
        <v>774</v>
      </c>
      <c r="BA2309" s="125">
        <v>41387</v>
      </c>
      <c r="BB2309" s="129">
        <v>355</v>
      </c>
      <c r="BC2309" s="129" t="s">
        <v>52</v>
      </c>
      <c r="BF2309" s="111">
        <v>28</v>
      </c>
      <c r="BG2309" s="111">
        <f t="shared" si="1702"/>
        <v>161</v>
      </c>
      <c r="BH2309" s="111">
        <f t="shared" si="1709"/>
        <v>162</v>
      </c>
      <c r="BI2309" s="111">
        <f t="shared" si="1710"/>
        <v>38.527322404371581</v>
      </c>
      <c r="BJ2309" s="129">
        <f>(G2309-J2309)+(M2309-G2309)</f>
        <v>0</v>
      </c>
      <c r="BK2309" s="129">
        <f t="shared" si="1711"/>
        <v>-139</v>
      </c>
      <c r="BL2309" s="129" t="str">
        <f t="shared" si="1704"/>
        <v>CONVICTION</v>
      </c>
      <c r="BM2309" s="129" t="s">
        <v>76</v>
      </c>
      <c r="BN2309" s="129" t="s">
        <v>566</v>
      </c>
      <c r="BP2309" s="137" t="str">
        <f t="shared" si="1712"/>
        <v>CONVICTION</v>
      </c>
      <c r="BQ2309" s="128" t="str">
        <f t="shared" si="1720"/>
        <v>Y</v>
      </c>
      <c r="BR2309" s="129" t="s">
        <v>574</v>
      </c>
      <c r="BS2309" s="129" t="str">
        <f t="shared" si="1714"/>
        <v>DISPOSED</v>
      </c>
      <c r="BT2309" s="129" t="str">
        <f t="shared" si="1715"/>
        <v>Y</v>
      </c>
      <c r="BU2309" s="109">
        <f t="shared" si="1721"/>
        <v>0.1728395061728395</v>
      </c>
      <c r="BV2309" s="109">
        <f t="shared" si="1722"/>
        <v>0.13664596273291926</v>
      </c>
      <c r="BW2309" s="109">
        <f t="shared" si="1707"/>
        <v>-3.6193543439920234E-2</v>
      </c>
      <c r="BX2309" s="111">
        <f t="shared" si="1716"/>
        <v>0</v>
      </c>
      <c r="BY2309" s="129">
        <f t="shared" si="1723"/>
        <v>-22</v>
      </c>
      <c r="BZ2309" s="111">
        <f t="shared" si="1724"/>
        <v>6</v>
      </c>
      <c r="CA2309" s="138">
        <f t="shared" si="1725"/>
        <v>161</v>
      </c>
      <c r="CB2309" s="111">
        <v>28</v>
      </c>
      <c r="CC2309" s="129">
        <f>G2309-I2309+1</f>
        <v>161</v>
      </c>
      <c r="CD2309" s="129">
        <f>G2309-J2309</f>
        <v>139</v>
      </c>
      <c r="CG2309" s="129" t="str">
        <f t="shared" si="1726"/>
        <v>Y</v>
      </c>
      <c r="CI2309" s="129" t="str">
        <f t="shared" si="1729"/>
        <v>11-30 DAYS</v>
      </c>
      <c r="CJ2309" s="137">
        <f t="shared" si="1730"/>
        <v>2</v>
      </c>
      <c r="CK2309" s="129" t="str">
        <f t="shared" si="1731"/>
        <v>Booked</v>
      </c>
    </row>
    <row r="2310" spans="1:89" ht="15" customHeight="1" x14ac:dyDescent="0.25">
      <c r="A2310" s="111">
        <v>2250</v>
      </c>
      <c r="B2310" s="128" t="str">
        <f t="shared" si="1717"/>
        <v>N</v>
      </c>
      <c r="C2310" s="128" t="str">
        <f t="shared" si="1718"/>
        <v>N</v>
      </c>
      <c r="D2310" s="117">
        <v>2511368</v>
      </c>
      <c r="E2310" s="135">
        <f t="shared" si="1719"/>
        <v>2</v>
      </c>
      <c r="F2310" s="124">
        <v>40994</v>
      </c>
      <c r="G2310" s="125">
        <v>41215</v>
      </c>
      <c r="H2310" s="117">
        <v>2511368</v>
      </c>
      <c r="I2310" s="124" t="s">
        <v>562</v>
      </c>
      <c r="J2310" s="124" t="s">
        <v>562</v>
      </c>
      <c r="K2310" s="126">
        <v>5000</v>
      </c>
      <c r="L2310" s="127" t="s">
        <v>569</v>
      </c>
      <c r="M2310" s="125">
        <v>41016</v>
      </c>
      <c r="N2310" s="129" t="str">
        <f>IF(M2310&gt;1/1/1,"Y",IF(Q2310="0","","N"))</f>
        <v>Y</v>
      </c>
      <c r="O2310" s="128" t="s">
        <v>76</v>
      </c>
      <c r="P2310" s="129" t="s">
        <v>589</v>
      </c>
      <c r="Q2310" s="111">
        <f t="shared" ref="Q2310:Q2340" si="1732">BF2310</f>
        <v>0</v>
      </c>
      <c r="R2310" s="111">
        <f t="shared" si="1691"/>
        <v>222</v>
      </c>
      <c r="S2310" s="129">
        <v>0</v>
      </c>
      <c r="T2310" s="129">
        <v>0</v>
      </c>
      <c r="W2310" s="111"/>
      <c r="AC2310" s="130"/>
      <c r="AD2310" s="130">
        <v>33496</v>
      </c>
      <c r="AE2310" s="128" t="s">
        <v>32</v>
      </c>
      <c r="AF2310" s="128" t="s">
        <v>33</v>
      </c>
      <c r="AG2310" s="128" t="s">
        <v>872</v>
      </c>
      <c r="AH2310" s="108" t="s">
        <v>31</v>
      </c>
      <c r="AI2310" s="128" t="s">
        <v>42</v>
      </c>
      <c r="AJ2310" s="129" t="s">
        <v>48</v>
      </c>
      <c r="AK2310" s="129">
        <v>8</v>
      </c>
      <c r="AL2310" s="3" t="s">
        <v>48</v>
      </c>
      <c r="AP2310" s="129" t="s">
        <v>108</v>
      </c>
      <c r="AR2310" s="128" t="s">
        <v>44</v>
      </c>
      <c r="AS2310" s="129" t="s">
        <v>61</v>
      </c>
      <c r="BC2310" s="129" t="s">
        <v>38</v>
      </c>
      <c r="BF2310" s="111">
        <v>0</v>
      </c>
      <c r="BG2310" s="111">
        <v>0</v>
      </c>
      <c r="BH2310" s="111">
        <f t="shared" si="1709"/>
        <v>222</v>
      </c>
      <c r="BI2310" s="111">
        <f t="shared" si="1710"/>
        <v>20.486338797814209</v>
      </c>
      <c r="BJ2310" s="129" t="e">
        <f>(G2310-J2310)+(M2310-G2310)</f>
        <v>#VALUE!</v>
      </c>
      <c r="BK2310" s="129" t="e">
        <f t="shared" si="1711"/>
        <v>#VALUE!</v>
      </c>
      <c r="BL2310" s="129" t="str">
        <f t="shared" si="1704"/>
        <v>DEFERRED</v>
      </c>
      <c r="BM2310" s="129" t="s">
        <v>76</v>
      </c>
      <c r="BN2310" s="129" t="s">
        <v>88</v>
      </c>
      <c r="BP2310" s="137" t="str">
        <f t="shared" si="1712"/>
        <v>DEFERRED</v>
      </c>
      <c r="BQ2310" s="128">
        <f t="shared" si="1720"/>
        <v>0</v>
      </c>
      <c r="BR2310" s="129" t="s">
        <v>575</v>
      </c>
      <c r="BS2310" s="129" t="str">
        <f t="shared" si="1714"/>
        <v>DISPOSED</v>
      </c>
      <c r="BT2310" s="129" t="str">
        <f t="shared" si="1715"/>
        <v>N</v>
      </c>
      <c r="BU2310" s="109">
        <f t="shared" si="1721"/>
        <v>0</v>
      </c>
      <c r="BV2310" s="109">
        <v>0</v>
      </c>
      <c r="BW2310" s="109">
        <f t="shared" si="1707"/>
        <v>0</v>
      </c>
      <c r="BX2310" s="111">
        <f t="shared" si="1716"/>
        <v>0</v>
      </c>
      <c r="BY2310" s="129" t="e">
        <f t="shared" si="1723"/>
        <v>#VALUE!</v>
      </c>
      <c r="BZ2310" s="111" t="e">
        <f t="shared" si="1724"/>
        <v>#VALUE!</v>
      </c>
      <c r="CA2310" s="138" t="e">
        <f t="shared" si="1725"/>
        <v>#VALUE!</v>
      </c>
      <c r="CB2310" s="111">
        <v>0</v>
      </c>
      <c r="CC2310" s="129">
        <v>0</v>
      </c>
      <c r="CD2310" s="111">
        <f>CC2310-BF2310</f>
        <v>0</v>
      </c>
      <c r="CG2310" s="129" t="str">
        <f t="shared" si="1726"/>
        <v>N</v>
      </c>
      <c r="CI2310" s="129" t="str">
        <f t="shared" si="1729"/>
        <v>0-10 DAYS</v>
      </c>
      <c r="CJ2310" s="137">
        <f t="shared" si="1730"/>
        <v>1</v>
      </c>
      <c r="CK2310" s="129" t="str">
        <f t="shared" si="1731"/>
        <v>Not Booked</v>
      </c>
    </row>
    <row r="2311" spans="1:89" ht="15.75" customHeight="1" x14ac:dyDescent="0.25">
      <c r="A2311" s="111">
        <v>1987</v>
      </c>
      <c r="B2311" s="128" t="str">
        <f t="shared" si="1717"/>
        <v>Y</v>
      </c>
      <c r="C2311" s="128" t="str">
        <f t="shared" si="1718"/>
        <v>Y</v>
      </c>
      <c r="D2311" s="117">
        <v>2511939</v>
      </c>
      <c r="E2311" s="135">
        <f t="shared" si="1719"/>
        <v>2</v>
      </c>
      <c r="F2311" s="124">
        <v>40983</v>
      </c>
      <c r="G2311" s="125">
        <v>41173</v>
      </c>
      <c r="H2311" s="117">
        <v>2511939</v>
      </c>
      <c r="I2311" s="124">
        <v>41015</v>
      </c>
      <c r="J2311" s="124">
        <v>41173</v>
      </c>
      <c r="K2311" s="126">
        <v>5000</v>
      </c>
      <c r="L2311" s="127" t="s">
        <v>569</v>
      </c>
      <c r="M2311" s="125">
        <v>40984</v>
      </c>
      <c r="N2311" s="129" t="str">
        <f>IF(M2311&gt;1/1/1,"Y","N")</f>
        <v>Y</v>
      </c>
      <c r="O2311" s="128" t="s">
        <v>585</v>
      </c>
      <c r="P2311" s="129" t="s">
        <v>589</v>
      </c>
      <c r="Q2311" s="111">
        <v>38</v>
      </c>
      <c r="R2311" s="111">
        <f t="shared" si="1691"/>
        <v>191</v>
      </c>
      <c r="S2311" s="129">
        <v>0</v>
      </c>
      <c r="T2311" s="129">
        <v>1</v>
      </c>
      <c r="W2311" s="111"/>
      <c r="AC2311" s="130"/>
      <c r="AD2311" s="130">
        <v>33979</v>
      </c>
      <c r="AE2311" s="128" t="s">
        <v>32</v>
      </c>
      <c r="AF2311" s="128" t="s">
        <v>69</v>
      </c>
      <c r="AG2311" s="128" t="s">
        <v>874</v>
      </c>
      <c r="AH2311" s="108" t="s">
        <v>31</v>
      </c>
      <c r="AI2311" s="128" t="s">
        <v>118</v>
      </c>
      <c r="AJ2311" s="129" t="s">
        <v>48</v>
      </c>
      <c r="AK2311" s="129">
        <v>11</v>
      </c>
      <c r="AL2311" s="3" t="s">
        <v>48</v>
      </c>
      <c r="AP2311" s="129" t="s">
        <v>148</v>
      </c>
      <c r="AR2311" s="128" t="s">
        <v>67</v>
      </c>
      <c r="AS2311" s="129" t="s">
        <v>45</v>
      </c>
      <c r="AT2311" s="3" t="s">
        <v>750</v>
      </c>
      <c r="AU2311" s="3" t="s">
        <v>750</v>
      </c>
      <c r="AX2311" s="32" t="s">
        <v>88</v>
      </c>
      <c r="BC2311" s="129" t="s">
        <v>38</v>
      </c>
      <c r="BD2311" s="129" t="s">
        <v>1298</v>
      </c>
      <c r="BF2311" s="111">
        <v>38</v>
      </c>
      <c r="BG2311" s="111">
        <f t="shared" ref="BG2311:BG2321" si="1733">IF(G2311&gt;1/1/1900,((G2311+1)-I2311),"STILL OPEN")</f>
        <v>159</v>
      </c>
      <c r="BH2311" s="111">
        <f t="shared" si="1709"/>
        <v>191</v>
      </c>
      <c r="BI2311" s="111">
        <f t="shared" si="1710"/>
        <v>19.136612021857925</v>
      </c>
      <c r="BJ2311" s="129">
        <f>G2311-J2311</f>
        <v>0</v>
      </c>
      <c r="BK2311" s="129">
        <f t="shared" si="1711"/>
        <v>0</v>
      </c>
      <c r="BL2311" s="129" t="str">
        <f t="shared" si="1704"/>
        <v>DEFERRED</v>
      </c>
      <c r="BM2311" s="129" t="s">
        <v>76</v>
      </c>
      <c r="BN2311" s="129" t="s">
        <v>88</v>
      </c>
      <c r="BP2311" s="137" t="str">
        <f t="shared" si="1712"/>
        <v>DEFERRED</v>
      </c>
      <c r="BQ2311" s="128" t="str">
        <f t="shared" si="1720"/>
        <v>Y</v>
      </c>
      <c r="BR2311" s="129" t="str">
        <f t="shared" si="1713"/>
        <v>ON BOND</v>
      </c>
      <c r="BS2311" s="129" t="str">
        <f t="shared" si="1714"/>
        <v>DISPOSED</v>
      </c>
      <c r="BT2311" s="129" t="str">
        <f t="shared" si="1715"/>
        <v>N</v>
      </c>
      <c r="BU2311" s="109">
        <f t="shared" si="1721"/>
        <v>0.19895287958115182</v>
      </c>
      <c r="BV2311" s="109">
        <f t="shared" si="1722"/>
        <v>1</v>
      </c>
      <c r="BW2311" s="109">
        <f t="shared" si="1707"/>
        <v>0.80104712041884818</v>
      </c>
      <c r="BX2311" s="111">
        <f t="shared" si="1716"/>
        <v>0</v>
      </c>
      <c r="BY2311" s="129">
        <f t="shared" si="1723"/>
        <v>-159</v>
      </c>
      <c r="BZ2311" s="111">
        <f t="shared" si="1724"/>
        <v>-121</v>
      </c>
      <c r="CA2311" s="138">
        <f t="shared" si="1725"/>
        <v>-30</v>
      </c>
      <c r="CB2311" s="111">
        <v>38</v>
      </c>
      <c r="CD2311" s="129">
        <f>G2311-J2311</f>
        <v>0</v>
      </c>
      <c r="CG2311" s="129" t="str">
        <f t="shared" si="1726"/>
        <v>Y</v>
      </c>
      <c r="CI2311" s="129" t="str">
        <f t="shared" si="1729"/>
        <v>31-60 DAYS</v>
      </c>
      <c r="CJ2311" s="137">
        <f t="shared" si="1730"/>
        <v>3</v>
      </c>
      <c r="CK2311" s="129" t="str">
        <f t="shared" si="1731"/>
        <v>Booked</v>
      </c>
    </row>
    <row r="2312" spans="1:89" ht="15" customHeight="1" x14ac:dyDescent="0.25">
      <c r="A2312" s="111">
        <v>956</v>
      </c>
      <c r="B2312" s="128" t="str">
        <f t="shared" si="1717"/>
        <v>N</v>
      </c>
      <c r="C2312" s="128" t="str">
        <f t="shared" si="1718"/>
        <v>N</v>
      </c>
      <c r="D2312" s="117">
        <v>2512241</v>
      </c>
      <c r="E2312" s="135">
        <f t="shared" si="1719"/>
        <v>2</v>
      </c>
      <c r="F2312" s="124">
        <v>40943</v>
      </c>
      <c r="G2312" s="125">
        <v>41072</v>
      </c>
      <c r="H2312" s="117">
        <v>2512241</v>
      </c>
      <c r="I2312" s="124">
        <v>40944</v>
      </c>
      <c r="J2312" s="124">
        <v>40945</v>
      </c>
      <c r="K2312" s="126">
        <v>17000</v>
      </c>
      <c r="L2312" s="127" t="s">
        <v>571</v>
      </c>
      <c r="M2312" s="125">
        <v>40945</v>
      </c>
      <c r="N2312" s="129" t="str">
        <f>IF(M2312&gt;1/1/1,"Y","N")</f>
        <v>Y</v>
      </c>
      <c r="O2312" s="128" t="s">
        <v>76</v>
      </c>
      <c r="P2312" s="129" t="s">
        <v>589</v>
      </c>
      <c r="Q2312" s="111">
        <f t="shared" si="1732"/>
        <v>2</v>
      </c>
      <c r="R2312" s="111">
        <f t="shared" si="1691"/>
        <v>130</v>
      </c>
      <c r="S2312" s="129">
        <v>0</v>
      </c>
      <c r="T2312" s="129">
        <v>1</v>
      </c>
      <c r="W2312" s="111"/>
      <c r="AC2312" s="130"/>
      <c r="AD2312" s="130">
        <v>30811</v>
      </c>
      <c r="AE2312" s="128" t="s">
        <v>32</v>
      </c>
      <c r="AF2312" s="128" t="s">
        <v>33</v>
      </c>
      <c r="AG2312" s="128" t="s">
        <v>872</v>
      </c>
      <c r="AH2312" s="108" t="s">
        <v>31</v>
      </c>
      <c r="AI2312" s="128" t="s">
        <v>87</v>
      </c>
      <c r="AJ2312" s="129" t="s">
        <v>48</v>
      </c>
      <c r="AK2312" s="129">
        <v>6</v>
      </c>
      <c r="AL2312" s="3" t="s">
        <v>48</v>
      </c>
      <c r="AP2312" s="129" t="s">
        <v>81</v>
      </c>
      <c r="AR2312" s="128" t="s">
        <v>50</v>
      </c>
      <c r="AS2312" s="129" t="s">
        <v>82</v>
      </c>
      <c r="BC2312" s="129" t="s">
        <v>52</v>
      </c>
      <c r="BF2312" s="111">
        <f t="shared" ref="BF2312:BF2318" si="1734">IF(J2312&gt;1/1/1900,((J2312+1)-I2312),"STILL OPEN")</f>
        <v>2</v>
      </c>
      <c r="BG2312" s="111">
        <f t="shared" si="1733"/>
        <v>129</v>
      </c>
      <c r="BH2312" s="111">
        <f t="shared" si="1709"/>
        <v>130</v>
      </c>
      <c r="BI2312" s="111">
        <f t="shared" si="1710"/>
        <v>27.683060109289617</v>
      </c>
      <c r="BJ2312" s="129">
        <f>(G2312-J2312)+(M2312-G2312)</f>
        <v>0</v>
      </c>
      <c r="BK2312" s="129">
        <f t="shared" si="1711"/>
        <v>-127</v>
      </c>
      <c r="BL2312" s="129" t="str">
        <f t="shared" si="1704"/>
        <v>DEFERRED</v>
      </c>
      <c r="BM2312" s="129" t="s">
        <v>76</v>
      </c>
      <c r="BN2312" s="129" t="s">
        <v>88</v>
      </c>
      <c r="BP2312" s="137" t="str">
        <f t="shared" si="1712"/>
        <v>DEFERRED</v>
      </c>
      <c r="BQ2312" s="128" t="str">
        <f t="shared" si="1720"/>
        <v>Y</v>
      </c>
      <c r="BR2312" s="129" t="str">
        <f t="shared" si="1713"/>
        <v>ON BOND</v>
      </c>
      <c r="BS2312" s="129" t="str">
        <f t="shared" si="1714"/>
        <v>DISPOSED</v>
      </c>
      <c r="BT2312" s="129" t="str">
        <f t="shared" si="1715"/>
        <v>N</v>
      </c>
      <c r="BU2312" s="109">
        <f t="shared" si="1721"/>
        <v>1.5384615384615385E-2</v>
      </c>
      <c r="BV2312" s="109">
        <f t="shared" si="1722"/>
        <v>1.5503875968992248E-2</v>
      </c>
      <c r="BW2312" s="109">
        <f t="shared" si="1707"/>
        <v>1.1926058437686238E-4</v>
      </c>
      <c r="BX2312" s="111">
        <f t="shared" si="1716"/>
        <v>0</v>
      </c>
      <c r="BY2312" s="129">
        <f t="shared" si="1723"/>
        <v>-2</v>
      </c>
      <c r="BZ2312" s="111">
        <f t="shared" si="1724"/>
        <v>0</v>
      </c>
      <c r="CA2312" s="138">
        <f t="shared" si="1725"/>
        <v>2</v>
      </c>
      <c r="CB2312" s="111" t="e">
        <f t="shared" ref="CB2312:CB2318" si="1735">IF(AF2312&gt;1/1/1900,((AF2312+1)-AE2312),"STILL OPEN")</f>
        <v>#VALUE!</v>
      </c>
      <c r="CC2312" s="129">
        <f>M2312-I2312+1</f>
        <v>2</v>
      </c>
      <c r="CD2312" s="111">
        <f>CC2312-BF2312</f>
        <v>0</v>
      </c>
      <c r="CG2312" s="129" t="str">
        <f t="shared" si="1726"/>
        <v>Y</v>
      </c>
      <c r="CI2312" s="129" t="str">
        <f t="shared" si="1729"/>
        <v>0-10 DAYS</v>
      </c>
      <c r="CJ2312" s="137">
        <f t="shared" si="1730"/>
        <v>1</v>
      </c>
      <c r="CK2312" s="129" t="str">
        <f t="shared" si="1731"/>
        <v>Booked</v>
      </c>
    </row>
    <row r="2313" spans="1:89" ht="15" customHeight="1" x14ac:dyDescent="0.25">
      <c r="A2313" s="111">
        <v>416</v>
      </c>
      <c r="B2313" s="128" t="str">
        <f t="shared" si="1717"/>
        <v>N</v>
      </c>
      <c r="C2313" s="128" t="str">
        <f t="shared" si="1718"/>
        <v>N</v>
      </c>
      <c r="D2313" s="117">
        <v>2512511</v>
      </c>
      <c r="E2313" s="135">
        <f t="shared" si="1719"/>
        <v>2</v>
      </c>
      <c r="F2313" s="124">
        <v>40926</v>
      </c>
      <c r="G2313" s="125">
        <v>41148</v>
      </c>
      <c r="H2313" s="117">
        <v>2512511</v>
      </c>
      <c r="I2313" s="124">
        <v>40926</v>
      </c>
      <c r="J2313" s="124">
        <v>40930</v>
      </c>
      <c r="K2313" s="126">
        <v>10000</v>
      </c>
      <c r="L2313" s="127" t="s">
        <v>570</v>
      </c>
      <c r="M2313" s="125">
        <v>40930</v>
      </c>
      <c r="N2313" s="129" t="str">
        <f>IF(M2313&gt;1/1/1,"Y","N")</f>
        <v>Y</v>
      </c>
      <c r="O2313" s="128" t="s">
        <v>76</v>
      </c>
      <c r="P2313" s="129" t="s">
        <v>589</v>
      </c>
      <c r="Q2313" s="111">
        <f t="shared" si="1732"/>
        <v>5</v>
      </c>
      <c r="R2313" s="111">
        <f t="shared" si="1691"/>
        <v>223</v>
      </c>
      <c r="S2313" s="129">
        <v>0</v>
      </c>
      <c r="T2313" s="129">
        <v>2</v>
      </c>
      <c r="W2313" s="111"/>
      <c r="AC2313" s="130"/>
      <c r="AD2313" s="130">
        <v>34191</v>
      </c>
      <c r="AE2313" s="128" t="s">
        <v>32</v>
      </c>
      <c r="AF2313" s="128" t="s">
        <v>33</v>
      </c>
      <c r="AG2313" s="128" t="s">
        <v>872</v>
      </c>
      <c r="AH2313" s="108" t="s">
        <v>31</v>
      </c>
      <c r="AI2313" s="128" t="s">
        <v>59</v>
      </c>
      <c r="AJ2313" s="129" t="s">
        <v>48</v>
      </c>
      <c r="AK2313" s="129">
        <v>11</v>
      </c>
      <c r="AL2313" s="3" t="s">
        <v>48</v>
      </c>
      <c r="AO2313" s="128">
        <v>180</v>
      </c>
      <c r="AP2313" s="129" t="s">
        <v>56</v>
      </c>
      <c r="AR2313" s="128" t="s">
        <v>50</v>
      </c>
      <c r="AS2313" s="129" t="s">
        <v>57</v>
      </c>
      <c r="BC2313" s="129" t="s">
        <v>99</v>
      </c>
      <c r="BF2313" s="111">
        <f t="shared" si="1734"/>
        <v>5</v>
      </c>
      <c r="BG2313" s="111">
        <f t="shared" si="1733"/>
        <v>223</v>
      </c>
      <c r="BH2313" s="111">
        <f t="shared" si="1709"/>
        <v>223</v>
      </c>
      <c r="BI2313" s="111">
        <f t="shared" si="1710"/>
        <v>18.401639344262296</v>
      </c>
      <c r="BJ2313" s="129">
        <f>(G2313-J2313)+(M2313-G2313)</f>
        <v>0</v>
      </c>
      <c r="BK2313" s="129">
        <f t="shared" si="1711"/>
        <v>-218</v>
      </c>
      <c r="BL2313" s="129" t="str">
        <f t="shared" si="1704"/>
        <v>DEFERRED</v>
      </c>
      <c r="BM2313" s="129" t="s">
        <v>76</v>
      </c>
      <c r="BN2313" s="129" t="s">
        <v>88</v>
      </c>
      <c r="BP2313" s="137" t="str">
        <f t="shared" si="1712"/>
        <v>DEFERRED</v>
      </c>
      <c r="BQ2313" s="128" t="str">
        <f t="shared" si="1720"/>
        <v>Y</v>
      </c>
      <c r="BR2313" s="129" t="str">
        <f t="shared" si="1713"/>
        <v>ON BOND</v>
      </c>
      <c r="BS2313" s="129" t="str">
        <f t="shared" si="1714"/>
        <v>DISPOSED</v>
      </c>
      <c r="BT2313" s="129" t="str">
        <f t="shared" si="1715"/>
        <v>N</v>
      </c>
      <c r="BU2313" s="109">
        <f t="shared" si="1721"/>
        <v>2.2421524663677129E-2</v>
      </c>
      <c r="BV2313" s="109">
        <f t="shared" si="1722"/>
        <v>2.2421524663677129E-2</v>
      </c>
      <c r="BW2313" s="109">
        <f t="shared" si="1707"/>
        <v>0</v>
      </c>
      <c r="BX2313" s="111">
        <f t="shared" si="1716"/>
        <v>0</v>
      </c>
      <c r="BY2313" s="129">
        <f t="shared" si="1723"/>
        <v>-5</v>
      </c>
      <c r="BZ2313" s="111">
        <f t="shared" si="1724"/>
        <v>0</v>
      </c>
      <c r="CA2313" s="138">
        <f t="shared" si="1725"/>
        <v>5</v>
      </c>
      <c r="CB2313" s="111" t="e">
        <f t="shared" si="1735"/>
        <v>#VALUE!</v>
      </c>
      <c r="CC2313" s="129">
        <f>M2313-I2313+1</f>
        <v>5</v>
      </c>
      <c r="CD2313" s="111">
        <f>CC2313-BF2313</f>
        <v>0</v>
      </c>
      <c r="CG2313" s="129" t="str">
        <f t="shared" si="1726"/>
        <v>Y</v>
      </c>
      <c r="CI2313" s="129" t="str">
        <f t="shared" si="1729"/>
        <v>0-10 DAYS</v>
      </c>
      <c r="CJ2313" s="137">
        <f t="shared" si="1730"/>
        <v>1</v>
      </c>
      <c r="CK2313" s="129" t="str">
        <f t="shared" si="1731"/>
        <v>Booked</v>
      </c>
    </row>
    <row r="2314" spans="1:89" ht="15" customHeight="1" x14ac:dyDescent="0.25">
      <c r="A2314" s="111">
        <v>111</v>
      </c>
      <c r="B2314" s="128" t="str">
        <f t="shared" si="1717"/>
        <v>N</v>
      </c>
      <c r="C2314" s="128" t="str">
        <f t="shared" si="1718"/>
        <v>N</v>
      </c>
      <c r="D2314" s="117">
        <v>2513842</v>
      </c>
      <c r="E2314" s="135">
        <f t="shared" si="1719"/>
        <v>2</v>
      </c>
      <c r="F2314" s="124">
        <v>40913</v>
      </c>
      <c r="G2314" s="125">
        <v>40917</v>
      </c>
      <c r="H2314" s="117">
        <v>2513842</v>
      </c>
      <c r="I2314" s="124">
        <v>40914</v>
      </c>
      <c r="J2314" s="124">
        <v>40917</v>
      </c>
      <c r="K2314" s="126">
        <v>2000</v>
      </c>
      <c r="L2314" s="127" t="s">
        <v>568</v>
      </c>
      <c r="N2314" s="129" t="str">
        <f>IF(M2314&gt;1/1/1,"Y","N")</f>
        <v>N</v>
      </c>
      <c r="O2314" s="128" t="s">
        <v>917</v>
      </c>
      <c r="P2314" s="129" t="s">
        <v>589</v>
      </c>
      <c r="Q2314" s="111">
        <f t="shared" si="1732"/>
        <v>4</v>
      </c>
      <c r="R2314" s="111">
        <f t="shared" si="1691"/>
        <v>5</v>
      </c>
      <c r="S2314" s="129">
        <v>0</v>
      </c>
      <c r="T2314" s="129">
        <v>5</v>
      </c>
      <c r="W2314" s="111"/>
      <c r="AC2314" s="130"/>
      <c r="AD2314" s="130">
        <v>34111</v>
      </c>
      <c r="AE2314" s="128" t="s">
        <v>32</v>
      </c>
      <c r="AF2314" s="128" t="s">
        <v>40</v>
      </c>
      <c r="AG2314" s="128" t="s">
        <v>41</v>
      </c>
      <c r="AH2314" s="108" t="s">
        <v>41</v>
      </c>
      <c r="AI2314" s="128" t="s">
        <v>53</v>
      </c>
      <c r="AJ2314" s="129" t="s">
        <v>48</v>
      </c>
      <c r="AK2314" s="129">
        <v>1</v>
      </c>
      <c r="AL2314" s="3" t="s">
        <v>48</v>
      </c>
      <c r="AP2314" s="129" t="s">
        <v>98</v>
      </c>
      <c r="AR2314" s="128" t="s">
        <v>44</v>
      </c>
      <c r="AS2314" s="129" t="s">
        <v>64</v>
      </c>
      <c r="BC2314" s="129" t="s">
        <v>38</v>
      </c>
      <c r="BF2314" s="111">
        <f t="shared" si="1734"/>
        <v>4</v>
      </c>
      <c r="BG2314" s="111">
        <f t="shared" si="1733"/>
        <v>4</v>
      </c>
      <c r="BH2314" s="111">
        <f t="shared" si="1709"/>
        <v>5</v>
      </c>
      <c r="BI2314" s="111">
        <f t="shared" si="1710"/>
        <v>18.584699453551913</v>
      </c>
      <c r="BJ2314" s="129">
        <f t="shared" si="1727"/>
        <v>0</v>
      </c>
      <c r="BK2314" s="129">
        <f t="shared" si="1711"/>
        <v>0</v>
      </c>
      <c r="BL2314" s="129" t="str">
        <f t="shared" si="1704"/>
        <v>DEFERRED</v>
      </c>
      <c r="BM2314" s="129" t="str">
        <f t="shared" si="1728"/>
        <v>NONE</v>
      </c>
      <c r="BN2314" s="129" t="s">
        <v>566</v>
      </c>
      <c r="BP2314" s="137" t="str">
        <f t="shared" si="1712"/>
        <v>DEFERRED</v>
      </c>
      <c r="BQ2314" s="128" t="str">
        <f t="shared" si="1720"/>
        <v>Y</v>
      </c>
      <c r="BR2314" s="129" t="str">
        <f t="shared" si="1713"/>
        <v>DETAINED</v>
      </c>
      <c r="BS2314" s="129" t="str">
        <f t="shared" si="1714"/>
        <v>DISPOSED</v>
      </c>
      <c r="BT2314" s="129" t="str">
        <f t="shared" si="1715"/>
        <v>N</v>
      </c>
      <c r="BU2314" s="109">
        <f t="shared" si="1721"/>
        <v>0.8</v>
      </c>
      <c r="BV2314" s="109">
        <f t="shared" si="1722"/>
        <v>1</v>
      </c>
      <c r="BW2314" s="109">
        <f t="shared" si="1707"/>
        <v>0.19999999999999996</v>
      </c>
      <c r="BX2314" s="111">
        <f t="shared" si="1716"/>
        <v>0</v>
      </c>
      <c r="BY2314" s="129">
        <f t="shared" si="1723"/>
        <v>-4</v>
      </c>
      <c r="BZ2314" s="111">
        <f t="shared" si="1724"/>
        <v>0</v>
      </c>
      <c r="CA2314" s="138">
        <f t="shared" si="1725"/>
        <v>4</v>
      </c>
      <c r="CB2314" s="111" t="e">
        <f t="shared" si="1735"/>
        <v>#VALUE!</v>
      </c>
      <c r="CC2314" s="129">
        <f>G2314-I2314+1</f>
        <v>4</v>
      </c>
      <c r="CD2314" s="129">
        <f>G2314-J2314</f>
        <v>0</v>
      </c>
      <c r="CG2314" s="129" t="str">
        <f t="shared" si="1726"/>
        <v>Y</v>
      </c>
      <c r="CI2314" s="129" t="str">
        <f t="shared" si="1729"/>
        <v>0-10 DAYS</v>
      </c>
      <c r="CJ2314" s="137">
        <f t="shared" si="1730"/>
        <v>1</v>
      </c>
      <c r="CK2314" s="129" t="str">
        <f t="shared" si="1731"/>
        <v>Booked</v>
      </c>
    </row>
    <row r="2315" spans="1:89" ht="15.75" customHeight="1" x14ac:dyDescent="0.25">
      <c r="A2315" s="111">
        <v>3253</v>
      </c>
      <c r="B2315" s="128" t="str">
        <f t="shared" si="1717"/>
        <v>N</v>
      </c>
      <c r="C2315" s="128" t="str">
        <f t="shared" si="1718"/>
        <v>N</v>
      </c>
      <c r="D2315" s="117">
        <v>2514119</v>
      </c>
      <c r="E2315" s="135">
        <f t="shared" si="1719"/>
        <v>5</v>
      </c>
      <c r="F2315" s="124">
        <v>41029</v>
      </c>
      <c r="G2315" s="125">
        <v>41052</v>
      </c>
      <c r="H2315" s="117">
        <v>2514119</v>
      </c>
      <c r="I2315" s="124">
        <v>41030</v>
      </c>
      <c r="J2315" s="124">
        <v>41052</v>
      </c>
      <c r="K2315" s="126" t="s">
        <v>564</v>
      </c>
      <c r="L2315" s="127" t="s">
        <v>564</v>
      </c>
      <c r="N2315" s="129" t="s">
        <v>566</v>
      </c>
      <c r="O2315" s="128" t="s">
        <v>917</v>
      </c>
      <c r="P2315" s="129" t="s">
        <v>39</v>
      </c>
      <c r="Q2315" s="111">
        <f t="shared" si="1732"/>
        <v>23</v>
      </c>
      <c r="R2315" s="111">
        <f t="shared" si="1691"/>
        <v>24</v>
      </c>
      <c r="S2315" s="129">
        <v>1</v>
      </c>
      <c r="T2315" s="129">
        <v>0</v>
      </c>
      <c r="U2315" s="129">
        <v>1</v>
      </c>
      <c r="W2315" s="111"/>
      <c r="AB2315" s="131" t="s">
        <v>112</v>
      </c>
      <c r="AC2315" s="130"/>
      <c r="AD2315" s="130">
        <v>32470</v>
      </c>
      <c r="AE2315" s="128" t="s">
        <v>32</v>
      </c>
      <c r="AF2315" s="128" t="s">
        <v>40</v>
      </c>
      <c r="AG2315" s="128" t="s">
        <v>41</v>
      </c>
      <c r="AH2315" s="108" t="s">
        <v>31</v>
      </c>
      <c r="AI2315" s="128" t="s">
        <v>114</v>
      </c>
      <c r="AJ2315" s="129" t="s">
        <v>89</v>
      </c>
      <c r="AK2315" s="129">
        <v>2</v>
      </c>
      <c r="AL2315" s="3" t="s">
        <v>992</v>
      </c>
      <c r="AN2315" s="117">
        <v>7</v>
      </c>
      <c r="AP2315" s="129" t="s">
        <v>43</v>
      </c>
      <c r="AR2315" s="128" t="s">
        <v>44</v>
      </c>
      <c r="AS2315" s="129" t="s">
        <v>45</v>
      </c>
      <c r="AY2315" s="123"/>
      <c r="BC2315" s="129" t="s">
        <v>38</v>
      </c>
      <c r="BF2315" s="111">
        <f t="shared" si="1734"/>
        <v>23</v>
      </c>
      <c r="BG2315" s="111">
        <f t="shared" si="1733"/>
        <v>23</v>
      </c>
      <c r="BH2315" s="111">
        <f t="shared" si="1709"/>
        <v>24</v>
      </c>
      <c r="BI2315" s="111">
        <f t="shared" si="1710"/>
        <v>23.385245901639344</v>
      </c>
      <c r="BJ2315" s="129">
        <f t="shared" si="1727"/>
        <v>0</v>
      </c>
      <c r="BK2315" s="129">
        <f t="shared" si="1711"/>
        <v>0</v>
      </c>
      <c r="BL2315" s="129" t="str">
        <f t="shared" si="1704"/>
        <v>CONVICTION</v>
      </c>
      <c r="BM2315" s="129" t="str">
        <f t="shared" si="1728"/>
        <v>NONE</v>
      </c>
      <c r="BN2315" s="129" t="s">
        <v>566</v>
      </c>
      <c r="BP2315" s="137" t="str">
        <f t="shared" si="1712"/>
        <v>CONVICTION</v>
      </c>
      <c r="BQ2315" s="128" t="str">
        <f t="shared" si="1720"/>
        <v>Y</v>
      </c>
      <c r="BR2315" s="129" t="str">
        <f t="shared" si="1713"/>
        <v>DETAINED</v>
      </c>
      <c r="BS2315" s="129" t="str">
        <f t="shared" si="1714"/>
        <v>DISPOSED</v>
      </c>
      <c r="BT2315" s="129" t="str">
        <f t="shared" si="1715"/>
        <v>Y</v>
      </c>
      <c r="BU2315" s="109">
        <f t="shared" si="1721"/>
        <v>0.95833333333333337</v>
      </c>
      <c r="BV2315" s="109">
        <f t="shared" si="1722"/>
        <v>1</v>
      </c>
      <c r="BW2315" s="109">
        <f t="shared" si="1707"/>
        <v>4.166666666666663E-2</v>
      </c>
      <c r="BX2315" s="111">
        <f t="shared" si="1716"/>
        <v>0</v>
      </c>
      <c r="BY2315" s="129">
        <f t="shared" si="1723"/>
        <v>-23</v>
      </c>
      <c r="BZ2315" s="111">
        <f t="shared" si="1724"/>
        <v>0</v>
      </c>
      <c r="CA2315" s="138">
        <f t="shared" si="1725"/>
        <v>23</v>
      </c>
      <c r="CB2315" s="111" t="e">
        <f t="shared" si="1735"/>
        <v>#VALUE!</v>
      </c>
      <c r="CC2315" s="129">
        <f>G2315-I2315+1</f>
        <v>23</v>
      </c>
      <c r="CD2315" s="129">
        <f>G2315-J2315</f>
        <v>0</v>
      </c>
      <c r="CG2315" s="129" t="str">
        <f t="shared" si="1726"/>
        <v>Y</v>
      </c>
      <c r="CI2315" s="129" t="str">
        <f t="shared" si="1729"/>
        <v>11-30 DAYS</v>
      </c>
      <c r="CJ2315" s="137">
        <f t="shared" si="1730"/>
        <v>2</v>
      </c>
      <c r="CK2315" s="129" t="str">
        <f t="shared" si="1731"/>
        <v>Booked</v>
      </c>
    </row>
    <row r="2316" spans="1:89" ht="15.75" customHeight="1" x14ac:dyDescent="0.25">
      <c r="A2316" s="111">
        <v>1043</v>
      </c>
      <c r="B2316" s="128" t="str">
        <f t="shared" si="1717"/>
        <v>N</v>
      </c>
      <c r="C2316" s="128" t="str">
        <f t="shared" si="1718"/>
        <v>N</v>
      </c>
      <c r="D2316" s="117">
        <v>2514276</v>
      </c>
      <c r="E2316" s="135">
        <f t="shared" si="1719"/>
        <v>6</v>
      </c>
      <c r="F2316" s="124">
        <v>40947</v>
      </c>
      <c r="G2316" s="125">
        <v>40990</v>
      </c>
      <c r="H2316" s="117">
        <v>2514276</v>
      </c>
      <c r="I2316" s="124">
        <v>40947</v>
      </c>
      <c r="J2316" s="124">
        <v>40990</v>
      </c>
      <c r="K2316" s="126" t="s">
        <v>564</v>
      </c>
      <c r="L2316" s="127" t="s">
        <v>564</v>
      </c>
      <c r="N2316" s="129" t="s">
        <v>566</v>
      </c>
      <c r="O2316" s="128" t="s">
        <v>917</v>
      </c>
      <c r="P2316" s="129" t="s">
        <v>39</v>
      </c>
      <c r="Q2316" s="111">
        <f t="shared" si="1732"/>
        <v>44</v>
      </c>
      <c r="R2316" s="111">
        <f t="shared" si="1691"/>
        <v>44</v>
      </c>
      <c r="S2316" s="129">
        <v>0</v>
      </c>
      <c r="T2316" s="129">
        <v>0</v>
      </c>
      <c r="W2316" s="111"/>
      <c r="AB2316" s="131" t="s">
        <v>112</v>
      </c>
      <c r="AC2316" s="130"/>
      <c r="AD2316" s="130">
        <v>26166</v>
      </c>
      <c r="AE2316" s="128" t="s">
        <v>32</v>
      </c>
      <c r="AF2316" s="128" t="s">
        <v>40</v>
      </c>
      <c r="AG2316" s="128" t="s">
        <v>41</v>
      </c>
      <c r="AH2316" s="108" t="s">
        <v>58</v>
      </c>
      <c r="AI2316" s="128" t="s">
        <v>87</v>
      </c>
      <c r="AJ2316" s="129" t="s">
        <v>89</v>
      </c>
      <c r="AK2316" s="129">
        <v>2</v>
      </c>
      <c r="AL2316" s="3" t="s">
        <v>362</v>
      </c>
      <c r="AM2316" s="117">
        <v>2</v>
      </c>
      <c r="AP2316" s="129" t="s">
        <v>93</v>
      </c>
      <c r="AR2316" s="128" t="s">
        <v>67</v>
      </c>
      <c r="AS2316" s="129" t="s">
        <v>45</v>
      </c>
      <c r="BC2316" s="129" t="s">
        <v>38</v>
      </c>
      <c r="BF2316" s="111">
        <f t="shared" si="1734"/>
        <v>44</v>
      </c>
      <c r="BG2316" s="111">
        <f t="shared" si="1733"/>
        <v>44</v>
      </c>
      <c r="BH2316" s="111">
        <f t="shared" si="1709"/>
        <v>44</v>
      </c>
      <c r="BI2316" s="111">
        <f t="shared" si="1710"/>
        <v>40.385245901639344</v>
      </c>
      <c r="BJ2316" s="129">
        <f t="shared" si="1727"/>
        <v>0</v>
      </c>
      <c r="BK2316" s="129">
        <f t="shared" si="1711"/>
        <v>0</v>
      </c>
      <c r="BL2316" s="129" t="str">
        <f t="shared" si="1704"/>
        <v>CONVICTION</v>
      </c>
      <c r="BM2316" s="129" t="str">
        <f t="shared" si="1728"/>
        <v>NONE</v>
      </c>
      <c r="BN2316" s="129" t="s">
        <v>566</v>
      </c>
      <c r="BP2316" s="137" t="str">
        <f t="shared" si="1712"/>
        <v>CONVICTION</v>
      </c>
      <c r="BQ2316" s="128" t="str">
        <f t="shared" si="1720"/>
        <v>Y</v>
      </c>
      <c r="BR2316" s="129" t="str">
        <f t="shared" si="1713"/>
        <v>DETAINED</v>
      </c>
      <c r="BS2316" s="129" t="str">
        <f t="shared" si="1714"/>
        <v>DISPOSED</v>
      </c>
      <c r="BT2316" s="129" t="str">
        <f t="shared" si="1715"/>
        <v>N</v>
      </c>
      <c r="BU2316" s="109">
        <f t="shared" si="1721"/>
        <v>1</v>
      </c>
      <c r="BV2316" s="109">
        <f t="shared" si="1722"/>
        <v>1</v>
      </c>
      <c r="BW2316" s="109">
        <f t="shared" si="1707"/>
        <v>0</v>
      </c>
      <c r="BX2316" s="111">
        <f t="shared" si="1716"/>
        <v>0</v>
      </c>
      <c r="BY2316" s="129">
        <f t="shared" si="1723"/>
        <v>-44</v>
      </c>
      <c r="BZ2316" s="111">
        <f t="shared" si="1724"/>
        <v>0</v>
      </c>
      <c r="CA2316" s="138">
        <f t="shared" si="1725"/>
        <v>44</v>
      </c>
      <c r="CB2316" s="111" t="e">
        <f t="shared" si="1735"/>
        <v>#VALUE!</v>
      </c>
      <c r="CC2316" s="129">
        <f>G2316-I2316+1</f>
        <v>44</v>
      </c>
      <c r="CD2316" s="129">
        <f>G2316-J2316</f>
        <v>0</v>
      </c>
      <c r="CG2316" s="129" t="str">
        <f t="shared" si="1726"/>
        <v>N</v>
      </c>
      <c r="CI2316" s="129" t="str">
        <f t="shared" si="1729"/>
        <v>31-60 DAYS</v>
      </c>
      <c r="CJ2316" s="137">
        <f t="shared" si="1730"/>
        <v>3</v>
      </c>
      <c r="CK2316" s="129" t="str">
        <f t="shared" si="1731"/>
        <v>Booked</v>
      </c>
    </row>
    <row r="2317" spans="1:89" ht="15" customHeight="1" x14ac:dyDescent="0.25">
      <c r="A2317" s="111">
        <v>3224</v>
      </c>
      <c r="B2317" s="128" t="str">
        <f t="shared" si="1717"/>
        <v>N</v>
      </c>
      <c r="C2317" s="128" t="str">
        <f t="shared" si="1718"/>
        <v>N</v>
      </c>
      <c r="D2317" s="117">
        <v>2515431</v>
      </c>
      <c r="E2317" s="135">
        <f t="shared" si="1719"/>
        <v>4</v>
      </c>
      <c r="F2317" s="124">
        <v>41028</v>
      </c>
      <c r="G2317" s="125">
        <v>41029</v>
      </c>
      <c r="H2317" s="117">
        <v>2515431</v>
      </c>
      <c r="I2317" s="124">
        <v>41028</v>
      </c>
      <c r="J2317" s="124">
        <v>41029</v>
      </c>
      <c r="K2317" s="126" t="s">
        <v>564</v>
      </c>
      <c r="L2317" s="127" t="s">
        <v>564</v>
      </c>
      <c r="N2317" s="129" t="s">
        <v>566</v>
      </c>
      <c r="O2317" s="128" t="s">
        <v>917</v>
      </c>
      <c r="P2317" s="129" t="s">
        <v>39</v>
      </c>
      <c r="Q2317" s="111">
        <f t="shared" si="1732"/>
        <v>2</v>
      </c>
      <c r="R2317" s="111">
        <f t="shared" si="1691"/>
        <v>2</v>
      </c>
      <c r="S2317" s="129">
        <v>0</v>
      </c>
      <c r="T2317" s="129">
        <v>1</v>
      </c>
      <c r="W2317" s="111"/>
      <c r="AC2317" s="130"/>
      <c r="AD2317" s="130">
        <v>33214</v>
      </c>
      <c r="AE2317" s="128" t="s">
        <v>32</v>
      </c>
      <c r="AF2317" s="128" t="s">
        <v>33</v>
      </c>
      <c r="AG2317" s="128" t="s">
        <v>872</v>
      </c>
      <c r="AH2317" s="108" t="s">
        <v>31</v>
      </c>
      <c r="AI2317" s="128" t="s">
        <v>47</v>
      </c>
      <c r="AJ2317" s="129" t="s">
        <v>89</v>
      </c>
      <c r="AK2317" s="129">
        <v>1</v>
      </c>
      <c r="AL2317" s="3" t="s">
        <v>991</v>
      </c>
      <c r="AO2317" s="128">
        <v>90</v>
      </c>
      <c r="AP2317" s="129" t="s">
        <v>43</v>
      </c>
      <c r="AR2317" s="128" t="s">
        <v>44</v>
      </c>
      <c r="AS2317" s="129" t="s">
        <v>45</v>
      </c>
      <c r="BC2317" s="129" t="s">
        <v>38</v>
      </c>
      <c r="BF2317" s="111">
        <f t="shared" si="1734"/>
        <v>2</v>
      </c>
      <c r="BG2317" s="111">
        <f t="shared" si="1733"/>
        <v>2</v>
      </c>
      <c r="BH2317" s="111">
        <f t="shared" si="1709"/>
        <v>2</v>
      </c>
      <c r="BI2317" s="111">
        <f t="shared" si="1710"/>
        <v>21.349726775956285</v>
      </c>
      <c r="BJ2317" s="129">
        <f t="shared" si="1727"/>
        <v>0</v>
      </c>
      <c r="BK2317" s="129">
        <f t="shared" si="1711"/>
        <v>0</v>
      </c>
      <c r="BL2317" s="129" t="str">
        <f t="shared" si="1704"/>
        <v>CONVICTION</v>
      </c>
      <c r="BM2317" s="129" t="str">
        <f t="shared" si="1728"/>
        <v>NONE</v>
      </c>
      <c r="BN2317" s="129" t="s">
        <v>566</v>
      </c>
      <c r="BP2317" s="137" t="str">
        <f t="shared" si="1712"/>
        <v>CONVICTION</v>
      </c>
      <c r="BQ2317" s="128" t="str">
        <f t="shared" si="1720"/>
        <v>Y</v>
      </c>
      <c r="BR2317" s="129" t="str">
        <f t="shared" si="1713"/>
        <v>DETAINED</v>
      </c>
      <c r="BS2317" s="129" t="str">
        <f t="shared" si="1714"/>
        <v>DISPOSED</v>
      </c>
      <c r="BT2317" s="129" t="str">
        <f t="shared" si="1715"/>
        <v>N</v>
      </c>
      <c r="BU2317" s="109">
        <f t="shared" si="1721"/>
        <v>1</v>
      </c>
      <c r="BV2317" s="109">
        <f t="shared" si="1722"/>
        <v>1</v>
      </c>
      <c r="BW2317" s="109">
        <f t="shared" si="1707"/>
        <v>0</v>
      </c>
      <c r="BX2317" s="111">
        <f t="shared" si="1716"/>
        <v>0</v>
      </c>
      <c r="BY2317" s="129">
        <f t="shared" si="1723"/>
        <v>-2</v>
      </c>
      <c r="BZ2317" s="111">
        <f t="shared" si="1724"/>
        <v>0</v>
      </c>
      <c r="CA2317" s="138">
        <f t="shared" si="1725"/>
        <v>2</v>
      </c>
      <c r="CB2317" s="111" t="e">
        <f t="shared" si="1735"/>
        <v>#VALUE!</v>
      </c>
      <c r="CC2317" s="129">
        <f>G2317-I2317+1</f>
        <v>2</v>
      </c>
      <c r="CD2317" s="129">
        <f>G2317-J2317</f>
        <v>0</v>
      </c>
      <c r="CG2317" s="129" t="str">
        <f t="shared" si="1726"/>
        <v>Y</v>
      </c>
      <c r="CI2317" s="129" t="str">
        <f t="shared" si="1729"/>
        <v>0-10 DAYS</v>
      </c>
      <c r="CJ2317" s="137">
        <f t="shared" si="1730"/>
        <v>1</v>
      </c>
      <c r="CK2317" s="129" t="str">
        <f t="shared" si="1731"/>
        <v>Booked</v>
      </c>
    </row>
    <row r="2318" spans="1:89" ht="15.75" customHeight="1" x14ac:dyDescent="0.25">
      <c r="A2318" s="111">
        <v>1331</v>
      </c>
      <c r="B2318" s="128" t="str">
        <f t="shared" si="1717"/>
        <v>N</v>
      </c>
      <c r="C2318" s="128" t="str">
        <f t="shared" si="1718"/>
        <v>N</v>
      </c>
      <c r="D2318" s="117">
        <v>2515599</v>
      </c>
      <c r="E2318" s="135">
        <f t="shared" si="1719"/>
        <v>2</v>
      </c>
      <c r="F2318" s="124">
        <v>40957</v>
      </c>
      <c r="G2318" s="125">
        <v>41107</v>
      </c>
      <c r="H2318" s="117">
        <v>2515599</v>
      </c>
      <c r="I2318" s="124">
        <v>40957</v>
      </c>
      <c r="J2318" s="124">
        <v>40957</v>
      </c>
      <c r="K2318" s="126">
        <v>2000</v>
      </c>
      <c r="L2318" s="127" t="s">
        <v>568</v>
      </c>
      <c r="M2318" s="125">
        <v>40957</v>
      </c>
      <c r="N2318" s="129" t="str">
        <f>IF(M2318&gt;1/1/1,"Y","N")</f>
        <v>Y</v>
      </c>
      <c r="O2318" s="128" t="s">
        <v>585</v>
      </c>
      <c r="P2318" s="129" t="s">
        <v>589</v>
      </c>
      <c r="Q2318" s="111">
        <f t="shared" si="1732"/>
        <v>1</v>
      </c>
      <c r="R2318" s="111">
        <f t="shared" si="1691"/>
        <v>151</v>
      </c>
      <c r="S2318" s="129">
        <v>0</v>
      </c>
      <c r="T2318" s="129">
        <v>1</v>
      </c>
      <c r="W2318" s="111"/>
      <c r="AC2318" s="130"/>
      <c r="AD2318" s="130">
        <v>28621</v>
      </c>
      <c r="AE2318" s="128" t="s">
        <v>32</v>
      </c>
      <c r="AF2318" s="128" t="s">
        <v>69</v>
      </c>
      <c r="AG2318" s="128" t="s">
        <v>874</v>
      </c>
      <c r="AH2318" s="108" t="s">
        <v>31</v>
      </c>
      <c r="AI2318" s="128" t="s">
        <v>42</v>
      </c>
      <c r="AJ2318" s="129" t="s">
        <v>48</v>
      </c>
      <c r="AK2318" s="129">
        <v>6</v>
      </c>
      <c r="AL2318" s="3" t="s">
        <v>48</v>
      </c>
      <c r="AP2318" s="129" t="s">
        <v>175</v>
      </c>
      <c r="AR2318" s="128" t="s">
        <v>44</v>
      </c>
      <c r="AS2318" s="129" t="s">
        <v>45</v>
      </c>
      <c r="BC2318" s="129" t="s">
        <v>52</v>
      </c>
      <c r="BF2318" s="111">
        <f t="shared" si="1734"/>
        <v>1</v>
      </c>
      <c r="BG2318" s="111">
        <f t="shared" si="1733"/>
        <v>151</v>
      </c>
      <c r="BH2318" s="111">
        <f t="shared" si="1709"/>
        <v>151</v>
      </c>
      <c r="BI2318" s="111">
        <f t="shared" si="1710"/>
        <v>33.704918032786885</v>
      </c>
      <c r="BJ2318" s="129">
        <f>(G2318-J2318)+(M2318-G2318)</f>
        <v>0</v>
      </c>
      <c r="BK2318" s="129">
        <f t="shared" si="1711"/>
        <v>-150</v>
      </c>
      <c r="BL2318" s="129" t="str">
        <f t="shared" si="1704"/>
        <v>DEFERRED</v>
      </c>
      <c r="BM2318" s="129" t="s">
        <v>76</v>
      </c>
      <c r="BN2318" s="129" t="s">
        <v>88</v>
      </c>
      <c r="BP2318" s="137" t="str">
        <f t="shared" si="1712"/>
        <v>DEFERRED</v>
      </c>
      <c r="BQ2318" s="128" t="str">
        <f t="shared" si="1720"/>
        <v>Y</v>
      </c>
      <c r="BR2318" s="129" t="str">
        <f t="shared" si="1713"/>
        <v>ON BOND</v>
      </c>
      <c r="BS2318" s="129" t="str">
        <f t="shared" si="1714"/>
        <v>DISPOSED</v>
      </c>
      <c r="BT2318" s="129" t="str">
        <f t="shared" si="1715"/>
        <v>N</v>
      </c>
      <c r="BU2318" s="109">
        <f t="shared" si="1721"/>
        <v>6.6225165562913907E-3</v>
      </c>
      <c r="BV2318" s="109">
        <f t="shared" si="1722"/>
        <v>6.6225165562913907E-3</v>
      </c>
      <c r="BW2318" s="109">
        <f t="shared" si="1707"/>
        <v>0</v>
      </c>
      <c r="BX2318" s="111">
        <f t="shared" si="1716"/>
        <v>0</v>
      </c>
      <c r="BY2318" s="129">
        <f t="shared" si="1723"/>
        <v>-1</v>
      </c>
      <c r="BZ2318" s="111">
        <f t="shared" si="1724"/>
        <v>0</v>
      </c>
      <c r="CA2318" s="138">
        <f t="shared" si="1725"/>
        <v>1</v>
      </c>
      <c r="CB2318" s="111" t="e">
        <f t="shared" si="1735"/>
        <v>#VALUE!</v>
      </c>
      <c r="CC2318" s="129">
        <f>M2318-I2318+1</f>
        <v>1</v>
      </c>
      <c r="CD2318" s="111">
        <f>CC2318-BF2318</f>
        <v>0</v>
      </c>
      <c r="CG2318" s="129" t="str">
        <f t="shared" si="1726"/>
        <v>Y</v>
      </c>
      <c r="CI2318" s="129" t="str">
        <f t="shared" si="1729"/>
        <v>0-10 DAYS</v>
      </c>
      <c r="CJ2318" s="137">
        <f t="shared" si="1730"/>
        <v>1</v>
      </c>
      <c r="CK2318" s="129" t="str">
        <f t="shared" si="1731"/>
        <v>Booked</v>
      </c>
    </row>
    <row r="2319" spans="1:89" ht="15" customHeight="1" x14ac:dyDescent="0.25">
      <c r="A2319" s="111">
        <v>128</v>
      </c>
      <c r="B2319" s="128" t="str">
        <f t="shared" si="1717"/>
        <v>N</v>
      </c>
      <c r="C2319" s="128" t="str">
        <f t="shared" si="1718"/>
        <v>N</v>
      </c>
      <c r="D2319" s="114">
        <v>2516789</v>
      </c>
      <c r="E2319" s="135">
        <f t="shared" si="1719"/>
        <v>5</v>
      </c>
      <c r="F2319" s="124">
        <v>40914</v>
      </c>
      <c r="G2319" s="125">
        <v>41380</v>
      </c>
      <c r="H2319" s="114">
        <v>2516789</v>
      </c>
      <c r="I2319" s="124">
        <v>41375</v>
      </c>
      <c r="J2319" s="125">
        <v>41380</v>
      </c>
      <c r="K2319" s="126">
        <v>5000</v>
      </c>
      <c r="L2319" s="127" t="s">
        <v>569</v>
      </c>
      <c r="N2319" s="129" t="s">
        <v>566</v>
      </c>
      <c r="O2319" s="128" t="s">
        <v>917</v>
      </c>
      <c r="P2319" s="129" t="s">
        <v>39</v>
      </c>
      <c r="Q2319" s="111">
        <v>6</v>
      </c>
      <c r="R2319" s="111">
        <f t="shared" si="1691"/>
        <v>467</v>
      </c>
      <c r="S2319" s="129">
        <v>1</v>
      </c>
      <c r="T2319" s="129">
        <v>0</v>
      </c>
      <c r="U2319" s="129">
        <v>1</v>
      </c>
      <c r="W2319" s="111"/>
      <c r="AC2319" s="130"/>
      <c r="AD2319" s="130">
        <v>24636</v>
      </c>
      <c r="AE2319" s="128" t="s">
        <v>32</v>
      </c>
      <c r="AF2319" s="128" t="s">
        <v>33</v>
      </c>
      <c r="AG2319" s="128" t="s">
        <v>872</v>
      </c>
      <c r="AH2319" s="108" t="s">
        <v>31</v>
      </c>
      <c r="AI2319" s="128" t="s">
        <v>71</v>
      </c>
      <c r="AJ2319" s="129" t="s">
        <v>89</v>
      </c>
      <c r="AK2319" s="129">
        <v>2</v>
      </c>
      <c r="AL2319" s="3" t="s">
        <v>992</v>
      </c>
      <c r="AO2319" s="128">
        <v>7</v>
      </c>
      <c r="AP2319" s="129" t="s">
        <v>142</v>
      </c>
      <c r="AR2319" s="128" t="s">
        <v>44</v>
      </c>
      <c r="AS2319" s="129" t="s">
        <v>64</v>
      </c>
      <c r="AT2319" s="129" t="s">
        <v>1233</v>
      </c>
      <c r="AY2319" s="123"/>
      <c r="BC2319" s="129" t="s">
        <v>38</v>
      </c>
      <c r="BF2319" s="111">
        <v>6</v>
      </c>
      <c r="BG2319" s="111">
        <f t="shared" si="1733"/>
        <v>6</v>
      </c>
      <c r="BH2319" s="111">
        <f t="shared" si="1709"/>
        <v>467</v>
      </c>
      <c r="BI2319" s="111">
        <f t="shared" si="1710"/>
        <v>44.475409836065573</v>
      </c>
      <c r="BJ2319" s="129">
        <f t="shared" si="1727"/>
        <v>0</v>
      </c>
      <c r="BK2319" s="129">
        <f t="shared" si="1711"/>
        <v>0</v>
      </c>
      <c r="BL2319" s="129" t="str">
        <f t="shared" si="1704"/>
        <v>CONVICTION</v>
      </c>
      <c r="BM2319" s="129" t="str">
        <f t="shared" si="1728"/>
        <v>NONE</v>
      </c>
      <c r="BN2319" s="129" t="s">
        <v>566</v>
      </c>
      <c r="BP2319" s="137" t="str">
        <f t="shared" si="1712"/>
        <v>CONVICTION</v>
      </c>
      <c r="BQ2319" s="128" t="str">
        <f t="shared" si="1720"/>
        <v>Y</v>
      </c>
      <c r="BR2319" s="129" t="str">
        <f t="shared" si="1713"/>
        <v>DETAINED</v>
      </c>
      <c r="BS2319" s="129" t="str">
        <f t="shared" si="1714"/>
        <v>DISPOSED</v>
      </c>
      <c r="BT2319" s="129" t="str">
        <f t="shared" si="1715"/>
        <v>Y</v>
      </c>
      <c r="BU2319" s="109">
        <f t="shared" si="1721"/>
        <v>1.284796573875803E-2</v>
      </c>
      <c r="BV2319" s="109">
        <f t="shared" si="1722"/>
        <v>1</v>
      </c>
      <c r="BW2319" s="109">
        <f t="shared" si="1707"/>
        <v>0.98715203426124198</v>
      </c>
      <c r="BX2319" s="111">
        <f t="shared" si="1716"/>
        <v>0</v>
      </c>
      <c r="BY2319" s="129">
        <f t="shared" si="1723"/>
        <v>-6</v>
      </c>
      <c r="BZ2319" s="111">
        <f t="shared" si="1724"/>
        <v>0</v>
      </c>
      <c r="CA2319" s="138">
        <f t="shared" si="1725"/>
        <v>6</v>
      </c>
      <c r="CB2319" s="111">
        <v>6</v>
      </c>
      <c r="CC2319" s="129">
        <f>G2319-I2319+1</f>
        <v>6</v>
      </c>
      <c r="CD2319" s="129">
        <f>G2319-J2319</f>
        <v>0</v>
      </c>
      <c r="CG2319" s="129" t="str">
        <f t="shared" si="1726"/>
        <v>Y</v>
      </c>
      <c r="CI2319" s="129" t="str">
        <f t="shared" si="1729"/>
        <v>0-10 DAYS</v>
      </c>
      <c r="CJ2319" s="137">
        <f t="shared" si="1730"/>
        <v>1</v>
      </c>
      <c r="CK2319" s="129" t="str">
        <f t="shared" si="1731"/>
        <v>Booked</v>
      </c>
    </row>
    <row r="2320" spans="1:89" ht="15.75" customHeight="1" x14ac:dyDescent="0.25">
      <c r="A2320" s="111">
        <v>3192</v>
      </c>
      <c r="B2320" s="128" t="str">
        <f t="shared" si="1717"/>
        <v>N</v>
      </c>
      <c r="C2320" s="128" t="str">
        <f t="shared" si="1718"/>
        <v>N</v>
      </c>
      <c r="D2320" s="117">
        <v>2517727</v>
      </c>
      <c r="E2320" s="135">
        <f t="shared" si="1719"/>
        <v>3</v>
      </c>
      <c r="F2320" s="124">
        <v>41026</v>
      </c>
      <c r="G2320" s="125">
        <v>41771</v>
      </c>
      <c r="H2320" s="117">
        <v>2517727</v>
      </c>
      <c r="I2320" s="124">
        <v>41044</v>
      </c>
      <c r="J2320" s="124">
        <v>41045</v>
      </c>
      <c r="K2320" s="126">
        <v>60000</v>
      </c>
      <c r="L2320" s="129" t="s">
        <v>572</v>
      </c>
      <c r="M2320" s="125">
        <v>41045</v>
      </c>
      <c r="N2320" s="129" t="str">
        <f>IF(M2320&gt;1/1/1,"Y","N")</f>
        <v>Y</v>
      </c>
      <c r="O2320" s="128" t="s">
        <v>76</v>
      </c>
      <c r="P2320" s="129" t="s">
        <v>1389</v>
      </c>
      <c r="Q2320" s="111">
        <v>2</v>
      </c>
      <c r="R2320" s="111">
        <f t="shared" si="1691"/>
        <v>746</v>
      </c>
      <c r="S2320" s="129">
        <v>0</v>
      </c>
      <c r="T2320" s="129">
        <v>0</v>
      </c>
      <c r="W2320" s="111"/>
      <c r="AC2320" s="130"/>
      <c r="AD2320" s="130">
        <v>25902</v>
      </c>
      <c r="AE2320" s="128" t="s">
        <v>46</v>
      </c>
      <c r="AF2320" s="128" t="s">
        <v>69</v>
      </c>
      <c r="AG2320" s="128" t="s">
        <v>874</v>
      </c>
      <c r="AH2320" s="108" t="s">
        <v>31</v>
      </c>
      <c r="AI2320" s="128" t="s">
        <v>95</v>
      </c>
      <c r="AJ2320" s="129" t="s">
        <v>89</v>
      </c>
      <c r="AK2320" s="129">
        <v>21</v>
      </c>
      <c r="AL2320" s="3" t="s">
        <v>185</v>
      </c>
      <c r="AO2320" s="128">
        <v>30</v>
      </c>
      <c r="AP2320" s="129" t="s">
        <v>125</v>
      </c>
      <c r="AR2320" s="128" t="s">
        <v>50</v>
      </c>
      <c r="AS2320" s="129" t="s">
        <v>126</v>
      </c>
      <c r="AT2320" s="129" t="s">
        <v>1163</v>
      </c>
      <c r="BC2320" s="129" t="s">
        <v>52</v>
      </c>
      <c r="BF2320" s="111">
        <v>2</v>
      </c>
      <c r="BG2320" s="111">
        <f t="shared" si="1733"/>
        <v>728</v>
      </c>
      <c r="BH2320" s="111">
        <f t="shared" si="1709"/>
        <v>746</v>
      </c>
      <c r="BI2320" s="111">
        <f t="shared" si="1710"/>
        <v>41.322404371584696</v>
      </c>
      <c r="BJ2320" s="129">
        <f>(G2320-J2320)+(M2320-G2320)</f>
        <v>0</v>
      </c>
      <c r="BK2320" s="129">
        <f t="shared" si="1711"/>
        <v>-726</v>
      </c>
      <c r="BL2320" s="129" t="str">
        <f t="shared" si="1704"/>
        <v>CONVICTION</v>
      </c>
      <c r="BM2320" s="129" t="s">
        <v>76</v>
      </c>
      <c r="BP2320" s="137" t="str">
        <f t="shared" si="1712"/>
        <v>CONVICTION</v>
      </c>
      <c r="BQ2320" s="128" t="str">
        <f t="shared" si="1720"/>
        <v>Y</v>
      </c>
      <c r="BR2320" s="129" t="s">
        <v>574</v>
      </c>
      <c r="BS2320" s="129" t="str">
        <f t="shared" si="1714"/>
        <v>DISPOSED</v>
      </c>
      <c r="BT2320" s="129" t="str">
        <f t="shared" si="1715"/>
        <v>N</v>
      </c>
      <c r="BU2320" s="109">
        <f>IFERROR(Q2320/R2320,BR2320)</f>
        <v>2.6809651474530832E-3</v>
      </c>
      <c r="BV2320" s="139">
        <v>2.7000000000000001E-3</v>
      </c>
      <c r="BW2320" s="109">
        <v>0</v>
      </c>
      <c r="BX2320" s="111">
        <f t="shared" si="1716"/>
        <v>0</v>
      </c>
      <c r="BY2320" s="129">
        <f t="shared" si="1723"/>
        <v>-2</v>
      </c>
      <c r="BZ2320" s="111">
        <f t="shared" si="1724"/>
        <v>0</v>
      </c>
      <c r="CA2320" s="138">
        <f t="shared" si="1725"/>
        <v>728</v>
      </c>
      <c r="CB2320" s="111" t="e">
        <f t="shared" ref="CB2320" si="1736">IF(AF2320&gt;1/1/1900,((AF2320+1)-AE2320),"STILL OPEN")</f>
        <v>#VALUE!</v>
      </c>
      <c r="CC2320" s="129">
        <v>2</v>
      </c>
      <c r="CG2320" s="129" t="str">
        <f t="shared" si="1726"/>
        <v>N</v>
      </c>
      <c r="CH2320" s="129" t="e">
        <v>#N/A</v>
      </c>
      <c r="CI2320" s="129" t="str">
        <f t="shared" si="1729"/>
        <v>0-10 DAYS</v>
      </c>
      <c r="CJ2320" s="137">
        <f t="shared" si="1730"/>
        <v>1</v>
      </c>
      <c r="CK2320" s="129" t="str">
        <f t="shared" si="1731"/>
        <v>Booked</v>
      </c>
    </row>
    <row r="2321" spans="1:89" ht="15.75" customHeight="1" x14ac:dyDescent="0.25">
      <c r="A2321" s="111">
        <v>2154</v>
      </c>
      <c r="B2321" s="128" t="str">
        <f t="shared" si="1717"/>
        <v>N</v>
      </c>
      <c r="C2321" s="128" t="str">
        <f t="shared" si="1718"/>
        <v>N</v>
      </c>
      <c r="D2321" s="117">
        <v>2517900</v>
      </c>
      <c r="E2321" s="135">
        <f t="shared" si="1719"/>
        <v>1</v>
      </c>
      <c r="F2321" s="124">
        <v>40989</v>
      </c>
      <c r="G2321" s="125">
        <v>41044</v>
      </c>
      <c r="H2321" s="117">
        <v>2517900</v>
      </c>
      <c r="I2321" s="124">
        <v>40990</v>
      </c>
      <c r="J2321" s="124">
        <v>40992</v>
      </c>
      <c r="K2321" s="126">
        <v>15000</v>
      </c>
      <c r="L2321" s="127" t="s">
        <v>571</v>
      </c>
      <c r="M2321" s="125">
        <v>40992</v>
      </c>
      <c r="N2321" s="129" t="str">
        <f>IF(M2321&gt;1/1/1,"Y","N")</f>
        <v>Y</v>
      </c>
      <c r="O2321" s="128" t="s">
        <v>76</v>
      </c>
      <c r="P2321" s="129" t="s">
        <v>55</v>
      </c>
      <c r="Q2321" s="111">
        <f t="shared" si="1732"/>
        <v>3</v>
      </c>
      <c r="R2321" s="111">
        <f t="shared" ref="R2321:R2384" si="1737">BH2321</f>
        <v>56</v>
      </c>
      <c r="S2321" s="129">
        <v>2</v>
      </c>
      <c r="T2321" s="129">
        <v>3</v>
      </c>
      <c r="U2321" s="129">
        <v>1</v>
      </c>
      <c r="W2321" s="111"/>
      <c r="AC2321" s="130"/>
      <c r="AD2321" s="130">
        <v>33733</v>
      </c>
      <c r="AE2321" s="128" t="s">
        <v>32</v>
      </c>
      <c r="AF2321" s="128" t="s">
        <v>33</v>
      </c>
      <c r="AG2321" s="128" t="s">
        <v>872</v>
      </c>
      <c r="AH2321" s="108" t="s">
        <v>31</v>
      </c>
      <c r="AI2321" s="128" t="s">
        <v>85</v>
      </c>
      <c r="AJ2321" s="129" t="s">
        <v>55</v>
      </c>
      <c r="AK2321" s="129">
        <v>5</v>
      </c>
      <c r="AL2321" s="3" t="s">
        <v>55</v>
      </c>
      <c r="AP2321" s="129" t="s">
        <v>43</v>
      </c>
      <c r="AR2321" s="128" t="s">
        <v>44</v>
      </c>
      <c r="AS2321" s="129" t="s">
        <v>45</v>
      </c>
      <c r="AT2321" s="32" t="s">
        <v>408</v>
      </c>
      <c r="BC2321" s="129" t="s">
        <v>38</v>
      </c>
      <c r="BF2321" s="111">
        <f>IF(J2321&gt;1/1/1900,((J2321+1)-I2321),"STILL OPEN")</f>
        <v>3</v>
      </c>
      <c r="BG2321" s="111">
        <f t="shared" si="1733"/>
        <v>55</v>
      </c>
      <c r="BH2321" s="111">
        <f t="shared" si="1709"/>
        <v>56</v>
      </c>
      <c r="BI2321" s="111">
        <f t="shared" si="1710"/>
        <v>19.825136612021858</v>
      </c>
      <c r="BJ2321" s="129">
        <f>(G2321-J2321)+(M2321-G2321)</f>
        <v>0</v>
      </c>
      <c r="BK2321" s="129">
        <f t="shared" si="1711"/>
        <v>-52</v>
      </c>
      <c r="BL2321" s="129" t="str">
        <f t="shared" si="1704"/>
        <v>NO CONVICTION</v>
      </c>
      <c r="BM2321" s="129" t="s">
        <v>76</v>
      </c>
      <c r="BN2321" s="129" t="s">
        <v>88</v>
      </c>
      <c r="BP2321" s="137" t="str">
        <f t="shared" si="1712"/>
        <v>NO CONVICTION</v>
      </c>
      <c r="BQ2321" s="128" t="str">
        <f t="shared" si="1720"/>
        <v>Y</v>
      </c>
      <c r="BR2321" s="129" t="str">
        <f t="shared" si="1713"/>
        <v>ON BOND</v>
      </c>
      <c r="BS2321" s="129" t="str">
        <f t="shared" si="1714"/>
        <v>DISPOSED</v>
      </c>
      <c r="BT2321" s="129" t="str">
        <f t="shared" si="1715"/>
        <v>Y</v>
      </c>
      <c r="BU2321" s="109">
        <f>IFERROR(Q2321/R2321,BR2321)</f>
        <v>5.3571428571428568E-2</v>
      </c>
      <c r="BV2321" s="109">
        <f t="shared" si="1722"/>
        <v>5.4545454545454543E-2</v>
      </c>
      <c r="BW2321" s="109">
        <f t="shared" ref="BW2321:BW2340" si="1738">BV2321-BU2321</f>
        <v>9.7402597402597435E-4</v>
      </c>
      <c r="BX2321" s="111">
        <f t="shared" si="1716"/>
        <v>0</v>
      </c>
      <c r="BY2321" s="129">
        <f t="shared" si="1723"/>
        <v>-3</v>
      </c>
      <c r="BZ2321" s="111">
        <f t="shared" si="1724"/>
        <v>0</v>
      </c>
      <c r="CA2321" s="138">
        <f t="shared" si="1725"/>
        <v>3</v>
      </c>
      <c r="CB2321" s="111" t="e">
        <f>IF(AF2321&gt;1/1/1900,((AF2321+1)-AE2321),"STILL OPEN")</f>
        <v>#VALUE!</v>
      </c>
      <c r="CC2321" s="129">
        <f>M2321-I2321+1</f>
        <v>3</v>
      </c>
      <c r="CD2321" s="111">
        <f>CC2321-BF2321</f>
        <v>0</v>
      </c>
      <c r="CG2321" s="129" t="str">
        <f t="shared" si="1726"/>
        <v>Y</v>
      </c>
      <c r="CI2321" s="129" t="str">
        <f t="shared" si="1729"/>
        <v>0-10 DAYS</v>
      </c>
      <c r="CJ2321" s="137">
        <f t="shared" si="1730"/>
        <v>1</v>
      </c>
      <c r="CK2321" s="129" t="str">
        <f t="shared" si="1731"/>
        <v>Booked</v>
      </c>
    </row>
    <row r="2322" spans="1:89" ht="15" customHeight="1" x14ac:dyDescent="0.25">
      <c r="A2322" s="111">
        <v>414</v>
      </c>
      <c r="B2322" s="128" t="str">
        <f t="shared" si="1717"/>
        <v>N</v>
      </c>
      <c r="C2322" s="128" t="str">
        <f t="shared" si="1718"/>
        <v>N</v>
      </c>
      <c r="D2322" s="117">
        <v>2518508</v>
      </c>
      <c r="E2322" s="135">
        <f t="shared" si="1719"/>
        <v>1</v>
      </c>
      <c r="F2322" s="124">
        <v>40926</v>
      </c>
      <c r="G2322" s="125">
        <v>41032</v>
      </c>
      <c r="H2322" s="117">
        <v>2518508</v>
      </c>
      <c r="I2322" s="124" t="s">
        <v>562</v>
      </c>
      <c r="J2322" s="124" t="s">
        <v>562</v>
      </c>
      <c r="K2322" s="126">
        <v>20000</v>
      </c>
      <c r="L2322" s="127" t="s">
        <v>571</v>
      </c>
      <c r="M2322" s="125">
        <v>40930</v>
      </c>
      <c r="N2322" s="129" t="str">
        <f>IF(M2322&gt;1/1/1,"Y",IF(Q2322="0","","N"))</f>
        <v>Y</v>
      </c>
      <c r="O2322" s="128" t="s">
        <v>585</v>
      </c>
      <c r="P2322" s="129" t="s">
        <v>123</v>
      </c>
      <c r="Q2322" s="111">
        <f t="shared" si="1732"/>
        <v>0</v>
      </c>
      <c r="R2322" s="111">
        <f t="shared" si="1737"/>
        <v>107</v>
      </c>
      <c r="S2322" s="129">
        <v>0</v>
      </c>
      <c r="T2322" s="129">
        <v>1</v>
      </c>
      <c r="W2322" s="111"/>
      <c r="AC2322" s="130"/>
      <c r="AD2322" s="130">
        <v>33893</v>
      </c>
      <c r="AE2322" s="128" t="s">
        <v>32</v>
      </c>
      <c r="AF2322" s="128" t="s">
        <v>33</v>
      </c>
      <c r="AG2322" s="128" t="s">
        <v>872</v>
      </c>
      <c r="AH2322" s="108" t="s">
        <v>31</v>
      </c>
      <c r="AI2322" s="128" t="s">
        <v>85</v>
      </c>
      <c r="AJ2322" s="129" t="s">
        <v>123</v>
      </c>
      <c r="AK2322" s="129">
        <v>6</v>
      </c>
      <c r="AL2322" s="3" t="s">
        <v>123</v>
      </c>
      <c r="AP2322" s="129" t="s">
        <v>125</v>
      </c>
      <c r="AR2322" s="128" t="s">
        <v>50</v>
      </c>
      <c r="AS2322" s="129" t="s">
        <v>126</v>
      </c>
      <c r="BC2322" s="129" t="s">
        <v>99</v>
      </c>
      <c r="BF2322" s="111">
        <v>0</v>
      </c>
      <c r="BG2322" s="111">
        <v>0</v>
      </c>
      <c r="BH2322" s="111">
        <f t="shared" si="1709"/>
        <v>107</v>
      </c>
      <c r="BI2322" s="111">
        <f t="shared" si="1710"/>
        <v>19.215846994535518</v>
      </c>
      <c r="BJ2322" s="129" t="e">
        <f>(G2322-J2322)+(M2322-G2322)</f>
        <v>#VALUE!</v>
      </c>
      <c r="BK2322" s="129" t="e">
        <f t="shared" si="1711"/>
        <v>#VALUE!</v>
      </c>
      <c r="BL2322" s="129" t="str">
        <f t="shared" si="1704"/>
        <v>NO CONVICTION</v>
      </c>
      <c r="BM2322" s="129" t="s">
        <v>76</v>
      </c>
      <c r="BN2322" s="129" t="s">
        <v>88</v>
      </c>
      <c r="BP2322" s="137" t="str">
        <f t="shared" si="1712"/>
        <v>NO CONVICTION</v>
      </c>
      <c r="BQ2322" s="128">
        <f t="shared" si="1720"/>
        <v>0</v>
      </c>
      <c r="BR2322" s="129" t="s">
        <v>575</v>
      </c>
      <c r="BS2322" s="129" t="str">
        <f t="shared" si="1714"/>
        <v>DISPOSED</v>
      </c>
      <c r="BT2322" s="129" t="str">
        <f t="shared" si="1715"/>
        <v>N</v>
      </c>
      <c r="BU2322" s="109">
        <f>IFERROR(Q2322/R2322,BR2322)</f>
        <v>0</v>
      </c>
      <c r="BV2322" s="109">
        <v>0</v>
      </c>
      <c r="BW2322" s="109">
        <f t="shared" si="1738"/>
        <v>0</v>
      </c>
      <c r="BX2322" s="111">
        <f t="shared" si="1716"/>
        <v>0</v>
      </c>
      <c r="BY2322" s="129" t="e">
        <f t="shared" si="1723"/>
        <v>#VALUE!</v>
      </c>
      <c r="BZ2322" s="111" t="e">
        <f t="shared" si="1724"/>
        <v>#VALUE!</v>
      </c>
      <c r="CA2322" s="138" t="e">
        <f t="shared" si="1725"/>
        <v>#VALUE!</v>
      </c>
      <c r="CB2322" s="111">
        <v>0</v>
      </c>
      <c r="CC2322" s="129">
        <v>0</v>
      </c>
      <c r="CD2322" s="111">
        <f>CC2322-BF2322</f>
        <v>0</v>
      </c>
      <c r="CG2322" s="129" t="str">
        <f t="shared" si="1726"/>
        <v>Y</v>
      </c>
      <c r="CI2322" s="129" t="str">
        <f t="shared" si="1729"/>
        <v>0-10 DAYS</v>
      </c>
      <c r="CJ2322" s="137">
        <f t="shared" si="1730"/>
        <v>1</v>
      </c>
      <c r="CK2322" s="129" t="str">
        <f t="shared" si="1731"/>
        <v>Not Booked</v>
      </c>
    </row>
    <row r="2323" spans="1:89" ht="15" customHeight="1" x14ac:dyDescent="0.25">
      <c r="A2323" s="111">
        <v>2205</v>
      </c>
      <c r="B2323" s="128" t="str">
        <f t="shared" si="1717"/>
        <v>N</v>
      </c>
      <c r="C2323" s="128" t="str">
        <f t="shared" si="1718"/>
        <v>N</v>
      </c>
      <c r="D2323" s="117">
        <v>2519787</v>
      </c>
      <c r="E2323" s="135">
        <f t="shared" si="1719"/>
        <v>5</v>
      </c>
      <c r="F2323" s="124">
        <v>40991</v>
      </c>
      <c r="G2323" s="125">
        <v>41032</v>
      </c>
      <c r="H2323" s="117">
        <v>2519787</v>
      </c>
      <c r="I2323" s="124">
        <v>40992</v>
      </c>
      <c r="J2323" s="124">
        <v>41032</v>
      </c>
      <c r="K2323" s="126" t="s">
        <v>564</v>
      </c>
      <c r="L2323" s="127" t="s">
        <v>564</v>
      </c>
      <c r="N2323" s="129" t="s">
        <v>566</v>
      </c>
      <c r="O2323" s="128" t="s">
        <v>917</v>
      </c>
      <c r="P2323" s="129" t="s">
        <v>39</v>
      </c>
      <c r="Q2323" s="111">
        <f t="shared" si="1732"/>
        <v>41</v>
      </c>
      <c r="R2323" s="111">
        <f t="shared" si="1737"/>
        <v>42</v>
      </c>
      <c r="S2323" s="129">
        <v>0</v>
      </c>
      <c r="T2323" s="129">
        <v>0</v>
      </c>
      <c r="W2323" s="111"/>
      <c r="AC2323" s="130"/>
      <c r="AD2323" s="130">
        <v>31007</v>
      </c>
      <c r="AE2323" s="128" t="s">
        <v>32</v>
      </c>
      <c r="AF2323" s="128" t="s">
        <v>33</v>
      </c>
      <c r="AG2323" s="128" t="s">
        <v>872</v>
      </c>
      <c r="AH2323" s="108" t="s">
        <v>58</v>
      </c>
      <c r="AI2323" s="128" t="s">
        <v>34</v>
      </c>
      <c r="AJ2323" s="129" t="s">
        <v>89</v>
      </c>
      <c r="AK2323" s="129">
        <v>2</v>
      </c>
      <c r="AL2323" s="3" t="s">
        <v>992</v>
      </c>
      <c r="AN2323" s="117">
        <v>8</v>
      </c>
      <c r="AP2323" s="129" t="s">
        <v>175</v>
      </c>
      <c r="AR2323" s="128" t="s">
        <v>44</v>
      </c>
      <c r="AS2323" s="129" t="s">
        <v>45</v>
      </c>
      <c r="BC2323" s="129" t="s">
        <v>38</v>
      </c>
      <c r="BF2323" s="111">
        <f t="shared" ref="BF2323:BF2362" si="1739">IF(J2323&gt;1/1/1900,((J2323+1)-I2323),"STILL OPEN")</f>
        <v>41</v>
      </c>
      <c r="BG2323" s="111">
        <f t="shared" ref="BG2323:BG2362" si="1740">IF(G2323&gt;1/1/1900,((G2323+1)-I2323),"STILL OPEN")</f>
        <v>41</v>
      </c>
      <c r="BH2323" s="111">
        <f t="shared" si="1709"/>
        <v>42</v>
      </c>
      <c r="BI2323" s="111">
        <f t="shared" si="1710"/>
        <v>27.278688524590162</v>
      </c>
      <c r="BJ2323" s="129">
        <f t="shared" si="1727"/>
        <v>0</v>
      </c>
      <c r="BK2323" s="129">
        <f t="shared" si="1711"/>
        <v>0</v>
      </c>
      <c r="BL2323" s="129" t="str">
        <f t="shared" si="1704"/>
        <v>CONVICTION</v>
      </c>
      <c r="BM2323" s="129" t="str">
        <f t="shared" si="1728"/>
        <v>NONE</v>
      </c>
      <c r="BN2323" s="129" t="s">
        <v>566</v>
      </c>
      <c r="BP2323" s="137" t="str">
        <f t="shared" si="1712"/>
        <v>CONVICTION</v>
      </c>
      <c r="BQ2323" s="128" t="str">
        <f t="shared" si="1720"/>
        <v>Y</v>
      </c>
      <c r="BR2323" s="129" t="str">
        <f t="shared" si="1713"/>
        <v>DETAINED</v>
      </c>
      <c r="BS2323" s="129" t="str">
        <f t="shared" si="1714"/>
        <v>DISPOSED</v>
      </c>
      <c r="BT2323" s="129" t="str">
        <f t="shared" si="1715"/>
        <v>N</v>
      </c>
      <c r="BU2323" s="109">
        <f t="shared" si="1721"/>
        <v>0.97619047619047616</v>
      </c>
      <c r="BV2323" s="109">
        <f t="shared" si="1722"/>
        <v>1</v>
      </c>
      <c r="BW2323" s="109">
        <f t="shared" si="1738"/>
        <v>2.3809523809523836E-2</v>
      </c>
      <c r="BX2323" s="111">
        <f t="shared" si="1716"/>
        <v>0</v>
      </c>
      <c r="BY2323" s="129">
        <f t="shared" si="1723"/>
        <v>-41</v>
      </c>
      <c r="BZ2323" s="111">
        <f t="shared" si="1724"/>
        <v>0</v>
      </c>
      <c r="CA2323" s="138">
        <f t="shared" si="1725"/>
        <v>41</v>
      </c>
      <c r="CB2323" s="111" t="e">
        <f t="shared" ref="CB2323:CB2362" si="1741">IF(AF2323&gt;1/1/1900,((AF2323+1)-AE2323),"STILL OPEN")</f>
        <v>#VALUE!</v>
      </c>
      <c r="CC2323" s="129">
        <f>G2323-I2323+1</f>
        <v>41</v>
      </c>
      <c r="CD2323" s="129">
        <f>G2323-J2323</f>
        <v>0</v>
      </c>
      <c r="CG2323" s="129" t="str">
        <f t="shared" si="1726"/>
        <v>N</v>
      </c>
      <c r="CI2323" s="129" t="str">
        <f t="shared" si="1729"/>
        <v>31-60 DAYS</v>
      </c>
      <c r="CJ2323" s="137">
        <f t="shared" si="1730"/>
        <v>3</v>
      </c>
      <c r="CK2323" s="129" t="str">
        <f t="shared" si="1731"/>
        <v>Booked</v>
      </c>
    </row>
    <row r="2324" spans="1:89" ht="15" customHeight="1" x14ac:dyDescent="0.25">
      <c r="A2324" s="111">
        <v>2595</v>
      </c>
      <c r="B2324" s="128" t="str">
        <f t="shared" si="1717"/>
        <v>N</v>
      </c>
      <c r="C2324" s="128" t="str">
        <f t="shared" si="1718"/>
        <v>N</v>
      </c>
      <c r="D2324" s="117">
        <v>2520735</v>
      </c>
      <c r="E2324" s="135">
        <f t="shared" si="1719"/>
        <v>6</v>
      </c>
      <c r="F2324" s="124">
        <v>41005</v>
      </c>
      <c r="G2324" s="125">
        <v>41138</v>
      </c>
      <c r="H2324" s="117">
        <v>2520735</v>
      </c>
      <c r="I2324" s="124">
        <v>41005</v>
      </c>
      <c r="J2324" s="124">
        <v>41138</v>
      </c>
      <c r="K2324" s="126">
        <v>10000</v>
      </c>
      <c r="L2324" s="127" t="s">
        <v>570</v>
      </c>
      <c r="N2324" s="129" t="str">
        <f>IF(M2324&gt;1/1/1,"Y","N")</f>
        <v>N</v>
      </c>
      <c r="O2324" s="128" t="s">
        <v>917</v>
      </c>
      <c r="P2324" s="129" t="s">
        <v>39</v>
      </c>
      <c r="Q2324" s="111">
        <f t="shared" si="1732"/>
        <v>134</v>
      </c>
      <c r="R2324" s="111">
        <f t="shared" si="1737"/>
        <v>134</v>
      </c>
      <c r="S2324" s="129">
        <v>1</v>
      </c>
      <c r="T2324" s="129">
        <v>1</v>
      </c>
      <c r="W2324" s="111"/>
      <c r="AC2324" s="130"/>
      <c r="AD2324" s="130">
        <v>34152</v>
      </c>
      <c r="AE2324" s="128" t="s">
        <v>32</v>
      </c>
      <c r="AF2324" s="128" t="s">
        <v>33</v>
      </c>
      <c r="AG2324" s="128" t="s">
        <v>872</v>
      </c>
      <c r="AH2324" s="108" t="s">
        <v>31</v>
      </c>
      <c r="AI2324" s="128" t="s">
        <v>141</v>
      </c>
      <c r="AJ2324" s="129" t="s">
        <v>89</v>
      </c>
      <c r="AK2324" s="129">
        <v>5</v>
      </c>
      <c r="AL2324" s="3" t="s">
        <v>362</v>
      </c>
      <c r="AM2324" s="117">
        <v>2</v>
      </c>
      <c r="AP2324" s="129" t="s">
        <v>101</v>
      </c>
      <c r="AR2324" s="128" t="s">
        <v>67</v>
      </c>
      <c r="AS2324" s="129" t="s">
        <v>64</v>
      </c>
      <c r="BC2324" s="129" t="s">
        <v>38</v>
      </c>
      <c r="BF2324" s="111">
        <f t="shared" si="1739"/>
        <v>134</v>
      </c>
      <c r="BG2324" s="111">
        <f t="shared" si="1740"/>
        <v>134</v>
      </c>
      <c r="BH2324" s="111">
        <f t="shared" si="1709"/>
        <v>134</v>
      </c>
      <c r="BI2324" s="111">
        <f t="shared" si="1710"/>
        <v>18.724043715846996</v>
      </c>
      <c r="BJ2324" s="129">
        <f t="shared" si="1727"/>
        <v>0</v>
      </c>
      <c r="BK2324" s="129">
        <f t="shared" si="1711"/>
        <v>0</v>
      </c>
      <c r="BL2324" s="129" t="str">
        <f t="shared" si="1704"/>
        <v>CONVICTION</v>
      </c>
      <c r="BM2324" s="129" t="str">
        <f t="shared" si="1728"/>
        <v>NONE</v>
      </c>
      <c r="BN2324" s="129" t="s">
        <v>566</v>
      </c>
      <c r="BP2324" s="137" t="str">
        <f t="shared" si="1712"/>
        <v>CONVICTION</v>
      </c>
      <c r="BQ2324" s="128" t="str">
        <f t="shared" si="1720"/>
        <v>Y</v>
      </c>
      <c r="BR2324" s="129" t="str">
        <f t="shared" si="1713"/>
        <v>DETAINED</v>
      </c>
      <c r="BS2324" s="129" t="str">
        <f t="shared" si="1714"/>
        <v>DISPOSED</v>
      </c>
      <c r="BT2324" s="129" t="str">
        <f t="shared" si="1715"/>
        <v>Y</v>
      </c>
      <c r="BU2324" s="109">
        <f t="shared" si="1721"/>
        <v>1</v>
      </c>
      <c r="BV2324" s="109">
        <f t="shared" si="1722"/>
        <v>1</v>
      </c>
      <c r="BW2324" s="109">
        <f t="shared" si="1738"/>
        <v>0</v>
      </c>
      <c r="BX2324" s="111">
        <f t="shared" si="1716"/>
        <v>0</v>
      </c>
      <c r="BY2324" s="129">
        <f t="shared" si="1723"/>
        <v>-134</v>
      </c>
      <c r="BZ2324" s="111">
        <f t="shared" si="1724"/>
        <v>0</v>
      </c>
      <c r="CA2324" s="138">
        <f t="shared" si="1725"/>
        <v>134</v>
      </c>
      <c r="CB2324" s="111" t="e">
        <f t="shared" si="1741"/>
        <v>#VALUE!</v>
      </c>
      <c r="CC2324" s="129">
        <f>G2324-I2324+1</f>
        <v>134</v>
      </c>
      <c r="CD2324" s="129">
        <f>G2324-J2324</f>
        <v>0</v>
      </c>
      <c r="CG2324" s="129" t="str">
        <f t="shared" si="1726"/>
        <v>Y</v>
      </c>
      <c r="CI2324" s="129" t="str">
        <f t="shared" si="1729"/>
        <v>121-365 DAYS</v>
      </c>
      <c r="CJ2324" s="137">
        <f t="shared" si="1730"/>
        <v>6</v>
      </c>
      <c r="CK2324" s="129" t="str">
        <f t="shared" si="1731"/>
        <v>Booked</v>
      </c>
    </row>
    <row r="2325" spans="1:89" ht="15" customHeight="1" x14ac:dyDescent="0.25">
      <c r="A2325" s="111">
        <v>1968</v>
      </c>
      <c r="B2325" s="128" t="str">
        <f t="shared" si="1717"/>
        <v>N</v>
      </c>
      <c r="C2325" s="128" t="str">
        <f t="shared" si="1718"/>
        <v>N</v>
      </c>
      <c r="D2325" s="117">
        <v>2520748</v>
      </c>
      <c r="E2325" s="135">
        <f t="shared" si="1719"/>
        <v>6</v>
      </c>
      <c r="F2325" s="124">
        <v>40982</v>
      </c>
      <c r="G2325" s="125">
        <v>41052</v>
      </c>
      <c r="H2325" s="117">
        <v>2520748</v>
      </c>
      <c r="I2325" s="124">
        <v>40983</v>
      </c>
      <c r="J2325" s="124">
        <v>41052</v>
      </c>
      <c r="K2325" s="126" t="s">
        <v>564</v>
      </c>
      <c r="L2325" s="127" t="s">
        <v>564</v>
      </c>
      <c r="N2325" s="129" t="s">
        <v>566</v>
      </c>
      <c r="O2325" s="128" t="s">
        <v>917</v>
      </c>
      <c r="P2325" s="129" t="s">
        <v>39</v>
      </c>
      <c r="Q2325" s="111">
        <f t="shared" si="1732"/>
        <v>70</v>
      </c>
      <c r="R2325" s="111">
        <f t="shared" si="1737"/>
        <v>71</v>
      </c>
      <c r="S2325" s="129">
        <v>2</v>
      </c>
      <c r="T2325" s="129">
        <v>1</v>
      </c>
      <c r="U2325" s="129">
        <v>1</v>
      </c>
      <c r="W2325" s="111"/>
      <c r="AB2325" s="131" t="s">
        <v>112</v>
      </c>
      <c r="AC2325" s="130"/>
      <c r="AD2325" s="130">
        <v>34036</v>
      </c>
      <c r="AE2325" s="128" t="s">
        <v>32</v>
      </c>
      <c r="AF2325" s="128" t="s">
        <v>40</v>
      </c>
      <c r="AG2325" s="128" t="s">
        <v>41</v>
      </c>
      <c r="AH2325" s="108" t="s">
        <v>31</v>
      </c>
      <c r="AI2325" s="128" t="s">
        <v>47</v>
      </c>
      <c r="AJ2325" s="129" t="s">
        <v>89</v>
      </c>
      <c r="AK2325" s="129">
        <v>4</v>
      </c>
      <c r="AL2325" s="3" t="s">
        <v>362</v>
      </c>
      <c r="AM2325" s="117">
        <v>2</v>
      </c>
      <c r="AP2325" s="129" t="s">
        <v>227</v>
      </c>
      <c r="AR2325" s="128" t="s">
        <v>67</v>
      </c>
      <c r="AS2325" s="129" t="s">
        <v>64</v>
      </c>
      <c r="AU2325" s="129"/>
      <c r="BC2325" s="129" t="s">
        <v>52</v>
      </c>
      <c r="BF2325" s="111">
        <f t="shared" si="1739"/>
        <v>70</v>
      </c>
      <c r="BG2325" s="111">
        <f t="shared" si="1740"/>
        <v>70</v>
      </c>
      <c r="BH2325" s="111">
        <f t="shared" si="1709"/>
        <v>71</v>
      </c>
      <c r="BI2325" s="111">
        <f t="shared" si="1710"/>
        <v>18.978142076502731</v>
      </c>
      <c r="BJ2325" s="129">
        <f t="shared" si="1727"/>
        <v>0</v>
      </c>
      <c r="BK2325" s="129">
        <f t="shared" si="1711"/>
        <v>0</v>
      </c>
      <c r="BL2325" s="129" t="str">
        <f t="shared" si="1704"/>
        <v>CONVICTION</v>
      </c>
      <c r="BM2325" s="129" t="str">
        <f t="shared" si="1728"/>
        <v>NONE</v>
      </c>
      <c r="BN2325" s="129" t="s">
        <v>566</v>
      </c>
      <c r="BP2325" s="137" t="str">
        <f t="shared" si="1712"/>
        <v>CONVICTION</v>
      </c>
      <c r="BQ2325" s="128" t="str">
        <f t="shared" si="1720"/>
        <v>Y</v>
      </c>
      <c r="BR2325" s="129" t="str">
        <f t="shared" si="1713"/>
        <v>DETAINED</v>
      </c>
      <c r="BS2325" s="129" t="str">
        <f t="shared" si="1714"/>
        <v>DISPOSED</v>
      </c>
      <c r="BT2325" s="129" t="str">
        <f t="shared" si="1715"/>
        <v>Y</v>
      </c>
      <c r="BU2325" s="109">
        <f t="shared" si="1721"/>
        <v>0.9859154929577465</v>
      </c>
      <c r="BV2325" s="109">
        <f t="shared" si="1722"/>
        <v>1</v>
      </c>
      <c r="BW2325" s="109">
        <f t="shared" si="1738"/>
        <v>1.4084507042253502E-2</v>
      </c>
      <c r="BX2325" s="111">
        <f t="shared" si="1716"/>
        <v>0</v>
      </c>
      <c r="BY2325" s="129">
        <f t="shared" si="1723"/>
        <v>-70</v>
      </c>
      <c r="BZ2325" s="111">
        <f t="shared" si="1724"/>
        <v>0</v>
      </c>
      <c r="CA2325" s="138">
        <f t="shared" si="1725"/>
        <v>70</v>
      </c>
      <c r="CB2325" s="111" t="e">
        <f t="shared" si="1741"/>
        <v>#VALUE!</v>
      </c>
      <c r="CC2325" s="129">
        <f>G2325-I2325+1</f>
        <v>70</v>
      </c>
      <c r="CD2325" s="129">
        <f>G2325-J2325</f>
        <v>0</v>
      </c>
      <c r="CG2325" s="129" t="str">
        <f t="shared" si="1726"/>
        <v>Y</v>
      </c>
      <c r="CI2325" s="129" t="str">
        <f t="shared" si="1729"/>
        <v>61-90 DAYS</v>
      </c>
      <c r="CJ2325" s="137">
        <f t="shared" si="1730"/>
        <v>4</v>
      </c>
      <c r="CK2325" s="129" t="str">
        <f t="shared" si="1731"/>
        <v>Booked</v>
      </c>
    </row>
    <row r="2326" spans="1:89" ht="15.75" customHeight="1" x14ac:dyDescent="0.25">
      <c r="A2326" s="111">
        <v>332</v>
      </c>
      <c r="B2326" s="128" t="str">
        <f t="shared" si="1717"/>
        <v>N</v>
      </c>
      <c r="C2326" s="128" t="str">
        <f t="shared" si="1718"/>
        <v>N</v>
      </c>
      <c r="D2326" s="117">
        <v>2520862</v>
      </c>
      <c r="E2326" s="135">
        <f t="shared" si="1719"/>
        <v>6</v>
      </c>
      <c r="F2326" s="124">
        <v>40921</v>
      </c>
      <c r="G2326" s="125">
        <v>41087</v>
      </c>
      <c r="H2326" s="117">
        <v>2520862</v>
      </c>
      <c r="I2326" s="124">
        <v>41044</v>
      </c>
      <c r="J2326" s="124">
        <v>41087</v>
      </c>
      <c r="K2326" s="126" t="s">
        <v>564</v>
      </c>
      <c r="L2326" s="127" t="s">
        <v>564</v>
      </c>
      <c r="N2326" s="129" t="s">
        <v>566</v>
      </c>
      <c r="O2326" s="128" t="s">
        <v>917</v>
      </c>
      <c r="P2326" s="129" t="s">
        <v>39</v>
      </c>
      <c r="Q2326" s="111">
        <f t="shared" si="1732"/>
        <v>44</v>
      </c>
      <c r="R2326" s="111">
        <f t="shared" si="1737"/>
        <v>167</v>
      </c>
      <c r="S2326" s="129">
        <v>0</v>
      </c>
      <c r="T2326" s="129">
        <v>0</v>
      </c>
      <c r="U2326" s="129">
        <v>1</v>
      </c>
      <c r="W2326" s="111"/>
      <c r="AC2326" s="130"/>
      <c r="AD2326" s="130">
        <v>30527</v>
      </c>
      <c r="AE2326" s="128" t="s">
        <v>32</v>
      </c>
      <c r="AF2326" s="128" t="s">
        <v>33</v>
      </c>
      <c r="AG2326" s="128" t="s">
        <v>872</v>
      </c>
      <c r="AH2326" s="108" t="s">
        <v>31</v>
      </c>
      <c r="AI2326" s="128" t="s">
        <v>83</v>
      </c>
      <c r="AJ2326" s="129" t="s">
        <v>89</v>
      </c>
      <c r="AK2326" s="129">
        <v>3</v>
      </c>
      <c r="AL2326" s="3" t="s">
        <v>362</v>
      </c>
      <c r="AM2326" s="117">
        <v>4</v>
      </c>
      <c r="AP2326" s="129" t="s">
        <v>56</v>
      </c>
      <c r="AR2326" s="128" t="s">
        <v>50</v>
      </c>
      <c r="AS2326" s="129" t="s">
        <v>57</v>
      </c>
      <c r="BC2326" s="129" t="s">
        <v>38</v>
      </c>
      <c r="BF2326" s="111">
        <f t="shared" si="1739"/>
        <v>44</v>
      </c>
      <c r="BG2326" s="111">
        <f t="shared" si="1740"/>
        <v>44</v>
      </c>
      <c r="BH2326" s="111">
        <f t="shared" si="1709"/>
        <v>167</v>
      </c>
      <c r="BI2326" s="111">
        <f t="shared" si="1710"/>
        <v>28.398907103825138</v>
      </c>
      <c r="BJ2326" s="129">
        <f t="shared" si="1727"/>
        <v>0</v>
      </c>
      <c r="BK2326" s="129">
        <f t="shared" si="1711"/>
        <v>0</v>
      </c>
      <c r="BL2326" s="129" t="str">
        <f t="shared" si="1704"/>
        <v>CONVICTION</v>
      </c>
      <c r="BM2326" s="129" t="str">
        <f t="shared" si="1728"/>
        <v>NONE</v>
      </c>
      <c r="BN2326" s="129" t="s">
        <v>566</v>
      </c>
      <c r="BP2326" s="137" t="str">
        <f t="shared" si="1712"/>
        <v>CONVICTION</v>
      </c>
      <c r="BQ2326" s="128" t="str">
        <f t="shared" si="1720"/>
        <v>Y</v>
      </c>
      <c r="BR2326" s="129" t="str">
        <f t="shared" si="1713"/>
        <v>DETAINED</v>
      </c>
      <c r="BS2326" s="129" t="str">
        <f t="shared" si="1714"/>
        <v>DISPOSED</v>
      </c>
      <c r="BT2326" s="129" t="str">
        <f t="shared" si="1715"/>
        <v>N</v>
      </c>
      <c r="BU2326" s="109">
        <f t="shared" si="1721"/>
        <v>0.26347305389221559</v>
      </c>
      <c r="BV2326" s="109">
        <f t="shared" si="1722"/>
        <v>1</v>
      </c>
      <c r="BW2326" s="109">
        <f t="shared" si="1738"/>
        <v>0.73652694610778435</v>
      </c>
      <c r="BX2326" s="111">
        <f t="shared" si="1716"/>
        <v>0</v>
      </c>
      <c r="BY2326" s="129">
        <f t="shared" si="1723"/>
        <v>-44</v>
      </c>
      <c r="BZ2326" s="111">
        <f t="shared" si="1724"/>
        <v>0</v>
      </c>
      <c r="CA2326" s="138">
        <f t="shared" si="1725"/>
        <v>44</v>
      </c>
      <c r="CB2326" s="111" t="e">
        <f t="shared" si="1741"/>
        <v>#VALUE!</v>
      </c>
      <c r="CC2326" s="129">
        <f>G2326-I2326+1</f>
        <v>44</v>
      </c>
      <c r="CD2326" s="129">
        <f>G2326-J2326</f>
        <v>0</v>
      </c>
      <c r="CG2326" s="129" t="str">
        <f t="shared" si="1726"/>
        <v>Y</v>
      </c>
      <c r="CI2326" s="129" t="str">
        <f t="shared" si="1729"/>
        <v>31-60 DAYS</v>
      </c>
      <c r="CJ2326" s="137">
        <f t="shared" si="1730"/>
        <v>3</v>
      </c>
      <c r="CK2326" s="129" t="str">
        <f t="shared" si="1731"/>
        <v>Booked</v>
      </c>
    </row>
    <row r="2327" spans="1:89" ht="15" customHeight="1" x14ac:dyDescent="0.25">
      <c r="A2327" s="111">
        <v>2980</v>
      </c>
      <c r="B2327" s="128" t="str">
        <f t="shared" si="1717"/>
        <v>N</v>
      </c>
      <c r="C2327" s="128" t="str">
        <f t="shared" si="1718"/>
        <v>N</v>
      </c>
      <c r="D2327" s="117">
        <v>2520898</v>
      </c>
      <c r="E2327" s="135">
        <f t="shared" si="1719"/>
        <v>2</v>
      </c>
      <c r="F2327" s="124">
        <v>41018</v>
      </c>
      <c r="G2327" s="125">
        <v>41143</v>
      </c>
      <c r="H2327" s="117">
        <v>2520898</v>
      </c>
      <c r="I2327" s="124">
        <v>41019</v>
      </c>
      <c r="J2327" s="124">
        <v>41022</v>
      </c>
      <c r="K2327" s="126">
        <v>2000</v>
      </c>
      <c r="L2327" s="127" t="s">
        <v>568</v>
      </c>
      <c r="M2327" s="125">
        <v>41022</v>
      </c>
      <c r="N2327" s="129" t="str">
        <f t="shared" ref="N2327:N2346" si="1742">IF(M2327&gt;1/1/1,"Y","N")</f>
        <v>Y</v>
      </c>
      <c r="O2327" s="128" t="s">
        <v>76</v>
      </c>
      <c r="P2327" s="129" t="s">
        <v>589</v>
      </c>
      <c r="Q2327" s="111">
        <f t="shared" si="1732"/>
        <v>4</v>
      </c>
      <c r="R2327" s="111">
        <f t="shared" si="1737"/>
        <v>126</v>
      </c>
      <c r="S2327" s="129">
        <v>0</v>
      </c>
      <c r="T2327" s="129">
        <v>1</v>
      </c>
      <c r="W2327" s="111"/>
      <c r="AC2327" s="130"/>
      <c r="AD2327" s="130">
        <v>30019</v>
      </c>
      <c r="AE2327" s="128" t="s">
        <v>46</v>
      </c>
      <c r="AF2327" s="128" t="s">
        <v>69</v>
      </c>
      <c r="AG2327" s="128" t="s">
        <v>874</v>
      </c>
      <c r="AH2327" s="108" t="s">
        <v>31</v>
      </c>
      <c r="AI2327" s="128" t="s">
        <v>53</v>
      </c>
      <c r="AJ2327" s="129" t="s">
        <v>48</v>
      </c>
      <c r="AK2327" s="129">
        <v>8</v>
      </c>
      <c r="AL2327" s="3" t="s">
        <v>48</v>
      </c>
      <c r="AP2327" s="129" t="s">
        <v>175</v>
      </c>
      <c r="AR2327" s="128" t="s">
        <v>44</v>
      </c>
      <c r="AS2327" s="129" t="s">
        <v>45</v>
      </c>
      <c r="BC2327" s="129" t="s">
        <v>52</v>
      </c>
      <c r="BF2327" s="111">
        <f t="shared" si="1739"/>
        <v>4</v>
      </c>
      <c r="BG2327" s="111">
        <f t="shared" si="1740"/>
        <v>125</v>
      </c>
      <c r="BH2327" s="111">
        <f t="shared" si="1709"/>
        <v>126</v>
      </c>
      <c r="BI2327" s="111">
        <f t="shared" si="1710"/>
        <v>30.051912568306012</v>
      </c>
      <c r="BJ2327" s="129">
        <f>(G2327-J2327)+(M2327-G2327)</f>
        <v>0</v>
      </c>
      <c r="BK2327" s="129">
        <f t="shared" si="1711"/>
        <v>-121</v>
      </c>
      <c r="BL2327" s="129" t="str">
        <f t="shared" si="1704"/>
        <v>DEFERRED</v>
      </c>
      <c r="BM2327" s="129" t="s">
        <v>76</v>
      </c>
      <c r="BN2327" s="129" t="s">
        <v>88</v>
      </c>
      <c r="BP2327" s="137" t="str">
        <f t="shared" si="1712"/>
        <v>DEFERRED</v>
      </c>
      <c r="BQ2327" s="128" t="str">
        <f t="shared" si="1720"/>
        <v>Y</v>
      </c>
      <c r="BR2327" s="129" t="str">
        <f t="shared" si="1713"/>
        <v>ON BOND</v>
      </c>
      <c r="BS2327" s="129" t="str">
        <f t="shared" si="1714"/>
        <v>DISPOSED</v>
      </c>
      <c r="BT2327" s="129" t="str">
        <f t="shared" si="1715"/>
        <v>N</v>
      </c>
      <c r="BU2327" s="109">
        <f t="shared" si="1721"/>
        <v>3.1746031746031744E-2</v>
      </c>
      <c r="BV2327" s="109">
        <f t="shared" si="1722"/>
        <v>3.2000000000000001E-2</v>
      </c>
      <c r="BW2327" s="109">
        <f t="shared" si="1738"/>
        <v>2.539682539682564E-4</v>
      </c>
      <c r="BX2327" s="111">
        <f t="shared" si="1716"/>
        <v>0</v>
      </c>
      <c r="BY2327" s="129">
        <f t="shared" si="1723"/>
        <v>-4</v>
      </c>
      <c r="BZ2327" s="111">
        <f t="shared" si="1724"/>
        <v>0</v>
      </c>
      <c r="CA2327" s="138">
        <f t="shared" si="1725"/>
        <v>4</v>
      </c>
      <c r="CB2327" s="111" t="e">
        <f t="shared" si="1741"/>
        <v>#VALUE!</v>
      </c>
      <c r="CC2327" s="129">
        <f>M2327-I2327+1</f>
        <v>4</v>
      </c>
      <c r="CD2327" s="111">
        <f>CC2327-BF2327</f>
        <v>0</v>
      </c>
      <c r="CG2327" s="129" t="str">
        <f t="shared" si="1726"/>
        <v>Y</v>
      </c>
      <c r="CI2327" s="129" t="str">
        <f t="shared" si="1729"/>
        <v>0-10 DAYS</v>
      </c>
      <c r="CJ2327" s="137">
        <f t="shared" si="1730"/>
        <v>1</v>
      </c>
      <c r="CK2327" s="129" t="str">
        <f t="shared" si="1731"/>
        <v>Booked</v>
      </c>
    </row>
    <row r="2328" spans="1:89" ht="15.75" customHeight="1" x14ac:dyDescent="0.25">
      <c r="A2328" s="111">
        <v>719</v>
      </c>
      <c r="B2328" s="128" t="str">
        <f t="shared" si="1717"/>
        <v>N</v>
      </c>
      <c r="C2328" s="128" t="str">
        <f t="shared" si="1718"/>
        <v>N</v>
      </c>
      <c r="D2328" s="117">
        <v>2521481</v>
      </c>
      <c r="E2328" s="135">
        <f t="shared" si="1719"/>
        <v>2</v>
      </c>
      <c r="F2328" s="124">
        <v>40937</v>
      </c>
      <c r="G2328" s="125">
        <v>41016</v>
      </c>
      <c r="H2328" s="117">
        <v>2521481</v>
      </c>
      <c r="I2328" s="124">
        <v>40937</v>
      </c>
      <c r="J2328" s="124">
        <v>40938</v>
      </c>
      <c r="K2328" s="126">
        <v>2000</v>
      </c>
      <c r="L2328" s="127" t="s">
        <v>568</v>
      </c>
      <c r="M2328" s="125">
        <v>40938</v>
      </c>
      <c r="N2328" s="129" t="str">
        <f t="shared" si="1742"/>
        <v>Y</v>
      </c>
      <c r="O2328" s="128" t="s">
        <v>76</v>
      </c>
      <c r="P2328" s="129" t="s">
        <v>589</v>
      </c>
      <c r="Q2328" s="111">
        <f t="shared" si="1732"/>
        <v>2</v>
      </c>
      <c r="R2328" s="111">
        <f t="shared" si="1737"/>
        <v>80</v>
      </c>
      <c r="S2328" s="129">
        <v>0</v>
      </c>
      <c r="T2328" s="129">
        <v>2</v>
      </c>
      <c r="W2328" s="111"/>
      <c r="AC2328" s="130"/>
      <c r="AD2328" s="130">
        <v>31624</v>
      </c>
      <c r="AE2328" s="128" t="s">
        <v>46</v>
      </c>
      <c r="AF2328" s="128" t="s">
        <v>33</v>
      </c>
      <c r="AG2328" s="128" t="s">
        <v>872</v>
      </c>
      <c r="AH2328" s="108" t="s">
        <v>31</v>
      </c>
      <c r="AI2328" s="128" t="s">
        <v>118</v>
      </c>
      <c r="AJ2328" s="129" t="s">
        <v>48</v>
      </c>
      <c r="AK2328" s="129">
        <v>4</v>
      </c>
      <c r="AL2328" s="3" t="s">
        <v>48</v>
      </c>
      <c r="AP2328" s="129" t="s">
        <v>60</v>
      </c>
      <c r="AR2328" s="128" t="s">
        <v>44</v>
      </c>
      <c r="AS2328" s="129" t="s">
        <v>61</v>
      </c>
      <c r="BC2328" s="129" t="s">
        <v>38</v>
      </c>
      <c r="BF2328" s="111">
        <f t="shared" si="1739"/>
        <v>2</v>
      </c>
      <c r="BG2328" s="111">
        <f t="shared" si="1740"/>
        <v>80</v>
      </c>
      <c r="BH2328" s="111">
        <f t="shared" si="1709"/>
        <v>80</v>
      </c>
      <c r="BI2328" s="111">
        <f t="shared" si="1710"/>
        <v>25.44535519125683</v>
      </c>
      <c r="BJ2328" s="129">
        <f>(G2328-J2328)+(M2328-G2328)</f>
        <v>0</v>
      </c>
      <c r="BK2328" s="129">
        <f t="shared" si="1711"/>
        <v>-78</v>
      </c>
      <c r="BL2328" s="129" t="str">
        <f t="shared" si="1704"/>
        <v>DEFERRED</v>
      </c>
      <c r="BM2328" s="129" t="s">
        <v>76</v>
      </c>
      <c r="BN2328" s="129" t="s">
        <v>88</v>
      </c>
      <c r="BP2328" s="137" t="str">
        <f t="shared" si="1712"/>
        <v>DEFERRED</v>
      </c>
      <c r="BQ2328" s="128" t="str">
        <f t="shared" si="1720"/>
        <v>Y</v>
      </c>
      <c r="BR2328" s="129" t="str">
        <f t="shared" si="1713"/>
        <v>ON BOND</v>
      </c>
      <c r="BS2328" s="129" t="str">
        <f t="shared" si="1714"/>
        <v>DISPOSED</v>
      </c>
      <c r="BT2328" s="129" t="str">
        <f t="shared" si="1715"/>
        <v>N</v>
      </c>
      <c r="BU2328" s="109">
        <f t="shared" si="1721"/>
        <v>2.5000000000000001E-2</v>
      </c>
      <c r="BV2328" s="109">
        <f t="shared" si="1722"/>
        <v>2.5000000000000001E-2</v>
      </c>
      <c r="BW2328" s="109">
        <f t="shared" si="1738"/>
        <v>0</v>
      </c>
      <c r="BX2328" s="111">
        <f t="shared" si="1716"/>
        <v>0</v>
      </c>
      <c r="BY2328" s="129">
        <f t="shared" si="1723"/>
        <v>-2</v>
      </c>
      <c r="BZ2328" s="111">
        <f t="shared" si="1724"/>
        <v>0</v>
      </c>
      <c r="CA2328" s="138">
        <f t="shared" si="1725"/>
        <v>2</v>
      </c>
      <c r="CB2328" s="111" t="e">
        <f t="shared" si="1741"/>
        <v>#VALUE!</v>
      </c>
      <c r="CC2328" s="129">
        <f>M2328-I2328+1</f>
        <v>2</v>
      </c>
      <c r="CD2328" s="111">
        <f>CC2328-BF2328</f>
        <v>0</v>
      </c>
      <c r="CG2328" s="129" t="str">
        <f t="shared" si="1726"/>
        <v>Y</v>
      </c>
      <c r="CI2328" s="129" t="str">
        <f t="shared" si="1729"/>
        <v>0-10 DAYS</v>
      </c>
      <c r="CJ2328" s="137">
        <f t="shared" si="1730"/>
        <v>1</v>
      </c>
      <c r="CK2328" s="129" t="str">
        <f t="shared" si="1731"/>
        <v>Booked</v>
      </c>
    </row>
    <row r="2329" spans="1:89" ht="15" customHeight="1" x14ac:dyDescent="0.25">
      <c r="A2329" s="111">
        <v>1975</v>
      </c>
      <c r="B2329" s="128" t="str">
        <f t="shared" si="1717"/>
        <v>Y</v>
      </c>
      <c r="C2329" s="128" t="str">
        <f t="shared" si="1718"/>
        <v>N</v>
      </c>
      <c r="D2329" s="117">
        <v>2522107</v>
      </c>
      <c r="E2329" s="135">
        <f t="shared" si="1719"/>
        <v>2</v>
      </c>
      <c r="F2329" s="124">
        <v>40982</v>
      </c>
      <c r="G2329" s="125">
        <v>41107</v>
      </c>
      <c r="H2329" s="117">
        <v>2522107</v>
      </c>
      <c r="I2329" s="124">
        <v>40983</v>
      </c>
      <c r="J2329" s="124">
        <v>40995</v>
      </c>
      <c r="K2329" s="126">
        <v>10000</v>
      </c>
      <c r="L2329" s="127" t="s">
        <v>570</v>
      </c>
      <c r="M2329" s="125">
        <v>40995</v>
      </c>
      <c r="N2329" s="129" t="str">
        <f t="shared" si="1742"/>
        <v>Y</v>
      </c>
      <c r="O2329" s="128" t="s">
        <v>54</v>
      </c>
      <c r="P2329" s="129" t="s">
        <v>589</v>
      </c>
      <c r="Q2329" s="111">
        <f t="shared" si="1732"/>
        <v>13</v>
      </c>
      <c r="R2329" s="111">
        <f t="shared" si="1737"/>
        <v>126</v>
      </c>
      <c r="S2329" s="129">
        <v>0</v>
      </c>
      <c r="T2329" s="129">
        <v>3</v>
      </c>
      <c r="W2329" s="111"/>
      <c r="AB2329" s="131" t="s">
        <v>112</v>
      </c>
      <c r="AC2329" s="130"/>
      <c r="AD2329" s="130">
        <v>33429</v>
      </c>
      <c r="AE2329" s="128" t="s">
        <v>32</v>
      </c>
      <c r="AF2329" s="128" t="s">
        <v>40</v>
      </c>
      <c r="AG2329" s="128" t="s">
        <v>41</v>
      </c>
      <c r="AH2329" s="108" t="s">
        <v>31</v>
      </c>
      <c r="AI2329" s="128" t="s">
        <v>87</v>
      </c>
      <c r="AJ2329" s="129" t="s">
        <v>48</v>
      </c>
      <c r="AK2329" s="129">
        <v>7</v>
      </c>
      <c r="AL2329" s="3" t="s">
        <v>48</v>
      </c>
      <c r="AP2329" s="129" t="s">
        <v>131</v>
      </c>
      <c r="AR2329" s="128" t="s">
        <v>50</v>
      </c>
      <c r="AS2329" s="129" t="s">
        <v>106</v>
      </c>
      <c r="AT2329" s="152"/>
      <c r="BC2329" s="129" t="s">
        <v>99</v>
      </c>
      <c r="BD2329" s="129" t="s">
        <v>1234</v>
      </c>
      <c r="BF2329" s="111">
        <f t="shared" si="1739"/>
        <v>13</v>
      </c>
      <c r="BG2329" s="111">
        <f t="shared" si="1740"/>
        <v>125</v>
      </c>
      <c r="BH2329" s="111">
        <f t="shared" si="1709"/>
        <v>126</v>
      </c>
      <c r="BI2329" s="111">
        <f t="shared" si="1710"/>
        <v>20.636612021857925</v>
      </c>
      <c r="BJ2329" s="129">
        <f>(G2329-J2329)+(M2329-G2329)</f>
        <v>0</v>
      </c>
      <c r="BK2329" s="129">
        <f t="shared" si="1711"/>
        <v>-112</v>
      </c>
      <c r="BL2329" s="129" t="str">
        <f t="shared" si="1704"/>
        <v>DEFERRED</v>
      </c>
      <c r="BM2329" s="129" t="s">
        <v>160</v>
      </c>
      <c r="BN2329" s="129" t="s">
        <v>88</v>
      </c>
      <c r="BP2329" s="137" t="str">
        <f t="shared" si="1712"/>
        <v>DEFERRED</v>
      </c>
      <c r="BQ2329" s="128" t="str">
        <f t="shared" si="1720"/>
        <v>Y</v>
      </c>
      <c r="BR2329" s="129" t="str">
        <f t="shared" si="1713"/>
        <v>ON BOND</v>
      </c>
      <c r="BS2329" s="129" t="str">
        <f t="shared" si="1714"/>
        <v>DISPOSED</v>
      </c>
      <c r="BT2329" s="129" t="str">
        <f t="shared" si="1715"/>
        <v>N</v>
      </c>
      <c r="BU2329" s="109">
        <f t="shared" si="1721"/>
        <v>0.10317460317460317</v>
      </c>
      <c r="BV2329" s="109">
        <f t="shared" si="1722"/>
        <v>0.104</v>
      </c>
      <c r="BW2329" s="109">
        <f t="shared" si="1738"/>
        <v>8.2539682539682635E-4</v>
      </c>
      <c r="BX2329" s="111">
        <f t="shared" si="1716"/>
        <v>0</v>
      </c>
      <c r="BY2329" s="129">
        <f t="shared" si="1723"/>
        <v>-13</v>
      </c>
      <c r="BZ2329" s="111">
        <f t="shared" si="1724"/>
        <v>0</v>
      </c>
      <c r="CA2329" s="138">
        <f t="shared" si="1725"/>
        <v>13</v>
      </c>
      <c r="CB2329" s="111" t="e">
        <f t="shared" si="1741"/>
        <v>#VALUE!</v>
      </c>
      <c r="CC2329" s="129">
        <f>M2329-I2329+1</f>
        <v>13</v>
      </c>
      <c r="CD2329" s="111">
        <f>CC2329-BF2329</f>
        <v>0</v>
      </c>
      <c r="CG2329" s="129" t="str">
        <f t="shared" si="1726"/>
        <v>Y</v>
      </c>
      <c r="CI2329" s="129" t="str">
        <f t="shared" si="1729"/>
        <v>11-30 DAYS</v>
      </c>
      <c r="CJ2329" s="137">
        <f t="shared" si="1730"/>
        <v>2</v>
      </c>
      <c r="CK2329" s="129" t="str">
        <f t="shared" si="1731"/>
        <v>Booked</v>
      </c>
    </row>
    <row r="2330" spans="1:89" ht="15.75" customHeight="1" x14ac:dyDescent="0.25">
      <c r="A2330" s="111">
        <v>1293</v>
      </c>
      <c r="B2330" s="128" t="str">
        <f t="shared" si="1717"/>
        <v>N</v>
      </c>
      <c r="C2330" s="128" t="str">
        <f t="shared" si="1718"/>
        <v>N</v>
      </c>
      <c r="D2330" s="117">
        <v>2522597</v>
      </c>
      <c r="E2330" s="135">
        <f t="shared" si="1719"/>
        <v>2</v>
      </c>
      <c r="F2330" s="124">
        <v>40956</v>
      </c>
      <c r="G2330" s="125">
        <v>40959</v>
      </c>
      <c r="H2330" s="117">
        <v>2522597</v>
      </c>
      <c r="I2330" s="124">
        <v>40956</v>
      </c>
      <c r="J2330" s="124">
        <v>40959</v>
      </c>
      <c r="K2330" s="126">
        <v>10000</v>
      </c>
      <c r="L2330" s="127" t="s">
        <v>570</v>
      </c>
      <c r="N2330" s="129" t="str">
        <f t="shared" si="1742"/>
        <v>N</v>
      </c>
      <c r="O2330" s="128" t="s">
        <v>917</v>
      </c>
      <c r="P2330" s="129" t="s">
        <v>589</v>
      </c>
      <c r="Q2330" s="111">
        <f t="shared" si="1732"/>
        <v>4</v>
      </c>
      <c r="R2330" s="111">
        <f t="shared" si="1737"/>
        <v>4</v>
      </c>
      <c r="S2330" s="129">
        <v>1</v>
      </c>
      <c r="T2330" s="129">
        <v>0</v>
      </c>
      <c r="W2330" s="111"/>
      <c r="AC2330" s="130"/>
      <c r="AD2330" s="130">
        <v>34087</v>
      </c>
      <c r="AE2330" s="128" t="s">
        <v>32</v>
      </c>
      <c r="AF2330" s="128" t="s">
        <v>33</v>
      </c>
      <c r="AG2330" s="128" t="s">
        <v>872</v>
      </c>
      <c r="AH2330" s="108" t="s">
        <v>58</v>
      </c>
      <c r="AI2330" s="128" t="s">
        <v>118</v>
      </c>
      <c r="AJ2330" s="129" t="s">
        <v>48</v>
      </c>
      <c r="AK2330" s="129">
        <v>1</v>
      </c>
      <c r="AL2330" s="3" t="s">
        <v>48</v>
      </c>
      <c r="AP2330" s="129" t="s">
        <v>117</v>
      </c>
      <c r="AR2330" s="128" t="s">
        <v>67</v>
      </c>
      <c r="AS2330" s="129" t="s">
        <v>45</v>
      </c>
      <c r="AT2330" s="129" t="s">
        <v>624</v>
      </c>
      <c r="BC2330" s="129" t="s">
        <v>38</v>
      </c>
      <c r="BF2330" s="111">
        <f t="shared" si="1739"/>
        <v>4</v>
      </c>
      <c r="BG2330" s="111">
        <f t="shared" si="1740"/>
        <v>4</v>
      </c>
      <c r="BH2330" s="111">
        <f t="shared" si="1709"/>
        <v>4</v>
      </c>
      <c r="BI2330" s="111">
        <f t="shared" si="1710"/>
        <v>18.76775956284153</v>
      </c>
      <c r="BJ2330" s="129">
        <f t="shared" si="1727"/>
        <v>0</v>
      </c>
      <c r="BK2330" s="129">
        <f t="shared" si="1711"/>
        <v>0</v>
      </c>
      <c r="BL2330" s="129" t="str">
        <f t="shared" si="1704"/>
        <v>DEFERRED</v>
      </c>
      <c r="BM2330" s="129" t="str">
        <f t="shared" si="1728"/>
        <v>NONE</v>
      </c>
      <c r="BN2330" s="129" t="s">
        <v>566</v>
      </c>
      <c r="BP2330" s="137" t="str">
        <f t="shared" si="1712"/>
        <v>DEFERRED</v>
      </c>
      <c r="BQ2330" s="128" t="str">
        <f t="shared" si="1720"/>
        <v>Y</v>
      </c>
      <c r="BR2330" s="129" t="str">
        <f t="shared" si="1713"/>
        <v>DETAINED</v>
      </c>
      <c r="BS2330" s="129" t="str">
        <f t="shared" si="1714"/>
        <v>DISPOSED</v>
      </c>
      <c r="BT2330" s="129" t="str">
        <f t="shared" si="1715"/>
        <v>Y</v>
      </c>
      <c r="BU2330" s="109">
        <f t="shared" si="1721"/>
        <v>1</v>
      </c>
      <c r="BV2330" s="109">
        <f t="shared" si="1722"/>
        <v>1</v>
      </c>
      <c r="BW2330" s="109">
        <f t="shared" si="1738"/>
        <v>0</v>
      </c>
      <c r="BX2330" s="111">
        <f t="shared" si="1716"/>
        <v>0</v>
      </c>
      <c r="BY2330" s="129">
        <f t="shared" si="1723"/>
        <v>-4</v>
      </c>
      <c r="BZ2330" s="111">
        <f t="shared" si="1724"/>
        <v>0</v>
      </c>
      <c r="CA2330" s="138">
        <f t="shared" si="1725"/>
        <v>4</v>
      </c>
      <c r="CB2330" s="111" t="e">
        <f t="shared" si="1741"/>
        <v>#VALUE!</v>
      </c>
      <c r="CC2330" s="129">
        <f>G2330-I2330+1</f>
        <v>4</v>
      </c>
      <c r="CD2330" s="129">
        <f>G2330-J2330</f>
        <v>0</v>
      </c>
      <c r="CG2330" s="129" t="str">
        <f t="shared" si="1726"/>
        <v>Y</v>
      </c>
      <c r="CI2330" s="129" t="str">
        <f t="shared" si="1729"/>
        <v>0-10 DAYS</v>
      </c>
      <c r="CJ2330" s="137">
        <f t="shared" si="1730"/>
        <v>1</v>
      </c>
      <c r="CK2330" s="129" t="str">
        <f t="shared" si="1731"/>
        <v>Booked</v>
      </c>
    </row>
    <row r="2331" spans="1:89" ht="15.75" customHeight="1" x14ac:dyDescent="0.25">
      <c r="A2331" s="111">
        <v>1185</v>
      </c>
      <c r="B2331" s="128" t="str">
        <f t="shared" si="1717"/>
        <v>N</v>
      </c>
      <c r="C2331" s="128" t="str">
        <f t="shared" si="1718"/>
        <v>N</v>
      </c>
      <c r="D2331" s="117">
        <v>2523176</v>
      </c>
      <c r="E2331" s="135">
        <f t="shared" si="1719"/>
        <v>1</v>
      </c>
      <c r="F2331" s="124">
        <v>40952</v>
      </c>
      <c r="G2331" s="125">
        <v>41046</v>
      </c>
      <c r="H2331" s="117">
        <v>2523176</v>
      </c>
      <c r="I2331" s="124">
        <v>40952</v>
      </c>
      <c r="J2331" s="124">
        <v>40956</v>
      </c>
      <c r="K2331" s="126">
        <v>5000</v>
      </c>
      <c r="L2331" s="127" t="s">
        <v>569</v>
      </c>
      <c r="M2331" s="125">
        <v>40956</v>
      </c>
      <c r="N2331" s="129" t="str">
        <f t="shared" si="1742"/>
        <v>Y</v>
      </c>
      <c r="O2331" s="128" t="s">
        <v>76</v>
      </c>
      <c r="P2331" s="129" t="s">
        <v>55</v>
      </c>
      <c r="Q2331" s="111">
        <f t="shared" si="1732"/>
        <v>5</v>
      </c>
      <c r="R2331" s="111">
        <f t="shared" si="1737"/>
        <v>95</v>
      </c>
      <c r="S2331" s="129">
        <v>0</v>
      </c>
      <c r="T2331" s="129">
        <v>1</v>
      </c>
      <c r="W2331" s="111"/>
      <c r="AC2331" s="130"/>
      <c r="AD2331" s="130">
        <v>21464</v>
      </c>
      <c r="AE2331" s="128" t="s">
        <v>32</v>
      </c>
      <c r="AF2331" s="128" t="s">
        <v>69</v>
      </c>
      <c r="AG2331" s="128" t="s">
        <v>874</v>
      </c>
      <c r="AH2331" s="108" t="s">
        <v>31</v>
      </c>
      <c r="AI2331" s="128" t="s">
        <v>118</v>
      </c>
      <c r="AJ2331" s="129" t="s">
        <v>55</v>
      </c>
      <c r="AK2331" s="129">
        <v>4</v>
      </c>
      <c r="AL2331" s="3" t="s">
        <v>55</v>
      </c>
      <c r="AP2331" s="129" t="s">
        <v>93</v>
      </c>
      <c r="AR2331" s="128" t="s">
        <v>67</v>
      </c>
      <c r="AS2331" s="129" t="s">
        <v>45</v>
      </c>
      <c r="BC2331" s="129" t="s">
        <v>52</v>
      </c>
      <c r="BF2331" s="111">
        <f t="shared" si="1739"/>
        <v>5</v>
      </c>
      <c r="BG2331" s="111">
        <f t="shared" si="1740"/>
        <v>95</v>
      </c>
      <c r="BH2331" s="111">
        <f t="shared" si="1709"/>
        <v>95</v>
      </c>
      <c r="BI2331" s="111">
        <f t="shared" si="1710"/>
        <v>53.245901639344261</v>
      </c>
      <c r="BJ2331" s="129">
        <f>(G2331-J2331)+(M2331-G2331)</f>
        <v>0</v>
      </c>
      <c r="BK2331" s="129">
        <f t="shared" si="1711"/>
        <v>-90</v>
      </c>
      <c r="BL2331" s="129" t="str">
        <f t="shared" si="1704"/>
        <v>NO CONVICTION</v>
      </c>
      <c r="BM2331" s="129" t="s">
        <v>76</v>
      </c>
      <c r="BN2331" s="129" t="s">
        <v>88</v>
      </c>
      <c r="BP2331" s="137" t="str">
        <f t="shared" si="1712"/>
        <v>NO CONVICTION</v>
      </c>
      <c r="BQ2331" s="128" t="str">
        <f t="shared" si="1720"/>
        <v>Y</v>
      </c>
      <c r="BR2331" s="129" t="str">
        <f t="shared" si="1713"/>
        <v>ON BOND</v>
      </c>
      <c r="BS2331" s="129" t="str">
        <f t="shared" si="1714"/>
        <v>DISPOSED</v>
      </c>
      <c r="BT2331" s="129" t="str">
        <f t="shared" si="1715"/>
        <v>N</v>
      </c>
      <c r="BU2331" s="109">
        <f>IFERROR(Q2331/R2331,BR2331)</f>
        <v>5.2631578947368418E-2</v>
      </c>
      <c r="BV2331" s="109">
        <f t="shared" si="1722"/>
        <v>5.2631578947368418E-2</v>
      </c>
      <c r="BW2331" s="109">
        <f t="shared" si="1738"/>
        <v>0</v>
      </c>
      <c r="BX2331" s="111">
        <f t="shared" si="1716"/>
        <v>0</v>
      </c>
      <c r="BY2331" s="129">
        <f t="shared" si="1723"/>
        <v>-5</v>
      </c>
      <c r="BZ2331" s="111">
        <f t="shared" si="1724"/>
        <v>0</v>
      </c>
      <c r="CA2331" s="138">
        <f t="shared" si="1725"/>
        <v>5</v>
      </c>
      <c r="CB2331" s="111" t="e">
        <f t="shared" si="1741"/>
        <v>#VALUE!</v>
      </c>
      <c r="CC2331" s="129">
        <f>M2331-I2331+1</f>
        <v>5</v>
      </c>
      <c r="CD2331" s="111">
        <f>CC2331-BF2331</f>
        <v>0</v>
      </c>
      <c r="CG2331" s="129" t="str">
        <f t="shared" si="1726"/>
        <v>Y</v>
      </c>
      <c r="CI2331" s="129" t="str">
        <f t="shared" si="1729"/>
        <v>0-10 DAYS</v>
      </c>
      <c r="CJ2331" s="137">
        <f t="shared" si="1730"/>
        <v>1</v>
      </c>
      <c r="CK2331" s="129" t="str">
        <f t="shared" si="1731"/>
        <v>Booked</v>
      </c>
    </row>
    <row r="2332" spans="1:89" ht="15.75" customHeight="1" x14ac:dyDescent="0.25">
      <c r="A2332" s="111">
        <v>2897</v>
      </c>
      <c r="B2332" s="128" t="str">
        <f t="shared" si="1717"/>
        <v>N</v>
      </c>
      <c r="C2332" s="128" t="str">
        <f t="shared" si="1718"/>
        <v>N</v>
      </c>
      <c r="D2332" s="117">
        <v>2523791</v>
      </c>
      <c r="E2332" s="135">
        <f t="shared" si="1719"/>
        <v>2</v>
      </c>
      <c r="F2332" s="124">
        <v>41016</v>
      </c>
      <c r="G2332" s="125">
        <v>41018</v>
      </c>
      <c r="H2332" s="117">
        <v>2523791</v>
      </c>
      <c r="I2332" s="124">
        <v>41017</v>
      </c>
      <c r="J2332" s="124">
        <v>41018</v>
      </c>
      <c r="K2332" s="126">
        <v>5000</v>
      </c>
      <c r="L2332" s="127" t="s">
        <v>569</v>
      </c>
      <c r="N2332" s="129" t="str">
        <f t="shared" si="1742"/>
        <v>N</v>
      </c>
      <c r="O2332" s="128" t="s">
        <v>917</v>
      </c>
      <c r="P2332" s="129" t="s">
        <v>589</v>
      </c>
      <c r="Q2332" s="111">
        <f t="shared" si="1732"/>
        <v>2</v>
      </c>
      <c r="R2332" s="111">
        <f t="shared" si="1737"/>
        <v>3</v>
      </c>
      <c r="S2332" s="129">
        <v>0</v>
      </c>
      <c r="T2332" s="129">
        <v>1</v>
      </c>
      <c r="W2332" s="111"/>
      <c r="AC2332" s="130"/>
      <c r="AD2332" s="130">
        <v>29300</v>
      </c>
      <c r="AE2332" s="128" t="s">
        <v>32</v>
      </c>
      <c r="AF2332" s="128" t="s">
        <v>33</v>
      </c>
      <c r="AG2332" s="128" t="s">
        <v>872</v>
      </c>
      <c r="AH2332" s="108" t="s">
        <v>58</v>
      </c>
      <c r="AI2332" s="128" t="s">
        <v>71</v>
      </c>
      <c r="AJ2332" s="129" t="s">
        <v>48</v>
      </c>
      <c r="AK2332" s="129">
        <v>1</v>
      </c>
      <c r="AL2332" s="3" t="s">
        <v>48</v>
      </c>
      <c r="AP2332" s="129" t="s">
        <v>43</v>
      </c>
      <c r="AR2332" s="128" t="s">
        <v>44</v>
      </c>
      <c r="AS2332" s="129" t="s">
        <v>45</v>
      </c>
      <c r="BC2332" s="129" t="s">
        <v>38</v>
      </c>
      <c r="BF2332" s="111">
        <f t="shared" si="1739"/>
        <v>2</v>
      </c>
      <c r="BG2332" s="111">
        <f t="shared" si="1740"/>
        <v>2</v>
      </c>
      <c r="BH2332" s="111">
        <f t="shared" si="1709"/>
        <v>3</v>
      </c>
      <c r="BI2332" s="111">
        <f t="shared" si="1710"/>
        <v>32.010928961748633</v>
      </c>
      <c r="BJ2332" s="129">
        <f t="shared" si="1727"/>
        <v>0</v>
      </c>
      <c r="BK2332" s="129">
        <f t="shared" si="1711"/>
        <v>0</v>
      </c>
      <c r="BL2332" s="129" t="str">
        <f t="shared" si="1704"/>
        <v>DEFERRED</v>
      </c>
      <c r="BM2332" s="129" t="str">
        <f t="shared" si="1728"/>
        <v>NONE</v>
      </c>
      <c r="BN2332" s="129" t="s">
        <v>566</v>
      </c>
      <c r="BP2332" s="137" t="str">
        <f t="shared" si="1712"/>
        <v>DEFERRED</v>
      </c>
      <c r="BQ2332" s="128" t="str">
        <f t="shared" si="1720"/>
        <v>Y</v>
      </c>
      <c r="BR2332" s="129" t="str">
        <f t="shared" si="1713"/>
        <v>DETAINED</v>
      </c>
      <c r="BS2332" s="129" t="str">
        <f t="shared" si="1714"/>
        <v>DISPOSED</v>
      </c>
      <c r="BT2332" s="129" t="str">
        <f t="shared" si="1715"/>
        <v>N</v>
      </c>
      <c r="BU2332" s="109">
        <f t="shared" si="1721"/>
        <v>0.66666666666666663</v>
      </c>
      <c r="BV2332" s="109">
        <f t="shared" si="1722"/>
        <v>1</v>
      </c>
      <c r="BW2332" s="109">
        <f t="shared" si="1738"/>
        <v>0.33333333333333337</v>
      </c>
      <c r="BX2332" s="111">
        <f t="shared" si="1716"/>
        <v>0</v>
      </c>
      <c r="BY2332" s="129">
        <f t="shared" si="1723"/>
        <v>-2</v>
      </c>
      <c r="BZ2332" s="111">
        <f t="shared" si="1724"/>
        <v>0</v>
      </c>
      <c r="CA2332" s="138">
        <f t="shared" si="1725"/>
        <v>2</v>
      </c>
      <c r="CB2332" s="111" t="e">
        <f t="shared" si="1741"/>
        <v>#VALUE!</v>
      </c>
      <c r="CC2332" s="129">
        <f>G2332-I2332+1</f>
        <v>2</v>
      </c>
      <c r="CD2332" s="129">
        <f>G2332-J2332</f>
        <v>0</v>
      </c>
      <c r="CG2332" s="129" t="str">
        <f t="shared" si="1726"/>
        <v>Y</v>
      </c>
      <c r="CI2332" s="129" t="str">
        <f t="shared" si="1729"/>
        <v>0-10 DAYS</v>
      </c>
      <c r="CJ2332" s="137">
        <f t="shared" si="1730"/>
        <v>1</v>
      </c>
      <c r="CK2332" s="129" t="str">
        <f t="shared" si="1731"/>
        <v>Booked</v>
      </c>
    </row>
    <row r="2333" spans="1:89" ht="15.75" customHeight="1" x14ac:dyDescent="0.25">
      <c r="A2333" s="111">
        <v>46</v>
      </c>
      <c r="B2333" s="128" t="str">
        <f t="shared" si="1717"/>
        <v>N</v>
      </c>
      <c r="C2333" s="128" t="str">
        <f t="shared" si="1718"/>
        <v>N</v>
      </c>
      <c r="D2333" s="117">
        <v>2524127</v>
      </c>
      <c r="E2333" s="135">
        <f t="shared" si="1719"/>
        <v>2</v>
      </c>
      <c r="F2333" s="124">
        <v>40911</v>
      </c>
      <c r="G2333" s="125">
        <v>40952</v>
      </c>
      <c r="H2333" s="117">
        <v>2524127</v>
      </c>
      <c r="I2333" s="124">
        <v>40912</v>
      </c>
      <c r="J2333" s="124">
        <v>40913</v>
      </c>
      <c r="K2333" s="126">
        <v>5000</v>
      </c>
      <c r="L2333" s="127" t="s">
        <v>569</v>
      </c>
      <c r="M2333" s="125">
        <v>40913</v>
      </c>
      <c r="N2333" s="129" t="str">
        <f t="shared" si="1742"/>
        <v>Y</v>
      </c>
      <c r="O2333" s="128" t="s">
        <v>76</v>
      </c>
      <c r="P2333" s="129" t="s">
        <v>589</v>
      </c>
      <c r="Q2333" s="111">
        <f t="shared" si="1732"/>
        <v>2</v>
      </c>
      <c r="R2333" s="111">
        <f t="shared" si="1737"/>
        <v>42</v>
      </c>
      <c r="S2333" s="129">
        <v>0</v>
      </c>
      <c r="T2333" s="129">
        <v>2</v>
      </c>
      <c r="W2333" s="111"/>
      <c r="AC2333" s="130"/>
      <c r="AD2333" s="130">
        <v>32991</v>
      </c>
      <c r="AE2333" s="128" t="s">
        <v>32</v>
      </c>
      <c r="AF2333" s="128" t="s">
        <v>33</v>
      </c>
      <c r="AG2333" s="128" t="s">
        <v>872</v>
      </c>
      <c r="AH2333" s="108" t="s">
        <v>31</v>
      </c>
      <c r="AI2333" s="128" t="s">
        <v>80</v>
      </c>
      <c r="AJ2333" s="129" t="s">
        <v>48</v>
      </c>
      <c r="AK2333" s="129">
        <v>4</v>
      </c>
      <c r="AL2333" s="3" t="s">
        <v>48</v>
      </c>
      <c r="AP2333" s="129" t="s">
        <v>111</v>
      </c>
      <c r="AR2333" s="128" t="s">
        <v>67</v>
      </c>
      <c r="AS2333" s="129" t="s">
        <v>45</v>
      </c>
      <c r="BC2333" s="129" t="s">
        <v>38</v>
      </c>
      <c r="BF2333" s="111">
        <f t="shared" si="1739"/>
        <v>2</v>
      </c>
      <c r="BG2333" s="111">
        <f t="shared" si="1740"/>
        <v>41</v>
      </c>
      <c r="BH2333" s="111">
        <f t="shared" si="1709"/>
        <v>42</v>
      </c>
      <c r="BI2333" s="111">
        <f t="shared" si="1710"/>
        <v>21.639344262295083</v>
      </c>
      <c r="BJ2333" s="129">
        <f>(G2333-J2333)+(M2333-G2333)</f>
        <v>0</v>
      </c>
      <c r="BK2333" s="129">
        <f t="shared" si="1711"/>
        <v>-39</v>
      </c>
      <c r="BL2333" s="129" t="str">
        <f t="shared" si="1704"/>
        <v>DEFERRED</v>
      </c>
      <c r="BM2333" s="129" t="s">
        <v>76</v>
      </c>
      <c r="BN2333" s="129" t="s">
        <v>88</v>
      </c>
      <c r="BP2333" s="137" t="str">
        <f t="shared" si="1712"/>
        <v>DEFERRED</v>
      </c>
      <c r="BQ2333" s="128" t="str">
        <f t="shared" si="1720"/>
        <v>Y</v>
      </c>
      <c r="BR2333" s="129" t="str">
        <f t="shared" si="1713"/>
        <v>ON BOND</v>
      </c>
      <c r="BS2333" s="129" t="str">
        <f t="shared" si="1714"/>
        <v>DISPOSED</v>
      </c>
      <c r="BT2333" s="129" t="str">
        <f t="shared" si="1715"/>
        <v>N</v>
      </c>
      <c r="BU2333" s="109">
        <f t="shared" si="1721"/>
        <v>4.7619047619047616E-2</v>
      </c>
      <c r="BV2333" s="109">
        <f t="shared" si="1722"/>
        <v>4.878048780487805E-2</v>
      </c>
      <c r="BW2333" s="109">
        <f t="shared" si="1738"/>
        <v>1.1614401858304341E-3</v>
      </c>
      <c r="BX2333" s="111">
        <f t="shared" si="1716"/>
        <v>0</v>
      </c>
      <c r="BY2333" s="129">
        <f t="shared" si="1723"/>
        <v>-2</v>
      </c>
      <c r="BZ2333" s="111">
        <f t="shared" si="1724"/>
        <v>0</v>
      </c>
      <c r="CA2333" s="138">
        <f t="shared" si="1725"/>
        <v>2</v>
      </c>
      <c r="CB2333" s="111" t="e">
        <f t="shared" si="1741"/>
        <v>#VALUE!</v>
      </c>
      <c r="CC2333" s="129">
        <f>M2333-I2333+1</f>
        <v>2</v>
      </c>
      <c r="CD2333" s="111">
        <f>CC2333-BF2333</f>
        <v>0</v>
      </c>
      <c r="CG2333" s="129" t="str">
        <f t="shared" si="1726"/>
        <v>Y</v>
      </c>
      <c r="CI2333" s="129" t="str">
        <f t="shared" si="1729"/>
        <v>0-10 DAYS</v>
      </c>
      <c r="CJ2333" s="137">
        <f t="shared" si="1730"/>
        <v>1</v>
      </c>
      <c r="CK2333" s="129" t="str">
        <f t="shared" si="1731"/>
        <v>Booked</v>
      </c>
    </row>
    <row r="2334" spans="1:89" ht="15.75" customHeight="1" x14ac:dyDescent="0.25">
      <c r="A2334" s="111">
        <v>2227</v>
      </c>
      <c r="B2334" s="128" t="str">
        <f t="shared" si="1717"/>
        <v>N</v>
      </c>
      <c r="C2334" s="128" t="str">
        <f t="shared" si="1718"/>
        <v>N</v>
      </c>
      <c r="D2334" s="117">
        <v>2524137</v>
      </c>
      <c r="E2334" s="135">
        <f t="shared" si="1719"/>
        <v>1</v>
      </c>
      <c r="F2334" s="124">
        <v>40992</v>
      </c>
      <c r="G2334" s="125">
        <v>40994</v>
      </c>
      <c r="H2334" s="117">
        <v>2524137</v>
      </c>
      <c r="I2334" s="124">
        <v>40992</v>
      </c>
      <c r="J2334" s="124">
        <v>40994</v>
      </c>
      <c r="K2334" s="126">
        <v>5000</v>
      </c>
      <c r="L2334" s="127" t="s">
        <v>569</v>
      </c>
      <c r="N2334" s="129" t="str">
        <f t="shared" si="1742"/>
        <v>N</v>
      </c>
      <c r="O2334" s="128" t="s">
        <v>917</v>
      </c>
      <c r="P2334" s="129" t="s">
        <v>55</v>
      </c>
      <c r="Q2334" s="111">
        <f t="shared" si="1732"/>
        <v>3</v>
      </c>
      <c r="R2334" s="111">
        <f t="shared" si="1737"/>
        <v>3</v>
      </c>
      <c r="S2334" s="129">
        <v>1</v>
      </c>
      <c r="T2334" s="129">
        <v>0</v>
      </c>
      <c r="U2334" s="129">
        <v>1</v>
      </c>
      <c r="W2334" s="111"/>
      <c r="AC2334" s="130"/>
      <c r="AD2334" s="130">
        <v>34095</v>
      </c>
      <c r="AE2334" s="128" t="s">
        <v>32</v>
      </c>
      <c r="AF2334" s="128" t="s">
        <v>33</v>
      </c>
      <c r="AG2334" s="128" t="s">
        <v>872</v>
      </c>
      <c r="AH2334" s="108" t="s">
        <v>31</v>
      </c>
      <c r="AI2334" s="128" t="s">
        <v>113</v>
      </c>
      <c r="AJ2334" s="129" t="s">
        <v>55</v>
      </c>
      <c r="AK2334" s="129">
        <v>1</v>
      </c>
      <c r="AL2334" s="3" t="s">
        <v>55</v>
      </c>
      <c r="AP2334" s="129" t="s">
        <v>136</v>
      </c>
      <c r="AR2334" s="128" t="s">
        <v>67</v>
      </c>
      <c r="AS2334" s="129" t="s">
        <v>64</v>
      </c>
      <c r="AT2334" s="129" t="s">
        <v>418</v>
      </c>
      <c r="AU2334" s="129" t="s">
        <v>418</v>
      </c>
      <c r="BC2334" s="129" t="s">
        <v>79</v>
      </c>
      <c r="BF2334" s="111">
        <f t="shared" si="1739"/>
        <v>3</v>
      </c>
      <c r="BG2334" s="111">
        <f t="shared" si="1740"/>
        <v>3</v>
      </c>
      <c r="BH2334" s="111">
        <f t="shared" si="1709"/>
        <v>3</v>
      </c>
      <c r="BI2334" s="111">
        <f t="shared" si="1710"/>
        <v>18.844262295081968</v>
      </c>
      <c r="BJ2334" s="129">
        <f t="shared" si="1727"/>
        <v>0</v>
      </c>
      <c r="BK2334" s="129">
        <f t="shared" si="1711"/>
        <v>0</v>
      </c>
      <c r="BL2334" s="129" t="str">
        <f t="shared" si="1704"/>
        <v>NO CONVICTION</v>
      </c>
      <c r="BM2334" s="129" t="str">
        <f t="shared" si="1728"/>
        <v>NONE</v>
      </c>
      <c r="BN2334" s="129" t="s">
        <v>566</v>
      </c>
      <c r="BP2334" s="137" t="str">
        <f t="shared" si="1712"/>
        <v>NO CONVICTION</v>
      </c>
      <c r="BQ2334" s="128" t="str">
        <f t="shared" si="1720"/>
        <v>Y</v>
      </c>
      <c r="BR2334" s="129" t="str">
        <f t="shared" si="1713"/>
        <v>DETAINED</v>
      </c>
      <c r="BS2334" s="129" t="str">
        <f t="shared" si="1714"/>
        <v>DISPOSED</v>
      </c>
      <c r="BT2334" s="129" t="str">
        <f t="shared" si="1715"/>
        <v>Y</v>
      </c>
      <c r="BU2334" s="109">
        <f>IFERROR(Q2334/R2334,BR2334)</f>
        <v>1</v>
      </c>
      <c r="BV2334" s="109">
        <f t="shared" si="1722"/>
        <v>1</v>
      </c>
      <c r="BW2334" s="109">
        <f t="shared" si="1738"/>
        <v>0</v>
      </c>
      <c r="BX2334" s="111">
        <f t="shared" si="1716"/>
        <v>0</v>
      </c>
      <c r="BY2334" s="129">
        <f t="shared" si="1723"/>
        <v>-3</v>
      </c>
      <c r="BZ2334" s="111">
        <f t="shared" si="1724"/>
        <v>0</v>
      </c>
      <c r="CA2334" s="138">
        <f t="shared" si="1725"/>
        <v>3</v>
      </c>
      <c r="CB2334" s="111" t="e">
        <f t="shared" si="1741"/>
        <v>#VALUE!</v>
      </c>
      <c r="CC2334" s="129">
        <f>G2334-I2334+1</f>
        <v>3</v>
      </c>
      <c r="CD2334" s="129">
        <f t="shared" ref="CD2334:CD2340" si="1743">G2334-J2334</f>
        <v>0</v>
      </c>
      <c r="CG2334" s="129" t="str">
        <f t="shared" si="1726"/>
        <v>Y</v>
      </c>
      <c r="CI2334" s="129" t="str">
        <f t="shared" si="1729"/>
        <v>0-10 DAYS</v>
      </c>
      <c r="CJ2334" s="137">
        <f t="shared" si="1730"/>
        <v>1</v>
      </c>
      <c r="CK2334" s="129" t="str">
        <f t="shared" si="1731"/>
        <v>Booked</v>
      </c>
    </row>
    <row r="2335" spans="1:89" ht="15.75" customHeight="1" x14ac:dyDescent="0.25">
      <c r="A2335" s="111">
        <v>2083</v>
      </c>
      <c r="B2335" s="128" t="str">
        <f t="shared" si="1717"/>
        <v>N</v>
      </c>
      <c r="C2335" s="128" t="str">
        <f t="shared" si="1718"/>
        <v>N</v>
      </c>
      <c r="D2335" s="117">
        <v>2524425</v>
      </c>
      <c r="E2335" s="135">
        <f t="shared" si="1719"/>
        <v>2</v>
      </c>
      <c r="F2335" s="124">
        <v>40987</v>
      </c>
      <c r="G2335" s="125">
        <v>40990</v>
      </c>
      <c r="H2335" s="117">
        <v>2524425</v>
      </c>
      <c r="I2335" s="124">
        <v>40988</v>
      </c>
      <c r="J2335" s="124">
        <v>40990</v>
      </c>
      <c r="K2335" s="126">
        <v>5000</v>
      </c>
      <c r="L2335" s="127" t="s">
        <v>569</v>
      </c>
      <c r="N2335" s="129" t="str">
        <f t="shared" si="1742"/>
        <v>N</v>
      </c>
      <c r="O2335" s="128" t="s">
        <v>917</v>
      </c>
      <c r="P2335" s="129" t="s">
        <v>589</v>
      </c>
      <c r="Q2335" s="111">
        <f t="shared" si="1732"/>
        <v>3</v>
      </c>
      <c r="R2335" s="111">
        <f t="shared" si="1737"/>
        <v>4</v>
      </c>
      <c r="S2335" s="129">
        <v>0</v>
      </c>
      <c r="T2335" s="129">
        <v>1</v>
      </c>
      <c r="W2335" s="111"/>
      <c r="AC2335" s="130"/>
      <c r="AD2335" s="130">
        <v>31323</v>
      </c>
      <c r="AE2335" s="128" t="s">
        <v>46</v>
      </c>
      <c r="AF2335" s="128" t="s">
        <v>33</v>
      </c>
      <c r="AG2335" s="128" t="s">
        <v>872</v>
      </c>
      <c r="AH2335" s="108" t="s">
        <v>31</v>
      </c>
      <c r="AI2335" s="128" t="s">
        <v>70</v>
      </c>
      <c r="AJ2335" s="129" t="s">
        <v>48</v>
      </c>
      <c r="AK2335" s="129">
        <v>3</v>
      </c>
      <c r="AL2335" s="3" t="s">
        <v>48</v>
      </c>
      <c r="AP2335" s="129" t="s">
        <v>171</v>
      </c>
      <c r="AR2335" s="128" t="s">
        <v>44</v>
      </c>
      <c r="AS2335" s="129" t="s">
        <v>64</v>
      </c>
      <c r="BC2335" s="129" t="s">
        <v>38</v>
      </c>
      <c r="BF2335" s="111">
        <f t="shared" si="1739"/>
        <v>3</v>
      </c>
      <c r="BG2335" s="111">
        <f t="shared" si="1740"/>
        <v>3</v>
      </c>
      <c r="BH2335" s="111">
        <f t="shared" si="1709"/>
        <v>4</v>
      </c>
      <c r="BI2335" s="111">
        <f t="shared" si="1710"/>
        <v>26.404371584699454</v>
      </c>
      <c r="BJ2335" s="129">
        <f t="shared" si="1727"/>
        <v>0</v>
      </c>
      <c r="BK2335" s="129">
        <f t="shared" si="1711"/>
        <v>0</v>
      </c>
      <c r="BL2335" s="129" t="str">
        <f t="shared" si="1704"/>
        <v>DEFERRED</v>
      </c>
      <c r="BM2335" s="129" t="str">
        <f t="shared" si="1728"/>
        <v>NONE</v>
      </c>
      <c r="BN2335" s="129" t="s">
        <v>566</v>
      </c>
      <c r="BP2335" s="137" t="str">
        <f t="shared" si="1712"/>
        <v>DEFERRED</v>
      </c>
      <c r="BQ2335" s="128" t="str">
        <f t="shared" si="1720"/>
        <v>Y</v>
      </c>
      <c r="BR2335" s="129" t="str">
        <f t="shared" si="1713"/>
        <v>DETAINED</v>
      </c>
      <c r="BS2335" s="129" t="str">
        <f t="shared" si="1714"/>
        <v>DISPOSED</v>
      </c>
      <c r="BT2335" s="129" t="str">
        <f t="shared" si="1715"/>
        <v>N</v>
      </c>
      <c r="BU2335" s="109">
        <f t="shared" si="1721"/>
        <v>0.75</v>
      </c>
      <c r="BV2335" s="109">
        <f t="shared" si="1722"/>
        <v>1</v>
      </c>
      <c r="BW2335" s="109">
        <f t="shared" si="1738"/>
        <v>0.25</v>
      </c>
      <c r="BX2335" s="111">
        <f t="shared" si="1716"/>
        <v>0</v>
      </c>
      <c r="BY2335" s="129">
        <f t="shared" si="1723"/>
        <v>-3</v>
      </c>
      <c r="BZ2335" s="111">
        <f t="shared" si="1724"/>
        <v>0</v>
      </c>
      <c r="CA2335" s="138">
        <f t="shared" si="1725"/>
        <v>3</v>
      </c>
      <c r="CB2335" s="111" t="e">
        <f t="shared" si="1741"/>
        <v>#VALUE!</v>
      </c>
      <c r="CC2335" s="129">
        <f>G2335-I2335+1</f>
        <v>3</v>
      </c>
      <c r="CD2335" s="129">
        <f t="shared" si="1743"/>
        <v>0</v>
      </c>
      <c r="CG2335" s="129" t="str">
        <f t="shared" si="1726"/>
        <v>Y</v>
      </c>
      <c r="CI2335" s="129" t="str">
        <f t="shared" si="1729"/>
        <v>0-10 DAYS</v>
      </c>
      <c r="CJ2335" s="137">
        <f t="shared" si="1730"/>
        <v>1</v>
      </c>
      <c r="CK2335" s="129" t="str">
        <f t="shared" si="1731"/>
        <v>Booked</v>
      </c>
    </row>
    <row r="2336" spans="1:89" ht="15.75" customHeight="1" x14ac:dyDescent="0.25">
      <c r="A2336" s="111">
        <v>796</v>
      </c>
      <c r="B2336" s="128" t="str">
        <f t="shared" si="1717"/>
        <v>N</v>
      </c>
      <c r="C2336" s="128" t="str">
        <f t="shared" si="1718"/>
        <v>N</v>
      </c>
      <c r="D2336" s="117">
        <v>2525290</v>
      </c>
      <c r="E2336" s="135">
        <f t="shared" si="1719"/>
        <v>5</v>
      </c>
      <c r="F2336" s="124">
        <v>40939</v>
      </c>
      <c r="G2336" s="125">
        <v>40969</v>
      </c>
      <c r="H2336" s="117">
        <v>2525290</v>
      </c>
      <c r="I2336" s="124">
        <v>40940</v>
      </c>
      <c r="J2336" s="124">
        <v>40969</v>
      </c>
      <c r="K2336" s="126">
        <v>2000</v>
      </c>
      <c r="L2336" s="127" t="s">
        <v>568</v>
      </c>
      <c r="N2336" s="129" t="str">
        <f t="shared" si="1742"/>
        <v>N</v>
      </c>
      <c r="O2336" s="128" t="s">
        <v>917</v>
      </c>
      <c r="P2336" s="129" t="s">
        <v>39</v>
      </c>
      <c r="Q2336" s="111">
        <f t="shared" si="1732"/>
        <v>30</v>
      </c>
      <c r="R2336" s="111">
        <f t="shared" si="1737"/>
        <v>31</v>
      </c>
      <c r="S2336" s="129">
        <v>1</v>
      </c>
      <c r="T2336" s="129">
        <v>1</v>
      </c>
      <c r="U2336" s="129">
        <v>1</v>
      </c>
      <c r="W2336" s="111"/>
      <c r="AC2336" s="130"/>
      <c r="AD2336" s="130">
        <v>33978</v>
      </c>
      <c r="AE2336" s="128" t="s">
        <v>32</v>
      </c>
      <c r="AF2336" s="128" t="s">
        <v>33</v>
      </c>
      <c r="AG2336" s="128" t="s">
        <v>872</v>
      </c>
      <c r="AH2336" s="108" t="s">
        <v>31</v>
      </c>
      <c r="AI2336" s="128" t="s">
        <v>95</v>
      </c>
      <c r="AJ2336" s="129" t="s">
        <v>89</v>
      </c>
      <c r="AK2336" s="129">
        <v>2</v>
      </c>
      <c r="AL2336" s="3" t="s">
        <v>992</v>
      </c>
      <c r="AN2336" s="117">
        <v>10</v>
      </c>
      <c r="AP2336" s="129" t="s">
        <v>108</v>
      </c>
      <c r="AR2336" s="128" t="s">
        <v>44</v>
      </c>
      <c r="AS2336" s="129" t="s">
        <v>61</v>
      </c>
      <c r="BC2336" s="129" t="s">
        <v>38</v>
      </c>
      <c r="BF2336" s="111">
        <f t="shared" si="1739"/>
        <v>30</v>
      </c>
      <c r="BG2336" s="111">
        <f t="shared" si="1740"/>
        <v>30</v>
      </c>
      <c r="BH2336" s="111">
        <f t="shared" si="1709"/>
        <v>31</v>
      </c>
      <c r="BI2336" s="111">
        <f t="shared" si="1710"/>
        <v>19.019125683060111</v>
      </c>
      <c r="BJ2336" s="129">
        <f t="shared" si="1727"/>
        <v>0</v>
      </c>
      <c r="BK2336" s="129">
        <f t="shared" si="1711"/>
        <v>0</v>
      </c>
      <c r="BL2336" s="129" t="str">
        <f t="shared" si="1704"/>
        <v>CONVICTION</v>
      </c>
      <c r="BM2336" s="129" t="str">
        <f t="shared" si="1728"/>
        <v>NONE</v>
      </c>
      <c r="BN2336" s="129" t="s">
        <v>566</v>
      </c>
      <c r="BP2336" s="137" t="str">
        <f t="shared" si="1712"/>
        <v>CONVICTION</v>
      </c>
      <c r="BQ2336" s="128" t="str">
        <f t="shared" si="1720"/>
        <v>Y</v>
      </c>
      <c r="BR2336" s="129" t="str">
        <f t="shared" si="1713"/>
        <v>DETAINED</v>
      </c>
      <c r="BS2336" s="129" t="str">
        <f t="shared" si="1714"/>
        <v>DISPOSED</v>
      </c>
      <c r="BT2336" s="129" t="str">
        <f t="shared" si="1715"/>
        <v>Y</v>
      </c>
      <c r="BU2336" s="109">
        <f t="shared" si="1721"/>
        <v>0.967741935483871</v>
      </c>
      <c r="BV2336" s="109">
        <f t="shared" si="1722"/>
        <v>1</v>
      </c>
      <c r="BW2336" s="109">
        <f t="shared" si="1738"/>
        <v>3.2258064516129004E-2</v>
      </c>
      <c r="BX2336" s="111">
        <f t="shared" si="1716"/>
        <v>0</v>
      </c>
      <c r="BY2336" s="129">
        <f t="shared" si="1723"/>
        <v>-30</v>
      </c>
      <c r="BZ2336" s="111">
        <f t="shared" si="1724"/>
        <v>0</v>
      </c>
      <c r="CA2336" s="138">
        <f t="shared" si="1725"/>
        <v>30</v>
      </c>
      <c r="CB2336" s="111" t="e">
        <f t="shared" si="1741"/>
        <v>#VALUE!</v>
      </c>
      <c r="CC2336" s="129">
        <f>G2336-I2336+1</f>
        <v>30</v>
      </c>
      <c r="CD2336" s="129">
        <f t="shared" si="1743"/>
        <v>0</v>
      </c>
      <c r="CG2336" s="129" t="str">
        <f t="shared" si="1726"/>
        <v>Y</v>
      </c>
      <c r="CI2336" s="129" t="str">
        <f t="shared" si="1729"/>
        <v>11-30 DAYS</v>
      </c>
      <c r="CJ2336" s="137">
        <f t="shared" si="1730"/>
        <v>2</v>
      </c>
      <c r="CK2336" s="129" t="str">
        <f t="shared" si="1731"/>
        <v>Booked</v>
      </c>
    </row>
    <row r="2337" spans="1:89" ht="15.75" customHeight="1" x14ac:dyDescent="0.25">
      <c r="A2337" s="111">
        <v>950</v>
      </c>
      <c r="B2337" s="128" t="str">
        <f t="shared" si="1717"/>
        <v>N</v>
      </c>
      <c r="C2337" s="128" t="str">
        <f t="shared" si="1718"/>
        <v>N</v>
      </c>
      <c r="D2337" s="117">
        <v>2525536</v>
      </c>
      <c r="E2337" s="135">
        <f t="shared" si="1719"/>
        <v>5</v>
      </c>
      <c r="F2337" s="124">
        <v>40943</v>
      </c>
      <c r="G2337" s="125">
        <v>41047</v>
      </c>
      <c r="H2337" s="117">
        <v>2525536</v>
      </c>
      <c r="I2337" s="124">
        <v>40944</v>
      </c>
      <c r="J2337" s="124">
        <v>41047</v>
      </c>
      <c r="K2337" s="126">
        <v>40000</v>
      </c>
      <c r="L2337" s="129" t="s">
        <v>572</v>
      </c>
      <c r="N2337" s="129" t="str">
        <f t="shared" si="1742"/>
        <v>N</v>
      </c>
      <c r="O2337" s="128" t="s">
        <v>917</v>
      </c>
      <c r="P2337" s="129" t="s">
        <v>39</v>
      </c>
      <c r="Q2337" s="111">
        <f t="shared" si="1732"/>
        <v>104</v>
      </c>
      <c r="R2337" s="111">
        <f t="shared" si="1737"/>
        <v>105</v>
      </c>
      <c r="S2337" s="129">
        <v>1</v>
      </c>
      <c r="T2337" s="129">
        <v>0</v>
      </c>
      <c r="U2337" s="129">
        <v>1</v>
      </c>
      <c r="W2337" s="111"/>
      <c r="AC2337" s="130"/>
      <c r="AD2337" s="130">
        <v>34162</v>
      </c>
      <c r="AE2337" s="128" t="s">
        <v>32</v>
      </c>
      <c r="AF2337" s="128" t="s">
        <v>40</v>
      </c>
      <c r="AG2337" s="128" t="s">
        <v>41</v>
      </c>
      <c r="AH2337" s="108" t="s">
        <v>41</v>
      </c>
      <c r="AI2337" s="128" t="s">
        <v>47</v>
      </c>
      <c r="AJ2337" s="129" t="s">
        <v>89</v>
      </c>
      <c r="AK2337" s="129">
        <v>4</v>
      </c>
      <c r="AL2337" s="3" t="s">
        <v>992</v>
      </c>
      <c r="AN2337" s="117">
        <v>7</v>
      </c>
      <c r="AP2337" s="129" t="s">
        <v>43</v>
      </c>
      <c r="AR2337" s="128" t="s">
        <v>44</v>
      </c>
      <c r="AS2337" s="129" t="s">
        <v>45</v>
      </c>
      <c r="AT2337" s="129" t="s">
        <v>1423</v>
      </c>
      <c r="BC2337" s="129" t="s">
        <v>38</v>
      </c>
      <c r="BF2337" s="111">
        <f t="shared" si="1739"/>
        <v>104</v>
      </c>
      <c r="BG2337" s="111">
        <f t="shared" si="1740"/>
        <v>104</v>
      </c>
      <c r="BH2337" s="111">
        <f t="shared" si="1709"/>
        <v>105</v>
      </c>
      <c r="BI2337" s="111">
        <f t="shared" si="1710"/>
        <v>18.527322404371585</v>
      </c>
      <c r="BJ2337" s="129">
        <f t="shared" si="1727"/>
        <v>0</v>
      </c>
      <c r="BK2337" s="129">
        <f t="shared" si="1711"/>
        <v>0</v>
      </c>
      <c r="BL2337" s="129" t="str">
        <f t="shared" si="1704"/>
        <v>CONVICTION</v>
      </c>
      <c r="BM2337" s="129" t="str">
        <f t="shared" si="1728"/>
        <v>NONE</v>
      </c>
      <c r="BN2337" s="129" t="s">
        <v>566</v>
      </c>
      <c r="BP2337" s="137" t="str">
        <f t="shared" si="1712"/>
        <v>CONVICTION</v>
      </c>
      <c r="BQ2337" s="128" t="str">
        <f t="shared" si="1720"/>
        <v>Y</v>
      </c>
      <c r="BR2337" s="129" t="str">
        <f t="shared" si="1713"/>
        <v>DETAINED</v>
      </c>
      <c r="BS2337" s="129" t="str">
        <f t="shared" si="1714"/>
        <v>DISPOSED</v>
      </c>
      <c r="BT2337" s="129" t="str">
        <f t="shared" si="1715"/>
        <v>Y</v>
      </c>
      <c r="BU2337" s="109">
        <f t="shared" si="1721"/>
        <v>0.99047619047619051</v>
      </c>
      <c r="BV2337" s="109">
        <f t="shared" si="1722"/>
        <v>1</v>
      </c>
      <c r="BW2337" s="109">
        <f t="shared" si="1738"/>
        <v>9.52380952380949E-3</v>
      </c>
      <c r="BX2337" s="111">
        <f t="shared" si="1716"/>
        <v>0</v>
      </c>
      <c r="BY2337" s="129">
        <f t="shared" si="1723"/>
        <v>-104</v>
      </c>
      <c r="BZ2337" s="111">
        <f t="shared" si="1724"/>
        <v>0</v>
      </c>
      <c r="CA2337" s="138">
        <f t="shared" si="1725"/>
        <v>104</v>
      </c>
      <c r="CB2337" s="111" t="e">
        <f t="shared" si="1741"/>
        <v>#VALUE!</v>
      </c>
      <c r="CC2337" s="129">
        <f>G2337-I2337+1</f>
        <v>104</v>
      </c>
      <c r="CD2337" s="129">
        <f t="shared" si="1743"/>
        <v>0</v>
      </c>
      <c r="CG2337" s="129" t="str">
        <f t="shared" si="1726"/>
        <v>Y</v>
      </c>
      <c r="CI2337" s="129" t="str">
        <f t="shared" si="1729"/>
        <v>91-120 DAYS</v>
      </c>
      <c r="CJ2337" s="137">
        <f t="shared" si="1730"/>
        <v>0</v>
      </c>
      <c r="CK2337" s="129" t="str">
        <f t="shared" si="1731"/>
        <v>Booked</v>
      </c>
    </row>
    <row r="2338" spans="1:89" ht="15" customHeight="1" x14ac:dyDescent="0.25">
      <c r="A2338" s="111">
        <v>2132</v>
      </c>
      <c r="B2338" s="128" t="str">
        <f t="shared" si="1717"/>
        <v>Y</v>
      </c>
      <c r="C2338" s="128" t="str">
        <f t="shared" si="1718"/>
        <v>N</v>
      </c>
      <c r="D2338" s="117">
        <v>2525817</v>
      </c>
      <c r="E2338" s="135">
        <f t="shared" si="1719"/>
        <v>1</v>
      </c>
      <c r="F2338" s="124">
        <v>40988</v>
      </c>
      <c r="G2338" s="125">
        <v>41082</v>
      </c>
      <c r="H2338" s="117">
        <v>2525817</v>
      </c>
      <c r="I2338" s="124">
        <v>40989</v>
      </c>
      <c r="J2338" s="124">
        <v>40990</v>
      </c>
      <c r="K2338" s="126">
        <v>5000</v>
      </c>
      <c r="L2338" s="127" t="s">
        <v>569</v>
      </c>
      <c r="M2338" s="125">
        <v>40990</v>
      </c>
      <c r="N2338" s="129" t="str">
        <f t="shared" si="1742"/>
        <v>Y</v>
      </c>
      <c r="O2338" s="128" t="s">
        <v>76</v>
      </c>
      <c r="P2338" s="129" t="s">
        <v>55</v>
      </c>
      <c r="Q2338" s="111">
        <f t="shared" si="1732"/>
        <v>2</v>
      </c>
      <c r="R2338" s="111">
        <f t="shared" si="1737"/>
        <v>95</v>
      </c>
      <c r="S2338" s="129">
        <v>0</v>
      </c>
      <c r="T2338" s="129">
        <v>0</v>
      </c>
      <c r="W2338" s="111"/>
      <c r="AC2338" s="130"/>
      <c r="AD2338" s="130">
        <v>30393</v>
      </c>
      <c r="AE2338" s="128" t="s">
        <v>32</v>
      </c>
      <c r="AF2338" s="128" t="s">
        <v>33</v>
      </c>
      <c r="AG2338" s="128" t="s">
        <v>872</v>
      </c>
      <c r="AH2338" s="108" t="s">
        <v>31</v>
      </c>
      <c r="AI2338" s="128" t="s">
        <v>34</v>
      </c>
      <c r="AJ2338" s="129" t="s">
        <v>55</v>
      </c>
      <c r="AK2338" s="129">
        <v>7</v>
      </c>
      <c r="AL2338" s="3" t="s">
        <v>55</v>
      </c>
      <c r="AP2338" s="129" t="s">
        <v>227</v>
      </c>
      <c r="AR2338" s="128" t="s">
        <v>67</v>
      </c>
      <c r="AS2338" s="129" t="s">
        <v>64</v>
      </c>
      <c r="AT2338" s="3" t="s">
        <v>863</v>
      </c>
      <c r="AW2338" s="125"/>
      <c r="BC2338" s="129" t="s">
        <v>79</v>
      </c>
      <c r="BD2338" s="129" t="s">
        <v>1235</v>
      </c>
      <c r="BF2338" s="111">
        <v>2</v>
      </c>
      <c r="BG2338" s="111">
        <f t="shared" si="1740"/>
        <v>94</v>
      </c>
      <c r="BH2338" s="111">
        <f t="shared" si="1709"/>
        <v>95</v>
      </c>
      <c r="BI2338" s="111">
        <f t="shared" si="1710"/>
        <v>28.948087431693988</v>
      </c>
      <c r="BJ2338" s="129">
        <f>(G2338-J2338)+(M2338-G2338)</f>
        <v>0</v>
      </c>
      <c r="BK2338" s="129">
        <f t="shared" si="1711"/>
        <v>-92</v>
      </c>
      <c r="BL2338" s="129" t="str">
        <f t="shared" si="1704"/>
        <v>NO CONVICTION</v>
      </c>
      <c r="BM2338" s="129" t="s">
        <v>76</v>
      </c>
      <c r="BN2338" s="129" t="s">
        <v>88</v>
      </c>
      <c r="BP2338" s="137" t="str">
        <f t="shared" si="1712"/>
        <v>NO CONVICTION</v>
      </c>
      <c r="BQ2338" s="128" t="str">
        <f t="shared" si="1720"/>
        <v>Y</v>
      </c>
      <c r="BR2338" s="129" t="str">
        <f t="shared" si="1713"/>
        <v>ON BOND</v>
      </c>
      <c r="BS2338" s="129" t="str">
        <f t="shared" si="1714"/>
        <v>DISPOSED</v>
      </c>
      <c r="BT2338" s="129" t="str">
        <f t="shared" si="1715"/>
        <v>N</v>
      </c>
      <c r="BU2338" s="109">
        <f>IFERROR(Q2338/R2338,BR2338)</f>
        <v>2.1052631578947368E-2</v>
      </c>
      <c r="BV2338" s="109">
        <f t="shared" si="1722"/>
        <v>2.1276595744680851E-2</v>
      </c>
      <c r="BW2338" s="109">
        <f t="shared" si="1738"/>
        <v>2.239641657334826E-4</v>
      </c>
      <c r="BX2338" s="111">
        <f t="shared" si="1716"/>
        <v>0</v>
      </c>
      <c r="BY2338" s="129">
        <f t="shared" si="1723"/>
        <v>-2</v>
      </c>
      <c r="BZ2338" s="111">
        <f t="shared" si="1724"/>
        <v>0</v>
      </c>
      <c r="CA2338" s="138">
        <f t="shared" si="1725"/>
        <v>2</v>
      </c>
      <c r="CB2338" s="111" t="e">
        <f t="shared" si="1741"/>
        <v>#VALUE!</v>
      </c>
      <c r="CD2338" s="129">
        <f t="shared" si="1743"/>
        <v>92</v>
      </c>
      <c r="CG2338" s="129" t="str">
        <f t="shared" si="1726"/>
        <v>N</v>
      </c>
      <c r="CI2338" s="129" t="str">
        <f t="shared" si="1729"/>
        <v>0-10 DAYS</v>
      </c>
      <c r="CJ2338" s="137">
        <f t="shared" si="1730"/>
        <v>1</v>
      </c>
      <c r="CK2338" s="129" t="str">
        <f t="shared" si="1731"/>
        <v>Booked</v>
      </c>
    </row>
    <row r="2339" spans="1:89" ht="15" customHeight="1" x14ac:dyDescent="0.25">
      <c r="A2339" s="111">
        <v>73</v>
      </c>
      <c r="B2339" s="128" t="str">
        <f t="shared" si="1717"/>
        <v>Y</v>
      </c>
      <c r="C2339" s="128" t="str">
        <f t="shared" si="1718"/>
        <v>Y</v>
      </c>
      <c r="D2339" s="117">
        <v>2525824</v>
      </c>
      <c r="E2339" s="135">
        <f t="shared" si="1719"/>
        <v>2</v>
      </c>
      <c r="F2339" s="124">
        <v>40912</v>
      </c>
      <c r="G2339" s="125">
        <v>41187</v>
      </c>
      <c r="H2339" s="117">
        <v>2525824</v>
      </c>
      <c r="I2339" s="124">
        <v>40915</v>
      </c>
      <c r="J2339" s="124">
        <v>40920</v>
      </c>
      <c r="K2339" s="126">
        <v>10000</v>
      </c>
      <c r="L2339" s="127" t="s">
        <v>570</v>
      </c>
      <c r="M2339" s="125">
        <v>40920</v>
      </c>
      <c r="N2339" s="129" t="str">
        <f t="shared" si="1742"/>
        <v>Y</v>
      </c>
      <c r="O2339" s="128" t="s">
        <v>585</v>
      </c>
      <c r="P2339" s="129" t="s">
        <v>589</v>
      </c>
      <c r="Q2339" s="111">
        <v>57</v>
      </c>
      <c r="R2339" s="111">
        <f t="shared" si="1737"/>
        <v>276</v>
      </c>
      <c r="S2339" s="129">
        <v>0</v>
      </c>
      <c r="T2339" s="129">
        <v>2</v>
      </c>
      <c r="W2339" s="111"/>
      <c r="AC2339" s="130"/>
      <c r="AD2339" s="130">
        <v>30176</v>
      </c>
      <c r="AE2339" s="128" t="s">
        <v>46</v>
      </c>
      <c r="AF2339" s="128" t="s">
        <v>69</v>
      </c>
      <c r="AG2339" s="128" t="s">
        <v>874</v>
      </c>
      <c r="AH2339" s="108" t="s">
        <v>31</v>
      </c>
      <c r="AI2339" s="128" t="s">
        <v>95</v>
      </c>
      <c r="AJ2339" s="129" t="s">
        <v>48</v>
      </c>
      <c r="AK2339" s="129">
        <v>9</v>
      </c>
      <c r="AL2339" s="3" t="s">
        <v>48</v>
      </c>
      <c r="AP2339" s="129" t="s">
        <v>131</v>
      </c>
      <c r="AR2339" s="128" t="s">
        <v>50</v>
      </c>
      <c r="AS2339" s="129" t="s">
        <v>106</v>
      </c>
      <c r="AT2339" s="129" t="s">
        <v>1061</v>
      </c>
      <c r="AV2339" s="3" t="s">
        <v>88</v>
      </c>
      <c r="AW2339" s="129" t="s">
        <v>679</v>
      </c>
      <c r="BA2339" s="125">
        <v>41317</v>
      </c>
      <c r="BB2339" s="129">
        <v>636</v>
      </c>
      <c r="BC2339" s="129" t="s">
        <v>52</v>
      </c>
      <c r="BD2339" s="32" t="s">
        <v>1060</v>
      </c>
      <c r="BF2339" s="111">
        <v>57</v>
      </c>
      <c r="BG2339" s="111">
        <f t="shared" si="1740"/>
        <v>273</v>
      </c>
      <c r="BH2339" s="111">
        <f t="shared" si="1709"/>
        <v>276</v>
      </c>
      <c r="BI2339" s="111">
        <f t="shared" si="1710"/>
        <v>29.333333333333332</v>
      </c>
      <c r="BJ2339" s="129">
        <f>(G2339-J2339)+(M2339-G2339)</f>
        <v>0</v>
      </c>
      <c r="BK2339" s="129">
        <f t="shared" si="1711"/>
        <v>-267</v>
      </c>
      <c r="BL2339" s="129" t="str">
        <f t="shared" si="1704"/>
        <v>DEFERRED</v>
      </c>
      <c r="BM2339" s="129" t="s">
        <v>76</v>
      </c>
      <c r="BN2339" s="129" t="s">
        <v>88</v>
      </c>
      <c r="BP2339" s="137" t="str">
        <f t="shared" si="1712"/>
        <v>DEFERRED</v>
      </c>
      <c r="BQ2339" s="128" t="str">
        <f t="shared" si="1720"/>
        <v>Y</v>
      </c>
      <c r="BR2339" s="129" t="s">
        <v>574</v>
      </c>
      <c r="BS2339" s="129" t="str">
        <f t="shared" si="1714"/>
        <v>DISPOSED</v>
      </c>
      <c r="BT2339" s="129" t="str">
        <f t="shared" si="1715"/>
        <v>N</v>
      </c>
      <c r="BU2339" s="109">
        <f t="shared" si="1721"/>
        <v>0.20652173913043478</v>
      </c>
      <c r="BV2339" s="109">
        <f t="shared" si="1722"/>
        <v>2.197802197802198E-2</v>
      </c>
      <c r="BW2339" s="109">
        <f t="shared" si="1738"/>
        <v>-0.1845437171524128</v>
      </c>
      <c r="BX2339" s="111">
        <f t="shared" si="1716"/>
        <v>0</v>
      </c>
      <c r="BY2339" s="129">
        <f t="shared" si="1723"/>
        <v>-6</v>
      </c>
      <c r="BZ2339" s="111">
        <f t="shared" si="1724"/>
        <v>51</v>
      </c>
      <c r="CA2339" s="138">
        <f t="shared" si="1725"/>
        <v>273</v>
      </c>
      <c r="CB2339" s="111">
        <v>57</v>
      </c>
      <c r="CC2339" s="129">
        <f>G2339-I2339+1</f>
        <v>273</v>
      </c>
      <c r="CD2339" s="129">
        <f t="shared" si="1743"/>
        <v>267</v>
      </c>
      <c r="CG2339" s="129" t="str">
        <f t="shared" si="1726"/>
        <v>Y</v>
      </c>
      <c r="CI2339" s="129" t="str">
        <f t="shared" si="1729"/>
        <v>31-60 DAYS</v>
      </c>
      <c r="CJ2339" s="137">
        <f t="shared" si="1730"/>
        <v>3</v>
      </c>
      <c r="CK2339" s="129" t="str">
        <f t="shared" si="1731"/>
        <v>Booked</v>
      </c>
    </row>
    <row r="2340" spans="1:89" ht="15" customHeight="1" x14ac:dyDescent="0.25">
      <c r="A2340" s="111">
        <v>1964</v>
      </c>
      <c r="B2340" s="128" t="str">
        <f t="shared" si="1717"/>
        <v>N</v>
      </c>
      <c r="C2340" s="128" t="str">
        <f t="shared" si="1718"/>
        <v>N</v>
      </c>
      <c r="D2340" s="117">
        <v>2525882</v>
      </c>
      <c r="E2340" s="135">
        <f t="shared" si="1719"/>
        <v>5</v>
      </c>
      <c r="F2340" s="124">
        <v>40982</v>
      </c>
      <c r="G2340" s="125">
        <v>40984</v>
      </c>
      <c r="H2340" s="117">
        <v>2525882</v>
      </c>
      <c r="I2340" s="124">
        <v>40982</v>
      </c>
      <c r="J2340" s="124">
        <v>40984</v>
      </c>
      <c r="K2340" s="126">
        <v>5000</v>
      </c>
      <c r="L2340" s="127" t="s">
        <v>569</v>
      </c>
      <c r="N2340" s="129" t="str">
        <f t="shared" si="1742"/>
        <v>N</v>
      </c>
      <c r="O2340" s="128" t="s">
        <v>917</v>
      </c>
      <c r="P2340" s="129" t="s">
        <v>39</v>
      </c>
      <c r="Q2340" s="111">
        <f t="shared" si="1732"/>
        <v>3</v>
      </c>
      <c r="R2340" s="111">
        <f t="shared" si="1737"/>
        <v>3</v>
      </c>
      <c r="S2340" s="129">
        <v>0</v>
      </c>
      <c r="T2340" s="129">
        <v>3</v>
      </c>
      <c r="W2340" s="111"/>
      <c r="AC2340" s="130"/>
      <c r="AD2340" s="130">
        <v>19781</v>
      </c>
      <c r="AE2340" s="128" t="s">
        <v>32</v>
      </c>
      <c r="AF2340" s="128" t="s">
        <v>69</v>
      </c>
      <c r="AG2340" s="128" t="s">
        <v>874</v>
      </c>
      <c r="AH2340" s="108" t="s">
        <v>31</v>
      </c>
      <c r="AI2340" s="128" t="s">
        <v>97</v>
      </c>
      <c r="AJ2340" s="129" t="s">
        <v>89</v>
      </c>
      <c r="AK2340" s="129">
        <v>1</v>
      </c>
      <c r="AL2340" s="3" t="s">
        <v>992</v>
      </c>
      <c r="AN2340" s="117">
        <v>6</v>
      </c>
      <c r="AP2340" s="129" t="s">
        <v>278</v>
      </c>
      <c r="AR2340" s="128" t="s">
        <v>44</v>
      </c>
      <c r="AS2340" s="129" t="s">
        <v>45</v>
      </c>
      <c r="BC2340" s="129" t="s">
        <v>99</v>
      </c>
      <c r="BF2340" s="111">
        <f t="shared" si="1739"/>
        <v>3</v>
      </c>
      <c r="BG2340" s="111">
        <f t="shared" si="1740"/>
        <v>3</v>
      </c>
      <c r="BH2340" s="111">
        <f t="shared" si="1709"/>
        <v>3</v>
      </c>
      <c r="BI2340" s="111">
        <f t="shared" si="1710"/>
        <v>57.92622950819672</v>
      </c>
      <c r="BJ2340" s="129">
        <f t="shared" si="1727"/>
        <v>0</v>
      </c>
      <c r="BK2340" s="129">
        <f t="shared" si="1711"/>
        <v>0</v>
      </c>
      <c r="BL2340" s="129" t="str">
        <f t="shared" si="1704"/>
        <v>CONVICTION</v>
      </c>
      <c r="BM2340" s="129" t="str">
        <f t="shared" si="1728"/>
        <v>NONE</v>
      </c>
      <c r="BN2340" s="129" t="s">
        <v>566</v>
      </c>
      <c r="BP2340" s="137" t="str">
        <f t="shared" si="1712"/>
        <v>CONVICTION</v>
      </c>
      <c r="BQ2340" s="128" t="str">
        <f t="shared" si="1720"/>
        <v>Y</v>
      </c>
      <c r="BR2340" s="129" t="str">
        <f t="shared" si="1713"/>
        <v>DETAINED</v>
      </c>
      <c r="BS2340" s="129" t="str">
        <f t="shared" si="1714"/>
        <v>DISPOSED</v>
      </c>
      <c r="BT2340" s="129" t="str">
        <f t="shared" si="1715"/>
        <v>N</v>
      </c>
      <c r="BU2340" s="109">
        <f t="shared" si="1721"/>
        <v>1</v>
      </c>
      <c r="BV2340" s="109">
        <f t="shared" si="1722"/>
        <v>1</v>
      </c>
      <c r="BW2340" s="109">
        <f t="shared" si="1738"/>
        <v>0</v>
      </c>
      <c r="BX2340" s="111">
        <f t="shared" si="1716"/>
        <v>0</v>
      </c>
      <c r="BY2340" s="129">
        <f t="shared" si="1723"/>
        <v>-3</v>
      </c>
      <c r="BZ2340" s="111">
        <f t="shared" si="1724"/>
        <v>0</v>
      </c>
      <c r="CA2340" s="138">
        <f t="shared" si="1725"/>
        <v>3</v>
      </c>
      <c r="CB2340" s="111" t="e">
        <f t="shared" si="1741"/>
        <v>#VALUE!</v>
      </c>
      <c r="CC2340" s="129">
        <f>G2340-I2340+1</f>
        <v>3</v>
      </c>
      <c r="CD2340" s="129">
        <f t="shared" si="1743"/>
        <v>0</v>
      </c>
      <c r="CG2340" s="129" t="str">
        <f t="shared" si="1726"/>
        <v>Y</v>
      </c>
      <c r="CI2340" s="129" t="str">
        <f t="shared" si="1729"/>
        <v>0-10 DAYS</v>
      </c>
      <c r="CJ2340" s="137">
        <f t="shared" si="1730"/>
        <v>1</v>
      </c>
      <c r="CK2340" s="129" t="str">
        <f t="shared" si="1731"/>
        <v>Booked</v>
      </c>
    </row>
    <row r="2341" spans="1:89" ht="15.75" customHeight="1" x14ac:dyDescent="0.25">
      <c r="A2341" s="111">
        <v>3063</v>
      </c>
      <c r="B2341" s="128" t="str">
        <f t="shared" si="1717"/>
        <v>N</v>
      </c>
      <c r="C2341" s="128" t="str">
        <f t="shared" si="1718"/>
        <v>Y</v>
      </c>
      <c r="D2341" s="117">
        <v>2525958</v>
      </c>
      <c r="E2341" s="135">
        <f t="shared" si="1719"/>
        <v>6</v>
      </c>
      <c r="F2341" s="124">
        <v>41022</v>
      </c>
      <c r="G2341" s="125">
        <v>41775</v>
      </c>
      <c r="H2341" s="117">
        <v>2525958</v>
      </c>
      <c r="I2341" s="124">
        <v>41023</v>
      </c>
      <c r="J2341" s="124">
        <v>41023</v>
      </c>
      <c r="K2341" s="126">
        <v>80000</v>
      </c>
      <c r="L2341" s="129" t="s">
        <v>572</v>
      </c>
      <c r="M2341" s="125">
        <v>41023</v>
      </c>
      <c r="N2341" s="129" t="str">
        <f t="shared" si="1742"/>
        <v>Y</v>
      </c>
      <c r="O2341" s="128" t="s">
        <v>585</v>
      </c>
      <c r="P2341" s="129" t="s">
        <v>39</v>
      </c>
      <c r="Q2341" s="111">
        <v>5</v>
      </c>
      <c r="R2341" s="111">
        <f t="shared" si="1737"/>
        <v>754</v>
      </c>
      <c r="S2341" s="129">
        <v>0</v>
      </c>
      <c r="T2341" s="129">
        <v>0</v>
      </c>
      <c r="W2341" s="111"/>
      <c r="AC2341" s="130"/>
      <c r="AD2341" s="130">
        <v>33385</v>
      </c>
      <c r="AE2341" s="128" t="s">
        <v>32</v>
      </c>
      <c r="AF2341" s="128" t="s">
        <v>33</v>
      </c>
      <c r="AG2341" s="128" t="s">
        <v>872</v>
      </c>
      <c r="AH2341" s="108" t="s">
        <v>31</v>
      </c>
      <c r="AI2341" s="128" t="s">
        <v>87</v>
      </c>
      <c r="AJ2341" s="129" t="s">
        <v>89</v>
      </c>
      <c r="AK2341" s="129">
        <v>24</v>
      </c>
      <c r="AL2341" s="3" t="s">
        <v>362</v>
      </c>
      <c r="AM2341" s="117">
        <v>9</v>
      </c>
      <c r="AP2341" s="129" t="s">
        <v>105</v>
      </c>
      <c r="AR2341" s="128" t="s">
        <v>92</v>
      </c>
      <c r="AS2341" s="129" t="s">
        <v>106</v>
      </c>
      <c r="AT2341" s="129" t="s">
        <v>1390</v>
      </c>
      <c r="AU2341" s="3" t="s">
        <v>1391</v>
      </c>
      <c r="AX2341" s="125">
        <v>41143</v>
      </c>
      <c r="BC2341" s="129" t="s">
        <v>52</v>
      </c>
      <c r="BF2341" s="111">
        <v>5</v>
      </c>
      <c r="BG2341" s="111">
        <f t="shared" si="1740"/>
        <v>753</v>
      </c>
      <c r="BH2341" s="111">
        <f t="shared" si="1709"/>
        <v>754</v>
      </c>
      <c r="BI2341" s="111">
        <f t="shared" si="1710"/>
        <v>20.866120218579233</v>
      </c>
      <c r="BJ2341" s="129">
        <f>(G2341-J2341)+(M2341-G2341)</f>
        <v>0</v>
      </c>
      <c r="BK2341" s="129">
        <f t="shared" si="1711"/>
        <v>-752</v>
      </c>
      <c r="BL2341" s="129" t="str">
        <f t="shared" si="1704"/>
        <v>CONVICTION</v>
      </c>
      <c r="BM2341" s="129" t="s">
        <v>76</v>
      </c>
      <c r="BN2341" s="129" t="s">
        <v>51</v>
      </c>
      <c r="BP2341" s="137" t="str">
        <f t="shared" si="1712"/>
        <v>CONVICTION</v>
      </c>
      <c r="BQ2341" s="128" t="str">
        <f t="shared" si="1720"/>
        <v>Y</v>
      </c>
      <c r="BR2341" s="129" t="str">
        <f t="shared" si="1713"/>
        <v>ON BOND</v>
      </c>
      <c r="BS2341" s="129" t="str">
        <f t="shared" si="1714"/>
        <v>DISPOSED</v>
      </c>
      <c r="BT2341" s="129" t="str">
        <f t="shared" si="1715"/>
        <v>N</v>
      </c>
      <c r="BU2341" s="109">
        <f>IFERROR(Q2341/R2341,BR2341)</f>
        <v>6.6312997347480109E-3</v>
      </c>
      <c r="BV2341" s="139">
        <v>6.6E-3</v>
      </c>
      <c r="BW2341" s="109">
        <v>0</v>
      </c>
      <c r="BX2341" s="111">
        <f t="shared" si="1716"/>
        <v>0</v>
      </c>
      <c r="BY2341" s="129">
        <f t="shared" si="1723"/>
        <v>-1</v>
      </c>
      <c r="BZ2341" s="111">
        <f t="shared" si="1724"/>
        <v>4</v>
      </c>
      <c r="CA2341" s="138">
        <f t="shared" si="1725"/>
        <v>1</v>
      </c>
      <c r="CB2341" s="111" t="e">
        <f t="shared" si="1741"/>
        <v>#VALUE!</v>
      </c>
      <c r="CC2341" s="129">
        <v>5</v>
      </c>
      <c r="CG2341" s="129" t="str">
        <f t="shared" si="1726"/>
        <v>N</v>
      </c>
      <c r="CH2341" s="129" t="e">
        <v>#N/A</v>
      </c>
      <c r="CI2341" s="129" t="str">
        <f t="shared" si="1729"/>
        <v>0-10 DAYS</v>
      </c>
      <c r="CJ2341" s="137">
        <f t="shared" si="1730"/>
        <v>1</v>
      </c>
      <c r="CK2341" s="129" t="str">
        <f t="shared" si="1731"/>
        <v>Booked</v>
      </c>
    </row>
    <row r="2342" spans="1:89" ht="15.75" customHeight="1" x14ac:dyDescent="0.25">
      <c r="A2342" s="111">
        <v>2990</v>
      </c>
      <c r="B2342" s="128" t="str">
        <f t="shared" si="1717"/>
        <v>N</v>
      </c>
      <c r="C2342" s="128" t="str">
        <f t="shared" si="1718"/>
        <v>N</v>
      </c>
      <c r="D2342" s="117">
        <v>2526209</v>
      </c>
      <c r="E2342" s="135">
        <f t="shared" si="1719"/>
        <v>4</v>
      </c>
      <c r="F2342" s="124">
        <v>41019</v>
      </c>
      <c r="G2342" s="125">
        <v>41022</v>
      </c>
      <c r="H2342" s="117">
        <v>2526209</v>
      </c>
      <c r="I2342" s="124">
        <v>41019</v>
      </c>
      <c r="J2342" s="124">
        <v>41022</v>
      </c>
      <c r="K2342" s="126">
        <v>5000</v>
      </c>
      <c r="L2342" s="127" t="s">
        <v>569</v>
      </c>
      <c r="N2342" s="129" t="str">
        <f t="shared" si="1742"/>
        <v>N</v>
      </c>
      <c r="O2342" s="128" t="s">
        <v>917</v>
      </c>
      <c r="P2342" s="129" t="s">
        <v>39</v>
      </c>
      <c r="Q2342" s="111">
        <f t="shared" ref="Q2342:Q2373" si="1744">BF2342</f>
        <v>4</v>
      </c>
      <c r="R2342" s="111">
        <f t="shared" si="1737"/>
        <v>4</v>
      </c>
      <c r="S2342" s="129">
        <v>1</v>
      </c>
      <c r="T2342" s="129">
        <v>0</v>
      </c>
      <c r="W2342" s="111"/>
      <c r="AC2342" s="130"/>
      <c r="AD2342" s="130">
        <v>33883</v>
      </c>
      <c r="AE2342" s="128" t="s">
        <v>32</v>
      </c>
      <c r="AF2342" s="128" t="s">
        <v>33</v>
      </c>
      <c r="AG2342" s="128" t="s">
        <v>872</v>
      </c>
      <c r="AH2342" s="108" t="s">
        <v>31</v>
      </c>
      <c r="AI2342" s="128" t="s">
        <v>83</v>
      </c>
      <c r="AJ2342" s="129" t="s">
        <v>89</v>
      </c>
      <c r="AK2342" s="129">
        <v>1</v>
      </c>
      <c r="AL2342" s="3" t="s">
        <v>991</v>
      </c>
      <c r="AO2342" s="128">
        <v>180</v>
      </c>
      <c r="AP2342" s="129" t="s">
        <v>43</v>
      </c>
      <c r="AR2342" s="128" t="s">
        <v>44</v>
      </c>
      <c r="AS2342" s="129" t="s">
        <v>45</v>
      </c>
      <c r="AT2342" s="129" t="s">
        <v>507</v>
      </c>
      <c r="BC2342" s="129" t="s">
        <v>38</v>
      </c>
      <c r="BF2342" s="111">
        <f t="shared" si="1739"/>
        <v>4</v>
      </c>
      <c r="BG2342" s="111">
        <f t="shared" si="1740"/>
        <v>4</v>
      </c>
      <c r="BH2342" s="111">
        <f t="shared" si="1709"/>
        <v>4</v>
      </c>
      <c r="BI2342" s="111">
        <f t="shared" si="1710"/>
        <v>19.497267759562842</v>
      </c>
      <c r="BJ2342" s="129">
        <f t="shared" si="1727"/>
        <v>0</v>
      </c>
      <c r="BK2342" s="129">
        <f t="shared" si="1711"/>
        <v>0</v>
      </c>
      <c r="BL2342" s="129" t="str">
        <f t="shared" si="1704"/>
        <v>CONVICTION</v>
      </c>
      <c r="BM2342" s="129" t="str">
        <f t="shared" si="1728"/>
        <v>NONE</v>
      </c>
      <c r="BN2342" s="129" t="s">
        <v>566</v>
      </c>
      <c r="BP2342" s="137" t="str">
        <f t="shared" si="1712"/>
        <v>CONVICTION</v>
      </c>
      <c r="BQ2342" s="128" t="str">
        <f t="shared" si="1720"/>
        <v>Y</v>
      </c>
      <c r="BR2342" s="129" t="str">
        <f t="shared" si="1713"/>
        <v>DETAINED</v>
      </c>
      <c r="BS2342" s="129" t="str">
        <f t="shared" si="1714"/>
        <v>DISPOSED</v>
      </c>
      <c r="BT2342" s="129" t="str">
        <f t="shared" si="1715"/>
        <v>Y</v>
      </c>
      <c r="BU2342" s="109">
        <f t="shared" si="1721"/>
        <v>1</v>
      </c>
      <c r="BV2342" s="109">
        <f t="shared" si="1722"/>
        <v>1</v>
      </c>
      <c r="BW2342" s="109">
        <f t="shared" ref="BW2342:BW2360" si="1745">BV2342-BU2342</f>
        <v>0</v>
      </c>
      <c r="BX2342" s="111">
        <f t="shared" si="1716"/>
        <v>0</v>
      </c>
      <c r="BY2342" s="129">
        <f t="shared" si="1723"/>
        <v>-4</v>
      </c>
      <c r="BZ2342" s="111">
        <f t="shared" si="1724"/>
        <v>0</v>
      </c>
      <c r="CA2342" s="138">
        <f t="shared" si="1725"/>
        <v>4</v>
      </c>
      <c r="CB2342" s="111" t="e">
        <f t="shared" si="1741"/>
        <v>#VALUE!</v>
      </c>
      <c r="CC2342" s="129">
        <f>G2342-I2342+1</f>
        <v>4</v>
      </c>
      <c r="CD2342" s="129">
        <f>G2342-J2342</f>
        <v>0</v>
      </c>
      <c r="CG2342" s="129" t="str">
        <f t="shared" si="1726"/>
        <v>Y</v>
      </c>
      <c r="CI2342" s="129" t="str">
        <f t="shared" si="1729"/>
        <v>0-10 DAYS</v>
      </c>
      <c r="CJ2342" s="137">
        <f t="shared" si="1730"/>
        <v>1</v>
      </c>
      <c r="CK2342" s="129" t="str">
        <f t="shared" si="1731"/>
        <v>Booked</v>
      </c>
    </row>
    <row r="2343" spans="1:89" ht="15.75" customHeight="1" x14ac:dyDescent="0.25">
      <c r="A2343" s="111">
        <v>235</v>
      </c>
      <c r="B2343" s="128" t="str">
        <f t="shared" si="1717"/>
        <v>N</v>
      </c>
      <c r="C2343" s="128" t="str">
        <f t="shared" si="1718"/>
        <v>N</v>
      </c>
      <c r="D2343" s="117">
        <v>2526425</v>
      </c>
      <c r="E2343" s="135">
        <f t="shared" si="1719"/>
        <v>2</v>
      </c>
      <c r="F2343" s="124">
        <v>40919</v>
      </c>
      <c r="G2343" s="125">
        <v>40962</v>
      </c>
      <c r="H2343" s="117">
        <v>2526425</v>
      </c>
      <c r="I2343" s="124">
        <v>40919</v>
      </c>
      <c r="J2343" s="124">
        <v>40923</v>
      </c>
      <c r="K2343" s="126">
        <v>2000</v>
      </c>
      <c r="L2343" s="127" t="s">
        <v>568</v>
      </c>
      <c r="M2343" s="125">
        <v>40923</v>
      </c>
      <c r="N2343" s="129" t="str">
        <f t="shared" si="1742"/>
        <v>Y</v>
      </c>
      <c r="O2343" s="128" t="s">
        <v>76</v>
      </c>
      <c r="P2343" s="129" t="s">
        <v>589</v>
      </c>
      <c r="Q2343" s="111">
        <f t="shared" si="1744"/>
        <v>5</v>
      </c>
      <c r="R2343" s="111">
        <f t="shared" si="1737"/>
        <v>44</v>
      </c>
      <c r="S2343" s="129">
        <v>1</v>
      </c>
      <c r="T2343" s="129">
        <v>0</v>
      </c>
      <c r="V2343" s="117">
        <v>1</v>
      </c>
      <c r="W2343" s="111"/>
      <c r="AC2343" s="130"/>
      <c r="AD2343" s="130">
        <v>33682</v>
      </c>
      <c r="AE2343" s="128" t="s">
        <v>32</v>
      </c>
      <c r="AF2343" s="128" t="s">
        <v>69</v>
      </c>
      <c r="AG2343" s="128" t="s">
        <v>874</v>
      </c>
      <c r="AH2343" s="108" t="s">
        <v>31</v>
      </c>
      <c r="AI2343" s="128" t="s">
        <v>83</v>
      </c>
      <c r="AJ2343" s="129" t="s">
        <v>48</v>
      </c>
      <c r="AK2343" s="129">
        <v>3</v>
      </c>
      <c r="AL2343" s="3" t="s">
        <v>48</v>
      </c>
      <c r="AP2343" s="129" t="s">
        <v>108</v>
      </c>
      <c r="AR2343" s="128" t="s">
        <v>44</v>
      </c>
      <c r="AS2343" s="129" t="s">
        <v>61</v>
      </c>
      <c r="BC2343" s="129" t="s">
        <v>38</v>
      </c>
      <c r="BF2343" s="111">
        <f t="shared" si="1739"/>
        <v>5</v>
      </c>
      <c r="BG2343" s="111">
        <f t="shared" si="1740"/>
        <v>44</v>
      </c>
      <c r="BH2343" s="111">
        <f t="shared" si="1709"/>
        <v>44</v>
      </c>
      <c r="BI2343" s="111">
        <f t="shared" si="1710"/>
        <v>19.773224043715846</v>
      </c>
      <c r="BJ2343" s="129">
        <f>(G2343-J2343)+(M2343-G2343)</f>
        <v>0</v>
      </c>
      <c r="BK2343" s="129">
        <f t="shared" si="1711"/>
        <v>-39</v>
      </c>
      <c r="BL2343" s="129" t="str">
        <f t="shared" si="1704"/>
        <v>DEFERRED</v>
      </c>
      <c r="BM2343" s="129" t="s">
        <v>76</v>
      </c>
      <c r="BN2343" s="129" t="s">
        <v>88</v>
      </c>
      <c r="BP2343" s="137" t="str">
        <f t="shared" si="1712"/>
        <v>DEFERRED</v>
      </c>
      <c r="BQ2343" s="128" t="str">
        <f t="shared" si="1720"/>
        <v>Y</v>
      </c>
      <c r="BR2343" s="129" t="str">
        <f t="shared" si="1713"/>
        <v>ON BOND</v>
      </c>
      <c r="BS2343" s="129" t="str">
        <f t="shared" si="1714"/>
        <v>DISPOSED</v>
      </c>
      <c r="BT2343" s="129" t="str">
        <f t="shared" si="1715"/>
        <v>Y</v>
      </c>
      <c r="BU2343" s="109">
        <f t="shared" si="1721"/>
        <v>0.11363636363636363</v>
      </c>
      <c r="BV2343" s="109">
        <f t="shared" si="1722"/>
        <v>0.11363636363636363</v>
      </c>
      <c r="BW2343" s="109">
        <f t="shared" si="1745"/>
        <v>0</v>
      </c>
      <c r="BX2343" s="111">
        <f t="shared" si="1716"/>
        <v>0</v>
      </c>
      <c r="BY2343" s="129">
        <f t="shared" si="1723"/>
        <v>-5</v>
      </c>
      <c r="BZ2343" s="111">
        <f t="shared" si="1724"/>
        <v>0</v>
      </c>
      <c r="CA2343" s="138">
        <f t="shared" si="1725"/>
        <v>5</v>
      </c>
      <c r="CB2343" s="111" t="e">
        <f t="shared" si="1741"/>
        <v>#VALUE!</v>
      </c>
      <c r="CC2343" s="129">
        <f>M2343-I2343+1</f>
        <v>5</v>
      </c>
      <c r="CD2343" s="111">
        <f>CC2343-BF2343</f>
        <v>0</v>
      </c>
      <c r="CG2343" s="129" t="str">
        <f t="shared" si="1726"/>
        <v>Y</v>
      </c>
      <c r="CI2343" s="129" t="str">
        <f t="shared" si="1729"/>
        <v>0-10 DAYS</v>
      </c>
      <c r="CJ2343" s="137">
        <f t="shared" si="1730"/>
        <v>1</v>
      </c>
      <c r="CK2343" s="129" t="str">
        <f t="shared" si="1731"/>
        <v>Booked</v>
      </c>
    </row>
    <row r="2344" spans="1:89" ht="15.75" customHeight="1" x14ac:dyDescent="0.25">
      <c r="A2344" s="111">
        <v>3047</v>
      </c>
      <c r="B2344" s="128" t="str">
        <f t="shared" si="1717"/>
        <v>N</v>
      </c>
      <c r="C2344" s="128" t="str">
        <f t="shared" si="1718"/>
        <v>N</v>
      </c>
      <c r="D2344" s="117">
        <v>2527368</v>
      </c>
      <c r="E2344" s="135">
        <f t="shared" si="1719"/>
        <v>4</v>
      </c>
      <c r="F2344" s="124">
        <v>41022</v>
      </c>
      <c r="G2344" s="125">
        <v>41123</v>
      </c>
      <c r="H2344" s="117">
        <v>2527368</v>
      </c>
      <c r="I2344" s="124">
        <v>41022</v>
      </c>
      <c r="J2344" s="124">
        <v>41023</v>
      </c>
      <c r="K2344" s="126">
        <v>2000</v>
      </c>
      <c r="L2344" s="127" t="s">
        <v>568</v>
      </c>
      <c r="M2344" s="125">
        <v>41023</v>
      </c>
      <c r="N2344" s="129" t="str">
        <f t="shared" si="1742"/>
        <v>Y</v>
      </c>
      <c r="O2344" s="128" t="s">
        <v>76</v>
      </c>
      <c r="P2344" s="129" t="s">
        <v>39</v>
      </c>
      <c r="Q2344" s="111">
        <f t="shared" si="1744"/>
        <v>2</v>
      </c>
      <c r="R2344" s="111">
        <f t="shared" si="1737"/>
        <v>102</v>
      </c>
      <c r="S2344" s="129">
        <v>0</v>
      </c>
      <c r="T2344" s="129">
        <v>0</v>
      </c>
      <c r="W2344" s="111"/>
      <c r="AC2344" s="130"/>
      <c r="AD2344" s="130">
        <v>32066</v>
      </c>
      <c r="AE2344" s="128" t="s">
        <v>46</v>
      </c>
      <c r="AF2344" s="128" t="s">
        <v>33</v>
      </c>
      <c r="AG2344" s="128" t="s">
        <v>872</v>
      </c>
      <c r="AH2344" s="108" t="s">
        <v>31</v>
      </c>
      <c r="AI2344" s="128" t="s">
        <v>118</v>
      </c>
      <c r="AJ2344" s="129" t="s">
        <v>89</v>
      </c>
      <c r="AK2344" s="129">
        <v>4</v>
      </c>
      <c r="AL2344" s="3" t="s">
        <v>991</v>
      </c>
      <c r="AO2344" s="128">
        <v>120</v>
      </c>
      <c r="AP2344" s="129" t="s">
        <v>108</v>
      </c>
      <c r="AR2344" s="128" t="s">
        <v>44</v>
      </c>
      <c r="AS2344" s="129" t="s">
        <v>61</v>
      </c>
      <c r="BC2344" s="129" t="s">
        <v>38</v>
      </c>
      <c r="BF2344" s="111">
        <f t="shared" si="1739"/>
        <v>2</v>
      </c>
      <c r="BG2344" s="111">
        <f t="shared" si="1740"/>
        <v>102</v>
      </c>
      <c r="BH2344" s="111">
        <f t="shared" si="1709"/>
        <v>102</v>
      </c>
      <c r="BI2344" s="111">
        <f t="shared" si="1710"/>
        <v>24.469945355191257</v>
      </c>
      <c r="BJ2344" s="129">
        <f>(G2344-J2344)+(M2344-G2344)</f>
        <v>0</v>
      </c>
      <c r="BK2344" s="129">
        <f t="shared" si="1711"/>
        <v>-100</v>
      </c>
      <c r="BL2344" s="129" t="str">
        <f t="shared" si="1704"/>
        <v>CONVICTION</v>
      </c>
      <c r="BM2344" s="129" t="s">
        <v>76</v>
      </c>
      <c r="BN2344" s="129" t="s">
        <v>88</v>
      </c>
      <c r="BP2344" s="137" t="str">
        <f t="shared" si="1712"/>
        <v>CONVICTION</v>
      </c>
      <c r="BQ2344" s="128" t="str">
        <f t="shared" si="1720"/>
        <v>Y</v>
      </c>
      <c r="BR2344" s="129" t="str">
        <f>IF(J2344&lt;G2344,"ON BOND",0)</f>
        <v>ON BOND</v>
      </c>
      <c r="BS2344" s="129" t="str">
        <f t="shared" si="1714"/>
        <v>DISPOSED</v>
      </c>
      <c r="BT2344" s="129" t="str">
        <f t="shared" si="1715"/>
        <v>N</v>
      </c>
      <c r="BU2344" s="109">
        <f t="shared" si="1721"/>
        <v>1.9607843137254902E-2</v>
      </c>
      <c r="BV2344" s="109">
        <f t="shared" si="1722"/>
        <v>1.9607843137254902E-2</v>
      </c>
      <c r="BW2344" s="109">
        <f t="shared" si="1745"/>
        <v>0</v>
      </c>
      <c r="BX2344" s="111">
        <f t="shared" si="1716"/>
        <v>0</v>
      </c>
      <c r="BY2344" s="129">
        <f t="shared" si="1723"/>
        <v>-2</v>
      </c>
      <c r="BZ2344" s="111">
        <f t="shared" si="1724"/>
        <v>0</v>
      </c>
      <c r="CA2344" s="138">
        <f t="shared" si="1725"/>
        <v>2</v>
      </c>
      <c r="CB2344" s="111" t="e">
        <f t="shared" si="1741"/>
        <v>#VALUE!</v>
      </c>
      <c r="CC2344" s="129">
        <f>M2344-I2344+1</f>
        <v>2</v>
      </c>
      <c r="CD2344" s="111">
        <f>CC2344-BF2344</f>
        <v>0</v>
      </c>
      <c r="CG2344" s="129" t="str">
        <f t="shared" si="1726"/>
        <v>N</v>
      </c>
      <c r="CI2344" s="129" t="str">
        <f t="shared" si="1729"/>
        <v>0-10 DAYS</v>
      </c>
      <c r="CJ2344" s="137">
        <f t="shared" si="1730"/>
        <v>1</v>
      </c>
      <c r="CK2344" s="129" t="str">
        <f t="shared" si="1731"/>
        <v>Booked</v>
      </c>
    </row>
    <row r="2345" spans="1:89" ht="15.75" customHeight="1" x14ac:dyDescent="0.25">
      <c r="A2345" s="111">
        <v>1825</v>
      </c>
      <c r="B2345" s="128" t="str">
        <f t="shared" si="1717"/>
        <v>N</v>
      </c>
      <c r="C2345" s="128" t="str">
        <f t="shared" si="1718"/>
        <v>N</v>
      </c>
      <c r="D2345" s="117">
        <v>2527425</v>
      </c>
      <c r="E2345" s="135">
        <f t="shared" si="1719"/>
        <v>5</v>
      </c>
      <c r="F2345" s="124">
        <v>40976</v>
      </c>
      <c r="G2345" s="125">
        <v>41032</v>
      </c>
      <c r="H2345" s="117">
        <v>2527425</v>
      </c>
      <c r="I2345" s="124">
        <v>40977</v>
      </c>
      <c r="J2345" s="124">
        <v>41032</v>
      </c>
      <c r="K2345" s="126">
        <v>10000</v>
      </c>
      <c r="L2345" s="127" t="s">
        <v>570</v>
      </c>
      <c r="N2345" s="129" t="str">
        <f t="shared" si="1742"/>
        <v>N</v>
      </c>
      <c r="O2345" s="128" t="s">
        <v>917</v>
      </c>
      <c r="P2345" s="129" t="s">
        <v>39</v>
      </c>
      <c r="Q2345" s="111">
        <f t="shared" si="1744"/>
        <v>56</v>
      </c>
      <c r="R2345" s="111">
        <f t="shared" si="1737"/>
        <v>57</v>
      </c>
      <c r="S2345" s="129">
        <v>2</v>
      </c>
      <c r="T2345" s="129">
        <v>1</v>
      </c>
      <c r="U2345" s="129">
        <v>1</v>
      </c>
      <c r="W2345" s="111"/>
      <c r="AC2345" s="130"/>
      <c r="AD2345" s="130">
        <v>34253</v>
      </c>
      <c r="AE2345" s="128" t="s">
        <v>32</v>
      </c>
      <c r="AF2345" s="128" t="s">
        <v>33</v>
      </c>
      <c r="AG2345" s="128" t="s">
        <v>872</v>
      </c>
      <c r="AH2345" s="108" t="s">
        <v>31</v>
      </c>
      <c r="AI2345" s="128" t="s">
        <v>53</v>
      </c>
      <c r="AJ2345" s="129" t="s">
        <v>89</v>
      </c>
      <c r="AK2345" s="129">
        <v>3</v>
      </c>
      <c r="AL2345" s="3" t="s">
        <v>992</v>
      </c>
      <c r="AN2345" s="117">
        <v>6</v>
      </c>
      <c r="AP2345" s="129" t="s">
        <v>197</v>
      </c>
      <c r="AR2345" s="128" t="s">
        <v>44</v>
      </c>
      <c r="AS2345" s="129" t="s">
        <v>61</v>
      </c>
      <c r="BC2345" s="129" t="s">
        <v>38</v>
      </c>
      <c r="BF2345" s="111">
        <f t="shared" si="1739"/>
        <v>56</v>
      </c>
      <c r="BG2345" s="111">
        <f t="shared" si="1740"/>
        <v>56</v>
      </c>
      <c r="BH2345" s="111">
        <f t="shared" si="1709"/>
        <v>57</v>
      </c>
      <c r="BI2345" s="111">
        <f t="shared" si="1710"/>
        <v>18.368852459016395</v>
      </c>
      <c r="BJ2345" s="129">
        <f t="shared" si="1727"/>
        <v>0</v>
      </c>
      <c r="BK2345" s="129">
        <f t="shared" si="1711"/>
        <v>0</v>
      </c>
      <c r="BL2345" s="129" t="str">
        <f t="shared" si="1704"/>
        <v>CONVICTION</v>
      </c>
      <c r="BM2345" s="129" t="str">
        <f t="shared" si="1728"/>
        <v>NONE</v>
      </c>
      <c r="BN2345" s="129" t="s">
        <v>566</v>
      </c>
      <c r="BP2345" s="137" t="str">
        <f t="shared" si="1712"/>
        <v>CONVICTION</v>
      </c>
      <c r="BQ2345" s="128" t="str">
        <f t="shared" si="1720"/>
        <v>Y</v>
      </c>
      <c r="BR2345" s="129" t="str">
        <f t="shared" si="1713"/>
        <v>DETAINED</v>
      </c>
      <c r="BS2345" s="129" t="str">
        <f t="shared" si="1714"/>
        <v>DISPOSED</v>
      </c>
      <c r="BT2345" s="129" t="str">
        <f t="shared" si="1715"/>
        <v>Y</v>
      </c>
      <c r="BU2345" s="109">
        <f t="shared" si="1721"/>
        <v>0.98245614035087714</v>
      </c>
      <c r="BV2345" s="109">
        <f t="shared" si="1722"/>
        <v>1</v>
      </c>
      <c r="BW2345" s="109">
        <f t="shared" si="1745"/>
        <v>1.7543859649122862E-2</v>
      </c>
      <c r="BX2345" s="111">
        <f t="shared" si="1716"/>
        <v>0</v>
      </c>
      <c r="BY2345" s="129">
        <f t="shared" si="1723"/>
        <v>-56</v>
      </c>
      <c r="BZ2345" s="111">
        <f t="shared" si="1724"/>
        <v>0</v>
      </c>
      <c r="CA2345" s="138">
        <f t="shared" si="1725"/>
        <v>56</v>
      </c>
      <c r="CB2345" s="111" t="e">
        <f t="shared" si="1741"/>
        <v>#VALUE!</v>
      </c>
      <c r="CC2345" s="129">
        <f>G2345-I2345+1</f>
        <v>56</v>
      </c>
      <c r="CD2345" s="129">
        <f>G2345-J2345</f>
        <v>0</v>
      </c>
      <c r="CG2345" s="129" t="str">
        <f t="shared" si="1726"/>
        <v>Y</v>
      </c>
      <c r="CI2345" s="129" t="str">
        <f t="shared" si="1729"/>
        <v>31-60 DAYS</v>
      </c>
      <c r="CJ2345" s="137">
        <f t="shared" si="1730"/>
        <v>3</v>
      </c>
      <c r="CK2345" s="129" t="str">
        <f t="shared" si="1731"/>
        <v>Booked</v>
      </c>
    </row>
    <row r="2346" spans="1:89" ht="15" customHeight="1" x14ac:dyDescent="0.25">
      <c r="A2346" s="111">
        <v>2898</v>
      </c>
      <c r="B2346" s="128" t="str">
        <f t="shared" si="1717"/>
        <v>N</v>
      </c>
      <c r="C2346" s="128" t="str">
        <f t="shared" si="1718"/>
        <v>N</v>
      </c>
      <c r="D2346" s="117">
        <v>2527544</v>
      </c>
      <c r="E2346" s="135">
        <f t="shared" si="1719"/>
        <v>2</v>
      </c>
      <c r="F2346" s="124">
        <v>41016</v>
      </c>
      <c r="G2346" s="125">
        <v>41051</v>
      </c>
      <c r="H2346" s="117">
        <v>2527544</v>
      </c>
      <c r="I2346" s="124">
        <v>41016</v>
      </c>
      <c r="J2346" s="124">
        <v>41051</v>
      </c>
      <c r="K2346" s="126">
        <v>5000</v>
      </c>
      <c r="L2346" s="127" t="s">
        <v>569</v>
      </c>
      <c r="N2346" s="129" t="str">
        <f t="shared" si="1742"/>
        <v>N</v>
      </c>
      <c r="O2346" s="128" t="s">
        <v>917</v>
      </c>
      <c r="P2346" s="129" t="s">
        <v>589</v>
      </c>
      <c r="Q2346" s="111">
        <f t="shared" si="1744"/>
        <v>36</v>
      </c>
      <c r="R2346" s="111">
        <f t="shared" si="1737"/>
        <v>36</v>
      </c>
      <c r="S2346" s="129">
        <v>1</v>
      </c>
      <c r="T2346" s="129">
        <v>0</v>
      </c>
      <c r="W2346" s="111"/>
      <c r="AC2346" s="130"/>
      <c r="AD2346" s="130">
        <v>33696</v>
      </c>
      <c r="AE2346" s="128" t="s">
        <v>32</v>
      </c>
      <c r="AF2346" s="128" t="s">
        <v>33</v>
      </c>
      <c r="AG2346" s="128" t="s">
        <v>872</v>
      </c>
      <c r="AH2346" s="108" t="s">
        <v>31</v>
      </c>
      <c r="AI2346" s="128" t="s">
        <v>100</v>
      </c>
      <c r="AJ2346" s="129" t="s">
        <v>48</v>
      </c>
      <c r="AK2346" s="129">
        <v>2</v>
      </c>
      <c r="AL2346" s="3" t="s">
        <v>48</v>
      </c>
      <c r="AP2346" s="129" t="s">
        <v>107</v>
      </c>
      <c r="AR2346" s="128" t="s">
        <v>44</v>
      </c>
      <c r="AS2346" s="129" t="s">
        <v>57</v>
      </c>
      <c r="AT2346" s="129" t="s">
        <v>495</v>
      </c>
      <c r="BC2346" s="129" t="s">
        <v>99</v>
      </c>
      <c r="BF2346" s="111">
        <f t="shared" si="1739"/>
        <v>36</v>
      </c>
      <c r="BG2346" s="111">
        <f t="shared" si="1740"/>
        <v>36</v>
      </c>
      <c r="BH2346" s="111">
        <f t="shared" si="1709"/>
        <v>36</v>
      </c>
      <c r="BI2346" s="111">
        <f t="shared" si="1710"/>
        <v>20</v>
      </c>
      <c r="BJ2346" s="129">
        <f t="shared" si="1727"/>
        <v>0</v>
      </c>
      <c r="BK2346" s="129">
        <f t="shared" si="1711"/>
        <v>0</v>
      </c>
      <c r="BL2346" s="129" t="str">
        <f t="shared" si="1704"/>
        <v>DEFERRED</v>
      </c>
      <c r="BM2346" s="129" t="str">
        <f t="shared" si="1728"/>
        <v>NONE</v>
      </c>
      <c r="BN2346" s="129" t="s">
        <v>566</v>
      </c>
      <c r="BP2346" s="137" t="str">
        <f t="shared" si="1712"/>
        <v>DEFERRED</v>
      </c>
      <c r="BQ2346" s="128" t="str">
        <f t="shared" si="1720"/>
        <v>Y</v>
      </c>
      <c r="BR2346" s="129" t="str">
        <f t="shared" si="1713"/>
        <v>DETAINED</v>
      </c>
      <c r="BS2346" s="129" t="str">
        <f t="shared" si="1714"/>
        <v>DISPOSED</v>
      </c>
      <c r="BT2346" s="129" t="str">
        <f t="shared" si="1715"/>
        <v>Y</v>
      </c>
      <c r="BU2346" s="109">
        <f t="shared" si="1721"/>
        <v>1</v>
      </c>
      <c r="BV2346" s="109">
        <f t="shared" si="1722"/>
        <v>1</v>
      </c>
      <c r="BW2346" s="109">
        <f t="shared" si="1745"/>
        <v>0</v>
      </c>
      <c r="BX2346" s="111">
        <f t="shared" si="1716"/>
        <v>0</v>
      </c>
      <c r="BY2346" s="129">
        <f t="shared" si="1723"/>
        <v>-36</v>
      </c>
      <c r="BZ2346" s="111">
        <f t="shared" si="1724"/>
        <v>0</v>
      </c>
      <c r="CA2346" s="138">
        <f t="shared" si="1725"/>
        <v>36</v>
      </c>
      <c r="CB2346" s="111" t="e">
        <f t="shared" si="1741"/>
        <v>#VALUE!</v>
      </c>
      <c r="CC2346" s="129">
        <f>G2346-I2346+1</f>
        <v>36</v>
      </c>
      <c r="CD2346" s="129">
        <f>G2346-J2346</f>
        <v>0</v>
      </c>
      <c r="CG2346" s="129" t="str">
        <f t="shared" si="1726"/>
        <v>Y</v>
      </c>
      <c r="CI2346" s="129" t="str">
        <f t="shared" si="1729"/>
        <v>31-60 DAYS</v>
      </c>
      <c r="CJ2346" s="137">
        <f t="shared" si="1730"/>
        <v>3</v>
      </c>
      <c r="CK2346" s="129" t="str">
        <f t="shared" si="1731"/>
        <v>Booked</v>
      </c>
    </row>
    <row r="2347" spans="1:89" ht="15.75" customHeight="1" x14ac:dyDescent="0.25">
      <c r="A2347" s="111">
        <v>2129</v>
      </c>
      <c r="B2347" s="128" t="str">
        <f t="shared" si="1717"/>
        <v>N</v>
      </c>
      <c r="C2347" s="128" t="str">
        <f t="shared" si="1718"/>
        <v>N</v>
      </c>
      <c r="D2347" s="117">
        <v>2527569</v>
      </c>
      <c r="E2347" s="135">
        <f t="shared" si="1719"/>
        <v>6</v>
      </c>
      <c r="F2347" s="124">
        <v>40988</v>
      </c>
      <c r="G2347" s="125">
        <v>41569</v>
      </c>
      <c r="H2347" s="117">
        <v>2527569</v>
      </c>
      <c r="I2347" s="124">
        <v>40988</v>
      </c>
      <c r="J2347" s="125">
        <v>41569</v>
      </c>
      <c r="K2347" s="126" t="s">
        <v>564</v>
      </c>
      <c r="L2347" s="127" t="s">
        <v>564</v>
      </c>
      <c r="N2347" s="129" t="s">
        <v>566</v>
      </c>
      <c r="O2347" s="128" t="s">
        <v>917</v>
      </c>
      <c r="P2347" s="129" t="s">
        <v>39</v>
      </c>
      <c r="Q2347" s="111">
        <f t="shared" si="1744"/>
        <v>582</v>
      </c>
      <c r="R2347" s="111">
        <f t="shared" si="1737"/>
        <v>582</v>
      </c>
      <c r="S2347" s="129">
        <v>2</v>
      </c>
      <c r="T2347" s="129">
        <v>0</v>
      </c>
      <c r="V2347" s="117">
        <v>2</v>
      </c>
      <c r="W2347" s="111"/>
      <c r="AB2347" s="131" t="s">
        <v>112</v>
      </c>
      <c r="AC2347" s="130"/>
      <c r="AD2347" s="130">
        <v>34012</v>
      </c>
      <c r="AE2347" s="128" t="s">
        <v>32</v>
      </c>
      <c r="AF2347" s="128" t="s">
        <v>40</v>
      </c>
      <c r="AG2347" s="128" t="s">
        <v>41</v>
      </c>
      <c r="AH2347" s="108" t="s">
        <v>31</v>
      </c>
      <c r="AI2347" s="128" t="s">
        <v>95</v>
      </c>
      <c r="AJ2347" s="129" t="s">
        <v>89</v>
      </c>
      <c r="AK2347" s="129">
        <v>13</v>
      </c>
      <c r="AL2347" s="3" t="s">
        <v>362</v>
      </c>
      <c r="AM2347" s="117">
        <v>2</v>
      </c>
      <c r="AP2347" s="129" t="s">
        <v>105</v>
      </c>
      <c r="AR2347" s="128" t="s">
        <v>92</v>
      </c>
      <c r="AS2347" s="129" t="s">
        <v>106</v>
      </c>
      <c r="AT2347" s="129" t="s">
        <v>1163</v>
      </c>
      <c r="BC2347" s="129" t="s">
        <v>52</v>
      </c>
      <c r="BF2347" s="111">
        <f t="shared" si="1739"/>
        <v>582</v>
      </c>
      <c r="BG2347" s="111">
        <f t="shared" si="1740"/>
        <v>582</v>
      </c>
      <c r="BH2347" s="111">
        <f t="shared" si="1709"/>
        <v>582</v>
      </c>
      <c r="BI2347" s="111">
        <f t="shared" si="1710"/>
        <v>19.060109289617486</v>
      </c>
      <c r="BJ2347" s="129">
        <f t="shared" si="1727"/>
        <v>0</v>
      </c>
      <c r="BK2347" s="129">
        <f t="shared" si="1711"/>
        <v>0</v>
      </c>
      <c r="BL2347" s="129" t="str">
        <f t="shared" si="1704"/>
        <v>CONVICTION</v>
      </c>
      <c r="BM2347" s="129" t="str">
        <f t="shared" si="1728"/>
        <v>NONE</v>
      </c>
      <c r="BN2347" s="129" t="s">
        <v>566</v>
      </c>
      <c r="BP2347" s="137" t="str">
        <f t="shared" si="1712"/>
        <v>CONVICTION</v>
      </c>
      <c r="BQ2347" s="128" t="str">
        <f t="shared" si="1720"/>
        <v>Y</v>
      </c>
      <c r="BR2347" s="129" t="str">
        <f t="shared" si="1713"/>
        <v>DETAINED</v>
      </c>
      <c r="BS2347" s="129" t="str">
        <f t="shared" si="1714"/>
        <v>DISPOSED</v>
      </c>
      <c r="BT2347" s="129" t="str">
        <f t="shared" si="1715"/>
        <v>Y</v>
      </c>
      <c r="BU2347" s="109">
        <f t="shared" si="1721"/>
        <v>1</v>
      </c>
      <c r="BV2347" s="109">
        <f t="shared" si="1722"/>
        <v>1</v>
      </c>
      <c r="BW2347" s="109">
        <f t="shared" si="1745"/>
        <v>0</v>
      </c>
      <c r="BX2347" s="111">
        <f t="shared" si="1716"/>
        <v>0</v>
      </c>
      <c r="BY2347" s="129">
        <f t="shared" si="1723"/>
        <v>-582</v>
      </c>
      <c r="BZ2347" s="111">
        <f t="shared" si="1724"/>
        <v>0</v>
      </c>
      <c r="CA2347" s="138">
        <f t="shared" si="1725"/>
        <v>582</v>
      </c>
      <c r="CB2347" s="111" t="e">
        <f t="shared" si="1741"/>
        <v>#VALUE!</v>
      </c>
      <c r="CC2347" s="129">
        <f>G2347-I2347+1</f>
        <v>582</v>
      </c>
      <c r="CD2347" s="129">
        <f>G2347-J2347</f>
        <v>0</v>
      </c>
      <c r="CG2347" s="129" t="str">
        <f t="shared" si="1726"/>
        <v>Y</v>
      </c>
      <c r="CI2347" s="129" t="str">
        <f t="shared" si="1729"/>
        <v xml:space="preserve"> &gt;1YRS&lt;2YRS</v>
      </c>
      <c r="CJ2347" s="137">
        <f t="shared" si="1730"/>
        <v>0</v>
      </c>
      <c r="CK2347" s="129" t="str">
        <f t="shared" si="1731"/>
        <v>Booked</v>
      </c>
    </row>
    <row r="2348" spans="1:89" ht="15.75" customHeight="1" x14ac:dyDescent="0.25">
      <c r="A2348" s="111">
        <v>47</v>
      </c>
      <c r="B2348" s="128" t="str">
        <f t="shared" si="1717"/>
        <v>N</v>
      </c>
      <c r="C2348" s="128" t="str">
        <f t="shared" si="1718"/>
        <v>N</v>
      </c>
      <c r="D2348" s="117">
        <v>2527578</v>
      </c>
      <c r="E2348" s="135">
        <f t="shared" si="1719"/>
        <v>6</v>
      </c>
      <c r="F2348" s="124">
        <v>40911</v>
      </c>
      <c r="G2348" s="125">
        <v>40913</v>
      </c>
      <c r="H2348" s="117">
        <v>2527578</v>
      </c>
      <c r="I2348" s="124">
        <v>40911</v>
      </c>
      <c r="J2348" s="124">
        <v>40913</v>
      </c>
      <c r="K2348" s="126">
        <v>10000</v>
      </c>
      <c r="L2348" s="127" t="s">
        <v>570</v>
      </c>
      <c r="N2348" s="129" t="str">
        <f>IF(M2348&gt;1/1/1,"Y","N")</f>
        <v>N</v>
      </c>
      <c r="O2348" s="128" t="s">
        <v>917</v>
      </c>
      <c r="P2348" s="129" t="s">
        <v>39</v>
      </c>
      <c r="Q2348" s="111">
        <f t="shared" si="1744"/>
        <v>3</v>
      </c>
      <c r="R2348" s="111">
        <f t="shared" si="1737"/>
        <v>3</v>
      </c>
      <c r="S2348" s="129">
        <v>2</v>
      </c>
      <c r="T2348" s="129">
        <v>0</v>
      </c>
      <c r="U2348" s="129">
        <v>1</v>
      </c>
      <c r="W2348" s="111"/>
      <c r="AB2348" s="131" t="s">
        <v>112</v>
      </c>
      <c r="AC2348" s="130"/>
      <c r="AD2348" s="130">
        <v>34211</v>
      </c>
      <c r="AE2348" s="128" t="s">
        <v>32</v>
      </c>
      <c r="AF2348" s="128" t="s">
        <v>40</v>
      </c>
      <c r="AG2348" s="128" t="s">
        <v>41</v>
      </c>
      <c r="AH2348" s="108" t="s">
        <v>31</v>
      </c>
      <c r="AI2348" s="128" t="s">
        <v>113</v>
      </c>
      <c r="AJ2348" s="129" t="s">
        <v>89</v>
      </c>
      <c r="AK2348" s="129">
        <v>1</v>
      </c>
      <c r="AL2348" s="3" t="s">
        <v>362</v>
      </c>
      <c r="AM2348" s="117">
        <v>4</v>
      </c>
      <c r="AP2348" s="129" t="s">
        <v>56</v>
      </c>
      <c r="AR2348" s="128" t="s">
        <v>50</v>
      </c>
      <c r="AS2348" s="129" t="s">
        <v>57</v>
      </c>
      <c r="BC2348" s="129" t="s">
        <v>38</v>
      </c>
      <c r="BF2348" s="111">
        <f t="shared" si="1739"/>
        <v>3</v>
      </c>
      <c r="BG2348" s="111">
        <f t="shared" si="1740"/>
        <v>3</v>
      </c>
      <c r="BH2348" s="111">
        <f t="shared" si="1709"/>
        <v>3</v>
      </c>
      <c r="BI2348" s="111">
        <f t="shared" si="1710"/>
        <v>18.306010928961747</v>
      </c>
      <c r="BJ2348" s="129">
        <f t="shared" si="1727"/>
        <v>0</v>
      </c>
      <c r="BK2348" s="129">
        <f t="shared" si="1711"/>
        <v>0</v>
      </c>
      <c r="BL2348" s="129" t="str">
        <f t="shared" si="1704"/>
        <v>CONVICTION</v>
      </c>
      <c r="BM2348" s="129" t="str">
        <f t="shared" si="1728"/>
        <v>NONE</v>
      </c>
      <c r="BN2348" s="129" t="s">
        <v>566</v>
      </c>
      <c r="BP2348" s="137" t="str">
        <f t="shared" si="1712"/>
        <v>CONVICTION</v>
      </c>
      <c r="BQ2348" s="128" t="str">
        <f t="shared" si="1720"/>
        <v>Y</v>
      </c>
      <c r="BR2348" s="129" t="str">
        <f t="shared" si="1713"/>
        <v>DETAINED</v>
      </c>
      <c r="BS2348" s="129" t="str">
        <f t="shared" si="1714"/>
        <v>DISPOSED</v>
      </c>
      <c r="BT2348" s="129" t="str">
        <f t="shared" si="1715"/>
        <v>Y</v>
      </c>
      <c r="BU2348" s="109">
        <f t="shared" si="1721"/>
        <v>1</v>
      </c>
      <c r="BV2348" s="109">
        <f t="shared" si="1722"/>
        <v>1</v>
      </c>
      <c r="BW2348" s="109">
        <f t="shared" si="1745"/>
        <v>0</v>
      </c>
      <c r="BX2348" s="111">
        <f t="shared" si="1716"/>
        <v>0</v>
      </c>
      <c r="BY2348" s="129">
        <f t="shared" si="1723"/>
        <v>-3</v>
      </c>
      <c r="BZ2348" s="111">
        <f t="shared" si="1724"/>
        <v>0</v>
      </c>
      <c r="CA2348" s="138">
        <f t="shared" si="1725"/>
        <v>3</v>
      </c>
      <c r="CB2348" s="111" t="e">
        <f t="shared" si="1741"/>
        <v>#VALUE!</v>
      </c>
      <c r="CC2348" s="129">
        <f>G2348-I2348+1</f>
        <v>3</v>
      </c>
      <c r="CD2348" s="129">
        <f>G2348-J2348</f>
        <v>0</v>
      </c>
      <c r="CG2348" s="129" t="str">
        <f t="shared" si="1726"/>
        <v>Y</v>
      </c>
      <c r="CI2348" s="129" t="str">
        <f t="shared" si="1729"/>
        <v>0-10 DAYS</v>
      </c>
      <c r="CJ2348" s="137">
        <f t="shared" si="1730"/>
        <v>1</v>
      </c>
      <c r="CK2348" s="129" t="str">
        <f t="shared" si="1731"/>
        <v>Booked</v>
      </c>
    </row>
    <row r="2349" spans="1:89" ht="15" customHeight="1" x14ac:dyDescent="0.25">
      <c r="A2349" s="111">
        <v>2493</v>
      </c>
      <c r="B2349" s="128" t="str">
        <f t="shared" si="1717"/>
        <v>N</v>
      </c>
      <c r="C2349" s="128" t="str">
        <f t="shared" si="1718"/>
        <v>N</v>
      </c>
      <c r="D2349" s="117">
        <v>2527757</v>
      </c>
      <c r="E2349" s="135">
        <f t="shared" si="1719"/>
        <v>2</v>
      </c>
      <c r="F2349" s="124">
        <v>41002</v>
      </c>
      <c r="G2349" s="125">
        <v>41050</v>
      </c>
      <c r="H2349" s="117">
        <v>2527757</v>
      </c>
      <c r="I2349" s="124">
        <v>41003</v>
      </c>
      <c r="J2349" s="124">
        <v>41050</v>
      </c>
      <c r="K2349" s="126">
        <v>5000</v>
      </c>
      <c r="L2349" s="127" t="s">
        <v>569</v>
      </c>
      <c r="N2349" s="129" t="str">
        <f>IF(M2349&gt;1/1/1,"Y","N")</f>
        <v>N</v>
      </c>
      <c r="O2349" s="128" t="s">
        <v>917</v>
      </c>
      <c r="P2349" s="129" t="s">
        <v>589</v>
      </c>
      <c r="Q2349" s="111">
        <f t="shared" si="1744"/>
        <v>48</v>
      </c>
      <c r="R2349" s="111">
        <f t="shared" si="1737"/>
        <v>49</v>
      </c>
      <c r="S2349" s="129">
        <v>1</v>
      </c>
      <c r="T2349" s="129">
        <v>4</v>
      </c>
      <c r="W2349" s="111"/>
      <c r="AC2349" s="130"/>
      <c r="AD2349" s="130">
        <v>33732</v>
      </c>
      <c r="AE2349" s="128" t="s">
        <v>32</v>
      </c>
      <c r="AF2349" s="128" t="s">
        <v>33</v>
      </c>
      <c r="AG2349" s="128" t="s">
        <v>872</v>
      </c>
      <c r="AH2349" s="108" t="s">
        <v>31</v>
      </c>
      <c r="AI2349" s="128" t="s">
        <v>90</v>
      </c>
      <c r="AJ2349" s="129" t="s">
        <v>48</v>
      </c>
      <c r="AK2349" s="129">
        <v>4</v>
      </c>
      <c r="AL2349" s="3" t="s">
        <v>48</v>
      </c>
      <c r="AP2349" s="129" t="s">
        <v>108</v>
      </c>
      <c r="AR2349" s="128" t="s">
        <v>44</v>
      </c>
      <c r="AS2349" s="129" t="s">
        <v>61</v>
      </c>
      <c r="BC2349" s="129" t="s">
        <v>38</v>
      </c>
      <c r="BF2349" s="111">
        <f t="shared" si="1739"/>
        <v>48</v>
      </c>
      <c r="BG2349" s="111">
        <f t="shared" si="1740"/>
        <v>48</v>
      </c>
      <c r="BH2349" s="111">
        <f t="shared" si="1709"/>
        <v>49</v>
      </c>
      <c r="BI2349" s="111">
        <f t="shared" si="1710"/>
        <v>19.863387978142075</v>
      </c>
      <c r="BJ2349" s="129">
        <f t="shared" si="1727"/>
        <v>0</v>
      </c>
      <c r="BK2349" s="129">
        <f t="shared" si="1711"/>
        <v>0</v>
      </c>
      <c r="BL2349" s="129" t="str">
        <f t="shared" si="1704"/>
        <v>DEFERRED</v>
      </c>
      <c r="BM2349" s="129" t="str">
        <f t="shared" si="1728"/>
        <v>NONE</v>
      </c>
      <c r="BN2349" s="129" t="s">
        <v>566</v>
      </c>
      <c r="BP2349" s="137" t="str">
        <f t="shared" si="1712"/>
        <v>DEFERRED</v>
      </c>
      <c r="BQ2349" s="128" t="str">
        <f t="shared" si="1720"/>
        <v>Y</v>
      </c>
      <c r="BR2349" s="129" t="str">
        <f t="shared" si="1713"/>
        <v>DETAINED</v>
      </c>
      <c r="BS2349" s="129" t="str">
        <f t="shared" si="1714"/>
        <v>DISPOSED</v>
      </c>
      <c r="BT2349" s="129" t="str">
        <f t="shared" si="1715"/>
        <v>Y</v>
      </c>
      <c r="BU2349" s="109">
        <f t="shared" si="1721"/>
        <v>0.97959183673469385</v>
      </c>
      <c r="BV2349" s="109">
        <f t="shared" si="1722"/>
        <v>1</v>
      </c>
      <c r="BW2349" s="109">
        <f t="shared" si="1745"/>
        <v>2.0408163265306145E-2</v>
      </c>
      <c r="BX2349" s="111">
        <f t="shared" si="1716"/>
        <v>0</v>
      </c>
      <c r="BY2349" s="129">
        <f t="shared" si="1723"/>
        <v>-48</v>
      </c>
      <c r="BZ2349" s="111">
        <f t="shared" si="1724"/>
        <v>0</v>
      </c>
      <c r="CA2349" s="138">
        <f t="shared" si="1725"/>
        <v>48</v>
      </c>
      <c r="CB2349" s="111" t="e">
        <f t="shared" si="1741"/>
        <v>#VALUE!</v>
      </c>
      <c r="CC2349" s="129">
        <f>G2349-I2349+1</f>
        <v>48</v>
      </c>
      <c r="CD2349" s="129">
        <f>G2349-J2349</f>
        <v>0</v>
      </c>
      <c r="CG2349" s="129" t="str">
        <f t="shared" si="1726"/>
        <v>Y</v>
      </c>
      <c r="CI2349" s="129" t="str">
        <f t="shared" si="1729"/>
        <v>31-60 DAYS</v>
      </c>
      <c r="CJ2349" s="137">
        <f t="shared" si="1730"/>
        <v>3</v>
      </c>
      <c r="CK2349" s="129" t="str">
        <f t="shared" si="1731"/>
        <v>Booked</v>
      </c>
    </row>
    <row r="2350" spans="1:89" ht="15" customHeight="1" x14ac:dyDescent="0.25">
      <c r="A2350" s="111">
        <v>1585</v>
      </c>
      <c r="B2350" s="128" t="str">
        <f t="shared" si="1717"/>
        <v>N</v>
      </c>
      <c r="C2350" s="128" t="str">
        <f t="shared" si="1718"/>
        <v>N</v>
      </c>
      <c r="D2350" s="117">
        <v>2528186</v>
      </c>
      <c r="E2350" s="135">
        <f t="shared" si="1719"/>
        <v>1</v>
      </c>
      <c r="F2350" s="124">
        <v>40967</v>
      </c>
      <c r="G2350" s="125">
        <v>41059</v>
      </c>
      <c r="H2350" s="117">
        <v>2528186</v>
      </c>
      <c r="I2350" s="124">
        <v>40968</v>
      </c>
      <c r="J2350" s="124">
        <v>40970</v>
      </c>
      <c r="K2350" s="126">
        <v>20000</v>
      </c>
      <c r="L2350" s="127" t="s">
        <v>571</v>
      </c>
      <c r="M2350" s="125">
        <v>40970</v>
      </c>
      <c r="N2350" s="129" t="str">
        <f>IF(M2350&gt;1/1/1,"Y","N")</f>
        <v>Y</v>
      </c>
      <c r="O2350" s="128" t="s">
        <v>585</v>
      </c>
      <c r="P2350" s="129" t="s">
        <v>123</v>
      </c>
      <c r="Q2350" s="111">
        <f t="shared" si="1744"/>
        <v>3</v>
      </c>
      <c r="R2350" s="111">
        <f t="shared" si="1737"/>
        <v>93</v>
      </c>
      <c r="S2350" s="129">
        <v>0</v>
      </c>
      <c r="T2350" s="129">
        <v>0</v>
      </c>
      <c r="W2350" s="111"/>
      <c r="AC2350" s="130"/>
      <c r="AD2350" s="130">
        <v>32974</v>
      </c>
      <c r="AE2350" s="128" t="s">
        <v>46</v>
      </c>
      <c r="AF2350" s="128" t="s">
        <v>33</v>
      </c>
      <c r="AG2350" s="128" t="s">
        <v>872</v>
      </c>
      <c r="AH2350" s="108" t="s">
        <v>31</v>
      </c>
      <c r="AI2350" s="128" t="s">
        <v>90</v>
      </c>
      <c r="AJ2350" s="129" t="s">
        <v>123</v>
      </c>
      <c r="AK2350" s="129">
        <v>5</v>
      </c>
      <c r="AL2350" s="3" t="s">
        <v>123</v>
      </c>
      <c r="AP2350" s="129" t="s">
        <v>132</v>
      </c>
      <c r="AR2350" s="128" t="s">
        <v>92</v>
      </c>
      <c r="AS2350" s="129" t="s">
        <v>82</v>
      </c>
      <c r="BC2350" s="129" t="s">
        <v>52</v>
      </c>
      <c r="BF2350" s="111">
        <f t="shared" si="1739"/>
        <v>3</v>
      </c>
      <c r="BG2350" s="111">
        <f t="shared" si="1740"/>
        <v>92</v>
      </c>
      <c r="BH2350" s="111">
        <f t="shared" si="1709"/>
        <v>93</v>
      </c>
      <c r="BI2350" s="111">
        <f t="shared" si="1710"/>
        <v>21.838797814207652</v>
      </c>
      <c r="BJ2350" s="129">
        <f>(G2350-J2350)+(M2350-G2350)</f>
        <v>0</v>
      </c>
      <c r="BK2350" s="129">
        <f t="shared" si="1711"/>
        <v>-89</v>
      </c>
      <c r="BL2350" s="129" t="str">
        <f t="shared" si="1704"/>
        <v>NO CONVICTION</v>
      </c>
      <c r="BM2350" s="129" t="s">
        <v>76</v>
      </c>
      <c r="BN2350" s="129" t="s">
        <v>88</v>
      </c>
      <c r="BP2350" s="137" t="str">
        <f t="shared" si="1712"/>
        <v>NO CONVICTION</v>
      </c>
      <c r="BQ2350" s="128" t="str">
        <f t="shared" si="1720"/>
        <v>Y</v>
      </c>
      <c r="BR2350" s="129" t="str">
        <f t="shared" si="1713"/>
        <v>ON BOND</v>
      </c>
      <c r="BS2350" s="129" t="str">
        <f t="shared" si="1714"/>
        <v>DISPOSED</v>
      </c>
      <c r="BT2350" s="129" t="str">
        <f t="shared" si="1715"/>
        <v>N</v>
      </c>
      <c r="BU2350" s="109">
        <f>IFERROR(Q2350/R2350,BR2350)</f>
        <v>3.2258064516129031E-2</v>
      </c>
      <c r="BV2350" s="109">
        <f t="shared" si="1722"/>
        <v>3.2608695652173912E-2</v>
      </c>
      <c r="BW2350" s="109">
        <f t="shared" si="1745"/>
        <v>3.5063113604488078E-4</v>
      </c>
      <c r="BX2350" s="111">
        <f t="shared" si="1716"/>
        <v>0</v>
      </c>
      <c r="BY2350" s="129">
        <f t="shared" si="1723"/>
        <v>-3</v>
      </c>
      <c r="BZ2350" s="111">
        <f t="shared" si="1724"/>
        <v>0</v>
      </c>
      <c r="CA2350" s="138">
        <f t="shared" si="1725"/>
        <v>3</v>
      </c>
      <c r="CB2350" s="111" t="e">
        <f t="shared" si="1741"/>
        <v>#VALUE!</v>
      </c>
      <c r="CC2350" s="129">
        <f>M2350-I2350+1</f>
        <v>3</v>
      </c>
      <c r="CD2350" s="111">
        <f>CC2350-BF2350</f>
        <v>0</v>
      </c>
      <c r="CG2350" s="129" t="str">
        <f t="shared" si="1726"/>
        <v>N</v>
      </c>
      <c r="CI2350" s="129" t="str">
        <f t="shared" si="1729"/>
        <v>0-10 DAYS</v>
      </c>
      <c r="CJ2350" s="137">
        <f t="shared" si="1730"/>
        <v>1</v>
      </c>
      <c r="CK2350" s="129" t="str">
        <f t="shared" si="1731"/>
        <v>Booked</v>
      </c>
    </row>
    <row r="2351" spans="1:89" ht="15.75" customHeight="1" x14ac:dyDescent="0.25">
      <c r="A2351" s="111">
        <v>2507</v>
      </c>
      <c r="B2351" s="128" t="str">
        <f t="shared" si="1717"/>
        <v>N</v>
      </c>
      <c r="C2351" s="128" t="str">
        <f t="shared" si="1718"/>
        <v>N</v>
      </c>
      <c r="D2351" s="117">
        <v>2528328</v>
      </c>
      <c r="E2351" s="135">
        <f t="shared" si="1719"/>
        <v>2</v>
      </c>
      <c r="F2351" s="124">
        <v>41003</v>
      </c>
      <c r="G2351" s="125">
        <v>41010</v>
      </c>
      <c r="H2351" s="117">
        <v>2528328</v>
      </c>
      <c r="I2351" s="124">
        <v>41003</v>
      </c>
      <c r="J2351" s="124">
        <v>41010</v>
      </c>
      <c r="K2351" s="126">
        <v>2000</v>
      </c>
      <c r="L2351" s="127" t="s">
        <v>568</v>
      </c>
      <c r="N2351" s="129" t="str">
        <f>IF(M2351&gt;1/1/1,"Y","N")</f>
        <v>N</v>
      </c>
      <c r="O2351" s="128" t="s">
        <v>917</v>
      </c>
      <c r="P2351" s="129" t="s">
        <v>589</v>
      </c>
      <c r="Q2351" s="111">
        <f t="shared" si="1744"/>
        <v>8</v>
      </c>
      <c r="R2351" s="111">
        <f t="shared" si="1737"/>
        <v>8</v>
      </c>
      <c r="S2351" s="129">
        <v>0</v>
      </c>
      <c r="T2351" s="129">
        <v>0</v>
      </c>
      <c r="W2351" s="111"/>
      <c r="AC2351" s="130"/>
      <c r="AD2351" s="130">
        <v>34030</v>
      </c>
      <c r="AE2351" s="128" t="s">
        <v>32</v>
      </c>
      <c r="AF2351" s="128" t="s">
        <v>33</v>
      </c>
      <c r="AG2351" s="128" t="s">
        <v>872</v>
      </c>
      <c r="AH2351" s="108" t="s">
        <v>58</v>
      </c>
      <c r="AI2351" s="128" t="s">
        <v>47</v>
      </c>
      <c r="AJ2351" s="129" t="s">
        <v>48</v>
      </c>
      <c r="AK2351" s="129">
        <v>3</v>
      </c>
      <c r="AL2351" s="3" t="s">
        <v>48</v>
      </c>
      <c r="AP2351" s="129" t="s">
        <v>121</v>
      </c>
      <c r="AR2351" s="128" t="s">
        <v>44</v>
      </c>
      <c r="AS2351" s="129" t="s">
        <v>122</v>
      </c>
      <c r="BC2351" s="129" t="s">
        <v>38</v>
      </c>
      <c r="BF2351" s="111">
        <f t="shared" si="1739"/>
        <v>8</v>
      </c>
      <c r="BG2351" s="111">
        <f t="shared" si="1740"/>
        <v>8</v>
      </c>
      <c r="BH2351" s="111">
        <f t="shared" si="1709"/>
        <v>8</v>
      </c>
      <c r="BI2351" s="111">
        <f t="shared" si="1710"/>
        <v>19.051912568306012</v>
      </c>
      <c r="BJ2351" s="129">
        <f t="shared" si="1727"/>
        <v>0</v>
      </c>
      <c r="BK2351" s="129">
        <f t="shared" si="1711"/>
        <v>0</v>
      </c>
      <c r="BL2351" s="129" t="str">
        <f t="shared" si="1704"/>
        <v>DEFERRED</v>
      </c>
      <c r="BM2351" s="129" t="str">
        <f t="shared" si="1728"/>
        <v>NONE</v>
      </c>
      <c r="BN2351" s="129" t="s">
        <v>566</v>
      </c>
      <c r="BP2351" s="137" t="str">
        <f t="shared" si="1712"/>
        <v>DEFERRED</v>
      </c>
      <c r="BQ2351" s="128" t="str">
        <f t="shared" si="1720"/>
        <v>Y</v>
      </c>
      <c r="BR2351" s="129" t="str">
        <f t="shared" si="1713"/>
        <v>DETAINED</v>
      </c>
      <c r="BS2351" s="129" t="str">
        <f t="shared" si="1714"/>
        <v>DISPOSED</v>
      </c>
      <c r="BT2351" s="129" t="str">
        <f t="shared" si="1715"/>
        <v>N</v>
      </c>
      <c r="BU2351" s="109">
        <f t="shared" si="1721"/>
        <v>1</v>
      </c>
      <c r="BV2351" s="109">
        <f t="shared" si="1722"/>
        <v>1</v>
      </c>
      <c r="BW2351" s="109">
        <f t="shared" si="1745"/>
        <v>0</v>
      </c>
      <c r="BX2351" s="111">
        <f t="shared" si="1716"/>
        <v>0</v>
      </c>
      <c r="BY2351" s="129">
        <f t="shared" si="1723"/>
        <v>-8</v>
      </c>
      <c r="BZ2351" s="111">
        <f t="shared" si="1724"/>
        <v>0</v>
      </c>
      <c r="CA2351" s="138">
        <f t="shared" si="1725"/>
        <v>8</v>
      </c>
      <c r="CB2351" s="111" t="e">
        <f t="shared" si="1741"/>
        <v>#VALUE!</v>
      </c>
      <c r="CC2351" s="129">
        <f t="shared" ref="CC2351:CC2358" si="1746">G2351-I2351+1</f>
        <v>8</v>
      </c>
      <c r="CD2351" s="129">
        <f t="shared" ref="CD2351:CD2358" si="1747">G2351-J2351</f>
        <v>0</v>
      </c>
      <c r="CG2351" s="129" t="str">
        <f t="shared" si="1726"/>
        <v>N</v>
      </c>
      <c r="CI2351" s="129" t="str">
        <f t="shared" si="1729"/>
        <v>0-10 DAYS</v>
      </c>
      <c r="CJ2351" s="137">
        <f t="shared" si="1730"/>
        <v>1</v>
      </c>
      <c r="CK2351" s="129" t="str">
        <f t="shared" si="1731"/>
        <v>Booked</v>
      </c>
    </row>
    <row r="2352" spans="1:89" ht="15" customHeight="1" x14ac:dyDescent="0.25">
      <c r="A2352" s="111">
        <v>3006</v>
      </c>
      <c r="B2352" s="128" t="str">
        <f t="shared" si="1717"/>
        <v>N</v>
      </c>
      <c r="C2352" s="128" t="str">
        <f t="shared" si="1718"/>
        <v>N</v>
      </c>
      <c r="D2352" s="117">
        <v>2528695</v>
      </c>
      <c r="E2352" s="135">
        <f t="shared" si="1719"/>
        <v>1</v>
      </c>
      <c r="F2352" s="124">
        <v>41019</v>
      </c>
      <c r="G2352" s="125">
        <v>41190</v>
      </c>
      <c r="H2352" s="117">
        <v>2528695</v>
      </c>
      <c r="I2352" s="124">
        <v>41019</v>
      </c>
      <c r="J2352" s="124">
        <v>41190</v>
      </c>
      <c r="K2352" s="126" t="s">
        <v>564</v>
      </c>
      <c r="L2352" s="127" t="s">
        <v>564</v>
      </c>
      <c r="N2352" s="129" t="s">
        <v>566</v>
      </c>
      <c r="O2352" s="128" t="s">
        <v>917</v>
      </c>
      <c r="P2352" s="129" t="s">
        <v>55</v>
      </c>
      <c r="Q2352" s="111">
        <f t="shared" si="1744"/>
        <v>172</v>
      </c>
      <c r="R2352" s="111">
        <f t="shared" si="1737"/>
        <v>172</v>
      </c>
      <c r="S2352" s="129">
        <v>1</v>
      </c>
      <c r="T2352" s="129">
        <v>2</v>
      </c>
      <c r="W2352" s="111"/>
      <c r="AC2352" s="130"/>
      <c r="AD2352" s="130">
        <v>33095</v>
      </c>
      <c r="AE2352" s="128" t="s">
        <v>32</v>
      </c>
      <c r="AF2352" s="128" t="s">
        <v>33</v>
      </c>
      <c r="AG2352" s="128" t="s">
        <v>872</v>
      </c>
      <c r="AH2352" s="108" t="s">
        <v>31</v>
      </c>
      <c r="AI2352" s="128" t="s">
        <v>62</v>
      </c>
      <c r="AJ2352" s="129" t="s">
        <v>55</v>
      </c>
      <c r="AK2352" s="129">
        <v>9</v>
      </c>
      <c r="AL2352" s="3" t="s">
        <v>55</v>
      </c>
      <c r="AP2352" s="129" t="s">
        <v>150</v>
      </c>
      <c r="AR2352" s="128" t="s">
        <v>67</v>
      </c>
      <c r="AS2352" s="129" t="s">
        <v>74</v>
      </c>
      <c r="AT2352" s="129" t="s">
        <v>510</v>
      </c>
      <c r="BC2352" s="129" t="s">
        <v>38</v>
      </c>
      <c r="BF2352" s="111">
        <f t="shared" si="1739"/>
        <v>172</v>
      </c>
      <c r="BG2352" s="111">
        <f t="shared" si="1740"/>
        <v>172</v>
      </c>
      <c r="BH2352" s="111">
        <f t="shared" si="1709"/>
        <v>172</v>
      </c>
      <c r="BI2352" s="111">
        <f t="shared" si="1710"/>
        <v>21.650273224043715</v>
      </c>
      <c r="BJ2352" s="129">
        <f t="shared" si="1727"/>
        <v>0</v>
      </c>
      <c r="BK2352" s="129">
        <f t="shared" si="1711"/>
        <v>0</v>
      </c>
      <c r="BL2352" s="129" t="str">
        <f t="shared" si="1704"/>
        <v>NO CONVICTION</v>
      </c>
      <c r="BM2352" s="129" t="str">
        <f t="shared" si="1728"/>
        <v>NONE</v>
      </c>
      <c r="BN2352" s="129" t="s">
        <v>566</v>
      </c>
      <c r="BP2352" s="137" t="str">
        <f t="shared" si="1712"/>
        <v>NO CONVICTION</v>
      </c>
      <c r="BQ2352" s="128" t="str">
        <f t="shared" si="1720"/>
        <v>Y</v>
      </c>
      <c r="BR2352" s="129" t="str">
        <f t="shared" si="1713"/>
        <v>DETAINED</v>
      </c>
      <c r="BS2352" s="129" t="str">
        <f t="shared" si="1714"/>
        <v>DISPOSED</v>
      </c>
      <c r="BT2352" s="129" t="str">
        <f t="shared" si="1715"/>
        <v>Y</v>
      </c>
      <c r="BU2352" s="109">
        <f>IFERROR(Q2352/R2352,BR2352)</f>
        <v>1</v>
      </c>
      <c r="BV2352" s="109">
        <f t="shared" si="1722"/>
        <v>1</v>
      </c>
      <c r="BW2352" s="109">
        <f t="shared" si="1745"/>
        <v>0</v>
      </c>
      <c r="BX2352" s="111">
        <f t="shared" si="1716"/>
        <v>0</v>
      </c>
      <c r="BY2352" s="129">
        <f t="shared" si="1723"/>
        <v>-172</v>
      </c>
      <c r="BZ2352" s="111">
        <f t="shared" si="1724"/>
        <v>0</v>
      </c>
      <c r="CA2352" s="138">
        <f t="shared" si="1725"/>
        <v>172</v>
      </c>
      <c r="CB2352" s="111" t="e">
        <f t="shared" si="1741"/>
        <v>#VALUE!</v>
      </c>
      <c r="CC2352" s="129">
        <f t="shared" si="1746"/>
        <v>172</v>
      </c>
      <c r="CD2352" s="129">
        <f t="shared" si="1747"/>
        <v>0</v>
      </c>
      <c r="CG2352" s="129" t="str">
        <f t="shared" si="1726"/>
        <v>Y</v>
      </c>
      <c r="CI2352" s="129" t="str">
        <f t="shared" si="1729"/>
        <v>121-365 DAYS</v>
      </c>
      <c r="CJ2352" s="137">
        <f t="shared" si="1730"/>
        <v>6</v>
      </c>
      <c r="CK2352" s="129" t="str">
        <f t="shared" si="1731"/>
        <v>Booked</v>
      </c>
    </row>
    <row r="2353" spans="1:89" ht="15.75" customHeight="1" x14ac:dyDescent="0.25">
      <c r="A2353" s="111">
        <v>49</v>
      </c>
      <c r="B2353" s="128" t="str">
        <f t="shared" si="1717"/>
        <v>N</v>
      </c>
      <c r="C2353" s="128" t="str">
        <f t="shared" si="1718"/>
        <v>N</v>
      </c>
      <c r="D2353" s="117">
        <v>2530339</v>
      </c>
      <c r="E2353" s="135">
        <f t="shared" si="1719"/>
        <v>2</v>
      </c>
      <c r="F2353" s="124">
        <v>40911</v>
      </c>
      <c r="G2353" s="125">
        <v>41038</v>
      </c>
      <c r="H2353" s="117">
        <v>2530339</v>
      </c>
      <c r="I2353" s="124">
        <v>40912</v>
      </c>
      <c r="J2353" s="124">
        <v>41038</v>
      </c>
      <c r="K2353" s="126">
        <v>10000</v>
      </c>
      <c r="L2353" s="127" t="s">
        <v>570</v>
      </c>
      <c r="N2353" s="129" t="str">
        <f>IF(M2353&gt;1/1/1,"Y","N")</f>
        <v>N</v>
      </c>
      <c r="O2353" s="128" t="s">
        <v>917</v>
      </c>
      <c r="P2353" s="129" t="s">
        <v>589</v>
      </c>
      <c r="Q2353" s="111">
        <f t="shared" si="1744"/>
        <v>127</v>
      </c>
      <c r="R2353" s="111">
        <f t="shared" si="1737"/>
        <v>128</v>
      </c>
      <c r="S2353" s="129">
        <v>0</v>
      </c>
      <c r="T2353" s="129">
        <v>3</v>
      </c>
      <c r="W2353" s="111"/>
      <c r="AC2353" s="130"/>
      <c r="AD2353" s="130">
        <v>34110</v>
      </c>
      <c r="AE2353" s="128" t="s">
        <v>32</v>
      </c>
      <c r="AF2353" s="128" t="s">
        <v>33</v>
      </c>
      <c r="AG2353" s="128" t="s">
        <v>872</v>
      </c>
      <c r="AH2353" s="108" t="s">
        <v>31</v>
      </c>
      <c r="AI2353" s="128" t="s">
        <v>62</v>
      </c>
      <c r="AJ2353" s="129" t="s">
        <v>48</v>
      </c>
      <c r="AK2353" s="129">
        <v>7</v>
      </c>
      <c r="AL2353" s="3" t="s">
        <v>48</v>
      </c>
      <c r="AP2353" s="129" t="s">
        <v>56</v>
      </c>
      <c r="AR2353" s="128" t="s">
        <v>50</v>
      </c>
      <c r="AS2353" s="129" t="s">
        <v>57</v>
      </c>
      <c r="AT2353" s="129" t="s">
        <v>115</v>
      </c>
      <c r="BC2353" s="129" t="s">
        <v>38</v>
      </c>
      <c r="BF2353" s="111">
        <f t="shared" si="1739"/>
        <v>127</v>
      </c>
      <c r="BG2353" s="111">
        <f t="shared" si="1740"/>
        <v>127</v>
      </c>
      <c r="BH2353" s="111">
        <f t="shared" si="1709"/>
        <v>128</v>
      </c>
      <c r="BI2353" s="111">
        <f t="shared" si="1710"/>
        <v>18.581967213114755</v>
      </c>
      <c r="BJ2353" s="129">
        <f t="shared" si="1727"/>
        <v>0</v>
      </c>
      <c r="BK2353" s="129">
        <f t="shared" si="1711"/>
        <v>0</v>
      </c>
      <c r="BL2353" s="129" t="str">
        <f t="shared" si="1704"/>
        <v>DEFERRED</v>
      </c>
      <c r="BM2353" s="129" t="str">
        <f t="shared" si="1728"/>
        <v>NONE</v>
      </c>
      <c r="BN2353" s="129" t="s">
        <v>566</v>
      </c>
      <c r="BP2353" s="137" t="str">
        <f t="shared" si="1712"/>
        <v>DEFERRED</v>
      </c>
      <c r="BQ2353" s="128" t="str">
        <f t="shared" si="1720"/>
        <v>Y</v>
      </c>
      <c r="BR2353" s="129" t="str">
        <f t="shared" si="1713"/>
        <v>DETAINED</v>
      </c>
      <c r="BS2353" s="129" t="str">
        <f t="shared" si="1714"/>
        <v>DISPOSED</v>
      </c>
      <c r="BT2353" s="129" t="str">
        <f t="shared" si="1715"/>
        <v>N</v>
      </c>
      <c r="BU2353" s="109">
        <f t="shared" si="1721"/>
        <v>0.9921875</v>
      </c>
      <c r="BV2353" s="109">
        <f t="shared" si="1722"/>
        <v>1</v>
      </c>
      <c r="BW2353" s="109">
        <f t="shared" si="1745"/>
        <v>7.8125E-3</v>
      </c>
      <c r="BX2353" s="111">
        <f t="shared" si="1716"/>
        <v>0</v>
      </c>
      <c r="BY2353" s="129">
        <f t="shared" si="1723"/>
        <v>-127</v>
      </c>
      <c r="BZ2353" s="111">
        <f t="shared" si="1724"/>
        <v>0</v>
      </c>
      <c r="CA2353" s="138">
        <f t="shared" si="1725"/>
        <v>127</v>
      </c>
      <c r="CB2353" s="111" t="e">
        <f t="shared" si="1741"/>
        <v>#VALUE!</v>
      </c>
      <c r="CC2353" s="129">
        <f t="shared" si="1746"/>
        <v>127</v>
      </c>
      <c r="CD2353" s="129">
        <f t="shared" si="1747"/>
        <v>0</v>
      </c>
      <c r="CG2353" s="129" t="str">
        <f t="shared" si="1726"/>
        <v>Y</v>
      </c>
      <c r="CI2353" s="129" t="str">
        <f t="shared" si="1729"/>
        <v>121-365 DAYS</v>
      </c>
      <c r="CJ2353" s="137">
        <f t="shared" si="1730"/>
        <v>6</v>
      </c>
      <c r="CK2353" s="129" t="str">
        <f t="shared" si="1731"/>
        <v>Booked</v>
      </c>
    </row>
    <row r="2354" spans="1:89" ht="15.75" customHeight="1" x14ac:dyDescent="0.25">
      <c r="A2354" s="111">
        <v>3039</v>
      </c>
      <c r="B2354" s="128" t="str">
        <f t="shared" si="1717"/>
        <v>N</v>
      </c>
      <c r="C2354" s="128" t="str">
        <f t="shared" si="1718"/>
        <v>N</v>
      </c>
      <c r="D2354" s="117">
        <v>2530986</v>
      </c>
      <c r="E2354" s="135">
        <f t="shared" si="1719"/>
        <v>2</v>
      </c>
      <c r="F2354" s="124">
        <v>41021</v>
      </c>
      <c r="G2354" s="125">
        <v>41193</v>
      </c>
      <c r="H2354" s="117">
        <v>2530986</v>
      </c>
      <c r="I2354" s="124">
        <v>41022</v>
      </c>
      <c r="J2354" s="124">
        <v>41193</v>
      </c>
      <c r="K2354" s="126">
        <v>30000</v>
      </c>
      <c r="L2354" s="129" t="s">
        <v>572</v>
      </c>
      <c r="N2354" s="129" t="str">
        <f>IF(M2354&gt;1/1/1,"Y","N")</f>
        <v>N</v>
      </c>
      <c r="O2354" s="128" t="s">
        <v>917</v>
      </c>
      <c r="P2354" s="129" t="s">
        <v>589</v>
      </c>
      <c r="Q2354" s="111">
        <f t="shared" si="1744"/>
        <v>172</v>
      </c>
      <c r="R2354" s="111">
        <f t="shared" si="1737"/>
        <v>173</v>
      </c>
      <c r="S2354" s="129">
        <v>2</v>
      </c>
      <c r="T2354" s="129">
        <v>2</v>
      </c>
      <c r="W2354" s="111"/>
      <c r="AC2354" s="130"/>
      <c r="AD2354" s="130">
        <v>33977</v>
      </c>
      <c r="AE2354" s="128" t="s">
        <v>46</v>
      </c>
      <c r="AF2354" s="128" t="s">
        <v>69</v>
      </c>
      <c r="AG2354" s="128" t="s">
        <v>874</v>
      </c>
      <c r="AH2354" s="108" t="s">
        <v>58</v>
      </c>
      <c r="AI2354" s="128" t="s">
        <v>72</v>
      </c>
      <c r="AJ2354" s="129" t="s">
        <v>48</v>
      </c>
      <c r="AK2354" s="129">
        <v>9</v>
      </c>
      <c r="AL2354" s="3" t="s">
        <v>48</v>
      </c>
      <c r="AO2354" s="128">
        <v>30</v>
      </c>
      <c r="AP2354" s="129" t="s">
        <v>132</v>
      </c>
      <c r="AR2354" s="128" t="s">
        <v>92</v>
      </c>
      <c r="AS2354" s="129" t="s">
        <v>82</v>
      </c>
      <c r="BC2354" s="129" t="s">
        <v>38</v>
      </c>
      <c r="BF2354" s="111">
        <f t="shared" si="1739"/>
        <v>172</v>
      </c>
      <c r="BG2354" s="111">
        <f t="shared" si="1740"/>
        <v>172</v>
      </c>
      <c r="BH2354" s="111">
        <f t="shared" si="1709"/>
        <v>173</v>
      </c>
      <c r="BI2354" s="111">
        <f t="shared" si="1710"/>
        <v>19.245901639344261</v>
      </c>
      <c r="BJ2354" s="129">
        <f t="shared" si="1727"/>
        <v>0</v>
      </c>
      <c r="BK2354" s="129">
        <f t="shared" si="1711"/>
        <v>0</v>
      </c>
      <c r="BL2354" s="129" t="str">
        <f t="shared" si="1704"/>
        <v>DEFERRED</v>
      </c>
      <c r="BM2354" s="129" t="str">
        <f t="shared" si="1728"/>
        <v>NONE</v>
      </c>
      <c r="BN2354" s="129" t="s">
        <v>566</v>
      </c>
      <c r="BP2354" s="137" t="str">
        <f t="shared" si="1712"/>
        <v>DEFERRED</v>
      </c>
      <c r="BQ2354" s="128" t="str">
        <f t="shared" si="1720"/>
        <v>Y</v>
      </c>
      <c r="BR2354" s="129" t="str">
        <f t="shared" si="1713"/>
        <v>DETAINED</v>
      </c>
      <c r="BS2354" s="129" t="str">
        <f t="shared" si="1714"/>
        <v>DISPOSED</v>
      </c>
      <c r="BT2354" s="129" t="str">
        <f t="shared" si="1715"/>
        <v>Y</v>
      </c>
      <c r="BU2354" s="109">
        <f t="shared" si="1721"/>
        <v>0.9942196531791907</v>
      </c>
      <c r="BV2354" s="109">
        <f t="shared" si="1722"/>
        <v>1</v>
      </c>
      <c r="BW2354" s="109">
        <f t="shared" si="1745"/>
        <v>5.7803468208093012E-3</v>
      </c>
      <c r="BX2354" s="111">
        <f t="shared" si="1716"/>
        <v>0</v>
      </c>
      <c r="BY2354" s="129">
        <f t="shared" si="1723"/>
        <v>-172</v>
      </c>
      <c r="BZ2354" s="111">
        <f t="shared" si="1724"/>
        <v>0</v>
      </c>
      <c r="CA2354" s="138">
        <f t="shared" si="1725"/>
        <v>172</v>
      </c>
      <c r="CB2354" s="111" t="e">
        <f t="shared" si="1741"/>
        <v>#VALUE!</v>
      </c>
      <c r="CC2354" s="129">
        <f t="shared" si="1746"/>
        <v>172</v>
      </c>
      <c r="CD2354" s="129">
        <f t="shared" si="1747"/>
        <v>0</v>
      </c>
      <c r="CG2354" s="129" t="str">
        <f t="shared" si="1726"/>
        <v>Y</v>
      </c>
      <c r="CI2354" s="129" t="str">
        <f t="shared" si="1729"/>
        <v>121-365 DAYS</v>
      </c>
      <c r="CJ2354" s="137">
        <f t="shared" si="1730"/>
        <v>6</v>
      </c>
      <c r="CK2354" s="129" t="str">
        <f t="shared" si="1731"/>
        <v>Booked</v>
      </c>
    </row>
    <row r="2355" spans="1:89" ht="15" customHeight="1" x14ac:dyDescent="0.25">
      <c r="A2355" s="111">
        <v>2856</v>
      </c>
      <c r="B2355" s="128" t="str">
        <f t="shared" si="1717"/>
        <v>N</v>
      </c>
      <c r="C2355" s="128" t="str">
        <f t="shared" si="1718"/>
        <v>N</v>
      </c>
      <c r="D2355" s="117">
        <v>2531259</v>
      </c>
      <c r="E2355" s="135">
        <f t="shared" si="1719"/>
        <v>1</v>
      </c>
      <c r="F2355" s="124">
        <v>41014</v>
      </c>
      <c r="G2355" s="125">
        <v>41031</v>
      </c>
      <c r="H2355" s="117">
        <v>2531259</v>
      </c>
      <c r="I2355" s="124">
        <v>41015</v>
      </c>
      <c r="J2355" s="124">
        <v>41031</v>
      </c>
      <c r="K2355" s="126">
        <v>35000</v>
      </c>
      <c r="L2355" s="129" t="s">
        <v>572</v>
      </c>
      <c r="N2355" s="129" t="str">
        <f>IF(M2355&gt;1/1/1,"Y","N")</f>
        <v>N</v>
      </c>
      <c r="O2355" s="128" t="s">
        <v>917</v>
      </c>
      <c r="P2355" s="129" t="s">
        <v>55</v>
      </c>
      <c r="Q2355" s="111">
        <f t="shared" si="1744"/>
        <v>17</v>
      </c>
      <c r="R2355" s="111">
        <f t="shared" si="1737"/>
        <v>18</v>
      </c>
      <c r="S2355" s="129">
        <v>0</v>
      </c>
      <c r="T2355" s="129">
        <v>1</v>
      </c>
      <c r="W2355" s="111"/>
      <c r="AC2355" s="130"/>
      <c r="AD2355" s="130">
        <v>32943</v>
      </c>
      <c r="AE2355" s="128" t="s">
        <v>32</v>
      </c>
      <c r="AF2355" s="128" t="s">
        <v>40</v>
      </c>
      <c r="AG2355" s="128" t="s">
        <v>41</v>
      </c>
      <c r="AH2355" s="108" t="s">
        <v>41</v>
      </c>
      <c r="AI2355" s="128" t="s">
        <v>113</v>
      </c>
      <c r="AJ2355" s="129" t="s">
        <v>55</v>
      </c>
      <c r="AK2355" s="129">
        <v>2</v>
      </c>
      <c r="AL2355" s="3" t="s">
        <v>55</v>
      </c>
      <c r="AP2355" s="129" t="s">
        <v>150</v>
      </c>
      <c r="AR2355" s="128" t="s">
        <v>67</v>
      </c>
      <c r="AS2355" s="129" t="s">
        <v>74</v>
      </c>
      <c r="AX2355" s="32"/>
      <c r="BC2355" s="129" t="s">
        <v>38</v>
      </c>
      <c r="BF2355" s="111">
        <f t="shared" si="1739"/>
        <v>17</v>
      </c>
      <c r="BG2355" s="111">
        <f t="shared" si="1740"/>
        <v>17</v>
      </c>
      <c r="BH2355" s="111">
        <f t="shared" si="1709"/>
        <v>18</v>
      </c>
      <c r="BI2355" s="111">
        <f t="shared" si="1710"/>
        <v>22.051912568306012</v>
      </c>
      <c r="BJ2355" s="129">
        <f t="shared" si="1727"/>
        <v>0</v>
      </c>
      <c r="BK2355" s="129">
        <f t="shared" si="1711"/>
        <v>0</v>
      </c>
      <c r="BL2355" s="129" t="str">
        <f t="shared" si="1704"/>
        <v>NO CONVICTION</v>
      </c>
      <c r="BM2355" s="129" t="str">
        <f t="shared" si="1728"/>
        <v>NONE</v>
      </c>
      <c r="BN2355" s="129" t="s">
        <v>566</v>
      </c>
      <c r="BP2355" s="137" t="str">
        <f t="shared" si="1712"/>
        <v>NO CONVICTION</v>
      </c>
      <c r="BQ2355" s="128" t="str">
        <f t="shared" si="1720"/>
        <v>Y</v>
      </c>
      <c r="BR2355" s="129" t="str">
        <f t="shared" si="1713"/>
        <v>DETAINED</v>
      </c>
      <c r="BS2355" s="129" t="str">
        <f t="shared" si="1714"/>
        <v>DISPOSED</v>
      </c>
      <c r="BT2355" s="129" t="str">
        <f t="shared" si="1715"/>
        <v>N</v>
      </c>
      <c r="BU2355" s="109">
        <f>IFERROR(Q2355/R2355,BR2355)</f>
        <v>0.94444444444444442</v>
      </c>
      <c r="BV2355" s="109">
        <f t="shared" si="1722"/>
        <v>1</v>
      </c>
      <c r="BW2355" s="109">
        <f t="shared" si="1745"/>
        <v>5.555555555555558E-2</v>
      </c>
      <c r="BX2355" s="111">
        <f t="shared" si="1716"/>
        <v>0</v>
      </c>
      <c r="BY2355" s="129">
        <f t="shared" si="1723"/>
        <v>-17</v>
      </c>
      <c r="BZ2355" s="111">
        <f t="shared" si="1724"/>
        <v>0</v>
      </c>
      <c r="CA2355" s="138">
        <f t="shared" si="1725"/>
        <v>17</v>
      </c>
      <c r="CB2355" s="111" t="e">
        <f t="shared" si="1741"/>
        <v>#VALUE!</v>
      </c>
      <c r="CC2355" s="129">
        <f t="shared" si="1746"/>
        <v>17</v>
      </c>
      <c r="CD2355" s="129">
        <f t="shared" si="1747"/>
        <v>0</v>
      </c>
      <c r="CG2355" s="129" t="str">
        <f t="shared" si="1726"/>
        <v>Y</v>
      </c>
      <c r="CI2355" s="129" t="str">
        <f t="shared" si="1729"/>
        <v>11-30 DAYS</v>
      </c>
      <c r="CJ2355" s="137">
        <f t="shared" si="1730"/>
        <v>2</v>
      </c>
      <c r="CK2355" s="129" t="str">
        <f t="shared" si="1731"/>
        <v>Booked</v>
      </c>
    </row>
    <row r="2356" spans="1:89" ht="15.75" customHeight="1" x14ac:dyDescent="0.25">
      <c r="A2356" s="111">
        <v>944</v>
      </c>
      <c r="B2356" s="128" t="str">
        <f t="shared" si="1717"/>
        <v>Y</v>
      </c>
      <c r="C2356" s="128" t="str">
        <f t="shared" si="1718"/>
        <v>Y</v>
      </c>
      <c r="D2356" s="117">
        <v>2532655</v>
      </c>
      <c r="E2356" s="135">
        <f t="shared" si="1719"/>
        <v>5</v>
      </c>
      <c r="F2356" s="124">
        <v>40943</v>
      </c>
      <c r="G2356" s="125">
        <v>41054</v>
      </c>
      <c r="H2356" s="117">
        <v>2532655</v>
      </c>
      <c r="I2356" s="124">
        <v>40943</v>
      </c>
      <c r="J2356" s="124">
        <v>40945</v>
      </c>
      <c r="K2356" s="126">
        <v>5000</v>
      </c>
      <c r="L2356" s="127" t="s">
        <v>569</v>
      </c>
      <c r="M2356" s="125">
        <v>40945</v>
      </c>
      <c r="N2356" s="129" t="str">
        <f>IF(M2356&gt;1/1/1,"Y","N")</f>
        <v>Y</v>
      </c>
      <c r="O2356" s="128" t="s">
        <v>76</v>
      </c>
      <c r="P2356" s="129" t="s">
        <v>39</v>
      </c>
      <c r="Q2356" s="111">
        <v>70</v>
      </c>
      <c r="R2356" s="111">
        <f t="shared" si="1737"/>
        <v>112</v>
      </c>
      <c r="S2356" s="129">
        <v>0</v>
      </c>
      <c r="T2356" s="129">
        <v>3</v>
      </c>
      <c r="W2356" s="111"/>
      <c r="AC2356" s="130"/>
      <c r="AD2356" s="130">
        <v>34313</v>
      </c>
      <c r="AE2356" s="128" t="s">
        <v>32</v>
      </c>
      <c r="AF2356" s="128" t="s">
        <v>33</v>
      </c>
      <c r="AG2356" s="128" t="s">
        <v>872</v>
      </c>
      <c r="AH2356" s="108" t="s">
        <v>31</v>
      </c>
      <c r="AI2356" s="128" t="s">
        <v>141</v>
      </c>
      <c r="AJ2356" s="129" t="s">
        <v>89</v>
      </c>
      <c r="AK2356" s="129">
        <v>6</v>
      </c>
      <c r="AL2356" s="3" t="s">
        <v>992</v>
      </c>
      <c r="AN2356" s="117">
        <v>6</v>
      </c>
      <c r="AP2356" s="129" t="s">
        <v>107</v>
      </c>
      <c r="AR2356" s="128" t="s">
        <v>44</v>
      </c>
      <c r="AS2356" s="129" t="s">
        <v>57</v>
      </c>
      <c r="AU2356" s="3" t="s">
        <v>700</v>
      </c>
      <c r="AX2356" s="32" t="s">
        <v>88</v>
      </c>
      <c r="BC2356" s="129" t="s">
        <v>38</v>
      </c>
      <c r="BD2356" s="129" t="s">
        <v>1299</v>
      </c>
      <c r="BF2356" s="111">
        <v>70</v>
      </c>
      <c r="BG2356" s="111">
        <f t="shared" si="1740"/>
        <v>112</v>
      </c>
      <c r="BH2356" s="111">
        <f t="shared" si="1709"/>
        <v>112</v>
      </c>
      <c r="BI2356" s="111">
        <f t="shared" si="1710"/>
        <v>18.114754098360656</v>
      </c>
      <c r="BJ2356" s="129">
        <f>(G2356-J2356)+(M2356-G2356)</f>
        <v>0</v>
      </c>
      <c r="BK2356" s="129">
        <f t="shared" si="1711"/>
        <v>-109</v>
      </c>
      <c r="BL2356" s="129" t="str">
        <f t="shared" si="1704"/>
        <v>CONVICTION</v>
      </c>
      <c r="BM2356" s="129" t="s">
        <v>76</v>
      </c>
      <c r="BN2356" s="129" t="s">
        <v>88</v>
      </c>
      <c r="BP2356" s="137" t="str">
        <f t="shared" si="1712"/>
        <v>CONVICTION</v>
      </c>
      <c r="BQ2356" s="128" t="str">
        <f t="shared" si="1720"/>
        <v>Y</v>
      </c>
      <c r="BR2356" s="129" t="s">
        <v>574</v>
      </c>
      <c r="BS2356" s="129" t="str">
        <f t="shared" si="1714"/>
        <v>DISPOSED</v>
      </c>
      <c r="BT2356" s="129" t="str">
        <f t="shared" si="1715"/>
        <v>N</v>
      </c>
      <c r="BU2356" s="109">
        <f t="shared" si="1721"/>
        <v>0.625</v>
      </c>
      <c r="BV2356" s="109">
        <f t="shared" si="1722"/>
        <v>2.6785714285714284E-2</v>
      </c>
      <c r="BW2356" s="109">
        <f t="shared" si="1745"/>
        <v>-0.5982142857142857</v>
      </c>
      <c r="BX2356" s="111">
        <f t="shared" si="1716"/>
        <v>0</v>
      </c>
      <c r="BY2356" s="129">
        <f t="shared" si="1723"/>
        <v>-3</v>
      </c>
      <c r="BZ2356" s="111">
        <f t="shared" si="1724"/>
        <v>67</v>
      </c>
      <c r="CA2356" s="138">
        <f t="shared" si="1725"/>
        <v>112</v>
      </c>
      <c r="CB2356" s="111">
        <v>70</v>
      </c>
      <c r="CC2356" s="129">
        <f t="shared" si="1746"/>
        <v>112</v>
      </c>
      <c r="CD2356" s="129">
        <f t="shared" si="1747"/>
        <v>109</v>
      </c>
      <c r="CG2356" s="129" t="str">
        <f t="shared" si="1726"/>
        <v>Y</v>
      </c>
      <c r="CI2356" s="129" t="str">
        <f t="shared" si="1729"/>
        <v>61-90 DAYS</v>
      </c>
      <c r="CJ2356" s="137">
        <f t="shared" si="1730"/>
        <v>4</v>
      </c>
      <c r="CK2356" s="129" t="str">
        <f t="shared" si="1731"/>
        <v>Booked</v>
      </c>
    </row>
    <row r="2357" spans="1:89" ht="15" customHeight="1" x14ac:dyDescent="0.25">
      <c r="A2357" s="111">
        <v>2143</v>
      </c>
      <c r="B2357" s="128" t="str">
        <f t="shared" si="1717"/>
        <v>N</v>
      </c>
      <c r="C2357" s="128" t="str">
        <f t="shared" si="1718"/>
        <v>N</v>
      </c>
      <c r="D2357" s="117">
        <v>2532700</v>
      </c>
      <c r="E2357" s="135">
        <f t="shared" si="1719"/>
        <v>6</v>
      </c>
      <c r="F2357" s="124">
        <v>40989</v>
      </c>
      <c r="G2357" s="125">
        <v>41080</v>
      </c>
      <c r="H2357" s="117">
        <v>2532700</v>
      </c>
      <c r="I2357" s="124">
        <v>40989</v>
      </c>
      <c r="J2357" s="124">
        <v>41080</v>
      </c>
      <c r="K2357" s="126">
        <v>60000</v>
      </c>
      <c r="L2357" s="129" t="s">
        <v>572</v>
      </c>
      <c r="N2357" s="129" t="str">
        <f>IF(M2357&gt;1/1/1,"Y","N")</f>
        <v>N</v>
      </c>
      <c r="O2357" s="128" t="s">
        <v>917</v>
      </c>
      <c r="P2357" s="129" t="s">
        <v>39</v>
      </c>
      <c r="Q2357" s="111">
        <f t="shared" si="1744"/>
        <v>92</v>
      </c>
      <c r="R2357" s="111">
        <f t="shared" si="1737"/>
        <v>92</v>
      </c>
      <c r="S2357" s="129">
        <v>0</v>
      </c>
      <c r="T2357" s="129">
        <v>2</v>
      </c>
      <c r="W2357" s="111"/>
      <c r="AB2357" s="131" t="s">
        <v>112</v>
      </c>
      <c r="AC2357" s="130"/>
      <c r="AD2357" s="130">
        <v>33561</v>
      </c>
      <c r="AE2357" s="128" t="s">
        <v>32</v>
      </c>
      <c r="AF2357" s="128" t="s">
        <v>40</v>
      </c>
      <c r="AG2357" s="128" t="s">
        <v>41</v>
      </c>
      <c r="AH2357" s="108" t="s">
        <v>31</v>
      </c>
      <c r="AI2357" s="128" t="s">
        <v>53</v>
      </c>
      <c r="AJ2357" s="129" t="s">
        <v>89</v>
      </c>
      <c r="AK2357" s="129">
        <v>6</v>
      </c>
      <c r="AL2357" s="3" t="s">
        <v>362</v>
      </c>
      <c r="AM2357" s="117">
        <v>3</v>
      </c>
      <c r="AP2357" s="129" t="s">
        <v>73</v>
      </c>
      <c r="AR2357" s="128" t="s">
        <v>50</v>
      </c>
      <c r="AS2357" s="129" t="s">
        <v>74</v>
      </c>
      <c r="BC2357" s="129" t="s">
        <v>99</v>
      </c>
      <c r="BF2357" s="111">
        <f t="shared" si="1739"/>
        <v>92</v>
      </c>
      <c r="BG2357" s="111">
        <f t="shared" si="1740"/>
        <v>92</v>
      </c>
      <c r="BH2357" s="111">
        <f t="shared" si="1709"/>
        <v>92</v>
      </c>
      <c r="BI2357" s="111">
        <f t="shared" si="1710"/>
        <v>20.295081967213115</v>
      </c>
      <c r="BJ2357" s="129">
        <f t="shared" si="1727"/>
        <v>0</v>
      </c>
      <c r="BK2357" s="129">
        <f t="shared" si="1711"/>
        <v>0</v>
      </c>
      <c r="BL2357" s="129" t="str">
        <f t="shared" si="1704"/>
        <v>CONVICTION</v>
      </c>
      <c r="BM2357" s="129" t="str">
        <f t="shared" si="1728"/>
        <v>NONE</v>
      </c>
      <c r="BN2357" s="129" t="s">
        <v>566</v>
      </c>
      <c r="BP2357" s="137" t="str">
        <f t="shared" si="1712"/>
        <v>CONVICTION</v>
      </c>
      <c r="BQ2357" s="128" t="str">
        <f t="shared" si="1720"/>
        <v>Y</v>
      </c>
      <c r="BR2357" s="129" t="str">
        <f t="shared" si="1713"/>
        <v>DETAINED</v>
      </c>
      <c r="BS2357" s="129" t="str">
        <f t="shared" si="1714"/>
        <v>DISPOSED</v>
      </c>
      <c r="BT2357" s="129" t="str">
        <f t="shared" si="1715"/>
        <v>N</v>
      </c>
      <c r="BU2357" s="109">
        <f t="shared" si="1721"/>
        <v>1</v>
      </c>
      <c r="BV2357" s="109">
        <f t="shared" si="1722"/>
        <v>1</v>
      </c>
      <c r="BW2357" s="109">
        <f t="shared" si="1745"/>
        <v>0</v>
      </c>
      <c r="BX2357" s="111">
        <f t="shared" si="1716"/>
        <v>0</v>
      </c>
      <c r="BY2357" s="129">
        <f t="shared" si="1723"/>
        <v>-92</v>
      </c>
      <c r="BZ2357" s="111">
        <f t="shared" si="1724"/>
        <v>0</v>
      </c>
      <c r="CA2357" s="138">
        <f t="shared" si="1725"/>
        <v>92</v>
      </c>
      <c r="CB2357" s="111" t="e">
        <f t="shared" si="1741"/>
        <v>#VALUE!</v>
      </c>
      <c r="CC2357" s="129">
        <f t="shared" si="1746"/>
        <v>92</v>
      </c>
      <c r="CD2357" s="129">
        <f t="shared" si="1747"/>
        <v>0</v>
      </c>
      <c r="CG2357" s="129" t="str">
        <f t="shared" si="1726"/>
        <v>Y</v>
      </c>
      <c r="CI2357" s="129" t="str">
        <f t="shared" si="1729"/>
        <v>91-120 DAYS</v>
      </c>
      <c r="CJ2357" s="137">
        <f t="shared" si="1730"/>
        <v>0</v>
      </c>
      <c r="CK2357" s="129" t="str">
        <f t="shared" si="1731"/>
        <v>Booked</v>
      </c>
    </row>
    <row r="2358" spans="1:89" ht="15.75" customHeight="1" x14ac:dyDescent="0.25">
      <c r="A2358" s="111">
        <v>1633</v>
      </c>
      <c r="B2358" s="128" t="str">
        <f t="shared" si="1717"/>
        <v>N</v>
      </c>
      <c r="C2358" s="128" t="str">
        <f t="shared" si="1718"/>
        <v>N</v>
      </c>
      <c r="D2358" s="117">
        <v>2533174</v>
      </c>
      <c r="E2358" s="135">
        <f t="shared" si="1719"/>
        <v>1</v>
      </c>
      <c r="F2358" s="124">
        <v>40969</v>
      </c>
      <c r="G2358" s="125">
        <v>40982</v>
      </c>
      <c r="H2358" s="117">
        <v>2533174</v>
      </c>
      <c r="I2358" s="124">
        <v>40980</v>
      </c>
      <c r="J2358" s="124">
        <v>40982</v>
      </c>
      <c r="K2358" s="126" t="s">
        <v>564</v>
      </c>
      <c r="L2358" s="127" t="s">
        <v>564</v>
      </c>
      <c r="N2358" s="129" t="s">
        <v>566</v>
      </c>
      <c r="O2358" s="128" t="s">
        <v>917</v>
      </c>
      <c r="P2358" s="116" t="s">
        <v>55</v>
      </c>
      <c r="Q2358" s="111">
        <f t="shared" si="1744"/>
        <v>3</v>
      </c>
      <c r="R2358" s="111">
        <f t="shared" si="1737"/>
        <v>14</v>
      </c>
      <c r="S2358" s="129">
        <v>1</v>
      </c>
      <c r="T2358" s="129">
        <v>0</v>
      </c>
      <c r="V2358" s="117">
        <v>1</v>
      </c>
      <c r="W2358" s="111"/>
      <c r="AC2358" s="130"/>
      <c r="AD2358" s="130">
        <v>32587</v>
      </c>
      <c r="AE2358" s="128" t="s">
        <v>32</v>
      </c>
      <c r="AF2358" s="128" t="s">
        <v>69</v>
      </c>
      <c r="AG2358" s="128" t="s">
        <v>874</v>
      </c>
      <c r="AH2358" s="108" t="s">
        <v>31</v>
      </c>
      <c r="AI2358" s="128" t="s">
        <v>83</v>
      </c>
      <c r="AJ2358" s="129" t="s">
        <v>55</v>
      </c>
      <c r="AK2358" s="129">
        <v>2</v>
      </c>
      <c r="AL2358" s="3" t="s">
        <v>55</v>
      </c>
      <c r="AP2358" s="129" t="s">
        <v>108</v>
      </c>
      <c r="AR2358" s="128" t="s">
        <v>44</v>
      </c>
      <c r="AS2358" s="129" t="s">
        <v>61</v>
      </c>
      <c r="BC2358" s="129" t="s">
        <v>38</v>
      </c>
      <c r="BF2358" s="111">
        <f t="shared" si="1739"/>
        <v>3</v>
      </c>
      <c r="BG2358" s="111">
        <f t="shared" si="1740"/>
        <v>3</v>
      </c>
      <c r="BH2358" s="111">
        <f t="shared" si="1709"/>
        <v>14</v>
      </c>
      <c r="BI2358" s="111">
        <f t="shared" si="1710"/>
        <v>22.901639344262296</v>
      </c>
      <c r="BJ2358" s="129">
        <f t="shared" si="1727"/>
        <v>0</v>
      </c>
      <c r="BK2358" s="129">
        <f t="shared" si="1711"/>
        <v>0</v>
      </c>
      <c r="BL2358" s="129" t="str">
        <f t="shared" si="1704"/>
        <v>NO CONVICTION</v>
      </c>
      <c r="BM2358" s="129" t="str">
        <f t="shared" si="1728"/>
        <v>NONE</v>
      </c>
      <c r="BN2358" s="129" t="s">
        <v>566</v>
      </c>
      <c r="BP2358" s="137" t="str">
        <f t="shared" si="1712"/>
        <v>NO CONVICTION</v>
      </c>
      <c r="BQ2358" s="128" t="str">
        <f t="shared" si="1720"/>
        <v>Y</v>
      </c>
      <c r="BR2358" s="129" t="str">
        <f t="shared" si="1713"/>
        <v>DETAINED</v>
      </c>
      <c r="BS2358" s="129" t="str">
        <f t="shared" si="1714"/>
        <v>DISPOSED</v>
      </c>
      <c r="BT2358" s="129" t="str">
        <f t="shared" si="1715"/>
        <v>Y</v>
      </c>
      <c r="BU2358" s="109">
        <f>IFERROR(Q2358/R2358,BR2358)</f>
        <v>0.21428571428571427</v>
      </c>
      <c r="BV2358" s="109">
        <f t="shared" si="1722"/>
        <v>1</v>
      </c>
      <c r="BW2358" s="109">
        <f t="shared" si="1745"/>
        <v>0.7857142857142857</v>
      </c>
      <c r="BX2358" s="111">
        <f t="shared" si="1716"/>
        <v>0</v>
      </c>
      <c r="BY2358" s="129">
        <f t="shared" si="1723"/>
        <v>-3</v>
      </c>
      <c r="BZ2358" s="111">
        <f t="shared" si="1724"/>
        <v>0</v>
      </c>
      <c r="CA2358" s="138">
        <f t="shared" si="1725"/>
        <v>3</v>
      </c>
      <c r="CB2358" s="111" t="e">
        <f t="shared" si="1741"/>
        <v>#VALUE!</v>
      </c>
      <c r="CC2358" s="129">
        <f t="shared" si="1746"/>
        <v>3</v>
      </c>
      <c r="CD2358" s="129">
        <f t="shared" si="1747"/>
        <v>0</v>
      </c>
      <c r="CG2358" s="129" t="str">
        <f t="shared" si="1726"/>
        <v>Y</v>
      </c>
      <c r="CI2358" s="129" t="str">
        <f t="shared" si="1729"/>
        <v>0-10 DAYS</v>
      </c>
      <c r="CJ2358" s="137">
        <f t="shared" si="1730"/>
        <v>1</v>
      </c>
      <c r="CK2358" s="129" t="str">
        <f t="shared" si="1731"/>
        <v>Booked</v>
      </c>
    </row>
    <row r="2359" spans="1:89" ht="15.75" customHeight="1" x14ac:dyDescent="0.25">
      <c r="A2359" s="111">
        <v>949</v>
      </c>
      <c r="B2359" s="128" t="str">
        <f t="shared" si="1717"/>
        <v>N</v>
      </c>
      <c r="C2359" s="128" t="str">
        <f t="shared" si="1718"/>
        <v>N</v>
      </c>
      <c r="D2359" s="117">
        <v>2533281</v>
      </c>
      <c r="E2359" s="135">
        <f t="shared" si="1719"/>
        <v>2</v>
      </c>
      <c r="F2359" s="124">
        <v>40943</v>
      </c>
      <c r="G2359" s="125">
        <v>41008</v>
      </c>
      <c r="H2359" s="117">
        <v>2533281</v>
      </c>
      <c r="I2359" s="124">
        <v>40944</v>
      </c>
      <c r="J2359" s="124">
        <v>40953</v>
      </c>
      <c r="K2359" s="126">
        <v>2000</v>
      </c>
      <c r="L2359" s="127" t="s">
        <v>568</v>
      </c>
      <c r="M2359" s="125">
        <v>40953</v>
      </c>
      <c r="N2359" s="129" t="str">
        <f>IF(M2359&gt;1/1/1,"Y","N")</f>
        <v>Y</v>
      </c>
      <c r="O2359" s="128" t="s">
        <v>76</v>
      </c>
      <c r="P2359" s="129" t="s">
        <v>589</v>
      </c>
      <c r="Q2359" s="111">
        <f t="shared" si="1744"/>
        <v>10</v>
      </c>
      <c r="R2359" s="111">
        <f t="shared" si="1737"/>
        <v>66</v>
      </c>
      <c r="S2359" s="129">
        <v>0</v>
      </c>
      <c r="T2359" s="129">
        <v>1</v>
      </c>
      <c r="W2359" s="111"/>
      <c r="AC2359" s="130"/>
      <c r="AD2359" s="130">
        <v>29167</v>
      </c>
      <c r="AE2359" s="128" t="s">
        <v>46</v>
      </c>
      <c r="AF2359" s="128" t="s">
        <v>69</v>
      </c>
      <c r="AG2359" s="128" t="s">
        <v>874</v>
      </c>
      <c r="AH2359" s="108" t="s">
        <v>58</v>
      </c>
      <c r="AI2359" s="128" t="s">
        <v>95</v>
      </c>
      <c r="AJ2359" s="129" t="s">
        <v>48</v>
      </c>
      <c r="AK2359" s="129">
        <v>4</v>
      </c>
      <c r="AL2359" s="3" t="s">
        <v>48</v>
      </c>
      <c r="AP2359" s="129" t="s">
        <v>137</v>
      </c>
      <c r="AR2359" s="128" t="s">
        <v>67</v>
      </c>
      <c r="AS2359" s="129" t="s">
        <v>64</v>
      </c>
      <c r="AT2359" s="129" t="s">
        <v>268</v>
      </c>
      <c r="BC2359" s="129" t="s">
        <v>38</v>
      </c>
      <c r="BF2359" s="111">
        <f t="shared" si="1739"/>
        <v>10</v>
      </c>
      <c r="BG2359" s="111">
        <f t="shared" si="1740"/>
        <v>65</v>
      </c>
      <c r="BH2359" s="111">
        <f t="shared" si="1709"/>
        <v>66</v>
      </c>
      <c r="BI2359" s="111">
        <f t="shared" si="1710"/>
        <v>32.174863387978142</v>
      </c>
      <c r="BJ2359" s="129">
        <f>(G2359-J2359)+(M2359-G2359)</f>
        <v>0</v>
      </c>
      <c r="BK2359" s="129">
        <f t="shared" si="1711"/>
        <v>-55</v>
      </c>
      <c r="BL2359" s="129" t="str">
        <f t="shared" ref="BL2359:BL2422" si="1748">IF(OR(AL2359="AQUITTAL",AL2359="DISMISSED",AL2359="FINE",AL2359="NO BILL"),"NO CONVICTION",IF(OR(AL2359="HCJ",AL2359="MHH",AL2359="PROBATION",AL2359="STJ",AL2359="TDC"),"CONVICTION",IF(AL2359="DEFERRED","DEFERRED",0)))</f>
        <v>DEFERRED</v>
      </c>
      <c r="BM2359" s="129" t="s">
        <v>76</v>
      </c>
      <c r="BN2359" s="129" t="s">
        <v>88</v>
      </c>
      <c r="BP2359" s="137" t="str">
        <f t="shared" si="1712"/>
        <v>DEFERRED</v>
      </c>
      <c r="BQ2359" s="128" t="str">
        <f t="shared" si="1720"/>
        <v>Y</v>
      </c>
      <c r="BR2359" s="129" t="str">
        <f t="shared" si="1713"/>
        <v>ON BOND</v>
      </c>
      <c r="BS2359" s="129" t="str">
        <f t="shared" si="1714"/>
        <v>DISPOSED</v>
      </c>
      <c r="BT2359" s="129" t="str">
        <f t="shared" si="1715"/>
        <v>N</v>
      </c>
      <c r="BU2359" s="109">
        <f t="shared" si="1721"/>
        <v>0.15151515151515152</v>
      </c>
      <c r="BV2359" s="109">
        <f t="shared" si="1722"/>
        <v>0.15384615384615385</v>
      </c>
      <c r="BW2359" s="109">
        <f t="shared" si="1745"/>
        <v>2.3310023310023353E-3</v>
      </c>
      <c r="BX2359" s="111">
        <f t="shared" si="1716"/>
        <v>0</v>
      </c>
      <c r="BY2359" s="129">
        <f t="shared" si="1723"/>
        <v>-10</v>
      </c>
      <c r="BZ2359" s="111">
        <f t="shared" si="1724"/>
        <v>0</v>
      </c>
      <c r="CA2359" s="138">
        <f t="shared" si="1725"/>
        <v>10</v>
      </c>
      <c r="CB2359" s="111" t="e">
        <f t="shared" si="1741"/>
        <v>#VALUE!</v>
      </c>
      <c r="CC2359" s="129">
        <f>M2359-I2359+1</f>
        <v>10</v>
      </c>
      <c r="CD2359" s="111">
        <f>CC2359-BF2359</f>
        <v>0</v>
      </c>
      <c r="CG2359" s="129" t="str">
        <f t="shared" si="1726"/>
        <v>Y</v>
      </c>
      <c r="CI2359" s="129" t="str">
        <f t="shared" si="1729"/>
        <v>0-10 DAYS</v>
      </c>
      <c r="CJ2359" s="137">
        <f t="shared" si="1730"/>
        <v>1</v>
      </c>
      <c r="CK2359" s="129" t="str">
        <f t="shared" si="1731"/>
        <v>Booked</v>
      </c>
    </row>
    <row r="2360" spans="1:89" ht="15" customHeight="1" x14ac:dyDescent="0.25">
      <c r="A2360" s="111">
        <v>2116</v>
      </c>
      <c r="B2360" s="128" t="str">
        <f t="shared" si="1717"/>
        <v>N</v>
      </c>
      <c r="C2360" s="128" t="str">
        <f t="shared" si="1718"/>
        <v>N</v>
      </c>
      <c r="D2360" s="117">
        <v>2533289</v>
      </c>
      <c r="E2360" s="135">
        <f t="shared" si="1719"/>
        <v>2</v>
      </c>
      <c r="F2360" s="124">
        <v>40988</v>
      </c>
      <c r="G2360" s="125">
        <v>40995</v>
      </c>
      <c r="H2360" s="117">
        <v>2533289</v>
      </c>
      <c r="I2360" s="124">
        <v>40988</v>
      </c>
      <c r="J2360" s="124">
        <v>40995</v>
      </c>
      <c r="K2360" s="126">
        <v>5000</v>
      </c>
      <c r="L2360" s="127" t="s">
        <v>569</v>
      </c>
      <c r="N2360" s="129" t="str">
        <f>IF(M2360&gt;1/1/1,"Y","N")</f>
        <v>N</v>
      </c>
      <c r="O2360" s="128" t="s">
        <v>917</v>
      </c>
      <c r="P2360" s="129" t="s">
        <v>589</v>
      </c>
      <c r="Q2360" s="111">
        <f t="shared" si="1744"/>
        <v>8</v>
      </c>
      <c r="R2360" s="111">
        <f t="shared" si="1737"/>
        <v>8</v>
      </c>
      <c r="S2360" s="129">
        <v>0</v>
      </c>
      <c r="T2360" s="129">
        <v>5</v>
      </c>
      <c r="W2360" s="111"/>
      <c r="AC2360" s="130"/>
      <c r="AD2360" s="130">
        <v>34298</v>
      </c>
      <c r="AE2360" s="128" t="s">
        <v>32</v>
      </c>
      <c r="AF2360" s="128" t="s">
        <v>40</v>
      </c>
      <c r="AG2360" s="128" t="s">
        <v>41</v>
      </c>
      <c r="AH2360" s="108" t="s">
        <v>41</v>
      </c>
      <c r="AI2360" s="128" t="s">
        <v>113</v>
      </c>
      <c r="AJ2360" s="129" t="s">
        <v>48</v>
      </c>
      <c r="AK2360" s="129">
        <v>3</v>
      </c>
      <c r="AL2360" s="3" t="s">
        <v>48</v>
      </c>
      <c r="AP2360" s="129" t="s">
        <v>43</v>
      </c>
      <c r="AR2360" s="128" t="s">
        <v>44</v>
      </c>
      <c r="AS2360" s="129" t="s">
        <v>45</v>
      </c>
      <c r="BC2360" s="129" t="s">
        <v>38</v>
      </c>
      <c r="BF2360" s="111">
        <f t="shared" si="1739"/>
        <v>8</v>
      </c>
      <c r="BG2360" s="111">
        <f t="shared" si="1740"/>
        <v>8</v>
      </c>
      <c r="BH2360" s="111">
        <f t="shared" si="1709"/>
        <v>8</v>
      </c>
      <c r="BI2360" s="111">
        <f t="shared" si="1710"/>
        <v>18.278688524590162</v>
      </c>
      <c r="BJ2360" s="129">
        <f t="shared" si="1727"/>
        <v>0</v>
      </c>
      <c r="BK2360" s="129">
        <f t="shared" si="1711"/>
        <v>0</v>
      </c>
      <c r="BL2360" s="129" t="str">
        <f t="shared" si="1748"/>
        <v>DEFERRED</v>
      </c>
      <c r="BM2360" s="129" t="str">
        <f t="shared" si="1728"/>
        <v>NONE</v>
      </c>
      <c r="BN2360" s="129" t="s">
        <v>566</v>
      </c>
      <c r="BP2360" s="137" t="str">
        <f t="shared" si="1712"/>
        <v>DEFERRED</v>
      </c>
      <c r="BQ2360" s="128" t="str">
        <f t="shared" si="1720"/>
        <v>Y</v>
      </c>
      <c r="BR2360" s="129" t="str">
        <f t="shared" si="1713"/>
        <v>DETAINED</v>
      </c>
      <c r="BS2360" s="129" t="str">
        <f t="shared" si="1714"/>
        <v>DISPOSED</v>
      </c>
      <c r="BT2360" s="129" t="str">
        <f t="shared" si="1715"/>
        <v>N</v>
      </c>
      <c r="BU2360" s="109">
        <f t="shared" si="1721"/>
        <v>1</v>
      </c>
      <c r="BV2360" s="109">
        <f t="shared" si="1722"/>
        <v>1</v>
      </c>
      <c r="BW2360" s="109">
        <f t="shared" si="1745"/>
        <v>0</v>
      </c>
      <c r="BX2360" s="111">
        <f t="shared" si="1716"/>
        <v>0</v>
      </c>
      <c r="BY2360" s="129">
        <f t="shared" si="1723"/>
        <v>-8</v>
      </c>
      <c r="BZ2360" s="111">
        <f t="shared" si="1724"/>
        <v>0</v>
      </c>
      <c r="CA2360" s="138">
        <f t="shared" si="1725"/>
        <v>8</v>
      </c>
      <c r="CB2360" s="111" t="e">
        <f t="shared" si="1741"/>
        <v>#VALUE!</v>
      </c>
      <c r="CC2360" s="129">
        <f>G2360-I2360+1</f>
        <v>8</v>
      </c>
      <c r="CD2360" s="129">
        <f>G2360-J2360</f>
        <v>0</v>
      </c>
      <c r="CG2360" s="129" t="str">
        <f t="shared" si="1726"/>
        <v>Y</v>
      </c>
      <c r="CI2360" s="129" t="str">
        <f t="shared" si="1729"/>
        <v>0-10 DAYS</v>
      </c>
      <c r="CJ2360" s="137">
        <f t="shared" si="1730"/>
        <v>1</v>
      </c>
      <c r="CK2360" s="129" t="str">
        <f t="shared" si="1731"/>
        <v>Booked</v>
      </c>
    </row>
    <row r="2361" spans="1:89" ht="15.75" customHeight="1" x14ac:dyDescent="0.25">
      <c r="A2361" s="111">
        <v>840</v>
      </c>
      <c r="B2361" s="128" t="str">
        <f t="shared" si="1717"/>
        <v>Y</v>
      </c>
      <c r="C2361" s="128" t="str">
        <f t="shared" si="1718"/>
        <v>N</v>
      </c>
      <c r="D2361" s="117">
        <v>2533376</v>
      </c>
      <c r="E2361" s="135">
        <f t="shared" si="1719"/>
        <v>6</v>
      </c>
      <c r="F2361" s="124">
        <v>40940</v>
      </c>
      <c r="G2361" s="125">
        <v>41656</v>
      </c>
      <c r="H2361" s="117">
        <v>2533376</v>
      </c>
      <c r="I2361" s="124">
        <v>40950</v>
      </c>
      <c r="J2361" s="125">
        <v>41656</v>
      </c>
      <c r="K2361" s="126">
        <v>140000</v>
      </c>
      <c r="L2361" s="129" t="s">
        <v>572</v>
      </c>
      <c r="N2361" s="129" t="str">
        <f>IF(M2361&gt;1/1/1,"Y","N")</f>
        <v>N</v>
      </c>
      <c r="O2361" s="128" t="s">
        <v>917</v>
      </c>
      <c r="P2361" s="129" t="s">
        <v>39</v>
      </c>
      <c r="Q2361" s="111">
        <v>717</v>
      </c>
      <c r="R2361" s="111">
        <f t="shared" si="1737"/>
        <v>717</v>
      </c>
      <c r="S2361" s="129">
        <v>0</v>
      </c>
      <c r="T2361" s="129">
        <v>1</v>
      </c>
      <c r="W2361" s="111"/>
      <c r="AC2361" s="130"/>
      <c r="AD2361" s="130">
        <v>34046</v>
      </c>
      <c r="AE2361" s="128" t="s">
        <v>32</v>
      </c>
      <c r="AF2361" s="128" t="s">
        <v>69</v>
      </c>
      <c r="AG2361" s="128" t="s">
        <v>874</v>
      </c>
      <c r="AH2361" s="108" t="s">
        <v>31</v>
      </c>
      <c r="AI2361" s="128" t="s">
        <v>80</v>
      </c>
      <c r="AJ2361" s="129" t="s">
        <v>89</v>
      </c>
      <c r="AK2361" s="129">
        <v>18</v>
      </c>
      <c r="AL2361" s="3" t="s">
        <v>362</v>
      </c>
      <c r="AM2361" s="117">
        <v>20</v>
      </c>
      <c r="AP2361" s="129" t="s">
        <v>252</v>
      </c>
      <c r="AR2361" s="128" t="s">
        <v>92</v>
      </c>
      <c r="AS2361" s="129" t="s">
        <v>74</v>
      </c>
      <c r="BC2361" s="129" t="s">
        <v>38</v>
      </c>
      <c r="BD2361" s="129" t="s">
        <v>1392</v>
      </c>
      <c r="BF2361" s="111">
        <v>717</v>
      </c>
      <c r="BG2361" s="111">
        <f t="shared" si="1740"/>
        <v>707</v>
      </c>
      <c r="BH2361" s="111">
        <f t="shared" si="1709"/>
        <v>717</v>
      </c>
      <c r="BI2361" s="111">
        <f t="shared" si="1710"/>
        <v>18.83606557377049</v>
      </c>
      <c r="BJ2361" s="129">
        <f t="shared" si="1727"/>
        <v>0</v>
      </c>
      <c r="BK2361" s="129">
        <f t="shared" si="1711"/>
        <v>0</v>
      </c>
      <c r="BL2361" s="129" t="str">
        <f t="shared" si="1748"/>
        <v>CONVICTION</v>
      </c>
      <c r="BM2361" s="129" t="str">
        <f t="shared" si="1728"/>
        <v>NONE</v>
      </c>
      <c r="BN2361" s="129" t="s">
        <v>566</v>
      </c>
      <c r="BP2361" s="137" t="str">
        <f t="shared" si="1712"/>
        <v>CONVICTION</v>
      </c>
      <c r="BQ2361" s="128" t="str">
        <f t="shared" si="1720"/>
        <v>Y</v>
      </c>
      <c r="BR2361" s="129" t="str">
        <f t="shared" si="1713"/>
        <v>DETAINED</v>
      </c>
      <c r="BS2361" s="129" t="str">
        <f t="shared" si="1714"/>
        <v>DISPOSED</v>
      </c>
      <c r="BT2361" s="129" t="str">
        <f t="shared" si="1715"/>
        <v>N</v>
      </c>
      <c r="BU2361" s="109">
        <f>IFERROR(Q2361/R2361,BR2361)</f>
        <v>1</v>
      </c>
      <c r="BV2361" s="139">
        <v>1</v>
      </c>
      <c r="BW2361" s="109">
        <v>0</v>
      </c>
      <c r="BX2361" s="111">
        <f t="shared" si="1716"/>
        <v>0</v>
      </c>
      <c r="BY2361" s="129">
        <f t="shared" si="1723"/>
        <v>-707</v>
      </c>
      <c r="BZ2361" s="111">
        <f t="shared" si="1724"/>
        <v>10</v>
      </c>
      <c r="CA2361" s="138">
        <f t="shared" si="1725"/>
        <v>707</v>
      </c>
      <c r="CB2361" s="111" t="e">
        <f t="shared" si="1741"/>
        <v>#VALUE!</v>
      </c>
      <c r="CC2361" s="129">
        <v>717</v>
      </c>
      <c r="CG2361" s="129" t="str">
        <f t="shared" si="1726"/>
        <v>Y</v>
      </c>
      <c r="CH2361" s="129" t="e">
        <v>#N/A</v>
      </c>
      <c r="CI2361" s="129" t="str">
        <f t="shared" si="1729"/>
        <v xml:space="preserve"> &gt;1YRS&lt;2YRS</v>
      </c>
      <c r="CJ2361" s="137">
        <f t="shared" si="1730"/>
        <v>0</v>
      </c>
      <c r="CK2361" s="129" t="str">
        <f t="shared" si="1731"/>
        <v>Booked</v>
      </c>
    </row>
    <row r="2362" spans="1:89" ht="15" customHeight="1" x14ac:dyDescent="0.25">
      <c r="A2362" s="111">
        <v>1249</v>
      </c>
      <c r="B2362" s="128" t="str">
        <f t="shared" si="1717"/>
        <v>N</v>
      </c>
      <c r="C2362" s="128" t="str">
        <f t="shared" si="1718"/>
        <v>N</v>
      </c>
      <c r="D2362" s="117">
        <v>2533418</v>
      </c>
      <c r="E2362" s="135">
        <f t="shared" si="1719"/>
        <v>6</v>
      </c>
      <c r="F2362" s="124">
        <v>40954</v>
      </c>
      <c r="G2362" s="125">
        <v>41038</v>
      </c>
      <c r="H2362" s="117">
        <v>2533418</v>
      </c>
      <c r="I2362" s="124">
        <v>40954</v>
      </c>
      <c r="J2362" s="124">
        <v>41038</v>
      </c>
      <c r="K2362" s="126" t="s">
        <v>564</v>
      </c>
      <c r="L2362" s="127" t="s">
        <v>564</v>
      </c>
      <c r="N2362" s="129" t="s">
        <v>566</v>
      </c>
      <c r="O2362" s="128" t="s">
        <v>917</v>
      </c>
      <c r="P2362" s="129" t="s">
        <v>39</v>
      </c>
      <c r="Q2362" s="111">
        <f t="shared" si="1744"/>
        <v>85</v>
      </c>
      <c r="R2362" s="111">
        <f t="shared" si="1737"/>
        <v>85</v>
      </c>
      <c r="S2362" s="129">
        <v>2</v>
      </c>
      <c r="T2362" s="129">
        <v>3</v>
      </c>
      <c r="U2362" s="129">
        <v>2</v>
      </c>
      <c r="W2362" s="111"/>
      <c r="AC2362" s="130"/>
      <c r="AD2362" s="130">
        <v>34203</v>
      </c>
      <c r="AE2362" s="128" t="s">
        <v>32</v>
      </c>
      <c r="AF2362" s="128" t="s">
        <v>40</v>
      </c>
      <c r="AG2362" s="128" t="s">
        <v>41</v>
      </c>
      <c r="AH2362" s="108" t="s">
        <v>41</v>
      </c>
      <c r="AI2362" s="128" t="s">
        <v>83</v>
      </c>
      <c r="AJ2362" s="129" t="s">
        <v>89</v>
      </c>
      <c r="AK2362" s="129">
        <v>4</v>
      </c>
      <c r="AL2362" s="3" t="s">
        <v>362</v>
      </c>
      <c r="AM2362" s="117">
        <v>7</v>
      </c>
      <c r="AP2362" s="129" t="s">
        <v>186</v>
      </c>
      <c r="AR2362" s="128" t="s">
        <v>50</v>
      </c>
      <c r="AS2362" s="129" t="s">
        <v>106</v>
      </c>
      <c r="BC2362" s="129" t="s">
        <v>38</v>
      </c>
      <c r="BF2362" s="111">
        <f t="shared" si="1739"/>
        <v>85</v>
      </c>
      <c r="BG2362" s="111">
        <f t="shared" si="1740"/>
        <v>85</v>
      </c>
      <c r="BH2362" s="111">
        <f t="shared" si="1709"/>
        <v>85</v>
      </c>
      <c r="BI2362" s="111">
        <f t="shared" si="1710"/>
        <v>18.44535519125683</v>
      </c>
      <c r="BJ2362" s="129">
        <f t="shared" si="1727"/>
        <v>0</v>
      </c>
      <c r="BK2362" s="129">
        <f t="shared" si="1711"/>
        <v>0</v>
      </c>
      <c r="BL2362" s="129" t="str">
        <f t="shared" si="1748"/>
        <v>CONVICTION</v>
      </c>
      <c r="BM2362" s="129" t="str">
        <f t="shared" si="1728"/>
        <v>NONE</v>
      </c>
      <c r="BN2362" s="129" t="s">
        <v>566</v>
      </c>
      <c r="BP2362" s="137" t="str">
        <f t="shared" si="1712"/>
        <v>CONVICTION</v>
      </c>
      <c r="BQ2362" s="128" t="str">
        <f t="shared" si="1720"/>
        <v>Y</v>
      </c>
      <c r="BR2362" s="129" t="str">
        <f t="shared" si="1713"/>
        <v>DETAINED</v>
      </c>
      <c r="BS2362" s="129" t="str">
        <f t="shared" si="1714"/>
        <v>DISPOSED</v>
      </c>
      <c r="BT2362" s="129" t="str">
        <f t="shared" si="1715"/>
        <v>Y</v>
      </c>
      <c r="BU2362" s="109">
        <f t="shared" si="1721"/>
        <v>1</v>
      </c>
      <c r="BV2362" s="109">
        <f t="shared" si="1722"/>
        <v>1</v>
      </c>
      <c r="BW2362" s="109">
        <f>BV2362-BU2362</f>
        <v>0</v>
      </c>
      <c r="BX2362" s="111">
        <f t="shared" si="1716"/>
        <v>0</v>
      </c>
      <c r="BY2362" s="129">
        <f t="shared" si="1723"/>
        <v>-85</v>
      </c>
      <c r="BZ2362" s="111">
        <f t="shared" si="1724"/>
        <v>0</v>
      </c>
      <c r="CA2362" s="138">
        <f t="shared" si="1725"/>
        <v>85</v>
      </c>
      <c r="CB2362" s="111" t="e">
        <f t="shared" si="1741"/>
        <v>#VALUE!</v>
      </c>
      <c r="CC2362" s="129">
        <f>G2362-I2362+1</f>
        <v>85</v>
      </c>
      <c r="CD2362" s="129">
        <f>G2362-J2362</f>
        <v>0</v>
      </c>
      <c r="CG2362" s="129" t="str">
        <f t="shared" si="1726"/>
        <v>Y</v>
      </c>
      <c r="CI2362" s="129" t="str">
        <f t="shared" si="1729"/>
        <v>61-90 DAYS</v>
      </c>
      <c r="CJ2362" s="137">
        <f t="shared" si="1730"/>
        <v>4</v>
      </c>
      <c r="CK2362" s="129" t="str">
        <f t="shared" si="1731"/>
        <v>Booked</v>
      </c>
    </row>
    <row r="2363" spans="1:89" ht="15.75" customHeight="1" x14ac:dyDescent="0.25">
      <c r="A2363" s="111">
        <v>101</v>
      </c>
      <c r="B2363" s="128" t="str">
        <f t="shared" si="1717"/>
        <v>N</v>
      </c>
      <c r="C2363" s="128" t="str">
        <f t="shared" si="1718"/>
        <v>Y</v>
      </c>
      <c r="D2363" s="114">
        <v>2535294</v>
      </c>
      <c r="E2363" s="135" t="str">
        <f t="shared" si="1719"/>
        <v/>
      </c>
      <c r="F2363" s="124">
        <v>40913</v>
      </c>
      <c r="G2363" s="125"/>
      <c r="H2363" s="114">
        <v>2535294</v>
      </c>
      <c r="I2363" s="124">
        <v>40914</v>
      </c>
      <c r="J2363" s="124">
        <v>40916</v>
      </c>
      <c r="K2363" s="126">
        <v>40000</v>
      </c>
      <c r="L2363" s="129" t="s">
        <v>572</v>
      </c>
      <c r="M2363" s="125">
        <v>40916</v>
      </c>
      <c r="N2363" s="129" t="str">
        <f>IF(M2363&gt;1/1/1,"Y","N")</f>
        <v>Y</v>
      </c>
      <c r="O2363" s="128" t="s">
        <v>76</v>
      </c>
      <c r="P2363" s="32" t="s">
        <v>593</v>
      </c>
      <c r="Q2363" s="111" t="str">
        <f>BF2363</f>
        <v>STILL OPEN - FUGITIVE</v>
      </c>
      <c r="R2363" s="111" t="str">
        <f t="shared" si="1737"/>
        <v>STILL OPEN - FUGITIVE</v>
      </c>
      <c r="S2363" s="129">
        <v>0</v>
      </c>
      <c r="T2363" s="129">
        <v>0</v>
      </c>
      <c r="W2363" s="111"/>
      <c r="AC2363" s="130"/>
      <c r="AD2363" s="130">
        <v>29209</v>
      </c>
      <c r="AE2363" s="128" t="s">
        <v>32</v>
      </c>
      <c r="AF2363" s="128" t="s">
        <v>33</v>
      </c>
      <c r="AG2363" s="128" t="s">
        <v>872</v>
      </c>
      <c r="AH2363" s="108" t="s">
        <v>31</v>
      </c>
      <c r="AI2363" s="128" t="s">
        <v>62</v>
      </c>
      <c r="AJ2363" s="129" t="s">
        <v>31</v>
      </c>
      <c r="AP2363" s="129" t="s">
        <v>143</v>
      </c>
      <c r="AR2363" s="128" t="s">
        <v>50</v>
      </c>
      <c r="AS2363" s="129" t="s">
        <v>82</v>
      </c>
      <c r="AV2363" s="3" t="s">
        <v>88</v>
      </c>
      <c r="AW2363" s="125">
        <v>41207</v>
      </c>
      <c r="AY2363" s="123" t="s">
        <v>88</v>
      </c>
      <c r="BA2363" s="32" t="s">
        <v>1236</v>
      </c>
      <c r="BB2363" s="32"/>
      <c r="BC2363" s="129" t="s">
        <v>52</v>
      </c>
      <c r="BF2363" s="111" t="s">
        <v>1318</v>
      </c>
      <c r="BG2363" s="111" t="s">
        <v>1318</v>
      </c>
      <c r="BH2363" s="111" t="s">
        <v>1318</v>
      </c>
      <c r="BI2363" s="111">
        <f t="shared" si="1710"/>
        <v>31.978142076502731</v>
      </c>
      <c r="BJ2363" s="129">
        <f>(G2363-J2363)+(M2363-G2363)</f>
        <v>0</v>
      </c>
      <c r="BK2363" s="129">
        <f t="shared" si="1711"/>
        <v>40916</v>
      </c>
      <c r="BL2363" s="129">
        <f t="shared" si="1748"/>
        <v>0</v>
      </c>
      <c r="BM2363" s="129" t="s">
        <v>76</v>
      </c>
      <c r="BN2363" s="129" t="s">
        <v>88</v>
      </c>
      <c r="BP2363" s="137" t="str">
        <f t="shared" si="1712"/>
        <v/>
      </c>
      <c r="BQ2363" s="128" t="str">
        <f t="shared" si="1720"/>
        <v>Y</v>
      </c>
      <c r="BR2363" s="129" t="s">
        <v>1318</v>
      </c>
      <c r="BS2363" s="129" t="s">
        <v>588</v>
      </c>
      <c r="BT2363" s="129" t="str">
        <f t="shared" si="1715"/>
        <v>N</v>
      </c>
      <c r="BU2363" s="109" t="str">
        <f>IFERROR(Q2363/R2363,BR2363)</f>
        <v>STILL OPEN - FUGITIVE</v>
      </c>
      <c r="BV2363" s="129" t="s">
        <v>588</v>
      </c>
      <c r="BW2363" s="109">
        <v>0</v>
      </c>
      <c r="BX2363" s="111" t="e">
        <f t="shared" si="1716"/>
        <v>#VALUE!</v>
      </c>
      <c r="BY2363" s="129">
        <f t="shared" si="1723"/>
        <v>-3</v>
      </c>
      <c r="BZ2363" s="111" t="e">
        <f t="shared" si="1724"/>
        <v>#VALUE!</v>
      </c>
      <c r="CA2363" s="138" t="e">
        <f t="shared" si="1725"/>
        <v>#VALUE!</v>
      </c>
      <c r="CB2363" s="111" t="s">
        <v>1318</v>
      </c>
      <c r="CC2363" s="129" t="s">
        <v>588</v>
      </c>
      <c r="CG2363" s="129" t="str">
        <f t="shared" si="1726"/>
        <v>N</v>
      </c>
      <c r="CH2363" s="129" t="e">
        <v>#N/A</v>
      </c>
      <c r="CI2363" s="129" t="str">
        <f t="shared" si="1729"/>
        <v>&gt;3YRS</v>
      </c>
      <c r="CJ2363" s="137">
        <f t="shared" si="1730"/>
        <v>9</v>
      </c>
      <c r="CK2363" s="129" t="str">
        <f t="shared" si="1731"/>
        <v>Booked</v>
      </c>
    </row>
    <row r="2364" spans="1:89" ht="15" customHeight="1" x14ac:dyDescent="0.25">
      <c r="A2364" s="111">
        <v>2874</v>
      </c>
      <c r="B2364" s="128" t="str">
        <f t="shared" si="1717"/>
        <v>N</v>
      </c>
      <c r="C2364" s="128" t="str">
        <f t="shared" si="1718"/>
        <v>N</v>
      </c>
      <c r="D2364" s="117">
        <v>2535405</v>
      </c>
      <c r="E2364" s="135">
        <f t="shared" si="1719"/>
        <v>1</v>
      </c>
      <c r="F2364" s="124">
        <v>41015</v>
      </c>
      <c r="G2364" s="125">
        <v>41177</v>
      </c>
      <c r="H2364" s="117">
        <v>2535405</v>
      </c>
      <c r="I2364" s="124" t="s">
        <v>562</v>
      </c>
      <c r="J2364" s="124" t="s">
        <v>562</v>
      </c>
      <c r="K2364" s="126">
        <v>5000</v>
      </c>
      <c r="L2364" s="127" t="s">
        <v>569</v>
      </c>
      <c r="M2364" s="125">
        <v>41116</v>
      </c>
      <c r="N2364" s="129" t="str">
        <f>IF(M2364&gt;1/1/1,"Y",IF(Q2364="0","","N"))</f>
        <v>Y</v>
      </c>
      <c r="O2364" s="128" t="s">
        <v>76</v>
      </c>
      <c r="P2364" s="129" t="s">
        <v>55</v>
      </c>
      <c r="Q2364" s="111">
        <f t="shared" si="1744"/>
        <v>0</v>
      </c>
      <c r="R2364" s="111">
        <f t="shared" si="1737"/>
        <v>163</v>
      </c>
      <c r="S2364" s="129">
        <v>0</v>
      </c>
      <c r="T2364" s="129">
        <v>0</v>
      </c>
      <c r="W2364" s="111"/>
      <c r="AC2364" s="130"/>
      <c r="AD2364" s="130">
        <v>31868</v>
      </c>
      <c r="AE2364" s="128" t="s">
        <v>32</v>
      </c>
      <c r="AF2364" s="128" t="s">
        <v>69</v>
      </c>
      <c r="AG2364" s="128" t="s">
        <v>874</v>
      </c>
      <c r="AH2364" s="108" t="s">
        <v>31</v>
      </c>
      <c r="AI2364" s="128" t="s">
        <v>90</v>
      </c>
      <c r="AJ2364" s="129" t="s">
        <v>55</v>
      </c>
      <c r="AK2364" s="129">
        <v>5</v>
      </c>
      <c r="AL2364" s="3" t="s">
        <v>55</v>
      </c>
      <c r="AP2364" s="129" t="s">
        <v>108</v>
      </c>
      <c r="AR2364" s="128" t="s">
        <v>44</v>
      </c>
      <c r="AS2364" s="129" t="s">
        <v>61</v>
      </c>
      <c r="BC2364" s="129" t="s">
        <v>52</v>
      </c>
      <c r="BF2364" s="111">
        <v>0</v>
      </c>
      <c r="BG2364" s="111">
        <v>0</v>
      </c>
      <c r="BH2364" s="111">
        <f t="shared" si="1709"/>
        <v>163</v>
      </c>
      <c r="BI2364" s="111">
        <f t="shared" si="1710"/>
        <v>24.991803278688526</v>
      </c>
      <c r="BJ2364" s="129" t="e">
        <f>(G2364-J2364)+(M2364-G2364)</f>
        <v>#VALUE!</v>
      </c>
      <c r="BK2364" s="129" t="e">
        <f t="shared" si="1711"/>
        <v>#VALUE!</v>
      </c>
      <c r="BL2364" s="129" t="str">
        <f t="shared" si="1748"/>
        <v>NO CONVICTION</v>
      </c>
      <c r="BM2364" s="129" t="s">
        <v>76</v>
      </c>
      <c r="BN2364" s="129" t="s">
        <v>88</v>
      </c>
      <c r="BP2364" s="137" t="str">
        <f t="shared" si="1712"/>
        <v>NO CONVICTION</v>
      </c>
      <c r="BQ2364" s="128">
        <f t="shared" si="1720"/>
        <v>0</v>
      </c>
      <c r="BR2364" s="129" t="s">
        <v>575</v>
      </c>
      <c r="BS2364" s="129" t="str">
        <f t="shared" si="1714"/>
        <v>DISPOSED</v>
      </c>
      <c r="BT2364" s="129" t="str">
        <f t="shared" si="1715"/>
        <v>N</v>
      </c>
      <c r="BU2364" s="109">
        <f>IFERROR(Q2364/R2364,BR2364)</f>
        <v>0</v>
      </c>
      <c r="BV2364" s="109">
        <v>0</v>
      </c>
      <c r="BW2364" s="109">
        <f t="shared" ref="BW2364:BW2378" si="1749">BV2364-BU2364</f>
        <v>0</v>
      </c>
      <c r="BX2364" s="111">
        <f t="shared" si="1716"/>
        <v>0</v>
      </c>
      <c r="BY2364" s="129" t="e">
        <f t="shared" si="1723"/>
        <v>#VALUE!</v>
      </c>
      <c r="BZ2364" s="111" t="e">
        <f t="shared" si="1724"/>
        <v>#VALUE!</v>
      </c>
      <c r="CA2364" s="138" t="e">
        <f t="shared" si="1725"/>
        <v>#VALUE!</v>
      </c>
      <c r="CB2364" s="111">
        <v>0</v>
      </c>
      <c r="CC2364" s="129">
        <v>0</v>
      </c>
      <c r="CD2364" s="111">
        <f>CC2364-BF2364</f>
        <v>0</v>
      </c>
      <c r="CG2364" s="129" t="str">
        <f t="shared" si="1726"/>
        <v>N</v>
      </c>
      <c r="CI2364" s="129" t="str">
        <f t="shared" si="1729"/>
        <v>0-10 DAYS</v>
      </c>
      <c r="CJ2364" s="137">
        <f t="shared" si="1730"/>
        <v>1</v>
      </c>
      <c r="CK2364" s="129" t="str">
        <f t="shared" si="1731"/>
        <v>Not Booked</v>
      </c>
    </row>
    <row r="2365" spans="1:89" ht="15.75" customHeight="1" x14ac:dyDescent="0.25">
      <c r="A2365" s="111">
        <v>1106</v>
      </c>
      <c r="B2365" s="128" t="str">
        <f t="shared" si="1717"/>
        <v>N</v>
      </c>
      <c r="C2365" s="128" t="str">
        <f t="shared" si="1718"/>
        <v>N</v>
      </c>
      <c r="D2365" s="117">
        <v>2535423</v>
      </c>
      <c r="E2365" s="135">
        <f t="shared" si="1719"/>
        <v>4</v>
      </c>
      <c r="F2365" s="124">
        <v>40949</v>
      </c>
      <c r="G2365" s="125">
        <v>41108</v>
      </c>
      <c r="H2365" s="117">
        <v>2535423</v>
      </c>
      <c r="I2365" s="124">
        <v>40949</v>
      </c>
      <c r="J2365" s="124">
        <v>41108</v>
      </c>
      <c r="K2365" s="126">
        <v>5000</v>
      </c>
      <c r="L2365" s="127" t="s">
        <v>569</v>
      </c>
      <c r="N2365" s="129" t="str">
        <f>IF(M2365&gt;1/1/1,"Y","N")</f>
        <v>N</v>
      </c>
      <c r="O2365" s="128" t="s">
        <v>917</v>
      </c>
      <c r="P2365" s="129" t="s">
        <v>39</v>
      </c>
      <c r="Q2365" s="111">
        <f t="shared" si="1744"/>
        <v>160</v>
      </c>
      <c r="R2365" s="111">
        <f t="shared" si="1737"/>
        <v>160</v>
      </c>
      <c r="S2365" s="129">
        <v>1</v>
      </c>
      <c r="T2365" s="129">
        <v>1</v>
      </c>
      <c r="U2365" s="129">
        <v>1</v>
      </c>
      <c r="W2365" s="111"/>
      <c r="AC2365" s="130"/>
      <c r="AD2365" s="130">
        <v>20412</v>
      </c>
      <c r="AE2365" s="128" t="s">
        <v>32</v>
      </c>
      <c r="AF2365" s="128" t="s">
        <v>69</v>
      </c>
      <c r="AG2365" s="128" t="s">
        <v>874</v>
      </c>
      <c r="AH2365" s="108" t="s">
        <v>31</v>
      </c>
      <c r="AI2365" s="128" t="s">
        <v>34</v>
      </c>
      <c r="AJ2365" s="129" t="s">
        <v>89</v>
      </c>
      <c r="AK2365" s="129">
        <v>7</v>
      </c>
      <c r="AL2365" s="3" t="s">
        <v>991</v>
      </c>
      <c r="AO2365" s="128">
        <v>365</v>
      </c>
      <c r="AP2365" s="129" t="s">
        <v>43</v>
      </c>
      <c r="AR2365" s="128" t="s">
        <v>44</v>
      </c>
      <c r="AS2365" s="129" t="s">
        <v>45</v>
      </c>
      <c r="BC2365" s="129" t="s">
        <v>38</v>
      </c>
      <c r="BF2365" s="111">
        <f t="shared" ref="BF2365:BF2377" si="1750">IF(J2365&gt;1/1/1900,((J2365+1)-I2365),"STILL OPEN")</f>
        <v>160</v>
      </c>
      <c r="BG2365" s="111">
        <f t="shared" ref="BG2365:BG2377" si="1751">IF(G2365&gt;1/1/1900,((G2365+1)-I2365),"STILL OPEN")</f>
        <v>160</v>
      </c>
      <c r="BH2365" s="111">
        <f t="shared" si="1709"/>
        <v>160</v>
      </c>
      <c r="BI2365" s="111">
        <f t="shared" si="1710"/>
        <v>56.112021857923494</v>
      </c>
      <c r="BJ2365" s="129">
        <f t="shared" si="1727"/>
        <v>0</v>
      </c>
      <c r="BK2365" s="129">
        <f t="shared" si="1711"/>
        <v>0</v>
      </c>
      <c r="BL2365" s="129" t="str">
        <f t="shared" si="1748"/>
        <v>CONVICTION</v>
      </c>
      <c r="BM2365" s="129" t="str">
        <f t="shared" si="1728"/>
        <v>NONE</v>
      </c>
      <c r="BN2365" s="129" t="s">
        <v>566</v>
      </c>
      <c r="BP2365" s="137" t="str">
        <f t="shared" si="1712"/>
        <v>CONVICTION</v>
      </c>
      <c r="BQ2365" s="128" t="str">
        <f t="shared" si="1720"/>
        <v>Y</v>
      </c>
      <c r="BR2365" s="129" t="str">
        <f t="shared" si="1713"/>
        <v>DETAINED</v>
      </c>
      <c r="BS2365" s="129" t="str">
        <f t="shared" si="1714"/>
        <v>DISPOSED</v>
      </c>
      <c r="BT2365" s="129" t="str">
        <f t="shared" si="1715"/>
        <v>Y</v>
      </c>
      <c r="BU2365" s="109">
        <f t="shared" si="1721"/>
        <v>1</v>
      </c>
      <c r="BV2365" s="109">
        <f t="shared" si="1722"/>
        <v>1</v>
      </c>
      <c r="BW2365" s="109">
        <f t="shared" si="1749"/>
        <v>0</v>
      </c>
      <c r="BX2365" s="111">
        <f t="shared" si="1716"/>
        <v>0</v>
      </c>
      <c r="BY2365" s="129">
        <f t="shared" si="1723"/>
        <v>-160</v>
      </c>
      <c r="BZ2365" s="111">
        <f t="shared" si="1724"/>
        <v>0</v>
      </c>
      <c r="CA2365" s="138">
        <f t="shared" si="1725"/>
        <v>160</v>
      </c>
      <c r="CB2365" s="111" t="e">
        <f t="shared" ref="CB2365:CB2377" si="1752">IF(AF2365&gt;1/1/1900,((AF2365+1)-AE2365),"STILL OPEN")</f>
        <v>#VALUE!</v>
      </c>
      <c r="CC2365" s="129">
        <f>G2365-I2365+1</f>
        <v>160</v>
      </c>
      <c r="CD2365" s="129">
        <f>G2365-J2365</f>
        <v>0</v>
      </c>
      <c r="CG2365" s="129" t="str">
        <f t="shared" si="1726"/>
        <v>Y</v>
      </c>
      <c r="CI2365" s="129" t="str">
        <f t="shared" si="1729"/>
        <v>121-365 DAYS</v>
      </c>
      <c r="CJ2365" s="137">
        <f t="shared" si="1730"/>
        <v>6</v>
      </c>
      <c r="CK2365" s="129" t="str">
        <f t="shared" si="1731"/>
        <v>Booked</v>
      </c>
    </row>
    <row r="2366" spans="1:89" ht="15" customHeight="1" x14ac:dyDescent="0.25">
      <c r="A2366" s="111">
        <v>842</v>
      </c>
      <c r="B2366" s="128" t="str">
        <f t="shared" si="1717"/>
        <v>N</v>
      </c>
      <c r="C2366" s="128" t="str">
        <f t="shared" si="1718"/>
        <v>N</v>
      </c>
      <c r="D2366" s="117">
        <v>2536340</v>
      </c>
      <c r="E2366" s="135">
        <f t="shared" si="1719"/>
        <v>2</v>
      </c>
      <c r="F2366" s="124">
        <v>40940</v>
      </c>
      <c r="G2366" s="125">
        <v>41061</v>
      </c>
      <c r="H2366" s="117">
        <v>2536340</v>
      </c>
      <c r="I2366" s="124">
        <v>40943</v>
      </c>
      <c r="J2366" s="124">
        <v>41061</v>
      </c>
      <c r="K2366" s="126" t="s">
        <v>564</v>
      </c>
      <c r="L2366" s="127" t="s">
        <v>564</v>
      </c>
      <c r="N2366" s="129" t="s">
        <v>566</v>
      </c>
      <c r="O2366" s="128" t="s">
        <v>917</v>
      </c>
      <c r="P2366" s="129" t="s">
        <v>589</v>
      </c>
      <c r="Q2366" s="111">
        <f t="shared" si="1744"/>
        <v>119</v>
      </c>
      <c r="R2366" s="111">
        <f t="shared" si="1737"/>
        <v>122</v>
      </c>
      <c r="S2366" s="129">
        <v>0</v>
      </c>
      <c r="T2366" s="129">
        <v>1</v>
      </c>
      <c r="W2366" s="111"/>
      <c r="AC2366" s="130"/>
      <c r="AD2366" s="130">
        <v>34247</v>
      </c>
      <c r="AE2366" s="128" t="s">
        <v>32</v>
      </c>
      <c r="AF2366" s="128" t="s">
        <v>69</v>
      </c>
      <c r="AG2366" s="128" t="s">
        <v>874</v>
      </c>
      <c r="AH2366" s="108" t="s">
        <v>31</v>
      </c>
      <c r="AI2366" s="128" t="s">
        <v>34</v>
      </c>
      <c r="AJ2366" s="129" t="s">
        <v>48</v>
      </c>
      <c r="AK2366" s="129">
        <v>8</v>
      </c>
      <c r="AL2366" s="3" t="s">
        <v>48</v>
      </c>
      <c r="AP2366" s="129" t="s">
        <v>253</v>
      </c>
      <c r="AR2366" s="128" t="s">
        <v>44</v>
      </c>
      <c r="AS2366" s="129" t="s">
        <v>82</v>
      </c>
      <c r="BC2366" s="129" t="s">
        <v>52</v>
      </c>
      <c r="BF2366" s="111">
        <f t="shared" si="1750"/>
        <v>119</v>
      </c>
      <c r="BG2366" s="111">
        <f t="shared" si="1751"/>
        <v>119</v>
      </c>
      <c r="BH2366" s="111">
        <f t="shared" si="1709"/>
        <v>122</v>
      </c>
      <c r="BI2366" s="111">
        <f t="shared" si="1710"/>
        <v>18.28688524590164</v>
      </c>
      <c r="BJ2366" s="129">
        <f t="shared" si="1727"/>
        <v>0</v>
      </c>
      <c r="BK2366" s="129">
        <f t="shared" si="1711"/>
        <v>0</v>
      </c>
      <c r="BL2366" s="129" t="str">
        <f t="shared" si="1748"/>
        <v>DEFERRED</v>
      </c>
      <c r="BM2366" s="129" t="str">
        <f t="shared" si="1728"/>
        <v>NONE</v>
      </c>
      <c r="BN2366" s="129" t="s">
        <v>566</v>
      </c>
      <c r="BP2366" s="137" t="str">
        <f t="shared" si="1712"/>
        <v>DEFERRED</v>
      </c>
      <c r="BQ2366" s="128" t="str">
        <f t="shared" si="1720"/>
        <v>Y</v>
      </c>
      <c r="BR2366" s="129" t="str">
        <f t="shared" si="1713"/>
        <v>DETAINED</v>
      </c>
      <c r="BS2366" s="129" t="str">
        <f t="shared" si="1714"/>
        <v>DISPOSED</v>
      </c>
      <c r="BT2366" s="129" t="str">
        <f t="shared" si="1715"/>
        <v>N</v>
      </c>
      <c r="BU2366" s="109">
        <f t="shared" si="1721"/>
        <v>0.97540983606557374</v>
      </c>
      <c r="BV2366" s="109">
        <f t="shared" si="1722"/>
        <v>1</v>
      </c>
      <c r="BW2366" s="109">
        <f t="shared" si="1749"/>
        <v>2.4590163934426257E-2</v>
      </c>
      <c r="BX2366" s="111">
        <f t="shared" si="1716"/>
        <v>0</v>
      </c>
      <c r="BY2366" s="129">
        <f t="shared" si="1723"/>
        <v>-119</v>
      </c>
      <c r="BZ2366" s="111">
        <f t="shared" si="1724"/>
        <v>0</v>
      </c>
      <c r="CA2366" s="138">
        <f t="shared" si="1725"/>
        <v>119</v>
      </c>
      <c r="CB2366" s="111" t="e">
        <f t="shared" si="1752"/>
        <v>#VALUE!</v>
      </c>
      <c r="CC2366" s="129">
        <f>G2366-I2366+1</f>
        <v>119</v>
      </c>
      <c r="CD2366" s="129">
        <f>G2366-J2366</f>
        <v>0</v>
      </c>
      <c r="CG2366" s="129" t="str">
        <f t="shared" si="1726"/>
        <v>Y</v>
      </c>
      <c r="CI2366" s="129" t="str">
        <f t="shared" si="1729"/>
        <v>91-120 DAYS</v>
      </c>
      <c r="CJ2366" s="137">
        <f t="shared" si="1730"/>
        <v>0</v>
      </c>
      <c r="CK2366" s="129" t="str">
        <f t="shared" si="1731"/>
        <v>Booked</v>
      </c>
    </row>
    <row r="2367" spans="1:89" ht="15" customHeight="1" x14ac:dyDescent="0.25">
      <c r="A2367" s="111">
        <v>38</v>
      </c>
      <c r="B2367" s="128" t="str">
        <f t="shared" si="1717"/>
        <v>N</v>
      </c>
      <c r="C2367" s="128" t="str">
        <f t="shared" si="1718"/>
        <v>N</v>
      </c>
      <c r="D2367" s="117">
        <v>2537129</v>
      </c>
      <c r="E2367" s="135">
        <f t="shared" si="1719"/>
        <v>6</v>
      </c>
      <c r="F2367" s="124">
        <v>40911</v>
      </c>
      <c r="G2367" s="125">
        <v>41121</v>
      </c>
      <c r="H2367" s="117">
        <v>2537129</v>
      </c>
      <c r="I2367" s="124">
        <v>40922</v>
      </c>
      <c r="J2367" s="124">
        <v>41121</v>
      </c>
      <c r="K2367" s="126" t="s">
        <v>564</v>
      </c>
      <c r="L2367" s="127" t="s">
        <v>564</v>
      </c>
      <c r="N2367" s="129" t="s">
        <v>566</v>
      </c>
      <c r="O2367" s="128" t="s">
        <v>917</v>
      </c>
      <c r="P2367" s="129" t="s">
        <v>39</v>
      </c>
      <c r="Q2367" s="111">
        <f t="shared" si="1744"/>
        <v>200</v>
      </c>
      <c r="R2367" s="111">
        <f t="shared" si="1737"/>
        <v>211</v>
      </c>
      <c r="S2367" s="129">
        <v>2</v>
      </c>
      <c r="T2367" s="129">
        <v>0</v>
      </c>
      <c r="V2367" s="117">
        <v>2</v>
      </c>
      <c r="W2367" s="111"/>
      <c r="AC2367" s="130"/>
      <c r="AD2367" s="130">
        <v>34070</v>
      </c>
      <c r="AE2367" s="128" t="s">
        <v>32</v>
      </c>
      <c r="AF2367" s="128" t="s">
        <v>33</v>
      </c>
      <c r="AG2367" s="128" t="s">
        <v>872</v>
      </c>
      <c r="AH2367" s="108" t="s">
        <v>31</v>
      </c>
      <c r="AI2367" s="128" t="s">
        <v>85</v>
      </c>
      <c r="AJ2367" s="129" t="s">
        <v>89</v>
      </c>
      <c r="AK2367" s="129">
        <v>8</v>
      </c>
      <c r="AL2367" s="3" t="s">
        <v>362</v>
      </c>
      <c r="AM2367" s="117">
        <v>10</v>
      </c>
      <c r="AP2367" s="129" t="s">
        <v>105</v>
      </c>
      <c r="AR2367" s="128" t="s">
        <v>92</v>
      </c>
      <c r="AS2367" s="129" t="s">
        <v>106</v>
      </c>
      <c r="BC2367" s="129" t="s">
        <v>99</v>
      </c>
      <c r="BF2367" s="111">
        <f t="shared" si="1750"/>
        <v>200</v>
      </c>
      <c r="BG2367" s="111">
        <f t="shared" si="1751"/>
        <v>200</v>
      </c>
      <c r="BH2367" s="111">
        <f t="shared" si="1709"/>
        <v>211</v>
      </c>
      <c r="BI2367" s="111">
        <f t="shared" si="1710"/>
        <v>18.691256830601095</v>
      </c>
      <c r="BJ2367" s="129">
        <f t="shared" si="1727"/>
        <v>0</v>
      </c>
      <c r="BK2367" s="129">
        <f t="shared" si="1711"/>
        <v>0</v>
      </c>
      <c r="BL2367" s="129" t="str">
        <f t="shared" si="1748"/>
        <v>CONVICTION</v>
      </c>
      <c r="BM2367" s="129" t="str">
        <f t="shared" si="1728"/>
        <v>NONE</v>
      </c>
      <c r="BN2367" s="129" t="s">
        <v>566</v>
      </c>
      <c r="BP2367" s="137" t="str">
        <f t="shared" si="1712"/>
        <v>CONVICTION</v>
      </c>
      <c r="BQ2367" s="128" t="str">
        <f t="shared" si="1720"/>
        <v>Y</v>
      </c>
      <c r="BR2367" s="129" t="str">
        <f t="shared" si="1713"/>
        <v>DETAINED</v>
      </c>
      <c r="BS2367" s="129" t="str">
        <f t="shared" si="1714"/>
        <v>DISPOSED</v>
      </c>
      <c r="BT2367" s="129" t="str">
        <f t="shared" si="1715"/>
        <v>Y</v>
      </c>
      <c r="BU2367" s="109">
        <f t="shared" si="1721"/>
        <v>0.94786729857819907</v>
      </c>
      <c r="BV2367" s="109">
        <f t="shared" si="1722"/>
        <v>1</v>
      </c>
      <c r="BW2367" s="109">
        <f t="shared" si="1749"/>
        <v>5.2132701421800931E-2</v>
      </c>
      <c r="BX2367" s="111">
        <f t="shared" si="1716"/>
        <v>0</v>
      </c>
      <c r="BY2367" s="129">
        <f t="shared" si="1723"/>
        <v>-200</v>
      </c>
      <c r="BZ2367" s="111">
        <f t="shared" si="1724"/>
        <v>0</v>
      </c>
      <c r="CA2367" s="138">
        <f t="shared" si="1725"/>
        <v>200</v>
      </c>
      <c r="CB2367" s="111" t="e">
        <f t="shared" si="1752"/>
        <v>#VALUE!</v>
      </c>
      <c r="CC2367" s="129">
        <f>G2367-I2367+1</f>
        <v>200</v>
      </c>
      <c r="CD2367" s="129">
        <f>G2367-J2367</f>
        <v>0</v>
      </c>
      <c r="CG2367" s="129" t="str">
        <f t="shared" si="1726"/>
        <v>Y</v>
      </c>
      <c r="CI2367" s="129" t="str">
        <f t="shared" si="1729"/>
        <v>121-365 DAYS</v>
      </c>
      <c r="CJ2367" s="137">
        <f t="shared" si="1730"/>
        <v>6</v>
      </c>
      <c r="CK2367" s="129" t="str">
        <f t="shared" si="1731"/>
        <v>Booked</v>
      </c>
    </row>
    <row r="2368" spans="1:89" ht="15" customHeight="1" x14ac:dyDescent="0.25">
      <c r="A2368" s="111">
        <v>3189</v>
      </c>
      <c r="B2368" s="128" t="str">
        <f t="shared" si="1717"/>
        <v>N</v>
      </c>
      <c r="C2368" s="128" t="str">
        <f t="shared" si="1718"/>
        <v>N</v>
      </c>
      <c r="D2368" s="117">
        <v>2537533</v>
      </c>
      <c r="E2368" s="135">
        <f t="shared" si="1719"/>
        <v>6</v>
      </c>
      <c r="F2368" s="124">
        <v>41026</v>
      </c>
      <c r="G2368" s="125">
        <v>41239</v>
      </c>
      <c r="H2368" s="117">
        <v>2537533</v>
      </c>
      <c r="I2368" s="124">
        <v>41032</v>
      </c>
      <c r="J2368" s="125">
        <v>41239</v>
      </c>
      <c r="K2368" s="126">
        <v>75000</v>
      </c>
      <c r="L2368" s="129" t="s">
        <v>572</v>
      </c>
      <c r="N2368" s="129" t="str">
        <f>IF(M2368&gt;1/1/1,"Y","N")</f>
        <v>N</v>
      </c>
      <c r="O2368" s="128" t="s">
        <v>917</v>
      </c>
      <c r="P2368" s="129" t="s">
        <v>39</v>
      </c>
      <c r="Q2368" s="111">
        <f t="shared" si="1744"/>
        <v>208</v>
      </c>
      <c r="R2368" s="111">
        <f t="shared" si="1737"/>
        <v>214</v>
      </c>
      <c r="S2368" s="129">
        <v>1</v>
      </c>
      <c r="T2368" s="129">
        <v>0</v>
      </c>
      <c r="V2368" s="117">
        <v>1</v>
      </c>
      <c r="W2368" s="111"/>
      <c r="AC2368" s="130"/>
      <c r="AD2368" s="130">
        <v>28181</v>
      </c>
      <c r="AE2368" s="128" t="s">
        <v>32</v>
      </c>
      <c r="AF2368" s="128" t="s">
        <v>69</v>
      </c>
      <c r="AG2368" s="128" t="s">
        <v>874</v>
      </c>
      <c r="AH2368" s="108" t="s">
        <v>31</v>
      </c>
      <c r="AI2368" s="128" t="s">
        <v>80</v>
      </c>
      <c r="AJ2368" s="129" t="s">
        <v>89</v>
      </c>
      <c r="AK2368" s="129">
        <v>13</v>
      </c>
      <c r="AL2368" s="3" t="s">
        <v>362</v>
      </c>
      <c r="AM2368" s="117">
        <v>7</v>
      </c>
      <c r="AP2368" s="129" t="s">
        <v>73</v>
      </c>
      <c r="AR2368" s="128" t="s">
        <v>50</v>
      </c>
      <c r="AS2368" s="129" t="s">
        <v>74</v>
      </c>
      <c r="BC2368" s="129" t="s">
        <v>52</v>
      </c>
      <c r="BF2368" s="111">
        <f t="shared" si="1750"/>
        <v>208</v>
      </c>
      <c r="BG2368" s="111">
        <f t="shared" si="1751"/>
        <v>208</v>
      </c>
      <c r="BH2368" s="111">
        <f t="shared" ref="BH2368:BH2431" si="1753">IF(G2368&gt;1/1/1900,((G2368+1)-F2368),"STILL OPEN")</f>
        <v>214</v>
      </c>
      <c r="BI2368" s="111">
        <f t="shared" ref="BI2368:BI2431" si="1754">(F2368-AD2368)/366</f>
        <v>35.095628415300546</v>
      </c>
      <c r="BJ2368" s="129">
        <f t="shared" si="1727"/>
        <v>0</v>
      </c>
      <c r="BK2368" s="129">
        <f t="shared" ref="BK2368:BK2431" si="1755">J2368-G2368</f>
        <v>0</v>
      </c>
      <c r="BL2368" s="129" t="str">
        <f t="shared" si="1748"/>
        <v>CONVICTION</v>
      </c>
      <c r="BM2368" s="129" t="str">
        <f t="shared" si="1728"/>
        <v>NONE</v>
      </c>
      <c r="BN2368" s="129" t="s">
        <v>566</v>
      </c>
      <c r="BP2368" s="137" t="str">
        <f t="shared" si="1712"/>
        <v>CONVICTION</v>
      </c>
      <c r="BQ2368" s="128" t="str">
        <f t="shared" si="1720"/>
        <v>Y</v>
      </c>
      <c r="BR2368" s="129" t="str">
        <f t="shared" si="1713"/>
        <v>DETAINED</v>
      </c>
      <c r="BS2368" s="129" t="str">
        <f t="shared" si="1714"/>
        <v>DISPOSED</v>
      </c>
      <c r="BT2368" s="129" t="str">
        <f t="shared" si="1715"/>
        <v>Y</v>
      </c>
      <c r="BU2368" s="109">
        <f t="shared" si="1721"/>
        <v>0.9719626168224299</v>
      </c>
      <c r="BV2368" s="109">
        <f t="shared" si="1722"/>
        <v>1</v>
      </c>
      <c r="BW2368" s="109">
        <f t="shared" si="1749"/>
        <v>2.8037383177570097E-2</v>
      </c>
      <c r="BX2368" s="111">
        <f t="shared" si="1716"/>
        <v>0</v>
      </c>
      <c r="BY2368" s="129">
        <f t="shared" si="1723"/>
        <v>-208</v>
      </c>
      <c r="BZ2368" s="111">
        <f t="shared" si="1724"/>
        <v>0</v>
      </c>
      <c r="CA2368" s="138">
        <f t="shared" si="1725"/>
        <v>208</v>
      </c>
      <c r="CB2368" s="111" t="e">
        <f t="shared" si="1752"/>
        <v>#VALUE!</v>
      </c>
      <c r="CC2368" s="129">
        <f>G2368-I2368+1</f>
        <v>208</v>
      </c>
      <c r="CD2368" s="129">
        <f>G2368-J2368</f>
        <v>0</v>
      </c>
      <c r="CG2368" s="129" t="str">
        <f t="shared" si="1726"/>
        <v>Y</v>
      </c>
      <c r="CI2368" s="129" t="str">
        <f t="shared" si="1729"/>
        <v>121-365 DAYS</v>
      </c>
      <c r="CJ2368" s="137">
        <f t="shared" si="1730"/>
        <v>6</v>
      </c>
      <c r="CK2368" s="129" t="str">
        <f t="shared" si="1731"/>
        <v>Booked</v>
      </c>
    </row>
    <row r="2369" spans="1:89" ht="15.75" customHeight="1" x14ac:dyDescent="0.25">
      <c r="A2369" s="111">
        <v>2765</v>
      </c>
      <c r="B2369" s="128" t="str">
        <f t="shared" si="1717"/>
        <v>Y</v>
      </c>
      <c r="C2369" s="128" t="str">
        <f t="shared" si="1718"/>
        <v>N</v>
      </c>
      <c r="D2369" s="117">
        <v>2538060</v>
      </c>
      <c r="E2369" s="135">
        <f t="shared" si="1719"/>
        <v>4</v>
      </c>
      <c r="F2369" s="124">
        <v>41011</v>
      </c>
      <c r="G2369" s="125">
        <v>41165</v>
      </c>
      <c r="H2369" s="117">
        <v>2538060</v>
      </c>
      <c r="I2369" s="124">
        <v>41023</v>
      </c>
      <c r="J2369" s="125">
        <v>41165</v>
      </c>
      <c r="K2369" s="126" t="s">
        <v>564</v>
      </c>
      <c r="L2369" s="127" t="s">
        <v>564</v>
      </c>
      <c r="N2369" s="129" t="s">
        <v>566</v>
      </c>
      <c r="O2369" s="128" t="s">
        <v>917</v>
      </c>
      <c r="P2369" s="129" t="s">
        <v>39</v>
      </c>
      <c r="Q2369" s="111">
        <f t="shared" si="1744"/>
        <v>143</v>
      </c>
      <c r="R2369" s="111">
        <f t="shared" si="1737"/>
        <v>155</v>
      </c>
      <c r="S2369" s="129">
        <v>1</v>
      </c>
      <c r="T2369" s="129">
        <v>1</v>
      </c>
      <c r="V2369" s="117">
        <v>1</v>
      </c>
      <c r="W2369" s="111"/>
      <c r="AC2369" s="130"/>
      <c r="AD2369" s="130">
        <v>34315</v>
      </c>
      <c r="AE2369" s="128" t="s">
        <v>32</v>
      </c>
      <c r="AF2369" s="128" t="s">
        <v>33</v>
      </c>
      <c r="AG2369" s="128" t="s">
        <v>872</v>
      </c>
      <c r="AH2369" s="108" t="s">
        <v>58</v>
      </c>
      <c r="AI2369" s="128" t="s">
        <v>34</v>
      </c>
      <c r="AJ2369" s="129" t="s">
        <v>89</v>
      </c>
      <c r="AK2369" s="129">
        <v>8</v>
      </c>
      <c r="AL2369" s="3" t="s">
        <v>991</v>
      </c>
      <c r="AO2369" s="128">
        <v>180</v>
      </c>
      <c r="AP2369" s="129" t="s">
        <v>105</v>
      </c>
      <c r="AR2369" s="128" t="s">
        <v>92</v>
      </c>
      <c r="AS2369" s="129" t="s">
        <v>106</v>
      </c>
      <c r="BC2369" s="129" t="s">
        <v>38</v>
      </c>
      <c r="BD2369" s="129" t="s">
        <v>1178</v>
      </c>
      <c r="BF2369" s="111">
        <f t="shared" si="1750"/>
        <v>143</v>
      </c>
      <c r="BG2369" s="111">
        <f t="shared" si="1751"/>
        <v>143</v>
      </c>
      <c r="BH2369" s="111">
        <f t="shared" si="1753"/>
        <v>155</v>
      </c>
      <c r="BI2369" s="111">
        <f t="shared" si="1754"/>
        <v>18.295081967213115</v>
      </c>
      <c r="BJ2369" s="129">
        <f t="shared" si="1727"/>
        <v>0</v>
      </c>
      <c r="BK2369" s="129">
        <f t="shared" si="1755"/>
        <v>0</v>
      </c>
      <c r="BL2369" s="129" t="str">
        <f t="shared" si="1748"/>
        <v>CONVICTION</v>
      </c>
      <c r="BM2369" s="129" t="str">
        <f t="shared" ref="BM2369:BM2432" si="1756">O2369</f>
        <v>NONE</v>
      </c>
      <c r="BN2369" s="129" t="s">
        <v>566</v>
      </c>
      <c r="BP2369" s="137" t="str">
        <f t="shared" ref="BP2369:BP2432" si="1757">IF(OR(AJ2369="AQUITTAL",AJ2369="DISMISSED",AJ2369="FINE",AJ2369="NO BILL"),"NO CONVICTION",IF(OR(AJ2369="HCJ",AJ2369="MHH",AJ2369="PROBATION",AJ2369="STJ",AJ2369="TDC",AJ2369="CONVICTED"),"CONVICTION",IF(AJ2369="DEFERRED","DEFERRED","")))</f>
        <v>CONVICTION</v>
      </c>
      <c r="BQ2369" s="128" t="str">
        <f t="shared" si="1720"/>
        <v>Y</v>
      </c>
      <c r="BR2369" s="129" t="str">
        <f t="shared" ref="BR2369:BR2432" si="1758">IF(AND(J2369="NOT BOOKED",M2369&gt;1/1/1),"BONDED - BEFORE BOOKED",IF(BG2369="STILL OPEN","STILL OPEN",IF(N2369="Y","ON BOND",IF(J2369&gt;=G2369,"DETAINED","RELEASED"))))</f>
        <v>DETAINED</v>
      </c>
      <c r="BS2369" s="129" t="str">
        <f t="shared" ref="BS2369:BS2432" si="1759">IF(G2369&lt;&gt;"","DISPOSED","")</f>
        <v>DISPOSED</v>
      </c>
      <c r="BT2369" s="129" t="str">
        <f t="shared" ref="BT2369:BT2432" si="1760">IF(S2369&gt;0,"Y","N")</f>
        <v>Y</v>
      </c>
      <c r="BU2369" s="109">
        <f t="shared" ref="BU2369:BU2431" si="1761">Q2369/R2369</f>
        <v>0.92258064516129035</v>
      </c>
      <c r="BV2369" s="109">
        <f t="shared" si="1722"/>
        <v>1</v>
      </c>
      <c r="BW2369" s="109">
        <f t="shared" si="1749"/>
        <v>7.7419354838709653E-2</v>
      </c>
      <c r="BX2369" s="111">
        <f t="shared" ref="BX2369:BX2432" si="1762">+Q2369-BF2369</f>
        <v>0</v>
      </c>
      <c r="BY2369" s="129">
        <f t="shared" si="1723"/>
        <v>-143</v>
      </c>
      <c r="BZ2369" s="111">
        <f t="shared" si="1724"/>
        <v>0</v>
      </c>
      <c r="CA2369" s="138">
        <f t="shared" si="1725"/>
        <v>143</v>
      </c>
      <c r="CB2369" s="111" t="e">
        <f t="shared" si="1752"/>
        <v>#VALUE!</v>
      </c>
      <c r="CC2369" s="129">
        <f>G2369-I2369+1</f>
        <v>143</v>
      </c>
      <c r="CD2369" s="129">
        <f>G2369-J2369</f>
        <v>0</v>
      </c>
      <c r="CG2369" s="129" t="str">
        <f t="shared" si="1726"/>
        <v>Y</v>
      </c>
      <c r="CI2369" s="129" t="str">
        <f t="shared" si="1729"/>
        <v>121-365 DAYS</v>
      </c>
      <c r="CJ2369" s="137">
        <f t="shared" si="1730"/>
        <v>6</v>
      </c>
      <c r="CK2369" s="129" t="str">
        <f t="shared" si="1731"/>
        <v>Booked</v>
      </c>
    </row>
    <row r="2370" spans="1:89" ht="15.75" customHeight="1" x14ac:dyDescent="0.25">
      <c r="A2370" s="111">
        <v>102</v>
      </c>
      <c r="B2370" s="128" t="str">
        <f t="shared" ref="B2370:B2433" si="1763">IF(BD2370&lt;&gt;"","Y","N")</f>
        <v>N</v>
      </c>
      <c r="C2370" s="128" t="str">
        <f t="shared" ref="C2370:C2433" si="1764">IF((AND(AV2370="",AX2370="",AY2370="")),"N","Y")</f>
        <v>N</v>
      </c>
      <c r="D2370" s="117">
        <v>2538121</v>
      </c>
      <c r="E2370" s="135">
        <f t="shared" ref="E2370:E2433" si="1765">IF(OR(AL2370="ACQUITTAL",AL2370="ACQUIT",AL2370="acq insane",AL2370="DISMISSED",AL2370="NO BILL"),1,IF(AL2370="DEFERRED",2,IF(AL2370="PROBATION",3,IF(OR(AL2370="HCJ",AL2370="fine"),4,IF(AL2370="STJ",5,IF(AL2370="TDC",6,""))))))</f>
        <v>2</v>
      </c>
      <c r="F2370" s="124">
        <v>40913</v>
      </c>
      <c r="G2370" s="125">
        <v>41323</v>
      </c>
      <c r="H2370" s="117">
        <v>2538121</v>
      </c>
      <c r="I2370" s="124">
        <v>40914</v>
      </c>
      <c r="J2370" s="124">
        <v>40934</v>
      </c>
      <c r="K2370" s="126">
        <v>20000</v>
      </c>
      <c r="L2370" s="127" t="s">
        <v>571</v>
      </c>
      <c r="M2370" s="125">
        <v>40934</v>
      </c>
      <c r="N2370" s="129" t="str">
        <f>IF(M2370&gt;1/1/1,"Y","N")</f>
        <v>Y</v>
      </c>
      <c r="O2370" s="128" t="s">
        <v>76</v>
      </c>
      <c r="P2370" s="129" t="s">
        <v>589</v>
      </c>
      <c r="Q2370" s="111">
        <f t="shared" si="1744"/>
        <v>21</v>
      </c>
      <c r="R2370" s="111">
        <f t="shared" si="1737"/>
        <v>411</v>
      </c>
      <c r="S2370" s="129">
        <v>0</v>
      </c>
      <c r="T2370" s="129">
        <v>0</v>
      </c>
      <c r="W2370" s="111"/>
      <c r="AC2370" s="130"/>
      <c r="AD2370" s="130">
        <v>33971</v>
      </c>
      <c r="AE2370" s="128" t="s">
        <v>32</v>
      </c>
      <c r="AF2370" s="128" t="s">
        <v>33</v>
      </c>
      <c r="AG2370" s="128" t="s">
        <v>872</v>
      </c>
      <c r="AH2370" s="108" t="s">
        <v>58</v>
      </c>
      <c r="AI2370" s="128" t="s">
        <v>95</v>
      </c>
      <c r="AJ2370" s="129" t="s">
        <v>48</v>
      </c>
      <c r="AK2370" s="129">
        <v>9</v>
      </c>
      <c r="AL2370" s="3" t="s">
        <v>48</v>
      </c>
      <c r="AP2370" s="129" t="s">
        <v>56</v>
      </c>
      <c r="AR2370" s="128" t="s">
        <v>50</v>
      </c>
      <c r="AS2370" s="129" t="s">
        <v>57</v>
      </c>
      <c r="BC2370" s="129" t="s">
        <v>38</v>
      </c>
      <c r="BF2370" s="111">
        <f t="shared" si="1750"/>
        <v>21</v>
      </c>
      <c r="BG2370" s="111">
        <f t="shared" si="1751"/>
        <v>410</v>
      </c>
      <c r="BH2370" s="111">
        <f t="shared" si="1753"/>
        <v>411</v>
      </c>
      <c r="BI2370" s="111">
        <f t="shared" si="1754"/>
        <v>18.967213114754099</v>
      </c>
      <c r="BJ2370" s="129">
        <f>(G2370-J2370)+(M2370-G2370)</f>
        <v>0</v>
      </c>
      <c r="BK2370" s="129">
        <f t="shared" si="1755"/>
        <v>-389</v>
      </c>
      <c r="BL2370" s="129" t="str">
        <f t="shared" si="1748"/>
        <v>DEFERRED</v>
      </c>
      <c r="BM2370" s="129" t="s">
        <v>76</v>
      </c>
      <c r="BN2370" s="129" t="s">
        <v>88</v>
      </c>
      <c r="BP2370" s="137" t="str">
        <f t="shared" si="1757"/>
        <v>DEFERRED</v>
      </c>
      <c r="BQ2370" s="128" t="str">
        <f t="shared" ref="BQ2370:BQ2433" si="1766">IF(BF2370&gt;0,"Y",BF2370)</f>
        <v>Y</v>
      </c>
      <c r="BR2370" s="129" t="str">
        <f t="shared" si="1758"/>
        <v>ON BOND</v>
      </c>
      <c r="BS2370" s="129" t="str">
        <f t="shared" si="1759"/>
        <v>DISPOSED</v>
      </c>
      <c r="BT2370" s="129" t="str">
        <f t="shared" si="1760"/>
        <v>N</v>
      </c>
      <c r="BU2370" s="109">
        <f t="shared" si="1761"/>
        <v>5.1094890510948905E-2</v>
      </c>
      <c r="BV2370" s="109">
        <f t="shared" ref="BV2370:BV2433" si="1767">IF(I2370&gt;F2370,((J2370-I2370+1)/(G2370-I2370+1)),(J2370-I2370+1)/(G2370-F2370+1))</f>
        <v>5.1219512195121948E-2</v>
      </c>
      <c r="BW2370" s="109">
        <f t="shared" si="1749"/>
        <v>1.2462168417304298E-4</v>
      </c>
      <c r="BX2370" s="111">
        <f t="shared" si="1762"/>
        <v>0</v>
      </c>
      <c r="BY2370" s="129">
        <f t="shared" ref="BY2370:BY2433" si="1768">I2370-J2370-1</f>
        <v>-21</v>
      </c>
      <c r="BZ2370" s="111">
        <f t="shared" ref="BZ2370:BZ2433" si="1769">BY2370+BF2370</f>
        <v>0</v>
      </c>
      <c r="CA2370" s="138">
        <f t="shared" ref="CA2370:CA2433" si="1770">IF(AND(BS2370="DISPOSED",BR2370="DETAINED"),G2370-I2370+1,IF(AND(BS2370="DISPOSED",BR2370="ON BOND"),M2370-I2370+1,IF(AND(BS2370="STILL OPEN","STILL OPEN"),"NOT BOOKED")))</f>
        <v>21</v>
      </c>
      <c r="CB2370" s="111" t="e">
        <f t="shared" si="1752"/>
        <v>#VALUE!</v>
      </c>
      <c r="CC2370" s="129">
        <f>M2370-I2370+1</f>
        <v>21</v>
      </c>
      <c r="CD2370" s="111">
        <f>CC2370-BF2370</f>
        <v>0</v>
      </c>
      <c r="CG2370" s="129" t="str">
        <f t="shared" ref="CG2370:CG2433" si="1771">IF((S2370+T2370+U2370)&gt;0,"Y","N")</f>
        <v>N</v>
      </c>
      <c r="CI2370" s="129" t="str">
        <f t="shared" si="1729"/>
        <v>11-30 DAYS</v>
      </c>
      <c r="CJ2370" s="137">
        <f t="shared" si="1730"/>
        <v>2</v>
      </c>
      <c r="CK2370" s="129" t="str">
        <f t="shared" si="1731"/>
        <v>Booked</v>
      </c>
    </row>
    <row r="2371" spans="1:89" ht="15" customHeight="1" x14ac:dyDescent="0.25">
      <c r="A2371" s="111">
        <v>529</v>
      </c>
      <c r="B2371" s="128" t="str">
        <f t="shared" si="1763"/>
        <v>N</v>
      </c>
      <c r="C2371" s="128" t="str">
        <f t="shared" si="1764"/>
        <v>N</v>
      </c>
      <c r="D2371" s="117">
        <v>2538494</v>
      </c>
      <c r="E2371" s="135">
        <f t="shared" si="1765"/>
        <v>2</v>
      </c>
      <c r="F2371" s="124">
        <v>40929</v>
      </c>
      <c r="G2371" s="125">
        <v>40961</v>
      </c>
      <c r="H2371" s="117">
        <v>2538494</v>
      </c>
      <c r="I2371" s="124">
        <v>40930</v>
      </c>
      <c r="J2371" s="124">
        <v>40961</v>
      </c>
      <c r="K2371" s="126" t="s">
        <v>564</v>
      </c>
      <c r="L2371" s="127" t="s">
        <v>564</v>
      </c>
      <c r="N2371" s="129" t="s">
        <v>566</v>
      </c>
      <c r="O2371" s="128" t="s">
        <v>917</v>
      </c>
      <c r="P2371" s="129" t="s">
        <v>589</v>
      </c>
      <c r="Q2371" s="111">
        <f t="shared" si="1744"/>
        <v>32</v>
      </c>
      <c r="R2371" s="111">
        <f t="shared" si="1737"/>
        <v>33</v>
      </c>
      <c r="S2371" s="129">
        <v>1</v>
      </c>
      <c r="T2371" s="129">
        <v>0</v>
      </c>
      <c r="V2371" s="117">
        <v>1</v>
      </c>
      <c r="W2371" s="111"/>
      <c r="AB2371" s="131" t="s">
        <v>112</v>
      </c>
      <c r="AC2371" s="130"/>
      <c r="AD2371" s="130">
        <v>32638</v>
      </c>
      <c r="AE2371" s="128" t="s">
        <v>46</v>
      </c>
      <c r="AF2371" s="128" t="s">
        <v>40</v>
      </c>
      <c r="AG2371" s="128" t="s">
        <v>41</v>
      </c>
      <c r="AH2371" s="108" t="s">
        <v>31</v>
      </c>
      <c r="AI2371" s="128" t="s">
        <v>71</v>
      </c>
      <c r="AJ2371" s="129" t="s">
        <v>48</v>
      </c>
      <c r="AK2371" s="129">
        <v>2</v>
      </c>
      <c r="AL2371" s="3" t="s">
        <v>48</v>
      </c>
      <c r="AP2371" s="129" t="s">
        <v>155</v>
      </c>
      <c r="AR2371" s="128" t="s">
        <v>44</v>
      </c>
      <c r="AS2371" s="129" t="s">
        <v>64</v>
      </c>
      <c r="BC2371" s="129" t="s">
        <v>38</v>
      </c>
      <c r="BF2371" s="111">
        <f t="shared" si="1750"/>
        <v>32</v>
      </c>
      <c r="BG2371" s="111">
        <f t="shared" si="1751"/>
        <v>32</v>
      </c>
      <c r="BH2371" s="111">
        <f t="shared" si="1753"/>
        <v>33</v>
      </c>
      <c r="BI2371" s="111">
        <f t="shared" si="1754"/>
        <v>22.653005464480874</v>
      </c>
      <c r="BJ2371" s="129">
        <f t="shared" ref="BJ2371:BJ2433" si="1772">G2371-J2371-M2371</f>
        <v>0</v>
      </c>
      <c r="BK2371" s="129">
        <f t="shared" si="1755"/>
        <v>0</v>
      </c>
      <c r="BL2371" s="129" t="str">
        <f t="shared" si="1748"/>
        <v>DEFERRED</v>
      </c>
      <c r="BM2371" s="129" t="str">
        <f t="shared" si="1756"/>
        <v>NONE</v>
      </c>
      <c r="BN2371" s="129" t="s">
        <v>566</v>
      </c>
      <c r="BP2371" s="137" t="str">
        <f t="shared" si="1757"/>
        <v>DEFERRED</v>
      </c>
      <c r="BQ2371" s="128" t="str">
        <f t="shared" si="1766"/>
        <v>Y</v>
      </c>
      <c r="BR2371" s="129" t="str">
        <f t="shared" si="1758"/>
        <v>DETAINED</v>
      </c>
      <c r="BS2371" s="129" t="str">
        <f t="shared" si="1759"/>
        <v>DISPOSED</v>
      </c>
      <c r="BT2371" s="129" t="str">
        <f t="shared" si="1760"/>
        <v>Y</v>
      </c>
      <c r="BU2371" s="109">
        <f t="shared" si="1761"/>
        <v>0.96969696969696972</v>
      </c>
      <c r="BV2371" s="109">
        <f t="shared" si="1767"/>
        <v>1</v>
      </c>
      <c r="BW2371" s="109">
        <f t="shared" si="1749"/>
        <v>3.0303030303030276E-2</v>
      </c>
      <c r="BX2371" s="111">
        <f t="shared" si="1762"/>
        <v>0</v>
      </c>
      <c r="BY2371" s="129">
        <f t="shared" si="1768"/>
        <v>-32</v>
      </c>
      <c r="BZ2371" s="111">
        <f t="shared" si="1769"/>
        <v>0</v>
      </c>
      <c r="CA2371" s="138">
        <f t="shared" si="1770"/>
        <v>32</v>
      </c>
      <c r="CB2371" s="111" t="e">
        <f t="shared" si="1752"/>
        <v>#VALUE!</v>
      </c>
      <c r="CC2371" s="129">
        <f>G2371-I2371+1</f>
        <v>32</v>
      </c>
      <c r="CD2371" s="129">
        <f>G2371-J2371</f>
        <v>0</v>
      </c>
      <c r="CG2371" s="129" t="str">
        <f t="shared" si="1771"/>
        <v>Y</v>
      </c>
      <c r="CI2371" s="129" t="str">
        <f t="shared" ref="CI2371:CI2434" si="1773">IF(BF2371&lt;11,"0-10 DAYS",IF(AND(BF2371&gt;10,BF2371&lt;31),"11-30 DAYS",IF((AND(BF2371&gt;30,BF2371&lt;61)),"31-60 DAYS",IF(AND(BF2371&gt;60,BF2371&lt;91),"61-90 DAYS",IF(AND(BF2371&gt;90,BF2371&lt;121),"91-120 DAYS",IF(AND(BF2371&gt;120,BF2371&lt;366),"121-365 DAYS",IF(AND(BF2371&gt;365,BF2371&lt;730)," &gt;1YRS&lt;2YRS",IF(AND(BF2371&gt;729,BF2371&lt;1095),"&gt;2YRS&lt;3YRS",IF(BF2371&gt;1094,"&gt;3YRS")))))))))</f>
        <v>31-60 DAYS</v>
      </c>
      <c r="CJ2371" s="137">
        <f t="shared" ref="CJ2371:CJ2434" si="1774">IF(CI2371="0-10 DAYS",1,IF(CI2371="11-30 DAYS",2,IF(CI2371="31-60 DAYS",3,IF(CI2371="61-90 DAYS",4,IF(CK2371="91-120 DAYS",5,IF(CI2371="121-365 DAYS",6,IF(CI2371="&gt;1YRS&lt;2YRS",7,IF(CI2371="&gt;2YRS&lt;3YRS",8,IF(CI2371="&gt;3YRS",9,0)))))))))</f>
        <v>3</v>
      </c>
      <c r="CK2371" s="129" t="str">
        <f t="shared" ref="CK2371:CK2434" si="1775">IF(I2371="Not Booked","Not Booked","Booked")</f>
        <v>Booked</v>
      </c>
    </row>
    <row r="2372" spans="1:89" ht="15" customHeight="1" x14ac:dyDescent="0.25">
      <c r="A2372" s="111">
        <v>2883</v>
      </c>
      <c r="B2372" s="128" t="str">
        <f t="shared" si="1763"/>
        <v>N</v>
      </c>
      <c r="C2372" s="128" t="str">
        <f t="shared" si="1764"/>
        <v>N</v>
      </c>
      <c r="D2372" s="117">
        <v>2538714</v>
      </c>
      <c r="E2372" s="135">
        <f t="shared" si="1765"/>
        <v>6</v>
      </c>
      <c r="F2372" s="124">
        <v>41016</v>
      </c>
      <c r="G2372" s="125">
        <v>41054</v>
      </c>
      <c r="H2372" s="117">
        <v>2538714</v>
      </c>
      <c r="I2372" s="124">
        <v>41016</v>
      </c>
      <c r="J2372" s="124">
        <v>41036</v>
      </c>
      <c r="K2372" s="126">
        <v>5000</v>
      </c>
      <c r="L2372" s="127" t="s">
        <v>569</v>
      </c>
      <c r="M2372" s="125">
        <v>41036</v>
      </c>
      <c r="N2372" s="129" t="str">
        <f>IF(M2372&gt;1/1/1,"Y","N")</f>
        <v>Y</v>
      </c>
      <c r="O2372" s="128" t="s">
        <v>76</v>
      </c>
      <c r="P2372" s="129" t="s">
        <v>39</v>
      </c>
      <c r="Q2372" s="111">
        <f t="shared" si="1744"/>
        <v>21</v>
      </c>
      <c r="R2372" s="111">
        <f t="shared" si="1737"/>
        <v>39</v>
      </c>
      <c r="S2372" s="129">
        <v>0</v>
      </c>
      <c r="T2372" s="129">
        <v>1</v>
      </c>
      <c r="W2372" s="111"/>
      <c r="AB2372" s="131" t="s">
        <v>112</v>
      </c>
      <c r="AC2372" s="130"/>
      <c r="AD2372" s="130">
        <v>34282</v>
      </c>
      <c r="AE2372" s="128" t="s">
        <v>32</v>
      </c>
      <c r="AF2372" s="128" t="s">
        <v>40</v>
      </c>
      <c r="AG2372" s="128" t="s">
        <v>41</v>
      </c>
      <c r="AH2372" s="108" t="s">
        <v>31</v>
      </c>
      <c r="AI2372" s="128" t="s">
        <v>95</v>
      </c>
      <c r="AJ2372" s="129" t="s">
        <v>89</v>
      </c>
      <c r="AK2372" s="129">
        <v>3</v>
      </c>
      <c r="AL2372" s="3" t="s">
        <v>362</v>
      </c>
      <c r="AM2372" s="117">
        <v>2</v>
      </c>
      <c r="AP2372" s="129" t="s">
        <v>227</v>
      </c>
      <c r="AR2372" s="128" t="s">
        <v>67</v>
      </c>
      <c r="AS2372" s="129" t="s">
        <v>64</v>
      </c>
      <c r="BC2372" s="129" t="s">
        <v>38</v>
      </c>
      <c r="BF2372" s="111">
        <f t="shared" si="1750"/>
        <v>21</v>
      </c>
      <c r="BG2372" s="111">
        <f t="shared" si="1751"/>
        <v>39</v>
      </c>
      <c r="BH2372" s="111">
        <f t="shared" si="1753"/>
        <v>39</v>
      </c>
      <c r="BI2372" s="111">
        <f t="shared" si="1754"/>
        <v>18.398907103825138</v>
      </c>
      <c r="BJ2372" s="129">
        <f>(G2372-J2372)+(M2372-G2372)</f>
        <v>0</v>
      </c>
      <c r="BK2372" s="129">
        <f t="shared" si="1755"/>
        <v>-18</v>
      </c>
      <c r="BL2372" s="129" t="str">
        <f t="shared" si="1748"/>
        <v>CONVICTION</v>
      </c>
      <c r="BM2372" s="129" t="s">
        <v>76</v>
      </c>
      <c r="BN2372" s="129" t="s">
        <v>88</v>
      </c>
      <c r="BP2372" s="137" t="str">
        <f t="shared" si="1757"/>
        <v>CONVICTION</v>
      </c>
      <c r="BQ2372" s="128" t="str">
        <f t="shared" si="1766"/>
        <v>Y</v>
      </c>
      <c r="BR2372" s="129" t="str">
        <f>IF(J2372&lt;G2372,"ON BOND",0)</f>
        <v>ON BOND</v>
      </c>
      <c r="BS2372" s="129" t="str">
        <f t="shared" si="1759"/>
        <v>DISPOSED</v>
      </c>
      <c r="BT2372" s="129" t="str">
        <f t="shared" si="1760"/>
        <v>N</v>
      </c>
      <c r="BU2372" s="109">
        <f t="shared" si="1761"/>
        <v>0.53846153846153844</v>
      </c>
      <c r="BV2372" s="109">
        <f t="shared" si="1767"/>
        <v>0.53846153846153844</v>
      </c>
      <c r="BW2372" s="109">
        <f t="shared" si="1749"/>
        <v>0</v>
      </c>
      <c r="BX2372" s="111">
        <f t="shared" si="1762"/>
        <v>0</v>
      </c>
      <c r="BY2372" s="129">
        <f t="shared" si="1768"/>
        <v>-21</v>
      </c>
      <c r="BZ2372" s="111">
        <f t="shared" si="1769"/>
        <v>0</v>
      </c>
      <c r="CA2372" s="138">
        <f t="shared" si="1770"/>
        <v>21</v>
      </c>
      <c r="CB2372" s="111" t="e">
        <f t="shared" si="1752"/>
        <v>#VALUE!</v>
      </c>
      <c r="CC2372" s="129">
        <f>M2372-I2372+1</f>
        <v>21</v>
      </c>
      <c r="CD2372" s="111">
        <f>CC2372-BF2372</f>
        <v>0</v>
      </c>
      <c r="CG2372" s="129" t="str">
        <f t="shared" si="1771"/>
        <v>Y</v>
      </c>
      <c r="CI2372" s="129" t="str">
        <f t="shared" si="1773"/>
        <v>11-30 DAYS</v>
      </c>
      <c r="CJ2372" s="137">
        <f t="shared" si="1774"/>
        <v>2</v>
      </c>
      <c r="CK2372" s="129" t="str">
        <f t="shared" si="1775"/>
        <v>Booked</v>
      </c>
    </row>
    <row r="2373" spans="1:89" ht="15.75" customHeight="1" x14ac:dyDescent="0.25">
      <c r="A2373" s="111">
        <v>1216</v>
      </c>
      <c r="B2373" s="128" t="str">
        <f t="shared" si="1763"/>
        <v>Y</v>
      </c>
      <c r="C2373" s="128" t="str">
        <f t="shared" si="1764"/>
        <v>Y</v>
      </c>
      <c r="D2373" s="117">
        <v>2538788</v>
      </c>
      <c r="E2373" s="135">
        <f t="shared" si="1765"/>
        <v>2</v>
      </c>
      <c r="F2373" s="124">
        <v>40953</v>
      </c>
      <c r="G2373" s="125">
        <v>41025</v>
      </c>
      <c r="H2373" s="117">
        <v>2538788</v>
      </c>
      <c r="I2373" s="124">
        <v>41017</v>
      </c>
      <c r="J2373" s="124">
        <v>41025</v>
      </c>
      <c r="K2373" s="126">
        <v>5000</v>
      </c>
      <c r="L2373" s="127" t="s">
        <v>569</v>
      </c>
      <c r="M2373" s="125">
        <v>40955</v>
      </c>
      <c r="N2373" s="129" t="str">
        <f>IF(M2373&gt;1/1/1,"Y","N")</f>
        <v>Y</v>
      </c>
      <c r="O2373" s="128" t="s">
        <v>76</v>
      </c>
      <c r="P2373" s="129" t="s">
        <v>589</v>
      </c>
      <c r="Q2373" s="111">
        <f t="shared" si="1744"/>
        <v>9</v>
      </c>
      <c r="R2373" s="111">
        <f t="shared" si="1737"/>
        <v>73</v>
      </c>
      <c r="S2373" s="129">
        <v>0</v>
      </c>
      <c r="T2373" s="129">
        <v>1</v>
      </c>
      <c r="W2373" s="111"/>
      <c r="AC2373" s="130"/>
      <c r="AD2373" s="130">
        <v>24404</v>
      </c>
      <c r="AE2373" s="128" t="s">
        <v>32</v>
      </c>
      <c r="AF2373" s="128" t="s">
        <v>40</v>
      </c>
      <c r="AG2373" s="128" t="s">
        <v>41</v>
      </c>
      <c r="AH2373" s="108" t="s">
        <v>41</v>
      </c>
      <c r="AI2373" s="128" t="s">
        <v>114</v>
      </c>
      <c r="AJ2373" s="129" t="s">
        <v>48</v>
      </c>
      <c r="AK2373" s="129">
        <v>4</v>
      </c>
      <c r="AL2373" s="3" t="s">
        <v>48</v>
      </c>
      <c r="AP2373" s="129" t="s">
        <v>93</v>
      </c>
      <c r="AR2373" s="128" t="s">
        <v>67</v>
      </c>
      <c r="AS2373" s="129" t="s">
        <v>45</v>
      </c>
      <c r="AT2373" s="129" t="s">
        <v>307</v>
      </c>
      <c r="AV2373" s="3" t="s">
        <v>88</v>
      </c>
      <c r="AW2373" s="32" t="s">
        <v>716</v>
      </c>
      <c r="BA2373" s="125">
        <v>41253</v>
      </c>
      <c r="BB2373" s="129">
        <v>241</v>
      </c>
      <c r="BC2373" s="129" t="s">
        <v>38</v>
      </c>
      <c r="BD2373" s="129" t="s">
        <v>1078</v>
      </c>
      <c r="BF2373" s="111">
        <f>IF(J2373&gt;1/1/1900,((G2373+1)-I2373),"STILL OPEN")</f>
        <v>9</v>
      </c>
      <c r="BG2373" s="111">
        <f t="shared" si="1751"/>
        <v>9</v>
      </c>
      <c r="BH2373" s="111">
        <f t="shared" si="1753"/>
        <v>73</v>
      </c>
      <c r="BI2373" s="111">
        <f t="shared" si="1754"/>
        <v>45.215846994535518</v>
      </c>
      <c r="BJ2373" s="129">
        <f>G2373-J2373</f>
        <v>0</v>
      </c>
      <c r="BK2373" s="129">
        <f t="shared" si="1755"/>
        <v>0</v>
      </c>
      <c r="BL2373" s="129" t="str">
        <f t="shared" si="1748"/>
        <v>DEFERRED</v>
      </c>
      <c r="BM2373" s="129" t="s">
        <v>76</v>
      </c>
      <c r="BN2373" s="129" t="s">
        <v>88</v>
      </c>
      <c r="BP2373" s="137" t="str">
        <f t="shared" si="1757"/>
        <v>DEFERRED</v>
      </c>
      <c r="BQ2373" s="128" t="str">
        <f t="shared" si="1766"/>
        <v>Y</v>
      </c>
      <c r="BR2373" s="129" t="s">
        <v>574</v>
      </c>
      <c r="BS2373" s="129" t="str">
        <f t="shared" si="1759"/>
        <v>DISPOSED</v>
      </c>
      <c r="BT2373" s="129" t="str">
        <f t="shared" si="1760"/>
        <v>N</v>
      </c>
      <c r="BU2373" s="109">
        <f t="shared" si="1761"/>
        <v>0.12328767123287671</v>
      </c>
      <c r="BV2373" s="109">
        <f t="shared" si="1767"/>
        <v>1</v>
      </c>
      <c r="BW2373" s="109">
        <f t="shared" si="1749"/>
        <v>0.87671232876712324</v>
      </c>
      <c r="BX2373" s="111">
        <f t="shared" si="1762"/>
        <v>0</v>
      </c>
      <c r="BY2373" s="129">
        <f t="shared" si="1768"/>
        <v>-9</v>
      </c>
      <c r="BZ2373" s="111">
        <f t="shared" si="1769"/>
        <v>0</v>
      </c>
      <c r="CA2373" s="138">
        <f t="shared" si="1770"/>
        <v>9</v>
      </c>
      <c r="CB2373" s="111" t="e">
        <f t="shared" si="1752"/>
        <v>#VALUE!</v>
      </c>
      <c r="CC2373" s="129">
        <f>G2373-I2373+1</f>
        <v>9</v>
      </c>
      <c r="CD2373" s="129">
        <f>G2373-J2373</f>
        <v>0</v>
      </c>
      <c r="CG2373" s="129" t="str">
        <f t="shared" si="1771"/>
        <v>Y</v>
      </c>
      <c r="CI2373" s="129" t="str">
        <f t="shared" si="1773"/>
        <v>0-10 DAYS</v>
      </c>
      <c r="CJ2373" s="137">
        <f t="shared" si="1774"/>
        <v>1</v>
      </c>
      <c r="CK2373" s="129" t="str">
        <f t="shared" si="1775"/>
        <v>Booked</v>
      </c>
    </row>
    <row r="2374" spans="1:89" ht="15" customHeight="1" x14ac:dyDescent="0.25">
      <c r="A2374" s="111">
        <v>1541</v>
      </c>
      <c r="B2374" s="128" t="str">
        <f t="shared" si="1763"/>
        <v>N</v>
      </c>
      <c r="C2374" s="128" t="str">
        <f t="shared" si="1764"/>
        <v>Y</v>
      </c>
      <c r="D2374" s="117">
        <v>2538803</v>
      </c>
      <c r="E2374" s="135">
        <f t="shared" si="1765"/>
        <v>6</v>
      </c>
      <c r="F2374" s="124">
        <v>40966</v>
      </c>
      <c r="G2374" s="125">
        <v>41122</v>
      </c>
      <c r="H2374" s="117">
        <v>2538803</v>
      </c>
      <c r="I2374" s="124">
        <v>40987</v>
      </c>
      <c r="J2374" s="124">
        <v>40990</v>
      </c>
      <c r="K2374" s="126">
        <v>30000</v>
      </c>
      <c r="L2374" s="129" t="s">
        <v>572</v>
      </c>
      <c r="M2374" s="125">
        <v>40990</v>
      </c>
      <c r="N2374" s="129" t="str">
        <f>IF(M2374&gt;1/1/1,"Y","N")</f>
        <v>Y</v>
      </c>
      <c r="O2374" s="128" t="s">
        <v>76</v>
      </c>
      <c r="P2374" s="129" t="s">
        <v>39</v>
      </c>
      <c r="Q2374" s="111">
        <v>9</v>
      </c>
      <c r="R2374" s="111">
        <f t="shared" si="1737"/>
        <v>157</v>
      </c>
      <c r="S2374" s="129">
        <v>0</v>
      </c>
      <c r="T2374" s="129">
        <v>1</v>
      </c>
      <c r="W2374" s="111"/>
      <c r="AC2374" s="130"/>
      <c r="AD2374" s="130">
        <v>25058</v>
      </c>
      <c r="AE2374" s="128" t="s">
        <v>32</v>
      </c>
      <c r="AF2374" s="128" t="s">
        <v>69</v>
      </c>
      <c r="AG2374" s="128" t="s">
        <v>874</v>
      </c>
      <c r="AH2374" s="108" t="s">
        <v>31</v>
      </c>
      <c r="AI2374" s="128" t="s">
        <v>95</v>
      </c>
      <c r="AJ2374" s="129" t="s">
        <v>89</v>
      </c>
      <c r="AK2374" s="129">
        <v>9</v>
      </c>
      <c r="AL2374" s="3" t="s">
        <v>362</v>
      </c>
      <c r="AM2374" s="117">
        <v>2</v>
      </c>
      <c r="AP2374" s="129" t="s">
        <v>110</v>
      </c>
      <c r="AR2374" s="128" t="s">
        <v>50</v>
      </c>
      <c r="AS2374" s="129" t="s">
        <v>74</v>
      </c>
      <c r="AT2374" s="129" t="s">
        <v>1081</v>
      </c>
      <c r="AV2374" s="3" t="s">
        <v>88</v>
      </c>
      <c r="AW2374" s="3" t="s">
        <v>729</v>
      </c>
      <c r="BA2374" s="125">
        <v>41323</v>
      </c>
      <c r="BB2374" s="129">
        <v>235</v>
      </c>
      <c r="BC2374" s="129" t="s">
        <v>52</v>
      </c>
      <c r="BF2374" s="111">
        <v>9</v>
      </c>
      <c r="BG2374" s="111">
        <f t="shared" si="1751"/>
        <v>136</v>
      </c>
      <c r="BH2374" s="111">
        <f t="shared" si="1753"/>
        <v>157</v>
      </c>
      <c r="BI2374" s="111">
        <f t="shared" si="1754"/>
        <v>43.464480874316941</v>
      </c>
      <c r="BJ2374" s="129">
        <f>(G2374-J2374)+(M2374-G2374)</f>
        <v>0</v>
      </c>
      <c r="BK2374" s="129">
        <f t="shared" si="1755"/>
        <v>-132</v>
      </c>
      <c r="BL2374" s="129" t="str">
        <f t="shared" si="1748"/>
        <v>CONVICTION</v>
      </c>
      <c r="BM2374" s="129" t="s">
        <v>76</v>
      </c>
      <c r="BN2374" s="129" t="s">
        <v>88</v>
      </c>
      <c r="BP2374" s="137" t="str">
        <f t="shared" si="1757"/>
        <v>CONVICTION</v>
      </c>
      <c r="BQ2374" s="128" t="str">
        <f t="shared" si="1766"/>
        <v>Y</v>
      </c>
      <c r="BR2374" s="129" t="s">
        <v>574</v>
      </c>
      <c r="BS2374" s="129" t="str">
        <f t="shared" si="1759"/>
        <v>DISPOSED</v>
      </c>
      <c r="BT2374" s="129" t="str">
        <f t="shared" si="1760"/>
        <v>N</v>
      </c>
      <c r="BU2374" s="109">
        <f t="shared" si="1761"/>
        <v>5.7324840764331211E-2</v>
      </c>
      <c r="BV2374" s="109">
        <f t="shared" si="1767"/>
        <v>2.9411764705882353E-2</v>
      </c>
      <c r="BW2374" s="109">
        <f t="shared" si="1749"/>
        <v>-2.7913076058448859E-2</v>
      </c>
      <c r="BX2374" s="111">
        <f t="shared" si="1762"/>
        <v>0</v>
      </c>
      <c r="BY2374" s="129">
        <f t="shared" si="1768"/>
        <v>-4</v>
      </c>
      <c r="BZ2374" s="111">
        <f t="shared" si="1769"/>
        <v>5</v>
      </c>
      <c r="CA2374" s="138">
        <f t="shared" si="1770"/>
        <v>136</v>
      </c>
      <c r="CB2374" s="111">
        <v>9</v>
      </c>
      <c r="CC2374" s="129">
        <f>G2374-I2374+1</f>
        <v>136</v>
      </c>
      <c r="CD2374" s="129">
        <f>G2374-J2374</f>
        <v>132</v>
      </c>
      <c r="CG2374" s="129" t="str">
        <f t="shared" si="1771"/>
        <v>Y</v>
      </c>
      <c r="CI2374" s="129" t="str">
        <f t="shared" si="1773"/>
        <v>0-10 DAYS</v>
      </c>
      <c r="CJ2374" s="137">
        <f t="shared" si="1774"/>
        <v>1</v>
      </c>
      <c r="CK2374" s="129" t="str">
        <f t="shared" si="1775"/>
        <v>Booked</v>
      </c>
    </row>
    <row r="2375" spans="1:89" ht="15.75" customHeight="1" x14ac:dyDescent="0.25">
      <c r="A2375" s="111">
        <v>1490</v>
      </c>
      <c r="B2375" s="128" t="str">
        <f t="shared" si="1763"/>
        <v>N</v>
      </c>
      <c r="C2375" s="128" t="str">
        <f t="shared" si="1764"/>
        <v>N</v>
      </c>
      <c r="D2375" s="117">
        <v>2539410</v>
      </c>
      <c r="E2375" s="135">
        <f t="shared" si="1765"/>
        <v>2</v>
      </c>
      <c r="F2375" s="124">
        <v>40963</v>
      </c>
      <c r="G2375" s="125">
        <v>41102</v>
      </c>
      <c r="H2375" s="117">
        <v>2539410</v>
      </c>
      <c r="I2375" s="124">
        <v>40976</v>
      </c>
      <c r="J2375" s="124">
        <v>41102</v>
      </c>
      <c r="K2375" s="126">
        <v>10000</v>
      </c>
      <c r="L2375" s="127" t="s">
        <v>570</v>
      </c>
      <c r="N2375" s="129" t="str">
        <f>IF(M2375&gt;1/1/1,"Y","N")</f>
        <v>N</v>
      </c>
      <c r="O2375" s="128" t="s">
        <v>917</v>
      </c>
      <c r="P2375" s="129" t="s">
        <v>589</v>
      </c>
      <c r="Q2375" s="111">
        <f t="shared" ref="Q2375:Q2387" si="1776">BF2375</f>
        <v>127</v>
      </c>
      <c r="R2375" s="111">
        <f t="shared" si="1737"/>
        <v>140</v>
      </c>
      <c r="S2375" s="129">
        <v>0</v>
      </c>
      <c r="T2375" s="129">
        <v>1</v>
      </c>
      <c r="W2375" s="111"/>
      <c r="AC2375" s="130"/>
      <c r="AD2375" s="130">
        <v>33524</v>
      </c>
      <c r="AE2375" s="128" t="s">
        <v>32</v>
      </c>
      <c r="AF2375" s="128" t="s">
        <v>33</v>
      </c>
      <c r="AG2375" s="128" t="s">
        <v>872</v>
      </c>
      <c r="AH2375" s="108" t="s">
        <v>31</v>
      </c>
      <c r="AI2375" s="128" t="s">
        <v>87</v>
      </c>
      <c r="AJ2375" s="129" t="s">
        <v>48</v>
      </c>
      <c r="AK2375" s="129">
        <v>6</v>
      </c>
      <c r="AL2375" s="3" t="s">
        <v>48</v>
      </c>
      <c r="AP2375" s="129" t="s">
        <v>56</v>
      </c>
      <c r="AR2375" s="128" t="s">
        <v>50</v>
      </c>
      <c r="AS2375" s="129" t="s">
        <v>57</v>
      </c>
      <c r="BC2375" s="129" t="s">
        <v>38</v>
      </c>
      <c r="BF2375" s="111">
        <f t="shared" si="1750"/>
        <v>127</v>
      </c>
      <c r="BG2375" s="111">
        <f t="shared" si="1751"/>
        <v>127</v>
      </c>
      <c r="BH2375" s="111">
        <f t="shared" si="1753"/>
        <v>140</v>
      </c>
      <c r="BI2375" s="111">
        <f t="shared" si="1754"/>
        <v>20.325136612021858</v>
      </c>
      <c r="BJ2375" s="129">
        <f t="shared" si="1772"/>
        <v>0</v>
      </c>
      <c r="BK2375" s="129">
        <f t="shared" si="1755"/>
        <v>0</v>
      </c>
      <c r="BL2375" s="129" t="str">
        <f t="shared" si="1748"/>
        <v>DEFERRED</v>
      </c>
      <c r="BM2375" s="129" t="str">
        <f t="shared" si="1756"/>
        <v>NONE</v>
      </c>
      <c r="BN2375" s="129" t="s">
        <v>566</v>
      </c>
      <c r="BP2375" s="137" t="str">
        <f t="shared" si="1757"/>
        <v>DEFERRED</v>
      </c>
      <c r="BQ2375" s="128" t="str">
        <f t="shared" si="1766"/>
        <v>Y</v>
      </c>
      <c r="BR2375" s="129" t="str">
        <f t="shared" si="1758"/>
        <v>DETAINED</v>
      </c>
      <c r="BS2375" s="129" t="str">
        <f t="shared" si="1759"/>
        <v>DISPOSED</v>
      </c>
      <c r="BT2375" s="129" t="str">
        <f t="shared" si="1760"/>
        <v>N</v>
      </c>
      <c r="BU2375" s="109">
        <f t="shared" si="1761"/>
        <v>0.90714285714285714</v>
      </c>
      <c r="BV2375" s="109">
        <f t="shared" si="1767"/>
        <v>1</v>
      </c>
      <c r="BW2375" s="109">
        <f t="shared" si="1749"/>
        <v>9.285714285714286E-2</v>
      </c>
      <c r="BX2375" s="111">
        <f t="shared" si="1762"/>
        <v>0</v>
      </c>
      <c r="BY2375" s="129">
        <f t="shared" si="1768"/>
        <v>-127</v>
      </c>
      <c r="BZ2375" s="111">
        <f t="shared" si="1769"/>
        <v>0</v>
      </c>
      <c r="CA2375" s="138">
        <f t="shared" si="1770"/>
        <v>127</v>
      </c>
      <c r="CB2375" s="111" t="e">
        <f t="shared" si="1752"/>
        <v>#VALUE!</v>
      </c>
      <c r="CC2375" s="129">
        <f>G2375-I2375+1</f>
        <v>127</v>
      </c>
      <c r="CD2375" s="129">
        <f>G2375-J2375</f>
        <v>0</v>
      </c>
      <c r="CG2375" s="129" t="str">
        <f t="shared" si="1771"/>
        <v>Y</v>
      </c>
      <c r="CI2375" s="129" t="str">
        <f t="shared" si="1773"/>
        <v>121-365 DAYS</v>
      </c>
      <c r="CJ2375" s="137">
        <f t="shared" si="1774"/>
        <v>6</v>
      </c>
      <c r="CK2375" s="129" t="str">
        <f t="shared" si="1775"/>
        <v>Booked</v>
      </c>
    </row>
    <row r="2376" spans="1:89" ht="15.75" customHeight="1" x14ac:dyDescent="0.25">
      <c r="A2376" s="111">
        <v>2733</v>
      </c>
      <c r="B2376" s="128" t="str">
        <f t="shared" si="1763"/>
        <v>N</v>
      </c>
      <c r="C2376" s="128" t="str">
        <f t="shared" si="1764"/>
        <v>N</v>
      </c>
      <c r="D2376" s="117">
        <v>2539750</v>
      </c>
      <c r="E2376" s="135">
        <f t="shared" si="1765"/>
        <v>1</v>
      </c>
      <c r="F2376" s="124">
        <v>41010</v>
      </c>
      <c r="G2376" s="125">
        <v>41086</v>
      </c>
      <c r="H2376" s="117">
        <v>2539750</v>
      </c>
      <c r="I2376" s="124">
        <v>41011</v>
      </c>
      <c r="J2376" s="124">
        <v>41086</v>
      </c>
      <c r="K2376" s="126">
        <v>150000</v>
      </c>
      <c r="L2376" s="129" t="s">
        <v>572</v>
      </c>
      <c r="N2376" s="129" t="str">
        <f>IF(M2376&gt;1/1/1,"Y","N")</f>
        <v>N</v>
      </c>
      <c r="O2376" s="128" t="s">
        <v>917</v>
      </c>
      <c r="P2376" s="129" t="s">
        <v>55</v>
      </c>
      <c r="Q2376" s="111">
        <f t="shared" si="1776"/>
        <v>76</v>
      </c>
      <c r="R2376" s="111">
        <f t="shared" si="1737"/>
        <v>77</v>
      </c>
      <c r="S2376" s="129">
        <v>0</v>
      </c>
      <c r="T2376" s="129">
        <v>1</v>
      </c>
      <c r="W2376" s="111"/>
      <c r="AC2376" s="130"/>
      <c r="AD2376" s="130">
        <v>33555</v>
      </c>
      <c r="AE2376" s="128" t="s">
        <v>32</v>
      </c>
      <c r="AF2376" s="128" t="s">
        <v>40</v>
      </c>
      <c r="AG2376" s="128" t="s">
        <v>41</v>
      </c>
      <c r="AH2376" s="108" t="s">
        <v>41</v>
      </c>
      <c r="AI2376" s="128" t="s">
        <v>85</v>
      </c>
      <c r="AJ2376" s="129" t="s">
        <v>55</v>
      </c>
      <c r="AK2376" s="129">
        <v>3</v>
      </c>
      <c r="AL2376" s="3" t="s">
        <v>55</v>
      </c>
      <c r="AP2376" s="129" t="s">
        <v>56</v>
      </c>
      <c r="AR2376" s="128" t="s">
        <v>50</v>
      </c>
      <c r="AS2376" s="129" t="s">
        <v>57</v>
      </c>
      <c r="BC2376" s="129" t="s">
        <v>38</v>
      </c>
      <c r="BF2376" s="111">
        <f t="shared" si="1750"/>
        <v>76</v>
      </c>
      <c r="BG2376" s="111">
        <f t="shared" si="1751"/>
        <v>76</v>
      </c>
      <c r="BH2376" s="111">
        <f t="shared" si="1753"/>
        <v>77</v>
      </c>
      <c r="BI2376" s="111">
        <f t="shared" si="1754"/>
        <v>20.368852459016395</v>
      </c>
      <c r="BJ2376" s="129">
        <f t="shared" si="1772"/>
        <v>0</v>
      </c>
      <c r="BK2376" s="129">
        <f t="shared" si="1755"/>
        <v>0</v>
      </c>
      <c r="BL2376" s="129" t="str">
        <f t="shared" si="1748"/>
        <v>NO CONVICTION</v>
      </c>
      <c r="BM2376" s="129" t="str">
        <f t="shared" si="1756"/>
        <v>NONE</v>
      </c>
      <c r="BN2376" s="129" t="s">
        <v>566</v>
      </c>
      <c r="BP2376" s="137" t="str">
        <f t="shared" si="1757"/>
        <v>NO CONVICTION</v>
      </c>
      <c r="BQ2376" s="128" t="str">
        <f t="shared" si="1766"/>
        <v>Y</v>
      </c>
      <c r="BR2376" s="129" t="str">
        <f t="shared" si="1758"/>
        <v>DETAINED</v>
      </c>
      <c r="BS2376" s="129" t="str">
        <f t="shared" si="1759"/>
        <v>DISPOSED</v>
      </c>
      <c r="BT2376" s="129" t="str">
        <f t="shared" si="1760"/>
        <v>N</v>
      </c>
      <c r="BU2376" s="109">
        <f>IFERROR(Q2376/R2376,BR2376)</f>
        <v>0.98701298701298701</v>
      </c>
      <c r="BV2376" s="109">
        <f t="shared" si="1767"/>
        <v>1</v>
      </c>
      <c r="BW2376" s="109">
        <f t="shared" si="1749"/>
        <v>1.2987012987012991E-2</v>
      </c>
      <c r="BX2376" s="111">
        <f t="shared" si="1762"/>
        <v>0</v>
      </c>
      <c r="BY2376" s="129">
        <f t="shared" si="1768"/>
        <v>-76</v>
      </c>
      <c r="BZ2376" s="111">
        <f t="shared" si="1769"/>
        <v>0</v>
      </c>
      <c r="CA2376" s="138">
        <f t="shared" si="1770"/>
        <v>76</v>
      </c>
      <c r="CB2376" s="111" t="e">
        <f t="shared" si="1752"/>
        <v>#VALUE!</v>
      </c>
      <c r="CC2376" s="129">
        <f>G2376-I2376+1</f>
        <v>76</v>
      </c>
      <c r="CD2376" s="129">
        <f>G2376-J2376</f>
        <v>0</v>
      </c>
      <c r="CG2376" s="129" t="str">
        <f t="shared" si="1771"/>
        <v>Y</v>
      </c>
      <c r="CI2376" s="129" t="str">
        <f t="shared" si="1773"/>
        <v>61-90 DAYS</v>
      </c>
      <c r="CJ2376" s="137">
        <f t="shared" si="1774"/>
        <v>4</v>
      </c>
      <c r="CK2376" s="129" t="str">
        <f t="shared" si="1775"/>
        <v>Booked</v>
      </c>
    </row>
    <row r="2377" spans="1:89" ht="15" customHeight="1" x14ac:dyDescent="0.25">
      <c r="A2377" s="111">
        <v>1534</v>
      </c>
      <c r="B2377" s="128" t="str">
        <f t="shared" si="1763"/>
        <v>N</v>
      </c>
      <c r="C2377" s="128" t="str">
        <f t="shared" si="1764"/>
        <v>N</v>
      </c>
      <c r="D2377" s="117">
        <v>2539960</v>
      </c>
      <c r="E2377" s="135">
        <f t="shared" si="1765"/>
        <v>6</v>
      </c>
      <c r="F2377" s="124">
        <v>40966</v>
      </c>
      <c r="G2377" s="125">
        <v>40987</v>
      </c>
      <c r="H2377" s="117">
        <v>2539960</v>
      </c>
      <c r="I2377" s="124">
        <v>40966</v>
      </c>
      <c r="J2377" s="124">
        <v>40987</v>
      </c>
      <c r="K2377" s="126" t="s">
        <v>564</v>
      </c>
      <c r="L2377" s="127" t="s">
        <v>564</v>
      </c>
      <c r="N2377" s="129" t="s">
        <v>566</v>
      </c>
      <c r="O2377" s="128" t="s">
        <v>917</v>
      </c>
      <c r="P2377" s="129" t="s">
        <v>39</v>
      </c>
      <c r="Q2377" s="111">
        <f t="shared" si="1776"/>
        <v>22</v>
      </c>
      <c r="R2377" s="111">
        <f t="shared" si="1737"/>
        <v>22</v>
      </c>
      <c r="S2377" s="129">
        <v>1</v>
      </c>
      <c r="T2377" s="129">
        <v>1</v>
      </c>
      <c r="U2377" s="129">
        <v>1</v>
      </c>
      <c r="W2377" s="111"/>
      <c r="AC2377" s="130"/>
      <c r="AD2377" s="130">
        <v>34294</v>
      </c>
      <c r="AE2377" s="128" t="s">
        <v>32</v>
      </c>
      <c r="AF2377" s="128" t="s">
        <v>40</v>
      </c>
      <c r="AG2377" s="128" t="s">
        <v>41</v>
      </c>
      <c r="AH2377" s="108" t="s">
        <v>41</v>
      </c>
      <c r="AI2377" s="128" t="s">
        <v>70</v>
      </c>
      <c r="AJ2377" s="129" t="s">
        <v>89</v>
      </c>
      <c r="AK2377" s="129">
        <v>2</v>
      </c>
      <c r="AL2377" s="3" t="s">
        <v>362</v>
      </c>
      <c r="AM2377" s="117">
        <v>3</v>
      </c>
      <c r="AP2377" s="129" t="s">
        <v>73</v>
      </c>
      <c r="AR2377" s="128" t="s">
        <v>50</v>
      </c>
      <c r="AS2377" s="129" t="s">
        <v>74</v>
      </c>
      <c r="BC2377" s="129" t="s">
        <v>38</v>
      </c>
      <c r="BD2377" s="32"/>
      <c r="BF2377" s="111">
        <f t="shared" si="1750"/>
        <v>22</v>
      </c>
      <c r="BG2377" s="111">
        <f t="shared" si="1751"/>
        <v>22</v>
      </c>
      <c r="BH2377" s="111">
        <f t="shared" si="1753"/>
        <v>22</v>
      </c>
      <c r="BI2377" s="111">
        <f t="shared" si="1754"/>
        <v>18.229508196721312</v>
      </c>
      <c r="BJ2377" s="129">
        <f t="shared" si="1772"/>
        <v>0</v>
      </c>
      <c r="BK2377" s="129">
        <f t="shared" si="1755"/>
        <v>0</v>
      </c>
      <c r="BL2377" s="129" t="str">
        <f t="shared" si="1748"/>
        <v>CONVICTION</v>
      </c>
      <c r="BM2377" s="129" t="str">
        <f t="shared" si="1756"/>
        <v>NONE</v>
      </c>
      <c r="BN2377" s="129" t="s">
        <v>566</v>
      </c>
      <c r="BP2377" s="137" t="str">
        <f t="shared" si="1757"/>
        <v>CONVICTION</v>
      </c>
      <c r="BQ2377" s="128" t="str">
        <f t="shared" si="1766"/>
        <v>Y</v>
      </c>
      <c r="BR2377" s="129" t="str">
        <f t="shared" si="1758"/>
        <v>DETAINED</v>
      </c>
      <c r="BS2377" s="129" t="str">
        <f t="shared" si="1759"/>
        <v>DISPOSED</v>
      </c>
      <c r="BT2377" s="129" t="str">
        <f t="shared" si="1760"/>
        <v>Y</v>
      </c>
      <c r="BU2377" s="109">
        <f t="shared" si="1761"/>
        <v>1</v>
      </c>
      <c r="BV2377" s="109">
        <f t="shared" si="1767"/>
        <v>1</v>
      </c>
      <c r="BW2377" s="109">
        <f t="shared" si="1749"/>
        <v>0</v>
      </c>
      <c r="BX2377" s="111">
        <f t="shared" si="1762"/>
        <v>0</v>
      </c>
      <c r="BY2377" s="129">
        <f t="shared" si="1768"/>
        <v>-22</v>
      </c>
      <c r="BZ2377" s="111">
        <f t="shared" si="1769"/>
        <v>0</v>
      </c>
      <c r="CA2377" s="138">
        <f t="shared" si="1770"/>
        <v>22</v>
      </c>
      <c r="CB2377" s="111" t="e">
        <f t="shared" si="1752"/>
        <v>#VALUE!</v>
      </c>
      <c r="CC2377" s="129">
        <f>G2377-I2377+1</f>
        <v>22</v>
      </c>
      <c r="CD2377" s="129">
        <f>G2377-J2377</f>
        <v>0</v>
      </c>
      <c r="CG2377" s="129" t="str">
        <f t="shared" si="1771"/>
        <v>Y</v>
      </c>
      <c r="CI2377" s="129" t="str">
        <f t="shared" si="1773"/>
        <v>11-30 DAYS</v>
      </c>
      <c r="CJ2377" s="137">
        <f t="shared" si="1774"/>
        <v>2</v>
      </c>
      <c r="CK2377" s="129" t="str">
        <f t="shared" si="1775"/>
        <v>Booked</v>
      </c>
    </row>
    <row r="2378" spans="1:89" ht="15.75" customHeight="1" x14ac:dyDescent="0.25">
      <c r="A2378" s="111">
        <v>1191</v>
      </c>
      <c r="B2378" s="128" t="str">
        <f t="shared" si="1763"/>
        <v>N</v>
      </c>
      <c r="C2378" s="128" t="str">
        <f t="shared" si="1764"/>
        <v>N</v>
      </c>
      <c r="D2378" s="117">
        <v>2540024</v>
      </c>
      <c r="E2378" s="135">
        <f t="shared" si="1765"/>
        <v>2</v>
      </c>
      <c r="F2378" s="124">
        <v>40952</v>
      </c>
      <c r="G2378" s="125">
        <v>40959</v>
      </c>
      <c r="H2378" s="117">
        <v>2540024</v>
      </c>
      <c r="I2378" s="124" t="s">
        <v>562</v>
      </c>
      <c r="J2378" s="124" t="s">
        <v>562</v>
      </c>
      <c r="K2378" s="126">
        <v>10000</v>
      </c>
      <c r="L2378" s="127" t="s">
        <v>570</v>
      </c>
      <c r="N2378" s="124" t="s">
        <v>1343</v>
      </c>
      <c r="O2378" s="128" t="s">
        <v>917</v>
      </c>
      <c r="P2378" s="129" t="s">
        <v>589</v>
      </c>
      <c r="Q2378" s="111">
        <f t="shared" si="1776"/>
        <v>0</v>
      </c>
      <c r="R2378" s="111">
        <f t="shared" si="1737"/>
        <v>8</v>
      </c>
      <c r="S2378" s="129">
        <v>0</v>
      </c>
      <c r="T2378" s="129">
        <v>1</v>
      </c>
      <c r="W2378" s="111"/>
      <c r="AB2378" s="131" t="s">
        <v>112</v>
      </c>
      <c r="AC2378" s="130"/>
      <c r="AD2378" s="130">
        <v>34209</v>
      </c>
      <c r="AE2378" s="128" t="s">
        <v>32</v>
      </c>
      <c r="AF2378" s="128" t="s">
        <v>40</v>
      </c>
      <c r="AG2378" s="128" t="s">
        <v>41</v>
      </c>
      <c r="AH2378" s="108" t="s">
        <v>31</v>
      </c>
      <c r="AI2378" s="128" t="s">
        <v>70</v>
      </c>
      <c r="AJ2378" s="129" t="s">
        <v>48</v>
      </c>
      <c r="AK2378" s="129">
        <v>2</v>
      </c>
      <c r="AL2378" s="3" t="s">
        <v>48</v>
      </c>
      <c r="AP2378" s="129" t="s">
        <v>302</v>
      </c>
      <c r="AR2378" s="128" t="s">
        <v>67</v>
      </c>
      <c r="AS2378" s="129" t="s">
        <v>64</v>
      </c>
      <c r="AT2378" s="32" t="s">
        <v>617</v>
      </c>
      <c r="BC2378" s="129" t="s">
        <v>38</v>
      </c>
      <c r="BF2378" s="111">
        <v>0</v>
      </c>
      <c r="BG2378" s="111">
        <v>0</v>
      </c>
      <c r="BH2378" s="111">
        <f t="shared" si="1753"/>
        <v>8</v>
      </c>
      <c r="BI2378" s="111">
        <f t="shared" si="1754"/>
        <v>18.423497267759561</v>
      </c>
      <c r="BJ2378" s="129" t="e">
        <f>(G2378-J2378)+(M2378-G2378)</f>
        <v>#VALUE!</v>
      </c>
      <c r="BK2378" s="129" t="e">
        <f t="shared" si="1755"/>
        <v>#VALUE!</v>
      </c>
      <c r="BL2378" s="129" t="str">
        <f t="shared" si="1748"/>
        <v>DEFERRED</v>
      </c>
      <c r="BM2378" s="129" t="str">
        <f t="shared" si="1756"/>
        <v>NONE</v>
      </c>
      <c r="BN2378" s="129" t="s">
        <v>566</v>
      </c>
      <c r="BP2378" s="137" t="str">
        <f t="shared" si="1757"/>
        <v>DEFERRED</v>
      </c>
      <c r="BQ2378" s="128">
        <f t="shared" si="1766"/>
        <v>0</v>
      </c>
      <c r="BR2378" s="129" t="s">
        <v>1344</v>
      </c>
      <c r="BS2378" s="129" t="str">
        <f t="shared" si="1759"/>
        <v>DISPOSED</v>
      </c>
      <c r="BT2378" s="129" t="str">
        <f t="shared" si="1760"/>
        <v>N</v>
      </c>
      <c r="BU2378" s="109">
        <f t="shared" si="1761"/>
        <v>0</v>
      </c>
      <c r="BV2378" s="109">
        <v>0</v>
      </c>
      <c r="BW2378" s="109">
        <f t="shared" si="1749"/>
        <v>0</v>
      </c>
      <c r="BX2378" s="111">
        <f t="shared" si="1762"/>
        <v>0</v>
      </c>
      <c r="BY2378" s="129" t="e">
        <f t="shared" si="1768"/>
        <v>#VALUE!</v>
      </c>
      <c r="BZ2378" s="111" t="e">
        <f t="shared" si="1769"/>
        <v>#VALUE!</v>
      </c>
      <c r="CA2378" s="138" t="e">
        <f t="shared" si="1770"/>
        <v>#VALUE!</v>
      </c>
      <c r="CB2378" s="111">
        <v>0</v>
      </c>
      <c r="CC2378" s="129">
        <v>0</v>
      </c>
      <c r="CG2378" s="129" t="str">
        <f t="shared" si="1771"/>
        <v>Y</v>
      </c>
      <c r="CI2378" s="129" t="str">
        <f t="shared" si="1773"/>
        <v>0-10 DAYS</v>
      </c>
      <c r="CJ2378" s="137">
        <f t="shared" si="1774"/>
        <v>1</v>
      </c>
      <c r="CK2378" s="129" t="str">
        <f t="shared" si="1775"/>
        <v>Not Booked</v>
      </c>
    </row>
    <row r="2379" spans="1:89" ht="15" customHeight="1" x14ac:dyDescent="0.25">
      <c r="A2379" s="111">
        <v>1033</v>
      </c>
      <c r="B2379" s="128" t="str">
        <f t="shared" si="1763"/>
        <v>Y</v>
      </c>
      <c r="C2379" s="128" t="str">
        <f t="shared" si="1764"/>
        <v>Y</v>
      </c>
      <c r="D2379" s="117">
        <v>2540337</v>
      </c>
      <c r="E2379" s="135">
        <f t="shared" si="1765"/>
        <v>6</v>
      </c>
      <c r="F2379" s="124">
        <v>40947</v>
      </c>
      <c r="G2379" s="125">
        <v>41684</v>
      </c>
      <c r="H2379" s="117">
        <v>2540337</v>
      </c>
      <c r="I2379" s="124">
        <v>40964</v>
      </c>
      <c r="J2379" s="124">
        <v>40983</v>
      </c>
      <c r="K2379" s="126">
        <v>30000</v>
      </c>
      <c r="L2379" s="129" t="s">
        <v>572</v>
      </c>
      <c r="M2379" s="125">
        <v>40983</v>
      </c>
      <c r="N2379" s="129" t="str">
        <f>IF(M2379&gt;1/1/1,"Y","N")</f>
        <v>Y</v>
      </c>
      <c r="O2379" s="128" t="s">
        <v>76</v>
      </c>
      <c r="P2379" s="129" t="s">
        <v>39</v>
      </c>
      <c r="Q2379" s="111">
        <v>18</v>
      </c>
      <c r="R2379" s="111">
        <f t="shared" si="1737"/>
        <v>738</v>
      </c>
      <c r="S2379" s="129">
        <v>0</v>
      </c>
      <c r="T2379" s="129">
        <v>0</v>
      </c>
      <c r="W2379" s="111"/>
      <c r="AC2379" s="130"/>
      <c r="AD2379" s="130">
        <v>34211</v>
      </c>
      <c r="AE2379" s="128" t="s">
        <v>32</v>
      </c>
      <c r="AF2379" s="128" t="s">
        <v>33</v>
      </c>
      <c r="AG2379" s="128" t="s">
        <v>872</v>
      </c>
      <c r="AH2379" s="108" t="s">
        <v>31</v>
      </c>
      <c r="AI2379" s="128" t="s">
        <v>97</v>
      </c>
      <c r="AJ2379" s="129" t="s">
        <v>89</v>
      </c>
      <c r="AK2379" s="129">
        <v>12</v>
      </c>
      <c r="AL2379" s="3" t="s">
        <v>362</v>
      </c>
      <c r="AM2379" s="117">
        <v>10</v>
      </c>
      <c r="AP2379" s="129" t="s">
        <v>105</v>
      </c>
      <c r="AR2379" s="128" t="s">
        <v>92</v>
      </c>
      <c r="AS2379" s="129" t="s">
        <v>106</v>
      </c>
      <c r="AT2379" s="129" t="s">
        <v>948</v>
      </c>
      <c r="AU2379" s="3" t="s">
        <v>947</v>
      </c>
      <c r="AX2379" s="32" t="s">
        <v>51</v>
      </c>
      <c r="BC2379" s="129" t="s">
        <v>99</v>
      </c>
      <c r="BD2379" s="129" t="s">
        <v>1276</v>
      </c>
      <c r="BF2379" s="111">
        <v>28</v>
      </c>
      <c r="BG2379" s="111">
        <f>IF(G2379&gt;1/1/1900,((G2379+1)-I2379),"STILL OPEN")</f>
        <v>721</v>
      </c>
      <c r="BH2379" s="111">
        <f t="shared" si="1753"/>
        <v>738</v>
      </c>
      <c r="BI2379" s="111">
        <f t="shared" si="1754"/>
        <v>18.404371584699454</v>
      </c>
      <c r="BJ2379" s="129">
        <f>(G2379-J2379)+(M2379-G2379)</f>
        <v>0</v>
      </c>
      <c r="BK2379" s="129">
        <f t="shared" si="1755"/>
        <v>-701</v>
      </c>
      <c r="BL2379" s="129" t="str">
        <f t="shared" si="1748"/>
        <v>CONVICTION</v>
      </c>
      <c r="BM2379" s="129" t="s">
        <v>76</v>
      </c>
      <c r="BN2379" s="129" t="s">
        <v>566</v>
      </c>
      <c r="BP2379" s="137" t="str">
        <f t="shared" si="1757"/>
        <v>CONVICTION</v>
      </c>
      <c r="BQ2379" s="128" t="str">
        <f t="shared" si="1766"/>
        <v>Y</v>
      </c>
      <c r="BR2379" s="129" t="str">
        <f t="shared" ref="BR2379" si="1777">IF(AND(J2379="NOT BOOKED",M2379&gt;1/1/1),"BONDED - BEFORE BOOKED",IF(BG2379="STILL OPEN","STILL OPEN",IF(N2379="Y","ON BOND",IF(J2379&gt;=G2379,"DETAINED","RELEASED"))))</f>
        <v>ON BOND</v>
      </c>
      <c r="BS2379" s="129" t="str">
        <f t="shared" si="1759"/>
        <v>DISPOSED</v>
      </c>
      <c r="BT2379" s="129" t="str">
        <f t="shared" si="1760"/>
        <v>N</v>
      </c>
      <c r="BU2379" s="109">
        <f>IFERROR(Q2379/R2379,BR2379)</f>
        <v>2.4390243902439025E-2</v>
      </c>
      <c r="BV2379" s="139">
        <v>2.4400000000000002E-2</v>
      </c>
      <c r="BW2379" s="109">
        <v>0</v>
      </c>
      <c r="BX2379" s="111">
        <f t="shared" si="1762"/>
        <v>-10</v>
      </c>
      <c r="BY2379" s="129">
        <f t="shared" si="1768"/>
        <v>-20</v>
      </c>
      <c r="BZ2379" s="111">
        <f t="shared" si="1769"/>
        <v>8</v>
      </c>
      <c r="CA2379" s="138">
        <f t="shared" si="1770"/>
        <v>20</v>
      </c>
      <c r="CB2379" s="111" t="e">
        <f t="shared" ref="CB2379" si="1778">IF(AF2379&gt;1/1/1900,((AF2379+1)-AE2379),"STILL OPEN")</f>
        <v>#VALUE!</v>
      </c>
      <c r="CC2379" s="129">
        <v>18</v>
      </c>
      <c r="CG2379" s="129" t="str">
        <f t="shared" si="1771"/>
        <v>N</v>
      </c>
      <c r="CH2379" s="129" t="e">
        <v>#N/A</v>
      </c>
      <c r="CI2379" s="129" t="str">
        <f t="shared" si="1773"/>
        <v>11-30 DAYS</v>
      </c>
      <c r="CJ2379" s="137">
        <f t="shared" si="1774"/>
        <v>2</v>
      </c>
      <c r="CK2379" s="129" t="str">
        <f t="shared" si="1775"/>
        <v>Booked</v>
      </c>
    </row>
    <row r="2380" spans="1:89" ht="15.75" customHeight="1" x14ac:dyDescent="0.25">
      <c r="A2380" s="111">
        <v>583</v>
      </c>
      <c r="B2380" s="128" t="str">
        <f t="shared" si="1763"/>
        <v>N</v>
      </c>
      <c r="C2380" s="128" t="str">
        <f t="shared" si="1764"/>
        <v>N</v>
      </c>
      <c r="D2380" s="117">
        <v>2540365</v>
      </c>
      <c r="E2380" s="135">
        <f t="shared" si="1765"/>
        <v>2</v>
      </c>
      <c r="F2380" s="124">
        <v>40932</v>
      </c>
      <c r="G2380" s="125">
        <v>41087</v>
      </c>
      <c r="H2380" s="117">
        <v>2540365</v>
      </c>
      <c r="I2380" s="124">
        <v>40933</v>
      </c>
      <c r="J2380" s="124">
        <v>41087</v>
      </c>
      <c r="K2380" s="126">
        <v>10000</v>
      </c>
      <c r="L2380" s="127" t="s">
        <v>570</v>
      </c>
      <c r="N2380" s="129" t="str">
        <f>IF(M2380&gt;1/1/1,"Y","N")</f>
        <v>N</v>
      </c>
      <c r="O2380" s="128" t="s">
        <v>917</v>
      </c>
      <c r="P2380" s="129" t="s">
        <v>589</v>
      </c>
      <c r="Q2380" s="111">
        <f t="shared" si="1776"/>
        <v>155</v>
      </c>
      <c r="R2380" s="111">
        <f t="shared" si="1737"/>
        <v>156</v>
      </c>
      <c r="S2380" s="129">
        <v>0</v>
      </c>
      <c r="T2380" s="129">
        <v>1</v>
      </c>
      <c r="W2380" s="111"/>
      <c r="AC2380" s="130"/>
      <c r="AD2380" s="130">
        <v>34254</v>
      </c>
      <c r="AE2380" s="128" t="s">
        <v>32</v>
      </c>
      <c r="AF2380" s="128" t="s">
        <v>33</v>
      </c>
      <c r="AG2380" s="128" t="s">
        <v>872</v>
      </c>
      <c r="AH2380" s="108" t="s">
        <v>31</v>
      </c>
      <c r="AI2380" s="128" t="s">
        <v>34</v>
      </c>
      <c r="AJ2380" s="129" t="s">
        <v>48</v>
      </c>
      <c r="AK2380" s="129">
        <v>9</v>
      </c>
      <c r="AL2380" s="3" t="s">
        <v>48</v>
      </c>
      <c r="AP2380" s="129" t="s">
        <v>227</v>
      </c>
      <c r="AR2380" s="128" t="s">
        <v>67</v>
      </c>
      <c r="AS2380" s="129" t="s">
        <v>64</v>
      </c>
      <c r="BC2380" s="129" t="s">
        <v>38</v>
      </c>
      <c r="BF2380" s="111">
        <f>IF(J2380&gt;1/1/1900,((J2380+1)-I2380),"STILL OPEN")</f>
        <v>155</v>
      </c>
      <c r="BG2380" s="111">
        <f>IF(G2380&gt;1/1/1900,((G2380+1)-I2380),"STILL OPEN")</f>
        <v>155</v>
      </c>
      <c r="BH2380" s="111">
        <f t="shared" si="1753"/>
        <v>156</v>
      </c>
      <c r="BI2380" s="111">
        <f t="shared" si="1754"/>
        <v>18.245901639344261</v>
      </c>
      <c r="BJ2380" s="129">
        <f t="shared" si="1772"/>
        <v>0</v>
      </c>
      <c r="BK2380" s="129">
        <f t="shared" si="1755"/>
        <v>0</v>
      </c>
      <c r="BL2380" s="129" t="str">
        <f t="shared" si="1748"/>
        <v>DEFERRED</v>
      </c>
      <c r="BM2380" s="129" t="str">
        <f t="shared" si="1756"/>
        <v>NONE</v>
      </c>
      <c r="BN2380" s="129" t="s">
        <v>566</v>
      </c>
      <c r="BP2380" s="137" t="str">
        <f t="shared" si="1757"/>
        <v>DEFERRED</v>
      </c>
      <c r="BQ2380" s="128" t="str">
        <f t="shared" si="1766"/>
        <v>Y</v>
      </c>
      <c r="BR2380" s="129" t="str">
        <f t="shared" si="1758"/>
        <v>DETAINED</v>
      </c>
      <c r="BS2380" s="129" t="str">
        <f t="shared" si="1759"/>
        <v>DISPOSED</v>
      </c>
      <c r="BT2380" s="129" t="str">
        <f t="shared" si="1760"/>
        <v>N</v>
      </c>
      <c r="BU2380" s="109">
        <f t="shared" si="1761"/>
        <v>0.99358974358974361</v>
      </c>
      <c r="BV2380" s="109">
        <f t="shared" si="1767"/>
        <v>1</v>
      </c>
      <c r="BW2380" s="109">
        <f t="shared" ref="BW2380:BW2426" si="1779">BV2380-BU2380</f>
        <v>6.4102564102563875E-3</v>
      </c>
      <c r="BX2380" s="111">
        <f t="shared" si="1762"/>
        <v>0</v>
      </c>
      <c r="BY2380" s="129">
        <f t="shared" si="1768"/>
        <v>-155</v>
      </c>
      <c r="BZ2380" s="111">
        <f t="shared" si="1769"/>
        <v>0</v>
      </c>
      <c r="CA2380" s="138">
        <f t="shared" si="1770"/>
        <v>155</v>
      </c>
      <c r="CB2380" s="111" t="e">
        <f>IF(AF2380&gt;1/1/1900,((AF2380+1)-AE2380),"STILL OPEN")</f>
        <v>#VALUE!</v>
      </c>
      <c r="CC2380" s="129">
        <f>G2380-I2380+1</f>
        <v>155</v>
      </c>
      <c r="CD2380" s="129">
        <f>G2380-J2380</f>
        <v>0</v>
      </c>
      <c r="CG2380" s="129" t="str">
        <f t="shared" si="1771"/>
        <v>Y</v>
      </c>
      <c r="CI2380" s="129" t="str">
        <f t="shared" si="1773"/>
        <v>121-365 DAYS</v>
      </c>
      <c r="CJ2380" s="137">
        <f t="shared" si="1774"/>
        <v>6</v>
      </c>
      <c r="CK2380" s="129" t="str">
        <f t="shared" si="1775"/>
        <v>Booked</v>
      </c>
    </row>
    <row r="2381" spans="1:89" ht="15.75" customHeight="1" x14ac:dyDescent="0.25">
      <c r="A2381" s="111">
        <v>3096</v>
      </c>
      <c r="B2381" s="128" t="str">
        <f t="shared" si="1763"/>
        <v>N</v>
      </c>
      <c r="C2381" s="128" t="str">
        <f t="shared" si="1764"/>
        <v>N</v>
      </c>
      <c r="D2381" s="117">
        <v>2540898</v>
      </c>
      <c r="E2381" s="135">
        <f t="shared" si="1765"/>
        <v>2</v>
      </c>
      <c r="F2381" s="124">
        <v>41023</v>
      </c>
      <c r="G2381" s="125">
        <v>41025</v>
      </c>
      <c r="H2381" s="117">
        <v>2540898</v>
      </c>
      <c r="I2381" s="124">
        <v>41024</v>
      </c>
      <c r="J2381" s="124">
        <v>41025</v>
      </c>
      <c r="K2381" s="126">
        <v>5000</v>
      </c>
      <c r="L2381" s="127" t="s">
        <v>569</v>
      </c>
      <c r="N2381" s="129" t="str">
        <f>IF(M2381&gt;1/1/1,"Y","N")</f>
        <v>N</v>
      </c>
      <c r="O2381" s="128" t="s">
        <v>917</v>
      </c>
      <c r="P2381" s="129" t="s">
        <v>589</v>
      </c>
      <c r="Q2381" s="111">
        <f t="shared" si="1776"/>
        <v>2</v>
      </c>
      <c r="R2381" s="111">
        <f t="shared" si="1737"/>
        <v>3</v>
      </c>
      <c r="S2381" s="129">
        <v>0</v>
      </c>
      <c r="T2381" s="129">
        <v>1</v>
      </c>
      <c r="W2381" s="111"/>
      <c r="AC2381" s="130"/>
      <c r="AD2381" s="130">
        <v>33979</v>
      </c>
      <c r="AE2381" s="128" t="s">
        <v>32</v>
      </c>
      <c r="AF2381" s="128" t="s">
        <v>33</v>
      </c>
      <c r="AG2381" s="128" t="s">
        <v>872</v>
      </c>
      <c r="AH2381" s="108" t="s">
        <v>31</v>
      </c>
      <c r="AI2381" s="128" t="s">
        <v>113</v>
      </c>
      <c r="AJ2381" s="129" t="s">
        <v>48</v>
      </c>
      <c r="AK2381" s="129">
        <v>1</v>
      </c>
      <c r="AL2381" s="3" t="s">
        <v>48</v>
      </c>
      <c r="AP2381" s="129" t="s">
        <v>144</v>
      </c>
      <c r="AR2381" s="128" t="s">
        <v>67</v>
      </c>
      <c r="AS2381" s="129" t="s">
        <v>74</v>
      </c>
      <c r="AT2381" s="129" t="s">
        <v>523</v>
      </c>
      <c r="BC2381" s="129" t="s">
        <v>38</v>
      </c>
      <c r="BF2381" s="111">
        <f>IF(J2381&gt;1/1/1900,((J2381+1)-I2381),"STILL OPEN")</f>
        <v>2</v>
      </c>
      <c r="BG2381" s="111">
        <f>IF(G2381&gt;1/1/1900,((G2381+1)-I2381),"STILL OPEN")</f>
        <v>2</v>
      </c>
      <c r="BH2381" s="111">
        <f t="shared" si="1753"/>
        <v>3</v>
      </c>
      <c r="BI2381" s="111">
        <f t="shared" si="1754"/>
        <v>19.245901639344261</v>
      </c>
      <c r="BJ2381" s="129">
        <f t="shared" si="1772"/>
        <v>0</v>
      </c>
      <c r="BK2381" s="129">
        <f t="shared" si="1755"/>
        <v>0</v>
      </c>
      <c r="BL2381" s="129" t="str">
        <f t="shared" si="1748"/>
        <v>DEFERRED</v>
      </c>
      <c r="BM2381" s="129" t="str">
        <f t="shared" si="1756"/>
        <v>NONE</v>
      </c>
      <c r="BN2381" s="129" t="s">
        <v>566</v>
      </c>
      <c r="BP2381" s="137" t="str">
        <f t="shared" si="1757"/>
        <v>DEFERRED</v>
      </c>
      <c r="BQ2381" s="128" t="str">
        <f t="shared" si="1766"/>
        <v>Y</v>
      </c>
      <c r="BR2381" s="129" t="str">
        <f t="shared" si="1758"/>
        <v>DETAINED</v>
      </c>
      <c r="BS2381" s="129" t="str">
        <f t="shared" si="1759"/>
        <v>DISPOSED</v>
      </c>
      <c r="BT2381" s="129" t="str">
        <f t="shared" si="1760"/>
        <v>N</v>
      </c>
      <c r="BU2381" s="109">
        <f t="shared" si="1761"/>
        <v>0.66666666666666663</v>
      </c>
      <c r="BV2381" s="109">
        <f t="shared" si="1767"/>
        <v>1</v>
      </c>
      <c r="BW2381" s="109">
        <f t="shared" si="1779"/>
        <v>0.33333333333333337</v>
      </c>
      <c r="BX2381" s="111">
        <f t="shared" si="1762"/>
        <v>0</v>
      </c>
      <c r="BY2381" s="129">
        <f t="shared" si="1768"/>
        <v>-2</v>
      </c>
      <c r="BZ2381" s="111">
        <f t="shared" si="1769"/>
        <v>0</v>
      </c>
      <c r="CA2381" s="138">
        <f t="shared" si="1770"/>
        <v>2</v>
      </c>
      <c r="CB2381" s="111" t="e">
        <f>IF(AF2381&gt;1/1/1900,((AF2381+1)-AE2381),"STILL OPEN")</f>
        <v>#VALUE!</v>
      </c>
      <c r="CC2381" s="129">
        <f>G2381-I2381+1</f>
        <v>2</v>
      </c>
      <c r="CD2381" s="129">
        <f>G2381-J2381</f>
        <v>0</v>
      </c>
      <c r="CG2381" s="129" t="str">
        <f t="shared" si="1771"/>
        <v>Y</v>
      </c>
      <c r="CI2381" s="129" t="str">
        <f t="shared" si="1773"/>
        <v>0-10 DAYS</v>
      </c>
      <c r="CJ2381" s="137">
        <f t="shared" si="1774"/>
        <v>1</v>
      </c>
      <c r="CK2381" s="129" t="str">
        <f t="shared" si="1775"/>
        <v>Booked</v>
      </c>
    </row>
    <row r="2382" spans="1:89" ht="15.75" customHeight="1" x14ac:dyDescent="0.25">
      <c r="A2382" s="111">
        <v>245</v>
      </c>
      <c r="B2382" s="128" t="str">
        <f t="shared" si="1763"/>
        <v>N</v>
      </c>
      <c r="C2382" s="128" t="str">
        <f t="shared" si="1764"/>
        <v>N</v>
      </c>
      <c r="D2382" s="117">
        <v>2541588</v>
      </c>
      <c r="E2382" s="135">
        <f t="shared" si="1765"/>
        <v>6</v>
      </c>
      <c r="F2382" s="124">
        <v>40919</v>
      </c>
      <c r="G2382" s="125">
        <v>41319</v>
      </c>
      <c r="H2382" s="117">
        <v>2541588</v>
      </c>
      <c r="I2382" s="124">
        <v>40919</v>
      </c>
      <c r="J2382" s="125">
        <v>41319</v>
      </c>
      <c r="K2382" s="126" t="s">
        <v>564</v>
      </c>
      <c r="L2382" s="127" t="s">
        <v>564</v>
      </c>
      <c r="N2382" s="129" t="s">
        <v>566</v>
      </c>
      <c r="O2382" s="128" t="s">
        <v>917</v>
      </c>
      <c r="P2382" s="129" t="s">
        <v>39</v>
      </c>
      <c r="Q2382" s="111">
        <f t="shared" si="1776"/>
        <v>401</v>
      </c>
      <c r="R2382" s="111">
        <f t="shared" si="1737"/>
        <v>401</v>
      </c>
      <c r="S2382" s="129">
        <v>1</v>
      </c>
      <c r="T2382" s="129">
        <v>0</v>
      </c>
      <c r="V2382" s="117">
        <v>1</v>
      </c>
      <c r="W2382" s="111"/>
      <c r="AB2382" s="131" t="s">
        <v>112</v>
      </c>
      <c r="AC2382" s="130"/>
      <c r="AD2382" s="130">
        <v>34280</v>
      </c>
      <c r="AE2382" s="128" t="s">
        <v>32</v>
      </c>
      <c r="AF2382" s="128" t="s">
        <v>40</v>
      </c>
      <c r="AG2382" s="128" t="s">
        <v>41</v>
      </c>
      <c r="AH2382" s="108" t="s">
        <v>31</v>
      </c>
      <c r="AI2382" s="128" t="s">
        <v>70</v>
      </c>
      <c r="AJ2382" s="129" t="s">
        <v>89</v>
      </c>
      <c r="AK2382" s="129">
        <v>12</v>
      </c>
      <c r="AL2382" s="3" t="s">
        <v>362</v>
      </c>
      <c r="AM2382" s="117">
        <v>30</v>
      </c>
      <c r="AP2382" s="129" t="s">
        <v>179</v>
      </c>
      <c r="AR2382" s="128" t="s">
        <v>92</v>
      </c>
      <c r="AS2382" s="129" t="s">
        <v>180</v>
      </c>
      <c r="BC2382" s="129" t="s">
        <v>38</v>
      </c>
      <c r="BF2382" s="111">
        <f>IF(J2382&gt;1/1/1900,((J2382+1)-I2382),"STILL OPEN")</f>
        <v>401</v>
      </c>
      <c r="BG2382" s="111">
        <f>IF(G2382&gt;1/1/1900,((G2382+1)-I2382),"STILL OPEN")</f>
        <v>401</v>
      </c>
      <c r="BH2382" s="111">
        <f t="shared" si="1753"/>
        <v>401</v>
      </c>
      <c r="BI2382" s="111">
        <f t="shared" si="1754"/>
        <v>18.139344262295083</v>
      </c>
      <c r="BJ2382" s="129">
        <f t="shared" si="1772"/>
        <v>0</v>
      </c>
      <c r="BK2382" s="129">
        <f t="shared" si="1755"/>
        <v>0</v>
      </c>
      <c r="BL2382" s="129" t="str">
        <f t="shared" si="1748"/>
        <v>CONVICTION</v>
      </c>
      <c r="BM2382" s="129" t="str">
        <f t="shared" si="1756"/>
        <v>NONE</v>
      </c>
      <c r="BN2382" s="129" t="s">
        <v>566</v>
      </c>
      <c r="BP2382" s="137" t="str">
        <f t="shared" si="1757"/>
        <v>CONVICTION</v>
      </c>
      <c r="BQ2382" s="128" t="str">
        <f t="shared" si="1766"/>
        <v>Y</v>
      </c>
      <c r="BR2382" s="129" t="str">
        <f t="shared" si="1758"/>
        <v>DETAINED</v>
      </c>
      <c r="BS2382" s="129" t="str">
        <f t="shared" si="1759"/>
        <v>DISPOSED</v>
      </c>
      <c r="BT2382" s="129" t="str">
        <f t="shared" si="1760"/>
        <v>Y</v>
      </c>
      <c r="BU2382" s="109">
        <f t="shared" si="1761"/>
        <v>1</v>
      </c>
      <c r="BV2382" s="109">
        <f t="shared" si="1767"/>
        <v>1</v>
      </c>
      <c r="BW2382" s="109">
        <f t="shared" si="1779"/>
        <v>0</v>
      </c>
      <c r="BX2382" s="111">
        <f t="shared" si="1762"/>
        <v>0</v>
      </c>
      <c r="BY2382" s="129">
        <f t="shared" si="1768"/>
        <v>-401</v>
      </c>
      <c r="BZ2382" s="111">
        <f t="shared" si="1769"/>
        <v>0</v>
      </c>
      <c r="CA2382" s="138">
        <f t="shared" si="1770"/>
        <v>401</v>
      </c>
      <c r="CB2382" s="111" t="e">
        <f>IF(AF2382&gt;1/1/1900,((AF2382+1)-AE2382),"STILL OPEN")</f>
        <v>#VALUE!</v>
      </c>
      <c r="CC2382" s="129">
        <f>G2382-I2382+1</f>
        <v>401</v>
      </c>
      <c r="CD2382" s="129">
        <f>G2382-J2382</f>
        <v>0</v>
      </c>
      <c r="CG2382" s="129" t="str">
        <f t="shared" si="1771"/>
        <v>Y</v>
      </c>
      <c r="CI2382" s="129" t="str">
        <f t="shared" si="1773"/>
        <v xml:space="preserve"> &gt;1YRS&lt;2YRS</v>
      </c>
      <c r="CJ2382" s="137">
        <f t="shared" si="1774"/>
        <v>0</v>
      </c>
      <c r="CK2382" s="129" t="str">
        <f t="shared" si="1775"/>
        <v>Booked</v>
      </c>
    </row>
    <row r="2383" spans="1:89" ht="15" customHeight="1" x14ac:dyDescent="0.25">
      <c r="A2383" s="111">
        <v>295</v>
      </c>
      <c r="B2383" s="128" t="str">
        <f t="shared" si="1763"/>
        <v>N</v>
      </c>
      <c r="C2383" s="128" t="str">
        <f t="shared" si="1764"/>
        <v>N</v>
      </c>
      <c r="D2383" s="117">
        <v>2541594</v>
      </c>
      <c r="E2383" s="135">
        <f t="shared" si="1765"/>
        <v>2</v>
      </c>
      <c r="F2383" s="124">
        <v>40920</v>
      </c>
      <c r="G2383" s="125">
        <v>40925</v>
      </c>
      <c r="H2383" s="117">
        <v>2541594</v>
      </c>
      <c r="I2383" s="124">
        <v>40921</v>
      </c>
      <c r="J2383" s="124">
        <v>40925</v>
      </c>
      <c r="K2383" s="126">
        <v>5000</v>
      </c>
      <c r="L2383" s="127" t="s">
        <v>569</v>
      </c>
      <c r="N2383" s="129" t="str">
        <f>IF(M2383&gt;1/1/1,"Y","N")</f>
        <v>N</v>
      </c>
      <c r="O2383" s="128" t="s">
        <v>917</v>
      </c>
      <c r="P2383" s="129" t="s">
        <v>589</v>
      </c>
      <c r="Q2383" s="111">
        <f t="shared" si="1776"/>
        <v>5</v>
      </c>
      <c r="R2383" s="111">
        <f t="shared" si="1737"/>
        <v>6</v>
      </c>
      <c r="S2383" s="129">
        <v>0</v>
      </c>
      <c r="T2383" s="129">
        <v>0</v>
      </c>
      <c r="W2383" s="111"/>
      <c r="AC2383" s="130"/>
      <c r="AD2383" s="130">
        <v>29158</v>
      </c>
      <c r="AE2383" s="128" t="s">
        <v>32</v>
      </c>
      <c r="AF2383" s="128" t="s">
        <v>33</v>
      </c>
      <c r="AG2383" s="128" t="s">
        <v>872</v>
      </c>
      <c r="AH2383" s="108" t="s">
        <v>31</v>
      </c>
      <c r="AI2383" s="128" t="s">
        <v>118</v>
      </c>
      <c r="AJ2383" s="129" t="s">
        <v>48</v>
      </c>
      <c r="AK2383" s="129">
        <v>1</v>
      </c>
      <c r="AL2383" s="3" t="s">
        <v>48</v>
      </c>
      <c r="AP2383" s="129" t="s">
        <v>43</v>
      </c>
      <c r="AR2383" s="128" t="s">
        <v>44</v>
      </c>
      <c r="AS2383" s="129" t="s">
        <v>45</v>
      </c>
      <c r="AU2383" s="132"/>
      <c r="AV2383" s="132"/>
      <c r="BC2383" s="129" t="s">
        <v>38</v>
      </c>
      <c r="BF2383" s="111">
        <f>IF(J2383&gt;1/1/1900,((J2383+1)-I2383),"STILL OPEN")</f>
        <v>5</v>
      </c>
      <c r="BG2383" s="111">
        <f>IF(G2383&gt;1/1/1900,((G2383+1)-I2383),"STILL OPEN")</f>
        <v>5</v>
      </c>
      <c r="BH2383" s="111">
        <f t="shared" si="1753"/>
        <v>6</v>
      </c>
      <c r="BI2383" s="111">
        <f t="shared" si="1754"/>
        <v>32.136612021857921</v>
      </c>
      <c r="BJ2383" s="129">
        <f t="shared" si="1772"/>
        <v>0</v>
      </c>
      <c r="BK2383" s="129">
        <f t="shared" si="1755"/>
        <v>0</v>
      </c>
      <c r="BL2383" s="129" t="str">
        <f t="shared" si="1748"/>
        <v>DEFERRED</v>
      </c>
      <c r="BM2383" s="129" t="str">
        <f t="shared" si="1756"/>
        <v>NONE</v>
      </c>
      <c r="BN2383" s="129" t="s">
        <v>566</v>
      </c>
      <c r="BP2383" s="137" t="str">
        <f t="shared" si="1757"/>
        <v>DEFERRED</v>
      </c>
      <c r="BQ2383" s="128" t="str">
        <f t="shared" si="1766"/>
        <v>Y</v>
      </c>
      <c r="BR2383" s="129" t="str">
        <f t="shared" si="1758"/>
        <v>DETAINED</v>
      </c>
      <c r="BS2383" s="129" t="str">
        <f t="shared" si="1759"/>
        <v>DISPOSED</v>
      </c>
      <c r="BT2383" s="129" t="str">
        <f t="shared" si="1760"/>
        <v>N</v>
      </c>
      <c r="BU2383" s="109">
        <f t="shared" si="1761"/>
        <v>0.83333333333333337</v>
      </c>
      <c r="BV2383" s="109">
        <f t="shared" si="1767"/>
        <v>1</v>
      </c>
      <c r="BW2383" s="109">
        <f t="shared" si="1779"/>
        <v>0.16666666666666663</v>
      </c>
      <c r="BX2383" s="111">
        <f t="shared" si="1762"/>
        <v>0</v>
      </c>
      <c r="BY2383" s="129">
        <f t="shared" si="1768"/>
        <v>-5</v>
      </c>
      <c r="BZ2383" s="111">
        <f t="shared" si="1769"/>
        <v>0</v>
      </c>
      <c r="CA2383" s="138">
        <f t="shared" si="1770"/>
        <v>5</v>
      </c>
      <c r="CB2383" s="111" t="e">
        <f>IF(AF2383&gt;1/1/1900,((AF2383+1)-AE2383),"STILL OPEN")</f>
        <v>#VALUE!</v>
      </c>
      <c r="CC2383" s="129">
        <f>G2383-I2383+1</f>
        <v>5</v>
      </c>
      <c r="CD2383" s="129">
        <f>G2383-J2383</f>
        <v>0</v>
      </c>
      <c r="CG2383" s="129" t="str">
        <f t="shared" si="1771"/>
        <v>N</v>
      </c>
      <c r="CI2383" s="129" t="str">
        <f t="shared" si="1773"/>
        <v>0-10 DAYS</v>
      </c>
      <c r="CJ2383" s="137">
        <f t="shared" si="1774"/>
        <v>1</v>
      </c>
      <c r="CK2383" s="129" t="str">
        <f t="shared" si="1775"/>
        <v>Booked</v>
      </c>
    </row>
    <row r="2384" spans="1:89" ht="15.75" customHeight="1" x14ac:dyDescent="0.25">
      <c r="A2384" s="111">
        <v>573</v>
      </c>
      <c r="B2384" s="128" t="str">
        <f t="shared" si="1763"/>
        <v>N</v>
      </c>
      <c r="C2384" s="128" t="str">
        <f t="shared" si="1764"/>
        <v>N</v>
      </c>
      <c r="D2384" s="117">
        <v>2541729</v>
      </c>
      <c r="E2384" s="135">
        <f t="shared" si="1765"/>
        <v>2</v>
      </c>
      <c r="F2384" s="124">
        <v>40931</v>
      </c>
      <c r="G2384" s="125">
        <v>40932</v>
      </c>
      <c r="H2384" s="117">
        <v>2541729</v>
      </c>
      <c r="I2384" s="124" t="s">
        <v>562</v>
      </c>
      <c r="J2384" s="124" t="s">
        <v>562</v>
      </c>
      <c r="K2384" s="126">
        <v>5000</v>
      </c>
      <c r="L2384" s="127" t="s">
        <v>569</v>
      </c>
      <c r="N2384" s="124" t="s">
        <v>1343</v>
      </c>
      <c r="O2384" s="128" t="s">
        <v>917</v>
      </c>
      <c r="P2384" s="129" t="s">
        <v>589</v>
      </c>
      <c r="Q2384" s="111">
        <f t="shared" si="1776"/>
        <v>0</v>
      </c>
      <c r="R2384" s="111">
        <f t="shared" si="1737"/>
        <v>2</v>
      </c>
      <c r="S2384" s="129">
        <v>0</v>
      </c>
      <c r="T2384" s="129">
        <v>0</v>
      </c>
      <c r="W2384" s="111"/>
      <c r="AC2384" s="130"/>
      <c r="AD2384" s="130">
        <v>26117</v>
      </c>
      <c r="AE2384" s="128" t="s">
        <v>32</v>
      </c>
      <c r="AF2384" s="128" t="s">
        <v>69</v>
      </c>
      <c r="AG2384" s="128" t="s">
        <v>874</v>
      </c>
      <c r="AH2384" s="108" t="s">
        <v>31</v>
      </c>
      <c r="AI2384" s="128" t="s">
        <v>113</v>
      </c>
      <c r="AJ2384" s="129" t="s">
        <v>48</v>
      </c>
      <c r="AK2384" s="129">
        <v>1</v>
      </c>
      <c r="AL2384" s="3" t="s">
        <v>48</v>
      </c>
      <c r="AP2384" s="129" t="s">
        <v>224</v>
      </c>
      <c r="AR2384" s="128" t="s">
        <v>67</v>
      </c>
      <c r="AS2384" s="129" t="s">
        <v>64</v>
      </c>
      <c r="BC2384" s="129" t="s">
        <v>52</v>
      </c>
      <c r="BF2384" s="111">
        <v>0</v>
      </c>
      <c r="BG2384" s="111">
        <v>0</v>
      </c>
      <c r="BH2384" s="111">
        <f t="shared" si="1753"/>
        <v>2</v>
      </c>
      <c r="BI2384" s="111">
        <f t="shared" si="1754"/>
        <v>40.475409836065573</v>
      </c>
      <c r="BJ2384" s="129" t="e">
        <f>(G2384-J2384)+(M2384-G2384)</f>
        <v>#VALUE!</v>
      </c>
      <c r="BK2384" s="129" t="e">
        <f t="shared" si="1755"/>
        <v>#VALUE!</v>
      </c>
      <c r="BL2384" s="129" t="str">
        <f t="shared" si="1748"/>
        <v>DEFERRED</v>
      </c>
      <c r="BM2384" s="129" t="str">
        <f t="shared" si="1756"/>
        <v>NONE</v>
      </c>
      <c r="BN2384" s="129" t="s">
        <v>566</v>
      </c>
      <c r="BP2384" s="137" t="str">
        <f t="shared" si="1757"/>
        <v>DEFERRED</v>
      </c>
      <c r="BQ2384" s="128">
        <f t="shared" si="1766"/>
        <v>0</v>
      </c>
      <c r="BR2384" s="129" t="s">
        <v>1344</v>
      </c>
      <c r="BS2384" s="129" t="str">
        <f t="shared" si="1759"/>
        <v>DISPOSED</v>
      </c>
      <c r="BT2384" s="129" t="str">
        <f t="shared" si="1760"/>
        <v>N</v>
      </c>
      <c r="BU2384" s="109">
        <f t="shared" si="1761"/>
        <v>0</v>
      </c>
      <c r="BV2384" s="109">
        <v>0</v>
      </c>
      <c r="BW2384" s="109">
        <f t="shared" si="1779"/>
        <v>0</v>
      </c>
      <c r="BX2384" s="111">
        <f t="shared" si="1762"/>
        <v>0</v>
      </c>
      <c r="BY2384" s="129" t="e">
        <f t="shared" si="1768"/>
        <v>#VALUE!</v>
      </c>
      <c r="BZ2384" s="111" t="e">
        <f t="shared" si="1769"/>
        <v>#VALUE!</v>
      </c>
      <c r="CA2384" s="138" t="e">
        <f t="shared" si="1770"/>
        <v>#VALUE!</v>
      </c>
      <c r="CB2384" s="111">
        <v>0</v>
      </c>
      <c r="CC2384" s="129">
        <v>0</v>
      </c>
      <c r="CG2384" s="129" t="str">
        <f t="shared" si="1771"/>
        <v>N</v>
      </c>
      <c r="CI2384" s="129" t="str">
        <f t="shared" si="1773"/>
        <v>0-10 DAYS</v>
      </c>
      <c r="CJ2384" s="137">
        <f t="shared" si="1774"/>
        <v>1</v>
      </c>
      <c r="CK2384" s="129" t="str">
        <f t="shared" si="1775"/>
        <v>Not Booked</v>
      </c>
    </row>
    <row r="2385" spans="1:89" ht="15.75" customHeight="1" x14ac:dyDescent="0.25">
      <c r="A2385" s="111">
        <v>2360</v>
      </c>
      <c r="B2385" s="128" t="str">
        <f t="shared" si="1763"/>
        <v>N</v>
      </c>
      <c r="C2385" s="128" t="str">
        <f t="shared" si="1764"/>
        <v>N</v>
      </c>
      <c r="D2385" s="117">
        <v>2541803</v>
      </c>
      <c r="E2385" s="135">
        <f t="shared" si="1765"/>
        <v>2</v>
      </c>
      <c r="F2385" s="124">
        <v>40998</v>
      </c>
      <c r="G2385" s="125">
        <v>41065</v>
      </c>
      <c r="H2385" s="117">
        <v>2541803</v>
      </c>
      <c r="I2385" s="124">
        <v>40998</v>
      </c>
      <c r="J2385" s="124">
        <v>41005</v>
      </c>
      <c r="K2385" s="126">
        <v>30000</v>
      </c>
      <c r="L2385" s="129" t="s">
        <v>572</v>
      </c>
      <c r="M2385" s="125">
        <v>41005</v>
      </c>
      <c r="N2385" s="129" t="str">
        <f>IF(M2385&gt;1/1/1,"Y","N")</f>
        <v>Y</v>
      </c>
      <c r="O2385" s="128" t="s">
        <v>76</v>
      </c>
      <c r="P2385" s="129" t="s">
        <v>589</v>
      </c>
      <c r="Q2385" s="111">
        <f t="shared" si="1776"/>
        <v>8</v>
      </c>
      <c r="R2385" s="111">
        <f t="shared" ref="R2385:R2448" si="1780">BH2385</f>
        <v>68</v>
      </c>
      <c r="S2385" s="129">
        <v>0</v>
      </c>
      <c r="T2385" s="129">
        <v>1</v>
      </c>
      <c r="W2385" s="111"/>
      <c r="AC2385" s="130"/>
      <c r="AD2385" s="130">
        <v>33961</v>
      </c>
      <c r="AE2385" s="128" t="s">
        <v>32</v>
      </c>
      <c r="AF2385" s="128" t="s">
        <v>33</v>
      </c>
      <c r="AG2385" s="128" t="s">
        <v>872</v>
      </c>
      <c r="AH2385" s="108" t="s">
        <v>31</v>
      </c>
      <c r="AI2385" s="128" t="s">
        <v>114</v>
      </c>
      <c r="AJ2385" s="129" t="s">
        <v>48</v>
      </c>
      <c r="AK2385" s="129">
        <v>5</v>
      </c>
      <c r="AL2385" s="3" t="s">
        <v>48</v>
      </c>
      <c r="AP2385" s="129" t="s">
        <v>105</v>
      </c>
      <c r="AR2385" s="128" t="s">
        <v>92</v>
      </c>
      <c r="AS2385" s="129" t="s">
        <v>106</v>
      </c>
      <c r="BC2385" s="129" t="s">
        <v>52</v>
      </c>
      <c r="BF2385" s="111">
        <f>IF(J2385&gt;1/1/1900,((J2385+1)-I2385),"STILL OPEN")</f>
        <v>8</v>
      </c>
      <c r="BG2385" s="111">
        <f>IF(G2385&gt;1/1/1900,((G2385+1)-I2385),"STILL OPEN")</f>
        <v>68</v>
      </c>
      <c r="BH2385" s="111">
        <f t="shared" si="1753"/>
        <v>68</v>
      </c>
      <c r="BI2385" s="111">
        <f t="shared" si="1754"/>
        <v>19.226775956284154</v>
      </c>
      <c r="BJ2385" s="129">
        <f>(G2385-J2385)+(M2385-G2385)</f>
        <v>0</v>
      </c>
      <c r="BK2385" s="129">
        <f t="shared" si="1755"/>
        <v>-60</v>
      </c>
      <c r="BL2385" s="129" t="str">
        <f t="shared" si="1748"/>
        <v>DEFERRED</v>
      </c>
      <c r="BM2385" s="129" t="s">
        <v>76</v>
      </c>
      <c r="BN2385" s="129" t="s">
        <v>88</v>
      </c>
      <c r="BP2385" s="137" t="str">
        <f t="shared" si="1757"/>
        <v>DEFERRED</v>
      </c>
      <c r="BQ2385" s="128" t="str">
        <f t="shared" si="1766"/>
        <v>Y</v>
      </c>
      <c r="BR2385" s="129" t="str">
        <f t="shared" si="1758"/>
        <v>ON BOND</v>
      </c>
      <c r="BS2385" s="129" t="str">
        <f t="shared" si="1759"/>
        <v>DISPOSED</v>
      </c>
      <c r="BT2385" s="129" t="str">
        <f t="shared" si="1760"/>
        <v>N</v>
      </c>
      <c r="BU2385" s="109">
        <f t="shared" si="1761"/>
        <v>0.11764705882352941</v>
      </c>
      <c r="BV2385" s="109">
        <f t="shared" si="1767"/>
        <v>0.11764705882352941</v>
      </c>
      <c r="BW2385" s="109">
        <f t="shared" si="1779"/>
        <v>0</v>
      </c>
      <c r="BX2385" s="111">
        <f t="shared" si="1762"/>
        <v>0</v>
      </c>
      <c r="BY2385" s="129">
        <f t="shared" si="1768"/>
        <v>-8</v>
      </c>
      <c r="BZ2385" s="111">
        <f t="shared" si="1769"/>
        <v>0</v>
      </c>
      <c r="CA2385" s="138">
        <f t="shared" si="1770"/>
        <v>8</v>
      </c>
      <c r="CB2385" s="111" t="e">
        <f>IF(AF2385&gt;1/1/1900,((AF2385+1)-AE2385),"STILL OPEN")</f>
        <v>#VALUE!</v>
      </c>
      <c r="CC2385" s="129">
        <f>M2385-I2385+1</f>
        <v>8</v>
      </c>
      <c r="CD2385" s="111">
        <f>CC2385-BF2385</f>
        <v>0</v>
      </c>
      <c r="CG2385" s="129" t="str">
        <f t="shared" si="1771"/>
        <v>Y</v>
      </c>
      <c r="CI2385" s="129" t="str">
        <f t="shared" si="1773"/>
        <v>0-10 DAYS</v>
      </c>
      <c r="CJ2385" s="137">
        <f t="shared" si="1774"/>
        <v>1</v>
      </c>
      <c r="CK2385" s="129" t="str">
        <f t="shared" si="1775"/>
        <v>Booked</v>
      </c>
    </row>
    <row r="2386" spans="1:89" ht="15" customHeight="1" x14ac:dyDescent="0.25">
      <c r="A2386" s="111">
        <v>1705</v>
      </c>
      <c r="B2386" s="128" t="str">
        <f t="shared" si="1763"/>
        <v>N</v>
      </c>
      <c r="C2386" s="128" t="str">
        <f t="shared" si="1764"/>
        <v>N</v>
      </c>
      <c r="D2386" s="117">
        <v>2541993</v>
      </c>
      <c r="E2386" s="135">
        <f t="shared" si="1765"/>
        <v>6</v>
      </c>
      <c r="F2386" s="124">
        <v>40972</v>
      </c>
      <c r="G2386" s="125">
        <v>41016</v>
      </c>
      <c r="H2386" s="117">
        <v>2541993</v>
      </c>
      <c r="I2386" s="124">
        <v>40972</v>
      </c>
      <c r="J2386" s="124">
        <v>41016</v>
      </c>
      <c r="K2386" s="126">
        <v>10000</v>
      </c>
      <c r="L2386" s="127" t="s">
        <v>570</v>
      </c>
      <c r="N2386" s="129" t="str">
        <f>IF(M2386&gt;1/1/1,"Y","N")</f>
        <v>N</v>
      </c>
      <c r="O2386" s="128" t="s">
        <v>917</v>
      </c>
      <c r="P2386" s="129" t="s">
        <v>39</v>
      </c>
      <c r="Q2386" s="111">
        <f t="shared" si="1776"/>
        <v>45</v>
      </c>
      <c r="R2386" s="111">
        <f t="shared" si="1780"/>
        <v>45</v>
      </c>
      <c r="S2386" s="129">
        <v>2</v>
      </c>
      <c r="T2386" s="129">
        <v>0</v>
      </c>
      <c r="U2386" s="129">
        <v>1</v>
      </c>
      <c r="W2386" s="111"/>
      <c r="AC2386" s="130"/>
      <c r="AD2386" s="130">
        <v>28317</v>
      </c>
      <c r="AE2386" s="128" t="s">
        <v>32</v>
      </c>
      <c r="AF2386" s="128" t="s">
        <v>69</v>
      </c>
      <c r="AG2386" s="128" t="s">
        <v>874</v>
      </c>
      <c r="AH2386" s="108" t="s">
        <v>31</v>
      </c>
      <c r="AI2386" s="128" t="s">
        <v>114</v>
      </c>
      <c r="AJ2386" s="129" t="s">
        <v>89</v>
      </c>
      <c r="AK2386" s="129">
        <v>4</v>
      </c>
      <c r="AL2386" s="3" t="s">
        <v>362</v>
      </c>
      <c r="AM2386" s="117">
        <v>10</v>
      </c>
      <c r="AP2386" s="129" t="s">
        <v>101</v>
      </c>
      <c r="AR2386" s="128" t="s">
        <v>67</v>
      </c>
      <c r="AS2386" s="129" t="s">
        <v>64</v>
      </c>
      <c r="BC2386" s="129" t="s">
        <v>38</v>
      </c>
      <c r="BF2386" s="111">
        <f>IF(J2386&gt;1/1/1900,((J2386+1)-I2386),"STILL OPEN")</f>
        <v>45</v>
      </c>
      <c r="BG2386" s="111">
        <f>IF(G2386&gt;1/1/1900,((G2386+1)-I2386),"STILL OPEN")</f>
        <v>45</v>
      </c>
      <c r="BH2386" s="111">
        <f t="shared" si="1753"/>
        <v>45</v>
      </c>
      <c r="BI2386" s="111">
        <f t="shared" si="1754"/>
        <v>34.576502732240435</v>
      </c>
      <c r="BJ2386" s="129">
        <f t="shared" si="1772"/>
        <v>0</v>
      </c>
      <c r="BK2386" s="129">
        <f t="shared" si="1755"/>
        <v>0</v>
      </c>
      <c r="BL2386" s="129" t="str">
        <f t="shared" si="1748"/>
        <v>CONVICTION</v>
      </c>
      <c r="BM2386" s="129" t="str">
        <f t="shared" si="1756"/>
        <v>NONE</v>
      </c>
      <c r="BN2386" s="129" t="s">
        <v>566</v>
      </c>
      <c r="BP2386" s="137" t="str">
        <f t="shared" si="1757"/>
        <v>CONVICTION</v>
      </c>
      <c r="BQ2386" s="128" t="str">
        <f t="shared" si="1766"/>
        <v>Y</v>
      </c>
      <c r="BR2386" s="129" t="str">
        <f t="shared" si="1758"/>
        <v>DETAINED</v>
      </c>
      <c r="BS2386" s="129" t="str">
        <f t="shared" si="1759"/>
        <v>DISPOSED</v>
      </c>
      <c r="BT2386" s="129" t="str">
        <f t="shared" si="1760"/>
        <v>Y</v>
      </c>
      <c r="BU2386" s="109">
        <f t="shared" si="1761"/>
        <v>1</v>
      </c>
      <c r="BV2386" s="109">
        <f t="shared" si="1767"/>
        <v>1</v>
      </c>
      <c r="BW2386" s="109">
        <f t="shared" si="1779"/>
        <v>0</v>
      </c>
      <c r="BX2386" s="111">
        <f t="shared" si="1762"/>
        <v>0</v>
      </c>
      <c r="BY2386" s="129">
        <f t="shared" si="1768"/>
        <v>-45</v>
      </c>
      <c r="BZ2386" s="111">
        <f t="shared" si="1769"/>
        <v>0</v>
      </c>
      <c r="CA2386" s="138">
        <f t="shared" si="1770"/>
        <v>45</v>
      </c>
      <c r="CB2386" s="111" t="e">
        <f>IF(AF2386&gt;1/1/1900,((AF2386+1)-AE2386),"STILL OPEN")</f>
        <v>#VALUE!</v>
      </c>
      <c r="CC2386" s="129">
        <f>G2386-I2386+1</f>
        <v>45</v>
      </c>
      <c r="CD2386" s="129">
        <f>G2386-J2386</f>
        <v>0</v>
      </c>
      <c r="CG2386" s="129" t="str">
        <f t="shared" si="1771"/>
        <v>Y</v>
      </c>
      <c r="CI2386" s="129" t="str">
        <f t="shared" si="1773"/>
        <v>31-60 DAYS</v>
      </c>
      <c r="CJ2386" s="137">
        <f t="shared" si="1774"/>
        <v>3</v>
      </c>
      <c r="CK2386" s="129" t="str">
        <f t="shared" si="1775"/>
        <v>Booked</v>
      </c>
    </row>
    <row r="2387" spans="1:89" ht="15.75" customHeight="1" x14ac:dyDescent="0.25">
      <c r="A2387" s="111">
        <v>1837</v>
      </c>
      <c r="B2387" s="128" t="str">
        <f t="shared" si="1763"/>
        <v>N</v>
      </c>
      <c r="C2387" s="128" t="str">
        <f t="shared" si="1764"/>
        <v>N</v>
      </c>
      <c r="D2387" s="117">
        <v>2542071</v>
      </c>
      <c r="E2387" s="135">
        <f t="shared" si="1765"/>
        <v>2</v>
      </c>
      <c r="F2387" s="124">
        <v>40977</v>
      </c>
      <c r="G2387" s="125">
        <v>41047</v>
      </c>
      <c r="H2387" s="117">
        <v>2542071</v>
      </c>
      <c r="I2387" s="124">
        <v>40982</v>
      </c>
      <c r="J2387" s="124">
        <v>41047</v>
      </c>
      <c r="K2387" s="126">
        <v>10000</v>
      </c>
      <c r="L2387" s="127" t="s">
        <v>570</v>
      </c>
      <c r="N2387" s="129" t="str">
        <f>IF(M2387&gt;1/1/1,"Y","N")</f>
        <v>N</v>
      </c>
      <c r="O2387" s="128" t="s">
        <v>917</v>
      </c>
      <c r="P2387" s="129" t="s">
        <v>589</v>
      </c>
      <c r="Q2387" s="111">
        <f t="shared" si="1776"/>
        <v>66</v>
      </c>
      <c r="R2387" s="111">
        <f t="shared" si="1780"/>
        <v>71</v>
      </c>
      <c r="S2387" s="129">
        <v>0</v>
      </c>
      <c r="T2387" s="129">
        <v>1</v>
      </c>
      <c r="W2387" s="111"/>
      <c r="AC2387" s="130"/>
      <c r="AD2387" s="130">
        <v>33293</v>
      </c>
      <c r="AE2387" s="128" t="s">
        <v>32</v>
      </c>
      <c r="AF2387" s="128" t="s">
        <v>69</v>
      </c>
      <c r="AG2387" s="128" t="s">
        <v>874</v>
      </c>
      <c r="AH2387" s="108" t="s">
        <v>31</v>
      </c>
      <c r="AI2387" s="128" t="s">
        <v>53</v>
      </c>
      <c r="AJ2387" s="129" t="s">
        <v>48</v>
      </c>
      <c r="AK2387" s="129">
        <v>6</v>
      </c>
      <c r="AL2387" s="3" t="s">
        <v>48</v>
      </c>
      <c r="AP2387" s="129" t="s">
        <v>331</v>
      </c>
      <c r="AR2387" s="128" t="s">
        <v>50</v>
      </c>
      <c r="AS2387" s="129" t="s">
        <v>331</v>
      </c>
      <c r="BC2387" s="129" t="s">
        <v>99</v>
      </c>
      <c r="BF2387" s="111">
        <f>IF(J2387&gt;1/1/1900,((J2387+1)-I2387),"STILL OPEN")</f>
        <v>66</v>
      </c>
      <c r="BG2387" s="111">
        <f>IF(G2387&gt;1/1/1900,((G2387+1)-I2387),"STILL OPEN")</f>
        <v>66</v>
      </c>
      <c r="BH2387" s="111">
        <f t="shared" si="1753"/>
        <v>71</v>
      </c>
      <c r="BI2387" s="111">
        <f t="shared" si="1754"/>
        <v>20.994535519125684</v>
      </c>
      <c r="BJ2387" s="129">
        <f t="shared" si="1772"/>
        <v>0</v>
      </c>
      <c r="BK2387" s="129">
        <f t="shared" si="1755"/>
        <v>0</v>
      </c>
      <c r="BL2387" s="129" t="str">
        <f t="shared" si="1748"/>
        <v>DEFERRED</v>
      </c>
      <c r="BM2387" s="129" t="str">
        <f t="shared" si="1756"/>
        <v>NONE</v>
      </c>
      <c r="BN2387" s="129" t="s">
        <v>566</v>
      </c>
      <c r="BP2387" s="137" t="str">
        <f t="shared" si="1757"/>
        <v>DEFERRED</v>
      </c>
      <c r="BQ2387" s="128" t="str">
        <f t="shared" si="1766"/>
        <v>Y</v>
      </c>
      <c r="BR2387" s="129" t="str">
        <f t="shared" si="1758"/>
        <v>DETAINED</v>
      </c>
      <c r="BS2387" s="129" t="str">
        <f t="shared" si="1759"/>
        <v>DISPOSED</v>
      </c>
      <c r="BT2387" s="129" t="str">
        <f t="shared" si="1760"/>
        <v>N</v>
      </c>
      <c r="BU2387" s="109">
        <f t="shared" si="1761"/>
        <v>0.92957746478873238</v>
      </c>
      <c r="BV2387" s="109">
        <f t="shared" si="1767"/>
        <v>1</v>
      </c>
      <c r="BW2387" s="109">
        <f t="shared" si="1779"/>
        <v>7.0422535211267623E-2</v>
      </c>
      <c r="BX2387" s="111">
        <f t="shared" si="1762"/>
        <v>0</v>
      </c>
      <c r="BY2387" s="129">
        <f t="shared" si="1768"/>
        <v>-66</v>
      </c>
      <c r="BZ2387" s="111">
        <f t="shared" si="1769"/>
        <v>0</v>
      </c>
      <c r="CA2387" s="138">
        <f t="shared" si="1770"/>
        <v>66</v>
      </c>
      <c r="CB2387" s="111" t="e">
        <f>IF(AF2387&gt;1/1/1900,((AF2387+1)-AE2387),"STILL OPEN")</f>
        <v>#VALUE!</v>
      </c>
      <c r="CC2387" s="129">
        <f>G2387-I2387+1</f>
        <v>66</v>
      </c>
      <c r="CD2387" s="129">
        <f>G2387-J2387</f>
        <v>0</v>
      </c>
      <c r="CG2387" s="129" t="str">
        <f t="shared" si="1771"/>
        <v>Y</v>
      </c>
      <c r="CI2387" s="129" t="str">
        <f t="shared" si="1773"/>
        <v>61-90 DAYS</v>
      </c>
      <c r="CJ2387" s="137">
        <f t="shared" si="1774"/>
        <v>4</v>
      </c>
      <c r="CK2387" s="129" t="str">
        <f t="shared" si="1775"/>
        <v>Booked</v>
      </c>
    </row>
    <row r="2388" spans="1:89" ht="15.75" customHeight="1" x14ac:dyDescent="0.25">
      <c r="A2388" s="111">
        <v>54</v>
      </c>
      <c r="B2388" s="128" t="str">
        <f t="shared" si="1763"/>
        <v>N</v>
      </c>
      <c r="C2388" s="128" t="str">
        <f t="shared" si="1764"/>
        <v>Y</v>
      </c>
      <c r="D2388" s="117">
        <v>2542383</v>
      </c>
      <c r="E2388" s="135">
        <f t="shared" si="1765"/>
        <v>5</v>
      </c>
      <c r="F2388" s="124">
        <v>40911</v>
      </c>
      <c r="G2388" s="125">
        <v>41019</v>
      </c>
      <c r="H2388" s="117">
        <v>2542383</v>
      </c>
      <c r="I2388" s="124">
        <v>40912</v>
      </c>
      <c r="J2388" s="124">
        <v>40913</v>
      </c>
      <c r="K2388" s="126">
        <v>2000</v>
      </c>
      <c r="L2388" s="127" t="s">
        <v>568</v>
      </c>
      <c r="M2388" s="125">
        <v>40913</v>
      </c>
      <c r="N2388" s="129" t="str">
        <f>IF(M2388&gt;1/1/1,"Y","N")</f>
        <v>Y</v>
      </c>
      <c r="O2388" s="128" t="s">
        <v>76</v>
      </c>
      <c r="P2388" s="129" t="s">
        <v>39</v>
      </c>
      <c r="Q2388" s="111">
        <v>44</v>
      </c>
      <c r="R2388" s="111">
        <f t="shared" si="1780"/>
        <v>109</v>
      </c>
      <c r="S2388" s="129">
        <v>0</v>
      </c>
      <c r="T2388" s="129">
        <v>1</v>
      </c>
      <c r="W2388" s="111"/>
      <c r="AB2388" s="131" t="s">
        <v>112</v>
      </c>
      <c r="AC2388" s="130"/>
      <c r="AD2388" s="130">
        <v>34291</v>
      </c>
      <c r="AE2388" s="128" t="s">
        <v>32</v>
      </c>
      <c r="AF2388" s="128" t="s">
        <v>40</v>
      </c>
      <c r="AG2388" s="128" t="s">
        <v>41</v>
      </c>
      <c r="AH2388" s="108" t="s">
        <v>58</v>
      </c>
      <c r="AI2388" s="128" t="s">
        <v>72</v>
      </c>
      <c r="AJ2388" s="129" t="s">
        <v>89</v>
      </c>
      <c r="AK2388" s="129">
        <v>6</v>
      </c>
      <c r="AL2388" s="3" t="s">
        <v>992</v>
      </c>
      <c r="AN2388" s="117">
        <v>6</v>
      </c>
      <c r="AP2388" s="129" t="s">
        <v>107</v>
      </c>
      <c r="AR2388" s="128" t="s">
        <v>44</v>
      </c>
      <c r="AS2388" s="129" t="s">
        <v>57</v>
      </c>
      <c r="AT2388" s="129" t="s">
        <v>1090</v>
      </c>
      <c r="AV2388" s="3" t="s">
        <v>88</v>
      </c>
      <c r="AW2388" s="123" t="s">
        <v>676</v>
      </c>
      <c r="AX2388" s="123"/>
      <c r="AZ2388" s="140"/>
      <c r="BA2388" s="125">
        <v>40998</v>
      </c>
      <c r="BB2388" s="129">
        <v>244</v>
      </c>
      <c r="BC2388" s="129" t="s">
        <v>38</v>
      </c>
      <c r="BF2388" s="111">
        <v>44</v>
      </c>
      <c r="BG2388" s="111">
        <f>IF(G2388&gt;1/1/1900,((G2388+1)-I2388),"STILL OPEN")</f>
        <v>108</v>
      </c>
      <c r="BH2388" s="111">
        <f t="shared" si="1753"/>
        <v>109</v>
      </c>
      <c r="BI2388" s="111">
        <f t="shared" si="1754"/>
        <v>18.087431693989071</v>
      </c>
      <c r="BJ2388" s="129">
        <f>(G2388-J2388)+(M2388-G2388)</f>
        <v>0</v>
      </c>
      <c r="BK2388" s="129">
        <f t="shared" si="1755"/>
        <v>-106</v>
      </c>
      <c r="BL2388" s="129" t="str">
        <f t="shared" si="1748"/>
        <v>CONVICTION</v>
      </c>
      <c r="BM2388" s="129" t="s">
        <v>76</v>
      </c>
      <c r="BN2388" s="129" t="s">
        <v>566</v>
      </c>
      <c r="BP2388" s="137" t="str">
        <f t="shared" si="1757"/>
        <v>CONVICTION</v>
      </c>
      <c r="BQ2388" s="128" t="str">
        <f t="shared" si="1766"/>
        <v>Y</v>
      </c>
      <c r="BR2388" s="129" t="s">
        <v>574</v>
      </c>
      <c r="BS2388" s="129" t="str">
        <f t="shared" si="1759"/>
        <v>DISPOSED</v>
      </c>
      <c r="BT2388" s="129" t="str">
        <f t="shared" si="1760"/>
        <v>N</v>
      </c>
      <c r="BU2388" s="109">
        <f t="shared" si="1761"/>
        <v>0.40366972477064222</v>
      </c>
      <c r="BV2388" s="109">
        <f t="shared" si="1767"/>
        <v>1.8518518518518517E-2</v>
      </c>
      <c r="BW2388" s="109">
        <f t="shared" si="1779"/>
        <v>-0.38515120625212373</v>
      </c>
      <c r="BX2388" s="111">
        <f t="shared" si="1762"/>
        <v>0</v>
      </c>
      <c r="BY2388" s="129">
        <f t="shared" si="1768"/>
        <v>-2</v>
      </c>
      <c r="BZ2388" s="111">
        <f t="shared" si="1769"/>
        <v>42</v>
      </c>
      <c r="CA2388" s="138">
        <f t="shared" si="1770"/>
        <v>108</v>
      </c>
      <c r="CB2388" s="111">
        <v>44</v>
      </c>
      <c r="CC2388" s="129">
        <f>G2388-I2388+1</f>
        <v>108</v>
      </c>
      <c r="CD2388" s="129">
        <f>G2388-J2388</f>
        <v>106</v>
      </c>
      <c r="CG2388" s="129" t="str">
        <f t="shared" si="1771"/>
        <v>Y</v>
      </c>
      <c r="CI2388" s="129" t="str">
        <f t="shared" si="1773"/>
        <v>31-60 DAYS</v>
      </c>
      <c r="CJ2388" s="137">
        <f t="shared" si="1774"/>
        <v>3</v>
      </c>
      <c r="CK2388" s="129" t="str">
        <f t="shared" si="1775"/>
        <v>Booked</v>
      </c>
    </row>
    <row r="2389" spans="1:89" ht="15.75" customHeight="1" x14ac:dyDescent="0.25">
      <c r="A2389" s="111">
        <v>652</v>
      </c>
      <c r="B2389" s="128" t="str">
        <f t="shared" si="1763"/>
        <v>N</v>
      </c>
      <c r="C2389" s="128" t="str">
        <f t="shared" si="1764"/>
        <v>N</v>
      </c>
      <c r="D2389" s="117">
        <v>2542418</v>
      </c>
      <c r="E2389" s="135">
        <f t="shared" si="1765"/>
        <v>5</v>
      </c>
      <c r="F2389" s="124">
        <v>40934</v>
      </c>
      <c r="G2389" s="125">
        <v>40996</v>
      </c>
      <c r="H2389" s="117">
        <v>2542418</v>
      </c>
      <c r="I2389" s="124">
        <v>40935</v>
      </c>
      <c r="J2389" s="124">
        <v>40996</v>
      </c>
      <c r="K2389" s="126">
        <v>5000</v>
      </c>
      <c r="L2389" s="127" t="s">
        <v>569</v>
      </c>
      <c r="N2389" s="129" t="str">
        <f>IF(M2389&gt;1/1/1,"Y","N")</f>
        <v>N</v>
      </c>
      <c r="O2389" s="128" t="s">
        <v>917</v>
      </c>
      <c r="P2389" s="129" t="s">
        <v>39</v>
      </c>
      <c r="Q2389" s="111">
        <f>BF2389</f>
        <v>62</v>
      </c>
      <c r="R2389" s="111">
        <f t="shared" si="1780"/>
        <v>63</v>
      </c>
      <c r="S2389" s="129">
        <v>1</v>
      </c>
      <c r="T2389" s="129">
        <v>2</v>
      </c>
      <c r="W2389" s="111"/>
      <c r="AC2389" s="130"/>
      <c r="AD2389" s="130">
        <v>26885</v>
      </c>
      <c r="AE2389" s="128" t="s">
        <v>46</v>
      </c>
      <c r="AF2389" s="128" t="s">
        <v>33</v>
      </c>
      <c r="AG2389" s="128" t="s">
        <v>872</v>
      </c>
      <c r="AH2389" s="108" t="s">
        <v>31</v>
      </c>
      <c r="AI2389" s="128" t="s">
        <v>71</v>
      </c>
      <c r="AJ2389" s="129" t="s">
        <v>89</v>
      </c>
      <c r="AK2389" s="129">
        <v>4</v>
      </c>
      <c r="AL2389" s="3" t="s">
        <v>992</v>
      </c>
      <c r="AN2389" s="117">
        <v>7</v>
      </c>
      <c r="AP2389" s="129" t="s">
        <v>127</v>
      </c>
      <c r="AR2389" s="128" t="s">
        <v>44</v>
      </c>
      <c r="AS2389" s="129" t="s">
        <v>82</v>
      </c>
      <c r="BC2389" s="129" t="s">
        <v>38</v>
      </c>
      <c r="BF2389" s="111">
        <f>IF(J2389&gt;1/1/1900,((J2389+1)-I2389),"STILL OPEN")</f>
        <v>62</v>
      </c>
      <c r="BG2389" s="111">
        <f>IF(G2389&gt;1/1/1900,((G2389+1)-I2389),"STILL OPEN")</f>
        <v>62</v>
      </c>
      <c r="BH2389" s="111">
        <f t="shared" si="1753"/>
        <v>63</v>
      </c>
      <c r="BI2389" s="111">
        <f t="shared" si="1754"/>
        <v>38.385245901639344</v>
      </c>
      <c r="BJ2389" s="129">
        <f t="shared" si="1772"/>
        <v>0</v>
      </c>
      <c r="BK2389" s="129">
        <f t="shared" si="1755"/>
        <v>0</v>
      </c>
      <c r="BL2389" s="129" t="str">
        <f t="shared" si="1748"/>
        <v>CONVICTION</v>
      </c>
      <c r="BM2389" s="129" t="str">
        <f t="shared" si="1756"/>
        <v>NONE</v>
      </c>
      <c r="BN2389" s="129" t="s">
        <v>566</v>
      </c>
      <c r="BP2389" s="137" t="str">
        <f t="shared" si="1757"/>
        <v>CONVICTION</v>
      </c>
      <c r="BQ2389" s="128" t="str">
        <f t="shared" si="1766"/>
        <v>Y</v>
      </c>
      <c r="BR2389" s="129" t="str">
        <f t="shared" si="1758"/>
        <v>DETAINED</v>
      </c>
      <c r="BS2389" s="129" t="str">
        <f t="shared" si="1759"/>
        <v>DISPOSED</v>
      </c>
      <c r="BT2389" s="129" t="str">
        <f t="shared" si="1760"/>
        <v>Y</v>
      </c>
      <c r="BU2389" s="109">
        <f t="shared" si="1761"/>
        <v>0.98412698412698407</v>
      </c>
      <c r="BV2389" s="109">
        <f t="shared" si="1767"/>
        <v>1</v>
      </c>
      <c r="BW2389" s="109">
        <f t="shared" si="1779"/>
        <v>1.5873015873015928E-2</v>
      </c>
      <c r="BX2389" s="111">
        <f t="shared" si="1762"/>
        <v>0</v>
      </c>
      <c r="BY2389" s="129">
        <f t="shared" si="1768"/>
        <v>-62</v>
      </c>
      <c r="BZ2389" s="111">
        <f t="shared" si="1769"/>
        <v>0</v>
      </c>
      <c r="CA2389" s="138">
        <f t="shared" si="1770"/>
        <v>62</v>
      </c>
      <c r="CB2389" s="111" t="e">
        <f>IF(AF2389&gt;1/1/1900,((AF2389+1)-AE2389),"STILL OPEN")</f>
        <v>#VALUE!</v>
      </c>
      <c r="CC2389" s="129">
        <f>G2389-I2389+1</f>
        <v>62</v>
      </c>
      <c r="CD2389" s="129">
        <f>G2389-J2389</f>
        <v>0</v>
      </c>
      <c r="CG2389" s="129" t="str">
        <f t="shared" si="1771"/>
        <v>Y</v>
      </c>
      <c r="CI2389" s="129" t="str">
        <f t="shared" si="1773"/>
        <v>61-90 DAYS</v>
      </c>
      <c r="CJ2389" s="137">
        <f t="shared" si="1774"/>
        <v>4</v>
      </c>
      <c r="CK2389" s="129" t="str">
        <f t="shared" si="1775"/>
        <v>Booked</v>
      </c>
    </row>
    <row r="2390" spans="1:89" ht="15.75" customHeight="1" x14ac:dyDescent="0.25">
      <c r="A2390" s="111">
        <v>2476</v>
      </c>
      <c r="B2390" s="128" t="str">
        <f t="shared" si="1763"/>
        <v>N</v>
      </c>
      <c r="C2390" s="128" t="str">
        <f t="shared" si="1764"/>
        <v>N</v>
      </c>
      <c r="D2390" s="117">
        <v>2542516</v>
      </c>
      <c r="E2390" s="135">
        <f t="shared" si="1765"/>
        <v>1</v>
      </c>
      <c r="F2390" s="124">
        <v>41002</v>
      </c>
      <c r="G2390" s="125">
        <v>41215</v>
      </c>
      <c r="H2390" s="117">
        <v>2542516</v>
      </c>
      <c r="I2390" s="124" t="s">
        <v>562</v>
      </c>
      <c r="J2390" s="124" t="s">
        <v>562</v>
      </c>
      <c r="K2390" s="126">
        <v>20000</v>
      </c>
      <c r="L2390" s="127" t="s">
        <v>571</v>
      </c>
      <c r="M2390" s="125">
        <v>41009</v>
      </c>
      <c r="N2390" s="129" t="str">
        <f>IF(M2390&gt;1/1/1,"Y",IF(Q2390="0","","N"))</f>
        <v>Y</v>
      </c>
      <c r="O2390" s="128" t="s">
        <v>76</v>
      </c>
      <c r="P2390" s="129" t="s">
        <v>123</v>
      </c>
      <c r="Q2390" s="111">
        <f>BF2390</f>
        <v>0</v>
      </c>
      <c r="R2390" s="111">
        <f t="shared" si="1780"/>
        <v>214</v>
      </c>
      <c r="S2390" s="129">
        <v>0</v>
      </c>
      <c r="T2390" s="129">
        <v>1</v>
      </c>
      <c r="W2390" s="111"/>
      <c r="AC2390" s="130"/>
      <c r="AD2390" s="130">
        <v>33022</v>
      </c>
      <c r="AE2390" s="128" t="s">
        <v>32</v>
      </c>
      <c r="AF2390" s="128" t="s">
        <v>69</v>
      </c>
      <c r="AG2390" s="128" t="s">
        <v>874</v>
      </c>
      <c r="AH2390" s="108" t="s">
        <v>31</v>
      </c>
      <c r="AI2390" s="128" t="s">
        <v>100</v>
      </c>
      <c r="AJ2390" s="129" t="s">
        <v>123</v>
      </c>
      <c r="AK2390" s="129">
        <v>8</v>
      </c>
      <c r="AL2390" s="3" t="s">
        <v>123</v>
      </c>
      <c r="AP2390" s="129" t="s">
        <v>105</v>
      </c>
      <c r="AR2390" s="128" t="s">
        <v>92</v>
      </c>
      <c r="AS2390" s="129" t="s">
        <v>106</v>
      </c>
      <c r="BC2390" s="129" t="s">
        <v>52</v>
      </c>
      <c r="BF2390" s="111">
        <v>0</v>
      </c>
      <c r="BG2390" s="111">
        <v>0</v>
      </c>
      <c r="BH2390" s="111">
        <f t="shared" si="1753"/>
        <v>214</v>
      </c>
      <c r="BI2390" s="111">
        <f t="shared" si="1754"/>
        <v>21.803278688524589</v>
      </c>
      <c r="BJ2390" s="129" t="e">
        <f>(G2390-J2390)+(M2390-G2390)</f>
        <v>#VALUE!</v>
      </c>
      <c r="BK2390" s="129" t="e">
        <f t="shared" si="1755"/>
        <v>#VALUE!</v>
      </c>
      <c r="BL2390" s="129" t="str">
        <f t="shared" si="1748"/>
        <v>NO CONVICTION</v>
      </c>
      <c r="BM2390" s="129" t="s">
        <v>76</v>
      </c>
      <c r="BN2390" s="129" t="s">
        <v>88</v>
      </c>
      <c r="BP2390" s="137" t="str">
        <f t="shared" si="1757"/>
        <v>NO CONVICTION</v>
      </c>
      <c r="BQ2390" s="128">
        <f t="shared" si="1766"/>
        <v>0</v>
      </c>
      <c r="BR2390" s="129" t="s">
        <v>575</v>
      </c>
      <c r="BS2390" s="129" t="str">
        <f t="shared" si="1759"/>
        <v>DISPOSED</v>
      </c>
      <c r="BT2390" s="129" t="str">
        <f t="shared" si="1760"/>
        <v>N</v>
      </c>
      <c r="BU2390" s="109">
        <f>IFERROR(Q2390/R2390,BR2390)</f>
        <v>0</v>
      </c>
      <c r="BV2390" s="109">
        <v>0</v>
      </c>
      <c r="BW2390" s="109">
        <f t="shared" si="1779"/>
        <v>0</v>
      </c>
      <c r="BX2390" s="111">
        <f t="shared" si="1762"/>
        <v>0</v>
      </c>
      <c r="BY2390" s="129" t="e">
        <f t="shared" si="1768"/>
        <v>#VALUE!</v>
      </c>
      <c r="BZ2390" s="111" t="e">
        <f t="shared" si="1769"/>
        <v>#VALUE!</v>
      </c>
      <c r="CA2390" s="138" t="e">
        <f t="shared" si="1770"/>
        <v>#VALUE!</v>
      </c>
      <c r="CB2390" s="111">
        <v>0</v>
      </c>
      <c r="CC2390" s="129">
        <v>0</v>
      </c>
      <c r="CD2390" s="111">
        <f>CC2390-BF2390</f>
        <v>0</v>
      </c>
      <c r="CG2390" s="129" t="str">
        <f t="shared" si="1771"/>
        <v>Y</v>
      </c>
      <c r="CI2390" s="129" t="str">
        <f t="shared" si="1773"/>
        <v>0-10 DAYS</v>
      </c>
      <c r="CJ2390" s="137">
        <f t="shared" si="1774"/>
        <v>1</v>
      </c>
      <c r="CK2390" s="129" t="str">
        <f t="shared" si="1775"/>
        <v>Not Booked</v>
      </c>
    </row>
    <row r="2391" spans="1:89" ht="15.75" customHeight="1" x14ac:dyDescent="0.25">
      <c r="A2391" s="111">
        <v>2675</v>
      </c>
      <c r="B2391" s="128" t="str">
        <f t="shared" si="1763"/>
        <v>N</v>
      </c>
      <c r="C2391" s="128" t="str">
        <f t="shared" si="1764"/>
        <v>N</v>
      </c>
      <c r="D2391" s="117">
        <v>2543175</v>
      </c>
      <c r="E2391" s="135">
        <f t="shared" si="1765"/>
        <v>1</v>
      </c>
      <c r="F2391" s="124">
        <v>41008</v>
      </c>
      <c r="G2391" s="125">
        <v>41101</v>
      </c>
      <c r="H2391" s="117">
        <v>2543175</v>
      </c>
      <c r="I2391" s="124">
        <v>41011</v>
      </c>
      <c r="J2391" s="124">
        <v>41101</v>
      </c>
      <c r="K2391" s="126">
        <v>20000</v>
      </c>
      <c r="L2391" s="127" t="s">
        <v>571</v>
      </c>
      <c r="N2391" s="129" t="str">
        <f>IF(M2391&gt;1/1/1,"Y","N")</f>
        <v>N</v>
      </c>
      <c r="O2391" s="128" t="s">
        <v>917</v>
      </c>
      <c r="P2391" s="129" t="s">
        <v>123</v>
      </c>
      <c r="Q2391" s="111">
        <f>BF2391</f>
        <v>91</v>
      </c>
      <c r="R2391" s="111">
        <f t="shared" si="1780"/>
        <v>94</v>
      </c>
      <c r="S2391" s="129">
        <v>0</v>
      </c>
      <c r="T2391" s="129">
        <v>0</v>
      </c>
      <c r="W2391" s="111"/>
      <c r="AB2391" s="131" t="s">
        <v>112</v>
      </c>
      <c r="AC2391" s="130"/>
      <c r="AD2391" s="130">
        <v>34097</v>
      </c>
      <c r="AE2391" s="128" t="s">
        <v>32</v>
      </c>
      <c r="AF2391" s="128" t="s">
        <v>40</v>
      </c>
      <c r="AG2391" s="128" t="s">
        <v>41</v>
      </c>
      <c r="AH2391" s="108" t="s">
        <v>31</v>
      </c>
      <c r="AI2391" s="128" t="s">
        <v>70</v>
      </c>
      <c r="AJ2391" s="129" t="s">
        <v>123</v>
      </c>
      <c r="AK2391" s="129">
        <v>7</v>
      </c>
      <c r="AL2391" s="3" t="s">
        <v>123</v>
      </c>
      <c r="AP2391" s="129" t="s">
        <v>131</v>
      </c>
      <c r="AR2391" s="128" t="s">
        <v>50</v>
      </c>
      <c r="AS2391" s="129" t="s">
        <v>106</v>
      </c>
      <c r="BC2391" s="129" t="s">
        <v>52</v>
      </c>
      <c r="BF2391" s="111">
        <f>IF(J2391&gt;1/1/1900,((J2391+1)-I2391),"STILL OPEN")</f>
        <v>91</v>
      </c>
      <c r="BG2391" s="111">
        <f>IF(G2391&gt;1/1/1900,((G2391+1)-I2391),"STILL OPEN")</f>
        <v>91</v>
      </c>
      <c r="BH2391" s="111">
        <f t="shared" si="1753"/>
        <v>94</v>
      </c>
      <c r="BI2391" s="111">
        <f t="shared" si="1754"/>
        <v>18.882513661202186</v>
      </c>
      <c r="BJ2391" s="129">
        <f t="shared" si="1772"/>
        <v>0</v>
      </c>
      <c r="BK2391" s="129">
        <f t="shared" si="1755"/>
        <v>0</v>
      </c>
      <c r="BL2391" s="129" t="str">
        <f t="shared" si="1748"/>
        <v>NO CONVICTION</v>
      </c>
      <c r="BM2391" s="129" t="str">
        <f t="shared" si="1756"/>
        <v>NONE</v>
      </c>
      <c r="BN2391" s="129" t="s">
        <v>566</v>
      </c>
      <c r="BP2391" s="137" t="str">
        <f t="shared" si="1757"/>
        <v>NO CONVICTION</v>
      </c>
      <c r="BQ2391" s="128" t="str">
        <f t="shared" si="1766"/>
        <v>Y</v>
      </c>
      <c r="BR2391" s="129" t="str">
        <f t="shared" si="1758"/>
        <v>DETAINED</v>
      </c>
      <c r="BS2391" s="129" t="str">
        <f t="shared" si="1759"/>
        <v>DISPOSED</v>
      </c>
      <c r="BT2391" s="129" t="str">
        <f t="shared" si="1760"/>
        <v>N</v>
      </c>
      <c r="BU2391" s="109">
        <f>IFERROR(Q2391/R2391,BR2391)</f>
        <v>0.96808510638297873</v>
      </c>
      <c r="BV2391" s="109">
        <f t="shared" si="1767"/>
        <v>1</v>
      </c>
      <c r="BW2391" s="109">
        <f t="shared" si="1779"/>
        <v>3.1914893617021267E-2</v>
      </c>
      <c r="BX2391" s="111">
        <f t="shared" si="1762"/>
        <v>0</v>
      </c>
      <c r="BY2391" s="129">
        <f t="shared" si="1768"/>
        <v>-91</v>
      </c>
      <c r="BZ2391" s="111">
        <f t="shared" si="1769"/>
        <v>0</v>
      </c>
      <c r="CA2391" s="138">
        <f t="shared" si="1770"/>
        <v>91</v>
      </c>
      <c r="CB2391" s="111" t="e">
        <f>IF(AF2391&gt;1/1/1900,((AF2391+1)-AE2391),"STILL OPEN")</f>
        <v>#VALUE!</v>
      </c>
      <c r="CC2391" s="129">
        <f t="shared" ref="CC2391:CC2397" si="1781">G2391-I2391+1</f>
        <v>91</v>
      </c>
      <c r="CD2391" s="129">
        <f t="shared" ref="CD2391:CD2397" si="1782">G2391-J2391</f>
        <v>0</v>
      </c>
      <c r="CG2391" s="129" t="str">
        <f t="shared" si="1771"/>
        <v>N</v>
      </c>
      <c r="CI2391" s="129" t="str">
        <f t="shared" si="1773"/>
        <v>91-120 DAYS</v>
      </c>
      <c r="CJ2391" s="137">
        <f t="shared" si="1774"/>
        <v>0</v>
      </c>
      <c r="CK2391" s="129" t="str">
        <f t="shared" si="1775"/>
        <v>Booked</v>
      </c>
    </row>
    <row r="2392" spans="1:89" ht="15.75" customHeight="1" x14ac:dyDescent="0.25">
      <c r="A2392" s="111">
        <v>1815</v>
      </c>
      <c r="B2392" s="128" t="str">
        <f t="shared" si="1763"/>
        <v>N</v>
      </c>
      <c r="C2392" s="128" t="str">
        <f t="shared" si="1764"/>
        <v>Y</v>
      </c>
      <c r="D2392" s="117">
        <v>2544051</v>
      </c>
      <c r="E2392" s="135">
        <f t="shared" si="1765"/>
        <v>4</v>
      </c>
      <c r="F2392" s="124">
        <v>40976</v>
      </c>
      <c r="G2392" s="125">
        <v>41306</v>
      </c>
      <c r="H2392" s="117">
        <v>2544051</v>
      </c>
      <c r="I2392" s="124">
        <v>41151</v>
      </c>
      <c r="J2392" s="125">
        <v>41156</v>
      </c>
      <c r="K2392" s="126">
        <v>5000</v>
      </c>
      <c r="L2392" s="127" t="s">
        <v>569</v>
      </c>
      <c r="M2392" s="125">
        <v>41156</v>
      </c>
      <c r="N2392" s="129" t="str">
        <f>IF(M2392&gt;1/1/1,"Y",IF(Q2392="0","","N"))</f>
        <v>Y</v>
      </c>
      <c r="O2392" s="128" t="s">
        <v>76</v>
      </c>
      <c r="P2392" s="129" t="s">
        <v>39</v>
      </c>
      <c r="Q2392" s="111">
        <v>113</v>
      </c>
      <c r="R2392" s="111">
        <f t="shared" si="1780"/>
        <v>331</v>
      </c>
      <c r="S2392" s="129">
        <v>0</v>
      </c>
      <c r="T2392" s="129">
        <v>0</v>
      </c>
      <c r="W2392" s="111"/>
      <c r="AC2392" s="130"/>
      <c r="AD2392" s="130">
        <v>27901</v>
      </c>
      <c r="AE2392" s="128" t="s">
        <v>32</v>
      </c>
      <c r="AF2392" s="128" t="s">
        <v>33</v>
      </c>
      <c r="AG2392" s="128" t="s">
        <v>872</v>
      </c>
      <c r="AH2392" s="108" t="s">
        <v>31</v>
      </c>
      <c r="AI2392" s="128" t="s">
        <v>42</v>
      </c>
      <c r="AJ2392" s="129" t="s">
        <v>89</v>
      </c>
      <c r="AK2392" s="129">
        <v>9</v>
      </c>
      <c r="AL2392" s="3" t="s">
        <v>991</v>
      </c>
      <c r="AO2392" s="128">
        <v>180</v>
      </c>
      <c r="AP2392" s="129" t="s">
        <v>108</v>
      </c>
      <c r="AR2392" s="128" t="s">
        <v>44</v>
      </c>
      <c r="AS2392" s="129" t="s">
        <v>61</v>
      </c>
      <c r="AT2392" s="129" t="s">
        <v>1424</v>
      </c>
      <c r="AV2392" s="3" t="s">
        <v>88</v>
      </c>
      <c r="AW2392" s="125">
        <v>41199</v>
      </c>
      <c r="AX2392" s="32"/>
      <c r="BA2392" s="125">
        <v>41225</v>
      </c>
      <c r="BB2392" s="129">
        <v>235</v>
      </c>
      <c r="BC2392" s="129" t="s">
        <v>38</v>
      </c>
      <c r="BF2392" s="111">
        <v>113</v>
      </c>
      <c r="BG2392" s="111">
        <v>113</v>
      </c>
      <c r="BH2392" s="111">
        <f t="shared" si="1753"/>
        <v>331</v>
      </c>
      <c r="BI2392" s="111">
        <f t="shared" si="1754"/>
        <v>35.724043715846996</v>
      </c>
      <c r="BJ2392" s="129">
        <f>(G2392-J2392)+(M2392-G2392)</f>
        <v>0</v>
      </c>
      <c r="BK2392" s="129">
        <f t="shared" si="1755"/>
        <v>-150</v>
      </c>
      <c r="BL2392" s="129" t="str">
        <f t="shared" si="1748"/>
        <v>CONVICTION</v>
      </c>
      <c r="BM2392" s="129" t="s">
        <v>76</v>
      </c>
      <c r="BN2392" s="129" t="s">
        <v>566</v>
      </c>
      <c r="BP2392" s="137" t="str">
        <f t="shared" si="1757"/>
        <v>CONVICTION</v>
      </c>
      <c r="BQ2392" s="128" t="str">
        <f t="shared" si="1766"/>
        <v>Y</v>
      </c>
      <c r="BR2392" s="129" t="s">
        <v>574</v>
      </c>
      <c r="BS2392" s="129" t="str">
        <f t="shared" si="1759"/>
        <v>DISPOSED</v>
      </c>
      <c r="BT2392" s="129" t="str">
        <f t="shared" si="1760"/>
        <v>N</v>
      </c>
      <c r="BU2392" s="109">
        <f t="shared" si="1761"/>
        <v>0.34138972809667673</v>
      </c>
      <c r="BV2392" s="109">
        <f t="shared" si="1767"/>
        <v>3.8461538461538464E-2</v>
      </c>
      <c r="BW2392" s="109">
        <f t="shared" si="1779"/>
        <v>-0.30292818963513823</v>
      </c>
      <c r="BX2392" s="111">
        <f t="shared" si="1762"/>
        <v>0</v>
      </c>
      <c r="BY2392" s="129">
        <f t="shared" si="1768"/>
        <v>-6</v>
      </c>
      <c r="BZ2392" s="111">
        <f t="shared" si="1769"/>
        <v>107</v>
      </c>
      <c r="CA2392" s="138">
        <f t="shared" si="1770"/>
        <v>156</v>
      </c>
      <c r="CB2392" s="111">
        <v>113</v>
      </c>
      <c r="CC2392" s="129">
        <f t="shared" si="1781"/>
        <v>156</v>
      </c>
      <c r="CD2392" s="129">
        <f t="shared" si="1782"/>
        <v>150</v>
      </c>
      <c r="CG2392" s="129" t="str">
        <f t="shared" si="1771"/>
        <v>N</v>
      </c>
      <c r="CI2392" s="129" t="str">
        <f t="shared" si="1773"/>
        <v>91-120 DAYS</v>
      </c>
      <c r="CJ2392" s="137">
        <f t="shared" si="1774"/>
        <v>0</v>
      </c>
      <c r="CK2392" s="129" t="str">
        <f t="shared" si="1775"/>
        <v>Booked</v>
      </c>
    </row>
    <row r="2393" spans="1:89" ht="15" customHeight="1" x14ac:dyDescent="0.25">
      <c r="A2393" s="111">
        <v>1818</v>
      </c>
      <c r="B2393" s="128" t="str">
        <f t="shared" si="1763"/>
        <v>N</v>
      </c>
      <c r="C2393" s="128" t="str">
        <f t="shared" si="1764"/>
        <v>N</v>
      </c>
      <c r="D2393" s="117">
        <v>2544256</v>
      </c>
      <c r="E2393" s="135">
        <f t="shared" si="1765"/>
        <v>6</v>
      </c>
      <c r="F2393" s="124">
        <v>40976</v>
      </c>
      <c r="G2393" s="125">
        <v>41092</v>
      </c>
      <c r="H2393" s="117">
        <v>2544256</v>
      </c>
      <c r="I2393" s="124">
        <v>40987</v>
      </c>
      <c r="J2393" s="124">
        <v>41092</v>
      </c>
      <c r="K2393" s="126" t="s">
        <v>564</v>
      </c>
      <c r="L2393" s="127" t="s">
        <v>564</v>
      </c>
      <c r="N2393" s="129" t="s">
        <v>566</v>
      </c>
      <c r="O2393" s="128" t="s">
        <v>917</v>
      </c>
      <c r="P2393" s="129" t="s">
        <v>39</v>
      </c>
      <c r="Q2393" s="111">
        <f>BF2393</f>
        <v>106</v>
      </c>
      <c r="R2393" s="111">
        <f t="shared" si="1780"/>
        <v>117</v>
      </c>
      <c r="S2393" s="129">
        <v>1</v>
      </c>
      <c r="T2393" s="129">
        <v>0</v>
      </c>
      <c r="W2393" s="111"/>
      <c r="AC2393" s="130"/>
      <c r="AD2393" s="130">
        <v>31025</v>
      </c>
      <c r="AE2393" s="128" t="s">
        <v>32</v>
      </c>
      <c r="AF2393" s="128" t="s">
        <v>33</v>
      </c>
      <c r="AG2393" s="128" t="s">
        <v>872</v>
      </c>
      <c r="AH2393" s="108" t="s">
        <v>58</v>
      </c>
      <c r="AI2393" s="128" t="s">
        <v>71</v>
      </c>
      <c r="AJ2393" s="129" t="s">
        <v>89</v>
      </c>
      <c r="AK2393" s="129">
        <v>6</v>
      </c>
      <c r="AL2393" s="3" t="s">
        <v>362</v>
      </c>
      <c r="AM2393" s="117">
        <v>3</v>
      </c>
      <c r="AP2393" s="129" t="s">
        <v>96</v>
      </c>
      <c r="AR2393" s="128" t="s">
        <v>67</v>
      </c>
      <c r="AS2393" s="129" t="s">
        <v>64</v>
      </c>
      <c r="AX2393" s="32"/>
      <c r="BC2393" s="129" t="s">
        <v>52</v>
      </c>
      <c r="BF2393" s="111">
        <f>IF(J2393&gt;1/1/1900,((J2393+1)-I2393),"STILL OPEN")</f>
        <v>106</v>
      </c>
      <c r="BG2393" s="111">
        <f>IF(G2393&gt;1/1/1900,((G2393+1)-I2393),"STILL OPEN")</f>
        <v>106</v>
      </c>
      <c r="BH2393" s="111">
        <f t="shared" si="1753"/>
        <v>117</v>
      </c>
      <c r="BI2393" s="111">
        <f t="shared" si="1754"/>
        <v>27.188524590163933</v>
      </c>
      <c r="BJ2393" s="129">
        <f t="shared" si="1772"/>
        <v>0</v>
      </c>
      <c r="BK2393" s="129">
        <f t="shared" si="1755"/>
        <v>0</v>
      </c>
      <c r="BL2393" s="129" t="str">
        <f t="shared" si="1748"/>
        <v>CONVICTION</v>
      </c>
      <c r="BM2393" s="129" t="str">
        <f t="shared" si="1756"/>
        <v>NONE</v>
      </c>
      <c r="BN2393" s="129" t="s">
        <v>566</v>
      </c>
      <c r="BP2393" s="137" t="str">
        <f t="shared" si="1757"/>
        <v>CONVICTION</v>
      </c>
      <c r="BQ2393" s="128" t="str">
        <f t="shared" si="1766"/>
        <v>Y</v>
      </c>
      <c r="BR2393" s="129" t="str">
        <f t="shared" si="1758"/>
        <v>DETAINED</v>
      </c>
      <c r="BS2393" s="129" t="str">
        <f t="shared" si="1759"/>
        <v>DISPOSED</v>
      </c>
      <c r="BT2393" s="129" t="str">
        <f t="shared" si="1760"/>
        <v>Y</v>
      </c>
      <c r="BU2393" s="109">
        <f t="shared" si="1761"/>
        <v>0.90598290598290598</v>
      </c>
      <c r="BV2393" s="109">
        <f t="shared" si="1767"/>
        <v>1</v>
      </c>
      <c r="BW2393" s="109">
        <f t="shared" si="1779"/>
        <v>9.4017094017094016E-2</v>
      </c>
      <c r="BX2393" s="111">
        <f t="shared" si="1762"/>
        <v>0</v>
      </c>
      <c r="BY2393" s="129">
        <f t="shared" si="1768"/>
        <v>-106</v>
      </c>
      <c r="BZ2393" s="111">
        <f t="shared" si="1769"/>
        <v>0</v>
      </c>
      <c r="CA2393" s="138">
        <f t="shared" si="1770"/>
        <v>106</v>
      </c>
      <c r="CB2393" s="111" t="e">
        <f>IF(AF2393&gt;1/1/1900,((AF2393+1)-AE2393),"STILL OPEN")</f>
        <v>#VALUE!</v>
      </c>
      <c r="CC2393" s="129">
        <f t="shared" si="1781"/>
        <v>106</v>
      </c>
      <c r="CD2393" s="129">
        <f t="shared" si="1782"/>
        <v>0</v>
      </c>
      <c r="CG2393" s="129" t="str">
        <f t="shared" si="1771"/>
        <v>Y</v>
      </c>
      <c r="CI2393" s="129" t="str">
        <f t="shared" si="1773"/>
        <v>91-120 DAYS</v>
      </c>
      <c r="CJ2393" s="137">
        <f t="shared" si="1774"/>
        <v>0</v>
      </c>
      <c r="CK2393" s="129" t="str">
        <f t="shared" si="1775"/>
        <v>Booked</v>
      </c>
    </row>
    <row r="2394" spans="1:89" ht="15" customHeight="1" x14ac:dyDescent="0.25">
      <c r="A2394" s="111">
        <v>173</v>
      </c>
      <c r="B2394" s="128" t="str">
        <f t="shared" si="1763"/>
        <v>N</v>
      </c>
      <c r="C2394" s="128" t="str">
        <f t="shared" si="1764"/>
        <v>N</v>
      </c>
      <c r="D2394" s="117">
        <v>2544283</v>
      </c>
      <c r="E2394" s="135">
        <f t="shared" si="1765"/>
        <v>2</v>
      </c>
      <c r="F2394" s="124">
        <v>40916</v>
      </c>
      <c r="G2394" s="125">
        <v>40917</v>
      </c>
      <c r="H2394" s="117">
        <v>2544283</v>
      </c>
      <c r="I2394" s="124">
        <v>40916</v>
      </c>
      <c r="J2394" s="124">
        <v>40917</v>
      </c>
      <c r="K2394" s="126">
        <v>2000</v>
      </c>
      <c r="L2394" s="127" t="s">
        <v>568</v>
      </c>
      <c r="N2394" s="129" t="str">
        <f>IF(M2394&gt;1/1/1,"Y","N")</f>
        <v>N</v>
      </c>
      <c r="O2394" s="128" t="s">
        <v>917</v>
      </c>
      <c r="P2394" s="129" t="s">
        <v>589</v>
      </c>
      <c r="Q2394" s="111">
        <f>BF2394</f>
        <v>2</v>
      </c>
      <c r="R2394" s="111">
        <f t="shared" si="1780"/>
        <v>2</v>
      </c>
      <c r="S2394" s="129">
        <v>0</v>
      </c>
      <c r="T2394" s="129">
        <v>1</v>
      </c>
      <c r="W2394" s="111"/>
      <c r="AC2394" s="130"/>
      <c r="AD2394" s="130">
        <v>25788</v>
      </c>
      <c r="AE2394" s="128" t="s">
        <v>32</v>
      </c>
      <c r="AF2394" s="128" t="s">
        <v>33</v>
      </c>
      <c r="AG2394" s="128" t="s">
        <v>872</v>
      </c>
      <c r="AH2394" s="108" t="s">
        <v>31</v>
      </c>
      <c r="AI2394" s="128" t="s">
        <v>85</v>
      </c>
      <c r="AJ2394" s="129" t="s">
        <v>48</v>
      </c>
      <c r="AK2394" s="129">
        <v>1</v>
      </c>
      <c r="AL2394" s="3" t="s">
        <v>48</v>
      </c>
      <c r="AP2394" s="129" t="s">
        <v>43</v>
      </c>
      <c r="AR2394" s="128" t="s">
        <v>44</v>
      </c>
      <c r="AS2394" s="129" t="s">
        <v>45</v>
      </c>
      <c r="BC2394" s="129" t="s">
        <v>38</v>
      </c>
      <c r="BF2394" s="111">
        <f>IF(J2394&gt;1/1/1900,((J2394+1)-I2394),"STILL OPEN")</f>
        <v>2</v>
      </c>
      <c r="BG2394" s="111">
        <f>IF(G2394&gt;1/1/1900,((G2394+1)-I2394),"STILL OPEN")</f>
        <v>2</v>
      </c>
      <c r="BH2394" s="111">
        <f t="shared" si="1753"/>
        <v>2</v>
      </c>
      <c r="BI2394" s="111">
        <f t="shared" si="1754"/>
        <v>41.333333333333336</v>
      </c>
      <c r="BJ2394" s="129">
        <f t="shared" si="1772"/>
        <v>0</v>
      </c>
      <c r="BK2394" s="129">
        <f t="shared" si="1755"/>
        <v>0</v>
      </c>
      <c r="BL2394" s="129" t="str">
        <f t="shared" si="1748"/>
        <v>DEFERRED</v>
      </c>
      <c r="BM2394" s="129" t="str">
        <f t="shared" si="1756"/>
        <v>NONE</v>
      </c>
      <c r="BN2394" s="129" t="s">
        <v>566</v>
      </c>
      <c r="BP2394" s="137" t="str">
        <f t="shared" si="1757"/>
        <v>DEFERRED</v>
      </c>
      <c r="BQ2394" s="128" t="str">
        <f t="shared" si="1766"/>
        <v>Y</v>
      </c>
      <c r="BR2394" s="129" t="str">
        <f t="shared" si="1758"/>
        <v>DETAINED</v>
      </c>
      <c r="BS2394" s="129" t="str">
        <f t="shared" si="1759"/>
        <v>DISPOSED</v>
      </c>
      <c r="BT2394" s="129" t="str">
        <f t="shared" si="1760"/>
        <v>N</v>
      </c>
      <c r="BU2394" s="109">
        <f t="shared" si="1761"/>
        <v>1</v>
      </c>
      <c r="BV2394" s="109">
        <f t="shared" si="1767"/>
        <v>1</v>
      </c>
      <c r="BW2394" s="109">
        <f t="shared" si="1779"/>
        <v>0</v>
      </c>
      <c r="BX2394" s="111">
        <f t="shared" si="1762"/>
        <v>0</v>
      </c>
      <c r="BY2394" s="129">
        <f t="shared" si="1768"/>
        <v>-2</v>
      </c>
      <c r="BZ2394" s="111">
        <f t="shared" si="1769"/>
        <v>0</v>
      </c>
      <c r="CA2394" s="138">
        <f t="shared" si="1770"/>
        <v>2</v>
      </c>
      <c r="CB2394" s="111" t="e">
        <f>IF(AF2394&gt;1/1/1900,((AF2394+1)-AE2394),"STILL OPEN")</f>
        <v>#VALUE!</v>
      </c>
      <c r="CC2394" s="129">
        <f t="shared" si="1781"/>
        <v>2</v>
      </c>
      <c r="CD2394" s="129">
        <f t="shared" si="1782"/>
        <v>0</v>
      </c>
      <c r="CG2394" s="129" t="str">
        <f t="shared" si="1771"/>
        <v>Y</v>
      </c>
      <c r="CI2394" s="129" t="str">
        <f t="shared" si="1773"/>
        <v>0-10 DAYS</v>
      </c>
      <c r="CJ2394" s="137">
        <f t="shared" si="1774"/>
        <v>1</v>
      </c>
      <c r="CK2394" s="129" t="str">
        <f t="shared" si="1775"/>
        <v>Booked</v>
      </c>
    </row>
    <row r="2395" spans="1:89" ht="15.75" customHeight="1" x14ac:dyDescent="0.25">
      <c r="A2395" s="111">
        <v>192</v>
      </c>
      <c r="B2395" s="128" t="str">
        <f t="shared" si="1763"/>
        <v>N</v>
      </c>
      <c r="C2395" s="128" t="str">
        <f t="shared" si="1764"/>
        <v>N</v>
      </c>
      <c r="D2395" s="117">
        <v>2544368</v>
      </c>
      <c r="E2395" s="135">
        <f t="shared" si="1765"/>
        <v>3</v>
      </c>
      <c r="F2395" s="124">
        <v>40917</v>
      </c>
      <c r="G2395" s="125">
        <v>41208</v>
      </c>
      <c r="H2395" s="117">
        <v>2544368</v>
      </c>
      <c r="I2395" s="124">
        <v>40918</v>
      </c>
      <c r="J2395" s="124">
        <v>41208</v>
      </c>
      <c r="K2395" s="126">
        <v>80000</v>
      </c>
      <c r="L2395" s="129" t="s">
        <v>572</v>
      </c>
      <c r="N2395" s="129" t="str">
        <f>IF(M2395&gt;1/1/1,"Y","N")</f>
        <v>N</v>
      </c>
      <c r="O2395" s="128" t="s">
        <v>917</v>
      </c>
      <c r="P2395" s="129" t="s">
        <v>659</v>
      </c>
      <c r="Q2395" s="111">
        <f>BF2395</f>
        <v>291</v>
      </c>
      <c r="R2395" s="111">
        <f t="shared" si="1780"/>
        <v>292</v>
      </c>
      <c r="S2395" s="129">
        <v>0</v>
      </c>
      <c r="T2395" s="129">
        <v>1</v>
      </c>
      <c r="W2395" s="111"/>
      <c r="AB2395" s="131" t="s">
        <v>112</v>
      </c>
      <c r="AC2395" s="130"/>
      <c r="AD2395" s="130">
        <v>32436</v>
      </c>
      <c r="AE2395" s="128" t="s">
        <v>32</v>
      </c>
      <c r="AF2395" s="128" t="s">
        <v>40</v>
      </c>
      <c r="AG2395" s="128" t="s">
        <v>41</v>
      </c>
      <c r="AH2395" s="108" t="s">
        <v>31</v>
      </c>
      <c r="AI2395" s="128" t="s">
        <v>83</v>
      </c>
      <c r="AJ2395" s="129" t="s">
        <v>89</v>
      </c>
      <c r="AK2395" s="129">
        <v>16</v>
      </c>
      <c r="AL2395" s="3" t="s">
        <v>185</v>
      </c>
      <c r="AP2395" s="129" t="s">
        <v>105</v>
      </c>
      <c r="AR2395" s="128" t="s">
        <v>92</v>
      </c>
      <c r="AS2395" s="129" t="s">
        <v>106</v>
      </c>
      <c r="AT2395" s="129" t="s">
        <v>168</v>
      </c>
      <c r="BC2395" s="129" t="s">
        <v>38</v>
      </c>
      <c r="BF2395" s="111">
        <f>IF(J2395&gt;1/1/1900,((J2395+1)-I2395),"STILL OPEN")</f>
        <v>291</v>
      </c>
      <c r="BG2395" s="111">
        <f>IF(G2395&gt;1/1/1900,((G2395+1)-I2395),"STILL OPEN")</f>
        <v>291</v>
      </c>
      <c r="BH2395" s="111">
        <f t="shared" si="1753"/>
        <v>292</v>
      </c>
      <c r="BI2395" s="111">
        <f t="shared" si="1754"/>
        <v>23.172131147540984</v>
      </c>
      <c r="BJ2395" s="129">
        <f t="shared" si="1772"/>
        <v>0</v>
      </c>
      <c r="BK2395" s="129">
        <f t="shared" si="1755"/>
        <v>0</v>
      </c>
      <c r="BL2395" s="129" t="str">
        <f t="shared" si="1748"/>
        <v>CONVICTION</v>
      </c>
      <c r="BM2395" s="129" t="str">
        <f t="shared" si="1756"/>
        <v>NONE</v>
      </c>
      <c r="BN2395" s="129" t="s">
        <v>566</v>
      </c>
      <c r="BP2395" s="137" t="str">
        <f t="shared" si="1757"/>
        <v>CONVICTION</v>
      </c>
      <c r="BQ2395" s="128" t="str">
        <f t="shared" si="1766"/>
        <v>Y</v>
      </c>
      <c r="BR2395" s="129" t="str">
        <f t="shared" si="1758"/>
        <v>DETAINED</v>
      </c>
      <c r="BS2395" s="129" t="str">
        <f t="shared" si="1759"/>
        <v>DISPOSED</v>
      </c>
      <c r="BT2395" s="129" t="str">
        <f t="shared" si="1760"/>
        <v>N</v>
      </c>
      <c r="BU2395" s="109">
        <f t="shared" si="1761"/>
        <v>0.99657534246575341</v>
      </c>
      <c r="BV2395" s="109">
        <f t="shared" si="1767"/>
        <v>1</v>
      </c>
      <c r="BW2395" s="109">
        <f t="shared" si="1779"/>
        <v>3.424657534246589E-3</v>
      </c>
      <c r="BX2395" s="111">
        <f t="shared" si="1762"/>
        <v>0</v>
      </c>
      <c r="BY2395" s="129">
        <f t="shared" si="1768"/>
        <v>-291</v>
      </c>
      <c r="BZ2395" s="111">
        <f t="shared" si="1769"/>
        <v>0</v>
      </c>
      <c r="CA2395" s="138">
        <f t="shared" si="1770"/>
        <v>291</v>
      </c>
      <c r="CB2395" s="111" t="e">
        <f>IF(AF2395&gt;1/1/1900,((AF2395+1)-AE2395),"STILL OPEN")</f>
        <v>#VALUE!</v>
      </c>
      <c r="CC2395" s="129">
        <f t="shared" si="1781"/>
        <v>291</v>
      </c>
      <c r="CD2395" s="129">
        <f t="shared" si="1782"/>
        <v>0</v>
      </c>
      <c r="CG2395" s="129" t="str">
        <f t="shared" si="1771"/>
        <v>Y</v>
      </c>
      <c r="CI2395" s="129" t="str">
        <f t="shared" si="1773"/>
        <v>121-365 DAYS</v>
      </c>
      <c r="CJ2395" s="137">
        <f t="shared" si="1774"/>
        <v>6</v>
      </c>
      <c r="CK2395" s="129" t="str">
        <f t="shared" si="1775"/>
        <v>Booked</v>
      </c>
    </row>
    <row r="2396" spans="1:89" ht="15.75" customHeight="1" x14ac:dyDescent="0.25">
      <c r="A2396" s="111">
        <v>2346</v>
      </c>
      <c r="B2396" s="128" t="str">
        <f t="shared" si="1763"/>
        <v>N</v>
      </c>
      <c r="C2396" s="128" t="str">
        <f t="shared" si="1764"/>
        <v>N</v>
      </c>
      <c r="D2396" s="117">
        <v>2544463</v>
      </c>
      <c r="E2396" s="135">
        <f t="shared" si="1765"/>
        <v>2</v>
      </c>
      <c r="F2396" s="124">
        <v>40997</v>
      </c>
      <c r="G2396" s="125">
        <v>41073</v>
      </c>
      <c r="H2396" s="117">
        <v>2544463</v>
      </c>
      <c r="I2396" s="124">
        <v>40998</v>
      </c>
      <c r="J2396" s="124">
        <v>41073</v>
      </c>
      <c r="K2396" s="126">
        <v>30000</v>
      </c>
      <c r="L2396" s="129" t="s">
        <v>572</v>
      </c>
      <c r="N2396" s="129" t="str">
        <f>IF(M2396&gt;1/1/1,"Y","N")</f>
        <v>N</v>
      </c>
      <c r="O2396" s="128" t="s">
        <v>917</v>
      </c>
      <c r="P2396" s="129" t="s">
        <v>589</v>
      </c>
      <c r="Q2396" s="111">
        <f>BF2396</f>
        <v>76</v>
      </c>
      <c r="R2396" s="111">
        <f t="shared" si="1780"/>
        <v>77</v>
      </c>
      <c r="S2396" s="129">
        <v>0</v>
      </c>
      <c r="T2396" s="129">
        <v>2</v>
      </c>
      <c r="W2396" s="111"/>
      <c r="AC2396" s="130"/>
      <c r="AD2396" s="130">
        <v>33937</v>
      </c>
      <c r="AE2396" s="128" t="s">
        <v>32</v>
      </c>
      <c r="AF2396" s="128" t="s">
        <v>33</v>
      </c>
      <c r="AG2396" s="128" t="s">
        <v>872</v>
      </c>
      <c r="AH2396" s="108" t="s">
        <v>31</v>
      </c>
      <c r="AI2396" s="128" t="s">
        <v>114</v>
      </c>
      <c r="AJ2396" s="129" t="s">
        <v>48</v>
      </c>
      <c r="AK2396" s="129">
        <v>4</v>
      </c>
      <c r="AL2396" s="3" t="s">
        <v>48</v>
      </c>
      <c r="AP2396" s="129" t="s">
        <v>105</v>
      </c>
      <c r="AR2396" s="128" t="s">
        <v>92</v>
      </c>
      <c r="AS2396" s="129" t="s">
        <v>106</v>
      </c>
      <c r="BC2396" s="129" t="s">
        <v>38</v>
      </c>
      <c r="BF2396" s="111">
        <f>IF(J2396&gt;1/1/1900,((J2396+1)-I2396),"STILL OPEN")</f>
        <v>76</v>
      </c>
      <c r="BG2396" s="111">
        <f>IF(G2396&gt;1/1/1900,((G2396+1)-I2396),"STILL OPEN")</f>
        <v>76</v>
      </c>
      <c r="BH2396" s="111">
        <f t="shared" si="1753"/>
        <v>77</v>
      </c>
      <c r="BI2396" s="111">
        <f t="shared" si="1754"/>
        <v>19.289617486338798</v>
      </c>
      <c r="BJ2396" s="129">
        <f t="shared" si="1772"/>
        <v>0</v>
      </c>
      <c r="BK2396" s="129">
        <f t="shared" si="1755"/>
        <v>0</v>
      </c>
      <c r="BL2396" s="129" t="str">
        <f t="shared" si="1748"/>
        <v>DEFERRED</v>
      </c>
      <c r="BM2396" s="129" t="str">
        <f t="shared" si="1756"/>
        <v>NONE</v>
      </c>
      <c r="BN2396" s="129" t="s">
        <v>566</v>
      </c>
      <c r="BP2396" s="137" t="str">
        <f t="shared" si="1757"/>
        <v>DEFERRED</v>
      </c>
      <c r="BQ2396" s="128" t="str">
        <f t="shared" si="1766"/>
        <v>Y</v>
      </c>
      <c r="BR2396" s="129" t="str">
        <f t="shared" si="1758"/>
        <v>DETAINED</v>
      </c>
      <c r="BS2396" s="129" t="str">
        <f t="shared" si="1759"/>
        <v>DISPOSED</v>
      </c>
      <c r="BT2396" s="129" t="str">
        <f t="shared" si="1760"/>
        <v>N</v>
      </c>
      <c r="BU2396" s="109">
        <f t="shared" si="1761"/>
        <v>0.98701298701298701</v>
      </c>
      <c r="BV2396" s="109">
        <f t="shared" si="1767"/>
        <v>1</v>
      </c>
      <c r="BW2396" s="109">
        <f t="shared" si="1779"/>
        <v>1.2987012987012991E-2</v>
      </c>
      <c r="BX2396" s="111">
        <f t="shared" si="1762"/>
        <v>0</v>
      </c>
      <c r="BY2396" s="129">
        <f t="shared" si="1768"/>
        <v>-76</v>
      </c>
      <c r="BZ2396" s="111">
        <f t="shared" si="1769"/>
        <v>0</v>
      </c>
      <c r="CA2396" s="138">
        <f t="shared" si="1770"/>
        <v>76</v>
      </c>
      <c r="CB2396" s="111" t="e">
        <f>IF(AF2396&gt;1/1/1900,((AF2396+1)-AE2396),"STILL OPEN")</f>
        <v>#VALUE!</v>
      </c>
      <c r="CC2396" s="129">
        <f t="shared" si="1781"/>
        <v>76</v>
      </c>
      <c r="CD2396" s="129">
        <f t="shared" si="1782"/>
        <v>0</v>
      </c>
      <c r="CG2396" s="129" t="str">
        <f t="shared" si="1771"/>
        <v>Y</v>
      </c>
      <c r="CI2396" s="129" t="str">
        <f t="shared" si="1773"/>
        <v>61-90 DAYS</v>
      </c>
      <c r="CJ2396" s="137">
        <f t="shared" si="1774"/>
        <v>4</v>
      </c>
      <c r="CK2396" s="129" t="str">
        <f t="shared" si="1775"/>
        <v>Booked</v>
      </c>
    </row>
    <row r="2397" spans="1:89" ht="15.75" customHeight="1" x14ac:dyDescent="0.25">
      <c r="A2397" s="111">
        <v>2316</v>
      </c>
      <c r="B2397" s="128" t="str">
        <f t="shared" si="1763"/>
        <v>N</v>
      </c>
      <c r="C2397" s="128" t="str">
        <f t="shared" si="1764"/>
        <v>Y</v>
      </c>
      <c r="D2397" s="117">
        <v>2544668</v>
      </c>
      <c r="E2397" s="135">
        <f t="shared" si="1765"/>
        <v>6</v>
      </c>
      <c r="F2397" s="124">
        <v>40996</v>
      </c>
      <c r="G2397" s="125">
        <v>41372</v>
      </c>
      <c r="H2397" s="117">
        <v>2544668</v>
      </c>
      <c r="I2397" s="124">
        <v>40996</v>
      </c>
      <c r="J2397" s="124">
        <v>41058</v>
      </c>
      <c r="K2397" s="126">
        <v>25000</v>
      </c>
      <c r="L2397" s="129" t="s">
        <v>572</v>
      </c>
      <c r="M2397" s="125">
        <v>41058</v>
      </c>
      <c r="N2397" s="129" t="str">
        <f>IF(M2397&gt;1/1/1,"Y","N")</f>
        <v>Y</v>
      </c>
      <c r="O2397" s="128" t="s">
        <v>76</v>
      </c>
      <c r="P2397" s="129" t="s">
        <v>39</v>
      </c>
      <c r="Q2397" s="111">
        <v>235</v>
      </c>
      <c r="R2397" s="111">
        <f t="shared" si="1780"/>
        <v>377</v>
      </c>
      <c r="S2397" s="129">
        <v>0</v>
      </c>
      <c r="T2397" s="129">
        <v>0</v>
      </c>
      <c r="W2397" s="111"/>
      <c r="AC2397" s="130"/>
      <c r="AD2397" s="130">
        <v>32950</v>
      </c>
      <c r="AE2397" s="128" t="s">
        <v>32</v>
      </c>
      <c r="AF2397" s="128" t="s">
        <v>33</v>
      </c>
      <c r="AG2397" s="128" t="s">
        <v>872</v>
      </c>
      <c r="AH2397" s="108" t="s">
        <v>31</v>
      </c>
      <c r="AI2397" s="128" t="s">
        <v>141</v>
      </c>
      <c r="AJ2397" s="129" t="s">
        <v>89</v>
      </c>
      <c r="AK2397" s="129">
        <v>13</v>
      </c>
      <c r="AL2397" s="3" t="s">
        <v>362</v>
      </c>
      <c r="AM2397" s="117">
        <v>2</v>
      </c>
      <c r="AP2397" s="129" t="s">
        <v>107</v>
      </c>
      <c r="AR2397" s="128" t="s">
        <v>44</v>
      </c>
      <c r="AS2397" s="129" t="s">
        <v>57</v>
      </c>
      <c r="AU2397" s="118" t="s">
        <v>959</v>
      </c>
      <c r="AX2397" s="32" t="s">
        <v>88</v>
      </c>
      <c r="BC2397" s="129" t="s">
        <v>52</v>
      </c>
      <c r="BF2397" s="111">
        <v>235</v>
      </c>
      <c r="BG2397" s="111">
        <f>IF(G2397&gt;1/1/1900,((G2397+1)-I2397),"STILL OPEN")</f>
        <v>377</v>
      </c>
      <c r="BH2397" s="111">
        <f t="shared" si="1753"/>
        <v>377</v>
      </c>
      <c r="BI2397" s="111">
        <f t="shared" si="1754"/>
        <v>21.983606557377048</v>
      </c>
      <c r="BJ2397" s="129">
        <f>(G2397-J2397)+(M2397-G2397)</f>
        <v>0</v>
      </c>
      <c r="BK2397" s="129">
        <f t="shared" si="1755"/>
        <v>-314</v>
      </c>
      <c r="BL2397" s="129" t="str">
        <f t="shared" si="1748"/>
        <v>CONVICTION</v>
      </c>
      <c r="BM2397" s="129" t="s">
        <v>76</v>
      </c>
      <c r="BN2397" s="129" t="s">
        <v>88</v>
      </c>
      <c r="BP2397" s="137" t="str">
        <f t="shared" si="1757"/>
        <v>CONVICTION</v>
      </c>
      <c r="BQ2397" s="128" t="str">
        <f t="shared" si="1766"/>
        <v>Y</v>
      </c>
      <c r="BR2397" s="129" t="s">
        <v>574</v>
      </c>
      <c r="BS2397" s="129" t="str">
        <f t="shared" si="1759"/>
        <v>DISPOSED</v>
      </c>
      <c r="BT2397" s="129" t="str">
        <f t="shared" si="1760"/>
        <v>N</v>
      </c>
      <c r="BU2397" s="109">
        <f t="shared" si="1761"/>
        <v>0.62334217506631295</v>
      </c>
      <c r="BV2397" s="109">
        <f t="shared" si="1767"/>
        <v>0.16710875331564987</v>
      </c>
      <c r="BW2397" s="109">
        <f t="shared" si="1779"/>
        <v>-0.45623342175066306</v>
      </c>
      <c r="BX2397" s="111">
        <f t="shared" si="1762"/>
        <v>0</v>
      </c>
      <c r="BY2397" s="129">
        <f t="shared" si="1768"/>
        <v>-63</v>
      </c>
      <c r="BZ2397" s="111">
        <f t="shared" si="1769"/>
        <v>172</v>
      </c>
      <c r="CA2397" s="138">
        <f t="shared" si="1770"/>
        <v>377</v>
      </c>
      <c r="CB2397" s="111">
        <v>235</v>
      </c>
      <c r="CC2397" s="129">
        <f t="shared" si="1781"/>
        <v>377</v>
      </c>
      <c r="CD2397" s="129">
        <f t="shared" si="1782"/>
        <v>314</v>
      </c>
      <c r="CG2397" s="129" t="str">
        <f t="shared" si="1771"/>
        <v>N</v>
      </c>
      <c r="CI2397" s="129" t="str">
        <f t="shared" si="1773"/>
        <v>121-365 DAYS</v>
      </c>
      <c r="CJ2397" s="137">
        <f t="shared" si="1774"/>
        <v>6</v>
      </c>
      <c r="CK2397" s="129" t="str">
        <f t="shared" si="1775"/>
        <v>Booked</v>
      </c>
    </row>
    <row r="2398" spans="1:89" ht="15" customHeight="1" x14ac:dyDescent="0.25">
      <c r="A2398" s="111">
        <v>3132</v>
      </c>
      <c r="B2398" s="128" t="str">
        <f t="shared" si="1763"/>
        <v>N</v>
      </c>
      <c r="C2398" s="128" t="str">
        <f t="shared" si="1764"/>
        <v>N</v>
      </c>
      <c r="D2398" s="117">
        <v>2544964</v>
      </c>
      <c r="E2398" s="135">
        <f t="shared" si="1765"/>
        <v>1</v>
      </c>
      <c r="F2398" s="124">
        <v>41024</v>
      </c>
      <c r="G2398" s="125">
        <v>41031</v>
      </c>
      <c r="H2398" s="117">
        <v>2544964</v>
      </c>
      <c r="I2398" s="124" t="s">
        <v>562</v>
      </c>
      <c r="J2398" s="124" t="s">
        <v>562</v>
      </c>
      <c r="K2398" s="126">
        <v>5000</v>
      </c>
      <c r="L2398" s="127" t="s">
        <v>569</v>
      </c>
      <c r="N2398" s="124" t="s">
        <v>1343</v>
      </c>
      <c r="O2398" s="128" t="s">
        <v>917</v>
      </c>
      <c r="P2398" s="129" t="s">
        <v>55</v>
      </c>
      <c r="Q2398" s="111">
        <f t="shared" ref="Q2398:Q2418" si="1783">BF2398</f>
        <v>0</v>
      </c>
      <c r="R2398" s="111">
        <f t="shared" si="1780"/>
        <v>8</v>
      </c>
      <c r="S2398" s="129">
        <v>2</v>
      </c>
      <c r="T2398" s="129">
        <v>0</v>
      </c>
      <c r="U2398" s="129">
        <v>2</v>
      </c>
      <c r="W2398" s="111"/>
      <c r="AC2398" s="130"/>
      <c r="AD2398" s="130">
        <v>24126</v>
      </c>
      <c r="AE2398" s="128" t="s">
        <v>32</v>
      </c>
      <c r="AF2398" s="128" t="s">
        <v>69</v>
      </c>
      <c r="AG2398" s="128" t="s">
        <v>874</v>
      </c>
      <c r="AH2398" s="108" t="s">
        <v>58</v>
      </c>
      <c r="AI2398" s="128" t="s">
        <v>113</v>
      </c>
      <c r="AJ2398" s="129" t="s">
        <v>55</v>
      </c>
      <c r="AK2398" s="129">
        <v>2</v>
      </c>
      <c r="AL2398" s="3" t="s">
        <v>55</v>
      </c>
      <c r="AP2398" s="129" t="s">
        <v>158</v>
      </c>
      <c r="AR2398" s="128" t="s">
        <v>67</v>
      </c>
      <c r="AS2398" s="129" t="s">
        <v>64</v>
      </c>
      <c r="BC2398" s="129" t="s">
        <v>79</v>
      </c>
      <c r="BF2398" s="111">
        <v>0</v>
      </c>
      <c r="BG2398" s="111">
        <v>0</v>
      </c>
      <c r="BH2398" s="111">
        <f t="shared" si="1753"/>
        <v>8</v>
      </c>
      <c r="BI2398" s="111">
        <f t="shared" si="1754"/>
        <v>46.169398907103826</v>
      </c>
      <c r="BJ2398" s="129" t="e">
        <f>(G2398-J2398)+(M2398-G2398)</f>
        <v>#VALUE!</v>
      </c>
      <c r="BK2398" s="129" t="e">
        <f t="shared" si="1755"/>
        <v>#VALUE!</v>
      </c>
      <c r="BL2398" s="129" t="str">
        <f t="shared" si="1748"/>
        <v>NO CONVICTION</v>
      </c>
      <c r="BM2398" s="129" t="str">
        <f t="shared" si="1756"/>
        <v>NONE</v>
      </c>
      <c r="BN2398" s="129" t="s">
        <v>566</v>
      </c>
      <c r="BP2398" s="137" t="str">
        <f t="shared" si="1757"/>
        <v>NO CONVICTION</v>
      </c>
      <c r="BQ2398" s="128">
        <f t="shared" si="1766"/>
        <v>0</v>
      </c>
      <c r="BR2398" s="129" t="s">
        <v>1345</v>
      </c>
      <c r="BS2398" s="129" t="str">
        <f t="shared" si="1759"/>
        <v>DISPOSED</v>
      </c>
      <c r="BT2398" s="129" t="str">
        <f t="shared" si="1760"/>
        <v>Y</v>
      </c>
      <c r="BU2398" s="109">
        <f>IFERROR(Q2398/R2398,BR2398)</f>
        <v>0</v>
      </c>
      <c r="BV2398" s="109">
        <v>0</v>
      </c>
      <c r="BW2398" s="109">
        <f t="shared" si="1779"/>
        <v>0</v>
      </c>
      <c r="BX2398" s="111">
        <f t="shared" si="1762"/>
        <v>0</v>
      </c>
      <c r="BY2398" s="129" t="e">
        <f t="shared" si="1768"/>
        <v>#VALUE!</v>
      </c>
      <c r="BZ2398" s="111" t="e">
        <f t="shared" si="1769"/>
        <v>#VALUE!</v>
      </c>
      <c r="CA2398" s="138" t="e">
        <f t="shared" si="1770"/>
        <v>#VALUE!</v>
      </c>
      <c r="CB2398" s="111">
        <v>0</v>
      </c>
      <c r="CC2398" s="129">
        <v>0</v>
      </c>
      <c r="CG2398" s="129" t="str">
        <f t="shared" si="1771"/>
        <v>Y</v>
      </c>
      <c r="CI2398" s="129" t="str">
        <f t="shared" si="1773"/>
        <v>0-10 DAYS</v>
      </c>
      <c r="CJ2398" s="137">
        <f t="shared" si="1774"/>
        <v>1</v>
      </c>
      <c r="CK2398" s="129" t="str">
        <f t="shared" si="1775"/>
        <v>Not Booked</v>
      </c>
    </row>
    <row r="2399" spans="1:89" ht="15" customHeight="1" x14ac:dyDescent="0.25">
      <c r="A2399" s="111">
        <v>975</v>
      </c>
      <c r="B2399" s="128" t="str">
        <f t="shared" si="1763"/>
        <v>N</v>
      </c>
      <c r="C2399" s="128" t="str">
        <f t="shared" si="1764"/>
        <v>N</v>
      </c>
      <c r="D2399" s="117">
        <v>2544972</v>
      </c>
      <c r="E2399" s="135">
        <f t="shared" si="1765"/>
        <v>2</v>
      </c>
      <c r="F2399" s="124">
        <v>40945</v>
      </c>
      <c r="G2399" s="125">
        <v>40946</v>
      </c>
      <c r="H2399" s="117">
        <v>2544972</v>
      </c>
      <c r="I2399" s="124">
        <v>40945</v>
      </c>
      <c r="J2399" s="124">
        <v>40946</v>
      </c>
      <c r="K2399" s="126">
        <v>5000</v>
      </c>
      <c r="L2399" s="127" t="s">
        <v>569</v>
      </c>
      <c r="N2399" s="129" t="str">
        <f>IF(M2399&gt;1/1/1,"Y","N")</f>
        <v>N</v>
      </c>
      <c r="O2399" s="128" t="s">
        <v>917</v>
      </c>
      <c r="P2399" s="129" t="s">
        <v>589</v>
      </c>
      <c r="Q2399" s="111">
        <f t="shared" si="1783"/>
        <v>2</v>
      </c>
      <c r="R2399" s="111">
        <f t="shared" si="1780"/>
        <v>2</v>
      </c>
      <c r="S2399" s="129">
        <v>0</v>
      </c>
      <c r="T2399" s="129">
        <v>2</v>
      </c>
      <c r="W2399" s="111"/>
      <c r="AC2399" s="130"/>
      <c r="AD2399" s="130">
        <v>28638</v>
      </c>
      <c r="AE2399" s="128" t="s">
        <v>32</v>
      </c>
      <c r="AF2399" s="128" t="s">
        <v>33</v>
      </c>
      <c r="AG2399" s="128" t="s">
        <v>872</v>
      </c>
      <c r="AH2399" s="108" t="s">
        <v>31</v>
      </c>
      <c r="AI2399" s="128" t="s">
        <v>71</v>
      </c>
      <c r="AJ2399" s="129" t="s">
        <v>48</v>
      </c>
      <c r="AK2399" s="129">
        <v>1</v>
      </c>
      <c r="AL2399" s="3" t="s">
        <v>48</v>
      </c>
      <c r="AP2399" s="129" t="s">
        <v>96</v>
      </c>
      <c r="AR2399" s="128" t="s">
        <v>67</v>
      </c>
      <c r="AS2399" s="129" t="s">
        <v>64</v>
      </c>
      <c r="BC2399" s="129" t="s">
        <v>38</v>
      </c>
      <c r="BF2399" s="111">
        <f t="shared" ref="BF2399:BF2416" si="1784">IF(J2399&gt;1/1/1900,((J2399+1)-I2399),"STILL OPEN")</f>
        <v>2</v>
      </c>
      <c r="BG2399" s="111">
        <f t="shared" ref="BG2399:BG2419" si="1785">IF(G2399&gt;1/1/1900,((G2399+1)-I2399),"STILL OPEN")</f>
        <v>2</v>
      </c>
      <c r="BH2399" s="111">
        <f t="shared" si="1753"/>
        <v>2</v>
      </c>
      <c r="BI2399" s="111">
        <f t="shared" si="1754"/>
        <v>33.625683060109289</v>
      </c>
      <c r="BJ2399" s="129">
        <f t="shared" si="1772"/>
        <v>0</v>
      </c>
      <c r="BK2399" s="129">
        <f t="shared" si="1755"/>
        <v>0</v>
      </c>
      <c r="BL2399" s="129" t="str">
        <f t="shared" si="1748"/>
        <v>DEFERRED</v>
      </c>
      <c r="BM2399" s="129" t="str">
        <f t="shared" si="1756"/>
        <v>NONE</v>
      </c>
      <c r="BN2399" s="129" t="s">
        <v>566</v>
      </c>
      <c r="BP2399" s="137" t="str">
        <f t="shared" si="1757"/>
        <v>DEFERRED</v>
      </c>
      <c r="BQ2399" s="128" t="str">
        <f t="shared" si="1766"/>
        <v>Y</v>
      </c>
      <c r="BR2399" s="129" t="str">
        <f t="shared" si="1758"/>
        <v>DETAINED</v>
      </c>
      <c r="BS2399" s="129" t="str">
        <f t="shared" si="1759"/>
        <v>DISPOSED</v>
      </c>
      <c r="BT2399" s="129" t="str">
        <f t="shared" si="1760"/>
        <v>N</v>
      </c>
      <c r="BU2399" s="109">
        <f t="shared" si="1761"/>
        <v>1</v>
      </c>
      <c r="BV2399" s="109">
        <f t="shared" si="1767"/>
        <v>1</v>
      </c>
      <c r="BW2399" s="109">
        <f t="shared" si="1779"/>
        <v>0</v>
      </c>
      <c r="BX2399" s="111">
        <f t="shared" si="1762"/>
        <v>0</v>
      </c>
      <c r="BY2399" s="129">
        <f t="shared" si="1768"/>
        <v>-2</v>
      </c>
      <c r="BZ2399" s="111">
        <f t="shared" si="1769"/>
        <v>0</v>
      </c>
      <c r="CA2399" s="138">
        <f t="shared" si="1770"/>
        <v>2</v>
      </c>
      <c r="CB2399" s="111" t="e">
        <f t="shared" ref="CB2399:CB2416" si="1786">IF(AF2399&gt;1/1/1900,((AF2399+1)-AE2399),"STILL OPEN")</f>
        <v>#VALUE!</v>
      </c>
      <c r="CC2399" s="129">
        <f>G2399-I2399+1</f>
        <v>2</v>
      </c>
      <c r="CD2399" s="129">
        <f>G2399-J2399</f>
        <v>0</v>
      </c>
      <c r="CG2399" s="129" t="str">
        <f t="shared" si="1771"/>
        <v>Y</v>
      </c>
      <c r="CI2399" s="129" t="str">
        <f t="shared" si="1773"/>
        <v>0-10 DAYS</v>
      </c>
      <c r="CJ2399" s="137">
        <f t="shared" si="1774"/>
        <v>1</v>
      </c>
      <c r="CK2399" s="129" t="str">
        <f t="shared" si="1775"/>
        <v>Booked</v>
      </c>
    </row>
    <row r="2400" spans="1:89" ht="15" customHeight="1" x14ac:dyDescent="0.25">
      <c r="A2400" s="111">
        <v>894</v>
      </c>
      <c r="B2400" s="128" t="str">
        <f t="shared" si="1763"/>
        <v>N</v>
      </c>
      <c r="C2400" s="128" t="str">
        <f t="shared" si="1764"/>
        <v>N</v>
      </c>
      <c r="D2400" s="117">
        <v>2545576</v>
      </c>
      <c r="E2400" s="135">
        <f t="shared" si="1765"/>
        <v>1</v>
      </c>
      <c r="F2400" s="124">
        <v>40941</v>
      </c>
      <c r="G2400" s="125">
        <v>41086</v>
      </c>
      <c r="H2400" s="117">
        <v>2545576</v>
      </c>
      <c r="I2400" s="124">
        <v>40942</v>
      </c>
      <c r="J2400" s="124">
        <v>40950</v>
      </c>
      <c r="K2400" s="126">
        <v>5000</v>
      </c>
      <c r="L2400" s="127" t="s">
        <v>569</v>
      </c>
      <c r="M2400" s="125">
        <v>40950</v>
      </c>
      <c r="N2400" s="129" t="str">
        <f>IF(M2400&gt;1/1/1,"Y","N")</f>
        <v>Y</v>
      </c>
      <c r="O2400" s="128" t="s">
        <v>585</v>
      </c>
      <c r="P2400" s="129" t="s">
        <v>55</v>
      </c>
      <c r="Q2400" s="111">
        <f t="shared" si="1783"/>
        <v>9</v>
      </c>
      <c r="R2400" s="111">
        <f t="shared" si="1780"/>
        <v>146</v>
      </c>
      <c r="S2400" s="129">
        <v>0</v>
      </c>
      <c r="T2400" s="129">
        <v>1</v>
      </c>
      <c r="W2400" s="111"/>
      <c r="AC2400" s="130"/>
      <c r="AD2400" s="130">
        <v>33646</v>
      </c>
      <c r="AE2400" s="128" t="s">
        <v>32</v>
      </c>
      <c r="AF2400" s="128" t="s">
        <v>33</v>
      </c>
      <c r="AG2400" s="128" t="s">
        <v>872</v>
      </c>
      <c r="AH2400" s="108" t="s">
        <v>31</v>
      </c>
      <c r="AI2400" s="128" t="s">
        <v>71</v>
      </c>
      <c r="AJ2400" s="129" t="s">
        <v>55</v>
      </c>
      <c r="AK2400" s="129">
        <v>6</v>
      </c>
      <c r="AL2400" s="3" t="s">
        <v>55</v>
      </c>
      <c r="AP2400" s="129" t="s">
        <v>96</v>
      </c>
      <c r="AR2400" s="128" t="s">
        <v>67</v>
      </c>
      <c r="AS2400" s="129" t="s">
        <v>64</v>
      </c>
      <c r="AT2400" s="129" t="s">
        <v>261</v>
      </c>
      <c r="BC2400" s="129" t="s">
        <v>52</v>
      </c>
      <c r="BF2400" s="111">
        <f t="shared" si="1784"/>
        <v>9</v>
      </c>
      <c r="BG2400" s="111">
        <f t="shared" si="1785"/>
        <v>145</v>
      </c>
      <c r="BH2400" s="111">
        <f t="shared" si="1753"/>
        <v>146</v>
      </c>
      <c r="BI2400" s="111">
        <f t="shared" si="1754"/>
        <v>19.931693989071039</v>
      </c>
      <c r="BJ2400" s="129">
        <f>(G2400-J2400)+(M2400-G2400)</f>
        <v>0</v>
      </c>
      <c r="BK2400" s="129">
        <f t="shared" si="1755"/>
        <v>-136</v>
      </c>
      <c r="BL2400" s="129" t="str">
        <f t="shared" si="1748"/>
        <v>NO CONVICTION</v>
      </c>
      <c r="BM2400" s="129" t="s">
        <v>76</v>
      </c>
      <c r="BN2400" s="129" t="s">
        <v>88</v>
      </c>
      <c r="BP2400" s="137" t="str">
        <f t="shared" si="1757"/>
        <v>NO CONVICTION</v>
      </c>
      <c r="BQ2400" s="128" t="str">
        <f t="shared" si="1766"/>
        <v>Y</v>
      </c>
      <c r="BR2400" s="129" t="str">
        <f t="shared" si="1758"/>
        <v>ON BOND</v>
      </c>
      <c r="BS2400" s="129" t="str">
        <f t="shared" si="1759"/>
        <v>DISPOSED</v>
      </c>
      <c r="BT2400" s="129" t="str">
        <f t="shared" si="1760"/>
        <v>N</v>
      </c>
      <c r="BU2400" s="109">
        <f>IFERROR(Q2400/R2400,BR2400)</f>
        <v>6.1643835616438353E-2</v>
      </c>
      <c r="BV2400" s="109">
        <f t="shared" si="1767"/>
        <v>6.2068965517241378E-2</v>
      </c>
      <c r="BW2400" s="109">
        <f t="shared" si="1779"/>
        <v>4.2512990080302571E-4</v>
      </c>
      <c r="BX2400" s="111">
        <f t="shared" si="1762"/>
        <v>0</v>
      </c>
      <c r="BY2400" s="129">
        <f t="shared" si="1768"/>
        <v>-9</v>
      </c>
      <c r="BZ2400" s="111">
        <f t="shared" si="1769"/>
        <v>0</v>
      </c>
      <c r="CA2400" s="138">
        <f t="shared" si="1770"/>
        <v>9</v>
      </c>
      <c r="CB2400" s="111" t="e">
        <f t="shared" si="1786"/>
        <v>#VALUE!</v>
      </c>
      <c r="CC2400" s="129">
        <f>M2400-I2400+1</f>
        <v>9</v>
      </c>
      <c r="CD2400" s="111">
        <f>CC2400-BF2400</f>
        <v>0</v>
      </c>
      <c r="CG2400" s="129" t="str">
        <f t="shared" si="1771"/>
        <v>Y</v>
      </c>
      <c r="CI2400" s="129" t="str">
        <f t="shared" si="1773"/>
        <v>0-10 DAYS</v>
      </c>
      <c r="CJ2400" s="137">
        <f t="shared" si="1774"/>
        <v>1</v>
      </c>
      <c r="CK2400" s="129" t="str">
        <f t="shared" si="1775"/>
        <v>Booked</v>
      </c>
    </row>
    <row r="2401" spans="1:89" ht="15.75" customHeight="1" x14ac:dyDescent="0.25">
      <c r="A2401" s="111">
        <v>211</v>
      </c>
      <c r="B2401" s="128" t="str">
        <f t="shared" si="1763"/>
        <v>N</v>
      </c>
      <c r="C2401" s="128" t="str">
        <f t="shared" si="1764"/>
        <v>N</v>
      </c>
      <c r="D2401" s="117">
        <v>2545951</v>
      </c>
      <c r="E2401" s="135">
        <f t="shared" si="1765"/>
        <v>6</v>
      </c>
      <c r="F2401" s="124">
        <v>40918</v>
      </c>
      <c r="G2401" s="125">
        <v>41009</v>
      </c>
      <c r="H2401" s="117">
        <v>2545951</v>
      </c>
      <c r="I2401" s="124">
        <v>40919</v>
      </c>
      <c r="J2401" s="124">
        <v>41009</v>
      </c>
      <c r="K2401" s="126" t="s">
        <v>564</v>
      </c>
      <c r="L2401" s="127" t="s">
        <v>564</v>
      </c>
      <c r="N2401" s="129" t="s">
        <v>566</v>
      </c>
      <c r="O2401" s="128" t="s">
        <v>917</v>
      </c>
      <c r="P2401" s="129" t="s">
        <v>39</v>
      </c>
      <c r="Q2401" s="111">
        <f t="shared" si="1783"/>
        <v>91</v>
      </c>
      <c r="R2401" s="111">
        <f t="shared" si="1780"/>
        <v>92</v>
      </c>
      <c r="S2401" s="129">
        <v>1</v>
      </c>
      <c r="T2401" s="129">
        <v>1</v>
      </c>
      <c r="U2401" s="129">
        <v>1</v>
      </c>
      <c r="W2401" s="111"/>
      <c r="AC2401" s="130"/>
      <c r="AD2401" s="130">
        <v>34302</v>
      </c>
      <c r="AE2401" s="128" t="s">
        <v>32</v>
      </c>
      <c r="AF2401" s="128" t="s">
        <v>33</v>
      </c>
      <c r="AG2401" s="128" t="s">
        <v>872</v>
      </c>
      <c r="AH2401" s="108" t="s">
        <v>31</v>
      </c>
      <c r="AI2401" s="128" t="s">
        <v>62</v>
      </c>
      <c r="AJ2401" s="129" t="s">
        <v>89</v>
      </c>
      <c r="AK2401" s="129">
        <v>4</v>
      </c>
      <c r="AL2401" s="3" t="s">
        <v>362</v>
      </c>
      <c r="AM2401" s="117">
        <v>3</v>
      </c>
      <c r="AP2401" s="129" t="s">
        <v>56</v>
      </c>
      <c r="AR2401" s="128" t="s">
        <v>50</v>
      </c>
      <c r="AS2401" s="129" t="s">
        <v>57</v>
      </c>
      <c r="BC2401" s="129" t="s">
        <v>52</v>
      </c>
      <c r="BF2401" s="111">
        <f t="shared" si="1784"/>
        <v>91</v>
      </c>
      <c r="BG2401" s="111">
        <f t="shared" si="1785"/>
        <v>91</v>
      </c>
      <c r="BH2401" s="111">
        <f t="shared" si="1753"/>
        <v>92</v>
      </c>
      <c r="BI2401" s="111">
        <f t="shared" si="1754"/>
        <v>18.076502732240439</v>
      </c>
      <c r="BJ2401" s="129">
        <f t="shared" si="1772"/>
        <v>0</v>
      </c>
      <c r="BK2401" s="129">
        <f t="shared" si="1755"/>
        <v>0</v>
      </c>
      <c r="BL2401" s="129" t="str">
        <f t="shared" si="1748"/>
        <v>CONVICTION</v>
      </c>
      <c r="BM2401" s="129" t="str">
        <f t="shared" si="1756"/>
        <v>NONE</v>
      </c>
      <c r="BN2401" s="129" t="s">
        <v>566</v>
      </c>
      <c r="BP2401" s="137" t="str">
        <f t="shared" si="1757"/>
        <v>CONVICTION</v>
      </c>
      <c r="BQ2401" s="128" t="str">
        <f t="shared" si="1766"/>
        <v>Y</v>
      </c>
      <c r="BR2401" s="129" t="str">
        <f t="shared" si="1758"/>
        <v>DETAINED</v>
      </c>
      <c r="BS2401" s="129" t="str">
        <f t="shared" si="1759"/>
        <v>DISPOSED</v>
      </c>
      <c r="BT2401" s="129" t="str">
        <f t="shared" si="1760"/>
        <v>Y</v>
      </c>
      <c r="BU2401" s="109">
        <f t="shared" si="1761"/>
        <v>0.98913043478260865</v>
      </c>
      <c r="BV2401" s="109">
        <f t="shared" si="1767"/>
        <v>1</v>
      </c>
      <c r="BW2401" s="109">
        <f t="shared" si="1779"/>
        <v>1.0869565217391353E-2</v>
      </c>
      <c r="BX2401" s="111">
        <f t="shared" si="1762"/>
        <v>0</v>
      </c>
      <c r="BY2401" s="129">
        <f t="shared" si="1768"/>
        <v>-91</v>
      </c>
      <c r="BZ2401" s="111">
        <f t="shared" si="1769"/>
        <v>0</v>
      </c>
      <c r="CA2401" s="138">
        <f t="shared" si="1770"/>
        <v>91</v>
      </c>
      <c r="CB2401" s="111" t="e">
        <f t="shared" si="1786"/>
        <v>#VALUE!</v>
      </c>
      <c r="CC2401" s="129">
        <f>G2401-I2401+1</f>
        <v>91</v>
      </c>
      <c r="CD2401" s="129">
        <f>G2401-J2401</f>
        <v>0</v>
      </c>
      <c r="CG2401" s="129" t="str">
        <f t="shared" si="1771"/>
        <v>Y</v>
      </c>
      <c r="CI2401" s="129" t="str">
        <f t="shared" si="1773"/>
        <v>91-120 DAYS</v>
      </c>
      <c r="CJ2401" s="137">
        <f t="shared" si="1774"/>
        <v>0</v>
      </c>
      <c r="CK2401" s="129" t="str">
        <f t="shared" si="1775"/>
        <v>Booked</v>
      </c>
    </row>
    <row r="2402" spans="1:89" ht="15" customHeight="1" x14ac:dyDescent="0.25">
      <c r="A2402" s="111">
        <v>37</v>
      </c>
      <c r="B2402" s="128" t="str">
        <f t="shared" si="1763"/>
        <v>N</v>
      </c>
      <c r="C2402" s="128" t="str">
        <f t="shared" si="1764"/>
        <v>N</v>
      </c>
      <c r="D2402" s="117">
        <v>2546191</v>
      </c>
      <c r="E2402" s="135">
        <f t="shared" si="1765"/>
        <v>2</v>
      </c>
      <c r="F2402" s="124">
        <v>40911</v>
      </c>
      <c r="G2402" s="125">
        <v>41044</v>
      </c>
      <c r="H2402" s="117">
        <v>2546191</v>
      </c>
      <c r="I2402" s="124">
        <v>40911</v>
      </c>
      <c r="J2402" s="124">
        <v>40915</v>
      </c>
      <c r="K2402" s="126">
        <v>10000</v>
      </c>
      <c r="L2402" s="127" t="s">
        <v>570</v>
      </c>
      <c r="M2402" s="125">
        <v>40915</v>
      </c>
      <c r="N2402" s="129" t="str">
        <f>IF(M2402&gt;1/1/1,"Y","N")</f>
        <v>Y</v>
      </c>
      <c r="O2402" s="128" t="s">
        <v>76</v>
      </c>
      <c r="P2402" s="129" t="s">
        <v>589</v>
      </c>
      <c r="Q2402" s="111">
        <f t="shared" si="1783"/>
        <v>5</v>
      </c>
      <c r="R2402" s="111">
        <f t="shared" si="1780"/>
        <v>134</v>
      </c>
      <c r="S2402" s="129">
        <v>1</v>
      </c>
      <c r="T2402" s="129">
        <v>0</v>
      </c>
      <c r="V2402" s="117">
        <v>1</v>
      </c>
      <c r="W2402" s="111"/>
      <c r="AC2402" s="130"/>
      <c r="AD2402" s="130">
        <v>34214</v>
      </c>
      <c r="AE2402" s="128" t="s">
        <v>32</v>
      </c>
      <c r="AF2402" s="128" t="s">
        <v>69</v>
      </c>
      <c r="AG2402" s="128" t="s">
        <v>874</v>
      </c>
      <c r="AH2402" s="108" t="s">
        <v>31</v>
      </c>
      <c r="AI2402" s="128" t="s">
        <v>87</v>
      </c>
      <c r="AJ2402" s="129" t="s">
        <v>48</v>
      </c>
      <c r="AK2402" s="129">
        <v>5</v>
      </c>
      <c r="AL2402" s="3" t="s">
        <v>48</v>
      </c>
      <c r="AP2402" s="129" t="s">
        <v>104</v>
      </c>
      <c r="AR2402" s="128" t="s">
        <v>44</v>
      </c>
      <c r="AS2402" s="129" t="s">
        <v>64</v>
      </c>
      <c r="BC2402" s="129" t="s">
        <v>52</v>
      </c>
      <c r="BF2402" s="111">
        <f t="shared" si="1784"/>
        <v>5</v>
      </c>
      <c r="BG2402" s="111">
        <f t="shared" si="1785"/>
        <v>134</v>
      </c>
      <c r="BH2402" s="111">
        <f t="shared" si="1753"/>
        <v>134</v>
      </c>
      <c r="BI2402" s="111">
        <f t="shared" si="1754"/>
        <v>18.297814207650273</v>
      </c>
      <c r="BJ2402" s="129">
        <f>(G2402-J2402)+(M2402-G2402)</f>
        <v>0</v>
      </c>
      <c r="BK2402" s="129">
        <f t="shared" si="1755"/>
        <v>-129</v>
      </c>
      <c r="BL2402" s="129" t="str">
        <f t="shared" si="1748"/>
        <v>DEFERRED</v>
      </c>
      <c r="BM2402" s="129" t="s">
        <v>76</v>
      </c>
      <c r="BN2402" s="129" t="s">
        <v>88</v>
      </c>
      <c r="BP2402" s="137" t="str">
        <f t="shared" si="1757"/>
        <v>DEFERRED</v>
      </c>
      <c r="BQ2402" s="128" t="str">
        <f t="shared" si="1766"/>
        <v>Y</v>
      </c>
      <c r="BR2402" s="129" t="str">
        <f t="shared" si="1758"/>
        <v>ON BOND</v>
      </c>
      <c r="BS2402" s="129" t="str">
        <f t="shared" si="1759"/>
        <v>DISPOSED</v>
      </c>
      <c r="BT2402" s="129" t="str">
        <f t="shared" si="1760"/>
        <v>Y</v>
      </c>
      <c r="BU2402" s="109">
        <f t="shared" si="1761"/>
        <v>3.7313432835820892E-2</v>
      </c>
      <c r="BV2402" s="109">
        <f t="shared" si="1767"/>
        <v>3.7313432835820892E-2</v>
      </c>
      <c r="BW2402" s="109">
        <f t="shared" si="1779"/>
        <v>0</v>
      </c>
      <c r="BX2402" s="111">
        <f t="shared" si="1762"/>
        <v>0</v>
      </c>
      <c r="BY2402" s="129">
        <f t="shared" si="1768"/>
        <v>-5</v>
      </c>
      <c r="BZ2402" s="111">
        <f t="shared" si="1769"/>
        <v>0</v>
      </c>
      <c r="CA2402" s="138">
        <f t="shared" si="1770"/>
        <v>5</v>
      </c>
      <c r="CB2402" s="111" t="e">
        <f t="shared" si="1786"/>
        <v>#VALUE!</v>
      </c>
      <c r="CC2402" s="129">
        <f>M2402-I2402+1</f>
        <v>5</v>
      </c>
      <c r="CD2402" s="111">
        <f>CC2402-BF2402</f>
        <v>0</v>
      </c>
      <c r="CG2402" s="129" t="str">
        <f t="shared" si="1771"/>
        <v>Y</v>
      </c>
      <c r="CI2402" s="129" t="str">
        <f t="shared" si="1773"/>
        <v>0-10 DAYS</v>
      </c>
      <c r="CJ2402" s="137">
        <f t="shared" si="1774"/>
        <v>1</v>
      </c>
      <c r="CK2402" s="129" t="str">
        <f t="shared" si="1775"/>
        <v>Booked</v>
      </c>
    </row>
    <row r="2403" spans="1:89" ht="15.75" customHeight="1" x14ac:dyDescent="0.25">
      <c r="A2403" s="111">
        <v>2421</v>
      </c>
      <c r="B2403" s="128" t="str">
        <f t="shared" si="1763"/>
        <v>N</v>
      </c>
      <c r="C2403" s="128" t="str">
        <f t="shared" si="1764"/>
        <v>N</v>
      </c>
      <c r="D2403" s="117">
        <v>2546455</v>
      </c>
      <c r="E2403" s="135">
        <f t="shared" si="1765"/>
        <v>2</v>
      </c>
      <c r="F2403" s="124">
        <v>41028</v>
      </c>
      <c r="G2403" s="125">
        <v>41134</v>
      </c>
      <c r="H2403" s="117">
        <v>2546455</v>
      </c>
      <c r="I2403" s="124">
        <v>41029</v>
      </c>
      <c r="J2403" s="124">
        <v>41134</v>
      </c>
      <c r="K2403" s="126" t="s">
        <v>564</v>
      </c>
      <c r="L2403" s="127" t="s">
        <v>564</v>
      </c>
      <c r="N2403" s="129" t="s">
        <v>566</v>
      </c>
      <c r="O2403" s="128" t="s">
        <v>917</v>
      </c>
      <c r="P2403" s="129" t="s">
        <v>589</v>
      </c>
      <c r="Q2403" s="111">
        <f t="shared" si="1783"/>
        <v>106</v>
      </c>
      <c r="R2403" s="111">
        <f t="shared" si="1780"/>
        <v>107</v>
      </c>
      <c r="S2403" s="129">
        <v>0</v>
      </c>
      <c r="T2403" s="129">
        <v>0</v>
      </c>
      <c r="W2403" s="111"/>
      <c r="AB2403" s="131" t="s">
        <v>112</v>
      </c>
      <c r="AC2403" s="130"/>
      <c r="AD2403" s="130">
        <v>32880</v>
      </c>
      <c r="AE2403" s="128" t="s">
        <v>32</v>
      </c>
      <c r="AF2403" s="128" t="s">
        <v>40</v>
      </c>
      <c r="AG2403" s="128" t="s">
        <v>41</v>
      </c>
      <c r="AH2403" s="108" t="s">
        <v>31</v>
      </c>
      <c r="AI2403" s="128" t="s">
        <v>100</v>
      </c>
      <c r="AJ2403" s="129" t="s">
        <v>48</v>
      </c>
      <c r="AK2403" s="129">
        <v>4</v>
      </c>
      <c r="AL2403" s="3" t="s">
        <v>48</v>
      </c>
      <c r="AP2403" s="129" t="s">
        <v>43</v>
      </c>
      <c r="AR2403" s="128" t="s">
        <v>44</v>
      </c>
      <c r="AS2403" s="129" t="s">
        <v>45</v>
      </c>
      <c r="BC2403" s="129" t="s">
        <v>38</v>
      </c>
      <c r="BF2403" s="111">
        <f t="shared" si="1784"/>
        <v>106</v>
      </c>
      <c r="BG2403" s="111">
        <f t="shared" si="1785"/>
        <v>106</v>
      </c>
      <c r="BH2403" s="111">
        <f t="shared" si="1753"/>
        <v>107</v>
      </c>
      <c r="BI2403" s="111">
        <f t="shared" si="1754"/>
        <v>22.262295081967213</v>
      </c>
      <c r="BJ2403" s="129">
        <f t="shared" si="1772"/>
        <v>0</v>
      </c>
      <c r="BK2403" s="129">
        <f t="shared" si="1755"/>
        <v>0</v>
      </c>
      <c r="BL2403" s="129" t="str">
        <f t="shared" si="1748"/>
        <v>DEFERRED</v>
      </c>
      <c r="BM2403" s="129" t="str">
        <f t="shared" si="1756"/>
        <v>NONE</v>
      </c>
      <c r="BN2403" s="129" t="s">
        <v>566</v>
      </c>
      <c r="BP2403" s="137" t="str">
        <f t="shared" si="1757"/>
        <v>DEFERRED</v>
      </c>
      <c r="BQ2403" s="128" t="str">
        <f t="shared" si="1766"/>
        <v>Y</v>
      </c>
      <c r="BR2403" s="129" t="str">
        <f t="shared" si="1758"/>
        <v>DETAINED</v>
      </c>
      <c r="BS2403" s="129" t="str">
        <f t="shared" si="1759"/>
        <v>DISPOSED</v>
      </c>
      <c r="BT2403" s="129" t="str">
        <f t="shared" si="1760"/>
        <v>N</v>
      </c>
      <c r="BU2403" s="109">
        <f t="shared" si="1761"/>
        <v>0.99065420560747663</v>
      </c>
      <c r="BV2403" s="109">
        <f t="shared" si="1767"/>
        <v>1</v>
      </c>
      <c r="BW2403" s="109">
        <f t="shared" si="1779"/>
        <v>9.3457943925233655E-3</v>
      </c>
      <c r="BX2403" s="111">
        <f t="shared" si="1762"/>
        <v>0</v>
      </c>
      <c r="BY2403" s="129">
        <f t="shared" si="1768"/>
        <v>-106</v>
      </c>
      <c r="BZ2403" s="111">
        <f t="shared" si="1769"/>
        <v>0</v>
      </c>
      <c r="CA2403" s="138">
        <f t="shared" si="1770"/>
        <v>106</v>
      </c>
      <c r="CB2403" s="111" t="e">
        <f t="shared" si="1786"/>
        <v>#VALUE!</v>
      </c>
      <c r="CC2403" s="129">
        <f>G2403-I2403+1</f>
        <v>106</v>
      </c>
      <c r="CD2403" s="129">
        <f>G2403-J2403</f>
        <v>0</v>
      </c>
      <c r="CG2403" s="129" t="str">
        <f t="shared" si="1771"/>
        <v>N</v>
      </c>
      <c r="CI2403" s="129" t="str">
        <f t="shared" si="1773"/>
        <v>91-120 DAYS</v>
      </c>
      <c r="CJ2403" s="137">
        <f t="shared" si="1774"/>
        <v>0</v>
      </c>
      <c r="CK2403" s="129" t="str">
        <f t="shared" si="1775"/>
        <v>Booked</v>
      </c>
    </row>
    <row r="2404" spans="1:89" ht="15.75" customHeight="1" x14ac:dyDescent="0.25">
      <c r="A2404" s="111">
        <v>2887</v>
      </c>
      <c r="B2404" s="128" t="str">
        <f t="shared" si="1763"/>
        <v>N</v>
      </c>
      <c r="C2404" s="128" t="str">
        <f t="shared" si="1764"/>
        <v>N</v>
      </c>
      <c r="D2404" s="117">
        <v>2546611</v>
      </c>
      <c r="E2404" s="135">
        <f t="shared" si="1765"/>
        <v>1</v>
      </c>
      <c r="F2404" s="124">
        <v>41016</v>
      </c>
      <c r="G2404" s="125">
        <v>41059</v>
      </c>
      <c r="H2404" s="117">
        <v>2546611</v>
      </c>
      <c r="I2404" s="124">
        <v>41018</v>
      </c>
      <c r="J2404" s="124">
        <v>41059</v>
      </c>
      <c r="K2404" s="126">
        <v>10000</v>
      </c>
      <c r="L2404" s="127" t="s">
        <v>570</v>
      </c>
      <c r="N2404" s="129" t="str">
        <f t="shared" ref="N2404:N2411" si="1787">IF(M2404&gt;1/1/1,"Y","N")</f>
        <v>N</v>
      </c>
      <c r="O2404" s="128" t="s">
        <v>917</v>
      </c>
      <c r="P2404" s="129" t="s">
        <v>123</v>
      </c>
      <c r="Q2404" s="111">
        <f t="shared" si="1783"/>
        <v>42</v>
      </c>
      <c r="R2404" s="111">
        <f t="shared" si="1780"/>
        <v>44</v>
      </c>
      <c r="S2404" s="129">
        <v>1</v>
      </c>
      <c r="T2404" s="129">
        <v>0</v>
      </c>
      <c r="W2404" s="111"/>
      <c r="AC2404" s="130"/>
      <c r="AD2404" s="130">
        <v>34154</v>
      </c>
      <c r="AE2404" s="128" t="s">
        <v>32</v>
      </c>
      <c r="AF2404" s="128" t="s">
        <v>33</v>
      </c>
      <c r="AG2404" s="128" t="s">
        <v>872</v>
      </c>
      <c r="AH2404" s="108" t="s">
        <v>31</v>
      </c>
      <c r="AI2404" s="128" t="s">
        <v>90</v>
      </c>
      <c r="AJ2404" s="129" t="s">
        <v>123</v>
      </c>
      <c r="AK2404" s="129">
        <v>4</v>
      </c>
      <c r="AL2404" s="3" t="s">
        <v>123</v>
      </c>
      <c r="AP2404" s="129" t="s">
        <v>186</v>
      </c>
      <c r="AR2404" s="128" t="s">
        <v>50</v>
      </c>
      <c r="AS2404" s="129" t="s">
        <v>106</v>
      </c>
      <c r="BC2404" s="129" t="s">
        <v>38</v>
      </c>
      <c r="BF2404" s="111">
        <f t="shared" si="1784"/>
        <v>42</v>
      </c>
      <c r="BG2404" s="111">
        <f t="shared" si="1785"/>
        <v>42</v>
      </c>
      <c r="BH2404" s="111">
        <f t="shared" si="1753"/>
        <v>44</v>
      </c>
      <c r="BI2404" s="111">
        <f t="shared" si="1754"/>
        <v>18.748633879781419</v>
      </c>
      <c r="BJ2404" s="129">
        <f t="shared" si="1772"/>
        <v>0</v>
      </c>
      <c r="BK2404" s="129">
        <f t="shared" si="1755"/>
        <v>0</v>
      </c>
      <c r="BL2404" s="129" t="str">
        <f t="shared" si="1748"/>
        <v>NO CONVICTION</v>
      </c>
      <c r="BM2404" s="129" t="str">
        <f t="shared" si="1756"/>
        <v>NONE</v>
      </c>
      <c r="BN2404" s="129" t="s">
        <v>566</v>
      </c>
      <c r="BP2404" s="137" t="str">
        <f t="shared" si="1757"/>
        <v>NO CONVICTION</v>
      </c>
      <c r="BQ2404" s="128" t="str">
        <f t="shared" si="1766"/>
        <v>Y</v>
      </c>
      <c r="BR2404" s="129" t="str">
        <f t="shared" si="1758"/>
        <v>DETAINED</v>
      </c>
      <c r="BS2404" s="129" t="str">
        <f t="shared" si="1759"/>
        <v>DISPOSED</v>
      </c>
      <c r="BT2404" s="129" t="str">
        <f t="shared" si="1760"/>
        <v>Y</v>
      </c>
      <c r="BU2404" s="109">
        <f>IFERROR(Q2404/R2404,BR2404)</f>
        <v>0.95454545454545459</v>
      </c>
      <c r="BV2404" s="109">
        <f t="shared" si="1767"/>
        <v>1</v>
      </c>
      <c r="BW2404" s="109">
        <f t="shared" si="1779"/>
        <v>4.5454545454545414E-2</v>
      </c>
      <c r="BX2404" s="111">
        <f t="shared" si="1762"/>
        <v>0</v>
      </c>
      <c r="BY2404" s="129">
        <f t="shared" si="1768"/>
        <v>-42</v>
      </c>
      <c r="BZ2404" s="111">
        <f t="shared" si="1769"/>
        <v>0</v>
      </c>
      <c r="CA2404" s="138">
        <f t="shared" si="1770"/>
        <v>42</v>
      </c>
      <c r="CB2404" s="111" t="e">
        <f t="shared" si="1786"/>
        <v>#VALUE!</v>
      </c>
      <c r="CC2404" s="129">
        <f>G2404-I2404+1</f>
        <v>42</v>
      </c>
      <c r="CD2404" s="129">
        <f>G2404-J2404</f>
        <v>0</v>
      </c>
      <c r="CG2404" s="129" t="str">
        <f t="shared" si="1771"/>
        <v>Y</v>
      </c>
      <c r="CI2404" s="129" t="str">
        <f t="shared" si="1773"/>
        <v>31-60 DAYS</v>
      </c>
      <c r="CJ2404" s="137">
        <f t="shared" si="1774"/>
        <v>3</v>
      </c>
      <c r="CK2404" s="129" t="str">
        <f t="shared" si="1775"/>
        <v>Booked</v>
      </c>
    </row>
    <row r="2405" spans="1:89" ht="15.75" customHeight="1" x14ac:dyDescent="0.25">
      <c r="A2405" s="111">
        <v>1590</v>
      </c>
      <c r="B2405" s="128" t="str">
        <f t="shared" si="1763"/>
        <v>N</v>
      </c>
      <c r="C2405" s="128" t="str">
        <f t="shared" si="1764"/>
        <v>N</v>
      </c>
      <c r="D2405" s="117">
        <v>2547881</v>
      </c>
      <c r="E2405" s="135">
        <f t="shared" si="1765"/>
        <v>1</v>
      </c>
      <c r="F2405" s="124">
        <v>40968</v>
      </c>
      <c r="G2405" s="125">
        <v>40969</v>
      </c>
      <c r="H2405" s="117">
        <v>2547881</v>
      </c>
      <c r="I2405" s="124">
        <v>40968</v>
      </c>
      <c r="J2405" s="124">
        <v>40969</v>
      </c>
      <c r="K2405" s="126">
        <v>5000</v>
      </c>
      <c r="L2405" s="127" t="s">
        <v>569</v>
      </c>
      <c r="N2405" s="129" t="str">
        <f t="shared" si="1787"/>
        <v>N</v>
      </c>
      <c r="O2405" s="128" t="s">
        <v>917</v>
      </c>
      <c r="P2405" s="129" t="s">
        <v>55</v>
      </c>
      <c r="Q2405" s="111">
        <f t="shared" si="1783"/>
        <v>2</v>
      </c>
      <c r="R2405" s="111">
        <f t="shared" si="1780"/>
        <v>2</v>
      </c>
      <c r="S2405" s="129">
        <v>1</v>
      </c>
      <c r="T2405" s="129">
        <v>0</v>
      </c>
      <c r="W2405" s="111"/>
      <c r="AC2405" s="130"/>
      <c r="AD2405" s="130">
        <v>21342</v>
      </c>
      <c r="AE2405" s="128" t="s">
        <v>32</v>
      </c>
      <c r="AF2405" s="128" t="s">
        <v>33</v>
      </c>
      <c r="AG2405" s="128" t="s">
        <v>872</v>
      </c>
      <c r="AH2405" s="108" t="s">
        <v>31</v>
      </c>
      <c r="AI2405" s="128" t="s">
        <v>70</v>
      </c>
      <c r="AJ2405" s="129" t="s">
        <v>55</v>
      </c>
      <c r="AK2405" s="129">
        <v>1</v>
      </c>
      <c r="AL2405" s="3" t="s">
        <v>55</v>
      </c>
      <c r="AP2405" s="129" t="s">
        <v>43</v>
      </c>
      <c r="AR2405" s="128" t="s">
        <v>44</v>
      </c>
      <c r="AS2405" s="129" t="s">
        <v>45</v>
      </c>
      <c r="BC2405" s="129" t="s">
        <v>79</v>
      </c>
      <c r="BF2405" s="111">
        <f t="shared" si="1784"/>
        <v>2</v>
      </c>
      <c r="BG2405" s="111">
        <f t="shared" si="1785"/>
        <v>2</v>
      </c>
      <c r="BH2405" s="111">
        <f t="shared" si="1753"/>
        <v>2</v>
      </c>
      <c r="BI2405" s="111">
        <f t="shared" si="1754"/>
        <v>53.622950819672134</v>
      </c>
      <c r="BJ2405" s="129">
        <f t="shared" si="1772"/>
        <v>0</v>
      </c>
      <c r="BK2405" s="129">
        <f t="shared" si="1755"/>
        <v>0</v>
      </c>
      <c r="BL2405" s="129" t="str">
        <f t="shared" si="1748"/>
        <v>NO CONVICTION</v>
      </c>
      <c r="BM2405" s="129" t="str">
        <f t="shared" si="1756"/>
        <v>NONE</v>
      </c>
      <c r="BN2405" s="129" t="s">
        <v>566</v>
      </c>
      <c r="BP2405" s="137" t="str">
        <f t="shared" si="1757"/>
        <v>NO CONVICTION</v>
      </c>
      <c r="BQ2405" s="128" t="str">
        <f t="shared" si="1766"/>
        <v>Y</v>
      </c>
      <c r="BR2405" s="129" t="str">
        <f t="shared" si="1758"/>
        <v>DETAINED</v>
      </c>
      <c r="BS2405" s="129" t="str">
        <f t="shared" si="1759"/>
        <v>DISPOSED</v>
      </c>
      <c r="BT2405" s="129" t="str">
        <f t="shared" si="1760"/>
        <v>Y</v>
      </c>
      <c r="BU2405" s="109">
        <f>IFERROR(Q2405/R2405,BR2405)</f>
        <v>1</v>
      </c>
      <c r="BV2405" s="109">
        <f t="shared" si="1767"/>
        <v>1</v>
      </c>
      <c r="BW2405" s="109">
        <f t="shared" si="1779"/>
        <v>0</v>
      </c>
      <c r="BX2405" s="111">
        <f t="shared" si="1762"/>
        <v>0</v>
      </c>
      <c r="BY2405" s="129">
        <f t="shared" si="1768"/>
        <v>-2</v>
      </c>
      <c r="BZ2405" s="111">
        <f t="shared" si="1769"/>
        <v>0</v>
      </c>
      <c r="CA2405" s="138">
        <f t="shared" si="1770"/>
        <v>2</v>
      </c>
      <c r="CB2405" s="111" t="e">
        <f t="shared" si="1786"/>
        <v>#VALUE!</v>
      </c>
      <c r="CC2405" s="129">
        <f>G2405-I2405+1</f>
        <v>2</v>
      </c>
      <c r="CD2405" s="129">
        <f>G2405-J2405</f>
        <v>0</v>
      </c>
      <c r="CG2405" s="129" t="str">
        <f t="shared" si="1771"/>
        <v>Y</v>
      </c>
      <c r="CI2405" s="129" t="str">
        <f t="shared" si="1773"/>
        <v>0-10 DAYS</v>
      </c>
      <c r="CJ2405" s="137">
        <f t="shared" si="1774"/>
        <v>1</v>
      </c>
      <c r="CK2405" s="129" t="str">
        <f t="shared" si="1775"/>
        <v>Booked</v>
      </c>
    </row>
    <row r="2406" spans="1:89" ht="15.75" customHeight="1" x14ac:dyDescent="0.25">
      <c r="A2406" s="111">
        <v>1780</v>
      </c>
      <c r="B2406" s="128" t="str">
        <f t="shared" si="1763"/>
        <v>N</v>
      </c>
      <c r="C2406" s="128" t="str">
        <f t="shared" si="1764"/>
        <v>N</v>
      </c>
      <c r="D2406" s="117">
        <v>2547883</v>
      </c>
      <c r="E2406" s="135">
        <f t="shared" si="1765"/>
        <v>1</v>
      </c>
      <c r="F2406" s="124">
        <v>40975</v>
      </c>
      <c r="G2406" s="125">
        <v>40977</v>
      </c>
      <c r="H2406" s="117">
        <v>2547883</v>
      </c>
      <c r="I2406" s="124">
        <v>40975</v>
      </c>
      <c r="J2406" s="124">
        <v>40977</v>
      </c>
      <c r="K2406" s="126">
        <v>100000</v>
      </c>
      <c r="L2406" s="129" t="s">
        <v>572</v>
      </c>
      <c r="N2406" s="129" t="str">
        <f t="shared" si="1787"/>
        <v>N</v>
      </c>
      <c r="O2406" s="128" t="s">
        <v>917</v>
      </c>
      <c r="P2406" s="129" t="s">
        <v>55</v>
      </c>
      <c r="Q2406" s="111">
        <f t="shared" si="1783"/>
        <v>3</v>
      </c>
      <c r="R2406" s="111">
        <f t="shared" si="1780"/>
        <v>3</v>
      </c>
      <c r="S2406" s="129">
        <v>0</v>
      </c>
      <c r="T2406" s="129">
        <v>3</v>
      </c>
      <c r="W2406" s="111"/>
      <c r="AC2406" s="130"/>
      <c r="AD2406" s="130">
        <v>32257</v>
      </c>
      <c r="AE2406" s="128" t="s">
        <v>32</v>
      </c>
      <c r="AF2406" s="128" t="s">
        <v>33</v>
      </c>
      <c r="AG2406" s="128" t="s">
        <v>872</v>
      </c>
      <c r="AH2406" s="108" t="s">
        <v>31</v>
      </c>
      <c r="AI2406" s="128" t="s">
        <v>71</v>
      </c>
      <c r="AJ2406" s="129" t="s">
        <v>55</v>
      </c>
      <c r="AK2406" s="129">
        <v>1</v>
      </c>
      <c r="AL2406" s="3" t="s">
        <v>55</v>
      </c>
      <c r="AP2406" s="129" t="s">
        <v>105</v>
      </c>
      <c r="AR2406" s="128" t="s">
        <v>92</v>
      </c>
      <c r="AS2406" s="129" t="s">
        <v>106</v>
      </c>
      <c r="BC2406" s="129" t="s">
        <v>79</v>
      </c>
      <c r="BF2406" s="111">
        <f t="shared" si="1784"/>
        <v>3</v>
      </c>
      <c r="BG2406" s="111">
        <f t="shared" si="1785"/>
        <v>3</v>
      </c>
      <c r="BH2406" s="111">
        <f t="shared" si="1753"/>
        <v>3</v>
      </c>
      <c r="BI2406" s="111">
        <f t="shared" si="1754"/>
        <v>23.819672131147541</v>
      </c>
      <c r="BJ2406" s="129">
        <f t="shared" si="1772"/>
        <v>0</v>
      </c>
      <c r="BK2406" s="129">
        <f t="shared" si="1755"/>
        <v>0</v>
      </c>
      <c r="BL2406" s="129" t="str">
        <f t="shared" si="1748"/>
        <v>NO CONVICTION</v>
      </c>
      <c r="BM2406" s="129" t="str">
        <f t="shared" si="1756"/>
        <v>NONE</v>
      </c>
      <c r="BN2406" s="129" t="s">
        <v>566</v>
      </c>
      <c r="BP2406" s="137" t="str">
        <f t="shared" si="1757"/>
        <v>NO CONVICTION</v>
      </c>
      <c r="BQ2406" s="128" t="str">
        <f t="shared" si="1766"/>
        <v>Y</v>
      </c>
      <c r="BR2406" s="129" t="str">
        <f t="shared" si="1758"/>
        <v>DETAINED</v>
      </c>
      <c r="BS2406" s="129" t="str">
        <f t="shared" si="1759"/>
        <v>DISPOSED</v>
      </c>
      <c r="BT2406" s="129" t="str">
        <f t="shared" si="1760"/>
        <v>N</v>
      </c>
      <c r="BU2406" s="109">
        <f>IFERROR(Q2406/R2406,BR2406)</f>
        <v>1</v>
      </c>
      <c r="BV2406" s="109">
        <f t="shared" si="1767"/>
        <v>1</v>
      </c>
      <c r="BW2406" s="109">
        <f t="shared" si="1779"/>
        <v>0</v>
      </c>
      <c r="BX2406" s="111">
        <f t="shared" si="1762"/>
        <v>0</v>
      </c>
      <c r="BY2406" s="129">
        <f t="shared" si="1768"/>
        <v>-3</v>
      </c>
      <c r="BZ2406" s="111">
        <f t="shared" si="1769"/>
        <v>0</v>
      </c>
      <c r="CA2406" s="138">
        <f t="shared" si="1770"/>
        <v>3</v>
      </c>
      <c r="CB2406" s="111" t="e">
        <f t="shared" si="1786"/>
        <v>#VALUE!</v>
      </c>
      <c r="CC2406" s="129">
        <f>G2406-I2406+1</f>
        <v>3</v>
      </c>
      <c r="CD2406" s="129">
        <f>G2406-J2406</f>
        <v>0</v>
      </c>
      <c r="CG2406" s="129" t="str">
        <f t="shared" si="1771"/>
        <v>Y</v>
      </c>
      <c r="CI2406" s="129" t="str">
        <f t="shared" si="1773"/>
        <v>0-10 DAYS</v>
      </c>
      <c r="CJ2406" s="137">
        <f t="shared" si="1774"/>
        <v>1</v>
      </c>
      <c r="CK2406" s="129" t="str">
        <f t="shared" si="1775"/>
        <v>Booked</v>
      </c>
    </row>
    <row r="2407" spans="1:89" ht="15" customHeight="1" x14ac:dyDescent="0.25">
      <c r="A2407" s="111">
        <v>2724</v>
      </c>
      <c r="B2407" s="128" t="str">
        <f t="shared" si="1763"/>
        <v>N</v>
      </c>
      <c r="C2407" s="128" t="str">
        <f t="shared" si="1764"/>
        <v>N</v>
      </c>
      <c r="D2407" s="117">
        <v>2547970</v>
      </c>
      <c r="E2407" s="135">
        <f t="shared" si="1765"/>
        <v>2</v>
      </c>
      <c r="F2407" s="124">
        <v>41010</v>
      </c>
      <c r="G2407" s="125">
        <v>41142</v>
      </c>
      <c r="H2407" s="117">
        <v>2547970</v>
      </c>
      <c r="I2407" s="124">
        <v>41010</v>
      </c>
      <c r="J2407" s="124">
        <v>41013</v>
      </c>
      <c r="K2407" s="126">
        <v>5000</v>
      </c>
      <c r="L2407" s="127" t="s">
        <v>569</v>
      </c>
      <c r="M2407" s="125">
        <v>41013</v>
      </c>
      <c r="N2407" s="129" t="str">
        <f t="shared" si="1787"/>
        <v>Y</v>
      </c>
      <c r="O2407" s="128" t="s">
        <v>585</v>
      </c>
      <c r="P2407" s="129" t="s">
        <v>589</v>
      </c>
      <c r="Q2407" s="111">
        <f t="shared" si="1783"/>
        <v>4</v>
      </c>
      <c r="R2407" s="111">
        <f t="shared" si="1780"/>
        <v>133</v>
      </c>
      <c r="S2407" s="129">
        <v>0</v>
      </c>
      <c r="T2407" s="129">
        <v>0</v>
      </c>
      <c r="W2407" s="111"/>
      <c r="AC2407" s="130"/>
      <c r="AD2407" s="130">
        <v>33884</v>
      </c>
      <c r="AE2407" s="128" t="s">
        <v>32</v>
      </c>
      <c r="AF2407" s="128" t="s">
        <v>69</v>
      </c>
      <c r="AG2407" s="128" t="s">
        <v>874</v>
      </c>
      <c r="AH2407" s="108" t="s">
        <v>31</v>
      </c>
      <c r="AI2407" s="128" t="s">
        <v>70</v>
      </c>
      <c r="AJ2407" s="129" t="s">
        <v>48</v>
      </c>
      <c r="AK2407" s="129">
        <v>7</v>
      </c>
      <c r="AL2407" s="3" t="s">
        <v>48</v>
      </c>
      <c r="AP2407" s="129" t="s">
        <v>43</v>
      </c>
      <c r="AR2407" s="128" t="s">
        <v>44</v>
      </c>
      <c r="AS2407" s="129" t="s">
        <v>45</v>
      </c>
      <c r="BC2407" s="129" t="s">
        <v>52</v>
      </c>
      <c r="BF2407" s="111">
        <f t="shared" si="1784"/>
        <v>4</v>
      </c>
      <c r="BG2407" s="111">
        <f t="shared" si="1785"/>
        <v>133</v>
      </c>
      <c r="BH2407" s="111">
        <f t="shared" si="1753"/>
        <v>133</v>
      </c>
      <c r="BI2407" s="111">
        <f t="shared" si="1754"/>
        <v>19.469945355191257</v>
      </c>
      <c r="BJ2407" s="129">
        <f>(G2407-J2407)+(M2407-G2407)</f>
        <v>0</v>
      </c>
      <c r="BK2407" s="129">
        <f t="shared" si="1755"/>
        <v>-129</v>
      </c>
      <c r="BL2407" s="129" t="str">
        <f t="shared" si="1748"/>
        <v>DEFERRED</v>
      </c>
      <c r="BM2407" s="129" t="s">
        <v>76</v>
      </c>
      <c r="BN2407" s="129" t="s">
        <v>88</v>
      </c>
      <c r="BP2407" s="137" t="str">
        <f t="shared" si="1757"/>
        <v>DEFERRED</v>
      </c>
      <c r="BQ2407" s="128" t="str">
        <f t="shared" si="1766"/>
        <v>Y</v>
      </c>
      <c r="BR2407" s="129" t="str">
        <f t="shared" si="1758"/>
        <v>ON BOND</v>
      </c>
      <c r="BS2407" s="129" t="str">
        <f t="shared" si="1759"/>
        <v>DISPOSED</v>
      </c>
      <c r="BT2407" s="129" t="str">
        <f t="shared" si="1760"/>
        <v>N</v>
      </c>
      <c r="BU2407" s="109">
        <f t="shared" si="1761"/>
        <v>3.007518796992481E-2</v>
      </c>
      <c r="BV2407" s="109">
        <f t="shared" si="1767"/>
        <v>3.007518796992481E-2</v>
      </c>
      <c r="BW2407" s="109">
        <f t="shared" si="1779"/>
        <v>0</v>
      </c>
      <c r="BX2407" s="111">
        <f t="shared" si="1762"/>
        <v>0</v>
      </c>
      <c r="BY2407" s="129">
        <f t="shared" si="1768"/>
        <v>-4</v>
      </c>
      <c r="BZ2407" s="111">
        <f t="shared" si="1769"/>
        <v>0</v>
      </c>
      <c r="CA2407" s="138">
        <f t="shared" si="1770"/>
        <v>4</v>
      </c>
      <c r="CB2407" s="111" t="e">
        <f t="shared" si="1786"/>
        <v>#VALUE!</v>
      </c>
      <c r="CC2407" s="129">
        <f>M2407-I2407+1</f>
        <v>4</v>
      </c>
      <c r="CD2407" s="111">
        <f>CC2407-BF2407</f>
        <v>0</v>
      </c>
      <c r="CG2407" s="129" t="str">
        <f t="shared" si="1771"/>
        <v>N</v>
      </c>
      <c r="CI2407" s="129" t="str">
        <f t="shared" si="1773"/>
        <v>0-10 DAYS</v>
      </c>
      <c r="CJ2407" s="137">
        <f t="shared" si="1774"/>
        <v>1</v>
      </c>
      <c r="CK2407" s="129" t="str">
        <f t="shared" si="1775"/>
        <v>Booked</v>
      </c>
    </row>
    <row r="2408" spans="1:89" ht="15.75" customHeight="1" x14ac:dyDescent="0.25">
      <c r="A2408" s="111">
        <v>1081</v>
      </c>
      <c r="B2408" s="128" t="str">
        <f t="shared" si="1763"/>
        <v>N</v>
      </c>
      <c r="C2408" s="128" t="str">
        <f t="shared" si="1764"/>
        <v>N</v>
      </c>
      <c r="D2408" s="117">
        <v>2548409</v>
      </c>
      <c r="E2408" s="135">
        <f t="shared" si="1765"/>
        <v>2</v>
      </c>
      <c r="F2408" s="124">
        <v>40948</v>
      </c>
      <c r="G2408" s="125">
        <v>41394</v>
      </c>
      <c r="H2408" s="117">
        <v>2548409</v>
      </c>
      <c r="I2408" s="124">
        <v>40950</v>
      </c>
      <c r="J2408" s="125">
        <v>41394</v>
      </c>
      <c r="K2408" s="126">
        <v>450000</v>
      </c>
      <c r="L2408" s="129" t="s">
        <v>572</v>
      </c>
      <c r="N2408" s="129" t="str">
        <f t="shared" si="1787"/>
        <v>N</v>
      </c>
      <c r="O2408" s="128" t="s">
        <v>917</v>
      </c>
      <c r="P2408" s="129" t="s">
        <v>589</v>
      </c>
      <c r="Q2408" s="111">
        <f t="shared" si="1783"/>
        <v>445</v>
      </c>
      <c r="R2408" s="111">
        <f t="shared" si="1780"/>
        <v>447</v>
      </c>
      <c r="S2408" s="129">
        <v>1</v>
      </c>
      <c r="T2408" s="129">
        <v>1</v>
      </c>
      <c r="W2408" s="111"/>
      <c r="AC2408" s="130"/>
      <c r="AD2408" s="130">
        <v>34277</v>
      </c>
      <c r="AE2408" s="128" t="s">
        <v>32</v>
      </c>
      <c r="AF2408" s="128" t="s">
        <v>33</v>
      </c>
      <c r="AG2408" s="128" t="s">
        <v>872</v>
      </c>
      <c r="AH2408" s="108" t="s">
        <v>31</v>
      </c>
      <c r="AI2408" s="128" t="s">
        <v>87</v>
      </c>
      <c r="AJ2408" s="129" t="s">
        <v>48</v>
      </c>
      <c r="AK2408" s="129">
        <v>18</v>
      </c>
      <c r="AL2408" s="3" t="s">
        <v>48</v>
      </c>
      <c r="AP2408" s="129" t="s">
        <v>105</v>
      </c>
      <c r="AR2408" s="128" t="s">
        <v>92</v>
      </c>
      <c r="AS2408" s="129" t="s">
        <v>106</v>
      </c>
      <c r="BC2408" s="129" t="s">
        <v>52</v>
      </c>
      <c r="BF2408" s="111">
        <f t="shared" si="1784"/>
        <v>445</v>
      </c>
      <c r="BG2408" s="111">
        <f t="shared" si="1785"/>
        <v>445</v>
      </c>
      <c r="BH2408" s="111">
        <f t="shared" si="1753"/>
        <v>447</v>
      </c>
      <c r="BI2408" s="111">
        <f t="shared" si="1754"/>
        <v>18.226775956284154</v>
      </c>
      <c r="BJ2408" s="129">
        <f t="shared" si="1772"/>
        <v>0</v>
      </c>
      <c r="BK2408" s="129">
        <f t="shared" si="1755"/>
        <v>0</v>
      </c>
      <c r="BL2408" s="129" t="str">
        <f t="shared" si="1748"/>
        <v>DEFERRED</v>
      </c>
      <c r="BM2408" s="129" t="str">
        <f t="shared" si="1756"/>
        <v>NONE</v>
      </c>
      <c r="BN2408" s="129" t="s">
        <v>566</v>
      </c>
      <c r="BP2408" s="137" t="str">
        <f t="shared" si="1757"/>
        <v>DEFERRED</v>
      </c>
      <c r="BQ2408" s="128" t="str">
        <f t="shared" si="1766"/>
        <v>Y</v>
      </c>
      <c r="BR2408" s="129" t="str">
        <f t="shared" si="1758"/>
        <v>DETAINED</v>
      </c>
      <c r="BS2408" s="129" t="str">
        <f t="shared" si="1759"/>
        <v>DISPOSED</v>
      </c>
      <c r="BT2408" s="129" t="str">
        <f t="shared" si="1760"/>
        <v>Y</v>
      </c>
      <c r="BU2408" s="109">
        <f t="shared" si="1761"/>
        <v>0.99552572706935127</v>
      </c>
      <c r="BV2408" s="109">
        <f t="shared" si="1767"/>
        <v>1</v>
      </c>
      <c r="BW2408" s="109">
        <f t="shared" si="1779"/>
        <v>4.4742729306487261E-3</v>
      </c>
      <c r="BX2408" s="111">
        <f t="shared" si="1762"/>
        <v>0</v>
      </c>
      <c r="BY2408" s="129">
        <f t="shared" si="1768"/>
        <v>-445</v>
      </c>
      <c r="BZ2408" s="111">
        <f t="shared" si="1769"/>
        <v>0</v>
      </c>
      <c r="CA2408" s="138">
        <f t="shared" si="1770"/>
        <v>445</v>
      </c>
      <c r="CB2408" s="111" t="e">
        <f t="shared" si="1786"/>
        <v>#VALUE!</v>
      </c>
      <c r="CC2408" s="129">
        <f t="shared" ref="CC2408:CC2416" si="1788">G2408-I2408+1</f>
        <v>445</v>
      </c>
      <c r="CD2408" s="129">
        <f t="shared" ref="CD2408:CD2416" si="1789">G2408-J2408</f>
        <v>0</v>
      </c>
      <c r="CG2408" s="129" t="str">
        <f t="shared" si="1771"/>
        <v>Y</v>
      </c>
      <c r="CI2408" s="129" t="str">
        <f t="shared" si="1773"/>
        <v xml:space="preserve"> &gt;1YRS&lt;2YRS</v>
      </c>
      <c r="CJ2408" s="137">
        <f t="shared" si="1774"/>
        <v>0</v>
      </c>
      <c r="CK2408" s="129" t="str">
        <f t="shared" si="1775"/>
        <v>Booked</v>
      </c>
    </row>
    <row r="2409" spans="1:89" ht="15" customHeight="1" x14ac:dyDescent="0.25">
      <c r="A2409" s="111">
        <v>12</v>
      </c>
      <c r="B2409" s="128" t="str">
        <f t="shared" si="1763"/>
        <v>N</v>
      </c>
      <c r="C2409" s="128" t="str">
        <f t="shared" si="1764"/>
        <v>N</v>
      </c>
      <c r="D2409" s="117">
        <v>2548619</v>
      </c>
      <c r="E2409" s="135">
        <f t="shared" si="1765"/>
        <v>2</v>
      </c>
      <c r="F2409" s="124">
        <v>40909</v>
      </c>
      <c r="G2409" s="125">
        <v>40912</v>
      </c>
      <c r="H2409" s="117">
        <v>2548619</v>
      </c>
      <c r="I2409" s="124">
        <v>40910</v>
      </c>
      <c r="J2409" s="124">
        <v>40912</v>
      </c>
      <c r="K2409" s="126">
        <v>10000</v>
      </c>
      <c r="L2409" s="127" t="s">
        <v>570</v>
      </c>
      <c r="N2409" s="129" t="str">
        <f t="shared" si="1787"/>
        <v>N</v>
      </c>
      <c r="O2409" s="128" t="s">
        <v>917</v>
      </c>
      <c r="P2409" s="129" t="s">
        <v>589</v>
      </c>
      <c r="Q2409" s="111">
        <f t="shared" si="1783"/>
        <v>3</v>
      </c>
      <c r="R2409" s="111">
        <f t="shared" si="1780"/>
        <v>4</v>
      </c>
      <c r="S2409" s="129">
        <v>0</v>
      </c>
      <c r="T2409" s="129">
        <v>0</v>
      </c>
      <c r="W2409" s="111"/>
      <c r="AC2409" s="130"/>
      <c r="AD2409" s="130">
        <v>31498</v>
      </c>
      <c r="AE2409" s="128" t="s">
        <v>32</v>
      </c>
      <c r="AF2409" s="128" t="s">
        <v>69</v>
      </c>
      <c r="AG2409" s="128" t="s">
        <v>874</v>
      </c>
      <c r="AH2409" s="108" t="s">
        <v>31</v>
      </c>
      <c r="AI2409" s="128" t="s">
        <v>72</v>
      </c>
      <c r="AJ2409" s="129" t="s">
        <v>48</v>
      </c>
      <c r="AK2409" s="129">
        <v>1</v>
      </c>
      <c r="AL2409" s="3" t="s">
        <v>48</v>
      </c>
      <c r="AP2409" s="129" t="s">
        <v>73</v>
      </c>
      <c r="AR2409" s="128" t="s">
        <v>50</v>
      </c>
      <c r="AS2409" s="129" t="s">
        <v>74</v>
      </c>
      <c r="AT2409" s="129" t="s">
        <v>75</v>
      </c>
      <c r="BC2409" s="129" t="s">
        <v>38</v>
      </c>
      <c r="BF2409" s="111">
        <f t="shared" si="1784"/>
        <v>3</v>
      </c>
      <c r="BG2409" s="111">
        <f t="shared" si="1785"/>
        <v>3</v>
      </c>
      <c r="BH2409" s="111">
        <f t="shared" si="1753"/>
        <v>4</v>
      </c>
      <c r="BI2409" s="111">
        <f t="shared" si="1754"/>
        <v>25.71311475409836</v>
      </c>
      <c r="BJ2409" s="129">
        <f t="shared" si="1772"/>
        <v>0</v>
      </c>
      <c r="BK2409" s="129">
        <f t="shared" si="1755"/>
        <v>0</v>
      </c>
      <c r="BL2409" s="129" t="str">
        <f t="shared" si="1748"/>
        <v>DEFERRED</v>
      </c>
      <c r="BM2409" s="129" t="str">
        <f t="shared" si="1756"/>
        <v>NONE</v>
      </c>
      <c r="BN2409" s="129" t="s">
        <v>566</v>
      </c>
      <c r="BP2409" s="137" t="str">
        <f t="shared" si="1757"/>
        <v>DEFERRED</v>
      </c>
      <c r="BQ2409" s="128" t="str">
        <f t="shared" si="1766"/>
        <v>Y</v>
      </c>
      <c r="BR2409" s="129" t="str">
        <f t="shared" si="1758"/>
        <v>DETAINED</v>
      </c>
      <c r="BS2409" s="129" t="str">
        <f t="shared" si="1759"/>
        <v>DISPOSED</v>
      </c>
      <c r="BT2409" s="129" t="str">
        <f t="shared" si="1760"/>
        <v>N</v>
      </c>
      <c r="BU2409" s="109">
        <f t="shared" si="1761"/>
        <v>0.75</v>
      </c>
      <c r="BV2409" s="109">
        <f t="shared" si="1767"/>
        <v>1</v>
      </c>
      <c r="BW2409" s="109">
        <f t="shared" si="1779"/>
        <v>0.25</v>
      </c>
      <c r="BX2409" s="111">
        <f t="shared" si="1762"/>
        <v>0</v>
      </c>
      <c r="BY2409" s="129">
        <f t="shared" si="1768"/>
        <v>-3</v>
      </c>
      <c r="BZ2409" s="111">
        <f t="shared" si="1769"/>
        <v>0</v>
      </c>
      <c r="CA2409" s="138">
        <f t="shared" si="1770"/>
        <v>3</v>
      </c>
      <c r="CB2409" s="111" t="e">
        <f t="shared" si="1786"/>
        <v>#VALUE!</v>
      </c>
      <c r="CC2409" s="129">
        <f t="shared" si="1788"/>
        <v>3</v>
      </c>
      <c r="CD2409" s="129">
        <f t="shared" si="1789"/>
        <v>0</v>
      </c>
      <c r="CG2409" s="129" t="str">
        <f t="shared" si="1771"/>
        <v>N</v>
      </c>
      <c r="CI2409" s="129" t="str">
        <f t="shared" si="1773"/>
        <v>0-10 DAYS</v>
      </c>
      <c r="CJ2409" s="137">
        <f t="shared" si="1774"/>
        <v>1</v>
      </c>
      <c r="CK2409" s="129" t="str">
        <f t="shared" si="1775"/>
        <v>Booked</v>
      </c>
    </row>
    <row r="2410" spans="1:89" ht="15" customHeight="1" x14ac:dyDescent="0.25">
      <c r="A2410" s="111">
        <v>1954</v>
      </c>
      <c r="B2410" s="128" t="str">
        <f t="shared" si="1763"/>
        <v>N</v>
      </c>
      <c r="C2410" s="128" t="str">
        <f t="shared" si="1764"/>
        <v>N</v>
      </c>
      <c r="D2410" s="117">
        <v>2548713</v>
      </c>
      <c r="E2410" s="135">
        <f t="shared" si="1765"/>
        <v>5</v>
      </c>
      <c r="F2410" s="124">
        <v>40982</v>
      </c>
      <c r="G2410" s="125">
        <v>41079</v>
      </c>
      <c r="H2410" s="117">
        <v>2548713</v>
      </c>
      <c r="I2410" s="124">
        <v>40982</v>
      </c>
      <c r="J2410" s="124">
        <v>41079</v>
      </c>
      <c r="K2410" s="126">
        <v>5000</v>
      </c>
      <c r="L2410" s="127" t="s">
        <v>569</v>
      </c>
      <c r="N2410" s="129" t="str">
        <f t="shared" si="1787"/>
        <v>N</v>
      </c>
      <c r="O2410" s="128" t="s">
        <v>917</v>
      </c>
      <c r="P2410" s="129" t="s">
        <v>39</v>
      </c>
      <c r="Q2410" s="111">
        <f t="shared" si="1783"/>
        <v>98</v>
      </c>
      <c r="R2410" s="111">
        <f t="shared" si="1780"/>
        <v>98</v>
      </c>
      <c r="S2410" s="129">
        <v>1</v>
      </c>
      <c r="T2410" s="129">
        <v>1</v>
      </c>
      <c r="W2410" s="111"/>
      <c r="AC2410" s="130"/>
      <c r="AD2410" s="130">
        <v>33267</v>
      </c>
      <c r="AE2410" s="128" t="s">
        <v>32</v>
      </c>
      <c r="AF2410" s="128" t="s">
        <v>33</v>
      </c>
      <c r="AG2410" s="128" t="s">
        <v>872</v>
      </c>
      <c r="AH2410" s="108" t="s">
        <v>58</v>
      </c>
      <c r="AI2410" s="128" t="s">
        <v>141</v>
      </c>
      <c r="AJ2410" s="129" t="s">
        <v>89</v>
      </c>
      <c r="AK2410" s="129">
        <v>5</v>
      </c>
      <c r="AL2410" s="3" t="s">
        <v>992</v>
      </c>
      <c r="AN2410" s="117">
        <v>9</v>
      </c>
      <c r="AP2410" s="129" t="s">
        <v>43</v>
      </c>
      <c r="AR2410" s="128" t="s">
        <v>44</v>
      </c>
      <c r="AS2410" s="129" t="s">
        <v>45</v>
      </c>
      <c r="BC2410" s="129" t="s">
        <v>38</v>
      </c>
      <c r="BF2410" s="111">
        <f t="shared" si="1784"/>
        <v>98</v>
      </c>
      <c r="BG2410" s="111">
        <f t="shared" si="1785"/>
        <v>98</v>
      </c>
      <c r="BH2410" s="111">
        <f t="shared" si="1753"/>
        <v>98</v>
      </c>
      <c r="BI2410" s="111">
        <f t="shared" si="1754"/>
        <v>21.079234972677597</v>
      </c>
      <c r="BJ2410" s="129">
        <f t="shared" si="1772"/>
        <v>0</v>
      </c>
      <c r="BK2410" s="129">
        <f t="shared" si="1755"/>
        <v>0</v>
      </c>
      <c r="BL2410" s="129" t="str">
        <f t="shared" si="1748"/>
        <v>CONVICTION</v>
      </c>
      <c r="BM2410" s="129" t="str">
        <f t="shared" si="1756"/>
        <v>NONE</v>
      </c>
      <c r="BN2410" s="129" t="s">
        <v>566</v>
      </c>
      <c r="BP2410" s="137" t="str">
        <f t="shared" si="1757"/>
        <v>CONVICTION</v>
      </c>
      <c r="BQ2410" s="128" t="str">
        <f t="shared" si="1766"/>
        <v>Y</v>
      </c>
      <c r="BR2410" s="129" t="str">
        <f t="shared" si="1758"/>
        <v>DETAINED</v>
      </c>
      <c r="BS2410" s="129" t="str">
        <f t="shared" si="1759"/>
        <v>DISPOSED</v>
      </c>
      <c r="BT2410" s="129" t="str">
        <f t="shared" si="1760"/>
        <v>Y</v>
      </c>
      <c r="BU2410" s="109">
        <f t="shared" si="1761"/>
        <v>1</v>
      </c>
      <c r="BV2410" s="109">
        <f t="shared" si="1767"/>
        <v>1</v>
      </c>
      <c r="BW2410" s="109">
        <f t="shared" si="1779"/>
        <v>0</v>
      </c>
      <c r="BX2410" s="111">
        <f t="shared" si="1762"/>
        <v>0</v>
      </c>
      <c r="BY2410" s="129">
        <f t="shared" si="1768"/>
        <v>-98</v>
      </c>
      <c r="BZ2410" s="111">
        <f t="shared" si="1769"/>
        <v>0</v>
      </c>
      <c r="CA2410" s="138">
        <f t="shared" si="1770"/>
        <v>98</v>
      </c>
      <c r="CB2410" s="111" t="e">
        <f t="shared" si="1786"/>
        <v>#VALUE!</v>
      </c>
      <c r="CC2410" s="129">
        <f t="shared" si="1788"/>
        <v>98</v>
      </c>
      <c r="CD2410" s="129">
        <f t="shared" si="1789"/>
        <v>0</v>
      </c>
      <c r="CG2410" s="129" t="str">
        <f t="shared" si="1771"/>
        <v>Y</v>
      </c>
      <c r="CI2410" s="129" t="str">
        <f t="shared" si="1773"/>
        <v>91-120 DAYS</v>
      </c>
      <c r="CJ2410" s="137">
        <f t="shared" si="1774"/>
        <v>0</v>
      </c>
      <c r="CK2410" s="129" t="str">
        <f t="shared" si="1775"/>
        <v>Booked</v>
      </c>
    </row>
    <row r="2411" spans="1:89" ht="15.75" customHeight="1" x14ac:dyDescent="0.25">
      <c r="A2411" s="111">
        <v>1087</v>
      </c>
      <c r="B2411" s="128" t="str">
        <f t="shared" si="1763"/>
        <v>N</v>
      </c>
      <c r="C2411" s="128" t="str">
        <f t="shared" si="1764"/>
        <v>N</v>
      </c>
      <c r="D2411" s="117">
        <v>2549079</v>
      </c>
      <c r="E2411" s="135">
        <f t="shared" si="1765"/>
        <v>5</v>
      </c>
      <c r="F2411" s="124">
        <v>40948</v>
      </c>
      <c r="G2411" s="125">
        <v>41103</v>
      </c>
      <c r="H2411" s="117">
        <v>2549079</v>
      </c>
      <c r="I2411" s="124">
        <v>40948</v>
      </c>
      <c r="J2411" s="124">
        <v>41103</v>
      </c>
      <c r="K2411" s="126">
        <v>20000</v>
      </c>
      <c r="L2411" s="127" t="s">
        <v>571</v>
      </c>
      <c r="N2411" s="129" t="str">
        <f t="shared" si="1787"/>
        <v>N</v>
      </c>
      <c r="O2411" s="128" t="s">
        <v>917</v>
      </c>
      <c r="P2411" s="129" t="s">
        <v>39</v>
      </c>
      <c r="Q2411" s="111">
        <f t="shared" si="1783"/>
        <v>156</v>
      </c>
      <c r="R2411" s="111">
        <f t="shared" si="1780"/>
        <v>156</v>
      </c>
      <c r="S2411" s="129">
        <v>0</v>
      </c>
      <c r="T2411" s="129">
        <v>0</v>
      </c>
      <c r="W2411" s="111"/>
      <c r="AC2411" s="130"/>
      <c r="AD2411" s="130">
        <v>34345</v>
      </c>
      <c r="AE2411" s="128" t="s">
        <v>32</v>
      </c>
      <c r="AF2411" s="128" t="s">
        <v>33</v>
      </c>
      <c r="AG2411" s="128" t="s">
        <v>872</v>
      </c>
      <c r="AH2411" s="108" t="s">
        <v>58</v>
      </c>
      <c r="AI2411" s="128" t="s">
        <v>34</v>
      </c>
      <c r="AJ2411" s="129" t="s">
        <v>89</v>
      </c>
      <c r="AK2411" s="129">
        <v>8</v>
      </c>
      <c r="AL2411" s="3" t="s">
        <v>992</v>
      </c>
      <c r="AN2411" s="117">
        <v>10</v>
      </c>
      <c r="AP2411" s="129" t="s">
        <v>56</v>
      </c>
      <c r="AR2411" s="128" t="s">
        <v>50</v>
      </c>
      <c r="AS2411" s="129" t="s">
        <v>57</v>
      </c>
      <c r="BC2411" s="129" t="s">
        <v>38</v>
      </c>
      <c r="BF2411" s="111">
        <f t="shared" si="1784"/>
        <v>156</v>
      </c>
      <c r="BG2411" s="111">
        <f t="shared" si="1785"/>
        <v>156</v>
      </c>
      <c r="BH2411" s="111">
        <f t="shared" si="1753"/>
        <v>156</v>
      </c>
      <c r="BI2411" s="111">
        <f t="shared" si="1754"/>
        <v>18.040983606557376</v>
      </c>
      <c r="BJ2411" s="129">
        <f t="shared" si="1772"/>
        <v>0</v>
      </c>
      <c r="BK2411" s="129">
        <f t="shared" si="1755"/>
        <v>0</v>
      </c>
      <c r="BL2411" s="129" t="str">
        <f t="shared" si="1748"/>
        <v>CONVICTION</v>
      </c>
      <c r="BM2411" s="129" t="str">
        <f t="shared" si="1756"/>
        <v>NONE</v>
      </c>
      <c r="BN2411" s="129" t="s">
        <v>566</v>
      </c>
      <c r="BP2411" s="137" t="str">
        <f t="shared" si="1757"/>
        <v>CONVICTION</v>
      </c>
      <c r="BQ2411" s="128" t="str">
        <f t="shared" si="1766"/>
        <v>Y</v>
      </c>
      <c r="BR2411" s="129" t="str">
        <f t="shared" si="1758"/>
        <v>DETAINED</v>
      </c>
      <c r="BS2411" s="129" t="str">
        <f t="shared" si="1759"/>
        <v>DISPOSED</v>
      </c>
      <c r="BT2411" s="129" t="str">
        <f t="shared" si="1760"/>
        <v>N</v>
      </c>
      <c r="BU2411" s="109">
        <f t="shared" si="1761"/>
        <v>1</v>
      </c>
      <c r="BV2411" s="109">
        <f t="shared" si="1767"/>
        <v>1</v>
      </c>
      <c r="BW2411" s="109">
        <f t="shared" si="1779"/>
        <v>0</v>
      </c>
      <c r="BX2411" s="111">
        <f t="shared" si="1762"/>
        <v>0</v>
      </c>
      <c r="BY2411" s="129">
        <f t="shared" si="1768"/>
        <v>-156</v>
      </c>
      <c r="BZ2411" s="111">
        <f t="shared" si="1769"/>
        <v>0</v>
      </c>
      <c r="CA2411" s="138">
        <f t="shared" si="1770"/>
        <v>156</v>
      </c>
      <c r="CB2411" s="111" t="e">
        <f t="shared" si="1786"/>
        <v>#VALUE!</v>
      </c>
      <c r="CC2411" s="129">
        <f t="shared" si="1788"/>
        <v>156</v>
      </c>
      <c r="CD2411" s="129">
        <f t="shared" si="1789"/>
        <v>0</v>
      </c>
      <c r="CG2411" s="129" t="str">
        <f t="shared" si="1771"/>
        <v>N</v>
      </c>
      <c r="CI2411" s="129" t="str">
        <f t="shared" si="1773"/>
        <v>121-365 DAYS</v>
      </c>
      <c r="CJ2411" s="137">
        <f t="shared" si="1774"/>
        <v>6</v>
      </c>
      <c r="CK2411" s="129" t="str">
        <f t="shared" si="1775"/>
        <v>Booked</v>
      </c>
    </row>
    <row r="2412" spans="1:89" ht="15" customHeight="1" x14ac:dyDescent="0.25">
      <c r="A2412" s="111">
        <v>1935</v>
      </c>
      <c r="B2412" s="128" t="str">
        <f t="shared" si="1763"/>
        <v>N</v>
      </c>
      <c r="C2412" s="128" t="str">
        <f t="shared" si="1764"/>
        <v>N</v>
      </c>
      <c r="D2412" s="117">
        <v>2549363</v>
      </c>
      <c r="E2412" s="135">
        <f t="shared" si="1765"/>
        <v>5</v>
      </c>
      <c r="F2412" s="124">
        <v>40981</v>
      </c>
      <c r="G2412" s="125">
        <v>40994</v>
      </c>
      <c r="H2412" s="117">
        <v>2549363</v>
      </c>
      <c r="I2412" s="124">
        <v>40981</v>
      </c>
      <c r="J2412" s="124">
        <v>40994</v>
      </c>
      <c r="K2412" s="126" t="s">
        <v>564</v>
      </c>
      <c r="L2412" s="127" t="s">
        <v>564</v>
      </c>
      <c r="N2412" s="129" t="s">
        <v>566</v>
      </c>
      <c r="O2412" s="128" t="s">
        <v>917</v>
      </c>
      <c r="P2412" s="129" t="s">
        <v>39</v>
      </c>
      <c r="Q2412" s="111">
        <f t="shared" si="1783"/>
        <v>14</v>
      </c>
      <c r="R2412" s="111">
        <f t="shared" si="1780"/>
        <v>14</v>
      </c>
      <c r="S2412" s="129">
        <v>2</v>
      </c>
      <c r="T2412" s="129">
        <v>1</v>
      </c>
      <c r="U2412" s="129">
        <v>1</v>
      </c>
      <c r="W2412" s="111"/>
      <c r="AB2412" s="131" t="s">
        <v>112</v>
      </c>
      <c r="AC2412" s="130"/>
      <c r="AD2412" s="130">
        <v>33934</v>
      </c>
      <c r="AE2412" s="128" t="s">
        <v>32</v>
      </c>
      <c r="AF2412" s="128" t="s">
        <v>40</v>
      </c>
      <c r="AG2412" s="128" t="s">
        <v>41</v>
      </c>
      <c r="AH2412" s="108" t="s">
        <v>31</v>
      </c>
      <c r="AI2412" s="128" t="s">
        <v>59</v>
      </c>
      <c r="AJ2412" s="129" t="s">
        <v>89</v>
      </c>
      <c r="AK2412" s="129">
        <v>3</v>
      </c>
      <c r="AL2412" s="3" t="s">
        <v>992</v>
      </c>
      <c r="AN2412" s="117">
        <v>12</v>
      </c>
      <c r="AP2412" s="129" t="s">
        <v>121</v>
      </c>
      <c r="AR2412" s="128" t="s">
        <v>44</v>
      </c>
      <c r="AS2412" s="129" t="s">
        <v>122</v>
      </c>
      <c r="AT2412" s="129" t="s">
        <v>642</v>
      </c>
      <c r="BC2412" s="129" t="s">
        <v>38</v>
      </c>
      <c r="BF2412" s="111">
        <f t="shared" si="1784"/>
        <v>14</v>
      </c>
      <c r="BG2412" s="111">
        <f t="shared" si="1785"/>
        <v>14</v>
      </c>
      <c r="BH2412" s="111">
        <f t="shared" si="1753"/>
        <v>14</v>
      </c>
      <c r="BI2412" s="111">
        <f t="shared" si="1754"/>
        <v>19.254098360655739</v>
      </c>
      <c r="BJ2412" s="129">
        <f t="shared" si="1772"/>
        <v>0</v>
      </c>
      <c r="BK2412" s="129">
        <f t="shared" si="1755"/>
        <v>0</v>
      </c>
      <c r="BL2412" s="129" t="str">
        <f t="shared" si="1748"/>
        <v>CONVICTION</v>
      </c>
      <c r="BM2412" s="129" t="str">
        <f t="shared" si="1756"/>
        <v>NONE</v>
      </c>
      <c r="BN2412" s="129" t="s">
        <v>566</v>
      </c>
      <c r="BP2412" s="137" t="str">
        <f t="shared" si="1757"/>
        <v>CONVICTION</v>
      </c>
      <c r="BQ2412" s="128" t="str">
        <f t="shared" si="1766"/>
        <v>Y</v>
      </c>
      <c r="BR2412" s="129" t="str">
        <f t="shared" si="1758"/>
        <v>DETAINED</v>
      </c>
      <c r="BS2412" s="129" t="str">
        <f t="shared" si="1759"/>
        <v>DISPOSED</v>
      </c>
      <c r="BT2412" s="129" t="str">
        <f t="shared" si="1760"/>
        <v>Y</v>
      </c>
      <c r="BU2412" s="109">
        <f t="shared" si="1761"/>
        <v>1</v>
      </c>
      <c r="BV2412" s="109">
        <f t="shared" si="1767"/>
        <v>1</v>
      </c>
      <c r="BW2412" s="109">
        <f t="shared" si="1779"/>
        <v>0</v>
      </c>
      <c r="BX2412" s="111">
        <f t="shared" si="1762"/>
        <v>0</v>
      </c>
      <c r="BY2412" s="129">
        <f t="shared" si="1768"/>
        <v>-14</v>
      </c>
      <c r="BZ2412" s="111">
        <f t="shared" si="1769"/>
        <v>0</v>
      </c>
      <c r="CA2412" s="138">
        <f t="shared" si="1770"/>
        <v>14</v>
      </c>
      <c r="CB2412" s="111" t="e">
        <f t="shared" si="1786"/>
        <v>#VALUE!</v>
      </c>
      <c r="CC2412" s="129">
        <f t="shared" si="1788"/>
        <v>14</v>
      </c>
      <c r="CD2412" s="129">
        <f t="shared" si="1789"/>
        <v>0</v>
      </c>
      <c r="CG2412" s="129" t="str">
        <f t="shared" si="1771"/>
        <v>Y</v>
      </c>
      <c r="CI2412" s="129" t="str">
        <f t="shared" si="1773"/>
        <v>11-30 DAYS</v>
      </c>
      <c r="CJ2412" s="137">
        <f t="shared" si="1774"/>
        <v>2</v>
      </c>
      <c r="CK2412" s="129" t="str">
        <f t="shared" si="1775"/>
        <v>Booked</v>
      </c>
    </row>
    <row r="2413" spans="1:89" ht="15" customHeight="1" x14ac:dyDescent="0.25">
      <c r="A2413" s="111">
        <v>218</v>
      </c>
      <c r="B2413" s="128" t="str">
        <f t="shared" si="1763"/>
        <v>N</v>
      </c>
      <c r="C2413" s="128" t="str">
        <f t="shared" si="1764"/>
        <v>N</v>
      </c>
      <c r="D2413" s="117">
        <v>2549405</v>
      </c>
      <c r="E2413" s="135">
        <f t="shared" si="1765"/>
        <v>5</v>
      </c>
      <c r="F2413" s="124">
        <v>40918</v>
      </c>
      <c r="G2413" s="125">
        <v>40931</v>
      </c>
      <c r="H2413" s="117">
        <v>2549405</v>
      </c>
      <c r="I2413" s="124">
        <v>40929</v>
      </c>
      <c r="J2413" s="124">
        <v>40931</v>
      </c>
      <c r="K2413" s="126">
        <v>15000</v>
      </c>
      <c r="L2413" s="127" t="s">
        <v>571</v>
      </c>
      <c r="N2413" s="129" t="str">
        <f>IF(M2413&gt;1/1/1,"Y","N")</f>
        <v>N</v>
      </c>
      <c r="O2413" s="128" t="s">
        <v>917</v>
      </c>
      <c r="P2413" s="129" t="s">
        <v>39</v>
      </c>
      <c r="Q2413" s="111">
        <f t="shared" si="1783"/>
        <v>3</v>
      </c>
      <c r="R2413" s="111">
        <f t="shared" si="1780"/>
        <v>14</v>
      </c>
      <c r="S2413" s="129">
        <v>0</v>
      </c>
      <c r="T2413" s="129">
        <v>0</v>
      </c>
      <c r="W2413" s="111"/>
      <c r="AC2413" s="130"/>
      <c r="AD2413" s="130">
        <v>25099</v>
      </c>
      <c r="AE2413" s="128" t="s">
        <v>32</v>
      </c>
      <c r="AF2413" s="128" t="s">
        <v>33</v>
      </c>
      <c r="AG2413" s="128" t="s">
        <v>872</v>
      </c>
      <c r="AH2413" s="108" t="s">
        <v>58</v>
      </c>
      <c r="AI2413" s="128" t="s">
        <v>85</v>
      </c>
      <c r="AJ2413" s="129" t="s">
        <v>89</v>
      </c>
      <c r="AK2413" s="129">
        <v>2</v>
      </c>
      <c r="AL2413" s="3" t="s">
        <v>992</v>
      </c>
      <c r="AN2413" s="117">
        <v>9</v>
      </c>
      <c r="AP2413" s="129" t="s">
        <v>127</v>
      </c>
      <c r="AR2413" s="128" t="s">
        <v>44</v>
      </c>
      <c r="AS2413" s="129" t="s">
        <v>82</v>
      </c>
      <c r="BC2413" s="129" t="s">
        <v>38</v>
      </c>
      <c r="BF2413" s="111">
        <f t="shared" si="1784"/>
        <v>3</v>
      </c>
      <c r="BG2413" s="111">
        <f t="shared" si="1785"/>
        <v>3</v>
      </c>
      <c r="BH2413" s="111">
        <f t="shared" si="1753"/>
        <v>14</v>
      </c>
      <c r="BI2413" s="111">
        <f t="shared" si="1754"/>
        <v>43.221311475409834</v>
      </c>
      <c r="BJ2413" s="129">
        <f t="shared" si="1772"/>
        <v>0</v>
      </c>
      <c r="BK2413" s="129">
        <f t="shared" si="1755"/>
        <v>0</v>
      </c>
      <c r="BL2413" s="129" t="str">
        <f t="shared" si="1748"/>
        <v>CONVICTION</v>
      </c>
      <c r="BM2413" s="129" t="str">
        <f t="shared" si="1756"/>
        <v>NONE</v>
      </c>
      <c r="BN2413" s="129" t="s">
        <v>566</v>
      </c>
      <c r="BP2413" s="137" t="str">
        <f t="shared" si="1757"/>
        <v>CONVICTION</v>
      </c>
      <c r="BQ2413" s="128" t="str">
        <f t="shared" si="1766"/>
        <v>Y</v>
      </c>
      <c r="BR2413" s="129" t="str">
        <f t="shared" si="1758"/>
        <v>DETAINED</v>
      </c>
      <c r="BS2413" s="129" t="str">
        <f t="shared" si="1759"/>
        <v>DISPOSED</v>
      </c>
      <c r="BT2413" s="129" t="str">
        <f t="shared" si="1760"/>
        <v>N</v>
      </c>
      <c r="BU2413" s="109">
        <f t="shared" si="1761"/>
        <v>0.21428571428571427</v>
      </c>
      <c r="BV2413" s="109">
        <f t="shared" si="1767"/>
        <v>1</v>
      </c>
      <c r="BW2413" s="109">
        <f t="shared" si="1779"/>
        <v>0.7857142857142857</v>
      </c>
      <c r="BX2413" s="111">
        <f t="shared" si="1762"/>
        <v>0</v>
      </c>
      <c r="BY2413" s="129">
        <f t="shared" si="1768"/>
        <v>-3</v>
      </c>
      <c r="BZ2413" s="111">
        <f t="shared" si="1769"/>
        <v>0</v>
      </c>
      <c r="CA2413" s="138">
        <f t="shared" si="1770"/>
        <v>3</v>
      </c>
      <c r="CB2413" s="111" t="e">
        <f t="shared" si="1786"/>
        <v>#VALUE!</v>
      </c>
      <c r="CC2413" s="129">
        <f t="shared" si="1788"/>
        <v>3</v>
      </c>
      <c r="CD2413" s="129">
        <f t="shared" si="1789"/>
        <v>0</v>
      </c>
      <c r="CG2413" s="129" t="str">
        <f t="shared" si="1771"/>
        <v>N</v>
      </c>
      <c r="CI2413" s="129" t="str">
        <f t="shared" si="1773"/>
        <v>0-10 DAYS</v>
      </c>
      <c r="CJ2413" s="137">
        <f t="shared" si="1774"/>
        <v>1</v>
      </c>
      <c r="CK2413" s="129" t="str">
        <f t="shared" si="1775"/>
        <v>Booked</v>
      </c>
    </row>
    <row r="2414" spans="1:89" ht="15.75" customHeight="1" x14ac:dyDescent="0.25">
      <c r="A2414" s="111">
        <v>2645</v>
      </c>
      <c r="B2414" s="128" t="str">
        <f t="shared" si="1763"/>
        <v>N</v>
      </c>
      <c r="C2414" s="128" t="str">
        <f t="shared" si="1764"/>
        <v>N</v>
      </c>
      <c r="D2414" s="117">
        <v>2549576</v>
      </c>
      <c r="E2414" s="135">
        <f t="shared" si="1765"/>
        <v>2</v>
      </c>
      <c r="F2414" s="124">
        <v>41007</v>
      </c>
      <c r="G2414" s="125">
        <v>41075</v>
      </c>
      <c r="H2414" s="117">
        <v>2549576</v>
      </c>
      <c r="I2414" s="124">
        <v>41007</v>
      </c>
      <c r="J2414" s="124">
        <v>41075</v>
      </c>
      <c r="K2414" s="126">
        <v>30000</v>
      </c>
      <c r="L2414" s="129" t="s">
        <v>572</v>
      </c>
      <c r="N2414" s="129" t="str">
        <f>IF(M2414&gt;1/1/1,"Y","N")</f>
        <v>N</v>
      </c>
      <c r="O2414" s="128" t="s">
        <v>917</v>
      </c>
      <c r="P2414" s="129" t="s">
        <v>589</v>
      </c>
      <c r="Q2414" s="111">
        <f t="shared" si="1783"/>
        <v>69</v>
      </c>
      <c r="R2414" s="111">
        <f t="shared" si="1780"/>
        <v>69</v>
      </c>
      <c r="S2414" s="129">
        <v>0</v>
      </c>
      <c r="T2414" s="129">
        <v>0</v>
      </c>
      <c r="W2414" s="111"/>
      <c r="AC2414" s="130"/>
      <c r="AD2414" s="130">
        <v>34197</v>
      </c>
      <c r="AE2414" s="128" t="s">
        <v>46</v>
      </c>
      <c r="AF2414" s="128" t="s">
        <v>69</v>
      </c>
      <c r="AG2414" s="128" t="s">
        <v>874</v>
      </c>
      <c r="AH2414" s="108" t="s">
        <v>31</v>
      </c>
      <c r="AI2414" s="128" t="s">
        <v>71</v>
      </c>
      <c r="AJ2414" s="129" t="s">
        <v>48</v>
      </c>
      <c r="AK2414" s="129">
        <v>7</v>
      </c>
      <c r="AL2414" s="3" t="s">
        <v>48</v>
      </c>
      <c r="AP2414" s="129" t="s">
        <v>110</v>
      </c>
      <c r="AR2414" s="128" t="s">
        <v>50</v>
      </c>
      <c r="AS2414" s="129" t="s">
        <v>74</v>
      </c>
      <c r="BC2414" s="129" t="s">
        <v>38</v>
      </c>
      <c r="BF2414" s="111">
        <f t="shared" si="1784"/>
        <v>69</v>
      </c>
      <c r="BG2414" s="111">
        <f t="shared" si="1785"/>
        <v>69</v>
      </c>
      <c r="BH2414" s="111">
        <f t="shared" si="1753"/>
        <v>69</v>
      </c>
      <c r="BI2414" s="111">
        <f t="shared" si="1754"/>
        <v>18.606557377049182</v>
      </c>
      <c r="BJ2414" s="129">
        <f t="shared" si="1772"/>
        <v>0</v>
      </c>
      <c r="BK2414" s="129">
        <f t="shared" si="1755"/>
        <v>0</v>
      </c>
      <c r="BL2414" s="129" t="str">
        <f t="shared" si="1748"/>
        <v>DEFERRED</v>
      </c>
      <c r="BM2414" s="129" t="str">
        <f t="shared" si="1756"/>
        <v>NONE</v>
      </c>
      <c r="BN2414" s="129" t="s">
        <v>566</v>
      </c>
      <c r="BP2414" s="137" t="str">
        <f t="shared" si="1757"/>
        <v>DEFERRED</v>
      </c>
      <c r="BQ2414" s="128" t="str">
        <f t="shared" si="1766"/>
        <v>Y</v>
      </c>
      <c r="BR2414" s="129" t="str">
        <f t="shared" si="1758"/>
        <v>DETAINED</v>
      </c>
      <c r="BS2414" s="129" t="str">
        <f t="shared" si="1759"/>
        <v>DISPOSED</v>
      </c>
      <c r="BT2414" s="129" t="str">
        <f t="shared" si="1760"/>
        <v>N</v>
      </c>
      <c r="BU2414" s="109">
        <f t="shared" si="1761"/>
        <v>1</v>
      </c>
      <c r="BV2414" s="109">
        <f t="shared" si="1767"/>
        <v>1</v>
      </c>
      <c r="BW2414" s="109">
        <f t="shared" si="1779"/>
        <v>0</v>
      </c>
      <c r="BX2414" s="111">
        <f t="shared" si="1762"/>
        <v>0</v>
      </c>
      <c r="BY2414" s="129">
        <f t="shared" si="1768"/>
        <v>-69</v>
      </c>
      <c r="BZ2414" s="111">
        <f t="shared" si="1769"/>
        <v>0</v>
      </c>
      <c r="CA2414" s="138">
        <f t="shared" si="1770"/>
        <v>69</v>
      </c>
      <c r="CB2414" s="111" t="e">
        <f t="shared" si="1786"/>
        <v>#VALUE!</v>
      </c>
      <c r="CC2414" s="129">
        <f t="shared" si="1788"/>
        <v>69</v>
      </c>
      <c r="CD2414" s="129">
        <f t="shared" si="1789"/>
        <v>0</v>
      </c>
      <c r="CG2414" s="129" t="str">
        <f t="shared" si="1771"/>
        <v>N</v>
      </c>
      <c r="CI2414" s="129" t="str">
        <f t="shared" si="1773"/>
        <v>61-90 DAYS</v>
      </c>
      <c r="CJ2414" s="137">
        <f t="shared" si="1774"/>
        <v>4</v>
      </c>
      <c r="CK2414" s="129" t="str">
        <f t="shared" si="1775"/>
        <v>Booked</v>
      </c>
    </row>
    <row r="2415" spans="1:89" ht="15" customHeight="1" x14ac:dyDescent="0.25">
      <c r="A2415" s="111">
        <v>648</v>
      </c>
      <c r="B2415" s="128" t="str">
        <f t="shared" si="1763"/>
        <v>N</v>
      </c>
      <c r="C2415" s="128" t="str">
        <f t="shared" si="1764"/>
        <v>N</v>
      </c>
      <c r="D2415" s="117">
        <v>2549734</v>
      </c>
      <c r="E2415" s="135">
        <f t="shared" si="1765"/>
        <v>2</v>
      </c>
      <c r="F2415" s="124">
        <v>40934</v>
      </c>
      <c r="G2415" s="125">
        <v>40991</v>
      </c>
      <c r="H2415" s="117">
        <v>2549734</v>
      </c>
      <c r="I2415" s="124">
        <v>40942</v>
      </c>
      <c r="J2415" s="124">
        <v>40991</v>
      </c>
      <c r="K2415" s="126" t="s">
        <v>564</v>
      </c>
      <c r="L2415" s="127" t="s">
        <v>564</v>
      </c>
      <c r="N2415" s="129" t="s">
        <v>566</v>
      </c>
      <c r="O2415" s="128" t="s">
        <v>917</v>
      </c>
      <c r="P2415" s="129" t="s">
        <v>589</v>
      </c>
      <c r="Q2415" s="111">
        <f t="shared" si="1783"/>
        <v>50</v>
      </c>
      <c r="R2415" s="111">
        <f t="shared" si="1780"/>
        <v>58</v>
      </c>
      <c r="S2415" s="129">
        <v>0</v>
      </c>
      <c r="T2415" s="129">
        <v>1</v>
      </c>
      <c r="W2415" s="111"/>
      <c r="AC2415" s="130"/>
      <c r="AD2415" s="130">
        <v>33765</v>
      </c>
      <c r="AE2415" s="128" t="s">
        <v>32</v>
      </c>
      <c r="AF2415" s="128" t="s">
        <v>69</v>
      </c>
      <c r="AG2415" s="128" t="s">
        <v>874</v>
      </c>
      <c r="AH2415" s="108" t="s">
        <v>31</v>
      </c>
      <c r="AI2415" s="128" t="s">
        <v>47</v>
      </c>
      <c r="AJ2415" s="129" t="s">
        <v>48</v>
      </c>
      <c r="AK2415" s="129">
        <v>4</v>
      </c>
      <c r="AL2415" s="3" t="s">
        <v>48</v>
      </c>
      <c r="AP2415" s="129" t="s">
        <v>56</v>
      </c>
      <c r="AR2415" s="128" t="s">
        <v>50</v>
      </c>
      <c r="AS2415" s="129" t="s">
        <v>57</v>
      </c>
      <c r="BC2415" s="129" t="s">
        <v>38</v>
      </c>
      <c r="BF2415" s="111">
        <f t="shared" si="1784"/>
        <v>50</v>
      </c>
      <c r="BG2415" s="111">
        <f t="shared" si="1785"/>
        <v>50</v>
      </c>
      <c r="BH2415" s="111">
        <f t="shared" si="1753"/>
        <v>58</v>
      </c>
      <c r="BI2415" s="111">
        <f t="shared" si="1754"/>
        <v>19.587431693989071</v>
      </c>
      <c r="BJ2415" s="129">
        <f t="shared" si="1772"/>
        <v>0</v>
      </c>
      <c r="BK2415" s="129">
        <f t="shared" si="1755"/>
        <v>0</v>
      </c>
      <c r="BL2415" s="129" t="str">
        <f t="shared" si="1748"/>
        <v>DEFERRED</v>
      </c>
      <c r="BM2415" s="129" t="str">
        <f t="shared" si="1756"/>
        <v>NONE</v>
      </c>
      <c r="BN2415" s="129" t="s">
        <v>566</v>
      </c>
      <c r="BP2415" s="137" t="str">
        <f t="shared" si="1757"/>
        <v>DEFERRED</v>
      </c>
      <c r="BQ2415" s="128" t="str">
        <f t="shared" si="1766"/>
        <v>Y</v>
      </c>
      <c r="BR2415" s="129" t="str">
        <f t="shared" si="1758"/>
        <v>DETAINED</v>
      </c>
      <c r="BS2415" s="129" t="str">
        <f t="shared" si="1759"/>
        <v>DISPOSED</v>
      </c>
      <c r="BT2415" s="129" t="str">
        <f t="shared" si="1760"/>
        <v>N</v>
      </c>
      <c r="BU2415" s="109">
        <f t="shared" si="1761"/>
        <v>0.86206896551724133</v>
      </c>
      <c r="BV2415" s="109">
        <f t="shared" si="1767"/>
        <v>1</v>
      </c>
      <c r="BW2415" s="109">
        <f t="shared" si="1779"/>
        <v>0.13793103448275867</v>
      </c>
      <c r="BX2415" s="111">
        <f t="shared" si="1762"/>
        <v>0</v>
      </c>
      <c r="BY2415" s="129">
        <f t="shared" si="1768"/>
        <v>-50</v>
      </c>
      <c r="BZ2415" s="111">
        <f t="shared" si="1769"/>
        <v>0</v>
      </c>
      <c r="CA2415" s="138">
        <f t="shared" si="1770"/>
        <v>50</v>
      </c>
      <c r="CB2415" s="111" t="e">
        <f t="shared" si="1786"/>
        <v>#VALUE!</v>
      </c>
      <c r="CC2415" s="129">
        <f t="shared" si="1788"/>
        <v>50</v>
      </c>
      <c r="CD2415" s="129">
        <f t="shared" si="1789"/>
        <v>0</v>
      </c>
      <c r="CG2415" s="129" t="str">
        <f t="shared" si="1771"/>
        <v>Y</v>
      </c>
      <c r="CI2415" s="129" t="str">
        <f t="shared" si="1773"/>
        <v>31-60 DAYS</v>
      </c>
      <c r="CJ2415" s="137">
        <f t="shared" si="1774"/>
        <v>3</v>
      </c>
      <c r="CK2415" s="129" t="str">
        <f t="shared" si="1775"/>
        <v>Booked</v>
      </c>
    </row>
    <row r="2416" spans="1:89" ht="15.75" customHeight="1" x14ac:dyDescent="0.25">
      <c r="A2416" s="111">
        <v>1951</v>
      </c>
      <c r="B2416" s="128" t="str">
        <f t="shared" si="1763"/>
        <v>N</v>
      </c>
      <c r="C2416" s="128" t="str">
        <f t="shared" si="1764"/>
        <v>N</v>
      </c>
      <c r="D2416" s="117">
        <v>2551296</v>
      </c>
      <c r="E2416" s="135">
        <f t="shared" si="1765"/>
        <v>2</v>
      </c>
      <c r="F2416" s="124">
        <v>40982</v>
      </c>
      <c r="G2416" s="125">
        <v>40991</v>
      </c>
      <c r="H2416" s="117">
        <v>2551296</v>
      </c>
      <c r="I2416" s="124">
        <v>40987</v>
      </c>
      <c r="J2416" s="124">
        <v>40991</v>
      </c>
      <c r="K2416" s="126" t="s">
        <v>564</v>
      </c>
      <c r="L2416" s="127" t="s">
        <v>564</v>
      </c>
      <c r="N2416" s="129" t="s">
        <v>566</v>
      </c>
      <c r="O2416" s="128" t="s">
        <v>917</v>
      </c>
      <c r="P2416" s="129" t="s">
        <v>589</v>
      </c>
      <c r="Q2416" s="111">
        <f t="shared" si="1783"/>
        <v>5</v>
      </c>
      <c r="R2416" s="111">
        <f t="shared" si="1780"/>
        <v>10</v>
      </c>
      <c r="S2416" s="129">
        <v>0</v>
      </c>
      <c r="T2416" s="129">
        <v>0</v>
      </c>
      <c r="W2416" s="111"/>
      <c r="AC2416" s="130"/>
      <c r="AD2416" s="130">
        <v>32046</v>
      </c>
      <c r="AE2416" s="128" t="s">
        <v>32</v>
      </c>
      <c r="AF2416" s="128" t="s">
        <v>33</v>
      </c>
      <c r="AG2416" s="128" t="s">
        <v>872</v>
      </c>
      <c r="AH2416" s="108" t="s">
        <v>58</v>
      </c>
      <c r="AI2416" s="128" t="s">
        <v>62</v>
      </c>
      <c r="AJ2416" s="129" t="s">
        <v>48</v>
      </c>
      <c r="AK2416" s="129">
        <v>2</v>
      </c>
      <c r="AL2416" s="3" t="s">
        <v>48</v>
      </c>
      <c r="AP2416" s="129" t="s">
        <v>104</v>
      </c>
      <c r="AR2416" s="128" t="s">
        <v>44</v>
      </c>
      <c r="AS2416" s="129" t="s">
        <v>64</v>
      </c>
      <c r="BC2416" s="129" t="s">
        <v>52</v>
      </c>
      <c r="BF2416" s="111">
        <f t="shared" si="1784"/>
        <v>5</v>
      </c>
      <c r="BG2416" s="111">
        <f t="shared" si="1785"/>
        <v>5</v>
      </c>
      <c r="BH2416" s="111">
        <f t="shared" si="1753"/>
        <v>10</v>
      </c>
      <c r="BI2416" s="111">
        <f t="shared" si="1754"/>
        <v>24.415300546448087</v>
      </c>
      <c r="BJ2416" s="129">
        <f t="shared" si="1772"/>
        <v>0</v>
      </c>
      <c r="BK2416" s="129">
        <f t="shared" si="1755"/>
        <v>0</v>
      </c>
      <c r="BL2416" s="129" t="str">
        <f t="shared" si="1748"/>
        <v>DEFERRED</v>
      </c>
      <c r="BM2416" s="129" t="str">
        <f t="shared" si="1756"/>
        <v>NONE</v>
      </c>
      <c r="BN2416" s="129" t="s">
        <v>566</v>
      </c>
      <c r="BP2416" s="137" t="str">
        <f t="shared" si="1757"/>
        <v>DEFERRED</v>
      </c>
      <c r="BQ2416" s="128" t="str">
        <f t="shared" si="1766"/>
        <v>Y</v>
      </c>
      <c r="BR2416" s="129" t="str">
        <f t="shared" si="1758"/>
        <v>DETAINED</v>
      </c>
      <c r="BS2416" s="129" t="str">
        <f t="shared" si="1759"/>
        <v>DISPOSED</v>
      </c>
      <c r="BT2416" s="129" t="str">
        <f t="shared" si="1760"/>
        <v>N</v>
      </c>
      <c r="BU2416" s="109">
        <f t="shared" si="1761"/>
        <v>0.5</v>
      </c>
      <c r="BV2416" s="109">
        <f t="shared" si="1767"/>
        <v>1</v>
      </c>
      <c r="BW2416" s="109">
        <f t="shared" si="1779"/>
        <v>0.5</v>
      </c>
      <c r="BX2416" s="111">
        <f t="shared" si="1762"/>
        <v>0</v>
      </c>
      <c r="BY2416" s="129">
        <f t="shared" si="1768"/>
        <v>-5</v>
      </c>
      <c r="BZ2416" s="111">
        <f t="shared" si="1769"/>
        <v>0</v>
      </c>
      <c r="CA2416" s="138">
        <f t="shared" si="1770"/>
        <v>5</v>
      </c>
      <c r="CB2416" s="111" t="e">
        <f t="shared" si="1786"/>
        <v>#VALUE!</v>
      </c>
      <c r="CC2416" s="129">
        <f t="shared" si="1788"/>
        <v>5</v>
      </c>
      <c r="CD2416" s="129">
        <f t="shared" si="1789"/>
        <v>0</v>
      </c>
      <c r="CG2416" s="129" t="str">
        <f t="shared" si="1771"/>
        <v>N</v>
      </c>
      <c r="CI2416" s="129" t="str">
        <f t="shared" si="1773"/>
        <v>0-10 DAYS</v>
      </c>
      <c r="CJ2416" s="137">
        <f t="shared" si="1774"/>
        <v>1</v>
      </c>
      <c r="CK2416" s="129" t="str">
        <f t="shared" si="1775"/>
        <v>Booked</v>
      </c>
    </row>
    <row r="2417" spans="1:89" ht="15" customHeight="1" x14ac:dyDescent="0.25">
      <c r="A2417" s="111">
        <v>2559</v>
      </c>
      <c r="B2417" s="128" t="str">
        <f t="shared" si="1763"/>
        <v>N</v>
      </c>
      <c r="C2417" s="128" t="str">
        <f t="shared" si="1764"/>
        <v>N</v>
      </c>
      <c r="D2417" s="117">
        <v>2551411</v>
      </c>
      <c r="E2417" s="135">
        <f t="shared" si="1765"/>
        <v>2</v>
      </c>
      <c r="F2417" s="124">
        <v>41004</v>
      </c>
      <c r="G2417" s="125">
        <v>41424</v>
      </c>
      <c r="H2417" s="117">
        <v>2551411</v>
      </c>
      <c r="I2417" s="124" t="s">
        <v>562</v>
      </c>
      <c r="J2417" s="124" t="s">
        <v>562</v>
      </c>
      <c r="K2417" s="126">
        <v>2000</v>
      </c>
      <c r="L2417" s="127" t="s">
        <v>568</v>
      </c>
      <c r="M2417" s="125">
        <v>41005</v>
      </c>
      <c r="N2417" s="129" t="str">
        <f>IF(M2417&gt;1/1/1,"Y",IF(Q2417="NOT BOOKED","","N"))</f>
        <v>Y</v>
      </c>
      <c r="O2417" s="128" t="s">
        <v>76</v>
      </c>
      <c r="P2417" s="129" t="s">
        <v>589</v>
      </c>
      <c r="Q2417" s="111">
        <v>0</v>
      </c>
      <c r="R2417" s="111">
        <f t="shared" si="1780"/>
        <v>421</v>
      </c>
      <c r="S2417" s="129">
        <v>0</v>
      </c>
      <c r="T2417" s="129">
        <v>0</v>
      </c>
      <c r="W2417" s="111"/>
      <c r="AC2417" s="130"/>
      <c r="AD2417" s="130">
        <v>32190</v>
      </c>
      <c r="AE2417" s="128" t="s">
        <v>32</v>
      </c>
      <c r="AF2417" s="128" t="s">
        <v>138</v>
      </c>
      <c r="AG2417" s="128" t="s">
        <v>873</v>
      </c>
      <c r="AH2417" s="108" t="s">
        <v>31</v>
      </c>
      <c r="AI2417" s="128" t="s">
        <v>34</v>
      </c>
      <c r="AJ2417" s="129" t="s">
        <v>48</v>
      </c>
      <c r="AK2417" s="129">
        <v>18</v>
      </c>
      <c r="AL2417" s="3" t="s">
        <v>48</v>
      </c>
      <c r="AP2417" s="129" t="s">
        <v>175</v>
      </c>
      <c r="AR2417" s="128" t="s">
        <v>44</v>
      </c>
      <c r="AS2417" s="129" t="s">
        <v>45</v>
      </c>
      <c r="BC2417" s="129" t="s">
        <v>52</v>
      </c>
      <c r="BF2417" s="111">
        <v>0</v>
      </c>
      <c r="BG2417" s="111" t="e">
        <f t="shared" si="1785"/>
        <v>#VALUE!</v>
      </c>
      <c r="BH2417" s="111">
        <f t="shared" si="1753"/>
        <v>421</v>
      </c>
      <c r="BI2417" s="111">
        <f t="shared" si="1754"/>
        <v>24.081967213114755</v>
      </c>
      <c r="BJ2417" s="129" t="e">
        <f>(G2417-J2417)+(M2417-G2417)</f>
        <v>#VALUE!</v>
      </c>
      <c r="BK2417" s="129" t="e">
        <f t="shared" si="1755"/>
        <v>#VALUE!</v>
      </c>
      <c r="BL2417" s="129" t="str">
        <f t="shared" si="1748"/>
        <v>DEFERRED</v>
      </c>
      <c r="BM2417" s="129" t="s">
        <v>76</v>
      </c>
      <c r="BN2417" s="129" t="s">
        <v>88</v>
      </c>
      <c r="BP2417" s="137" t="str">
        <f t="shared" si="1757"/>
        <v>DEFERRED</v>
      </c>
      <c r="BQ2417" s="128">
        <f t="shared" si="1766"/>
        <v>0</v>
      </c>
      <c r="BR2417" s="129" t="s">
        <v>575</v>
      </c>
      <c r="BS2417" s="129" t="str">
        <f t="shared" si="1759"/>
        <v>DISPOSED</v>
      </c>
      <c r="BT2417" s="129" t="str">
        <f t="shared" si="1760"/>
        <v>N</v>
      </c>
      <c r="BU2417" s="109">
        <f t="shared" si="1761"/>
        <v>0</v>
      </c>
      <c r="BV2417" s="109">
        <v>0</v>
      </c>
      <c r="BW2417" s="109">
        <f t="shared" si="1779"/>
        <v>0</v>
      </c>
      <c r="BX2417" s="111">
        <f t="shared" si="1762"/>
        <v>0</v>
      </c>
      <c r="BY2417" s="129" t="e">
        <f t="shared" si="1768"/>
        <v>#VALUE!</v>
      </c>
      <c r="BZ2417" s="111" t="e">
        <f t="shared" si="1769"/>
        <v>#VALUE!</v>
      </c>
      <c r="CA2417" s="138" t="e">
        <f t="shared" si="1770"/>
        <v>#VALUE!</v>
      </c>
      <c r="CB2417" s="111" t="s">
        <v>562</v>
      </c>
      <c r="CC2417" s="129">
        <v>0</v>
      </c>
      <c r="CD2417" s="111">
        <f>CC2417-BF2417</f>
        <v>0</v>
      </c>
      <c r="CG2417" s="129" t="str">
        <f t="shared" si="1771"/>
        <v>N</v>
      </c>
      <c r="CI2417" s="129" t="str">
        <f t="shared" si="1773"/>
        <v>0-10 DAYS</v>
      </c>
      <c r="CJ2417" s="137">
        <f t="shared" si="1774"/>
        <v>1</v>
      </c>
      <c r="CK2417" s="129" t="str">
        <f t="shared" si="1775"/>
        <v>Not Booked</v>
      </c>
    </row>
    <row r="2418" spans="1:89" ht="15.75" customHeight="1" x14ac:dyDescent="0.25">
      <c r="A2418" s="111">
        <v>1012</v>
      </c>
      <c r="B2418" s="128" t="str">
        <f t="shared" si="1763"/>
        <v>N</v>
      </c>
      <c r="C2418" s="128" t="str">
        <f t="shared" si="1764"/>
        <v>N</v>
      </c>
      <c r="D2418" s="117">
        <v>2552581</v>
      </c>
      <c r="E2418" s="135">
        <f t="shared" si="1765"/>
        <v>4</v>
      </c>
      <c r="F2418" s="124">
        <v>40946</v>
      </c>
      <c r="G2418" s="125">
        <v>40948</v>
      </c>
      <c r="H2418" s="117">
        <v>2552581</v>
      </c>
      <c r="I2418" s="124">
        <v>40947</v>
      </c>
      <c r="J2418" s="124">
        <v>40948</v>
      </c>
      <c r="K2418" s="126">
        <v>2000</v>
      </c>
      <c r="L2418" s="127" t="s">
        <v>568</v>
      </c>
      <c r="N2418" s="129" t="str">
        <f>IF(M2418&gt;1/1/1,"Y","N")</f>
        <v>N</v>
      </c>
      <c r="O2418" s="128" t="s">
        <v>917</v>
      </c>
      <c r="P2418" s="129" t="s">
        <v>39</v>
      </c>
      <c r="Q2418" s="111">
        <f t="shared" si="1783"/>
        <v>2</v>
      </c>
      <c r="R2418" s="111">
        <f t="shared" si="1780"/>
        <v>3</v>
      </c>
      <c r="S2418" s="129">
        <v>0</v>
      </c>
      <c r="T2418" s="129">
        <v>2</v>
      </c>
      <c r="W2418" s="111"/>
      <c r="AC2418" s="130"/>
      <c r="AD2418" s="130">
        <v>22348</v>
      </c>
      <c r="AE2418" s="128" t="s">
        <v>32</v>
      </c>
      <c r="AF2418" s="128" t="s">
        <v>33</v>
      </c>
      <c r="AG2418" s="128" t="s">
        <v>872</v>
      </c>
      <c r="AH2418" s="108" t="s">
        <v>58</v>
      </c>
      <c r="AI2418" s="128" t="s">
        <v>42</v>
      </c>
      <c r="AJ2418" s="129" t="s">
        <v>89</v>
      </c>
      <c r="AK2418" s="129">
        <v>1</v>
      </c>
      <c r="AL2418" s="3" t="s">
        <v>991</v>
      </c>
      <c r="AO2418" s="128">
        <v>90</v>
      </c>
      <c r="AP2418" s="129" t="s">
        <v>60</v>
      </c>
      <c r="AR2418" s="128" t="s">
        <v>44</v>
      </c>
      <c r="AS2418" s="129" t="s">
        <v>61</v>
      </c>
      <c r="AT2418" s="129" t="s">
        <v>276</v>
      </c>
      <c r="BC2418" s="129" t="s">
        <v>38</v>
      </c>
      <c r="BF2418" s="111">
        <f>IF(J2418&gt;1/1/1900,((J2418+1)-I2418),"STILL OPEN")</f>
        <v>2</v>
      </c>
      <c r="BG2418" s="111">
        <f t="shared" si="1785"/>
        <v>2</v>
      </c>
      <c r="BH2418" s="111">
        <f t="shared" si="1753"/>
        <v>3</v>
      </c>
      <c r="BI2418" s="111">
        <f t="shared" si="1754"/>
        <v>50.814207650273225</v>
      </c>
      <c r="BJ2418" s="129">
        <f t="shared" si="1772"/>
        <v>0</v>
      </c>
      <c r="BK2418" s="129">
        <f t="shared" si="1755"/>
        <v>0</v>
      </c>
      <c r="BL2418" s="129" t="str">
        <f t="shared" si="1748"/>
        <v>CONVICTION</v>
      </c>
      <c r="BM2418" s="129" t="str">
        <f t="shared" si="1756"/>
        <v>NONE</v>
      </c>
      <c r="BN2418" s="129" t="s">
        <v>566</v>
      </c>
      <c r="BP2418" s="137" t="str">
        <f t="shared" si="1757"/>
        <v>CONVICTION</v>
      </c>
      <c r="BQ2418" s="128" t="str">
        <f t="shared" si="1766"/>
        <v>Y</v>
      </c>
      <c r="BR2418" s="129" t="str">
        <f t="shared" si="1758"/>
        <v>DETAINED</v>
      </c>
      <c r="BS2418" s="129" t="str">
        <f t="shared" si="1759"/>
        <v>DISPOSED</v>
      </c>
      <c r="BT2418" s="129" t="str">
        <f t="shared" si="1760"/>
        <v>N</v>
      </c>
      <c r="BU2418" s="109">
        <f t="shared" si="1761"/>
        <v>0.66666666666666663</v>
      </c>
      <c r="BV2418" s="109">
        <f t="shared" si="1767"/>
        <v>1</v>
      </c>
      <c r="BW2418" s="109">
        <f t="shared" si="1779"/>
        <v>0.33333333333333337</v>
      </c>
      <c r="BX2418" s="111">
        <f t="shared" si="1762"/>
        <v>0</v>
      </c>
      <c r="BY2418" s="129">
        <f t="shared" si="1768"/>
        <v>-2</v>
      </c>
      <c r="BZ2418" s="111">
        <f t="shared" si="1769"/>
        <v>0</v>
      </c>
      <c r="CA2418" s="138">
        <f t="shared" si="1770"/>
        <v>2</v>
      </c>
      <c r="CB2418" s="111" t="e">
        <f>IF(AF2418&gt;1/1/1900,((AF2418+1)-AE2418),"STILL OPEN")</f>
        <v>#VALUE!</v>
      </c>
      <c r="CC2418" s="129">
        <f>G2418-I2418+1</f>
        <v>2</v>
      </c>
      <c r="CD2418" s="129">
        <f>G2418-J2418</f>
        <v>0</v>
      </c>
      <c r="CG2418" s="129" t="str">
        <f t="shared" si="1771"/>
        <v>Y</v>
      </c>
      <c r="CI2418" s="129" t="str">
        <f t="shared" si="1773"/>
        <v>0-10 DAYS</v>
      </c>
      <c r="CJ2418" s="137">
        <f t="shared" si="1774"/>
        <v>1</v>
      </c>
      <c r="CK2418" s="129" t="str">
        <f t="shared" si="1775"/>
        <v>Booked</v>
      </c>
    </row>
    <row r="2419" spans="1:89" ht="15.75" customHeight="1" x14ac:dyDescent="0.25">
      <c r="A2419" s="111">
        <v>3088</v>
      </c>
      <c r="B2419" s="128" t="str">
        <f t="shared" si="1763"/>
        <v>N</v>
      </c>
      <c r="C2419" s="128" t="str">
        <f t="shared" si="1764"/>
        <v>Y</v>
      </c>
      <c r="D2419" s="114">
        <v>2553143</v>
      </c>
      <c r="E2419" s="135">
        <f t="shared" si="1765"/>
        <v>6</v>
      </c>
      <c r="F2419" s="124">
        <v>41023</v>
      </c>
      <c r="G2419" s="125">
        <v>41558</v>
      </c>
      <c r="H2419" s="114">
        <v>2553143</v>
      </c>
      <c r="I2419" s="124">
        <v>41030</v>
      </c>
      <c r="J2419" s="124">
        <v>41031</v>
      </c>
      <c r="K2419" s="126">
        <v>10000</v>
      </c>
      <c r="L2419" s="127" t="s">
        <v>570</v>
      </c>
      <c r="M2419" s="125">
        <v>41031</v>
      </c>
      <c r="N2419" s="129" t="str">
        <f>IF(M2419&gt;1/1/1,"Y","N")</f>
        <v>Y</v>
      </c>
      <c r="O2419" s="128" t="s">
        <v>76</v>
      </c>
      <c r="P2419" s="129" t="s">
        <v>39</v>
      </c>
      <c r="Q2419" s="111">
        <v>10</v>
      </c>
      <c r="R2419" s="111">
        <f t="shared" si="1780"/>
        <v>536</v>
      </c>
      <c r="S2419" s="129">
        <v>0</v>
      </c>
      <c r="T2419" s="129">
        <v>0</v>
      </c>
      <c r="W2419" s="111"/>
      <c r="AC2419" s="130"/>
      <c r="AD2419" s="130">
        <v>32764</v>
      </c>
      <c r="AE2419" s="128" t="s">
        <v>32</v>
      </c>
      <c r="AF2419" s="128" t="s">
        <v>33</v>
      </c>
      <c r="AG2419" s="128" t="s">
        <v>872</v>
      </c>
      <c r="AH2419" s="108" t="s">
        <v>31</v>
      </c>
      <c r="AI2419" s="128" t="s">
        <v>59</v>
      </c>
      <c r="AJ2419" s="129" t="s">
        <v>89</v>
      </c>
      <c r="AK2419" s="129">
        <v>9</v>
      </c>
      <c r="AL2419" s="3" t="s">
        <v>362</v>
      </c>
      <c r="AM2419" s="117">
        <v>3</v>
      </c>
      <c r="AP2419" s="129" t="s">
        <v>56</v>
      </c>
      <c r="AR2419" s="128" t="s">
        <v>50</v>
      </c>
      <c r="AS2419" s="129" t="s">
        <v>57</v>
      </c>
      <c r="AT2419" s="129" t="s">
        <v>1425</v>
      </c>
      <c r="AU2419" s="129" t="s">
        <v>773</v>
      </c>
      <c r="AV2419" s="3" t="s">
        <v>88</v>
      </c>
      <c r="AW2419" s="129" t="s">
        <v>869</v>
      </c>
      <c r="AY2419" s="123"/>
      <c r="BC2419" s="129" t="s">
        <v>52</v>
      </c>
      <c r="BF2419" s="111">
        <v>10</v>
      </c>
      <c r="BG2419" s="111">
        <f t="shared" si="1785"/>
        <v>529</v>
      </c>
      <c r="BH2419" s="111">
        <f t="shared" si="1753"/>
        <v>536</v>
      </c>
      <c r="BI2419" s="111">
        <f t="shared" si="1754"/>
        <v>22.565573770491802</v>
      </c>
      <c r="BJ2419" s="129">
        <f>(G2419-J2419)+(M2419-G2419)</f>
        <v>0</v>
      </c>
      <c r="BK2419" s="129">
        <f t="shared" si="1755"/>
        <v>-527</v>
      </c>
      <c r="BL2419" s="129" t="str">
        <f t="shared" si="1748"/>
        <v>CONVICTION</v>
      </c>
      <c r="BM2419" s="129" t="s">
        <v>76</v>
      </c>
      <c r="BN2419" s="129" t="s">
        <v>566</v>
      </c>
      <c r="BP2419" s="137" t="str">
        <f t="shared" si="1757"/>
        <v>CONVICTION</v>
      </c>
      <c r="BQ2419" s="128" t="str">
        <f t="shared" si="1766"/>
        <v>Y</v>
      </c>
      <c r="BR2419" s="129" t="s">
        <v>574</v>
      </c>
      <c r="BS2419" s="129" t="str">
        <f t="shared" si="1759"/>
        <v>DISPOSED</v>
      </c>
      <c r="BT2419" s="129" t="str">
        <f t="shared" si="1760"/>
        <v>N</v>
      </c>
      <c r="BU2419" s="109">
        <f>IFERROR(Q2419/R2419,BR2419)</f>
        <v>1.8656716417910446E-2</v>
      </c>
      <c r="BV2419" s="109">
        <f t="shared" si="1767"/>
        <v>3.780718336483932E-3</v>
      </c>
      <c r="BW2419" s="109">
        <f t="shared" si="1779"/>
        <v>-1.4875998081426514E-2</v>
      </c>
      <c r="BX2419" s="111">
        <f t="shared" si="1762"/>
        <v>0</v>
      </c>
      <c r="BY2419" s="129">
        <f t="shared" si="1768"/>
        <v>-2</v>
      </c>
      <c r="BZ2419" s="111">
        <f t="shared" si="1769"/>
        <v>8</v>
      </c>
      <c r="CA2419" s="138">
        <f t="shared" si="1770"/>
        <v>529</v>
      </c>
      <c r="CB2419" s="111">
        <v>10</v>
      </c>
      <c r="CC2419" s="129">
        <f>G2419-I2419+1</f>
        <v>529</v>
      </c>
      <c r="CD2419" s="129">
        <f>G2419-J2419</f>
        <v>527</v>
      </c>
      <c r="CG2419" s="129" t="str">
        <f t="shared" si="1771"/>
        <v>N</v>
      </c>
      <c r="CI2419" s="129" t="str">
        <f t="shared" si="1773"/>
        <v>0-10 DAYS</v>
      </c>
      <c r="CJ2419" s="137">
        <f t="shared" si="1774"/>
        <v>1</v>
      </c>
      <c r="CK2419" s="129" t="str">
        <f t="shared" si="1775"/>
        <v>Booked</v>
      </c>
    </row>
    <row r="2420" spans="1:89" ht="15.75" customHeight="1" x14ac:dyDescent="0.25">
      <c r="A2420" s="111">
        <v>433</v>
      </c>
      <c r="B2420" s="128" t="str">
        <f t="shared" si="1763"/>
        <v>N</v>
      </c>
      <c r="C2420" s="128" t="str">
        <f t="shared" si="1764"/>
        <v>N</v>
      </c>
      <c r="D2420" s="117">
        <v>2553231</v>
      </c>
      <c r="E2420" s="135">
        <f t="shared" si="1765"/>
        <v>2</v>
      </c>
      <c r="F2420" s="124">
        <v>40926</v>
      </c>
      <c r="G2420" s="125">
        <v>41059</v>
      </c>
      <c r="H2420" s="117">
        <v>2553231</v>
      </c>
      <c r="I2420" s="124" t="s">
        <v>562</v>
      </c>
      <c r="J2420" s="124" t="s">
        <v>562</v>
      </c>
      <c r="K2420" s="126">
        <v>2000</v>
      </c>
      <c r="L2420" s="127" t="s">
        <v>568</v>
      </c>
      <c r="M2420" s="125">
        <v>40927</v>
      </c>
      <c r="N2420" s="129" t="str">
        <f>IF(M2420&gt;1/1/1,"Y",IF(Q2420="0","","N"))</f>
        <v>Y</v>
      </c>
      <c r="O2420" s="128" t="s">
        <v>76</v>
      </c>
      <c r="P2420" s="129" t="s">
        <v>589</v>
      </c>
      <c r="Q2420" s="111">
        <f t="shared" ref="Q2420:Q2426" si="1790">BF2420</f>
        <v>0</v>
      </c>
      <c r="R2420" s="111">
        <f t="shared" si="1780"/>
        <v>134</v>
      </c>
      <c r="S2420" s="129">
        <v>0</v>
      </c>
      <c r="T2420" s="129">
        <v>1</v>
      </c>
      <c r="W2420" s="111"/>
      <c r="AC2420" s="130"/>
      <c r="AD2420" s="130">
        <v>34192</v>
      </c>
      <c r="AE2420" s="128" t="s">
        <v>32</v>
      </c>
      <c r="AF2420" s="128" t="s">
        <v>33</v>
      </c>
      <c r="AG2420" s="128" t="s">
        <v>872</v>
      </c>
      <c r="AH2420" s="108" t="s">
        <v>31</v>
      </c>
      <c r="AI2420" s="128" t="s">
        <v>34</v>
      </c>
      <c r="AJ2420" s="129" t="s">
        <v>48</v>
      </c>
      <c r="AK2420" s="129">
        <v>6</v>
      </c>
      <c r="AL2420" s="3" t="s">
        <v>48</v>
      </c>
      <c r="AP2420" s="129" t="s">
        <v>175</v>
      </c>
      <c r="AR2420" s="128" t="s">
        <v>44</v>
      </c>
      <c r="AS2420" s="129" t="s">
        <v>45</v>
      </c>
      <c r="BC2420" s="129" t="s">
        <v>38</v>
      </c>
      <c r="BF2420" s="111">
        <v>0</v>
      </c>
      <c r="BG2420" s="111">
        <v>0</v>
      </c>
      <c r="BH2420" s="111">
        <f t="shared" si="1753"/>
        <v>134</v>
      </c>
      <c r="BI2420" s="111">
        <f t="shared" si="1754"/>
        <v>18.398907103825138</v>
      </c>
      <c r="BJ2420" s="129" t="e">
        <f>(G2420-J2420)+(M2420-G2420)</f>
        <v>#VALUE!</v>
      </c>
      <c r="BK2420" s="129" t="e">
        <f t="shared" si="1755"/>
        <v>#VALUE!</v>
      </c>
      <c r="BL2420" s="129" t="str">
        <f t="shared" si="1748"/>
        <v>DEFERRED</v>
      </c>
      <c r="BM2420" s="129" t="s">
        <v>76</v>
      </c>
      <c r="BN2420" s="129" t="s">
        <v>88</v>
      </c>
      <c r="BP2420" s="137" t="str">
        <f t="shared" si="1757"/>
        <v>DEFERRED</v>
      </c>
      <c r="BQ2420" s="128">
        <f t="shared" si="1766"/>
        <v>0</v>
      </c>
      <c r="BR2420" s="129" t="s">
        <v>575</v>
      </c>
      <c r="BS2420" s="129" t="str">
        <f t="shared" si="1759"/>
        <v>DISPOSED</v>
      </c>
      <c r="BT2420" s="129" t="str">
        <f t="shared" si="1760"/>
        <v>N</v>
      </c>
      <c r="BU2420" s="109">
        <f t="shared" si="1761"/>
        <v>0</v>
      </c>
      <c r="BV2420" s="109">
        <v>0</v>
      </c>
      <c r="BW2420" s="109">
        <f t="shared" si="1779"/>
        <v>0</v>
      </c>
      <c r="BX2420" s="111">
        <f t="shared" si="1762"/>
        <v>0</v>
      </c>
      <c r="BY2420" s="129" t="e">
        <f t="shared" si="1768"/>
        <v>#VALUE!</v>
      </c>
      <c r="BZ2420" s="111" t="e">
        <f t="shared" si="1769"/>
        <v>#VALUE!</v>
      </c>
      <c r="CA2420" s="138" t="e">
        <f t="shared" si="1770"/>
        <v>#VALUE!</v>
      </c>
      <c r="CB2420" s="111">
        <v>0</v>
      </c>
      <c r="CC2420" s="129">
        <v>0</v>
      </c>
      <c r="CD2420" s="111">
        <f>CC2420-BF2420</f>
        <v>0</v>
      </c>
      <c r="CG2420" s="129" t="str">
        <f t="shared" si="1771"/>
        <v>Y</v>
      </c>
      <c r="CI2420" s="129" t="str">
        <f t="shared" si="1773"/>
        <v>0-10 DAYS</v>
      </c>
      <c r="CJ2420" s="137">
        <f t="shared" si="1774"/>
        <v>1</v>
      </c>
      <c r="CK2420" s="129" t="str">
        <f t="shared" si="1775"/>
        <v>Not Booked</v>
      </c>
    </row>
    <row r="2421" spans="1:89" ht="15" customHeight="1" x14ac:dyDescent="0.25">
      <c r="A2421" s="111">
        <v>2144</v>
      </c>
      <c r="B2421" s="128" t="str">
        <f t="shared" si="1763"/>
        <v>N</v>
      </c>
      <c r="C2421" s="128" t="str">
        <f t="shared" si="1764"/>
        <v>N</v>
      </c>
      <c r="D2421" s="117">
        <v>2553371</v>
      </c>
      <c r="E2421" s="135">
        <f t="shared" si="1765"/>
        <v>1</v>
      </c>
      <c r="F2421" s="124">
        <v>40989</v>
      </c>
      <c r="G2421" s="125">
        <v>40991</v>
      </c>
      <c r="H2421" s="117">
        <v>2553371</v>
      </c>
      <c r="I2421" s="124" t="s">
        <v>562</v>
      </c>
      <c r="J2421" s="124" t="s">
        <v>562</v>
      </c>
      <c r="K2421" s="126">
        <v>10000</v>
      </c>
      <c r="L2421" s="127" t="s">
        <v>570</v>
      </c>
      <c r="N2421" s="124" t="s">
        <v>1343</v>
      </c>
      <c r="O2421" s="128" t="s">
        <v>917</v>
      </c>
      <c r="P2421" s="129" t="s">
        <v>55</v>
      </c>
      <c r="Q2421" s="111">
        <f t="shared" si="1790"/>
        <v>0</v>
      </c>
      <c r="R2421" s="111">
        <f t="shared" si="1780"/>
        <v>3</v>
      </c>
      <c r="S2421" s="129">
        <v>0</v>
      </c>
      <c r="T2421" s="129">
        <v>0</v>
      </c>
      <c r="W2421" s="111"/>
      <c r="AC2421" s="130"/>
      <c r="AD2421" s="130">
        <v>26477</v>
      </c>
      <c r="AE2421" s="128" t="s">
        <v>46</v>
      </c>
      <c r="AF2421" s="128" t="s">
        <v>33</v>
      </c>
      <c r="AG2421" s="128" t="s">
        <v>872</v>
      </c>
      <c r="AH2421" s="108" t="s">
        <v>31</v>
      </c>
      <c r="AI2421" s="128" t="s">
        <v>97</v>
      </c>
      <c r="AJ2421" s="129" t="s">
        <v>55</v>
      </c>
      <c r="AK2421" s="129">
        <v>1</v>
      </c>
      <c r="AL2421" s="3" t="s">
        <v>55</v>
      </c>
      <c r="AP2421" s="129" t="s">
        <v>406</v>
      </c>
      <c r="AR2421" s="128" t="s">
        <v>50</v>
      </c>
      <c r="AS2421" s="129" t="s">
        <v>64</v>
      </c>
      <c r="BC2421" s="129" t="s">
        <v>99</v>
      </c>
      <c r="BF2421" s="111">
        <v>0</v>
      </c>
      <c r="BG2421" s="111">
        <v>0</v>
      </c>
      <c r="BH2421" s="111">
        <f t="shared" si="1753"/>
        <v>3</v>
      </c>
      <c r="BI2421" s="111">
        <f t="shared" si="1754"/>
        <v>39.650273224043715</v>
      </c>
      <c r="BJ2421" s="129" t="e">
        <f>(G2421-J2421)+(M2421-G2421)</f>
        <v>#VALUE!</v>
      </c>
      <c r="BK2421" s="129" t="e">
        <f t="shared" si="1755"/>
        <v>#VALUE!</v>
      </c>
      <c r="BL2421" s="129" t="str">
        <f t="shared" si="1748"/>
        <v>NO CONVICTION</v>
      </c>
      <c r="BM2421" s="129" t="str">
        <f t="shared" si="1756"/>
        <v>NONE</v>
      </c>
      <c r="BN2421" s="129" t="s">
        <v>566</v>
      </c>
      <c r="BP2421" s="137" t="str">
        <f t="shared" si="1757"/>
        <v>NO CONVICTION</v>
      </c>
      <c r="BQ2421" s="128">
        <f t="shared" si="1766"/>
        <v>0</v>
      </c>
      <c r="BR2421" s="129" t="s">
        <v>1345</v>
      </c>
      <c r="BS2421" s="129" t="str">
        <f t="shared" si="1759"/>
        <v>DISPOSED</v>
      </c>
      <c r="BT2421" s="129" t="str">
        <f t="shared" si="1760"/>
        <v>N</v>
      </c>
      <c r="BU2421" s="109">
        <f>IFERROR(Q2421/R2421,BR2421)</f>
        <v>0</v>
      </c>
      <c r="BV2421" s="109">
        <v>0</v>
      </c>
      <c r="BW2421" s="109">
        <f t="shared" si="1779"/>
        <v>0</v>
      </c>
      <c r="BX2421" s="111">
        <f t="shared" si="1762"/>
        <v>0</v>
      </c>
      <c r="BY2421" s="129" t="e">
        <f t="shared" si="1768"/>
        <v>#VALUE!</v>
      </c>
      <c r="BZ2421" s="111" t="e">
        <f t="shared" si="1769"/>
        <v>#VALUE!</v>
      </c>
      <c r="CA2421" s="138" t="e">
        <f t="shared" si="1770"/>
        <v>#VALUE!</v>
      </c>
      <c r="CB2421" s="111">
        <v>0</v>
      </c>
      <c r="CC2421" s="129">
        <v>0</v>
      </c>
      <c r="CG2421" s="129" t="str">
        <f t="shared" si="1771"/>
        <v>N</v>
      </c>
      <c r="CI2421" s="129" t="str">
        <f t="shared" si="1773"/>
        <v>0-10 DAYS</v>
      </c>
      <c r="CJ2421" s="137">
        <f t="shared" si="1774"/>
        <v>1</v>
      </c>
      <c r="CK2421" s="129" t="str">
        <f t="shared" si="1775"/>
        <v>Not Booked</v>
      </c>
    </row>
    <row r="2422" spans="1:89" ht="15" customHeight="1" x14ac:dyDescent="0.25">
      <c r="A2422" s="111">
        <v>1069</v>
      </c>
      <c r="B2422" s="128" t="str">
        <f t="shared" si="1763"/>
        <v>N</v>
      </c>
      <c r="C2422" s="128" t="str">
        <f t="shared" si="1764"/>
        <v>N</v>
      </c>
      <c r="D2422" s="117">
        <v>2553966</v>
      </c>
      <c r="E2422" s="135">
        <f t="shared" si="1765"/>
        <v>4</v>
      </c>
      <c r="F2422" s="124">
        <v>40948</v>
      </c>
      <c r="G2422" s="125">
        <v>41493</v>
      </c>
      <c r="H2422" s="117">
        <v>2553966</v>
      </c>
      <c r="I2422" s="124">
        <v>40948</v>
      </c>
      <c r="J2422" s="124">
        <v>40950</v>
      </c>
      <c r="K2422" s="126">
        <v>30000</v>
      </c>
      <c r="L2422" s="129" t="s">
        <v>572</v>
      </c>
      <c r="M2422" s="125">
        <v>40950</v>
      </c>
      <c r="N2422" s="129" t="str">
        <f t="shared" ref="N2422:N2433" si="1791">IF(M2422&gt;1/1/1,"Y","N")</f>
        <v>Y</v>
      </c>
      <c r="O2422" s="128" t="s">
        <v>76</v>
      </c>
      <c r="P2422" s="129" t="s">
        <v>39</v>
      </c>
      <c r="Q2422" s="111">
        <f t="shared" si="1790"/>
        <v>3</v>
      </c>
      <c r="R2422" s="111">
        <f t="shared" si="1780"/>
        <v>546</v>
      </c>
      <c r="S2422" s="129">
        <v>0</v>
      </c>
      <c r="T2422" s="129">
        <v>0</v>
      </c>
      <c r="W2422" s="111"/>
      <c r="AC2422" s="130"/>
      <c r="AD2422" s="130">
        <v>29945</v>
      </c>
      <c r="AE2422" s="128" t="s">
        <v>32</v>
      </c>
      <c r="AF2422" s="128" t="s">
        <v>33</v>
      </c>
      <c r="AG2422" s="128" t="s">
        <v>872</v>
      </c>
      <c r="AH2422" s="108" t="s">
        <v>31</v>
      </c>
      <c r="AI2422" s="128" t="s">
        <v>80</v>
      </c>
      <c r="AJ2422" s="129" t="s">
        <v>55</v>
      </c>
      <c r="AK2422" s="129">
        <v>19</v>
      </c>
      <c r="AL2422" s="3" t="s">
        <v>991</v>
      </c>
      <c r="AO2422" s="128">
        <v>2</v>
      </c>
      <c r="AP2422" s="129" t="s">
        <v>234</v>
      </c>
      <c r="AR2422" s="128" t="s">
        <v>50</v>
      </c>
      <c r="AS2422" s="129" t="s">
        <v>45</v>
      </c>
      <c r="AT2422" s="129" t="s">
        <v>1074</v>
      </c>
      <c r="AW2422" s="123"/>
      <c r="BC2422" s="129" t="s">
        <v>52</v>
      </c>
      <c r="BF2422" s="111">
        <v>3</v>
      </c>
      <c r="BG2422" s="111">
        <f t="shared" ref="BG2422:BG2456" si="1792">IF(G2422&gt;1/1/1900,((G2422+1)-I2422),"STILL OPEN")</f>
        <v>546</v>
      </c>
      <c r="BH2422" s="111">
        <f t="shared" si="1753"/>
        <v>546</v>
      </c>
      <c r="BI2422" s="111">
        <f t="shared" si="1754"/>
        <v>30.062841530054644</v>
      </c>
      <c r="BJ2422" s="129">
        <f>(G2422-J2422)+(M2422-G2422)</f>
        <v>0</v>
      </c>
      <c r="BK2422" s="129">
        <f t="shared" si="1755"/>
        <v>-543</v>
      </c>
      <c r="BL2422" s="129" t="str">
        <f t="shared" si="1748"/>
        <v>CONVICTION</v>
      </c>
      <c r="BM2422" s="129" t="s">
        <v>76</v>
      </c>
      <c r="BN2422" s="129" t="s">
        <v>566</v>
      </c>
      <c r="BP2422" s="137" t="s">
        <v>1057</v>
      </c>
      <c r="BQ2422" s="128" t="str">
        <f t="shared" si="1766"/>
        <v>Y</v>
      </c>
      <c r="BR2422" s="129" t="str">
        <f t="shared" si="1758"/>
        <v>ON BOND</v>
      </c>
      <c r="BS2422" s="129" t="str">
        <f t="shared" si="1759"/>
        <v>DISPOSED</v>
      </c>
      <c r="BT2422" s="129" t="str">
        <f t="shared" si="1760"/>
        <v>N</v>
      </c>
      <c r="BU2422" s="109">
        <f>IFERROR(Q2422/R2422,BR2422)</f>
        <v>5.4945054945054949E-3</v>
      </c>
      <c r="BV2422" s="109">
        <f t="shared" si="1767"/>
        <v>5.4945054945054949E-3</v>
      </c>
      <c r="BW2422" s="109">
        <f t="shared" si="1779"/>
        <v>0</v>
      </c>
      <c r="BX2422" s="111">
        <f t="shared" si="1762"/>
        <v>0</v>
      </c>
      <c r="BY2422" s="129">
        <f t="shared" si="1768"/>
        <v>-3</v>
      </c>
      <c r="BZ2422" s="111">
        <f t="shared" si="1769"/>
        <v>0</v>
      </c>
      <c r="CA2422" s="138">
        <f t="shared" si="1770"/>
        <v>3</v>
      </c>
      <c r="CB2422" s="111" t="e">
        <f t="shared" ref="CB2422:CB2456" si="1793">IF(AF2422&gt;1/1/1900,((AF2422+1)-AE2422),"STILL OPEN")</f>
        <v>#VALUE!</v>
      </c>
      <c r="CD2422" s="129">
        <f>G2422-J2422</f>
        <v>543</v>
      </c>
      <c r="CG2422" s="129" t="str">
        <f t="shared" si="1771"/>
        <v>N</v>
      </c>
      <c r="CI2422" s="129" t="str">
        <f t="shared" si="1773"/>
        <v>0-10 DAYS</v>
      </c>
      <c r="CJ2422" s="137">
        <f t="shared" si="1774"/>
        <v>1</v>
      </c>
      <c r="CK2422" s="129" t="str">
        <f t="shared" si="1775"/>
        <v>Booked</v>
      </c>
    </row>
    <row r="2423" spans="1:89" ht="15" customHeight="1" x14ac:dyDescent="0.25">
      <c r="A2423" s="111">
        <v>5</v>
      </c>
      <c r="B2423" s="128" t="str">
        <f t="shared" si="1763"/>
        <v>N</v>
      </c>
      <c r="C2423" s="128" t="str">
        <f t="shared" si="1764"/>
        <v>N</v>
      </c>
      <c r="D2423" s="117">
        <v>2554050</v>
      </c>
      <c r="E2423" s="135">
        <f t="shared" si="1765"/>
        <v>4</v>
      </c>
      <c r="F2423" s="124">
        <v>40909</v>
      </c>
      <c r="G2423" s="125">
        <v>40911</v>
      </c>
      <c r="H2423" s="117">
        <v>2554050</v>
      </c>
      <c r="I2423" s="124">
        <v>40909</v>
      </c>
      <c r="J2423" s="124">
        <v>40911</v>
      </c>
      <c r="K2423" s="126">
        <v>52000</v>
      </c>
      <c r="L2423" s="129" t="s">
        <v>572</v>
      </c>
      <c r="N2423" s="129" t="str">
        <f t="shared" si="1791"/>
        <v>N</v>
      </c>
      <c r="O2423" s="128" t="s">
        <v>917</v>
      </c>
      <c r="P2423" s="129" t="s">
        <v>39</v>
      </c>
      <c r="Q2423" s="111">
        <f t="shared" si="1790"/>
        <v>3</v>
      </c>
      <c r="R2423" s="111">
        <f t="shared" si="1780"/>
        <v>3</v>
      </c>
      <c r="S2423" s="129">
        <v>0</v>
      </c>
      <c r="T2423" s="129">
        <v>0</v>
      </c>
      <c r="W2423" s="111"/>
      <c r="AC2423" s="130"/>
      <c r="AD2423" s="130">
        <v>29686</v>
      </c>
      <c r="AE2423" s="128" t="s">
        <v>32</v>
      </c>
      <c r="AF2423" s="128" t="s">
        <v>69</v>
      </c>
      <c r="AG2423" s="128" t="s">
        <v>874</v>
      </c>
      <c r="AH2423" s="108" t="s">
        <v>31</v>
      </c>
      <c r="AI2423" s="128" t="s">
        <v>53</v>
      </c>
      <c r="AJ2423" s="129" t="s">
        <v>89</v>
      </c>
      <c r="AK2423" s="129">
        <v>1</v>
      </c>
      <c r="AL2423" s="3" t="s">
        <v>991</v>
      </c>
      <c r="AO2423" s="128">
        <v>60</v>
      </c>
      <c r="AP2423" s="129" t="s">
        <v>43</v>
      </c>
      <c r="AR2423" s="128" t="s">
        <v>44</v>
      </c>
      <c r="AS2423" s="129" t="s">
        <v>45</v>
      </c>
      <c r="BC2423" s="129" t="s">
        <v>52</v>
      </c>
      <c r="BF2423" s="111">
        <f t="shared" ref="BF2423:BF2456" si="1794">IF(J2423&gt;1/1/1900,((J2423+1)-I2423),"STILL OPEN")</f>
        <v>3</v>
      </c>
      <c r="BG2423" s="111">
        <f t="shared" si="1792"/>
        <v>3</v>
      </c>
      <c r="BH2423" s="111">
        <f t="shared" si="1753"/>
        <v>3</v>
      </c>
      <c r="BI2423" s="111">
        <f t="shared" si="1754"/>
        <v>30.66393442622951</v>
      </c>
      <c r="BJ2423" s="129">
        <f t="shared" si="1772"/>
        <v>0</v>
      </c>
      <c r="BK2423" s="129">
        <f t="shared" si="1755"/>
        <v>0</v>
      </c>
      <c r="BL2423" s="129" t="str">
        <f t="shared" ref="BL2423:BL2486" si="1795">IF(OR(AL2423="AQUITTAL",AL2423="DISMISSED",AL2423="FINE",AL2423="NO BILL"),"NO CONVICTION",IF(OR(AL2423="HCJ",AL2423="MHH",AL2423="PROBATION",AL2423="STJ",AL2423="TDC"),"CONVICTION",IF(AL2423="DEFERRED","DEFERRED",0)))</f>
        <v>CONVICTION</v>
      </c>
      <c r="BM2423" s="129" t="str">
        <f t="shared" si="1756"/>
        <v>NONE</v>
      </c>
      <c r="BN2423" s="129" t="s">
        <v>566</v>
      </c>
      <c r="BP2423" s="137" t="str">
        <f t="shared" si="1757"/>
        <v>CONVICTION</v>
      </c>
      <c r="BQ2423" s="128" t="str">
        <f t="shared" si="1766"/>
        <v>Y</v>
      </c>
      <c r="BR2423" s="129" t="str">
        <f t="shared" si="1758"/>
        <v>DETAINED</v>
      </c>
      <c r="BS2423" s="129" t="str">
        <f t="shared" si="1759"/>
        <v>DISPOSED</v>
      </c>
      <c r="BT2423" s="129" t="str">
        <f t="shared" si="1760"/>
        <v>N</v>
      </c>
      <c r="BU2423" s="109">
        <f t="shared" si="1761"/>
        <v>1</v>
      </c>
      <c r="BV2423" s="109">
        <f t="shared" si="1767"/>
        <v>1</v>
      </c>
      <c r="BW2423" s="109">
        <f t="shared" si="1779"/>
        <v>0</v>
      </c>
      <c r="BX2423" s="111">
        <f t="shared" si="1762"/>
        <v>0</v>
      </c>
      <c r="BY2423" s="129">
        <f t="shared" si="1768"/>
        <v>-3</v>
      </c>
      <c r="BZ2423" s="111">
        <f t="shared" si="1769"/>
        <v>0</v>
      </c>
      <c r="CA2423" s="138">
        <f t="shared" si="1770"/>
        <v>3</v>
      </c>
      <c r="CB2423" s="111" t="e">
        <f t="shared" si="1793"/>
        <v>#VALUE!</v>
      </c>
      <c r="CC2423" s="129">
        <f>G2423-I2423+1</f>
        <v>3</v>
      </c>
      <c r="CD2423" s="129">
        <f>G2423-J2423</f>
        <v>0</v>
      </c>
      <c r="CG2423" s="129" t="str">
        <f t="shared" si="1771"/>
        <v>N</v>
      </c>
      <c r="CI2423" s="129" t="str">
        <f t="shared" si="1773"/>
        <v>0-10 DAYS</v>
      </c>
      <c r="CJ2423" s="137">
        <f t="shared" si="1774"/>
        <v>1</v>
      </c>
      <c r="CK2423" s="129" t="str">
        <f t="shared" si="1775"/>
        <v>Booked</v>
      </c>
    </row>
    <row r="2424" spans="1:89" ht="15" customHeight="1" x14ac:dyDescent="0.25">
      <c r="A2424" s="111">
        <v>981</v>
      </c>
      <c r="B2424" s="128" t="str">
        <f t="shared" si="1763"/>
        <v>N</v>
      </c>
      <c r="C2424" s="128" t="str">
        <f t="shared" si="1764"/>
        <v>N</v>
      </c>
      <c r="D2424" s="117">
        <v>2554532</v>
      </c>
      <c r="E2424" s="135">
        <f t="shared" si="1765"/>
        <v>6</v>
      </c>
      <c r="F2424" s="124">
        <v>40945</v>
      </c>
      <c r="G2424" s="125">
        <v>41170</v>
      </c>
      <c r="H2424" s="117">
        <v>2554532</v>
      </c>
      <c r="I2424" s="124">
        <v>40946</v>
      </c>
      <c r="J2424" s="124">
        <v>41170</v>
      </c>
      <c r="K2424" s="126">
        <v>50000</v>
      </c>
      <c r="L2424" s="129" t="s">
        <v>572</v>
      </c>
      <c r="N2424" s="129" t="str">
        <f t="shared" si="1791"/>
        <v>N</v>
      </c>
      <c r="O2424" s="128" t="s">
        <v>917</v>
      </c>
      <c r="P2424" s="129" t="s">
        <v>39</v>
      </c>
      <c r="Q2424" s="111">
        <f t="shared" si="1790"/>
        <v>225</v>
      </c>
      <c r="R2424" s="111">
        <f t="shared" si="1780"/>
        <v>226</v>
      </c>
      <c r="S2424" s="129">
        <v>0</v>
      </c>
      <c r="T2424" s="129">
        <v>1</v>
      </c>
      <c r="W2424" s="111"/>
      <c r="AC2424" s="130"/>
      <c r="AD2424" s="130">
        <v>33947</v>
      </c>
      <c r="AE2424" s="128" t="s">
        <v>32</v>
      </c>
      <c r="AF2424" s="128" t="s">
        <v>33</v>
      </c>
      <c r="AG2424" s="128" t="s">
        <v>872</v>
      </c>
      <c r="AH2424" s="108" t="s">
        <v>31</v>
      </c>
      <c r="AI2424" s="128" t="s">
        <v>71</v>
      </c>
      <c r="AJ2424" s="129" t="s">
        <v>89</v>
      </c>
      <c r="AK2424" s="129">
        <v>10</v>
      </c>
      <c r="AL2424" s="3" t="s">
        <v>362</v>
      </c>
      <c r="AM2424" s="117">
        <v>2</v>
      </c>
      <c r="AP2424" s="129" t="s">
        <v>105</v>
      </c>
      <c r="AR2424" s="128" t="s">
        <v>92</v>
      </c>
      <c r="AS2424" s="129" t="s">
        <v>106</v>
      </c>
      <c r="BC2424" s="129" t="s">
        <v>99</v>
      </c>
      <c r="BF2424" s="111">
        <f t="shared" si="1794"/>
        <v>225</v>
      </c>
      <c r="BG2424" s="111">
        <f t="shared" si="1792"/>
        <v>225</v>
      </c>
      <c r="BH2424" s="111">
        <f t="shared" si="1753"/>
        <v>226</v>
      </c>
      <c r="BI2424" s="111">
        <f t="shared" si="1754"/>
        <v>19.120218579234972</v>
      </c>
      <c r="BJ2424" s="129">
        <f t="shared" si="1772"/>
        <v>0</v>
      </c>
      <c r="BK2424" s="129">
        <f t="shared" si="1755"/>
        <v>0</v>
      </c>
      <c r="BL2424" s="129" t="str">
        <f t="shared" si="1795"/>
        <v>CONVICTION</v>
      </c>
      <c r="BM2424" s="129" t="str">
        <f t="shared" si="1756"/>
        <v>NONE</v>
      </c>
      <c r="BN2424" s="129" t="s">
        <v>566</v>
      </c>
      <c r="BP2424" s="137" t="str">
        <f t="shared" si="1757"/>
        <v>CONVICTION</v>
      </c>
      <c r="BQ2424" s="128" t="str">
        <f t="shared" si="1766"/>
        <v>Y</v>
      </c>
      <c r="BR2424" s="129" t="str">
        <f t="shared" si="1758"/>
        <v>DETAINED</v>
      </c>
      <c r="BS2424" s="129" t="str">
        <f t="shared" si="1759"/>
        <v>DISPOSED</v>
      </c>
      <c r="BT2424" s="129" t="str">
        <f t="shared" si="1760"/>
        <v>N</v>
      </c>
      <c r="BU2424" s="109">
        <f t="shared" si="1761"/>
        <v>0.99557522123893805</v>
      </c>
      <c r="BV2424" s="109">
        <f t="shared" si="1767"/>
        <v>1</v>
      </c>
      <c r="BW2424" s="109">
        <f t="shared" si="1779"/>
        <v>4.4247787610619538E-3</v>
      </c>
      <c r="BX2424" s="111">
        <f t="shared" si="1762"/>
        <v>0</v>
      </c>
      <c r="BY2424" s="129">
        <f t="shared" si="1768"/>
        <v>-225</v>
      </c>
      <c r="BZ2424" s="111">
        <f t="shared" si="1769"/>
        <v>0</v>
      </c>
      <c r="CA2424" s="138">
        <f t="shared" si="1770"/>
        <v>225</v>
      </c>
      <c r="CB2424" s="111" t="e">
        <f t="shared" si="1793"/>
        <v>#VALUE!</v>
      </c>
      <c r="CC2424" s="129">
        <f>G2424-I2424+1</f>
        <v>225</v>
      </c>
      <c r="CD2424" s="129">
        <f>G2424-J2424</f>
        <v>0</v>
      </c>
      <c r="CG2424" s="129" t="str">
        <f t="shared" si="1771"/>
        <v>Y</v>
      </c>
      <c r="CI2424" s="129" t="str">
        <f t="shared" si="1773"/>
        <v>121-365 DAYS</v>
      </c>
      <c r="CJ2424" s="137">
        <f t="shared" si="1774"/>
        <v>6</v>
      </c>
      <c r="CK2424" s="129" t="str">
        <f t="shared" si="1775"/>
        <v>Booked</v>
      </c>
    </row>
    <row r="2425" spans="1:89" ht="15.75" customHeight="1" x14ac:dyDescent="0.25">
      <c r="A2425" s="111">
        <v>2287</v>
      </c>
      <c r="B2425" s="128" t="str">
        <f t="shared" si="1763"/>
        <v>N</v>
      </c>
      <c r="C2425" s="128" t="str">
        <f t="shared" si="1764"/>
        <v>N</v>
      </c>
      <c r="D2425" s="117">
        <v>2554926</v>
      </c>
      <c r="E2425" s="135">
        <f t="shared" si="1765"/>
        <v>6</v>
      </c>
      <c r="F2425" s="124">
        <v>40995</v>
      </c>
      <c r="G2425" s="125">
        <v>41197</v>
      </c>
      <c r="H2425" s="117">
        <v>2554926</v>
      </c>
      <c r="I2425" s="124">
        <v>40996</v>
      </c>
      <c r="J2425" s="124">
        <v>40997</v>
      </c>
      <c r="K2425" s="126">
        <v>30000</v>
      </c>
      <c r="L2425" s="129" t="s">
        <v>572</v>
      </c>
      <c r="M2425" s="125">
        <v>40997</v>
      </c>
      <c r="N2425" s="129" t="str">
        <f t="shared" si="1791"/>
        <v>Y</v>
      </c>
      <c r="O2425" s="128" t="s">
        <v>76</v>
      </c>
      <c r="P2425" s="129" t="s">
        <v>39</v>
      </c>
      <c r="Q2425" s="111">
        <f t="shared" si="1790"/>
        <v>2</v>
      </c>
      <c r="R2425" s="111">
        <f t="shared" si="1780"/>
        <v>203</v>
      </c>
      <c r="S2425" s="129">
        <v>0</v>
      </c>
      <c r="T2425" s="129">
        <v>0</v>
      </c>
      <c r="W2425" s="111"/>
      <c r="AB2425" s="131" t="s">
        <v>112</v>
      </c>
      <c r="AC2425" s="130"/>
      <c r="AD2425" s="130">
        <v>33895</v>
      </c>
      <c r="AE2425" s="128" t="s">
        <v>32</v>
      </c>
      <c r="AF2425" s="128" t="s">
        <v>40</v>
      </c>
      <c r="AG2425" s="128" t="s">
        <v>41</v>
      </c>
      <c r="AH2425" s="108" t="s">
        <v>31</v>
      </c>
      <c r="AI2425" s="128" t="s">
        <v>65</v>
      </c>
      <c r="AJ2425" s="129" t="s">
        <v>89</v>
      </c>
      <c r="AK2425" s="129">
        <v>11</v>
      </c>
      <c r="AL2425" s="3" t="s">
        <v>362</v>
      </c>
      <c r="AM2425" s="117">
        <v>4</v>
      </c>
      <c r="AP2425" s="129" t="s">
        <v>56</v>
      </c>
      <c r="AR2425" s="128" t="s">
        <v>50</v>
      </c>
      <c r="AS2425" s="129" t="s">
        <v>57</v>
      </c>
      <c r="BC2425" s="129" t="s">
        <v>38</v>
      </c>
      <c r="BF2425" s="111">
        <f t="shared" si="1794"/>
        <v>2</v>
      </c>
      <c r="BG2425" s="111">
        <f t="shared" si="1792"/>
        <v>202</v>
      </c>
      <c r="BH2425" s="111">
        <f t="shared" si="1753"/>
        <v>203</v>
      </c>
      <c r="BI2425" s="111">
        <f t="shared" si="1754"/>
        <v>19.398907103825138</v>
      </c>
      <c r="BJ2425" s="129">
        <f>(G2425-J2425)+(M2425-G2425)</f>
        <v>0</v>
      </c>
      <c r="BK2425" s="129">
        <f t="shared" si="1755"/>
        <v>-200</v>
      </c>
      <c r="BL2425" s="129" t="str">
        <f t="shared" si="1795"/>
        <v>CONVICTION</v>
      </c>
      <c r="BM2425" s="129" t="s">
        <v>76</v>
      </c>
      <c r="BN2425" s="129" t="s">
        <v>88</v>
      </c>
      <c r="BP2425" s="137" t="str">
        <f t="shared" si="1757"/>
        <v>CONVICTION</v>
      </c>
      <c r="BQ2425" s="128" t="str">
        <f t="shared" si="1766"/>
        <v>Y</v>
      </c>
      <c r="BR2425" s="129" t="str">
        <f>IF(J2425&lt;G2425,"ON BOND",0)</f>
        <v>ON BOND</v>
      </c>
      <c r="BS2425" s="129" t="str">
        <f t="shared" si="1759"/>
        <v>DISPOSED</v>
      </c>
      <c r="BT2425" s="129" t="str">
        <f t="shared" si="1760"/>
        <v>N</v>
      </c>
      <c r="BU2425" s="109">
        <f t="shared" si="1761"/>
        <v>9.852216748768473E-3</v>
      </c>
      <c r="BV2425" s="109">
        <f t="shared" si="1767"/>
        <v>9.9009900990099011E-3</v>
      </c>
      <c r="BW2425" s="109">
        <f t="shared" si="1779"/>
        <v>4.8773350241428093E-5</v>
      </c>
      <c r="BX2425" s="111">
        <f t="shared" si="1762"/>
        <v>0</v>
      </c>
      <c r="BY2425" s="129">
        <f t="shared" si="1768"/>
        <v>-2</v>
      </c>
      <c r="BZ2425" s="111">
        <f t="shared" si="1769"/>
        <v>0</v>
      </c>
      <c r="CA2425" s="138">
        <f t="shared" si="1770"/>
        <v>2</v>
      </c>
      <c r="CB2425" s="111" t="e">
        <f t="shared" si="1793"/>
        <v>#VALUE!</v>
      </c>
      <c r="CC2425" s="129">
        <f>M2425-I2425+1</f>
        <v>2</v>
      </c>
      <c r="CD2425" s="111">
        <f>CC2425-BF2425</f>
        <v>0</v>
      </c>
      <c r="CG2425" s="129" t="str">
        <f t="shared" si="1771"/>
        <v>N</v>
      </c>
      <c r="CI2425" s="129" t="str">
        <f t="shared" si="1773"/>
        <v>0-10 DAYS</v>
      </c>
      <c r="CJ2425" s="137">
        <f t="shared" si="1774"/>
        <v>1</v>
      </c>
      <c r="CK2425" s="129" t="str">
        <f t="shared" si="1775"/>
        <v>Booked</v>
      </c>
    </row>
    <row r="2426" spans="1:89" ht="15" customHeight="1" x14ac:dyDescent="0.25">
      <c r="A2426" s="111">
        <v>2090</v>
      </c>
      <c r="B2426" s="128" t="str">
        <f t="shared" si="1763"/>
        <v>N</v>
      </c>
      <c r="C2426" s="128" t="str">
        <f t="shared" si="1764"/>
        <v>N</v>
      </c>
      <c r="D2426" s="117">
        <v>2555885</v>
      </c>
      <c r="E2426" s="135">
        <f t="shared" si="1765"/>
        <v>6</v>
      </c>
      <c r="F2426" s="124">
        <v>40987</v>
      </c>
      <c r="G2426" s="125">
        <v>41248</v>
      </c>
      <c r="H2426" s="117">
        <v>2555885</v>
      </c>
      <c r="I2426" s="124">
        <v>40988</v>
      </c>
      <c r="J2426" s="125">
        <v>41248</v>
      </c>
      <c r="K2426" s="126">
        <v>42000</v>
      </c>
      <c r="L2426" s="129" t="s">
        <v>572</v>
      </c>
      <c r="N2426" s="129" t="str">
        <f t="shared" si="1791"/>
        <v>N</v>
      </c>
      <c r="O2426" s="128" t="s">
        <v>917</v>
      </c>
      <c r="P2426" s="129" t="s">
        <v>39</v>
      </c>
      <c r="Q2426" s="111">
        <f t="shared" si="1790"/>
        <v>261</v>
      </c>
      <c r="R2426" s="111">
        <f t="shared" si="1780"/>
        <v>262</v>
      </c>
      <c r="S2426" s="129">
        <v>0</v>
      </c>
      <c r="T2426" s="129">
        <v>3</v>
      </c>
      <c r="W2426" s="111"/>
      <c r="AC2426" s="130"/>
      <c r="AD2426" s="130">
        <v>34422</v>
      </c>
      <c r="AE2426" s="128" t="s">
        <v>32</v>
      </c>
      <c r="AF2426" s="128" t="s">
        <v>33</v>
      </c>
      <c r="AG2426" s="128" t="s">
        <v>872</v>
      </c>
      <c r="AH2426" s="108" t="s">
        <v>58</v>
      </c>
      <c r="AI2426" s="128" t="s">
        <v>62</v>
      </c>
      <c r="AJ2426" s="129" t="s">
        <v>89</v>
      </c>
      <c r="AK2426" s="129">
        <v>9</v>
      </c>
      <c r="AL2426" s="3" t="s">
        <v>362</v>
      </c>
      <c r="AM2426" s="117">
        <v>5</v>
      </c>
      <c r="AP2426" s="129" t="s">
        <v>105</v>
      </c>
      <c r="AR2426" s="128" t="s">
        <v>92</v>
      </c>
      <c r="AS2426" s="129" t="s">
        <v>106</v>
      </c>
      <c r="BC2426" s="129" t="s">
        <v>38</v>
      </c>
      <c r="BF2426" s="111">
        <f t="shared" si="1794"/>
        <v>261</v>
      </c>
      <c r="BG2426" s="111">
        <f t="shared" si="1792"/>
        <v>261</v>
      </c>
      <c r="BH2426" s="111">
        <f t="shared" si="1753"/>
        <v>262</v>
      </c>
      <c r="BI2426" s="111">
        <f t="shared" si="1754"/>
        <v>17.937158469945356</v>
      </c>
      <c r="BJ2426" s="129">
        <f t="shared" si="1772"/>
        <v>0</v>
      </c>
      <c r="BK2426" s="129">
        <f t="shared" si="1755"/>
        <v>0</v>
      </c>
      <c r="BL2426" s="129" t="str">
        <f t="shared" si="1795"/>
        <v>CONVICTION</v>
      </c>
      <c r="BM2426" s="129" t="str">
        <f t="shared" si="1756"/>
        <v>NONE</v>
      </c>
      <c r="BN2426" s="129" t="s">
        <v>566</v>
      </c>
      <c r="BP2426" s="137" t="str">
        <f t="shared" si="1757"/>
        <v>CONVICTION</v>
      </c>
      <c r="BQ2426" s="128" t="str">
        <f t="shared" si="1766"/>
        <v>Y</v>
      </c>
      <c r="BR2426" s="129" t="str">
        <f t="shared" si="1758"/>
        <v>DETAINED</v>
      </c>
      <c r="BS2426" s="129" t="str">
        <f t="shared" si="1759"/>
        <v>DISPOSED</v>
      </c>
      <c r="BT2426" s="129" t="str">
        <f t="shared" si="1760"/>
        <v>N</v>
      </c>
      <c r="BU2426" s="109">
        <f t="shared" si="1761"/>
        <v>0.99618320610687028</v>
      </c>
      <c r="BV2426" s="109">
        <f t="shared" si="1767"/>
        <v>1</v>
      </c>
      <c r="BW2426" s="109">
        <f t="shared" si="1779"/>
        <v>3.8167938931297218E-3</v>
      </c>
      <c r="BX2426" s="111">
        <f t="shared" si="1762"/>
        <v>0</v>
      </c>
      <c r="BY2426" s="129">
        <f t="shared" si="1768"/>
        <v>-261</v>
      </c>
      <c r="BZ2426" s="111">
        <f t="shared" si="1769"/>
        <v>0</v>
      </c>
      <c r="CA2426" s="138">
        <f t="shared" si="1770"/>
        <v>261</v>
      </c>
      <c r="CB2426" s="111" t="e">
        <f t="shared" si="1793"/>
        <v>#VALUE!</v>
      </c>
      <c r="CC2426" s="129">
        <f>G2426-I2426+1</f>
        <v>261</v>
      </c>
      <c r="CD2426" s="129">
        <f>G2426-J2426</f>
        <v>0</v>
      </c>
      <c r="CG2426" s="129" t="str">
        <f t="shared" si="1771"/>
        <v>Y</v>
      </c>
      <c r="CI2426" s="129" t="str">
        <f t="shared" si="1773"/>
        <v>121-365 DAYS</v>
      </c>
      <c r="CJ2426" s="137">
        <f t="shared" si="1774"/>
        <v>6</v>
      </c>
      <c r="CK2426" s="129" t="str">
        <f t="shared" si="1775"/>
        <v>Booked</v>
      </c>
    </row>
    <row r="2427" spans="1:89" ht="15.75" customHeight="1" x14ac:dyDescent="0.25">
      <c r="A2427" s="111">
        <v>813</v>
      </c>
      <c r="B2427" s="128" t="str">
        <f t="shared" si="1763"/>
        <v>N</v>
      </c>
      <c r="C2427" s="128" t="str">
        <f t="shared" si="1764"/>
        <v>Y</v>
      </c>
      <c r="D2427" s="117">
        <v>2555890</v>
      </c>
      <c r="E2427" s="135">
        <f t="shared" si="1765"/>
        <v>2</v>
      </c>
      <c r="F2427" s="124">
        <v>40940</v>
      </c>
      <c r="G2427" s="125">
        <v>41859</v>
      </c>
      <c r="H2427" s="117">
        <v>2555890</v>
      </c>
      <c r="I2427" s="124">
        <v>40940</v>
      </c>
      <c r="J2427" s="124">
        <v>40966</v>
      </c>
      <c r="K2427" s="126">
        <v>5000</v>
      </c>
      <c r="L2427" s="127" t="s">
        <v>569</v>
      </c>
      <c r="M2427" s="125">
        <v>40966</v>
      </c>
      <c r="N2427" s="129" t="str">
        <f t="shared" si="1791"/>
        <v>Y</v>
      </c>
      <c r="O2427" s="128" t="s">
        <v>76</v>
      </c>
      <c r="P2427" s="129" t="s">
        <v>589</v>
      </c>
      <c r="Q2427" s="111">
        <v>391</v>
      </c>
      <c r="R2427" s="111">
        <f t="shared" si="1780"/>
        <v>920</v>
      </c>
      <c r="S2427" s="129">
        <v>0</v>
      </c>
      <c r="T2427" s="129">
        <v>0</v>
      </c>
      <c r="W2427" s="111"/>
      <c r="AC2427" s="130"/>
      <c r="AD2427" s="130">
        <v>24152</v>
      </c>
      <c r="AE2427" s="128" t="s">
        <v>46</v>
      </c>
      <c r="AF2427" s="128" t="s">
        <v>33</v>
      </c>
      <c r="AG2427" s="128" t="s">
        <v>872</v>
      </c>
      <c r="AH2427" s="108" t="s">
        <v>58</v>
      </c>
      <c r="AI2427" s="128" t="s">
        <v>53</v>
      </c>
      <c r="AJ2427" s="129" t="s">
        <v>48</v>
      </c>
      <c r="AK2427" s="129">
        <v>18</v>
      </c>
      <c r="AL2427" s="3" t="s">
        <v>48</v>
      </c>
      <c r="AP2427" s="129" t="s">
        <v>84</v>
      </c>
      <c r="AR2427" s="128" t="s">
        <v>67</v>
      </c>
      <c r="AS2427" s="129" t="s">
        <v>74</v>
      </c>
      <c r="AT2427" s="129" t="s">
        <v>1426</v>
      </c>
      <c r="AV2427" s="3" t="s">
        <v>88</v>
      </c>
      <c r="AW2427" s="123">
        <v>41026</v>
      </c>
      <c r="BA2427" s="125">
        <v>41127</v>
      </c>
      <c r="BB2427" s="129">
        <v>269</v>
      </c>
      <c r="BC2427" s="129" t="s">
        <v>38</v>
      </c>
      <c r="BF2427" s="111">
        <v>391</v>
      </c>
      <c r="BG2427" s="111">
        <f t="shared" si="1792"/>
        <v>920</v>
      </c>
      <c r="BH2427" s="111">
        <f t="shared" si="1753"/>
        <v>920</v>
      </c>
      <c r="BI2427" s="111">
        <f t="shared" si="1754"/>
        <v>45.868852459016395</v>
      </c>
      <c r="BJ2427" s="129">
        <f>(G2427-J2427)+(M2427-G2427)</f>
        <v>0</v>
      </c>
      <c r="BK2427" s="129">
        <f t="shared" si="1755"/>
        <v>-893</v>
      </c>
      <c r="BL2427" s="129" t="str">
        <f t="shared" si="1795"/>
        <v>DEFERRED</v>
      </c>
      <c r="BM2427" s="129" t="s">
        <v>76</v>
      </c>
      <c r="BN2427" s="129" t="s">
        <v>88</v>
      </c>
      <c r="BP2427" s="137" t="str">
        <f t="shared" si="1757"/>
        <v>DEFERRED</v>
      </c>
      <c r="BQ2427" s="128" t="str">
        <f t="shared" si="1766"/>
        <v>Y</v>
      </c>
      <c r="BR2427" s="129" t="str">
        <f t="shared" si="1758"/>
        <v>ON BOND</v>
      </c>
      <c r="BS2427" s="129" t="str">
        <f t="shared" si="1759"/>
        <v>DISPOSED</v>
      </c>
      <c r="BT2427" s="129" t="str">
        <f t="shared" si="1760"/>
        <v>N</v>
      </c>
      <c r="BU2427" s="109">
        <f>IFERROR(Q2427/R2427,BR2427)</f>
        <v>0.42499999999999999</v>
      </c>
      <c r="BV2427" s="139">
        <v>0.42499999999999999</v>
      </c>
      <c r="BW2427" s="109">
        <v>0</v>
      </c>
      <c r="BX2427" s="111">
        <f t="shared" si="1762"/>
        <v>0</v>
      </c>
      <c r="BY2427" s="129">
        <f t="shared" si="1768"/>
        <v>-27</v>
      </c>
      <c r="BZ2427" s="111">
        <f t="shared" si="1769"/>
        <v>364</v>
      </c>
      <c r="CA2427" s="138">
        <f t="shared" si="1770"/>
        <v>27</v>
      </c>
      <c r="CB2427" s="111" t="e">
        <f t="shared" si="1793"/>
        <v>#VALUE!</v>
      </c>
      <c r="CC2427" s="129">
        <v>391</v>
      </c>
      <c r="CG2427" s="129" t="str">
        <f t="shared" si="1771"/>
        <v>N</v>
      </c>
      <c r="CH2427" s="129" t="e">
        <v>#N/A</v>
      </c>
      <c r="CI2427" s="129" t="str">
        <f t="shared" si="1773"/>
        <v xml:space="preserve"> &gt;1YRS&lt;2YRS</v>
      </c>
      <c r="CJ2427" s="137">
        <f t="shared" si="1774"/>
        <v>0</v>
      </c>
      <c r="CK2427" s="129" t="str">
        <f t="shared" si="1775"/>
        <v>Booked</v>
      </c>
    </row>
    <row r="2428" spans="1:89" ht="15.75" customHeight="1" x14ac:dyDescent="0.25">
      <c r="A2428" s="111">
        <v>1905</v>
      </c>
      <c r="B2428" s="128" t="str">
        <f t="shared" si="1763"/>
        <v>N</v>
      </c>
      <c r="C2428" s="128" t="str">
        <f t="shared" si="1764"/>
        <v>N</v>
      </c>
      <c r="D2428" s="117">
        <v>2556208</v>
      </c>
      <c r="E2428" s="135">
        <f t="shared" si="1765"/>
        <v>3</v>
      </c>
      <c r="F2428" s="124">
        <v>40979</v>
      </c>
      <c r="G2428" s="125">
        <v>41074</v>
      </c>
      <c r="H2428" s="117">
        <v>2556208</v>
      </c>
      <c r="I2428" s="124">
        <v>40980</v>
      </c>
      <c r="J2428" s="124">
        <v>41074</v>
      </c>
      <c r="K2428" s="126">
        <v>30000</v>
      </c>
      <c r="L2428" s="129" t="s">
        <v>572</v>
      </c>
      <c r="N2428" s="129" t="str">
        <f t="shared" si="1791"/>
        <v>N</v>
      </c>
      <c r="O2428" s="128" t="s">
        <v>917</v>
      </c>
      <c r="P2428" s="129" t="s">
        <v>39</v>
      </c>
      <c r="Q2428" s="111">
        <f t="shared" ref="Q2428:Q2456" si="1796">BF2428</f>
        <v>95</v>
      </c>
      <c r="R2428" s="111">
        <f t="shared" si="1780"/>
        <v>96</v>
      </c>
      <c r="S2428" s="129">
        <v>0</v>
      </c>
      <c r="T2428" s="129">
        <v>1</v>
      </c>
      <c r="W2428" s="111"/>
      <c r="AB2428" s="131" t="s">
        <v>112</v>
      </c>
      <c r="AC2428" s="130"/>
      <c r="AD2428" s="130">
        <v>34425</v>
      </c>
      <c r="AE2428" s="128" t="s">
        <v>32</v>
      </c>
      <c r="AF2428" s="128" t="s">
        <v>40</v>
      </c>
      <c r="AG2428" s="128" t="s">
        <v>41</v>
      </c>
      <c r="AH2428" s="108" t="s">
        <v>31</v>
      </c>
      <c r="AI2428" s="128" t="s">
        <v>59</v>
      </c>
      <c r="AJ2428" s="129" t="s">
        <v>89</v>
      </c>
      <c r="AK2428" s="129">
        <v>7</v>
      </c>
      <c r="AL2428" s="3" t="s">
        <v>185</v>
      </c>
      <c r="AP2428" s="129" t="s">
        <v>91</v>
      </c>
      <c r="AR2428" s="128" t="s">
        <v>92</v>
      </c>
      <c r="AS2428" s="129" t="s">
        <v>74</v>
      </c>
      <c r="AT2428" s="129" t="s">
        <v>639</v>
      </c>
      <c r="BC2428" s="129" t="s">
        <v>52</v>
      </c>
      <c r="BF2428" s="111">
        <f t="shared" si="1794"/>
        <v>95</v>
      </c>
      <c r="BG2428" s="111">
        <f t="shared" si="1792"/>
        <v>95</v>
      </c>
      <c r="BH2428" s="111">
        <f t="shared" si="1753"/>
        <v>96</v>
      </c>
      <c r="BI2428" s="111">
        <f t="shared" si="1754"/>
        <v>17.907103825136613</v>
      </c>
      <c r="BJ2428" s="129">
        <f t="shared" si="1772"/>
        <v>0</v>
      </c>
      <c r="BK2428" s="129">
        <f t="shared" si="1755"/>
        <v>0</v>
      </c>
      <c r="BL2428" s="129" t="str">
        <f t="shared" si="1795"/>
        <v>CONVICTION</v>
      </c>
      <c r="BM2428" s="129" t="str">
        <f t="shared" si="1756"/>
        <v>NONE</v>
      </c>
      <c r="BN2428" s="129" t="s">
        <v>566</v>
      </c>
      <c r="BP2428" s="137" t="str">
        <f t="shared" si="1757"/>
        <v>CONVICTION</v>
      </c>
      <c r="BQ2428" s="128" t="str">
        <f t="shared" si="1766"/>
        <v>Y</v>
      </c>
      <c r="BR2428" s="129" t="str">
        <f t="shared" si="1758"/>
        <v>DETAINED</v>
      </c>
      <c r="BS2428" s="129" t="str">
        <f t="shared" si="1759"/>
        <v>DISPOSED</v>
      </c>
      <c r="BT2428" s="129" t="str">
        <f t="shared" si="1760"/>
        <v>N</v>
      </c>
      <c r="BU2428" s="109">
        <f t="shared" si="1761"/>
        <v>0.98958333333333337</v>
      </c>
      <c r="BV2428" s="109">
        <f t="shared" si="1767"/>
        <v>1</v>
      </c>
      <c r="BW2428" s="109">
        <f t="shared" ref="BW2428:BW2472" si="1797">BV2428-BU2428</f>
        <v>1.041666666666663E-2</v>
      </c>
      <c r="BX2428" s="111">
        <f t="shared" si="1762"/>
        <v>0</v>
      </c>
      <c r="BY2428" s="129">
        <f t="shared" si="1768"/>
        <v>-95</v>
      </c>
      <c r="BZ2428" s="111">
        <f t="shared" si="1769"/>
        <v>0</v>
      </c>
      <c r="CA2428" s="138">
        <f t="shared" si="1770"/>
        <v>95</v>
      </c>
      <c r="CB2428" s="111" t="e">
        <f t="shared" si="1793"/>
        <v>#VALUE!</v>
      </c>
      <c r="CC2428" s="129">
        <f>G2428-I2428+1</f>
        <v>95</v>
      </c>
      <c r="CD2428" s="129">
        <f>G2428-J2428</f>
        <v>0</v>
      </c>
      <c r="CG2428" s="129" t="str">
        <f t="shared" si="1771"/>
        <v>Y</v>
      </c>
      <c r="CI2428" s="129" t="str">
        <f t="shared" si="1773"/>
        <v>91-120 DAYS</v>
      </c>
      <c r="CJ2428" s="137">
        <f t="shared" si="1774"/>
        <v>0</v>
      </c>
      <c r="CK2428" s="129" t="str">
        <f t="shared" si="1775"/>
        <v>Booked</v>
      </c>
    </row>
    <row r="2429" spans="1:89" ht="15.75" customHeight="1" x14ac:dyDescent="0.25">
      <c r="A2429" s="111">
        <v>1156</v>
      </c>
      <c r="B2429" s="128" t="str">
        <f t="shared" si="1763"/>
        <v>Y</v>
      </c>
      <c r="C2429" s="128" t="str">
        <f t="shared" si="1764"/>
        <v>Y</v>
      </c>
      <c r="D2429" s="117">
        <v>2556229</v>
      </c>
      <c r="E2429" s="135">
        <f t="shared" si="1765"/>
        <v>5</v>
      </c>
      <c r="F2429" s="124">
        <v>40950</v>
      </c>
      <c r="G2429" s="125">
        <v>41169</v>
      </c>
      <c r="H2429" s="117">
        <v>2556229</v>
      </c>
      <c r="I2429" s="124">
        <v>40999</v>
      </c>
      <c r="J2429" s="124">
        <v>41013</v>
      </c>
      <c r="K2429" s="126">
        <v>10000</v>
      </c>
      <c r="L2429" s="127" t="s">
        <v>570</v>
      </c>
      <c r="M2429" s="125">
        <v>41013</v>
      </c>
      <c r="N2429" s="129" t="str">
        <f t="shared" si="1791"/>
        <v>Y</v>
      </c>
      <c r="O2429" s="128" t="s">
        <v>76</v>
      </c>
      <c r="P2429" s="129" t="s">
        <v>39</v>
      </c>
      <c r="Q2429" s="111">
        <v>80</v>
      </c>
      <c r="R2429" s="111">
        <f t="shared" si="1780"/>
        <v>220</v>
      </c>
      <c r="S2429" s="129">
        <v>0</v>
      </c>
      <c r="T2429" s="129">
        <v>0</v>
      </c>
      <c r="W2429" s="111"/>
      <c r="AC2429" s="130"/>
      <c r="AD2429" s="130">
        <v>25360</v>
      </c>
      <c r="AE2429" s="128" t="s">
        <v>32</v>
      </c>
      <c r="AF2429" s="128" t="s">
        <v>69</v>
      </c>
      <c r="AG2429" s="128" t="s">
        <v>874</v>
      </c>
      <c r="AH2429" s="108" t="s">
        <v>31</v>
      </c>
      <c r="AI2429" s="128" t="s">
        <v>118</v>
      </c>
      <c r="AJ2429" s="129" t="s">
        <v>89</v>
      </c>
      <c r="AK2429" s="129">
        <v>11</v>
      </c>
      <c r="AL2429" s="3" t="s">
        <v>992</v>
      </c>
      <c r="AN2429" s="117">
        <v>7</v>
      </c>
      <c r="AP2429" s="129" t="s">
        <v>124</v>
      </c>
      <c r="AR2429" s="128" t="s">
        <v>67</v>
      </c>
      <c r="AS2429" s="129" t="s">
        <v>45</v>
      </c>
      <c r="AU2429" s="3" t="s">
        <v>713</v>
      </c>
      <c r="AX2429" s="32" t="s">
        <v>88</v>
      </c>
      <c r="BC2429" s="129" t="s">
        <v>52</v>
      </c>
      <c r="BD2429" s="129" t="s">
        <v>1300</v>
      </c>
      <c r="BF2429" s="111">
        <v>80</v>
      </c>
      <c r="BG2429" s="111">
        <f t="shared" si="1792"/>
        <v>171</v>
      </c>
      <c r="BH2429" s="111">
        <f t="shared" si="1753"/>
        <v>220</v>
      </c>
      <c r="BI2429" s="111">
        <f t="shared" si="1754"/>
        <v>42.595628415300546</v>
      </c>
      <c r="BJ2429" s="129">
        <f>(G2429-J2429)+(M2429-G2429)</f>
        <v>0</v>
      </c>
      <c r="BK2429" s="129">
        <f t="shared" si="1755"/>
        <v>-156</v>
      </c>
      <c r="BL2429" s="129" t="str">
        <f t="shared" si="1795"/>
        <v>CONVICTION</v>
      </c>
      <c r="BM2429" s="129" t="s">
        <v>76</v>
      </c>
      <c r="BN2429" s="129" t="s">
        <v>88</v>
      </c>
      <c r="BP2429" s="137" t="str">
        <f t="shared" si="1757"/>
        <v>CONVICTION</v>
      </c>
      <c r="BQ2429" s="128" t="str">
        <f t="shared" si="1766"/>
        <v>Y</v>
      </c>
      <c r="BR2429" s="129" t="s">
        <v>574</v>
      </c>
      <c r="BS2429" s="129" t="str">
        <f t="shared" si="1759"/>
        <v>DISPOSED</v>
      </c>
      <c r="BT2429" s="129" t="str">
        <f t="shared" si="1760"/>
        <v>N</v>
      </c>
      <c r="BU2429" s="109">
        <f t="shared" si="1761"/>
        <v>0.36363636363636365</v>
      </c>
      <c r="BV2429" s="109">
        <f t="shared" si="1767"/>
        <v>8.771929824561403E-2</v>
      </c>
      <c r="BW2429" s="109">
        <f t="shared" si="1797"/>
        <v>-0.27591706539074962</v>
      </c>
      <c r="BX2429" s="111">
        <f t="shared" si="1762"/>
        <v>0</v>
      </c>
      <c r="BY2429" s="129">
        <f t="shared" si="1768"/>
        <v>-15</v>
      </c>
      <c r="BZ2429" s="111">
        <f t="shared" si="1769"/>
        <v>65</v>
      </c>
      <c r="CA2429" s="138">
        <f t="shared" si="1770"/>
        <v>171</v>
      </c>
      <c r="CB2429" s="111">
        <v>80</v>
      </c>
      <c r="CC2429" s="129">
        <f>G2429-I2429+1</f>
        <v>171</v>
      </c>
      <c r="CD2429" s="129">
        <f>G2429-J2429</f>
        <v>156</v>
      </c>
      <c r="CG2429" s="129" t="str">
        <f t="shared" si="1771"/>
        <v>N</v>
      </c>
      <c r="CI2429" s="129" t="str">
        <f t="shared" si="1773"/>
        <v>61-90 DAYS</v>
      </c>
      <c r="CJ2429" s="137">
        <f t="shared" si="1774"/>
        <v>4</v>
      </c>
      <c r="CK2429" s="129" t="str">
        <f t="shared" si="1775"/>
        <v>Booked</v>
      </c>
    </row>
    <row r="2430" spans="1:89" ht="15" customHeight="1" x14ac:dyDescent="0.25">
      <c r="A2430" s="111">
        <v>1341</v>
      </c>
      <c r="B2430" s="128" t="str">
        <f t="shared" si="1763"/>
        <v>N</v>
      </c>
      <c r="C2430" s="128" t="str">
        <f t="shared" si="1764"/>
        <v>N</v>
      </c>
      <c r="D2430" s="117">
        <v>2556373</v>
      </c>
      <c r="E2430" s="135">
        <f t="shared" si="1765"/>
        <v>1</v>
      </c>
      <c r="F2430" s="124">
        <v>40957</v>
      </c>
      <c r="G2430" s="125">
        <v>41093</v>
      </c>
      <c r="H2430" s="117">
        <v>2556373</v>
      </c>
      <c r="I2430" s="124">
        <v>40957</v>
      </c>
      <c r="J2430" s="124">
        <v>40958</v>
      </c>
      <c r="K2430" s="126">
        <v>5000</v>
      </c>
      <c r="L2430" s="127" t="s">
        <v>569</v>
      </c>
      <c r="M2430" s="125">
        <v>40958</v>
      </c>
      <c r="N2430" s="129" t="str">
        <f t="shared" si="1791"/>
        <v>Y</v>
      </c>
      <c r="O2430" s="128" t="s">
        <v>76</v>
      </c>
      <c r="P2430" s="129" t="s">
        <v>55</v>
      </c>
      <c r="Q2430" s="111">
        <f t="shared" si="1796"/>
        <v>2</v>
      </c>
      <c r="R2430" s="111">
        <f t="shared" si="1780"/>
        <v>137</v>
      </c>
      <c r="S2430" s="129">
        <v>0</v>
      </c>
      <c r="T2430" s="129">
        <v>1</v>
      </c>
      <c r="W2430" s="111"/>
      <c r="AC2430" s="130"/>
      <c r="AD2430" s="130">
        <v>32677</v>
      </c>
      <c r="AE2430" s="128" t="s">
        <v>32</v>
      </c>
      <c r="AF2430" s="128" t="s">
        <v>33</v>
      </c>
      <c r="AG2430" s="128" t="s">
        <v>872</v>
      </c>
      <c r="AH2430" s="108" t="s">
        <v>31</v>
      </c>
      <c r="AI2430" s="128" t="s">
        <v>90</v>
      </c>
      <c r="AJ2430" s="129" t="s">
        <v>55</v>
      </c>
      <c r="AK2430" s="129">
        <v>10</v>
      </c>
      <c r="AL2430" s="3" t="s">
        <v>55</v>
      </c>
      <c r="AP2430" s="129" t="s">
        <v>158</v>
      </c>
      <c r="AR2430" s="128" t="s">
        <v>67</v>
      </c>
      <c r="AS2430" s="129" t="s">
        <v>64</v>
      </c>
      <c r="AT2430" s="129" t="s">
        <v>321</v>
      </c>
      <c r="BC2430" s="129" t="s">
        <v>38</v>
      </c>
      <c r="BF2430" s="111">
        <f t="shared" si="1794"/>
        <v>2</v>
      </c>
      <c r="BG2430" s="111">
        <f t="shared" si="1792"/>
        <v>137</v>
      </c>
      <c r="BH2430" s="111">
        <f t="shared" si="1753"/>
        <v>137</v>
      </c>
      <c r="BI2430" s="111">
        <f t="shared" si="1754"/>
        <v>22.622950819672131</v>
      </c>
      <c r="BJ2430" s="129">
        <f>(G2430-J2430)+(M2430-G2430)</f>
        <v>0</v>
      </c>
      <c r="BK2430" s="129">
        <f t="shared" si="1755"/>
        <v>-135</v>
      </c>
      <c r="BL2430" s="129" t="str">
        <f t="shared" si="1795"/>
        <v>NO CONVICTION</v>
      </c>
      <c r="BM2430" s="129" t="s">
        <v>76</v>
      </c>
      <c r="BN2430" s="129" t="s">
        <v>88</v>
      </c>
      <c r="BP2430" s="137" t="str">
        <f t="shared" si="1757"/>
        <v>NO CONVICTION</v>
      </c>
      <c r="BQ2430" s="128" t="str">
        <f t="shared" si="1766"/>
        <v>Y</v>
      </c>
      <c r="BR2430" s="129" t="str">
        <f t="shared" si="1758"/>
        <v>ON BOND</v>
      </c>
      <c r="BS2430" s="129" t="str">
        <f t="shared" si="1759"/>
        <v>DISPOSED</v>
      </c>
      <c r="BT2430" s="129" t="str">
        <f t="shared" si="1760"/>
        <v>N</v>
      </c>
      <c r="BU2430" s="109">
        <f>IFERROR(Q2430/R2430,BR2430)</f>
        <v>1.4598540145985401E-2</v>
      </c>
      <c r="BV2430" s="109">
        <f t="shared" si="1767"/>
        <v>1.4598540145985401E-2</v>
      </c>
      <c r="BW2430" s="109">
        <f t="shared" si="1797"/>
        <v>0</v>
      </c>
      <c r="BX2430" s="111">
        <f t="shared" si="1762"/>
        <v>0</v>
      </c>
      <c r="BY2430" s="129">
        <f t="shared" si="1768"/>
        <v>-2</v>
      </c>
      <c r="BZ2430" s="111">
        <f t="shared" si="1769"/>
        <v>0</v>
      </c>
      <c r="CA2430" s="138">
        <f t="shared" si="1770"/>
        <v>2</v>
      </c>
      <c r="CB2430" s="111" t="e">
        <f t="shared" si="1793"/>
        <v>#VALUE!</v>
      </c>
      <c r="CC2430" s="129">
        <f>M2430-I2430+1</f>
        <v>2</v>
      </c>
      <c r="CD2430" s="111">
        <f>CC2430-BF2430</f>
        <v>0</v>
      </c>
      <c r="CG2430" s="129" t="str">
        <f t="shared" si="1771"/>
        <v>Y</v>
      </c>
      <c r="CI2430" s="129" t="str">
        <f t="shared" si="1773"/>
        <v>0-10 DAYS</v>
      </c>
      <c r="CJ2430" s="137">
        <f t="shared" si="1774"/>
        <v>1</v>
      </c>
      <c r="CK2430" s="129" t="str">
        <f t="shared" si="1775"/>
        <v>Booked</v>
      </c>
    </row>
    <row r="2431" spans="1:89" ht="15.75" customHeight="1" x14ac:dyDescent="0.25">
      <c r="A2431" s="111">
        <v>247</v>
      </c>
      <c r="B2431" s="128" t="str">
        <f t="shared" si="1763"/>
        <v>N</v>
      </c>
      <c r="C2431" s="128" t="str">
        <f t="shared" si="1764"/>
        <v>N</v>
      </c>
      <c r="D2431" s="117">
        <v>2556661</v>
      </c>
      <c r="E2431" s="135">
        <f t="shared" si="1765"/>
        <v>6</v>
      </c>
      <c r="F2431" s="124">
        <v>40658</v>
      </c>
      <c r="G2431" s="125">
        <v>40967</v>
      </c>
      <c r="H2431" s="117">
        <v>2556661</v>
      </c>
      <c r="I2431" s="124">
        <v>40927</v>
      </c>
      <c r="J2431" s="124">
        <v>40967</v>
      </c>
      <c r="K2431" s="126">
        <v>20000</v>
      </c>
      <c r="L2431" s="127" t="s">
        <v>571</v>
      </c>
      <c r="N2431" s="129" t="str">
        <f t="shared" si="1791"/>
        <v>N</v>
      </c>
      <c r="O2431" s="128" t="s">
        <v>917</v>
      </c>
      <c r="P2431" s="129" t="s">
        <v>77</v>
      </c>
      <c r="Q2431" s="111">
        <f t="shared" si="1796"/>
        <v>41</v>
      </c>
      <c r="R2431" s="111">
        <f t="shared" si="1780"/>
        <v>310</v>
      </c>
      <c r="S2431" s="129">
        <v>1</v>
      </c>
      <c r="T2431" s="129">
        <v>0</v>
      </c>
      <c r="V2431" s="117">
        <v>1</v>
      </c>
      <c r="W2431" s="111"/>
      <c r="AC2431" s="130"/>
      <c r="AD2431" s="130">
        <v>34175</v>
      </c>
      <c r="AE2431" s="128" t="s">
        <v>32</v>
      </c>
      <c r="AF2431" s="128" t="s">
        <v>69</v>
      </c>
      <c r="AG2431" s="128" t="s">
        <v>874</v>
      </c>
      <c r="AH2431" s="108" t="s">
        <v>58</v>
      </c>
      <c r="AI2431" s="128" t="s">
        <v>83</v>
      </c>
      <c r="AJ2431" s="129" t="s">
        <v>89</v>
      </c>
      <c r="AK2431" s="129">
        <v>9</v>
      </c>
      <c r="AL2431" s="3" t="s">
        <v>362</v>
      </c>
      <c r="AM2431" s="117">
        <v>4</v>
      </c>
      <c r="AP2431" s="129" t="s">
        <v>56</v>
      </c>
      <c r="AR2431" s="128" t="s">
        <v>50</v>
      </c>
      <c r="AS2431" s="129" t="s">
        <v>57</v>
      </c>
      <c r="BC2431" s="129" t="s">
        <v>99</v>
      </c>
      <c r="BF2431" s="111">
        <f t="shared" si="1794"/>
        <v>41</v>
      </c>
      <c r="BG2431" s="111">
        <f t="shared" si="1792"/>
        <v>41</v>
      </c>
      <c r="BH2431" s="111">
        <f t="shared" si="1753"/>
        <v>310</v>
      </c>
      <c r="BI2431" s="111">
        <f t="shared" si="1754"/>
        <v>17.71311475409836</v>
      </c>
      <c r="BJ2431" s="129">
        <f t="shared" si="1772"/>
        <v>0</v>
      </c>
      <c r="BK2431" s="129">
        <f t="shared" si="1755"/>
        <v>0</v>
      </c>
      <c r="BL2431" s="129" t="str">
        <f t="shared" si="1795"/>
        <v>CONVICTION</v>
      </c>
      <c r="BM2431" s="129" t="str">
        <f t="shared" si="1756"/>
        <v>NONE</v>
      </c>
      <c r="BN2431" s="129" t="s">
        <v>566</v>
      </c>
      <c r="BP2431" s="137" t="str">
        <f t="shared" si="1757"/>
        <v>CONVICTION</v>
      </c>
      <c r="BQ2431" s="128" t="str">
        <f t="shared" si="1766"/>
        <v>Y</v>
      </c>
      <c r="BR2431" s="129" t="str">
        <f t="shared" si="1758"/>
        <v>DETAINED</v>
      </c>
      <c r="BS2431" s="129" t="str">
        <f t="shared" si="1759"/>
        <v>DISPOSED</v>
      </c>
      <c r="BT2431" s="129" t="str">
        <f t="shared" si="1760"/>
        <v>Y</v>
      </c>
      <c r="BU2431" s="109">
        <f t="shared" si="1761"/>
        <v>0.13225806451612904</v>
      </c>
      <c r="BV2431" s="109">
        <f t="shared" si="1767"/>
        <v>1</v>
      </c>
      <c r="BW2431" s="109">
        <f t="shared" si="1797"/>
        <v>0.86774193548387091</v>
      </c>
      <c r="BX2431" s="111">
        <f t="shared" si="1762"/>
        <v>0</v>
      </c>
      <c r="BY2431" s="129">
        <f t="shared" si="1768"/>
        <v>-41</v>
      </c>
      <c r="BZ2431" s="111">
        <f t="shared" si="1769"/>
        <v>0</v>
      </c>
      <c r="CA2431" s="138">
        <f t="shared" si="1770"/>
        <v>41</v>
      </c>
      <c r="CB2431" s="111" t="e">
        <f t="shared" si="1793"/>
        <v>#VALUE!</v>
      </c>
      <c r="CC2431" s="129">
        <f>G2431-I2431+1</f>
        <v>41</v>
      </c>
      <c r="CD2431" s="129">
        <f>G2431-J2431</f>
        <v>0</v>
      </c>
      <c r="CG2431" s="129" t="str">
        <f t="shared" si="1771"/>
        <v>Y</v>
      </c>
      <c r="CI2431" s="129" t="str">
        <f t="shared" si="1773"/>
        <v>31-60 DAYS</v>
      </c>
      <c r="CJ2431" s="137">
        <f t="shared" si="1774"/>
        <v>3</v>
      </c>
      <c r="CK2431" s="129" t="str">
        <f t="shared" si="1775"/>
        <v>Booked</v>
      </c>
    </row>
    <row r="2432" spans="1:89" ht="15" customHeight="1" x14ac:dyDescent="0.25">
      <c r="A2432" s="111">
        <v>702</v>
      </c>
      <c r="B2432" s="128" t="str">
        <f t="shared" si="1763"/>
        <v>N</v>
      </c>
      <c r="C2432" s="128" t="str">
        <f t="shared" si="1764"/>
        <v>N</v>
      </c>
      <c r="D2432" s="117">
        <v>2556732</v>
      </c>
      <c r="E2432" s="135">
        <f t="shared" si="1765"/>
        <v>1</v>
      </c>
      <c r="F2432" s="124">
        <v>40936</v>
      </c>
      <c r="G2432" s="125">
        <v>40952</v>
      </c>
      <c r="H2432" s="117">
        <v>2556732</v>
      </c>
      <c r="I2432" s="124">
        <v>40936</v>
      </c>
      <c r="J2432" s="124">
        <v>40952</v>
      </c>
      <c r="K2432" s="126">
        <v>5000</v>
      </c>
      <c r="L2432" s="127" t="s">
        <v>569</v>
      </c>
      <c r="N2432" s="129" t="str">
        <f t="shared" si="1791"/>
        <v>N</v>
      </c>
      <c r="O2432" s="128" t="s">
        <v>917</v>
      </c>
      <c r="P2432" s="129" t="s">
        <v>123</v>
      </c>
      <c r="Q2432" s="111">
        <f t="shared" si="1796"/>
        <v>17</v>
      </c>
      <c r="R2432" s="111">
        <f t="shared" si="1780"/>
        <v>17</v>
      </c>
      <c r="S2432" s="129">
        <v>0</v>
      </c>
      <c r="T2432" s="129">
        <v>0</v>
      </c>
      <c r="W2432" s="111"/>
      <c r="AC2432" s="130"/>
      <c r="AD2432" s="130">
        <v>34118</v>
      </c>
      <c r="AE2432" s="128" t="s">
        <v>32</v>
      </c>
      <c r="AF2432" s="128" t="s">
        <v>69</v>
      </c>
      <c r="AG2432" s="128" t="s">
        <v>874</v>
      </c>
      <c r="AH2432" s="108" t="s">
        <v>31</v>
      </c>
      <c r="AI2432" s="128" t="s">
        <v>100</v>
      </c>
      <c r="AJ2432" s="129" t="s">
        <v>123</v>
      </c>
      <c r="AK2432" s="129">
        <v>2</v>
      </c>
      <c r="AL2432" s="3" t="s">
        <v>123</v>
      </c>
      <c r="AP2432" s="129" t="s">
        <v>84</v>
      </c>
      <c r="AR2432" s="128" t="s">
        <v>67</v>
      </c>
      <c r="AS2432" s="129" t="s">
        <v>74</v>
      </c>
      <c r="BC2432" s="129" t="s">
        <v>38</v>
      </c>
      <c r="BF2432" s="111">
        <f t="shared" si="1794"/>
        <v>17</v>
      </c>
      <c r="BG2432" s="111">
        <f t="shared" si="1792"/>
        <v>17</v>
      </c>
      <c r="BH2432" s="111">
        <f t="shared" ref="BH2432:BH2491" si="1798">IF(G2432&gt;1/1/1900,((G2432+1)-F2432),"STILL OPEN")</f>
        <v>17</v>
      </c>
      <c r="BI2432" s="111">
        <f t="shared" ref="BI2432:BI2495" si="1799">(F2432-AD2432)/366</f>
        <v>18.628415300546447</v>
      </c>
      <c r="BJ2432" s="129">
        <f t="shared" si="1772"/>
        <v>0</v>
      </c>
      <c r="BK2432" s="129">
        <f t="shared" ref="BK2432:BK2491" si="1800">J2432-G2432</f>
        <v>0</v>
      </c>
      <c r="BL2432" s="129" t="str">
        <f t="shared" si="1795"/>
        <v>NO CONVICTION</v>
      </c>
      <c r="BM2432" s="129" t="str">
        <f t="shared" si="1756"/>
        <v>NONE</v>
      </c>
      <c r="BN2432" s="129" t="s">
        <v>566</v>
      </c>
      <c r="BP2432" s="137" t="str">
        <f t="shared" si="1757"/>
        <v>NO CONVICTION</v>
      </c>
      <c r="BQ2432" s="128" t="str">
        <f t="shared" si="1766"/>
        <v>Y</v>
      </c>
      <c r="BR2432" s="129" t="str">
        <f t="shared" si="1758"/>
        <v>DETAINED</v>
      </c>
      <c r="BS2432" s="129" t="str">
        <f t="shared" si="1759"/>
        <v>DISPOSED</v>
      </c>
      <c r="BT2432" s="129" t="str">
        <f t="shared" si="1760"/>
        <v>N</v>
      </c>
      <c r="BU2432" s="109">
        <f>IFERROR(Q2432/R2432,BR2432)</f>
        <v>1</v>
      </c>
      <c r="BV2432" s="109">
        <f t="shared" si="1767"/>
        <v>1</v>
      </c>
      <c r="BW2432" s="109">
        <f t="shared" si="1797"/>
        <v>0</v>
      </c>
      <c r="BX2432" s="111">
        <f t="shared" si="1762"/>
        <v>0</v>
      </c>
      <c r="BY2432" s="129">
        <f t="shared" si="1768"/>
        <v>-17</v>
      </c>
      <c r="BZ2432" s="111">
        <f t="shared" si="1769"/>
        <v>0</v>
      </c>
      <c r="CA2432" s="138">
        <f t="shared" si="1770"/>
        <v>17</v>
      </c>
      <c r="CB2432" s="111" t="e">
        <f t="shared" si="1793"/>
        <v>#VALUE!</v>
      </c>
      <c r="CC2432" s="129">
        <f>G2432-I2432+1</f>
        <v>17</v>
      </c>
      <c r="CD2432" s="129">
        <f>G2432-J2432</f>
        <v>0</v>
      </c>
      <c r="CG2432" s="129" t="str">
        <f t="shared" si="1771"/>
        <v>N</v>
      </c>
      <c r="CI2432" s="129" t="str">
        <f t="shared" si="1773"/>
        <v>11-30 DAYS</v>
      </c>
      <c r="CJ2432" s="137">
        <f t="shared" si="1774"/>
        <v>2</v>
      </c>
      <c r="CK2432" s="129" t="str">
        <f t="shared" si="1775"/>
        <v>Booked</v>
      </c>
    </row>
    <row r="2433" spans="1:89" ht="15" customHeight="1" x14ac:dyDescent="0.25">
      <c r="A2433" s="111">
        <v>3231</v>
      </c>
      <c r="B2433" s="128" t="str">
        <f t="shared" si="1763"/>
        <v>N</v>
      </c>
      <c r="C2433" s="128" t="str">
        <f t="shared" si="1764"/>
        <v>N</v>
      </c>
      <c r="D2433" s="117">
        <v>2557440</v>
      </c>
      <c r="E2433" s="135">
        <f t="shared" si="1765"/>
        <v>2</v>
      </c>
      <c r="F2433" s="124">
        <v>41028</v>
      </c>
      <c r="G2433" s="125">
        <v>41030</v>
      </c>
      <c r="H2433" s="117">
        <v>2557440</v>
      </c>
      <c r="I2433" s="124">
        <v>41028</v>
      </c>
      <c r="J2433" s="124">
        <v>41030</v>
      </c>
      <c r="K2433" s="126">
        <v>5000</v>
      </c>
      <c r="L2433" s="127" t="s">
        <v>569</v>
      </c>
      <c r="N2433" s="129" t="str">
        <f t="shared" si="1791"/>
        <v>N</v>
      </c>
      <c r="O2433" s="128" t="s">
        <v>917</v>
      </c>
      <c r="P2433" s="129" t="s">
        <v>589</v>
      </c>
      <c r="Q2433" s="111">
        <f t="shared" si="1796"/>
        <v>3</v>
      </c>
      <c r="R2433" s="111">
        <f t="shared" si="1780"/>
        <v>3</v>
      </c>
      <c r="S2433" s="129">
        <v>0</v>
      </c>
      <c r="T2433" s="129">
        <v>1</v>
      </c>
      <c r="W2433" s="111"/>
      <c r="AC2433" s="130"/>
      <c r="AD2433" s="130">
        <v>32665</v>
      </c>
      <c r="AE2433" s="128" t="s">
        <v>32</v>
      </c>
      <c r="AF2433" s="128" t="s">
        <v>33</v>
      </c>
      <c r="AG2433" s="128" t="s">
        <v>872</v>
      </c>
      <c r="AH2433" s="108" t="s">
        <v>31</v>
      </c>
      <c r="AI2433" s="128" t="s">
        <v>72</v>
      </c>
      <c r="AJ2433" s="129" t="s">
        <v>48</v>
      </c>
      <c r="AK2433" s="129">
        <v>3</v>
      </c>
      <c r="AL2433" s="3" t="s">
        <v>48</v>
      </c>
      <c r="AP2433" s="129" t="s">
        <v>107</v>
      </c>
      <c r="AR2433" s="128" t="s">
        <v>44</v>
      </c>
      <c r="AS2433" s="129" t="s">
        <v>57</v>
      </c>
      <c r="BC2433" s="129" t="s">
        <v>38</v>
      </c>
      <c r="BF2433" s="111">
        <f t="shared" si="1794"/>
        <v>3</v>
      </c>
      <c r="BG2433" s="111">
        <f t="shared" si="1792"/>
        <v>3</v>
      </c>
      <c r="BH2433" s="111">
        <f t="shared" si="1798"/>
        <v>3</v>
      </c>
      <c r="BI2433" s="111">
        <f t="shared" si="1799"/>
        <v>22.849726775956285</v>
      </c>
      <c r="BJ2433" s="129">
        <f t="shared" si="1772"/>
        <v>0</v>
      </c>
      <c r="BK2433" s="129">
        <f t="shared" si="1800"/>
        <v>0</v>
      </c>
      <c r="BL2433" s="129" t="str">
        <f t="shared" si="1795"/>
        <v>DEFERRED</v>
      </c>
      <c r="BM2433" s="129" t="str">
        <f t="shared" ref="BM2433:BM2496" si="1801">O2433</f>
        <v>NONE</v>
      </c>
      <c r="BN2433" s="129" t="s">
        <v>566</v>
      </c>
      <c r="BP2433" s="137" t="str">
        <f t="shared" ref="BP2433:BP2496" si="1802">IF(OR(AJ2433="AQUITTAL",AJ2433="DISMISSED",AJ2433="FINE",AJ2433="NO BILL"),"NO CONVICTION",IF(OR(AJ2433="HCJ",AJ2433="MHH",AJ2433="PROBATION",AJ2433="STJ",AJ2433="TDC",AJ2433="CONVICTED"),"CONVICTION",IF(AJ2433="DEFERRED","DEFERRED","")))</f>
        <v>DEFERRED</v>
      </c>
      <c r="BQ2433" s="128" t="str">
        <f t="shared" si="1766"/>
        <v>Y</v>
      </c>
      <c r="BR2433" s="129" t="str">
        <f t="shared" ref="BR2433:BR2496" si="1803">IF(AND(J2433="NOT BOOKED",M2433&gt;1/1/1),"BONDED - BEFORE BOOKED",IF(BG2433="STILL OPEN","STILL OPEN",IF(N2433="Y","ON BOND",IF(J2433&gt;=G2433,"DETAINED","RELEASED"))))</f>
        <v>DETAINED</v>
      </c>
      <c r="BS2433" s="129" t="str">
        <f t="shared" ref="BS2433:BS2496" si="1804">IF(G2433&lt;&gt;"","DISPOSED","")</f>
        <v>DISPOSED</v>
      </c>
      <c r="BT2433" s="129" t="str">
        <f t="shared" ref="BT2433:BT2496" si="1805">IF(S2433&gt;0,"Y","N")</f>
        <v>N</v>
      </c>
      <c r="BU2433" s="109">
        <f t="shared" ref="BU2433:BU2495" si="1806">Q2433/R2433</f>
        <v>1</v>
      </c>
      <c r="BV2433" s="109">
        <f t="shared" si="1767"/>
        <v>1</v>
      </c>
      <c r="BW2433" s="109">
        <f t="shared" si="1797"/>
        <v>0</v>
      </c>
      <c r="BX2433" s="111">
        <f t="shared" ref="BX2433:BX2496" si="1807">+Q2433-BF2433</f>
        <v>0</v>
      </c>
      <c r="BY2433" s="129">
        <f t="shared" si="1768"/>
        <v>-3</v>
      </c>
      <c r="BZ2433" s="111">
        <f t="shared" si="1769"/>
        <v>0</v>
      </c>
      <c r="CA2433" s="138">
        <f t="shared" si="1770"/>
        <v>3</v>
      </c>
      <c r="CB2433" s="111" t="e">
        <f t="shared" si="1793"/>
        <v>#VALUE!</v>
      </c>
      <c r="CC2433" s="129">
        <f>G2433-I2433+1</f>
        <v>3</v>
      </c>
      <c r="CD2433" s="129">
        <f>G2433-J2433</f>
        <v>0</v>
      </c>
      <c r="CG2433" s="129" t="str">
        <f t="shared" si="1771"/>
        <v>Y</v>
      </c>
      <c r="CI2433" s="129" t="str">
        <f t="shared" si="1773"/>
        <v>0-10 DAYS</v>
      </c>
      <c r="CJ2433" s="137">
        <f t="shared" si="1774"/>
        <v>1</v>
      </c>
      <c r="CK2433" s="129" t="str">
        <f t="shared" si="1775"/>
        <v>Booked</v>
      </c>
    </row>
    <row r="2434" spans="1:89" ht="15.75" customHeight="1" x14ac:dyDescent="0.25">
      <c r="A2434" s="111">
        <v>1144</v>
      </c>
      <c r="B2434" s="128" t="str">
        <f t="shared" ref="B2434:B2497" si="1808">IF(BD2434&lt;&gt;"","Y","N")</f>
        <v>N</v>
      </c>
      <c r="C2434" s="128" t="str">
        <f t="shared" ref="C2434:C2497" si="1809">IF((AND(AV2434="",AX2434="",AY2434="")),"N","Y")</f>
        <v>N</v>
      </c>
      <c r="D2434" s="117">
        <v>2557585</v>
      </c>
      <c r="E2434" s="135">
        <f t="shared" ref="E2434:E2497" si="1810">IF(OR(AL2434="ACQUITTAL",AL2434="ACQUIT",AL2434="acq insane",AL2434="DISMISSED",AL2434="NO BILL"),1,IF(AL2434="DEFERRED",2,IF(AL2434="PROBATION",3,IF(OR(AL2434="HCJ",AL2434="fine"),4,IF(AL2434="STJ",5,IF(AL2434="TDC",6,""))))))</f>
        <v>6</v>
      </c>
      <c r="F2434" s="124">
        <v>40950</v>
      </c>
      <c r="G2434" s="125">
        <v>40976</v>
      </c>
      <c r="H2434" s="117">
        <v>2557585</v>
      </c>
      <c r="I2434" s="124">
        <v>40950</v>
      </c>
      <c r="J2434" s="124">
        <v>40976</v>
      </c>
      <c r="K2434" s="126" t="s">
        <v>564</v>
      </c>
      <c r="L2434" s="127" t="s">
        <v>564</v>
      </c>
      <c r="N2434" s="129" t="s">
        <v>566</v>
      </c>
      <c r="O2434" s="128" t="s">
        <v>917</v>
      </c>
      <c r="P2434" s="129" t="s">
        <v>39</v>
      </c>
      <c r="Q2434" s="111">
        <f t="shared" si="1796"/>
        <v>27</v>
      </c>
      <c r="R2434" s="111">
        <f t="shared" si="1780"/>
        <v>27</v>
      </c>
      <c r="S2434" s="129">
        <v>2</v>
      </c>
      <c r="T2434" s="129">
        <v>2</v>
      </c>
      <c r="U2434" s="129">
        <v>1</v>
      </c>
      <c r="W2434" s="111"/>
      <c r="AC2434" s="130"/>
      <c r="AD2434" s="130">
        <v>29973</v>
      </c>
      <c r="AE2434" s="128" t="s">
        <v>32</v>
      </c>
      <c r="AF2434" s="128" t="s">
        <v>33</v>
      </c>
      <c r="AG2434" s="128" t="s">
        <v>872</v>
      </c>
      <c r="AH2434" s="108" t="s">
        <v>58</v>
      </c>
      <c r="AI2434" s="128" t="s">
        <v>70</v>
      </c>
      <c r="AJ2434" s="129" t="s">
        <v>89</v>
      </c>
      <c r="AK2434" s="129">
        <v>2</v>
      </c>
      <c r="AL2434" s="3" t="s">
        <v>362</v>
      </c>
      <c r="AM2434" s="117">
        <v>3</v>
      </c>
      <c r="AP2434" s="129" t="s">
        <v>93</v>
      </c>
      <c r="AR2434" s="128" t="s">
        <v>67</v>
      </c>
      <c r="AS2434" s="129" t="s">
        <v>45</v>
      </c>
      <c r="BC2434" s="129" t="s">
        <v>38</v>
      </c>
      <c r="BF2434" s="111">
        <f t="shared" si="1794"/>
        <v>27</v>
      </c>
      <c r="BG2434" s="111">
        <f t="shared" si="1792"/>
        <v>27</v>
      </c>
      <c r="BH2434" s="111">
        <f t="shared" si="1798"/>
        <v>27</v>
      </c>
      <c r="BI2434" s="111">
        <f t="shared" si="1799"/>
        <v>29.991803278688526</v>
      </c>
      <c r="BJ2434" s="129">
        <f t="shared" ref="BJ2434:BJ2497" si="1811">G2434-J2434-M2434</f>
        <v>0</v>
      </c>
      <c r="BK2434" s="129">
        <f t="shared" si="1800"/>
        <v>0</v>
      </c>
      <c r="BL2434" s="129" t="str">
        <f t="shared" si="1795"/>
        <v>CONVICTION</v>
      </c>
      <c r="BM2434" s="129" t="str">
        <f t="shared" si="1801"/>
        <v>NONE</v>
      </c>
      <c r="BN2434" s="129" t="s">
        <v>566</v>
      </c>
      <c r="BP2434" s="137" t="str">
        <f t="shared" si="1802"/>
        <v>CONVICTION</v>
      </c>
      <c r="BQ2434" s="128" t="str">
        <f t="shared" ref="BQ2434:BQ2497" si="1812">IF(BF2434&gt;0,"Y",BF2434)</f>
        <v>Y</v>
      </c>
      <c r="BR2434" s="129" t="str">
        <f t="shared" si="1803"/>
        <v>DETAINED</v>
      </c>
      <c r="BS2434" s="129" t="str">
        <f t="shared" si="1804"/>
        <v>DISPOSED</v>
      </c>
      <c r="BT2434" s="129" t="str">
        <f t="shared" si="1805"/>
        <v>Y</v>
      </c>
      <c r="BU2434" s="109">
        <f t="shared" si="1806"/>
        <v>1</v>
      </c>
      <c r="BV2434" s="109">
        <f t="shared" ref="BV2434:BV2497" si="1813">IF(I2434&gt;F2434,((J2434-I2434+1)/(G2434-I2434+1)),(J2434-I2434+1)/(G2434-F2434+1))</f>
        <v>1</v>
      </c>
      <c r="BW2434" s="109">
        <f t="shared" si="1797"/>
        <v>0</v>
      </c>
      <c r="BX2434" s="111">
        <f t="shared" si="1807"/>
        <v>0</v>
      </c>
      <c r="BY2434" s="129">
        <f t="shared" ref="BY2434:BY2497" si="1814">I2434-J2434-1</f>
        <v>-27</v>
      </c>
      <c r="BZ2434" s="111">
        <f t="shared" ref="BZ2434:BZ2497" si="1815">BY2434+BF2434</f>
        <v>0</v>
      </c>
      <c r="CA2434" s="138">
        <f t="shared" ref="CA2434:CA2497" si="1816">IF(AND(BS2434="DISPOSED",BR2434="DETAINED"),G2434-I2434+1,IF(AND(BS2434="DISPOSED",BR2434="ON BOND"),M2434-I2434+1,IF(AND(BS2434="STILL OPEN","STILL OPEN"),"NOT BOOKED")))</f>
        <v>27</v>
      </c>
      <c r="CB2434" s="111" t="e">
        <f t="shared" si="1793"/>
        <v>#VALUE!</v>
      </c>
      <c r="CC2434" s="129">
        <f>G2434-I2434+1</f>
        <v>27</v>
      </c>
      <c r="CD2434" s="129">
        <f>G2434-J2434</f>
        <v>0</v>
      </c>
      <c r="CG2434" s="129" t="str">
        <f t="shared" ref="CG2434:CG2497" si="1817">IF((S2434+T2434+U2434)&gt;0,"Y","N")</f>
        <v>Y</v>
      </c>
      <c r="CI2434" s="129" t="str">
        <f t="shared" si="1773"/>
        <v>11-30 DAYS</v>
      </c>
      <c r="CJ2434" s="137">
        <f t="shared" si="1774"/>
        <v>2</v>
      </c>
      <c r="CK2434" s="129" t="str">
        <f t="shared" si="1775"/>
        <v>Booked</v>
      </c>
    </row>
    <row r="2435" spans="1:89" ht="15.75" customHeight="1" x14ac:dyDescent="0.25">
      <c r="A2435" s="111">
        <v>3187</v>
      </c>
      <c r="B2435" s="128" t="str">
        <f t="shared" si="1808"/>
        <v>N</v>
      </c>
      <c r="C2435" s="128" t="str">
        <f t="shared" si="1809"/>
        <v>N</v>
      </c>
      <c r="D2435" s="117">
        <v>2557898</v>
      </c>
      <c r="E2435" s="135">
        <f t="shared" si="1810"/>
        <v>4</v>
      </c>
      <c r="F2435" s="124">
        <v>41026</v>
      </c>
      <c r="G2435" s="125">
        <v>41124</v>
      </c>
      <c r="H2435" s="117">
        <v>2557898</v>
      </c>
      <c r="I2435" s="124">
        <v>41027</v>
      </c>
      <c r="J2435" s="124">
        <v>41031</v>
      </c>
      <c r="K2435" s="126">
        <v>10000</v>
      </c>
      <c r="L2435" s="127" t="s">
        <v>570</v>
      </c>
      <c r="M2435" s="125">
        <v>41031</v>
      </c>
      <c r="N2435" s="129" t="str">
        <f>IF(M2435&gt;1/1/1,"Y","N")</f>
        <v>Y</v>
      </c>
      <c r="O2435" s="128" t="s">
        <v>76</v>
      </c>
      <c r="P2435" s="129" t="s">
        <v>39</v>
      </c>
      <c r="Q2435" s="111">
        <f t="shared" si="1796"/>
        <v>5</v>
      </c>
      <c r="R2435" s="111">
        <f t="shared" si="1780"/>
        <v>99</v>
      </c>
      <c r="S2435" s="129">
        <v>0</v>
      </c>
      <c r="T2435" s="129">
        <v>1</v>
      </c>
      <c r="W2435" s="111"/>
      <c r="AC2435" s="130"/>
      <c r="AD2435" s="130">
        <v>33726</v>
      </c>
      <c r="AE2435" s="128" t="s">
        <v>32</v>
      </c>
      <c r="AF2435" s="128" t="s">
        <v>40</v>
      </c>
      <c r="AG2435" s="128" t="s">
        <v>41</v>
      </c>
      <c r="AH2435" s="108" t="s">
        <v>41</v>
      </c>
      <c r="AI2435" s="128" t="s">
        <v>47</v>
      </c>
      <c r="AJ2435" s="129" t="s">
        <v>89</v>
      </c>
      <c r="AK2435" s="129">
        <v>6</v>
      </c>
      <c r="AL2435" s="3" t="s">
        <v>991</v>
      </c>
      <c r="AO2435" s="128">
        <v>10</v>
      </c>
      <c r="AP2435" s="129" t="s">
        <v>84</v>
      </c>
      <c r="AR2435" s="128" t="s">
        <v>67</v>
      </c>
      <c r="AS2435" s="129" t="s">
        <v>74</v>
      </c>
      <c r="AT2435" s="129" t="s">
        <v>531</v>
      </c>
      <c r="BC2435" s="129" t="s">
        <v>52</v>
      </c>
      <c r="BF2435" s="111">
        <f t="shared" si="1794"/>
        <v>5</v>
      </c>
      <c r="BG2435" s="111">
        <f t="shared" si="1792"/>
        <v>98</v>
      </c>
      <c r="BH2435" s="111">
        <f t="shared" si="1798"/>
        <v>99</v>
      </c>
      <c r="BI2435" s="111">
        <f t="shared" si="1799"/>
        <v>19.94535519125683</v>
      </c>
      <c r="BJ2435" s="129">
        <f>(G2435-J2435)+(M2435-G2435)</f>
        <v>0</v>
      </c>
      <c r="BK2435" s="129">
        <f t="shared" si="1800"/>
        <v>-93</v>
      </c>
      <c r="BL2435" s="129" t="str">
        <f t="shared" si="1795"/>
        <v>CONVICTION</v>
      </c>
      <c r="BM2435" s="129" t="s">
        <v>76</v>
      </c>
      <c r="BN2435" s="129" t="s">
        <v>88</v>
      </c>
      <c r="BP2435" s="137" t="str">
        <f t="shared" si="1802"/>
        <v>CONVICTION</v>
      </c>
      <c r="BQ2435" s="128" t="str">
        <f t="shared" si="1812"/>
        <v>Y</v>
      </c>
      <c r="BR2435" s="129" t="str">
        <f>IF(J2435&lt;G2435,"ON BOND",0)</f>
        <v>ON BOND</v>
      </c>
      <c r="BS2435" s="129" t="str">
        <f t="shared" si="1804"/>
        <v>DISPOSED</v>
      </c>
      <c r="BT2435" s="129" t="str">
        <f t="shared" si="1805"/>
        <v>N</v>
      </c>
      <c r="BU2435" s="109">
        <f t="shared" si="1806"/>
        <v>5.0505050505050504E-2</v>
      </c>
      <c r="BV2435" s="109">
        <f t="shared" si="1813"/>
        <v>5.1020408163265307E-2</v>
      </c>
      <c r="BW2435" s="109">
        <f t="shared" si="1797"/>
        <v>5.1535765821480312E-4</v>
      </c>
      <c r="BX2435" s="111">
        <f t="shared" si="1807"/>
        <v>0</v>
      </c>
      <c r="BY2435" s="129">
        <f t="shared" si="1814"/>
        <v>-5</v>
      </c>
      <c r="BZ2435" s="111">
        <f t="shared" si="1815"/>
        <v>0</v>
      </c>
      <c r="CA2435" s="138">
        <f t="shared" si="1816"/>
        <v>5</v>
      </c>
      <c r="CB2435" s="111" t="e">
        <f t="shared" si="1793"/>
        <v>#VALUE!</v>
      </c>
      <c r="CC2435" s="129">
        <f>M2435-I2435+1</f>
        <v>5</v>
      </c>
      <c r="CD2435" s="111">
        <f>CC2435-BF2435</f>
        <v>0</v>
      </c>
      <c r="CG2435" s="129" t="str">
        <f t="shared" si="1817"/>
        <v>Y</v>
      </c>
      <c r="CI2435" s="129" t="str">
        <f t="shared" ref="CI2435:CI2498" si="1818">IF(BF2435&lt;11,"0-10 DAYS",IF(AND(BF2435&gt;10,BF2435&lt;31),"11-30 DAYS",IF((AND(BF2435&gt;30,BF2435&lt;61)),"31-60 DAYS",IF(AND(BF2435&gt;60,BF2435&lt;91),"61-90 DAYS",IF(AND(BF2435&gt;90,BF2435&lt;121),"91-120 DAYS",IF(AND(BF2435&gt;120,BF2435&lt;366),"121-365 DAYS",IF(AND(BF2435&gt;365,BF2435&lt;730)," &gt;1YRS&lt;2YRS",IF(AND(BF2435&gt;729,BF2435&lt;1095),"&gt;2YRS&lt;3YRS",IF(BF2435&gt;1094,"&gt;3YRS")))))))))</f>
        <v>0-10 DAYS</v>
      </c>
      <c r="CJ2435" s="137">
        <f t="shared" ref="CJ2435:CJ2498" si="1819">IF(CI2435="0-10 DAYS",1,IF(CI2435="11-30 DAYS",2,IF(CI2435="31-60 DAYS",3,IF(CI2435="61-90 DAYS",4,IF(CK2435="91-120 DAYS",5,IF(CI2435="121-365 DAYS",6,IF(CI2435="&gt;1YRS&lt;2YRS",7,IF(CI2435="&gt;2YRS&lt;3YRS",8,IF(CI2435="&gt;3YRS",9,0)))))))))</f>
        <v>1</v>
      </c>
      <c r="CK2435" s="129" t="str">
        <f t="shared" ref="CK2435:CK2498" si="1820">IF(I2435="Not Booked","Not Booked","Booked")</f>
        <v>Booked</v>
      </c>
    </row>
    <row r="2436" spans="1:89" ht="15" customHeight="1" x14ac:dyDescent="0.25">
      <c r="A2436" s="111">
        <v>220</v>
      </c>
      <c r="B2436" s="128" t="str">
        <f t="shared" si="1808"/>
        <v>N</v>
      </c>
      <c r="C2436" s="128" t="str">
        <f t="shared" si="1809"/>
        <v>N</v>
      </c>
      <c r="D2436" s="117">
        <v>2557962</v>
      </c>
      <c r="E2436" s="135">
        <f t="shared" si="1810"/>
        <v>4</v>
      </c>
      <c r="F2436" s="124">
        <v>40918</v>
      </c>
      <c r="G2436" s="125">
        <v>40921</v>
      </c>
      <c r="H2436" s="117">
        <v>2557962</v>
      </c>
      <c r="I2436" s="124">
        <v>40918</v>
      </c>
      <c r="J2436" s="124">
        <v>40921</v>
      </c>
      <c r="K2436" s="126">
        <v>2000</v>
      </c>
      <c r="L2436" s="127" t="s">
        <v>568</v>
      </c>
      <c r="N2436" s="129" t="str">
        <f>IF(M2436&gt;1/1/1,"Y","N")</f>
        <v>N</v>
      </c>
      <c r="O2436" s="128" t="s">
        <v>917</v>
      </c>
      <c r="P2436" s="129" t="s">
        <v>39</v>
      </c>
      <c r="Q2436" s="111">
        <f t="shared" si="1796"/>
        <v>4</v>
      </c>
      <c r="R2436" s="111">
        <f t="shared" si="1780"/>
        <v>4</v>
      </c>
      <c r="S2436" s="129">
        <v>0</v>
      </c>
      <c r="T2436" s="129">
        <v>3</v>
      </c>
      <c r="W2436" s="111"/>
      <c r="AC2436" s="130"/>
      <c r="AD2436" s="130">
        <v>33490</v>
      </c>
      <c r="AE2436" s="128" t="s">
        <v>32</v>
      </c>
      <c r="AF2436" s="128" t="s">
        <v>33</v>
      </c>
      <c r="AG2436" s="128" t="s">
        <v>872</v>
      </c>
      <c r="AH2436" s="108" t="s">
        <v>31</v>
      </c>
      <c r="AI2436" s="128" t="s">
        <v>53</v>
      </c>
      <c r="AJ2436" s="129" t="s">
        <v>89</v>
      </c>
      <c r="AK2436" s="129">
        <v>2</v>
      </c>
      <c r="AL2436" s="3" t="s">
        <v>991</v>
      </c>
      <c r="AO2436" s="128">
        <v>120</v>
      </c>
      <c r="AP2436" s="129" t="s">
        <v>98</v>
      </c>
      <c r="AR2436" s="128" t="s">
        <v>44</v>
      </c>
      <c r="AS2436" s="129" t="s">
        <v>64</v>
      </c>
      <c r="BC2436" s="129" t="s">
        <v>38</v>
      </c>
      <c r="BF2436" s="111">
        <f t="shared" si="1794"/>
        <v>4</v>
      </c>
      <c r="BG2436" s="111">
        <f t="shared" si="1792"/>
        <v>4</v>
      </c>
      <c r="BH2436" s="111">
        <f t="shared" si="1798"/>
        <v>4</v>
      </c>
      <c r="BI2436" s="111">
        <f t="shared" si="1799"/>
        <v>20.295081967213115</v>
      </c>
      <c r="BJ2436" s="129">
        <f t="shared" si="1811"/>
        <v>0</v>
      </c>
      <c r="BK2436" s="129">
        <f t="shared" si="1800"/>
        <v>0</v>
      </c>
      <c r="BL2436" s="129" t="str">
        <f t="shared" si="1795"/>
        <v>CONVICTION</v>
      </c>
      <c r="BM2436" s="129" t="str">
        <f t="shared" si="1801"/>
        <v>NONE</v>
      </c>
      <c r="BN2436" s="129" t="s">
        <v>566</v>
      </c>
      <c r="BP2436" s="137" t="str">
        <f t="shared" si="1802"/>
        <v>CONVICTION</v>
      </c>
      <c r="BQ2436" s="128" t="str">
        <f t="shared" si="1812"/>
        <v>Y</v>
      </c>
      <c r="BR2436" s="129" t="str">
        <f t="shared" si="1803"/>
        <v>DETAINED</v>
      </c>
      <c r="BS2436" s="129" t="str">
        <f t="shared" si="1804"/>
        <v>DISPOSED</v>
      </c>
      <c r="BT2436" s="129" t="str">
        <f t="shared" si="1805"/>
        <v>N</v>
      </c>
      <c r="BU2436" s="109">
        <f t="shared" si="1806"/>
        <v>1</v>
      </c>
      <c r="BV2436" s="109">
        <f t="shared" si="1813"/>
        <v>1</v>
      </c>
      <c r="BW2436" s="109">
        <f t="shared" si="1797"/>
        <v>0</v>
      </c>
      <c r="BX2436" s="111">
        <f t="shared" si="1807"/>
        <v>0</v>
      </c>
      <c r="BY2436" s="129">
        <f t="shared" si="1814"/>
        <v>-4</v>
      </c>
      <c r="BZ2436" s="111">
        <f t="shared" si="1815"/>
        <v>0</v>
      </c>
      <c r="CA2436" s="138">
        <f t="shared" si="1816"/>
        <v>4</v>
      </c>
      <c r="CB2436" s="111" t="e">
        <f t="shared" si="1793"/>
        <v>#VALUE!</v>
      </c>
      <c r="CC2436" s="129">
        <f>G2436-I2436+1</f>
        <v>4</v>
      </c>
      <c r="CD2436" s="129">
        <f>G2436-J2436</f>
        <v>0</v>
      </c>
      <c r="CG2436" s="129" t="str">
        <f t="shared" si="1817"/>
        <v>Y</v>
      </c>
      <c r="CI2436" s="129" t="str">
        <f t="shared" si="1818"/>
        <v>0-10 DAYS</v>
      </c>
      <c r="CJ2436" s="137">
        <f t="shared" si="1819"/>
        <v>1</v>
      </c>
      <c r="CK2436" s="129" t="str">
        <f t="shared" si="1820"/>
        <v>Booked</v>
      </c>
    </row>
    <row r="2437" spans="1:89" ht="15.75" customHeight="1" x14ac:dyDescent="0.25">
      <c r="A2437" s="111">
        <v>18</v>
      </c>
      <c r="B2437" s="128" t="str">
        <f t="shared" si="1808"/>
        <v>N</v>
      </c>
      <c r="C2437" s="128" t="str">
        <f t="shared" si="1809"/>
        <v>N</v>
      </c>
      <c r="D2437" s="117">
        <v>2558328</v>
      </c>
      <c r="E2437" s="135">
        <f t="shared" si="1810"/>
        <v>5</v>
      </c>
      <c r="F2437" s="124">
        <v>40910</v>
      </c>
      <c r="G2437" s="125">
        <v>40981</v>
      </c>
      <c r="H2437" s="117">
        <v>2558328</v>
      </c>
      <c r="I2437" s="124">
        <v>40910</v>
      </c>
      <c r="J2437" s="124">
        <v>40981</v>
      </c>
      <c r="K2437" s="126">
        <v>15000</v>
      </c>
      <c r="L2437" s="127" t="s">
        <v>571</v>
      </c>
      <c r="N2437" s="129" t="str">
        <f>IF(M2437&gt;1/1/1,"Y","N")</f>
        <v>N</v>
      </c>
      <c r="O2437" s="128" t="s">
        <v>917</v>
      </c>
      <c r="P2437" s="129" t="s">
        <v>39</v>
      </c>
      <c r="Q2437" s="111">
        <f t="shared" si="1796"/>
        <v>72</v>
      </c>
      <c r="R2437" s="111">
        <f t="shared" si="1780"/>
        <v>72</v>
      </c>
      <c r="S2437" s="129">
        <v>1</v>
      </c>
      <c r="T2437" s="129">
        <v>1</v>
      </c>
      <c r="V2437" s="117">
        <v>1</v>
      </c>
      <c r="W2437" s="111"/>
      <c r="AC2437" s="130"/>
      <c r="AD2437" s="130">
        <v>34377</v>
      </c>
      <c r="AE2437" s="128" t="s">
        <v>32</v>
      </c>
      <c r="AF2437" s="128" t="s">
        <v>69</v>
      </c>
      <c r="AG2437" s="128" t="s">
        <v>874</v>
      </c>
      <c r="AH2437" s="108" t="s">
        <v>58</v>
      </c>
      <c r="AI2437" s="128" t="s">
        <v>87</v>
      </c>
      <c r="AJ2437" s="129" t="s">
        <v>89</v>
      </c>
      <c r="AK2437" s="129">
        <v>3</v>
      </c>
      <c r="AL2437" s="3" t="s">
        <v>992</v>
      </c>
      <c r="AN2437" s="117">
        <v>6</v>
      </c>
      <c r="AP2437" s="129" t="s">
        <v>43</v>
      </c>
      <c r="AR2437" s="128" t="s">
        <v>44</v>
      </c>
      <c r="AS2437" s="129" t="s">
        <v>45</v>
      </c>
      <c r="BC2437" s="129" t="s">
        <v>52</v>
      </c>
      <c r="BF2437" s="111">
        <f t="shared" si="1794"/>
        <v>72</v>
      </c>
      <c r="BG2437" s="111">
        <f t="shared" si="1792"/>
        <v>72</v>
      </c>
      <c r="BH2437" s="111">
        <f t="shared" si="1798"/>
        <v>72</v>
      </c>
      <c r="BI2437" s="111">
        <f t="shared" si="1799"/>
        <v>17.849726775956285</v>
      </c>
      <c r="BJ2437" s="129">
        <f t="shared" si="1811"/>
        <v>0</v>
      </c>
      <c r="BK2437" s="129">
        <f t="shared" si="1800"/>
        <v>0</v>
      </c>
      <c r="BL2437" s="129" t="str">
        <f t="shared" si="1795"/>
        <v>CONVICTION</v>
      </c>
      <c r="BM2437" s="129" t="str">
        <f t="shared" si="1801"/>
        <v>NONE</v>
      </c>
      <c r="BN2437" s="129" t="s">
        <v>566</v>
      </c>
      <c r="BP2437" s="137" t="str">
        <f t="shared" si="1802"/>
        <v>CONVICTION</v>
      </c>
      <c r="BQ2437" s="128" t="str">
        <f t="shared" si="1812"/>
        <v>Y</v>
      </c>
      <c r="BR2437" s="129" t="str">
        <f t="shared" si="1803"/>
        <v>DETAINED</v>
      </c>
      <c r="BS2437" s="129" t="str">
        <f t="shared" si="1804"/>
        <v>DISPOSED</v>
      </c>
      <c r="BT2437" s="129" t="str">
        <f t="shared" si="1805"/>
        <v>Y</v>
      </c>
      <c r="BU2437" s="109">
        <f t="shared" si="1806"/>
        <v>1</v>
      </c>
      <c r="BV2437" s="109">
        <f t="shared" si="1813"/>
        <v>1</v>
      </c>
      <c r="BW2437" s="109">
        <f t="shared" si="1797"/>
        <v>0</v>
      </c>
      <c r="BX2437" s="111">
        <f t="shared" si="1807"/>
        <v>0</v>
      </c>
      <c r="BY2437" s="129">
        <f t="shared" si="1814"/>
        <v>-72</v>
      </c>
      <c r="BZ2437" s="111">
        <f t="shared" si="1815"/>
        <v>0</v>
      </c>
      <c r="CA2437" s="138">
        <f t="shared" si="1816"/>
        <v>72</v>
      </c>
      <c r="CB2437" s="111" t="e">
        <f t="shared" si="1793"/>
        <v>#VALUE!</v>
      </c>
      <c r="CC2437" s="129">
        <f>G2437-I2437+1</f>
        <v>72</v>
      </c>
      <c r="CD2437" s="129">
        <f>G2437-J2437</f>
        <v>0</v>
      </c>
      <c r="CG2437" s="129" t="str">
        <f t="shared" si="1817"/>
        <v>Y</v>
      </c>
      <c r="CI2437" s="129" t="str">
        <f t="shared" si="1818"/>
        <v>61-90 DAYS</v>
      </c>
      <c r="CJ2437" s="137">
        <f t="shared" si="1819"/>
        <v>4</v>
      </c>
      <c r="CK2437" s="129" t="str">
        <f t="shared" si="1820"/>
        <v>Booked</v>
      </c>
    </row>
    <row r="2438" spans="1:89" ht="15" customHeight="1" x14ac:dyDescent="0.25">
      <c r="A2438" s="111">
        <v>3061</v>
      </c>
      <c r="B2438" s="128" t="str">
        <f t="shared" si="1808"/>
        <v>N</v>
      </c>
      <c r="C2438" s="128" t="str">
        <f t="shared" si="1809"/>
        <v>N</v>
      </c>
      <c r="D2438" s="117">
        <v>2558543</v>
      </c>
      <c r="E2438" s="135">
        <f t="shared" si="1810"/>
        <v>5</v>
      </c>
      <c r="F2438" s="124">
        <v>41022</v>
      </c>
      <c r="G2438" s="125">
        <v>41054</v>
      </c>
      <c r="H2438" s="117">
        <v>2558543</v>
      </c>
      <c r="I2438" s="124">
        <v>41023</v>
      </c>
      <c r="J2438" s="124">
        <v>41054</v>
      </c>
      <c r="K2438" s="126" t="s">
        <v>564</v>
      </c>
      <c r="L2438" s="127" t="s">
        <v>564</v>
      </c>
      <c r="N2438" s="129" t="s">
        <v>566</v>
      </c>
      <c r="O2438" s="128" t="s">
        <v>917</v>
      </c>
      <c r="P2438" s="129" t="s">
        <v>39</v>
      </c>
      <c r="Q2438" s="111">
        <f t="shared" si="1796"/>
        <v>32</v>
      </c>
      <c r="R2438" s="111">
        <f t="shared" si="1780"/>
        <v>33</v>
      </c>
      <c r="S2438" s="129">
        <v>0</v>
      </c>
      <c r="T2438" s="129">
        <v>0</v>
      </c>
      <c r="W2438" s="111"/>
      <c r="AC2438" s="130"/>
      <c r="AD2438" s="130">
        <v>34279</v>
      </c>
      <c r="AE2438" s="128" t="s">
        <v>32</v>
      </c>
      <c r="AF2438" s="128" t="s">
        <v>69</v>
      </c>
      <c r="AG2438" s="128" t="s">
        <v>874</v>
      </c>
      <c r="AH2438" s="108" t="s">
        <v>31</v>
      </c>
      <c r="AI2438" s="128" t="s">
        <v>34</v>
      </c>
      <c r="AJ2438" s="129" t="s">
        <v>89</v>
      </c>
      <c r="AK2438" s="129">
        <v>2</v>
      </c>
      <c r="AL2438" s="3" t="s">
        <v>992</v>
      </c>
      <c r="AN2438" s="117">
        <v>8</v>
      </c>
      <c r="AP2438" s="129" t="s">
        <v>108</v>
      </c>
      <c r="AR2438" s="128" t="s">
        <v>44</v>
      </c>
      <c r="AS2438" s="129" t="s">
        <v>61</v>
      </c>
      <c r="BC2438" s="129" t="s">
        <v>38</v>
      </c>
      <c r="BF2438" s="111">
        <f t="shared" si="1794"/>
        <v>32</v>
      </c>
      <c r="BG2438" s="111">
        <f t="shared" si="1792"/>
        <v>32</v>
      </c>
      <c r="BH2438" s="111">
        <f t="shared" si="1798"/>
        <v>33</v>
      </c>
      <c r="BI2438" s="111">
        <f t="shared" si="1799"/>
        <v>18.423497267759561</v>
      </c>
      <c r="BJ2438" s="129">
        <f t="shared" si="1811"/>
        <v>0</v>
      </c>
      <c r="BK2438" s="129">
        <f t="shared" si="1800"/>
        <v>0</v>
      </c>
      <c r="BL2438" s="129" t="str">
        <f t="shared" si="1795"/>
        <v>CONVICTION</v>
      </c>
      <c r="BM2438" s="129" t="str">
        <f t="shared" si="1801"/>
        <v>NONE</v>
      </c>
      <c r="BN2438" s="129" t="s">
        <v>566</v>
      </c>
      <c r="BP2438" s="137" t="str">
        <f t="shared" si="1802"/>
        <v>CONVICTION</v>
      </c>
      <c r="BQ2438" s="128" t="str">
        <f t="shared" si="1812"/>
        <v>Y</v>
      </c>
      <c r="BR2438" s="129" t="str">
        <f t="shared" si="1803"/>
        <v>DETAINED</v>
      </c>
      <c r="BS2438" s="129" t="str">
        <f t="shared" si="1804"/>
        <v>DISPOSED</v>
      </c>
      <c r="BT2438" s="129" t="str">
        <f t="shared" si="1805"/>
        <v>N</v>
      </c>
      <c r="BU2438" s="109">
        <f t="shared" si="1806"/>
        <v>0.96969696969696972</v>
      </c>
      <c r="BV2438" s="109">
        <f t="shared" si="1813"/>
        <v>1</v>
      </c>
      <c r="BW2438" s="109">
        <f t="shared" si="1797"/>
        <v>3.0303030303030276E-2</v>
      </c>
      <c r="BX2438" s="111">
        <f t="shared" si="1807"/>
        <v>0</v>
      </c>
      <c r="BY2438" s="129">
        <f t="shared" si="1814"/>
        <v>-32</v>
      </c>
      <c r="BZ2438" s="111">
        <f t="shared" si="1815"/>
        <v>0</v>
      </c>
      <c r="CA2438" s="138">
        <f t="shared" si="1816"/>
        <v>32</v>
      </c>
      <c r="CB2438" s="111" t="e">
        <f t="shared" si="1793"/>
        <v>#VALUE!</v>
      </c>
      <c r="CC2438" s="129">
        <f>G2438-I2438+1</f>
        <v>32</v>
      </c>
      <c r="CD2438" s="129">
        <f>G2438-J2438</f>
        <v>0</v>
      </c>
      <c r="CG2438" s="129" t="str">
        <f t="shared" si="1817"/>
        <v>N</v>
      </c>
      <c r="CI2438" s="129" t="str">
        <f t="shared" si="1818"/>
        <v>31-60 DAYS</v>
      </c>
      <c r="CJ2438" s="137">
        <f t="shared" si="1819"/>
        <v>3</v>
      </c>
      <c r="CK2438" s="129" t="str">
        <f t="shared" si="1820"/>
        <v>Booked</v>
      </c>
    </row>
    <row r="2439" spans="1:89" ht="15.75" customHeight="1" x14ac:dyDescent="0.25">
      <c r="A2439" s="111">
        <v>2717</v>
      </c>
      <c r="B2439" s="128" t="str">
        <f t="shared" si="1808"/>
        <v>N</v>
      </c>
      <c r="C2439" s="128" t="str">
        <f t="shared" si="1809"/>
        <v>N</v>
      </c>
      <c r="D2439" s="117">
        <v>2558688</v>
      </c>
      <c r="E2439" s="135">
        <f t="shared" si="1810"/>
        <v>2</v>
      </c>
      <c r="F2439" s="124">
        <v>41010</v>
      </c>
      <c r="G2439" s="125">
        <v>41037</v>
      </c>
      <c r="H2439" s="117">
        <v>2558688</v>
      </c>
      <c r="I2439" s="124">
        <v>41010</v>
      </c>
      <c r="J2439" s="124">
        <v>41037</v>
      </c>
      <c r="K2439" s="126">
        <v>5000</v>
      </c>
      <c r="L2439" s="127" t="s">
        <v>569</v>
      </c>
      <c r="N2439" s="129" t="str">
        <f>IF(M2439&gt;1/1/1,"Y","N")</f>
        <v>N</v>
      </c>
      <c r="O2439" s="128" t="s">
        <v>917</v>
      </c>
      <c r="P2439" s="129" t="s">
        <v>589</v>
      </c>
      <c r="Q2439" s="111">
        <f t="shared" si="1796"/>
        <v>28</v>
      </c>
      <c r="R2439" s="111">
        <f t="shared" si="1780"/>
        <v>28</v>
      </c>
      <c r="S2439" s="129">
        <v>1</v>
      </c>
      <c r="T2439" s="129">
        <v>0</v>
      </c>
      <c r="W2439" s="111"/>
      <c r="AC2439" s="130"/>
      <c r="AD2439" s="130">
        <v>33089</v>
      </c>
      <c r="AE2439" s="128" t="s">
        <v>46</v>
      </c>
      <c r="AF2439" s="128" t="s">
        <v>33</v>
      </c>
      <c r="AG2439" s="128" t="s">
        <v>872</v>
      </c>
      <c r="AH2439" s="108" t="s">
        <v>58</v>
      </c>
      <c r="AI2439" s="128" t="s">
        <v>90</v>
      </c>
      <c r="AJ2439" s="129" t="s">
        <v>48</v>
      </c>
      <c r="AK2439" s="129">
        <v>4</v>
      </c>
      <c r="AL2439" s="3" t="s">
        <v>48</v>
      </c>
      <c r="AP2439" s="129" t="s">
        <v>127</v>
      </c>
      <c r="AR2439" s="128" t="s">
        <v>44</v>
      </c>
      <c r="AS2439" s="129" t="s">
        <v>82</v>
      </c>
      <c r="BC2439" s="129" t="s">
        <v>38</v>
      </c>
      <c r="BF2439" s="111">
        <f t="shared" si="1794"/>
        <v>28</v>
      </c>
      <c r="BG2439" s="111">
        <f t="shared" si="1792"/>
        <v>28</v>
      </c>
      <c r="BH2439" s="111">
        <f t="shared" si="1798"/>
        <v>28</v>
      </c>
      <c r="BI2439" s="111">
        <f t="shared" si="1799"/>
        <v>21.642076502732241</v>
      </c>
      <c r="BJ2439" s="129">
        <f t="shared" si="1811"/>
        <v>0</v>
      </c>
      <c r="BK2439" s="129">
        <f t="shared" si="1800"/>
        <v>0</v>
      </c>
      <c r="BL2439" s="129" t="str">
        <f t="shared" si="1795"/>
        <v>DEFERRED</v>
      </c>
      <c r="BM2439" s="129" t="str">
        <f t="shared" si="1801"/>
        <v>NONE</v>
      </c>
      <c r="BN2439" s="129" t="s">
        <v>566</v>
      </c>
      <c r="BP2439" s="137" t="str">
        <f t="shared" si="1802"/>
        <v>DEFERRED</v>
      </c>
      <c r="BQ2439" s="128" t="str">
        <f t="shared" si="1812"/>
        <v>Y</v>
      </c>
      <c r="BR2439" s="129" t="str">
        <f t="shared" si="1803"/>
        <v>DETAINED</v>
      </c>
      <c r="BS2439" s="129" t="str">
        <f t="shared" si="1804"/>
        <v>DISPOSED</v>
      </c>
      <c r="BT2439" s="129" t="str">
        <f t="shared" si="1805"/>
        <v>Y</v>
      </c>
      <c r="BU2439" s="109">
        <f t="shared" si="1806"/>
        <v>1</v>
      </c>
      <c r="BV2439" s="109">
        <f t="shared" si="1813"/>
        <v>1</v>
      </c>
      <c r="BW2439" s="109">
        <f t="shared" si="1797"/>
        <v>0</v>
      </c>
      <c r="BX2439" s="111">
        <f t="shared" si="1807"/>
        <v>0</v>
      </c>
      <c r="BY2439" s="129">
        <f t="shared" si="1814"/>
        <v>-28</v>
      </c>
      <c r="BZ2439" s="111">
        <f t="shared" si="1815"/>
        <v>0</v>
      </c>
      <c r="CA2439" s="138">
        <f t="shared" si="1816"/>
        <v>28</v>
      </c>
      <c r="CB2439" s="111" t="e">
        <f t="shared" si="1793"/>
        <v>#VALUE!</v>
      </c>
      <c r="CC2439" s="129">
        <f>G2439-I2439+1</f>
        <v>28</v>
      </c>
      <c r="CD2439" s="129">
        <f>G2439-J2439</f>
        <v>0</v>
      </c>
      <c r="CG2439" s="129" t="str">
        <f t="shared" si="1817"/>
        <v>Y</v>
      </c>
      <c r="CI2439" s="129" t="str">
        <f t="shared" si="1818"/>
        <v>11-30 DAYS</v>
      </c>
      <c r="CJ2439" s="137">
        <f t="shared" si="1819"/>
        <v>2</v>
      </c>
      <c r="CK2439" s="129" t="str">
        <f t="shared" si="1820"/>
        <v>Booked</v>
      </c>
    </row>
    <row r="2440" spans="1:89" ht="15.75" customHeight="1" x14ac:dyDescent="0.25">
      <c r="A2440" s="111">
        <v>372</v>
      </c>
      <c r="B2440" s="128" t="str">
        <f t="shared" si="1808"/>
        <v>N</v>
      </c>
      <c r="C2440" s="128" t="str">
        <f t="shared" si="1809"/>
        <v>N</v>
      </c>
      <c r="D2440" s="117">
        <v>2559335</v>
      </c>
      <c r="E2440" s="135">
        <f t="shared" si="1810"/>
        <v>2</v>
      </c>
      <c r="F2440" s="124">
        <v>40924</v>
      </c>
      <c r="G2440" s="125">
        <v>41073</v>
      </c>
      <c r="H2440" s="117">
        <v>2559335</v>
      </c>
      <c r="I2440" s="124">
        <v>40924</v>
      </c>
      <c r="J2440" s="124">
        <v>40926</v>
      </c>
      <c r="K2440" s="126">
        <v>2000</v>
      </c>
      <c r="L2440" s="127" t="s">
        <v>568</v>
      </c>
      <c r="M2440" s="125">
        <v>40926</v>
      </c>
      <c r="N2440" s="129" t="str">
        <f>IF(M2440&gt;1/1/1,"Y","N")</f>
        <v>Y</v>
      </c>
      <c r="O2440" s="112" t="s">
        <v>160</v>
      </c>
      <c r="P2440" s="129" t="s">
        <v>589</v>
      </c>
      <c r="Q2440" s="111">
        <f t="shared" si="1796"/>
        <v>3</v>
      </c>
      <c r="R2440" s="111">
        <f t="shared" si="1780"/>
        <v>150</v>
      </c>
      <c r="S2440" s="129">
        <v>0</v>
      </c>
      <c r="T2440" s="129">
        <v>2</v>
      </c>
      <c r="W2440" s="111"/>
      <c r="AC2440" s="130"/>
      <c r="AD2440" s="130">
        <v>31645</v>
      </c>
      <c r="AE2440" s="128" t="s">
        <v>32</v>
      </c>
      <c r="AF2440" s="128" t="s">
        <v>40</v>
      </c>
      <c r="AG2440" s="128" t="s">
        <v>41</v>
      </c>
      <c r="AH2440" s="108" t="s">
        <v>41</v>
      </c>
      <c r="AI2440" s="128" t="s">
        <v>100</v>
      </c>
      <c r="AJ2440" s="129" t="s">
        <v>48</v>
      </c>
      <c r="AK2440" s="129">
        <v>9</v>
      </c>
      <c r="AL2440" s="3" t="s">
        <v>48</v>
      </c>
      <c r="AP2440" s="129" t="s">
        <v>43</v>
      </c>
      <c r="AR2440" s="128" t="s">
        <v>44</v>
      </c>
      <c r="AS2440" s="129" t="s">
        <v>45</v>
      </c>
      <c r="AT2440" s="143" t="s">
        <v>602</v>
      </c>
      <c r="BC2440" s="129" t="s">
        <v>52</v>
      </c>
      <c r="BF2440" s="111">
        <f t="shared" si="1794"/>
        <v>3</v>
      </c>
      <c r="BG2440" s="111">
        <f t="shared" si="1792"/>
        <v>150</v>
      </c>
      <c r="BH2440" s="111">
        <f t="shared" si="1798"/>
        <v>150</v>
      </c>
      <c r="BI2440" s="111">
        <f t="shared" si="1799"/>
        <v>25.352459016393443</v>
      </c>
      <c r="BJ2440" s="129">
        <f>(G2440-J2440)+(M2440-G2440)</f>
        <v>0</v>
      </c>
      <c r="BK2440" s="129">
        <f t="shared" si="1800"/>
        <v>-147</v>
      </c>
      <c r="BL2440" s="129" t="str">
        <f t="shared" si="1795"/>
        <v>DEFERRED</v>
      </c>
      <c r="BM2440" s="129" t="s">
        <v>160</v>
      </c>
      <c r="BN2440" s="129" t="s">
        <v>88</v>
      </c>
      <c r="BP2440" s="137" t="str">
        <f t="shared" si="1802"/>
        <v>DEFERRED</v>
      </c>
      <c r="BQ2440" s="128" t="str">
        <f t="shared" si="1812"/>
        <v>Y</v>
      </c>
      <c r="BR2440" s="129" t="str">
        <f t="shared" si="1803"/>
        <v>ON BOND</v>
      </c>
      <c r="BS2440" s="129" t="str">
        <f t="shared" si="1804"/>
        <v>DISPOSED</v>
      </c>
      <c r="BT2440" s="129" t="str">
        <f t="shared" si="1805"/>
        <v>N</v>
      </c>
      <c r="BU2440" s="109">
        <f t="shared" si="1806"/>
        <v>0.02</v>
      </c>
      <c r="BV2440" s="109">
        <f t="shared" si="1813"/>
        <v>0.02</v>
      </c>
      <c r="BW2440" s="109">
        <f t="shared" si="1797"/>
        <v>0</v>
      </c>
      <c r="BX2440" s="111">
        <f t="shared" si="1807"/>
        <v>0</v>
      </c>
      <c r="BY2440" s="129">
        <f t="shared" si="1814"/>
        <v>-3</v>
      </c>
      <c r="BZ2440" s="111">
        <f t="shared" si="1815"/>
        <v>0</v>
      </c>
      <c r="CA2440" s="138">
        <f t="shared" si="1816"/>
        <v>3</v>
      </c>
      <c r="CB2440" s="111" t="e">
        <f t="shared" si="1793"/>
        <v>#VALUE!</v>
      </c>
      <c r="CC2440" s="129">
        <f>M2440-I2440+1</f>
        <v>3</v>
      </c>
      <c r="CD2440" s="111">
        <f>CC2440-BF2440</f>
        <v>0</v>
      </c>
      <c r="CG2440" s="129" t="str">
        <f t="shared" si="1817"/>
        <v>Y</v>
      </c>
      <c r="CI2440" s="129" t="str">
        <f t="shared" si="1818"/>
        <v>0-10 DAYS</v>
      </c>
      <c r="CJ2440" s="137">
        <f t="shared" si="1819"/>
        <v>1</v>
      </c>
      <c r="CK2440" s="129" t="str">
        <f t="shared" si="1820"/>
        <v>Booked</v>
      </c>
    </row>
    <row r="2441" spans="1:89" ht="15.75" customHeight="1" x14ac:dyDescent="0.25">
      <c r="A2441" s="111">
        <v>1045</v>
      </c>
      <c r="B2441" s="128" t="str">
        <f t="shared" si="1808"/>
        <v>N</v>
      </c>
      <c r="C2441" s="128" t="str">
        <f t="shared" si="1809"/>
        <v>N</v>
      </c>
      <c r="D2441" s="117">
        <v>2559487</v>
      </c>
      <c r="E2441" s="135">
        <f t="shared" si="1810"/>
        <v>5</v>
      </c>
      <c r="F2441" s="124">
        <v>40947</v>
      </c>
      <c r="G2441" s="125">
        <v>40952</v>
      </c>
      <c r="H2441" s="117">
        <v>2559487</v>
      </c>
      <c r="I2441" s="124">
        <v>40947</v>
      </c>
      <c r="J2441" s="124">
        <v>40952</v>
      </c>
      <c r="K2441" s="126">
        <v>5000</v>
      </c>
      <c r="L2441" s="127" t="s">
        <v>569</v>
      </c>
      <c r="N2441" s="129" t="str">
        <f>IF(M2441&gt;1/1/1,"Y","N")</f>
        <v>N</v>
      </c>
      <c r="O2441" s="128" t="s">
        <v>917</v>
      </c>
      <c r="P2441" s="129" t="s">
        <v>39</v>
      </c>
      <c r="Q2441" s="111">
        <f t="shared" si="1796"/>
        <v>6</v>
      </c>
      <c r="R2441" s="111">
        <f t="shared" si="1780"/>
        <v>6</v>
      </c>
      <c r="S2441" s="129">
        <v>0</v>
      </c>
      <c r="T2441" s="129">
        <v>0</v>
      </c>
      <c r="W2441" s="111"/>
      <c r="AC2441" s="130"/>
      <c r="AD2441" s="130">
        <v>34148</v>
      </c>
      <c r="AE2441" s="128" t="s">
        <v>32</v>
      </c>
      <c r="AF2441" s="128" t="s">
        <v>69</v>
      </c>
      <c r="AG2441" s="128" t="s">
        <v>874</v>
      </c>
      <c r="AH2441" s="108" t="s">
        <v>31</v>
      </c>
      <c r="AI2441" s="128" t="s">
        <v>113</v>
      </c>
      <c r="AJ2441" s="129" t="s">
        <v>89</v>
      </c>
      <c r="AK2441" s="129">
        <v>2</v>
      </c>
      <c r="AL2441" s="3" t="s">
        <v>992</v>
      </c>
      <c r="AN2441" s="117">
        <v>6</v>
      </c>
      <c r="AP2441" s="129" t="s">
        <v>107</v>
      </c>
      <c r="AR2441" s="128" t="s">
        <v>44</v>
      </c>
      <c r="AS2441" s="129" t="s">
        <v>57</v>
      </c>
      <c r="BC2441" s="129" t="s">
        <v>38</v>
      </c>
      <c r="BF2441" s="111">
        <f t="shared" si="1794"/>
        <v>6</v>
      </c>
      <c r="BG2441" s="111">
        <f t="shared" si="1792"/>
        <v>6</v>
      </c>
      <c r="BH2441" s="111">
        <f t="shared" si="1798"/>
        <v>6</v>
      </c>
      <c r="BI2441" s="111">
        <f t="shared" si="1799"/>
        <v>18.576502732240439</v>
      </c>
      <c r="BJ2441" s="129">
        <f t="shared" si="1811"/>
        <v>0</v>
      </c>
      <c r="BK2441" s="129">
        <f t="shared" si="1800"/>
        <v>0</v>
      </c>
      <c r="BL2441" s="129" t="str">
        <f t="shared" si="1795"/>
        <v>CONVICTION</v>
      </c>
      <c r="BM2441" s="129" t="str">
        <f t="shared" si="1801"/>
        <v>NONE</v>
      </c>
      <c r="BN2441" s="129" t="s">
        <v>566</v>
      </c>
      <c r="BP2441" s="137" t="str">
        <f t="shared" si="1802"/>
        <v>CONVICTION</v>
      </c>
      <c r="BQ2441" s="128" t="str">
        <f t="shared" si="1812"/>
        <v>Y</v>
      </c>
      <c r="BR2441" s="129" t="str">
        <f t="shared" si="1803"/>
        <v>DETAINED</v>
      </c>
      <c r="BS2441" s="129" t="str">
        <f t="shared" si="1804"/>
        <v>DISPOSED</v>
      </c>
      <c r="BT2441" s="129" t="str">
        <f t="shared" si="1805"/>
        <v>N</v>
      </c>
      <c r="BU2441" s="109">
        <f t="shared" si="1806"/>
        <v>1</v>
      </c>
      <c r="BV2441" s="109">
        <f t="shared" si="1813"/>
        <v>1</v>
      </c>
      <c r="BW2441" s="109">
        <f t="shared" si="1797"/>
        <v>0</v>
      </c>
      <c r="BX2441" s="111">
        <f t="shared" si="1807"/>
        <v>0</v>
      </c>
      <c r="BY2441" s="129">
        <f t="shared" si="1814"/>
        <v>-6</v>
      </c>
      <c r="BZ2441" s="111">
        <f t="shared" si="1815"/>
        <v>0</v>
      </c>
      <c r="CA2441" s="138">
        <f t="shared" si="1816"/>
        <v>6</v>
      </c>
      <c r="CB2441" s="111" t="e">
        <f t="shared" si="1793"/>
        <v>#VALUE!</v>
      </c>
      <c r="CC2441" s="129">
        <f>G2441-I2441+1</f>
        <v>6</v>
      </c>
      <c r="CD2441" s="129">
        <f>G2441-J2441</f>
        <v>0</v>
      </c>
      <c r="CG2441" s="129" t="str">
        <f t="shared" si="1817"/>
        <v>N</v>
      </c>
      <c r="CI2441" s="129" t="str">
        <f t="shared" si="1818"/>
        <v>0-10 DAYS</v>
      </c>
      <c r="CJ2441" s="137">
        <f t="shared" si="1819"/>
        <v>1</v>
      </c>
      <c r="CK2441" s="129" t="str">
        <f t="shared" si="1820"/>
        <v>Booked</v>
      </c>
    </row>
    <row r="2442" spans="1:89" ht="15.75" customHeight="1" x14ac:dyDescent="0.25">
      <c r="A2442" s="111">
        <v>39</v>
      </c>
      <c r="B2442" s="128" t="str">
        <f t="shared" si="1808"/>
        <v>N</v>
      </c>
      <c r="C2442" s="128" t="str">
        <f t="shared" si="1809"/>
        <v>N</v>
      </c>
      <c r="D2442" s="117">
        <v>2559919</v>
      </c>
      <c r="E2442" s="135">
        <f t="shared" si="1810"/>
        <v>6</v>
      </c>
      <c r="F2442" s="124">
        <v>40911</v>
      </c>
      <c r="G2442" s="125">
        <v>41081</v>
      </c>
      <c r="H2442" s="117">
        <v>2559919</v>
      </c>
      <c r="I2442" s="124">
        <v>40912</v>
      </c>
      <c r="J2442" s="124">
        <v>41081</v>
      </c>
      <c r="K2442" s="126">
        <v>30000</v>
      </c>
      <c r="L2442" s="129" t="s">
        <v>572</v>
      </c>
      <c r="N2442" s="129" t="str">
        <f>IF(M2442&gt;1/1/1,"Y","N")</f>
        <v>N</v>
      </c>
      <c r="O2442" s="128" t="s">
        <v>917</v>
      </c>
      <c r="P2442" s="129" t="s">
        <v>39</v>
      </c>
      <c r="Q2442" s="111">
        <f t="shared" si="1796"/>
        <v>170</v>
      </c>
      <c r="R2442" s="111">
        <f t="shared" si="1780"/>
        <v>171</v>
      </c>
      <c r="S2442" s="129">
        <v>0</v>
      </c>
      <c r="T2442" s="129">
        <v>2</v>
      </c>
      <c r="W2442" s="111"/>
      <c r="AC2442" s="130"/>
      <c r="AD2442" s="130">
        <v>34315</v>
      </c>
      <c r="AE2442" s="128" t="s">
        <v>32</v>
      </c>
      <c r="AF2442" s="128" t="s">
        <v>33</v>
      </c>
      <c r="AG2442" s="128" t="s">
        <v>872</v>
      </c>
      <c r="AH2442" s="108" t="s">
        <v>31</v>
      </c>
      <c r="AI2442" s="128" t="s">
        <v>85</v>
      </c>
      <c r="AJ2442" s="129" t="s">
        <v>89</v>
      </c>
      <c r="AK2442" s="129">
        <v>6</v>
      </c>
      <c r="AL2442" s="3" t="s">
        <v>362</v>
      </c>
      <c r="AM2442" s="117">
        <v>5</v>
      </c>
      <c r="AP2442" s="129" t="s">
        <v>105</v>
      </c>
      <c r="AR2442" s="128" t="s">
        <v>92</v>
      </c>
      <c r="AS2442" s="129" t="s">
        <v>106</v>
      </c>
      <c r="BC2442" s="129" t="s">
        <v>52</v>
      </c>
      <c r="BF2442" s="111">
        <f t="shared" si="1794"/>
        <v>170</v>
      </c>
      <c r="BG2442" s="111">
        <f t="shared" si="1792"/>
        <v>170</v>
      </c>
      <c r="BH2442" s="111">
        <f t="shared" si="1798"/>
        <v>171</v>
      </c>
      <c r="BI2442" s="111">
        <f t="shared" si="1799"/>
        <v>18.021857923497269</v>
      </c>
      <c r="BJ2442" s="129">
        <f t="shared" si="1811"/>
        <v>0</v>
      </c>
      <c r="BK2442" s="129">
        <f t="shared" si="1800"/>
        <v>0</v>
      </c>
      <c r="BL2442" s="129" t="str">
        <f t="shared" si="1795"/>
        <v>CONVICTION</v>
      </c>
      <c r="BM2442" s="129" t="str">
        <f t="shared" si="1801"/>
        <v>NONE</v>
      </c>
      <c r="BN2442" s="129" t="s">
        <v>566</v>
      </c>
      <c r="BP2442" s="137" t="str">
        <f t="shared" si="1802"/>
        <v>CONVICTION</v>
      </c>
      <c r="BQ2442" s="128" t="str">
        <f t="shared" si="1812"/>
        <v>Y</v>
      </c>
      <c r="BR2442" s="129" t="str">
        <f t="shared" si="1803"/>
        <v>DETAINED</v>
      </c>
      <c r="BS2442" s="129" t="str">
        <f t="shared" si="1804"/>
        <v>DISPOSED</v>
      </c>
      <c r="BT2442" s="129" t="str">
        <f t="shared" si="1805"/>
        <v>N</v>
      </c>
      <c r="BU2442" s="109">
        <f t="shared" si="1806"/>
        <v>0.99415204678362568</v>
      </c>
      <c r="BV2442" s="109">
        <f t="shared" si="1813"/>
        <v>1</v>
      </c>
      <c r="BW2442" s="109">
        <f t="shared" si="1797"/>
        <v>5.8479532163743242E-3</v>
      </c>
      <c r="BX2442" s="111">
        <f t="shared" si="1807"/>
        <v>0</v>
      </c>
      <c r="BY2442" s="129">
        <f t="shared" si="1814"/>
        <v>-170</v>
      </c>
      <c r="BZ2442" s="111">
        <f t="shared" si="1815"/>
        <v>0</v>
      </c>
      <c r="CA2442" s="138">
        <f t="shared" si="1816"/>
        <v>170</v>
      </c>
      <c r="CB2442" s="111" t="e">
        <f t="shared" si="1793"/>
        <v>#VALUE!</v>
      </c>
      <c r="CC2442" s="129">
        <f>G2442-I2442+1</f>
        <v>170</v>
      </c>
      <c r="CD2442" s="129">
        <f>G2442-J2442</f>
        <v>0</v>
      </c>
      <c r="CG2442" s="129" t="str">
        <f t="shared" si="1817"/>
        <v>Y</v>
      </c>
      <c r="CI2442" s="129" t="str">
        <f t="shared" si="1818"/>
        <v>121-365 DAYS</v>
      </c>
      <c r="CJ2442" s="137">
        <f t="shared" si="1819"/>
        <v>6</v>
      </c>
      <c r="CK2442" s="129" t="str">
        <f t="shared" si="1820"/>
        <v>Booked</v>
      </c>
    </row>
    <row r="2443" spans="1:89" ht="15.75" customHeight="1" x14ac:dyDescent="0.25">
      <c r="A2443" s="111">
        <v>1575</v>
      </c>
      <c r="B2443" s="128" t="str">
        <f t="shared" si="1808"/>
        <v>N</v>
      </c>
      <c r="C2443" s="128" t="str">
        <f t="shared" si="1809"/>
        <v>N</v>
      </c>
      <c r="D2443" s="117">
        <v>2560422</v>
      </c>
      <c r="E2443" s="135">
        <f t="shared" si="1810"/>
        <v>5</v>
      </c>
      <c r="F2443" s="124">
        <v>40967</v>
      </c>
      <c r="G2443" s="125">
        <v>41085</v>
      </c>
      <c r="H2443" s="117">
        <v>2560422</v>
      </c>
      <c r="I2443" s="124">
        <v>40968</v>
      </c>
      <c r="J2443" s="124">
        <v>41085</v>
      </c>
      <c r="K2443" s="126" t="s">
        <v>564</v>
      </c>
      <c r="L2443" s="127" t="s">
        <v>564</v>
      </c>
      <c r="N2443" s="129" t="s">
        <v>566</v>
      </c>
      <c r="O2443" s="128" t="s">
        <v>917</v>
      </c>
      <c r="P2443" s="129" t="s">
        <v>39</v>
      </c>
      <c r="Q2443" s="111">
        <f t="shared" si="1796"/>
        <v>118</v>
      </c>
      <c r="R2443" s="111">
        <f t="shared" si="1780"/>
        <v>119</v>
      </c>
      <c r="S2443" s="129">
        <v>1</v>
      </c>
      <c r="T2443" s="129">
        <v>0</v>
      </c>
      <c r="U2443" s="129">
        <v>1</v>
      </c>
      <c r="W2443" s="111"/>
      <c r="AC2443" s="130"/>
      <c r="AD2443" s="130">
        <v>23745</v>
      </c>
      <c r="AE2443" s="128" t="s">
        <v>32</v>
      </c>
      <c r="AF2443" s="128" t="s">
        <v>33</v>
      </c>
      <c r="AG2443" s="128" t="s">
        <v>872</v>
      </c>
      <c r="AH2443" s="108" t="s">
        <v>31</v>
      </c>
      <c r="AI2443" s="128" t="s">
        <v>95</v>
      </c>
      <c r="AJ2443" s="129" t="s">
        <v>89</v>
      </c>
      <c r="AK2443" s="129">
        <v>5</v>
      </c>
      <c r="AL2443" s="3" t="s">
        <v>992</v>
      </c>
      <c r="AN2443" s="117">
        <v>7</v>
      </c>
      <c r="AP2443" s="129" t="s">
        <v>93</v>
      </c>
      <c r="AR2443" s="128" t="s">
        <v>67</v>
      </c>
      <c r="AS2443" s="129" t="s">
        <v>45</v>
      </c>
      <c r="BC2443" s="129" t="s">
        <v>38</v>
      </c>
      <c r="BF2443" s="111">
        <f t="shared" si="1794"/>
        <v>118</v>
      </c>
      <c r="BG2443" s="111">
        <f t="shared" si="1792"/>
        <v>118</v>
      </c>
      <c r="BH2443" s="111">
        <f t="shared" si="1798"/>
        <v>119</v>
      </c>
      <c r="BI2443" s="111">
        <f t="shared" si="1799"/>
        <v>47.05464480874317</v>
      </c>
      <c r="BJ2443" s="129">
        <f t="shared" si="1811"/>
        <v>0</v>
      </c>
      <c r="BK2443" s="129">
        <f t="shared" si="1800"/>
        <v>0</v>
      </c>
      <c r="BL2443" s="129" t="str">
        <f t="shared" si="1795"/>
        <v>CONVICTION</v>
      </c>
      <c r="BM2443" s="129" t="str">
        <f t="shared" si="1801"/>
        <v>NONE</v>
      </c>
      <c r="BN2443" s="129" t="s">
        <v>566</v>
      </c>
      <c r="BP2443" s="137" t="str">
        <f t="shared" si="1802"/>
        <v>CONVICTION</v>
      </c>
      <c r="BQ2443" s="128" t="str">
        <f t="shared" si="1812"/>
        <v>Y</v>
      </c>
      <c r="BR2443" s="129" t="str">
        <f t="shared" si="1803"/>
        <v>DETAINED</v>
      </c>
      <c r="BS2443" s="129" t="str">
        <f t="shared" si="1804"/>
        <v>DISPOSED</v>
      </c>
      <c r="BT2443" s="129" t="str">
        <f t="shared" si="1805"/>
        <v>Y</v>
      </c>
      <c r="BU2443" s="109">
        <f t="shared" si="1806"/>
        <v>0.99159663865546221</v>
      </c>
      <c r="BV2443" s="109">
        <f t="shared" si="1813"/>
        <v>1</v>
      </c>
      <c r="BW2443" s="109">
        <f t="shared" si="1797"/>
        <v>8.4033613445377853E-3</v>
      </c>
      <c r="BX2443" s="111">
        <f t="shared" si="1807"/>
        <v>0</v>
      </c>
      <c r="BY2443" s="129">
        <f t="shared" si="1814"/>
        <v>-118</v>
      </c>
      <c r="BZ2443" s="111">
        <f t="shared" si="1815"/>
        <v>0</v>
      </c>
      <c r="CA2443" s="138">
        <f t="shared" si="1816"/>
        <v>118</v>
      </c>
      <c r="CB2443" s="111" t="e">
        <f t="shared" si="1793"/>
        <v>#VALUE!</v>
      </c>
      <c r="CC2443" s="129">
        <f>G2443-I2443+1</f>
        <v>118</v>
      </c>
      <c r="CD2443" s="129">
        <f>G2443-J2443</f>
        <v>0</v>
      </c>
      <c r="CG2443" s="129" t="str">
        <f t="shared" si="1817"/>
        <v>Y</v>
      </c>
      <c r="CI2443" s="129" t="str">
        <f t="shared" si="1818"/>
        <v>91-120 DAYS</v>
      </c>
      <c r="CJ2443" s="137">
        <f t="shared" si="1819"/>
        <v>0</v>
      </c>
      <c r="CK2443" s="129" t="str">
        <f t="shared" si="1820"/>
        <v>Booked</v>
      </c>
    </row>
    <row r="2444" spans="1:89" ht="15.75" customHeight="1" x14ac:dyDescent="0.25">
      <c r="A2444" s="111">
        <v>1273</v>
      </c>
      <c r="B2444" s="128" t="str">
        <f t="shared" si="1808"/>
        <v>N</v>
      </c>
      <c r="C2444" s="128" t="str">
        <f t="shared" si="1809"/>
        <v>N</v>
      </c>
      <c r="D2444" s="117">
        <v>2561965</v>
      </c>
      <c r="E2444" s="135">
        <f t="shared" si="1810"/>
        <v>2</v>
      </c>
      <c r="F2444" s="124">
        <v>40955</v>
      </c>
      <c r="G2444" s="125">
        <v>41012</v>
      </c>
      <c r="H2444" s="117">
        <v>2561965</v>
      </c>
      <c r="I2444" s="124">
        <v>40955</v>
      </c>
      <c r="J2444" s="124">
        <v>41012</v>
      </c>
      <c r="K2444" s="126" t="s">
        <v>564</v>
      </c>
      <c r="L2444" s="127" t="s">
        <v>564</v>
      </c>
      <c r="N2444" s="129" t="s">
        <v>566</v>
      </c>
      <c r="O2444" s="128" t="s">
        <v>917</v>
      </c>
      <c r="P2444" s="129" t="s">
        <v>589</v>
      </c>
      <c r="Q2444" s="111">
        <f t="shared" si="1796"/>
        <v>58</v>
      </c>
      <c r="R2444" s="111">
        <f t="shared" si="1780"/>
        <v>58</v>
      </c>
      <c r="S2444" s="129">
        <v>0</v>
      </c>
      <c r="T2444" s="129">
        <v>2</v>
      </c>
      <c r="W2444" s="111"/>
      <c r="AC2444" s="130"/>
      <c r="AD2444" s="130">
        <v>30613</v>
      </c>
      <c r="AE2444" s="128" t="s">
        <v>32</v>
      </c>
      <c r="AF2444" s="128" t="s">
        <v>33</v>
      </c>
      <c r="AG2444" s="128" t="s">
        <v>872</v>
      </c>
      <c r="AH2444" s="108" t="s">
        <v>31</v>
      </c>
      <c r="AI2444" s="128" t="s">
        <v>59</v>
      </c>
      <c r="AJ2444" s="129" t="s">
        <v>48</v>
      </c>
      <c r="AK2444" s="129">
        <v>4</v>
      </c>
      <c r="AL2444" s="3" t="s">
        <v>48</v>
      </c>
      <c r="AP2444" s="129" t="s">
        <v>150</v>
      </c>
      <c r="AR2444" s="128" t="s">
        <v>67</v>
      </c>
      <c r="AS2444" s="129" t="s">
        <v>74</v>
      </c>
      <c r="BC2444" s="129" t="s">
        <v>52</v>
      </c>
      <c r="BF2444" s="111">
        <f t="shared" si="1794"/>
        <v>58</v>
      </c>
      <c r="BG2444" s="111">
        <f t="shared" si="1792"/>
        <v>58</v>
      </c>
      <c r="BH2444" s="111">
        <f t="shared" si="1798"/>
        <v>58</v>
      </c>
      <c r="BI2444" s="111">
        <f t="shared" si="1799"/>
        <v>28.256830601092897</v>
      </c>
      <c r="BJ2444" s="129">
        <f t="shared" si="1811"/>
        <v>0</v>
      </c>
      <c r="BK2444" s="129">
        <f t="shared" si="1800"/>
        <v>0</v>
      </c>
      <c r="BL2444" s="129" t="str">
        <f t="shared" si="1795"/>
        <v>DEFERRED</v>
      </c>
      <c r="BM2444" s="129" t="str">
        <f t="shared" si="1801"/>
        <v>NONE</v>
      </c>
      <c r="BN2444" s="129" t="s">
        <v>566</v>
      </c>
      <c r="BP2444" s="137" t="str">
        <f t="shared" si="1802"/>
        <v>DEFERRED</v>
      </c>
      <c r="BQ2444" s="128" t="str">
        <f t="shared" si="1812"/>
        <v>Y</v>
      </c>
      <c r="BR2444" s="129" t="str">
        <f t="shared" si="1803"/>
        <v>DETAINED</v>
      </c>
      <c r="BS2444" s="129" t="str">
        <f t="shared" si="1804"/>
        <v>DISPOSED</v>
      </c>
      <c r="BT2444" s="129" t="str">
        <f t="shared" si="1805"/>
        <v>N</v>
      </c>
      <c r="BU2444" s="109">
        <f t="shared" si="1806"/>
        <v>1</v>
      </c>
      <c r="BV2444" s="109">
        <f t="shared" si="1813"/>
        <v>1</v>
      </c>
      <c r="BW2444" s="109">
        <f t="shared" si="1797"/>
        <v>0</v>
      </c>
      <c r="BX2444" s="111">
        <f t="shared" si="1807"/>
        <v>0</v>
      </c>
      <c r="BY2444" s="129">
        <f t="shared" si="1814"/>
        <v>-58</v>
      </c>
      <c r="BZ2444" s="111">
        <f t="shared" si="1815"/>
        <v>0</v>
      </c>
      <c r="CA2444" s="138">
        <f t="shared" si="1816"/>
        <v>58</v>
      </c>
      <c r="CB2444" s="111" t="e">
        <f t="shared" si="1793"/>
        <v>#VALUE!</v>
      </c>
      <c r="CC2444" s="129">
        <f>G2444-I2444+1</f>
        <v>58</v>
      </c>
      <c r="CD2444" s="129">
        <f>G2444-J2444</f>
        <v>0</v>
      </c>
      <c r="CG2444" s="129" t="str">
        <f t="shared" si="1817"/>
        <v>Y</v>
      </c>
      <c r="CI2444" s="129" t="str">
        <f t="shared" si="1818"/>
        <v>31-60 DAYS</v>
      </c>
      <c r="CJ2444" s="137">
        <f t="shared" si="1819"/>
        <v>3</v>
      </c>
      <c r="CK2444" s="129" t="str">
        <f t="shared" si="1820"/>
        <v>Booked</v>
      </c>
    </row>
    <row r="2445" spans="1:89" ht="15" customHeight="1" x14ac:dyDescent="0.25">
      <c r="A2445" s="111">
        <v>707</v>
      </c>
      <c r="B2445" s="128" t="str">
        <f t="shared" si="1808"/>
        <v>N</v>
      </c>
      <c r="C2445" s="128" t="str">
        <f t="shared" si="1809"/>
        <v>N</v>
      </c>
      <c r="D2445" s="117">
        <v>2562612</v>
      </c>
      <c r="E2445" s="135">
        <f t="shared" si="1810"/>
        <v>6</v>
      </c>
      <c r="F2445" s="124">
        <v>40936</v>
      </c>
      <c r="G2445" s="125">
        <v>41096</v>
      </c>
      <c r="H2445" s="117">
        <v>2562612</v>
      </c>
      <c r="I2445" s="124">
        <v>40937</v>
      </c>
      <c r="J2445" s="124">
        <v>41096</v>
      </c>
      <c r="K2445" s="126">
        <v>50000</v>
      </c>
      <c r="L2445" s="129" t="s">
        <v>572</v>
      </c>
      <c r="N2445" s="129" t="str">
        <f t="shared" ref="N2445:N2451" si="1821">IF(M2445&gt;1/1/1,"Y","N")</f>
        <v>N</v>
      </c>
      <c r="O2445" s="128" t="s">
        <v>917</v>
      </c>
      <c r="P2445" s="129" t="s">
        <v>39</v>
      </c>
      <c r="Q2445" s="111">
        <f t="shared" si="1796"/>
        <v>160</v>
      </c>
      <c r="R2445" s="111">
        <f t="shared" si="1780"/>
        <v>161</v>
      </c>
      <c r="S2445" s="129">
        <v>0</v>
      </c>
      <c r="T2445" s="129">
        <v>0</v>
      </c>
      <c r="W2445" s="111"/>
      <c r="AB2445" s="131" t="s">
        <v>112</v>
      </c>
      <c r="AC2445" s="130"/>
      <c r="AD2445" s="130">
        <v>34180</v>
      </c>
      <c r="AE2445" s="128" t="s">
        <v>32</v>
      </c>
      <c r="AF2445" s="128" t="s">
        <v>40</v>
      </c>
      <c r="AG2445" s="128" t="s">
        <v>41</v>
      </c>
      <c r="AH2445" s="108" t="s">
        <v>31</v>
      </c>
      <c r="AI2445" s="128" t="s">
        <v>113</v>
      </c>
      <c r="AJ2445" s="129" t="s">
        <v>89</v>
      </c>
      <c r="AK2445" s="129">
        <v>6</v>
      </c>
      <c r="AL2445" s="3" t="s">
        <v>362</v>
      </c>
      <c r="AM2445" s="117">
        <v>12</v>
      </c>
      <c r="AP2445" s="129" t="s">
        <v>105</v>
      </c>
      <c r="AR2445" s="128" t="s">
        <v>92</v>
      </c>
      <c r="AS2445" s="129" t="s">
        <v>106</v>
      </c>
      <c r="BC2445" s="129" t="s">
        <v>38</v>
      </c>
      <c r="BF2445" s="111">
        <f t="shared" si="1794"/>
        <v>160</v>
      </c>
      <c r="BG2445" s="111">
        <f t="shared" si="1792"/>
        <v>160</v>
      </c>
      <c r="BH2445" s="111">
        <f t="shared" si="1798"/>
        <v>161</v>
      </c>
      <c r="BI2445" s="111">
        <f t="shared" si="1799"/>
        <v>18.459016393442624</v>
      </c>
      <c r="BJ2445" s="129">
        <f t="shared" si="1811"/>
        <v>0</v>
      </c>
      <c r="BK2445" s="129">
        <f t="shared" si="1800"/>
        <v>0</v>
      </c>
      <c r="BL2445" s="129" t="str">
        <f t="shared" si="1795"/>
        <v>CONVICTION</v>
      </c>
      <c r="BM2445" s="129" t="str">
        <f t="shared" si="1801"/>
        <v>NONE</v>
      </c>
      <c r="BN2445" s="129" t="s">
        <v>566</v>
      </c>
      <c r="BP2445" s="137" t="str">
        <f t="shared" si="1802"/>
        <v>CONVICTION</v>
      </c>
      <c r="BQ2445" s="128" t="str">
        <f t="shared" si="1812"/>
        <v>Y</v>
      </c>
      <c r="BR2445" s="129" t="str">
        <f t="shared" si="1803"/>
        <v>DETAINED</v>
      </c>
      <c r="BS2445" s="129" t="str">
        <f t="shared" si="1804"/>
        <v>DISPOSED</v>
      </c>
      <c r="BT2445" s="129" t="str">
        <f t="shared" si="1805"/>
        <v>N</v>
      </c>
      <c r="BU2445" s="109">
        <f t="shared" si="1806"/>
        <v>0.99378881987577639</v>
      </c>
      <c r="BV2445" s="109">
        <f t="shared" si="1813"/>
        <v>1</v>
      </c>
      <c r="BW2445" s="109">
        <f t="shared" si="1797"/>
        <v>6.2111801242236142E-3</v>
      </c>
      <c r="BX2445" s="111">
        <f t="shared" si="1807"/>
        <v>0</v>
      </c>
      <c r="BY2445" s="129">
        <f t="shared" si="1814"/>
        <v>-160</v>
      </c>
      <c r="BZ2445" s="111">
        <f t="shared" si="1815"/>
        <v>0</v>
      </c>
      <c r="CA2445" s="138">
        <f t="shared" si="1816"/>
        <v>160</v>
      </c>
      <c r="CB2445" s="111" t="e">
        <f t="shared" si="1793"/>
        <v>#VALUE!</v>
      </c>
      <c r="CC2445" s="129">
        <f>G2445-I2445+1</f>
        <v>160</v>
      </c>
      <c r="CD2445" s="129">
        <f>G2445-J2445</f>
        <v>0</v>
      </c>
      <c r="CG2445" s="129" t="str">
        <f t="shared" si="1817"/>
        <v>N</v>
      </c>
      <c r="CI2445" s="129" t="str">
        <f t="shared" si="1818"/>
        <v>121-365 DAYS</v>
      </c>
      <c r="CJ2445" s="137">
        <f t="shared" si="1819"/>
        <v>6</v>
      </c>
      <c r="CK2445" s="129" t="str">
        <f t="shared" si="1820"/>
        <v>Booked</v>
      </c>
    </row>
    <row r="2446" spans="1:89" ht="15.75" customHeight="1" x14ac:dyDescent="0.25">
      <c r="A2446" s="111">
        <v>2151</v>
      </c>
      <c r="B2446" s="128" t="str">
        <f t="shared" si="1808"/>
        <v>N</v>
      </c>
      <c r="C2446" s="128" t="str">
        <f t="shared" si="1809"/>
        <v>N</v>
      </c>
      <c r="D2446" s="117">
        <v>2562897</v>
      </c>
      <c r="E2446" s="135">
        <f t="shared" si="1810"/>
        <v>2</v>
      </c>
      <c r="F2446" s="124">
        <v>40989</v>
      </c>
      <c r="G2446" s="125">
        <v>41009</v>
      </c>
      <c r="H2446" s="117">
        <v>2562897</v>
      </c>
      <c r="I2446" s="124">
        <v>40991</v>
      </c>
      <c r="J2446" s="124">
        <v>40993</v>
      </c>
      <c r="K2446" s="126">
        <v>2000</v>
      </c>
      <c r="L2446" s="127" t="s">
        <v>568</v>
      </c>
      <c r="M2446" s="125">
        <v>40993</v>
      </c>
      <c r="N2446" s="129" t="str">
        <f t="shared" si="1821"/>
        <v>Y</v>
      </c>
      <c r="O2446" s="128" t="s">
        <v>76</v>
      </c>
      <c r="P2446" s="129" t="s">
        <v>589</v>
      </c>
      <c r="Q2446" s="111">
        <f t="shared" si="1796"/>
        <v>3</v>
      </c>
      <c r="R2446" s="111">
        <f t="shared" si="1780"/>
        <v>21</v>
      </c>
      <c r="S2446" s="129">
        <v>0</v>
      </c>
      <c r="T2446" s="129">
        <v>2</v>
      </c>
      <c r="W2446" s="111"/>
      <c r="AB2446" s="131" t="s">
        <v>112</v>
      </c>
      <c r="AC2446" s="130"/>
      <c r="AD2446" s="130">
        <v>33347</v>
      </c>
      <c r="AE2446" s="128" t="s">
        <v>32</v>
      </c>
      <c r="AF2446" s="128" t="s">
        <v>40</v>
      </c>
      <c r="AG2446" s="128" t="s">
        <v>41</v>
      </c>
      <c r="AH2446" s="108" t="s">
        <v>31</v>
      </c>
      <c r="AI2446" s="128" t="s">
        <v>114</v>
      </c>
      <c r="AJ2446" s="129" t="s">
        <v>48</v>
      </c>
      <c r="AK2446" s="129">
        <v>3</v>
      </c>
      <c r="AL2446" s="3" t="s">
        <v>48</v>
      </c>
      <c r="AP2446" s="129" t="s">
        <v>108</v>
      </c>
      <c r="AR2446" s="128" t="s">
        <v>44</v>
      </c>
      <c r="AS2446" s="129" t="s">
        <v>61</v>
      </c>
      <c r="AT2446" s="129" t="s">
        <v>407</v>
      </c>
      <c r="BC2446" s="129" t="s">
        <v>38</v>
      </c>
      <c r="BF2446" s="111">
        <f t="shared" si="1794"/>
        <v>3</v>
      </c>
      <c r="BG2446" s="111">
        <f t="shared" si="1792"/>
        <v>19</v>
      </c>
      <c r="BH2446" s="111">
        <f t="shared" si="1798"/>
        <v>21</v>
      </c>
      <c r="BI2446" s="111">
        <f t="shared" si="1799"/>
        <v>20.879781420765028</v>
      </c>
      <c r="BJ2446" s="129">
        <f>(G2446-J2446)+(M2446-G2446)</f>
        <v>0</v>
      </c>
      <c r="BK2446" s="129">
        <f t="shared" si="1800"/>
        <v>-16</v>
      </c>
      <c r="BL2446" s="129" t="str">
        <f t="shared" si="1795"/>
        <v>DEFERRED</v>
      </c>
      <c r="BM2446" s="129" t="s">
        <v>76</v>
      </c>
      <c r="BN2446" s="129" t="s">
        <v>88</v>
      </c>
      <c r="BP2446" s="137" t="str">
        <f t="shared" si="1802"/>
        <v>DEFERRED</v>
      </c>
      <c r="BQ2446" s="128" t="str">
        <f t="shared" si="1812"/>
        <v>Y</v>
      </c>
      <c r="BR2446" s="129" t="str">
        <f t="shared" si="1803"/>
        <v>ON BOND</v>
      </c>
      <c r="BS2446" s="129" t="str">
        <f t="shared" si="1804"/>
        <v>DISPOSED</v>
      </c>
      <c r="BT2446" s="129" t="str">
        <f t="shared" si="1805"/>
        <v>N</v>
      </c>
      <c r="BU2446" s="109">
        <f t="shared" si="1806"/>
        <v>0.14285714285714285</v>
      </c>
      <c r="BV2446" s="109">
        <f t="shared" si="1813"/>
        <v>0.15789473684210525</v>
      </c>
      <c r="BW2446" s="109">
        <f t="shared" si="1797"/>
        <v>1.5037593984962405E-2</v>
      </c>
      <c r="BX2446" s="111">
        <f t="shared" si="1807"/>
        <v>0</v>
      </c>
      <c r="BY2446" s="129">
        <f t="shared" si="1814"/>
        <v>-3</v>
      </c>
      <c r="BZ2446" s="111">
        <f t="shared" si="1815"/>
        <v>0</v>
      </c>
      <c r="CA2446" s="138">
        <f t="shared" si="1816"/>
        <v>3</v>
      </c>
      <c r="CB2446" s="111" t="e">
        <f t="shared" si="1793"/>
        <v>#VALUE!</v>
      </c>
      <c r="CC2446" s="129">
        <f>M2446-I2446+1</f>
        <v>3</v>
      </c>
      <c r="CD2446" s="111">
        <f>CC2446-BF2446</f>
        <v>0</v>
      </c>
      <c r="CG2446" s="129" t="str">
        <f t="shared" si="1817"/>
        <v>Y</v>
      </c>
      <c r="CI2446" s="129" t="str">
        <f t="shared" si="1818"/>
        <v>0-10 DAYS</v>
      </c>
      <c r="CJ2446" s="137">
        <f t="shared" si="1819"/>
        <v>1</v>
      </c>
      <c r="CK2446" s="129" t="str">
        <f t="shared" si="1820"/>
        <v>Booked</v>
      </c>
    </row>
    <row r="2447" spans="1:89" ht="15" customHeight="1" x14ac:dyDescent="0.25">
      <c r="A2447" s="111">
        <v>516</v>
      </c>
      <c r="B2447" s="128" t="str">
        <f t="shared" si="1808"/>
        <v>N</v>
      </c>
      <c r="C2447" s="128" t="str">
        <f t="shared" si="1809"/>
        <v>N</v>
      </c>
      <c r="D2447" s="117">
        <v>2563275</v>
      </c>
      <c r="E2447" s="135">
        <f t="shared" si="1810"/>
        <v>1</v>
      </c>
      <c r="F2447" s="124">
        <v>40929</v>
      </c>
      <c r="G2447" s="125">
        <v>41003</v>
      </c>
      <c r="H2447" s="117">
        <v>2563275</v>
      </c>
      <c r="I2447" s="124">
        <v>40929</v>
      </c>
      <c r="J2447" s="124">
        <v>40930</v>
      </c>
      <c r="K2447" s="126">
        <v>2000</v>
      </c>
      <c r="L2447" s="127" t="s">
        <v>568</v>
      </c>
      <c r="M2447" s="125">
        <v>40930</v>
      </c>
      <c r="N2447" s="129" t="str">
        <f t="shared" si="1821"/>
        <v>Y</v>
      </c>
      <c r="O2447" s="128" t="s">
        <v>76</v>
      </c>
      <c r="P2447" s="129" t="s">
        <v>55</v>
      </c>
      <c r="Q2447" s="111">
        <f t="shared" si="1796"/>
        <v>2</v>
      </c>
      <c r="R2447" s="111">
        <f t="shared" si="1780"/>
        <v>75</v>
      </c>
      <c r="S2447" s="129">
        <v>0</v>
      </c>
      <c r="T2447" s="129">
        <v>0</v>
      </c>
      <c r="W2447" s="111"/>
      <c r="AC2447" s="130"/>
      <c r="AD2447" s="130">
        <v>34292</v>
      </c>
      <c r="AE2447" s="128" t="s">
        <v>32</v>
      </c>
      <c r="AF2447" s="128" t="s">
        <v>69</v>
      </c>
      <c r="AG2447" s="128" t="s">
        <v>874</v>
      </c>
      <c r="AH2447" s="108" t="s">
        <v>31</v>
      </c>
      <c r="AI2447" s="128" t="s">
        <v>83</v>
      </c>
      <c r="AJ2447" s="129" t="s">
        <v>55</v>
      </c>
      <c r="AK2447" s="129">
        <v>5</v>
      </c>
      <c r="AL2447" s="3" t="s">
        <v>55</v>
      </c>
      <c r="AP2447" s="129" t="s">
        <v>137</v>
      </c>
      <c r="AR2447" s="128" t="s">
        <v>67</v>
      </c>
      <c r="AS2447" s="129" t="s">
        <v>64</v>
      </c>
      <c r="AT2447" s="129" t="s">
        <v>219</v>
      </c>
      <c r="BC2447" s="129" t="s">
        <v>52</v>
      </c>
      <c r="BF2447" s="111">
        <f t="shared" si="1794"/>
        <v>2</v>
      </c>
      <c r="BG2447" s="111">
        <f t="shared" si="1792"/>
        <v>75</v>
      </c>
      <c r="BH2447" s="111">
        <f t="shared" si="1798"/>
        <v>75</v>
      </c>
      <c r="BI2447" s="111">
        <f t="shared" si="1799"/>
        <v>18.133879781420767</v>
      </c>
      <c r="BJ2447" s="129">
        <f>(G2447-J2447)+(M2447-G2447)</f>
        <v>0</v>
      </c>
      <c r="BK2447" s="129">
        <f t="shared" si="1800"/>
        <v>-73</v>
      </c>
      <c r="BL2447" s="129" t="str">
        <f t="shared" si="1795"/>
        <v>NO CONVICTION</v>
      </c>
      <c r="BM2447" s="129" t="s">
        <v>76</v>
      </c>
      <c r="BN2447" s="129" t="s">
        <v>88</v>
      </c>
      <c r="BP2447" s="137" t="str">
        <f t="shared" si="1802"/>
        <v>NO CONVICTION</v>
      </c>
      <c r="BQ2447" s="128" t="str">
        <f t="shared" si="1812"/>
        <v>Y</v>
      </c>
      <c r="BR2447" s="129" t="str">
        <f t="shared" si="1803"/>
        <v>ON BOND</v>
      </c>
      <c r="BS2447" s="129" t="str">
        <f t="shared" si="1804"/>
        <v>DISPOSED</v>
      </c>
      <c r="BT2447" s="129" t="str">
        <f t="shared" si="1805"/>
        <v>N</v>
      </c>
      <c r="BU2447" s="109">
        <f>IFERROR(Q2447/R2447,BR2447)</f>
        <v>2.6666666666666668E-2</v>
      </c>
      <c r="BV2447" s="109">
        <f t="shared" si="1813"/>
        <v>2.6666666666666668E-2</v>
      </c>
      <c r="BW2447" s="109">
        <f t="shared" si="1797"/>
        <v>0</v>
      </c>
      <c r="BX2447" s="111">
        <f t="shared" si="1807"/>
        <v>0</v>
      </c>
      <c r="BY2447" s="129">
        <f t="shared" si="1814"/>
        <v>-2</v>
      </c>
      <c r="BZ2447" s="111">
        <f t="shared" si="1815"/>
        <v>0</v>
      </c>
      <c r="CA2447" s="138">
        <f t="shared" si="1816"/>
        <v>2</v>
      </c>
      <c r="CB2447" s="111" t="e">
        <f t="shared" si="1793"/>
        <v>#VALUE!</v>
      </c>
      <c r="CC2447" s="129">
        <f>M2447-I2447+1</f>
        <v>2</v>
      </c>
      <c r="CD2447" s="111">
        <f>CC2447-BF2447</f>
        <v>0</v>
      </c>
      <c r="CG2447" s="129" t="str">
        <f t="shared" si="1817"/>
        <v>N</v>
      </c>
      <c r="CI2447" s="129" t="str">
        <f t="shared" si="1818"/>
        <v>0-10 DAYS</v>
      </c>
      <c r="CJ2447" s="137">
        <f t="shared" si="1819"/>
        <v>1</v>
      </c>
      <c r="CK2447" s="129" t="str">
        <f t="shared" si="1820"/>
        <v>Booked</v>
      </c>
    </row>
    <row r="2448" spans="1:89" ht="15" customHeight="1" x14ac:dyDescent="0.25">
      <c r="A2448" s="111">
        <v>2509</v>
      </c>
      <c r="B2448" s="128" t="str">
        <f t="shared" si="1808"/>
        <v>N</v>
      </c>
      <c r="C2448" s="128" t="str">
        <f t="shared" si="1809"/>
        <v>N</v>
      </c>
      <c r="D2448" s="117">
        <v>2563389</v>
      </c>
      <c r="E2448" s="135">
        <f t="shared" si="1810"/>
        <v>4</v>
      </c>
      <c r="F2448" s="124">
        <v>41003</v>
      </c>
      <c r="G2448" s="125">
        <v>41403</v>
      </c>
      <c r="H2448" s="117">
        <v>2563389</v>
      </c>
      <c r="I2448" s="124">
        <v>41004</v>
      </c>
      <c r="J2448" s="124">
        <v>41088</v>
      </c>
      <c r="K2448" s="126">
        <v>30000</v>
      </c>
      <c r="L2448" s="129" t="s">
        <v>572</v>
      </c>
      <c r="M2448" s="125">
        <v>41088</v>
      </c>
      <c r="N2448" s="129" t="str">
        <f t="shared" si="1821"/>
        <v>Y</v>
      </c>
      <c r="O2448" s="128" t="s">
        <v>76</v>
      </c>
      <c r="P2448" s="129" t="s">
        <v>39</v>
      </c>
      <c r="Q2448" s="111">
        <f t="shared" si="1796"/>
        <v>85</v>
      </c>
      <c r="R2448" s="111">
        <f t="shared" si="1780"/>
        <v>401</v>
      </c>
      <c r="S2448" s="129">
        <v>0</v>
      </c>
      <c r="T2448" s="129">
        <v>1</v>
      </c>
      <c r="W2448" s="111"/>
      <c r="AC2448" s="130"/>
      <c r="AD2448" s="130">
        <v>33855</v>
      </c>
      <c r="AE2448" s="128" t="s">
        <v>46</v>
      </c>
      <c r="AF2448" s="128" t="s">
        <v>69</v>
      </c>
      <c r="AG2448" s="128" t="s">
        <v>874</v>
      </c>
      <c r="AH2448" s="108" t="s">
        <v>31</v>
      </c>
      <c r="AI2448" s="128" t="s">
        <v>65</v>
      </c>
      <c r="AJ2448" s="129" t="s">
        <v>89</v>
      </c>
      <c r="AK2448" s="129">
        <v>11</v>
      </c>
      <c r="AL2448" s="3" t="s">
        <v>991</v>
      </c>
      <c r="AO2448" s="128">
        <v>120</v>
      </c>
      <c r="AP2448" s="129" t="s">
        <v>105</v>
      </c>
      <c r="AR2448" s="128" t="s">
        <v>92</v>
      </c>
      <c r="AS2448" s="129" t="s">
        <v>106</v>
      </c>
      <c r="BC2448" s="129" t="s">
        <v>52</v>
      </c>
      <c r="BF2448" s="111">
        <f t="shared" si="1794"/>
        <v>85</v>
      </c>
      <c r="BG2448" s="111">
        <f t="shared" si="1792"/>
        <v>400</v>
      </c>
      <c r="BH2448" s="111">
        <f t="shared" si="1798"/>
        <v>401</v>
      </c>
      <c r="BI2448" s="111">
        <f t="shared" si="1799"/>
        <v>19.530054644808743</v>
      </c>
      <c r="BJ2448" s="129">
        <f>(G2448-J2448)+(M2448-G2448)</f>
        <v>0</v>
      </c>
      <c r="BK2448" s="129">
        <f t="shared" si="1800"/>
        <v>-315</v>
      </c>
      <c r="BL2448" s="129" t="str">
        <f t="shared" si="1795"/>
        <v>CONVICTION</v>
      </c>
      <c r="BM2448" s="129" t="s">
        <v>76</v>
      </c>
      <c r="BN2448" s="129" t="s">
        <v>88</v>
      </c>
      <c r="BP2448" s="137" t="str">
        <f t="shared" si="1802"/>
        <v>CONVICTION</v>
      </c>
      <c r="BQ2448" s="128" t="str">
        <f t="shared" si="1812"/>
        <v>Y</v>
      </c>
      <c r="BR2448" s="129" t="str">
        <f>IF(J2448&lt;G2448,"ON BOND",0)</f>
        <v>ON BOND</v>
      </c>
      <c r="BS2448" s="129" t="str">
        <f t="shared" si="1804"/>
        <v>DISPOSED</v>
      </c>
      <c r="BT2448" s="129" t="str">
        <f t="shared" si="1805"/>
        <v>N</v>
      </c>
      <c r="BU2448" s="109">
        <f t="shared" si="1806"/>
        <v>0.21197007481296759</v>
      </c>
      <c r="BV2448" s="109">
        <f t="shared" si="1813"/>
        <v>0.21249999999999999</v>
      </c>
      <c r="BW2448" s="109">
        <f t="shared" si="1797"/>
        <v>5.2992518703240399E-4</v>
      </c>
      <c r="BX2448" s="111">
        <f t="shared" si="1807"/>
        <v>0</v>
      </c>
      <c r="BY2448" s="129">
        <f t="shared" si="1814"/>
        <v>-85</v>
      </c>
      <c r="BZ2448" s="111">
        <f t="shared" si="1815"/>
        <v>0</v>
      </c>
      <c r="CA2448" s="138">
        <f t="shared" si="1816"/>
        <v>85</v>
      </c>
      <c r="CB2448" s="111" t="e">
        <f t="shared" si="1793"/>
        <v>#VALUE!</v>
      </c>
      <c r="CC2448" s="129">
        <f>M2448-I2448+1</f>
        <v>85</v>
      </c>
      <c r="CD2448" s="111">
        <f>CC2448-BF2448</f>
        <v>0</v>
      </c>
      <c r="CG2448" s="129" t="str">
        <f t="shared" si="1817"/>
        <v>Y</v>
      </c>
      <c r="CI2448" s="129" t="str">
        <f t="shared" si="1818"/>
        <v>61-90 DAYS</v>
      </c>
      <c r="CJ2448" s="137">
        <f t="shared" si="1819"/>
        <v>4</v>
      </c>
      <c r="CK2448" s="129" t="str">
        <f t="shared" si="1820"/>
        <v>Booked</v>
      </c>
    </row>
    <row r="2449" spans="1:89" ht="15.75" customHeight="1" x14ac:dyDescent="0.25">
      <c r="A2449" s="111">
        <v>2153</v>
      </c>
      <c r="B2449" s="128" t="str">
        <f t="shared" si="1808"/>
        <v>N</v>
      </c>
      <c r="C2449" s="128" t="str">
        <f t="shared" si="1809"/>
        <v>N</v>
      </c>
      <c r="D2449" s="117">
        <v>2563537</v>
      </c>
      <c r="E2449" s="135">
        <f t="shared" si="1810"/>
        <v>5</v>
      </c>
      <c r="F2449" s="124">
        <v>40989</v>
      </c>
      <c r="G2449" s="125">
        <v>41045</v>
      </c>
      <c r="H2449" s="117">
        <v>2563537</v>
      </c>
      <c r="I2449" s="124">
        <v>40990</v>
      </c>
      <c r="J2449" s="124">
        <v>41045</v>
      </c>
      <c r="K2449" s="126">
        <v>2000</v>
      </c>
      <c r="L2449" s="127" t="s">
        <v>568</v>
      </c>
      <c r="N2449" s="129" t="str">
        <f t="shared" si="1821"/>
        <v>N</v>
      </c>
      <c r="O2449" s="128" t="s">
        <v>917</v>
      </c>
      <c r="P2449" s="129" t="s">
        <v>39</v>
      </c>
      <c r="Q2449" s="111">
        <f t="shared" si="1796"/>
        <v>56</v>
      </c>
      <c r="R2449" s="111">
        <f t="shared" ref="R2449:R2491" si="1822">BH2449</f>
        <v>57</v>
      </c>
      <c r="S2449" s="129">
        <v>0</v>
      </c>
      <c r="T2449" s="129">
        <v>0</v>
      </c>
      <c r="W2449" s="111"/>
      <c r="AC2449" s="130"/>
      <c r="AD2449" s="130">
        <v>34214</v>
      </c>
      <c r="AE2449" s="128" t="s">
        <v>32</v>
      </c>
      <c r="AF2449" s="128" t="s">
        <v>33</v>
      </c>
      <c r="AG2449" s="128" t="s">
        <v>872</v>
      </c>
      <c r="AH2449" s="108" t="s">
        <v>31</v>
      </c>
      <c r="AI2449" s="128" t="s">
        <v>141</v>
      </c>
      <c r="AJ2449" s="129" t="s">
        <v>89</v>
      </c>
      <c r="AK2449" s="129">
        <v>4</v>
      </c>
      <c r="AL2449" s="3" t="s">
        <v>992</v>
      </c>
      <c r="AN2449" s="117">
        <v>12</v>
      </c>
      <c r="AP2449" s="129" t="s">
        <v>121</v>
      </c>
      <c r="AR2449" s="128" t="s">
        <v>44</v>
      </c>
      <c r="AS2449" s="129" t="s">
        <v>122</v>
      </c>
      <c r="BC2449" s="129" t="s">
        <v>38</v>
      </c>
      <c r="BF2449" s="111">
        <f t="shared" si="1794"/>
        <v>56</v>
      </c>
      <c r="BG2449" s="111">
        <f t="shared" si="1792"/>
        <v>56</v>
      </c>
      <c r="BH2449" s="111">
        <f t="shared" si="1798"/>
        <v>57</v>
      </c>
      <c r="BI2449" s="111">
        <f t="shared" si="1799"/>
        <v>18.510928961748633</v>
      </c>
      <c r="BJ2449" s="129">
        <f t="shared" si="1811"/>
        <v>0</v>
      </c>
      <c r="BK2449" s="129">
        <f t="shared" si="1800"/>
        <v>0</v>
      </c>
      <c r="BL2449" s="129" t="str">
        <f t="shared" si="1795"/>
        <v>CONVICTION</v>
      </c>
      <c r="BM2449" s="129" t="str">
        <f t="shared" si="1801"/>
        <v>NONE</v>
      </c>
      <c r="BN2449" s="129" t="s">
        <v>566</v>
      </c>
      <c r="BP2449" s="137" t="str">
        <f t="shared" si="1802"/>
        <v>CONVICTION</v>
      </c>
      <c r="BQ2449" s="128" t="str">
        <f t="shared" si="1812"/>
        <v>Y</v>
      </c>
      <c r="BR2449" s="129" t="str">
        <f t="shared" si="1803"/>
        <v>DETAINED</v>
      </c>
      <c r="BS2449" s="129" t="str">
        <f t="shared" si="1804"/>
        <v>DISPOSED</v>
      </c>
      <c r="BT2449" s="129" t="str">
        <f t="shared" si="1805"/>
        <v>N</v>
      </c>
      <c r="BU2449" s="109">
        <f t="shared" si="1806"/>
        <v>0.98245614035087714</v>
      </c>
      <c r="BV2449" s="109">
        <f t="shared" si="1813"/>
        <v>1</v>
      </c>
      <c r="BW2449" s="109">
        <f t="shared" si="1797"/>
        <v>1.7543859649122862E-2</v>
      </c>
      <c r="BX2449" s="111">
        <f t="shared" si="1807"/>
        <v>0</v>
      </c>
      <c r="BY2449" s="129">
        <f t="shared" si="1814"/>
        <v>-56</v>
      </c>
      <c r="BZ2449" s="111">
        <f t="shared" si="1815"/>
        <v>0</v>
      </c>
      <c r="CA2449" s="138">
        <f t="shared" si="1816"/>
        <v>56</v>
      </c>
      <c r="CB2449" s="111" t="e">
        <f t="shared" si="1793"/>
        <v>#VALUE!</v>
      </c>
      <c r="CC2449" s="129">
        <f>G2449-I2449+1</f>
        <v>56</v>
      </c>
      <c r="CD2449" s="129">
        <f>G2449-J2449</f>
        <v>0</v>
      </c>
      <c r="CG2449" s="129" t="str">
        <f t="shared" si="1817"/>
        <v>N</v>
      </c>
      <c r="CI2449" s="129" t="str">
        <f t="shared" si="1818"/>
        <v>31-60 DAYS</v>
      </c>
      <c r="CJ2449" s="137">
        <f t="shared" si="1819"/>
        <v>3</v>
      </c>
      <c r="CK2449" s="129" t="str">
        <f t="shared" si="1820"/>
        <v>Booked</v>
      </c>
    </row>
    <row r="2450" spans="1:89" ht="15.75" customHeight="1" x14ac:dyDescent="0.25">
      <c r="A2450" s="111">
        <v>359</v>
      </c>
      <c r="B2450" s="128" t="str">
        <f t="shared" si="1808"/>
        <v>N</v>
      </c>
      <c r="C2450" s="128" t="str">
        <f t="shared" si="1809"/>
        <v>N</v>
      </c>
      <c r="D2450" s="117">
        <v>2563540</v>
      </c>
      <c r="E2450" s="135">
        <f t="shared" si="1810"/>
        <v>6</v>
      </c>
      <c r="F2450" s="124">
        <v>40923</v>
      </c>
      <c r="G2450" s="125">
        <v>41019</v>
      </c>
      <c r="H2450" s="117">
        <v>2563540</v>
      </c>
      <c r="I2450" s="124">
        <v>40924</v>
      </c>
      <c r="J2450" s="124">
        <v>41019</v>
      </c>
      <c r="K2450" s="126">
        <v>35000</v>
      </c>
      <c r="L2450" s="129" t="s">
        <v>572</v>
      </c>
      <c r="N2450" s="129" t="str">
        <f t="shared" si="1821"/>
        <v>N</v>
      </c>
      <c r="O2450" s="128" t="s">
        <v>917</v>
      </c>
      <c r="P2450" s="129" t="s">
        <v>39</v>
      </c>
      <c r="Q2450" s="111">
        <f t="shared" si="1796"/>
        <v>96</v>
      </c>
      <c r="R2450" s="111">
        <f t="shared" si="1822"/>
        <v>97</v>
      </c>
      <c r="S2450" s="129">
        <v>0</v>
      </c>
      <c r="T2450" s="129">
        <v>1</v>
      </c>
      <c r="W2450" s="111"/>
      <c r="AB2450" s="131" t="s">
        <v>112</v>
      </c>
      <c r="AC2450" s="130"/>
      <c r="AD2450" s="130">
        <v>30891</v>
      </c>
      <c r="AE2450" s="128" t="s">
        <v>32</v>
      </c>
      <c r="AF2450" s="128" t="s">
        <v>40</v>
      </c>
      <c r="AG2450" s="128" t="s">
        <v>41</v>
      </c>
      <c r="AH2450" s="108" t="s">
        <v>31</v>
      </c>
      <c r="AI2450" s="128" t="s">
        <v>42</v>
      </c>
      <c r="AJ2450" s="129" t="s">
        <v>89</v>
      </c>
      <c r="AK2450" s="129">
        <v>6</v>
      </c>
      <c r="AL2450" s="3" t="s">
        <v>362</v>
      </c>
      <c r="AM2450" s="117">
        <v>1</v>
      </c>
      <c r="AP2450" s="129" t="s">
        <v>198</v>
      </c>
      <c r="AR2450" s="128" t="s">
        <v>46</v>
      </c>
      <c r="AS2450" s="129" t="s">
        <v>45</v>
      </c>
      <c r="BC2450" s="129" t="s">
        <v>52</v>
      </c>
      <c r="BF2450" s="111">
        <f t="shared" si="1794"/>
        <v>96</v>
      </c>
      <c r="BG2450" s="111">
        <f t="shared" si="1792"/>
        <v>96</v>
      </c>
      <c r="BH2450" s="111">
        <f t="shared" si="1798"/>
        <v>97</v>
      </c>
      <c r="BI2450" s="111">
        <f t="shared" si="1799"/>
        <v>27.409836065573771</v>
      </c>
      <c r="BJ2450" s="129">
        <f t="shared" si="1811"/>
        <v>0</v>
      </c>
      <c r="BK2450" s="129">
        <f t="shared" si="1800"/>
        <v>0</v>
      </c>
      <c r="BL2450" s="129" t="str">
        <f t="shared" si="1795"/>
        <v>CONVICTION</v>
      </c>
      <c r="BM2450" s="129" t="str">
        <f t="shared" si="1801"/>
        <v>NONE</v>
      </c>
      <c r="BN2450" s="129" t="s">
        <v>566</v>
      </c>
      <c r="BP2450" s="137" t="str">
        <f t="shared" si="1802"/>
        <v>CONVICTION</v>
      </c>
      <c r="BQ2450" s="128" t="str">
        <f t="shared" si="1812"/>
        <v>Y</v>
      </c>
      <c r="BR2450" s="129" t="str">
        <f t="shared" si="1803"/>
        <v>DETAINED</v>
      </c>
      <c r="BS2450" s="129" t="str">
        <f t="shared" si="1804"/>
        <v>DISPOSED</v>
      </c>
      <c r="BT2450" s="129" t="str">
        <f t="shared" si="1805"/>
        <v>N</v>
      </c>
      <c r="BU2450" s="109">
        <f t="shared" si="1806"/>
        <v>0.98969072164948457</v>
      </c>
      <c r="BV2450" s="109">
        <f t="shared" si="1813"/>
        <v>1</v>
      </c>
      <c r="BW2450" s="109">
        <f t="shared" si="1797"/>
        <v>1.0309278350515427E-2</v>
      </c>
      <c r="BX2450" s="111">
        <f t="shared" si="1807"/>
        <v>0</v>
      </c>
      <c r="BY2450" s="129">
        <f t="shared" si="1814"/>
        <v>-96</v>
      </c>
      <c r="BZ2450" s="111">
        <f t="shared" si="1815"/>
        <v>0</v>
      </c>
      <c r="CA2450" s="138">
        <f t="shared" si="1816"/>
        <v>96</v>
      </c>
      <c r="CB2450" s="111" t="e">
        <f t="shared" si="1793"/>
        <v>#VALUE!</v>
      </c>
      <c r="CC2450" s="129">
        <f>G2450-I2450+1</f>
        <v>96</v>
      </c>
      <c r="CD2450" s="129">
        <f>G2450-J2450</f>
        <v>0</v>
      </c>
      <c r="CG2450" s="129" t="str">
        <f t="shared" si="1817"/>
        <v>Y</v>
      </c>
      <c r="CI2450" s="129" t="str">
        <f t="shared" si="1818"/>
        <v>91-120 DAYS</v>
      </c>
      <c r="CJ2450" s="137">
        <f t="shared" si="1819"/>
        <v>0</v>
      </c>
      <c r="CK2450" s="129" t="str">
        <f t="shared" si="1820"/>
        <v>Booked</v>
      </c>
    </row>
    <row r="2451" spans="1:89" ht="15.75" customHeight="1" x14ac:dyDescent="0.25">
      <c r="A2451" s="111">
        <v>188</v>
      </c>
      <c r="B2451" s="128" t="str">
        <f t="shared" si="1808"/>
        <v>N</v>
      </c>
      <c r="C2451" s="128" t="str">
        <f t="shared" si="1809"/>
        <v>N</v>
      </c>
      <c r="D2451" s="117">
        <v>2563977</v>
      </c>
      <c r="E2451" s="135">
        <f t="shared" si="1810"/>
        <v>4</v>
      </c>
      <c r="F2451" s="124">
        <v>40917</v>
      </c>
      <c r="G2451" s="125">
        <v>41072</v>
      </c>
      <c r="H2451" s="117">
        <v>2563977</v>
      </c>
      <c r="I2451" s="124">
        <v>40917</v>
      </c>
      <c r="J2451" s="124">
        <v>40918</v>
      </c>
      <c r="K2451" s="126">
        <v>5000</v>
      </c>
      <c r="L2451" s="127" t="s">
        <v>569</v>
      </c>
      <c r="M2451" s="125">
        <v>40918</v>
      </c>
      <c r="N2451" s="129" t="str">
        <f t="shared" si="1821"/>
        <v>Y</v>
      </c>
      <c r="O2451" s="128" t="s">
        <v>76</v>
      </c>
      <c r="P2451" s="129" t="s">
        <v>39</v>
      </c>
      <c r="Q2451" s="111">
        <f t="shared" si="1796"/>
        <v>2</v>
      </c>
      <c r="R2451" s="111">
        <f t="shared" si="1822"/>
        <v>156</v>
      </c>
      <c r="S2451" s="129">
        <v>0</v>
      </c>
      <c r="T2451" s="129">
        <v>1</v>
      </c>
      <c r="W2451" s="111"/>
      <c r="AB2451" s="131" t="s">
        <v>112</v>
      </c>
      <c r="AC2451" s="130"/>
      <c r="AD2451" s="130">
        <v>27027</v>
      </c>
      <c r="AE2451" s="128" t="s">
        <v>46</v>
      </c>
      <c r="AF2451" s="128" t="s">
        <v>40</v>
      </c>
      <c r="AG2451" s="128" t="s">
        <v>41</v>
      </c>
      <c r="AH2451" s="108" t="s">
        <v>31</v>
      </c>
      <c r="AI2451" s="128" t="s">
        <v>100</v>
      </c>
      <c r="AJ2451" s="129" t="s">
        <v>89</v>
      </c>
      <c r="AK2451" s="129">
        <v>8</v>
      </c>
      <c r="AL2451" s="3" t="s">
        <v>991</v>
      </c>
      <c r="AO2451" s="128">
        <v>30</v>
      </c>
      <c r="AP2451" s="129" t="s">
        <v>43</v>
      </c>
      <c r="AR2451" s="128" t="s">
        <v>44</v>
      </c>
      <c r="AS2451" s="129" t="s">
        <v>45</v>
      </c>
      <c r="BC2451" s="129" t="s">
        <v>52</v>
      </c>
      <c r="BF2451" s="111">
        <f t="shared" si="1794"/>
        <v>2</v>
      </c>
      <c r="BG2451" s="111">
        <f t="shared" si="1792"/>
        <v>156</v>
      </c>
      <c r="BH2451" s="111">
        <f t="shared" si="1798"/>
        <v>156</v>
      </c>
      <c r="BI2451" s="111">
        <f t="shared" si="1799"/>
        <v>37.950819672131146</v>
      </c>
      <c r="BJ2451" s="129">
        <f>(G2451-J2451)+(M2451-G2451)</f>
        <v>0</v>
      </c>
      <c r="BK2451" s="129">
        <f t="shared" si="1800"/>
        <v>-154</v>
      </c>
      <c r="BL2451" s="129" t="str">
        <f t="shared" si="1795"/>
        <v>CONVICTION</v>
      </c>
      <c r="BM2451" s="129" t="s">
        <v>76</v>
      </c>
      <c r="BN2451" s="129" t="s">
        <v>88</v>
      </c>
      <c r="BP2451" s="137" t="str">
        <f t="shared" si="1802"/>
        <v>CONVICTION</v>
      </c>
      <c r="BQ2451" s="128" t="str">
        <f t="shared" si="1812"/>
        <v>Y</v>
      </c>
      <c r="BR2451" s="129" t="str">
        <f>IF(J2451&lt;G2451,"ON BOND",0)</f>
        <v>ON BOND</v>
      </c>
      <c r="BS2451" s="129" t="str">
        <f t="shared" si="1804"/>
        <v>DISPOSED</v>
      </c>
      <c r="BT2451" s="129" t="str">
        <f t="shared" si="1805"/>
        <v>N</v>
      </c>
      <c r="BU2451" s="109">
        <f t="shared" si="1806"/>
        <v>1.282051282051282E-2</v>
      </c>
      <c r="BV2451" s="109">
        <f t="shared" si="1813"/>
        <v>1.282051282051282E-2</v>
      </c>
      <c r="BW2451" s="109">
        <f t="shared" si="1797"/>
        <v>0</v>
      </c>
      <c r="BX2451" s="111">
        <f t="shared" si="1807"/>
        <v>0</v>
      </c>
      <c r="BY2451" s="129">
        <f t="shared" si="1814"/>
        <v>-2</v>
      </c>
      <c r="BZ2451" s="111">
        <f t="shared" si="1815"/>
        <v>0</v>
      </c>
      <c r="CA2451" s="138">
        <f t="shared" si="1816"/>
        <v>2</v>
      </c>
      <c r="CB2451" s="111" t="e">
        <f t="shared" si="1793"/>
        <v>#VALUE!</v>
      </c>
      <c r="CC2451" s="129">
        <f>M2451-I2451+1</f>
        <v>2</v>
      </c>
      <c r="CD2451" s="111">
        <f>CC2451-BF2451</f>
        <v>0</v>
      </c>
      <c r="CG2451" s="129" t="str">
        <f t="shared" si="1817"/>
        <v>Y</v>
      </c>
      <c r="CI2451" s="129" t="str">
        <f t="shared" si="1818"/>
        <v>0-10 DAYS</v>
      </c>
      <c r="CJ2451" s="137">
        <f t="shared" si="1819"/>
        <v>1</v>
      </c>
      <c r="CK2451" s="129" t="str">
        <f t="shared" si="1820"/>
        <v>Booked</v>
      </c>
    </row>
    <row r="2452" spans="1:89" ht="15.75" customHeight="1" x14ac:dyDescent="0.25">
      <c r="A2452" s="111">
        <v>251</v>
      </c>
      <c r="B2452" s="128" t="str">
        <f t="shared" si="1808"/>
        <v>N</v>
      </c>
      <c r="C2452" s="128" t="str">
        <f t="shared" si="1809"/>
        <v>N</v>
      </c>
      <c r="D2452" s="117">
        <v>2564020</v>
      </c>
      <c r="E2452" s="135">
        <f t="shared" si="1810"/>
        <v>2</v>
      </c>
      <c r="F2452" s="124">
        <v>40919</v>
      </c>
      <c r="G2452" s="125">
        <v>40921</v>
      </c>
      <c r="H2452" s="117">
        <v>2564020</v>
      </c>
      <c r="I2452" s="124">
        <v>40921</v>
      </c>
      <c r="J2452" s="124">
        <v>40921</v>
      </c>
      <c r="K2452" s="126" t="s">
        <v>564</v>
      </c>
      <c r="L2452" s="127" t="s">
        <v>564</v>
      </c>
      <c r="N2452" s="129" t="s">
        <v>566</v>
      </c>
      <c r="O2452" s="128" t="s">
        <v>917</v>
      </c>
      <c r="P2452" s="129" t="s">
        <v>589</v>
      </c>
      <c r="Q2452" s="111">
        <f t="shared" si="1796"/>
        <v>1</v>
      </c>
      <c r="R2452" s="111">
        <f t="shared" si="1822"/>
        <v>3</v>
      </c>
      <c r="S2452" s="129">
        <v>1</v>
      </c>
      <c r="T2452" s="129">
        <v>1</v>
      </c>
      <c r="W2452" s="111"/>
      <c r="AC2452" s="130"/>
      <c r="AD2452" s="130">
        <v>32923</v>
      </c>
      <c r="AE2452" s="128" t="s">
        <v>32</v>
      </c>
      <c r="AF2452" s="128" t="s">
        <v>33</v>
      </c>
      <c r="AG2452" s="128" t="s">
        <v>872</v>
      </c>
      <c r="AH2452" s="108" t="s">
        <v>31</v>
      </c>
      <c r="AI2452" s="128" t="s">
        <v>85</v>
      </c>
      <c r="AJ2452" s="129" t="s">
        <v>48</v>
      </c>
      <c r="AK2452" s="129">
        <v>2</v>
      </c>
      <c r="AL2452" s="3" t="s">
        <v>48</v>
      </c>
      <c r="AP2452" s="129" t="s">
        <v>104</v>
      </c>
      <c r="AR2452" s="128" t="s">
        <v>44</v>
      </c>
      <c r="AS2452" s="129" t="s">
        <v>64</v>
      </c>
      <c r="AT2452" s="129" t="s">
        <v>600</v>
      </c>
      <c r="BC2452" s="129" t="s">
        <v>38</v>
      </c>
      <c r="BF2452" s="111">
        <f t="shared" si="1794"/>
        <v>1</v>
      </c>
      <c r="BG2452" s="111">
        <f t="shared" si="1792"/>
        <v>1</v>
      </c>
      <c r="BH2452" s="111">
        <f t="shared" si="1798"/>
        <v>3</v>
      </c>
      <c r="BI2452" s="111">
        <f t="shared" si="1799"/>
        <v>21.846994535519126</v>
      </c>
      <c r="BJ2452" s="129">
        <f t="shared" si="1811"/>
        <v>0</v>
      </c>
      <c r="BK2452" s="129">
        <f t="shared" si="1800"/>
        <v>0</v>
      </c>
      <c r="BL2452" s="129" t="str">
        <f t="shared" si="1795"/>
        <v>DEFERRED</v>
      </c>
      <c r="BM2452" s="129" t="str">
        <f t="shared" si="1801"/>
        <v>NONE</v>
      </c>
      <c r="BN2452" s="129" t="s">
        <v>566</v>
      </c>
      <c r="BP2452" s="137" t="str">
        <f t="shared" si="1802"/>
        <v>DEFERRED</v>
      </c>
      <c r="BQ2452" s="128" t="str">
        <f t="shared" si="1812"/>
        <v>Y</v>
      </c>
      <c r="BR2452" s="129" t="str">
        <f t="shared" si="1803"/>
        <v>DETAINED</v>
      </c>
      <c r="BS2452" s="129" t="str">
        <f t="shared" si="1804"/>
        <v>DISPOSED</v>
      </c>
      <c r="BT2452" s="129" t="str">
        <f t="shared" si="1805"/>
        <v>Y</v>
      </c>
      <c r="BU2452" s="109">
        <f t="shared" si="1806"/>
        <v>0.33333333333333331</v>
      </c>
      <c r="BV2452" s="109">
        <f t="shared" si="1813"/>
        <v>1</v>
      </c>
      <c r="BW2452" s="109">
        <f t="shared" si="1797"/>
        <v>0.66666666666666674</v>
      </c>
      <c r="BX2452" s="111">
        <f t="shared" si="1807"/>
        <v>0</v>
      </c>
      <c r="BY2452" s="129">
        <f t="shared" si="1814"/>
        <v>-1</v>
      </c>
      <c r="BZ2452" s="111">
        <f t="shared" si="1815"/>
        <v>0</v>
      </c>
      <c r="CA2452" s="138">
        <f t="shared" si="1816"/>
        <v>1</v>
      </c>
      <c r="CB2452" s="111" t="e">
        <f t="shared" si="1793"/>
        <v>#VALUE!</v>
      </c>
      <c r="CC2452" s="129">
        <f>G2452-I2452+1</f>
        <v>1</v>
      </c>
      <c r="CD2452" s="129">
        <f>G2452-J2452</f>
        <v>0</v>
      </c>
      <c r="CG2452" s="129" t="str">
        <f t="shared" si="1817"/>
        <v>Y</v>
      </c>
      <c r="CI2452" s="129" t="str">
        <f t="shared" si="1818"/>
        <v>0-10 DAYS</v>
      </c>
      <c r="CJ2452" s="137">
        <f t="shared" si="1819"/>
        <v>1</v>
      </c>
      <c r="CK2452" s="129" t="str">
        <f t="shared" si="1820"/>
        <v>Booked</v>
      </c>
    </row>
    <row r="2453" spans="1:89" ht="15.75" customHeight="1" x14ac:dyDescent="0.25">
      <c r="A2453" s="111">
        <v>2167</v>
      </c>
      <c r="B2453" s="128" t="str">
        <f t="shared" si="1808"/>
        <v>N</v>
      </c>
      <c r="C2453" s="128" t="str">
        <f t="shared" si="1809"/>
        <v>N</v>
      </c>
      <c r="D2453" s="117">
        <v>2564677</v>
      </c>
      <c r="E2453" s="135">
        <f t="shared" si="1810"/>
        <v>6</v>
      </c>
      <c r="F2453" s="124">
        <v>40990</v>
      </c>
      <c r="G2453" s="125">
        <v>41270</v>
      </c>
      <c r="H2453" s="117">
        <v>2564677</v>
      </c>
      <c r="I2453" s="124">
        <v>40991</v>
      </c>
      <c r="J2453" s="124">
        <v>40995</v>
      </c>
      <c r="K2453" s="126">
        <v>30000</v>
      </c>
      <c r="L2453" s="129" t="s">
        <v>572</v>
      </c>
      <c r="M2453" s="125">
        <v>40995</v>
      </c>
      <c r="N2453" s="129" t="str">
        <f>IF(M2453&gt;1/1/1,"Y","N")</f>
        <v>Y</v>
      </c>
      <c r="O2453" s="128" t="s">
        <v>585</v>
      </c>
      <c r="P2453" s="129" t="s">
        <v>39</v>
      </c>
      <c r="Q2453" s="111">
        <f t="shared" si="1796"/>
        <v>5</v>
      </c>
      <c r="R2453" s="111">
        <f t="shared" si="1822"/>
        <v>281</v>
      </c>
      <c r="S2453" s="129">
        <v>0</v>
      </c>
      <c r="T2453" s="129">
        <v>2</v>
      </c>
      <c r="W2453" s="111"/>
      <c r="AC2453" s="130"/>
      <c r="AD2453" s="130">
        <v>33666</v>
      </c>
      <c r="AE2453" s="128" t="s">
        <v>32</v>
      </c>
      <c r="AF2453" s="128" t="s">
        <v>33</v>
      </c>
      <c r="AG2453" s="128" t="s">
        <v>872</v>
      </c>
      <c r="AH2453" s="108" t="s">
        <v>31</v>
      </c>
      <c r="AI2453" s="128" t="s">
        <v>42</v>
      </c>
      <c r="AJ2453" s="129" t="s">
        <v>89</v>
      </c>
      <c r="AK2453" s="129">
        <v>12</v>
      </c>
      <c r="AL2453" s="3" t="s">
        <v>362</v>
      </c>
      <c r="AM2453" s="117">
        <v>6</v>
      </c>
      <c r="AP2453" s="129" t="s">
        <v>56</v>
      </c>
      <c r="AR2453" s="128" t="s">
        <v>50</v>
      </c>
      <c r="AS2453" s="129" t="s">
        <v>57</v>
      </c>
      <c r="BC2453" s="129" t="s">
        <v>38</v>
      </c>
      <c r="BF2453" s="111">
        <f t="shared" si="1794"/>
        <v>5</v>
      </c>
      <c r="BG2453" s="111">
        <f t="shared" si="1792"/>
        <v>280</v>
      </c>
      <c r="BH2453" s="111">
        <f t="shared" si="1798"/>
        <v>281</v>
      </c>
      <c r="BI2453" s="111">
        <f t="shared" si="1799"/>
        <v>20.010928961748633</v>
      </c>
      <c r="BJ2453" s="129">
        <f>(G2453-J2453)+(M2453-G2453)</f>
        <v>0</v>
      </c>
      <c r="BK2453" s="129">
        <f t="shared" si="1800"/>
        <v>-275</v>
      </c>
      <c r="BL2453" s="129" t="str">
        <f t="shared" si="1795"/>
        <v>CONVICTION</v>
      </c>
      <c r="BM2453" s="129" t="s">
        <v>76</v>
      </c>
      <c r="BN2453" s="129" t="s">
        <v>88</v>
      </c>
      <c r="BP2453" s="137" t="str">
        <f t="shared" si="1802"/>
        <v>CONVICTION</v>
      </c>
      <c r="BQ2453" s="128" t="str">
        <f t="shared" si="1812"/>
        <v>Y</v>
      </c>
      <c r="BR2453" s="129" t="str">
        <f>IF(J2453&lt;G2453,"ON BOND",0)</f>
        <v>ON BOND</v>
      </c>
      <c r="BS2453" s="129" t="str">
        <f t="shared" si="1804"/>
        <v>DISPOSED</v>
      </c>
      <c r="BT2453" s="129" t="str">
        <f t="shared" si="1805"/>
        <v>N</v>
      </c>
      <c r="BU2453" s="109">
        <f t="shared" si="1806"/>
        <v>1.7793594306049824E-2</v>
      </c>
      <c r="BV2453" s="109">
        <f t="shared" si="1813"/>
        <v>1.7857142857142856E-2</v>
      </c>
      <c r="BW2453" s="109">
        <f t="shared" si="1797"/>
        <v>6.3548551093032396E-5</v>
      </c>
      <c r="BX2453" s="111">
        <f t="shared" si="1807"/>
        <v>0</v>
      </c>
      <c r="BY2453" s="129">
        <f t="shared" si="1814"/>
        <v>-5</v>
      </c>
      <c r="BZ2453" s="111">
        <f t="shared" si="1815"/>
        <v>0</v>
      </c>
      <c r="CA2453" s="138">
        <f t="shared" si="1816"/>
        <v>5</v>
      </c>
      <c r="CB2453" s="111" t="e">
        <f t="shared" si="1793"/>
        <v>#VALUE!</v>
      </c>
      <c r="CC2453" s="129">
        <f>M2453-I2453+1</f>
        <v>5</v>
      </c>
      <c r="CD2453" s="111">
        <f>CC2453-BF2453</f>
        <v>0</v>
      </c>
      <c r="CG2453" s="129" t="str">
        <f t="shared" si="1817"/>
        <v>Y</v>
      </c>
      <c r="CI2453" s="129" t="str">
        <f t="shared" si="1818"/>
        <v>0-10 DAYS</v>
      </c>
      <c r="CJ2453" s="137">
        <f t="shared" si="1819"/>
        <v>1</v>
      </c>
      <c r="CK2453" s="129" t="str">
        <f t="shared" si="1820"/>
        <v>Booked</v>
      </c>
    </row>
    <row r="2454" spans="1:89" ht="15.75" customHeight="1" x14ac:dyDescent="0.25">
      <c r="A2454" s="111">
        <v>1731</v>
      </c>
      <c r="B2454" s="128" t="str">
        <f t="shared" si="1808"/>
        <v>N</v>
      </c>
      <c r="C2454" s="128" t="str">
        <f t="shared" si="1809"/>
        <v>N</v>
      </c>
      <c r="D2454" s="117">
        <v>2564774</v>
      </c>
      <c r="E2454" s="135">
        <f t="shared" si="1810"/>
        <v>6</v>
      </c>
      <c r="F2454" s="124">
        <v>40973</v>
      </c>
      <c r="G2454" s="125">
        <v>41073</v>
      </c>
      <c r="H2454" s="117">
        <v>2564774</v>
      </c>
      <c r="I2454" s="124">
        <v>40990</v>
      </c>
      <c r="J2454" s="124">
        <v>41073</v>
      </c>
      <c r="K2454" s="126" t="s">
        <v>564</v>
      </c>
      <c r="L2454" s="127" t="s">
        <v>564</v>
      </c>
      <c r="N2454" s="129" t="s">
        <v>566</v>
      </c>
      <c r="O2454" s="128" t="s">
        <v>917</v>
      </c>
      <c r="P2454" s="129" t="s">
        <v>39</v>
      </c>
      <c r="Q2454" s="111">
        <f t="shared" si="1796"/>
        <v>84</v>
      </c>
      <c r="R2454" s="111">
        <f t="shared" si="1822"/>
        <v>101</v>
      </c>
      <c r="S2454" s="129">
        <v>0</v>
      </c>
      <c r="T2454" s="129">
        <v>0</v>
      </c>
      <c r="W2454" s="111"/>
      <c r="AC2454" s="130"/>
      <c r="AD2454" s="130">
        <v>22636</v>
      </c>
      <c r="AE2454" s="128" t="s">
        <v>32</v>
      </c>
      <c r="AF2454" s="128" t="s">
        <v>33</v>
      </c>
      <c r="AG2454" s="128" t="s">
        <v>872</v>
      </c>
      <c r="AH2454" s="108" t="s">
        <v>31</v>
      </c>
      <c r="AI2454" s="128" t="s">
        <v>65</v>
      </c>
      <c r="AJ2454" s="129" t="s">
        <v>89</v>
      </c>
      <c r="AK2454" s="129">
        <v>4</v>
      </c>
      <c r="AL2454" s="3" t="s">
        <v>362</v>
      </c>
      <c r="AM2454" s="117">
        <v>10</v>
      </c>
      <c r="AP2454" s="129" t="s">
        <v>170</v>
      </c>
      <c r="AR2454" s="128" t="s">
        <v>67</v>
      </c>
      <c r="AS2454" s="129" t="s">
        <v>64</v>
      </c>
      <c r="BC2454" s="129" t="s">
        <v>38</v>
      </c>
      <c r="BF2454" s="111">
        <f t="shared" si="1794"/>
        <v>84</v>
      </c>
      <c r="BG2454" s="111">
        <f t="shared" si="1792"/>
        <v>84</v>
      </c>
      <c r="BH2454" s="111">
        <f t="shared" si="1798"/>
        <v>101</v>
      </c>
      <c r="BI2454" s="111">
        <f t="shared" si="1799"/>
        <v>50.101092896174862</v>
      </c>
      <c r="BJ2454" s="129">
        <f t="shared" si="1811"/>
        <v>0</v>
      </c>
      <c r="BK2454" s="129">
        <f t="shared" si="1800"/>
        <v>0</v>
      </c>
      <c r="BL2454" s="129" t="str">
        <f t="shared" si="1795"/>
        <v>CONVICTION</v>
      </c>
      <c r="BM2454" s="129" t="str">
        <f t="shared" si="1801"/>
        <v>NONE</v>
      </c>
      <c r="BN2454" s="129" t="s">
        <v>566</v>
      </c>
      <c r="BP2454" s="137" t="str">
        <f t="shared" si="1802"/>
        <v>CONVICTION</v>
      </c>
      <c r="BQ2454" s="128" t="str">
        <f t="shared" si="1812"/>
        <v>Y</v>
      </c>
      <c r="BR2454" s="129" t="str">
        <f t="shared" si="1803"/>
        <v>DETAINED</v>
      </c>
      <c r="BS2454" s="129" t="str">
        <f t="shared" si="1804"/>
        <v>DISPOSED</v>
      </c>
      <c r="BT2454" s="129" t="str">
        <f t="shared" si="1805"/>
        <v>N</v>
      </c>
      <c r="BU2454" s="109">
        <f t="shared" si="1806"/>
        <v>0.83168316831683164</v>
      </c>
      <c r="BV2454" s="109">
        <f t="shared" si="1813"/>
        <v>1</v>
      </c>
      <c r="BW2454" s="109">
        <f t="shared" si="1797"/>
        <v>0.16831683168316836</v>
      </c>
      <c r="BX2454" s="111">
        <f t="shared" si="1807"/>
        <v>0</v>
      </c>
      <c r="BY2454" s="129">
        <f t="shared" si="1814"/>
        <v>-84</v>
      </c>
      <c r="BZ2454" s="111">
        <f t="shared" si="1815"/>
        <v>0</v>
      </c>
      <c r="CA2454" s="138">
        <f t="shared" si="1816"/>
        <v>84</v>
      </c>
      <c r="CB2454" s="111" t="e">
        <f t="shared" si="1793"/>
        <v>#VALUE!</v>
      </c>
      <c r="CC2454" s="129">
        <f>G2454-I2454+1</f>
        <v>84</v>
      </c>
      <c r="CD2454" s="129">
        <f>G2454-J2454</f>
        <v>0</v>
      </c>
      <c r="CG2454" s="129" t="str">
        <f t="shared" si="1817"/>
        <v>N</v>
      </c>
      <c r="CI2454" s="129" t="str">
        <f t="shared" si="1818"/>
        <v>61-90 DAYS</v>
      </c>
      <c r="CJ2454" s="137">
        <f t="shared" si="1819"/>
        <v>4</v>
      </c>
      <c r="CK2454" s="129" t="str">
        <f t="shared" si="1820"/>
        <v>Booked</v>
      </c>
    </row>
    <row r="2455" spans="1:89" ht="15" customHeight="1" x14ac:dyDescent="0.25">
      <c r="A2455" s="111">
        <v>2131</v>
      </c>
      <c r="B2455" s="128" t="str">
        <f t="shared" si="1808"/>
        <v>N</v>
      </c>
      <c r="C2455" s="128" t="str">
        <f t="shared" si="1809"/>
        <v>N</v>
      </c>
      <c r="D2455" s="117">
        <v>2565790</v>
      </c>
      <c r="E2455" s="135">
        <f t="shared" si="1810"/>
        <v>6</v>
      </c>
      <c r="F2455" s="124">
        <v>40988</v>
      </c>
      <c r="G2455" s="125">
        <v>41165</v>
      </c>
      <c r="H2455" s="117">
        <v>2565790</v>
      </c>
      <c r="I2455" s="124">
        <v>40989</v>
      </c>
      <c r="J2455" s="124">
        <v>40992</v>
      </c>
      <c r="K2455" s="126">
        <v>25000</v>
      </c>
      <c r="L2455" s="129" t="s">
        <v>572</v>
      </c>
      <c r="M2455" s="125">
        <v>40992</v>
      </c>
      <c r="N2455" s="129" t="str">
        <f>IF(M2455&gt;1/1/1,"Y","N")</f>
        <v>Y</v>
      </c>
      <c r="O2455" s="128" t="s">
        <v>76</v>
      </c>
      <c r="P2455" s="129" t="s">
        <v>39</v>
      </c>
      <c r="Q2455" s="111">
        <f t="shared" si="1796"/>
        <v>4</v>
      </c>
      <c r="R2455" s="111">
        <f t="shared" si="1822"/>
        <v>178</v>
      </c>
      <c r="S2455" s="129">
        <v>0</v>
      </c>
      <c r="T2455" s="129">
        <v>0</v>
      </c>
      <c r="W2455" s="111"/>
      <c r="AC2455" s="130"/>
      <c r="AD2455" s="130">
        <v>30547</v>
      </c>
      <c r="AE2455" s="128" t="s">
        <v>32</v>
      </c>
      <c r="AF2455" s="128" t="s">
        <v>40</v>
      </c>
      <c r="AG2455" s="128" t="s">
        <v>41</v>
      </c>
      <c r="AH2455" s="108" t="s">
        <v>41</v>
      </c>
      <c r="AI2455" s="128" t="s">
        <v>65</v>
      </c>
      <c r="AJ2455" s="129" t="s">
        <v>89</v>
      </c>
      <c r="AK2455" s="129">
        <v>11</v>
      </c>
      <c r="AL2455" s="3" t="s">
        <v>362</v>
      </c>
      <c r="AM2455" s="117">
        <v>3</v>
      </c>
      <c r="AP2455" s="129" t="s">
        <v>93</v>
      </c>
      <c r="AR2455" s="128" t="s">
        <v>67</v>
      </c>
      <c r="AS2455" s="129" t="s">
        <v>45</v>
      </c>
      <c r="BC2455" s="129" t="s">
        <v>52</v>
      </c>
      <c r="BF2455" s="111">
        <f t="shared" si="1794"/>
        <v>4</v>
      </c>
      <c r="BG2455" s="111">
        <f t="shared" si="1792"/>
        <v>177</v>
      </c>
      <c r="BH2455" s="111">
        <f t="shared" si="1798"/>
        <v>178</v>
      </c>
      <c r="BI2455" s="111">
        <f t="shared" si="1799"/>
        <v>28.527322404371585</v>
      </c>
      <c r="BJ2455" s="129">
        <f>(G2455-J2455)+(M2455-G2455)</f>
        <v>0</v>
      </c>
      <c r="BK2455" s="129">
        <f t="shared" si="1800"/>
        <v>-173</v>
      </c>
      <c r="BL2455" s="129" t="str">
        <f t="shared" si="1795"/>
        <v>CONVICTION</v>
      </c>
      <c r="BM2455" s="129" t="s">
        <v>76</v>
      </c>
      <c r="BN2455" s="129" t="s">
        <v>88</v>
      </c>
      <c r="BP2455" s="137" t="str">
        <f t="shared" si="1802"/>
        <v>CONVICTION</v>
      </c>
      <c r="BQ2455" s="128" t="str">
        <f t="shared" si="1812"/>
        <v>Y</v>
      </c>
      <c r="BR2455" s="129" t="str">
        <f>IF(J2455&lt;G2455,"ON BOND",0)</f>
        <v>ON BOND</v>
      </c>
      <c r="BS2455" s="129" t="str">
        <f t="shared" si="1804"/>
        <v>DISPOSED</v>
      </c>
      <c r="BT2455" s="129" t="str">
        <f t="shared" si="1805"/>
        <v>N</v>
      </c>
      <c r="BU2455" s="109">
        <f t="shared" si="1806"/>
        <v>2.247191011235955E-2</v>
      </c>
      <c r="BV2455" s="109">
        <f t="shared" si="1813"/>
        <v>2.2598870056497175E-2</v>
      </c>
      <c r="BW2455" s="109">
        <f t="shared" si="1797"/>
        <v>1.2695994413762512E-4</v>
      </c>
      <c r="BX2455" s="111">
        <f t="shared" si="1807"/>
        <v>0</v>
      </c>
      <c r="BY2455" s="129">
        <f t="shared" si="1814"/>
        <v>-4</v>
      </c>
      <c r="BZ2455" s="111">
        <f t="shared" si="1815"/>
        <v>0</v>
      </c>
      <c r="CA2455" s="138">
        <f t="shared" si="1816"/>
        <v>4</v>
      </c>
      <c r="CB2455" s="111" t="e">
        <f t="shared" si="1793"/>
        <v>#VALUE!</v>
      </c>
      <c r="CC2455" s="129">
        <f>M2455-I2455+1</f>
        <v>4</v>
      </c>
      <c r="CD2455" s="111">
        <f>CC2455-BF2455</f>
        <v>0</v>
      </c>
      <c r="CG2455" s="129" t="str">
        <f t="shared" si="1817"/>
        <v>N</v>
      </c>
      <c r="CI2455" s="129" t="str">
        <f t="shared" si="1818"/>
        <v>0-10 DAYS</v>
      </c>
      <c r="CJ2455" s="137">
        <f t="shared" si="1819"/>
        <v>1</v>
      </c>
      <c r="CK2455" s="129" t="str">
        <f t="shared" si="1820"/>
        <v>Booked</v>
      </c>
    </row>
    <row r="2456" spans="1:89" ht="15.75" customHeight="1" x14ac:dyDescent="0.25">
      <c r="A2456" s="111">
        <v>141</v>
      </c>
      <c r="B2456" s="128" t="str">
        <f t="shared" si="1808"/>
        <v>N</v>
      </c>
      <c r="C2456" s="128" t="str">
        <f t="shared" si="1809"/>
        <v>N</v>
      </c>
      <c r="D2456" s="117">
        <v>2566472</v>
      </c>
      <c r="E2456" s="135">
        <f t="shared" si="1810"/>
        <v>1</v>
      </c>
      <c r="F2456" s="124">
        <v>40915</v>
      </c>
      <c r="G2456" s="125">
        <v>40939</v>
      </c>
      <c r="H2456" s="117">
        <v>2566472</v>
      </c>
      <c r="I2456" s="124">
        <v>40915</v>
      </c>
      <c r="J2456" s="125">
        <v>40939</v>
      </c>
      <c r="K2456" s="126" t="s">
        <v>564</v>
      </c>
      <c r="L2456" s="127" t="s">
        <v>564</v>
      </c>
      <c r="N2456" s="129" t="s">
        <v>566</v>
      </c>
      <c r="O2456" s="128" t="s">
        <v>917</v>
      </c>
      <c r="P2456" s="129" t="s">
        <v>55</v>
      </c>
      <c r="Q2456" s="111">
        <f t="shared" si="1796"/>
        <v>25</v>
      </c>
      <c r="R2456" s="111">
        <f t="shared" si="1822"/>
        <v>25</v>
      </c>
      <c r="S2456" s="129">
        <v>0</v>
      </c>
      <c r="T2456" s="129">
        <v>0</v>
      </c>
      <c r="W2456" s="111"/>
      <c r="AC2456" s="130"/>
      <c r="AD2456" s="130">
        <v>29607</v>
      </c>
      <c r="AE2456" s="128" t="s">
        <v>32</v>
      </c>
      <c r="AF2456" s="128" t="s">
        <v>33</v>
      </c>
      <c r="AG2456" s="128" t="s">
        <v>872</v>
      </c>
      <c r="AH2456" s="108" t="s">
        <v>58</v>
      </c>
      <c r="AI2456" s="128" t="s">
        <v>59</v>
      </c>
      <c r="AJ2456" s="129" t="s">
        <v>55</v>
      </c>
      <c r="AK2456" s="129">
        <v>4</v>
      </c>
      <c r="AL2456" s="3" t="s">
        <v>55</v>
      </c>
      <c r="AP2456" s="129" t="s">
        <v>153</v>
      </c>
      <c r="AR2456" s="128" t="s">
        <v>92</v>
      </c>
      <c r="AS2456" s="129" t="s">
        <v>45</v>
      </c>
      <c r="AT2456" s="129" t="s">
        <v>154</v>
      </c>
      <c r="AZ2456" s="140"/>
      <c r="BC2456" s="129" t="s">
        <v>38</v>
      </c>
      <c r="BF2456" s="111">
        <f t="shared" si="1794"/>
        <v>25</v>
      </c>
      <c r="BG2456" s="111">
        <f t="shared" si="1792"/>
        <v>25</v>
      </c>
      <c r="BH2456" s="111">
        <f t="shared" si="1798"/>
        <v>25</v>
      </c>
      <c r="BI2456" s="111">
        <f t="shared" si="1799"/>
        <v>30.896174863387976</v>
      </c>
      <c r="BJ2456" s="129">
        <f t="shared" si="1811"/>
        <v>0</v>
      </c>
      <c r="BK2456" s="129">
        <f t="shared" si="1800"/>
        <v>0</v>
      </c>
      <c r="BL2456" s="129" t="str">
        <f t="shared" si="1795"/>
        <v>NO CONVICTION</v>
      </c>
      <c r="BM2456" s="129" t="str">
        <f t="shared" si="1801"/>
        <v>NONE</v>
      </c>
      <c r="BN2456" s="129" t="s">
        <v>566</v>
      </c>
      <c r="BP2456" s="137" t="str">
        <f t="shared" si="1802"/>
        <v>NO CONVICTION</v>
      </c>
      <c r="BQ2456" s="128" t="str">
        <f t="shared" si="1812"/>
        <v>Y</v>
      </c>
      <c r="BR2456" s="129" t="str">
        <f t="shared" si="1803"/>
        <v>DETAINED</v>
      </c>
      <c r="BS2456" s="129" t="str">
        <f t="shared" si="1804"/>
        <v>DISPOSED</v>
      </c>
      <c r="BT2456" s="129" t="str">
        <f t="shared" si="1805"/>
        <v>N</v>
      </c>
      <c r="BU2456" s="109">
        <f>IFERROR(Q2456/R2456,BR2456)</f>
        <v>1</v>
      </c>
      <c r="BV2456" s="109">
        <f t="shared" si="1813"/>
        <v>1</v>
      </c>
      <c r="BW2456" s="109">
        <f t="shared" si="1797"/>
        <v>0</v>
      </c>
      <c r="BX2456" s="111">
        <f t="shared" si="1807"/>
        <v>0</v>
      </c>
      <c r="BY2456" s="129">
        <f t="shared" si="1814"/>
        <v>-25</v>
      </c>
      <c r="BZ2456" s="111">
        <f t="shared" si="1815"/>
        <v>0</v>
      </c>
      <c r="CA2456" s="138">
        <f t="shared" si="1816"/>
        <v>25</v>
      </c>
      <c r="CB2456" s="111" t="e">
        <f t="shared" si="1793"/>
        <v>#VALUE!</v>
      </c>
      <c r="CC2456" s="129">
        <f>G2456-I2456+1</f>
        <v>25</v>
      </c>
      <c r="CD2456" s="129">
        <f>G2456-J2456</f>
        <v>0</v>
      </c>
      <c r="CG2456" s="129" t="str">
        <f t="shared" si="1817"/>
        <v>N</v>
      </c>
      <c r="CI2456" s="129" t="str">
        <f t="shared" si="1818"/>
        <v>11-30 DAYS</v>
      </c>
      <c r="CJ2456" s="137">
        <f t="shared" si="1819"/>
        <v>2</v>
      </c>
      <c r="CK2456" s="129" t="str">
        <f t="shared" si="1820"/>
        <v>Booked</v>
      </c>
    </row>
    <row r="2457" spans="1:89" ht="15" customHeight="1" x14ac:dyDescent="0.25">
      <c r="A2457" s="111">
        <v>228</v>
      </c>
      <c r="B2457" s="128" t="str">
        <f t="shared" si="1808"/>
        <v>N</v>
      </c>
      <c r="C2457" s="128" t="str">
        <f t="shared" si="1809"/>
        <v>N</v>
      </c>
      <c r="D2457" s="117">
        <v>2566514</v>
      </c>
      <c r="E2457" s="135">
        <f t="shared" si="1810"/>
        <v>6</v>
      </c>
      <c r="F2457" s="124">
        <v>40921</v>
      </c>
      <c r="G2457" s="125">
        <v>41206</v>
      </c>
      <c r="H2457" s="117">
        <v>2566514</v>
      </c>
      <c r="I2457" s="124">
        <v>41108</v>
      </c>
      <c r="J2457" s="125">
        <v>41206</v>
      </c>
      <c r="K2457" s="126">
        <v>10000</v>
      </c>
      <c r="L2457" s="127" t="s">
        <v>570</v>
      </c>
      <c r="N2457" s="124" t="s">
        <v>566</v>
      </c>
      <c r="O2457" s="128" t="s">
        <v>917</v>
      </c>
      <c r="P2457" s="129" t="s">
        <v>39</v>
      </c>
      <c r="Q2457" s="111">
        <v>99</v>
      </c>
      <c r="R2457" s="111">
        <f t="shared" si="1822"/>
        <v>286</v>
      </c>
      <c r="S2457" s="129">
        <v>1</v>
      </c>
      <c r="T2457" s="129">
        <v>0</v>
      </c>
      <c r="W2457" s="111"/>
      <c r="AC2457" s="130"/>
      <c r="AD2457" s="130">
        <v>33519</v>
      </c>
      <c r="AE2457" s="128" t="s">
        <v>32</v>
      </c>
      <c r="AF2457" s="128" t="s">
        <v>69</v>
      </c>
      <c r="AG2457" s="128" t="s">
        <v>874</v>
      </c>
      <c r="AH2457" s="108" t="s">
        <v>31</v>
      </c>
      <c r="AI2457" s="128" t="s">
        <v>87</v>
      </c>
      <c r="AJ2457" s="129" t="s">
        <v>89</v>
      </c>
      <c r="AK2457" s="129">
        <v>6</v>
      </c>
      <c r="AL2457" s="3" t="s">
        <v>362</v>
      </c>
      <c r="AM2457" s="117">
        <v>2</v>
      </c>
      <c r="AP2457" s="129" t="s">
        <v>56</v>
      </c>
      <c r="AR2457" s="128" t="s">
        <v>50</v>
      </c>
      <c r="AS2457" s="129" t="s">
        <v>57</v>
      </c>
      <c r="BC2457" s="129" t="s">
        <v>38</v>
      </c>
      <c r="BF2457" s="111">
        <v>98</v>
      </c>
      <c r="BG2457" s="111">
        <v>98</v>
      </c>
      <c r="BH2457" s="111">
        <f t="shared" si="1798"/>
        <v>286</v>
      </c>
      <c r="BI2457" s="111">
        <f t="shared" si="1799"/>
        <v>20.224043715846996</v>
      </c>
      <c r="BJ2457" s="129">
        <f t="shared" si="1811"/>
        <v>0</v>
      </c>
      <c r="BK2457" s="129">
        <f t="shared" si="1800"/>
        <v>0</v>
      </c>
      <c r="BL2457" s="129" t="str">
        <f t="shared" si="1795"/>
        <v>CONVICTION</v>
      </c>
      <c r="BM2457" s="129" t="str">
        <f t="shared" si="1801"/>
        <v>NONE</v>
      </c>
      <c r="BN2457" s="129" t="s">
        <v>566</v>
      </c>
      <c r="BP2457" s="137" t="str">
        <f t="shared" si="1802"/>
        <v>CONVICTION</v>
      </c>
      <c r="BQ2457" s="128" t="str">
        <f t="shared" si="1812"/>
        <v>Y</v>
      </c>
      <c r="BR2457" s="129" t="s">
        <v>574</v>
      </c>
      <c r="BS2457" s="129" t="str">
        <f t="shared" si="1804"/>
        <v>DISPOSED</v>
      </c>
      <c r="BT2457" s="129" t="str">
        <f t="shared" si="1805"/>
        <v>Y</v>
      </c>
      <c r="BU2457" s="109">
        <f t="shared" si="1806"/>
        <v>0.34615384615384615</v>
      </c>
      <c r="BV2457" s="109">
        <f t="shared" si="1813"/>
        <v>1</v>
      </c>
      <c r="BW2457" s="109">
        <f t="shared" si="1797"/>
        <v>0.65384615384615385</v>
      </c>
      <c r="BX2457" s="111">
        <f t="shared" si="1807"/>
        <v>1</v>
      </c>
      <c r="BY2457" s="129">
        <f t="shared" si="1814"/>
        <v>-99</v>
      </c>
      <c r="BZ2457" s="111">
        <f t="shared" si="1815"/>
        <v>-1</v>
      </c>
      <c r="CA2457" s="138">
        <f t="shared" si="1816"/>
        <v>99</v>
      </c>
      <c r="CB2457" s="111">
        <v>98</v>
      </c>
      <c r="CC2457" s="129">
        <f>G2457-I2457+1</f>
        <v>99</v>
      </c>
      <c r="CD2457" s="129">
        <f>G2457-J2457</f>
        <v>0</v>
      </c>
      <c r="CG2457" s="129" t="str">
        <f t="shared" si="1817"/>
        <v>Y</v>
      </c>
      <c r="CI2457" s="129" t="str">
        <f t="shared" si="1818"/>
        <v>91-120 DAYS</v>
      </c>
      <c r="CJ2457" s="137">
        <f t="shared" si="1819"/>
        <v>0</v>
      </c>
      <c r="CK2457" s="129" t="str">
        <f t="shared" si="1820"/>
        <v>Booked</v>
      </c>
    </row>
    <row r="2458" spans="1:89" ht="15.75" customHeight="1" x14ac:dyDescent="0.25">
      <c r="A2458" s="111">
        <v>2906</v>
      </c>
      <c r="B2458" s="128" t="str">
        <f t="shared" si="1808"/>
        <v>N</v>
      </c>
      <c r="C2458" s="128" t="str">
        <f t="shared" si="1809"/>
        <v>N</v>
      </c>
      <c r="D2458" s="117">
        <v>2566544</v>
      </c>
      <c r="E2458" s="135">
        <f t="shared" si="1810"/>
        <v>4</v>
      </c>
      <c r="F2458" s="124">
        <v>41015</v>
      </c>
      <c r="G2458" s="125">
        <v>41058</v>
      </c>
      <c r="H2458" s="117">
        <v>2566544</v>
      </c>
      <c r="I2458" s="124">
        <v>41022</v>
      </c>
      <c r="J2458" s="125">
        <v>41058</v>
      </c>
      <c r="K2458" s="126">
        <v>10000</v>
      </c>
      <c r="L2458" s="127" t="s">
        <v>570</v>
      </c>
      <c r="N2458" s="129" t="str">
        <f>IF(M2458&gt;1/1/1,"Y","N")</f>
        <v>N</v>
      </c>
      <c r="O2458" s="128" t="s">
        <v>917</v>
      </c>
      <c r="P2458" s="129" t="s">
        <v>39</v>
      </c>
      <c r="Q2458" s="111">
        <v>37</v>
      </c>
      <c r="R2458" s="111">
        <f t="shared" si="1822"/>
        <v>44</v>
      </c>
      <c r="S2458" s="129">
        <v>0</v>
      </c>
      <c r="T2458" s="129">
        <v>0</v>
      </c>
      <c r="W2458" s="111"/>
      <c r="AC2458" s="130"/>
      <c r="AD2458" s="130">
        <v>34131</v>
      </c>
      <c r="AE2458" s="128" t="s">
        <v>46</v>
      </c>
      <c r="AF2458" s="128" t="s">
        <v>33</v>
      </c>
      <c r="AG2458" s="128" t="s">
        <v>872</v>
      </c>
      <c r="AH2458" s="108" t="s">
        <v>31</v>
      </c>
      <c r="AI2458" s="128" t="s">
        <v>80</v>
      </c>
      <c r="AJ2458" s="129" t="s">
        <v>89</v>
      </c>
      <c r="AK2458" s="129">
        <v>4</v>
      </c>
      <c r="AL2458" s="3" t="s">
        <v>991</v>
      </c>
      <c r="AO2458" s="128">
        <v>60</v>
      </c>
      <c r="AP2458" s="129" t="s">
        <v>56</v>
      </c>
      <c r="AR2458" s="128" t="s">
        <v>50</v>
      </c>
      <c r="AS2458" s="129" t="s">
        <v>57</v>
      </c>
      <c r="AT2458" s="129" t="s">
        <v>498</v>
      </c>
      <c r="BC2458" s="129" t="s">
        <v>38</v>
      </c>
      <c r="BF2458" s="111">
        <v>33</v>
      </c>
      <c r="BG2458" s="111">
        <f>IF(G2458&gt;1/1/1900,((G2458+1)-I2458),"STILL OPEN")</f>
        <v>37</v>
      </c>
      <c r="BH2458" s="111">
        <f t="shared" si="1798"/>
        <v>44</v>
      </c>
      <c r="BI2458" s="111">
        <f t="shared" si="1799"/>
        <v>18.808743169398905</v>
      </c>
      <c r="BJ2458" s="129">
        <f t="shared" si="1811"/>
        <v>0</v>
      </c>
      <c r="BK2458" s="129">
        <f t="shared" si="1800"/>
        <v>0</v>
      </c>
      <c r="BL2458" s="129" t="str">
        <f t="shared" si="1795"/>
        <v>CONVICTION</v>
      </c>
      <c r="BM2458" s="129" t="str">
        <f t="shared" si="1801"/>
        <v>NONE</v>
      </c>
      <c r="BN2458" s="129" t="s">
        <v>566</v>
      </c>
      <c r="BP2458" s="137" t="str">
        <f t="shared" si="1802"/>
        <v>CONVICTION</v>
      </c>
      <c r="BQ2458" s="128" t="str">
        <f t="shared" si="1812"/>
        <v>Y</v>
      </c>
      <c r="BR2458" s="129" t="str">
        <f t="shared" si="1803"/>
        <v>DETAINED</v>
      </c>
      <c r="BS2458" s="129" t="str">
        <f t="shared" si="1804"/>
        <v>DISPOSED</v>
      </c>
      <c r="BT2458" s="129" t="str">
        <f t="shared" si="1805"/>
        <v>N</v>
      </c>
      <c r="BU2458" s="109">
        <f t="shared" si="1806"/>
        <v>0.84090909090909094</v>
      </c>
      <c r="BV2458" s="109">
        <f t="shared" si="1813"/>
        <v>1</v>
      </c>
      <c r="BW2458" s="109">
        <f t="shared" si="1797"/>
        <v>0.15909090909090906</v>
      </c>
      <c r="BX2458" s="111">
        <f t="shared" si="1807"/>
        <v>4</v>
      </c>
      <c r="BY2458" s="129">
        <f t="shared" si="1814"/>
        <v>-37</v>
      </c>
      <c r="BZ2458" s="111">
        <f t="shared" si="1815"/>
        <v>-4</v>
      </c>
      <c r="CA2458" s="138">
        <f t="shared" si="1816"/>
        <v>37</v>
      </c>
      <c r="CB2458" s="111">
        <v>33</v>
      </c>
      <c r="CC2458" s="129">
        <f>G2458-I2458+1</f>
        <v>37</v>
      </c>
      <c r="CD2458" s="129">
        <f>G2458-J2458</f>
        <v>0</v>
      </c>
      <c r="CG2458" s="129" t="str">
        <f t="shared" si="1817"/>
        <v>N</v>
      </c>
      <c r="CI2458" s="129" t="str">
        <f t="shared" si="1818"/>
        <v>31-60 DAYS</v>
      </c>
      <c r="CJ2458" s="137">
        <f t="shared" si="1819"/>
        <v>3</v>
      </c>
      <c r="CK2458" s="129" t="str">
        <f t="shared" si="1820"/>
        <v>Booked</v>
      </c>
    </row>
    <row r="2459" spans="1:89" ht="15.75" customHeight="1" x14ac:dyDescent="0.25">
      <c r="A2459" s="111">
        <v>2685</v>
      </c>
      <c r="B2459" s="128" t="str">
        <f t="shared" si="1808"/>
        <v>Y</v>
      </c>
      <c r="C2459" s="128" t="str">
        <f t="shared" si="1809"/>
        <v>N</v>
      </c>
      <c r="D2459" s="117">
        <v>2566640</v>
      </c>
      <c r="E2459" s="135">
        <f t="shared" si="1810"/>
        <v>1</v>
      </c>
      <c r="F2459" s="124">
        <v>41008</v>
      </c>
      <c r="G2459" s="125">
        <v>41010</v>
      </c>
      <c r="H2459" s="117">
        <v>2566640</v>
      </c>
      <c r="I2459" s="124">
        <v>41009</v>
      </c>
      <c r="J2459" s="124">
        <v>41010</v>
      </c>
      <c r="K2459" s="126">
        <v>2000</v>
      </c>
      <c r="L2459" s="127" t="s">
        <v>568</v>
      </c>
      <c r="N2459" s="129" t="str">
        <f>IF(M2459&gt;1/1/1,"Y","N")</f>
        <v>N</v>
      </c>
      <c r="O2459" s="128" t="s">
        <v>917</v>
      </c>
      <c r="P2459" s="129" t="s">
        <v>55</v>
      </c>
      <c r="Q2459" s="111">
        <f t="shared" ref="Q2459:Q2491" si="1823">BF2459</f>
        <v>2</v>
      </c>
      <c r="R2459" s="111">
        <f t="shared" si="1822"/>
        <v>3</v>
      </c>
      <c r="S2459" s="129">
        <v>0</v>
      </c>
      <c r="T2459" s="129">
        <v>2</v>
      </c>
      <c r="W2459" s="111"/>
      <c r="AC2459" s="130"/>
      <c r="AD2459" s="130">
        <v>34346</v>
      </c>
      <c r="AE2459" s="128" t="s">
        <v>32</v>
      </c>
      <c r="AF2459" s="128" t="s">
        <v>33</v>
      </c>
      <c r="AG2459" s="128" t="s">
        <v>872</v>
      </c>
      <c r="AH2459" s="108" t="s">
        <v>58</v>
      </c>
      <c r="AI2459" s="128" t="s">
        <v>72</v>
      </c>
      <c r="AJ2459" s="129" t="s">
        <v>55</v>
      </c>
      <c r="AK2459" s="129">
        <v>1</v>
      </c>
      <c r="AL2459" s="3" t="s">
        <v>55</v>
      </c>
      <c r="AP2459" s="129" t="s">
        <v>159</v>
      </c>
      <c r="AR2459" s="128" t="s">
        <v>44</v>
      </c>
      <c r="AS2459" s="129" t="s">
        <v>61</v>
      </c>
      <c r="BC2459" s="129" t="s">
        <v>79</v>
      </c>
      <c r="BD2459" s="129" t="s">
        <v>1237</v>
      </c>
      <c r="BF2459" s="111">
        <f>IF(J2459&gt;1/1/1900,((J2459+1)-I2459),"STILL OPEN")</f>
        <v>2</v>
      </c>
      <c r="BG2459" s="111">
        <f>IF(G2459&gt;1/1/1900,((G2459+1)-I2459),"STILL OPEN")</f>
        <v>2</v>
      </c>
      <c r="BH2459" s="111">
        <f t="shared" si="1798"/>
        <v>3</v>
      </c>
      <c r="BI2459" s="111">
        <f t="shared" si="1799"/>
        <v>18.202185792349727</v>
      </c>
      <c r="BJ2459" s="129">
        <f t="shared" si="1811"/>
        <v>0</v>
      </c>
      <c r="BK2459" s="129">
        <f t="shared" si="1800"/>
        <v>0</v>
      </c>
      <c r="BL2459" s="129" t="str">
        <f t="shared" si="1795"/>
        <v>NO CONVICTION</v>
      </c>
      <c r="BM2459" s="129" t="str">
        <f t="shared" si="1801"/>
        <v>NONE</v>
      </c>
      <c r="BN2459" s="129" t="s">
        <v>566</v>
      </c>
      <c r="BP2459" s="137" t="str">
        <f t="shared" si="1802"/>
        <v>NO CONVICTION</v>
      </c>
      <c r="BQ2459" s="128" t="str">
        <f t="shared" si="1812"/>
        <v>Y</v>
      </c>
      <c r="BR2459" s="129" t="str">
        <f t="shared" si="1803"/>
        <v>DETAINED</v>
      </c>
      <c r="BS2459" s="129" t="str">
        <f t="shared" si="1804"/>
        <v>DISPOSED</v>
      </c>
      <c r="BT2459" s="129" t="str">
        <f t="shared" si="1805"/>
        <v>N</v>
      </c>
      <c r="BU2459" s="109">
        <f>IFERROR(Q2459/R2459,BR2459)</f>
        <v>0.66666666666666663</v>
      </c>
      <c r="BV2459" s="109">
        <f t="shared" si="1813"/>
        <v>1</v>
      </c>
      <c r="BW2459" s="109">
        <f t="shared" si="1797"/>
        <v>0.33333333333333337</v>
      </c>
      <c r="BX2459" s="111">
        <f t="shared" si="1807"/>
        <v>0</v>
      </c>
      <c r="BY2459" s="129">
        <f t="shared" si="1814"/>
        <v>-2</v>
      </c>
      <c r="BZ2459" s="111">
        <f t="shared" si="1815"/>
        <v>0</v>
      </c>
      <c r="CA2459" s="138">
        <f t="shared" si="1816"/>
        <v>2</v>
      </c>
      <c r="CB2459" s="111" t="e">
        <f>IF(AF2459&gt;1/1/1900,((AF2459+1)-AE2459),"STILL OPEN")</f>
        <v>#VALUE!</v>
      </c>
      <c r="CC2459" s="129">
        <f>G2459-I2459+1</f>
        <v>2</v>
      </c>
      <c r="CD2459" s="129">
        <f>G2459-J2459</f>
        <v>0</v>
      </c>
      <c r="CG2459" s="129" t="str">
        <f t="shared" si="1817"/>
        <v>Y</v>
      </c>
      <c r="CI2459" s="129" t="str">
        <f t="shared" si="1818"/>
        <v>0-10 DAYS</v>
      </c>
      <c r="CJ2459" s="137">
        <f t="shared" si="1819"/>
        <v>1</v>
      </c>
      <c r="CK2459" s="129" t="str">
        <f t="shared" si="1820"/>
        <v>Booked</v>
      </c>
    </row>
    <row r="2460" spans="1:89" ht="15.75" customHeight="1" x14ac:dyDescent="0.25">
      <c r="A2460" s="111">
        <v>2182</v>
      </c>
      <c r="B2460" s="128" t="str">
        <f t="shared" si="1808"/>
        <v>N</v>
      </c>
      <c r="C2460" s="128" t="str">
        <f t="shared" si="1809"/>
        <v>N</v>
      </c>
      <c r="D2460" s="117">
        <v>2567675</v>
      </c>
      <c r="E2460" s="135">
        <f t="shared" si="1810"/>
        <v>1</v>
      </c>
      <c r="F2460" s="124">
        <v>40990</v>
      </c>
      <c r="G2460" s="125">
        <v>41241</v>
      </c>
      <c r="H2460" s="117">
        <v>2567675</v>
      </c>
      <c r="I2460" s="124" t="s">
        <v>562</v>
      </c>
      <c r="J2460" s="124" t="s">
        <v>562</v>
      </c>
      <c r="K2460" s="126">
        <v>2000</v>
      </c>
      <c r="L2460" s="127" t="s">
        <v>568</v>
      </c>
      <c r="M2460" s="125">
        <v>41062</v>
      </c>
      <c r="N2460" s="129" t="str">
        <f>IF(M2460&gt;1/1/1,"Y",IF(Q2460="0","","N"))</f>
        <v>Y</v>
      </c>
      <c r="O2460" s="128" t="s">
        <v>76</v>
      </c>
      <c r="P2460" s="129" t="s">
        <v>55</v>
      </c>
      <c r="Q2460" s="111">
        <f t="shared" si="1823"/>
        <v>0</v>
      </c>
      <c r="R2460" s="111">
        <f t="shared" si="1822"/>
        <v>252</v>
      </c>
      <c r="S2460" s="129">
        <v>0</v>
      </c>
      <c r="T2460" s="129">
        <v>0</v>
      </c>
      <c r="W2460" s="111"/>
      <c r="AC2460" s="130"/>
      <c r="AD2460" s="130">
        <v>34420</v>
      </c>
      <c r="AE2460" s="128" t="s">
        <v>46</v>
      </c>
      <c r="AF2460" s="128" t="s">
        <v>33</v>
      </c>
      <c r="AG2460" s="128" t="s">
        <v>872</v>
      </c>
      <c r="AH2460" s="108" t="s">
        <v>31</v>
      </c>
      <c r="AI2460" s="128" t="s">
        <v>47</v>
      </c>
      <c r="AJ2460" s="129" t="s">
        <v>55</v>
      </c>
      <c r="AK2460" s="129">
        <v>8</v>
      </c>
      <c r="AL2460" s="3" t="s">
        <v>55</v>
      </c>
      <c r="AP2460" s="129" t="s">
        <v>108</v>
      </c>
      <c r="AR2460" s="128" t="s">
        <v>44</v>
      </c>
      <c r="AS2460" s="129" t="s">
        <v>61</v>
      </c>
      <c r="BC2460" s="129" t="s">
        <v>52</v>
      </c>
      <c r="BF2460" s="111">
        <v>0</v>
      </c>
      <c r="BG2460" s="111">
        <v>0</v>
      </c>
      <c r="BH2460" s="111">
        <f t="shared" si="1798"/>
        <v>252</v>
      </c>
      <c r="BI2460" s="111">
        <f t="shared" si="1799"/>
        <v>17.950819672131146</v>
      </c>
      <c r="BJ2460" s="129" t="e">
        <f>(G2460-J2460)+(M2460-G2460)</f>
        <v>#VALUE!</v>
      </c>
      <c r="BK2460" s="129" t="e">
        <f t="shared" si="1800"/>
        <v>#VALUE!</v>
      </c>
      <c r="BL2460" s="129" t="str">
        <f t="shared" si="1795"/>
        <v>NO CONVICTION</v>
      </c>
      <c r="BM2460" s="129" t="s">
        <v>76</v>
      </c>
      <c r="BN2460" s="129" t="s">
        <v>88</v>
      </c>
      <c r="BP2460" s="137" t="str">
        <f t="shared" si="1802"/>
        <v>NO CONVICTION</v>
      </c>
      <c r="BQ2460" s="128">
        <f t="shared" si="1812"/>
        <v>0</v>
      </c>
      <c r="BR2460" s="129" t="s">
        <v>575</v>
      </c>
      <c r="BS2460" s="129" t="str">
        <f t="shared" si="1804"/>
        <v>DISPOSED</v>
      </c>
      <c r="BT2460" s="129" t="str">
        <f t="shared" si="1805"/>
        <v>N</v>
      </c>
      <c r="BU2460" s="109">
        <f>IFERROR(Q2460/R2460,BR2460)</f>
        <v>0</v>
      </c>
      <c r="BV2460" s="109">
        <v>0</v>
      </c>
      <c r="BW2460" s="109">
        <f t="shared" si="1797"/>
        <v>0</v>
      </c>
      <c r="BX2460" s="111">
        <f t="shared" si="1807"/>
        <v>0</v>
      </c>
      <c r="BY2460" s="129" t="e">
        <f t="shared" si="1814"/>
        <v>#VALUE!</v>
      </c>
      <c r="BZ2460" s="111" t="e">
        <f t="shared" si="1815"/>
        <v>#VALUE!</v>
      </c>
      <c r="CA2460" s="138" t="e">
        <f t="shared" si="1816"/>
        <v>#VALUE!</v>
      </c>
      <c r="CB2460" s="111">
        <v>0</v>
      </c>
      <c r="CC2460" s="129">
        <v>0</v>
      </c>
      <c r="CD2460" s="111">
        <f>CC2460-BF2460</f>
        <v>0</v>
      </c>
      <c r="CG2460" s="129" t="str">
        <f t="shared" si="1817"/>
        <v>N</v>
      </c>
      <c r="CI2460" s="129" t="str">
        <f t="shared" si="1818"/>
        <v>0-10 DAYS</v>
      </c>
      <c r="CJ2460" s="137">
        <f t="shared" si="1819"/>
        <v>1</v>
      </c>
      <c r="CK2460" s="129" t="str">
        <f t="shared" si="1820"/>
        <v>Not Booked</v>
      </c>
    </row>
    <row r="2461" spans="1:89" ht="15.75" customHeight="1" x14ac:dyDescent="0.25">
      <c r="A2461" s="111">
        <v>325</v>
      </c>
      <c r="B2461" s="128" t="str">
        <f t="shared" si="1808"/>
        <v>N</v>
      </c>
      <c r="C2461" s="128" t="str">
        <f t="shared" si="1809"/>
        <v>N</v>
      </c>
      <c r="D2461" s="117">
        <v>2568019</v>
      </c>
      <c r="E2461" s="135">
        <f t="shared" si="1810"/>
        <v>2</v>
      </c>
      <c r="F2461" s="124">
        <v>40921</v>
      </c>
      <c r="G2461" s="125">
        <v>41365</v>
      </c>
      <c r="H2461" s="117">
        <v>2568019</v>
      </c>
      <c r="I2461" s="124">
        <v>41108</v>
      </c>
      <c r="J2461" s="124">
        <v>41110</v>
      </c>
      <c r="K2461" s="126">
        <v>60000</v>
      </c>
      <c r="L2461" s="129" t="s">
        <v>572</v>
      </c>
      <c r="M2461" s="125">
        <v>41110</v>
      </c>
      <c r="N2461" s="129" t="str">
        <f>IF(M2461&gt;1/1/1,"Y","N")</f>
        <v>Y</v>
      </c>
      <c r="O2461" s="128" t="s">
        <v>76</v>
      </c>
      <c r="P2461" s="129" t="s">
        <v>589</v>
      </c>
      <c r="Q2461" s="111">
        <v>3</v>
      </c>
      <c r="R2461" s="111">
        <f t="shared" si="1822"/>
        <v>445</v>
      </c>
      <c r="S2461" s="129">
        <v>0</v>
      </c>
      <c r="T2461" s="129">
        <v>0</v>
      </c>
      <c r="W2461" s="111"/>
      <c r="AC2461" s="130"/>
      <c r="AD2461" s="130">
        <v>29416</v>
      </c>
      <c r="AE2461" s="128" t="s">
        <v>32</v>
      </c>
      <c r="AF2461" s="128" t="s">
        <v>69</v>
      </c>
      <c r="AG2461" s="128" t="s">
        <v>874</v>
      </c>
      <c r="AH2461" s="108" t="s">
        <v>31</v>
      </c>
      <c r="AI2461" s="128" t="s">
        <v>65</v>
      </c>
      <c r="AJ2461" s="129" t="s">
        <v>48</v>
      </c>
      <c r="AK2461" s="129">
        <v>10</v>
      </c>
      <c r="AL2461" s="3" t="s">
        <v>48</v>
      </c>
      <c r="AP2461" s="129" t="s">
        <v>109</v>
      </c>
      <c r="AR2461" s="128" t="s">
        <v>67</v>
      </c>
      <c r="AS2461" s="129" t="s">
        <v>61</v>
      </c>
      <c r="BC2461" s="129" t="s">
        <v>52</v>
      </c>
      <c r="BF2461" s="111">
        <v>4</v>
      </c>
      <c r="BG2461" s="111">
        <f t="shared" ref="BG2461:BG2470" si="1824">IF(G2461&gt;1/1/1900,((G2461+1)-I2461),"STILL OPEN")</f>
        <v>258</v>
      </c>
      <c r="BH2461" s="111">
        <f t="shared" si="1798"/>
        <v>445</v>
      </c>
      <c r="BI2461" s="111">
        <f t="shared" si="1799"/>
        <v>31.434426229508198</v>
      </c>
      <c r="BJ2461" s="129">
        <f>(G2461-J2461)+(M2461-G2461)</f>
        <v>0</v>
      </c>
      <c r="BK2461" s="129">
        <f t="shared" si="1800"/>
        <v>-255</v>
      </c>
      <c r="BL2461" s="129" t="str">
        <f t="shared" si="1795"/>
        <v>DEFERRED</v>
      </c>
      <c r="BM2461" s="129" t="s">
        <v>76</v>
      </c>
      <c r="BN2461" s="129" t="s">
        <v>566</v>
      </c>
      <c r="BP2461" s="137" t="str">
        <f t="shared" si="1802"/>
        <v>DEFERRED</v>
      </c>
      <c r="BQ2461" s="128" t="str">
        <f t="shared" si="1812"/>
        <v>Y</v>
      </c>
      <c r="BR2461" s="129" t="str">
        <f t="shared" si="1803"/>
        <v>ON BOND</v>
      </c>
      <c r="BS2461" s="129" t="str">
        <f t="shared" si="1804"/>
        <v>DISPOSED</v>
      </c>
      <c r="BT2461" s="129" t="str">
        <f t="shared" si="1805"/>
        <v>N</v>
      </c>
      <c r="BU2461" s="109">
        <f t="shared" si="1806"/>
        <v>6.7415730337078653E-3</v>
      </c>
      <c r="BV2461" s="109">
        <f t="shared" si="1813"/>
        <v>1.1627906976744186E-2</v>
      </c>
      <c r="BW2461" s="109">
        <f t="shared" si="1797"/>
        <v>4.8863339430363206E-3</v>
      </c>
      <c r="BX2461" s="111">
        <f t="shared" si="1807"/>
        <v>-1</v>
      </c>
      <c r="BY2461" s="129">
        <f t="shared" si="1814"/>
        <v>-3</v>
      </c>
      <c r="BZ2461" s="111">
        <v>0</v>
      </c>
      <c r="CA2461" s="138">
        <f t="shared" si="1816"/>
        <v>3</v>
      </c>
      <c r="CB2461" s="111">
        <v>4</v>
      </c>
      <c r="CC2461" s="129">
        <f>M2461-I2461+1</f>
        <v>3</v>
      </c>
      <c r="CD2461" s="111">
        <f>CC2461-BF2461</f>
        <v>-1</v>
      </c>
      <c r="CG2461" s="129" t="str">
        <f t="shared" si="1817"/>
        <v>N</v>
      </c>
      <c r="CI2461" s="129" t="str">
        <f t="shared" si="1818"/>
        <v>0-10 DAYS</v>
      </c>
      <c r="CJ2461" s="137">
        <f t="shared" si="1819"/>
        <v>1</v>
      </c>
      <c r="CK2461" s="129" t="str">
        <f t="shared" si="1820"/>
        <v>Booked</v>
      </c>
    </row>
    <row r="2462" spans="1:89" ht="15.75" customHeight="1" x14ac:dyDescent="0.25">
      <c r="A2462" s="111">
        <v>1926</v>
      </c>
      <c r="B2462" s="128" t="str">
        <f t="shared" si="1808"/>
        <v>N</v>
      </c>
      <c r="C2462" s="128" t="str">
        <f t="shared" si="1809"/>
        <v>N</v>
      </c>
      <c r="D2462" s="117">
        <v>2568021</v>
      </c>
      <c r="E2462" s="135">
        <f t="shared" si="1810"/>
        <v>5</v>
      </c>
      <c r="F2462" s="124">
        <v>40981</v>
      </c>
      <c r="G2462" s="125">
        <v>41002</v>
      </c>
      <c r="H2462" s="117">
        <v>2568021</v>
      </c>
      <c r="I2462" s="124">
        <v>40981</v>
      </c>
      <c r="J2462" s="124">
        <v>41002</v>
      </c>
      <c r="K2462" s="126" t="s">
        <v>564</v>
      </c>
      <c r="L2462" s="127" t="s">
        <v>564</v>
      </c>
      <c r="N2462" s="129" t="s">
        <v>566</v>
      </c>
      <c r="O2462" s="128" t="s">
        <v>917</v>
      </c>
      <c r="P2462" s="129" t="s">
        <v>39</v>
      </c>
      <c r="Q2462" s="111">
        <f t="shared" si="1823"/>
        <v>22</v>
      </c>
      <c r="R2462" s="111">
        <f t="shared" si="1822"/>
        <v>22</v>
      </c>
      <c r="S2462" s="129">
        <v>0</v>
      </c>
      <c r="T2462" s="129">
        <v>0</v>
      </c>
      <c r="W2462" s="111"/>
      <c r="AC2462" s="130"/>
      <c r="AD2462" s="130">
        <v>31434</v>
      </c>
      <c r="AE2462" s="128" t="s">
        <v>32</v>
      </c>
      <c r="AF2462" s="128" t="s">
        <v>69</v>
      </c>
      <c r="AG2462" s="128" t="s">
        <v>874</v>
      </c>
      <c r="AH2462" s="108" t="s">
        <v>31</v>
      </c>
      <c r="AI2462" s="128" t="s">
        <v>113</v>
      </c>
      <c r="AJ2462" s="129" t="s">
        <v>89</v>
      </c>
      <c r="AK2462" s="129">
        <v>3</v>
      </c>
      <c r="AL2462" s="3" t="s">
        <v>992</v>
      </c>
      <c r="AN2462" s="117">
        <v>6</v>
      </c>
      <c r="AP2462" s="129" t="s">
        <v>43</v>
      </c>
      <c r="AR2462" s="128" t="s">
        <v>44</v>
      </c>
      <c r="AS2462" s="129" t="s">
        <v>45</v>
      </c>
      <c r="BC2462" s="129" t="s">
        <v>52</v>
      </c>
      <c r="BF2462" s="111">
        <f t="shared" ref="BF2462:BF2470" si="1825">IF(J2462&gt;1/1/1900,((J2462+1)-I2462),"STILL OPEN")</f>
        <v>22</v>
      </c>
      <c r="BG2462" s="111">
        <f t="shared" si="1824"/>
        <v>22</v>
      </c>
      <c r="BH2462" s="111">
        <f t="shared" si="1798"/>
        <v>22</v>
      </c>
      <c r="BI2462" s="111">
        <f t="shared" si="1799"/>
        <v>26.084699453551913</v>
      </c>
      <c r="BJ2462" s="129">
        <f t="shared" si="1811"/>
        <v>0</v>
      </c>
      <c r="BK2462" s="129">
        <f t="shared" si="1800"/>
        <v>0</v>
      </c>
      <c r="BL2462" s="129" t="str">
        <f t="shared" si="1795"/>
        <v>CONVICTION</v>
      </c>
      <c r="BM2462" s="129" t="str">
        <f t="shared" si="1801"/>
        <v>NONE</v>
      </c>
      <c r="BN2462" s="129" t="s">
        <v>566</v>
      </c>
      <c r="BP2462" s="137" t="str">
        <f t="shared" si="1802"/>
        <v>CONVICTION</v>
      </c>
      <c r="BQ2462" s="128" t="str">
        <f t="shared" si="1812"/>
        <v>Y</v>
      </c>
      <c r="BR2462" s="129" t="str">
        <f t="shared" si="1803"/>
        <v>DETAINED</v>
      </c>
      <c r="BS2462" s="129" t="str">
        <f t="shared" si="1804"/>
        <v>DISPOSED</v>
      </c>
      <c r="BT2462" s="129" t="str">
        <f t="shared" si="1805"/>
        <v>N</v>
      </c>
      <c r="BU2462" s="109">
        <f t="shared" si="1806"/>
        <v>1</v>
      </c>
      <c r="BV2462" s="109">
        <f t="shared" si="1813"/>
        <v>1</v>
      </c>
      <c r="BW2462" s="109">
        <f t="shared" si="1797"/>
        <v>0</v>
      </c>
      <c r="BX2462" s="111">
        <f t="shared" si="1807"/>
        <v>0</v>
      </c>
      <c r="BY2462" s="129">
        <f t="shared" si="1814"/>
        <v>-22</v>
      </c>
      <c r="BZ2462" s="111">
        <f t="shared" si="1815"/>
        <v>0</v>
      </c>
      <c r="CA2462" s="138">
        <f t="shared" si="1816"/>
        <v>22</v>
      </c>
      <c r="CB2462" s="111" t="e">
        <f t="shared" ref="CB2462:CB2470" si="1826">IF(AF2462&gt;1/1/1900,((AF2462+1)-AE2462),"STILL OPEN")</f>
        <v>#VALUE!</v>
      </c>
      <c r="CC2462" s="129">
        <f>G2462-I2462+1</f>
        <v>22</v>
      </c>
      <c r="CD2462" s="129">
        <f>G2462-J2462</f>
        <v>0</v>
      </c>
      <c r="CG2462" s="129" t="str">
        <f t="shared" si="1817"/>
        <v>N</v>
      </c>
      <c r="CI2462" s="129" t="str">
        <f t="shared" si="1818"/>
        <v>11-30 DAYS</v>
      </c>
      <c r="CJ2462" s="137">
        <f t="shared" si="1819"/>
        <v>2</v>
      </c>
      <c r="CK2462" s="129" t="str">
        <f t="shared" si="1820"/>
        <v>Booked</v>
      </c>
    </row>
    <row r="2463" spans="1:89" ht="15.75" customHeight="1" x14ac:dyDescent="0.25">
      <c r="A2463" s="111">
        <v>2766</v>
      </c>
      <c r="B2463" s="128" t="str">
        <f t="shared" si="1808"/>
        <v>N</v>
      </c>
      <c r="C2463" s="128" t="str">
        <f t="shared" si="1809"/>
        <v>N</v>
      </c>
      <c r="D2463" s="117">
        <v>2568181</v>
      </c>
      <c r="E2463" s="135">
        <f t="shared" si="1810"/>
        <v>2</v>
      </c>
      <c r="F2463" s="124">
        <v>41011</v>
      </c>
      <c r="G2463" s="125">
        <v>41129</v>
      </c>
      <c r="H2463" s="117">
        <v>2568181</v>
      </c>
      <c r="I2463" s="124">
        <v>41012</v>
      </c>
      <c r="J2463" s="124">
        <v>41075</v>
      </c>
      <c r="K2463" s="126">
        <v>20000</v>
      </c>
      <c r="L2463" s="127" t="s">
        <v>571</v>
      </c>
      <c r="M2463" s="125">
        <v>41075</v>
      </c>
      <c r="N2463" s="129" t="str">
        <f t="shared" ref="N2463:N2470" si="1827">IF(M2463&gt;1/1/1,"Y","N")</f>
        <v>Y</v>
      </c>
      <c r="O2463" s="128" t="s">
        <v>76</v>
      </c>
      <c r="P2463" s="129" t="s">
        <v>589</v>
      </c>
      <c r="Q2463" s="111">
        <f t="shared" si="1823"/>
        <v>64</v>
      </c>
      <c r="R2463" s="111">
        <f t="shared" si="1822"/>
        <v>119</v>
      </c>
      <c r="S2463" s="129">
        <v>1</v>
      </c>
      <c r="T2463" s="129">
        <v>1</v>
      </c>
      <c r="V2463" s="117">
        <v>1</v>
      </c>
      <c r="W2463" s="111"/>
      <c r="AC2463" s="130"/>
      <c r="AD2463" s="130">
        <v>33837</v>
      </c>
      <c r="AE2463" s="128" t="s">
        <v>32</v>
      </c>
      <c r="AF2463" s="128" t="s">
        <v>69</v>
      </c>
      <c r="AG2463" s="128" t="s">
        <v>874</v>
      </c>
      <c r="AH2463" s="108" t="s">
        <v>58</v>
      </c>
      <c r="AI2463" s="128" t="s">
        <v>34</v>
      </c>
      <c r="AJ2463" s="129" t="s">
        <v>48</v>
      </c>
      <c r="AK2463" s="129">
        <v>9</v>
      </c>
      <c r="AL2463" s="3" t="s">
        <v>48</v>
      </c>
      <c r="AP2463" s="129" t="s">
        <v>96</v>
      </c>
      <c r="AR2463" s="128" t="s">
        <v>67</v>
      </c>
      <c r="AS2463" s="129" t="s">
        <v>64</v>
      </c>
      <c r="AT2463" s="129" t="s">
        <v>486</v>
      </c>
      <c r="BC2463" s="129" t="s">
        <v>52</v>
      </c>
      <c r="BF2463" s="111">
        <f t="shared" si="1825"/>
        <v>64</v>
      </c>
      <c r="BG2463" s="111">
        <f t="shared" si="1824"/>
        <v>118</v>
      </c>
      <c r="BH2463" s="111">
        <f t="shared" si="1798"/>
        <v>119</v>
      </c>
      <c r="BI2463" s="111">
        <f t="shared" si="1799"/>
        <v>19.601092896174862</v>
      </c>
      <c r="BJ2463" s="129">
        <f>(G2463-J2463)+(M2463-G2463)</f>
        <v>0</v>
      </c>
      <c r="BK2463" s="129">
        <f t="shared" si="1800"/>
        <v>-54</v>
      </c>
      <c r="BL2463" s="129" t="str">
        <f t="shared" si="1795"/>
        <v>DEFERRED</v>
      </c>
      <c r="BM2463" s="129" t="s">
        <v>76</v>
      </c>
      <c r="BN2463" s="129" t="s">
        <v>88</v>
      </c>
      <c r="BP2463" s="137" t="str">
        <f t="shared" si="1802"/>
        <v>DEFERRED</v>
      </c>
      <c r="BQ2463" s="128" t="str">
        <f t="shared" si="1812"/>
        <v>Y</v>
      </c>
      <c r="BR2463" s="129" t="str">
        <f t="shared" si="1803"/>
        <v>ON BOND</v>
      </c>
      <c r="BS2463" s="129" t="str">
        <f t="shared" si="1804"/>
        <v>DISPOSED</v>
      </c>
      <c r="BT2463" s="129" t="str">
        <f t="shared" si="1805"/>
        <v>Y</v>
      </c>
      <c r="BU2463" s="109">
        <f t="shared" si="1806"/>
        <v>0.53781512605042014</v>
      </c>
      <c r="BV2463" s="109">
        <f t="shared" si="1813"/>
        <v>0.5423728813559322</v>
      </c>
      <c r="BW2463" s="109">
        <f t="shared" si="1797"/>
        <v>4.5577553055120568E-3</v>
      </c>
      <c r="BX2463" s="111">
        <f t="shared" si="1807"/>
        <v>0</v>
      </c>
      <c r="BY2463" s="129">
        <f t="shared" si="1814"/>
        <v>-64</v>
      </c>
      <c r="BZ2463" s="111">
        <f t="shared" si="1815"/>
        <v>0</v>
      </c>
      <c r="CA2463" s="138">
        <f t="shared" si="1816"/>
        <v>64</v>
      </c>
      <c r="CB2463" s="111" t="e">
        <f t="shared" si="1826"/>
        <v>#VALUE!</v>
      </c>
      <c r="CC2463" s="129">
        <f>M2463-I2463+1</f>
        <v>64</v>
      </c>
      <c r="CD2463" s="111">
        <f>CC2463-BF2463</f>
        <v>0</v>
      </c>
      <c r="CG2463" s="129" t="str">
        <f t="shared" si="1817"/>
        <v>Y</v>
      </c>
      <c r="CI2463" s="129" t="str">
        <f t="shared" si="1818"/>
        <v>61-90 DAYS</v>
      </c>
      <c r="CJ2463" s="137">
        <f t="shared" si="1819"/>
        <v>4</v>
      </c>
      <c r="CK2463" s="129" t="str">
        <f t="shared" si="1820"/>
        <v>Booked</v>
      </c>
    </row>
    <row r="2464" spans="1:89" ht="15" customHeight="1" x14ac:dyDescent="0.25">
      <c r="A2464" s="111">
        <v>534</v>
      </c>
      <c r="B2464" s="128" t="str">
        <f t="shared" si="1808"/>
        <v>N</v>
      </c>
      <c r="C2464" s="128" t="str">
        <f t="shared" si="1809"/>
        <v>N</v>
      </c>
      <c r="D2464" s="117">
        <v>2568226</v>
      </c>
      <c r="E2464" s="135">
        <f t="shared" si="1810"/>
        <v>4</v>
      </c>
      <c r="F2464" s="124">
        <v>40930</v>
      </c>
      <c r="G2464" s="125">
        <v>40932</v>
      </c>
      <c r="H2464" s="117">
        <v>2568226</v>
      </c>
      <c r="I2464" s="124">
        <v>40930</v>
      </c>
      <c r="J2464" s="124">
        <v>40932</v>
      </c>
      <c r="K2464" s="126">
        <v>2000</v>
      </c>
      <c r="L2464" s="127" t="s">
        <v>568</v>
      </c>
      <c r="N2464" s="129" t="str">
        <f t="shared" si="1827"/>
        <v>N</v>
      </c>
      <c r="O2464" s="128" t="s">
        <v>917</v>
      </c>
      <c r="P2464" s="129" t="s">
        <v>39</v>
      </c>
      <c r="Q2464" s="111">
        <f t="shared" si="1823"/>
        <v>3</v>
      </c>
      <c r="R2464" s="111">
        <f t="shared" si="1822"/>
        <v>3</v>
      </c>
      <c r="S2464" s="129">
        <v>0</v>
      </c>
      <c r="T2464" s="129">
        <v>1</v>
      </c>
      <c r="W2464" s="111"/>
      <c r="AC2464" s="130"/>
      <c r="AD2464" s="130">
        <v>31762</v>
      </c>
      <c r="AE2464" s="128" t="s">
        <v>32</v>
      </c>
      <c r="AF2464" s="128" t="s">
        <v>69</v>
      </c>
      <c r="AG2464" s="128" t="s">
        <v>874</v>
      </c>
      <c r="AH2464" s="108" t="s">
        <v>31</v>
      </c>
      <c r="AI2464" s="128" t="s">
        <v>72</v>
      </c>
      <c r="AJ2464" s="129" t="s">
        <v>89</v>
      </c>
      <c r="AK2464" s="129">
        <v>2</v>
      </c>
      <c r="AL2464" s="3" t="s">
        <v>991</v>
      </c>
      <c r="AO2464" s="128">
        <v>90</v>
      </c>
      <c r="AP2464" s="129" t="s">
        <v>43</v>
      </c>
      <c r="AR2464" s="128" t="s">
        <v>44</v>
      </c>
      <c r="AS2464" s="129" t="s">
        <v>45</v>
      </c>
      <c r="BC2464" s="129" t="s">
        <v>38</v>
      </c>
      <c r="BF2464" s="111">
        <f t="shared" si="1825"/>
        <v>3</v>
      </c>
      <c r="BG2464" s="111">
        <f t="shared" si="1824"/>
        <v>3</v>
      </c>
      <c r="BH2464" s="111">
        <f t="shared" si="1798"/>
        <v>3</v>
      </c>
      <c r="BI2464" s="111">
        <f t="shared" si="1799"/>
        <v>25.049180327868854</v>
      </c>
      <c r="BJ2464" s="129">
        <f t="shared" si="1811"/>
        <v>0</v>
      </c>
      <c r="BK2464" s="129">
        <f t="shared" si="1800"/>
        <v>0</v>
      </c>
      <c r="BL2464" s="129" t="str">
        <f t="shared" si="1795"/>
        <v>CONVICTION</v>
      </c>
      <c r="BM2464" s="129" t="str">
        <f t="shared" si="1801"/>
        <v>NONE</v>
      </c>
      <c r="BN2464" s="129" t="s">
        <v>566</v>
      </c>
      <c r="BP2464" s="137" t="str">
        <f t="shared" si="1802"/>
        <v>CONVICTION</v>
      </c>
      <c r="BQ2464" s="128" t="str">
        <f t="shared" si="1812"/>
        <v>Y</v>
      </c>
      <c r="BR2464" s="129" t="str">
        <f t="shared" si="1803"/>
        <v>DETAINED</v>
      </c>
      <c r="BS2464" s="129" t="str">
        <f t="shared" si="1804"/>
        <v>DISPOSED</v>
      </c>
      <c r="BT2464" s="129" t="str">
        <f t="shared" si="1805"/>
        <v>N</v>
      </c>
      <c r="BU2464" s="109">
        <f t="shared" si="1806"/>
        <v>1</v>
      </c>
      <c r="BV2464" s="109">
        <f t="shared" si="1813"/>
        <v>1</v>
      </c>
      <c r="BW2464" s="109">
        <f t="shared" si="1797"/>
        <v>0</v>
      </c>
      <c r="BX2464" s="111">
        <f t="shared" si="1807"/>
        <v>0</v>
      </c>
      <c r="BY2464" s="129">
        <f t="shared" si="1814"/>
        <v>-3</v>
      </c>
      <c r="BZ2464" s="111">
        <f t="shared" si="1815"/>
        <v>0</v>
      </c>
      <c r="CA2464" s="138">
        <f t="shared" si="1816"/>
        <v>3</v>
      </c>
      <c r="CB2464" s="111" t="e">
        <f t="shared" si="1826"/>
        <v>#VALUE!</v>
      </c>
      <c r="CC2464" s="129">
        <f>G2464-I2464+1</f>
        <v>3</v>
      </c>
      <c r="CD2464" s="129">
        <f>G2464-J2464</f>
        <v>0</v>
      </c>
      <c r="CG2464" s="129" t="str">
        <f t="shared" si="1817"/>
        <v>Y</v>
      </c>
      <c r="CI2464" s="129" t="str">
        <f t="shared" si="1818"/>
        <v>0-10 DAYS</v>
      </c>
      <c r="CJ2464" s="137">
        <f t="shared" si="1819"/>
        <v>1</v>
      </c>
      <c r="CK2464" s="129" t="str">
        <f t="shared" si="1820"/>
        <v>Booked</v>
      </c>
    </row>
    <row r="2465" spans="1:89" ht="15.75" customHeight="1" x14ac:dyDescent="0.25">
      <c r="A2465" s="111">
        <v>380</v>
      </c>
      <c r="B2465" s="128" t="str">
        <f t="shared" si="1808"/>
        <v>N</v>
      </c>
      <c r="C2465" s="128" t="str">
        <f t="shared" si="1809"/>
        <v>N</v>
      </c>
      <c r="D2465" s="117">
        <v>2568527</v>
      </c>
      <c r="E2465" s="135">
        <f t="shared" si="1810"/>
        <v>1</v>
      </c>
      <c r="F2465" s="124">
        <v>40924</v>
      </c>
      <c r="G2465" s="125">
        <v>41158</v>
      </c>
      <c r="H2465" s="117">
        <v>2568527</v>
      </c>
      <c r="I2465" s="124">
        <v>40925</v>
      </c>
      <c r="J2465" s="124">
        <v>40931</v>
      </c>
      <c r="K2465" s="126">
        <v>5000</v>
      </c>
      <c r="L2465" s="127" t="s">
        <v>569</v>
      </c>
      <c r="M2465" s="125">
        <v>40931</v>
      </c>
      <c r="N2465" s="129" t="str">
        <f t="shared" si="1827"/>
        <v>Y</v>
      </c>
      <c r="O2465" s="128" t="s">
        <v>76</v>
      </c>
      <c r="P2465" s="129" t="s">
        <v>55</v>
      </c>
      <c r="Q2465" s="111">
        <f t="shared" si="1823"/>
        <v>7</v>
      </c>
      <c r="R2465" s="111">
        <f t="shared" si="1822"/>
        <v>235</v>
      </c>
      <c r="S2465" s="129">
        <v>0</v>
      </c>
      <c r="T2465" s="129">
        <v>0</v>
      </c>
      <c r="W2465" s="111"/>
      <c r="AC2465" s="130"/>
      <c r="AD2465" s="130">
        <v>33515</v>
      </c>
      <c r="AE2465" s="128" t="s">
        <v>46</v>
      </c>
      <c r="AF2465" s="128" t="s">
        <v>33</v>
      </c>
      <c r="AG2465" s="128" t="s">
        <v>872</v>
      </c>
      <c r="AH2465" s="108" t="s">
        <v>31</v>
      </c>
      <c r="AI2465" s="128" t="s">
        <v>34</v>
      </c>
      <c r="AJ2465" s="129" t="s">
        <v>55</v>
      </c>
      <c r="AK2465" s="129">
        <v>10</v>
      </c>
      <c r="AL2465" s="3" t="s">
        <v>55</v>
      </c>
      <c r="AP2465" s="129" t="s">
        <v>93</v>
      </c>
      <c r="AR2465" s="128" t="s">
        <v>67</v>
      </c>
      <c r="AS2465" s="129" t="s">
        <v>45</v>
      </c>
      <c r="BC2465" s="129" t="s">
        <v>99</v>
      </c>
      <c r="BF2465" s="111">
        <f t="shared" si="1825"/>
        <v>7</v>
      </c>
      <c r="BG2465" s="111">
        <f t="shared" si="1824"/>
        <v>234</v>
      </c>
      <c r="BH2465" s="111">
        <f t="shared" si="1798"/>
        <v>235</v>
      </c>
      <c r="BI2465" s="111">
        <f t="shared" si="1799"/>
        <v>20.243169398907103</v>
      </c>
      <c r="BJ2465" s="129">
        <f>(G2465-J2465)+(M2465-G2465)</f>
        <v>0</v>
      </c>
      <c r="BK2465" s="129">
        <f t="shared" si="1800"/>
        <v>-227</v>
      </c>
      <c r="BL2465" s="129" t="str">
        <f t="shared" si="1795"/>
        <v>NO CONVICTION</v>
      </c>
      <c r="BM2465" s="129" t="s">
        <v>76</v>
      </c>
      <c r="BN2465" s="129" t="s">
        <v>88</v>
      </c>
      <c r="BP2465" s="137" t="str">
        <f t="shared" si="1802"/>
        <v>NO CONVICTION</v>
      </c>
      <c r="BQ2465" s="128" t="str">
        <f t="shared" si="1812"/>
        <v>Y</v>
      </c>
      <c r="BR2465" s="129" t="str">
        <f t="shared" si="1803"/>
        <v>ON BOND</v>
      </c>
      <c r="BS2465" s="129" t="str">
        <f t="shared" si="1804"/>
        <v>DISPOSED</v>
      </c>
      <c r="BT2465" s="129" t="str">
        <f t="shared" si="1805"/>
        <v>N</v>
      </c>
      <c r="BU2465" s="109">
        <f>IFERROR(Q2465/R2465,BR2465)</f>
        <v>2.9787234042553193E-2</v>
      </c>
      <c r="BV2465" s="109">
        <f t="shared" si="1813"/>
        <v>2.9914529914529916E-2</v>
      </c>
      <c r="BW2465" s="109">
        <f t="shared" si="1797"/>
        <v>1.2729587197672296E-4</v>
      </c>
      <c r="BX2465" s="111">
        <f t="shared" si="1807"/>
        <v>0</v>
      </c>
      <c r="BY2465" s="129">
        <f t="shared" si="1814"/>
        <v>-7</v>
      </c>
      <c r="BZ2465" s="111">
        <f t="shared" si="1815"/>
        <v>0</v>
      </c>
      <c r="CA2465" s="138">
        <f t="shared" si="1816"/>
        <v>7</v>
      </c>
      <c r="CB2465" s="111" t="e">
        <f t="shared" si="1826"/>
        <v>#VALUE!</v>
      </c>
      <c r="CC2465" s="129">
        <f>M2465-I2465+1</f>
        <v>7</v>
      </c>
      <c r="CD2465" s="111">
        <f>CC2465-BF2465</f>
        <v>0</v>
      </c>
      <c r="CG2465" s="129" t="str">
        <f t="shared" si="1817"/>
        <v>N</v>
      </c>
      <c r="CI2465" s="129" t="str">
        <f t="shared" si="1818"/>
        <v>0-10 DAYS</v>
      </c>
      <c r="CJ2465" s="137">
        <f t="shared" si="1819"/>
        <v>1</v>
      </c>
      <c r="CK2465" s="129" t="str">
        <f t="shared" si="1820"/>
        <v>Booked</v>
      </c>
    </row>
    <row r="2466" spans="1:89" ht="15.75" customHeight="1" x14ac:dyDescent="0.25">
      <c r="A2466" s="111">
        <v>2896</v>
      </c>
      <c r="B2466" s="128" t="str">
        <f t="shared" si="1808"/>
        <v>N</v>
      </c>
      <c r="C2466" s="128" t="str">
        <f t="shared" si="1809"/>
        <v>N</v>
      </c>
      <c r="D2466" s="117">
        <v>2568795</v>
      </c>
      <c r="E2466" s="135">
        <f t="shared" si="1810"/>
        <v>2</v>
      </c>
      <c r="F2466" s="124">
        <v>41016</v>
      </c>
      <c r="G2466" s="125">
        <v>41109</v>
      </c>
      <c r="H2466" s="117">
        <v>2568795</v>
      </c>
      <c r="I2466" s="124">
        <v>41018</v>
      </c>
      <c r="J2466" s="124">
        <v>41019</v>
      </c>
      <c r="K2466" s="126">
        <v>10000</v>
      </c>
      <c r="L2466" s="127" t="s">
        <v>570</v>
      </c>
      <c r="M2466" s="125">
        <v>41019</v>
      </c>
      <c r="N2466" s="129" t="str">
        <f t="shared" si="1827"/>
        <v>Y</v>
      </c>
      <c r="O2466" s="128" t="s">
        <v>76</v>
      </c>
      <c r="P2466" s="129" t="s">
        <v>589</v>
      </c>
      <c r="Q2466" s="111">
        <f t="shared" si="1823"/>
        <v>2</v>
      </c>
      <c r="R2466" s="111">
        <f t="shared" si="1822"/>
        <v>94</v>
      </c>
      <c r="S2466" s="129">
        <v>0</v>
      </c>
      <c r="T2466" s="129">
        <v>0</v>
      </c>
      <c r="W2466" s="111"/>
      <c r="AC2466" s="130"/>
      <c r="AD2466" s="130">
        <v>27668</v>
      </c>
      <c r="AE2466" s="128" t="s">
        <v>32</v>
      </c>
      <c r="AF2466" s="128" t="s">
        <v>33</v>
      </c>
      <c r="AG2466" s="128" t="s">
        <v>872</v>
      </c>
      <c r="AH2466" s="108" t="s">
        <v>31</v>
      </c>
      <c r="AI2466" s="128" t="s">
        <v>59</v>
      </c>
      <c r="AJ2466" s="129" t="s">
        <v>48</v>
      </c>
      <c r="AK2466" s="129">
        <v>6</v>
      </c>
      <c r="AL2466" s="3" t="s">
        <v>48</v>
      </c>
      <c r="AP2466" s="129" t="s">
        <v>94</v>
      </c>
      <c r="AR2466" s="128" t="s">
        <v>67</v>
      </c>
      <c r="AS2466" s="129" t="s">
        <v>82</v>
      </c>
      <c r="BC2466" s="129" t="s">
        <v>52</v>
      </c>
      <c r="BF2466" s="111">
        <f t="shared" si="1825"/>
        <v>2</v>
      </c>
      <c r="BG2466" s="111">
        <f t="shared" si="1824"/>
        <v>92</v>
      </c>
      <c r="BH2466" s="111">
        <f t="shared" si="1798"/>
        <v>94</v>
      </c>
      <c r="BI2466" s="111">
        <f t="shared" si="1799"/>
        <v>36.469945355191257</v>
      </c>
      <c r="BJ2466" s="129">
        <f>(G2466-J2466)+(M2466-G2466)</f>
        <v>0</v>
      </c>
      <c r="BK2466" s="129">
        <f t="shared" si="1800"/>
        <v>-90</v>
      </c>
      <c r="BL2466" s="129" t="str">
        <f t="shared" si="1795"/>
        <v>DEFERRED</v>
      </c>
      <c r="BM2466" s="129" t="s">
        <v>76</v>
      </c>
      <c r="BN2466" s="129" t="s">
        <v>88</v>
      </c>
      <c r="BP2466" s="137" t="str">
        <f t="shared" si="1802"/>
        <v>DEFERRED</v>
      </c>
      <c r="BQ2466" s="128" t="str">
        <f t="shared" si="1812"/>
        <v>Y</v>
      </c>
      <c r="BR2466" s="129" t="str">
        <f t="shared" si="1803"/>
        <v>ON BOND</v>
      </c>
      <c r="BS2466" s="129" t="str">
        <f t="shared" si="1804"/>
        <v>DISPOSED</v>
      </c>
      <c r="BT2466" s="129" t="str">
        <f t="shared" si="1805"/>
        <v>N</v>
      </c>
      <c r="BU2466" s="109">
        <f t="shared" si="1806"/>
        <v>2.1276595744680851E-2</v>
      </c>
      <c r="BV2466" s="109">
        <f t="shared" si="1813"/>
        <v>2.1739130434782608E-2</v>
      </c>
      <c r="BW2466" s="109">
        <f t="shared" si="1797"/>
        <v>4.6253469010175755E-4</v>
      </c>
      <c r="BX2466" s="111">
        <f t="shared" si="1807"/>
        <v>0</v>
      </c>
      <c r="BY2466" s="129">
        <f t="shared" si="1814"/>
        <v>-2</v>
      </c>
      <c r="BZ2466" s="111">
        <f t="shared" si="1815"/>
        <v>0</v>
      </c>
      <c r="CA2466" s="138">
        <f t="shared" si="1816"/>
        <v>2</v>
      </c>
      <c r="CB2466" s="111" t="e">
        <f t="shared" si="1826"/>
        <v>#VALUE!</v>
      </c>
      <c r="CC2466" s="129">
        <f>M2466-I2466+1</f>
        <v>2</v>
      </c>
      <c r="CD2466" s="111">
        <f>CC2466-BF2466</f>
        <v>0</v>
      </c>
      <c r="CG2466" s="129" t="str">
        <f t="shared" si="1817"/>
        <v>N</v>
      </c>
      <c r="CI2466" s="129" t="str">
        <f t="shared" si="1818"/>
        <v>0-10 DAYS</v>
      </c>
      <c r="CJ2466" s="137">
        <f t="shared" si="1819"/>
        <v>1</v>
      </c>
      <c r="CK2466" s="129" t="str">
        <f t="shared" si="1820"/>
        <v>Booked</v>
      </c>
    </row>
    <row r="2467" spans="1:89" ht="15.75" customHeight="1" x14ac:dyDescent="0.25">
      <c r="A2467" s="111">
        <v>2778</v>
      </c>
      <c r="B2467" s="128" t="str">
        <f t="shared" si="1808"/>
        <v>N</v>
      </c>
      <c r="C2467" s="128" t="str">
        <f t="shared" si="1809"/>
        <v>N</v>
      </c>
      <c r="D2467" s="117">
        <v>2569108</v>
      </c>
      <c r="E2467" s="135">
        <f t="shared" si="1810"/>
        <v>1</v>
      </c>
      <c r="F2467" s="124">
        <v>41011</v>
      </c>
      <c r="G2467" s="125">
        <v>41150</v>
      </c>
      <c r="H2467" s="117">
        <v>2569108</v>
      </c>
      <c r="I2467" s="124">
        <v>41012</v>
      </c>
      <c r="J2467" s="124">
        <v>41150</v>
      </c>
      <c r="K2467" s="126">
        <v>5000</v>
      </c>
      <c r="L2467" s="127" t="s">
        <v>569</v>
      </c>
      <c r="N2467" s="129" t="str">
        <f t="shared" si="1827"/>
        <v>N</v>
      </c>
      <c r="O2467" s="128" t="s">
        <v>917</v>
      </c>
      <c r="P2467" s="129" t="s">
        <v>55</v>
      </c>
      <c r="Q2467" s="111">
        <f t="shared" si="1823"/>
        <v>139</v>
      </c>
      <c r="R2467" s="111">
        <f t="shared" si="1822"/>
        <v>140</v>
      </c>
      <c r="S2467" s="129">
        <v>0</v>
      </c>
      <c r="T2467" s="129">
        <v>2</v>
      </c>
      <c r="W2467" s="111"/>
      <c r="AC2467" s="130"/>
      <c r="AD2467" s="130">
        <v>34488</v>
      </c>
      <c r="AE2467" s="128" t="s">
        <v>32</v>
      </c>
      <c r="AF2467" s="128" t="s">
        <v>33</v>
      </c>
      <c r="AG2467" s="128" t="s">
        <v>872</v>
      </c>
      <c r="AH2467" s="108" t="s">
        <v>31</v>
      </c>
      <c r="AI2467" s="128" t="s">
        <v>85</v>
      </c>
      <c r="AJ2467" s="129" t="s">
        <v>55</v>
      </c>
      <c r="AK2467" s="129">
        <v>3</v>
      </c>
      <c r="AL2467" s="3" t="s">
        <v>55</v>
      </c>
      <c r="AP2467" s="129" t="s">
        <v>93</v>
      </c>
      <c r="AR2467" s="128" t="s">
        <v>67</v>
      </c>
      <c r="AS2467" s="129" t="s">
        <v>45</v>
      </c>
      <c r="AT2467" s="129" t="s">
        <v>489</v>
      </c>
      <c r="BC2467" s="129" t="s">
        <v>38</v>
      </c>
      <c r="BF2467" s="111">
        <f t="shared" si="1825"/>
        <v>139</v>
      </c>
      <c r="BG2467" s="111">
        <f t="shared" si="1824"/>
        <v>139</v>
      </c>
      <c r="BH2467" s="111">
        <f t="shared" si="1798"/>
        <v>140</v>
      </c>
      <c r="BI2467" s="111">
        <f t="shared" si="1799"/>
        <v>17.8224043715847</v>
      </c>
      <c r="BJ2467" s="129">
        <f t="shared" si="1811"/>
        <v>0</v>
      </c>
      <c r="BK2467" s="129">
        <f t="shared" si="1800"/>
        <v>0</v>
      </c>
      <c r="BL2467" s="129" t="str">
        <f t="shared" si="1795"/>
        <v>NO CONVICTION</v>
      </c>
      <c r="BM2467" s="129" t="str">
        <f t="shared" si="1801"/>
        <v>NONE</v>
      </c>
      <c r="BN2467" s="129" t="s">
        <v>566</v>
      </c>
      <c r="BP2467" s="137" t="str">
        <f t="shared" si="1802"/>
        <v>NO CONVICTION</v>
      </c>
      <c r="BQ2467" s="128" t="str">
        <f t="shared" si="1812"/>
        <v>Y</v>
      </c>
      <c r="BR2467" s="129" t="str">
        <f t="shared" si="1803"/>
        <v>DETAINED</v>
      </c>
      <c r="BS2467" s="129" t="str">
        <f t="shared" si="1804"/>
        <v>DISPOSED</v>
      </c>
      <c r="BT2467" s="129" t="str">
        <f t="shared" si="1805"/>
        <v>N</v>
      </c>
      <c r="BU2467" s="109">
        <f>IFERROR(Q2467/R2467,BR2467)</f>
        <v>0.99285714285714288</v>
      </c>
      <c r="BV2467" s="109">
        <f t="shared" si="1813"/>
        <v>1</v>
      </c>
      <c r="BW2467" s="109">
        <f t="shared" si="1797"/>
        <v>7.1428571428571175E-3</v>
      </c>
      <c r="BX2467" s="111">
        <f t="shared" si="1807"/>
        <v>0</v>
      </c>
      <c r="BY2467" s="129">
        <f t="shared" si="1814"/>
        <v>-139</v>
      </c>
      <c r="BZ2467" s="111">
        <f t="shared" si="1815"/>
        <v>0</v>
      </c>
      <c r="CA2467" s="138">
        <f t="shared" si="1816"/>
        <v>139</v>
      </c>
      <c r="CB2467" s="111" t="e">
        <f t="shared" si="1826"/>
        <v>#VALUE!</v>
      </c>
      <c r="CC2467" s="129">
        <f>G2467-I2467+1</f>
        <v>139</v>
      </c>
      <c r="CD2467" s="129">
        <f>G2467-J2467</f>
        <v>0</v>
      </c>
      <c r="CG2467" s="129" t="str">
        <f t="shared" si="1817"/>
        <v>Y</v>
      </c>
      <c r="CI2467" s="129" t="str">
        <f t="shared" si="1818"/>
        <v>121-365 DAYS</v>
      </c>
      <c r="CJ2467" s="137">
        <f t="shared" si="1819"/>
        <v>6</v>
      </c>
      <c r="CK2467" s="129" t="str">
        <f t="shared" si="1820"/>
        <v>Booked</v>
      </c>
    </row>
    <row r="2468" spans="1:89" ht="15.75" customHeight="1" x14ac:dyDescent="0.25">
      <c r="A2468" s="111">
        <v>1886</v>
      </c>
      <c r="B2468" s="128" t="str">
        <f t="shared" si="1808"/>
        <v>N</v>
      </c>
      <c r="C2468" s="128" t="str">
        <f t="shared" si="1809"/>
        <v>N</v>
      </c>
      <c r="D2468" s="117">
        <v>2569461</v>
      </c>
      <c r="E2468" s="135">
        <f t="shared" si="1810"/>
        <v>4</v>
      </c>
      <c r="F2468" s="124">
        <v>40978</v>
      </c>
      <c r="G2468" s="125">
        <v>40980</v>
      </c>
      <c r="H2468" s="117">
        <v>2569461</v>
      </c>
      <c r="I2468" s="124">
        <v>40978</v>
      </c>
      <c r="J2468" s="124">
        <v>40980</v>
      </c>
      <c r="K2468" s="126">
        <v>15000</v>
      </c>
      <c r="L2468" s="127" t="s">
        <v>571</v>
      </c>
      <c r="N2468" s="129" t="str">
        <f t="shared" si="1827"/>
        <v>N</v>
      </c>
      <c r="O2468" s="128" t="s">
        <v>917</v>
      </c>
      <c r="P2468" s="129" t="s">
        <v>39</v>
      </c>
      <c r="Q2468" s="111">
        <f t="shared" si="1823"/>
        <v>3</v>
      </c>
      <c r="R2468" s="111">
        <f t="shared" si="1822"/>
        <v>3</v>
      </c>
      <c r="S2468" s="129">
        <v>0</v>
      </c>
      <c r="T2468" s="129">
        <v>3</v>
      </c>
      <c r="W2468" s="111"/>
      <c r="AC2468" s="130"/>
      <c r="AD2468" s="130">
        <v>20461</v>
      </c>
      <c r="AE2468" s="128" t="s">
        <v>32</v>
      </c>
      <c r="AF2468" s="128" t="s">
        <v>33</v>
      </c>
      <c r="AG2468" s="128" t="s">
        <v>872</v>
      </c>
      <c r="AH2468" s="108" t="s">
        <v>58</v>
      </c>
      <c r="AI2468" s="128" t="s">
        <v>114</v>
      </c>
      <c r="AJ2468" s="129" t="s">
        <v>89</v>
      </c>
      <c r="AK2468" s="129">
        <v>1</v>
      </c>
      <c r="AL2468" s="3" t="s">
        <v>991</v>
      </c>
      <c r="AO2468" s="128">
        <v>60</v>
      </c>
      <c r="AP2468" s="129" t="s">
        <v>43</v>
      </c>
      <c r="AR2468" s="128" t="s">
        <v>44</v>
      </c>
      <c r="AS2468" s="129" t="s">
        <v>45</v>
      </c>
      <c r="BC2468" s="129" t="s">
        <v>38</v>
      </c>
      <c r="BF2468" s="111">
        <f t="shared" si="1825"/>
        <v>3</v>
      </c>
      <c r="BG2468" s="111">
        <f t="shared" si="1824"/>
        <v>3</v>
      </c>
      <c r="BH2468" s="111">
        <f t="shared" si="1798"/>
        <v>3</v>
      </c>
      <c r="BI2468" s="111">
        <f t="shared" si="1799"/>
        <v>56.057377049180324</v>
      </c>
      <c r="BJ2468" s="129">
        <f t="shared" si="1811"/>
        <v>0</v>
      </c>
      <c r="BK2468" s="129">
        <f t="shared" si="1800"/>
        <v>0</v>
      </c>
      <c r="BL2468" s="129" t="str">
        <f t="shared" si="1795"/>
        <v>CONVICTION</v>
      </c>
      <c r="BM2468" s="129" t="str">
        <f t="shared" si="1801"/>
        <v>NONE</v>
      </c>
      <c r="BN2468" s="129" t="s">
        <v>566</v>
      </c>
      <c r="BP2468" s="137" t="str">
        <f t="shared" si="1802"/>
        <v>CONVICTION</v>
      </c>
      <c r="BQ2468" s="128" t="str">
        <f t="shared" si="1812"/>
        <v>Y</v>
      </c>
      <c r="BR2468" s="129" t="str">
        <f t="shared" si="1803"/>
        <v>DETAINED</v>
      </c>
      <c r="BS2468" s="129" t="str">
        <f t="shared" si="1804"/>
        <v>DISPOSED</v>
      </c>
      <c r="BT2468" s="129" t="str">
        <f t="shared" si="1805"/>
        <v>N</v>
      </c>
      <c r="BU2468" s="109">
        <f t="shared" si="1806"/>
        <v>1</v>
      </c>
      <c r="BV2468" s="109">
        <f t="shared" si="1813"/>
        <v>1</v>
      </c>
      <c r="BW2468" s="109">
        <f t="shared" si="1797"/>
        <v>0</v>
      </c>
      <c r="BX2468" s="111">
        <f t="shared" si="1807"/>
        <v>0</v>
      </c>
      <c r="BY2468" s="129">
        <f t="shared" si="1814"/>
        <v>-3</v>
      </c>
      <c r="BZ2468" s="111">
        <f t="shared" si="1815"/>
        <v>0</v>
      </c>
      <c r="CA2468" s="138">
        <f t="shared" si="1816"/>
        <v>3</v>
      </c>
      <c r="CB2468" s="111" t="e">
        <f t="shared" si="1826"/>
        <v>#VALUE!</v>
      </c>
      <c r="CC2468" s="129">
        <f>G2468-I2468+1</f>
        <v>3</v>
      </c>
      <c r="CD2468" s="129">
        <f>G2468-J2468</f>
        <v>0</v>
      </c>
      <c r="CG2468" s="129" t="str">
        <f t="shared" si="1817"/>
        <v>Y</v>
      </c>
      <c r="CI2468" s="129" t="str">
        <f t="shared" si="1818"/>
        <v>0-10 DAYS</v>
      </c>
      <c r="CJ2468" s="137">
        <f t="shared" si="1819"/>
        <v>1</v>
      </c>
      <c r="CK2468" s="129" t="str">
        <f t="shared" si="1820"/>
        <v>Booked</v>
      </c>
    </row>
    <row r="2469" spans="1:89" ht="15.75" customHeight="1" x14ac:dyDescent="0.25">
      <c r="A2469" s="111">
        <v>2432</v>
      </c>
      <c r="B2469" s="128" t="str">
        <f t="shared" si="1808"/>
        <v>N</v>
      </c>
      <c r="C2469" s="128" t="str">
        <f t="shared" si="1809"/>
        <v>N</v>
      </c>
      <c r="D2469" s="117">
        <v>2569619</v>
      </c>
      <c r="E2469" s="135">
        <f t="shared" si="1810"/>
        <v>2</v>
      </c>
      <c r="F2469" s="124">
        <v>41000</v>
      </c>
      <c r="G2469" s="125">
        <v>41009</v>
      </c>
      <c r="H2469" s="117">
        <v>2569619</v>
      </c>
      <c r="I2469" s="124">
        <v>41000</v>
      </c>
      <c r="J2469" s="124">
        <v>41009</v>
      </c>
      <c r="K2469" s="126">
        <v>2000</v>
      </c>
      <c r="L2469" s="127" t="s">
        <v>568</v>
      </c>
      <c r="N2469" s="129" t="str">
        <f t="shared" si="1827"/>
        <v>N</v>
      </c>
      <c r="O2469" s="128" t="s">
        <v>917</v>
      </c>
      <c r="P2469" s="129" t="s">
        <v>589</v>
      </c>
      <c r="Q2469" s="111">
        <f t="shared" si="1823"/>
        <v>10</v>
      </c>
      <c r="R2469" s="111">
        <f t="shared" si="1822"/>
        <v>10</v>
      </c>
      <c r="S2469" s="129">
        <v>0</v>
      </c>
      <c r="T2469" s="129">
        <v>0</v>
      </c>
      <c r="W2469" s="111"/>
      <c r="AC2469" s="130"/>
      <c r="AD2469" s="130">
        <v>34480</v>
      </c>
      <c r="AE2469" s="128" t="s">
        <v>32</v>
      </c>
      <c r="AF2469" s="128" t="s">
        <v>69</v>
      </c>
      <c r="AG2469" s="128" t="s">
        <v>874</v>
      </c>
      <c r="AH2469" s="108" t="s">
        <v>31</v>
      </c>
      <c r="AI2469" s="128" t="s">
        <v>114</v>
      </c>
      <c r="AJ2469" s="129" t="s">
        <v>48</v>
      </c>
      <c r="AK2469" s="129">
        <v>3</v>
      </c>
      <c r="AL2469" s="3" t="s">
        <v>48</v>
      </c>
      <c r="AP2469" s="129" t="s">
        <v>63</v>
      </c>
      <c r="AR2469" s="128" t="s">
        <v>44</v>
      </c>
      <c r="AS2469" s="129" t="s">
        <v>64</v>
      </c>
      <c r="BC2469" s="129" t="s">
        <v>38</v>
      </c>
      <c r="BF2469" s="111">
        <f t="shared" si="1825"/>
        <v>10</v>
      </c>
      <c r="BG2469" s="111">
        <f t="shared" si="1824"/>
        <v>10</v>
      </c>
      <c r="BH2469" s="111">
        <f t="shared" si="1798"/>
        <v>10</v>
      </c>
      <c r="BI2469" s="111">
        <f t="shared" si="1799"/>
        <v>17.814207650273225</v>
      </c>
      <c r="BJ2469" s="129">
        <f t="shared" si="1811"/>
        <v>0</v>
      </c>
      <c r="BK2469" s="129">
        <f t="shared" si="1800"/>
        <v>0</v>
      </c>
      <c r="BL2469" s="129" t="str">
        <f t="shared" si="1795"/>
        <v>DEFERRED</v>
      </c>
      <c r="BM2469" s="129" t="str">
        <f t="shared" si="1801"/>
        <v>NONE</v>
      </c>
      <c r="BN2469" s="129" t="s">
        <v>566</v>
      </c>
      <c r="BP2469" s="137" t="str">
        <f t="shared" si="1802"/>
        <v>DEFERRED</v>
      </c>
      <c r="BQ2469" s="128" t="str">
        <f t="shared" si="1812"/>
        <v>Y</v>
      </c>
      <c r="BR2469" s="129" t="str">
        <f t="shared" si="1803"/>
        <v>DETAINED</v>
      </c>
      <c r="BS2469" s="129" t="str">
        <f t="shared" si="1804"/>
        <v>DISPOSED</v>
      </c>
      <c r="BT2469" s="129" t="str">
        <f t="shared" si="1805"/>
        <v>N</v>
      </c>
      <c r="BU2469" s="109">
        <f t="shared" si="1806"/>
        <v>1</v>
      </c>
      <c r="BV2469" s="109">
        <f t="shared" si="1813"/>
        <v>1</v>
      </c>
      <c r="BW2469" s="109">
        <f t="shared" si="1797"/>
        <v>0</v>
      </c>
      <c r="BX2469" s="111">
        <f t="shared" si="1807"/>
        <v>0</v>
      </c>
      <c r="BY2469" s="129">
        <f t="shared" si="1814"/>
        <v>-10</v>
      </c>
      <c r="BZ2469" s="111">
        <f t="shared" si="1815"/>
        <v>0</v>
      </c>
      <c r="CA2469" s="138">
        <f t="shared" si="1816"/>
        <v>10</v>
      </c>
      <c r="CB2469" s="111" t="e">
        <f t="shared" si="1826"/>
        <v>#VALUE!</v>
      </c>
      <c r="CC2469" s="129">
        <f>G2469-I2469+1</f>
        <v>10</v>
      </c>
      <c r="CD2469" s="129">
        <f>G2469-J2469</f>
        <v>0</v>
      </c>
      <c r="CG2469" s="129" t="str">
        <f t="shared" si="1817"/>
        <v>N</v>
      </c>
      <c r="CI2469" s="129" t="str">
        <f t="shared" si="1818"/>
        <v>0-10 DAYS</v>
      </c>
      <c r="CJ2469" s="137">
        <f t="shared" si="1819"/>
        <v>1</v>
      </c>
      <c r="CK2469" s="129" t="str">
        <f t="shared" si="1820"/>
        <v>Booked</v>
      </c>
    </row>
    <row r="2470" spans="1:89" ht="15.75" customHeight="1" x14ac:dyDescent="0.25">
      <c r="A2470" s="111">
        <v>1826</v>
      </c>
      <c r="B2470" s="128" t="str">
        <f t="shared" si="1808"/>
        <v>N</v>
      </c>
      <c r="C2470" s="128" t="str">
        <f t="shared" si="1809"/>
        <v>N</v>
      </c>
      <c r="D2470" s="117">
        <v>2570237</v>
      </c>
      <c r="E2470" s="135">
        <f t="shared" si="1810"/>
        <v>1</v>
      </c>
      <c r="F2470" s="124">
        <v>40976</v>
      </c>
      <c r="G2470" s="125">
        <v>41032</v>
      </c>
      <c r="H2470" s="117">
        <v>2570237</v>
      </c>
      <c r="I2470" s="124">
        <v>40977</v>
      </c>
      <c r="J2470" s="124">
        <v>41014</v>
      </c>
      <c r="K2470" s="126">
        <v>10000</v>
      </c>
      <c r="L2470" s="127" t="s">
        <v>570</v>
      </c>
      <c r="M2470" s="125">
        <v>41014</v>
      </c>
      <c r="N2470" s="129" t="str">
        <f t="shared" si="1827"/>
        <v>Y</v>
      </c>
      <c r="O2470" s="128" t="s">
        <v>76</v>
      </c>
      <c r="P2470" s="129" t="s">
        <v>55</v>
      </c>
      <c r="Q2470" s="111">
        <f t="shared" si="1823"/>
        <v>38</v>
      </c>
      <c r="R2470" s="111">
        <f t="shared" si="1822"/>
        <v>57</v>
      </c>
      <c r="S2470" s="129">
        <v>0</v>
      </c>
      <c r="T2470" s="129">
        <v>0</v>
      </c>
      <c r="W2470" s="111"/>
      <c r="AC2470" s="130"/>
      <c r="AD2470" s="130">
        <v>33232</v>
      </c>
      <c r="AE2470" s="128" t="s">
        <v>32</v>
      </c>
      <c r="AF2470" s="128" t="s">
        <v>33</v>
      </c>
      <c r="AG2470" s="128" t="s">
        <v>872</v>
      </c>
      <c r="AH2470" s="108" t="s">
        <v>58</v>
      </c>
      <c r="AI2470" s="128" t="s">
        <v>53</v>
      </c>
      <c r="AJ2470" s="129" t="s">
        <v>55</v>
      </c>
      <c r="AK2470" s="129">
        <v>4</v>
      </c>
      <c r="AL2470" s="3" t="s">
        <v>55</v>
      </c>
      <c r="AP2470" s="129" t="s">
        <v>131</v>
      </c>
      <c r="AR2470" s="128" t="s">
        <v>50</v>
      </c>
      <c r="AS2470" s="129" t="s">
        <v>106</v>
      </c>
      <c r="AT2470" s="129" t="s">
        <v>637</v>
      </c>
      <c r="BC2470" s="129" t="s">
        <v>52</v>
      </c>
      <c r="BF2470" s="111">
        <f t="shared" si="1825"/>
        <v>38</v>
      </c>
      <c r="BG2470" s="111">
        <f t="shared" si="1824"/>
        <v>56</v>
      </c>
      <c r="BH2470" s="111">
        <f t="shared" si="1798"/>
        <v>57</v>
      </c>
      <c r="BI2470" s="111">
        <f t="shared" si="1799"/>
        <v>21.15846994535519</v>
      </c>
      <c r="BJ2470" s="129">
        <f>(G2470-J2470)+(M2470-G2470)</f>
        <v>0</v>
      </c>
      <c r="BK2470" s="129">
        <f t="shared" si="1800"/>
        <v>-18</v>
      </c>
      <c r="BL2470" s="129" t="str">
        <f t="shared" si="1795"/>
        <v>NO CONVICTION</v>
      </c>
      <c r="BM2470" s="129" t="s">
        <v>76</v>
      </c>
      <c r="BN2470" s="129" t="s">
        <v>88</v>
      </c>
      <c r="BP2470" s="137" t="str">
        <f t="shared" si="1802"/>
        <v>NO CONVICTION</v>
      </c>
      <c r="BQ2470" s="128" t="str">
        <f t="shared" si="1812"/>
        <v>Y</v>
      </c>
      <c r="BR2470" s="129" t="str">
        <f t="shared" si="1803"/>
        <v>ON BOND</v>
      </c>
      <c r="BS2470" s="129" t="str">
        <f t="shared" si="1804"/>
        <v>DISPOSED</v>
      </c>
      <c r="BT2470" s="129" t="str">
        <f t="shared" si="1805"/>
        <v>N</v>
      </c>
      <c r="BU2470" s="109">
        <f>IFERROR(Q2470/R2470,BR2470)</f>
        <v>0.66666666666666663</v>
      </c>
      <c r="BV2470" s="109">
        <f t="shared" si="1813"/>
        <v>0.6785714285714286</v>
      </c>
      <c r="BW2470" s="109">
        <f t="shared" si="1797"/>
        <v>1.1904761904761973E-2</v>
      </c>
      <c r="BX2470" s="111">
        <f t="shared" si="1807"/>
        <v>0</v>
      </c>
      <c r="BY2470" s="129">
        <f t="shared" si="1814"/>
        <v>-38</v>
      </c>
      <c r="BZ2470" s="111">
        <f t="shared" si="1815"/>
        <v>0</v>
      </c>
      <c r="CA2470" s="138">
        <f t="shared" si="1816"/>
        <v>38</v>
      </c>
      <c r="CB2470" s="111" t="e">
        <f t="shared" si="1826"/>
        <v>#VALUE!</v>
      </c>
      <c r="CC2470" s="129">
        <f>M2470-I2470+1</f>
        <v>38</v>
      </c>
      <c r="CD2470" s="111">
        <f>CC2470-BF2470</f>
        <v>0</v>
      </c>
      <c r="CG2470" s="129" t="str">
        <f t="shared" si="1817"/>
        <v>N</v>
      </c>
      <c r="CI2470" s="129" t="str">
        <f t="shared" si="1818"/>
        <v>31-60 DAYS</v>
      </c>
      <c r="CJ2470" s="137">
        <f t="shared" si="1819"/>
        <v>3</v>
      </c>
      <c r="CK2470" s="129" t="str">
        <f t="shared" si="1820"/>
        <v>Booked</v>
      </c>
    </row>
    <row r="2471" spans="1:89" ht="15" customHeight="1" x14ac:dyDescent="0.25">
      <c r="A2471" s="111">
        <v>2451</v>
      </c>
      <c r="B2471" s="128" t="str">
        <f t="shared" si="1808"/>
        <v>N</v>
      </c>
      <c r="C2471" s="128" t="str">
        <f t="shared" si="1809"/>
        <v>N</v>
      </c>
      <c r="D2471" s="117">
        <v>2570301</v>
      </c>
      <c r="E2471" s="135">
        <f t="shared" si="1810"/>
        <v>2</v>
      </c>
      <c r="F2471" s="124">
        <v>41001</v>
      </c>
      <c r="G2471" s="125">
        <v>41067</v>
      </c>
      <c r="H2471" s="117">
        <v>2570301</v>
      </c>
      <c r="I2471" s="124" t="s">
        <v>562</v>
      </c>
      <c r="J2471" s="124" t="s">
        <v>562</v>
      </c>
      <c r="K2471" s="126">
        <v>2000</v>
      </c>
      <c r="L2471" s="127" t="s">
        <v>568</v>
      </c>
      <c r="M2471" s="125">
        <v>41003</v>
      </c>
      <c r="N2471" s="129" t="str">
        <f>IF(M2471&gt;1/1/1,"Y",IF(Q2471="0","","N"))</f>
        <v>Y</v>
      </c>
      <c r="O2471" s="128" t="s">
        <v>76</v>
      </c>
      <c r="P2471" s="129" t="s">
        <v>589</v>
      </c>
      <c r="Q2471" s="111">
        <f t="shared" si="1823"/>
        <v>0</v>
      </c>
      <c r="R2471" s="111">
        <f t="shared" si="1822"/>
        <v>67</v>
      </c>
      <c r="S2471" s="129">
        <v>0</v>
      </c>
      <c r="T2471" s="129">
        <v>2</v>
      </c>
      <c r="W2471" s="111"/>
      <c r="AB2471" s="131" t="s">
        <v>112</v>
      </c>
      <c r="AC2471" s="130"/>
      <c r="AD2471" s="130">
        <v>24839</v>
      </c>
      <c r="AE2471" s="128" t="s">
        <v>32</v>
      </c>
      <c r="AF2471" s="128" t="s">
        <v>40</v>
      </c>
      <c r="AG2471" s="128" t="s">
        <v>41</v>
      </c>
      <c r="AH2471" s="108" t="s">
        <v>31</v>
      </c>
      <c r="AI2471" s="128" t="s">
        <v>113</v>
      </c>
      <c r="AJ2471" s="129" t="s">
        <v>48</v>
      </c>
      <c r="AK2471" s="129">
        <v>5</v>
      </c>
      <c r="AL2471" s="3" t="s">
        <v>48</v>
      </c>
      <c r="AP2471" s="129" t="s">
        <v>43</v>
      </c>
      <c r="AR2471" s="128" t="s">
        <v>44</v>
      </c>
      <c r="AS2471" s="129" t="s">
        <v>45</v>
      </c>
      <c r="AT2471" s="129" t="s">
        <v>440</v>
      </c>
      <c r="AU2471" s="129"/>
      <c r="AX2471" s="32"/>
      <c r="BC2471" s="129" t="s">
        <v>52</v>
      </c>
      <c r="BF2471" s="111">
        <v>0</v>
      </c>
      <c r="BG2471" s="111">
        <v>0</v>
      </c>
      <c r="BH2471" s="111">
        <f t="shared" si="1798"/>
        <v>67</v>
      </c>
      <c r="BI2471" s="111">
        <f t="shared" si="1799"/>
        <v>44.158469945355193</v>
      </c>
      <c r="BJ2471" s="129" t="e">
        <f>(G2471-J2471)+(M2471-G2471)</f>
        <v>#VALUE!</v>
      </c>
      <c r="BK2471" s="129" t="e">
        <f t="shared" si="1800"/>
        <v>#VALUE!</v>
      </c>
      <c r="BL2471" s="129" t="str">
        <f t="shared" si="1795"/>
        <v>DEFERRED</v>
      </c>
      <c r="BM2471" s="129" t="s">
        <v>76</v>
      </c>
      <c r="BN2471" s="129" t="s">
        <v>88</v>
      </c>
      <c r="BP2471" s="137" t="str">
        <f t="shared" si="1802"/>
        <v>DEFERRED</v>
      </c>
      <c r="BQ2471" s="128">
        <f t="shared" si="1812"/>
        <v>0</v>
      </c>
      <c r="BR2471" s="129" t="s">
        <v>575</v>
      </c>
      <c r="BS2471" s="129" t="str">
        <f t="shared" si="1804"/>
        <v>DISPOSED</v>
      </c>
      <c r="BT2471" s="129" t="str">
        <f t="shared" si="1805"/>
        <v>N</v>
      </c>
      <c r="BU2471" s="109">
        <f t="shared" si="1806"/>
        <v>0</v>
      </c>
      <c r="BV2471" s="109">
        <v>0</v>
      </c>
      <c r="BW2471" s="109">
        <f t="shared" si="1797"/>
        <v>0</v>
      </c>
      <c r="BX2471" s="111">
        <f t="shared" si="1807"/>
        <v>0</v>
      </c>
      <c r="BY2471" s="129" t="e">
        <f t="shared" si="1814"/>
        <v>#VALUE!</v>
      </c>
      <c r="BZ2471" s="111" t="e">
        <f t="shared" si="1815"/>
        <v>#VALUE!</v>
      </c>
      <c r="CA2471" s="138" t="e">
        <f t="shared" si="1816"/>
        <v>#VALUE!</v>
      </c>
      <c r="CB2471" s="111">
        <v>0</v>
      </c>
      <c r="CC2471" s="129">
        <v>0</v>
      </c>
      <c r="CD2471" s="111">
        <f>CC2471-BF2471</f>
        <v>0</v>
      </c>
      <c r="CG2471" s="129" t="str">
        <f t="shared" si="1817"/>
        <v>Y</v>
      </c>
      <c r="CI2471" s="129" t="str">
        <f t="shared" si="1818"/>
        <v>0-10 DAYS</v>
      </c>
      <c r="CJ2471" s="137">
        <f t="shared" si="1819"/>
        <v>1</v>
      </c>
      <c r="CK2471" s="129" t="str">
        <f t="shared" si="1820"/>
        <v>Not Booked</v>
      </c>
    </row>
    <row r="2472" spans="1:89" ht="15" customHeight="1" x14ac:dyDescent="0.25">
      <c r="A2472" s="111">
        <v>750</v>
      </c>
      <c r="B2472" s="128" t="str">
        <f t="shared" si="1808"/>
        <v>N</v>
      </c>
      <c r="C2472" s="128" t="str">
        <f t="shared" si="1809"/>
        <v>N</v>
      </c>
      <c r="D2472" s="117">
        <v>2570352</v>
      </c>
      <c r="E2472" s="135">
        <f t="shared" si="1810"/>
        <v>2</v>
      </c>
      <c r="F2472" s="124">
        <v>40938</v>
      </c>
      <c r="G2472" s="125">
        <v>41169</v>
      </c>
      <c r="H2472" s="117">
        <v>2570352</v>
      </c>
      <c r="I2472" s="124">
        <v>40946</v>
      </c>
      <c r="J2472" s="124">
        <v>41169</v>
      </c>
      <c r="K2472" s="126">
        <v>10000</v>
      </c>
      <c r="L2472" s="127" t="s">
        <v>570</v>
      </c>
      <c r="N2472" s="129" t="str">
        <f t="shared" ref="N2472:N2485" si="1828">IF(M2472&gt;1/1/1,"Y","N")</f>
        <v>N</v>
      </c>
      <c r="O2472" s="128" t="s">
        <v>917</v>
      </c>
      <c r="P2472" s="129" t="s">
        <v>589</v>
      </c>
      <c r="Q2472" s="111">
        <f t="shared" si="1823"/>
        <v>224</v>
      </c>
      <c r="R2472" s="111">
        <f t="shared" si="1822"/>
        <v>232</v>
      </c>
      <c r="S2472" s="129">
        <v>0</v>
      </c>
      <c r="T2472" s="129">
        <v>1</v>
      </c>
      <c r="W2472" s="111"/>
      <c r="AC2472" s="130"/>
      <c r="AD2472" s="130">
        <v>33596</v>
      </c>
      <c r="AE2472" s="128" t="s">
        <v>46</v>
      </c>
      <c r="AF2472" s="128" t="s">
        <v>69</v>
      </c>
      <c r="AG2472" s="128" t="s">
        <v>874</v>
      </c>
      <c r="AH2472" s="108" t="s">
        <v>31</v>
      </c>
      <c r="AI2472" s="128" t="s">
        <v>118</v>
      </c>
      <c r="AJ2472" s="129" t="s">
        <v>48</v>
      </c>
      <c r="AK2472" s="129">
        <v>12</v>
      </c>
      <c r="AL2472" s="3" t="s">
        <v>48</v>
      </c>
      <c r="AP2472" s="129" t="s">
        <v>73</v>
      </c>
      <c r="AR2472" s="128" t="s">
        <v>50</v>
      </c>
      <c r="AS2472" s="129" t="s">
        <v>74</v>
      </c>
      <c r="BC2472" s="129" t="s">
        <v>38</v>
      </c>
      <c r="BF2472" s="111">
        <f t="shared" ref="BF2472:BF2489" si="1829">IF(J2472&gt;1/1/1900,((J2472+1)-I2472),"STILL OPEN")</f>
        <v>224</v>
      </c>
      <c r="BG2472" s="111">
        <f>IF(G2472&gt;1/1/1900,((G2472+1)-I2472),"STILL OPEN")</f>
        <v>224</v>
      </c>
      <c r="BH2472" s="111">
        <f t="shared" si="1798"/>
        <v>232</v>
      </c>
      <c r="BI2472" s="111">
        <f t="shared" si="1799"/>
        <v>20.060109289617486</v>
      </c>
      <c r="BJ2472" s="129">
        <f t="shared" si="1811"/>
        <v>0</v>
      </c>
      <c r="BK2472" s="129">
        <f t="shared" si="1800"/>
        <v>0</v>
      </c>
      <c r="BL2472" s="129" t="str">
        <f t="shared" si="1795"/>
        <v>DEFERRED</v>
      </c>
      <c r="BM2472" s="129" t="str">
        <f t="shared" si="1801"/>
        <v>NONE</v>
      </c>
      <c r="BN2472" s="129" t="s">
        <v>566</v>
      </c>
      <c r="BP2472" s="137" t="str">
        <f t="shared" si="1802"/>
        <v>DEFERRED</v>
      </c>
      <c r="BQ2472" s="128" t="str">
        <f t="shared" si="1812"/>
        <v>Y</v>
      </c>
      <c r="BR2472" s="129" t="str">
        <f t="shared" si="1803"/>
        <v>DETAINED</v>
      </c>
      <c r="BS2472" s="129" t="str">
        <f t="shared" si="1804"/>
        <v>DISPOSED</v>
      </c>
      <c r="BT2472" s="129" t="str">
        <f t="shared" si="1805"/>
        <v>N</v>
      </c>
      <c r="BU2472" s="109">
        <f t="shared" si="1806"/>
        <v>0.96551724137931039</v>
      </c>
      <c r="BV2472" s="109">
        <f t="shared" si="1813"/>
        <v>1</v>
      </c>
      <c r="BW2472" s="109">
        <f t="shared" si="1797"/>
        <v>3.4482758620689613E-2</v>
      </c>
      <c r="BX2472" s="111">
        <f t="shared" si="1807"/>
        <v>0</v>
      </c>
      <c r="BY2472" s="129">
        <f t="shared" si="1814"/>
        <v>-224</v>
      </c>
      <c r="BZ2472" s="111">
        <f t="shared" si="1815"/>
        <v>0</v>
      </c>
      <c r="CA2472" s="138">
        <f t="shared" si="1816"/>
        <v>224</v>
      </c>
      <c r="CB2472" s="111" t="e">
        <f t="shared" ref="CB2472:CB2489" si="1830">IF(AF2472&gt;1/1/1900,((AF2472+1)-AE2472),"STILL OPEN")</f>
        <v>#VALUE!</v>
      </c>
      <c r="CC2472" s="129">
        <f>G2472-I2472+1</f>
        <v>224</v>
      </c>
      <c r="CD2472" s="129">
        <f>G2472-J2472</f>
        <v>0</v>
      </c>
      <c r="CG2472" s="129" t="str">
        <f t="shared" si="1817"/>
        <v>Y</v>
      </c>
      <c r="CI2472" s="129" t="str">
        <f t="shared" si="1818"/>
        <v>121-365 DAYS</v>
      </c>
      <c r="CJ2472" s="137">
        <f t="shared" si="1819"/>
        <v>6</v>
      </c>
      <c r="CK2472" s="129" t="str">
        <f t="shared" si="1820"/>
        <v>Booked</v>
      </c>
    </row>
    <row r="2473" spans="1:89" ht="15" customHeight="1" x14ac:dyDescent="0.25">
      <c r="A2473" s="111">
        <v>2010</v>
      </c>
      <c r="B2473" s="128" t="str">
        <f t="shared" si="1808"/>
        <v>N</v>
      </c>
      <c r="C2473" s="128" t="str">
        <f t="shared" si="1809"/>
        <v>N</v>
      </c>
      <c r="D2473" s="117">
        <v>2571553</v>
      </c>
      <c r="E2473" s="135">
        <f t="shared" si="1810"/>
        <v>6</v>
      </c>
      <c r="F2473" s="124">
        <v>40984</v>
      </c>
      <c r="G2473" s="125">
        <v>41660</v>
      </c>
      <c r="H2473" s="117">
        <v>2571553</v>
      </c>
      <c r="I2473" s="125">
        <v>41250</v>
      </c>
      <c r="J2473" s="125">
        <v>41660</v>
      </c>
      <c r="K2473" s="126">
        <v>50000</v>
      </c>
      <c r="L2473" s="129" t="s">
        <v>572</v>
      </c>
      <c r="N2473" s="129" t="str">
        <f t="shared" si="1828"/>
        <v>N</v>
      </c>
      <c r="O2473" s="128" t="s">
        <v>917</v>
      </c>
      <c r="P2473" s="129" t="s">
        <v>39</v>
      </c>
      <c r="Q2473" s="111">
        <v>404</v>
      </c>
      <c r="R2473" s="111">
        <f t="shared" si="1822"/>
        <v>677</v>
      </c>
      <c r="S2473" s="129">
        <v>0</v>
      </c>
      <c r="T2473" s="129">
        <v>0</v>
      </c>
      <c r="W2473" s="111"/>
      <c r="AC2473" s="130"/>
      <c r="AD2473" s="130">
        <v>27851</v>
      </c>
      <c r="AE2473" s="128" t="s">
        <v>32</v>
      </c>
      <c r="AF2473" s="128" t="s">
        <v>33</v>
      </c>
      <c r="AG2473" s="128" t="s">
        <v>872</v>
      </c>
      <c r="AH2473" s="108" t="s">
        <v>31</v>
      </c>
      <c r="AI2473" s="128" t="s">
        <v>114</v>
      </c>
      <c r="AJ2473" s="129" t="s">
        <v>89</v>
      </c>
      <c r="AK2473" s="129">
        <v>13</v>
      </c>
      <c r="AL2473" s="3" t="s">
        <v>362</v>
      </c>
      <c r="AM2473" s="117">
        <v>40</v>
      </c>
      <c r="AP2473" s="129" t="s">
        <v>129</v>
      </c>
      <c r="AR2473" s="128" t="s">
        <v>92</v>
      </c>
      <c r="AS2473" s="129" t="s">
        <v>126</v>
      </c>
      <c r="AY2473" s="32"/>
      <c r="BC2473" s="129" t="s">
        <v>38</v>
      </c>
      <c r="BF2473" s="111">
        <v>404</v>
      </c>
      <c r="BG2473" s="111">
        <v>404</v>
      </c>
      <c r="BH2473" s="111">
        <f t="shared" si="1798"/>
        <v>677</v>
      </c>
      <c r="BI2473" s="111">
        <f t="shared" si="1799"/>
        <v>35.882513661202189</v>
      </c>
      <c r="BJ2473" s="129">
        <f t="shared" si="1811"/>
        <v>0</v>
      </c>
      <c r="BK2473" s="129">
        <f t="shared" si="1800"/>
        <v>0</v>
      </c>
      <c r="BL2473" s="129" t="str">
        <f t="shared" si="1795"/>
        <v>CONVICTION</v>
      </c>
      <c r="BM2473" s="129" t="str">
        <f t="shared" si="1801"/>
        <v>NONE</v>
      </c>
      <c r="BN2473" s="129" t="s">
        <v>566</v>
      </c>
      <c r="BP2473" s="137" t="str">
        <f t="shared" si="1802"/>
        <v>CONVICTION</v>
      </c>
      <c r="BQ2473" s="128" t="str">
        <f t="shared" si="1812"/>
        <v>Y</v>
      </c>
      <c r="BR2473" s="129" t="str">
        <f t="shared" si="1803"/>
        <v>DETAINED</v>
      </c>
      <c r="BS2473" s="129" t="s">
        <v>1259</v>
      </c>
      <c r="BT2473" s="129" t="str">
        <f t="shared" si="1805"/>
        <v>N</v>
      </c>
      <c r="BU2473" s="109">
        <f>IFERROR(Q2473/R2473,BR2473)</f>
        <v>0.59675036927621861</v>
      </c>
      <c r="BV2473" s="139">
        <v>0.5968</v>
      </c>
      <c r="BW2473" s="109">
        <v>0</v>
      </c>
      <c r="BX2473" s="111">
        <f t="shared" si="1807"/>
        <v>0</v>
      </c>
      <c r="BY2473" s="129">
        <f t="shared" si="1814"/>
        <v>-411</v>
      </c>
      <c r="BZ2473" s="111">
        <f t="shared" si="1815"/>
        <v>-7</v>
      </c>
      <c r="CA2473" s="138">
        <f t="shared" si="1816"/>
        <v>411</v>
      </c>
      <c r="CB2473" s="111" t="e">
        <f t="shared" si="1830"/>
        <v>#VALUE!</v>
      </c>
      <c r="CC2473" s="129">
        <v>404</v>
      </c>
      <c r="CG2473" s="129" t="str">
        <f t="shared" si="1817"/>
        <v>N</v>
      </c>
      <c r="CH2473" s="129" t="e">
        <v>#N/A</v>
      </c>
      <c r="CI2473" s="129" t="str">
        <f t="shared" si="1818"/>
        <v xml:space="preserve"> &gt;1YRS&lt;2YRS</v>
      </c>
      <c r="CJ2473" s="137">
        <f t="shared" si="1819"/>
        <v>0</v>
      </c>
      <c r="CK2473" s="129" t="str">
        <f t="shared" si="1820"/>
        <v>Booked</v>
      </c>
    </row>
    <row r="2474" spans="1:89" ht="15.75" customHeight="1" x14ac:dyDescent="0.25">
      <c r="A2474" s="111">
        <v>1342</v>
      </c>
      <c r="B2474" s="128" t="str">
        <f t="shared" si="1808"/>
        <v>N</v>
      </c>
      <c r="C2474" s="128" t="str">
        <f t="shared" si="1809"/>
        <v>N</v>
      </c>
      <c r="D2474" s="117">
        <v>2572117</v>
      </c>
      <c r="E2474" s="135">
        <f t="shared" si="1810"/>
        <v>4</v>
      </c>
      <c r="F2474" s="124">
        <v>40957</v>
      </c>
      <c r="G2474" s="125">
        <v>41124</v>
      </c>
      <c r="H2474" s="117">
        <v>2572117</v>
      </c>
      <c r="I2474" s="124">
        <v>40957</v>
      </c>
      <c r="J2474" s="124">
        <v>40965</v>
      </c>
      <c r="K2474" s="126">
        <v>10000</v>
      </c>
      <c r="L2474" s="127" t="s">
        <v>570</v>
      </c>
      <c r="M2474" s="125">
        <v>40965</v>
      </c>
      <c r="N2474" s="129" t="str">
        <f t="shared" si="1828"/>
        <v>Y</v>
      </c>
      <c r="O2474" s="128" t="s">
        <v>76</v>
      </c>
      <c r="P2474" s="129" t="s">
        <v>39</v>
      </c>
      <c r="Q2474" s="111">
        <f t="shared" si="1823"/>
        <v>9</v>
      </c>
      <c r="R2474" s="111">
        <f t="shared" si="1822"/>
        <v>168</v>
      </c>
      <c r="S2474" s="129">
        <v>0</v>
      </c>
      <c r="T2474" s="129">
        <v>1</v>
      </c>
      <c r="W2474" s="111"/>
      <c r="AB2474" s="131" t="s">
        <v>112</v>
      </c>
      <c r="AC2474" s="130"/>
      <c r="AD2474" s="130">
        <v>28078</v>
      </c>
      <c r="AE2474" s="128" t="s">
        <v>32</v>
      </c>
      <c r="AF2474" s="128" t="s">
        <v>40</v>
      </c>
      <c r="AG2474" s="128" t="s">
        <v>41</v>
      </c>
      <c r="AH2474" s="108" t="s">
        <v>31</v>
      </c>
      <c r="AI2474" s="128" t="s">
        <v>100</v>
      </c>
      <c r="AJ2474" s="129" t="s">
        <v>89</v>
      </c>
      <c r="AK2474" s="129">
        <v>8</v>
      </c>
      <c r="AL2474" s="3" t="s">
        <v>991</v>
      </c>
      <c r="AO2474" s="128">
        <v>365</v>
      </c>
      <c r="AP2474" s="129" t="s">
        <v>84</v>
      </c>
      <c r="AR2474" s="128" t="s">
        <v>67</v>
      </c>
      <c r="AS2474" s="129" t="s">
        <v>74</v>
      </c>
      <c r="BC2474" s="129" t="s">
        <v>52</v>
      </c>
      <c r="BF2474" s="111">
        <f t="shared" si="1829"/>
        <v>9</v>
      </c>
      <c r="BG2474" s="111">
        <f t="shared" ref="BG2474:BG2489" si="1831">IF(G2474&gt;1/1/1900,((G2474+1)-I2474),"STILL OPEN")</f>
        <v>168</v>
      </c>
      <c r="BH2474" s="111">
        <f t="shared" si="1798"/>
        <v>168</v>
      </c>
      <c r="BI2474" s="111">
        <f t="shared" si="1799"/>
        <v>35.188524590163937</v>
      </c>
      <c r="BJ2474" s="129">
        <f>(G2474-J2474)+(M2474-G2474)</f>
        <v>0</v>
      </c>
      <c r="BK2474" s="129">
        <f t="shared" si="1800"/>
        <v>-159</v>
      </c>
      <c r="BL2474" s="129" t="str">
        <f t="shared" si="1795"/>
        <v>CONVICTION</v>
      </c>
      <c r="BM2474" s="129" t="s">
        <v>76</v>
      </c>
      <c r="BN2474" s="129" t="s">
        <v>88</v>
      </c>
      <c r="BP2474" s="137" t="str">
        <f t="shared" si="1802"/>
        <v>CONVICTION</v>
      </c>
      <c r="BQ2474" s="128" t="str">
        <f t="shared" si="1812"/>
        <v>Y</v>
      </c>
      <c r="BR2474" s="129" t="str">
        <f>IF(J2474&lt;G2474,"ON BOND",0)</f>
        <v>ON BOND</v>
      </c>
      <c r="BS2474" s="129" t="str">
        <f t="shared" si="1804"/>
        <v>DISPOSED</v>
      </c>
      <c r="BT2474" s="129" t="str">
        <f t="shared" si="1805"/>
        <v>N</v>
      </c>
      <c r="BU2474" s="109">
        <f t="shared" si="1806"/>
        <v>5.3571428571428568E-2</v>
      </c>
      <c r="BV2474" s="109">
        <f t="shared" si="1813"/>
        <v>5.3571428571428568E-2</v>
      </c>
      <c r="BW2474" s="109">
        <f t="shared" ref="BW2474:BW2523" si="1832">BV2474-BU2474</f>
        <v>0</v>
      </c>
      <c r="BX2474" s="111">
        <f t="shared" si="1807"/>
        <v>0</v>
      </c>
      <c r="BY2474" s="129">
        <f t="shared" si="1814"/>
        <v>-9</v>
      </c>
      <c r="BZ2474" s="111">
        <f t="shared" si="1815"/>
        <v>0</v>
      </c>
      <c r="CA2474" s="138">
        <f t="shared" si="1816"/>
        <v>9</v>
      </c>
      <c r="CB2474" s="111" t="e">
        <f t="shared" si="1830"/>
        <v>#VALUE!</v>
      </c>
      <c r="CC2474" s="129">
        <f>M2474-I2474+1</f>
        <v>9</v>
      </c>
      <c r="CD2474" s="111">
        <f>CC2474-BF2474</f>
        <v>0</v>
      </c>
      <c r="CG2474" s="129" t="str">
        <f t="shared" si="1817"/>
        <v>Y</v>
      </c>
      <c r="CI2474" s="129" t="str">
        <f t="shared" si="1818"/>
        <v>0-10 DAYS</v>
      </c>
      <c r="CJ2474" s="137">
        <f t="shared" si="1819"/>
        <v>1</v>
      </c>
      <c r="CK2474" s="129" t="str">
        <f t="shared" si="1820"/>
        <v>Booked</v>
      </c>
    </row>
    <row r="2475" spans="1:89" ht="15.75" customHeight="1" x14ac:dyDescent="0.25">
      <c r="A2475" s="111">
        <v>1512</v>
      </c>
      <c r="B2475" s="128" t="str">
        <f t="shared" si="1808"/>
        <v>N</v>
      </c>
      <c r="C2475" s="128" t="str">
        <f t="shared" si="1809"/>
        <v>N</v>
      </c>
      <c r="D2475" s="117">
        <v>2572673</v>
      </c>
      <c r="E2475" s="135">
        <f t="shared" si="1810"/>
        <v>6</v>
      </c>
      <c r="F2475" s="124">
        <v>40964</v>
      </c>
      <c r="G2475" s="125">
        <v>41192</v>
      </c>
      <c r="H2475" s="117">
        <v>2572673</v>
      </c>
      <c r="I2475" s="124">
        <v>40965</v>
      </c>
      <c r="J2475" s="124">
        <v>41192</v>
      </c>
      <c r="K2475" s="126">
        <v>5000</v>
      </c>
      <c r="L2475" s="127" t="s">
        <v>569</v>
      </c>
      <c r="N2475" s="129" t="str">
        <f t="shared" si="1828"/>
        <v>N</v>
      </c>
      <c r="O2475" s="128" t="s">
        <v>917</v>
      </c>
      <c r="P2475" s="129" t="s">
        <v>589</v>
      </c>
      <c r="Q2475" s="111">
        <f t="shared" si="1823"/>
        <v>228</v>
      </c>
      <c r="R2475" s="111">
        <f t="shared" si="1822"/>
        <v>229</v>
      </c>
      <c r="S2475" s="129">
        <v>1</v>
      </c>
      <c r="T2475" s="129">
        <v>0</v>
      </c>
      <c r="V2475" s="117">
        <v>1</v>
      </c>
      <c r="W2475" s="111"/>
      <c r="AC2475" s="130"/>
      <c r="AD2475" s="130">
        <v>30476</v>
      </c>
      <c r="AE2475" s="128" t="s">
        <v>32</v>
      </c>
      <c r="AF2475" s="128" t="s">
        <v>33</v>
      </c>
      <c r="AG2475" s="128" t="s">
        <v>872</v>
      </c>
      <c r="AH2475" s="108" t="s">
        <v>31</v>
      </c>
      <c r="AI2475" s="128" t="s">
        <v>65</v>
      </c>
      <c r="AJ2475" s="129" t="s">
        <v>89</v>
      </c>
      <c r="AK2475" s="129">
        <v>7</v>
      </c>
      <c r="AL2475" s="3" t="s">
        <v>362</v>
      </c>
      <c r="AM2475" s="117">
        <v>8</v>
      </c>
      <c r="AP2475" s="129" t="s">
        <v>150</v>
      </c>
      <c r="AR2475" s="128" t="s">
        <v>67</v>
      </c>
      <c r="AS2475" s="129" t="s">
        <v>74</v>
      </c>
      <c r="BC2475" s="129" t="s">
        <v>38</v>
      </c>
      <c r="BF2475" s="111">
        <f t="shared" si="1829"/>
        <v>228</v>
      </c>
      <c r="BG2475" s="111">
        <f t="shared" si="1831"/>
        <v>228</v>
      </c>
      <c r="BH2475" s="111">
        <f t="shared" si="1798"/>
        <v>229</v>
      </c>
      <c r="BI2475" s="111">
        <f t="shared" si="1799"/>
        <v>28.655737704918032</v>
      </c>
      <c r="BJ2475" s="129">
        <f t="shared" si="1811"/>
        <v>0</v>
      </c>
      <c r="BK2475" s="129">
        <f t="shared" si="1800"/>
        <v>0</v>
      </c>
      <c r="BL2475" s="129" t="str">
        <f t="shared" si="1795"/>
        <v>CONVICTION</v>
      </c>
      <c r="BM2475" s="129" t="str">
        <f t="shared" si="1801"/>
        <v>NONE</v>
      </c>
      <c r="BN2475" s="129" t="s">
        <v>566</v>
      </c>
      <c r="BP2475" s="137" t="str">
        <f t="shared" si="1802"/>
        <v>CONVICTION</v>
      </c>
      <c r="BQ2475" s="128" t="str">
        <f t="shared" si="1812"/>
        <v>Y</v>
      </c>
      <c r="BR2475" s="129" t="str">
        <f t="shared" si="1803"/>
        <v>DETAINED</v>
      </c>
      <c r="BS2475" s="129" t="str">
        <f t="shared" si="1804"/>
        <v>DISPOSED</v>
      </c>
      <c r="BT2475" s="129" t="str">
        <f t="shared" si="1805"/>
        <v>Y</v>
      </c>
      <c r="BU2475" s="109">
        <f t="shared" si="1806"/>
        <v>0.99563318777292575</v>
      </c>
      <c r="BV2475" s="109">
        <f t="shared" si="1813"/>
        <v>1</v>
      </c>
      <c r="BW2475" s="109">
        <f t="shared" si="1832"/>
        <v>4.366812227074246E-3</v>
      </c>
      <c r="BX2475" s="111">
        <f t="shared" si="1807"/>
        <v>0</v>
      </c>
      <c r="BY2475" s="129">
        <f t="shared" si="1814"/>
        <v>-228</v>
      </c>
      <c r="BZ2475" s="111">
        <f t="shared" si="1815"/>
        <v>0</v>
      </c>
      <c r="CA2475" s="138">
        <f t="shared" si="1816"/>
        <v>228</v>
      </c>
      <c r="CB2475" s="111" t="e">
        <f t="shared" si="1830"/>
        <v>#VALUE!</v>
      </c>
      <c r="CC2475" s="129">
        <f t="shared" ref="CC2475:CC2484" si="1833">G2475-I2475+1</f>
        <v>228</v>
      </c>
      <c r="CD2475" s="129">
        <f t="shared" ref="CD2475:CD2484" si="1834">G2475-J2475</f>
        <v>0</v>
      </c>
      <c r="CG2475" s="129" t="str">
        <f t="shared" si="1817"/>
        <v>Y</v>
      </c>
      <c r="CI2475" s="129" t="str">
        <f t="shared" si="1818"/>
        <v>121-365 DAYS</v>
      </c>
      <c r="CJ2475" s="137">
        <f t="shared" si="1819"/>
        <v>6</v>
      </c>
      <c r="CK2475" s="129" t="str">
        <f t="shared" si="1820"/>
        <v>Booked</v>
      </c>
    </row>
    <row r="2476" spans="1:89" ht="15.75" customHeight="1" x14ac:dyDescent="0.25">
      <c r="A2476" s="111">
        <v>336</v>
      </c>
      <c r="B2476" s="128" t="str">
        <f t="shared" si="1808"/>
        <v>N</v>
      </c>
      <c r="C2476" s="128" t="str">
        <f t="shared" si="1809"/>
        <v>N</v>
      </c>
      <c r="D2476" s="117">
        <v>2573204</v>
      </c>
      <c r="E2476" s="135">
        <f t="shared" si="1810"/>
        <v>1</v>
      </c>
      <c r="F2476" s="124">
        <v>40922</v>
      </c>
      <c r="G2476" s="125">
        <v>40973</v>
      </c>
      <c r="H2476" s="117">
        <v>2573204</v>
      </c>
      <c r="I2476" s="124">
        <v>40922</v>
      </c>
      <c r="J2476" s="124">
        <v>40973</v>
      </c>
      <c r="K2476" s="126">
        <v>5000</v>
      </c>
      <c r="L2476" s="127" t="s">
        <v>569</v>
      </c>
      <c r="N2476" s="129" t="str">
        <f t="shared" si="1828"/>
        <v>N</v>
      </c>
      <c r="O2476" s="128" t="s">
        <v>917</v>
      </c>
      <c r="P2476" s="129" t="s">
        <v>123</v>
      </c>
      <c r="Q2476" s="111">
        <f t="shared" si="1823"/>
        <v>52</v>
      </c>
      <c r="R2476" s="111">
        <f t="shared" si="1822"/>
        <v>52</v>
      </c>
      <c r="S2476" s="129">
        <v>1</v>
      </c>
      <c r="T2476" s="129">
        <v>1</v>
      </c>
      <c r="V2476" s="117">
        <v>1</v>
      </c>
      <c r="W2476" s="111"/>
      <c r="AC2476" s="130"/>
      <c r="AD2476" s="130">
        <v>22416</v>
      </c>
      <c r="AE2476" s="128" t="s">
        <v>46</v>
      </c>
      <c r="AF2476" s="128" t="s">
        <v>33</v>
      </c>
      <c r="AG2476" s="128" t="s">
        <v>872</v>
      </c>
      <c r="AH2476" s="108" t="s">
        <v>31</v>
      </c>
      <c r="AI2476" s="128" t="s">
        <v>71</v>
      </c>
      <c r="AJ2476" s="129" t="s">
        <v>123</v>
      </c>
      <c r="AK2476" s="129">
        <v>7</v>
      </c>
      <c r="AL2476" s="3" t="s">
        <v>123</v>
      </c>
      <c r="AP2476" s="129" t="s">
        <v>137</v>
      </c>
      <c r="AR2476" s="128" t="s">
        <v>67</v>
      </c>
      <c r="AS2476" s="129" t="s">
        <v>64</v>
      </c>
      <c r="AT2476" s="129" t="s">
        <v>195</v>
      </c>
      <c r="BC2476" s="129" t="s">
        <v>99</v>
      </c>
      <c r="BF2476" s="111">
        <f t="shared" si="1829"/>
        <v>52</v>
      </c>
      <c r="BG2476" s="111">
        <f t="shared" si="1831"/>
        <v>52</v>
      </c>
      <c r="BH2476" s="111">
        <f t="shared" si="1798"/>
        <v>52</v>
      </c>
      <c r="BI2476" s="111">
        <f t="shared" si="1799"/>
        <v>50.562841530054648</v>
      </c>
      <c r="BJ2476" s="129">
        <f t="shared" si="1811"/>
        <v>0</v>
      </c>
      <c r="BK2476" s="129">
        <f t="shared" si="1800"/>
        <v>0</v>
      </c>
      <c r="BL2476" s="129" t="str">
        <f t="shared" si="1795"/>
        <v>NO CONVICTION</v>
      </c>
      <c r="BM2476" s="129" t="str">
        <f t="shared" si="1801"/>
        <v>NONE</v>
      </c>
      <c r="BN2476" s="129" t="s">
        <v>566</v>
      </c>
      <c r="BP2476" s="137" t="str">
        <f t="shared" si="1802"/>
        <v>NO CONVICTION</v>
      </c>
      <c r="BQ2476" s="128" t="str">
        <f t="shared" si="1812"/>
        <v>Y</v>
      </c>
      <c r="BR2476" s="129" t="str">
        <f t="shared" si="1803"/>
        <v>DETAINED</v>
      </c>
      <c r="BS2476" s="129" t="str">
        <f t="shared" si="1804"/>
        <v>DISPOSED</v>
      </c>
      <c r="BT2476" s="129" t="str">
        <f t="shared" si="1805"/>
        <v>Y</v>
      </c>
      <c r="BU2476" s="109">
        <f>IFERROR(Q2476/R2476,BR2476)</f>
        <v>1</v>
      </c>
      <c r="BV2476" s="109">
        <f t="shared" si="1813"/>
        <v>1</v>
      </c>
      <c r="BW2476" s="109">
        <f t="shared" si="1832"/>
        <v>0</v>
      </c>
      <c r="BX2476" s="111">
        <f t="shared" si="1807"/>
        <v>0</v>
      </c>
      <c r="BY2476" s="129">
        <f t="shared" si="1814"/>
        <v>-52</v>
      </c>
      <c r="BZ2476" s="111">
        <f t="shared" si="1815"/>
        <v>0</v>
      </c>
      <c r="CA2476" s="138">
        <f t="shared" si="1816"/>
        <v>52</v>
      </c>
      <c r="CB2476" s="111" t="e">
        <f t="shared" si="1830"/>
        <v>#VALUE!</v>
      </c>
      <c r="CC2476" s="129">
        <f t="shared" si="1833"/>
        <v>52</v>
      </c>
      <c r="CD2476" s="129">
        <f t="shared" si="1834"/>
        <v>0</v>
      </c>
      <c r="CG2476" s="129" t="str">
        <f t="shared" si="1817"/>
        <v>Y</v>
      </c>
      <c r="CI2476" s="129" t="str">
        <f t="shared" si="1818"/>
        <v>31-60 DAYS</v>
      </c>
      <c r="CJ2476" s="137">
        <f t="shared" si="1819"/>
        <v>3</v>
      </c>
      <c r="CK2476" s="129" t="str">
        <f t="shared" si="1820"/>
        <v>Booked</v>
      </c>
    </row>
    <row r="2477" spans="1:89" ht="15.75" customHeight="1" x14ac:dyDescent="0.25">
      <c r="A2477" s="111">
        <v>546</v>
      </c>
      <c r="B2477" s="128" t="str">
        <f t="shared" si="1808"/>
        <v>N</v>
      </c>
      <c r="C2477" s="128" t="str">
        <f t="shared" si="1809"/>
        <v>N</v>
      </c>
      <c r="D2477" s="117">
        <v>2573211</v>
      </c>
      <c r="E2477" s="135">
        <f t="shared" si="1810"/>
        <v>2</v>
      </c>
      <c r="F2477" s="124">
        <v>40930</v>
      </c>
      <c r="G2477" s="125">
        <v>40932</v>
      </c>
      <c r="H2477" s="117">
        <v>2573211</v>
      </c>
      <c r="I2477" s="124">
        <v>40931</v>
      </c>
      <c r="J2477" s="124">
        <v>40932</v>
      </c>
      <c r="K2477" s="126">
        <v>2000</v>
      </c>
      <c r="L2477" s="127" t="s">
        <v>568</v>
      </c>
      <c r="N2477" s="129" t="str">
        <f t="shared" si="1828"/>
        <v>N</v>
      </c>
      <c r="O2477" s="128" t="s">
        <v>917</v>
      </c>
      <c r="P2477" s="129" t="s">
        <v>589</v>
      </c>
      <c r="Q2477" s="111">
        <f t="shared" si="1823"/>
        <v>2</v>
      </c>
      <c r="R2477" s="111">
        <f t="shared" si="1822"/>
        <v>3</v>
      </c>
      <c r="S2477" s="129">
        <v>0</v>
      </c>
      <c r="T2477" s="129">
        <v>3</v>
      </c>
      <c r="W2477" s="111"/>
      <c r="AC2477" s="130"/>
      <c r="AD2477" s="130">
        <v>34498</v>
      </c>
      <c r="AE2477" s="128" t="s">
        <v>32</v>
      </c>
      <c r="AF2477" s="128" t="s">
        <v>40</v>
      </c>
      <c r="AG2477" s="128" t="s">
        <v>41</v>
      </c>
      <c r="AH2477" s="108" t="s">
        <v>41</v>
      </c>
      <c r="AI2477" s="128" t="s">
        <v>113</v>
      </c>
      <c r="AJ2477" s="129" t="s">
        <v>48</v>
      </c>
      <c r="AK2477" s="129">
        <v>1</v>
      </c>
      <c r="AL2477" s="3" t="s">
        <v>48</v>
      </c>
      <c r="AP2477" s="129" t="s">
        <v>121</v>
      </c>
      <c r="AR2477" s="128" t="s">
        <v>44</v>
      </c>
      <c r="AS2477" s="129" t="s">
        <v>122</v>
      </c>
      <c r="BC2477" s="129" t="s">
        <v>38</v>
      </c>
      <c r="BF2477" s="111">
        <f t="shared" si="1829"/>
        <v>2</v>
      </c>
      <c r="BG2477" s="111">
        <f t="shared" si="1831"/>
        <v>2</v>
      </c>
      <c r="BH2477" s="111">
        <f t="shared" si="1798"/>
        <v>3</v>
      </c>
      <c r="BI2477" s="111">
        <f t="shared" si="1799"/>
        <v>17.57377049180328</v>
      </c>
      <c r="BJ2477" s="129">
        <f t="shared" si="1811"/>
        <v>0</v>
      </c>
      <c r="BK2477" s="129">
        <f t="shared" si="1800"/>
        <v>0</v>
      </c>
      <c r="BL2477" s="129" t="str">
        <f t="shared" si="1795"/>
        <v>DEFERRED</v>
      </c>
      <c r="BM2477" s="129" t="str">
        <f t="shared" si="1801"/>
        <v>NONE</v>
      </c>
      <c r="BN2477" s="129" t="s">
        <v>566</v>
      </c>
      <c r="BP2477" s="137" t="str">
        <f t="shared" si="1802"/>
        <v>DEFERRED</v>
      </c>
      <c r="BQ2477" s="128" t="str">
        <f t="shared" si="1812"/>
        <v>Y</v>
      </c>
      <c r="BR2477" s="129" t="str">
        <f t="shared" si="1803"/>
        <v>DETAINED</v>
      </c>
      <c r="BS2477" s="129" t="str">
        <f t="shared" si="1804"/>
        <v>DISPOSED</v>
      </c>
      <c r="BT2477" s="129" t="str">
        <f t="shared" si="1805"/>
        <v>N</v>
      </c>
      <c r="BU2477" s="109">
        <f t="shared" si="1806"/>
        <v>0.66666666666666663</v>
      </c>
      <c r="BV2477" s="109">
        <f t="shared" si="1813"/>
        <v>1</v>
      </c>
      <c r="BW2477" s="109">
        <f t="shared" si="1832"/>
        <v>0.33333333333333337</v>
      </c>
      <c r="BX2477" s="111">
        <f t="shared" si="1807"/>
        <v>0</v>
      </c>
      <c r="BY2477" s="129">
        <f t="shared" si="1814"/>
        <v>-2</v>
      </c>
      <c r="BZ2477" s="111">
        <f t="shared" si="1815"/>
        <v>0</v>
      </c>
      <c r="CA2477" s="138">
        <f t="shared" si="1816"/>
        <v>2</v>
      </c>
      <c r="CB2477" s="111" t="e">
        <f t="shared" si="1830"/>
        <v>#VALUE!</v>
      </c>
      <c r="CC2477" s="129">
        <f t="shared" si="1833"/>
        <v>2</v>
      </c>
      <c r="CD2477" s="129">
        <f t="shared" si="1834"/>
        <v>0</v>
      </c>
      <c r="CG2477" s="129" t="str">
        <f t="shared" si="1817"/>
        <v>Y</v>
      </c>
      <c r="CI2477" s="129" t="str">
        <f t="shared" si="1818"/>
        <v>0-10 DAYS</v>
      </c>
      <c r="CJ2477" s="137">
        <f t="shared" si="1819"/>
        <v>1</v>
      </c>
      <c r="CK2477" s="129" t="str">
        <f t="shared" si="1820"/>
        <v>Booked</v>
      </c>
    </row>
    <row r="2478" spans="1:89" ht="15.75" customHeight="1" x14ac:dyDescent="0.25">
      <c r="A2478" s="111">
        <v>2120</v>
      </c>
      <c r="B2478" s="128" t="str">
        <f t="shared" si="1808"/>
        <v>N</v>
      </c>
      <c r="C2478" s="128" t="str">
        <f t="shared" si="1809"/>
        <v>N</v>
      </c>
      <c r="D2478" s="117">
        <v>2573700</v>
      </c>
      <c r="E2478" s="135">
        <f t="shared" si="1810"/>
        <v>5</v>
      </c>
      <c r="F2478" s="124">
        <v>40988</v>
      </c>
      <c r="G2478" s="125">
        <v>40990</v>
      </c>
      <c r="H2478" s="117">
        <v>2573700</v>
      </c>
      <c r="I2478" s="124">
        <v>40988</v>
      </c>
      <c r="J2478" s="124">
        <v>40990</v>
      </c>
      <c r="K2478" s="126">
        <v>2000</v>
      </c>
      <c r="L2478" s="127" t="s">
        <v>568</v>
      </c>
      <c r="N2478" s="129" t="str">
        <f t="shared" si="1828"/>
        <v>N</v>
      </c>
      <c r="O2478" s="128" t="s">
        <v>917</v>
      </c>
      <c r="P2478" s="129" t="s">
        <v>39</v>
      </c>
      <c r="Q2478" s="111">
        <f t="shared" si="1823"/>
        <v>3</v>
      </c>
      <c r="R2478" s="111">
        <f t="shared" si="1822"/>
        <v>3</v>
      </c>
      <c r="S2478" s="129">
        <v>0</v>
      </c>
      <c r="T2478" s="129">
        <v>1</v>
      </c>
      <c r="W2478" s="111"/>
      <c r="AB2478" s="131" t="s">
        <v>112</v>
      </c>
      <c r="AC2478" s="130"/>
      <c r="AD2478" s="130">
        <v>33530</v>
      </c>
      <c r="AE2478" s="128" t="s">
        <v>32</v>
      </c>
      <c r="AF2478" s="128" t="s">
        <v>40</v>
      </c>
      <c r="AG2478" s="128" t="s">
        <v>41</v>
      </c>
      <c r="AH2478" s="108" t="s">
        <v>31</v>
      </c>
      <c r="AI2478" s="128" t="s">
        <v>90</v>
      </c>
      <c r="AJ2478" s="129" t="s">
        <v>89</v>
      </c>
      <c r="AK2478" s="129">
        <v>1</v>
      </c>
      <c r="AL2478" s="3" t="s">
        <v>992</v>
      </c>
      <c r="AN2478" s="117">
        <v>6</v>
      </c>
      <c r="AP2478" s="129" t="s">
        <v>107</v>
      </c>
      <c r="AR2478" s="128" t="s">
        <v>44</v>
      </c>
      <c r="AS2478" s="129" t="s">
        <v>57</v>
      </c>
      <c r="BC2478" s="129" t="s">
        <v>38</v>
      </c>
      <c r="BF2478" s="111">
        <f t="shared" si="1829"/>
        <v>3</v>
      </c>
      <c r="BG2478" s="111">
        <f t="shared" si="1831"/>
        <v>3</v>
      </c>
      <c r="BH2478" s="111">
        <f t="shared" si="1798"/>
        <v>3</v>
      </c>
      <c r="BI2478" s="111">
        <f t="shared" si="1799"/>
        <v>20.377049180327869</v>
      </c>
      <c r="BJ2478" s="129">
        <f t="shared" si="1811"/>
        <v>0</v>
      </c>
      <c r="BK2478" s="129">
        <f t="shared" si="1800"/>
        <v>0</v>
      </c>
      <c r="BL2478" s="129" t="str">
        <f t="shared" si="1795"/>
        <v>CONVICTION</v>
      </c>
      <c r="BM2478" s="129" t="str">
        <f t="shared" si="1801"/>
        <v>NONE</v>
      </c>
      <c r="BN2478" s="129" t="s">
        <v>566</v>
      </c>
      <c r="BP2478" s="137" t="str">
        <f t="shared" si="1802"/>
        <v>CONVICTION</v>
      </c>
      <c r="BQ2478" s="128" t="str">
        <f t="shared" si="1812"/>
        <v>Y</v>
      </c>
      <c r="BR2478" s="129" t="str">
        <f t="shared" si="1803"/>
        <v>DETAINED</v>
      </c>
      <c r="BS2478" s="129" t="str">
        <f t="shared" si="1804"/>
        <v>DISPOSED</v>
      </c>
      <c r="BT2478" s="129" t="str">
        <f t="shared" si="1805"/>
        <v>N</v>
      </c>
      <c r="BU2478" s="109">
        <f t="shared" si="1806"/>
        <v>1</v>
      </c>
      <c r="BV2478" s="109">
        <f t="shared" si="1813"/>
        <v>1</v>
      </c>
      <c r="BW2478" s="109">
        <f t="shared" si="1832"/>
        <v>0</v>
      </c>
      <c r="BX2478" s="111">
        <f t="shared" si="1807"/>
        <v>0</v>
      </c>
      <c r="BY2478" s="129">
        <f t="shared" si="1814"/>
        <v>-3</v>
      </c>
      <c r="BZ2478" s="111">
        <f t="shared" si="1815"/>
        <v>0</v>
      </c>
      <c r="CA2478" s="138">
        <f t="shared" si="1816"/>
        <v>3</v>
      </c>
      <c r="CB2478" s="111" t="e">
        <f t="shared" si="1830"/>
        <v>#VALUE!</v>
      </c>
      <c r="CC2478" s="129">
        <f t="shared" si="1833"/>
        <v>3</v>
      </c>
      <c r="CD2478" s="129">
        <f t="shared" si="1834"/>
        <v>0</v>
      </c>
      <c r="CG2478" s="129" t="str">
        <f t="shared" si="1817"/>
        <v>Y</v>
      </c>
      <c r="CI2478" s="129" t="str">
        <f t="shared" si="1818"/>
        <v>0-10 DAYS</v>
      </c>
      <c r="CJ2478" s="137">
        <f t="shared" si="1819"/>
        <v>1</v>
      </c>
      <c r="CK2478" s="129" t="str">
        <f t="shared" si="1820"/>
        <v>Booked</v>
      </c>
    </row>
    <row r="2479" spans="1:89" ht="15.75" customHeight="1" x14ac:dyDescent="0.25">
      <c r="A2479" s="111">
        <v>1506</v>
      </c>
      <c r="B2479" s="128" t="str">
        <f t="shared" si="1808"/>
        <v>N</v>
      </c>
      <c r="C2479" s="128" t="str">
        <f t="shared" si="1809"/>
        <v>N</v>
      </c>
      <c r="D2479" s="117">
        <v>2574501</v>
      </c>
      <c r="E2479" s="135">
        <f t="shared" si="1810"/>
        <v>2</v>
      </c>
      <c r="F2479" s="124">
        <v>40964</v>
      </c>
      <c r="G2479" s="125">
        <v>41100</v>
      </c>
      <c r="H2479" s="117">
        <v>2574501</v>
      </c>
      <c r="I2479" s="124">
        <v>40964</v>
      </c>
      <c r="J2479" s="125">
        <v>41100</v>
      </c>
      <c r="K2479" s="126">
        <v>5000</v>
      </c>
      <c r="L2479" s="127" t="s">
        <v>569</v>
      </c>
      <c r="N2479" s="129" t="str">
        <f t="shared" si="1828"/>
        <v>N</v>
      </c>
      <c r="O2479" s="128" t="s">
        <v>917</v>
      </c>
      <c r="P2479" s="129" t="s">
        <v>589</v>
      </c>
      <c r="Q2479" s="111">
        <f t="shared" si="1823"/>
        <v>137</v>
      </c>
      <c r="R2479" s="111">
        <f t="shared" si="1822"/>
        <v>137</v>
      </c>
      <c r="S2479" s="129">
        <v>0</v>
      </c>
      <c r="T2479" s="129">
        <v>1</v>
      </c>
      <c r="W2479" s="111"/>
      <c r="AC2479" s="130"/>
      <c r="AD2479" s="130">
        <v>33445</v>
      </c>
      <c r="AE2479" s="128" t="s">
        <v>32</v>
      </c>
      <c r="AF2479" s="128" t="s">
        <v>33</v>
      </c>
      <c r="AG2479" s="128" t="s">
        <v>872</v>
      </c>
      <c r="AH2479" s="108" t="s">
        <v>58</v>
      </c>
      <c r="AI2479" s="128" t="s">
        <v>87</v>
      </c>
      <c r="AJ2479" s="129" t="s">
        <v>48</v>
      </c>
      <c r="AK2479" s="129">
        <v>6</v>
      </c>
      <c r="AL2479" s="3" t="s">
        <v>48</v>
      </c>
      <c r="AP2479" s="129" t="s">
        <v>158</v>
      </c>
      <c r="AR2479" s="128" t="s">
        <v>67</v>
      </c>
      <c r="AS2479" s="129" t="s">
        <v>64</v>
      </c>
      <c r="BC2479" s="129" t="s">
        <v>38</v>
      </c>
      <c r="BF2479" s="111">
        <f t="shared" si="1829"/>
        <v>137</v>
      </c>
      <c r="BG2479" s="111">
        <f t="shared" si="1831"/>
        <v>137</v>
      </c>
      <c r="BH2479" s="111">
        <f t="shared" si="1798"/>
        <v>137</v>
      </c>
      <c r="BI2479" s="111">
        <f t="shared" si="1799"/>
        <v>20.543715846994534</v>
      </c>
      <c r="BJ2479" s="129">
        <f t="shared" si="1811"/>
        <v>0</v>
      </c>
      <c r="BK2479" s="129">
        <f t="shared" si="1800"/>
        <v>0</v>
      </c>
      <c r="BL2479" s="129" t="str">
        <f t="shared" si="1795"/>
        <v>DEFERRED</v>
      </c>
      <c r="BM2479" s="129" t="str">
        <f t="shared" si="1801"/>
        <v>NONE</v>
      </c>
      <c r="BN2479" s="129" t="s">
        <v>566</v>
      </c>
      <c r="BP2479" s="137" t="str">
        <f t="shared" si="1802"/>
        <v>DEFERRED</v>
      </c>
      <c r="BQ2479" s="128" t="str">
        <f t="shared" si="1812"/>
        <v>Y</v>
      </c>
      <c r="BR2479" s="129" t="str">
        <f t="shared" si="1803"/>
        <v>DETAINED</v>
      </c>
      <c r="BS2479" s="129" t="str">
        <f t="shared" si="1804"/>
        <v>DISPOSED</v>
      </c>
      <c r="BT2479" s="129" t="str">
        <f t="shared" si="1805"/>
        <v>N</v>
      </c>
      <c r="BU2479" s="109">
        <f t="shared" si="1806"/>
        <v>1</v>
      </c>
      <c r="BV2479" s="109">
        <f t="shared" si="1813"/>
        <v>1</v>
      </c>
      <c r="BW2479" s="109">
        <f t="shared" si="1832"/>
        <v>0</v>
      </c>
      <c r="BX2479" s="111">
        <f t="shared" si="1807"/>
        <v>0</v>
      </c>
      <c r="BY2479" s="129">
        <f t="shared" si="1814"/>
        <v>-137</v>
      </c>
      <c r="BZ2479" s="111">
        <f t="shared" si="1815"/>
        <v>0</v>
      </c>
      <c r="CA2479" s="138">
        <f t="shared" si="1816"/>
        <v>137</v>
      </c>
      <c r="CB2479" s="111" t="e">
        <f t="shared" si="1830"/>
        <v>#VALUE!</v>
      </c>
      <c r="CC2479" s="129">
        <f t="shared" si="1833"/>
        <v>137</v>
      </c>
      <c r="CD2479" s="129">
        <f t="shared" si="1834"/>
        <v>0</v>
      </c>
      <c r="CG2479" s="129" t="str">
        <f t="shared" si="1817"/>
        <v>Y</v>
      </c>
      <c r="CI2479" s="129" t="str">
        <f t="shared" si="1818"/>
        <v>121-365 DAYS</v>
      </c>
      <c r="CJ2479" s="137">
        <f t="shared" si="1819"/>
        <v>6</v>
      </c>
      <c r="CK2479" s="129" t="str">
        <f t="shared" si="1820"/>
        <v>Booked</v>
      </c>
    </row>
    <row r="2480" spans="1:89" ht="15.75" customHeight="1" x14ac:dyDescent="0.25">
      <c r="A2480" s="111">
        <v>3012</v>
      </c>
      <c r="B2480" s="128" t="str">
        <f t="shared" si="1808"/>
        <v>N</v>
      </c>
      <c r="C2480" s="128" t="str">
        <f t="shared" si="1809"/>
        <v>N</v>
      </c>
      <c r="D2480" s="117">
        <v>2574873</v>
      </c>
      <c r="E2480" s="135">
        <f t="shared" si="1810"/>
        <v>4</v>
      </c>
      <c r="F2480" s="124">
        <v>41020</v>
      </c>
      <c r="G2480" s="125">
        <v>41117</v>
      </c>
      <c r="H2480" s="117">
        <v>2574873</v>
      </c>
      <c r="I2480" s="124">
        <v>41020</v>
      </c>
      <c r="J2480" s="124">
        <v>41117</v>
      </c>
      <c r="K2480" s="126">
        <v>5000</v>
      </c>
      <c r="L2480" s="127" t="s">
        <v>569</v>
      </c>
      <c r="N2480" s="129" t="str">
        <f t="shared" si="1828"/>
        <v>N</v>
      </c>
      <c r="O2480" s="128" t="s">
        <v>917</v>
      </c>
      <c r="P2480" s="129" t="s">
        <v>39</v>
      </c>
      <c r="Q2480" s="111">
        <f t="shared" si="1823"/>
        <v>98</v>
      </c>
      <c r="R2480" s="111">
        <f t="shared" si="1822"/>
        <v>98</v>
      </c>
      <c r="S2480" s="129">
        <v>0</v>
      </c>
      <c r="T2480" s="129">
        <v>2</v>
      </c>
      <c r="W2480" s="111"/>
      <c r="AC2480" s="130"/>
      <c r="AD2480" s="130">
        <v>32225</v>
      </c>
      <c r="AE2480" s="128" t="s">
        <v>46</v>
      </c>
      <c r="AF2480" s="128" t="s">
        <v>33</v>
      </c>
      <c r="AG2480" s="128" t="s">
        <v>872</v>
      </c>
      <c r="AH2480" s="108" t="s">
        <v>58</v>
      </c>
      <c r="AI2480" s="128" t="s">
        <v>34</v>
      </c>
      <c r="AJ2480" s="129" t="s">
        <v>89</v>
      </c>
      <c r="AK2480" s="129">
        <v>5</v>
      </c>
      <c r="AL2480" s="3" t="s">
        <v>991</v>
      </c>
      <c r="AO2480" s="128">
        <v>180</v>
      </c>
      <c r="AP2480" s="129" t="s">
        <v>151</v>
      </c>
      <c r="AR2480" s="128" t="s">
        <v>67</v>
      </c>
      <c r="AS2480" s="129" t="s">
        <v>64</v>
      </c>
      <c r="AT2480" s="129" t="s">
        <v>511</v>
      </c>
      <c r="BC2480" s="129" t="s">
        <v>38</v>
      </c>
      <c r="BF2480" s="111">
        <f t="shared" si="1829"/>
        <v>98</v>
      </c>
      <c r="BG2480" s="111">
        <f t="shared" si="1831"/>
        <v>98</v>
      </c>
      <c r="BH2480" s="111">
        <f t="shared" si="1798"/>
        <v>98</v>
      </c>
      <c r="BI2480" s="111">
        <f t="shared" si="1799"/>
        <v>24.030054644808743</v>
      </c>
      <c r="BJ2480" s="129">
        <f t="shared" si="1811"/>
        <v>0</v>
      </c>
      <c r="BK2480" s="129">
        <f t="shared" si="1800"/>
        <v>0</v>
      </c>
      <c r="BL2480" s="129" t="str">
        <f t="shared" si="1795"/>
        <v>CONVICTION</v>
      </c>
      <c r="BM2480" s="129" t="str">
        <f t="shared" si="1801"/>
        <v>NONE</v>
      </c>
      <c r="BN2480" s="129" t="s">
        <v>566</v>
      </c>
      <c r="BP2480" s="137" t="str">
        <f t="shared" si="1802"/>
        <v>CONVICTION</v>
      </c>
      <c r="BQ2480" s="128" t="str">
        <f t="shared" si="1812"/>
        <v>Y</v>
      </c>
      <c r="BR2480" s="129" t="str">
        <f t="shared" si="1803"/>
        <v>DETAINED</v>
      </c>
      <c r="BS2480" s="129" t="str">
        <f t="shared" si="1804"/>
        <v>DISPOSED</v>
      </c>
      <c r="BT2480" s="129" t="str">
        <f t="shared" si="1805"/>
        <v>N</v>
      </c>
      <c r="BU2480" s="109">
        <f t="shared" si="1806"/>
        <v>1</v>
      </c>
      <c r="BV2480" s="109">
        <f t="shared" si="1813"/>
        <v>1</v>
      </c>
      <c r="BW2480" s="109">
        <f t="shared" si="1832"/>
        <v>0</v>
      </c>
      <c r="BX2480" s="111">
        <f t="shared" si="1807"/>
        <v>0</v>
      </c>
      <c r="BY2480" s="129">
        <f t="shared" si="1814"/>
        <v>-98</v>
      </c>
      <c r="BZ2480" s="111">
        <f t="shared" si="1815"/>
        <v>0</v>
      </c>
      <c r="CA2480" s="138">
        <f t="shared" si="1816"/>
        <v>98</v>
      </c>
      <c r="CB2480" s="111" t="e">
        <f t="shared" si="1830"/>
        <v>#VALUE!</v>
      </c>
      <c r="CC2480" s="129">
        <f t="shared" si="1833"/>
        <v>98</v>
      </c>
      <c r="CD2480" s="129">
        <f t="shared" si="1834"/>
        <v>0</v>
      </c>
      <c r="CG2480" s="129" t="str">
        <f t="shared" si="1817"/>
        <v>Y</v>
      </c>
      <c r="CI2480" s="129" t="str">
        <f t="shared" si="1818"/>
        <v>91-120 DAYS</v>
      </c>
      <c r="CJ2480" s="137">
        <f t="shared" si="1819"/>
        <v>0</v>
      </c>
      <c r="CK2480" s="129" t="str">
        <f t="shared" si="1820"/>
        <v>Booked</v>
      </c>
    </row>
    <row r="2481" spans="1:89" ht="15" customHeight="1" x14ac:dyDescent="0.25">
      <c r="A2481" s="111">
        <v>2026</v>
      </c>
      <c r="B2481" s="128" t="str">
        <f t="shared" si="1808"/>
        <v>N</v>
      </c>
      <c r="C2481" s="128" t="str">
        <f t="shared" si="1809"/>
        <v>N</v>
      </c>
      <c r="D2481" s="117">
        <v>2575116</v>
      </c>
      <c r="E2481" s="135">
        <f t="shared" si="1810"/>
        <v>4</v>
      </c>
      <c r="F2481" s="124">
        <v>40985</v>
      </c>
      <c r="G2481" s="125">
        <v>41045</v>
      </c>
      <c r="H2481" s="117">
        <v>2575116</v>
      </c>
      <c r="I2481" s="124">
        <v>40985</v>
      </c>
      <c r="J2481" s="124">
        <v>41045</v>
      </c>
      <c r="K2481" s="126">
        <v>5000</v>
      </c>
      <c r="L2481" s="127" t="s">
        <v>569</v>
      </c>
      <c r="N2481" s="129" t="str">
        <f t="shared" si="1828"/>
        <v>N</v>
      </c>
      <c r="O2481" s="128" t="s">
        <v>917</v>
      </c>
      <c r="P2481" s="129" t="s">
        <v>39</v>
      </c>
      <c r="Q2481" s="111">
        <f t="shared" si="1823"/>
        <v>61</v>
      </c>
      <c r="R2481" s="111">
        <f t="shared" si="1822"/>
        <v>61</v>
      </c>
      <c r="S2481" s="129">
        <v>0</v>
      </c>
      <c r="T2481" s="129">
        <v>0</v>
      </c>
      <c r="W2481" s="111"/>
      <c r="AC2481" s="130"/>
      <c r="AD2481" s="130">
        <v>21879</v>
      </c>
      <c r="AE2481" s="128" t="s">
        <v>46</v>
      </c>
      <c r="AF2481" s="128" t="s">
        <v>33</v>
      </c>
      <c r="AG2481" s="128" t="s">
        <v>872</v>
      </c>
      <c r="AH2481" s="108" t="s">
        <v>31</v>
      </c>
      <c r="AI2481" s="128" t="s">
        <v>97</v>
      </c>
      <c r="AJ2481" s="129" t="s">
        <v>89</v>
      </c>
      <c r="AK2481" s="129">
        <v>3</v>
      </c>
      <c r="AL2481" s="3" t="s">
        <v>991</v>
      </c>
      <c r="AO2481" s="128">
        <v>300</v>
      </c>
      <c r="AP2481" s="129" t="s">
        <v>93</v>
      </c>
      <c r="AR2481" s="128" t="s">
        <v>67</v>
      </c>
      <c r="AS2481" s="129" t="s">
        <v>45</v>
      </c>
      <c r="BC2481" s="129" t="s">
        <v>38</v>
      </c>
      <c r="BF2481" s="111">
        <f t="shared" si="1829"/>
        <v>61</v>
      </c>
      <c r="BG2481" s="111">
        <f t="shared" si="1831"/>
        <v>61</v>
      </c>
      <c r="BH2481" s="111">
        <f t="shared" si="1798"/>
        <v>61</v>
      </c>
      <c r="BI2481" s="111">
        <f t="shared" si="1799"/>
        <v>52.202185792349724</v>
      </c>
      <c r="BJ2481" s="129">
        <f t="shared" si="1811"/>
        <v>0</v>
      </c>
      <c r="BK2481" s="129">
        <f t="shared" si="1800"/>
        <v>0</v>
      </c>
      <c r="BL2481" s="129" t="str">
        <f t="shared" si="1795"/>
        <v>CONVICTION</v>
      </c>
      <c r="BM2481" s="129" t="str">
        <f t="shared" si="1801"/>
        <v>NONE</v>
      </c>
      <c r="BN2481" s="129" t="s">
        <v>566</v>
      </c>
      <c r="BP2481" s="137" t="str">
        <f t="shared" si="1802"/>
        <v>CONVICTION</v>
      </c>
      <c r="BQ2481" s="128" t="str">
        <f t="shared" si="1812"/>
        <v>Y</v>
      </c>
      <c r="BR2481" s="129" t="str">
        <f t="shared" si="1803"/>
        <v>DETAINED</v>
      </c>
      <c r="BS2481" s="129" t="str">
        <f t="shared" si="1804"/>
        <v>DISPOSED</v>
      </c>
      <c r="BT2481" s="129" t="str">
        <f t="shared" si="1805"/>
        <v>N</v>
      </c>
      <c r="BU2481" s="109">
        <f t="shared" si="1806"/>
        <v>1</v>
      </c>
      <c r="BV2481" s="109">
        <f t="shared" si="1813"/>
        <v>1</v>
      </c>
      <c r="BW2481" s="109">
        <f t="shared" si="1832"/>
        <v>0</v>
      </c>
      <c r="BX2481" s="111">
        <f t="shared" si="1807"/>
        <v>0</v>
      </c>
      <c r="BY2481" s="129">
        <f t="shared" si="1814"/>
        <v>-61</v>
      </c>
      <c r="BZ2481" s="111">
        <f t="shared" si="1815"/>
        <v>0</v>
      </c>
      <c r="CA2481" s="138">
        <f t="shared" si="1816"/>
        <v>61</v>
      </c>
      <c r="CB2481" s="111" t="e">
        <f t="shared" si="1830"/>
        <v>#VALUE!</v>
      </c>
      <c r="CC2481" s="129">
        <f t="shared" si="1833"/>
        <v>61</v>
      </c>
      <c r="CD2481" s="129">
        <f t="shared" si="1834"/>
        <v>0</v>
      </c>
      <c r="CG2481" s="129" t="str">
        <f t="shared" si="1817"/>
        <v>N</v>
      </c>
      <c r="CI2481" s="129" t="str">
        <f t="shared" si="1818"/>
        <v>61-90 DAYS</v>
      </c>
      <c r="CJ2481" s="137">
        <f t="shared" si="1819"/>
        <v>4</v>
      </c>
      <c r="CK2481" s="129" t="str">
        <f t="shared" si="1820"/>
        <v>Booked</v>
      </c>
    </row>
    <row r="2482" spans="1:89" ht="15.75" customHeight="1" x14ac:dyDescent="0.25">
      <c r="A2482" s="111">
        <v>1321</v>
      </c>
      <c r="B2482" s="128" t="str">
        <f t="shared" si="1808"/>
        <v>N</v>
      </c>
      <c r="C2482" s="128" t="str">
        <f t="shared" si="1809"/>
        <v>N</v>
      </c>
      <c r="D2482" s="117">
        <v>2575438</v>
      </c>
      <c r="E2482" s="135">
        <f t="shared" si="1810"/>
        <v>6</v>
      </c>
      <c r="F2482" s="124">
        <v>40956</v>
      </c>
      <c r="G2482" s="125">
        <v>41185</v>
      </c>
      <c r="H2482" s="117">
        <v>2575438</v>
      </c>
      <c r="I2482" s="124">
        <v>41086</v>
      </c>
      <c r="J2482" s="124">
        <v>41185</v>
      </c>
      <c r="K2482" s="126">
        <v>60000</v>
      </c>
      <c r="L2482" s="129" t="s">
        <v>572</v>
      </c>
      <c r="N2482" s="129" t="str">
        <f t="shared" si="1828"/>
        <v>N</v>
      </c>
      <c r="O2482" s="128" t="s">
        <v>917</v>
      </c>
      <c r="P2482" s="129" t="s">
        <v>39</v>
      </c>
      <c r="Q2482" s="111">
        <f t="shared" si="1823"/>
        <v>100</v>
      </c>
      <c r="R2482" s="111">
        <f t="shared" si="1822"/>
        <v>230</v>
      </c>
      <c r="S2482" s="129">
        <v>0</v>
      </c>
      <c r="T2482" s="129">
        <v>1</v>
      </c>
      <c r="W2482" s="111"/>
      <c r="AC2482" s="130"/>
      <c r="AD2482" s="130">
        <v>34210</v>
      </c>
      <c r="AE2482" s="128" t="s">
        <v>32</v>
      </c>
      <c r="AF2482" s="128" t="s">
        <v>33</v>
      </c>
      <c r="AG2482" s="128" t="s">
        <v>872</v>
      </c>
      <c r="AH2482" s="108" t="s">
        <v>31</v>
      </c>
      <c r="AI2482" s="128" t="s">
        <v>42</v>
      </c>
      <c r="AJ2482" s="129" t="s">
        <v>89</v>
      </c>
      <c r="AK2482" s="129">
        <v>4</v>
      </c>
      <c r="AL2482" s="3" t="s">
        <v>362</v>
      </c>
      <c r="AM2482" s="117">
        <v>4</v>
      </c>
      <c r="AP2482" s="129" t="s">
        <v>105</v>
      </c>
      <c r="AR2482" s="128" t="s">
        <v>92</v>
      </c>
      <c r="AS2482" s="129" t="s">
        <v>106</v>
      </c>
      <c r="BC2482" s="129" t="s">
        <v>38</v>
      </c>
      <c r="BF2482" s="111">
        <f t="shared" si="1829"/>
        <v>100</v>
      </c>
      <c r="BG2482" s="111">
        <f t="shared" si="1831"/>
        <v>100</v>
      </c>
      <c r="BH2482" s="111">
        <f t="shared" si="1798"/>
        <v>230</v>
      </c>
      <c r="BI2482" s="111">
        <f t="shared" si="1799"/>
        <v>18.431693989071039</v>
      </c>
      <c r="BJ2482" s="129">
        <f t="shared" si="1811"/>
        <v>0</v>
      </c>
      <c r="BK2482" s="129">
        <f t="shared" si="1800"/>
        <v>0</v>
      </c>
      <c r="BL2482" s="129" t="str">
        <f t="shared" si="1795"/>
        <v>CONVICTION</v>
      </c>
      <c r="BM2482" s="129" t="str">
        <f t="shared" si="1801"/>
        <v>NONE</v>
      </c>
      <c r="BN2482" s="129" t="s">
        <v>566</v>
      </c>
      <c r="BP2482" s="137" t="str">
        <f t="shared" si="1802"/>
        <v>CONVICTION</v>
      </c>
      <c r="BQ2482" s="128" t="str">
        <f t="shared" si="1812"/>
        <v>Y</v>
      </c>
      <c r="BR2482" s="129" t="str">
        <f t="shared" si="1803"/>
        <v>DETAINED</v>
      </c>
      <c r="BS2482" s="129" t="str">
        <f t="shared" si="1804"/>
        <v>DISPOSED</v>
      </c>
      <c r="BT2482" s="129" t="str">
        <f t="shared" si="1805"/>
        <v>N</v>
      </c>
      <c r="BU2482" s="109">
        <f t="shared" si="1806"/>
        <v>0.43478260869565216</v>
      </c>
      <c r="BV2482" s="109">
        <f t="shared" si="1813"/>
        <v>1</v>
      </c>
      <c r="BW2482" s="109">
        <f t="shared" si="1832"/>
        <v>0.56521739130434789</v>
      </c>
      <c r="BX2482" s="111">
        <f t="shared" si="1807"/>
        <v>0</v>
      </c>
      <c r="BY2482" s="129">
        <f t="shared" si="1814"/>
        <v>-100</v>
      </c>
      <c r="BZ2482" s="111">
        <f t="shared" si="1815"/>
        <v>0</v>
      </c>
      <c r="CA2482" s="138">
        <f t="shared" si="1816"/>
        <v>100</v>
      </c>
      <c r="CB2482" s="111" t="e">
        <f t="shared" si="1830"/>
        <v>#VALUE!</v>
      </c>
      <c r="CC2482" s="129">
        <f t="shared" si="1833"/>
        <v>100</v>
      </c>
      <c r="CD2482" s="129">
        <f t="shared" si="1834"/>
        <v>0</v>
      </c>
      <c r="CG2482" s="129" t="str">
        <f t="shared" si="1817"/>
        <v>Y</v>
      </c>
      <c r="CI2482" s="129" t="str">
        <f t="shared" si="1818"/>
        <v>91-120 DAYS</v>
      </c>
      <c r="CJ2482" s="137">
        <f t="shared" si="1819"/>
        <v>0</v>
      </c>
      <c r="CK2482" s="129" t="str">
        <f t="shared" si="1820"/>
        <v>Booked</v>
      </c>
    </row>
    <row r="2483" spans="1:89" ht="15" customHeight="1" x14ac:dyDescent="0.25">
      <c r="A2483" s="111">
        <v>2255</v>
      </c>
      <c r="B2483" s="128" t="str">
        <f t="shared" si="1808"/>
        <v>N</v>
      </c>
      <c r="C2483" s="128" t="str">
        <f t="shared" si="1809"/>
        <v>N</v>
      </c>
      <c r="D2483" s="117">
        <v>2575470</v>
      </c>
      <c r="E2483" s="135">
        <f t="shared" si="1810"/>
        <v>6</v>
      </c>
      <c r="F2483" s="124">
        <v>40994</v>
      </c>
      <c r="G2483" s="125">
        <v>41177</v>
      </c>
      <c r="H2483" s="117">
        <v>2575470</v>
      </c>
      <c r="I2483" s="124">
        <v>40995</v>
      </c>
      <c r="J2483" s="124">
        <v>41177</v>
      </c>
      <c r="K2483" s="126">
        <v>30000</v>
      </c>
      <c r="L2483" s="129" t="s">
        <v>572</v>
      </c>
      <c r="N2483" s="129" t="str">
        <f t="shared" si="1828"/>
        <v>N</v>
      </c>
      <c r="O2483" s="128" t="s">
        <v>917</v>
      </c>
      <c r="P2483" s="129" t="s">
        <v>39</v>
      </c>
      <c r="Q2483" s="111">
        <f t="shared" si="1823"/>
        <v>183</v>
      </c>
      <c r="R2483" s="111">
        <f t="shared" si="1822"/>
        <v>184</v>
      </c>
      <c r="S2483" s="129">
        <v>0</v>
      </c>
      <c r="T2483" s="129">
        <v>1</v>
      </c>
      <c r="W2483" s="111"/>
      <c r="AB2483" s="131" t="s">
        <v>112</v>
      </c>
      <c r="AC2483" s="130"/>
      <c r="AD2483" s="130">
        <v>33859</v>
      </c>
      <c r="AE2483" s="128" t="s">
        <v>32</v>
      </c>
      <c r="AF2483" s="128" t="s">
        <v>40</v>
      </c>
      <c r="AG2483" s="128" t="s">
        <v>41</v>
      </c>
      <c r="AH2483" s="108" t="s">
        <v>31</v>
      </c>
      <c r="AI2483" s="128" t="s">
        <v>97</v>
      </c>
      <c r="AJ2483" s="129" t="s">
        <v>89</v>
      </c>
      <c r="AK2483" s="129">
        <v>8</v>
      </c>
      <c r="AL2483" s="3" t="s">
        <v>362</v>
      </c>
      <c r="AM2483" s="117">
        <v>8</v>
      </c>
      <c r="AP2483" s="129" t="s">
        <v>129</v>
      </c>
      <c r="AR2483" s="128" t="s">
        <v>92</v>
      </c>
      <c r="AS2483" s="129" t="s">
        <v>126</v>
      </c>
      <c r="BC2483" s="129" t="s">
        <v>99</v>
      </c>
      <c r="BF2483" s="111">
        <f t="shared" si="1829"/>
        <v>183</v>
      </c>
      <c r="BG2483" s="111">
        <f t="shared" si="1831"/>
        <v>183</v>
      </c>
      <c r="BH2483" s="111">
        <f t="shared" si="1798"/>
        <v>184</v>
      </c>
      <c r="BI2483" s="111">
        <f t="shared" si="1799"/>
        <v>19.494535519125684</v>
      </c>
      <c r="BJ2483" s="129">
        <f t="shared" si="1811"/>
        <v>0</v>
      </c>
      <c r="BK2483" s="129">
        <f t="shared" si="1800"/>
        <v>0</v>
      </c>
      <c r="BL2483" s="129" t="str">
        <f t="shared" si="1795"/>
        <v>CONVICTION</v>
      </c>
      <c r="BM2483" s="129" t="str">
        <f t="shared" si="1801"/>
        <v>NONE</v>
      </c>
      <c r="BN2483" s="129" t="s">
        <v>566</v>
      </c>
      <c r="BP2483" s="137" t="str">
        <f t="shared" si="1802"/>
        <v>CONVICTION</v>
      </c>
      <c r="BQ2483" s="128" t="str">
        <f t="shared" si="1812"/>
        <v>Y</v>
      </c>
      <c r="BR2483" s="129" t="str">
        <f t="shared" si="1803"/>
        <v>DETAINED</v>
      </c>
      <c r="BS2483" s="129" t="str">
        <f t="shared" si="1804"/>
        <v>DISPOSED</v>
      </c>
      <c r="BT2483" s="129" t="str">
        <f t="shared" si="1805"/>
        <v>N</v>
      </c>
      <c r="BU2483" s="109">
        <f t="shared" si="1806"/>
        <v>0.99456521739130432</v>
      </c>
      <c r="BV2483" s="109">
        <f t="shared" si="1813"/>
        <v>1</v>
      </c>
      <c r="BW2483" s="109">
        <f t="shared" si="1832"/>
        <v>5.4347826086956763E-3</v>
      </c>
      <c r="BX2483" s="111">
        <f t="shared" si="1807"/>
        <v>0</v>
      </c>
      <c r="BY2483" s="129">
        <f t="shared" si="1814"/>
        <v>-183</v>
      </c>
      <c r="BZ2483" s="111">
        <f t="shared" si="1815"/>
        <v>0</v>
      </c>
      <c r="CA2483" s="138">
        <f t="shared" si="1816"/>
        <v>183</v>
      </c>
      <c r="CB2483" s="111" t="e">
        <f t="shared" si="1830"/>
        <v>#VALUE!</v>
      </c>
      <c r="CC2483" s="129">
        <f t="shared" si="1833"/>
        <v>183</v>
      </c>
      <c r="CD2483" s="129">
        <f t="shared" si="1834"/>
        <v>0</v>
      </c>
      <c r="CG2483" s="129" t="str">
        <f t="shared" si="1817"/>
        <v>Y</v>
      </c>
      <c r="CI2483" s="129" t="str">
        <f t="shared" si="1818"/>
        <v>121-365 DAYS</v>
      </c>
      <c r="CJ2483" s="137">
        <f t="shared" si="1819"/>
        <v>6</v>
      </c>
      <c r="CK2483" s="129" t="str">
        <f t="shared" si="1820"/>
        <v>Booked</v>
      </c>
    </row>
    <row r="2484" spans="1:89" ht="15.75" customHeight="1" x14ac:dyDescent="0.25">
      <c r="A2484" s="111">
        <v>1271</v>
      </c>
      <c r="B2484" s="128" t="str">
        <f t="shared" si="1808"/>
        <v>N</v>
      </c>
      <c r="C2484" s="128" t="str">
        <f t="shared" si="1809"/>
        <v>N</v>
      </c>
      <c r="D2484" s="117">
        <v>2576733</v>
      </c>
      <c r="E2484" s="135">
        <f t="shared" si="1810"/>
        <v>2</v>
      </c>
      <c r="F2484" s="124">
        <v>40955</v>
      </c>
      <c r="G2484" s="125">
        <v>41045</v>
      </c>
      <c r="H2484" s="117">
        <v>2576733</v>
      </c>
      <c r="I2484" s="124">
        <v>40967</v>
      </c>
      <c r="J2484" s="124">
        <v>41045</v>
      </c>
      <c r="K2484" s="126">
        <v>5000</v>
      </c>
      <c r="L2484" s="127" t="s">
        <v>569</v>
      </c>
      <c r="N2484" s="129" t="str">
        <f t="shared" si="1828"/>
        <v>N</v>
      </c>
      <c r="O2484" s="128" t="s">
        <v>917</v>
      </c>
      <c r="P2484" s="129" t="s">
        <v>589</v>
      </c>
      <c r="Q2484" s="111">
        <f t="shared" si="1823"/>
        <v>79</v>
      </c>
      <c r="R2484" s="111">
        <f t="shared" si="1822"/>
        <v>91</v>
      </c>
      <c r="S2484" s="129">
        <v>0</v>
      </c>
      <c r="T2484" s="129">
        <v>2</v>
      </c>
      <c r="W2484" s="111"/>
      <c r="AB2484" s="131" t="s">
        <v>112</v>
      </c>
      <c r="AC2484" s="130"/>
      <c r="AD2484" s="130">
        <v>31319</v>
      </c>
      <c r="AE2484" s="128" t="s">
        <v>46</v>
      </c>
      <c r="AF2484" s="128" t="s">
        <v>40</v>
      </c>
      <c r="AG2484" s="128" t="s">
        <v>41</v>
      </c>
      <c r="AH2484" s="108" t="s">
        <v>31</v>
      </c>
      <c r="AI2484" s="128" t="s">
        <v>70</v>
      </c>
      <c r="AJ2484" s="129" t="s">
        <v>48</v>
      </c>
      <c r="AK2484" s="129">
        <v>10</v>
      </c>
      <c r="AL2484" s="3" t="s">
        <v>48</v>
      </c>
      <c r="AP2484" s="129" t="s">
        <v>108</v>
      </c>
      <c r="AR2484" s="128" t="s">
        <v>44</v>
      </c>
      <c r="AS2484" s="129" t="s">
        <v>61</v>
      </c>
      <c r="BC2484" s="129" t="s">
        <v>52</v>
      </c>
      <c r="BF2484" s="111">
        <f t="shared" si="1829"/>
        <v>79</v>
      </c>
      <c r="BG2484" s="111">
        <f t="shared" si="1831"/>
        <v>79</v>
      </c>
      <c r="BH2484" s="111">
        <f t="shared" si="1798"/>
        <v>91</v>
      </c>
      <c r="BI2484" s="111">
        <f t="shared" si="1799"/>
        <v>26.327868852459016</v>
      </c>
      <c r="BJ2484" s="129">
        <f t="shared" si="1811"/>
        <v>0</v>
      </c>
      <c r="BK2484" s="129">
        <f t="shared" si="1800"/>
        <v>0</v>
      </c>
      <c r="BL2484" s="129" t="str">
        <f t="shared" si="1795"/>
        <v>DEFERRED</v>
      </c>
      <c r="BM2484" s="129" t="str">
        <f t="shared" si="1801"/>
        <v>NONE</v>
      </c>
      <c r="BN2484" s="129" t="s">
        <v>566</v>
      </c>
      <c r="BP2484" s="137" t="str">
        <f t="shared" si="1802"/>
        <v>DEFERRED</v>
      </c>
      <c r="BQ2484" s="128" t="str">
        <f t="shared" si="1812"/>
        <v>Y</v>
      </c>
      <c r="BR2484" s="129" t="str">
        <f t="shared" si="1803"/>
        <v>DETAINED</v>
      </c>
      <c r="BS2484" s="129" t="str">
        <f t="shared" si="1804"/>
        <v>DISPOSED</v>
      </c>
      <c r="BT2484" s="129" t="str">
        <f t="shared" si="1805"/>
        <v>N</v>
      </c>
      <c r="BU2484" s="109">
        <f t="shared" si="1806"/>
        <v>0.86813186813186816</v>
      </c>
      <c r="BV2484" s="109">
        <f t="shared" si="1813"/>
        <v>1</v>
      </c>
      <c r="BW2484" s="109">
        <f t="shared" si="1832"/>
        <v>0.13186813186813184</v>
      </c>
      <c r="BX2484" s="111">
        <f t="shared" si="1807"/>
        <v>0</v>
      </c>
      <c r="BY2484" s="129">
        <f t="shared" si="1814"/>
        <v>-79</v>
      </c>
      <c r="BZ2484" s="111">
        <f t="shared" si="1815"/>
        <v>0</v>
      </c>
      <c r="CA2484" s="138">
        <f t="shared" si="1816"/>
        <v>79</v>
      </c>
      <c r="CB2484" s="111" t="e">
        <f t="shared" si="1830"/>
        <v>#VALUE!</v>
      </c>
      <c r="CC2484" s="129">
        <f t="shared" si="1833"/>
        <v>79</v>
      </c>
      <c r="CD2484" s="129">
        <f t="shared" si="1834"/>
        <v>0</v>
      </c>
      <c r="CG2484" s="129" t="str">
        <f t="shared" si="1817"/>
        <v>Y</v>
      </c>
      <c r="CI2484" s="129" t="str">
        <f t="shared" si="1818"/>
        <v>61-90 DAYS</v>
      </c>
      <c r="CJ2484" s="137">
        <f t="shared" si="1819"/>
        <v>4</v>
      </c>
      <c r="CK2484" s="129" t="str">
        <f t="shared" si="1820"/>
        <v>Booked</v>
      </c>
    </row>
    <row r="2485" spans="1:89" ht="15.75" customHeight="1" x14ac:dyDescent="0.25">
      <c r="A2485" s="111">
        <v>2605</v>
      </c>
      <c r="B2485" s="128" t="str">
        <f t="shared" si="1808"/>
        <v>N</v>
      </c>
      <c r="C2485" s="128" t="str">
        <f t="shared" si="1809"/>
        <v>N</v>
      </c>
      <c r="D2485" s="117">
        <v>2577332</v>
      </c>
      <c r="E2485" s="135">
        <f t="shared" si="1810"/>
        <v>1</v>
      </c>
      <c r="F2485" s="124">
        <v>41005</v>
      </c>
      <c r="G2485" s="125">
        <v>41080</v>
      </c>
      <c r="H2485" s="117">
        <v>2577332</v>
      </c>
      <c r="I2485" s="124">
        <v>41005</v>
      </c>
      <c r="J2485" s="124">
        <v>41011</v>
      </c>
      <c r="K2485" s="126">
        <v>5000</v>
      </c>
      <c r="L2485" s="127" t="s">
        <v>569</v>
      </c>
      <c r="M2485" s="125">
        <v>41011</v>
      </c>
      <c r="N2485" s="129" t="str">
        <f t="shared" si="1828"/>
        <v>Y</v>
      </c>
      <c r="O2485" s="128" t="s">
        <v>76</v>
      </c>
      <c r="P2485" s="129" t="s">
        <v>123</v>
      </c>
      <c r="Q2485" s="111">
        <f t="shared" si="1823"/>
        <v>7</v>
      </c>
      <c r="R2485" s="111">
        <f t="shared" si="1822"/>
        <v>76</v>
      </c>
      <c r="S2485" s="129">
        <v>0</v>
      </c>
      <c r="T2485" s="129">
        <v>0</v>
      </c>
      <c r="W2485" s="111"/>
      <c r="AC2485" s="130"/>
      <c r="AD2485" s="130">
        <v>23715</v>
      </c>
      <c r="AE2485" s="128" t="s">
        <v>32</v>
      </c>
      <c r="AF2485" s="128" t="s">
        <v>33</v>
      </c>
      <c r="AG2485" s="128" t="s">
        <v>872</v>
      </c>
      <c r="AH2485" s="108" t="s">
        <v>31</v>
      </c>
      <c r="AI2485" s="128" t="s">
        <v>72</v>
      </c>
      <c r="AJ2485" s="129" t="s">
        <v>123</v>
      </c>
      <c r="AK2485" s="129">
        <v>4</v>
      </c>
      <c r="AL2485" s="3" t="s">
        <v>123</v>
      </c>
      <c r="AP2485" s="129" t="s">
        <v>63</v>
      </c>
      <c r="AR2485" s="128" t="s">
        <v>44</v>
      </c>
      <c r="AS2485" s="129" t="s">
        <v>64</v>
      </c>
      <c r="BC2485" s="129" t="s">
        <v>38</v>
      </c>
      <c r="BF2485" s="111">
        <f t="shared" si="1829"/>
        <v>7</v>
      </c>
      <c r="BG2485" s="111">
        <f t="shared" si="1831"/>
        <v>76</v>
      </c>
      <c r="BH2485" s="111">
        <f t="shared" si="1798"/>
        <v>76</v>
      </c>
      <c r="BI2485" s="111">
        <f t="shared" si="1799"/>
        <v>47.240437158469945</v>
      </c>
      <c r="BJ2485" s="129">
        <f>(G2485-J2485)+(M2485-G2485)</f>
        <v>0</v>
      </c>
      <c r="BK2485" s="129">
        <f t="shared" si="1800"/>
        <v>-69</v>
      </c>
      <c r="BL2485" s="129" t="str">
        <f t="shared" si="1795"/>
        <v>NO CONVICTION</v>
      </c>
      <c r="BM2485" s="129" t="s">
        <v>76</v>
      </c>
      <c r="BN2485" s="129" t="s">
        <v>88</v>
      </c>
      <c r="BP2485" s="137" t="str">
        <f t="shared" si="1802"/>
        <v>NO CONVICTION</v>
      </c>
      <c r="BQ2485" s="128" t="str">
        <f t="shared" si="1812"/>
        <v>Y</v>
      </c>
      <c r="BR2485" s="129" t="str">
        <f t="shared" si="1803"/>
        <v>ON BOND</v>
      </c>
      <c r="BS2485" s="129" t="str">
        <f t="shared" si="1804"/>
        <v>DISPOSED</v>
      </c>
      <c r="BT2485" s="129" t="str">
        <f t="shared" si="1805"/>
        <v>N</v>
      </c>
      <c r="BU2485" s="109">
        <f>IFERROR(Q2485/R2485,BR2485)</f>
        <v>9.2105263157894732E-2</v>
      </c>
      <c r="BV2485" s="109">
        <f t="shared" si="1813"/>
        <v>9.2105263157894732E-2</v>
      </c>
      <c r="BW2485" s="109">
        <f t="shared" si="1832"/>
        <v>0</v>
      </c>
      <c r="BX2485" s="111">
        <f t="shared" si="1807"/>
        <v>0</v>
      </c>
      <c r="BY2485" s="129">
        <f t="shared" si="1814"/>
        <v>-7</v>
      </c>
      <c r="BZ2485" s="111">
        <f t="shared" si="1815"/>
        <v>0</v>
      </c>
      <c r="CA2485" s="138">
        <f t="shared" si="1816"/>
        <v>7</v>
      </c>
      <c r="CB2485" s="111" t="e">
        <f t="shared" si="1830"/>
        <v>#VALUE!</v>
      </c>
      <c r="CC2485" s="129">
        <f>M2485-I2485+1</f>
        <v>7</v>
      </c>
      <c r="CD2485" s="111">
        <f>CC2485-BF2485</f>
        <v>0</v>
      </c>
      <c r="CG2485" s="129" t="str">
        <f t="shared" si="1817"/>
        <v>N</v>
      </c>
      <c r="CI2485" s="129" t="str">
        <f t="shared" si="1818"/>
        <v>0-10 DAYS</v>
      </c>
      <c r="CJ2485" s="137">
        <f t="shared" si="1819"/>
        <v>1</v>
      </c>
      <c r="CK2485" s="129" t="str">
        <f t="shared" si="1820"/>
        <v>Booked</v>
      </c>
    </row>
    <row r="2486" spans="1:89" ht="15.75" customHeight="1" x14ac:dyDescent="0.25">
      <c r="A2486" s="111">
        <v>2215</v>
      </c>
      <c r="B2486" s="128" t="str">
        <f t="shared" si="1808"/>
        <v>N</v>
      </c>
      <c r="C2486" s="128" t="str">
        <f t="shared" si="1809"/>
        <v>N</v>
      </c>
      <c r="D2486" s="117">
        <v>2577956</v>
      </c>
      <c r="E2486" s="135">
        <f t="shared" si="1810"/>
        <v>6</v>
      </c>
      <c r="F2486" s="124">
        <v>40992</v>
      </c>
      <c r="G2486" s="125">
        <v>41011</v>
      </c>
      <c r="H2486" s="117">
        <v>2577956</v>
      </c>
      <c r="I2486" s="124">
        <v>40992</v>
      </c>
      <c r="J2486" s="124">
        <v>41011</v>
      </c>
      <c r="K2486" s="126" t="s">
        <v>564</v>
      </c>
      <c r="L2486" s="127" t="s">
        <v>564</v>
      </c>
      <c r="N2486" s="129" t="s">
        <v>566</v>
      </c>
      <c r="O2486" s="128" t="s">
        <v>917</v>
      </c>
      <c r="P2486" s="129" t="s">
        <v>39</v>
      </c>
      <c r="Q2486" s="111">
        <f t="shared" si="1823"/>
        <v>20</v>
      </c>
      <c r="R2486" s="111">
        <f t="shared" si="1822"/>
        <v>20</v>
      </c>
      <c r="S2486" s="129">
        <v>1</v>
      </c>
      <c r="T2486" s="129">
        <v>4</v>
      </c>
      <c r="U2486" s="129">
        <v>1</v>
      </c>
      <c r="W2486" s="111"/>
      <c r="AB2486" s="131" t="s">
        <v>112</v>
      </c>
      <c r="AC2486" s="130"/>
      <c r="AD2486" s="130">
        <v>31744</v>
      </c>
      <c r="AE2486" s="128" t="s">
        <v>32</v>
      </c>
      <c r="AF2486" s="128" t="s">
        <v>40</v>
      </c>
      <c r="AG2486" s="128" t="s">
        <v>41</v>
      </c>
      <c r="AH2486" s="108" t="s">
        <v>31</v>
      </c>
      <c r="AI2486" s="128" t="s">
        <v>85</v>
      </c>
      <c r="AJ2486" s="129" t="s">
        <v>89</v>
      </c>
      <c r="AK2486" s="129">
        <v>2</v>
      </c>
      <c r="AL2486" s="3" t="s">
        <v>362</v>
      </c>
      <c r="AM2486" s="117">
        <v>2</v>
      </c>
      <c r="AP2486" s="129" t="s">
        <v>416</v>
      </c>
      <c r="AR2486" s="128" t="s">
        <v>67</v>
      </c>
      <c r="AS2486" s="129" t="s">
        <v>45</v>
      </c>
      <c r="BC2486" s="129" t="s">
        <v>38</v>
      </c>
      <c r="BF2486" s="111">
        <f t="shared" si="1829"/>
        <v>20</v>
      </c>
      <c r="BG2486" s="111">
        <f t="shared" si="1831"/>
        <v>20</v>
      </c>
      <c r="BH2486" s="111">
        <f t="shared" si="1798"/>
        <v>20</v>
      </c>
      <c r="BI2486" s="111">
        <f t="shared" si="1799"/>
        <v>25.26775956284153</v>
      </c>
      <c r="BJ2486" s="129">
        <f t="shared" si="1811"/>
        <v>0</v>
      </c>
      <c r="BK2486" s="129">
        <f t="shared" si="1800"/>
        <v>0</v>
      </c>
      <c r="BL2486" s="129" t="str">
        <f t="shared" si="1795"/>
        <v>CONVICTION</v>
      </c>
      <c r="BM2486" s="129" t="str">
        <f t="shared" si="1801"/>
        <v>NONE</v>
      </c>
      <c r="BN2486" s="129" t="s">
        <v>566</v>
      </c>
      <c r="BP2486" s="137" t="str">
        <f t="shared" si="1802"/>
        <v>CONVICTION</v>
      </c>
      <c r="BQ2486" s="128" t="str">
        <f t="shared" si="1812"/>
        <v>Y</v>
      </c>
      <c r="BR2486" s="129" t="str">
        <f t="shared" si="1803"/>
        <v>DETAINED</v>
      </c>
      <c r="BS2486" s="129" t="str">
        <f t="shared" si="1804"/>
        <v>DISPOSED</v>
      </c>
      <c r="BT2486" s="129" t="str">
        <f t="shared" si="1805"/>
        <v>Y</v>
      </c>
      <c r="BU2486" s="109">
        <f t="shared" si="1806"/>
        <v>1</v>
      </c>
      <c r="BV2486" s="109">
        <f t="shared" si="1813"/>
        <v>1</v>
      </c>
      <c r="BW2486" s="109">
        <f t="shared" si="1832"/>
        <v>0</v>
      </c>
      <c r="BX2486" s="111">
        <f t="shared" si="1807"/>
        <v>0</v>
      </c>
      <c r="BY2486" s="129">
        <f t="shared" si="1814"/>
        <v>-20</v>
      </c>
      <c r="BZ2486" s="111">
        <f t="shared" si="1815"/>
        <v>0</v>
      </c>
      <c r="CA2486" s="138">
        <f t="shared" si="1816"/>
        <v>20</v>
      </c>
      <c r="CB2486" s="111" t="e">
        <f t="shared" si="1830"/>
        <v>#VALUE!</v>
      </c>
      <c r="CC2486" s="129">
        <f>G2486-I2486+1</f>
        <v>20</v>
      </c>
      <c r="CD2486" s="129">
        <f>G2486-J2486</f>
        <v>0</v>
      </c>
      <c r="CG2486" s="129" t="str">
        <f t="shared" si="1817"/>
        <v>Y</v>
      </c>
      <c r="CI2486" s="129" t="str">
        <f t="shared" si="1818"/>
        <v>11-30 DAYS</v>
      </c>
      <c r="CJ2486" s="137">
        <f t="shared" si="1819"/>
        <v>2</v>
      </c>
      <c r="CK2486" s="129" t="str">
        <f t="shared" si="1820"/>
        <v>Booked</v>
      </c>
    </row>
    <row r="2487" spans="1:89" ht="15.75" customHeight="1" x14ac:dyDescent="0.25">
      <c r="A2487" s="111">
        <v>1097</v>
      </c>
      <c r="B2487" s="128" t="str">
        <f t="shared" si="1808"/>
        <v>N</v>
      </c>
      <c r="C2487" s="128" t="str">
        <f t="shared" si="1809"/>
        <v>N</v>
      </c>
      <c r="D2487" s="117">
        <v>2578162</v>
      </c>
      <c r="E2487" s="135">
        <f t="shared" si="1810"/>
        <v>2</v>
      </c>
      <c r="F2487" s="124">
        <v>40948</v>
      </c>
      <c r="G2487" s="125">
        <v>40974</v>
      </c>
      <c r="H2487" s="117">
        <v>2578162</v>
      </c>
      <c r="I2487" s="124">
        <v>40949</v>
      </c>
      <c r="J2487" s="124">
        <v>40974</v>
      </c>
      <c r="K2487" s="126" t="s">
        <v>564</v>
      </c>
      <c r="L2487" s="127" t="s">
        <v>564</v>
      </c>
      <c r="N2487" s="129" t="s">
        <v>566</v>
      </c>
      <c r="O2487" s="128" t="s">
        <v>917</v>
      </c>
      <c r="P2487" s="129" t="s">
        <v>589</v>
      </c>
      <c r="Q2487" s="111">
        <f t="shared" si="1823"/>
        <v>26</v>
      </c>
      <c r="R2487" s="111">
        <f t="shared" si="1822"/>
        <v>27</v>
      </c>
      <c r="S2487" s="129">
        <v>0</v>
      </c>
      <c r="T2487" s="129">
        <v>0</v>
      </c>
      <c r="W2487" s="111"/>
      <c r="AC2487" s="130"/>
      <c r="AD2487" s="130">
        <v>34543</v>
      </c>
      <c r="AE2487" s="128" t="s">
        <v>32</v>
      </c>
      <c r="AF2487" s="128" t="s">
        <v>33</v>
      </c>
      <c r="AG2487" s="128" t="s">
        <v>872</v>
      </c>
      <c r="AH2487" s="108" t="s">
        <v>31</v>
      </c>
      <c r="AI2487" s="128" t="s">
        <v>47</v>
      </c>
      <c r="AJ2487" s="129" t="s">
        <v>48</v>
      </c>
      <c r="AK2487" s="129">
        <v>3</v>
      </c>
      <c r="AL2487" s="3" t="s">
        <v>48</v>
      </c>
      <c r="AP2487" s="129" t="s">
        <v>56</v>
      </c>
      <c r="AR2487" s="128" t="s">
        <v>50</v>
      </c>
      <c r="AS2487" s="129" t="s">
        <v>57</v>
      </c>
      <c r="BC2487" s="129" t="s">
        <v>38</v>
      </c>
      <c r="BF2487" s="111">
        <f t="shared" si="1829"/>
        <v>26</v>
      </c>
      <c r="BG2487" s="111">
        <f t="shared" si="1831"/>
        <v>26</v>
      </c>
      <c r="BH2487" s="111">
        <f t="shared" si="1798"/>
        <v>27</v>
      </c>
      <c r="BI2487" s="111">
        <f t="shared" si="1799"/>
        <v>17.5</v>
      </c>
      <c r="BJ2487" s="129">
        <f t="shared" si="1811"/>
        <v>0</v>
      </c>
      <c r="BK2487" s="129">
        <f t="shared" si="1800"/>
        <v>0</v>
      </c>
      <c r="BL2487" s="129" t="str">
        <f t="shared" ref="BL2487:BL2550" si="1835">IF(OR(AL2487="AQUITTAL",AL2487="DISMISSED",AL2487="FINE",AL2487="NO BILL"),"NO CONVICTION",IF(OR(AL2487="HCJ",AL2487="MHH",AL2487="PROBATION",AL2487="STJ",AL2487="TDC"),"CONVICTION",IF(AL2487="DEFERRED","DEFERRED",0)))</f>
        <v>DEFERRED</v>
      </c>
      <c r="BM2487" s="129" t="str">
        <f t="shared" si="1801"/>
        <v>NONE</v>
      </c>
      <c r="BN2487" s="129" t="s">
        <v>566</v>
      </c>
      <c r="BP2487" s="137" t="str">
        <f t="shared" si="1802"/>
        <v>DEFERRED</v>
      </c>
      <c r="BQ2487" s="128" t="str">
        <f t="shared" si="1812"/>
        <v>Y</v>
      </c>
      <c r="BR2487" s="129" t="str">
        <f t="shared" si="1803"/>
        <v>DETAINED</v>
      </c>
      <c r="BS2487" s="129" t="str">
        <f t="shared" si="1804"/>
        <v>DISPOSED</v>
      </c>
      <c r="BT2487" s="129" t="str">
        <f t="shared" si="1805"/>
        <v>N</v>
      </c>
      <c r="BU2487" s="109">
        <f t="shared" si="1806"/>
        <v>0.96296296296296291</v>
      </c>
      <c r="BV2487" s="109">
        <f t="shared" si="1813"/>
        <v>1</v>
      </c>
      <c r="BW2487" s="109">
        <f t="shared" si="1832"/>
        <v>3.703703703703709E-2</v>
      </c>
      <c r="BX2487" s="111">
        <f t="shared" si="1807"/>
        <v>0</v>
      </c>
      <c r="BY2487" s="129">
        <f t="shared" si="1814"/>
        <v>-26</v>
      </c>
      <c r="BZ2487" s="111">
        <f t="shared" si="1815"/>
        <v>0</v>
      </c>
      <c r="CA2487" s="138">
        <f t="shared" si="1816"/>
        <v>26</v>
      </c>
      <c r="CB2487" s="111" t="e">
        <f t="shared" si="1830"/>
        <v>#VALUE!</v>
      </c>
      <c r="CC2487" s="129">
        <f>G2487-I2487+1</f>
        <v>26</v>
      </c>
      <c r="CD2487" s="129">
        <f>G2487-J2487</f>
        <v>0</v>
      </c>
      <c r="CG2487" s="129" t="str">
        <f t="shared" si="1817"/>
        <v>N</v>
      </c>
      <c r="CI2487" s="129" t="str">
        <f t="shared" si="1818"/>
        <v>11-30 DAYS</v>
      </c>
      <c r="CJ2487" s="137">
        <f t="shared" si="1819"/>
        <v>2</v>
      </c>
      <c r="CK2487" s="129" t="str">
        <f t="shared" si="1820"/>
        <v>Booked</v>
      </c>
    </row>
    <row r="2488" spans="1:89" ht="15.75" customHeight="1" x14ac:dyDescent="0.25">
      <c r="A2488" s="111">
        <v>1587</v>
      </c>
      <c r="B2488" s="128" t="str">
        <f t="shared" si="1808"/>
        <v>N</v>
      </c>
      <c r="C2488" s="128" t="str">
        <f t="shared" si="1809"/>
        <v>N</v>
      </c>
      <c r="D2488" s="117">
        <v>2578476</v>
      </c>
      <c r="E2488" s="135">
        <f t="shared" si="1810"/>
        <v>2</v>
      </c>
      <c r="F2488" s="124">
        <v>40968</v>
      </c>
      <c r="G2488" s="125">
        <v>41142</v>
      </c>
      <c r="H2488" s="117">
        <v>2578476</v>
      </c>
      <c r="I2488" s="124">
        <v>40968</v>
      </c>
      <c r="J2488" s="124">
        <v>41142</v>
      </c>
      <c r="K2488" s="126">
        <v>5000</v>
      </c>
      <c r="L2488" s="127" t="s">
        <v>569</v>
      </c>
      <c r="N2488" s="129" t="str">
        <f>IF(M2488&gt;1/1/1,"Y","N")</f>
        <v>N</v>
      </c>
      <c r="O2488" s="128" t="s">
        <v>917</v>
      </c>
      <c r="P2488" s="129" t="s">
        <v>589</v>
      </c>
      <c r="Q2488" s="111">
        <f t="shared" si="1823"/>
        <v>175</v>
      </c>
      <c r="R2488" s="111">
        <f t="shared" si="1822"/>
        <v>175</v>
      </c>
      <c r="S2488" s="129">
        <v>0</v>
      </c>
      <c r="T2488" s="129">
        <v>1</v>
      </c>
      <c r="W2488" s="111"/>
      <c r="AC2488" s="130"/>
      <c r="AD2488" s="130">
        <v>32348</v>
      </c>
      <c r="AE2488" s="128" t="s">
        <v>32</v>
      </c>
      <c r="AF2488" s="128" t="s">
        <v>33</v>
      </c>
      <c r="AG2488" s="128" t="s">
        <v>872</v>
      </c>
      <c r="AH2488" s="108" t="s">
        <v>31</v>
      </c>
      <c r="AI2488" s="128" t="s">
        <v>87</v>
      </c>
      <c r="AJ2488" s="129" t="s">
        <v>48</v>
      </c>
      <c r="AK2488" s="129">
        <v>8</v>
      </c>
      <c r="AL2488" s="3" t="s">
        <v>48</v>
      </c>
      <c r="AP2488" s="129" t="s">
        <v>43</v>
      </c>
      <c r="AR2488" s="128" t="s">
        <v>44</v>
      </c>
      <c r="AS2488" s="129" t="s">
        <v>45</v>
      </c>
      <c r="BC2488" s="129" t="s">
        <v>38</v>
      </c>
      <c r="BF2488" s="111">
        <f t="shared" si="1829"/>
        <v>175</v>
      </c>
      <c r="BG2488" s="111">
        <f t="shared" si="1831"/>
        <v>175</v>
      </c>
      <c r="BH2488" s="111">
        <f t="shared" si="1798"/>
        <v>175</v>
      </c>
      <c r="BI2488" s="111">
        <f t="shared" si="1799"/>
        <v>23.551912568306012</v>
      </c>
      <c r="BJ2488" s="129">
        <f t="shared" si="1811"/>
        <v>0</v>
      </c>
      <c r="BK2488" s="129">
        <f t="shared" si="1800"/>
        <v>0</v>
      </c>
      <c r="BL2488" s="129" t="str">
        <f t="shared" si="1835"/>
        <v>DEFERRED</v>
      </c>
      <c r="BM2488" s="129" t="str">
        <f t="shared" si="1801"/>
        <v>NONE</v>
      </c>
      <c r="BN2488" s="129" t="s">
        <v>566</v>
      </c>
      <c r="BP2488" s="137" t="str">
        <f t="shared" si="1802"/>
        <v>DEFERRED</v>
      </c>
      <c r="BQ2488" s="128" t="str">
        <f t="shared" si="1812"/>
        <v>Y</v>
      </c>
      <c r="BR2488" s="129" t="str">
        <f t="shared" si="1803"/>
        <v>DETAINED</v>
      </c>
      <c r="BS2488" s="129" t="str">
        <f t="shared" si="1804"/>
        <v>DISPOSED</v>
      </c>
      <c r="BT2488" s="129" t="str">
        <f t="shared" si="1805"/>
        <v>N</v>
      </c>
      <c r="BU2488" s="109">
        <f t="shared" si="1806"/>
        <v>1</v>
      </c>
      <c r="BV2488" s="109">
        <f t="shared" si="1813"/>
        <v>1</v>
      </c>
      <c r="BW2488" s="109">
        <f t="shared" si="1832"/>
        <v>0</v>
      </c>
      <c r="BX2488" s="111">
        <f t="shared" si="1807"/>
        <v>0</v>
      </c>
      <c r="BY2488" s="129">
        <f t="shared" si="1814"/>
        <v>-175</v>
      </c>
      <c r="BZ2488" s="111">
        <f t="shared" si="1815"/>
        <v>0</v>
      </c>
      <c r="CA2488" s="138">
        <f t="shared" si="1816"/>
        <v>175</v>
      </c>
      <c r="CB2488" s="111" t="e">
        <f t="shared" si="1830"/>
        <v>#VALUE!</v>
      </c>
      <c r="CC2488" s="129">
        <f>G2488-I2488+1</f>
        <v>175</v>
      </c>
      <c r="CD2488" s="129">
        <f>G2488-J2488</f>
        <v>0</v>
      </c>
      <c r="CG2488" s="129" t="str">
        <f t="shared" si="1817"/>
        <v>Y</v>
      </c>
      <c r="CI2488" s="129" t="str">
        <f t="shared" si="1818"/>
        <v>121-365 DAYS</v>
      </c>
      <c r="CJ2488" s="137">
        <f t="shared" si="1819"/>
        <v>6</v>
      </c>
      <c r="CK2488" s="129" t="str">
        <f t="shared" si="1820"/>
        <v>Booked</v>
      </c>
    </row>
    <row r="2489" spans="1:89" ht="15.75" customHeight="1" x14ac:dyDescent="0.25">
      <c r="A2489" s="111">
        <v>3262</v>
      </c>
      <c r="B2489" s="128" t="str">
        <f t="shared" si="1808"/>
        <v>N</v>
      </c>
      <c r="C2489" s="128" t="str">
        <f t="shared" si="1809"/>
        <v>N</v>
      </c>
      <c r="D2489" s="117">
        <v>2578514</v>
      </c>
      <c r="E2489" s="135">
        <f t="shared" si="1810"/>
        <v>2</v>
      </c>
      <c r="F2489" s="124">
        <v>41029</v>
      </c>
      <c r="G2489" s="125">
        <v>41086</v>
      </c>
      <c r="H2489" s="117">
        <v>2578514</v>
      </c>
      <c r="I2489" s="124">
        <v>41030</v>
      </c>
      <c r="J2489" s="124">
        <v>41086</v>
      </c>
      <c r="K2489" s="126">
        <v>10000</v>
      </c>
      <c r="L2489" s="127" t="s">
        <v>570</v>
      </c>
      <c r="N2489" s="129" t="str">
        <f>IF(M2489&gt;1/1/1,"Y","N")</f>
        <v>N</v>
      </c>
      <c r="O2489" s="128" t="s">
        <v>917</v>
      </c>
      <c r="P2489" s="129" t="s">
        <v>589</v>
      </c>
      <c r="Q2489" s="111">
        <f t="shared" si="1823"/>
        <v>57</v>
      </c>
      <c r="R2489" s="111">
        <f t="shared" si="1822"/>
        <v>58</v>
      </c>
      <c r="S2489" s="129">
        <v>0</v>
      </c>
      <c r="T2489" s="129">
        <v>1</v>
      </c>
      <c r="W2489" s="111"/>
      <c r="AC2489" s="130"/>
      <c r="AD2489" s="130">
        <v>25211</v>
      </c>
      <c r="AE2489" s="128" t="s">
        <v>32</v>
      </c>
      <c r="AF2489" s="128" t="s">
        <v>69</v>
      </c>
      <c r="AG2489" s="128" t="s">
        <v>874</v>
      </c>
      <c r="AH2489" s="108" t="s">
        <v>31</v>
      </c>
      <c r="AI2489" s="128" t="s">
        <v>97</v>
      </c>
      <c r="AJ2489" s="129" t="s">
        <v>48</v>
      </c>
      <c r="AK2489" s="129">
        <v>4</v>
      </c>
      <c r="AL2489" s="3" t="s">
        <v>48</v>
      </c>
      <c r="AP2489" s="129" t="s">
        <v>150</v>
      </c>
      <c r="AR2489" s="128" t="s">
        <v>67</v>
      </c>
      <c r="AS2489" s="129" t="s">
        <v>74</v>
      </c>
      <c r="BC2489" s="129" t="s">
        <v>99</v>
      </c>
      <c r="BF2489" s="111">
        <f t="shared" si="1829"/>
        <v>57</v>
      </c>
      <c r="BG2489" s="111">
        <f t="shared" si="1831"/>
        <v>57</v>
      </c>
      <c r="BH2489" s="111">
        <f t="shared" si="1798"/>
        <v>58</v>
      </c>
      <c r="BI2489" s="111">
        <f t="shared" si="1799"/>
        <v>43.21857923497268</v>
      </c>
      <c r="BJ2489" s="129">
        <f t="shared" si="1811"/>
        <v>0</v>
      </c>
      <c r="BK2489" s="129">
        <f t="shared" si="1800"/>
        <v>0</v>
      </c>
      <c r="BL2489" s="129" t="str">
        <f t="shared" si="1835"/>
        <v>DEFERRED</v>
      </c>
      <c r="BM2489" s="129" t="str">
        <f t="shared" si="1801"/>
        <v>NONE</v>
      </c>
      <c r="BN2489" s="129" t="s">
        <v>566</v>
      </c>
      <c r="BP2489" s="137" t="str">
        <f t="shared" si="1802"/>
        <v>DEFERRED</v>
      </c>
      <c r="BQ2489" s="128" t="str">
        <f t="shared" si="1812"/>
        <v>Y</v>
      </c>
      <c r="BR2489" s="129" t="str">
        <f t="shared" si="1803"/>
        <v>DETAINED</v>
      </c>
      <c r="BS2489" s="129" t="str">
        <f t="shared" si="1804"/>
        <v>DISPOSED</v>
      </c>
      <c r="BT2489" s="129" t="str">
        <f t="shared" si="1805"/>
        <v>N</v>
      </c>
      <c r="BU2489" s="109">
        <f t="shared" si="1806"/>
        <v>0.98275862068965514</v>
      </c>
      <c r="BV2489" s="109">
        <f t="shared" si="1813"/>
        <v>1</v>
      </c>
      <c r="BW2489" s="109">
        <f t="shared" si="1832"/>
        <v>1.7241379310344862E-2</v>
      </c>
      <c r="BX2489" s="111">
        <f t="shared" si="1807"/>
        <v>0</v>
      </c>
      <c r="BY2489" s="129">
        <f t="shared" si="1814"/>
        <v>-57</v>
      </c>
      <c r="BZ2489" s="111">
        <f t="shared" si="1815"/>
        <v>0</v>
      </c>
      <c r="CA2489" s="138">
        <f t="shared" si="1816"/>
        <v>57</v>
      </c>
      <c r="CB2489" s="111" t="e">
        <f t="shared" si="1830"/>
        <v>#VALUE!</v>
      </c>
      <c r="CC2489" s="129">
        <f>G2489-I2489+1</f>
        <v>57</v>
      </c>
      <c r="CD2489" s="129">
        <f>G2489-J2489</f>
        <v>0</v>
      </c>
      <c r="CG2489" s="129" t="str">
        <f t="shared" si="1817"/>
        <v>Y</v>
      </c>
      <c r="CI2489" s="129" t="str">
        <f t="shared" si="1818"/>
        <v>31-60 DAYS</v>
      </c>
      <c r="CJ2489" s="137">
        <f t="shared" si="1819"/>
        <v>3</v>
      </c>
      <c r="CK2489" s="129" t="str">
        <f t="shared" si="1820"/>
        <v>Booked</v>
      </c>
    </row>
    <row r="2490" spans="1:89" ht="15.75" customHeight="1" x14ac:dyDescent="0.25">
      <c r="A2490" s="111">
        <v>1127</v>
      </c>
      <c r="B2490" s="128" t="str">
        <f t="shared" si="1808"/>
        <v>N</v>
      </c>
      <c r="C2490" s="128" t="str">
        <f t="shared" si="1809"/>
        <v>N</v>
      </c>
      <c r="D2490" s="117">
        <v>2578699</v>
      </c>
      <c r="E2490" s="135">
        <f t="shared" si="1810"/>
        <v>1</v>
      </c>
      <c r="F2490" s="124">
        <v>40949</v>
      </c>
      <c r="G2490" s="125">
        <v>40954</v>
      </c>
      <c r="H2490" s="117">
        <v>2578699</v>
      </c>
      <c r="I2490" s="124" t="s">
        <v>562</v>
      </c>
      <c r="J2490" s="124" t="s">
        <v>562</v>
      </c>
      <c r="K2490" s="126" t="s">
        <v>564</v>
      </c>
      <c r="L2490" s="127" t="s">
        <v>564</v>
      </c>
      <c r="N2490" s="124" t="s">
        <v>1342</v>
      </c>
      <c r="O2490" s="128" t="s">
        <v>917</v>
      </c>
      <c r="P2490" s="129" t="s">
        <v>55</v>
      </c>
      <c r="Q2490" s="111">
        <f t="shared" si="1823"/>
        <v>0</v>
      </c>
      <c r="R2490" s="111">
        <f t="shared" si="1822"/>
        <v>6</v>
      </c>
      <c r="S2490" s="129">
        <v>1</v>
      </c>
      <c r="T2490" s="129">
        <v>0</v>
      </c>
      <c r="V2490" s="117">
        <v>1</v>
      </c>
      <c r="W2490" s="111"/>
      <c r="AC2490" s="130"/>
      <c r="AD2490" s="130">
        <v>23936</v>
      </c>
      <c r="AE2490" s="128" t="s">
        <v>32</v>
      </c>
      <c r="AF2490" s="128" t="s">
        <v>69</v>
      </c>
      <c r="AG2490" s="128" t="s">
        <v>874</v>
      </c>
      <c r="AH2490" s="108" t="s">
        <v>31</v>
      </c>
      <c r="AI2490" s="128" t="s">
        <v>95</v>
      </c>
      <c r="AJ2490" s="129" t="s">
        <v>55</v>
      </c>
      <c r="AK2490" s="129">
        <v>1</v>
      </c>
      <c r="AL2490" s="3" t="s">
        <v>55</v>
      </c>
      <c r="AP2490" s="129" t="s">
        <v>143</v>
      </c>
      <c r="AR2490" s="128" t="s">
        <v>50</v>
      </c>
      <c r="AS2490" s="129" t="s">
        <v>82</v>
      </c>
      <c r="BC2490" s="129" t="s">
        <v>79</v>
      </c>
      <c r="BF2490" s="111">
        <v>0</v>
      </c>
      <c r="BG2490" s="111">
        <v>0</v>
      </c>
      <c r="BH2490" s="111">
        <f t="shared" si="1798"/>
        <v>6</v>
      </c>
      <c r="BI2490" s="111">
        <f t="shared" si="1799"/>
        <v>46.483606557377051</v>
      </c>
      <c r="BJ2490" s="129" t="e">
        <f>(G2490-J2490)+(M2490-G2490)</f>
        <v>#VALUE!</v>
      </c>
      <c r="BK2490" s="129" t="e">
        <f t="shared" si="1800"/>
        <v>#VALUE!</v>
      </c>
      <c r="BL2490" s="129" t="str">
        <f t="shared" si="1835"/>
        <v>NO CONVICTION</v>
      </c>
      <c r="BM2490" s="129" t="str">
        <f t="shared" si="1801"/>
        <v>NONE</v>
      </c>
      <c r="BN2490" s="129" t="s">
        <v>566</v>
      </c>
      <c r="BP2490" s="137" t="str">
        <f t="shared" si="1802"/>
        <v>NO CONVICTION</v>
      </c>
      <c r="BQ2490" s="128">
        <f t="shared" si="1812"/>
        <v>0</v>
      </c>
      <c r="BR2490" s="129" t="s">
        <v>1345</v>
      </c>
      <c r="BS2490" s="129" t="str">
        <f t="shared" si="1804"/>
        <v>DISPOSED</v>
      </c>
      <c r="BT2490" s="129" t="str">
        <f t="shared" si="1805"/>
        <v>Y</v>
      </c>
      <c r="BU2490" s="109">
        <f>IFERROR(Q2490/R2490,BR2490)</f>
        <v>0</v>
      </c>
      <c r="BV2490" s="109">
        <v>0</v>
      </c>
      <c r="BW2490" s="109">
        <f t="shared" si="1832"/>
        <v>0</v>
      </c>
      <c r="BX2490" s="111">
        <f t="shared" si="1807"/>
        <v>0</v>
      </c>
      <c r="BY2490" s="129" t="e">
        <f t="shared" si="1814"/>
        <v>#VALUE!</v>
      </c>
      <c r="BZ2490" s="111" t="e">
        <f t="shared" si="1815"/>
        <v>#VALUE!</v>
      </c>
      <c r="CA2490" s="138" t="e">
        <f t="shared" si="1816"/>
        <v>#VALUE!</v>
      </c>
      <c r="CB2490" s="111">
        <v>0</v>
      </c>
      <c r="CC2490" s="129">
        <v>0</v>
      </c>
      <c r="CG2490" s="129" t="str">
        <f t="shared" si="1817"/>
        <v>Y</v>
      </c>
      <c r="CI2490" s="129" t="str">
        <f t="shared" si="1818"/>
        <v>0-10 DAYS</v>
      </c>
      <c r="CJ2490" s="137">
        <f t="shared" si="1819"/>
        <v>1</v>
      </c>
      <c r="CK2490" s="129" t="str">
        <f t="shared" si="1820"/>
        <v>Not Booked</v>
      </c>
    </row>
    <row r="2491" spans="1:89" ht="15.75" customHeight="1" x14ac:dyDescent="0.25">
      <c r="A2491" s="111">
        <v>2312</v>
      </c>
      <c r="B2491" s="128" t="str">
        <f t="shared" si="1808"/>
        <v>N</v>
      </c>
      <c r="C2491" s="128" t="str">
        <f t="shared" si="1809"/>
        <v>N</v>
      </c>
      <c r="D2491" s="117">
        <v>2578834</v>
      </c>
      <c r="E2491" s="135">
        <f t="shared" si="1810"/>
        <v>2</v>
      </c>
      <c r="F2491" s="124">
        <v>40996</v>
      </c>
      <c r="G2491" s="125">
        <v>41113</v>
      </c>
      <c r="H2491" s="117">
        <v>2578834</v>
      </c>
      <c r="I2491" s="124" t="s">
        <v>562</v>
      </c>
      <c r="J2491" s="124" t="s">
        <v>562</v>
      </c>
      <c r="K2491" s="126">
        <v>2000</v>
      </c>
      <c r="L2491" s="127" t="s">
        <v>568</v>
      </c>
      <c r="M2491" s="125">
        <v>40998</v>
      </c>
      <c r="N2491" s="129" t="str">
        <f>IF(M2491&gt;1/1/1,"Y",IF(Q2491="0","","N"))</f>
        <v>Y</v>
      </c>
      <c r="O2491" s="128" t="s">
        <v>585</v>
      </c>
      <c r="P2491" s="129" t="s">
        <v>589</v>
      </c>
      <c r="Q2491" s="111">
        <f t="shared" si="1823"/>
        <v>0</v>
      </c>
      <c r="R2491" s="111">
        <f t="shared" si="1822"/>
        <v>118</v>
      </c>
      <c r="S2491" s="129">
        <v>0</v>
      </c>
      <c r="T2491" s="129">
        <v>0</v>
      </c>
      <c r="W2491" s="111"/>
      <c r="AC2491" s="130"/>
      <c r="AD2491" s="130">
        <v>31494</v>
      </c>
      <c r="AE2491" s="128" t="s">
        <v>32</v>
      </c>
      <c r="AF2491" s="128" t="s">
        <v>138</v>
      </c>
      <c r="AG2491" s="128" t="s">
        <v>873</v>
      </c>
      <c r="AH2491" s="108" t="s">
        <v>31</v>
      </c>
      <c r="AI2491" s="128" t="s">
        <v>90</v>
      </c>
      <c r="AJ2491" s="129" t="s">
        <v>48</v>
      </c>
      <c r="AK2491" s="129">
        <v>7</v>
      </c>
      <c r="AL2491" s="3" t="s">
        <v>48</v>
      </c>
      <c r="AP2491" s="129" t="s">
        <v>43</v>
      </c>
      <c r="AR2491" s="128" t="s">
        <v>44</v>
      </c>
      <c r="AS2491" s="129" t="s">
        <v>45</v>
      </c>
      <c r="BC2491" s="129" t="s">
        <v>52</v>
      </c>
      <c r="BF2491" s="111">
        <v>0</v>
      </c>
      <c r="BG2491" s="111">
        <v>0</v>
      </c>
      <c r="BH2491" s="111">
        <f t="shared" si="1798"/>
        <v>118</v>
      </c>
      <c r="BI2491" s="111">
        <f t="shared" si="1799"/>
        <v>25.961748633879782</v>
      </c>
      <c r="BJ2491" s="129" t="e">
        <f>(G2491-J2491)+(M2491-G2491)</f>
        <v>#VALUE!</v>
      </c>
      <c r="BK2491" s="129" t="e">
        <f t="shared" si="1800"/>
        <v>#VALUE!</v>
      </c>
      <c r="BL2491" s="129" t="str">
        <f t="shared" si="1835"/>
        <v>DEFERRED</v>
      </c>
      <c r="BM2491" s="129" t="s">
        <v>76</v>
      </c>
      <c r="BN2491" s="129" t="s">
        <v>88</v>
      </c>
      <c r="BP2491" s="137" t="str">
        <f t="shared" si="1802"/>
        <v>DEFERRED</v>
      </c>
      <c r="BQ2491" s="128">
        <f t="shared" si="1812"/>
        <v>0</v>
      </c>
      <c r="BR2491" s="129" t="s">
        <v>575</v>
      </c>
      <c r="BS2491" s="129" t="str">
        <f t="shared" si="1804"/>
        <v>DISPOSED</v>
      </c>
      <c r="BT2491" s="129" t="str">
        <f t="shared" si="1805"/>
        <v>N</v>
      </c>
      <c r="BU2491" s="109">
        <f t="shared" si="1806"/>
        <v>0</v>
      </c>
      <c r="BV2491" s="109">
        <v>0</v>
      </c>
      <c r="BW2491" s="109">
        <f t="shared" si="1832"/>
        <v>0</v>
      </c>
      <c r="BX2491" s="111">
        <f t="shared" si="1807"/>
        <v>0</v>
      </c>
      <c r="BY2491" s="129" t="e">
        <f t="shared" si="1814"/>
        <v>#VALUE!</v>
      </c>
      <c r="BZ2491" s="111" t="e">
        <f t="shared" si="1815"/>
        <v>#VALUE!</v>
      </c>
      <c r="CA2491" s="138" t="e">
        <f t="shared" si="1816"/>
        <v>#VALUE!</v>
      </c>
      <c r="CB2491" s="111">
        <v>0</v>
      </c>
      <c r="CC2491" s="129">
        <v>0</v>
      </c>
      <c r="CD2491" s="111">
        <f>CC2491-BF2491</f>
        <v>0</v>
      </c>
      <c r="CG2491" s="129" t="str">
        <f t="shared" si="1817"/>
        <v>N</v>
      </c>
      <c r="CI2491" s="129" t="str">
        <f t="shared" si="1818"/>
        <v>0-10 DAYS</v>
      </c>
      <c r="CJ2491" s="137">
        <f t="shared" si="1819"/>
        <v>1</v>
      </c>
      <c r="CK2491" s="129" t="str">
        <f t="shared" si="1820"/>
        <v>Not Booked</v>
      </c>
    </row>
    <row r="2492" spans="1:89" ht="15" customHeight="1" x14ac:dyDescent="0.25">
      <c r="A2492" s="111">
        <v>2241</v>
      </c>
      <c r="B2492" s="128" t="str">
        <f t="shared" si="1808"/>
        <v>N</v>
      </c>
      <c r="C2492" s="128" t="str">
        <f t="shared" si="1809"/>
        <v>N</v>
      </c>
      <c r="D2492" s="117">
        <v>2579944</v>
      </c>
      <c r="E2492" s="135">
        <f t="shared" si="1810"/>
        <v>6</v>
      </c>
      <c r="F2492" s="124">
        <v>40993</v>
      </c>
      <c r="G2492" s="125">
        <v>41466</v>
      </c>
      <c r="H2492" s="117">
        <v>2579944</v>
      </c>
      <c r="I2492" s="124">
        <v>40993</v>
      </c>
      <c r="J2492" s="125">
        <v>41217</v>
      </c>
      <c r="K2492" s="126">
        <v>20000</v>
      </c>
      <c r="L2492" s="127" t="s">
        <v>571</v>
      </c>
      <c r="M2492" s="125">
        <v>41217</v>
      </c>
      <c r="N2492" s="129" t="s">
        <v>51</v>
      </c>
      <c r="O2492" s="128" t="s">
        <v>76</v>
      </c>
      <c r="P2492" s="129" t="s">
        <v>39</v>
      </c>
      <c r="Q2492" s="111">
        <v>225</v>
      </c>
      <c r="R2492" s="111">
        <v>472</v>
      </c>
      <c r="S2492" s="129">
        <v>1</v>
      </c>
      <c r="T2492" s="129">
        <v>0</v>
      </c>
      <c r="V2492" s="117">
        <v>1</v>
      </c>
      <c r="W2492" s="111"/>
      <c r="AC2492" s="130"/>
      <c r="AD2492" s="130">
        <v>34584</v>
      </c>
      <c r="AE2492" s="128" t="s">
        <v>32</v>
      </c>
      <c r="AF2492" s="128" t="s">
        <v>192</v>
      </c>
      <c r="AG2492" s="128" t="s">
        <v>873</v>
      </c>
      <c r="AH2492" s="108" t="s">
        <v>31</v>
      </c>
      <c r="AI2492" s="128" t="s">
        <v>62</v>
      </c>
      <c r="AJ2492" s="129" t="s">
        <v>89</v>
      </c>
      <c r="AK2492" s="129">
        <v>13</v>
      </c>
      <c r="AL2492" s="3" t="s">
        <v>362</v>
      </c>
      <c r="AM2492" s="117">
        <v>10</v>
      </c>
      <c r="AP2492" s="129" t="s">
        <v>105</v>
      </c>
      <c r="AR2492" s="128" t="s">
        <v>92</v>
      </c>
      <c r="AS2492" s="129" t="s">
        <v>106</v>
      </c>
      <c r="AT2492" s="129" t="s">
        <v>1166</v>
      </c>
      <c r="BC2492" s="129" t="s">
        <v>52</v>
      </c>
      <c r="BF2492" s="111">
        <v>213</v>
      </c>
      <c r="BG2492" s="111">
        <f>IF(J2492&gt;1/1/1900,((J2492+1)-I2492),"STILL OPEN")</f>
        <v>225</v>
      </c>
      <c r="BH2492" s="111">
        <v>472</v>
      </c>
      <c r="BI2492" s="111">
        <f t="shared" si="1799"/>
        <v>17.510928961748633</v>
      </c>
      <c r="BJ2492" s="129">
        <f>(G2492-J2492)+(M2492-G2492)</f>
        <v>0</v>
      </c>
      <c r="BK2492" s="125" t="e">
        <f>AL3-J2492</f>
        <v>#VALUE!</v>
      </c>
      <c r="BL2492" s="129" t="str">
        <f t="shared" si="1835"/>
        <v>CONVICTION</v>
      </c>
      <c r="BM2492" s="129" t="s">
        <v>76</v>
      </c>
      <c r="BN2492" s="129" t="s">
        <v>88</v>
      </c>
      <c r="BP2492" s="137" t="str">
        <f t="shared" si="1802"/>
        <v>CONVICTION</v>
      </c>
      <c r="BQ2492" s="128" t="str">
        <f t="shared" si="1812"/>
        <v>Y</v>
      </c>
      <c r="BR2492" s="129" t="str">
        <f>IF(J2492&lt;G2492,"ON BOND",0)</f>
        <v>ON BOND</v>
      </c>
      <c r="BS2492" s="129" t="str">
        <f t="shared" si="1804"/>
        <v>DISPOSED</v>
      </c>
      <c r="BT2492" s="129" t="str">
        <f t="shared" si="1805"/>
        <v>Y</v>
      </c>
      <c r="BU2492" s="109">
        <f t="shared" si="1806"/>
        <v>0.47669491525423729</v>
      </c>
      <c r="BV2492" s="109">
        <f t="shared" si="1813"/>
        <v>0.47468354430379744</v>
      </c>
      <c r="BW2492" s="109">
        <f t="shared" si="1832"/>
        <v>-2.0113709504398503E-3</v>
      </c>
      <c r="BX2492" s="111">
        <f t="shared" si="1807"/>
        <v>12</v>
      </c>
      <c r="BY2492" s="129">
        <f t="shared" si="1814"/>
        <v>-225</v>
      </c>
      <c r="BZ2492" s="111">
        <f t="shared" si="1815"/>
        <v>-12</v>
      </c>
      <c r="CA2492" s="138">
        <f t="shared" si="1816"/>
        <v>225</v>
      </c>
      <c r="CB2492" s="111">
        <v>213</v>
      </c>
      <c r="CC2492" s="129">
        <f>M2492-I2492+1</f>
        <v>225</v>
      </c>
      <c r="CD2492" s="111">
        <f>CC2492-BF2492</f>
        <v>12</v>
      </c>
      <c r="CG2492" s="129" t="str">
        <f t="shared" si="1817"/>
        <v>Y</v>
      </c>
      <c r="CI2492" s="129" t="str">
        <f t="shared" si="1818"/>
        <v>121-365 DAYS</v>
      </c>
      <c r="CJ2492" s="137">
        <f t="shared" si="1819"/>
        <v>6</v>
      </c>
      <c r="CK2492" s="129" t="str">
        <f t="shared" si="1820"/>
        <v>Booked</v>
      </c>
    </row>
    <row r="2493" spans="1:89" ht="15.75" customHeight="1" x14ac:dyDescent="0.25">
      <c r="A2493" s="111">
        <v>830</v>
      </c>
      <c r="B2493" s="128" t="str">
        <f t="shared" si="1808"/>
        <v>N</v>
      </c>
      <c r="C2493" s="128" t="str">
        <f t="shared" si="1809"/>
        <v>N</v>
      </c>
      <c r="D2493" s="117">
        <v>2580025</v>
      </c>
      <c r="E2493" s="135">
        <f t="shared" si="1810"/>
        <v>6</v>
      </c>
      <c r="F2493" s="124">
        <v>40940</v>
      </c>
      <c r="G2493" s="125">
        <v>41102</v>
      </c>
      <c r="H2493" s="117">
        <v>2580025</v>
      </c>
      <c r="I2493" s="124" t="s">
        <v>562</v>
      </c>
      <c r="J2493" s="124" t="s">
        <v>562</v>
      </c>
      <c r="K2493" s="126">
        <v>30000</v>
      </c>
      <c r="L2493" s="129" t="s">
        <v>572</v>
      </c>
      <c r="M2493" s="125">
        <v>40948</v>
      </c>
      <c r="N2493" s="129" t="str">
        <f>IF(M2493&gt;1/1/1,"Y",IF(Q2493="0","","N"))</f>
        <v>Y</v>
      </c>
      <c r="O2493" s="128" t="s">
        <v>585</v>
      </c>
      <c r="P2493" s="129" t="s">
        <v>39</v>
      </c>
      <c r="Q2493" s="111">
        <f t="shared" ref="Q2493:Q2536" si="1836">BF2493</f>
        <v>0</v>
      </c>
      <c r="R2493" s="111">
        <f t="shared" ref="R2493:R2556" si="1837">BH2493</f>
        <v>163</v>
      </c>
      <c r="S2493" s="129">
        <v>0</v>
      </c>
      <c r="T2493" s="129">
        <v>0</v>
      </c>
      <c r="W2493" s="111"/>
      <c r="AC2493" s="130"/>
      <c r="AD2493" s="130">
        <v>34275</v>
      </c>
      <c r="AE2493" s="128" t="s">
        <v>32</v>
      </c>
      <c r="AF2493" s="128" t="s">
        <v>33</v>
      </c>
      <c r="AG2493" s="128" t="s">
        <v>872</v>
      </c>
      <c r="AH2493" s="108" t="s">
        <v>31</v>
      </c>
      <c r="AI2493" s="128" t="s">
        <v>113</v>
      </c>
      <c r="AJ2493" s="129" t="s">
        <v>89</v>
      </c>
      <c r="AK2493" s="129">
        <v>7</v>
      </c>
      <c r="AL2493" s="3" t="s">
        <v>362</v>
      </c>
      <c r="AM2493" s="117">
        <v>10</v>
      </c>
      <c r="AP2493" s="129" t="s">
        <v>105</v>
      </c>
      <c r="AR2493" s="128" t="s">
        <v>92</v>
      </c>
      <c r="AS2493" s="129" t="s">
        <v>106</v>
      </c>
      <c r="BC2493" s="129" t="s">
        <v>52</v>
      </c>
      <c r="BF2493" s="111">
        <v>0</v>
      </c>
      <c r="BG2493" s="111">
        <v>0</v>
      </c>
      <c r="BH2493" s="111">
        <f t="shared" ref="BH2493:BH2556" si="1838">IF(G2493&gt;1/1/1900,((G2493+1)-F2493),"STILL OPEN")</f>
        <v>163</v>
      </c>
      <c r="BI2493" s="111">
        <f t="shared" si="1799"/>
        <v>18.210382513661202</v>
      </c>
      <c r="BJ2493" s="129" t="e">
        <f>(G2493-J2493)+(M2493-G2493)</f>
        <v>#VALUE!</v>
      </c>
      <c r="BK2493" s="129" t="e">
        <f t="shared" ref="BK2493:BK2556" si="1839">J2493-G2493</f>
        <v>#VALUE!</v>
      </c>
      <c r="BL2493" s="129" t="str">
        <f t="shared" si="1835"/>
        <v>CONVICTION</v>
      </c>
      <c r="BM2493" s="129" t="s">
        <v>76</v>
      </c>
      <c r="BN2493" s="129" t="s">
        <v>88</v>
      </c>
      <c r="BP2493" s="137" t="str">
        <f t="shared" si="1802"/>
        <v>CONVICTION</v>
      </c>
      <c r="BQ2493" s="128">
        <f t="shared" si="1812"/>
        <v>0</v>
      </c>
      <c r="BR2493" s="129" t="s">
        <v>575</v>
      </c>
      <c r="BS2493" s="129" t="str">
        <f t="shared" si="1804"/>
        <v>DISPOSED</v>
      </c>
      <c r="BT2493" s="129" t="str">
        <f t="shared" si="1805"/>
        <v>N</v>
      </c>
      <c r="BU2493" s="109">
        <f t="shared" si="1806"/>
        <v>0</v>
      </c>
      <c r="BV2493" s="109">
        <v>0</v>
      </c>
      <c r="BW2493" s="109">
        <f t="shared" si="1832"/>
        <v>0</v>
      </c>
      <c r="BX2493" s="111">
        <f t="shared" si="1807"/>
        <v>0</v>
      </c>
      <c r="BY2493" s="129" t="e">
        <f t="shared" si="1814"/>
        <v>#VALUE!</v>
      </c>
      <c r="BZ2493" s="111" t="e">
        <f t="shared" si="1815"/>
        <v>#VALUE!</v>
      </c>
      <c r="CA2493" s="138" t="e">
        <f t="shared" si="1816"/>
        <v>#VALUE!</v>
      </c>
      <c r="CB2493" s="111">
        <v>0</v>
      </c>
      <c r="CC2493" s="129">
        <v>0</v>
      </c>
      <c r="CD2493" s="111">
        <f>CC2493-BF2493</f>
        <v>0</v>
      </c>
      <c r="CG2493" s="129" t="str">
        <f t="shared" si="1817"/>
        <v>N</v>
      </c>
      <c r="CI2493" s="129" t="str">
        <f t="shared" si="1818"/>
        <v>0-10 DAYS</v>
      </c>
      <c r="CJ2493" s="137">
        <f t="shared" si="1819"/>
        <v>1</v>
      </c>
      <c r="CK2493" s="129" t="str">
        <f t="shared" si="1820"/>
        <v>Not Booked</v>
      </c>
    </row>
    <row r="2494" spans="1:89" ht="15.75" customHeight="1" x14ac:dyDescent="0.25">
      <c r="A2494" s="111">
        <v>115</v>
      </c>
      <c r="B2494" s="128" t="str">
        <f t="shared" si="1808"/>
        <v>N</v>
      </c>
      <c r="C2494" s="128" t="str">
        <f t="shared" si="1809"/>
        <v>N</v>
      </c>
      <c r="D2494" s="117">
        <v>2580360</v>
      </c>
      <c r="E2494" s="135">
        <f t="shared" si="1810"/>
        <v>4</v>
      </c>
      <c r="F2494" s="124">
        <v>40913</v>
      </c>
      <c r="G2494" s="125">
        <v>41225</v>
      </c>
      <c r="H2494" s="117">
        <v>2580360</v>
      </c>
      <c r="I2494" s="124">
        <v>40928</v>
      </c>
      <c r="J2494" s="124">
        <v>41225</v>
      </c>
      <c r="K2494" s="126">
        <v>30000</v>
      </c>
      <c r="L2494" s="129" t="s">
        <v>572</v>
      </c>
      <c r="N2494" s="129" t="str">
        <f t="shared" ref="N2494:N2516" si="1840">IF(M2494&gt;1/1/1,"Y","N")</f>
        <v>N</v>
      </c>
      <c r="O2494" s="128" t="s">
        <v>917</v>
      </c>
      <c r="P2494" s="129" t="s">
        <v>39</v>
      </c>
      <c r="Q2494" s="111">
        <f t="shared" si="1836"/>
        <v>298</v>
      </c>
      <c r="R2494" s="111">
        <f t="shared" si="1837"/>
        <v>313</v>
      </c>
      <c r="S2494" s="129">
        <v>0</v>
      </c>
      <c r="T2494" s="129">
        <v>2</v>
      </c>
      <c r="W2494" s="111"/>
      <c r="AC2494" s="130"/>
      <c r="AD2494" s="130">
        <v>31475</v>
      </c>
      <c r="AE2494" s="128" t="s">
        <v>32</v>
      </c>
      <c r="AF2494" s="128" t="s">
        <v>33</v>
      </c>
      <c r="AG2494" s="128" t="s">
        <v>872</v>
      </c>
      <c r="AH2494" s="108" t="s">
        <v>31</v>
      </c>
      <c r="AI2494" s="128" t="s">
        <v>87</v>
      </c>
      <c r="AJ2494" s="129" t="s">
        <v>89</v>
      </c>
      <c r="AK2494" s="129">
        <v>11</v>
      </c>
      <c r="AL2494" s="3" t="s">
        <v>991</v>
      </c>
      <c r="AO2494" s="128">
        <v>365</v>
      </c>
      <c r="AP2494" s="129" t="s">
        <v>73</v>
      </c>
      <c r="AR2494" s="128" t="s">
        <v>50</v>
      </c>
      <c r="AS2494" s="129" t="s">
        <v>74</v>
      </c>
      <c r="BC2494" s="129" t="s">
        <v>38</v>
      </c>
      <c r="BF2494" s="111">
        <f t="shared" ref="BF2494:BF2533" si="1841">IF(J2494&gt;1/1/1900,((J2494+1)-I2494),"STILL OPEN")</f>
        <v>298</v>
      </c>
      <c r="BG2494" s="111">
        <f t="shared" ref="BG2494:BG2533" si="1842">IF(G2494&gt;1/1/1900,((G2494+1)-I2494),"STILL OPEN")</f>
        <v>298</v>
      </c>
      <c r="BH2494" s="111">
        <f t="shared" si="1838"/>
        <v>313</v>
      </c>
      <c r="BI2494" s="111">
        <f t="shared" si="1799"/>
        <v>25.78688524590164</v>
      </c>
      <c r="BJ2494" s="129">
        <f t="shared" si="1811"/>
        <v>0</v>
      </c>
      <c r="BK2494" s="129">
        <f t="shared" si="1839"/>
        <v>0</v>
      </c>
      <c r="BL2494" s="129" t="str">
        <f t="shared" si="1835"/>
        <v>CONVICTION</v>
      </c>
      <c r="BM2494" s="129" t="str">
        <f t="shared" si="1801"/>
        <v>NONE</v>
      </c>
      <c r="BN2494" s="129" t="s">
        <v>566</v>
      </c>
      <c r="BP2494" s="137" t="str">
        <f t="shared" si="1802"/>
        <v>CONVICTION</v>
      </c>
      <c r="BQ2494" s="128" t="str">
        <f t="shared" si="1812"/>
        <v>Y</v>
      </c>
      <c r="BR2494" s="129" t="str">
        <f t="shared" si="1803"/>
        <v>DETAINED</v>
      </c>
      <c r="BS2494" s="129" t="str">
        <f t="shared" si="1804"/>
        <v>DISPOSED</v>
      </c>
      <c r="BT2494" s="129" t="str">
        <f t="shared" si="1805"/>
        <v>N</v>
      </c>
      <c r="BU2494" s="109">
        <f t="shared" si="1806"/>
        <v>0.95207667731629397</v>
      </c>
      <c r="BV2494" s="109">
        <f t="shared" si="1813"/>
        <v>1</v>
      </c>
      <c r="BW2494" s="109">
        <f t="shared" si="1832"/>
        <v>4.7923322683706027E-2</v>
      </c>
      <c r="BX2494" s="111">
        <f t="shared" si="1807"/>
        <v>0</v>
      </c>
      <c r="BY2494" s="129">
        <f t="shared" si="1814"/>
        <v>-298</v>
      </c>
      <c r="BZ2494" s="111">
        <f t="shared" si="1815"/>
        <v>0</v>
      </c>
      <c r="CA2494" s="138">
        <f t="shared" si="1816"/>
        <v>298</v>
      </c>
      <c r="CB2494" s="111" t="e">
        <f t="shared" ref="CB2494:CB2533" si="1843">IF(AF2494&gt;1/1/1900,((AF2494+1)-AE2494),"STILL OPEN")</f>
        <v>#VALUE!</v>
      </c>
      <c r="CC2494" s="129">
        <f>G2494-I2494+1</f>
        <v>298</v>
      </c>
      <c r="CD2494" s="129">
        <f>G2494-J2494</f>
        <v>0</v>
      </c>
      <c r="CG2494" s="129" t="str">
        <f t="shared" si="1817"/>
        <v>Y</v>
      </c>
      <c r="CI2494" s="129" t="str">
        <f t="shared" si="1818"/>
        <v>121-365 DAYS</v>
      </c>
      <c r="CJ2494" s="137">
        <f t="shared" si="1819"/>
        <v>6</v>
      </c>
      <c r="CK2494" s="129" t="str">
        <f t="shared" si="1820"/>
        <v>Booked</v>
      </c>
    </row>
    <row r="2495" spans="1:89" ht="15.75" customHeight="1" x14ac:dyDescent="0.25">
      <c r="A2495" s="111">
        <v>2911</v>
      </c>
      <c r="B2495" s="128" t="str">
        <f t="shared" si="1808"/>
        <v>N</v>
      </c>
      <c r="C2495" s="128" t="str">
        <f t="shared" si="1809"/>
        <v>N</v>
      </c>
      <c r="D2495" s="117">
        <v>2580433</v>
      </c>
      <c r="E2495" s="135">
        <f t="shared" si="1810"/>
        <v>2</v>
      </c>
      <c r="F2495" s="124">
        <v>41016</v>
      </c>
      <c r="G2495" s="125">
        <v>41288</v>
      </c>
      <c r="H2495" s="117">
        <v>2580433</v>
      </c>
      <c r="I2495" s="124">
        <v>41017</v>
      </c>
      <c r="J2495" s="124">
        <v>41018</v>
      </c>
      <c r="K2495" s="126">
        <v>2000</v>
      </c>
      <c r="L2495" s="127" t="s">
        <v>568</v>
      </c>
      <c r="M2495" s="125">
        <v>41018</v>
      </c>
      <c r="N2495" s="129" t="str">
        <f t="shared" si="1840"/>
        <v>Y</v>
      </c>
      <c r="O2495" s="128" t="s">
        <v>76</v>
      </c>
      <c r="P2495" s="129" t="s">
        <v>589</v>
      </c>
      <c r="Q2495" s="111">
        <f t="shared" si="1836"/>
        <v>2</v>
      </c>
      <c r="R2495" s="111">
        <f t="shared" si="1837"/>
        <v>273</v>
      </c>
      <c r="S2495" s="129">
        <v>0</v>
      </c>
      <c r="T2495" s="129">
        <v>0</v>
      </c>
      <c r="W2495" s="111"/>
      <c r="AC2495" s="130"/>
      <c r="AD2495" s="130">
        <v>32756</v>
      </c>
      <c r="AE2495" s="128" t="s">
        <v>32</v>
      </c>
      <c r="AF2495" s="128" t="s">
        <v>40</v>
      </c>
      <c r="AG2495" s="128" t="s">
        <v>41</v>
      </c>
      <c r="AH2495" s="108" t="s">
        <v>41</v>
      </c>
      <c r="AI2495" s="128" t="s">
        <v>47</v>
      </c>
      <c r="AJ2495" s="129" t="s">
        <v>48</v>
      </c>
      <c r="AK2495" s="129">
        <v>11</v>
      </c>
      <c r="AL2495" s="3" t="s">
        <v>48</v>
      </c>
      <c r="AP2495" s="129" t="s">
        <v>108</v>
      </c>
      <c r="AR2495" s="128" t="s">
        <v>44</v>
      </c>
      <c r="AS2495" s="129" t="s">
        <v>61</v>
      </c>
      <c r="BC2495" s="129" t="s">
        <v>52</v>
      </c>
      <c r="BF2495" s="111">
        <f t="shared" si="1841"/>
        <v>2</v>
      </c>
      <c r="BG2495" s="111">
        <f t="shared" si="1842"/>
        <v>272</v>
      </c>
      <c r="BH2495" s="111">
        <f t="shared" si="1838"/>
        <v>273</v>
      </c>
      <c r="BI2495" s="111">
        <f t="shared" si="1799"/>
        <v>22.568306010928961</v>
      </c>
      <c r="BJ2495" s="129">
        <f>(G2495-J2495)+(M2495-G2495)</f>
        <v>0</v>
      </c>
      <c r="BK2495" s="129">
        <f t="shared" si="1839"/>
        <v>-270</v>
      </c>
      <c r="BL2495" s="129" t="str">
        <f t="shared" si="1835"/>
        <v>DEFERRED</v>
      </c>
      <c r="BM2495" s="129" t="s">
        <v>76</v>
      </c>
      <c r="BN2495" s="129" t="s">
        <v>88</v>
      </c>
      <c r="BP2495" s="137" t="str">
        <f t="shared" si="1802"/>
        <v>DEFERRED</v>
      </c>
      <c r="BQ2495" s="128" t="str">
        <f t="shared" si="1812"/>
        <v>Y</v>
      </c>
      <c r="BR2495" s="129" t="str">
        <f t="shared" si="1803"/>
        <v>ON BOND</v>
      </c>
      <c r="BS2495" s="129" t="str">
        <f t="shared" si="1804"/>
        <v>DISPOSED</v>
      </c>
      <c r="BT2495" s="129" t="str">
        <f t="shared" si="1805"/>
        <v>N</v>
      </c>
      <c r="BU2495" s="109">
        <f t="shared" si="1806"/>
        <v>7.326007326007326E-3</v>
      </c>
      <c r="BV2495" s="109">
        <f t="shared" si="1813"/>
        <v>7.3529411764705881E-3</v>
      </c>
      <c r="BW2495" s="109">
        <f t="shared" si="1832"/>
        <v>2.6933850463262132E-5</v>
      </c>
      <c r="BX2495" s="111">
        <f t="shared" si="1807"/>
        <v>0</v>
      </c>
      <c r="BY2495" s="129">
        <f t="shared" si="1814"/>
        <v>-2</v>
      </c>
      <c r="BZ2495" s="111">
        <f t="shared" si="1815"/>
        <v>0</v>
      </c>
      <c r="CA2495" s="138">
        <f t="shared" si="1816"/>
        <v>2</v>
      </c>
      <c r="CB2495" s="111" t="e">
        <f t="shared" si="1843"/>
        <v>#VALUE!</v>
      </c>
      <c r="CC2495" s="129">
        <f>M2495-I2495+1</f>
        <v>2</v>
      </c>
      <c r="CD2495" s="111">
        <f>CC2495-BF2495</f>
        <v>0</v>
      </c>
      <c r="CG2495" s="129" t="str">
        <f t="shared" si="1817"/>
        <v>N</v>
      </c>
      <c r="CI2495" s="129" t="str">
        <f t="shared" si="1818"/>
        <v>0-10 DAYS</v>
      </c>
      <c r="CJ2495" s="137">
        <f t="shared" si="1819"/>
        <v>1</v>
      </c>
      <c r="CK2495" s="129" t="str">
        <f t="shared" si="1820"/>
        <v>Booked</v>
      </c>
    </row>
    <row r="2496" spans="1:89" ht="15" customHeight="1" x14ac:dyDescent="0.25">
      <c r="A2496" s="111">
        <v>2748</v>
      </c>
      <c r="B2496" s="128" t="str">
        <f t="shared" si="1808"/>
        <v>N</v>
      </c>
      <c r="C2496" s="128" t="str">
        <f t="shared" si="1809"/>
        <v>N</v>
      </c>
      <c r="D2496" s="117">
        <v>2580906</v>
      </c>
      <c r="E2496" s="135">
        <f t="shared" si="1810"/>
        <v>1</v>
      </c>
      <c r="F2496" s="124">
        <v>41011</v>
      </c>
      <c r="G2496" s="125">
        <v>41015</v>
      </c>
      <c r="H2496" s="117">
        <v>2580906</v>
      </c>
      <c r="I2496" s="124">
        <v>41011</v>
      </c>
      <c r="J2496" s="124">
        <v>41015</v>
      </c>
      <c r="K2496" s="126">
        <v>2000</v>
      </c>
      <c r="L2496" s="127" t="s">
        <v>568</v>
      </c>
      <c r="N2496" s="129" t="str">
        <f t="shared" si="1840"/>
        <v>N</v>
      </c>
      <c r="O2496" s="128" t="s">
        <v>917</v>
      </c>
      <c r="P2496" s="129" t="s">
        <v>55</v>
      </c>
      <c r="Q2496" s="111">
        <f t="shared" si="1836"/>
        <v>5</v>
      </c>
      <c r="R2496" s="111">
        <f t="shared" si="1837"/>
        <v>5</v>
      </c>
      <c r="S2496" s="129">
        <v>0</v>
      </c>
      <c r="T2496" s="129">
        <v>3</v>
      </c>
      <c r="W2496" s="111"/>
      <c r="AC2496" s="130"/>
      <c r="AD2496" s="130">
        <v>34587</v>
      </c>
      <c r="AE2496" s="128" t="s">
        <v>32</v>
      </c>
      <c r="AF2496" s="128" t="s">
        <v>33</v>
      </c>
      <c r="AG2496" s="128" t="s">
        <v>872</v>
      </c>
      <c r="AH2496" s="108" t="s">
        <v>31</v>
      </c>
      <c r="AI2496" s="128" t="s">
        <v>34</v>
      </c>
      <c r="AJ2496" s="129" t="s">
        <v>55</v>
      </c>
      <c r="AK2496" s="129">
        <v>2</v>
      </c>
      <c r="AL2496" s="3" t="s">
        <v>55</v>
      </c>
      <c r="AP2496" s="129" t="s">
        <v>43</v>
      </c>
      <c r="AR2496" s="128" t="s">
        <v>44</v>
      </c>
      <c r="AS2496" s="129" t="s">
        <v>45</v>
      </c>
      <c r="BC2496" s="129" t="s">
        <v>38</v>
      </c>
      <c r="BF2496" s="111">
        <f t="shared" si="1841"/>
        <v>5</v>
      </c>
      <c r="BG2496" s="111">
        <f t="shared" si="1842"/>
        <v>5</v>
      </c>
      <c r="BH2496" s="111">
        <f t="shared" si="1838"/>
        <v>5</v>
      </c>
      <c r="BI2496" s="111">
        <f t="shared" ref="BI2496:BI2559" si="1844">(F2496-AD2496)/366</f>
        <v>17.551912568306012</v>
      </c>
      <c r="BJ2496" s="129">
        <f t="shared" si="1811"/>
        <v>0</v>
      </c>
      <c r="BK2496" s="129">
        <f t="shared" si="1839"/>
        <v>0</v>
      </c>
      <c r="BL2496" s="129" t="str">
        <f t="shared" si="1835"/>
        <v>NO CONVICTION</v>
      </c>
      <c r="BM2496" s="129" t="str">
        <f t="shared" si="1801"/>
        <v>NONE</v>
      </c>
      <c r="BN2496" s="129" t="s">
        <v>566</v>
      </c>
      <c r="BP2496" s="137" t="str">
        <f t="shared" si="1802"/>
        <v>NO CONVICTION</v>
      </c>
      <c r="BQ2496" s="128" t="str">
        <f t="shared" si="1812"/>
        <v>Y</v>
      </c>
      <c r="BR2496" s="129" t="str">
        <f t="shared" si="1803"/>
        <v>DETAINED</v>
      </c>
      <c r="BS2496" s="129" t="str">
        <f t="shared" si="1804"/>
        <v>DISPOSED</v>
      </c>
      <c r="BT2496" s="129" t="str">
        <f t="shared" si="1805"/>
        <v>N</v>
      </c>
      <c r="BU2496" s="109">
        <f>IFERROR(Q2496/R2496,BR2496)</f>
        <v>1</v>
      </c>
      <c r="BV2496" s="109">
        <f t="shared" si="1813"/>
        <v>1</v>
      </c>
      <c r="BW2496" s="109">
        <f t="shared" si="1832"/>
        <v>0</v>
      </c>
      <c r="BX2496" s="111">
        <f t="shared" si="1807"/>
        <v>0</v>
      </c>
      <c r="BY2496" s="129">
        <f t="shared" si="1814"/>
        <v>-5</v>
      </c>
      <c r="BZ2496" s="111">
        <f t="shared" si="1815"/>
        <v>0</v>
      </c>
      <c r="CA2496" s="138">
        <f t="shared" si="1816"/>
        <v>5</v>
      </c>
      <c r="CB2496" s="111" t="e">
        <f t="shared" si="1843"/>
        <v>#VALUE!</v>
      </c>
      <c r="CC2496" s="129">
        <f>G2496-I2496+1</f>
        <v>5</v>
      </c>
      <c r="CD2496" s="129">
        <f>G2496-J2496</f>
        <v>0</v>
      </c>
      <c r="CG2496" s="129" t="str">
        <f t="shared" si="1817"/>
        <v>Y</v>
      </c>
      <c r="CI2496" s="129" t="str">
        <f t="shared" si="1818"/>
        <v>0-10 DAYS</v>
      </c>
      <c r="CJ2496" s="137">
        <f t="shared" si="1819"/>
        <v>1</v>
      </c>
      <c r="CK2496" s="129" t="str">
        <f t="shared" si="1820"/>
        <v>Booked</v>
      </c>
    </row>
    <row r="2497" spans="1:89" ht="15" customHeight="1" x14ac:dyDescent="0.25">
      <c r="A2497" s="111">
        <v>1824</v>
      </c>
      <c r="B2497" s="128" t="str">
        <f t="shared" si="1808"/>
        <v>N</v>
      </c>
      <c r="C2497" s="128" t="str">
        <f t="shared" si="1809"/>
        <v>N</v>
      </c>
      <c r="D2497" s="117">
        <v>2580918</v>
      </c>
      <c r="E2497" s="135">
        <f t="shared" si="1810"/>
        <v>5</v>
      </c>
      <c r="F2497" s="124">
        <v>40976</v>
      </c>
      <c r="G2497" s="125">
        <v>41032</v>
      </c>
      <c r="H2497" s="117">
        <v>2580918</v>
      </c>
      <c r="I2497" s="124">
        <v>40977</v>
      </c>
      <c r="J2497" s="124">
        <v>41032</v>
      </c>
      <c r="K2497" s="126">
        <v>10000</v>
      </c>
      <c r="L2497" s="127" t="s">
        <v>570</v>
      </c>
      <c r="N2497" s="129" t="str">
        <f t="shared" si="1840"/>
        <v>N</v>
      </c>
      <c r="O2497" s="128" t="s">
        <v>917</v>
      </c>
      <c r="P2497" s="129" t="s">
        <v>39</v>
      </c>
      <c r="Q2497" s="111">
        <f t="shared" si="1836"/>
        <v>56</v>
      </c>
      <c r="R2497" s="111">
        <f t="shared" si="1837"/>
        <v>57</v>
      </c>
      <c r="S2497" s="129">
        <v>0</v>
      </c>
      <c r="T2497" s="129">
        <v>1</v>
      </c>
      <c r="W2497" s="111"/>
      <c r="AC2497" s="130"/>
      <c r="AD2497" s="130">
        <v>34497</v>
      </c>
      <c r="AE2497" s="128" t="s">
        <v>32</v>
      </c>
      <c r="AF2497" s="128" t="s">
        <v>33</v>
      </c>
      <c r="AG2497" s="128" t="s">
        <v>872</v>
      </c>
      <c r="AH2497" s="108" t="s">
        <v>31</v>
      </c>
      <c r="AI2497" s="128" t="s">
        <v>53</v>
      </c>
      <c r="AJ2497" s="129" t="s">
        <v>89</v>
      </c>
      <c r="AK2497" s="129">
        <v>3</v>
      </c>
      <c r="AL2497" s="3" t="s">
        <v>992</v>
      </c>
      <c r="AN2497" s="117">
        <v>6</v>
      </c>
      <c r="AP2497" s="129" t="s">
        <v>197</v>
      </c>
      <c r="AR2497" s="128" t="s">
        <v>44</v>
      </c>
      <c r="AS2497" s="129" t="s">
        <v>61</v>
      </c>
      <c r="BC2497" s="129" t="s">
        <v>38</v>
      </c>
      <c r="BF2497" s="111">
        <f t="shared" si="1841"/>
        <v>56</v>
      </c>
      <c r="BG2497" s="111">
        <f t="shared" si="1842"/>
        <v>56</v>
      </c>
      <c r="BH2497" s="111">
        <f t="shared" si="1838"/>
        <v>57</v>
      </c>
      <c r="BI2497" s="111">
        <f t="shared" si="1844"/>
        <v>17.702185792349727</v>
      </c>
      <c r="BJ2497" s="129">
        <f t="shared" si="1811"/>
        <v>0</v>
      </c>
      <c r="BK2497" s="129">
        <f t="shared" si="1839"/>
        <v>0</v>
      </c>
      <c r="BL2497" s="129" t="str">
        <f t="shared" si="1835"/>
        <v>CONVICTION</v>
      </c>
      <c r="BM2497" s="129" t="str">
        <f t="shared" ref="BM2497:BM2560" si="1845">O2497</f>
        <v>NONE</v>
      </c>
      <c r="BN2497" s="129" t="s">
        <v>566</v>
      </c>
      <c r="BP2497" s="137" t="str">
        <f t="shared" ref="BP2497:BP2560" si="1846">IF(OR(AJ2497="AQUITTAL",AJ2497="DISMISSED",AJ2497="FINE",AJ2497="NO BILL"),"NO CONVICTION",IF(OR(AJ2497="HCJ",AJ2497="MHH",AJ2497="PROBATION",AJ2497="STJ",AJ2497="TDC",AJ2497="CONVICTED"),"CONVICTION",IF(AJ2497="DEFERRED","DEFERRED","")))</f>
        <v>CONVICTION</v>
      </c>
      <c r="BQ2497" s="128" t="str">
        <f t="shared" si="1812"/>
        <v>Y</v>
      </c>
      <c r="BR2497" s="129" t="str">
        <f t="shared" ref="BR2497:BR2560" si="1847">IF(AND(J2497="NOT BOOKED",M2497&gt;1/1/1),"BONDED - BEFORE BOOKED",IF(BG2497="STILL OPEN","STILL OPEN",IF(N2497="Y","ON BOND",IF(J2497&gt;=G2497,"DETAINED","RELEASED"))))</f>
        <v>DETAINED</v>
      </c>
      <c r="BS2497" s="129" t="str">
        <f t="shared" ref="BS2497:BS2560" si="1848">IF(G2497&lt;&gt;"","DISPOSED","")</f>
        <v>DISPOSED</v>
      </c>
      <c r="BT2497" s="129" t="str">
        <f t="shared" ref="BT2497:BT2560" si="1849">IF(S2497&gt;0,"Y","N")</f>
        <v>N</v>
      </c>
      <c r="BU2497" s="109">
        <f t="shared" ref="BU2497:BU2560" si="1850">Q2497/R2497</f>
        <v>0.98245614035087714</v>
      </c>
      <c r="BV2497" s="109">
        <f t="shared" si="1813"/>
        <v>1</v>
      </c>
      <c r="BW2497" s="109">
        <f t="shared" si="1832"/>
        <v>1.7543859649122862E-2</v>
      </c>
      <c r="BX2497" s="111">
        <f t="shared" ref="BX2497:BX2560" si="1851">+Q2497-BF2497</f>
        <v>0</v>
      </c>
      <c r="BY2497" s="129">
        <f t="shared" si="1814"/>
        <v>-56</v>
      </c>
      <c r="BZ2497" s="111">
        <f t="shared" si="1815"/>
        <v>0</v>
      </c>
      <c r="CA2497" s="138">
        <f t="shared" si="1816"/>
        <v>56</v>
      </c>
      <c r="CB2497" s="111" t="e">
        <f t="shared" si="1843"/>
        <v>#VALUE!</v>
      </c>
      <c r="CC2497" s="129">
        <f>G2497-I2497+1</f>
        <v>56</v>
      </c>
      <c r="CD2497" s="129">
        <f>G2497-J2497</f>
        <v>0</v>
      </c>
      <c r="CG2497" s="129" t="str">
        <f t="shared" si="1817"/>
        <v>Y</v>
      </c>
      <c r="CI2497" s="129" t="str">
        <f t="shared" si="1818"/>
        <v>31-60 DAYS</v>
      </c>
      <c r="CJ2497" s="137">
        <f t="shared" si="1819"/>
        <v>3</v>
      </c>
      <c r="CK2497" s="129" t="str">
        <f t="shared" si="1820"/>
        <v>Booked</v>
      </c>
    </row>
    <row r="2498" spans="1:89" ht="15.75" customHeight="1" x14ac:dyDescent="0.25">
      <c r="A2498" s="111">
        <v>1166</v>
      </c>
      <c r="B2498" s="128" t="str">
        <f t="shared" ref="B2498:B2561" si="1852">IF(BD2498&lt;&gt;"","Y","N")</f>
        <v>N</v>
      </c>
      <c r="C2498" s="128" t="str">
        <f t="shared" ref="C2498:C2561" si="1853">IF((AND(AV2498="",AX2498="",AY2498="")),"N","Y")</f>
        <v>N</v>
      </c>
      <c r="D2498" s="117">
        <v>2581059</v>
      </c>
      <c r="E2498" s="135">
        <f t="shared" ref="E2498:E2561" si="1854">IF(OR(AL2498="ACQUITTAL",AL2498="ACQUIT",AL2498="acq insane",AL2498="DISMISSED",AL2498="NO BILL"),1,IF(AL2498="DEFERRED",2,IF(AL2498="PROBATION",3,IF(OR(AL2498="HCJ",AL2498="fine"),4,IF(AL2498="STJ",5,IF(AL2498="TDC",6,""))))))</f>
        <v>4</v>
      </c>
      <c r="F2498" s="124">
        <v>40950</v>
      </c>
      <c r="G2498" s="125">
        <v>40967</v>
      </c>
      <c r="H2498" s="117">
        <v>2581059</v>
      </c>
      <c r="I2498" s="124">
        <v>40951</v>
      </c>
      <c r="J2498" s="124">
        <v>40967</v>
      </c>
      <c r="K2498" s="126">
        <v>2000</v>
      </c>
      <c r="L2498" s="127" t="s">
        <v>568</v>
      </c>
      <c r="N2498" s="129" t="str">
        <f t="shared" si="1840"/>
        <v>N</v>
      </c>
      <c r="O2498" s="128" t="s">
        <v>917</v>
      </c>
      <c r="P2498" s="129" t="s">
        <v>39</v>
      </c>
      <c r="Q2498" s="111">
        <f t="shared" si="1836"/>
        <v>17</v>
      </c>
      <c r="R2498" s="111">
        <f t="shared" si="1837"/>
        <v>18</v>
      </c>
      <c r="S2498" s="129">
        <v>0</v>
      </c>
      <c r="T2498" s="129">
        <v>4</v>
      </c>
      <c r="W2498" s="111"/>
      <c r="AC2498" s="130"/>
      <c r="AD2498" s="130">
        <v>28238</v>
      </c>
      <c r="AE2498" s="128" t="s">
        <v>46</v>
      </c>
      <c r="AF2498" s="128" t="s">
        <v>33</v>
      </c>
      <c r="AG2498" s="128" t="s">
        <v>872</v>
      </c>
      <c r="AH2498" s="108" t="s">
        <v>31</v>
      </c>
      <c r="AI2498" s="128" t="s">
        <v>95</v>
      </c>
      <c r="AJ2498" s="129" t="s">
        <v>89</v>
      </c>
      <c r="AK2498" s="129">
        <v>2</v>
      </c>
      <c r="AL2498" s="3" t="s">
        <v>991</v>
      </c>
      <c r="AO2498" s="128">
        <v>30</v>
      </c>
      <c r="AP2498" s="129" t="s">
        <v>43</v>
      </c>
      <c r="AR2498" s="128" t="s">
        <v>44</v>
      </c>
      <c r="AS2498" s="129" t="s">
        <v>45</v>
      </c>
      <c r="AT2498" s="129" t="s">
        <v>299</v>
      </c>
      <c r="AX2498" s="32"/>
      <c r="BC2498" s="129" t="s">
        <v>38</v>
      </c>
      <c r="BF2498" s="111">
        <f t="shared" si="1841"/>
        <v>17</v>
      </c>
      <c r="BG2498" s="111">
        <f t="shared" si="1842"/>
        <v>17</v>
      </c>
      <c r="BH2498" s="111">
        <f t="shared" si="1838"/>
        <v>18</v>
      </c>
      <c r="BI2498" s="111">
        <f t="shared" si="1844"/>
        <v>34.732240437158467</v>
      </c>
      <c r="BJ2498" s="129">
        <f t="shared" ref="BJ2498:BJ2561" si="1855">G2498-J2498-M2498</f>
        <v>0</v>
      </c>
      <c r="BK2498" s="129">
        <f t="shared" si="1839"/>
        <v>0</v>
      </c>
      <c r="BL2498" s="129" t="str">
        <f t="shared" si="1835"/>
        <v>CONVICTION</v>
      </c>
      <c r="BM2498" s="129" t="str">
        <f t="shared" si="1845"/>
        <v>NONE</v>
      </c>
      <c r="BN2498" s="129" t="s">
        <v>566</v>
      </c>
      <c r="BP2498" s="137" t="str">
        <f t="shared" si="1846"/>
        <v>CONVICTION</v>
      </c>
      <c r="BQ2498" s="128" t="str">
        <f t="shared" ref="BQ2498:BQ2561" si="1856">IF(BF2498&gt;0,"Y",BF2498)</f>
        <v>Y</v>
      </c>
      <c r="BR2498" s="129" t="str">
        <f t="shared" si="1847"/>
        <v>DETAINED</v>
      </c>
      <c r="BS2498" s="129" t="str">
        <f t="shared" si="1848"/>
        <v>DISPOSED</v>
      </c>
      <c r="BT2498" s="129" t="str">
        <f t="shared" si="1849"/>
        <v>N</v>
      </c>
      <c r="BU2498" s="109">
        <f t="shared" si="1850"/>
        <v>0.94444444444444442</v>
      </c>
      <c r="BV2498" s="109">
        <f t="shared" ref="BV2498:BV2561" si="1857">IF(I2498&gt;F2498,((J2498-I2498+1)/(G2498-I2498+1)),(J2498-I2498+1)/(G2498-F2498+1))</f>
        <v>1</v>
      </c>
      <c r="BW2498" s="109">
        <f t="shared" si="1832"/>
        <v>5.555555555555558E-2</v>
      </c>
      <c r="BX2498" s="111">
        <f t="shared" si="1851"/>
        <v>0</v>
      </c>
      <c r="BY2498" s="129">
        <f t="shared" ref="BY2498:BY2561" si="1858">I2498-J2498-1</f>
        <v>-17</v>
      </c>
      <c r="BZ2498" s="111">
        <f t="shared" ref="BZ2498:BZ2561" si="1859">BY2498+BF2498</f>
        <v>0</v>
      </c>
      <c r="CA2498" s="138">
        <f t="shared" ref="CA2498:CA2561" si="1860">IF(AND(BS2498="DISPOSED",BR2498="DETAINED"),G2498-I2498+1,IF(AND(BS2498="DISPOSED",BR2498="ON BOND"),M2498-I2498+1,IF(AND(BS2498="STILL OPEN","STILL OPEN"),"NOT BOOKED")))</f>
        <v>17</v>
      </c>
      <c r="CB2498" s="111" t="e">
        <f t="shared" si="1843"/>
        <v>#VALUE!</v>
      </c>
      <c r="CC2498" s="129">
        <f>G2498-I2498+1</f>
        <v>17</v>
      </c>
      <c r="CD2498" s="129">
        <f>G2498-J2498</f>
        <v>0</v>
      </c>
      <c r="CG2498" s="129" t="str">
        <f t="shared" ref="CG2498:CG2561" si="1861">IF((S2498+T2498+U2498)&gt;0,"Y","N")</f>
        <v>Y</v>
      </c>
      <c r="CI2498" s="129" t="str">
        <f t="shared" si="1818"/>
        <v>11-30 DAYS</v>
      </c>
      <c r="CJ2498" s="137">
        <f t="shared" si="1819"/>
        <v>2</v>
      </c>
      <c r="CK2498" s="129" t="str">
        <f t="shared" si="1820"/>
        <v>Booked</v>
      </c>
    </row>
    <row r="2499" spans="1:89" ht="15.75" customHeight="1" x14ac:dyDescent="0.25">
      <c r="A2499" s="111">
        <v>2655</v>
      </c>
      <c r="B2499" s="128" t="str">
        <f t="shared" si="1852"/>
        <v>N</v>
      </c>
      <c r="C2499" s="128" t="str">
        <f t="shared" si="1853"/>
        <v>N</v>
      </c>
      <c r="D2499" s="117">
        <v>2581224</v>
      </c>
      <c r="E2499" s="135">
        <f t="shared" si="1854"/>
        <v>2</v>
      </c>
      <c r="F2499" s="124">
        <v>41007</v>
      </c>
      <c r="G2499" s="125">
        <v>41010</v>
      </c>
      <c r="H2499" s="117">
        <v>2581224</v>
      </c>
      <c r="I2499" s="124">
        <v>41007</v>
      </c>
      <c r="J2499" s="124">
        <v>41010</v>
      </c>
      <c r="K2499" s="126">
        <v>2000</v>
      </c>
      <c r="L2499" s="127" t="s">
        <v>568</v>
      </c>
      <c r="N2499" s="129" t="str">
        <f t="shared" si="1840"/>
        <v>N</v>
      </c>
      <c r="O2499" s="128" t="s">
        <v>917</v>
      </c>
      <c r="P2499" s="129" t="s">
        <v>589</v>
      </c>
      <c r="Q2499" s="111">
        <f t="shared" si="1836"/>
        <v>4</v>
      </c>
      <c r="R2499" s="111">
        <f t="shared" si="1837"/>
        <v>4</v>
      </c>
      <c r="S2499" s="129">
        <v>0</v>
      </c>
      <c r="T2499" s="129">
        <v>2</v>
      </c>
      <c r="W2499" s="111"/>
      <c r="AC2499" s="130"/>
      <c r="AD2499" s="130">
        <v>33389</v>
      </c>
      <c r="AE2499" s="128" t="s">
        <v>46</v>
      </c>
      <c r="AF2499" s="128" t="s">
        <v>33</v>
      </c>
      <c r="AG2499" s="128" t="s">
        <v>872</v>
      </c>
      <c r="AH2499" s="108" t="s">
        <v>31</v>
      </c>
      <c r="AI2499" s="128" t="s">
        <v>59</v>
      </c>
      <c r="AJ2499" s="129" t="s">
        <v>48</v>
      </c>
      <c r="AK2499" s="129">
        <v>2</v>
      </c>
      <c r="AL2499" s="3" t="s">
        <v>48</v>
      </c>
      <c r="AP2499" s="129" t="s">
        <v>60</v>
      </c>
      <c r="AR2499" s="128" t="s">
        <v>44</v>
      </c>
      <c r="AS2499" s="129" t="s">
        <v>61</v>
      </c>
      <c r="BC2499" s="129" t="s">
        <v>38</v>
      </c>
      <c r="BF2499" s="111">
        <f t="shared" si="1841"/>
        <v>4</v>
      </c>
      <c r="BG2499" s="111">
        <f t="shared" si="1842"/>
        <v>4</v>
      </c>
      <c r="BH2499" s="111">
        <f t="shared" si="1838"/>
        <v>4</v>
      </c>
      <c r="BI2499" s="111">
        <f t="shared" si="1844"/>
        <v>20.814207650273225</v>
      </c>
      <c r="BJ2499" s="129">
        <f t="shared" si="1855"/>
        <v>0</v>
      </c>
      <c r="BK2499" s="129">
        <f t="shared" si="1839"/>
        <v>0</v>
      </c>
      <c r="BL2499" s="129" t="str">
        <f t="shared" si="1835"/>
        <v>DEFERRED</v>
      </c>
      <c r="BM2499" s="129" t="str">
        <f t="shared" si="1845"/>
        <v>NONE</v>
      </c>
      <c r="BN2499" s="129" t="s">
        <v>566</v>
      </c>
      <c r="BP2499" s="137" t="str">
        <f t="shared" si="1846"/>
        <v>DEFERRED</v>
      </c>
      <c r="BQ2499" s="128" t="str">
        <f t="shared" si="1856"/>
        <v>Y</v>
      </c>
      <c r="BR2499" s="129" t="str">
        <f t="shared" si="1847"/>
        <v>DETAINED</v>
      </c>
      <c r="BS2499" s="129" t="str">
        <f t="shared" si="1848"/>
        <v>DISPOSED</v>
      </c>
      <c r="BT2499" s="129" t="str">
        <f t="shared" si="1849"/>
        <v>N</v>
      </c>
      <c r="BU2499" s="109">
        <f t="shared" si="1850"/>
        <v>1</v>
      </c>
      <c r="BV2499" s="109">
        <f t="shared" si="1857"/>
        <v>1</v>
      </c>
      <c r="BW2499" s="109">
        <f t="shared" si="1832"/>
        <v>0</v>
      </c>
      <c r="BX2499" s="111">
        <f t="shared" si="1851"/>
        <v>0</v>
      </c>
      <c r="BY2499" s="129">
        <f t="shared" si="1858"/>
        <v>-4</v>
      </c>
      <c r="BZ2499" s="111">
        <f t="shared" si="1859"/>
        <v>0</v>
      </c>
      <c r="CA2499" s="138">
        <f t="shared" si="1860"/>
        <v>4</v>
      </c>
      <c r="CB2499" s="111" t="e">
        <f t="shared" si="1843"/>
        <v>#VALUE!</v>
      </c>
      <c r="CC2499" s="129">
        <f>G2499-I2499+1</f>
        <v>4</v>
      </c>
      <c r="CD2499" s="129">
        <f>G2499-J2499</f>
        <v>0</v>
      </c>
      <c r="CG2499" s="129" t="str">
        <f t="shared" si="1861"/>
        <v>Y</v>
      </c>
      <c r="CI2499" s="129" t="str">
        <f t="shared" ref="CI2499:CI2562" si="1862">IF(BF2499&lt;11,"0-10 DAYS",IF(AND(BF2499&gt;10,BF2499&lt;31),"11-30 DAYS",IF((AND(BF2499&gt;30,BF2499&lt;61)),"31-60 DAYS",IF(AND(BF2499&gt;60,BF2499&lt;91),"61-90 DAYS",IF(AND(BF2499&gt;90,BF2499&lt;121),"91-120 DAYS",IF(AND(BF2499&gt;120,BF2499&lt;366),"121-365 DAYS",IF(AND(BF2499&gt;365,BF2499&lt;730)," &gt;1YRS&lt;2YRS",IF(AND(BF2499&gt;729,BF2499&lt;1095),"&gt;2YRS&lt;3YRS",IF(BF2499&gt;1094,"&gt;3YRS")))))))))</f>
        <v>0-10 DAYS</v>
      </c>
      <c r="CJ2499" s="137">
        <f t="shared" ref="CJ2499:CJ2562" si="1863">IF(CI2499="0-10 DAYS",1,IF(CI2499="11-30 DAYS",2,IF(CI2499="31-60 DAYS",3,IF(CI2499="61-90 DAYS",4,IF(CK2499="91-120 DAYS",5,IF(CI2499="121-365 DAYS",6,IF(CI2499="&gt;1YRS&lt;2YRS",7,IF(CI2499="&gt;2YRS&lt;3YRS",8,IF(CI2499="&gt;3YRS",9,0)))))))))</f>
        <v>1</v>
      </c>
      <c r="CK2499" s="129" t="str">
        <f t="shared" ref="CK2499:CK2562" si="1864">IF(I2499="Not Booked","Not Booked","Booked")</f>
        <v>Booked</v>
      </c>
    </row>
    <row r="2500" spans="1:89" ht="15.75" customHeight="1" x14ac:dyDescent="0.25">
      <c r="A2500" s="111">
        <v>3166</v>
      </c>
      <c r="B2500" s="128" t="str">
        <f t="shared" si="1852"/>
        <v>N</v>
      </c>
      <c r="C2500" s="128" t="str">
        <f t="shared" si="1853"/>
        <v>N</v>
      </c>
      <c r="D2500" s="117">
        <v>2581411</v>
      </c>
      <c r="E2500" s="135">
        <f t="shared" si="1854"/>
        <v>1</v>
      </c>
      <c r="F2500" s="124">
        <v>41025</v>
      </c>
      <c r="G2500" s="125">
        <v>41068</v>
      </c>
      <c r="H2500" s="117">
        <v>2581411</v>
      </c>
      <c r="I2500" s="124">
        <v>41026</v>
      </c>
      <c r="J2500" s="124">
        <v>41068</v>
      </c>
      <c r="K2500" s="126">
        <v>30000</v>
      </c>
      <c r="L2500" s="129" t="s">
        <v>572</v>
      </c>
      <c r="N2500" s="129" t="str">
        <f t="shared" si="1840"/>
        <v>N</v>
      </c>
      <c r="O2500" s="128" t="s">
        <v>917</v>
      </c>
      <c r="P2500" s="129" t="s">
        <v>123</v>
      </c>
      <c r="Q2500" s="111">
        <f t="shared" si="1836"/>
        <v>43</v>
      </c>
      <c r="R2500" s="111">
        <f t="shared" si="1837"/>
        <v>44</v>
      </c>
      <c r="S2500" s="129">
        <v>0</v>
      </c>
      <c r="T2500" s="129">
        <v>2</v>
      </c>
      <c r="W2500" s="111"/>
      <c r="AC2500" s="130"/>
      <c r="AD2500" s="130">
        <v>34452</v>
      </c>
      <c r="AE2500" s="128" t="s">
        <v>32</v>
      </c>
      <c r="AF2500" s="128" t="s">
        <v>40</v>
      </c>
      <c r="AG2500" s="128" t="s">
        <v>41</v>
      </c>
      <c r="AH2500" s="108" t="s">
        <v>41</v>
      </c>
      <c r="AI2500" s="128" t="s">
        <v>47</v>
      </c>
      <c r="AJ2500" s="129" t="s">
        <v>123</v>
      </c>
      <c r="AK2500" s="129">
        <v>3</v>
      </c>
      <c r="AL2500" s="3" t="s">
        <v>123</v>
      </c>
      <c r="AP2500" s="129" t="s">
        <v>73</v>
      </c>
      <c r="AR2500" s="128" t="s">
        <v>50</v>
      </c>
      <c r="AS2500" s="129" t="s">
        <v>74</v>
      </c>
      <c r="BC2500" s="129" t="s">
        <v>38</v>
      </c>
      <c r="BF2500" s="111">
        <f t="shared" si="1841"/>
        <v>43</v>
      </c>
      <c r="BG2500" s="111">
        <f t="shared" si="1842"/>
        <v>43</v>
      </c>
      <c r="BH2500" s="111">
        <f t="shared" si="1838"/>
        <v>44</v>
      </c>
      <c r="BI2500" s="111">
        <f t="shared" si="1844"/>
        <v>17.959016393442624</v>
      </c>
      <c r="BJ2500" s="129">
        <f t="shared" si="1855"/>
        <v>0</v>
      </c>
      <c r="BK2500" s="129">
        <f t="shared" si="1839"/>
        <v>0</v>
      </c>
      <c r="BL2500" s="129" t="str">
        <f t="shared" si="1835"/>
        <v>NO CONVICTION</v>
      </c>
      <c r="BM2500" s="129" t="str">
        <f t="shared" si="1845"/>
        <v>NONE</v>
      </c>
      <c r="BN2500" s="129" t="s">
        <v>566</v>
      </c>
      <c r="BP2500" s="137" t="str">
        <f t="shared" si="1846"/>
        <v>NO CONVICTION</v>
      </c>
      <c r="BQ2500" s="128" t="str">
        <f t="shared" si="1856"/>
        <v>Y</v>
      </c>
      <c r="BR2500" s="129" t="str">
        <f t="shared" si="1847"/>
        <v>DETAINED</v>
      </c>
      <c r="BS2500" s="129" t="str">
        <f t="shared" si="1848"/>
        <v>DISPOSED</v>
      </c>
      <c r="BT2500" s="129" t="str">
        <f t="shared" si="1849"/>
        <v>N</v>
      </c>
      <c r="BU2500" s="109">
        <f>IFERROR(Q2500/R2500,BR2500)</f>
        <v>0.97727272727272729</v>
      </c>
      <c r="BV2500" s="109">
        <f t="shared" si="1857"/>
        <v>1</v>
      </c>
      <c r="BW2500" s="109">
        <f t="shared" si="1832"/>
        <v>2.2727272727272707E-2</v>
      </c>
      <c r="BX2500" s="111">
        <f t="shared" si="1851"/>
        <v>0</v>
      </c>
      <c r="BY2500" s="129">
        <f t="shared" si="1858"/>
        <v>-43</v>
      </c>
      <c r="BZ2500" s="111">
        <f t="shared" si="1859"/>
        <v>0</v>
      </c>
      <c r="CA2500" s="138">
        <f t="shared" si="1860"/>
        <v>43</v>
      </c>
      <c r="CB2500" s="111" t="e">
        <f t="shared" si="1843"/>
        <v>#VALUE!</v>
      </c>
      <c r="CC2500" s="129">
        <f>G2500-I2500+1</f>
        <v>43</v>
      </c>
      <c r="CD2500" s="129">
        <f>G2500-J2500</f>
        <v>0</v>
      </c>
      <c r="CG2500" s="129" t="str">
        <f t="shared" si="1861"/>
        <v>Y</v>
      </c>
      <c r="CI2500" s="129" t="str">
        <f t="shared" si="1862"/>
        <v>31-60 DAYS</v>
      </c>
      <c r="CJ2500" s="137">
        <f t="shared" si="1863"/>
        <v>3</v>
      </c>
      <c r="CK2500" s="129" t="str">
        <f t="shared" si="1864"/>
        <v>Booked</v>
      </c>
    </row>
    <row r="2501" spans="1:89" ht="15.75" customHeight="1" x14ac:dyDescent="0.25">
      <c r="A2501" s="111">
        <v>3168</v>
      </c>
      <c r="B2501" s="128" t="str">
        <f t="shared" si="1852"/>
        <v>N</v>
      </c>
      <c r="C2501" s="128" t="str">
        <f t="shared" si="1853"/>
        <v>N</v>
      </c>
      <c r="D2501" s="117">
        <v>2582209</v>
      </c>
      <c r="E2501" s="135">
        <f t="shared" si="1854"/>
        <v>2</v>
      </c>
      <c r="F2501" s="124">
        <v>41025</v>
      </c>
      <c r="G2501" s="125">
        <v>41309</v>
      </c>
      <c r="H2501" s="117">
        <v>2582209</v>
      </c>
      <c r="I2501" s="124">
        <v>41193</v>
      </c>
      <c r="J2501" s="124">
        <v>41194</v>
      </c>
      <c r="K2501" s="126">
        <v>2000</v>
      </c>
      <c r="L2501" s="127" t="s">
        <v>568</v>
      </c>
      <c r="M2501" s="125">
        <v>41194</v>
      </c>
      <c r="N2501" s="129" t="str">
        <f t="shared" si="1840"/>
        <v>Y</v>
      </c>
      <c r="O2501" s="128" t="s">
        <v>76</v>
      </c>
      <c r="P2501" s="129" t="s">
        <v>589</v>
      </c>
      <c r="Q2501" s="111">
        <f t="shared" si="1836"/>
        <v>2</v>
      </c>
      <c r="R2501" s="111">
        <f t="shared" si="1837"/>
        <v>285</v>
      </c>
      <c r="S2501" s="129">
        <v>0</v>
      </c>
      <c r="T2501" s="129">
        <v>0</v>
      </c>
      <c r="W2501" s="111"/>
      <c r="AC2501" s="130"/>
      <c r="AD2501" s="130">
        <v>33469</v>
      </c>
      <c r="AE2501" s="128" t="s">
        <v>46</v>
      </c>
      <c r="AF2501" s="128" t="s">
        <v>33</v>
      </c>
      <c r="AG2501" s="128" t="s">
        <v>872</v>
      </c>
      <c r="AH2501" s="108" t="s">
        <v>31</v>
      </c>
      <c r="AI2501" s="128" t="s">
        <v>113</v>
      </c>
      <c r="AJ2501" s="129" t="s">
        <v>48</v>
      </c>
      <c r="AK2501" s="129">
        <v>10</v>
      </c>
      <c r="AL2501" s="3" t="s">
        <v>48</v>
      </c>
      <c r="AP2501" s="129" t="s">
        <v>63</v>
      </c>
      <c r="AR2501" s="128" t="s">
        <v>44</v>
      </c>
      <c r="AS2501" s="129" t="s">
        <v>64</v>
      </c>
      <c r="BC2501" s="129" t="s">
        <v>38</v>
      </c>
      <c r="BF2501" s="111">
        <f t="shared" si="1841"/>
        <v>2</v>
      </c>
      <c r="BG2501" s="111">
        <f t="shared" si="1842"/>
        <v>117</v>
      </c>
      <c r="BH2501" s="111">
        <f t="shared" si="1838"/>
        <v>285</v>
      </c>
      <c r="BI2501" s="111">
        <f t="shared" si="1844"/>
        <v>20.644808743169399</v>
      </c>
      <c r="BJ2501" s="129">
        <f>(G2501-J2501)+(M2501-G2501)</f>
        <v>0</v>
      </c>
      <c r="BK2501" s="129">
        <f t="shared" si="1839"/>
        <v>-115</v>
      </c>
      <c r="BL2501" s="129" t="str">
        <f t="shared" si="1835"/>
        <v>DEFERRED</v>
      </c>
      <c r="BM2501" s="129" t="s">
        <v>76</v>
      </c>
      <c r="BN2501" s="129" t="s">
        <v>88</v>
      </c>
      <c r="BP2501" s="137" t="str">
        <f t="shared" si="1846"/>
        <v>DEFERRED</v>
      </c>
      <c r="BQ2501" s="128" t="str">
        <f t="shared" si="1856"/>
        <v>Y</v>
      </c>
      <c r="BR2501" s="129" t="str">
        <f t="shared" si="1847"/>
        <v>ON BOND</v>
      </c>
      <c r="BS2501" s="129" t="str">
        <f t="shared" si="1848"/>
        <v>DISPOSED</v>
      </c>
      <c r="BT2501" s="129" t="str">
        <f t="shared" si="1849"/>
        <v>N</v>
      </c>
      <c r="BU2501" s="109">
        <f t="shared" si="1850"/>
        <v>7.0175438596491229E-3</v>
      </c>
      <c r="BV2501" s="109">
        <f t="shared" si="1857"/>
        <v>1.7094017094017096E-2</v>
      </c>
      <c r="BW2501" s="109">
        <f t="shared" si="1832"/>
        <v>1.0076473234367972E-2</v>
      </c>
      <c r="BX2501" s="111">
        <f t="shared" si="1851"/>
        <v>0</v>
      </c>
      <c r="BY2501" s="129">
        <f t="shared" si="1858"/>
        <v>-2</v>
      </c>
      <c r="BZ2501" s="111">
        <f t="shared" si="1859"/>
        <v>0</v>
      </c>
      <c r="CA2501" s="138">
        <f t="shared" si="1860"/>
        <v>2</v>
      </c>
      <c r="CB2501" s="111" t="e">
        <f t="shared" si="1843"/>
        <v>#VALUE!</v>
      </c>
      <c r="CC2501" s="129">
        <f>M2501-I2501+1</f>
        <v>2</v>
      </c>
      <c r="CD2501" s="111">
        <f>CC2501-BF2501</f>
        <v>0</v>
      </c>
      <c r="CG2501" s="129" t="str">
        <f t="shared" si="1861"/>
        <v>N</v>
      </c>
      <c r="CI2501" s="129" t="str">
        <f t="shared" si="1862"/>
        <v>0-10 DAYS</v>
      </c>
      <c r="CJ2501" s="137">
        <f t="shared" si="1863"/>
        <v>1</v>
      </c>
      <c r="CK2501" s="129" t="str">
        <f t="shared" si="1864"/>
        <v>Booked</v>
      </c>
    </row>
    <row r="2502" spans="1:89" ht="15.75" customHeight="1" x14ac:dyDescent="0.25">
      <c r="A2502" s="111">
        <v>1785</v>
      </c>
      <c r="B2502" s="128" t="str">
        <f t="shared" si="1852"/>
        <v>N</v>
      </c>
      <c r="C2502" s="128" t="str">
        <f t="shared" si="1853"/>
        <v>N</v>
      </c>
      <c r="D2502" s="117">
        <v>2582484</v>
      </c>
      <c r="E2502" s="135">
        <f t="shared" si="1854"/>
        <v>2</v>
      </c>
      <c r="F2502" s="124">
        <v>40975</v>
      </c>
      <c r="G2502" s="125">
        <v>41002</v>
      </c>
      <c r="H2502" s="117">
        <v>2582484</v>
      </c>
      <c r="I2502" s="124">
        <v>40976</v>
      </c>
      <c r="J2502" s="124">
        <v>41002</v>
      </c>
      <c r="K2502" s="126">
        <v>10000</v>
      </c>
      <c r="L2502" s="127" t="s">
        <v>570</v>
      </c>
      <c r="N2502" s="129" t="str">
        <f t="shared" si="1840"/>
        <v>N</v>
      </c>
      <c r="O2502" s="128" t="s">
        <v>917</v>
      </c>
      <c r="P2502" s="129" t="s">
        <v>589</v>
      </c>
      <c r="Q2502" s="111">
        <f t="shared" si="1836"/>
        <v>27</v>
      </c>
      <c r="R2502" s="111">
        <f t="shared" si="1837"/>
        <v>28</v>
      </c>
      <c r="S2502" s="129">
        <v>0</v>
      </c>
      <c r="T2502" s="129">
        <v>1</v>
      </c>
      <c r="W2502" s="111"/>
      <c r="AC2502" s="130"/>
      <c r="AD2502" s="130">
        <v>31437</v>
      </c>
      <c r="AE2502" s="128" t="s">
        <v>32</v>
      </c>
      <c r="AF2502" s="128" t="s">
        <v>138</v>
      </c>
      <c r="AG2502" s="128" t="s">
        <v>873</v>
      </c>
      <c r="AH2502" s="108" t="s">
        <v>31</v>
      </c>
      <c r="AI2502" s="128" t="s">
        <v>62</v>
      </c>
      <c r="AJ2502" s="129" t="s">
        <v>48</v>
      </c>
      <c r="AK2502" s="129">
        <v>3</v>
      </c>
      <c r="AL2502" s="3" t="s">
        <v>48</v>
      </c>
      <c r="AP2502" s="129" t="s">
        <v>148</v>
      </c>
      <c r="AR2502" s="128" t="s">
        <v>67</v>
      </c>
      <c r="AS2502" s="129" t="s">
        <v>45</v>
      </c>
      <c r="BC2502" s="129" t="s">
        <v>38</v>
      </c>
      <c r="BF2502" s="111">
        <f t="shared" si="1841"/>
        <v>27</v>
      </c>
      <c r="BG2502" s="111">
        <f t="shared" si="1842"/>
        <v>27</v>
      </c>
      <c r="BH2502" s="111">
        <f t="shared" si="1838"/>
        <v>28</v>
      </c>
      <c r="BI2502" s="111">
        <f t="shared" si="1844"/>
        <v>26.060109289617486</v>
      </c>
      <c r="BJ2502" s="129">
        <f t="shared" si="1855"/>
        <v>0</v>
      </c>
      <c r="BK2502" s="129">
        <f t="shared" si="1839"/>
        <v>0</v>
      </c>
      <c r="BL2502" s="129" t="str">
        <f t="shared" si="1835"/>
        <v>DEFERRED</v>
      </c>
      <c r="BM2502" s="129" t="str">
        <f t="shared" si="1845"/>
        <v>NONE</v>
      </c>
      <c r="BN2502" s="129" t="s">
        <v>566</v>
      </c>
      <c r="BP2502" s="137" t="str">
        <f t="shared" si="1846"/>
        <v>DEFERRED</v>
      </c>
      <c r="BQ2502" s="128" t="str">
        <f t="shared" si="1856"/>
        <v>Y</v>
      </c>
      <c r="BR2502" s="129" t="str">
        <f t="shared" si="1847"/>
        <v>DETAINED</v>
      </c>
      <c r="BS2502" s="129" t="str">
        <f t="shared" si="1848"/>
        <v>DISPOSED</v>
      </c>
      <c r="BT2502" s="129" t="str">
        <f t="shared" si="1849"/>
        <v>N</v>
      </c>
      <c r="BU2502" s="109">
        <f t="shared" si="1850"/>
        <v>0.9642857142857143</v>
      </c>
      <c r="BV2502" s="109">
        <f t="shared" si="1857"/>
        <v>1</v>
      </c>
      <c r="BW2502" s="109">
        <f t="shared" si="1832"/>
        <v>3.5714285714285698E-2</v>
      </c>
      <c r="BX2502" s="111">
        <f t="shared" si="1851"/>
        <v>0</v>
      </c>
      <c r="BY2502" s="129">
        <f t="shared" si="1858"/>
        <v>-27</v>
      </c>
      <c r="BZ2502" s="111">
        <f t="shared" si="1859"/>
        <v>0</v>
      </c>
      <c r="CA2502" s="138">
        <f t="shared" si="1860"/>
        <v>27</v>
      </c>
      <c r="CB2502" s="111" t="e">
        <f t="shared" si="1843"/>
        <v>#VALUE!</v>
      </c>
      <c r="CC2502" s="129">
        <f>G2502-I2502+1</f>
        <v>27</v>
      </c>
      <c r="CD2502" s="129">
        <f>G2502-J2502</f>
        <v>0</v>
      </c>
      <c r="CG2502" s="129" t="str">
        <f t="shared" si="1861"/>
        <v>Y</v>
      </c>
      <c r="CI2502" s="129" t="str">
        <f t="shared" si="1862"/>
        <v>11-30 DAYS</v>
      </c>
      <c r="CJ2502" s="137">
        <f t="shared" si="1863"/>
        <v>2</v>
      </c>
      <c r="CK2502" s="129" t="str">
        <f t="shared" si="1864"/>
        <v>Booked</v>
      </c>
    </row>
    <row r="2503" spans="1:89" ht="15" customHeight="1" x14ac:dyDescent="0.25">
      <c r="A2503" s="111">
        <v>1591</v>
      </c>
      <c r="B2503" s="128" t="str">
        <f t="shared" si="1852"/>
        <v>N</v>
      </c>
      <c r="C2503" s="128" t="str">
        <f t="shared" si="1853"/>
        <v>N</v>
      </c>
      <c r="D2503" s="117">
        <v>2582491</v>
      </c>
      <c r="E2503" s="135">
        <f t="shared" si="1854"/>
        <v>2</v>
      </c>
      <c r="F2503" s="124">
        <v>40968</v>
      </c>
      <c r="G2503" s="125">
        <v>41263</v>
      </c>
      <c r="H2503" s="117">
        <v>2582491</v>
      </c>
      <c r="I2503" s="124">
        <v>40968</v>
      </c>
      <c r="J2503" s="124">
        <v>40970</v>
      </c>
      <c r="K2503" s="126">
        <v>10000</v>
      </c>
      <c r="L2503" s="127" t="s">
        <v>570</v>
      </c>
      <c r="M2503" s="125">
        <v>40970</v>
      </c>
      <c r="N2503" s="129" t="str">
        <f t="shared" si="1840"/>
        <v>Y</v>
      </c>
      <c r="O2503" s="128" t="s">
        <v>76</v>
      </c>
      <c r="P2503" s="129" t="s">
        <v>589</v>
      </c>
      <c r="Q2503" s="111">
        <f t="shared" si="1836"/>
        <v>3</v>
      </c>
      <c r="R2503" s="111">
        <f t="shared" si="1837"/>
        <v>296</v>
      </c>
      <c r="S2503" s="129">
        <v>0</v>
      </c>
      <c r="T2503" s="129">
        <v>0</v>
      </c>
      <c r="W2503" s="111"/>
      <c r="AB2503" s="131" t="s">
        <v>112</v>
      </c>
      <c r="AC2503" s="130"/>
      <c r="AD2503" s="130">
        <v>34427</v>
      </c>
      <c r="AE2503" s="128" t="s">
        <v>32</v>
      </c>
      <c r="AF2503" s="128" t="s">
        <v>40</v>
      </c>
      <c r="AG2503" s="128" t="s">
        <v>41</v>
      </c>
      <c r="AH2503" s="108" t="s">
        <v>31</v>
      </c>
      <c r="AI2503" s="128" t="s">
        <v>80</v>
      </c>
      <c r="AJ2503" s="129" t="s">
        <v>48</v>
      </c>
      <c r="AK2503" s="129">
        <v>9</v>
      </c>
      <c r="AL2503" s="3" t="s">
        <v>48</v>
      </c>
      <c r="AP2503" s="129" t="s">
        <v>56</v>
      </c>
      <c r="AR2503" s="128" t="s">
        <v>50</v>
      </c>
      <c r="AS2503" s="129" t="s">
        <v>57</v>
      </c>
      <c r="BC2503" s="129" t="s">
        <v>52</v>
      </c>
      <c r="BF2503" s="111">
        <f t="shared" si="1841"/>
        <v>3</v>
      </c>
      <c r="BG2503" s="111">
        <f t="shared" si="1842"/>
        <v>296</v>
      </c>
      <c r="BH2503" s="111">
        <f t="shared" si="1838"/>
        <v>296</v>
      </c>
      <c r="BI2503" s="111">
        <f t="shared" si="1844"/>
        <v>17.871584699453553</v>
      </c>
      <c r="BJ2503" s="129">
        <f>(G2503-J2503)+(M2503-G2503)</f>
        <v>0</v>
      </c>
      <c r="BK2503" s="129">
        <f t="shared" si="1839"/>
        <v>-293</v>
      </c>
      <c r="BL2503" s="129" t="str">
        <f t="shared" si="1835"/>
        <v>DEFERRED</v>
      </c>
      <c r="BM2503" s="129" t="s">
        <v>76</v>
      </c>
      <c r="BN2503" s="129" t="s">
        <v>88</v>
      </c>
      <c r="BP2503" s="137" t="str">
        <f t="shared" si="1846"/>
        <v>DEFERRED</v>
      </c>
      <c r="BQ2503" s="128" t="str">
        <f t="shared" si="1856"/>
        <v>Y</v>
      </c>
      <c r="BR2503" s="129" t="str">
        <f t="shared" si="1847"/>
        <v>ON BOND</v>
      </c>
      <c r="BS2503" s="129" t="str">
        <f t="shared" si="1848"/>
        <v>DISPOSED</v>
      </c>
      <c r="BT2503" s="129" t="str">
        <f t="shared" si="1849"/>
        <v>N</v>
      </c>
      <c r="BU2503" s="109">
        <f t="shared" si="1850"/>
        <v>1.0135135135135136E-2</v>
      </c>
      <c r="BV2503" s="109">
        <f t="shared" si="1857"/>
        <v>1.0135135135135136E-2</v>
      </c>
      <c r="BW2503" s="109">
        <f t="shared" si="1832"/>
        <v>0</v>
      </c>
      <c r="BX2503" s="111">
        <f t="shared" si="1851"/>
        <v>0</v>
      </c>
      <c r="BY2503" s="129">
        <f t="shared" si="1858"/>
        <v>-3</v>
      </c>
      <c r="BZ2503" s="111">
        <f t="shared" si="1859"/>
        <v>0</v>
      </c>
      <c r="CA2503" s="138">
        <f t="shared" si="1860"/>
        <v>3</v>
      </c>
      <c r="CB2503" s="111" t="e">
        <f t="shared" si="1843"/>
        <v>#VALUE!</v>
      </c>
      <c r="CC2503" s="129">
        <f>M2503-I2503+1</f>
        <v>3</v>
      </c>
      <c r="CD2503" s="111">
        <f>CC2503-BF2503</f>
        <v>0</v>
      </c>
      <c r="CG2503" s="129" t="str">
        <f t="shared" si="1861"/>
        <v>N</v>
      </c>
      <c r="CI2503" s="129" t="str">
        <f t="shared" si="1862"/>
        <v>0-10 DAYS</v>
      </c>
      <c r="CJ2503" s="137">
        <f t="shared" si="1863"/>
        <v>1</v>
      </c>
      <c r="CK2503" s="129" t="str">
        <f t="shared" si="1864"/>
        <v>Booked</v>
      </c>
    </row>
    <row r="2504" spans="1:89" ht="15" customHeight="1" x14ac:dyDescent="0.25">
      <c r="A2504" s="111">
        <v>3073</v>
      </c>
      <c r="B2504" s="128" t="str">
        <f t="shared" si="1852"/>
        <v>Y</v>
      </c>
      <c r="C2504" s="128" t="str">
        <f t="shared" si="1853"/>
        <v>Y</v>
      </c>
      <c r="D2504" s="117">
        <v>2582726</v>
      </c>
      <c r="E2504" s="135">
        <f t="shared" si="1854"/>
        <v>4</v>
      </c>
      <c r="F2504" s="124">
        <v>41023</v>
      </c>
      <c r="G2504" s="125">
        <v>41110</v>
      </c>
      <c r="H2504" s="117">
        <v>2582726</v>
      </c>
      <c r="I2504" s="124">
        <v>41023</v>
      </c>
      <c r="J2504" s="124">
        <v>41023</v>
      </c>
      <c r="K2504" s="126">
        <v>2000</v>
      </c>
      <c r="L2504" s="127" t="s">
        <v>568</v>
      </c>
      <c r="M2504" s="125">
        <v>41023</v>
      </c>
      <c r="N2504" s="129" t="str">
        <f t="shared" si="1840"/>
        <v>Y</v>
      </c>
      <c r="O2504" s="128" t="s">
        <v>585</v>
      </c>
      <c r="P2504" s="129" t="s">
        <v>39</v>
      </c>
      <c r="Q2504" s="111">
        <v>41</v>
      </c>
      <c r="R2504" s="111">
        <f t="shared" si="1837"/>
        <v>88</v>
      </c>
      <c r="S2504" s="129">
        <v>0</v>
      </c>
      <c r="T2504" s="129">
        <v>0</v>
      </c>
      <c r="W2504" s="111"/>
      <c r="AC2504" s="130"/>
      <c r="AD2504" s="130">
        <v>32499</v>
      </c>
      <c r="AE2504" s="128" t="s">
        <v>32</v>
      </c>
      <c r="AF2504" s="128" t="s">
        <v>33</v>
      </c>
      <c r="AG2504" s="128" t="s">
        <v>872</v>
      </c>
      <c r="AH2504" s="108" t="s">
        <v>31</v>
      </c>
      <c r="AI2504" s="128" t="s">
        <v>42</v>
      </c>
      <c r="AJ2504" s="129" t="s">
        <v>89</v>
      </c>
      <c r="AK2504" s="129">
        <v>5</v>
      </c>
      <c r="AL2504" s="3" t="s">
        <v>991</v>
      </c>
      <c r="AO2504" s="128">
        <v>80</v>
      </c>
      <c r="AP2504" s="129" t="s">
        <v>175</v>
      </c>
      <c r="AR2504" s="128" t="s">
        <v>44</v>
      </c>
      <c r="AS2504" s="129" t="s">
        <v>45</v>
      </c>
      <c r="AU2504" s="3" t="s">
        <v>792</v>
      </c>
      <c r="AX2504" s="32" t="s">
        <v>88</v>
      </c>
      <c r="BC2504" s="129" t="s">
        <v>52</v>
      </c>
      <c r="BD2504" s="129" t="s">
        <v>1301</v>
      </c>
      <c r="BF2504" s="111">
        <v>41</v>
      </c>
      <c r="BG2504" s="111">
        <f t="shared" si="1842"/>
        <v>88</v>
      </c>
      <c r="BH2504" s="111">
        <f t="shared" si="1838"/>
        <v>88</v>
      </c>
      <c r="BI2504" s="111">
        <f t="shared" si="1844"/>
        <v>23.289617486338798</v>
      </c>
      <c r="BJ2504" s="129">
        <f>(G2504-J2504)+(M2504-G2504)</f>
        <v>0</v>
      </c>
      <c r="BK2504" s="129">
        <f t="shared" si="1839"/>
        <v>-87</v>
      </c>
      <c r="BL2504" s="129" t="str">
        <f t="shared" si="1835"/>
        <v>CONVICTION</v>
      </c>
      <c r="BM2504" s="129" t="s">
        <v>76</v>
      </c>
      <c r="BN2504" s="129" t="s">
        <v>88</v>
      </c>
      <c r="BP2504" s="137" t="str">
        <f t="shared" si="1846"/>
        <v>CONVICTION</v>
      </c>
      <c r="BQ2504" s="128" t="str">
        <f t="shared" si="1856"/>
        <v>Y</v>
      </c>
      <c r="BR2504" s="129" t="s">
        <v>574</v>
      </c>
      <c r="BS2504" s="129" t="str">
        <f t="shared" si="1848"/>
        <v>DISPOSED</v>
      </c>
      <c r="BT2504" s="129" t="str">
        <f t="shared" si="1849"/>
        <v>N</v>
      </c>
      <c r="BU2504" s="109">
        <f t="shared" si="1850"/>
        <v>0.46590909090909088</v>
      </c>
      <c r="BV2504" s="109">
        <f t="shared" si="1857"/>
        <v>1.1363636363636364E-2</v>
      </c>
      <c r="BW2504" s="109">
        <f t="shared" si="1832"/>
        <v>-0.45454545454545453</v>
      </c>
      <c r="BX2504" s="111">
        <f t="shared" si="1851"/>
        <v>0</v>
      </c>
      <c r="BY2504" s="129">
        <f t="shared" si="1858"/>
        <v>-1</v>
      </c>
      <c r="BZ2504" s="111">
        <f t="shared" si="1859"/>
        <v>40</v>
      </c>
      <c r="CA2504" s="138">
        <f t="shared" si="1860"/>
        <v>88</v>
      </c>
      <c r="CB2504" s="111">
        <v>41</v>
      </c>
      <c r="CC2504" s="129">
        <f t="shared" ref="CC2504:CC2509" si="1865">G2504-I2504+1</f>
        <v>88</v>
      </c>
      <c r="CD2504" s="129">
        <f t="shared" ref="CD2504:CD2509" si="1866">G2504-J2504</f>
        <v>87</v>
      </c>
      <c r="CG2504" s="129" t="str">
        <f t="shared" si="1861"/>
        <v>N</v>
      </c>
      <c r="CI2504" s="129" t="str">
        <f t="shared" si="1862"/>
        <v>31-60 DAYS</v>
      </c>
      <c r="CJ2504" s="137">
        <f t="shared" si="1863"/>
        <v>3</v>
      </c>
      <c r="CK2504" s="129" t="str">
        <f t="shared" si="1864"/>
        <v>Booked</v>
      </c>
    </row>
    <row r="2505" spans="1:89" ht="15.75" customHeight="1" x14ac:dyDescent="0.25">
      <c r="A2505" s="111">
        <v>1942</v>
      </c>
      <c r="B2505" s="128" t="str">
        <f t="shared" si="1852"/>
        <v>N</v>
      </c>
      <c r="C2505" s="128" t="str">
        <f t="shared" si="1853"/>
        <v>N</v>
      </c>
      <c r="D2505" s="117">
        <v>2582799</v>
      </c>
      <c r="E2505" s="135">
        <f t="shared" si="1854"/>
        <v>4</v>
      </c>
      <c r="F2505" s="124">
        <v>40981</v>
      </c>
      <c r="G2505" s="125">
        <v>40983</v>
      </c>
      <c r="H2505" s="117">
        <v>2582799</v>
      </c>
      <c r="I2505" s="124">
        <v>40982</v>
      </c>
      <c r="J2505" s="124">
        <v>40983</v>
      </c>
      <c r="K2505" s="126">
        <v>15000</v>
      </c>
      <c r="L2505" s="127" t="s">
        <v>571</v>
      </c>
      <c r="N2505" s="129" t="str">
        <f t="shared" si="1840"/>
        <v>N</v>
      </c>
      <c r="O2505" s="128" t="s">
        <v>917</v>
      </c>
      <c r="P2505" s="129" t="s">
        <v>39</v>
      </c>
      <c r="Q2505" s="111">
        <f t="shared" si="1836"/>
        <v>2</v>
      </c>
      <c r="R2505" s="111">
        <f t="shared" si="1837"/>
        <v>3</v>
      </c>
      <c r="S2505" s="129">
        <v>0</v>
      </c>
      <c r="T2505" s="129">
        <v>2</v>
      </c>
      <c r="W2505" s="111"/>
      <c r="AC2505" s="130"/>
      <c r="AD2505" s="130">
        <v>31975</v>
      </c>
      <c r="AE2505" s="128" t="s">
        <v>46</v>
      </c>
      <c r="AF2505" s="128" t="s">
        <v>40</v>
      </c>
      <c r="AG2505" s="128" t="s">
        <v>41</v>
      </c>
      <c r="AH2505" s="108" t="s">
        <v>41</v>
      </c>
      <c r="AI2505" s="128" t="s">
        <v>70</v>
      </c>
      <c r="AJ2505" s="129" t="s">
        <v>89</v>
      </c>
      <c r="AK2505" s="129">
        <v>1</v>
      </c>
      <c r="AL2505" s="3" t="s">
        <v>991</v>
      </c>
      <c r="AO2505" s="128">
        <v>100</v>
      </c>
      <c r="AP2505" s="129" t="s">
        <v>60</v>
      </c>
      <c r="AR2505" s="128" t="s">
        <v>44</v>
      </c>
      <c r="AS2505" s="129" t="s">
        <v>61</v>
      </c>
      <c r="BC2505" s="129" t="s">
        <v>38</v>
      </c>
      <c r="BF2505" s="111">
        <f t="shared" si="1841"/>
        <v>2</v>
      </c>
      <c r="BG2505" s="111">
        <f t="shared" si="1842"/>
        <v>2</v>
      </c>
      <c r="BH2505" s="111">
        <f t="shared" si="1838"/>
        <v>3</v>
      </c>
      <c r="BI2505" s="111">
        <f t="shared" si="1844"/>
        <v>24.606557377049182</v>
      </c>
      <c r="BJ2505" s="129">
        <f t="shared" si="1855"/>
        <v>0</v>
      </c>
      <c r="BK2505" s="129">
        <f t="shared" si="1839"/>
        <v>0</v>
      </c>
      <c r="BL2505" s="129" t="str">
        <f t="shared" si="1835"/>
        <v>CONVICTION</v>
      </c>
      <c r="BM2505" s="129" t="str">
        <f t="shared" si="1845"/>
        <v>NONE</v>
      </c>
      <c r="BN2505" s="129" t="s">
        <v>566</v>
      </c>
      <c r="BP2505" s="137" t="str">
        <f t="shared" si="1846"/>
        <v>CONVICTION</v>
      </c>
      <c r="BQ2505" s="128" t="str">
        <f t="shared" si="1856"/>
        <v>Y</v>
      </c>
      <c r="BR2505" s="129" t="str">
        <f t="shared" si="1847"/>
        <v>DETAINED</v>
      </c>
      <c r="BS2505" s="129" t="str">
        <f t="shared" si="1848"/>
        <v>DISPOSED</v>
      </c>
      <c r="BT2505" s="129" t="str">
        <f t="shared" si="1849"/>
        <v>N</v>
      </c>
      <c r="BU2505" s="109">
        <f t="shared" si="1850"/>
        <v>0.66666666666666663</v>
      </c>
      <c r="BV2505" s="109">
        <f t="shared" si="1857"/>
        <v>1</v>
      </c>
      <c r="BW2505" s="109">
        <f t="shared" si="1832"/>
        <v>0.33333333333333337</v>
      </c>
      <c r="BX2505" s="111">
        <f t="shared" si="1851"/>
        <v>0</v>
      </c>
      <c r="BY2505" s="129">
        <f t="shared" si="1858"/>
        <v>-2</v>
      </c>
      <c r="BZ2505" s="111">
        <f t="shared" si="1859"/>
        <v>0</v>
      </c>
      <c r="CA2505" s="138">
        <f t="shared" si="1860"/>
        <v>2</v>
      </c>
      <c r="CB2505" s="111" t="e">
        <f t="shared" si="1843"/>
        <v>#VALUE!</v>
      </c>
      <c r="CC2505" s="129">
        <f t="shared" si="1865"/>
        <v>2</v>
      </c>
      <c r="CD2505" s="129">
        <f t="shared" si="1866"/>
        <v>0</v>
      </c>
      <c r="CG2505" s="129" t="str">
        <f t="shared" si="1861"/>
        <v>Y</v>
      </c>
      <c r="CI2505" s="129" t="str">
        <f t="shared" si="1862"/>
        <v>0-10 DAYS</v>
      </c>
      <c r="CJ2505" s="137">
        <f t="shared" si="1863"/>
        <v>1</v>
      </c>
      <c r="CK2505" s="129" t="str">
        <f t="shared" si="1864"/>
        <v>Booked</v>
      </c>
    </row>
    <row r="2506" spans="1:89" ht="15.75" customHeight="1" x14ac:dyDescent="0.25">
      <c r="A2506" s="111">
        <v>1188</v>
      </c>
      <c r="B2506" s="128" t="str">
        <f t="shared" si="1852"/>
        <v>N</v>
      </c>
      <c r="C2506" s="128" t="str">
        <f t="shared" si="1853"/>
        <v>N</v>
      </c>
      <c r="D2506" s="117">
        <v>2582823</v>
      </c>
      <c r="E2506" s="135">
        <f t="shared" si="1854"/>
        <v>2</v>
      </c>
      <c r="F2506" s="124">
        <v>40952</v>
      </c>
      <c r="G2506" s="125">
        <v>40954</v>
      </c>
      <c r="H2506" s="117">
        <v>2582823</v>
      </c>
      <c r="I2506" s="124">
        <v>40952</v>
      </c>
      <c r="J2506" s="124">
        <v>40954</v>
      </c>
      <c r="K2506" s="126">
        <v>10000</v>
      </c>
      <c r="L2506" s="127" t="s">
        <v>570</v>
      </c>
      <c r="N2506" s="129" t="str">
        <f t="shared" si="1840"/>
        <v>N</v>
      </c>
      <c r="O2506" s="128" t="s">
        <v>917</v>
      </c>
      <c r="P2506" s="129" t="s">
        <v>589</v>
      </c>
      <c r="Q2506" s="111">
        <f t="shared" si="1836"/>
        <v>3</v>
      </c>
      <c r="R2506" s="111">
        <f t="shared" si="1837"/>
        <v>3</v>
      </c>
      <c r="S2506" s="129">
        <v>0</v>
      </c>
      <c r="T2506" s="129">
        <v>3</v>
      </c>
      <c r="W2506" s="111"/>
      <c r="AC2506" s="130"/>
      <c r="AD2506" s="130">
        <v>34430</v>
      </c>
      <c r="AE2506" s="128" t="s">
        <v>32</v>
      </c>
      <c r="AF2506" s="128" t="s">
        <v>69</v>
      </c>
      <c r="AG2506" s="128" t="s">
        <v>874</v>
      </c>
      <c r="AH2506" s="108" t="s">
        <v>31</v>
      </c>
      <c r="AI2506" s="128" t="s">
        <v>83</v>
      </c>
      <c r="AJ2506" s="129" t="s">
        <v>48</v>
      </c>
      <c r="AK2506" s="129">
        <v>1</v>
      </c>
      <c r="AL2506" s="3" t="s">
        <v>48</v>
      </c>
      <c r="AP2506" s="129" t="s">
        <v>56</v>
      </c>
      <c r="AR2506" s="128" t="s">
        <v>50</v>
      </c>
      <c r="AS2506" s="129" t="s">
        <v>57</v>
      </c>
      <c r="BC2506" s="129" t="s">
        <v>38</v>
      </c>
      <c r="BF2506" s="111">
        <f t="shared" si="1841"/>
        <v>3</v>
      </c>
      <c r="BG2506" s="111">
        <f t="shared" si="1842"/>
        <v>3</v>
      </c>
      <c r="BH2506" s="111">
        <f t="shared" si="1838"/>
        <v>3</v>
      </c>
      <c r="BI2506" s="111">
        <f t="shared" si="1844"/>
        <v>17.819672131147541</v>
      </c>
      <c r="BJ2506" s="129">
        <f t="shared" si="1855"/>
        <v>0</v>
      </c>
      <c r="BK2506" s="129">
        <f t="shared" si="1839"/>
        <v>0</v>
      </c>
      <c r="BL2506" s="129" t="str">
        <f t="shared" si="1835"/>
        <v>DEFERRED</v>
      </c>
      <c r="BM2506" s="129" t="str">
        <f t="shared" si="1845"/>
        <v>NONE</v>
      </c>
      <c r="BN2506" s="129" t="s">
        <v>566</v>
      </c>
      <c r="BP2506" s="137" t="str">
        <f t="shared" si="1846"/>
        <v>DEFERRED</v>
      </c>
      <c r="BQ2506" s="128" t="str">
        <f t="shared" si="1856"/>
        <v>Y</v>
      </c>
      <c r="BR2506" s="129" t="str">
        <f t="shared" si="1847"/>
        <v>DETAINED</v>
      </c>
      <c r="BS2506" s="129" t="str">
        <f t="shared" si="1848"/>
        <v>DISPOSED</v>
      </c>
      <c r="BT2506" s="129" t="str">
        <f t="shared" si="1849"/>
        <v>N</v>
      </c>
      <c r="BU2506" s="109">
        <f t="shared" si="1850"/>
        <v>1</v>
      </c>
      <c r="BV2506" s="109">
        <f t="shared" si="1857"/>
        <v>1</v>
      </c>
      <c r="BW2506" s="109">
        <f t="shared" si="1832"/>
        <v>0</v>
      </c>
      <c r="BX2506" s="111">
        <f t="shared" si="1851"/>
        <v>0</v>
      </c>
      <c r="BY2506" s="129">
        <f t="shared" si="1858"/>
        <v>-3</v>
      </c>
      <c r="BZ2506" s="111">
        <f t="shared" si="1859"/>
        <v>0</v>
      </c>
      <c r="CA2506" s="138">
        <f t="shared" si="1860"/>
        <v>3</v>
      </c>
      <c r="CB2506" s="111" t="e">
        <f t="shared" si="1843"/>
        <v>#VALUE!</v>
      </c>
      <c r="CC2506" s="129">
        <f t="shared" si="1865"/>
        <v>3</v>
      </c>
      <c r="CD2506" s="129">
        <f t="shared" si="1866"/>
        <v>0</v>
      </c>
      <c r="CG2506" s="129" t="str">
        <f t="shared" si="1861"/>
        <v>Y</v>
      </c>
      <c r="CI2506" s="129" t="str">
        <f t="shared" si="1862"/>
        <v>0-10 DAYS</v>
      </c>
      <c r="CJ2506" s="137">
        <f t="shared" si="1863"/>
        <v>1</v>
      </c>
      <c r="CK2506" s="129" t="str">
        <f t="shared" si="1864"/>
        <v>Booked</v>
      </c>
    </row>
    <row r="2507" spans="1:89" ht="15" customHeight="1" x14ac:dyDescent="0.25">
      <c r="A2507" s="111">
        <v>1082</v>
      </c>
      <c r="B2507" s="128" t="str">
        <f t="shared" si="1852"/>
        <v>N</v>
      </c>
      <c r="C2507" s="128" t="str">
        <f t="shared" si="1853"/>
        <v>N</v>
      </c>
      <c r="D2507" s="117">
        <v>2582825</v>
      </c>
      <c r="E2507" s="135">
        <f t="shared" si="1854"/>
        <v>6</v>
      </c>
      <c r="F2507" s="124">
        <v>40948</v>
      </c>
      <c r="G2507" s="125">
        <v>41233</v>
      </c>
      <c r="H2507" s="117">
        <v>2582825</v>
      </c>
      <c r="I2507" s="124">
        <v>40950</v>
      </c>
      <c r="J2507" s="125">
        <v>41233</v>
      </c>
      <c r="K2507" s="126">
        <v>275000</v>
      </c>
      <c r="L2507" s="129" t="s">
        <v>572</v>
      </c>
      <c r="N2507" s="129" t="str">
        <f t="shared" si="1840"/>
        <v>N</v>
      </c>
      <c r="O2507" s="128" t="s">
        <v>917</v>
      </c>
      <c r="P2507" s="129" t="s">
        <v>39</v>
      </c>
      <c r="Q2507" s="111">
        <f t="shared" si="1836"/>
        <v>284</v>
      </c>
      <c r="R2507" s="111">
        <f t="shared" si="1837"/>
        <v>286</v>
      </c>
      <c r="S2507" s="129">
        <v>0</v>
      </c>
      <c r="T2507" s="129">
        <v>1</v>
      </c>
      <c r="W2507" s="111"/>
      <c r="AC2507" s="130"/>
      <c r="AD2507" s="130">
        <v>34545</v>
      </c>
      <c r="AE2507" s="128" t="s">
        <v>32</v>
      </c>
      <c r="AF2507" s="128" t="s">
        <v>33</v>
      </c>
      <c r="AG2507" s="128" t="s">
        <v>872</v>
      </c>
      <c r="AH2507" s="108" t="s">
        <v>58</v>
      </c>
      <c r="AI2507" s="128" t="s">
        <v>87</v>
      </c>
      <c r="AJ2507" s="129" t="s">
        <v>89</v>
      </c>
      <c r="AK2507" s="129">
        <v>11</v>
      </c>
      <c r="AL2507" s="3" t="s">
        <v>362</v>
      </c>
      <c r="AM2507" s="117">
        <v>8</v>
      </c>
      <c r="AP2507" s="129" t="s">
        <v>105</v>
      </c>
      <c r="AR2507" s="128" t="s">
        <v>92</v>
      </c>
      <c r="AS2507" s="129" t="s">
        <v>106</v>
      </c>
      <c r="BC2507" s="129" t="s">
        <v>52</v>
      </c>
      <c r="BF2507" s="111">
        <f t="shared" si="1841"/>
        <v>284</v>
      </c>
      <c r="BG2507" s="111">
        <f t="shared" si="1842"/>
        <v>284</v>
      </c>
      <c r="BH2507" s="111">
        <f t="shared" si="1838"/>
        <v>286</v>
      </c>
      <c r="BI2507" s="111">
        <f t="shared" si="1844"/>
        <v>17.494535519125684</v>
      </c>
      <c r="BJ2507" s="129">
        <f t="shared" si="1855"/>
        <v>0</v>
      </c>
      <c r="BK2507" s="129">
        <f t="shared" si="1839"/>
        <v>0</v>
      </c>
      <c r="BL2507" s="129" t="str">
        <f t="shared" si="1835"/>
        <v>CONVICTION</v>
      </c>
      <c r="BM2507" s="129" t="str">
        <f t="shared" si="1845"/>
        <v>NONE</v>
      </c>
      <c r="BN2507" s="129" t="s">
        <v>566</v>
      </c>
      <c r="BP2507" s="137" t="str">
        <f t="shared" si="1846"/>
        <v>CONVICTION</v>
      </c>
      <c r="BQ2507" s="128" t="str">
        <f t="shared" si="1856"/>
        <v>Y</v>
      </c>
      <c r="BR2507" s="129" t="str">
        <f t="shared" si="1847"/>
        <v>DETAINED</v>
      </c>
      <c r="BS2507" s="129" t="str">
        <f t="shared" si="1848"/>
        <v>DISPOSED</v>
      </c>
      <c r="BT2507" s="129" t="str">
        <f t="shared" si="1849"/>
        <v>N</v>
      </c>
      <c r="BU2507" s="109">
        <f t="shared" si="1850"/>
        <v>0.99300699300699302</v>
      </c>
      <c r="BV2507" s="109">
        <f t="shared" si="1857"/>
        <v>1</v>
      </c>
      <c r="BW2507" s="109">
        <f t="shared" si="1832"/>
        <v>6.9930069930069783E-3</v>
      </c>
      <c r="BX2507" s="111">
        <f t="shared" si="1851"/>
        <v>0</v>
      </c>
      <c r="BY2507" s="129">
        <f t="shared" si="1858"/>
        <v>-284</v>
      </c>
      <c r="BZ2507" s="111">
        <f t="shared" si="1859"/>
        <v>0</v>
      </c>
      <c r="CA2507" s="138">
        <f t="shared" si="1860"/>
        <v>284</v>
      </c>
      <c r="CB2507" s="111" t="e">
        <f t="shared" si="1843"/>
        <v>#VALUE!</v>
      </c>
      <c r="CC2507" s="129">
        <f t="shared" si="1865"/>
        <v>284</v>
      </c>
      <c r="CD2507" s="129">
        <f t="shared" si="1866"/>
        <v>0</v>
      </c>
      <c r="CG2507" s="129" t="str">
        <f t="shared" si="1861"/>
        <v>Y</v>
      </c>
      <c r="CI2507" s="129" t="str">
        <f t="shared" si="1862"/>
        <v>121-365 DAYS</v>
      </c>
      <c r="CJ2507" s="137">
        <f t="shared" si="1863"/>
        <v>6</v>
      </c>
      <c r="CK2507" s="129" t="str">
        <f t="shared" si="1864"/>
        <v>Booked</v>
      </c>
    </row>
    <row r="2508" spans="1:89" ht="15" customHeight="1" x14ac:dyDescent="0.25">
      <c r="A2508" s="111">
        <v>1315</v>
      </c>
      <c r="B2508" s="128" t="str">
        <f t="shared" si="1852"/>
        <v>N</v>
      </c>
      <c r="C2508" s="128" t="str">
        <f t="shared" si="1853"/>
        <v>N</v>
      </c>
      <c r="D2508" s="117">
        <v>2583206</v>
      </c>
      <c r="E2508" s="135">
        <f t="shared" si="1854"/>
        <v>2</v>
      </c>
      <c r="F2508" s="124">
        <v>40956</v>
      </c>
      <c r="G2508" s="125">
        <v>41010</v>
      </c>
      <c r="H2508" s="117">
        <v>2583206</v>
      </c>
      <c r="I2508" s="124">
        <v>40960</v>
      </c>
      <c r="J2508" s="124">
        <v>41010</v>
      </c>
      <c r="K2508" s="126">
        <v>35000</v>
      </c>
      <c r="L2508" s="129" t="s">
        <v>572</v>
      </c>
      <c r="N2508" s="129" t="str">
        <f t="shared" si="1840"/>
        <v>N</v>
      </c>
      <c r="O2508" s="128" t="s">
        <v>917</v>
      </c>
      <c r="P2508" s="129" t="s">
        <v>589</v>
      </c>
      <c r="Q2508" s="111">
        <f t="shared" si="1836"/>
        <v>51</v>
      </c>
      <c r="R2508" s="111">
        <f t="shared" si="1837"/>
        <v>55</v>
      </c>
      <c r="S2508" s="129">
        <v>0</v>
      </c>
      <c r="T2508" s="129">
        <v>1</v>
      </c>
      <c r="W2508" s="111"/>
      <c r="AC2508" s="130"/>
      <c r="AD2508" s="130">
        <v>33087</v>
      </c>
      <c r="AE2508" s="128" t="s">
        <v>46</v>
      </c>
      <c r="AF2508" s="128" t="s">
        <v>69</v>
      </c>
      <c r="AG2508" s="128" t="s">
        <v>874</v>
      </c>
      <c r="AH2508" s="108" t="s">
        <v>31</v>
      </c>
      <c r="AI2508" s="128" t="s">
        <v>90</v>
      </c>
      <c r="AJ2508" s="129" t="s">
        <v>48</v>
      </c>
      <c r="AK2508" s="129">
        <v>5</v>
      </c>
      <c r="AL2508" s="3" t="s">
        <v>48</v>
      </c>
      <c r="AP2508" s="129" t="s">
        <v>104</v>
      </c>
      <c r="AR2508" s="128" t="s">
        <v>44</v>
      </c>
      <c r="AS2508" s="129" t="s">
        <v>64</v>
      </c>
      <c r="AT2508" s="129" t="s">
        <v>317</v>
      </c>
      <c r="BC2508" s="129" t="s">
        <v>38</v>
      </c>
      <c r="BF2508" s="111">
        <f t="shared" si="1841"/>
        <v>51</v>
      </c>
      <c r="BG2508" s="111">
        <f t="shared" si="1842"/>
        <v>51</v>
      </c>
      <c r="BH2508" s="111">
        <f t="shared" si="1838"/>
        <v>55</v>
      </c>
      <c r="BI2508" s="111">
        <f t="shared" si="1844"/>
        <v>21.5</v>
      </c>
      <c r="BJ2508" s="129">
        <f t="shared" si="1855"/>
        <v>0</v>
      </c>
      <c r="BK2508" s="129">
        <f t="shared" si="1839"/>
        <v>0</v>
      </c>
      <c r="BL2508" s="129" t="str">
        <f t="shared" si="1835"/>
        <v>DEFERRED</v>
      </c>
      <c r="BM2508" s="129" t="str">
        <f t="shared" si="1845"/>
        <v>NONE</v>
      </c>
      <c r="BN2508" s="129" t="s">
        <v>566</v>
      </c>
      <c r="BP2508" s="137" t="str">
        <f t="shared" si="1846"/>
        <v>DEFERRED</v>
      </c>
      <c r="BQ2508" s="128" t="str">
        <f t="shared" si="1856"/>
        <v>Y</v>
      </c>
      <c r="BR2508" s="129" t="str">
        <f t="shared" si="1847"/>
        <v>DETAINED</v>
      </c>
      <c r="BS2508" s="129" t="str">
        <f t="shared" si="1848"/>
        <v>DISPOSED</v>
      </c>
      <c r="BT2508" s="129" t="str">
        <f t="shared" si="1849"/>
        <v>N</v>
      </c>
      <c r="BU2508" s="109">
        <f t="shared" si="1850"/>
        <v>0.92727272727272725</v>
      </c>
      <c r="BV2508" s="109">
        <f t="shared" si="1857"/>
        <v>1</v>
      </c>
      <c r="BW2508" s="109">
        <f t="shared" si="1832"/>
        <v>7.2727272727272751E-2</v>
      </c>
      <c r="BX2508" s="111">
        <f t="shared" si="1851"/>
        <v>0</v>
      </c>
      <c r="BY2508" s="129">
        <f t="shared" si="1858"/>
        <v>-51</v>
      </c>
      <c r="BZ2508" s="111">
        <f t="shared" si="1859"/>
        <v>0</v>
      </c>
      <c r="CA2508" s="138">
        <f t="shared" si="1860"/>
        <v>51</v>
      </c>
      <c r="CB2508" s="111" t="e">
        <f t="shared" si="1843"/>
        <v>#VALUE!</v>
      </c>
      <c r="CC2508" s="129">
        <f t="shared" si="1865"/>
        <v>51</v>
      </c>
      <c r="CD2508" s="129">
        <f t="shared" si="1866"/>
        <v>0</v>
      </c>
      <c r="CG2508" s="129" t="str">
        <f t="shared" si="1861"/>
        <v>Y</v>
      </c>
      <c r="CI2508" s="129" t="str">
        <f t="shared" si="1862"/>
        <v>31-60 DAYS</v>
      </c>
      <c r="CJ2508" s="137">
        <f t="shared" si="1863"/>
        <v>3</v>
      </c>
      <c r="CK2508" s="129" t="str">
        <f t="shared" si="1864"/>
        <v>Booked</v>
      </c>
    </row>
    <row r="2509" spans="1:89" ht="15.75" customHeight="1" x14ac:dyDescent="0.25">
      <c r="A2509" s="111">
        <v>2471</v>
      </c>
      <c r="B2509" s="128" t="str">
        <f t="shared" si="1852"/>
        <v>N</v>
      </c>
      <c r="C2509" s="128" t="str">
        <f t="shared" si="1853"/>
        <v>N</v>
      </c>
      <c r="D2509" s="117">
        <v>2583230</v>
      </c>
      <c r="E2509" s="135">
        <f t="shared" si="1854"/>
        <v>2</v>
      </c>
      <c r="F2509" s="124">
        <v>41002</v>
      </c>
      <c r="G2509" s="125">
        <v>41004</v>
      </c>
      <c r="H2509" s="117">
        <v>2583230</v>
      </c>
      <c r="I2509" s="124">
        <v>41002</v>
      </c>
      <c r="J2509" s="124">
        <v>41004</v>
      </c>
      <c r="K2509" s="126">
        <v>2000</v>
      </c>
      <c r="L2509" s="127" t="s">
        <v>568</v>
      </c>
      <c r="N2509" s="129" t="str">
        <f t="shared" si="1840"/>
        <v>N</v>
      </c>
      <c r="O2509" s="128" t="s">
        <v>917</v>
      </c>
      <c r="P2509" s="129" t="s">
        <v>589</v>
      </c>
      <c r="Q2509" s="111">
        <f t="shared" si="1836"/>
        <v>3</v>
      </c>
      <c r="R2509" s="111">
        <f t="shared" si="1837"/>
        <v>3</v>
      </c>
      <c r="S2509" s="129">
        <v>0</v>
      </c>
      <c r="T2509" s="129">
        <v>0</v>
      </c>
      <c r="W2509" s="111"/>
      <c r="AC2509" s="130"/>
      <c r="AD2509" s="130">
        <v>31712</v>
      </c>
      <c r="AE2509" s="128" t="s">
        <v>32</v>
      </c>
      <c r="AF2509" s="128" t="s">
        <v>33</v>
      </c>
      <c r="AG2509" s="128" t="s">
        <v>872</v>
      </c>
      <c r="AH2509" s="108" t="s">
        <v>31</v>
      </c>
      <c r="AI2509" s="128" t="s">
        <v>113</v>
      </c>
      <c r="AJ2509" s="129" t="s">
        <v>48</v>
      </c>
      <c r="AK2509" s="129">
        <v>2</v>
      </c>
      <c r="AL2509" s="3" t="s">
        <v>48</v>
      </c>
      <c r="AP2509" s="129" t="s">
        <v>446</v>
      </c>
      <c r="AR2509" s="128" t="s">
        <v>44</v>
      </c>
      <c r="AS2509" s="129" t="s">
        <v>64</v>
      </c>
      <c r="BC2509" s="129" t="s">
        <v>38</v>
      </c>
      <c r="BF2509" s="111">
        <f t="shared" si="1841"/>
        <v>3</v>
      </c>
      <c r="BG2509" s="111">
        <f t="shared" si="1842"/>
        <v>3</v>
      </c>
      <c r="BH2509" s="111">
        <f t="shared" si="1838"/>
        <v>3</v>
      </c>
      <c r="BI2509" s="111">
        <f t="shared" si="1844"/>
        <v>25.382513661202186</v>
      </c>
      <c r="BJ2509" s="129">
        <f t="shared" si="1855"/>
        <v>0</v>
      </c>
      <c r="BK2509" s="129">
        <f t="shared" si="1839"/>
        <v>0</v>
      </c>
      <c r="BL2509" s="129" t="str">
        <f t="shared" si="1835"/>
        <v>DEFERRED</v>
      </c>
      <c r="BM2509" s="129" t="str">
        <f t="shared" si="1845"/>
        <v>NONE</v>
      </c>
      <c r="BN2509" s="129" t="s">
        <v>566</v>
      </c>
      <c r="BP2509" s="137" t="str">
        <f t="shared" si="1846"/>
        <v>DEFERRED</v>
      </c>
      <c r="BQ2509" s="128" t="str">
        <f t="shared" si="1856"/>
        <v>Y</v>
      </c>
      <c r="BR2509" s="129" t="str">
        <f t="shared" si="1847"/>
        <v>DETAINED</v>
      </c>
      <c r="BS2509" s="129" t="str">
        <f t="shared" si="1848"/>
        <v>DISPOSED</v>
      </c>
      <c r="BT2509" s="129" t="str">
        <f t="shared" si="1849"/>
        <v>N</v>
      </c>
      <c r="BU2509" s="109">
        <f t="shared" si="1850"/>
        <v>1</v>
      </c>
      <c r="BV2509" s="109">
        <f t="shared" si="1857"/>
        <v>1</v>
      </c>
      <c r="BW2509" s="109">
        <f t="shared" si="1832"/>
        <v>0</v>
      </c>
      <c r="BX2509" s="111">
        <f t="shared" si="1851"/>
        <v>0</v>
      </c>
      <c r="BY2509" s="129">
        <f t="shared" si="1858"/>
        <v>-3</v>
      </c>
      <c r="BZ2509" s="111">
        <f t="shared" si="1859"/>
        <v>0</v>
      </c>
      <c r="CA2509" s="138">
        <f t="shared" si="1860"/>
        <v>3</v>
      </c>
      <c r="CB2509" s="111" t="e">
        <f t="shared" si="1843"/>
        <v>#VALUE!</v>
      </c>
      <c r="CC2509" s="129">
        <f t="shared" si="1865"/>
        <v>3</v>
      </c>
      <c r="CD2509" s="129">
        <f t="shared" si="1866"/>
        <v>0</v>
      </c>
      <c r="CG2509" s="129" t="str">
        <f t="shared" si="1861"/>
        <v>N</v>
      </c>
      <c r="CI2509" s="129" t="str">
        <f t="shared" si="1862"/>
        <v>0-10 DAYS</v>
      </c>
      <c r="CJ2509" s="137">
        <f t="shared" si="1863"/>
        <v>1</v>
      </c>
      <c r="CK2509" s="129" t="str">
        <f t="shared" si="1864"/>
        <v>Booked</v>
      </c>
    </row>
    <row r="2510" spans="1:89" ht="15" customHeight="1" x14ac:dyDescent="0.25">
      <c r="A2510" s="111">
        <v>715</v>
      </c>
      <c r="B2510" s="128" t="str">
        <f t="shared" si="1852"/>
        <v>N</v>
      </c>
      <c r="C2510" s="128" t="str">
        <f t="shared" si="1853"/>
        <v>N</v>
      </c>
      <c r="D2510" s="117">
        <v>2583906</v>
      </c>
      <c r="E2510" s="135">
        <f t="shared" si="1854"/>
        <v>2</v>
      </c>
      <c r="F2510" s="124">
        <v>40936</v>
      </c>
      <c r="G2510" s="125">
        <v>41024</v>
      </c>
      <c r="H2510" s="117">
        <v>2583906</v>
      </c>
      <c r="I2510" s="124">
        <v>40937</v>
      </c>
      <c r="J2510" s="124">
        <v>40940</v>
      </c>
      <c r="K2510" s="126">
        <v>2000</v>
      </c>
      <c r="L2510" s="127" t="s">
        <v>568</v>
      </c>
      <c r="M2510" s="125">
        <v>40940</v>
      </c>
      <c r="N2510" s="129" t="str">
        <f t="shared" si="1840"/>
        <v>Y</v>
      </c>
      <c r="O2510" s="128" t="s">
        <v>76</v>
      </c>
      <c r="P2510" s="129" t="s">
        <v>589</v>
      </c>
      <c r="Q2510" s="111">
        <f t="shared" si="1836"/>
        <v>4</v>
      </c>
      <c r="R2510" s="111">
        <f t="shared" si="1837"/>
        <v>89</v>
      </c>
      <c r="S2510" s="129">
        <v>0</v>
      </c>
      <c r="T2510" s="129">
        <v>0</v>
      </c>
      <c r="W2510" s="111"/>
      <c r="AC2510" s="130"/>
      <c r="AD2510" s="130">
        <v>33310</v>
      </c>
      <c r="AE2510" s="128" t="s">
        <v>46</v>
      </c>
      <c r="AF2510" s="128" t="s">
        <v>33</v>
      </c>
      <c r="AG2510" s="128" t="s">
        <v>872</v>
      </c>
      <c r="AH2510" s="108" t="s">
        <v>31</v>
      </c>
      <c r="AI2510" s="128" t="s">
        <v>83</v>
      </c>
      <c r="AJ2510" s="129" t="s">
        <v>48</v>
      </c>
      <c r="AK2510" s="129">
        <v>6</v>
      </c>
      <c r="AL2510" s="3" t="s">
        <v>48</v>
      </c>
      <c r="AP2510" s="129" t="s">
        <v>63</v>
      </c>
      <c r="AR2510" s="128" t="s">
        <v>44</v>
      </c>
      <c r="AS2510" s="129" t="s">
        <v>64</v>
      </c>
      <c r="AT2510" s="129" t="s">
        <v>243</v>
      </c>
      <c r="BC2510" s="129" t="s">
        <v>52</v>
      </c>
      <c r="BF2510" s="111">
        <f t="shared" si="1841"/>
        <v>4</v>
      </c>
      <c r="BG2510" s="111">
        <f t="shared" si="1842"/>
        <v>88</v>
      </c>
      <c r="BH2510" s="111">
        <f t="shared" si="1838"/>
        <v>89</v>
      </c>
      <c r="BI2510" s="111">
        <f t="shared" si="1844"/>
        <v>20.83606557377049</v>
      </c>
      <c r="BJ2510" s="129">
        <f>(G2510-J2510)+(M2510-G2510)</f>
        <v>0</v>
      </c>
      <c r="BK2510" s="129">
        <f t="shared" si="1839"/>
        <v>-84</v>
      </c>
      <c r="BL2510" s="129" t="str">
        <f t="shared" si="1835"/>
        <v>DEFERRED</v>
      </c>
      <c r="BM2510" s="129" t="s">
        <v>76</v>
      </c>
      <c r="BN2510" s="129" t="s">
        <v>88</v>
      </c>
      <c r="BP2510" s="137" t="str">
        <f t="shared" si="1846"/>
        <v>DEFERRED</v>
      </c>
      <c r="BQ2510" s="128" t="str">
        <f t="shared" si="1856"/>
        <v>Y</v>
      </c>
      <c r="BR2510" s="129" t="str">
        <f t="shared" si="1847"/>
        <v>ON BOND</v>
      </c>
      <c r="BS2510" s="129" t="str">
        <f t="shared" si="1848"/>
        <v>DISPOSED</v>
      </c>
      <c r="BT2510" s="129" t="str">
        <f t="shared" si="1849"/>
        <v>N</v>
      </c>
      <c r="BU2510" s="109">
        <f t="shared" si="1850"/>
        <v>4.49438202247191E-2</v>
      </c>
      <c r="BV2510" s="109">
        <f t="shared" si="1857"/>
        <v>4.5454545454545456E-2</v>
      </c>
      <c r="BW2510" s="109">
        <f t="shared" si="1832"/>
        <v>5.1072522982635593E-4</v>
      </c>
      <c r="BX2510" s="111">
        <f t="shared" si="1851"/>
        <v>0</v>
      </c>
      <c r="BY2510" s="129">
        <f t="shared" si="1858"/>
        <v>-4</v>
      </c>
      <c r="BZ2510" s="111">
        <f t="shared" si="1859"/>
        <v>0</v>
      </c>
      <c r="CA2510" s="138">
        <f t="shared" si="1860"/>
        <v>4</v>
      </c>
      <c r="CB2510" s="111" t="e">
        <f t="shared" si="1843"/>
        <v>#VALUE!</v>
      </c>
      <c r="CC2510" s="129">
        <f>M2510-I2510+1</f>
        <v>4</v>
      </c>
      <c r="CD2510" s="111">
        <f>CC2510-BF2510</f>
        <v>0</v>
      </c>
      <c r="CG2510" s="129" t="str">
        <f t="shared" si="1861"/>
        <v>N</v>
      </c>
      <c r="CI2510" s="129" t="str">
        <f t="shared" si="1862"/>
        <v>0-10 DAYS</v>
      </c>
      <c r="CJ2510" s="137">
        <f t="shared" si="1863"/>
        <v>1</v>
      </c>
      <c r="CK2510" s="129" t="str">
        <f t="shared" si="1864"/>
        <v>Booked</v>
      </c>
    </row>
    <row r="2511" spans="1:89" ht="15" customHeight="1" x14ac:dyDescent="0.25">
      <c r="A2511" s="111">
        <v>2257</v>
      </c>
      <c r="B2511" s="128" t="str">
        <f t="shared" si="1852"/>
        <v>N</v>
      </c>
      <c r="C2511" s="128" t="str">
        <f t="shared" si="1853"/>
        <v>N</v>
      </c>
      <c r="D2511" s="117">
        <v>2583964</v>
      </c>
      <c r="E2511" s="135">
        <f t="shared" si="1854"/>
        <v>2</v>
      </c>
      <c r="F2511" s="124">
        <v>40993</v>
      </c>
      <c r="G2511" s="125">
        <v>41012</v>
      </c>
      <c r="H2511" s="117">
        <v>2583964</v>
      </c>
      <c r="I2511" s="124">
        <v>40995</v>
      </c>
      <c r="J2511" s="124">
        <v>41012</v>
      </c>
      <c r="K2511" s="126">
        <v>2000</v>
      </c>
      <c r="L2511" s="127" t="s">
        <v>568</v>
      </c>
      <c r="N2511" s="129" t="str">
        <f t="shared" si="1840"/>
        <v>N</v>
      </c>
      <c r="O2511" s="128" t="s">
        <v>917</v>
      </c>
      <c r="P2511" s="129" t="s">
        <v>589</v>
      </c>
      <c r="Q2511" s="111">
        <f t="shared" si="1836"/>
        <v>18</v>
      </c>
      <c r="R2511" s="111">
        <f t="shared" si="1837"/>
        <v>20</v>
      </c>
      <c r="S2511" s="129">
        <v>0</v>
      </c>
      <c r="T2511" s="129">
        <v>0</v>
      </c>
      <c r="W2511" s="111"/>
      <c r="AC2511" s="130"/>
      <c r="AD2511" s="130">
        <v>32802</v>
      </c>
      <c r="AE2511" s="128" t="s">
        <v>32</v>
      </c>
      <c r="AF2511" s="128" t="s">
        <v>69</v>
      </c>
      <c r="AG2511" s="128" t="s">
        <v>874</v>
      </c>
      <c r="AH2511" s="108" t="s">
        <v>31</v>
      </c>
      <c r="AI2511" s="128" t="s">
        <v>118</v>
      </c>
      <c r="AJ2511" s="129" t="s">
        <v>48</v>
      </c>
      <c r="AK2511" s="129">
        <v>4</v>
      </c>
      <c r="AL2511" s="3" t="s">
        <v>48</v>
      </c>
      <c r="AP2511" s="129" t="s">
        <v>108</v>
      </c>
      <c r="AR2511" s="128" t="s">
        <v>44</v>
      </c>
      <c r="AS2511" s="129" t="s">
        <v>61</v>
      </c>
      <c r="AT2511" s="129" t="s">
        <v>651</v>
      </c>
      <c r="BC2511" s="129" t="s">
        <v>38</v>
      </c>
      <c r="BF2511" s="111">
        <f t="shared" si="1841"/>
        <v>18</v>
      </c>
      <c r="BG2511" s="111">
        <f t="shared" si="1842"/>
        <v>18</v>
      </c>
      <c r="BH2511" s="111">
        <f t="shared" si="1838"/>
        <v>20</v>
      </c>
      <c r="BI2511" s="111">
        <f t="shared" si="1844"/>
        <v>22.379781420765028</v>
      </c>
      <c r="BJ2511" s="129">
        <f t="shared" si="1855"/>
        <v>0</v>
      </c>
      <c r="BK2511" s="129">
        <f t="shared" si="1839"/>
        <v>0</v>
      </c>
      <c r="BL2511" s="129" t="str">
        <f t="shared" si="1835"/>
        <v>DEFERRED</v>
      </c>
      <c r="BM2511" s="129" t="str">
        <f t="shared" si="1845"/>
        <v>NONE</v>
      </c>
      <c r="BN2511" s="129" t="s">
        <v>566</v>
      </c>
      <c r="BP2511" s="137" t="str">
        <f t="shared" si="1846"/>
        <v>DEFERRED</v>
      </c>
      <c r="BQ2511" s="128" t="str">
        <f t="shared" si="1856"/>
        <v>Y</v>
      </c>
      <c r="BR2511" s="129" t="str">
        <f t="shared" si="1847"/>
        <v>DETAINED</v>
      </c>
      <c r="BS2511" s="129" t="str">
        <f t="shared" si="1848"/>
        <v>DISPOSED</v>
      </c>
      <c r="BT2511" s="129" t="str">
        <f t="shared" si="1849"/>
        <v>N</v>
      </c>
      <c r="BU2511" s="109">
        <f t="shared" si="1850"/>
        <v>0.9</v>
      </c>
      <c r="BV2511" s="109">
        <f t="shared" si="1857"/>
        <v>1</v>
      </c>
      <c r="BW2511" s="109">
        <f t="shared" si="1832"/>
        <v>9.9999999999999978E-2</v>
      </c>
      <c r="BX2511" s="111">
        <f t="shared" si="1851"/>
        <v>0</v>
      </c>
      <c r="BY2511" s="129">
        <f t="shared" si="1858"/>
        <v>-18</v>
      </c>
      <c r="BZ2511" s="111">
        <f t="shared" si="1859"/>
        <v>0</v>
      </c>
      <c r="CA2511" s="138">
        <f t="shared" si="1860"/>
        <v>18</v>
      </c>
      <c r="CB2511" s="111" t="e">
        <f t="shared" si="1843"/>
        <v>#VALUE!</v>
      </c>
      <c r="CC2511" s="129">
        <f>G2511-I2511+1</f>
        <v>18</v>
      </c>
      <c r="CD2511" s="129">
        <f>G2511-J2511</f>
        <v>0</v>
      </c>
      <c r="CG2511" s="129" t="str">
        <f t="shared" si="1861"/>
        <v>N</v>
      </c>
      <c r="CI2511" s="129" t="str">
        <f t="shared" si="1862"/>
        <v>11-30 DAYS</v>
      </c>
      <c r="CJ2511" s="137">
        <f t="shared" si="1863"/>
        <v>2</v>
      </c>
      <c r="CK2511" s="129" t="str">
        <f t="shared" si="1864"/>
        <v>Booked</v>
      </c>
    </row>
    <row r="2512" spans="1:89" ht="15" customHeight="1" x14ac:dyDescent="0.25">
      <c r="A2512" s="111">
        <v>278</v>
      </c>
      <c r="B2512" s="128" t="str">
        <f t="shared" si="1852"/>
        <v>N</v>
      </c>
      <c r="C2512" s="128" t="str">
        <f t="shared" si="1853"/>
        <v>N</v>
      </c>
      <c r="D2512" s="117">
        <v>2584002</v>
      </c>
      <c r="E2512" s="135">
        <f t="shared" si="1854"/>
        <v>1</v>
      </c>
      <c r="F2512" s="124">
        <v>40920</v>
      </c>
      <c r="G2512" s="125">
        <v>41022</v>
      </c>
      <c r="H2512" s="117">
        <v>2584002</v>
      </c>
      <c r="I2512" s="124">
        <v>41017</v>
      </c>
      <c r="J2512" s="124">
        <v>41022</v>
      </c>
      <c r="K2512" s="126">
        <v>10000</v>
      </c>
      <c r="L2512" s="127" t="s">
        <v>570</v>
      </c>
      <c r="N2512" s="129" t="str">
        <f t="shared" si="1840"/>
        <v>N</v>
      </c>
      <c r="O2512" s="128" t="s">
        <v>917</v>
      </c>
      <c r="P2512" s="129" t="s">
        <v>55</v>
      </c>
      <c r="Q2512" s="111">
        <f t="shared" si="1836"/>
        <v>6</v>
      </c>
      <c r="R2512" s="111">
        <f t="shared" si="1837"/>
        <v>103</v>
      </c>
      <c r="S2512" s="129">
        <v>0</v>
      </c>
      <c r="T2512" s="129">
        <v>1</v>
      </c>
      <c r="W2512" s="111"/>
      <c r="AB2512" s="131" t="s">
        <v>112</v>
      </c>
      <c r="AC2512" s="130"/>
      <c r="AD2512" s="130">
        <v>34517</v>
      </c>
      <c r="AE2512" s="128" t="s">
        <v>32</v>
      </c>
      <c r="AF2512" s="128" t="s">
        <v>40</v>
      </c>
      <c r="AG2512" s="128" t="s">
        <v>41</v>
      </c>
      <c r="AH2512" s="108" t="s">
        <v>31</v>
      </c>
      <c r="AI2512" s="128" t="s">
        <v>83</v>
      </c>
      <c r="AJ2512" s="129" t="s">
        <v>55</v>
      </c>
      <c r="AK2512" s="129">
        <v>3</v>
      </c>
      <c r="AL2512" s="3" t="s">
        <v>55</v>
      </c>
      <c r="AP2512" s="129" t="s">
        <v>131</v>
      </c>
      <c r="AR2512" s="128" t="s">
        <v>50</v>
      </c>
      <c r="AS2512" s="129" t="s">
        <v>106</v>
      </c>
      <c r="BC2512" s="129" t="s">
        <v>38</v>
      </c>
      <c r="BF2512" s="111">
        <f t="shared" si="1841"/>
        <v>6</v>
      </c>
      <c r="BG2512" s="111">
        <f t="shared" si="1842"/>
        <v>6</v>
      </c>
      <c r="BH2512" s="111">
        <f t="shared" si="1838"/>
        <v>103</v>
      </c>
      <c r="BI2512" s="111">
        <f t="shared" si="1844"/>
        <v>17.494535519125684</v>
      </c>
      <c r="BJ2512" s="129">
        <f t="shared" si="1855"/>
        <v>0</v>
      </c>
      <c r="BK2512" s="129">
        <f t="shared" si="1839"/>
        <v>0</v>
      </c>
      <c r="BL2512" s="129" t="str">
        <f t="shared" si="1835"/>
        <v>NO CONVICTION</v>
      </c>
      <c r="BM2512" s="129" t="str">
        <f t="shared" si="1845"/>
        <v>NONE</v>
      </c>
      <c r="BN2512" s="129" t="s">
        <v>566</v>
      </c>
      <c r="BP2512" s="137" t="str">
        <f t="shared" si="1846"/>
        <v>NO CONVICTION</v>
      </c>
      <c r="BQ2512" s="128" t="str">
        <f t="shared" si="1856"/>
        <v>Y</v>
      </c>
      <c r="BR2512" s="129" t="str">
        <f t="shared" si="1847"/>
        <v>DETAINED</v>
      </c>
      <c r="BS2512" s="129" t="str">
        <f t="shared" si="1848"/>
        <v>DISPOSED</v>
      </c>
      <c r="BT2512" s="129" t="str">
        <f t="shared" si="1849"/>
        <v>N</v>
      </c>
      <c r="BU2512" s="109">
        <f>IFERROR(Q2512/R2512,BR2512)</f>
        <v>5.8252427184466021E-2</v>
      </c>
      <c r="BV2512" s="109">
        <f t="shared" si="1857"/>
        <v>1</v>
      </c>
      <c r="BW2512" s="109">
        <f t="shared" si="1832"/>
        <v>0.94174757281553401</v>
      </c>
      <c r="BX2512" s="111">
        <f t="shared" si="1851"/>
        <v>0</v>
      </c>
      <c r="BY2512" s="129">
        <f t="shared" si="1858"/>
        <v>-6</v>
      </c>
      <c r="BZ2512" s="111">
        <f t="shared" si="1859"/>
        <v>0</v>
      </c>
      <c r="CA2512" s="138">
        <f t="shared" si="1860"/>
        <v>6</v>
      </c>
      <c r="CB2512" s="111" t="e">
        <f t="shared" si="1843"/>
        <v>#VALUE!</v>
      </c>
      <c r="CC2512" s="129">
        <f>G2512-I2512+1</f>
        <v>6</v>
      </c>
      <c r="CD2512" s="129">
        <f>G2512-J2512</f>
        <v>0</v>
      </c>
      <c r="CG2512" s="129" t="str">
        <f t="shared" si="1861"/>
        <v>Y</v>
      </c>
      <c r="CI2512" s="129" t="str">
        <f t="shared" si="1862"/>
        <v>0-10 DAYS</v>
      </c>
      <c r="CJ2512" s="137">
        <f t="shared" si="1863"/>
        <v>1</v>
      </c>
      <c r="CK2512" s="129" t="str">
        <f t="shared" si="1864"/>
        <v>Booked</v>
      </c>
    </row>
    <row r="2513" spans="1:89" ht="15" customHeight="1" x14ac:dyDescent="0.25">
      <c r="A2513" s="111">
        <v>2543</v>
      </c>
      <c r="B2513" s="128" t="str">
        <f t="shared" si="1852"/>
        <v>N</v>
      </c>
      <c r="C2513" s="128" t="str">
        <f t="shared" si="1853"/>
        <v>N</v>
      </c>
      <c r="D2513" s="117">
        <v>2584811</v>
      </c>
      <c r="E2513" s="135">
        <f t="shared" si="1854"/>
        <v>2</v>
      </c>
      <c r="F2513" s="124">
        <v>41004</v>
      </c>
      <c r="G2513" s="125">
        <v>41008</v>
      </c>
      <c r="H2513" s="117">
        <v>2584811</v>
      </c>
      <c r="I2513" s="124">
        <v>41004</v>
      </c>
      <c r="J2513" s="124">
        <v>41008</v>
      </c>
      <c r="K2513" s="126">
        <v>2000</v>
      </c>
      <c r="L2513" s="127" t="s">
        <v>568</v>
      </c>
      <c r="N2513" s="129" t="str">
        <f t="shared" si="1840"/>
        <v>N</v>
      </c>
      <c r="O2513" s="128" t="s">
        <v>917</v>
      </c>
      <c r="P2513" s="129" t="s">
        <v>589</v>
      </c>
      <c r="Q2513" s="111">
        <f t="shared" si="1836"/>
        <v>5</v>
      </c>
      <c r="R2513" s="111">
        <f t="shared" si="1837"/>
        <v>5</v>
      </c>
      <c r="S2513" s="129">
        <v>0</v>
      </c>
      <c r="T2513" s="129">
        <v>0</v>
      </c>
      <c r="W2513" s="111"/>
      <c r="AC2513" s="130"/>
      <c r="AD2513" s="130">
        <v>34267</v>
      </c>
      <c r="AE2513" s="128" t="s">
        <v>32</v>
      </c>
      <c r="AF2513" s="128" t="s">
        <v>33</v>
      </c>
      <c r="AG2513" s="128" t="s">
        <v>872</v>
      </c>
      <c r="AH2513" s="108" t="s">
        <v>31</v>
      </c>
      <c r="AI2513" s="128" t="s">
        <v>118</v>
      </c>
      <c r="AJ2513" s="129" t="s">
        <v>48</v>
      </c>
      <c r="AK2513" s="129">
        <v>3</v>
      </c>
      <c r="AL2513" s="3" t="s">
        <v>48</v>
      </c>
      <c r="AP2513" s="129" t="s">
        <v>43</v>
      </c>
      <c r="AR2513" s="128" t="s">
        <v>44</v>
      </c>
      <c r="AS2513" s="129" t="s">
        <v>45</v>
      </c>
      <c r="AT2513" s="129" t="s">
        <v>454</v>
      </c>
      <c r="BC2513" s="129" t="s">
        <v>38</v>
      </c>
      <c r="BF2513" s="111">
        <f t="shared" si="1841"/>
        <v>5</v>
      </c>
      <c r="BG2513" s="111">
        <f t="shared" si="1842"/>
        <v>5</v>
      </c>
      <c r="BH2513" s="111">
        <f t="shared" si="1838"/>
        <v>5</v>
      </c>
      <c r="BI2513" s="111">
        <f t="shared" si="1844"/>
        <v>18.407103825136613</v>
      </c>
      <c r="BJ2513" s="129">
        <f t="shared" si="1855"/>
        <v>0</v>
      </c>
      <c r="BK2513" s="129">
        <f t="shared" si="1839"/>
        <v>0</v>
      </c>
      <c r="BL2513" s="129" t="str">
        <f t="shared" si="1835"/>
        <v>DEFERRED</v>
      </c>
      <c r="BM2513" s="129" t="str">
        <f t="shared" si="1845"/>
        <v>NONE</v>
      </c>
      <c r="BN2513" s="129" t="s">
        <v>566</v>
      </c>
      <c r="BP2513" s="137" t="str">
        <f t="shared" si="1846"/>
        <v>DEFERRED</v>
      </c>
      <c r="BQ2513" s="128" t="str">
        <f t="shared" si="1856"/>
        <v>Y</v>
      </c>
      <c r="BR2513" s="129" t="str">
        <f t="shared" si="1847"/>
        <v>DETAINED</v>
      </c>
      <c r="BS2513" s="129" t="str">
        <f t="shared" si="1848"/>
        <v>DISPOSED</v>
      </c>
      <c r="BT2513" s="129" t="str">
        <f t="shared" si="1849"/>
        <v>N</v>
      </c>
      <c r="BU2513" s="109">
        <f t="shared" si="1850"/>
        <v>1</v>
      </c>
      <c r="BV2513" s="109">
        <f t="shared" si="1857"/>
        <v>1</v>
      </c>
      <c r="BW2513" s="109">
        <f t="shared" si="1832"/>
        <v>0</v>
      </c>
      <c r="BX2513" s="111">
        <f t="shared" si="1851"/>
        <v>0</v>
      </c>
      <c r="BY2513" s="129">
        <f t="shared" si="1858"/>
        <v>-5</v>
      </c>
      <c r="BZ2513" s="111">
        <f t="shared" si="1859"/>
        <v>0</v>
      </c>
      <c r="CA2513" s="138">
        <f t="shared" si="1860"/>
        <v>5</v>
      </c>
      <c r="CB2513" s="111" t="e">
        <f t="shared" si="1843"/>
        <v>#VALUE!</v>
      </c>
      <c r="CC2513" s="129">
        <f>G2513-I2513+1</f>
        <v>5</v>
      </c>
      <c r="CD2513" s="129">
        <f>G2513-J2513</f>
        <v>0</v>
      </c>
      <c r="CG2513" s="129" t="str">
        <f t="shared" si="1861"/>
        <v>N</v>
      </c>
      <c r="CI2513" s="129" t="str">
        <f t="shared" si="1862"/>
        <v>0-10 DAYS</v>
      </c>
      <c r="CJ2513" s="137">
        <f t="shared" si="1863"/>
        <v>1</v>
      </c>
      <c r="CK2513" s="129" t="str">
        <f t="shared" si="1864"/>
        <v>Booked</v>
      </c>
    </row>
    <row r="2514" spans="1:89" ht="15.75" customHeight="1" x14ac:dyDescent="0.25">
      <c r="A2514" s="111">
        <v>356</v>
      </c>
      <c r="B2514" s="128" t="str">
        <f t="shared" si="1852"/>
        <v>N</v>
      </c>
      <c r="C2514" s="128" t="str">
        <f t="shared" si="1853"/>
        <v>N</v>
      </c>
      <c r="D2514" s="117">
        <v>2585750</v>
      </c>
      <c r="E2514" s="135">
        <f t="shared" si="1854"/>
        <v>2</v>
      </c>
      <c r="F2514" s="124">
        <v>40922</v>
      </c>
      <c r="G2514" s="125">
        <v>41051</v>
      </c>
      <c r="H2514" s="117">
        <v>2585750</v>
      </c>
      <c r="I2514" s="124">
        <v>40923</v>
      </c>
      <c r="J2514" s="124">
        <v>40923</v>
      </c>
      <c r="K2514" s="126">
        <v>2000</v>
      </c>
      <c r="L2514" s="127" t="s">
        <v>568</v>
      </c>
      <c r="M2514" s="125">
        <v>40923</v>
      </c>
      <c r="N2514" s="129" t="str">
        <f t="shared" si="1840"/>
        <v>Y</v>
      </c>
      <c r="O2514" s="128" t="s">
        <v>76</v>
      </c>
      <c r="P2514" s="129" t="s">
        <v>589</v>
      </c>
      <c r="Q2514" s="111">
        <f t="shared" si="1836"/>
        <v>1</v>
      </c>
      <c r="R2514" s="111">
        <f t="shared" si="1837"/>
        <v>130</v>
      </c>
      <c r="S2514" s="129">
        <v>0</v>
      </c>
      <c r="T2514" s="129">
        <v>1</v>
      </c>
      <c r="W2514" s="111"/>
      <c r="AC2514" s="130"/>
      <c r="AD2514" s="130">
        <v>33952</v>
      </c>
      <c r="AE2514" s="128" t="s">
        <v>46</v>
      </c>
      <c r="AF2514" s="128" t="s">
        <v>33</v>
      </c>
      <c r="AG2514" s="128" t="s">
        <v>872</v>
      </c>
      <c r="AH2514" s="108" t="s">
        <v>58</v>
      </c>
      <c r="AI2514" s="128" t="s">
        <v>100</v>
      </c>
      <c r="AJ2514" s="129" t="s">
        <v>48</v>
      </c>
      <c r="AK2514" s="129">
        <v>5</v>
      </c>
      <c r="AL2514" s="3" t="s">
        <v>48</v>
      </c>
      <c r="AP2514" s="129" t="s">
        <v>108</v>
      </c>
      <c r="AR2514" s="128" t="s">
        <v>44</v>
      </c>
      <c r="AS2514" s="129" t="s">
        <v>61</v>
      </c>
      <c r="BC2514" s="129" t="s">
        <v>52</v>
      </c>
      <c r="BF2514" s="111">
        <f t="shared" si="1841"/>
        <v>1</v>
      </c>
      <c r="BG2514" s="111">
        <f t="shared" si="1842"/>
        <v>129</v>
      </c>
      <c r="BH2514" s="111">
        <f t="shared" si="1838"/>
        <v>130</v>
      </c>
      <c r="BI2514" s="111">
        <f t="shared" si="1844"/>
        <v>19.043715846994534</v>
      </c>
      <c r="BJ2514" s="129">
        <f>(G2514-J2514)+(M2514-G2514)</f>
        <v>0</v>
      </c>
      <c r="BK2514" s="129">
        <f t="shared" si="1839"/>
        <v>-128</v>
      </c>
      <c r="BL2514" s="129" t="str">
        <f t="shared" si="1835"/>
        <v>DEFERRED</v>
      </c>
      <c r="BM2514" s="129" t="s">
        <v>76</v>
      </c>
      <c r="BN2514" s="129" t="s">
        <v>88</v>
      </c>
      <c r="BP2514" s="137" t="str">
        <f t="shared" si="1846"/>
        <v>DEFERRED</v>
      </c>
      <c r="BQ2514" s="128" t="str">
        <f t="shared" si="1856"/>
        <v>Y</v>
      </c>
      <c r="BR2514" s="129" t="str">
        <f t="shared" si="1847"/>
        <v>ON BOND</v>
      </c>
      <c r="BS2514" s="129" t="str">
        <f t="shared" si="1848"/>
        <v>DISPOSED</v>
      </c>
      <c r="BT2514" s="129" t="str">
        <f t="shared" si="1849"/>
        <v>N</v>
      </c>
      <c r="BU2514" s="109">
        <f t="shared" si="1850"/>
        <v>7.6923076923076927E-3</v>
      </c>
      <c r="BV2514" s="109">
        <f t="shared" si="1857"/>
        <v>7.7519379844961239E-3</v>
      </c>
      <c r="BW2514" s="109">
        <f t="shared" si="1832"/>
        <v>5.9630292188431189E-5</v>
      </c>
      <c r="BX2514" s="111">
        <f t="shared" si="1851"/>
        <v>0</v>
      </c>
      <c r="BY2514" s="129">
        <f t="shared" si="1858"/>
        <v>-1</v>
      </c>
      <c r="BZ2514" s="111">
        <f t="shared" si="1859"/>
        <v>0</v>
      </c>
      <c r="CA2514" s="138">
        <f t="shared" si="1860"/>
        <v>1</v>
      </c>
      <c r="CB2514" s="111" t="e">
        <f t="shared" si="1843"/>
        <v>#VALUE!</v>
      </c>
      <c r="CC2514" s="129">
        <f>M2514-I2514+1</f>
        <v>1</v>
      </c>
      <c r="CD2514" s="111">
        <f>CC2514-BF2514</f>
        <v>0</v>
      </c>
      <c r="CG2514" s="129" t="str">
        <f t="shared" si="1861"/>
        <v>Y</v>
      </c>
      <c r="CI2514" s="129" t="str">
        <f t="shared" si="1862"/>
        <v>0-10 DAYS</v>
      </c>
      <c r="CJ2514" s="137">
        <f t="shared" si="1863"/>
        <v>1</v>
      </c>
      <c r="CK2514" s="129" t="str">
        <f t="shared" si="1864"/>
        <v>Booked</v>
      </c>
    </row>
    <row r="2515" spans="1:89" ht="15" customHeight="1" x14ac:dyDescent="0.25">
      <c r="A2515" s="111">
        <v>1158</v>
      </c>
      <c r="B2515" s="128" t="str">
        <f t="shared" si="1852"/>
        <v>N</v>
      </c>
      <c r="C2515" s="128" t="str">
        <f t="shared" si="1853"/>
        <v>N</v>
      </c>
      <c r="D2515" s="117">
        <v>2585794</v>
      </c>
      <c r="E2515" s="135">
        <f t="shared" si="1854"/>
        <v>2</v>
      </c>
      <c r="F2515" s="124">
        <v>40950</v>
      </c>
      <c r="G2515" s="125">
        <v>41060</v>
      </c>
      <c r="H2515" s="117">
        <v>2585794</v>
      </c>
      <c r="I2515" s="124">
        <v>40950</v>
      </c>
      <c r="J2515" s="124">
        <v>41060</v>
      </c>
      <c r="K2515" s="126">
        <v>30000</v>
      </c>
      <c r="L2515" s="129" t="s">
        <v>572</v>
      </c>
      <c r="N2515" s="129" t="str">
        <f t="shared" si="1840"/>
        <v>N</v>
      </c>
      <c r="O2515" s="128" t="s">
        <v>917</v>
      </c>
      <c r="P2515" s="129" t="s">
        <v>589</v>
      </c>
      <c r="Q2515" s="111">
        <f t="shared" si="1836"/>
        <v>111</v>
      </c>
      <c r="R2515" s="111">
        <f t="shared" si="1837"/>
        <v>111</v>
      </c>
      <c r="S2515" s="129">
        <v>0</v>
      </c>
      <c r="T2515" s="129">
        <v>2</v>
      </c>
      <c r="W2515" s="111"/>
      <c r="AC2515" s="130"/>
      <c r="AD2515" s="130">
        <v>33967</v>
      </c>
      <c r="AE2515" s="128" t="s">
        <v>32</v>
      </c>
      <c r="AF2515" s="128" t="s">
        <v>33</v>
      </c>
      <c r="AG2515" s="128" t="s">
        <v>872</v>
      </c>
      <c r="AH2515" s="108" t="s">
        <v>31</v>
      </c>
      <c r="AI2515" s="128" t="s">
        <v>95</v>
      </c>
      <c r="AJ2515" s="129" t="s">
        <v>48</v>
      </c>
      <c r="AK2515" s="129">
        <v>7</v>
      </c>
      <c r="AL2515" s="3" t="s">
        <v>48</v>
      </c>
      <c r="AP2515" s="129" t="s">
        <v>105</v>
      </c>
      <c r="AR2515" s="128" t="s">
        <v>92</v>
      </c>
      <c r="AS2515" s="129" t="s">
        <v>106</v>
      </c>
      <c r="BC2515" s="129" t="s">
        <v>38</v>
      </c>
      <c r="BF2515" s="111">
        <f t="shared" si="1841"/>
        <v>111</v>
      </c>
      <c r="BG2515" s="111">
        <f t="shared" si="1842"/>
        <v>111</v>
      </c>
      <c r="BH2515" s="111">
        <f t="shared" si="1838"/>
        <v>111</v>
      </c>
      <c r="BI2515" s="111">
        <f t="shared" si="1844"/>
        <v>19.079234972677597</v>
      </c>
      <c r="BJ2515" s="129">
        <f t="shared" si="1855"/>
        <v>0</v>
      </c>
      <c r="BK2515" s="129">
        <f t="shared" si="1839"/>
        <v>0</v>
      </c>
      <c r="BL2515" s="129" t="str">
        <f t="shared" si="1835"/>
        <v>DEFERRED</v>
      </c>
      <c r="BM2515" s="129" t="str">
        <f t="shared" si="1845"/>
        <v>NONE</v>
      </c>
      <c r="BN2515" s="129" t="s">
        <v>566</v>
      </c>
      <c r="BP2515" s="137" t="str">
        <f t="shared" si="1846"/>
        <v>DEFERRED</v>
      </c>
      <c r="BQ2515" s="128" t="str">
        <f t="shared" si="1856"/>
        <v>Y</v>
      </c>
      <c r="BR2515" s="129" t="str">
        <f t="shared" si="1847"/>
        <v>DETAINED</v>
      </c>
      <c r="BS2515" s="129" t="str">
        <f t="shared" si="1848"/>
        <v>DISPOSED</v>
      </c>
      <c r="BT2515" s="129" t="str">
        <f t="shared" si="1849"/>
        <v>N</v>
      </c>
      <c r="BU2515" s="109">
        <f t="shared" si="1850"/>
        <v>1</v>
      </c>
      <c r="BV2515" s="109">
        <f t="shared" si="1857"/>
        <v>1</v>
      </c>
      <c r="BW2515" s="109">
        <f t="shared" si="1832"/>
        <v>0</v>
      </c>
      <c r="BX2515" s="111">
        <f t="shared" si="1851"/>
        <v>0</v>
      </c>
      <c r="BY2515" s="129">
        <f t="shared" si="1858"/>
        <v>-111</v>
      </c>
      <c r="BZ2515" s="111">
        <f t="shared" si="1859"/>
        <v>0</v>
      </c>
      <c r="CA2515" s="138">
        <f t="shared" si="1860"/>
        <v>111</v>
      </c>
      <c r="CB2515" s="111" t="e">
        <f t="shared" si="1843"/>
        <v>#VALUE!</v>
      </c>
      <c r="CC2515" s="129">
        <f>G2515-I2515+1</f>
        <v>111</v>
      </c>
      <c r="CD2515" s="129">
        <f>G2515-J2515</f>
        <v>0</v>
      </c>
      <c r="CG2515" s="129" t="str">
        <f t="shared" si="1861"/>
        <v>Y</v>
      </c>
      <c r="CI2515" s="129" t="str">
        <f t="shared" si="1862"/>
        <v>91-120 DAYS</v>
      </c>
      <c r="CJ2515" s="137">
        <f t="shared" si="1863"/>
        <v>0</v>
      </c>
      <c r="CK2515" s="129" t="str">
        <f t="shared" si="1864"/>
        <v>Booked</v>
      </c>
    </row>
    <row r="2516" spans="1:89" ht="15" customHeight="1" x14ac:dyDescent="0.25">
      <c r="A2516" s="111">
        <v>1920</v>
      </c>
      <c r="B2516" s="128" t="str">
        <f t="shared" si="1852"/>
        <v>N</v>
      </c>
      <c r="C2516" s="128" t="str">
        <f t="shared" si="1853"/>
        <v>N</v>
      </c>
      <c r="D2516" s="117">
        <v>2586060</v>
      </c>
      <c r="E2516" s="135">
        <f t="shared" si="1854"/>
        <v>5</v>
      </c>
      <c r="F2516" s="124">
        <v>40980</v>
      </c>
      <c r="G2516" s="125">
        <v>40998</v>
      </c>
      <c r="H2516" s="117">
        <v>2586060</v>
      </c>
      <c r="I2516" s="124">
        <v>40981</v>
      </c>
      <c r="J2516" s="124">
        <v>40998</v>
      </c>
      <c r="K2516" s="126">
        <v>2000</v>
      </c>
      <c r="L2516" s="127" t="s">
        <v>568</v>
      </c>
      <c r="N2516" s="129" t="str">
        <f t="shared" si="1840"/>
        <v>N</v>
      </c>
      <c r="O2516" s="128" t="s">
        <v>917</v>
      </c>
      <c r="P2516" s="129" t="s">
        <v>39</v>
      </c>
      <c r="Q2516" s="111">
        <f t="shared" si="1836"/>
        <v>18</v>
      </c>
      <c r="R2516" s="111">
        <f t="shared" si="1837"/>
        <v>19</v>
      </c>
      <c r="S2516" s="129">
        <v>0</v>
      </c>
      <c r="T2516" s="129">
        <v>1</v>
      </c>
      <c r="W2516" s="111"/>
      <c r="AC2516" s="130"/>
      <c r="AD2516" s="130">
        <v>34400</v>
      </c>
      <c r="AE2516" s="128" t="s">
        <v>32</v>
      </c>
      <c r="AF2516" s="128" t="s">
        <v>192</v>
      </c>
      <c r="AG2516" s="128" t="s">
        <v>873</v>
      </c>
      <c r="AH2516" s="108" t="s">
        <v>31</v>
      </c>
      <c r="AI2516" s="128" t="s">
        <v>97</v>
      </c>
      <c r="AJ2516" s="129" t="s">
        <v>89</v>
      </c>
      <c r="AK2516" s="129">
        <v>2</v>
      </c>
      <c r="AL2516" s="3" t="s">
        <v>992</v>
      </c>
      <c r="AN2516" s="117">
        <v>6</v>
      </c>
      <c r="AP2516" s="129" t="s">
        <v>121</v>
      </c>
      <c r="AR2516" s="128" t="s">
        <v>44</v>
      </c>
      <c r="AS2516" s="129" t="s">
        <v>122</v>
      </c>
      <c r="BC2516" s="129" t="s">
        <v>99</v>
      </c>
      <c r="BF2516" s="111">
        <f t="shared" si="1841"/>
        <v>18</v>
      </c>
      <c r="BG2516" s="111">
        <f t="shared" si="1842"/>
        <v>18</v>
      </c>
      <c r="BH2516" s="111">
        <f t="shared" si="1838"/>
        <v>19</v>
      </c>
      <c r="BI2516" s="111">
        <f t="shared" si="1844"/>
        <v>17.978142076502731</v>
      </c>
      <c r="BJ2516" s="129">
        <f t="shared" si="1855"/>
        <v>0</v>
      </c>
      <c r="BK2516" s="129">
        <f t="shared" si="1839"/>
        <v>0</v>
      </c>
      <c r="BL2516" s="129" t="str">
        <f t="shared" si="1835"/>
        <v>CONVICTION</v>
      </c>
      <c r="BM2516" s="129" t="str">
        <f t="shared" si="1845"/>
        <v>NONE</v>
      </c>
      <c r="BN2516" s="129" t="s">
        <v>566</v>
      </c>
      <c r="BP2516" s="137" t="str">
        <f t="shared" si="1846"/>
        <v>CONVICTION</v>
      </c>
      <c r="BQ2516" s="128" t="str">
        <f t="shared" si="1856"/>
        <v>Y</v>
      </c>
      <c r="BR2516" s="129" t="str">
        <f t="shared" si="1847"/>
        <v>DETAINED</v>
      </c>
      <c r="BS2516" s="129" t="str">
        <f t="shared" si="1848"/>
        <v>DISPOSED</v>
      </c>
      <c r="BT2516" s="129" t="str">
        <f t="shared" si="1849"/>
        <v>N</v>
      </c>
      <c r="BU2516" s="109">
        <f t="shared" si="1850"/>
        <v>0.94736842105263153</v>
      </c>
      <c r="BV2516" s="109">
        <f t="shared" si="1857"/>
        <v>1</v>
      </c>
      <c r="BW2516" s="109">
        <f t="shared" si="1832"/>
        <v>5.2631578947368474E-2</v>
      </c>
      <c r="BX2516" s="111">
        <f t="shared" si="1851"/>
        <v>0</v>
      </c>
      <c r="BY2516" s="129">
        <f t="shared" si="1858"/>
        <v>-18</v>
      </c>
      <c r="BZ2516" s="111">
        <f t="shared" si="1859"/>
        <v>0</v>
      </c>
      <c r="CA2516" s="138">
        <f t="shared" si="1860"/>
        <v>18</v>
      </c>
      <c r="CB2516" s="111" t="e">
        <f t="shared" si="1843"/>
        <v>#VALUE!</v>
      </c>
      <c r="CC2516" s="129">
        <f>G2516-I2516+1</f>
        <v>18</v>
      </c>
      <c r="CD2516" s="129">
        <f>G2516-J2516</f>
        <v>0</v>
      </c>
      <c r="CG2516" s="129" t="str">
        <f t="shared" si="1861"/>
        <v>Y</v>
      </c>
      <c r="CI2516" s="129" t="str">
        <f t="shared" si="1862"/>
        <v>11-30 DAYS</v>
      </c>
      <c r="CJ2516" s="137">
        <f t="shared" si="1863"/>
        <v>2</v>
      </c>
      <c r="CK2516" s="129" t="str">
        <f t="shared" si="1864"/>
        <v>Booked</v>
      </c>
    </row>
    <row r="2517" spans="1:89" ht="15.75" customHeight="1" x14ac:dyDescent="0.25">
      <c r="A2517" s="111">
        <v>2236</v>
      </c>
      <c r="B2517" s="128" t="str">
        <f t="shared" si="1852"/>
        <v>N</v>
      </c>
      <c r="C2517" s="128" t="str">
        <f t="shared" si="1853"/>
        <v>N</v>
      </c>
      <c r="D2517" s="117">
        <v>2586462</v>
      </c>
      <c r="E2517" s="135">
        <f t="shared" si="1854"/>
        <v>6</v>
      </c>
      <c r="F2517" s="124">
        <v>40993</v>
      </c>
      <c r="G2517" s="125">
        <v>41128</v>
      </c>
      <c r="H2517" s="117">
        <v>2586462</v>
      </c>
      <c r="I2517" s="124">
        <v>40993</v>
      </c>
      <c r="J2517" s="124">
        <v>41128</v>
      </c>
      <c r="K2517" s="126" t="s">
        <v>564</v>
      </c>
      <c r="L2517" s="127" t="s">
        <v>564</v>
      </c>
      <c r="N2517" s="129" t="s">
        <v>566</v>
      </c>
      <c r="O2517" s="128" t="s">
        <v>917</v>
      </c>
      <c r="P2517" s="129" t="s">
        <v>39</v>
      </c>
      <c r="Q2517" s="111">
        <f t="shared" si="1836"/>
        <v>136</v>
      </c>
      <c r="R2517" s="111">
        <f t="shared" si="1837"/>
        <v>136</v>
      </c>
      <c r="S2517" s="129">
        <v>0</v>
      </c>
      <c r="T2517" s="129">
        <v>0</v>
      </c>
      <c r="W2517" s="111"/>
      <c r="AC2517" s="130"/>
      <c r="AD2517" s="130">
        <v>33418</v>
      </c>
      <c r="AE2517" s="128" t="s">
        <v>32</v>
      </c>
      <c r="AF2517" s="128" t="s">
        <v>33</v>
      </c>
      <c r="AG2517" s="128" t="s">
        <v>872</v>
      </c>
      <c r="AH2517" s="108" t="s">
        <v>31</v>
      </c>
      <c r="AI2517" s="128" t="s">
        <v>83</v>
      </c>
      <c r="AJ2517" s="129" t="s">
        <v>89</v>
      </c>
      <c r="AK2517" s="129">
        <v>5</v>
      </c>
      <c r="AL2517" s="3" t="s">
        <v>362</v>
      </c>
      <c r="AM2517" s="117">
        <v>5</v>
      </c>
      <c r="AP2517" s="129" t="s">
        <v>105</v>
      </c>
      <c r="AR2517" s="128" t="s">
        <v>92</v>
      </c>
      <c r="AS2517" s="129" t="s">
        <v>106</v>
      </c>
      <c r="BC2517" s="129" t="s">
        <v>38</v>
      </c>
      <c r="BF2517" s="111">
        <f t="shared" si="1841"/>
        <v>136</v>
      </c>
      <c r="BG2517" s="111">
        <f t="shared" si="1842"/>
        <v>136</v>
      </c>
      <c r="BH2517" s="111">
        <f t="shared" si="1838"/>
        <v>136</v>
      </c>
      <c r="BI2517" s="111">
        <f t="shared" si="1844"/>
        <v>20.696721311475411</v>
      </c>
      <c r="BJ2517" s="129">
        <f t="shared" si="1855"/>
        <v>0</v>
      </c>
      <c r="BK2517" s="129">
        <f t="shared" si="1839"/>
        <v>0</v>
      </c>
      <c r="BL2517" s="129" t="str">
        <f t="shared" si="1835"/>
        <v>CONVICTION</v>
      </c>
      <c r="BM2517" s="129" t="str">
        <f t="shared" si="1845"/>
        <v>NONE</v>
      </c>
      <c r="BN2517" s="129" t="s">
        <v>566</v>
      </c>
      <c r="BP2517" s="137" t="str">
        <f t="shared" si="1846"/>
        <v>CONVICTION</v>
      </c>
      <c r="BQ2517" s="128" t="str">
        <f t="shared" si="1856"/>
        <v>Y</v>
      </c>
      <c r="BR2517" s="129" t="str">
        <f t="shared" si="1847"/>
        <v>DETAINED</v>
      </c>
      <c r="BS2517" s="129" t="str">
        <f t="shared" si="1848"/>
        <v>DISPOSED</v>
      </c>
      <c r="BT2517" s="129" t="str">
        <f t="shared" si="1849"/>
        <v>N</v>
      </c>
      <c r="BU2517" s="109">
        <f t="shared" si="1850"/>
        <v>1</v>
      </c>
      <c r="BV2517" s="109">
        <f t="shared" si="1857"/>
        <v>1</v>
      </c>
      <c r="BW2517" s="109">
        <f t="shared" si="1832"/>
        <v>0</v>
      </c>
      <c r="BX2517" s="111">
        <f t="shared" si="1851"/>
        <v>0</v>
      </c>
      <c r="BY2517" s="129">
        <f t="shared" si="1858"/>
        <v>-136</v>
      </c>
      <c r="BZ2517" s="111">
        <f t="shared" si="1859"/>
        <v>0</v>
      </c>
      <c r="CA2517" s="138">
        <f t="shared" si="1860"/>
        <v>136</v>
      </c>
      <c r="CB2517" s="111" t="e">
        <f t="shared" si="1843"/>
        <v>#VALUE!</v>
      </c>
      <c r="CC2517" s="129">
        <f>G2517-I2517+1</f>
        <v>136</v>
      </c>
      <c r="CD2517" s="129">
        <f>G2517-J2517</f>
        <v>0</v>
      </c>
      <c r="CG2517" s="129" t="str">
        <f t="shared" si="1861"/>
        <v>N</v>
      </c>
      <c r="CI2517" s="129" t="str">
        <f t="shared" si="1862"/>
        <v>121-365 DAYS</v>
      </c>
      <c r="CJ2517" s="137">
        <f t="shared" si="1863"/>
        <v>6</v>
      </c>
      <c r="CK2517" s="129" t="str">
        <f t="shared" si="1864"/>
        <v>Booked</v>
      </c>
    </row>
    <row r="2518" spans="1:89" ht="15.75" customHeight="1" x14ac:dyDescent="0.25">
      <c r="A2518" s="111">
        <v>2921</v>
      </c>
      <c r="B2518" s="128" t="str">
        <f t="shared" si="1852"/>
        <v>N</v>
      </c>
      <c r="C2518" s="128" t="str">
        <f t="shared" si="1853"/>
        <v>N</v>
      </c>
      <c r="D2518" s="117">
        <v>2587532</v>
      </c>
      <c r="E2518" s="135">
        <f t="shared" si="1854"/>
        <v>4</v>
      </c>
      <c r="F2518" s="124">
        <v>41017</v>
      </c>
      <c r="G2518" s="125">
        <v>41088</v>
      </c>
      <c r="H2518" s="117">
        <v>2587532</v>
      </c>
      <c r="I2518" s="124">
        <v>41017</v>
      </c>
      <c r="J2518" s="124">
        <v>41088</v>
      </c>
      <c r="K2518" s="126" t="s">
        <v>564</v>
      </c>
      <c r="L2518" s="127" t="s">
        <v>564</v>
      </c>
      <c r="N2518" s="129" t="s">
        <v>566</v>
      </c>
      <c r="O2518" s="128" t="s">
        <v>917</v>
      </c>
      <c r="P2518" s="129" t="s">
        <v>39</v>
      </c>
      <c r="Q2518" s="111">
        <f t="shared" si="1836"/>
        <v>72</v>
      </c>
      <c r="R2518" s="111">
        <f t="shared" si="1837"/>
        <v>72</v>
      </c>
      <c r="S2518" s="129">
        <v>0</v>
      </c>
      <c r="T2518" s="129">
        <v>0</v>
      </c>
      <c r="W2518" s="111"/>
      <c r="AC2518" s="130"/>
      <c r="AD2518" s="130">
        <v>32608</v>
      </c>
      <c r="AE2518" s="128" t="s">
        <v>32</v>
      </c>
      <c r="AF2518" s="128" t="s">
        <v>33</v>
      </c>
      <c r="AG2518" s="128" t="s">
        <v>872</v>
      </c>
      <c r="AH2518" s="108" t="s">
        <v>58</v>
      </c>
      <c r="AI2518" s="128" t="s">
        <v>118</v>
      </c>
      <c r="AJ2518" s="129" t="s">
        <v>89</v>
      </c>
      <c r="AK2518" s="129">
        <v>3</v>
      </c>
      <c r="AL2518" s="3" t="s">
        <v>991</v>
      </c>
      <c r="AO2518" s="128">
        <v>180</v>
      </c>
      <c r="AP2518" s="129" t="s">
        <v>110</v>
      </c>
      <c r="AR2518" s="128" t="s">
        <v>50</v>
      </c>
      <c r="AS2518" s="129" t="s">
        <v>74</v>
      </c>
      <c r="BC2518" s="129" t="s">
        <v>38</v>
      </c>
      <c r="BF2518" s="111">
        <f t="shared" si="1841"/>
        <v>72</v>
      </c>
      <c r="BG2518" s="111">
        <f t="shared" si="1842"/>
        <v>72</v>
      </c>
      <c r="BH2518" s="111">
        <f t="shared" si="1838"/>
        <v>72</v>
      </c>
      <c r="BI2518" s="111">
        <f t="shared" si="1844"/>
        <v>22.975409836065573</v>
      </c>
      <c r="BJ2518" s="129">
        <f t="shared" si="1855"/>
        <v>0</v>
      </c>
      <c r="BK2518" s="129">
        <f t="shared" si="1839"/>
        <v>0</v>
      </c>
      <c r="BL2518" s="129" t="str">
        <f t="shared" si="1835"/>
        <v>CONVICTION</v>
      </c>
      <c r="BM2518" s="129" t="str">
        <f t="shared" si="1845"/>
        <v>NONE</v>
      </c>
      <c r="BN2518" s="129" t="s">
        <v>566</v>
      </c>
      <c r="BP2518" s="137" t="str">
        <f t="shared" si="1846"/>
        <v>CONVICTION</v>
      </c>
      <c r="BQ2518" s="128" t="str">
        <f t="shared" si="1856"/>
        <v>Y</v>
      </c>
      <c r="BR2518" s="129" t="str">
        <f t="shared" si="1847"/>
        <v>DETAINED</v>
      </c>
      <c r="BS2518" s="129" t="str">
        <f t="shared" si="1848"/>
        <v>DISPOSED</v>
      </c>
      <c r="BT2518" s="129" t="str">
        <f t="shared" si="1849"/>
        <v>N</v>
      </c>
      <c r="BU2518" s="109">
        <f t="shared" si="1850"/>
        <v>1</v>
      </c>
      <c r="BV2518" s="109">
        <f t="shared" si="1857"/>
        <v>1</v>
      </c>
      <c r="BW2518" s="109">
        <f t="shared" si="1832"/>
        <v>0</v>
      </c>
      <c r="BX2518" s="111">
        <f t="shared" si="1851"/>
        <v>0</v>
      </c>
      <c r="BY2518" s="129">
        <f t="shared" si="1858"/>
        <v>-72</v>
      </c>
      <c r="BZ2518" s="111">
        <f t="shared" si="1859"/>
        <v>0</v>
      </c>
      <c r="CA2518" s="138">
        <f t="shared" si="1860"/>
        <v>72</v>
      </c>
      <c r="CB2518" s="111" t="e">
        <f t="shared" si="1843"/>
        <v>#VALUE!</v>
      </c>
      <c r="CC2518" s="129">
        <f>G2518-I2518+1</f>
        <v>72</v>
      </c>
      <c r="CD2518" s="129">
        <f>G2518-J2518</f>
        <v>0</v>
      </c>
      <c r="CG2518" s="129" t="str">
        <f t="shared" si="1861"/>
        <v>N</v>
      </c>
      <c r="CI2518" s="129" t="str">
        <f t="shared" si="1862"/>
        <v>61-90 DAYS</v>
      </c>
      <c r="CJ2518" s="137">
        <f t="shared" si="1863"/>
        <v>4</v>
      </c>
      <c r="CK2518" s="129" t="str">
        <f t="shared" si="1864"/>
        <v>Booked</v>
      </c>
    </row>
    <row r="2519" spans="1:89" ht="15.75" customHeight="1" x14ac:dyDescent="0.25">
      <c r="A2519" s="111">
        <v>1420</v>
      </c>
      <c r="B2519" s="128" t="str">
        <f t="shared" si="1852"/>
        <v>N</v>
      </c>
      <c r="C2519" s="128" t="str">
        <f t="shared" si="1853"/>
        <v>N</v>
      </c>
      <c r="D2519" s="117">
        <v>2587540</v>
      </c>
      <c r="E2519" s="135">
        <f t="shared" si="1854"/>
        <v>2</v>
      </c>
      <c r="F2519" s="124">
        <v>40961</v>
      </c>
      <c r="G2519" s="125">
        <v>41242</v>
      </c>
      <c r="H2519" s="117">
        <v>2587540</v>
      </c>
      <c r="I2519" s="124">
        <v>40962</v>
      </c>
      <c r="J2519" s="124">
        <v>40964</v>
      </c>
      <c r="K2519" s="126">
        <v>2000</v>
      </c>
      <c r="L2519" s="127" t="s">
        <v>568</v>
      </c>
      <c r="M2519" s="125">
        <v>40964</v>
      </c>
      <c r="N2519" s="129" t="str">
        <f>IF(M2519&gt;1/1/1,"Y","N")</f>
        <v>Y</v>
      </c>
      <c r="O2519" s="128" t="s">
        <v>76</v>
      </c>
      <c r="P2519" s="129" t="s">
        <v>589</v>
      </c>
      <c r="Q2519" s="111">
        <f t="shared" si="1836"/>
        <v>3</v>
      </c>
      <c r="R2519" s="111">
        <f t="shared" si="1837"/>
        <v>282</v>
      </c>
      <c r="S2519" s="129">
        <v>0</v>
      </c>
      <c r="T2519" s="129">
        <v>0</v>
      </c>
      <c r="W2519" s="111"/>
      <c r="AC2519" s="130"/>
      <c r="AD2519" s="130">
        <v>34214</v>
      </c>
      <c r="AE2519" s="128" t="s">
        <v>46</v>
      </c>
      <c r="AF2519" s="128" t="s">
        <v>33</v>
      </c>
      <c r="AG2519" s="128" t="s">
        <v>872</v>
      </c>
      <c r="AH2519" s="108" t="s">
        <v>31</v>
      </c>
      <c r="AI2519" s="128" t="s">
        <v>47</v>
      </c>
      <c r="AJ2519" s="129" t="s">
        <v>48</v>
      </c>
      <c r="AK2519" s="129">
        <v>11</v>
      </c>
      <c r="AL2519" s="3" t="s">
        <v>48</v>
      </c>
      <c r="AP2519" s="129" t="s">
        <v>197</v>
      </c>
      <c r="AR2519" s="128" t="s">
        <v>44</v>
      </c>
      <c r="AS2519" s="129" t="s">
        <v>61</v>
      </c>
      <c r="BC2519" s="129" t="s">
        <v>52</v>
      </c>
      <c r="BF2519" s="111">
        <f t="shared" si="1841"/>
        <v>3</v>
      </c>
      <c r="BG2519" s="111">
        <f t="shared" si="1842"/>
        <v>281</v>
      </c>
      <c r="BH2519" s="111">
        <f t="shared" si="1838"/>
        <v>282</v>
      </c>
      <c r="BI2519" s="111">
        <f t="shared" si="1844"/>
        <v>18.434426229508198</v>
      </c>
      <c r="BJ2519" s="129">
        <f>(G2519-J2519)+(M2519-G2519)</f>
        <v>0</v>
      </c>
      <c r="BK2519" s="129">
        <f t="shared" si="1839"/>
        <v>-278</v>
      </c>
      <c r="BL2519" s="129" t="str">
        <f t="shared" si="1835"/>
        <v>DEFERRED</v>
      </c>
      <c r="BM2519" s="129" t="s">
        <v>76</v>
      </c>
      <c r="BN2519" s="129" t="s">
        <v>88</v>
      </c>
      <c r="BP2519" s="137" t="str">
        <f t="shared" si="1846"/>
        <v>DEFERRED</v>
      </c>
      <c r="BQ2519" s="128" t="str">
        <f t="shared" si="1856"/>
        <v>Y</v>
      </c>
      <c r="BR2519" s="129" t="str">
        <f t="shared" si="1847"/>
        <v>ON BOND</v>
      </c>
      <c r="BS2519" s="129" t="str">
        <f t="shared" si="1848"/>
        <v>DISPOSED</v>
      </c>
      <c r="BT2519" s="129" t="str">
        <f t="shared" si="1849"/>
        <v>N</v>
      </c>
      <c r="BU2519" s="109">
        <f t="shared" si="1850"/>
        <v>1.0638297872340425E-2</v>
      </c>
      <c r="BV2519" s="109">
        <f t="shared" si="1857"/>
        <v>1.0676156583629894E-2</v>
      </c>
      <c r="BW2519" s="109">
        <f t="shared" si="1832"/>
        <v>3.7858711289468286E-5</v>
      </c>
      <c r="BX2519" s="111">
        <f t="shared" si="1851"/>
        <v>0</v>
      </c>
      <c r="BY2519" s="129">
        <f t="shared" si="1858"/>
        <v>-3</v>
      </c>
      <c r="BZ2519" s="111">
        <f t="shared" si="1859"/>
        <v>0</v>
      </c>
      <c r="CA2519" s="138">
        <f t="shared" si="1860"/>
        <v>3</v>
      </c>
      <c r="CB2519" s="111" t="e">
        <f t="shared" si="1843"/>
        <v>#VALUE!</v>
      </c>
      <c r="CC2519" s="129">
        <f>M2519-I2519+1</f>
        <v>3</v>
      </c>
      <c r="CD2519" s="111">
        <f>CC2519-BF2519</f>
        <v>0</v>
      </c>
      <c r="CG2519" s="129" t="str">
        <f t="shared" si="1861"/>
        <v>N</v>
      </c>
      <c r="CI2519" s="129" t="str">
        <f t="shared" si="1862"/>
        <v>0-10 DAYS</v>
      </c>
      <c r="CJ2519" s="137">
        <f t="shared" si="1863"/>
        <v>1</v>
      </c>
      <c r="CK2519" s="129" t="str">
        <f t="shared" si="1864"/>
        <v>Booked</v>
      </c>
    </row>
    <row r="2520" spans="1:89" ht="15" customHeight="1" x14ac:dyDescent="0.25">
      <c r="A2520" s="111">
        <v>2015</v>
      </c>
      <c r="B2520" s="128" t="str">
        <f t="shared" si="1852"/>
        <v>N</v>
      </c>
      <c r="C2520" s="128" t="str">
        <f t="shared" si="1853"/>
        <v>N</v>
      </c>
      <c r="D2520" s="117">
        <v>2588145</v>
      </c>
      <c r="E2520" s="135">
        <f t="shared" si="1854"/>
        <v>5</v>
      </c>
      <c r="F2520" s="124">
        <v>40984</v>
      </c>
      <c r="G2520" s="125">
        <v>40987</v>
      </c>
      <c r="H2520" s="117">
        <v>2588145</v>
      </c>
      <c r="I2520" s="124">
        <v>40984</v>
      </c>
      <c r="J2520" s="124">
        <v>40987</v>
      </c>
      <c r="K2520" s="126">
        <v>15000</v>
      </c>
      <c r="L2520" s="127" t="s">
        <v>571</v>
      </c>
      <c r="N2520" s="129" t="str">
        <f>IF(M2520&gt;1/1/1,"Y","N")</f>
        <v>N</v>
      </c>
      <c r="O2520" s="128" t="s">
        <v>917</v>
      </c>
      <c r="P2520" s="129" t="s">
        <v>39</v>
      </c>
      <c r="Q2520" s="111">
        <f t="shared" si="1836"/>
        <v>4</v>
      </c>
      <c r="R2520" s="111">
        <f t="shared" si="1837"/>
        <v>4</v>
      </c>
      <c r="S2520" s="129">
        <v>0</v>
      </c>
      <c r="T2520" s="129">
        <v>1</v>
      </c>
      <c r="W2520" s="111"/>
      <c r="AC2520" s="130"/>
      <c r="AD2520" s="130">
        <v>25404</v>
      </c>
      <c r="AE2520" s="128" t="s">
        <v>32</v>
      </c>
      <c r="AF2520" s="128" t="s">
        <v>69</v>
      </c>
      <c r="AG2520" s="128" t="s">
        <v>874</v>
      </c>
      <c r="AH2520" s="108" t="s">
        <v>58</v>
      </c>
      <c r="AI2520" s="128" t="s">
        <v>113</v>
      </c>
      <c r="AJ2520" s="129" t="s">
        <v>89</v>
      </c>
      <c r="AK2520" s="129">
        <v>1</v>
      </c>
      <c r="AL2520" s="3" t="s">
        <v>992</v>
      </c>
      <c r="AN2520" s="117">
        <v>6</v>
      </c>
      <c r="AP2520" s="129" t="s">
        <v>63</v>
      </c>
      <c r="AR2520" s="128" t="s">
        <v>44</v>
      </c>
      <c r="AS2520" s="129" t="s">
        <v>64</v>
      </c>
      <c r="BC2520" s="129" t="s">
        <v>38</v>
      </c>
      <c r="BF2520" s="111">
        <f t="shared" si="1841"/>
        <v>4</v>
      </c>
      <c r="BG2520" s="111">
        <f t="shared" si="1842"/>
        <v>4</v>
      </c>
      <c r="BH2520" s="111">
        <f t="shared" si="1838"/>
        <v>4</v>
      </c>
      <c r="BI2520" s="111">
        <f t="shared" si="1844"/>
        <v>42.568306010928964</v>
      </c>
      <c r="BJ2520" s="129">
        <f t="shared" si="1855"/>
        <v>0</v>
      </c>
      <c r="BK2520" s="129">
        <f t="shared" si="1839"/>
        <v>0</v>
      </c>
      <c r="BL2520" s="129" t="str">
        <f t="shared" si="1835"/>
        <v>CONVICTION</v>
      </c>
      <c r="BM2520" s="129" t="str">
        <f t="shared" si="1845"/>
        <v>NONE</v>
      </c>
      <c r="BN2520" s="129" t="s">
        <v>566</v>
      </c>
      <c r="BP2520" s="137" t="str">
        <f t="shared" si="1846"/>
        <v>CONVICTION</v>
      </c>
      <c r="BQ2520" s="128" t="str">
        <f t="shared" si="1856"/>
        <v>Y</v>
      </c>
      <c r="BR2520" s="129" t="str">
        <f t="shared" si="1847"/>
        <v>DETAINED</v>
      </c>
      <c r="BS2520" s="129" t="str">
        <f t="shared" si="1848"/>
        <v>DISPOSED</v>
      </c>
      <c r="BT2520" s="129" t="str">
        <f t="shared" si="1849"/>
        <v>N</v>
      </c>
      <c r="BU2520" s="109">
        <f t="shared" si="1850"/>
        <v>1</v>
      </c>
      <c r="BV2520" s="109">
        <f t="shared" si="1857"/>
        <v>1</v>
      </c>
      <c r="BW2520" s="109">
        <f t="shared" si="1832"/>
        <v>0</v>
      </c>
      <c r="BX2520" s="111">
        <f t="shared" si="1851"/>
        <v>0</v>
      </c>
      <c r="BY2520" s="129">
        <f t="shared" si="1858"/>
        <v>-4</v>
      </c>
      <c r="BZ2520" s="111">
        <f t="shared" si="1859"/>
        <v>0</v>
      </c>
      <c r="CA2520" s="138">
        <f t="shared" si="1860"/>
        <v>4</v>
      </c>
      <c r="CB2520" s="111" t="e">
        <f t="shared" si="1843"/>
        <v>#VALUE!</v>
      </c>
      <c r="CC2520" s="129">
        <f>G2520-I2520+1</f>
        <v>4</v>
      </c>
      <c r="CD2520" s="129">
        <f>G2520-J2520</f>
        <v>0</v>
      </c>
      <c r="CG2520" s="129" t="str">
        <f t="shared" si="1861"/>
        <v>Y</v>
      </c>
      <c r="CI2520" s="129" t="str">
        <f t="shared" si="1862"/>
        <v>0-10 DAYS</v>
      </c>
      <c r="CJ2520" s="137">
        <f t="shared" si="1863"/>
        <v>1</v>
      </c>
      <c r="CK2520" s="129" t="str">
        <f t="shared" si="1864"/>
        <v>Booked</v>
      </c>
    </row>
    <row r="2521" spans="1:89" ht="15" customHeight="1" x14ac:dyDescent="0.25">
      <c r="A2521" s="111">
        <v>779</v>
      </c>
      <c r="B2521" s="128" t="str">
        <f t="shared" si="1852"/>
        <v>N</v>
      </c>
      <c r="C2521" s="128" t="str">
        <f t="shared" si="1853"/>
        <v>N</v>
      </c>
      <c r="D2521" s="117">
        <v>2588432</v>
      </c>
      <c r="E2521" s="135">
        <f t="shared" si="1854"/>
        <v>2</v>
      </c>
      <c r="F2521" s="124">
        <v>40939</v>
      </c>
      <c r="G2521" s="125">
        <v>40970</v>
      </c>
      <c r="H2521" s="117">
        <v>2588432</v>
      </c>
      <c r="I2521" s="124">
        <v>40943</v>
      </c>
      <c r="J2521" s="124">
        <v>40970</v>
      </c>
      <c r="K2521" s="126" t="s">
        <v>564</v>
      </c>
      <c r="L2521" s="127" t="s">
        <v>564</v>
      </c>
      <c r="N2521" s="129" t="s">
        <v>566</v>
      </c>
      <c r="O2521" s="128" t="s">
        <v>917</v>
      </c>
      <c r="P2521" s="129" t="s">
        <v>589</v>
      </c>
      <c r="Q2521" s="111">
        <f t="shared" si="1836"/>
        <v>28</v>
      </c>
      <c r="R2521" s="111">
        <f t="shared" si="1837"/>
        <v>32</v>
      </c>
      <c r="S2521" s="129">
        <v>0</v>
      </c>
      <c r="T2521" s="129">
        <v>1</v>
      </c>
      <c r="W2521" s="111"/>
      <c r="AC2521" s="130"/>
      <c r="AD2521" s="130">
        <v>33473</v>
      </c>
      <c r="AE2521" s="128" t="s">
        <v>32</v>
      </c>
      <c r="AF2521" s="128" t="s">
        <v>33</v>
      </c>
      <c r="AG2521" s="128" t="s">
        <v>872</v>
      </c>
      <c r="AH2521" s="108" t="s">
        <v>58</v>
      </c>
      <c r="AI2521" s="128" t="s">
        <v>97</v>
      </c>
      <c r="AJ2521" s="129" t="s">
        <v>48</v>
      </c>
      <c r="AK2521" s="129">
        <v>4</v>
      </c>
      <c r="AL2521" s="3" t="s">
        <v>48</v>
      </c>
      <c r="AP2521" s="129" t="s">
        <v>150</v>
      </c>
      <c r="AR2521" s="128" t="s">
        <v>67</v>
      </c>
      <c r="AS2521" s="129" t="s">
        <v>74</v>
      </c>
      <c r="BC2521" s="129" t="s">
        <v>99</v>
      </c>
      <c r="BF2521" s="111">
        <f t="shared" si="1841"/>
        <v>28</v>
      </c>
      <c r="BG2521" s="111">
        <f t="shared" si="1842"/>
        <v>28</v>
      </c>
      <c r="BH2521" s="111">
        <f t="shared" si="1838"/>
        <v>32</v>
      </c>
      <c r="BI2521" s="111">
        <f t="shared" si="1844"/>
        <v>20.398907103825138</v>
      </c>
      <c r="BJ2521" s="129">
        <f t="shared" si="1855"/>
        <v>0</v>
      </c>
      <c r="BK2521" s="129">
        <f t="shared" si="1839"/>
        <v>0</v>
      </c>
      <c r="BL2521" s="129" t="str">
        <f t="shared" si="1835"/>
        <v>DEFERRED</v>
      </c>
      <c r="BM2521" s="129" t="str">
        <f t="shared" si="1845"/>
        <v>NONE</v>
      </c>
      <c r="BN2521" s="129" t="s">
        <v>566</v>
      </c>
      <c r="BP2521" s="137" t="str">
        <f t="shared" si="1846"/>
        <v>DEFERRED</v>
      </c>
      <c r="BQ2521" s="128" t="str">
        <f t="shared" si="1856"/>
        <v>Y</v>
      </c>
      <c r="BR2521" s="129" t="str">
        <f t="shared" si="1847"/>
        <v>DETAINED</v>
      </c>
      <c r="BS2521" s="129" t="str">
        <f t="shared" si="1848"/>
        <v>DISPOSED</v>
      </c>
      <c r="BT2521" s="129" t="str">
        <f t="shared" si="1849"/>
        <v>N</v>
      </c>
      <c r="BU2521" s="109">
        <f t="shared" si="1850"/>
        <v>0.875</v>
      </c>
      <c r="BV2521" s="109">
        <f t="shared" si="1857"/>
        <v>1</v>
      </c>
      <c r="BW2521" s="109">
        <f t="shared" si="1832"/>
        <v>0.125</v>
      </c>
      <c r="BX2521" s="111">
        <f t="shared" si="1851"/>
        <v>0</v>
      </c>
      <c r="BY2521" s="129">
        <f t="shared" si="1858"/>
        <v>-28</v>
      </c>
      <c r="BZ2521" s="111">
        <f t="shared" si="1859"/>
        <v>0</v>
      </c>
      <c r="CA2521" s="138">
        <f t="shared" si="1860"/>
        <v>28</v>
      </c>
      <c r="CB2521" s="111" t="e">
        <f t="shared" si="1843"/>
        <v>#VALUE!</v>
      </c>
      <c r="CC2521" s="129">
        <f>G2521-I2521+1</f>
        <v>28</v>
      </c>
      <c r="CD2521" s="129">
        <f>G2521-J2521</f>
        <v>0</v>
      </c>
      <c r="CG2521" s="129" t="str">
        <f t="shared" si="1861"/>
        <v>Y</v>
      </c>
      <c r="CI2521" s="129" t="str">
        <f t="shared" si="1862"/>
        <v>11-30 DAYS</v>
      </c>
      <c r="CJ2521" s="137">
        <f t="shared" si="1863"/>
        <v>2</v>
      </c>
      <c r="CK2521" s="129" t="str">
        <f t="shared" si="1864"/>
        <v>Booked</v>
      </c>
    </row>
    <row r="2522" spans="1:89" ht="15.75" customHeight="1" x14ac:dyDescent="0.25">
      <c r="A2522" s="111">
        <v>131</v>
      </c>
      <c r="B2522" s="128" t="str">
        <f t="shared" si="1852"/>
        <v>N</v>
      </c>
      <c r="C2522" s="128" t="str">
        <f t="shared" si="1853"/>
        <v>N</v>
      </c>
      <c r="D2522" s="117">
        <v>2588605</v>
      </c>
      <c r="E2522" s="135">
        <f t="shared" si="1854"/>
        <v>2</v>
      </c>
      <c r="F2522" s="124">
        <v>40914</v>
      </c>
      <c r="G2522" s="125">
        <v>40980</v>
      </c>
      <c r="H2522" s="117">
        <v>2588605</v>
      </c>
      <c r="I2522" s="124">
        <v>40917</v>
      </c>
      <c r="J2522" s="124">
        <v>40918</v>
      </c>
      <c r="K2522" s="126">
        <v>10000</v>
      </c>
      <c r="L2522" s="127" t="s">
        <v>570</v>
      </c>
      <c r="M2522" s="125">
        <v>40918</v>
      </c>
      <c r="N2522" s="129" t="str">
        <f>IF(M2522&gt;1/1/1,"Y","N")</f>
        <v>Y</v>
      </c>
      <c r="O2522" s="128" t="s">
        <v>76</v>
      </c>
      <c r="P2522" s="129" t="s">
        <v>589</v>
      </c>
      <c r="Q2522" s="111">
        <f t="shared" si="1836"/>
        <v>2</v>
      </c>
      <c r="R2522" s="111">
        <f t="shared" si="1837"/>
        <v>67</v>
      </c>
      <c r="S2522" s="129">
        <v>0</v>
      </c>
      <c r="T2522" s="129">
        <v>0</v>
      </c>
      <c r="W2522" s="111"/>
      <c r="AC2522" s="130"/>
      <c r="AD2522" s="130">
        <v>34174</v>
      </c>
      <c r="AE2522" s="128" t="s">
        <v>32</v>
      </c>
      <c r="AF2522" s="128" t="s">
        <v>40</v>
      </c>
      <c r="AG2522" s="128" t="s">
        <v>41</v>
      </c>
      <c r="AH2522" s="108" t="s">
        <v>41</v>
      </c>
      <c r="AI2522" s="128" t="s">
        <v>85</v>
      </c>
      <c r="AJ2522" s="129" t="s">
        <v>48</v>
      </c>
      <c r="AK2522" s="129">
        <v>5</v>
      </c>
      <c r="AL2522" s="3" t="s">
        <v>48</v>
      </c>
      <c r="AP2522" s="129" t="s">
        <v>56</v>
      </c>
      <c r="AR2522" s="128" t="s">
        <v>50</v>
      </c>
      <c r="AS2522" s="129" t="s">
        <v>57</v>
      </c>
      <c r="BC2522" s="129" t="s">
        <v>52</v>
      </c>
      <c r="BF2522" s="111">
        <f t="shared" si="1841"/>
        <v>2</v>
      </c>
      <c r="BG2522" s="111">
        <f t="shared" si="1842"/>
        <v>64</v>
      </c>
      <c r="BH2522" s="111">
        <f t="shared" si="1838"/>
        <v>67</v>
      </c>
      <c r="BI2522" s="111">
        <f t="shared" si="1844"/>
        <v>18.415300546448087</v>
      </c>
      <c r="BJ2522" s="129">
        <f>(G2522-J2522)+(M2522-G2522)</f>
        <v>0</v>
      </c>
      <c r="BK2522" s="129">
        <f t="shared" si="1839"/>
        <v>-62</v>
      </c>
      <c r="BL2522" s="129" t="str">
        <f t="shared" si="1835"/>
        <v>DEFERRED</v>
      </c>
      <c r="BM2522" s="129" t="s">
        <v>76</v>
      </c>
      <c r="BN2522" s="129" t="s">
        <v>88</v>
      </c>
      <c r="BP2522" s="137" t="str">
        <f t="shared" si="1846"/>
        <v>DEFERRED</v>
      </c>
      <c r="BQ2522" s="128" t="str">
        <f t="shared" si="1856"/>
        <v>Y</v>
      </c>
      <c r="BR2522" s="129" t="str">
        <f t="shared" si="1847"/>
        <v>ON BOND</v>
      </c>
      <c r="BS2522" s="129" t="str">
        <f t="shared" si="1848"/>
        <v>DISPOSED</v>
      </c>
      <c r="BT2522" s="129" t="str">
        <f t="shared" si="1849"/>
        <v>N</v>
      </c>
      <c r="BU2522" s="109">
        <f t="shared" si="1850"/>
        <v>2.9850746268656716E-2</v>
      </c>
      <c r="BV2522" s="109">
        <f t="shared" si="1857"/>
        <v>3.125E-2</v>
      </c>
      <c r="BW2522" s="109">
        <f t="shared" si="1832"/>
        <v>1.3992537313432842E-3</v>
      </c>
      <c r="BX2522" s="111">
        <f t="shared" si="1851"/>
        <v>0</v>
      </c>
      <c r="BY2522" s="129">
        <f t="shared" si="1858"/>
        <v>-2</v>
      </c>
      <c r="BZ2522" s="111">
        <f t="shared" si="1859"/>
        <v>0</v>
      </c>
      <c r="CA2522" s="138">
        <f t="shared" si="1860"/>
        <v>2</v>
      </c>
      <c r="CB2522" s="111" t="e">
        <f t="shared" si="1843"/>
        <v>#VALUE!</v>
      </c>
      <c r="CC2522" s="129">
        <f>M2522-I2522+1</f>
        <v>2</v>
      </c>
      <c r="CD2522" s="111">
        <f>CC2522-BF2522</f>
        <v>0</v>
      </c>
      <c r="CG2522" s="129" t="str">
        <f t="shared" si="1861"/>
        <v>N</v>
      </c>
      <c r="CI2522" s="129" t="str">
        <f t="shared" si="1862"/>
        <v>0-10 DAYS</v>
      </c>
      <c r="CJ2522" s="137">
        <f t="shared" si="1863"/>
        <v>1</v>
      </c>
      <c r="CK2522" s="129" t="str">
        <f t="shared" si="1864"/>
        <v>Booked</v>
      </c>
    </row>
    <row r="2523" spans="1:89" ht="15.75" customHeight="1" x14ac:dyDescent="0.25">
      <c r="A2523" s="111">
        <v>2104</v>
      </c>
      <c r="B2523" s="128" t="str">
        <f t="shared" si="1852"/>
        <v>N</v>
      </c>
      <c r="C2523" s="128" t="str">
        <f t="shared" si="1853"/>
        <v>N</v>
      </c>
      <c r="D2523" s="117">
        <v>2589233</v>
      </c>
      <c r="E2523" s="135">
        <f t="shared" si="1854"/>
        <v>5</v>
      </c>
      <c r="F2523" s="124">
        <v>40988</v>
      </c>
      <c r="G2523" s="125">
        <v>41004</v>
      </c>
      <c r="H2523" s="117">
        <v>2589233</v>
      </c>
      <c r="I2523" s="124">
        <v>40988</v>
      </c>
      <c r="J2523" s="124">
        <v>41004</v>
      </c>
      <c r="K2523" s="126" t="s">
        <v>564</v>
      </c>
      <c r="L2523" s="127" t="s">
        <v>564</v>
      </c>
      <c r="N2523" s="129" t="s">
        <v>566</v>
      </c>
      <c r="O2523" s="128" t="s">
        <v>917</v>
      </c>
      <c r="P2523" s="129" t="s">
        <v>39</v>
      </c>
      <c r="Q2523" s="111">
        <f t="shared" si="1836"/>
        <v>17</v>
      </c>
      <c r="R2523" s="111">
        <f t="shared" si="1837"/>
        <v>17</v>
      </c>
      <c r="S2523" s="129">
        <v>0</v>
      </c>
      <c r="T2523" s="129">
        <v>1</v>
      </c>
      <c r="W2523" s="111"/>
      <c r="AC2523" s="130"/>
      <c r="AD2523" s="130">
        <v>32981</v>
      </c>
      <c r="AE2523" s="128" t="s">
        <v>32</v>
      </c>
      <c r="AF2523" s="128" t="s">
        <v>192</v>
      </c>
      <c r="AG2523" s="128" t="s">
        <v>873</v>
      </c>
      <c r="AH2523" s="108" t="s">
        <v>31</v>
      </c>
      <c r="AI2523" s="128" t="s">
        <v>141</v>
      </c>
      <c r="AJ2523" s="129" t="s">
        <v>89</v>
      </c>
      <c r="AK2523" s="129">
        <v>3</v>
      </c>
      <c r="AL2523" s="3" t="s">
        <v>992</v>
      </c>
      <c r="AN2523" s="117">
        <v>10</v>
      </c>
      <c r="AP2523" s="129" t="s">
        <v>43</v>
      </c>
      <c r="AR2523" s="128" t="s">
        <v>44</v>
      </c>
      <c r="AS2523" s="129" t="s">
        <v>45</v>
      </c>
      <c r="BC2523" s="129" t="s">
        <v>38</v>
      </c>
      <c r="BF2523" s="111">
        <f t="shared" si="1841"/>
        <v>17</v>
      </c>
      <c r="BG2523" s="111">
        <f t="shared" si="1842"/>
        <v>17</v>
      </c>
      <c r="BH2523" s="111">
        <f t="shared" si="1838"/>
        <v>17</v>
      </c>
      <c r="BI2523" s="111">
        <f t="shared" si="1844"/>
        <v>21.877049180327869</v>
      </c>
      <c r="BJ2523" s="129">
        <f t="shared" si="1855"/>
        <v>0</v>
      </c>
      <c r="BK2523" s="129">
        <f t="shared" si="1839"/>
        <v>0</v>
      </c>
      <c r="BL2523" s="129" t="str">
        <f t="shared" si="1835"/>
        <v>CONVICTION</v>
      </c>
      <c r="BM2523" s="129" t="str">
        <f t="shared" si="1845"/>
        <v>NONE</v>
      </c>
      <c r="BN2523" s="129" t="s">
        <v>566</v>
      </c>
      <c r="BP2523" s="137" t="str">
        <f t="shared" si="1846"/>
        <v>CONVICTION</v>
      </c>
      <c r="BQ2523" s="128" t="str">
        <f t="shared" si="1856"/>
        <v>Y</v>
      </c>
      <c r="BR2523" s="129" t="str">
        <f t="shared" si="1847"/>
        <v>DETAINED</v>
      </c>
      <c r="BS2523" s="129" t="str">
        <f t="shared" si="1848"/>
        <v>DISPOSED</v>
      </c>
      <c r="BT2523" s="129" t="str">
        <f t="shared" si="1849"/>
        <v>N</v>
      </c>
      <c r="BU2523" s="109">
        <f t="shared" si="1850"/>
        <v>1</v>
      </c>
      <c r="BV2523" s="109">
        <f t="shared" si="1857"/>
        <v>1</v>
      </c>
      <c r="BW2523" s="109">
        <f t="shared" si="1832"/>
        <v>0</v>
      </c>
      <c r="BX2523" s="111">
        <f t="shared" si="1851"/>
        <v>0</v>
      </c>
      <c r="BY2523" s="129">
        <f t="shared" si="1858"/>
        <v>-17</v>
      </c>
      <c r="BZ2523" s="111">
        <f t="shared" si="1859"/>
        <v>0</v>
      </c>
      <c r="CA2523" s="138">
        <f t="shared" si="1860"/>
        <v>17</v>
      </c>
      <c r="CB2523" s="111" t="e">
        <f t="shared" si="1843"/>
        <v>#VALUE!</v>
      </c>
      <c r="CC2523" s="129">
        <f>G2523-I2523+1</f>
        <v>17</v>
      </c>
      <c r="CD2523" s="129">
        <f>G2523-J2523</f>
        <v>0</v>
      </c>
      <c r="CG2523" s="129" t="str">
        <f t="shared" si="1861"/>
        <v>Y</v>
      </c>
      <c r="CI2523" s="129" t="str">
        <f t="shared" si="1862"/>
        <v>11-30 DAYS</v>
      </c>
      <c r="CJ2523" s="137">
        <f t="shared" si="1863"/>
        <v>2</v>
      </c>
      <c r="CK2523" s="129" t="str">
        <f t="shared" si="1864"/>
        <v>Booked</v>
      </c>
    </row>
    <row r="2524" spans="1:89" ht="15" customHeight="1" x14ac:dyDescent="0.25">
      <c r="A2524" s="111">
        <v>1678</v>
      </c>
      <c r="B2524" s="128" t="str">
        <f t="shared" si="1852"/>
        <v>Y</v>
      </c>
      <c r="C2524" s="128" t="str">
        <f t="shared" si="1853"/>
        <v>N</v>
      </c>
      <c r="D2524" s="117">
        <v>2589299</v>
      </c>
      <c r="E2524" s="135">
        <f t="shared" si="1854"/>
        <v>6</v>
      </c>
      <c r="F2524" s="124">
        <v>40929</v>
      </c>
      <c r="G2524" s="125">
        <v>41781</v>
      </c>
      <c r="H2524" s="117">
        <v>2589299</v>
      </c>
      <c r="I2524" s="124">
        <v>40971</v>
      </c>
      <c r="J2524" s="124">
        <v>40934</v>
      </c>
      <c r="K2524" s="126">
        <v>100000</v>
      </c>
      <c r="L2524" s="129" t="s">
        <v>572</v>
      </c>
      <c r="M2524" s="125">
        <v>40934</v>
      </c>
      <c r="N2524" s="129" t="s">
        <v>88</v>
      </c>
      <c r="O2524" s="128" t="s">
        <v>76</v>
      </c>
      <c r="P2524" s="129" t="s">
        <v>39</v>
      </c>
      <c r="Q2524" s="111">
        <v>812</v>
      </c>
      <c r="R2524" s="111">
        <f t="shared" si="1837"/>
        <v>853</v>
      </c>
      <c r="S2524" s="129">
        <v>0</v>
      </c>
      <c r="T2524" s="129">
        <v>0</v>
      </c>
      <c r="W2524" s="111"/>
      <c r="AC2524" s="130"/>
      <c r="AD2524" s="130">
        <v>34007</v>
      </c>
      <c r="AE2524" s="128" t="s">
        <v>32</v>
      </c>
      <c r="AF2524" s="128" t="s">
        <v>33</v>
      </c>
      <c r="AG2524" s="128" t="s">
        <v>872</v>
      </c>
      <c r="AH2524" s="108" t="s">
        <v>31</v>
      </c>
      <c r="AI2524" s="128" t="s">
        <v>118</v>
      </c>
      <c r="AJ2524" s="129" t="s">
        <v>89</v>
      </c>
      <c r="AK2524" s="129">
        <v>20</v>
      </c>
      <c r="AL2524" s="3" t="s">
        <v>362</v>
      </c>
      <c r="AM2524" s="117">
        <v>15</v>
      </c>
      <c r="AP2524" s="129" t="s">
        <v>105</v>
      </c>
      <c r="AR2524" s="128" t="s">
        <v>92</v>
      </c>
      <c r="AS2524" s="129" t="s">
        <v>106</v>
      </c>
      <c r="AT2524" s="129" t="s">
        <v>1393</v>
      </c>
      <c r="BC2524" s="129" t="s">
        <v>52</v>
      </c>
      <c r="BD2524" s="129" t="s">
        <v>1394</v>
      </c>
      <c r="BF2524" s="111">
        <v>41</v>
      </c>
      <c r="BG2524" s="111">
        <f t="shared" si="1842"/>
        <v>811</v>
      </c>
      <c r="BH2524" s="111">
        <f t="shared" si="1838"/>
        <v>853</v>
      </c>
      <c r="BI2524" s="111">
        <f t="shared" si="1844"/>
        <v>18.912568306010929</v>
      </c>
      <c r="BJ2524" s="129">
        <f t="shared" si="1855"/>
        <v>-40087</v>
      </c>
      <c r="BK2524" s="129">
        <f t="shared" si="1839"/>
        <v>-847</v>
      </c>
      <c r="BL2524" s="129" t="str">
        <f t="shared" si="1835"/>
        <v>CONVICTION</v>
      </c>
      <c r="BM2524" s="129" t="str">
        <f t="shared" si="1845"/>
        <v>SURETY</v>
      </c>
      <c r="BN2524" s="129" t="s">
        <v>88</v>
      </c>
      <c r="BP2524" s="137" t="str">
        <f t="shared" si="1846"/>
        <v>CONVICTION</v>
      </c>
      <c r="BQ2524" s="128" t="str">
        <f t="shared" si="1856"/>
        <v>Y</v>
      </c>
      <c r="BR2524" s="129" t="s">
        <v>574</v>
      </c>
      <c r="BS2524" s="129" t="s">
        <v>1259</v>
      </c>
      <c r="BT2524" s="129" t="str">
        <f t="shared" si="1849"/>
        <v>N</v>
      </c>
      <c r="BU2524" s="109">
        <f>IFERROR(Q2524/R2524,BR2524)</f>
        <v>0.95193434935521692</v>
      </c>
      <c r="BV2524" s="139">
        <v>0.95189999999999997</v>
      </c>
      <c r="BW2524" s="109">
        <v>0</v>
      </c>
      <c r="BX2524" s="111">
        <f t="shared" si="1851"/>
        <v>771</v>
      </c>
      <c r="BY2524" s="129">
        <f t="shared" si="1858"/>
        <v>36</v>
      </c>
      <c r="BZ2524" s="111">
        <f t="shared" si="1859"/>
        <v>77</v>
      </c>
      <c r="CA2524" s="138">
        <f t="shared" si="1860"/>
        <v>811</v>
      </c>
      <c r="CB2524" s="111" t="e">
        <f t="shared" si="1843"/>
        <v>#VALUE!</v>
      </c>
      <c r="CC2524" s="129">
        <v>812</v>
      </c>
      <c r="CG2524" s="129" t="str">
        <f t="shared" si="1861"/>
        <v>N</v>
      </c>
      <c r="CH2524" s="129" t="e">
        <v>#N/A</v>
      </c>
      <c r="CI2524" s="129" t="str">
        <f t="shared" si="1862"/>
        <v>31-60 DAYS</v>
      </c>
      <c r="CJ2524" s="137">
        <f t="shared" si="1863"/>
        <v>3</v>
      </c>
      <c r="CK2524" s="129" t="str">
        <f t="shared" si="1864"/>
        <v>Booked</v>
      </c>
    </row>
    <row r="2525" spans="1:89" ht="15.75" customHeight="1" x14ac:dyDescent="0.25">
      <c r="A2525" s="111">
        <v>523</v>
      </c>
      <c r="B2525" s="128" t="str">
        <f t="shared" si="1852"/>
        <v>N</v>
      </c>
      <c r="C2525" s="128" t="str">
        <f t="shared" si="1853"/>
        <v>N</v>
      </c>
      <c r="D2525" s="117">
        <v>2589301</v>
      </c>
      <c r="E2525" s="135">
        <f t="shared" si="1854"/>
        <v>6</v>
      </c>
      <c r="F2525" s="124">
        <v>40929</v>
      </c>
      <c r="G2525" s="125">
        <v>41780</v>
      </c>
      <c r="H2525" s="117">
        <v>2589301</v>
      </c>
      <c r="I2525" s="124">
        <v>40930</v>
      </c>
      <c r="J2525" s="124"/>
      <c r="K2525" s="126">
        <v>50000</v>
      </c>
      <c r="L2525" s="129" t="s">
        <v>572</v>
      </c>
      <c r="N2525" s="129" t="str">
        <f>IF(M2525&gt;1/1/1,"Y","N")</f>
        <v>N</v>
      </c>
      <c r="O2525" s="128" t="s">
        <v>917</v>
      </c>
      <c r="P2525" s="129" t="s">
        <v>39</v>
      </c>
      <c r="Q2525" s="111">
        <v>851</v>
      </c>
      <c r="R2525" s="111">
        <f t="shared" si="1837"/>
        <v>852</v>
      </c>
      <c r="S2525" s="129">
        <v>0</v>
      </c>
      <c r="T2525" s="129">
        <v>1</v>
      </c>
      <c r="W2525" s="111"/>
      <c r="AC2525" s="130"/>
      <c r="AD2525" s="130">
        <v>31789</v>
      </c>
      <c r="AE2525" s="128" t="s">
        <v>32</v>
      </c>
      <c r="AF2525" s="128" t="s">
        <v>33</v>
      </c>
      <c r="AG2525" s="128" t="s">
        <v>872</v>
      </c>
      <c r="AH2525" s="108" t="s">
        <v>31</v>
      </c>
      <c r="AI2525" s="128" t="s">
        <v>118</v>
      </c>
      <c r="AJ2525" s="129" t="s">
        <v>89</v>
      </c>
      <c r="AK2525" s="129">
        <v>26</v>
      </c>
      <c r="AL2525" s="3" t="s">
        <v>362</v>
      </c>
      <c r="AM2525" s="117">
        <v>20</v>
      </c>
      <c r="AP2525" s="129" t="s">
        <v>105</v>
      </c>
      <c r="AR2525" s="128" t="s">
        <v>92</v>
      </c>
      <c r="AS2525" s="129" t="s">
        <v>106</v>
      </c>
      <c r="AT2525" s="129" t="s">
        <v>1395</v>
      </c>
      <c r="BC2525" s="129" t="s">
        <v>52</v>
      </c>
      <c r="BF2525" s="111">
        <v>851</v>
      </c>
      <c r="BG2525" s="111">
        <v>851</v>
      </c>
      <c r="BH2525" s="111">
        <f t="shared" si="1838"/>
        <v>852</v>
      </c>
      <c r="BI2525" s="111">
        <f t="shared" si="1844"/>
        <v>24.972677595628415</v>
      </c>
      <c r="BJ2525" s="129">
        <f t="shared" si="1855"/>
        <v>41780</v>
      </c>
      <c r="BK2525" s="129">
        <f t="shared" si="1839"/>
        <v>-41780</v>
      </c>
      <c r="BL2525" s="129" t="str">
        <f t="shared" si="1835"/>
        <v>CONVICTION</v>
      </c>
      <c r="BM2525" s="129" t="str">
        <f t="shared" si="1845"/>
        <v>NONE</v>
      </c>
      <c r="BN2525" s="129" t="s">
        <v>566</v>
      </c>
      <c r="BP2525" s="137" t="str">
        <f t="shared" si="1846"/>
        <v>CONVICTION</v>
      </c>
      <c r="BQ2525" s="128" t="str">
        <f t="shared" si="1856"/>
        <v>Y</v>
      </c>
      <c r="BR2525" s="129" t="s">
        <v>574</v>
      </c>
      <c r="BS2525" s="129" t="s">
        <v>1259</v>
      </c>
      <c r="BT2525" s="129" t="str">
        <f t="shared" si="1849"/>
        <v>N</v>
      </c>
      <c r="BU2525" s="109">
        <f>IFERROR(Q2525/R2525,BR2525)</f>
        <v>0.99882629107981225</v>
      </c>
      <c r="BV2525" s="139">
        <v>0.99880000000000002</v>
      </c>
      <c r="BW2525" s="109">
        <v>0</v>
      </c>
      <c r="BX2525" s="111">
        <f t="shared" si="1851"/>
        <v>0</v>
      </c>
      <c r="BY2525" s="129">
        <f t="shared" si="1858"/>
        <v>40929</v>
      </c>
      <c r="BZ2525" s="111">
        <f t="shared" si="1859"/>
        <v>41780</v>
      </c>
      <c r="CA2525" s="138">
        <f t="shared" si="1860"/>
        <v>851</v>
      </c>
      <c r="CB2525" s="111" t="e">
        <f t="shared" si="1843"/>
        <v>#VALUE!</v>
      </c>
      <c r="CC2525" s="129">
        <v>851</v>
      </c>
      <c r="CG2525" s="129" t="str">
        <f t="shared" si="1861"/>
        <v>Y</v>
      </c>
      <c r="CH2525" s="129" t="e">
        <v>#N/A</v>
      </c>
      <c r="CI2525" s="129" t="str">
        <f t="shared" si="1862"/>
        <v>&gt;2YRS&lt;3YRS</v>
      </c>
      <c r="CJ2525" s="137">
        <f t="shared" si="1863"/>
        <v>8</v>
      </c>
      <c r="CK2525" s="129" t="str">
        <f t="shared" si="1864"/>
        <v>Booked</v>
      </c>
    </row>
    <row r="2526" spans="1:89" ht="15.75" customHeight="1" x14ac:dyDescent="0.25">
      <c r="A2526" s="111">
        <v>75</v>
      </c>
      <c r="B2526" s="128" t="str">
        <f t="shared" si="1852"/>
        <v>N</v>
      </c>
      <c r="C2526" s="128" t="str">
        <f t="shared" si="1853"/>
        <v>N</v>
      </c>
      <c r="D2526" s="117">
        <v>2589740</v>
      </c>
      <c r="E2526" s="135">
        <f t="shared" si="1854"/>
        <v>6</v>
      </c>
      <c r="F2526" s="124">
        <v>40912</v>
      </c>
      <c r="G2526" s="125">
        <v>41507</v>
      </c>
      <c r="H2526" s="117">
        <v>2589740</v>
      </c>
      <c r="I2526" s="124">
        <v>40913</v>
      </c>
      <c r="J2526" s="125">
        <v>41507</v>
      </c>
      <c r="K2526" s="126" t="s">
        <v>564</v>
      </c>
      <c r="L2526" s="127" t="s">
        <v>564</v>
      </c>
      <c r="N2526" s="129" t="s">
        <v>566</v>
      </c>
      <c r="O2526" s="128" t="s">
        <v>917</v>
      </c>
      <c r="P2526" s="129" t="s">
        <v>39</v>
      </c>
      <c r="Q2526" s="111">
        <f t="shared" si="1836"/>
        <v>595</v>
      </c>
      <c r="R2526" s="111">
        <f t="shared" si="1837"/>
        <v>596</v>
      </c>
      <c r="S2526" s="129">
        <v>0</v>
      </c>
      <c r="T2526" s="129">
        <v>0</v>
      </c>
      <c r="W2526" s="111"/>
      <c r="AC2526" s="130"/>
      <c r="AD2526" s="130">
        <v>34584</v>
      </c>
      <c r="AE2526" s="128" t="s">
        <v>32</v>
      </c>
      <c r="AF2526" s="128" t="s">
        <v>33</v>
      </c>
      <c r="AG2526" s="128" t="s">
        <v>872</v>
      </c>
      <c r="AH2526" s="108" t="s">
        <v>58</v>
      </c>
      <c r="AI2526" s="128" t="s">
        <v>65</v>
      </c>
      <c r="AJ2526" s="129" t="s">
        <v>89</v>
      </c>
      <c r="AK2526" s="129">
        <v>12</v>
      </c>
      <c r="AL2526" s="3" t="s">
        <v>362</v>
      </c>
      <c r="AM2526" s="117">
        <v>30</v>
      </c>
      <c r="AP2526" s="129" t="s">
        <v>105</v>
      </c>
      <c r="AR2526" s="128" t="s">
        <v>92</v>
      </c>
      <c r="AS2526" s="129" t="s">
        <v>106</v>
      </c>
      <c r="BC2526" s="129" t="s">
        <v>38</v>
      </c>
      <c r="BF2526" s="111">
        <f t="shared" si="1841"/>
        <v>595</v>
      </c>
      <c r="BG2526" s="111">
        <f t="shared" si="1842"/>
        <v>595</v>
      </c>
      <c r="BH2526" s="111">
        <f t="shared" si="1838"/>
        <v>596</v>
      </c>
      <c r="BI2526" s="111">
        <f t="shared" si="1844"/>
        <v>17.289617486338798</v>
      </c>
      <c r="BJ2526" s="129">
        <f t="shared" si="1855"/>
        <v>0</v>
      </c>
      <c r="BK2526" s="129">
        <f t="shared" si="1839"/>
        <v>0</v>
      </c>
      <c r="BL2526" s="129" t="str">
        <f t="shared" si="1835"/>
        <v>CONVICTION</v>
      </c>
      <c r="BM2526" s="129" t="str">
        <f t="shared" si="1845"/>
        <v>NONE</v>
      </c>
      <c r="BN2526" s="129" t="s">
        <v>566</v>
      </c>
      <c r="BP2526" s="137" t="str">
        <f t="shared" si="1846"/>
        <v>CONVICTION</v>
      </c>
      <c r="BQ2526" s="128" t="str">
        <f t="shared" si="1856"/>
        <v>Y</v>
      </c>
      <c r="BR2526" s="129" t="str">
        <f t="shared" si="1847"/>
        <v>DETAINED</v>
      </c>
      <c r="BS2526" s="129" t="str">
        <f t="shared" si="1848"/>
        <v>DISPOSED</v>
      </c>
      <c r="BT2526" s="129" t="str">
        <f t="shared" si="1849"/>
        <v>N</v>
      </c>
      <c r="BU2526" s="109">
        <f t="shared" si="1850"/>
        <v>0.99832214765100669</v>
      </c>
      <c r="BV2526" s="109">
        <f t="shared" si="1857"/>
        <v>1</v>
      </c>
      <c r="BW2526" s="109">
        <f>BV2526-BU2526</f>
        <v>1.6778523489933139E-3</v>
      </c>
      <c r="BX2526" s="111">
        <f t="shared" si="1851"/>
        <v>0</v>
      </c>
      <c r="BY2526" s="129">
        <f t="shared" si="1858"/>
        <v>-595</v>
      </c>
      <c r="BZ2526" s="111">
        <f t="shared" si="1859"/>
        <v>0</v>
      </c>
      <c r="CA2526" s="138">
        <f t="shared" si="1860"/>
        <v>595</v>
      </c>
      <c r="CB2526" s="111" t="e">
        <f t="shared" si="1843"/>
        <v>#VALUE!</v>
      </c>
      <c r="CC2526" s="129">
        <f>G2526-I2526+1</f>
        <v>595</v>
      </c>
      <c r="CD2526" s="129">
        <f>G2526-J2526</f>
        <v>0</v>
      </c>
      <c r="CG2526" s="129" t="str">
        <f t="shared" si="1861"/>
        <v>N</v>
      </c>
      <c r="CI2526" s="129" t="str">
        <f t="shared" si="1862"/>
        <v xml:space="preserve"> &gt;1YRS&lt;2YRS</v>
      </c>
      <c r="CJ2526" s="137">
        <f t="shared" si="1863"/>
        <v>0</v>
      </c>
      <c r="CK2526" s="129" t="str">
        <f t="shared" si="1864"/>
        <v>Booked</v>
      </c>
    </row>
    <row r="2527" spans="1:89" ht="15.75" customHeight="1" x14ac:dyDescent="0.25">
      <c r="A2527" s="111">
        <v>2069</v>
      </c>
      <c r="B2527" s="128" t="str">
        <f t="shared" si="1852"/>
        <v>N</v>
      </c>
      <c r="C2527" s="128" t="str">
        <f t="shared" si="1853"/>
        <v>N</v>
      </c>
      <c r="D2527" s="117">
        <v>2589910</v>
      </c>
      <c r="E2527" s="135">
        <f t="shared" si="1854"/>
        <v>1</v>
      </c>
      <c r="F2527" s="124">
        <v>40987</v>
      </c>
      <c r="G2527" s="125">
        <v>41075</v>
      </c>
      <c r="H2527" s="117">
        <v>2589910</v>
      </c>
      <c r="I2527" s="124">
        <v>40987</v>
      </c>
      <c r="J2527" s="124">
        <v>41053</v>
      </c>
      <c r="K2527" s="126">
        <v>20000</v>
      </c>
      <c r="L2527" s="127" t="s">
        <v>571</v>
      </c>
      <c r="M2527" s="125">
        <v>41053</v>
      </c>
      <c r="N2527" s="129" t="str">
        <f>IF(M2527&gt;1/1/1,"Y","N")</f>
        <v>Y</v>
      </c>
      <c r="O2527" s="128" t="s">
        <v>76</v>
      </c>
      <c r="P2527" s="129" t="s">
        <v>55</v>
      </c>
      <c r="Q2527" s="111">
        <f t="shared" si="1836"/>
        <v>67</v>
      </c>
      <c r="R2527" s="111">
        <f t="shared" si="1837"/>
        <v>89</v>
      </c>
      <c r="S2527" s="129">
        <v>0</v>
      </c>
      <c r="T2527" s="129">
        <v>0</v>
      </c>
      <c r="W2527" s="111"/>
      <c r="AC2527" s="130"/>
      <c r="AD2527" s="130">
        <v>33116</v>
      </c>
      <c r="AE2527" s="128" t="s">
        <v>46</v>
      </c>
      <c r="AF2527" s="128" t="s">
        <v>33</v>
      </c>
      <c r="AG2527" s="128" t="s">
        <v>872</v>
      </c>
      <c r="AH2527" s="108" t="s">
        <v>31</v>
      </c>
      <c r="AI2527" s="128" t="s">
        <v>97</v>
      </c>
      <c r="AJ2527" s="129" t="s">
        <v>55</v>
      </c>
      <c r="AK2527" s="129">
        <v>5</v>
      </c>
      <c r="AL2527" s="3" t="s">
        <v>55</v>
      </c>
      <c r="AP2527" s="129" t="s">
        <v>73</v>
      </c>
      <c r="AR2527" s="128" t="s">
        <v>50</v>
      </c>
      <c r="AS2527" s="129" t="s">
        <v>74</v>
      </c>
      <c r="BC2527" s="129" t="s">
        <v>38</v>
      </c>
      <c r="BF2527" s="111">
        <f t="shared" si="1841"/>
        <v>67</v>
      </c>
      <c r="BG2527" s="111">
        <f t="shared" si="1842"/>
        <v>89</v>
      </c>
      <c r="BH2527" s="111">
        <f t="shared" si="1838"/>
        <v>89</v>
      </c>
      <c r="BI2527" s="111">
        <f t="shared" si="1844"/>
        <v>21.505464480874316</v>
      </c>
      <c r="BJ2527" s="129">
        <f>(G2527-J2527)+(M2527-G2527)</f>
        <v>0</v>
      </c>
      <c r="BK2527" s="129">
        <f t="shared" si="1839"/>
        <v>-22</v>
      </c>
      <c r="BL2527" s="129" t="str">
        <f t="shared" si="1835"/>
        <v>NO CONVICTION</v>
      </c>
      <c r="BM2527" s="129" t="s">
        <v>76</v>
      </c>
      <c r="BN2527" s="129" t="s">
        <v>88</v>
      </c>
      <c r="BP2527" s="137" t="str">
        <f t="shared" si="1846"/>
        <v>NO CONVICTION</v>
      </c>
      <c r="BQ2527" s="128" t="str">
        <f t="shared" si="1856"/>
        <v>Y</v>
      </c>
      <c r="BR2527" s="129" t="str">
        <f t="shared" si="1847"/>
        <v>ON BOND</v>
      </c>
      <c r="BS2527" s="129" t="str">
        <f t="shared" si="1848"/>
        <v>DISPOSED</v>
      </c>
      <c r="BT2527" s="129" t="str">
        <f t="shared" si="1849"/>
        <v>N</v>
      </c>
      <c r="BU2527" s="109">
        <f>IFERROR(Q2527/R2527,BR2527)</f>
        <v>0.7528089887640449</v>
      </c>
      <c r="BV2527" s="109">
        <f t="shared" si="1857"/>
        <v>0.7528089887640449</v>
      </c>
      <c r="BW2527" s="109">
        <f>BV2527-BU2527</f>
        <v>0</v>
      </c>
      <c r="BX2527" s="111">
        <f t="shared" si="1851"/>
        <v>0</v>
      </c>
      <c r="BY2527" s="129">
        <f t="shared" si="1858"/>
        <v>-67</v>
      </c>
      <c r="BZ2527" s="111">
        <f t="shared" si="1859"/>
        <v>0</v>
      </c>
      <c r="CA2527" s="138">
        <f t="shared" si="1860"/>
        <v>67</v>
      </c>
      <c r="CB2527" s="111" t="e">
        <f t="shared" si="1843"/>
        <v>#VALUE!</v>
      </c>
      <c r="CC2527" s="129">
        <f>M2527-I2527+1</f>
        <v>67</v>
      </c>
      <c r="CD2527" s="111">
        <f>CC2527-BF2527</f>
        <v>0</v>
      </c>
      <c r="CG2527" s="129" t="str">
        <f t="shared" si="1861"/>
        <v>N</v>
      </c>
      <c r="CI2527" s="129" t="str">
        <f t="shared" si="1862"/>
        <v>61-90 DAYS</v>
      </c>
      <c r="CJ2527" s="137">
        <f t="shared" si="1863"/>
        <v>4</v>
      </c>
      <c r="CK2527" s="129" t="str">
        <f t="shared" si="1864"/>
        <v>Booked</v>
      </c>
    </row>
    <row r="2528" spans="1:89" ht="15" customHeight="1" x14ac:dyDescent="0.25">
      <c r="A2528" s="111">
        <v>1400</v>
      </c>
      <c r="B2528" s="128" t="str">
        <f t="shared" si="1852"/>
        <v>N</v>
      </c>
      <c r="C2528" s="128" t="str">
        <f t="shared" si="1853"/>
        <v>N</v>
      </c>
      <c r="D2528" s="117">
        <v>2590070</v>
      </c>
      <c r="E2528" s="135">
        <f t="shared" si="1854"/>
        <v>6</v>
      </c>
      <c r="F2528" s="124">
        <v>40956</v>
      </c>
      <c r="G2528" s="125">
        <v>41926</v>
      </c>
      <c r="H2528" s="117">
        <v>2590070</v>
      </c>
      <c r="I2528" s="124">
        <v>40962</v>
      </c>
      <c r="J2528" s="124"/>
      <c r="K2528" s="126" t="s">
        <v>564</v>
      </c>
      <c r="L2528" s="127" t="s">
        <v>564</v>
      </c>
      <c r="N2528" s="129" t="s">
        <v>566</v>
      </c>
      <c r="O2528" s="128" t="s">
        <v>917</v>
      </c>
      <c r="P2528" s="129" t="s">
        <v>39</v>
      </c>
      <c r="Q2528" s="111">
        <v>965</v>
      </c>
      <c r="R2528" s="111">
        <f t="shared" si="1837"/>
        <v>971</v>
      </c>
      <c r="S2528" s="129">
        <v>0</v>
      </c>
      <c r="T2528" s="129">
        <v>0</v>
      </c>
      <c r="W2528" s="111"/>
      <c r="AC2528" s="130"/>
      <c r="AD2528" s="130">
        <v>29391</v>
      </c>
      <c r="AE2528" s="128" t="s">
        <v>32</v>
      </c>
      <c r="AF2528" s="128" t="s">
        <v>69</v>
      </c>
      <c r="AG2528" s="128" t="s">
        <v>874</v>
      </c>
      <c r="AH2528" s="108" t="s">
        <v>58</v>
      </c>
      <c r="AI2528" s="128" t="s">
        <v>100</v>
      </c>
      <c r="AJ2528" s="129" t="s">
        <v>89</v>
      </c>
      <c r="AK2528" s="129">
        <v>20</v>
      </c>
      <c r="AL2528" s="3" t="s">
        <v>362</v>
      </c>
      <c r="AM2528" s="117">
        <v>30</v>
      </c>
      <c r="AP2528" s="129" t="s">
        <v>129</v>
      </c>
      <c r="AR2528" s="128" t="s">
        <v>92</v>
      </c>
      <c r="AS2528" s="129" t="s">
        <v>126</v>
      </c>
      <c r="AT2528" s="129" t="s">
        <v>1396</v>
      </c>
      <c r="BC2528" s="129" t="s">
        <v>52</v>
      </c>
      <c r="BF2528" s="111">
        <v>965</v>
      </c>
      <c r="BG2528" s="111">
        <f t="shared" si="1842"/>
        <v>965</v>
      </c>
      <c r="BH2528" s="111">
        <f t="shared" si="1838"/>
        <v>971</v>
      </c>
      <c r="BI2528" s="111">
        <f t="shared" si="1844"/>
        <v>31.598360655737704</v>
      </c>
      <c r="BJ2528" s="129">
        <f t="shared" ref="BJ2528" si="1867">G2528-J2528-M2528</f>
        <v>41926</v>
      </c>
      <c r="BK2528" s="129">
        <f t="shared" si="1839"/>
        <v>-41926</v>
      </c>
      <c r="BL2528" s="129" t="str">
        <f t="shared" si="1835"/>
        <v>CONVICTION</v>
      </c>
      <c r="BM2528" s="129" t="s">
        <v>917</v>
      </c>
      <c r="BN2528" s="129" t="s">
        <v>51</v>
      </c>
      <c r="BP2528" s="137" t="str">
        <f t="shared" si="1846"/>
        <v>CONVICTION</v>
      </c>
      <c r="BQ2528" s="128" t="str">
        <f t="shared" si="1856"/>
        <v>Y</v>
      </c>
      <c r="BR2528" s="129" t="s">
        <v>574</v>
      </c>
      <c r="BS2528" s="129" t="s">
        <v>1259</v>
      </c>
      <c r="BT2528" s="129" t="str">
        <f t="shared" si="1849"/>
        <v>N</v>
      </c>
      <c r="BU2528" s="109">
        <f>IFERROR(Q2528/R2528,BR2528)</f>
        <v>0.99382080329557154</v>
      </c>
      <c r="BV2528" s="139">
        <v>0.99380000000000002</v>
      </c>
      <c r="BW2528" s="109">
        <v>0</v>
      </c>
      <c r="BX2528" s="111">
        <f t="shared" si="1851"/>
        <v>0</v>
      </c>
      <c r="BY2528" s="129">
        <f t="shared" si="1858"/>
        <v>40961</v>
      </c>
      <c r="BZ2528" s="111">
        <f t="shared" si="1859"/>
        <v>41926</v>
      </c>
      <c r="CA2528" s="138">
        <f t="shared" si="1860"/>
        <v>965</v>
      </c>
      <c r="CB2528" s="111" t="e">
        <f t="shared" si="1843"/>
        <v>#VALUE!</v>
      </c>
      <c r="CC2528" s="129">
        <v>965</v>
      </c>
      <c r="CG2528" s="129" t="str">
        <f t="shared" si="1861"/>
        <v>N</v>
      </c>
      <c r="CH2528" s="129" t="e">
        <v>#N/A</v>
      </c>
      <c r="CI2528" s="129" t="str">
        <f t="shared" si="1862"/>
        <v>&gt;2YRS&lt;3YRS</v>
      </c>
      <c r="CJ2528" s="137">
        <f t="shared" si="1863"/>
        <v>8</v>
      </c>
      <c r="CK2528" s="129" t="str">
        <f t="shared" si="1864"/>
        <v>Booked</v>
      </c>
    </row>
    <row r="2529" spans="1:89" ht="15.75" customHeight="1" x14ac:dyDescent="0.25">
      <c r="A2529" s="111">
        <v>1937</v>
      </c>
      <c r="B2529" s="128" t="str">
        <f t="shared" si="1852"/>
        <v>N</v>
      </c>
      <c r="C2529" s="128" t="str">
        <f t="shared" si="1853"/>
        <v>N</v>
      </c>
      <c r="D2529" s="117">
        <v>2590173</v>
      </c>
      <c r="E2529" s="135">
        <f t="shared" si="1854"/>
        <v>4</v>
      </c>
      <c r="F2529" s="124">
        <v>40980</v>
      </c>
      <c r="G2529" s="125">
        <v>41121</v>
      </c>
      <c r="H2529" s="117">
        <v>2590173</v>
      </c>
      <c r="I2529" s="124">
        <v>40982</v>
      </c>
      <c r="J2529" s="124">
        <v>41121</v>
      </c>
      <c r="K2529" s="126">
        <v>30000</v>
      </c>
      <c r="L2529" s="129" t="s">
        <v>572</v>
      </c>
      <c r="N2529" s="129" t="str">
        <f>IF(M2529&gt;1/1/1,"Y","N")</f>
        <v>N</v>
      </c>
      <c r="O2529" s="128" t="s">
        <v>917</v>
      </c>
      <c r="P2529" s="129" t="s">
        <v>39</v>
      </c>
      <c r="Q2529" s="111">
        <f t="shared" si="1836"/>
        <v>140</v>
      </c>
      <c r="R2529" s="111">
        <f t="shared" si="1837"/>
        <v>142</v>
      </c>
      <c r="S2529" s="129">
        <v>0</v>
      </c>
      <c r="T2529" s="129">
        <v>0</v>
      </c>
      <c r="W2529" s="111"/>
      <c r="AC2529" s="130"/>
      <c r="AD2529" s="130">
        <v>25920</v>
      </c>
      <c r="AE2529" s="128" t="s">
        <v>32</v>
      </c>
      <c r="AF2529" s="128" t="s">
        <v>33</v>
      </c>
      <c r="AG2529" s="128" t="s">
        <v>872</v>
      </c>
      <c r="AH2529" s="108" t="s">
        <v>58</v>
      </c>
      <c r="AI2529" s="128" t="s">
        <v>72</v>
      </c>
      <c r="AJ2529" s="129" t="s">
        <v>89</v>
      </c>
      <c r="AK2529" s="129">
        <v>6</v>
      </c>
      <c r="AL2529" s="3" t="s">
        <v>991</v>
      </c>
      <c r="AO2529" s="128">
        <v>180</v>
      </c>
      <c r="AP2529" s="129" t="s">
        <v>131</v>
      </c>
      <c r="AR2529" s="128" t="s">
        <v>50</v>
      </c>
      <c r="AS2529" s="129" t="s">
        <v>106</v>
      </c>
      <c r="BC2529" s="129" t="s">
        <v>38</v>
      </c>
      <c r="BF2529" s="111">
        <f t="shared" si="1841"/>
        <v>140</v>
      </c>
      <c r="BG2529" s="111">
        <f t="shared" si="1842"/>
        <v>140</v>
      </c>
      <c r="BH2529" s="111">
        <f t="shared" si="1838"/>
        <v>142</v>
      </c>
      <c r="BI2529" s="111">
        <f t="shared" si="1844"/>
        <v>41.147540983606561</v>
      </c>
      <c r="BJ2529" s="129">
        <f t="shared" si="1855"/>
        <v>0</v>
      </c>
      <c r="BK2529" s="129">
        <f t="shared" si="1839"/>
        <v>0</v>
      </c>
      <c r="BL2529" s="129" t="str">
        <f t="shared" si="1835"/>
        <v>CONVICTION</v>
      </c>
      <c r="BM2529" s="129" t="str">
        <f t="shared" si="1845"/>
        <v>NONE</v>
      </c>
      <c r="BN2529" s="129" t="s">
        <v>566</v>
      </c>
      <c r="BP2529" s="137" t="str">
        <f t="shared" si="1846"/>
        <v>CONVICTION</v>
      </c>
      <c r="BQ2529" s="128" t="str">
        <f t="shared" si="1856"/>
        <v>Y</v>
      </c>
      <c r="BR2529" s="129" t="str">
        <f t="shared" si="1847"/>
        <v>DETAINED</v>
      </c>
      <c r="BS2529" s="129" t="str">
        <f t="shared" si="1848"/>
        <v>DISPOSED</v>
      </c>
      <c r="BT2529" s="129" t="str">
        <f t="shared" si="1849"/>
        <v>N</v>
      </c>
      <c r="BU2529" s="109">
        <f t="shared" si="1850"/>
        <v>0.9859154929577465</v>
      </c>
      <c r="BV2529" s="109">
        <f t="shared" si="1857"/>
        <v>1</v>
      </c>
      <c r="BW2529" s="109">
        <f t="shared" ref="BW2529:BW2592" si="1868">BV2529-BU2529</f>
        <v>1.4084507042253502E-2</v>
      </c>
      <c r="BX2529" s="111">
        <f t="shared" si="1851"/>
        <v>0</v>
      </c>
      <c r="BY2529" s="129">
        <f t="shared" si="1858"/>
        <v>-140</v>
      </c>
      <c r="BZ2529" s="111">
        <f t="shared" si="1859"/>
        <v>0</v>
      </c>
      <c r="CA2529" s="138">
        <f t="shared" si="1860"/>
        <v>140</v>
      </c>
      <c r="CB2529" s="111" t="e">
        <f t="shared" si="1843"/>
        <v>#VALUE!</v>
      </c>
      <c r="CC2529" s="129">
        <f>G2529-I2529+1</f>
        <v>140</v>
      </c>
      <c r="CD2529" s="129">
        <f>G2529-J2529</f>
        <v>0</v>
      </c>
      <c r="CG2529" s="129" t="str">
        <f t="shared" si="1861"/>
        <v>N</v>
      </c>
      <c r="CI2529" s="129" t="str">
        <f t="shared" si="1862"/>
        <v>121-365 DAYS</v>
      </c>
      <c r="CJ2529" s="137">
        <f t="shared" si="1863"/>
        <v>6</v>
      </c>
      <c r="CK2529" s="129" t="str">
        <f t="shared" si="1864"/>
        <v>Booked</v>
      </c>
    </row>
    <row r="2530" spans="1:89" ht="15.75" customHeight="1" x14ac:dyDescent="0.25">
      <c r="A2530" s="111">
        <v>3058</v>
      </c>
      <c r="B2530" s="128" t="str">
        <f t="shared" si="1852"/>
        <v>N</v>
      </c>
      <c r="C2530" s="128" t="str">
        <f t="shared" si="1853"/>
        <v>N</v>
      </c>
      <c r="D2530" s="117">
        <v>2590439</v>
      </c>
      <c r="E2530" s="135">
        <f t="shared" si="1854"/>
        <v>6</v>
      </c>
      <c r="F2530" s="124">
        <v>41022</v>
      </c>
      <c r="G2530" s="125">
        <v>41024</v>
      </c>
      <c r="H2530" s="117">
        <v>2590439</v>
      </c>
      <c r="I2530" s="124">
        <v>41022</v>
      </c>
      <c r="J2530" s="124">
        <v>41024</v>
      </c>
      <c r="K2530" s="126" t="s">
        <v>564</v>
      </c>
      <c r="L2530" s="127" t="s">
        <v>564</v>
      </c>
      <c r="N2530" s="129" t="s">
        <v>566</v>
      </c>
      <c r="O2530" s="128" t="s">
        <v>917</v>
      </c>
      <c r="P2530" s="129" t="s">
        <v>39</v>
      </c>
      <c r="Q2530" s="111">
        <f t="shared" si="1836"/>
        <v>3</v>
      </c>
      <c r="R2530" s="111">
        <f t="shared" si="1837"/>
        <v>3</v>
      </c>
      <c r="S2530" s="129">
        <v>1</v>
      </c>
      <c r="T2530" s="129">
        <v>0</v>
      </c>
      <c r="U2530" s="129">
        <v>1</v>
      </c>
      <c r="W2530" s="111"/>
      <c r="AB2530" s="131" t="s">
        <v>112</v>
      </c>
      <c r="AC2530" s="130"/>
      <c r="AD2530" s="130">
        <v>34267</v>
      </c>
      <c r="AE2530" s="128" t="s">
        <v>32</v>
      </c>
      <c r="AF2530" s="128" t="s">
        <v>40</v>
      </c>
      <c r="AG2530" s="128" t="s">
        <v>41</v>
      </c>
      <c r="AH2530" s="108" t="s">
        <v>31</v>
      </c>
      <c r="AI2530" s="128" t="s">
        <v>141</v>
      </c>
      <c r="AJ2530" s="129" t="s">
        <v>89</v>
      </c>
      <c r="AK2530" s="129">
        <v>1</v>
      </c>
      <c r="AL2530" s="3" t="s">
        <v>362</v>
      </c>
      <c r="AM2530" s="117">
        <v>3</v>
      </c>
      <c r="AP2530" s="129" t="s">
        <v>150</v>
      </c>
      <c r="AR2530" s="128" t="s">
        <v>67</v>
      </c>
      <c r="AS2530" s="129" t="s">
        <v>74</v>
      </c>
      <c r="AT2530" s="129" t="s">
        <v>1238</v>
      </c>
      <c r="BC2530" s="129" t="s">
        <v>38</v>
      </c>
      <c r="BF2530" s="111">
        <f t="shared" si="1841"/>
        <v>3</v>
      </c>
      <c r="BG2530" s="111">
        <f t="shared" si="1842"/>
        <v>3</v>
      </c>
      <c r="BH2530" s="111">
        <f t="shared" si="1838"/>
        <v>3</v>
      </c>
      <c r="BI2530" s="111">
        <f t="shared" si="1844"/>
        <v>18.456284153005466</v>
      </c>
      <c r="BJ2530" s="129">
        <f t="shared" si="1855"/>
        <v>0</v>
      </c>
      <c r="BK2530" s="129">
        <f t="shared" si="1839"/>
        <v>0</v>
      </c>
      <c r="BL2530" s="129" t="str">
        <f t="shared" si="1835"/>
        <v>CONVICTION</v>
      </c>
      <c r="BM2530" s="129" t="str">
        <f t="shared" si="1845"/>
        <v>NONE</v>
      </c>
      <c r="BN2530" s="129" t="s">
        <v>566</v>
      </c>
      <c r="BP2530" s="137" t="str">
        <f t="shared" si="1846"/>
        <v>CONVICTION</v>
      </c>
      <c r="BQ2530" s="128" t="str">
        <f t="shared" si="1856"/>
        <v>Y</v>
      </c>
      <c r="BR2530" s="129" t="str">
        <f t="shared" si="1847"/>
        <v>DETAINED</v>
      </c>
      <c r="BS2530" s="129" t="str">
        <f t="shared" si="1848"/>
        <v>DISPOSED</v>
      </c>
      <c r="BT2530" s="129" t="str">
        <f t="shared" si="1849"/>
        <v>Y</v>
      </c>
      <c r="BU2530" s="109">
        <f t="shared" si="1850"/>
        <v>1</v>
      </c>
      <c r="BV2530" s="109">
        <f t="shared" si="1857"/>
        <v>1</v>
      </c>
      <c r="BW2530" s="109">
        <f t="shared" si="1868"/>
        <v>0</v>
      </c>
      <c r="BX2530" s="111">
        <f t="shared" si="1851"/>
        <v>0</v>
      </c>
      <c r="BY2530" s="129">
        <f t="shared" si="1858"/>
        <v>-3</v>
      </c>
      <c r="BZ2530" s="111">
        <f t="shared" si="1859"/>
        <v>0</v>
      </c>
      <c r="CA2530" s="138">
        <f t="shared" si="1860"/>
        <v>3</v>
      </c>
      <c r="CB2530" s="111" t="e">
        <f t="shared" si="1843"/>
        <v>#VALUE!</v>
      </c>
      <c r="CC2530" s="129">
        <f>G2530-I2530+1</f>
        <v>3</v>
      </c>
      <c r="CD2530" s="129">
        <f>G2530-J2530</f>
        <v>0</v>
      </c>
      <c r="CG2530" s="129" t="str">
        <f t="shared" si="1861"/>
        <v>Y</v>
      </c>
      <c r="CI2530" s="129" t="str">
        <f t="shared" si="1862"/>
        <v>0-10 DAYS</v>
      </c>
      <c r="CJ2530" s="137">
        <f t="shared" si="1863"/>
        <v>1</v>
      </c>
      <c r="CK2530" s="129" t="str">
        <f t="shared" si="1864"/>
        <v>Booked</v>
      </c>
    </row>
    <row r="2531" spans="1:89" ht="15.75" customHeight="1" x14ac:dyDescent="0.25">
      <c r="A2531" s="111">
        <v>834</v>
      </c>
      <c r="B2531" s="128" t="str">
        <f t="shared" si="1852"/>
        <v>N</v>
      </c>
      <c r="C2531" s="128" t="str">
        <f t="shared" si="1853"/>
        <v>N</v>
      </c>
      <c r="D2531" s="117">
        <v>2590584</v>
      </c>
      <c r="E2531" s="135">
        <f t="shared" si="1854"/>
        <v>2</v>
      </c>
      <c r="F2531" s="124">
        <v>40940</v>
      </c>
      <c r="G2531" s="125">
        <v>41004</v>
      </c>
      <c r="H2531" s="117">
        <v>2590584</v>
      </c>
      <c r="I2531" s="124">
        <v>40953</v>
      </c>
      <c r="J2531" s="124">
        <v>41004</v>
      </c>
      <c r="K2531" s="126">
        <v>10000</v>
      </c>
      <c r="L2531" s="127" t="s">
        <v>570</v>
      </c>
      <c r="N2531" s="129" t="str">
        <f>IF(M2531&gt;1/1/1,"Y","N")</f>
        <v>N</v>
      </c>
      <c r="O2531" s="128" t="s">
        <v>917</v>
      </c>
      <c r="P2531" s="129" t="s">
        <v>589</v>
      </c>
      <c r="Q2531" s="111">
        <f t="shared" si="1836"/>
        <v>52</v>
      </c>
      <c r="R2531" s="111">
        <f t="shared" si="1837"/>
        <v>65</v>
      </c>
      <c r="S2531" s="129">
        <v>0</v>
      </c>
      <c r="T2531" s="129">
        <v>0</v>
      </c>
      <c r="W2531" s="111"/>
      <c r="AC2531" s="130"/>
      <c r="AD2531" s="130">
        <v>34074</v>
      </c>
      <c r="AE2531" s="128" t="s">
        <v>32</v>
      </c>
      <c r="AF2531" s="128" t="s">
        <v>33</v>
      </c>
      <c r="AG2531" s="128" t="s">
        <v>872</v>
      </c>
      <c r="AH2531" s="108" t="s">
        <v>58</v>
      </c>
      <c r="AI2531" s="128" t="s">
        <v>114</v>
      </c>
      <c r="AJ2531" s="129" t="s">
        <v>48</v>
      </c>
      <c r="AK2531" s="129">
        <v>6</v>
      </c>
      <c r="AL2531" s="3" t="s">
        <v>48</v>
      </c>
      <c r="AP2531" s="129" t="s">
        <v>56</v>
      </c>
      <c r="AR2531" s="128" t="s">
        <v>50</v>
      </c>
      <c r="AS2531" s="129" t="s">
        <v>57</v>
      </c>
      <c r="BC2531" s="129" t="s">
        <v>99</v>
      </c>
      <c r="BF2531" s="111">
        <f t="shared" si="1841"/>
        <v>52</v>
      </c>
      <c r="BG2531" s="111">
        <f t="shared" si="1842"/>
        <v>52</v>
      </c>
      <c r="BH2531" s="111">
        <f t="shared" si="1838"/>
        <v>65</v>
      </c>
      <c r="BI2531" s="111">
        <f t="shared" si="1844"/>
        <v>18.759562841530055</v>
      </c>
      <c r="BJ2531" s="129">
        <f t="shared" si="1855"/>
        <v>0</v>
      </c>
      <c r="BK2531" s="129">
        <f t="shared" si="1839"/>
        <v>0</v>
      </c>
      <c r="BL2531" s="129" t="str">
        <f t="shared" si="1835"/>
        <v>DEFERRED</v>
      </c>
      <c r="BM2531" s="129" t="str">
        <f t="shared" si="1845"/>
        <v>NONE</v>
      </c>
      <c r="BN2531" s="129" t="s">
        <v>566</v>
      </c>
      <c r="BP2531" s="137" t="str">
        <f t="shared" si="1846"/>
        <v>DEFERRED</v>
      </c>
      <c r="BQ2531" s="128" t="str">
        <f t="shared" si="1856"/>
        <v>Y</v>
      </c>
      <c r="BR2531" s="129" t="str">
        <f t="shared" si="1847"/>
        <v>DETAINED</v>
      </c>
      <c r="BS2531" s="129" t="str">
        <f t="shared" si="1848"/>
        <v>DISPOSED</v>
      </c>
      <c r="BT2531" s="129" t="str">
        <f t="shared" si="1849"/>
        <v>N</v>
      </c>
      <c r="BU2531" s="109">
        <f t="shared" si="1850"/>
        <v>0.8</v>
      </c>
      <c r="BV2531" s="109">
        <f t="shared" si="1857"/>
        <v>1</v>
      </c>
      <c r="BW2531" s="109">
        <f t="shared" si="1868"/>
        <v>0.19999999999999996</v>
      </c>
      <c r="BX2531" s="111">
        <f t="shared" si="1851"/>
        <v>0</v>
      </c>
      <c r="BY2531" s="129">
        <f t="shared" si="1858"/>
        <v>-52</v>
      </c>
      <c r="BZ2531" s="111">
        <f t="shared" si="1859"/>
        <v>0</v>
      </c>
      <c r="CA2531" s="138">
        <f t="shared" si="1860"/>
        <v>52</v>
      </c>
      <c r="CB2531" s="111" t="e">
        <f t="shared" si="1843"/>
        <v>#VALUE!</v>
      </c>
      <c r="CC2531" s="129">
        <f>G2531-I2531+1</f>
        <v>52</v>
      </c>
      <c r="CD2531" s="129">
        <f>G2531-J2531</f>
        <v>0</v>
      </c>
      <c r="CG2531" s="129" t="str">
        <f t="shared" si="1861"/>
        <v>N</v>
      </c>
      <c r="CI2531" s="129" t="str">
        <f t="shared" si="1862"/>
        <v>31-60 DAYS</v>
      </c>
      <c r="CJ2531" s="137">
        <f t="shared" si="1863"/>
        <v>3</v>
      </c>
      <c r="CK2531" s="129" t="str">
        <f t="shared" si="1864"/>
        <v>Booked</v>
      </c>
    </row>
    <row r="2532" spans="1:89" ht="15.75" customHeight="1" x14ac:dyDescent="0.25">
      <c r="A2532" s="111">
        <v>1244</v>
      </c>
      <c r="B2532" s="128" t="str">
        <f t="shared" si="1852"/>
        <v>Y</v>
      </c>
      <c r="C2532" s="128" t="str">
        <f t="shared" si="1853"/>
        <v>Y</v>
      </c>
      <c r="D2532" s="117">
        <v>2590620</v>
      </c>
      <c r="E2532" s="135">
        <f t="shared" si="1854"/>
        <v>4</v>
      </c>
      <c r="F2532" s="124">
        <v>40954</v>
      </c>
      <c r="G2532" s="125">
        <v>41159</v>
      </c>
      <c r="H2532" s="117">
        <v>2590620</v>
      </c>
      <c r="I2532" s="124">
        <v>41059</v>
      </c>
      <c r="J2532" s="124">
        <v>41065</v>
      </c>
      <c r="K2532" s="126">
        <v>30000</v>
      </c>
      <c r="L2532" s="129" t="s">
        <v>572</v>
      </c>
      <c r="M2532" s="125">
        <v>41065</v>
      </c>
      <c r="N2532" s="129" t="str">
        <f>IF(M2532&gt;1/1/1,"Y","N")</f>
        <v>Y</v>
      </c>
      <c r="O2532" s="128" t="s">
        <v>585</v>
      </c>
      <c r="P2532" s="129" t="s">
        <v>39</v>
      </c>
      <c r="Q2532" s="111">
        <v>35</v>
      </c>
      <c r="R2532" s="111">
        <f t="shared" si="1837"/>
        <v>206</v>
      </c>
      <c r="S2532" s="129">
        <v>0</v>
      </c>
      <c r="T2532" s="129">
        <v>0</v>
      </c>
      <c r="W2532" s="111"/>
      <c r="AB2532" s="131" t="s">
        <v>112</v>
      </c>
      <c r="AC2532" s="130"/>
      <c r="AD2532" s="130">
        <v>33088</v>
      </c>
      <c r="AE2532" s="128" t="s">
        <v>32</v>
      </c>
      <c r="AF2532" s="128" t="s">
        <v>40</v>
      </c>
      <c r="AG2532" s="128" t="s">
        <v>41</v>
      </c>
      <c r="AH2532" s="108" t="s">
        <v>41</v>
      </c>
      <c r="AI2532" s="128" t="s">
        <v>70</v>
      </c>
      <c r="AJ2532" s="129" t="s">
        <v>89</v>
      </c>
      <c r="AK2532" s="129">
        <v>8</v>
      </c>
      <c r="AL2532" s="3" t="s">
        <v>991</v>
      </c>
      <c r="AO2532" s="128">
        <v>90</v>
      </c>
      <c r="AP2532" s="129" t="s">
        <v>186</v>
      </c>
      <c r="AR2532" s="128" t="s">
        <v>50</v>
      </c>
      <c r="AS2532" s="129" t="s">
        <v>106</v>
      </c>
      <c r="AT2532" s="129" t="s">
        <v>622</v>
      </c>
      <c r="AU2532" s="3" t="s">
        <v>825</v>
      </c>
      <c r="AV2532" s="3" t="s">
        <v>88</v>
      </c>
      <c r="AW2532" s="123">
        <v>41012</v>
      </c>
      <c r="AX2532" s="32" t="s">
        <v>88</v>
      </c>
      <c r="BA2532" s="125">
        <v>41164</v>
      </c>
      <c r="BB2532" s="129">
        <v>293</v>
      </c>
      <c r="BC2532" s="129" t="s">
        <v>52</v>
      </c>
      <c r="BD2532" s="32" t="s">
        <v>1079</v>
      </c>
      <c r="BF2532" s="111">
        <v>35</v>
      </c>
      <c r="BG2532" s="111">
        <f t="shared" si="1842"/>
        <v>101</v>
      </c>
      <c r="BH2532" s="111">
        <f t="shared" si="1838"/>
        <v>206</v>
      </c>
      <c r="BI2532" s="111">
        <f t="shared" si="1844"/>
        <v>21.491803278688526</v>
      </c>
      <c r="BJ2532" s="129">
        <f t="shared" ref="BJ2532:BJ2537" si="1869">(G2532-J2532)+(M2532-G2532)</f>
        <v>0</v>
      </c>
      <c r="BK2532" s="129">
        <f t="shared" si="1839"/>
        <v>-94</v>
      </c>
      <c r="BL2532" s="129" t="str">
        <f t="shared" si="1835"/>
        <v>CONVICTION</v>
      </c>
      <c r="BM2532" s="129" t="s">
        <v>76</v>
      </c>
      <c r="BN2532" s="129" t="s">
        <v>88</v>
      </c>
      <c r="BP2532" s="137" t="str">
        <f t="shared" si="1846"/>
        <v>CONVICTION</v>
      </c>
      <c r="BQ2532" s="128" t="str">
        <f t="shared" si="1856"/>
        <v>Y</v>
      </c>
      <c r="BR2532" s="129" t="s">
        <v>574</v>
      </c>
      <c r="BS2532" s="129" t="str">
        <f t="shared" si="1848"/>
        <v>DISPOSED</v>
      </c>
      <c r="BT2532" s="129" t="str">
        <f t="shared" si="1849"/>
        <v>N</v>
      </c>
      <c r="BU2532" s="109">
        <f t="shared" si="1850"/>
        <v>0.16990291262135923</v>
      </c>
      <c r="BV2532" s="109">
        <f t="shared" si="1857"/>
        <v>6.9306930693069313E-2</v>
      </c>
      <c r="BW2532" s="109">
        <f t="shared" si="1868"/>
        <v>-0.10059598192828992</v>
      </c>
      <c r="BX2532" s="111">
        <f t="shared" si="1851"/>
        <v>0</v>
      </c>
      <c r="BY2532" s="129">
        <f t="shared" si="1858"/>
        <v>-7</v>
      </c>
      <c r="BZ2532" s="111">
        <f t="shared" si="1859"/>
        <v>28</v>
      </c>
      <c r="CA2532" s="138">
        <f t="shared" si="1860"/>
        <v>101</v>
      </c>
      <c r="CB2532" s="111">
        <v>35</v>
      </c>
      <c r="CC2532" s="129">
        <f>G2532-I2532+1</f>
        <v>101</v>
      </c>
      <c r="CD2532" s="129">
        <f>G2532-J2532</f>
        <v>94</v>
      </c>
      <c r="CG2532" s="129" t="str">
        <f t="shared" si="1861"/>
        <v>N</v>
      </c>
      <c r="CI2532" s="129" t="str">
        <f t="shared" si="1862"/>
        <v>31-60 DAYS</v>
      </c>
      <c r="CJ2532" s="137">
        <f t="shared" si="1863"/>
        <v>3</v>
      </c>
      <c r="CK2532" s="129" t="str">
        <f t="shared" si="1864"/>
        <v>Booked</v>
      </c>
    </row>
    <row r="2533" spans="1:89" ht="15.75" customHeight="1" x14ac:dyDescent="0.25">
      <c r="A2533" s="111">
        <v>2006</v>
      </c>
      <c r="B2533" s="128" t="str">
        <f t="shared" si="1852"/>
        <v>N</v>
      </c>
      <c r="C2533" s="128" t="str">
        <f t="shared" si="1853"/>
        <v>N</v>
      </c>
      <c r="D2533" s="117">
        <v>2591267</v>
      </c>
      <c r="E2533" s="135">
        <f t="shared" si="1854"/>
        <v>5</v>
      </c>
      <c r="F2533" s="124">
        <v>40984</v>
      </c>
      <c r="G2533" s="125">
        <v>41221</v>
      </c>
      <c r="H2533" s="117">
        <v>2591267</v>
      </c>
      <c r="I2533" s="124">
        <v>40984</v>
      </c>
      <c r="J2533" s="124">
        <v>40990</v>
      </c>
      <c r="K2533" s="126">
        <v>5000</v>
      </c>
      <c r="L2533" s="127" t="s">
        <v>569</v>
      </c>
      <c r="M2533" s="125">
        <v>40990</v>
      </c>
      <c r="N2533" s="129" t="str">
        <f>IF(M2533&gt;1/1/1,"Y","N")</f>
        <v>Y</v>
      </c>
      <c r="O2533" s="128" t="s">
        <v>76</v>
      </c>
      <c r="P2533" s="129" t="s">
        <v>39</v>
      </c>
      <c r="Q2533" s="111">
        <f t="shared" si="1836"/>
        <v>7</v>
      </c>
      <c r="R2533" s="111">
        <f t="shared" si="1837"/>
        <v>238</v>
      </c>
      <c r="S2533" s="129">
        <v>0</v>
      </c>
      <c r="T2533" s="129">
        <v>1</v>
      </c>
      <c r="W2533" s="111"/>
      <c r="AB2533" s="131" t="s">
        <v>112</v>
      </c>
      <c r="AC2533" s="130"/>
      <c r="AD2533" s="130">
        <v>31688</v>
      </c>
      <c r="AE2533" s="128" t="s">
        <v>32</v>
      </c>
      <c r="AF2533" s="128" t="s">
        <v>40</v>
      </c>
      <c r="AG2533" s="128" t="s">
        <v>41</v>
      </c>
      <c r="AH2533" s="108" t="s">
        <v>31</v>
      </c>
      <c r="AI2533" s="128" t="s">
        <v>100</v>
      </c>
      <c r="AJ2533" s="129" t="s">
        <v>89</v>
      </c>
      <c r="AK2533" s="129">
        <v>11</v>
      </c>
      <c r="AL2533" s="3" t="s">
        <v>992</v>
      </c>
      <c r="AN2533" s="117">
        <v>6</v>
      </c>
      <c r="AP2533" s="129" t="s">
        <v>155</v>
      </c>
      <c r="AR2533" s="128" t="s">
        <v>44</v>
      </c>
      <c r="AS2533" s="129" t="s">
        <v>64</v>
      </c>
      <c r="BC2533" s="129" t="s">
        <v>52</v>
      </c>
      <c r="BF2533" s="111">
        <f t="shared" si="1841"/>
        <v>7</v>
      </c>
      <c r="BG2533" s="111">
        <f t="shared" si="1842"/>
        <v>238</v>
      </c>
      <c r="BH2533" s="111">
        <f t="shared" si="1838"/>
        <v>238</v>
      </c>
      <c r="BI2533" s="111">
        <f t="shared" si="1844"/>
        <v>25.398907103825138</v>
      </c>
      <c r="BJ2533" s="129">
        <f t="shared" si="1869"/>
        <v>0</v>
      </c>
      <c r="BK2533" s="129">
        <f t="shared" si="1839"/>
        <v>-231</v>
      </c>
      <c r="BL2533" s="129" t="str">
        <f t="shared" si="1835"/>
        <v>CONVICTION</v>
      </c>
      <c r="BM2533" s="129" t="s">
        <v>76</v>
      </c>
      <c r="BN2533" s="129" t="s">
        <v>88</v>
      </c>
      <c r="BP2533" s="137" t="str">
        <f t="shared" si="1846"/>
        <v>CONVICTION</v>
      </c>
      <c r="BQ2533" s="128" t="str">
        <f t="shared" si="1856"/>
        <v>Y</v>
      </c>
      <c r="BR2533" s="129" t="str">
        <f>IF(J2533&lt;G2533,"ON BOND",0)</f>
        <v>ON BOND</v>
      </c>
      <c r="BS2533" s="129" t="str">
        <f t="shared" si="1848"/>
        <v>DISPOSED</v>
      </c>
      <c r="BT2533" s="129" t="str">
        <f t="shared" si="1849"/>
        <v>N</v>
      </c>
      <c r="BU2533" s="109">
        <f t="shared" si="1850"/>
        <v>2.9411764705882353E-2</v>
      </c>
      <c r="BV2533" s="109">
        <f t="shared" si="1857"/>
        <v>2.9411764705882353E-2</v>
      </c>
      <c r="BW2533" s="109">
        <f t="shared" si="1868"/>
        <v>0</v>
      </c>
      <c r="BX2533" s="111">
        <f t="shared" si="1851"/>
        <v>0</v>
      </c>
      <c r="BY2533" s="129">
        <f t="shared" si="1858"/>
        <v>-7</v>
      </c>
      <c r="BZ2533" s="111">
        <f t="shared" si="1859"/>
        <v>0</v>
      </c>
      <c r="CA2533" s="138">
        <f t="shared" si="1860"/>
        <v>7</v>
      </c>
      <c r="CB2533" s="111" t="e">
        <f t="shared" si="1843"/>
        <v>#VALUE!</v>
      </c>
      <c r="CC2533" s="129">
        <f>M2533-I2533+1</f>
        <v>7</v>
      </c>
      <c r="CD2533" s="111">
        <f>CC2533-BF2533</f>
        <v>0</v>
      </c>
      <c r="CG2533" s="129" t="str">
        <f t="shared" si="1861"/>
        <v>Y</v>
      </c>
      <c r="CI2533" s="129" t="str">
        <f t="shared" si="1862"/>
        <v>0-10 DAYS</v>
      </c>
      <c r="CJ2533" s="137">
        <f t="shared" si="1863"/>
        <v>1</v>
      </c>
      <c r="CK2533" s="129" t="str">
        <f t="shared" si="1864"/>
        <v>Booked</v>
      </c>
    </row>
    <row r="2534" spans="1:89" ht="15.75" customHeight="1" x14ac:dyDescent="0.25">
      <c r="A2534" s="111">
        <v>1125</v>
      </c>
      <c r="B2534" s="128" t="str">
        <f t="shared" si="1852"/>
        <v>N</v>
      </c>
      <c r="C2534" s="128" t="str">
        <f t="shared" si="1853"/>
        <v>N</v>
      </c>
      <c r="D2534" s="117">
        <v>2591317</v>
      </c>
      <c r="E2534" s="135">
        <f t="shared" si="1854"/>
        <v>1</v>
      </c>
      <c r="F2534" s="124">
        <v>40949</v>
      </c>
      <c r="G2534" s="125">
        <v>40953</v>
      </c>
      <c r="H2534" s="117">
        <v>2591317</v>
      </c>
      <c r="I2534" s="124" t="s">
        <v>562</v>
      </c>
      <c r="J2534" s="124" t="s">
        <v>562</v>
      </c>
      <c r="K2534" s="126" t="s">
        <v>564</v>
      </c>
      <c r="L2534" s="127" t="s">
        <v>564</v>
      </c>
      <c r="N2534" s="124" t="s">
        <v>1342</v>
      </c>
      <c r="O2534" s="128" t="s">
        <v>917</v>
      </c>
      <c r="P2534" s="129" t="s">
        <v>55</v>
      </c>
      <c r="Q2534" s="111">
        <f t="shared" si="1836"/>
        <v>0</v>
      </c>
      <c r="R2534" s="111">
        <f t="shared" si="1837"/>
        <v>5</v>
      </c>
      <c r="S2534" s="129">
        <v>1</v>
      </c>
      <c r="T2534" s="129">
        <v>0</v>
      </c>
      <c r="V2534" s="117">
        <v>1</v>
      </c>
      <c r="W2534" s="111"/>
      <c r="AB2534" s="131" t="s">
        <v>112</v>
      </c>
      <c r="AC2534" s="130"/>
      <c r="AD2534" s="130">
        <v>25247</v>
      </c>
      <c r="AE2534" s="128" t="s">
        <v>32</v>
      </c>
      <c r="AF2534" s="128" t="s">
        <v>40</v>
      </c>
      <c r="AG2534" s="128" t="s">
        <v>41</v>
      </c>
      <c r="AH2534" s="108" t="s">
        <v>31</v>
      </c>
      <c r="AI2534" s="128" t="s">
        <v>113</v>
      </c>
      <c r="AJ2534" s="129" t="s">
        <v>55</v>
      </c>
      <c r="AK2534" s="129">
        <v>2</v>
      </c>
      <c r="AL2534" s="3" t="s">
        <v>55</v>
      </c>
      <c r="AP2534" s="129" t="s">
        <v>179</v>
      </c>
      <c r="AR2534" s="128" t="s">
        <v>92</v>
      </c>
      <c r="AS2534" s="129" t="s">
        <v>180</v>
      </c>
      <c r="BC2534" s="129" t="s">
        <v>79</v>
      </c>
      <c r="BF2534" s="111">
        <v>0</v>
      </c>
      <c r="BG2534" s="111">
        <v>0</v>
      </c>
      <c r="BH2534" s="111">
        <f t="shared" si="1838"/>
        <v>5</v>
      </c>
      <c r="BI2534" s="111">
        <f t="shared" si="1844"/>
        <v>42.901639344262293</v>
      </c>
      <c r="BJ2534" s="129" t="e">
        <f t="shared" si="1869"/>
        <v>#VALUE!</v>
      </c>
      <c r="BK2534" s="129" t="e">
        <f t="shared" si="1839"/>
        <v>#VALUE!</v>
      </c>
      <c r="BL2534" s="129" t="str">
        <f t="shared" si="1835"/>
        <v>NO CONVICTION</v>
      </c>
      <c r="BM2534" s="129" t="str">
        <f t="shared" si="1845"/>
        <v>NONE</v>
      </c>
      <c r="BN2534" s="129" t="s">
        <v>566</v>
      </c>
      <c r="BP2534" s="137" t="str">
        <f t="shared" si="1846"/>
        <v>NO CONVICTION</v>
      </c>
      <c r="BQ2534" s="128">
        <f t="shared" si="1856"/>
        <v>0</v>
      </c>
      <c r="BR2534" s="129" t="s">
        <v>1345</v>
      </c>
      <c r="BS2534" s="129" t="str">
        <f t="shared" si="1848"/>
        <v>DISPOSED</v>
      </c>
      <c r="BT2534" s="129" t="str">
        <f t="shared" si="1849"/>
        <v>Y</v>
      </c>
      <c r="BU2534" s="109">
        <f>IFERROR(Q2534/R2534,BR2534)</f>
        <v>0</v>
      </c>
      <c r="BV2534" s="109">
        <v>0</v>
      </c>
      <c r="BW2534" s="109">
        <f t="shared" si="1868"/>
        <v>0</v>
      </c>
      <c r="BX2534" s="111">
        <f t="shared" si="1851"/>
        <v>0</v>
      </c>
      <c r="BY2534" s="129" t="e">
        <f t="shared" si="1858"/>
        <v>#VALUE!</v>
      </c>
      <c r="BZ2534" s="111" t="e">
        <f t="shared" si="1859"/>
        <v>#VALUE!</v>
      </c>
      <c r="CA2534" s="138" t="e">
        <f t="shared" si="1860"/>
        <v>#VALUE!</v>
      </c>
      <c r="CB2534" s="111">
        <v>0</v>
      </c>
      <c r="CC2534" s="129">
        <v>0</v>
      </c>
      <c r="CG2534" s="129" t="str">
        <f t="shared" si="1861"/>
        <v>Y</v>
      </c>
      <c r="CI2534" s="129" t="str">
        <f t="shared" si="1862"/>
        <v>0-10 DAYS</v>
      </c>
      <c r="CJ2534" s="137">
        <f t="shared" si="1863"/>
        <v>1</v>
      </c>
      <c r="CK2534" s="129" t="str">
        <f t="shared" si="1864"/>
        <v>Not Booked</v>
      </c>
    </row>
    <row r="2535" spans="1:89" ht="15.75" customHeight="1" x14ac:dyDescent="0.25">
      <c r="A2535" s="111">
        <v>424</v>
      </c>
      <c r="B2535" s="128" t="str">
        <f t="shared" si="1852"/>
        <v>N</v>
      </c>
      <c r="C2535" s="128" t="str">
        <f t="shared" si="1853"/>
        <v>N</v>
      </c>
      <c r="D2535" s="117">
        <v>2591634</v>
      </c>
      <c r="E2535" s="135">
        <f t="shared" si="1854"/>
        <v>2</v>
      </c>
      <c r="F2535" s="124">
        <v>40926</v>
      </c>
      <c r="G2535" s="125">
        <v>41074</v>
      </c>
      <c r="H2535" s="117">
        <v>2591634</v>
      </c>
      <c r="I2535" s="124" t="s">
        <v>562</v>
      </c>
      <c r="J2535" s="124" t="s">
        <v>562</v>
      </c>
      <c r="K2535" s="126">
        <v>15000</v>
      </c>
      <c r="L2535" s="127" t="s">
        <v>571</v>
      </c>
      <c r="M2535" s="125">
        <v>40930</v>
      </c>
      <c r="N2535" s="129" t="str">
        <f>IF(M2535&gt;1/1/1,"Y",IF(Q2535="0","","N"))</f>
        <v>Y</v>
      </c>
      <c r="O2535" s="128" t="s">
        <v>76</v>
      </c>
      <c r="P2535" s="129" t="s">
        <v>589</v>
      </c>
      <c r="Q2535" s="111">
        <f t="shared" si="1836"/>
        <v>0</v>
      </c>
      <c r="R2535" s="111">
        <f t="shared" si="1837"/>
        <v>149</v>
      </c>
      <c r="S2535" s="129">
        <v>0</v>
      </c>
      <c r="T2535" s="129">
        <v>0</v>
      </c>
      <c r="W2535" s="111"/>
      <c r="AC2535" s="130"/>
      <c r="AD2535" s="130">
        <v>32141</v>
      </c>
      <c r="AE2535" s="128" t="s">
        <v>32</v>
      </c>
      <c r="AF2535" s="128" t="s">
        <v>69</v>
      </c>
      <c r="AG2535" s="128" t="s">
        <v>874</v>
      </c>
      <c r="AH2535" s="108" t="s">
        <v>31</v>
      </c>
      <c r="AI2535" s="128" t="s">
        <v>118</v>
      </c>
      <c r="AJ2535" s="129" t="s">
        <v>48</v>
      </c>
      <c r="AK2535" s="129">
        <v>6</v>
      </c>
      <c r="AL2535" s="3" t="s">
        <v>48</v>
      </c>
      <c r="AP2535" s="129" t="s">
        <v>152</v>
      </c>
      <c r="AR2535" s="128" t="s">
        <v>67</v>
      </c>
      <c r="AS2535" s="129" t="s">
        <v>126</v>
      </c>
      <c r="BC2535" s="129" t="s">
        <v>52</v>
      </c>
      <c r="BF2535" s="111">
        <v>0</v>
      </c>
      <c r="BG2535" s="111">
        <v>0</v>
      </c>
      <c r="BH2535" s="111">
        <f t="shared" si="1838"/>
        <v>149</v>
      </c>
      <c r="BI2535" s="111">
        <f t="shared" si="1844"/>
        <v>24.002732240437158</v>
      </c>
      <c r="BJ2535" s="129" t="e">
        <f t="shared" si="1869"/>
        <v>#VALUE!</v>
      </c>
      <c r="BK2535" s="129" t="e">
        <f t="shared" si="1839"/>
        <v>#VALUE!</v>
      </c>
      <c r="BL2535" s="129" t="str">
        <f t="shared" si="1835"/>
        <v>DEFERRED</v>
      </c>
      <c r="BM2535" s="129" t="s">
        <v>76</v>
      </c>
      <c r="BN2535" s="129" t="s">
        <v>88</v>
      </c>
      <c r="BP2535" s="137" t="str">
        <f t="shared" si="1846"/>
        <v>DEFERRED</v>
      </c>
      <c r="BQ2535" s="128">
        <f t="shared" si="1856"/>
        <v>0</v>
      </c>
      <c r="BR2535" s="129" t="s">
        <v>575</v>
      </c>
      <c r="BS2535" s="129" t="str">
        <f t="shared" si="1848"/>
        <v>DISPOSED</v>
      </c>
      <c r="BT2535" s="129" t="str">
        <f t="shared" si="1849"/>
        <v>N</v>
      </c>
      <c r="BU2535" s="109">
        <f t="shared" si="1850"/>
        <v>0</v>
      </c>
      <c r="BV2535" s="109">
        <v>0</v>
      </c>
      <c r="BW2535" s="109">
        <f t="shared" si="1868"/>
        <v>0</v>
      </c>
      <c r="BX2535" s="111">
        <f t="shared" si="1851"/>
        <v>0</v>
      </c>
      <c r="BY2535" s="129" t="e">
        <f t="shared" si="1858"/>
        <v>#VALUE!</v>
      </c>
      <c r="BZ2535" s="111" t="e">
        <f t="shared" si="1859"/>
        <v>#VALUE!</v>
      </c>
      <c r="CA2535" s="138" t="e">
        <f t="shared" si="1860"/>
        <v>#VALUE!</v>
      </c>
      <c r="CB2535" s="111">
        <v>0</v>
      </c>
      <c r="CC2535" s="129">
        <v>0</v>
      </c>
      <c r="CD2535" s="111">
        <f>CC2535-BF2535</f>
        <v>0</v>
      </c>
      <c r="CG2535" s="129" t="str">
        <f t="shared" si="1861"/>
        <v>N</v>
      </c>
      <c r="CI2535" s="129" t="str">
        <f t="shared" si="1862"/>
        <v>0-10 DAYS</v>
      </c>
      <c r="CJ2535" s="137">
        <f t="shared" si="1863"/>
        <v>1</v>
      </c>
      <c r="CK2535" s="129" t="str">
        <f t="shared" si="1864"/>
        <v>Not Booked</v>
      </c>
    </row>
    <row r="2536" spans="1:89" ht="15" customHeight="1" x14ac:dyDescent="0.25">
      <c r="A2536" s="111">
        <v>1866</v>
      </c>
      <c r="B2536" s="128" t="str">
        <f t="shared" si="1852"/>
        <v>N</v>
      </c>
      <c r="C2536" s="128" t="str">
        <f t="shared" si="1853"/>
        <v>N</v>
      </c>
      <c r="D2536" s="117">
        <v>2591915</v>
      </c>
      <c r="E2536" s="135">
        <f t="shared" si="1854"/>
        <v>2</v>
      </c>
      <c r="F2536" s="124">
        <v>40978</v>
      </c>
      <c r="G2536" s="125">
        <v>41192</v>
      </c>
      <c r="H2536" s="117">
        <v>2591915</v>
      </c>
      <c r="I2536" s="124">
        <v>40977</v>
      </c>
      <c r="J2536" s="124">
        <v>40979</v>
      </c>
      <c r="K2536" s="126">
        <v>10000</v>
      </c>
      <c r="L2536" s="127" t="s">
        <v>570</v>
      </c>
      <c r="M2536" s="125">
        <v>40979</v>
      </c>
      <c r="N2536" s="129" t="str">
        <f>IF(M2536&gt;1/1/1,"Y","N")</f>
        <v>Y</v>
      </c>
      <c r="O2536" s="128" t="s">
        <v>76</v>
      </c>
      <c r="P2536" s="129" t="s">
        <v>589</v>
      </c>
      <c r="Q2536" s="111">
        <f t="shared" si="1836"/>
        <v>3</v>
      </c>
      <c r="R2536" s="111">
        <f t="shared" si="1837"/>
        <v>215</v>
      </c>
      <c r="S2536" s="129">
        <v>0</v>
      </c>
      <c r="T2536" s="129">
        <v>0</v>
      </c>
      <c r="W2536" s="111"/>
      <c r="AC2536" s="130"/>
      <c r="AD2536" s="130">
        <v>20908</v>
      </c>
      <c r="AE2536" s="128" t="s">
        <v>32</v>
      </c>
      <c r="AF2536" s="128" t="s">
        <v>33</v>
      </c>
      <c r="AG2536" s="128" t="s">
        <v>872</v>
      </c>
      <c r="AH2536" s="108" t="s">
        <v>31</v>
      </c>
      <c r="AI2536" s="128" t="s">
        <v>97</v>
      </c>
      <c r="AJ2536" s="129" t="s">
        <v>48</v>
      </c>
      <c r="AK2536" s="129">
        <v>9</v>
      </c>
      <c r="AL2536" s="3" t="s">
        <v>48</v>
      </c>
      <c r="AP2536" s="129" t="s">
        <v>134</v>
      </c>
      <c r="AR2536" s="128" t="s">
        <v>50</v>
      </c>
      <c r="AS2536" s="129" t="s">
        <v>64</v>
      </c>
      <c r="BC2536" s="129" t="s">
        <v>52</v>
      </c>
      <c r="BF2536" s="111">
        <f>IF(J2536&gt;1/1/1900,((J2536+1)-I2536),"STILL OPEN")</f>
        <v>3</v>
      </c>
      <c r="BG2536" s="111">
        <f>IF(G2536&gt;1/1/1900,((G2536+1)-I2536),"STILL OPEN")</f>
        <v>216</v>
      </c>
      <c r="BH2536" s="111">
        <f t="shared" si="1838"/>
        <v>215</v>
      </c>
      <c r="BI2536" s="111">
        <f t="shared" si="1844"/>
        <v>54.83606557377049</v>
      </c>
      <c r="BJ2536" s="129">
        <f t="shared" si="1869"/>
        <v>0</v>
      </c>
      <c r="BK2536" s="129">
        <f t="shared" si="1839"/>
        <v>-213</v>
      </c>
      <c r="BL2536" s="129" t="str">
        <f t="shared" si="1835"/>
        <v>DEFERRED</v>
      </c>
      <c r="BM2536" s="129" t="s">
        <v>76</v>
      </c>
      <c r="BN2536" s="129" t="s">
        <v>88</v>
      </c>
      <c r="BP2536" s="137" t="str">
        <f t="shared" si="1846"/>
        <v>DEFERRED</v>
      </c>
      <c r="BQ2536" s="128" t="str">
        <f t="shared" si="1856"/>
        <v>Y</v>
      </c>
      <c r="BR2536" s="129" t="str">
        <f t="shared" si="1847"/>
        <v>ON BOND</v>
      </c>
      <c r="BS2536" s="129" t="str">
        <f t="shared" si="1848"/>
        <v>DISPOSED</v>
      </c>
      <c r="BT2536" s="129" t="str">
        <f t="shared" si="1849"/>
        <v>N</v>
      </c>
      <c r="BU2536" s="109">
        <f t="shared" si="1850"/>
        <v>1.3953488372093023E-2</v>
      </c>
      <c r="BV2536" s="109">
        <f t="shared" si="1857"/>
        <v>1.3953488372093023E-2</v>
      </c>
      <c r="BW2536" s="109">
        <f t="shared" si="1868"/>
        <v>0</v>
      </c>
      <c r="BX2536" s="111">
        <f t="shared" si="1851"/>
        <v>0</v>
      </c>
      <c r="BY2536" s="129">
        <f t="shared" si="1858"/>
        <v>-3</v>
      </c>
      <c r="BZ2536" s="111">
        <f t="shared" si="1859"/>
        <v>0</v>
      </c>
      <c r="CA2536" s="138">
        <f t="shared" si="1860"/>
        <v>3</v>
      </c>
      <c r="CB2536" s="111" t="e">
        <f>IF(AF2536&gt;1/1/1900,((AF2536+1)-AE2536),"STILL OPEN")</f>
        <v>#VALUE!</v>
      </c>
      <c r="CC2536" s="129">
        <f>M2536-I2536+1</f>
        <v>3</v>
      </c>
      <c r="CD2536" s="111">
        <f>CC2536-BF2536</f>
        <v>0</v>
      </c>
      <c r="CG2536" s="129" t="str">
        <f t="shared" si="1861"/>
        <v>N</v>
      </c>
      <c r="CI2536" s="129" t="str">
        <f t="shared" si="1862"/>
        <v>0-10 DAYS</v>
      </c>
      <c r="CJ2536" s="137">
        <f t="shared" si="1863"/>
        <v>1</v>
      </c>
      <c r="CK2536" s="129" t="str">
        <f t="shared" si="1864"/>
        <v>Booked</v>
      </c>
    </row>
    <row r="2537" spans="1:89" ht="15" customHeight="1" x14ac:dyDescent="0.25">
      <c r="A2537" s="111">
        <v>2678</v>
      </c>
      <c r="B2537" s="128" t="str">
        <f t="shared" si="1852"/>
        <v>N</v>
      </c>
      <c r="C2537" s="128" t="str">
        <f t="shared" si="1853"/>
        <v>Y</v>
      </c>
      <c r="D2537" s="114">
        <v>2592432</v>
      </c>
      <c r="E2537" s="135">
        <f t="shared" si="1854"/>
        <v>4</v>
      </c>
      <c r="F2537" s="124">
        <v>41008</v>
      </c>
      <c r="G2537" s="125">
        <v>41311</v>
      </c>
      <c r="H2537" s="114">
        <v>2592432</v>
      </c>
      <c r="I2537" s="124">
        <v>41009</v>
      </c>
      <c r="J2537" s="124">
        <v>41011</v>
      </c>
      <c r="K2537" s="126">
        <v>2000</v>
      </c>
      <c r="L2537" s="127" t="s">
        <v>568</v>
      </c>
      <c r="M2537" s="125">
        <v>41011</v>
      </c>
      <c r="N2537" s="129" t="str">
        <f>IF(M2537&gt;1/1/1,"Y","N")</f>
        <v>Y</v>
      </c>
      <c r="O2537" s="128" t="s">
        <v>76</v>
      </c>
      <c r="P2537" s="129" t="s">
        <v>39</v>
      </c>
      <c r="Q2537" s="111">
        <v>11</v>
      </c>
      <c r="R2537" s="111">
        <f t="shared" si="1837"/>
        <v>304</v>
      </c>
      <c r="S2537" s="129">
        <v>0</v>
      </c>
      <c r="T2537" s="129">
        <v>0</v>
      </c>
      <c r="W2537" s="111"/>
      <c r="AB2537" s="131" t="s">
        <v>112</v>
      </c>
      <c r="AC2537" s="130"/>
      <c r="AD2537" s="130">
        <v>34655</v>
      </c>
      <c r="AE2537" s="128" t="s">
        <v>32</v>
      </c>
      <c r="AF2537" s="128" t="s">
        <v>40</v>
      </c>
      <c r="AG2537" s="128" t="s">
        <v>41</v>
      </c>
      <c r="AH2537" s="108" t="s">
        <v>31</v>
      </c>
      <c r="AI2537" s="128" t="s">
        <v>80</v>
      </c>
      <c r="AJ2537" s="129" t="s">
        <v>89</v>
      </c>
      <c r="AK2537" s="129">
        <v>5</v>
      </c>
      <c r="AL2537" s="3" t="s">
        <v>991</v>
      </c>
      <c r="AO2537" s="128">
        <v>30</v>
      </c>
      <c r="AP2537" s="129" t="s">
        <v>43</v>
      </c>
      <c r="AR2537" s="128" t="s">
        <v>44</v>
      </c>
      <c r="AS2537" s="129" t="s">
        <v>45</v>
      </c>
      <c r="AT2537" s="129" t="s">
        <v>1102</v>
      </c>
      <c r="AV2537" s="3" t="s">
        <v>88</v>
      </c>
      <c r="AW2537" s="129" t="s">
        <v>777</v>
      </c>
      <c r="AY2537" s="123"/>
      <c r="BA2537" s="125">
        <v>41296</v>
      </c>
      <c r="BB2537" s="129">
        <v>339</v>
      </c>
      <c r="BC2537" s="129" t="s">
        <v>52</v>
      </c>
      <c r="BF2537" s="111">
        <v>11</v>
      </c>
      <c r="BG2537" s="111">
        <f>IF(G2537&gt;1/1/1900,((G2537+1)-I2537),"STILL OPEN")</f>
        <v>303</v>
      </c>
      <c r="BH2537" s="111">
        <f t="shared" si="1838"/>
        <v>304</v>
      </c>
      <c r="BI2537" s="111">
        <f t="shared" si="1844"/>
        <v>17.357923497267759</v>
      </c>
      <c r="BJ2537" s="129">
        <f t="shared" si="1869"/>
        <v>0</v>
      </c>
      <c r="BK2537" s="129">
        <f t="shared" si="1839"/>
        <v>-300</v>
      </c>
      <c r="BL2537" s="129" t="str">
        <f t="shared" si="1835"/>
        <v>CONVICTION</v>
      </c>
      <c r="BM2537" s="129" t="s">
        <v>76</v>
      </c>
      <c r="BN2537" s="129" t="s">
        <v>88</v>
      </c>
      <c r="BP2537" s="137" t="str">
        <f t="shared" si="1846"/>
        <v>CONVICTION</v>
      </c>
      <c r="BQ2537" s="128" t="str">
        <f t="shared" si="1856"/>
        <v>Y</v>
      </c>
      <c r="BR2537" s="129" t="s">
        <v>574</v>
      </c>
      <c r="BS2537" s="129" t="str">
        <f t="shared" si="1848"/>
        <v>DISPOSED</v>
      </c>
      <c r="BT2537" s="129" t="str">
        <f t="shared" si="1849"/>
        <v>N</v>
      </c>
      <c r="BU2537" s="109">
        <f t="shared" si="1850"/>
        <v>3.6184210526315791E-2</v>
      </c>
      <c r="BV2537" s="109">
        <f t="shared" si="1857"/>
        <v>9.9009900990099011E-3</v>
      </c>
      <c r="BW2537" s="109">
        <f t="shared" si="1868"/>
        <v>-2.6283220427305888E-2</v>
      </c>
      <c r="BX2537" s="111">
        <f t="shared" si="1851"/>
        <v>0</v>
      </c>
      <c r="BY2537" s="129">
        <f t="shared" si="1858"/>
        <v>-3</v>
      </c>
      <c r="BZ2537" s="111">
        <f t="shared" si="1859"/>
        <v>8</v>
      </c>
      <c r="CA2537" s="138">
        <f t="shared" si="1860"/>
        <v>303</v>
      </c>
      <c r="CB2537" s="111">
        <v>11</v>
      </c>
      <c r="CC2537" s="129">
        <f>G2537-I2537+1</f>
        <v>303</v>
      </c>
      <c r="CD2537" s="129">
        <f>G2537-J2537</f>
        <v>300</v>
      </c>
      <c r="CG2537" s="129" t="str">
        <f t="shared" si="1861"/>
        <v>N</v>
      </c>
      <c r="CI2537" s="129" t="str">
        <f t="shared" si="1862"/>
        <v>11-30 DAYS</v>
      </c>
      <c r="CJ2537" s="137">
        <f t="shared" si="1863"/>
        <v>2</v>
      </c>
      <c r="CK2537" s="129" t="str">
        <f t="shared" si="1864"/>
        <v>Booked</v>
      </c>
    </row>
    <row r="2538" spans="1:89" ht="0.75" customHeight="1" x14ac:dyDescent="0.25">
      <c r="A2538" s="111">
        <v>1855</v>
      </c>
      <c r="B2538" s="128" t="str">
        <f t="shared" si="1852"/>
        <v>N</v>
      </c>
      <c r="C2538" s="128" t="str">
        <f t="shared" si="1853"/>
        <v>N</v>
      </c>
      <c r="D2538" s="117">
        <v>2592502</v>
      </c>
      <c r="E2538" s="135">
        <f t="shared" si="1854"/>
        <v>1</v>
      </c>
      <c r="F2538" s="124">
        <v>40977</v>
      </c>
      <c r="G2538" s="125">
        <v>41107</v>
      </c>
      <c r="H2538" s="117">
        <v>2592502</v>
      </c>
      <c r="I2538" s="124">
        <v>40939</v>
      </c>
      <c r="J2538" s="124">
        <v>41107</v>
      </c>
      <c r="K2538" s="126">
        <v>75000</v>
      </c>
      <c r="L2538" s="129" t="s">
        <v>572</v>
      </c>
      <c r="N2538" s="129" t="str">
        <f>IF(M2538&gt;1/1/1,"Y","N")</f>
        <v>N</v>
      </c>
      <c r="O2538" s="128" t="s">
        <v>917</v>
      </c>
      <c r="P2538" s="129" t="s">
        <v>55</v>
      </c>
      <c r="Q2538" s="111">
        <f t="shared" ref="Q2538:Q2580" si="1870">BF2538</f>
        <v>169</v>
      </c>
      <c r="R2538" s="111">
        <f t="shared" si="1837"/>
        <v>131</v>
      </c>
      <c r="S2538" s="129">
        <v>0</v>
      </c>
      <c r="T2538" s="129">
        <v>1</v>
      </c>
      <c r="W2538" s="111"/>
      <c r="AC2538" s="130"/>
      <c r="AD2538" s="130">
        <v>24604</v>
      </c>
      <c r="AE2538" s="128" t="s">
        <v>46</v>
      </c>
      <c r="AF2538" s="128" t="s">
        <v>69</v>
      </c>
      <c r="AG2538" s="128" t="s">
        <v>874</v>
      </c>
      <c r="AH2538" s="108" t="s">
        <v>31</v>
      </c>
      <c r="AI2538" s="128" t="s">
        <v>72</v>
      </c>
      <c r="AJ2538" s="129" t="s">
        <v>55</v>
      </c>
      <c r="AK2538" s="129">
        <v>5</v>
      </c>
      <c r="AL2538" s="3" t="s">
        <v>55</v>
      </c>
      <c r="AP2538" s="129" t="s">
        <v>232</v>
      </c>
      <c r="AR2538" s="128" t="s">
        <v>67</v>
      </c>
      <c r="AS2538" s="129" t="s">
        <v>61</v>
      </c>
      <c r="BC2538" s="129" t="s">
        <v>38</v>
      </c>
      <c r="BF2538" s="111">
        <f>IF(J2538&gt;1/1/1900,((J2538+1)-I2538),"STILL OPEN")</f>
        <v>169</v>
      </c>
      <c r="BG2538" s="111">
        <f>IF(G2538&gt;1/1/1900,((G2538+1)-I2538),"STILL OPEN")</f>
        <v>169</v>
      </c>
      <c r="BH2538" s="111">
        <f t="shared" si="1838"/>
        <v>131</v>
      </c>
      <c r="BI2538" s="111">
        <f t="shared" si="1844"/>
        <v>44.734972677595628</v>
      </c>
      <c r="BJ2538" s="129">
        <f t="shared" si="1855"/>
        <v>0</v>
      </c>
      <c r="BK2538" s="129">
        <f t="shared" si="1839"/>
        <v>0</v>
      </c>
      <c r="BL2538" s="129" t="str">
        <f t="shared" si="1835"/>
        <v>NO CONVICTION</v>
      </c>
      <c r="BM2538" s="129" t="str">
        <f t="shared" si="1845"/>
        <v>NONE</v>
      </c>
      <c r="BN2538" s="129" t="s">
        <v>566</v>
      </c>
      <c r="BP2538" s="137" t="str">
        <f t="shared" si="1846"/>
        <v>NO CONVICTION</v>
      </c>
      <c r="BQ2538" s="128" t="str">
        <f t="shared" si="1856"/>
        <v>Y</v>
      </c>
      <c r="BR2538" s="129" t="str">
        <f t="shared" si="1847"/>
        <v>DETAINED</v>
      </c>
      <c r="BS2538" s="129" t="str">
        <f t="shared" si="1848"/>
        <v>DISPOSED</v>
      </c>
      <c r="BT2538" s="129" t="str">
        <f t="shared" si="1849"/>
        <v>N</v>
      </c>
      <c r="BU2538" s="109">
        <f>IFERROR(Q2538/R2538,BR2538)</f>
        <v>1.2900763358778626</v>
      </c>
      <c r="BV2538" s="109">
        <f t="shared" si="1857"/>
        <v>1.2900763358778626</v>
      </c>
      <c r="BW2538" s="109">
        <f t="shared" si="1868"/>
        <v>0</v>
      </c>
      <c r="BX2538" s="111">
        <f t="shared" si="1851"/>
        <v>0</v>
      </c>
      <c r="BY2538" s="129">
        <f t="shared" si="1858"/>
        <v>-169</v>
      </c>
      <c r="BZ2538" s="111">
        <f t="shared" si="1859"/>
        <v>0</v>
      </c>
      <c r="CA2538" s="138">
        <f t="shared" si="1860"/>
        <v>169</v>
      </c>
      <c r="CB2538" s="111" t="e">
        <f>IF(AF2538&gt;1/1/1900,((AF2538+1)-AE2538),"STILL OPEN")</f>
        <v>#VALUE!</v>
      </c>
      <c r="CC2538" s="129">
        <f>G2538-I2538+1</f>
        <v>169</v>
      </c>
      <c r="CD2538" s="129">
        <f>G2538-J2538</f>
        <v>0</v>
      </c>
      <c r="CG2538" s="129" t="str">
        <f t="shared" si="1861"/>
        <v>Y</v>
      </c>
      <c r="CI2538" s="129" t="str">
        <f t="shared" si="1862"/>
        <v>121-365 DAYS</v>
      </c>
      <c r="CJ2538" s="137">
        <f t="shared" si="1863"/>
        <v>6</v>
      </c>
      <c r="CK2538" s="129" t="str">
        <f t="shared" si="1864"/>
        <v>Booked</v>
      </c>
    </row>
    <row r="2539" spans="1:89" ht="15" customHeight="1" x14ac:dyDescent="0.25">
      <c r="A2539" s="111">
        <v>701</v>
      </c>
      <c r="B2539" s="128" t="str">
        <f t="shared" si="1852"/>
        <v>N</v>
      </c>
      <c r="C2539" s="128" t="str">
        <f t="shared" si="1853"/>
        <v>N</v>
      </c>
      <c r="D2539" s="117">
        <v>2592693</v>
      </c>
      <c r="E2539" s="135">
        <f t="shared" si="1854"/>
        <v>2</v>
      </c>
      <c r="F2539" s="124">
        <v>40936</v>
      </c>
      <c r="G2539" s="125">
        <v>40938</v>
      </c>
      <c r="H2539" s="117">
        <v>2592693</v>
      </c>
      <c r="I2539" s="124" t="s">
        <v>562</v>
      </c>
      <c r="J2539" s="124" t="s">
        <v>562</v>
      </c>
      <c r="K2539" s="126">
        <v>2000</v>
      </c>
      <c r="L2539" s="127" t="s">
        <v>568</v>
      </c>
      <c r="N2539" s="124" t="s">
        <v>1343</v>
      </c>
      <c r="O2539" s="128" t="s">
        <v>917</v>
      </c>
      <c r="P2539" s="129" t="s">
        <v>589</v>
      </c>
      <c r="Q2539" s="111">
        <f t="shared" si="1870"/>
        <v>0</v>
      </c>
      <c r="R2539" s="111">
        <f t="shared" si="1837"/>
        <v>3</v>
      </c>
      <c r="S2539" s="129">
        <v>0</v>
      </c>
      <c r="T2539" s="129">
        <v>3</v>
      </c>
      <c r="W2539" s="111"/>
      <c r="AC2539" s="130"/>
      <c r="AD2539" s="130">
        <v>33210</v>
      </c>
      <c r="AE2539" s="128" t="s">
        <v>32</v>
      </c>
      <c r="AF2539" s="128" t="s">
        <v>40</v>
      </c>
      <c r="AG2539" s="128" t="s">
        <v>41</v>
      </c>
      <c r="AH2539" s="108" t="s">
        <v>41</v>
      </c>
      <c r="AI2539" s="128" t="s">
        <v>114</v>
      </c>
      <c r="AJ2539" s="129" t="s">
        <v>48</v>
      </c>
      <c r="AK2539" s="129">
        <v>1</v>
      </c>
      <c r="AL2539" s="3" t="s">
        <v>48</v>
      </c>
      <c r="AP2539" s="129" t="s">
        <v>43</v>
      </c>
      <c r="AR2539" s="128" t="s">
        <v>44</v>
      </c>
      <c r="AS2539" s="129" t="s">
        <v>45</v>
      </c>
      <c r="AT2539" s="3" t="s">
        <v>240</v>
      </c>
      <c r="AX2539" s="32"/>
      <c r="BC2539" s="129" t="s">
        <v>38</v>
      </c>
      <c r="BD2539" s="3"/>
      <c r="BF2539" s="111">
        <v>0</v>
      </c>
      <c r="BG2539" s="111">
        <v>0</v>
      </c>
      <c r="BH2539" s="111">
        <f t="shared" si="1838"/>
        <v>3</v>
      </c>
      <c r="BI2539" s="111">
        <f t="shared" si="1844"/>
        <v>21.10928961748634</v>
      </c>
      <c r="BJ2539" s="129" t="e">
        <f>(G2539-J2539)+(M2539-G2539)</f>
        <v>#VALUE!</v>
      </c>
      <c r="BK2539" s="129" t="e">
        <f t="shared" si="1839"/>
        <v>#VALUE!</v>
      </c>
      <c r="BL2539" s="129" t="str">
        <f t="shared" si="1835"/>
        <v>DEFERRED</v>
      </c>
      <c r="BM2539" s="129" t="str">
        <f t="shared" si="1845"/>
        <v>NONE</v>
      </c>
      <c r="BN2539" s="129" t="s">
        <v>566</v>
      </c>
      <c r="BP2539" s="137" t="str">
        <f t="shared" si="1846"/>
        <v>DEFERRED</v>
      </c>
      <c r="BQ2539" s="128">
        <f t="shared" si="1856"/>
        <v>0</v>
      </c>
      <c r="BR2539" s="129" t="s">
        <v>1344</v>
      </c>
      <c r="BS2539" s="129" t="str">
        <f t="shared" si="1848"/>
        <v>DISPOSED</v>
      </c>
      <c r="BT2539" s="129" t="str">
        <f t="shared" si="1849"/>
        <v>N</v>
      </c>
      <c r="BU2539" s="109">
        <f t="shared" si="1850"/>
        <v>0</v>
      </c>
      <c r="BV2539" s="109">
        <v>0</v>
      </c>
      <c r="BW2539" s="109">
        <f t="shared" si="1868"/>
        <v>0</v>
      </c>
      <c r="BX2539" s="111">
        <f t="shared" si="1851"/>
        <v>0</v>
      </c>
      <c r="BY2539" s="129" t="e">
        <f t="shared" si="1858"/>
        <v>#VALUE!</v>
      </c>
      <c r="BZ2539" s="111" t="e">
        <f t="shared" si="1859"/>
        <v>#VALUE!</v>
      </c>
      <c r="CA2539" s="138" t="e">
        <f t="shared" si="1860"/>
        <v>#VALUE!</v>
      </c>
      <c r="CB2539" s="111">
        <v>0</v>
      </c>
      <c r="CC2539" s="129">
        <v>0</v>
      </c>
      <c r="CG2539" s="129" t="str">
        <f t="shared" si="1861"/>
        <v>Y</v>
      </c>
      <c r="CI2539" s="129" t="str">
        <f t="shared" si="1862"/>
        <v>0-10 DAYS</v>
      </c>
      <c r="CJ2539" s="137">
        <f t="shared" si="1863"/>
        <v>1</v>
      </c>
      <c r="CK2539" s="129" t="str">
        <f t="shared" si="1864"/>
        <v>Not Booked</v>
      </c>
    </row>
    <row r="2540" spans="1:89" ht="15.75" customHeight="1" x14ac:dyDescent="0.25">
      <c r="A2540" s="111">
        <v>1697</v>
      </c>
      <c r="B2540" s="128" t="str">
        <f t="shared" si="1852"/>
        <v>N</v>
      </c>
      <c r="C2540" s="128" t="str">
        <f t="shared" si="1853"/>
        <v>N</v>
      </c>
      <c r="D2540" s="117">
        <v>2592878</v>
      </c>
      <c r="E2540" s="135">
        <f t="shared" si="1854"/>
        <v>2</v>
      </c>
      <c r="F2540" s="124">
        <v>40971</v>
      </c>
      <c r="G2540" s="125">
        <v>40973</v>
      </c>
      <c r="H2540" s="117">
        <v>2592878</v>
      </c>
      <c r="I2540" s="124">
        <v>40972</v>
      </c>
      <c r="J2540" s="124">
        <v>40973</v>
      </c>
      <c r="K2540" s="126">
        <v>50000</v>
      </c>
      <c r="L2540" s="129" t="s">
        <v>572</v>
      </c>
      <c r="N2540" s="129" t="str">
        <f>IF(M2540&gt;1/1/1,"Y","N")</f>
        <v>N</v>
      </c>
      <c r="O2540" s="128" t="s">
        <v>917</v>
      </c>
      <c r="P2540" s="129" t="s">
        <v>589</v>
      </c>
      <c r="Q2540" s="111">
        <f t="shared" si="1870"/>
        <v>2</v>
      </c>
      <c r="R2540" s="111">
        <f t="shared" si="1837"/>
        <v>3</v>
      </c>
      <c r="S2540" s="129">
        <v>0</v>
      </c>
      <c r="T2540" s="129">
        <v>0</v>
      </c>
      <c r="W2540" s="111"/>
      <c r="AB2540" s="131" t="s">
        <v>112</v>
      </c>
      <c r="AC2540" s="130"/>
      <c r="AD2540" s="130">
        <v>27976</v>
      </c>
      <c r="AE2540" s="128" t="s">
        <v>32</v>
      </c>
      <c r="AF2540" s="128" t="s">
        <v>40</v>
      </c>
      <c r="AG2540" s="128" t="s">
        <v>41</v>
      </c>
      <c r="AH2540" s="108" t="s">
        <v>41</v>
      </c>
      <c r="AI2540" s="128" t="s">
        <v>85</v>
      </c>
      <c r="AJ2540" s="129" t="s">
        <v>48</v>
      </c>
      <c r="AK2540" s="129">
        <v>1</v>
      </c>
      <c r="AL2540" s="3" t="s">
        <v>48</v>
      </c>
      <c r="AP2540" s="129" t="s">
        <v>150</v>
      </c>
      <c r="AR2540" s="128" t="s">
        <v>67</v>
      </c>
      <c r="AS2540" s="129" t="s">
        <v>74</v>
      </c>
      <c r="BC2540" s="129" t="s">
        <v>38</v>
      </c>
      <c r="BF2540" s="111">
        <f t="shared" ref="BF2540:BF2555" si="1871">IF(J2540&gt;1/1/1900,((J2540+1)-I2540),"STILL OPEN")</f>
        <v>2</v>
      </c>
      <c r="BG2540" s="111">
        <f t="shared" ref="BG2540:BG2555" si="1872">IF(G2540&gt;1/1/1900,((G2540+1)-I2540),"STILL OPEN")</f>
        <v>2</v>
      </c>
      <c r="BH2540" s="111">
        <f t="shared" si="1838"/>
        <v>3</v>
      </c>
      <c r="BI2540" s="111">
        <f t="shared" si="1844"/>
        <v>35.505464480874316</v>
      </c>
      <c r="BJ2540" s="129">
        <f t="shared" si="1855"/>
        <v>0</v>
      </c>
      <c r="BK2540" s="129">
        <f t="shared" si="1839"/>
        <v>0</v>
      </c>
      <c r="BL2540" s="129" t="str">
        <f t="shared" si="1835"/>
        <v>DEFERRED</v>
      </c>
      <c r="BM2540" s="129" t="str">
        <f t="shared" si="1845"/>
        <v>NONE</v>
      </c>
      <c r="BN2540" s="129" t="s">
        <v>566</v>
      </c>
      <c r="BP2540" s="137" t="str">
        <f t="shared" si="1846"/>
        <v>DEFERRED</v>
      </c>
      <c r="BQ2540" s="128" t="str">
        <f t="shared" si="1856"/>
        <v>Y</v>
      </c>
      <c r="BR2540" s="129" t="str">
        <f t="shared" si="1847"/>
        <v>DETAINED</v>
      </c>
      <c r="BS2540" s="129" t="str">
        <f t="shared" si="1848"/>
        <v>DISPOSED</v>
      </c>
      <c r="BT2540" s="129" t="str">
        <f t="shared" si="1849"/>
        <v>N</v>
      </c>
      <c r="BU2540" s="109">
        <f t="shared" si="1850"/>
        <v>0.66666666666666663</v>
      </c>
      <c r="BV2540" s="109">
        <f t="shared" si="1857"/>
        <v>1</v>
      </c>
      <c r="BW2540" s="109">
        <f t="shared" si="1868"/>
        <v>0.33333333333333337</v>
      </c>
      <c r="BX2540" s="111">
        <f t="shared" si="1851"/>
        <v>0</v>
      </c>
      <c r="BY2540" s="129">
        <f t="shared" si="1858"/>
        <v>-2</v>
      </c>
      <c r="BZ2540" s="111">
        <f t="shared" si="1859"/>
        <v>0</v>
      </c>
      <c r="CA2540" s="138">
        <f t="shared" si="1860"/>
        <v>2</v>
      </c>
      <c r="CB2540" s="111" t="e">
        <f t="shared" ref="CB2540:CB2555" si="1873">IF(AF2540&gt;1/1/1900,((AF2540+1)-AE2540),"STILL OPEN")</f>
        <v>#VALUE!</v>
      </c>
      <c r="CC2540" s="129">
        <f>G2540-I2540+1</f>
        <v>2</v>
      </c>
      <c r="CD2540" s="129">
        <f>G2540-J2540</f>
        <v>0</v>
      </c>
      <c r="CG2540" s="129" t="str">
        <f t="shared" si="1861"/>
        <v>N</v>
      </c>
      <c r="CI2540" s="129" t="str">
        <f t="shared" si="1862"/>
        <v>0-10 DAYS</v>
      </c>
      <c r="CJ2540" s="137">
        <f t="shared" si="1863"/>
        <v>1</v>
      </c>
      <c r="CK2540" s="129" t="str">
        <f t="shared" si="1864"/>
        <v>Booked</v>
      </c>
    </row>
    <row r="2541" spans="1:89" ht="15.75" customHeight="1" x14ac:dyDescent="0.25">
      <c r="A2541" s="111">
        <v>619</v>
      </c>
      <c r="B2541" s="128" t="str">
        <f t="shared" si="1852"/>
        <v>N</v>
      </c>
      <c r="C2541" s="128" t="str">
        <f t="shared" si="1853"/>
        <v>N</v>
      </c>
      <c r="D2541" s="117">
        <v>2593166</v>
      </c>
      <c r="E2541" s="135">
        <f t="shared" si="1854"/>
        <v>3</v>
      </c>
      <c r="F2541" s="124">
        <v>40933</v>
      </c>
      <c r="G2541" s="125">
        <v>41015</v>
      </c>
      <c r="H2541" s="117">
        <v>2593166</v>
      </c>
      <c r="I2541" s="124">
        <v>40933</v>
      </c>
      <c r="J2541" s="124">
        <v>41015</v>
      </c>
      <c r="K2541" s="126">
        <v>2500</v>
      </c>
      <c r="L2541" s="127" t="s">
        <v>569</v>
      </c>
      <c r="N2541" s="129" t="str">
        <f>IF(M2541&gt;1/1/1,"Y","N")</f>
        <v>N</v>
      </c>
      <c r="O2541" s="128" t="s">
        <v>917</v>
      </c>
      <c r="P2541" s="129" t="s">
        <v>39</v>
      </c>
      <c r="Q2541" s="111">
        <f t="shared" si="1870"/>
        <v>83</v>
      </c>
      <c r="R2541" s="111">
        <f t="shared" si="1837"/>
        <v>83</v>
      </c>
      <c r="S2541" s="129">
        <v>0</v>
      </c>
      <c r="T2541" s="129">
        <v>0</v>
      </c>
      <c r="W2541" s="111"/>
      <c r="AB2541" s="131" t="s">
        <v>112</v>
      </c>
      <c r="AC2541" s="130"/>
      <c r="AD2541" s="130">
        <v>30333</v>
      </c>
      <c r="AE2541" s="128" t="s">
        <v>46</v>
      </c>
      <c r="AF2541" s="128" t="s">
        <v>40</v>
      </c>
      <c r="AG2541" s="128" t="s">
        <v>41</v>
      </c>
      <c r="AH2541" s="108" t="s">
        <v>31</v>
      </c>
      <c r="AI2541" s="128" t="s">
        <v>97</v>
      </c>
      <c r="AJ2541" s="129" t="s">
        <v>89</v>
      </c>
      <c r="AK2541" s="129">
        <v>5</v>
      </c>
      <c r="AL2541" s="3" t="s">
        <v>185</v>
      </c>
      <c r="AP2541" s="129" t="s">
        <v>231</v>
      </c>
      <c r="AR2541" s="128" t="s">
        <v>44</v>
      </c>
      <c r="AS2541" s="129" t="s">
        <v>64</v>
      </c>
      <c r="BC2541" s="129" t="s">
        <v>52</v>
      </c>
      <c r="BF2541" s="111">
        <f t="shared" si="1871"/>
        <v>83</v>
      </c>
      <c r="BG2541" s="111">
        <f t="shared" si="1872"/>
        <v>83</v>
      </c>
      <c r="BH2541" s="111">
        <f t="shared" si="1838"/>
        <v>83</v>
      </c>
      <c r="BI2541" s="111">
        <f t="shared" si="1844"/>
        <v>28.961748633879782</v>
      </c>
      <c r="BJ2541" s="129">
        <f t="shared" si="1855"/>
        <v>0</v>
      </c>
      <c r="BK2541" s="129">
        <f t="shared" si="1839"/>
        <v>0</v>
      </c>
      <c r="BL2541" s="129" t="str">
        <f t="shared" si="1835"/>
        <v>CONVICTION</v>
      </c>
      <c r="BM2541" s="129" t="str">
        <f t="shared" si="1845"/>
        <v>NONE</v>
      </c>
      <c r="BN2541" s="129" t="s">
        <v>566</v>
      </c>
      <c r="BP2541" s="137" t="str">
        <f t="shared" si="1846"/>
        <v>CONVICTION</v>
      </c>
      <c r="BQ2541" s="128" t="str">
        <f t="shared" si="1856"/>
        <v>Y</v>
      </c>
      <c r="BR2541" s="129" t="str">
        <f t="shared" si="1847"/>
        <v>DETAINED</v>
      </c>
      <c r="BS2541" s="129" t="str">
        <f t="shared" si="1848"/>
        <v>DISPOSED</v>
      </c>
      <c r="BT2541" s="129" t="str">
        <f t="shared" si="1849"/>
        <v>N</v>
      </c>
      <c r="BU2541" s="109">
        <f t="shared" si="1850"/>
        <v>1</v>
      </c>
      <c r="BV2541" s="109">
        <f t="shared" si="1857"/>
        <v>1</v>
      </c>
      <c r="BW2541" s="109">
        <f t="shared" si="1868"/>
        <v>0</v>
      </c>
      <c r="BX2541" s="111">
        <f t="shared" si="1851"/>
        <v>0</v>
      </c>
      <c r="BY2541" s="129">
        <f t="shared" si="1858"/>
        <v>-83</v>
      </c>
      <c r="BZ2541" s="111">
        <f t="shared" si="1859"/>
        <v>0</v>
      </c>
      <c r="CA2541" s="138">
        <f t="shared" si="1860"/>
        <v>83</v>
      </c>
      <c r="CB2541" s="111" t="e">
        <f t="shared" si="1873"/>
        <v>#VALUE!</v>
      </c>
      <c r="CC2541" s="129">
        <f>G2541-I2541+1</f>
        <v>83</v>
      </c>
      <c r="CD2541" s="129">
        <f>G2541-J2541</f>
        <v>0</v>
      </c>
      <c r="CG2541" s="129" t="str">
        <f t="shared" si="1861"/>
        <v>N</v>
      </c>
      <c r="CI2541" s="129" t="str">
        <f t="shared" si="1862"/>
        <v>61-90 DAYS</v>
      </c>
      <c r="CJ2541" s="137">
        <f t="shared" si="1863"/>
        <v>4</v>
      </c>
      <c r="CK2541" s="129" t="str">
        <f t="shared" si="1864"/>
        <v>Booked</v>
      </c>
    </row>
    <row r="2542" spans="1:89" ht="15" customHeight="1" x14ac:dyDescent="0.25">
      <c r="A2542" s="111">
        <v>1299</v>
      </c>
      <c r="B2542" s="128" t="str">
        <f t="shared" si="1852"/>
        <v>Y</v>
      </c>
      <c r="C2542" s="128" t="str">
        <f t="shared" si="1853"/>
        <v>Y</v>
      </c>
      <c r="D2542" s="117">
        <v>2593616</v>
      </c>
      <c r="E2542" s="135">
        <f t="shared" si="1854"/>
        <v>2</v>
      </c>
      <c r="F2542" s="124">
        <v>40956</v>
      </c>
      <c r="G2542" s="125">
        <v>41123</v>
      </c>
      <c r="H2542" s="117">
        <v>2593616</v>
      </c>
      <c r="I2542" s="124">
        <v>40961</v>
      </c>
      <c r="J2542" s="124">
        <v>41003</v>
      </c>
      <c r="K2542" s="126">
        <v>2000</v>
      </c>
      <c r="L2542" s="127" t="s">
        <v>568</v>
      </c>
      <c r="M2542" s="125">
        <v>41003</v>
      </c>
      <c r="N2542" s="129" t="str">
        <f>IF(M2542&gt;1/1/1,"Y","N")</f>
        <v>Y</v>
      </c>
      <c r="O2542" s="128" t="s">
        <v>76</v>
      </c>
      <c r="P2542" s="129" t="s">
        <v>589</v>
      </c>
      <c r="Q2542" s="111">
        <v>77</v>
      </c>
      <c r="R2542" s="111">
        <f t="shared" si="1837"/>
        <v>168</v>
      </c>
      <c r="S2542" s="129">
        <v>0</v>
      </c>
      <c r="T2542" s="129">
        <v>2</v>
      </c>
      <c r="W2542" s="111"/>
      <c r="AC2542" s="130"/>
      <c r="AD2542" s="130">
        <v>34669</v>
      </c>
      <c r="AE2542" s="128" t="s">
        <v>32</v>
      </c>
      <c r="AF2542" s="128" t="s">
        <v>33</v>
      </c>
      <c r="AG2542" s="128" t="s">
        <v>872</v>
      </c>
      <c r="AH2542" s="108" t="s">
        <v>58</v>
      </c>
      <c r="AI2542" s="128" t="s">
        <v>85</v>
      </c>
      <c r="AJ2542" s="129" t="s">
        <v>48</v>
      </c>
      <c r="AK2542" s="129">
        <v>9</v>
      </c>
      <c r="AL2542" s="3" t="s">
        <v>48</v>
      </c>
      <c r="AP2542" s="129" t="s">
        <v>104</v>
      </c>
      <c r="AR2542" s="128" t="s">
        <v>44</v>
      </c>
      <c r="AS2542" s="129" t="s">
        <v>64</v>
      </c>
      <c r="AT2542" s="129" t="s">
        <v>314</v>
      </c>
      <c r="AU2542" s="3" t="s">
        <v>721</v>
      </c>
      <c r="AX2542" s="32" t="s">
        <v>88</v>
      </c>
      <c r="BC2542" s="129" t="s">
        <v>52</v>
      </c>
      <c r="BD2542" s="129" t="s">
        <v>1302</v>
      </c>
      <c r="BF2542" s="111">
        <v>77</v>
      </c>
      <c r="BG2542" s="111">
        <f t="shared" si="1872"/>
        <v>163</v>
      </c>
      <c r="BH2542" s="111">
        <f t="shared" si="1838"/>
        <v>168</v>
      </c>
      <c r="BI2542" s="111">
        <f t="shared" si="1844"/>
        <v>17.1775956284153</v>
      </c>
      <c r="BJ2542" s="129">
        <f>(G2542-J2542)+(M2542-G2542)</f>
        <v>0</v>
      </c>
      <c r="BK2542" s="129">
        <f t="shared" si="1839"/>
        <v>-120</v>
      </c>
      <c r="BL2542" s="129" t="str">
        <f t="shared" si="1835"/>
        <v>DEFERRED</v>
      </c>
      <c r="BM2542" s="129" t="s">
        <v>76</v>
      </c>
      <c r="BN2542" s="129" t="s">
        <v>88</v>
      </c>
      <c r="BP2542" s="137" t="str">
        <f t="shared" si="1846"/>
        <v>DEFERRED</v>
      </c>
      <c r="BQ2542" s="128" t="str">
        <f t="shared" si="1856"/>
        <v>Y</v>
      </c>
      <c r="BR2542" s="129" t="s">
        <v>574</v>
      </c>
      <c r="BS2542" s="129" t="str">
        <f t="shared" si="1848"/>
        <v>DISPOSED</v>
      </c>
      <c r="BT2542" s="129" t="str">
        <f t="shared" si="1849"/>
        <v>N</v>
      </c>
      <c r="BU2542" s="109">
        <f t="shared" si="1850"/>
        <v>0.45833333333333331</v>
      </c>
      <c r="BV2542" s="109">
        <f t="shared" si="1857"/>
        <v>0.26380368098159507</v>
      </c>
      <c r="BW2542" s="109">
        <f t="shared" si="1868"/>
        <v>-0.19452965235173825</v>
      </c>
      <c r="BX2542" s="111">
        <f t="shared" si="1851"/>
        <v>0</v>
      </c>
      <c r="BY2542" s="129">
        <f t="shared" si="1858"/>
        <v>-43</v>
      </c>
      <c r="BZ2542" s="111">
        <f t="shared" si="1859"/>
        <v>34</v>
      </c>
      <c r="CA2542" s="138">
        <f t="shared" si="1860"/>
        <v>163</v>
      </c>
      <c r="CB2542" s="111">
        <v>77</v>
      </c>
      <c r="CC2542" s="129">
        <f>G2542-I2542+1</f>
        <v>163</v>
      </c>
      <c r="CD2542" s="129">
        <f>G2542-J2542</f>
        <v>120</v>
      </c>
      <c r="CG2542" s="129" t="str">
        <f t="shared" si="1861"/>
        <v>Y</v>
      </c>
      <c r="CI2542" s="129" t="str">
        <f t="shared" si="1862"/>
        <v>61-90 DAYS</v>
      </c>
      <c r="CJ2542" s="137">
        <f t="shared" si="1863"/>
        <v>4</v>
      </c>
      <c r="CK2542" s="129" t="str">
        <f t="shared" si="1864"/>
        <v>Booked</v>
      </c>
    </row>
    <row r="2543" spans="1:89" ht="15" customHeight="1" x14ac:dyDescent="0.25">
      <c r="A2543" s="111">
        <v>43</v>
      </c>
      <c r="B2543" s="128" t="str">
        <f t="shared" si="1852"/>
        <v>N</v>
      </c>
      <c r="C2543" s="128" t="str">
        <f t="shared" si="1853"/>
        <v>N</v>
      </c>
      <c r="D2543" s="117">
        <v>2593770</v>
      </c>
      <c r="E2543" s="135">
        <f t="shared" si="1854"/>
        <v>4</v>
      </c>
      <c r="F2543" s="124">
        <v>40911</v>
      </c>
      <c r="G2543" s="125">
        <v>40970</v>
      </c>
      <c r="H2543" s="117">
        <v>2593770</v>
      </c>
      <c r="I2543" s="124">
        <v>40911</v>
      </c>
      <c r="J2543" s="124">
        <v>40970</v>
      </c>
      <c r="K2543" s="126">
        <v>5000</v>
      </c>
      <c r="L2543" s="127" t="s">
        <v>569</v>
      </c>
      <c r="N2543" s="129" t="str">
        <f>IF(M2543&gt;1/1/1,"Y","N")</f>
        <v>N</v>
      </c>
      <c r="O2543" s="128" t="s">
        <v>917</v>
      </c>
      <c r="P2543" s="129" t="s">
        <v>39</v>
      </c>
      <c r="Q2543" s="111">
        <f t="shared" si="1870"/>
        <v>60</v>
      </c>
      <c r="R2543" s="111">
        <f t="shared" si="1837"/>
        <v>60</v>
      </c>
      <c r="S2543" s="129">
        <v>0</v>
      </c>
      <c r="T2543" s="129">
        <v>2</v>
      </c>
      <c r="W2543" s="111"/>
      <c r="AC2543" s="130"/>
      <c r="AD2543" s="130">
        <v>29262</v>
      </c>
      <c r="AE2543" s="128" t="s">
        <v>32</v>
      </c>
      <c r="AF2543" s="128" t="s">
        <v>69</v>
      </c>
      <c r="AG2543" s="128" t="s">
        <v>874</v>
      </c>
      <c r="AH2543" s="108" t="s">
        <v>58</v>
      </c>
      <c r="AI2543" s="128" t="s">
        <v>97</v>
      </c>
      <c r="AJ2543" s="129" t="s">
        <v>89</v>
      </c>
      <c r="AK2543" s="129">
        <v>4</v>
      </c>
      <c r="AL2543" s="3" t="s">
        <v>991</v>
      </c>
      <c r="AO2543" s="128">
        <v>180</v>
      </c>
      <c r="AP2543" s="129" t="s">
        <v>43</v>
      </c>
      <c r="AR2543" s="128" t="s">
        <v>44</v>
      </c>
      <c r="AS2543" s="129" t="s">
        <v>45</v>
      </c>
      <c r="BC2543" s="129" t="s">
        <v>99</v>
      </c>
      <c r="BF2543" s="111">
        <f t="shared" si="1871"/>
        <v>60</v>
      </c>
      <c r="BG2543" s="111">
        <f t="shared" si="1872"/>
        <v>60</v>
      </c>
      <c r="BH2543" s="111">
        <f t="shared" si="1838"/>
        <v>60</v>
      </c>
      <c r="BI2543" s="111">
        <f t="shared" si="1844"/>
        <v>31.827868852459016</v>
      </c>
      <c r="BJ2543" s="129">
        <f t="shared" si="1855"/>
        <v>0</v>
      </c>
      <c r="BK2543" s="129">
        <f t="shared" si="1839"/>
        <v>0</v>
      </c>
      <c r="BL2543" s="129" t="str">
        <f t="shared" si="1835"/>
        <v>CONVICTION</v>
      </c>
      <c r="BM2543" s="129" t="str">
        <f t="shared" si="1845"/>
        <v>NONE</v>
      </c>
      <c r="BN2543" s="129" t="s">
        <v>566</v>
      </c>
      <c r="BP2543" s="137" t="str">
        <f t="shared" si="1846"/>
        <v>CONVICTION</v>
      </c>
      <c r="BQ2543" s="128" t="str">
        <f t="shared" si="1856"/>
        <v>Y</v>
      </c>
      <c r="BR2543" s="129" t="str">
        <f t="shared" si="1847"/>
        <v>DETAINED</v>
      </c>
      <c r="BS2543" s="129" t="str">
        <f t="shared" si="1848"/>
        <v>DISPOSED</v>
      </c>
      <c r="BT2543" s="129" t="str">
        <f t="shared" si="1849"/>
        <v>N</v>
      </c>
      <c r="BU2543" s="109">
        <f t="shared" si="1850"/>
        <v>1</v>
      </c>
      <c r="BV2543" s="109">
        <f t="shared" si="1857"/>
        <v>1</v>
      </c>
      <c r="BW2543" s="109">
        <f t="shared" si="1868"/>
        <v>0</v>
      </c>
      <c r="BX2543" s="111">
        <f t="shared" si="1851"/>
        <v>0</v>
      </c>
      <c r="BY2543" s="129">
        <f t="shared" si="1858"/>
        <v>-60</v>
      </c>
      <c r="BZ2543" s="111">
        <f t="shared" si="1859"/>
        <v>0</v>
      </c>
      <c r="CA2543" s="138">
        <f t="shared" si="1860"/>
        <v>60</v>
      </c>
      <c r="CB2543" s="111" t="e">
        <f t="shared" si="1873"/>
        <v>#VALUE!</v>
      </c>
      <c r="CC2543" s="129">
        <f>G2543-I2543+1</f>
        <v>60</v>
      </c>
      <c r="CD2543" s="129">
        <f>G2543-J2543</f>
        <v>0</v>
      </c>
      <c r="CG2543" s="129" t="str">
        <f t="shared" si="1861"/>
        <v>Y</v>
      </c>
      <c r="CI2543" s="129" t="str">
        <f t="shared" si="1862"/>
        <v>31-60 DAYS</v>
      </c>
      <c r="CJ2543" s="137">
        <f t="shared" si="1863"/>
        <v>3</v>
      </c>
      <c r="CK2543" s="129" t="str">
        <f t="shared" si="1864"/>
        <v>Booked</v>
      </c>
    </row>
    <row r="2544" spans="1:89" ht="15" customHeight="1" x14ac:dyDescent="0.25">
      <c r="A2544" s="111">
        <v>1042</v>
      </c>
      <c r="B2544" s="128" t="str">
        <f t="shared" si="1852"/>
        <v>N</v>
      </c>
      <c r="C2544" s="128" t="str">
        <f t="shared" si="1853"/>
        <v>N</v>
      </c>
      <c r="D2544" s="117">
        <v>2594163</v>
      </c>
      <c r="E2544" s="135">
        <f t="shared" si="1854"/>
        <v>5</v>
      </c>
      <c r="F2544" s="124">
        <v>40947</v>
      </c>
      <c r="G2544" s="125">
        <v>41029</v>
      </c>
      <c r="H2544" s="117">
        <v>2594163</v>
      </c>
      <c r="I2544" s="124">
        <v>40947</v>
      </c>
      <c r="J2544" s="124">
        <v>41029</v>
      </c>
      <c r="K2544" s="126" t="s">
        <v>564</v>
      </c>
      <c r="L2544" s="127" t="s">
        <v>564</v>
      </c>
      <c r="N2544" s="129" t="s">
        <v>566</v>
      </c>
      <c r="O2544" s="128" t="s">
        <v>917</v>
      </c>
      <c r="P2544" s="129" t="s">
        <v>39</v>
      </c>
      <c r="Q2544" s="111">
        <f t="shared" si="1870"/>
        <v>83</v>
      </c>
      <c r="R2544" s="111">
        <f t="shared" si="1837"/>
        <v>83</v>
      </c>
      <c r="S2544" s="129">
        <v>1</v>
      </c>
      <c r="T2544" s="129">
        <v>0</v>
      </c>
      <c r="W2544" s="111"/>
      <c r="AC2544" s="130"/>
      <c r="AD2544" s="130">
        <v>31111</v>
      </c>
      <c r="AE2544" s="128" t="s">
        <v>32</v>
      </c>
      <c r="AF2544" s="128" t="s">
        <v>33</v>
      </c>
      <c r="AG2544" s="128" t="s">
        <v>872</v>
      </c>
      <c r="AH2544" s="108" t="s">
        <v>58</v>
      </c>
      <c r="AI2544" s="128" t="s">
        <v>80</v>
      </c>
      <c r="AJ2544" s="129" t="s">
        <v>89</v>
      </c>
      <c r="AK2544" s="129">
        <v>5</v>
      </c>
      <c r="AL2544" s="3" t="s">
        <v>992</v>
      </c>
      <c r="AN2544" s="117">
        <v>6</v>
      </c>
      <c r="AP2544" s="129" t="s">
        <v>108</v>
      </c>
      <c r="AR2544" s="128" t="s">
        <v>44</v>
      </c>
      <c r="AS2544" s="129" t="s">
        <v>61</v>
      </c>
      <c r="BC2544" s="129" t="s">
        <v>38</v>
      </c>
      <c r="BF2544" s="111">
        <f t="shared" si="1871"/>
        <v>83</v>
      </c>
      <c r="BG2544" s="111">
        <f t="shared" si="1872"/>
        <v>83</v>
      </c>
      <c r="BH2544" s="111">
        <f t="shared" si="1838"/>
        <v>83</v>
      </c>
      <c r="BI2544" s="111">
        <f t="shared" si="1844"/>
        <v>26.874316939890711</v>
      </c>
      <c r="BJ2544" s="129">
        <f t="shared" si="1855"/>
        <v>0</v>
      </c>
      <c r="BK2544" s="129">
        <f t="shared" si="1839"/>
        <v>0</v>
      </c>
      <c r="BL2544" s="129" t="str">
        <f t="shared" si="1835"/>
        <v>CONVICTION</v>
      </c>
      <c r="BM2544" s="129" t="str">
        <f t="shared" si="1845"/>
        <v>NONE</v>
      </c>
      <c r="BN2544" s="129" t="s">
        <v>566</v>
      </c>
      <c r="BP2544" s="137" t="str">
        <f t="shared" si="1846"/>
        <v>CONVICTION</v>
      </c>
      <c r="BQ2544" s="128" t="str">
        <f t="shared" si="1856"/>
        <v>Y</v>
      </c>
      <c r="BR2544" s="129" t="str">
        <f t="shared" si="1847"/>
        <v>DETAINED</v>
      </c>
      <c r="BS2544" s="129" t="str">
        <f t="shared" si="1848"/>
        <v>DISPOSED</v>
      </c>
      <c r="BT2544" s="129" t="str">
        <f t="shared" si="1849"/>
        <v>Y</v>
      </c>
      <c r="BU2544" s="109">
        <f t="shared" si="1850"/>
        <v>1</v>
      </c>
      <c r="BV2544" s="109">
        <f t="shared" si="1857"/>
        <v>1</v>
      </c>
      <c r="BW2544" s="109">
        <f t="shared" si="1868"/>
        <v>0</v>
      </c>
      <c r="BX2544" s="111">
        <f t="shared" si="1851"/>
        <v>0</v>
      </c>
      <c r="BY2544" s="129">
        <f t="shared" si="1858"/>
        <v>-83</v>
      </c>
      <c r="BZ2544" s="111">
        <f t="shared" si="1859"/>
        <v>0</v>
      </c>
      <c r="CA2544" s="138">
        <f t="shared" si="1860"/>
        <v>83</v>
      </c>
      <c r="CB2544" s="111" t="e">
        <f t="shared" si="1873"/>
        <v>#VALUE!</v>
      </c>
      <c r="CC2544" s="129">
        <f>G2544-I2544+1</f>
        <v>83</v>
      </c>
      <c r="CD2544" s="129">
        <f>G2544-J2544</f>
        <v>0</v>
      </c>
      <c r="CG2544" s="129" t="str">
        <f t="shared" si="1861"/>
        <v>Y</v>
      </c>
      <c r="CI2544" s="129" t="str">
        <f t="shared" si="1862"/>
        <v>61-90 DAYS</v>
      </c>
      <c r="CJ2544" s="137">
        <f t="shared" si="1863"/>
        <v>4</v>
      </c>
      <c r="CK2544" s="129" t="str">
        <f t="shared" si="1864"/>
        <v>Booked</v>
      </c>
    </row>
    <row r="2545" spans="1:89" ht="15.75" customHeight="1" x14ac:dyDescent="0.25">
      <c r="A2545" s="111">
        <v>600</v>
      </c>
      <c r="B2545" s="128" t="str">
        <f t="shared" si="1852"/>
        <v>N</v>
      </c>
      <c r="C2545" s="128" t="str">
        <f t="shared" si="1853"/>
        <v>N</v>
      </c>
      <c r="D2545" s="117">
        <v>2594332</v>
      </c>
      <c r="E2545" s="135">
        <f t="shared" si="1854"/>
        <v>6</v>
      </c>
      <c r="F2545" s="124">
        <v>40932</v>
      </c>
      <c r="G2545" s="125">
        <v>41053</v>
      </c>
      <c r="H2545" s="117">
        <v>2594332</v>
      </c>
      <c r="I2545" s="124">
        <v>40932</v>
      </c>
      <c r="J2545" s="124">
        <v>40972</v>
      </c>
      <c r="K2545" s="126">
        <v>30000</v>
      </c>
      <c r="L2545" s="129" t="s">
        <v>572</v>
      </c>
      <c r="M2545" s="125">
        <v>40972</v>
      </c>
      <c r="N2545" s="129" t="str">
        <f>IF(M2545&gt;1/1/1,"Y","N")</f>
        <v>Y</v>
      </c>
      <c r="O2545" s="128" t="s">
        <v>76</v>
      </c>
      <c r="P2545" s="129" t="s">
        <v>77</v>
      </c>
      <c r="Q2545" s="111">
        <f t="shared" si="1870"/>
        <v>41</v>
      </c>
      <c r="R2545" s="111">
        <f t="shared" si="1837"/>
        <v>122</v>
      </c>
      <c r="S2545" s="129">
        <v>0</v>
      </c>
      <c r="T2545" s="129">
        <v>1</v>
      </c>
      <c r="W2545" s="111"/>
      <c r="AC2545" s="130"/>
      <c r="AD2545" s="130">
        <v>34421</v>
      </c>
      <c r="AE2545" s="128" t="s">
        <v>46</v>
      </c>
      <c r="AF2545" s="128" t="s">
        <v>40</v>
      </c>
      <c r="AG2545" s="128" t="s">
        <v>41</v>
      </c>
      <c r="AH2545" s="108" t="s">
        <v>41</v>
      </c>
      <c r="AI2545" s="128" t="s">
        <v>95</v>
      </c>
      <c r="AJ2545" s="129" t="s">
        <v>89</v>
      </c>
      <c r="AK2545" s="129">
        <v>6</v>
      </c>
      <c r="AL2545" s="3" t="s">
        <v>362</v>
      </c>
      <c r="AM2545" s="117">
        <v>2</v>
      </c>
      <c r="AP2545" s="129" t="s">
        <v>56</v>
      </c>
      <c r="AR2545" s="128" t="s">
        <v>50</v>
      </c>
      <c r="AS2545" s="129" t="s">
        <v>57</v>
      </c>
      <c r="BC2545" s="129" t="s">
        <v>52</v>
      </c>
      <c r="BF2545" s="111">
        <f t="shared" si="1871"/>
        <v>41</v>
      </c>
      <c r="BG2545" s="111">
        <f t="shared" si="1872"/>
        <v>122</v>
      </c>
      <c r="BH2545" s="111">
        <f t="shared" si="1838"/>
        <v>122</v>
      </c>
      <c r="BI2545" s="111">
        <f t="shared" si="1844"/>
        <v>17.789617486338798</v>
      </c>
      <c r="BJ2545" s="129">
        <f>(G2545-J2545)+(M2545-G2545)</f>
        <v>0</v>
      </c>
      <c r="BK2545" s="129">
        <f t="shared" si="1839"/>
        <v>-81</v>
      </c>
      <c r="BL2545" s="129" t="str">
        <f t="shared" si="1835"/>
        <v>CONVICTION</v>
      </c>
      <c r="BM2545" s="129" t="s">
        <v>76</v>
      </c>
      <c r="BN2545" s="129" t="s">
        <v>88</v>
      </c>
      <c r="BP2545" s="137" t="str">
        <f t="shared" si="1846"/>
        <v>CONVICTION</v>
      </c>
      <c r="BQ2545" s="128" t="str">
        <f t="shared" si="1856"/>
        <v>Y</v>
      </c>
      <c r="BR2545" s="129" t="str">
        <f t="shared" si="1847"/>
        <v>ON BOND</v>
      </c>
      <c r="BS2545" s="129" t="str">
        <f t="shared" si="1848"/>
        <v>DISPOSED</v>
      </c>
      <c r="BT2545" s="129" t="str">
        <f t="shared" si="1849"/>
        <v>N</v>
      </c>
      <c r="BU2545" s="109">
        <f t="shared" si="1850"/>
        <v>0.33606557377049179</v>
      </c>
      <c r="BV2545" s="109">
        <f t="shared" si="1857"/>
        <v>0.33606557377049179</v>
      </c>
      <c r="BW2545" s="109">
        <f t="shared" si="1868"/>
        <v>0</v>
      </c>
      <c r="BX2545" s="111">
        <f t="shared" si="1851"/>
        <v>0</v>
      </c>
      <c r="BY2545" s="129">
        <f t="shared" si="1858"/>
        <v>-41</v>
      </c>
      <c r="BZ2545" s="111">
        <f t="shared" si="1859"/>
        <v>0</v>
      </c>
      <c r="CA2545" s="138">
        <f t="shared" si="1860"/>
        <v>41</v>
      </c>
      <c r="CB2545" s="111" t="e">
        <f t="shared" si="1873"/>
        <v>#VALUE!</v>
      </c>
      <c r="CC2545" s="129">
        <f>M2545-I2545+1</f>
        <v>41</v>
      </c>
      <c r="CD2545" s="111">
        <f>CC2545-BF2545</f>
        <v>0</v>
      </c>
      <c r="CG2545" s="129" t="str">
        <f t="shared" si="1861"/>
        <v>Y</v>
      </c>
      <c r="CI2545" s="129" t="str">
        <f t="shared" si="1862"/>
        <v>31-60 DAYS</v>
      </c>
      <c r="CJ2545" s="137">
        <f t="shared" si="1863"/>
        <v>3</v>
      </c>
      <c r="CK2545" s="129" t="str">
        <f t="shared" si="1864"/>
        <v>Booked</v>
      </c>
    </row>
    <row r="2546" spans="1:89" ht="15" customHeight="1" x14ac:dyDescent="0.25">
      <c r="A2546" s="111">
        <v>2901</v>
      </c>
      <c r="B2546" s="128" t="str">
        <f t="shared" si="1852"/>
        <v>N</v>
      </c>
      <c r="C2546" s="128" t="str">
        <f t="shared" si="1853"/>
        <v>N</v>
      </c>
      <c r="D2546" s="117">
        <v>2596728</v>
      </c>
      <c r="E2546" s="135">
        <f t="shared" si="1854"/>
        <v>2</v>
      </c>
      <c r="F2546" s="124">
        <v>41016</v>
      </c>
      <c r="G2546" s="125">
        <v>41026</v>
      </c>
      <c r="H2546" s="117">
        <v>2596728</v>
      </c>
      <c r="I2546" s="124">
        <v>41025</v>
      </c>
      <c r="J2546" s="125">
        <v>41026</v>
      </c>
      <c r="K2546" s="126">
        <v>5000</v>
      </c>
      <c r="L2546" s="127" t="s">
        <v>569</v>
      </c>
      <c r="N2546" s="129" t="str">
        <f>IF(M2546&gt;1/1/1,"Y","N")</f>
        <v>N</v>
      </c>
      <c r="O2546" s="128" t="s">
        <v>917</v>
      </c>
      <c r="P2546" s="129" t="s">
        <v>589</v>
      </c>
      <c r="Q2546" s="111">
        <f t="shared" si="1870"/>
        <v>2</v>
      </c>
      <c r="R2546" s="111">
        <f t="shared" si="1837"/>
        <v>11</v>
      </c>
      <c r="S2546" s="129">
        <v>0</v>
      </c>
      <c r="T2546" s="129">
        <v>0</v>
      </c>
      <c r="W2546" s="111"/>
      <c r="AC2546" s="130"/>
      <c r="AD2546" s="130">
        <v>33204</v>
      </c>
      <c r="AE2546" s="128" t="s">
        <v>32</v>
      </c>
      <c r="AF2546" s="128" t="s">
        <v>33</v>
      </c>
      <c r="AG2546" s="128" t="s">
        <v>872</v>
      </c>
      <c r="AH2546" s="108" t="s">
        <v>31</v>
      </c>
      <c r="AI2546" s="128" t="s">
        <v>65</v>
      </c>
      <c r="AJ2546" s="129" t="s">
        <v>48</v>
      </c>
      <c r="AK2546" s="129">
        <v>2</v>
      </c>
      <c r="AL2546" s="3" t="s">
        <v>48</v>
      </c>
      <c r="AP2546" s="129" t="s">
        <v>189</v>
      </c>
      <c r="AR2546" s="128" t="s">
        <v>67</v>
      </c>
      <c r="AS2546" s="129" t="s">
        <v>64</v>
      </c>
      <c r="BC2546" s="129" t="s">
        <v>38</v>
      </c>
      <c r="BF2546" s="111">
        <f t="shared" si="1871"/>
        <v>2</v>
      </c>
      <c r="BG2546" s="111">
        <f t="shared" si="1872"/>
        <v>2</v>
      </c>
      <c r="BH2546" s="111">
        <f t="shared" si="1838"/>
        <v>11</v>
      </c>
      <c r="BI2546" s="111">
        <f t="shared" si="1844"/>
        <v>21.344262295081968</v>
      </c>
      <c r="BJ2546" s="129">
        <f t="shared" si="1855"/>
        <v>0</v>
      </c>
      <c r="BK2546" s="129">
        <f t="shared" si="1839"/>
        <v>0</v>
      </c>
      <c r="BL2546" s="129" t="str">
        <f t="shared" si="1835"/>
        <v>DEFERRED</v>
      </c>
      <c r="BM2546" s="129" t="str">
        <f t="shared" si="1845"/>
        <v>NONE</v>
      </c>
      <c r="BN2546" s="129" t="s">
        <v>566</v>
      </c>
      <c r="BP2546" s="137" t="str">
        <f t="shared" si="1846"/>
        <v>DEFERRED</v>
      </c>
      <c r="BQ2546" s="128" t="str">
        <f t="shared" si="1856"/>
        <v>Y</v>
      </c>
      <c r="BR2546" s="129" t="str">
        <f t="shared" si="1847"/>
        <v>DETAINED</v>
      </c>
      <c r="BS2546" s="129" t="str">
        <f t="shared" si="1848"/>
        <v>DISPOSED</v>
      </c>
      <c r="BT2546" s="129" t="str">
        <f t="shared" si="1849"/>
        <v>N</v>
      </c>
      <c r="BU2546" s="109">
        <f t="shared" si="1850"/>
        <v>0.18181818181818182</v>
      </c>
      <c r="BV2546" s="109">
        <f t="shared" si="1857"/>
        <v>1</v>
      </c>
      <c r="BW2546" s="109">
        <f t="shared" si="1868"/>
        <v>0.81818181818181812</v>
      </c>
      <c r="BX2546" s="111">
        <f t="shared" si="1851"/>
        <v>0</v>
      </c>
      <c r="BY2546" s="129">
        <f t="shared" si="1858"/>
        <v>-2</v>
      </c>
      <c r="BZ2546" s="111">
        <f t="shared" si="1859"/>
        <v>0</v>
      </c>
      <c r="CA2546" s="138">
        <f t="shared" si="1860"/>
        <v>2</v>
      </c>
      <c r="CB2546" s="111" t="e">
        <f t="shared" si="1873"/>
        <v>#VALUE!</v>
      </c>
      <c r="CC2546" s="129">
        <f>G2546-I2546+1</f>
        <v>2</v>
      </c>
      <c r="CD2546" s="129">
        <f>G2546-J2546</f>
        <v>0</v>
      </c>
      <c r="CG2546" s="129" t="str">
        <f t="shared" si="1861"/>
        <v>N</v>
      </c>
      <c r="CI2546" s="129" t="str">
        <f t="shared" si="1862"/>
        <v>0-10 DAYS</v>
      </c>
      <c r="CJ2546" s="137">
        <f t="shared" si="1863"/>
        <v>1</v>
      </c>
      <c r="CK2546" s="129" t="str">
        <f t="shared" si="1864"/>
        <v>Booked</v>
      </c>
    </row>
    <row r="2547" spans="1:89" ht="15.75" customHeight="1" x14ac:dyDescent="0.25">
      <c r="A2547" s="111">
        <v>1884</v>
      </c>
      <c r="B2547" s="128" t="str">
        <f t="shared" si="1852"/>
        <v>N</v>
      </c>
      <c r="C2547" s="128" t="str">
        <f t="shared" si="1853"/>
        <v>Y</v>
      </c>
      <c r="D2547" s="117">
        <v>2596819</v>
      </c>
      <c r="E2547" s="135">
        <f t="shared" si="1854"/>
        <v>1</v>
      </c>
      <c r="F2547" s="124">
        <v>40978</v>
      </c>
      <c r="G2547" s="125">
        <v>41194</v>
      </c>
      <c r="H2547" s="117">
        <v>2596819</v>
      </c>
      <c r="I2547" s="124">
        <v>40979</v>
      </c>
      <c r="J2547" s="124">
        <v>40981</v>
      </c>
      <c r="K2547" s="126">
        <v>10000</v>
      </c>
      <c r="L2547" s="127" t="s">
        <v>570</v>
      </c>
      <c r="M2547" s="125">
        <v>40981</v>
      </c>
      <c r="N2547" s="129" t="str">
        <f>IF(M2547&gt;1/1/1,"Y","N")</f>
        <v>Y</v>
      </c>
      <c r="O2547" s="128" t="s">
        <v>76</v>
      </c>
      <c r="P2547" s="129" t="s">
        <v>55</v>
      </c>
      <c r="Q2547" s="111">
        <v>210</v>
      </c>
      <c r="R2547" s="111">
        <f t="shared" si="1837"/>
        <v>217</v>
      </c>
      <c r="S2547" s="129">
        <v>0</v>
      </c>
      <c r="T2547" s="129">
        <v>0</v>
      </c>
      <c r="W2547" s="111"/>
      <c r="AC2547" s="130"/>
      <c r="AD2547" s="130">
        <v>33564</v>
      </c>
      <c r="AE2547" s="128" t="s">
        <v>32</v>
      </c>
      <c r="AF2547" s="128" t="s">
        <v>40</v>
      </c>
      <c r="AG2547" s="128" t="s">
        <v>41</v>
      </c>
      <c r="AH2547" s="108" t="s">
        <v>41</v>
      </c>
      <c r="AI2547" s="128" t="s">
        <v>70</v>
      </c>
      <c r="AJ2547" s="129" t="s">
        <v>55</v>
      </c>
      <c r="AK2547" s="129">
        <v>12</v>
      </c>
      <c r="AL2547" s="3" t="s">
        <v>55</v>
      </c>
      <c r="AP2547" s="129" t="s">
        <v>131</v>
      </c>
      <c r="AR2547" s="128" t="s">
        <v>50</v>
      </c>
      <c r="AS2547" s="129" t="s">
        <v>106</v>
      </c>
      <c r="AU2547" s="118" t="s">
        <v>746</v>
      </c>
      <c r="AX2547" s="129" t="s">
        <v>88</v>
      </c>
      <c r="BC2547" s="129" t="s">
        <v>52</v>
      </c>
      <c r="BF2547" s="111">
        <v>210</v>
      </c>
      <c r="BG2547" s="111">
        <f t="shared" si="1872"/>
        <v>216</v>
      </c>
      <c r="BH2547" s="111">
        <f t="shared" si="1838"/>
        <v>217</v>
      </c>
      <c r="BI2547" s="111">
        <f t="shared" si="1844"/>
        <v>20.256830601092897</v>
      </c>
      <c r="BJ2547" s="129">
        <f>(G2547-J2547)+(M2547-G2547)</f>
        <v>0</v>
      </c>
      <c r="BK2547" s="129">
        <f t="shared" si="1839"/>
        <v>-213</v>
      </c>
      <c r="BL2547" s="129" t="str">
        <f t="shared" si="1835"/>
        <v>NO CONVICTION</v>
      </c>
      <c r="BM2547" s="129" t="s">
        <v>76</v>
      </c>
      <c r="BN2547" s="129" t="s">
        <v>88</v>
      </c>
      <c r="BP2547" s="137" t="str">
        <f t="shared" si="1846"/>
        <v>NO CONVICTION</v>
      </c>
      <c r="BQ2547" s="128" t="str">
        <f t="shared" si="1856"/>
        <v>Y</v>
      </c>
      <c r="BR2547" s="129" t="s">
        <v>574</v>
      </c>
      <c r="BS2547" s="129" t="str">
        <f t="shared" si="1848"/>
        <v>DISPOSED</v>
      </c>
      <c r="BT2547" s="129" t="str">
        <f t="shared" si="1849"/>
        <v>N</v>
      </c>
      <c r="BU2547" s="109">
        <f>IFERROR(Q2547/R2547,BR2547)</f>
        <v>0.967741935483871</v>
      </c>
      <c r="BV2547" s="109">
        <f t="shared" si="1857"/>
        <v>1.3888888888888888E-2</v>
      </c>
      <c r="BW2547" s="109">
        <f t="shared" si="1868"/>
        <v>-0.95385304659498216</v>
      </c>
      <c r="BX2547" s="111">
        <f t="shared" si="1851"/>
        <v>0</v>
      </c>
      <c r="BY2547" s="129">
        <f t="shared" si="1858"/>
        <v>-3</v>
      </c>
      <c r="BZ2547" s="111">
        <f t="shared" si="1859"/>
        <v>207</v>
      </c>
      <c r="CA2547" s="138">
        <f t="shared" si="1860"/>
        <v>216</v>
      </c>
      <c r="CB2547" s="111">
        <v>210</v>
      </c>
      <c r="CC2547" s="129">
        <f>G2547-I2547+1</f>
        <v>216</v>
      </c>
      <c r="CD2547" s="129">
        <f>G2547-J2547</f>
        <v>213</v>
      </c>
      <c r="CG2547" s="129" t="str">
        <f t="shared" si="1861"/>
        <v>N</v>
      </c>
      <c r="CI2547" s="129" t="str">
        <f t="shared" si="1862"/>
        <v>121-365 DAYS</v>
      </c>
      <c r="CJ2547" s="137">
        <f t="shared" si="1863"/>
        <v>6</v>
      </c>
      <c r="CK2547" s="129" t="str">
        <f t="shared" si="1864"/>
        <v>Booked</v>
      </c>
    </row>
    <row r="2548" spans="1:89" ht="15" customHeight="1" x14ac:dyDescent="0.25">
      <c r="A2548" s="111">
        <v>2667</v>
      </c>
      <c r="B2548" s="128" t="str">
        <f t="shared" si="1852"/>
        <v>N</v>
      </c>
      <c r="C2548" s="128" t="str">
        <f t="shared" si="1853"/>
        <v>N</v>
      </c>
      <c r="D2548" s="117">
        <v>2597245</v>
      </c>
      <c r="E2548" s="135">
        <f t="shared" si="1854"/>
        <v>2</v>
      </c>
      <c r="F2548" s="124">
        <v>41008</v>
      </c>
      <c r="G2548" s="125">
        <v>41277</v>
      </c>
      <c r="H2548" s="117">
        <v>2597245</v>
      </c>
      <c r="I2548" s="124">
        <v>41008</v>
      </c>
      <c r="J2548" s="124">
        <v>41031</v>
      </c>
      <c r="K2548" s="126">
        <v>30000</v>
      </c>
      <c r="L2548" s="129" t="s">
        <v>572</v>
      </c>
      <c r="M2548" s="125">
        <v>41031</v>
      </c>
      <c r="N2548" s="129" t="str">
        <f>IF(M2548&gt;1/1/1,"Y","N")</f>
        <v>Y</v>
      </c>
      <c r="O2548" s="128" t="s">
        <v>585</v>
      </c>
      <c r="P2548" s="129" t="s">
        <v>589</v>
      </c>
      <c r="Q2548" s="111">
        <f t="shared" si="1870"/>
        <v>24</v>
      </c>
      <c r="R2548" s="111">
        <f t="shared" si="1837"/>
        <v>270</v>
      </c>
      <c r="S2548" s="129">
        <v>0</v>
      </c>
      <c r="T2548" s="129">
        <v>1</v>
      </c>
      <c r="W2548" s="111"/>
      <c r="AC2548" s="130"/>
      <c r="AD2548" s="130">
        <v>30315</v>
      </c>
      <c r="AE2548" s="128" t="s">
        <v>32</v>
      </c>
      <c r="AF2548" s="128" t="s">
        <v>69</v>
      </c>
      <c r="AG2548" s="128" t="s">
        <v>874</v>
      </c>
      <c r="AH2548" s="108" t="s">
        <v>31</v>
      </c>
      <c r="AI2548" s="128" t="s">
        <v>70</v>
      </c>
      <c r="AJ2548" s="129" t="s">
        <v>48</v>
      </c>
      <c r="AK2548" s="129">
        <v>14</v>
      </c>
      <c r="AL2548" s="3" t="s">
        <v>48</v>
      </c>
      <c r="AP2548" s="129" t="s">
        <v>73</v>
      </c>
      <c r="AR2548" s="128" t="s">
        <v>50</v>
      </c>
      <c r="AS2548" s="129" t="s">
        <v>74</v>
      </c>
      <c r="BC2548" s="129" t="s">
        <v>52</v>
      </c>
      <c r="BF2548" s="111">
        <f t="shared" si="1871"/>
        <v>24</v>
      </c>
      <c r="BG2548" s="111">
        <f t="shared" si="1872"/>
        <v>270</v>
      </c>
      <c r="BH2548" s="111">
        <f t="shared" si="1838"/>
        <v>270</v>
      </c>
      <c r="BI2548" s="111">
        <f t="shared" si="1844"/>
        <v>29.215846994535518</v>
      </c>
      <c r="BJ2548" s="129">
        <f>(G2548-J2548)+(M2548-G2548)</f>
        <v>0</v>
      </c>
      <c r="BK2548" s="129">
        <f t="shared" si="1839"/>
        <v>-246</v>
      </c>
      <c r="BL2548" s="129" t="str">
        <f t="shared" si="1835"/>
        <v>DEFERRED</v>
      </c>
      <c r="BM2548" s="129" t="s">
        <v>76</v>
      </c>
      <c r="BN2548" s="129" t="s">
        <v>88</v>
      </c>
      <c r="BP2548" s="137" t="str">
        <f t="shared" si="1846"/>
        <v>DEFERRED</v>
      </c>
      <c r="BQ2548" s="128" t="str">
        <f t="shared" si="1856"/>
        <v>Y</v>
      </c>
      <c r="BR2548" s="129" t="str">
        <f t="shared" si="1847"/>
        <v>ON BOND</v>
      </c>
      <c r="BS2548" s="129" t="str">
        <f t="shared" si="1848"/>
        <v>DISPOSED</v>
      </c>
      <c r="BT2548" s="129" t="str">
        <f t="shared" si="1849"/>
        <v>N</v>
      </c>
      <c r="BU2548" s="109">
        <f t="shared" si="1850"/>
        <v>8.8888888888888892E-2</v>
      </c>
      <c r="BV2548" s="109">
        <f t="shared" si="1857"/>
        <v>8.8888888888888892E-2</v>
      </c>
      <c r="BW2548" s="109">
        <f t="shared" si="1868"/>
        <v>0</v>
      </c>
      <c r="BX2548" s="111">
        <f t="shared" si="1851"/>
        <v>0</v>
      </c>
      <c r="BY2548" s="129">
        <f t="shared" si="1858"/>
        <v>-24</v>
      </c>
      <c r="BZ2548" s="111">
        <f t="shared" si="1859"/>
        <v>0</v>
      </c>
      <c r="CA2548" s="138">
        <f t="shared" si="1860"/>
        <v>24</v>
      </c>
      <c r="CB2548" s="111" t="e">
        <f t="shared" si="1873"/>
        <v>#VALUE!</v>
      </c>
      <c r="CC2548" s="129">
        <f>M2548-I2548+1</f>
        <v>24</v>
      </c>
      <c r="CD2548" s="111">
        <f>CC2548-BF2548</f>
        <v>0</v>
      </c>
      <c r="CG2548" s="129" t="str">
        <f t="shared" si="1861"/>
        <v>Y</v>
      </c>
      <c r="CI2548" s="129" t="str">
        <f t="shared" si="1862"/>
        <v>11-30 DAYS</v>
      </c>
      <c r="CJ2548" s="137">
        <f t="shared" si="1863"/>
        <v>2</v>
      </c>
      <c r="CK2548" s="129" t="str">
        <f t="shared" si="1864"/>
        <v>Booked</v>
      </c>
    </row>
    <row r="2549" spans="1:89" ht="15.75" customHeight="1" x14ac:dyDescent="0.25">
      <c r="A2549" s="111">
        <v>2148</v>
      </c>
      <c r="B2549" s="128" t="str">
        <f t="shared" si="1852"/>
        <v>N</v>
      </c>
      <c r="C2549" s="128" t="str">
        <f t="shared" si="1853"/>
        <v>N</v>
      </c>
      <c r="D2549" s="117">
        <v>2597432</v>
      </c>
      <c r="E2549" s="135">
        <f t="shared" si="1854"/>
        <v>6</v>
      </c>
      <c r="F2549" s="124">
        <v>40989</v>
      </c>
      <c r="G2549" s="125">
        <v>41572</v>
      </c>
      <c r="H2549" s="117">
        <v>2597432</v>
      </c>
      <c r="I2549" s="124">
        <v>40990</v>
      </c>
      <c r="J2549" s="125">
        <v>41572</v>
      </c>
      <c r="K2549" s="126">
        <v>50000</v>
      </c>
      <c r="L2549" s="129" t="s">
        <v>572</v>
      </c>
      <c r="N2549" s="129" t="str">
        <f>IF(M2549&gt;1/1/1,"Y","N")</f>
        <v>N</v>
      </c>
      <c r="O2549" s="128" t="s">
        <v>917</v>
      </c>
      <c r="P2549" s="129" t="s">
        <v>39</v>
      </c>
      <c r="Q2549" s="111">
        <f t="shared" si="1870"/>
        <v>583</v>
      </c>
      <c r="R2549" s="111">
        <f t="shared" si="1837"/>
        <v>584</v>
      </c>
      <c r="S2549" s="129">
        <v>2</v>
      </c>
      <c r="T2549" s="129">
        <v>0</v>
      </c>
      <c r="V2549" s="117">
        <v>2</v>
      </c>
      <c r="W2549" s="111"/>
      <c r="AB2549" s="131" t="s">
        <v>112</v>
      </c>
      <c r="AC2549" s="130"/>
      <c r="AD2549" s="130">
        <v>34332</v>
      </c>
      <c r="AE2549" s="128" t="s">
        <v>32</v>
      </c>
      <c r="AF2549" s="128" t="s">
        <v>40</v>
      </c>
      <c r="AG2549" s="128" t="s">
        <v>41</v>
      </c>
      <c r="AH2549" s="108" t="s">
        <v>31</v>
      </c>
      <c r="AI2549" s="128" t="s">
        <v>100</v>
      </c>
      <c r="AJ2549" s="129" t="s">
        <v>89</v>
      </c>
      <c r="AK2549" s="129">
        <v>13</v>
      </c>
      <c r="AL2549" s="3" t="s">
        <v>362</v>
      </c>
      <c r="AM2549" s="117">
        <v>10</v>
      </c>
      <c r="AP2549" s="129" t="s">
        <v>73</v>
      </c>
      <c r="AR2549" s="128" t="s">
        <v>50</v>
      </c>
      <c r="AS2549" s="129" t="s">
        <v>74</v>
      </c>
      <c r="AT2549" s="129" t="s">
        <v>1164</v>
      </c>
      <c r="BC2549" s="129" t="s">
        <v>99</v>
      </c>
      <c r="BF2549" s="111">
        <f t="shared" si="1871"/>
        <v>583</v>
      </c>
      <c r="BG2549" s="111">
        <f t="shared" si="1872"/>
        <v>583</v>
      </c>
      <c r="BH2549" s="111">
        <f t="shared" si="1838"/>
        <v>584</v>
      </c>
      <c r="BI2549" s="111">
        <f t="shared" si="1844"/>
        <v>18.188524590163933</v>
      </c>
      <c r="BJ2549" s="129">
        <f t="shared" si="1855"/>
        <v>0</v>
      </c>
      <c r="BK2549" s="129">
        <f t="shared" si="1839"/>
        <v>0</v>
      </c>
      <c r="BL2549" s="129" t="str">
        <f t="shared" si="1835"/>
        <v>CONVICTION</v>
      </c>
      <c r="BM2549" s="129" t="str">
        <f t="shared" si="1845"/>
        <v>NONE</v>
      </c>
      <c r="BN2549" s="129" t="s">
        <v>566</v>
      </c>
      <c r="BP2549" s="137" t="str">
        <f t="shared" si="1846"/>
        <v>CONVICTION</v>
      </c>
      <c r="BQ2549" s="128" t="str">
        <f t="shared" si="1856"/>
        <v>Y</v>
      </c>
      <c r="BR2549" s="129" t="str">
        <f t="shared" si="1847"/>
        <v>DETAINED</v>
      </c>
      <c r="BS2549" s="129" t="str">
        <f t="shared" si="1848"/>
        <v>DISPOSED</v>
      </c>
      <c r="BT2549" s="129" t="str">
        <f t="shared" si="1849"/>
        <v>Y</v>
      </c>
      <c r="BU2549" s="109">
        <f t="shared" si="1850"/>
        <v>0.99828767123287676</v>
      </c>
      <c r="BV2549" s="109">
        <f t="shared" si="1857"/>
        <v>1</v>
      </c>
      <c r="BW2549" s="109">
        <f t="shared" si="1868"/>
        <v>1.712328767123239E-3</v>
      </c>
      <c r="BX2549" s="111">
        <f t="shared" si="1851"/>
        <v>0</v>
      </c>
      <c r="BY2549" s="129">
        <f t="shared" si="1858"/>
        <v>-583</v>
      </c>
      <c r="BZ2549" s="111">
        <f t="shared" si="1859"/>
        <v>0</v>
      </c>
      <c r="CA2549" s="138">
        <f t="shared" si="1860"/>
        <v>583</v>
      </c>
      <c r="CB2549" s="111" t="e">
        <f t="shared" si="1873"/>
        <v>#VALUE!</v>
      </c>
      <c r="CC2549" s="129">
        <f>G2549-I2549+1</f>
        <v>583</v>
      </c>
      <c r="CD2549" s="129">
        <f>G2549-J2549</f>
        <v>0</v>
      </c>
      <c r="CG2549" s="129" t="str">
        <f t="shared" si="1861"/>
        <v>Y</v>
      </c>
      <c r="CI2549" s="129" t="str">
        <f t="shared" si="1862"/>
        <v xml:space="preserve"> &gt;1YRS&lt;2YRS</v>
      </c>
      <c r="CJ2549" s="137">
        <f t="shared" si="1863"/>
        <v>0</v>
      </c>
      <c r="CK2549" s="129" t="str">
        <f t="shared" si="1864"/>
        <v>Booked</v>
      </c>
    </row>
    <row r="2550" spans="1:89" ht="15.75" customHeight="1" x14ac:dyDescent="0.25">
      <c r="A2550" s="111">
        <v>1340</v>
      </c>
      <c r="B2550" s="128" t="str">
        <f t="shared" si="1852"/>
        <v>N</v>
      </c>
      <c r="C2550" s="128" t="str">
        <f t="shared" si="1853"/>
        <v>N</v>
      </c>
      <c r="D2550" s="117">
        <v>2597491</v>
      </c>
      <c r="E2550" s="135">
        <f t="shared" si="1854"/>
        <v>1</v>
      </c>
      <c r="F2550" s="124">
        <v>40957</v>
      </c>
      <c r="G2550" s="125">
        <v>41043</v>
      </c>
      <c r="H2550" s="117">
        <v>2597491</v>
      </c>
      <c r="I2550" s="124">
        <v>40957</v>
      </c>
      <c r="J2550" s="124">
        <v>41043</v>
      </c>
      <c r="K2550" s="126" t="s">
        <v>564</v>
      </c>
      <c r="L2550" s="127" t="s">
        <v>564</v>
      </c>
      <c r="N2550" s="129" t="s">
        <v>566</v>
      </c>
      <c r="O2550" s="128" t="s">
        <v>917</v>
      </c>
      <c r="P2550" s="129" t="s">
        <v>55</v>
      </c>
      <c r="Q2550" s="111">
        <f t="shared" si="1870"/>
        <v>87</v>
      </c>
      <c r="R2550" s="111">
        <f t="shared" si="1837"/>
        <v>87</v>
      </c>
      <c r="S2550" s="129">
        <v>0</v>
      </c>
      <c r="T2550" s="129">
        <v>1</v>
      </c>
      <c r="W2550" s="111"/>
      <c r="AB2550" s="131" t="s">
        <v>112</v>
      </c>
      <c r="AC2550" s="130"/>
      <c r="AD2550" s="130">
        <v>34332</v>
      </c>
      <c r="AE2550" s="128" t="s">
        <v>32</v>
      </c>
      <c r="AF2550" s="128" t="s">
        <v>40</v>
      </c>
      <c r="AG2550" s="128" t="s">
        <v>41</v>
      </c>
      <c r="AH2550" s="108" t="s">
        <v>31</v>
      </c>
      <c r="AI2550" s="128" t="s">
        <v>80</v>
      </c>
      <c r="AJ2550" s="129" t="s">
        <v>55</v>
      </c>
      <c r="AK2550" s="129">
        <v>4</v>
      </c>
      <c r="AL2550" s="3" t="s">
        <v>55</v>
      </c>
      <c r="AP2550" s="129" t="s">
        <v>228</v>
      </c>
      <c r="AR2550" s="128" t="s">
        <v>92</v>
      </c>
      <c r="AS2550" s="129" t="s">
        <v>382</v>
      </c>
      <c r="BC2550" s="129" t="s">
        <v>52</v>
      </c>
      <c r="BF2550" s="111">
        <f t="shared" si="1871"/>
        <v>87</v>
      </c>
      <c r="BG2550" s="111">
        <f t="shared" si="1872"/>
        <v>87</v>
      </c>
      <c r="BH2550" s="111">
        <f t="shared" si="1838"/>
        <v>87</v>
      </c>
      <c r="BI2550" s="111">
        <f t="shared" si="1844"/>
        <v>18.101092896174862</v>
      </c>
      <c r="BJ2550" s="129">
        <f t="shared" si="1855"/>
        <v>0</v>
      </c>
      <c r="BK2550" s="129">
        <f t="shared" si="1839"/>
        <v>0</v>
      </c>
      <c r="BL2550" s="129" t="str">
        <f t="shared" si="1835"/>
        <v>NO CONVICTION</v>
      </c>
      <c r="BM2550" s="129" t="str">
        <f t="shared" si="1845"/>
        <v>NONE</v>
      </c>
      <c r="BN2550" s="129" t="s">
        <v>566</v>
      </c>
      <c r="BP2550" s="137" t="str">
        <f t="shared" si="1846"/>
        <v>NO CONVICTION</v>
      </c>
      <c r="BQ2550" s="128" t="str">
        <f t="shared" si="1856"/>
        <v>Y</v>
      </c>
      <c r="BR2550" s="129" t="str">
        <f t="shared" si="1847"/>
        <v>DETAINED</v>
      </c>
      <c r="BS2550" s="129" t="str">
        <f t="shared" si="1848"/>
        <v>DISPOSED</v>
      </c>
      <c r="BT2550" s="129" t="str">
        <f t="shared" si="1849"/>
        <v>N</v>
      </c>
      <c r="BU2550" s="109">
        <f>IFERROR(Q2550/R2550,BR2550)</f>
        <v>1</v>
      </c>
      <c r="BV2550" s="109">
        <f t="shared" si="1857"/>
        <v>1</v>
      </c>
      <c r="BW2550" s="109">
        <f t="shared" si="1868"/>
        <v>0</v>
      </c>
      <c r="BX2550" s="111">
        <f t="shared" si="1851"/>
        <v>0</v>
      </c>
      <c r="BY2550" s="129">
        <f t="shared" si="1858"/>
        <v>-87</v>
      </c>
      <c r="BZ2550" s="111">
        <f t="shared" si="1859"/>
        <v>0</v>
      </c>
      <c r="CA2550" s="138">
        <f t="shared" si="1860"/>
        <v>87</v>
      </c>
      <c r="CB2550" s="111" t="e">
        <f t="shared" si="1873"/>
        <v>#VALUE!</v>
      </c>
      <c r="CC2550" s="129">
        <f>G2550-I2550+1</f>
        <v>87</v>
      </c>
      <c r="CD2550" s="129">
        <f>G2550-J2550</f>
        <v>0</v>
      </c>
      <c r="CG2550" s="129" t="str">
        <f t="shared" si="1861"/>
        <v>Y</v>
      </c>
      <c r="CI2550" s="129" t="str">
        <f t="shared" si="1862"/>
        <v>61-90 DAYS</v>
      </c>
      <c r="CJ2550" s="137">
        <f t="shared" si="1863"/>
        <v>4</v>
      </c>
      <c r="CK2550" s="129" t="str">
        <f t="shared" si="1864"/>
        <v>Booked</v>
      </c>
    </row>
    <row r="2551" spans="1:89" ht="15" customHeight="1" x14ac:dyDescent="0.25">
      <c r="A2551" s="111">
        <v>2285</v>
      </c>
      <c r="B2551" s="128" t="str">
        <f t="shared" si="1852"/>
        <v>N</v>
      </c>
      <c r="C2551" s="128" t="str">
        <f t="shared" si="1853"/>
        <v>N</v>
      </c>
      <c r="D2551" s="117">
        <v>2597532</v>
      </c>
      <c r="E2551" s="135">
        <f t="shared" si="1854"/>
        <v>4</v>
      </c>
      <c r="F2551" s="124">
        <v>40995</v>
      </c>
      <c r="G2551" s="125">
        <v>41064</v>
      </c>
      <c r="H2551" s="117">
        <v>2597532</v>
      </c>
      <c r="I2551" s="124">
        <v>40996</v>
      </c>
      <c r="J2551" s="124">
        <v>40998</v>
      </c>
      <c r="K2551" s="126">
        <v>2000</v>
      </c>
      <c r="L2551" s="127" t="s">
        <v>568</v>
      </c>
      <c r="M2551" s="125">
        <v>40998</v>
      </c>
      <c r="N2551" s="129" t="str">
        <f>IF(M2551&gt;1/1/1,"Y","N")</f>
        <v>Y</v>
      </c>
      <c r="O2551" s="128" t="s">
        <v>76</v>
      </c>
      <c r="P2551" s="129" t="s">
        <v>39</v>
      </c>
      <c r="Q2551" s="111">
        <f t="shared" si="1870"/>
        <v>3</v>
      </c>
      <c r="R2551" s="111">
        <f t="shared" si="1837"/>
        <v>70</v>
      </c>
      <c r="S2551" s="129">
        <v>0</v>
      </c>
      <c r="T2551" s="129">
        <v>1</v>
      </c>
      <c r="W2551" s="111"/>
      <c r="AC2551" s="130"/>
      <c r="AD2551" s="130">
        <v>34480</v>
      </c>
      <c r="AE2551" s="128" t="s">
        <v>32</v>
      </c>
      <c r="AF2551" s="128" t="s">
        <v>192</v>
      </c>
      <c r="AG2551" s="128" t="s">
        <v>873</v>
      </c>
      <c r="AH2551" s="108" t="s">
        <v>31</v>
      </c>
      <c r="AI2551" s="128" t="s">
        <v>97</v>
      </c>
      <c r="AJ2551" s="129" t="s">
        <v>89</v>
      </c>
      <c r="AK2551" s="129">
        <v>4</v>
      </c>
      <c r="AL2551" s="3" t="s">
        <v>991</v>
      </c>
      <c r="AO2551" s="128">
        <v>60</v>
      </c>
      <c r="AP2551" s="129" t="s">
        <v>43</v>
      </c>
      <c r="AR2551" s="128" t="s">
        <v>44</v>
      </c>
      <c r="AS2551" s="129" t="s">
        <v>45</v>
      </c>
      <c r="BC2551" s="129" t="s">
        <v>38</v>
      </c>
      <c r="BF2551" s="111">
        <f t="shared" si="1871"/>
        <v>3</v>
      </c>
      <c r="BG2551" s="111">
        <f t="shared" si="1872"/>
        <v>69</v>
      </c>
      <c r="BH2551" s="111">
        <f t="shared" si="1838"/>
        <v>70</v>
      </c>
      <c r="BI2551" s="111">
        <f t="shared" si="1844"/>
        <v>17.800546448087431</v>
      </c>
      <c r="BJ2551" s="129">
        <f>(G2551-J2551)+(M2551-G2551)</f>
        <v>0</v>
      </c>
      <c r="BK2551" s="129">
        <f t="shared" si="1839"/>
        <v>-66</v>
      </c>
      <c r="BL2551" s="129" t="str">
        <f t="shared" ref="BL2551:BL2614" si="1874">IF(OR(AL2551="AQUITTAL",AL2551="DISMISSED",AL2551="FINE",AL2551="NO BILL"),"NO CONVICTION",IF(OR(AL2551="HCJ",AL2551="MHH",AL2551="PROBATION",AL2551="STJ",AL2551="TDC"),"CONVICTION",IF(AL2551="DEFERRED","DEFERRED",0)))</f>
        <v>CONVICTION</v>
      </c>
      <c r="BM2551" s="129" t="s">
        <v>76</v>
      </c>
      <c r="BN2551" s="129" t="s">
        <v>88</v>
      </c>
      <c r="BP2551" s="137" t="str">
        <f t="shared" si="1846"/>
        <v>CONVICTION</v>
      </c>
      <c r="BQ2551" s="128" t="str">
        <f t="shared" si="1856"/>
        <v>Y</v>
      </c>
      <c r="BR2551" s="129" t="str">
        <f>IF(J2551&lt;G2551,"ON BOND",0)</f>
        <v>ON BOND</v>
      </c>
      <c r="BS2551" s="129" t="str">
        <f t="shared" si="1848"/>
        <v>DISPOSED</v>
      </c>
      <c r="BT2551" s="129" t="str">
        <f t="shared" si="1849"/>
        <v>N</v>
      </c>
      <c r="BU2551" s="109">
        <f t="shared" si="1850"/>
        <v>4.2857142857142858E-2</v>
      </c>
      <c r="BV2551" s="109">
        <f t="shared" si="1857"/>
        <v>4.3478260869565216E-2</v>
      </c>
      <c r="BW2551" s="109">
        <f t="shared" si="1868"/>
        <v>6.2111801242235865E-4</v>
      </c>
      <c r="BX2551" s="111">
        <f t="shared" si="1851"/>
        <v>0</v>
      </c>
      <c r="BY2551" s="129">
        <f t="shared" si="1858"/>
        <v>-3</v>
      </c>
      <c r="BZ2551" s="111">
        <f t="shared" si="1859"/>
        <v>0</v>
      </c>
      <c r="CA2551" s="138">
        <f t="shared" si="1860"/>
        <v>3</v>
      </c>
      <c r="CB2551" s="111" t="e">
        <f t="shared" si="1873"/>
        <v>#VALUE!</v>
      </c>
      <c r="CC2551" s="129">
        <f>M2551-I2551+1</f>
        <v>3</v>
      </c>
      <c r="CD2551" s="111">
        <f>CC2551-BF2551</f>
        <v>0</v>
      </c>
      <c r="CG2551" s="129" t="str">
        <f t="shared" si="1861"/>
        <v>Y</v>
      </c>
      <c r="CI2551" s="129" t="str">
        <f t="shared" si="1862"/>
        <v>0-10 DAYS</v>
      </c>
      <c r="CJ2551" s="137">
        <f t="shared" si="1863"/>
        <v>1</v>
      </c>
      <c r="CK2551" s="129" t="str">
        <f t="shared" si="1864"/>
        <v>Booked</v>
      </c>
    </row>
    <row r="2552" spans="1:89" ht="15.75" customHeight="1" x14ac:dyDescent="0.25">
      <c r="A2552" s="111">
        <v>431</v>
      </c>
      <c r="B2552" s="128" t="str">
        <f t="shared" si="1852"/>
        <v>N</v>
      </c>
      <c r="C2552" s="128" t="str">
        <f t="shared" si="1853"/>
        <v>N</v>
      </c>
      <c r="D2552" s="117">
        <v>2597538</v>
      </c>
      <c r="E2552" s="135">
        <f t="shared" si="1854"/>
        <v>2</v>
      </c>
      <c r="F2552" s="124">
        <v>40926</v>
      </c>
      <c r="G2552" s="125">
        <v>40962</v>
      </c>
      <c r="H2552" s="117">
        <v>2597538</v>
      </c>
      <c r="I2552" s="124">
        <v>40927</v>
      </c>
      <c r="J2552" s="124">
        <v>40962</v>
      </c>
      <c r="K2552" s="126">
        <v>3000</v>
      </c>
      <c r="L2552" s="127" t="s">
        <v>569</v>
      </c>
      <c r="N2552" s="129" t="str">
        <f>IF(M2552&gt;1/1/1,"Y","N")</f>
        <v>N</v>
      </c>
      <c r="O2552" s="128" t="s">
        <v>917</v>
      </c>
      <c r="P2552" s="129" t="s">
        <v>589</v>
      </c>
      <c r="Q2552" s="111">
        <f t="shared" si="1870"/>
        <v>36</v>
      </c>
      <c r="R2552" s="111">
        <f t="shared" si="1837"/>
        <v>37</v>
      </c>
      <c r="S2552" s="129">
        <v>0</v>
      </c>
      <c r="T2552" s="129">
        <v>1</v>
      </c>
      <c r="W2552" s="111"/>
      <c r="AC2552" s="130"/>
      <c r="AD2552" s="130">
        <v>34032</v>
      </c>
      <c r="AE2552" s="128" t="s">
        <v>32</v>
      </c>
      <c r="AF2552" s="128" t="s">
        <v>69</v>
      </c>
      <c r="AG2552" s="128" t="s">
        <v>874</v>
      </c>
      <c r="AH2552" s="108" t="s">
        <v>31</v>
      </c>
      <c r="AI2552" s="128" t="s">
        <v>90</v>
      </c>
      <c r="AJ2552" s="129" t="s">
        <v>48</v>
      </c>
      <c r="AK2552" s="129">
        <v>5</v>
      </c>
      <c r="AL2552" s="3" t="s">
        <v>48</v>
      </c>
      <c r="AP2552" s="129" t="s">
        <v>132</v>
      </c>
      <c r="AR2552" s="128" t="s">
        <v>92</v>
      </c>
      <c r="AS2552" s="129" t="s">
        <v>82</v>
      </c>
      <c r="BC2552" s="129" t="s">
        <v>38</v>
      </c>
      <c r="BF2552" s="111">
        <f t="shared" si="1871"/>
        <v>36</v>
      </c>
      <c r="BG2552" s="111">
        <f t="shared" si="1872"/>
        <v>36</v>
      </c>
      <c r="BH2552" s="111">
        <f t="shared" si="1838"/>
        <v>37</v>
      </c>
      <c r="BI2552" s="111">
        <f t="shared" si="1844"/>
        <v>18.83606557377049</v>
      </c>
      <c r="BJ2552" s="129">
        <f t="shared" si="1855"/>
        <v>0</v>
      </c>
      <c r="BK2552" s="129">
        <f t="shared" si="1839"/>
        <v>0</v>
      </c>
      <c r="BL2552" s="129" t="str">
        <f t="shared" si="1874"/>
        <v>DEFERRED</v>
      </c>
      <c r="BM2552" s="129" t="str">
        <f t="shared" si="1845"/>
        <v>NONE</v>
      </c>
      <c r="BN2552" s="129" t="s">
        <v>566</v>
      </c>
      <c r="BP2552" s="137" t="str">
        <f t="shared" si="1846"/>
        <v>DEFERRED</v>
      </c>
      <c r="BQ2552" s="128" t="str">
        <f t="shared" si="1856"/>
        <v>Y</v>
      </c>
      <c r="BR2552" s="129" t="str">
        <f t="shared" si="1847"/>
        <v>DETAINED</v>
      </c>
      <c r="BS2552" s="129" t="str">
        <f t="shared" si="1848"/>
        <v>DISPOSED</v>
      </c>
      <c r="BT2552" s="129" t="str">
        <f t="shared" si="1849"/>
        <v>N</v>
      </c>
      <c r="BU2552" s="109">
        <f t="shared" si="1850"/>
        <v>0.97297297297297303</v>
      </c>
      <c r="BV2552" s="109">
        <f t="shared" si="1857"/>
        <v>1</v>
      </c>
      <c r="BW2552" s="109">
        <f t="shared" si="1868"/>
        <v>2.7027027027026973E-2</v>
      </c>
      <c r="BX2552" s="111">
        <f t="shared" si="1851"/>
        <v>0</v>
      </c>
      <c r="BY2552" s="129">
        <f t="shared" si="1858"/>
        <v>-36</v>
      </c>
      <c r="BZ2552" s="111">
        <f t="shared" si="1859"/>
        <v>0</v>
      </c>
      <c r="CA2552" s="138">
        <f t="shared" si="1860"/>
        <v>36</v>
      </c>
      <c r="CB2552" s="111" t="e">
        <f t="shared" si="1873"/>
        <v>#VALUE!</v>
      </c>
      <c r="CC2552" s="129">
        <f>G2552-I2552+1</f>
        <v>36</v>
      </c>
      <c r="CD2552" s="129">
        <f>G2552-J2552</f>
        <v>0</v>
      </c>
      <c r="CG2552" s="129" t="str">
        <f t="shared" si="1861"/>
        <v>Y</v>
      </c>
      <c r="CI2552" s="129" t="str">
        <f t="shared" si="1862"/>
        <v>31-60 DAYS</v>
      </c>
      <c r="CJ2552" s="137">
        <f t="shared" si="1863"/>
        <v>3</v>
      </c>
      <c r="CK2552" s="129" t="str">
        <f t="shared" si="1864"/>
        <v>Booked</v>
      </c>
    </row>
    <row r="2553" spans="1:89" ht="15.75" customHeight="1" x14ac:dyDescent="0.25">
      <c r="A2553" s="111">
        <v>1878</v>
      </c>
      <c r="B2553" s="128" t="str">
        <f t="shared" si="1852"/>
        <v>N</v>
      </c>
      <c r="C2553" s="128" t="str">
        <f t="shared" si="1853"/>
        <v>N</v>
      </c>
      <c r="D2553" s="117">
        <v>2597726</v>
      </c>
      <c r="E2553" s="135">
        <f t="shared" si="1854"/>
        <v>2</v>
      </c>
      <c r="F2553" s="124">
        <v>40978</v>
      </c>
      <c r="G2553" s="125">
        <v>41009</v>
      </c>
      <c r="H2553" s="117">
        <v>2597726</v>
      </c>
      <c r="I2553" s="124">
        <v>40978</v>
      </c>
      <c r="J2553" s="124">
        <v>41009</v>
      </c>
      <c r="K2553" s="126">
        <v>2000</v>
      </c>
      <c r="L2553" s="127" t="s">
        <v>568</v>
      </c>
      <c r="N2553" s="129" t="str">
        <f>IF(M2553&gt;1/1/1,"Y","N")</f>
        <v>N</v>
      </c>
      <c r="O2553" s="128" t="s">
        <v>917</v>
      </c>
      <c r="P2553" s="129" t="s">
        <v>589</v>
      </c>
      <c r="Q2553" s="111">
        <f t="shared" si="1870"/>
        <v>32</v>
      </c>
      <c r="R2553" s="111">
        <f t="shared" si="1837"/>
        <v>32</v>
      </c>
      <c r="S2553" s="129">
        <v>0</v>
      </c>
      <c r="T2553" s="129">
        <v>1</v>
      </c>
      <c r="W2553" s="111"/>
      <c r="AC2553" s="130"/>
      <c r="AD2553" s="130">
        <v>32458</v>
      </c>
      <c r="AE2553" s="128" t="s">
        <v>32</v>
      </c>
      <c r="AF2553" s="128" t="s">
        <v>69</v>
      </c>
      <c r="AG2553" s="128" t="s">
        <v>874</v>
      </c>
      <c r="AH2553" s="108" t="s">
        <v>31</v>
      </c>
      <c r="AI2553" s="128" t="s">
        <v>114</v>
      </c>
      <c r="AJ2553" s="129" t="s">
        <v>48</v>
      </c>
      <c r="AK2553" s="129">
        <v>2</v>
      </c>
      <c r="AL2553" s="3" t="s">
        <v>48</v>
      </c>
      <c r="AP2553" s="129" t="s">
        <v>43</v>
      </c>
      <c r="AR2553" s="128" t="s">
        <v>44</v>
      </c>
      <c r="AS2553" s="129" t="s">
        <v>45</v>
      </c>
      <c r="BC2553" s="129" t="s">
        <v>38</v>
      </c>
      <c r="BF2553" s="111">
        <f t="shared" si="1871"/>
        <v>32</v>
      </c>
      <c r="BG2553" s="111">
        <f t="shared" si="1872"/>
        <v>32</v>
      </c>
      <c r="BH2553" s="111">
        <f t="shared" si="1838"/>
        <v>32</v>
      </c>
      <c r="BI2553" s="111">
        <f t="shared" si="1844"/>
        <v>23.278688524590162</v>
      </c>
      <c r="BJ2553" s="129">
        <f t="shared" si="1855"/>
        <v>0</v>
      </c>
      <c r="BK2553" s="129">
        <f t="shared" si="1839"/>
        <v>0</v>
      </c>
      <c r="BL2553" s="129" t="str">
        <f t="shared" si="1874"/>
        <v>DEFERRED</v>
      </c>
      <c r="BM2553" s="129" t="str">
        <f t="shared" si="1845"/>
        <v>NONE</v>
      </c>
      <c r="BN2553" s="129" t="s">
        <v>566</v>
      </c>
      <c r="BP2553" s="137" t="str">
        <f t="shared" si="1846"/>
        <v>DEFERRED</v>
      </c>
      <c r="BQ2553" s="128" t="str">
        <f t="shared" si="1856"/>
        <v>Y</v>
      </c>
      <c r="BR2553" s="129" t="str">
        <f t="shared" si="1847"/>
        <v>DETAINED</v>
      </c>
      <c r="BS2553" s="129" t="str">
        <f t="shared" si="1848"/>
        <v>DISPOSED</v>
      </c>
      <c r="BT2553" s="129" t="str">
        <f t="shared" si="1849"/>
        <v>N</v>
      </c>
      <c r="BU2553" s="109">
        <f t="shared" si="1850"/>
        <v>1</v>
      </c>
      <c r="BV2553" s="109">
        <f t="shared" si="1857"/>
        <v>1</v>
      </c>
      <c r="BW2553" s="109">
        <f t="shared" si="1868"/>
        <v>0</v>
      </c>
      <c r="BX2553" s="111">
        <f t="shared" si="1851"/>
        <v>0</v>
      </c>
      <c r="BY2553" s="129">
        <f t="shared" si="1858"/>
        <v>-32</v>
      </c>
      <c r="BZ2553" s="111">
        <f t="shared" si="1859"/>
        <v>0</v>
      </c>
      <c r="CA2553" s="138">
        <f t="shared" si="1860"/>
        <v>32</v>
      </c>
      <c r="CB2553" s="111" t="e">
        <f t="shared" si="1873"/>
        <v>#VALUE!</v>
      </c>
      <c r="CC2553" s="129">
        <f>G2553-I2553+1</f>
        <v>32</v>
      </c>
      <c r="CD2553" s="129">
        <f>G2553-J2553</f>
        <v>0</v>
      </c>
      <c r="CG2553" s="129" t="str">
        <f t="shared" si="1861"/>
        <v>Y</v>
      </c>
      <c r="CI2553" s="129" t="str">
        <f t="shared" si="1862"/>
        <v>31-60 DAYS</v>
      </c>
      <c r="CJ2553" s="137">
        <f t="shared" si="1863"/>
        <v>3</v>
      </c>
      <c r="CK2553" s="129" t="str">
        <f t="shared" si="1864"/>
        <v>Booked</v>
      </c>
    </row>
    <row r="2554" spans="1:89" ht="15" customHeight="1" x14ac:dyDescent="0.25">
      <c r="A2554" s="111">
        <v>6</v>
      </c>
      <c r="B2554" s="128" t="str">
        <f t="shared" si="1852"/>
        <v>N</v>
      </c>
      <c r="C2554" s="128" t="str">
        <f t="shared" si="1853"/>
        <v>N</v>
      </c>
      <c r="D2554" s="117">
        <v>2597773</v>
      </c>
      <c r="E2554" s="135">
        <f t="shared" si="1854"/>
        <v>1</v>
      </c>
      <c r="F2554" s="124">
        <v>40909</v>
      </c>
      <c r="G2554" s="125">
        <v>40962</v>
      </c>
      <c r="H2554" s="117">
        <v>2597773</v>
      </c>
      <c r="I2554" s="124">
        <v>40909</v>
      </c>
      <c r="J2554" s="124">
        <v>40911</v>
      </c>
      <c r="K2554" s="126">
        <v>10000</v>
      </c>
      <c r="L2554" s="127" t="s">
        <v>570</v>
      </c>
      <c r="M2554" s="125">
        <v>40911</v>
      </c>
      <c r="N2554" s="129" t="str">
        <f>IF(M2554&gt;1/1/1,"Y","N")</f>
        <v>Y</v>
      </c>
      <c r="O2554" s="128" t="s">
        <v>54</v>
      </c>
      <c r="P2554" s="129" t="s">
        <v>55</v>
      </c>
      <c r="Q2554" s="111">
        <f t="shared" si="1870"/>
        <v>3</v>
      </c>
      <c r="R2554" s="111">
        <f t="shared" si="1837"/>
        <v>54</v>
      </c>
      <c r="S2554" s="129">
        <v>0</v>
      </c>
      <c r="T2554" s="129">
        <v>0</v>
      </c>
      <c r="W2554" s="111"/>
      <c r="AC2554" s="130"/>
      <c r="AD2554" s="130">
        <v>30908</v>
      </c>
      <c r="AE2554" s="128" t="s">
        <v>46</v>
      </c>
      <c r="AF2554" s="128" t="s">
        <v>33</v>
      </c>
      <c r="AG2554" s="128" t="s">
        <v>872</v>
      </c>
      <c r="AH2554" s="108" t="s">
        <v>31</v>
      </c>
      <c r="AI2554" s="128" t="s">
        <v>34</v>
      </c>
      <c r="AJ2554" s="129" t="s">
        <v>55</v>
      </c>
      <c r="AK2554" s="129">
        <v>3</v>
      </c>
      <c r="AL2554" s="3" t="s">
        <v>55</v>
      </c>
      <c r="AP2554" s="129" t="s">
        <v>56</v>
      </c>
      <c r="AR2554" s="128" t="s">
        <v>50</v>
      </c>
      <c r="AS2554" s="129" t="s">
        <v>57</v>
      </c>
      <c r="BC2554" s="129" t="s">
        <v>38</v>
      </c>
      <c r="BF2554" s="111">
        <f t="shared" si="1871"/>
        <v>3</v>
      </c>
      <c r="BG2554" s="111">
        <f t="shared" si="1872"/>
        <v>54</v>
      </c>
      <c r="BH2554" s="111">
        <f t="shared" si="1838"/>
        <v>54</v>
      </c>
      <c r="BI2554" s="111">
        <f t="shared" si="1844"/>
        <v>27.325136612021858</v>
      </c>
      <c r="BJ2554" s="129">
        <f>(G2554-J2554)+(M2554-G2554)</f>
        <v>0</v>
      </c>
      <c r="BK2554" s="129">
        <f t="shared" si="1839"/>
        <v>-51</v>
      </c>
      <c r="BL2554" s="129" t="str">
        <f t="shared" si="1874"/>
        <v>NO CONVICTION</v>
      </c>
      <c r="BM2554" s="129" t="s">
        <v>160</v>
      </c>
      <c r="BN2554" s="129" t="s">
        <v>88</v>
      </c>
      <c r="BP2554" s="137" t="str">
        <f t="shared" si="1846"/>
        <v>NO CONVICTION</v>
      </c>
      <c r="BQ2554" s="128" t="str">
        <f t="shared" si="1856"/>
        <v>Y</v>
      </c>
      <c r="BR2554" s="129" t="str">
        <f t="shared" si="1847"/>
        <v>ON BOND</v>
      </c>
      <c r="BS2554" s="129" t="str">
        <f t="shared" si="1848"/>
        <v>DISPOSED</v>
      </c>
      <c r="BT2554" s="129" t="str">
        <f t="shared" si="1849"/>
        <v>N</v>
      </c>
      <c r="BU2554" s="109">
        <f>IFERROR(Q2554/R2554,BR2554)</f>
        <v>5.5555555555555552E-2</v>
      </c>
      <c r="BV2554" s="109">
        <f t="shared" si="1857"/>
        <v>5.5555555555555552E-2</v>
      </c>
      <c r="BW2554" s="109">
        <f t="shared" si="1868"/>
        <v>0</v>
      </c>
      <c r="BX2554" s="111">
        <f t="shared" si="1851"/>
        <v>0</v>
      </c>
      <c r="BY2554" s="129">
        <f t="shared" si="1858"/>
        <v>-3</v>
      </c>
      <c r="BZ2554" s="111">
        <f t="shared" si="1859"/>
        <v>0</v>
      </c>
      <c r="CA2554" s="138">
        <f t="shared" si="1860"/>
        <v>3</v>
      </c>
      <c r="CB2554" s="111" t="e">
        <f t="shared" si="1873"/>
        <v>#VALUE!</v>
      </c>
      <c r="CC2554" s="129">
        <f>M2554-I2554+1</f>
        <v>3</v>
      </c>
      <c r="CD2554" s="111">
        <f>CC2554-BF2554</f>
        <v>0</v>
      </c>
      <c r="CG2554" s="129" t="str">
        <f t="shared" si="1861"/>
        <v>N</v>
      </c>
      <c r="CI2554" s="129" t="str">
        <f t="shared" si="1862"/>
        <v>0-10 DAYS</v>
      </c>
      <c r="CJ2554" s="137">
        <f t="shared" si="1863"/>
        <v>1</v>
      </c>
      <c r="CK2554" s="129" t="str">
        <f t="shared" si="1864"/>
        <v>Booked</v>
      </c>
    </row>
    <row r="2555" spans="1:89" ht="15.75" customHeight="1" x14ac:dyDescent="0.25">
      <c r="A2555" s="111">
        <v>10</v>
      </c>
      <c r="B2555" s="128" t="str">
        <f t="shared" si="1852"/>
        <v>N</v>
      </c>
      <c r="C2555" s="128" t="str">
        <f t="shared" si="1853"/>
        <v>N</v>
      </c>
      <c r="D2555" s="117">
        <v>2597790</v>
      </c>
      <c r="E2555" s="135">
        <f t="shared" si="1854"/>
        <v>2</v>
      </c>
      <c r="F2555" s="124">
        <v>40909</v>
      </c>
      <c r="G2555" s="125">
        <v>41173</v>
      </c>
      <c r="H2555" s="117">
        <v>2597790</v>
      </c>
      <c r="I2555" s="124">
        <v>40909</v>
      </c>
      <c r="J2555" s="124">
        <v>40910</v>
      </c>
      <c r="K2555" s="126">
        <v>10000</v>
      </c>
      <c r="L2555" s="127" t="s">
        <v>570</v>
      </c>
      <c r="M2555" s="125">
        <v>40910</v>
      </c>
      <c r="N2555" s="129" t="str">
        <f>IF(M2555&gt;1/1/1,"Y","N")</f>
        <v>Y</v>
      </c>
      <c r="O2555" s="128" t="s">
        <v>585</v>
      </c>
      <c r="P2555" s="129" t="s">
        <v>589</v>
      </c>
      <c r="Q2555" s="111">
        <f t="shared" si="1870"/>
        <v>2</v>
      </c>
      <c r="R2555" s="111">
        <f t="shared" si="1837"/>
        <v>265</v>
      </c>
      <c r="S2555" s="129">
        <v>0</v>
      </c>
      <c r="T2555" s="129">
        <v>0</v>
      </c>
      <c r="W2555" s="111"/>
      <c r="AC2555" s="130"/>
      <c r="AD2555" s="130">
        <v>33904</v>
      </c>
      <c r="AE2555" s="128" t="s">
        <v>32</v>
      </c>
      <c r="AF2555" s="128" t="s">
        <v>69</v>
      </c>
      <c r="AG2555" s="128" t="s">
        <v>874</v>
      </c>
      <c r="AH2555" s="108" t="s">
        <v>31</v>
      </c>
      <c r="AI2555" s="128" t="s">
        <v>70</v>
      </c>
      <c r="AJ2555" s="129" t="s">
        <v>48</v>
      </c>
      <c r="AK2555" s="129">
        <v>11</v>
      </c>
      <c r="AL2555" s="3" t="s">
        <v>48</v>
      </c>
      <c r="AP2555" s="129" t="s">
        <v>56</v>
      </c>
      <c r="AR2555" s="128" t="s">
        <v>50</v>
      </c>
      <c r="AS2555" s="129" t="s">
        <v>57</v>
      </c>
      <c r="BC2555" s="129" t="s">
        <v>52</v>
      </c>
      <c r="BF2555" s="111">
        <f t="shared" si="1871"/>
        <v>2</v>
      </c>
      <c r="BG2555" s="111">
        <f t="shared" si="1872"/>
        <v>265</v>
      </c>
      <c r="BH2555" s="111">
        <f t="shared" si="1838"/>
        <v>265</v>
      </c>
      <c r="BI2555" s="111">
        <f t="shared" si="1844"/>
        <v>19.139344262295083</v>
      </c>
      <c r="BJ2555" s="129">
        <f>(G2555-J2555)+(M2555-G2555)</f>
        <v>0</v>
      </c>
      <c r="BK2555" s="129">
        <f t="shared" si="1839"/>
        <v>-263</v>
      </c>
      <c r="BL2555" s="129" t="str">
        <f t="shared" si="1874"/>
        <v>DEFERRED</v>
      </c>
      <c r="BM2555" s="129" t="s">
        <v>76</v>
      </c>
      <c r="BN2555" s="129" t="s">
        <v>88</v>
      </c>
      <c r="BP2555" s="137" t="str">
        <f t="shared" si="1846"/>
        <v>DEFERRED</v>
      </c>
      <c r="BQ2555" s="128" t="str">
        <f t="shared" si="1856"/>
        <v>Y</v>
      </c>
      <c r="BR2555" s="129" t="str">
        <f t="shared" si="1847"/>
        <v>ON BOND</v>
      </c>
      <c r="BS2555" s="129" t="str">
        <f t="shared" si="1848"/>
        <v>DISPOSED</v>
      </c>
      <c r="BT2555" s="129" t="str">
        <f t="shared" si="1849"/>
        <v>N</v>
      </c>
      <c r="BU2555" s="109">
        <f t="shared" si="1850"/>
        <v>7.5471698113207548E-3</v>
      </c>
      <c r="BV2555" s="109">
        <f t="shared" si="1857"/>
        <v>7.5471698113207548E-3</v>
      </c>
      <c r="BW2555" s="109">
        <f t="shared" si="1868"/>
        <v>0</v>
      </c>
      <c r="BX2555" s="111">
        <f t="shared" si="1851"/>
        <v>0</v>
      </c>
      <c r="BY2555" s="129">
        <f t="shared" si="1858"/>
        <v>-2</v>
      </c>
      <c r="BZ2555" s="111">
        <f t="shared" si="1859"/>
        <v>0</v>
      </c>
      <c r="CA2555" s="138">
        <f t="shared" si="1860"/>
        <v>2</v>
      </c>
      <c r="CB2555" s="111" t="e">
        <f t="shared" si="1873"/>
        <v>#VALUE!</v>
      </c>
      <c r="CC2555" s="129">
        <f>M2555-I2555+1</f>
        <v>2</v>
      </c>
      <c r="CD2555" s="111">
        <f>CC2555-BF2555</f>
        <v>0</v>
      </c>
      <c r="CG2555" s="129" t="str">
        <f t="shared" si="1861"/>
        <v>N</v>
      </c>
      <c r="CI2555" s="129" t="str">
        <f t="shared" si="1862"/>
        <v>0-10 DAYS</v>
      </c>
      <c r="CJ2555" s="137">
        <f t="shared" si="1863"/>
        <v>1</v>
      </c>
      <c r="CK2555" s="129" t="str">
        <f t="shared" si="1864"/>
        <v>Booked</v>
      </c>
    </row>
    <row r="2556" spans="1:89" ht="15.75" customHeight="1" x14ac:dyDescent="0.25">
      <c r="A2556" s="111">
        <v>13</v>
      </c>
      <c r="B2556" s="128" t="str">
        <f t="shared" si="1852"/>
        <v>N</v>
      </c>
      <c r="C2556" s="128" t="str">
        <f t="shared" si="1853"/>
        <v>N</v>
      </c>
      <c r="D2556" s="117">
        <v>2597817</v>
      </c>
      <c r="E2556" s="135">
        <f t="shared" si="1854"/>
        <v>2</v>
      </c>
      <c r="F2556" s="124">
        <v>40910</v>
      </c>
      <c r="G2556" s="125">
        <v>40947</v>
      </c>
      <c r="H2556" s="117">
        <v>2597817</v>
      </c>
      <c r="I2556" s="124" t="s">
        <v>562</v>
      </c>
      <c r="J2556" s="124" t="s">
        <v>562</v>
      </c>
      <c r="K2556" s="126">
        <v>10000</v>
      </c>
      <c r="L2556" s="127" t="s">
        <v>570</v>
      </c>
      <c r="M2556" s="125">
        <v>40910</v>
      </c>
      <c r="N2556" s="129" t="str">
        <f>IF(M2556&gt;1/1/1,"Y",IF(Q2556="0","N"))</f>
        <v>Y</v>
      </c>
      <c r="O2556" s="128" t="s">
        <v>76</v>
      </c>
      <c r="P2556" s="129" t="s">
        <v>77</v>
      </c>
      <c r="Q2556" s="111">
        <f t="shared" si="1870"/>
        <v>0</v>
      </c>
      <c r="R2556" s="111">
        <f t="shared" si="1837"/>
        <v>38</v>
      </c>
      <c r="S2556" s="129">
        <v>0</v>
      </c>
      <c r="T2556" s="129">
        <v>0</v>
      </c>
      <c r="W2556" s="111"/>
      <c r="AC2556" s="130"/>
      <c r="AD2556" s="130">
        <v>27676</v>
      </c>
      <c r="AE2556" s="128" t="s">
        <v>32</v>
      </c>
      <c r="AF2556" s="128" t="s">
        <v>69</v>
      </c>
      <c r="AG2556" s="128" t="s">
        <v>874</v>
      </c>
      <c r="AH2556" s="108" t="s">
        <v>31</v>
      </c>
      <c r="AI2556" s="128" t="s">
        <v>71</v>
      </c>
      <c r="AJ2556" s="129" t="s">
        <v>48</v>
      </c>
      <c r="AK2556" s="129">
        <v>2</v>
      </c>
      <c r="AL2556" s="3" t="s">
        <v>48</v>
      </c>
      <c r="AP2556" s="129" t="s">
        <v>78</v>
      </c>
      <c r="AR2556" s="128" t="s">
        <v>44</v>
      </c>
      <c r="AS2556" s="129" t="s">
        <v>64</v>
      </c>
      <c r="AT2556" s="32" t="s">
        <v>1308</v>
      </c>
      <c r="BC2556" s="129" t="s">
        <v>79</v>
      </c>
      <c r="BF2556" s="111">
        <v>0</v>
      </c>
      <c r="BG2556" s="111">
        <v>0</v>
      </c>
      <c r="BH2556" s="111">
        <f t="shared" si="1838"/>
        <v>38</v>
      </c>
      <c r="BI2556" s="111">
        <f t="shared" si="1844"/>
        <v>36.158469945355193</v>
      </c>
      <c r="BJ2556" s="129" t="e">
        <f>(G2556-J2556)+(M2556-G2556)</f>
        <v>#VALUE!</v>
      </c>
      <c r="BK2556" s="129" t="e">
        <f t="shared" si="1839"/>
        <v>#VALUE!</v>
      </c>
      <c r="BL2556" s="129" t="str">
        <f t="shared" si="1874"/>
        <v>DEFERRED</v>
      </c>
      <c r="BM2556" s="129" t="s">
        <v>76</v>
      </c>
      <c r="BN2556" s="129" t="s">
        <v>88</v>
      </c>
      <c r="BP2556" s="137" t="str">
        <f t="shared" si="1846"/>
        <v>DEFERRED</v>
      </c>
      <c r="BQ2556" s="128">
        <f t="shared" si="1856"/>
        <v>0</v>
      </c>
      <c r="BR2556" s="129" t="s">
        <v>575</v>
      </c>
      <c r="BS2556" s="129" t="str">
        <f t="shared" si="1848"/>
        <v>DISPOSED</v>
      </c>
      <c r="BT2556" s="129" t="str">
        <f t="shared" si="1849"/>
        <v>N</v>
      </c>
      <c r="BU2556" s="109">
        <f t="shared" si="1850"/>
        <v>0</v>
      </c>
      <c r="BV2556" s="109">
        <v>0</v>
      </c>
      <c r="BW2556" s="109">
        <f t="shared" si="1868"/>
        <v>0</v>
      </c>
      <c r="BX2556" s="111">
        <f t="shared" si="1851"/>
        <v>0</v>
      </c>
      <c r="BY2556" s="129" t="e">
        <f t="shared" si="1858"/>
        <v>#VALUE!</v>
      </c>
      <c r="BZ2556" s="111" t="e">
        <f t="shared" si="1859"/>
        <v>#VALUE!</v>
      </c>
      <c r="CA2556" s="138" t="e">
        <f t="shared" si="1860"/>
        <v>#VALUE!</v>
      </c>
      <c r="CB2556" s="111">
        <v>0</v>
      </c>
      <c r="CC2556" s="129">
        <v>0</v>
      </c>
      <c r="CD2556" s="111">
        <f>CC2556-BF2556</f>
        <v>0</v>
      </c>
      <c r="CG2556" s="129" t="str">
        <f t="shared" si="1861"/>
        <v>N</v>
      </c>
      <c r="CI2556" s="129" t="str">
        <f t="shared" si="1862"/>
        <v>0-10 DAYS</v>
      </c>
      <c r="CJ2556" s="137">
        <f t="shared" si="1863"/>
        <v>1</v>
      </c>
      <c r="CK2556" s="129" t="str">
        <f t="shared" si="1864"/>
        <v>Not Booked</v>
      </c>
    </row>
    <row r="2557" spans="1:89" ht="15.75" customHeight="1" x14ac:dyDescent="0.25">
      <c r="A2557" s="111">
        <v>26</v>
      </c>
      <c r="B2557" s="128" t="str">
        <f t="shared" si="1852"/>
        <v>N</v>
      </c>
      <c r="C2557" s="128" t="str">
        <f t="shared" si="1853"/>
        <v>N</v>
      </c>
      <c r="D2557" s="117">
        <v>2597859</v>
      </c>
      <c r="E2557" s="135">
        <f t="shared" si="1854"/>
        <v>1</v>
      </c>
      <c r="F2557" s="124">
        <v>40910</v>
      </c>
      <c r="G2557" s="125">
        <v>40913</v>
      </c>
      <c r="H2557" s="117">
        <v>2597859</v>
      </c>
      <c r="I2557" s="124">
        <v>40911</v>
      </c>
      <c r="J2557" s="124">
        <v>40913</v>
      </c>
      <c r="K2557" s="126">
        <v>5000</v>
      </c>
      <c r="L2557" s="127" t="s">
        <v>569</v>
      </c>
      <c r="N2557" s="129" t="str">
        <f>IF(M2557&gt;1/1/1,"Y","N")</f>
        <v>N</v>
      </c>
      <c r="O2557" s="128" t="s">
        <v>917</v>
      </c>
      <c r="P2557" s="129" t="s">
        <v>55</v>
      </c>
      <c r="Q2557" s="111">
        <f t="shared" si="1870"/>
        <v>3</v>
      </c>
      <c r="R2557" s="111">
        <f t="shared" ref="R2557:R2620" si="1875">BH2557</f>
        <v>4</v>
      </c>
      <c r="S2557" s="129">
        <v>0</v>
      </c>
      <c r="T2557" s="129">
        <v>0</v>
      </c>
      <c r="W2557" s="111"/>
      <c r="AC2557" s="130"/>
      <c r="AD2557" s="130">
        <v>33436</v>
      </c>
      <c r="AE2557" s="128" t="s">
        <v>32</v>
      </c>
      <c r="AF2557" s="128" t="s">
        <v>69</v>
      </c>
      <c r="AG2557" s="128" t="s">
        <v>874</v>
      </c>
      <c r="AH2557" s="108" t="s">
        <v>31</v>
      </c>
      <c r="AI2557" s="128" t="s">
        <v>70</v>
      </c>
      <c r="AJ2557" s="129" t="s">
        <v>55</v>
      </c>
      <c r="AK2557" s="129">
        <v>2</v>
      </c>
      <c r="AL2557" s="3" t="s">
        <v>55</v>
      </c>
      <c r="AP2557" s="129" t="s">
        <v>93</v>
      </c>
      <c r="AR2557" s="128" t="s">
        <v>67</v>
      </c>
      <c r="AS2557" s="129" t="s">
        <v>45</v>
      </c>
      <c r="BC2557" s="129" t="s">
        <v>79</v>
      </c>
      <c r="BF2557" s="111">
        <f t="shared" ref="BF2557:BF2582" si="1876">IF(J2557&gt;1/1/1900,((J2557+1)-I2557),"STILL OPEN")</f>
        <v>3</v>
      </c>
      <c r="BG2557" s="111">
        <f t="shared" ref="BG2557:BG2582" si="1877">IF(G2557&gt;1/1/1900,((G2557+1)-I2557),"STILL OPEN")</f>
        <v>3</v>
      </c>
      <c r="BH2557" s="111">
        <f t="shared" ref="BH2557:BH2620" si="1878">IF(G2557&gt;1/1/1900,((G2557+1)-F2557),"STILL OPEN")</f>
        <v>4</v>
      </c>
      <c r="BI2557" s="111">
        <f t="shared" si="1844"/>
        <v>20.420765027322403</v>
      </c>
      <c r="BJ2557" s="129">
        <f t="shared" si="1855"/>
        <v>0</v>
      </c>
      <c r="BK2557" s="129">
        <f t="shared" ref="BK2557:BK2620" si="1879">J2557-G2557</f>
        <v>0</v>
      </c>
      <c r="BL2557" s="129" t="str">
        <f t="shared" si="1874"/>
        <v>NO CONVICTION</v>
      </c>
      <c r="BM2557" s="129" t="str">
        <f t="shared" si="1845"/>
        <v>NONE</v>
      </c>
      <c r="BN2557" s="129" t="s">
        <v>566</v>
      </c>
      <c r="BP2557" s="137" t="str">
        <f t="shared" si="1846"/>
        <v>NO CONVICTION</v>
      </c>
      <c r="BQ2557" s="128" t="str">
        <f t="shared" si="1856"/>
        <v>Y</v>
      </c>
      <c r="BR2557" s="129" t="str">
        <f t="shared" si="1847"/>
        <v>DETAINED</v>
      </c>
      <c r="BS2557" s="129" t="str">
        <f t="shared" si="1848"/>
        <v>DISPOSED</v>
      </c>
      <c r="BT2557" s="129" t="str">
        <f t="shared" si="1849"/>
        <v>N</v>
      </c>
      <c r="BU2557" s="109">
        <f>IFERROR(Q2557/R2557,BR2557)</f>
        <v>0.75</v>
      </c>
      <c r="BV2557" s="109">
        <f t="shared" si="1857"/>
        <v>1</v>
      </c>
      <c r="BW2557" s="109">
        <f t="shared" si="1868"/>
        <v>0.25</v>
      </c>
      <c r="BX2557" s="111">
        <f t="shared" si="1851"/>
        <v>0</v>
      </c>
      <c r="BY2557" s="129">
        <f t="shared" si="1858"/>
        <v>-3</v>
      </c>
      <c r="BZ2557" s="111">
        <f t="shared" si="1859"/>
        <v>0</v>
      </c>
      <c r="CA2557" s="138">
        <f t="shared" si="1860"/>
        <v>3</v>
      </c>
      <c r="CB2557" s="111" t="e">
        <f t="shared" ref="CB2557:CB2582" si="1880">IF(AF2557&gt;1/1/1900,((AF2557+1)-AE2557),"STILL OPEN")</f>
        <v>#VALUE!</v>
      </c>
      <c r="CC2557" s="129">
        <f>G2557-I2557+1</f>
        <v>3</v>
      </c>
      <c r="CD2557" s="129">
        <f>G2557-J2557</f>
        <v>0</v>
      </c>
      <c r="CG2557" s="129" t="str">
        <f t="shared" si="1861"/>
        <v>N</v>
      </c>
      <c r="CI2557" s="129" t="str">
        <f t="shared" si="1862"/>
        <v>0-10 DAYS</v>
      </c>
      <c r="CJ2557" s="137">
        <f t="shared" si="1863"/>
        <v>1</v>
      </c>
      <c r="CK2557" s="129" t="str">
        <f t="shared" si="1864"/>
        <v>Booked</v>
      </c>
    </row>
    <row r="2558" spans="1:89" ht="15" customHeight="1" x14ac:dyDescent="0.25">
      <c r="A2558" s="111">
        <v>2680</v>
      </c>
      <c r="B2558" s="128" t="str">
        <f t="shared" si="1852"/>
        <v>N</v>
      </c>
      <c r="C2558" s="128" t="str">
        <f t="shared" si="1853"/>
        <v>Y</v>
      </c>
      <c r="D2558" s="117">
        <v>2597860</v>
      </c>
      <c r="E2558" s="135">
        <f t="shared" si="1854"/>
        <v>2</v>
      </c>
      <c r="F2558" s="124">
        <v>41008</v>
      </c>
      <c r="G2558" s="125">
        <v>41067</v>
      </c>
      <c r="H2558" s="117">
        <v>2597860</v>
      </c>
      <c r="I2558" s="124">
        <v>41043</v>
      </c>
      <c r="J2558" s="124">
        <v>41067</v>
      </c>
      <c r="K2558" s="126">
        <v>10000</v>
      </c>
      <c r="L2558" s="127" t="s">
        <v>570</v>
      </c>
      <c r="M2558" s="125">
        <v>41010</v>
      </c>
      <c r="N2558" s="129" t="str">
        <f>IF(M2558&gt;1/1/1,"Y","N")</f>
        <v>Y</v>
      </c>
      <c r="O2558" s="128" t="s">
        <v>76</v>
      </c>
      <c r="P2558" s="129" t="s">
        <v>589</v>
      </c>
      <c r="Q2558" s="111">
        <v>22</v>
      </c>
      <c r="R2558" s="111">
        <f t="shared" si="1875"/>
        <v>60</v>
      </c>
      <c r="S2558" s="129">
        <v>0</v>
      </c>
      <c r="T2558" s="129">
        <v>0</v>
      </c>
      <c r="W2558" s="111"/>
      <c r="AC2558" s="130"/>
      <c r="AD2558" s="130">
        <v>30983</v>
      </c>
      <c r="AE2558" s="128" t="s">
        <v>32</v>
      </c>
      <c r="AF2558" s="128" t="s">
        <v>69</v>
      </c>
      <c r="AG2558" s="128" t="s">
        <v>874</v>
      </c>
      <c r="AH2558" s="108" t="s">
        <v>31</v>
      </c>
      <c r="AI2558" s="128" t="s">
        <v>85</v>
      </c>
      <c r="AJ2558" s="129" t="s">
        <v>48</v>
      </c>
      <c r="AK2558" s="129">
        <v>3</v>
      </c>
      <c r="AL2558" s="3" t="s">
        <v>48</v>
      </c>
      <c r="AP2558" s="129" t="s">
        <v>49</v>
      </c>
      <c r="AR2558" s="128" t="s">
        <v>50</v>
      </c>
      <c r="AS2558" s="129" t="s">
        <v>45</v>
      </c>
      <c r="AT2558" s="129" t="s">
        <v>1313</v>
      </c>
      <c r="AU2558" s="3" t="s">
        <v>778</v>
      </c>
      <c r="AX2558" s="32" t="s">
        <v>88</v>
      </c>
      <c r="BC2558" s="129" t="s">
        <v>99</v>
      </c>
      <c r="BF2558" s="111">
        <v>22</v>
      </c>
      <c r="BG2558" s="111">
        <f t="shared" si="1877"/>
        <v>25</v>
      </c>
      <c r="BH2558" s="111">
        <f t="shared" si="1878"/>
        <v>60</v>
      </c>
      <c r="BI2558" s="111">
        <f t="shared" si="1844"/>
        <v>27.39071038251366</v>
      </c>
      <c r="BJ2558" s="129">
        <f>G2558-J2558</f>
        <v>0</v>
      </c>
      <c r="BK2558" s="129">
        <f t="shared" si="1879"/>
        <v>0</v>
      </c>
      <c r="BL2558" s="129" t="str">
        <f t="shared" si="1874"/>
        <v>DEFERRED</v>
      </c>
      <c r="BM2558" s="129" t="s">
        <v>76</v>
      </c>
      <c r="BN2558" s="129" t="s">
        <v>88</v>
      </c>
      <c r="BP2558" s="137" t="str">
        <f t="shared" si="1846"/>
        <v>DEFERRED</v>
      </c>
      <c r="BQ2558" s="128" t="str">
        <f t="shared" si="1856"/>
        <v>Y</v>
      </c>
      <c r="BR2558" s="129" t="s">
        <v>574</v>
      </c>
      <c r="BS2558" s="129" t="str">
        <f t="shared" si="1848"/>
        <v>DISPOSED</v>
      </c>
      <c r="BT2558" s="129" t="str">
        <f t="shared" si="1849"/>
        <v>N</v>
      </c>
      <c r="BU2558" s="109">
        <f t="shared" si="1850"/>
        <v>0.36666666666666664</v>
      </c>
      <c r="BV2558" s="109">
        <f t="shared" si="1857"/>
        <v>1</v>
      </c>
      <c r="BW2558" s="109">
        <f t="shared" si="1868"/>
        <v>0.6333333333333333</v>
      </c>
      <c r="BX2558" s="111">
        <f t="shared" si="1851"/>
        <v>0</v>
      </c>
      <c r="BY2558" s="129">
        <f t="shared" si="1858"/>
        <v>-25</v>
      </c>
      <c r="BZ2558" s="111">
        <f t="shared" si="1859"/>
        <v>-3</v>
      </c>
      <c r="CA2558" s="138">
        <f t="shared" si="1860"/>
        <v>25</v>
      </c>
      <c r="CB2558" s="111">
        <v>22</v>
      </c>
      <c r="CC2558" s="129">
        <f>G2558-I2558+1</f>
        <v>25</v>
      </c>
      <c r="CD2558" s="129">
        <f>G2558-J2558</f>
        <v>0</v>
      </c>
      <c r="CG2558" s="129" t="str">
        <f t="shared" si="1861"/>
        <v>N</v>
      </c>
      <c r="CI2558" s="129" t="str">
        <f t="shared" si="1862"/>
        <v>11-30 DAYS</v>
      </c>
      <c r="CJ2558" s="137">
        <f t="shared" si="1863"/>
        <v>2</v>
      </c>
      <c r="CK2558" s="129" t="str">
        <f t="shared" si="1864"/>
        <v>Booked</v>
      </c>
    </row>
    <row r="2559" spans="1:89" ht="15.75" customHeight="1" x14ac:dyDescent="0.25">
      <c r="A2559" s="111">
        <v>29</v>
      </c>
      <c r="B2559" s="128" t="str">
        <f t="shared" si="1852"/>
        <v>N</v>
      </c>
      <c r="C2559" s="128" t="str">
        <f t="shared" si="1853"/>
        <v>N</v>
      </c>
      <c r="D2559" s="117">
        <v>2597872</v>
      </c>
      <c r="E2559" s="135">
        <f t="shared" si="1854"/>
        <v>2</v>
      </c>
      <c r="F2559" s="124">
        <v>40911</v>
      </c>
      <c r="G2559" s="125">
        <v>41212</v>
      </c>
      <c r="H2559" s="117">
        <v>2597872</v>
      </c>
      <c r="I2559" s="124">
        <v>40918</v>
      </c>
      <c r="J2559" s="124">
        <v>40918</v>
      </c>
      <c r="K2559" s="126">
        <v>10000</v>
      </c>
      <c r="L2559" s="127" t="s">
        <v>570</v>
      </c>
      <c r="M2559" s="125">
        <v>40922</v>
      </c>
      <c r="N2559" s="129" t="str">
        <f>IF(M2559&gt;1/1/1,"Y","N")</f>
        <v>Y</v>
      </c>
      <c r="O2559" s="128" t="s">
        <v>76</v>
      </c>
      <c r="P2559" s="129" t="s">
        <v>589</v>
      </c>
      <c r="Q2559" s="111">
        <f t="shared" si="1870"/>
        <v>1</v>
      </c>
      <c r="R2559" s="111">
        <f t="shared" si="1875"/>
        <v>302</v>
      </c>
      <c r="S2559" s="129">
        <v>0</v>
      </c>
      <c r="T2559" s="129">
        <v>1</v>
      </c>
      <c r="W2559" s="111"/>
      <c r="AC2559" s="130"/>
      <c r="AD2559" s="130">
        <v>32796</v>
      </c>
      <c r="AE2559" s="128" t="s">
        <v>32</v>
      </c>
      <c r="AF2559" s="128" t="s">
        <v>33</v>
      </c>
      <c r="AG2559" s="128" t="s">
        <v>872</v>
      </c>
      <c r="AH2559" s="108" t="s">
        <v>31</v>
      </c>
      <c r="AI2559" s="128" t="s">
        <v>95</v>
      </c>
      <c r="AJ2559" s="129" t="s">
        <v>48</v>
      </c>
      <c r="AK2559" s="129">
        <v>14</v>
      </c>
      <c r="AL2559" s="3" t="s">
        <v>48</v>
      </c>
      <c r="AP2559" s="129" t="s">
        <v>96</v>
      </c>
      <c r="AR2559" s="128" t="s">
        <v>67</v>
      </c>
      <c r="AS2559" s="129" t="s">
        <v>64</v>
      </c>
      <c r="BC2559" s="129" t="s">
        <v>52</v>
      </c>
      <c r="BF2559" s="111">
        <f t="shared" si="1876"/>
        <v>1</v>
      </c>
      <c r="BG2559" s="111">
        <f t="shared" si="1877"/>
        <v>295</v>
      </c>
      <c r="BH2559" s="111">
        <f t="shared" si="1878"/>
        <v>302</v>
      </c>
      <c r="BI2559" s="111">
        <f t="shared" si="1844"/>
        <v>22.172131147540984</v>
      </c>
      <c r="BJ2559" s="129">
        <f>(G2559-J2559)+(M2559-G2559)</f>
        <v>4</v>
      </c>
      <c r="BK2559" s="129">
        <f t="shared" si="1879"/>
        <v>-294</v>
      </c>
      <c r="BL2559" s="129" t="str">
        <f t="shared" si="1874"/>
        <v>DEFERRED</v>
      </c>
      <c r="BM2559" s="129" t="s">
        <v>76</v>
      </c>
      <c r="BN2559" s="129" t="s">
        <v>88</v>
      </c>
      <c r="BP2559" s="137" t="str">
        <f t="shared" si="1846"/>
        <v>DEFERRED</v>
      </c>
      <c r="BQ2559" s="128" t="str">
        <f t="shared" si="1856"/>
        <v>Y</v>
      </c>
      <c r="BR2559" s="129" t="str">
        <f t="shared" si="1847"/>
        <v>ON BOND</v>
      </c>
      <c r="BS2559" s="129" t="str">
        <f t="shared" si="1848"/>
        <v>DISPOSED</v>
      </c>
      <c r="BT2559" s="129" t="str">
        <f t="shared" si="1849"/>
        <v>N</v>
      </c>
      <c r="BU2559" s="109">
        <f t="shared" si="1850"/>
        <v>3.3112582781456954E-3</v>
      </c>
      <c r="BV2559" s="109">
        <f t="shared" si="1857"/>
        <v>3.3898305084745762E-3</v>
      </c>
      <c r="BW2559" s="109">
        <f t="shared" si="1868"/>
        <v>7.8572230328880811E-5</v>
      </c>
      <c r="BX2559" s="111">
        <f t="shared" si="1851"/>
        <v>0</v>
      </c>
      <c r="BY2559" s="129">
        <f t="shared" si="1858"/>
        <v>-1</v>
      </c>
      <c r="BZ2559" s="111">
        <f t="shared" si="1859"/>
        <v>0</v>
      </c>
      <c r="CA2559" s="138">
        <f t="shared" si="1860"/>
        <v>5</v>
      </c>
      <c r="CB2559" s="111" t="e">
        <f t="shared" si="1880"/>
        <v>#VALUE!</v>
      </c>
      <c r="CC2559" s="129">
        <f>M2559-I2559+1</f>
        <v>5</v>
      </c>
      <c r="CD2559" s="111">
        <f>CC2559-BF2559</f>
        <v>4</v>
      </c>
      <c r="CG2559" s="129" t="str">
        <f t="shared" si="1861"/>
        <v>Y</v>
      </c>
      <c r="CI2559" s="129" t="str">
        <f t="shared" si="1862"/>
        <v>0-10 DAYS</v>
      </c>
      <c r="CJ2559" s="137">
        <f t="shared" si="1863"/>
        <v>1</v>
      </c>
      <c r="CK2559" s="129" t="str">
        <f t="shared" si="1864"/>
        <v>Booked</v>
      </c>
    </row>
    <row r="2560" spans="1:89" ht="15.75" customHeight="1" x14ac:dyDescent="0.25">
      <c r="A2560" s="111">
        <v>2554</v>
      </c>
      <c r="B2560" s="128" t="str">
        <f t="shared" si="1852"/>
        <v>N</v>
      </c>
      <c r="C2560" s="128" t="str">
        <f t="shared" si="1853"/>
        <v>N</v>
      </c>
      <c r="D2560" s="117">
        <v>2597893</v>
      </c>
      <c r="E2560" s="135">
        <f t="shared" si="1854"/>
        <v>6</v>
      </c>
      <c r="F2560" s="124">
        <v>41004</v>
      </c>
      <c r="G2560" s="125">
        <v>41116</v>
      </c>
      <c r="H2560" s="117">
        <v>2597893</v>
      </c>
      <c r="I2560" s="124">
        <v>41004</v>
      </c>
      <c r="J2560" s="124">
        <v>41116</v>
      </c>
      <c r="K2560" s="126" t="s">
        <v>564</v>
      </c>
      <c r="L2560" s="127" t="s">
        <v>564</v>
      </c>
      <c r="N2560" s="129" t="s">
        <v>566</v>
      </c>
      <c r="O2560" s="128" t="s">
        <v>917</v>
      </c>
      <c r="P2560" s="129" t="s">
        <v>39</v>
      </c>
      <c r="Q2560" s="111">
        <f t="shared" si="1870"/>
        <v>113</v>
      </c>
      <c r="R2560" s="111">
        <f t="shared" si="1875"/>
        <v>113</v>
      </c>
      <c r="S2560" s="129">
        <v>0</v>
      </c>
      <c r="T2560" s="129">
        <v>0</v>
      </c>
      <c r="W2560" s="111"/>
      <c r="AC2560" s="130"/>
      <c r="AD2560" s="130">
        <v>31395</v>
      </c>
      <c r="AE2560" s="128" t="s">
        <v>32</v>
      </c>
      <c r="AF2560" s="128" t="s">
        <v>33</v>
      </c>
      <c r="AG2560" s="128" t="s">
        <v>872</v>
      </c>
      <c r="AH2560" s="108" t="s">
        <v>31</v>
      </c>
      <c r="AI2560" s="128" t="s">
        <v>72</v>
      </c>
      <c r="AJ2560" s="129" t="s">
        <v>89</v>
      </c>
      <c r="AK2560" s="129">
        <v>4</v>
      </c>
      <c r="AL2560" s="3" t="s">
        <v>362</v>
      </c>
      <c r="AM2560" s="117">
        <v>5</v>
      </c>
      <c r="AP2560" s="129" t="s">
        <v>43</v>
      </c>
      <c r="AR2560" s="128" t="s">
        <v>44</v>
      </c>
      <c r="AS2560" s="129" t="s">
        <v>45</v>
      </c>
      <c r="AU2560" s="118" t="s">
        <v>673</v>
      </c>
      <c r="AX2560" s="32"/>
      <c r="BC2560" s="129" t="s">
        <v>52</v>
      </c>
      <c r="BF2560" s="111">
        <f t="shared" si="1876"/>
        <v>113</v>
      </c>
      <c r="BG2560" s="111">
        <f t="shared" si="1877"/>
        <v>113</v>
      </c>
      <c r="BH2560" s="111">
        <f t="shared" si="1878"/>
        <v>113</v>
      </c>
      <c r="BI2560" s="111">
        <f t="shared" ref="BI2560:BI2623" si="1881">(F2560-AD2560)/366</f>
        <v>26.254098360655739</v>
      </c>
      <c r="BJ2560" s="129">
        <f t="shared" si="1855"/>
        <v>0</v>
      </c>
      <c r="BK2560" s="129">
        <f t="shared" si="1879"/>
        <v>0</v>
      </c>
      <c r="BL2560" s="129" t="str">
        <f t="shared" si="1874"/>
        <v>CONVICTION</v>
      </c>
      <c r="BM2560" s="129" t="str">
        <f t="shared" si="1845"/>
        <v>NONE</v>
      </c>
      <c r="BN2560" s="129" t="s">
        <v>566</v>
      </c>
      <c r="BP2560" s="137" t="str">
        <f t="shared" si="1846"/>
        <v>CONVICTION</v>
      </c>
      <c r="BQ2560" s="128" t="str">
        <f t="shared" si="1856"/>
        <v>Y</v>
      </c>
      <c r="BR2560" s="129" t="str">
        <f t="shared" si="1847"/>
        <v>DETAINED</v>
      </c>
      <c r="BS2560" s="129" t="str">
        <f t="shared" si="1848"/>
        <v>DISPOSED</v>
      </c>
      <c r="BT2560" s="129" t="str">
        <f t="shared" si="1849"/>
        <v>N</v>
      </c>
      <c r="BU2560" s="109">
        <f t="shared" si="1850"/>
        <v>1</v>
      </c>
      <c r="BV2560" s="109">
        <f t="shared" si="1857"/>
        <v>1</v>
      </c>
      <c r="BW2560" s="109">
        <f t="shared" si="1868"/>
        <v>0</v>
      </c>
      <c r="BX2560" s="111">
        <f t="shared" si="1851"/>
        <v>0</v>
      </c>
      <c r="BY2560" s="129">
        <f t="shared" si="1858"/>
        <v>-113</v>
      </c>
      <c r="BZ2560" s="111">
        <f t="shared" si="1859"/>
        <v>0</v>
      </c>
      <c r="CA2560" s="138">
        <f t="shared" si="1860"/>
        <v>113</v>
      </c>
      <c r="CB2560" s="111" t="e">
        <f t="shared" si="1880"/>
        <v>#VALUE!</v>
      </c>
      <c r="CC2560" s="129">
        <f>G2560-I2560+1</f>
        <v>113</v>
      </c>
      <c r="CD2560" s="129">
        <f>G2560-J2560</f>
        <v>0</v>
      </c>
      <c r="CG2560" s="129" t="str">
        <f t="shared" si="1861"/>
        <v>N</v>
      </c>
      <c r="CI2560" s="129" t="str">
        <f t="shared" si="1862"/>
        <v>91-120 DAYS</v>
      </c>
      <c r="CJ2560" s="137">
        <f t="shared" si="1863"/>
        <v>0</v>
      </c>
      <c r="CK2560" s="129" t="str">
        <f t="shared" si="1864"/>
        <v>Booked</v>
      </c>
    </row>
    <row r="2561" spans="1:89" ht="15.75" customHeight="1" x14ac:dyDescent="0.25">
      <c r="A2561" s="111">
        <v>451</v>
      </c>
      <c r="B2561" s="128" t="str">
        <f t="shared" si="1852"/>
        <v>N</v>
      </c>
      <c r="C2561" s="128" t="str">
        <f t="shared" si="1853"/>
        <v>N</v>
      </c>
      <c r="D2561" s="117">
        <v>2597942</v>
      </c>
      <c r="E2561" s="135">
        <f t="shared" si="1854"/>
        <v>2</v>
      </c>
      <c r="F2561" s="124">
        <v>40927</v>
      </c>
      <c r="G2561" s="125">
        <v>40948</v>
      </c>
      <c r="H2561" s="117">
        <v>2597942</v>
      </c>
      <c r="I2561" s="124">
        <v>40927</v>
      </c>
      <c r="J2561" s="124">
        <v>40948</v>
      </c>
      <c r="K2561" s="126" t="s">
        <v>564</v>
      </c>
      <c r="L2561" s="127" t="s">
        <v>564</v>
      </c>
      <c r="N2561" s="129" t="s">
        <v>566</v>
      </c>
      <c r="O2561" s="128" t="s">
        <v>917</v>
      </c>
      <c r="P2561" s="129" t="s">
        <v>589</v>
      </c>
      <c r="Q2561" s="111">
        <f t="shared" si="1870"/>
        <v>22</v>
      </c>
      <c r="R2561" s="111">
        <f t="shared" si="1875"/>
        <v>22</v>
      </c>
      <c r="S2561" s="129">
        <v>0</v>
      </c>
      <c r="T2561" s="129">
        <v>0</v>
      </c>
      <c r="W2561" s="111"/>
      <c r="AC2561" s="130"/>
      <c r="AD2561" s="130">
        <v>34345</v>
      </c>
      <c r="AE2561" s="128" t="s">
        <v>32</v>
      </c>
      <c r="AF2561" s="128" t="s">
        <v>33</v>
      </c>
      <c r="AG2561" s="128" t="s">
        <v>872</v>
      </c>
      <c r="AH2561" s="108" t="s">
        <v>58</v>
      </c>
      <c r="AI2561" s="128" t="s">
        <v>71</v>
      </c>
      <c r="AJ2561" s="129" t="s">
        <v>48</v>
      </c>
      <c r="AK2561" s="129">
        <v>3</v>
      </c>
      <c r="AL2561" s="3" t="s">
        <v>48</v>
      </c>
      <c r="AP2561" s="129" t="s">
        <v>108</v>
      </c>
      <c r="AR2561" s="128" t="s">
        <v>44</v>
      </c>
      <c r="AS2561" s="129" t="s">
        <v>61</v>
      </c>
      <c r="BC2561" s="129" t="s">
        <v>99</v>
      </c>
      <c r="BF2561" s="111">
        <f t="shared" si="1876"/>
        <v>22</v>
      </c>
      <c r="BG2561" s="111">
        <f t="shared" si="1877"/>
        <v>22</v>
      </c>
      <c r="BH2561" s="111">
        <f t="shared" si="1878"/>
        <v>22</v>
      </c>
      <c r="BI2561" s="111">
        <f t="shared" si="1881"/>
        <v>17.983606557377048</v>
      </c>
      <c r="BJ2561" s="129">
        <f t="shared" si="1855"/>
        <v>0</v>
      </c>
      <c r="BK2561" s="129">
        <f t="shared" si="1879"/>
        <v>0</v>
      </c>
      <c r="BL2561" s="129" t="str">
        <f t="shared" si="1874"/>
        <v>DEFERRED</v>
      </c>
      <c r="BM2561" s="129" t="str">
        <f>O2561</f>
        <v>NONE</v>
      </c>
      <c r="BN2561" s="129" t="s">
        <v>566</v>
      </c>
      <c r="BP2561" s="137" t="str">
        <f t="shared" ref="BP2561:BP2624" si="1882">IF(OR(AJ2561="AQUITTAL",AJ2561="DISMISSED",AJ2561="FINE",AJ2561="NO BILL"),"NO CONVICTION",IF(OR(AJ2561="HCJ",AJ2561="MHH",AJ2561="PROBATION",AJ2561="STJ",AJ2561="TDC",AJ2561="CONVICTED"),"CONVICTION",IF(AJ2561="DEFERRED","DEFERRED","")))</f>
        <v>DEFERRED</v>
      </c>
      <c r="BQ2561" s="128" t="str">
        <f t="shared" si="1856"/>
        <v>Y</v>
      </c>
      <c r="BR2561" s="129" t="str">
        <f t="shared" ref="BR2561:BR2621" si="1883">IF(AND(J2561="NOT BOOKED",M2561&gt;1/1/1),"BONDED - BEFORE BOOKED",IF(BG2561="STILL OPEN","STILL OPEN",IF(N2561="Y","ON BOND",IF(J2561&gt;=G2561,"DETAINED","RELEASED"))))</f>
        <v>DETAINED</v>
      </c>
      <c r="BS2561" s="129" t="str">
        <f t="shared" ref="BS2561:BS2624" si="1884">IF(G2561&lt;&gt;"","DISPOSED","")</f>
        <v>DISPOSED</v>
      </c>
      <c r="BT2561" s="129" t="str">
        <f t="shared" ref="BT2561:BT2624" si="1885">IF(S2561&gt;0,"Y","N")</f>
        <v>N</v>
      </c>
      <c r="BU2561" s="109">
        <f t="shared" ref="BU2561:BU2624" si="1886">Q2561/R2561</f>
        <v>1</v>
      </c>
      <c r="BV2561" s="109">
        <f t="shared" si="1857"/>
        <v>1</v>
      </c>
      <c r="BW2561" s="109">
        <f t="shared" si="1868"/>
        <v>0</v>
      </c>
      <c r="BX2561" s="111">
        <f t="shared" ref="BX2561:BX2624" si="1887">+Q2561-BF2561</f>
        <v>0</v>
      </c>
      <c r="BY2561" s="129">
        <f t="shared" si="1858"/>
        <v>-22</v>
      </c>
      <c r="BZ2561" s="111">
        <f t="shared" si="1859"/>
        <v>0</v>
      </c>
      <c r="CA2561" s="138">
        <f t="shared" si="1860"/>
        <v>22</v>
      </c>
      <c r="CB2561" s="111" t="e">
        <f t="shared" si="1880"/>
        <v>#VALUE!</v>
      </c>
      <c r="CC2561" s="129">
        <f>G2561-I2561+1</f>
        <v>22</v>
      </c>
      <c r="CD2561" s="129">
        <f>G2561-J2561</f>
        <v>0</v>
      </c>
      <c r="CG2561" s="129" t="str">
        <f t="shared" si="1861"/>
        <v>N</v>
      </c>
      <c r="CI2561" s="129" t="str">
        <f t="shared" si="1862"/>
        <v>11-30 DAYS</v>
      </c>
      <c r="CJ2561" s="137">
        <f t="shared" si="1863"/>
        <v>2</v>
      </c>
      <c r="CK2561" s="129" t="str">
        <f t="shared" si="1864"/>
        <v>Booked</v>
      </c>
    </row>
    <row r="2562" spans="1:89" ht="15.75" customHeight="1" x14ac:dyDescent="0.25">
      <c r="A2562" s="111">
        <v>55</v>
      </c>
      <c r="B2562" s="128" t="str">
        <f t="shared" ref="B2562:B2625" si="1888">IF(BD2562&lt;&gt;"","Y","N")</f>
        <v>N</v>
      </c>
      <c r="C2562" s="128" t="str">
        <f t="shared" ref="C2562:C2625" si="1889">IF((AND(AV2562="",AX2562="",AY2562="")),"N","Y")</f>
        <v>N</v>
      </c>
      <c r="D2562" s="117">
        <v>2597963</v>
      </c>
      <c r="E2562" s="135">
        <f t="shared" ref="E2562:E2625" si="1890">IF(OR(AL2562="ACQUITTAL",AL2562="ACQUIT",AL2562="acq insane",AL2562="DISMISSED",AL2562="NO BILL"),1,IF(AL2562="DEFERRED",2,IF(AL2562="PROBATION",3,IF(OR(AL2562="HCJ",AL2562="fine"),4,IF(AL2562="STJ",5,IF(AL2562="TDC",6,""))))))</f>
        <v>2</v>
      </c>
      <c r="F2562" s="124">
        <v>40911</v>
      </c>
      <c r="G2562" s="125">
        <v>41136</v>
      </c>
      <c r="H2562" s="117">
        <v>2597963</v>
      </c>
      <c r="I2562" s="124">
        <v>40912</v>
      </c>
      <c r="J2562" s="124">
        <v>40913</v>
      </c>
      <c r="K2562" s="126">
        <v>5000</v>
      </c>
      <c r="L2562" s="127" t="s">
        <v>569</v>
      </c>
      <c r="M2562" s="125">
        <v>40913</v>
      </c>
      <c r="N2562" s="129" t="str">
        <f t="shared" ref="N2562:N2575" si="1891">IF(M2562&gt;1/1/1,"Y","N")</f>
        <v>Y</v>
      </c>
      <c r="O2562" s="128" t="s">
        <v>76</v>
      </c>
      <c r="P2562" s="129" t="s">
        <v>589</v>
      </c>
      <c r="Q2562" s="111">
        <f t="shared" si="1870"/>
        <v>2</v>
      </c>
      <c r="R2562" s="111">
        <f t="shared" si="1875"/>
        <v>226</v>
      </c>
      <c r="S2562" s="129">
        <v>0</v>
      </c>
      <c r="T2562" s="129">
        <v>0</v>
      </c>
      <c r="W2562" s="111"/>
      <c r="AC2562" s="130"/>
      <c r="AD2562" s="130">
        <v>25755</v>
      </c>
      <c r="AE2562" s="128" t="s">
        <v>46</v>
      </c>
      <c r="AF2562" s="128" t="s">
        <v>69</v>
      </c>
      <c r="AG2562" s="128" t="s">
        <v>874</v>
      </c>
      <c r="AH2562" s="108" t="s">
        <v>31</v>
      </c>
      <c r="AI2562" s="128" t="s">
        <v>62</v>
      </c>
      <c r="AJ2562" s="129" t="s">
        <v>48</v>
      </c>
      <c r="AK2562" s="129">
        <v>10</v>
      </c>
      <c r="AL2562" s="3" t="s">
        <v>48</v>
      </c>
      <c r="AP2562" s="129" t="s">
        <v>117</v>
      </c>
      <c r="AR2562" s="128" t="s">
        <v>67</v>
      </c>
      <c r="AS2562" s="129" t="s">
        <v>45</v>
      </c>
      <c r="BC2562" s="129" t="s">
        <v>52</v>
      </c>
      <c r="BF2562" s="111">
        <f t="shared" si="1876"/>
        <v>2</v>
      </c>
      <c r="BG2562" s="111">
        <f t="shared" si="1877"/>
        <v>225</v>
      </c>
      <c r="BH2562" s="111">
        <f t="shared" si="1878"/>
        <v>226</v>
      </c>
      <c r="BI2562" s="111">
        <f t="shared" si="1881"/>
        <v>41.409836065573771</v>
      </c>
      <c r="BJ2562" s="129">
        <f>(G2562-J2562)+(M2562-G2562)</f>
        <v>0</v>
      </c>
      <c r="BK2562" s="129">
        <f t="shared" si="1879"/>
        <v>-223</v>
      </c>
      <c r="BL2562" s="129" t="str">
        <f t="shared" si="1874"/>
        <v>DEFERRED</v>
      </c>
      <c r="BM2562" s="129" t="s">
        <v>76</v>
      </c>
      <c r="BN2562" s="129" t="s">
        <v>88</v>
      </c>
      <c r="BP2562" s="137" t="str">
        <f t="shared" si="1882"/>
        <v>DEFERRED</v>
      </c>
      <c r="BQ2562" s="128" t="str">
        <f t="shared" ref="BQ2562:BQ2625" si="1892">IF(BF2562&gt;0,"Y",BF2562)</f>
        <v>Y</v>
      </c>
      <c r="BR2562" s="129" t="str">
        <f t="shared" si="1883"/>
        <v>ON BOND</v>
      </c>
      <c r="BS2562" s="129" t="str">
        <f t="shared" si="1884"/>
        <v>DISPOSED</v>
      </c>
      <c r="BT2562" s="129" t="str">
        <f t="shared" si="1885"/>
        <v>N</v>
      </c>
      <c r="BU2562" s="109">
        <f t="shared" si="1886"/>
        <v>8.8495575221238937E-3</v>
      </c>
      <c r="BV2562" s="109">
        <f t="shared" ref="BV2562:BV2625" si="1893">IF(I2562&gt;F2562,((J2562-I2562+1)/(G2562-I2562+1)),(J2562-I2562+1)/(G2562-F2562+1))</f>
        <v>8.8888888888888889E-3</v>
      </c>
      <c r="BW2562" s="109">
        <f t="shared" si="1868"/>
        <v>3.9331366764995199E-5</v>
      </c>
      <c r="BX2562" s="111">
        <f t="shared" si="1887"/>
        <v>0</v>
      </c>
      <c r="BY2562" s="129">
        <f t="shared" ref="BY2562:BY2625" si="1894">I2562-J2562-1</f>
        <v>-2</v>
      </c>
      <c r="BZ2562" s="111">
        <f t="shared" ref="BZ2562:BZ2625" si="1895">BY2562+BF2562</f>
        <v>0</v>
      </c>
      <c r="CA2562" s="138">
        <f t="shared" ref="CA2562:CA2625" si="1896">IF(AND(BS2562="DISPOSED",BR2562="DETAINED"),G2562-I2562+1,IF(AND(BS2562="DISPOSED",BR2562="ON BOND"),M2562-I2562+1,IF(AND(BS2562="STILL OPEN","STILL OPEN"),"NOT BOOKED")))</f>
        <v>2</v>
      </c>
      <c r="CB2562" s="111" t="e">
        <f t="shared" si="1880"/>
        <v>#VALUE!</v>
      </c>
      <c r="CC2562" s="129">
        <f>M2562-I2562+1</f>
        <v>2</v>
      </c>
      <c r="CD2562" s="111">
        <f>CC2562-BF2562</f>
        <v>0</v>
      </c>
      <c r="CG2562" s="129" t="str">
        <f t="shared" ref="CG2562:CG2625" si="1897">IF((S2562+T2562+U2562)&gt;0,"Y","N")</f>
        <v>N</v>
      </c>
      <c r="CI2562" s="129" t="str">
        <f t="shared" si="1862"/>
        <v>0-10 DAYS</v>
      </c>
      <c r="CJ2562" s="137">
        <f t="shared" si="1863"/>
        <v>1</v>
      </c>
      <c r="CK2562" s="129" t="str">
        <f t="shared" si="1864"/>
        <v>Booked</v>
      </c>
    </row>
    <row r="2563" spans="1:89" ht="15.75" customHeight="1" x14ac:dyDescent="0.25">
      <c r="A2563" s="111">
        <v>56</v>
      </c>
      <c r="B2563" s="128" t="str">
        <f t="shared" si="1888"/>
        <v>N</v>
      </c>
      <c r="C2563" s="128" t="str">
        <f t="shared" si="1889"/>
        <v>N</v>
      </c>
      <c r="D2563" s="117">
        <v>2597964</v>
      </c>
      <c r="E2563" s="135">
        <f t="shared" si="1890"/>
        <v>1</v>
      </c>
      <c r="F2563" s="124">
        <v>40911</v>
      </c>
      <c r="G2563" s="125">
        <v>40947</v>
      </c>
      <c r="H2563" s="117">
        <v>2597964</v>
      </c>
      <c r="I2563" s="124">
        <v>40912</v>
      </c>
      <c r="J2563" s="124">
        <v>40913</v>
      </c>
      <c r="K2563" s="126">
        <v>5000</v>
      </c>
      <c r="L2563" s="127" t="s">
        <v>569</v>
      </c>
      <c r="M2563" s="125">
        <v>40913</v>
      </c>
      <c r="N2563" s="129" t="str">
        <f t="shared" si="1891"/>
        <v>Y</v>
      </c>
      <c r="O2563" s="128" t="s">
        <v>76</v>
      </c>
      <c r="P2563" s="129" t="s">
        <v>55</v>
      </c>
      <c r="Q2563" s="111">
        <f t="shared" si="1870"/>
        <v>2</v>
      </c>
      <c r="R2563" s="111">
        <f t="shared" si="1875"/>
        <v>37</v>
      </c>
      <c r="S2563" s="129">
        <v>0</v>
      </c>
      <c r="T2563" s="129">
        <v>0</v>
      </c>
      <c r="W2563" s="111"/>
      <c r="AC2563" s="130"/>
      <c r="AD2563" s="130">
        <v>19525</v>
      </c>
      <c r="AE2563" s="128" t="s">
        <v>32</v>
      </c>
      <c r="AF2563" s="128" t="s">
        <v>69</v>
      </c>
      <c r="AG2563" s="128" t="s">
        <v>874</v>
      </c>
      <c r="AH2563" s="108" t="s">
        <v>31</v>
      </c>
      <c r="AI2563" s="128" t="s">
        <v>118</v>
      </c>
      <c r="AJ2563" s="129" t="s">
        <v>55</v>
      </c>
      <c r="AK2563" s="129">
        <v>2</v>
      </c>
      <c r="AL2563" s="3" t="s">
        <v>55</v>
      </c>
      <c r="AP2563" s="129" t="s">
        <v>84</v>
      </c>
      <c r="AR2563" s="128" t="s">
        <v>67</v>
      </c>
      <c r="AS2563" s="129" t="s">
        <v>74</v>
      </c>
      <c r="AT2563" s="129" t="s">
        <v>119</v>
      </c>
      <c r="BC2563" s="129" t="s">
        <v>52</v>
      </c>
      <c r="BF2563" s="111">
        <f t="shared" si="1876"/>
        <v>2</v>
      </c>
      <c r="BG2563" s="111">
        <f t="shared" si="1877"/>
        <v>36</v>
      </c>
      <c r="BH2563" s="111">
        <f t="shared" si="1878"/>
        <v>37</v>
      </c>
      <c r="BI2563" s="111">
        <f t="shared" si="1881"/>
        <v>58.431693989071036</v>
      </c>
      <c r="BJ2563" s="129">
        <f>(G2563-J2563)+(M2563-G2563)</f>
        <v>0</v>
      </c>
      <c r="BK2563" s="129">
        <f t="shared" si="1879"/>
        <v>-34</v>
      </c>
      <c r="BL2563" s="129" t="str">
        <f t="shared" si="1874"/>
        <v>NO CONVICTION</v>
      </c>
      <c r="BM2563" s="129" t="s">
        <v>76</v>
      </c>
      <c r="BN2563" s="129" t="s">
        <v>88</v>
      </c>
      <c r="BP2563" s="137" t="str">
        <f t="shared" si="1882"/>
        <v>NO CONVICTION</v>
      </c>
      <c r="BQ2563" s="128" t="str">
        <f t="shared" si="1892"/>
        <v>Y</v>
      </c>
      <c r="BR2563" s="129" t="str">
        <f t="shared" si="1883"/>
        <v>ON BOND</v>
      </c>
      <c r="BS2563" s="129" t="str">
        <f t="shared" si="1884"/>
        <v>DISPOSED</v>
      </c>
      <c r="BT2563" s="129" t="str">
        <f t="shared" si="1885"/>
        <v>N</v>
      </c>
      <c r="BU2563" s="109">
        <f>IFERROR(Q2563/R2563,BR2563)</f>
        <v>5.4054054054054057E-2</v>
      </c>
      <c r="BV2563" s="109">
        <f t="shared" si="1893"/>
        <v>5.5555555555555552E-2</v>
      </c>
      <c r="BW2563" s="109">
        <f t="shared" si="1868"/>
        <v>1.5015015015014954E-3</v>
      </c>
      <c r="BX2563" s="111">
        <f t="shared" si="1887"/>
        <v>0</v>
      </c>
      <c r="BY2563" s="129">
        <f t="shared" si="1894"/>
        <v>-2</v>
      </c>
      <c r="BZ2563" s="111">
        <f t="shared" si="1895"/>
        <v>0</v>
      </c>
      <c r="CA2563" s="138">
        <f t="shared" si="1896"/>
        <v>2</v>
      </c>
      <c r="CB2563" s="111" t="e">
        <f t="shared" si="1880"/>
        <v>#VALUE!</v>
      </c>
      <c r="CC2563" s="129">
        <f>M2563-I2563+1</f>
        <v>2</v>
      </c>
      <c r="CD2563" s="111">
        <f>CC2563-BF2563</f>
        <v>0</v>
      </c>
      <c r="CG2563" s="129" t="str">
        <f t="shared" si="1897"/>
        <v>N</v>
      </c>
      <c r="CI2563" s="129" t="str">
        <f t="shared" ref="CI2563:CI2626" si="1898">IF(BF2563&lt;11,"0-10 DAYS",IF(AND(BF2563&gt;10,BF2563&lt;31),"11-30 DAYS",IF((AND(BF2563&gt;30,BF2563&lt;61)),"31-60 DAYS",IF(AND(BF2563&gt;60,BF2563&lt;91),"61-90 DAYS",IF(AND(BF2563&gt;90,BF2563&lt;121),"91-120 DAYS",IF(AND(BF2563&gt;120,BF2563&lt;366),"121-365 DAYS",IF(AND(BF2563&gt;365,BF2563&lt;730)," &gt;1YRS&lt;2YRS",IF(AND(BF2563&gt;729,BF2563&lt;1095),"&gt;2YRS&lt;3YRS",IF(BF2563&gt;1094,"&gt;3YRS")))))))))</f>
        <v>0-10 DAYS</v>
      </c>
      <c r="CJ2563" s="137">
        <f t="shared" ref="CJ2563:CJ2626" si="1899">IF(CI2563="0-10 DAYS",1,IF(CI2563="11-30 DAYS",2,IF(CI2563="31-60 DAYS",3,IF(CI2563="61-90 DAYS",4,IF(CK2563="91-120 DAYS",5,IF(CI2563="121-365 DAYS",6,IF(CI2563="&gt;1YRS&lt;2YRS",7,IF(CI2563="&gt;2YRS&lt;3YRS",8,IF(CI2563="&gt;3YRS",9,0)))))))))</f>
        <v>1</v>
      </c>
      <c r="CK2563" s="129" t="str">
        <f t="shared" ref="CK2563:CK2626" si="1900">IF(I2563="Not Booked","Not Booked","Booked")</f>
        <v>Booked</v>
      </c>
    </row>
    <row r="2564" spans="1:89" ht="15" customHeight="1" x14ac:dyDescent="0.25">
      <c r="A2564" s="111">
        <v>62</v>
      </c>
      <c r="B2564" s="128" t="str">
        <f t="shared" si="1888"/>
        <v>N</v>
      </c>
      <c r="C2564" s="128" t="str">
        <f t="shared" si="1889"/>
        <v>N</v>
      </c>
      <c r="D2564" s="117">
        <v>2597975</v>
      </c>
      <c r="E2564" s="135">
        <f t="shared" si="1890"/>
        <v>1</v>
      </c>
      <c r="F2564" s="124">
        <v>40912</v>
      </c>
      <c r="G2564" s="125">
        <v>41024</v>
      </c>
      <c r="H2564" s="117">
        <v>2597975</v>
      </c>
      <c r="I2564" s="124">
        <v>40912</v>
      </c>
      <c r="J2564" s="124">
        <v>40915</v>
      </c>
      <c r="K2564" s="126">
        <v>20000</v>
      </c>
      <c r="L2564" s="127" t="s">
        <v>571</v>
      </c>
      <c r="M2564" s="125">
        <v>40915</v>
      </c>
      <c r="N2564" s="129" t="str">
        <f t="shared" si="1891"/>
        <v>Y</v>
      </c>
      <c r="O2564" s="128" t="s">
        <v>76</v>
      </c>
      <c r="P2564" s="129" t="s">
        <v>123</v>
      </c>
      <c r="Q2564" s="111">
        <f t="shared" si="1870"/>
        <v>4</v>
      </c>
      <c r="R2564" s="111">
        <f t="shared" si="1875"/>
        <v>113</v>
      </c>
      <c r="S2564" s="129">
        <v>0</v>
      </c>
      <c r="T2564" s="129">
        <v>0</v>
      </c>
      <c r="W2564" s="111"/>
      <c r="AC2564" s="130"/>
      <c r="AD2564" s="130">
        <v>27255</v>
      </c>
      <c r="AE2564" s="128" t="s">
        <v>32</v>
      </c>
      <c r="AF2564" s="128" t="s">
        <v>33</v>
      </c>
      <c r="AG2564" s="128" t="s">
        <v>872</v>
      </c>
      <c r="AH2564" s="108" t="s">
        <v>31</v>
      </c>
      <c r="AI2564" s="128" t="s">
        <v>65</v>
      </c>
      <c r="AJ2564" s="129" t="s">
        <v>123</v>
      </c>
      <c r="AK2564" s="129">
        <v>7</v>
      </c>
      <c r="AL2564" s="3" t="s">
        <v>123</v>
      </c>
      <c r="AP2564" s="129" t="s">
        <v>101</v>
      </c>
      <c r="AR2564" s="128" t="s">
        <v>67</v>
      </c>
      <c r="AS2564" s="129" t="s">
        <v>64</v>
      </c>
      <c r="BC2564" s="129" t="s">
        <v>52</v>
      </c>
      <c r="BF2564" s="111">
        <f t="shared" si="1876"/>
        <v>4</v>
      </c>
      <c r="BG2564" s="111">
        <f t="shared" si="1877"/>
        <v>113</v>
      </c>
      <c r="BH2564" s="111">
        <f t="shared" si="1878"/>
        <v>113</v>
      </c>
      <c r="BI2564" s="111">
        <f t="shared" si="1881"/>
        <v>37.314207650273225</v>
      </c>
      <c r="BJ2564" s="129">
        <f>(G2564-J2564)+(M2564-G2564)</f>
        <v>0</v>
      </c>
      <c r="BK2564" s="129">
        <f t="shared" si="1879"/>
        <v>-109</v>
      </c>
      <c r="BL2564" s="129" t="str">
        <f t="shared" si="1874"/>
        <v>NO CONVICTION</v>
      </c>
      <c r="BM2564" s="129" t="s">
        <v>76</v>
      </c>
      <c r="BN2564" s="129" t="s">
        <v>88</v>
      </c>
      <c r="BP2564" s="137" t="str">
        <f t="shared" si="1882"/>
        <v>NO CONVICTION</v>
      </c>
      <c r="BQ2564" s="128" t="str">
        <f t="shared" si="1892"/>
        <v>Y</v>
      </c>
      <c r="BR2564" s="129" t="str">
        <f t="shared" si="1883"/>
        <v>ON BOND</v>
      </c>
      <c r="BS2564" s="129" t="str">
        <f t="shared" si="1884"/>
        <v>DISPOSED</v>
      </c>
      <c r="BT2564" s="129" t="str">
        <f t="shared" si="1885"/>
        <v>N</v>
      </c>
      <c r="BU2564" s="109">
        <f>IFERROR(Q2564/R2564,BR2564)</f>
        <v>3.5398230088495575E-2</v>
      </c>
      <c r="BV2564" s="109">
        <f t="shared" si="1893"/>
        <v>3.5398230088495575E-2</v>
      </c>
      <c r="BW2564" s="109">
        <f t="shared" si="1868"/>
        <v>0</v>
      </c>
      <c r="BX2564" s="111">
        <f t="shared" si="1887"/>
        <v>0</v>
      </c>
      <c r="BY2564" s="129">
        <f t="shared" si="1894"/>
        <v>-4</v>
      </c>
      <c r="BZ2564" s="111">
        <f t="shared" si="1895"/>
        <v>0</v>
      </c>
      <c r="CA2564" s="138">
        <f t="shared" si="1896"/>
        <v>4</v>
      </c>
      <c r="CB2564" s="111" t="e">
        <f t="shared" si="1880"/>
        <v>#VALUE!</v>
      </c>
      <c r="CC2564" s="129">
        <f>M2564-I2564+1</f>
        <v>4</v>
      </c>
      <c r="CD2564" s="111">
        <f>CC2564-BF2564</f>
        <v>0</v>
      </c>
      <c r="CG2564" s="129" t="str">
        <f t="shared" si="1897"/>
        <v>N</v>
      </c>
      <c r="CI2564" s="129" t="str">
        <f t="shared" si="1898"/>
        <v>0-10 DAYS</v>
      </c>
      <c r="CJ2564" s="137">
        <f t="shared" si="1899"/>
        <v>1</v>
      </c>
      <c r="CK2564" s="129" t="str">
        <f t="shared" si="1900"/>
        <v>Booked</v>
      </c>
    </row>
    <row r="2565" spans="1:89" ht="15" customHeight="1" x14ac:dyDescent="0.25">
      <c r="A2565" s="111">
        <v>63</v>
      </c>
      <c r="B2565" s="128" t="str">
        <f t="shared" si="1888"/>
        <v>N</v>
      </c>
      <c r="C2565" s="128" t="str">
        <f t="shared" si="1889"/>
        <v>N</v>
      </c>
      <c r="D2565" s="117">
        <v>2597977</v>
      </c>
      <c r="E2565" s="135">
        <f t="shared" si="1890"/>
        <v>1</v>
      </c>
      <c r="F2565" s="124">
        <v>40912</v>
      </c>
      <c r="G2565" s="125">
        <v>41071</v>
      </c>
      <c r="H2565" s="117">
        <v>2597977</v>
      </c>
      <c r="I2565" s="124">
        <v>40912</v>
      </c>
      <c r="J2565" s="124">
        <v>40914</v>
      </c>
      <c r="K2565" s="126">
        <v>5000</v>
      </c>
      <c r="L2565" s="127" t="s">
        <v>569</v>
      </c>
      <c r="M2565" s="125">
        <v>40914</v>
      </c>
      <c r="N2565" s="129" t="str">
        <f t="shared" si="1891"/>
        <v>Y</v>
      </c>
      <c r="O2565" s="128" t="s">
        <v>76</v>
      </c>
      <c r="P2565" s="129" t="s">
        <v>55</v>
      </c>
      <c r="Q2565" s="111">
        <f t="shared" si="1870"/>
        <v>3</v>
      </c>
      <c r="R2565" s="111">
        <f t="shared" si="1875"/>
        <v>160</v>
      </c>
      <c r="S2565" s="129">
        <v>0</v>
      </c>
      <c r="T2565" s="129">
        <v>0</v>
      </c>
      <c r="W2565" s="111"/>
      <c r="AC2565" s="130"/>
      <c r="AD2565" s="130">
        <v>24734</v>
      </c>
      <c r="AE2565" s="128" t="s">
        <v>32</v>
      </c>
      <c r="AF2565" s="128" t="s">
        <v>69</v>
      </c>
      <c r="AG2565" s="128" t="s">
        <v>874</v>
      </c>
      <c r="AH2565" s="108" t="s">
        <v>31</v>
      </c>
      <c r="AI2565" s="128" t="s">
        <v>47</v>
      </c>
      <c r="AJ2565" s="129" t="s">
        <v>55</v>
      </c>
      <c r="AK2565" s="129">
        <v>6</v>
      </c>
      <c r="AL2565" s="3" t="s">
        <v>55</v>
      </c>
      <c r="AP2565" s="129" t="s">
        <v>124</v>
      </c>
      <c r="AR2565" s="128" t="s">
        <v>67</v>
      </c>
      <c r="AS2565" s="129" t="s">
        <v>45</v>
      </c>
      <c r="BC2565" s="129" t="s">
        <v>52</v>
      </c>
      <c r="BF2565" s="111">
        <f t="shared" si="1876"/>
        <v>3</v>
      </c>
      <c r="BG2565" s="111">
        <f t="shared" si="1877"/>
        <v>160</v>
      </c>
      <c r="BH2565" s="111">
        <f t="shared" si="1878"/>
        <v>160</v>
      </c>
      <c r="BI2565" s="111">
        <f t="shared" si="1881"/>
        <v>44.202185792349724</v>
      </c>
      <c r="BJ2565" s="129">
        <f>(G2565-J2565)+(M2565-G2565)</f>
        <v>0</v>
      </c>
      <c r="BK2565" s="129">
        <f t="shared" si="1879"/>
        <v>-157</v>
      </c>
      <c r="BL2565" s="129" t="str">
        <f t="shared" si="1874"/>
        <v>NO CONVICTION</v>
      </c>
      <c r="BM2565" s="129" t="s">
        <v>76</v>
      </c>
      <c r="BN2565" s="129" t="s">
        <v>88</v>
      </c>
      <c r="BP2565" s="137" t="str">
        <f t="shared" si="1882"/>
        <v>NO CONVICTION</v>
      </c>
      <c r="BQ2565" s="128" t="str">
        <f t="shared" si="1892"/>
        <v>Y</v>
      </c>
      <c r="BR2565" s="129" t="str">
        <f t="shared" si="1883"/>
        <v>ON BOND</v>
      </c>
      <c r="BS2565" s="129" t="str">
        <f t="shared" si="1884"/>
        <v>DISPOSED</v>
      </c>
      <c r="BT2565" s="129" t="str">
        <f t="shared" si="1885"/>
        <v>N</v>
      </c>
      <c r="BU2565" s="109">
        <f>IFERROR(Q2565/R2565,BR2565)</f>
        <v>1.8749999999999999E-2</v>
      </c>
      <c r="BV2565" s="109">
        <f t="shared" si="1893"/>
        <v>1.8749999999999999E-2</v>
      </c>
      <c r="BW2565" s="109">
        <f t="shared" si="1868"/>
        <v>0</v>
      </c>
      <c r="BX2565" s="111">
        <f t="shared" si="1887"/>
        <v>0</v>
      </c>
      <c r="BY2565" s="129">
        <f t="shared" si="1894"/>
        <v>-3</v>
      </c>
      <c r="BZ2565" s="111">
        <f t="shared" si="1895"/>
        <v>0</v>
      </c>
      <c r="CA2565" s="138">
        <f t="shared" si="1896"/>
        <v>3</v>
      </c>
      <c r="CB2565" s="111" t="e">
        <f t="shared" si="1880"/>
        <v>#VALUE!</v>
      </c>
      <c r="CC2565" s="129">
        <f>M2565-I2565+1</f>
        <v>3</v>
      </c>
      <c r="CD2565" s="111">
        <f>CC2565-BF2565</f>
        <v>0</v>
      </c>
      <c r="CG2565" s="129" t="str">
        <f t="shared" si="1897"/>
        <v>N</v>
      </c>
      <c r="CI2565" s="129" t="str">
        <f t="shared" si="1898"/>
        <v>0-10 DAYS</v>
      </c>
      <c r="CJ2565" s="137">
        <f t="shared" si="1899"/>
        <v>1</v>
      </c>
      <c r="CK2565" s="129" t="str">
        <f t="shared" si="1900"/>
        <v>Booked</v>
      </c>
    </row>
    <row r="2566" spans="1:89" ht="15.75" customHeight="1" x14ac:dyDescent="0.25">
      <c r="A2566" s="111">
        <v>66</v>
      </c>
      <c r="B2566" s="128" t="str">
        <f t="shared" si="1888"/>
        <v>N</v>
      </c>
      <c r="C2566" s="128" t="str">
        <f t="shared" si="1889"/>
        <v>N</v>
      </c>
      <c r="D2566" s="117">
        <v>2597991</v>
      </c>
      <c r="E2566" s="135">
        <f t="shared" si="1890"/>
        <v>2</v>
      </c>
      <c r="F2566" s="124">
        <v>40912</v>
      </c>
      <c r="G2566" s="125">
        <v>40919</v>
      </c>
      <c r="H2566" s="117">
        <v>2597991</v>
      </c>
      <c r="I2566" s="124">
        <v>40918</v>
      </c>
      <c r="J2566" s="124">
        <v>40919</v>
      </c>
      <c r="K2566" s="126">
        <v>10000</v>
      </c>
      <c r="L2566" s="127" t="s">
        <v>570</v>
      </c>
      <c r="N2566" s="129" t="str">
        <f t="shared" si="1891"/>
        <v>N</v>
      </c>
      <c r="O2566" s="128" t="s">
        <v>917</v>
      </c>
      <c r="P2566" s="129" t="s">
        <v>589</v>
      </c>
      <c r="Q2566" s="111">
        <f t="shared" si="1870"/>
        <v>2</v>
      </c>
      <c r="R2566" s="111">
        <f t="shared" si="1875"/>
        <v>8</v>
      </c>
      <c r="S2566" s="129">
        <v>0</v>
      </c>
      <c r="T2566" s="129">
        <v>0</v>
      </c>
      <c r="W2566" s="111"/>
      <c r="AC2566" s="130"/>
      <c r="AD2566" s="130">
        <v>30329</v>
      </c>
      <c r="AE2566" s="128" t="s">
        <v>46</v>
      </c>
      <c r="AF2566" s="128" t="s">
        <v>33</v>
      </c>
      <c r="AG2566" s="128" t="s">
        <v>872</v>
      </c>
      <c r="AH2566" s="108" t="s">
        <v>31</v>
      </c>
      <c r="AI2566" s="128" t="s">
        <v>53</v>
      </c>
      <c r="AJ2566" s="129" t="s">
        <v>48</v>
      </c>
      <c r="AK2566" s="129">
        <v>2</v>
      </c>
      <c r="AL2566" s="3" t="s">
        <v>48</v>
      </c>
      <c r="AP2566" s="129" t="s">
        <v>56</v>
      </c>
      <c r="AR2566" s="128" t="s">
        <v>50</v>
      </c>
      <c r="AS2566" s="129" t="s">
        <v>57</v>
      </c>
      <c r="BC2566" s="129" t="s">
        <v>38</v>
      </c>
      <c r="BF2566" s="111">
        <f t="shared" si="1876"/>
        <v>2</v>
      </c>
      <c r="BG2566" s="111">
        <f t="shared" si="1877"/>
        <v>2</v>
      </c>
      <c r="BH2566" s="111">
        <f t="shared" si="1878"/>
        <v>8</v>
      </c>
      <c r="BI2566" s="111">
        <f t="shared" si="1881"/>
        <v>28.915300546448087</v>
      </c>
      <c r="BJ2566" s="129">
        <f>G2566-J2566-M2566</f>
        <v>0</v>
      </c>
      <c r="BK2566" s="129">
        <f t="shared" si="1879"/>
        <v>0</v>
      </c>
      <c r="BL2566" s="129" t="str">
        <f t="shared" si="1874"/>
        <v>DEFERRED</v>
      </c>
      <c r="BM2566" s="129" t="str">
        <f>O2566</f>
        <v>NONE</v>
      </c>
      <c r="BN2566" s="129" t="s">
        <v>566</v>
      </c>
      <c r="BP2566" s="137" t="str">
        <f t="shared" si="1882"/>
        <v>DEFERRED</v>
      </c>
      <c r="BQ2566" s="128" t="str">
        <f t="shared" si="1892"/>
        <v>Y</v>
      </c>
      <c r="BR2566" s="129" t="str">
        <f t="shared" si="1883"/>
        <v>DETAINED</v>
      </c>
      <c r="BS2566" s="129" t="str">
        <f t="shared" si="1884"/>
        <v>DISPOSED</v>
      </c>
      <c r="BT2566" s="129" t="str">
        <f t="shared" si="1885"/>
        <v>N</v>
      </c>
      <c r="BU2566" s="109">
        <f t="shared" si="1886"/>
        <v>0.25</v>
      </c>
      <c r="BV2566" s="109">
        <f t="shared" si="1893"/>
        <v>1</v>
      </c>
      <c r="BW2566" s="109">
        <f t="shared" si="1868"/>
        <v>0.75</v>
      </c>
      <c r="BX2566" s="111">
        <f t="shared" si="1887"/>
        <v>0</v>
      </c>
      <c r="BY2566" s="129">
        <f t="shared" si="1894"/>
        <v>-2</v>
      </c>
      <c r="BZ2566" s="111">
        <f t="shared" si="1895"/>
        <v>0</v>
      </c>
      <c r="CA2566" s="138">
        <f t="shared" si="1896"/>
        <v>2</v>
      </c>
      <c r="CB2566" s="111" t="e">
        <f t="shared" si="1880"/>
        <v>#VALUE!</v>
      </c>
      <c r="CC2566" s="129">
        <f>G2566-I2566+1</f>
        <v>2</v>
      </c>
      <c r="CD2566" s="129">
        <f>G2566-J2566</f>
        <v>0</v>
      </c>
      <c r="CG2566" s="129" t="str">
        <f t="shared" si="1897"/>
        <v>N</v>
      </c>
      <c r="CI2566" s="129" t="str">
        <f t="shared" si="1898"/>
        <v>0-10 DAYS</v>
      </c>
      <c r="CJ2566" s="137">
        <f t="shared" si="1899"/>
        <v>1</v>
      </c>
      <c r="CK2566" s="129" t="str">
        <f t="shared" si="1900"/>
        <v>Booked</v>
      </c>
    </row>
    <row r="2567" spans="1:89" ht="15" customHeight="1" x14ac:dyDescent="0.25">
      <c r="A2567" s="111">
        <v>68</v>
      </c>
      <c r="B2567" s="128" t="str">
        <f t="shared" si="1888"/>
        <v>N</v>
      </c>
      <c r="C2567" s="128" t="str">
        <f t="shared" si="1889"/>
        <v>N</v>
      </c>
      <c r="D2567" s="117">
        <v>2598066</v>
      </c>
      <c r="E2567" s="135">
        <f t="shared" si="1890"/>
        <v>6</v>
      </c>
      <c r="F2567" s="124">
        <v>40912</v>
      </c>
      <c r="G2567" s="125">
        <v>41171</v>
      </c>
      <c r="H2567" s="117">
        <v>2598066</v>
      </c>
      <c r="I2567" s="124">
        <v>40913</v>
      </c>
      <c r="J2567" s="124">
        <v>41171</v>
      </c>
      <c r="K2567" s="126">
        <v>90000</v>
      </c>
      <c r="L2567" s="129" t="s">
        <v>572</v>
      </c>
      <c r="N2567" s="129" t="str">
        <f t="shared" si="1891"/>
        <v>N</v>
      </c>
      <c r="O2567" s="128" t="s">
        <v>917</v>
      </c>
      <c r="P2567" s="129" t="s">
        <v>39</v>
      </c>
      <c r="Q2567" s="111">
        <f t="shared" si="1870"/>
        <v>259</v>
      </c>
      <c r="R2567" s="111">
        <f t="shared" si="1875"/>
        <v>260</v>
      </c>
      <c r="S2567" s="129">
        <v>0</v>
      </c>
      <c r="T2567" s="129">
        <v>0</v>
      </c>
      <c r="W2567" s="111"/>
      <c r="AC2567" s="130"/>
      <c r="AD2567" s="130">
        <v>28764</v>
      </c>
      <c r="AE2567" s="128" t="s">
        <v>32</v>
      </c>
      <c r="AF2567" s="128" t="s">
        <v>69</v>
      </c>
      <c r="AG2567" s="128" t="s">
        <v>874</v>
      </c>
      <c r="AH2567" s="108" t="s">
        <v>31</v>
      </c>
      <c r="AI2567" s="128" t="s">
        <v>71</v>
      </c>
      <c r="AJ2567" s="129" t="s">
        <v>89</v>
      </c>
      <c r="AK2567" s="129">
        <v>11</v>
      </c>
      <c r="AL2567" s="3" t="s">
        <v>362</v>
      </c>
      <c r="AM2567" s="117">
        <v>2</v>
      </c>
      <c r="AP2567" s="129" t="s">
        <v>129</v>
      </c>
      <c r="AR2567" s="128" t="s">
        <v>92</v>
      </c>
      <c r="AS2567" s="129" t="s">
        <v>126</v>
      </c>
      <c r="BC2567" s="129" t="s">
        <v>99</v>
      </c>
      <c r="BF2567" s="111">
        <f t="shared" si="1876"/>
        <v>259</v>
      </c>
      <c r="BG2567" s="111">
        <f t="shared" si="1877"/>
        <v>259</v>
      </c>
      <c r="BH2567" s="111">
        <f t="shared" si="1878"/>
        <v>260</v>
      </c>
      <c r="BI2567" s="111">
        <f t="shared" si="1881"/>
        <v>33.191256830601091</v>
      </c>
      <c r="BJ2567" s="129">
        <f>G2567-J2567-M2567</f>
        <v>0</v>
      </c>
      <c r="BK2567" s="129">
        <f t="shared" si="1879"/>
        <v>0</v>
      </c>
      <c r="BL2567" s="129" t="str">
        <f t="shared" si="1874"/>
        <v>CONVICTION</v>
      </c>
      <c r="BM2567" s="129" t="str">
        <f>O2567</f>
        <v>NONE</v>
      </c>
      <c r="BN2567" s="129" t="s">
        <v>566</v>
      </c>
      <c r="BP2567" s="137" t="str">
        <f t="shared" si="1882"/>
        <v>CONVICTION</v>
      </c>
      <c r="BQ2567" s="128" t="str">
        <f t="shared" si="1892"/>
        <v>Y</v>
      </c>
      <c r="BR2567" s="129" t="str">
        <f t="shared" si="1883"/>
        <v>DETAINED</v>
      </c>
      <c r="BS2567" s="129" t="str">
        <f t="shared" si="1884"/>
        <v>DISPOSED</v>
      </c>
      <c r="BT2567" s="129" t="str">
        <f t="shared" si="1885"/>
        <v>N</v>
      </c>
      <c r="BU2567" s="109">
        <f t="shared" si="1886"/>
        <v>0.99615384615384617</v>
      </c>
      <c r="BV2567" s="109">
        <f t="shared" si="1893"/>
        <v>1</v>
      </c>
      <c r="BW2567" s="109">
        <f t="shared" si="1868"/>
        <v>3.8461538461538325E-3</v>
      </c>
      <c r="BX2567" s="111">
        <f t="shared" si="1887"/>
        <v>0</v>
      </c>
      <c r="BY2567" s="129">
        <f t="shared" si="1894"/>
        <v>-259</v>
      </c>
      <c r="BZ2567" s="111">
        <f t="shared" si="1895"/>
        <v>0</v>
      </c>
      <c r="CA2567" s="138">
        <f t="shared" si="1896"/>
        <v>259</v>
      </c>
      <c r="CB2567" s="111" t="e">
        <f t="shared" si="1880"/>
        <v>#VALUE!</v>
      </c>
      <c r="CC2567" s="129">
        <f>G2567-I2567+1</f>
        <v>259</v>
      </c>
      <c r="CD2567" s="129">
        <f>G2567-J2567</f>
        <v>0</v>
      </c>
      <c r="CG2567" s="129" t="str">
        <f t="shared" si="1897"/>
        <v>N</v>
      </c>
      <c r="CI2567" s="129" t="str">
        <f t="shared" si="1898"/>
        <v>121-365 DAYS</v>
      </c>
      <c r="CJ2567" s="137">
        <f t="shared" si="1899"/>
        <v>6</v>
      </c>
      <c r="CK2567" s="129" t="str">
        <f t="shared" si="1900"/>
        <v>Booked</v>
      </c>
    </row>
    <row r="2568" spans="1:89" ht="15" customHeight="1" x14ac:dyDescent="0.25">
      <c r="A2568" s="111">
        <v>76</v>
      </c>
      <c r="B2568" s="128" t="str">
        <f t="shared" si="1888"/>
        <v>N</v>
      </c>
      <c r="C2568" s="128" t="str">
        <f t="shared" si="1889"/>
        <v>N</v>
      </c>
      <c r="D2568" s="117">
        <v>2598108</v>
      </c>
      <c r="E2568" s="135">
        <f t="shared" si="1890"/>
        <v>6</v>
      </c>
      <c r="F2568" s="124">
        <v>40912</v>
      </c>
      <c r="G2568" s="125">
        <v>41403</v>
      </c>
      <c r="H2568" s="117">
        <v>2598108</v>
      </c>
      <c r="I2568" s="124">
        <v>40913</v>
      </c>
      <c r="J2568" s="125">
        <v>41403</v>
      </c>
      <c r="K2568" s="126">
        <v>90000</v>
      </c>
      <c r="L2568" s="129" t="s">
        <v>572</v>
      </c>
      <c r="N2568" s="129" t="str">
        <f t="shared" si="1891"/>
        <v>N</v>
      </c>
      <c r="O2568" s="128" t="s">
        <v>917</v>
      </c>
      <c r="P2568" s="129" t="s">
        <v>39</v>
      </c>
      <c r="Q2568" s="111">
        <f t="shared" si="1870"/>
        <v>491</v>
      </c>
      <c r="R2568" s="111">
        <f t="shared" si="1875"/>
        <v>492</v>
      </c>
      <c r="S2568" s="129">
        <v>0</v>
      </c>
      <c r="T2568" s="129">
        <v>0</v>
      </c>
      <c r="W2568" s="111"/>
      <c r="AC2568" s="130"/>
      <c r="AD2568" s="130">
        <v>34347</v>
      </c>
      <c r="AE2568" s="128" t="s">
        <v>32</v>
      </c>
      <c r="AF2568" s="128" t="s">
        <v>33</v>
      </c>
      <c r="AG2568" s="128" t="s">
        <v>872</v>
      </c>
      <c r="AH2568" s="108" t="s">
        <v>31</v>
      </c>
      <c r="AI2568" s="128" t="s">
        <v>65</v>
      </c>
      <c r="AJ2568" s="129" t="s">
        <v>89</v>
      </c>
      <c r="AK2568" s="129">
        <v>11</v>
      </c>
      <c r="AL2568" s="3" t="s">
        <v>362</v>
      </c>
      <c r="AM2568" s="117">
        <v>45</v>
      </c>
      <c r="AP2568" s="129" t="s">
        <v>105</v>
      </c>
      <c r="AR2568" s="128" t="s">
        <v>92</v>
      </c>
      <c r="AS2568" s="129" t="s">
        <v>106</v>
      </c>
      <c r="AT2568" s="32" t="s">
        <v>1119</v>
      </c>
      <c r="BC2568" s="129" t="s">
        <v>52</v>
      </c>
      <c r="BF2568" s="111">
        <f t="shared" si="1876"/>
        <v>491</v>
      </c>
      <c r="BG2568" s="111">
        <f t="shared" si="1877"/>
        <v>491</v>
      </c>
      <c r="BH2568" s="111">
        <f t="shared" si="1878"/>
        <v>492</v>
      </c>
      <c r="BI2568" s="111">
        <f t="shared" si="1881"/>
        <v>17.937158469945356</v>
      </c>
      <c r="BJ2568" s="129">
        <f>G2568-J2568-M2568</f>
        <v>0</v>
      </c>
      <c r="BK2568" s="129">
        <f t="shared" si="1879"/>
        <v>0</v>
      </c>
      <c r="BL2568" s="129" t="str">
        <f t="shared" si="1874"/>
        <v>CONVICTION</v>
      </c>
      <c r="BM2568" s="129" t="str">
        <f>O2568</f>
        <v>NONE</v>
      </c>
      <c r="BN2568" s="129" t="s">
        <v>566</v>
      </c>
      <c r="BP2568" s="137" t="str">
        <f t="shared" si="1882"/>
        <v>CONVICTION</v>
      </c>
      <c r="BQ2568" s="128" t="str">
        <f t="shared" si="1892"/>
        <v>Y</v>
      </c>
      <c r="BR2568" s="129" t="str">
        <f t="shared" si="1883"/>
        <v>DETAINED</v>
      </c>
      <c r="BS2568" s="129" t="str">
        <f t="shared" si="1884"/>
        <v>DISPOSED</v>
      </c>
      <c r="BT2568" s="129" t="str">
        <f t="shared" si="1885"/>
        <v>N</v>
      </c>
      <c r="BU2568" s="109">
        <f t="shared" si="1886"/>
        <v>0.99796747967479671</v>
      </c>
      <c r="BV2568" s="109">
        <f t="shared" si="1893"/>
        <v>1</v>
      </c>
      <c r="BW2568" s="109">
        <f t="shared" si="1868"/>
        <v>2.0325203252032908E-3</v>
      </c>
      <c r="BX2568" s="111">
        <f t="shared" si="1887"/>
        <v>0</v>
      </c>
      <c r="BY2568" s="129">
        <f t="shared" si="1894"/>
        <v>-491</v>
      </c>
      <c r="BZ2568" s="111">
        <f t="shared" si="1895"/>
        <v>0</v>
      </c>
      <c r="CA2568" s="138">
        <f t="shared" si="1896"/>
        <v>491</v>
      </c>
      <c r="CB2568" s="111" t="e">
        <f t="shared" si="1880"/>
        <v>#VALUE!</v>
      </c>
      <c r="CC2568" s="129">
        <f>G2568-I2568+1</f>
        <v>491</v>
      </c>
      <c r="CD2568" s="129">
        <f>G2568-J2568</f>
        <v>0</v>
      </c>
      <c r="CG2568" s="129" t="str">
        <f t="shared" si="1897"/>
        <v>N</v>
      </c>
      <c r="CI2568" s="129" t="str">
        <f t="shared" si="1898"/>
        <v xml:space="preserve"> &gt;1YRS&lt;2YRS</v>
      </c>
      <c r="CJ2568" s="137">
        <f t="shared" si="1899"/>
        <v>0</v>
      </c>
      <c r="CK2568" s="129" t="str">
        <f t="shared" si="1900"/>
        <v>Booked</v>
      </c>
    </row>
    <row r="2569" spans="1:89" ht="15" customHeight="1" x14ac:dyDescent="0.25">
      <c r="A2569" s="111">
        <v>1142</v>
      </c>
      <c r="B2569" s="128" t="str">
        <f t="shared" si="1888"/>
        <v>N</v>
      </c>
      <c r="C2569" s="128" t="str">
        <f t="shared" si="1889"/>
        <v>N</v>
      </c>
      <c r="D2569" s="117">
        <v>2598112</v>
      </c>
      <c r="E2569" s="135">
        <f t="shared" si="1890"/>
        <v>6</v>
      </c>
      <c r="F2569" s="124">
        <v>40950</v>
      </c>
      <c r="G2569" s="125">
        <v>41138</v>
      </c>
      <c r="H2569" s="117">
        <v>2598112</v>
      </c>
      <c r="I2569" s="124">
        <v>40960</v>
      </c>
      <c r="J2569" s="124">
        <v>41138</v>
      </c>
      <c r="K2569" s="126">
        <v>30000</v>
      </c>
      <c r="L2569" s="129" t="s">
        <v>572</v>
      </c>
      <c r="N2569" s="129" t="str">
        <f t="shared" si="1891"/>
        <v>N</v>
      </c>
      <c r="O2569" s="128" t="s">
        <v>917</v>
      </c>
      <c r="P2569" s="129" t="s">
        <v>39</v>
      </c>
      <c r="Q2569" s="111">
        <f t="shared" si="1870"/>
        <v>179</v>
      </c>
      <c r="R2569" s="111">
        <f t="shared" si="1875"/>
        <v>189</v>
      </c>
      <c r="S2569" s="129">
        <v>0</v>
      </c>
      <c r="T2569" s="129">
        <v>0</v>
      </c>
      <c r="W2569" s="111"/>
      <c r="AC2569" s="130"/>
      <c r="AD2569" s="130">
        <v>33018</v>
      </c>
      <c r="AE2569" s="128" t="s">
        <v>32</v>
      </c>
      <c r="AF2569" s="128" t="s">
        <v>33</v>
      </c>
      <c r="AG2569" s="128" t="s">
        <v>872</v>
      </c>
      <c r="AH2569" s="108" t="s">
        <v>31</v>
      </c>
      <c r="AI2569" s="128" t="s">
        <v>118</v>
      </c>
      <c r="AJ2569" s="129" t="s">
        <v>89</v>
      </c>
      <c r="AK2569" s="129">
        <v>6</v>
      </c>
      <c r="AL2569" s="3" t="s">
        <v>362</v>
      </c>
      <c r="AM2569" s="117">
        <v>5</v>
      </c>
      <c r="AP2569" s="129" t="s">
        <v>105</v>
      </c>
      <c r="AR2569" s="128" t="s">
        <v>92</v>
      </c>
      <c r="AS2569" s="129" t="s">
        <v>106</v>
      </c>
      <c r="BC2569" s="129" t="s">
        <v>38</v>
      </c>
      <c r="BF2569" s="111">
        <f t="shared" si="1876"/>
        <v>179</v>
      </c>
      <c r="BG2569" s="111">
        <f t="shared" si="1877"/>
        <v>179</v>
      </c>
      <c r="BH2569" s="111">
        <f t="shared" si="1878"/>
        <v>189</v>
      </c>
      <c r="BI2569" s="111">
        <f t="shared" si="1881"/>
        <v>21.672131147540984</v>
      </c>
      <c r="BJ2569" s="129">
        <f>G2569-J2569-M2569</f>
        <v>0</v>
      </c>
      <c r="BK2569" s="129">
        <f t="shared" si="1879"/>
        <v>0</v>
      </c>
      <c r="BL2569" s="129" t="str">
        <f t="shared" si="1874"/>
        <v>CONVICTION</v>
      </c>
      <c r="BM2569" s="129" t="str">
        <f>O2569</f>
        <v>NONE</v>
      </c>
      <c r="BN2569" s="129" t="s">
        <v>566</v>
      </c>
      <c r="BP2569" s="137" t="str">
        <f t="shared" si="1882"/>
        <v>CONVICTION</v>
      </c>
      <c r="BQ2569" s="128" t="str">
        <f t="shared" si="1892"/>
        <v>Y</v>
      </c>
      <c r="BR2569" s="129" t="str">
        <f t="shared" si="1883"/>
        <v>DETAINED</v>
      </c>
      <c r="BS2569" s="129" t="str">
        <f t="shared" si="1884"/>
        <v>DISPOSED</v>
      </c>
      <c r="BT2569" s="129" t="str">
        <f t="shared" si="1885"/>
        <v>N</v>
      </c>
      <c r="BU2569" s="109">
        <f t="shared" si="1886"/>
        <v>0.94708994708994709</v>
      </c>
      <c r="BV2569" s="109">
        <f t="shared" si="1893"/>
        <v>1</v>
      </c>
      <c r="BW2569" s="109">
        <f t="shared" si="1868"/>
        <v>5.2910052910052907E-2</v>
      </c>
      <c r="BX2569" s="111">
        <f t="shared" si="1887"/>
        <v>0</v>
      </c>
      <c r="BY2569" s="129">
        <f t="shared" si="1894"/>
        <v>-179</v>
      </c>
      <c r="BZ2569" s="111">
        <f t="shared" si="1895"/>
        <v>0</v>
      </c>
      <c r="CA2569" s="138">
        <f t="shared" si="1896"/>
        <v>179</v>
      </c>
      <c r="CB2569" s="111" t="e">
        <f t="shared" si="1880"/>
        <v>#VALUE!</v>
      </c>
      <c r="CC2569" s="129">
        <f>G2569-I2569+1</f>
        <v>179</v>
      </c>
      <c r="CD2569" s="129">
        <f>G2569-J2569</f>
        <v>0</v>
      </c>
      <c r="CG2569" s="129" t="str">
        <f t="shared" si="1897"/>
        <v>N</v>
      </c>
      <c r="CI2569" s="129" t="str">
        <f t="shared" si="1898"/>
        <v>121-365 DAYS</v>
      </c>
      <c r="CJ2569" s="137">
        <f t="shared" si="1899"/>
        <v>6</v>
      </c>
      <c r="CK2569" s="129" t="str">
        <f t="shared" si="1900"/>
        <v>Booked</v>
      </c>
    </row>
    <row r="2570" spans="1:89" ht="15" customHeight="1" x14ac:dyDescent="0.25">
      <c r="A2570" s="111">
        <v>82</v>
      </c>
      <c r="B2570" s="128" t="str">
        <f t="shared" si="1888"/>
        <v>N</v>
      </c>
      <c r="C2570" s="128" t="str">
        <f t="shared" si="1889"/>
        <v>N</v>
      </c>
      <c r="D2570" s="117">
        <v>2598136</v>
      </c>
      <c r="E2570" s="135">
        <f t="shared" si="1890"/>
        <v>1</v>
      </c>
      <c r="F2570" s="124">
        <v>40913</v>
      </c>
      <c r="G2570" s="125">
        <v>41061</v>
      </c>
      <c r="H2570" s="117">
        <v>2598136</v>
      </c>
      <c r="I2570" s="124">
        <v>40914</v>
      </c>
      <c r="J2570" s="124">
        <v>40914</v>
      </c>
      <c r="K2570" s="126">
        <v>2000</v>
      </c>
      <c r="L2570" s="127" t="s">
        <v>568</v>
      </c>
      <c r="M2570" s="125">
        <v>40914</v>
      </c>
      <c r="N2570" s="129" t="str">
        <f t="shared" si="1891"/>
        <v>Y</v>
      </c>
      <c r="O2570" s="128" t="s">
        <v>76</v>
      </c>
      <c r="P2570" s="129" t="s">
        <v>55</v>
      </c>
      <c r="Q2570" s="111">
        <f t="shared" si="1870"/>
        <v>1</v>
      </c>
      <c r="R2570" s="111">
        <f t="shared" si="1875"/>
        <v>149</v>
      </c>
      <c r="S2570" s="129">
        <v>0</v>
      </c>
      <c r="T2570" s="129">
        <v>0</v>
      </c>
      <c r="W2570" s="111"/>
      <c r="AC2570" s="130"/>
      <c r="AD2570" s="130">
        <v>27825</v>
      </c>
      <c r="AE2570" s="128" t="s">
        <v>46</v>
      </c>
      <c r="AF2570" s="128" t="s">
        <v>138</v>
      </c>
      <c r="AG2570" s="128" t="s">
        <v>873</v>
      </c>
      <c r="AH2570" s="108" t="s">
        <v>31</v>
      </c>
      <c r="AI2570" s="128" t="s">
        <v>72</v>
      </c>
      <c r="AJ2570" s="129" t="s">
        <v>55</v>
      </c>
      <c r="AK2570" s="129">
        <v>5</v>
      </c>
      <c r="AL2570" s="3" t="s">
        <v>55</v>
      </c>
      <c r="AP2570" s="129" t="s">
        <v>139</v>
      </c>
      <c r="AR2570" s="128" t="s">
        <v>44</v>
      </c>
      <c r="AS2570" s="129" t="s">
        <v>64</v>
      </c>
      <c r="BC2570" s="129" t="s">
        <v>52</v>
      </c>
      <c r="BF2570" s="111">
        <f t="shared" si="1876"/>
        <v>1</v>
      </c>
      <c r="BG2570" s="111">
        <f t="shared" si="1877"/>
        <v>148</v>
      </c>
      <c r="BH2570" s="111">
        <f t="shared" si="1878"/>
        <v>149</v>
      </c>
      <c r="BI2570" s="111">
        <f t="shared" si="1881"/>
        <v>35.759562841530055</v>
      </c>
      <c r="BJ2570" s="129">
        <f t="shared" ref="BJ2570:BJ2575" si="1901">(G2570-J2570)+(M2570-G2570)</f>
        <v>0</v>
      </c>
      <c r="BK2570" s="129">
        <f t="shared" si="1879"/>
        <v>-147</v>
      </c>
      <c r="BL2570" s="129" t="str">
        <f t="shared" si="1874"/>
        <v>NO CONVICTION</v>
      </c>
      <c r="BM2570" s="129" t="s">
        <v>76</v>
      </c>
      <c r="BN2570" s="129" t="s">
        <v>88</v>
      </c>
      <c r="BP2570" s="137" t="str">
        <f t="shared" si="1882"/>
        <v>NO CONVICTION</v>
      </c>
      <c r="BQ2570" s="128" t="str">
        <f t="shared" si="1892"/>
        <v>Y</v>
      </c>
      <c r="BR2570" s="129" t="str">
        <f t="shared" si="1883"/>
        <v>ON BOND</v>
      </c>
      <c r="BS2570" s="129" t="str">
        <f t="shared" si="1884"/>
        <v>DISPOSED</v>
      </c>
      <c r="BT2570" s="129" t="str">
        <f t="shared" si="1885"/>
        <v>N</v>
      </c>
      <c r="BU2570" s="109">
        <f>IFERROR(Q2570/R2570,BR2570)</f>
        <v>6.7114093959731542E-3</v>
      </c>
      <c r="BV2570" s="109">
        <f t="shared" si="1893"/>
        <v>6.7567567567567571E-3</v>
      </c>
      <c r="BW2570" s="109">
        <f t="shared" si="1868"/>
        <v>4.5347360783602915E-5</v>
      </c>
      <c r="BX2570" s="111">
        <f t="shared" si="1887"/>
        <v>0</v>
      </c>
      <c r="BY2570" s="129">
        <f t="shared" si="1894"/>
        <v>-1</v>
      </c>
      <c r="BZ2570" s="111">
        <f t="shared" si="1895"/>
        <v>0</v>
      </c>
      <c r="CA2570" s="138">
        <f t="shared" si="1896"/>
        <v>1</v>
      </c>
      <c r="CB2570" s="111" t="e">
        <f t="shared" si="1880"/>
        <v>#VALUE!</v>
      </c>
      <c r="CC2570" s="129">
        <f>M2570-I2570+1</f>
        <v>1</v>
      </c>
      <c r="CD2570" s="111">
        <f>CC2570-BF2570</f>
        <v>0</v>
      </c>
      <c r="CG2570" s="129" t="str">
        <f t="shared" si="1897"/>
        <v>N</v>
      </c>
      <c r="CI2570" s="129" t="str">
        <f t="shared" si="1898"/>
        <v>0-10 DAYS</v>
      </c>
      <c r="CJ2570" s="137">
        <f t="shared" si="1899"/>
        <v>1</v>
      </c>
      <c r="CK2570" s="129" t="str">
        <f t="shared" si="1900"/>
        <v>Booked</v>
      </c>
    </row>
    <row r="2571" spans="1:89" ht="15" customHeight="1" x14ac:dyDescent="0.25">
      <c r="A2571" s="111">
        <v>93</v>
      </c>
      <c r="B2571" s="128" t="str">
        <f t="shared" si="1888"/>
        <v>N</v>
      </c>
      <c r="C2571" s="128" t="str">
        <f t="shared" si="1889"/>
        <v>N</v>
      </c>
      <c r="D2571" s="117">
        <v>2598241</v>
      </c>
      <c r="E2571" s="135">
        <f t="shared" si="1890"/>
        <v>1</v>
      </c>
      <c r="F2571" s="124">
        <v>40913</v>
      </c>
      <c r="G2571" s="125">
        <v>41103</v>
      </c>
      <c r="H2571" s="117">
        <v>2598241</v>
      </c>
      <c r="I2571" s="124">
        <v>41026</v>
      </c>
      <c r="J2571" s="124">
        <v>41028</v>
      </c>
      <c r="K2571" s="126">
        <v>30000</v>
      </c>
      <c r="L2571" s="129" t="s">
        <v>572</v>
      </c>
      <c r="M2571" s="125">
        <v>41028</v>
      </c>
      <c r="N2571" s="129" t="str">
        <f t="shared" si="1891"/>
        <v>Y</v>
      </c>
      <c r="O2571" s="128" t="s">
        <v>76</v>
      </c>
      <c r="P2571" s="129" t="s">
        <v>123</v>
      </c>
      <c r="Q2571" s="111">
        <f t="shared" si="1870"/>
        <v>3</v>
      </c>
      <c r="R2571" s="111">
        <f t="shared" si="1875"/>
        <v>191</v>
      </c>
      <c r="S2571" s="129">
        <v>0</v>
      </c>
      <c r="T2571" s="129">
        <v>0</v>
      </c>
      <c r="W2571" s="111"/>
      <c r="AC2571" s="130"/>
      <c r="AD2571" s="130">
        <v>34032</v>
      </c>
      <c r="AE2571" s="128" t="s">
        <v>32</v>
      </c>
      <c r="AF2571" s="128" t="s">
        <v>69</v>
      </c>
      <c r="AG2571" s="128" t="s">
        <v>874</v>
      </c>
      <c r="AH2571" s="108" t="s">
        <v>31</v>
      </c>
      <c r="AI2571" s="128" t="s">
        <v>59</v>
      </c>
      <c r="AJ2571" s="129" t="s">
        <v>123</v>
      </c>
      <c r="AK2571" s="129">
        <v>6</v>
      </c>
      <c r="AL2571" s="3" t="s">
        <v>123</v>
      </c>
      <c r="AP2571" s="129" t="s">
        <v>129</v>
      </c>
      <c r="AR2571" s="128" t="s">
        <v>92</v>
      </c>
      <c r="AS2571" s="129" t="s">
        <v>126</v>
      </c>
      <c r="BC2571" s="129" t="s">
        <v>52</v>
      </c>
      <c r="BF2571" s="111">
        <f t="shared" si="1876"/>
        <v>3</v>
      </c>
      <c r="BG2571" s="111">
        <f t="shared" si="1877"/>
        <v>78</v>
      </c>
      <c r="BH2571" s="111">
        <f t="shared" si="1878"/>
        <v>191</v>
      </c>
      <c r="BI2571" s="111">
        <f t="shared" si="1881"/>
        <v>18.800546448087431</v>
      </c>
      <c r="BJ2571" s="129">
        <f t="shared" si="1901"/>
        <v>0</v>
      </c>
      <c r="BK2571" s="129">
        <f t="shared" si="1879"/>
        <v>-75</v>
      </c>
      <c r="BL2571" s="129" t="str">
        <f t="shared" si="1874"/>
        <v>NO CONVICTION</v>
      </c>
      <c r="BM2571" s="129" t="s">
        <v>76</v>
      </c>
      <c r="BN2571" s="129" t="s">
        <v>88</v>
      </c>
      <c r="BP2571" s="137" t="str">
        <f t="shared" si="1882"/>
        <v>NO CONVICTION</v>
      </c>
      <c r="BQ2571" s="128" t="str">
        <f t="shared" si="1892"/>
        <v>Y</v>
      </c>
      <c r="BR2571" s="129" t="str">
        <f t="shared" si="1883"/>
        <v>ON BOND</v>
      </c>
      <c r="BS2571" s="129" t="str">
        <f t="shared" si="1884"/>
        <v>DISPOSED</v>
      </c>
      <c r="BT2571" s="129" t="str">
        <f t="shared" si="1885"/>
        <v>N</v>
      </c>
      <c r="BU2571" s="109">
        <f>IFERROR(Q2571/R2571,BR2571)</f>
        <v>1.5706806282722512E-2</v>
      </c>
      <c r="BV2571" s="109">
        <f t="shared" si="1893"/>
        <v>3.8461538461538464E-2</v>
      </c>
      <c r="BW2571" s="109">
        <f t="shared" si="1868"/>
        <v>2.2754732178815951E-2</v>
      </c>
      <c r="BX2571" s="111">
        <f t="shared" si="1887"/>
        <v>0</v>
      </c>
      <c r="BY2571" s="129">
        <f t="shared" si="1894"/>
        <v>-3</v>
      </c>
      <c r="BZ2571" s="111">
        <f t="shared" si="1895"/>
        <v>0</v>
      </c>
      <c r="CA2571" s="138">
        <f t="shared" si="1896"/>
        <v>3</v>
      </c>
      <c r="CB2571" s="111" t="e">
        <f t="shared" si="1880"/>
        <v>#VALUE!</v>
      </c>
      <c r="CC2571" s="129">
        <f>M2571-I2571+1</f>
        <v>3</v>
      </c>
      <c r="CD2571" s="111">
        <f>CC2571-BF2571</f>
        <v>0</v>
      </c>
      <c r="CG2571" s="129" t="str">
        <f t="shared" si="1897"/>
        <v>N</v>
      </c>
      <c r="CI2571" s="129" t="str">
        <f t="shared" si="1898"/>
        <v>0-10 DAYS</v>
      </c>
      <c r="CJ2571" s="137">
        <f t="shared" si="1899"/>
        <v>1</v>
      </c>
      <c r="CK2571" s="129" t="str">
        <f t="shared" si="1900"/>
        <v>Booked</v>
      </c>
    </row>
    <row r="2572" spans="1:89" ht="15.75" customHeight="1" x14ac:dyDescent="0.25">
      <c r="A2572" s="111">
        <v>94</v>
      </c>
      <c r="B2572" s="128" t="str">
        <f t="shared" si="1888"/>
        <v>Y</v>
      </c>
      <c r="C2572" s="128" t="str">
        <f t="shared" si="1889"/>
        <v>Y</v>
      </c>
      <c r="D2572" s="117">
        <v>2598246</v>
      </c>
      <c r="E2572" s="135">
        <f t="shared" si="1890"/>
        <v>2</v>
      </c>
      <c r="F2572" s="124">
        <v>40913</v>
      </c>
      <c r="G2572" s="125">
        <v>41082</v>
      </c>
      <c r="H2572" s="117">
        <v>2598246</v>
      </c>
      <c r="I2572" s="124">
        <v>40927</v>
      </c>
      <c r="J2572" s="124">
        <v>41002</v>
      </c>
      <c r="K2572" s="126">
        <v>10000</v>
      </c>
      <c r="L2572" s="127" t="s">
        <v>570</v>
      </c>
      <c r="M2572" s="125">
        <v>41002</v>
      </c>
      <c r="N2572" s="129" t="str">
        <f t="shared" si="1891"/>
        <v>Y</v>
      </c>
      <c r="O2572" s="128" t="s">
        <v>585</v>
      </c>
      <c r="P2572" s="129" t="s">
        <v>589</v>
      </c>
      <c r="Q2572" s="111">
        <v>101</v>
      </c>
      <c r="R2572" s="111">
        <f t="shared" si="1875"/>
        <v>170</v>
      </c>
      <c r="S2572" s="129">
        <v>0</v>
      </c>
      <c r="T2572" s="129">
        <v>0</v>
      </c>
      <c r="W2572" s="111"/>
      <c r="AC2572" s="130"/>
      <c r="AD2572" s="130">
        <v>34115</v>
      </c>
      <c r="AE2572" s="128" t="s">
        <v>32</v>
      </c>
      <c r="AF2572" s="128" t="s">
        <v>33</v>
      </c>
      <c r="AG2572" s="128" t="s">
        <v>872</v>
      </c>
      <c r="AH2572" s="108" t="s">
        <v>31</v>
      </c>
      <c r="AI2572" s="128" t="s">
        <v>72</v>
      </c>
      <c r="AJ2572" s="129" t="s">
        <v>48</v>
      </c>
      <c r="AK2572" s="129">
        <v>6</v>
      </c>
      <c r="AL2572" s="3" t="s">
        <v>48</v>
      </c>
      <c r="AP2572" s="129" t="s">
        <v>56</v>
      </c>
      <c r="AR2572" s="128" t="s">
        <v>50</v>
      </c>
      <c r="AS2572" s="129" t="s">
        <v>57</v>
      </c>
      <c r="AU2572" s="3" t="s">
        <v>684</v>
      </c>
      <c r="AX2572" s="32" t="s">
        <v>88</v>
      </c>
      <c r="BC2572" s="129" t="s">
        <v>38</v>
      </c>
      <c r="BD2572" s="129" t="s">
        <v>1303</v>
      </c>
      <c r="BF2572" s="111">
        <v>101</v>
      </c>
      <c r="BG2572" s="111">
        <f t="shared" si="1877"/>
        <v>156</v>
      </c>
      <c r="BH2572" s="111">
        <f t="shared" si="1878"/>
        <v>170</v>
      </c>
      <c r="BI2572" s="111">
        <f t="shared" si="1881"/>
        <v>18.57377049180328</v>
      </c>
      <c r="BJ2572" s="129">
        <f t="shared" si="1901"/>
        <v>0</v>
      </c>
      <c r="BK2572" s="129">
        <f t="shared" si="1879"/>
        <v>-80</v>
      </c>
      <c r="BL2572" s="129" t="str">
        <f t="shared" si="1874"/>
        <v>DEFERRED</v>
      </c>
      <c r="BM2572" s="129" t="s">
        <v>76</v>
      </c>
      <c r="BN2572" s="129" t="s">
        <v>88</v>
      </c>
      <c r="BP2572" s="137" t="str">
        <f t="shared" si="1882"/>
        <v>DEFERRED</v>
      </c>
      <c r="BQ2572" s="128" t="str">
        <f t="shared" si="1892"/>
        <v>Y</v>
      </c>
      <c r="BR2572" s="129" t="s">
        <v>574</v>
      </c>
      <c r="BS2572" s="129" t="str">
        <f t="shared" si="1884"/>
        <v>DISPOSED</v>
      </c>
      <c r="BT2572" s="129" t="str">
        <f t="shared" si="1885"/>
        <v>N</v>
      </c>
      <c r="BU2572" s="109">
        <f t="shared" si="1886"/>
        <v>0.59411764705882353</v>
      </c>
      <c r="BV2572" s="109">
        <f t="shared" si="1893"/>
        <v>0.48717948717948717</v>
      </c>
      <c r="BW2572" s="109">
        <f t="shared" si="1868"/>
        <v>-0.10693815987933636</v>
      </c>
      <c r="BX2572" s="111">
        <f t="shared" si="1887"/>
        <v>0</v>
      </c>
      <c r="BY2572" s="129">
        <f t="shared" si="1894"/>
        <v>-76</v>
      </c>
      <c r="BZ2572" s="111">
        <f t="shared" si="1895"/>
        <v>25</v>
      </c>
      <c r="CA2572" s="138">
        <f t="shared" si="1896"/>
        <v>156</v>
      </c>
      <c r="CB2572" s="111">
        <v>101</v>
      </c>
      <c r="CC2572" s="129">
        <f>G2572-I2572+1</f>
        <v>156</v>
      </c>
      <c r="CD2572" s="129">
        <f>G2572-J2572</f>
        <v>80</v>
      </c>
      <c r="CG2572" s="129" t="str">
        <f t="shared" si="1897"/>
        <v>N</v>
      </c>
      <c r="CI2572" s="129" t="str">
        <f t="shared" si="1898"/>
        <v>91-120 DAYS</v>
      </c>
      <c r="CJ2572" s="137">
        <f t="shared" si="1899"/>
        <v>0</v>
      </c>
      <c r="CK2572" s="129" t="str">
        <f t="shared" si="1900"/>
        <v>Booked</v>
      </c>
    </row>
    <row r="2573" spans="1:89" ht="15.75" customHeight="1" x14ac:dyDescent="0.25">
      <c r="A2573" s="111">
        <v>105</v>
      </c>
      <c r="B2573" s="128" t="str">
        <f t="shared" si="1888"/>
        <v>N</v>
      </c>
      <c r="C2573" s="128" t="str">
        <f t="shared" si="1889"/>
        <v>N</v>
      </c>
      <c r="D2573" s="117">
        <v>2598309</v>
      </c>
      <c r="E2573" s="135">
        <f t="shared" si="1890"/>
        <v>4</v>
      </c>
      <c r="F2573" s="124">
        <v>40914</v>
      </c>
      <c r="G2573" s="125">
        <v>41135</v>
      </c>
      <c r="H2573" s="117">
        <v>2598309</v>
      </c>
      <c r="I2573" s="124">
        <v>41057</v>
      </c>
      <c r="J2573" s="124">
        <v>41059</v>
      </c>
      <c r="K2573" s="126">
        <v>19200</v>
      </c>
      <c r="L2573" s="127" t="s">
        <v>571</v>
      </c>
      <c r="M2573" s="125">
        <v>41059</v>
      </c>
      <c r="N2573" s="129" t="str">
        <f t="shared" si="1891"/>
        <v>Y</v>
      </c>
      <c r="O2573" s="128" t="s">
        <v>76</v>
      </c>
      <c r="P2573" s="129" t="s">
        <v>39</v>
      </c>
      <c r="Q2573" s="111">
        <f t="shared" si="1870"/>
        <v>3</v>
      </c>
      <c r="R2573" s="111">
        <f t="shared" si="1875"/>
        <v>222</v>
      </c>
      <c r="S2573" s="129">
        <v>0</v>
      </c>
      <c r="T2573" s="129">
        <v>0</v>
      </c>
      <c r="W2573" s="111"/>
      <c r="AC2573" s="130"/>
      <c r="AD2573" s="130">
        <v>25392</v>
      </c>
      <c r="AE2573" s="128" t="s">
        <v>46</v>
      </c>
      <c r="AF2573" s="128" t="s">
        <v>69</v>
      </c>
      <c r="AG2573" s="128" t="s">
        <v>874</v>
      </c>
      <c r="AH2573" s="108" t="s">
        <v>31</v>
      </c>
      <c r="AI2573" s="128" t="s">
        <v>47</v>
      </c>
      <c r="AJ2573" s="129" t="s">
        <v>89</v>
      </c>
      <c r="AK2573" s="129">
        <v>4</v>
      </c>
      <c r="AL2573" s="3" t="s">
        <v>991</v>
      </c>
      <c r="AN2573" s="129"/>
      <c r="AO2573" s="128">
        <v>20</v>
      </c>
      <c r="AP2573" s="129" t="s">
        <v>108</v>
      </c>
      <c r="AR2573" s="128" t="s">
        <v>44</v>
      </c>
      <c r="AS2573" s="129" t="s">
        <v>61</v>
      </c>
      <c r="BC2573" s="129" t="s">
        <v>52</v>
      </c>
      <c r="BF2573" s="111">
        <f t="shared" si="1876"/>
        <v>3</v>
      </c>
      <c r="BG2573" s="111">
        <f t="shared" si="1877"/>
        <v>79</v>
      </c>
      <c r="BH2573" s="111">
        <f t="shared" si="1878"/>
        <v>222</v>
      </c>
      <c r="BI2573" s="111">
        <f t="shared" si="1881"/>
        <v>42.409836065573771</v>
      </c>
      <c r="BJ2573" s="129">
        <f t="shared" si="1901"/>
        <v>0</v>
      </c>
      <c r="BK2573" s="129">
        <f t="shared" si="1879"/>
        <v>-76</v>
      </c>
      <c r="BL2573" s="129" t="str">
        <f t="shared" si="1874"/>
        <v>CONVICTION</v>
      </c>
      <c r="BM2573" s="129" t="s">
        <v>76</v>
      </c>
      <c r="BN2573" s="129" t="s">
        <v>88</v>
      </c>
      <c r="BP2573" s="137" t="str">
        <f t="shared" si="1882"/>
        <v>CONVICTION</v>
      </c>
      <c r="BQ2573" s="128" t="str">
        <f t="shared" si="1892"/>
        <v>Y</v>
      </c>
      <c r="BR2573" s="129" t="str">
        <f>IF(J2573&lt;G2573,"ON BOND",0)</f>
        <v>ON BOND</v>
      </c>
      <c r="BS2573" s="129" t="str">
        <f t="shared" si="1884"/>
        <v>DISPOSED</v>
      </c>
      <c r="BT2573" s="129" t="str">
        <f t="shared" si="1885"/>
        <v>N</v>
      </c>
      <c r="BU2573" s="109">
        <f t="shared" si="1886"/>
        <v>1.3513513513513514E-2</v>
      </c>
      <c r="BV2573" s="109">
        <f t="shared" si="1893"/>
        <v>3.7974683544303799E-2</v>
      </c>
      <c r="BW2573" s="109">
        <f t="shared" si="1868"/>
        <v>2.4461170030790284E-2</v>
      </c>
      <c r="BX2573" s="111">
        <f t="shared" si="1887"/>
        <v>0</v>
      </c>
      <c r="BY2573" s="129">
        <f t="shared" si="1894"/>
        <v>-3</v>
      </c>
      <c r="BZ2573" s="111">
        <f t="shared" si="1895"/>
        <v>0</v>
      </c>
      <c r="CA2573" s="138">
        <f t="shared" si="1896"/>
        <v>3</v>
      </c>
      <c r="CB2573" s="111" t="e">
        <f t="shared" si="1880"/>
        <v>#VALUE!</v>
      </c>
      <c r="CC2573" s="129">
        <f>M2573-I2573+1</f>
        <v>3</v>
      </c>
      <c r="CD2573" s="111">
        <f>CC2573-BF2573</f>
        <v>0</v>
      </c>
      <c r="CG2573" s="129" t="str">
        <f t="shared" si="1897"/>
        <v>N</v>
      </c>
      <c r="CI2573" s="129" t="str">
        <f t="shared" si="1898"/>
        <v>0-10 DAYS</v>
      </c>
      <c r="CJ2573" s="137">
        <f t="shared" si="1899"/>
        <v>1</v>
      </c>
      <c r="CK2573" s="129" t="str">
        <f t="shared" si="1900"/>
        <v>Booked</v>
      </c>
    </row>
    <row r="2574" spans="1:89" ht="15" customHeight="1" x14ac:dyDescent="0.25">
      <c r="A2574" s="111">
        <v>120</v>
      </c>
      <c r="B2574" s="128" t="str">
        <f t="shared" si="1888"/>
        <v>N</v>
      </c>
      <c r="C2574" s="128" t="str">
        <f t="shared" si="1889"/>
        <v>N</v>
      </c>
      <c r="D2574" s="117">
        <v>2598338</v>
      </c>
      <c r="E2574" s="135">
        <f t="shared" si="1890"/>
        <v>1</v>
      </c>
      <c r="F2574" s="124">
        <v>40914</v>
      </c>
      <c r="G2574" s="125">
        <v>40934</v>
      </c>
      <c r="H2574" s="117">
        <v>2598338</v>
      </c>
      <c r="I2574" s="124">
        <v>40914</v>
      </c>
      <c r="J2574" s="124">
        <v>40915</v>
      </c>
      <c r="K2574" s="126">
        <v>2000</v>
      </c>
      <c r="L2574" s="127" t="s">
        <v>568</v>
      </c>
      <c r="M2574" s="125">
        <v>40915</v>
      </c>
      <c r="N2574" s="129" t="str">
        <f t="shared" si="1891"/>
        <v>Y</v>
      </c>
      <c r="O2574" s="128" t="s">
        <v>76</v>
      </c>
      <c r="P2574" s="129" t="s">
        <v>55</v>
      </c>
      <c r="Q2574" s="111">
        <f t="shared" si="1870"/>
        <v>2</v>
      </c>
      <c r="R2574" s="111">
        <f t="shared" si="1875"/>
        <v>21</v>
      </c>
      <c r="S2574" s="129">
        <v>0</v>
      </c>
      <c r="T2574" s="129">
        <v>0</v>
      </c>
      <c r="W2574" s="111"/>
      <c r="AC2574" s="130"/>
      <c r="AD2574" s="130">
        <v>23475</v>
      </c>
      <c r="AE2574" s="128" t="s">
        <v>32</v>
      </c>
      <c r="AF2574" s="128" t="s">
        <v>69</v>
      </c>
      <c r="AG2574" s="128" t="s">
        <v>874</v>
      </c>
      <c r="AH2574" s="108" t="s">
        <v>31</v>
      </c>
      <c r="AI2574" s="128" t="s">
        <v>80</v>
      </c>
      <c r="AJ2574" s="129" t="s">
        <v>55</v>
      </c>
      <c r="AK2574" s="129">
        <v>3</v>
      </c>
      <c r="AL2574" s="3" t="s">
        <v>55</v>
      </c>
      <c r="AP2574" s="129" t="s">
        <v>121</v>
      </c>
      <c r="AR2574" s="128" t="s">
        <v>44</v>
      </c>
      <c r="AS2574" s="129" t="s">
        <v>122</v>
      </c>
      <c r="BC2574" s="129" t="s">
        <v>52</v>
      </c>
      <c r="BF2574" s="111">
        <f t="shared" si="1876"/>
        <v>2</v>
      </c>
      <c r="BG2574" s="111">
        <f t="shared" si="1877"/>
        <v>21</v>
      </c>
      <c r="BH2574" s="111">
        <f t="shared" si="1878"/>
        <v>21</v>
      </c>
      <c r="BI2574" s="111">
        <f t="shared" si="1881"/>
        <v>47.647540983606561</v>
      </c>
      <c r="BJ2574" s="129">
        <f t="shared" si="1901"/>
        <v>0</v>
      </c>
      <c r="BK2574" s="129">
        <f t="shared" si="1879"/>
        <v>-19</v>
      </c>
      <c r="BL2574" s="129" t="str">
        <f t="shared" si="1874"/>
        <v>NO CONVICTION</v>
      </c>
      <c r="BM2574" s="129" t="s">
        <v>76</v>
      </c>
      <c r="BN2574" s="129" t="s">
        <v>88</v>
      </c>
      <c r="BP2574" s="137" t="str">
        <f t="shared" si="1882"/>
        <v>NO CONVICTION</v>
      </c>
      <c r="BQ2574" s="128" t="str">
        <f t="shared" si="1892"/>
        <v>Y</v>
      </c>
      <c r="BR2574" s="129" t="str">
        <f t="shared" si="1883"/>
        <v>ON BOND</v>
      </c>
      <c r="BS2574" s="129" t="str">
        <f t="shared" si="1884"/>
        <v>DISPOSED</v>
      </c>
      <c r="BT2574" s="129" t="str">
        <f t="shared" si="1885"/>
        <v>N</v>
      </c>
      <c r="BU2574" s="109">
        <f>IFERROR(Q2574/R2574,BR2574)</f>
        <v>9.5238095238095233E-2</v>
      </c>
      <c r="BV2574" s="109">
        <f t="shared" si="1893"/>
        <v>9.5238095238095233E-2</v>
      </c>
      <c r="BW2574" s="109">
        <f t="shared" si="1868"/>
        <v>0</v>
      </c>
      <c r="BX2574" s="111">
        <f t="shared" si="1887"/>
        <v>0</v>
      </c>
      <c r="BY2574" s="129">
        <f t="shared" si="1894"/>
        <v>-2</v>
      </c>
      <c r="BZ2574" s="111">
        <f t="shared" si="1895"/>
        <v>0</v>
      </c>
      <c r="CA2574" s="138">
        <f t="shared" si="1896"/>
        <v>2</v>
      </c>
      <c r="CB2574" s="111" t="e">
        <f t="shared" si="1880"/>
        <v>#VALUE!</v>
      </c>
      <c r="CC2574" s="129">
        <f>M2574-I2574+1</f>
        <v>2</v>
      </c>
      <c r="CD2574" s="111">
        <f>CC2574-BF2574</f>
        <v>0</v>
      </c>
      <c r="CG2574" s="129" t="str">
        <f t="shared" si="1897"/>
        <v>N</v>
      </c>
      <c r="CI2574" s="129" t="str">
        <f t="shared" si="1898"/>
        <v>0-10 DAYS</v>
      </c>
      <c r="CJ2574" s="137">
        <f t="shared" si="1899"/>
        <v>1</v>
      </c>
      <c r="CK2574" s="129" t="str">
        <f t="shared" si="1900"/>
        <v>Booked</v>
      </c>
    </row>
    <row r="2575" spans="1:89" ht="15" customHeight="1" x14ac:dyDescent="0.25">
      <c r="A2575" s="111">
        <v>130</v>
      </c>
      <c r="B2575" s="128" t="str">
        <f t="shared" si="1888"/>
        <v>N</v>
      </c>
      <c r="C2575" s="128" t="str">
        <f t="shared" si="1889"/>
        <v>N</v>
      </c>
      <c r="D2575" s="117">
        <v>2598430</v>
      </c>
      <c r="E2575" s="135">
        <f t="shared" si="1890"/>
        <v>1</v>
      </c>
      <c r="F2575" s="124">
        <v>40914</v>
      </c>
      <c r="G2575" s="125">
        <v>41414</v>
      </c>
      <c r="H2575" s="117">
        <v>2598430</v>
      </c>
      <c r="I2575" s="124">
        <v>40919</v>
      </c>
      <c r="J2575" s="124">
        <v>40920</v>
      </c>
      <c r="K2575" s="126">
        <v>30000</v>
      </c>
      <c r="L2575" s="129" t="s">
        <v>572</v>
      </c>
      <c r="M2575" s="125">
        <v>40920</v>
      </c>
      <c r="N2575" s="129" t="str">
        <f t="shared" si="1891"/>
        <v>Y</v>
      </c>
      <c r="O2575" s="128" t="s">
        <v>76</v>
      </c>
      <c r="P2575" s="129" t="s">
        <v>55</v>
      </c>
      <c r="Q2575" s="111">
        <f t="shared" si="1870"/>
        <v>2</v>
      </c>
      <c r="R2575" s="111">
        <f t="shared" si="1875"/>
        <v>501</v>
      </c>
      <c r="S2575" s="129">
        <v>0</v>
      </c>
      <c r="T2575" s="129">
        <v>0</v>
      </c>
      <c r="W2575" s="111"/>
      <c r="AB2575" s="131" t="s">
        <v>112</v>
      </c>
      <c r="AC2575" s="130"/>
      <c r="AD2575" s="130">
        <v>27949</v>
      </c>
      <c r="AE2575" s="128" t="s">
        <v>32</v>
      </c>
      <c r="AF2575" s="128" t="s">
        <v>40</v>
      </c>
      <c r="AG2575" s="128" t="s">
        <v>41</v>
      </c>
      <c r="AH2575" s="108" t="s">
        <v>31</v>
      </c>
      <c r="AI2575" s="128" t="s">
        <v>71</v>
      </c>
      <c r="AJ2575" s="129" t="s">
        <v>55</v>
      </c>
      <c r="AK2575" s="129">
        <v>15</v>
      </c>
      <c r="AL2575" s="3" t="s">
        <v>55</v>
      </c>
      <c r="AP2575" s="129" t="s">
        <v>125</v>
      </c>
      <c r="AR2575" s="128" t="s">
        <v>50</v>
      </c>
      <c r="AS2575" s="129" t="s">
        <v>126</v>
      </c>
      <c r="BC2575" s="129" t="s">
        <v>52</v>
      </c>
      <c r="BF2575" s="111">
        <f t="shared" si="1876"/>
        <v>2</v>
      </c>
      <c r="BG2575" s="111">
        <f t="shared" si="1877"/>
        <v>496</v>
      </c>
      <c r="BH2575" s="111">
        <f t="shared" si="1878"/>
        <v>501</v>
      </c>
      <c r="BI2575" s="111">
        <f t="shared" si="1881"/>
        <v>35.423497267759565</v>
      </c>
      <c r="BJ2575" s="129">
        <f t="shared" si="1901"/>
        <v>0</v>
      </c>
      <c r="BK2575" s="129">
        <f t="shared" si="1879"/>
        <v>-494</v>
      </c>
      <c r="BL2575" s="129" t="str">
        <f t="shared" si="1874"/>
        <v>NO CONVICTION</v>
      </c>
      <c r="BM2575" s="129" t="s">
        <v>76</v>
      </c>
      <c r="BN2575" s="129" t="s">
        <v>88</v>
      </c>
      <c r="BP2575" s="137" t="str">
        <f t="shared" si="1882"/>
        <v>NO CONVICTION</v>
      </c>
      <c r="BQ2575" s="128" t="str">
        <f t="shared" si="1892"/>
        <v>Y</v>
      </c>
      <c r="BR2575" s="129" t="str">
        <f t="shared" si="1883"/>
        <v>ON BOND</v>
      </c>
      <c r="BS2575" s="129" t="str">
        <f t="shared" si="1884"/>
        <v>DISPOSED</v>
      </c>
      <c r="BT2575" s="129" t="str">
        <f t="shared" si="1885"/>
        <v>N</v>
      </c>
      <c r="BU2575" s="109">
        <f>IFERROR(Q2575/R2575,BR2575)</f>
        <v>3.9920159680638719E-3</v>
      </c>
      <c r="BV2575" s="109">
        <f t="shared" si="1893"/>
        <v>4.0322580645161289E-3</v>
      </c>
      <c r="BW2575" s="109">
        <f t="shared" si="1868"/>
        <v>4.0242096452257001E-5</v>
      </c>
      <c r="BX2575" s="111">
        <f t="shared" si="1887"/>
        <v>0</v>
      </c>
      <c r="BY2575" s="129">
        <f t="shared" si="1894"/>
        <v>-2</v>
      </c>
      <c r="BZ2575" s="111">
        <f t="shared" si="1895"/>
        <v>0</v>
      </c>
      <c r="CA2575" s="138">
        <f t="shared" si="1896"/>
        <v>2</v>
      </c>
      <c r="CB2575" s="111" t="e">
        <f t="shared" si="1880"/>
        <v>#VALUE!</v>
      </c>
      <c r="CC2575" s="129">
        <f>M2575-I2575+1</f>
        <v>2</v>
      </c>
      <c r="CD2575" s="111">
        <f>CC2575-BF2575</f>
        <v>0</v>
      </c>
      <c r="CG2575" s="129" t="str">
        <f t="shared" si="1897"/>
        <v>N</v>
      </c>
      <c r="CI2575" s="129" t="str">
        <f t="shared" si="1898"/>
        <v>0-10 DAYS</v>
      </c>
      <c r="CJ2575" s="137">
        <f t="shared" si="1899"/>
        <v>1</v>
      </c>
      <c r="CK2575" s="129" t="str">
        <f t="shared" si="1900"/>
        <v>Booked</v>
      </c>
    </row>
    <row r="2576" spans="1:89" ht="15" customHeight="1" x14ac:dyDescent="0.25">
      <c r="A2576" s="111">
        <v>3241</v>
      </c>
      <c r="B2576" s="128" t="str">
        <f t="shared" si="1888"/>
        <v>N</v>
      </c>
      <c r="C2576" s="128" t="str">
        <f t="shared" si="1889"/>
        <v>N</v>
      </c>
      <c r="D2576" s="117">
        <v>2598445</v>
      </c>
      <c r="E2576" s="135">
        <f t="shared" si="1890"/>
        <v>4</v>
      </c>
      <c r="F2576" s="124">
        <v>41028</v>
      </c>
      <c r="G2576" s="125">
        <v>41129</v>
      </c>
      <c r="H2576" s="117">
        <v>2598445</v>
      </c>
      <c r="I2576" s="124">
        <v>41029</v>
      </c>
      <c r="J2576" s="124">
        <f>G2576</f>
        <v>41129</v>
      </c>
      <c r="K2576" s="126" t="s">
        <v>564</v>
      </c>
      <c r="L2576" s="127" t="s">
        <v>564</v>
      </c>
      <c r="N2576" s="129" t="s">
        <v>566</v>
      </c>
      <c r="O2576" s="128" t="s">
        <v>917</v>
      </c>
      <c r="P2576" s="129" t="s">
        <v>39</v>
      </c>
      <c r="Q2576" s="111">
        <f t="shared" si="1870"/>
        <v>101</v>
      </c>
      <c r="R2576" s="111">
        <f t="shared" si="1875"/>
        <v>102</v>
      </c>
      <c r="S2576" s="129">
        <v>0</v>
      </c>
      <c r="T2576" s="129">
        <v>3</v>
      </c>
      <c r="W2576" s="111"/>
      <c r="AC2576" s="130"/>
      <c r="AD2576" s="130">
        <v>30083</v>
      </c>
      <c r="AE2576" s="128" t="s">
        <v>32</v>
      </c>
      <c r="AF2576" s="128" t="s">
        <v>33</v>
      </c>
      <c r="AG2576" s="128" t="s">
        <v>872</v>
      </c>
      <c r="AH2576" s="108" t="s">
        <v>58</v>
      </c>
      <c r="AI2576" s="128" t="s">
        <v>100</v>
      </c>
      <c r="AJ2576" s="129" t="s">
        <v>89</v>
      </c>
      <c r="AK2576" s="129">
        <v>6</v>
      </c>
      <c r="AL2576" s="3" t="s">
        <v>991</v>
      </c>
      <c r="AO2576" s="128">
        <v>365</v>
      </c>
      <c r="AP2576" s="129" t="s">
        <v>150</v>
      </c>
      <c r="AR2576" s="128" t="s">
        <v>67</v>
      </c>
      <c r="AS2576" s="129" t="s">
        <v>74</v>
      </c>
      <c r="BC2576" s="129" t="s">
        <v>38</v>
      </c>
      <c r="BF2576" s="111">
        <f t="shared" si="1876"/>
        <v>101</v>
      </c>
      <c r="BG2576" s="111">
        <f t="shared" si="1877"/>
        <v>101</v>
      </c>
      <c r="BH2576" s="111">
        <f t="shared" si="1878"/>
        <v>102</v>
      </c>
      <c r="BI2576" s="111">
        <f t="shared" si="1881"/>
        <v>29.904371584699454</v>
      </c>
      <c r="BJ2576" s="129">
        <f>G2576-J2576-M2576</f>
        <v>0</v>
      </c>
      <c r="BK2576" s="129">
        <f t="shared" si="1879"/>
        <v>0</v>
      </c>
      <c r="BL2576" s="129" t="str">
        <f t="shared" si="1874"/>
        <v>CONVICTION</v>
      </c>
      <c r="BM2576" s="129" t="str">
        <f>O2576</f>
        <v>NONE</v>
      </c>
      <c r="BN2576" s="129" t="s">
        <v>566</v>
      </c>
      <c r="BP2576" s="137" t="str">
        <f t="shared" si="1882"/>
        <v>CONVICTION</v>
      </c>
      <c r="BQ2576" s="128" t="str">
        <f t="shared" si="1892"/>
        <v>Y</v>
      </c>
      <c r="BR2576" s="129" t="str">
        <f t="shared" si="1883"/>
        <v>DETAINED</v>
      </c>
      <c r="BS2576" s="129" t="str">
        <f t="shared" si="1884"/>
        <v>DISPOSED</v>
      </c>
      <c r="BT2576" s="129" t="str">
        <f t="shared" si="1885"/>
        <v>N</v>
      </c>
      <c r="BU2576" s="109">
        <f t="shared" si="1886"/>
        <v>0.99019607843137258</v>
      </c>
      <c r="BV2576" s="109">
        <f t="shared" si="1893"/>
        <v>1</v>
      </c>
      <c r="BW2576" s="109">
        <f t="shared" si="1868"/>
        <v>9.8039215686274161E-3</v>
      </c>
      <c r="BX2576" s="111">
        <f t="shared" si="1887"/>
        <v>0</v>
      </c>
      <c r="BY2576" s="129">
        <f t="shared" si="1894"/>
        <v>-101</v>
      </c>
      <c r="BZ2576" s="111">
        <f t="shared" si="1895"/>
        <v>0</v>
      </c>
      <c r="CA2576" s="138">
        <f t="shared" si="1896"/>
        <v>101</v>
      </c>
      <c r="CB2576" s="111" t="e">
        <f t="shared" si="1880"/>
        <v>#VALUE!</v>
      </c>
      <c r="CC2576" s="129">
        <f>G2576-I2576+1</f>
        <v>101</v>
      </c>
      <c r="CD2576" s="129">
        <f>G2576-J2576</f>
        <v>0</v>
      </c>
      <c r="CG2576" s="129" t="str">
        <f t="shared" si="1897"/>
        <v>Y</v>
      </c>
      <c r="CI2576" s="129" t="str">
        <f t="shared" si="1898"/>
        <v>91-120 DAYS</v>
      </c>
      <c r="CJ2576" s="137">
        <f t="shared" si="1899"/>
        <v>0</v>
      </c>
      <c r="CK2576" s="129" t="str">
        <f t="shared" si="1900"/>
        <v>Booked</v>
      </c>
    </row>
    <row r="2577" spans="1:89" ht="15.75" customHeight="1" x14ac:dyDescent="0.25">
      <c r="A2577" s="111">
        <v>990</v>
      </c>
      <c r="B2577" s="128" t="str">
        <f t="shared" si="1888"/>
        <v>N</v>
      </c>
      <c r="C2577" s="128" t="str">
        <f t="shared" si="1889"/>
        <v>Y</v>
      </c>
      <c r="D2577" s="117">
        <v>2598465</v>
      </c>
      <c r="E2577" s="135">
        <f t="shared" si="1890"/>
        <v>2</v>
      </c>
      <c r="F2577" s="124">
        <v>40945</v>
      </c>
      <c r="G2577" s="125">
        <v>41144</v>
      </c>
      <c r="H2577" s="117">
        <v>2598465</v>
      </c>
      <c r="I2577" s="124">
        <v>40946</v>
      </c>
      <c r="J2577" s="124">
        <v>40948</v>
      </c>
      <c r="K2577" s="126">
        <v>10000</v>
      </c>
      <c r="L2577" s="127" t="s">
        <v>570</v>
      </c>
      <c r="M2577" s="125">
        <v>40948</v>
      </c>
      <c r="N2577" s="129" t="str">
        <f t="shared" ref="N2577:N2582" si="1902">IF(M2577&gt;1/1/1,"Y","N")</f>
        <v>Y</v>
      </c>
      <c r="O2577" s="128" t="s">
        <v>76</v>
      </c>
      <c r="P2577" s="129" t="s">
        <v>589</v>
      </c>
      <c r="Q2577" s="111">
        <v>7</v>
      </c>
      <c r="R2577" s="111">
        <f t="shared" si="1875"/>
        <v>200</v>
      </c>
      <c r="S2577" s="129">
        <v>0</v>
      </c>
      <c r="T2577" s="129">
        <v>1</v>
      </c>
      <c r="W2577" s="111"/>
      <c r="AC2577" s="130"/>
      <c r="AD2577" s="130">
        <v>31503</v>
      </c>
      <c r="AE2577" s="128" t="s">
        <v>46</v>
      </c>
      <c r="AF2577" s="128" t="s">
        <v>69</v>
      </c>
      <c r="AG2577" s="128" t="s">
        <v>874</v>
      </c>
      <c r="AH2577" s="108" t="s">
        <v>58</v>
      </c>
      <c r="AI2577" s="128" t="s">
        <v>95</v>
      </c>
      <c r="AJ2577" s="129" t="s">
        <v>48</v>
      </c>
      <c r="AK2577" s="129">
        <v>9</v>
      </c>
      <c r="AL2577" s="3" t="s">
        <v>48</v>
      </c>
      <c r="AP2577" s="129" t="s">
        <v>250</v>
      </c>
      <c r="AR2577" s="128" t="s">
        <v>50</v>
      </c>
      <c r="AS2577" s="129" t="s">
        <v>45</v>
      </c>
      <c r="AV2577" s="3" t="s">
        <v>88</v>
      </c>
      <c r="AW2577" s="123" t="s">
        <v>704</v>
      </c>
      <c r="BA2577" s="125">
        <v>41409</v>
      </c>
      <c r="BB2577" s="129">
        <v>251</v>
      </c>
      <c r="BC2577" s="129" t="s">
        <v>52</v>
      </c>
      <c r="BF2577" s="111">
        <v>7</v>
      </c>
      <c r="BG2577" s="111">
        <f t="shared" si="1877"/>
        <v>199</v>
      </c>
      <c r="BH2577" s="111">
        <f t="shared" si="1878"/>
        <v>200</v>
      </c>
      <c r="BI2577" s="111">
        <f t="shared" si="1881"/>
        <v>25.797814207650273</v>
      </c>
      <c r="BJ2577" s="129">
        <f>(G2577-J2577)+(M2577-G2577)</f>
        <v>0</v>
      </c>
      <c r="BK2577" s="129">
        <f t="shared" si="1879"/>
        <v>-196</v>
      </c>
      <c r="BL2577" s="129" t="str">
        <f t="shared" si="1874"/>
        <v>DEFERRED</v>
      </c>
      <c r="BM2577" s="129" t="s">
        <v>76</v>
      </c>
      <c r="BN2577" s="129" t="s">
        <v>88</v>
      </c>
      <c r="BP2577" s="137" t="str">
        <f t="shared" si="1882"/>
        <v>DEFERRED</v>
      </c>
      <c r="BQ2577" s="128" t="str">
        <f t="shared" si="1892"/>
        <v>Y</v>
      </c>
      <c r="BR2577" s="129" t="s">
        <v>574</v>
      </c>
      <c r="BS2577" s="129" t="str">
        <f t="shared" si="1884"/>
        <v>DISPOSED</v>
      </c>
      <c r="BT2577" s="129" t="str">
        <f t="shared" si="1885"/>
        <v>N</v>
      </c>
      <c r="BU2577" s="109">
        <f t="shared" si="1886"/>
        <v>3.5000000000000003E-2</v>
      </c>
      <c r="BV2577" s="109">
        <f t="shared" si="1893"/>
        <v>1.507537688442211E-2</v>
      </c>
      <c r="BW2577" s="109">
        <f t="shared" si="1868"/>
        <v>-1.9924623115577893E-2</v>
      </c>
      <c r="BX2577" s="111">
        <f t="shared" si="1887"/>
        <v>0</v>
      </c>
      <c r="BY2577" s="129">
        <f t="shared" si="1894"/>
        <v>-3</v>
      </c>
      <c r="BZ2577" s="111">
        <f t="shared" si="1895"/>
        <v>4</v>
      </c>
      <c r="CA2577" s="138">
        <f t="shared" si="1896"/>
        <v>199</v>
      </c>
      <c r="CB2577" s="111">
        <v>7</v>
      </c>
      <c r="CC2577" s="129">
        <f>G2577-I2577+1</f>
        <v>199</v>
      </c>
      <c r="CD2577" s="129">
        <f>G2577-J2577</f>
        <v>196</v>
      </c>
      <c r="CG2577" s="129" t="str">
        <f t="shared" si="1897"/>
        <v>Y</v>
      </c>
      <c r="CI2577" s="129" t="str">
        <f t="shared" si="1898"/>
        <v>0-10 DAYS</v>
      </c>
      <c r="CJ2577" s="137">
        <f t="shared" si="1899"/>
        <v>1</v>
      </c>
      <c r="CK2577" s="129" t="str">
        <f t="shared" si="1900"/>
        <v>Booked</v>
      </c>
    </row>
    <row r="2578" spans="1:89" ht="15.75" customHeight="1" x14ac:dyDescent="0.25">
      <c r="A2578" s="111">
        <v>578</v>
      </c>
      <c r="B2578" s="128" t="str">
        <f t="shared" si="1888"/>
        <v>N</v>
      </c>
      <c r="C2578" s="128" t="str">
        <f t="shared" si="1889"/>
        <v>N</v>
      </c>
      <c r="D2578" s="117">
        <v>2598496</v>
      </c>
      <c r="E2578" s="135">
        <f t="shared" si="1890"/>
        <v>2</v>
      </c>
      <c r="F2578" s="124">
        <v>40932</v>
      </c>
      <c r="G2578" s="125">
        <v>40960</v>
      </c>
      <c r="H2578" s="117">
        <v>2598496</v>
      </c>
      <c r="I2578" s="124">
        <v>40932</v>
      </c>
      <c r="J2578" s="124">
        <v>40960</v>
      </c>
      <c r="K2578" s="126">
        <v>20000</v>
      </c>
      <c r="L2578" s="127" t="s">
        <v>571</v>
      </c>
      <c r="N2578" s="129" t="str">
        <f t="shared" si="1902"/>
        <v>N</v>
      </c>
      <c r="O2578" s="128" t="s">
        <v>917</v>
      </c>
      <c r="P2578" s="129" t="s">
        <v>589</v>
      </c>
      <c r="Q2578" s="111">
        <f t="shared" si="1870"/>
        <v>29</v>
      </c>
      <c r="R2578" s="111">
        <f t="shared" si="1875"/>
        <v>29</v>
      </c>
      <c r="S2578" s="129">
        <v>0</v>
      </c>
      <c r="T2578" s="129">
        <v>1</v>
      </c>
      <c r="W2578" s="111"/>
      <c r="AB2578" s="131" t="s">
        <v>112</v>
      </c>
      <c r="AC2578" s="130"/>
      <c r="AD2578" s="130">
        <v>31802</v>
      </c>
      <c r="AE2578" s="128" t="s">
        <v>46</v>
      </c>
      <c r="AF2578" s="128" t="s">
        <v>69</v>
      </c>
      <c r="AG2578" s="128" t="s">
        <v>874</v>
      </c>
      <c r="AH2578" s="108" t="s">
        <v>31</v>
      </c>
      <c r="AI2578" s="128" t="s">
        <v>90</v>
      </c>
      <c r="AJ2578" s="129" t="s">
        <v>48</v>
      </c>
      <c r="AK2578" s="129">
        <v>3</v>
      </c>
      <c r="AL2578" s="3" t="s">
        <v>48</v>
      </c>
      <c r="AP2578" s="129" t="s">
        <v>81</v>
      </c>
      <c r="AR2578" s="128" t="s">
        <v>50</v>
      </c>
      <c r="AS2578" s="129" t="s">
        <v>82</v>
      </c>
      <c r="BC2578" s="129" t="s">
        <v>38</v>
      </c>
      <c r="BF2578" s="111">
        <f t="shared" si="1876"/>
        <v>29</v>
      </c>
      <c r="BG2578" s="111">
        <f t="shared" si="1877"/>
        <v>29</v>
      </c>
      <c r="BH2578" s="111">
        <f t="shared" si="1878"/>
        <v>29</v>
      </c>
      <c r="BI2578" s="111">
        <f t="shared" si="1881"/>
        <v>24.94535519125683</v>
      </c>
      <c r="BJ2578" s="129">
        <f>G2578-J2578-M2578</f>
        <v>0</v>
      </c>
      <c r="BK2578" s="129">
        <f t="shared" si="1879"/>
        <v>0</v>
      </c>
      <c r="BL2578" s="129" t="str">
        <f t="shared" si="1874"/>
        <v>DEFERRED</v>
      </c>
      <c r="BM2578" s="129" t="str">
        <f>O2578</f>
        <v>NONE</v>
      </c>
      <c r="BN2578" s="129" t="s">
        <v>566</v>
      </c>
      <c r="BP2578" s="137" t="str">
        <f t="shared" si="1882"/>
        <v>DEFERRED</v>
      </c>
      <c r="BQ2578" s="128" t="str">
        <f t="shared" si="1892"/>
        <v>Y</v>
      </c>
      <c r="BR2578" s="129" t="str">
        <f t="shared" si="1883"/>
        <v>DETAINED</v>
      </c>
      <c r="BS2578" s="129" t="str">
        <f t="shared" si="1884"/>
        <v>DISPOSED</v>
      </c>
      <c r="BT2578" s="129" t="str">
        <f t="shared" si="1885"/>
        <v>N</v>
      </c>
      <c r="BU2578" s="109">
        <f t="shared" si="1886"/>
        <v>1</v>
      </c>
      <c r="BV2578" s="109">
        <f t="shared" si="1893"/>
        <v>1</v>
      </c>
      <c r="BW2578" s="109">
        <f t="shared" si="1868"/>
        <v>0</v>
      </c>
      <c r="BX2578" s="111">
        <f t="shared" si="1887"/>
        <v>0</v>
      </c>
      <c r="BY2578" s="129">
        <f t="shared" si="1894"/>
        <v>-29</v>
      </c>
      <c r="BZ2578" s="111">
        <f t="shared" si="1895"/>
        <v>0</v>
      </c>
      <c r="CA2578" s="138">
        <f t="shared" si="1896"/>
        <v>29</v>
      </c>
      <c r="CB2578" s="111" t="e">
        <f t="shared" si="1880"/>
        <v>#VALUE!</v>
      </c>
      <c r="CC2578" s="129">
        <f>G2578-I2578+1</f>
        <v>29</v>
      </c>
      <c r="CD2578" s="129">
        <f>G2578-J2578</f>
        <v>0</v>
      </c>
      <c r="CG2578" s="129" t="str">
        <f t="shared" si="1897"/>
        <v>Y</v>
      </c>
      <c r="CI2578" s="129" t="str">
        <f t="shared" si="1898"/>
        <v>11-30 DAYS</v>
      </c>
      <c r="CJ2578" s="137">
        <f t="shared" si="1899"/>
        <v>2</v>
      </c>
      <c r="CK2578" s="129" t="str">
        <f t="shared" si="1900"/>
        <v>Booked</v>
      </c>
    </row>
    <row r="2579" spans="1:89" ht="15.75" customHeight="1" x14ac:dyDescent="0.25">
      <c r="A2579" s="111">
        <v>137</v>
      </c>
      <c r="B2579" s="128" t="str">
        <f t="shared" si="1888"/>
        <v>N</v>
      </c>
      <c r="C2579" s="128" t="str">
        <f t="shared" si="1889"/>
        <v>N</v>
      </c>
      <c r="D2579" s="117">
        <v>2598522</v>
      </c>
      <c r="E2579" s="135">
        <f t="shared" si="1890"/>
        <v>1</v>
      </c>
      <c r="F2579" s="124">
        <v>40914</v>
      </c>
      <c r="G2579" s="125">
        <v>41184</v>
      </c>
      <c r="H2579" s="117">
        <v>2598522</v>
      </c>
      <c r="I2579" s="124">
        <v>40915</v>
      </c>
      <c r="J2579" s="124">
        <v>40918</v>
      </c>
      <c r="K2579" s="126">
        <v>30000</v>
      </c>
      <c r="L2579" s="129" t="s">
        <v>572</v>
      </c>
      <c r="M2579" s="125">
        <v>40918</v>
      </c>
      <c r="N2579" s="129" t="str">
        <f t="shared" si="1902"/>
        <v>Y</v>
      </c>
      <c r="O2579" s="128" t="s">
        <v>76</v>
      </c>
      <c r="P2579" s="129" t="s">
        <v>55</v>
      </c>
      <c r="Q2579" s="111">
        <f t="shared" si="1870"/>
        <v>4</v>
      </c>
      <c r="R2579" s="111">
        <f t="shared" si="1875"/>
        <v>271</v>
      </c>
      <c r="S2579" s="129">
        <v>0</v>
      </c>
      <c r="T2579" s="129">
        <v>0</v>
      </c>
      <c r="W2579" s="111"/>
      <c r="AC2579" s="130"/>
      <c r="AD2579" s="130">
        <v>30087</v>
      </c>
      <c r="AE2579" s="128" t="s">
        <v>32</v>
      </c>
      <c r="AF2579" s="128" t="s">
        <v>33</v>
      </c>
      <c r="AG2579" s="128" t="s">
        <v>872</v>
      </c>
      <c r="AH2579" s="108" t="s">
        <v>31</v>
      </c>
      <c r="AI2579" s="128" t="s">
        <v>95</v>
      </c>
      <c r="AJ2579" s="129" t="s">
        <v>55</v>
      </c>
      <c r="AK2579" s="129">
        <v>8</v>
      </c>
      <c r="AL2579" s="3" t="s">
        <v>55</v>
      </c>
      <c r="AP2579" s="129" t="s">
        <v>73</v>
      </c>
      <c r="AR2579" s="128" t="s">
        <v>50</v>
      </c>
      <c r="AS2579" s="129" t="s">
        <v>74</v>
      </c>
      <c r="BC2579" s="129" t="s">
        <v>38</v>
      </c>
      <c r="BF2579" s="111">
        <f t="shared" si="1876"/>
        <v>4</v>
      </c>
      <c r="BG2579" s="111">
        <f t="shared" si="1877"/>
        <v>270</v>
      </c>
      <c r="BH2579" s="111">
        <f t="shared" si="1878"/>
        <v>271</v>
      </c>
      <c r="BI2579" s="111">
        <f t="shared" si="1881"/>
        <v>29.581967213114755</v>
      </c>
      <c r="BJ2579" s="129">
        <f>(G2579-J2579)+(M2579-G2579)</f>
        <v>0</v>
      </c>
      <c r="BK2579" s="129">
        <f t="shared" si="1879"/>
        <v>-266</v>
      </c>
      <c r="BL2579" s="129" t="str">
        <f t="shared" si="1874"/>
        <v>NO CONVICTION</v>
      </c>
      <c r="BM2579" s="129" t="s">
        <v>76</v>
      </c>
      <c r="BN2579" s="129" t="s">
        <v>88</v>
      </c>
      <c r="BP2579" s="137" t="str">
        <f t="shared" si="1882"/>
        <v>NO CONVICTION</v>
      </c>
      <c r="BQ2579" s="128" t="str">
        <f t="shared" si="1892"/>
        <v>Y</v>
      </c>
      <c r="BR2579" s="129" t="str">
        <f t="shared" si="1883"/>
        <v>ON BOND</v>
      </c>
      <c r="BS2579" s="129" t="str">
        <f t="shared" si="1884"/>
        <v>DISPOSED</v>
      </c>
      <c r="BT2579" s="129" t="str">
        <f t="shared" si="1885"/>
        <v>N</v>
      </c>
      <c r="BU2579" s="109">
        <f>IFERROR(Q2579/R2579,BR2579)</f>
        <v>1.4760147601476014E-2</v>
      </c>
      <c r="BV2579" s="109">
        <f t="shared" si="1893"/>
        <v>1.4814814814814815E-2</v>
      </c>
      <c r="BW2579" s="109">
        <f t="shared" si="1868"/>
        <v>5.4667213338801049E-5</v>
      </c>
      <c r="BX2579" s="111">
        <f t="shared" si="1887"/>
        <v>0</v>
      </c>
      <c r="BY2579" s="129">
        <f t="shared" si="1894"/>
        <v>-4</v>
      </c>
      <c r="BZ2579" s="111">
        <f t="shared" si="1895"/>
        <v>0</v>
      </c>
      <c r="CA2579" s="138">
        <f t="shared" si="1896"/>
        <v>4</v>
      </c>
      <c r="CB2579" s="111" t="e">
        <f t="shared" si="1880"/>
        <v>#VALUE!</v>
      </c>
      <c r="CC2579" s="129">
        <f>M2579-I2579+1</f>
        <v>4</v>
      </c>
      <c r="CD2579" s="111">
        <f>CC2579-BF2579</f>
        <v>0</v>
      </c>
      <c r="CG2579" s="129" t="str">
        <f t="shared" si="1897"/>
        <v>N</v>
      </c>
      <c r="CI2579" s="129" t="str">
        <f t="shared" si="1898"/>
        <v>0-10 DAYS</v>
      </c>
      <c r="CJ2579" s="137">
        <f t="shared" si="1899"/>
        <v>1</v>
      </c>
      <c r="CK2579" s="129" t="str">
        <f t="shared" si="1900"/>
        <v>Booked</v>
      </c>
    </row>
    <row r="2580" spans="1:89" ht="15.75" customHeight="1" x14ac:dyDescent="0.25">
      <c r="A2580" s="111">
        <v>139</v>
      </c>
      <c r="B2580" s="128" t="str">
        <f t="shared" si="1888"/>
        <v>N</v>
      </c>
      <c r="C2580" s="128" t="str">
        <f t="shared" si="1889"/>
        <v>N</v>
      </c>
      <c r="D2580" s="117">
        <v>2598531</v>
      </c>
      <c r="E2580" s="135">
        <f t="shared" si="1890"/>
        <v>1</v>
      </c>
      <c r="F2580" s="124">
        <v>40915</v>
      </c>
      <c r="G2580" s="125">
        <v>40917</v>
      </c>
      <c r="H2580" s="117">
        <v>2598531</v>
      </c>
      <c r="I2580" s="124">
        <v>40916</v>
      </c>
      <c r="J2580" s="124">
        <v>40917</v>
      </c>
      <c r="K2580" s="126">
        <v>2000</v>
      </c>
      <c r="L2580" s="127" t="s">
        <v>568</v>
      </c>
      <c r="N2580" s="129" t="str">
        <f t="shared" si="1902"/>
        <v>N</v>
      </c>
      <c r="O2580" s="128" t="s">
        <v>917</v>
      </c>
      <c r="P2580" s="129" t="s">
        <v>55</v>
      </c>
      <c r="Q2580" s="111">
        <f t="shared" si="1870"/>
        <v>2</v>
      </c>
      <c r="R2580" s="111">
        <f t="shared" si="1875"/>
        <v>3</v>
      </c>
      <c r="S2580" s="129">
        <v>0</v>
      </c>
      <c r="T2580" s="129">
        <v>0</v>
      </c>
      <c r="W2580" s="111"/>
      <c r="AB2580" s="131" t="s">
        <v>112</v>
      </c>
      <c r="AC2580" s="130"/>
      <c r="AD2580" s="130">
        <v>32264</v>
      </c>
      <c r="AE2580" s="128" t="s">
        <v>32</v>
      </c>
      <c r="AF2580" s="128" t="s">
        <v>40</v>
      </c>
      <c r="AG2580" s="128" t="s">
        <v>41</v>
      </c>
      <c r="AH2580" s="108" t="s">
        <v>31</v>
      </c>
      <c r="AI2580" s="128" t="s">
        <v>113</v>
      </c>
      <c r="AJ2580" s="129" t="s">
        <v>55</v>
      </c>
      <c r="AK2580" s="129">
        <v>1</v>
      </c>
      <c r="AL2580" s="3" t="s">
        <v>55</v>
      </c>
      <c r="AP2580" s="129" t="s">
        <v>121</v>
      </c>
      <c r="AR2580" s="128" t="s">
        <v>44</v>
      </c>
      <c r="AS2580" s="129" t="s">
        <v>122</v>
      </c>
      <c r="BC2580" s="129" t="s">
        <v>38</v>
      </c>
      <c r="BF2580" s="111">
        <f t="shared" si="1876"/>
        <v>2</v>
      </c>
      <c r="BG2580" s="111">
        <f t="shared" si="1877"/>
        <v>2</v>
      </c>
      <c r="BH2580" s="111">
        <f t="shared" si="1878"/>
        <v>3</v>
      </c>
      <c r="BI2580" s="111">
        <f t="shared" si="1881"/>
        <v>23.636612021857925</v>
      </c>
      <c r="BJ2580" s="129">
        <f>G2580-J2580-M2580</f>
        <v>0</v>
      </c>
      <c r="BK2580" s="129">
        <f t="shared" si="1879"/>
        <v>0</v>
      </c>
      <c r="BL2580" s="129" t="str">
        <f t="shared" si="1874"/>
        <v>NO CONVICTION</v>
      </c>
      <c r="BM2580" s="129" t="str">
        <f>O2580</f>
        <v>NONE</v>
      </c>
      <c r="BN2580" s="129" t="s">
        <v>566</v>
      </c>
      <c r="BP2580" s="137" t="str">
        <f t="shared" si="1882"/>
        <v>NO CONVICTION</v>
      </c>
      <c r="BQ2580" s="128" t="str">
        <f t="shared" si="1892"/>
        <v>Y</v>
      </c>
      <c r="BR2580" s="129" t="str">
        <f t="shared" si="1883"/>
        <v>DETAINED</v>
      </c>
      <c r="BS2580" s="129" t="str">
        <f t="shared" si="1884"/>
        <v>DISPOSED</v>
      </c>
      <c r="BT2580" s="129" t="str">
        <f t="shared" si="1885"/>
        <v>N</v>
      </c>
      <c r="BU2580" s="109">
        <f>IFERROR(Q2580/R2580,BR2580)</f>
        <v>0.66666666666666663</v>
      </c>
      <c r="BV2580" s="109">
        <f t="shared" si="1893"/>
        <v>1</v>
      </c>
      <c r="BW2580" s="109">
        <f t="shared" si="1868"/>
        <v>0.33333333333333337</v>
      </c>
      <c r="BX2580" s="111">
        <f t="shared" si="1887"/>
        <v>0</v>
      </c>
      <c r="BY2580" s="129">
        <f t="shared" si="1894"/>
        <v>-2</v>
      </c>
      <c r="BZ2580" s="111">
        <f t="shared" si="1895"/>
        <v>0</v>
      </c>
      <c r="CA2580" s="138">
        <f t="shared" si="1896"/>
        <v>2</v>
      </c>
      <c r="CB2580" s="111" t="e">
        <f t="shared" si="1880"/>
        <v>#VALUE!</v>
      </c>
      <c r="CC2580" s="129">
        <f>G2580-I2580+1</f>
        <v>2</v>
      </c>
      <c r="CD2580" s="129">
        <f>G2580-J2580</f>
        <v>0</v>
      </c>
      <c r="CG2580" s="129" t="str">
        <f t="shared" si="1897"/>
        <v>N</v>
      </c>
      <c r="CI2580" s="129" t="str">
        <f t="shared" si="1898"/>
        <v>0-10 DAYS</v>
      </c>
      <c r="CJ2580" s="137">
        <f t="shared" si="1899"/>
        <v>1</v>
      </c>
      <c r="CK2580" s="129" t="str">
        <f t="shared" si="1900"/>
        <v>Booked</v>
      </c>
    </row>
    <row r="2581" spans="1:89" ht="15.75" customHeight="1" x14ac:dyDescent="0.25">
      <c r="A2581" s="111">
        <v>168</v>
      </c>
      <c r="B2581" s="128" t="str">
        <f t="shared" si="1888"/>
        <v>Y</v>
      </c>
      <c r="C2581" s="128" t="str">
        <f t="shared" si="1889"/>
        <v>Y</v>
      </c>
      <c r="D2581" s="117">
        <v>2598584</v>
      </c>
      <c r="E2581" s="135">
        <f t="shared" si="1890"/>
        <v>1</v>
      </c>
      <c r="F2581" s="124">
        <v>40916</v>
      </c>
      <c r="G2581" s="124">
        <v>41360</v>
      </c>
      <c r="H2581" s="117">
        <v>2598584</v>
      </c>
      <c r="I2581" s="124">
        <v>40916</v>
      </c>
      <c r="J2581" s="125">
        <v>40950</v>
      </c>
      <c r="K2581" s="126">
        <v>40000</v>
      </c>
      <c r="L2581" s="129" t="s">
        <v>572</v>
      </c>
      <c r="M2581" s="125">
        <v>40950</v>
      </c>
      <c r="N2581" s="129" t="str">
        <f t="shared" si="1902"/>
        <v>Y</v>
      </c>
      <c r="O2581" s="128" t="s">
        <v>76</v>
      </c>
      <c r="P2581" s="129" t="s">
        <v>55</v>
      </c>
      <c r="Q2581" s="111">
        <v>215</v>
      </c>
      <c r="R2581" s="111">
        <f t="shared" si="1875"/>
        <v>445</v>
      </c>
      <c r="S2581" s="129">
        <v>0</v>
      </c>
      <c r="T2581" s="129">
        <v>0</v>
      </c>
      <c r="W2581" s="111"/>
      <c r="AB2581" s="131" t="s">
        <v>112</v>
      </c>
      <c r="AC2581" s="130"/>
      <c r="AD2581" s="130">
        <v>34562</v>
      </c>
      <c r="AE2581" s="128" t="s">
        <v>32</v>
      </c>
      <c r="AF2581" s="128" t="s">
        <v>40</v>
      </c>
      <c r="AG2581" s="128" t="s">
        <v>41</v>
      </c>
      <c r="AH2581" s="108" t="s">
        <v>31</v>
      </c>
      <c r="AI2581" s="128" t="s">
        <v>85</v>
      </c>
      <c r="AJ2581" s="129" t="s">
        <v>55</v>
      </c>
      <c r="AK2581" s="129">
        <v>15</v>
      </c>
      <c r="AL2581" s="3" t="s">
        <v>55</v>
      </c>
      <c r="AP2581" s="129" t="s">
        <v>105</v>
      </c>
      <c r="AR2581" s="128" t="s">
        <v>92</v>
      </c>
      <c r="AS2581" s="129" t="s">
        <v>106</v>
      </c>
      <c r="AU2581" s="123" t="s">
        <v>686</v>
      </c>
      <c r="AV2581" s="3" t="s">
        <v>88</v>
      </c>
      <c r="AW2581" s="123" t="s">
        <v>864</v>
      </c>
      <c r="AX2581" s="123"/>
      <c r="BA2581" s="125">
        <v>41033</v>
      </c>
      <c r="BB2581" s="129">
        <v>235</v>
      </c>
      <c r="BC2581" s="129" t="s">
        <v>99</v>
      </c>
      <c r="BD2581" s="129" t="s">
        <v>1064</v>
      </c>
      <c r="BF2581" s="111">
        <v>215</v>
      </c>
      <c r="BG2581" s="111">
        <f t="shared" si="1877"/>
        <v>445</v>
      </c>
      <c r="BH2581" s="111">
        <f t="shared" si="1878"/>
        <v>445</v>
      </c>
      <c r="BI2581" s="111">
        <f t="shared" si="1881"/>
        <v>17.360655737704917</v>
      </c>
      <c r="BJ2581" s="129">
        <f>(G2581-J2581)+(M2581-G2581)</f>
        <v>0</v>
      </c>
      <c r="BK2581" s="129">
        <f t="shared" si="1879"/>
        <v>-410</v>
      </c>
      <c r="BL2581" s="129" t="str">
        <f t="shared" si="1874"/>
        <v>NO CONVICTION</v>
      </c>
      <c r="BM2581" s="129" t="s">
        <v>76</v>
      </c>
      <c r="BN2581" s="129" t="s">
        <v>88</v>
      </c>
      <c r="BP2581" s="137" t="str">
        <f t="shared" si="1882"/>
        <v>NO CONVICTION</v>
      </c>
      <c r="BQ2581" s="128" t="str">
        <f t="shared" si="1892"/>
        <v>Y</v>
      </c>
      <c r="BR2581" s="129" t="str">
        <f t="shared" si="1883"/>
        <v>ON BOND</v>
      </c>
      <c r="BS2581" s="129" t="str">
        <f t="shared" si="1884"/>
        <v>DISPOSED</v>
      </c>
      <c r="BT2581" s="129" t="str">
        <f t="shared" si="1885"/>
        <v>N</v>
      </c>
      <c r="BU2581" s="109">
        <f>IFERROR(Q2581/R2581,BR2581)</f>
        <v>0.48314606741573035</v>
      </c>
      <c r="BV2581" s="109">
        <f t="shared" si="1893"/>
        <v>7.8651685393258425E-2</v>
      </c>
      <c r="BW2581" s="109">
        <f t="shared" si="1868"/>
        <v>-0.4044943820224719</v>
      </c>
      <c r="BX2581" s="111">
        <f t="shared" si="1887"/>
        <v>0</v>
      </c>
      <c r="BY2581" s="129">
        <f t="shared" si="1894"/>
        <v>-35</v>
      </c>
      <c r="BZ2581" s="111">
        <f t="shared" si="1895"/>
        <v>180</v>
      </c>
      <c r="CA2581" s="138">
        <f t="shared" si="1896"/>
        <v>35</v>
      </c>
      <c r="CB2581" s="111">
        <v>215</v>
      </c>
      <c r="CD2581" s="129">
        <f>G2581-J2581</f>
        <v>410</v>
      </c>
      <c r="CG2581" s="129" t="str">
        <f t="shared" si="1897"/>
        <v>N</v>
      </c>
      <c r="CI2581" s="129" t="str">
        <f t="shared" si="1898"/>
        <v>121-365 DAYS</v>
      </c>
      <c r="CJ2581" s="137">
        <f t="shared" si="1899"/>
        <v>6</v>
      </c>
      <c r="CK2581" s="129" t="str">
        <f t="shared" si="1900"/>
        <v>Booked</v>
      </c>
    </row>
    <row r="2582" spans="1:89" ht="15" customHeight="1" x14ac:dyDescent="0.25">
      <c r="A2582" s="111">
        <v>164</v>
      </c>
      <c r="B2582" s="128" t="str">
        <f t="shared" si="1888"/>
        <v>N</v>
      </c>
      <c r="C2582" s="128" t="str">
        <f t="shared" si="1889"/>
        <v>N</v>
      </c>
      <c r="D2582" s="117">
        <v>2598620</v>
      </c>
      <c r="E2582" s="135">
        <f t="shared" si="1890"/>
        <v>4</v>
      </c>
      <c r="F2582" s="124">
        <v>40916</v>
      </c>
      <c r="G2582" s="125">
        <v>41128</v>
      </c>
      <c r="H2582" s="117">
        <v>2598620</v>
      </c>
      <c r="I2582" s="124">
        <v>40916</v>
      </c>
      <c r="J2582" s="124">
        <v>40922</v>
      </c>
      <c r="K2582" s="126">
        <v>5000</v>
      </c>
      <c r="L2582" s="127" t="s">
        <v>569</v>
      </c>
      <c r="M2582" s="125">
        <v>40922</v>
      </c>
      <c r="N2582" s="129" t="str">
        <f t="shared" si="1902"/>
        <v>Y</v>
      </c>
      <c r="O2582" s="128" t="s">
        <v>76</v>
      </c>
      <c r="P2582" s="129" t="s">
        <v>39</v>
      </c>
      <c r="Q2582" s="111">
        <f t="shared" ref="Q2582:Q2613" si="1903">BF2582</f>
        <v>7</v>
      </c>
      <c r="R2582" s="111">
        <f t="shared" si="1875"/>
        <v>213</v>
      </c>
      <c r="S2582" s="129">
        <v>0</v>
      </c>
      <c r="T2582" s="129">
        <v>0</v>
      </c>
      <c r="W2582" s="111"/>
      <c r="AB2582" s="131" t="s">
        <v>112</v>
      </c>
      <c r="AC2582" s="130"/>
      <c r="AD2582" s="130">
        <v>31462</v>
      </c>
      <c r="AE2582" s="128" t="s">
        <v>32</v>
      </c>
      <c r="AF2582" s="128" t="s">
        <v>40</v>
      </c>
      <c r="AG2582" s="128" t="s">
        <v>41</v>
      </c>
      <c r="AH2582" s="108" t="s">
        <v>31</v>
      </c>
      <c r="AI2582" s="128" t="s">
        <v>97</v>
      </c>
      <c r="AJ2582" s="129" t="s">
        <v>89</v>
      </c>
      <c r="AK2582" s="129">
        <v>8</v>
      </c>
      <c r="AL2582" s="3" t="s">
        <v>991</v>
      </c>
      <c r="AO2582" s="128">
        <v>240</v>
      </c>
      <c r="AP2582" s="129" t="s">
        <v>158</v>
      </c>
      <c r="AR2582" s="128" t="s">
        <v>67</v>
      </c>
      <c r="AS2582" s="129" t="s">
        <v>64</v>
      </c>
      <c r="BC2582" s="129" t="s">
        <v>99</v>
      </c>
      <c r="BF2582" s="111">
        <f t="shared" si="1876"/>
        <v>7</v>
      </c>
      <c r="BG2582" s="111">
        <f t="shared" si="1877"/>
        <v>213</v>
      </c>
      <c r="BH2582" s="111">
        <f t="shared" si="1878"/>
        <v>213</v>
      </c>
      <c r="BI2582" s="111">
        <f t="shared" si="1881"/>
        <v>25.830601092896174</v>
      </c>
      <c r="BJ2582" s="129">
        <f>(G2582-J2582)+(M2582-G2582)</f>
        <v>0</v>
      </c>
      <c r="BK2582" s="129">
        <f t="shared" si="1879"/>
        <v>-206</v>
      </c>
      <c r="BL2582" s="129" t="str">
        <f t="shared" si="1874"/>
        <v>CONVICTION</v>
      </c>
      <c r="BM2582" s="129" t="s">
        <v>76</v>
      </c>
      <c r="BN2582" s="129" t="s">
        <v>88</v>
      </c>
      <c r="BP2582" s="137" t="str">
        <f t="shared" si="1882"/>
        <v>CONVICTION</v>
      </c>
      <c r="BQ2582" s="128" t="str">
        <f t="shared" si="1892"/>
        <v>Y</v>
      </c>
      <c r="BR2582" s="129" t="str">
        <f>IF(J2582&lt;G2582,"ON BOND",0)</f>
        <v>ON BOND</v>
      </c>
      <c r="BS2582" s="129" t="str">
        <f t="shared" si="1884"/>
        <v>DISPOSED</v>
      </c>
      <c r="BT2582" s="129" t="str">
        <f t="shared" si="1885"/>
        <v>N</v>
      </c>
      <c r="BU2582" s="109">
        <f t="shared" si="1886"/>
        <v>3.2863849765258218E-2</v>
      </c>
      <c r="BV2582" s="109">
        <f t="shared" si="1893"/>
        <v>3.2863849765258218E-2</v>
      </c>
      <c r="BW2582" s="109">
        <f t="shared" si="1868"/>
        <v>0</v>
      </c>
      <c r="BX2582" s="111">
        <f t="shared" si="1887"/>
        <v>0</v>
      </c>
      <c r="BY2582" s="129">
        <f t="shared" si="1894"/>
        <v>-7</v>
      </c>
      <c r="BZ2582" s="111">
        <f t="shared" si="1895"/>
        <v>0</v>
      </c>
      <c r="CA2582" s="138">
        <f t="shared" si="1896"/>
        <v>7</v>
      </c>
      <c r="CB2582" s="111" t="e">
        <f t="shared" si="1880"/>
        <v>#VALUE!</v>
      </c>
      <c r="CC2582" s="129">
        <f>M2582-I2582+1</f>
        <v>7</v>
      </c>
      <c r="CD2582" s="111">
        <f>CC2582-BF2582</f>
        <v>0</v>
      </c>
      <c r="CG2582" s="129" t="str">
        <f t="shared" si="1897"/>
        <v>N</v>
      </c>
      <c r="CI2582" s="129" t="str">
        <f t="shared" si="1898"/>
        <v>0-10 DAYS</v>
      </c>
      <c r="CJ2582" s="137">
        <f t="shared" si="1899"/>
        <v>1</v>
      </c>
      <c r="CK2582" s="129" t="str">
        <f t="shared" si="1900"/>
        <v>Booked</v>
      </c>
    </row>
    <row r="2583" spans="1:89" ht="15.75" customHeight="1" x14ac:dyDescent="0.25">
      <c r="A2583" s="111">
        <v>166</v>
      </c>
      <c r="B2583" s="128" t="str">
        <f t="shared" si="1888"/>
        <v>N</v>
      </c>
      <c r="C2583" s="128" t="str">
        <f t="shared" si="1889"/>
        <v>N</v>
      </c>
      <c r="D2583" s="117">
        <v>2598624</v>
      </c>
      <c r="E2583" s="135">
        <f t="shared" si="1890"/>
        <v>2</v>
      </c>
      <c r="F2583" s="124">
        <v>40916</v>
      </c>
      <c r="G2583" s="125">
        <v>41092</v>
      </c>
      <c r="H2583" s="117">
        <v>2598624</v>
      </c>
      <c r="I2583" s="124" t="s">
        <v>562</v>
      </c>
      <c r="J2583" s="124" t="s">
        <v>562</v>
      </c>
      <c r="K2583" s="126">
        <v>2000</v>
      </c>
      <c r="L2583" s="127" t="s">
        <v>568</v>
      </c>
      <c r="M2583" s="125">
        <v>40917</v>
      </c>
      <c r="N2583" s="129" t="str">
        <f>IF(M2583&gt;1/1/1,"Y",IF(Q2583="0","","N"))</f>
        <v>Y</v>
      </c>
      <c r="O2583" s="128" t="s">
        <v>76</v>
      </c>
      <c r="P2583" s="129" t="s">
        <v>589</v>
      </c>
      <c r="Q2583" s="111">
        <f t="shared" si="1903"/>
        <v>0</v>
      </c>
      <c r="R2583" s="111">
        <f t="shared" si="1875"/>
        <v>177</v>
      </c>
      <c r="S2583" s="129">
        <v>0</v>
      </c>
      <c r="T2583" s="129">
        <v>0</v>
      </c>
      <c r="W2583" s="111"/>
      <c r="AC2583" s="130"/>
      <c r="AD2583" s="130">
        <v>33060</v>
      </c>
      <c r="AE2583" s="128" t="s">
        <v>32</v>
      </c>
      <c r="AF2583" s="128" t="s">
        <v>69</v>
      </c>
      <c r="AG2583" s="128" t="s">
        <v>874</v>
      </c>
      <c r="AH2583" s="108" t="s">
        <v>31</v>
      </c>
      <c r="AI2583" s="128" t="s">
        <v>53</v>
      </c>
      <c r="AJ2583" s="129" t="s">
        <v>48</v>
      </c>
      <c r="AK2583" s="129">
        <v>16</v>
      </c>
      <c r="AL2583" s="3" t="s">
        <v>48</v>
      </c>
      <c r="AP2583" s="129" t="s">
        <v>159</v>
      </c>
      <c r="AR2583" s="128" t="s">
        <v>44</v>
      </c>
      <c r="AS2583" s="129" t="s">
        <v>61</v>
      </c>
      <c r="BC2583" s="129" t="s">
        <v>52</v>
      </c>
      <c r="BF2583" s="111">
        <v>0</v>
      </c>
      <c r="BG2583" s="111">
        <v>0</v>
      </c>
      <c r="BH2583" s="111">
        <f t="shared" si="1878"/>
        <v>177</v>
      </c>
      <c r="BI2583" s="111">
        <f t="shared" si="1881"/>
        <v>21.464480874316941</v>
      </c>
      <c r="BJ2583" s="129" t="e">
        <f>(G2583-J2583)+(M2583-G2583)</f>
        <v>#VALUE!</v>
      </c>
      <c r="BK2583" s="129" t="e">
        <f t="shared" si="1879"/>
        <v>#VALUE!</v>
      </c>
      <c r="BL2583" s="129" t="str">
        <f t="shared" si="1874"/>
        <v>DEFERRED</v>
      </c>
      <c r="BM2583" s="129" t="s">
        <v>76</v>
      </c>
      <c r="BN2583" s="129" t="s">
        <v>88</v>
      </c>
      <c r="BP2583" s="137" t="str">
        <f t="shared" si="1882"/>
        <v>DEFERRED</v>
      </c>
      <c r="BQ2583" s="128">
        <f t="shared" si="1892"/>
        <v>0</v>
      </c>
      <c r="BR2583" s="129" t="s">
        <v>575</v>
      </c>
      <c r="BS2583" s="129" t="str">
        <f t="shared" si="1884"/>
        <v>DISPOSED</v>
      </c>
      <c r="BT2583" s="129" t="str">
        <f t="shared" si="1885"/>
        <v>N</v>
      </c>
      <c r="BU2583" s="109">
        <f t="shared" si="1886"/>
        <v>0</v>
      </c>
      <c r="BV2583" s="109">
        <v>0</v>
      </c>
      <c r="BW2583" s="109">
        <f t="shared" si="1868"/>
        <v>0</v>
      </c>
      <c r="BX2583" s="111">
        <f t="shared" si="1887"/>
        <v>0</v>
      </c>
      <c r="BY2583" s="129" t="e">
        <f t="shared" si="1894"/>
        <v>#VALUE!</v>
      </c>
      <c r="BZ2583" s="111" t="e">
        <f t="shared" si="1895"/>
        <v>#VALUE!</v>
      </c>
      <c r="CA2583" s="138" t="e">
        <f t="shared" si="1896"/>
        <v>#VALUE!</v>
      </c>
      <c r="CB2583" s="111">
        <v>0</v>
      </c>
      <c r="CC2583" s="129">
        <v>0</v>
      </c>
      <c r="CD2583" s="111">
        <f>CC2583-BF2583</f>
        <v>0</v>
      </c>
      <c r="CG2583" s="129" t="str">
        <f t="shared" si="1897"/>
        <v>N</v>
      </c>
      <c r="CI2583" s="129" t="str">
        <f t="shared" si="1898"/>
        <v>0-10 DAYS</v>
      </c>
      <c r="CJ2583" s="137">
        <f t="shared" si="1899"/>
        <v>1</v>
      </c>
      <c r="CK2583" s="129" t="str">
        <f t="shared" si="1900"/>
        <v>Not Booked</v>
      </c>
    </row>
    <row r="2584" spans="1:89" ht="15" customHeight="1" x14ac:dyDescent="0.25">
      <c r="A2584" s="111">
        <v>167</v>
      </c>
      <c r="B2584" s="128" t="str">
        <f t="shared" si="1888"/>
        <v>N</v>
      </c>
      <c r="C2584" s="128" t="str">
        <f t="shared" si="1889"/>
        <v>N</v>
      </c>
      <c r="D2584" s="117">
        <v>2598627</v>
      </c>
      <c r="E2584" s="135">
        <f t="shared" si="1890"/>
        <v>1</v>
      </c>
      <c r="F2584" s="124">
        <v>40916</v>
      </c>
      <c r="G2584" s="125">
        <v>41024</v>
      </c>
      <c r="H2584" s="117">
        <v>2598627</v>
      </c>
      <c r="I2584" s="124" t="s">
        <v>562</v>
      </c>
      <c r="J2584" s="124" t="s">
        <v>562</v>
      </c>
      <c r="K2584" s="126">
        <v>2000</v>
      </c>
      <c r="L2584" s="127" t="s">
        <v>568</v>
      </c>
      <c r="M2584" s="125">
        <v>40917</v>
      </c>
      <c r="N2584" s="129" t="str">
        <f>IF(M2584&gt;1/1/1,"Y",IF(Q2584="0","","N"))</f>
        <v>Y</v>
      </c>
      <c r="O2584" s="128" t="s">
        <v>76</v>
      </c>
      <c r="P2584" s="129" t="s">
        <v>55</v>
      </c>
      <c r="Q2584" s="111">
        <f t="shared" si="1903"/>
        <v>0</v>
      </c>
      <c r="R2584" s="111">
        <f t="shared" si="1875"/>
        <v>109</v>
      </c>
      <c r="S2584" s="129">
        <v>0</v>
      </c>
      <c r="T2584" s="129">
        <v>0</v>
      </c>
      <c r="W2584" s="111"/>
      <c r="AC2584" s="130"/>
      <c r="AD2584" s="130">
        <v>34666</v>
      </c>
      <c r="AE2584" s="128" t="s">
        <v>32</v>
      </c>
      <c r="AF2584" s="128" t="s">
        <v>69</v>
      </c>
      <c r="AG2584" s="128" t="s">
        <v>874</v>
      </c>
      <c r="AH2584" s="108" t="s">
        <v>31</v>
      </c>
      <c r="AI2584" s="128" t="s">
        <v>141</v>
      </c>
      <c r="AJ2584" s="129" t="s">
        <v>55</v>
      </c>
      <c r="AK2584" s="129">
        <v>3</v>
      </c>
      <c r="AL2584" s="3" t="s">
        <v>55</v>
      </c>
      <c r="AP2584" s="129" t="s">
        <v>103</v>
      </c>
      <c r="AR2584" s="128" t="s">
        <v>44</v>
      </c>
      <c r="AS2584" s="129" t="s">
        <v>45</v>
      </c>
      <c r="BC2584" s="129" t="s">
        <v>52</v>
      </c>
      <c r="BF2584" s="111">
        <v>0</v>
      </c>
      <c r="BG2584" s="111">
        <v>0</v>
      </c>
      <c r="BH2584" s="111">
        <f t="shared" si="1878"/>
        <v>109</v>
      </c>
      <c r="BI2584" s="111">
        <f t="shared" si="1881"/>
        <v>17.076502732240439</v>
      </c>
      <c r="BJ2584" s="129" t="e">
        <f>(G2584-J2584)+(M2584-G2584)</f>
        <v>#VALUE!</v>
      </c>
      <c r="BK2584" s="129" t="e">
        <f t="shared" si="1879"/>
        <v>#VALUE!</v>
      </c>
      <c r="BL2584" s="129" t="str">
        <f t="shared" si="1874"/>
        <v>NO CONVICTION</v>
      </c>
      <c r="BM2584" s="129" t="s">
        <v>76</v>
      </c>
      <c r="BN2584" s="129" t="s">
        <v>88</v>
      </c>
      <c r="BP2584" s="137" t="str">
        <f t="shared" si="1882"/>
        <v>NO CONVICTION</v>
      </c>
      <c r="BQ2584" s="128">
        <f t="shared" si="1892"/>
        <v>0</v>
      </c>
      <c r="BR2584" s="129" t="s">
        <v>575</v>
      </c>
      <c r="BS2584" s="129" t="str">
        <f t="shared" si="1884"/>
        <v>DISPOSED</v>
      </c>
      <c r="BT2584" s="129" t="str">
        <f t="shared" si="1885"/>
        <v>N</v>
      </c>
      <c r="BU2584" s="109">
        <f>IFERROR(Q2584/R2584,BR2584)</f>
        <v>0</v>
      </c>
      <c r="BV2584" s="109">
        <v>0</v>
      </c>
      <c r="BW2584" s="109">
        <f t="shared" si="1868"/>
        <v>0</v>
      </c>
      <c r="BX2584" s="111">
        <f t="shared" si="1887"/>
        <v>0</v>
      </c>
      <c r="BY2584" s="129" t="e">
        <f t="shared" si="1894"/>
        <v>#VALUE!</v>
      </c>
      <c r="BZ2584" s="111" t="e">
        <f t="shared" si="1895"/>
        <v>#VALUE!</v>
      </c>
      <c r="CA2584" s="138" t="e">
        <f t="shared" si="1896"/>
        <v>#VALUE!</v>
      </c>
      <c r="CB2584" s="111">
        <v>0</v>
      </c>
      <c r="CC2584" s="129">
        <v>0</v>
      </c>
      <c r="CD2584" s="111">
        <f>CC2584-BF2584</f>
        <v>0</v>
      </c>
      <c r="CG2584" s="129" t="str">
        <f t="shared" si="1897"/>
        <v>N</v>
      </c>
      <c r="CI2584" s="129" t="str">
        <f t="shared" si="1898"/>
        <v>0-10 DAYS</v>
      </c>
      <c r="CJ2584" s="137">
        <f t="shared" si="1899"/>
        <v>1</v>
      </c>
      <c r="CK2584" s="129" t="str">
        <f t="shared" si="1900"/>
        <v>Not Booked</v>
      </c>
    </row>
    <row r="2585" spans="1:89" ht="15" customHeight="1" x14ac:dyDescent="0.25">
      <c r="A2585" s="111">
        <v>182</v>
      </c>
      <c r="B2585" s="128" t="str">
        <f t="shared" si="1888"/>
        <v>N</v>
      </c>
      <c r="C2585" s="128" t="str">
        <f t="shared" si="1889"/>
        <v>N</v>
      </c>
      <c r="D2585" s="117">
        <v>2598692</v>
      </c>
      <c r="E2585" s="135">
        <f t="shared" si="1890"/>
        <v>1</v>
      </c>
      <c r="F2585" s="124">
        <v>40917</v>
      </c>
      <c r="G2585" s="125">
        <v>40946</v>
      </c>
      <c r="H2585" s="117">
        <v>2598692</v>
      </c>
      <c r="I2585" s="124">
        <v>40917</v>
      </c>
      <c r="J2585" s="124">
        <v>40946</v>
      </c>
      <c r="K2585" s="126">
        <v>10000</v>
      </c>
      <c r="L2585" s="127" t="s">
        <v>570</v>
      </c>
      <c r="N2585" s="129" t="str">
        <f t="shared" ref="N2585:N2595" si="1904">IF(M2585&gt;1/1/1,"Y","N")</f>
        <v>N</v>
      </c>
      <c r="O2585" s="128" t="s">
        <v>917</v>
      </c>
      <c r="P2585" s="129" t="s">
        <v>55</v>
      </c>
      <c r="Q2585" s="111">
        <f t="shared" si="1903"/>
        <v>30</v>
      </c>
      <c r="R2585" s="111">
        <f t="shared" si="1875"/>
        <v>30</v>
      </c>
      <c r="S2585" s="129">
        <v>0</v>
      </c>
      <c r="T2585" s="129">
        <v>0</v>
      </c>
      <c r="W2585" s="111"/>
      <c r="AC2585" s="130"/>
      <c r="AD2585" s="130">
        <v>31441</v>
      </c>
      <c r="AE2585" s="128" t="s">
        <v>32</v>
      </c>
      <c r="AF2585" s="128" t="s">
        <v>69</v>
      </c>
      <c r="AG2585" s="128" t="s">
        <v>874</v>
      </c>
      <c r="AH2585" s="108" t="s">
        <v>31</v>
      </c>
      <c r="AI2585" s="128" t="s">
        <v>114</v>
      </c>
      <c r="AJ2585" s="129" t="s">
        <v>55</v>
      </c>
      <c r="AK2585" s="129">
        <v>3</v>
      </c>
      <c r="AL2585" s="3" t="s">
        <v>55</v>
      </c>
      <c r="AP2585" s="129" t="s">
        <v>84</v>
      </c>
      <c r="AR2585" s="128" t="s">
        <v>67</v>
      </c>
      <c r="AS2585" s="129" t="s">
        <v>74</v>
      </c>
      <c r="BC2585" s="129" t="s">
        <v>38</v>
      </c>
      <c r="BF2585" s="111">
        <f t="shared" ref="BF2585:BF2601" si="1905">IF(J2585&gt;1/1/1900,((J2585+1)-I2585),"STILL OPEN")</f>
        <v>30</v>
      </c>
      <c r="BG2585" s="111">
        <f t="shared" ref="BG2585:BG2601" si="1906">IF(G2585&gt;1/1/1900,((G2585+1)-I2585),"STILL OPEN")</f>
        <v>30</v>
      </c>
      <c r="BH2585" s="111">
        <f t="shared" si="1878"/>
        <v>30</v>
      </c>
      <c r="BI2585" s="111">
        <f t="shared" si="1881"/>
        <v>25.89071038251366</v>
      </c>
      <c r="BJ2585" s="129">
        <f>G2585-J2585-M2585</f>
        <v>0</v>
      </c>
      <c r="BK2585" s="129">
        <f t="shared" si="1879"/>
        <v>0</v>
      </c>
      <c r="BL2585" s="129" t="str">
        <f t="shared" si="1874"/>
        <v>NO CONVICTION</v>
      </c>
      <c r="BM2585" s="129" t="str">
        <f>O2585</f>
        <v>NONE</v>
      </c>
      <c r="BN2585" s="129" t="s">
        <v>566</v>
      </c>
      <c r="BP2585" s="137" t="str">
        <f t="shared" si="1882"/>
        <v>NO CONVICTION</v>
      </c>
      <c r="BQ2585" s="128" t="str">
        <f t="shared" si="1892"/>
        <v>Y</v>
      </c>
      <c r="BR2585" s="129" t="str">
        <f t="shared" si="1883"/>
        <v>DETAINED</v>
      </c>
      <c r="BS2585" s="129" t="str">
        <f t="shared" si="1884"/>
        <v>DISPOSED</v>
      </c>
      <c r="BT2585" s="129" t="str">
        <f t="shared" si="1885"/>
        <v>N</v>
      </c>
      <c r="BU2585" s="109">
        <f>IFERROR(Q2585/R2585,BR2585)</f>
        <v>1</v>
      </c>
      <c r="BV2585" s="109">
        <f t="shared" si="1893"/>
        <v>1</v>
      </c>
      <c r="BW2585" s="109">
        <f t="shared" si="1868"/>
        <v>0</v>
      </c>
      <c r="BX2585" s="111">
        <f t="shared" si="1887"/>
        <v>0</v>
      </c>
      <c r="BY2585" s="129">
        <f t="shared" si="1894"/>
        <v>-30</v>
      </c>
      <c r="BZ2585" s="111">
        <f t="shared" si="1895"/>
        <v>0</v>
      </c>
      <c r="CA2585" s="138">
        <f t="shared" si="1896"/>
        <v>30</v>
      </c>
      <c r="CB2585" s="111" t="e">
        <f t="shared" ref="CB2585:CB2601" si="1907">IF(AF2585&gt;1/1/1900,((AF2585+1)-AE2585),"STILL OPEN")</f>
        <v>#VALUE!</v>
      </c>
      <c r="CC2585" s="129">
        <f>G2585-I2585+1</f>
        <v>30</v>
      </c>
      <c r="CD2585" s="129">
        <f>G2585-J2585</f>
        <v>0</v>
      </c>
      <c r="CG2585" s="129" t="str">
        <f t="shared" si="1897"/>
        <v>N</v>
      </c>
      <c r="CI2585" s="129" t="str">
        <f t="shared" si="1898"/>
        <v>11-30 DAYS</v>
      </c>
      <c r="CJ2585" s="137">
        <f t="shared" si="1899"/>
        <v>2</v>
      </c>
      <c r="CK2585" s="129" t="str">
        <f t="shared" si="1900"/>
        <v>Booked</v>
      </c>
    </row>
    <row r="2586" spans="1:89" ht="15.75" customHeight="1" x14ac:dyDescent="0.25">
      <c r="A2586" s="111">
        <v>190</v>
      </c>
      <c r="B2586" s="128" t="str">
        <f t="shared" si="1888"/>
        <v>N</v>
      </c>
      <c r="C2586" s="128" t="str">
        <f t="shared" si="1889"/>
        <v>N</v>
      </c>
      <c r="D2586" s="117">
        <v>2598735</v>
      </c>
      <c r="E2586" s="135">
        <f t="shared" si="1890"/>
        <v>4</v>
      </c>
      <c r="F2586" s="124">
        <v>40917</v>
      </c>
      <c r="G2586" s="125">
        <v>41023</v>
      </c>
      <c r="H2586" s="117">
        <v>2598735</v>
      </c>
      <c r="I2586" s="124">
        <v>40918</v>
      </c>
      <c r="J2586" s="124">
        <v>41023</v>
      </c>
      <c r="K2586" s="126">
        <v>10000</v>
      </c>
      <c r="L2586" s="127" t="s">
        <v>570</v>
      </c>
      <c r="N2586" s="129" t="str">
        <f t="shared" si="1904"/>
        <v>N</v>
      </c>
      <c r="O2586" s="128" t="s">
        <v>917</v>
      </c>
      <c r="P2586" s="129" t="s">
        <v>39</v>
      </c>
      <c r="Q2586" s="111">
        <f t="shared" si="1903"/>
        <v>106</v>
      </c>
      <c r="R2586" s="111">
        <f t="shared" si="1875"/>
        <v>107</v>
      </c>
      <c r="S2586" s="129">
        <v>0</v>
      </c>
      <c r="T2586" s="129">
        <v>0</v>
      </c>
      <c r="W2586" s="111"/>
      <c r="AB2586" s="131" t="s">
        <v>112</v>
      </c>
      <c r="AC2586" s="130"/>
      <c r="AD2586" s="130">
        <v>23662</v>
      </c>
      <c r="AE2586" s="128" t="s">
        <v>32</v>
      </c>
      <c r="AF2586" s="128" t="s">
        <v>40</v>
      </c>
      <c r="AG2586" s="128" t="s">
        <v>41</v>
      </c>
      <c r="AH2586" s="108" t="s">
        <v>31</v>
      </c>
      <c r="AI2586" s="128" t="s">
        <v>71</v>
      </c>
      <c r="AJ2586" s="129" t="s">
        <v>89</v>
      </c>
      <c r="AK2586" s="129">
        <v>5</v>
      </c>
      <c r="AL2586" s="3" t="s">
        <v>991</v>
      </c>
      <c r="AO2586" s="128">
        <v>180</v>
      </c>
      <c r="AP2586" s="129" t="s">
        <v>167</v>
      </c>
      <c r="AR2586" s="128" t="s">
        <v>44</v>
      </c>
      <c r="AS2586" s="129" t="s">
        <v>64</v>
      </c>
      <c r="BC2586" s="129" t="s">
        <v>52</v>
      </c>
      <c r="BF2586" s="111">
        <f t="shared" si="1905"/>
        <v>106</v>
      </c>
      <c r="BG2586" s="111">
        <f t="shared" si="1906"/>
        <v>106</v>
      </c>
      <c r="BH2586" s="111">
        <f t="shared" si="1878"/>
        <v>107</v>
      </c>
      <c r="BI2586" s="111">
        <f t="shared" si="1881"/>
        <v>47.144808743169399</v>
      </c>
      <c r="BJ2586" s="129">
        <f>G2586-J2586-M2586</f>
        <v>0</v>
      </c>
      <c r="BK2586" s="129">
        <f t="shared" si="1879"/>
        <v>0</v>
      </c>
      <c r="BL2586" s="129" t="str">
        <f t="shared" si="1874"/>
        <v>CONVICTION</v>
      </c>
      <c r="BM2586" s="129" t="str">
        <f>O2586</f>
        <v>NONE</v>
      </c>
      <c r="BN2586" s="129" t="s">
        <v>566</v>
      </c>
      <c r="BP2586" s="137" t="str">
        <f t="shared" si="1882"/>
        <v>CONVICTION</v>
      </c>
      <c r="BQ2586" s="128" t="str">
        <f t="shared" si="1892"/>
        <v>Y</v>
      </c>
      <c r="BR2586" s="129" t="str">
        <f t="shared" si="1883"/>
        <v>DETAINED</v>
      </c>
      <c r="BS2586" s="129" t="str">
        <f t="shared" si="1884"/>
        <v>DISPOSED</v>
      </c>
      <c r="BT2586" s="129" t="str">
        <f t="shared" si="1885"/>
        <v>N</v>
      </c>
      <c r="BU2586" s="109">
        <f t="shared" si="1886"/>
        <v>0.99065420560747663</v>
      </c>
      <c r="BV2586" s="109">
        <f t="shared" si="1893"/>
        <v>1</v>
      </c>
      <c r="BW2586" s="109">
        <f t="shared" si="1868"/>
        <v>9.3457943925233655E-3</v>
      </c>
      <c r="BX2586" s="111">
        <f t="shared" si="1887"/>
        <v>0</v>
      </c>
      <c r="BY2586" s="129">
        <f t="shared" si="1894"/>
        <v>-106</v>
      </c>
      <c r="BZ2586" s="111">
        <f t="shared" si="1895"/>
        <v>0</v>
      </c>
      <c r="CA2586" s="138">
        <f t="shared" si="1896"/>
        <v>106</v>
      </c>
      <c r="CB2586" s="111" t="e">
        <f t="shared" si="1907"/>
        <v>#VALUE!</v>
      </c>
      <c r="CC2586" s="129">
        <f>G2586-I2586+1</f>
        <v>106</v>
      </c>
      <c r="CD2586" s="129">
        <f>G2586-J2586</f>
        <v>0</v>
      </c>
      <c r="CG2586" s="129" t="str">
        <f t="shared" si="1897"/>
        <v>N</v>
      </c>
      <c r="CI2586" s="129" t="str">
        <f t="shared" si="1898"/>
        <v>91-120 DAYS</v>
      </c>
      <c r="CJ2586" s="137">
        <f t="shared" si="1899"/>
        <v>0</v>
      </c>
      <c r="CK2586" s="129" t="str">
        <f t="shared" si="1900"/>
        <v>Booked</v>
      </c>
    </row>
    <row r="2587" spans="1:89" ht="15" customHeight="1" x14ac:dyDescent="0.25">
      <c r="A2587" s="111">
        <v>195</v>
      </c>
      <c r="B2587" s="128" t="str">
        <f t="shared" si="1888"/>
        <v>N</v>
      </c>
      <c r="C2587" s="128" t="str">
        <f t="shared" si="1889"/>
        <v>N</v>
      </c>
      <c r="D2587" s="117">
        <v>2598837</v>
      </c>
      <c r="E2587" s="135">
        <f t="shared" si="1890"/>
        <v>4</v>
      </c>
      <c r="F2587" s="124">
        <v>40917</v>
      </c>
      <c r="G2587" s="125">
        <v>41074</v>
      </c>
      <c r="H2587" s="117">
        <v>2598837</v>
      </c>
      <c r="I2587" s="124">
        <v>40917</v>
      </c>
      <c r="J2587" s="124">
        <v>40952</v>
      </c>
      <c r="K2587" s="126">
        <v>5000</v>
      </c>
      <c r="L2587" s="127" t="s">
        <v>569</v>
      </c>
      <c r="M2587" s="125">
        <v>40952</v>
      </c>
      <c r="N2587" s="129" t="str">
        <f t="shared" si="1904"/>
        <v>Y</v>
      </c>
      <c r="O2587" s="128" t="s">
        <v>76</v>
      </c>
      <c r="P2587" s="129" t="s">
        <v>39</v>
      </c>
      <c r="Q2587" s="111">
        <f t="shared" si="1903"/>
        <v>36</v>
      </c>
      <c r="R2587" s="111">
        <f t="shared" si="1875"/>
        <v>158</v>
      </c>
      <c r="S2587" s="129">
        <v>0</v>
      </c>
      <c r="T2587" s="129">
        <v>0</v>
      </c>
      <c r="W2587" s="111"/>
      <c r="AC2587" s="130"/>
      <c r="AD2587" s="130">
        <v>31925</v>
      </c>
      <c r="AE2587" s="128" t="s">
        <v>32</v>
      </c>
      <c r="AF2587" s="128" t="s">
        <v>33</v>
      </c>
      <c r="AG2587" s="128" t="s">
        <v>872</v>
      </c>
      <c r="AH2587" s="108" t="s">
        <v>31</v>
      </c>
      <c r="AI2587" s="128" t="s">
        <v>118</v>
      </c>
      <c r="AJ2587" s="129" t="s">
        <v>89</v>
      </c>
      <c r="AK2587" s="129">
        <v>5</v>
      </c>
      <c r="AL2587" s="3" t="s">
        <v>991</v>
      </c>
      <c r="AO2587" s="128">
        <v>180</v>
      </c>
      <c r="AP2587" s="129" t="s">
        <v>43</v>
      </c>
      <c r="AR2587" s="128" t="s">
        <v>44</v>
      </c>
      <c r="AS2587" s="129" t="s">
        <v>45</v>
      </c>
      <c r="BC2587" s="129" t="s">
        <v>38</v>
      </c>
      <c r="BF2587" s="111">
        <f t="shared" si="1905"/>
        <v>36</v>
      </c>
      <c r="BG2587" s="111">
        <f t="shared" si="1906"/>
        <v>158</v>
      </c>
      <c r="BH2587" s="111">
        <f t="shared" si="1878"/>
        <v>158</v>
      </c>
      <c r="BI2587" s="111">
        <f t="shared" si="1881"/>
        <v>24.568306010928961</v>
      </c>
      <c r="BJ2587" s="129">
        <f>(G2587-J2587)+(M2587-G2587)</f>
        <v>0</v>
      </c>
      <c r="BK2587" s="129">
        <f t="shared" si="1879"/>
        <v>-122</v>
      </c>
      <c r="BL2587" s="129" t="str">
        <f t="shared" si="1874"/>
        <v>CONVICTION</v>
      </c>
      <c r="BM2587" s="129" t="s">
        <v>76</v>
      </c>
      <c r="BN2587" s="129" t="s">
        <v>88</v>
      </c>
      <c r="BP2587" s="137" t="str">
        <f t="shared" si="1882"/>
        <v>CONVICTION</v>
      </c>
      <c r="BQ2587" s="128" t="str">
        <f t="shared" si="1892"/>
        <v>Y</v>
      </c>
      <c r="BR2587" s="129" t="str">
        <f>IF(J2587&lt;G2587,"ON BOND",0)</f>
        <v>ON BOND</v>
      </c>
      <c r="BS2587" s="129" t="str">
        <f t="shared" si="1884"/>
        <v>DISPOSED</v>
      </c>
      <c r="BT2587" s="129" t="str">
        <f t="shared" si="1885"/>
        <v>N</v>
      </c>
      <c r="BU2587" s="109">
        <f t="shared" si="1886"/>
        <v>0.22784810126582278</v>
      </c>
      <c r="BV2587" s="109">
        <f t="shared" si="1893"/>
        <v>0.22784810126582278</v>
      </c>
      <c r="BW2587" s="109">
        <f t="shared" si="1868"/>
        <v>0</v>
      </c>
      <c r="BX2587" s="111">
        <f t="shared" si="1887"/>
        <v>0</v>
      </c>
      <c r="BY2587" s="129">
        <f t="shared" si="1894"/>
        <v>-36</v>
      </c>
      <c r="BZ2587" s="111">
        <f t="shared" si="1895"/>
        <v>0</v>
      </c>
      <c r="CA2587" s="138">
        <f t="shared" si="1896"/>
        <v>36</v>
      </c>
      <c r="CB2587" s="111" t="e">
        <f t="shared" si="1907"/>
        <v>#VALUE!</v>
      </c>
      <c r="CC2587" s="129">
        <f>M2587-I2587+1</f>
        <v>36</v>
      </c>
      <c r="CD2587" s="111">
        <f>CC2587-BF2587</f>
        <v>0</v>
      </c>
      <c r="CG2587" s="129" t="str">
        <f t="shared" si="1897"/>
        <v>N</v>
      </c>
      <c r="CI2587" s="129" t="str">
        <f t="shared" si="1898"/>
        <v>31-60 DAYS</v>
      </c>
      <c r="CJ2587" s="137">
        <f t="shared" si="1899"/>
        <v>3</v>
      </c>
      <c r="CK2587" s="129" t="str">
        <f t="shared" si="1900"/>
        <v>Booked</v>
      </c>
    </row>
    <row r="2588" spans="1:89" ht="15.75" customHeight="1" x14ac:dyDescent="0.25">
      <c r="A2588" s="111">
        <v>204</v>
      </c>
      <c r="B2588" s="128" t="str">
        <f t="shared" si="1888"/>
        <v>N</v>
      </c>
      <c r="C2588" s="128" t="str">
        <f t="shared" si="1889"/>
        <v>N</v>
      </c>
      <c r="D2588" s="117">
        <v>2598872</v>
      </c>
      <c r="E2588" s="135">
        <f t="shared" si="1890"/>
        <v>2</v>
      </c>
      <c r="F2588" s="124">
        <v>40918</v>
      </c>
      <c r="G2588" s="125">
        <v>40945</v>
      </c>
      <c r="H2588" s="117">
        <v>2598872</v>
      </c>
      <c r="I2588" s="124">
        <v>40918</v>
      </c>
      <c r="J2588" s="124">
        <v>40941</v>
      </c>
      <c r="K2588" s="126">
        <v>2000</v>
      </c>
      <c r="L2588" s="127" t="s">
        <v>568</v>
      </c>
      <c r="M2588" s="125">
        <v>40941</v>
      </c>
      <c r="N2588" s="129" t="str">
        <f t="shared" si="1904"/>
        <v>Y</v>
      </c>
      <c r="O2588" s="128" t="s">
        <v>76</v>
      </c>
      <c r="P2588" s="129" t="s">
        <v>589</v>
      </c>
      <c r="Q2588" s="111">
        <f t="shared" si="1903"/>
        <v>24</v>
      </c>
      <c r="R2588" s="111">
        <f t="shared" si="1875"/>
        <v>28</v>
      </c>
      <c r="S2588" s="129">
        <v>0</v>
      </c>
      <c r="T2588" s="129">
        <v>0</v>
      </c>
      <c r="W2588" s="111"/>
      <c r="AC2588" s="130"/>
      <c r="AD2588" s="130">
        <v>32958</v>
      </c>
      <c r="AE2588" s="128" t="s">
        <v>32</v>
      </c>
      <c r="AF2588" s="128" t="s">
        <v>33</v>
      </c>
      <c r="AG2588" s="128" t="s">
        <v>872</v>
      </c>
      <c r="AH2588" s="108" t="s">
        <v>31</v>
      </c>
      <c r="AI2588" s="128" t="s">
        <v>47</v>
      </c>
      <c r="AJ2588" s="129" t="s">
        <v>48</v>
      </c>
      <c r="AK2588" s="129">
        <v>3</v>
      </c>
      <c r="AL2588" s="3" t="s">
        <v>48</v>
      </c>
      <c r="AP2588" s="129" t="s">
        <v>43</v>
      </c>
      <c r="AR2588" s="128" t="s">
        <v>44</v>
      </c>
      <c r="AS2588" s="129" t="s">
        <v>45</v>
      </c>
      <c r="BC2588" s="129" t="s">
        <v>38</v>
      </c>
      <c r="BF2588" s="111">
        <f t="shared" si="1905"/>
        <v>24</v>
      </c>
      <c r="BG2588" s="111">
        <f t="shared" si="1906"/>
        <v>28</v>
      </c>
      <c r="BH2588" s="111">
        <f t="shared" si="1878"/>
        <v>28</v>
      </c>
      <c r="BI2588" s="111">
        <f t="shared" si="1881"/>
        <v>21.748633879781419</v>
      </c>
      <c r="BJ2588" s="129">
        <f>(G2588-J2588)+(M2588-G2588)</f>
        <v>0</v>
      </c>
      <c r="BK2588" s="129">
        <f t="shared" si="1879"/>
        <v>-4</v>
      </c>
      <c r="BL2588" s="129" t="str">
        <f t="shared" si="1874"/>
        <v>DEFERRED</v>
      </c>
      <c r="BM2588" s="129" t="s">
        <v>76</v>
      </c>
      <c r="BN2588" s="129" t="s">
        <v>88</v>
      </c>
      <c r="BP2588" s="137" t="str">
        <f t="shared" si="1882"/>
        <v>DEFERRED</v>
      </c>
      <c r="BQ2588" s="128" t="str">
        <f t="shared" si="1892"/>
        <v>Y</v>
      </c>
      <c r="BR2588" s="129" t="str">
        <f t="shared" si="1883"/>
        <v>ON BOND</v>
      </c>
      <c r="BS2588" s="129" t="str">
        <f t="shared" si="1884"/>
        <v>DISPOSED</v>
      </c>
      <c r="BT2588" s="129" t="str">
        <f t="shared" si="1885"/>
        <v>N</v>
      </c>
      <c r="BU2588" s="109">
        <f t="shared" si="1886"/>
        <v>0.8571428571428571</v>
      </c>
      <c r="BV2588" s="109">
        <f t="shared" si="1893"/>
        <v>0.8571428571428571</v>
      </c>
      <c r="BW2588" s="109">
        <f t="shared" si="1868"/>
        <v>0</v>
      </c>
      <c r="BX2588" s="111">
        <f t="shared" si="1887"/>
        <v>0</v>
      </c>
      <c r="BY2588" s="129">
        <f t="shared" si="1894"/>
        <v>-24</v>
      </c>
      <c r="BZ2588" s="111">
        <f t="shared" si="1895"/>
        <v>0</v>
      </c>
      <c r="CA2588" s="138">
        <f t="shared" si="1896"/>
        <v>24</v>
      </c>
      <c r="CB2588" s="111" t="e">
        <f t="shared" si="1907"/>
        <v>#VALUE!</v>
      </c>
      <c r="CC2588" s="129">
        <f>M2588-I2588+1</f>
        <v>24</v>
      </c>
      <c r="CD2588" s="111">
        <f>CC2588-BF2588</f>
        <v>0</v>
      </c>
      <c r="CG2588" s="129" t="str">
        <f t="shared" si="1897"/>
        <v>N</v>
      </c>
      <c r="CI2588" s="129" t="str">
        <f t="shared" si="1898"/>
        <v>11-30 DAYS</v>
      </c>
      <c r="CJ2588" s="137">
        <f t="shared" si="1899"/>
        <v>2</v>
      </c>
      <c r="CK2588" s="129" t="str">
        <f t="shared" si="1900"/>
        <v>Booked</v>
      </c>
    </row>
    <row r="2589" spans="1:89" ht="15.75" customHeight="1" x14ac:dyDescent="0.25">
      <c r="A2589" s="111">
        <v>207</v>
      </c>
      <c r="B2589" s="128" t="str">
        <f t="shared" si="1888"/>
        <v>N</v>
      </c>
      <c r="C2589" s="128" t="str">
        <f t="shared" si="1889"/>
        <v>N</v>
      </c>
      <c r="D2589" s="117">
        <v>2598873</v>
      </c>
      <c r="E2589" s="135">
        <f t="shared" si="1890"/>
        <v>4</v>
      </c>
      <c r="F2589" s="124">
        <v>40918</v>
      </c>
      <c r="G2589" s="125">
        <v>40960</v>
      </c>
      <c r="H2589" s="117">
        <v>2598873</v>
      </c>
      <c r="I2589" s="124">
        <v>40918</v>
      </c>
      <c r="J2589" s="124">
        <v>40960</v>
      </c>
      <c r="K2589" s="126">
        <v>35000</v>
      </c>
      <c r="L2589" s="129" t="s">
        <v>572</v>
      </c>
      <c r="N2589" s="129" t="str">
        <f t="shared" si="1904"/>
        <v>N</v>
      </c>
      <c r="O2589" s="128" t="s">
        <v>917</v>
      </c>
      <c r="P2589" s="129" t="s">
        <v>39</v>
      </c>
      <c r="Q2589" s="111">
        <f t="shared" si="1903"/>
        <v>43</v>
      </c>
      <c r="R2589" s="111">
        <f t="shared" si="1875"/>
        <v>43</v>
      </c>
      <c r="S2589" s="129">
        <v>0</v>
      </c>
      <c r="T2589" s="129">
        <v>1</v>
      </c>
      <c r="W2589" s="111"/>
      <c r="AC2589" s="130"/>
      <c r="AD2589" s="130">
        <v>24683</v>
      </c>
      <c r="AE2589" s="128" t="s">
        <v>32</v>
      </c>
      <c r="AF2589" s="128" t="s">
        <v>69</v>
      </c>
      <c r="AG2589" s="128" t="s">
        <v>874</v>
      </c>
      <c r="AH2589" s="108" t="s">
        <v>31</v>
      </c>
      <c r="AI2589" s="128" t="s">
        <v>80</v>
      </c>
      <c r="AJ2589" s="129" t="s">
        <v>89</v>
      </c>
      <c r="AK2589" s="129">
        <v>2</v>
      </c>
      <c r="AL2589" s="3" t="s">
        <v>991</v>
      </c>
      <c r="AO2589" s="128">
        <v>60</v>
      </c>
      <c r="AP2589" s="129" t="s">
        <v>171</v>
      </c>
      <c r="AR2589" s="128" t="s">
        <v>44</v>
      </c>
      <c r="AS2589" s="129" t="s">
        <v>64</v>
      </c>
      <c r="BC2589" s="129" t="s">
        <v>38</v>
      </c>
      <c r="BF2589" s="111">
        <f t="shared" si="1905"/>
        <v>43</v>
      </c>
      <c r="BG2589" s="111">
        <f t="shared" si="1906"/>
        <v>43</v>
      </c>
      <c r="BH2589" s="111">
        <f t="shared" si="1878"/>
        <v>43</v>
      </c>
      <c r="BI2589" s="111">
        <f t="shared" si="1881"/>
        <v>44.357923497267763</v>
      </c>
      <c r="BJ2589" s="129">
        <f>G2589-J2589-M2589</f>
        <v>0</v>
      </c>
      <c r="BK2589" s="129">
        <f t="shared" si="1879"/>
        <v>0</v>
      </c>
      <c r="BL2589" s="129" t="str">
        <f t="shared" si="1874"/>
        <v>CONVICTION</v>
      </c>
      <c r="BM2589" s="129" t="str">
        <f>O2589</f>
        <v>NONE</v>
      </c>
      <c r="BN2589" s="129" t="s">
        <v>566</v>
      </c>
      <c r="BP2589" s="137" t="str">
        <f t="shared" si="1882"/>
        <v>CONVICTION</v>
      </c>
      <c r="BQ2589" s="128" t="str">
        <f t="shared" si="1892"/>
        <v>Y</v>
      </c>
      <c r="BR2589" s="129" t="str">
        <f t="shared" si="1883"/>
        <v>DETAINED</v>
      </c>
      <c r="BS2589" s="129" t="str">
        <f t="shared" si="1884"/>
        <v>DISPOSED</v>
      </c>
      <c r="BT2589" s="129" t="str">
        <f t="shared" si="1885"/>
        <v>N</v>
      </c>
      <c r="BU2589" s="109">
        <f t="shared" si="1886"/>
        <v>1</v>
      </c>
      <c r="BV2589" s="109">
        <f t="shared" si="1893"/>
        <v>1</v>
      </c>
      <c r="BW2589" s="109">
        <f t="shared" si="1868"/>
        <v>0</v>
      </c>
      <c r="BX2589" s="111">
        <f t="shared" si="1887"/>
        <v>0</v>
      </c>
      <c r="BY2589" s="129">
        <f t="shared" si="1894"/>
        <v>-43</v>
      </c>
      <c r="BZ2589" s="111">
        <f t="shared" si="1895"/>
        <v>0</v>
      </c>
      <c r="CA2589" s="138">
        <f t="shared" si="1896"/>
        <v>43</v>
      </c>
      <c r="CB2589" s="111" t="e">
        <f t="shared" si="1907"/>
        <v>#VALUE!</v>
      </c>
      <c r="CC2589" s="129">
        <f>G2589-I2589+1</f>
        <v>43</v>
      </c>
      <c r="CD2589" s="129">
        <f>G2589-J2589</f>
        <v>0</v>
      </c>
      <c r="CG2589" s="129" t="str">
        <f t="shared" si="1897"/>
        <v>Y</v>
      </c>
      <c r="CI2589" s="129" t="str">
        <f t="shared" si="1898"/>
        <v>31-60 DAYS</v>
      </c>
      <c r="CJ2589" s="137">
        <f t="shared" si="1899"/>
        <v>3</v>
      </c>
      <c r="CK2589" s="129" t="str">
        <f t="shared" si="1900"/>
        <v>Booked</v>
      </c>
    </row>
    <row r="2590" spans="1:89" ht="15.75" customHeight="1" x14ac:dyDescent="0.25">
      <c r="A2590" s="111">
        <v>215</v>
      </c>
      <c r="B2590" s="128" t="str">
        <f t="shared" si="1888"/>
        <v>N</v>
      </c>
      <c r="C2590" s="128" t="str">
        <f t="shared" si="1889"/>
        <v>N</v>
      </c>
      <c r="D2590" s="117">
        <v>2598998</v>
      </c>
      <c r="E2590" s="135">
        <f t="shared" si="1890"/>
        <v>6</v>
      </c>
      <c r="F2590" s="124">
        <v>40918</v>
      </c>
      <c r="G2590" s="125">
        <v>41089</v>
      </c>
      <c r="H2590" s="117">
        <v>2598998</v>
      </c>
      <c r="I2590" s="124">
        <v>40922</v>
      </c>
      <c r="J2590" s="125">
        <v>40922</v>
      </c>
      <c r="K2590" s="126">
        <v>30000</v>
      </c>
      <c r="L2590" s="129" t="s">
        <v>572</v>
      </c>
      <c r="M2590" s="125">
        <v>40922</v>
      </c>
      <c r="N2590" s="129" t="str">
        <f t="shared" si="1904"/>
        <v>Y</v>
      </c>
      <c r="O2590" s="128" t="s">
        <v>76</v>
      </c>
      <c r="P2590" s="129" t="s">
        <v>549</v>
      </c>
      <c r="Q2590" s="111">
        <f t="shared" si="1903"/>
        <v>1</v>
      </c>
      <c r="R2590" s="111">
        <f t="shared" si="1875"/>
        <v>172</v>
      </c>
      <c r="S2590" s="129">
        <v>0</v>
      </c>
      <c r="T2590" s="129">
        <v>0</v>
      </c>
      <c r="W2590" s="111"/>
      <c r="AC2590" s="130"/>
      <c r="AD2590" s="130">
        <v>21729</v>
      </c>
      <c r="AE2590" s="128" t="s">
        <v>32</v>
      </c>
      <c r="AF2590" s="128" t="s">
        <v>33</v>
      </c>
      <c r="AG2590" s="128" t="s">
        <v>872</v>
      </c>
      <c r="AH2590" s="108" t="s">
        <v>31</v>
      </c>
      <c r="AI2590" s="128" t="s">
        <v>90</v>
      </c>
      <c r="AJ2590" s="129" t="s">
        <v>89</v>
      </c>
      <c r="AK2590" s="129">
        <v>16</v>
      </c>
      <c r="AL2590" s="3" t="s">
        <v>362</v>
      </c>
      <c r="AM2590" s="117">
        <v>50</v>
      </c>
      <c r="AP2590" s="129" t="s">
        <v>173</v>
      </c>
      <c r="AR2590" s="128" t="s">
        <v>50</v>
      </c>
      <c r="AS2590" s="129" t="s">
        <v>126</v>
      </c>
      <c r="BC2590" s="129" t="s">
        <v>52</v>
      </c>
      <c r="BF2590" s="111">
        <f t="shared" si="1905"/>
        <v>1</v>
      </c>
      <c r="BG2590" s="111">
        <f t="shared" si="1906"/>
        <v>168</v>
      </c>
      <c r="BH2590" s="111">
        <f t="shared" si="1878"/>
        <v>172</v>
      </c>
      <c r="BI2590" s="111">
        <f t="shared" si="1881"/>
        <v>52.428961748633881</v>
      </c>
      <c r="BJ2590" s="129">
        <f>(G2590-J2590)+(M2590-G2590)</f>
        <v>0</v>
      </c>
      <c r="BK2590" s="129">
        <f t="shared" si="1879"/>
        <v>-167</v>
      </c>
      <c r="BL2590" s="129" t="str">
        <f t="shared" si="1874"/>
        <v>CONVICTION</v>
      </c>
      <c r="BM2590" s="129" t="s">
        <v>76</v>
      </c>
      <c r="BN2590" s="129" t="s">
        <v>88</v>
      </c>
      <c r="BP2590" s="137" t="str">
        <f t="shared" si="1882"/>
        <v>CONVICTION</v>
      </c>
      <c r="BQ2590" s="128" t="str">
        <f t="shared" si="1892"/>
        <v>Y</v>
      </c>
      <c r="BR2590" s="129" t="str">
        <f t="shared" si="1883"/>
        <v>ON BOND</v>
      </c>
      <c r="BS2590" s="129" t="str">
        <f t="shared" si="1884"/>
        <v>DISPOSED</v>
      </c>
      <c r="BT2590" s="129" t="str">
        <f t="shared" si="1885"/>
        <v>N</v>
      </c>
      <c r="BU2590" s="109">
        <f t="shared" si="1886"/>
        <v>5.8139534883720929E-3</v>
      </c>
      <c r="BV2590" s="109">
        <f t="shared" si="1893"/>
        <v>5.9523809523809521E-3</v>
      </c>
      <c r="BW2590" s="109">
        <f t="shared" si="1868"/>
        <v>1.3842746400885911E-4</v>
      </c>
      <c r="BX2590" s="111">
        <f t="shared" si="1887"/>
        <v>0</v>
      </c>
      <c r="BY2590" s="129">
        <f t="shared" si="1894"/>
        <v>-1</v>
      </c>
      <c r="BZ2590" s="111">
        <f t="shared" si="1895"/>
        <v>0</v>
      </c>
      <c r="CA2590" s="138">
        <f t="shared" si="1896"/>
        <v>1</v>
      </c>
      <c r="CB2590" s="111" t="e">
        <f t="shared" si="1907"/>
        <v>#VALUE!</v>
      </c>
      <c r="CC2590" s="129">
        <f>M2590-I2590+1</f>
        <v>1</v>
      </c>
      <c r="CD2590" s="111">
        <f>CC2590-BF2590</f>
        <v>0</v>
      </c>
      <c r="CG2590" s="129" t="str">
        <f t="shared" si="1897"/>
        <v>N</v>
      </c>
      <c r="CI2590" s="129" t="str">
        <f t="shared" si="1898"/>
        <v>0-10 DAYS</v>
      </c>
      <c r="CJ2590" s="137">
        <f t="shared" si="1899"/>
        <v>1</v>
      </c>
      <c r="CK2590" s="129" t="str">
        <f t="shared" si="1900"/>
        <v>Booked</v>
      </c>
    </row>
    <row r="2591" spans="1:89" ht="15.75" customHeight="1" x14ac:dyDescent="0.25">
      <c r="A2591" s="111">
        <v>217</v>
      </c>
      <c r="B2591" s="128" t="str">
        <f t="shared" si="1888"/>
        <v>N</v>
      </c>
      <c r="C2591" s="128" t="str">
        <f t="shared" si="1889"/>
        <v>N</v>
      </c>
      <c r="D2591" s="117">
        <v>2599027</v>
      </c>
      <c r="E2591" s="135">
        <f t="shared" si="1890"/>
        <v>3</v>
      </c>
      <c r="F2591" s="124">
        <v>40918</v>
      </c>
      <c r="G2591" s="125">
        <v>40977</v>
      </c>
      <c r="H2591" s="117">
        <v>2599027</v>
      </c>
      <c r="I2591" s="124">
        <v>40920</v>
      </c>
      <c r="J2591" s="124">
        <v>40977</v>
      </c>
      <c r="K2591" s="126">
        <v>302000</v>
      </c>
      <c r="L2591" s="129" t="s">
        <v>572</v>
      </c>
      <c r="N2591" s="129" t="str">
        <f t="shared" si="1904"/>
        <v>N</v>
      </c>
      <c r="O2591" s="128" t="s">
        <v>917</v>
      </c>
      <c r="P2591" s="129" t="s">
        <v>39</v>
      </c>
      <c r="Q2591" s="111">
        <f t="shared" si="1903"/>
        <v>58</v>
      </c>
      <c r="R2591" s="111">
        <f t="shared" si="1875"/>
        <v>60</v>
      </c>
      <c r="S2591" s="129">
        <v>0</v>
      </c>
      <c r="T2591" s="129">
        <v>0</v>
      </c>
      <c r="W2591" s="111"/>
      <c r="AC2591" s="130"/>
      <c r="AD2591" s="130">
        <v>28715</v>
      </c>
      <c r="AE2591" s="128" t="s">
        <v>46</v>
      </c>
      <c r="AF2591" s="128" t="s">
        <v>69</v>
      </c>
      <c r="AG2591" s="128" t="s">
        <v>874</v>
      </c>
      <c r="AH2591" s="108" t="s">
        <v>31</v>
      </c>
      <c r="AI2591" s="128" t="s">
        <v>42</v>
      </c>
      <c r="AJ2591" s="129" t="s">
        <v>89</v>
      </c>
      <c r="AK2591" s="129">
        <v>4</v>
      </c>
      <c r="AL2591" s="3" t="s">
        <v>185</v>
      </c>
      <c r="AP2591" s="129" t="s">
        <v>174</v>
      </c>
      <c r="AR2591" s="128" t="s">
        <v>50</v>
      </c>
      <c r="AS2591" s="129" t="s">
        <v>61</v>
      </c>
      <c r="BC2591" s="129" t="s">
        <v>52</v>
      </c>
      <c r="BF2591" s="111">
        <f t="shared" si="1905"/>
        <v>58</v>
      </c>
      <c r="BG2591" s="111">
        <f t="shared" si="1906"/>
        <v>58</v>
      </c>
      <c r="BH2591" s="111">
        <f t="shared" si="1878"/>
        <v>60</v>
      </c>
      <c r="BI2591" s="111">
        <f t="shared" si="1881"/>
        <v>33.341530054644807</v>
      </c>
      <c r="BJ2591" s="129">
        <f>G2591-J2591-M2591</f>
        <v>0</v>
      </c>
      <c r="BK2591" s="129">
        <f t="shared" si="1879"/>
        <v>0</v>
      </c>
      <c r="BL2591" s="129" t="str">
        <f t="shared" si="1874"/>
        <v>CONVICTION</v>
      </c>
      <c r="BM2591" s="129" t="str">
        <f>O2591</f>
        <v>NONE</v>
      </c>
      <c r="BN2591" s="129" t="s">
        <v>566</v>
      </c>
      <c r="BP2591" s="137" t="str">
        <f t="shared" si="1882"/>
        <v>CONVICTION</v>
      </c>
      <c r="BQ2591" s="128" t="str">
        <f t="shared" si="1892"/>
        <v>Y</v>
      </c>
      <c r="BR2591" s="129" t="str">
        <f t="shared" si="1883"/>
        <v>DETAINED</v>
      </c>
      <c r="BS2591" s="129" t="str">
        <f t="shared" si="1884"/>
        <v>DISPOSED</v>
      </c>
      <c r="BT2591" s="129" t="str">
        <f t="shared" si="1885"/>
        <v>N</v>
      </c>
      <c r="BU2591" s="109">
        <f t="shared" si="1886"/>
        <v>0.96666666666666667</v>
      </c>
      <c r="BV2591" s="109">
        <f t="shared" si="1893"/>
        <v>1</v>
      </c>
      <c r="BW2591" s="109">
        <f t="shared" si="1868"/>
        <v>3.3333333333333326E-2</v>
      </c>
      <c r="BX2591" s="111">
        <f t="shared" si="1887"/>
        <v>0</v>
      </c>
      <c r="BY2591" s="129">
        <f t="shared" si="1894"/>
        <v>-58</v>
      </c>
      <c r="BZ2591" s="111">
        <f t="shared" si="1895"/>
        <v>0</v>
      </c>
      <c r="CA2591" s="138">
        <f t="shared" si="1896"/>
        <v>58</v>
      </c>
      <c r="CB2591" s="111" t="e">
        <f t="shared" si="1907"/>
        <v>#VALUE!</v>
      </c>
      <c r="CC2591" s="129">
        <f>G2591-I2591+1</f>
        <v>58</v>
      </c>
      <c r="CD2591" s="129">
        <f>G2591-J2591</f>
        <v>0</v>
      </c>
      <c r="CG2591" s="129" t="str">
        <f t="shared" si="1897"/>
        <v>N</v>
      </c>
      <c r="CI2591" s="129" t="str">
        <f t="shared" si="1898"/>
        <v>31-60 DAYS</v>
      </c>
      <c r="CJ2591" s="137">
        <f t="shared" si="1899"/>
        <v>3</v>
      </c>
      <c r="CK2591" s="129" t="str">
        <f t="shared" si="1900"/>
        <v>Booked</v>
      </c>
    </row>
    <row r="2592" spans="1:89" ht="15" customHeight="1" x14ac:dyDescent="0.25">
      <c r="A2592" s="111">
        <v>219</v>
      </c>
      <c r="B2592" s="128" t="str">
        <f t="shared" si="1888"/>
        <v>N</v>
      </c>
      <c r="C2592" s="128" t="str">
        <f t="shared" si="1889"/>
        <v>N</v>
      </c>
      <c r="D2592" s="117">
        <v>2599037</v>
      </c>
      <c r="E2592" s="135">
        <f t="shared" si="1890"/>
        <v>1</v>
      </c>
      <c r="F2592" s="124">
        <v>40918</v>
      </c>
      <c r="G2592" s="125">
        <v>41009</v>
      </c>
      <c r="H2592" s="117">
        <v>2599037</v>
      </c>
      <c r="I2592" s="124">
        <v>40918</v>
      </c>
      <c r="J2592" s="124">
        <v>40928</v>
      </c>
      <c r="K2592" s="126">
        <v>5000</v>
      </c>
      <c r="L2592" s="127" t="s">
        <v>569</v>
      </c>
      <c r="M2592" s="125">
        <v>40928</v>
      </c>
      <c r="N2592" s="129" t="str">
        <f t="shared" si="1904"/>
        <v>Y</v>
      </c>
      <c r="O2592" s="128" t="s">
        <v>76</v>
      </c>
      <c r="P2592" s="129" t="s">
        <v>55</v>
      </c>
      <c r="Q2592" s="111">
        <f t="shared" si="1903"/>
        <v>11</v>
      </c>
      <c r="R2592" s="111">
        <f t="shared" si="1875"/>
        <v>92</v>
      </c>
      <c r="S2592" s="129">
        <v>0</v>
      </c>
      <c r="T2592" s="129">
        <v>0</v>
      </c>
      <c r="W2592" s="111"/>
      <c r="AC2592" s="130"/>
      <c r="AD2592" s="130">
        <v>31601</v>
      </c>
      <c r="AE2592" s="128" t="s">
        <v>46</v>
      </c>
      <c r="AF2592" s="128" t="s">
        <v>33</v>
      </c>
      <c r="AG2592" s="128" t="s">
        <v>872</v>
      </c>
      <c r="AH2592" s="108" t="s">
        <v>31</v>
      </c>
      <c r="AI2592" s="128" t="s">
        <v>97</v>
      </c>
      <c r="AJ2592" s="129" t="s">
        <v>55</v>
      </c>
      <c r="AK2592" s="129">
        <v>4</v>
      </c>
      <c r="AL2592" s="3" t="s">
        <v>55</v>
      </c>
      <c r="AP2592" s="129" t="s">
        <v>84</v>
      </c>
      <c r="AR2592" s="128" t="s">
        <v>67</v>
      </c>
      <c r="AS2592" s="129" t="s">
        <v>74</v>
      </c>
      <c r="BC2592" s="129" t="s">
        <v>99</v>
      </c>
      <c r="BF2592" s="111">
        <f t="shared" si="1905"/>
        <v>11</v>
      </c>
      <c r="BG2592" s="111">
        <f t="shared" si="1906"/>
        <v>92</v>
      </c>
      <c r="BH2592" s="111">
        <f t="shared" si="1878"/>
        <v>92</v>
      </c>
      <c r="BI2592" s="111">
        <f t="shared" si="1881"/>
        <v>25.456284153005466</v>
      </c>
      <c r="BJ2592" s="129">
        <f>(G2592-J2592)+(M2592-G2592)</f>
        <v>0</v>
      </c>
      <c r="BK2592" s="129">
        <f t="shared" si="1879"/>
        <v>-81</v>
      </c>
      <c r="BL2592" s="129" t="str">
        <f t="shared" si="1874"/>
        <v>NO CONVICTION</v>
      </c>
      <c r="BM2592" s="129" t="s">
        <v>76</v>
      </c>
      <c r="BN2592" s="129" t="s">
        <v>88</v>
      </c>
      <c r="BP2592" s="137" t="str">
        <f t="shared" si="1882"/>
        <v>NO CONVICTION</v>
      </c>
      <c r="BQ2592" s="128" t="str">
        <f t="shared" si="1892"/>
        <v>Y</v>
      </c>
      <c r="BR2592" s="129" t="str">
        <f t="shared" si="1883"/>
        <v>ON BOND</v>
      </c>
      <c r="BS2592" s="129" t="str">
        <f t="shared" si="1884"/>
        <v>DISPOSED</v>
      </c>
      <c r="BT2592" s="129" t="str">
        <f t="shared" si="1885"/>
        <v>N</v>
      </c>
      <c r="BU2592" s="109">
        <f>IFERROR(Q2592/R2592,BR2592)</f>
        <v>0.11956521739130435</v>
      </c>
      <c r="BV2592" s="109">
        <f t="shared" si="1893"/>
        <v>0.11956521739130435</v>
      </c>
      <c r="BW2592" s="109">
        <f t="shared" si="1868"/>
        <v>0</v>
      </c>
      <c r="BX2592" s="111">
        <f t="shared" si="1887"/>
        <v>0</v>
      </c>
      <c r="BY2592" s="129">
        <f t="shared" si="1894"/>
        <v>-11</v>
      </c>
      <c r="BZ2592" s="111">
        <f t="shared" si="1895"/>
        <v>0</v>
      </c>
      <c r="CA2592" s="138">
        <f t="shared" si="1896"/>
        <v>11</v>
      </c>
      <c r="CB2592" s="111" t="e">
        <f t="shared" si="1907"/>
        <v>#VALUE!</v>
      </c>
      <c r="CC2592" s="129">
        <f>M2592-I2592+1</f>
        <v>11</v>
      </c>
      <c r="CD2592" s="111">
        <f>CC2592-BF2592</f>
        <v>0</v>
      </c>
      <c r="CG2592" s="129" t="str">
        <f t="shared" si="1897"/>
        <v>N</v>
      </c>
      <c r="CI2592" s="129" t="str">
        <f t="shared" si="1898"/>
        <v>11-30 DAYS</v>
      </c>
      <c r="CJ2592" s="137">
        <f t="shared" si="1899"/>
        <v>2</v>
      </c>
      <c r="CK2592" s="129" t="str">
        <f t="shared" si="1900"/>
        <v>Booked</v>
      </c>
    </row>
    <row r="2593" spans="1:89" ht="15.75" customHeight="1" x14ac:dyDescent="0.25">
      <c r="A2593" s="111">
        <v>224</v>
      </c>
      <c r="B2593" s="128" t="str">
        <f t="shared" si="1888"/>
        <v>N</v>
      </c>
      <c r="C2593" s="128" t="str">
        <f t="shared" si="1889"/>
        <v>N</v>
      </c>
      <c r="D2593" s="117">
        <v>2599051</v>
      </c>
      <c r="E2593" s="135">
        <f t="shared" si="1890"/>
        <v>1</v>
      </c>
      <c r="F2593" s="124">
        <v>40918</v>
      </c>
      <c r="G2593" s="125">
        <v>41085</v>
      </c>
      <c r="H2593" s="117">
        <v>2599051</v>
      </c>
      <c r="I2593" s="124">
        <v>40919</v>
      </c>
      <c r="J2593" s="125">
        <v>41085</v>
      </c>
      <c r="K2593" s="126">
        <v>4000</v>
      </c>
      <c r="L2593" s="127" t="s">
        <v>569</v>
      </c>
      <c r="N2593" s="129" t="str">
        <f t="shared" si="1904"/>
        <v>N</v>
      </c>
      <c r="O2593" s="128" t="s">
        <v>917</v>
      </c>
      <c r="P2593" s="129" t="s">
        <v>123</v>
      </c>
      <c r="Q2593" s="111">
        <f t="shared" si="1903"/>
        <v>167</v>
      </c>
      <c r="R2593" s="111">
        <f t="shared" si="1875"/>
        <v>168</v>
      </c>
      <c r="S2593" s="129">
        <v>0</v>
      </c>
      <c r="T2593" s="129">
        <v>0</v>
      </c>
      <c r="W2593" s="111"/>
      <c r="AC2593" s="130"/>
      <c r="AD2593" s="130">
        <v>34491</v>
      </c>
      <c r="AE2593" s="128" t="s">
        <v>46</v>
      </c>
      <c r="AF2593" s="128" t="s">
        <v>69</v>
      </c>
      <c r="AG2593" s="128" t="s">
        <v>874</v>
      </c>
      <c r="AH2593" s="108" t="s">
        <v>31</v>
      </c>
      <c r="AI2593" s="128" t="s">
        <v>85</v>
      </c>
      <c r="AJ2593" s="129" t="s">
        <v>123</v>
      </c>
      <c r="AK2593" s="129">
        <v>2</v>
      </c>
      <c r="AL2593" s="3" t="s">
        <v>123</v>
      </c>
      <c r="AP2593" s="129" t="s">
        <v>43</v>
      </c>
      <c r="AR2593" s="128" t="s">
        <v>44</v>
      </c>
      <c r="AS2593" s="129" t="s">
        <v>45</v>
      </c>
      <c r="BC2593" s="129" t="s">
        <v>52</v>
      </c>
      <c r="BF2593" s="111">
        <f t="shared" si="1905"/>
        <v>167</v>
      </c>
      <c r="BG2593" s="111">
        <f t="shared" si="1906"/>
        <v>167</v>
      </c>
      <c r="BH2593" s="111">
        <f t="shared" si="1878"/>
        <v>168</v>
      </c>
      <c r="BI2593" s="111">
        <f t="shared" si="1881"/>
        <v>17.560109289617486</v>
      </c>
      <c r="BJ2593" s="129">
        <f>G2593-J2593-M2593</f>
        <v>0</v>
      </c>
      <c r="BK2593" s="129">
        <f t="shared" si="1879"/>
        <v>0</v>
      </c>
      <c r="BL2593" s="129" t="str">
        <f t="shared" si="1874"/>
        <v>NO CONVICTION</v>
      </c>
      <c r="BM2593" s="129" t="str">
        <f>O2593</f>
        <v>NONE</v>
      </c>
      <c r="BN2593" s="129" t="s">
        <v>566</v>
      </c>
      <c r="BP2593" s="137" t="str">
        <f t="shared" si="1882"/>
        <v>NO CONVICTION</v>
      </c>
      <c r="BQ2593" s="128" t="str">
        <f t="shared" si="1892"/>
        <v>Y</v>
      </c>
      <c r="BR2593" s="129" t="str">
        <f t="shared" si="1883"/>
        <v>DETAINED</v>
      </c>
      <c r="BS2593" s="129" t="str">
        <f t="shared" si="1884"/>
        <v>DISPOSED</v>
      </c>
      <c r="BT2593" s="129" t="str">
        <f t="shared" si="1885"/>
        <v>N</v>
      </c>
      <c r="BU2593" s="109">
        <f>IFERROR(Q2593/R2593,BR2593)</f>
        <v>0.99404761904761907</v>
      </c>
      <c r="BV2593" s="109">
        <f t="shared" si="1893"/>
        <v>1</v>
      </c>
      <c r="BW2593" s="109">
        <f t="shared" ref="BW2593:BW2652" si="1908">BV2593-BU2593</f>
        <v>5.9523809523809312E-3</v>
      </c>
      <c r="BX2593" s="111">
        <f t="shared" si="1887"/>
        <v>0</v>
      </c>
      <c r="BY2593" s="129">
        <f t="shared" si="1894"/>
        <v>-167</v>
      </c>
      <c r="BZ2593" s="111">
        <f t="shared" si="1895"/>
        <v>0</v>
      </c>
      <c r="CA2593" s="138">
        <f t="shared" si="1896"/>
        <v>167</v>
      </c>
      <c r="CB2593" s="111" t="e">
        <f t="shared" si="1907"/>
        <v>#VALUE!</v>
      </c>
      <c r="CC2593" s="129">
        <f>G2593-I2593+1</f>
        <v>167</v>
      </c>
      <c r="CD2593" s="129">
        <f>G2593-J2593</f>
        <v>0</v>
      </c>
      <c r="CG2593" s="129" t="str">
        <f t="shared" si="1897"/>
        <v>N</v>
      </c>
      <c r="CI2593" s="129" t="str">
        <f t="shared" si="1898"/>
        <v>121-365 DAYS</v>
      </c>
      <c r="CJ2593" s="137">
        <f t="shared" si="1899"/>
        <v>6</v>
      </c>
      <c r="CK2593" s="129" t="str">
        <f t="shared" si="1900"/>
        <v>Booked</v>
      </c>
    </row>
    <row r="2594" spans="1:89" ht="15" customHeight="1" x14ac:dyDescent="0.25">
      <c r="A2594" s="111">
        <v>293</v>
      </c>
      <c r="B2594" s="128" t="str">
        <f t="shared" si="1888"/>
        <v>N</v>
      </c>
      <c r="C2594" s="128" t="str">
        <f t="shared" si="1889"/>
        <v>N</v>
      </c>
      <c r="D2594" s="117">
        <v>2599055</v>
      </c>
      <c r="E2594" s="135">
        <f t="shared" si="1890"/>
        <v>6</v>
      </c>
      <c r="F2594" s="124">
        <v>40918</v>
      </c>
      <c r="G2594" s="125">
        <v>41128</v>
      </c>
      <c r="H2594" s="117">
        <v>2599055</v>
      </c>
      <c r="I2594" s="124">
        <v>40919</v>
      </c>
      <c r="J2594" s="124">
        <v>40923</v>
      </c>
      <c r="K2594" s="126">
        <v>32000</v>
      </c>
      <c r="L2594" s="129" t="s">
        <v>572</v>
      </c>
      <c r="M2594" s="125">
        <v>40923</v>
      </c>
      <c r="N2594" s="129" t="str">
        <f t="shared" si="1904"/>
        <v>Y</v>
      </c>
      <c r="O2594" s="128" t="s">
        <v>76</v>
      </c>
      <c r="P2594" s="129" t="s">
        <v>39</v>
      </c>
      <c r="Q2594" s="111">
        <f t="shared" si="1903"/>
        <v>5</v>
      </c>
      <c r="R2594" s="111">
        <f t="shared" si="1875"/>
        <v>211</v>
      </c>
      <c r="S2594" s="129">
        <v>0</v>
      </c>
      <c r="T2594" s="129">
        <v>0</v>
      </c>
      <c r="W2594" s="111"/>
      <c r="AC2594" s="130"/>
      <c r="AD2594" s="130">
        <v>34156</v>
      </c>
      <c r="AE2594" s="128" t="s">
        <v>32</v>
      </c>
      <c r="AF2594" s="128" t="s">
        <v>192</v>
      </c>
      <c r="AG2594" s="128" t="s">
        <v>873</v>
      </c>
      <c r="AH2594" s="108" t="s">
        <v>31</v>
      </c>
      <c r="AI2594" s="128" t="s">
        <v>59</v>
      </c>
      <c r="AJ2594" s="129" t="s">
        <v>89</v>
      </c>
      <c r="AK2594" s="129">
        <v>7</v>
      </c>
      <c r="AL2594" s="3" t="s">
        <v>362</v>
      </c>
      <c r="AM2594" s="117">
        <v>2</v>
      </c>
      <c r="AP2594" s="129" t="s">
        <v>189</v>
      </c>
      <c r="AR2594" s="128" t="s">
        <v>67</v>
      </c>
      <c r="AS2594" s="129" t="s">
        <v>64</v>
      </c>
      <c r="BC2594" s="129" t="s">
        <v>52</v>
      </c>
      <c r="BF2594" s="111">
        <f t="shared" si="1905"/>
        <v>5</v>
      </c>
      <c r="BG2594" s="111">
        <f t="shared" si="1906"/>
        <v>210</v>
      </c>
      <c r="BH2594" s="111">
        <f t="shared" si="1878"/>
        <v>211</v>
      </c>
      <c r="BI2594" s="111">
        <f t="shared" si="1881"/>
        <v>18.475409836065573</v>
      </c>
      <c r="BJ2594" s="129">
        <f>(G2594-J2594)+(M2594-G2594)</f>
        <v>0</v>
      </c>
      <c r="BK2594" s="129">
        <f t="shared" si="1879"/>
        <v>-205</v>
      </c>
      <c r="BL2594" s="129" t="str">
        <f t="shared" si="1874"/>
        <v>CONVICTION</v>
      </c>
      <c r="BM2594" s="129" t="s">
        <v>76</v>
      </c>
      <c r="BN2594" s="129" t="s">
        <v>88</v>
      </c>
      <c r="BP2594" s="137" t="str">
        <f t="shared" si="1882"/>
        <v>CONVICTION</v>
      </c>
      <c r="BQ2594" s="128" t="str">
        <f t="shared" si="1892"/>
        <v>Y</v>
      </c>
      <c r="BR2594" s="129" t="str">
        <f>IF(J2594&lt;G2594,"ON BOND",0)</f>
        <v>ON BOND</v>
      </c>
      <c r="BS2594" s="129" t="str">
        <f t="shared" si="1884"/>
        <v>DISPOSED</v>
      </c>
      <c r="BT2594" s="129" t="str">
        <f t="shared" si="1885"/>
        <v>N</v>
      </c>
      <c r="BU2594" s="109">
        <f t="shared" si="1886"/>
        <v>2.3696682464454975E-2</v>
      </c>
      <c r="BV2594" s="109">
        <f t="shared" si="1893"/>
        <v>2.3809523809523808E-2</v>
      </c>
      <c r="BW2594" s="109">
        <f t="shared" si="1908"/>
        <v>1.1284134506883356E-4</v>
      </c>
      <c r="BX2594" s="111">
        <f t="shared" si="1887"/>
        <v>0</v>
      </c>
      <c r="BY2594" s="129">
        <f t="shared" si="1894"/>
        <v>-5</v>
      </c>
      <c r="BZ2594" s="111">
        <f t="shared" si="1895"/>
        <v>0</v>
      </c>
      <c r="CA2594" s="138">
        <f t="shared" si="1896"/>
        <v>5</v>
      </c>
      <c r="CB2594" s="111" t="e">
        <f t="shared" si="1907"/>
        <v>#VALUE!</v>
      </c>
      <c r="CC2594" s="129">
        <f>M2594-I2594+1</f>
        <v>5</v>
      </c>
      <c r="CD2594" s="111">
        <f>CC2594-BF2594</f>
        <v>0</v>
      </c>
      <c r="CG2594" s="129" t="str">
        <f t="shared" si="1897"/>
        <v>N</v>
      </c>
      <c r="CI2594" s="129" t="str">
        <f t="shared" si="1898"/>
        <v>0-10 DAYS</v>
      </c>
      <c r="CJ2594" s="137">
        <f t="shared" si="1899"/>
        <v>1</v>
      </c>
      <c r="CK2594" s="129" t="str">
        <f t="shared" si="1900"/>
        <v>Booked</v>
      </c>
    </row>
    <row r="2595" spans="1:89" ht="15" customHeight="1" x14ac:dyDescent="0.25">
      <c r="A2595" s="111">
        <v>226</v>
      </c>
      <c r="B2595" s="128" t="str">
        <f t="shared" si="1888"/>
        <v>N</v>
      </c>
      <c r="C2595" s="128" t="str">
        <f t="shared" si="1889"/>
        <v>N</v>
      </c>
      <c r="D2595" s="117">
        <v>2599057</v>
      </c>
      <c r="E2595" s="135">
        <f t="shared" si="1890"/>
        <v>1</v>
      </c>
      <c r="F2595" s="124">
        <v>40918</v>
      </c>
      <c r="G2595" s="125">
        <v>41081</v>
      </c>
      <c r="H2595" s="117">
        <v>2599057</v>
      </c>
      <c r="I2595" s="124">
        <v>40921</v>
      </c>
      <c r="J2595" s="124">
        <v>40926</v>
      </c>
      <c r="K2595" s="126">
        <v>30000</v>
      </c>
      <c r="L2595" s="129" t="s">
        <v>572</v>
      </c>
      <c r="M2595" s="125">
        <v>40926</v>
      </c>
      <c r="N2595" s="129" t="str">
        <f t="shared" si="1904"/>
        <v>Y</v>
      </c>
      <c r="O2595" s="128" t="s">
        <v>76</v>
      </c>
      <c r="P2595" s="129" t="s">
        <v>55</v>
      </c>
      <c r="Q2595" s="111">
        <f t="shared" si="1903"/>
        <v>6</v>
      </c>
      <c r="R2595" s="111">
        <f t="shared" si="1875"/>
        <v>164</v>
      </c>
      <c r="S2595" s="129">
        <v>0</v>
      </c>
      <c r="T2595" s="129">
        <v>0</v>
      </c>
      <c r="W2595" s="111"/>
      <c r="AC2595" s="130"/>
      <c r="AD2595" s="130">
        <v>32826</v>
      </c>
      <c r="AE2595" s="128" t="s">
        <v>32</v>
      </c>
      <c r="AF2595" s="128" t="s">
        <v>33</v>
      </c>
      <c r="AG2595" s="128" t="s">
        <v>872</v>
      </c>
      <c r="AH2595" s="108" t="s">
        <v>31</v>
      </c>
      <c r="AI2595" s="128" t="s">
        <v>59</v>
      </c>
      <c r="AJ2595" s="129" t="s">
        <v>55</v>
      </c>
      <c r="AK2595" s="129">
        <v>9</v>
      </c>
      <c r="AL2595" s="3" t="s">
        <v>55</v>
      </c>
      <c r="AP2595" s="129" t="s">
        <v>110</v>
      </c>
      <c r="AR2595" s="128" t="s">
        <v>50</v>
      </c>
      <c r="AS2595" s="129" t="s">
        <v>74</v>
      </c>
      <c r="BC2595" s="129" t="s">
        <v>52</v>
      </c>
      <c r="BF2595" s="111">
        <f t="shared" si="1905"/>
        <v>6</v>
      </c>
      <c r="BG2595" s="111">
        <f t="shared" si="1906"/>
        <v>161</v>
      </c>
      <c r="BH2595" s="111">
        <f t="shared" si="1878"/>
        <v>164</v>
      </c>
      <c r="BI2595" s="111">
        <f t="shared" si="1881"/>
        <v>22.10928961748634</v>
      </c>
      <c r="BJ2595" s="129">
        <f>(G2595-J2595)+(M2595-G2595)</f>
        <v>0</v>
      </c>
      <c r="BK2595" s="129">
        <f t="shared" si="1879"/>
        <v>-155</v>
      </c>
      <c r="BL2595" s="129" t="str">
        <f t="shared" si="1874"/>
        <v>NO CONVICTION</v>
      </c>
      <c r="BM2595" s="129" t="s">
        <v>76</v>
      </c>
      <c r="BN2595" s="129" t="s">
        <v>88</v>
      </c>
      <c r="BP2595" s="137" t="str">
        <f t="shared" si="1882"/>
        <v>NO CONVICTION</v>
      </c>
      <c r="BQ2595" s="128" t="str">
        <f t="shared" si="1892"/>
        <v>Y</v>
      </c>
      <c r="BR2595" s="129" t="str">
        <f t="shared" si="1883"/>
        <v>ON BOND</v>
      </c>
      <c r="BS2595" s="129" t="str">
        <f t="shared" si="1884"/>
        <v>DISPOSED</v>
      </c>
      <c r="BT2595" s="129" t="str">
        <f t="shared" si="1885"/>
        <v>N</v>
      </c>
      <c r="BU2595" s="109">
        <f>IFERROR(Q2595/R2595,BR2595)</f>
        <v>3.6585365853658534E-2</v>
      </c>
      <c r="BV2595" s="109">
        <f t="shared" si="1893"/>
        <v>3.7267080745341616E-2</v>
      </c>
      <c r="BW2595" s="109">
        <f t="shared" si="1908"/>
        <v>6.8171489168308147E-4</v>
      </c>
      <c r="BX2595" s="111">
        <f t="shared" si="1887"/>
        <v>0</v>
      </c>
      <c r="BY2595" s="129">
        <f t="shared" si="1894"/>
        <v>-6</v>
      </c>
      <c r="BZ2595" s="111">
        <f t="shared" si="1895"/>
        <v>0</v>
      </c>
      <c r="CA2595" s="138">
        <f t="shared" si="1896"/>
        <v>6</v>
      </c>
      <c r="CB2595" s="111" t="e">
        <f t="shared" si="1907"/>
        <v>#VALUE!</v>
      </c>
      <c r="CC2595" s="129">
        <f>M2595-I2595+1</f>
        <v>6</v>
      </c>
      <c r="CD2595" s="111">
        <f>CC2595-BF2595</f>
        <v>0</v>
      </c>
      <c r="CG2595" s="129" t="str">
        <f t="shared" si="1897"/>
        <v>N</v>
      </c>
      <c r="CI2595" s="129" t="str">
        <f t="shared" si="1898"/>
        <v>0-10 DAYS</v>
      </c>
      <c r="CJ2595" s="137">
        <f t="shared" si="1899"/>
        <v>1</v>
      </c>
      <c r="CK2595" s="129" t="str">
        <f t="shared" si="1900"/>
        <v>Booked</v>
      </c>
    </row>
    <row r="2596" spans="1:89" ht="15" customHeight="1" x14ac:dyDescent="0.25">
      <c r="A2596" s="111">
        <v>232</v>
      </c>
      <c r="B2596" s="128" t="str">
        <f t="shared" si="1888"/>
        <v>N</v>
      </c>
      <c r="C2596" s="128" t="str">
        <f t="shared" si="1889"/>
        <v>N</v>
      </c>
      <c r="D2596" s="117">
        <v>2599066</v>
      </c>
      <c r="E2596" s="135">
        <f t="shared" si="1890"/>
        <v>6</v>
      </c>
      <c r="F2596" s="124">
        <v>40919</v>
      </c>
      <c r="G2596" s="125">
        <v>40993</v>
      </c>
      <c r="H2596" s="117">
        <v>2599066</v>
      </c>
      <c r="I2596" s="124">
        <v>40919</v>
      </c>
      <c r="J2596" s="124">
        <v>40993</v>
      </c>
      <c r="K2596" s="126" t="s">
        <v>564</v>
      </c>
      <c r="L2596" s="127" t="s">
        <v>564</v>
      </c>
      <c r="N2596" s="129" t="s">
        <v>566</v>
      </c>
      <c r="O2596" s="128" t="s">
        <v>917</v>
      </c>
      <c r="P2596" s="129" t="s">
        <v>39</v>
      </c>
      <c r="Q2596" s="111">
        <f t="shared" si="1903"/>
        <v>75</v>
      </c>
      <c r="R2596" s="111">
        <f t="shared" si="1875"/>
        <v>75</v>
      </c>
      <c r="S2596" s="129">
        <v>0</v>
      </c>
      <c r="T2596" s="129">
        <v>0</v>
      </c>
      <c r="W2596" s="111"/>
      <c r="AC2596" s="130"/>
      <c r="AD2596" s="130">
        <v>33884</v>
      </c>
      <c r="AE2596" s="128" t="s">
        <v>32</v>
      </c>
      <c r="AF2596" s="128" t="s">
        <v>69</v>
      </c>
      <c r="AG2596" s="128" t="s">
        <v>874</v>
      </c>
      <c r="AH2596" s="108" t="s">
        <v>31</v>
      </c>
      <c r="AI2596" s="128" t="s">
        <v>53</v>
      </c>
      <c r="AJ2596" s="129" t="s">
        <v>89</v>
      </c>
      <c r="AK2596" s="129">
        <v>4</v>
      </c>
      <c r="AL2596" s="3" t="s">
        <v>362</v>
      </c>
      <c r="AM2596" s="117">
        <v>5</v>
      </c>
      <c r="AP2596" s="129" t="s">
        <v>56</v>
      </c>
      <c r="AR2596" s="128" t="s">
        <v>50</v>
      </c>
      <c r="AS2596" s="129" t="s">
        <v>57</v>
      </c>
      <c r="BC2596" s="129" t="s">
        <v>38</v>
      </c>
      <c r="BF2596" s="111">
        <f t="shared" si="1905"/>
        <v>75</v>
      </c>
      <c r="BG2596" s="111">
        <f t="shared" si="1906"/>
        <v>75</v>
      </c>
      <c r="BH2596" s="111">
        <f t="shared" si="1878"/>
        <v>75</v>
      </c>
      <c r="BI2596" s="111">
        <f t="shared" si="1881"/>
        <v>19.221311475409838</v>
      </c>
      <c r="BJ2596" s="129">
        <f>G2596-J2596-M2596</f>
        <v>0</v>
      </c>
      <c r="BK2596" s="129">
        <f t="shared" si="1879"/>
        <v>0</v>
      </c>
      <c r="BL2596" s="129" t="str">
        <f t="shared" si="1874"/>
        <v>CONVICTION</v>
      </c>
      <c r="BM2596" s="129" t="str">
        <f>O2596</f>
        <v>NONE</v>
      </c>
      <c r="BN2596" s="129" t="s">
        <v>566</v>
      </c>
      <c r="BP2596" s="137" t="str">
        <f t="shared" si="1882"/>
        <v>CONVICTION</v>
      </c>
      <c r="BQ2596" s="128" t="str">
        <f t="shared" si="1892"/>
        <v>Y</v>
      </c>
      <c r="BR2596" s="129" t="str">
        <f t="shared" si="1883"/>
        <v>DETAINED</v>
      </c>
      <c r="BS2596" s="129" t="str">
        <f t="shared" si="1884"/>
        <v>DISPOSED</v>
      </c>
      <c r="BT2596" s="129" t="str">
        <f t="shared" si="1885"/>
        <v>N</v>
      </c>
      <c r="BU2596" s="109">
        <f t="shared" si="1886"/>
        <v>1</v>
      </c>
      <c r="BV2596" s="109">
        <f t="shared" si="1893"/>
        <v>1</v>
      </c>
      <c r="BW2596" s="109">
        <f t="shared" si="1908"/>
        <v>0</v>
      </c>
      <c r="BX2596" s="111">
        <f t="shared" si="1887"/>
        <v>0</v>
      </c>
      <c r="BY2596" s="129">
        <f t="shared" si="1894"/>
        <v>-75</v>
      </c>
      <c r="BZ2596" s="111">
        <f t="shared" si="1895"/>
        <v>0</v>
      </c>
      <c r="CA2596" s="138">
        <f t="shared" si="1896"/>
        <v>75</v>
      </c>
      <c r="CB2596" s="111" t="e">
        <f t="shared" si="1907"/>
        <v>#VALUE!</v>
      </c>
      <c r="CC2596" s="129">
        <f>G2596-I2596+1</f>
        <v>75</v>
      </c>
      <c r="CD2596" s="129">
        <f>G2596-J2596</f>
        <v>0</v>
      </c>
      <c r="CG2596" s="129" t="str">
        <f t="shared" si="1897"/>
        <v>N</v>
      </c>
      <c r="CI2596" s="129" t="str">
        <f t="shared" si="1898"/>
        <v>61-90 DAYS</v>
      </c>
      <c r="CJ2596" s="137">
        <f t="shared" si="1899"/>
        <v>4</v>
      </c>
      <c r="CK2596" s="129" t="str">
        <f t="shared" si="1900"/>
        <v>Booked</v>
      </c>
    </row>
    <row r="2597" spans="1:89" ht="15.75" customHeight="1" x14ac:dyDescent="0.25">
      <c r="A2597" s="111">
        <v>233</v>
      </c>
      <c r="B2597" s="128" t="str">
        <f t="shared" si="1888"/>
        <v>N</v>
      </c>
      <c r="C2597" s="128" t="str">
        <f t="shared" si="1889"/>
        <v>N</v>
      </c>
      <c r="D2597" s="117">
        <v>2599067</v>
      </c>
      <c r="E2597" s="135">
        <f t="shared" si="1890"/>
        <v>2</v>
      </c>
      <c r="F2597" s="124">
        <v>40919</v>
      </c>
      <c r="G2597" s="125">
        <v>41032</v>
      </c>
      <c r="H2597" s="117">
        <v>2599067</v>
      </c>
      <c r="I2597" s="124">
        <v>40919</v>
      </c>
      <c r="J2597" s="124">
        <v>40920</v>
      </c>
      <c r="K2597" s="126">
        <v>10000</v>
      </c>
      <c r="L2597" s="127" t="s">
        <v>570</v>
      </c>
      <c r="M2597" s="125">
        <v>40920</v>
      </c>
      <c r="N2597" s="129" t="str">
        <f>IF(M2597&gt;1/1/1,"Y","N")</f>
        <v>Y</v>
      </c>
      <c r="O2597" s="128" t="s">
        <v>76</v>
      </c>
      <c r="P2597" s="129" t="s">
        <v>589</v>
      </c>
      <c r="Q2597" s="111">
        <f t="shared" si="1903"/>
        <v>2</v>
      </c>
      <c r="R2597" s="111">
        <f t="shared" si="1875"/>
        <v>114</v>
      </c>
      <c r="S2597" s="129">
        <v>0</v>
      </c>
      <c r="T2597" s="129">
        <v>0</v>
      </c>
      <c r="W2597" s="111"/>
      <c r="AB2597" s="131" t="s">
        <v>112</v>
      </c>
      <c r="AC2597" s="130"/>
      <c r="AD2597" s="130">
        <v>34597</v>
      </c>
      <c r="AE2597" s="128" t="s">
        <v>32</v>
      </c>
      <c r="AF2597" s="128" t="s">
        <v>40</v>
      </c>
      <c r="AG2597" s="128" t="s">
        <v>41</v>
      </c>
      <c r="AH2597" s="108" t="s">
        <v>31</v>
      </c>
      <c r="AI2597" s="128" t="s">
        <v>53</v>
      </c>
      <c r="AJ2597" s="129" t="s">
        <v>48</v>
      </c>
      <c r="AK2597" s="129">
        <v>8</v>
      </c>
      <c r="AL2597" s="3" t="s">
        <v>48</v>
      </c>
      <c r="AP2597" s="129" t="s">
        <v>56</v>
      </c>
      <c r="AR2597" s="128" t="s">
        <v>50</v>
      </c>
      <c r="AS2597" s="129" t="s">
        <v>57</v>
      </c>
      <c r="BC2597" s="129" t="s">
        <v>52</v>
      </c>
      <c r="BF2597" s="111">
        <f t="shared" si="1905"/>
        <v>2</v>
      </c>
      <c r="BG2597" s="111">
        <f t="shared" si="1906"/>
        <v>114</v>
      </c>
      <c r="BH2597" s="111">
        <f t="shared" si="1878"/>
        <v>114</v>
      </c>
      <c r="BI2597" s="111">
        <f t="shared" si="1881"/>
        <v>17.273224043715846</v>
      </c>
      <c r="BJ2597" s="129">
        <f>(G2597-J2597)+(M2597-G2597)</f>
        <v>0</v>
      </c>
      <c r="BK2597" s="129">
        <f t="shared" si="1879"/>
        <v>-112</v>
      </c>
      <c r="BL2597" s="129" t="str">
        <f t="shared" si="1874"/>
        <v>DEFERRED</v>
      </c>
      <c r="BM2597" s="129" t="s">
        <v>76</v>
      </c>
      <c r="BN2597" s="129" t="s">
        <v>88</v>
      </c>
      <c r="BP2597" s="137" t="str">
        <f t="shared" si="1882"/>
        <v>DEFERRED</v>
      </c>
      <c r="BQ2597" s="128" t="str">
        <f t="shared" si="1892"/>
        <v>Y</v>
      </c>
      <c r="BR2597" s="129" t="str">
        <f t="shared" si="1883"/>
        <v>ON BOND</v>
      </c>
      <c r="BS2597" s="129" t="str">
        <f t="shared" si="1884"/>
        <v>DISPOSED</v>
      </c>
      <c r="BT2597" s="129" t="str">
        <f t="shared" si="1885"/>
        <v>N</v>
      </c>
      <c r="BU2597" s="109">
        <f t="shared" si="1886"/>
        <v>1.7543859649122806E-2</v>
      </c>
      <c r="BV2597" s="109">
        <f t="shared" si="1893"/>
        <v>1.7543859649122806E-2</v>
      </c>
      <c r="BW2597" s="109">
        <f t="shared" si="1908"/>
        <v>0</v>
      </c>
      <c r="BX2597" s="111">
        <f t="shared" si="1887"/>
        <v>0</v>
      </c>
      <c r="BY2597" s="129">
        <f t="shared" si="1894"/>
        <v>-2</v>
      </c>
      <c r="BZ2597" s="111">
        <f t="shared" si="1895"/>
        <v>0</v>
      </c>
      <c r="CA2597" s="138">
        <f t="shared" si="1896"/>
        <v>2</v>
      </c>
      <c r="CB2597" s="111" t="e">
        <f t="shared" si="1907"/>
        <v>#VALUE!</v>
      </c>
      <c r="CC2597" s="129">
        <f>M2597-I2597+1</f>
        <v>2</v>
      </c>
      <c r="CD2597" s="111">
        <f>CC2597-BF2597</f>
        <v>0</v>
      </c>
      <c r="CG2597" s="129" t="str">
        <f t="shared" si="1897"/>
        <v>N</v>
      </c>
      <c r="CI2597" s="129" t="str">
        <f t="shared" si="1898"/>
        <v>0-10 DAYS</v>
      </c>
      <c r="CJ2597" s="137">
        <f t="shared" si="1899"/>
        <v>1</v>
      </c>
      <c r="CK2597" s="129" t="str">
        <f t="shared" si="1900"/>
        <v>Booked</v>
      </c>
    </row>
    <row r="2598" spans="1:89" ht="15" customHeight="1" x14ac:dyDescent="0.25">
      <c r="A2598" s="111">
        <v>1715</v>
      </c>
      <c r="B2598" s="128" t="str">
        <f t="shared" si="1888"/>
        <v>N</v>
      </c>
      <c r="C2598" s="128" t="str">
        <f t="shared" si="1889"/>
        <v>N</v>
      </c>
      <c r="D2598" s="117">
        <v>2599080</v>
      </c>
      <c r="E2598" s="135">
        <f t="shared" si="1890"/>
        <v>2</v>
      </c>
      <c r="F2598" s="124">
        <v>40972</v>
      </c>
      <c r="G2598" s="125">
        <v>41191</v>
      </c>
      <c r="H2598" s="117">
        <v>2599080</v>
      </c>
      <c r="I2598" s="124">
        <v>40972</v>
      </c>
      <c r="J2598" s="124">
        <v>41191</v>
      </c>
      <c r="K2598" s="126">
        <v>30000</v>
      </c>
      <c r="L2598" s="129" t="s">
        <v>572</v>
      </c>
      <c r="N2598" s="129" t="str">
        <f>IF(M2598&gt;1/1/1,"Y","N")</f>
        <v>N</v>
      </c>
      <c r="O2598" s="128" t="s">
        <v>917</v>
      </c>
      <c r="P2598" s="129" t="s">
        <v>589</v>
      </c>
      <c r="Q2598" s="111">
        <f t="shared" si="1903"/>
        <v>220</v>
      </c>
      <c r="R2598" s="111">
        <f t="shared" si="1875"/>
        <v>220</v>
      </c>
      <c r="S2598" s="129">
        <v>0</v>
      </c>
      <c r="T2598" s="129">
        <v>2</v>
      </c>
      <c r="W2598" s="111"/>
      <c r="AC2598" s="130"/>
      <c r="AD2598" s="130">
        <v>34691</v>
      </c>
      <c r="AE2598" s="128" t="s">
        <v>32</v>
      </c>
      <c r="AF2598" s="128" t="s">
        <v>33</v>
      </c>
      <c r="AG2598" s="128" t="s">
        <v>872</v>
      </c>
      <c r="AH2598" s="108" t="s">
        <v>31</v>
      </c>
      <c r="AI2598" s="128" t="s">
        <v>47</v>
      </c>
      <c r="AJ2598" s="129" t="s">
        <v>48</v>
      </c>
      <c r="AK2598" s="129">
        <v>8</v>
      </c>
      <c r="AL2598" s="3" t="s">
        <v>48</v>
      </c>
      <c r="AP2598" s="129" t="s">
        <v>105</v>
      </c>
      <c r="AR2598" s="128" t="s">
        <v>92</v>
      </c>
      <c r="AS2598" s="129" t="s">
        <v>106</v>
      </c>
      <c r="BC2598" s="129" t="s">
        <v>52</v>
      </c>
      <c r="BF2598" s="111">
        <f t="shared" si="1905"/>
        <v>220</v>
      </c>
      <c r="BG2598" s="111">
        <f t="shared" si="1906"/>
        <v>220</v>
      </c>
      <c r="BH2598" s="111">
        <f t="shared" si="1878"/>
        <v>220</v>
      </c>
      <c r="BI2598" s="111">
        <f t="shared" si="1881"/>
        <v>17.161202185792348</v>
      </c>
      <c r="BJ2598" s="129">
        <f>G2598-J2598-M2598</f>
        <v>0</v>
      </c>
      <c r="BK2598" s="129">
        <f t="shared" si="1879"/>
        <v>0</v>
      </c>
      <c r="BL2598" s="129" t="str">
        <f t="shared" si="1874"/>
        <v>DEFERRED</v>
      </c>
      <c r="BM2598" s="129" t="str">
        <f>O2598</f>
        <v>NONE</v>
      </c>
      <c r="BN2598" s="129" t="s">
        <v>566</v>
      </c>
      <c r="BP2598" s="137" t="str">
        <f t="shared" si="1882"/>
        <v>DEFERRED</v>
      </c>
      <c r="BQ2598" s="128" t="str">
        <f t="shared" si="1892"/>
        <v>Y</v>
      </c>
      <c r="BR2598" s="129" t="str">
        <f t="shared" si="1883"/>
        <v>DETAINED</v>
      </c>
      <c r="BS2598" s="129" t="str">
        <f t="shared" si="1884"/>
        <v>DISPOSED</v>
      </c>
      <c r="BT2598" s="129" t="str">
        <f t="shared" si="1885"/>
        <v>N</v>
      </c>
      <c r="BU2598" s="109">
        <f t="shared" si="1886"/>
        <v>1</v>
      </c>
      <c r="BV2598" s="109">
        <f t="shared" si="1893"/>
        <v>1</v>
      </c>
      <c r="BW2598" s="109">
        <f t="shared" si="1908"/>
        <v>0</v>
      </c>
      <c r="BX2598" s="111">
        <f t="shared" si="1887"/>
        <v>0</v>
      </c>
      <c r="BY2598" s="129">
        <f t="shared" si="1894"/>
        <v>-220</v>
      </c>
      <c r="BZ2598" s="111">
        <f t="shared" si="1895"/>
        <v>0</v>
      </c>
      <c r="CA2598" s="138">
        <f t="shared" si="1896"/>
        <v>220</v>
      </c>
      <c r="CB2598" s="111" t="e">
        <f t="shared" si="1907"/>
        <v>#VALUE!</v>
      </c>
      <c r="CC2598" s="129">
        <f>G2598-I2598+1</f>
        <v>220</v>
      </c>
      <c r="CD2598" s="129">
        <f>G2598-J2598</f>
        <v>0</v>
      </c>
      <c r="CG2598" s="129" t="str">
        <f t="shared" si="1897"/>
        <v>Y</v>
      </c>
      <c r="CI2598" s="129" t="str">
        <f t="shared" si="1898"/>
        <v>121-365 DAYS</v>
      </c>
      <c r="CJ2598" s="137">
        <f t="shared" si="1899"/>
        <v>6</v>
      </c>
      <c r="CK2598" s="129" t="str">
        <f t="shared" si="1900"/>
        <v>Booked</v>
      </c>
    </row>
    <row r="2599" spans="1:89" ht="15.75" customHeight="1" x14ac:dyDescent="0.25">
      <c r="A2599" s="111">
        <v>902</v>
      </c>
      <c r="B2599" s="128" t="str">
        <f t="shared" si="1888"/>
        <v>N</v>
      </c>
      <c r="C2599" s="128" t="str">
        <f t="shared" si="1889"/>
        <v>N</v>
      </c>
      <c r="D2599" s="117">
        <v>2599083</v>
      </c>
      <c r="E2599" s="135">
        <f t="shared" si="1890"/>
        <v>6</v>
      </c>
      <c r="F2599" s="124">
        <v>40942</v>
      </c>
      <c r="G2599" s="125">
        <v>41197</v>
      </c>
      <c r="H2599" s="117">
        <v>2599083</v>
      </c>
      <c r="I2599" s="124">
        <v>40943</v>
      </c>
      <c r="J2599" s="124">
        <v>41197</v>
      </c>
      <c r="K2599" s="126">
        <v>30000</v>
      </c>
      <c r="L2599" s="129" t="s">
        <v>572</v>
      </c>
      <c r="N2599" s="129" t="str">
        <f>IF(M2599&gt;1/1/1,"Y","N")</f>
        <v>N</v>
      </c>
      <c r="O2599" s="128" t="s">
        <v>917</v>
      </c>
      <c r="P2599" s="129" t="s">
        <v>39</v>
      </c>
      <c r="Q2599" s="111">
        <f t="shared" si="1903"/>
        <v>255</v>
      </c>
      <c r="R2599" s="111">
        <f t="shared" si="1875"/>
        <v>256</v>
      </c>
      <c r="S2599" s="129">
        <v>0</v>
      </c>
      <c r="T2599" s="129">
        <v>1</v>
      </c>
      <c r="W2599" s="111"/>
      <c r="AC2599" s="130"/>
      <c r="AD2599" s="130">
        <v>34194</v>
      </c>
      <c r="AE2599" s="128" t="s">
        <v>32</v>
      </c>
      <c r="AF2599" s="128" t="s">
        <v>33</v>
      </c>
      <c r="AG2599" s="128" t="s">
        <v>872</v>
      </c>
      <c r="AH2599" s="108" t="s">
        <v>31</v>
      </c>
      <c r="AI2599" s="128" t="s">
        <v>85</v>
      </c>
      <c r="AJ2599" s="129" t="s">
        <v>89</v>
      </c>
      <c r="AK2599" s="129">
        <v>8</v>
      </c>
      <c r="AL2599" s="3" t="s">
        <v>362</v>
      </c>
      <c r="AM2599" s="117">
        <v>2</v>
      </c>
      <c r="AP2599" s="129" t="s">
        <v>73</v>
      </c>
      <c r="AR2599" s="128" t="s">
        <v>50</v>
      </c>
      <c r="AS2599" s="129" t="s">
        <v>74</v>
      </c>
      <c r="BC2599" s="129" t="s">
        <v>38</v>
      </c>
      <c r="BF2599" s="111">
        <f t="shared" si="1905"/>
        <v>255</v>
      </c>
      <c r="BG2599" s="111">
        <f t="shared" si="1906"/>
        <v>255</v>
      </c>
      <c r="BH2599" s="111">
        <f t="shared" si="1878"/>
        <v>256</v>
      </c>
      <c r="BI2599" s="111">
        <f t="shared" si="1881"/>
        <v>18.437158469945356</v>
      </c>
      <c r="BJ2599" s="129">
        <f>G2599-J2599-M2599</f>
        <v>0</v>
      </c>
      <c r="BK2599" s="129">
        <f t="shared" si="1879"/>
        <v>0</v>
      </c>
      <c r="BL2599" s="129" t="str">
        <f t="shared" si="1874"/>
        <v>CONVICTION</v>
      </c>
      <c r="BM2599" s="129" t="str">
        <f>O2599</f>
        <v>NONE</v>
      </c>
      <c r="BN2599" s="129" t="s">
        <v>566</v>
      </c>
      <c r="BP2599" s="137" t="str">
        <f t="shared" si="1882"/>
        <v>CONVICTION</v>
      </c>
      <c r="BQ2599" s="128" t="str">
        <f t="shared" si="1892"/>
        <v>Y</v>
      </c>
      <c r="BR2599" s="129" t="str">
        <f t="shared" si="1883"/>
        <v>DETAINED</v>
      </c>
      <c r="BS2599" s="129" t="str">
        <f t="shared" si="1884"/>
        <v>DISPOSED</v>
      </c>
      <c r="BT2599" s="129" t="str">
        <f t="shared" si="1885"/>
        <v>N</v>
      </c>
      <c r="BU2599" s="109">
        <f t="shared" si="1886"/>
        <v>0.99609375</v>
      </c>
      <c r="BV2599" s="109">
        <f t="shared" si="1893"/>
        <v>1</v>
      </c>
      <c r="BW2599" s="109">
        <f t="shared" si="1908"/>
        <v>3.90625E-3</v>
      </c>
      <c r="BX2599" s="111">
        <f t="shared" si="1887"/>
        <v>0</v>
      </c>
      <c r="BY2599" s="129">
        <f t="shared" si="1894"/>
        <v>-255</v>
      </c>
      <c r="BZ2599" s="111">
        <f t="shared" si="1895"/>
        <v>0</v>
      </c>
      <c r="CA2599" s="138">
        <f t="shared" si="1896"/>
        <v>255</v>
      </c>
      <c r="CB2599" s="111" t="e">
        <f t="shared" si="1907"/>
        <v>#VALUE!</v>
      </c>
      <c r="CC2599" s="129">
        <f>G2599-I2599+1</f>
        <v>255</v>
      </c>
      <c r="CD2599" s="129">
        <f>G2599-J2599</f>
        <v>0</v>
      </c>
      <c r="CG2599" s="129" t="str">
        <f t="shared" si="1897"/>
        <v>Y</v>
      </c>
      <c r="CI2599" s="129" t="str">
        <f t="shared" si="1898"/>
        <v>121-365 DAYS</v>
      </c>
      <c r="CJ2599" s="137">
        <f t="shared" si="1899"/>
        <v>6</v>
      </c>
      <c r="CK2599" s="129" t="str">
        <f t="shared" si="1900"/>
        <v>Booked</v>
      </c>
    </row>
    <row r="2600" spans="1:89" ht="15.75" customHeight="1" x14ac:dyDescent="0.25">
      <c r="A2600" s="111">
        <v>256</v>
      </c>
      <c r="B2600" s="128" t="str">
        <f t="shared" si="1888"/>
        <v>N</v>
      </c>
      <c r="C2600" s="128" t="str">
        <f t="shared" si="1889"/>
        <v>N</v>
      </c>
      <c r="D2600" s="117">
        <v>2599213</v>
      </c>
      <c r="E2600" s="135">
        <f t="shared" si="1890"/>
        <v>1</v>
      </c>
      <c r="F2600" s="124">
        <v>40919</v>
      </c>
      <c r="G2600" s="125">
        <v>40986</v>
      </c>
      <c r="H2600" s="117">
        <v>2599213</v>
      </c>
      <c r="I2600" s="124">
        <v>40941</v>
      </c>
      <c r="J2600" s="124">
        <v>40944</v>
      </c>
      <c r="K2600" s="126">
        <v>5000</v>
      </c>
      <c r="L2600" s="127" t="s">
        <v>569</v>
      </c>
      <c r="M2600" s="125">
        <v>40944</v>
      </c>
      <c r="N2600" s="129" t="str">
        <f>IF(M2600&gt;1/1/1,"Y","N")</f>
        <v>Y</v>
      </c>
      <c r="O2600" s="128" t="s">
        <v>76</v>
      </c>
      <c r="P2600" s="129" t="s">
        <v>55</v>
      </c>
      <c r="Q2600" s="111">
        <f t="shared" si="1903"/>
        <v>4</v>
      </c>
      <c r="R2600" s="111">
        <f t="shared" si="1875"/>
        <v>68</v>
      </c>
      <c r="S2600" s="129">
        <v>0</v>
      </c>
      <c r="T2600" s="129">
        <v>0</v>
      </c>
      <c r="W2600" s="111"/>
      <c r="AC2600" s="130"/>
      <c r="AD2600" s="130">
        <v>34345</v>
      </c>
      <c r="AE2600" s="128" t="s">
        <v>32</v>
      </c>
      <c r="AF2600" s="128" t="s">
        <v>33</v>
      </c>
      <c r="AG2600" s="128" t="s">
        <v>872</v>
      </c>
      <c r="AH2600" s="108" t="s">
        <v>31</v>
      </c>
      <c r="AI2600" s="128" t="s">
        <v>71</v>
      </c>
      <c r="AJ2600" s="129" t="s">
        <v>55</v>
      </c>
      <c r="AK2600" s="129">
        <v>3</v>
      </c>
      <c r="AL2600" s="3" t="s">
        <v>55</v>
      </c>
      <c r="AP2600" s="129" t="s">
        <v>181</v>
      </c>
      <c r="AR2600" s="128" t="s">
        <v>67</v>
      </c>
      <c r="AS2600" s="129" t="s">
        <v>64</v>
      </c>
      <c r="BC2600" s="129" t="s">
        <v>99</v>
      </c>
      <c r="BF2600" s="111">
        <f t="shared" si="1905"/>
        <v>4</v>
      </c>
      <c r="BG2600" s="111">
        <f t="shared" si="1906"/>
        <v>46</v>
      </c>
      <c r="BH2600" s="111">
        <f t="shared" si="1878"/>
        <v>68</v>
      </c>
      <c r="BI2600" s="111">
        <f t="shared" si="1881"/>
        <v>17.961748633879782</v>
      </c>
      <c r="BJ2600" s="129">
        <f t="shared" ref="BJ2600:BJ2606" si="1909">(G2600-J2600)+(M2600-G2600)</f>
        <v>0</v>
      </c>
      <c r="BK2600" s="129">
        <f t="shared" si="1879"/>
        <v>-42</v>
      </c>
      <c r="BL2600" s="129" t="str">
        <f t="shared" si="1874"/>
        <v>NO CONVICTION</v>
      </c>
      <c r="BM2600" s="129" t="s">
        <v>76</v>
      </c>
      <c r="BN2600" s="129" t="s">
        <v>88</v>
      </c>
      <c r="BP2600" s="137" t="str">
        <f t="shared" si="1882"/>
        <v>NO CONVICTION</v>
      </c>
      <c r="BQ2600" s="128" t="str">
        <f t="shared" si="1892"/>
        <v>Y</v>
      </c>
      <c r="BR2600" s="129" t="str">
        <f t="shared" si="1883"/>
        <v>ON BOND</v>
      </c>
      <c r="BS2600" s="129" t="str">
        <f t="shared" si="1884"/>
        <v>DISPOSED</v>
      </c>
      <c r="BT2600" s="129" t="str">
        <f t="shared" si="1885"/>
        <v>N</v>
      </c>
      <c r="BU2600" s="109">
        <f>IFERROR(Q2600/R2600,BR2600)</f>
        <v>5.8823529411764705E-2</v>
      </c>
      <c r="BV2600" s="109">
        <f t="shared" si="1893"/>
        <v>8.6956521739130432E-2</v>
      </c>
      <c r="BW2600" s="109">
        <f t="shared" si="1908"/>
        <v>2.8132992327365727E-2</v>
      </c>
      <c r="BX2600" s="111">
        <f t="shared" si="1887"/>
        <v>0</v>
      </c>
      <c r="BY2600" s="129">
        <f t="shared" si="1894"/>
        <v>-4</v>
      </c>
      <c r="BZ2600" s="111">
        <f t="shared" si="1895"/>
        <v>0</v>
      </c>
      <c r="CA2600" s="138">
        <f t="shared" si="1896"/>
        <v>4</v>
      </c>
      <c r="CB2600" s="111" t="e">
        <f t="shared" si="1907"/>
        <v>#VALUE!</v>
      </c>
      <c r="CC2600" s="129">
        <f t="shared" ref="CC2600:CC2606" si="1910">M2600-I2600+1</f>
        <v>4</v>
      </c>
      <c r="CD2600" s="111">
        <f t="shared" ref="CD2600:CD2606" si="1911">CC2600-BF2600</f>
        <v>0</v>
      </c>
      <c r="CG2600" s="129" t="str">
        <f t="shared" si="1897"/>
        <v>N</v>
      </c>
      <c r="CI2600" s="129" t="str">
        <f t="shared" si="1898"/>
        <v>0-10 DAYS</v>
      </c>
      <c r="CJ2600" s="137">
        <f t="shared" si="1899"/>
        <v>1</v>
      </c>
      <c r="CK2600" s="129" t="str">
        <f t="shared" si="1900"/>
        <v>Booked</v>
      </c>
    </row>
    <row r="2601" spans="1:89" ht="15.75" customHeight="1" x14ac:dyDescent="0.25">
      <c r="A2601" s="111">
        <v>250</v>
      </c>
      <c r="B2601" s="128" t="str">
        <f t="shared" si="1888"/>
        <v>N</v>
      </c>
      <c r="C2601" s="128" t="str">
        <f t="shared" si="1889"/>
        <v>N</v>
      </c>
      <c r="D2601" s="117">
        <v>2599214</v>
      </c>
      <c r="E2601" s="135">
        <f t="shared" si="1890"/>
        <v>1</v>
      </c>
      <c r="F2601" s="124">
        <v>40919</v>
      </c>
      <c r="G2601" s="125">
        <v>40953</v>
      </c>
      <c r="H2601" s="117">
        <v>2599214</v>
      </c>
      <c r="I2601" s="124">
        <v>40919</v>
      </c>
      <c r="J2601" s="124">
        <v>40921</v>
      </c>
      <c r="K2601" s="126">
        <v>4000</v>
      </c>
      <c r="L2601" s="127" t="s">
        <v>569</v>
      </c>
      <c r="M2601" s="125">
        <v>40921</v>
      </c>
      <c r="N2601" s="129" t="str">
        <f>IF(M2601&gt;1/1/1,"Y","N")</f>
        <v>Y</v>
      </c>
      <c r="O2601" s="128" t="s">
        <v>76</v>
      </c>
      <c r="P2601" s="129" t="s">
        <v>55</v>
      </c>
      <c r="Q2601" s="111">
        <f t="shared" si="1903"/>
        <v>3</v>
      </c>
      <c r="R2601" s="111">
        <f t="shared" si="1875"/>
        <v>35</v>
      </c>
      <c r="S2601" s="129">
        <v>0</v>
      </c>
      <c r="T2601" s="129">
        <v>0</v>
      </c>
      <c r="W2601" s="111"/>
      <c r="AC2601" s="130"/>
      <c r="AD2601" s="130">
        <v>33044</v>
      </c>
      <c r="AE2601" s="128" t="s">
        <v>32</v>
      </c>
      <c r="AF2601" s="128" t="s">
        <v>33</v>
      </c>
      <c r="AG2601" s="128" t="s">
        <v>872</v>
      </c>
      <c r="AH2601" s="108" t="s">
        <v>31</v>
      </c>
      <c r="AI2601" s="128" t="s">
        <v>85</v>
      </c>
      <c r="AJ2601" s="129" t="s">
        <v>55</v>
      </c>
      <c r="AK2601" s="129">
        <v>2</v>
      </c>
      <c r="AL2601" s="3" t="s">
        <v>55</v>
      </c>
      <c r="AP2601" s="129" t="s">
        <v>104</v>
      </c>
      <c r="AR2601" s="128" t="s">
        <v>44</v>
      </c>
      <c r="AS2601" s="129" t="s">
        <v>64</v>
      </c>
      <c r="BC2601" s="129" t="s">
        <v>38</v>
      </c>
      <c r="BF2601" s="111">
        <f t="shared" si="1905"/>
        <v>3</v>
      </c>
      <c r="BG2601" s="111">
        <f t="shared" si="1906"/>
        <v>35</v>
      </c>
      <c r="BH2601" s="111">
        <f t="shared" si="1878"/>
        <v>35</v>
      </c>
      <c r="BI2601" s="111">
        <f t="shared" si="1881"/>
        <v>21.516393442622952</v>
      </c>
      <c r="BJ2601" s="129">
        <f t="shared" si="1909"/>
        <v>0</v>
      </c>
      <c r="BK2601" s="129">
        <f t="shared" si="1879"/>
        <v>-32</v>
      </c>
      <c r="BL2601" s="129" t="str">
        <f t="shared" si="1874"/>
        <v>NO CONVICTION</v>
      </c>
      <c r="BM2601" s="129" t="s">
        <v>76</v>
      </c>
      <c r="BN2601" s="129" t="s">
        <v>88</v>
      </c>
      <c r="BP2601" s="137" t="str">
        <f t="shared" si="1882"/>
        <v>NO CONVICTION</v>
      </c>
      <c r="BQ2601" s="128" t="str">
        <f t="shared" si="1892"/>
        <v>Y</v>
      </c>
      <c r="BR2601" s="129" t="str">
        <f t="shared" si="1883"/>
        <v>ON BOND</v>
      </c>
      <c r="BS2601" s="129" t="str">
        <f t="shared" si="1884"/>
        <v>DISPOSED</v>
      </c>
      <c r="BT2601" s="129" t="str">
        <f t="shared" si="1885"/>
        <v>N</v>
      </c>
      <c r="BU2601" s="109">
        <f>IFERROR(Q2601/R2601,BR2601)</f>
        <v>8.5714285714285715E-2</v>
      </c>
      <c r="BV2601" s="109">
        <f t="shared" si="1893"/>
        <v>8.5714285714285715E-2</v>
      </c>
      <c r="BW2601" s="109">
        <f t="shared" si="1908"/>
        <v>0</v>
      </c>
      <c r="BX2601" s="111">
        <f t="shared" si="1887"/>
        <v>0</v>
      </c>
      <c r="BY2601" s="129">
        <f t="shared" si="1894"/>
        <v>-3</v>
      </c>
      <c r="BZ2601" s="111">
        <f t="shared" si="1895"/>
        <v>0</v>
      </c>
      <c r="CA2601" s="138">
        <f t="shared" si="1896"/>
        <v>3</v>
      </c>
      <c r="CB2601" s="111" t="e">
        <f t="shared" si="1907"/>
        <v>#VALUE!</v>
      </c>
      <c r="CC2601" s="129">
        <f t="shared" si="1910"/>
        <v>3</v>
      </c>
      <c r="CD2601" s="111">
        <f t="shared" si="1911"/>
        <v>0</v>
      </c>
      <c r="CG2601" s="129" t="str">
        <f t="shared" si="1897"/>
        <v>N</v>
      </c>
      <c r="CI2601" s="129" t="str">
        <f t="shared" si="1898"/>
        <v>0-10 DAYS</v>
      </c>
      <c r="CJ2601" s="137">
        <f t="shared" si="1899"/>
        <v>1</v>
      </c>
      <c r="CK2601" s="129" t="str">
        <f t="shared" si="1900"/>
        <v>Booked</v>
      </c>
    </row>
    <row r="2602" spans="1:89" ht="15.75" customHeight="1" x14ac:dyDescent="0.25">
      <c r="A2602" s="111">
        <v>1579</v>
      </c>
      <c r="B2602" s="128" t="str">
        <f t="shared" si="1888"/>
        <v>N</v>
      </c>
      <c r="C2602" s="128" t="str">
        <f t="shared" si="1889"/>
        <v>N</v>
      </c>
      <c r="D2602" s="117">
        <v>2599215</v>
      </c>
      <c r="E2602" s="135">
        <f t="shared" si="1890"/>
        <v>1</v>
      </c>
      <c r="F2602" s="124">
        <v>40967</v>
      </c>
      <c r="G2602" s="125">
        <v>41025</v>
      </c>
      <c r="H2602" s="117">
        <v>2599215</v>
      </c>
      <c r="I2602" s="124" t="s">
        <v>562</v>
      </c>
      <c r="J2602" s="124" t="s">
        <v>562</v>
      </c>
      <c r="K2602" s="126">
        <v>5000</v>
      </c>
      <c r="L2602" s="127" t="s">
        <v>569</v>
      </c>
      <c r="M2602" s="125">
        <v>40968</v>
      </c>
      <c r="N2602" s="129" t="str">
        <f>IF(M2602&gt;1/1/1,"Y",IF(Q2602="0","","N"))</f>
        <v>Y</v>
      </c>
      <c r="O2602" s="128" t="s">
        <v>76</v>
      </c>
      <c r="P2602" s="129" t="s">
        <v>55</v>
      </c>
      <c r="Q2602" s="111">
        <f t="shared" si="1903"/>
        <v>0</v>
      </c>
      <c r="R2602" s="111">
        <f t="shared" si="1875"/>
        <v>59</v>
      </c>
      <c r="S2602" s="129">
        <v>0</v>
      </c>
      <c r="T2602" s="129">
        <v>0</v>
      </c>
      <c r="W2602" s="111"/>
      <c r="AC2602" s="130"/>
      <c r="AD2602" s="130">
        <v>31843</v>
      </c>
      <c r="AE2602" s="128" t="s">
        <v>32</v>
      </c>
      <c r="AF2602" s="128" t="s">
        <v>69</v>
      </c>
      <c r="AG2602" s="128" t="s">
        <v>874</v>
      </c>
      <c r="AH2602" s="108" t="s">
        <v>31</v>
      </c>
      <c r="AI2602" s="128" t="s">
        <v>113</v>
      </c>
      <c r="AJ2602" s="129" t="s">
        <v>55</v>
      </c>
      <c r="AK2602" s="129">
        <v>4</v>
      </c>
      <c r="AL2602" s="3" t="s">
        <v>55</v>
      </c>
      <c r="AP2602" s="129" t="s">
        <v>117</v>
      </c>
      <c r="AR2602" s="128" t="s">
        <v>67</v>
      </c>
      <c r="AS2602" s="129" t="s">
        <v>45</v>
      </c>
      <c r="BC2602" s="129" t="s">
        <v>38</v>
      </c>
      <c r="BF2602" s="111">
        <v>0</v>
      </c>
      <c r="BG2602" s="111">
        <v>0</v>
      </c>
      <c r="BH2602" s="111">
        <f t="shared" si="1878"/>
        <v>59</v>
      </c>
      <c r="BI2602" s="111">
        <f t="shared" si="1881"/>
        <v>24.928961748633881</v>
      </c>
      <c r="BJ2602" s="129" t="e">
        <f t="shared" si="1909"/>
        <v>#VALUE!</v>
      </c>
      <c r="BK2602" s="129" t="e">
        <f t="shared" si="1879"/>
        <v>#VALUE!</v>
      </c>
      <c r="BL2602" s="129" t="str">
        <f t="shared" si="1874"/>
        <v>NO CONVICTION</v>
      </c>
      <c r="BM2602" s="129" t="s">
        <v>76</v>
      </c>
      <c r="BN2602" s="129" t="s">
        <v>88</v>
      </c>
      <c r="BP2602" s="137" t="str">
        <f t="shared" si="1882"/>
        <v>NO CONVICTION</v>
      </c>
      <c r="BQ2602" s="128">
        <f t="shared" si="1892"/>
        <v>0</v>
      </c>
      <c r="BR2602" s="129" t="s">
        <v>575</v>
      </c>
      <c r="BS2602" s="129" t="str">
        <f t="shared" si="1884"/>
        <v>DISPOSED</v>
      </c>
      <c r="BT2602" s="129" t="str">
        <f t="shared" si="1885"/>
        <v>N</v>
      </c>
      <c r="BU2602" s="109">
        <f>IFERROR(Q2602/R2602,BR2602)</f>
        <v>0</v>
      </c>
      <c r="BV2602" s="109">
        <v>0</v>
      </c>
      <c r="BW2602" s="109">
        <f t="shared" si="1908"/>
        <v>0</v>
      </c>
      <c r="BX2602" s="111">
        <f t="shared" si="1887"/>
        <v>0</v>
      </c>
      <c r="BY2602" s="129" t="e">
        <f t="shared" si="1894"/>
        <v>#VALUE!</v>
      </c>
      <c r="BZ2602" s="111" t="e">
        <f t="shared" si="1895"/>
        <v>#VALUE!</v>
      </c>
      <c r="CA2602" s="138" t="e">
        <f t="shared" si="1896"/>
        <v>#VALUE!</v>
      </c>
      <c r="CB2602" s="111">
        <v>0</v>
      </c>
      <c r="CC2602" s="129">
        <v>0</v>
      </c>
      <c r="CD2602" s="111">
        <f t="shared" si="1911"/>
        <v>0</v>
      </c>
      <c r="CG2602" s="129" t="str">
        <f t="shared" si="1897"/>
        <v>N</v>
      </c>
      <c r="CI2602" s="129" t="str">
        <f t="shared" si="1898"/>
        <v>0-10 DAYS</v>
      </c>
      <c r="CJ2602" s="137">
        <f t="shared" si="1899"/>
        <v>1</v>
      </c>
      <c r="CK2602" s="129" t="str">
        <f t="shared" si="1900"/>
        <v>Not Booked</v>
      </c>
    </row>
    <row r="2603" spans="1:89" ht="15" customHeight="1" x14ac:dyDescent="0.25">
      <c r="A2603" s="111">
        <v>2422</v>
      </c>
      <c r="B2603" s="128" t="str">
        <f t="shared" si="1888"/>
        <v>N</v>
      </c>
      <c r="C2603" s="128" t="str">
        <f t="shared" si="1889"/>
        <v>N</v>
      </c>
      <c r="D2603" s="117">
        <v>2599232</v>
      </c>
      <c r="E2603" s="135">
        <f t="shared" si="1890"/>
        <v>1</v>
      </c>
      <c r="F2603" s="124">
        <v>41000</v>
      </c>
      <c r="G2603" s="125">
        <v>41428</v>
      </c>
      <c r="H2603" s="117">
        <v>2599232</v>
      </c>
      <c r="I2603" s="124">
        <v>41000</v>
      </c>
      <c r="J2603" s="124">
        <v>41002</v>
      </c>
      <c r="K2603" s="126">
        <v>2000</v>
      </c>
      <c r="L2603" s="127" t="s">
        <v>568</v>
      </c>
      <c r="M2603" s="125">
        <v>41002</v>
      </c>
      <c r="N2603" s="129" t="str">
        <f t="shared" ref="N2603:N2621" si="1912">IF(M2603&gt;1/1/1,"Y","N")</f>
        <v>Y</v>
      </c>
      <c r="O2603" s="128" t="s">
        <v>76</v>
      </c>
      <c r="P2603" s="129" t="s">
        <v>55</v>
      </c>
      <c r="Q2603" s="111">
        <f t="shared" si="1903"/>
        <v>3</v>
      </c>
      <c r="R2603" s="111">
        <f t="shared" si="1875"/>
        <v>429</v>
      </c>
      <c r="S2603" s="129">
        <v>0</v>
      </c>
      <c r="T2603" s="129">
        <v>1</v>
      </c>
      <c r="W2603" s="111"/>
      <c r="AC2603" s="130"/>
      <c r="AD2603" s="130">
        <v>30422</v>
      </c>
      <c r="AE2603" s="128" t="s">
        <v>32</v>
      </c>
      <c r="AF2603" s="128" t="s">
        <v>69</v>
      </c>
      <c r="AG2603" s="128" t="s">
        <v>874</v>
      </c>
      <c r="AH2603" s="108" t="s">
        <v>31</v>
      </c>
      <c r="AI2603" s="128" t="s">
        <v>141</v>
      </c>
      <c r="AJ2603" s="129" t="s">
        <v>55</v>
      </c>
      <c r="AK2603" s="129">
        <v>12</v>
      </c>
      <c r="AL2603" s="3" t="s">
        <v>55</v>
      </c>
      <c r="AP2603" s="129" t="s">
        <v>43</v>
      </c>
      <c r="AR2603" s="128" t="s">
        <v>44</v>
      </c>
      <c r="AS2603" s="129" t="s">
        <v>45</v>
      </c>
      <c r="BC2603" s="129" t="s">
        <v>52</v>
      </c>
      <c r="BF2603" s="111">
        <f t="shared" ref="BF2603:BF2621" si="1913">IF(J2603&gt;1/1/1900,((J2603+1)-I2603),"STILL OPEN")</f>
        <v>3</v>
      </c>
      <c r="BG2603" s="111">
        <f t="shared" ref="BG2603:BG2621" si="1914">IF(G2603&gt;1/1/1900,((G2603+1)-I2603),"STILL OPEN")</f>
        <v>429</v>
      </c>
      <c r="BH2603" s="111">
        <f t="shared" si="1878"/>
        <v>429</v>
      </c>
      <c r="BI2603" s="111">
        <f t="shared" si="1881"/>
        <v>28.901639344262296</v>
      </c>
      <c r="BJ2603" s="129">
        <f t="shared" si="1909"/>
        <v>0</v>
      </c>
      <c r="BK2603" s="129">
        <f t="shared" si="1879"/>
        <v>-426</v>
      </c>
      <c r="BL2603" s="129" t="str">
        <f t="shared" si="1874"/>
        <v>NO CONVICTION</v>
      </c>
      <c r="BM2603" s="129" t="s">
        <v>76</v>
      </c>
      <c r="BN2603" s="129" t="s">
        <v>88</v>
      </c>
      <c r="BP2603" s="137" t="str">
        <f t="shared" si="1882"/>
        <v>NO CONVICTION</v>
      </c>
      <c r="BQ2603" s="128" t="str">
        <f t="shared" si="1892"/>
        <v>Y</v>
      </c>
      <c r="BR2603" s="129" t="str">
        <f t="shared" si="1883"/>
        <v>ON BOND</v>
      </c>
      <c r="BS2603" s="129" t="str">
        <f t="shared" si="1884"/>
        <v>DISPOSED</v>
      </c>
      <c r="BT2603" s="129" t="str">
        <f t="shared" si="1885"/>
        <v>N</v>
      </c>
      <c r="BU2603" s="109">
        <f>IFERROR(Q2603/R2603,BR2603)</f>
        <v>6.993006993006993E-3</v>
      </c>
      <c r="BV2603" s="109">
        <f t="shared" si="1893"/>
        <v>6.993006993006993E-3</v>
      </c>
      <c r="BW2603" s="109">
        <f t="shared" si="1908"/>
        <v>0</v>
      </c>
      <c r="BX2603" s="111">
        <f t="shared" si="1887"/>
        <v>0</v>
      </c>
      <c r="BY2603" s="129">
        <f t="shared" si="1894"/>
        <v>-3</v>
      </c>
      <c r="BZ2603" s="111">
        <f t="shared" si="1895"/>
        <v>0</v>
      </c>
      <c r="CA2603" s="138">
        <f t="shared" si="1896"/>
        <v>3</v>
      </c>
      <c r="CB2603" s="111" t="e">
        <f t="shared" ref="CB2603:CB2621" si="1915">IF(AF2603&gt;1/1/1900,((AF2603+1)-AE2603),"STILL OPEN")</f>
        <v>#VALUE!</v>
      </c>
      <c r="CC2603" s="129">
        <f t="shared" si="1910"/>
        <v>3</v>
      </c>
      <c r="CD2603" s="111">
        <f t="shared" si="1911"/>
        <v>0</v>
      </c>
      <c r="CG2603" s="129" t="str">
        <f t="shared" si="1897"/>
        <v>Y</v>
      </c>
      <c r="CI2603" s="129" t="str">
        <f t="shared" si="1898"/>
        <v>0-10 DAYS</v>
      </c>
      <c r="CJ2603" s="137">
        <f t="shared" si="1899"/>
        <v>1</v>
      </c>
      <c r="CK2603" s="129" t="str">
        <f t="shared" si="1900"/>
        <v>Booked</v>
      </c>
    </row>
    <row r="2604" spans="1:89" ht="15.75" customHeight="1" x14ac:dyDescent="0.25">
      <c r="A2604" s="111">
        <v>263</v>
      </c>
      <c r="B2604" s="128" t="str">
        <f t="shared" si="1888"/>
        <v>N</v>
      </c>
      <c r="C2604" s="128" t="str">
        <f t="shared" si="1889"/>
        <v>N</v>
      </c>
      <c r="D2604" s="117">
        <v>2599233</v>
      </c>
      <c r="E2604" s="135">
        <f t="shared" si="1890"/>
        <v>2</v>
      </c>
      <c r="F2604" s="124">
        <v>40919</v>
      </c>
      <c r="G2604" s="125">
        <v>41117</v>
      </c>
      <c r="H2604" s="117">
        <v>2599233</v>
      </c>
      <c r="I2604" s="124">
        <v>40920</v>
      </c>
      <c r="J2604" s="124">
        <v>40922</v>
      </c>
      <c r="K2604" s="126">
        <v>10000</v>
      </c>
      <c r="L2604" s="127" t="s">
        <v>570</v>
      </c>
      <c r="M2604" s="125">
        <v>40922</v>
      </c>
      <c r="N2604" s="129" t="str">
        <f t="shared" si="1912"/>
        <v>Y</v>
      </c>
      <c r="O2604" s="128" t="s">
        <v>76</v>
      </c>
      <c r="P2604" s="129" t="s">
        <v>589</v>
      </c>
      <c r="Q2604" s="111">
        <f t="shared" si="1903"/>
        <v>3</v>
      </c>
      <c r="R2604" s="111">
        <f t="shared" si="1875"/>
        <v>199</v>
      </c>
      <c r="S2604" s="129">
        <v>0</v>
      </c>
      <c r="T2604" s="129">
        <v>1</v>
      </c>
      <c r="W2604" s="111"/>
      <c r="AC2604" s="130"/>
      <c r="AD2604" s="130">
        <v>34621</v>
      </c>
      <c r="AE2604" s="128" t="s">
        <v>32</v>
      </c>
      <c r="AF2604" s="128" t="s">
        <v>33</v>
      </c>
      <c r="AG2604" s="128" t="s">
        <v>872</v>
      </c>
      <c r="AH2604" s="108" t="s">
        <v>58</v>
      </c>
      <c r="AI2604" s="128" t="s">
        <v>83</v>
      </c>
      <c r="AJ2604" s="129" t="s">
        <v>48</v>
      </c>
      <c r="AK2604" s="129">
        <v>10</v>
      </c>
      <c r="AL2604" s="3" t="s">
        <v>48</v>
      </c>
      <c r="AP2604" s="129" t="s">
        <v>56</v>
      </c>
      <c r="AR2604" s="128" t="s">
        <v>50</v>
      </c>
      <c r="AS2604" s="129" t="s">
        <v>57</v>
      </c>
      <c r="BC2604" s="129" t="s">
        <v>52</v>
      </c>
      <c r="BF2604" s="111">
        <f t="shared" si="1913"/>
        <v>3</v>
      </c>
      <c r="BG2604" s="111">
        <f t="shared" si="1914"/>
        <v>198</v>
      </c>
      <c r="BH2604" s="111">
        <f t="shared" si="1878"/>
        <v>199</v>
      </c>
      <c r="BI2604" s="111">
        <f t="shared" si="1881"/>
        <v>17.207650273224044</v>
      </c>
      <c r="BJ2604" s="129">
        <f t="shared" si="1909"/>
        <v>0</v>
      </c>
      <c r="BK2604" s="129">
        <f t="shared" si="1879"/>
        <v>-195</v>
      </c>
      <c r="BL2604" s="129" t="str">
        <f t="shared" si="1874"/>
        <v>DEFERRED</v>
      </c>
      <c r="BM2604" s="129" t="s">
        <v>76</v>
      </c>
      <c r="BN2604" s="129" t="s">
        <v>88</v>
      </c>
      <c r="BP2604" s="137" t="str">
        <f t="shared" si="1882"/>
        <v>DEFERRED</v>
      </c>
      <c r="BQ2604" s="128" t="str">
        <f t="shared" si="1892"/>
        <v>Y</v>
      </c>
      <c r="BR2604" s="129" t="str">
        <f t="shared" si="1883"/>
        <v>ON BOND</v>
      </c>
      <c r="BS2604" s="129" t="str">
        <f t="shared" si="1884"/>
        <v>DISPOSED</v>
      </c>
      <c r="BT2604" s="129" t="str">
        <f t="shared" si="1885"/>
        <v>N</v>
      </c>
      <c r="BU2604" s="109">
        <f t="shared" si="1886"/>
        <v>1.507537688442211E-2</v>
      </c>
      <c r="BV2604" s="109">
        <f t="shared" si="1893"/>
        <v>1.5151515151515152E-2</v>
      </c>
      <c r="BW2604" s="109">
        <f t="shared" si="1908"/>
        <v>7.6138267093042028E-5</v>
      </c>
      <c r="BX2604" s="111">
        <f t="shared" si="1887"/>
        <v>0</v>
      </c>
      <c r="BY2604" s="129">
        <f t="shared" si="1894"/>
        <v>-3</v>
      </c>
      <c r="BZ2604" s="111">
        <f t="shared" si="1895"/>
        <v>0</v>
      </c>
      <c r="CA2604" s="138">
        <f t="shared" si="1896"/>
        <v>3</v>
      </c>
      <c r="CB2604" s="111" t="e">
        <f t="shared" si="1915"/>
        <v>#VALUE!</v>
      </c>
      <c r="CC2604" s="129">
        <f t="shared" si="1910"/>
        <v>3</v>
      </c>
      <c r="CD2604" s="111">
        <f t="shared" si="1911"/>
        <v>0</v>
      </c>
      <c r="CG2604" s="129" t="str">
        <f t="shared" si="1897"/>
        <v>Y</v>
      </c>
      <c r="CI2604" s="129" t="str">
        <f t="shared" si="1898"/>
        <v>0-10 DAYS</v>
      </c>
      <c r="CJ2604" s="137">
        <f t="shared" si="1899"/>
        <v>1</v>
      </c>
      <c r="CK2604" s="129" t="str">
        <f t="shared" si="1900"/>
        <v>Booked</v>
      </c>
    </row>
    <row r="2605" spans="1:89" ht="15.75" customHeight="1" x14ac:dyDescent="0.25">
      <c r="A2605" s="111">
        <v>265</v>
      </c>
      <c r="B2605" s="128" t="str">
        <f t="shared" si="1888"/>
        <v>N</v>
      </c>
      <c r="C2605" s="128" t="str">
        <f t="shared" si="1889"/>
        <v>N</v>
      </c>
      <c r="D2605" s="117">
        <v>2599237</v>
      </c>
      <c r="E2605" s="135">
        <f t="shared" si="1890"/>
        <v>2</v>
      </c>
      <c r="F2605" s="124">
        <v>40920</v>
      </c>
      <c r="G2605" s="125">
        <v>41088</v>
      </c>
      <c r="H2605" s="117">
        <v>2599237</v>
      </c>
      <c r="I2605" s="124">
        <v>40920</v>
      </c>
      <c r="J2605" s="124">
        <v>40921</v>
      </c>
      <c r="K2605" s="126">
        <v>2000</v>
      </c>
      <c r="L2605" s="127" t="s">
        <v>568</v>
      </c>
      <c r="M2605" s="125">
        <v>40921</v>
      </c>
      <c r="N2605" s="129" t="str">
        <f t="shared" si="1912"/>
        <v>Y</v>
      </c>
      <c r="O2605" s="128" t="s">
        <v>76</v>
      </c>
      <c r="P2605" s="129" t="s">
        <v>589</v>
      </c>
      <c r="Q2605" s="111">
        <f t="shared" si="1903"/>
        <v>2</v>
      </c>
      <c r="R2605" s="111">
        <f t="shared" si="1875"/>
        <v>169</v>
      </c>
      <c r="S2605" s="129">
        <v>0</v>
      </c>
      <c r="T2605" s="129">
        <v>0</v>
      </c>
      <c r="W2605" s="111"/>
      <c r="AC2605" s="130"/>
      <c r="AD2605" s="130">
        <v>33326</v>
      </c>
      <c r="AE2605" s="128" t="s">
        <v>32</v>
      </c>
      <c r="AF2605" s="128" t="s">
        <v>33</v>
      </c>
      <c r="AG2605" s="128" t="s">
        <v>872</v>
      </c>
      <c r="AH2605" s="108" t="s">
        <v>31</v>
      </c>
      <c r="AI2605" s="128" t="s">
        <v>42</v>
      </c>
      <c r="AJ2605" s="129" t="s">
        <v>48</v>
      </c>
      <c r="AK2605" s="129">
        <v>8</v>
      </c>
      <c r="AL2605" s="3" t="s">
        <v>48</v>
      </c>
      <c r="AP2605" s="129" t="s">
        <v>108</v>
      </c>
      <c r="AR2605" s="128" t="s">
        <v>44</v>
      </c>
      <c r="AS2605" s="129" t="s">
        <v>61</v>
      </c>
      <c r="BC2605" s="129" t="s">
        <v>52</v>
      </c>
      <c r="BF2605" s="111">
        <f t="shared" si="1913"/>
        <v>2</v>
      </c>
      <c r="BG2605" s="111">
        <f t="shared" si="1914"/>
        <v>169</v>
      </c>
      <c r="BH2605" s="111">
        <f t="shared" si="1878"/>
        <v>169</v>
      </c>
      <c r="BI2605" s="111">
        <f t="shared" si="1881"/>
        <v>20.748633879781419</v>
      </c>
      <c r="BJ2605" s="129">
        <f t="shared" si="1909"/>
        <v>0</v>
      </c>
      <c r="BK2605" s="129">
        <f t="shared" si="1879"/>
        <v>-167</v>
      </c>
      <c r="BL2605" s="129" t="str">
        <f t="shared" si="1874"/>
        <v>DEFERRED</v>
      </c>
      <c r="BM2605" s="129" t="s">
        <v>76</v>
      </c>
      <c r="BN2605" s="129" t="s">
        <v>88</v>
      </c>
      <c r="BP2605" s="137" t="str">
        <f t="shared" si="1882"/>
        <v>DEFERRED</v>
      </c>
      <c r="BQ2605" s="128" t="str">
        <f t="shared" si="1892"/>
        <v>Y</v>
      </c>
      <c r="BR2605" s="129" t="str">
        <f t="shared" si="1883"/>
        <v>ON BOND</v>
      </c>
      <c r="BS2605" s="129" t="str">
        <f t="shared" si="1884"/>
        <v>DISPOSED</v>
      </c>
      <c r="BT2605" s="129" t="str">
        <f t="shared" si="1885"/>
        <v>N</v>
      </c>
      <c r="BU2605" s="109">
        <f t="shared" si="1886"/>
        <v>1.1834319526627219E-2</v>
      </c>
      <c r="BV2605" s="109">
        <f t="shared" si="1893"/>
        <v>1.1834319526627219E-2</v>
      </c>
      <c r="BW2605" s="109">
        <f t="shared" si="1908"/>
        <v>0</v>
      </c>
      <c r="BX2605" s="111">
        <f t="shared" si="1887"/>
        <v>0</v>
      </c>
      <c r="BY2605" s="129">
        <f t="shared" si="1894"/>
        <v>-2</v>
      </c>
      <c r="BZ2605" s="111">
        <f t="shared" si="1895"/>
        <v>0</v>
      </c>
      <c r="CA2605" s="138">
        <f t="shared" si="1896"/>
        <v>2</v>
      </c>
      <c r="CB2605" s="111" t="e">
        <f t="shared" si="1915"/>
        <v>#VALUE!</v>
      </c>
      <c r="CC2605" s="129">
        <f t="shared" si="1910"/>
        <v>2</v>
      </c>
      <c r="CD2605" s="111">
        <f t="shared" si="1911"/>
        <v>0</v>
      </c>
      <c r="CG2605" s="129" t="str">
        <f t="shared" si="1897"/>
        <v>N</v>
      </c>
      <c r="CI2605" s="129" t="str">
        <f t="shared" si="1898"/>
        <v>0-10 DAYS</v>
      </c>
      <c r="CJ2605" s="137">
        <f t="shared" si="1899"/>
        <v>1</v>
      </c>
      <c r="CK2605" s="129" t="str">
        <f t="shared" si="1900"/>
        <v>Booked</v>
      </c>
    </row>
    <row r="2606" spans="1:89" ht="15" customHeight="1" x14ac:dyDescent="0.25">
      <c r="A2606" s="111">
        <v>10</v>
      </c>
      <c r="B2606" s="128" t="str">
        <f t="shared" si="1888"/>
        <v>N</v>
      </c>
      <c r="C2606" s="128" t="str">
        <f t="shared" si="1889"/>
        <v>N</v>
      </c>
      <c r="D2606" s="117">
        <v>2599244</v>
      </c>
      <c r="E2606" s="135">
        <f t="shared" si="1890"/>
        <v>1</v>
      </c>
      <c r="F2606" s="124">
        <v>40920</v>
      </c>
      <c r="G2606" s="125">
        <v>41121</v>
      </c>
      <c r="H2606" s="117">
        <v>2599244</v>
      </c>
      <c r="I2606" s="124">
        <v>40920</v>
      </c>
      <c r="J2606" s="124">
        <v>40921</v>
      </c>
      <c r="K2606" s="126">
        <v>25000</v>
      </c>
      <c r="L2606" s="129" t="s">
        <v>572</v>
      </c>
      <c r="M2606" s="125">
        <v>40921</v>
      </c>
      <c r="N2606" s="129" t="str">
        <f t="shared" si="1912"/>
        <v>Y</v>
      </c>
      <c r="O2606" s="128" t="s">
        <v>585</v>
      </c>
      <c r="P2606" s="129" t="s">
        <v>55</v>
      </c>
      <c r="Q2606" s="111">
        <f t="shared" si="1903"/>
        <v>2</v>
      </c>
      <c r="R2606" s="111">
        <f t="shared" si="1875"/>
        <v>202</v>
      </c>
      <c r="S2606" s="129">
        <v>0</v>
      </c>
      <c r="T2606" s="129">
        <v>0</v>
      </c>
      <c r="W2606" s="111"/>
      <c r="AC2606" s="130"/>
      <c r="AD2606" s="130">
        <v>29779</v>
      </c>
      <c r="AE2606" s="128" t="s">
        <v>46</v>
      </c>
      <c r="AF2606" s="128" t="s">
        <v>33</v>
      </c>
      <c r="AG2606" s="128" t="s">
        <v>872</v>
      </c>
      <c r="AH2606" s="108" t="s">
        <v>31</v>
      </c>
      <c r="AI2606" s="128" t="s">
        <v>113</v>
      </c>
      <c r="AJ2606" s="129" t="s">
        <v>55</v>
      </c>
      <c r="AK2606" s="129">
        <v>10</v>
      </c>
      <c r="AL2606" s="3" t="s">
        <v>55</v>
      </c>
      <c r="AP2606" s="129" t="s">
        <v>124</v>
      </c>
      <c r="AR2606" s="128" t="s">
        <v>67</v>
      </c>
      <c r="AS2606" s="129" t="s">
        <v>45</v>
      </c>
      <c r="BC2606" s="129" t="s">
        <v>52</v>
      </c>
      <c r="BF2606" s="111">
        <f t="shared" si="1913"/>
        <v>2</v>
      </c>
      <c r="BG2606" s="111">
        <f t="shared" si="1914"/>
        <v>202</v>
      </c>
      <c r="BH2606" s="111">
        <f t="shared" si="1878"/>
        <v>202</v>
      </c>
      <c r="BI2606" s="111">
        <f t="shared" si="1881"/>
        <v>30.439890710382514</v>
      </c>
      <c r="BJ2606" s="129">
        <f t="shared" si="1909"/>
        <v>0</v>
      </c>
      <c r="BK2606" s="129">
        <f t="shared" si="1879"/>
        <v>-200</v>
      </c>
      <c r="BL2606" s="129" t="str">
        <f t="shared" si="1874"/>
        <v>NO CONVICTION</v>
      </c>
      <c r="BM2606" s="129" t="s">
        <v>76</v>
      </c>
      <c r="BN2606" s="129" t="s">
        <v>88</v>
      </c>
      <c r="BP2606" s="137" t="str">
        <f t="shared" si="1882"/>
        <v>NO CONVICTION</v>
      </c>
      <c r="BQ2606" s="128" t="str">
        <f t="shared" si="1892"/>
        <v>Y</v>
      </c>
      <c r="BR2606" s="129" t="str">
        <f t="shared" si="1883"/>
        <v>ON BOND</v>
      </c>
      <c r="BS2606" s="129" t="str">
        <f t="shared" si="1884"/>
        <v>DISPOSED</v>
      </c>
      <c r="BT2606" s="129" t="str">
        <f t="shared" si="1885"/>
        <v>N</v>
      </c>
      <c r="BU2606" s="109">
        <f>IFERROR(Q2606/R2606,BR2606)</f>
        <v>9.9009900990099011E-3</v>
      </c>
      <c r="BV2606" s="109">
        <f t="shared" si="1893"/>
        <v>9.9009900990099011E-3</v>
      </c>
      <c r="BW2606" s="109">
        <f t="shared" si="1908"/>
        <v>0</v>
      </c>
      <c r="BX2606" s="111">
        <f t="shared" si="1887"/>
        <v>0</v>
      </c>
      <c r="BY2606" s="129">
        <f t="shared" si="1894"/>
        <v>-2</v>
      </c>
      <c r="BZ2606" s="111">
        <f t="shared" si="1895"/>
        <v>0</v>
      </c>
      <c r="CA2606" s="138">
        <f t="shared" si="1896"/>
        <v>2</v>
      </c>
      <c r="CB2606" s="111" t="e">
        <f t="shared" si="1915"/>
        <v>#VALUE!</v>
      </c>
      <c r="CC2606" s="129">
        <f t="shared" si="1910"/>
        <v>2</v>
      </c>
      <c r="CD2606" s="111">
        <f t="shared" si="1911"/>
        <v>0</v>
      </c>
      <c r="CG2606" s="129" t="str">
        <f t="shared" si="1897"/>
        <v>N</v>
      </c>
      <c r="CI2606" s="129" t="str">
        <f t="shared" si="1898"/>
        <v>0-10 DAYS</v>
      </c>
      <c r="CJ2606" s="137">
        <f t="shared" si="1899"/>
        <v>1</v>
      </c>
      <c r="CK2606" s="129" t="str">
        <f t="shared" si="1900"/>
        <v>Booked</v>
      </c>
    </row>
    <row r="2607" spans="1:89" ht="15.75" customHeight="1" x14ac:dyDescent="0.25">
      <c r="A2607" s="111">
        <v>270</v>
      </c>
      <c r="B2607" s="128" t="str">
        <f t="shared" si="1888"/>
        <v>N</v>
      </c>
      <c r="C2607" s="128" t="str">
        <f t="shared" si="1889"/>
        <v>N</v>
      </c>
      <c r="D2607" s="117">
        <v>2599246</v>
      </c>
      <c r="E2607" s="135">
        <f t="shared" si="1890"/>
        <v>4</v>
      </c>
      <c r="F2607" s="124">
        <v>40920</v>
      </c>
      <c r="G2607" s="125">
        <v>40926</v>
      </c>
      <c r="H2607" s="117">
        <v>2599246</v>
      </c>
      <c r="I2607" s="124">
        <v>40920</v>
      </c>
      <c r="J2607" s="124">
        <v>40926</v>
      </c>
      <c r="K2607" s="126">
        <v>35000</v>
      </c>
      <c r="L2607" s="129" t="s">
        <v>572</v>
      </c>
      <c r="N2607" s="129" t="str">
        <f t="shared" si="1912"/>
        <v>N</v>
      </c>
      <c r="O2607" s="128" t="s">
        <v>917</v>
      </c>
      <c r="P2607" s="129" t="s">
        <v>39</v>
      </c>
      <c r="Q2607" s="111">
        <f t="shared" si="1903"/>
        <v>7</v>
      </c>
      <c r="R2607" s="111">
        <f t="shared" si="1875"/>
        <v>7</v>
      </c>
      <c r="S2607" s="129">
        <v>0</v>
      </c>
      <c r="T2607" s="129">
        <v>0</v>
      </c>
      <c r="W2607" s="111"/>
      <c r="AC2607" s="130"/>
      <c r="AD2607" s="130">
        <v>27998</v>
      </c>
      <c r="AE2607" s="128" t="s">
        <v>32</v>
      </c>
      <c r="AF2607" s="128" t="s">
        <v>69</v>
      </c>
      <c r="AG2607" s="128" t="s">
        <v>874</v>
      </c>
      <c r="AH2607" s="108" t="s">
        <v>31</v>
      </c>
      <c r="AI2607" s="128" t="s">
        <v>71</v>
      </c>
      <c r="AJ2607" s="129" t="s">
        <v>89</v>
      </c>
      <c r="AK2607" s="129">
        <v>2</v>
      </c>
      <c r="AL2607" s="3" t="s">
        <v>991</v>
      </c>
      <c r="AO2607" s="128">
        <v>90</v>
      </c>
      <c r="AP2607" s="129" t="s">
        <v>127</v>
      </c>
      <c r="AR2607" s="128" t="s">
        <v>44</v>
      </c>
      <c r="AS2607" s="129" t="s">
        <v>82</v>
      </c>
      <c r="BC2607" s="129" t="s">
        <v>38</v>
      </c>
      <c r="BF2607" s="111">
        <f t="shared" si="1913"/>
        <v>7</v>
      </c>
      <c r="BG2607" s="111">
        <f t="shared" si="1914"/>
        <v>7</v>
      </c>
      <c r="BH2607" s="111">
        <f t="shared" si="1878"/>
        <v>7</v>
      </c>
      <c r="BI2607" s="111">
        <f t="shared" si="1881"/>
        <v>35.306010928961747</v>
      </c>
      <c r="BJ2607" s="129">
        <f>G2607-J2607-M2607</f>
        <v>0</v>
      </c>
      <c r="BK2607" s="129">
        <f t="shared" si="1879"/>
        <v>0</v>
      </c>
      <c r="BL2607" s="129" t="str">
        <f t="shared" si="1874"/>
        <v>CONVICTION</v>
      </c>
      <c r="BM2607" s="129" t="str">
        <f>O2607</f>
        <v>NONE</v>
      </c>
      <c r="BN2607" s="129" t="s">
        <v>566</v>
      </c>
      <c r="BP2607" s="137" t="str">
        <f t="shared" si="1882"/>
        <v>CONVICTION</v>
      </c>
      <c r="BQ2607" s="128" t="str">
        <f t="shared" si="1892"/>
        <v>Y</v>
      </c>
      <c r="BR2607" s="129" t="str">
        <f t="shared" si="1883"/>
        <v>DETAINED</v>
      </c>
      <c r="BS2607" s="129" t="str">
        <f t="shared" si="1884"/>
        <v>DISPOSED</v>
      </c>
      <c r="BT2607" s="129" t="str">
        <f t="shared" si="1885"/>
        <v>N</v>
      </c>
      <c r="BU2607" s="109">
        <f t="shared" si="1886"/>
        <v>1</v>
      </c>
      <c r="BV2607" s="109">
        <f t="shared" si="1893"/>
        <v>1</v>
      </c>
      <c r="BW2607" s="109">
        <f t="shared" si="1908"/>
        <v>0</v>
      </c>
      <c r="BX2607" s="111">
        <f t="shared" si="1887"/>
        <v>0</v>
      </c>
      <c r="BY2607" s="129">
        <f t="shared" si="1894"/>
        <v>-7</v>
      </c>
      <c r="BZ2607" s="111">
        <f t="shared" si="1895"/>
        <v>0</v>
      </c>
      <c r="CA2607" s="138">
        <f t="shared" si="1896"/>
        <v>7</v>
      </c>
      <c r="CB2607" s="111" t="e">
        <f t="shared" si="1915"/>
        <v>#VALUE!</v>
      </c>
      <c r="CC2607" s="129">
        <f>G2607-I2607+1</f>
        <v>7</v>
      </c>
      <c r="CD2607" s="129">
        <f>G2607-J2607</f>
        <v>0</v>
      </c>
      <c r="CG2607" s="129" t="str">
        <f t="shared" si="1897"/>
        <v>N</v>
      </c>
      <c r="CI2607" s="129" t="str">
        <f t="shared" si="1898"/>
        <v>0-10 DAYS</v>
      </c>
      <c r="CJ2607" s="137">
        <f t="shared" si="1899"/>
        <v>1</v>
      </c>
      <c r="CK2607" s="129" t="str">
        <f t="shared" si="1900"/>
        <v>Booked</v>
      </c>
    </row>
    <row r="2608" spans="1:89" ht="15" customHeight="1" x14ac:dyDescent="0.25">
      <c r="A2608" s="111">
        <v>1120</v>
      </c>
      <c r="B2608" s="128" t="str">
        <f t="shared" si="1888"/>
        <v>N</v>
      </c>
      <c r="C2608" s="128" t="str">
        <f t="shared" si="1889"/>
        <v>N</v>
      </c>
      <c r="D2608" s="117">
        <v>2599257</v>
      </c>
      <c r="E2608" s="135">
        <f t="shared" si="1890"/>
        <v>6</v>
      </c>
      <c r="F2608" s="124">
        <v>40949</v>
      </c>
      <c r="G2608" s="125">
        <v>41340</v>
      </c>
      <c r="H2608" s="117">
        <v>2599257</v>
      </c>
      <c r="I2608" s="124">
        <v>40950</v>
      </c>
      <c r="J2608" s="124">
        <v>40997</v>
      </c>
      <c r="K2608" s="126">
        <v>120000</v>
      </c>
      <c r="L2608" s="129" t="s">
        <v>572</v>
      </c>
      <c r="M2608" s="125">
        <v>40997</v>
      </c>
      <c r="N2608" s="129" t="str">
        <f t="shared" si="1912"/>
        <v>Y</v>
      </c>
      <c r="O2608" s="128" t="s">
        <v>76</v>
      </c>
      <c r="P2608" s="129" t="s">
        <v>39</v>
      </c>
      <c r="Q2608" s="111">
        <f t="shared" si="1903"/>
        <v>48</v>
      </c>
      <c r="R2608" s="111">
        <f t="shared" si="1875"/>
        <v>392</v>
      </c>
      <c r="S2608" s="129">
        <v>0</v>
      </c>
      <c r="T2608" s="129">
        <v>0</v>
      </c>
      <c r="W2608" s="111"/>
      <c r="AC2608" s="130"/>
      <c r="AD2608" s="130">
        <v>32706</v>
      </c>
      <c r="AE2608" s="128" t="s">
        <v>32</v>
      </c>
      <c r="AF2608" s="128" t="s">
        <v>69</v>
      </c>
      <c r="AG2608" s="128" t="s">
        <v>874</v>
      </c>
      <c r="AH2608" s="108" t="s">
        <v>31</v>
      </c>
      <c r="AI2608" s="128" t="s">
        <v>83</v>
      </c>
      <c r="AJ2608" s="129" t="s">
        <v>89</v>
      </c>
      <c r="AK2608" s="129">
        <v>11</v>
      </c>
      <c r="AL2608" s="3" t="s">
        <v>362</v>
      </c>
      <c r="AM2608" s="117">
        <v>6</v>
      </c>
      <c r="AP2608" s="129" t="s">
        <v>188</v>
      </c>
      <c r="AR2608" s="128" t="s">
        <v>67</v>
      </c>
      <c r="AS2608" s="129" t="s">
        <v>64</v>
      </c>
      <c r="BC2608" s="129" t="s">
        <v>52</v>
      </c>
      <c r="BF2608" s="111">
        <f t="shared" si="1913"/>
        <v>48</v>
      </c>
      <c r="BG2608" s="111">
        <f t="shared" si="1914"/>
        <v>391</v>
      </c>
      <c r="BH2608" s="111">
        <f t="shared" si="1878"/>
        <v>392</v>
      </c>
      <c r="BI2608" s="111">
        <f t="shared" si="1881"/>
        <v>22.521857923497269</v>
      </c>
      <c r="BJ2608" s="129">
        <f>(G2608-J2608)+(M2608-G2608)</f>
        <v>0</v>
      </c>
      <c r="BK2608" s="129">
        <f t="shared" si="1879"/>
        <v>-343</v>
      </c>
      <c r="BL2608" s="129" t="str">
        <f t="shared" si="1874"/>
        <v>CONVICTION</v>
      </c>
      <c r="BM2608" s="129" t="s">
        <v>76</v>
      </c>
      <c r="BN2608" s="129" t="s">
        <v>88</v>
      </c>
      <c r="BP2608" s="137" t="str">
        <f t="shared" si="1882"/>
        <v>CONVICTION</v>
      </c>
      <c r="BQ2608" s="128" t="str">
        <f t="shared" si="1892"/>
        <v>Y</v>
      </c>
      <c r="BR2608" s="129" t="str">
        <f>IF(J2608&lt;G2608,"ON BOND",0)</f>
        <v>ON BOND</v>
      </c>
      <c r="BS2608" s="129" t="str">
        <f t="shared" si="1884"/>
        <v>DISPOSED</v>
      </c>
      <c r="BT2608" s="129" t="str">
        <f t="shared" si="1885"/>
        <v>N</v>
      </c>
      <c r="BU2608" s="109">
        <f t="shared" si="1886"/>
        <v>0.12244897959183673</v>
      </c>
      <c r="BV2608" s="109">
        <f t="shared" si="1893"/>
        <v>0.12276214833759591</v>
      </c>
      <c r="BW2608" s="109">
        <f t="shared" si="1908"/>
        <v>3.1316874575917919E-4</v>
      </c>
      <c r="BX2608" s="111">
        <f t="shared" si="1887"/>
        <v>0</v>
      </c>
      <c r="BY2608" s="129">
        <f t="shared" si="1894"/>
        <v>-48</v>
      </c>
      <c r="BZ2608" s="111">
        <f t="shared" si="1895"/>
        <v>0</v>
      </c>
      <c r="CA2608" s="138">
        <f t="shared" si="1896"/>
        <v>48</v>
      </c>
      <c r="CB2608" s="111" t="e">
        <f t="shared" si="1915"/>
        <v>#VALUE!</v>
      </c>
      <c r="CC2608" s="129">
        <f>M2608-I2608+1</f>
        <v>48</v>
      </c>
      <c r="CD2608" s="111">
        <f>CC2608-BF2608</f>
        <v>0</v>
      </c>
      <c r="CG2608" s="129" t="str">
        <f t="shared" si="1897"/>
        <v>N</v>
      </c>
      <c r="CI2608" s="129" t="str">
        <f t="shared" si="1898"/>
        <v>31-60 DAYS</v>
      </c>
      <c r="CJ2608" s="137">
        <f t="shared" si="1899"/>
        <v>3</v>
      </c>
      <c r="CK2608" s="129" t="str">
        <f t="shared" si="1900"/>
        <v>Booked</v>
      </c>
    </row>
    <row r="2609" spans="1:89" ht="15.75" customHeight="1" x14ac:dyDescent="0.25">
      <c r="A2609" s="111">
        <v>277</v>
      </c>
      <c r="B2609" s="128" t="str">
        <f t="shared" si="1888"/>
        <v>N</v>
      </c>
      <c r="C2609" s="128" t="str">
        <f t="shared" si="1889"/>
        <v>N</v>
      </c>
      <c r="D2609" s="117">
        <v>2599288</v>
      </c>
      <c r="E2609" s="135">
        <f t="shared" si="1890"/>
        <v>1</v>
      </c>
      <c r="F2609" s="124">
        <v>40920</v>
      </c>
      <c r="G2609" s="125">
        <v>41099</v>
      </c>
      <c r="H2609" s="117">
        <v>2599288</v>
      </c>
      <c r="I2609" s="124">
        <v>40920</v>
      </c>
      <c r="J2609" s="124">
        <v>40921</v>
      </c>
      <c r="K2609" s="126">
        <v>5000</v>
      </c>
      <c r="L2609" s="127" t="s">
        <v>569</v>
      </c>
      <c r="M2609" s="125">
        <v>40921</v>
      </c>
      <c r="N2609" s="129" t="str">
        <f t="shared" si="1912"/>
        <v>Y</v>
      </c>
      <c r="O2609" s="128" t="s">
        <v>76</v>
      </c>
      <c r="P2609" s="129" t="s">
        <v>55</v>
      </c>
      <c r="Q2609" s="111">
        <f t="shared" si="1903"/>
        <v>2</v>
      </c>
      <c r="R2609" s="111">
        <f t="shared" si="1875"/>
        <v>180</v>
      </c>
      <c r="S2609" s="129">
        <v>0</v>
      </c>
      <c r="T2609" s="129">
        <v>0</v>
      </c>
      <c r="W2609" s="111"/>
      <c r="AC2609" s="130"/>
      <c r="AD2609" s="130">
        <v>23565</v>
      </c>
      <c r="AE2609" s="128" t="s">
        <v>46</v>
      </c>
      <c r="AF2609" s="128" t="s">
        <v>33</v>
      </c>
      <c r="AG2609" s="128" t="s">
        <v>872</v>
      </c>
      <c r="AH2609" s="108" t="s">
        <v>58</v>
      </c>
      <c r="AI2609" s="128" t="s">
        <v>53</v>
      </c>
      <c r="AJ2609" s="129" t="s">
        <v>55</v>
      </c>
      <c r="AK2609" s="129">
        <v>12</v>
      </c>
      <c r="AL2609" s="3" t="s">
        <v>55</v>
      </c>
      <c r="AP2609" s="129" t="s">
        <v>144</v>
      </c>
      <c r="AR2609" s="128" t="s">
        <v>67</v>
      </c>
      <c r="AS2609" s="129" t="s">
        <v>74</v>
      </c>
      <c r="BC2609" s="129" t="s">
        <v>52</v>
      </c>
      <c r="BF2609" s="111">
        <f t="shared" si="1913"/>
        <v>2</v>
      </c>
      <c r="BG2609" s="111">
        <f t="shared" si="1914"/>
        <v>180</v>
      </c>
      <c r="BH2609" s="111">
        <f t="shared" si="1878"/>
        <v>180</v>
      </c>
      <c r="BI2609" s="111">
        <f t="shared" si="1881"/>
        <v>47.418032786885249</v>
      </c>
      <c r="BJ2609" s="129">
        <f>(G2609-J2609)+(M2609-G2609)</f>
        <v>0</v>
      </c>
      <c r="BK2609" s="129">
        <f t="shared" si="1879"/>
        <v>-178</v>
      </c>
      <c r="BL2609" s="129" t="str">
        <f t="shared" si="1874"/>
        <v>NO CONVICTION</v>
      </c>
      <c r="BM2609" s="129" t="s">
        <v>76</v>
      </c>
      <c r="BN2609" s="129" t="s">
        <v>88</v>
      </c>
      <c r="BP2609" s="137" t="str">
        <f t="shared" si="1882"/>
        <v>NO CONVICTION</v>
      </c>
      <c r="BQ2609" s="128" t="str">
        <f t="shared" si="1892"/>
        <v>Y</v>
      </c>
      <c r="BR2609" s="129" t="str">
        <f t="shared" si="1883"/>
        <v>ON BOND</v>
      </c>
      <c r="BS2609" s="129" t="str">
        <f t="shared" si="1884"/>
        <v>DISPOSED</v>
      </c>
      <c r="BT2609" s="129" t="str">
        <f t="shared" si="1885"/>
        <v>N</v>
      </c>
      <c r="BU2609" s="109">
        <f>IFERROR(Q2609/R2609,BR2609)</f>
        <v>1.1111111111111112E-2</v>
      </c>
      <c r="BV2609" s="109">
        <f t="shared" si="1893"/>
        <v>1.1111111111111112E-2</v>
      </c>
      <c r="BW2609" s="109">
        <f t="shared" si="1908"/>
        <v>0</v>
      </c>
      <c r="BX2609" s="111">
        <f t="shared" si="1887"/>
        <v>0</v>
      </c>
      <c r="BY2609" s="129">
        <f t="shared" si="1894"/>
        <v>-2</v>
      </c>
      <c r="BZ2609" s="111">
        <f t="shared" si="1895"/>
        <v>0</v>
      </c>
      <c r="CA2609" s="138">
        <f t="shared" si="1896"/>
        <v>2</v>
      </c>
      <c r="CB2609" s="111" t="e">
        <f t="shared" si="1915"/>
        <v>#VALUE!</v>
      </c>
      <c r="CC2609" s="129">
        <f>M2609-I2609+1</f>
        <v>2</v>
      </c>
      <c r="CD2609" s="111">
        <f>CC2609-BF2609</f>
        <v>0</v>
      </c>
      <c r="CG2609" s="129" t="str">
        <f t="shared" si="1897"/>
        <v>N</v>
      </c>
      <c r="CI2609" s="129" t="str">
        <f t="shared" si="1898"/>
        <v>0-10 DAYS</v>
      </c>
      <c r="CJ2609" s="137">
        <f t="shared" si="1899"/>
        <v>1</v>
      </c>
      <c r="CK2609" s="129" t="str">
        <f t="shared" si="1900"/>
        <v>Booked</v>
      </c>
    </row>
    <row r="2610" spans="1:89" ht="15.75" customHeight="1" x14ac:dyDescent="0.25">
      <c r="A2610" s="111">
        <v>281</v>
      </c>
      <c r="B2610" s="128" t="str">
        <f t="shared" si="1888"/>
        <v>N</v>
      </c>
      <c r="C2610" s="128" t="str">
        <f t="shared" si="1889"/>
        <v>N</v>
      </c>
      <c r="D2610" s="117">
        <v>2599328</v>
      </c>
      <c r="E2610" s="135">
        <f t="shared" si="1890"/>
        <v>1</v>
      </c>
      <c r="F2610" s="124">
        <v>40920</v>
      </c>
      <c r="G2610" s="125">
        <v>41498</v>
      </c>
      <c r="H2610" s="117">
        <v>2599328</v>
      </c>
      <c r="I2610" s="124">
        <v>40920</v>
      </c>
      <c r="J2610" s="125">
        <v>41498</v>
      </c>
      <c r="K2610" s="126">
        <v>50000</v>
      </c>
      <c r="L2610" s="129" t="s">
        <v>572</v>
      </c>
      <c r="N2610" s="129" t="str">
        <f t="shared" si="1912"/>
        <v>N</v>
      </c>
      <c r="O2610" s="128" t="s">
        <v>917</v>
      </c>
      <c r="P2610" s="129" t="s">
        <v>1121</v>
      </c>
      <c r="Q2610" s="111">
        <f t="shared" si="1903"/>
        <v>579</v>
      </c>
      <c r="R2610" s="111">
        <f t="shared" si="1875"/>
        <v>579</v>
      </c>
      <c r="S2610" s="129">
        <v>0</v>
      </c>
      <c r="T2610" s="129">
        <v>0</v>
      </c>
      <c r="W2610" s="111"/>
      <c r="AC2610" s="130"/>
      <c r="AD2610" s="130">
        <v>31079</v>
      </c>
      <c r="AE2610" s="128" t="s">
        <v>32</v>
      </c>
      <c r="AF2610" s="128" t="s">
        <v>138</v>
      </c>
      <c r="AG2610" s="128" t="s">
        <v>873</v>
      </c>
      <c r="AH2610" s="108" t="s">
        <v>668</v>
      </c>
      <c r="AI2610" s="128" t="s">
        <v>47</v>
      </c>
      <c r="AJ2610" s="129" t="s">
        <v>1121</v>
      </c>
      <c r="AK2610" s="129">
        <v>22</v>
      </c>
      <c r="AL2610" s="3" t="s">
        <v>1122</v>
      </c>
      <c r="AP2610" s="129" t="s">
        <v>179</v>
      </c>
      <c r="AR2610" s="128" t="s">
        <v>92</v>
      </c>
      <c r="AS2610" s="129" t="s">
        <v>180</v>
      </c>
      <c r="BC2610" s="129" t="s">
        <v>38</v>
      </c>
      <c r="BF2610" s="111">
        <f t="shared" si="1913"/>
        <v>579</v>
      </c>
      <c r="BG2610" s="111">
        <f t="shared" si="1914"/>
        <v>579</v>
      </c>
      <c r="BH2610" s="111">
        <f t="shared" si="1878"/>
        <v>579</v>
      </c>
      <c r="BI2610" s="111">
        <f t="shared" si="1881"/>
        <v>26.887978142076502</v>
      </c>
      <c r="BJ2610" s="129">
        <f>G2610-J2610-M2610</f>
        <v>0</v>
      </c>
      <c r="BK2610" s="129">
        <f t="shared" si="1879"/>
        <v>0</v>
      </c>
      <c r="BL2610" s="129">
        <f t="shared" si="1874"/>
        <v>0</v>
      </c>
      <c r="BM2610" s="129" t="str">
        <f>O2610</f>
        <v>NONE</v>
      </c>
      <c r="BN2610" s="129" t="s">
        <v>88</v>
      </c>
      <c r="BP2610" s="137" t="str">
        <f t="shared" si="1882"/>
        <v/>
      </c>
      <c r="BQ2610" s="128" t="str">
        <f t="shared" si="1892"/>
        <v>Y</v>
      </c>
      <c r="BR2610" s="129" t="str">
        <f t="shared" si="1883"/>
        <v>DETAINED</v>
      </c>
      <c r="BS2610" s="129" t="str">
        <f t="shared" si="1884"/>
        <v>DISPOSED</v>
      </c>
      <c r="BT2610" s="129" t="str">
        <f t="shared" si="1885"/>
        <v>N</v>
      </c>
      <c r="BU2610" s="109">
        <f>IFERROR(Q2610/R2610,BR2610)</f>
        <v>1</v>
      </c>
      <c r="BV2610" s="109">
        <f t="shared" si="1893"/>
        <v>1</v>
      </c>
      <c r="BW2610" s="109">
        <f t="shared" si="1908"/>
        <v>0</v>
      </c>
      <c r="BX2610" s="111">
        <f t="shared" si="1887"/>
        <v>0</v>
      </c>
      <c r="BY2610" s="129">
        <f t="shared" si="1894"/>
        <v>-579</v>
      </c>
      <c r="BZ2610" s="111">
        <f t="shared" si="1895"/>
        <v>0</v>
      </c>
      <c r="CA2610" s="138">
        <f t="shared" si="1896"/>
        <v>579</v>
      </c>
      <c r="CB2610" s="111" t="e">
        <f t="shared" si="1915"/>
        <v>#VALUE!</v>
      </c>
      <c r="CC2610" s="129">
        <f>G2610-I2610+1</f>
        <v>579</v>
      </c>
      <c r="CD2610" s="129">
        <f>G2610-J2610</f>
        <v>0</v>
      </c>
      <c r="CG2610" s="129" t="str">
        <f t="shared" si="1897"/>
        <v>N</v>
      </c>
      <c r="CI2610" s="129" t="str">
        <f t="shared" si="1898"/>
        <v xml:space="preserve"> &gt;1YRS&lt;2YRS</v>
      </c>
      <c r="CJ2610" s="137">
        <f t="shared" si="1899"/>
        <v>0</v>
      </c>
      <c r="CK2610" s="129" t="str">
        <f t="shared" si="1900"/>
        <v>Booked</v>
      </c>
    </row>
    <row r="2611" spans="1:89" ht="15.75" customHeight="1" x14ac:dyDescent="0.25">
      <c r="A2611" s="111">
        <v>283</v>
      </c>
      <c r="B2611" s="128" t="str">
        <f t="shared" si="1888"/>
        <v>N</v>
      </c>
      <c r="C2611" s="128" t="str">
        <f t="shared" si="1889"/>
        <v>N</v>
      </c>
      <c r="D2611" s="117">
        <v>2599365</v>
      </c>
      <c r="E2611" s="135">
        <f t="shared" si="1890"/>
        <v>1</v>
      </c>
      <c r="F2611" s="124">
        <v>40920</v>
      </c>
      <c r="G2611" s="125">
        <v>40959</v>
      </c>
      <c r="H2611" s="117">
        <v>2599365</v>
      </c>
      <c r="I2611" s="124">
        <v>40921</v>
      </c>
      <c r="J2611" s="124">
        <v>40922</v>
      </c>
      <c r="K2611" s="126">
        <v>10000</v>
      </c>
      <c r="L2611" s="127" t="s">
        <v>570</v>
      </c>
      <c r="M2611" s="125">
        <v>40922</v>
      </c>
      <c r="N2611" s="129" t="str">
        <f t="shared" si="1912"/>
        <v>Y</v>
      </c>
      <c r="O2611" s="128" t="s">
        <v>76</v>
      </c>
      <c r="P2611" s="129" t="s">
        <v>55</v>
      </c>
      <c r="Q2611" s="111">
        <f t="shared" si="1903"/>
        <v>2</v>
      </c>
      <c r="R2611" s="111">
        <f t="shared" si="1875"/>
        <v>40</v>
      </c>
      <c r="S2611" s="129">
        <v>0</v>
      </c>
      <c r="T2611" s="129">
        <v>0</v>
      </c>
      <c r="W2611" s="111"/>
      <c r="AC2611" s="130"/>
      <c r="AD2611" s="130">
        <v>31293</v>
      </c>
      <c r="AE2611" s="128" t="s">
        <v>32</v>
      </c>
      <c r="AF2611" s="128" t="s">
        <v>33</v>
      </c>
      <c r="AG2611" s="128" t="s">
        <v>872</v>
      </c>
      <c r="AH2611" s="108" t="s">
        <v>31</v>
      </c>
      <c r="AI2611" s="128" t="s">
        <v>53</v>
      </c>
      <c r="AJ2611" s="129" t="s">
        <v>55</v>
      </c>
      <c r="AK2611" s="129">
        <v>3</v>
      </c>
      <c r="AL2611" s="3" t="s">
        <v>55</v>
      </c>
      <c r="AP2611" s="129" t="s">
        <v>56</v>
      </c>
      <c r="AR2611" s="128" t="s">
        <v>50</v>
      </c>
      <c r="AS2611" s="129" t="s">
        <v>57</v>
      </c>
      <c r="BC2611" s="129" t="s">
        <v>52</v>
      </c>
      <c r="BF2611" s="111">
        <f t="shared" si="1913"/>
        <v>2</v>
      </c>
      <c r="BG2611" s="111">
        <f t="shared" si="1914"/>
        <v>39</v>
      </c>
      <c r="BH2611" s="111">
        <f t="shared" si="1878"/>
        <v>40</v>
      </c>
      <c r="BI2611" s="111">
        <f t="shared" si="1881"/>
        <v>26.303278688524589</v>
      </c>
      <c r="BJ2611" s="129">
        <f>(G2611-J2611)+(M2611-G2611)</f>
        <v>0</v>
      </c>
      <c r="BK2611" s="129">
        <f t="shared" si="1879"/>
        <v>-37</v>
      </c>
      <c r="BL2611" s="129" t="str">
        <f t="shared" si="1874"/>
        <v>NO CONVICTION</v>
      </c>
      <c r="BM2611" s="129" t="s">
        <v>76</v>
      </c>
      <c r="BN2611" s="129" t="s">
        <v>88</v>
      </c>
      <c r="BP2611" s="137" t="str">
        <f t="shared" si="1882"/>
        <v>NO CONVICTION</v>
      </c>
      <c r="BQ2611" s="128" t="str">
        <f t="shared" si="1892"/>
        <v>Y</v>
      </c>
      <c r="BR2611" s="129" t="str">
        <f t="shared" si="1883"/>
        <v>ON BOND</v>
      </c>
      <c r="BS2611" s="129" t="str">
        <f t="shared" si="1884"/>
        <v>DISPOSED</v>
      </c>
      <c r="BT2611" s="129" t="str">
        <f t="shared" si="1885"/>
        <v>N</v>
      </c>
      <c r="BU2611" s="109">
        <f>IFERROR(Q2611/R2611,BR2611)</f>
        <v>0.05</v>
      </c>
      <c r="BV2611" s="109">
        <f t="shared" si="1893"/>
        <v>5.128205128205128E-2</v>
      </c>
      <c r="BW2611" s="109">
        <f t="shared" si="1908"/>
        <v>1.2820512820512775E-3</v>
      </c>
      <c r="BX2611" s="111">
        <f t="shared" si="1887"/>
        <v>0</v>
      </c>
      <c r="BY2611" s="129">
        <f t="shared" si="1894"/>
        <v>-2</v>
      </c>
      <c r="BZ2611" s="111">
        <f t="shared" si="1895"/>
        <v>0</v>
      </c>
      <c r="CA2611" s="138">
        <f t="shared" si="1896"/>
        <v>2</v>
      </c>
      <c r="CB2611" s="111" t="e">
        <f t="shared" si="1915"/>
        <v>#VALUE!</v>
      </c>
      <c r="CC2611" s="129">
        <f>M2611-I2611+1</f>
        <v>2</v>
      </c>
      <c r="CD2611" s="111">
        <f>CC2611-BF2611</f>
        <v>0</v>
      </c>
      <c r="CG2611" s="129" t="str">
        <f t="shared" si="1897"/>
        <v>N</v>
      </c>
      <c r="CI2611" s="129" t="str">
        <f t="shared" si="1898"/>
        <v>0-10 DAYS</v>
      </c>
      <c r="CJ2611" s="137">
        <f t="shared" si="1899"/>
        <v>1</v>
      </c>
      <c r="CK2611" s="129" t="str">
        <f t="shared" si="1900"/>
        <v>Booked</v>
      </c>
    </row>
    <row r="2612" spans="1:89" ht="15.75" customHeight="1" x14ac:dyDescent="0.25">
      <c r="A2612" s="111">
        <v>282</v>
      </c>
      <c r="B2612" s="128" t="str">
        <f t="shared" si="1888"/>
        <v>N</v>
      </c>
      <c r="C2612" s="128" t="str">
        <f t="shared" si="1889"/>
        <v>N</v>
      </c>
      <c r="D2612" s="117">
        <v>2599371</v>
      </c>
      <c r="E2612" s="135">
        <f t="shared" si="1890"/>
        <v>5</v>
      </c>
      <c r="F2612" s="124">
        <v>40920</v>
      </c>
      <c r="G2612" s="125">
        <v>41171</v>
      </c>
      <c r="H2612" s="117">
        <v>2599371</v>
      </c>
      <c r="I2612" s="124">
        <v>41093</v>
      </c>
      <c r="J2612" s="124">
        <v>41108</v>
      </c>
      <c r="K2612" s="126">
        <v>5000</v>
      </c>
      <c r="L2612" s="127" t="s">
        <v>569</v>
      </c>
      <c r="M2612" s="125">
        <v>41108</v>
      </c>
      <c r="N2612" s="129" t="str">
        <f t="shared" si="1912"/>
        <v>Y</v>
      </c>
      <c r="O2612" s="128" t="s">
        <v>76</v>
      </c>
      <c r="P2612" s="129" t="s">
        <v>39</v>
      </c>
      <c r="Q2612" s="111">
        <f t="shared" si="1903"/>
        <v>16</v>
      </c>
      <c r="R2612" s="111">
        <f t="shared" si="1875"/>
        <v>252</v>
      </c>
      <c r="S2612" s="129">
        <v>0</v>
      </c>
      <c r="T2612" s="129">
        <v>0</v>
      </c>
      <c r="W2612" s="111"/>
      <c r="AC2612" s="130"/>
      <c r="AD2612" s="130">
        <v>33063</v>
      </c>
      <c r="AE2612" s="128" t="s">
        <v>32</v>
      </c>
      <c r="AF2612" s="128" t="s">
        <v>33</v>
      </c>
      <c r="AG2612" s="128" t="s">
        <v>872</v>
      </c>
      <c r="AH2612" s="108" t="s">
        <v>31</v>
      </c>
      <c r="AI2612" s="128" t="s">
        <v>71</v>
      </c>
      <c r="AJ2612" s="129" t="s">
        <v>89</v>
      </c>
      <c r="AK2612" s="129">
        <v>7</v>
      </c>
      <c r="AL2612" s="3" t="s">
        <v>992</v>
      </c>
      <c r="AN2612" s="117">
        <v>8</v>
      </c>
      <c r="AP2612" s="129" t="s">
        <v>142</v>
      </c>
      <c r="AR2612" s="128" t="s">
        <v>44</v>
      </c>
      <c r="AS2612" s="129" t="s">
        <v>64</v>
      </c>
      <c r="BC2612" s="129" t="s">
        <v>38</v>
      </c>
      <c r="BF2612" s="111">
        <f t="shared" si="1913"/>
        <v>16</v>
      </c>
      <c r="BG2612" s="111">
        <f t="shared" si="1914"/>
        <v>79</v>
      </c>
      <c r="BH2612" s="111">
        <f t="shared" si="1878"/>
        <v>252</v>
      </c>
      <c r="BI2612" s="111">
        <f t="shared" si="1881"/>
        <v>21.467213114754099</v>
      </c>
      <c r="BJ2612" s="129">
        <f>(G2612-J2612)+(M2612-G2612)</f>
        <v>0</v>
      </c>
      <c r="BK2612" s="129">
        <f t="shared" si="1879"/>
        <v>-63</v>
      </c>
      <c r="BL2612" s="129" t="str">
        <f t="shared" si="1874"/>
        <v>CONVICTION</v>
      </c>
      <c r="BM2612" s="129" t="s">
        <v>76</v>
      </c>
      <c r="BN2612" s="129" t="s">
        <v>88</v>
      </c>
      <c r="BP2612" s="137" t="str">
        <f t="shared" si="1882"/>
        <v>CONVICTION</v>
      </c>
      <c r="BQ2612" s="128" t="str">
        <f t="shared" si="1892"/>
        <v>Y</v>
      </c>
      <c r="BR2612" s="129" t="str">
        <f>IF(J2612&lt;G2612,"ON BOND",0)</f>
        <v>ON BOND</v>
      </c>
      <c r="BS2612" s="129" t="str">
        <f t="shared" si="1884"/>
        <v>DISPOSED</v>
      </c>
      <c r="BT2612" s="129" t="str">
        <f t="shared" si="1885"/>
        <v>N</v>
      </c>
      <c r="BU2612" s="109">
        <f t="shared" si="1886"/>
        <v>6.3492063492063489E-2</v>
      </c>
      <c r="BV2612" s="109">
        <f t="shared" si="1893"/>
        <v>0.20253164556962025</v>
      </c>
      <c r="BW2612" s="109">
        <f t="shared" si="1908"/>
        <v>0.13903958207755676</v>
      </c>
      <c r="BX2612" s="111">
        <f t="shared" si="1887"/>
        <v>0</v>
      </c>
      <c r="BY2612" s="129">
        <f t="shared" si="1894"/>
        <v>-16</v>
      </c>
      <c r="BZ2612" s="111">
        <f t="shared" si="1895"/>
        <v>0</v>
      </c>
      <c r="CA2612" s="138">
        <f t="shared" si="1896"/>
        <v>16</v>
      </c>
      <c r="CB2612" s="111" t="e">
        <f t="shared" si="1915"/>
        <v>#VALUE!</v>
      </c>
      <c r="CC2612" s="129">
        <f>M2612-I2612+1</f>
        <v>16</v>
      </c>
      <c r="CD2612" s="111">
        <f>CC2612-BF2612</f>
        <v>0</v>
      </c>
      <c r="CG2612" s="129" t="str">
        <f t="shared" si="1897"/>
        <v>N</v>
      </c>
      <c r="CI2612" s="129" t="str">
        <f t="shared" si="1898"/>
        <v>11-30 DAYS</v>
      </c>
      <c r="CJ2612" s="137">
        <f t="shared" si="1899"/>
        <v>2</v>
      </c>
      <c r="CK2612" s="129" t="str">
        <f t="shared" si="1900"/>
        <v>Booked</v>
      </c>
    </row>
    <row r="2613" spans="1:89" ht="15" customHeight="1" x14ac:dyDescent="0.25">
      <c r="A2613" s="111">
        <v>285</v>
      </c>
      <c r="B2613" s="128" t="str">
        <f t="shared" si="1888"/>
        <v>N</v>
      </c>
      <c r="C2613" s="128" t="str">
        <f t="shared" si="1889"/>
        <v>N</v>
      </c>
      <c r="D2613" s="117">
        <v>2599376</v>
      </c>
      <c r="E2613" s="135">
        <f t="shared" si="1890"/>
        <v>6</v>
      </c>
      <c r="F2613" s="124">
        <v>40920</v>
      </c>
      <c r="G2613" s="125">
        <v>40921</v>
      </c>
      <c r="H2613" s="117">
        <v>2599376</v>
      </c>
      <c r="I2613" s="124">
        <v>40921</v>
      </c>
      <c r="J2613" s="124">
        <v>40921</v>
      </c>
      <c r="K2613" s="126">
        <v>30000</v>
      </c>
      <c r="L2613" s="129" t="s">
        <v>572</v>
      </c>
      <c r="M2613" s="125">
        <v>40922</v>
      </c>
      <c r="N2613" s="129" t="str">
        <f t="shared" si="1912"/>
        <v>Y</v>
      </c>
      <c r="O2613" s="128" t="s">
        <v>76</v>
      </c>
      <c r="P2613" s="129" t="s">
        <v>39</v>
      </c>
      <c r="Q2613" s="111">
        <f t="shared" si="1903"/>
        <v>1</v>
      </c>
      <c r="R2613" s="111">
        <f t="shared" si="1875"/>
        <v>2</v>
      </c>
      <c r="S2613" s="129">
        <v>0</v>
      </c>
      <c r="T2613" s="129">
        <v>0</v>
      </c>
      <c r="W2613" s="111"/>
      <c r="AC2613" s="130"/>
      <c r="AD2613" s="130">
        <v>33565</v>
      </c>
      <c r="AE2613" s="128" t="s">
        <v>32</v>
      </c>
      <c r="AF2613" s="128" t="s">
        <v>33</v>
      </c>
      <c r="AG2613" s="128" t="s">
        <v>872</v>
      </c>
      <c r="AH2613" s="108" t="s">
        <v>31</v>
      </c>
      <c r="AI2613" s="128" t="s">
        <v>87</v>
      </c>
      <c r="AJ2613" s="129" t="s">
        <v>89</v>
      </c>
      <c r="AK2613" s="129">
        <v>13</v>
      </c>
      <c r="AL2613" s="3" t="s">
        <v>362</v>
      </c>
      <c r="AM2613" s="117">
        <v>10</v>
      </c>
      <c r="AP2613" s="129" t="s">
        <v>129</v>
      </c>
      <c r="AR2613" s="128" t="s">
        <v>92</v>
      </c>
      <c r="AS2613" s="129" t="s">
        <v>126</v>
      </c>
      <c r="BC2613" s="129" t="s">
        <v>52</v>
      </c>
      <c r="BF2613" s="111">
        <f t="shared" si="1913"/>
        <v>1</v>
      </c>
      <c r="BG2613" s="111">
        <f t="shared" si="1914"/>
        <v>1</v>
      </c>
      <c r="BH2613" s="111">
        <f t="shared" si="1878"/>
        <v>2</v>
      </c>
      <c r="BI2613" s="111">
        <f t="shared" si="1881"/>
        <v>20.095628415300546</v>
      </c>
      <c r="BJ2613" s="129">
        <f>G2613-J2613</f>
        <v>0</v>
      </c>
      <c r="BK2613" s="129">
        <f t="shared" si="1879"/>
        <v>0</v>
      </c>
      <c r="BL2613" s="129" t="str">
        <f t="shared" si="1874"/>
        <v>CONVICTION</v>
      </c>
      <c r="BM2613" s="129" t="s">
        <v>76</v>
      </c>
      <c r="BN2613" s="129" t="s">
        <v>88</v>
      </c>
      <c r="BP2613" s="137" t="str">
        <f t="shared" si="1882"/>
        <v>CONVICTION</v>
      </c>
      <c r="BQ2613" s="128" t="str">
        <f t="shared" si="1892"/>
        <v>Y</v>
      </c>
      <c r="BR2613" s="129" t="s">
        <v>575</v>
      </c>
      <c r="BS2613" s="129" t="str">
        <f t="shared" si="1884"/>
        <v>DISPOSED</v>
      </c>
      <c r="BT2613" s="129" t="str">
        <f t="shared" si="1885"/>
        <v>N</v>
      </c>
      <c r="BU2613" s="109">
        <f t="shared" si="1886"/>
        <v>0.5</v>
      </c>
      <c r="BV2613" s="109">
        <f t="shared" si="1893"/>
        <v>1</v>
      </c>
      <c r="BW2613" s="109">
        <f t="shared" si="1908"/>
        <v>0.5</v>
      </c>
      <c r="BX2613" s="111">
        <f t="shared" si="1887"/>
        <v>0</v>
      </c>
      <c r="BY2613" s="129">
        <f t="shared" si="1894"/>
        <v>-1</v>
      </c>
      <c r="BZ2613" s="111">
        <f t="shared" si="1895"/>
        <v>0</v>
      </c>
      <c r="CA2613" s="138">
        <f t="shared" si="1896"/>
        <v>2</v>
      </c>
      <c r="CB2613" s="111" t="e">
        <f t="shared" si="1915"/>
        <v>#VALUE!</v>
      </c>
      <c r="CC2613" s="129">
        <f>M2613-I2613+1</f>
        <v>2</v>
      </c>
      <c r="CD2613" s="111">
        <f>CC2613-BF2613</f>
        <v>1</v>
      </c>
      <c r="CG2613" s="129" t="str">
        <f t="shared" si="1897"/>
        <v>N</v>
      </c>
      <c r="CI2613" s="129" t="str">
        <f t="shared" si="1898"/>
        <v>0-10 DAYS</v>
      </c>
      <c r="CJ2613" s="137">
        <f t="shared" si="1899"/>
        <v>1</v>
      </c>
      <c r="CK2613" s="129" t="str">
        <f t="shared" si="1900"/>
        <v>Booked</v>
      </c>
    </row>
    <row r="2614" spans="1:89" ht="15" customHeight="1" x14ac:dyDescent="0.25">
      <c r="A2614" s="111">
        <v>288</v>
      </c>
      <c r="B2614" s="128" t="str">
        <f t="shared" si="1888"/>
        <v>N</v>
      </c>
      <c r="C2614" s="128" t="str">
        <f t="shared" si="1889"/>
        <v>N</v>
      </c>
      <c r="D2614" s="117">
        <v>2599402</v>
      </c>
      <c r="E2614" s="135">
        <f t="shared" si="1890"/>
        <v>2</v>
      </c>
      <c r="F2614" s="124">
        <v>40920</v>
      </c>
      <c r="G2614" s="125">
        <v>41017</v>
      </c>
      <c r="H2614" s="117">
        <v>2599402</v>
      </c>
      <c r="I2614" s="124">
        <v>40920</v>
      </c>
      <c r="J2614" s="124">
        <v>40922</v>
      </c>
      <c r="K2614" s="126">
        <v>2000</v>
      </c>
      <c r="L2614" s="127" t="s">
        <v>568</v>
      </c>
      <c r="M2614" s="125">
        <v>40922</v>
      </c>
      <c r="N2614" s="129" t="str">
        <f t="shared" si="1912"/>
        <v>Y</v>
      </c>
      <c r="O2614" s="128" t="s">
        <v>76</v>
      </c>
      <c r="P2614" s="129" t="s">
        <v>589</v>
      </c>
      <c r="Q2614" s="111">
        <f t="shared" ref="Q2614:Q2645" si="1916">BF2614</f>
        <v>3</v>
      </c>
      <c r="R2614" s="111">
        <f t="shared" si="1875"/>
        <v>98</v>
      </c>
      <c r="S2614" s="129">
        <v>0</v>
      </c>
      <c r="T2614" s="129">
        <v>0</v>
      </c>
      <c r="W2614" s="111"/>
      <c r="AC2614" s="130"/>
      <c r="AD2614" s="130">
        <v>33544</v>
      </c>
      <c r="AE2614" s="128" t="s">
        <v>46</v>
      </c>
      <c r="AF2614" s="128" t="s">
        <v>33</v>
      </c>
      <c r="AG2614" s="128" t="s">
        <v>872</v>
      </c>
      <c r="AH2614" s="108" t="s">
        <v>31</v>
      </c>
      <c r="AI2614" s="128" t="s">
        <v>141</v>
      </c>
      <c r="AJ2614" s="129" t="s">
        <v>48</v>
      </c>
      <c r="AK2614" s="129">
        <v>6</v>
      </c>
      <c r="AL2614" s="3" t="s">
        <v>48</v>
      </c>
      <c r="AP2614" s="129" t="s">
        <v>108</v>
      </c>
      <c r="AR2614" s="128" t="s">
        <v>44</v>
      </c>
      <c r="AS2614" s="129" t="s">
        <v>61</v>
      </c>
      <c r="BC2614" s="129" t="s">
        <v>99</v>
      </c>
      <c r="BF2614" s="111">
        <f t="shared" si="1913"/>
        <v>3</v>
      </c>
      <c r="BG2614" s="111">
        <f t="shared" si="1914"/>
        <v>98</v>
      </c>
      <c r="BH2614" s="111">
        <f t="shared" si="1878"/>
        <v>98</v>
      </c>
      <c r="BI2614" s="111">
        <f t="shared" si="1881"/>
        <v>20.153005464480874</v>
      </c>
      <c r="BJ2614" s="129">
        <f>(G2614-J2614)+(M2614-G2614)</f>
        <v>0</v>
      </c>
      <c r="BK2614" s="129">
        <f t="shared" si="1879"/>
        <v>-95</v>
      </c>
      <c r="BL2614" s="129" t="str">
        <f t="shared" si="1874"/>
        <v>DEFERRED</v>
      </c>
      <c r="BM2614" s="129" t="s">
        <v>76</v>
      </c>
      <c r="BN2614" s="129" t="s">
        <v>88</v>
      </c>
      <c r="BP2614" s="137" t="str">
        <f t="shared" si="1882"/>
        <v>DEFERRED</v>
      </c>
      <c r="BQ2614" s="128" t="str">
        <f t="shared" si="1892"/>
        <v>Y</v>
      </c>
      <c r="BR2614" s="129" t="str">
        <f t="shared" si="1883"/>
        <v>ON BOND</v>
      </c>
      <c r="BS2614" s="129" t="str">
        <f t="shared" si="1884"/>
        <v>DISPOSED</v>
      </c>
      <c r="BT2614" s="129" t="str">
        <f t="shared" si="1885"/>
        <v>N</v>
      </c>
      <c r="BU2614" s="109">
        <f t="shared" si="1886"/>
        <v>3.0612244897959183E-2</v>
      </c>
      <c r="BV2614" s="109">
        <f t="shared" si="1893"/>
        <v>3.0612244897959183E-2</v>
      </c>
      <c r="BW2614" s="109">
        <f t="shared" si="1908"/>
        <v>0</v>
      </c>
      <c r="BX2614" s="111">
        <f t="shared" si="1887"/>
        <v>0</v>
      </c>
      <c r="BY2614" s="129">
        <f t="shared" si="1894"/>
        <v>-3</v>
      </c>
      <c r="BZ2614" s="111">
        <f t="shared" si="1895"/>
        <v>0</v>
      </c>
      <c r="CA2614" s="138">
        <f t="shared" si="1896"/>
        <v>3</v>
      </c>
      <c r="CB2614" s="111" t="e">
        <f t="shared" si="1915"/>
        <v>#VALUE!</v>
      </c>
      <c r="CC2614" s="129">
        <f>M2614-I2614+1</f>
        <v>3</v>
      </c>
      <c r="CD2614" s="111">
        <f>CC2614-BF2614</f>
        <v>0</v>
      </c>
      <c r="CG2614" s="129" t="str">
        <f t="shared" si="1897"/>
        <v>N</v>
      </c>
      <c r="CI2614" s="129" t="str">
        <f t="shared" si="1898"/>
        <v>0-10 DAYS</v>
      </c>
      <c r="CJ2614" s="137">
        <f t="shared" si="1899"/>
        <v>1</v>
      </c>
      <c r="CK2614" s="129" t="str">
        <f t="shared" si="1900"/>
        <v>Booked</v>
      </c>
    </row>
    <row r="2615" spans="1:89" ht="15" customHeight="1" x14ac:dyDescent="0.25">
      <c r="A2615" s="111">
        <v>286</v>
      </c>
      <c r="B2615" s="128" t="str">
        <f t="shared" si="1888"/>
        <v>N</v>
      </c>
      <c r="C2615" s="128" t="str">
        <f t="shared" si="1889"/>
        <v>N</v>
      </c>
      <c r="D2615" s="117">
        <v>2599403</v>
      </c>
      <c r="E2615" s="135">
        <f t="shared" si="1890"/>
        <v>6</v>
      </c>
      <c r="F2615" s="124">
        <v>40920</v>
      </c>
      <c r="G2615" s="125">
        <v>41064</v>
      </c>
      <c r="H2615" s="117">
        <v>2599403</v>
      </c>
      <c r="I2615" s="124">
        <v>40925</v>
      </c>
      <c r="J2615" s="124">
        <v>41064</v>
      </c>
      <c r="K2615" s="126">
        <v>30000</v>
      </c>
      <c r="L2615" s="129" t="s">
        <v>572</v>
      </c>
      <c r="N2615" s="129" t="str">
        <f t="shared" si="1912"/>
        <v>N</v>
      </c>
      <c r="O2615" s="128" t="s">
        <v>917</v>
      </c>
      <c r="P2615" s="129" t="s">
        <v>39</v>
      </c>
      <c r="Q2615" s="111">
        <f t="shared" si="1916"/>
        <v>140</v>
      </c>
      <c r="R2615" s="111">
        <f t="shared" si="1875"/>
        <v>145</v>
      </c>
      <c r="S2615" s="129">
        <v>0</v>
      </c>
      <c r="T2615" s="129">
        <v>0</v>
      </c>
      <c r="W2615" s="111"/>
      <c r="AB2615" s="131" t="s">
        <v>112</v>
      </c>
      <c r="AC2615" s="130"/>
      <c r="AD2615" s="130">
        <v>25226</v>
      </c>
      <c r="AE2615" s="128" t="s">
        <v>32</v>
      </c>
      <c r="AF2615" s="128" t="s">
        <v>40</v>
      </c>
      <c r="AG2615" s="128" t="s">
        <v>41</v>
      </c>
      <c r="AH2615" s="108" t="s">
        <v>31</v>
      </c>
      <c r="AI2615" s="128" t="s">
        <v>53</v>
      </c>
      <c r="AJ2615" s="129" t="s">
        <v>89</v>
      </c>
      <c r="AK2615" s="129">
        <v>7</v>
      </c>
      <c r="AL2615" s="3" t="s">
        <v>362</v>
      </c>
      <c r="AM2615" s="117">
        <v>2</v>
      </c>
      <c r="AP2615" s="129" t="s">
        <v>145</v>
      </c>
      <c r="AR2615" s="128" t="s">
        <v>50</v>
      </c>
      <c r="AS2615" s="129" t="s">
        <v>126</v>
      </c>
      <c r="BC2615" s="129" t="s">
        <v>38</v>
      </c>
      <c r="BF2615" s="111">
        <f t="shared" si="1913"/>
        <v>140</v>
      </c>
      <c r="BG2615" s="111">
        <f t="shared" si="1914"/>
        <v>140</v>
      </c>
      <c r="BH2615" s="111">
        <f t="shared" si="1878"/>
        <v>145</v>
      </c>
      <c r="BI2615" s="111">
        <f t="shared" si="1881"/>
        <v>42.879781420765028</v>
      </c>
      <c r="BJ2615" s="129">
        <f>G2615-J2615-M2615</f>
        <v>0</v>
      </c>
      <c r="BK2615" s="129">
        <f t="shared" si="1879"/>
        <v>0</v>
      </c>
      <c r="BL2615" s="129" t="str">
        <f t="shared" ref="BL2615:BL2678" si="1917">IF(OR(AL2615="AQUITTAL",AL2615="DISMISSED",AL2615="FINE",AL2615="NO BILL"),"NO CONVICTION",IF(OR(AL2615="HCJ",AL2615="MHH",AL2615="PROBATION",AL2615="STJ",AL2615="TDC"),"CONVICTION",IF(AL2615="DEFERRED","DEFERRED",0)))</f>
        <v>CONVICTION</v>
      </c>
      <c r="BM2615" s="129" t="str">
        <f>O2615</f>
        <v>NONE</v>
      </c>
      <c r="BN2615" s="129" t="s">
        <v>566</v>
      </c>
      <c r="BP2615" s="137" t="str">
        <f t="shared" si="1882"/>
        <v>CONVICTION</v>
      </c>
      <c r="BQ2615" s="128" t="str">
        <f t="shared" si="1892"/>
        <v>Y</v>
      </c>
      <c r="BR2615" s="129" t="str">
        <f t="shared" si="1883"/>
        <v>DETAINED</v>
      </c>
      <c r="BS2615" s="129" t="str">
        <f t="shared" si="1884"/>
        <v>DISPOSED</v>
      </c>
      <c r="BT2615" s="129" t="str">
        <f t="shared" si="1885"/>
        <v>N</v>
      </c>
      <c r="BU2615" s="109">
        <f t="shared" si="1886"/>
        <v>0.96551724137931039</v>
      </c>
      <c r="BV2615" s="109">
        <f t="shared" si="1893"/>
        <v>1</v>
      </c>
      <c r="BW2615" s="109">
        <f t="shared" si="1908"/>
        <v>3.4482758620689613E-2</v>
      </c>
      <c r="BX2615" s="111">
        <f t="shared" si="1887"/>
        <v>0</v>
      </c>
      <c r="BY2615" s="129">
        <f t="shared" si="1894"/>
        <v>-140</v>
      </c>
      <c r="BZ2615" s="111">
        <f t="shared" si="1895"/>
        <v>0</v>
      </c>
      <c r="CA2615" s="138">
        <f t="shared" si="1896"/>
        <v>140</v>
      </c>
      <c r="CB2615" s="111" t="e">
        <f t="shared" si="1915"/>
        <v>#VALUE!</v>
      </c>
      <c r="CC2615" s="129">
        <f>G2615-I2615+1</f>
        <v>140</v>
      </c>
      <c r="CD2615" s="129">
        <f>G2615-J2615</f>
        <v>0</v>
      </c>
      <c r="CG2615" s="129" t="str">
        <f t="shared" si="1897"/>
        <v>N</v>
      </c>
      <c r="CI2615" s="129" t="str">
        <f t="shared" si="1898"/>
        <v>121-365 DAYS</v>
      </c>
      <c r="CJ2615" s="137">
        <f t="shared" si="1899"/>
        <v>6</v>
      </c>
      <c r="CK2615" s="129" t="str">
        <f t="shared" si="1900"/>
        <v>Booked</v>
      </c>
    </row>
    <row r="2616" spans="1:89" ht="15.75" customHeight="1" x14ac:dyDescent="0.25">
      <c r="A2616" s="111">
        <v>290</v>
      </c>
      <c r="B2616" s="128" t="str">
        <f t="shared" si="1888"/>
        <v>N</v>
      </c>
      <c r="C2616" s="128" t="str">
        <f t="shared" si="1889"/>
        <v>N</v>
      </c>
      <c r="D2616" s="117">
        <v>2599410</v>
      </c>
      <c r="E2616" s="135">
        <f t="shared" si="1890"/>
        <v>1</v>
      </c>
      <c r="F2616" s="124">
        <v>40920</v>
      </c>
      <c r="G2616" s="125">
        <v>41562</v>
      </c>
      <c r="H2616" s="117">
        <v>2599410</v>
      </c>
      <c r="I2616" s="124">
        <v>40920</v>
      </c>
      <c r="J2616" s="125">
        <v>41562</v>
      </c>
      <c r="K2616" s="126">
        <v>35000</v>
      </c>
      <c r="L2616" s="129" t="s">
        <v>572</v>
      </c>
      <c r="N2616" s="129" t="str">
        <f t="shared" si="1912"/>
        <v>N</v>
      </c>
      <c r="O2616" s="128" t="s">
        <v>917</v>
      </c>
      <c r="P2616" s="129" t="s">
        <v>55</v>
      </c>
      <c r="Q2616" s="111">
        <f t="shared" si="1916"/>
        <v>643</v>
      </c>
      <c r="R2616" s="111">
        <f t="shared" si="1875"/>
        <v>643</v>
      </c>
      <c r="S2616" s="129">
        <v>0</v>
      </c>
      <c r="T2616" s="129">
        <v>0</v>
      </c>
      <c r="W2616" s="111"/>
      <c r="AB2616" s="131" t="s">
        <v>112</v>
      </c>
      <c r="AC2616" s="130"/>
      <c r="AD2616" s="130">
        <v>22759</v>
      </c>
      <c r="AE2616" s="128" t="s">
        <v>32</v>
      </c>
      <c r="AF2616" s="128" t="s">
        <v>40</v>
      </c>
      <c r="AG2616" s="128" t="s">
        <v>41</v>
      </c>
      <c r="AH2616" s="108" t="s">
        <v>31</v>
      </c>
      <c r="AI2616" s="128" t="s">
        <v>65</v>
      </c>
      <c r="AJ2616" s="129" t="s">
        <v>55</v>
      </c>
      <c r="AK2616" s="129">
        <v>14</v>
      </c>
      <c r="AL2616" s="3" t="s">
        <v>55</v>
      </c>
      <c r="AP2616" s="129" t="s">
        <v>173</v>
      </c>
      <c r="AR2616" s="128" t="s">
        <v>50</v>
      </c>
      <c r="AS2616" s="129" t="s">
        <v>126</v>
      </c>
      <c r="BC2616" s="129" t="s">
        <v>52</v>
      </c>
      <c r="BF2616" s="111">
        <f t="shared" si="1913"/>
        <v>643</v>
      </c>
      <c r="BG2616" s="111">
        <f t="shared" si="1914"/>
        <v>643</v>
      </c>
      <c r="BH2616" s="111">
        <f t="shared" si="1878"/>
        <v>643</v>
      </c>
      <c r="BI2616" s="111">
        <f t="shared" si="1881"/>
        <v>49.620218579234972</v>
      </c>
      <c r="BJ2616" s="129">
        <f>G2616-J2616-M2616</f>
        <v>0</v>
      </c>
      <c r="BK2616" s="129">
        <f t="shared" si="1879"/>
        <v>0</v>
      </c>
      <c r="BL2616" s="129" t="str">
        <f t="shared" si="1917"/>
        <v>NO CONVICTION</v>
      </c>
      <c r="BM2616" s="129" t="str">
        <f>O2616</f>
        <v>NONE</v>
      </c>
      <c r="BN2616" s="129" t="s">
        <v>88</v>
      </c>
      <c r="BP2616" s="137" t="str">
        <f t="shared" si="1882"/>
        <v>NO CONVICTION</v>
      </c>
      <c r="BQ2616" s="128" t="str">
        <f t="shared" si="1892"/>
        <v>Y</v>
      </c>
      <c r="BR2616" s="129" t="str">
        <f t="shared" si="1883"/>
        <v>DETAINED</v>
      </c>
      <c r="BS2616" s="129" t="str">
        <f t="shared" si="1884"/>
        <v>DISPOSED</v>
      </c>
      <c r="BT2616" s="129" t="str">
        <f t="shared" si="1885"/>
        <v>N</v>
      </c>
      <c r="BU2616" s="109">
        <f>IFERROR(Q2616/R2616,BR2616)</f>
        <v>1</v>
      </c>
      <c r="BV2616" s="109">
        <f t="shared" si="1893"/>
        <v>1</v>
      </c>
      <c r="BW2616" s="109">
        <f t="shared" si="1908"/>
        <v>0</v>
      </c>
      <c r="BX2616" s="111">
        <f t="shared" si="1887"/>
        <v>0</v>
      </c>
      <c r="BY2616" s="129">
        <f t="shared" si="1894"/>
        <v>-643</v>
      </c>
      <c r="BZ2616" s="111">
        <f t="shared" si="1895"/>
        <v>0</v>
      </c>
      <c r="CA2616" s="138">
        <f t="shared" si="1896"/>
        <v>643</v>
      </c>
      <c r="CB2616" s="111" t="e">
        <f t="shared" si="1915"/>
        <v>#VALUE!</v>
      </c>
      <c r="CC2616" s="129">
        <f>G2616-I2616+1</f>
        <v>643</v>
      </c>
      <c r="CD2616" s="129">
        <f>G2616-J2616</f>
        <v>0</v>
      </c>
      <c r="CG2616" s="129" t="str">
        <f t="shared" si="1897"/>
        <v>N</v>
      </c>
      <c r="CI2616" s="129" t="str">
        <f t="shared" si="1898"/>
        <v xml:space="preserve"> &gt;1YRS&lt;2YRS</v>
      </c>
      <c r="CJ2616" s="137">
        <f t="shared" si="1899"/>
        <v>0</v>
      </c>
      <c r="CK2616" s="129" t="str">
        <f t="shared" si="1900"/>
        <v>Booked</v>
      </c>
    </row>
    <row r="2617" spans="1:89" ht="15.75" customHeight="1" x14ac:dyDescent="0.25">
      <c r="A2617" s="111">
        <v>299</v>
      </c>
      <c r="B2617" s="128" t="str">
        <f t="shared" si="1888"/>
        <v>N</v>
      </c>
      <c r="C2617" s="128" t="str">
        <f t="shared" si="1889"/>
        <v>N</v>
      </c>
      <c r="D2617" s="117">
        <v>2599435</v>
      </c>
      <c r="E2617" s="135">
        <f t="shared" si="1890"/>
        <v>2</v>
      </c>
      <c r="F2617" s="124">
        <v>40921</v>
      </c>
      <c r="G2617" s="125">
        <v>40945</v>
      </c>
      <c r="H2617" s="117">
        <v>2599435</v>
      </c>
      <c r="I2617" s="124">
        <v>40921</v>
      </c>
      <c r="J2617" s="124">
        <v>40945</v>
      </c>
      <c r="K2617" s="126">
        <v>5000</v>
      </c>
      <c r="L2617" s="127" t="s">
        <v>569</v>
      </c>
      <c r="N2617" s="129" t="str">
        <f t="shared" si="1912"/>
        <v>N</v>
      </c>
      <c r="O2617" s="128" t="s">
        <v>917</v>
      </c>
      <c r="P2617" s="129" t="s">
        <v>589</v>
      </c>
      <c r="Q2617" s="111">
        <f t="shared" si="1916"/>
        <v>25</v>
      </c>
      <c r="R2617" s="111">
        <f t="shared" si="1875"/>
        <v>25</v>
      </c>
      <c r="S2617" s="129">
        <v>0</v>
      </c>
      <c r="T2617" s="129">
        <v>0</v>
      </c>
      <c r="W2617" s="111"/>
      <c r="AC2617" s="130"/>
      <c r="AD2617" s="130">
        <v>32814</v>
      </c>
      <c r="AE2617" s="128" t="s">
        <v>32</v>
      </c>
      <c r="AF2617" s="128" t="s">
        <v>33</v>
      </c>
      <c r="AG2617" s="128" t="s">
        <v>872</v>
      </c>
      <c r="AH2617" s="108" t="s">
        <v>31</v>
      </c>
      <c r="AI2617" s="128" t="s">
        <v>141</v>
      </c>
      <c r="AJ2617" s="129" t="s">
        <v>48</v>
      </c>
      <c r="AK2617" s="129">
        <v>2</v>
      </c>
      <c r="AL2617" s="3" t="s">
        <v>48</v>
      </c>
      <c r="AP2617" s="129" t="s">
        <v>136</v>
      </c>
      <c r="AR2617" s="128" t="s">
        <v>67</v>
      </c>
      <c r="AS2617" s="129" t="s">
        <v>64</v>
      </c>
      <c r="BC2617" s="129" t="s">
        <v>38</v>
      </c>
      <c r="BF2617" s="111">
        <f t="shared" si="1913"/>
        <v>25</v>
      </c>
      <c r="BG2617" s="111">
        <f t="shared" si="1914"/>
        <v>25</v>
      </c>
      <c r="BH2617" s="111">
        <f t="shared" si="1878"/>
        <v>25</v>
      </c>
      <c r="BI2617" s="111">
        <f t="shared" si="1881"/>
        <v>22.150273224043715</v>
      </c>
      <c r="BJ2617" s="129">
        <f>G2617-J2617-M2617</f>
        <v>0</v>
      </c>
      <c r="BK2617" s="129">
        <f t="shared" si="1879"/>
        <v>0</v>
      </c>
      <c r="BL2617" s="129" t="str">
        <f t="shared" si="1917"/>
        <v>DEFERRED</v>
      </c>
      <c r="BM2617" s="129" t="str">
        <f>O2617</f>
        <v>NONE</v>
      </c>
      <c r="BN2617" s="129" t="s">
        <v>566</v>
      </c>
      <c r="BP2617" s="137" t="str">
        <f t="shared" si="1882"/>
        <v>DEFERRED</v>
      </c>
      <c r="BQ2617" s="128" t="str">
        <f t="shared" si="1892"/>
        <v>Y</v>
      </c>
      <c r="BR2617" s="129" t="str">
        <f t="shared" si="1883"/>
        <v>DETAINED</v>
      </c>
      <c r="BS2617" s="129" t="str">
        <f t="shared" si="1884"/>
        <v>DISPOSED</v>
      </c>
      <c r="BT2617" s="129" t="str">
        <f t="shared" si="1885"/>
        <v>N</v>
      </c>
      <c r="BU2617" s="109">
        <f t="shared" si="1886"/>
        <v>1</v>
      </c>
      <c r="BV2617" s="109">
        <f t="shared" si="1893"/>
        <v>1</v>
      </c>
      <c r="BW2617" s="109">
        <f t="shared" si="1908"/>
        <v>0</v>
      </c>
      <c r="BX2617" s="111">
        <f t="shared" si="1887"/>
        <v>0</v>
      </c>
      <c r="BY2617" s="129">
        <f t="shared" si="1894"/>
        <v>-25</v>
      </c>
      <c r="BZ2617" s="111">
        <f t="shared" si="1895"/>
        <v>0</v>
      </c>
      <c r="CA2617" s="138">
        <f t="shared" si="1896"/>
        <v>25</v>
      </c>
      <c r="CB2617" s="111" t="e">
        <f t="shared" si="1915"/>
        <v>#VALUE!</v>
      </c>
      <c r="CC2617" s="129">
        <f>G2617-I2617+1</f>
        <v>25</v>
      </c>
      <c r="CD2617" s="129">
        <f>G2617-J2617</f>
        <v>0</v>
      </c>
      <c r="CG2617" s="129" t="str">
        <f t="shared" si="1897"/>
        <v>N</v>
      </c>
      <c r="CI2617" s="129" t="str">
        <f t="shared" si="1898"/>
        <v>11-30 DAYS</v>
      </c>
      <c r="CJ2617" s="137">
        <f t="shared" si="1899"/>
        <v>2</v>
      </c>
      <c r="CK2617" s="129" t="str">
        <f t="shared" si="1900"/>
        <v>Booked</v>
      </c>
    </row>
    <row r="2618" spans="1:89" ht="15.75" customHeight="1" x14ac:dyDescent="0.25">
      <c r="A2618" s="111">
        <v>303</v>
      </c>
      <c r="B2618" s="128" t="str">
        <f t="shared" si="1888"/>
        <v>Y</v>
      </c>
      <c r="C2618" s="128" t="str">
        <f t="shared" si="1889"/>
        <v>N</v>
      </c>
      <c r="D2618" s="117">
        <v>2599440</v>
      </c>
      <c r="E2618" s="135">
        <f t="shared" si="1890"/>
        <v>4</v>
      </c>
      <c r="F2618" s="124">
        <v>40921</v>
      </c>
      <c r="G2618" s="125">
        <v>41386</v>
      </c>
      <c r="H2618" s="117">
        <v>2599440</v>
      </c>
      <c r="I2618" s="124">
        <v>40921</v>
      </c>
      <c r="J2618" s="124">
        <v>40925</v>
      </c>
      <c r="K2618" s="126">
        <v>5000</v>
      </c>
      <c r="L2618" s="127" t="s">
        <v>569</v>
      </c>
      <c r="M2618" s="125">
        <v>40925</v>
      </c>
      <c r="N2618" s="129" t="str">
        <f t="shared" si="1912"/>
        <v>Y</v>
      </c>
      <c r="O2618" s="128" t="s">
        <v>76</v>
      </c>
      <c r="P2618" s="129" t="s">
        <v>39</v>
      </c>
      <c r="Q2618" s="111">
        <f t="shared" si="1916"/>
        <v>5</v>
      </c>
      <c r="R2618" s="111">
        <f t="shared" si="1875"/>
        <v>466</v>
      </c>
      <c r="S2618" s="129">
        <v>0</v>
      </c>
      <c r="T2618" s="129">
        <v>0</v>
      </c>
      <c r="W2618" s="111"/>
      <c r="AC2618" s="130"/>
      <c r="AD2618" s="130">
        <v>31612</v>
      </c>
      <c r="AE2618" s="128" t="s">
        <v>32</v>
      </c>
      <c r="AF2618" s="128" t="s">
        <v>69</v>
      </c>
      <c r="AG2618" s="128" t="s">
        <v>874</v>
      </c>
      <c r="AH2618" s="108" t="s">
        <v>31</v>
      </c>
      <c r="AI2618" s="128" t="s">
        <v>118</v>
      </c>
      <c r="AJ2618" s="129" t="s">
        <v>89</v>
      </c>
      <c r="AK2618" s="129">
        <v>12</v>
      </c>
      <c r="AL2618" s="3" t="s">
        <v>991</v>
      </c>
      <c r="AO2618" s="128">
        <v>120</v>
      </c>
      <c r="AP2618" s="129" t="s">
        <v>103</v>
      </c>
      <c r="AR2618" s="128" t="s">
        <v>44</v>
      </c>
      <c r="AS2618" s="129" t="s">
        <v>45</v>
      </c>
      <c r="AW2618" s="123"/>
      <c r="AX2618" s="123"/>
      <c r="AY2618" s="123"/>
      <c r="BC2618" s="129" t="s">
        <v>52</v>
      </c>
      <c r="BD2618" s="32" t="s">
        <v>1066</v>
      </c>
      <c r="BF2618" s="111">
        <f t="shared" si="1913"/>
        <v>5</v>
      </c>
      <c r="BG2618" s="111">
        <f t="shared" si="1914"/>
        <v>466</v>
      </c>
      <c r="BH2618" s="111">
        <f t="shared" si="1878"/>
        <v>466</v>
      </c>
      <c r="BI2618" s="111">
        <f t="shared" si="1881"/>
        <v>25.434426229508198</v>
      </c>
      <c r="BJ2618" s="129">
        <f>(G2618-J2618)+(M2618-G2618)</f>
        <v>0</v>
      </c>
      <c r="BK2618" s="129">
        <f t="shared" si="1879"/>
        <v>-461</v>
      </c>
      <c r="BL2618" s="129" t="str">
        <f t="shared" si="1917"/>
        <v>CONVICTION</v>
      </c>
      <c r="BM2618" s="129" t="s">
        <v>76</v>
      </c>
      <c r="BN2618" s="129" t="s">
        <v>88</v>
      </c>
      <c r="BP2618" s="137" t="str">
        <f t="shared" si="1882"/>
        <v>CONVICTION</v>
      </c>
      <c r="BQ2618" s="128" t="str">
        <f t="shared" si="1892"/>
        <v>Y</v>
      </c>
      <c r="BR2618" s="129" t="str">
        <f>IF(J2618&lt;G2618,"ON BOND",0)</f>
        <v>ON BOND</v>
      </c>
      <c r="BS2618" s="129" t="str">
        <f t="shared" si="1884"/>
        <v>DISPOSED</v>
      </c>
      <c r="BT2618" s="129" t="str">
        <f t="shared" si="1885"/>
        <v>N</v>
      </c>
      <c r="BU2618" s="109">
        <f t="shared" si="1886"/>
        <v>1.0729613733905579E-2</v>
      </c>
      <c r="BV2618" s="109">
        <f t="shared" si="1893"/>
        <v>1.0729613733905579E-2</v>
      </c>
      <c r="BW2618" s="109">
        <f t="shared" si="1908"/>
        <v>0</v>
      </c>
      <c r="BX2618" s="111">
        <f t="shared" si="1887"/>
        <v>0</v>
      </c>
      <c r="BY2618" s="129">
        <f t="shared" si="1894"/>
        <v>-5</v>
      </c>
      <c r="BZ2618" s="111">
        <f t="shared" si="1895"/>
        <v>0</v>
      </c>
      <c r="CA2618" s="138">
        <f t="shared" si="1896"/>
        <v>5</v>
      </c>
      <c r="CB2618" s="111" t="e">
        <f t="shared" si="1915"/>
        <v>#VALUE!</v>
      </c>
      <c r="CC2618" s="129">
        <f>M2618-I2618+1</f>
        <v>5</v>
      </c>
      <c r="CD2618" s="111">
        <f>CC2618-BF2618</f>
        <v>0</v>
      </c>
      <c r="CG2618" s="129" t="str">
        <f t="shared" si="1897"/>
        <v>N</v>
      </c>
      <c r="CI2618" s="129" t="str">
        <f t="shared" si="1898"/>
        <v>0-10 DAYS</v>
      </c>
      <c r="CJ2618" s="137">
        <f t="shared" si="1899"/>
        <v>1</v>
      </c>
      <c r="CK2618" s="129" t="str">
        <f t="shared" si="1900"/>
        <v>Booked</v>
      </c>
    </row>
    <row r="2619" spans="1:89" ht="15.75" customHeight="1" x14ac:dyDescent="0.25">
      <c r="A2619" s="111">
        <v>306</v>
      </c>
      <c r="B2619" s="128" t="str">
        <f t="shared" si="1888"/>
        <v>N</v>
      </c>
      <c r="C2619" s="128" t="str">
        <f t="shared" si="1889"/>
        <v>N</v>
      </c>
      <c r="D2619" s="117">
        <v>2599444</v>
      </c>
      <c r="E2619" s="135">
        <f t="shared" si="1890"/>
        <v>2</v>
      </c>
      <c r="F2619" s="124">
        <v>40921</v>
      </c>
      <c r="G2619" s="125">
        <v>41163</v>
      </c>
      <c r="H2619" s="117">
        <v>2599444</v>
      </c>
      <c r="I2619" s="124">
        <v>40921</v>
      </c>
      <c r="J2619" s="124">
        <v>40922</v>
      </c>
      <c r="K2619" s="126">
        <v>22000</v>
      </c>
      <c r="L2619" s="129" t="s">
        <v>572</v>
      </c>
      <c r="M2619" s="125">
        <v>40922</v>
      </c>
      <c r="N2619" s="129" t="str">
        <f t="shared" si="1912"/>
        <v>Y</v>
      </c>
      <c r="O2619" s="128" t="s">
        <v>76</v>
      </c>
      <c r="P2619" s="129" t="s">
        <v>589</v>
      </c>
      <c r="Q2619" s="111">
        <f t="shared" si="1916"/>
        <v>2</v>
      </c>
      <c r="R2619" s="111">
        <f t="shared" si="1875"/>
        <v>243</v>
      </c>
      <c r="S2619" s="129">
        <v>0</v>
      </c>
      <c r="T2619" s="129">
        <v>0</v>
      </c>
      <c r="W2619" s="111"/>
      <c r="AC2619" s="130"/>
      <c r="AD2619" s="130">
        <v>34334</v>
      </c>
      <c r="AE2619" s="128" t="s">
        <v>32</v>
      </c>
      <c r="AF2619" s="128" t="s">
        <v>69</v>
      </c>
      <c r="AG2619" s="128" t="s">
        <v>874</v>
      </c>
      <c r="AH2619" s="108" t="s">
        <v>31</v>
      </c>
      <c r="AI2619" s="128" t="s">
        <v>97</v>
      </c>
      <c r="AJ2619" s="129" t="s">
        <v>48</v>
      </c>
      <c r="AK2619" s="129">
        <v>10</v>
      </c>
      <c r="AL2619" s="3" t="s">
        <v>48</v>
      </c>
      <c r="AP2619" s="129" t="s">
        <v>190</v>
      </c>
      <c r="AR2619" s="128" t="s">
        <v>50</v>
      </c>
      <c r="AS2619" s="129" t="s">
        <v>82</v>
      </c>
      <c r="BC2619" s="129" t="s">
        <v>52</v>
      </c>
      <c r="BF2619" s="111">
        <f t="shared" si="1913"/>
        <v>2</v>
      </c>
      <c r="BG2619" s="111">
        <f t="shared" si="1914"/>
        <v>243</v>
      </c>
      <c r="BH2619" s="111">
        <f t="shared" si="1878"/>
        <v>243</v>
      </c>
      <c r="BI2619" s="111">
        <f t="shared" si="1881"/>
        <v>17.997267759562842</v>
      </c>
      <c r="BJ2619" s="129">
        <f>(G2619-J2619)+(M2619-G2619)</f>
        <v>0</v>
      </c>
      <c r="BK2619" s="129">
        <f t="shared" si="1879"/>
        <v>-241</v>
      </c>
      <c r="BL2619" s="129" t="str">
        <f t="shared" si="1917"/>
        <v>DEFERRED</v>
      </c>
      <c r="BM2619" s="129" t="s">
        <v>76</v>
      </c>
      <c r="BN2619" s="129" t="s">
        <v>88</v>
      </c>
      <c r="BP2619" s="137" t="str">
        <f t="shared" si="1882"/>
        <v>DEFERRED</v>
      </c>
      <c r="BQ2619" s="128" t="str">
        <f t="shared" si="1892"/>
        <v>Y</v>
      </c>
      <c r="BR2619" s="129" t="str">
        <f t="shared" si="1883"/>
        <v>ON BOND</v>
      </c>
      <c r="BS2619" s="129" t="str">
        <f t="shared" si="1884"/>
        <v>DISPOSED</v>
      </c>
      <c r="BT2619" s="129" t="str">
        <f t="shared" si="1885"/>
        <v>N</v>
      </c>
      <c r="BU2619" s="109">
        <f t="shared" si="1886"/>
        <v>8.23045267489712E-3</v>
      </c>
      <c r="BV2619" s="109">
        <f t="shared" si="1893"/>
        <v>8.23045267489712E-3</v>
      </c>
      <c r="BW2619" s="109">
        <f t="shared" si="1908"/>
        <v>0</v>
      </c>
      <c r="BX2619" s="111">
        <f t="shared" si="1887"/>
        <v>0</v>
      </c>
      <c r="BY2619" s="129">
        <f t="shared" si="1894"/>
        <v>-2</v>
      </c>
      <c r="BZ2619" s="111">
        <f t="shared" si="1895"/>
        <v>0</v>
      </c>
      <c r="CA2619" s="138">
        <f t="shared" si="1896"/>
        <v>2</v>
      </c>
      <c r="CB2619" s="111" t="e">
        <f t="shared" si="1915"/>
        <v>#VALUE!</v>
      </c>
      <c r="CC2619" s="129">
        <f>M2619-I2619+1</f>
        <v>2</v>
      </c>
      <c r="CD2619" s="111">
        <f>CC2619-BF2619</f>
        <v>0</v>
      </c>
      <c r="CG2619" s="129" t="str">
        <f t="shared" si="1897"/>
        <v>N</v>
      </c>
      <c r="CI2619" s="129" t="str">
        <f t="shared" si="1898"/>
        <v>0-10 DAYS</v>
      </c>
      <c r="CJ2619" s="137">
        <f t="shared" si="1899"/>
        <v>1</v>
      </c>
      <c r="CK2619" s="129" t="str">
        <f t="shared" si="1900"/>
        <v>Booked</v>
      </c>
    </row>
    <row r="2620" spans="1:89" ht="15.75" customHeight="1" x14ac:dyDescent="0.25">
      <c r="A2620" s="111">
        <v>643</v>
      </c>
      <c r="B2620" s="128" t="str">
        <f t="shared" si="1888"/>
        <v>N</v>
      </c>
      <c r="C2620" s="128" t="str">
        <f t="shared" si="1889"/>
        <v>N</v>
      </c>
      <c r="D2620" s="117">
        <v>2599477</v>
      </c>
      <c r="E2620" s="135">
        <f t="shared" si="1890"/>
        <v>4</v>
      </c>
      <c r="F2620" s="124">
        <v>40934</v>
      </c>
      <c r="G2620" s="125">
        <v>40935</v>
      </c>
      <c r="H2620" s="117">
        <v>2599477</v>
      </c>
      <c r="I2620" s="124">
        <v>40934</v>
      </c>
      <c r="J2620" s="124">
        <v>40935</v>
      </c>
      <c r="K2620" s="126">
        <v>5000</v>
      </c>
      <c r="L2620" s="127" t="s">
        <v>569</v>
      </c>
      <c r="N2620" s="129" t="str">
        <f t="shared" si="1912"/>
        <v>N</v>
      </c>
      <c r="O2620" s="128" t="s">
        <v>917</v>
      </c>
      <c r="P2620" s="129" t="s">
        <v>39</v>
      </c>
      <c r="Q2620" s="111">
        <f t="shared" si="1916"/>
        <v>2</v>
      </c>
      <c r="R2620" s="111">
        <f t="shared" si="1875"/>
        <v>2</v>
      </c>
      <c r="S2620" s="129">
        <v>0</v>
      </c>
      <c r="T2620" s="129">
        <v>1</v>
      </c>
      <c r="W2620" s="111"/>
      <c r="AB2620" s="131" t="s">
        <v>112</v>
      </c>
      <c r="AC2620" s="130"/>
      <c r="AD2620" s="130">
        <v>34229</v>
      </c>
      <c r="AE2620" s="128" t="s">
        <v>32</v>
      </c>
      <c r="AF2620" s="128" t="s">
        <v>40</v>
      </c>
      <c r="AG2620" s="128" t="s">
        <v>41</v>
      </c>
      <c r="AH2620" s="108" t="s">
        <v>31</v>
      </c>
      <c r="AI2620" s="128" t="s">
        <v>53</v>
      </c>
      <c r="AJ2620" s="129" t="s">
        <v>89</v>
      </c>
      <c r="AK2620" s="129">
        <v>1</v>
      </c>
      <c r="AL2620" s="3" t="s">
        <v>991</v>
      </c>
      <c r="AO2620" s="128">
        <v>90</v>
      </c>
      <c r="AP2620" s="129" t="s">
        <v>43</v>
      </c>
      <c r="AR2620" s="128" t="s">
        <v>44</v>
      </c>
      <c r="AS2620" s="129" t="s">
        <v>45</v>
      </c>
      <c r="BC2620" s="129" t="s">
        <v>38</v>
      </c>
      <c r="BF2620" s="111">
        <f t="shared" si="1913"/>
        <v>2</v>
      </c>
      <c r="BG2620" s="111">
        <f t="shared" si="1914"/>
        <v>2</v>
      </c>
      <c r="BH2620" s="111">
        <f t="shared" si="1878"/>
        <v>2</v>
      </c>
      <c r="BI2620" s="111">
        <f t="shared" si="1881"/>
        <v>18.319672131147541</v>
      </c>
      <c r="BJ2620" s="129">
        <f>G2620-J2620-M2620</f>
        <v>0</v>
      </c>
      <c r="BK2620" s="129">
        <f t="shared" si="1879"/>
        <v>0</v>
      </c>
      <c r="BL2620" s="129" t="str">
        <f t="shared" si="1917"/>
        <v>CONVICTION</v>
      </c>
      <c r="BM2620" s="129" t="str">
        <f>O2620</f>
        <v>NONE</v>
      </c>
      <c r="BN2620" s="129" t="s">
        <v>566</v>
      </c>
      <c r="BP2620" s="137" t="str">
        <f t="shared" si="1882"/>
        <v>CONVICTION</v>
      </c>
      <c r="BQ2620" s="128" t="str">
        <f t="shared" si="1892"/>
        <v>Y</v>
      </c>
      <c r="BR2620" s="129" t="str">
        <f t="shared" si="1883"/>
        <v>DETAINED</v>
      </c>
      <c r="BS2620" s="129" t="str">
        <f t="shared" si="1884"/>
        <v>DISPOSED</v>
      </c>
      <c r="BT2620" s="129" t="str">
        <f t="shared" si="1885"/>
        <v>N</v>
      </c>
      <c r="BU2620" s="109">
        <f t="shared" si="1886"/>
        <v>1</v>
      </c>
      <c r="BV2620" s="109">
        <f t="shared" si="1893"/>
        <v>1</v>
      </c>
      <c r="BW2620" s="109">
        <f t="shared" si="1908"/>
        <v>0</v>
      </c>
      <c r="BX2620" s="111">
        <f t="shared" si="1887"/>
        <v>0</v>
      </c>
      <c r="BY2620" s="129">
        <f t="shared" si="1894"/>
        <v>-2</v>
      </c>
      <c r="BZ2620" s="111">
        <f t="shared" si="1895"/>
        <v>0</v>
      </c>
      <c r="CA2620" s="138">
        <f t="shared" si="1896"/>
        <v>2</v>
      </c>
      <c r="CB2620" s="111" t="e">
        <f t="shared" si="1915"/>
        <v>#VALUE!</v>
      </c>
      <c r="CC2620" s="129">
        <f>G2620-I2620+1</f>
        <v>2</v>
      </c>
      <c r="CD2620" s="129">
        <f>G2620-J2620</f>
        <v>0</v>
      </c>
      <c r="CG2620" s="129" t="str">
        <f t="shared" si="1897"/>
        <v>Y</v>
      </c>
      <c r="CI2620" s="129" t="str">
        <f t="shared" si="1898"/>
        <v>0-10 DAYS</v>
      </c>
      <c r="CJ2620" s="137">
        <f t="shared" si="1899"/>
        <v>1</v>
      </c>
      <c r="CK2620" s="129" t="str">
        <f t="shared" si="1900"/>
        <v>Booked</v>
      </c>
    </row>
    <row r="2621" spans="1:89" ht="15.75" customHeight="1" x14ac:dyDescent="0.25">
      <c r="A2621" s="111">
        <v>313</v>
      </c>
      <c r="B2621" s="128" t="str">
        <f t="shared" si="1888"/>
        <v>N</v>
      </c>
      <c r="C2621" s="128" t="str">
        <f t="shared" si="1889"/>
        <v>N</v>
      </c>
      <c r="D2621" s="117">
        <v>2599491</v>
      </c>
      <c r="E2621" s="135">
        <f t="shared" si="1890"/>
        <v>2</v>
      </c>
      <c r="F2621" s="124">
        <v>40921</v>
      </c>
      <c r="G2621" s="125">
        <v>41043</v>
      </c>
      <c r="H2621" s="117">
        <v>2599491</v>
      </c>
      <c r="I2621" s="124">
        <v>40921</v>
      </c>
      <c r="J2621" s="124">
        <v>40922</v>
      </c>
      <c r="K2621" s="126">
        <v>2000</v>
      </c>
      <c r="L2621" s="127" t="s">
        <v>568</v>
      </c>
      <c r="M2621" s="125">
        <v>40922</v>
      </c>
      <c r="N2621" s="129" t="str">
        <f t="shared" si="1912"/>
        <v>Y</v>
      </c>
      <c r="O2621" s="128" t="s">
        <v>76</v>
      </c>
      <c r="P2621" s="129" t="s">
        <v>589</v>
      </c>
      <c r="Q2621" s="111">
        <f t="shared" si="1916"/>
        <v>2</v>
      </c>
      <c r="R2621" s="111">
        <f t="shared" ref="R2621:R2684" si="1918">BH2621</f>
        <v>123</v>
      </c>
      <c r="S2621" s="129">
        <v>0</v>
      </c>
      <c r="T2621" s="129">
        <v>0</v>
      </c>
      <c r="W2621" s="111"/>
      <c r="AB2621" s="131" t="s">
        <v>112</v>
      </c>
      <c r="AC2621" s="130"/>
      <c r="AD2621" s="130">
        <v>26912</v>
      </c>
      <c r="AE2621" s="128" t="s">
        <v>32</v>
      </c>
      <c r="AF2621" s="128" t="s">
        <v>40</v>
      </c>
      <c r="AG2621" s="128" t="s">
        <v>41</v>
      </c>
      <c r="AH2621" s="108" t="s">
        <v>31</v>
      </c>
      <c r="AI2621" s="128" t="s">
        <v>53</v>
      </c>
      <c r="AJ2621" s="129" t="s">
        <v>48</v>
      </c>
      <c r="AK2621" s="129">
        <v>7</v>
      </c>
      <c r="AL2621" s="3" t="s">
        <v>48</v>
      </c>
      <c r="AP2621" s="129" t="s">
        <v>43</v>
      </c>
      <c r="AR2621" s="128" t="s">
        <v>44</v>
      </c>
      <c r="AS2621" s="129" t="s">
        <v>45</v>
      </c>
      <c r="BC2621" s="129" t="s">
        <v>52</v>
      </c>
      <c r="BF2621" s="111">
        <f t="shared" si="1913"/>
        <v>2</v>
      </c>
      <c r="BG2621" s="111">
        <f t="shared" si="1914"/>
        <v>123</v>
      </c>
      <c r="BH2621" s="111">
        <f t="shared" ref="BH2621:BH2684" si="1919">IF(G2621&gt;1/1/1900,((G2621+1)-F2621),"STILL OPEN")</f>
        <v>123</v>
      </c>
      <c r="BI2621" s="111">
        <f t="shared" si="1881"/>
        <v>38.275956284153004</v>
      </c>
      <c r="BJ2621" s="129">
        <f>(G2621-J2621)+(M2621-G2621)</f>
        <v>0</v>
      </c>
      <c r="BK2621" s="129">
        <f t="shared" ref="BK2621:BK2684" si="1920">J2621-G2621</f>
        <v>-121</v>
      </c>
      <c r="BL2621" s="129" t="str">
        <f t="shared" si="1917"/>
        <v>DEFERRED</v>
      </c>
      <c r="BM2621" s="129" t="s">
        <v>76</v>
      </c>
      <c r="BN2621" s="129" t="s">
        <v>88</v>
      </c>
      <c r="BP2621" s="137" t="str">
        <f t="shared" si="1882"/>
        <v>DEFERRED</v>
      </c>
      <c r="BQ2621" s="128" t="str">
        <f t="shared" si="1892"/>
        <v>Y</v>
      </c>
      <c r="BR2621" s="129" t="str">
        <f t="shared" si="1883"/>
        <v>ON BOND</v>
      </c>
      <c r="BS2621" s="129" t="str">
        <f t="shared" si="1884"/>
        <v>DISPOSED</v>
      </c>
      <c r="BT2621" s="129" t="str">
        <f t="shared" si="1885"/>
        <v>N</v>
      </c>
      <c r="BU2621" s="109">
        <f t="shared" si="1886"/>
        <v>1.6260162601626018E-2</v>
      </c>
      <c r="BV2621" s="109">
        <f t="shared" si="1893"/>
        <v>1.6260162601626018E-2</v>
      </c>
      <c r="BW2621" s="109">
        <f t="shared" si="1908"/>
        <v>0</v>
      </c>
      <c r="BX2621" s="111">
        <f t="shared" si="1887"/>
        <v>0</v>
      </c>
      <c r="BY2621" s="129">
        <f t="shared" si="1894"/>
        <v>-2</v>
      </c>
      <c r="BZ2621" s="111">
        <f t="shared" si="1895"/>
        <v>0</v>
      </c>
      <c r="CA2621" s="138">
        <f t="shared" si="1896"/>
        <v>2</v>
      </c>
      <c r="CB2621" s="111" t="e">
        <f t="shared" si="1915"/>
        <v>#VALUE!</v>
      </c>
      <c r="CC2621" s="129">
        <f>M2621-I2621+1</f>
        <v>2</v>
      </c>
      <c r="CD2621" s="111">
        <f>CC2621-BF2621</f>
        <v>0</v>
      </c>
      <c r="CG2621" s="129" t="str">
        <f t="shared" si="1897"/>
        <v>N</v>
      </c>
      <c r="CI2621" s="129" t="str">
        <f t="shared" si="1898"/>
        <v>0-10 DAYS</v>
      </c>
      <c r="CJ2621" s="137">
        <f t="shared" si="1899"/>
        <v>1</v>
      </c>
      <c r="CK2621" s="129" t="str">
        <f t="shared" si="1900"/>
        <v>Booked</v>
      </c>
    </row>
    <row r="2622" spans="1:89" ht="15.75" customHeight="1" x14ac:dyDescent="0.25">
      <c r="A2622" s="111">
        <v>333</v>
      </c>
      <c r="B2622" s="128" t="str">
        <f t="shared" si="1888"/>
        <v>N</v>
      </c>
      <c r="C2622" s="128" t="str">
        <f t="shared" si="1889"/>
        <v>N</v>
      </c>
      <c r="D2622" s="117">
        <v>2599577</v>
      </c>
      <c r="E2622" s="135">
        <f t="shared" si="1890"/>
        <v>1</v>
      </c>
      <c r="F2622" s="124">
        <v>40921</v>
      </c>
      <c r="G2622" s="125">
        <v>41031</v>
      </c>
      <c r="H2622" s="117">
        <v>2599577</v>
      </c>
      <c r="I2622" s="124" t="s">
        <v>562</v>
      </c>
      <c r="J2622" s="124" t="s">
        <v>562</v>
      </c>
      <c r="K2622" s="126">
        <v>20000</v>
      </c>
      <c r="L2622" s="127" t="s">
        <v>571</v>
      </c>
      <c r="M2622" s="125">
        <v>40922</v>
      </c>
      <c r="N2622" s="129" t="str">
        <f>IF(M2622&gt;1/1/1,"Y",IF(Q2622="0","","N"))</f>
        <v>Y</v>
      </c>
      <c r="O2622" s="128" t="s">
        <v>76</v>
      </c>
      <c r="P2622" s="129" t="s">
        <v>55</v>
      </c>
      <c r="Q2622" s="111">
        <f t="shared" si="1916"/>
        <v>0</v>
      </c>
      <c r="R2622" s="111">
        <f t="shared" si="1918"/>
        <v>111</v>
      </c>
      <c r="S2622" s="129">
        <v>0</v>
      </c>
      <c r="T2622" s="129">
        <v>0</v>
      </c>
      <c r="W2622" s="111"/>
      <c r="AC2622" s="130"/>
      <c r="AD2622" s="130">
        <v>33773</v>
      </c>
      <c r="AE2622" s="128" t="s">
        <v>32</v>
      </c>
      <c r="AF2622" s="128" t="s">
        <v>69</v>
      </c>
      <c r="AG2622" s="128" t="s">
        <v>874</v>
      </c>
      <c r="AH2622" s="108" t="s">
        <v>31</v>
      </c>
      <c r="AI2622" s="128" t="s">
        <v>97</v>
      </c>
      <c r="AJ2622" s="129" t="s">
        <v>55</v>
      </c>
      <c r="AK2622" s="129">
        <v>5</v>
      </c>
      <c r="AL2622" s="3" t="s">
        <v>55</v>
      </c>
      <c r="AP2622" s="129" t="s">
        <v>132</v>
      </c>
      <c r="AR2622" s="128" t="s">
        <v>92</v>
      </c>
      <c r="AS2622" s="129" t="s">
        <v>82</v>
      </c>
      <c r="BC2622" s="129" t="s">
        <v>52</v>
      </c>
      <c r="BF2622" s="111">
        <v>0</v>
      </c>
      <c r="BG2622" s="111">
        <v>0</v>
      </c>
      <c r="BH2622" s="111">
        <f t="shared" si="1919"/>
        <v>111</v>
      </c>
      <c r="BI2622" s="111">
        <f t="shared" si="1881"/>
        <v>19.530054644808743</v>
      </c>
      <c r="BJ2622" s="129" t="e">
        <f>(G2622-J2622)+(M2622-G2622)</f>
        <v>#VALUE!</v>
      </c>
      <c r="BK2622" s="129" t="e">
        <f t="shared" si="1920"/>
        <v>#VALUE!</v>
      </c>
      <c r="BL2622" s="129" t="str">
        <f t="shared" si="1917"/>
        <v>NO CONVICTION</v>
      </c>
      <c r="BM2622" s="129" t="s">
        <v>76</v>
      </c>
      <c r="BN2622" s="129" t="s">
        <v>88</v>
      </c>
      <c r="BP2622" s="137" t="str">
        <f t="shared" si="1882"/>
        <v>NO CONVICTION</v>
      </c>
      <c r="BQ2622" s="128">
        <f t="shared" si="1892"/>
        <v>0</v>
      </c>
      <c r="BR2622" s="129" t="s">
        <v>575</v>
      </c>
      <c r="BS2622" s="129" t="str">
        <f t="shared" si="1884"/>
        <v>DISPOSED</v>
      </c>
      <c r="BT2622" s="129" t="str">
        <f t="shared" si="1885"/>
        <v>N</v>
      </c>
      <c r="BU2622" s="109">
        <f>IFERROR(Q2622/R2622,BR2622)</f>
        <v>0</v>
      </c>
      <c r="BV2622" s="109">
        <v>0</v>
      </c>
      <c r="BW2622" s="109">
        <f t="shared" si="1908"/>
        <v>0</v>
      </c>
      <c r="BX2622" s="111">
        <f t="shared" si="1887"/>
        <v>0</v>
      </c>
      <c r="BY2622" s="129" t="e">
        <f t="shared" si="1894"/>
        <v>#VALUE!</v>
      </c>
      <c r="BZ2622" s="111" t="e">
        <f t="shared" si="1895"/>
        <v>#VALUE!</v>
      </c>
      <c r="CA2622" s="138" t="e">
        <f t="shared" si="1896"/>
        <v>#VALUE!</v>
      </c>
      <c r="CB2622" s="111">
        <v>0</v>
      </c>
      <c r="CC2622" s="129">
        <v>0</v>
      </c>
      <c r="CD2622" s="111">
        <f>CC2622-BF2622</f>
        <v>0</v>
      </c>
      <c r="CG2622" s="129" t="str">
        <f t="shared" si="1897"/>
        <v>N</v>
      </c>
      <c r="CI2622" s="129" t="str">
        <f t="shared" si="1898"/>
        <v>0-10 DAYS</v>
      </c>
      <c r="CJ2622" s="137">
        <f t="shared" si="1899"/>
        <v>1</v>
      </c>
      <c r="CK2622" s="129" t="str">
        <f t="shared" si="1900"/>
        <v>Not Booked</v>
      </c>
    </row>
    <row r="2623" spans="1:89" ht="15.75" customHeight="1" x14ac:dyDescent="0.25">
      <c r="A2623" s="111">
        <v>335</v>
      </c>
      <c r="B2623" s="128" t="str">
        <f t="shared" si="1888"/>
        <v>N</v>
      </c>
      <c r="C2623" s="128" t="str">
        <f t="shared" si="1889"/>
        <v>N</v>
      </c>
      <c r="D2623" s="117">
        <v>2599591</v>
      </c>
      <c r="E2623" s="135">
        <f t="shared" si="1890"/>
        <v>6</v>
      </c>
      <c r="F2623" s="124">
        <v>40922</v>
      </c>
      <c r="G2623" s="125">
        <v>41281</v>
      </c>
      <c r="H2623" s="117">
        <v>2599591</v>
      </c>
      <c r="I2623" s="124">
        <v>40922</v>
      </c>
      <c r="J2623" s="124">
        <v>40926</v>
      </c>
      <c r="K2623" s="126">
        <v>50000</v>
      </c>
      <c r="L2623" s="129" t="s">
        <v>572</v>
      </c>
      <c r="M2623" s="125">
        <v>40926</v>
      </c>
      <c r="N2623" s="129" t="str">
        <f>IF(M2623&gt;1/1/1,"Y","N")</f>
        <v>Y</v>
      </c>
      <c r="O2623" s="128" t="s">
        <v>76</v>
      </c>
      <c r="P2623" s="129" t="s">
        <v>39</v>
      </c>
      <c r="Q2623" s="111">
        <f t="shared" si="1916"/>
        <v>5</v>
      </c>
      <c r="R2623" s="111">
        <f t="shared" si="1918"/>
        <v>360</v>
      </c>
      <c r="S2623" s="129">
        <v>0</v>
      </c>
      <c r="T2623" s="129">
        <v>0</v>
      </c>
      <c r="W2623" s="111"/>
      <c r="AC2623" s="130"/>
      <c r="AD2623" s="130">
        <v>32202</v>
      </c>
      <c r="AE2623" s="128" t="s">
        <v>32</v>
      </c>
      <c r="AF2623" s="128" t="s">
        <v>69</v>
      </c>
      <c r="AG2623" s="128" t="s">
        <v>874</v>
      </c>
      <c r="AH2623" s="108" t="s">
        <v>31</v>
      </c>
      <c r="AI2623" s="128" t="s">
        <v>71</v>
      </c>
      <c r="AJ2623" s="129" t="s">
        <v>48</v>
      </c>
      <c r="AK2623" s="129">
        <v>9</v>
      </c>
      <c r="AL2623" s="3" t="s">
        <v>362</v>
      </c>
      <c r="AM2623" s="117">
        <v>3</v>
      </c>
      <c r="AP2623" s="129" t="s">
        <v>194</v>
      </c>
      <c r="AR2623" s="128" t="s">
        <v>50</v>
      </c>
      <c r="AS2623" s="129" t="s">
        <v>64</v>
      </c>
      <c r="BC2623" s="129" t="s">
        <v>52</v>
      </c>
      <c r="BF2623" s="111">
        <f>IF(J2623&gt;1/1/1900,((J2623+1)-I2623),"STILL OPEN")</f>
        <v>5</v>
      </c>
      <c r="BG2623" s="111">
        <f>IF(G2623&gt;1/1/1900,((G2623+1)-I2623),"STILL OPEN")</f>
        <v>360</v>
      </c>
      <c r="BH2623" s="111">
        <f t="shared" si="1919"/>
        <v>360</v>
      </c>
      <c r="BI2623" s="111">
        <f t="shared" si="1881"/>
        <v>23.825136612021858</v>
      </c>
      <c r="BJ2623" s="129">
        <f>(G2623-J2623)+(M2623-G2623)</f>
        <v>0</v>
      </c>
      <c r="BK2623" s="129">
        <f t="shared" si="1920"/>
        <v>-355</v>
      </c>
      <c r="BL2623" s="129" t="str">
        <f t="shared" si="1917"/>
        <v>CONVICTION</v>
      </c>
      <c r="BM2623" s="129" t="s">
        <v>76</v>
      </c>
      <c r="BN2623" s="129" t="s">
        <v>88</v>
      </c>
      <c r="BP2623" s="137" t="str">
        <f t="shared" si="1882"/>
        <v>DEFERRED</v>
      </c>
      <c r="BQ2623" s="128" t="str">
        <f t="shared" si="1892"/>
        <v>Y</v>
      </c>
      <c r="BR2623" s="129" t="str">
        <f>IF(J2623&lt;G2623,"ON BOND",0)</f>
        <v>ON BOND</v>
      </c>
      <c r="BS2623" s="129" t="str">
        <f t="shared" si="1884"/>
        <v>DISPOSED</v>
      </c>
      <c r="BT2623" s="129" t="str">
        <f t="shared" si="1885"/>
        <v>N</v>
      </c>
      <c r="BU2623" s="109">
        <f t="shared" si="1886"/>
        <v>1.3888888888888888E-2</v>
      </c>
      <c r="BV2623" s="109">
        <f t="shared" si="1893"/>
        <v>1.3888888888888888E-2</v>
      </c>
      <c r="BW2623" s="109">
        <f t="shared" si="1908"/>
        <v>0</v>
      </c>
      <c r="BX2623" s="111">
        <f t="shared" si="1887"/>
        <v>0</v>
      </c>
      <c r="BY2623" s="129">
        <f t="shared" si="1894"/>
        <v>-5</v>
      </c>
      <c r="BZ2623" s="111">
        <f t="shared" si="1895"/>
        <v>0</v>
      </c>
      <c r="CA2623" s="138">
        <f t="shared" si="1896"/>
        <v>5</v>
      </c>
      <c r="CB2623" s="111" t="e">
        <f>IF(AF2623&gt;1/1/1900,((AF2623+1)-AE2623),"STILL OPEN")</f>
        <v>#VALUE!</v>
      </c>
      <c r="CC2623" s="129">
        <f>M2623-I2623+1</f>
        <v>5</v>
      </c>
      <c r="CD2623" s="111">
        <f>CC2623-BF2623</f>
        <v>0</v>
      </c>
      <c r="CG2623" s="129" t="str">
        <f t="shared" si="1897"/>
        <v>N</v>
      </c>
      <c r="CI2623" s="129" t="str">
        <f t="shared" si="1898"/>
        <v>0-10 DAYS</v>
      </c>
      <c r="CJ2623" s="137">
        <f t="shared" si="1899"/>
        <v>1</v>
      </c>
      <c r="CK2623" s="129" t="str">
        <f t="shared" si="1900"/>
        <v>Booked</v>
      </c>
    </row>
    <row r="2624" spans="1:89" ht="15" customHeight="1" x14ac:dyDescent="0.25">
      <c r="A2624" s="111">
        <v>339</v>
      </c>
      <c r="B2624" s="128" t="str">
        <f t="shared" si="1888"/>
        <v>N</v>
      </c>
      <c r="C2624" s="128" t="str">
        <f t="shared" si="1889"/>
        <v>N</v>
      </c>
      <c r="D2624" s="117">
        <v>2599602</v>
      </c>
      <c r="E2624" s="135">
        <f t="shared" si="1890"/>
        <v>2</v>
      </c>
      <c r="F2624" s="124">
        <v>40922</v>
      </c>
      <c r="G2624" s="125">
        <v>41197</v>
      </c>
      <c r="H2624" s="117">
        <v>2599602</v>
      </c>
      <c r="I2624" s="124" t="s">
        <v>562</v>
      </c>
      <c r="J2624" s="124" t="s">
        <v>562</v>
      </c>
      <c r="K2624" s="126">
        <v>2000</v>
      </c>
      <c r="L2624" s="127" t="s">
        <v>568</v>
      </c>
      <c r="M2624" s="125">
        <v>40922</v>
      </c>
      <c r="N2624" s="129" t="str">
        <f>IF(M2624&gt;1/1/1,"Y",IF(Q2624="0","","N"))</f>
        <v>Y</v>
      </c>
      <c r="O2624" s="128" t="s">
        <v>76</v>
      </c>
      <c r="P2624" s="129" t="s">
        <v>589</v>
      </c>
      <c r="Q2624" s="111">
        <f t="shared" si="1916"/>
        <v>0</v>
      </c>
      <c r="R2624" s="111">
        <f t="shared" si="1918"/>
        <v>276</v>
      </c>
      <c r="S2624" s="129">
        <v>0</v>
      </c>
      <c r="T2624" s="129">
        <v>0</v>
      </c>
      <c r="W2624" s="111"/>
      <c r="AB2624" s="131" t="s">
        <v>112</v>
      </c>
      <c r="AC2624" s="130"/>
      <c r="AD2624" s="130">
        <v>33650</v>
      </c>
      <c r="AE2624" s="128" t="s">
        <v>32</v>
      </c>
      <c r="AF2624" s="128" t="s">
        <v>40</v>
      </c>
      <c r="AG2624" s="128" t="s">
        <v>41</v>
      </c>
      <c r="AH2624" s="108" t="s">
        <v>31</v>
      </c>
      <c r="AI2624" s="128" t="s">
        <v>47</v>
      </c>
      <c r="AJ2624" s="129" t="s">
        <v>48</v>
      </c>
      <c r="AK2624" s="129">
        <v>9</v>
      </c>
      <c r="AL2624" s="3" t="s">
        <v>48</v>
      </c>
      <c r="AP2624" s="129" t="s">
        <v>43</v>
      </c>
      <c r="AR2624" s="128" t="s">
        <v>44</v>
      </c>
      <c r="AS2624" s="129" t="s">
        <v>45</v>
      </c>
      <c r="BC2624" s="129" t="s">
        <v>52</v>
      </c>
      <c r="BF2624" s="111">
        <v>0</v>
      </c>
      <c r="BG2624" s="111">
        <v>0</v>
      </c>
      <c r="BH2624" s="111">
        <f t="shared" si="1919"/>
        <v>276</v>
      </c>
      <c r="BI2624" s="111">
        <f t="shared" ref="BI2624:BI2687" si="1921">(F2624-AD2624)/366</f>
        <v>19.868852459016395</v>
      </c>
      <c r="BJ2624" s="129" t="e">
        <f>(G2624-J2624)+(M2624-G2624)</f>
        <v>#VALUE!</v>
      </c>
      <c r="BK2624" s="129" t="e">
        <f t="shared" si="1920"/>
        <v>#VALUE!</v>
      </c>
      <c r="BL2624" s="129" t="str">
        <f t="shared" si="1917"/>
        <v>DEFERRED</v>
      </c>
      <c r="BM2624" s="129" t="s">
        <v>76</v>
      </c>
      <c r="BN2624" s="129" t="s">
        <v>88</v>
      </c>
      <c r="BP2624" s="137" t="str">
        <f t="shared" si="1882"/>
        <v>DEFERRED</v>
      </c>
      <c r="BQ2624" s="128">
        <f t="shared" si="1892"/>
        <v>0</v>
      </c>
      <c r="BR2624" s="129" t="s">
        <v>575</v>
      </c>
      <c r="BS2624" s="129" t="str">
        <f t="shared" si="1884"/>
        <v>DISPOSED</v>
      </c>
      <c r="BT2624" s="129" t="str">
        <f t="shared" si="1885"/>
        <v>N</v>
      </c>
      <c r="BU2624" s="109">
        <f t="shared" si="1886"/>
        <v>0</v>
      </c>
      <c r="BV2624" s="109">
        <v>0</v>
      </c>
      <c r="BW2624" s="109">
        <f t="shared" si="1908"/>
        <v>0</v>
      </c>
      <c r="BX2624" s="111">
        <f t="shared" si="1887"/>
        <v>0</v>
      </c>
      <c r="BY2624" s="129" t="e">
        <f t="shared" si="1894"/>
        <v>#VALUE!</v>
      </c>
      <c r="BZ2624" s="111" t="e">
        <f t="shared" si="1895"/>
        <v>#VALUE!</v>
      </c>
      <c r="CA2624" s="138" t="e">
        <f t="shared" si="1896"/>
        <v>#VALUE!</v>
      </c>
      <c r="CB2624" s="111">
        <v>0</v>
      </c>
      <c r="CC2624" s="129">
        <v>0</v>
      </c>
      <c r="CD2624" s="111">
        <f>CC2624-BF2624</f>
        <v>0</v>
      </c>
      <c r="CG2624" s="129" t="str">
        <f t="shared" si="1897"/>
        <v>N</v>
      </c>
      <c r="CI2624" s="129" t="str">
        <f t="shared" si="1898"/>
        <v>0-10 DAYS</v>
      </c>
      <c r="CJ2624" s="137">
        <f t="shared" si="1899"/>
        <v>1</v>
      </c>
      <c r="CK2624" s="129" t="str">
        <f t="shared" si="1900"/>
        <v>Not Booked</v>
      </c>
    </row>
    <row r="2625" spans="1:89" ht="15.75" customHeight="1" x14ac:dyDescent="0.25">
      <c r="A2625" s="111">
        <v>344</v>
      </c>
      <c r="B2625" s="128" t="str">
        <f t="shared" si="1888"/>
        <v>N</v>
      </c>
      <c r="C2625" s="128" t="str">
        <f t="shared" si="1889"/>
        <v>N</v>
      </c>
      <c r="D2625" s="117">
        <v>2599631</v>
      </c>
      <c r="E2625" s="135">
        <f t="shared" si="1890"/>
        <v>6</v>
      </c>
      <c r="F2625" s="124">
        <v>40922</v>
      </c>
      <c r="G2625" s="125">
        <v>41199</v>
      </c>
      <c r="H2625" s="117">
        <v>2599631</v>
      </c>
      <c r="I2625" s="124">
        <v>40923</v>
      </c>
      <c r="J2625" s="124">
        <v>40930</v>
      </c>
      <c r="K2625" s="126">
        <v>30000</v>
      </c>
      <c r="L2625" s="129" t="s">
        <v>572</v>
      </c>
      <c r="M2625" s="125">
        <v>40930</v>
      </c>
      <c r="N2625" s="129" t="str">
        <f t="shared" ref="N2625:N2640" si="1922">IF(M2625&gt;1/1/1,"Y","N")</f>
        <v>Y</v>
      </c>
      <c r="O2625" s="128" t="s">
        <v>76</v>
      </c>
      <c r="P2625" s="129" t="s">
        <v>39</v>
      </c>
      <c r="Q2625" s="111">
        <f t="shared" si="1916"/>
        <v>8</v>
      </c>
      <c r="R2625" s="111">
        <f t="shared" si="1918"/>
        <v>278</v>
      </c>
      <c r="S2625" s="129">
        <v>0</v>
      </c>
      <c r="T2625" s="129">
        <v>0</v>
      </c>
      <c r="W2625" s="111"/>
      <c r="AC2625" s="130"/>
      <c r="AD2625" s="130">
        <v>34408</v>
      </c>
      <c r="AE2625" s="128" t="s">
        <v>32</v>
      </c>
      <c r="AF2625" s="128" t="s">
        <v>33</v>
      </c>
      <c r="AG2625" s="128" t="s">
        <v>872</v>
      </c>
      <c r="AH2625" s="108" t="s">
        <v>31</v>
      </c>
      <c r="AI2625" s="128" t="s">
        <v>141</v>
      </c>
      <c r="AJ2625" s="129" t="s">
        <v>89</v>
      </c>
      <c r="AK2625" s="129">
        <v>10</v>
      </c>
      <c r="AL2625" s="3" t="s">
        <v>362</v>
      </c>
      <c r="AM2625" s="117">
        <v>12</v>
      </c>
      <c r="AP2625" s="129" t="s">
        <v>105</v>
      </c>
      <c r="AR2625" s="128" t="s">
        <v>92</v>
      </c>
      <c r="AS2625" s="129" t="s">
        <v>106</v>
      </c>
      <c r="BC2625" s="129" t="s">
        <v>38</v>
      </c>
      <c r="BF2625" s="111">
        <f t="shared" ref="BF2625:BF2640" si="1923">IF(J2625&gt;1/1/1900,((J2625+1)-I2625),"STILL OPEN")</f>
        <v>8</v>
      </c>
      <c r="BG2625" s="111">
        <f t="shared" ref="BG2625:BG2640" si="1924">IF(G2625&gt;1/1/1900,((G2625+1)-I2625),"STILL OPEN")</f>
        <v>277</v>
      </c>
      <c r="BH2625" s="111">
        <f t="shared" si="1919"/>
        <v>278</v>
      </c>
      <c r="BI2625" s="111">
        <f t="shared" si="1921"/>
        <v>17.797814207650273</v>
      </c>
      <c r="BJ2625" s="129">
        <f>(G2625-J2625)+(M2625-G2625)</f>
        <v>0</v>
      </c>
      <c r="BK2625" s="129">
        <f t="shared" si="1920"/>
        <v>-269</v>
      </c>
      <c r="BL2625" s="129" t="str">
        <f t="shared" si="1917"/>
        <v>CONVICTION</v>
      </c>
      <c r="BM2625" s="129" t="s">
        <v>76</v>
      </c>
      <c r="BN2625" s="129" t="s">
        <v>88</v>
      </c>
      <c r="BP2625" s="137" t="str">
        <f t="shared" ref="BP2625:BP2688" si="1925">IF(OR(AJ2625="AQUITTAL",AJ2625="DISMISSED",AJ2625="FINE",AJ2625="NO BILL"),"NO CONVICTION",IF(OR(AJ2625="HCJ",AJ2625="MHH",AJ2625="PROBATION",AJ2625="STJ",AJ2625="TDC",AJ2625="CONVICTED"),"CONVICTION",IF(AJ2625="DEFERRED","DEFERRED","")))</f>
        <v>CONVICTION</v>
      </c>
      <c r="BQ2625" s="128" t="str">
        <f t="shared" si="1892"/>
        <v>Y</v>
      </c>
      <c r="BR2625" s="129" t="str">
        <f>IF(J2625&lt;G2625,"ON BOND",0)</f>
        <v>ON BOND</v>
      </c>
      <c r="BS2625" s="129" t="str">
        <f t="shared" ref="BS2625:BS2688" si="1926">IF(G2625&lt;&gt;"","DISPOSED","")</f>
        <v>DISPOSED</v>
      </c>
      <c r="BT2625" s="129" t="str">
        <f t="shared" ref="BT2625:BT2688" si="1927">IF(S2625&gt;0,"Y","N")</f>
        <v>N</v>
      </c>
      <c r="BU2625" s="109">
        <f t="shared" ref="BU2625:BU2688" si="1928">Q2625/R2625</f>
        <v>2.8776978417266189E-2</v>
      </c>
      <c r="BV2625" s="109">
        <f t="shared" si="1893"/>
        <v>2.8880866425992781E-2</v>
      </c>
      <c r="BW2625" s="109">
        <f t="shared" si="1908"/>
        <v>1.0388800872659226E-4</v>
      </c>
      <c r="BX2625" s="111">
        <f t="shared" ref="BX2625:BX2688" si="1929">+Q2625-BF2625</f>
        <v>0</v>
      </c>
      <c r="BY2625" s="129">
        <f t="shared" si="1894"/>
        <v>-8</v>
      </c>
      <c r="BZ2625" s="111">
        <f t="shared" si="1895"/>
        <v>0</v>
      </c>
      <c r="CA2625" s="138">
        <f t="shared" si="1896"/>
        <v>8</v>
      </c>
      <c r="CB2625" s="111" t="e">
        <f t="shared" ref="CB2625:CB2640" si="1930">IF(AF2625&gt;1/1/1900,((AF2625+1)-AE2625),"STILL OPEN")</f>
        <v>#VALUE!</v>
      </c>
      <c r="CC2625" s="129">
        <f>M2625-I2625+1</f>
        <v>8</v>
      </c>
      <c r="CD2625" s="111">
        <f>CC2625-BF2625</f>
        <v>0</v>
      </c>
      <c r="CG2625" s="129" t="str">
        <f t="shared" si="1897"/>
        <v>N</v>
      </c>
      <c r="CI2625" s="129" t="str">
        <f t="shared" si="1898"/>
        <v>0-10 DAYS</v>
      </c>
      <c r="CJ2625" s="137">
        <f t="shared" si="1899"/>
        <v>1</v>
      </c>
      <c r="CK2625" s="129" t="str">
        <f t="shared" si="1900"/>
        <v>Booked</v>
      </c>
    </row>
    <row r="2626" spans="1:89" ht="15.75" customHeight="1" x14ac:dyDescent="0.25">
      <c r="A2626" s="111">
        <v>346</v>
      </c>
      <c r="B2626" s="128" t="str">
        <f t="shared" ref="B2626:B2689" si="1931">IF(BD2626&lt;&gt;"","Y","N")</f>
        <v>N</v>
      </c>
      <c r="C2626" s="128" t="str">
        <f t="shared" ref="C2626:C2689" si="1932">IF((AND(AV2626="",AX2626="",AY2626="")),"N","Y")</f>
        <v>N</v>
      </c>
      <c r="D2626" s="117">
        <v>2599645</v>
      </c>
      <c r="E2626" s="135">
        <f t="shared" ref="E2626:E2689" si="1933">IF(OR(AL2626="ACQUITTAL",AL2626="ACQUIT",AL2626="acq insane",AL2626="DISMISSED",AL2626="NO BILL"),1,IF(AL2626="DEFERRED",2,IF(AL2626="PROBATION",3,IF(OR(AL2626="HCJ",AL2626="fine"),4,IF(AL2626="STJ",5,IF(AL2626="TDC",6,""))))))</f>
        <v>2</v>
      </c>
      <c r="F2626" s="124">
        <v>40922</v>
      </c>
      <c r="G2626" s="125">
        <v>40948</v>
      </c>
      <c r="H2626" s="117">
        <v>2599645</v>
      </c>
      <c r="I2626" s="124">
        <v>40922</v>
      </c>
      <c r="J2626" s="124">
        <v>40948</v>
      </c>
      <c r="K2626" s="126">
        <v>10000</v>
      </c>
      <c r="L2626" s="127" t="s">
        <v>570</v>
      </c>
      <c r="N2626" s="129" t="str">
        <f t="shared" si="1922"/>
        <v>N</v>
      </c>
      <c r="O2626" s="128" t="s">
        <v>917</v>
      </c>
      <c r="P2626" s="129" t="s">
        <v>589</v>
      </c>
      <c r="Q2626" s="111">
        <f t="shared" si="1916"/>
        <v>27</v>
      </c>
      <c r="R2626" s="111">
        <f t="shared" si="1918"/>
        <v>27</v>
      </c>
      <c r="S2626" s="129">
        <v>0</v>
      </c>
      <c r="T2626" s="129">
        <v>0</v>
      </c>
      <c r="W2626" s="111"/>
      <c r="AB2626" s="131" t="s">
        <v>112</v>
      </c>
      <c r="AC2626" s="130"/>
      <c r="AD2626" s="130">
        <v>34589</v>
      </c>
      <c r="AE2626" s="128" t="s">
        <v>32</v>
      </c>
      <c r="AF2626" s="128" t="s">
        <v>40</v>
      </c>
      <c r="AG2626" s="128" t="s">
        <v>41</v>
      </c>
      <c r="AH2626" s="108" t="s">
        <v>31</v>
      </c>
      <c r="AI2626" s="128" t="s">
        <v>114</v>
      </c>
      <c r="AJ2626" s="129" t="s">
        <v>48</v>
      </c>
      <c r="AK2626" s="129">
        <v>2</v>
      </c>
      <c r="AL2626" s="3" t="s">
        <v>48</v>
      </c>
      <c r="AP2626" s="129" t="s">
        <v>56</v>
      </c>
      <c r="AR2626" s="128" t="s">
        <v>50</v>
      </c>
      <c r="AS2626" s="129" t="s">
        <v>57</v>
      </c>
      <c r="BC2626" s="129" t="s">
        <v>38</v>
      </c>
      <c r="BF2626" s="111">
        <f t="shared" si="1923"/>
        <v>27</v>
      </c>
      <c r="BG2626" s="111">
        <f t="shared" si="1924"/>
        <v>27</v>
      </c>
      <c r="BH2626" s="111">
        <f t="shared" si="1919"/>
        <v>27</v>
      </c>
      <c r="BI2626" s="111">
        <f t="shared" si="1921"/>
        <v>17.303278688524589</v>
      </c>
      <c r="BJ2626" s="129">
        <f>G2626-J2626-M2626</f>
        <v>0</v>
      </c>
      <c r="BK2626" s="129">
        <f t="shared" si="1920"/>
        <v>0</v>
      </c>
      <c r="BL2626" s="129" t="str">
        <f t="shared" si="1917"/>
        <v>DEFERRED</v>
      </c>
      <c r="BM2626" s="129" t="str">
        <f>O2626</f>
        <v>NONE</v>
      </c>
      <c r="BN2626" s="129" t="s">
        <v>566</v>
      </c>
      <c r="BP2626" s="137" t="str">
        <f t="shared" si="1925"/>
        <v>DEFERRED</v>
      </c>
      <c r="BQ2626" s="128" t="str">
        <f t="shared" ref="BQ2626:BQ2689" si="1934">IF(BF2626&gt;0,"Y",BF2626)</f>
        <v>Y</v>
      </c>
      <c r="BR2626" s="129" t="str">
        <f t="shared" ref="BR2626:BR2688" si="1935">IF(AND(J2626="NOT BOOKED",M2626&gt;1/1/1),"BONDED - BEFORE BOOKED",IF(BG2626="STILL OPEN","STILL OPEN",IF(N2626="Y","ON BOND",IF(J2626&gt;=G2626,"DETAINED","RELEASED"))))</f>
        <v>DETAINED</v>
      </c>
      <c r="BS2626" s="129" t="str">
        <f t="shared" si="1926"/>
        <v>DISPOSED</v>
      </c>
      <c r="BT2626" s="129" t="str">
        <f t="shared" si="1927"/>
        <v>N</v>
      </c>
      <c r="BU2626" s="109">
        <f t="shared" si="1928"/>
        <v>1</v>
      </c>
      <c r="BV2626" s="109">
        <f t="shared" ref="BV2626:BV2689" si="1936">IF(I2626&gt;F2626,((J2626-I2626+1)/(G2626-I2626+1)),(J2626-I2626+1)/(G2626-F2626+1))</f>
        <v>1</v>
      </c>
      <c r="BW2626" s="109">
        <f t="shared" si="1908"/>
        <v>0</v>
      </c>
      <c r="BX2626" s="111">
        <f t="shared" si="1929"/>
        <v>0</v>
      </c>
      <c r="BY2626" s="129">
        <f t="shared" ref="BY2626:BY2689" si="1937">I2626-J2626-1</f>
        <v>-27</v>
      </c>
      <c r="BZ2626" s="111">
        <f t="shared" ref="BZ2626:BZ2689" si="1938">BY2626+BF2626</f>
        <v>0</v>
      </c>
      <c r="CA2626" s="138">
        <f t="shared" ref="CA2626:CA2689" si="1939">IF(AND(BS2626="DISPOSED",BR2626="DETAINED"),G2626-I2626+1,IF(AND(BS2626="DISPOSED",BR2626="ON BOND"),M2626-I2626+1,IF(AND(BS2626="STILL OPEN","STILL OPEN"),"NOT BOOKED")))</f>
        <v>27</v>
      </c>
      <c r="CB2626" s="111" t="e">
        <f t="shared" si="1930"/>
        <v>#VALUE!</v>
      </c>
      <c r="CC2626" s="129">
        <f t="shared" ref="CC2626:CC2633" si="1940">G2626-I2626+1</f>
        <v>27</v>
      </c>
      <c r="CD2626" s="129">
        <f t="shared" ref="CD2626:CD2633" si="1941">G2626-J2626</f>
        <v>0</v>
      </c>
      <c r="CG2626" s="129" t="str">
        <f t="shared" ref="CG2626:CG2689" si="1942">IF((S2626+T2626+U2626)&gt;0,"Y","N")</f>
        <v>N</v>
      </c>
      <c r="CI2626" s="129" t="str">
        <f t="shared" si="1898"/>
        <v>11-30 DAYS</v>
      </c>
      <c r="CJ2626" s="137">
        <f t="shared" si="1899"/>
        <v>2</v>
      </c>
      <c r="CK2626" s="129" t="str">
        <f t="shared" si="1900"/>
        <v>Booked</v>
      </c>
    </row>
    <row r="2627" spans="1:89" ht="15.75" customHeight="1" x14ac:dyDescent="0.25">
      <c r="A2627" s="111">
        <v>631</v>
      </c>
      <c r="B2627" s="128" t="str">
        <f t="shared" si="1931"/>
        <v>N</v>
      </c>
      <c r="C2627" s="128" t="str">
        <f t="shared" si="1932"/>
        <v>N</v>
      </c>
      <c r="D2627" s="117">
        <v>2599648</v>
      </c>
      <c r="E2627" s="135">
        <f t="shared" si="1933"/>
        <v>5</v>
      </c>
      <c r="F2627" s="124">
        <v>40933</v>
      </c>
      <c r="G2627" s="125">
        <v>41312</v>
      </c>
      <c r="H2627" s="117">
        <v>2599648</v>
      </c>
      <c r="I2627" s="124">
        <v>40933</v>
      </c>
      <c r="J2627" s="125">
        <v>41312</v>
      </c>
      <c r="K2627" s="126">
        <v>10000</v>
      </c>
      <c r="L2627" s="127" t="s">
        <v>570</v>
      </c>
      <c r="N2627" s="129" t="str">
        <f t="shared" si="1922"/>
        <v>N</v>
      </c>
      <c r="O2627" s="128" t="s">
        <v>917</v>
      </c>
      <c r="P2627" s="129" t="s">
        <v>39</v>
      </c>
      <c r="Q2627" s="111">
        <f t="shared" si="1916"/>
        <v>380</v>
      </c>
      <c r="R2627" s="111">
        <f t="shared" si="1918"/>
        <v>380</v>
      </c>
      <c r="S2627" s="129">
        <v>0</v>
      </c>
      <c r="T2627" s="129">
        <v>1</v>
      </c>
      <c r="W2627" s="111"/>
      <c r="AC2627" s="130"/>
      <c r="AD2627" s="130">
        <v>31110</v>
      </c>
      <c r="AE2627" s="128" t="s">
        <v>32</v>
      </c>
      <c r="AF2627" s="128" t="s">
        <v>69</v>
      </c>
      <c r="AG2627" s="128" t="s">
        <v>874</v>
      </c>
      <c r="AH2627" s="108" t="s">
        <v>31</v>
      </c>
      <c r="AI2627" s="128" t="s">
        <v>59</v>
      </c>
      <c r="AJ2627" s="129" t="s">
        <v>89</v>
      </c>
      <c r="AK2627" s="129">
        <v>18</v>
      </c>
      <c r="AL2627" s="3" t="s">
        <v>992</v>
      </c>
      <c r="AN2627" s="117">
        <v>6</v>
      </c>
      <c r="AP2627" s="129" t="s">
        <v>227</v>
      </c>
      <c r="AR2627" s="128" t="s">
        <v>67</v>
      </c>
      <c r="AS2627" s="129" t="s">
        <v>64</v>
      </c>
      <c r="BC2627" s="129" t="s">
        <v>52</v>
      </c>
      <c r="BF2627" s="111">
        <f t="shared" si="1923"/>
        <v>380</v>
      </c>
      <c r="BG2627" s="111">
        <f t="shared" si="1924"/>
        <v>380</v>
      </c>
      <c r="BH2627" s="111">
        <f t="shared" si="1919"/>
        <v>380</v>
      </c>
      <c r="BI2627" s="111">
        <f t="shared" si="1921"/>
        <v>26.838797814207652</v>
      </c>
      <c r="BJ2627" s="129">
        <f>G2627-J2627-M2627</f>
        <v>0</v>
      </c>
      <c r="BK2627" s="129">
        <f t="shared" si="1920"/>
        <v>0</v>
      </c>
      <c r="BL2627" s="129" t="str">
        <f t="shared" si="1917"/>
        <v>CONVICTION</v>
      </c>
      <c r="BM2627" s="129" t="str">
        <f>O2627</f>
        <v>NONE</v>
      </c>
      <c r="BN2627" s="129" t="s">
        <v>566</v>
      </c>
      <c r="BP2627" s="137" t="str">
        <f t="shared" si="1925"/>
        <v>CONVICTION</v>
      </c>
      <c r="BQ2627" s="128" t="str">
        <f t="shared" si="1934"/>
        <v>Y</v>
      </c>
      <c r="BR2627" s="129" t="str">
        <f t="shared" si="1935"/>
        <v>DETAINED</v>
      </c>
      <c r="BS2627" s="129" t="str">
        <f t="shared" si="1926"/>
        <v>DISPOSED</v>
      </c>
      <c r="BT2627" s="129" t="str">
        <f t="shared" si="1927"/>
        <v>N</v>
      </c>
      <c r="BU2627" s="109">
        <f t="shared" si="1928"/>
        <v>1</v>
      </c>
      <c r="BV2627" s="109">
        <f t="shared" si="1936"/>
        <v>1</v>
      </c>
      <c r="BW2627" s="109">
        <f t="shared" si="1908"/>
        <v>0</v>
      </c>
      <c r="BX2627" s="111">
        <f t="shared" si="1929"/>
        <v>0</v>
      </c>
      <c r="BY2627" s="129">
        <f t="shared" si="1937"/>
        <v>-380</v>
      </c>
      <c r="BZ2627" s="111">
        <f t="shared" si="1938"/>
        <v>0</v>
      </c>
      <c r="CA2627" s="138">
        <f t="shared" si="1939"/>
        <v>380</v>
      </c>
      <c r="CB2627" s="111" t="e">
        <f t="shared" si="1930"/>
        <v>#VALUE!</v>
      </c>
      <c r="CC2627" s="129">
        <f t="shared" si="1940"/>
        <v>380</v>
      </c>
      <c r="CD2627" s="129">
        <f t="shared" si="1941"/>
        <v>0</v>
      </c>
      <c r="CG2627" s="129" t="str">
        <f t="shared" si="1942"/>
        <v>Y</v>
      </c>
      <c r="CI2627" s="129" t="str">
        <f t="shared" ref="CI2627:CI2690" si="1943">IF(BF2627&lt;11,"0-10 DAYS",IF(AND(BF2627&gt;10,BF2627&lt;31),"11-30 DAYS",IF((AND(BF2627&gt;30,BF2627&lt;61)),"31-60 DAYS",IF(AND(BF2627&gt;60,BF2627&lt;91),"61-90 DAYS",IF(AND(BF2627&gt;90,BF2627&lt;121),"91-120 DAYS",IF(AND(BF2627&gt;120,BF2627&lt;366),"121-365 DAYS",IF(AND(BF2627&gt;365,BF2627&lt;730)," &gt;1YRS&lt;2YRS",IF(AND(BF2627&gt;729,BF2627&lt;1095),"&gt;2YRS&lt;3YRS",IF(BF2627&gt;1094,"&gt;3YRS")))))))))</f>
        <v xml:space="preserve"> &gt;1YRS&lt;2YRS</v>
      </c>
      <c r="CJ2627" s="137">
        <f t="shared" ref="CJ2627:CJ2690" si="1944">IF(CI2627="0-10 DAYS",1,IF(CI2627="11-30 DAYS",2,IF(CI2627="31-60 DAYS",3,IF(CI2627="61-90 DAYS",4,IF(CK2627="91-120 DAYS",5,IF(CI2627="121-365 DAYS",6,IF(CI2627="&gt;1YRS&lt;2YRS",7,IF(CI2627="&gt;2YRS&lt;3YRS",8,IF(CI2627="&gt;3YRS",9,0)))))))))</f>
        <v>0</v>
      </c>
      <c r="CK2627" s="129" t="str">
        <f t="shared" ref="CK2627:CK2690" si="1945">IF(I2627="Not Booked","Not Booked","Booked")</f>
        <v>Booked</v>
      </c>
    </row>
    <row r="2628" spans="1:89" ht="15.75" customHeight="1" x14ac:dyDescent="0.25">
      <c r="A2628" s="111">
        <v>3001</v>
      </c>
      <c r="B2628" s="128" t="str">
        <f t="shared" si="1931"/>
        <v>N</v>
      </c>
      <c r="C2628" s="128" t="str">
        <f t="shared" si="1932"/>
        <v>Y</v>
      </c>
      <c r="D2628" s="117">
        <v>2599652</v>
      </c>
      <c r="E2628" s="135">
        <f t="shared" si="1933"/>
        <v>1</v>
      </c>
      <c r="F2628" s="124">
        <v>41019</v>
      </c>
      <c r="G2628" s="125">
        <v>41183</v>
      </c>
      <c r="H2628" s="117">
        <v>2599652</v>
      </c>
      <c r="I2628" s="124">
        <v>41127</v>
      </c>
      <c r="J2628" s="124">
        <v>41183</v>
      </c>
      <c r="K2628" s="126">
        <v>20000</v>
      </c>
      <c r="L2628" s="127" t="s">
        <v>571</v>
      </c>
      <c r="M2628" s="125">
        <v>41025</v>
      </c>
      <c r="N2628" s="129" t="str">
        <f t="shared" si="1922"/>
        <v>Y</v>
      </c>
      <c r="O2628" s="128" t="s">
        <v>585</v>
      </c>
      <c r="P2628" s="129" t="s">
        <v>589</v>
      </c>
      <c r="Q2628" s="111">
        <v>77</v>
      </c>
      <c r="R2628" s="111">
        <f t="shared" si="1918"/>
        <v>165</v>
      </c>
      <c r="S2628" s="129">
        <v>0</v>
      </c>
      <c r="T2628" s="129">
        <v>1</v>
      </c>
      <c r="W2628" s="111"/>
      <c r="AC2628" s="130"/>
      <c r="AD2628" s="130">
        <v>34449</v>
      </c>
      <c r="AE2628" s="128" t="s">
        <v>32</v>
      </c>
      <c r="AF2628" s="128" t="s">
        <v>33</v>
      </c>
      <c r="AG2628" s="128" t="s">
        <v>872</v>
      </c>
      <c r="AH2628" s="108" t="s">
        <v>31</v>
      </c>
      <c r="AI2628" s="128" t="s">
        <v>70</v>
      </c>
      <c r="AJ2628" s="129" t="s">
        <v>55</v>
      </c>
      <c r="AK2628" s="129">
        <v>8</v>
      </c>
      <c r="AL2628" s="3" t="s">
        <v>55</v>
      </c>
      <c r="AP2628" s="129" t="s">
        <v>56</v>
      </c>
      <c r="AR2628" s="128" t="s">
        <v>50</v>
      </c>
      <c r="AS2628" s="129" t="s">
        <v>57</v>
      </c>
      <c r="AT2628" s="129" t="s">
        <v>509</v>
      </c>
      <c r="AU2628" s="3" t="s">
        <v>855</v>
      </c>
      <c r="AX2628" s="32" t="s">
        <v>88</v>
      </c>
      <c r="BC2628" s="129" t="s">
        <v>52</v>
      </c>
      <c r="BF2628" s="111">
        <v>77</v>
      </c>
      <c r="BG2628" s="111">
        <f t="shared" si="1924"/>
        <v>57</v>
      </c>
      <c r="BH2628" s="111">
        <f t="shared" si="1919"/>
        <v>165</v>
      </c>
      <c r="BI2628" s="111">
        <f t="shared" si="1921"/>
        <v>17.950819672131146</v>
      </c>
      <c r="BJ2628" s="129">
        <f>G2628-J2628</f>
        <v>0</v>
      </c>
      <c r="BK2628" s="129">
        <f t="shared" si="1920"/>
        <v>0</v>
      </c>
      <c r="BL2628" s="129" t="str">
        <f t="shared" si="1917"/>
        <v>NO CONVICTION</v>
      </c>
      <c r="BM2628" s="129" t="s">
        <v>76</v>
      </c>
      <c r="BN2628" s="129" t="s">
        <v>88</v>
      </c>
      <c r="BP2628" s="137" t="str">
        <f t="shared" si="1925"/>
        <v>NO CONVICTION</v>
      </c>
      <c r="BQ2628" s="128" t="str">
        <f t="shared" si="1934"/>
        <v>Y</v>
      </c>
      <c r="BR2628" s="129" t="s">
        <v>574</v>
      </c>
      <c r="BS2628" s="129" t="str">
        <f t="shared" si="1926"/>
        <v>DISPOSED</v>
      </c>
      <c r="BT2628" s="129" t="str">
        <f t="shared" si="1927"/>
        <v>N</v>
      </c>
      <c r="BU2628" s="109">
        <f>IFERROR(Q2628/R2628,BR2628)</f>
        <v>0.46666666666666667</v>
      </c>
      <c r="BV2628" s="109">
        <f t="shared" si="1936"/>
        <v>1</v>
      </c>
      <c r="BW2628" s="109">
        <f t="shared" si="1908"/>
        <v>0.53333333333333333</v>
      </c>
      <c r="BX2628" s="111">
        <f t="shared" si="1929"/>
        <v>0</v>
      </c>
      <c r="BY2628" s="129">
        <f t="shared" si="1937"/>
        <v>-57</v>
      </c>
      <c r="BZ2628" s="111">
        <f t="shared" si="1938"/>
        <v>20</v>
      </c>
      <c r="CA2628" s="138">
        <f t="shared" si="1939"/>
        <v>57</v>
      </c>
      <c r="CB2628" s="111">
        <v>77</v>
      </c>
      <c r="CC2628" s="129">
        <f t="shared" si="1940"/>
        <v>57</v>
      </c>
      <c r="CD2628" s="129">
        <f t="shared" si="1941"/>
        <v>0</v>
      </c>
      <c r="CG2628" s="129" t="str">
        <f t="shared" si="1942"/>
        <v>Y</v>
      </c>
      <c r="CI2628" s="129" t="str">
        <f t="shared" si="1943"/>
        <v>61-90 DAYS</v>
      </c>
      <c r="CJ2628" s="137">
        <f t="shared" si="1944"/>
        <v>4</v>
      </c>
      <c r="CK2628" s="129" t="str">
        <f t="shared" si="1945"/>
        <v>Booked</v>
      </c>
    </row>
    <row r="2629" spans="1:89" ht="15.75" customHeight="1" x14ac:dyDescent="0.25">
      <c r="A2629" s="111">
        <v>366</v>
      </c>
      <c r="B2629" s="128" t="str">
        <f t="shared" si="1931"/>
        <v>N</v>
      </c>
      <c r="C2629" s="128" t="str">
        <f t="shared" si="1932"/>
        <v>Y</v>
      </c>
      <c r="D2629" s="117">
        <v>2599741</v>
      </c>
      <c r="E2629" s="135">
        <f t="shared" si="1933"/>
        <v>4</v>
      </c>
      <c r="F2629" s="124">
        <v>40923</v>
      </c>
      <c r="G2629" s="125">
        <v>41134</v>
      </c>
      <c r="H2629" s="117">
        <v>2599741</v>
      </c>
      <c r="I2629" s="124">
        <v>40924</v>
      </c>
      <c r="J2629" s="124">
        <v>40929</v>
      </c>
      <c r="K2629" s="126">
        <v>30000</v>
      </c>
      <c r="L2629" s="129" t="s">
        <v>572</v>
      </c>
      <c r="M2629" s="125">
        <v>40929</v>
      </c>
      <c r="N2629" s="129" t="str">
        <f t="shared" si="1922"/>
        <v>Y</v>
      </c>
      <c r="O2629" s="128" t="s">
        <v>76</v>
      </c>
      <c r="P2629" s="129" t="s">
        <v>39</v>
      </c>
      <c r="Q2629" s="111">
        <v>59</v>
      </c>
      <c r="R2629" s="111">
        <f t="shared" si="1918"/>
        <v>212</v>
      </c>
      <c r="S2629" s="129">
        <v>0</v>
      </c>
      <c r="T2629" s="129">
        <v>0</v>
      </c>
      <c r="W2629" s="111"/>
      <c r="AB2629" s="131" t="s">
        <v>112</v>
      </c>
      <c r="AC2629" s="130"/>
      <c r="AD2629" s="130">
        <v>33757</v>
      </c>
      <c r="AE2629" s="128" t="s">
        <v>32</v>
      </c>
      <c r="AF2629" s="128" t="s">
        <v>40</v>
      </c>
      <c r="AG2629" s="128" t="s">
        <v>41</v>
      </c>
      <c r="AH2629" s="108" t="s">
        <v>31</v>
      </c>
      <c r="AI2629" s="128" t="s">
        <v>65</v>
      </c>
      <c r="AJ2629" s="129" t="s">
        <v>89</v>
      </c>
      <c r="AK2629" s="129">
        <v>11</v>
      </c>
      <c r="AL2629" s="3" t="s">
        <v>991</v>
      </c>
      <c r="AO2629" s="128">
        <v>100</v>
      </c>
      <c r="AP2629" s="129" t="s">
        <v>105</v>
      </c>
      <c r="AR2629" s="128" t="s">
        <v>92</v>
      </c>
      <c r="AS2629" s="129" t="s">
        <v>106</v>
      </c>
      <c r="AU2629" s="149" t="s">
        <v>691</v>
      </c>
      <c r="AV2629" s="149"/>
      <c r="AX2629" s="32" t="s">
        <v>88</v>
      </c>
      <c r="BC2629" s="129" t="s">
        <v>38</v>
      </c>
      <c r="BF2629" s="111">
        <v>59</v>
      </c>
      <c r="BG2629" s="111">
        <f t="shared" si="1924"/>
        <v>211</v>
      </c>
      <c r="BH2629" s="111">
        <f t="shared" si="1919"/>
        <v>212</v>
      </c>
      <c r="BI2629" s="111">
        <f t="shared" si="1921"/>
        <v>19.579234972677597</v>
      </c>
      <c r="BJ2629" s="129">
        <f>(G2629-J2629)+(M2629-G2629)</f>
        <v>0</v>
      </c>
      <c r="BK2629" s="129">
        <f t="shared" si="1920"/>
        <v>-205</v>
      </c>
      <c r="BL2629" s="129" t="str">
        <f t="shared" si="1917"/>
        <v>CONVICTION</v>
      </c>
      <c r="BM2629" s="129" t="s">
        <v>76</v>
      </c>
      <c r="BN2629" s="129" t="s">
        <v>88</v>
      </c>
      <c r="BP2629" s="137" t="str">
        <f t="shared" si="1925"/>
        <v>CONVICTION</v>
      </c>
      <c r="BQ2629" s="128" t="str">
        <f t="shared" si="1934"/>
        <v>Y</v>
      </c>
      <c r="BR2629" s="129" t="s">
        <v>574</v>
      </c>
      <c r="BS2629" s="129" t="str">
        <f t="shared" si="1926"/>
        <v>DISPOSED</v>
      </c>
      <c r="BT2629" s="129" t="str">
        <f t="shared" si="1927"/>
        <v>N</v>
      </c>
      <c r="BU2629" s="109">
        <f t="shared" si="1928"/>
        <v>0.27830188679245282</v>
      </c>
      <c r="BV2629" s="109">
        <f t="shared" si="1936"/>
        <v>2.843601895734597E-2</v>
      </c>
      <c r="BW2629" s="109">
        <f t="shared" si="1908"/>
        <v>-0.24986586783510686</v>
      </c>
      <c r="BX2629" s="111">
        <f t="shared" si="1929"/>
        <v>0</v>
      </c>
      <c r="BY2629" s="129">
        <f t="shared" si="1937"/>
        <v>-6</v>
      </c>
      <c r="BZ2629" s="111">
        <f t="shared" si="1938"/>
        <v>53</v>
      </c>
      <c r="CA2629" s="138">
        <f t="shared" si="1939"/>
        <v>211</v>
      </c>
      <c r="CB2629" s="111">
        <v>59</v>
      </c>
      <c r="CC2629" s="129">
        <f t="shared" si="1940"/>
        <v>211</v>
      </c>
      <c r="CD2629" s="129">
        <f t="shared" si="1941"/>
        <v>205</v>
      </c>
      <c r="CG2629" s="129" t="str">
        <f t="shared" si="1942"/>
        <v>N</v>
      </c>
      <c r="CI2629" s="129" t="str">
        <f t="shared" si="1943"/>
        <v>31-60 DAYS</v>
      </c>
      <c r="CJ2629" s="137">
        <f t="shared" si="1944"/>
        <v>3</v>
      </c>
      <c r="CK2629" s="129" t="str">
        <f t="shared" si="1945"/>
        <v>Booked</v>
      </c>
    </row>
    <row r="2630" spans="1:89" ht="15" customHeight="1" x14ac:dyDescent="0.25">
      <c r="A2630" s="111">
        <v>371</v>
      </c>
      <c r="B2630" s="128" t="str">
        <f t="shared" si="1931"/>
        <v>N</v>
      </c>
      <c r="C2630" s="128" t="str">
        <f t="shared" si="1932"/>
        <v>N</v>
      </c>
      <c r="D2630" s="117">
        <v>2599785</v>
      </c>
      <c r="E2630" s="135">
        <f t="shared" si="1933"/>
        <v>4</v>
      </c>
      <c r="F2630" s="124">
        <v>40924</v>
      </c>
      <c r="G2630" s="125">
        <v>40926</v>
      </c>
      <c r="H2630" s="117">
        <v>2599785</v>
      </c>
      <c r="I2630" s="124">
        <v>40924</v>
      </c>
      <c r="J2630" s="124">
        <v>40926</v>
      </c>
      <c r="K2630" s="126">
        <v>35000</v>
      </c>
      <c r="L2630" s="129" t="s">
        <v>572</v>
      </c>
      <c r="N2630" s="129" t="str">
        <f t="shared" si="1922"/>
        <v>N</v>
      </c>
      <c r="O2630" s="128" t="s">
        <v>917</v>
      </c>
      <c r="P2630" s="129" t="s">
        <v>39</v>
      </c>
      <c r="Q2630" s="111">
        <f t="shared" si="1916"/>
        <v>3</v>
      </c>
      <c r="R2630" s="111">
        <f t="shared" si="1918"/>
        <v>3</v>
      </c>
      <c r="S2630" s="129">
        <v>0</v>
      </c>
      <c r="T2630" s="129">
        <v>0</v>
      </c>
      <c r="W2630" s="111"/>
      <c r="AC2630" s="130"/>
      <c r="AD2630" s="130">
        <v>30700</v>
      </c>
      <c r="AE2630" s="128" t="s">
        <v>32</v>
      </c>
      <c r="AF2630" s="128" t="s">
        <v>40</v>
      </c>
      <c r="AG2630" s="128" t="s">
        <v>41</v>
      </c>
      <c r="AH2630" s="108" t="s">
        <v>41</v>
      </c>
      <c r="AI2630" s="128" t="s">
        <v>47</v>
      </c>
      <c r="AJ2630" s="129" t="s">
        <v>89</v>
      </c>
      <c r="AK2630" s="129">
        <v>1</v>
      </c>
      <c r="AL2630" s="3" t="s">
        <v>991</v>
      </c>
      <c r="AO2630" s="128">
        <v>30</v>
      </c>
      <c r="AP2630" s="129" t="s">
        <v>43</v>
      </c>
      <c r="AR2630" s="128" t="s">
        <v>44</v>
      </c>
      <c r="AS2630" s="129" t="s">
        <v>45</v>
      </c>
      <c r="BC2630" s="129" t="s">
        <v>38</v>
      </c>
      <c r="BF2630" s="111">
        <f t="shared" si="1923"/>
        <v>3</v>
      </c>
      <c r="BG2630" s="111">
        <f t="shared" si="1924"/>
        <v>3</v>
      </c>
      <c r="BH2630" s="111">
        <f t="shared" si="1919"/>
        <v>3</v>
      </c>
      <c r="BI2630" s="111">
        <f t="shared" si="1921"/>
        <v>27.934426229508198</v>
      </c>
      <c r="BJ2630" s="129">
        <f>G2630-J2630-M2630</f>
        <v>0</v>
      </c>
      <c r="BK2630" s="129">
        <f t="shared" si="1920"/>
        <v>0</v>
      </c>
      <c r="BL2630" s="129" t="str">
        <f t="shared" si="1917"/>
        <v>CONVICTION</v>
      </c>
      <c r="BM2630" s="129" t="str">
        <f>O2630</f>
        <v>NONE</v>
      </c>
      <c r="BN2630" s="129" t="s">
        <v>566</v>
      </c>
      <c r="BP2630" s="137" t="str">
        <f t="shared" si="1925"/>
        <v>CONVICTION</v>
      </c>
      <c r="BQ2630" s="128" t="str">
        <f t="shared" si="1934"/>
        <v>Y</v>
      </c>
      <c r="BR2630" s="129" t="str">
        <f t="shared" si="1935"/>
        <v>DETAINED</v>
      </c>
      <c r="BS2630" s="129" t="str">
        <f t="shared" si="1926"/>
        <v>DISPOSED</v>
      </c>
      <c r="BT2630" s="129" t="str">
        <f t="shared" si="1927"/>
        <v>N</v>
      </c>
      <c r="BU2630" s="109">
        <f t="shared" si="1928"/>
        <v>1</v>
      </c>
      <c r="BV2630" s="109">
        <f t="shared" si="1936"/>
        <v>1</v>
      </c>
      <c r="BW2630" s="109">
        <f t="shared" si="1908"/>
        <v>0</v>
      </c>
      <c r="BX2630" s="111">
        <f t="shared" si="1929"/>
        <v>0</v>
      </c>
      <c r="BY2630" s="129">
        <f t="shared" si="1937"/>
        <v>-3</v>
      </c>
      <c r="BZ2630" s="111">
        <f t="shared" si="1938"/>
        <v>0</v>
      </c>
      <c r="CA2630" s="138">
        <f t="shared" si="1939"/>
        <v>3</v>
      </c>
      <c r="CB2630" s="111" t="e">
        <f t="shared" si="1930"/>
        <v>#VALUE!</v>
      </c>
      <c r="CC2630" s="129">
        <f t="shared" si="1940"/>
        <v>3</v>
      </c>
      <c r="CD2630" s="129">
        <f t="shared" si="1941"/>
        <v>0</v>
      </c>
      <c r="CG2630" s="129" t="str">
        <f t="shared" si="1942"/>
        <v>N</v>
      </c>
      <c r="CI2630" s="129" t="str">
        <f t="shared" si="1943"/>
        <v>0-10 DAYS</v>
      </c>
      <c r="CJ2630" s="137">
        <f t="shared" si="1944"/>
        <v>1</v>
      </c>
      <c r="CK2630" s="129" t="str">
        <f t="shared" si="1945"/>
        <v>Booked</v>
      </c>
    </row>
    <row r="2631" spans="1:89" ht="15" customHeight="1" x14ac:dyDescent="0.25">
      <c r="A2631" s="111">
        <v>373</v>
      </c>
      <c r="B2631" s="128" t="str">
        <f t="shared" si="1931"/>
        <v>N</v>
      </c>
      <c r="C2631" s="128" t="str">
        <f t="shared" si="1932"/>
        <v>N</v>
      </c>
      <c r="D2631" s="117">
        <v>2599813</v>
      </c>
      <c r="E2631" s="135">
        <f t="shared" si="1933"/>
        <v>2</v>
      </c>
      <c r="F2631" s="124">
        <v>40924</v>
      </c>
      <c r="G2631" s="125">
        <v>40991</v>
      </c>
      <c r="H2631" s="117">
        <v>2599813</v>
      </c>
      <c r="I2631" s="124">
        <v>40924</v>
      </c>
      <c r="J2631" s="124">
        <v>40991</v>
      </c>
      <c r="K2631" s="126">
        <v>32000</v>
      </c>
      <c r="L2631" s="129" t="s">
        <v>572</v>
      </c>
      <c r="N2631" s="129" t="str">
        <f t="shared" si="1922"/>
        <v>N</v>
      </c>
      <c r="O2631" s="128" t="s">
        <v>917</v>
      </c>
      <c r="P2631" s="129" t="s">
        <v>589</v>
      </c>
      <c r="Q2631" s="111">
        <f t="shared" si="1916"/>
        <v>68</v>
      </c>
      <c r="R2631" s="111">
        <f t="shared" si="1918"/>
        <v>68</v>
      </c>
      <c r="S2631" s="129">
        <v>0</v>
      </c>
      <c r="T2631" s="129">
        <v>0</v>
      </c>
      <c r="W2631" s="111"/>
      <c r="AC2631" s="130"/>
      <c r="AD2631" s="130">
        <v>34236</v>
      </c>
      <c r="AE2631" s="128" t="s">
        <v>32</v>
      </c>
      <c r="AF2631" s="128" t="s">
        <v>33</v>
      </c>
      <c r="AG2631" s="128" t="s">
        <v>872</v>
      </c>
      <c r="AH2631" s="108" t="s">
        <v>31</v>
      </c>
      <c r="AI2631" s="128" t="s">
        <v>62</v>
      </c>
      <c r="AJ2631" s="129" t="s">
        <v>48</v>
      </c>
      <c r="AK2631" s="129">
        <v>3</v>
      </c>
      <c r="AL2631" s="3" t="s">
        <v>48</v>
      </c>
      <c r="AP2631" s="129" t="s">
        <v>105</v>
      </c>
      <c r="AR2631" s="128" t="s">
        <v>92</v>
      </c>
      <c r="AS2631" s="129" t="s">
        <v>106</v>
      </c>
      <c r="BC2631" s="129" t="s">
        <v>38</v>
      </c>
      <c r="BF2631" s="111">
        <f t="shared" si="1923"/>
        <v>68</v>
      </c>
      <c r="BG2631" s="111">
        <f t="shared" si="1924"/>
        <v>68</v>
      </c>
      <c r="BH2631" s="111">
        <f t="shared" si="1919"/>
        <v>68</v>
      </c>
      <c r="BI2631" s="111">
        <f t="shared" si="1921"/>
        <v>18.273224043715846</v>
      </c>
      <c r="BJ2631" s="129">
        <f>G2631-J2631-M2631</f>
        <v>0</v>
      </c>
      <c r="BK2631" s="129">
        <f t="shared" si="1920"/>
        <v>0</v>
      </c>
      <c r="BL2631" s="129" t="str">
        <f t="shared" si="1917"/>
        <v>DEFERRED</v>
      </c>
      <c r="BM2631" s="129" t="str">
        <f>O2631</f>
        <v>NONE</v>
      </c>
      <c r="BN2631" s="129" t="s">
        <v>566</v>
      </c>
      <c r="BP2631" s="137" t="str">
        <f t="shared" si="1925"/>
        <v>DEFERRED</v>
      </c>
      <c r="BQ2631" s="128" t="str">
        <f t="shared" si="1934"/>
        <v>Y</v>
      </c>
      <c r="BR2631" s="129" t="str">
        <f t="shared" si="1935"/>
        <v>DETAINED</v>
      </c>
      <c r="BS2631" s="129" t="str">
        <f t="shared" si="1926"/>
        <v>DISPOSED</v>
      </c>
      <c r="BT2631" s="129" t="str">
        <f t="shared" si="1927"/>
        <v>N</v>
      </c>
      <c r="BU2631" s="109">
        <f t="shared" si="1928"/>
        <v>1</v>
      </c>
      <c r="BV2631" s="109">
        <f t="shared" si="1936"/>
        <v>1</v>
      </c>
      <c r="BW2631" s="109">
        <f t="shared" si="1908"/>
        <v>0</v>
      </c>
      <c r="BX2631" s="111">
        <f t="shared" si="1929"/>
        <v>0</v>
      </c>
      <c r="BY2631" s="129">
        <f t="shared" si="1937"/>
        <v>-68</v>
      </c>
      <c r="BZ2631" s="111">
        <f t="shared" si="1938"/>
        <v>0</v>
      </c>
      <c r="CA2631" s="138">
        <f t="shared" si="1939"/>
        <v>68</v>
      </c>
      <c r="CB2631" s="111" t="e">
        <f t="shared" si="1930"/>
        <v>#VALUE!</v>
      </c>
      <c r="CC2631" s="129">
        <f t="shared" si="1940"/>
        <v>68</v>
      </c>
      <c r="CD2631" s="129">
        <f t="shared" si="1941"/>
        <v>0</v>
      </c>
      <c r="CG2631" s="129" t="str">
        <f t="shared" si="1942"/>
        <v>N</v>
      </c>
      <c r="CI2631" s="129" t="str">
        <f t="shared" si="1943"/>
        <v>61-90 DAYS</v>
      </c>
      <c r="CJ2631" s="137">
        <f t="shared" si="1944"/>
        <v>4</v>
      </c>
      <c r="CK2631" s="129" t="str">
        <f t="shared" si="1945"/>
        <v>Booked</v>
      </c>
    </row>
    <row r="2632" spans="1:89" ht="15.75" customHeight="1" x14ac:dyDescent="0.25">
      <c r="A2632" s="111">
        <v>383</v>
      </c>
      <c r="B2632" s="128" t="str">
        <f t="shared" si="1931"/>
        <v>N</v>
      </c>
      <c r="C2632" s="128" t="str">
        <f t="shared" si="1932"/>
        <v>N</v>
      </c>
      <c r="D2632" s="117">
        <v>2599840</v>
      </c>
      <c r="E2632" s="135">
        <f t="shared" si="1933"/>
        <v>5</v>
      </c>
      <c r="F2632" s="124">
        <v>40924</v>
      </c>
      <c r="G2632" s="125">
        <v>41103</v>
      </c>
      <c r="H2632" s="117">
        <v>2599840</v>
      </c>
      <c r="I2632" s="124">
        <v>40925</v>
      </c>
      <c r="J2632" s="124">
        <v>41103</v>
      </c>
      <c r="K2632" s="126">
        <v>15000</v>
      </c>
      <c r="L2632" s="127" t="s">
        <v>571</v>
      </c>
      <c r="N2632" s="129" t="str">
        <f t="shared" si="1922"/>
        <v>N</v>
      </c>
      <c r="O2632" s="128" t="s">
        <v>917</v>
      </c>
      <c r="P2632" s="129" t="s">
        <v>39</v>
      </c>
      <c r="Q2632" s="111">
        <f t="shared" si="1916"/>
        <v>179</v>
      </c>
      <c r="R2632" s="111">
        <f t="shared" si="1918"/>
        <v>180</v>
      </c>
      <c r="S2632" s="129">
        <v>0</v>
      </c>
      <c r="T2632" s="129">
        <v>0</v>
      </c>
      <c r="W2632" s="111"/>
      <c r="AB2632" s="131" t="s">
        <v>112</v>
      </c>
      <c r="AC2632" s="130"/>
      <c r="AD2632" s="130">
        <v>29269</v>
      </c>
      <c r="AE2632" s="128" t="s">
        <v>32</v>
      </c>
      <c r="AF2632" s="128" t="s">
        <v>40</v>
      </c>
      <c r="AG2632" s="128" t="s">
        <v>41</v>
      </c>
      <c r="AH2632" s="108" t="s">
        <v>31</v>
      </c>
      <c r="AI2632" s="128" t="s">
        <v>47</v>
      </c>
      <c r="AJ2632" s="129" t="s">
        <v>89</v>
      </c>
      <c r="AK2632" s="129">
        <v>7</v>
      </c>
      <c r="AL2632" s="3" t="s">
        <v>992</v>
      </c>
      <c r="AN2632" s="117">
        <v>8</v>
      </c>
      <c r="AP2632" s="129" t="s">
        <v>60</v>
      </c>
      <c r="AR2632" s="128" t="s">
        <v>44</v>
      </c>
      <c r="AS2632" s="129" t="s">
        <v>61</v>
      </c>
      <c r="BC2632" s="129" t="s">
        <v>38</v>
      </c>
      <c r="BF2632" s="111">
        <f t="shared" si="1923"/>
        <v>179</v>
      </c>
      <c r="BG2632" s="111">
        <f t="shared" si="1924"/>
        <v>179</v>
      </c>
      <c r="BH2632" s="111">
        <f t="shared" si="1919"/>
        <v>180</v>
      </c>
      <c r="BI2632" s="111">
        <f t="shared" si="1921"/>
        <v>31.844262295081968</v>
      </c>
      <c r="BJ2632" s="129">
        <f>G2632-J2632-M2632</f>
        <v>0</v>
      </c>
      <c r="BK2632" s="129">
        <f t="shared" si="1920"/>
        <v>0</v>
      </c>
      <c r="BL2632" s="129" t="str">
        <f t="shared" si="1917"/>
        <v>CONVICTION</v>
      </c>
      <c r="BM2632" s="129" t="str">
        <f>O2632</f>
        <v>NONE</v>
      </c>
      <c r="BN2632" s="129" t="s">
        <v>566</v>
      </c>
      <c r="BP2632" s="137" t="str">
        <f t="shared" si="1925"/>
        <v>CONVICTION</v>
      </c>
      <c r="BQ2632" s="128" t="str">
        <f t="shared" si="1934"/>
        <v>Y</v>
      </c>
      <c r="BR2632" s="129" t="str">
        <f t="shared" si="1935"/>
        <v>DETAINED</v>
      </c>
      <c r="BS2632" s="129" t="str">
        <f t="shared" si="1926"/>
        <v>DISPOSED</v>
      </c>
      <c r="BT2632" s="129" t="str">
        <f t="shared" si="1927"/>
        <v>N</v>
      </c>
      <c r="BU2632" s="109">
        <f t="shared" si="1928"/>
        <v>0.99444444444444446</v>
      </c>
      <c r="BV2632" s="109">
        <f t="shared" si="1936"/>
        <v>1</v>
      </c>
      <c r="BW2632" s="109">
        <f t="shared" si="1908"/>
        <v>5.5555555555555358E-3</v>
      </c>
      <c r="BX2632" s="111">
        <f t="shared" si="1929"/>
        <v>0</v>
      </c>
      <c r="BY2632" s="129">
        <f t="shared" si="1937"/>
        <v>-179</v>
      </c>
      <c r="BZ2632" s="111">
        <f t="shared" si="1938"/>
        <v>0</v>
      </c>
      <c r="CA2632" s="138">
        <f t="shared" si="1939"/>
        <v>179</v>
      </c>
      <c r="CB2632" s="111" t="e">
        <f t="shared" si="1930"/>
        <v>#VALUE!</v>
      </c>
      <c r="CC2632" s="129">
        <f t="shared" si="1940"/>
        <v>179</v>
      </c>
      <c r="CD2632" s="129">
        <f t="shared" si="1941"/>
        <v>0</v>
      </c>
      <c r="CG2632" s="129" t="str">
        <f t="shared" si="1942"/>
        <v>N</v>
      </c>
      <c r="CI2632" s="129" t="str">
        <f t="shared" si="1943"/>
        <v>121-365 DAYS</v>
      </c>
      <c r="CJ2632" s="137">
        <f t="shared" si="1944"/>
        <v>6</v>
      </c>
      <c r="CK2632" s="129" t="str">
        <f t="shared" si="1945"/>
        <v>Booked</v>
      </c>
    </row>
    <row r="2633" spans="1:89" ht="15" customHeight="1" x14ac:dyDescent="0.25">
      <c r="A2633" s="111">
        <v>2249</v>
      </c>
      <c r="B2633" s="128" t="str">
        <f t="shared" si="1931"/>
        <v>N</v>
      </c>
      <c r="C2633" s="128" t="str">
        <f t="shared" si="1932"/>
        <v>N</v>
      </c>
      <c r="D2633" s="117">
        <v>2599849</v>
      </c>
      <c r="E2633" s="135">
        <f t="shared" si="1933"/>
        <v>2</v>
      </c>
      <c r="F2633" s="124">
        <v>40994</v>
      </c>
      <c r="G2633" s="125">
        <v>41025</v>
      </c>
      <c r="H2633" s="117">
        <v>2599849</v>
      </c>
      <c r="I2633" s="124">
        <v>40995</v>
      </c>
      <c r="J2633" s="124">
        <v>41025</v>
      </c>
      <c r="K2633" s="126">
        <v>10000</v>
      </c>
      <c r="L2633" s="127" t="s">
        <v>570</v>
      </c>
      <c r="N2633" s="129" t="str">
        <f t="shared" si="1922"/>
        <v>N</v>
      </c>
      <c r="O2633" s="128" t="s">
        <v>917</v>
      </c>
      <c r="P2633" s="129" t="s">
        <v>589</v>
      </c>
      <c r="Q2633" s="111">
        <f t="shared" si="1916"/>
        <v>31</v>
      </c>
      <c r="R2633" s="111">
        <f t="shared" si="1918"/>
        <v>32</v>
      </c>
      <c r="S2633" s="129">
        <v>1</v>
      </c>
      <c r="T2633" s="129">
        <v>0</v>
      </c>
      <c r="W2633" s="111"/>
      <c r="AC2633" s="130"/>
      <c r="AD2633" s="130">
        <v>34689</v>
      </c>
      <c r="AE2633" s="128" t="s">
        <v>46</v>
      </c>
      <c r="AF2633" s="128" t="s">
        <v>33</v>
      </c>
      <c r="AG2633" s="128" t="s">
        <v>872</v>
      </c>
      <c r="AH2633" s="108" t="s">
        <v>31</v>
      </c>
      <c r="AI2633" s="128" t="s">
        <v>114</v>
      </c>
      <c r="AJ2633" s="129" t="s">
        <v>48</v>
      </c>
      <c r="AK2633" s="129">
        <v>3</v>
      </c>
      <c r="AL2633" s="3" t="s">
        <v>48</v>
      </c>
      <c r="AP2633" s="129" t="s">
        <v>73</v>
      </c>
      <c r="AR2633" s="128" t="s">
        <v>50</v>
      </c>
      <c r="AS2633" s="129" t="s">
        <v>74</v>
      </c>
      <c r="AT2633" s="129" t="s">
        <v>422</v>
      </c>
      <c r="BC2633" s="129" t="s">
        <v>38</v>
      </c>
      <c r="BF2633" s="111">
        <f t="shared" si="1923"/>
        <v>31</v>
      </c>
      <c r="BG2633" s="111">
        <f t="shared" si="1924"/>
        <v>31</v>
      </c>
      <c r="BH2633" s="111">
        <f t="shared" si="1919"/>
        <v>32</v>
      </c>
      <c r="BI2633" s="111">
        <f t="shared" si="1921"/>
        <v>17.226775956284154</v>
      </c>
      <c r="BJ2633" s="129">
        <f>G2633-J2633-M2633</f>
        <v>0</v>
      </c>
      <c r="BK2633" s="129">
        <f t="shared" si="1920"/>
        <v>0</v>
      </c>
      <c r="BL2633" s="129" t="str">
        <f t="shared" si="1917"/>
        <v>DEFERRED</v>
      </c>
      <c r="BM2633" s="129" t="str">
        <f>O2633</f>
        <v>NONE</v>
      </c>
      <c r="BN2633" s="129" t="s">
        <v>566</v>
      </c>
      <c r="BP2633" s="137" t="str">
        <f t="shared" si="1925"/>
        <v>DEFERRED</v>
      </c>
      <c r="BQ2633" s="128" t="str">
        <f t="shared" si="1934"/>
        <v>Y</v>
      </c>
      <c r="BR2633" s="129" t="str">
        <f t="shared" si="1935"/>
        <v>DETAINED</v>
      </c>
      <c r="BS2633" s="129" t="str">
        <f t="shared" si="1926"/>
        <v>DISPOSED</v>
      </c>
      <c r="BT2633" s="129" t="str">
        <f t="shared" si="1927"/>
        <v>Y</v>
      </c>
      <c r="BU2633" s="109">
        <f t="shared" si="1928"/>
        <v>0.96875</v>
      </c>
      <c r="BV2633" s="109">
        <f t="shared" si="1936"/>
        <v>1</v>
      </c>
      <c r="BW2633" s="109">
        <f t="shared" si="1908"/>
        <v>3.125E-2</v>
      </c>
      <c r="BX2633" s="111">
        <f t="shared" si="1929"/>
        <v>0</v>
      </c>
      <c r="BY2633" s="129">
        <f t="shared" si="1937"/>
        <v>-31</v>
      </c>
      <c r="BZ2633" s="111">
        <f t="shared" si="1938"/>
        <v>0</v>
      </c>
      <c r="CA2633" s="138">
        <f t="shared" si="1939"/>
        <v>31</v>
      </c>
      <c r="CB2633" s="111" t="e">
        <f t="shared" si="1930"/>
        <v>#VALUE!</v>
      </c>
      <c r="CC2633" s="129">
        <f t="shared" si="1940"/>
        <v>31</v>
      </c>
      <c r="CD2633" s="129">
        <f t="shared" si="1941"/>
        <v>0</v>
      </c>
      <c r="CG2633" s="129" t="str">
        <f t="shared" si="1942"/>
        <v>Y</v>
      </c>
      <c r="CI2633" s="129" t="str">
        <f t="shared" si="1943"/>
        <v>31-60 DAYS</v>
      </c>
      <c r="CJ2633" s="137">
        <f t="shared" si="1944"/>
        <v>3</v>
      </c>
      <c r="CK2633" s="129" t="str">
        <f t="shared" si="1945"/>
        <v>Booked</v>
      </c>
    </row>
    <row r="2634" spans="1:89" ht="15.75" customHeight="1" x14ac:dyDescent="0.25">
      <c r="A2634" s="111">
        <v>385</v>
      </c>
      <c r="B2634" s="128" t="str">
        <f t="shared" si="1931"/>
        <v>N</v>
      </c>
      <c r="C2634" s="128" t="str">
        <f t="shared" si="1932"/>
        <v>N</v>
      </c>
      <c r="D2634" s="117">
        <v>2599855</v>
      </c>
      <c r="E2634" s="135">
        <f t="shared" si="1933"/>
        <v>1</v>
      </c>
      <c r="F2634" s="124">
        <v>40925</v>
      </c>
      <c r="G2634" s="125">
        <v>41046</v>
      </c>
      <c r="H2634" s="117">
        <v>2599855</v>
      </c>
      <c r="I2634" s="124">
        <v>40925</v>
      </c>
      <c r="J2634" s="124">
        <v>40926</v>
      </c>
      <c r="K2634" s="126">
        <v>5000</v>
      </c>
      <c r="L2634" s="127" t="s">
        <v>569</v>
      </c>
      <c r="M2634" s="125">
        <v>40926</v>
      </c>
      <c r="N2634" s="129" t="str">
        <f t="shared" si="1922"/>
        <v>Y</v>
      </c>
      <c r="O2634" s="128" t="s">
        <v>76</v>
      </c>
      <c r="P2634" s="129" t="s">
        <v>123</v>
      </c>
      <c r="Q2634" s="111">
        <f t="shared" si="1916"/>
        <v>2</v>
      </c>
      <c r="R2634" s="111">
        <f t="shared" si="1918"/>
        <v>122</v>
      </c>
      <c r="S2634" s="129">
        <v>0</v>
      </c>
      <c r="T2634" s="129">
        <v>0</v>
      </c>
      <c r="W2634" s="111"/>
      <c r="AC2634" s="130"/>
      <c r="AD2634" s="130">
        <v>30821</v>
      </c>
      <c r="AE2634" s="128" t="s">
        <v>46</v>
      </c>
      <c r="AF2634" s="128" t="s">
        <v>69</v>
      </c>
      <c r="AG2634" s="128" t="s">
        <v>874</v>
      </c>
      <c r="AH2634" s="108" t="s">
        <v>58</v>
      </c>
      <c r="AI2634" s="128" t="s">
        <v>114</v>
      </c>
      <c r="AJ2634" s="129" t="s">
        <v>123</v>
      </c>
      <c r="AK2634" s="129">
        <v>4</v>
      </c>
      <c r="AL2634" s="3" t="s">
        <v>123</v>
      </c>
      <c r="AP2634" s="129" t="s">
        <v>144</v>
      </c>
      <c r="AR2634" s="128" t="s">
        <v>67</v>
      </c>
      <c r="AS2634" s="129" t="s">
        <v>74</v>
      </c>
      <c r="BC2634" s="129" t="s">
        <v>52</v>
      </c>
      <c r="BF2634" s="111">
        <f t="shared" si="1923"/>
        <v>2</v>
      </c>
      <c r="BG2634" s="111">
        <f t="shared" si="1924"/>
        <v>122</v>
      </c>
      <c r="BH2634" s="111">
        <f t="shared" si="1919"/>
        <v>122</v>
      </c>
      <c r="BI2634" s="111">
        <f t="shared" si="1921"/>
        <v>27.606557377049182</v>
      </c>
      <c r="BJ2634" s="129">
        <f>(G2634-J2634)+(M2634-G2634)</f>
        <v>0</v>
      </c>
      <c r="BK2634" s="129">
        <f t="shared" si="1920"/>
        <v>-120</v>
      </c>
      <c r="BL2634" s="129" t="str">
        <f t="shared" si="1917"/>
        <v>NO CONVICTION</v>
      </c>
      <c r="BM2634" s="129" t="s">
        <v>76</v>
      </c>
      <c r="BN2634" s="129" t="s">
        <v>88</v>
      </c>
      <c r="BP2634" s="137" t="str">
        <f t="shared" si="1925"/>
        <v>NO CONVICTION</v>
      </c>
      <c r="BQ2634" s="128" t="str">
        <f t="shared" si="1934"/>
        <v>Y</v>
      </c>
      <c r="BR2634" s="129" t="str">
        <f t="shared" si="1935"/>
        <v>ON BOND</v>
      </c>
      <c r="BS2634" s="129" t="str">
        <f t="shared" si="1926"/>
        <v>DISPOSED</v>
      </c>
      <c r="BT2634" s="129" t="str">
        <f t="shared" si="1927"/>
        <v>N</v>
      </c>
      <c r="BU2634" s="109">
        <f>IFERROR(Q2634/R2634,BR2634)</f>
        <v>1.6393442622950821E-2</v>
      </c>
      <c r="BV2634" s="109">
        <f t="shared" si="1936"/>
        <v>1.6393442622950821E-2</v>
      </c>
      <c r="BW2634" s="109">
        <f t="shared" si="1908"/>
        <v>0</v>
      </c>
      <c r="BX2634" s="111">
        <f t="shared" si="1929"/>
        <v>0</v>
      </c>
      <c r="BY2634" s="129">
        <f t="shared" si="1937"/>
        <v>-2</v>
      </c>
      <c r="BZ2634" s="111">
        <f t="shared" si="1938"/>
        <v>0</v>
      </c>
      <c r="CA2634" s="138">
        <f t="shared" si="1939"/>
        <v>2</v>
      </c>
      <c r="CB2634" s="111" t="e">
        <f t="shared" si="1930"/>
        <v>#VALUE!</v>
      </c>
      <c r="CC2634" s="129">
        <f>M2634-I2634+1</f>
        <v>2</v>
      </c>
      <c r="CD2634" s="111">
        <f>CC2634-BF2634</f>
        <v>0</v>
      </c>
      <c r="CG2634" s="129" t="str">
        <f t="shared" si="1942"/>
        <v>N</v>
      </c>
      <c r="CI2634" s="129" t="str">
        <f t="shared" si="1943"/>
        <v>0-10 DAYS</v>
      </c>
      <c r="CJ2634" s="137">
        <f t="shared" si="1944"/>
        <v>1</v>
      </c>
      <c r="CK2634" s="129" t="str">
        <f t="shared" si="1945"/>
        <v>Booked</v>
      </c>
    </row>
    <row r="2635" spans="1:89" ht="15.75" customHeight="1" x14ac:dyDescent="0.25">
      <c r="A2635" s="111">
        <v>388</v>
      </c>
      <c r="B2635" s="128" t="str">
        <f t="shared" si="1931"/>
        <v>N</v>
      </c>
      <c r="C2635" s="128" t="str">
        <f t="shared" si="1932"/>
        <v>N</v>
      </c>
      <c r="D2635" s="117">
        <v>2599859</v>
      </c>
      <c r="E2635" s="135">
        <f t="shared" si="1933"/>
        <v>2</v>
      </c>
      <c r="F2635" s="124">
        <v>40925</v>
      </c>
      <c r="G2635" s="125">
        <v>40956</v>
      </c>
      <c r="H2635" s="117">
        <v>2599859</v>
      </c>
      <c r="I2635" s="124">
        <v>40925</v>
      </c>
      <c r="J2635" s="124">
        <v>40926</v>
      </c>
      <c r="K2635" s="126">
        <v>10000</v>
      </c>
      <c r="L2635" s="127" t="s">
        <v>570</v>
      </c>
      <c r="M2635" s="125">
        <v>40926</v>
      </c>
      <c r="N2635" s="129" t="str">
        <f t="shared" si="1922"/>
        <v>Y</v>
      </c>
      <c r="O2635" s="112" t="s">
        <v>160</v>
      </c>
      <c r="P2635" s="129" t="s">
        <v>589</v>
      </c>
      <c r="Q2635" s="111">
        <f t="shared" si="1916"/>
        <v>2</v>
      </c>
      <c r="R2635" s="111">
        <f t="shared" si="1918"/>
        <v>32</v>
      </c>
      <c r="S2635" s="129">
        <v>0</v>
      </c>
      <c r="T2635" s="129">
        <v>0</v>
      </c>
      <c r="W2635" s="111"/>
      <c r="AC2635" s="130"/>
      <c r="AD2635" s="130">
        <v>33340</v>
      </c>
      <c r="AE2635" s="128" t="s">
        <v>32</v>
      </c>
      <c r="AF2635" s="128" t="s">
        <v>33</v>
      </c>
      <c r="AG2635" s="128" t="s">
        <v>872</v>
      </c>
      <c r="AH2635" s="108" t="s">
        <v>31</v>
      </c>
      <c r="AI2635" s="128" t="s">
        <v>95</v>
      </c>
      <c r="AJ2635" s="129" t="s">
        <v>48</v>
      </c>
      <c r="AK2635" s="129">
        <v>3</v>
      </c>
      <c r="AL2635" s="3" t="s">
        <v>48</v>
      </c>
      <c r="AP2635" s="129" t="s">
        <v>49</v>
      </c>
      <c r="AR2635" s="128" t="s">
        <v>50</v>
      </c>
      <c r="AS2635" s="129" t="s">
        <v>45</v>
      </c>
      <c r="BC2635" s="129" t="s">
        <v>38</v>
      </c>
      <c r="BF2635" s="111">
        <f t="shared" si="1923"/>
        <v>2</v>
      </c>
      <c r="BG2635" s="111">
        <f t="shared" si="1924"/>
        <v>32</v>
      </c>
      <c r="BH2635" s="111">
        <f t="shared" si="1919"/>
        <v>32</v>
      </c>
      <c r="BI2635" s="111">
        <f t="shared" si="1921"/>
        <v>20.724043715846996</v>
      </c>
      <c r="BJ2635" s="129">
        <f>(G2635-J2635)+(M2635-G2635)</f>
        <v>0</v>
      </c>
      <c r="BK2635" s="129">
        <f t="shared" si="1920"/>
        <v>-30</v>
      </c>
      <c r="BL2635" s="129" t="str">
        <f t="shared" si="1917"/>
        <v>DEFERRED</v>
      </c>
      <c r="BM2635" s="129" t="s">
        <v>160</v>
      </c>
      <c r="BN2635" s="129" t="s">
        <v>88</v>
      </c>
      <c r="BP2635" s="137" t="str">
        <f t="shared" si="1925"/>
        <v>DEFERRED</v>
      </c>
      <c r="BQ2635" s="128" t="str">
        <f t="shared" si="1934"/>
        <v>Y</v>
      </c>
      <c r="BR2635" s="129" t="str">
        <f t="shared" si="1935"/>
        <v>ON BOND</v>
      </c>
      <c r="BS2635" s="129" t="str">
        <f t="shared" si="1926"/>
        <v>DISPOSED</v>
      </c>
      <c r="BT2635" s="129" t="str">
        <f t="shared" si="1927"/>
        <v>N</v>
      </c>
      <c r="BU2635" s="109">
        <f t="shared" si="1928"/>
        <v>6.25E-2</v>
      </c>
      <c r="BV2635" s="109">
        <f t="shared" si="1936"/>
        <v>6.25E-2</v>
      </c>
      <c r="BW2635" s="109">
        <f t="shared" si="1908"/>
        <v>0</v>
      </c>
      <c r="BX2635" s="111">
        <f t="shared" si="1929"/>
        <v>0</v>
      </c>
      <c r="BY2635" s="129">
        <f t="shared" si="1937"/>
        <v>-2</v>
      </c>
      <c r="BZ2635" s="111">
        <f t="shared" si="1938"/>
        <v>0</v>
      </c>
      <c r="CA2635" s="138">
        <f t="shared" si="1939"/>
        <v>2</v>
      </c>
      <c r="CB2635" s="111" t="e">
        <f t="shared" si="1930"/>
        <v>#VALUE!</v>
      </c>
      <c r="CC2635" s="129">
        <f>M2635-I2635+1</f>
        <v>2</v>
      </c>
      <c r="CD2635" s="111">
        <f>CC2635-BF2635</f>
        <v>0</v>
      </c>
      <c r="CG2635" s="129" t="str">
        <f t="shared" si="1942"/>
        <v>N</v>
      </c>
      <c r="CI2635" s="129" t="str">
        <f t="shared" si="1943"/>
        <v>0-10 DAYS</v>
      </c>
      <c r="CJ2635" s="137">
        <f t="shared" si="1944"/>
        <v>1</v>
      </c>
      <c r="CK2635" s="129" t="str">
        <f t="shared" si="1945"/>
        <v>Booked</v>
      </c>
    </row>
    <row r="2636" spans="1:89" ht="15.75" customHeight="1" x14ac:dyDescent="0.25">
      <c r="A2636" s="111">
        <v>3106</v>
      </c>
      <c r="B2636" s="128" t="str">
        <f t="shared" si="1931"/>
        <v>N</v>
      </c>
      <c r="C2636" s="128" t="str">
        <f t="shared" si="1932"/>
        <v>N</v>
      </c>
      <c r="D2636" s="117">
        <v>2599887</v>
      </c>
      <c r="E2636" s="135">
        <f t="shared" si="1933"/>
        <v>5</v>
      </c>
      <c r="F2636" s="124">
        <v>41023</v>
      </c>
      <c r="G2636" s="125">
        <v>41025</v>
      </c>
      <c r="H2636" s="117">
        <v>2599887</v>
      </c>
      <c r="I2636" s="124">
        <v>41024</v>
      </c>
      <c r="J2636" s="124">
        <v>41025</v>
      </c>
      <c r="K2636" s="126">
        <v>15000</v>
      </c>
      <c r="L2636" s="127" t="s">
        <v>571</v>
      </c>
      <c r="N2636" s="129" t="str">
        <f t="shared" si="1922"/>
        <v>N</v>
      </c>
      <c r="O2636" s="128" t="s">
        <v>917</v>
      </c>
      <c r="P2636" s="129" t="s">
        <v>39</v>
      </c>
      <c r="Q2636" s="111">
        <f t="shared" si="1916"/>
        <v>2</v>
      </c>
      <c r="R2636" s="111">
        <f t="shared" si="1918"/>
        <v>3</v>
      </c>
      <c r="S2636" s="129">
        <v>0</v>
      </c>
      <c r="T2636" s="129">
        <v>1</v>
      </c>
      <c r="W2636" s="111"/>
      <c r="AC2636" s="130"/>
      <c r="AD2636" s="130">
        <v>23096</v>
      </c>
      <c r="AE2636" s="128" t="s">
        <v>32</v>
      </c>
      <c r="AF2636" s="128" t="s">
        <v>69</v>
      </c>
      <c r="AG2636" s="128" t="s">
        <v>874</v>
      </c>
      <c r="AH2636" s="108" t="s">
        <v>31</v>
      </c>
      <c r="AI2636" s="128" t="s">
        <v>42</v>
      </c>
      <c r="AJ2636" s="129" t="s">
        <v>89</v>
      </c>
      <c r="AK2636" s="129">
        <v>1</v>
      </c>
      <c r="AL2636" s="3" t="s">
        <v>992</v>
      </c>
      <c r="AN2636" s="117">
        <v>6</v>
      </c>
      <c r="AP2636" s="129" t="s">
        <v>43</v>
      </c>
      <c r="AR2636" s="128" t="s">
        <v>44</v>
      </c>
      <c r="AS2636" s="129" t="s">
        <v>45</v>
      </c>
      <c r="BC2636" s="129" t="s">
        <v>38</v>
      </c>
      <c r="BF2636" s="111">
        <f t="shared" si="1923"/>
        <v>2</v>
      </c>
      <c r="BG2636" s="111">
        <f t="shared" si="1924"/>
        <v>2</v>
      </c>
      <c r="BH2636" s="111">
        <f t="shared" si="1919"/>
        <v>3</v>
      </c>
      <c r="BI2636" s="111">
        <f t="shared" si="1921"/>
        <v>48.980874316939889</v>
      </c>
      <c r="BJ2636" s="129">
        <f>G2636-J2636-M2636</f>
        <v>0</v>
      </c>
      <c r="BK2636" s="129">
        <f t="shared" si="1920"/>
        <v>0</v>
      </c>
      <c r="BL2636" s="129" t="str">
        <f t="shared" si="1917"/>
        <v>CONVICTION</v>
      </c>
      <c r="BM2636" s="129" t="str">
        <f>O2636</f>
        <v>NONE</v>
      </c>
      <c r="BN2636" s="129" t="s">
        <v>566</v>
      </c>
      <c r="BP2636" s="137" t="str">
        <f t="shared" si="1925"/>
        <v>CONVICTION</v>
      </c>
      <c r="BQ2636" s="128" t="str">
        <f t="shared" si="1934"/>
        <v>Y</v>
      </c>
      <c r="BR2636" s="129" t="str">
        <f t="shared" si="1935"/>
        <v>DETAINED</v>
      </c>
      <c r="BS2636" s="129" t="str">
        <f t="shared" si="1926"/>
        <v>DISPOSED</v>
      </c>
      <c r="BT2636" s="129" t="str">
        <f t="shared" si="1927"/>
        <v>N</v>
      </c>
      <c r="BU2636" s="109">
        <f t="shared" si="1928"/>
        <v>0.66666666666666663</v>
      </c>
      <c r="BV2636" s="109">
        <f t="shared" si="1936"/>
        <v>1</v>
      </c>
      <c r="BW2636" s="109">
        <f t="shared" si="1908"/>
        <v>0.33333333333333337</v>
      </c>
      <c r="BX2636" s="111">
        <f t="shared" si="1929"/>
        <v>0</v>
      </c>
      <c r="BY2636" s="129">
        <f t="shared" si="1937"/>
        <v>-2</v>
      </c>
      <c r="BZ2636" s="111">
        <f t="shared" si="1938"/>
        <v>0</v>
      </c>
      <c r="CA2636" s="138">
        <f t="shared" si="1939"/>
        <v>2</v>
      </c>
      <c r="CB2636" s="111" t="e">
        <f t="shared" si="1930"/>
        <v>#VALUE!</v>
      </c>
      <c r="CC2636" s="129">
        <f>G2636-I2636+1</f>
        <v>2</v>
      </c>
      <c r="CD2636" s="129">
        <f>G2636-J2636</f>
        <v>0</v>
      </c>
      <c r="CG2636" s="129" t="str">
        <f t="shared" si="1942"/>
        <v>Y</v>
      </c>
      <c r="CI2636" s="129" t="str">
        <f t="shared" si="1943"/>
        <v>0-10 DAYS</v>
      </c>
      <c r="CJ2636" s="137">
        <f t="shared" si="1944"/>
        <v>1</v>
      </c>
      <c r="CK2636" s="129" t="str">
        <f t="shared" si="1945"/>
        <v>Booked</v>
      </c>
    </row>
    <row r="2637" spans="1:89" ht="15" customHeight="1" x14ac:dyDescent="0.25">
      <c r="A2637" s="111">
        <v>396</v>
      </c>
      <c r="B2637" s="128" t="str">
        <f t="shared" si="1931"/>
        <v>N</v>
      </c>
      <c r="C2637" s="128" t="str">
        <f t="shared" si="1932"/>
        <v>N</v>
      </c>
      <c r="D2637" s="117">
        <v>2599939</v>
      </c>
      <c r="E2637" s="135">
        <f t="shared" si="1933"/>
        <v>1</v>
      </c>
      <c r="F2637" s="124">
        <v>40925</v>
      </c>
      <c r="G2637" s="125">
        <v>41087</v>
      </c>
      <c r="H2637" s="117">
        <v>2599939</v>
      </c>
      <c r="I2637" s="124">
        <v>40925</v>
      </c>
      <c r="J2637" s="124">
        <v>40926</v>
      </c>
      <c r="K2637" s="126">
        <v>2000</v>
      </c>
      <c r="L2637" s="127" t="s">
        <v>568</v>
      </c>
      <c r="M2637" s="125">
        <v>40926</v>
      </c>
      <c r="N2637" s="129" t="str">
        <f t="shared" si="1922"/>
        <v>Y</v>
      </c>
      <c r="O2637" s="128" t="s">
        <v>76</v>
      </c>
      <c r="P2637" s="129" t="s">
        <v>123</v>
      </c>
      <c r="Q2637" s="111">
        <f t="shared" si="1916"/>
        <v>2</v>
      </c>
      <c r="R2637" s="111">
        <f t="shared" si="1918"/>
        <v>163</v>
      </c>
      <c r="S2637" s="129">
        <v>0</v>
      </c>
      <c r="T2637" s="129">
        <v>0</v>
      </c>
      <c r="W2637" s="111"/>
      <c r="AB2637" s="131" t="s">
        <v>112</v>
      </c>
      <c r="AC2637" s="130"/>
      <c r="AD2637" s="130">
        <v>29629</v>
      </c>
      <c r="AE2637" s="128" t="s">
        <v>32</v>
      </c>
      <c r="AF2637" s="128" t="s">
        <v>40</v>
      </c>
      <c r="AG2637" s="128" t="s">
        <v>41</v>
      </c>
      <c r="AH2637" s="108" t="s">
        <v>31</v>
      </c>
      <c r="AI2637" s="128" t="s">
        <v>83</v>
      </c>
      <c r="AJ2637" s="129" t="s">
        <v>123</v>
      </c>
      <c r="AK2637" s="129">
        <v>7</v>
      </c>
      <c r="AL2637" s="3" t="s">
        <v>123</v>
      </c>
      <c r="AP2637" s="129" t="s">
        <v>175</v>
      </c>
      <c r="AR2637" s="128" t="s">
        <v>44</v>
      </c>
      <c r="AS2637" s="129" t="s">
        <v>45</v>
      </c>
      <c r="BC2637" s="129" t="s">
        <v>52</v>
      </c>
      <c r="BF2637" s="111">
        <f t="shared" si="1923"/>
        <v>2</v>
      </c>
      <c r="BG2637" s="111">
        <f t="shared" si="1924"/>
        <v>163</v>
      </c>
      <c r="BH2637" s="111">
        <f t="shared" si="1919"/>
        <v>163</v>
      </c>
      <c r="BI2637" s="111">
        <f t="shared" si="1921"/>
        <v>30.863387978142075</v>
      </c>
      <c r="BJ2637" s="129">
        <f>(G2637-J2637)+(M2637-G2637)</f>
        <v>0</v>
      </c>
      <c r="BK2637" s="129">
        <f t="shared" si="1920"/>
        <v>-161</v>
      </c>
      <c r="BL2637" s="129" t="str">
        <f t="shared" si="1917"/>
        <v>NO CONVICTION</v>
      </c>
      <c r="BM2637" s="129" t="s">
        <v>76</v>
      </c>
      <c r="BN2637" s="129" t="s">
        <v>88</v>
      </c>
      <c r="BP2637" s="137" t="str">
        <f t="shared" si="1925"/>
        <v>NO CONVICTION</v>
      </c>
      <c r="BQ2637" s="128" t="str">
        <f t="shared" si="1934"/>
        <v>Y</v>
      </c>
      <c r="BR2637" s="129" t="str">
        <f t="shared" si="1935"/>
        <v>ON BOND</v>
      </c>
      <c r="BS2637" s="129" t="str">
        <f t="shared" si="1926"/>
        <v>DISPOSED</v>
      </c>
      <c r="BT2637" s="129" t="str">
        <f t="shared" si="1927"/>
        <v>N</v>
      </c>
      <c r="BU2637" s="109">
        <f>IFERROR(Q2637/R2637,BR2637)</f>
        <v>1.2269938650306749E-2</v>
      </c>
      <c r="BV2637" s="109">
        <f t="shared" si="1936"/>
        <v>1.2269938650306749E-2</v>
      </c>
      <c r="BW2637" s="109">
        <f t="shared" si="1908"/>
        <v>0</v>
      </c>
      <c r="BX2637" s="111">
        <f t="shared" si="1929"/>
        <v>0</v>
      </c>
      <c r="BY2637" s="129">
        <f t="shared" si="1937"/>
        <v>-2</v>
      </c>
      <c r="BZ2637" s="111">
        <f t="shared" si="1938"/>
        <v>0</v>
      </c>
      <c r="CA2637" s="138">
        <f t="shared" si="1939"/>
        <v>2</v>
      </c>
      <c r="CB2637" s="111" t="e">
        <f t="shared" si="1930"/>
        <v>#VALUE!</v>
      </c>
      <c r="CC2637" s="129">
        <f>M2637-I2637+1</f>
        <v>2</v>
      </c>
      <c r="CD2637" s="111">
        <f>CC2637-BF2637</f>
        <v>0</v>
      </c>
      <c r="CG2637" s="129" t="str">
        <f t="shared" si="1942"/>
        <v>N</v>
      </c>
      <c r="CI2637" s="129" t="str">
        <f t="shared" si="1943"/>
        <v>0-10 DAYS</v>
      </c>
      <c r="CJ2637" s="137">
        <f t="shared" si="1944"/>
        <v>1</v>
      </c>
      <c r="CK2637" s="129" t="str">
        <f t="shared" si="1945"/>
        <v>Booked</v>
      </c>
    </row>
    <row r="2638" spans="1:89" ht="15.75" customHeight="1" x14ac:dyDescent="0.25">
      <c r="A2638" s="111">
        <v>406</v>
      </c>
      <c r="B2638" s="128" t="str">
        <f t="shared" si="1931"/>
        <v>N</v>
      </c>
      <c r="C2638" s="128" t="str">
        <f t="shared" si="1932"/>
        <v>N</v>
      </c>
      <c r="D2638" s="117">
        <v>2600013</v>
      </c>
      <c r="E2638" s="135">
        <f t="shared" si="1933"/>
        <v>4</v>
      </c>
      <c r="F2638" s="124">
        <v>40925</v>
      </c>
      <c r="G2638" s="125">
        <v>40928</v>
      </c>
      <c r="H2638" s="117">
        <v>2600013</v>
      </c>
      <c r="I2638" s="124">
        <v>40926</v>
      </c>
      <c r="J2638" s="124">
        <v>40928</v>
      </c>
      <c r="K2638" s="126">
        <v>35000</v>
      </c>
      <c r="L2638" s="129" t="s">
        <v>572</v>
      </c>
      <c r="N2638" s="129" t="str">
        <f t="shared" si="1922"/>
        <v>N</v>
      </c>
      <c r="O2638" s="128" t="s">
        <v>917</v>
      </c>
      <c r="P2638" s="129" t="s">
        <v>39</v>
      </c>
      <c r="Q2638" s="111">
        <f t="shared" si="1916"/>
        <v>3</v>
      </c>
      <c r="R2638" s="111">
        <f t="shared" si="1918"/>
        <v>4</v>
      </c>
      <c r="S2638" s="129">
        <v>0</v>
      </c>
      <c r="T2638" s="129">
        <v>0</v>
      </c>
      <c r="W2638" s="111"/>
      <c r="AC2638" s="130"/>
      <c r="AD2638" s="130">
        <v>34268</v>
      </c>
      <c r="AE2638" s="128" t="s">
        <v>32</v>
      </c>
      <c r="AF2638" s="128" t="s">
        <v>40</v>
      </c>
      <c r="AG2638" s="128" t="s">
        <v>41</v>
      </c>
      <c r="AH2638" s="108" t="s">
        <v>41</v>
      </c>
      <c r="AI2638" s="128" t="s">
        <v>113</v>
      </c>
      <c r="AJ2638" s="129" t="s">
        <v>89</v>
      </c>
      <c r="AK2638" s="129">
        <v>2</v>
      </c>
      <c r="AL2638" s="3" t="s">
        <v>991</v>
      </c>
      <c r="AO2638" s="128">
        <v>120</v>
      </c>
      <c r="AP2638" s="129" t="s">
        <v>171</v>
      </c>
      <c r="AR2638" s="128" t="s">
        <v>44</v>
      </c>
      <c r="AS2638" s="129" t="s">
        <v>64</v>
      </c>
      <c r="BC2638" s="129" t="s">
        <v>38</v>
      </c>
      <c r="BF2638" s="111">
        <f t="shared" si="1923"/>
        <v>3</v>
      </c>
      <c r="BG2638" s="111">
        <f t="shared" si="1924"/>
        <v>3</v>
      </c>
      <c r="BH2638" s="111">
        <f t="shared" si="1919"/>
        <v>4</v>
      </c>
      <c r="BI2638" s="111">
        <f t="shared" si="1921"/>
        <v>18.188524590163933</v>
      </c>
      <c r="BJ2638" s="129">
        <f>G2638-J2638-M2638</f>
        <v>0</v>
      </c>
      <c r="BK2638" s="129">
        <f t="shared" si="1920"/>
        <v>0</v>
      </c>
      <c r="BL2638" s="129" t="str">
        <f t="shared" si="1917"/>
        <v>CONVICTION</v>
      </c>
      <c r="BM2638" s="129" t="str">
        <f>O2638</f>
        <v>NONE</v>
      </c>
      <c r="BN2638" s="129" t="s">
        <v>566</v>
      </c>
      <c r="BP2638" s="137" t="str">
        <f t="shared" si="1925"/>
        <v>CONVICTION</v>
      </c>
      <c r="BQ2638" s="128" t="str">
        <f t="shared" si="1934"/>
        <v>Y</v>
      </c>
      <c r="BR2638" s="129" t="str">
        <f t="shared" si="1935"/>
        <v>DETAINED</v>
      </c>
      <c r="BS2638" s="129" t="str">
        <f t="shared" si="1926"/>
        <v>DISPOSED</v>
      </c>
      <c r="BT2638" s="129" t="str">
        <f t="shared" si="1927"/>
        <v>N</v>
      </c>
      <c r="BU2638" s="109">
        <f t="shared" si="1928"/>
        <v>0.75</v>
      </c>
      <c r="BV2638" s="109">
        <f t="shared" si="1936"/>
        <v>1</v>
      </c>
      <c r="BW2638" s="109">
        <f t="shared" si="1908"/>
        <v>0.25</v>
      </c>
      <c r="BX2638" s="111">
        <f t="shared" si="1929"/>
        <v>0</v>
      </c>
      <c r="BY2638" s="129">
        <f t="shared" si="1937"/>
        <v>-3</v>
      </c>
      <c r="BZ2638" s="111">
        <f t="shared" si="1938"/>
        <v>0</v>
      </c>
      <c r="CA2638" s="138">
        <f t="shared" si="1939"/>
        <v>3</v>
      </c>
      <c r="CB2638" s="111" t="e">
        <f t="shared" si="1930"/>
        <v>#VALUE!</v>
      </c>
      <c r="CC2638" s="129">
        <f>G2638-I2638+1</f>
        <v>3</v>
      </c>
      <c r="CD2638" s="129">
        <f>G2638-J2638</f>
        <v>0</v>
      </c>
      <c r="CG2638" s="129" t="str">
        <f t="shared" si="1942"/>
        <v>N</v>
      </c>
      <c r="CI2638" s="129" t="str">
        <f t="shared" si="1943"/>
        <v>0-10 DAYS</v>
      </c>
      <c r="CJ2638" s="137">
        <f t="shared" si="1944"/>
        <v>1</v>
      </c>
      <c r="CK2638" s="129" t="str">
        <f t="shared" si="1945"/>
        <v>Booked</v>
      </c>
    </row>
    <row r="2639" spans="1:89" ht="15.75" customHeight="1" x14ac:dyDescent="0.25">
      <c r="A2639" s="111">
        <v>427</v>
      </c>
      <c r="B2639" s="128" t="str">
        <f t="shared" si="1931"/>
        <v>N</v>
      </c>
      <c r="C2639" s="128" t="str">
        <f t="shared" si="1932"/>
        <v>N</v>
      </c>
      <c r="D2639" s="117">
        <v>2600181</v>
      </c>
      <c r="E2639" s="135">
        <f t="shared" si="1933"/>
        <v>2</v>
      </c>
      <c r="F2639" s="124">
        <v>40926</v>
      </c>
      <c r="G2639" s="125">
        <v>41085</v>
      </c>
      <c r="H2639" s="117">
        <v>2600181</v>
      </c>
      <c r="I2639" s="124">
        <v>40928</v>
      </c>
      <c r="J2639" s="124">
        <v>40942</v>
      </c>
      <c r="K2639" s="126">
        <v>40000</v>
      </c>
      <c r="L2639" s="129" t="s">
        <v>572</v>
      </c>
      <c r="M2639" s="125">
        <v>40942</v>
      </c>
      <c r="N2639" s="129" t="str">
        <f t="shared" si="1922"/>
        <v>Y</v>
      </c>
      <c r="O2639" s="112" t="s">
        <v>160</v>
      </c>
      <c r="P2639" s="129" t="s">
        <v>589</v>
      </c>
      <c r="Q2639" s="111">
        <f t="shared" si="1916"/>
        <v>15</v>
      </c>
      <c r="R2639" s="111">
        <f t="shared" si="1918"/>
        <v>160</v>
      </c>
      <c r="S2639" s="129">
        <v>0</v>
      </c>
      <c r="T2639" s="129">
        <v>0</v>
      </c>
      <c r="W2639" s="111"/>
      <c r="AC2639" s="130"/>
      <c r="AD2639" s="130">
        <v>34554</v>
      </c>
      <c r="AE2639" s="128" t="s">
        <v>32</v>
      </c>
      <c r="AF2639" s="128" t="s">
        <v>69</v>
      </c>
      <c r="AG2639" s="128" t="s">
        <v>874</v>
      </c>
      <c r="AH2639" s="108" t="s">
        <v>31</v>
      </c>
      <c r="AI2639" s="128">
        <v>337</v>
      </c>
      <c r="AJ2639" s="129" t="s">
        <v>48</v>
      </c>
      <c r="AK2639" s="129">
        <v>11</v>
      </c>
      <c r="AL2639" s="3" t="s">
        <v>48</v>
      </c>
      <c r="AP2639" s="129" t="s">
        <v>188</v>
      </c>
      <c r="AR2639" s="128" t="s">
        <v>67</v>
      </c>
      <c r="AS2639" s="129" t="s">
        <v>64</v>
      </c>
      <c r="BC2639" s="129" t="s">
        <v>52</v>
      </c>
      <c r="BF2639" s="111">
        <f t="shared" si="1923"/>
        <v>15</v>
      </c>
      <c r="BG2639" s="111">
        <f t="shared" si="1924"/>
        <v>158</v>
      </c>
      <c r="BH2639" s="111">
        <f t="shared" si="1919"/>
        <v>160</v>
      </c>
      <c r="BI2639" s="111">
        <f t="shared" si="1921"/>
        <v>17.409836065573771</v>
      </c>
      <c r="BJ2639" s="129">
        <f>(G2639-J2639)+(M2639-G2639)</f>
        <v>0</v>
      </c>
      <c r="BK2639" s="129">
        <f t="shared" si="1920"/>
        <v>-143</v>
      </c>
      <c r="BL2639" s="129" t="str">
        <f t="shared" si="1917"/>
        <v>DEFERRED</v>
      </c>
      <c r="BM2639" s="129" t="s">
        <v>160</v>
      </c>
      <c r="BN2639" s="129" t="s">
        <v>88</v>
      </c>
      <c r="BP2639" s="137" t="str">
        <f t="shared" si="1925"/>
        <v>DEFERRED</v>
      </c>
      <c r="BQ2639" s="128" t="str">
        <f t="shared" si="1934"/>
        <v>Y</v>
      </c>
      <c r="BR2639" s="129" t="str">
        <f t="shared" si="1935"/>
        <v>ON BOND</v>
      </c>
      <c r="BS2639" s="129" t="str">
        <f t="shared" si="1926"/>
        <v>DISPOSED</v>
      </c>
      <c r="BT2639" s="129" t="str">
        <f t="shared" si="1927"/>
        <v>N</v>
      </c>
      <c r="BU2639" s="109">
        <f t="shared" si="1928"/>
        <v>9.375E-2</v>
      </c>
      <c r="BV2639" s="109">
        <f t="shared" si="1936"/>
        <v>9.49367088607595E-2</v>
      </c>
      <c r="BW2639" s="109">
        <f t="shared" si="1908"/>
        <v>1.1867088607595E-3</v>
      </c>
      <c r="BX2639" s="111">
        <f t="shared" si="1929"/>
        <v>0</v>
      </c>
      <c r="BY2639" s="129">
        <f t="shared" si="1937"/>
        <v>-15</v>
      </c>
      <c r="BZ2639" s="111">
        <f t="shared" si="1938"/>
        <v>0</v>
      </c>
      <c r="CA2639" s="138">
        <f t="shared" si="1939"/>
        <v>15</v>
      </c>
      <c r="CB2639" s="111" t="e">
        <f t="shared" si="1930"/>
        <v>#VALUE!</v>
      </c>
      <c r="CC2639" s="129">
        <f>M2639-I2639+1</f>
        <v>15</v>
      </c>
      <c r="CD2639" s="111">
        <f>CC2639-BF2639</f>
        <v>0</v>
      </c>
      <c r="CG2639" s="129" t="str">
        <f t="shared" si="1942"/>
        <v>N</v>
      </c>
      <c r="CI2639" s="129" t="str">
        <f t="shared" si="1943"/>
        <v>11-30 DAYS</v>
      </c>
      <c r="CJ2639" s="137">
        <f t="shared" si="1944"/>
        <v>2</v>
      </c>
      <c r="CK2639" s="129" t="str">
        <f t="shared" si="1945"/>
        <v>Booked</v>
      </c>
    </row>
    <row r="2640" spans="1:89" ht="15" customHeight="1" x14ac:dyDescent="0.25">
      <c r="A2640" s="111">
        <v>624</v>
      </c>
      <c r="B2640" s="128" t="str">
        <f t="shared" si="1931"/>
        <v>N</v>
      </c>
      <c r="C2640" s="128" t="str">
        <f t="shared" si="1932"/>
        <v>N</v>
      </c>
      <c r="D2640" s="117">
        <v>2600185</v>
      </c>
      <c r="E2640" s="135">
        <f t="shared" si="1933"/>
        <v>1</v>
      </c>
      <c r="F2640" s="124">
        <v>40933</v>
      </c>
      <c r="G2640" s="125">
        <v>41240</v>
      </c>
      <c r="H2640" s="117">
        <v>2600185</v>
      </c>
      <c r="I2640" s="124">
        <v>40934</v>
      </c>
      <c r="J2640" s="124">
        <v>40935</v>
      </c>
      <c r="K2640" s="126">
        <v>5000</v>
      </c>
      <c r="L2640" s="127" t="s">
        <v>569</v>
      </c>
      <c r="M2640" s="125">
        <v>40935</v>
      </c>
      <c r="N2640" s="129" t="str">
        <f t="shared" si="1922"/>
        <v>Y</v>
      </c>
      <c r="O2640" s="112" t="s">
        <v>160</v>
      </c>
      <c r="P2640" s="129" t="s">
        <v>55</v>
      </c>
      <c r="Q2640" s="111">
        <f t="shared" si="1916"/>
        <v>2</v>
      </c>
      <c r="R2640" s="111">
        <f t="shared" si="1918"/>
        <v>308</v>
      </c>
      <c r="S2640" s="129">
        <v>0</v>
      </c>
      <c r="T2640" s="129">
        <v>0</v>
      </c>
      <c r="W2640" s="111"/>
      <c r="AC2640" s="130"/>
      <c r="AD2640" s="130">
        <v>11105</v>
      </c>
      <c r="AE2640" s="128" t="s">
        <v>32</v>
      </c>
      <c r="AF2640" s="128" t="s">
        <v>69</v>
      </c>
      <c r="AG2640" s="128" t="s">
        <v>874</v>
      </c>
      <c r="AH2640" s="108" t="s">
        <v>31</v>
      </c>
      <c r="AI2640" s="128" t="s">
        <v>85</v>
      </c>
      <c r="AJ2640" s="129" t="s">
        <v>55</v>
      </c>
      <c r="AK2640" s="129">
        <v>11</v>
      </c>
      <c r="AL2640" s="3" t="s">
        <v>55</v>
      </c>
      <c r="AP2640" s="129" t="s">
        <v>232</v>
      </c>
      <c r="AR2640" s="128" t="s">
        <v>67</v>
      </c>
      <c r="AS2640" s="129" t="s">
        <v>61</v>
      </c>
      <c r="BC2640" s="129" t="s">
        <v>38</v>
      </c>
      <c r="BF2640" s="111">
        <f t="shared" si="1923"/>
        <v>2</v>
      </c>
      <c r="BG2640" s="111">
        <f t="shared" si="1924"/>
        <v>307</v>
      </c>
      <c r="BH2640" s="111">
        <f t="shared" si="1919"/>
        <v>308</v>
      </c>
      <c r="BI2640" s="111">
        <f t="shared" si="1921"/>
        <v>81.497267759562845</v>
      </c>
      <c r="BJ2640" s="129">
        <f>(G2640-J2640)+(M2640-G2640)</f>
        <v>0</v>
      </c>
      <c r="BK2640" s="129">
        <f t="shared" si="1920"/>
        <v>-305</v>
      </c>
      <c r="BL2640" s="129" t="str">
        <f t="shared" si="1917"/>
        <v>NO CONVICTION</v>
      </c>
      <c r="BM2640" s="129" t="s">
        <v>160</v>
      </c>
      <c r="BN2640" s="129" t="s">
        <v>88</v>
      </c>
      <c r="BP2640" s="137" t="str">
        <f t="shared" si="1925"/>
        <v>NO CONVICTION</v>
      </c>
      <c r="BQ2640" s="128" t="str">
        <f t="shared" si="1934"/>
        <v>Y</v>
      </c>
      <c r="BR2640" s="129" t="str">
        <f t="shared" si="1935"/>
        <v>ON BOND</v>
      </c>
      <c r="BS2640" s="129" t="str">
        <f t="shared" si="1926"/>
        <v>DISPOSED</v>
      </c>
      <c r="BT2640" s="129" t="str">
        <f t="shared" si="1927"/>
        <v>N</v>
      </c>
      <c r="BU2640" s="109">
        <f>IFERROR(Q2640/R2640,BR2640)</f>
        <v>6.4935064935064939E-3</v>
      </c>
      <c r="BV2640" s="109">
        <f t="shared" si="1936"/>
        <v>6.5146579804560263E-3</v>
      </c>
      <c r="BW2640" s="109">
        <f t="shared" si="1908"/>
        <v>2.1151486949532415E-5</v>
      </c>
      <c r="BX2640" s="111">
        <f t="shared" si="1929"/>
        <v>0</v>
      </c>
      <c r="BY2640" s="129">
        <f t="shared" si="1937"/>
        <v>-2</v>
      </c>
      <c r="BZ2640" s="111">
        <f t="shared" si="1938"/>
        <v>0</v>
      </c>
      <c r="CA2640" s="138">
        <f t="shared" si="1939"/>
        <v>2</v>
      </c>
      <c r="CB2640" s="111" t="e">
        <f t="shared" si="1930"/>
        <v>#VALUE!</v>
      </c>
      <c r="CC2640" s="129">
        <f>M2640-I2640+1</f>
        <v>2</v>
      </c>
      <c r="CD2640" s="111">
        <f>CC2640-BF2640</f>
        <v>0</v>
      </c>
      <c r="CG2640" s="129" t="str">
        <f t="shared" si="1942"/>
        <v>N</v>
      </c>
      <c r="CI2640" s="129" t="str">
        <f t="shared" si="1943"/>
        <v>0-10 DAYS</v>
      </c>
      <c r="CJ2640" s="137">
        <f t="shared" si="1944"/>
        <v>1</v>
      </c>
      <c r="CK2640" s="129" t="str">
        <f t="shared" si="1945"/>
        <v>Booked</v>
      </c>
    </row>
    <row r="2641" spans="1:89" ht="15" customHeight="1" x14ac:dyDescent="0.25">
      <c r="A2641" s="111">
        <v>429</v>
      </c>
      <c r="B2641" s="128" t="str">
        <f t="shared" si="1931"/>
        <v>N</v>
      </c>
      <c r="C2641" s="128" t="str">
        <f t="shared" si="1932"/>
        <v>N</v>
      </c>
      <c r="D2641" s="117">
        <v>2600186</v>
      </c>
      <c r="E2641" s="135">
        <f t="shared" si="1933"/>
        <v>1</v>
      </c>
      <c r="F2641" s="124">
        <v>40926</v>
      </c>
      <c r="G2641" s="125">
        <v>40928</v>
      </c>
      <c r="H2641" s="117">
        <v>2600186</v>
      </c>
      <c r="I2641" s="124" t="s">
        <v>562</v>
      </c>
      <c r="J2641" s="124" t="s">
        <v>562</v>
      </c>
      <c r="K2641" s="126">
        <v>2000</v>
      </c>
      <c r="L2641" s="127" t="s">
        <v>568</v>
      </c>
      <c r="N2641" s="124" t="s">
        <v>1343</v>
      </c>
      <c r="O2641" s="128" t="s">
        <v>917</v>
      </c>
      <c r="P2641" s="129" t="s">
        <v>55</v>
      </c>
      <c r="Q2641" s="111">
        <f t="shared" si="1916"/>
        <v>0</v>
      </c>
      <c r="R2641" s="111">
        <f t="shared" si="1918"/>
        <v>3</v>
      </c>
      <c r="S2641" s="129">
        <v>0</v>
      </c>
      <c r="T2641" s="129">
        <v>0</v>
      </c>
      <c r="W2641" s="111"/>
      <c r="AC2641" s="130"/>
      <c r="AD2641" s="130">
        <v>30201</v>
      </c>
      <c r="AE2641" s="128" t="s">
        <v>46</v>
      </c>
      <c r="AF2641" s="128" t="s">
        <v>33</v>
      </c>
      <c r="AG2641" s="128" t="s">
        <v>872</v>
      </c>
      <c r="AH2641" s="108" t="s">
        <v>31</v>
      </c>
      <c r="AI2641" s="128" t="s">
        <v>34</v>
      </c>
      <c r="AJ2641" s="129" t="s">
        <v>55</v>
      </c>
      <c r="AK2641" s="129">
        <v>1</v>
      </c>
      <c r="AL2641" s="3" t="s">
        <v>55</v>
      </c>
      <c r="AP2641" s="129" t="s">
        <v>108</v>
      </c>
      <c r="AR2641" s="128" t="s">
        <v>44</v>
      </c>
      <c r="AS2641" s="129" t="s">
        <v>61</v>
      </c>
      <c r="BC2641" s="129" t="s">
        <v>79</v>
      </c>
      <c r="BF2641" s="111">
        <v>0</v>
      </c>
      <c r="BG2641" s="111">
        <v>0</v>
      </c>
      <c r="BH2641" s="111">
        <f t="shared" si="1919"/>
        <v>3</v>
      </c>
      <c r="BI2641" s="111">
        <f t="shared" si="1921"/>
        <v>29.303278688524589</v>
      </c>
      <c r="BJ2641" s="129" t="e">
        <f>(G2641-J2641)+(M2641-G2641)</f>
        <v>#VALUE!</v>
      </c>
      <c r="BK2641" s="129" t="e">
        <f t="shared" si="1920"/>
        <v>#VALUE!</v>
      </c>
      <c r="BL2641" s="129" t="str">
        <f t="shared" si="1917"/>
        <v>NO CONVICTION</v>
      </c>
      <c r="BM2641" s="129" t="str">
        <f>O2641</f>
        <v>NONE</v>
      </c>
      <c r="BN2641" s="129" t="s">
        <v>566</v>
      </c>
      <c r="BP2641" s="137" t="str">
        <f t="shared" si="1925"/>
        <v>NO CONVICTION</v>
      </c>
      <c r="BQ2641" s="128">
        <f t="shared" si="1934"/>
        <v>0</v>
      </c>
      <c r="BR2641" s="129" t="s">
        <v>1345</v>
      </c>
      <c r="BS2641" s="129" t="str">
        <f t="shared" si="1926"/>
        <v>DISPOSED</v>
      </c>
      <c r="BT2641" s="129" t="str">
        <f t="shared" si="1927"/>
        <v>N</v>
      </c>
      <c r="BU2641" s="109">
        <f>IFERROR(Q2641/R2641,BR2641)</f>
        <v>0</v>
      </c>
      <c r="BV2641" s="109">
        <v>0</v>
      </c>
      <c r="BW2641" s="109">
        <f t="shared" si="1908"/>
        <v>0</v>
      </c>
      <c r="BX2641" s="111">
        <f t="shared" si="1929"/>
        <v>0</v>
      </c>
      <c r="BY2641" s="129" t="e">
        <f t="shared" si="1937"/>
        <v>#VALUE!</v>
      </c>
      <c r="BZ2641" s="111" t="e">
        <f t="shared" si="1938"/>
        <v>#VALUE!</v>
      </c>
      <c r="CA2641" s="138" t="e">
        <f t="shared" si="1939"/>
        <v>#VALUE!</v>
      </c>
      <c r="CB2641" s="111">
        <v>0</v>
      </c>
      <c r="CC2641" s="129">
        <v>0</v>
      </c>
      <c r="CG2641" s="129" t="str">
        <f t="shared" si="1942"/>
        <v>N</v>
      </c>
      <c r="CI2641" s="129" t="str">
        <f t="shared" si="1943"/>
        <v>0-10 DAYS</v>
      </c>
      <c r="CJ2641" s="137">
        <f t="shared" si="1944"/>
        <v>1</v>
      </c>
      <c r="CK2641" s="129" t="str">
        <f t="shared" si="1945"/>
        <v>Not Booked</v>
      </c>
    </row>
    <row r="2642" spans="1:89" ht="15.75" customHeight="1" x14ac:dyDescent="0.25">
      <c r="A2642" s="111">
        <v>442</v>
      </c>
      <c r="B2642" s="128" t="str">
        <f t="shared" si="1931"/>
        <v>N</v>
      </c>
      <c r="C2642" s="128" t="str">
        <f t="shared" si="1932"/>
        <v>N</v>
      </c>
      <c r="D2642" s="117">
        <v>2600225</v>
      </c>
      <c r="E2642" s="135">
        <f t="shared" si="1933"/>
        <v>1</v>
      </c>
      <c r="F2642" s="124">
        <v>40927</v>
      </c>
      <c r="G2642" s="125">
        <v>40932</v>
      </c>
      <c r="H2642" s="117">
        <v>2600225</v>
      </c>
      <c r="I2642" s="124">
        <v>40927</v>
      </c>
      <c r="J2642" s="124">
        <v>40932</v>
      </c>
      <c r="K2642" s="126">
        <v>30000</v>
      </c>
      <c r="L2642" s="129" t="s">
        <v>572</v>
      </c>
      <c r="N2642" s="129" t="str">
        <f>IF(M2642&gt;1/1/1,"Y","N")</f>
        <v>N</v>
      </c>
      <c r="O2642" s="128" t="s">
        <v>917</v>
      </c>
      <c r="P2642" s="129" t="s">
        <v>55</v>
      </c>
      <c r="Q2642" s="111">
        <f t="shared" si="1916"/>
        <v>6</v>
      </c>
      <c r="R2642" s="111">
        <f t="shared" si="1918"/>
        <v>6</v>
      </c>
      <c r="S2642" s="129">
        <v>0</v>
      </c>
      <c r="T2642" s="129">
        <v>0</v>
      </c>
      <c r="W2642" s="111"/>
      <c r="AC2642" s="130"/>
      <c r="AD2642" s="130">
        <v>33906</v>
      </c>
      <c r="AE2642" s="128" t="s">
        <v>46</v>
      </c>
      <c r="AF2642" s="128" t="s">
        <v>33</v>
      </c>
      <c r="AG2642" s="128" t="s">
        <v>872</v>
      </c>
      <c r="AH2642" s="108" t="s">
        <v>31</v>
      </c>
      <c r="AI2642" s="128" t="s">
        <v>71</v>
      </c>
      <c r="AJ2642" s="129" t="s">
        <v>55</v>
      </c>
      <c r="AK2642" s="129">
        <v>2</v>
      </c>
      <c r="AL2642" s="3" t="s">
        <v>55</v>
      </c>
      <c r="AP2642" s="129" t="s">
        <v>73</v>
      </c>
      <c r="AR2642" s="128" t="s">
        <v>50</v>
      </c>
      <c r="AS2642" s="129" t="s">
        <v>74</v>
      </c>
      <c r="BC2642" s="129" t="s">
        <v>99</v>
      </c>
      <c r="BF2642" s="111">
        <f>IF(J2642&gt;1/1/1900,((J2642+1)-I2642),"STILL OPEN")</f>
        <v>6</v>
      </c>
      <c r="BG2642" s="111">
        <f>IF(G2642&gt;1/1/1900,((G2642+1)-I2642),"STILL OPEN")</f>
        <v>6</v>
      </c>
      <c r="BH2642" s="111">
        <f t="shared" si="1919"/>
        <v>6</v>
      </c>
      <c r="BI2642" s="111">
        <f t="shared" si="1921"/>
        <v>19.183060109289617</v>
      </c>
      <c r="BJ2642" s="129">
        <f>G2642-J2642-M2642</f>
        <v>0</v>
      </c>
      <c r="BK2642" s="129">
        <f t="shared" si="1920"/>
        <v>0</v>
      </c>
      <c r="BL2642" s="129" t="str">
        <f t="shared" si="1917"/>
        <v>NO CONVICTION</v>
      </c>
      <c r="BM2642" s="129" t="str">
        <f>O2642</f>
        <v>NONE</v>
      </c>
      <c r="BN2642" s="129" t="s">
        <v>566</v>
      </c>
      <c r="BP2642" s="137" t="str">
        <f t="shared" si="1925"/>
        <v>NO CONVICTION</v>
      </c>
      <c r="BQ2642" s="128" t="str">
        <f t="shared" si="1934"/>
        <v>Y</v>
      </c>
      <c r="BR2642" s="129" t="str">
        <f t="shared" si="1935"/>
        <v>DETAINED</v>
      </c>
      <c r="BS2642" s="129" t="str">
        <f t="shared" si="1926"/>
        <v>DISPOSED</v>
      </c>
      <c r="BT2642" s="129" t="str">
        <f t="shared" si="1927"/>
        <v>N</v>
      </c>
      <c r="BU2642" s="109">
        <f>IFERROR(Q2642/R2642,BR2642)</f>
        <v>1</v>
      </c>
      <c r="BV2642" s="109">
        <f t="shared" si="1936"/>
        <v>1</v>
      </c>
      <c r="BW2642" s="109">
        <f t="shared" si="1908"/>
        <v>0</v>
      </c>
      <c r="BX2642" s="111">
        <f t="shared" si="1929"/>
        <v>0</v>
      </c>
      <c r="BY2642" s="129">
        <f t="shared" si="1937"/>
        <v>-6</v>
      </c>
      <c r="BZ2642" s="111">
        <f t="shared" si="1938"/>
        <v>0</v>
      </c>
      <c r="CA2642" s="138">
        <f t="shared" si="1939"/>
        <v>6</v>
      </c>
      <c r="CB2642" s="111" t="e">
        <f>IF(AF2642&gt;1/1/1900,((AF2642+1)-AE2642),"STILL OPEN")</f>
        <v>#VALUE!</v>
      </c>
      <c r="CC2642" s="129">
        <f>G2642-I2642+1</f>
        <v>6</v>
      </c>
      <c r="CD2642" s="129">
        <f>G2642-J2642</f>
        <v>0</v>
      </c>
      <c r="CG2642" s="129" t="str">
        <f t="shared" si="1942"/>
        <v>N</v>
      </c>
      <c r="CI2642" s="129" t="str">
        <f t="shared" si="1943"/>
        <v>0-10 DAYS</v>
      </c>
      <c r="CJ2642" s="137">
        <f t="shared" si="1944"/>
        <v>1</v>
      </c>
      <c r="CK2642" s="129" t="str">
        <f t="shared" si="1945"/>
        <v>Booked</v>
      </c>
    </row>
    <row r="2643" spans="1:89" ht="15" customHeight="1" x14ac:dyDescent="0.25">
      <c r="A2643" s="111">
        <v>445</v>
      </c>
      <c r="B2643" s="128" t="str">
        <f t="shared" si="1931"/>
        <v>N</v>
      </c>
      <c r="C2643" s="128" t="str">
        <f t="shared" si="1932"/>
        <v>N</v>
      </c>
      <c r="D2643" s="117">
        <v>2600540</v>
      </c>
      <c r="E2643" s="135">
        <f t="shared" si="1933"/>
        <v>2</v>
      </c>
      <c r="F2643" s="124">
        <v>40927</v>
      </c>
      <c r="G2643" s="125">
        <v>40931</v>
      </c>
      <c r="H2643" s="117">
        <v>2600540</v>
      </c>
      <c r="I2643" s="124">
        <v>40927</v>
      </c>
      <c r="J2643" s="124">
        <v>40931</v>
      </c>
      <c r="K2643" s="126">
        <v>5000</v>
      </c>
      <c r="L2643" s="127" t="s">
        <v>569</v>
      </c>
      <c r="N2643" s="129" t="str">
        <f>IF(M2643&gt;1/1/1,"Y","N")</f>
        <v>N</v>
      </c>
      <c r="O2643" s="128" t="s">
        <v>917</v>
      </c>
      <c r="P2643" s="129" t="s">
        <v>589</v>
      </c>
      <c r="Q2643" s="111">
        <f t="shared" si="1916"/>
        <v>5</v>
      </c>
      <c r="R2643" s="111">
        <f t="shared" si="1918"/>
        <v>5</v>
      </c>
      <c r="S2643" s="129">
        <v>0</v>
      </c>
      <c r="T2643" s="129">
        <v>0</v>
      </c>
      <c r="W2643" s="111"/>
      <c r="AC2643" s="130"/>
      <c r="AD2643" s="130">
        <v>31097</v>
      </c>
      <c r="AE2643" s="128" t="s">
        <v>46</v>
      </c>
      <c r="AF2643" s="128" t="s">
        <v>69</v>
      </c>
      <c r="AG2643" s="128" t="s">
        <v>874</v>
      </c>
      <c r="AH2643" s="108" t="s">
        <v>31</v>
      </c>
      <c r="AI2643" s="128" t="s">
        <v>87</v>
      </c>
      <c r="AJ2643" s="129" t="s">
        <v>48</v>
      </c>
      <c r="AK2643" s="129">
        <v>2</v>
      </c>
      <c r="AL2643" s="3" t="s">
        <v>48</v>
      </c>
      <c r="AP2643" s="129" t="s">
        <v>93</v>
      </c>
      <c r="AR2643" s="128" t="s">
        <v>67</v>
      </c>
      <c r="AS2643" s="129" t="s">
        <v>45</v>
      </c>
      <c r="BC2643" s="129" t="s">
        <v>38</v>
      </c>
      <c r="BF2643" s="111">
        <f>IF(J2643&gt;1/1/1900,((J2643+1)-I2643),"STILL OPEN")</f>
        <v>5</v>
      </c>
      <c r="BG2643" s="111">
        <f>IF(G2643&gt;1/1/1900,((G2643+1)-I2643),"STILL OPEN")</f>
        <v>5</v>
      </c>
      <c r="BH2643" s="111">
        <f t="shared" si="1919"/>
        <v>5</v>
      </c>
      <c r="BI2643" s="111">
        <f t="shared" si="1921"/>
        <v>26.857923497267759</v>
      </c>
      <c r="BJ2643" s="129">
        <f>G2643-J2643-M2643</f>
        <v>0</v>
      </c>
      <c r="BK2643" s="129">
        <f t="shared" si="1920"/>
        <v>0</v>
      </c>
      <c r="BL2643" s="129" t="str">
        <f t="shared" si="1917"/>
        <v>DEFERRED</v>
      </c>
      <c r="BM2643" s="129" t="str">
        <f>O2643</f>
        <v>NONE</v>
      </c>
      <c r="BN2643" s="129" t="s">
        <v>566</v>
      </c>
      <c r="BP2643" s="137" t="str">
        <f t="shared" si="1925"/>
        <v>DEFERRED</v>
      </c>
      <c r="BQ2643" s="128" t="str">
        <f t="shared" si="1934"/>
        <v>Y</v>
      </c>
      <c r="BR2643" s="129" t="str">
        <f t="shared" si="1935"/>
        <v>DETAINED</v>
      </c>
      <c r="BS2643" s="129" t="str">
        <f t="shared" si="1926"/>
        <v>DISPOSED</v>
      </c>
      <c r="BT2643" s="129" t="str">
        <f t="shared" si="1927"/>
        <v>N</v>
      </c>
      <c r="BU2643" s="109">
        <f t="shared" si="1928"/>
        <v>1</v>
      </c>
      <c r="BV2643" s="109">
        <f t="shared" si="1936"/>
        <v>1</v>
      </c>
      <c r="BW2643" s="109">
        <f t="shared" si="1908"/>
        <v>0</v>
      </c>
      <c r="BX2643" s="111">
        <f t="shared" si="1929"/>
        <v>0</v>
      </c>
      <c r="BY2643" s="129">
        <f t="shared" si="1937"/>
        <v>-5</v>
      </c>
      <c r="BZ2643" s="111">
        <f t="shared" si="1938"/>
        <v>0</v>
      </c>
      <c r="CA2643" s="138">
        <f t="shared" si="1939"/>
        <v>5</v>
      </c>
      <c r="CB2643" s="111" t="e">
        <f>IF(AF2643&gt;1/1/1900,((AF2643+1)-AE2643),"STILL OPEN")</f>
        <v>#VALUE!</v>
      </c>
      <c r="CC2643" s="129">
        <f>G2643-I2643+1</f>
        <v>5</v>
      </c>
      <c r="CD2643" s="129">
        <f>G2643-J2643</f>
        <v>0</v>
      </c>
      <c r="CG2643" s="129" t="str">
        <f t="shared" si="1942"/>
        <v>N</v>
      </c>
      <c r="CI2643" s="129" t="str">
        <f t="shared" si="1943"/>
        <v>0-10 DAYS</v>
      </c>
      <c r="CJ2643" s="137">
        <f t="shared" si="1944"/>
        <v>1</v>
      </c>
      <c r="CK2643" s="129" t="str">
        <f t="shared" si="1945"/>
        <v>Booked</v>
      </c>
    </row>
    <row r="2644" spans="1:89" ht="15.75" customHeight="1" x14ac:dyDescent="0.25">
      <c r="A2644" s="111">
        <v>447</v>
      </c>
      <c r="B2644" s="128" t="str">
        <f t="shared" si="1931"/>
        <v>N</v>
      </c>
      <c r="C2644" s="128" t="str">
        <f t="shared" si="1932"/>
        <v>N</v>
      </c>
      <c r="D2644" s="117">
        <v>2600568</v>
      </c>
      <c r="E2644" s="135">
        <f t="shared" si="1933"/>
        <v>4</v>
      </c>
      <c r="F2644" s="124">
        <v>40927</v>
      </c>
      <c r="G2644" s="125">
        <v>40975</v>
      </c>
      <c r="H2644" s="117">
        <v>2600568</v>
      </c>
      <c r="I2644" s="124">
        <v>40927</v>
      </c>
      <c r="J2644" s="124">
        <v>40975</v>
      </c>
      <c r="K2644" s="126">
        <v>35000</v>
      </c>
      <c r="L2644" s="129" t="s">
        <v>572</v>
      </c>
      <c r="N2644" s="129" t="str">
        <f>IF(M2644&gt;1/1/1,"Y","N")</f>
        <v>N</v>
      </c>
      <c r="O2644" s="128" t="s">
        <v>917</v>
      </c>
      <c r="P2644" s="129" t="s">
        <v>39</v>
      </c>
      <c r="Q2644" s="111">
        <f t="shared" si="1916"/>
        <v>49</v>
      </c>
      <c r="R2644" s="111">
        <f t="shared" si="1918"/>
        <v>49</v>
      </c>
      <c r="S2644" s="129">
        <v>0</v>
      </c>
      <c r="T2644" s="129">
        <v>0</v>
      </c>
      <c r="W2644" s="111"/>
      <c r="AB2644" s="131" t="s">
        <v>112</v>
      </c>
      <c r="AC2644" s="130"/>
      <c r="AD2644" s="130">
        <v>32342</v>
      </c>
      <c r="AE2644" s="128" t="s">
        <v>32</v>
      </c>
      <c r="AF2644" s="128" t="s">
        <v>40</v>
      </c>
      <c r="AG2644" s="128" t="s">
        <v>41</v>
      </c>
      <c r="AH2644" s="108" t="s">
        <v>31</v>
      </c>
      <c r="AI2644" s="128" t="s">
        <v>80</v>
      </c>
      <c r="AJ2644" s="129" t="s">
        <v>89</v>
      </c>
      <c r="AK2644" s="129">
        <v>4</v>
      </c>
      <c r="AL2644" s="3" t="s">
        <v>991</v>
      </c>
      <c r="AO2644" s="128">
        <v>365</v>
      </c>
      <c r="AP2644" s="129" t="s">
        <v>121</v>
      </c>
      <c r="AR2644" s="128" t="s">
        <v>44</v>
      </c>
      <c r="AS2644" s="129" t="s">
        <v>122</v>
      </c>
      <c r="BC2644" s="129" t="s">
        <v>38</v>
      </c>
      <c r="BF2644" s="111">
        <f>IF(J2644&gt;1/1/1900,((J2644+1)-I2644),"STILL OPEN")</f>
        <v>49</v>
      </c>
      <c r="BG2644" s="111">
        <f>IF(G2644&gt;1/1/1900,((G2644+1)-I2644),"STILL OPEN")</f>
        <v>49</v>
      </c>
      <c r="BH2644" s="111">
        <f t="shared" si="1919"/>
        <v>49</v>
      </c>
      <c r="BI2644" s="111">
        <f t="shared" si="1921"/>
        <v>23.456284153005466</v>
      </c>
      <c r="BJ2644" s="129">
        <f>G2644-J2644-M2644</f>
        <v>0</v>
      </c>
      <c r="BK2644" s="129">
        <f t="shared" si="1920"/>
        <v>0</v>
      </c>
      <c r="BL2644" s="129" t="str">
        <f t="shared" si="1917"/>
        <v>CONVICTION</v>
      </c>
      <c r="BM2644" s="129" t="str">
        <f>O2644</f>
        <v>NONE</v>
      </c>
      <c r="BN2644" s="129" t="s">
        <v>566</v>
      </c>
      <c r="BP2644" s="137" t="str">
        <f t="shared" si="1925"/>
        <v>CONVICTION</v>
      </c>
      <c r="BQ2644" s="128" t="str">
        <f t="shared" si="1934"/>
        <v>Y</v>
      </c>
      <c r="BR2644" s="129" t="str">
        <f t="shared" si="1935"/>
        <v>DETAINED</v>
      </c>
      <c r="BS2644" s="129" t="str">
        <f t="shared" si="1926"/>
        <v>DISPOSED</v>
      </c>
      <c r="BT2644" s="129" t="str">
        <f t="shared" si="1927"/>
        <v>N</v>
      </c>
      <c r="BU2644" s="109">
        <f t="shared" si="1928"/>
        <v>1</v>
      </c>
      <c r="BV2644" s="109">
        <f t="shared" si="1936"/>
        <v>1</v>
      </c>
      <c r="BW2644" s="109">
        <f t="shared" si="1908"/>
        <v>0</v>
      </c>
      <c r="BX2644" s="111">
        <f t="shared" si="1929"/>
        <v>0</v>
      </c>
      <c r="BY2644" s="129">
        <f t="shared" si="1937"/>
        <v>-49</v>
      </c>
      <c r="BZ2644" s="111">
        <f t="shared" si="1938"/>
        <v>0</v>
      </c>
      <c r="CA2644" s="138">
        <f t="shared" si="1939"/>
        <v>49</v>
      </c>
      <c r="CB2644" s="111" t="e">
        <f>IF(AF2644&gt;1/1/1900,((AF2644+1)-AE2644),"STILL OPEN")</f>
        <v>#VALUE!</v>
      </c>
      <c r="CC2644" s="129">
        <f>G2644-I2644+1</f>
        <v>49</v>
      </c>
      <c r="CD2644" s="129">
        <f>G2644-J2644</f>
        <v>0</v>
      </c>
      <c r="CG2644" s="129" t="str">
        <f t="shared" si="1942"/>
        <v>N</v>
      </c>
      <c r="CI2644" s="129" t="str">
        <f t="shared" si="1943"/>
        <v>31-60 DAYS</v>
      </c>
      <c r="CJ2644" s="137">
        <f t="shared" si="1944"/>
        <v>3</v>
      </c>
      <c r="CK2644" s="129" t="str">
        <f t="shared" si="1945"/>
        <v>Booked</v>
      </c>
    </row>
    <row r="2645" spans="1:89" ht="15" customHeight="1" x14ac:dyDescent="0.25">
      <c r="A2645" s="111">
        <v>456</v>
      </c>
      <c r="B2645" s="128" t="str">
        <f t="shared" si="1931"/>
        <v>N</v>
      </c>
      <c r="C2645" s="128" t="str">
        <f t="shared" si="1932"/>
        <v>N</v>
      </c>
      <c r="D2645" s="117">
        <v>2600640</v>
      </c>
      <c r="E2645" s="135">
        <f t="shared" si="1933"/>
        <v>1</v>
      </c>
      <c r="F2645" s="124">
        <v>40927</v>
      </c>
      <c r="G2645" s="125">
        <v>41038</v>
      </c>
      <c r="H2645" s="117">
        <v>2600640</v>
      </c>
      <c r="I2645" s="124">
        <v>40928</v>
      </c>
      <c r="J2645" s="124">
        <v>40930</v>
      </c>
      <c r="K2645" s="126">
        <v>2000</v>
      </c>
      <c r="L2645" s="127" t="s">
        <v>568</v>
      </c>
      <c r="M2645" s="125">
        <v>40928</v>
      </c>
      <c r="N2645" s="129" t="str">
        <f>IF(M2645&gt;1/1/1,"Y","N")</f>
        <v>Y</v>
      </c>
      <c r="O2645" s="128" t="s">
        <v>76</v>
      </c>
      <c r="P2645" s="129" t="s">
        <v>55</v>
      </c>
      <c r="Q2645" s="111">
        <f t="shared" si="1916"/>
        <v>3</v>
      </c>
      <c r="R2645" s="111">
        <f t="shared" si="1918"/>
        <v>112</v>
      </c>
      <c r="S2645" s="129">
        <v>0</v>
      </c>
      <c r="T2645" s="129">
        <v>0</v>
      </c>
      <c r="W2645" s="111"/>
      <c r="AC2645" s="130"/>
      <c r="AD2645" s="130">
        <v>30422</v>
      </c>
      <c r="AE2645" s="128" t="s">
        <v>46</v>
      </c>
      <c r="AF2645" s="128" t="s">
        <v>33</v>
      </c>
      <c r="AG2645" s="128" t="s">
        <v>872</v>
      </c>
      <c r="AH2645" s="108" t="s">
        <v>31</v>
      </c>
      <c r="AI2645" s="128" t="s">
        <v>97</v>
      </c>
      <c r="AJ2645" s="129" t="s">
        <v>55</v>
      </c>
      <c r="AK2645" s="129">
        <v>5</v>
      </c>
      <c r="AL2645" s="3" t="s">
        <v>55</v>
      </c>
      <c r="AP2645" s="129" t="s">
        <v>63</v>
      </c>
      <c r="AR2645" s="128" t="s">
        <v>44</v>
      </c>
      <c r="AS2645" s="129" t="s">
        <v>64</v>
      </c>
      <c r="BC2645" s="129" t="s">
        <v>52</v>
      </c>
      <c r="BF2645" s="111">
        <f>IF(J2645&gt;1/1/1900,((J2645+1)-I2645),"STILL OPEN")</f>
        <v>3</v>
      </c>
      <c r="BG2645" s="111">
        <f>IF(G2645&gt;1/1/1900,((G2645+1)-I2645),"STILL OPEN")</f>
        <v>111</v>
      </c>
      <c r="BH2645" s="111">
        <f t="shared" si="1919"/>
        <v>112</v>
      </c>
      <c r="BI2645" s="111">
        <f t="shared" si="1921"/>
        <v>28.702185792349727</v>
      </c>
      <c r="BJ2645" s="129">
        <f>(G2645-J2645)+(M2645-G2645)</f>
        <v>-2</v>
      </c>
      <c r="BK2645" s="129">
        <f t="shared" si="1920"/>
        <v>-108</v>
      </c>
      <c r="BL2645" s="129" t="str">
        <f t="shared" si="1917"/>
        <v>NO CONVICTION</v>
      </c>
      <c r="BM2645" s="129" t="s">
        <v>76</v>
      </c>
      <c r="BN2645" s="129" t="s">
        <v>88</v>
      </c>
      <c r="BP2645" s="137" t="str">
        <f t="shared" si="1925"/>
        <v>NO CONVICTION</v>
      </c>
      <c r="BQ2645" s="128" t="str">
        <f t="shared" si="1934"/>
        <v>Y</v>
      </c>
      <c r="BR2645" s="129" t="str">
        <f t="shared" si="1935"/>
        <v>ON BOND</v>
      </c>
      <c r="BS2645" s="129" t="str">
        <f t="shared" si="1926"/>
        <v>DISPOSED</v>
      </c>
      <c r="BT2645" s="129" t="str">
        <f t="shared" si="1927"/>
        <v>N</v>
      </c>
      <c r="BU2645" s="109">
        <f>IFERROR(Q2645/R2645,BR2645)</f>
        <v>2.6785714285714284E-2</v>
      </c>
      <c r="BV2645" s="109">
        <f t="shared" si="1936"/>
        <v>2.7027027027027029E-2</v>
      </c>
      <c r="BW2645" s="109">
        <f t="shared" si="1908"/>
        <v>2.413127413127443E-4</v>
      </c>
      <c r="BX2645" s="111">
        <f t="shared" si="1929"/>
        <v>0</v>
      </c>
      <c r="BY2645" s="129">
        <f t="shared" si="1937"/>
        <v>-3</v>
      </c>
      <c r="BZ2645" s="111">
        <f t="shared" si="1938"/>
        <v>0</v>
      </c>
      <c r="CA2645" s="138">
        <f t="shared" si="1939"/>
        <v>1</v>
      </c>
      <c r="CB2645" s="111" t="e">
        <f>IF(AF2645&gt;1/1/1900,((AF2645+1)-AE2645),"STILL OPEN")</f>
        <v>#VALUE!</v>
      </c>
      <c r="CC2645" s="129">
        <f>M2645-I2645+1</f>
        <v>1</v>
      </c>
      <c r="CD2645" s="111">
        <f>CC2645-BF2645</f>
        <v>-2</v>
      </c>
      <c r="CG2645" s="129" t="str">
        <f t="shared" si="1942"/>
        <v>N</v>
      </c>
      <c r="CI2645" s="129" t="str">
        <f t="shared" si="1943"/>
        <v>0-10 DAYS</v>
      </c>
      <c r="CJ2645" s="137">
        <f t="shared" si="1944"/>
        <v>1</v>
      </c>
      <c r="CK2645" s="129" t="str">
        <f t="shared" si="1945"/>
        <v>Booked</v>
      </c>
    </row>
    <row r="2646" spans="1:89" ht="15" customHeight="1" x14ac:dyDescent="0.25">
      <c r="A2646" s="111">
        <v>457</v>
      </c>
      <c r="B2646" s="128" t="str">
        <f t="shared" si="1931"/>
        <v>N</v>
      </c>
      <c r="C2646" s="128" t="str">
        <f t="shared" si="1932"/>
        <v>N</v>
      </c>
      <c r="D2646" s="117">
        <v>2600641</v>
      </c>
      <c r="E2646" s="135">
        <f t="shared" si="1933"/>
        <v>2</v>
      </c>
      <c r="F2646" s="124">
        <v>40927</v>
      </c>
      <c r="G2646" s="125">
        <v>41038</v>
      </c>
      <c r="H2646" s="117">
        <v>2600641</v>
      </c>
      <c r="I2646" s="124" t="s">
        <v>562</v>
      </c>
      <c r="J2646" s="124" t="s">
        <v>562</v>
      </c>
      <c r="K2646" s="126">
        <v>2000</v>
      </c>
      <c r="L2646" s="127" t="s">
        <v>568</v>
      </c>
      <c r="M2646" s="125">
        <v>40932</v>
      </c>
      <c r="N2646" s="129" t="str">
        <f>IF(M2646&gt;1/1/1,"Y",IF(Q2646="0","","N"))</f>
        <v>Y</v>
      </c>
      <c r="O2646" s="128" t="s">
        <v>76</v>
      </c>
      <c r="P2646" s="129" t="s">
        <v>589</v>
      </c>
      <c r="Q2646" s="111">
        <f t="shared" ref="Q2646:Q2674" si="1946">BF2646</f>
        <v>0</v>
      </c>
      <c r="R2646" s="111">
        <f t="shared" si="1918"/>
        <v>112</v>
      </c>
      <c r="S2646" s="129">
        <v>0</v>
      </c>
      <c r="T2646" s="129">
        <v>0</v>
      </c>
      <c r="W2646" s="111"/>
      <c r="AC2646" s="130"/>
      <c r="AD2646" s="130">
        <v>27800</v>
      </c>
      <c r="AE2646" s="128" t="s">
        <v>32</v>
      </c>
      <c r="AF2646" s="128" t="s">
        <v>69</v>
      </c>
      <c r="AG2646" s="128" t="s">
        <v>874</v>
      </c>
      <c r="AH2646" s="108" t="s">
        <v>31</v>
      </c>
      <c r="AI2646" s="128" t="s">
        <v>65</v>
      </c>
      <c r="AJ2646" s="129" t="s">
        <v>48</v>
      </c>
      <c r="AK2646" s="129">
        <v>7</v>
      </c>
      <c r="AL2646" s="3" t="s">
        <v>48</v>
      </c>
      <c r="AP2646" s="129" t="s">
        <v>108</v>
      </c>
      <c r="AR2646" s="128" t="s">
        <v>44</v>
      </c>
      <c r="AS2646" s="129" t="s">
        <v>61</v>
      </c>
      <c r="BC2646" s="129" t="s">
        <v>52</v>
      </c>
      <c r="BF2646" s="111">
        <v>0</v>
      </c>
      <c r="BG2646" s="111">
        <v>0</v>
      </c>
      <c r="BH2646" s="111">
        <f t="shared" si="1919"/>
        <v>112</v>
      </c>
      <c r="BI2646" s="111">
        <f t="shared" si="1921"/>
        <v>35.866120218579233</v>
      </c>
      <c r="BJ2646" s="129" t="e">
        <f>(G2646-J2646)+(M2646-G2646)</f>
        <v>#VALUE!</v>
      </c>
      <c r="BK2646" s="129" t="e">
        <f t="shared" si="1920"/>
        <v>#VALUE!</v>
      </c>
      <c r="BL2646" s="129" t="str">
        <f t="shared" si="1917"/>
        <v>DEFERRED</v>
      </c>
      <c r="BM2646" s="129" t="s">
        <v>76</v>
      </c>
      <c r="BN2646" s="129" t="s">
        <v>88</v>
      </c>
      <c r="BP2646" s="137" t="str">
        <f t="shared" si="1925"/>
        <v>DEFERRED</v>
      </c>
      <c r="BQ2646" s="128">
        <f t="shared" si="1934"/>
        <v>0</v>
      </c>
      <c r="BR2646" s="129" t="s">
        <v>575</v>
      </c>
      <c r="BS2646" s="129" t="str">
        <f t="shared" si="1926"/>
        <v>DISPOSED</v>
      </c>
      <c r="BT2646" s="129" t="str">
        <f t="shared" si="1927"/>
        <v>N</v>
      </c>
      <c r="BU2646" s="109">
        <f t="shared" si="1928"/>
        <v>0</v>
      </c>
      <c r="BV2646" s="109">
        <v>0</v>
      </c>
      <c r="BW2646" s="109">
        <f t="shared" si="1908"/>
        <v>0</v>
      </c>
      <c r="BX2646" s="111">
        <f t="shared" si="1929"/>
        <v>0</v>
      </c>
      <c r="BY2646" s="129" t="e">
        <f t="shared" si="1937"/>
        <v>#VALUE!</v>
      </c>
      <c r="BZ2646" s="111" t="e">
        <f t="shared" si="1938"/>
        <v>#VALUE!</v>
      </c>
      <c r="CA2646" s="138" t="e">
        <f t="shared" si="1939"/>
        <v>#VALUE!</v>
      </c>
      <c r="CB2646" s="111">
        <v>0</v>
      </c>
      <c r="CC2646" s="129">
        <v>0</v>
      </c>
      <c r="CD2646" s="111">
        <f>CC2646-BF2646</f>
        <v>0</v>
      </c>
      <c r="CG2646" s="129" t="str">
        <f t="shared" si="1942"/>
        <v>N</v>
      </c>
      <c r="CI2646" s="129" t="str">
        <f t="shared" si="1943"/>
        <v>0-10 DAYS</v>
      </c>
      <c r="CJ2646" s="137">
        <f t="shared" si="1944"/>
        <v>1</v>
      </c>
      <c r="CK2646" s="129" t="str">
        <f t="shared" si="1945"/>
        <v>Not Booked</v>
      </c>
    </row>
    <row r="2647" spans="1:89" ht="15.75" customHeight="1" x14ac:dyDescent="0.25">
      <c r="A2647" s="111">
        <v>458</v>
      </c>
      <c r="B2647" s="128" t="str">
        <f t="shared" si="1931"/>
        <v>N</v>
      </c>
      <c r="C2647" s="128" t="str">
        <f t="shared" si="1932"/>
        <v>N</v>
      </c>
      <c r="D2647" s="117">
        <v>2600642</v>
      </c>
      <c r="E2647" s="135">
        <f t="shared" si="1933"/>
        <v>1</v>
      </c>
      <c r="F2647" s="124">
        <v>40927</v>
      </c>
      <c r="G2647" s="125">
        <v>41149</v>
      </c>
      <c r="H2647" s="117">
        <v>2600642</v>
      </c>
      <c r="I2647" s="124" t="s">
        <v>562</v>
      </c>
      <c r="J2647" s="124" t="s">
        <v>562</v>
      </c>
      <c r="K2647" s="126">
        <v>2000</v>
      </c>
      <c r="L2647" s="127" t="s">
        <v>568</v>
      </c>
      <c r="M2647" s="125">
        <v>40932</v>
      </c>
      <c r="N2647" s="129" t="str">
        <f>IF(M2647&gt;1/1/1,"Y",IF(Q2647="0","","N"))</f>
        <v>Y</v>
      </c>
      <c r="O2647" s="128" t="s">
        <v>585</v>
      </c>
      <c r="P2647" s="129" t="s">
        <v>55</v>
      </c>
      <c r="Q2647" s="111">
        <f t="shared" si="1946"/>
        <v>0</v>
      </c>
      <c r="R2647" s="111">
        <f t="shared" si="1918"/>
        <v>223</v>
      </c>
      <c r="S2647" s="129">
        <v>0</v>
      </c>
      <c r="T2647" s="129">
        <v>0</v>
      </c>
      <c r="W2647" s="111"/>
      <c r="AC2647" s="130"/>
      <c r="AD2647" s="130">
        <v>30897</v>
      </c>
      <c r="AE2647" s="128" t="s">
        <v>46</v>
      </c>
      <c r="AF2647" s="128" t="s">
        <v>69</v>
      </c>
      <c r="AG2647" s="128" t="s">
        <v>874</v>
      </c>
      <c r="AH2647" s="108" t="s">
        <v>31</v>
      </c>
      <c r="AI2647" s="128" t="s">
        <v>70</v>
      </c>
      <c r="AJ2647" s="129" t="s">
        <v>55</v>
      </c>
      <c r="AK2647" s="129">
        <v>10</v>
      </c>
      <c r="AL2647" s="3" t="s">
        <v>55</v>
      </c>
      <c r="AP2647" s="129" t="s">
        <v>108</v>
      </c>
      <c r="AR2647" s="128" t="s">
        <v>44</v>
      </c>
      <c r="AS2647" s="129" t="s">
        <v>61</v>
      </c>
      <c r="BC2647" s="129" t="s">
        <v>52</v>
      </c>
      <c r="BF2647" s="111">
        <v>0</v>
      </c>
      <c r="BG2647" s="111">
        <v>0</v>
      </c>
      <c r="BH2647" s="111">
        <f t="shared" si="1919"/>
        <v>223</v>
      </c>
      <c r="BI2647" s="111">
        <f t="shared" si="1921"/>
        <v>27.404371584699454</v>
      </c>
      <c r="BJ2647" s="129" t="e">
        <f>(G2647-J2647)+(M2647-G2647)</f>
        <v>#VALUE!</v>
      </c>
      <c r="BK2647" s="129" t="e">
        <f t="shared" si="1920"/>
        <v>#VALUE!</v>
      </c>
      <c r="BL2647" s="129" t="str">
        <f t="shared" si="1917"/>
        <v>NO CONVICTION</v>
      </c>
      <c r="BM2647" s="129" t="s">
        <v>76</v>
      </c>
      <c r="BN2647" s="129" t="s">
        <v>88</v>
      </c>
      <c r="BP2647" s="137" t="str">
        <f t="shared" si="1925"/>
        <v>NO CONVICTION</v>
      </c>
      <c r="BQ2647" s="128">
        <f t="shared" si="1934"/>
        <v>0</v>
      </c>
      <c r="BR2647" s="129" t="s">
        <v>575</v>
      </c>
      <c r="BS2647" s="129" t="str">
        <f t="shared" si="1926"/>
        <v>DISPOSED</v>
      </c>
      <c r="BT2647" s="129" t="str">
        <f t="shared" si="1927"/>
        <v>N</v>
      </c>
      <c r="BU2647" s="109">
        <f>IFERROR(Q2647/R2647,BR2647)</f>
        <v>0</v>
      </c>
      <c r="BV2647" s="109">
        <v>0</v>
      </c>
      <c r="BW2647" s="109">
        <f t="shared" si="1908"/>
        <v>0</v>
      </c>
      <c r="BX2647" s="111">
        <f t="shared" si="1929"/>
        <v>0</v>
      </c>
      <c r="BY2647" s="129" t="e">
        <f t="shared" si="1937"/>
        <v>#VALUE!</v>
      </c>
      <c r="BZ2647" s="111" t="e">
        <f t="shared" si="1938"/>
        <v>#VALUE!</v>
      </c>
      <c r="CA2647" s="138" t="e">
        <f t="shared" si="1939"/>
        <v>#VALUE!</v>
      </c>
      <c r="CB2647" s="111">
        <v>0</v>
      </c>
      <c r="CC2647" s="129">
        <v>0</v>
      </c>
      <c r="CD2647" s="111">
        <f>CC2647-BF2647</f>
        <v>0</v>
      </c>
      <c r="CG2647" s="129" t="str">
        <f t="shared" si="1942"/>
        <v>N</v>
      </c>
      <c r="CI2647" s="129" t="str">
        <f t="shared" si="1943"/>
        <v>0-10 DAYS</v>
      </c>
      <c r="CJ2647" s="137">
        <f t="shared" si="1944"/>
        <v>1</v>
      </c>
      <c r="CK2647" s="129" t="str">
        <f t="shared" si="1945"/>
        <v>Not Booked</v>
      </c>
    </row>
    <row r="2648" spans="1:89" ht="15.75" customHeight="1" x14ac:dyDescent="0.25">
      <c r="A2648" s="111">
        <v>460</v>
      </c>
      <c r="B2648" s="128" t="str">
        <f t="shared" si="1931"/>
        <v>N</v>
      </c>
      <c r="C2648" s="128" t="str">
        <f t="shared" si="1932"/>
        <v>N</v>
      </c>
      <c r="D2648" s="117">
        <v>2600646</v>
      </c>
      <c r="E2648" s="135">
        <f t="shared" si="1933"/>
        <v>2</v>
      </c>
      <c r="F2648" s="124">
        <v>40927</v>
      </c>
      <c r="G2648" s="125">
        <v>41039</v>
      </c>
      <c r="H2648" s="117">
        <v>2600646</v>
      </c>
      <c r="I2648" s="124" t="s">
        <v>562</v>
      </c>
      <c r="J2648" s="124" t="s">
        <v>562</v>
      </c>
      <c r="K2648" s="126">
        <v>2000</v>
      </c>
      <c r="L2648" s="127" t="s">
        <v>568</v>
      </c>
      <c r="M2648" s="125">
        <v>40928</v>
      </c>
      <c r="N2648" s="129" t="str">
        <f>IF(M2648&gt;1/1/1,"Y",IF(Q2648="0","","N"))</f>
        <v>Y</v>
      </c>
      <c r="O2648" s="128" t="s">
        <v>76</v>
      </c>
      <c r="P2648" s="129" t="s">
        <v>589</v>
      </c>
      <c r="Q2648" s="111">
        <f t="shared" si="1946"/>
        <v>0</v>
      </c>
      <c r="R2648" s="111">
        <f t="shared" si="1918"/>
        <v>113</v>
      </c>
      <c r="S2648" s="129">
        <v>0</v>
      </c>
      <c r="T2648" s="129">
        <v>0</v>
      </c>
      <c r="W2648" s="111"/>
      <c r="AC2648" s="130"/>
      <c r="AD2648" s="130">
        <v>20475</v>
      </c>
      <c r="AE2648" s="128" t="s">
        <v>46</v>
      </c>
      <c r="AF2648" s="128" t="s">
        <v>69</v>
      </c>
      <c r="AG2648" s="128" t="s">
        <v>874</v>
      </c>
      <c r="AH2648" s="108" t="s">
        <v>31</v>
      </c>
      <c r="AI2648" s="128" t="s">
        <v>113</v>
      </c>
      <c r="AJ2648" s="129" t="s">
        <v>48</v>
      </c>
      <c r="AK2648" s="129">
        <v>6</v>
      </c>
      <c r="AL2648" s="3" t="s">
        <v>48</v>
      </c>
      <c r="AP2648" s="129" t="s">
        <v>43</v>
      </c>
      <c r="AR2648" s="128" t="s">
        <v>44</v>
      </c>
      <c r="AS2648" s="129" t="s">
        <v>45</v>
      </c>
      <c r="BC2648" s="129" t="s">
        <v>52</v>
      </c>
      <c r="BF2648" s="111">
        <v>0</v>
      </c>
      <c r="BG2648" s="111">
        <v>0</v>
      </c>
      <c r="BH2648" s="111">
        <f t="shared" si="1919"/>
        <v>113</v>
      </c>
      <c r="BI2648" s="111">
        <f t="shared" si="1921"/>
        <v>55.879781420765028</v>
      </c>
      <c r="BJ2648" s="129" t="e">
        <f>(G2648-J2648)+(M2648-G2648)</f>
        <v>#VALUE!</v>
      </c>
      <c r="BK2648" s="129" t="e">
        <f t="shared" si="1920"/>
        <v>#VALUE!</v>
      </c>
      <c r="BL2648" s="129" t="str">
        <f t="shared" si="1917"/>
        <v>DEFERRED</v>
      </c>
      <c r="BM2648" s="129" t="s">
        <v>76</v>
      </c>
      <c r="BN2648" s="129" t="s">
        <v>88</v>
      </c>
      <c r="BP2648" s="137" t="str">
        <f t="shared" si="1925"/>
        <v>DEFERRED</v>
      </c>
      <c r="BQ2648" s="128">
        <f t="shared" si="1934"/>
        <v>0</v>
      </c>
      <c r="BR2648" s="129" t="s">
        <v>575</v>
      </c>
      <c r="BS2648" s="129" t="str">
        <f t="shared" si="1926"/>
        <v>DISPOSED</v>
      </c>
      <c r="BT2648" s="129" t="str">
        <f t="shared" si="1927"/>
        <v>N</v>
      </c>
      <c r="BU2648" s="109">
        <f t="shared" si="1928"/>
        <v>0</v>
      </c>
      <c r="BV2648" s="109">
        <v>0</v>
      </c>
      <c r="BW2648" s="109">
        <f t="shared" si="1908"/>
        <v>0</v>
      </c>
      <c r="BX2648" s="111">
        <f t="shared" si="1929"/>
        <v>0</v>
      </c>
      <c r="BY2648" s="129" t="e">
        <f t="shared" si="1937"/>
        <v>#VALUE!</v>
      </c>
      <c r="BZ2648" s="111" t="e">
        <f t="shared" si="1938"/>
        <v>#VALUE!</v>
      </c>
      <c r="CA2648" s="138" t="e">
        <f t="shared" si="1939"/>
        <v>#VALUE!</v>
      </c>
      <c r="CB2648" s="111">
        <v>0</v>
      </c>
      <c r="CC2648" s="129">
        <v>0</v>
      </c>
      <c r="CD2648" s="111">
        <f>CC2648-BF2648</f>
        <v>0</v>
      </c>
      <c r="CG2648" s="129" t="str">
        <f t="shared" si="1942"/>
        <v>N</v>
      </c>
      <c r="CI2648" s="129" t="str">
        <f t="shared" si="1943"/>
        <v>0-10 DAYS</v>
      </c>
      <c r="CJ2648" s="137">
        <f t="shared" si="1944"/>
        <v>1</v>
      </c>
      <c r="CK2648" s="129" t="str">
        <f t="shared" si="1945"/>
        <v>Not Booked</v>
      </c>
    </row>
    <row r="2649" spans="1:89" ht="15" customHeight="1" x14ac:dyDescent="0.25">
      <c r="A2649" s="111">
        <v>467</v>
      </c>
      <c r="B2649" s="128" t="str">
        <f t="shared" si="1931"/>
        <v>N</v>
      </c>
      <c r="C2649" s="128" t="str">
        <f t="shared" si="1932"/>
        <v>N</v>
      </c>
      <c r="D2649" s="117">
        <v>2600661</v>
      </c>
      <c r="E2649" s="135">
        <f t="shared" si="1933"/>
        <v>2</v>
      </c>
      <c r="F2649" s="124">
        <v>40927</v>
      </c>
      <c r="G2649" s="125">
        <v>40975</v>
      </c>
      <c r="H2649" s="117">
        <v>2600661</v>
      </c>
      <c r="I2649" s="124">
        <v>40928</v>
      </c>
      <c r="J2649" s="124">
        <v>40975</v>
      </c>
      <c r="K2649" s="126">
        <v>5000</v>
      </c>
      <c r="L2649" s="127" t="s">
        <v>569</v>
      </c>
      <c r="N2649" s="129" t="str">
        <f>IF(M2649&gt;1/1/1,"Y","N")</f>
        <v>N</v>
      </c>
      <c r="O2649" s="128" t="s">
        <v>917</v>
      </c>
      <c r="P2649" s="129" t="s">
        <v>589</v>
      </c>
      <c r="Q2649" s="111">
        <f t="shared" si="1946"/>
        <v>48</v>
      </c>
      <c r="R2649" s="111">
        <f t="shared" si="1918"/>
        <v>49</v>
      </c>
      <c r="S2649" s="129">
        <v>0</v>
      </c>
      <c r="T2649" s="129">
        <v>0</v>
      </c>
      <c r="W2649" s="111"/>
      <c r="AC2649" s="130"/>
      <c r="AD2649" s="130">
        <v>34627</v>
      </c>
      <c r="AE2649" s="128" t="s">
        <v>32</v>
      </c>
      <c r="AF2649" s="128" t="s">
        <v>69</v>
      </c>
      <c r="AG2649" s="128" t="s">
        <v>874</v>
      </c>
      <c r="AH2649" s="108" t="s">
        <v>31</v>
      </c>
      <c r="AI2649" s="128" t="s">
        <v>34</v>
      </c>
      <c r="AJ2649" s="129" t="s">
        <v>48</v>
      </c>
      <c r="AK2649" s="129">
        <v>3</v>
      </c>
      <c r="AL2649" s="3" t="s">
        <v>48</v>
      </c>
      <c r="AP2649" s="129" t="s">
        <v>56</v>
      </c>
      <c r="AR2649" s="128" t="s">
        <v>50</v>
      </c>
      <c r="AS2649" s="129" t="s">
        <v>57</v>
      </c>
      <c r="AT2649" s="129" t="s">
        <v>604</v>
      </c>
      <c r="BC2649" s="129" t="s">
        <v>38</v>
      </c>
      <c r="BF2649" s="111">
        <f>IF(J2649&gt;1/1/1900,((J2649+1)-I2649),"STILL OPEN")</f>
        <v>48</v>
      </c>
      <c r="BG2649" s="111">
        <f>IF(G2649&gt;1/1/1900,((G2649+1)-I2649),"STILL OPEN")</f>
        <v>48</v>
      </c>
      <c r="BH2649" s="111">
        <f t="shared" si="1919"/>
        <v>49</v>
      </c>
      <c r="BI2649" s="111">
        <f t="shared" si="1921"/>
        <v>17.21311475409836</v>
      </c>
      <c r="BJ2649" s="129">
        <f>G2649-J2649-M2649</f>
        <v>0</v>
      </c>
      <c r="BK2649" s="129">
        <f t="shared" si="1920"/>
        <v>0</v>
      </c>
      <c r="BL2649" s="129" t="str">
        <f t="shared" si="1917"/>
        <v>DEFERRED</v>
      </c>
      <c r="BM2649" s="129" t="str">
        <f>O2649</f>
        <v>NONE</v>
      </c>
      <c r="BN2649" s="129" t="s">
        <v>566</v>
      </c>
      <c r="BP2649" s="137" t="str">
        <f t="shared" si="1925"/>
        <v>DEFERRED</v>
      </c>
      <c r="BQ2649" s="128" t="str">
        <f t="shared" si="1934"/>
        <v>Y</v>
      </c>
      <c r="BR2649" s="129" t="str">
        <f t="shared" si="1935"/>
        <v>DETAINED</v>
      </c>
      <c r="BS2649" s="129" t="str">
        <f t="shared" si="1926"/>
        <v>DISPOSED</v>
      </c>
      <c r="BT2649" s="129" t="str">
        <f t="shared" si="1927"/>
        <v>N</v>
      </c>
      <c r="BU2649" s="109">
        <f t="shared" si="1928"/>
        <v>0.97959183673469385</v>
      </c>
      <c r="BV2649" s="109">
        <f t="shared" si="1936"/>
        <v>1</v>
      </c>
      <c r="BW2649" s="109">
        <f t="shared" si="1908"/>
        <v>2.0408163265306145E-2</v>
      </c>
      <c r="BX2649" s="111">
        <f t="shared" si="1929"/>
        <v>0</v>
      </c>
      <c r="BY2649" s="129">
        <f t="shared" si="1937"/>
        <v>-48</v>
      </c>
      <c r="BZ2649" s="111">
        <f t="shared" si="1938"/>
        <v>0</v>
      </c>
      <c r="CA2649" s="138">
        <f t="shared" si="1939"/>
        <v>48</v>
      </c>
      <c r="CB2649" s="111" t="e">
        <f>IF(AF2649&gt;1/1/1900,((AF2649+1)-AE2649),"STILL OPEN")</f>
        <v>#VALUE!</v>
      </c>
      <c r="CC2649" s="129">
        <f>G2649-I2649+1</f>
        <v>48</v>
      </c>
      <c r="CD2649" s="129">
        <f>G2649-J2649</f>
        <v>0</v>
      </c>
      <c r="CG2649" s="129" t="str">
        <f t="shared" si="1942"/>
        <v>N</v>
      </c>
      <c r="CI2649" s="129" t="str">
        <f t="shared" si="1943"/>
        <v>31-60 DAYS</v>
      </c>
      <c r="CJ2649" s="137">
        <f t="shared" si="1944"/>
        <v>3</v>
      </c>
      <c r="CK2649" s="129" t="str">
        <f t="shared" si="1945"/>
        <v>Booked</v>
      </c>
    </row>
    <row r="2650" spans="1:89" ht="15.75" customHeight="1" x14ac:dyDescent="0.25">
      <c r="A2650" s="111">
        <v>2327</v>
      </c>
      <c r="B2650" s="128" t="str">
        <f t="shared" si="1931"/>
        <v>N</v>
      </c>
      <c r="C2650" s="128" t="str">
        <f t="shared" si="1932"/>
        <v>N</v>
      </c>
      <c r="D2650" s="117">
        <v>2600664</v>
      </c>
      <c r="E2650" s="135">
        <f t="shared" si="1933"/>
        <v>1</v>
      </c>
      <c r="F2650" s="124">
        <v>40997</v>
      </c>
      <c r="G2650" s="125">
        <v>41103</v>
      </c>
      <c r="H2650" s="117">
        <v>2600664</v>
      </c>
      <c r="I2650" s="124">
        <v>40997</v>
      </c>
      <c r="J2650" s="124">
        <v>41103</v>
      </c>
      <c r="K2650" s="126">
        <v>20000</v>
      </c>
      <c r="L2650" s="127" t="s">
        <v>571</v>
      </c>
      <c r="N2650" s="129" t="str">
        <f>IF(M2650&gt;1/1/1,"Y","N")</f>
        <v>N</v>
      </c>
      <c r="O2650" s="128" t="s">
        <v>917</v>
      </c>
      <c r="P2650" s="129" t="s">
        <v>55</v>
      </c>
      <c r="Q2650" s="111">
        <f t="shared" si="1946"/>
        <v>107</v>
      </c>
      <c r="R2650" s="111">
        <f t="shared" si="1918"/>
        <v>107</v>
      </c>
      <c r="S2650" s="129">
        <v>0</v>
      </c>
      <c r="T2650" s="129">
        <v>1</v>
      </c>
      <c r="W2650" s="111"/>
      <c r="AC2650" s="130"/>
      <c r="AD2650" s="130">
        <v>34211</v>
      </c>
      <c r="AE2650" s="128" t="s">
        <v>32</v>
      </c>
      <c r="AF2650" s="128" t="s">
        <v>33</v>
      </c>
      <c r="AG2650" s="128" t="s">
        <v>872</v>
      </c>
      <c r="AH2650" s="108" t="s">
        <v>31</v>
      </c>
      <c r="AI2650" s="128" t="s">
        <v>72</v>
      </c>
      <c r="AJ2650" s="129" t="s">
        <v>55</v>
      </c>
      <c r="AK2650" s="129">
        <v>5</v>
      </c>
      <c r="AL2650" s="3" t="s">
        <v>55</v>
      </c>
      <c r="AP2650" s="129" t="s">
        <v>49</v>
      </c>
      <c r="AR2650" s="128" t="s">
        <v>50</v>
      </c>
      <c r="AS2650" s="129" t="s">
        <v>45</v>
      </c>
      <c r="BC2650" s="129" t="s">
        <v>38</v>
      </c>
      <c r="BF2650" s="111">
        <f>IF(J2650&gt;1/1/1900,((J2650+1)-I2650),"STILL OPEN")</f>
        <v>107</v>
      </c>
      <c r="BG2650" s="111">
        <f>IF(G2650&gt;1/1/1900,((G2650+1)-I2650),"STILL OPEN")</f>
        <v>107</v>
      </c>
      <c r="BH2650" s="111">
        <f t="shared" si="1919"/>
        <v>107</v>
      </c>
      <c r="BI2650" s="111">
        <f t="shared" si="1921"/>
        <v>18.540983606557376</v>
      </c>
      <c r="BJ2650" s="129">
        <f>G2650-J2650-M2650</f>
        <v>0</v>
      </c>
      <c r="BK2650" s="129">
        <f t="shared" si="1920"/>
        <v>0</v>
      </c>
      <c r="BL2650" s="129" t="str">
        <f t="shared" si="1917"/>
        <v>NO CONVICTION</v>
      </c>
      <c r="BM2650" s="129" t="str">
        <f>O2650</f>
        <v>NONE</v>
      </c>
      <c r="BN2650" s="129" t="s">
        <v>566</v>
      </c>
      <c r="BP2650" s="137" t="str">
        <f t="shared" si="1925"/>
        <v>NO CONVICTION</v>
      </c>
      <c r="BQ2650" s="128" t="str">
        <f t="shared" si="1934"/>
        <v>Y</v>
      </c>
      <c r="BR2650" s="129" t="str">
        <f t="shared" si="1935"/>
        <v>DETAINED</v>
      </c>
      <c r="BS2650" s="129" t="str">
        <f t="shared" si="1926"/>
        <v>DISPOSED</v>
      </c>
      <c r="BT2650" s="129" t="str">
        <f t="shared" si="1927"/>
        <v>N</v>
      </c>
      <c r="BU2650" s="109">
        <f>IFERROR(Q2650/R2650,BR2650)</f>
        <v>1</v>
      </c>
      <c r="BV2650" s="109">
        <f t="shared" si="1936"/>
        <v>1</v>
      </c>
      <c r="BW2650" s="109">
        <f t="shared" si="1908"/>
        <v>0</v>
      </c>
      <c r="BX2650" s="111">
        <f t="shared" si="1929"/>
        <v>0</v>
      </c>
      <c r="BY2650" s="129">
        <f t="shared" si="1937"/>
        <v>-107</v>
      </c>
      <c r="BZ2650" s="111">
        <f t="shared" si="1938"/>
        <v>0</v>
      </c>
      <c r="CA2650" s="138">
        <f t="shared" si="1939"/>
        <v>107</v>
      </c>
      <c r="CB2650" s="111" t="e">
        <f>IF(AF2650&gt;1/1/1900,((AF2650+1)-AE2650),"STILL OPEN")</f>
        <v>#VALUE!</v>
      </c>
      <c r="CC2650" s="129">
        <f>G2650-I2650+1</f>
        <v>107</v>
      </c>
      <c r="CD2650" s="129">
        <f>G2650-J2650</f>
        <v>0</v>
      </c>
      <c r="CG2650" s="129" t="str">
        <f t="shared" si="1942"/>
        <v>Y</v>
      </c>
      <c r="CI2650" s="129" t="str">
        <f t="shared" si="1943"/>
        <v>91-120 DAYS</v>
      </c>
      <c r="CJ2650" s="137">
        <f t="shared" si="1944"/>
        <v>0</v>
      </c>
      <c r="CK2650" s="129" t="str">
        <f t="shared" si="1945"/>
        <v>Booked</v>
      </c>
    </row>
    <row r="2651" spans="1:89" ht="15.75" customHeight="1" x14ac:dyDescent="0.25">
      <c r="A2651" s="111">
        <v>480</v>
      </c>
      <c r="B2651" s="128" t="str">
        <f t="shared" si="1931"/>
        <v>N</v>
      </c>
      <c r="C2651" s="128" t="str">
        <f t="shared" si="1932"/>
        <v>N</v>
      </c>
      <c r="D2651" s="117">
        <v>2600729</v>
      </c>
      <c r="E2651" s="135">
        <f t="shared" si="1933"/>
        <v>2</v>
      </c>
      <c r="F2651" s="124">
        <v>40928</v>
      </c>
      <c r="G2651" s="125">
        <v>40974</v>
      </c>
      <c r="H2651" s="117">
        <v>2600729</v>
      </c>
      <c r="I2651" s="124">
        <v>40928</v>
      </c>
      <c r="J2651" s="124">
        <v>40929</v>
      </c>
      <c r="K2651" s="126">
        <v>10000</v>
      </c>
      <c r="L2651" s="127" t="s">
        <v>570</v>
      </c>
      <c r="M2651" s="125">
        <v>40929</v>
      </c>
      <c r="N2651" s="129" t="str">
        <f>IF(M2651&gt;1/1/1,"Y","N")</f>
        <v>Y</v>
      </c>
      <c r="O2651" s="128" t="s">
        <v>585</v>
      </c>
      <c r="P2651" s="129" t="s">
        <v>589</v>
      </c>
      <c r="Q2651" s="111">
        <f t="shared" si="1946"/>
        <v>2</v>
      </c>
      <c r="R2651" s="111">
        <f t="shared" si="1918"/>
        <v>47</v>
      </c>
      <c r="S2651" s="129">
        <v>0</v>
      </c>
      <c r="T2651" s="129">
        <v>0</v>
      </c>
      <c r="W2651" s="111"/>
      <c r="AC2651" s="130"/>
      <c r="AD2651" s="130">
        <v>33053</v>
      </c>
      <c r="AE2651" s="128" t="s">
        <v>32</v>
      </c>
      <c r="AF2651" s="128" t="s">
        <v>69</v>
      </c>
      <c r="AG2651" s="128" t="s">
        <v>874</v>
      </c>
      <c r="AH2651" s="108" t="s">
        <v>31</v>
      </c>
      <c r="AI2651" s="128" t="s">
        <v>71</v>
      </c>
      <c r="AJ2651" s="129" t="s">
        <v>48</v>
      </c>
      <c r="AK2651" s="129">
        <v>2</v>
      </c>
      <c r="AL2651" s="3" t="s">
        <v>48</v>
      </c>
      <c r="AP2651" s="129" t="s">
        <v>214</v>
      </c>
      <c r="AR2651" s="128" t="s">
        <v>50</v>
      </c>
      <c r="AS2651" s="129" t="s">
        <v>82</v>
      </c>
      <c r="BC2651" s="129" t="s">
        <v>52</v>
      </c>
      <c r="BF2651" s="111">
        <f>IF(J2651&gt;1/1/1900,((J2651+1)-I2651),"STILL OPEN")</f>
        <v>2</v>
      </c>
      <c r="BG2651" s="111">
        <f>IF(G2651&gt;1/1/1900,((G2651+1)-I2651),"STILL OPEN")</f>
        <v>47</v>
      </c>
      <c r="BH2651" s="111">
        <f t="shared" si="1919"/>
        <v>47</v>
      </c>
      <c r="BI2651" s="111">
        <f t="shared" si="1921"/>
        <v>21.516393442622952</v>
      </c>
      <c r="BJ2651" s="129">
        <f>(G2651-J2651)+(M2651-G2651)</f>
        <v>0</v>
      </c>
      <c r="BK2651" s="129">
        <f t="shared" si="1920"/>
        <v>-45</v>
      </c>
      <c r="BL2651" s="129" t="str">
        <f t="shared" si="1917"/>
        <v>DEFERRED</v>
      </c>
      <c r="BM2651" s="129" t="s">
        <v>76</v>
      </c>
      <c r="BN2651" s="129" t="s">
        <v>88</v>
      </c>
      <c r="BP2651" s="137" t="str">
        <f t="shared" si="1925"/>
        <v>DEFERRED</v>
      </c>
      <c r="BQ2651" s="128" t="str">
        <f t="shared" si="1934"/>
        <v>Y</v>
      </c>
      <c r="BR2651" s="129" t="str">
        <f t="shared" si="1935"/>
        <v>ON BOND</v>
      </c>
      <c r="BS2651" s="129" t="str">
        <f t="shared" si="1926"/>
        <v>DISPOSED</v>
      </c>
      <c r="BT2651" s="129" t="str">
        <f t="shared" si="1927"/>
        <v>N</v>
      </c>
      <c r="BU2651" s="109">
        <f t="shared" si="1928"/>
        <v>4.2553191489361701E-2</v>
      </c>
      <c r="BV2651" s="109">
        <f t="shared" si="1936"/>
        <v>4.2553191489361701E-2</v>
      </c>
      <c r="BW2651" s="109">
        <f t="shared" si="1908"/>
        <v>0</v>
      </c>
      <c r="BX2651" s="111">
        <f t="shared" si="1929"/>
        <v>0</v>
      </c>
      <c r="BY2651" s="129">
        <f t="shared" si="1937"/>
        <v>-2</v>
      </c>
      <c r="BZ2651" s="111">
        <f t="shared" si="1938"/>
        <v>0</v>
      </c>
      <c r="CA2651" s="138">
        <f t="shared" si="1939"/>
        <v>2</v>
      </c>
      <c r="CB2651" s="111" t="e">
        <f>IF(AF2651&gt;1/1/1900,((AF2651+1)-AE2651),"STILL OPEN")</f>
        <v>#VALUE!</v>
      </c>
      <c r="CC2651" s="129">
        <f>M2651-I2651+1</f>
        <v>2</v>
      </c>
      <c r="CD2651" s="111">
        <f>CC2651-BF2651</f>
        <v>0</v>
      </c>
      <c r="CG2651" s="129" t="str">
        <f t="shared" si="1942"/>
        <v>N</v>
      </c>
      <c r="CI2651" s="129" t="str">
        <f t="shared" si="1943"/>
        <v>0-10 DAYS</v>
      </c>
      <c r="CJ2651" s="137">
        <f t="shared" si="1944"/>
        <v>1</v>
      </c>
      <c r="CK2651" s="129" t="str">
        <f t="shared" si="1945"/>
        <v>Booked</v>
      </c>
    </row>
    <row r="2652" spans="1:89" ht="15" customHeight="1" x14ac:dyDescent="0.25">
      <c r="A2652" s="111">
        <v>481</v>
      </c>
      <c r="B2652" s="128" t="str">
        <f t="shared" si="1931"/>
        <v>N</v>
      </c>
      <c r="C2652" s="128" t="str">
        <f t="shared" si="1932"/>
        <v>N</v>
      </c>
      <c r="D2652" s="117">
        <v>2600738</v>
      </c>
      <c r="E2652" s="135">
        <f t="shared" si="1933"/>
        <v>6</v>
      </c>
      <c r="F2652" s="124">
        <v>40928</v>
      </c>
      <c r="G2652" s="125">
        <v>41103</v>
      </c>
      <c r="H2652" s="117">
        <v>2600738</v>
      </c>
      <c r="I2652" s="124" t="s">
        <v>562</v>
      </c>
      <c r="J2652" s="124" t="s">
        <v>562</v>
      </c>
      <c r="K2652" s="126">
        <v>60000</v>
      </c>
      <c r="L2652" s="129" t="s">
        <v>572</v>
      </c>
      <c r="M2652" s="125">
        <v>40948</v>
      </c>
      <c r="N2652" s="129" t="str">
        <f>IF(M2652&gt;1/1/1,"Y",IF(Q2652="0","","N"))</f>
        <v>Y</v>
      </c>
      <c r="O2652" s="128" t="s">
        <v>76</v>
      </c>
      <c r="P2652" s="129" t="s">
        <v>548</v>
      </c>
      <c r="Q2652" s="111">
        <f t="shared" si="1946"/>
        <v>0</v>
      </c>
      <c r="R2652" s="111">
        <f t="shared" si="1918"/>
        <v>176</v>
      </c>
      <c r="S2652" s="129">
        <v>0</v>
      </c>
      <c r="T2652" s="129">
        <v>0</v>
      </c>
      <c r="W2652" s="111"/>
      <c r="AC2652" s="130"/>
      <c r="AD2652" s="130">
        <v>34108</v>
      </c>
      <c r="AE2652" s="128" t="s">
        <v>32</v>
      </c>
      <c r="AF2652" s="128" t="s">
        <v>33</v>
      </c>
      <c r="AG2652" s="128" t="s">
        <v>872</v>
      </c>
      <c r="AH2652" s="108" t="s">
        <v>31</v>
      </c>
      <c r="AI2652" s="128" t="s">
        <v>90</v>
      </c>
      <c r="AJ2652" s="129" t="s">
        <v>89</v>
      </c>
      <c r="AK2652" s="129">
        <v>14</v>
      </c>
      <c r="AL2652" s="3" t="s">
        <v>362</v>
      </c>
      <c r="AM2652" s="117">
        <v>7</v>
      </c>
      <c r="AP2652" s="129" t="s">
        <v>129</v>
      </c>
      <c r="AR2652" s="128" t="s">
        <v>92</v>
      </c>
      <c r="AS2652" s="129" t="s">
        <v>126</v>
      </c>
      <c r="BC2652" s="129" t="s">
        <v>52</v>
      </c>
      <c r="BF2652" s="111">
        <v>0</v>
      </c>
      <c r="BG2652" s="111">
        <v>0</v>
      </c>
      <c r="BH2652" s="111">
        <f t="shared" si="1919"/>
        <v>176</v>
      </c>
      <c r="BI2652" s="111">
        <f t="shared" si="1921"/>
        <v>18.633879781420767</v>
      </c>
      <c r="BJ2652" s="129" t="e">
        <f>(G2652-J2652)+(M2652-G2652)</f>
        <v>#VALUE!</v>
      </c>
      <c r="BK2652" s="129" t="e">
        <f t="shared" si="1920"/>
        <v>#VALUE!</v>
      </c>
      <c r="BL2652" s="129" t="str">
        <f t="shared" si="1917"/>
        <v>CONVICTION</v>
      </c>
      <c r="BM2652" s="129" t="s">
        <v>76</v>
      </c>
      <c r="BN2652" s="129" t="s">
        <v>88</v>
      </c>
      <c r="BP2652" s="137" t="str">
        <f t="shared" si="1925"/>
        <v>CONVICTION</v>
      </c>
      <c r="BQ2652" s="128">
        <f t="shared" si="1934"/>
        <v>0</v>
      </c>
      <c r="BR2652" s="129" t="s">
        <v>575</v>
      </c>
      <c r="BS2652" s="129" t="str">
        <f t="shared" si="1926"/>
        <v>DISPOSED</v>
      </c>
      <c r="BT2652" s="129" t="str">
        <f t="shared" si="1927"/>
        <v>N</v>
      </c>
      <c r="BU2652" s="109">
        <f t="shared" si="1928"/>
        <v>0</v>
      </c>
      <c r="BV2652" s="109">
        <v>0</v>
      </c>
      <c r="BW2652" s="109">
        <f t="shared" si="1908"/>
        <v>0</v>
      </c>
      <c r="BX2652" s="111">
        <f t="shared" si="1929"/>
        <v>0</v>
      </c>
      <c r="BY2652" s="129" t="e">
        <f t="shared" si="1937"/>
        <v>#VALUE!</v>
      </c>
      <c r="BZ2652" s="111" t="e">
        <f t="shared" si="1938"/>
        <v>#VALUE!</v>
      </c>
      <c r="CA2652" s="138" t="e">
        <f t="shared" si="1939"/>
        <v>#VALUE!</v>
      </c>
      <c r="CB2652" s="111">
        <v>0</v>
      </c>
      <c r="CC2652" s="129">
        <v>0</v>
      </c>
      <c r="CD2652" s="111">
        <f>CC2652-BF2652</f>
        <v>0</v>
      </c>
      <c r="CG2652" s="129" t="str">
        <f t="shared" si="1942"/>
        <v>N</v>
      </c>
      <c r="CI2652" s="129" t="str">
        <f t="shared" si="1943"/>
        <v>0-10 DAYS</v>
      </c>
      <c r="CJ2652" s="137">
        <f t="shared" si="1944"/>
        <v>1</v>
      </c>
      <c r="CK2652" s="129" t="str">
        <f t="shared" si="1945"/>
        <v>Not Booked</v>
      </c>
    </row>
    <row r="2653" spans="1:89" ht="15.75" customHeight="1" x14ac:dyDescent="0.25">
      <c r="A2653" s="111">
        <v>482</v>
      </c>
      <c r="B2653" s="128" t="str">
        <f t="shared" si="1931"/>
        <v>N</v>
      </c>
      <c r="C2653" s="128" t="str">
        <f t="shared" si="1932"/>
        <v>N</v>
      </c>
      <c r="D2653" s="117">
        <v>2600777</v>
      </c>
      <c r="E2653" s="135">
        <f t="shared" si="1933"/>
        <v>6</v>
      </c>
      <c r="F2653" s="124">
        <v>40928</v>
      </c>
      <c r="G2653" s="125">
        <v>42059</v>
      </c>
      <c r="H2653" s="117">
        <v>2600777</v>
      </c>
      <c r="I2653" s="124">
        <v>40929</v>
      </c>
      <c r="J2653" s="124"/>
      <c r="K2653" s="126" t="s">
        <v>564</v>
      </c>
      <c r="L2653" s="127" t="s">
        <v>564</v>
      </c>
      <c r="N2653" s="129" t="s">
        <v>566</v>
      </c>
      <c r="O2653" s="128" t="s">
        <v>917</v>
      </c>
      <c r="P2653" s="129" t="s">
        <v>39</v>
      </c>
      <c r="Q2653" s="111">
        <v>1131</v>
      </c>
      <c r="R2653" s="111">
        <f t="shared" si="1918"/>
        <v>1132</v>
      </c>
      <c r="S2653" s="129">
        <v>0</v>
      </c>
      <c r="T2653" s="129">
        <v>0</v>
      </c>
      <c r="W2653" s="111"/>
      <c r="AB2653" s="131" t="s">
        <v>112</v>
      </c>
      <c r="AC2653" s="130"/>
      <c r="AD2653" s="130">
        <v>34560</v>
      </c>
      <c r="AE2653" s="128" t="s">
        <v>32</v>
      </c>
      <c r="AF2653" s="128" t="s">
        <v>40</v>
      </c>
      <c r="AG2653" s="128" t="s">
        <v>41</v>
      </c>
      <c r="AH2653" s="108" t="s">
        <v>31</v>
      </c>
      <c r="AI2653" s="128" t="s">
        <v>118</v>
      </c>
      <c r="AJ2653" s="129" t="s">
        <v>89</v>
      </c>
      <c r="AK2653" s="129">
        <v>21</v>
      </c>
      <c r="AL2653" s="3" t="s">
        <v>362</v>
      </c>
      <c r="AM2653" s="117">
        <v>50</v>
      </c>
      <c r="AP2653" s="129" t="s">
        <v>179</v>
      </c>
      <c r="AR2653" s="128" t="s">
        <v>92</v>
      </c>
      <c r="AS2653" s="129" t="s">
        <v>180</v>
      </c>
      <c r="BC2653" s="129" t="s">
        <v>38</v>
      </c>
      <c r="BF2653" s="111">
        <v>1131</v>
      </c>
      <c r="BG2653" s="111">
        <f>IF(G2653&gt;1/1/1900,((G2653+1)-I2653),"STILL OPEN")</f>
        <v>1131</v>
      </c>
      <c r="BH2653" s="111">
        <f t="shared" si="1919"/>
        <v>1132</v>
      </c>
      <c r="BI2653" s="111">
        <f t="shared" si="1921"/>
        <v>17.398907103825138</v>
      </c>
      <c r="BJ2653" s="129">
        <f>G2653-J2653-M2653</f>
        <v>42059</v>
      </c>
      <c r="BK2653" s="129">
        <f t="shared" si="1920"/>
        <v>-42059</v>
      </c>
      <c r="BL2653" s="129" t="str">
        <f t="shared" si="1917"/>
        <v>CONVICTION</v>
      </c>
      <c r="BM2653" s="129" t="str">
        <f>O2653</f>
        <v>NONE</v>
      </c>
      <c r="BN2653" s="129" t="s">
        <v>566</v>
      </c>
      <c r="BP2653" s="137" t="str">
        <f t="shared" si="1925"/>
        <v>CONVICTION</v>
      </c>
      <c r="BQ2653" s="128" t="str">
        <f t="shared" si="1934"/>
        <v>Y</v>
      </c>
      <c r="BR2653" s="129" t="s">
        <v>574</v>
      </c>
      <c r="BS2653" s="129" t="s">
        <v>1259</v>
      </c>
      <c r="BT2653" s="129" t="str">
        <f t="shared" si="1927"/>
        <v>N</v>
      </c>
      <c r="BU2653" s="109">
        <f>IFERROR(Q2653/R2653,BR2653)</f>
        <v>0.99911660777385158</v>
      </c>
      <c r="BV2653" s="139">
        <v>0.99909999999999999</v>
      </c>
      <c r="BW2653" s="109">
        <v>0</v>
      </c>
      <c r="BX2653" s="111">
        <f t="shared" si="1929"/>
        <v>0</v>
      </c>
      <c r="BY2653" s="129">
        <f t="shared" si="1937"/>
        <v>40928</v>
      </c>
      <c r="BZ2653" s="111">
        <f t="shared" si="1938"/>
        <v>42059</v>
      </c>
      <c r="CA2653" s="138">
        <f t="shared" si="1939"/>
        <v>1131</v>
      </c>
      <c r="CB2653" s="111" t="e">
        <f>IF(AF2653&gt;1/1/1900,((AF2653+1)-AE2653),"STILL OPEN")</f>
        <v>#VALUE!</v>
      </c>
      <c r="CC2653" s="129">
        <v>1131</v>
      </c>
      <c r="CG2653" s="129" t="str">
        <f t="shared" si="1942"/>
        <v>N</v>
      </c>
      <c r="CH2653" s="129" t="e">
        <v>#N/A</v>
      </c>
      <c r="CI2653" s="129" t="str">
        <f t="shared" si="1943"/>
        <v>&gt;3YRS</v>
      </c>
      <c r="CJ2653" s="137">
        <f t="shared" si="1944"/>
        <v>9</v>
      </c>
      <c r="CK2653" s="129" t="str">
        <f t="shared" si="1945"/>
        <v>Booked</v>
      </c>
    </row>
    <row r="2654" spans="1:89" ht="15.75" customHeight="1" x14ac:dyDescent="0.25">
      <c r="A2654" s="111">
        <v>486</v>
      </c>
      <c r="B2654" s="128" t="str">
        <f t="shared" si="1931"/>
        <v>N</v>
      </c>
      <c r="C2654" s="128" t="str">
        <f t="shared" si="1932"/>
        <v>N</v>
      </c>
      <c r="D2654" s="117">
        <v>2600818</v>
      </c>
      <c r="E2654" s="135">
        <f t="shared" si="1933"/>
        <v>1</v>
      </c>
      <c r="F2654" s="124">
        <v>40928</v>
      </c>
      <c r="G2654" s="125">
        <v>41150</v>
      </c>
      <c r="H2654" s="117">
        <v>2600818</v>
      </c>
      <c r="I2654" s="124">
        <v>40931</v>
      </c>
      <c r="J2654" s="124">
        <v>40933</v>
      </c>
      <c r="K2654" s="126">
        <v>30000</v>
      </c>
      <c r="L2654" s="129" t="s">
        <v>572</v>
      </c>
      <c r="M2654" s="125">
        <v>40933</v>
      </c>
      <c r="N2654" s="129" t="str">
        <f>IF(M2654&gt;1/1/1,"Y","N")</f>
        <v>Y</v>
      </c>
      <c r="O2654" s="128" t="s">
        <v>76</v>
      </c>
      <c r="P2654" s="129" t="s">
        <v>55</v>
      </c>
      <c r="Q2654" s="111">
        <f t="shared" si="1946"/>
        <v>3</v>
      </c>
      <c r="R2654" s="111">
        <f t="shared" si="1918"/>
        <v>223</v>
      </c>
      <c r="S2654" s="129">
        <v>0</v>
      </c>
      <c r="T2654" s="129">
        <v>0</v>
      </c>
      <c r="W2654" s="111"/>
      <c r="AB2654" s="131" t="s">
        <v>112</v>
      </c>
      <c r="AC2654" s="130"/>
      <c r="AD2654" s="130">
        <v>33850</v>
      </c>
      <c r="AE2654" s="128" t="s">
        <v>32</v>
      </c>
      <c r="AF2654" s="128" t="s">
        <v>40</v>
      </c>
      <c r="AG2654" s="128" t="s">
        <v>41</v>
      </c>
      <c r="AH2654" s="108" t="s">
        <v>31</v>
      </c>
      <c r="AI2654" s="128" t="s">
        <v>113</v>
      </c>
      <c r="AJ2654" s="129" t="s">
        <v>55</v>
      </c>
      <c r="AK2654" s="129">
        <v>9</v>
      </c>
      <c r="AL2654" s="3" t="s">
        <v>55</v>
      </c>
      <c r="AP2654" s="129" t="s">
        <v>129</v>
      </c>
      <c r="AR2654" s="128" t="s">
        <v>92</v>
      </c>
      <c r="AS2654" s="129" t="s">
        <v>126</v>
      </c>
      <c r="BC2654" s="129" t="s">
        <v>52</v>
      </c>
      <c r="BF2654" s="111">
        <f>IF(J2654&gt;1/1/1900,((J2654+1)-I2654),"STILL OPEN")</f>
        <v>3</v>
      </c>
      <c r="BG2654" s="111">
        <f>IF(G2654&gt;1/1/1900,((G2654+1)-I2654),"STILL OPEN")</f>
        <v>220</v>
      </c>
      <c r="BH2654" s="111">
        <f t="shared" si="1919"/>
        <v>223</v>
      </c>
      <c r="BI2654" s="111">
        <f t="shared" si="1921"/>
        <v>19.338797814207652</v>
      </c>
      <c r="BJ2654" s="129">
        <f t="shared" ref="BJ2654:BJ2662" si="1947">(G2654-J2654)+(M2654-G2654)</f>
        <v>0</v>
      </c>
      <c r="BK2654" s="129">
        <f t="shared" si="1920"/>
        <v>-217</v>
      </c>
      <c r="BL2654" s="129" t="str">
        <f t="shared" si="1917"/>
        <v>NO CONVICTION</v>
      </c>
      <c r="BM2654" s="129" t="s">
        <v>76</v>
      </c>
      <c r="BN2654" s="129" t="s">
        <v>88</v>
      </c>
      <c r="BP2654" s="137" t="str">
        <f t="shared" si="1925"/>
        <v>NO CONVICTION</v>
      </c>
      <c r="BQ2654" s="128" t="str">
        <f t="shared" si="1934"/>
        <v>Y</v>
      </c>
      <c r="BR2654" s="129" t="str">
        <f t="shared" si="1935"/>
        <v>ON BOND</v>
      </c>
      <c r="BS2654" s="129" t="str">
        <f t="shared" si="1926"/>
        <v>DISPOSED</v>
      </c>
      <c r="BT2654" s="129" t="str">
        <f t="shared" si="1927"/>
        <v>N</v>
      </c>
      <c r="BU2654" s="109">
        <f>IFERROR(Q2654/R2654,BR2654)</f>
        <v>1.3452914798206279E-2</v>
      </c>
      <c r="BV2654" s="109">
        <f t="shared" si="1936"/>
        <v>1.3636363636363636E-2</v>
      </c>
      <c r="BW2654" s="109">
        <f t="shared" ref="BW2654:BW2674" si="1948">BV2654-BU2654</f>
        <v>1.8344883815735701E-4</v>
      </c>
      <c r="BX2654" s="111">
        <f t="shared" si="1929"/>
        <v>0</v>
      </c>
      <c r="BY2654" s="129">
        <f t="shared" si="1937"/>
        <v>-3</v>
      </c>
      <c r="BZ2654" s="111">
        <f t="shared" si="1938"/>
        <v>0</v>
      </c>
      <c r="CA2654" s="138">
        <f t="shared" si="1939"/>
        <v>3</v>
      </c>
      <c r="CB2654" s="111" t="e">
        <f>IF(AF2654&gt;1/1/1900,((AF2654+1)-AE2654),"STILL OPEN")</f>
        <v>#VALUE!</v>
      </c>
      <c r="CC2654" s="129">
        <f>M2654-I2654+1</f>
        <v>3</v>
      </c>
      <c r="CD2654" s="111">
        <f>CC2654-BF2654</f>
        <v>0</v>
      </c>
      <c r="CG2654" s="129" t="str">
        <f t="shared" si="1942"/>
        <v>N</v>
      </c>
      <c r="CI2654" s="129" t="str">
        <f t="shared" si="1943"/>
        <v>0-10 DAYS</v>
      </c>
      <c r="CJ2654" s="137">
        <f t="shared" si="1944"/>
        <v>1</v>
      </c>
      <c r="CK2654" s="129" t="str">
        <f t="shared" si="1945"/>
        <v>Booked</v>
      </c>
    </row>
    <row r="2655" spans="1:89" ht="15.75" customHeight="1" x14ac:dyDescent="0.25">
      <c r="A2655" s="111">
        <v>490</v>
      </c>
      <c r="B2655" s="128" t="str">
        <f t="shared" si="1931"/>
        <v>N</v>
      </c>
      <c r="C2655" s="128" t="str">
        <f t="shared" si="1932"/>
        <v>N</v>
      </c>
      <c r="D2655" s="117">
        <v>2600840</v>
      </c>
      <c r="E2655" s="135">
        <f t="shared" si="1933"/>
        <v>1</v>
      </c>
      <c r="F2655" s="124">
        <v>40928</v>
      </c>
      <c r="G2655" s="125">
        <v>41033</v>
      </c>
      <c r="H2655" s="117">
        <v>2600840</v>
      </c>
      <c r="I2655" s="124">
        <v>40928</v>
      </c>
      <c r="J2655" s="124">
        <v>40930</v>
      </c>
      <c r="K2655" s="126">
        <v>2000</v>
      </c>
      <c r="L2655" s="127" t="s">
        <v>568</v>
      </c>
      <c r="M2655" s="125">
        <v>40930</v>
      </c>
      <c r="N2655" s="129" t="str">
        <f>IF(M2655&gt;1/1/1,"Y","N")</f>
        <v>Y</v>
      </c>
      <c r="O2655" s="128" t="s">
        <v>76</v>
      </c>
      <c r="P2655" s="129" t="s">
        <v>123</v>
      </c>
      <c r="Q2655" s="111">
        <f t="shared" si="1946"/>
        <v>3</v>
      </c>
      <c r="R2655" s="111">
        <f t="shared" si="1918"/>
        <v>106</v>
      </c>
      <c r="S2655" s="129">
        <v>0</v>
      </c>
      <c r="T2655" s="129">
        <v>0</v>
      </c>
      <c r="W2655" s="111"/>
      <c r="AC2655" s="130"/>
      <c r="AD2655" s="130">
        <v>34402</v>
      </c>
      <c r="AE2655" s="128" t="s">
        <v>32</v>
      </c>
      <c r="AF2655" s="128" t="s">
        <v>69</v>
      </c>
      <c r="AG2655" s="128" t="s">
        <v>874</v>
      </c>
      <c r="AH2655" s="108" t="s">
        <v>31</v>
      </c>
      <c r="AI2655" s="128" t="s">
        <v>34</v>
      </c>
      <c r="AJ2655" s="129" t="s">
        <v>123</v>
      </c>
      <c r="AK2655" s="129">
        <v>5</v>
      </c>
      <c r="AL2655" s="3" t="s">
        <v>123</v>
      </c>
      <c r="AP2655" s="129" t="s">
        <v>43</v>
      </c>
      <c r="AR2655" s="128" t="s">
        <v>44</v>
      </c>
      <c r="AS2655" s="129" t="s">
        <v>45</v>
      </c>
      <c r="BC2655" s="129" t="s">
        <v>38</v>
      </c>
      <c r="BF2655" s="111">
        <f>IF(J2655&gt;1/1/1900,((J2655+1)-I2655),"STILL OPEN")</f>
        <v>3</v>
      </c>
      <c r="BG2655" s="111">
        <f>IF(G2655&gt;1/1/1900,((G2655+1)-I2655),"STILL OPEN")</f>
        <v>106</v>
      </c>
      <c r="BH2655" s="111">
        <f t="shared" si="1919"/>
        <v>106</v>
      </c>
      <c r="BI2655" s="111">
        <f t="shared" si="1921"/>
        <v>17.830601092896174</v>
      </c>
      <c r="BJ2655" s="129">
        <f t="shared" si="1947"/>
        <v>0</v>
      </c>
      <c r="BK2655" s="129">
        <f t="shared" si="1920"/>
        <v>-103</v>
      </c>
      <c r="BL2655" s="129" t="str">
        <f t="shared" si="1917"/>
        <v>NO CONVICTION</v>
      </c>
      <c r="BM2655" s="129" t="s">
        <v>76</v>
      </c>
      <c r="BN2655" s="129" t="s">
        <v>88</v>
      </c>
      <c r="BP2655" s="137" t="str">
        <f t="shared" si="1925"/>
        <v>NO CONVICTION</v>
      </c>
      <c r="BQ2655" s="128" t="str">
        <f t="shared" si="1934"/>
        <v>Y</v>
      </c>
      <c r="BR2655" s="129" t="str">
        <f t="shared" si="1935"/>
        <v>ON BOND</v>
      </c>
      <c r="BS2655" s="129" t="str">
        <f t="shared" si="1926"/>
        <v>DISPOSED</v>
      </c>
      <c r="BT2655" s="129" t="str">
        <f t="shared" si="1927"/>
        <v>N</v>
      </c>
      <c r="BU2655" s="109">
        <f>IFERROR(Q2655/R2655,BR2655)</f>
        <v>2.8301886792452831E-2</v>
      </c>
      <c r="BV2655" s="109">
        <f t="shared" si="1936"/>
        <v>2.8301886792452831E-2</v>
      </c>
      <c r="BW2655" s="109">
        <f t="shared" si="1948"/>
        <v>0</v>
      </c>
      <c r="BX2655" s="111">
        <f t="shared" si="1929"/>
        <v>0</v>
      </c>
      <c r="BY2655" s="129">
        <f t="shared" si="1937"/>
        <v>-3</v>
      </c>
      <c r="BZ2655" s="111">
        <f t="shared" si="1938"/>
        <v>0</v>
      </c>
      <c r="CA2655" s="138">
        <f t="shared" si="1939"/>
        <v>3</v>
      </c>
      <c r="CB2655" s="111" t="e">
        <f>IF(AF2655&gt;1/1/1900,((AF2655+1)-AE2655),"STILL OPEN")</f>
        <v>#VALUE!</v>
      </c>
      <c r="CC2655" s="129">
        <f>M2655-I2655+1</f>
        <v>3</v>
      </c>
      <c r="CD2655" s="111">
        <f>CC2655-BF2655</f>
        <v>0</v>
      </c>
      <c r="CG2655" s="129" t="str">
        <f t="shared" si="1942"/>
        <v>N</v>
      </c>
      <c r="CI2655" s="129" t="str">
        <f t="shared" si="1943"/>
        <v>0-10 DAYS</v>
      </c>
      <c r="CJ2655" s="137">
        <f t="shared" si="1944"/>
        <v>1</v>
      </c>
      <c r="CK2655" s="129" t="str">
        <f t="shared" si="1945"/>
        <v>Booked</v>
      </c>
    </row>
    <row r="2656" spans="1:89" ht="15.75" customHeight="1" x14ac:dyDescent="0.25">
      <c r="A2656" s="111">
        <v>487</v>
      </c>
      <c r="B2656" s="128" t="str">
        <f t="shared" si="1931"/>
        <v>N</v>
      </c>
      <c r="C2656" s="128" t="str">
        <f t="shared" si="1932"/>
        <v>N</v>
      </c>
      <c r="D2656" s="117">
        <v>2600843</v>
      </c>
      <c r="E2656" s="135">
        <f t="shared" si="1933"/>
        <v>2</v>
      </c>
      <c r="F2656" s="124">
        <v>40928</v>
      </c>
      <c r="G2656" s="125">
        <v>40955</v>
      </c>
      <c r="H2656" s="117">
        <v>2600843</v>
      </c>
      <c r="I2656" s="124">
        <v>40932</v>
      </c>
      <c r="J2656" s="124">
        <v>40932</v>
      </c>
      <c r="K2656" s="126">
        <v>2000</v>
      </c>
      <c r="L2656" s="127" t="s">
        <v>568</v>
      </c>
      <c r="M2656" s="125">
        <v>40932</v>
      </c>
      <c r="N2656" s="129" t="str">
        <f>IF(M2656&gt;1/1/1,"Y","N")</f>
        <v>Y</v>
      </c>
      <c r="O2656" s="128" t="s">
        <v>76</v>
      </c>
      <c r="P2656" s="129" t="s">
        <v>589</v>
      </c>
      <c r="Q2656" s="111">
        <f t="shared" si="1946"/>
        <v>1</v>
      </c>
      <c r="R2656" s="111">
        <f t="shared" si="1918"/>
        <v>28</v>
      </c>
      <c r="S2656" s="129">
        <v>0</v>
      </c>
      <c r="T2656" s="129">
        <v>0</v>
      </c>
      <c r="W2656" s="111"/>
      <c r="AB2656" s="131" t="s">
        <v>112</v>
      </c>
      <c r="AC2656" s="130"/>
      <c r="AD2656" s="130">
        <v>33746</v>
      </c>
      <c r="AE2656" s="128" t="s">
        <v>46</v>
      </c>
      <c r="AF2656" s="128" t="s">
        <v>40</v>
      </c>
      <c r="AG2656" s="128" t="s">
        <v>41</v>
      </c>
      <c r="AH2656" s="108" t="s">
        <v>31</v>
      </c>
      <c r="AI2656" s="128" t="s">
        <v>65</v>
      </c>
      <c r="AJ2656" s="129" t="s">
        <v>48</v>
      </c>
      <c r="AK2656" s="129">
        <v>4</v>
      </c>
      <c r="AL2656" s="3" t="s">
        <v>48</v>
      </c>
      <c r="AO2656" s="128">
        <v>10</v>
      </c>
      <c r="AP2656" s="129" t="s">
        <v>98</v>
      </c>
      <c r="AR2656" s="128" t="s">
        <v>44</v>
      </c>
      <c r="AS2656" s="129" t="s">
        <v>64</v>
      </c>
      <c r="BC2656" s="129" t="s">
        <v>38</v>
      </c>
      <c r="BF2656" s="111">
        <f>IF(J2656&gt;1/1/1900,((J2656+1)-I2656),"STILL OPEN")</f>
        <v>1</v>
      </c>
      <c r="BG2656" s="111">
        <f>IF(G2656&gt;1/1/1900,((G2656+1)-I2656),"STILL OPEN")</f>
        <v>24</v>
      </c>
      <c r="BH2656" s="111">
        <f t="shared" si="1919"/>
        <v>28</v>
      </c>
      <c r="BI2656" s="111">
        <f t="shared" si="1921"/>
        <v>19.622950819672131</v>
      </c>
      <c r="BJ2656" s="129">
        <f t="shared" si="1947"/>
        <v>0</v>
      </c>
      <c r="BK2656" s="129">
        <f t="shared" si="1920"/>
        <v>-23</v>
      </c>
      <c r="BL2656" s="129" t="str">
        <f t="shared" si="1917"/>
        <v>DEFERRED</v>
      </c>
      <c r="BM2656" s="129" t="s">
        <v>76</v>
      </c>
      <c r="BN2656" s="129" t="s">
        <v>88</v>
      </c>
      <c r="BP2656" s="137" t="str">
        <f t="shared" si="1925"/>
        <v>DEFERRED</v>
      </c>
      <c r="BQ2656" s="128" t="str">
        <f t="shared" si="1934"/>
        <v>Y</v>
      </c>
      <c r="BR2656" s="129" t="str">
        <f t="shared" si="1935"/>
        <v>ON BOND</v>
      </c>
      <c r="BS2656" s="129" t="str">
        <f t="shared" si="1926"/>
        <v>DISPOSED</v>
      </c>
      <c r="BT2656" s="129" t="str">
        <f t="shared" si="1927"/>
        <v>N</v>
      </c>
      <c r="BU2656" s="109">
        <f t="shared" si="1928"/>
        <v>3.5714285714285712E-2</v>
      </c>
      <c r="BV2656" s="109">
        <f t="shared" si="1936"/>
        <v>4.1666666666666664E-2</v>
      </c>
      <c r="BW2656" s="109">
        <f t="shared" si="1948"/>
        <v>5.9523809523809521E-3</v>
      </c>
      <c r="BX2656" s="111">
        <f t="shared" si="1929"/>
        <v>0</v>
      </c>
      <c r="BY2656" s="129">
        <f t="shared" si="1937"/>
        <v>-1</v>
      </c>
      <c r="BZ2656" s="111">
        <f t="shared" si="1938"/>
        <v>0</v>
      </c>
      <c r="CA2656" s="138">
        <f t="shared" si="1939"/>
        <v>1</v>
      </c>
      <c r="CB2656" s="111" t="e">
        <f>IF(AF2656&gt;1/1/1900,((AF2656+1)-AE2656),"STILL OPEN")</f>
        <v>#VALUE!</v>
      </c>
      <c r="CC2656" s="129">
        <f>M2656-I2656+1</f>
        <v>1</v>
      </c>
      <c r="CD2656" s="111">
        <f>CC2656-BF2656</f>
        <v>0</v>
      </c>
      <c r="CG2656" s="129" t="str">
        <f t="shared" si="1942"/>
        <v>N</v>
      </c>
      <c r="CI2656" s="129" t="str">
        <f t="shared" si="1943"/>
        <v>0-10 DAYS</v>
      </c>
      <c r="CJ2656" s="137">
        <f t="shared" si="1944"/>
        <v>1</v>
      </c>
      <c r="CK2656" s="129" t="str">
        <f t="shared" si="1945"/>
        <v>Booked</v>
      </c>
    </row>
    <row r="2657" spans="1:89" ht="15.75" customHeight="1" x14ac:dyDescent="0.25">
      <c r="A2657" s="111">
        <v>492</v>
      </c>
      <c r="B2657" s="128" t="str">
        <f t="shared" si="1931"/>
        <v>N</v>
      </c>
      <c r="C2657" s="128" t="str">
        <f t="shared" si="1932"/>
        <v>N</v>
      </c>
      <c r="D2657" s="117">
        <v>2600844</v>
      </c>
      <c r="E2657" s="135">
        <f t="shared" si="1933"/>
        <v>4</v>
      </c>
      <c r="F2657" s="124">
        <v>40928</v>
      </c>
      <c r="G2657" s="125">
        <v>41212</v>
      </c>
      <c r="H2657" s="117">
        <v>2600844</v>
      </c>
      <c r="I2657" s="124" t="s">
        <v>562</v>
      </c>
      <c r="J2657" s="124" t="s">
        <v>562</v>
      </c>
      <c r="K2657" s="126">
        <v>10000</v>
      </c>
      <c r="L2657" s="127" t="s">
        <v>570</v>
      </c>
      <c r="M2657" s="125">
        <v>40929</v>
      </c>
      <c r="N2657" s="129" t="str">
        <f>IF(M2657&gt;1/1/1,"Y",IF(Q2657="0","","N"))</f>
        <v>Y</v>
      </c>
      <c r="O2657" s="128" t="s">
        <v>76</v>
      </c>
      <c r="P2657" s="129" t="s">
        <v>39</v>
      </c>
      <c r="Q2657" s="111">
        <f t="shared" si="1946"/>
        <v>0</v>
      </c>
      <c r="R2657" s="111">
        <f t="shared" si="1918"/>
        <v>285</v>
      </c>
      <c r="S2657" s="129">
        <v>0</v>
      </c>
      <c r="T2657" s="129">
        <v>0</v>
      </c>
      <c r="W2657" s="111"/>
      <c r="AC2657" s="130"/>
      <c r="AD2657" s="130">
        <v>26062</v>
      </c>
      <c r="AE2657" s="128" t="s">
        <v>32</v>
      </c>
      <c r="AF2657" s="128" t="s">
        <v>69</v>
      </c>
      <c r="AG2657" s="128" t="s">
        <v>874</v>
      </c>
      <c r="AH2657" s="108" t="s">
        <v>31</v>
      </c>
      <c r="AI2657" s="128" t="s">
        <v>62</v>
      </c>
      <c r="AJ2657" s="129" t="s">
        <v>89</v>
      </c>
      <c r="AK2657" s="129">
        <v>11</v>
      </c>
      <c r="AL2657" s="3" t="s">
        <v>991</v>
      </c>
      <c r="AO2657" s="128">
        <v>30</v>
      </c>
      <c r="AP2657" s="129" t="s">
        <v>66</v>
      </c>
      <c r="AR2657" s="128" t="s">
        <v>67</v>
      </c>
      <c r="AS2657" s="129" t="s">
        <v>68</v>
      </c>
      <c r="BC2657" s="129" t="s">
        <v>52</v>
      </c>
      <c r="BF2657" s="111">
        <v>0</v>
      </c>
      <c r="BG2657" s="111">
        <v>0</v>
      </c>
      <c r="BH2657" s="111">
        <f t="shared" si="1919"/>
        <v>285</v>
      </c>
      <c r="BI2657" s="111">
        <f t="shared" si="1921"/>
        <v>40.617486338797811</v>
      </c>
      <c r="BJ2657" s="129" t="e">
        <f t="shared" si="1947"/>
        <v>#VALUE!</v>
      </c>
      <c r="BK2657" s="129" t="e">
        <f t="shared" si="1920"/>
        <v>#VALUE!</v>
      </c>
      <c r="BL2657" s="129" t="str">
        <f t="shared" si="1917"/>
        <v>CONVICTION</v>
      </c>
      <c r="BM2657" s="129" t="s">
        <v>76</v>
      </c>
      <c r="BN2657" s="129" t="s">
        <v>88</v>
      </c>
      <c r="BP2657" s="137" t="str">
        <f t="shared" si="1925"/>
        <v>CONVICTION</v>
      </c>
      <c r="BQ2657" s="128">
        <f t="shared" si="1934"/>
        <v>0</v>
      </c>
      <c r="BR2657" s="129" t="s">
        <v>575</v>
      </c>
      <c r="BS2657" s="129" t="str">
        <f t="shared" si="1926"/>
        <v>DISPOSED</v>
      </c>
      <c r="BT2657" s="129" t="str">
        <f t="shared" si="1927"/>
        <v>N</v>
      </c>
      <c r="BU2657" s="109">
        <f t="shared" si="1928"/>
        <v>0</v>
      </c>
      <c r="BV2657" s="109">
        <v>0</v>
      </c>
      <c r="BW2657" s="109">
        <f t="shared" si="1948"/>
        <v>0</v>
      </c>
      <c r="BX2657" s="111">
        <f t="shared" si="1929"/>
        <v>0</v>
      </c>
      <c r="BY2657" s="129" t="e">
        <f t="shared" si="1937"/>
        <v>#VALUE!</v>
      </c>
      <c r="BZ2657" s="111" t="e">
        <f t="shared" si="1938"/>
        <v>#VALUE!</v>
      </c>
      <c r="CA2657" s="138" t="e">
        <f t="shared" si="1939"/>
        <v>#VALUE!</v>
      </c>
      <c r="CB2657" s="111">
        <v>0</v>
      </c>
      <c r="CC2657" s="129">
        <v>0</v>
      </c>
      <c r="CD2657" s="111">
        <f>CC2657-BF2657</f>
        <v>0</v>
      </c>
      <c r="CG2657" s="129" t="str">
        <f t="shared" si="1942"/>
        <v>N</v>
      </c>
      <c r="CI2657" s="129" t="str">
        <f t="shared" si="1943"/>
        <v>0-10 DAYS</v>
      </c>
      <c r="CJ2657" s="137">
        <f t="shared" si="1944"/>
        <v>1</v>
      </c>
      <c r="CK2657" s="129" t="str">
        <f t="shared" si="1945"/>
        <v>Not Booked</v>
      </c>
    </row>
    <row r="2658" spans="1:89" ht="15.75" customHeight="1" x14ac:dyDescent="0.25">
      <c r="A2658" s="111">
        <v>491</v>
      </c>
      <c r="B2658" s="128" t="str">
        <f t="shared" si="1931"/>
        <v>N</v>
      </c>
      <c r="C2658" s="128" t="str">
        <f t="shared" si="1932"/>
        <v>N</v>
      </c>
      <c r="D2658" s="117">
        <v>2600853</v>
      </c>
      <c r="E2658" s="135">
        <f t="shared" si="1933"/>
        <v>1</v>
      </c>
      <c r="F2658" s="124">
        <v>40928</v>
      </c>
      <c r="G2658" s="125">
        <v>41089</v>
      </c>
      <c r="H2658" s="117">
        <v>2600853</v>
      </c>
      <c r="I2658" s="124" t="s">
        <v>562</v>
      </c>
      <c r="J2658" s="124" t="s">
        <v>562</v>
      </c>
      <c r="K2658" s="126">
        <v>2000</v>
      </c>
      <c r="L2658" s="127" t="s">
        <v>568</v>
      </c>
      <c r="M2658" s="125">
        <v>40932</v>
      </c>
      <c r="N2658" s="129" t="str">
        <f>IF(M2658&gt;1/1/1,"Y",IF(Q2658="0","","N"))</f>
        <v>Y</v>
      </c>
      <c r="O2658" s="128" t="s">
        <v>76</v>
      </c>
      <c r="P2658" s="129" t="s">
        <v>55</v>
      </c>
      <c r="Q2658" s="111">
        <f t="shared" si="1946"/>
        <v>0</v>
      </c>
      <c r="R2658" s="111">
        <f t="shared" si="1918"/>
        <v>162</v>
      </c>
      <c r="S2658" s="129">
        <v>0</v>
      </c>
      <c r="T2658" s="129">
        <v>0</v>
      </c>
      <c r="W2658" s="111"/>
      <c r="AC2658" s="130"/>
      <c r="AD2658" s="130">
        <v>29716</v>
      </c>
      <c r="AE2658" s="128" t="s">
        <v>46</v>
      </c>
      <c r="AF2658" s="128" t="s">
        <v>69</v>
      </c>
      <c r="AG2658" s="128" t="s">
        <v>874</v>
      </c>
      <c r="AH2658" s="108" t="s">
        <v>31</v>
      </c>
      <c r="AI2658" s="128" t="s">
        <v>42</v>
      </c>
      <c r="AJ2658" s="129" t="s">
        <v>55</v>
      </c>
      <c r="AK2658" s="129">
        <v>6</v>
      </c>
      <c r="AL2658" s="3" t="s">
        <v>55</v>
      </c>
      <c r="AP2658" s="129" t="s">
        <v>108</v>
      </c>
      <c r="AR2658" s="128" t="s">
        <v>44</v>
      </c>
      <c r="AS2658" s="129" t="s">
        <v>61</v>
      </c>
      <c r="BC2658" s="129" t="s">
        <v>52</v>
      </c>
      <c r="BF2658" s="111">
        <v>0</v>
      </c>
      <c r="BG2658" s="111">
        <v>0</v>
      </c>
      <c r="BH2658" s="111">
        <f t="shared" si="1919"/>
        <v>162</v>
      </c>
      <c r="BI2658" s="111">
        <f t="shared" si="1921"/>
        <v>30.633879781420767</v>
      </c>
      <c r="BJ2658" s="129" t="e">
        <f t="shared" si="1947"/>
        <v>#VALUE!</v>
      </c>
      <c r="BK2658" s="129" t="e">
        <f t="shared" si="1920"/>
        <v>#VALUE!</v>
      </c>
      <c r="BL2658" s="129" t="str">
        <f t="shared" si="1917"/>
        <v>NO CONVICTION</v>
      </c>
      <c r="BM2658" s="129" t="s">
        <v>76</v>
      </c>
      <c r="BN2658" s="129" t="s">
        <v>88</v>
      </c>
      <c r="BP2658" s="137" t="str">
        <f t="shared" si="1925"/>
        <v>NO CONVICTION</v>
      </c>
      <c r="BQ2658" s="128">
        <f t="shared" si="1934"/>
        <v>0</v>
      </c>
      <c r="BR2658" s="129" t="s">
        <v>575</v>
      </c>
      <c r="BS2658" s="129" t="str">
        <f t="shared" si="1926"/>
        <v>DISPOSED</v>
      </c>
      <c r="BT2658" s="129" t="str">
        <f t="shared" si="1927"/>
        <v>N</v>
      </c>
      <c r="BU2658" s="109">
        <f>IFERROR(Q2658/R2658,BR2658)</f>
        <v>0</v>
      </c>
      <c r="BV2658" s="109">
        <v>0</v>
      </c>
      <c r="BW2658" s="109">
        <f t="shared" si="1948"/>
        <v>0</v>
      </c>
      <c r="BX2658" s="111">
        <f t="shared" si="1929"/>
        <v>0</v>
      </c>
      <c r="BY2658" s="129" t="e">
        <f t="shared" si="1937"/>
        <v>#VALUE!</v>
      </c>
      <c r="BZ2658" s="111" t="e">
        <f t="shared" si="1938"/>
        <v>#VALUE!</v>
      </c>
      <c r="CA2658" s="138" t="e">
        <f t="shared" si="1939"/>
        <v>#VALUE!</v>
      </c>
      <c r="CB2658" s="111">
        <v>0</v>
      </c>
      <c r="CC2658" s="129">
        <v>0</v>
      </c>
      <c r="CD2658" s="111">
        <f>CC2658-BF2658</f>
        <v>0</v>
      </c>
      <c r="CG2658" s="129" t="str">
        <f t="shared" si="1942"/>
        <v>N</v>
      </c>
      <c r="CI2658" s="129" t="str">
        <f t="shared" si="1943"/>
        <v>0-10 DAYS</v>
      </c>
      <c r="CJ2658" s="137">
        <f t="shared" si="1944"/>
        <v>1</v>
      </c>
      <c r="CK2658" s="129" t="str">
        <f t="shared" si="1945"/>
        <v>Not Booked</v>
      </c>
    </row>
    <row r="2659" spans="1:89" ht="15" customHeight="1" x14ac:dyDescent="0.25">
      <c r="A2659" s="111">
        <v>497</v>
      </c>
      <c r="B2659" s="128" t="str">
        <f t="shared" si="1931"/>
        <v>N</v>
      </c>
      <c r="C2659" s="128" t="str">
        <f t="shared" si="1932"/>
        <v>N</v>
      </c>
      <c r="D2659" s="117">
        <v>2600874</v>
      </c>
      <c r="E2659" s="135">
        <f t="shared" si="1933"/>
        <v>1</v>
      </c>
      <c r="F2659" s="124">
        <v>40928</v>
      </c>
      <c r="G2659" s="125">
        <v>40941</v>
      </c>
      <c r="H2659" s="117">
        <v>2600874</v>
      </c>
      <c r="I2659" s="124" t="s">
        <v>562</v>
      </c>
      <c r="J2659" s="124" t="s">
        <v>562</v>
      </c>
      <c r="K2659" s="126">
        <v>100000</v>
      </c>
      <c r="L2659" s="129" t="s">
        <v>572</v>
      </c>
      <c r="N2659" s="124" t="s">
        <v>1343</v>
      </c>
      <c r="O2659" s="128" t="s">
        <v>917</v>
      </c>
      <c r="P2659" s="116" t="s">
        <v>55</v>
      </c>
      <c r="Q2659" s="111">
        <f t="shared" si="1946"/>
        <v>0</v>
      </c>
      <c r="R2659" s="111">
        <f t="shared" si="1918"/>
        <v>14</v>
      </c>
      <c r="S2659" s="129">
        <v>0</v>
      </c>
      <c r="T2659" s="129">
        <v>0</v>
      </c>
      <c r="W2659" s="111"/>
      <c r="AB2659" s="131" t="s">
        <v>112</v>
      </c>
      <c r="AC2659" s="130"/>
      <c r="AD2659" s="130">
        <v>21163</v>
      </c>
      <c r="AE2659" s="128" t="s">
        <v>32</v>
      </c>
      <c r="AF2659" s="128" t="s">
        <v>40</v>
      </c>
      <c r="AG2659" s="128" t="s">
        <v>41</v>
      </c>
      <c r="AH2659" s="108" t="s">
        <v>31</v>
      </c>
      <c r="AI2659" s="128" t="s">
        <v>113</v>
      </c>
      <c r="AJ2659" s="129" t="s">
        <v>55</v>
      </c>
      <c r="AK2659" s="129">
        <v>2</v>
      </c>
      <c r="AL2659" s="3" t="s">
        <v>55</v>
      </c>
      <c r="AP2659" s="129" t="s">
        <v>216</v>
      </c>
      <c r="AR2659" s="128" t="s">
        <v>67</v>
      </c>
      <c r="AS2659" s="129" t="s">
        <v>64</v>
      </c>
      <c r="BC2659" s="129" t="s">
        <v>79</v>
      </c>
      <c r="BF2659" s="111">
        <v>0</v>
      </c>
      <c r="BG2659" s="111">
        <v>0</v>
      </c>
      <c r="BH2659" s="111">
        <f t="shared" si="1919"/>
        <v>14</v>
      </c>
      <c r="BI2659" s="111">
        <f t="shared" si="1921"/>
        <v>54.002732240437162</v>
      </c>
      <c r="BJ2659" s="129" t="e">
        <f t="shared" si="1947"/>
        <v>#VALUE!</v>
      </c>
      <c r="BK2659" s="129" t="e">
        <f t="shared" si="1920"/>
        <v>#VALUE!</v>
      </c>
      <c r="BL2659" s="129" t="str">
        <f t="shared" si="1917"/>
        <v>NO CONVICTION</v>
      </c>
      <c r="BM2659" s="129" t="str">
        <f>O2659</f>
        <v>NONE</v>
      </c>
      <c r="BN2659" s="129" t="s">
        <v>566</v>
      </c>
      <c r="BP2659" s="137" t="str">
        <f t="shared" si="1925"/>
        <v>NO CONVICTION</v>
      </c>
      <c r="BQ2659" s="128">
        <f t="shared" si="1934"/>
        <v>0</v>
      </c>
      <c r="BR2659" s="129" t="s">
        <v>1345</v>
      </c>
      <c r="BS2659" s="129" t="str">
        <f t="shared" si="1926"/>
        <v>DISPOSED</v>
      </c>
      <c r="BT2659" s="129" t="str">
        <f t="shared" si="1927"/>
        <v>N</v>
      </c>
      <c r="BU2659" s="109">
        <f>IFERROR(Q2659/R2659,BR2659)</f>
        <v>0</v>
      </c>
      <c r="BV2659" s="109">
        <v>0</v>
      </c>
      <c r="BW2659" s="109">
        <f t="shared" si="1948"/>
        <v>0</v>
      </c>
      <c r="BX2659" s="111">
        <f t="shared" si="1929"/>
        <v>0</v>
      </c>
      <c r="BY2659" s="129" t="e">
        <f t="shared" si="1937"/>
        <v>#VALUE!</v>
      </c>
      <c r="BZ2659" s="111" t="e">
        <f t="shared" si="1938"/>
        <v>#VALUE!</v>
      </c>
      <c r="CA2659" s="138" t="e">
        <f t="shared" si="1939"/>
        <v>#VALUE!</v>
      </c>
      <c r="CB2659" s="111">
        <v>0</v>
      </c>
      <c r="CC2659" s="129">
        <v>0</v>
      </c>
      <c r="CG2659" s="129" t="str">
        <f t="shared" si="1942"/>
        <v>N</v>
      </c>
      <c r="CI2659" s="129" t="str">
        <f t="shared" si="1943"/>
        <v>0-10 DAYS</v>
      </c>
      <c r="CJ2659" s="137">
        <f t="shared" si="1944"/>
        <v>1</v>
      </c>
      <c r="CK2659" s="129" t="str">
        <f t="shared" si="1945"/>
        <v>Not Booked</v>
      </c>
    </row>
    <row r="2660" spans="1:89" ht="15" customHeight="1" x14ac:dyDescent="0.25">
      <c r="A2660" s="111">
        <v>502</v>
      </c>
      <c r="B2660" s="128" t="str">
        <f t="shared" si="1931"/>
        <v>N</v>
      </c>
      <c r="C2660" s="128" t="str">
        <f t="shared" si="1932"/>
        <v>N</v>
      </c>
      <c r="D2660" s="117">
        <v>2600877</v>
      </c>
      <c r="E2660" s="135">
        <f t="shared" si="1933"/>
        <v>2</v>
      </c>
      <c r="F2660" s="124">
        <v>40929</v>
      </c>
      <c r="G2660" s="125">
        <v>41011</v>
      </c>
      <c r="H2660" s="117">
        <v>2600877</v>
      </c>
      <c r="I2660" s="124">
        <v>40929</v>
      </c>
      <c r="J2660" s="124">
        <v>40930</v>
      </c>
      <c r="K2660" s="126">
        <v>2000</v>
      </c>
      <c r="L2660" s="127" t="s">
        <v>568</v>
      </c>
      <c r="M2660" s="125">
        <v>40930</v>
      </c>
      <c r="N2660" s="129" t="str">
        <f t="shared" ref="N2660:N2666" si="1949">IF(M2660&gt;1/1/1,"Y","N")</f>
        <v>Y</v>
      </c>
      <c r="O2660" s="128" t="s">
        <v>76</v>
      </c>
      <c r="P2660" s="129" t="s">
        <v>589</v>
      </c>
      <c r="Q2660" s="111">
        <f t="shared" si="1946"/>
        <v>2</v>
      </c>
      <c r="R2660" s="111">
        <f t="shared" si="1918"/>
        <v>83</v>
      </c>
      <c r="S2660" s="129">
        <v>0</v>
      </c>
      <c r="T2660" s="129">
        <v>0</v>
      </c>
      <c r="W2660" s="111"/>
      <c r="AB2660" s="131" t="s">
        <v>112</v>
      </c>
      <c r="AC2660" s="130"/>
      <c r="AD2660" s="130">
        <v>34560</v>
      </c>
      <c r="AE2660" s="128" t="s">
        <v>32</v>
      </c>
      <c r="AF2660" s="128" t="s">
        <v>40</v>
      </c>
      <c r="AG2660" s="128" t="s">
        <v>41</v>
      </c>
      <c r="AH2660" s="108" t="s">
        <v>31</v>
      </c>
      <c r="AI2660" s="128" t="s">
        <v>87</v>
      </c>
      <c r="AJ2660" s="129" t="s">
        <v>48</v>
      </c>
      <c r="AK2660" s="129">
        <v>4</v>
      </c>
      <c r="AL2660" s="3" t="s">
        <v>48</v>
      </c>
      <c r="AP2660" s="129" t="s">
        <v>98</v>
      </c>
      <c r="AR2660" s="128" t="s">
        <v>44</v>
      </c>
      <c r="AS2660" s="129" t="s">
        <v>64</v>
      </c>
      <c r="BC2660" s="129" t="s">
        <v>52</v>
      </c>
      <c r="BF2660" s="111">
        <f t="shared" ref="BF2660:BF2665" si="1950">IF(J2660&gt;1/1/1900,((J2660+1)-I2660),"STILL OPEN")</f>
        <v>2</v>
      </c>
      <c r="BG2660" s="111">
        <f t="shared" ref="BG2660:BG2666" si="1951">IF(G2660&gt;1/1/1900,((G2660+1)-I2660),"STILL OPEN")</f>
        <v>83</v>
      </c>
      <c r="BH2660" s="111">
        <f t="shared" si="1919"/>
        <v>83</v>
      </c>
      <c r="BI2660" s="111">
        <f t="shared" si="1921"/>
        <v>17.401639344262296</v>
      </c>
      <c r="BJ2660" s="129">
        <f t="shared" si="1947"/>
        <v>0</v>
      </c>
      <c r="BK2660" s="129">
        <f t="shared" si="1920"/>
        <v>-81</v>
      </c>
      <c r="BL2660" s="129" t="str">
        <f t="shared" si="1917"/>
        <v>DEFERRED</v>
      </c>
      <c r="BM2660" s="129" t="s">
        <v>76</v>
      </c>
      <c r="BN2660" s="129" t="s">
        <v>88</v>
      </c>
      <c r="BP2660" s="137" t="str">
        <f t="shared" si="1925"/>
        <v>DEFERRED</v>
      </c>
      <c r="BQ2660" s="128" t="str">
        <f t="shared" si="1934"/>
        <v>Y</v>
      </c>
      <c r="BR2660" s="129" t="str">
        <f t="shared" si="1935"/>
        <v>ON BOND</v>
      </c>
      <c r="BS2660" s="129" t="str">
        <f t="shared" si="1926"/>
        <v>DISPOSED</v>
      </c>
      <c r="BT2660" s="129" t="str">
        <f t="shared" si="1927"/>
        <v>N</v>
      </c>
      <c r="BU2660" s="109">
        <f t="shared" si="1928"/>
        <v>2.4096385542168676E-2</v>
      </c>
      <c r="BV2660" s="109">
        <f t="shared" si="1936"/>
        <v>2.4096385542168676E-2</v>
      </c>
      <c r="BW2660" s="109">
        <f t="shared" si="1948"/>
        <v>0</v>
      </c>
      <c r="BX2660" s="111">
        <f t="shared" si="1929"/>
        <v>0</v>
      </c>
      <c r="BY2660" s="129">
        <f t="shared" si="1937"/>
        <v>-2</v>
      </c>
      <c r="BZ2660" s="111">
        <f t="shared" si="1938"/>
        <v>0</v>
      </c>
      <c r="CA2660" s="138">
        <f t="shared" si="1939"/>
        <v>2</v>
      </c>
      <c r="CB2660" s="111" t="e">
        <f t="shared" ref="CB2660:CB2665" si="1952">IF(AF2660&gt;1/1/1900,((AF2660+1)-AE2660),"STILL OPEN")</f>
        <v>#VALUE!</v>
      </c>
      <c r="CC2660" s="129">
        <f>M2660-I2660+1</f>
        <v>2</v>
      </c>
      <c r="CD2660" s="111">
        <f>CC2660-BF2660</f>
        <v>0</v>
      </c>
      <c r="CG2660" s="129" t="str">
        <f t="shared" si="1942"/>
        <v>N</v>
      </c>
      <c r="CI2660" s="129" t="str">
        <f t="shared" si="1943"/>
        <v>0-10 DAYS</v>
      </c>
      <c r="CJ2660" s="137">
        <f t="shared" si="1944"/>
        <v>1</v>
      </c>
      <c r="CK2660" s="129" t="str">
        <f t="shared" si="1945"/>
        <v>Booked</v>
      </c>
    </row>
    <row r="2661" spans="1:89" ht="15.75" customHeight="1" x14ac:dyDescent="0.25">
      <c r="A2661" s="111">
        <v>503</v>
      </c>
      <c r="B2661" s="128" t="str">
        <f t="shared" si="1931"/>
        <v>N</v>
      </c>
      <c r="C2661" s="128" t="str">
        <f t="shared" si="1932"/>
        <v>N</v>
      </c>
      <c r="D2661" s="117">
        <v>2600879</v>
      </c>
      <c r="E2661" s="135">
        <f t="shared" si="1933"/>
        <v>1</v>
      </c>
      <c r="F2661" s="124">
        <v>40929</v>
      </c>
      <c r="G2661" s="125">
        <v>41088</v>
      </c>
      <c r="H2661" s="117">
        <v>2600879</v>
      </c>
      <c r="I2661" s="124">
        <v>40929</v>
      </c>
      <c r="J2661" s="124">
        <v>40930</v>
      </c>
      <c r="K2661" s="126">
        <v>2000</v>
      </c>
      <c r="L2661" s="127" t="s">
        <v>568</v>
      </c>
      <c r="M2661" s="125">
        <v>40930</v>
      </c>
      <c r="N2661" s="129" t="str">
        <f t="shared" si="1949"/>
        <v>Y</v>
      </c>
      <c r="O2661" s="128" t="s">
        <v>76</v>
      </c>
      <c r="P2661" s="129" t="s">
        <v>55</v>
      </c>
      <c r="Q2661" s="111">
        <f t="shared" si="1946"/>
        <v>2</v>
      </c>
      <c r="R2661" s="111">
        <f t="shared" si="1918"/>
        <v>160</v>
      </c>
      <c r="S2661" s="129">
        <v>0</v>
      </c>
      <c r="T2661" s="129">
        <v>0</v>
      </c>
      <c r="W2661" s="111"/>
      <c r="AC2661" s="130"/>
      <c r="AD2661" s="130">
        <v>34233</v>
      </c>
      <c r="AE2661" s="128" t="s">
        <v>46</v>
      </c>
      <c r="AF2661" s="128" t="s">
        <v>33</v>
      </c>
      <c r="AG2661" s="128" t="s">
        <v>872</v>
      </c>
      <c r="AH2661" s="108" t="s">
        <v>31</v>
      </c>
      <c r="AI2661" s="128" t="s">
        <v>62</v>
      </c>
      <c r="AJ2661" s="129" t="s">
        <v>55</v>
      </c>
      <c r="AK2661" s="129">
        <v>4</v>
      </c>
      <c r="AL2661" s="3" t="s">
        <v>55</v>
      </c>
      <c r="AP2661" s="129" t="s">
        <v>63</v>
      </c>
      <c r="AR2661" s="128" t="s">
        <v>44</v>
      </c>
      <c r="AS2661" s="129" t="s">
        <v>64</v>
      </c>
      <c r="BC2661" s="129" t="s">
        <v>52</v>
      </c>
      <c r="BF2661" s="111">
        <f t="shared" si="1950"/>
        <v>2</v>
      </c>
      <c r="BG2661" s="111">
        <f t="shared" si="1951"/>
        <v>160</v>
      </c>
      <c r="BH2661" s="111">
        <f t="shared" si="1919"/>
        <v>160</v>
      </c>
      <c r="BI2661" s="111">
        <f t="shared" si="1921"/>
        <v>18.295081967213115</v>
      </c>
      <c r="BJ2661" s="129">
        <f t="shared" si="1947"/>
        <v>0</v>
      </c>
      <c r="BK2661" s="129">
        <f t="shared" si="1920"/>
        <v>-158</v>
      </c>
      <c r="BL2661" s="129" t="str">
        <f t="shared" si="1917"/>
        <v>NO CONVICTION</v>
      </c>
      <c r="BM2661" s="129" t="s">
        <v>76</v>
      </c>
      <c r="BN2661" s="129" t="s">
        <v>88</v>
      </c>
      <c r="BP2661" s="137" t="str">
        <f t="shared" si="1925"/>
        <v>NO CONVICTION</v>
      </c>
      <c r="BQ2661" s="128" t="str">
        <f t="shared" si="1934"/>
        <v>Y</v>
      </c>
      <c r="BR2661" s="129" t="str">
        <f t="shared" si="1935"/>
        <v>ON BOND</v>
      </c>
      <c r="BS2661" s="129" t="str">
        <f t="shared" si="1926"/>
        <v>DISPOSED</v>
      </c>
      <c r="BT2661" s="129" t="str">
        <f t="shared" si="1927"/>
        <v>N</v>
      </c>
      <c r="BU2661" s="109">
        <f>IFERROR(Q2661/R2661,BR2661)</f>
        <v>1.2500000000000001E-2</v>
      </c>
      <c r="BV2661" s="109">
        <f t="shared" si="1936"/>
        <v>1.2500000000000001E-2</v>
      </c>
      <c r="BW2661" s="109">
        <f t="shared" si="1948"/>
        <v>0</v>
      </c>
      <c r="BX2661" s="111">
        <f t="shared" si="1929"/>
        <v>0</v>
      </c>
      <c r="BY2661" s="129">
        <f t="shared" si="1937"/>
        <v>-2</v>
      </c>
      <c r="BZ2661" s="111">
        <f t="shared" si="1938"/>
        <v>0</v>
      </c>
      <c r="CA2661" s="138">
        <f t="shared" si="1939"/>
        <v>2</v>
      </c>
      <c r="CB2661" s="111" t="e">
        <f t="shared" si="1952"/>
        <v>#VALUE!</v>
      </c>
      <c r="CC2661" s="129">
        <f>M2661-I2661+1</f>
        <v>2</v>
      </c>
      <c r="CD2661" s="111">
        <f>CC2661-BF2661</f>
        <v>0</v>
      </c>
      <c r="CG2661" s="129" t="str">
        <f t="shared" si="1942"/>
        <v>N</v>
      </c>
      <c r="CI2661" s="129" t="str">
        <f t="shared" si="1943"/>
        <v>0-10 DAYS</v>
      </c>
      <c r="CJ2661" s="137">
        <f t="shared" si="1944"/>
        <v>1</v>
      </c>
      <c r="CK2661" s="129" t="str">
        <f t="shared" si="1945"/>
        <v>Booked</v>
      </c>
    </row>
    <row r="2662" spans="1:89" ht="15" customHeight="1" x14ac:dyDescent="0.25">
      <c r="A2662" s="111">
        <v>504</v>
      </c>
      <c r="B2662" s="128" t="str">
        <f t="shared" si="1931"/>
        <v>N</v>
      </c>
      <c r="C2662" s="128" t="str">
        <f t="shared" si="1932"/>
        <v>N</v>
      </c>
      <c r="D2662" s="117">
        <v>2600880</v>
      </c>
      <c r="E2662" s="135">
        <f t="shared" si="1933"/>
        <v>2</v>
      </c>
      <c r="F2662" s="124">
        <v>40929</v>
      </c>
      <c r="G2662" s="125">
        <v>41023</v>
      </c>
      <c r="H2662" s="117">
        <v>2600880</v>
      </c>
      <c r="I2662" s="124">
        <v>40929</v>
      </c>
      <c r="J2662" s="124">
        <v>40930</v>
      </c>
      <c r="K2662" s="126">
        <v>5000</v>
      </c>
      <c r="L2662" s="127" t="s">
        <v>569</v>
      </c>
      <c r="M2662" s="125">
        <v>40930</v>
      </c>
      <c r="N2662" s="129" t="str">
        <f t="shared" si="1949"/>
        <v>Y</v>
      </c>
      <c r="O2662" s="128" t="s">
        <v>76</v>
      </c>
      <c r="P2662" s="129" t="s">
        <v>589</v>
      </c>
      <c r="Q2662" s="111">
        <f t="shared" si="1946"/>
        <v>2</v>
      </c>
      <c r="R2662" s="111">
        <f t="shared" si="1918"/>
        <v>95</v>
      </c>
      <c r="S2662" s="129">
        <v>0</v>
      </c>
      <c r="T2662" s="129">
        <v>0</v>
      </c>
      <c r="W2662" s="111"/>
      <c r="AC2662" s="130"/>
      <c r="AD2662" s="130">
        <v>33849</v>
      </c>
      <c r="AE2662" s="128" t="s">
        <v>32</v>
      </c>
      <c r="AF2662" s="128" t="s">
        <v>33</v>
      </c>
      <c r="AG2662" s="128" t="s">
        <v>872</v>
      </c>
      <c r="AH2662" s="108" t="s">
        <v>31</v>
      </c>
      <c r="AI2662" s="128" t="s">
        <v>118</v>
      </c>
      <c r="AJ2662" s="129" t="s">
        <v>48</v>
      </c>
      <c r="AK2662" s="129">
        <v>4</v>
      </c>
      <c r="AL2662" s="3" t="s">
        <v>48</v>
      </c>
      <c r="AP2662" s="129" t="s">
        <v>148</v>
      </c>
      <c r="AR2662" s="128" t="s">
        <v>67</v>
      </c>
      <c r="AS2662" s="129" t="s">
        <v>45</v>
      </c>
      <c r="BC2662" s="129" t="s">
        <v>52</v>
      </c>
      <c r="BF2662" s="111">
        <f t="shared" si="1950"/>
        <v>2</v>
      </c>
      <c r="BG2662" s="111">
        <f t="shared" si="1951"/>
        <v>95</v>
      </c>
      <c r="BH2662" s="111">
        <f t="shared" si="1919"/>
        <v>95</v>
      </c>
      <c r="BI2662" s="111">
        <f t="shared" si="1921"/>
        <v>19.344262295081968</v>
      </c>
      <c r="BJ2662" s="129">
        <f t="shared" si="1947"/>
        <v>0</v>
      </c>
      <c r="BK2662" s="129">
        <f t="shared" si="1920"/>
        <v>-93</v>
      </c>
      <c r="BL2662" s="129" t="str">
        <f t="shared" si="1917"/>
        <v>DEFERRED</v>
      </c>
      <c r="BM2662" s="129" t="s">
        <v>76</v>
      </c>
      <c r="BN2662" s="129" t="s">
        <v>88</v>
      </c>
      <c r="BP2662" s="137" t="str">
        <f t="shared" si="1925"/>
        <v>DEFERRED</v>
      </c>
      <c r="BQ2662" s="128" t="str">
        <f t="shared" si="1934"/>
        <v>Y</v>
      </c>
      <c r="BR2662" s="129" t="str">
        <f t="shared" si="1935"/>
        <v>ON BOND</v>
      </c>
      <c r="BS2662" s="129" t="str">
        <f t="shared" si="1926"/>
        <v>DISPOSED</v>
      </c>
      <c r="BT2662" s="129" t="str">
        <f t="shared" si="1927"/>
        <v>N</v>
      </c>
      <c r="BU2662" s="109">
        <f t="shared" si="1928"/>
        <v>2.1052631578947368E-2</v>
      </c>
      <c r="BV2662" s="109">
        <f t="shared" si="1936"/>
        <v>2.1052631578947368E-2</v>
      </c>
      <c r="BW2662" s="109">
        <f t="shared" si="1948"/>
        <v>0</v>
      </c>
      <c r="BX2662" s="111">
        <f t="shared" si="1929"/>
        <v>0</v>
      </c>
      <c r="BY2662" s="129">
        <f t="shared" si="1937"/>
        <v>-2</v>
      </c>
      <c r="BZ2662" s="111">
        <f t="shared" si="1938"/>
        <v>0</v>
      </c>
      <c r="CA2662" s="138">
        <f t="shared" si="1939"/>
        <v>2</v>
      </c>
      <c r="CB2662" s="111" t="e">
        <f t="shared" si="1952"/>
        <v>#VALUE!</v>
      </c>
      <c r="CC2662" s="129">
        <f>M2662-I2662+1</f>
        <v>2</v>
      </c>
      <c r="CD2662" s="111">
        <f>CC2662-BF2662</f>
        <v>0</v>
      </c>
      <c r="CG2662" s="129" t="str">
        <f t="shared" si="1942"/>
        <v>N</v>
      </c>
      <c r="CI2662" s="129" t="str">
        <f t="shared" si="1943"/>
        <v>0-10 DAYS</v>
      </c>
      <c r="CJ2662" s="137">
        <f t="shared" si="1944"/>
        <v>1</v>
      </c>
      <c r="CK2662" s="129" t="str">
        <f t="shared" si="1945"/>
        <v>Booked</v>
      </c>
    </row>
    <row r="2663" spans="1:89" ht="15" customHeight="1" x14ac:dyDescent="0.25">
      <c r="A2663" s="111">
        <v>508</v>
      </c>
      <c r="B2663" s="128" t="str">
        <f t="shared" si="1931"/>
        <v>N</v>
      </c>
      <c r="C2663" s="128" t="str">
        <f t="shared" si="1932"/>
        <v>N</v>
      </c>
      <c r="D2663" s="117">
        <v>2600881</v>
      </c>
      <c r="E2663" s="135">
        <f t="shared" si="1933"/>
        <v>6</v>
      </c>
      <c r="F2663" s="124">
        <v>40929</v>
      </c>
      <c r="G2663" s="125">
        <v>40987</v>
      </c>
      <c r="H2663" s="117">
        <v>2600881</v>
      </c>
      <c r="I2663" s="124">
        <v>40929</v>
      </c>
      <c r="J2663" s="124">
        <v>40987</v>
      </c>
      <c r="K2663" s="126">
        <v>10000</v>
      </c>
      <c r="L2663" s="127" t="s">
        <v>570</v>
      </c>
      <c r="N2663" s="129" t="str">
        <f t="shared" si="1949"/>
        <v>N</v>
      </c>
      <c r="O2663" s="128" t="s">
        <v>917</v>
      </c>
      <c r="P2663" s="129" t="s">
        <v>39</v>
      </c>
      <c r="Q2663" s="111">
        <f t="shared" si="1946"/>
        <v>59</v>
      </c>
      <c r="R2663" s="111">
        <f t="shared" si="1918"/>
        <v>59</v>
      </c>
      <c r="S2663" s="129">
        <v>0</v>
      </c>
      <c r="T2663" s="129">
        <v>1</v>
      </c>
      <c r="W2663" s="111"/>
      <c r="AC2663" s="130"/>
      <c r="AD2663" s="130">
        <v>29901</v>
      </c>
      <c r="AE2663" s="128" t="s">
        <v>32</v>
      </c>
      <c r="AF2663" s="128" t="s">
        <v>33</v>
      </c>
      <c r="AG2663" s="128" t="s">
        <v>872</v>
      </c>
      <c r="AH2663" s="108" t="s">
        <v>31</v>
      </c>
      <c r="AI2663" s="128" t="s">
        <v>141</v>
      </c>
      <c r="AJ2663" s="129" t="s">
        <v>89</v>
      </c>
      <c r="AK2663" s="129">
        <v>3</v>
      </c>
      <c r="AL2663" s="3" t="s">
        <v>362</v>
      </c>
      <c r="AM2663" s="117">
        <v>2</v>
      </c>
      <c r="AP2663" s="129" t="s">
        <v>93</v>
      </c>
      <c r="AR2663" s="128" t="s">
        <v>67</v>
      </c>
      <c r="AS2663" s="129" t="s">
        <v>45</v>
      </c>
      <c r="BC2663" s="129" t="s">
        <v>38</v>
      </c>
      <c r="BF2663" s="111">
        <f t="shared" si="1950"/>
        <v>59</v>
      </c>
      <c r="BG2663" s="111">
        <f t="shared" si="1951"/>
        <v>59</v>
      </c>
      <c r="BH2663" s="111">
        <f t="shared" si="1919"/>
        <v>59</v>
      </c>
      <c r="BI2663" s="111">
        <f t="shared" si="1921"/>
        <v>30.131147540983605</v>
      </c>
      <c r="BJ2663" s="129">
        <f>G2663-J2663-M2663</f>
        <v>0</v>
      </c>
      <c r="BK2663" s="129">
        <f t="shared" si="1920"/>
        <v>0</v>
      </c>
      <c r="BL2663" s="129" t="str">
        <f t="shared" si="1917"/>
        <v>CONVICTION</v>
      </c>
      <c r="BM2663" s="129" t="str">
        <f>O2663</f>
        <v>NONE</v>
      </c>
      <c r="BN2663" s="129" t="s">
        <v>566</v>
      </c>
      <c r="BP2663" s="137" t="str">
        <f t="shared" si="1925"/>
        <v>CONVICTION</v>
      </c>
      <c r="BQ2663" s="128" t="str">
        <f t="shared" si="1934"/>
        <v>Y</v>
      </c>
      <c r="BR2663" s="129" t="str">
        <f t="shared" si="1935"/>
        <v>DETAINED</v>
      </c>
      <c r="BS2663" s="129" t="str">
        <f t="shared" si="1926"/>
        <v>DISPOSED</v>
      </c>
      <c r="BT2663" s="129" t="str">
        <f t="shared" si="1927"/>
        <v>N</v>
      </c>
      <c r="BU2663" s="109">
        <f t="shared" si="1928"/>
        <v>1</v>
      </c>
      <c r="BV2663" s="109">
        <f t="shared" si="1936"/>
        <v>1</v>
      </c>
      <c r="BW2663" s="109">
        <f t="shared" si="1948"/>
        <v>0</v>
      </c>
      <c r="BX2663" s="111">
        <f t="shared" si="1929"/>
        <v>0</v>
      </c>
      <c r="BY2663" s="129">
        <f t="shared" si="1937"/>
        <v>-59</v>
      </c>
      <c r="BZ2663" s="111">
        <f t="shared" si="1938"/>
        <v>0</v>
      </c>
      <c r="CA2663" s="138">
        <f t="shared" si="1939"/>
        <v>59</v>
      </c>
      <c r="CB2663" s="111" t="e">
        <f t="shared" si="1952"/>
        <v>#VALUE!</v>
      </c>
      <c r="CC2663" s="129">
        <f>G2663-I2663+1</f>
        <v>59</v>
      </c>
      <c r="CD2663" s="129">
        <f>G2663-J2663</f>
        <v>0</v>
      </c>
      <c r="CG2663" s="129" t="str">
        <f t="shared" si="1942"/>
        <v>Y</v>
      </c>
      <c r="CI2663" s="129" t="str">
        <f t="shared" si="1943"/>
        <v>31-60 DAYS</v>
      </c>
      <c r="CJ2663" s="137">
        <f t="shared" si="1944"/>
        <v>3</v>
      </c>
      <c r="CK2663" s="129" t="str">
        <f t="shared" si="1945"/>
        <v>Booked</v>
      </c>
    </row>
    <row r="2664" spans="1:89" ht="15.75" customHeight="1" x14ac:dyDescent="0.25">
      <c r="A2664" s="111">
        <v>512</v>
      </c>
      <c r="B2664" s="128" t="str">
        <f t="shared" si="1931"/>
        <v>N</v>
      </c>
      <c r="C2664" s="128" t="str">
        <f t="shared" si="1932"/>
        <v>N</v>
      </c>
      <c r="D2664" s="117">
        <v>2600904</v>
      </c>
      <c r="E2664" s="135">
        <f t="shared" si="1933"/>
        <v>1</v>
      </c>
      <c r="F2664" s="124">
        <v>40929</v>
      </c>
      <c r="G2664" s="125">
        <v>40931</v>
      </c>
      <c r="H2664" s="117">
        <v>2600904</v>
      </c>
      <c r="I2664" s="124">
        <v>40930</v>
      </c>
      <c r="J2664" s="124">
        <v>40931</v>
      </c>
      <c r="K2664" s="126">
        <v>2000</v>
      </c>
      <c r="L2664" s="127" t="s">
        <v>568</v>
      </c>
      <c r="N2664" s="129" t="str">
        <f t="shared" si="1949"/>
        <v>N</v>
      </c>
      <c r="O2664" s="128" t="s">
        <v>917</v>
      </c>
      <c r="P2664" s="129" t="s">
        <v>55</v>
      </c>
      <c r="Q2664" s="111">
        <f t="shared" si="1946"/>
        <v>2</v>
      </c>
      <c r="R2664" s="111">
        <f t="shared" si="1918"/>
        <v>3</v>
      </c>
      <c r="S2664" s="129">
        <v>0</v>
      </c>
      <c r="T2664" s="129">
        <v>0</v>
      </c>
      <c r="W2664" s="111"/>
      <c r="AB2664" s="131" t="s">
        <v>112</v>
      </c>
      <c r="AC2664" s="130"/>
      <c r="AD2664" s="130">
        <v>28592</v>
      </c>
      <c r="AE2664" s="128" t="s">
        <v>32</v>
      </c>
      <c r="AF2664" s="128" t="s">
        <v>40</v>
      </c>
      <c r="AG2664" s="128" t="s">
        <v>41</v>
      </c>
      <c r="AH2664" s="108" t="s">
        <v>31</v>
      </c>
      <c r="AI2664" s="128" t="s">
        <v>70</v>
      </c>
      <c r="AJ2664" s="129" t="s">
        <v>55</v>
      </c>
      <c r="AL2664" s="3" t="s">
        <v>55</v>
      </c>
      <c r="AP2664" s="129" t="s">
        <v>43</v>
      </c>
      <c r="AR2664" s="128" t="s">
        <v>44</v>
      </c>
      <c r="AS2664" s="129" t="s">
        <v>45</v>
      </c>
      <c r="BC2664" s="129" t="s">
        <v>79</v>
      </c>
      <c r="BF2664" s="111">
        <f t="shared" si="1950"/>
        <v>2</v>
      </c>
      <c r="BG2664" s="111">
        <f t="shared" si="1951"/>
        <v>2</v>
      </c>
      <c r="BH2664" s="111">
        <f t="shared" si="1919"/>
        <v>3</v>
      </c>
      <c r="BI2664" s="111">
        <f t="shared" si="1921"/>
        <v>33.707650273224047</v>
      </c>
      <c r="BJ2664" s="129">
        <f>G2664-J2664-M2664</f>
        <v>0</v>
      </c>
      <c r="BK2664" s="129">
        <f t="shared" si="1920"/>
        <v>0</v>
      </c>
      <c r="BL2664" s="129" t="str">
        <f t="shared" si="1917"/>
        <v>NO CONVICTION</v>
      </c>
      <c r="BM2664" s="129" t="str">
        <f>O2664</f>
        <v>NONE</v>
      </c>
      <c r="BN2664" s="129" t="s">
        <v>566</v>
      </c>
      <c r="BP2664" s="137" t="str">
        <f t="shared" si="1925"/>
        <v>NO CONVICTION</v>
      </c>
      <c r="BQ2664" s="128" t="str">
        <f t="shared" si="1934"/>
        <v>Y</v>
      </c>
      <c r="BR2664" s="129" t="str">
        <f t="shared" si="1935"/>
        <v>DETAINED</v>
      </c>
      <c r="BS2664" s="129" t="str">
        <f t="shared" si="1926"/>
        <v>DISPOSED</v>
      </c>
      <c r="BT2664" s="129" t="str">
        <f t="shared" si="1927"/>
        <v>N</v>
      </c>
      <c r="BU2664" s="109">
        <f>IFERROR(Q2664/R2664,BR2664)</f>
        <v>0.66666666666666663</v>
      </c>
      <c r="BV2664" s="109">
        <f t="shared" si="1936"/>
        <v>1</v>
      </c>
      <c r="BW2664" s="109">
        <f t="shared" si="1948"/>
        <v>0.33333333333333337</v>
      </c>
      <c r="BX2664" s="111">
        <f t="shared" si="1929"/>
        <v>0</v>
      </c>
      <c r="BY2664" s="129">
        <f t="shared" si="1937"/>
        <v>-2</v>
      </c>
      <c r="BZ2664" s="111">
        <f t="shared" si="1938"/>
        <v>0</v>
      </c>
      <c r="CA2664" s="138">
        <f t="shared" si="1939"/>
        <v>2</v>
      </c>
      <c r="CB2664" s="111" t="e">
        <f t="shared" si="1952"/>
        <v>#VALUE!</v>
      </c>
      <c r="CC2664" s="129">
        <f>G2664-I2664+1</f>
        <v>2</v>
      </c>
      <c r="CD2664" s="129">
        <f>G2664-J2664</f>
        <v>0</v>
      </c>
      <c r="CG2664" s="129" t="str">
        <f t="shared" si="1942"/>
        <v>N</v>
      </c>
      <c r="CI2664" s="129" t="str">
        <f t="shared" si="1943"/>
        <v>0-10 DAYS</v>
      </c>
      <c r="CJ2664" s="137">
        <f t="shared" si="1944"/>
        <v>1</v>
      </c>
      <c r="CK2664" s="129" t="str">
        <f t="shared" si="1945"/>
        <v>Booked</v>
      </c>
    </row>
    <row r="2665" spans="1:89" ht="15" customHeight="1" x14ac:dyDescent="0.25">
      <c r="A2665" s="111">
        <v>525</v>
      </c>
      <c r="B2665" s="128" t="str">
        <f t="shared" si="1931"/>
        <v>N</v>
      </c>
      <c r="C2665" s="128" t="str">
        <f t="shared" si="1932"/>
        <v>N</v>
      </c>
      <c r="D2665" s="117">
        <v>2600906</v>
      </c>
      <c r="E2665" s="135">
        <f t="shared" si="1933"/>
        <v>2</v>
      </c>
      <c r="F2665" s="124">
        <v>40929</v>
      </c>
      <c r="G2665" s="125">
        <v>40976</v>
      </c>
      <c r="H2665" s="117">
        <v>2600906</v>
      </c>
      <c r="I2665" s="124">
        <v>40929</v>
      </c>
      <c r="J2665" s="124">
        <v>40930</v>
      </c>
      <c r="K2665" s="126">
        <v>2000</v>
      </c>
      <c r="L2665" s="127" t="s">
        <v>568</v>
      </c>
      <c r="M2665" s="125">
        <v>40930</v>
      </c>
      <c r="N2665" s="129" t="str">
        <f t="shared" si="1949"/>
        <v>Y</v>
      </c>
      <c r="O2665" s="128" t="s">
        <v>585</v>
      </c>
      <c r="P2665" s="129" t="s">
        <v>589</v>
      </c>
      <c r="Q2665" s="111">
        <f t="shared" si="1946"/>
        <v>2</v>
      </c>
      <c r="R2665" s="111">
        <f t="shared" si="1918"/>
        <v>48</v>
      </c>
      <c r="S2665" s="129">
        <v>1</v>
      </c>
      <c r="T2665" s="129">
        <v>1</v>
      </c>
      <c r="V2665" s="117">
        <v>1</v>
      </c>
      <c r="W2665" s="111"/>
      <c r="AC2665" s="130"/>
      <c r="AD2665" s="130">
        <v>28604</v>
      </c>
      <c r="AE2665" s="128" t="s">
        <v>46</v>
      </c>
      <c r="AF2665" s="128" t="s">
        <v>69</v>
      </c>
      <c r="AG2665" s="128" t="s">
        <v>874</v>
      </c>
      <c r="AH2665" s="108" t="s">
        <v>31</v>
      </c>
      <c r="AI2665" s="128" t="s">
        <v>65</v>
      </c>
      <c r="AJ2665" s="129" t="s">
        <v>48</v>
      </c>
      <c r="AK2665" s="129">
        <v>4</v>
      </c>
      <c r="AL2665" s="3" t="s">
        <v>48</v>
      </c>
      <c r="AP2665" s="129" t="s">
        <v>104</v>
      </c>
      <c r="AR2665" s="128" t="s">
        <v>44</v>
      </c>
      <c r="AS2665" s="129" t="s">
        <v>64</v>
      </c>
      <c r="BC2665" s="129" t="s">
        <v>38</v>
      </c>
      <c r="BF2665" s="111">
        <f t="shared" si="1950"/>
        <v>2</v>
      </c>
      <c r="BG2665" s="111">
        <f t="shared" si="1951"/>
        <v>48</v>
      </c>
      <c r="BH2665" s="111">
        <f t="shared" si="1919"/>
        <v>48</v>
      </c>
      <c r="BI2665" s="111">
        <f t="shared" si="1921"/>
        <v>33.674863387978142</v>
      </c>
      <c r="BJ2665" s="129">
        <f>(G2665-J2665)+(M2665-G2665)</f>
        <v>0</v>
      </c>
      <c r="BK2665" s="129">
        <f t="shared" si="1920"/>
        <v>-46</v>
      </c>
      <c r="BL2665" s="129" t="str">
        <f t="shared" si="1917"/>
        <v>DEFERRED</v>
      </c>
      <c r="BM2665" s="129" t="s">
        <v>76</v>
      </c>
      <c r="BN2665" s="129" t="s">
        <v>88</v>
      </c>
      <c r="BP2665" s="137" t="str">
        <f t="shared" si="1925"/>
        <v>DEFERRED</v>
      </c>
      <c r="BQ2665" s="128" t="str">
        <f t="shared" si="1934"/>
        <v>Y</v>
      </c>
      <c r="BR2665" s="129" t="str">
        <f t="shared" si="1935"/>
        <v>ON BOND</v>
      </c>
      <c r="BS2665" s="129" t="str">
        <f t="shared" si="1926"/>
        <v>DISPOSED</v>
      </c>
      <c r="BT2665" s="129" t="str">
        <f t="shared" si="1927"/>
        <v>Y</v>
      </c>
      <c r="BU2665" s="109">
        <f t="shared" si="1928"/>
        <v>4.1666666666666664E-2</v>
      </c>
      <c r="BV2665" s="109">
        <f t="shared" si="1936"/>
        <v>4.1666666666666664E-2</v>
      </c>
      <c r="BW2665" s="109">
        <f t="shared" si="1948"/>
        <v>0</v>
      </c>
      <c r="BX2665" s="111">
        <f t="shared" si="1929"/>
        <v>0</v>
      </c>
      <c r="BY2665" s="129">
        <f t="shared" si="1937"/>
        <v>-2</v>
      </c>
      <c r="BZ2665" s="111">
        <f t="shared" si="1938"/>
        <v>0</v>
      </c>
      <c r="CA2665" s="138">
        <f t="shared" si="1939"/>
        <v>2</v>
      </c>
      <c r="CB2665" s="111" t="e">
        <f t="shared" si="1952"/>
        <v>#VALUE!</v>
      </c>
      <c r="CC2665" s="129">
        <f>M2665-I2665+1</f>
        <v>2</v>
      </c>
      <c r="CD2665" s="111">
        <f>CC2665-BF2665</f>
        <v>0</v>
      </c>
      <c r="CG2665" s="129" t="str">
        <f t="shared" si="1942"/>
        <v>Y</v>
      </c>
      <c r="CI2665" s="129" t="str">
        <f t="shared" si="1943"/>
        <v>0-10 DAYS</v>
      </c>
      <c r="CJ2665" s="137">
        <f t="shared" si="1944"/>
        <v>1</v>
      </c>
      <c r="CK2665" s="129" t="str">
        <f t="shared" si="1945"/>
        <v>Booked</v>
      </c>
    </row>
    <row r="2666" spans="1:89" ht="15" customHeight="1" x14ac:dyDescent="0.25">
      <c r="A2666" s="111">
        <v>518</v>
      </c>
      <c r="B2666" s="128" t="str">
        <f t="shared" si="1931"/>
        <v>N</v>
      </c>
      <c r="C2666" s="128" t="str">
        <f t="shared" si="1932"/>
        <v>N</v>
      </c>
      <c r="D2666" s="114">
        <v>2600922</v>
      </c>
      <c r="E2666" s="135">
        <f t="shared" si="1933"/>
        <v>3</v>
      </c>
      <c r="F2666" s="124">
        <v>40929</v>
      </c>
      <c r="G2666" s="125">
        <v>41537</v>
      </c>
      <c r="H2666" s="114">
        <v>2600922</v>
      </c>
      <c r="I2666" s="124">
        <v>40929</v>
      </c>
      <c r="J2666" s="124">
        <v>40930</v>
      </c>
      <c r="K2666" s="126">
        <v>10000</v>
      </c>
      <c r="L2666" s="127" t="s">
        <v>570</v>
      </c>
      <c r="M2666" s="124">
        <v>40930</v>
      </c>
      <c r="N2666" s="129" t="str">
        <f t="shared" si="1949"/>
        <v>Y</v>
      </c>
      <c r="O2666" s="128" t="s">
        <v>76</v>
      </c>
      <c r="P2666" s="129" t="s">
        <v>39</v>
      </c>
      <c r="Q2666" s="111">
        <v>2</v>
      </c>
      <c r="R2666" s="111">
        <f t="shared" si="1918"/>
        <v>609</v>
      </c>
      <c r="S2666" s="129">
        <v>0</v>
      </c>
      <c r="T2666" s="129">
        <v>0</v>
      </c>
      <c r="W2666" s="111"/>
      <c r="AC2666" s="130"/>
      <c r="AD2666" s="130">
        <v>30680</v>
      </c>
      <c r="AE2666" s="128" t="s">
        <v>32</v>
      </c>
      <c r="AF2666" s="128" t="s">
        <v>69</v>
      </c>
      <c r="AG2666" s="128" t="s">
        <v>874</v>
      </c>
      <c r="AH2666" s="108" t="s">
        <v>31</v>
      </c>
      <c r="AI2666" s="128" t="s">
        <v>62</v>
      </c>
      <c r="AJ2666" s="129" t="s">
        <v>89</v>
      </c>
      <c r="AK2666" s="129">
        <v>7</v>
      </c>
      <c r="AL2666" s="3" t="s">
        <v>185</v>
      </c>
      <c r="AP2666" s="129" t="s">
        <v>66</v>
      </c>
      <c r="AR2666" s="128" t="s">
        <v>67</v>
      </c>
      <c r="AS2666" s="129" t="s">
        <v>68</v>
      </c>
      <c r="AT2666" s="129" t="s">
        <v>1239</v>
      </c>
      <c r="BC2666" s="129" t="s">
        <v>52</v>
      </c>
      <c r="BF2666" s="111">
        <v>4</v>
      </c>
      <c r="BG2666" s="111">
        <f t="shared" si="1951"/>
        <v>609</v>
      </c>
      <c r="BH2666" s="111">
        <f t="shared" si="1919"/>
        <v>609</v>
      </c>
      <c r="BI2666" s="111">
        <f t="shared" si="1921"/>
        <v>28.002732240437158</v>
      </c>
      <c r="BJ2666" s="129">
        <f>(G2666-J2666)+(M2666-G2666)</f>
        <v>0</v>
      </c>
      <c r="BK2666" s="129">
        <f t="shared" si="1920"/>
        <v>-607</v>
      </c>
      <c r="BL2666" s="129" t="str">
        <f t="shared" si="1917"/>
        <v>CONVICTION</v>
      </c>
      <c r="BM2666" s="129" t="s">
        <v>76</v>
      </c>
      <c r="BN2666" s="129" t="s">
        <v>88</v>
      </c>
      <c r="BP2666" s="137" t="str">
        <f t="shared" si="1925"/>
        <v>CONVICTION</v>
      </c>
      <c r="BQ2666" s="128" t="str">
        <f t="shared" si="1934"/>
        <v>Y</v>
      </c>
      <c r="BR2666" s="129" t="str">
        <f>IF(J2666&lt;G2666,"ON BOND",0)</f>
        <v>ON BOND</v>
      </c>
      <c r="BS2666" s="129" t="str">
        <f t="shared" si="1926"/>
        <v>DISPOSED</v>
      </c>
      <c r="BT2666" s="129" t="str">
        <f t="shared" si="1927"/>
        <v>N</v>
      </c>
      <c r="BU2666" s="109">
        <f t="shared" si="1928"/>
        <v>3.2840722495894909E-3</v>
      </c>
      <c r="BV2666" s="109">
        <f t="shared" si="1936"/>
        <v>3.2840722495894909E-3</v>
      </c>
      <c r="BW2666" s="109">
        <f t="shared" si="1948"/>
        <v>0</v>
      </c>
      <c r="BX2666" s="111">
        <f t="shared" si="1929"/>
        <v>-2</v>
      </c>
      <c r="BY2666" s="129">
        <f t="shared" si="1937"/>
        <v>-2</v>
      </c>
      <c r="BZ2666" s="111">
        <v>0</v>
      </c>
      <c r="CA2666" s="138">
        <f t="shared" si="1939"/>
        <v>2</v>
      </c>
      <c r="CB2666" s="111">
        <v>4</v>
      </c>
      <c r="CC2666" s="129">
        <f>M2666-I2666+1</f>
        <v>2</v>
      </c>
      <c r="CD2666" s="111">
        <f>CC2666-BF2666</f>
        <v>-2</v>
      </c>
      <c r="CG2666" s="129" t="str">
        <f t="shared" si="1942"/>
        <v>N</v>
      </c>
      <c r="CI2666" s="129" t="str">
        <f t="shared" si="1943"/>
        <v>0-10 DAYS</v>
      </c>
      <c r="CJ2666" s="137">
        <f t="shared" si="1944"/>
        <v>1</v>
      </c>
      <c r="CK2666" s="129" t="str">
        <f t="shared" si="1945"/>
        <v>Booked</v>
      </c>
    </row>
    <row r="2667" spans="1:89" ht="15" customHeight="1" x14ac:dyDescent="0.25">
      <c r="A2667" s="111">
        <v>528</v>
      </c>
      <c r="B2667" s="128" t="str">
        <f t="shared" si="1931"/>
        <v>N</v>
      </c>
      <c r="C2667" s="128" t="str">
        <f t="shared" si="1932"/>
        <v>N</v>
      </c>
      <c r="D2667" s="117">
        <v>2600952</v>
      </c>
      <c r="E2667" s="135">
        <f t="shared" si="1933"/>
        <v>1</v>
      </c>
      <c r="F2667" s="124">
        <v>40929</v>
      </c>
      <c r="G2667" s="125">
        <v>41059</v>
      </c>
      <c r="H2667" s="117">
        <v>2600952</v>
      </c>
      <c r="I2667" s="124" t="s">
        <v>562</v>
      </c>
      <c r="J2667" s="124" t="s">
        <v>562</v>
      </c>
      <c r="K2667" s="126">
        <v>5000</v>
      </c>
      <c r="L2667" s="127" t="s">
        <v>569</v>
      </c>
      <c r="M2667" s="125">
        <v>40930</v>
      </c>
      <c r="N2667" s="129" t="str">
        <f>IF(M2667&gt;1/1/1,"Y",IF(Q2667="0","","N"))</f>
        <v>Y</v>
      </c>
      <c r="O2667" s="128" t="s">
        <v>76</v>
      </c>
      <c r="P2667" s="129" t="s">
        <v>55</v>
      </c>
      <c r="Q2667" s="111">
        <f t="shared" si="1946"/>
        <v>0</v>
      </c>
      <c r="R2667" s="111">
        <f t="shared" si="1918"/>
        <v>131</v>
      </c>
      <c r="S2667" s="129">
        <v>0</v>
      </c>
      <c r="T2667" s="129">
        <v>0</v>
      </c>
      <c r="W2667" s="111"/>
      <c r="AC2667" s="130"/>
      <c r="AD2667" s="130">
        <v>32342</v>
      </c>
      <c r="AE2667" s="128" t="s">
        <v>32</v>
      </c>
      <c r="AF2667" s="128" t="s">
        <v>69</v>
      </c>
      <c r="AG2667" s="128" t="s">
        <v>874</v>
      </c>
      <c r="AH2667" s="108" t="s">
        <v>31</v>
      </c>
      <c r="AI2667" s="128" t="s">
        <v>62</v>
      </c>
      <c r="AJ2667" s="129" t="s">
        <v>55</v>
      </c>
      <c r="AK2667" s="129">
        <v>5</v>
      </c>
      <c r="AL2667" s="3" t="s">
        <v>55</v>
      </c>
      <c r="AP2667" s="129" t="s">
        <v>137</v>
      </c>
      <c r="AR2667" s="128" t="s">
        <v>67</v>
      </c>
      <c r="AS2667" s="129" t="s">
        <v>64</v>
      </c>
      <c r="BC2667" s="129" t="s">
        <v>52</v>
      </c>
      <c r="BF2667" s="111">
        <v>0</v>
      </c>
      <c r="BG2667" s="111">
        <v>0</v>
      </c>
      <c r="BH2667" s="111">
        <f t="shared" si="1919"/>
        <v>131</v>
      </c>
      <c r="BI2667" s="111">
        <f t="shared" si="1921"/>
        <v>23.461748633879782</v>
      </c>
      <c r="BJ2667" s="129" t="e">
        <f>(G2667-J2667)+(M2667-G2667)</f>
        <v>#VALUE!</v>
      </c>
      <c r="BK2667" s="129" t="e">
        <f t="shared" si="1920"/>
        <v>#VALUE!</v>
      </c>
      <c r="BL2667" s="129" t="str">
        <f t="shared" si="1917"/>
        <v>NO CONVICTION</v>
      </c>
      <c r="BM2667" s="129" t="s">
        <v>76</v>
      </c>
      <c r="BN2667" s="129" t="s">
        <v>88</v>
      </c>
      <c r="BP2667" s="137" t="str">
        <f t="shared" si="1925"/>
        <v>NO CONVICTION</v>
      </c>
      <c r="BQ2667" s="128">
        <f t="shared" si="1934"/>
        <v>0</v>
      </c>
      <c r="BR2667" s="129" t="s">
        <v>575</v>
      </c>
      <c r="BS2667" s="129" t="str">
        <f t="shared" si="1926"/>
        <v>DISPOSED</v>
      </c>
      <c r="BT2667" s="129" t="str">
        <f t="shared" si="1927"/>
        <v>N</v>
      </c>
      <c r="BU2667" s="109">
        <f>IFERROR(Q2667/R2667,BR2667)</f>
        <v>0</v>
      </c>
      <c r="BV2667" s="109">
        <v>0</v>
      </c>
      <c r="BW2667" s="109">
        <f t="shared" si="1948"/>
        <v>0</v>
      </c>
      <c r="BX2667" s="111">
        <f t="shared" si="1929"/>
        <v>0</v>
      </c>
      <c r="BY2667" s="129" t="e">
        <f t="shared" si="1937"/>
        <v>#VALUE!</v>
      </c>
      <c r="BZ2667" s="111" t="e">
        <f t="shared" si="1938"/>
        <v>#VALUE!</v>
      </c>
      <c r="CA2667" s="138" t="e">
        <f t="shared" si="1939"/>
        <v>#VALUE!</v>
      </c>
      <c r="CB2667" s="111">
        <v>0</v>
      </c>
      <c r="CC2667" s="129">
        <v>0</v>
      </c>
      <c r="CD2667" s="111">
        <f>CC2667-BF2667</f>
        <v>0</v>
      </c>
      <c r="CG2667" s="129" t="str">
        <f t="shared" si="1942"/>
        <v>N</v>
      </c>
      <c r="CI2667" s="129" t="str">
        <f t="shared" si="1943"/>
        <v>0-10 DAYS</v>
      </c>
      <c r="CJ2667" s="137">
        <f t="shared" si="1944"/>
        <v>1</v>
      </c>
      <c r="CK2667" s="129" t="str">
        <f t="shared" si="1945"/>
        <v>Not Booked</v>
      </c>
    </row>
    <row r="2668" spans="1:89" ht="15" customHeight="1" x14ac:dyDescent="0.25">
      <c r="A2668" s="111">
        <v>1564</v>
      </c>
      <c r="B2668" s="128" t="str">
        <f t="shared" si="1931"/>
        <v>N</v>
      </c>
      <c r="C2668" s="128" t="str">
        <f t="shared" si="1932"/>
        <v>N</v>
      </c>
      <c r="D2668" s="117">
        <v>2600954</v>
      </c>
      <c r="E2668" s="135">
        <f t="shared" si="1933"/>
        <v>5</v>
      </c>
      <c r="F2668" s="124">
        <v>40967</v>
      </c>
      <c r="G2668" s="125">
        <v>41023</v>
      </c>
      <c r="H2668" s="117">
        <v>2600954</v>
      </c>
      <c r="I2668" s="124">
        <v>40967</v>
      </c>
      <c r="J2668" s="124">
        <v>41023</v>
      </c>
      <c r="K2668" s="126">
        <v>2000</v>
      </c>
      <c r="L2668" s="127" t="s">
        <v>568</v>
      </c>
      <c r="N2668" s="129" t="str">
        <f>IF(M2668&gt;1/1/1,"Y","N")</f>
        <v>N</v>
      </c>
      <c r="O2668" s="128" t="s">
        <v>917</v>
      </c>
      <c r="P2668" s="129" t="s">
        <v>39</v>
      </c>
      <c r="Q2668" s="111">
        <f t="shared" si="1946"/>
        <v>57</v>
      </c>
      <c r="R2668" s="111">
        <f t="shared" si="1918"/>
        <v>57</v>
      </c>
      <c r="S2668" s="129">
        <v>0</v>
      </c>
      <c r="T2668" s="129">
        <v>0</v>
      </c>
      <c r="W2668" s="111"/>
      <c r="AC2668" s="130"/>
      <c r="AD2668" s="130">
        <v>34651</v>
      </c>
      <c r="AE2668" s="128" t="s">
        <v>32</v>
      </c>
      <c r="AF2668" s="128" t="s">
        <v>33</v>
      </c>
      <c r="AG2668" s="128" t="s">
        <v>872</v>
      </c>
      <c r="AH2668" s="108" t="s">
        <v>31</v>
      </c>
      <c r="AI2668" s="128" t="s">
        <v>59</v>
      </c>
      <c r="AJ2668" s="129" t="s">
        <v>89</v>
      </c>
      <c r="AK2668" s="129">
        <v>4</v>
      </c>
      <c r="AL2668" s="3" t="s">
        <v>992</v>
      </c>
      <c r="AN2668" s="117">
        <v>6</v>
      </c>
      <c r="AP2668" s="129" t="s">
        <v>107</v>
      </c>
      <c r="AR2668" s="128" t="s">
        <v>44</v>
      </c>
      <c r="AS2668" s="129" t="s">
        <v>57</v>
      </c>
      <c r="BC2668" s="129" t="s">
        <v>99</v>
      </c>
      <c r="BF2668" s="111">
        <f>IF(J2668&gt;1/1/1900,((J2668+1)-I2668),"STILL OPEN")</f>
        <v>57</v>
      </c>
      <c r="BG2668" s="111">
        <f>IF(G2668&gt;1/1/1900,((G2668+1)-I2668),"STILL OPEN")</f>
        <v>57</v>
      </c>
      <c r="BH2668" s="111">
        <f t="shared" si="1919"/>
        <v>57</v>
      </c>
      <c r="BI2668" s="111">
        <f t="shared" si="1921"/>
        <v>17.256830601092897</v>
      </c>
      <c r="BJ2668" s="129">
        <f>G2668-J2668-M2668</f>
        <v>0</v>
      </c>
      <c r="BK2668" s="129">
        <f t="shared" si="1920"/>
        <v>0</v>
      </c>
      <c r="BL2668" s="129" t="str">
        <f t="shared" si="1917"/>
        <v>CONVICTION</v>
      </c>
      <c r="BM2668" s="129" t="str">
        <f>O2668</f>
        <v>NONE</v>
      </c>
      <c r="BN2668" s="129" t="s">
        <v>566</v>
      </c>
      <c r="BP2668" s="137" t="str">
        <f t="shared" si="1925"/>
        <v>CONVICTION</v>
      </c>
      <c r="BQ2668" s="128" t="str">
        <f t="shared" si="1934"/>
        <v>Y</v>
      </c>
      <c r="BR2668" s="129" t="str">
        <f t="shared" si="1935"/>
        <v>DETAINED</v>
      </c>
      <c r="BS2668" s="129" t="str">
        <f t="shared" si="1926"/>
        <v>DISPOSED</v>
      </c>
      <c r="BT2668" s="129" t="str">
        <f t="shared" si="1927"/>
        <v>N</v>
      </c>
      <c r="BU2668" s="109">
        <f t="shared" si="1928"/>
        <v>1</v>
      </c>
      <c r="BV2668" s="109">
        <f t="shared" si="1936"/>
        <v>1</v>
      </c>
      <c r="BW2668" s="109">
        <f t="shared" si="1948"/>
        <v>0</v>
      </c>
      <c r="BX2668" s="111">
        <f t="shared" si="1929"/>
        <v>0</v>
      </c>
      <c r="BY2668" s="129">
        <f t="shared" si="1937"/>
        <v>-57</v>
      </c>
      <c r="BZ2668" s="111">
        <f t="shared" si="1938"/>
        <v>0</v>
      </c>
      <c r="CA2668" s="138">
        <f t="shared" si="1939"/>
        <v>57</v>
      </c>
      <c r="CB2668" s="111" t="e">
        <f>IF(AF2668&gt;1/1/1900,((AF2668+1)-AE2668),"STILL OPEN")</f>
        <v>#VALUE!</v>
      </c>
      <c r="CC2668" s="129">
        <f>G2668-I2668+1</f>
        <v>57</v>
      </c>
      <c r="CD2668" s="129">
        <f>G2668-J2668</f>
        <v>0</v>
      </c>
      <c r="CG2668" s="129" t="str">
        <f t="shared" si="1942"/>
        <v>N</v>
      </c>
      <c r="CI2668" s="129" t="str">
        <f t="shared" si="1943"/>
        <v>31-60 DAYS</v>
      </c>
      <c r="CJ2668" s="137">
        <f t="shared" si="1944"/>
        <v>3</v>
      </c>
      <c r="CK2668" s="129" t="str">
        <f t="shared" si="1945"/>
        <v>Booked</v>
      </c>
    </row>
    <row r="2669" spans="1:89" ht="15.75" customHeight="1" x14ac:dyDescent="0.25">
      <c r="A2669" s="111">
        <v>538</v>
      </c>
      <c r="B2669" s="128" t="str">
        <f t="shared" si="1931"/>
        <v>N</v>
      </c>
      <c r="C2669" s="128" t="str">
        <f t="shared" si="1932"/>
        <v>N</v>
      </c>
      <c r="D2669" s="117">
        <v>2600991</v>
      </c>
      <c r="E2669" s="135">
        <f t="shared" si="1933"/>
        <v>4</v>
      </c>
      <c r="F2669" s="124">
        <v>40930</v>
      </c>
      <c r="G2669" s="125">
        <v>40931</v>
      </c>
      <c r="H2669" s="117">
        <v>2600991</v>
      </c>
      <c r="I2669" s="124">
        <v>40930</v>
      </c>
      <c r="J2669" s="124">
        <v>40931</v>
      </c>
      <c r="K2669" s="126">
        <v>5000</v>
      </c>
      <c r="L2669" s="127" t="s">
        <v>569</v>
      </c>
      <c r="N2669" s="129" t="str">
        <f>IF(M2669&gt;1/1/1,"Y","N")</f>
        <v>N</v>
      </c>
      <c r="O2669" s="128" t="s">
        <v>917</v>
      </c>
      <c r="P2669" s="129" t="s">
        <v>39</v>
      </c>
      <c r="Q2669" s="111">
        <f t="shared" si="1946"/>
        <v>2</v>
      </c>
      <c r="R2669" s="111">
        <f t="shared" si="1918"/>
        <v>2</v>
      </c>
      <c r="S2669" s="129">
        <v>0</v>
      </c>
      <c r="T2669" s="129">
        <v>0</v>
      </c>
      <c r="W2669" s="111"/>
      <c r="AB2669" s="131" t="s">
        <v>112</v>
      </c>
      <c r="AC2669" s="130"/>
      <c r="AD2669" s="130">
        <v>27005</v>
      </c>
      <c r="AE2669" s="128" t="s">
        <v>32</v>
      </c>
      <c r="AF2669" s="128" t="s">
        <v>40</v>
      </c>
      <c r="AG2669" s="128" t="s">
        <v>41</v>
      </c>
      <c r="AH2669" s="108" t="s">
        <v>31</v>
      </c>
      <c r="AI2669" s="128" t="s">
        <v>53</v>
      </c>
      <c r="AJ2669" s="129" t="s">
        <v>89</v>
      </c>
      <c r="AK2669" s="129">
        <v>1</v>
      </c>
      <c r="AL2669" s="3" t="s">
        <v>991</v>
      </c>
      <c r="AO2669" s="128">
        <v>90</v>
      </c>
      <c r="AP2669" s="129" t="s">
        <v>43</v>
      </c>
      <c r="AR2669" s="128" t="s">
        <v>44</v>
      </c>
      <c r="AS2669" s="129" t="s">
        <v>45</v>
      </c>
      <c r="BC2669" s="129" t="s">
        <v>38</v>
      </c>
      <c r="BF2669" s="111">
        <f>IF(J2669&gt;1/1/1900,((J2669+1)-I2669),"STILL OPEN")</f>
        <v>2</v>
      </c>
      <c r="BG2669" s="111">
        <f>IF(G2669&gt;1/1/1900,((G2669+1)-I2669),"STILL OPEN")</f>
        <v>2</v>
      </c>
      <c r="BH2669" s="111">
        <f t="shared" si="1919"/>
        <v>2</v>
      </c>
      <c r="BI2669" s="111">
        <f t="shared" si="1921"/>
        <v>38.046448087431692</v>
      </c>
      <c r="BJ2669" s="129">
        <f>G2669-J2669-M2669</f>
        <v>0</v>
      </c>
      <c r="BK2669" s="129">
        <f t="shared" si="1920"/>
        <v>0</v>
      </c>
      <c r="BL2669" s="129" t="str">
        <f t="shared" si="1917"/>
        <v>CONVICTION</v>
      </c>
      <c r="BM2669" s="129" t="str">
        <f>O2669</f>
        <v>NONE</v>
      </c>
      <c r="BN2669" s="129" t="s">
        <v>566</v>
      </c>
      <c r="BP2669" s="137" t="str">
        <f t="shared" si="1925"/>
        <v>CONVICTION</v>
      </c>
      <c r="BQ2669" s="128" t="str">
        <f t="shared" si="1934"/>
        <v>Y</v>
      </c>
      <c r="BR2669" s="129" t="str">
        <f t="shared" si="1935"/>
        <v>DETAINED</v>
      </c>
      <c r="BS2669" s="129" t="str">
        <f t="shared" si="1926"/>
        <v>DISPOSED</v>
      </c>
      <c r="BT2669" s="129" t="str">
        <f t="shared" si="1927"/>
        <v>N</v>
      </c>
      <c r="BU2669" s="109">
        <f t="shared" si="1928"/>
        <v>1</v>
      </c>
      <c r="BV2669" s="109">
        <f t="shared" si="1936"/>
        <v>1</v>
      </c>
      <c r="BW2669" s="109">
        <f t="shared" si="1948"/>
        <v>0</v>
      </c>
      <c r="BX2669" s="111">
        <f t="shared" si="1929"/>
        <v>0</v>
      </c>
      <c r="BY2669" s="129">
        <f t="shared" si="1937"/>
        <v>-2</v>
      </c>
      <c r="BZ2669" s="111">
        <f t="shared" si="1938"/>
        <v>0</v>
      </c>
      <c r="CA2669" s="138">
        <f t="shared" si="1939"/>
        <v>2</v>
      </c>
      <c r="CB2669" s="111" t="e">
        <f>IF(AF2669&gt;1/1/1900,((AF2669+1)-AE2669),"STILL OPEN")</f>
        <v>#VALUE!</v>
      </c>
      <c r="CC2669" s="129">
        <f>G2669-I2669+1</f>
        <v>2</v>
      </c>
      <c r="CD2669" s="129">
        <f>G2669-J2669</f>
        <v>0</v>
      </c>
      <c r="CG2669" s="129" t="str">
        <f t="shared" si="1942"/>
        <v>N</v>
      </c>
      <c r="CI2669" s="129" t="str">
        <f t="shared" si="1943"/>
        <v>0-10 DAYS</v>
      </c>
      <c r="CJ2669" s="137">
        <f t="shared" si="1944"/>
        <v>1</v>
      </c>
      <c r="CK2669" s="129" t="str">
        <f t="shared" si="1945"/>
        <v>Booked</v>
      </c>
    </row>
    <row r="2670" spans="1:89" ht="15" customHeight="1" x14ac:dyDescent="0.25">
      <c r="A2670" s="111">
        <v>544</v>
      </c>
      <c r="B2670" s="128" t="str">
        <f t="shared" si="1931"/>
        <v>N</v>
      </c>
      <c r="C2670" s="128" t="str">
        <f t="shared" si="1932"/>
        <v>N</v>
      </c>
      <c r="D2670" s="117">
        <v>2601023</v>
      </c>
      <c r="E2670" s="135">
        <f t="shared" si="1933"/>
        <v>4</v>
      </c>
      <c r="F2670" s="124">
        <v>40930</v>
      </c>
      <c r="G2670" s="125">
        <v>41026</v>
      </c>
      <c r="H2670" s="117">
        <v>2601023</v>
      </c>
      <c r="I2670" s="124">
        <v>40931</v>
      </c>
      <c r="J2670" s="124">
        <v>40932</v>
      </c>
      <c r="K2670" s="126">
        <v>2000</v>
      </c>
      <c r="L2670" s="127" t="s">
        <v>568</v>
      </c>
      <c r="M2670" s="125">
        <v>40932</v>
      </c>
      <c r="N2670" s="129" t="str">
        <f>IF(M2670&gt;1/1/1,"Y","N")</f>
        <v>Y</v>
      </c>
      <c r="O2670" s="128" t="s">
        <v>76</v>
      </c>
      <c r="P2670" s="129" t="s">
        <v>39</v>
      </c>
      <c r="Q2670" s="111">
        <f t="shared" si="1946"/>
        <v>2</v>
      </c>
      <c r="R2670" s="111">
        <f t="shared" si="1918"/>
        <v>97</v>
      </c>
      <c r="S2670" s="129">
        <v>0</v>
      </c>
      <c r="T2670" s="129">
        <v>0</v>
      </c>
      <c r="W2670" s="111"/>
      <c r="AB2670" s="131" t="s">
        <v>112</v>
      </c>
      <c r="AC2670" s="130"/>
      <c r="AD2670" s="130">
        <v>28743</v>
      </c>
      <c r="AE2670" s="128" t="s">
        <v>32</v>
      </c>
      <c r="AF2670" s="128" t="s">
        <v>40</v>
      </c>
      <c r="AG2670" s="128" t="s">
        <v>41</v>
      </c>
      <c r="AH2670" s="108" t="s">
        <v>31</v>
      </c>
      <c r="AI2670" s="128" t="s">
        <v>34</v>
      </c>
      <c r="AJ2670" s="129" t="s">
        <v>89</v>
      </c>
      <c r="AK2670" s="129">
        <v>5</v>
      </c>
      <c r="AL2670" s="3" t="s">
        <v>991</v>
      </c>
      <c r="AO2670" s="128">
        <v>30</v>
      </c>
      <c r="AP2670" s="129" t="s">
        <v>43</v>
      </c>
      <c r="AR2670" s="128" t="s">
        <v>44</v>
      </c>
      <c r="AS2670" s="129" t="s">
        <v>45</v>
      </c>
      <c r="BC2670" s="129" t="s">
        <v>52</v>
      </c>
      <c r="BF2670" s="111">
        <f>IF(J2670&gt;1/1/1900,((J2670+1)-I2670),"STILL OPEN")</f>
        <v>2</v>
      </c>
      <c r="BG2670" s="111">
        <f>IF(G2670&gt;1/1/1900,((G2670+1)-I2670),"STILL OPEN")</f>
        <v>96</v>
      </c>
      <c r="BH2670" s="111">
        <f t="shared" si="1919"/>
        <v>97</v>
      </c>
      <c r="BI2670" s="111">
        <f t="shared" si="1921"/>
        <v>33.297814207650276</v>
      </c>
      <c r="BJ2670" s="129">
        <f>(G2670-J2670)+(M2670-G2670)</f>
        <v>0</v>
      </c>
      <c r="BK2670" s="129">
        <f t="shared" si="1920"/>
        <v>-94</v>
      </c>
      <c r="BL2670" s="129" t="str">
        <f t="shared" si="1917"/>
        <v>CONVICTION</v>
      </c>
      <c r="BM2670" s="129" t="s">
        <v>76</v>
      </c>
      <c r="BN2670" s="129" t="s">
        <v>88</v>
      </c>
      <c r="BP2670" s="137" t="str">
        <f t="shared" si="1925"/>
        <v>CONVICTION</v>
      </c>
      <c r="BQ2670" s="128" t="str">
        <f t="shared" si="1934"/>
        <v>Y</v>
      </c>
      <c r="BR2670" s="129" t="str">
        <f>IF(J2670&lt;G2670,"ON BOND",0)</f>
        <v>ON BOND</v>
      </c>
      <c r="BS2670" s="129" t="str">
        <f t="shared" si="1926"/>
        <v>DISPOSED</v>
      </c>
      <c r="BT2670" s="129" t="str">
        <f t="shared" si="1927"/>
        <v>N</v>
      </c>
      <c r="BU2670" s="109">
        <f t="shared" si="1928"/>
        <v>2.0618556701030927E-2</v>
      </c>
      <c r="BV2670" s="109">
        <f t="shared" si="1936"/>
        <v>2.0833333333333332E-2</v>
      </c>
      <c r="BW2670" s="109">
        <f t="shared" si="1948"/>
        <v>2.1477663230240474E-4</v>
      </c>
      <c r="BX2670" s="111">
        <f t="shared" si="1929"/>
        <v>0</v>
      </c>
      <c r="BY2670" s="129">
        <f t="shared" si="1937"/>
        <v>-2</v>
      </c>
      <c r="BZ2670" s="111">
        <f t="shared" si="1938"/>
        <v>0</v>
      </c>
      <c r="CA2670" s="138">
        <f t="shared" si="1939"/>
        <v>2</v>
      </c>
      <c r="CB2670" s="111" t="e">
        <f>IF(AF2670&gt;1/1/1900,((AF2670+1)-AE2670),"STILL OPEN")</f>
        <v>#VALUE!</v>
      </c>
      <c r="CC2670" s="129">
        <f>M2670-I2670+1</f>
        <v>2</v>
      </c>
      <c r="CD2670" s="111">
        <f>CC2670-BF2670</f>
        <v>0</v>
      </c>
      <c r="CG2670" s="129" t="str">
        <f t="shared" si="1942"/>
        <v>N</v>
      </c>
      <c r="CI2670" s="129" t="str">
        <f t="shared" si="1943"/>
        <v>0-10 DAYS</v>
      </c>
      <c r="CJ2670" s="137">
        <f t="shared" si="1944"/>
        <v>1</v>
      </c>
      <c r="CK2670" s="129" t="str">
        <f t="shared" si="1945"/>
        <v>Booked</v>
      </c>
    </row>
    <row r="2671" spans="1:89" ht="15.75" customHeight="1" x14ac:dyDescent="0.25">
      <c r="A2671" s="111">
        <v>545</v>
      </c>
      <c r="B2671" s="128" t="str">
        <f t="shared" si="1931"/>
        <v>N</v>
      </c>
      <c r="C2671" s="128" t="str">
        <f t="shared" si="1932"/>
        <v>N</v>
      </c>
      <c r="D2671" s="117">
        <v>2601037</v>
      </c>
      <c r="E2671" s="135">
        <f t="shared" si="1933"/>
        <v>2</v>
      </c>
      <c r="F2671" s="124">
        <v>40930</v>
      </c>
      <c r="G2671" s="125">
        <v>41040</v>
      </c>
      <c r="H2671" s="117">
        <v>2601037</v>
      </c>
      <c r="I2671" s="124" t="s">
        <v>562</v>
      </c>
      <c r="J2671" s="124" t="s">
        <v>562</v>
      </c>
      <c r="K2671" s="126">
        <v>2000</v>
      </c>
      <c r="L2671" s="127" t="s">
        <v>568</v>
      </c>
      <c r="M2671" s="125">
        <v>40933</v>
      </c>
      <c r="N2671" s="129" t="str">
        <f>IF(M2671&gt;1/1/1,"Y",IF(Q2671="0","","N"))</f>
        <v>Y</v>
      </c>
      <c r="O2671" s="128" t="s">
        <v>76</v>
      </c>
      <c r="P2671" s="129" t="s">
        <v>589</v>
      </c>
      <c r="Q2671" s="111">
        <f t="shared" si="1946"/>
        <v>0</v>
      </c>
      <c r="R2671" s="111">
        <f t="shared" si="1918"/>
        <v>111</v>
      </c>
      <c r="S2671" s="129">
        <v>0</v>
      </c>
      <c r="T2671" s="129">
        <v>0</v>
      </c>
      <c r="W2671" s="111"/>
      <c r="AB2671" s="131" t="s">
        <v>112</v>
      </c>
      <c r="AC2671" s="130"/>
      <c r="AD2671" s="130">
        <v>33717</v>
      </c>
      <c r="AE2671" s="128" t="s">
        <v>32</v>
      </c>
      <c r="AF2671" s="128" t="s">
        <v>40</v>
      </c>
      <c r="AG2671" s="128" t="s">
        <v>41</v>
      </c>
      <c r="AH2671" s="108" t="s">
        <v>31</v>
      </c>
      <c r="AI2671" s="128" t="s">
        <v>53</v>
      </c>
      <c r="AJ2671" s="129" t="s">
        <v>48</v>
      </c>
      <c r="AK2671" s="129">
        <v>7</v>
      </c>
      <c r="AL2671" s="3" t="s">
        <v>48</v>
      </c>
      <c r="AP2671" s="129" t="s">
        <v>108</v>
      </c>
      <c r="AR2671" s="128" t="s">
        <v>44</v>
      </c>
      <c r="AS2671" s="129" t="s">
        <v>61</v>
      </c>
      <c r="BC2671" s="129" t="s">
        <v>52</v>
      </c>
      <c r="BF2671" s="111">
        <v>0</v>
      </c>
      <c r="BG2671" s="111">
        <v>0</v>
      </c>
      <c r="BH2671" s="111">
        <f t="shared" si="1919"/>
        <v>111</v>
      </c>
      <c r="BI2671" s="111">
        <f t="shared" si="1921"/>
        <v>19.707650273224044</v>
      </c>
      <c r="BJ2671" s="129" t="e">
        <f>(G2671-J2671)+(M2671-G2671)</f>
        <v>#VALUE!</v>
      </c>
      <c r="BK2671" s="129" t="e">
        <f t="shared" si="1920"/>
        <v>#VALUE!</v>
      </c>
      <c r="BL2671" s="129" t="str">
        <f t="shared" si="1917"/>
        <v>DEFERRED</v>
      </c>
      <c r="BM2671" s="129" t="s">
        <v>76</v>
      </c>
      <c r="BN2671" s="129" t="s">
        <v>88</v>
      </c>
      <c r="BP2671" s="137" t="str">
        <f t="shared" si="1925"/>
        <v>DEFERRED</v>
      </c>
      <c r="BQ2671" s="128">
        <f t="shared" si="1934"/>
        <v>0</v>
      </c>
      <c r="BR2671" s="129" t="s">
        <v>575</v>
      </c>
      <c r="BS2671" s="129" t="str">
        <f t="shared" si="1926"/>
        <v>DISPOSED</v>
      </c>
      <c r="BT2671" s="129" t="str">
        <f t="shared" si="1927"/>
        <v>N</v>
      </c>
      <c r="BU2671" s="109">
        <f t="shared" si="1928"/>
        <v>0</v>
      </c>
      <c r="BV2671" s="109">
        <v>0</v>
      </c>
      <c r="BW2671" s="109">
        <f t="shared" si="1948"/>
        <v>0</v>
      </c>
      <c r="BX2671" s="111">
        <f t="shared" si="1929"/>
        <v>0</v>
      </c>
      <c r="BY2671" s="129" t="e">
        <f t="shared" si="1937"/>
        <v>#VALUE!</v>
      </c>
      <c r="BZ2671" s="111" t="e">
        <f t="shared" si="1938"/>
        <v>#VALUE!</v>
      </c>
      <c r="CA2671" s="138" t="e">
        <f t="shared" si="1939"/>
        <v>#VALUE!</v>
      </c>
      <c r="CB2671" s="111">
        <v>0</v>
      </c>
      <c r="CC2671" s="129">
        <v>0</v>
      </c>
      <c r="CD2671" s="111">
        <f>CC2671-BF2671</f>
        <v>0</v>
      </c>
      <c r="CG2671" s="129" t="str">
        <f t="shared" si="1942"/>
        <v>N</v>
      </c>
      <c r="CI2671" s="129" t="str">
        <f t="shared" si="1943"/>
        <v>0-10 DAYS</v>
      </c>
      <c r="CJ2671" s="137">
        <f t="shared" si="1944"/>
        <v>1</v>
      </c>
      <c r="CK2671" s="129" t="str">
        <f t="shared" si="1945"/>
        <v>Not Booked</v>
      </c>
    </row>
    <row r="2672" spans="1:89" ht="15" customHeight="1" x14ac:dyDescent="0.25">
      <c r="A2672" s="111">
        <v>565</v>
      </c>
      <c r="B2672" s="128" t="str">
        <f t="shared" si="1931"/>
        <v>N</v>
      </c>
      <c r="C2672" s="128" t="str">
        <f t="shared" si="1932"/>
        <v>N</v>
      </c>
      <c r="D2672" s="117">
        <v>2601182</v>
      </c>
      <c r="E2672" s="135">
        <f t="shared" si="1933"/>
        <v>6</v>
      </c>
      <c r="F2672" s="124">
        <v>40931</v>
      </c>
      <c r="G2672" s="125">
        <v>41513</v>
      </c>
      <c r="H2672" s="117">
        <v>2601182</v>
      </c>
      <c r="I2672" s="124">
        <v>40932</v>
      </c>
      <c r="J2672" s="125">
        <v>41513</v>
      </c>
      <c r="K2672" s="126">
        <v>50000</v>
      </c>
      <c r="L2672" s="129" t="s">
        <v>572</v>
      </c>
      <c r="N2672" s="129" t="str">
        <f>IF(M2672&gt;1/1/1,"Y","N")</f>
        <v>N</v>
      </c>
      <c r="O2672" s="128" t="s">
        <v>917</v>
      </c>
      <c r="P2672" s="129" t="s">
        <v>39</v>
      </c>
      <c r="Q2672" s="111">
        <f t="shared" si="1946"/>
        <v>582</v>
      </c>
      <c r="R2672" s="111">
        <f t="shared" si="1918"/>
        <v>583</v>
      </c>
      <c r="S2672" s="129">
        <v>0</v>
      </c>
      <c r="T2672" s="129">
        <v>0</v>
      </c>
      <c r="W2672" s="111"/>
      <c r="AC2672" s="130"/>
      <c r="AD2672" s="130">
        <v>32472</v>
      </c>
      <c r="AE2672" s="128" t="s">
        <v>32</v>
      </c>
      <c r="AF2672" s="128" t="s">
        <v>69</v>
      </c>
      <c r="AG2672" s="128" t="s">
        <v>874</v>
      </c>
      <c r="AH2672" s="108" t="s">
        <v>31</v>
      </c>
      <c r="AI2672" s="128" t="s">
        <v>80</v>
      </c>
      <c r="AJ2672" s="129" t="s">
        <v>89</v>
      </c>
      <c r="AL2672" s="3" t="s">
        <v>362</v>
      </c>
      <c r="AM2672" s="117">
        <v>3</v>
      </c>
      <c r="AP2672" s="129" t="s">
        <v>173</v>
      </c>
      <c r="AR2672" s="128" t="s">
        <v>50</v>
      </c>
      <c r="AS2672" s="129" t="s">
        <v>126</v>
      </c>
      <c r="BC2672" s="129" t="s">
        <v>38</v>
      </c>
      <c r="BF2672" s="111">
        <f>IF(J2672&gt;1/1/1900,((J2672+1)-I2672),"STILL OPEN")</f>
        <v>582</v>
      </c>
      <c r="BG2672" s="111">
        <f>IF(G2672&gt;1/1/1900,((G2672+1)-I2672),"STILL OPEN")</f>
        <v>582</v>
      </c>
      <c r="BH2672" s="111">
        <f t="shared" si="1919"/>
        <v>583</v>
      </c>
      <c r="BI2672" s="111">
        <f t="shared" si="1921"/>
        <v>23.112021857923498</v>
      </c>
      <c r="BJ2672" s="129">
        <f>G2672-J2672-M2672</f>
        <v>0</v>
      </c>
      <c r="BK2672" s="129">
        <f t="shared" si="1920"/>
        <v>0</v>
      </c>
      <c r="BL2672" s="129" t="str">
        <f t="shared" si="1917"/>
        <v>CONVICTION</v>
      </c>
      <c r="BM2672" s="129" t="str">
        <f>O2672</f>
        <v>NONE</v>
      </c>
      <c r="BN2672" s="129" t="s">
        <v>566</v>
      </c>
      <c r="BP2672" s="137" t="str">
        <f t="shared" si="1925"/>
        <v>CONVICTION</v>
      </c>
      <c r="BQ2672" s="128" t="str">
        <f t="shared" si="1934"/>
        <v>Y</v>
      </c>
      <c r="BR2672" s="129" t="str">
        <f t="shared" si="1935"/>
        <v>DETAINED</v>
      </c>
      <c r="BS2672" s="129" t="str">
        <f t="shared" si="1926"/>
        <v>DISPOSED</v>
      </c>
      <c r="BT2672" s="129" t="str">
        <f t="shared" si="1927"/>
        <v>N</v>
      </c>
      <c r="BU2672" s="109">
        <f t="shared" si="1928"/>
        <v>0.99828473413379071</v>
      </c>
      <c r="BV2672" s="109">
        <f t="shared" si="1936"/>
        <v>1</v>
      </c>
      <c r="BW2672" s="109">
        <f t="shared" si="1948"/>
        <v>1.7152658662092923E-3</v>
      </c>
      <c r="BX2672" s="111">
        <f t="shared" si="1929"/>
        <v>0</v>
      </c>
      <c r="BY2672" s="129">
        <f t="shared" si="1937"/>
        <v>-582</v>
      </c>
      <c r="BZ2672" s="111">
        <f t="shared" si="1938"/>
        <v>0</v>
      </c>
      <c r="CA2672" s="138">
        <f t="shared" si="1939"/>
        <v>582</v>
      </c>
      <c r="CB2672" s="111" t="e">
        <f>IF(AF2672&gt;1/1/1900,((AF2672+1)-AE2672),"STILL OPEN")</f>
        <v>#VALUE!</v>
      </c>
      <c r="CC2672" s="129">
        <f>G2672-I2672+1</f>
        <v>582</v>
      </c>
      <c r="CD2672" s="129">
        <f>G2672-J2672</f>
        <v>0</v>
      </c>
      <c r="CG2672" s="129" t="str">
        <f t="shared" si="1942"/>
        <v>N</v>
      </c>
      <c r="CI2672" s="129" t="str">
        <f t="shared" si="1943"/>
        <v xml:space="preserve"> &gt;1YRS&lt;2YRS</v>
      </c>
      <c r="CJ2672" s="137">
        <f t="shared" si="1944"/>
        <v>0</v>
      </c>
      <c r="CK2672" s="129" t="str">
        <f t="shared" si="1945"/>
        <v>Booked</v>
      </c>
    </row>
    <row r="2673" spans="1:89" ht="15" customHeight="1" x14ac:dyDescent="0.25">
      <c r="A2673" s="111">
        <v>568</v>
      </c>
      <c r="B2673" s="128" t="str">
        <f t="shared" si="1931"/>
        <v>N</v>
      </c>
      <c r="C2673" s="128" t="str">
        <f t="shared" si="1932"/>
        <v>N</v>
      </c>
      <c r="D2673" s="117">
        <v>2601202</v>
      </c>
      <c r="E2673" s="135">
        <f t="shared" si="1933"/>
        <v>1</v>
      </c>
      <c r="F2673" s="124">
        <v>40931</v>
      </c>
      <c r="G2673" s="125">
        <v>41240</v>
      </c>
      <c r="H2673" s="117">
        <v>2601202</v>
      </c>
      <c r="I2673" s="124">
        <v>40933</v>
      </c>
      <c r="J2673" s="124">
        <v>40940</v>
      </c>
      <c r="K2673" s="126">
        <v>60000</v>
      </c>
      <c r="L2673" s="129" t="s">
        <v>572</v>
      </c>
      <c r="M2673" s="125">
        <v>40940</v>
      </c>
      <c r="N2673" s="129" t="str">
        <f>IF(M2673&gt;1/1/1,"Y","N")</f>
        <v>Y</v>
      </c>
      <c r="O2673" s="128" t="s">
        <v>585</v>
      </c>
      <c r="P2673" s="129" t="s">
        <v>55</v>
      </c>
      <c r="Q2673" s="111">
        <f t="shared" si="1946"/>
        <v>8</v>
      </c>
      <c r="R2673" s="111">
        <f t="shared" si="1918"/>
        <v>310</v>
      </c>
      <c r="S2673" s="129">
        <v>0</v>
      </c>
      <c r="T2673" s="129">
        <v>0</v>
      </c>
      <c r="W2673" s="111"/>
      <c r="AC2673" s="130"/>
      <c r="AD2673" s="130">
        <v>31444</v>
      </c>
      <c r="AE2673" s="128" t="s">
        <v>32</v>
      </c>
      <c r="AF2673" s="128" t="s">
        <v>33</v>
      </c>
      <c r="AG2673" s="128" t="s">
        <v>872</v>
      </c>
      <c r="AH2673" s="108" t="s">
        <v>31</v>
      </c>
      <c r="AI2673" s="128" t="s">
        <v>141</v>
      </c>
      <c r="AJ2673" s="129" t="s">
        <v>55</v>
      </c>
      <c r="AK2673" s="129">
        <v>11</v>
      </c>
      <c r="AL2673" s="3" t="s">
        <v>55</v>
      </c>
      <c r="AP2673" s="129" t="s">
        <v>105</v>
      </c>
      <c r="AR2673" s="128" t="s">
        <v>92</v>
      </c>
      <c r="AS2673" s="129" t="s">
        <v>106</v>
      </c>
      <c r="AT2673" s="129" t="s">
        <v>1132</v>
      </c>
      <c r="BC2673" s="129" t="s">
        <v>52</v>
      </c>
      <c r="BF2673" s="111">
        <f>IF(J2673&gt;1/1/1900,((J2673+1)-I2673),"STILL OPEN")</f>
        <v>8</v>
      </c>
      <c r="BG2673" s="111">
        <f>IF(G2673&gt;1/1/1900,((G2673+1)-I2673),"STILL OPEN")</f>
        <v>308</v>
      </c>
      <c r="BH2673" s="111">
        <f t="shared" si="1919"/>
        <v>310</v>
      </c>
      <c r="BI2673" s="111">
        <f t="shared" si="1921"/>
        <v>25.920765027322403</v>
      </c>
      <c r="BJ2673" s="129">
        <f>(G2673-J2673)+(M2673-G2673)</f>
        <v>0</v>
      </c>
      <c r="BK2673" s="129">
        <f t="shared" si="1920"/>
        <v>-300</v>
      </c>
      <c r="BL2673" s="129" t="str">
        <f t="shared" si="1917"/>
        <v>NO CONVICTION</v>
      </c>
      <c r="BM2673" s="129" t="s">
        <v>76</v>
      </c>
      <c r="BN2673" s="129" t="s">
        <v>88</v>
      </c>
      <c r="BP2673" s="137" t="str">
        <f t="shared" si="1925"/>
        <v>NO CONVICTION</v>
      </c>
      <c r="BQ2673" s="128" t="str">
        <f t="shared" si="1934"/>
        <v>Y</v>
      </c>
      <c r="BR2673" s="129" t="str">
        <f t="shared" si="1935"/>
        <v>ON BOND</v>
      </c>
      <c r="BS2673" s="129" t="str">
        <f t="shared" si="1926"/>
        <v>DISPOSED</v>
      </c>
      <c r="BT2673" s="129" t="str">
        <f t="shared" si="1927"/>
        <v>N</v>
      </c>
      <c r="BU2673" s="109">
        <f>IFERROR(Q2673/R2673,BR2673)</f>
        <v>2.5806451612903226E-2</v>
      </c>
      <c r="BV2673" s="109">
        <f t="shared" si="1936"/>
        <v>2.5974025974025976E-2</v>
      </c>
      <c r="BW2673" s="109">
        <f t="shared" si="1948"/>
        <v>1.6757436112274995E-4</v>
      </c>
      <c r="BX2673" s="111">
        <f t="shared" si="1929"/>
        <v>0</v>
      </c>
      <c r="BY2673" s="129">
        <f t="shared" si="1937"/>
        <v>-8</v>
      </c>
      <c r="BZ2673" s="111">
        <f t="shared" si="1938"/>
        <v>0</v>
      </c>
      <c r="CA2673" s="138">
        <f t="shared" si="1939"/>
        <v>8</v>
      </c>
      <c r="CB2673" s="111" t="e">
        <f>IF(AF2673&gt;1/1/1900,((AF2673+1)-AE2673),"STILL OPEN")</f>
        <v>#VALUE!</v>
      </c>
      <c r="CC2673" s="129">
        <f>M2673-I2673+1</f>
        <v>8</v>
      </c>
      <c r="CD2673" s="111">
        <f>CC2673-BF2673</f>
        <v>0</v>
      </c>
      <c r="CG2673" s="129" t="str">
        <f t="shared" si="1942"/>
        <v>N</v>
      </c>
      <c r="CI2673" s="129" t="str">
        <f t="shared" si="1943"/>
        <v>0-10 DAYS</v>
      </c>
      <c r="CJ2673" s="137">
        <f t="shared" si="1944"/>
        <v>1</v>
      </c>
      <c r="CK2673" s="129" t="str">
        <f t="shared" si="1945"/>
        <v>Booked</v>
      </c>
    </row>
    <row r="2674" spans="1:89" ht="15" customHeight="1" x14ac:dyDescent="0.25">
      <c r="A2674" s="111">
        <v>569</v>
      </c>
      <c r="B2674" s="128" t="str">
        <f t="shared" si="1931"/>
        <v>N</v>
      </c>
      <c r="C2674" s="128" t="str">
        <f t="shared" si="1932"/>
        <v>N</v>
      </c>
      <c r="D2674" s="117">
        <v>2601212</v>
      </c>
      <c r="E2674" s="135">
        <f t="shared" si="1933"/>
        <v>5</v>
      </c>
      <c r="F2674" s="124">
        <v>40931</v>
      </c>
      <c r="G2674" s="125">
        <v>40990</v>
      </c>
      <c r="H2674" s="117">
        <v>2601212</v>
      </c>
      <c r="I2674" s="124">
        <v>40932</v>
      </c>
      <c r="J2674" s="124">
        <v>40990</v>
      </c>
      <c r="K2674" s="126">
        <v>35000</v>
      </c>
      <c r="L2674" s="129" t="s">
        <v>572</v>
      </c>
      <c r="N2674" s="129" t="str">
        <f>IF(M2674&gt;1/1/1,"Y","N")</f>
        <v>N</v>
      </c>
      <c r="O2674" s="128" t="s">
        <v>917</v>
      </c>
      <c r="P2674" s="129" t="s">
        <v>39</v>
      </c>
      <c r="Q2674" s="111">
        <f t="shared" si="1946"/>
        <v>59</v>
      </c>
      <c r="R2674" s="111">
        <f t="shared" si="1918"/>
        <v>60</v>
      </c>
      <c r="S2674" s="129">
        <v>0</v>
      </c>
      <c r="T2674" s="129">
        <v>0</v>
      </c>
      <c r="W2674" s="111"/>
      <c r="AC2674" s="130"/>
      <c r="AD2674" s="130">
        <v>29925</v>
      </c>
      <c r="AE2674" s="128" t="s">
        <v>32</v>
      </c>
      <c r="AF2674" s="128" t="s">
        <v>69</v>
      </c>
      <c r="AG2674" s="128" t="s">
        <v>874</v>
      </c>
      <c r="AH2674" s="108" t="s">
        <v>31</v>
      </c>
      <c r="AI2674" s="128" t="s">
        <v>97</v>
      </c>
      <c r="AJ2674" s="129" t="s">
        <v>89</v>
      </c>
      <c r="AK2674" s="129">
        <v>5</v>
      </c>
      <c r="AL2674" s="3" t="s">
        <v>992</v>
      </c>
      <c r="AN2674" s="117">
        <v>6</v>
      </c>
      <c r="AP2674" s="129" t="s">
        <v>43</v>
      </c>
      <c r="AR2674" s="128" t="s">
        <v>44</v>
      </c>
      <c r="AS2674" s="129" t="s">
        <v>45</v>
      </c>
      <c r="BC2674" s="129" t="s">
        <v>99</v>
      </c>
      <c r="BF2674" s="111">
        <f>IF(J2674&gt;1/1/1900,((J2674+1)-I2674),"STILL OPEN")</f>
        <v>59</v>
      </c>
      <c r="BG2674" s="111">
        <f>IF(G2674&gt;1/1/1900,((G2674+1)-I2674),"STILL OPEN")</f>
        <v>59</v>
      </c>
      <c r="BH2674" s="111">
        <f t="shared" si="1919"/>
        <v>60</v>
      </c>
      <c r="BI2674" s="111">
        <f t="shared" si="1921"/>
        <v>30.071038251366119</v>
      </c>
      <c r="BJ2674" s="129">
        <f>G2674-J2674-M2674</f>
        <v>0</v>
      </c>
      <c r="BK2674" s="129">
        <f t="shared" si="1920"/>
        <v>0</v>
      </c>
      <c r="BL2674" s="129" t="str">
        <f t="shared" si="1917"/>
        <v>CONVICTION</v>
      </c>
      <c r="BM2674" s="129" t="str">
        <f>O2674</f>
        <v>NONE</v>
      </c>
      <c r="BN2674" s="129" t="s">
        <v>566</v>
      </c>
      <c r="BP2674" s="137" t="str">
        <f t="shared" si="1925"/>
        <v>CONVICTION</v>
      </c>
      <c r="BQ2674" s="128" t="str">
        <f t="shared" si="1934"/>
        <v>Y</v>
      </c>
      <c r="BR2674" s="129" t="str">
        <f t="shared" si="1935"/>
        <v>DETAINED</v>
      </c>
      <c r="BS2674" s="129" t="str">
        <f t="shared" si="1926"/>
        <v>DISPOSED</v>
      </c>
      <c r="BT2674" s="129" t="str">
        <f t="shared" si="1927"/>
        <v>N</v>
      </c>
      <c r="BU2674" s="109">
        <f t="shared" si="1928"/>
        <v>0.98333333333333328</v>
      </c>
      <c r="BV2674" s="109">
        <f t="shared" si="1936"/>
        <v>1</v>
      </c>
      <c r="BW2674" s="109">
        <f t="shared" si="1948"/>
        <v>1.6666666666666718E-2</v>
      </c>
      <c r="BX2674" s="111">
        <f t="shared" si="1929"/>
        <v>0</v>
      </c>
      <c r="BY2674" s="129">
        <f t="shared" si="1937"/>
        <v>-59</v>
      </c>
      <c r="BZ2674" s="111">
        <f t="shared" si="1938"/>
        <v>0</v>
      </c>
      <c r="CA2674" s="138">
        <f t="shared" si="1939"/>
        <v>59</v>
      </c>
      <c r="CB2674" s="111" t="e">
        <f>IF(AF2674&gt;1/1/1900,((AF2674+1)-AE2674),"STILL OPEN")</f>
        <v>#VALUE!</v>
      </c>
      <c r="CC2674" s="129">
        <f>G2674-I2674+1</f>
        <v>59</v>
      </c>
      <c r="CD2674" s="129">
        <f>G2674-J2674</f>
        <v>0</v>
      </c>
      <c r="CG2674" s="129" t="str">
        <f t="shared" si="1942"/>
        <v>N</v>
      </c>
      <c r="CI2674" s="129" t="str">
        <f t="shared" si="1943"/>
        <v>31-60 DAYS</v>
      </c>
      <c r="CJ2674" s="137">
        <f t="shared" si="1944"/>
        <v>3</v>
      </c>
      <c r="CK2674" s="129" t="str">
        <f t="shared" si="1945"/>
        <v>Booked</v>
      </c>
    </row>
    <row r="2675" spans="1:89" ht="15.75" customHeight="1" x14ac:dyDescent="0.25">
      <c r="A2675" s="111">
        <v>591</v>
      </c>
      <c r="B2675" s="128" t="str">
        <f t="shared" si="1931"/>
        <v>N</v>
      </c>
      <c r="C2675" s="128" t="str">
        <f t="shared" si="1932"/>
        <v>N</v>
      </c>
      <c r="D2675" s="117">
        <v>2601213</v>
      </c>
      <c r="E2675" s="135">
        <f t="shared" si="1933"/>
        <v>2</v>
      </c>
      <c r="F2675" s="124">
        <v>40932</v>
      </c>
      <c r="G2675" s="125">
        <v>41807</v>
      </c>
      <c r="H2675" s="117">
        <v>2601213</v>
      </c>
      <c r="I2675" s="124">
        <v>40931</v>
      </c>
      <c r="J2675" s="124">
        <v>40960</v>
      </c>
      <c r="K2675" s="126">
        <v>30000</v>
      </c>
      <c r="L2675" s="129" t="s">
        <v>572</v>
      </c>
      <c r="M2675" s="125">
        <v>40960</v>
      </c>
      <c r="N2675" s="129" t="str">
        <f>IF(M2675&gt;1/1/1,"Y","N")</f>
        <v>Y</v>
      </c>
      <c r="O2675" s="128" t="s">
        <v>76</v>
      </c>
      <c r="P2675" s="129" t="s">
        <v>589</v>
      </c>
      <c r="Q2675" s="111">
        <v>29</v>
      </c>
      <c r="R2675" s="111">
        <f t="shared" si="1918"/>
        <v>876</v>
      </c>
      <c r="S2675" s="129">
        <v>0</v>
      </c>
      <c r="T2675" s="129">
        <v>0</v>
      </c>
      <c r="W2675" s="111"/>
      <c r="AC2675" s="130"/>
      <c r="AD2675" s="130">
        <v>29746</v>
      </c>
      <c r="AE2675" s="128" t="s">
        <v>32</v>
      </c>
      <c r="AF2675" s="128" t="s">
        <v>33</v>
      </c>
      <c r="AG2675" s="128" t="s">
        <v>872</v>
      </c>
      <c r="AH2675" s="108" t="s">
        <v>31</v>
      </c>
      <c r="AI2675" s="128" t="s">
        <v>47</v>
      </c>
      <c r="AJ2675" s="129" t="s">
        <v>48</v>
      </c>
      <c r="AK2675" s="129">
        <v>20</v>
      </c>
      <c r="AL2675" s="3" t="s">
        <v>48</v>
      </c>
      <c r="AP2675" s="129" t="s">
        <v>173</v>
      </c>
      <c r="AR2675" s="128" t="s">
        <v>50</v>
      </c>
      <c r="AS2675" s="129" t="s">
        <v>126</v>
      </c>
      <c r="BC2675" s="129" t="s">
        <v>52</v>
      </c>
      <c r="BF2675" s="111">
        <v>29</v>
      </c>
      <c r="BG2675" s="111">
        <f>IF(G2675&gt;1/1/1900,((G2675+1)-I2675),"STILL OPEN")</f>
        <v>877</v>
      </c>
      <c r="BH2675" s="111">
        <f t="shared" si="1919"/>
        <v>876</v>
      </c>
      <c r="BI2675" s="111">
        <f t="shared" si="1921"/>
        <v>30.562841530054644</v>
      </c>
      <c r="BJ2675" s="129">
        <f>(G2675-J2675)+(M2675-G2675)</f>
        <v>0</v>
      </c>
      <c r="BK2675" s="129">
        <f t="shared" si="1920"/>
        <v>-847</v>
      </c>
      <c r="BL2675" s="129" t="str">
        <f t="shared" si="1917"/>
        <v>DEFERRED</v>
      </c>
      <c r="BM2675" s="129" t="s">
        <v>76</v>
      </c>
      <c r="BN2675" s="129" t="s">
        <v>566</v>
      </c>
      <c r="BP2675" s="137" t="str">
        <f t="shared" si="1925"/>
        <v>DEFERRED</v>
      </c>
      <c r="BQ2675" s="128" t="str">
        <f t="shared" si="1934"/>
        <v>Y</v>
      </c>
      <c r="BR2675" s="129" t="str">
        <f t="shared" si="1935"/>
        <v>ON BOND</v>
      </c>
      <c r="BS2675" s="129" t="s">
        <v>1259</v>
      </c>
      <c r="BT2675" s="129" t="str">
        <f t="shared" si="1927"/>
        <v>N</v>
      </c>
      <c r="BU2675" s="109">
        <f>IFERROR(Q2675/R2675,BR2675)</f>
        <v>3.3105022831050226E-2</v>
      </c>
      <c r="BV2675" s="139">
        <v>3.3099999999999997E-2</v>
      </c>
      <c r="BW2675" s="109">
        <v>0</v>
      </c>
      <c r="BX2675" s="111">
        <f t="shared" si="1929"/>
        <v>0</v>
      </c>
      <c r="BY2675" s="129">
        <f t="shared" si="1937"/>
        <v>-30</v>
      </c>
      <c r="BZ2675" s="111">
        <f t="shared" si="1938"/>
        <v>-1</v>
      </c>
      <c r="CA2675" s="138">
        <f t="shared" si="1939"/>
        <v>30</v>
      </c>
      <c r="CB2675" s="111" t="e">
        <f>IF(AF2675&gt;1/1/1900,((AF2675+1)-AE2675),"STILL OPEN")</f>
        <v>#VALUE!</v>
      </c>
      <c r="CC2675" s="129">
        <v>29</v>
      </c>
      <c r="CG2675" s="129" t="str">
        <f t="shared" si="1942"/>
        <v>N</v>
      </c>
      <c r="CH2675" s="129" t="e">
        <v>#N/A</v>
      </c>
      <c r="CI2675" s="129" t="str">
        <f t="shared" si="1943"/>
        <v>11-30 DAYS</v>
      </c>
      <c r="CJ2675" s="137">
        <f t="shared" si="1944"/>
        <v>2</v>
      </c>
      <c r="CK2675" s="129" t="str">
        <f t="shared" si="1945"/>
        <v>Booked</v>
      </c>
    </row>
    <row r="2676" spans="1:89" ht="15.75" customHeight="1" x14ac:dyDescent="0.25">
      <c r="A2676" s="111">
        <v>577</v>
      </c>
      <c r="B2676" s="128" t="str">
        <f t="shared" si="1931"/>
        <v>N</v>
      </c>
      <c r="C2676" s="128" t="str">
        <f t="shared" si="1932"/>
        <v>Y</v>
      </c>
      <c r="D2676" s="114">
        <v>2601240</v>
      </c>
      <c r="E2676" s="135">
        <f t="shared" si="1933"/>
        <v>6</v>
      </c>
      <c r="F2676" s="124">
        <v>40932</v>
      </c>
      <c r="G2676" s="125">
        <v>41425</v>
      </c>
      <c r="H2676" s="114">
        <v>2601240</v>
      </c>
      <c r="I2676" s="124">
        <v>41369</v>
      </c>
      <c r="J2676" s="125">
        <v>41425</v>
      </c>
      <c r="K2676" s="126">
        <v>20000</v>
      </c>
      <c r="L2676" s="127" t="s">
        <v>571</v>
      </c>
      <c r="M2676" s="125">
        <v>40933</v>
      </c>
      <c r="N2676" s="129" t="str">
        <f>IF(M2676&gt;1/1/1,"Y",IF(Q2676="NOT BOOKED","","N"))</f>
        <v>Y</v>
      </c>
      <c r="O2676" s="128" t="s">
        <v>585</v>
      </c>
      <c r="P2676" s="129" t="s">
        <v>39</v>
      </c>
      <c r="Q2676" s="111">
        <v>56</v>
      </c>
      <c r="R2676" s="111">
        <f t="shared" si="1918"/>
        <v>494</v>
      </c>
      <c r="S2676" s="129">
        <v>0</v>
      </c>
      <c r="T2676" s="129">
        <v>0</v>
      </c>
      <c r="W2676" s="111"/>
      <c r="AC2676" s="130"/>
      <c r="AD2676" s="130">
        <v>26172</v>
      </c>
      <c r="AE2676" s="128" t="s">
        <v>32</v>
      </c>
      <c r="AF2676" s="128" t="s">
        <v>40</v>
      </c>
      <c r="AG2676" s="128" t="s">
        <v>41</v>
      </c>
      <c r="AH2676" s="108" t="s">
        <v>31</v>
      </c>
      <c r="AI2676" s="128" t="s">
        <v>71</v>
      </c>
      <c r="AJ2676" s="129" t="s">
        <v>89</v>
      </c>
      <c r="AK2676" s="129">
        <v>13</v>
      </c>
      <c r="AL2676" s="3" t="s">
        <v>362</v>
      </c>
      <c r="AM2676" s="117">
        <v>3</v>
      </c>
      <c r="AP2676" s="129" t="s">
        <v>132</v>
      </c>
      <c r="AR2676" s="128" t="s">
        <v>92</v>
      </c>
      <c r="AS2676" s="129" t="s">
        <v>82</v>
      </c>
      <c r="AV2676" s="3" t="s">
        <v>88</v>
      </c>
      <c r="AW2676" s="125">
        <v>41200</v>
      </c>
      <c r="AX2676" s="125"/>
      <c r="AY2676" s="123"/>
      <c r="BA2676" s="129" t="s">
        <v>1199</v>
      </c>
      <c r="BB2676" s="129">
        <v>2688</v>
      </c>
      <c r="BC2676" s="129" t="s">
        <v>52</v>
      </c>
      <c r="BD2676" s="3"/>
      <c r="BF2676" s="111">
        <v>56</v>
      </c>
      <c r="BG2676" s="111">
        <v>56</v>
      </c>
      <c r="BH2676" s="111">
        <f t="shared" si="1919"/>
        <v>494</v>
      </c>
      <c r="BI2676" s="111">
        <f t="shared" si="1921"/>
        <v>40.327868852459019</v>
      </c>
      <c r="BJ2676" s="129">
        <f>G2676-J2676</f>
        <v>0</v>
      </c>
      <c r="BK2676" s="129">
        <f t="shared" si="1920"/>
        <v>0</v>
      </c>
      <c r="BL2676" s="129" t="str">
        <f t="shared" si="1917"/>
        <v>CONVICTION</v>
      </c>
      <c r="BM2676" s="129" t="s">
        <v>76</v>
      </c>
      <c r="BN2676" s="129" t="s">
        <v>566</v>
      </c>
      <c r="BP2676" s="137" t="str">
        <f t="shared" si="1925"/>
        <v>CONVICTION</v>
      </c>
      <c r="BQ2676" s="128" t="str">
        <f t="shared" si="1934"/>
        <v>Y</v>
      </c>
      <c r="BR2676" s="129" t="s">
        <v>574</v>
      </c>
      <c r="BS2676" s="129" t="str">
        <f t="shared" si="1926"/>
        <v>DISPOSED</v>
      </c>
      <c r="BT2676" s="129" t="str">
        <f t="shared" si="1927"/>
        <v>N</v>
      </c>
      <c r="BU2676" s="109">
        <f t="shared" si="1928"/>
        <v>0.11336032388663968</v>
      </c>
      <c r="BV2676" s="109">
        <f t="shared" si="1936"/>
        <v>1</v>
      </c>
      <c r="BW2676" s="109">
        <f t="shared" ref="BW2676:BW2694" si="1953">BV2676-BU2676</f>
        <v>0.88663967611336036</v>
      </c>
      <c r="BX2676" s="111">
        <f t="shared" si="1929"/>
        <v>0</v>
      </c>
      <c r="BY2676" s="129">
        <f t="shared" si="1937"/>
        <v>-57</v>
      </c>
      <c r="BZ2676" s="111">
        <f t="shared" si="1938"/>
        <v>-1</v>
      </c>
      <c r="CA2676" s="138">
        <f t="shared" si="1939"/>
        <v>57</v>
      </c>
      <c r="CB2676" s="111">
        <v>56</v>
      </c>
      <c r="CC2676" s="129">
        <f>G2676-I2676+1</f>
        <v>57</v>
      </c>
      <c r="CD2676" s="129">
        <f>G2676-J2676</f>
        <v>0</v>
      </c>
      <c r="CG2676" s="129" t="str">
        <f t="shared" si="1942"/>
        <v>N</v>
      </c>
      <c r="CI2676" s="129" t="str">
        <f t="shared" si="1943"/>
        <v>31-60 DAYS</v>
      </c>
      <c r="CJ2676" s="137">
        <f t="shared" si="1944"/>
        <v>3</v>
      </c>
      <c r="CK2676" s="129" t="str">
        <f t="shared" si="1945"/>
        <v>Booked</v>
      </c>
    </row>
    <row r="2677" spans="1:89" ht="15.75" customHeight="1" x14ac:dyDescent="0.25">
      <c r="A2677" s="111">
        <v>580</v>
      </c>
      <c r="B2677" s="128" t="str">
        <f t="shared" si="1931"/>
        <v>N</v>
      </c>
      <c r="C2677" s="128" t="str">
        <f t="shared" si="1932"/>
        <v>Y</v>
      </c>
      <c r="D2677" s="117">
        <v>2601244</v>
      </c>
      <c r="E2677" s="135">
        <f t="shared" si="1933"/>
        <v>5</v>
      </c>
      <c r="F2677" s="124">
        <v>40932</v>
      </c>
      <c r="G2677" s="125">
        <v>41241</v>
      </c>
      <c r="H2677" s="117">
        <v>2601244</v>
      </c>
      <c r="I2677" s="124">
        <v>41188</v>
      </c>
      <c r="J2677" s="125">
        <v>41241</v>
      </c>
      <c r="K2677" s="126">
        <v>5000</v>
      </c>
      <c r="L2677" s="127" t="s">
        <v>569</v>
      </c>
      <c r="M2677" s="125">
        <v>40933</v>
      </c>
      <c r="N2677" s="129" t="str">
        <f>IF(M2677&gt;1/1/1,"Y","N")</f>
        <v>Y</v>
      </c>
      <c r="O2677" s="128" t="s">
        <v>76</v>
      </c>
      <c r="P2677" s="129" t="s">
        <v>39</v>
      </c>
      <c r="Q2677" s="111">
        <f t="shared" ref="Q2677:Q2707" si="1954">BF2677</f>
        <v>54</v>
      </c>
      <c r="R2677" s="111">
        <f t="shared" si="1918"/>
        <v>310</v>
      </c>
      <c r="S2677" s="129">
        <v>0</v>
      </c>
      <c r="T2677" s="129">
        <v>0</v>
      </c>
      <c r="W2677" s="111"/>
      <c r="AC2677" s="130"/>
      <c r="AD2677" s="130">
        <v>32031</v>
      </c>
      <c r="AE2677" s="128" t="s">
        <v>32</v>
      </c>
      <c r="AF2677" s="128" t="s">
        <v>69</v>
      </c>
      <c r="AG2677" s="128" t="s">
        <v>874</v>
      </c>
      <c r="AH2677" s="108" t="s">
        <v>31</v>
      </c>
      <c r="AI2677" s="128" t="s">
        <v>72</v>
      </c>
      <c r="AJ2677" s="129" t="s">
        <v>89</v>
      </c>
      <c r="AK2677" s="129">
        <v>5</v>
      </c>
      <c r="AL2677" s="3" t="s">
        <v>992</v>
      </c>
      <c r="AN2677" s="117">
        <v>6</v>
      </c>
      <c r="AP2677" s="129" t="s">
        <v>103</v>
      </c>
      <c r="AR2677" s="128" t="s">
        <v>44</v>
      </c>
      <c r="AS2677" s="129" t="s">
        <v>45</v>
      </c>
      <c r="AV2677" s="3" t="s">
        <v>88</v>
      </c>
      <c r="AW2677" s="123">
        <v>40952</v>
      </c>
      <c r="BA2677" s="125">
        <v>41281</v>
      </c>
      <c r="BB2677" s="129">
        <v>766</v>
      </c>
      <c r="BC2677" s="129" t="s">
        <v>38</v>
      </c>
      <c r="BF2677" s="111">
        <f>IF(J2677&gt;1/1/1900,((G2677+1)-I2677),"STILL OPEN")</f>
        <v>54</v>
      </c>
      <c r="BG2677" s="111">
        <f>IF(G2677&gt;1/1/1900,((G2677+1)-I2677),"STILL OPEN")</f>
        <v>54</v>
      </c>
      <c r="BH2677" s="111">
        <f t="shared" si="1919"/>
        <v>310</v>
      </c>
      <c r="BI2677" s="111">
        <f t="shared" si="1921"/>
        <v>24.319672131147541</v>
      </c>
      <c r="BJ2677" s="129">
        <f>G2677-J2677</f>
        <v>0</v>
      </c>
      <c r="BK2677" s="129">
        <f t="shared" si="1920"/>
        <v>0</v>
      </c>
      <c r="BL2677" s="129" t="str">
        <f t="shared" si="1917"/>
        <v>CONVICTION</v>
      </c>
      <c r="BM2677" s="129" t="s">
        <v>76</v>
      </c>
      <c r="BN2677" s="129" t="s">
        <v>88</v>
      </c>
      <c r="BP2677" s="137" t="str">
        <f t="shared" si="1925"/>
        <v>CONVICTION</v>
      </c>
      <c r="BQ2677" s="128" t="str">
        <f t="shared" si="1934"/>
        <v>Y</v>
      </c>
      <c r="BR2677" s="129" t="s">
        <v>574</v>
      </c>
      <c r="BS2677" s="129" t="str">
        <f t="shared" si="1926"/>
        <v>DISPOSED</v>
      </c>
      <c r="BT2677" s="129" t="str">
        <f t="shared" si="1927"/>
        <v>N</v>
      </c>
      <c r="BU2677" s="109">
        <f t="shared" si="1928"/>
        <v>0.17419354838709677</v>
      </c>
      <c r="BV2677" s="109">
        <f t="shared" si="1936"/>
        <v>1</v>
      </c>
      <c r="BW2677" s="109">
        <f t="shared" si="1953"/>
        <v>0.82580645161290323</v>
      </c>
      <c r="BX2677" s="111">
        <f t="shared" si="1929"/>
        <v>0</v>
      </c>
      <c r="BY2677" s="129">
        <f t="shared" si="1937"/>
        <v>-54</v>
      </c>
      <c r="BZ2677" s="111">
        <f t="shared" si="1938"/>
        <v>0</v>
      </c>
      <c r="CA2677" s="138">
        <f t="shared" si="1939"/>
        <v>54</v>
      </c>
      <c r="CB2677" s="111" t="e">
        <f>IF(AF2677&gt;1/1/1900,((AF2677+1)-AE2677),"STILL OPEN")</f>
        <v>#VALUE!</v>
      </c>
      <c r="CC2677" s="129">
        <f>G2677-I2677+1</f>
        <v>54</v>
      </c>
      <c r="CD2677" s="129">
        <f>G2677-J2677</f>
        <v>0</v>
      </c>
      <c r="CG2677" s="129" t="str">
        <f t="shared" si="1942"/>
        <v>N</v>
      </c>
      <c r="CI2677" s="129" t="str">
        <f t="shared" si="1943"/>
        <v>31-60 DAYS</v>
      </c>
      <c r="CJ2677" s="137">
        <f t="shared" si="1944"/>
        <v>3</v>
      </c>
      <c r="CK2677" s="129" t="str">
        <f t="shared" si="1945"/>
        <v>Booked</v>
      </c>
    </row>
    <row r="2678" spans="1:89" ht="15.75" customHeight="1" x14ac:dyDescent="0.25">
      <c r="A2678" s="111">
        <v>2344</v>
      </c>
      <c r="B2678" s="128" t="str">
        <f t="shared" si="1931"/>
        <v>N</v>
      </c>
      <c r="C2678" s="128" t="str">
        <f t="shared" si="1932"/>
        <v>N</v>
      </c>
      <c r="D2678" s="117">
        <v>2601278</v>
      </c>
      <c r="E2678" s="135">
        <f t="shared" si="1933"/>
        <v>1</v>
      </c>
      <c r="F2678" s="124">
        <v>40997</v>
      </c>
      <c r="G2678" s="125">
        <v>41346</v>
      </c>
      <c r="H2678" s="117">
        <v>2601278</v>
      </c>
      <c r="I2678" s="124">
        <v>40997</v>
      </c>
      <c r="J2678" s="125">
        <v>41346</v>
      </c>
      <c r="K2678" s="126">
        <v>30000</v>
      </c>
      <c r="L2678" s="129" t="s">
        <v>572</v>
      </c>
      <c r="N2678" s="129" t="str">
        <f>IF(M2678&gt;1/1/1,"Y","N")</f>
        <v>N</v>
      </c>
      <c r="O2678" s="128" t="s">
        <v>917</v>
      </c>
      <c r="P2678" s="129" t="s">
        <v>55</v>
      </c>
      <c r="Q2678" s="111">
        <f t="shared" si="1954"/>
        <v>350</v>
      </c>
      <c r="R2678" s="111">
        <f t="shared" si="1918"/>
        <v>350</v>
      </c>
      <c r="S2678" s="129">
        <v>0</v>
      </c>
      <c r="T2678" s="129">
        <v>1</v>
      </c>
      <c r="W2678" s="111"/>
      <c r="AC2678" s="130"/>
      <c r="AD2678" s="130">
        <v>34226</v>
      </c>
      <c r="AE2678" s="128" t="s">
        <v>32</v>
      </c>
      <c r="AF2678" s="128" t="s">
        <v>33</v>
      </c>
      <c r="AG2678" s="128" t="s">
        <v>872</v>
      </c>
      <c r="AH2678" s="108" t="s">
        <v>31</v>
      </c>
      <c r="AI2678" s="128" t="s">
        <v>80</v>
      </c>
      <c r="AJ2678" s="129" t="s">
        <v>55</v>
      </c>
      <c r="AK2678" s="129">
        <v>14</v>
      </c>
      <c r="AL2678" s="3" t="s">
        <v>55</v>
      </c>
      <c r="AP2678" s="129" t="s">
        <v>105</v>
      </c>
      <c r="AR2678" s="128" t="s">
        <v>92</v>
      </c>
      <c r="AS2678" s="129" t="s">
        <v>106</v>
      </c>
      <c r="AT2678" s="129" t="s">
        <v>671</v>
      </c>
      <c r="BC2678" s="129" t="s">
        <v>38</v>
      </c>
      <c r="BF2678" s="111">
        <f>IF(J2678&gt;1/1/1900,((J2678+1)-I2678),"STILL OPEN")</f>
        <v>350</v>
      </c>
      <c r="BG2678" s="111">
        <f>IF(G2678&gt;1/1/1900,((G2678+1)-I2678),"STILL OPEN")</f>
        <v>350</v>
      </c>
      <c r="BH2678" s="111">
        <f t="shared" si="1919"/>
        <v>350</v>
      </c>
      <c r="BI2678" s="111">
        <f t="shared" si="1921"/>
        <v>18.5</v>
      </c>
      <c r="BJ2678" s="129">
        <f>G2678-J2678-M2678</f>
        <v>0</v>
      </c>
      <c r="BK2678" s="129">
        <f t="shared" si="1920"/>
        <v>0</v>
      </c>
      <c r="BL2678" s="129" t="str">
        <f t="shared" si="1917"/>
        <v>NO CONVICTION</v>
      </c>
      <c r="BM2678" s="129" t="str">
        <f>O2678</f>
        <v>NONE</v>
      </c>
      <c r="BN2678" s="129" t="s">
        <v>566</v>
      </c>
      <c r="BP2678" s="137" t="str">
        <f t="shared" si="1925"/>
        <v>NO CONVICTION</v>
      </c>
      <c r="BQ2678" s="128" t="str">
        <f t="shared" si="1934"/>
        <v>Y</v>
      </c>
      <c r="BR2678" s="129" t="str">
        <f t="shared" si="1935"/>
        <v>DETAINED</v>
      </c>
      <c r="BS2678" s="129" t="str">
        <f t="shared" si="1926"/>
        <v>DISPOSED</v>
      </c>
      <c r="BT2678" s="129" t="str">
        <f t="shared" si="1927"/>
        <v>N</v>
      </c>
      <c r="BU2678" s="109">
        <f>IFERROR(Q2678/R2678,BR2678)</f>
        <v>1</v>
      </c>
      <c r="BV2678" s="109">
        <f t="shared" si="1936"/>
        <v>1</v>
      </c>
      <c r="BW2678" s="109">
        <f t="shared" si="1953"/>
        <v>0</v>
      </c>
      <c r="BX2678" s="111">
        <f t="shared" si="1929"/>
        <v>0</v>
      </c>
      <c r="BY2678" s="129">
        <f t="shared" si="1937"/>
        <v>-350</v>
      </c>
      <c r="BZ2678" s="111">
        <f t="shared" si="1938"/>
        <v>0</v>
      </c>
      <c r="CA2678" s="138">
        <f t="shared" si="1939"/>
        <v>350</v>
      </c>
      <c r="CB2678" s="111" t="e">
        <f>IF(AF2678&gt;1/1/1900,((AF2678+1)-AE2678),"STILL OPEN")</f>
        <v>#VALUE!</v>
      </c>
      <c r="CC2678" s="129">
        <f>G2678-I2678+1</f>
        <v>350</v>
      </c>
      <c r="CD2678" s="129">
        <f>G2678-J2678</f>
        <v>0</v>
      </c>
      <c r="CG2678" s="129" t="str">
        <f t="shared" si="1942"/>
        <v>Y</v>
      </c>
      <c r="CI2678" s="129" t="str">
        <f t="shared" si="1943"/>
        <v>121-365 DAYS</v>
      </c>
      <c r="CJ2678" s="137">
        <f t="shared" si="1944"/>
        <v>6</v>
      </c>
      <c r="CK2678" s="129" t="str">
        <f t="shared" si="1945"/>
        <v>Booked</v>
      </c>
    </row>
    <row r="2679" spans="1:89" ht="15.75" customHeight="1" x14ac:dyDescent="0.25">
      <c r="A2679" s="111">
        <v>595</v>
      </c>
      <c r="B2679" s="128" t="str">
        <f t="shared" si="1931"/>
        <v>N</v>
      </c>
      <c r="C2679" s="128" t="str">
        <f t="shared" si="1932"/>
        <v>N</v>
      </c>
      <c r="D2679" s="117">
        <v>2601306</v>
      </c>
      <c r="E2679" s="135">
        <f t="shared" si="1933"/>
        <v>2</v>
      </c>
      <c r="F2679" s="124">
        <v>40932</v>
      </c>
      <c r="G2679" s="125">
        <v>40934</v>
      </c>
      <c r="H2679" s="117">
        <v>2601306</v>
      </c>
      <c r="I2679" s="124">
        <v>40933</v>
      </c>
      <c r="J2679" s="124">
        <v>40934</v>
      </c>
      <c r="K2679" s="126">
        <v>5000</v>
      </c>
      <c r="L2679" s="127" t="s">
        <v>569</v>
      </c>
      <c r="N2679" s="129" t="str">
        <f>IF(M2679&gt;1/1/1,"Y","N")</f>
        <v>N</v>
      </c>
      <c r="O2679" s="128" t="s">
        <v>917</v>
      </c>
      <c r="P2679" s="129" t="s">
        <v>589</v>
      </c>
      <c r="Q2679" s="111">
        <f t="shared" si="1954"/>
        <v>2</v>
      </c>
      <c r="R2679" s="111">
        <f t="shared" si="1918"/>
        <v>3</v>
      </c>
      <c r="S2679" s="129">
        <v>0</v>
      </c>
      <c r="T2679" s="129">
        <v>0</v>
      </c>
      <c r="W2679" s="111"/>
      <c r="AC2679" s="130"/>
      <c r="AD2679" s="130">
        <v>32675</v>
      </c>
      <c r="AE2679" s="128" t="s">
        <v>46</v>
      </c>
      <c r="AF2679" s="128" t="s">
        <v>69</v>
      </c>
      <c r="AG2679" s="128" t="s">
        <v>874</v>
      </c>
      <c r="AH2679" s="108" t="s">
        <v>31</v>
      </c>
      <c r="AI2679" s="128" t="s">
        <v>80</v>
      </c>
      <c r="AJ2679" s="129" t="s">
        <v>48</v>
      </c>
      <c r="AK2679" s="129">
        <v>2</v>
      </c>
      <c r="AL2679" s="3" t="s">
        <v>48</v>
      </c>
      <c r="AP2679" s="120" t="s">
        <v>229</v>
      </c>
      <c r="AR2679" s="128" t="s">
        <v>44</v>
      </c>
      <c r="AS2679" s="129" t="s">
        <v>45</v>
      </c>
      <c r="BC2679" s="129" t="s">
        <v>38</v>
      </c>
      <c r="BF2679" s="111">
        <f>IF(J2679&gt;1/1/1900,((J2679+1)-I2679),"STILL OPEN")</f>
        <v>2</v>
      </c>
      <c r="BG2679" s="111">
        <f>IF(G2679&gt;1/1/1900,((G2679+1)-I2679),"STILL OPEN")</f>
        <v>2</v>
      </c>
      <c r="BH2679" s="111">
        <f t="shared" si="1919"/>
        <v>3</v>
      </c>
      <c r="BI2679" s="111">
        <f t="shared" si="1921"/>
        <v>22.560109289617486</v>
      </c>
      <c r="BJ2679" s="129">
        <f>G2679-J2679-M2679</f>
        <v>0</v>
      </c>
      <c r="BK2679" s="129">
        <f t="shared" si="1920"/>
        <v>0</v>
      </c>
      <c r="BL2679" s="129" t="str">
        <f t="shared" ref="BL2679:BL2741" si="1955">IF(OR(AL2679="AQUITTAL",AL2679="DISMISSED",AL2679="FINE",AL2679="NO BILL"),"NO CONVICTION",IF(OR(AL2679="HCJ",AL2679="MHH",AL2679="PROBATION",AL2679="STJ",AL2679="TDC"),"CONVICTION",IF(AL2679="DEFERRED","DEFERRED",0)))</f>
        <v>DEFERRED</v>
      </c>
      <c r="BM2679" s="129" t="str">
        <f>O2679</f>
        <v>NONE</v>
      </c>
      <c r="BN2679" s="129" t="s">
        <v>566</v>
      </c>
      <c r="BP2679" s="137" t="str">
        <f t="shared" si="1925"/>
        <v>DEFERRED</v>
      </c>
      <c r="BQ2679" s="128" t="str">
        <f t="shared" si="1934"/>
        <v>Y</v>
      </c>
      <c r="BR2679" s="129" t="str">
        <f t="shared" si="1935"/>
        <v>DETAINED</v>
      </c>
      <c r="BS2679" s="129" t="str">
        <f t="shared" si="1926"/>
        <v>DISPOSED</v>
      </c>
      <c r="BT2679" s="129" t="str">
        <f t="shared" si="1927"/>
        <v>N</v>
      </c>
      <c r="BU2679" s="109">
        <f t="shared" si="1928"/>
        <v>0.66666666666666663</v>
      </c>
      <c r="BV2679" s="109">
        <f t="shared" si="1936"/>
        <v>1</v>
      </c>
      <c r="BW2679" s="109">
        <f t="shared" si="1953"/>
        <v>0.33333333333333337</v>
      </c>
      <c r="BX2679" s="111">
        <f t="shared" si="1929"/>
        <v>0</v>
      </c>
      <c r="BY2679" s="129">
        <f t="shared" si="1937"/>
        <v>-2</v>
      </c>
      <c r="BZ2679" s="111">
        <f t="shared" si="1938"/>
        <v>0</v>
      </c>
      <c r="CA2679" s="138">
        <f t="shared" si="1939"/>
        <v>2</v>
      </c>
      <c r="CB2679" s="111" t="e">
        <f>IF(AF2679&gt;1/1/1900,((AF2679+1)-AE2679),"STILL OPEN")</f>
        <v>#VALUE!</v>
      </c>
      <c r="CC2679" s="129">
        <f>G2679-I2679+1</f>
        <v>2</v>
      </c>
      <c r="CD2679" s="129">
        <f>G2679-J2679</f>
        <v>0</v>
      </c>
      <c r="CG2679" s="129" t="str">
        <f t="shared" si="1942"/>
        <v>N</v>
      </c>
      <c r="CI2679" s="129" t="str">
        <f t="shared" si="1943"/>
        <v>0-10 DAYS</v>
      </c>
      <c r="CJ2679" s="137">
        <f t="shared" si="1944"/>
        <v>1</v>
      </c>
      <c r="CK2679" s="129" t="str">
        <f t="shared" si="1945"/>
        <v>Booked</v>
      </c>
    </row>
    <row r="2680" spans="1:89" ht="15" customHeight="1" x14ac:dyDescent="0.25">
      <c r="A2680" s="111">
        <v>586</v>
      </c>
      <c r="B2680" s="128" t="str">
        <f t="shared" si="1931"/>
        <v>N</v>
      </c>
      <c r="C2680" s="128" t="str">
        <f t="shared" si="1932"/>
        <v>N</v>
      </c>
      <c r="D2680" s="117">
        <v>2601332</v>
      </c>
      <c r="E2680" s="135">
        <f t="shared" si="1933"/>
        <v>2</v>
      </c>
      <c r="F2680" s="124">
        <v>40932</v>
      </c>
      <c r="G2680" s="125">
        <v>41009</v>
      </c>
      <c r="H2680" s="117">
        <v>2601332</v>
      </c>
      <c r="I2680" s="124" t="s">
        <v>562</v>
      </c>
      <c r="J2680" s="124" t="s">
        <v>562</v>
      </c>
      <c r="K2680" s="126">
        <v>5000</v>
      </c>
      <c r="L2680" s="127" t="s">
        <v>569</v>
      </c>
      <c r="M2680" s="125">
        <v>40989</v>
      </c>
      <c r="N2680" s="129" t="str">
        <f>IF(M2680&gt;1/1/1,"Y",IF(Q2680="0","","N"))</f>
        <v>Y</v>
      </c>
      <c r="O2680" s="128" t="s">
        <v>585</v>
      </c>
      <c r="P2680" s="129" t="s">
        <v>589</v>
      </c>
      <c r="Q2680" s="111">
        <f t="shared" si="1954"/>
        <v>0</v>
      </c>
      <c r="R2680" s="111">
        <f t="shared" si="1918"/>
        <v>78</v>
      </c>
      <c r="S2680" s="129">
        <v>0</v>
      </c>
      <c r="T2680" s="129">
        <v>0</v>
      </c>
      <c r="W2680" s="111"/>
      <c r="AB2680" s="131" t="s">
        <v>112</v>
      </c>
      <c r="AC2680" s="130"/>
      <c r="AD2680" s="130">
        <v>31656</v>
      </c>
      <c r="AE2680" s="128" t="s">
        <v>32</v>
      </c>
      <c r="AF2680" s="128" t="s">
        <v>40</v>
      </c>
      <c r="AG2680" s="128" t="s">
        <v>41</v>
      </c>
      <c r="AH2680" s="108" t="s">
        <v>31</v>
      </c>
      <c r="AI2680" s="128" t="s">
        <v>85</v>
      </c>
      <c r="AJ2680" s="129" t="s">
        <v>48</v>
      </c>
      <c r="AK2680" s="129">
        <v>3</v>
      </c>
      <c r="AL2680" s="3" t="s">
        <v>48</v>
      </c>
      <c r="AP2680" s="129" t="s">
        <v>142</v>
      </c>
      <c r="AR2680" s="128" t="s">
        <v>44</v>
      </c>
      <c r="AS2680" s="129" t="s">
        <v>64</v>
      </c>
      <c r="BC2680" s="129" t="s">
        <v>38</v>
      </c>
      <c r="BF2680" s="111">
        <v>0</v>
      </c>
      <c r="BG2680" s="111">
        <v>0</v>
      </c>
      <c r="BH2680" s="111">
        <f t="shared" si="1919"/>
        <v>78</v>
      </c>
      <c r="BI2680" s="111">
        <f t="shared" si="1921"/>
        <v>25.344262295081968</v>
      </c>
      <c r="BJ2680" s="129" t="e">
        <f>(G2680-J2680)+(M2680-G2680)</f>
        <v>#VALUE!</v>
      </c>
      <c r="BK2680" s="129" t="e">
        <f t="shared" si="1920"/>
        <v>#VALUE!</v>
      </c>
      <c r="BL2680" s="129" t="str">
        <f t="shared" si="1955"/>
        <v>DEFERRED</v>
      </c>
      <c r="BM2680" s="129" t="s">
        <v>76</v>
      </c>
      <c r="BN2680" s="129" t="s">
        <v>88</v>
      </c>
      <c r="BP2680" s="137" t="str">
        <f t="shared" si="1925"/>
        <v>DEFERRED</v>
      </c>
      <c r="BQ2680" s="128">
        <f t="shared" si="1934"/>
        <v>0</v>
      </c>
      <c r="BR2680" s="129" t="s">
        <v>575</v>
      </c>
      <c r="BS2680" s="129" t="str">
        <f t="shared" si="1926"/>
        <v>DISPOSED</v>
      </c>
      <c r="BT2680" s="129" t="str">
        <f t="shared" si="1927"/>
        <v>N</v>
      </c>
      <c r="BU2680" s="109">
        <f t="shared" si="1928"/>
        <v>0</v>
      </c>
      <c r="BV2680" s="109">
        <v>0</v>
      </c>
      <c r="BW2680" s="109">
        <f t="shared" si="1953"/>
        <v>0</v>
      </c>
      <c r="BX2680" s="111">
        <f t="shared" si="1929"/>
        <v>0</v>
      </c>
      <c r="BY2680" s="129" t="e">
        <f t="shared" si="1937"/>
        <v>#VALUE!</v>
      </c>
      <c r="BZ2680" s="111" t="e">
        <f t="shared" si="1938"/>
        <v>#VALUE!</v>
      </c>
      <c r="CA2680" s="138" t="e">
        <f t="shared" si="1939"/>
        <v>#VALUE!</v>
      </c>
      <c r="CB2680" s="111">
        <v>0</v>
      </c>
      <c r="CC2680" s="129">
        <v>0</v>
      </c>
      <c r="CD2680" s="111">
        <f>CC2680-BF2680</f>
        <v>0</v>
      </c>
      <c r="CG2680" s="129" t="str">
        <f t="shared" si="1942"/>
        <v>N</v>
      </c>
      <c r="CI2680" s="129" t="str">
        <f t="shared" si="1943"/>
        <v>0-10 DAYS</v>
      </c>
      <c r="CJ2680" s="137">
        <f t="shared" si="1944"/>
        <v>1</v>
      </c>
      <c r="CK2680" s="129" t="str">
        <f t="shared" si="1945"/>
        <v>Not Booked</v>
      </c>
    </row>
    <row r="2681" spans="1:89" ht="15" customHeight="1" x14ac:dyDescent="0.25">
      <c r="A2681" s="111">
        <v>598</v>
      </c>
      <c r="B2681" s="128" t="str">
        <f t="shared" si="1931"/>
        <v>N</v>
      </c>
      <c r="C2681" s="128" t="str">
        <f t="shared" si="1932"/>
        <v>N</v>
      </c>
      <c r="D2681" s="117">
        <v>2601454</v>
      </c>
      <c r="E2681" s="135">
        <f t="shared" si="1933"/>
        <v>6</v>
      </c>
      <c r="F2681" s="124">
        <v>40932</v>
      </c>
      <c r="G2681" s="125">
        <v>41064</v>
      </c>
      <c r="H2681" s="117">
        <v>2601454</v>
      </c>
      <c r="I2681" s="124">
        <v>40932</v>
      </c>
      <c r="J2681" s="124">
        <v>41064</v>
      </c>
      <c r="K2681" s="126">
        <v>10000</v>
      </c>
      <c r="L2681" s="127" t="s">
        <v>570</v>
      </c>
      <c r="N2681" s="129" t="str">
        <f>IF(M2681&gt;1/1/1,"Y","N")</f>
        <v>N</v>
      </c>
      <c r="O2681" s="128" t="s">
        <v>917</v>
      </c>
      <c r="P2681" s="129" t="s">
        <v>77</v>
      </c>
      <c r="Q2681" s="111">
        <f t="shared" si="1954"/>
        <v>133</v>
      </c>
      <c r="R2681" s="111">
        <f t="shared" si="1918"/>
        <v>133</v>
      </c>
      <c r="S2681" s="129">
        <v>0</v>
      </c>
      <c r="T2681" s="129">
        <v>0</v>
      </c>
      <c r="W2681" s="111"/>
      <c r="AC2681" s="130"/>
      <c r="AD2681" s="130">
        <v>33282</v>
      </c>
      <c r="AE2681" s="128" t="s">
        <v>32</v>
      </c>
      <c r="AF2681" s="128" t="s">
        <v>33</v>
      </c>
      <c r="AG2681" s="128" t="s">
        <v>872</v>
      </c>
      <c r="AH2681" s="108" t="s">
        <v>31</v>
      </c>
      <c r="AI2681" s="128" t="s">
        <v>95</v>
      </c>
      <c r="AJ2681" s="129" t="s">
        <v>89</v>
      </c>
      <c r="AK2681" s="129">
        <v>6</v>
      </c>
      <c r="AL2681" s="3" t="s">
        <v>362</v>
      </c>
      <c r="AM2681" s="117">
        <v>2</v>
      </c>
      <c r="AP2681" s="129" t="s">
        <v>56</v>
      </c>
      <c r="AR2681" s="128" t="s">
        <v>50</v>
      </c>
      <c r="AS2681" s="129" t="s">
        <v>57</v>
      </c>
      <c r="BC2681" s="129" t="s">
        <v>38</v>
      </c>
      <c r="BE2681" s="123"/>
      <c r="BF2681" s="111">
        <f t="shared" ref="BF2681:BF2689" si="1956">IF(J2681&gt;1/1/1900,((J2681+1)-I2681),"STILL OPEN")</f>
        <v>133</v>
      </c>
      <c r="BG2681" s="111">
        <f t="shared" ref="BG2681:BG2689" si="1957">IF(G2681&gt;1/1/1900,((G2681+1)-I2681),"STILL OPEN")</f>
        <v>133</v>
      </c>
      <c r="BH2681" s="111">
        <f t="shared" si="1919"/>
        <v>133</v>
      </c>
      <c r="BI2681" s="111">
        <f t="shared" si="1921"/>
        <v>20.901639344262296</v>
      </c>
      <c r="BJ2681" s="129">
        <f>G2681-J2681-M2681</f>
        <v>0</v>
      </c>
      <c r="BK2681" s="129">
        <f t="shared" si="1920"/>
        <v>0</v>
      </c>
      <c r="BL2681" s="129" t="str">
        <f t="shared" si="1955"/>
        <v>CONVICTION</v>
      </c>
      <c r="BM2681" s="129" t="str">
        <f>O2681</f>
        <v>NONE</v>
      </c>
      <c r="BN2681" s="129" t="s">
        <v>566</v>
      </c>
      <c r="BP2681" s="137" t="str">
        <f t="shared" si="1925"/>
        <v>CONVICTION</v>
      </c>
      <c r="BQ2681" s="128" t="str">
        <f t="shared" si="1934"/>
        <v>Y</v>
      </c>
      <c r="BR2681" s="129" t="str">
        <f t="shared" si="1935"/>
        <v>DETAINED</v>
      </c>
      <c r="BS2681" s="129" t="str">
        <f t="shared" si="1926"/>
        <v>DISPOSED</v>
      </c>
      <c r="BT2681" s="129" t="str">
        <f t="shared" si="1927"/>
        <v>N</v>
      </c>
      <c r="BU2681" s="109">
        <f t="shared" si="1928"/>
        <v>1</v>
      </c>
      <c r="BV2681" s="109">
        <f t="shared" si="1936"/>
        <v>1</v>
      </c>
      <c r="BW2681" s="109">
        <f t="shared" si="1953"/>
        <v>0</v>
      </c>
      <c r="BX2681" s="111">
        <f t="shared" si="1929"/>
        <v>0</v>
      </c>
      <c r="BY2681" s="129">
        <f t="shared" si="1937"/>
        <v>-133</v>
      </c>
      <c r="BZ2681" s="111">
        <f t="shared" si="1938"/>
        <v>0</v>
      </c>
      <c r="CA2681" s="138">
        <f t="shared" si="1939"/>
        <v>133</v>
      </c>
      <c r="CB2681" s="111" t="e">
        <f t="shared" ref="CB2681:CB2689" si="1958">IF(AF2681&gt;1/1/1900,((AF2681+1)-AE2681),"STILL OPEN")</f>
        <v>#VALUE!</v>
      </c>
      <c r="CC2681" s="129">
        <f>G2681-I2681+1</f>
        <v>133</v>
      </c>
      <c r="CD2681" s="129">
        <f>G2681-J2681</f>
        <v>0</v>
      </c>
      <c r="CG2681" s="129" t="str">
        <f t="shared" si="1942"/>
        <v>N</v>
      </c>
      <c r="CI2681" s="129" t="str">
        <f t="shared" si="1943"/>
        <v>121-365 DAYS</v>
      </c>
      <c r="CJ2681" s="137">
        <f t="shared" si="1944"/>
        <v>6</v>
      </c>
      <c r="CK2681" s="129" t="str">
        <f t="shared" si="1945"/>
        <v>Booked</v>
      </c>
    </row>
    <row r="2682" spans="1:89" ht="15.75" customHeight="1" x14ac:dyDescent="0.25">
      <c r="A2682" s="111">
        <v>602</v>
      </c>
      <c r="B2682" s="128" t="str">
        <f t="shared" si="1931"/>
        <v>N</v>
      </c>
      <c r="C2682" s="128" t="str">
        <f t="shared" si="1932"/>
        <v>N</v>
      </c>
      <c r="D2682" s="117">
        <v>2601461</v>
      </c>
      <c r="E2682" s="135">
        <f t="shared" si="1933"/>
        <v>2</v>
      </c>
      <c r="F2682" s="124">
        <v>40932</v>
      </c>
      <c r="G2682" s="125">
        <v>41225</v>
      </c>
      <c r="H2682" s="117">
        <v>2601461</v>
      </c>
      <c r="I2682" s="124">
        <v>40933</v>
      </c>
      <c r="J2682" s="124">
        <v>40934</v>
      </c>
      <c r="K2682" s="126">
        <v>2000</v>
      </c>
      <c r="L2682" s="127" t="s">
        <v>568</v>
      </c>
      <c r="M2682" s="125">
        <v>40934</v>
      </c>
      <c r="N2682" s="129" t="str">
        <f>IF(M2682&gt;1/1/1,"Y","N")</f>
        <v>Y</v>
      </c>
      <c r="O2682" s="128" t="s">
        <v>76</v>
      </c>
      <c r="P2682" s="129" t="s">
        <v>589</v>
      </c>
      <c r="Q2682" s="111">
        <f t="shared" si="1954"/>
        <v>2</v>
      </c>
      <c r="R2682" s="111">
        <f t="shared" si="1918"/>
        <v>294</v>
      </c>
      <c r="S2682" s="129">
        <v>0</v>
      </c>
      <c r="T2682" s="129">
        <v>0</v>
      </c>
      <c r="W2682" s="111"/>
      <c r="AB2682" s="131" t="s">
        <v>112</v>
      </c>
      <c r="AC2682" s="130"/>
      <c r="AD2682" s="130">
        <v>30245</v>
      </c>
      <c r="AE2682" s="128" t="s">
        <v>32</v>
      </c>
      <c r="AF2682" s="128" t="s">
        <v>40</v>
      </c>
      <c r="AG2682" s="128" t="s">
        <v>41</v>
      </c>
      <c r="AH2682" s="108" t="s">
        <v>31</v>
      </c>
      <c r="AI2682" s="128" t="s">
        <v>100</v>
      </c>
      <c r="AJ2682" s="129" t="s">
        <v>48</v>
      </c>
      <c r="AK2682" s="129">
        <v>13</v>
      </c>
      <c r="AL2682" s="3" t="s">
        <v>48</v>
      </c>
      <c r="AP2682" s="129" t="s">
        <v>43</v>
      </c>
      <c r="AR2682" s="128" t="s">
        <v>44</v>
      </c>
      <c r="AS2682" s="129" t="s">
        <v>45</v>
      </c>
      <c r="BC2682" s="129" t="s">
        <v>52</v>
      </c>
      <c r="BF2682" s="111">
        <f t="shared" si="1956"/>
        <v>2</v>
      </c>
      <c r="BG2682" s="111">
        <f t="shared" si="1957"/>
        <v>293</v>
      </c>
      <c r="BH2682" s="111">
        <f t="shared" si="1919"/>
        <v>294</v>
      </c>
      <c r="BI2682" s="111">
        <f t="shared" si="1921"/>
        <v>29.199453551912569</v>
      </c>
      <c r="BJ2682" s="129">
        <f>(G2682-J2682)+(M2682-G2682)</f>
        <v>0</v>
      </c>
      <c r="BK2682" s="129">
        <f t="shared" si="1920"/>
        <v>-291</v>
      </c>
      <c r="BL2682" s="129" t="str">
        <f t="shared" si="1955"/>
        <v>DEFERRED</v>
      </c>
      <c r="BM2682" s="129" t="s">
        <v>76</v>
      </c>
      <c r="BN2682" s="129" t="s">
        <v>88</v>
      </c>
      <c r="BP2682" s="137" t="str">
        <f t="shared" si="1925"/>
        <v>DEFERRED</v>
      </c>
      <c r="BQ2682" s="128" t="str">
        <f t="shared" si="1934"/>
        <v>Y</v>
      </c>
      <c r="BR2682" s="129" t="str">
        <f t="shared" si="1935"/>
        <v>ON BOND</v>
      </c>
      <c r="BS2682" s="129" t="str">
        <f t="shared" si="1926"/>
        <v>DISPOSED</v>
      </c>
      <c r="BT2682" s="129" t="str">
        <f t="shared" si="1927"/>
        <v>N</v>
      </c>
      <c r="BU2682" s="109">
        <f t="shared" si="1928"/>
        <v>6.8027210884353739E-3</v>
      </c>
      <c r="BV2682" s="109">
        <f t="shared" si="1936"/>
        <v>6.8259385665529011E-3</v>
      </c>
      <c r="BW2682" s="109">
        <f t="shared" si="1953"/>
        <v>2.3217478117527196E-5</v>
      </c>
      <c r="BX2682" s="111">
        <f t="shared" si="1929"/>
        <v>0</v>
      </c>
      <c r="BY2682" s="129">
        <f t="shared" si="1937"/>
        <v>-2</v>
      </c>
      <c r="BZ2682" s="111">
        <f t="shared" si="1938"/>
        <v>0</v>
      </c>
      <c r="CA2682" s="138">
        <f t="shared" si="1939"/>
        <v>2</v>
      </c>
      <c r="CB2682" s="111" t="e">
        <f t="shared" si="1958"/>
        <v>#VALUE!</v>
      </c>
      <c r="CC2682" s="129">
        <f>M2682-I2682+1</f>
        <v>2</v>
      </c>
      <c r="CD2682" s="111">
        <f>CC2682-BF2682</f>
        <v>0</v>
      </c>
      <c r="CG2682" s="129" t="str">
        <f t="shared" si="1942"/>
        <v>N</v>
      </c>
      <c r="CI2682" s="129" t="str">
        <f t="shared" si="1943"/>
        <v>0-10 DAYS</v>
      </c>
      <c r="CJ2682" s="137">
        <f t="shared" si="1944"/>
        <v>1</v>
      </c>
      <c r="CK2682" s="129" t="str">
        <f t="shared" si="1945"/>
        <v>Booked</v>
      </c>
    </row>
    <row r="2683" spans="1:89" ht="15.75" customHeight="1" x14ac:dyDescent="0.25">
      <c r="A2683" s="111">
        <v>608</v>
      </c>
      <c r="B2683" s="128" t="str">
        <f t="shared" si="1931"/>
        <v>N</v>
      </c>
      <c r="C2683" s="128" t="str">
        <f t="shared" si="1932"/>
        <v>N</v>
      </c>
      <c r="D2683" s="117">
        <v>2601469</v>
      </c>
      <c r="E2683" s="135">
        <f t="shared" si="1933"/>
        <v>2</v>
      </c>
      <c r="F2683" s="124">
        <v>40932</v>
      </c>
      <c r="G2683" s="125">
        <v>40934</v>
      </c>
      <c r="H2683" s="117">
        <v>2601469</v>
      </c>
      <c r="I2683" s="124">
        <v>40933</v>
      </c>
      <c r="J2683" s="124">
        <v>40934</v>
      </c>
      <c r="K2683" s="126">
        <v>2000</v>
      </c>
      <c r="L2683" s="127" t="s">
        <v>568</v>
      </c>
      <c r="N2683" s="129" t="str">
        <f>IF(M2683&gt;1/1/1,"Y","N")</f>
        <v>N</v>
      </c>
      <c r="O2683" s="128" t="s">
        <v>917</v>
      </c>
      <c r="P2683" s="129" t="s">
        <v>589</v>
      </c>
      <c r="Q2683" s="111">
        <f t="shared" si="1954"/>
        <v>2</v>
      </c>
      <c r="R2683" s="111">
        <f t="shared" si="1918"/>
        <v>3</v>
      </c>
      <c r="S2683" s="129">
        <v>0</v>
      </c>
      <c r="T2683" s="129">
        <v>0</v>
      </c>
      <c r="W2683" s="111"/>
      <c r="AC2683" s="130"/>
      <c r="AD2683" s="130">
        <v>29778</v>
      </c>
      <c r="AE2683" s="128" t="s">
        <v>46</v>
      </c>
      <c r="AF2683" s="128" t="s">
        <v>33</v>
      </c>
      <c r="AG2683" s="128" t="s">
        <v>872</v>
      </c>
      <c r="AH2683" s="108" t="s">
        <v>31</v>
      </c>
      <c r="AI2683" s="128" t="s">
        <v>53</v>
      </c>
      <c r="AJ2683" s="129" t="s">
        <v>48</v>
      </c>
      <c r="AK2683" s="129">
        <v>1</v>
      </c>
      <c r="AL2683" s="3" t="s">
        <v>48</v>
      </c>
      <c r="AP2683" s="129" t="s">
        <v>43</v>
      </c>
      <c r="AR2683" s="128" t="s">
        <v>44</v>
      </c>
      <c r="AS2683" s="129" t="s">
        <v>45</v>
      </c>
      <c r="BC2683" s="129" t="s">
        <v>38</v>
      </c>
      <c r="BF2683" s="111">
        <f t="shared" si="1956"/>
        <v>2</v>
      </c>
      <c r="BG2683" s="111">
        <f t="shared" si="1957"/>
        <v>2</v>
      </c>
      <c r="BH2683" s="111">
        <f t="shared" si="1919"/>
        <v>3</v>
      </c>
      <c r="BI2683" s="111">
        <f t="shared" si="1921"/>
        <v>30.475409836065573</v>
      </c>
      <c r="BJ2683" s="129">
        <f>G2683-J2683-M2683</f>
        <v>0</v>
      </c>
      <c r="BK2683" s="129">
        <f t="shared" si="1920"/>
        <v>0</v>
      </c>
      <c r="BL2683" s="129" t="str">
        <f t="shared" si="1955"/>
        <v>DEFERRED</v>
      </c>
      <c r="BM2683" s="129" t="str">
        <f>O2683</f>
        <v>NONE</v>
      </c>
      <c r="BN2683" s="129" t="s">
        <v>566</v>
      </c>
      <c r="BP2683" s="137" t="str">
        <f t="shared" si="1925"/>
        <v>DEFERRED</v>
      </c>
      <c r="BQ2683" s="128" t="str">
        <f t="shared" si="1934"/>
        <v>Y</v>
      </c>
      <c r="BR2683" s="129" t="str">
        <f t="shared" si="1935"/>
        <v>DETAINED</v>
      </c>
      <c r="BS2683" s="129" t="str">
        <f t="shared" si="1926"/>
        <v>DISPOSED</v>
      </c>
      <c r="BT2683" s="129" t="str">
        <f t="shared" si="1927"/>
        <v>N</v>
      </c>
      <c r="BU2683" s="109">
        <f t="shared" si="1928"/>
        <v>0.66666666666666663</v>
      </c>
      <c r="BV2683" s="109">
        <f t="shared" si="1936"/>
        <v>1</v>
      </c>
      <c r="BW2683" s="109">
        <f t="shared" si="1953"/>
        <v>0.33333333333333337</v>
      </c>
      <c r="BX2683" s="111">
        <f t="shared" si="1929"/>
        <v>0</v>
      </c>
      <c r="BY2683" s="129">
        <f t="shared" si="1937"/>
        <v>-2</v>
      </c>
      <c r="BZ2683" s="111">
        <f t="shared" si="1938"/>
        <v>0</v>
      </c>
      <c r="CA2683" s="138">
        <f t="shared" si="1939"/>
        <v>2</v>
      </c>
      <c r="CB2683" s="111" t="e">
        <f t="shared" si="1958"/>
        <v>#VALUE!</v>
      </c>
      <c r="CC2683" s="129">
        <f>G2683-I2683+1</f>
        <v>2</v>
      </c>
      <c r="CD2683" s="129">
        <f>G2683-J2683</f>
        <v>0</v>
      </c>
      <c r="CG2683" s="129" t="str">
        <f t="shared" si="1942"/>
        <v>N</v>
      </c>
      <c r="CI2683" s="129" t="str">
        <f t="shared" si="1943"/>
        <v>0-10 DAYS</v>
      </c>
      <c r="CJ2683" s="137">
        <f t="shared" si="1944"/>
        <v>1</v>
      </c>
      <c r="CK2683" s="129" t="str">
        <f t="shared" si="1945"/>
        <v>Booked</v>
      </c>
    </row>
    <row r="2684" spans="1:89" ht="15.75" customHeight="1" x14ac:dyDescent="0.25">
      <c r="A2684" s="111">
        <v>611</v>
      </c>
      <c r="B2684" s="128" t="str">
        <f t="shared" si="1931"/>
        <v>Y</v>
      </c>
      <c r="C2684" s="128" t="str">
        <f t="shared" si="1932"/>
        <v>N</v>
      </c>
      <c r="D2684" s="117">
        <v>2601470</v>
      </c>
      <c r="E2684" s="135">
        <f t="shared" si="1933"/>
        <v>1</v>
      </c>
      <c r="F2684" s="124">
        <v>40932</v>
      </c>
      <c r="G2684" s="125">
        <v>40934</v>
      </c>
      <c r="H2684" s="117">
        <v>2601470</v>
      </c>
      <c r="I2684" s="124">
        <v>40933</v>
      </c>
      <c r="J2684" s="124">
        <v>40934</v>
      </c>
      <c r="K2684" s="126">
        <v>15000</v>
      </c>
      <c r="L2684" s="127" t="s">
        <v>571</v>
      </c>
      <c r="N2684" s="129" t="str">
        <f>IF(M2684&gt;1/1/1,"Y","N")</f>
        <v>N</v>
      </c>
      <c r="O2684" s="128" t="s">
        <v>917</v>
      </c>
      <c r="P2684" s="116" t="s">
        <v>55</v>
      </c>
      <c r="Q2684" s="111">
        <f t="shared" si="1954"/>
        <v>2</v>
      </c>
      <c r="R2684" s="111">
        <f t="shared" si="1918"/>
        <v>3</v>
      </c>
      <c r="S2684" s="129">
        <v>0</v>
      </c>
      <c r="T2684" s="129">
        <v>0</v>
      </c>
      <c r="W2684" s="111"/>
      <c r="AC2684" s="130"/>
      <c r="AD2684" s="130">
        <v>23326</v>
      </c>
      <c r="AE2684" s="128" t="s">
        <v>32</v>
      </c>
      <c r="AF2684" s="128" t="s">
        <v>138</v>
      </c>
      <c r="AG2684" s="128" t="s">
        <v>873</v>
      </c>
      <c r="AH2684" s="108" t="s">
        <v>58</v>
      </c>
      <c r="AI2684" s="128" t="s">
        <v>114</v>
      </c>
      <c r="AJ2684" s="129" t="s">
        <v>55</v>
      </c>
      <c r="AK2684" s="129">
        <v>1</v>
      </c>
      <c r="AL2684" s="3" t="s">
        <v>55</v>
      </c>
      <c r="AP2684" s="129" t="s">
        <v>43</v>
      </c>
      <c r="AR2684" s="128" t="s">
        <v>44</v>
      </c>
      <c r="AS2684" s="129" t="s">
        <v>45</v>
      </c>
      <c r="BC2684" s="129" t="s">
        <v>79</v>
      </c>
      <c r="BD2684" s="129" t="s">
        <v>1240</v>
      </c>
      <c r="BF2684" s="111">
        <f t="shared" si="1956"/>
        <v>2</v>
      </c>
      <c r="BG2684" s="111">
        <f t="shared" si="1957"/>
        <v>2</v>
      </c>
      <c r="BH2684" s="111">
        <f t="shared" si="1919"/>
        <v>3</v>
      </c>
      <c r="BI2684" s="111">
        <f t="shared" si="1921"/>
        <v>48.103825136612024</v>
      </c>
      <c r="BJ2684" s="129">
        <f>G2684-J2684-M2684</f>
        <v>0</v>
      </c>
      <c r="BK2684" s="129">
        <f t="shared" si="1920"/>
        <v>0</v>
      </c>
      <c r="BL2684" s="129" t="str">
        <f t="shared" si="1955"/>
        <v>NO CONVICTION</v>
      </c>
      <c r="BM2684" s="129" t="str">
        <f>O2684</f>
        <v>NONE</v>
      </c>
      <c r="BN2684" s="129" t="s">
        <v>566</v>
      </c>
      <c r="BP2684" s="137" t="str">
        <f t="shared" si="1925"/>
        <v>NO CONVICTION</v>
      </c>
      <c r="BQ2684" s="128" t="str">
        <f t="shared" si="1934"/>
        <v>Y</v>
      </c>
      <c r="BR2684" s="129" t="str">
        <f t="shared" si="1935"/>
        <v>DETAINED</v>
      </c>
      <c r="BS2684" s="129" t="str">
        <f t="shared" si="1926"/>
        <v>DISPOSED</v>
      </c>
      <c r="BT2684" s="129" t="str">
        <f t="shared" si="1927"/>
        <v>N</v>
      </c>
      <c r="BU2684" s="109">
        <f>IFERROR(Q2684/R2684,BR2684)</f>
        <v>0.66666666666666663</v>
      </c>
      <c r="BV2684" s="109">
        <f t="shared" si="1936"/>
        <v>1</v>
      </c>
      <c r="BW2684" s="109">
        <f t="shared" si="1953"/>
        <v>0.33333333333333337</v>
      </c>
      <c r="BX2684" s="111">
        <f t="shared" si="1929"/>
        <v>0</v>
      </c>
      <c r="BY2684" s="129">
        <f t="shared" si="1937"/>
        <v>-2</v>
      </c>
      <c r="BZ2684" s="111">
        <f t="shared" si="1938"/>
        <v>0</v>
      </c>
      <c r="CA2684" s="138">
        <f t="shared" si="1939"/>
        <v>2</v>
      </c>
      <c r="CB2684" s="111" t="e">
        <f t="shared" si="1958"/>
        <v>#VALUE!</v>
      </c>
      <c r="CC2684" s="129">
        <f>G2684-I2684+1</f>
        <v>2</v>
      </c>
      <c r="CD2684" s="129">
        <f>G2684-J2684</f>
        <v>0</v>
      </c>
      <c r="CG2684" s="129" t="str">
        <f t="shared" si="1942"/>
        <v>N</v>
      </c>
      <c r="CI2684" s="129" t="str">
        <f t="shared" si="1943"/>
        <v>0-10 DAYS</v>
      </c>
      <c r="CJ2684" s="137">
        <f t="shared" si="1944"/>
        <v>1</v>
      </c>
      <c r="CK2684" s="129" t="str">
        <f t="shared" si="1945"/>
        <v>Booked</v>
      </c>
    </row>
    <row r="2685" spans="1:89" ht="15.75" customHeight="1" x14ac:dyDescent="0.25">
      <c r="A2685" s="111">
        <v>612</v>
      </c>
      <c r="B2685" s="128" t="str">
        <f t="shared" si="1931"/>
        <v>N</v>
      </c>
      <c r="C2685" s="128" t="str">
        <f t="shared" si="1932"/>
        <v>N</v>
      </c>
      <c r="D2685" s="117">
        <v>2601471</v>
      </c>
      <c r="E2685" s="135">
        <f t="shared" si="1933"/>
        <v>4</v>
      </c>
      <c r="F2685" s="124">
        <v>40932</v>
      </c>
      <c r="G2685" s="125">
        <v>40995</v>
      </c>
      <c r="H2685" s="117">
        <v>2601471</v>
      </c>
      <c r="I2685" s="124">
        <v>40933</v>
      </c>
      <c r="J2685" s="124">
        <v>40995</v>
      </c>
      <c r="K2685" s="126" t="s">
        <v>564</v>
      </c>
      <c r="L2685" s="127" t="s">
        <v>564</v>
      </c>
      <c r="N2685" s="129" t="s">
        <v>566</v>
      </c>
      <c r="O2685" s="128" t="s">
        <v>917</v>
      </c>
      <c r="P2685" s="129" t="s">
        <v>39</v>
      </c>
      <c r="Q2685" s="111">
        <f t="shared" si="1954"/>
        <v>63</v>
      </c>
      <c r="R2685" s="111">
        <f t="shared" ref="R2685:R2747" si="1959">BH2685</f>
        <v>64</v>
      </c>
      <c r="S2685" s="129">
        <v>0</v>
      </c>
      <c r="T2685" s="129">
        <v>0</v>
      </c>
      <c r="W2685" s="111"/>
      <c r="AC2685" s="130"/>
      <c r="AD2685" s="130">
        <v>33683</v>
      </c>
      <c r="AE2685" s="128" t="s">
        <v>32</v>
      </c>
      <c r="AF2685" s="128" t="s">
        <v>69</v>
      </c>
      <c r="AG2685" s="128" t="s">
        <v>874</v>
      </c>
      <c r="AH2685" s="108" t="s">
        <v>31</v>
      </c>
      <c r="AI2685" s="128" t="s">
        <v>87</v>
      </c>
      <c r="AJ2685" s="129" t="s">
        <v>89</v>
      </c>
      <c r="AK2685" s="129">
        <v>4</v>
      </c>
      <c r="AL2685" s="3" t="s">
        <v>991</v>
      </c>
      <c r="AO2685" s="128">
        <v>365</v>
      </c>
      <c r="AP2685" s="129" t="s">
        <v>230</v>
      </c>
      <c r="AR2685" s="128" t="s">
        <v>44</v>
      </c>
      <c r="AS2685" s="129" t="s">
        <v>64</v>
      </c>
      <c r="BC2685" s="129" t="s">
        <v>38</v>
      </c>
      <c r="BF2685" s="111">
        <f t="shared" si="1956"/>
        <v>63</v>
      </c>
      <c r="BG2685" s="111">
        <f t="shared" si="1957"/>
        <v>63</v>
      </c>
      <c r="BH2685" s="111">
        <f t="shared" ref="BH2685:BH2747" si="1960">IF(G2685&gt;1/1/1900,((G2685+1)-F2685),"STILL OPEN")</f>
        <v>64</v>
      </c>
      <c r="BI2685" s="111">
        <f t="shared" si="1921"/>
        <v>19.806010928961747</v>
      </c>
      <c r="BJ2685" s="129">
        <f>G2685-J2685-M2685</f>
        <v>0</v>
      </c>
      <c r="BK2685" s="129">
        <f t="shared" ref="BK2685:BK2747" si="1961">J2685-G2685</f>
        <v>0</v>
      </c>
      <c r="BL2685" s="129" t="str">
        <f t="shared" si="1955"/>
        <v>CONVICTION</v>
      </c>
      <c r="BM2685" s="129" t="str">
        <f>O2685</f>
        <v>NONE</v>
      </c>
      <c r="BN2685" s="129" t="s">
        <v>566</v>
      </c>
      <c r="BP2685" s="137" t="str">
        <f t="shared" si="1925"/>
        <v>CONVICTION</v>
      </c>
      <c r="BQ2685" s="128" t="str">
        <f t="shared" si="1934"/>
        <v>Y</v>
      </c>
      <c r="BR2685" s="129" t="str">
        <f t="shared" si="1935"/>
        <v>DETAINED</v>
      </c>
      <c r="BS2685" s="129" t="str">
        <f t="shared" si="1926"/>
        <v>DISPOSED</v>
      </c>
      <c r="BT2685" s="129" t="str">
        <f t="shared" si="1927"/>
        <v>N</v>
      </c>
      <c r="BU2685" s="109">
        <f t="shared" si="1928"/>
        <v>0.984375</v>
      </c>
      <c r="BV2685" s="109">
        <f t="shared" si="1936"/>
        <v>1</v>
      </c>
      <c r="BW2685" s="109">
        <f t="shared" si="1953"/>
        <v>1.5625E-2</v>
      </c>
      <c r="BX2685" s="111">
        <f t="shared" si="1929"/>
        <v>0</v>
      </c>
      <c r="BY2685" s="129">
        <f t="shared" si="1937"/>
        <v>-63</v>
      </c>
      <c r="BZ2685" s="111">
        <f t="shared" si="1938"/>
        <v>0</v>
      </c>
      <c r="CA2685" s="138">
        <f t="shared" si="1939"/>
        <v>63</v>
      </c>
      <c r="CB2685" s="111" t="e">
        <f t="shared" si="1958"/>
        <v>#VALUE!</v>
      </c>
      <c r="CC2685" s="129">
        <f>G2685-I2685+1</f>
        <v>63</v>
      </c>
      <c r="CD2685" s="129">
        <f>G2685-J2685</f>
        <v>0</v>
      </c>
      <c r="CG2685" s="129" t="str">
        <f t="shared" si="1942"/>
        <v>N</v>
      </c>
      <c r="CI2685" s="129" t="str">
        <f t="shared" si="1943"/>
        <v>61-90 DAYS</v>
      </c>
      <c r="CJ2685" s="137">
        <f t="shared" si="1944"/>
        <v>4</v>
      </c>
      <c r="CK2685" s="129" t="str">
        <f t="shared" si="1945"/>
        <v>Booked</v>
      </c>
    </row>
    <row r="2686" spans="1:89" ht="15.75" customHeight="1" x14ac:dyDescent="0.25">
      <c r="A2686" s="111">
        <v>616</v>
      </c>
      <c r="B2686" s="128" t="str">
        <f t="shared" si="1931"/>
        <v>N</v>
      </c>
      <c r="C2686" s="128" t="str">
        <f t="shared" si="1932"/>
        <v>N</v>
      </c>
      <c r="D2686" s="117">
        <v>2601488</v>
      </c>
      <c r="E2686" s="135">
        <f t="shared" si="1933"/>
        <v>4</v>
      </c>
      <c r="F2686" s="124">
        <v>40933</v>
      </c>
      <c r="G2686" s="125">
        <v>40934</v>
      </c>
      <c r="H2686" s="117">
        <v>2601488</v>
      </c>
      <c r="I2686" s="124">
        <v>40933</v>
      </c>
      <c r="J2686" s="124">
        <v>40934</v>
      </c>
      <c r="K2686" s="126">
        <v>2000</v>
      </c>
      <c r="L2686" s="127" t="s">
        <v>568</v>
      </c>
      <c r="N2686" s="129" t="str">
        <f>IF(M2686&gt;1/1/1,"Y","N")</f>
        <v>N</v>
      </c>
      <c r="O2686" s="128" t="s">
        <v>917</v>
      </c>
      <c r="P2686" s="129" t="s">
        <v>39</v>
      </c>
      <c r="Q2686" s="111">
        <f t="shared" si="1954"/>
        <v>2</v>
      </c>
      <c r="R2686" s="111">
        <f t="shared" si="1959"/>
        <v>2</v>
      </c>
      <c r="S2686" s="129">
        <v>0</v>
      </c>
      <c r="T2686" s="129">
        <v>0</v>
      </c>
      <c r="W2686" s="111"/>
      <c r="AB2686" s="131" t="s">
        <v>112</v>
      </c>
      <c r="AC2686" s="130"/>
      <c r="AD2686" s="130">
        <v>34121</v>
      </c>
      <c r="AE2686" s="128" t="s">
        <v>32</v>
      </c>
      <c r="AF2686" s="128" t="s">
        <v>40</v>
      </c>
      <c r="AG2686" s="128" t="s">
        <v>41</v>
      </c>
      <c r="AH2686" s="108" t="s">
        <v>31</v>
      </c>
      <c r="AI2686" s="128" t="s">
        <v>65</v>
      </c>
      <c r="AJ2686" s="129" t="s">
        <v>89</v>
      </c>
      <c r="AK2686" s="129">
        <v>1</v>
      </c>
      <c r="AL2686" s="3" t="s">
        <v>991</v>
      </c>
      <c r="AO2686" s="128">
        <v>30</v>
      </c>
      <c r="AP2686" s="129" t="s">
        <v>43</v>
      </c>
      <c r="AR2686" s="128" t="s">
        <v>44</v>
      </c>
      <c r="AS2686" s="129" t="s">
        <v>45</v>
      </c>
      <c r="BC2686" s="129" t="s">
        <v>38</v>
      </c>
      <c r="BF2686" s="111">
        <f t="shared" si="1956"/>
        <v>2</v>
      </c>
      <c r="BG2686" s="111">
        <f t="shared" si="1957"/>
        <v>2</v>
      </c>
      <c r="BH2686" s="111">
        <f t="shared" si="1960"/>
        <v>2</v>
      </c>
      <c r="BI2686" s="111">
        <f t="shared" si="1921"/>
        <v>18.612021857923498</v>
      </c>
      <c r="BJ2686" s="129">
        <f>G2686-J2686-M2686</f>
        <v>0</v>
      </c>
      <c r="BK2686" s="129">
        <f t="shared" si="1961"/>
        <v>0</v>
      </c>
      <c r="BL2686" s="129" t="str">
        <f t="shared" si="1955"/>
        <v>CONVICTION</v>
      </c>
      <c r="BM2686" s="129" t="str">
        <f>O2686</f>
        <v>NONE</v>
      </c>
      <c r="BN2686" s="129" t="s">
        <v>566</v>
      </c>
      <c r="BP2686" s="137" t="str">
        <f t="shared" si="1925"/>
        <v>CONVICTION</v>
      </c>
      <c r="BQ2686" s="128" t="str">
        <f t="shared" si="1934"/>
        <v>Y</v>
      </c>
      <c r="BR2686" s="129" t="str">
        <f t="shared" si="1935"/>
        <v>DETAINED</v>
      </c>
      <c r="BS2686" s="129" t="str">
        <f t="shared" si="1926"/>
        <v>DISPOSED</v>
      </c>
      <c r="BT2686" s="129" t="str">
        <f t="shared" si="1927"/>
        <v>N</v>
      </c>
      <c r="BU2686" s="109">
        <f t="shared" si="1928"/>
        <v>1</v>
      </c>
      <c r="BV2686" s="109">
        <f t="shared" si="1936"/>
        <v>1</v>
      </c>
      <c r="BW2686" s="109">
        <f t="shared" si="1953"/>
        <v>0</v>
      </c>
      <c r="BX2686" s="111">
        <f t="shared" si="1929"/>
        <v>0</v>
      </c>
      <c r="BY2686" s="129">
        <f t="shared" si="1937"/>
        <v>-2</v>
      </c>
      <c r="BZ2686" s="111">
        <f t="shared" si="1938"/>
        <v>0</v>
      </c>
      <c r="CA2686" s="138">
        <f t="shared" si="1939"/>
        <v>2</v>
      </c>
      <c r="CB2686" s="111" t="e">
        <f t="shared" si="1958"/>
        <v>#VALUE!</v>
      </c>
      <c r="CC2686" s="129">
        <f>G2686-I2686+1</f>
        <v>2</v>
      </c>
      <c r="CD2686" s="129">
        <f>G2686-J2686</f>
        <v>0</v>
      </c>
      <c r="CG2686" s="129" t="str">
        <f t="shared" si="1942"/>
        <v>N</v>
      </c>
      <c r="CI2686" s="129" t="str">
        <f t="shared" si="1943"/>
        <v>0-10 DAYS</v>
      </c>
      <c r="CJ2686" s="137">
        <f t="shared" si="1944"/>
        <v>1</v>
      </c>
      <c r="CK2686" s="129" t="str">
        <f t="shared" si="1945"/>
        <v>Booked</v>
      </c>
    </row>
    <row r="2687" spans="1:89" ht="15" customHeight="1" x14ac:dyDescent="0.25">
      <c r="A2687" s="111">
        <v>628</v>
      </c>
      <c r="B2687" s="128" t="str">
        <f t="shared" si="1931"/>
        <v>N</v>
      </c>
      <c r="C2687" s="128" t="str">
        <f t="shared" si="1932"/>
        <v>N</v>
      </c>
      <c r="D2687" s="117">
        <v>2601493</v>
      </c>
      <c r="E2687" s="135">
        <f t="shared" si="1933"/>
        <v>2</v>
      </c>
      <c r="F2687" s="124">
        <v>40933</v>
      </c>
      <c r="G2687" s="125">
        <v>41188</v>
      </c>
      <c r="H2687" s="117">
        <v>2601493</v>
      </c>
      <c r="I2687" s="124">
        <v>40933</v>
      </c>
      <c r="J2687" s="124">
        <v>40936</v>
      </c>
      <c r="K2687" s="126">
        <v>5000</v>
      </c>
      <c r="L2687" s="127" t="s">
        <v>569</v>
      </c>
      <c r="M2687" s="125">
        <v>40936</v>
      </c>
      <c r="N2687" s="129" t="str">
        <f>IF(M2687&gt;1/1/1,"Y","N")</f>
        <v>Y</v>
      </c>
      <c r="O2687" s="128" t="s">
        <v>76</v>
      </c>
      <c r="P2687" s="129" t="s">
        <v>589</v>
      </c>
      <c r="Q2687" s="111">
        <f t="shared" si="1954"/>
        <v>4</v>
      </c>
      <c r="R2687" s="111">
        <f t="shared" si="1959"/>
        <v>256</v>
      </c>
      <c r="S2687" s="129">
        <v>0</v>
      </c>
      <c r="T2687" s="129">
        <v>0</v>
      </c>
      <c r="W2687" s="111"/>
      <c r="AC2687" s="130"/>
      <c r="AD2687" s="130">
        <v>31323</v>
      </c>
      <c r="AE2687" s="128" t="s">
        <v>32</v>
      </c>
      <c r="AF2687" s="128" t="s">
        <v>33</v>
      </c>
      <c r="AG2687" s="128" t="s">
        <v>872</v>
      </c>
      <c r="AH2687" s="108" t="s">
        <v>58</v>
      </c>
      <c r="AI2687" s="128" t="s">
        <v>59</v>
      </c>
      <c r="AJ2687" s="129" t="s">
        <v>48</v>
      </c>
      <c r="AK2687" s="129">
        <v>11</v>
      </c>
      <c r="AL2687" s="3" t="s">
        <v>48</v>
      </c>
      <c r="AP2687" s="129" t="s">
        <v>101</v>
      </c>
      <c r="AR2687" s="128" t="s">
        <v>67</v>
      </c>
      <c r="AS2687" s="129" t="s">
        <v>64</v>
      </c>
      <c r="BC2687" s="129" t="s">
        <v>52</v>
      </c>
      <c r="BF2687" s="111">
        <f t="shared" si="1956"/>
        <v>4</v>
      </c>
      <c r="BG2687" s="111">
        <f t="shared" si="1957"/>
        <v>256</v>
      </c>
      <c r="BH2687" s="111">
        <f t="shared" si="1960"/>
        <v>256</v>
      </c>
      <c r="BI2687" s="111">
        <f t="shared" si="1921"/>
        <v>26.256830601092897</v>
      </c>
      <c r="BJ2687" s="129">
        <f>(G2687-J2687)+(M2687-G2687)</f>
        <v>0</v>
      </c>
      <c r="BK2687" s="129">
        <f t="shared" si="1961"/>
        <v>-252</v>
      </c>
      <c r="BL2687" s="129" t="str">
        <f t="shared" si="1955"/>
        <v>DEFERRED</v>
      </c>
      <c r="BM2687" s="129" t="s">
        <v>76</v>
      </c>
      <c r="BN2687" s="129" t="s">
        <v>88</v>
      </c>
      <c r="BP2687" s="137" t="str">
        <f t="shared" si="1925"/>
        <v>DEFERRED</v>
      </c>
      <c r="BQ2687" s="128" t="str">
        <f t="shared" si="1934"/>
        <v>Y</v>
      </c>
      <c r="BR2687" s="129" t="str">
        <f t="shared" si="1935"/>
        <v>ON BOND</v>
      </c>
      <c r="BS2687" s="129" t="str">
        <f t="shared" si="1926"/>
        <v>DISPOSED</v>
      </c>
      <c r="BT2687" s="129" t="str">
        <f t="shared" si="1927"/>
        <v>N</v>
      </c>
      <c r="BU2687" s="109">
        <f t="shared" si="1928"/>
        <v>1.5625E-2</v>
      </c>
      <c r="BV2687" s="109">
        <f t="shared" si="1936"/>
        <v>1.5625E-2</v>
      </c>
      <c r="BW2687" s="109">
        <f t="shared" si="1953"/>
        <v>0</v>
      </c>
      <c r="BX2687" s="111">
        <f t="shared" si="1929"/>
        <v>0</v>
      </c>
      <c r="BY2687" s="129">
        <f t="shared" si="1937"/>
        <v>-4</v>
      </c>
      <c r="BZ2687" s="111">
        <f t="shared" si="1938"/>
        <v>0</v>
      </c>
      <c r="CA2687" s="138">
        <f t="shared" si="1939"/>
        <v>4</v>
      </c>
      <c r="CB2687" s="111" t="e">
        <f t="shared" si="1958"/>
        <v>#VALUE!</v>
      </c>
      <c r="CC2687" s="129">
        <f>M2687-I2687+1</f>
        <v>4</v>
      </c>
      <c r="CD2687" s="111">
        <f>CC2687-BF2687</f>
        <v>0</v>
      </c>
      <c r="CG2687" s="129" t="str">
        <f t="shared" si="1942"/>
        <v>N</v>
      </c>
      <c r="CI2687" s="129" t="str">
        <f t="shared" si="1943"/>
        <v>0-10 DAYS</v>
      </c>
      <c r="CJ2687" s="137">
        <f t="shared" si="1944"/>
        <v>1</v>
      </c>
      <c r="CK2687" s="129" t="str">
        <f t="shared" si="1945"/>
        <v>Booked</v>
      </c>
    </row>
    <row r="2688" spans="1:89" ht="15" customHeight="1" x14ac:dyDescent="0.25">
      <c r="A2688" s="111">
        <v>620</v>
      </c>
      <c r="B2688" s="128" t="str">
        <f t="shared" si="1931"/>
        <v>N</v>
      </c>
      <c r="C2688" s="128" t="str">
        <f t="shared" si="1932"/>
        <v>N</v>
      </c>
      <c r="D2688" s="117">
        <v>2601526</v>
      </c>
      <c r="E2688" s="135">
        <f t="shared" si="1933"/>
        <v>2</v>
      </c>
      <c r="F2688" s="124">
        <v>40933</v>
      </c>
      <c r="G2688" s="125">
        <v>41051</v>
      </c>
      <c r="H2688" s="117">
        <v>2601526</v>
      </c>
      <c r="I2688" s="124">
        <v>40934</v>
      </c>
      <c r="J2688" s="124">
        <v>40939</v>
      </c>
      <c r="K2688" s="126">
        <v>5000</v>
      </c>
      <c r="L2688" s="127" t="s">
        <v>569</v>
      </c>
      <c r="M2688" s="125">
        <v>40939</v>
      </c>
      <c r="N2688" s="129" t="str">
        <f>IF(M2688&gt;1/1/1,"Y","N")</f>
        <v>Y</v>
      </c>
      <c r="O2688" s="128" t="s">
        <v>54</v>
      </c>
      <c r="P2688" s="129" t="s">
        <v>589</v>
      </c>
      <c r="Q2688" s="111">
        <f t="shared" si="1954"/>
        <v>6</v>
      </c>
      <c r="R2688" s="111">
        <f t="shared" si="1959"/>
        <v>119</v>
      </c>
      <c r="S2688" s="129">
        <v>0</v>
      </c>
      <c r="T2688" s="129">
        <v>0</v>
      </c>
      <c r="W2688" s="111"/>
      <c r="AC2688" s="130"/>
      <c r="AD2688" s="130">
        <v>33813</v>
      </c>
      <c r="AE2688" s="128" t="s">
        <v>32</v>
      </c>
      <c r="AF2688" s="128" t="s">
        <v>33</v>
      </c>
      <c r="AG2688" s="128" t="s">
        <v>872</v>
      </c>
      <c r="AH2688" s="108" t="s">
        <v>31</v>
      </c>
      <c r="AI2688" s="128" t="s">
        <v>47</v>
      </c>
      <c r="AJ2688" s="129" t="s">
        <v>48</v>
      </c>
      <c r="AK2688" s="129">
        <v>8</v>
      </c>
      <c r="AL2688" s="3" t="s">
        <v>48</v>
      </c>
      <c r="AP2688" s="129" t="s">
        <v>137</v>
      </c>
      <c r="AR2688" s="128" t="s">
        <v>67</v>
      </c>
      <c r="AS2688" s="129" t="s">
        <v>64</v>
      </c>
      <c r="BC2688" s="129" t="s">
        <v>38</v>
      </c>
      <c r="BF2688" s="111">
        <f t="shared" si="1956"/>
        <v>6</v>
      </c>
      <c r="BG2688" s="111">
        <f t="shared" si="1957"/>
        <v>118</v>
      </c>
      <c r="BH2688" s="111">
        <f t="shared" si="1960"/>
        <v>119</v>
      </c>
      <c r="BI2688" s="111">
        <f t="shared" ref="BI2688:BI2750" si="1962">(F2688-AD2688)/366</f>
        <v>19.453551912568305</v>
      </c>
      <c r="BJ2688" s="129">
        <f>(G2688-J2688)+(M2688-G2688)</f>
        <v>0</v>
      </c>
      <c r="BK2688" s="129">
        <f t="shared" si="1961"/>
        <v>-112</v>
      </c>
      <c r="BL2688" s="129" t="str">
        <f t="shared" si="1955"/>
        <v>DEFERRED</v>
      </c>
      <c r="BM2688" s="129" t="s">
        <v>160</v>
      </c>
      <c r="BN2688" s="129" t="s">
        <v>88</v>
      </c>
      <c r="BP2688" s="137" t="str">
        <f t="shared" si="1925"/>
        <v>DEFERRED</v>
      </c>
      <c r="BQ2688" s="128" t="str">
        <f t="shared" si="1934"/>
        <v>Y</v>
      </c>
      <c r="BR2688" s="129" t="str">
        <f t="shared" si="1935"/>
        <v>ON BOND</v>
      </c>
      <c r="BS2688" s="129" t="str">
        <f t="shared" si="1926"/>
        <v>DISPOSED</v>
      </c>
      <c r="BT2688" s="129" t="str">
        <f t="shared" si="1927"/>
        <v>N</v>
      </c>
      <c r="BU2688" s="109">
        <f t="shared" si="1928"/>
        <v>5.0420168067226892E-2</v>
      </c>
      <c r="BV2688" s="109">
        <f t="shared" si="1936"/>
        <v>5.0847457627118647E-2</v>
      </c>
      <c r="BW2688" s="109">
        <f t="shared" si="1953"/>
        <v>4.2728955989175532E-4</v>
      </c>
      <c r="BX2688" s="111">
        <f t="shared" si="1929"/>
        <v>0</v>
      </c>
      <c r="BY2688" s="129">
        <f t="shared" si="1937"/>
        <v>-6</v>
      </c>
      <c r="BZ2688" s="111">
        <f t="shared" si="1938"/>
        <v>0</v>
      </c>
      <c r="CA2688" s="138">
        <f t="shared" si="1939"/>
        <v>6</v>
      </c>
      <c r="CB2688" s="111" t="e">
        <f t="shared" si="1958"/>
        <v>#VALUE!</v>
      </c>
      <c r="CC2688" s="129">
        <f>M2688-I2688+1</f>
        <v>6</v>
      </c>
      <c r="CD2688" s="111">
        <f>CC2688-BF2688</f>
        <v>0</v>
      </c>
      <c r="CG2688" s="129" t="str">
        <f t="shared" si="1942"/>
        <v>N</v>
      </c>
      <c r="CI2688" s="129" t="str">
        <f t="shared" si="1943"/>
        <v>0-10 DAYS</v>
      </c>
      <c r="CJ2688" s="137">
        <f t="shared" si="1944"/>
        <v>1</v>
      </c>
      <c r="CK2688" s="129" t="str">
        <f t="shared" si="1945"/>
        <v>Booked</v>
      </c>
    </row>
    <row r="2689" spans="1:89" ht="15.75" customHeight="1" x14ac:dyDescent="0.25">
      <c r="A2689" s="111">
        <v>623</v>
      </c>
      <c r="B2689" s="128" t="str">
        <f t="shared" si="1931"/>
        <v>N</v>
      </c>
      <c r="C2689" s="128" t="str">
        <f t="shared" si="1932"/>
        <v>N</v>
      </c>
      <c r="D2689" s="117">
        <v>2601632</v>
      </c>
      <c r="E2689" s="135">
        <f t="shared" si="1933"/>
        <v>3</v>
      </c>
      <c r="F2689" s="124">
        <v>40933</v>
      </c>
      <c r="G2689" s="125">
        <v>41103</v>
      </c>
      <c r="H2689" s="117">
        <v>2601632</v>
      </c>
      <c r="I2689" s="124">
        <v>40934</v>
      </c>
      <c r="J2689" s="124">
        <v>40936</v>
      </c>
      <c r="K2689" s="126">
        <v>100000</v>
      </c>
      <c r="L2689" s="129" t="s">
        <v>572</v>
      </c>
      <c r="M2689" s="125">
        <v>40936</v>
      </c>
      <c r="N2689" s="129" t="str">
        <f>IF(M2689&gt;1/1/1,"Y","N")</f>
        <v>Y</v>
      </c>
      <c r="O2689" s="128" t="s">
        <v>76</v>
      </c>
      <c r="P2689" s="129" t="s">
        <v>39</v>
      </c>
      <c r="Q2689" s="111">
        <f t="shared" si="1954"/>
        <v>3</v>
      </c>
      <c r="R2689" s="111">
        <f t="shared" si="1959"/>
        <v>171</v>
      </c>
      <c r="S2689" s="129">
        <v>0</v>
      </c>
      <c r="T2689" s="129">
        <v>0</v>
      </c>
      <c r="W2689" s="111"/>
      <c r="AC2689" s="130"/>
      <c r="AD2689" s="130">
        <v>25676</v>
      </c>
      <c r="AE2689" s="128" t="s">
        <v>32</v>
      </c>
      <c r="AF2689" s="128" t="s">
        <v>69</v>
      </c>
      <c r="AG2689" s="128" t="s">
        <v>874</v>
      </c>
      <c r="AH2689" s="108" t="s">
        <v>31</v>
      </c>
      <c r="AI2689" s="128" t="s">
        <v>42</v>
      </c>
      <c r="AJ2689" s="129" t="s">
        <v>89</v>
      </c>
      <c r="AK2689" s="129">
        <v>3</v>
      </c>
      <c r="AL2689" s="3" t="s">
        <v>185</v>
      </c>
      <c r="AP2689" s="129" t="s">
        <v>187</v>
      </c>
      <c r="AR2689" s="128" t="s">
        <v>92</v>
      </c>
      <c r="AS2689" s="129" t="s">
        <v>61</v>
      </c>
      <c r="BC2689" s="129" t="s">
        <v>52</v>
      </c>
      <c r="BF2689" s="111">
        <f t="shared" si="1956"/>
        <v>3</v>
      </c>
      <c r="BG2689" s="111">
        <f t="shared" si="1957"/>
        <v>170</v>
      </c>
      <c r="BH2689" s="111">
        <f t="shared" si="1960"/>
        <v>171</v>
      </c>
      <c r="BI2689" s="111">
        <f t="shared" si="1962"/>
        <v>41.685792349726775</v>
      </c>
      <c r="BJ2689" s="129">
        <f>(G2689-J2689)+(M2689-G2689)</f>
        <v>0</v>
      </c>
      <c r="BK2689" s="129">
        <f t="shared" si="1961"/>
        <v>-167</v>
      </c>
      <c r="BL2689" s="129" t="str">
        <f t="shared" si="1955"/>
        <v>CONVICTION</v>
      </c>
      <c r="BM2689" s="129" t="s">
        <v>76</v>
      </c>
      <c r="BN2689" s="129" t="s">
        <v>88</v>
      </c>
      <c r="BP2689" s="137" t="str">
        <f t="shared" ref="BP2689:BP2751" si="1963">IF(OR(AJ2689="AQUITTAL",AJ2689="DISMISSED",AJ2689="FINE",AJ2689="NO BILL"),"NO CONVICTION",IF(OR(AJ2689="HCJ",AJ2689="MHH",AJ2689="PROBATION",AJ2689="STJ",AJ2689="TDC",AJ2689="CONVICTED"),"CONVICTION",IF(AJ2689="DEFERRED","DEFERRED","")))</f>
        <v>CONVICTION</v>
      </c>
      <c r="BQ2689" s="128" t="str">
        <f t="shared" si="1934"/>
        <v>Y</v>
      </c>
      <c r="BR2689" s="129" t="str">
        <f>IF(J2689&lt;G2689,"ON BOND",0)</f>
        <v>ON BOND</v>
      </c>
      <c r="BS2689" s="129" t="str">
        <f t="shared" ref="BS2689:BS2751" si="1964">IF(G2689&lt;&gt;"","DISPOSED","")</f>
        <v>DISPOSED</v>
      </c>
      <c r="BT2689" s="129" t="str">
        <f t="shared" ref="BT2689:BT2751" si="1965">IF(S2689&gt;0,"Y","N")</f>
        <v>N</v>
      </c>
      <c r="BU2689" s="109">
        <f t="shared" ref="BU2689:BU2751" si="1966">Q2689/R2689</f>
        <v>1.7543859649122806E-2</v>
      </c>
      <c r="BV2689" s="109">
        <f t="shared" si="1936"/>
        <v>1.7647058823529412E-2</v>
      </c>
      <c r="BW2689" s="109">
        <f t="shared" si="1953"/>
        <v>1.0319917440660548E-4</v>
      </c>
      <c r="BX2689" s="111">
        <f t="shared" ref="BX2689:BX2751" si="1967">+Q2689-BF2689</f>
        <v>0</v>
      </c>
      <c r="BY2689" s="129">
        <f t="shared" si="1937"/>
        <v>-3</v>
      </c>
      <c r="BZ2689" s="111">
        <f t="shared" si="1938"/>
        <v>0</v>
      </c>
      <c r="CA2689" s="138">
        <f t="shared" si="1939"/>
        <v>3</v>
      </c>
      <c r="CB2689" s="111" t="e">
        <f t="shared" si="1958"/>
        <v>#VALUE!</v>
      </c>
      <c r="CC2689" s="129">
        <f>M2689-I2689+1</f>
        <v>3</v>
      </c>
      <c r="CD2689" s="111">
        <f>CC2689-BF2689</f>
        <v>0</v>
      </c>
      <c r="CG2689" s="129" t="str">
        <f t="shared" si="1942"/>
        <v>N</v>
      </c>
      <c r="CI2689" s="129" t="str">
        <f t="shared" si="1943"/>
        <v>0-10 DAYS</v>
      </c>
      <c r="CJ2689" s="137">
        <f t="shared" si="1944"/>
        <v>1</v>
      </c>
      <c r="CK2689" s="129" t="str">
        <f t="shared" si="1945"/>
        <v>Booked</v>
      </c>
    </row>
    <row r="2690" spans="1:89" ht="15" customHeight="1" x14ac:dyDescent="0.25">
      <c r="A2690" s="111">
        <v>625</v>
      </c>
      <c r="B2690" s="128" t="str">
        <f t="shared" ref="B2690:B2752" si="1968">IF(BD2690&lt;&gt;"","Y","N")</f>
        <v>N</v>
      </c>
      <c r="C2690" s="128" t="str">
        <f t="shared" ref="C2690:C2752" si="1969">IF((AND(AV2690="",AX2690="",AY2690="")),"N","Y")</f>
        <v>N</v>
      </c>
      <c r="D2690" s="117">
        <v>2601680</v>
      </c>
      <c r="E2690" s="135">
        <f t="shared" ref="E2690:E2752" si="1970">IF(OR(AL2690="ACQUITTAL",AL2690="ACQUIT",AL2690="acq insane",AL2690="DISMISSED",AL2690="NO BILL"),1,IF(AL2690="DEFERRED",2,IF(AL2690="PROBATION",3,IF(OR(AL2690="HCJ",AL2690="fine"),4,IF(AL2690="STJ",5,IF(AL2690="TDC",6,""))))))</f>
        <v>1</v>
      </c>
      <c r="F2690" s="124">
        <v>40933</v>
      </c>
      <c r="G2690" s="125">
        <v>40955</v>
      </c>
      <c r="H2690" s="117">
        <v>2601680</v>
      </c>
      <c r="I2690" s="124" t="s">
        <v>562</v>
      </c>
      <c r="J2690" s="124" t="s">
        <v>562</v>
      </c>
      <c r="K2690" s="126">
        <v>5000</v>
      </c>
      <c r="L2690" s="127" t="s">
        <v>569</v>
      </c>
      <c r="M2690" s="125">
        <v>40934</v>
      </c>
      <c r="N2690" s="129" t="str">
        <f>IF(M2690&gt;1/1/1,"Y",IF(Q2690="0","","N"))</f>
        <v>Y</v>
      </c>
      <c r="O2690" s="128" t="s">
        <v>76</v>
      </c>
      <c r="P2690" s="129" t="s">
        <v>55</v>
      </c>
      <c r="Q2690" s="111">
        <f t="shared" si="1954"/>
        <v>0</v>
      </c>
      <c r="R2690" s="111">
        <f t="shared" si="1959"/>
        <v>23</v>
      </c>
      <c r="S2690" s="129">
        <v>0</v>
      </c>
      <c r="T2690" s="129">
        <v>0</v>
      </c>
      <c r="W2690" s="111"/>
      <c r="AB2690" s="131" t="s">
        <v>112</v>
      </c>
      <c r="AC2690" s="130"/>
      <c r="AD2690" s="130">
        <v>32525</v>
      </c>
      <c r="AE2690" s="128" t="s">
        <v>46</v>
      </c>
      <c r="AF2690" s="128" t="s">
        <v>40</v>
      </c>
      <c r="AG2690" s="128" t="s">
        <v>41</v>
      </c>
      <c r="AH2690" s="108" t="s">
        <v>31</v>
      </c>
      <c r="AI2690" s="128" t="s">
        <v>65</v>
      </c>
      <c r="AJ2690" s="129" t="s">
        <v>55</v>
      </c>
      <c r="AK2690" s="129">
        <v>2</v>
      </c>
      <c r="AL2690" s="3" t="s">
        <v>55</v>
      </c>
      <c r="AP2690" s="129" t="s">
        <v>117</v>
      </c>
      <c r="AR2690" s="128" t="s">
        <v>67</v>
      </c>
      <c r="AS2690" s="129" t="s">
        <v>45</v>
      </c>
      <c r="BC2690" s="129" t="s">
        <v>79</v>
      </c>
      <c r="BF2690" s="111">
        <v>0</v>
      </c>
      <c r="BG2690" s="111">
        <v>0</v>
      </c>
      <c r="BH2690" s="111">
        <f t="shared" si="1960"/>
        <v>23</v>
      </c>
      <c r="BI2690" s="111">
        <f t="shared" si="1962"/>
        <v>22.972677595628415</v>
      </c>
      <c r="BJ2690" s="129" t="e">
        <f>(G2690-J2690)+(M2690-G2690)</f>
        <v>#VALUE!</v>
      </c>
      <c r="BK2690" s="129" t="e">
        <f t="shared" si="1961"/>
        <v>#VALUE!</v>
      </c>
      <c r="BL2690" s="129" t="str">
        <f t="shared" si="1955"/>
        <v>NO CONVICTION</v>
      </c>
      <c r="BM2690" s="129" t="s">
        <v>76</v>
      </c>
      <c r="BN2690" s="129" t="s">
        <v>88</v>
      </c>
      <c r="BP2690" s="137" t="str">
        <f t="shared" si="1963"/>
        <v>NO CONVICTION</v>
      </c>
      <c r="BQ2690" s="128">
        <f t="shared" ref="BQ2690:BQ2752" si="1971">IF(BF2690&gt;0,"Y",BF2690)</f>
        <v>0</v>
      </c>
      <c r="BR2690" s="129" t="s">
        <v>575</v>
      </c>
      <c r="BS2690" s="129" t="str">
        <f t="shared" si="1964"/>
        <v>DISPOSED</v>
      </c>
      <c r="BT2690" s="129" t="str">
        <f t="shared" si="1965"/>
        <v>N</v>
      </c>
      <c r="BU2690" s="109">
        <f>IFERROR(Q2690/R2690,BR2690)</f>
        <v>0</v>
      </c>
      <c r="BV2690" s="109">
        <v>0</v>
      </c>
      <c r="BW2690" s="109">
        <f t="shared" si="1953"/>
        <v>0</v>
      </c>
      <c r="BX2690" s="111">
        <f t="shared" si="1967"/>
        <v>0</v>
      </c>
      <c r="BY2690" s="129" t="e">
        <f t="shared" ref="BY2690:BY2752" si="1972">I2690-J2690-1</f>
        <v>#VALUE!</v>
      </c>
      <c r="BZ2690" s="111" t="e">
        <f t="shared" ref="BZ2690:BZ2752" si="1973">BY2690+BF2690</f>
        <v>#VALUE!</v>
      </c>
      <c r="CA2690" s="138" t="e">
        <f t="shared" ref="CA2690:CA2752" si="1974">IF(AND(BS2690="DISPOSED",BR2690="DETAINED"),G2690-I2690+1,IF(AND(BS2690="DISPOSED",BR2690="ON BOND"),M2690-I2690+1,IF(AND(BS2690="STILL OPEN","STILL OPEN"),"NOT BOOKED")))</f>
        <v>#VALUE!</v>
      </c>
      <c r="CB2690" s="111">
        <v>0</v>
      </c>
      <c r="CC2690" s="129">
        <v>0</v>
      </c>
      <c r="CD2690" s="111">
        <f>CC2690-BF2690</f>
        <v>0</v>
      </c>
      <c r="CG2690" s="129" t="str">
        <f t="shared" ref="CG2690:CG2752" si="1975">IF((S2690+T2690+U2690)&gt;0,"Y","N")</f>
        <v>N</v>
      </c>
      <c r="CI2690" s="129" t="str">
        <f t="shared" si="1943"/>
        <v>0-10 DAYS</v>
      </c>
      <c r="CJ2690" s="137">
        <f t="shared" si="1944"/>
        <v>1</v>
      </c>
      <c r="CK2690" s="129" t="str">
        <f t="shared" si="1945"/>
        <v>Not Booked</v>
      </c>
    </row>
    <row r="2691" spans="1:89" ht="15.75" customHeight="1" x14ac:dyDescent="0.25">
      <c r="A2691" s="111">
        <v>686</v>
      </c>
      <c r="B2691" s="128" t="str">
        <f t="shared" si="1968"/>
        <v>N</v>
      </c>
      <c r="C2691" s="128" t="str">
        <f t="shared" si="1969"/>
        <v>N</v>
      </c>
      <c r="D2691" s="117">
        <v>2601689</v>
      </c>
      <c r="E2691" s="135">
        <f t="shared" si="1970"/>
        <v>6</v>
      </c>
      <c r="F2691" s="124">
        <v>40935</v>
      </c>
      <c r="G2691" s="125">
        <v>41401</v>
      </c>
      <c r="H2691" s="117">
        <v>2601689</v>
      </c>
      <c r="I2691" s="124">
        <v>40936</v>
      </c>
      <c r="J2691" s="125">
        <v>41401</v>
      </c>
      <c r="K2691" s="126" t="s">
        <v>564</v>
      </c>
      <c r="L2691" s="127" t="s">
        <v>564</v>
      </c>
      <c r="N2691" s="129" t="s">
        <v>566</v>
      </c>
      <c r="O2691" s="128" t="s">
        <v>917</v>
      </c>
      <c r="P2691" s="129" t="s">
        <v>39</v>
      </c>
      <c r="Q2691" s="111">
        <f t="shared" si="1954"/>
        <v>466</v>
      </c>
      <c r="R2691" s="111">
        <f t="shared" si="1959"/>
        <v>467</v>
      </c>
      <c r="S2691" s="129">
        <v>0</v>
      </c>
      <c r="T2691" s="129">
        <v>0</v>
      </c>
      <c r="W2691" s="111"/>
      <c r="AB2691" s="131" t="s">
        <v>112</v>
      </c>
      <c r="AC2691" s="130"/>
      <c r="AD2691" s="130">
        <v>33982</v>
      </c>
      <c r="AE2691" s="128" t="s">
        <v>32</v>
      </c>
      <c r="AF2691" s="128" t="s">
        <v>40</v>
      </c>
      <c r="AG2691" s="128" t="s">
        <v>41</v>
      </c>
      <c r="AH2691" s="108" t="s">
        <v>31</v>
      </c>
      <c r="AI2691" s="128" t="s">
        <v>65</v>
      </c>
      <c r="AJ2691" s="129" t="s">
        <v>89</v>
      </c>
      <c r="AK2691" s="129">
        <v>11</v>
      </c>
      <c r="AL2691" s="3" t="s">
        <v>362</v>
      </c>
      <c r="AM2691" s="114">
        <v>99</v>
      </c>
      <c r="AP2691" s="129" t="s">
        <v>35</v>
      </c>
      <c r="AR2691" s="128" t="s">
        <v>36</v>
      </c>
      <c r="AS2691" s="129" t="s">
        <v>37</v>
      </c>
      <c r="AT2691" s="129" t="s">
        <v>1137</v>
      </c>
      <c r="BC2691" s="129" t="s">
        <v>52</v>
      </c>
      <c r="BF2691" s="111">
        <f>IF(J2691&gt;1/1/1900,((J2691+1)-I2691),"STILL OPEN")</f>
        <v>466</v>
      </c>
      <c r="BG2691" s="111">
        <f t="shared" ref="BG2691:BG2712" si="1976">IF(G2691&gt;1/1/1900,((G2691+1)-I2691),"STILL OPEN")</f>
        <v>466</v>
      </c>
      <c r="BH2691" s="111">
        <f t="shared" si="1960"/>
        <v>467</v>
      </c>
      <c r="BI2691" s="111">
        <f t="shared" si="1962"/>
        <v>18.997267759562842</v>
      </c>
      <c r="BJ2691" s="129">
        <f t="shared" ref="BJ2691:BJ2750" si="1977">G2691-J2691-M2691</f>
        <v>0</v>
      </c>
      <c r="BK2691" s="129">
        <f t="shared" si="1961"/>
        <v>0</v>
      </c>
      <c r="BL2691" s="129" t="str">
        <f t="shared" si="1955"/>
        <v>CONVICTION</v>
      </c>
      <c r="BM2691" s="129" t="str">
        <f t="shared" ref="BM2691:BM2750" si="1978">O2691</f>
        <v>NONE</v>
      </c>
      <c r="BN2691" s="129" t="s">
        <v>566</v>
      </c>
      <c r="BP2691" s="137" t="str">
        <f t="shared" si="1963"/>
        <v>CONVICTION</v>
      </c>
      <c r="BQ2691" s="128" t="str">
        <f t="shared" si="1971"/>
        <v>Y</v>
      </c>
      <c r="BR2691" s="129" t="str">
        <f t="shared" ref="BR2691:BR2751" si="1979">IF(AND(J2691="NOT BOOKED",M2691&gt;1/1/1),"BONDED - BEFORE BOOKED",IF(BG2691="STILL OPEN","STILL OPEN",IF(N2691="Y","ON BOND",IF(J2691&gt;=G2691,"DETAINED","RELEASED"))))</f>
        <v>DETAINED</v>
      </c>
      <c r="BS2691" s="129" t="str">
        <f t="shared" si="1964"/>
        <v>DISPOSED</v>
      </c>
      <c r="BT2691" s="129" t="str">
        <f t="shared" si="1965"/>
        <v>N</v>
      </c>
      <c r="BU2691" s="109">
        <f t="shared" si="1966"/>
        <v>0.99785867237687365</v>
      </c>
      <c r="BV2691" s="109">
        <f t="shared" ref="BV2691:BV2751" si="1980">IF(I2691&gt;F2691,((J2691-I2691+1)/(G2691-I2691+1)),(J2691-I2691+1)/(G2691-F2691+1))</f>
        <v>1</v>
      </c>
      <c r="BW2691" s="109">
        <f t="shared" si="1953"/>
        <v>2.1413276231263545E-3</v>
      </c>
      <c r="BX2691" s="111">
        <f t="shared" si="1967"/>
        <v>0</v>
      </c>
      <c r="BY2691" s="129">
        <f t="shared" si="1972"/>
        <v>-466</v>
      </c>
      <c r="BZ2691" s="111">
        <f t="shared" si="1973"/>
        <v>0</v>
      </c>
      <c r="CA2691" s="138">
        <f t="shared" si="1974"/>
        <v>466</v>
      </c>
      <c r="CB2691" s="111" t="e">
        <f>IF(AF2691&gt;1/1/1900,((AF2691+1)-AE2691),"STILL OPEN")</f>
        <v>#VALUE!</v>
      </c>
      <c r="CC2691" s="129">
        <f>G2691-I2691+1</f>
        <v>466</v>
      </c>
      <c r="CD2691" s="129">
        <f>G2691-J2691</f>
        <v>0</v>
      </c>
      <c r="CG2691" s="129" t="str">
        <f t="shared" si="1975"/>
        <v>N</v>
      </c>
      <c r="CI2691" s="129" t="str">
        <f t="shared" ref="CI2691:CI2754" si="1981">IF(BF2691&lt;11,"0-10 DAYS",IF(AND(BF2691&gt;10,BF2691&lt;31),"11-30 DAYS",IF((AND(BF2691&gt;30,BF2691&lt;61)),"31-60 DAYS",IF(AND(BF2691&gt;60,BF2691&lt;91),"61-90 DAYS",IF(AND(BF2691&gt;90,BF2691&lt;121),"91-120 DAYS",IF(AND(BF2691&gt;120,BF2691&lt;366),"121-365 DAYS",IF(AND(BF2691&gt;365,BF2691&lt;730)," &gt;1YRS&lt;2YRS",IF(AND(BF2691&gt;729,BF2691&lt;1095),"&gt;2YRS&lt;3YRS",IF(BF2691&gt;1094,"&gt;3YRS")))))))))</f>
        <v xml:space="preserve"> &gt;1YRS&lt;2YRS</v>
      </c>
      <c r="CJ2691" s="137">
        <f t="shared" ref="CJ2691:CJ2754" si="1982">IF(CI2691="0-10 DAYS",1,IF(CI2691="11-30 DAYS",2,IF(CI2691="31-60 DAYS",3,IF(CI2691="61-90 DAYS",4,IF(CK2691="91-120 DAYS",5,IF(CI2691="121-365 DAYS",6,IF(CI2691="&gt;1YRS&lt;2YRS",7,IF(CI2691="&gt;2YRS&lt;3YRS",8,IF(CI2691="&gt;3YRS",9,0)))))))))</f>
        <v>0</v>
      </c>
      <c r="CK2691" s="129" t="str">
        <f t="shared" ref="CK2691:CK2754" si="1983">IF(I2691="Not Booked","Not Booked","Booked")</f>
        <v>Booked</v>
      </c>
    </row>
    <row r="2692" spans="1:89" ht="15.75" customHeight="1" x14ac:dyDescent="0.25">
      <c r="A2692" s="111">
        <v>630</v>
      </c>
      <c r="B2692" s="128" t="str">
        <f t="shared" si="1968"/>
        <v>N</v>
      </c>
      <c r="C2692" s="128" t="str">
        <f t="shared" si="1969"/>
        <v>N</v>
      </c>
      <c r="D2692" s="117">
        <v>2601698</v>
      </c>
      <c r="E2692" s="135">
        <f t="shared" si="1970"/>
        <v>6</v>
      </c>
      <c r="F2692" s="124">
        <v>40933</v>
      </c>
      <c r="G2692" s="125">
        <v>41536</v>
      </c>
      <c r="H2692" s="117">
        <v>2601698</v>
      </c>
      <c r="I2692" s="124">
        <v>40934</v>
      </c>
      <c r="J2692" s="125">
        <v>41536</v>
      </c>
      <c r="K2692" s="126" t="s">
        <v>564</v>
      </c>
      <c r="L2692" s="127" t="s">
        <v>564</v>
      </c>
      <c r="N2692" s="129" t="s">
        <v>566</v>
      </c>
      <c r="O2692" s="128" t="s">
        <v>917</v>
      </c>
      <c r="P2692" s="129" t="s">
        <v>39</v>
      </c>
      <c r="Q2692" s="111">
        <f t="shared" si="1954"/>
        <v>603</v>
      </c>
      <c r="R2692" s="111">
        <f t="shared" si="1959"/>
        <v>604</v>
      </c>
      <c r="S2692" s="129">
        <v>0</v>
      </c>
      <c r="T2692" s="129">
        <v>0</v>
      </c>
      <c r="W2692" s="111"/>
      <c r="AC2692" s="130"/>
      <c r="AD2692" s="130">
        <v>31873</v>
      </c>
      <c r="AE2692" s="128" t="s">
        <v>32</v>
      </c>
      <c r="AF2692" s="128" t="s">
        <v>69</v>
      </c>
      <c r="AG2692" s="128" t="s">
        <v>874</v>
      </c>
      <c r="AH2692" s="108" t="s">
        <v>31</v>
      </c>
      <c r="AI2692" s="128" t="s">
        <v>113</v>
      </c>
      <c r="AJ2692" s="129" t="s">
        <v>89</v>
      </c>
      <c r="AK2692" s="129">
        <v>23</v>
      </c>
      <c r="AL2692" s="3" t="s">
        <v>362</v>
      </c>
      <c r="AM2692" s="114">
        <v>50</v>
      </c>
      <c r="AP2692" s="129" t="s">
        <v>105</v>
      </c>
      <c r="AR2692" s="128" t="s">
        <v>92</v>
      </c>
      <c r="AS2692" s="129" t="s">
        <v>106</v>
      </c>
      <c r="BC2692" s="129" t="s">
        <v>38</v>
      </c>
      <c r="BF2692" s="111">
        <f>IF(J2692&gt;1/1/1900,((J2692+1)-I2692),"STILL OPEN")</f>
        <v>603</v>
      </c>
      <c r="BG2692" s="111">
        <f t="shared" si="1976"/>
        <v>603</v>
      </c>
      <c r="BH2692" s="111">
        <f t="shared" si="1960"/>
        <v>604</v>
      </c>
      <c r="BI2692" s="111">
        <f t="shared" si="1962"/>
        <v>24.754098360655739</v>
      </c>
      <c r="BJ2692" s="129">
        <f t="shared" si="1977"/>
        <v>0</v>
      </c>
      <c r="BK2692" s="129">
        <f t="shared" si="1961"/>
        <v>0</v>
      </c>
      <c r="BL2692" s="129" t="str">
        <f t="shared" si="1955"/>
        <v>CONVICTION</v>
      </c>
      <c r="BM2692" s="129" t="str">
        <f t="shared" si="1978"/>
        <v>NONE</v>
      </c>
      <c r="BN2692" s="129" t="s">
        <v>566</v>
      </c>
      <c r="BP2692" s="137" t="str">
        <f t="shared" si="1963"/>
        <v>CONVICTION</v>
      </c>
      <c r="BQ2692" s="128" t="str">
        <f t="shared" si="1971"/>
        <v>Y</v>
      </c>
      <c r="BR2692" s="129" t="str">
        <f t="shared" si="1979"/>
        <v>DETAINED</v>
      </c>
      <c r="BS2692" s="129" t="str">
        <f t="shared" si="1964"/>
        <v>DISPOSED</v>
      </c>
      <c r="BT2692" s="129" t="str">
        <f t="shared" si="1965"/>
        <v>N</v>
      </c>
      <c r="BU2692" s="109">
        <f t="shared" si="1966"/>
        <v>0.9983443708609272</v>
      </c>
      <c r="BV2692" s="109">
        <f t="shared" si="1980"/>
        <v>1</v>
      </c>
      <c r="BW2692" s="109">
        <f t="shared" si="1953"/>
        <v>1.6556291390728006E-3</v>
      </c>
      <c r="BX2692" s="111">
        <f t="shared" si="1967"/>
        <v>0</v>
      </c>
      <c r="BY2692" s="129">
        <f t="shared" si="1972"/>
        <v>-603</v>
      </c>
      <c r="BZ2692" s="111">
        <f t="shared" si="1973"/>
        <v>0</v>
      </c>
      <c r="CA2692" s="138">
        <f t="shared" si="1974"/>
        <v>603</v>
      </c>
      <c r="CB2692" s="111" t="e">
        <f>IF(AF2692&gt;1/1/1900,((AF2692+1)-AE2692),"STILL OPEN")</f>
        <v>#VALUE!</v>
      </c>
      <c r="CC2692" s="129">
        <f>G2692-I2692+1</f>
        <v>603</v>
      </c>
      <c r="CD2692" s="129">
        <f>G2692-J2692</f>
        <v>0</v>
      </c>
      <c r="CG2692" s="129" t="str">
        <f t="shared" si="1975"/>
        <v>N</v>
      </c>
      <c r="CI2692" s="129" t="str">
        <f t="shared" si="1981"/>
        <v xml:space="preserve"> &gt;1YRS&lt;2YRS</v>
      </c>
      <c r="CJ2692" s="137">
        <f t="shared" si="1982"/>
        <v>0</v>
      </c>
      <c r="CK2692" s="129" t="str">
        <f t="shared" si="1983"/>
        <v>Booked</v>
      </c>
    </row>
    <row r="2693" spans="1:89" ht="15" customHeight="1" x14ac:dyDescent="0.25">
      <c r="A2693" s="111">
        <v>641</v>
      </c>
      <c r="B2693" s="128" t="str">
        <f t="shared" si="1968"/>
        <v>N</v>
      </c>
      <c r="C2693" s="128" t="str">
        <f t="shared" si="1969"/>
        <v>N</v>
      </c>
      <c r="D2693" s="117">
        <v>2601713</v>
      </c>
      <c r="E2693" s="135">
        <f t="shared" si="1970"/>
        <v>3</v>
      </c>
      <c r="F2693" s="124">
        <v>40934</v>
      </c>
      <c r="G2693" s="125">
        <v>41439</v>
      </c>
      <c r="H2693" s="117">
        <v>2601713</v>
      </c>
      <c r="I2693" s="124" t="s">
        <v>562</v>
      </c>
      <c r="J2693" s="124" t="s">
        <v>562</v>
      </c>
      <c r="K2693" s="126">
        <v>5000</v>
      </c>
      <c r="L2693" s="127" t="s">
        <v>569</v>
      </c>
      <c r="M2693" s="125">
        <v>40938</v>
      </c>
      <c r="N2693" s="129" t="str">
        <f>IF(M2693&gt;1/1/1,"Y",IF(Q2693="NOT BOOKED","","N"))</f>
        <v>Y</v>
      </c>
      <c r="O2693" s="128" t="s">
        <v>585</v>
      </c>
      <c r="P2693" s="129" t="s">
        <v>39</v>
      </c>
      <c r="Q2693" s="111">
        <v>0</v>
      </c>
      <c r="R2693" s="111">
        <f t="shared" si="1959"/>
        <v>506</v>
      </c>
      <c r="S2693" s="129">
        <v>0</v>
      </c>
      <c r="T2693" s="129">
        <v>0</v>
      </c>
      <c r="W2693" s="111"/>
      <c r="AC2693" s="130"/>
      <c r="AD2693" s="130">
        <v>27037</v>
      </c>
      <c r="AE2693" s="128" t="s">
        <v>46</v>
      </c>
      <c r="AF2693" s="128" t="s">
        <v>69</v>
      </c>
      <c r="AG2693" s="128" t="s">
        <v>874</v>
      </c>
      <c r="AH2693" s="108" t="s">
        <v>31</v>
      </c>
      <c r="AI2693" s="128" t="s">
        <v>62</v>
      </c>
      <c r="AJ2693" s="129" t="s">
        <v>89</v>
      </c>
      <c r="AK2693" s="129">
        <v>16</v>
      </c>
      <c r="AL2693" s="3" t="s">
        <v>185</v>
      </c>
      <c r="AP2693" s="129" t="s">
        <v>236</v>
      </c>
      <c r="AR2693" s="128" t="s">
        <v>67</v>
      </c>
      <c r="AS2693" s="129" t="s">
        <v>74</v>
      </c>
      <c r="BC2693" s="129" t="s">
        <v>52</v>
      </c>
      <c r="BF2693" s="111">
        <v>0</v>
      </c>
      <c r="BG2693" s="111" t="e">
        <f t="shared" si="1976"/>
        <v>#VALUE!</v>
      </c>
      <c r="BH2693" s="111">
        <f t="shared" si="1960"/>
        <v>506</v>
      </c>
      <c r="BI2693" s="111">
        <f t="shared" si="1962"/>
        <v>37.969945355191257</v>
      </c>
      <c r="BJ2693" s="129" t="e">
        <f>(G2693-J2693)+(M2693-G2693)</f>
        <v>#VALUE!</v>
      </c>
      <c r="BK2693" s="129" t="e">
        <f t="shared" si="1961"/>
        <v>#VALUE!</v>
      </c>
      <c r="BL2693" s="129" t="str">
        <f t="shared" si="1955"/>
        <v>CONVICTION</v>
      </c>
      <c r="BM2693" s="129" t="s">
        <v>76</v>
      </c>
      <c r="BN2693" s="129" t="s">
        <v>566</v>
      </c>
      <c r="BP2693" s="137" t="str">
        <f t="shared" si="1963"/>
        <v>CONVICTION</v>
      </c>
      <c r="BQ2693" s="128">
        <f t="shared" si="1971"/>
        <v>0</v>
      </c>
      <c r="BR2693" s="129" t="s">
        <v>575</v>
      </c>
      <c r="BS2693" s="129" t="str">
        <f t="shared" si="1964"/>
        <v>DISPOSED</v>
      </c>
      <c r="BT2693" s="129" t="str">
        <f t="shared" si="1965"/>
        <v>N</v>
      </c>
      <c r="BU2693" s="109">
        <f t="shared" si="1966"/>
        <v>0</v>
      </c>
      <c r="BV2693" s="109">
        <v>0</v>
      </c>
      <c r="BW2693" s="109">
        <f t="shared" si="1953"/>
        <v>0</v>
      </c>
      <c r="BX2693" s="111">
        <f t="shared" si="1967"/>
        <v>0</v>
      </c>
      <c r="BY2693" s="129" t="e">
        <f t="shared" si="1972"/>
        <v>#VALUE!</v>
      </c>
      <c r="BZ2693" s="111" t="e">
        <f t="shared" si="1973"/>
        <v>#VALUE!</v>
      </c>
      <c r="CA2693" s="138" t="e">
        <f t="shared" si="1974"/>
        <v>#VALUE!</v>
      </c>
      <c r="CB2693" s="111" t="s">
        <v>562</v>
      </c>
      <c r="CC2693" s="129">
        <v>0</v>
      </c>
      <c r="CD2693" s="111">
        <f>CC2693-BF2693</f>
        <v>0</v>
      </c>
      <c r="CG2693" s="129" t="str">
        <f t="shared" si="1975"/>
        <v>N</v>
      </c>
      <c r="CI2693" s="129" t="str">
        <f t="shared" si="1981"/>
        <v>0-10 DAYS</v>
      </c>
      <c r="CJ2693" s="137">
        <f t="shared" si="1982"/>
        <v>1</v>
      </c>
      <c r="CK2693" s="129" t="str">
        <f t="shared" si="1983"/>
        <v>Not Booked</v>
      </c>
    </row>
    <row r="2694" spans="1:89" ht="15" customHeight="1" x14ac:dyDescent="0.25">
      <c r="A2694" s="111">
        <v>2082</v>
      </c>
      <c r="B2694" s="128" t="str">
        <f t="shared" si="1968"/>
        <v>N</v>
      </c>
      <c r="C2694" s="128" t="str">
        <f t="shared" si="1969"/>
        <v>N</v>
      </c>
      <c r="D2694" s="117">
        <v>2601743</v>
      </c>
      <c r="E2694" s="135">
        <f t="shared" si="1970"/>
        <v>2</v>
      </c>
      <c r="F2694" s="124">
        <v>40987</v>
      </c>
      <c r="G2694" s="125">
        <v>41109</v>
      </c>
      <c r="H2694" s="117">
        <v>2601743</v>
      </c>
      <c r="I2694" s="124">
        <v>40997</v>
      </c>
      <c r="J2694" s="124">
        <v>40999</v>
      </c>
      <c r="K2694" s="126">
        <v>2000</v>
      </c>
      <c r="L2694" s="127" t="s">
        <v>568</v>
      </c>
      <c r="M2694" s="125">
        <v>40999</v>
      </c>
      <c r="N2694" s="129" t="str">
        <f>IF(M2694&gt;1/1/1,"Y","N")</f>
        <v>Y</v>
      </c>
      <c r="O2694" s="128" t="s">
        <v>76</v>
      </c>
      <c r="P2694" s="129" t="s">
        <v>589</v>
      </c>
      <c r="Q2694" s="111">
        <f t="shared" si="1954"/>
        <v>3</v>
      </c>
      <c r="R2694" s="111">
        <f t="shared" si="1959"/>
        <v>123</v>
      </c>
      <c r="S2694" s="129">
        <v>0</v>
      </c>
      <c r="T2694" s="129">
        <v>0</v>
      </c>
      <c r="W2694" s="111"/>
      <c r="AC2694" s="130"/>
      <c r="AD2694" s="130">
        <v>30051</v>
      </c>
      <c r="AE2694" s="128" t="s">
        <v>46</v>
      </c>
      <c r="AF2694" s="128" t="s">
        <v>69</v>
      </c>
      <c r="AG2694" s="128" t="s">
        <v>874</v>
      </c>
      <c r="AH2694" s="108" t="s">
        <v>31</v>
      </c>
      <c r="AI2694" s="128" t="s">
        <v>65</v>
      </c>
      <c r="AJ2694" s="129" t="s">
        <v>48</v>
      </c>
      <c r="AK2694" s="129">
        <v>5</v>
      </c>
      <c r="AL2694" s="3" t="s">
        <v>48</v>
      </c>
      <c r="AP2694" s="129" t="s">
        <v>63</v>
      </c>
      <c r="AR2694" s="128" t="s">
        <v>44</v>
      </c>
      <c r="AS2694" s="129" t="s">
        <v>64</v>
      </c>
      <c r="AT2694" s="129" t="s">
        <v>404</v>
      </c>
      <c r="BC2694" s="129" t="s">
        <v>52</v>
      </c>
      <c r="BF2694" s="111">
        <f>IF(J2694&gt;1/1/1900,((J2694+1)-I2694),"STILL OPEN")</f>
        <v>3</v>
      </c>
      <c r="BG2694" s="111">
        <f t="shared" si="1976"/>
        <v>113</v>
      </c>
      <c r="BH2694" s="111">
        <f t="shared" si="1960"/>
        <v>123</v>
      </c>
      <c r="BI2694" s="111">
        <f t="shared" si="1962"/>
        <v>29.879781420765028</v>
      </c>
      <c r="BJ2694" s="129">
        <f>(G2694-J2694)+(M2694-G2694)</f>
        <v>0</v>
      </c>
      <c r="BK2694" s="129">
        <f t="shared" si="1961"/>
        <v>-110</v>
      </c>
      <c r="BL2694" s="129" t="str">
        <f t="shared" si="1955"/>
        <v>DEFERRED</v>
      </c>
      <c r="BM2694" s="129" t="s">
        <v>76</v>
      </c>
      <c r="BN2694" s="129" t="s">
        <v>88</v>
      </c>
      <c r="BP2694" s="137" t="str">
        <f t="shared" si="1963"/>
        <v>DEFERRED</v>
      </c>
      <c r="BQ2694" s="128" t="str">
        <f t="shared" si="1971"/>
        <v>Y</v>
      </c>
      <c r="BR2694" s="129" t="str">
        <f t="shared" si="1979"/>
        <v>ON BOND</v>
      </c>
      <c r="BS2694" s="129" t="str">
        <f t="shared" si="1964"/>
        <v>DISPOSED</v>
      </c>
      <c r="BT2694" s="129" t="str">
        <f t="shared" si="1965"/>
        <v>N</v>
      </c>
      <c r="BU2694" s="109">
        <f t="shared" si="1966"/>
        <v>2.4390243902439025E-2</v>
      </c>
      <c r="BV2694" s="109">
        <f t="shared" si="1980"/>
        <v>2.6548672566371681E-2</v>
      </c>
      <c r="BW2694" s="109">
        <f t="shared" si="1953"/>
        <v>2.1584286639326558E-3</v>
      </c>
      <c r="BX2694" s="111">
        <f t="shared" si="1967"/>
        <v>0</v>
      </c>
      <c r="BY2694" s="129">
        <f t="shared" si="1972"/>
        <v>-3</v>
      </c>
      <c r="BZ2694" s="111">
        <f t="shared" si="1973"/>
        <v>0</v>
      </c>
      <c r="CA2694" s="138">
        <f t="shared" si="1974"/>
        <v>3</v>
      </c>
      <c r="CB2694" s="111" t="e">
        <f>IF(AF2694&gt;1/1/1900,((AF2694+1)-AE2694),"STILL OPEN")</f>
        <v>#VALUE!</v>
      </c>
      <c r="CC2694" s="129">
        <f>M2694-I2694+1</f>
        <v>3</v>
      </c>
      <c r="CD2694" s="111">
        <f>CC2694-BF2694</f>
        <v>0</v>
      </c>
      <c r="CG2694" s="129" t="str">
        <f t="shared" si="1975"/>
        <v>N</v>
      </c>
      <c r="CI2694" s="129" t="str">
        <f t="shared" si="1981"/>
        <v>0-10 DAYS</v>
      </c>
      <c r="CJ2694" s="137">
        <f t="shared" si="1982"/>
        <v>1</v>
      </c>
      <c r="CK2694" s="129" t="str">
        <f t="shared" si="1983"/>
        <v>Booked</v>
      </c>
    </row>
    <row r="2695" spans="1:89" ht="15.75" customHeight="1" x14ac:dyDescent="0.25">
      <c r="A2695" s="115">
        <v>645</v>
      </c>
      <c r="B2695" s="128" t="str">
        <f t="shared" si="1968"/>
        <v>N</v>
      </c>
      <c r="C2695" s="128" t="str">
        <f t="shared" si="1969"/>
        <v>Y</v>
      </c>
      <c r="D2695" s="117">
        <v>2601763</v>
      </c>
      <c r="E2695" s="135" t="str">
        <f t="shared" si="1970"/>
        <v/>
      </c>
      <c r="F2695" s="124">
        <v>40934</v>
      </c>
      <c r="G2695" s="125"/>
      <c r="H2695" s="117">
        <v>2601763</v>
      </c>
      <c r="I2695" s="124">
        <v>41205</v>
      </c>
      <c r="J2695" s="125">
        <v>41335</v>
      </c>
      <c r="K2695" s="126">
        <v>60000</v>
      </c>
      <c r="L2695" s="129" t="s">
        <v>572</v>
      </c>
      <c r="M2695" s="125">
        <v>41335</v>
      </c>
      <c r="N2695" s="129" t="str">
        <f>IF(M2695&gt;1/1/1,"Y","N")</f>
        <v>Y</v>
      </c>
      <c r="O2695" s="128" t="s">
        <v>585</v>
      </c>
      <c r="P2695" s="129" t="s">
        <v>31</v>
      </c>
      <c r="Q2695" s="111" t="str">
        <f>BF2695</f>
        <v>STILL OPEN</v>
      </c>
      <c r="R2695" s="111" t="str">
        <f t="shared" si="1959"/>
        <v>STILL OPEN</v>
      </c>
      <c r="S2695" s="129">
        <v>0</v>
      </c>
      <c r="T2695" s="129">
        <v>0</v>
      </c>
      <c r="W2695" s="111"/>
      <c r="AB2695" s="131" t="s">
        <v>112</v>
      </c>
      <c r="AC2695" s="130"/>
      <c r="AD2695" s="130">
        <v>25807</v>
      </c>
      <c r="AE2695" s="128" t="s">
        <v>32</v>
      </c>
      <c r="AF2695" s="128" t="s">
        <v>40</v>
      </c>
      <c r="AG2695" s="128" t="s">
        <v>41</v>
      </c>
      <c r="AH2695" s="108" t="s">
        <v>31</v>
      </c>
      <c r="AI2695" s="128" t="s">
        <v>85</v>
      </c>
      <c r="AJ2695" s="129" t="s">
        <v>31</v>
      </c>
      <c r="AP2695" s="129" t="s">
        <v>173</v>
      </c>
      <c r="AR2695" s="128" t="s">
        <v>50</v>
      </c>
      <c r="AS2695" s="129" t="s">
        <v>126</v>
      </c>
      <c r="AT2695" s="32" t="s">
        <v>1136</v>
      </c>
      <c r="AU2695" s="121">
        <v>41563</v>
      </c>
      <c r="AX2695" s="129" t="s">
        <v>88</v>
      </c>
      <c r="AY2695" s="123"/>
      <c r="BC2695" s="129" t="s">
        <v>99</v>
      </c>
      <c r="BF2695" s="111" t="s">
        <v>588</v>
      </c>
      <c r="BG2695" s="111" t="str">
        <f t="shared" si="1976"/>
        <v>STILL OPEN</v>
      </c>
      <c r="BH2695" s="111" t="str">
        <f t="shared" si="1960"/>
        <v>STILL OPEN</v>
      </c>
      <c r="BI2695" s="111">
        <f t="shared" si="1962"/>
        <v>41.330601092896174</v>
      </c>
      <c r="BJ2695" s="129">
        <f>(G2695-J2695)+(M2695-G2695)</f>
        <v>0</v>
      </c>
      <c r="BK2695" s="129">
        <f t="shared" si="1961"/>
        <v>41335</v>
      </c>
      <c r="BL2695" s="129">
        <f t="shared" si="1955"/>
        <v>0</v>
      </c>
      <c r="BM2695" s="129" t="s">
        <v>76</v>
      </c>
      <c r="BN2695" s="129" t="s">
        <v>566</v>
      </c>
      <c r="BP2695" s="137" t="str">
        <f t="shared" si="1963"/>
        <v/>
      </c>
      <c r="BQ2695" s="128" t="str">
        <f t="shared" si="1971"/>
        <v>Y</v>
      </c>
      <c r="BR2695" s="129" t="str">
        <f t="shared" si="1979"/>
        <v>STILL OPEN</v>
      </c>
      <c r="BS2695" s="129" t="s">
        <v>588</v>
      </c>
      <c r="BT2695" s="129" t="str">
        <f t="shared" si="1965"/>
        <v>N</v>
      </c>
      <c r="BU2695" s="109" t="str">
        <f>IFERROR(Q2695/R2695,BR2695)</f>
        <v>STILL OPEN</v>
      </c>
      <c r="BV2695" s="129" t="s">
        <v>588</v>
      </c>
      <c r="BW2695" s="109">
        <v>0</v>
      </c>
      <c r="BX2695" s="111" t="e">
        <f t="shared" si="1967"/>
        <v>#VALUE!</v>
      </c>
      <c r="BY2695" s="129">
        <f t="shared" si="1972"/>
        <v>-131</v>
      </c>
      <c r="BZ2695" s="111" t="e">
        <f t="shared" si="1973"/>
        <v>#VALUE!</v>
      </c>
      <c r="CA2695" s="138" t="e">
        <f t="shared" si="1974"/>
        <v>#VALUE!</v>
      </c>
      <c r="CB2695" s="111" t="s">
        <v>588</v>
      </c>
      <c r="CC2695" s="129" t="s">
        <v>588</v>
      </c>
      <c r="CG2695" s="129" t="str">
        <f t="shared" si="1975"/>
        <v>N</v>
      </c>
      <c r="CH2695" s="129" t="e">
        <v>#N/A</v>
      </c>
      <c r="CI2695" s="129" t="str">
        <f t="shared" si="1981"/>
        <v>&gt;3YRS</v>
      </c>
      <c r="CJ2695" s="137">
        <f t="shared" si="1982"/>
        <v>9</v>
      </c>
      <c r="CK2695" s="129" t="str">
        <f t="shared" si="1983"/>
        <v>Booked</v>
      </c>
    </row>
    <row r="2696" spans="1:89" ht="15" customHeight="1" x14ac:dyDescent="0.25">
      <c r="A2696" s="111">
        <v>649</v>
      </c>
      <c r="B2696" s="128" t="str">
        <f t="shared" si="1968"/>
        <v>N</v>
      </c>
      <c r="C2696" s="128" t="str">
        <f t="shared" si="1969"/>
        <v>N</v>
      </c>
      <c r="D2696" s="117">
        <v>2601849</v>
      </c>
      <c r="E2696" s="135">
        <f t="shared" si="1970"/>
        <v>6</v>
      </c>
      <c r="F2696" s="124">
        <v>40934</v>
      </c>
      <c r="G2696" s="125">
        <v>41082</v>
      </c>
      <c r="H2696" s="117">
        <v>2601849</v>
      </c>
      <c r="I2696" s="124">
        <v>40935</v>
      </c>
      <c r="J2696" s="124">
        <v>41082</v>
      </c>
      <c r="K2696" s="126">
        <v>35000</v>
      </c>
      <c r="L2696" s="129" t="s">
        <v>572</v>
      </c>
      <c r="N2696" s="129" t="str">
        <f>IF(M2696&gt;1/1/1,"Y","N")</f>
        <v>N</v>
      </c>
      <c r="O2696" s="128" t="s">
        <v>917</v>
      </c>
      <c r="P2696" s="129" t="s">
        <v>39</v>
      </c>
      <c r="Q2696" s="111">
        <f t="shared" si="1954"/>
        <v>148</v>
      </c>
      <c r="R2696" s="111">
        <f t="shared" si="1959"/>
        <v>149</v>
      </c>
      <c r="S2696" s="129">
        <v>0</v>
      </c>
      <c r="T2696" s="129">
        <v>0</v>
      </c>
      <c r="W2696" s="111"/>
      <c r="AB2696" s="131" t="s">
        <v>112</v>
      </c>
      <c r="AC2696" s="130"/>
      <c r="AD2696" s="130">
        <v>32596</v>
      </c>
      <c r="AE2696" s="128" t="s">
        <v>46</v>
      </c>
      <c r="AF2696" s="128" t="s">
        <v>40</v>
      </c>
      <c r="AG2696" s="128" t="s">
        <v>41</v>
      </c>
      <c r="AH2696" s="108" t="s">
        <v>31</v>
      </c>
      <c r="AI2696" s="128" t="s">
        <v>59</v>
      </c>
      <c r="AJ2696" s="129" t="s">
        <v>89</v>
      </c>
      <c r="AK2696" s="129">
        <v>8</v>
      </c>
      <c r="AL2696" s="3" t="s">
        <v>362</v>
      </c>
      <c r="AM2696" s="117">
        <v>10</v>
      </c>
      <c r="AP2696" s="129" t="s">
        <v>105</v>
      </c>
      <c r="AR2696" s="128" t="s">
        <v>92</v>
      </c>
      <c r="AS2696" s="129" t="s">
        <v>106</v>
      </c>
      <c r="BC2696" s="129" t="s">
        <v>52</v>
      </c>
      <c r="BF2696" s="111">
        <f>IF(J2696&gt;1/1/1900,((J2696+1)-I2696),"STILL OPEN")</f>
        <v>148</v>
      </c>
      <c r="BG2696" s="111">
        <f t="shared" si="1976"/>
        <v>148</v>
      </c>
      <c r="BH2696" s="111">
        <f t="shared" si="1960"/>
        <v>149</v>
      </c>
      <c r="BI2696" s="111">
        <f t="shared" si="1962"/>
        <v>22.781420765027324</v>
      </c>
      <c r="BJ2696" s="129">
        <f t="shared" si="1977"/>
        <v>0</v>
      </c>
      <c r="BK2696" s="129">
        <f t="shared" si="1961"/>
        <v>0</v>
      </c>
      <c r="BL2696" s="129" t="str">
        <f t="shared" si="1955"/>
        <v>CONVICTION</v>
      </c>
      <c r="BM2696" s="129" t="str">
        <f t="shared" si="1978"/>
        <v>NONE</v>
      </c>
      <c r="BN2696" s="129" t="s">
        <v>566</v>
      </c>
      <c r="BP2696" s="137" t="str">
        <f t="shared" si="1963"/>
        <v>CONVICTION</v>
      </c>
      <c r="BQ2696" s="128" t="str">
        <f t="shared" si="1971"/>
        <v>Y</v>
      </c>
      <c r="BR2696" s="129" t="str">
        <f t="shared" si="1979"/>
        <v>DETAINED</v>
      </c>
      <c r="BS2696" s="129" t="str">
        <f t="shared" si="1964"/>
        <v>DISPOSED</v>
      </c>
      <c r="BT2696" s="129" t="str">
        <f t="shared" si="1965"/>
        <v>N</v>
      </c>
      <c r="BU2696" s="109">
        <f t="shared" si="1966"/>
        <v>0.99328859060402686</v>
      </c>
      <c r="BV2696" s="109">
        <f t="shared" si="1980"/>
        <v>1</v>
      </c>
      <c r="BW2696" s="109">
        <f>BV2696-BU2696</f>
        <v>6.7114093959731447E-3</v>
      </c>
      <c r="BX2696" s="111">
        <f t="shared" si="1967"/>
        <v>0</v>
      </c>
      <c r="BY2696" s="129">
        <f t="shared" si="1972"/>
        <v>-148</v>
      </c>
      <c r="BZ2696" s="111">
        <f t="shared" si="1973"/>
        <v>0</v>
      </c>
      <c r="CA2696" s="138">
        <f t="shared" si="1974"/>
        <v>148</v>
      </c>
      <c r="CB2696" s="111" t="e">
        <f>IF(AF2696&gt;1/1/1900,((AF2696+1)-AE2696),"STILL OPEN")</f>
        <v>#VALUE!</v>
      </c>
      <c r="CC2696" s="129">
        <f>G2696-I2696+1</f>
        <v>148</v>
      </c>
      <c r="CD2696" s="129">
        <f>G2696-J2696</f>
        <v>0</v>
      </c>
      <c r="CG2696" s="129" t="str">
        <f t="shared" si="1975"/>
        <v>N</v>
      </c>
      <c r="CI2696" s="129" t="str">
        <f t="shared" si="1981"/>
        <v>121-365 DAYS</v>
      </c>
      <c r="CJ2696" s="137">
        <f t="shared" si="1982"/>
        <v>6</v>
      </c>
      <c r="CK2696" s="129" t="str">
        <f t="shared" si="1983"/>
        <v>Booked</v>
      </c>
    </row>
    <row r="2697" spans="1:89" ht="15" customHeight="1" x14ac:dyDescent="0.25">
      <c r="A2697" s="111">
        <v>654</v>
      </c>
      <c r="B2697" s="128" t="str">
        <f t="shared" si="1968"/>
        <v>N</v>
      </c>
      <c r="C2697" s="128" t="str">
        <f t="shared" si="1969"/>
        <v>N</v>
      </c>
      <c r="D2697" s="117">
        <v>2601865</v>
      </c>
      <c r="E2697" s="135">
        <f t="shared" si="1970"/>
        <v>2</v>
      </c>
      <c r="F2697" s="124">
        <v>40934</v>
      </c>
      <c r="G2697" s="125">
        <v>41114</v>
      </c>
      <c r="H2697" s="117">
        <v>2601865</v>
      </c>
      <c r="I2697" s="124">
        <v>40935</v>
      </c>
      <c r="J2697" s="124">
        <v>40935</v>
      </c>
      <c r="K2697" s="126">
        <v>70000</v>
      </c>
      <c r="L2697" s="129" t="s">
        <v>572</v>
      </c>
      <c r="M2697" s="125">
        <v>40935</v>
      </c>
      <c r="N2697" s="129" t="str">
        <f>IF(M2697&gt;1/1/1,"Y","N")</f>
        <v>Y</v>
      </c>
      <c r="O2697" s="128" t="s">
        <v>76</v>
      </c>
      <c r="P2697" s="129" t="s">
        <v>589</v>
      </c>
      <c r="Q2697" s="111">
        <f t="shared" si="1954"/>
        <v>1</v>
      </c>
      <c r="R2697" s="111">
        <f t="shared" si="1959"/>
        <v>181</v>
      </c>
      <c r="S2697" s="129">
        <v>0</v>
      </c>
      <c r="T2697" s="129">
        <v>0</v>
      </c>
      <c r="W2697" s="111"/>
      <c r="AC2697" s="130"/>
      <c r="AD2697" s="130">
        <v>32227</v>
      </c>
      <c r="AE2697" s="128" t="s">
        <v>32</v>
      </c>
      <c r="AF2697" s="128" t="s">
        <v>69</v>
      </c>
      <c r="AG2697" s="128" t="s">
        <v>874</v>
      </c>
      <c r="AH2697" s="108" t="s">
        <v>31</v>
      </c>
      <c r="AI2697" s="128" t="s">
        <v>65</v>
      </c>
      <c r="AJ2697" s="129" t="s">
        <v>48</v>
      </c>
      <c r="AK2697" s="129">
        <v>7</v>
      </c>
      <c r="AL2697" s="3" t="s">
        <v>48</v>
      </c>
      <c r="AP2697" s="129" t="s">
        <v>194</v>
      </c>
      <c r="AR2697" s="128" t="s">
        <v>50</v>
      </c>
      <c r="AS2697" s="129" t="s">
        <v>64</v>
      </c>
      <c r="BC2697" s="129" t="s">
        <v>38</v>
      </c>
      <c r="BF2697" s="111">
        <f>IF(J2697&gt;1/1/1900,((J2697+1)-I2697),"STILL OPEN")</f>
        <v>1</v>
      </c>
      <c r="BG2697" s="111">
        <f t="shared" si="1976"/>
        <v>180</v>
      </c>
      <c r="BH2697" s="111">
        <f t="shared" si="1960"/>
        <v>181</v>
      </c>
      <c r="BI2697" s="111">
        <f t="shared" si="1962"/>
        <v>23.789617486338798</v>
      </c>
      <c r="BJ2697" s="129">
        <f>(G2697-J2697)+(M2697-G2697)</f>
        <v>0</v>
      </c>
      <c r="BK2697" s="129">
        <f t="shared" si="1961"/>
        <v>-179</v>
      </c>
      <c r="BL2697" s="129" t="str">
        <f t="shared" si="1955"/>
        <v>DEFERRED</v>
      </c>
      <c r="BM2697" s="129" t="s">
        <v>76</v>
      </c>
      <c r="BN2697" s="129" t="s">
        <v>88</v>
      </c>
      <c r="BP2697" s="137" t="str">
        <f t="shared" si="1963"/>
        <v>DEFERRED</v>
      </c>
      <c r="BQ2697" s="128" t="str">
        <f t="shared" si="1971"/>
        <v>Y</v>
      </c>
      <c r="BR2697" s="129" t="str">
        <f t="shared" si="1979"/>
        <v>ON BOND</v>
      </c>
      <c r="BS2697" s="129" t="str">
        <f t="shared" si="1964"/>
        <v>DISPOSED</v>
      </c>
      <c r="BT2697" s="129" t="str">
        <f t="shared" si="1965"/>
        <v>N</v>
      </c>
      <c r="BU2697" s="109">
        <f t="shared" si="1966"/>
        <v>5.5248618784530384E-3</v>
      </c>
      <c r="BV2697" s="109">
        <f t="shared" si="1980"/>
        <v>5.5555555555555558E-3</v>
      </c>
      <c r="BW2697" s="109">
        <f>BV2697-BU2697</f>
        <v>3.0693677102517324E-5</v>
      </c>
      <c r="BX2697" s="111">
        <f t="shared" si="1967"/>
        <v>0</v>
      </c>
      <c r="BY2697" s="129">
        <f t="shared" si="1972"/>
        <v>-1</v>
      </c>
      <c r="BZ2697" s="111">
        <f t="shared" si="1973"/>
        <v>0</v>
      </c>
      <c r="CA2697" s="138">
        <f t="shared" si="1974"/>
        <v>1</v>
      </c>
      <c r="CB2697" s="111" t="e">
        <f>IF(AF2697&gt;1/1/1900,((AF2697+1)-AE2697),"STILL OPEN")</f>
        <v>#VALUE!</v>
      </c>
      <c r="CC2697" s="129">
        <f>M2697-I2697+1</f>
        <v>1</v>
      </c>
      <c r="CD2697" s="111">
        <f>CC2697-BF2697</f>
        <v>0</v>
      </c>
      <c r="CG2697" s="129" t="str">
        <f t="shared" si="1975"/>
        <v>N</v>
      </c>
      <c r="CI2697" s="129" t="str">
        <f t="shared" si="1981"/>
        <v>0-10 DAYS</v>
      </c>
      <c r="CJ2697" s="137">
        <f t="shared" si="1982"/>
        <v>1</v>
      </c>
      <c r="CK2697" s="129" t="str">
        <f t="shared" si="1983"/>
        <v>Booked</v>
      </c>
    </row>
    <row r="2698" spans="1:89" ht="15" customHeight="1" x14ac:dyDescent="0.25">
      <c r="A2698" s="111">
        <v>657</v>
      </c>
      <c r="B2698" s="128" t="str">
        <f t="shared" si="1968"/>
        <v>N</v>
      </c>
      <c r="C2698" s="128" t="str">
        <f t="shared" si="1969"/>
        <v>N</v>
      </c>
      <c r="D2698" s="117">
        <v>2601877</v>
      </c>
      <c r="E2698" s="135">
        <f t="shared" si="1970"/>
        <v>2</v>
      </c>
      <c r="F2698" s="124">
        <v>40934</v>
      </c>
      <c r="G2698" s="125">
        <v>40938</v>
      </c>
      <c r="H2698" s="117">
        <v>2601877</v>
      </c>
      <c r="I2698" s="124">
        <v>40935</v>
      </c>
      <c r="J2698" s="124">
        <v>40938</v>
      </c>
      <c r="K2698" s="126">
        <v>10000</v>
      </c>
      <c r="L2698" s="127" t="s">
        <v>570</v>
      </c>
      <c r="N2698" s="129" t="str">
        <f>IF(M2698&gt;1/1/1,"Y","N")</f>
        <v>N</v>
      </c>
      <c r="O2698" s="128" t="s">
        <v>917</v>
      </c>
      <c r="P2698" s="129" t="s">
        <v>589</v>
      </c>
      <c r="Q2698" s="111">
        <f t="shared" si="1954"/>
        <v>4</v>
      </c>
      <c r="R2698" s="111">
        <f t="shared" si="1959"/>
        <v>5</v>
      </c>
      <c r="S2698" s="129">
        <v>0</v>
      </c>
      <c r="T2698" s="129">
        <v>0</v>
      </c>
      <c r="W2698" s="111"/>
      <c r="AC2698" s="130"/>
      <c r="AD2698" s="130">
        <v>28157</v>
      </c>
      <c r="AE2698" s="128" t="s">
        <v>46</v>
      </c>
      <c r="AF2698" s="128" t="s">
        <v>33</v>
      </c>
      <c r="AG2698" s="128" t="s">
        <v>872</v>
      </c>
      <c r="AH2698" s="108" t="s">
        <v>31</v>
      </c>
      <c r="AI2698" s="128" t="s">
        <v>114</v>
      </c>
      <c r="AJ2698" s="129" t="s">
        <v>48</v>
      </c>
      <c r="AK2698" s="129">
        <v>1</v>
      </c>
      <c r="AL2698" s="3" t="s">
        <v>48</v>
      </c>
      <c r="AP2698" s="129" t="s">
        <v>49</v>
      </c>
      <c r="AR2698" s="128" t="s">
        <v>50</v>
      </c>
      <c r="AS2698" s="129" t="s">
        <v>45</v>
      </c>
      <c r="AY2698" s="123"/>
      <c r="BC2698" s="129" t="s">
        <v>38</v>
      </c>
      <c r="BF2698" s="111">
        <f t="shared" ref="BF2698:BF2705" si="1984">IF(J2698&gt;1/1/1900,((J2698+1)-I2698),"STILL OPEN")</f>
        <v>4</v>
      </c>
      <c r="BG2698" s="111">
        <f t="shared" si="1976"/>
        <v>4</v>
      </c>
      <c r="BH2698" s="111">
        <f t="shared" si="1960"/>
        <v>5</v>
      </c>
      <c r="BI2698" s="111">
        <f t="shared" si="1962"/>
        <v>34.909836065573771</v>
      </c>
      <c r="BJ2698" s="129">
        <f t="shared" si="1977"/>
        <v>0</v>
      </c>
      <c r="BK2698" s="129">
        <f t="shared" si="1961"/>
        <v>0</v>
      </c>
      <c r="BL2698" s="129" t="str">
        <f t="shared" si="1955"/>
        <v>DEFERRED</v>
      </c>
      <c r="BM2698" s="129" t="str">
        <f t="shared" si="1978"/>
        <v>NONE</v>
      </c>
      <c r="BN2698" s="129" t="s">
        <v>566</v>
      </c>
      <c r="BP2698" s="137" t="str">
        <f t="shared" si="1963"/>
        <v>DEFERRED</v>
      </c>
      <c r="BQ2698" s="128" t="str">
        <f t="shared" si="1971"/>
        <v>Y</v>
      </c>
      <c r="BR2698" s="129" t="str">
        <f t="shared" si="1979"/>
        <v>DETAINED</v>
      </c>
      <c r="BS2698" s="129" t="str">
        <f t="shared" si="1964"/>
        <v>DISPOSED</v>
      </c>
      <c r="BT2698" s="129" t="str">
        <f t="shared" si="1965"/>
        <v>N</v>
      </c>
      <c r="BU2698" s="109">
        <f t="shared" si="1966"/>
        <v>0.8</v>
      </c>
      <c r="BV2698" s="109">
        <f t="shared" si="1980"/>
        <v>1</v>
      </c>
      <c r="BW2698" s="109">
        <f t="shared" ref="BW2698:BW2714" si="1985">BV2698-BU2698</f>
        <v>0.19999999999999996</v>
      </c>
      <c r="BX2698" s="111">
        <f t="shared" si="1967"/>
        <v>0</v>
      </c>
      <c r="BY2698" s="129">
        <f t="shared" si="1972"/>
        <v>-4</v>
      </c>
      <c r="BZ2698" s="111">
        <f t="shared" si="1973"/>
        <v>0</v>
      </c>
      <c r="CA2698" s="138">
        <f t="shared" si="1974"/>
        <v>4</v>
      </c>
      <c r="CB2698" s="111" t="e">
        <f t="shared" ref="CB2698:CB2705" si="1986">IF(AF2698&gt;1/1/1900,((AF2698+1)-AE2698),"STILL OPEN")</f>
        <v>#VALUE!</v>
      </c>
      <c r="CC2698" s="129">
        <f t="shared" ref="CC2698:CC2705" si="1987">G2698-I2698+1</f>
        <v>4</v>
      </c>
      <c r="CD2698" s="129">
        <f t="shared" ref="CD2698:CD2705" si="1988">G2698-J2698</f>
        <v>0</v>
      </c>
      <c r="CG2698" s="129" t="str">
        <f t="shared" si="1975"/>
        <v>N</v>
      </c>
      <c r="CI2698" s="129" t="str">
        <f t="shared" si="1981"/>
        <v>0-10 DAYS</v>
      </c>
      <c r="CJ2698" s="137">
        <f t="shared" si="1982"/>
        <v>1</v>
      </c>
      <c r="CK2698" s="129" t="str">
        <f t="shared" si="1983"/>
        <v>Booked</v>
      </c>
    </row>
    <row r="2699" spans="1:89" ht="15" customHeight="1" x14ac:dyDescent="0.25">
      <c r="A2699" s="111">
        <v>663</v>
      </c>
      <c r="B2699" s="128" t="str">
        <f t="shared" si="1968"/>
        <v>N</v>
      </c>
      <c r="C2699" s="128" t="str">
        <f t="shared" si="1969"/>
        <v>N</v>
      </c>
      <c r="D2699" s="117">
        <v>2601897</v>
      </c>
      <c r="E2699" s="135">
        <f t="shared" si="1970"/>
        <v>6</v>
      </c>
      <c r="F2699" s="124">
        <v>40935</v>
      </c>
      <c r="G2699" s="125">
        <v>41624</v>
      </c>
      <c r="H2699" s="117">
        <v>2601897</v>
      </c>
      <c r="I2699" s="124">
        <v>40935</v>
      </c>
      <c r="J2699" s="125">
        <v>41624</v>
      </c>
      <c r="K2699" s="126" t="s">
        <v>564</v>
      </c>
      <c r="L2699" s="127" t="s">
        <v>564</v>
      </c>
      <c r="N2699" s="129" t="s">
        <v>566</v>
      </c>
      <c r="O2699" s="128" t="s">
        <v>917</v>
      </c>
      <c r="P2699" s="129" t="s">
        <v>39</v>
      </c>
      <c r="Q2699" s="111">
        <f t="shared" si="1954"/>
        <v>690</v>
      </c>
      <c r="R2699" s="111">
        <f t="shared" si="1959"/>
        <v>690</v>
      </c>
      <c r="S2699" s="129">
        <v>0</v>
      </c>
      <c r="T2699" s="129">
        <v>0</v>
      </c>
      <c r="W2699" s="111"/>
      <c r="AB2699" s="131" t="s">
        <v>112</v>
      </c>
      <c r="AC2699" s="130"/>
      <c r="AD2699" s="130">
        <v>33862</v>
      </c>
      <c r="AE2699" s="128" t="s">
        <v>32</v>
      </c>
      <c r="AF2699" s="128" t="s">
        <v>40</v>
      </c>
      <c r="AG2699" s="128" t="s">
        <v>41</v>
      </c>
      <c r="AH2699" s="108" t="s">
        <v>31</v>
      </c>
      <c r="AI2699" s="128" t="s">
        <v>65</v>
      </c>
      <c r="AJ2699" s="129" t="s">
        <v>89</v>
      </c>
      <c r="AK2699" s="129">
        <v>20</v>
      </c>
      <c r="AL2699" s="3" t="s">
        <v>362</v>
      </c>
      <c r="AM2699" s="117">
        <v>45</v>
      </c>
      <c r="AP2699" s="129" t="s">
        <v>35</v>
      </c>
      <c r="AR2699" s="128" t="s">
        <v>36</v>
      </c>
      <c r="AS2699" s="129" t="s">
        <v>37</v>
      </c>
      <c r="BC2699" s="129" t="s">
        <v>38</v>
      </c>
      <c r="BF2699" s="111">
        <f t="shared" si="1984"/>
        <v>690</v>
      </c>
      <c r="BG2699" s="111">
        <f t="shared" si="1976"/>
        <v>690</v>
      </c>
      <c r="BH2699" s="111">
        <f t="shared" si="1960"/>
        <v>690</v>
      </c>
      <c r="BI2699" s="111">
        <f t="shared" si="1962"/>
        <v>19.325136612021858</v>
      </c>
      <c r="BJ2699" s="129">
        <f t="shared" si="1977"/>
        <v>0</v>
      </c>
      <c r="BK2699" s="129">
        <f t="shared" si="1961"/>
        <v>0</v>
      </c>
      <c r="BL2699" s="129" t="str">
        <f t="shared" si="1955"/>
        <v>CONVICTION</v>
      </c>
      <c r="BM2699" s="129" t="str">
        <f t="shared" si="1978"/>
        <v>NONE</v>
      </c>
      <c r="BN2699" s="129" t="s">
        <v>88</v>
      </c>
      <c r="BP2699" s="137" t="str">
        <f t="shared" si="1963"/>
        <v>CONVICTION</v>
      </c>
      <c r="BQ2699" s="128" t="str">
        <f t="shared" si="1971"/>
        <v>Y</v>
      </c>
      <c r="BR2699" s="129" t="str">
        <f t="shared" si="1979"/>
        <v>DETAINED</v>
      </c>
      <c r="BS2699" s="129" t="str">
        <f t="shared" si="1964"/>
        <v>DISPOSED</v>
      </c>
      <c r="BT2699" s="129" t="str">
        <f t="shared" si="1965"/>
        <v>N</v>
      </c>
      <c r="BU2699" s="109">
        <f t="shared" si="1966"/>
        <v>1</v>
      </c>
      <c r="BV2699" s="109">
        <f t="shared" si="1980"/>
        <v>1</v>
      </c>
      <c r="BW2699" s="109">
        <f t="shared" si="1985"/>
        <v>0</v>
      </c>
      <c r="BX2699" s="111">
        <f t="shared" si="1967"/>
        <v>0</v>
      </c>
      <c r="BY2699" s="129">
        <f t="shared" si="1972"/>
        <v>-690</v>
      </c>
      <c r="BZ2699" s="111">
        <f t="shared" si="1973"/>
        <v>0</v>
      </c>
      <c r="CA2699" s="138">
        <f t="shared" si="1974"/>
        <v>690</v>
      </c>
      <c r="CB2699" s="111" t="e">
        <f t="shared" si="1986"/>
        <v>#VALUE!</v>
      </c>
      <c r="CC2699" s="129">
        <f t="shared" si="1987"/>
        <v>690</v>
      </c>
      <c r="CD2699" s="129">
        <f t="shared" si="1988"/>
        <v>0</v>
      </c>
      <c r="CG2699" s="129" t="str">
        <f t="shared" si="1975"/>
        <v>N</v>
      </c>
      <c r="CI2699" s="129" t="str">
        <f t="shared" si="1981"/>
        <v xml:space="preserve"> &gt;1YRS&lt;2YRS</v>
      </c>
      <c r="CJ2699" s="137">
        <f t="shared" si="1982"/>
        <v>0</v>
      </c>
      <c r="CK2699" s="129" t="str">
        <f t="shared" si="1983"/>
        <v>Booked</v>
      </c>
    </row>
    <row r="2700" spans="1:89" ht="15.75" customHeight="1" x14ac:dyDescent="0.25">
      <c r="A2700" s="111">
        <v>680</v>
      </c>
      <c r="B2700" s="128" t="str">
        <f t="shared" si="1968"/>
        <v>N</v>
      </c>
      <c r="C2700" s="128" t="str">
        <f t="shared" si="1969"/>
        <v>N</v>
      </c>
      <c r="D2700" s="117">
        <v>2601989</v>
      </c>
      <c r="E2700" s="135">
        <f t="shared" si="1970"/>
        <v>2</v>
      </c>
      <c r="F2700" s="124">
        <v>40935</v>
      </c>
      <c r="G2700" s="125">
        <v>40939</v>
      </c>
      <c r="H2700" s="117">
        <v>2601989</v>
      </c>
      <c r="I2700" s="124">
        <v>40936</v>
      </c>
      <c r="J2700" s="124">
        <v>40939</v>
      </c>
      <c r="K2700" s="126">
        <v>10000</v>
      </c>
      <c r="L2700" s="127" t="s">
        <v>570</v>
      </c>
      <c r="N2700" s="129" t="str">
        <f>IF(M2700&gt;1/1/1,"Y","N")</f>
        <v>N</v>
      </c>
      <c r="O2700" s="128" t="s">
        <v>917</v>
      </c>
      <c r="P2700" s="129" t="s">
        <v>589</v>
      </c>
      <c r="Q2700" s="111">
        <f t="shared" si="1954"/>
        <v>4</v>
      </c>
      <c r="R2700" s="111">
        <f t="shared" si="1959"/>
        <v>5</v>
      </c>
      <c r="S2700" s="129">
        <v>0</v>
      </c>
      <c r="T2700" s="129">
        <v>0</v>
      </c>
      <c r="W2700" s="111"/>
      <c r="AC2700" s="130"/>
      <c r="AD2700" s="130">
        <v>32165</v>
      </c>
      <c r="AE2700" s="128" t="s">
        <v>32</v>
      </c>
      <c r="AF2700" s="128" t="s">
        <v>33</v>
      </c>
      <c r="AG2700" s="128" t="s">
        <v>872</v>
      </c>
      <c r="AH2700" s="108" t="s">
        <v>31</v>
      </c>
      <c r="AI2700" s="128" t="s">
        <v>65</v>
      </c>
      <c r="AJ2700" s="129" t="s">
        <v>48</v>
      </c>
      <c r="AK2700" s="129">
        <v>2</v>
      </c>
      <c r="AL2700" s="3" t="s">
        <v>48</v>
      </c>
      <c r="AP2700" s="129" t="s">
        <v>169</v>
      </c>
      <c r="AR2700" s="128" t="s">
        <v>67</v>
      </c>
      <c r="AS2700" s="129" t="s">
        <v>64</v>
      </c>
      <c r="BC2700" s="129" t="s">
        <v>38</v>
      </c>
      <c r="BF2700" s="111">
        <f t="shared" si="1984"/>
        <v>4</v>
      </c>
      <c r="BG2700" s="111">
        <f t="shared" si="1976"/>
        <v>4</v>
      </c>
      <c r="BH2700" s="111">
        <f t="shared" si="1960"/>
        <v>5</v>
      </c>
      <c r="BI2700" s="111">
        <f t="shared" si="1962"/>
        <v>23.961748633879782</v>
      </c>
      <c r="BJ2700" s="129">
        <f t="shared" si="1977"/>
        <v>0</v>
      </c>
      <c r="BK2700" s="129">
        <f t="shared" si="1961"/>
        <v>0</v>
      </c>
      <c r="BL2700" s="129" t="str">
        <f t="shared" si="1955"/>
        <v>DEFERRED</v>
      </c>
      <c r="BM2700" s="129" t="str">
        <f t="shared" si="1978"/>
        <v>NONE</v>
      </c>
      <c r="BN2700" s="129" t="s">
        <v>566</v>
      </c>
      <c r="BP2700" s="137" t="str">
        <f t="shared" si="1963"/>
        <v>DEFERRED</v>
      </c>
      <c r="BQ2700" s="128" t="str">
        <f t="shared" si="1971"/>
        <v>Y</v>
      </c>
      <c r="BR2700" s="129" t="str">
        <f t="shared" si="1979"/>
        <v>DETAINED</v>
      </c>
      <c r="BS2700" s="129" t="str">
        <f t="shared" si="1964"/>
        <v>DISPOSED</v>
      </c>
      <c r="BT2700" s="129" t="str">
        <f t="shared" si="1965"/>
        <v>N</v>
      </c>
      <c r="BU2700" s="109">
        <f t="shared" si="1966"/>
        <v>0.8</v>
      </c>
      <c r="BV2700" s="109">
        <f t="shared" si="1980"/>
        <v>1</v>
      </c>
      <c r="BW2700" s="109">
        <f t="shared" si="1985"/>
        <v>0.19999999999999996</v>
      </c>
      <c r="BX2700" s="111">
        <f t="shared" si="1967"/>
        <v>0</v>
      </c>
      <c r="BY2700" s="129">
        <f t="shared" si="1972"/>
        <v>-4</v>
      </c>
      <c r="BZ2700" s="111">
        <f t="shared" si="1973"/>
        <v>0</v>
      </c>
      <c r="CA2700" s="138">
        <f t="shared" si="1974"/>
        <v>4</v>
      </c>
      <c r="CB2700" s="111" t="e">
        <f t="shared" si="1986"/>
        <v>#VALUE!</v>
      </c>
      <c r="CC2700" s="129">
        <f t="shared" si="1987"/>
        <v>4</v>
      </c>
      <c r="CD2700" s="129">
        <f t="shared" si="1988"/>
        <v>0</v>
      </c>
      <c r="CG2700" s="129" t="str">
        <f t="shared" si="1975"/>
        <v>N</v>
      </c>
      <c r="CI2700" s="129" t="str">
        <f t="shared" si="1981"/>
        <v>0-10 DAYS</v>
      </c>
      <c r="CJ2700" s="137">
        <f t="shared" si="1982"/>
        <v>1</v>
      </c>
      <c r="CK2700" s="129" t="str">
        <f t="shared" si="1983"/>
        <v>Booked</v>
      </c>
    </row>
    <row r="2701" spans="1:89" ht="15" customHeight="1" x14ac:dyDescent="0.25">
      <c r="A2701" s="111">
        <v>2051</v>
      </c>
      <c r="B2701" s="128" t="str">
        <f t="shared" si="1968"/>
        <v>N</v>
      </c>
      <c r="C2701" s="128" t="str">
        <f t="shared" si="1969"/>
        <v>N</v>
      </c>
      <c r="D2701" s="117">
        <v>2602008</v>
      </c>
      <c r="E2701" s="135">
        <f t="shared" si="1970"/>
        <v>1</v>
      </c>
      <c r="F2701" s="124">
        <v>40986</v>
      </c>
      <c r="G2701" s="125">
        <v>40994</v>
      </c>
      <c r="H2701" s="117">
        <v>2602008</v>
      </c>
      <c r="I2701" s="124">
        <v>40986</v>
      </c>
      <c r="J2701" s="124">
        <v>40994</v>
      </c>
      <c r="K2701" s="126" t="s">
        <v>564</v>
      </c>
      <c r="L2701" s="127" t="s">
        <v>564</v>
      </c>
      <c r="N2701" s="129" t="s">
        <v>566</v>
      </c>
      <c r="O2701" s="128" t="s">
        <v>917</v>
      </c>
      <c r="P2701" s="129" t="s">
        <v>55</v>
      </c>
      <c r="Q2701" s="111">
        <f t="shared" si="1954"/>
        <v>9</v>
      </c>
      <c r="R2701" s="111">
        <f t="shared" si="1959"/>
        <v>9</v>
      </c>
      <c r="S2701" s="129">
        <v>0</v>
      </c>
      <c r="T2701" s="129">
        <v>0</v>
      </c>
      <c r="W2701" s="111"/>
      <c r="AC2701" s="130"/>
      <c r="AD2701" s="130">
        <v>34619</v>
      </c>
      <c r="AE2701" s="128" t="s">
        <v>32</v>
      </c>
      <c r="AF2701" s="128" t="s">
        <v>33</v>
      </c>
      <c r="AG2701" s="128" t="s">
        <v>872</v>
      </c>
      <c r="AH2701" s="108" t="s">
        <v>58</v>
      </c>
      <c r="AI2701" s="128" t="s">
        <v>70</v>
      </c>
      <c r="AJ2701" s="129" t="s">
        <v>55</v>
      </c>
      <c r="AK2701" s="129">
        <v>2</v>
      </c>
      <c r="AL2701" s="3" t="s">
        <v>55</v>
      </c>
      <c r="AP2701" s="129" t="s">
        <v>121</v>
      </c>
      <c r="AR2701" s="128" t="s">
        <v>44</v>
      </c>
      <c r="AS2701" s="129" t="s">
        <v>122</v>
      </c>
      <c r="AT2701" s="129" t="s">
        <v>403</v>
      </c>
      <c r="BC2701" s="129" t="s">
        <v>38</v>
      </c>
      <c r="BF2701" s="111">
        <f t="shared" si="1984"/>
        <v>9</v>
      </c>
      <c r="BG2701" s="111">
        <f t="shared" si="1976"/>
        <v>9</v>
      </c>
      <c r="BH2701" s="111">
        <f t="shared" si="1960"/>
        <v>9</v>
      </c>
      <c r="BI2701" s="111">
        <f t="shared" si="1962"/>
        <v>17.396174863387976</v>
      </c>
      <c r="BJ2701" s="129">
        <f t="shared" si="1977"/>
        <v>0</v>
      </c>
      <c r="BK2701" s="129">
        <f t="shared" si="1961"/>
        <v>0</v>
      </c>
      <c r="BL2701" s="129" t="str">
        <f t="shared" si="1955"/>
        <v>NO CONVICTION</v>
      </c>
      <c r="BM2701" s="129" t="str">
        <f t="shared" si="1978"/>
        <v>NONE</v>
      </c>
      <c r="BN2701" s="129" t="s">
        <v>566</v>
      </c>
      <c r="BP2701" s="137" t="str">
        <f t="shared" si="1963"/>
        <v>NO CONVICTION</v>
      </c>
      <c r="BQ2701" s="128" t="str">
        <f t="shared" si="1971"/>
        <v>Y</v>
      </c>
      <c r="BR2701" s="129" t="str">
        <f t="shared" si="1979"/>
        <v>DETAINED</v>
      </c>
      <c r="BS2701" s="129" t="str">
        <f t="shared" si="1964"/>
        <v>DISPOSED</v>
      </c>
      <c r="BT2701" s="129" t="str">
        <f t="shared" si="1965"/>
        <v>N</v>
      </c>
      <c r="BU2701" s="109">
        <f>IFERROR(Q2701/R2701,BR2701)</f>
        <v>1</v>
      </c>
      <c r="BV2701" s="109">
        <f t="shared" si="1980"/>
        <v>1</v>
      </c>
      <c r="BW2701" s="109">
        <f t="shared" si="1985"/>
        <v>0</v>
      </c>
      <c r="BX2701" s="111">
        <f t="shared" si="1967"/>
        <v>0</v>
      </c>
      <c r="BY2701" s="129">
        <f t="shared" si="1972"/>
        <v>-9</v>
      </c>
      <c r="BZ2701" s="111">
        <f t="shared" si="1973"/>
        <v>0</v>
      </c>
      <c r="CA2701" s="138">
        <f t="shared" si="1974"/>
        <v>9</v>
      </c>
      <c r="CB2701" s="111" t="e">
        <f t="shared" si="1986"/>
        <v>#VALUE!</v>
      </c>
      <c r="CC2701" s="129">
        <f t="shared" si="1987"/>
        <v>9</v>
      </c>
      <c r="CD2701" s="129">
        <f t="shared" si="1988"/>
        <v>0</v>
      </c>
      <c r="CG2701" s="129" t="str">
        <f t="shared" si="1975"/>
        <v>N</v>
      </c>
      <c r="CI2701" s="129" t="str">
        <f t="shared" si="1981"/>
        <v>0-10 DAYS</v>
      </c>
      <c r="CJ2701" s="137">
        <f t="shared" si="1982"/>
        <v>1</v>
      </c>
      <c r="CK2701" s="129" t="str">
        <f t="shared" si="1983"/>
        <v>Booked</v>
      </c>
    </row>
    <row r="2702" spans="1:89" ht="15.75" customHeight="1" x14ac:dyDescent="0.25">
      <c r="A2702" s="111">
        <v>1574</v>
      </c>
      <c r="B2702" s="128" t="str">
        <f t="shared" si="1968"/>
        <v>N</v>
      </c>
      <c r="C2702" s="128" t="str">
        <f t="shared" si="1969"/>
        <v>N</v>
      </c>
      <c r="D2702" s="117">
        <v>2602012</v>
      </c>
      <c r="E2702" s="135">
        <f t="shared" si="1970"/>
        <v>6</v>
      </c>
      <c r="F2702" s="124">
        <v>40967</v>
      </c>
      <c r="G2702" s="125">
        <v>41284</v>
      </c>
      <c r="H2702" s="117">
        <v>2602012</v>
      </c>
      <c r="I2702" s="124">
        <v>40968</v>
      </c>
      <c r="J2702" s="125">
        <v>41284</v>
      </c>
      <c r="K2702" s="126">
        <v>70000</v>
      </c>
      <c r="L2702" s="129" t="s">
        <v>572</v>
      </c>
      <c r="N2702" s="129" t="str">
        <f>IF(M2702&gt;1/1/1,"Y","N")</f>
        <v>N</v>
      </c>
      <c r="O2702" s="128" t="s">
        <v>917</v>
      </c>
      <c r="P2702" s="129" t="s">
        <v>39</v>
      </c>
      <c r="Q2702" s="111">
        <f t="shared" si="1954"/>
        <v>317</v>
      </c>
      <c r="R2702" s="111">
        <f t="shared" si="1959"/>
        <v>318</v>
      </c>
      <c r="S2702" s="129">
        <v>0</v>
      </c>
      <c r="T2702" s="129">
        <v>0</v>
      </c>
      <c r="W2702" s="111"/>
      <c r="AC2702" s="130"/>
      <c r="AD2702" s="130">
        <v>34444</v>
      </c>
      <c r="AE2702" s="128" t="s">
        <v>46</v>
      </c>
      <c r="AF2702" s="128" t="s">
        <v>69</v>
      </c>
      <c r="AG2702" s="128" t="s">
        <v>874</v>
      </c>
      <c r="AH2702" s="108" t="s">
        <v>31</v>
      </c>
      <c r="AI2702" s="128" t="s">
        <v>83</v>
      </c>
      <c r="AJ2702" s="129" t="s">
        <v>89</v>
      </c>
      <c r="AK2702" s="129">
        <v>11</v>
      </c>
      <c r="AL2702" s="3" t="s">
        <v>362</v>
      </c>
      <c r="AM2702" s="117">
        <v>3</v>
      </c>
      <c r="AP2702" s="129" t="s">
        <v>105</v>
      </c>
      <c r="AR2702" s="128" t="s">
        <v>92</v>
      </c>
      <c r="AS2702" s="129" t="s">
        <v>106</v>
      </c>
      <c r="BC2702" s="129" t="s">
        <v>52</v>
      </c>
      <c r="BF2702" s="111">
        <f t="shared" si="1984"/>
        <v>317</v>
      </c>
      <c r="BG2702" s="111">
        <f t="shared" si="1976"/>
        <v>317</v>
      </c>
      <c r="BH2702" s="111">
        <f t="shared" si="1960"/>
        <v>318</v>
      </c>
      <c r="BI2702" s="111">
        <f t="shared" si="1962"/>
        <v>17.8224043715847</v>
      </c>
      <c r="BJ2702" s="129">
        <f t="shared" si="1977"/>
        <v>0</v>
      </c>
      <c r="BK2702" s="129">
        <f t="shared" si="1961"/>
        <v>0</v>
      </c>
      <c r="BL2702" s="129" t="str">
        <f t="shared" si="1955"/>
        <v>CONVICTION</v>
      </c>
      <c r="BM2702" s="129" t="str">
        <f t="shared" si="1978"/>
        <v>NONE</v>
      </c>
      <c r="BN2702" s="129" t="s">
        <v>566</v>
      </c>
      <c r="BP2702" s="137" t="str">
        <f t="shared" si="1963"/>
        <v>CONVICTION</v>
      </c>
      <c r="BQ2702" s="128" t="str">
        <f t="shared" si="1971"/>
        <v>Y</v>
      </c>
      <c r="BR2702" s="129" t="str">
        <f t="shared" si="1979"/>
        <v>DETAINED</v>
      </c>
      <c r="BS2702" s="129" t="str">
        <f t="shared" si="1964"/>
        <v>DISPOSED</v>
      </c>
      <c r="BT2702" s="129" t="str">
        <f t="shared" si="1965"/>
        <v>N</v>
      </c>
      <c r="BU2702" s="109">
        <f t="shared" si="1966"/>
        <v>0.99685534591194969</v>
      </c>
      <c r="BV2702" s="109">
        <f t="shared" si="1980"/>
        <v>1</v>
      </c>
      <c r="BW2702" s="109">
        <f t="shared" si="1985"/>
        <v>3.1446540880503138E-3</v>
      </c>
      <c r="BX2702" s="111">
        <f t="shared" si="1967"/>
        <v>0</v>
      </c>
      <c r="BY2702" s="129">
        <f t="shared" si="1972"/>
        <v>-317</v>
      </c>
      <c r="BZ2702" s="111">
        <f t="shared" si="1973"/>
        <v>0</v>
      </c>
      <c r="CA2702" s="138">
        <f t="shared" si="1974"/>
        <v>317</v>
      </c>
      <c r="CB2702" s="111" t="e">
        <f t="shared" si="1986"/>
        <v>#VALUE!</v>
      </c>
      <c r="CC2702" s="129">
        <f t="shared" si="1987"/>
        <v>317</v>
      </c>
      <c r="CD2702" s="129">
        <f t="shared" si="1988"/>
        <v>0</v>
      </c>
      <c r="CG2702" s="129" t="str">
        <f t="shared" si="1975"/>
        <v>N</v>
      </c>
      <c r="CI2702" s="129" t="str">
        <f t="shared" si="1981"/>
        <v>121-365 DAYS</v>
      </c>
      <c r="CJ2702" s="137">
        <f t="shared" si="1982"/>
        <v>6</v>
      </c>
      <c r="CK2702" s="129" t="str">
        <f t="shared" si="1983"/>
        <v>Booked</v>
      </c>
    </row>
    <row r="2703" spans="1:89" ht="15.75" customHeight="1" x14ac:dyDescent="0.25">
      <c r="A2703" s="111">
        <v>689</v>
      </c>
      <c r="B2703" s="128" t="str">
        <f t="shared" si="1968"/>
        <v>N</v>
      </c>
      <c r="C2703" s="128" t="str">
        <f t="shared" si="1969"/>
        <v>N</v>
      </c>
      <c r="D2703" s="117">
        <v>2602013</v>
      </c>
      <c r="E2703" s="135">
        <f t="shared" si="1970"/>
        <v>6</v>
      </c>
      <c r="F2703" s="124">
        <v>40935</v>
      </c>
      <c r="G2703" s="125">
        <v>41283</v>
      </c>
      <c r="H2703" s="117">
        <v>2602013</v>
      </c>
      <c r="I2703" s="124">
        <v>40936</v>
      </c>
      <c r="J2703" s="125">
        <v>41283</v>
      </c>
      <c r="K2703" s="126">
        <v>240000</v>
      </c>
      <c r="L2703" s="129" t="s">
        <v>572</v>
      </c>
      <c r="N2703" s="129" t="str">
        <f>IF(M2703&gt;1/1/1,"Y","N")</f>
        <v>N</v>
      </c>
      <c r="O2703" s="128" t="s">
        <v>917</v>
      </c>
      <c r="P2703" s="129" t="s">
        <v>39</v>
      </c>
      <c r="Q2703" s="111">
        <f t="shared" si="1954"/>
        <v>348</v>
      </c>
      <c r="R2703" s="111">
        <f t="shared" si="1959"/>
        <v>349</v>
      </c>
      <c r="S2703" s="129">
        <v>0</v>
      </c>
      <c r="T2703" s="129">
        <v>0</v>
      </c>
      <c r="W2703" s="111"/>
      <c r="AB2703" s="131" t="s">
        <v>112</v>
      </c>
      <c r="AC2703" s="130"/>
      <c r="AD2703" s="130">
        <v>34126</v>
      </c>
      <c r="AE2703" s="128" t="s">
        <v>32</v>
      </c>
      <c r="AF2703" s="128" t="s">
        <v>40</v>
      </c>
      <c r="AG2703" s="128" t="s">
        <v>41</v>
      </c>
      <c r="AH2703" s="108" t="s">
        <v>31</v>
      </c>
      <c r="AI2703" s="128" t="s">
        <v>83</v>
      </c>
      <c r="AJ2703" s="129" t="s">
        <v>89</v>
      </c>
      <c r="AK2703" s="129">
        <v>12</v>
      </c>
      <c r="AL2703" s="3" t="s">
        <v>362</v>
      </c>
      <c r="AM2703" s="117">
        <v>12</v>
      </c>
      <c r="AP2703" s="129" t="s">
        <v>105</v>
      </c>
      <c r="AR2703" s="128" t="s">
        <v>92</v>
      </c>
      <c r="AS2703" s="129" t="s">
        <v>106</v>
      </c>
      <c r="BC2703" s="129" t="s">
        <v>52</v>
      </c>
      <c r="BF2703" s="111">
        <f t="shared" si="1984"/>
        <v>348</v>
      </c>
      <c r="BG2703" s="111">
        <f t="shared" si="1976"/>
        <v>348</v>
      </c>
      <c r="BH2703" s="111">
        <f t="shared" si="1960"/>
        <v>349</v>
      </c>
      <c r="BI2703" s="111">
        <f t="shared" si="1962"/>
        <v>18.603825136612024</v>
      </c>
      <c r="BJ2703" s="129">
        <f t="shared" si="1977"/>
        <v>0</v>
      </c>
      <c r="BK2703" s="129">
        <f t="shared" si="1961"/>
        <v>0</v>
      </c>
      <c r="BL2703" s="129" t="str">
        <f t="shared" si="1955"/>
        <v>CONVICTION</v>
      </c>
      <c r="BM2703" s="129" t="str">
        <f t="shared" si="1978"/>
        <v>NONE</v>
      </c>
      <c r="BN2703" s="129" t="s">
        <v>566</v>
      </c>
      <c r="BP2703" s="137" t="str">
        <f t="shared" si="1963"/>
        <v>CONVICTION</v>
      </c>
      <c r="BQ2703" s="128" t="str">
        <f t="shared" si="1971"/>
        <v>Y</v>
      </c>
      <c r="BR2703" s="129" t="str">
        <f t="shared" si="1979"/>
        <v>DETAINED</v>
      </c>
      <c r="BS2703" s="129" t="str">
        <f t="shared" si="1964"/>
        <v>DISPOSED</v>
      </c>
      <c r="BT2703" s="129" t="str">
        <f t="shared" si="1965"/>
        <v>N</v>
      </c>
      <c r="BU2703" s="109">
        <f t="shared" si="1966"/>
        <v>0.99713467048710602</v>
      </c>
      <c r="BV2703" s="109">
        <f t="shared" si="1980"/>
        <v>1</v>
      </c>
      <c r="BW2703" s="109">
        <f t="shared" si="1985"/>
        <v>2.8653295128939771E-3</v>
      </c>
      <c r="BX2703" s="111">
        <f t="shared" si="1967"/>
        <v>0</v>
      </c>
      <c r="BY2703" s="129">
        <f t="shared" si="1972"/>
        <v>-348</v>
      </c>
      <c r="BZ2703" s="111">
        <f t="shared" si="1973"/>
        <v>0</v>
      </c>
      <c r="CA2703" s="138">
        <f t="shared" si="1974"/>
        <v>348</v>
      </c>
      <c r="CB2703" s="111" t="e">
        <f t="shared" si="1986"/>
        <v>#VALUE!</v>
      </c>
      <c r="CC2703" s="129">
        <f t="shared" si="1987"/>
        <v>348</v>
      </c>
      <c r="CD2703" s="129">
        <f t="shared" si="1988"/>
        <v>0</v>
      </c>
      <c r="CG2703" s="129" t="str">
        <f t="shared" si="1975"/>
        <v>N</v>
      </c>
      <c r="CI2703" s="129" t="str">
        <f t="shared" si="1981"/>
        <v>121-365 DAYS</v>
      </c>
      <c r="CJ2703" s="137">
        <f t="shared" si="1982"/>
        <v>6</v>
      </c>
      <c r="CK2703" s="129" t="str">
        <f t="shared" si="1983"/>
        <v>Booked</v>
      </c>
    </row>
    <row r="2704" spans="1:89" ht="15" customHeight="1" x14ac:dyDescent="0.25">
      <c r="A2704" s="111">
        <v>699</v>
      </c>
      <c r="B2704" s="128" t="str">
        <f t="shared" si="1968"/>
        <v>N</v>
      </c>
      <c r="C2704" s="128" t="str">
        <f t="shared" si="1969"/>
        <v>N</v>
      </c>
      <c r="D2704" s="117">
        <v>2602080</v>
      </c>
      <c r="E2704" s="135">
        <f t="shared" si="1970"/>
        <v>2</v>
      </c>
      <c r="F2704" s="124">
        <v>40936</v>
      </c>
      <c r="G2704" s="125">
        <v>40938</v>
      </c>
      <c r="H2704" s="117">
        <v>2602080</v>
      </c>
      <c r="I2704" s="124">
        <v>40937</v>
      </c>
      <c r="J2704" s="124">
        <v>40938</v>
      </c>
      <c r="K2704" s="126">
        <v>2000</v>
      </c>
      <c r="L2704" s="127" t="s">
        <v>568</v>
      </c>
      <c r="N2704" s="129" t="str">
        <f>IF(M2704&gt;1/1/1,"Y","N")</f>
        <v>N</v>
      </c>
      <c r="O2704" s="128" t="s">
        <v>917</v>
      </c>
      <c r="P2704" s="129" t="s">
        <v>589</v>
      </c>
      <c r="Q2704" s="111">
        <f t="shared" si="1954"/>
        <v>2</v>
      </c>
      <c r="R2704" s="111">
        <f t="shared" si="1959"/>
        <v>3</v>
      </c>
      <c r="S2704" s="129">
        <v>0</v>
      </c>
      <c r="T2704" s="129">
        <v>0</v>
      </c>
      <c r="W2704" s="111"/>
      <c r="AC2704" s="130"/>
      <c r="AD2704" s="130">
        <v>29340</v>
      </c>
      <c r="AE2704" s="128" t="s">
        <v>32</v>
      </c>
      <c r="AF2704" s="128" t="s">
        <v>40</v>
      </c>
      <c r="AG2704" s="128" t="s">
        <v>41</v>
      </c>
      <c r="AH2704" s="108" t="s">
        <v>41</v>
      </c>
      <c r="AI2704" s="128" t="s">
        <v>65</v>
      </c>
      <c r="AJ2704" s="129" t="s">
        <v>48</v>
      </c>
      <c r="AK2704" s="129">
        <v>2</v>
      </c>
      <c r="AL2704" s="3" t="s">
        <v>48</v>
      </c>
      <c r="AP2704" s="129" t="s">
        <v>43</v>
      </c>
      <c r="AR2704" s="128" t="s">
        <v>44</v>
      </c>
      <c r="AS2704" s="129" t="s">
        <v>45</v>
      </c>
      <c r="AT2704" s="3" t="s">
        <v>239</v>
      </c>
      <c r="BC2704" s="129" t="s">
        <v>38</v>
      </c>
      <c r="BF2704" s="111">
        <f t="shared" si="1984"/>
        <v>2</v>
      </c>
      <c r="BG2704" s="111">
        <f t="shared" si="1976"/>
        <v>2</v>
      </c>
      <c r="BH2704" s="111">
        <f t="shared" si="1960"/>
        <v>3</v>
      </c>
      <c r="BI2704" s="111">
        <f t="shared" si="1962"/>
        <v>31.683060109289617</v>
      </c>
      <c r="BJ2704" s="129">
        <f t="shared" si="1977"/>
        <v>0</v>
      </c>
      <c r="BK2704" s="129">
        <f t="shared" si="1961"/>
        <v>0</v>
      </c>
      <c r="BL2704" s="129" t="str">
        <f t="shared" si="1955"/>
        <v>DEFERRED</v>
      </c>
      <c r="BM2704" s="129" t="str">
        <f t="shared" si="1978"/>
        <v>NONE</v>
      </c>
      <c r="BN2704" s="129" t="s">
        <v>566</v>
      </c>
      <c r="BP2704" s="137" t="str">
        <f t="shared" si="1963"/>
        <v>DEFERRED</v>
      </c>
      <c r="BQ2704" s="128" t="str">
        <f t="shared" si="1971"/>
        <v>Y</v>
      </c>
      <c r="BR2704" s="129" t="str">
        <f t="shared" si="1979"/>
        <v>DETAINED</v>
      </c>
      <c r="BS2704" s="129" t="str">
        <f t="shared" si="1964"/>
        <v>DISPOSED</v>
      </c>
      <c r="BT2704" s="129" t="str">
        <f t="shared" si="1965"/>
        <v>N</v>
      </c>
      <c r="BU2704" s="109">
        <f t="shared" si="1966"/>
        <v>0.66666666666666663</v>
      </c>
      <c r="BV2704" s="109">
        <f t="shared" si="1980"/>
        <v>1</v>
      </c>
      <c r="BW2704" s="109">
        <f t="shared" si="1985"/>
        <v>0.33333333333333337</v>
      </c>
      <c r="BX2704" s="111">
        <f t="shared" si="1967"/>
        <v>0</v>
      </c>
      <c r="BY2704" s="129">
        <f t="shared" si="1972"/>
        <v>-2</v>
      </c>
      <c r="BZ2704" s="111">
        <f t="shared" si="1973"/>
        <v>0</v>
      </c>
      <c r="CA2704" s="138">
        <f t="shared" si="1974"/>
        <v>2</v>
      </c>
      <c r="CB2704" s="111" t="e">
        <f t="shared" si="1986"/>
        <v>#VALUE!</v>
      </c>
      <c r="CC2704" s="129">
        <f t="shared" si="1987"/>
        <v>2</v>
      </c>
      <c r="CD2704" s="129">
        <f t="shared" si="1988"/>
        <v>0</v>
      </c>
      <c r="CG2704" s="129" t="str">
        <f t="shared" si="1975"/>
        <v>N</v>
      </c>
      <c r="CI2704" s="129" t="str">
        <f t="shared" si="1981"/>
        <v>0-10 DAYS</v>
      </c>
      <c r="CJ2704" s="137">
        <f t="shared" si="1982"/>
        <v>1</v>
      </c>
      <c r="CK2704" s="129" t="str">
        <f t="shared" si="1983"/>
        <v>Booked</v>
      </c>
    </row>
    <row r="2705" spans="1:89" ht="15.75" customHeight="1" x14ac:dyDescent="0.25">
      <c r="A2705" s="111">
        <v>703</v>
      </c>
      <c r="B2705" s="128" t="str">
        <f t="shared" si="1968"/>
        <v>N</v>
      </c>
      <c r="C2705" s="128" t="str">
        <f t="shared" si="1969"/>
        <v>N</v>
      </c>
      <c r="D2705" s="117">
        <v>2602090</v>
      </c>
      <c r="E2705" s="135">
        <f t="shared" si="1970"/>
        <v>4</v>
      </c>
      <c r="F2705" s="124">
        <v>40936</v>
      </c>
      <c r="G2705" s="125">
        <v>40974</v>
      </c>
      <c r="H2705" s="117">
        <v>2602090</v>
      </c>
      <c r="I2705" s="124">
        <v>40937</v>
      </c>
      <c r="J2705" s="124">
        <v>40974</v>
      </c>
      <c r="K2705" s="126">
        <v>2000</v>
      </c>
      <c r="L2705" s="127" t="s">
        <v>568</v>
      </c>
      <c r="N2705" s="129" t="str">
        <f>IF(M2705&gt;1/1/1,"Y","N")</f>
        <v>N</v>
      </c>
      <c r="O2705" s="128" t="s">
        <v>917</v>
      </c>
      <c r="P2705" s="129" t="s">
        <v>39</v>
      </c>
      <c r="Q2705" s="111">
        <f t="shared" si="1954"/>
        <v>38</v>
      </c>
      <c r="R2705" s="111">
        <f t="shared" si="1959"/>
        <v>39</v>
      </c>
      <c r="S2705" s="129">
        <v>0</v>
      </c>
      <c r="T2705" s="129">
        <v>0</v>
      </c>
      <c r="W2705" s="111"/>
      <c r="AB2705" s="131" t="s">
        <v>112</v>
      </c>
      <c r="AC2705" s="130"/>
      <c r="AD2705" s="130">
        <v>34519</v>
      </c>
      <c r="AE2705" s="128" t="s">
        <v>32</v>
      </c>
      <c r="AF2705" s="128" t="s">
        <v>40</v>
      </c>
      <c r="AG2705" s="128" t="s">
        <v>41</v>
      </c>
      <c r="AH2705" s="108" t="s">
        <v>31</v>
      </c>
      <c r="AI2705" s="128" t="s">
        <v>72</v>
      </c>
      <c r="AJ2705" s="129" t="s">
        <v>89</v>
      </c>
      <c r="AK2705" s="129">
        <v>3</v>
      </c>
      <c r="AL2705" s="3" t="s">
        <v>991</v>
      </c>
      <c r="AO2705" s="128">
        <v>180</v>
      </c>
      <c r="AP2705" s="129" t="s">
        <v>108</v>
      </c>
      <c r="AR2705" s="128" t="s">
        <v>44</v>
      </c>
      <c r="AS2705" s="129" t="s">
        <v>61</v>
      </c>
      <c r="AU2705" s="121"/>
      <c r="AV2705" s="121"/>
      <c r="AX2705" s="32"/>
      <c r="BC2705" s="129" t="s">
        <v>38</v>
      </c>
      <c r="BD2705" s="3"/>
      <c r="BF2705" s="111">
        <f t="shared" si="1984"/>
        <v>38</v>
      </c>
      <c r="BG2705" s="111">
        <f t="shared" si="1976"/>
        <v>38</v>
      </c>
      <c r="BH2705" s="111">
        <f t="shared" si="1960"/>
        <v>39</v>
      </c>
      <c r="BI2705" s="111">
        <f t="shared" si="1962"/>
        <v>17.532786885245901</v>
      </c>
      <c r="BJ2705" s="129">
        <f t="shared" si="1977"/>
        <v>0</v>
      </c>
      <c r="BK2705" s="129">
        <f t="shared" si="1961"/>
        <v>0</v>
      </c>
      <c r="BL2705" s="129" t="str">
        <f t="shared" si="1955"/>
        <v>CONVICTION</v>
      </c>
      <c r="BM2705" s="129" t="str">
        <f t="shared" si="1978"/>
        <v>NONE</v>
      </c>
      <c r="BN2705" s="129" t="s">
        <v>566</v>
      </c>
      <c r="BP2705" s="137" t="str">
        <f t="shared" si="1963"/>
        <v>CONVICTION</v>
      </c>
      <c r="BQ2705" s="128" t="str">
        <f t="shared" si="1971"/>
        <v>Y</v>
      </c>
      <c r="BR2705" s="129" t="str">
        <f t="shared" si="1979"/>
        <v>DETAINED</v>
      </c>
      <c r="BS2705" s="129" t="str">
        <f t="shared" si="1964"/>
        <v>DISPOSED</v>
      </c>
      <c r="BT2705" s="129" t="str">
        <f t="shared" si="1965"/>
        <v>N</v>
      </c>
      <c r="BU2705" s="109">
        <f t="shared" si="1966"/>
        <v>0.97435897435897434</v>
      </c>
      <c r="BV2705" s="109">
        <f t="shared" si="1980"/>
        <v>1</v>
      </c>
      <c r="BW2705" s="109">
        <f t="shared" si="1985"/>
        <v>2.5641025641025661E-2</v>
      </c>
      <c r="BX2705" s="111">
        <f t="shared" si="1967"/>
        <v>0</v>
      </c>
      <c r="BY2705" s="129">
        <f t="shared" si="1972"/>
        <v>-38</v>
      </c>
      <c r="BZ2705" s="111">
        <f t="shared" si="1973"/>
        <v>0</v>
      </c>
      <c r="CA2705" s="138">
        <f t="shared" si="1974"/>
        <v>38</v>
      </c>
      <c r="CB2705" s="111" t="e">
        <f t="shared" si="1986"/>
        <v>#VALUE!</v>
      </c>
      <c r="CC2705" s="129">
        <f t="shared" si="1987"/>
        <v>38</v>
      </c>
      <c r="CD2705" s="129">
        <f t="shared" si="1988"/>
        <v>0</v>
      </c>
      <c r="CG2705" s="129" t="str">
        <f t="shared" si="1975"/>
        <v>N</v>
      </c>
      <c r="CI2705" s="129" t="str">
        <f t="shared" si="1981"/>
        <v>31-60 DAYS</v>
      </c>
      <c r="CJ2705" s="137">
        <f t="shared" si="1982"/>
        <v>3</v>
      </c>
      <c r="CK2705" s="129" t="str">
        <f t="shared" si="1983"/>
        <v>Booked</v>
      </c>
    </row>
    <row r="2706" spans="1:89" ht="15" customHeight="1" x14ac:dyDescent="0.25">
      <c r="A2706" s="111">
        <v>705</v>
      </c>
      <c r="B2706" s="128" t="str">
        <f t="shared" si="1968"/>
        <v>N</v>
      </c>
      <c r="C2706" s="128" t="str">
        <f t="shared" si="1969"/>
        <v>N</v>
      </c>
      <c r="D2706" s="117">
        <v>2602094</v>
      </c>
      <c r="E2706" s="135">
        <f t="shared" si="1970"/>
        <v>1</v>
      </c>
      <c r="F2706" s="124">
        <v>40936</v>
      </c>
      <c r="G2706" s="125">
        <v>41404</v>
      </c>
      <c r="H2706" s="117">
        <v>2602094</v>
      </c>
      <c r="I2706" s="124" t="s">
        <v>562</v>
      </c>
      <c r="J2706" s="124" t="s">
        <v>562</v>
      </c>
      <c r="K2706" s="126">
        <v>5000</v>
      </c>
      <c r="L2706" s="127" t="s">
        <v>569</v>
      </c>
      <c r="M2706" s="125">
        <v>40937</v>
      </c>
      <c r="N2706" s="129" t="str">
        <f>IF(M2706&gt;1/1/1,"Y",IF(Q2706="NOT BOOKED","","N"))</f>
        <v>Y</v>
      </c>
      <c r="O2706" s="128" t="s">
        <v>76</v>
      </c>
      <c r="P2706" s="129" t="s">
        <v>241</v>
      </c>
      <c r="Q2706" s="111">
        <v>0</v>
      </c>
      <c r="R2706" s="111">
        <f t="shared" si="1959"/>
        <v>469</v>
      </c>
      <c r="S2706" s="129">
        <v>0</v>
      </c>
      <c r="T2706" s="129">
        <v>0</v>
      </c>
      <c r="W2706" s="111"/>
      <c r="AC2706" s="130"/>
      <c r="AD2706" s="130">
        <v>22113</v>
      </c>
      <c r="AE2706" s="128" t="s">
        <v>32</v>
      </c>
      <c r="AF2706" s="128" t="s">
        <v>33</v>
      </c>
      <c r="AG2706" s="128" t="s">
        <v>872</v>
      </c>
      <c r="AH2706" s="108" t="s">
        <v>31</v>
      </c>
      <c r="AI2706" s="128" t="s">
        <v>62</v>
      </c>
      <c r="AJ2706" s="129" t="s">
        <v>55</v>
      </c>
      <c r="AK2706" s="129">
        <v>5</v>
      </c>
      <c r="AL2706" s="3" t="s">
        <v>55</v>
      </c>
      <c r="AP2706" s="129" t="s">
        <v>136</v>
      </c>
      <c r="AR2706" s="128" t="s">
        <v>67</v>
      </c>
      <c r="AS2706" s="129" t="s">
        <v>64</v>
      </c>
      <c r="AT2706" s="129" t="s">
        <v>1138</v>
      </c>
      <c r="BC2706" s="129" t="s">
        <v>52</v>
      </c>
      <c r="BF2706" s="111">
        <v>0</v>
      </c>
      <c r="BG2706" s="111" t="e">
        <f t="shared" si="1976"/>
        <v>#VALUE!</v>
      </c>
      <c r="BH2706" s="111">
        <f t="shared" si="1960"/>
        <v>469</v>
      </c>
      <c r="BI2706" s="111">
        <f t="shared" si="1962"/>
        <v>51.428961748633881</v>
      </c>
      <c r="BJ2706" s="129" t="e">
        <f>(G2706-J2706)+(M2706-G2706)</f>
        <v>#VALUE!</v>
      </c>
      <c r="BK2706" s="129" t="e">
        <f t="shared" si="1961"/>
        <v>#VALUE!</v>
      </c>
      <c r="BL2706" s="129" t="str">
        <f t="shared" si="1955"/>
        <v>NO CONVICTION</v>
      </c>
      <c r="BM2706" s="129" t="s">
        <v>76</v>
      </c>
      <c r="BN2706" s="129" t="s">
        <v>566</v>
      </c>
      <c r="BP2706" s="137" t="str">
        <f t="shared" si="1963"/>
        <v>NO CONVICTION</v>
      </c>
      <c r="BQ2706" s="128">
        <f t="shared" si="1971"/>
        <v>0</v>
      </c>
      <c r="BR2706" s="129" t="s">
        <v>575</v>
      </c>
      <c r="BS2706" s="129" t="str">
        <f t="shared" si="1964"/>
        <v>DISPOSED</v>
      </c>
      <c r="BT2706" s="129" t="str">
        <f t="shared" si="1965"/>
        <v>N</v>
      </c>
      <c r="BU2706" s="109">
        <f>IFERROR(Q2706/R2706,BR2706)</f>
        <v>0</v>
      </c>
      <c r="BV2706" s="109">
        <v>0</v>
      </c>
      <c r="BW2706" s="109">
        <f t="shared" si="1985"/>
        <v>0</v>
      </c>
      <c r="BX2706" s="111">
        <f t="shared" si="1967"/>
        <v>0</v>
      </c>
      <c r="BY2706" s="129" t="e">
        <f t="shared" si="1972"/>
        <v>#VALUE!</v>
      </c>
      <c r="BZ2706" s="111" t="e">
        <f t="shared" si="1973"/>
        <v>#VALUE!</v>
      </c>
      <c r="CA2706" s="138" t="e">
        <f t="shared" si="1974"/>
        <v>#VALUE!</v>
      </c>
      <c r="CB2706" s="111" t="s">
        <v>562</v>
      </c>
      <c r="CC2706" s="129">
        <v>0</v>
      </c>
      <c r="CD2706" s="111">
        <f>CC2706-BF2706</f>
        <v>0</v>
      </c>
      <c r="CG2706" s="129" t="str">
        <f t="shared" si="1975"/>
        <v>N</v>
      </c>
      <c r="CI2706" s="129" t="str">
        <f t="shared" si="1981"/>
        <v>0-10 DAYS</v>
      </c>
      <c r="CJ2706" s="137">
        <f t="shared" si="1982"/>
        <v>1</v>
      </c>
      <c r="CK2706" s="129" t="str">
        <f t="shared" si="1983"/>
        <v>Not Booked</v>
      </c>
    </row>
    <row r="2707" spans="1:89" ht="15" customHeight="1" x14ac:dyDescent="0.25">
      <c r="A2707" s="111">
        <v>708</v>
      </c>
      <c r="B2707" s="128" t="str">
        <f t="shared" si="1968"/>
        <v>N</v>
      </c>
      <c r="C2707" s="128" t="str">
        <f t="shared" si="1969"/>
        <v>N</v>
      </c>
      <c r="D2707" s="117">
        <v>2602099</v>
      </c>
      <c r="E2707" s="135">
        <f t="shared" si="1970"/>
        <v>6</v>
      </c>
      <c r="F2707" s="124">
        <v>40936</v>
      </c>
      <c r="G2707" s="125">
        <v>41081</v>
      </c>
      <c r="H2707" s="117">
        <v>2602099</v>
      </c>
      <c r="I2707" s="124">
        <v>40937</v>
      </c>
      <c r="J2707" s="124">
        <v>40941</v>
      </c>
      <c r="K2707" s="126">
        <v>40000</v>
      </c>
      <c r="L2707" s="129" t="s">
        <v>572</v>
      </c>
      <c r="M2707" s="125">
        <v>40941</v>
      </c>
      <c r="N2707" s="129" t="str">
        <f>IF(M2707&gt;1/1/1,"Y","N")</f>
        <v>Y</v>
      </c>
      <c r="O2707" s="128" t="s">
        <v>76</v>
      </c>
      <c r="P2707" s="129" t="s">
        <v>39</v>
      </c>
      <c r="Q2707" s="111">
        <f t="shared" si="1954"/>
        <v>5</v>
      </c>
      <c r="R2707" s="111">
        <f t="shared" si="1959"/>
        <v>146</v>
      </c>
      <c r="S2707" s="129">
        <v>0</v>
      </c>
      <c r="T2707" s="129">
        <v>0</v>
      </c>
      <c r="W2707" s="111"/>
      <c r="AB2707" s="131" t="s">
        <v>112</v>
      </c>
      <c r="AC2707" s="130"/>
      <c r="AD2707" s="130">
        <v>34482</v>
      </c>
      <c r="AE2707" s="128" t="s">
        <v>32</v>
      </c>
      <c r="AF2707" s="128" t="s">
        <v>40</v>
      </c>
      <c r="AG2707" s="128" t="s">
        <v>41</v>
      </c>
      <c r="AH2707" s="108" t="s">
        <v>31</v>
      </c>
      <c r="AI2707" s="128" t="s">
        <v>113</v>
      </c>
      <c r="AJ2707" s="129" t="s">
        <v>89</v>
      </c>
      <c r="AK2707" s="129">
        <v>6</v>
      </c>
      <c r="AL2707" s="3" t="s">
        <v>362</v>
      </c>
      <c r="AM2707" s="117">
        <v>15</v>
      </c>
      <c r="AP2707" s="129" t="s">
        <v>105</v>
      </c>
      <c r="AR2707" s="128" t="s">
        <v>92</v>
      </c>
      <c r="AS2707" s="129" t="s">
        <v>106</v>
      </c>
      <c r="BC2707" s="129" t="s">
        <v>52</v>
      </c>
      <c r="BF2707" s="111">
        <f t="shared" ref="BF2707:BF2712" si="1989">IF(J2707&gt;1/1/1900,((J2707+1)-I2707),"STILL OPEN")</f>
        <v>5</v>
      </c>
      <c r="BG2707" s="111">
        <f t="shared" si="1976"/>
        <v>145</v>
      </c>
      <c r="BH2707" s="111">
        <f t="shared" si="1960"/>
        <v>146</v>
      </c>
      <c r="BI2707" s="111">
        <f t="shared" si="1962"/>
        <v>17.633879781420767</v>
      </c>
      <c r="BJ2707" s="129">
        <f>(G2707-J2707)+(M2707-G2707)</f>
        <v>0</v>
      </c>
      <c r="BK2707" s="129">
        <f t="shared" si="1961"/>
        <v>-140</v>
      </c>
      <c r="BL2707" s="129" t="str">
        <f t="shared" si="1955"/>
        <v>CONVICTION</v>
      </c>
      <c r="BM2707" s="129" t="s">
        <v>76</v>
      </c>
      <c r="BN2707" s="129" t="s">
        <v>88</v>
      </c>
      <c r="BP2707" s="137" t="str">
        <f t="shared" si="1963"/>
        <v>CONVICTION</v>
      </c>
      <c r="BQ2707" s="128" t="str">
        <f t="shared" si="1971"/>
        <v>Y</v>
      </c>
      <c r="BR2707" s="129" t="str">
        <f>IF(J2707&lt;G2707,"ON BOND",0)</f>
        <v>ON BOND</v>
      </c>
      <c r="BS2707" s="129" t="str">
        <f t="shared" si="1964"/>
        <v>DISPOSED</v>
      </c>
      <c r="BT2707" s="129" t="str">
        <f t="shared" si="1965"/>
        <v>N</v>
      </c>
      <c r="BU2707" s="109">
        <f t="shared" si="1966"/>
        <v>3.4246575342465752E-2</v>
      </c>
      <c r="BV2707" s="109">
        <f t="shared" si="1980"/>
        <v>3.4482758620689655E-2</v>
      </c>
      <c r="BW2707" s="109">
        <f t="shared" si="1985"/>
        <v>2.3618327822390317E-4</v>
      </c>
      <c r="BX2707" s="111">
        <f t="shared" si="1967"/>
        <v>0</v>
      </c>
      <c r="BY2707" s="129">
        <f t="shared" si="1972"/>
        <v>-5</v>
      </c>
      <c r="BZ2707" s="111">
        <f t="shared" si="1973"/>
        <v>0</v>
      </c>
      <c r="CA2707" s="138">
        <f t="shared" si="1974"/>
        <v>5</v>
      </c>
      <c r="CB2707" s="111" t="e">
        <f t="shared" ref="CB2707:CB2712" si="1990">IF(AF2707&gt;1/1/1900,((AF2707+1)-AE2707),"STILL OPEN")</f>
        <v>#VALUE!</v>
      </c>
      <c r="CC2707" s="129">
        <f>M2707-I2707+1</f>
        <v>5</v>
      </c>
      <c r="CD2707" s="111">
        <f>CC2707-BF2707</f>
        <v>0</v>
      </c>
      <c r="CG2707" s="129" t="str">
        <f t="shared" si="1975"/>
        <v>N</v>
      </c>
      <c r="CI2707" s="129" t="str">
        <f t="shared" si="1981"/>
        <v>0-10 DAYS</v>
      </c>
      <c r="CJ2707" s="137">
        <f t="shared" si="1982"/>
        <v>1</v>
      </c>
      <c r="CK2707" s="129" t="str">
        <f t="shared" si="1983"/>
        <v>Booked</v>
      </c>
    </row>
    <row r="2708" spans="1:89" ht="15.75" customHeight="1" x14ac:dyDescent="0.25">
      <c r="A2708" s="111">
        <v>2187</v>
      </c>
      <c r="B2708" s="128" t="str">
        <f t="shared" si="1968"/>
        <v>N</v>
      </c>
      <c r="C2708" s="128" t="str">
        <f t="shared" si="1969"/>
        <v>N</v>
      </c>
      <c r="D2708" s="117">
        <v>2602102</v>
      </c>
      <c r="E2708" s="135">
        <f t="shared" si="1970"/>
        <v>2</v>
      </c>
      <c r="F2708" s="124">
        <v>40990</v>
      </c>
      <c r="G2708" s="125">
        <v>40994</v>
      </c>
      <c r="H2708" s="117">
        <v>2602102</v>
      </c>
      <c r="I2708" s="124">
        <v>40991</v>
      </c>
      <c r="J2708" s="124">
        <v>40994</v>
      </c>
      <c r="K2708" s="126">
        <v>10000</v>
      </c>
      <c r="L2708" s="127" t="s">
        <v>570</v>
      </c>
      <c r="N2708" s="129" t="str">
        <f>IF(M2708&gt;1/1/1,"Y","N")</f>
        <v>N</v>
      </c>
      <c r="O2708" s="128" t="s">
        <v>917</v>
      </c>
      <c r="P2708" s="129" t="s">
        <v>589</v>
      </c>
      <c r="Q2708" s="111">
        <f t="shared" ref="Q2708:Q2738" si="1991">BF2708</f>
        <v>4</v>
      </c>
      <c r="R2708" s="111">
        <f t="shared" si="1959"/>
        <v>5</v>
      </c>
      <c r="S2708" s="129">
        <v>0</v>
      </c>
      <c r="T2708" s="129">
        <v>1</v>
      </c>
      <c r="W2708" s="111"/>
      <c r="AC2708" s="130"/>
      <c r="AD2708" s="130">
        <v>31891</v>
      </c>
      <c r="AE2708" s="128" t="s">
        <v>32</v>
      </c>
      <c r="AF2708" s="128" t="s">
        <v>33</v>
      </c>
      <c r="AG2708" s="128" t="s">
        <v>872</v>
      </c>
      <c r="AH2708" s="108" t="s">
        <v>31</v>
      </c>
      <c r="AI2708" s="128" t="s">
        <v>71</v>
      </c>
      <c r="AJ2708" s="129" t="s">
        <v>48</v>
      </c>
      <c r="AK2708" s="129">
        <v>1</v>
      </c>
      <c r="AL2708" s="3" t="s">
        <v>48</v>
      </c>
      <c r="AP2708" s="129" t="s">
        <v>191</v>
      </c>
      <c r="AR2708" s="128" t="s">
        <v>50</v>
      </c>
      <c r="AS2708" s="129" t="s">
        <v>82</v>
      </c>
      <c r="AT2708" s="32" t="s">
        <v>1308</v>
      </c>
      <c r="BC2708" s="129" t="s">
        <v>79</v>
      </c>
      <c r="BF2708" s="111">
        <f t="shared" si="1989"/>
        <v>4</v>
      </c>
      <c r="BG2708" s="111">
        <f t="shared" si="1976"/>
        <v>4</v>
      </c>
      <c r="BH2708" s="111">
        <f t="shared" si="1960"/>
        <v>5</v>
      </c>
      <c r="BI2708" s="111">
        <f t="shared" si="1962"/>
        <v>24.860655737704917</v>
      </c>
      <c r="BJ2708" s="129">
        <f t="shared" si="1977"/>
        <v>0</v>
      </c>
      <c r="BK2708" s="129">
        <f t="shared" si="1961"/>
        <v>0</v>
      </c>
      <c r="BL2708" s="129" t="str">
        <f t="shared" si="1955"/>
        <v>DEFERRED</v>
      </c>
      <c r="BM2708" s="129" t="str">
        <f t="shared" si="1978"/>
        <v>NONE</v>
      </c>
      <c r="BN2708" s="129" t="s">
        <v>566</v>
      </c>
      <c r="BP2708" s="137" t="str">
        <f t="shared" si="1963"/>
        <v>DEFERRED</v>
      </c>
      <c r="BQ2708" s="128" t="str">
        <f t="shared" si="1971"/>
        <v>Y</v>
      </c>
      <c r="BR2708" s="129" t="str">
        <f t="shared" si="1979"/>
        <v>DETAINED</v>
      </c>
      <c r="BS2708" s="129" t="str">
        <f t="shared" si="1964"/>
        <v>DISPOSED</v>
      </c>
      <c r="BT2708" s="129" t="str">
        <f t="shared" si="1965"/>
        <v>N</v>
      </c>
      <c r="BU2708" s="109">
        <f t="shared" si="1966"/>
        <v>0.8</v>
      </c>
      <c r="BV2708" s="109">
        <f t="shared" si="1980"/>
        <v>1</v>
      </c>
      <c r="BW2708" s="109">
        <f t="shared" si="1985"/>
        <v>0.19999999999999996</v>
      </c>
      <c r="BX2708" s="111">
        <f t="shared" si="1967"/>
        <v>0</v>
      </c>
      <c r="BY2708" s="129">
        <f t="shared" si="1972"/>
        <v>-4</v>
      </c>
      <c r="BZ2708" s="111">
        <f t="shared" si="1973"/>
        <v>0</v>
      </c>
      <c r="CA2708" s="138">
        <f t="shared" si="1974"/>
        <v>4</v>
      </c>
      <c r="CB2708" s="111" t="e">
        <f t="shared" si="1990"/>
        <v>#VALUE!</v>
      </c>
      <c r="CC2708" s="129">
        <f>G2708-I2708+1</f>
        <v>4</v>
      </c>
      <c r="CD2708" s="129">
        <f>G2708-J2708</f>
        <v>0</v>
      </c>
      <c r="CG2708" s="129" t="str">
        <f t="shared" si="1975"/>
        <v>Y</v>
      </c>
      <c r="CI2708" s="129" t="str">
        <f t="shared" si="1981"/>
        <v>0-10 DAYS</v>
      </c>
      <c r="CJ2708" s="137">
        <f t="shared" si="1982"/>
        <v>1</v>
      </c>
      <c r="CK2708" s="129" t="str">
        <f t="shared" si="1983"/>
        <v>Booked</v>
      </c>
    </row>
    <row r="2709" spans="1:89" ht="15.75" customHeight="1" x14ac:dyDescent="0.25">
      <c r="A2709" s="111">
        <v>712</v>
      </c>
      <c r="B2709" s="128" t="str">
        <f t="shared" si="1968"/>
        <v>N</v>
      </c>
      <c r="C2709" s="128" t="str">
        <f t="shared" si="1969"/>
        <v>N</v>
      </c>
      <c r="D2709" s="117">
        <v>2602104</v>
      </c>
      <c r="E2709" s="135">
        <f t="shared" si="1970"/>
        <v>2</v>
      </c>
      <c r="F2709" s="124">
        <v>40936</v>
      </c>
      <c r="G2709" s="125">
        <v>41117</v>
      </c>
      <c r="H2709" s="117">
        <v>2602104</v>
      </c>
      <c r="I2709" s="124">
        <v>40937</v>
      </c>
      <c r="J2709" s="124">
        <v>40941</v>
      </c>
      <c r="K2709" s="126">
        <v>10000</v>
      </c>
      <c r="L2709" s="127" t="s">
        <v>570</v>
      </c>
      <c r="M2709" s="125">
        <v>40941</v>
      </c>
      <c r="N2709" s="129" t="str">
        <f>IF(M2709&gt;1/1/1,"Y","N")</f>
        <v>Y</v>
      </c>
      <c r="O2709" s="128" t="s">
        <v>585</v>
      </c>
      <c r="P2709" s="129" t="s">
        <v>589</v>
      </c>
      <c r="Q2709" s="111">
        <f t="shared" si="1991"/>
        <v>5</v>
      </c>
      <c r="R2709" s="111">
        <f t="shared" si="1959"/>
        <v>182</v>
      </c>
      <c r="S2709" s="129">
        <v>0</v>
      </c>
      <c r="T2709" s="129">
        <v>0</v>
      </c>
      <c r="W2709" s="111"/>
      <c r="AB2709" s="131" t="s">
        <v>112</v>
      </c>
      <c r="AC2709" s="130"/>
      <c r="AD2709" s="130">
        <v>34174</v>
      </c>
      <c r="AE2709" s="128" t="s">
        <v>32</v>
      </c>
      <c r="AF2709" s="128" t="s">
        <v>40</v>
      </c>
      <c r="AG2709" s="128" t="s">
        <v>41</v>
      </c>
      <c r="AH2709" s="108" t="s">
        <v>31</v>
      </c>
      <c r="AI2709" s="128" t="s">
        <v>70</v>
      </c>
      <c r="AJ2709" s="129" t="s">
        <v>48</v>
      </c>
      <c r="AK2709" s="129">
        <v>9</v>
      </c>
      <c r="AL2709" s="3" t="s">
        <v>48</v>
      </c>
      <c r="AP2709" s="129" t="s">
        <v>107</v>
      </c>
      <c r="AR2709" s="128" t="s">
        <v>44</v>
      </c>
      <c r="AS2709" s="129" t="s">
        <v>57</v>
      </c>
      <c r="BC2709" s="129" t="s">
        <v>38</v>
      </c>
      <c r="BF2709" s="111">
        <f t="shared" si="1989"/>
        <v>5</v>
      </c>
      <c r="BG2709" s="111">
        <f t="shared" si="1976"/>
        <v>181</v>
      </c>
      <c r="BH2709" s="111">
        <f t="shared" si="1960"/>
        <v>182</v>
      </c>
      <c r="BI2709" s="111">
        <f t="shared" si="1962"/>
        <v>18.475409836065573</v>
      </c>
      <c r="BJ2709" s="129">
        <f>(G2709-J2709)+(M2709-G2709)</f>
        <v>0</v>
      </c>
      <c r="BK2709" s="129">
        <f t="shared" si="1961"/>
        <v>-176</v>
      </c>
      <c r="BL2709" s="129" t="str">
        <f t="shared" si="1955"/>
        <v>DEFERRED</v>
      </c>
      <c r="BM2709" s="129" t="s">
        <v>76</v>
      </c>
      <c r="BN2709" s="129" t="s">
        <v>88</v>
      </c>
      <c r="BP2709" s="137" t="str">
        <f t="shared" si="1963"/>
        <v>DEFERRED</v>
      </c>
      <c r="BQ2709" s="128" t="str">
        <f t="shared" si="1971"/>
        <v>Y</v>
      </c>
      <c r="BR2709" s="129" t="str">
        <f t="shared" si="1979"/>
        <v>ON BOND</v>
      </c>
      <c r="BS2709" s="129" t="str">
        <f t="shared" si="1964"/>
        <v>DISPOSED</v>
      </c>
      <c r="BT2709" s="129" t="str">
        <f t="shared" si="1965"/>
        <v>N</v>
      </c>
      <c r="BU2709" s="109">
        <f t="shared" si="1966"/>
        <v>2.7472527472527472E-2</v>
      </c>
      <c r="BV2709" s="109">
        <f t="shared" si="1980"/>
        <v>2.7624309392265192E-2</v>
      </c>
      <c r="BW2709" s="109">
        <f t="shared" si="1985"/>
        <v>1.5178191973772015E-4</v>
      </c>
      <c r="BX2709" s="111">
        <f t="shared" si="1967"/>
        <v>0</v>
      </c>
      <c r="BY2709" s="129">
        <f t="shared" si="1972"/>
        <v>-5</v>
      </c>
      <c r="BZ2709" s="111">
        <f t="shared" si="1973"/>
        <v>0</v>
      </c>
      <c r="CA2709" s="138">
        <f t="shared" si="1974"/>
        <v>5</v>
      </c>
      <c r="CB2709" s="111" t="e">
        <f t="shared" si="1990"/>
        <v>#VALUE!</v>
      </c>
      <c r="CC2709" s="129">
        <f>M2709-I2709+1</f>
        <v>5</v>
      </c>
      <c r="CD2709" s="111">
        <f>CC2709-BF2709</f>
        <v>0</v>
      </c>
      <c r="CG2709" s="129" t="str">
        <f t="shared" si="1975"/>
        <v>N</v>
      </c>
      <c r="CI2709" s="129" t="str">
        <f t="shared" si="1981"/>
        <v>0-10 DAYS</v>
      </c>
      <c r="CJ2709" s="137">
        <f t="shared" si="1982"/>
        <v>1</v>
      </c>
      <c r="CK2709" s="129" t="str">
        <f t="shared" si="1983"/>
        <v>Booked</v>
      </c>
    </row>
    <row r="2710" spans="1:89" ht="15" customHeight="1" x14ac:dyDescent="0.25">
      <c r="A2710" s="111">
        <v>724</v>
      </c>
      <c r="B2710" s="128" t="str">
        <f t="shared" si="1968"/>
        <v>N</v>
      </c>
      <c r="C2710" s="128" t="str">
        <f t="shared" si="1969"/>
        <v>N</v>
      </c>
      <c r="D2710" s="117">
        <v>2602126</v>
      </c>
      <c r="E2710" s="135">
        <f t="shared" si="1970"/>
        <v>1</v>
      </c>
      <c r="F2710" s="124">
        <v>40937</v>
      </c>
      <c r="G2710" s="125">
        <v>40938</v>
      </c>
      <c r="H2710" s="117">
        <v>2602126</v>
      </c>
      <c r="I2710" s="124">
        <v>40937</v>
      </c>
      <c r="J2710" s="124">
        <v>40938</v>
      </c>
      <c r="K2710" s="126" t="s">
        <v>564</v>
      </c>
      <c r="L2710" s="127" t="s">
        <v>564</v>
      </c>
      <c r="N2710" s="129" t="s">
        <v>566</v>
      </c>
      <c r="O2710" s="128" t="s">
        <v>917</v>
      </c>
      <c r="P2710" s="129" t="s">
        <v>55</v>
      </c>
      <c r="Q2710" s="111">
        <f t="shared" si="1991"/>
        <v>2</v>
      </c>
      <c r="R2710" s="111">
        <f t="shared" si="1959"/>
        <v>2</v>
      </c>
      <c r="S2710" s="129">
        <v>0</v>
      </c>
      <c r="T2710" s="129">
        <v>0</v>
      </c>
      <c r="W2710" s="111"/>
      <c r="AC2710" s="130"/>
      <c r="AD2710" s="130">
        <v>29120</v>
      </c>
      <c r="AE2710" s="128" t="s">
        <v>46</v>
      </c>
      <c r="AF2710" s="128" t="s">
        <v>33</v>
      </c>
      <c r="AG2710" s="128" t="s">
        <v>872</v>
      </c>
      <c r="AH2710" s="108" t="s">
        <v>31</v>
      </c>
      <c r="AI2710" s="128" t="s">
        <v>59</v>
      </c>
      <c r="AJ2710" s="129" t="s">
        <v>55</v>
      </c>
      <c r="AK2710" s="129">
        <v>1</v>
      </c>
      <c r="AL2710" s="3" t="s">
        <v>55</v>
      </c>
      <c r="AP2710" s="129" t="s">
        <v>110</v>
      </c>
      <c r="AR2710" s="128" t="s">
        <v>50</v>
      </c>
      <c r="AS2710" s="129" t="s">
        <v>74</v>
      </c>
      <c r="BC2710" s="129" t="s">
        <v>79</v>
      </c>
      <c r="BF2710" s="111">
        <f t="shared" si="1989"/>
        <v>2</v>
      </c>
      <c r="BG2710" s="111">
        <f t="shared" si="1976"/>
        <v>2</v>
      </c>
      <c r="BH2710" s="111">
        <f t="shared" si="1960"/>
        <v>2</v>
      </c>
      <c r="BI2710" s="111">
        <f t="shared" si="1962"/>
        <v>32.286885245901637</v>
      </c>
      <c r="BJ2710" s="129">
        <f t="shared" si="1977"/>
        <v>0</v>
      </c>
      <c r="BK2710" s="129">
        <f t="shared" si="1961"/>
        <v>0</v>
      </c>
      <c r="BL2710" s="129" t="str">
        <f t="shared" si="1955"/>
        <v>NO CONVICTION</v>
      </c>
      <c r="BM2710" s="129" t="str">
        <f t="shared" si="1978"/>
        <v>NONE</v>
      </c>
      <c r="BN2710" s="129" t="s">
        <v>566</v>
      </c>
      <c r="BP2710" s="137" t="str">
        <f t="shared" si="1963"/>
        <v>NO CONVICTION</v>
      </c>
      <c r="BQ2710" s="128" t="str">
        <f t="shared" si="1971"/>
        <v>Y</v>
      </c>
      <c r="BR2710" s="129" t="str">
        <f t="shared" si="1979"/>
        <v>DETAINED</v>
      </c>
      <c r="BS2710" s="129" t="str">
        <f t="shared" si="1964"/>
        <v>DISPOSED</v>
      </c>
      <c r="BT2710" s="129" t="str">
        <f t="shared" si="1965"/>
        <v>N</v>
      </c>
      <c r="BU2710" s="109">
        <f>IFERROR(Q2710/R2710,BR2710)</f>
        <v>1</v>
      </c>
      <c r="BV2710" s="109">
        <f t="shared" si="1980"/>
        <v>1</v>
      </c>
      <c r="BW2710" s="109">
        <f t="shared" si="1985"/>
        <v>0</v>
      </c>
      <c r="BX2710" s="111">
        <f t="shared" si="1967"/>
        <v>0</v>
      </c>
      <c r="BY2710" s="129">
        <f t="shared" si="1972"/>
        <v>-2</v>
      </c>
      <c r="BZ2710" s="111">
        <f t="shared" si="1973"/>
        <v>0</v>
      </c>
      <c r="CA2710" s="138">
        <f t="shared" si="1974"/>
        <v>2</v>
      </c>
      <c r="CB2710" s="111" t="e">
        <f t="shared" si="1990"/>
        <v>#VALUE!</v>
      </c>
      <c r="CC2710" s="129">
        <f>G2710-I2710+1</f>
        <v>2</v>
      </c>
      <c r="CD2710" s="129">
        <f>G2710-J2710</f>
        <v>0</v>
      </c>
      <c r="CG2710" s="129" t="str">
        <f t="shared" si="1975"/>
        <v>N</v>
      </c>
      <c r="CI2710" s="129" t="str">
        <f t="shared" si="1981"/>
        <v>0-10 DAYS</v>
      </c>
      <c r="CJ2710" s="137">
        <f t="shared" si="1982"/>
        <v>1</v>
      </c>
      <c r="CK2710" s="129" t="str">
        <f t="shared" si="1983"/>
        <v>Booked</v>
      </c>
    </row>
    <row r="2711" spans="1:89" ht="15.75" customHeight="1" x14ac:dyDescent="0.25">
      <c r="A2711" s="111">
        <v>734</v>
      </c>
      <c r="B2711" s="128" t="str">
        <f t="shared" si="1968"/>
        <v>N</v>
      </c>
      <c r="C2711" s="128" t="str">
        <f t="shared" si="1969"/>
        <v>N</v>
      </c>
      <c r="D2711" s="117">
        <v>2602198</v>
      </c>
      <c r="E2711" s="135">
        <f t="shared" si="1970"/>
        <v>1</v>
      </c>
      <c r="F2711" s="124">
        <v>40937</v>
      </c>
      <c r="G2711" s="125">
        <v>41073</v>
      </c>
      <c r="H2711" s="117">
        <v>2602198</v>
      </c>
      <c r="I2711" s="124">
        <v>40937</v>
      </c>
      <c r="J2711" s="124">
        <v>40938</v>
      </c>
      <c r="K2711" s="126">
        <v>2000</v>
      </c>
      <c r="L2711" s="127" t="s">
        <v>568</v>
      </c>
      <c r="M2711" s="125">
        <v>40938</v>
      </c>
      <c r="N2711" s="129" t="str">
        <f>IF(M2711&gt;1/1/1,"Y","N")</f>
        <v>Y</v>
      </c>
      <c r="O2711" s="128" t="s">
        <v>76</v>
      </c>
      <c r="P2711" s="129" t="s">
        <v>123</v>
      </c>
      <c r="Q2711" s="111">
        <f t="shared" si="1991"/>
        <v>2</v>
      </c>
      <c r="R2711" s="111">
        <f t="shared" si="1959"/>
        <v>137</v>
      </c>
      <c r="S2711" s="129">
        <v>0</v>
      </c>
      <c r="T2711" s="129">
        <v>0</v>
      </c>
      <c r="W2711" s="111"/>
      <c r="AC2711" s="130"/>
      <c r="AD2711" s="130">
        <v>27055</v>
      </c>
      <c r="AE2711" s="128" t="s">
        <v>46</v>
      </c>
      <c r="AF2711" s="128" t="s">
        <v>69</v>
      </c>
      <c r="AG2711" s="128" t="s">
        <v>874</v>
      </c>
      <c r="AH2711" s="108" t="s">
        <v>31</v>
      </c>
      <c r="AI2711" s="128" t="s">
        <v>95</v>
      </c>
      <c r="AJ2711" s="129" t="s">
        <v>123</v>
      </c>
      <c r="AK2711" s="129">
        <v>6</v>
      </c>
      <c r="AL2711" s="3" t="s">
        <v>123</v>
      </c>
      <c r="AP2711" s="129" t="s">
        <v>155</v>
      </c>
      <c r="AR2711" s="128" t="s">
        <v>44</v>
      </c>
      <c r="AS2711" s="129" t="s">
        <v>64</v>
      </c>
      <c r="BC2711" s="129" t="s">
        <v>52</v>
      </c>
      <c r="BF2711" s="111">
        <f t="shared" si="1989"/>
        <v>2</v>
      </c>
      <c r="BG2711" s="111">
        <f t="shared" si="1976"/>
        <v>137</v>
      </c>
      <c r="BH2711" s="111">
        <f t="shared" si="1960"/>
        <v>137</v>
      </c>
      <c r="BI2711" s="111">
        <f t="shared" si="1962"/>
        <v>37.928961748633881</v>
      </c>
      <c r="BJ2711" s="129">
        <f>(G2711-J2711)+(M2711-G2711)</f>
        <v>0</v>
      </c>
      <c r="BK2711" s="129">
        <f t="shared" si="1961"/>
        <v>-135</v>
      </c>
      <c r="BL2711" s="129" t="str">
        <f t="shared" si="1955"/>
        <v>NO CONVICTION</v>
      </c>
      <c r="BM2711" s="129" t="s">
        <v>76</v>
      </c>
      <c r="BN2711" s="129" t="s">
        <v>88</v>
      </c>
      <c r="BP2711" s="137" t="str">
        <f t="shared" si="1963"/>
        <v>NO CONVICTION</v>
      </c>
      <c r="BQ2711" s="128" t="str">
        <f t="shared" si="1971"/>
        <v>Y</v>
      </c>
      <c r="BR2711" s="129" t="str">
        <f t="shared" si="1979"/>
        <v>ON BOND</v>
      </c>
      <c r="BS2711" s="129" t="str">
        <f t="shared" si="1964"/>
        <v>DISPOSED</v>
      </c>
      <c r="BT2711" s="129" t="str">
        <f t="shared" si="1965"/>
        <v>N</v>
      </c>
      <c r="BU2711" s="109">
        <f>IFERROR(Q2711/R2711,BR2711)</f>
        <v>1.4598540145985401E-2</v>
      </c>
      <c r="BV2711" s="109">
        <f t="shared" si="1980"/>
        <v>1.4598540145985401E-2</v>
      </c>
      <c r="BW2711" s="109">
        <f t="shared" si="1985"/>
        <v>0</v>
      </c>
      <c r="BX2711" s="111">
        <f t="shared" si="1967"/>
        <v>0</v>
      </c>
      <c r="BY2711" s="129">
        <f t="shared" si="1972"/>
        <v>-2</v>
      </c>
      <c r="BZ2711" s="111">
        <f t="shared" si="1973"/>
        <v>0</v>
      </c>
      <c r="CA2711" s="138">
        <f t="shared" si="1974"/>
        <v>2</v>
      </c>
      <c r="CB2711" s="111" t="e">
        <f t="shared" si="1990"/>
        <v>#VALUE!</v>
      </c>
      <c r="CC2711" s="129">
        <f>M2711-I2711+1</f>
        <v>2</v>
      </c>
      <c r="CD2711" s="111">
        <f>CC2711-BF2711</f>
        <v>0</v>
      </c>
      <c r="CG2711" s="129" t="str">
        <f t="shared" si="1975"/>
        <v>N</v>
      </c>
      <c r="CI2711" s="129" t="str">
        <f t="shared" si="1981"/>
        <v>0-10 DAYS</v>
      </c>
      <c r="CJ2711" s="137">
        <f t="shared" si="1982"/>
        <v>1</v>
      </c>
      <c r="CK2711" s="129" t="str">
        <f t="shared" si="1983"/>
        <v>Booked</v>
      </c>
    </row>
    <row r="2712" spans="1:89" ht="15.75" customHeight="1" x14ac:dyDescent="0.25">
      <c r="A2712" s="111">
        <v>735</v>
      </c>
      <c r="B2712" s="128" t="str">
        <f t="shared" si="1968"/>
        <v>N</v>
      </c>
      <c r="C2712" s="128" t="str">
        <f t="shared" si="1969"/>
        <v>N</v>
      </c>
      <c r="D2712" s="117">
        <v>2602201</v>
      </c>
      <c r="E2712" s="135">
        <f t="shared" si="1970"/>
        <v>1</v>
      </c>
      <c r="F2712" s="124">
        <v>40937</v>
      </c>
      <c r="G2712" s="125">
        <v>41010</v>
      </c>
      <c r="H2712" s="117">
        <v>2602201</v>
      </c>
      <c r="I2712" s="124">
        <v>40939</v>
      </c>
      <c r="J2712" s="124">
        <v>41010</v>
      </c>
      <c r="K2712" s="126">
        <v>30000</v>
      </c>
      <c r="L2712" s="129" t="s">
        <v>572</v>
      </c>
      <c r="N2712" s="129" t="str">
        <f>IF(M2712&gt;1/1/1,"Y","N")</f>
        <v>N</v>
      </c>
      <c r="O2712" s="128" t="s">
        <v>917</v>
      </c>
      <c r="P2712" s="129" t="s">
        <v>123</v>
      </c>
      <c r="Q2712" s="111">
        <f t="shared" si="1991"/>
        <v>72</v>
      </c>
      <c r="R2712" s="111">
        <f t="shared" si="1959"/>
        <v>74</v>
      </c>
      <c r="S2712" s="129">
        <v>0</v>
      </c>
      <c r="T2712" s="129">
        <v>0</v>
      </c>
      <c r="W2712" s="111"/>
      <c r="AC2712" s="130"/>
      <c r="AD2712" s="130">
        <v>33548</v>
      </c>
      <c r="AE2712" s="128" t="s">
        <v>32</v>
      </c>
      <c r="AF2712" s="128" t="s">
        <v>69</v>
      </c>
      <c r="AG2712" s="128" t="s">
        <v>874</v>
      </c>
      <c r="AH2712" s="108" t="s">
        <v>31</v>
      </c>
      <c r="AI2712" s="128" t="s">
        <v>59</v>
      </c>
      <c r="AJ2712" s="129" t="s">
        <v>123</v>
      </c>
      <c r="AK2712" s="129">
        <v>7</v>
      </c>
      <c r="AL2712" s="3" t="s">
        <v>123</v>
      </c>
      <c r="AP2712" s="129" t="s">
        <v>228</v>
      </c>
      <c r="AR2712" s="128" t="s">
        <v>92</v>
      </c>
      <c r="AS2712" s="129" t="s">
        <v>382</v>
      </c>
      <c r="BC2712" s="129" t="s">
        <v>52</v>
      </c>
      <c r="BF2712" s="111">
        <f t="shared" si="1989"/>
        <v>72</v>
      </c>
      <c r="BG2712" s="111">
        <f t="shared" si="1976"/>
        <v>72</v>
      </c>
      <c r="BH2712" s="111">
        <f t="shared" si="1960"/>
        <v>74</v>
      </c>
      <c r="BI2712" s="111">
        <f t="shared" si="1962"/>
        <v>20.188524590163933</v>
      </c>
      <c r="BJ2712" s="129">
        <f t="shared" si="1977"/>
        <v>0</v>
      </c>
      <c r="BK2712" s="129">
        <f t="shared" si="1961"/>
        <v>0</v>
      </c>
      <c r="BL2712" s="129" t="str">
        <f t="shared" si="1955"/>
        <v>NO CONVICTION</v>
      </c>
      <c r="BM2712" s="129" t="str">
        <f t="shared" si="1978"/>
        <v>NONE</v>
      </c>
      <c r="BN2712" s="129" t="s">
        <v>566</v>
      </c>
      <c r="BP2712" s="137" t="str">
        <f t="shared" si="1963"/>
        <v>NO CONVICTION</v>
      </c>
      <c r="BQ2712" s="128" t="str">
        <f t="shared" si="1971"/>
        <v>Y</v>
      </c>
      <c r="BR2712" s="129" t="str">
        <f t="shared" si="1979"/>
        <v>DETAINED</v>
      </c>
      <c r="BS2712" s="129" t="str">
        <f t="shared" si="1964"/>
        <v>DISPOSED</v>
      </c>
      <c r="BT2712" s="129" t="str">
        <f t="shared" si="1965"/>
        <v>N</v>
      </c>
      <c r="BU2712" s="109">
        <f>IFERROR(Q2712/R2712,BR2712)</f>
        <v>0.97297297297297303</v>
      </c>
      <c r="BV2712" s="109">
        <f t="shared" si="1980"/>
        <v>1</v>
      </c>
      <c r="BW2712" s="109">
        <f t="shared" si="1985"/>
        <v>2.7027027027026973E-2</v>
      </c>
      <c r="BX2712" s="111">
        <f t="shared" si="1967"/>
        <v>0</v>
      </c>
      <c r="BY2712" s="129">
        <f t="shared" si="1972"/>
        <v>-72</v>
      </c>
      <c r="BZ2712" s="111">
        <f t="shared" si="1973"/>
        <v>0</v>
      </c>
      <c r="CA2712" s="138">
        <f t="shared" si="1974"/>
        <v>72</v>
      </c>
      <c r="CB2712" s="111" t="e">
        <f t="shared" si="1990"/>
        <v>#VALUE!</v>
      </c>
      <c r="CC2712" s="129">
        <f>G2712-I2712+1</f>
        <v>72</v>
      </c>
      <c r="CD2712" s="129">
        <f>G2712-J2712</f>
        <v>0</v>
      </c>
      <c r="CG2712" s="129" t="str">
        <f t="shared" si="1975"/>
        <v>N</v>
      </c>
      <c r="CI2712" s="129" t="str">
        <f t="shared" si="1981"/>
        <v>61-90 DAYS</v>
      </c>
      <c r="CJ2712" s="137">
        <f t="shared" si="1982"/>
        <v>4</v>
      </c>
      <c r="CK2712" s="129" t="str">
        <f t="shared" si="1983"/>
        <v>Booked</v>
      </c>
    </row>
    <row r="2713" spans="1:89" ht="15.75" customHeight="1" x14ac:dyDescent="0.25">
      <c r="A2713" s="111">
        <v>739</v>
      </c>
      <c r="B2713" s="128" t="str">
        <f t="shared" si="1968"/>
        <v>N</v>
      </c>
      <c r="C2713" s="128" t="str">
        <f t="shared" si="1969"/>
        <v>N</v>
      </c>
      <c r="D2713" s="117">
        <v>2602221</v>
      </c>
      <c r="E2713" s="135">
        <f t="shared" si="1970"/>
        <v>1</v>
      </c>
      <c r="F2713" s="124">
        <v>40938</v>
      </c>
      <c r="G2713" s="125">
        <v>41031</v>
      </c>
      <c r="H2713" s="117">
        <v>2602221</v>
      </c>
      <c r="I2713" s="124" t="s">
        <v>562</v>
      </c>
      <c r="J2713" s="124" t="s">
        <v>562</v>
      </c>
      <c r="K2713" s="126">
        <v>20000</v>
      </c>
      <c r="L2713" s="127" t="s">
        <v>571</v>
      </c>
      <c r="M2713" s="125">
        <v>40938</v>
      </c>
      <c r="N2713" s="129" t="str">
        <f>IF(M2713&gt;1/1/1,"Y",IF(Q2713="0","","N"))</f>
        <v>Y</v>
      </c>
      <c r="O2713" s="128" t="s">
        <v>76</v>
      </c>
      <c r="P2713" s="129" t="s">
        <v>123</v>
      </c>
      <c r="Q2713" s="111">
        <f t="shared" si="1991"/>
        <v>0</v>
      </c>
      <c r="R2713" s="111">
        <f t="shared" si="1959"/>
        <v>94</v>
      </c>
      <c r="S2713" s="129">
        <v>0</v>
      </c>
      <c r="T2713" s="129">
        <v>0</v>
      </c>
      <c r="W2713" s="111"/>
      <c r="AC2713" s="130"/>
      <c r="AD2713" s="130">
        <v>24629</v>
      </c>
      <c r="AE2713" s="128" t="s">
        <v>32</v>
      </c>
      <c r="AF2713" s="128" t="s">
        <v>138</v>
      </c>
      <c r="AG2713" s="128" t="s">
        <v>873</v>
      </c>
      <c r="AH2713" s="108" t="s">
        <v>31</v>
      </c>
      <c r="AI2713" s="128" t="s">
        <v>65</v>
      </c>
      <c r="AJ2713" s="129" t="s">
        <v>123</v>
      </c>
      <c r="AK2713" s="129">
        <v>2</v>
      </c>
      <c r="AL2713" s="3" t="s">
        <v>123</v>
      </c>
      <c r="AP2713" s="129" t="s">
        <v>111</v>
      </c>
      <c r="AR2713" s="128" t="s">
        <v>67</v>
      </c>
      <c r="AS2713" s="129" t="s">
        <v>45</v>
      </c>
      <c r="BC2713" s="129" t="s">
        <v>52</v>
      </c>
      <c r="BF2713" s="111">
        <v>0</v>
      </c>
      <c r="BG2713" s="111">
        <v>0</v>
      </c>
      <c r="BH2713" s="111">
        <f t="shared" si="1960"/>
        <v>94</v>
      </c>
      <c r="BI2713" s="111">
        <f t="shared" si="1962"/>
        <v>44.560109289617486</v>
      </c>
      <c r="BJ2713" s="129" t="e">
        <f>(G2713-J2713)+(M2713-G2713)</f>
        <v>#VALUE!</v>
      </c>
      <c r="BK2713" s="129" t="e">
        <f t="shared" si="1961"/>
        <v>#VALUE!</v>
      </c>
      <c r="BL2713" s="129" t="str">
        <f t="shared" si="1955"/>
        <v>NO CONVICTION</v>
      </c>
      <c r="BM2713" s="129" t="s">
        <v>76</v>
      </c>
      <c r="BN2713" s="129" t="s">
        <v>88</v>
      </c>
      <c r="BP2713" s="137" t="str">
        <f t="shared" si="1963"/>
        <v>NO CONVICTION</v>
      </c>
      <c r="BQ2713" s="128">
        <f t="shared" si="1971"/>
        <v>0</v>
      </c>
      <c r="BR2713" s="129" t="s">
        <v>575</v>
      </c>
      <c r="BS2713" s="129" t="str">
        <f t="shared" si="1964"/>
        <v>DISPOSED</v>
      </c>
      <c r="BT2713" s="129" t="str">
        <f t="shared" si="1965"/>
        <v>N</v>
      </c>
      <c r="BU2713" s="109">
        <f>IFERROR(Q2713/R2713,BR2713)</f>
        <v>0</v>
      </c>
      <c r="BV2713" s="109">
        <v>0</v>
      </c>
      <c r="BW2713" s="109">
        <f t="shared" si="1985"/>
        <v>0</v>
      </c>
      <c r="BX2713" s="111">
        <f t="shared" si="1967"/>
        <v>0</v>
      </c>
      <c r="BY2713" s="129" t="e">
        <f t="shared" si="1972"/>
        <v>#VALUE!</v>
      </c>
      <c r="BZ2713" s="111" t="e">
        <f t="shared" si="1973"/>
        <v>#VALUE!</v>
      </c>
      <c r="CA2713" s="138" t="e">
        <f t="shared" si="1974"/>
        <v>#VALUE!</v>
      </c>
      <c r="CB2713" s="111">
        <v>0</v>
      </c>
      <c r="CC2713" s="129">
        <v>0</v>
      </c>
      <c r="CD2713" s="111">
        <f>CC2713-BF2713</f>
        <v>0</v>
      </c>
      <c r="CG2713" s="129" t="str">
        <f t="shared" si="1975"/>
        <v>N</v>
      </c>
      <c r="CI2713" s="129" t="str">
        <f t="shared" si="1981"/>
        <v>0-10 DAYS</v>
      </c>
      <c r="CJ2713" s="137">
        <f t="shared" si="1982"/>
        <v>1</v>
      </c>
      <c r="CK2713" s="129" t="str">
        <f t="shared" si="1983"/>
        <v>Not Booked</v>
      </c>
    </row>
    <row r="2714" spans="1:89" ht="15" customHeight="1" x14ac:dyDescent="0.25">
      <c r="A2714" s="111">
        <v>747</v>
      </c>
      <c r="B2714" s="128" t="str">
        <f t="shared" si="1968"/>
        <v>N</v>
      </c>
      <c r="C2714" s="128" t="str">
        <f t="shared" si="1969"/>
        <v>N</v>
      </c>
      <c r="D2714" s="117">
        <v>2602236</v>
      </c>
      <c r="E2714" s="135">
        <f t="shared" si="1970"/>
        <v>6</v>
      </c>
      <c r="F2714" s="124">
        <v>40938</v>
      </c>
      <c r="G2714" s="125">
        <v>41186</v>
      </c>
      <c r="H2714" s="117">
        <v>2602236</v>
      </c>
      <c r="I2714" s="124">
        <v>40938</v>
      </c>
      <c r="J2714" s="124">
        <v>41186</v>
      </c>
      <c r="K2714" s="126" t="s">
        <v>564</v>
      </c>
      <c r="L2714" s="127" t="s">
        <v>564</v>
      </c>
      <c r="N2714" s="129" t="s">
        <v>566</v>
      </c>
      <c r="O2714" s="128" t="s">
        <v>917</v>
      </c>
      <c r="P2714" s="129" t="s">
        <v>39</v>
      </c>
      <c r="Q2714" s="111">
        <f t="shared" si="1991"/>
        <v>249</v>
      </c>
      <c r="R2714" s="111">
        <f t="shared" si="1959"/>
        <v>249</v>
      </c>
      <c r="S2714" s="129">
        <v>0</v>
      </c>
      <c r="T2714" s="129">
        <v>0</v>
      </c>
      <c r="W2714" s="111"/>
      <c r="AB2714" s="131" t="s">
        <v>112</v>
      </c>
      <c r="AC2714" s="130"/>
      <c r="AD2714" s="130">
        <v>31480</v>
      </c>
      <c r="AE2714" s="128" t="s">
        <v>32</v>
      </c>
      <c r="AF2714" s="128" t="s">
        <v>40</v>
      </c>
      <c r="AG2714" s="128" t="s">
        <v>41</v>
      </c>
      <c r="AH2714" s="108" t="s">
        <v>31</v>
      </c>
      <c r="AI2714" s="128" t="s">
        <v>65</v>
      </c>
      <c r="AJ2714" s="129" t="s">
        <v>89</v>
      </c>
      <c r="AK2714" s="129">
        <v>10</v>
      </c>
      <c r="AL2714" s="3" t="s">
        <v>362</v>
      </c>
      <c r="AM2714" s="117">
        <v>7</v>
      </c>
      <c r="AP2714" s="129" t="s">
        <v>236</v>
      </c>
      <c r="AR2714" s="128" t="s">
        <v>67</v>
      </c>
      <c r="AS2714" s="129" t="s">
        <v>74</v>
      </c>
      <c r="BC2714" s="129" t="s">
        <v>38</v>
      </c>
      <c r="BF2714" s="111">
        <f>IF(J2714&gt;1/1/1900,((J2714+1)-I2714),"STILL OPEN")</f>
        <v>249</v>
      </c>
      <c r="BG2714" s="111">
        <f t="shared" ref="BG2714:BG2724" si="1992">IF(G2714&gt;1/1/1900,((G2714+1)-I2714),"STILL OPEN")</f>
        <v>249</v>
      </c>
      <c r="BH2714" s="111">
        <f t="shared" si="1960"/>
        <v>249</v>
      </c>
      <c r="BI2714" s="111">
        <f t="shared" si="1962"/>
        <v>25.84153005464481</v>
      </c>
      <c r="BJ2714" s="129">
        <f t="shared" si="1977"/>
        <v>0</v>
      </c>
      <c r="BK2714" s="129">
        <f t="shared" si="1961"/>
        <v>0</v>
      </c>
      <c r="BL2714" s="129" t="str">
        <f t="shared" si="1955"/>
        <v>CONVICTION</v>
      </c>
      <c r="BM2714" s="129" t="str">
        <f t="shared" si="1978"/>
        <v>NONE</v>
      </c>
      <c r="BN2714" s="129" t="s">
        <v>566</v>
      </c>
      <c r="BP2714" s="137" t="str">
        <f t="shared" si="1963"/>
        <v>CONVICTION</v>
      </c>
      <c r="BQ2714" s="128" t="str">
        <f t="shared" si="1971"/>
        <v>Y</v>
      </c>
      <c r="BR2714" s="129" t="str">
        <f t="shared" si="1979"/>
        <v>DETAINED</v>
      </c>
      <c r="BS2714" s="129" t="str">
        <f t="shared" si="1964"/>
        <v>DISPOSED</v>
      </c>
      <c r="BT2714" s="129" t="str">
        <f t="shared" si="1965"/>
        <v>N</v>
      </c>
      <c r="BU2714" s="109">
        <f t="shared" si="1966"/>
        <v>1</v>
      </c>
      <c r="BV2714" s="109">
        <f t="shared" si="1980"/>
        <v>1</v>
      </c>
      <c r="BW2714" s="109">
        <f t="shared" si="1985"/>
        <v>0</v>
      </c>
      <c r="BX2714" s="111">
        <f t="shared" si="1967"/>
        <v>0</v>
      </c>
      <c r="BY2714" s="129">
        <f t="shared" si="1972"/>
        <v>-249</v>
      </c>
      <c r="BZ2714" s="111">
        <f t="shared" si="1973"/>
        <v>0</v>
      </c>
      <c r="CA2714" s="138">
        <f t="shared" si="1974"/>
        <v>249</v>
      </c>
      <c r="CB2714" s="111" t="e">
        <f>IF(AF2714&gt;1/1/1900,((AF2714+1)-AE2714),"STILL OPEN")</f>
        <v>#VALUE!</v>
      </c>
      <c r="CC2714" s="129">
        <f>G2714-I2714+1</f>
        <v>249</v>
      </c>
      <c r="CD2714" s="129">
        <f>G2714-J2714</f>
        <v>0</v>
      </c>
      <c r="CG2714" s="129" t="str">
        <f t="shared" si="1975"/>
        <v>N</v>
      </c>
      <c r="CI2714" s="129" t="str">
        <f t="shared" si="1981"/>
        <v>121-365 DAYS</v>
      </c>
      <c r="CJ2714" s="137">
        <f t="shared" si="1982"/>
        <v>6</v>
      </c>
      <c r="CK2714" s="129" t="str">
        <f t="shared" si="1983"/>
        <v>Booked</v>
      </c>
    </row>
    <row r="2715" spans="1:89" ht="15" customHeight="1" x14ac:dyDescent="0.25">
      <c r="A2715" s="111">
        <v>749</v>
      </c>
      <c r="B2715" s="128" t="str">
        <f t="shared" si="1968"/>
        <v>N</v>
      </c>
      <c r="C2715" s="128" t="str">
        <f t="shared" si="1969"/>
        <v>Y</v>
      </c>
      <c r="D2715" s="114">
        <v>2602268</v>
      </c>
      <c r="E2715" s="135" t="str">
        <f t="shared" si="1970"/>
        <v/>
      </c>
      <c r="F2715" s="124">
        <v>40938</v>
      </c>
      <c r="G2715" s="125"/>
      <c r="H2715" s="114">
        <v>2602268</v>
      </c>
      <c r="I2715" s="124" t="s">
        <v>562</v>
      </c>
      <c r="J2715" s="124" t="s">
        <v>562</v>
      </c>
      <c r="K2715" s="126">
        <v>90000</v>
      </c>
      <c r="L2715" s="129" t="s">
        <v>572</v>
      </c>
      <c r="N2715" s="129" t="s">
        <v>1335</v>
      </c>
      <c r="O2715" s="128" t="s">
        <v>917</v>
      </c>
      <c r="P2715" s="32" t="s">
        <v>595</v>
      </c>
      <c r="Q2715" s="111" t="str">
        <f>BF2715</f>
        <v>STILL OPEN - FUGITIVE</v>
      </c>
      <c r="R2715" s="111" t="str">
        <f t="shared" si="1959"/>
        <v>STILL OPEN - FUGITIVE</v>
      </c>
      <c r="S2715" s="129">
        <v>0</v>
      </c>
      <c r="T2715" s="129">
        <v>0</v>
      </c>
      <c r="W2715" s="111"/>
      <c r="AC2715" s="130"/>
      <c r="AD2715" s="130">
        <v>24971</v>
      </c>
      <c r="AE2715" s="128" t="s">
        <v>32</v>
      </c>
      <c r="AF2715" s="128" t="s">
        <v>69</v>
      </c>
      <c r="AG2715" s="128" t="s">
        <v>874</v>
      </c>
      <c r="AH2715" s="108" t="s">
        <v>31</v>
      </c>
      <c r="AI2715" s="128" t="s">
        <v>62</v>
      </c>
      <c r="AJ2715" s="129" t="s">
        <v>31</v>
      </c>
      <c r="AP2715" s="129" t="s">
        <v>173</v>
      </c>
      <c r="AR2715" s="128" t="s">
        <v>50</v>
      </c>
      <c r="AS2715" s="129" t="s">
        <v>126</v>
      </c>
      <c r="AY2715" s="32" t="s">
        <v>88</v>
      </c>
      <c r="BC2715" s="129" t="s">
        <v>79</v>
      </c>
      <c r="BF2715" s="111" t="s">
        <v>1318</v>
      </c>
      <c r="BG2715" s="111" t="s">
        <v>1318</v>
      </c>
      <c r="BH2715" s="111" t="s">
        <v>1318</v>
      </c>
      <c r="BI2715" s="111">
        <f t="shared" si="1962"/>
        <v>43.625683060109289</v>
      </c>
      <c r="BJ2715" s="129" t="e">
        <f>(G2715-J2715)+(M2715-G2715)</f>
        <v>#VALUE!</v>
      </c>
      <c r="BK2715" s="129" t="e">
        <f t="shared" si="1961"/>
        <v>#VALUE!</v>
      </c>
      <c r="BL2715" s="129">
        <f t="shared" si="1955"/>
        <v>0</v>
      </c>
      <c r="BM2715" s="129" t="str">
        <f t="shared" si="1978"/>
        <v>NONE</v>
      </c>
      <c r="BN2715" s="129" t="s">
        <v>566</v>
      </c>
      <c r="BP2715" s="137" t="str">
        <f t="shared" si="1963"/>
        <v/>
      </c>
      <c r="BQ2715" s="128" t="str">
        <f t="shared" si="1971"/>
        <v>Y</v>
      </c>
      <c r="BR2715" s="129" t="s">
        <v>1318</v>
      </c>
      <c r="BS2715" s="129" t="s">
        <v>588</v>
      </c>
      <c r="BT2715" s="129" t="str">
        <f t="shared" si="1965"/>
        <v>N</v>
      </c>
      <c r="BU2715" s="109" t="str">
        <f>IFERROR(Q2715/R2715,BR2715)</f>
        <v>STILL OPEN - FUGITIVE</v>
      </c>
      <c r="BV2715" s="129" t="s">
        <v>588</v>
      </c>
      <c r="BW2715" s="109">
        <v>0</v>
      </c>
      <c r="BX2715" s="111" t="e">
        <f t="shared" si="1967"/>
        <v>#VALUE!</v>
      </c>
      <c r="BY2715" s="129" t="e">
        <f t="shared" si="1972"/>
        <v>#VALUE!</v>
      </c>
      <c r="BZ2715" s="111" t="e">
        <f t="shared" si="1973"/>
        <v>#VALUE!</v>
      </c>
      <c r="CA2715" s="138" t="e">
        <f t="shared" si="1974"/>
        <v>#VALUE!</v>
      </c>
      <c r="CB2715" s="111" t="s">
        <v>1318</v>
      </c>
      <c r="CC2715" s="129" t="s">
        <v>588</v>
      </c>
      <c r="CG2715" s="129" t="str">
        <f t="shared" si="1975"/>
        <v>N</v>
      </c>
      <c r="CH2715" s="129" t="e">
        <v>#N/A</v>
      </c>
      <c r="CI2715" s="129" t="str">
        <f t="shared" si="1981"/>
        <v>&gt;3YRS</v>
      </c>
      <c r="CJ2715" s="137">
        <f t="shared" si="1982"/>
        <v>9</v>
      </c>
      <c r="CK2715" s="129" t="str">
        <f t="shared" si="1983"/>
        <v>Not Booked</v>
      </c>
    </row>
    <row r="2716" spans="1:89" ht="15.75" customHeight="1" x14ac:dyDescent="0.25">
      <c r="A2716" s="111">
        <v>752</v>
      </c>
      <c r="B2716" s="128" t="str">
        <f t="shared" si="1968"/>
        <v>N</v>
      </c>
      <c r="C2716" s="128" t="str">
        <f t="shared" si="1969"/>
        <v>N</v>
      </c>
      <c r="D2716" s="117">
        <v>2602309</v>
      </c>
      <c r="E2716" s="135">
        <f t="shared" si="1970"/>
        <v>4</v>
      </c>
      <c r="F2716" s="124">
        <v>40938</v>
      </c>
      <c r="G2716" s="125">
        <v>41212</v>
      </c>
      <c r="H2716" s="117">
        <v>2602309</v>
      </c>
      <c r="I2716" s="124">
        <v>40938</v>
      </c>
      <c r="J2716" s="124">
        <v>41212</v>
      </c>
      <c r="K2716" s="126">
        <v>10000</v>
      </c>
      <c r="L2716" s="127" t="s">
        <v>570</v>
      </c>
      <c r="N2716" s="129" t="str">
        <f>IF(M2716&gt;1/1/1,"Y","N")</f>
        <v>N</v>
      </c>
      <c r="O2716" s="128" t="s">
        <v>917</v>
      </c>
      <c r="P2716" s="129" t="s">
        <v>39</v>
      </c>
      <c r="Q2716" s="111">
        <f t="shared" si="1991"/>
        <v>275</v>
      </c>
      <c r="R2716" s="111">
        <f t="shared" si="1959"/>
        <v>275</v>
      </c>
      <c r="S2716" s="129">
        <v>0</v>
      </c>
      <c r="T2716" s="129">
        <v>0</v>
      </c>
      <c r="W2716" s="111"/>
      <c r="AC2716" s="130"/>
      <c r="AD2716" s="130">
        <v>26564</v>
      </c>
      <c r="AE2716" s="128" t="s">
        <v>32</v>
      </c>
      <c r="AF2716" s="128" t="s">
        <v>69</v>
      </c>
      <c r="AG2716" s="128" t="s">
        <v>874</v>
      </c>
      <c r="AH2716" s="108" t="s">
        <v>31</v>
      </c>
      <c r="AI2716" s="128" t="s">
        <v>47</v>
      </c>
      <c r="AJ2716" s="129" t="s">
        <v>89</v>
      </c>
      <c r="AK2716" s="129">
        <v>12</v>
      </c>
      <c r="AL2716" s="3" t="s">
        <v>991</v>
      </c>
      <c r="AO2716" s="128">
        <v>365</v>
      </c>
      <c r="AP2716" s="129" t="s">
        <v>56</v>
      </c>
      <c r="AR2716" s="128" t="s">
        <v>50</v>
      </c>
      <c r="AS2716" s="129" t="s">
        <v>57</v>
      </c>
      <c r="BC2716" s="129" t="s">
        <v>38</v>
      </c>
      <c r="BF2716" s="111">
        <f>IF(J2716&gt;1/1/1900,((J2716+1)-I2716),"STILL OPEN")</f>
        <v>275</v>
      </c>
      <c r="BG2716" s="111">
        <f t="shared" si="1992"/>
        <v>275</v>
      </c>
      <c r="BH2716" s="111">
        <f t="shared" si="1960"/>
        <v>275</v>
      </c>
      <c r="BI2716" s="111">
        <f t="shared" si="1962"/>
        <v>39.27322404371585</v>
      </c>
      <c r="BJ2716" s="129">
        <f t="shared" si="1977"/>
        <v>0</v>
      </c>
      <c r="BK2716" s="129">
        <f t="shared" si="1961"/>
        <v>0</v>
      </c>
      <c r="BL2716" s="129" t="str">
        <f t="shared" si="1955"/>
        <v>CONVICTION</v>
      </c>
      <c r="BM2716" s="129" t="str">
        <f t="shared" si="1978"/>
        <v>NONE</v>
      </c>
      <c r="BN2716" s="129" t="s">
        <v>566</v>
      </c>
      <c r="BP2716" s="137" t="str">
        <f t="shared" si="1963"/>
        <v>CONVICTION</v>
      </c>
      <c r="BQ2716" s="128" t="str">
        <f t="shared" si="1971"/>
        <v>Y</v>
      </c>
      <c r="BR2716" s="129" t="str">
        <f t="shared" si="1979"/>
        <v>DETAINED</v>
      </c>
      <c r="BS2716" s="129" t="str">
        <f t="shared" si="1964"/>
        <v>DISPOSED</v>
      </c>
      <c r="BT2716" s="129" t="str">
        <f t="shared" si="1965"/>
        <v>N</v>
      </c>
      <c r="BU2716" s="109">
        <f t="shared" si="1966"/>
        <v>1</v>
      </c>
      <c r="BV2716" s="109">
        <f t="shared" si="1980"/>
        <v>1</v>
      </c>
      <c r="BW2716" s="109">
        <f t="shared" ref="BW2716:BW2730" si="1993">BV2716-BU2716</f>
        <v>0</v>
      </c>
      <c r="BX2716" s="111">
        <f t="shared" si="1967"/>
        <v>0</v>
      </c>
      <c r="BY2716" s="129">
        <f t="shared" si="1972"/>
        <v>-275</v>
      </c>
      <c r="BZ2716" s="111">
        <f t="shared" si="1973"/>
        <v>0</v>
      </c>
      <c r="CA2716" s="138">
        <f t="shared" si="1974"/>
        <v>275</v>
      </c>
      <c r="CB2716" s="111" t="e">
        <f>IF(AF2716&gt;1/1/1900,((AF2716+1)-AE2716),"STILL OPEN")</f>
        <v>#VALUE!</v>
      </c>
      <c r="CC2716" s="129">
        <f>G2716-I2716+1</f>
        <v>275</v>
      </c>
      <c r="CD2716" s="129">
        <f>G2716-J2716</f>
        <v>0</v>
      </c>
      <c r="CG2716" s="129" t="str">
        <f t="shared" si="1975"/>
        <v>N</v>
      </c>
      <c r="CI2716" s="129" t="str">
        <f t="shared" si="1981"/>
        <v>121-365 DAYS</v>
      </c>
      <c r="CJ2716" s="137">
        <f t="shared" si="1982"/>
        <v>6</v>
      </c>
      <c r="CK2716" s="129" t="str">
        <f t="shared" si="1983"/>
        <v>Booked</v>
      </c>
    </row>
    <row r="2717" spans="1:89" ht="15.75" customHeight="1" x14ac:dyDescent="0.25">
      <c r="A2717" s="111">
        <v>765</v>
      </c>
      <c r="B2717" s="128" t="str">
        <f t="shared" si="1968"/>
        <v>N</v>
      </c>
      <c r="C2717" s="128" t="str">
        <f t="shared" si="1969"/>
        <v>N</v>
      </c>
      <c r="D2717" s="117">
        <v>2602358</v>
      </c>
      <c r="E2717" s="135">
        <f t="shared" si="1970"/>
        <v>5</v>
      </c>
      <c r="F2717" s="124">
        <v>40938</v>
      </c>
      <c r="G2717" s="125">
        <v>41123</v>
      </c>
      <c r="H2717" s="117">
        <v>2602358</v>
      </c>
      <c r="I2717" s="124">
        <v>41114</v>
      </c>
      <c r="J2717" s="124">
        <v>41123</v>
      </c>
      <c r="K2717" s="126">
        <v>5000</v>
      </c>
      <c r="L2717" s="127" t="s">
        <v>569</v>
      </c>
      <c r="N2717" s="129" t="str">
        <f>IF(M2717&gt;1/1/1,"Y","N")</f>
        <v>N</v>
      </c>
      <c r="O2717" s="128" t="s">
        <v>917</v>
      </c>
      <c r="P2717" s="129" t="s">
        <v>39</v>
      </c>
      <c r="Q2717" s="111">
        <f t="shared" si="1991"/>
        <v>10</v>
      </c>
      <c r="R2717" s="111">
        <f t="shared" si="1959"/>
        <v>186</v>
      </c>
      <c r="S2717" s="129">
        <v>0</v>
      </c>
      <c r="T2717" s="129">
        <v>0</v>
      </c>
      <c r="W2717" s="111"/>
      <c r="AC2717" s="130"/>
      <c r="AD2717" s="130">
        <v>32175</v>
      </c>
      <c r="AE2717" s="128" t="s">
        <v>32</v>
      </c>
      <c r="AF2717" s="128" t="s">
        <v>69</v>
      </c>
      <c r="AG2717" s="128" t="s">
        <v>874</v>
      </c>
      <c r="AH2717" s="108" t="s">
        <v>31</v>
      </c>
      <c r="AI2717" s="128" t="s">
        <v>97</v>
      </c>
      <c r="AJ2717" s="129" t="s">
        <v>89</v>
      </c>
      <c r="AK2717" s="129">
        <v>3</v>
      </c>
      <c r="AL2717" s="3" t="s">
        <v>992</v>
      </c>
      <c r="AN2717" s="117">
        <v>8</v>
      </c>
      <c r="AP2717" s="129" t="s">
        <v>98</v>
      </c>
      <c r="AR2717" s="128" t="s">
        <v>44</v>
      </c>
      <c r="AS2717" s="129" t="s">
        <v>64</v>
      </c>
      <c r="BC2717" s="129" t="s">
        <v>38</v>
      </c>
      <c r="BF2717" s="111">
        <f>IF(J2717&gt;1/1/1900,((J2717+1)-I2717),"STILL OPEN")</f>
        <v>10</v>
      </c>
      <c r="BG2717" s="111">
        <f t="shared" si="1992"/>
        <v>10</v>
      </c>
      <c r="BH2717" s="111">
        <f t="shared" si="1960"/>
        <v>186</v>
      </c>
      <c r="BI2717" s="111">
        <f t="shared" si="1962"/>
        <v>23.942622950819672</v>
      </c>
      <c r="BJ2717" s="129">
        <f t="shared" si="1977"/>
        <v>0</v>
      </c>
      <c r="BK2717" s="129">
        <f t="shared" si="1961"/>
        <v>0</v>
      </c>
      <c r="BL2717" s="129" t="str">
        <f t="shared" si="1955"/>
        <v>CONVICTION</v>
      </c>
      <c r="BM2717" s="129" t="str">
        <f t="shared" si="1978"/>
        <v>NONE</v>
      </c>
      <c r="BN2717" s="129" t="s">
        <v>566</v>
      </c>
      <c r="BP2717" s="137" t="str">
        <f t="shared" si="1963"/>
        <v>CONVICTION</v>
      </c>
      <c r="BQ2717" s="128" t="str">
        <f t="shared" si="1971"/>
        <v>Y</v>
      </c>
      <c r="BR2717" s="129" t="str">
        <f t="shared" si="1979"/>
        <v>DETAINED</v>
      </c>
      <c r="BS2717" s="129" t="str">
        <f t="shared" si="1964"/>
        <v>DISPOSED</v>
      </c>
      <c r="BT2717" s="129" t="str">
        <f t="shared" si="1965"/>
        <v>N</v>
      </c>
      <c r="BU2717" s="109">
        <f t="shared" si="1966"/>
        <v>5.3763440860215055E-2</v>
      </c>
      <c r="BV2717" s="109">
        <f t="shared" si="1980"/>
        <v>1</v>
      </c>
      <c r="BW2717" s="109">
        <f t="shared" si="1993"/>
        <v>0.94623655913978499</v>
      </c>
      <c r="BX2717" s="111">
        <f t="shared" si="1967"/>
        <v>0</v>
      </c>
      <c r="BY2717" s="129">
        <f t="shared" si="1972"/>
        <v>-10</v>
      </c>
      <c r="BZ2717" s="111">
        <f t="shared" si="1973"/>
        <v>0</v>
      </c>
      <c r="CA2717" s="138">
        <f t="shared" si="1974"/>
        <v>10</v>
      </c>
      <c r="CB2717" s="111" t="e">
        <f>IF(AF2717&gt;1/1/1900,((AF2717+1)-AE2717),"STILL OPEN")</f>
        <v>#VALUE!</v>
      </c>
      <c r="CC2717" s="129">
        <f>G2717-I2717+1</f>
        <v>10</v>
      </c>
      <c r="CD2717" s="129">
        <f>G2717-J2717</f>
        <v>0</v>
      </c>
      <c r="CG2717" s="129" t="str">
        <f t="shared" si="1975"/>
        <v>N</v>
      </c>
      <c r="CI2717" s="129" t="str">
        <f t="shared" si="1981"/>
        <v>0-10 DAYS</v>
      </c>
      <c r="CJ2717" s="137">
        <f t="shared" si="1982"/>
        <v>1</v>
      </c>
      <c r="CK2717" s="129" t="str">
        <f t="shared" si="1983"/>
        <v>Booked</v>
      </c>
    </row>
    <row r="2718" spans="1:89" ht="15.75" customHeight="1" x14ac:dyDescent="0.25">
      <c r="A2718" s="111">
        <v>766</v>
      </c>
      <c r="B2718" s="128" t="str">
        <f t="shared" si="1968"/>
        <v>N</v>
      </c>
      <c r="C2718" s="128" t="str">
        <f t="shared" si="1969"/>
        <v>N</v>
      </c>
      <c r="D2718" s="117">
        <v>2602366</v>
      </c>
      <c r="E2718" s="135">
        <f t="shared" si="1970"/>
        <v>2</v>
      </c>
      <c r="F2718" s="124">
        <v>40938</v>
      </c>
      <c r="G2718" s="125">
        <v>40955</v>
      </c>
      <c r="H2718" s="117">
        <v>2602366</v>
      </c>
      <c r="I2718" s="124">
        <v>40939</v>
      </c>
      <c r="J2718" s="124">
        <v>40941</v>
      </c>
      <c r="K2718" s="126">
        <v>10000</v>
      </c>
      <c r="L2718" s="127" t="s">
        <v>570</v>
      </c>
      <c r="M2718" s="125">
        <v>40941</v>
      </c>
      <c r="N2718" s="129" t="str">
        <f>IF(M2718&gt;1/1/1,"Y","N")</f>
        <v>Y</v>
      </c>
      <c r="O2718" s="112" t="s">
        <v>160</v>
      </c>
      <c r="P2718" s="129" t="s">
        <v>589</v>
      </c>
      <c r="Q2718" s="111">
        <f t="shared" si="1991"/>
        <v>3</v>
      </c>
      <c r="R2718" s="111">
        <f t="shared" si="1959"/>
        <v>18</v>
      </c>
      <c r="S2718" s="129">
        <v>0</v>
      </c>
      <c r="T2718" s="129">
        <v>0</v>
      </c>
      <c r="W2718" s="111"/>
      <c r="AC2718" s="130"/>
      <c r="AD2718" s="130">
        <v>29875</v>
      </c>
      <c r="AE2718" s="128" t="s">
        <v>32</v>
      </c>
      <c r="AF2718" s="128" t="s">
        <v>33</v>
      </c>
      <c r="AG2718" s="128" t="s">
        <v>872</v>
      </c>
      <c r="AH2718" s="108" t="s">
        <v>31</v>
      </c>
      <c r="AI2718" s="128" t="s">
        <v>90</v>
      </c>
      <c r="AJ2718" s="129" t="s">
        <v>48</v>
      </c>
      <c r="AK2718" s="129">
        <v>2</v>
      </c>
      <c r="AL2718" s="3" t="s">
        <v>48</v>
      </c>
      <c r="AP2718" s="129" t="s">
        <v>49</v>
      </c>
      <c r="AR2718" s="128" t="s">
        <v>50</v>
      </c>
      <c r="AS2718" s="129" t="s">
        <v>45</v>
      </c>
      <c r="AT2718" s="3" t="s">
        <v>246</v>
      </c>
      <c r="BC2718" s="129" t="s">
        <v>38</v>
      </c>
      <c r="BF2718" s="111">
        <f>IF(J2718&gt;1/1/1900,((J2718+1)-I2718),"STILL OPEN")</f>
        <v>3</v>
      </c>
      <c r="BG2718" s="111">
        <f t="shared" si="1992"/>
        <v>17</v>
      </c>
      <c r="BH2718" s="111">
        <f t="shared" si="1960"/>
        <v>18</v>
      </c>
      <c r="BI2718" s="111">
        <f t="shared" si="1962"/>
        <v>30.226775956284154</v>
      </c>
      <c r="BJ2718" s="129">
        <f>(G2718-J2718)+(M2718-G2718)</f>
        <v>0</v>
      </c>
      <c r="BK2718" s="129">
        <f t="shared" si="1961"/>
        <v>-14</v>
      </c>
      <c r="BL2718" s="129" t="str">
        <f t="shared" si="1955"/>
        <v>DEFERRED</v>
      </c>
      <c r="BM2718" s="129" t="s">
        <v>160</v>
      </c>
      <c r="BN2718" s="129" t="s">
        <v>88</v>
      </c>
      <c r="BP2718" s="137" t="str">
        <f t="shared" si="1963"/>
        <v>DEFERRED</v>
      </c>
      <c r="BQ2718" s="128" t="str">
        <f t="shared" si="1971"/>
        <v>Y</v>
      </c>
      <c r="BR2718" s="129" t="str">
        <f t="shared" si="1979"/>
        <v>ON BOND</v>
      </c>
      <c r="BS2718" s="129" t="str">
        <f t="shared" si="1964"/>
        <v>DISPOSED</v>
      </c>
      <c r="BT2718" s="129" t="str">
        <f t="shared" si="1965"/>
        <v>N</v>
      </c>
      <c r="BU2718" s="109">
        <f t="shared" si="1966"/>
        <v>0.16666666666666666</v>
      </c>
      <c r="BV2718" s="109">
        <f t="shared" si="1980"/>
        <v>0.17647058823529413</v>
      </c>
      <c r="BW2718" s="109">
        <f t="shared" si="1993"/>
        <v>9.8039215686274717E-3</v>
      </c>
      <c r="BX2718" s="111">
        <f t="shared" si="1967"/>
        <v>0</v>
      </c>
      <c r="BY2718" s="129">
        <f t="shared" si="1972"/>
        <v>-3</v>
      </c>
      <c r="BZ2718" s="111">
        <f t="shared" si="1973"/>
        <v>0</v>
      </c>
      <c r="CA2718" s="138">
        <f t="shared" si="1974"/>
        <v>3</v>
      </c>
      <c r="CB2718" s="111" t="e">
        <f>IF(AF2718&gt;1/1/1900,((AF2718+1)-AE2718),"STILL OPEN")</f>
        <v>#VALUE!</v>
      </c>
      <c r="CC2718" s="129">
        <f>M2718-I2718+1</f>
        <v>3</v>
      </c>
      <c r="CD2718" s="111">
        <f>CC2718-BF2718</f>
        <v>0</v>
      </c>
      <c r="CG2718" s="129" t="str">
        <f t="shared" si="1975"/>
        <v>N</v>
      </c>
      <c r="CI2718" s="129" t="str">
        <f t="shared" si="1981"/>
        <v>0-10 DAYS</v>
      </c>
      <c r="CJ2718" s="137">
        <f t="shared" si="1982"/>
        <v>1</v>
      </c>
      <c r="CK2718" s="129" t="str">
        <f t="shared" si="1983"/>
        <v>Booked</v>
      </c>
    </row>
    <row r="2719" spans="1:89" ht="15.75" customHeight="1" x14ac:dyDescent="0.25">
      <c r="A2719" s="111">
        <v>769</v>
      </c>
      <c r="B2719" s="128" t="str">
        <f t="shared" si="1968"/>
        <v>N</v>
      </c>
      <c r="C2719" s="128" t="str">
        <f t="shared" si="1969"/>
        <v>N</v>
      </c>
      <c r="D2719" s="117">
        <v>2602374</v>
      </c>
      <c r="E2719" s="135">
        <f t="shared" si="1970"/>
        <v>2</v>
      </c>
      <c r="F2719" s="124">
        <v>40938</v>
      </c>
      <c r="G2719" s="125">
        <v>41011</v>
      </c>
      <c r="H2719" s="117">
        <v>2602374</v>
      </c>
      <c r="I2719" s="124">
        <v>40939</v>
      </c>
      <c r="J2719" s="124">
        <v>40941</v>
      </c>
      <c r="K2719" s="126">
        <v>30000</v>
      </c>
      <c r="L2719" s="129" t="s">
        <v>572</v>
      </c>
      <c r="M2719" s="125">
        <v>40941</v>
      </c>
      <c r="N2719" s="129" t="str">
        <f>IF(M2719&gt;1/1/1,"Y","N")</f>
        <v>Y</v>
      </c>
      <c r="O2719" s="128" t="s">
        <v>76</v>
      </c>
      <c r="P2719" s="129" t="s">
        <v>589</v>
      </c>
      <c r="Q2719" s="111">
        <f t="shared" si="1991"/>
        <v>3</v>
      </c>
      <c r="R2719" s="111">
        <f t="shared" si="1959"/>
        <v>74</v>
      </c>
      <c r="S2719" s="129">
        <v>0</v>
      </c>
      <c r="T2719" s="129">
        <v>0</v>
      </c>
      <c r="W2719" s="111"/>
      <c r="AC2719" s="130"/>
      <c r="AD2719" s="130">
        <v>33332</v>
      </c>
      <c r="AE2719" s="128" t="s">
        <v>32</v>
      </c>
      <c r="AF2719" s="128" t="s">
        <v>33</v>
      </c>
      <c r="AG2719" s="128" t="s">
        <v>872</v>
      </c>
      <c r="AH2719" s="108" t="s">
        <v>31</v>
      </c>
      <c r="AI2719" s="128" t="s">
        <v>113</v>
      </c>
      <c r="AJ2719" s="129" t="s">
        <v>48</v>
      </c>
      <c r="AK2719" s="129">
        <v>4</v>
      </c>
      <c r="AL2719" s="3" t="s">
        <v>48</v>
      </c>
      <c r="AP2719" s="129" t="s">
        <v>132</v>
      </c>
      <c r="AR2719" s="128" t="s">
        <v>92</v>
      </c>
      <c r="AS2719" s="129" t="s">
        <v>82</v>
      </c>
      <c r="AT2719" s="129" t="s">
        <v>608</v>
      </c>
      <c r="BC2719" s="129" t="s">
        <v>52</v>
      </c>
      <c r="BF2719" s="111">
        <f>IF(J2719&gt;1/1/1900,((J2719+1)-I2719),"STILL OPEN")</f>
        <v>3</v>
      </c>
      <c r="BG2719" s="111">
        <f t="shared" si="1992"/>
        <v>73</v>
      </c>
      <c r="BH2719" s="111">
        <f t="shared" si="1960"/>
        <v>74</v>
      </c>
      <c r="BI2719" s="111">
        <f t="shared" si="1962"/>
        <v>20.781420765027324</v>
      </c>
      <c r="BJ2719" s="129">
        <f>(G2719-J2719)+(M2719-G2719)</f>
        <v>0</v>
      </c>
      <c r="BK2719" s="129">
        <f t="shared" si="1961"/>
        <v>-70</v>
      </c>
      <c r="BL2719" s="129" t="str">
        <f t="shared" si="1955"/>
        <v>DEFERRED</v>
      </c>
      <c r="BM2719" s="129" t="s">
        <v>76</v>
      </c>
      <c r="BN2719" s="129" t="s">
        <v>88</v>
      </c>
      <c r="BP2719" s="137" t="str">
        <f t="shared" si="1963"/>
        <v>DEFERRED</v>
      </c>
      <c r="BQ2719" s="128" t="str">
        <f t="shared" si="1971"/>
        <v>Y</v>
      </c>
      <c r="BR2719" s="129" t="str">
        <f t="shared" si="1979"/>
        <v>ON BOND</v>
      </c>
      <c r="BS2719" s="129" t="str">
        <f t="shared" si="1964"/>
        <v>DISPOSED</v>
      </c>
      <c r="BT2719" s="129" t="str">
        <f t="shared" si="1965"/>
        <v>N</v>
      </c>
      <c r="BU2719" s="109">
        <f t="shared" si="1966"/>
        <v>4.0540540540540543E-2</v>
      </c>
      <c r="BV2719" s="109">
        <f t="shared" si="1980"/>
        <v>4.1095890410958902E-2</v>
      </c>
      <c r="BW2719" s="109">
        <f t="shared" si="1993"/>
        <v>5.5534987041835904E-4</v>
      </c>
      <c r="BX2719" s="111">
        <f t="shared" si="1967"/>
        <v>0</v>
      </c>
      <c r="BY2719" s="129">
        <f t="shared" si="1972"/>
        <v>-3</v>
      </c>
      <c r="BZ2719" s="111">
        <f t="shared" si="1973"/>
        <v>0</v>
      </c>
      <c r="CA2719" s="138">
        <f t="shared" si="1974"/>
        <v>3</v>
      </c>
      <c r="CB2719" s="111" t="e">
        <f>IF(AF2719&gt;1/1/1900,((AF2719+1)-AE2719),"STILL OPEN")</f>
        <v>#VALUE!</v>
      </c>
      <c r="CC2719" s="129">
        <f>M2719-I2719+1</f>
        <v>3</v>
      </c>
      <c r="CD2719" s="111">
        <f>CC2719-BF2719</f>
        <v>0</v>
      </c>
      <c r="CG2719" s="129" t="str">
        <f t="shared" si="1975"/>
        <v>N</v>
      </c>
      <c r="CI2719" s="129" t="str">
        <f t="shared" si="1981"/>
        <v>0-10 DAYS</v>
      </c>
      <c r="CJ2719" s="137">
        <f t="shared" si="1982"/>
        <v>1</v>
      </c>
      <c r="CK2719" s="129" t="str">
        <f t="shared" si="1983"/>
        <v>Booked</v>
      </c>
    </row>
    <row r="2720" spans="1:89" ht="15.75" customHeight="1" x14ac:dyDescent="0.25">
      <c r="A2720" s="111">
        <v>774</v>
      </c>
      <c r="B2720" s="128" t="str">
        <f t="shared" si="1968"/>
        <v>N</v>
      </c>
      <c r="C2720" s="128" t="str">
        <f t="shared" si="1969"/>
        <v>N</v>
      </c>
      <c r="D2720" s="117">
        <v>2602382</v>
      </c>
      <c r="E2720" s="135">
        <f t="shared" si="1970"/>
        <v>1</v>
      </c>
      <c r="F2720" s="124">
        <v>40939</v>
      </c>
      <c r="G2720" s="125">
        <v>40940</v>
      </c>
      <c r="H2720" s="117">
        <v>2602382</v>
      </c>
      <c r="I2720" s="124">
        <v>40939</v>
      </c>
      <c r="J2720" s="124">
        <v>40940</v>
      </c>
      <c r="K2720" s="126">
        <v>5000</v>
      </c>
      <c r="L2720" s="127" t="s">
        <v>569</v>
      </c>
      <c r="N2720" s="129" t="str">
        <f>IF(M2720&gt;1/1/1,"Y","N")</f>
        <v>N</v>
      </c>
      <c r="O2720" s="128" t="s">
        <v>917</v>
      </c>
      <c r="P2720" s="116" t="s">
        <v>55</v>
      </c>
      <c r="Q2720" s="111">
        <f t="shared" si="1991"/>
        <v>2</v>
      </c>
      <c r="R2720" s="111">
        <f t="shared" si="1959"/>
        <v>2</v>
      </c>
      <c r="S2720" s="129">
        <v>0</v>
      </c>
      <c r="T2720" s="129">
        <v>0</v>
      </c>
      <c r="W2720" s="111"/>
      <c r="AC2720" s="130"/>
      <c r="AD2720" s="130">
        <v>33480</v>
      </c>
      <c r="AE2720" s="128" t="s">
        <v>32</v>
      </c>
      <c r="AF2720" s="128" t="s">
        <v>69</v>
      </c>
      <c r="AG2720" s="128" t="s">
        <v>874</v>
      </c>
      <c r="AH2720" s="108" t="s">
        <v>31</v>
      </c>
      <c r="AI2720" s="128" t="s">
        <v>65</v>
      </c>
      <c r="AJ2720" s="129" t="s">
        <v>55</v>
      </c>
      <c r="AK2720" s="129">
        <v>1</v>
      </c>
      <c r="AL2720" s="3" t="s">
        <v>55</v>
      </c>
      <c r="AP2720" s="129" t="s">
        <v>136</v>
      </c>
      <c r="AR2720" s="128" t="s">
        <v>67</v>
      </c>
      <c r="AS2720" s="129" t="s">
        <v>64</v>
      </c>
      <c r="AT2720" s="3" t="s">
        <v>247</v>
      </c>
      <c r="BC2720" s="129" t="s">
        <v>79</v>
      </c>
      <c r="BF2720" s="111">
        <f>IF(J2720&gt;1/1/1900,((J2720+1)-I2720),"STILL OPEN")</f>
        <v>2</v>
      </c>
      <c r="BG2720" s="111">
        <f t="shared" si="1992"/>
        <v>2</v>
      </c>
      <c r="BH2720" s="111">
        <f t="shared" si="1960"/>
        <v>2</v>
      </c>
      <c r="BI2720" s="111">
        <f t="shared" si="1962"/>
        <v>20.379781420765028</v>
      </c>
      <c r="BJ2720" s="129">
        <f t="shared" si="1977"/>
        <v>0</v>
      </c>
      <c r="BK2720" s="129">
        <f t="shared" si="1961"/>
        <v>0</v>
      </c>
      <c r="BL2720" s="129" t="str">
        <f t="shared" si="1955"/>
        <v>NO CONVICTION</v>
      </c>
      <c r="BM2720" s="129" t="str">
        <f t="shared" si="1978"/>
        <v>NONE</v>
      </c>
      <c r="BN2720" s="129" t="s">
        <v>566</v>
      </c>
      <c r="BP2720" s="137" t="str">
        <f t="shared" si="1963"/>
        <v>NO CONVICTION</v>
      </c>
      <c r="BQ2720" s="128" t="str">
        <f t="shared" si="1971"/>
        <v>Y</v>
      </c>
      <c r="BR2720" s="129" t="str">
        <f t="shared" si="1979"/>
        <v>DETAINED</v>
      </c>
      <c r="BS2720" s="129" t="str">
        <f t="shared" si="1964"/>
        <v>DISPOSED</v>
      </c>
      <c r="BT2720" s="129" t="str">
        <f t="shared" si="1965"/>
        <v>N</v>
      </c>
      <c r="BU2720" s="109">
        <f>IFERROR(Q2720/R2720,BR2720)</f>
        <v>1</v>
      </c>
      <c r="BV2720" s="109">
        <f t="shared" si="1980"/>
        <v>1</v>
      </c>
      <c r="BW2720" s="109">
        <f t="shared" si="1993"/>
        <v>0</v>
      </c>
      <c r="BX2720" s="111">
        <f t="shared" si="1967"/>
        <v>0</v>
      </c>
      <c r="BY2720" s="129">
        <f t="shared" si="1972"/>
        <v>-2</v>
      </c>
      <c r="BZ2720" s="111">
        <f t="shared" si="1973"/>
        <v>0</v>
      </c>
      <c r="CA2720" s="138">
        <f t="shared" si="1974"/>
        <v>2</v>
      </c>
      <c r="CB2720" s="111" t="e">
        <f>IF(AF2720&gt;1/1/1900,((AF2720+1)-AE2720),"STILL OPEN")</f>
        <v>#VALUE!</v>
      </c>
      <c r="CC2720" s="129">
        <f>G2720-I2720+1</f>
        <v>2</v>
      </c>
      <c r="CD2720" s="129">
        <f>G2720-J2720</f>
        <v>0</v>
      </c>
      <c r="CG2720" s="129" t="str">
        <f t="shared" si="1975"/>
        <v>N</v>
      </c>
      <c r="CI2720" s="129" t="str">
        <f t="shared" si="1981"/>
        <v>0-10 DAYS</v>
      </c>
      <c r="CJ2720" s="137">
        <f t="shared" si="1982"/>
        <v>1</v>
      </c>
      <c r="CK2720" s="129" t="str">
        <f t="shared" si="1983"/>
        <v>Booked</v>
      </c>
    </row>
    <row r="2721" spans="1:89" ht="15.75" customHeight="1" x14ac:dyDescent="0.25">
      <c r="A2721" s="111">
        <v>786</v>
      </c>
      <c r="B2721" s="128" t="str">
        <f t="shared" si="1968"/>
        <v>N</v>
      </c>
      <c r="C2721" s="128" t="str">
        <f t="shared" si="1969"/>
        <v>N</v>
      </c>
      <c r="D2721" s="117">
        <v>2602432</v>
      </c>
      <c r="E2721" s="135">
        <f t="shared" si="1970"/>
        <v>2</v>
      </c>
      <c r="F2721" s="124">
        <v>40939</v>
      </c>
      <c r="G2721" s="125">
        <v>41484</v>
      </c>
      <c r="H2721" s="117">
        <v>2602432</v>
      </c>
      <c r="I2721" s="124" t="s">
        <v>562</v>
      </c>
      <c r="J2721" s="124" t="s">
        <v>562</v>
      </c>
      <c r="K2721" s="126">
        <v>60000</v>
      </c>
      <c r="L2721" s="129" t="s">
        <v>572</v>
      </c>
      <c r="M2721" s="125">
        <v>40943</v>
      </c>
      <c r="N2721" s="129" t="str">
        <f>IF(M2721&gt;1/1/1,"Y",IF(Q2721="NOT BOOKED","","N"))</f>
        <v>Y</v>
      </c>
      <c r="O2721" s="128" t="s">
        <v>76</v>
      </c>
      <c r="P2721" s="129" t="s">
        <v>589</v>
      </c>
      <c r="Q2721" s="111">
        <v>0</v>
      </c>
      <c r="R2721" s="111">
        <f t="shared" si="1959"/>
        <v>546</v>
      </c>
      <c r="S2721" s="129">
        <v>0</v>
      </c>
      <c r="T2721" s="129">
        <v>0</v>
      </c>
      <c r="W2721" s="111"/>
      <c r="AC2721" s="130"/>
      <c r="AD2721" s="130">
        <v>32158</v>
      </c>
      <c r="AE2721" s="128" t="s">
        <v>32</v>
      </c>
      <c r="AF2721" s="128" t="s">
        <v>248</v>
      </c>
      <c r="AG2721" s="128" t="s">
        <v>873</v>
      </c>
      <c r="AH2721" s="108" t="s">
        <v>31</v>
      </c>
      <c r="AI2721" s="128" t="s">
        <v>95</v>
      </c>
      <c r="AJ2721" s="129" t="s">
        <v>48</v>
      </c>
      <c r="AK2721" s="129">
        <v>17</v>
      </c>
      <c r="AL2721" s="3" t="s">
        <v>48</v>
      </c>
      <c r="AP2721" s="129" t="s">
        <v>125</v>
      </c>
      <c r="AR2721" s="128" t="s">
        <v>50</v>
      </c>
      <c r="AS2721" s="129" t="s">
        <v>126</v>
      </c>
      <c r="BC2721" s="129" t="s">
        <v>52</v>
      </c>
      <c r="BF2721" s="111">
        <v>0</v>
      </c>
      <c r="BG2721" s="111" t="e">
        <f t="shared" si="1992"/>
        <v>#VALUE!</v>
      </c>
      <c r="BH2721" s="111">
        <f t="shared" si="1960"/>
        <v>546</v>
      </c>
      <c r="BI2721" s="111">
        <f t="shared" si="1962"/>
        <v>23.991803278688526</v>
      </c>
      <c r="BJ2721" s="129" t="e">
        <f>(G2721-J2721)+(M2721-G2721)</f>
        <v>#VALUE!</v>
      </c>
      <c r="BK2721" s="129" t="e">
        <f t="shared" si="1961"/>
        <v>#VALUE!</v>
      </c>
      <c r="BL2721" s="129" t="str">
        <f t="shared" si="1955"/>
        <v>DEFERRED</v>
      </c>
      <c r="BM2721" s="129" t="s">
        <v>76</v>
      </c>
      <c r="BN2721" s="129" t="s">
        <v>51</v>
      </c>
      <c r="BP2721" s="137" t="str">
        <f t="shared" si="1963"/>
        <v>DEFERRED</v>
      </c>
      <c r="BQ2721" s="128">
        <f t="shared" si="1971"/>
        <v>0</v>
      </c>
      <c r="BR2721" s="129" t="s">
        <v>575</v>
      </c>
      <c r="BS2721" s="129" t="str">
        <f t="shared" si="1964"/>
        <v>DISPOSED</v>
      </c>
      <c r="BT2721" s="129" t="str">
        <f t="shared" si="1965"/>
        <v>N</v>
      </c>
      <c r="BU2721" s="109">
        <f t="shared" si="1966"/>
        <v>0</v>
      </c>
      <c r="BV2721" s="109">
        <v>0</v>
      </c>
      <c r="BW2721" s="109">
        <f t="shared" si="1993"/>
        <v>0</v>
      </c>
      <c r="BX2721" s="111">
        <f t="shared" si="1967"/>
        <v>0</v>
      </c>
      <c r="BY2721" s="129" t="e">
        <f t="shared" si="1972"/>
        <v>#VALUE!</v>
      </c>
      <c r="BZ2721" s="111" t="e">
        <f t="shared" si="1973"/>
        <v>#VALUE!</v>
      </c>
      <c r="CA2721" s="138" t="e">
        <f t="shared" si="1974"/>
        <v>#VALUE!</v>
      </c>
      <c r="CB2721" s="111" t="s">
        <v>562</v>
      </c>
      <c r="CC2721" s="129">
        <v>0</v>
      </c>
      <c r="CD2721" s="111">
        <f>CC2721-BF2721</f>
        <v>0</v>
      </c>
      <c r="CG2721" s="129" t="str">
        <f t="shared" si="1975"/>
        <v>N</v>
      </c>
      <c r="CI2721" s="129" t="str">
        <f t="shared" si="1981"/>
        <v>0-10 DAYS</v>
      </c>
      <c r="CJ2721" s="137">
        <f t="shared" si="1982"/>
        <v>1</v>
      </c>
      <c r="CK2721" s="129" t="str">
        <f t="shared" si="1983"/>
        <v>Not Booked</v>
      </c>
    </row>
    <row r="2722" spans="1:89" ht="15.75" customHeight="1" x14ac:dyDescent="0.25">
      <c r="A2722" s="111">
        <v>795</v>
      </c>
      <c r="B2722" s="128" t="str">
        <f t="shared" si="1968"/>
        <v>N</v>
      </c>
      <c r="C2722" s="128" t="str">
        <f t="shared" si="1969"/>
        <v>N</v>
      </c>
      <c r="D2722" s="117">
        <v>2602531</v>
      </c>
      <c r="E2722" s="135">
        <f t="shared" si="1970"/>
        <v>1</v>
      </c>
      <c r="F2722" s="124">
        <v>40939</v>
      </c>
      <c r="G2722" s="125">
        <v>41401</v>
      </c>
      <c r="H2722" s="117">
        <v>2602531</v>
      </c>
      <c r="I2722" s="124" t="s">
        <v>562</v>
      </c>
      <c r="J2722" s="124" t="s">
        <v>562</v>
      </c>
      <c r="K2722" s="126">
        <v>30000</v>
      </c>
      <c r="L2722" s="129" t="s">
        <v>572</v>
      </c>
      <c r="M2722" s="125">
        <v>40942</v>
      </c>
      <c r="N2722" s="129" t="str">
        <f>IF(M2722&gt;1/1/1,"Y",IF(Q2722="NOT BOOKED","","N"))</f>
        <v>Y</v>
      </c>
      <c r="O2722" s="128" t="s">
        <v>585</v>
      </c>
      <c r="P2722" s="116" t="s">
        <v>55</v>
      </c>
      <c r="Q2722" s="111">
        <v>0</v>
      </c>
      <c r="R2722" s="111">
        <f t="shared" si="1959"/>
        <v>463</v>
      </c>
      <c r="S2722" s="129">
        <v>0</v>
      </c>
      <c r="T2722" s="129">
        <v>0</v>
      </c>
      <c r="W2722" s="111"/>
      <c r="AC2722" s="130"/>
      <c r="AD2722" s="130">
        <v>32848</v>
      </c>
      <c r="AE2722" s="128" t="s">
        <v>32</v>
      </c>
      <c r="AF2722" s="128" t="s">
        <v>69</v>
      </c>
      <c r="AG2722" s="128" t="s">
        <v>874</v>
      </c>
      <c r="AH2722" s="108" t="s">
        <v>31</v>
      </c>
      <c r="AI2722" s="128" t="s">
        <v>71</v>
      </c>
      <c r="AJ2722" s="129" t="s">
        <v>55</v>
      </c>
      <c r="AK2722" s="129">
        <v>12</v>
      </c>
      <c r="AL2722" s="3" t="s">
        <v>55</v>
      </c>
      <c r="AP2722" s="129" t="s">
        <v>223</v>
      </c>
      <c r="AR2722" s="128" t="s">
        <v>50</v>
      </c>
      <c r="AS2722" s="129" t="s">
        <v>74</v>
      </c>
      <c r="BC2722" s="129" t="s">
        <v>52</v>
      </c>
      <c r="BF2722" s="111">
        <v>0</v>
      </c>
      <c r="BG2722" s="111" t="e">
        <f t="shared" si="1992"/>
        <v>#VALUE!</v>
      </c>
      <c r="BH2722" s="111">
        <f t="shared" si="1960"/>
        <v>463</v>
      </c>
      <c r="BI2722" s="111">
        <f t="shared" si="1962"/>
        <v>22.106557377049182</v>
      </c>
      <c r="BJ2722" s="129" t="e">
        <f>(G2722-J2722)+(M2722-G2722)</f>
        <v>#VALUE!</v>
      </c>
      <c r="BK2722" s="129" t="e">
        <f t="shared" si="1961"/>
        <v>#VALUE!</v>
      </c>
      <c r="BL2722" s="129" t="str">
        <f t="shared" si="1955"/>
        <v>NO CONVICTION</v>
      </c>
      <c r="BM2722" s="129" t="s">
        <v>76</v>
      </c>
      <c r="BN2722" s="129" t="s">
        <v>566</v>
      </c>
      <c r="BP2722" s="137" t="str">
        <f t="shared" si="1963"/>
        <v>NO CONVICTION</v>
      </c>
      <c r="BQ2722" s="128">
        <f t="shared" si="1971"/>
        <v>0</v>
      </c>
      <c r="BR2722" s="129" t="s">
        <v>575</v>
      </c>
      <c r="BS2722" s="129" t="str">
        <f t="shared" si="1964"/>
        <v>DISPOSED</v>
      </c>
      <c r="BT2722" s="129" t="str">
        <f t="shared" si="1965"/>
        <v>N</v>
      </c>
      <c r="BU2722" s="109">
        <f>IFERROR(Q2722/R2722,BR2722)</f>
        <v>0</v>
      </c>
      <c r="BV2722" s="109">
        <v>0</v>
      </c>
      <c r="BW2722" s="109">
        <f t="shared" si="1993"/>
        <v>0</v>
      </c>
      <c r="BX2722" s="111">
        <f t="shared" si="1967"/>
        <v>0</v>
      </c>
      <c r="BY2722" s="129" t="e">
        <f t="shared" si="1972"/>
        <v>#VALUE!</v>
      </c>
      <c r="BZ2722" s="111" t="e">
        <f t="shared" si="1973"/>
        <v>#VALUE!</v>
      </c>
      <c r="CA2722" s="138" t="e">
        <f t="shared" si="1974"/>
        <v>#VALUE!</v>
      </c>
      <c r="CB2722" s="111" t="s">
        <v>562</v>
      </c>
      <c r="CC2722" s="129">
        <v>0</v>
      </c>
      <c r="CD2722" s="111">
        <f>CC2722-BF2722</f>
        <v>0</v>
      </c>
      <c r="CG2722" s="129" t="str">
        <f t="shared" si="1975"/>
        <v>N</v>
      </c>
      <c r="CI2722" s="129" t="str">
        <f t="shared" si="1981"/>
        <v>0-10 DAYS</v>
      </c>
      <c r="CJ2722" s="137">
        <f t="shared" si="1982"/>
        <v>1</v>
      </c>
      <c r="CK2722" s="129" t="str">
        <f t="shared" si="1983"/>
        <v>Not Booked</v>
      </c>
    </row>
    <row r="2723" spans="1:89" ht="15" customHeight="1" x14ac:dyDescent="0.25">
      <c r="A2723" s="111">
        <v>860</v>
      </c>
      <c r="B2723" s="128" t="str">
        <f t="shared" si="1968"/>
        <v>N</v>
      </c>
      <c r="C2723" s="128" t="str">
        <f t="shared" si="1969"/>
        <v>N</v>
      </c>
      <c r="D2723" s="117">
        <v>2602547</v>
      </c>
      <c r="E2723" s="135">
        <f t="shared" si="1970"/>
        <v>5</v>
      </c>
      <c r="F2723" s="124">
        <v>40939</v>
      </c>
      <c r="G2723" s="125">
        <v>40942</v>
      </c>
      <c r="H2723" s="117">
        <v>2602547</v>
      </c>
      <c r="I2723" s="124">
        <v>40940</v>
      </c>
      <c r="J2723" s="124">
        <v>40942</v>
      </c>
      <c r="K2723" s="126">
        <v>12000</v>
      </c>
      <c r="L2723" s="127" t="s">
        <v>571</v>
      </c>
      <c r="N2723" s="129" t="str">
        <f>IF(M2723&gt;1/1/1,"Y","N")</f>
        <v>N</v>
      </c>
      <c r="O2723" s="128" t="s">
        <v>917</v>
      </c>
      <c r="P2723" s="129" t="s">
        <v>39</v>
      </c>
      <c r="Q2723" s="111">
        <f t="shared" si="1991"/>
        <v>3</v>
      </c>
      <c r="R2723" s="111">
        <f t="shared" si="1959"/>
        <v>4</v>
      </c>
      <c r="S2723" s="129">
        <v>0</v>
      </c>
      <c r="T2723" s="129">
        <v>0</v>
      </c>
      <c r="W2723" s="111"/>
      <c r="AC2723" s="130"/>
      <c r="AD2723" s="130">
        <v>29387</v>
      </c>
      <c r="AE2723" s="128" t="s">
        <v>46</v>
      </c>
      <c r="AF2723" s="128" t="s">
        <v>69</v>
      </c>
      <c r="AG2723" s="128" t="s">
        <v>874</v>
      </c>
      <c r="AH2723" s="108" t="s">
        <v>31</v>
      </c>
      <c r="AI2723" s="128" t="s">
        <v>42</v>
      </c>
      <c r="AJ2723" s="129" t="s">
        <v>89</v>
      </c>
      <c r="AK2723" s="129">
        <v>1</v>
      </c>
      <c r="AL2723" s="3" t="s">
        <v>992</v>
      </c>
      <c r="AN2723" s="117">
        <v>8</v>
      </c>
      <c r="AP2723" s="129" t="s">
        <v>256</v>
      </c>
      <c r="AR2723" s="128" t="s">
        <v>44</v>
      </c>
      <c r="AS2723" s="129" t="s">
        <v>64</v>
      </c>
      <c r="AX2723" s="32"/>
      <c r="BC2723" s="129" t="s">
        <v>38</v>
      </c>
      <c r="BF2723" s="111">
        <f>IF(J2723&gt;1/1/1900,((J2723+1)-I2723),"STILL OPEN")</f>
        <v>3</v>
      </c>
      <c r="BG2723" s="111">
        <f t="shared" si="1992"/>
        <v>3</v>
      </c>
      <c r="BH2723" s="111">
        <f t="shared" si="1960"/>
        <v>4</v>
      </c>
      <c r="BI2723" s="111">
        <f t="shared" si="1962"/>
        <v>31.562841530054644</v>
      </c>
      <c r="BJ2723" s="129">
        <f t="shared" si="1977"/>
        <v>0</v>
      </c>
      <c r="BK2723" s="129">
        <f t="shared" si="1961"/>
        <v>0</v>
      </c>
      <c r="BL2723" s="129" t="str">
        <f t="shared" si="1955"/>
        <v>CONVICTION</v>
      </c>
      <c r="BM2723" s="129" t="str">
        <f t="shared" si="1978"/>
        <v>NONE</v>
      </c>
      <c r="BN2723" s="129" t="s">
        <v>566</v>
      </c>
      <c r="BP2723" s="137" t="str">
        <f t="shared" si="1963"/>
        <v>CONVICTION</v>
      </c>
      <c r="BQ2723" s="128" t="str">
        <f t="shared" si="1971"/>
        <v>Y</v>
      </c>
      <c r="BR2723" s="129" t="str">
        <f t="shared" si="1979"/>
        <v>DETAINED</v>
      </c>
      <c r="BS2723" s="129" t="str">
        <f t="shared" si="1964"/>
        <v>DISPOSED</v>
      </c>
      <c r="BT2723" s="129" t="str">
        <f t="shared" si="1965"/>
        <v>N</v>
      </c>
      <c r="BU2723" s="109">
        <f t="shared" si="1966"/>
        <v>0.75</v>
      </c>
      <c r="BV2723" s="109">
        <f t="shared" si="1980"/>
        <v>1</v>
      </c>
      <c r="BW2723" s="109">
        <f t="shared" si="1993"/>
        <v>0.25</v>
      </c>
      <c r="BX2723" s="111">
        <f t="shared" si="1967"/>
        <v>0</v>
      </c>
      <c r="BY2723" s="129">
        <f t="shared" si="1972"/>
        <v>-3</v>
      </c>
      <c r="BZ2723" s="111">
        <f t="shared" si="1973"/>
        <v>0</v>
      </c>
      <c r="CA2723" s="138">
        <f t="shared" si="1974"/>
        <v>3</v>
      </c>
      <c r="CB2723" s="111" t="e">
        <f>IF(AF2723&gt;1/1/1900,((AF2723+1)-AE2723),"STILL OPEN")</f>
        <v>#VALUE!</v>
      </c>
      <c r="CC2723" s="129">
        <f>G2723-I2723+1</f>
        <v>3</v>
      </c>
      <c r="CD2723" s="129">
        <f>G2723-J2723</f>
        <v>0</v>
      </c>
      <c r="CG2723" s="129" t="str">
        <f t="shared" si="1975"/>
        <v>N</v>
      </c>
      <c r="CI2723" s="129" t="str">
        <f t="shared" si="1981"/>
        <v>0-10 DAYS</v>
      </c>
      <c r="CJ2723" s="137">
        <f t="shared" si="1982"/>
        <v>1</v>
      </c>
      <c r="CK2723" s="129" t="str">
        <f t="shared" si="1983"/>
        <v>Booked</v>
      </c>
    </row>
    <row r="2724" spans="1:89" ht="15.75" customHeight="1" x14ac:dyDescent="0.25">
      <c r="A2724" s="111">
        <v>797</v>
      </c>
      <c r="B2724" s="128" t="str">
        <f t="shared" si="1968"/>
        <v>N</v>
      </c>
      <c r="C2724" s="128" t="str">
        <f t="shared" si="1969"/>
        <v>N</v>
      </c>
      <c r="D2724" s="117">
        <v>2602550</v>
      </c>
      <c r="E2724" s="135">
        <f t="shared" si="1970"/>
        <v>1</v>
      </c>
      <c r="F2724" s="124">
        <v>40939</v>
      </c>
      <c r="G2724" s="125">
        <v>40942</v>
      </c>
      <c r="H2724" s="117">
        <v>2602550</v>
      </c>
      <c r="I2724" s="124">
        <v>40940</v>
      </c>
      <c r="J2724" s="124">
        <v>40942</v>
      </c>
      <c r="K2724" s="126" t="s">
        <v>564</v>
      </c>
      <c r="L2724" s="127" t="s">
        <v>564</v>
      </c>
      <c r="N2724" s="129" t="s">
        <v>566</v>
      </c>
      <c r="O2724" s="128" t="s">
        <v>917</v>
      </c>
      <c r="P2724" s="116" t="s">
        <v>55</v>
      </c>
      <c r="Q2724" s="111">
        <f t="shared" si="1991"/>
        <v>3</v>
      </c>
      <c r="R2724" s="111">
        <f t="shared" si="1959"/>
        <v>4</v>
      </c>
      <c r="S2724" s="129">
        <v>0</v>
      </c>
      <c r="T2724" s="129">
        <v>0</v>
      </c>
      <c r="W2724" s="111"/>
      <c r="AB2724" s="131" t="s">
        <v>112</v>
      </c>
      <c r="AC2724" s="130"/>
      <c r="AD2724" s="130">
        <v>31105</v>
      </c>
      <c r="AE2724" s="128" t="s">
        <v>32</v>
      </c>
      <c r="AF2724" s="128" t="s">
        <v>40</v>
      </c>
      <c r="AG2724" s="128" t="s">
        <v>41</v>
      </c>
      <c r="AH2724" s="108" t="s">
        <v>31</v>
      </c>
      <c r="AI2724" s="128" t="s">
        <v>83</v>
      </c>
      <c r="AJ2724" s="129" t="s">
        <v>55</v>
      </c>
      <c r="AK2724" s="129">
        <v>2</v>
      </c>
      <c r="AL2724" s="3" t="s">
        <v>55</v>
      </c>
      <c r="AP2724" s="129" t="s">
        <v>249</v>
      </c>
      <c r="AR2724" s="128" t="s">
        <v>50</v>
      </c>
      <c r="AS2724" s="129" t="s">
        <v>163</v>
      </c>
      <c r="BC2724" s="129" t="s">
        <v>38</v>
      </c>
      <c r="BF2724" s="111">
        <f>IF(J2724&gt;1/1/1900,((J2724+1)-I2724),"STILL OPEN")</f>
        <v>3</v>
      </c>
      <c r="BG2724" s="111">
        <f t="shared" si="1992"/>
        <v>3</v>
      </c>
      <c r="BH2724" s="111">
        <f t="shared" si="1960"/>
        <v>4</v>
      </c>
      <c r="BI2724" s="111">
        <f t="shared" si="1962"/>
        <v>26.868852459016395</v>
      </c>
      <c r="BJ2724" s="129">
        <f t="shared" si="1977"/>
        <v>0</v>
      </c>
      <c r="BK2724" s="129">
        <f t="shared" si="1961"/>
        <v>0</v>
      </c>
      <c r="BL2724" s="129" t="str">
        <f t="shared" si="1955"/>
        <v>NO CONVICTION</v>
      </c>
      <c r="BM2724" s="129" t="str">
        <f t="shared" si="1978"/>
        <v>NONE</v>
      </c>
      <c r="BN2724" s="129" t="s">
        <v>566</v>
      </c>
      <c r="BP2724" s="137" t="str">
        <f t="shared" si="1963"/>
        <v>NO CONVICTION</v>
      </c>
      <c r="BQ2724" s="128" t="str">
        <f t="shared" si="1971"/>
        <v>Y</v>
      </c>
      <c r="BR2724" s="129" t="str">
        <f t="shared" si="1979"/>
        <v>DETAINED</v>
      </c>
      <c r="BS2724" s="129" t="str">
        <f t="shared" si="1964"/>
        <v>DISPOSED</v>
      </c>
      <c r="BT2724" s="129" t="str">
        <f t="shared" si="1965"/>
        <v>N</v>
      </c>
      <c r="BU2724" s="109">
        <f>IFERROR(Q2724/R2724,BR2724)</f>
        <v>0.75</v>
      </c>
      <c r="BV2724" s="109">
        <f t="shared" si="1980"/>
        <v>1</v>
      </c>
      <c r="BW2724" s="109">
        <f t="shared" si="1993"/>
        <v>0.25</v>
      </c>
      <c r="BX2724" s="111">
        <f t="shared" si="1967"/>
        <v>0</v>
      </c>
      <c r="BY2724" s="129">
        <f t="shared" si="1972"/>
        <v>-3</v>
      </c>
      <c r="BZ2724" s="111">
        <f t="shared" si="1973"/>
        <v>0</v>
      </c>
      <c r="CA2724" s="138">
        <f t="shared" si="1974"/>
        <v>3</v>
      </c>
      <c r="CB2724" s="111" t="e">
        <f>IF(AF2724&gt;1/1/1900,((AF2724+1)-AE2724),"STILL OPEN")</f>
        <v>#VALUE!</v>
      </c>
      <c r="CC2724" s="129">
        <f>G2724-I2724+1</f>
        <v>3</v>
      </c>
      <c r="CD2724" s="129">
        <f>G2724-J2724</f>
        <v>0</v>
      </c>
      <c r="CG2724" s="129" t="str">
        <f t="shared" si="1975"/>
        <v>N</v>
      </c>
      <c r="CI2724" s="129" t="str">
        <f t="shared" si="1981"/>
        <v>0-10 DAYS</v>
      </c>
      <c r="CJ2724" s="137">
        <f t="shared" si="1982"/>
        <v>1</v>
      </c>
      <c r="CK2724" s="129" t="str">
        <f t="shared" si="1983"/>
        <v>Booked</v>
      </c>
    </row>
    <row r="2725" spans="1:89" ht="15.75" customHeight="1" x14ac:dyDescent="0.25">
      <c r="A2725" s="111">
        <v>800</v>
      </c>
      <c r="B2725" s="128" t="str">
        <f t="shared" si="1968"/>
        <v>N</v>
      </c>
      <c r="C2725" s="128" t="str">
        <f t="shared" si="1969"/>
        <v>N</v>
      </c>
      <c r="D2725" s="117">
        <v>2602555</v>
      </c>
      <c r="E2725" s="135">
        <f t="shared" si="1970"/>
        <v>2</v>
      </c>
      <c r="F2725" s="124">
        <v>40939</v>
      </c>
      <c r="G2725" s="125">
        <v>41046</v>
      </c>
      <c r="H2725" s="117">
        <v>2602555</v>
      </c>
      <c r="I2725" s="124" t="s">
        <v>562</v>
      </c>
      <c r="J2725" s="124" t="s">
        <v>562</v>
      </c>
      <c r="K2725" s="126">
        <v>10000</v>
      </c>
      <c r="L2725" s="127" t="s">
        <v>570</v>
      </c>
      <c r="M2725" s="125">
        <v>40944</v>
      </c>
      <c r="N2725" s="129" t="str">
        <f>IF(M2725&gt;1/1/1,"Y",IF(Q2725="0","","N"))</f>
        <v>Y</v>
      </c>
      <c r="O2725" s="128" t="s">
        <v>76</v>
      </c>
      <c r="P2725" s="129" t="s">
        <v>589</v>
      </c>
      <c r="Q2725" s="111">
        <f t="shared" si="1991"/>
        <v>0</v>
      </c>
      <c r="R2725" s="111">
        <f t="shared" si="1959"/>
        <v>108</v>
      </c>
      <c r="S2725" s="129">
        <v>0</v>
      </c>
      <c r="T2725" s="129">
        <v>0</v>
      </c>
      <c r="W2725" s="111"/>
      <c r="AB2725" s="131" t="s">
        <v>112</v>
      </c>
      <c r="AC2725" s="130"/>
      <c r="AD2725" s="130">
        <v>34124</v>
      </c>
      <c r="AE2725" s="128" t="s">
        <v>32</v>
      </c>
      <c r="AF2725" s="128" t="s">
        <v>40</v>
      </c>
      <c r="AG2725" s="128" t="s">
        <v>41</v>
      </c>
      <c r="AH2725" s="108" t="s">
        <v>31</v>
      </c>
      <c r="AI2725" s="128" t="s">
        <v>53</v>
      </c>
      <c r="AJ2725" s="129" t="s">
        <v>48</v>
      </c>
      <c r="AK2725" s="129">
        <v>6</v>
      </c>
      <c r="AL2725" s="3" t="s">
        <v>48</v>
      </c>
      <c r="AP2725" s="129" t="s">
        <v>56</v>
      </c>
      <c r="AR2725" s="128" t="s">
        <v>50</v>
      </c>
      <c r="AS2725" s="129" t="s">
        <v>57</v>
      </c>
      <c r="BC2725" s="129" t="s">
        <v>52</v>
      </c>
      <c r="BF2725" s="111">
        <v>0</v>
      </c>
      <c r="BG2725" s="111">
        <v>0</v>
      </c>
      <c r="BH2725" s="111">
        <f t="shared" si="1960"/>
        <v>108</v>
      </c>
      <c r="BI2725" s="111">
        <f t="shared" si="1962"/>
        <v>18.620218579234972</v>
      </c>
      <c r="BJ2725" s="129" t="e">
        <f>(G2725-J2725)+(M2725-G2725)</f>
        <v>#VALUE!</v>
      </c>
      <c r="BK2725" s="129" t="e">
        <f t="shared" si="1961"/>
        <v>#VALUE!</v>
      </c>
      <c r="BL2725" s="129" t="str">
        <f t="shared" si="1955"/>
        <v>DEFERRED</v>
      </c>
      <c r="BM2725" s="129" t="s">
        <v>76</v>
      </c>
      <c r="BN2725" s="129" t="s">
        <v>88</v>
      </c>
      <c r="BP2725" s="137" t="str">
        <f t="shared" si="1963"/>
        <v>DEFERRED</v>
      </c>
      <c r="BQ2725" s="128">
        <f t="shared" si="1971"/>
        <v>0</v>
      </c>
      <c r="BR2725" s="129" t="s">
        <v>575</v>
      </c>
      <c r="BS2725" s="129" t="str">
        <f t="shared" si="1964"/>
        <v>DISPOSED</v>
      </c>
      <c r="BT2725" s="129" t="str">
        <f t="shared" si="1965"/>
        <v>N</v>
      </c>
      <c r="BU2725" s="109">
        <f t="shared" si="1966"/>
        <v>0</v>
      </c>
      <c r="BV2725" s="109">
        <v>0</v>
      </c>
      <c r="BW2725" s="109">
        <f t="shared" si="1993"/>
        <v>0</v>
      </c>
      <c r="BX2725" s="111">
        <f t="shared" si="1967"/>
        <v>0</v>
      </c>
      <c r="BY2725" s="129" t="e">
        <f t="shared" si="1972"/>
        <v>#VALUE!</v>
      </c>
      <c r="BZ2725" s="111" t="e">
        <f t="shared" si="1973"/>
        <v>#VALUE!</v>
      </c>
      <c r="CA2725" s="138" t="e">
        <f t="shared" si="1974"/>
        <v>#VALUE!</v>
      </c>
      <c r="CB2725" s="111">
        <v>0</v>
      </c>
      <c r="CC2725" s="129">
        <v>0</v>
      </c>
      <c r="CD2725" s="111">
        <f>CC2725-BF2725</f>
        <v>0</v>
      </c>
      <c r="CG2725" s="129" t="str">
        <f t="shared" si="1975"/>
        <v>N</v>
      </c>
      <c r="CI2725" s="129" t="str">
        <f t="shared" si="1981"/>
        <v>0-10 DAYS</v>
      </c>
      <c r="CJ2725" s="137">
        <f t="shared" si="1982"/>
        <v>1</v>
      </c>
      <c r="CK2725" s="129" t="str">
        <f t="shared" si="1983"/>
        <v>Not Booked</v>
      </c>
    </row>
    <row r="2726" spans="1:89" ht="15" customHeight="1" x14ac:dyDescent="0.25">
      <c r="A2726" s="111">
        <v>802</v>
      </c>
      <c r="B2726" s="128" t="str">
        <f t="shared" si="1968"/>
        <v>N</v>
      </c>
      <c r="C2726" s="128" t="str">
        <f t="shared" si="1969"/>
        <v>N</v>
      </c>
      <c r="D2726" s="117">
        <v>2602558</v>
      </c>
      <c r="E2726" s="135">
        <f t="shared" si="1970"/>
        <v>6</v>
      </c>
      <c r="F2726" s="124">
        <v>40939</v>
      </c>
      <c r="G2726" s="125">
        <v>41150</v>
      </c>
      <c r="H2726" s="117">
        <v>2602558</v>
      </c>
      <c r="I2726" s="124">
        <v>40998</v>
      </c>
      <c r="J2726" s="124">
        <v>41150</v>
      </c>
      <c r="K2726" s="126" t="s">
        <v>564</v>
      </c>
      <c r="L2726" s="127" t="s">
        <v>564</v>
      </c>
      <c r="N2726" s="129" t="s">
        <v>566</v>
      </c>
      <c r="O2726" s="128" t="s">
        <v>917</v>
      </c>
      <c r="P2726" s="129" t="s">
        <v>39</v>
      </c>
      <c r="Q2726" s="111">
        <f t="shared" si="1991"/>
        <v>153</v>
      </c>
      <c r="R2726" s="111">
        <f t="shared" si="1959"/>
        <v>212</v>
      </c>
      <c r="S2726" s="129">
        <v>0</v>
      </c>
      <c r="T2726" s="129">
        <v>0</v>
      </c>
      <c r="W2726" s="111"/>
      <c r="AC2726" s="130"/>
      <c r="AD2726" s="130">
        <v>34568</v>
      </c>
      <c r="AE2726" s="128" t="s">
        <v>32</v>
      </c>
      <c r="AF2726" s="128" t="s">
        <v>33</v>
      </c>
      <c r="AG2726" s="128" t="s">
        <v>872</v>
      </c>
      <c r="AH2726" s="108" t="s">
        <v>31</v>
      </c>
      <c r="AI2726" s="128" t="s">
        <v>85</v>
      </c>
      <c r="AJ2726" s="129" t="s">
        <v>89</v>
      </c>
      <c r="AK2726" s="129">
        <v>8</v>
      </c>
      <c r="AL2726" s="3" t="s">
        <v>362</v>
      </c>
      <c r="AM2726" s="117">
        <v>7</v>
      </c>
      <c r="AP2726" s="129" t="s">
        <v>56</v>
      </c>
      <c r="AR2726" s="128" t="s">
        <v>50</v>
      </c>
      <c r="AS2726" s="129" t="s">
        <v>57</v>
      </c>
      <c r="BC2726" s="129" t="s">
        <v>52</v>
      </c>
      <c r="BF2726" s="111">
        <f>IF(J2726&gt;1/1/1900,((J2726+1)-I2726),"STILL OPEN")</f>
        <v>153</v>
      </c>
      <c r="BG2726" s="111">
        <f>IF(G2726&gt;1/1/1900,((G2726+1)-I2726),"STILL OPEN")</f>
        <v>153</v>
      </c>
      <c r="BH2726" s="111">
        <f t="shared" si="1960"/>
        <v>212</v>
      </c>
      <c r="BI2726" s="111">
        <f t="shared" si="1962"/>
        <v>17.407103825136613</v>
      </c>
      <c r="BJ2726" s="129">
        <f t="shared" si="1977"/>
        <v>0</v>
      </c>
      <c r="BK2726" s="129">
        <f t="shared" si="1961"/>
        <v>0</v>
      </c>
      <c r="BL2726" s="129" t="str">
        <f t="shared" si="1955"/>
        <v>CONVICTION</v>
      </c>
      <c r="BM2726" s="129" t="str">
        <f t="shared" si="1978"/>
        <v>NONE</v>
      </c>
      <c r="BN2726" s="129" t="s">
        <v>566</v>
      </c>
      <c r="BP2726" s="137" t="str">
        <f t="shared" si="1963"/>
        <v>CONVICTION</v>
      </c>
      <c r="BQ2726" s="128" t="str">
        <f t="shared" si="1971"/>
        <v>Y</v>
      </c>
      <c r="BR2726" s="129" t="str">
        <f t="shared" si="1979"/>
        <v>DETAINED</v>
      </c>
      <c r="BS2726" s="129" t="str">
        <f t="shared" si="1964"/>
        <v>DISPOSED</v>
      </c>
      <c r="BT2726" s="129" t="str">
        <f t="shared" si="1965"/>
        <v>N</v>
      </c>
      <c r="BU2726" s="109">
        <f t="shared" si="1966"/>
        <v>0.72169811320754718</v>
      </c>
      <c r="BV2726" s="109">
        <f t="shared" si="1980"/>
        <v>1</v>
      </c>
      <c r="BW2726" s="109">
        <f t="shared" si="1993"/>
        <v>0.27830188679245282</v>
      </c>
      <c r="BX2726" s="111">
        <f t="shared" si="1967"/>
        <v>0</v>
      </c>
      <c r="BY2726" s="129">
        <f t="shared" si="1972"/>
        <v>-153</v>
      </c>
      <c r="BZ2726" s="111">
        <f t="shared" si="1973"/>
        <v>0</v>
      </c>
      <c r="CA2726" s="138">
        <f t="shared" si="1974"/>
        <v>153</v>
      </c>
      <c r="CB2726" s="111" t="e">
        <f>IF(AF2726&gt;1/1/1900,((AF2726+1)-AE2726),"STILL OPEN")</f>
        <v>#VALUE!</v>
      </c>
      <c r="CC2726" s="129">
        <f>G2726-I2726+1</f>
        <v>153</v>
      </c>
      <c r="CD2726" s="129">
        <f>G2726-J2726</f>
        <v>0</v>
      </c>
      <c r="CG2726" s="129" t="str">
        <f t="shared" si="1975"/>
        <v>N</v>
      </c>
      <c r="CI2726" s="129" t="str">
        <f t="shared" si="1981"/>
        <v>121-365 DAYS</v>
      </c>
      <c r="CJ2726" s="137">
        <f t="shared" si="1982"/>
        <v>6</v>
      </c>
      <c r="CK2726" s="129" t="str">
        <f t="shared" si="1983"/>
        <v>Booked</v>
      </c>
    </row>
    <row r="2727" spans="1:89" ht="15.75" customHeight="1" x14ac:dyDescent="0.25">
      <c r="A2727" s="111">
        <v>329</v>
      </c>
      <c r="B2727" s="128" t="str">
        <f t="shared" si="1968"/>
        <v>N</v>
      </c>
      <c r="C2727" s="128" t="str">
        <f t="shared" si="1969"/>
        <v>N</v>
      </c>
      <c r="D2727" s="117">
        <v>2602560</v>
      </c>
      <c r="E2727" s="135">
        <f t="shared" si="1970"/>
        <v>1</v>
      </c>
      <c r="F2727" s="124">
        <v>40921</v>
      </c>
      <c r="G2727" s="125">
        <v>40940</v>
      </c>
      <c r="H2727" s="117">
        <v>2602560</v>
      </c>
      <c r="I2727" s="124" t="s">
        <v>562</v>
      </c>
      <c r="J2727" s="124" t="s">
        <v>562</v>
      </c>
      <c r="K2727" s="126" t="s">
        <v>564</v>
      </c>
      <c r="L2727" s="127" t="s">
        <v>564</v>
      </c>
      <c r="N2727" s="124" t="s">
        <v>1342</v>
      </c>
      <c r="O2727" s="128" t="s">
        <v>917</v>
      </c>
      <c r="P2727" s="129" t="s">
        <v>55</v>
      </c>
      <c r="Q2727" s="111">
        <f t="shared" si="1991"/>
        <v>0</v>
      </c>
      <c r="R2727" s="111">
        <f t="shared" si="1959"/>
        <v>20</v>
      </c>
      <c r="S2727" s="129">
        <v>0</v>
      </c>
      <c r="T2727" s="129">
        <v>1</v>
      </c>
      <c r="W2727" s="111"/>
      <c r="AC2727" s="130"/>
      <c r="AD2727" s="130">
        <v>29236</v>
      </c>
      <c r="AE2727" s="128" t="s">
        <v>32</v>
      </c>
      <c r="AF2727" s="128" t="s">
        <v>33</v>
      </c>
      <c r="AG2727" s="128" t="s">
        <v>872</v>
      </c>
      <c r="AH2727" s="108" t="s">
        <v>31</v>
      </c>
      <c r="AI2727" s="128" t="s">
        <v>100</v>
      </c>
      <c r="AJ2727" s="129" t="s">
        <v>55</v>
      </c>
      <c r="AK2727" s="129">
        <v>1</v>
      </c>
      <c r="AL2727" s="3" t="s">
        <v>55</v>
      </c>
      <c r="AP2727" s="129" t="s">
        <v>110</v>
      </c>
      <c r="AR2727" s="128" t="s">
        <v>50</v>
      </c>
      <c r="AS2727" s="129" t="s">
        <v>74</v>
      </c>
      <c r="AT2727" s="129" t="s">
        <v>1241</v>
      </c>
      <c r="BC2727" s="129" t="s">
        <v>79</v>
      </c>
      <c r="BD2727" s="32"/>
      <c r="BF2727" s="111">
        <v>0</v>
      </c>
      <c r="BG2727" s="111">
        <v>0</v>
      </c>
      <c r="BH2727" s="111">
        <f t="shared" si="1960"/>
        <v>20</v>
      </c>
      <c r="BI2727" s="111">
        <f t="shared" si="1962"/>
        <v>31.92622950819672</v>
      </c>
      <c r="BJ2727" s="129" t="e">
        <f>(G2727-J2727)+(M2727-G2727)</f>
        <v>#VALUE!</v>
      </c>
      <c r="BK2727" s="129" t="e">
        <f t="shared" si="1961"/>
        <v>#VALUE!</v>
      </c>
      <c r="BL2727" s="129" t="str">
        <f t="shared" si="1955"/>
        <v>NO CONVICTION</v>
      </c>
      <c r="BM2727" s="129" t="str">
        <f t="shared" si="1978"/>
        <v>NONE</v>
      </c>
      <c r="BN2727" s="129" t="s">
        <v>566</v>
      </c>
      <c r="BP2727" s="137" t="str">
        <f t="shared" si="1963"/>
        <v>NO CONVICTION</v>
      </c>
      <c r="BQ2727" s="128">
        <f t="shared" si="1971"/>
        <v>0</v>
      </c>
      <c r="BR2727" s="129" t="s">
        <v>1345</v>
      </c>
      <c r="BS2727" s="129" t="str">
        <f t="shared" si="1964"/>
        <v>DISPOSED</v>
      </c>
      <c r="BT2727" s="129" t="str">
        <f t="shared" si="1965"/>
        <v>N</v>
      </c>
      <c r="BU2727" s="109">
        <f>IFERROR(Q2727/R2727,BR2727)</f>
        <v>0</v>
      </c>
      <c r="BV2727" s="109">
        <v>0</v>
      </c>
      <c r="BW2727" s="109">
        <f t="shared" si="1993"/>
        <v>0</v>
      </c>
      <c r="BX2727" s="111">
        <f t="shared" si="1967"/>
        <v>0</v>
      </c>
      <c r="BY2727" s="129" t="e">
        <f t="shared" si="1972"/>
        <v>#VALUE!</v>
      </c>
      <c r="BZ2727" s="111" t="e">
        <f t="shared" si="1973"/>
        <v>#VALUE!</v>
      </c>
      <c r="CA2727" s="138" t="e">
        <f t="shared" si="1974"/>
        <v>#VALUE!</v>
      </c>
      <c r="CB2727" s="111">
        <v>0</v>
      </c>
      <c r="CC2727" s="129">
        <v>0</v>
      </c>
      <c r="CG2727" s="129" t="str">
        <f t="shared" si="1975"/>
        <v>Y</v>
      </c>
      <c r="CI2727" s="129" t="str">
        <f t="shared" si="1981"/>
        <v>0-10 DAYS</v>
      </c>
      <c r="CJ2727" s="137">
        <f t="shared" si="1982"/>
        <v>1</v>
      </c>
      <c r="CK2727" s="129" t="str">
        <f t="shared" si="1983"/>
        <v>Not Booked</v>
      </c>
    </row>
    <row r="2728" spans="1:89" ht="15.75" customHeight="1" x14ac:dyDescent="0.25">
      <c r="A2728" s="111">
        <v>811</v>
      </c>
      <c r="B2728" s="128" t="str">
        <f t="shared" si="1968"/>
        <v>N</v>
      </c>
      <c r="C2728" s="128" t="str">
        <f t="shared" si="1969"/>
        <v>N</v>
      </c>
      <c r="D2728" s="117">
        <v>2602571</v>
      </c>
      <c r="E2728" s="135">
        <f t="shared" si="1970"/>
        <v>6</v>
      </c>
      <c r="F2728" s="124">
        <v>40940</v>
      </c>
      <c r="G2728" s="125">
        <v>41292</v>
      </c>
      <c r="H2728" s="117">
        <v>2602571</v>
      </c>
      <c r="I2728" s="124">
        <v>40940</v>
      </c>
      <c r="J2728" s="125">
        <v>41292</v>
      </c>
      <c r="K2728" s="126">
        <v>10000</v>
      </c>
      <c r="L2728" s="127" t="s">
        <v>570</v>
      </c>
      <c r="N2728" s="129" t="str">
        <f>IF(M2728&gt;1/1/1,"Y","N")</f>
        <v>N</v>
      </c>
      <c r="O2728" s="128" t="s">
        <v>917</v>
      </c>
      <c r="P2728" s="129" t="s">
        <v>39</v>
      </c>
      <c r="Q2728" s="111">
        <f t="shared" si="1991"/>
        <v>353</v>
      </c>
      <c r="R2728" s="111">
        <f t="shared" si="1959"/>
        <v>353</v>
      </c>
      <c r="S2728" s="129">
        <v>0</v>
      </c>
      <c r="T2728" s="129">
        <v>0</v>
      </c>
      <c r="W2728" s="111"/>
      <c r="AB2728" s="131" t="s">
        <v>112</v>
      </c>
      <c r="AC2728" s="130"/>
      <c r="AD2728" s="130">
        <v>25364</v>
      </c>
      <c r="AE2728" s="128" t="s">
        <v>32</v>
      </c>
      <c r="AF2728" s="128" t="s">
        <v>40</v>
      </c>
      <c r="AG2728" s="128" t="s">
        <v>41</v>
      </c>
      <c r="AH2728" s="108" t="s">
        <v>31</v>
      </c>
      <c r="AI2728" s="128" t="s">
        <v>70</v>
      </c>
      <c r="AJ2728" s="129" t="s">
        <v>89</v>
      </c>
      <c r="AK2728" s="129">
        <v>16</v>
      </c>
      <c r="AL2728" s="3" t="s">
        <v>362</v>
      </c>
      <c r="AM2728" s="117">
        <v>2</v>
      </c>
      <c r="AP2728" s="129" t="s">
        <v>56</v>
      </c>
      <c r="AR2728" s="128" t="s">
        <v>50</v>
      </c>
      <c r="AS2728" s="129" t="s">
        <v>57</v>
      </c>
      <c r="BC2728" s="129" t="s">
        <v>38</v>
      </c>
      <c r="BF2728" s="111">
        <f t="shared" ref="BF2728:BF2734" si="1994">IF(J2728&gt;1/1/1900,((J2728+1)-I2728),"STILL OPEN")</f>
        <v>353</v>
      </c>
      <c r="BG2728" s="111">
        <f t="shared" ref="BG2728:BG2734" si="1995">IF(G2728&gt;1/1/1900,((G2728+1)-I2728),"STILL OPEN")</f>
        <v>353</v>
      </c>
      <c r="BH2728" s="111">
        <f t="shared" si="1960"/>
        <v>353</v>
      </c>
      <c r="BI2728" s="111">
        <f t="shared" si="1962"/>
        <v>42.557377049180324</v>
      </c>
      <c r="BJ2728" s="129">
        <f t="shared" si="1977"/>
        <v>0</v>
      </c>
      <c r="BK2728" s="129">
        <f t="shared" si="1961"/>
        <v>0</v>
      </c>
      <c r="BL2728" s="129" t="str">
        <f t="shared" si="1955"/>
        <v>CONVICTION</v>
      </c>
      <c r="BM2728" s="129" t="str">
        <f t="shared" si="1978"/>
        <v>NONE</v>
      </c>
      <c r="BN2728" s="129" t="s">
        <v>566</v>
      </c>
      <c r="BP2728" s="137" t="str">
        <f t="shared" si="1963"/>
        <v>CONVICTION</v>
      </c>
      <c r="BQ2728" s="128" t="str">
        <f t="shared" si="1971"/>
        <v>Y</v>
      </c>
      <c r="BR2728" s="129" t="str">
        <f t="shared" si="1979"/>
        <v>DETAINED</v>
      </c>
      <c r="BS2728" s="129" t="str">
        <f t="shared" si="1964"/>
        <v>DISPOSED</v>
      </c>
      <c r="BT2728" s="129" t="str">
        <f t="shared" si="1965"/>
        <v>N</v>
      </c>
      <c r="BU2728" s="109">
        <f t="shared" si="1966"/>
        <v>1</v>
      </c>
      <c r="BV2728" s="109">
        <f t="shared" si="1980"/>
        <v>1</v>
      </c>
      <c r="BW2728" s="109">
        <f t="shared" si="1993"/>
        <v>0</v>
      </c>
      <c r="BX2728" s="111">
        <f t="shared" si="1967"/>
        <v>0</v>
      </c>
      <c r="BY2728" s="129">
        <f t="shared" si="1972"/>
        <v>-353</v>
      </c>
      <c r="BZ2728" s="111">
        <f t="shared" si="1973"/>
        <v>0</v>
      </c>
      <c r="CA2728" s="138">
        <f t="shared" si="1974"/>
        <v>353</v>
      </c>
      <c r="CB2728" s="111" t="e">
        <f t="shared" ref="CB2728:CB2734" si="1996">IF(AF2728&gt;1/1/1900,((AF2728+1)-AE2728),"STILL OPEN")</f>
        <v>#VALUE!</v>
      </c>
      <c r="CC2728" s="129">
        <f>G2728-I2728+1</f>
        <v>353</v>
      </c>
      <c r="CD2728" s="129">
        <f>G2728-J2728</f>
        <v>0</v>
      </c>
      <c r="CG2728" s="129" t="str">
        <f t="shared" si="1975"/>
        <v>N</v>
      </c>
      <c r="CI2728" s="129" t="str">
        <f t="shared" si="1981"/>
        <v>121-365 DAYS</v>
      </c>
      <c r="CJ2728" s="137">
        <f t="shared" si="1982"/>
        <v>6</v>
      </c>
      <c r="CK2728" s="129" t="str">
        <f t="shared" si="1983"/>
        <v>Booked</v>
      </c>
    </row>
    <row r="2729" spans="1:89" ht="15.75" customHeight="1" x14ac:dyDescent="0.25">
      <c r="A2729" s="111">
        <v>816</v>
      </c>
      <c r="B2729" s="128" t="str">
        <f t="shared" si="1968"/>
        <v>N</v>
      </c>
      <c r="C2729" s="128" t="str">
        <f t="shared" si="1969"/>
        <v>N</v>
      </c>
      <c r="D2729" s="117">
        <v>2602583</v>
      </c>
      <c r="E2729" s="135">
        <f t="shared" si="1970"/>
        <v>6</v>
      </c>
      <c r="F2729" s="124">
        <v>40940</v>
      </c>
      <c r="G2729" s="125">
        <v>41106</v>
      </c>
      <c r="H2729" s="117">
        <v>2602583</v>
      </c>
      <c r="I2729" s="124">
        <v>40941</v>
      </c>
      <c r="J2729" s="124">
        <v>41106</v>
      </c>
      <c r="K2729" s="126">
        <v>120000</v>
      </c>
      <c r="L2729" s="129" t="s">
        <v>572</v>
      </c>
      <c r="N2729" s="129" t="str">
        <f>IF(M2729&gt;1/1/1,"Y","N")</f>
        <v>N</v>
      </c>
      <c r="O2729" s="128" t="s">
        <v>917</v>
      </c>
      <c r="P2729" s="129" t="s">
        <v>39</v>
      </c>
      <c r="Q2729" s="111">
        <f t="shared" si="1991"/>
        <v>166</v>
      </c>
      <c r="R2729" s="111">
        <f t="shared" si="1959"/>
        <v>167</v>
      </c>
      <c r="S2729" s="129">
        <v>0</v>
      </c>
      <c r="T2729" s="129">
        <v>0</v>
      </c>
      <c r="W2729" s="111"/>
      <c r="AB2729" s="131" t="s">
        <v>112</v>
      </c>
      <c r="AC2729" s="130"/>
      <c r="AD2729" s="130">
        <v>31178</v>
      </c>
      <c r="AE2729" s="128" t="s">
        <v>32</v>
      </c>
      <c r="AF2729" s="128" t="s">
        <v>40</v>
      </c>
      <c r="AG2729" s="128" t="s">
        <v>41</v>
      </c>
      <c r="AH2729" s="108" t="s">
        <v>31</v>
      </c>
      <c r="AI2729" s="128" t="s">
        <v>87</v>
      </c>
      <c r="AJ2729" s="129" t="s">
        <v>89</v>
      </c>
      <c r="AK2729" s="129">
        <v>9</v>
      </c>
      <c r="AL2729" s="3" t="s">
        <v>362</v>
      </c>
      <c r="AM2729" s="117">
        <v>8</v>
      </c>
      <c r="AP2729" s="129" t="s">
        <v>149</v>
      </c>
      <c r="AR2729" s="128" t="s">
        <v>92</v>
      </c>
      <c r="AS2729" s="129" t="s">
        <v>82</v>
      </c>
      <c r="BC2729" s="129" t="s">
        <v>52</v>
      </c>
      <c r="BF2729" s="111">
        <f t="shared" si="1994"/>
        <v>166</v>
      </c>
      <c r="BG2729" s="111">
        <f t="shared" si="1995"/>
        <v>166</v>
      </c>
      <c r="BH2729" s="111">
        <f t="shared" si="1960"/>
        <v>167</v>
      </c>
      <c r="BI2729" s="111">
        <f t="shared" si="1962"/>
        <v>26.672131147540984</v>
      </c>
      <c r="BJ2729" s="129">
        <f t="shared" si="1977"/>
        <v>0</v>
      </c>
      <c r="BK2729" s="129">
        <f t="shared" si="1961"/>
        <v>0</v>
      </c>
      <c r="BL2729" s="129" t="str">
        <f t="shared" si="1955"/>
        <v>CONVICTION</v>
      </c>
      <c r="BM2729" s="129" t="str">
        <f t="shared" si="1978"/>
        <v>NONE</v>
      </c>
      <c r="BN2729" s="129" t="s">
        <v>566</v>
      </c>
      <c r="BP2729" s="137" t="str">
        <f t="shared" si="1963"/>
        <v>CONVICTION</v>
      </c>
      <c r="BQ2729" s="128" t="str">
        <f t="shared" si="1971"/>
        <v>Y</v>
      </c>
      <c r="BR2729" s="129" t="str">
        <f t="shared" si="1979"/>
        <v>DETAINED</v>
      </c>
      <c r="BS2729" s="129" t="str">
        <f t="shared" si="1964"/>
        <v>DISPOSED</v>
      </c>
      <c r="BT2729" s="129" t="str">
        <f t="shared" si="1965"/>
        <v>N</v>
      </c>
      <c r="BU2729" s="109">
        <f t="shared" si="1966"/>
        <v>0.99401197604790414</v>
      </c>
      <c r="BV2729" s="109">
        <f t="shared" si="1980"/>
        <v>1</v>
      </c>
      <c r="BW2729" s="109">
        <f t="shared" si="1993"/>
        <v>5.9880239520958556E-3</v>
      </c>
      <c r="BX2729" s="111">
        <f t="shared" si="1967"/>
        <v>0</v>
      </c>
      <c r="BY2729" s="129">
        <f t="shared" si="1972"/>
        <v>-166</v>
      </c>
      <c r="BZ2729" s="111">
        <f t="shared" si="1973"/>
        <v>0</v>
      </c>
      <c r="CA2729" s="138">
        <f t="shared" si="1974"/>
        <v>166</v>
      </c>
      <c r="CB2729" s="111" t="e">
        <f t="shared" si="1996"/>
        <v>#VALUE!</v>
      </c>
      <c r="CC2729" s="129">
        <f>G2729-I2729+1</f>
        <v>166</v>
      </c>
      <c r="CD2729" s="129">
        <f>G2729-J2729</f>
        <v>0</v>
      </c>
      <c r="CG2729" s="129" t="str">
        <f t="shared" si="1975"/>
        <v>N</v>
      </c>
      <c r="CI2729" s="129" t="str">
        <f t="shared" si="1981"/>
        <v>121-365 DAYS</v>
      </c>
      <c r="CJ2729" s="137">
        <f t="shared" si="1982"/>
        <v>6</v>
      </c>
      <c r="CK2729" s="129" t="str">
        <f t="shared" si="1983"/>
        <v>Booked</v>
      </c>
    </row>
    <row r="2730" spans="1:89" ht="15" customHeight="1" x14ac:dyDescent="0.25">
      <c r="A2730" s="111">
        <v>885</v>
      </c>
      <c r="B2730" s="128" t="str">
        <f t="shared" si="1968"/>
        <v>N</v>
      </c>
      <c r="C2730" s="128" t="str">
        <f t="shared" si="1969"/>
        <v>N</v>
      </c>
      <c r="D2730" s="117">
        <v>2602716</v>
      </c>
      <c r="E2730" s="135">
        <f t="shared" si="1970"/>
        <v>2</v>
      </c>
      <c r="F2730" s="124">
        <v>40941</v>
      </c>
      <c r="G2730" s="125">
        <v>41130</v>
      </c>
      <c r="H2730" s="117">
        <v>2602716</v>
      </c>
      <c r="I2730" s="124">
        <v>40944</v>
      </c>
      <c r="J2730" s="124">
        <v>41060</v>
      </c>
      <c r="K2730" s="126">
        <v>10000</v>
      </c>
      <c r="L2730" s="127" t="s">
        <v>570</v>
      </c>
      <c r="M2730" s="125">
        <v>41060</v>
      </c>
      <c r="N2730" s="129" t="str">
        <f>IF(M2730&gt;1/1/1,"Y","N")</f>
        <v>Y</v>
      </c>
      <c r="O2730" s="128" t="s">
        <v>585</v>
      </c>
      <c r="P2730" s="129" t="s">
        <v>589</v>
      </c>
      <c r="Q2730" s="111">
        <f t="shared" si="1991"/>
        <v>117</v>
      </c>
      <c r="R2730" s="111">
        <f t="shared" si="1959"/>
        <v>190</v>
      </c>
      <c r="S2730" s="129">
        <v>0</v>
      </c>
      <c r="T2730" s="129">
        <v>0</v>
      </c>
      <c r="W2730" s="111"/>
      <c r="AB2730" s="131" t="s">
        <v>112</v>
      </c>
      <c r="AC2730" s="130"/>
      <c r="AD2730" s="130">
        <v>34153</v>
      </c>
      <c r="AE2730" s="128" t="s">
        <v>32</v>
      </c>
      <c r="AF2730" s="128" t="s">
        <v>40</v>
      </c>
      <c r="AG2730" s="128" t="s">
        <v>41</v>
      </c>
      <c r="AH2730" s="108" t="s">
        <v>31</v>
      </c>
      <c r="AI2730" s="128" t="s">
        <v>97</v>
      </c>
      <c r="AJ2730" s="129" t="s">
        <v>48</v>
      </c>
      <c r="AK2730" s="129">
        <v>11</v>
      </c>
      <c r="AL2730" s="3" t="s">
        <v>48</v>
      </c>
      <c r="AP2730" s="129" t="s">
        <v>56</v>
      </c>
      <c r="AR2730" s="128" t="s">
        <v>50</v>
      </c>
      <c r="AS2730" s="129" t="s">
        <v>57</v>
      </c>
      <c r="AW2730" s="3"/>
      <c r="AX2730" s="3"/>
      <c r="BC2730" s="129" t="s">
        <v>99</v>
      </c>
      <c r="BF2730" s="111">
        <f t="shared" si="1994"/>
        <v>117</v>
      </c>
      <c r="BG2730" s="111">
        <f t="shared" si="1995"/>
        <v>187</v>
      </c>
      <c r="BH2730" s="111">
        <f t="shared" si="1960"/>
        <v>190</v>
      </c>
      <c r="BI2730" s="111">
        <f t="shared" si="1962"/>
        <v>18.546448087431695</v>
      </c>
      <c r="BJ2730" s="129">
        <f>(G2730-J2730)+(M2730-G2730)</f>
        <v>0</v>
      </c>
      <c r="BK2730" s="129">
        <f t="shared" si="1961"/>
        <v>-70</v>
      </c>
      <c r="BL2730" s="129" t="str">
        <f t="shared" si="1955"/>
        <v>DEFERRED</v>
      </c>
      <c r="BM2730" s="129" t="s">
        <v>76</v>
      </c>
      <c r="BN2730" s="129" t="s">
        <v>88</v>
      </c>
      <c r="BP2730" s="137" t="str">
        <f t="shared" si="1963"/>
        <v>DEFERRED</v>
      </c>
      <c r="BQ2730" s="128" t="str">
        <f t="shared" si="1971"/>
        <v>Y</v>
      </c>
      <c r="BR2730" s="129" t="str">
        <f t="shared" si="1979"/>
        <v>ON BOND</v>
      </c>
      <c r="BS2730" s="129" t="str">
        <f t="shared" si="1964"/>
        <v>DISPOSED</v>
      </c>
      <c r="BT2730" s="129" t="str">
        <f t="shared" si="1965"/>
        <v>N</v>
      </c>
      <c r="BU2730" s="109">
        <f t="shared" si="1966"/>
        <v>0.61578947368421055</v>
      </c>
      <c r="BV2730" s="109">
        <f t="shared" si="1980"/>
        <v>0.62566844919786091</v>
      </c>
      <c r="BW2730" s="109">
        <f t="shared" si="1993"/>
        <v>9.8789755136503565E-3</v>
      </c>
      <c r="BX2730" s="111">
        <f t="shared" si="1967"/>
        <v>0</v>
      </c>
      <c r="BY2730" s="129">
        <f t="shared" si="1972"/>
        <v>-117</v>
      </c>
      <c r="BZ2730" s="111">
        <f t="shared" si="1973"/>
        <v>0</v>
      </c>
      <c r="CA2730" s="138">
        <f t="shared" si="1974"/>
        <v>117</v>
      </c>
      <c r="CB2730" s="111" t="e">
        <f t="shared" si="1996"/>
        <v>#VALUE!</v>
      </c>
      <c r="CC2730" s="129">
        <f>M2730-I2730+1</f>
        <v>117</v>
      </c>
      <c r="CD2730" s="111">
        <f>CC2730-BF2730</f>
        <v>0</v>
      </c>
      <c r="CG2730" s="129" t="str">
        <f t="shared" si="1975"/>
        <v>N</v>
      </c>
      <c r="CI2730" s="129" t="str">
        <f t="shared" si="1981"/>
        <v>91-120 DAYS</v>
      </c>
      <c r="CJ2730" s="137">
        <f t="shared" si="1982"/>
        <v>0</v>
      </c>
      <c r="CK2730" s="129" t="str">
        <f t="shared" si="1983"/>
        <v>Booked</v>
      </c>
    </row>
    <row r="2731" spans="1:89" ht="15.75" customHeight="1" x14ac:dyDescent="0.25">
      <c r="A2731" s="111">
        <v>851</v>
      </c>
      <c r="B2731" s="128" t="str">
        <f t="shared" si="1968"/>
        <v>N</v>
      </c>
      <c r="C2731" s="128" t="str">
        <f t="shared" si="1969"/>
        <v>N</v>
      </c>
      <c r="D2731" s="117">
        <v>2602744</v>
      </c>
      <c r="E2731" s="135">
        <f t="shared" si="1970"/>
        <v>6</v>
      </c>
      <c r="F2731" s="124">
        <v>40940</v>
      </c>
      <c r="G2731" s="125">
        <v>41775</v>
      </c>
      <c r="H2731" s="117">
        <v>2602744</v>
      </c>
      <c r="I2731" s="124">
        <v>40941</v>
      </c>
      <c r="J2731" s="124"/>
      <c r="K2731" s="126" t="s">
        <v>564</v>
      </c>
      <c r="L2731" s="127" t="s">
        <v>564</v>
      </c>
      <c r="N2731" s="129" t="s">
        <v>566</v>
      </c>
      <c r="O2731" s="128" t="s">
        <v>917</v>
      </c>
      <c r="P2731" s="129" t="s">
        <v>39</v>
      </c>
      <c r="Q2731" s="111">
        <v>835</v>
      </c>
      <c r="R2731" s="111">
        <f t="shared" si="1959"/>
        <v>836</v>
      </c>
      <c r="S2731" s="129">
        <v>0</v>
      </c>
      <c r="T2731" s="129">
        <v>0</v>
      </c>
      <c r="W2731" s="111"/>
      <c r="AB2731" s="131" t="s">
        <v>112</v>
      </c>
      <c r="AC2731" s="130"/>
      <c r="AD2731" s="130">
        <v>25930</v>
      </c>
      <c r="AE2731" s="128" t="s">
        <v>46</v>
      </c>
      <c r="AF2731" s="128" t="s">
        <v>40</v>
      </c>
      <c r="AG2731" s="128" t="s">
        <v>41</v>
      </c>
      <c r="AH2731" s="108" t="s">
        <v>31</v>
      </c>
      <c r="AI2731" s="128" t="s">
        <v>83</v>
      </c>
      <c r="AJ2731" s="129" t="s">
        <v>89</v>
      </c>
      <c r="AK2731" s="129">
        <v>24</v>
      </c>
      <c r="AL2731" s="3" t="s">
        <v>362</v>
      </c>
      <c r="AM2731" s="117">
        <v>42</v>
      </c>
      <c r="AP2731" s="129" t="s">
        <v>252</v>
      </c>
      <c r="AR2731" s="128" t="s">
        <v>92</v>
      </c>
      <c r="AS2731" s="129" t="s">
        <v>74</v>
      </c>
      <c r="BC2731" s="129" t="s">
        <v>38</v>
      </c>
      <c r="BF2731" s="111">
        <v>835</v>
      </c>
      <c r="BG2731" s="111">
        <f t="shared" si="1995"/>
        <v>835</v>
      </c>
      <c r="BH2731" s="111">
        <f t="shared" si="1960"/>
        <v>836</v>
      </c>
      <c r="BI2731" s="111">
        <f t="shared" si="1962"/>
        <v>41.010928961748633</v>
      </c>
      <c r="BJ2731" s="129">
        <f t="shared" ref="BJ2731" si="1997">G2731-J2731-M2731</f>
        <v>41775</v>
      </c>
      <c r="BK2731" s="129">
        <f t="shared" si="1961"/>
        <v>-41775</v>
      </c>
      <c r="BL2731" s="129" t="str">
        <f t="shared" si="1955"/>
        <v>CONVICTION</v>
      </c>
      <c r="BM2731" s="129" t="str">
        <f t="shared" ref="BM2731" si="1998">O2731</f>
        <v>NONE</v>
      </c>
      <c r="BN2731" s="129" t="s">
        <v>566</v>
      </c>
      <c r="BP2731" s="137" t="str">
        <f t="shared" si="1963"/>
        <v>CONVICTION</v>
      </c>
      <c r="BQ2731" s="128" t="str">
        <f t="shared" si="1971"/>
        <v>Y</v>
      </c>
      <c r="BR2731" s="129" t="s">
        <v>574</v>
      </c>
      <c r="BS2731" s="129" t="s">
        <v>1259</v>
      </c>
      <c r="BT2731" s="129" t="str">
        <f t="shared" si="1965"/>
        <v>N</v>
      </c>
      <c r="BU2731" s="109">
        <f>IFERROR(Q2731/R2731,BR2731)</f>
        <v>0.99880382775119614</v>
      </c>
      <c r="BV2731" s="139">
        <v>0.99880000000000002</v>
      </c>
      <c r="BW2731" s="109">
        <v>0</v>
      </c>
      <c r="BX2731" s="111">
        <f t="shared" si="1967"/>
        <v>0</v>
      </c>
      <c r="BY2731" s="129">
        <f t="shared" si="1972"/>
        <v>40940</v>
      </c>
      <c r="BZ2731" s="111">
        <f t="shared" si="1973"/>
        <v>41775</v>
      </c>
      <c r="CA2731" s="138">
        <f t="shared" si="1974"/>
        <v>835</v>
      </c>
      <c r="CB2731" s="111" t="e">
        <f t="shared" si="1996"/>
        <v>#VALUE!</v>
      </c>
      <c r="CC2731" s="129">
        <v>835</v>
      </c>
      <c r="CG2731" s="129" t="str">
        <f t="shared" si="1975"/>
        <v>N</v>
      </c>
      <c r="CH2731" s="129" t="e">
        <v>#N/A</v>
      </c>
      <c r="CI2731" s="129" t="str">
        <f t="shared" si="1981"/>
        <v>&gt;2YRS&lt;3YRS</v>
      </c>
      <c r="CJ2731" s="137">
        <f t="shared" si="1982"/>
        <v>8</v>
      </c>
      <c r="CK2731" s="129" t="str">
        <f t="shared" si="1983"/>
        <v>Booked</v>
      </c>
    </row>
    <row r="2732" spans="1:89" ht="15.75" customHeight="1" x14ac:dyDescent="0.25">
      <c r="A2732" s="111">
        <v>855</v>
      </c>
      <c r="B2732" s="128" t="str">
        <f t="shared" si="1968"/>
        <v>N</v>
      </c>
      <c r="C2732" s="128" t="str">
        <f t="shared" si="1969"/>
        <v>N</v>
      </c>
      <c r="D2732" s="117">
        <v>2602761</v>
      </c>
      <c r="E2732" s="135">
        <f t="shared" si="1970"/>
        <v>1</v>
      </c>
      <c r="F2732" s="124">
        <v>40940</v>
      </c>
      <c r="G2732" s="125">
        <v>41283</v>
      </c>
      <c r="H2732" s="117">
        <v>2602761</v>
      </c>
      <c r="I2732" s="124">
        <v>40941</v>
      </c>
      <c r="J2732" s="125">
        <v>41283</v>
      </c>
      <c r="K2732" s="126">
        <v>130000</v>
      </c>
      <c r="L2732" s="129" t="s">
        <v>572</v>
      </c>
      <c r="N2732" s="129" t="str">
        <f>IF(M2732&gt;1/1/1,"Y","N")</f>
        <v>N</v>
      </c>
      <c r="O2732" s="128" t="s">
        <v>917</v>
      </c>
      <c r="P2732" s="129" t="s">
        <v>55</v>
      </c>
      <c r="Q2732" s="111">
        <f t="shared" si="1991"/>
        <v>343</v>
      </c>
      <c r="R2732" s="111">
        <f t="shared" si="1959"/>
        <v>344</v>
      </c>
      <c r="S2732" s="129">
        <v>0</v>
      </c>
      <c r="T2732" s="129">
        <v>0</v>
      </c>
      <c r="W2732" s="111"/>
      <c r="AB2732" s="131" t="s">
        <v>112</v>
      </c>
      <c r="AC2732" s="130"/>
      <c r="AD2732" s="130">
        <v>30286</v>
      </c>
      <c r="AE2732" s="128" t="s">
        <v>32</v>
      </c>
      <c r="AF2732" s="128" t="s">
        <v>40</v>
      </c>
      <c r="AG2732" s="128" t="s">
        <v>41</v>
      </c>
      <c r="AH2732" s="108" t="s">
        <v>31</v>
      </c>
      <c r="AI2732" s="128" t="s">
        <v>100</v>
      </c>
      <c r="AJ2732" s="129" t="s">
        <v>55</v>
      </c>
      <c r="AK2732" s="129">
        <v>11</v>
      </c>
      <c r="AL2732" s="3" t="s">
        <v>55</v>
      </c>
      <c r="AP2732" s="129" t="s">
        <v>149</v>
      </c>
      <c r="AR2732" s="128" t="s">
        <v>92</v>
      </c>
      <c r="AS2732" s="129" t="s">
        <v>82</v>
      </c>
      <c r="BC2732" s="129" t="s">
        <v>52</v>
      </c>
      <c r="BF2732" s="111">
        <f t="shared" si="1994"/>
        <v>343</v>
      </c>
      <c r="BG2732" s="111">
        <f t="shared" si="1995"/>
        <v>343</v>
      </c>
      <c r="BH2732" s="111">
        <f t="shared" si="1960"/>
        <v>344</v>
      </c>
      <c r="BI2732" s="111">
        <f t="shared" si="1962"/>
        <v>29.10928961748634</v>
      </c>
      <c r="BJ2732" s="129">
        <f t="shared" si="1977"/>
        <v>0</v>
      </c>
      <c r="BK2732" s="129">
        <f t="shared" si="1961"/>
        <v>0</v>
      </c>
      <c r="BL2732" s="129" t="str">
        <f t="shared" si="1955"/>
        <v>NO CONVICTION</v>
      </c>
      <c r="BM2732" s="129" t="str">
        <f t="shared" si="1978"/>
        <v>NONE</v>
      </c>
      <c r="BN2732" s="129" t="s">
        <v>566</v>
      </c>
      <c r="BP2732" s="137" t="str">
        <f t="shared" si="1963"/>
        <v>NO CONVICTION</v>
      </c>
      <c r="BQ2732" s="128" t="str">
        <f t="shared" si="1971"/>
        <v>Y</v>
      </c>
      <c r="BR2732" s="129" t="str">
        <f t="shared" si="1979"/>
        <v>DETAINED</v>
      </c>
      <c r="BS2732" s="129" t="str">
        <f t="shared" si="1964"/>
        <v>DISPOSED</v>
      </c>
      <c r="BT2732" s="129" t="str">
        <f t="shared" si="1965"/>
        <v>N</v>
      </c>
      <c r="BU2732" s="109">
        <f>IFERROR(Q2732/R2732,BR2732)</f>
        <v>0.99709302325581395</v>
      </c>
      <c r="BV2732" s="109">
        <f t="shared" si="1980"/>
        <v>1</v>
      </c>
      <c r="BW2732" s="109">
        <f t="shared" ref="BW2732:BW2756" si="1999">BV2732-BU2732</f>
        <v>2.9069767441860517E-3</v>
      </c>
      <c r="BX2732" s="111">
        <f t="shared" si="1967"/>
        <v>0</v>
      </c>
      <c r="BY2732" s="129">
        <f t="shared" si="1972"/>
        <v>-343</v>
      </c>
      <c r="BZ2732" s="111">
        <f t="shared" si="1973"/>
        <v>0</v>
      </c>
      <c r="CA2732" s="138">
        <f t="shared" si="1974"/>
        <v>343</v>
      </c>
      <c r="CB2732" s="111" t="e">
        <f t="shared" si="1996"/>
        <v>#VALUE!</v>
      </c>
      <c r="CC2732" s="129">
        <f>G2732-I2732+1</f>
        <v>343</v>
      </c>
      <c r="CD2732" s="129">
        <f>G2732-J2732</f>
        <v>0</v>
      </c>
      <c r="CG2732" s="129" t="str">
        <f t="shared" si="1975"/>
        <v>N</v>
      </c>
      <c r="CI2732" s="129" t="str">
        <f t="shared" si="1981"/>
        <v>121-365 DAYS</v>
      </c>
      <c r="CJ2732" s="137">
        <f t="shared" si="1982"/>
        <v>6</v>
      </c>
      <c r="CK2732" s="129" t="str">
        <f t="shared" si="1983"/>
        <v>Booked</v>
      </c>
    </row>
    <row r="2733" spans="1:89" ht="15" customHeight="1" x14ac:dyDescent="0.25">
      <c r="A2733" s="111">
        <v>859</v>
      </c>
      <c r="B2733" s="128" t="str">
        <f t="shared" si="1968"/>
        <v>N</v>
      </c>
      <c r="C2733" s="128" t="str">
        <f t="shared" si="1969"/>
        <v>N</v>
      </c>
      <c r="D2733" s="117">
        <v>2602762</v>
      </c>
      <c r="E2733" s="135">
        <f t="shared" si="1970"/>
        <v>4</v>
      </c>
      <c r="F2733" s="124">
        <v>40941</v>
      </c>
      <c r="G2733" s="125">
        <v>41016</v>
      </c>
      <c r="H2733" s="117">
        <v>2602762</v>
      </c>
      <c r="I2733" s="124">
        <v>40941</v>
      </c>
      <c r="J2733" s="124">
        <v>40943</v>
      </c>
      <c r="K2733" s="126">
        <v>5000</v>
      </c>
      <c r="L2733" s="127" t="s">
        <v>569</v>
      </c>
      <c r="M2733" s="125">
        <v>40943</v>
      </c>
      <c r="N2733" s="129" t="str">
        <f>IF(M2733&gt;1/1/1,"Y","N")</f>
        <v>Y</v>
      </c>
      <c r="O2733" s="128" t="s">
        <v>76</v>
      </c>
      <c r="P2733" s="129" t="s">
        <v>39</v>
      </c>
      <c r="Q2733" s="111">
        <f t="shared" si="1991"/>
        <v>3</v>
      </c>
      <c r="R2733" s="111">
        <f t="shared" si="1959"/>
        <v>76</v>
      </c>
      <c r="S2733" s="129">
        <v>0</v>
      </c>
      <c r="T2733" s="129">
        <v>0</v>
      </c>
      <c r="W2733" s="111"/>
      <c r="AC2733" s="130"/>
      <c r="AD2733" s="130">
        <v>30826</v>
      </c>
      <c r="AE2733" s="128" t="s">
        <v>32</v>
      </c>
      <c r="AF2733" s="128" t="s">
        <v>69</v>
      </c>
      <c r="AG2733" s="128" t="s">
        <v>874</v>
      </c>
      <c r="AH2733" s="108" t="s">
        <v>31</v>
      </c>
      <c r="AI2733" s="128" t="s">
        <v>53</v>
      </c>
      <c r="AJ2733" s="129" t="s">
        <v>89</v>
      </c>
      <c r="AK2733" s="129">
        <v>4</v>
      </c>
      <c r="AL2733" s="3" t="s">
        <v>991</v>
      </c>
      <c r="AO2733" s="128">
        <v>180</v>
      </c>
      <c r="AP2733" s="129" t="s">
        <v>255</v>
      </c>
      <c r="AR2733" s="128" t="s">
        <v>44</v>
      </c>
      <c r="AS2733" s="129" t="s">
        <v>45</v>
      </c>
      <c r="BC2733" s="129" t="s">
        <v>52</v>
      </c>
      <c r="BF2733" s="111">
        <f t="shared" si="1994"/>
        <v>3</v>
      </c>
      <c r="BG2733" s="111">
        <f t="shared" si="1995"/>
        <v>76</v>
      </c>
      <c r="BH2733" s="111">
        <f t="shared" si="1960"/>
        <v>76</v>
      </c>
      <c r="BI2733" s="111">
        <f t="shared" si="1962"/>
        <v>27.636612021857925</v>
      </c>
      <c r="BJ2733" s="129">
        <f>(G2733-J2733)+(M2733-G2733)</f>
        <v>0</v>
      </c>
      <c r="BK2733" s="129">
        <f t="shared" si="1961"/>
        <v>-73</v>
      </c>
      <c r="BL2733" s="129" t="str">
        <f t="shared" si="1955"/>
        <v>CONVICTION</v>
      </c>
      <c r="BM2733" s="129" t="s">
        <v>76</v>
      </c>
      <c r="BN2733" s="129" t="s">
        <v>88</v>
      </c>
      <c r="BP2733" s="137" t="str">
        <f t="shared" si="1963"/>
        <v>CONVICTION</v>
      </c>
      <c r="BQ2733" s="128" t="str">
        <f t="shared" si="1971"/>
        <v>Y</v>
      </c>
      <c r="BR2733" s="129" t="str">
        <f>IF(J2733&lt;G2733,"ON BOND",0)</f>
        <v>ON BOND</v>
      </c>
      <c r="BS2733" s="129" t="str">
        <f t="shared" si="1964"/>
        <v>DISPOSED</v>
      </c>
      <c r="BT2733" s="129" t="str">
        <f t="shared" si="1965"/>
        <v>N</v>
      </c>
      <c r="BU2733" s="109">
        <f t="shared" si="1966"/>
        <v>3.9473684210526314E-2</v>
      </c>
      <c r="BV2733" s="109">
        <f t="shared" si="1980"/>
        <v>3.9473684210526314E-2</v>
      </c>
      <c r="BW2733" s="109">
        <f t="shared" si="1999"/>
        <v>0</v>
      </c>
      <c r="BX2733" s="111">
        <f t="shared" si="1967"/>
        <v>0</v>
      </c>
      <c r="BY2733" s="129">
        <f t="shared" si="1972"/>
        <v>-3</v>
      </c>
      <c r="BZ2733" s="111">
        <f t="shared" si="1973"/>
        <v>0</v>
      </c>
      <c r="CA2733" s="138">
        <f t="shared" si="1974"/>
        <v>3</v>
      </c>
      <c r="CB2733" s="111" t="e">
        <f t="shared" si="1996"/>
        <v>#VALUE!</v>
      </c>
      <c r="CC2733" s="129">
        <f>M2733-I2733+1</f>
        <v>3</v>
      </c>
      <c r="CD2733" s="111">
        <f>CC2733-BF2733</f>
        <v>0</v>
      </c>
      <c r="CG2733" s="129" t="str">
        <f t="shared" si="1975"/>
        <v>N</v>
      </c>
      <c r="CI2733" s="129" t="str">
        <f t="shared" si="1981"/>
        <v>0-10 DAYS</v>
      </c>
      <c r="CJ2733" s="137">
        <f t="shared" si="1982"/>
        <v>1</v>
      </c>
      <c r="CK2733" s="129" t="str">
        <f t="shared" si="1983"/>
        <v>Booked</v>
      </c>
    </row>
    <row r="2734" spans="1:89" ht="15.75" customHeight="1" x14ac:dyDescent="0.25">
      <c r="A2734" s="111">
        <v>871</v>
      </c>
      <c r="B2734" s="128" t="str">
        <f t="shared" si="1968"/>
        <v>N</v>
      </c>
      <c r="C2734" s="128" t="str">
        <f t="shared" si="1969"/>
        <v>N</v>
      </c>
      <c r="D2734" s="117">
        <v>2602835</v>
      </c>
      <c r="E2734" s="135">
        <f t="shared" si="1970"/>
        <v>5</v>
      </c>
      <c r="F2734" s="124">
        <v>40941</v>
      </c>
      <c r="G2734" s="125">
        <v>40945</v>
      </c>
      <c r="H2734" s="117">
        <v>2602835</v>
      </c>
      <c r="I2734" s="124">
        <v>40941</v>
      </c>
      <c r="J2734" s="124">
        <v>40945</v>
      </c>
      <c r="K2734" s="126">
        <v>15000</v>
      </c>
      <c r="L2734" s="127" t="s">
        <v>571</v>
      </c>
      <c r="N2734" s="129" t="str">
        <f>IF(M2734&gt;1/1/1,"Y","N")</f>
        <v>N</v>
      </c>
      <c r="O2734" s="128" t="s">
        <v>917</v>
      </c>
      <c r="P2734" s="129" t="s">
        <v>39</v>
      </c>
      <c r="Q2734" s="111">
        <f t="shared" si="1991"/>
        <v>5</v>
      </c>
      <c r="R2734" s="111">
        <f t="shared" si="1959"/>
        <v>5</v>
      </c>
      <c r="S2734" s="129">
        <v>0</v>
      </c>
      <c r="T2734" s="129">
        <v>0</v>
      </c>
      <c r="W2734" s="111"/>
      <c r="AC2734" s="130"/>
      <c r="AD2734" s="130">
        <v>21528</v>
      </c>
      <c r="AE2734" s="128" t="s">
        <v>46</v>
      </c>
      <c r="AF2734" s="128" t="s">
        <v>33</v>
      </c>
      <c r="AG2734" s="128" t="s">
        <v>872</v>
      </c>
      <c r="AH2734" s="108" t="s">
        <v>31</v>
      </c>
      <c r="AI2734" s="128" t="s">
        <v>141</v>
      </c>
      <c r="AJ2734" s="129" t="s">
        <v>89</v>
      </c>
      <c r="AK2734" s="129">
        <v>1</v>
      </c>
      <c r="AL2734" s="3" t="s">
        <v>992</v>
      </c>
      <c r="AN2734" s="117">
        <v>7</v>
      </c>
      <c r="AP2734" s="129" t="s">
        <v>43</v>
      </c>
      <c r="AR2734" s="128" t="s">
        <v>44</v>
      </c>
      <c r="AS2734" s="129" t="s">
        <v>45</v>
      </c>
      <c r="BC2734" s="129" t="s">
        <v>38</v>
      </c>
      <c r="BF2734" s="111">
        <f t="shared" si="1994"/>
        <v>5</v>
      </c>
      <c r="BG2734" s="111">
        <f t="shared" si="1995"/>
        <v>5</v>
      </c>
      <c r="BH2734" s="111">
        <f t="shared" si="1960"/>
        <v>5</v>
      </c>
      <c r="BI2734" s="111">
        <f t="shared" si="1962"/>
        <v>53.040983606557376</v>
      </c>
      <c r="BJ2734" s="129">
        <f t="shared" si="1977"/>
        <v>0</v>
      </c>
      <c r="BK2734" s="129">
        <f t="shared" si="1961"/>
        <v>0</v>
      </c>
      <c r="BL2734" s="129" t="str">
        <f t="shared" si="1955"/>
        <v>CONVICTION</v>
      </c>
      <c r="BM2734" s="129" t="str">
        <f t="shared" si="1978"/>
        <v>NONE</v>
      </c>
      <c r="BN2734" s="129" t="s">
        <v>566</v>
      </c>
      <c r="BP2734" s="137" t="str">
        <f t="shared" si="1963"/>
        <v>CONVICTION</v>
      </c>
      <c r="BQ2734" s="128" t="str">
        <f t="shared" si="1971"/>
        <v>Y</v>
      </c>
      <c r="BR2734" s="129" t="str">
        <f t="shared" si="1979"/>
        <v>DETAINED</v>
      </c>
      <c r="BS2734" s="129" t="str">
        <f t="shared" si="1964"/>
        <v>DISPOSED</v>
      </c>
      <c r="BT2734" s="129" t="str">
        <f t="shared" si="1965"/>
        <v>N</v>
      </c>
      <c r="BU2734" s="109">
        <f t="shared" si="1966"/>
        <v>1</v>
      </c>
      <c r="BV2734" s="109">
        <f t="shared" si="1980"/>
        <v>1</v>
      </c>
      <c r="BW2734" s="109">
        <f t="shared" si="1999"/>
        <v>0</v>
      </c>
      <c r="BX2734" s="111">
        <f t="shared" si="1967"/>
        <v>0</v>
      </c>
      <c r="BY2734" s="129">
        <f t="shared" si="1972"/>
        <v>-5</v>
      </c>
      <c r="BZ2734" s="111">
        <f t="shared" si="1973"/>
        <v>0</v>
      </c>
      <c r="CA2734" s="138">
        <f t="shared" si="1974"/>
        <v>5</v>
      </c>
      <c r="CB2734" s="111" t="e">
        <f t="shared" si="1996"/>
        <v>#VALUE!</v>
      </c>
      <c r="CC2734" s="129">
        <f>G2734-I2734+1</f>
        <v>5</v>
      </c>
      <c r="CD2734" s="129">
        <f>G2734-J2734</f>
        <v>0</v>
      </c>
      <c r="CG2734" s="129" t="str">
        <f t="shared" si="1975"/>
        <v>N</v>
      </c>
      <c r="CI2734" s="129" t="str">
        <f t="shared" si="1981"/>
        <v>0-10 DAYS</v>
      </c>
      <c r="CJ2734" s="137">
        <f t="shared" si="1982"/>
        <v>1</v>
      </c>
      <c r="CK2734" s="129" t="str">
        <f t="shared" si="1983"/>
        <v>Booked</v>
      </c>
    </row>
    <row r="2735" spans="1:89" ht="15.75" customHeight="1" x14ac:dyDescent="0.25">
      <c r="A2735" s="111">
        <v>879</v>
      </c>
      <c r="B2735" s="128" t="str">
        <f t="shared" si="1968"/>
        <v>N</v>
      </c>
      <c r="C2735" s="128" t="str">
        <f t="shared" si="1969"/>
        <v>N</v>
      </c>
      <c r="D2735" s="117">
        <v>2602853</v>
      </c>
      <c r="E2735" s="135">
        <f t="shared" si="1970"/>
        <v>5</v>
      </c>
      <c r="F2735" s="124">
        <v>40941</v>
      </c>
      <c r="G2735" s="125">
        <v>41036</v>
      </c>
      <c r="H2735" s="117">
        <v>2602853</v>
      </c>
      <c r="I2735" s="124" t="s">
        <v>562</v>
      </c>
      <c r="J2735" s="124" t="s">
        <v>562</v>
      </c>
      <c r="K2735" s="126">
        <v>15000</v>
      </c>
      <c r="L2735" s="127" t="s">
        <v>571</v>
      </c>
      <c r="M2735" s="125">
        <v>40964</v>
      </c>
      <c r="N2735" s="129" t="str">
        <f>IF(M2735&gt;1/1/1,"Y",IF(Q2735="0","","N"))</f>
        <v>Y</v>
      </c>
      <c r="O2735" s="128" t="s">
        <v>76</v>
      </c>
      <c r="P2735" s="129" t="s">
        <v>39</v>
      </c>
      <c r="Q2735" s="111">
        <f t="shared" si="1991"/>
        <v>0</v>
      </c>
      <c r="R2735" s="111">
        <f t="shared" si="1959"/>
        <v>96</v>
      </c>
      <c r="S2735" s="129">
        <v>0</v>
      </c>
      <c r="T2735" s="129">
        <v>0</v>
      </c>
      <c r="W2735" s="111"/>
      <c r="AC2735" s="130"/>
      <c r="AD2735" s="130">
        <v>31656</v>
      </c>
      <c r="AE2735" s="128" t="s">
        <v>32</v>
      </c>
      <c r="AF2735" s="128" t="s">
        <v>69</v>
      </c>
      <c r="AG2735" s="128" t="s">
        <v>874</v>
      </c>
      <c r="AH2735" s="108" t="s">
        <v>31</v>
      </c>
      <c r="AI2735" s="128" t="s">
        <v>53</v>
      </c>
      <c r="AJ2735" s="129" t="s">
        <v>89</v>
      </c>
      <c r="AK2735" s="129">
        <v>6</v>
      </c>
      <c r="AL2735" s="3" t="s">
        <v>992</v>
      </c>
      <c r="AN2735" s="117">
        <v>6</v>
      </c>
      <c r="AP2735" s="129" t="s">
        <v>98</v>
      </c>
      <c r="AR2735" s="128" t="s">
        <v>44</v>
      </c>
      <c r="AS2735" s="129" t="s">
        <v>64</v>
      </c>
      <c r="AX2735" s="32"/>
      <c r="BC2735" s="129" t="s">
        <v>52</v>
      </c>
      <c r="BF2735" s="111">
        <v>0</v>
      </c>
      <c r="BG2735" s="111">
        <v>0</v>
      </c>
      <c r="BH2735" s="111">
        <f t="shared" si="1960"/>
        <v>96</v>
      </c>
      <c r="BI2735" s="111">
        <f t="shared" si="1962"/>
        <v>25.368852459016395</v>
      </c>
      <c r="BJ2735" s="129" t="e">
        <f>(G2735-J2735)+(M2735-G2735)</f>
        <v>#VALUE!</v>
      </c>
      <c r="BK2735" s="129" t="e">
        <f t="shared" si="1961"/>
        <v>#VALUE!</v>
      </c>
      <c r="BL2735" s="129" t="str">
        <f t="shared" si="1955"/>
        <v>CONVICTION</v>
      </c>
      <c r="BM2735" s="129" t="s">
        <v>76</v>
      </c>
      <c r="BN2735" s="129" t="s">
        <v>88</v>
      </c>
      <c r="BP2735" s="137" t="str">
        <f t="shared" si="1963"/>
        <v>CONVICTION</v>
      </c>
      <c r="BQ2735" s="128">
        <f t="shared" si="1971"/>
        <v>0</v>
      </c>
      <c r="BR2735" s="129" t="s">
        <v>575</v>
      </c>
      <c r="BS2735" s="129" t="str">
        <f t="shared" si="1964"/>
        <v>DISPOSED</v>
      </c>
      <c r="BT2735" s="129" t="str">
        <f t="shared" si="1965"/>
        <v>N</v>
      </c>
      <c r="BU2735" s="109">
        <f t="shared" si="1966"/>
        <v>0</v>
      </c>
      <c r="BV2735" s="109">
        <v>0</v>
      </c>
      <c r="BW2735" s="109">
        <f t="shared" si="1999"/>
        <v>0</v>
      </c>
      <c r="BX2735" s="111">
        <f t="shared" si="1967"/>
        <v>0</v>
      </c>
      <c r="BY2735" s="129" t="e">
        <f t="shared" si="1972"/>
        <v>#VALUE!</v>
      </c>
      <c r="BZ2735" s="111" t="e">
        <f t="shared" si="1973"/>
        <v>#VALUE!</v>
      </c>
      <c r="CA2735" s="138" t="e">
        <f t="shared" si="1974"/>
        <v>#VALUE!</v>
      </c>
      <c r="CB2735" s="111">
        <v>0</v>
      </c>
      <c r="CC2735" s="129">
        <v>0</v>
      </c>
      <c r="CD2735" s="111">
        <f>CC2735-BF2735</f>
        <v>0</v>
      </c>
      <c r="CG2735" s="129" t="str">
        <f t="shared" si="1975"/>
        <v>N</v>
      </c>
      <c r="CI2735" s="129" t="str">
        <f t="shared" si="1981"/>
        <v>0-10 DAYS</v>
      </c>
      <c r="CJ2735" s="137">
        <f t="shared" si="1982"/>
        <v>1</v>
      </c>
      <c r="CK2735" s="129" t="str">
        <f t="shared" si="1983"/>
        <v>Not Booked</v>
      </c>
    </row>
    <row r="2736" spans="1:89" ht="15" customHeight="1" x14ac:dyDescent="0.25">
      <c r="A2736" s="115">
        <v>880</v>
      </c>
      <c r="B2736" s="128" t="str">
        <f t="shared" si="1968"/>
        <v>Y</v>
      </c>
      <c r="C2736" s="128" t="str">
        <f t="shared" si="1969"/>
        <v>Y</v>
      </c>
      <c r="D2736" s="117">
        <v>2602885</v>
      </c>
      <c r="E2736" s="135">
        <f t="shared" si="1970"/>
        <v>2</v>
      </c>
      <c r="F2736" s="124">
        <v>40941</v>
      </c>
      <c r="G2736" s="125">
        <v>41241</v>
      </c>
      <c r="H2736" s="117">
        <v>2602885</v>
      </c>
      <c r="I2736" s="124">
        <v>41133</v>
      </c>
      <c r="J2736" s="124">
        <v>41139</v>
      </c>
      <c r="K2736" s="126">
        <v>7000</v>
      </c>
      <c r="L2736" s="127" t="s">
        <v>570</v>
      </c>
      <c r="M2736" s="124">
        <v>41139</v>
      </c>
      <c r="N2736" s="129" t="str">
        <f t="shared" ref="N2736:N2745" si="2000">IF(M2736&gt;1/1/1,"Y","N")</f>
        <v>Y</v>
      </c>
      <c r="O2736" s="128" t="s">
        <v>76</v>
      </c>
      <c r="P2736" s="129" t="s">
        <v>589</v>
      </c>
      <c r="Q2736" s="111">
        <v>7</v>
      </c>
      <c r="R2736" s="111">
        <f t="shared" si="1959"/>
        <v>301</v>
      </c>
      <c r="S2736" s="129">
        <v>0</v>
      </c>
      <c r="T2736" s="129">
        <v>0</v>
      </c>
      <c r="W2736" s="111"/>
      <c r="AC2736" s="130"/>
      <c r="AD2736" s="130">
        <v>33352</v>
      </c>
      <c r="AE2736" s="128" t="s">
        <v>32</v>
      </c>
      <c r="AF2736" s="128" t="s">
        <v>69</v>
      </c>
      <c r="AG2736" s="128" t="s">
        <v>874</v>
      </c>
      <c r="AH2736" s="108" t="s">
        <v>31</v>
      </c>
      <c r="AI2736" s="128" t="s">
        <v>47</v>
      </c>
      <c r="AJ2736" s="129" t="s">
        <v>48</v>
      </c>
      <c r="AK2736" s="129">
        <v>14</v>
      </c>
      <c r="AL2736" s="3" t="s">
        <v>48</v>
      </c>
      <c r="AP2736" s="129" t="s">
        <v>259</v>
      </c>
      <c r="AR2736" s="128" t="s">
        <v>44</v>
      </c>
      <c r="AS2736" s="129" t="s">
        <v>82</v>
      </c>
      <c r="AU2736" s="3" t="s">
        <v>698</v>
      </c>
      <c r="AX2736" s="32" t="s">
        <v>88</v>
      </c>
      <c r="BC2736" s="129" t="s">
        <v>52</v>
      </c>
      <c r="BD2736" s="129" t="s">
        <v>1304</v>
      </c>
      <c r="BF2736" s="111">
        <v>7</v>
      </c>
      <c r="BG2736" s="111">
        <f t="shared" ref="BG2736:BG2745" si="2001">IF(G2736&gt;1/1/1900,((G2736+1)-I2736),"STILL OPEN")</f>
        <v>109</v>
      </c>
      <c r="BH2736" s="111">
        <f t="shared" si="1960"/>
        <v>301</v>
      </c>
      <c r="BI2736" s="111">
        <f t="shared" si="1962"/>
        <v>20.734972677595628</v>
      </c>
      <c r="BJ2736" s="129">
        <f>(G2736-J2736)+(M2736-G2736)</f>
        <v>0</v>
      </c>
      <c r="BK2736" s="129">
        <f t="shared" si="1961"/>
        <v>-102</v>
      </c>
      <c r="BL2736" s="129" t="str">
        <f t="shared" si="1955"/>
        <v>DEFERRED</v>
      </c>
      <c r="BM2736" s="129" t="s">
        <v>76</v>
      </c>
      <c r="BN2736" s="129" t="s">
        <v>88</v>
      </c>
      <c r="BP2736" s="137" t="str">
        <f t="shared" si="1963"/>
        <v>DEFERRED</v>
      </c>
      <c r="BQ2736" s="128" t="str">
        <f t="shared" si="1971"/>
        <v>Y</v>
      </c>
      <c r="BR2736" s="129" t="s">
        <v>575</v>
      </c>
      <c r="BS2736" s="129" t="str">
        <f t="shared" si="1964"/>
        <v>DISPOSED</v>
      </c>
      <c r="BT2736" s="129" t="str">
        <f t="shared" si="1965"/>
        <v>N</v>
      </c>
      <c r="BU2736" s="109">
        <f t="shared" si="1966"/>
        <v>2.3255813953488372E-2</v>
      </c>
      <c r="BV2736" s="109">
        <f t="shared" si="1980"/>
        <v>6.4220183486238536E-2</v>
      </c>
      <c r="BW2736" s="109">
        <f t="shared" si="1999"/>
        <v>4.0964369532750164E-2</v>
      </c>
      <c r="BX2736" s="111">
        <f t="shared" si="1967"/>
        <v>0</v>
      </c>
      <c r="BY2736" s="129">
        <f t="shared" si="1972"/>
        <v>-7</v>
      </c>
      <c r="BZ2736" s="111">
        <f t="shared" si="1973"/>
        <v>0</v>
      </c>
      <c r="CA2736" s="138">
        <f t="shared" si="1974"/>
        <v>7</v>
      </c>
      <c r="CB2736" s="111">
        <v>7</v>
      </c>
      <c r="CD2736" s="129">
        <f>G2736-J2736</f>
        <v>102</v>
      </c>
      <c r="CG2736" s="129" t="str">
        <f t="shared" si="1975"/>
        <v>N</v>
      </c>
      <c r="CI2736" s="129" t="str">
        <f t="shared" si="1981"/>
        <v>0-10 DAYS</v>
      </c>
      <c r="CJ2736" s="137">
        <f t="shared" si="1982"/>
        <v>1</v>
      </c>
      <c r="CK2736" s="129" t="str">
        <f t="shared" si="1983"/>
        <v>Booked</v>
      </c>
    </row>
    <row r="2737" spans="1:89" ht="15" customHeight="1" x14ac:dyDescent="0.25">
      <c r="A2737" s="111">
        <v>882</v>
      </c>
      <c r="B2737" s="128" t="str">
        <f t="shared" si="1968"/>
        <v>N</v>
      </c>
      <c r="C2737" s="128" t="str">
        <f t="shared" si="1969"/>
        <v>N</v>
      </c>
      <c r="D2737" s="117">
        <v>2602887</v>
      </c>
      <c r="E2737" s="135">
        <f t="shared" si="1970"/>
        <v>2</v>
      </c>
      <c r="F2737" s="124">
        <v>40941</v>
      </c>
      <c r="G2737" s="125">
        <v>41228</v>
      </c>
      <c r="H2737" s="117">
        <v>2602887</v>
      </c>
      <c r="I2737" s="124">
        <v>40941</v>
      </c>
      <c r="J2737" s="124">
        <v>40943</v>
      </c>
      <c r="K2737" s="126">
        <v>5000</v>
      </c>
      <c r="L2737" s="127" t="s">
        <v>569</v>
      </c>
      <c r="M2737" s="125">
        <v>40943</v>
      </c>
      <c r="N2737" s="129" t="str">
        <f t="shared" si="2000"/>
        <v>Y</v>
      </c>
      <c r="O2737" s="128" t="s">
        <v>76</v>
      </c>
      <c r="P2737" s="129" t="s">
        <v>589</v>
      </c>
      <c r="Q2737" s="111">
        <f t="shared" si="1991"/>
        <v>3</v>
      </c>
      <c r="R2737" s="111">
        <f t="shared" si="1959"/>
        <v>288</v>
      </c>
      <c r="S2737" s="129">
        <v>0</v>
      </c>
      <c r="T2737" s="129">
        <v>0</v>
      </c>
      <c r="W2737" s="111"/>
      <c r="AC2737" s="130"/>
      <c r="AD2737" s="130">
        <v>29721</v>
      </c>
      <c r="AE2737" s="128" t="s">
        <v>32</v>
      </c>
      <c r="AF2737" s="128" t="s">
        <v>138</v>
      </c>
      <c r="AG2737" s="128" t="s">
        <v>873</v>
      </c>
      <c r="AH2737" s="108" t="s">
        <v>31</v>
      </c>
      <c r="AI2737" s="128" t="s">
        <v>34</v>
      </c>
      <c r="AJ2737" s="129" t="s">
        <v>48</v>
      </c>
      <c r="AK2737" s="129">
        <v>12</v>
      </c>
      <c r="AL2737" s="3" t="s">
        <v>48</v>
      </c>
      <c r="AP2737" s="129" t="s">
        <v>124</v>
      </c>
      <c r="AR2737" s="128" t="s">
        <v>67</v>
      </c>
      <c r="AS2737" s="129" t="s">
        <v>45</v>
      </c>
      <c r="AX2737" s="32"/>
      <c r="BC2737" s="129" t="s">
        <v>52</v>
      </c>
      <c r="BF2737" s="111">
        <f>IF(J2737&gt;1/1/1900,((J2737+1)-I2737),"STILL OPEN")</f>
        <v>3</v>
      </c>
      <c r="BG2737" s="111">
        <f t="shared" si="2001"/>
        <v>288</v>
      </c>
      <c r="BH2737" s="111">
        <f t="shared" si="1960"/>
        <v>288</v>
      </c>
      <c r="BI2737" s="111">
        <f t="shared" si="1962"/>
        <v>30.655737704918032</v>
      </c>
      <c r="BJ2737" s="129">
        <f>(G2737-J2737)+(M2737-G2737)</f>
        <v>0</v>
      </c>
      <c r="BK2737" s="129">
        <f t="shared" si="1961"/>
        <v>-285</v>
      </c>
      <c r="BL2737" s="129" t="str">
        <f t="shared" si="1955"/>
        <v>DEFERRED</v>
      </c>
      <c r="BM2737" s="129" t="s">
        <v>76</v>
      </c>
      <c r="BN2737" s="129" t="s">
        <v>88</v>
      </c>
      <c r="BP2737" s="137" t="str">
        <f t="shared" si="1963"/>
        <v>DEFERRED</v>
      </c>
      <c r="BQ2737" s="128" t="str">
        <f t="shared" si="1971"/>
        <v>Y</v>
      </c>
      <c r="BR2737" s="129" t="str">
        <f t="shared" si="1979"/>
        <v>ON BOND</v>
      </c>
      <c r="BS2737" s="129" t="str">
        <f t="shared" si="1964"/>
        <v>DISPOSED</v>
      </c>
      <c r="BT2737" s="129" t="str">
        <f t="shared" si="1965"/>
        <v>N</v>
      </c>
      <c r="BU2737" s="109">
        <f t="shared" si="1966"/>
        <v>1.0416666666666666E-2</v>
      </c>
      <c r="BV2737" s="109">
        <f t="shared" si="1980"/>
        <v>1.0416666666666666E-2</v>
      </c>
      <c r="BW2737" s="109">
        <f t="shared" si="1999"/>
        <v>0</v>
      </c>
      <c r="BX2737" s="111">
        <f t="shared" si="1967"/>
        <v>0</v>
      </c>
      <c r="BY2737" s="129">
        <f t="shared" si="1972"/>
        <v>-3</v>
      </c>
      <c r="BZ2737" s="111">
        <f t="shared" si="1973"/>
        <v>0</v>
      </c>
      <c r="CA2737" s="138">
        <f t="shared" si="1974"/>
        <v>3</v>
      </c>
      <c r="CB2737" s="111" t="e">
        <f>IF(AF2737&gt;1/1/1900,((AF2737+1)-AE2737),"STILL OPEN")</f>
        <v>#VALUE!</v>
      </c>
      <c r="CC2737" s="129">
        <f>M2737-I2737+1</f>
        <v>3</v>
      </c>
      <c r="CD2737" s="111">
        <f>CC2737-BF2737</f>
        <v>0</v>
      </c>
      <c r="CG2737" s="129" t="str">
        <f t="shared" si="1975"/>
        <v>N</v>
      </c>
      <c r="CI2737" s="129" t="str">
        <f t="shared" si="1981"/>
        <v>0-10 DAYS</v>
      </c>
      <c r="CJ2737" s="137">
        <f t="shared" si="1982"/>
        <v>1</v>
      </c>
      <c r="CK2737" s="129" t="str">
        <f t="shared" si="1983"/>
        <v>Booked</v>
      </c>
    </row>
    <row r="2738" spans="1:89" ht="15" customHeight="1" x14ac:dyDescent="0.25">
      <c r="A2738" s="111">
        <v>884</v>
      </c>
      <c r="B2738" s="128" t="str">
        <f t="shared" si="1968"/>
        <v>N</v>
      </c>
      <c r="C2738" s="128" t="str">
        <f t="shared" si="1969"/>
        <v>N</v>
      </c>
      <c r="D2738" s="117">
        <v>2602891</v>
      </c>
      <c r="E2738" s="135">
        <f t="shared" si="1970"/>
        <v>2</v>
      </c>
      <c r="F2738" s="124">
        <v>40941</v>
      </c>
      <c r="G2738" s="125">
        <v>40977</v>
      </c>
      <c r="H2738" s="117">
        <v>2602891</v>
      </c>
      <c r="I2738" s="124">
        <v>40942</v>
      </c>
      <c r="J2738" s="124">
        <v>40977</v>
      </c>
      <c r="K2738" s="126">
        <v>10000</v>
      </c>
      <c r="L2738" s="127" t="s">
        <v>570</v>
      </c>
      <c r="N2738" s="129" t="str">
        <f t="shared" si="2000"/>
        <v>N</v>
      </c>
      <c r="O2738" s="128" t="s">
        <v>917</v>
      </c>
      <c r="P2738" s="129" t="s">
        <v>589</v>
      </c>
      <c r="Q2738" s="111">
        <f t="shared" si="1991"/>
        <v>36</v>
      </c>
      <c r="R2738" s="111">
        <f t="shared" si="1959"/>
        <v>37</v>
      </c>
      <c r="S2738" s="129">
        <v>0</v>
      </c>
      <c r="T2738" s="129">
        <v>0</v>
      </c>
      <c r="W2738" s="111"/>
      <c r="AC2738" s="130"/>
      <c r="AD2738" s="130">
        <v>34413</v>
      </c>
      <c r="AE2738" s="128" t="s">
        <v>32</v>
      </c>
      <c r="AF2738" s="128" t="s">
        <v>33</v>
      </c>
      <c r="AG2738" s="128" t="s">
        <v>872</v>
      </c>
      <c r="AH2738" s="108" t="s">
        <v>31</v>
      </c>
      <c r="AI2738" s="128" t="s">
        <v>59</v>
      </c>
      <c r="AJ2738" s="129" t="s">
        <v>48</v>
      </c>
      <c r="AK2738" s="129">
        <v>5</v>
      </c>
      <c r="AL2738" s="3" t="s">
        <v>48</v>
      </c>
      <c r="AP2738" s="129" t="s">
        <v>56</v>
      </c>
      <c r="AR2738" s="128" t="s">
        <v>50</v>
      </c>
      <c r="AS2738" s="129" t="s">
        <v>57</v>
      </c>
      <c r="AT2738" s="129" t="s">
        <v>260</v>
      </c>
      <c r="BC2738" s="129" t="s">
        <v>38</v>
      </c>
      <c r="BF2738" s="111">
        <f>IF(J2738&gt;1/1/1900,((J2738+1)-I2738),"STILL OPEN")</f>
        <v>36</v>
      </c>
      <c r="BG2738" s="111">
        <f t="shared" si="2001"/>
        <v>36</v>
      </c>
      <c r="BH2738" s="111">
        <f t="shared" si="1960"/>
        <v>37</v>
      </c>
      <c r="BI2738" s="111">
        <f t="shared" si="1962"/>
        <v>17.83606557377049</v>
      </c>
      <c r="BJ2738" s="129">
        <f t="shared" si="1977"/>
        <v>0</v>
      </c>
      <c r="BK2738" s="129">
        <f t="shared" si="1961"/>
        <v>0</v>
      </c>
      <c r="BL2738" s="129" t="str">
        <f t="shared" si="1955"/>
        <v>DEFERRED</v>
      </c>
      <c r="BM2738" s="129" t="str">
        <f t="shared" si="1978"/>
        <v>NONE</v>
      </c>
      <c r="BN2738" s="129" t="s">
        <v>566</v>
      </c>
      <c r="BP2738" s="137" t="str">
        <f t="shared" si="1963"/>
        <v>DEFERRED</v>
      </c>
      <c r="BQ2738" s="128" t="str">
        <f t="shared" si="1971"/>
        <v>Y</v>
      </c>
      <c r="BR2738" s="129" t="str">
        <f t="shared" si="1979"/>
        <v>DETAINED</v>
      </c>
      <c r="BS2738" s="129" t="str">
        <f t="shared" si="1964"/>
        <v>DISPOSED</v>
      </c>
      <c r="BT2738" s="129" t="str">
        <f t="shared" si="1965"/>
        <v>N</v>
      </c>
      <c r="BU2738" s="109">
        <f t="shared" si="1966"/>
        <v>0.97297297297297303</v>
      </c>
      <c r="BV2738" s="109">
        <f t="shared" si="1980"/>
        <v>1</v>
      </c>
      <c r="BW2738" s="109">
        <f t="shared" si="1999"/>
        <v>2.7027027027026973E-2</v>
      </c>
      <c r="BX2738" s="111">
        <f t="shared" si="1967"/>
        <v>0</v>
      </c>
      <c r="BY2738" s="129">
        <f t="shared" si="1972"/>
        <v>-36</v>
      </c>
      <c r="BZ2738" s="111">
        <f t="shared" si="1973"/>
        <v>0</v>
      </c>
      <c r="CA2738" s="138">
        <f t="shared" si="1974"/>
        <v>36</v>
      </c>
      <c r="CB2738" s="111" t="e">
        <f>IF(AF2738&gt;1/1/1900,((AF2738+1)-AE2738),"STILL OPEN")</f>
        <v>#VALUE!</v>
      </c>
      <c r="CC2738" s="129">
        <f>G2738-I2738+1</f>
        <v>36</v>
      </c>
      <c r="CD2738" s="129">
        <f>G2738-J2738</f>
        <v>0</v>
      </c>
      <c r="CG2738" s="129" t="str">
        <f t="shared" si="1975"/>
        <v>N</v>
      </c>
      <c r="CI2738" s="129" t="str">
        <f t="shared" si="1981"/>
        <v>31-60 DAYS</v>
      </c>
      <c r="CJ2738" s="137">
        <f t="shared" si="1982"/>
        <v>3</v>
      </c>
      <c r="CK2738" s="129" t="str">
        <f t="shared" si="1983"/>
        <v>Booked</v>
      </c>
    </row>
    <row r="2739" spans="1:89" ht="15.75" customHeight="1" x14ac:dyDescent="0.25">
      <c r="A2739" s="111">
        <v>908</v>
      </c>
      <c r="B2739" s="128" t="str">
        <f t="shared" si="1968"/>
        <v>N</v>
      </c>
      <c r="C2739" s="128" t="str">
        <f t="shared" si="1969"/>
        <v>N</v>
      </c>
      <c r="D2739" s="117">
        <v>2602924</v>
      </c>
      <c r="E2739" s="135">
        <f t="shared" si="1970"/>
        <v>1</v>
      </c>
      <c r="F2739" s="124">
        <v>40942</v>
      </c>
      <c r="G2739" s="125">
        <v>40945</v>
      </c>
      <c r="H2739" s="117">
        <v>2602924</v>
      </c>
      <c r="I2739" s="124">
        <v>40942</v>
      </c>
      <c r="J2739" s="124">
        <v>40943</v>
      </c>
      <c r="K2739" s="126">
        <v>45000</v>
      </c>
      <c r="L2739" s="129" t="s">
        <v>572</v>
      </c>
      <c r="M2739" s="125">
        <v>40943</v>
      </c>
      <c r="N2739" s="129" t="str">
        <f t="shared" si="2000"/>
        <v>Y</v>
      </c>
      <c r="O2739" s="128" t="s">
        <v>76</v>
      </c>
      <c r="P2739" s="129" t="s">
        <v>55</v>
      </c>
      <c r="Q2739" s="111">
        <v>2</v>
      </c>
      <c r="R2739" s="111">
        <f t="shared" si="1959"/>
        <v>4</v>
      </c>
      <c r="S2739" s="129">
        <v>0</v>
      </c>
      <c r="T2739" s="129">
        <v>0</v>
      </c>
      <c r="W2739" s="111"/>
      <c r="AC2739" s="130"/>
      <c r="AD2739" s="130">
        <v>27960</v>
      </c>
      <c r="AE2739" s="128" t="s">
        <v>32</v>
      </c>
      <c r="AF2739" s="128" t="s">
        <v>69</v>
      </c>
      <c r="AG2739" s="128" t="s">
        <v>874</v>
      </c>
      <c r="AH2739" s="108" t="s">
        <v>31</v>
      </c>
      <c r="AI2739" s="128" t="s">
        <v>114</v>
      </c>
      <c r="AJ2739" s="129" t="s">
        <v>55</v>
      </c>
      <c r="AK2739" s="129">
        <v>1</v>
      </c>
      <c r="AL2739" s="3" t="s">
        <v>55</v>
      </c>
      <c r="AP2739" s="129" t="s">
        <v>263</v>
      </c>
      <c r="AR2739" s="128" t="s">
        <v>44</v>
      </c>
      <c r="AS2739" s="129" t="s">
        <v>82</v>
      </c>
      <c r="BC2739" s="129" t="s">
        <v>52</v>
      </c>
      <c r="BF2739" s="111">
        <v>1</v>
      </c>
      <c r="BG2739" s="111">
        <f t="shared" si="2001"/>
        <v>4</v>
      </c>
      <c r="BH2739" s="111">
        <f t="shared" si="1960"/>
        <v>4</v>
      </c>
      <c r="BI2739" s="111">
        <f t="shared" si="1962"/>
        <v>35.469945355191257</v>
      </c>
      <c r="BJ2739" s="129">
        <f>(G2739-J2739)+(M2739-G2739)</f>
        <v>0</v>
      </c>
      <c r="BK2739" s="129">
        <f t="shared" si="1961"/>
        <v>-2</v>
      </c>
      <c r="BL2739" s="129" t="str">
        <f t="shared" si="1955"/>
        <v>NO CONVICTION</v>
      </c>
      <c r="BM2739" s="129" t="s">
        <v>76</v>
      </c>
      <c r="BN2739" s="129" t="s">
        <v>88</v>
      </c>
      <c r="BP2739" s="137" t="str">
        <f t="shared" si="1963"/>
        <v>NO CONVICTION</v>
      </c>
      <c r="BQ2739" s="128" t="str">
        <f t="shared" si="1971"/>
        <v>Y</v>
      </c>
      <c r="BR2739" s="129" t="str">
        <f t="shared" si="1979"/>
        <v>ON BOND</v>
      </c>
      <c r="BS2739" s="129" t="str">
        <f t="shared" si="1964"/>
        <v>DISPOSED</v>
      </c>
      <c r="BT2739" s="129" t="str">
        <f t="shared" si="1965"/>
        <v>N</v>
      </c>
      <c r="BU2739" s="109">
        <f>IFERROR(Q2739/R2739,BR2739)</f>
        <v>0.5</v>
      </c>
      <c r="BV2739" s="109">
        <f t="shared" si="1980"/>
        <v>0.5</v>
      </c>
      <c r="BW2739" s="109">
        <f t="shared" si="1999"/>
        <v>0</v>
      </c>
      <c r="BX2739" s="111">
        <f t="shared" si="1967"/>
        <v>1</v>
      </c>
      <c r="BY2739" s="129">
        <f t="shared" si="1972"/>
        <v>-2</v>
      </c>
      <c r="BZ2739" s="111">
        <f t="shared" si="1973"/>
        <v>-1</v>
      </c>
      <c r="CA2739" s="138">
        <f t="shared" si="1974"/>
        <v>2</v>
      </c>
      <c r="CB2739" s="111">
        <v>1</v>
      </c>
      <c r="CC2739" s="129">
        <f>M2739-I2739+1</f>
        <v>2</v>
      </c>
      <c r="CD2739" s="111">
        <f>CC2739-BF2739</f>
        <v>1</v>
      </c>
      <c r="CG2739" s="129" t="str">
        <f t="shared" si="1975"/>
        <v>N</v>
      </c>
      <c r="CI2739" s="129" t="str">
        <f t="shared" si="1981"/>
        <v>0-10 DAYS</v>
      </c>
      <c r="CJ2739" s="137">
        <f t="shared" si="1982"/>
        <v>1</v>
      </c>
      <c r="CK2739" s="129" t="str">
        <f t="shared" si="1983"/>
        <v>Booked</v>
      </c>
    </row>
    <row r="2740" spans="1:89" ht="15" customHeight="1" x14ac:dyDescent="0.25">
      <c r="A2740" s="111">
        <v>898</v>
      </c>
      <c r="B2740" s="128" t="str">
        <f t="shared" si="1968"/>
        <v>N</v>
      </c>
      <c r="C2740" s="128" t="str">
        <f t="shared" si="1969"/>
        <v>N</v>
      </c>
      <c r="D2740" s="117">
        <v>2602931</v>
      </c>
      <c r="E2740" s="135">
        <f t="shared" si="1970"/>
        <v>4</v>
      </c>
      <c r="F2740" s="124">
        <v>40942</v>
      </c>
      <c r="G2740" s="125">
        <v>40945</v>
      </c>
      <c r="H2740" s="117">
        <v>2602931</v>
      </c>
      <c r="I2740" s="124">
        <v>40942</v>
      </c>
      <c r="J2740" s="124">
        <v>40945</v>
      </c>
      <c r="K2740" s="126">
        <v>35000</v>
      </c>
      <c r="L2740" s="129" t="s">
        <v>572</v>
      </c>
      <c r="N2740" s="129" t="str">
        <f t="shared" si="2000"/>
        <v>N</v>
      </c>
      <c r="O2740" s="128" t="s">
        <v>917</v>
      </c>
      <c r="P2740" s="129" t="s">
        <v>39</v>
      </c>
      <c r="Q2740" s="111">
        <f t="shared" ref="Q2740:Q2771" si="2002">BF2740</f>
        <v>4</v>
      </c>
      <c r="R2740" s="111">
        <f t="shared" si="1959"/>
        <v>4</v>
      </c>
      <c r="S2740" s="129">
        <v>0</v>
      </c>
      <c r="T2740" s="129">
        <v>0</v>
      </c>
      <c r="W2740" s="111"/>
      <c r="AB2740" s="131" t="s">
        <v>112</v>
      </c>
      <c r="AC2740" s="130"/>
      <c r="AD2740" s="130">
        <v>30286</v>
      </c>
      <c r="AE2740" s="128" t="s">
        <v>32</v>
      </c>
      <c r="AF2740" s="128" t="s">
        <v>40</v>
      </c>
      <c r="AG2740" s="128" t="s">
        <v>41</v>
      </c>
      <c r="AH2740" s="108" t="s">
        <v>31</v>
      </c>
      <c r="AI2740" s="128" t="s">
        <v>47</v>
      </c>
      <c r="AJ2740" s="129" t="s">
        <v>89</v>
      </c>
      <c r="AK2740" s="129">
        <v>1</v>
      </c>
      <c r="AL2740" s="3" t="s">
        <v>991</v>
      </c>
      <c r="AO2740" s="128">
        <v>60</v>
      </c>
      <c r="AP2740" s="129" t="s">
        <v>43</v>
      </c>
      <c r="AR2740" s="128" t="s">
        <v>44</v>
      </c>
      <c r="AS2740" s="129" t="s">
        <v>45</v>
      </c>
      <c r="BC2740" s="129" t="s">
        <v>38</v>
      </c>
      <c r="BF2740" s="111">
        <f t="shared" ref="BF2740:BF2745" si="2003">IF(J2740&gt;1/1/1900,((J2740+1)-I2740),"STILL OPEN")</f>
        <v>4</v>
      </c>
      <c r="BG2740" s="111">
        <f t="shared" si="2001"/>
        <v>4</v>
      </c>
      <c r="BH2740" s="111">
        <f t="shared" si="1960"/>
        <v>4</v>
      </c>
      <c r="BI2740" s="111">
        <f t="shared" si="1962"/>
        <v>29.114754098360656</v>
      </c>
      <c r="BJ2740" s="129">
        <f t="shared" si="1977"/>
        <v>0</v>
      </c>
      <c r="BK2740" s="129">
        <f t="shared" si="1961"/>
        <v>0</v>
      </c>
      <c r="BL2740" s="129" t="str">
        <f t="shared" si="1955"/>
        <v>CONVICTION</v>
      </c>
      <c r="BM2740" s="129" t="str">
        <f t="shared" si="1978"/>
        <v>NONE</v>
      </c>
      <c r="BN2740" s="129" t="s">
        <v>566</v>
      </c>
      <c r="BP2740" s="137" t="str">
        <f t="shared" si="1963"/>
        <v>CONVICTION</v>
      </c>
      <c r="BQ2740" s="128" t="str">
        <f t="shared" si="1971"/>
        <v>Y</v>
      </c>
      <c r="BR2740" s="129" t="str">
        <f t="shared" si="1979"/>
        <v>DETAINED</v>
      </c>
      <c r="BS2740" s="129" t="str">
        <f t="shared" si="1964"/>
        <v>DISPOSED</v>
      </c>
      <c r="BT2740" s="129" t="str">
        <f t="shared" si="1965"/>
        <v>N</v>
      </c>
      <c r="BU2740" s="109">
        <f t="shared" si="1966"/>
        <v>1</v>
      </c>
      <c r="BV2740" s="109">
        <f t="shared" si="1980"/>
        <v>1</v>
      </c>
      <c r="BW2740" s="109">
        <f t="shared" si="1999"/>
        <v>0</v>
      </c>
      <c r="BX2740" s="111">
        <f t="shared" si="1967"/>
        <v>0</v>
      </c>
      <c r="BY2740" s="129">
        <f t="shared" si="1972"/>
        <v>-4</v>
      </c>
      <c r="BZ2740" s="111">
        <f t="shared" si="1973"/>
        <v>0</v>
      </c>
      <c r="CA2740" s="138">
        <f t="shared" si="1974"/>
        <v>4</v>
      </c>
      <c r="CB2740" s="111" t="e">
        <f t="shared" ref="CB2740:CB2745" si="2004">IF(AF2740&gt;1/1/1900,((AF2740+1)-AE2740),"STILL OPEN")</f>
        <v>#VALUE!</v>
      </c>
      <c r="CC2740" s="129">
        <f>G2740-I2740+1</f>
        <v>4</v>
      </c>
      <c r="CD2740" s="129">
        <f>G2740-J2740</f>
        <v>0</v>
      </c>
      <c r="CG2740" s="129" t="str">
        <f t="shared" si="1975"/>
        <v>N</v>
      </c>
      <c r="CI2740" s="129" t="str">
        <f t="shared" si="1981"/>
        <v>0-10 DAYS</v>
      </c>
      <c r="CJ2740" s="137">
        <f t="shared" si="1982"/>
        <v>1</v>
      </c>
      <c r="CK2740" s="129" t="str">
        <f t="shared" si="1983"/>
        <v>Booked</v>
      </c>
    </row>
    <row r="2741" spans="1:89" ht="15" customHeight="1" x14ac:dyDescent="0.25">
      <c r="A2741" s="111">
        <v>899</v>
      </c>
      <c r="B2741" s="128" t="str">
        <f t="shared" si="1968"/>
        <v>N</v>
      </c>
      <c r="C2741" s="128" t="str">
        <f t="shared" si="1969"/>
        <v>N</v>
      </c>
      <c r="D2741" s="117">
        <v>2602932</v>
      </c>
      <c r="E2741" s="135">
        <f t="shared" si="1970"/>
        <v>4</v>
      </c>
      <c r="F2741" s="124">
        <v>40942</v>
      </c>
      <c r="G2741" s="125">
        <v>40945</v>
      </c>
      <c r="H2741" s="117">
        <v>2602932</v>
      </c>
      <c r="I2741" s="124">
        <v>40942</v>
      </c>
      <c r="J2741" s="124">
        <v>40945</v>
      </c>
      <c r="K2741" s="126">
        <v>35000</v>
      </c>
      <c r="L2741" s="129" t="s">
        <v>572</v>
      </c>
      <c r="N2741" s="129" t="str">
        <f t="shared" si="2000"/>
        <v>N</v>
      </c>
      <c r="O2741" s="128" t="s">
        <v>917</v>
      </c>
      <c r="P2741" s="129" t="s">
        <v>39</v>
      </c>
      <c r="Q2741" s="111">
        <f t="shared" si="2002"/>
        <v>4</v>
      </c>
      <c r="R2741" s="111">
        <f t="shared" si="1959"/>
        <v>4</v>
      </c>
      <c r="S2741" s="129">
        <v>0</v>
      </c>
      <c r="T2741" s="129">
        <v>0</v>
      </c>
      <c r="W2741" s="111"/>
      <c r="AB2741" s="131" t="s">
        <v>112</v>
      </c>
      <c r="AC2741" s="130"/>
      <c r="AD2741" s="130">
        <v>28692</v>
      </c>
      <c r="AE2741" s="128" t="s">
        <v>32</v>
      </c>
      <c r="AF2741" s="128" t="s">
        <v>40</v>
      </c>
      <c r="AG2741" s="128" t="s">
        <v>41</v>
      </c>
      <c r="AH2741" s="108" t="s">
        <v>31</v>
      </c>
      <c r="AI2741" s="128" t="s">
        <v>53</v>
      </c>
      <c r="AJ2741" s="129" t="s">
        <v>89</v>
      </c>
      <c r="AK2741" s="129">
        <v>1</v>
      </c>
      <c r="AL2741" s="3" t="s">
        <v>991</v>
      </c>
      <c r="AO2741" s="128">
        <v>60</v>
      </c>
      <c r="AP2741" s="129" t="s">
        <v>43</v>
      </c>
      <c r="AR2741" s="128" t="s">
        <v>44</v>
      </c>
      <c r="AS2741" s="129" t="s">
        <v>45</v>
      </c>
      <c r="BC2741" s="129" t="s">
        <v>99</v>
      </c>
      <c r="BF2741" s="111">
        <f t="shared" si="2003"/>
        <v>4</v>
      </c>
      <c r="BG2741" s="111">
        <f t="shared" si="2001"/>
        <v>4</v>
      </c>
      <c r="BH2741" s="111">
        <f t="shared" si="1960"/>
        <v>4</v>
      </c>
      <c r="BI2741" s="111">
        <f t="shared" si="1962"/>
        <v>33.469945355191257</v>
      </c>
      <c r="BJ2741" s="129">
        <f t="shared" si="1977"/>
        <v>0</v>
      </c>
      <c r="BK2741" s="129">
        <f t="shared" si="1961"/>
        <v>0</v>
      </c>
      <c r="BL2741" s="129" t="str">
        <f t="shared" si="1955"/>
        <v>CONVICTION</v>
      </c>
      <c r="BM2741" s="129" t="str">
        <f t="shared" si="1978"/>
        <v>NONE</v>
      </c>
      <c r="BN2741" s="129" t="s">
        <v>566</v>
      </c>
      <c r="BP2741" s="137" t="str">
        <f t="shared" si="1963"/>
        <v>CONVICTION</v>
      </c>
      <c r="BQ2741" s="128" t="str">
        <f t="shared" si="1971"/>
        <v>Y</v>
      </c>
      <c r="BR2741" s="129" t="str">
        <f t="shared" si="1979"/>
        <v>DETAINED</v>
      </c>
      <c r="BS2741" s="129" t="str">
        <f t="shared" si="1964"/>
        <v>DISPOSED</v>
      </c>
      <c r="BT2741" s="129" t="str">
        <f t="shared" si="1965"/>
        <v>N</v>
      </c>
      <c r="BU2741" s="109">
        <f t="shared" si="1966"/>
        <v>1</v>
      </c>
      <c r="BV2741" s="109">
        <f t="shared" si="1980"/>
        <v>1</v>
      </c>
      <c r="BW2741" s="109">
        <f t="shared" si="1999"/>
        <v>0</v>
      </c>
      <c r="BX2741" s="111">
        <f t="shared" si="1967"/>
        <v>0</v>
      </c>
      <c r="BY2741" s="129">
        <f t="shared" si="1972"/>
        <v>-4</v>
      </c>
      <c r="BZ2741" s="111">
        <f t="shared" si="1973"/>
        <v>0</v>
      </c>
      <c r="CA2741" s="138">
        <f t="shared" si="1974"/>
        <v>4</v>
      </c>
      <c r="CB2741" s="111" t="e">
        <f t="shared" si="2004"/>
        <v>#VALUE!</v>
      </c>
      <c r="CC2741" s="129">
        <f>G2741-I2741+1</f>
        <v>4</v>
      </c>
      <c r="CD2741" s="129">
        <f>G2741-J2741</f>
        <v>0</v>
      </c>
      <c r="CG2741" s="129" t="str">
        <f t="shared" si="1975"/>
        <v>N</v>
      </c>
      <c r="CI2741" s="129" t="str">
        <f t="shared" si="1981"/>
        <v>0-10 DAYS</v>
      </c>
      <c r="CJ2741" s="137">
        <f t="shared" si="1982"/>
        <v>1</v>
      </c>
      <c r="CK2741" s="129" t="str">
        <f t="shared" si="1983"/>
        <v>Booked</v>
      </c>
    </row>
    <row r="2742" spans="1:89" ht="15.75" customHeight="1" x14ac:dyDescent="0.25">
      <c r="A2742" s="111">
        <v>911</v>
      </c>
      <c r="B2742" s="128" t="str">
        <f t="shared" si="1968"/>
        <v>N</v>
      </c>
      <c r="C2742" s="128" t="str">
        <f t="shared" si="1969"/>
        <v>N</v>
      </c>
      <c r="D2742" s="117">
        <v>2602991</v>
      </c>
      <c r="E2742" s="135">
        <f t="shared" si="1970"/>
        <v>4</v>
      </c>
      <c r="F2742" s="124">
        <v>40942</v>
      </c>
      <c r="G2742" s="125">
        <v>41163</v>
      </c>
      <c r="H2742" s="117">
        <v>2602991</v>
      </c>
      <c r="I2742" s="124">
        <v>41135</v>
      </c>
      <c r="J2742" s="125">
        <v>41163</v>
      </c>
      <c r="K2742" s="126">
        <v>15000</v>
      </c>
      <c r="L2742" s="127" t="s">
        <v>571</v>
      </c>
      <c r="N2742" s="129" t="str">
        <f t="shared" si="2000"/>
        <v>N</v>
      </c>
      <c r="O2742" s="128" t="s">
        <v>917</v>
      </c>
      <c r="P2742" s="129" t="s">
        <v>39</v>
      </c>
      <c r="Q2742" s="111">
        <f t="shared" si="2002"/>
        <v>29</v>
      </c>
      <c r="R2742" s="111">
        <f t="shared" si="1959"/>
        <v>222</v>
      </c>
      <c r="S2742" s="129">
        <v>0</v>
      </c>
      <c r="T2742" s="129">
        <v>0</v>
      </c>
      <c r="W2742" s="111"/>
      <c r="AC2742" s="130"/>
      <c r="AD2742" s="130">
        <v>20676</v>
      </c>
      <c r="AE2742" s="128" t="s">
        <v>32</v>
      </c>
      <c r="AF2742" s="128" t="s">
        <v>33</v>
      </c>
      <c r="AG2742" s="128" t="s">
        <v>872</v>
      </c>
      <c r="AH2742" s="108" t="s">
        <v>31</v>
      </c>
      <c r="AI2742" s="128" t="s">
        <v>113</v>
      </c>
      <c r="AJ2742" s="129" t="s">
        <v>89</v>
      </c>
      <c r="AK2742" s="129">
        <v>3</v>
      </c>
      <c r="AL2742" s="3" t="s">
        <v>991</v>
      </c>
      <c r="AO2742" s="128">
        <v>90</v>
      </c>
      <c r="AP2742" s="129" t="s">
        <v>60</v>
      </c>
      <c r="AR2742" s="128" t="s">
        <v>44</v>
      </c>
      <c r="AS2742" s="129" t="s">
        <v>61</v>
      </c>
      <c r="BC2742" s="129" t="s">
        <v>38</v>
      </c>
      <c r="BF2742" s="111">
        <f t="shared" si="2003"/>
        <v>29</v>
      </c>
      <c r="BG2742" s="111">
        <f t="shared" si="2001"/>
        <v>29</v>
      </c>
      <c r="BH2742" s="111">
        <f t="shared" si="1960"/>
        <v>222</v>
      </c>
      <c r="BI2742" s="111">
        <f t="shared" si="1962"/>
        <v>55.37158469945355</v>
      </c>
      <c r="BJ2742" s="129">
        <f t="shared" si="1977"/>
        <v>0</v>
      </c>
      <c r="BK2742" s="129">
        <f t="shared" si="1961"/>
        <v>0</v>
      </c>
      <c r="BL2742" s="129" t="str">
        <f t="shared" ref="BL2742:BL2805" si="2005">IF(OR(AL2742="AQUITTAL",AL2742="DISMISSED",AL2742="FINE",AL2742="NO BILL"),"NO CONVICTION",IF(OR(AL2742="HCJ",AL2742="MHH",AL2742="PROBATION",AL2742="STJ",AL2742="TDC"),"CONVICTION",IF(AL2742="DEFERRED","DEFERRED",0)))</f>
        <v>CONVICTION</v>
      </c>
      <c r="BM2742" s="129" t="str">
        <f t="shared" si="1978"/>
        <v>NONE</v>
      </c>
      <c r="BN2742" s="129" t="s">
        <v>566</v>
      </c>
      <c r="BP2742" s="137" t="str">
        <f t="shared" si="1963"/>
        <v>CONVICTION</v>
      </c>
      <c r="BQ2742" s="128" t="str">
        <f t="shared" si="1971"/>
        <v>Y</v>
      </c>
      <c r="BR2742" s="129" t="str">
        <f t="shared" si="1979"/>
        <v>DETAINED</v>
      </c>
      <c r="BS2742" s="129" t="str">
        <f t="shared" si="1964"/>
        <v>DISPOSED</v>
      </c>
      <c r="BT2742" s="129" t="str">
        <f t="shared" si="1965"/>
        <v>N</v>
      </c>
      <c r="BU2742" s="109">
        <f t="shared" si="1966"/>
        <v>0.13063063063063063</v>
      </c>
      <c r="BV2742" s="109">
        <f t="shared" si="1980"/>
        <v>1</v>
      </c>
      <c r="BW2742" s="109">
        <f t="shared" si="1999"/>
        <v>0.86936936936936937</v>
      </c>
      <c r="BX2742" s="111">
        <f t="shared" si="1967"/>
        <v>0</v>
      </c>
      <c r="BY2742" s="129">
        <f t="shared" si="1972"/>
        <v>-29</v>
      </c>
      <c r="BZ2742" s="111">
        <f t="shared" si="1973"/>
        <v>0</v>
      </c>
      <c r="CA2742" s="138">
        <f t="shared" si="1974"/>
        <v>29</v>
      </c>
      <c r="CB2742" s="111" t="e">
        <f t="shared" si="2004"/>
        <v>#VALUE!</v>
      </c>
      <c r="CC2742" s="129">
        <f>G2742-I2742+1</f>
        <v>29</v>
      </c>
      <c r="CD2742" s="129">
        <f>G2742-J2742</f>
        <v>0</v>
      </c>
      <c r="CG2742" s="129" t="str">
        <f t="shared" si="1975"/>
        <v>N</v>
      </c>
      <c r="CI2742" s="129" t="str">
        <f t="shared" si="1981"/>
        <v>11-30 DAYS</v>
      </c>
      <c r="CJ2742" s="137">
        <f t="shared" si="1982"/>
        <v>2</v>
      </c>
      <c r="CK2742" s="129" t="str">
        <f t="shared" si="1983"/>
        <v>Booked</v>
      </c>
    </row>
    <row r="2743" spans="1:89" ht="15.75" customHeight="1" x14ac:dyDescent="0.25">
      <c r="A2743" s="111">
        <v>912</v>
      </c>
      <c r="B2743" s="128" t="str">
        <f t="shared" si="1968"/>
        <v>N</v>
      </c>
      <c r="C2743" s="128" t="str">
        <f t="shared" si="1969"/>
        <v>N</v>
      </c>
      <c r="D2743" s="117">
        <v>2602992</v>
      </c>
      <c r="E2743" s="135">
        <f t="shared" si="1970"/>
        <v>6</v>
      </c>
      <c r="F2743" s="124">
        <v>40942</v>
      </c>
      <c r="G2743" s="125">
        <v>41011</v>
      </c>
      <c r="H2743" s="117">
        <v>2602992</v>
      </c>
      <c r="I2743" s="124">
        <v>40946</v>
      </c>
      <c r="J2743" s="124">
        <v>41011</v>
      </c>
      <c r="K2743" s="126">
        <v>20000</v>
      </c>
      <c r="L2743" s="127" t="s">
        <v>571</v>
      </c>
      <c r="N2743" s="129" t="str">
        <f t="shared" si="2000"/>
        <v>N</v>
      </c>
      <c r="O2743" s="128" t="s">
        <v>917</v>
      </c>
      <c r="P2743" s="129" t="s">
        <v>39</v>
      </c>
      <c r="Q2743" s="111">
        <f t="shared" si="2002"/>
        <v>66</v>
      </c>
      <c r="R2743" s="111">
        <f t="shared" si="1959"/>
        <v>70</v>
      </c>
      <c r="S2743" s="129">
        <v>0</v>
      </c>
      <c r="T2743" s="129">
        <v>0</v>
      </c>
      <c r="W2743" s="111"/>
      <c r="AB2743" s="131" t="s">
        <v>112</v>
      </c>
      <c r="AC2743" s="130"/>
      <c r="AD2743" s="130">
        <v>30677</v>
      </c>
      <c r="AE2743" s="128" t="s">
        <v>32</v>
      </c>
      <c r="AF2743" s="128" t="s">
        <v>40</v>
      </c>
      <c r="AG2743" s="128" t="s">
        <v>41</v>
      </c>
      <c r="AH2743" s="108" t="s">
        <v>31</v>
      </c>
      <c r="AI2743" s="128" t="s">
        <v>83</v>
      </c>
      <c r="AJ2743" s="129" t="s">
        <v>89</v>
      </c>
      <c r="AK2743" s="129">
        <v>5</v>
      </c>
      <c r="AL2743" s="3" t="s">
        <v>362</v>
      </c>
      <c r="AM2743" s="117">
        <v>2</v>
      </c>
      <c r="AP2743" s="129" t="s">
        <v>125</v>
      </c>
      <c r="AR2743" s="128" t="s">
        <v>50</v>
      </c>
      <c r="AS2743" s="129" t="s">
        <v>126</v>
      </c>
      <c r="BC2743" s="129" t="s">
        <v>52</v>
      </c>
      <c r="BF2743" s="111">
        <f t="shared" si="2003"/>
        <v>66</v>
      </c>
      <c r="BG2743" s="111">
        <f t="shared" si="2001"/>
        <v>66</v>
      </c>
      <c r="BH2743" s="111">
        <f t="shared" si="1960"/>
        <v>70</v>
      </c>
      <c r="BI2743" s="111">
        <f t="shared" si="1962"/>
        <v>28.046448087431695</v>
      </c>
      <c r="BJ2743" s="129">
        <f t="shared" si="1977"/>
        <v>0</v>
      </c>
      <c r="BK2743" s="129">
        <f t="shared" si="1961"/>
        <v>0</v>
      </c>
      <c r="BL2743" s="129" t="str">
        <f t="shared" si="2005"/>
        <v>CONVICTION</v>
      </c>
      <c r="BM2743" s="129" t="str">
        <f t="shared" si="1978"/>
        <v>NONE</v>
      </c>
      <c r="BN2743" s="129" t="s">
        <v>566</v>
      </c>
      <c r="BP2743" s="137" t="str">
        <f t="shared" si="1963"/>
        <v>CONVICTION</v>
      </c>
      <c r="BQ2743" s="128" t="str">
        <f t="shared" si="1971"/>
        <v>Y</v>
      </c>
      <c r="BR2743" s="129" t="str">
        <f t="shared" si="1979"/>
        <v>DETAINED</v>
      </c>
      <c r="BS2743" s="129" t="str">
        <f t="shared" si="1964"/>
        <v>DISPOSED</v>
      </c>
      <c r="BT2743" s="129" t="str">
        <f t="shared" si="1965"/>
        <v>N</v>
      </c>
      <c r="BU2743" s="109">
        <f t="shared" si="1966"/>
        <v>0.94285714285714284</v>
      </c>
      <c r="BV2743" s="109">
        <f t="shared" si="1980"/>
        <v>1</v>
      </c>
      <c r="BW2743" s="109">
        <f t="shared" si="1999"/>
        <v>5.7142857142857162E-2</v>
      </c>
      <c r="BX2743" s="111">
        <f t="shared" si="1967"/>
        <v>0</v>
      </c>
      <c r="BY2743" s="129">
        <f t="shared" si="1972"/>
        <v>-66</v>
      </c>
      <c r="BZ2743" s="111">
        <f t="shared" si="1973"/>
        <v>0</v>
      </c>
      <c r="CA2743" s="138">
        <f t="shared" si="1974"/>
        <v>66</v>
      </c>
      <c r="CB2743" s="111" t="e">
        <f t="shared" si="2004"/>
        <v>#VALUE!</v>
      </c>
      <c r="CC2743" s="129">
        <f>G2743-I2743+1</f>
        <v>66</v>
      </c>
      <c r="CD2743" s="129">
        <f>G2743-J2743</f>
        <v>0</v>
      </c>
      <c r="CG2743" s="129" t="str">
        <f t="shared" si="1975"/>
        <v>N</v>
      </c>
      <c r="CI2743" s="129" t="str">
        <f t="shared" si="1981"/>
        <v>61-90 DAYS</v>
      </c>
      <c r="CJ2743" s="137">
        <f t="shared" si="1982"/>
        <v>4</v>
      </c>
      <c r="CK2743" s="129" t="str">
        <f t="shared" si="1983"/>
        <v>Booked</v>
      </c>
    </row>
    <row r="2744" spans="1:89" ht="15" customHeight="1" x14ac:dyDescent="0.25">
      <c r="A2744" s="111">
        <v>2677</v>
      </c>
      <c r="B2744" s="128" t="str">
        <f t="shared" si="1968"/>
        <v>N</v>
      </c>
      <c r="C2744" s="128" t="str">
        <f t="shared" si="1969"/>
        <v>N</v>
      </c>
      <c r="D2744" s="117">
        <v>2602996</v>
      </c>
      <c r="E2744" s="135">
        <f t="shared" si="1970"/>
        <v>6</v>
      </c>
      <c r="F2744" s="124">
        <v>41008</v>
      </c>
      <c r="G2744" s="125">
        <v>41075</v>
      </c>
      <c r="H2744" s="117">
        <v>2602996</v>
      </c>
      <c r="I2744" s="124">
        <v>41008</v>
      </c>
      <c r="J2744" s="124">
        <v>41075</v>
      </c>
      <c r="K2744" s="126">
        <v>30000</v>
      </c>
      <c r="L2744" s="129" t="s">
        <v>572</v>
      </c>
      <c r="N2744" s="129" t="str">
        <f t="shared" si="2000"/>
        <v>N</v>
      </c>
      <c r="O2744" s="128" t="s">
        <v>917</v>
      </c>
      <c r="P2744" s="129" t="s">
        <v>39</v>
      </c>
      <c r="Q2744" s="111">
        <f t="shared" si="2002"/>
        <v>68</v>
      </c>
      <c r="R2744" s="111">
        <f t="shared" si="1959"/>
        <v>68</v>
      </c>
      <c r="S2744" s="129">
        <v>0</v>
      </c>
      <c r="T2744" s="129">
        <v>0</v>
      </c>
      <c r="W2744" s="111"/>
      <c r="AB2744" s="131" t="s">
        <v>112</v>
      </c>
      <c r="AC2744" s="130"/>
      <c r="AD2744" s="130">
        <v>34160</v>
      </c>
      <c r="AE2744" s="128" t="s">
        <v>32</v>
      </c>
      <c r="AF2744" s="128" t="s">
        <v>40</v>
      </c>
      <c r="AG2744" s="128" t="s">
        <v>41</v>
      </c>
      <c r="AH2744" s="108" t="s">
        <v>31</v>
      </c>
      <c r="AI2744" s="128" t="s">
        <v>34</v>
      </c>
      <c r="AJ2744" s="129" t="s">
        <v>89</v>
      </c>
      <c r="AK2744" s="129">
        <v>4</v>
      </c>
      <c r="AL2744" s="3" t="s">
        <v>362</v>
      </c>
      <c r="AM2744" s="117">
        <v>5</v>
      </c>
      <c r="AP2744" s="129" t="s">
        <v>105</v>
      </c>
      <c r="AR2744" s="128" t="s">
        <v>92</v>
      </c>
      <c r="AS2744" s="129" t="s">
        <v>106</v>
      </c>
      <c r="BC2744" s="129" t="s">
        <v>38</v>
      </c>
      <c r="BF2744" s="111">
        <f t="shared" si="2003"/>
        <v>68</v>
      </c>
      <c r="BG2744" s="111">
        <f t="shared" si="2001"/>
        <v>68</v>
      </c>
      <c r="BH2744" s="111">
        <f t="shared" si="1960"/>
        <v>68</v>
      </c>
      <c r="BI2744" s="111">
        <f t="shared" si="1962"/>
        <v>18.710382513661202</v>
      </c>
      <c r="BJ2744" s="129">
        <f t="shared" si="1977"/>
        <v>0</v>
      </c>
      <c r="BK2744" s="129">
        <f t="shared" si="1961"/>
        <v>0</v>
      </c>
      <c r="BL2744" s="129" t="str">
        <f t="shared" si="2005"/>
        <v>CONVICTION</v>
      </c>
      <c r="BM2744" s="129" t="str">
        <f t="shared" si="1978"/>
        <v>NONE</v>
      </c>
      <c r="BN2744" s="129" t="s">
        <v>566</v>
      </c>
      <c r="BP2744" s="137" t="str">
        <f t="shared" si="1963"/>
        <v>CONVICTION</v>
      </c>
      <c r="BQ2744" s="128" t="str">
        <f t="shared" si="1971"/>
        <v>Y</v>
      </c>
      <c r="BR2744" s="129" t="str">
        <f t="shared" si="1979"/>
        <v>DETAINED</v>
      </c>
      <c r="BS2744" s="129" t="str">
        <f t="shared" si="1964"/>
        <v>DISPOSED</v>
      </c>
      <c r="BT2744" s="129" t="str">
        <f t="shared" si="1965"/>
        <v>N</v>
      </c>
      <c r="BU2744" s="109">
        <f t="shared" si="1966"/>
        <v>1</v>
      </c>
      <c r="BV2744" s="109">
        <f t="shared" si="1980"/>
        <v>1</v>
      </c>
      <c r="BW2744" s="109">
        <f t="shared" si="1999"/>
        <v>0</v>
      </c>
      <c r="BX2744" s="111">
        <f t="shared" si="1967"/>
        <v>0</v>
      </c>
      <c r="BY2744" s="129">
        <f t="shared" si="1972"/>
        <v>-68</v>
      </c>
      <c r="BZ2744" s="111">
        <f t="shared" si="1973"/>
        <v>0</v>
      </c>
      <c r="CA2744" s="138">
        <f t="shared" si="1974"/>
        <v>68</v>
      </c>
      <c r="CB2744" s="111" t="e">
        <f t="shared" si="2004"/>
        <v>#VALUE!</v>
      </c>
      <c r="CC2744" s="129">
        <f>G2744-I2744+1</f>
        <v>68</v>
      </c>
      <c r="CD2744" s="129">
        <f>G2744-J2744</f>
        <v>0</v>
      </c>
      <c r="CG2744" s="129" t="str">
        <f t="shared" si="1975"/>
        <v>N</v>
      </c>
      <c r="CI2744" s="129" t="str">
        <f t="shared" si="1981"/>
        <v>61-90 DAYS</v>
      </c>
      <c r="CJ2744" s="137">
        <f t="shared" si="1982"/>
        <v>4</v>
      </c>
      <c r="CK2744" s="129" t="str">
        <f t="shared" si="1983"/>
        <v>Booked</v>
      </c>
    </row>
    <row r="2745" spans="1:89" ht="15" customHeight="1" x14ac:dyDescent="0.25">
      <c r="A2745" s="111">
        <v>917</v>
      </c>
      <c r="B2745" s="128" t="str">
        <f t="shared" si="1968"/>
        <v>N</v>
      </c>
      <c r="C2745" s="128" t="str">
        <f t="shared" si="1969"/>
        <v>N</v>
      </c>
      <c r="D2745" s="117">
        <v>2603044</v>
      </c>
      <c r="E2745" s="135">
        <f t="shared" si="1970"/>
        <v>2</v>
      </c>
      <c r="F2745" s="124">
        <v>40942</v>
      </c>
      <c r="G2745" s="125">
        <v>41011</v>
      </c>
      <c r="H2745" s="117">
        <v>2603044</v>
      </c>
      <c r="I2745" s="124">
        <v>40942</v>
      </c>
      <c r="J2745" s="124">
        <v>40946</v>
      </c>
      <c r="K2745" s="126">
        <v>4000</v>
      </c>
      <c r="L2745" s="127" t="s">
        <v>569</v>
      </c>
      <c r="M2745" s="125">
        <v>40946</v>
      </c>
      <c r="N2745" s="129" t="str">
        <f t="shared" si="2000"/>
        <v>Y</v>
      </c>
      <c r="O2745" s="128" t="s">
        <v>76</v>
      </c>
      <c r="P2745" s="129" t="s">
        <v>589</v>
      </c>
      <c r="Q2745" s="111">
        <f t="shared" si="2002"/>
        <v>5</v>
      </c>
      <c r="R2745" s="111">
        <f t="shared" si="1959"/>
        <v>70</v>
      </c>
      <c r="S2745" s="129">
        <v>0</v>
      </c>
      <c r="T2745" s="129">
        <v>0</v>
      </c>
      <c r="W2745" s="111"/>
      <c r="AC2745" s="130"/>
      <c r="AD2745" s="130">
        <v>34125</v>
      </c>
      <c r="AE2745" s="128" t="s">
        <v>32</v>
      </c>
      <c r="AF2745" s="128" t="s">
        <v>69</v>
      </c>
      <c r="AG2745" s="128" t="s">
        <v>874</v>
      </c>
      <c r="AH2745" s="108" t="s">
        <v>31</v>
      </c>
      <c r="AI2745" s="128" t="s">
        <v>62</v>
      </c>
      <c r="AJ2745" s="129" t="s">
        <v>48</v>
      </c>
      <c r="AK2745" s="129">
        <v>3</v>
      </c>
      <c r="AL2745" s="3" t="s">
        <v>48</v>
      </c>
      <c r="AP2745" s="129" t="s">
        <v>264</v>
      </c>
      <c r="AR2745" s="128" t="s">
        <v>44</v>
      </c>
      <c r="AS2745" s="129" t="s">
        <v>45</v>
      </c>
      <c r="AT2745" s="129" t="s">
        <v>265</v>
      </c>
      <c r="BC2745" s="129" t="s">
        <v>52</v>
      </c>
      <c r="BF2745" s="111">
        <f t="shared" si="2003"/>
        <v>5</v>
      </c>
      <c r="BG2745" s="111">
        <f t="shared" si="2001"/>
        <v>70</v>
      </c>
      <c r="BH2745" s="111">
        <f t="shared" si="1960"/>
        <v>70</v>
      </c>
      <c r="BI2745" s="111">
        <f t="shared" si="1962"/>
        <v>18.625683060109289</v>
      </c>
      <c r="BJ2745" s="129">
        <f>(G2745-J2745)+(M2745-G2745)</f>
        <v>0</v>
      </c>
      <c r="BK2745" s="129">
        <f t="shared" si="1961"/>
        <v>-65</v>
      </c>
      <c r="BL2745" s="129" t="str">
        <f t="shared" si="2005"/>
        <v>DEFERRED</v>
      </c>
      <c r="BM2745" s="129" t="s">
        <v>76</v>
      </c>
      <c r="BN2745" s="129" t="s">
        <v>88</v>
      </c>
      <c r="BP2745" s="137" t="str">
        <f t="shared" si="1963"/>
        <v>DEFERRED</v>
      </c>
      <c r="BQ2745" s="128" t="str">
        <f t="shared" si="1971"/>
        <v>Y</v>
      </c>
      <c r="BR2745" s="129" t="str">
        <f t="shared" si="1979"/>
        <v>ON BOND</v>
      </c>
      <c r="BS2745" s="129" t="str">
        <f t="shared" si="1964"/>
        <v>DISPOSED</v>
      </c>
      <c r="BT2745" s="129" t="str">
        <f t="shared" si="1965"/>
        <v>N</v>
      </c>
      <c r="BU2745" s="109">
        <f t="shared" si="1966"/>
        <v>7.1428571428571425E-2</v>
      </c>
      <c r="BV2745" s="109">
        <f t="shared" si="1980"/>
        <v>7.1428571428571425E-2</v>
      </c>
      <c r="BW2745" s="109">
        <f t="shared" si="1999"/>
        <v>0</v>
      </c>
      <c r="BX2745" s="111">
        <f t="shared" si="1967"/>
        <v>0</v>
      </c>
      <c r="BY2745" s="129">
        <f t="shared" si="1972"/>
        <v>-5</v>
      </c>
      <c r="BZ2745" s="111">
        <f t="shared" si="1973"/>
        <v>0</v>
      </c>
      <c r="CA2745" s="138">
        <f t="shared" si="1974"/>
        <v>5</v>
      </c>
      <c r="CB2745" s="111" t="e">
        <f t="shared" si="2004"/>
        <v>#VALUE!</v>
      </c>
      <c r="CC2745" s="129">
        <f>M2745-I2745+1</f>
        <v>5</v>
      </c>
      <c r="CD2745" s="111">
        <f>CC2745-BF2745</f>
        <v>0</v>
      </c>
      <c r="CG2745" s="129" t="str">
        <f t="shared" si="1975"/>
        <v>N</v>
      </c>
      <c r="CI2745" s="129" t="str">
        <f t="shared" si="1981"/>
        <v>0-10 DAYS</v>
      </c>
      <c r="CJ2745" s="137">
        <f t="shared" si="1982"/>
        <v>1</v>
      </c>
      <c r="CK2745" s="129" t="str">
        <f t="shared" si="1983"/>
        <v>Booked</v>
      </c>
    </row>
    <row r="2746" spans="1:89" ht="15.75" customHeight="1" x14ac:dyDescent="0.25">
      <c r="A2746" s="111">
        <v>918</v>
      </c>
      <c r="B2746" s="128" t="str">
        <f t="shared" si="1968"/>
        <v>N</v>
      </c>
      <c r="C2746" s="128" t="str">
        <f t="shared" si="1969"/>
        <v>N</v>
      </c>
      <c r="D2746" s="117">
        <v>2603051</v>
      </c>
      <c r="E2746" s="135">
        <f t="shared" si="1970"/>
        <v>2</v>
      </c>
      <c r="F2746" s="124">
        <v>40942</v>
      </c>
      <c r="G2746" s="125">
        <v>40963</v>
      </c>
      <c r="H2746" s="117">
        <v>2603051</v>
      </c>
      <c r="I2746" s="124" t="s">
        <v>562</v>
      </c>
      <c r="J2746" s="124" t="s">
        <v>562</v>
      </c>
      <c r="K2746" s="126">
        <v>2000</v>
      </c>
      <c r="L2746" s="127" t="s">
        <v>568</v>
      </c>
      <c r="M2746" s="125">
        <v>40943</v>
      </c>
      <c r="N2746" s="129" t="str">
        <f>IF(M2746&gt;1/1/1,"Y",IF(Q2746="0","","N"))</f>
        <v>Y</v>
      </c>
      <c r="O2746" s="128" t="s">
        <v>76</v>
      </c>
      <c r="P2746" s="129" t="s">
        <v>589</v>
      </c>
      <c r="Q2746" s="111">
        <f t="shared" si="2002"/>
        <v>0</v>
      </c>
      <c r="R2746" s="111">
        <f t="shared" si="1959"/>
        <v>22</v>
      </c>
      <c r="S2746" s="129">
        <v>0</v>
      </c>
      <c r="T2746" s="129">
        <v>0</v>
      </c>
      <c r="W2746" s="111"/>
      <c r="AB2746" s="131" t="s">
        <v>112</v>
      </c>
      <c r="AC2746" s="130"/>
      <c r="AD2746" s="130">
        <v>34162</v>
      </c>
      <c r="AE2746" s="128" t="s">
        <v>46</v>
      </c>
      <c r="AF2746" s="128" t="s">
        <v>40</v>
      </c>
      <c r="AG2746" s="128" t="s">
        <v>41</v>
      </c>
      <c r="AH2746" s="108" t="s">
        <v>31</v>
      </c>
      <c r="AI2746" s="128" t="s">
        <v>65</v>
      </c>
      <c r="AJ2746" s="129" t="s">
        <v>48</v>
      </c>
      <c r="AK2746" s="129">
        <v>3</v>
      </c>
      <c r="AL2746" s="3" t="s">
        <v>48</v>
      </c>
      <c r="AO2746" s="128">
        <v>10</v>
      </c>
      <c r="AP2746" s="129" t="s">
        <v>107</v>
      </c>
      <c r="AR2746" s="128" t="s">
        <v>44</v>
      </c>
      <c r="AS2746" s="129" t="s">
        <v>57</v>
      </c>
      <c r="BC2746" s="129" t="s">
        <v>38</v>
      </c>
      <c r="BF2746" s="111">
        <v>0</v>
      </c>
      <c r="BG2746" s="111">
        <v>0</v>
      </c>
      <c r="BH2746" s="111">
        <f t="shared" si="1960"/>
        <v>22</v>
      </c>
      <c r="BI2746" s="111">
        <f t="shared" si="1962"/>
        <v>18.524590163934427</v>
      </c>
      <c r="BJ2746" s="129" t="e">
        <f>(G2746-J2746)+(M2746-G2746)</f>
        <v>#VALUE!</v>
      </c>
      <c r="BK2746" s="129" t="e">
        <f t="shared" si="1961"/>
        <v>#VALUE!</v>
      </c>
      <c r="BL2746" s="129" t="str">
        <f t="shared" si="2005"/>
        <v>DEFERRED</v>
      </c>
      <c r="BM2746" s="129" t="s">
        <v>76</v>
      </c>
      <c r="BN2746" s="129" t="s">
        <v>88</v>
      </c>
      <c r="BP2746" s="137" t="str">
        <f t="shared" si="1963"/>
        <v>DEFERRED</v>
      </c>
      <c r="BQ2746" s="128">
        <f t="shared" si="1971"/>
        <v>0</v>
      </c>
      <c r="BR2746" s="129" t="s">
        <v>575</v>
      </c>
      <c r="BS2746" s="129" t="str">
        <f t="shared" si="1964"/>
        <v>DISPOSED</v>
      </c>
      <c r="BT2746" s="129" t="str">
        <f t="shared" si="1965"/>
        <v>N</v>
      </c>
      <c r="BU2746" s="109">
        <f t="shared" si="1966"/>
        <v>0</v>
      </c>
      <c r="BV2746" s="109">
        <v>0</v>
      </c>
      <c r="BW2746" s="109">
        <f t="shared" si="1999"/>
        <v>0</v>
      </c>
      <c r="BX2746" s="111">
        <f t="shared" si="1967"/>
        <v>0</v>
      </c>
      <c r="BY2746" s="129" t="e">
        <f t="shared" si="1972"/>
        <v>#VALUE!</v>
      </c>
      <c r="BZ2746" s="111" t="e">
        <f t="shared" si="1973"/>
        <v>#VALUE!</v>
      </c>
      <c r="CA2746" s="138" t="e">
        <f t="shared" si="1974"/>
        <v>#VALUE!</v>
      </c>
      <c r="CB2746" s="111">
        <v>0</v>
      </c>
      <c r="CC2746" s="129">
        <v>0</v>
      </c>
      <c r="CD2746" s="111">
        <f>CC2746-BF2746</f>
        <v>0</v>
      </c>
      <c r="CG2746" s="129" t="str">
        <f t="shared" si="1975"/>
        <v>N</v>
      </c>
      <c r="CI2746" s="129" t="str">
        <f t="shared" si="1981"/>
        <v>0-10 DAYS</v>
      </c>
      <c r="CJ2746" s="137">
        <f t="shared" si="1982"/>
        <v>1</v>
      </c>
      <c r="CK2746" s="129" t="str">
        <f t="shared" si="1983"/>
        <v>Not Booked</v>
      </c>
    </row>
    <row r="2747" spans="1:89" ht="15.75" customHeight="1" x14ac:dyDescent="0.25">
      <c r="A2747" s="111">
        <v>930</v>
      </c>
      <c r="B2747" s="128" t="str">
        <f t="shared" si="1968"/>
        <v>N</v>
      </c>
      <c r="C2747" s="128" t="str">
        <f t="shared" si="1969"/>
        <v>N</v>
      </c>
      <c r="D2747" s="117">
        <v>2603102</v>
      </c>
      <c r="E2747" s="135">
        <f t="shared" si="1970"/>
        <v>4</v>
      </c>
      <c r="F2747" s="124">
        <v>40943</v>
      </c>
      <c r="G2747" s="125">
        <v>41073</v>
      </c>
      <c r="H2747" s="117">
        <v>2603102</v>
      </c>
      <c r="I2747" s="124">
        <v>40943</v>
      </c>
      <c r="J2747" s="124">
        <v>41073</v>
      </c>
      <c r="K2747" s="126">
        <v>35000</v>
      </c>
      <c r="L2747" s="129" t="s">
        <v>572</v>
      </c>
      <c r="N2747" s="129" t="str">
        <f>IF(M2747&gt;1/1/1,"Y","N")</f>
        <v>N</v>
      </c>
      <c r="O2747" s="128" t="s">
        <v>917</v>
      </c>
      <c r="P2747" s="129" t="s">
        <v>39</v>
      </c>
      <c r="Q2747" s="111">
        <f t="shared" si="2002"/>
        <v>131</v>
      </c>
      <c r="R2747" s="111">
        <f t="shared" si="1959"/>
        <v>131</v>
      </c>
      <c r="S2747" s="129">
        <v>0</v>
      </c>
      <c r="T2747" s="129">
        <v>0</v>
      </c>
      <c r="W2747" s="111"/>
      <c r="AB2747" s="131" t="s">
        <v>112</v>
      </c>
      <c r="AC2747" s="130"/>
      <c r="AD2747" s="130">
        <v>33837</v>
      </c>
      <c r="AE2747" s="128" t="s">
        <v>32</v>
      </c>
      <c r="AF2747" s="128" t="s">
        <v>40</v>
      </c>
      <c r="AG2747" s="128" t="s">
        <v>41</v>
      </c>
      <c r="AH2747" s="108" t="s">
        <v>31</v>
      </c>
      <c r="AI2747" s="128" t="s">
        <v>71</v>
      </c>
      <c r="AJ2747" s="129" t="s">
        <v>89</v>
      </c>
      <c r="AK2747" s="129">
        <v>8</v>
      </c>
      <c r="AL2747" s="3" t="s">
        <v>991</v>
      </c>
      <c r="AO2747" s="128">
        <v>180</v>
      </c>
      <c r="AP2747" s="129" t="s">
        <v>43</v>
      </c>
      <c r="AR2747" s="128" t="s">
        <v>44</v>
      </c>
      <c r="AS2747" s="129" t="s">
        <v>45</v>
      </c>
      <c r="BC2747" s="129" t="s">
        <v>99</v>
      </c>
      <c r="BF2747" s="111">
        <f>IF(J2747&gt;1/1/1900,((J2747+1)-I2747),"STILL OPEN")</f>
        <v>131</v>
      </c>
      <c r="BG2747" s="111">
        <f>IF(G2747&gt;1/1/1900,((G2747+1)-I2747),"STILL OPEN")</f>
        <v>131</v>
      </c>
      <c r="BH2747" s="111">
        <f t="shared" si="1960"/>
        <v>131</v>
      </c>
      <c r="BI2747" s="111">
        <f t="shared" si="1962"/>
        <v>19.415300546448087</v>
      </c>
      <c r="BJ2747" s="129">
        <f t="shared" si="1977"/>
        <v>0</v>
      </c>
      <c r="BK2747" s="129">
        <f t="shared" si="1961"/>
        <v>0</v>
      </c>
      <c r="BL2747" s="129" t="str">
        <f t="shared" si="2005"/>
        <v>CONVICTION</v>
      </c>
      <c r="BM2747" s="129" t="str">
        <f t="shared" si="1978"/>
        <v>NONE</v>
      </c>
      <c r="BN2747" s="129" t="s">
        <v>566</v>
      </c>
      <c r="BP2747" s="137" t="str">
        <f t="shared" si="1963"/>
        <v>CONVICTION</v>
      </c>
      <c r="BQ2747" s="128" t="str">
        <f t="shared" si="1971"/>
        <v>Y</v>
      </c>
      <c r="BR2747" s="129" t="str">
        <f t="shared" si="1979"/>
        <v>DETAINED</v>
      </c>
      <c r="BS2747" s="129" t="str">
        <f t="shared" si="1964"/>
        <v>DISPOSED</v>
      </c>
      <c r="BT2747" s="129" t="str">
        <f t="shared" si="1965"/>
        <v>N</v>
      </c>
      <c r="BU2747" s="109">
        <f t="shared" si="1966"/>
        <v>1</v>
      </c>
      <c r="BV2747" s="109">
        <f t="shared" si="1980"/>
        <v>1</v>
      </c>
      <c r="BW2747" s="109">
        <f t="shared" si="1999"/>
        <v>0</v>
      </c>
      <c r="BX2747" s="111">
        <f t="shared" si="1967"/>
        <v>0</v>
      </c>
      <c r="BY2747" s="129">
        <f t="shared" si="1972"/>
        <v>-131</v>
      </c>
      <c r="BZ2747" s="111">
        <f t="shared" si="1973"/>
        <v>0</v>
      </c>
      <c r="CA2747" s="138">
        <f t="shared" si="1974"/>
        <v>131</v>
      </c>
      <c r="CB2747" s="111" t="e">
        <f>IF(AF2747&gt;1/1/1900,((AF2747+1)-AE2747),"STILL OPEN")</f>
        <v>#VALUE!</v>
      </c>
      <c r="CC2747" s="129">
        <f>G2747-I2747+1</f>
        <v>131</v>
      </c>
      <c r="CD2747" s="129">
        <f>G2747-J2747</f>
        <v>0</v>
      </c>
      <c r="CG2747" s="129" t="str">
        <f t="shared" si="1975"/>
        <v>N</v>
      </c>
      <c r="CI2747" s="129" t="str">
        <f t="shared" si="1981"/>
        <v>121-365 DAYS</v>
      </c>
      <c r="CJ2747" s="137">
        <f t="shared" si="1982"/>
        <v>6</v>
      </c>
      <c r="CK2747" s="129" t="str">
        <f t="shared" si="1983"/>
        <v>Booked</v>
      </c>
    </row>
    <row r="2748" spans="1:89" ht="15.75" customHeight="1" x14ac:dyDescent="0.25">
      <c r="A2748" s="111">
        <v>929</v>
      </c>
      <c r="B2748" s="128" t="str">
        <f t="shared" si="1968"/>
        <v>N</v>
      </c>
      <c r="C2748" s="128" t="str">
        <f t="shared" si="1969"/>
        <v>N</v>
      </c>
      <c r="D2748" s="117">
        <v>2603103</v>
      </c>
      <c r="E2748" s="135">
        <f t="shared" si="1970"/>
        <v>2</v>
      </c>
      <c r="F2748" s="124">
        <v>40943</v>
      </c>
      <c r="G2748" s="125">
        <v>41089</v>
      </c>
      <c r="H2748" s="117">
        <v>2603103</v>
      </c>
      <c r="I2748" s="124">
        <v>40943</v>
      </c>
      <c r="J2748" s="124">
        <v>40945</v>
      </c>
      <c r="K2748" s="126">
        <v>70000</v>
      </c>
      <c r="L2748" s="129" t="s">
        <v>572</v>
      </c>
      <c r="M2748" s="125">
        <v>40945</v>
      </c>
      <c r="N2748" s="129" t="str">
        <f>IF(M2748&gt;1/1/1,"Y","N")</f>
        <v>Y</v>
      </c>
      <c r="O2748" s="128" t="s">
        <v>76</v>
      </c>
      <c r="P2748" s="129" t="s">
        <v>589</v>
      </c>
      <c r="Q2748" s="111">
        <f t="shared" si="2002"/>
        <v>3</v>
      </c>
      <c r="R2748" s="111">
        <f t="shared" ref="R2748:R2811" si="2006">BH2748</f>
        <v>147</v>
      </c>
      <c r="S2748" s="129">
        <v>0</v>
      </c>
      <c r="T2748" s="129">
        <v>0</v>
      </c>
      <c r="W2748" s="111"/>
      <c r="AB2748" s="131" t="s">
        <v>112</v>
      </c>
      <c r="AC2748" s="130"/>
      <c r="AD2748" s="130">
        <v>30596</v>
      </c>
      <c r="AE2748" s="128" t="s">
        <v>32</v>
      </c>
      <c r="AF2748" s="128" t="s">
        <v>40</v>
      </c>
      <c r="AG2748" s="128" t="s">
        <v>41</v>
      </c>
      <c r="AH2748" s="108" t="s">
        <v>31</v>
      </c>
      <c r="AI2748" s="128" t="s">
        <v>65</v>
      </c>
      <c r="AJ2748" s="129" t="s">
        <v>48</v>
      </c>
      <c r="AK2748" s="129">
        <v>7</v>
      </c>
      <c r="AL2748" s="3" t="s">
        <v>48</v>
      </c>
      <c r="AP2748" s="129" t="s">
        <v>132</v>
      </c>
      <c r="AR2748" s="128" t="s">
        <v>92</v>
      </c>
      <c r="AS2748" s="129" t="s">
        <v>82</v>
      </c>
      <c r="BC2748" s="129" t="s">
        <v>52</v>
      </c>
      <c r="BF2748" s="111">
        <f>IF(J2748&gt;1/1/1900,((J2748+1)-I2748),"STILL OPEN")</f>
        <v>3</v>
      </c>
      <c r="BG2748" s="111">
        <f>IF(G2748&gt;1/1/1900,((G2748+1)-I2748),"STILL OPEN")</f>
        <v>147</v>
      </c>
      <c r="BH2748" s="111">
        <f t="shared" ref="BH2748:BH2811" si="2007">IF(G2748&gt;1/1/1900,((G2748+1)-F2748),"STILL OPEN")</f>
        <v>147</v>
      </c>
      <c r="BI2748" s="111">
        <f t="shared" si="1962"/>
        <v>28.270491803278688</v>
      </c>
      <c r="BJ2748" s="129">
        <f>(G2748-J2748)+(M2748-G2748)</f>
        <v>0</v>
      </c>
      <c r="BK2748" s="129">
        <f t="shared" ref="BK2748:BK2811" si="2008">J2748-G2748</f>
        <v>-144</v>
      </c>
      <c r="BL2748" s="129" t="str">
        <f t="shared" si="2005"/>
        <v>DEFERRED</v>
      </c>
      <c r="BM2748" s="129" t="s">
        <v>76</v>
      </c>
      <c r="BN2748" s="129" t="s">
        <v>88</v>
      </c>
      <c r="BP2748" s="137" t="str">
        <f t="shared" si="1963"/>
        <v>DEFERRED</v>
      </c>
      <c r="BQ2748" s="128" t="str">
        <f t="shared" si="1971"/>
        <v>Y</v>
      </c>
      <c r="BR2748" s="129" t="str">
        <f t="shared" si="1979"/>
        <v>ON BOND</v>
      </c>
      <c r="BS2748" s="129" t="str">
        <f t="shared" si="1964"/>
        <v>DISPOSED</v>
      </c>
      <c r="BT2748" s="129" t="str">
        <f t="shared" si="1965"/>
        <v>N</v>
      </c>
      <c r="BU2748" s="109">
        <f t="shared" si="1966"/>
        <v>2.0408163265306121E-2</v>
      </c>
      <c r="BV2748" s="109">
        <f t="shared" si="1980"/>
        <v>2.0408163265306121E-2</v>
      </c>
      <c r="BW2748" s="109">
        <f t="shared" si="1999"/>
        <v>0</v>
      </c>
      <c r="BX2748" s="111">
        <f t="shared" si="1967"/>
        <v>0</v>
      </c>
      <c r="BY2748" s="129">
        <f t="shared" si="1972"/>
        <v>-3</v>
      </c>
      <c r="BZ2748" s="111">
        <f t="shared" si="1973"/>
        <v>0</v>
      </c>
      <c r="CA2748" s="138">
        <f t="shared" si="1974"/>
        <v>3</v>
      </c>
      <c r="CB2748" s="111" t="e">
        <f>IF(AF2748&gt;1/1/1900,((AF2748+1)-AE2748),"STILL OPEN")</f>
        <v>#VALUE!</v>
      </c>
      <c r="CC2748" s="129">
        <f>M2748-I2748+1</f>
        <v>3</v>
      </c>
      <c r="CD2748" s="111">
        <f>CC2748-BF2748</f>
        <v>0</v>
      </c>
      <c r="CG2748" s="129" t="str">
        <f t="shared" si="1975"/>
        <v>N</v>
      </c>
      <c r="CI2748" s="129" t="str">
        <f t="shared" si="1981"/>
        <v>0-10 DAYS</v>
      </c>
      <c r="CJ2748" s="137">
        <f t="shared" si="1982"/>
        <v>1</v>
      </c>
      <c r="CK2748" s="129" t="str">
        <f t="shared" si="1983"/>
        <v>Booked</v>
      </c>
    </row>
    <row r="2749" spans="1:89" ht="15.75" customHeight="1" x14ac:dyDescent="0.25">
      <c r="A2749" s="111">
        <v>955</v>
      </c>
      <c r="B2749" s="128" t="str">
        <f t="shared" si="1968"/>
        <v>N</v>
      </c>
      <c r="C2749" s="128" t="str">
        <f t="shared" si="1969"/>
        <v>N</v>
      </c>
      <c r="D2749" s="117">
        <v>2603175</v>
      </c>
      <c r="E2749" s="135">
        <f t="shared" si="1970"/>
        <v>2</v>
      </c>
      <c r="F2749" s="124">
        <v>40943</v>
      </c>
      <c r="G2749" s="125">
        <v>41044</v>
      </c>
      <c r="H2749" s="117">
        <v>2603175</v>
      </c>
      <c r="I2749" s="124">
        <v>40944</v>
      </c>
      <c r="J2749" s="124">
        <v>40946</v>
      </c>
      <c r="K2749" s="126">
        <v>5000</v>
      </c>
      <c r="L2749" s="127" t="s">
        <v>569</v>
      </c>
      <c r="M2749" s="125">
        <v>40946</v>
      </c>
      <c r="N2749" s="129" t="str">
        <f>IF(M2749&gt;1/1/1,"Y","N")</f>
        <v>Y</v>
      </c>
      <c r="O2749" s="128" t="s">
        <v>76</v>
      </c>
      <c r="P2749" s="129" t="s">
        <v>589</v>
      </c>
      <c r="Q2749" s="111">
        <f t="shared" si="2002"/>
        <v>3</v>
      </c>
      <c r="R2749" s="111">
        <f t="shared" si="2006"/>
        <v>102</v>
      </c>
      <c r="S2749" s="129">
        <v>0</v>
      </c>
      <c r="T2749" s="129">
        <v>0</v>
      </c>
      <c r="W2749" s="111"/>
      <c r="AC2749" s="130"/>
      <c r="AD2749" s="130">
        <v>27377</v>
      </c>
      <c r="AE2749" s="128" t="s">
        <v>46</v>
      </c>
      <c r="AF2749" s="128" t="s">
        <v>33</v>
      </c>
      <c r="AG2749" s="128" t="s">
        <v>872</v>
      </c>
      <c r="AH2749" s="108" t="s">
        <v>31</v>
      </c>
      <c r="AI2749" s="128" t="s">
        <v>72</v>
      </c>
      <c r="AJ2749" s="129" t="s">
        <v>48</v>
      </c>
      <c r="AK2749" s="129">
        <v>4</v>
      </c>
      <c r="AL2749" s="3" t="s">
        <v>48</v>
      </c>
      <c r="AP2749" s="129" t="s">
        <v>96</v>
      </c>
      <c r="AR2749" s="128" t="s">
        <v>67</v>
      </c>
      <c r="AS2749" s="129" t="s">
        <v>64</v>
      </c>
      <c r="BC2749" s="129" t="s">
        <v>38</v>
      </c>
      <c r="BF2749" s="111">
        <f>IF(J2749&gt;1/1/1900,((J2749+1)-I2749),"STILL OPEN")</f>
        <v>3</v>
      </c>
      <c r="BG2749" s="111">
        <f>IF(G2749&gt;1/1/1900,((G2749+1)-I2749),"STILL OPEN")</f>
        <v>101</v>
      </c>
      <c r="BH2749" s="111">
        <f t="shared" si="2007"/>
        <v>102</v>
      </c>
      <c r="BI2749" s="111">
        <f t="shared" si="1962"/>
        <v>37.065573770491802</v>
      </c>
      <c r="BJ2749" s="129">
        <f>(G2749-J2749)+(M2749-G2749)</f>
        <v>0</v>
      </c>
      <c r="BK2749" s="129">
        <f t="shared" si="2008"/>
        <v>-98</v>
      </c>
      <c r="BL2749" s="129" t="str">
        <f t="shared" si="2005"/>
        <v>DEFERRED</v>
      </c>
      <c r="BM2749" s="129" t="s">
        <v>76</v>
      </c>
      <c r="BN2749" s="129" t="s">
        <v>88</v>
      </c>
      <c r="BP2749" s="137" t="str">
        <f t="shared" si="1963"/>
        <v>DEFERRED</v>
      </c>
      <c r="BQ2749" s="128" t="str">
        <f t="shared" si="1971"/>
        <v>Y</v>
      </c>
      <c r="BR2749" s="129" t="str">
        <f t="shared" si="1979"/>
        <v>ON BOND</v>
      </c>
      <c r="BS2749" s="129" t="str">
        <f t="shared" si="1964"/>
        <v>DISPOSED</v>
      </c>
      <c r="BT2749" s="129" t="str">
        <f t="shared" si="1965"/>
        <v>N</v>
      </c>
      <c r="BU2749" s="109">
        <f t="shared" si="1966"/>
        <v>2.9411764705882353E-2</v>
      </c>
      <c r="BV2749" s="109">
        <f t="shared" si="1980"/>
        <v>2.9702970297029702E-2</v>
      </c>
      <c r="BW2749" s="109">
        <f t="shared" si="1999"/>
        <v>2.9120559114734906E-4</v>
      </c>
      <c r="BX2749" s="111">
        <f t="shared" si="1967"/>
        <v>0</v>
      </c>
      <c r="BY2749" s="129">
        <f t="shared" si="1972"/>
        <v>-3</v>
      </c>
      <c r="BZ2749" s="111">
        <f t="shared" si="1973"/>
        <v>0</v>
      </c>
      <c r="CA2749" s="138">
        <f t="shared" si="1974"/>
        <v>3</v>
      </c>
      <c r="CB2749" s="111" t="e">
        <f>IF(AF2749&gt;1/1/1900,((AF2749+1)-AE2749),"STILL OPEN")</f>
        <v>#VALUE!</v>
      </c>
      <c r="CC2749" s="129">
        <f>M2749-I2749+1</f>
        <v>3</v>
      </c>
      <c r="CD2749" s="111">
        <f>CC2749-BF2749</f>
        <v>0</v>
      </c>
      <c r="CG2749" s="129" t="str">
        <f t="shared" si="1975"/>
        <v>N</v>
      </c>
      <c r="CI2749" s="129" t="str">
        <f t="shared" si="1981"/>
        <v>0-10 DAYS</v>
      </c>
      <c r="CJ2749" s="137">
        <f t="shared" si="1982"/>
        <v>1</v>
      </c>
      <c r="CK2749" s="129" t="str">
        <f t="shared" si="1983"/>
        <v>Booked</v>
      </c>
    </row>
    <row r="2750" spans="1:89" ht="15" customHeight="1" x14ac:dyDescent="0.25">
      <c r="A2750" s="111">
        <v>961</v>
      </c>
      <c r="B2750" s="128" t="str">
        <f t="shared" si="1968"/>
        <v>N</v>
      </c>
      <c r="C2750" s="128" t="str">
        <f t="shared" si="1969"/>
        <v>N</v>
      </c>
      <c r="D2750" s="117">
        <v>2603180</v>
      </c>
      <c r="E2750" s="135">
        <f t="shared" si="1970"/>
        <v>2</v>
      </c>
      <c r="F2750" s="124">
        <v>40944</v>
      </c>
      <c r="G2750" s="125">
        <v>40946</v>
      </c>
      <c r="H2750" s="117">
        <v>2603180</v>
      </c>
      <c r="I2750" s="124">
        <v>40944</v>
      </c>
      <c r="J2750" s="124">
        <v>40946</v>
      </c>
      <c r="K2750" s="126">
        <v>20000</v>
      </c>
      <c r="L2750" s="127" t="s">
        <v>571</v>
      </c>
      <c r="N2750" s="129" t="str">
        <f>IF(M2750&gt;1/1/1,"Y","N")</f>
        <v>N</v>
      </c>
      <c r="O2750" s="128" t="s">
        <v>917</v>
      </c>
      <c r="P2750" s="129" t="s">
        <v>589</v>
      </c>
      <c r="Q2750" s="111">
        <f t="shared" si="2002"/>
        <v>3</v>
      </c>
      <c r="R2750" s="111">
        <f t="shared" si="2006"/>
        <v>3</v>
      </c>
      <c r="S2750" s="129">
        <v>0</v>
      </c>
      <c r="T2750" s="129">
        <v>0</v>
      </c>
      <c r="W2750" s="111"/>
      <c r="AC2750" s="130"/>
      <c r="AD2750" s="130">
        <v>33113</v>
      </c>
      <c r="AE2750" s="128" t="s">
        <v>32</v>
      </c>
      <c r="AF2750" s="128" t="s">
        <v>69</v>
      </c>
      <c r="AG2750" s="128" t="s">
        <v>874</v>
      </c>
      <c r="AH2750" s="108" t="s">
        <v>31</v>
      </c>
      <c r="AI2750" s="128" t="s">
        <v>85</v>
      </c>
      <c r="AJ2750" s="129" t="s">
        <v>48</v>
      </c>
      <c r="AK2750" s="129">
        <v>2</v>
      </c>
      <c r="AL2750" s="3" t="s">
        <v>48</v>
      </c>
      <c r="AP2750" s="129" t="s">
        <v>96</v>
      </c>
      <c r="AR2750" s="128" t="s">
        <v>67</v>
      </c>
      <c r="AS2750" s="129" t="s">
        <v>64</v>
      </c>
      <c r="AT2750" s="129" t="s">
        <v>269</v>
      </c>
      <c r="BC2750" s="129" t="s">
        <v>38</v>
      </c>
      <c r="BF2750" s="111">
        <f>IF(J2750&gt;1/1/1900,((J2750+1)-I2750),"STILL OPEN")</f>
        <v>3</v>
      </c>
      <c r="BG2750" s="111">
        <f>IF(G2750&gt;1/1/1900,((G2750+1)-I2750),"STILL OPEN")</f>
        <v>3</v>
      </c>
      <c r="BH2750" s="111">
        <f t="shared" si="2007"/>
        <v>3</v>
      </c>
      <c r="BI2750" s="111">
        <f t="shared" si="1962"/>
        <v>21.396174863387976</v>
      </c>
      <c r="BJ2750" s="129">
        <f t="shared" si="1977"/>
        <v>0</v>
      </c>
      <c r="BK2750" s="129">
        <f t="shared" si="2008"/>
        <v>0</v>
      </c>
      <c r="BL2750" s="129" t="str">
        <f t="shared" si="2005"/>
        <v>DEFERRED</v>
      </c>
      <c r="BM2750" s="129" t="str">
        <f t="shared" si="1978"/>
        <v>NONE</v>
      </c>
      <c r="BN2750" s="129" t="s">
        <v>566</v>
      </c>
      <c r="BP2750" s="137" t="str">
        <f t="shared" si="1963"/>
        <v>DEFERRED</v>
      </c>
      <c r="BQ2750" s="128" t="str">
        <f t="shared" si="1971"/>
        <v>Y</v>
      </c>
      <c r="BR2750" s="129" t="str">
        <f t="shared" si="1979"/>
        <v>DETAINED</v>
      </c>
      <c r="BS2750" s="129" t="str">
        <f t="shared" si="1964"/>
        <v>DISPOSED</v>
      </c>
      <c r="BT2750" s="129" t="str">
        <f t="shared" si="1965"/>
        <v>N</v>
      </c>
      <c r="BU2750" s="109">
        <f t="shared" si="1966"/>
        <v>1</v>
      </c>
      <c r="BV2750" s="109">
        <f t="shared" si="1980"/>
        <v>1</v>
      </c>
      <c r="BW2750" s="109">
        <f t="shared" si="1999"/>
        <v>0</v>
      </c>
      <c r="BX2750" s="111">
        <f t="shared" si="1967"/>
        <v>0</v>
      </c>
      <c r="BY2750" s="129">
        <f t="shared" si="1972"/>
        <v>-3</v>
      </c>
      <c r="BZ2750" s="111">
        <f t="shared" si="1973"/>
        <v>0</v>
      </c>
      <c r="CA2750" s="138">
        <f t="shared" si="1974"/>
        <v>3</v>
      </c>
      <c r="CB2750" s="111" t="e">
        <f>IF(AF2750&gt;1/1/1900,((AF2750+1)-AE2750),"STILL OPEN")</f>
        <v>#VALUE!</v>
      </c>
      <c r="CC2750" s="129">
        <f>G2750-I2750+1</f>
        <v>3</v>
      </c>
      <c r="CD2750" s="129">
        <f>G2750-J2750</f>
        <v>0</v>
      </c>
      <c r="CG2750" s="129" t="str">
        <f t="shared" si="1975"/>
        <v>N</v>
      </c>
      <c r="CI2750" s="129" t="str">
        <f t="shared" si="1981"/>
        <v>0-10 DAYS</v>
      </c>
      <c r="CJ2750" s="137">
        <f t="shared" si="1982"/>
        <v>1</v>
      </c>
      <c r="CK2750" s="129" t="str">
        <f t="shared" si="1983"/>
        <v>Booked</v>
      </c>
    </row>
    <row r="2751" spans="1:89" ht="15.75" customHeight="1" x14ac:dyDescent="0.25">
      <c r="A2751" s="111">
        <v>964</v>
      </c>
      <c r="B2751" s="128" t="str">
        <f t="shared" si="1968"/>
        <v>N</v>
      </c>
      <c r="C2751" s="128" t="str">
        <f t="shared" si="1969"/>
        <v>N</v>
      </c>
      <c r="D2751" s="117">
        <v>2603206</v>
      </c>
      <c r="E2751" s="135">
        <f t="shared" si="1970"/>
        <v>2</v>
      </c>
      <c r="F2751" s="124">
        <v>40944</v>
      </c>
      <c r="G2751" s="125">
        <v>41058</v>
      </c>
      <c r="H2751" s="117">
        <v>2603206</v>
      </c>
      <c r="I2751" s="124">
        <v>40944</v>
      </c>
      <c r="J2751" s="124">
        <v>40945</v>
      </c>
      <c r="K2751" s="126">
        <v>5000</v>
      </c>
      <c r="L2751" s="127" t="s">
        <v>569</v>
      </c>
      <c r="M2751" s="125">
        <v>40945</v>
      </c>
      <c r="N2751" s="129" t="str">
        <f>IF(M2751&gt;1/1/1,"Y","N")</f>
        <v>Y</v>
      </c>
      <c r="O2751" s="128" t="s">
        <v>76</v>
      </c>
      <c r="P2751" s="129" t="s">
        <v>589</v>
      </c>
      <c r="Q2751" s="111">
        <f t="shared" si="2002"/>
        <v>2</v>
      </c>
      <c r="R2751" s="111">
        <f t="shared" si="2006"/>
        <v>115</v>
      </c>
      <c r="S2751" s="129">
        <v>0</v>
      </c>
      <c r="T2751" s="129">
        <v>0</v>
      </c>
      <c r="W2751" s="111"/>
      <c r="AB2751" s="131" t="s">
        <v>112</v>
      </c>
      <c r="AC2751" s="130"/>
      <c r="AD2751" s="130">
        <v>31443</v>
      </c>
      <c r="AE2751" s="128" t="s">
        <v>32</v>
      </c>
      <c r="AF2751" s="128" t="s">
        <v>40</v>
      </c>
      <c r="AG2751" s="128" t="s">
        <v>41</v>
      </c>
      <c r="AH2751" s="108" t="s">
        <v>31</v>
      </c>
      <c r="AI2751" s="128" t="s">
        <v>65</v>
      </c>
      <c r="AJ2751" s="129" t="s">
        <v>48</v>
      </c>
      <c r="AK2751" s="129">
        <v>6</v>
      </c>
      <c r="AL2751" s="3" t="s">
        <v>48</v>
      </c>
      <c r="AP2751" s="129" t="s">
        <v>158</v>
      </c>
      <c r="AR2751" s="128" t="s">
        <v>67</v>
      </c>
      <c r="AS2751" s="129" t="s">
        <v>64</v>
      </c>
      <c r="AT2751" s="129" t="s">
        <v>270</v>
      </c>
      <c r="BC2751" s="129" t="s">
        <v>52</v>
      </c>
      <c r="BF2751" s="111">
        <f>IF(J2751&gt;1/1/1900,((J2751+1)-I2751),"STILL OPEN")</f>
        <v>2</v>
      </c>
      <c r="BG2751" s="111">
        <f>IF(G2751&gt;1/1/1900,((G2751+1)-I2751),"STILL OPEN")</f>
        <v>115</v>
      </c>
      <c r="BH2751" s="111">
        <f t="shared" si="2007"/>
        <v>115</v>
      </c>
      <c r="BI2751" s="111">
        <f t="shared" ref="BI2751:BI2814" si="2009">(F2751-AD2751)/366</f>
        <v>25.959016393442624</v>
      </c>
      <c r="BJ2751" s="129">
        <f>(G2751-J2751)+(M2751-G2751)</f>
        <v>0</v>
      </c>
      <c r="BK2751" s="129">
        <f t="shared" si="2008"/>
        <v>-113</v>
      </c>
      <c r="BL2751" s="129" t="str">
        <f t="shared" si="2005"/>
        <v>DEFERRED</v>
      </c>
      <c r="BM2751" s="129" t="s">
        <v>76</v>
      </c>
      <c r="BN2751" s="129" t="s">
        <v>88</v>
      </c>
      <c r="BP2751" s="137" t="str">
        <f t="shared" si="1963"/>
        <v>DEFERRED</v>
      </c>
      <c r="BQ2751" s="128" t="str">
        <f t="shared" si="1971"/>
        <v>Y</v>
      </c>
      <c r="BR2751" s="129" t="str">
        <f t="shared" si="1979"/>
        <v>ON BOND</v>
      </c>
      <c r="BS2751" s="129" t="str">
        <f t="shared" si="1964"/>
        <v>DISPOSED</v>
      </c>
      <c r="BT2751" s="129" t="str">
        <f t="shared" si="1965"/>
        <v>N</v>
      </c>
      <c r="BU2751" s="109">
        <f t="shared" si="1966"/>
        <v>1.7391304347826087E-2</v>
      </c>
      <c r="BV2751" s="109">
        <f t="shared" si="1980"/>
        <v>1.7391304347826087E-2</v>
      </c>
      <c r="BW2751" s="109">
        <f t="shared" si="1999"/>
        <v>0</v>
      </c>
      <c r="BX2751" s="111">
        <f t="shared" si="1967"/>
        <v>0</v>
      </c>
      <c r="BY2751" s="129">
        <f t="shared" si="1972"/>
        <v>-2</v>
      </c>
      <c r="BZ2751" s="111">
        <f t="shared" si="1973"/>
        <v>0</v>
      </c>
      <c r="CA2751" s="138">
        <f t="shared" si="1974"/>
        <v>2</v>
      </c>
      <c r="CB2751" s="111" t="e">
        <f>IF(AF2751&gt;1/1/1900,((AF2751+1)-AE2751),"STILL OPEN")</f>
        <v>#VALUE!</v>
      </c>
      <c r="CC2751" s="129">
        <f>M2751-I2751+1</f>
        <v>2</v>
      </c>
      <c r="CD2751" s="111">
        <f>CC2751-BF2751</f>
        <v>0</v>
      </c>
      <c r="CG2751" s="129" t="str">
        <f t="shared" si="1975"/>
        <v>N</v>
      </c>
      <c r="CI2751" s="129" t="str">
        <f t="shared" si="1981"/>
        <v>0-10 DAYS</v>
      </c>
      <c r="CJ2751" s="137">
        <f t="shared" si="1982"/>
        <v>1</v>
      </c>
      <c r="CK2751" s="129" t="str">
        <f t="shared" si="1983"/>
        <v>Booked</v>
      </c>
    </row>
    <row r="2752" spans="1:89" ht="15.75" customHeight="1" x14ac:dyDescent="0.25">
      <c r="A2752" s="111">
        <v>967</v>
      </c>
      <c r="B2752" s="128" t="str">
        <f t="shared" si="1968"/>
        <v>N</v>
      </c>
      <c r="C2752" s="128" t="str">
        <f t="shared" si="1969"/>
        <v>N</v>
      </c>
      <c r="D2752" s="117">
        <v>2603212</v>
      </c>
      <c r="E2752" s="135">
        <f t="shared" si="1970"/>
        <v>2</v>
      </c>
      <c r="F2752" s="124">
        <v>40944</v>
      </c>
      <c r="G2752" s="125">
        <v>41172</v>
      </c>
      <c r="H2752" s="117">
        <v>2603212</v>
      </c>
      <c r="I2752" s="124" t="s">
        <v>562</v>
      </c>
      <c r="J2752" s="124" t="s">
        <v>562</v>
      </c>
      <c r="K2752" s="126">
        <v>10000</v>
      </c>
      <c r="L2752" s="127" t="s">
        <v>570</v>
      </c>
      <c r="M2752" s="125">
        <v>40944</v>
      </c>
      <c r="N2752" s="129" t="str">
        <f>IF(M2752&gt;1/1/1,"Y",IF(Q2752="0","","N"))</f>
        <v>Y</v>
      </c>
      <c r="O2752" s="128" t="s">
        <v>76</v>
      </c>
      <c r="P2752" s="129" t="s">
        <v>589</v>
      </c>
      <c r="Q2752" s="111">
        <f t="shared" si="2002"/>
        <v>0</v>
      </c>
      <c r="R2752" s="111">
        <f t="shared" si="2006"/>
        <v>229</v>
      </c>
      <c r="S2752" s="129">
        <v>0</v>
      </c>
      <c r="T2752" s="129">
        <v>0</v>
      </c>
      <c r="W2752" s="111"/>
      <c r="AC2752" s="130"/>
      <c r="AD2752" s="130">
        <v>28673</v>
      </c>
      <c r="AE2752" s="128" t="s">
        <v>32</v>
      </c>
      <c r="AF2752" s="128" t="s">
        <v>33</v>
      </c>
      <c r="AG2752" s="128" t="s">
        <v>872</v>
      </c>
      <c r="AH2752" s="108" t="s">
        <v>31</v>
      </c>
      <c r="AI2752" s="128" t="s">
        <v>83</v>
      </c>
      <c r="AJ2752" s="129" t="s">
        <v>48</v>
      </c>
      <c r="AK2752" s="129">
        <v>10</v>
      </c>
      <c r="AL2752" s="3" t="s">
        <v>48</v>
      </c>
      <c r="AP2752" s="129" t="s">
        <v>56</v>
      </c>
      <c r="AR2752" s="128" t="s">
        <v>50</v>
      </c>
      <c r="AS2752" s="129" t="s">
        <v>57</v>
      </c>
      <c r="AX2752" s="32"/>
      <c r="BC2752" s="129" t="s">
        <v>52</v>
      </c>
      <c r="BF2752" s="111">
        <v>0</v>
      </c>
      <c r="BG2752" s="111">
        <v>0</v>
      </c>
      <c r="BH2752" s="111">
        <f t="shared" si="2007"/>
        <v>229</v>
      </c>
      <c r="BI2752" s="111">
        <f t="shared" si="2009"/>
        <v>33.527322404371581</v>
      </c>
      <c r="BJ2752" s="129" t="e">
        <f>(G2752-J2752)+(M2752-G2752)</f>
        <v>#VALUE!</v>
      </c>
      <c r="BK2752" s="129" t="e">
        <f t="shared" si="2008"/>
        <v>#VALUE!</v>
      </c>
      <c r="BL2752" s="129" t="str">
        <f t="shared" si="2005"/>
        <v>DEFERRED</v>
      </c>
      <c r="BM2752" s="129" t="s">
        <v>76</v>
      </c>
      <c r="BN2752" s="129" t="s">
        <v>88</v>
      </c>
      <c r="BP2752" s="137" t="str">
        <f t="shared" ref="BP2752:BP2815" si="2010">IF(OR(AJ2752="AQUITTAL",AJ2752="DISMISSED",AJ2752="FINE",AJ2752="NO BILL"),"NO CONVICTION",IF(OR(AJ2752="HCJ",AJ2752="MHH",AJ2752="PROBATION",AJ2752="STJ",AJ2752="TDC",AJ2752="CONVICTED"),"CONVICTION",IF(AJ2752="DEFERRED","DEFERRED","")))</f>
        <v>DEFERRED</v>
      </c>
      <c r="BQ2752" s="128">
        <f t="shared" si="1971"/>
        <v>0</v>
      </c>
      <c r="BR2752" s="129" t="s">
        <v>575</v>
      </c>
      <c r="BS2752" s="129" t="str">
        <f t="shared" ref="BS2752:BS2815" si="2011">IF(G2752&lt;&gt;"","DISPOSED","")</f>
        <v>DISPOSED</v>
      </c>
      <c r="BT2752" s="129" t="str">
        <f t="shared" ref="BT2752:BT2815" si="2012">IF(S2752&gt;0,"Y","N")</f>
        <v>N</v>
      </c>
      <c r="BU2752" s="109">
        <f t="shared" ref="BU2752:BU2814" si="2013">Q2752/R2752</f>
        <v>0</v>
      </c>
      <c r="BV2752" s="109">
        <v>0</v>
      </c>
      <c r="BW2752" s="109">
        <f t="shared" si="1999"/>
        <v>0</v>
      </c>
      <c r="BX2752" s="111">
        <f t="shared" ref="BX2752:BX2815" si="2014">+Q2752-BF2752</f>
        <v>0</v>
      </c>
      <c r="BY2752" s="129" t="e">
        <f t="shared" si="1972"/>
        <v>#VALUE!</v>
      </c>
      <c r="BZ2752" s="111" t="e">
        <f t="shared" si="1973"/>
        <v>#VALUE!</v>
      </c>
      <c r="CA2752" s="138" t="e">
        <f t="shared" si="1974"/>
        <v>#VALUE!</v>
      </c>
      <c r="CB2752" s="111">
        <v>0</v>
      </c>
      <c r="CC2752" s="129">
        <v>0</v>
      </c>
      <c r="CD2752" s="111">
        <f>CC2752-BF2752</f>
        <v>0</v>
      </c>
      <c r="CG2752" s="129" t="str">
        <f t="shared" si="1975"/>
        <v>N</v>
      </c>
      <c r="CI2752" s="129" t="str">
        <f t="shared" si="1981"/>
        <v>0-10 DAYS</v>
      </c>
      <c r="CJ2752" s="137">
        <f t="shared" si="1982"/>
        <v>1</v>
      </c>
      <c r="CK2752" s="129" t="str">
        <f t="shared" si="1983"/>
        <v>Not Booked</v>
      </c>
    </row>
    <row r="2753" spans="1:89" ht="15.75" customHeight="1" x14ac:dyDescent="0.25">
      <c r="A2753" s="111">
        <v>969</v>
      </c>
      <c r="B2753" s="128" t="str">
        <f t="shared" ref="B2753:B2816" si="2015">IF(BD2753&lt;&gt;"","Y","N")</f>
        <v>N</v>
      </c>
      <c r="C2753" s="128" t="str">
        <f t="shared" ref="C2753:C2816" si="2016">IF((AND(AV2753="",AX2753="",AY2753="")),"N","Y")</f>
        <v>N</v>
      </c>
      <c r="D2753" s="117">
        <v>2603231</v>
      </c>
      <c r="E2753" s="135">
        <f t="shared" ref="E2753:E2816" si="2017">IF(OR(AL2753="ACQUITTAL",AL2753="ACQUIT",AL2753="acq insane",AL2753="DISMISSED",AL2753="NO BILL"),1,IF(AL2753="DEFERRED",2,IF(AL2753="PROBATION",3,IF(OR(AL2753="HCJ",AL2753="fine"),4,IF(AL2753="STJ",5,IF(AL2753="TDC",6,""))))))</f>
        <v>1</v>
      </c>
      <c r="F2753" s="124">
        <v>40944</v>
      </c>
      <c r="G2753" s="125">
        <v>41004</v>
      </c>
      <c r="H2753" s="117">
        <v>2603231</v>
      </c>
      <c r="I2753" s="124">
        <v>40944</v>
      </c>
      <c r="J2753" s="124">
        <v>40947</v>
      </c>
      <c r="K2753" s="126">
        <v>10000</v>
      </c>
      <c r="L2753" s="127" t="s">
        <v>570</v>
      </c>
      <c r="M2753" s="125">
        <v>40947</v>
      </c>
      <c r="N2753" s="129" t="str">
        <f>IF(M2753&gt;1/1/1,"Y","N")</f>
        <v>Y</v>
      </c>
      <c r="O2753" s="128" t="s">
        <v>585</v>
      </c>
      <c r="P2753" s="129" t="s">
        <v>55</v>
      </c>
      <c r="Q2753" s="111">
        <f t="shared" si="2002"/>
        <v>4</v>
      </c>
      <c r="R2753" s="111">
        <f t="shared" si="2006"/>
        <v>61</v>
      </c>
      <c r="S2753" s="129">
        <v>0</v>
      </c>
      <c r="T2753" s="129">
        <v>0</v>
      </c>
      <c r="W2753" s="111"/>
      <c r="AB2753" s="131" t="s">
        <v>112</v>
      </c>
      <c r="AC2753" s="130"/>
      <c r="AD2753" s="130">
        <v>32881</v>
      </c>
      <c r="AE2753" s="128" t="s">
        <v>32</v>
      </c>
      <c r="AF2753" s="128" t="s">
        <v>40</v>
      </c>
      <c r="AG2753" s="128" t="s">
        <v>41</v>
      </c>
      <c r="AH2753" s="108" t="s">
        <v>31</v>
      </c>
      <c r="AI2753" s="128" t="s">
        <v>95</v>
      </c>
      <c r="AJ2753" s="129" t="s">
        <v>55</v>
      </c>
      <c r="AK2753" s="129">
        <v>6</v>
      </c>
      <c r="AL2753" s="3" t="s">
        <v>55</v>
      </c>
      <c r="AP2753" s="129" t="s">
        <v>66</v>
      </c>
      <c r="AR2753" s="128" t="s">
        <v>67</v>
      </c>
      <c r="AS2753" s="129" t="s">
        <v>68</v>
      </c>
      <c r="AT2753" s="129" t="s">
        <v>611</v>
      </c>
      <c r="BC2753" s="129" t="s">
        <v>52</v>
      </c>
      <c r="BF2753" s="111">
        <f>IF(J2753&gt;1/1/1900,((J2753+1)-I2753),"STILL OPEN")</f>
        <v>4</v>
      </c>
      <c r="BG2753" s="111">
        <f t="shared" ref="BG2753:BG2769" si="2018">IF(G2753&gt;1/1/1900,((G2753+1)-I2753),"STILL OPEN")</f>
        <v>61</v>
      </c>
      <c r="BH2753" s="111">
        <f t="shared" si="2007"/>
        <v>61</v>
      </c>
      <c r="BI2753" s="111">
        <f t="shared" si="2009"/>
        <v>22.030054644808743</v>
      </c>
      <c r="BJ2753" s="129">
        <f>(G2753-J2753)+(M2753-G2753)</f>
        <v>0</v>
      </c>
      <c r="BK2753" s="129">
        <f t="shared" si="2008"/>
        <v>-57</v>
      </c>
      <c r="BL2753" s="129" t="str">
        <f t="shared" si="2005"/>
        <v>NO CONVICTION</v>
      </c>
      <c r="BM2753" s="129" t="s">
        <v>76</v>
      </c>
      <c r="BN2753" s="129" t="s">
        <v>88</v>
      </c>
      <c r="BP2753" s="137" t="str">
        <f t="shared" si="2010"/>
        <v>NO CONVICTION</v>
      </c>
      <c r="BQ2753" s="128" t="str">
        <f t="shared" ref="BQ2753:BQ2816" si="2019">IF(BF2753&gt;0,"Y",BF2753)</f>
        <v>Y</v>
      </c>
      <c r="BR2753" s="129" t="str">
        <f t="shared" ref="BR2753:BR2814" si="2020">IF(AND(J2753="NOT BOOKED",M2753&gt;1/1/1),"BONDED - BEFORE BOOKED",IF(BG2753="STILL OPEN","STILL OPEN",IF(N2753="Y","ON BOND",IF(J2753&gt;=G2753,"DETAINED","RELEASED"))))</f>
        <v>ON BOND</v>
      </c>
      <c r="BS2753" s="129" t="str">
        <f t="shared" si="2011"/>
        <v>DISPOSED</v>
      </c>
      <c r="BT2753" s="129" t="str">
        <f t="shared" si="2012"/>
        <v>N</v>
      </c>
      <c r="BU2753" s="109">
        <f>IFERROR(Q2753/R2753,BR2753)</f>
        <v>6.5573770491803282E-2</v>
      </c>
      <c r="BV2753" s="109">
        <f t="shared" ref="BV2753:BV2816" si="2021">IF(I2753&gt;F2753,((J2753-I2753+1)/(G2753-I2753+1)),(J2753-I2753+1)/(G2753-F2753+1))</f>
        <v>6.5573770491803282E-2</v>
      </c>
      <c r="BW2753" s="109">
        <f t="shared" si="1999"/>
        <v>0</v>
      </c>
      <c r="BX2753" s="111">
        <f t="shared" si="2014"/>
        <v>0</v>
      </c>
      <c r="BY2753" s="129">
        <f t="shared" ref="BY2753:BY2816" si="2022">I2753-J2753-1</f>
        <v>-4</v>
      </c>
      <c r="BZ2753" s="111">
        <f t="shared" ref="BZ2753:BZ2816" si="2023">BY2753+BF2753</f>
        <v>0</v>
      </c>
      <c r="CA2753" s="138">
        <f t="shared" ref="CA2753:CA2816" si="2024">IF(AND(BS2753="DISPOSED",BR2753="DETAINED"),G2753-I2753+1,IF(AND(BS2753="DISPOSED",BR2753="ON BOND"),M2753-I2753+1,IF(AND(BS2753="STILL OPEN","STILL OPEN"),"NOT BOOKED")))</f>
        <v>4</v>
      </c>
      <c r="CB2753" s="111" t="e">
        <f>IF(AF2753&gt;1/1/1900,((AF2753+1)-AE2753),"STILL OPEN")</f>
        <v>#VALUE!</v>
      </c>
      <c r="CC2753" s="129">
        <f>M2753-I2753+1</f>
        <v>4</v>
      </c>
      <c r="CD2753" s="111">
        <f>CC2753-BF2753</f>
        <v>0</v>
      </c>
      <c r="CG2753" s="129" t="str">
        <f t="shared" ref="CG2753:CG2816" si="2025">IF((S2753+T2753+U2753)&gt;0,"Y","N")</f>
        <v>N</v>
      </c>
      <c r="CI2753" s="129" t="str">
        <f t="shared" si="1981"/>
        <v>0-10 DAYS</v>
      </c>
      <c r="CJ2753" s="137">
        <f t="shared" si="1982"/>
        <v>1</v>
      </c>
      <c r="CK2753" s="129" t="str">
        <f t="shared" si="1983"/>
        <v>Booked</v>
      </c>
    </row>
    <row r="2754" spans="1:89" ht="15.75" customHeight="1" x14ac:dyDescent="0.25">
      <c r="A2754" s="111">
        <v>973</v>
      </c>
      <c r="B2754" s="128" t="str">
        <f t="shared" si="2015"/>
        <v>N</v>
      </c>
      <c r="C2754" s="128" t="str">
        <f t="shared" si="2016"/>
        <v>N</v>
      </c>
      <c r="D2754" s="117">
        <v>2603247</v>
      </c>
      <c r="E2754" s="135">
        <f t="shared" si="2017"/>
        <v>4</v>
      </c>
      <c r="F2754" s="124">
        <v>40944</v>
      </c>
      <c r="G2754" s="125">
        <v>40946</v>
      </c>
      <c r="H2754" s="117">
        <v>2603247</v>
      </c>
      <c r="I2754" s="124">
        <v>40945</v>
      </c>
      <c r="J2754" s="124">
        <v>40946</v>
      </c>
      <c r="K2754" s="126">
        <v>35000</v>
      </c>
      <c r="L2754" s="129" t="s">
        <v>572</v>
      </c>
      <c r="N2754" s="129" t="str">
        <f>IF(M2754&gt;1/1/1,"Y","N")</f>
        <v>N</v>
      </c>
      <c r="O2754" s="128" t="s">
        <v>917</v>
      </c>
      <c r="P2754" s="129" t="s">
        <v>39</v>
      </c>
      <c r="Q2754" s="111">
        <f t="shared" si="2002"/>
        <v>2</v>
      </c>
      <c r="R2754" s="111">
        <f t="shared" si="2006"/>
        <v>3</v>
      </c>
      <c r="S2754" s="129">
        <v>0</v>
      </c>
      <c r="T2754" s="129">
        <v>0</v>
      </c>
      <c r="W2754" s="111"/>
      <c r="AB2754" s="131" t="s">
        <v>112</v>
      </c>
      <c r="AC2754" s="130"/>
      <c r="AD2754" s="130">
        <v>32340</v>
      </c>
      <c r="AE2754" s="128" t="s">
        <v>32</v>
      </c>
      <c r="AF2754" s="128" t="s">
        <v>40</v>
      </c>
      <c r="AG2754" s="128" t="s">
        <v>41</v>
      </c>
      <c r="AH2754" s="108" t="s">
        <v>31</v>
      </c>
      <c r="AI2754" s="128" t="s">
        <v>80</v>
      </c>
      <c r="AJ2754" s="129" t="s">
        <v>89</v>
      </c>
      <c r="AK2754" s="129">
        <v>1</v>
      </c>
      <c r="AL2754" s="3" t="s">
        <v>991</v>
      </c>
      <c r="AO2754" s="128">
        <v>120</v>
      </c>
      <c r="AP2754" s="129" t="s">
        <v>43</v>
      </c>
      <c r="AR2754" s="128" t="s">
        <v>44</v>
      </c>
      <c r="AS2754" s="129" t="s">
        <v>45</v>
      </c>
      <c r="AX2754" s="32"/>
      <c r="BC2754" s="129" t="s">
        <v>38</v>
      </c>
      <c r="BF2754" s="111">
        <f>IF(J2754&gt;1/1/1900,((J2754+1)-I2754),"STILL OPEN")</f>
        <v>2</v>
      </c>
      <c r="BG2754" s="111">
        <f t="shared" si="2018"/>
        <v>2</v>
      </c>
      <c r="BH2754" s="111">
        <f t="shared" si="2007"/>
        <v>3</v>
      </c>
      <c r="BI2754" s="111">
        <f t="shared" si="2009"/>
        <v>23.508196721311474</v>
      </c>
      <c r="BJ2754" s="129">
        <f>G2754-J2754-M2754</f>
        <v>0</v>
      </c>
      <c r="BK2754" s="129">
        <f t="shared" si="2008"/>
        <v>0</v>
      </c>
      <c r="BL2754" s="129" t="str">
        <f t="shared" si="2005"/>
        <v>CONVICTION</v>
      </c>
      <c r="BM2754" s="129" t="str">
        <f>O2754</f>
        <v>NONE</v>
      </c>
      <c r="BN2754" s="129" t="s">
        <v>566</v>
      </c>
      <c r="BP2754" s="137" t="str">
        <f t="shared" si="2010"/>
        <v>CONVICTION</v>
      </c>
      <c r="BQ2754" s="128" t="str">
        <f t="shared" si="2019"/>
        <v>Y</v>
      </c>
      <c r="BR2754" s="129" t="str">
        <f t="shared" si="2020"/>
        <v>DETAINED</v>
      </c>
      <c r="BS2754" s="129" t="str">
        <f t="shared" si="2011"/>
        <v>DISPOSED</v>
      </c>
      <c r="BT2754" s="129" t="str">
        <f t="shared" si="2012"/>
        <v>N</v>
      </c>
      <c r="BU2754" s="109">
        <f t="shared" si="2013"/>
        <v>0.66666666666666663</v>
      </c>
      <c r="BV2754" s="109">
        <f t="shared" si="2021"/>
        <v>1</v>
      </c>
      <c r="BW2754" s="109">
        <f t="shared" si="1999"/>
        <v>0.33333333333333337</v>
      </c>
      <c r="BX2754" s="111">
        <f t="shared" si="2014"/>
        <v>0</v>
      </c>
      <c r="BY2754" s="129">
        <f t="shared" si="2022"/>
        <v>-2</v>
      </c>
      <c r="BZ2754" s="111">
        <f t="shared" si="2023"/>
        <v>0</v>
      </c>
      <c r="CA2754" s="138">
        <f t="shared" si="2024"/>
        <v>2</v>
      </c>
      <c r="CB2754" s="111" t="e">
        <f>IF(AF2754&gt;1/1/1900,((AF2754+1)-AE2754),"STILL OPEN")</f>
        <v>#VALUE!</v>
      </c>
      <c r="CC2754" s="129">
        <f>G2754-I2754+1</f>
        <v>2</v>
      </c>
      <c r="CD2754" s="129">
        <f>G2754-J2754</f>
        <v>0</v>
      </c>
      <c r="CG2754" s="129" t="str">
        <f t="shared" si="2025"/>
        <v>N</v>
      </c>
      <c r="CI2754" s="129" t="str">
        <f t="shared" si="1981"/>
        <v>0-10 DAYS</v>
      </c>
      <c r="CJ2754" s="137">
        <f t="shared" si="1982"/>
        <v>1</v>
      </c>
      <c r="CK2754" s="129" t="str">
        <f t="shared" si="1983"/>
        <v>Booked</v>
      </c>
    </row>
    <row r="2755" spans="1:89" ht="15" customHeight="1" x14ac:dyDescent="0.25">
      <c r="A2755" s="111">
        <v>978</v>
      </c>
      <c r="B2755" s="128" t="str">
        <f t="shared" si="2015"/>
        <v>N</v>
      </c>
      <c r="C2755" s="128" t="str">
        <f t="shared" si="2016"/>
        <v>N</v>
      </c>
      <c r="D2755" s="117">
        <v>2603293</v>
      </c>
      <c r="E2755" s="135">
        <f t="shared" si="2017"/>
        <v>4</v>
      </c>
      <c r="F2755" s="124">
        <v>40945</v>
      </c>
      <c r="G2755" s="125">
        <v>40947</v>
      </c>
      <c r="H2755" s="117">
        <v>2603293</v>
      </c>
      <c r="I2755" s="124">
        <v>40946</v>
      </c>
      <c r="J2755" s="124">
        <v>40947</v>
      </c>
      <c r="K2755" s="126">
        <v>35000</v>
      </c>
      <c r="L2755" s="129" t="s">
        <v>572</v>
      </c>
      <c r="N2755" s="129" t="str">
        <f>IF(M2755&gt;1/1/1,"Y","N")</f>
        <v>N</v>
      </c>
      <c r="O2755" s="128" t="s">
        <v>917</v>
      </c>
      <c r="P2755" s="129" t="s">
        <v>39</v>
      </c>
      <c r="Q2755" s="111">
        <f t="shared" si="2002"/>
        <v>2</v>
      </c>
      <c r="R2755" s="111">
        <f t="shared" si="2006"/>
        <v>3</v>
      </c>
      <c r="S2755" s="129">
        <v>0</v>
      </c>
      <c r="T2755" s="129">
        <v>0</v>
      </c>
      <c r="W2755" s="111"/>
      <c r="AB2755" s="131" t="s">
        <v>112</v>
      </c>
      <c r="AC2755" s="130"/>
      <c r="AD2755" s="130">
        <v>28986</v>
      </c>
      <c r="AE2755" s="128" t="s">
        <v>32</v>
      </c>
      <c r="AF2755" s="128" t="s">
        <v>40</v>
      </c>
      <c r="AG2755" s="128" t="s">
        <v>41</v>
      </c>
      <c r="AH2755" s="108" t="s">
        <v>31</v>
      </c>
      <c r="AI2755" s="128" t="s">
        <v>114</v>
      </c>
      <c r="AJ2755" s="129" t="s">
        <v>89</v>
      </c>
      <c r="AK2755" s="129">
        <v>2</v>
      </c>
      <c r="AL2755" s="3" t="s">
        <v>991</v>
      </c>
      <c r="AO2755" s="128">
        <v>60</v>
      </c>
      <c r="AP2755" s="129" t="s">
        <v>43</v>
      </c>
      <c r="AR2755" s="128" t="s">
        <v>44</v>
      </c>
      <c r="AS2755" s="129" t="s">
        <v>45</v>
      </c>
      <c r="AT2755" s="129" t="s">
        <v>272</v>
      </c>
      <c r="BC2755" s="129" t="s">
        <v>38</v>
      </c>
      <c r="BF2755" s="111">
        <f>IF(J2755&gt;1/1/1900,((J2755+1)-I2755),"STILL OPEN")</f>
        <v>2</v>
      </c>
      <c r="BG2755" s="111">
        <f t="shared" si="2018"/>
        <v>2</v>
      </c>
      <c r="BH2755" s="111">
        <f t="shared" si="2007"/>
        <v>3</v>
      </c>
      <c r="BI2755" s="111">
        <f t="shared" si="2009"/>
        <v>32.674863387978142</v>
      </c>
      <c r="BJ2755" s="129">
        <f>G2755-J2755-M2755</f>
        <v>0</v>
      </c>
      <c r="BK2755" s="129">
        <f t="shared" si="2008"/>
        <v>0</v>
      </c>
      <c r="BL2755" s="129" t="str">
        <f t="shared" si="2005"/>
        <v>CONVICTION</v>
      </c>
      <c r="BM2755" s="129" t="str">
        <f>O2755</f>
        <v>NONE</v>
      </c>
      <c r="BN2755" s="129" t="s">
        <v>566</v>
      </c>
      <c r="BP2755" s="137" t="str">
        <f t="shared" si="2010"/>
        <v>CONVICTION</v>
      </c>
      <c r="BQ2755" s="128" t="str">
        <f t="shared" si="2019"/>
        <v>Y</v>
      </c>
      <c r="BR2755" s="129" t="str">
        <f t="shared" si="2020"/>
        <v>DETAINED</v>
      </c>
      <c r="BS2755" s="129" t="str">
        <f t="shared" si="2011"/>
        <v>DISPOSED</v>
      </c>
      <c r="BT2755" s="129" t="str">
        <f t="shared" si="2012"/>
        <v>N</v>
      </c>
      <c r="BU2755" s="109">
        <f t="shared" si="2013"/>
        <v>0.66666666666666663</v>
      </c>
      <c r="BV2755" s="109">
        <f t="shared" si="2021"/>
        <v>1</v>
      </c>
      <c r="BW2755" s="109">
        <f t="shared" si="1999"/>
        <v>0.33333333333333337</v>
      </c>
      <c r="BX2755" s="111">
        <f t="shared" si="2014"/>
        <v>0</v>
      </c>
      <c r="BY2755" s="129">
        <f t="shared" si="2022"/>
        <v>-2</v>
      </c>
      <c r="BZ2755" s="111">
        <f t="shared" si="2023"/>
        <v>0</v>
      </c>
      <c r="CA2755" s="138">
        <f t="shared" si="2024"/>
        <v>2</v>
      </c>
      <c r="CB2755" s="111" t="e">
        <f>IF(AF2755&gt;1/1/1900,((AF2755+1)-AE2755),"STILL OPEN")</f>
        <v>#VALUE!</v>
      </c>
      <c r="CC2755" s="129">
        <f>G2755-I2755+1</f>
        <v>2</v>
      </c>
      <c r="CD2755" s="129">
        <f>G2755-J2755</f>
        <v>0</v>
      </c>
      <c r="CG2755" s="129" t="str">
        <f t="shared" si="2025"/>
        <v>N</v>
      </c>
      <c r="CI2755" s="129" t="str">
        <f t="shared" ref="CI2755:CI2818" si="2026">IF(BF2755&lt;11,"0-10 DAYS",IF(AND(BF2755&gt;10,BF2755&lt;31),"11-30 DAYS",IF((AND(BF2755&gt;30,BF2755&lt;61)),"31-60 DAYS",IF(AND(BF2755&gt;60,BF2755&lt;91),"61-90 DAYS",IF(AND(BF2755&gt;90,BF2755&lt;121),"91-120 DAYS",IF(AND(BF2755&gt;120,BF2755&lt;366),"121-365 DAYS",IF(AND(BF2755&gt;365,BF2755&lt;730)," &gt;1YRS&lt;2YRS",IF(AND(BF2755&gt;729,BF2755&lt;1095),"&gt;2YRS&lt;3YRS",IF(BF2755&gt;1094,"&gt;3YRS")))))))))</f>
        <v>0-10 DAYS</v>
      </c>
      <c r="CJ2755" s="137">
        <f t="shared" ref="CJ2755:CJ2818" si="2027">IF(CI2755="0-10 DAYS",1,IF(CI2755="11-30 DAYS",2,IF(CI2755="31-60 DAYS",3,IF(CI2755="61-90 DAYS",4,IF(CK2755="91-120 DAYS",5,IF(CI2755="121-365 DAYS",6,IF(CI2755="&gt;1YRS&lt;2YRS",7,IF(CI2755="&gt;2YRS&lt;3YRS",8,IF(CI2755="&gt;3YRS",9,0)))))))))</f>
        <v>1</v>
      </c>
      <c r="CK2755" s="129" t="str">
        <f t="shared" ref="CK2755:CK2818" si="2028">IF(I2755="Not Booked","Not Booked","Booked")</f>
        <v>Booked</v>
      </c>
    </row>
    <row r="2756" spans="1:89" ht="15" customHeight="1" x14ac:dyDescent="0.25">
      <c r="A2756" s="111">
        <v>980</v>
      </c>
      <c r="B2756" s="128" t="str">
        <f t="shared" si="2015"/>
        <v>Y</v>
      </c>
      <c r="C2756" s="128" t="str">
        <f t="shared" si="2016"/>
        <v>Y</v>
      </c>
      <c r="D2756" s="117">
        <v>2603294</v>
      </c>
      <c r="E2756" s="135">
        <f t="shared" si="2017"/>
        <v>5</v>
      </c>
      <c r="F2756" s="124">
        <v>40945</v>
      </c>
      <c r="G2756" s="125">
        <v>41029</v>
      </c>
      <c r="H2756" s="117">
        <v>2603294</v>
      </c>
      <c r="I2756" s="124">
        <v>40945</v>
      </c>
      <c r="J2756" s="124">
        <v>40946</v>
      </c>
      <c r="K2756" s="126">
        <v>2000</v>
      </c>
      <c r="L2756" s="127" t="s">
        <v>568</v>
      </c>
      <c r="M2756" s="125">
        <v>40946</v>
      </c>
      <c r="N2756" s="129" t="str">
        <f>IF(M2756&gt;1/1/1,"Y","N")</f>
        <v>Y</v>
      </c>
      <c r="O2756" s="128" t="s">
        <v>54</v>
      </c>
      <c r="P2756" s="129" t="s">
        <v>39</v>
      </c>
      <c r="Q2756" s="111">
        <v>49</v>
      </c>
      <c r="R2756" s="111">
        <f t="shared" si="2006"/>
        <v>85</v>
      </c>
      <c r="S2756" s="129">
        <v>0</v>
      </c>
      <c r="T2756" s="129">
        <v>1</v>
      </c>
      <c r="W2756" s="111"/>
      <c r="AC2756" s="130"/>
      <c r="AD2756" s="130">
        <v>34640</v>
      </c>
      <c r="AE2756" s="128" t="s">
        <v>32</v>
      </c>
      <c r="AF2756" s="128" t="s">
        <v>33</v>
      </c>
      <c r="AG2756" s="128" t="s">
        <v>872</v>
      </c>
      <c r="AH2756" s="108" t="s">
        <v>31</v>
      </c>
      <c r="AI2756" s="128" t="s">
        <v>87</v>
      </c>
      <c r="AJ2756" s="129" t="s">
        <v>89</v>
      </c>
      <c r="AK2756" s="129">
        <v>4</v>
      </c>
      <c r="AL2756" s="3" t="s">
        <v>992</v>
      </c>
      <c r="AN2756" s="117">
        <v>6</v>
      </c>
      <c r="AP2756" s="129" t="s">
        <v>121</v>
      </c>
      <c r="AR2756" s="128" t="s">
        <v>44</v>
      </c>
      <c r="AS2756" s="129" t="s">
        <v>122</v>
      </c>
      <c r="AV2756" s="147" t="s">
        <v>88</v>
      </c>
      <c r="AW2756" s="3" t="s">
        <v>702</v>
      </c>
      <c r="BA2756" s="129" t="s">
        <v>1200</v>
      </c>
      <c r="BC2756" s="129" t="s">
        <v>52</v>
      </c>
      <c r="BD2756" s="129" t="s">
        <v>1072</v>
      </c>
      <c r="BF2756" s="111">
        <v>49</v>
      </c>
      <c r="BG2756" s="111">
        <f t="shared" si="2018"/>
        <v>85</v>
      </c>
      <c r="BH2756" s="111">
        <f t="shared" si="2007"/>
        <v>85</v>
      </c>
      <c r="BI2756" s="111">
        <f t="shared" si="2009"/>
        <v>17.226775956284154</v>
      </c>
      <c r="BJ2756" s="129">
        <f>(G2756-J2756)+(M2756-G2756)</f>
        <v>0</v>
      </c>
      <c r="BK2756" s="129">
        <f t="shared" si="2008"/>
        <v>-83</v>
      </c>
      <c r="BL2756" s="129" t="str">
        <f t="shared" si="2005"/>
        <v>CONVICTION</v>
      </c>
      <c r="BM2756" s="129" t="s">
        <v>160</v>
      </c>
      <c r="BN2756" s="129" t="s">
        <v>88</v>
      </c>
      <c r="BP2756" s="137" t="str">
        <f t="shared" si="2010"/>
        <v>CONVICTION</v>
      </c>
      <c r="BQ2756" s="128" t="str">
        <f t="shared" si="2019"/>
        <v>Y</v>
      </c>
      <c r="BR2756" s="129" t="s">
        <v>574</v>
      </c>
      <c r="BS2756" s="129" t="str">
        <f t="shared" si="2011"/>
        <v>DISPOSED</v>
      </c>
      <c r="BT2756" s="129" t="str">
        <f t="shared" si="2012"/>
        <v>N</v>
      </c>
      <c r="BU2756" s="109">
        <f t="shared" si="2013"/>
        <v>0.57647058823529407</v>
      </c>
      <c r="BV2756" s="109">
        <f t="shared" si="2021"/>
        <v>2.3529411764705882E-2</v>
      </c>
      <c r="BW2756" s="109">
        <f t="shared" si="1999"/>
        <v>-0.55294117647058816</v>
      </c>
      <c r="BX2756" s="111">
        <f t="shared" si="2014"/>
        <v>0</v>
      </c>
      <c r="BY2756" s="129">
        <f t="shared" si="2022"/>
        <v>-2</v>
      </c>
      <c r="BZ2756" s="111">
        <f t="shared" si="2023"/>
        <v>47</v>
      </c>
      <c r="CA2756" s="138">
        <f t="shared" si="2024"/>
        <v>85</v>
      </c>
      <c r="CB2756" s="111">
        <v>49</v>
      </c>
      <c r="CC2756" s="129">
        <f>G2756-I2756+1</f>
        <v>85</v>
      </c>
      <c r="CD2756" s="129">
        <f>G2756-J2756</f>
        <v>83</v>
      </c>
      <c r="CG2756" s="129" t="str">
        <f t="shared" si="2025"/>
        <v>Y</v>
      </c>
      <c r="CI2756" s="129" t="str">
        <f t="shared" si="2026"/>
        <v>31-60 DAYS</v>
      </c>
      <c r="CJ2756" s="137">
        <f t="shared" si="2027"/>
        <v>3</v>
      </c>
      <c r="CK2756" s="129" t="str">
        <f t="shared" si="2028"/>
        <v>Booked</v>
      </c>
    </row>
    <row r="2757" spans="1:89" ht="15" customHeight="1" x14ac:dyDescent="0.25">
      <c r="A2757" s="111">
        <v>983</v>
      </c>
      <c r="B2757" s="128" t="str">
        <f t="shared" si="2015"/>
        <v>N</v>
      </c>
      <c r="C2757" s="128" t="str">
        <f t="shared" si="2016"/>
        <v>N</v>
      </c>
      <c r="D2757" s="117">
        <v>2603341</v>
      </c>
      <c r="E2757" s="135">
        <f t="shared" si="2017"/>
        <v>2</v>
      </c>
      <c r="F2757" s="124">
        <v>40945</v>
      </c>
      <c r="G2757" s="125">
        <v>41848</v>
      </c>
      <c r="H2757" s="117">
        <v>2603341</v>
      </c>
      <c r="I2757" s="124">
        <v>40946</v>
      </c>
      <c r="J2757" s="124">
        <v>40948</v>
      </c>
      <c r="K2757" s="126">
        <v>60000</v>
      </c>
      <c r="L2757" s="129" t="s">
        <v>572</v>
      </c>
      <c r="M2757" s="125">
        <v>40948</v>
      </c>
      <c r="N2757" s="129" t="str">
        <f>IF(M2757&gt;1/1/1,"Y","N")</f>
        <v>Y</v>
      </c>
      <c r="O2757" s="128" t="s">
        <v>585</v>
      </c>
      <c r="P2757" s="129" t="s">
        <v>589</v>
      </c>
      <c r="Q2757" s="111">
        <v>3</v>
      </c>
      <c r="R2757" s="111">
        <f t="shared" si="2006"/>
        <v>904</v>
      </c>
      <c r="S2757" s="129">
        <v>0</v>
      </c>
      <c r="T2757" s="129">
        <v>0</v>
      </c>
      <c r="W2757" s="111"/>
      <c r="AC2757" s="130"/>
      <c r="AD2757" s="130">
        <v>27836</v>
      </c>
      <c r="AE2757" s="128" t="s">
        <v>32</v>
      </c>
      <c r="AF2757" s="128" t="s">
        <v>69</v>
      </c>
      <c r="AG2757" s="128" t="s">
        <v>874</v>
      </c>
      <c r="AH2757" s="108" t="s">
        <v>31</v>
      </c>
      <c r="AI2757" s="128" t="s">
        <v>95</v>
      </c>
      <c r="AJ2757" s="129" t="s">
        <v>48</v>
      </c>
      <c r="AK2757" s="129">
        <v>21</v>
      </c>
      <c r="AL2757" s="3" t="s">
        <v>48</v>
      </c>
      <c r="AP2757" s="129" t="s">
        <v>125</v>
      </c>
      <c r="AR2757" s="128" t="s">
        <v>50</v>
      </c>
      <c r="AS2757" s="129" t="s">
        <v>126</v>
      </c>
      <c r="BC2757" s="129" t="s">
        <v>52</v>
      </c>
      <c r="BF2757" s="111">
        <v>3</v>
      </c>
      <c r="BG2757" s="111">
        <f t="shared" si="2018"/>
        <v>903</v>
      </c>
      <c r="BH2757" s="111">
        <f t="shared" si="2007"/>
        <v>904</v>
      </c>
      <c r="BI2757" s="111">
        <f t="shared" si="2009"/>
        <v>35.81693989071038</v>
      </c>
      <c r="BJ2757" s="129">
        <f>(G2757-J2757)+(M2757-G2757)</f>
        <v>0</v>
      </c>
      <c r="BK2757" s="129">
        <f t="shared" si="2008"/>
        <v>-900</v>
      </c>
      <c r="BL2757" s="129" t="str">
        <f t="shared" si="2005"/>
        <v>DEFERRED</v>
      </c>
      <c r="BM2757" s="129" t="s">
        <v>76</v>
      </c>
      <c r="BN2757" s="129" t="s">
        <v>566</v>
      </c>
      <c r="BP2757" s="137" t="str">
        <f t="shared" si="2010"/>
        <v>DEFERRED</v>
      </c>
      <c r="BQ2757" s="128" t="str">
        <f t="shared" si="2019"/>
        <v>Y</v>
      </c>
      <c r="BR2757" s="129" t="str">
        <f t="shared" ref="BR2757" si="2029">IF(AND(J2757="NOT BOOKED",M2757&gt;1/1/1),"BONDED - BEFORE BOOKED",IF(BG2757="STILL OPEN","STILL OPEN",IF(N2757="Y","ON BOND",IF(J2757&gt;=G2757,"DETAINED","RELEASED"))))</f>
        <v>ON BOND</v>
      </c>
      <c r="BS2757" s="129" t="str">
        <f t="shared" si="2011"/>
        <v>DISPOSED</v>
      </c>
      <c r="BT2757" s="129" t="str">
        <f t="shared" si="2012"/>
        <v>N</v>
      </c>
      <c r="BU2757" s="109">
        <f>IFERROR(Q2757/R2757,BR2757)</f>
        <v>3.3185840707964601E-3</v>
      </c>
      <c r="BV2757" s="139">
        <v>3.3E-3</v>
      </c>
      <c r="BW2757" s="109">
        <v>0</v>
      </c>
      <c r="BX2757" s="111">
        <f t="shared" si="2014"/>
        <v>0</v>
      </c>
      <c r="BY2757" s="129">
        <f t="shared" si="2022"/>
        <v>-3</v>
      </c>
      <c r="BZ2757" s="111">
        <f t="shared" si="2023"/>
        <v>0</v>
      </c>
      <c r="CA2757" s="138">
        <f t="shared" si="2024"/>
        <v>3</v>
      </c>
      <c r="CB2757" s="111" t="e">
        <f>IF(AF2757&gt;1/1/1900,((AF2757+1)-AE2757),"STILL OPEN")</f>
        <v>#VALUE!</v>
      </c>
      <c r="CC2757" s="129">
        <v>3</v>
      </c>
      <c r="CG2757" s="129" t="str">
        <f t="shared" si="2025"/>
        <v>N</v>
      </c>
      <c r="CH2757" s="129" t="e">
        <v>#N/A</v>
      </c>
      <c r="CI2757" s="129" t="str">
        <f t="shared" si="2026"/>
        <v>0-10 DAYS</v>
      </c>
      <c r="CJ2757" s="137">
        <f t="shared" si="2027"/>
        <v>1</v>
      </c>
      <c r="CK2757" s="129" t="str">
        <f t="shared" si="2028"/>
        <v>Booked</v>
      </c>
    </row>
    <row r="2758" spans="1:89" ht="15.75" customHeight="1" x14ac:dyDescent="0.25">
      <c r="A2758" s="111">
        <v>987</v>
      </c>
      <c r="B2758" s="128" t="str">
        <f t="shared" si="2015"/>
        <v>N</v>
      </c>
      <c r="C2758" s="128" t="str">
        <f t="shared" si="2016"/>
        <v>Y</v>
      </c>
      <c r="D2758" s="114">
        <v>2603380</v>
      </c>
      <c r="E2758" s="135" t="str">
        <f t="shared" si="2017"/>
        <v/>
      </c>
      <c r="F2758" s="124">
        <v>40945</v>
      </c>
      <c r="G2758" s="125"/>
      <c r="H2758" s="114">
        <v>2603380</v>
      </c>
      <c r="I2758" s="124" t="s">
        <v>562</v>
      </c>
      <c r="J2758" s="124" t="s">
        <v>562</v>
      </c>
      <c r="K2758" s="126" t="s">
        <v>564</v>
      </c>
      <c r="L2758" s="127" t="s">
        <v>564</v>
      </c>
      <c r="N2758" s="153" t="s">
        <v>1319</v>
      </c>
      <c r="O2758" s="128" t="s">
        <v>917</v>
      </c>
      <c r="P2758" s="32" t="s">
        <v>595</v>
      </c>
      <c r="Q2758" s="111" t="str">
        <f>BF2758</f>
        <v>STILL OPEN - FUGITIVE</v>
      </c>
      <c r="R2758" s="111" t="str">
        <f t="shared" si="2006"/>
        <v>STILL OPEN - FUGITIVE</v>
      </c>
      <c r="S2758" s="129">
        <v>0</v>
      </c>
      <c r="T2758" s="129">
        <v>0</v>
      </c>
      <c r="W2758" s="111"/>
      <c r="AC2758" s="130"/>
      <c r="AD2758" s="130">
        <v>33195</v>
      </c>
      <c r="AE2758" s="128" t="s">
        <v>32</v>
      </c>
      <c r="AF2758" s="128" t="s">
        <v>69</v>
      </c>
      <c r="AG2758" s="128" t="s">
        <v>874</v>
      </c>
      <c r="AH2758" s="108" t="s">
        <v>31</v>
      </c>
      <c r="AI2758" s="128" t="s">
        <v>97</v>
      </c>
      <c r="AJ2758" s="129" t="s">
        <v>31</v>
      </c>
      <c r="AP2758" s="129" t="s">
        <v>129</v>
      </c>
      <c r="AR2758" s="128" t="s">
        <v>92</v>
      </c>
      <c r="AS2758" s="129" t="s">
        <v>126</v>
      </c>
      <c r="AY2758" s="32" t="s">
        <v>88</v>
      </c>
      <c r="BC2758" s="129" t="s">
        <v>79</v>
      </c>
      <c r="BF2758" s="111" t="s">
        <v>1318</v>
      </c>
      <c r="BG2758" s="111" t="s">
        <v>1318</v>
      </c>
      <c r="BH2758" s="111" t="s">
        <v>1318</v>
      </c>
      <c r="BI2758" s="111">
        <f t="shared" si="2009"/>
        <v>21.174863387978142</v>
      </c>
      <c r="BJ2758" s="129" t="e">
        <f>(G2758-J2758)+(M2758-G2758)</f>
        <v>#VALUE!</v>
      </c>
      <c r="BK2758" s="129" t="e">
        <f t="shared" si="2008"/>
        <v>#VALUE!</v>
      </c>
      <c r="BL2758" s="129">
        <f t="shared" si="2005"/>
        <v>0</v>
      </c>
      <c r="BM2758" s="129" t="str">
        <f>O2758</f>
        <v>NONE</v>
      </c>
      <c r="BN2758" s="129" t="s">
        <v>88</v>
      </c>
      <c r="BP2758" s="137" t="str">
        <f t="shared" si="2010"/>
        <v/>
      </c>
      <c r="BQ2758" s="128" t="str">
        <f t="shared" si="2019"/>
        <v>Y</v>
      </c>
      <c r="BR2758" s="129" t="s">
        <v>1318</v>
      </c>
      <c r="BS2758" s="129" t="s">
        <v>588</v>
      </c>
      <c r="BT2758" s="129" t="str">
        <f t="shared" si="2012"/>
        <v>N</v>
      </c>
      <c r="BU2758" s="109" t="str">
        <f>IFERROR(Q2758/R2758,BR2758)</f>
        <v>STILL OPEN - FUGITIVE</v>
      </c>
      <c r="BV2758" s="129" t="s">
        <v>588</v>
      </c>
      <c r="BW2758" s="109">
        <v>0</v>
      </c>
      <c r="BX2758" s="111" t="e">
        <f t="shared" si="2014"/>
        <v>#VALUE!</v>
      </c>
      <c r="BY2758" s="129" t="e">
        <f t="shared" si="2022"/>
        <v>#VALUE!</v>
      </c>
      <c r="BZ2758" s="111" t="e">
        <f t="shared" si="2023"/>
        <v>#VALUE!</v>
      </c>
      <c r="CA2758" s="138" t="e">
        <f t="shared" si="2024"/>
        <v>#VALUE!</v>
      </c>
      <c r="CB2758" s="111" t="s">
        <v>1318</v>
      </c>
      <c r="CC2758" s="129" t="s">
        <v>588</v>
      </c>
      <c r="CG2758" s="129" t="str">
        <f t="shared" si="2025"/>
        <v>N</v>
      </c>
      <c r="CH2758" s="129" t="e">
        <v>#N/A</v>
      </c>
      <c r="CI2758" s="129" t="str">
        <f t="shared" si="2026"/>
        <v>&gt;3YRS</v>
      </c>
      <c r="CJ2758" s="137">
        <f t="shared" si="2027"/>
        <v>9</v>
      </c>
      <c r="CK2758" s="129" t="str">
        <f t="shared" si="2028"/>
        <v>Not Booked</v>
      </c>
    </row>
    <row r="2759" spans="1:89" ht="15.75" customHeight="1" x14ac:dyDescent="0.25">
      <c r="A2759" s="111">
        <v>1009</v>
      </c>
      <c r="B2759" s="128" t="str">
        <f t="shared" si="2015"/>
        <v>Y</v>
      </c>
      <c r="C2759" s="128" t="str">
        <f t="shared" si="2016"/>
        <v>Y</v>
      </c>
      <c r="D2759" s="117">
        <v>2603401</v>
      </c>
      <c r="E2759" s="135">
        <f t="shared" si="2017"/>
        <v>5</v>
      </c>
      <c r="F2759" s="124">
        <v>40946</v>
      </c>
      <c r="G2759" s="125">
        <v>41151</v>
      </c>
      <c r="H2759" s="117">
        <v>2603401</v>
      </c>
      <c r="I2759" s="124">
        <v>40947</v>
      </c>
      <c r="J2759" s="124">
        <v>40972</v>
      </c>
      <c r="K2759" s="126">
        <v>2000</v>
      </c>
      <c r="L2759" s="127" t="s">
        <v>568</v>
      </c>
      <c r="M2759" s="125">
        <v>40972</v>
      </c>
      <c r="N2759" s="129" t="str">
        <f t="shared" ref="N2759:N2769" si="2030">IF(M2759&gt;1/1/1,"Y","N")</f>
        <v>Y</v>
      </c>
      <c r="O2759" s="128" t="s">
        <v>585</v>
      </c>
      <c r="P2759" s="129" t="s">
        <v>39</v>
      </c>
      <c r="Q2759" s="111">
        <v>7</v>
      </c>
      <c r="R2759" s="111">
        <f t="shared" si="2006"/>
        <v>206</v>
      </c>
      <c r="S2759" s="129">
        <v>0</v>
      </c>
      <c r="T2759" s="129">
        <v>2</v>
      </c>
      <c r="W2759" s="111"/>
      <c r="AC2759" s="130"/>
      <c r="AD2759" s="130">
        <v>34319</v>
      </c>
      <c r="AE2759" s="128" t="s">
        <v>32</v>
      </c>
      <c r="AF2759" s="128" t="s">
        <v>33</v>
      </c>
      <c r="AG2759" s="128" t="s">
        <v>872</v>
      </c>
      <c r="AH2759" s="108" t="s">
        <v>31</v>
      </c>
      <c r="AI2759" s="128" t="s">
        <v>42</v>
      </c>
      <c r="AJ2759" s="129" t="s">
        <v>89</v>
      </c>
      <c r="AK2759" s="129">
        <v>10</v>
      </c>
      <c r="AL2759" s="3" t="s">
        <v>992</v>
      </c>
      <c r="AN2759" s="117">
        <v>6</v>
      </c>
      <c r="AP2759" s="129" t="s">
        <v>121</v>
      </c>
      <c r="AR2759" s="128" t="s">
        <v>44</v>
      </c>
      <c r="AS2759" s="129" t="s">
        <v>122</v>
      </c>
      <c r="AT2759" s="3" t="s">
        <v>814</v>
      </c>
      <c r="AU2759" s="3" t="s">
        <v>814</v>
      </c>
      <c r="AV2759" s="3" t="s">
        <v>88</v>
      </c>
      <c r="AW2759" s="123" t="s">
        <v>706</v>
      </c>
      <c r="BA2759" s="125">
        <v>41197</v>
      </c>
      <c r="BB2759" s="129">
        <v>239</v>
      </c>
      <c r="BC2759" s="129" t="s">
        <v>38</v>
      </c>
      <c r="BD2759" s="129" t="s">
        <v>1073</v>
      </c>
      <c r="BF2759" s="111">
        <v>7</v>
      </c>
      <c r="BG2759" s="111">
        <f t="shared" si="2018"/>
        <v>205</v>
      </c>
      <c r="BH2759" s="111">
        <f t="shared" si="2007"/>
        <v>206</v>
      </c>
      <c r="BI2759" s="111">
        <f t="shared" si="2009"/>
        <v>18.106557377049182</v>
      </c>
      <c r="BJ2759" s="129">
        <f>(G2759-J2759)+(M2759-G2759)</f>
        <v>0</v>
      </c>
      <c r="BK2759" s="129">
        <f t="shared" si="2008"/>
        <v>-179</v>
      </c>
      <c r="BL2759" s="129" t="str">
        <f t="shared" si="2005"/>
        <v>CONVICTION</v>
      </c>
      <c r="BM2759" s="129" t="s">
        <v>76</v>
      </c>
      <c r="BN2759" s="129" t="s">
        <v>88</v>
      </c>
      <c r="BP2759" s="137" t="str">
        <f t="shared" si="2010"/>
        <v>CONVICTION</v>
      </c>
      <c r="BQ2759" s="128" t="str">
        <f t="shared" si="2019"/>
        <v>Y</v>
      </c>
      <c r="BR2759" s="129" t="s">
        <v>574</v>
      </c>
      <c r="BS2759" s="129" t="str">
        <f t="shared" si="2011"/>
        <v>DISPOSED</v>
      </c>
      <c r="BT2759" s="129" t="str">
        <f t="shared" si="2012"/>
        <v>N</v>
      </c>
      <c r="BU2759" s="109">
        <f t="shared" si="2013"/>
        <v>3.3980582524271843E-2</v>
      </c>
      <c r="BV2759" s="109">
        <f t="shared" si="2021"/>
        <v>0.12682926829268293</v>
      </c>
      <c r="BW2759" s="109">
        <f t="shared" ref="BW2759:BW2781" si="2031">BV2759-BU2759</f>
        <v>9.2848685768411085E-2</v>
      </c>
      <c r="BX2759" s="111">
        <f t="shared" si="2014"/>
        <v>0</v>
      </c>
      <c r="BY2759" s="129">
        <f t="shared" si="2022"/>
        <v>-26</v>
      </c>
      <c r="BZ2759" s="111">
        <f t="shared" si="2023"/>
        <v>-19</v>
      </c>
      <c r="CA2759" s="138">
        <f t="shared" si="2024"/>
        <v>205</v>
      </c>
      <c r="CB2759" s="111">
        <v>7</v>
      </c>
      <c r="CC2759" s="129">
        <f>G2759-I2759+1</f>
        <v>205</v>
      </c>
      <c r="CD2759" s="129">
        <f>G2759-J2759</f>
        <v>179</v>
      </c>
      <c r="CG2759" s="129" t="str">
        <f t="shared" si="2025"/>
        <v>Y</v>
      </c>
      <c r="CI2759" s="129" t="str">
        <f t="shared" si="2026"/>
        <v>0-10 DAYS</v>
      </c>
      <c r="CJ2759" s="137">
        <f t="shared" si="2027"/>
        <v>1</v>
      </c>
      <c r="CK2759" s="129" t="str">
        <f t="shared" si="2028"/>
        <v>Booked</v>
      </c>
    </row>
    <row r="2760" spans="1:89" ht="15.75" customHeight="1" x14ac:dyDescent="0.25">
      <c r="A2760" s="111">
        <v>1969</v>
      </c>
      <c r="B2760" s="128" t="str">
        <f t="shared" si="2015"/>
        <v>N</v>
      </c>
      <c r="C2760" s="128" t="str">
        <f t="shared" si="2016"/>
        <v>N</v>
      </c>
      <c r="D2760" s="117">
        <v>2603415</v>
      </c>
      <c r="E2760" s="135">
        <f t="shared" si="2017"/>
        <v>2</v>
      </c>
      <c r="F2760" s="124">
        <v>40982</v>
      </c>
      <c r="G2760" s="125">
        <v>41051</v>
      </c>
      <c r="H2760" s="117">
        <v>2603415</v>
      </c>
      <c r="I2760" s="124">
        <v>40983</v>
      </c>
      <c r="J2760" s="124">
        <v>41051</v>
      </c>
      <c r="K2760" s="126">
        <v>5000</v>
      </c>
      <c r="L2760" s="127" t="s">
        <v>569</v>
      </c>
      <c r="N2760" s="129" t="str">
        <f t="shared" si="2030"/>
        <v>N</v>
      </c>
      <c r="O2760" s="128" t="s">
        <v>917</v>
      </c>
      <c r="P2760" s="129" t="s">
        <v>589</v>
      </c>
      <c r="Q2760" s="111">
        <f t="shared" si="2002"/>
        <v>69</v>
      </c>
      <c r="R2760" s="111">
        <f t="shared" si="2006"/>
        <v>70</v>
      </c>
      <c r="S2760" s="129">
        <v>0</v>
      </c>
      <c r="T2760" s="129">
        <v>1</v>
      </c>
      <c r="W2760" s="111"/>
      <c r="AB2760" s="131" t="s">
        <v>112</v>
      </c>
      <c r="AC2760" s="130"/>
      <c r="AD2760" s="130">
        <v>34732</v>
      </c>
      <c r="AE2760" s="128" t="s">
        <v>32</v>
      </c>
      <c r="AF2760" s="128" t="s">
        <v>40</v>
      </c>
      <c r="AG2760" s="128" t="s">
        <v>41</v>
      </c>
      <c r="AH2760" s="108" t="s">
        <v>31</v>
      </c>
      <c r="AI2760" s="128" t="s">
        <v>47</v>
      </c>
      <c r="AJ2760" s="129" t="s">
        <v>48</v>
      </c>
      <c r="AK2760" s="129">
        <v>7</v>
      </c>
      <c r="AL2760" s="3" t="s">
        <v>48</v>
      </c>
      <c r="AP2760" s="129" t="s">
        <v>108</v>
      </c>
      <c r="AR2760" s="128" t="s">
        <v>44</v>
      </c>
      <c r="AS2760" s="129" t="s">
        <v>61</v>
      </c>
      <c r="BC2760" s="129" t="s">
        <v>99</v>
      </c>
      <c r="BF2760" s="111">
        <f t="shared" ref="BF2760:BF2769" si="2032">IF(J2760&gt;1/1/1900,((J2760+1)-I2760),"STILL OPEN")</f>
        <v>69</v>
      </c>
      <c r="BG2760" s="111">
        <f t="shared" si="2018"/>
        <v>69</v>
      </c>
      <c r="BH2760" s="111">
        <f t="shared" si="2007"/>
        <v>70</v>
      </c>
      <c r="BI2760" s="111">
        <f t="shared" si="2009"/>
        <v>17.076502732240439</v>
      </c>
      <c r="BJ2760" s="129">
        <f>G2760-J2760-M2760</f>
        <v>0</v>
      </c>
      <c r="BK2760" s="129">
        <f t="shared" si="2008"/>
        <v>0</v>
      </c>
      <c r="BL2760" s="129" t="str">
        <f t="shared" si="2005"/>
        <v>DEFERRED</v>
      </c>
      <c r="BM2760" s="129" t="str">
        <f>O2760</f>
        <v>NONE</v>
      </c>
      <c r="BN2760" s="129" t="s">
        <v>566</v>
      </c>
      <c r="BP2760" s="137" t="str">
        <f t="shared" si="2010"/>
        <v>DEFERRED</v>
      </c>
      <c r="BQ2760" s="128" t="str">
        <f t="shared" si="2019"/>
        <v>Y</v>
      </c>
      <c r="BR2760" s="129" t="str">
        <f t="shared" si="2020"/>
        <v>DETAINED</v>
      </c>
      <c r="BS2760" s="129" t="str">
        <f t="shared" si="2011"/>
        <v>DISPOSED</v>
      </c>
      <c r="BT2760" s="129" t="str">
        <f t="shared" si="2012"/>
        <v>N</v>
      </c>
      <c r="BU2760" s="109">
        <f t="shared" si="2013"/>
        <v>0.98571428571428577</v>
      </c>
      <c r="BV2760" s="109">
        <f t="shared" si="2021"/>
        <v>1</v>
      </c>
      <c r="BW2760" s="109">
        <f t="shared" si="2031"/>
        <v>1.4285714285714235E-2</v>
      </c>
      <c r="BX2760" s="111">
        <f t="shared" si="2014"/>
        <v>0</v>
      </c>
      <c r="BY2760" s="129">
        <f t="shared" si="2022"/>
        <v>-69</v>
      </c>
      <c r="BZ2760" s="111">
        <f t="shared" si="2023"/>
        <v>0</v>
      </c>
      <c r="CA2760" s="138">
        <f t="shared" si="2024"/>
        <v>69</v>
      </c>
      <c r="CB2760" s="111" t="e">
        <f t="shared" ref="CB2760:CB2769" si="2033">IF(AF2760&gt;1/1/1900,((AF2760+1)-AE2760),"STILL OPEN")</f>
        <v>#VALUE!</v>
      </c>
      <c r="CC2760" s="129">
        <f>G2760-I2760+1</f>
        <v>69</v>
      </c>
      <c r="CD2760" s="129">
        <f>G2760-J2760</f>
        <v>0</v>
      </c>
      <c r="CG2760" s="129" t="str">
        <f t="shared" si="2025"/>
        <v>Y</v>
      </c>
      <c r="CI2760" s="129" t="str">
        <f t="shared" si="2026"/>
        <v>61-90 DAYS</v>
      </c>
      <c r="CJ2760" s="137">
        <f t="shared" si="2027"/>
        <v>4</v>
      </c>
      <c r="CK2760" s="129" t="str">
        <f t="shared" si="2028"/>
        <v>Booked</v>
      </c>
    </row>
    <row r="2761" spans="1:89" ht="15.75" customHeight="1" x14ac:dyDescent="0.25">
      <c r="A2761" s="111">
        <v>991</v>
      </c>
      <c r="B2761" s="128" t="str">
        <f t="shared" si="2015"/>
        <v>N</v>
      </c>
      <c r="C2761" s="128" t="str">
        <f t="shared" si="2016"/>
        <v>N</v>
      </c>
      <c r="D2761" s="117">
        <v>2603416</v>
      </c>
      <c r="E2761" s="135">
        <f t="shared" si="2017"/>
        <v>4</v>
      </c>
      <c r="F2761" s="124">
        <v>40946</v>
      </c>
      <c r="G2761" s="125">
        <v>40988</v>
      </c>
      <c r="H2761" s="117">
        <v>2603416</v>
      </c>
      <c r="I2761" s="124">
        <v>40946</v>
      </c>
      <c r="J2761" s="124">
        <v>40988</v>
      </c>
      <c r="K2761" s="126">
        <v>35000</v>
      </c>
      <c r="L2761" s="129" t="s">
        <v>572</v>
      </c>
      <c r="N2761" s="129" t="str">
        <f t="shared" si="2030"/>
        <v>N</v>
      </c>
      <c r="O2761" s="128" t="s">
        <v>917</v>
      </c>
      <c r="P2761" s="129" t="s">
        <v>39</v>
      </c>
      <c r="Q2761" s="111">
        <f t="shared" si="2002"/>
        <v>43</v>
      </c>
      <c r="R2761" s="111">
        <f t="shared" si="2006"/>
        <v>43</v>
      </c>
      <c r="S2761" s="129">
        <v>0</v>
      </c>
      <c r="T2761" s="129">
        <v>0</v>
      </c>
      <c r="W2761" s="111"/>
      <c r="AB2761" s="131" t="s">
        <v>112</v>
      </c>
      <c r="AC2761" s="130"/>
      <c r="AD2761" s="130">
        <v>31938</v>
      </c>
      <c r="AE2761" s="128" t="s">
        <v>32</v>
      </c>
      <c r="AF2761" s="128" t="s">
        <v>40</v>
      </c>
      <c r="AG2761" s="128" t="s">
        <v>41</v>
      </c>
      <c r="AH2761" s="108" t="s">
        <v>31</v>
      </c>
      <c r="AI2761" s="128" t="s">
        <v>80</v>
      </c>
      <c r="AJ2761" s="129" t="s">
        <v>89</v>
      </c>
      <c r="AK2761" s="129">
        <v>2</v>
      </c>
      <c r="AL2761" s="3" t="s">
        <v>991</v>
      </c>
      <c r="AO2761" s="128">
        <v>180</v>
      </c>
      <c r="AP2761" s="129" t="s">
        <v>167</v>
      </c>
      <c r="AR2761" s="128" t="s">
        <v>44</v>
      </c>
      <c r="AS2761" s="129" t="s">
        <v>64</v>
      </c>
      <c r="BC2761" s="129" t="s">
        <v>52</v>
      </c>
      <c r="BF2761" s="111">
        <f t="shared" si="2032"/>
        <v>43</v>
      </c>
      <c r="BG2761" s="111">
        <f t="shared" si="2018"/>
        <v>43</v>
      </c>
      <c r="BH2761" s="111">
        <f t="shared" si="2007"/>
        <v>43</v>
      </c>
      <c r="BI2761" s="111">
        <f t="shared" si="2009"/>
        <v>24.612021857923498</v>
      </c>
      <c r="BJ2761" s="129">
        <f>G2761-J2761-M2761</f>
        <v>0</v>
      </c>
      <c r="BK2761" s="129">
        <f t="shared" si="2008"/>
        <v>0</v>
      </c>
      <c r="BL2761" s="129" t="str">
        <f t="shared" si="2005"/>
        <v>CONVICTION</v>
      </c>
      <c r="BM2761" s="129" t="str">
        <f>O2761</f>
        <v>NONE</v>
      </c>
      <c r="BN2761" s="129" t="s">
        <v>566</v>
      </c>
      <c r="BP2761" s="137" t="str">
        <f t="shared" si="2010"/>
        <v>CONVICTION</v>
      </c>
      <c r="BQ2761" s="128" t="str">
        <f t="shared" si="2019"/>
        <v>Y</v>
      </c>
      <c r="BR2761" s="129" t="str">
        <f t="shared" si="2020"/>
        <v>DETAINED</v>
      </c>
      <c r="BS2761" s="129" t="str">
        <f t="shared" si="2011"/>
        <v>DISPOSED</v>
      </c>
      <c r="BT2761" s="129" t="str">
        <f t="shared" si="2012"/>
        <v>N</v>
      </c>
      <c r="BU2761" s="109">
        <f t="shared" si="2013"/>
        <v>1</v>
      </c>
      <c r="BV2761" s="109">
        <f t="shared" si="2021"/>
        <v>1</v>
      </c>
      <c r="BW2761" s="109">
        <f t="shared" si="2031"/>
        <v>0</v>
      </c>
      <c r="BX2761" s="111">
        <f t="shared" si="2014"/>
        <v>0</v>
      </c>
      <c r="BY2761" s="129">
        <f t="shared" si="2022"/>
        <v>-43</v>
      </c>
      <c r="BZ2761" s="111">
        <f t="shared" si="2023"/>
        <v>0</v>
      </c>
      <c r="CA2761" s="138">
        <f t="shared" si="2024"/>
        <v>43</v>
      </c>
      <c r="CB2761" s="111" t="e">
        <f t="shared" si="2033"/>
        <v>#VALUE!</v>
      </c>
      <c r="CC2761" s="129">
        <f>G2761-I2761+1</f>
        <v>43</v>
      </c>
      <c r="CD2761" s="129">
        <f>G2761-J2761</f>
        <v>0</v>
      </c>
      <c r="CG2761" s="129" t="str">
        <f t="shared" si="2025"/>
        <v>N</v>
      </c>
      <c r="CI2761" s="129" t="str">
        <f t="shared" si="2026"/>
        <v>31-60 DAYS</v>
      </c>
      <c r="CJ2761" s="137">
        <f t="shared" si="2027"/>
        <v>3</v>
      </c>
      <c r="CK2761" s="129" t="str">
        <f t="shared" si="2028"/>
        <v>Booked</v>
      </c>
    </row>
    <row r="2762" spans="1:89" ht="15.75" customHeight="1" x14ac:dyDescent="0.25">
      <c r="A2762" s="111">
        <v>1002</v>
      </c>
      <c r="B2762" s="128" t="str">
        <f t="shared" si="2015"/>
        <v>N</v>
      </c>
      <c r="C2762" s="128" t="str">
        <f t="shared" si="2016"/>
        <v>N</v>
      </c>
      <c r="D2762" s="117">
        <v>2603525</v>
      </c>
      <c r="E2762" s="135">
        <f t="shared" si="2017"/>
        <v>2</v>
      </c>
      <c r="F2762" s="124">
        <v>40946</v>
      </c>
      <c r="G2762" s="125">
        <v>41047</v>
      </c>
      <c r="H2762" s="117">
        <v>2603525</v>
      </c>
      <c r="I2762" s="124">
        <v>40950</v>
      </c>
      <c r="J2762" s="124">
        <v>41047</v>
      </c>
      <c r="K2762" s="126">
        <v>30000</v>
      </c>
      <c r="L2762" s="129" t="s">
        <v>572</v>
      </c>
      <c r="N2762" s="129" t="str">
        <f t="shared" si="2030"/>
        <v>N</v>
      </c>
      <c r="O2762" s="128" t="s">
        <v>917</v>
      </c>
      <c r="P2762" s="129" t="s">
        <v>589</v>
      </c>
      <c r="Q2762" s="111">
        <f t="shared" si="2002"/>
        <v>98</v>
      </c>
      <c r="R2762" s="111">
        <f t="shared" si="2006"/>
        <v>102</v>
      </c>
      <c r="S2762" s="129">
        <v>0</v>
      </c>
      <c r="T2762" s="129">
        <v>0</v>
      </c>
      <c r="W2762" s="111"/>
      <c r="AC2762" s="130"/>
      <c r="AD2762" s="130">
        <v>33976</v>
      </c>
      <c r="AE2762" s="128" t="s">
        <v>32</v>
      </c>
      <c r="AF2762" s="128" t="s">
        <v>33</v>
      </c>
      <c r="AG2762" s="128" t="s">
        <v>872</v>
      </c>
      <c r="AH2762" s="108" t="s">
        <v>31</v>
      </c>
      <c r="AI2762" s="128" t="s">
        <v>53</v>
      </c>
      <c r="AJ2762" s="129" t="s">
        <v>48</v>
      </c>
      <c r="AK2762" s="129">
        <v>5</v>
      </c>
      <c r="AL2762" s="3" t="s">
        <v>48</v>
      </c>
      <c r="AP2762" s="129" t="s">
        <v>105</v>
      </c>
      <c r="AR2762" s="128" t="s">
        <v>92</v>
      </c>
      <c r="AS2762" s="129" t="s">
        <v>106</v>
      </c>
      <c r="AY2762" s="123"/>
      <c r="BC2762" s="129" t="s">
        <v>38</v>
      </c>
      <c r="BF2762" s="111">
        <f t="shared" si="2032"/>
        <v>98</v>
      </c>
      <c r="BG2762" s="111">
        <f t="shared" si="2018"/>
        <v>98</v>
      </c>
      <c r="BH2762" s="111">
        <f t="shared" si="2007"/>
        <v>102</v>
      </c>
      <c r="BI2762" s="111">
        <f t="shared" si="2009"/>
        <v>19.043715846994534</v>
      </c>
      <c r="BJ2762" s="129">
        <f>G2762-J2762-M2762</f>
        <v>0</v>
      </c>
      <c r="BK2762" s="129">
        <f t="shared" si="2008"/>
        <v>0</v>
      </c>
      <c r="BL2762" s="129" t="str">
        <f t="shared" si="2005"/>
        <v>DEFERRED</v>
      </c>
      <c r="BM2762" s="129" t="str">
        <f>O2762</f>
        <v>NONE</v>
      </c>
      <c r="BN2762" s="129" t="s">
        <v>566</v>
      </c>
      <c r="BP2762" s="137" t="str">
        <f t="shared" si="2010"/>
        <v>DEFERRED</v>
      </c>
      <c r="BQ2762" s="128" t="str">
        <f t="shared" si="2019"/>
        <v>Y</v>
      </c>
      <c r="BR2762" s="129" t="str">
        <f t="shared" si="2020"/>
        <v>DETAINED</v>
      </c>
      <c r="BS2762" s="129" t="str">
        <f t="shared" si="2011"/>
        <v>DISPOSED</v>
      </c>
      <c r="BT2762" s="129" t="str">
        <f t="shared" si="2012"/>
        <v>N</v>
      </c>
      <c r="BU2762" s="109">
        <f t="shared" si="2013"/>
        <v>0.96078431372549022</v>
      </c>
      <c r="BV2762" s="109">
        <f t="shared" si="2021"/>
        <v>1</v>
      </c>
      <c r="BW2762" s="109">
        <f t="shared" si="2031"/>
        <v>3.9215686274509776E-2</v>
      </c>
      <c r="BX2762" s="111">
        <f t="shared" si="2014"/>
        <v>0</v>
      </c>
      <c r="BY2762" s="129">
        <f t="shared" si="2022"/>
        <v>-98</v>
      </c>
      <c r="BZ2762" s="111">
        <f t="shared" si="2023"/>
        <v>0</v>
      </c>
      <c r="CA2762" s="138">
        <f t="shared" si="2024"/>
        <v>98</v>
      </c>
      <c r="CB2762" s="111" t="e">
        <f t="shared" si="2033"/>
        <v>#VALUE!</v>
      </c>
      <c r="CC2762" s="129">
        <f>G2762-I2762+1</f>
        <v>98</v>
      </c>
      <c r="CD2762" s="129">
        <f>G2762-J2762</f>
        <v>0</v>
      </c>
      <c r="CG2762" s="129" t="str">
        <f t="shared" si="2025"/>
        <v>N</v>
      </c>
      <c r="CI2762" s="129" t="str">
        <f t="shared" si="2026"/>
        <v>91-120 DAYS</v>
      </c>
      <c r="CJ2762" s="137">
        <f t="shared" si="2027"/>
        <v>0</v>
      </c>
      <c r="CK2762" s="129" t="str">
        <f t="shared" si="2028"/>
        <v>Booked</v>
      </c>
    </row>
    <row r="2763" spans="1:89" ht="15" customHeight="1" x14ac:dyDescent="0.25">
      <c r="A2763" s="111">
        <v>1003</v>
      </c>
      <c r="B2763" s="128" t="str">
        <f t="shared" si="2015"/>
        <v>N</v>
      </c>
      <c r="C2763" s="128" t="str">
        <f t="shared" si="2016"/>
        <v>N</v>
      </c>
      <c r="D2763" s="117">
        <v>2603552</v>
      </c>
      <c r="E2763" s="135">
        <f t="shared" si="2017"/>
        <v>1</v>
      </c>
      <c r="F2763" s="124">
        <v>40946</v>
      </c>
      <c r="G2763" s="125">
        <v>40952</v>
      </c>
      <c r="H2763" s="117">
        <v>2603552</v>
      </c>
      <c r="I2763" s="124">
        <v>40949</v>
      </c>
      <c r="J2763" s="124">
        <v>40952</v>
      </c>
      <c r="K2763" s="126">
        <v>2000</v>
      </c>
      <c r="L2763" s="127" t="s">
        <v>568</v>
      </c>
      <c r="N2763" s="129" t="str">
        <f t="shared" si="2030"/>
        <v>N</v>
      </c>
      <c r="O2763" s="128" t="s">
        <v>917</v>
      </c>
      <c r="P2763" s="129" t="s">
        <v>55</v>
      </c>
      <c r="Q2763" s="111">
        <f t="shared" si="2002"/>
        <v>4</v>
      </c>
      <c r="R2763" s="111">
        <f t="shared" si="2006"/>
        <v>7</v>
      </c>
      <c r="S2763" s="129">
        <v>0</v>
      </c>
      <c r="T2763" s="129">
        <v>0</v>
      </c>
      <c r="W2763" s="111"/>
      <c r="AC2763" s="130"/>
      <c r="AD2763" s="130">
        <v>33738</v>
      </c>
      <c r="AE2763" s="128" t="s">
        <v>32</v>
      </c>
      <c r="AF2763" s="128" t="s">
        <v>33</v>
      </c>
      <c r="AG2763" s="128" t="s">
        <v>872</v>
      </c>
      <c r="AH2763" s="108" t="s">
        <v>31</v>
      </c>
      <c r="AI2763" s="128" t="s">
        <v>100</v>
      </c>
      <c r="AJ2763" s="129" t="s">
        <v>55</v>
      </c>
      <c r="AK2763" s="129">
        <v>2</v>
      </c>
      <c r="AL2763" s="3" t="s">
        <v>55</v>
      </c>
      <c r="AP2763" s="129" t="s">
        <v>108</v>
      </c>
      <c r="AR2763" s="128" t="s">
        <v>44</v>
      </c>
      <c r="AS2763" s="129" t="s">
        <v>61</v>
      </c>
      <c r="BC2763" s="129" t="s">
        <v>38</v>
      </c>
      <c r="BF2763" s="111">
        <f t="shared" si="2032"/>
        <v>4</v>
      </c>
      <c r="BG2763" s="111">
        <f t="shared" si="2018"/>
        <v>4</v>
      </c>
      <c r="BH2763" s="111">
        <f t="shared" si="2007"/>
        <v>7</v>
      </c>
      <c r="BI2763" s="111">
        <f t="shared" si="2009"/>
        <v>19.693989071038253</v>
      </c>
      <c r="BJ2763" s="129">
        <f>G2763-J2763-M2763</f>
        <v>0</v>
      </c>
      <c r="BK2763" s="129">
        <f t="shared" si="2008"/>
        <v>0</v>
      </c>
      <c r="BL2763" s="129" t="str">
        <f t="shared" si="2005"/>
        <v>NO CONVICTION</v>
      </c>
      <c r="BM2763" s="129" t="str">
        <f>O2763</f>
        <v>NONE</v>
      </c>
      <c r="BN2763" s="129" t="s">
        <v>566</v>
      </c>
      <c r="BP2763" s="137" t="str">
        <f t="shared" si="2010"/>
        <v>NO CONVICTION</v>
      </c>
      <c r="BQ2763" s="128" t="str">
        <f t="shared" si="2019"/>
        <v>Y</v>
      </c>
      <c r="BR2763" s="129" t="str">
        <f t="shared" si="2020"/>
        <v>DETAINED</v>
      </c>
      <c r="BS2763" s="129" t="str">
        <f t="shared" si="2011"/>
        <v>DISPOSED</v>
      </c>
      <c r="BT2763" s="129" t="str">
        <f t="shared" si="2012"/>
        <v>N</v>
      </c>
      <c r="BU2763" s="109">
        <f>IFERROR(Q2763/R2763,BR2763)</f>
        <v>0.5714285714285714</v>
      </c>
      <c r="BV2763" s="109">
        <f t="shared" si="2021"/>
        <v>1</v>
      </c>
      <c r="BW2763" s="109">
        <f t="shared" si="2031"/>
        <v>0.4285714285714286</v>
      </c>
      <c r="BX2763" s="111">
        <f t="shared" si="2014"/>
        <v>0</v>
      </c>
      <c r="BY2763" s="129">
        <f t="shared" si="2022"/>
        <v>-4</v>
      </c>
      <c r="BZ2763" s="111">
        <f t="shared" si="2023"/>
        <v>0</v>
      </c>
      <c r="CA2763" s="138">
        <f t="shared" si="2024"/>
        <v>4</v>
      </c>
      <c r="CB2763" s="111" t="e">
        <f t="shared" si="2033"/>
        <v>#VALUE!</v>
      </c>
      <c r="CC2763" s="129">
        <f>G2763-I2763+1</f>
        <v>4</v>
      </c>
      <c r="CD2763" s="129">
        <f>G2763-J2763</f>
        <v>0</v>
      </c>
      <c r="CG2763" s="129" t="str">
        <f t="shared" si="2025"/>
        <v>N</v>
      </c>
      <c r="CI2763" s="129" t="str">
        <f t="shared" si="2026"/>
        <v>0-10 DAYS</v>
      </c>
      <c r="CJ2763" s="137">
        <f t="shared" si="2027"/>
        <v>1</v>
      </c>
      <c r="CK2763" s="129" t="str">
        <f t="shared" si="2028"/>
        <v>Booked</v>
      </c>
    </row>
    <row r="2764" spans="1:89" ht="15" customHeight="1" x14ac:dyDescent="0.25">
      <c r="A2764" s="111">
        <v>1004</v>
      </c>
      <c r="B2764" s="128" t="str">
        <f t="shared" si="2015"/>
        <v>N</v>
      </c>
      <c r="C2764" s="128" t="str">
        <f t="shared" si="2016"/>
        <v>N</v>
      </c>
      <c r="D2764" s="117">
        <v>2603554</v>
      </c>
      <c r="E2764" s="135">
        <f t="shared" si="2017"/>
        <v>4</v>
      </c>
      <c r="F2764" s="124">
        <v>40946</v>
      </c>
      <c r="G2764" s="125">
        <v>41103</v>
      </c>
      <c r="H2764" s="117">
        <v>2603554</v>
      </c>
      <c r="I2764" s="124">
        <v>40946</v>
      </c>
      <c r="J2764" s="124">
        <v>40948</v>
      </c>
      <c r="K2764" s="126">
        <v>2000</v>
      </c>
      <c r="L2764" s="127" t="s">
        <v>568</v>
      </c>
      <c r="M2764" s="125">
        <v>40948</v>
      </c>
      <c r="N2764" s="129" t="str">
        <f t="shared" si="2030"/>
        <v>Y</v>
      </c>
      <c r="O2764" s="128" t="s">
        <v>76</v>
      </c>
      <c r="P2764" s="129" t="s">
        <v>39</v>
      </c>
      <c r="Q2764" s="111">
        <f t="shared" si="2002"/>
        <v>3</v>
      </c>
      <c r="R2764" s="111">
        <f t="shared" si="2006"/>
        <v>158</v>
      </c>
      <c r="S2764" s="129">
        <v>0</v>
      </c>
      <c r="T2764" s="129">
        <v>0</v>
      </c>
      <c r="W2764" s="111"/>
      <c r="AC2764" s="130"/>
      <c r="AD2764" s="130">
        <v>34636</v>
      </c>
      <c r="AE2764" s="128" t="s">
        <v>32</v>
      </c>
      <c r="AF2764" s="128" t="s">
        <v>69</v>
      </c>
      <c r="AG2764" s="128" t="s">
        <v>874</v>
      </c>
      <c r="AH2764" s="108" t="s">
        <v>31</v>
      </c>
      <c r="AI2764" s="128" t="s">
        <v>141</v>
      </c>
      <c r="AJ2764" s="129" t="s">
        <v>89</v>
      </c>
      <c r="AK2764" s="129">
        <v>9</v>
      </c>
      <c r="AL2764" s="3" t="s">
        <v>991</v>
      </c>
      <c r="AO2764" s="128">
        <v>30</v>
      </c>
      <c r="AP2764" s="129" t="s">
        <v>273</v>
      </c>
      <c r="AR2764" s="128" t="s">
        <v>44</v>
      </c>
      <c r="AS2764" s="129" t="s">
        <v>45</v>
      </c>
      <c r="BC2764" s="129" t="s">
        <v>52</v>
      </c>
      <c r="BF2764" s="111">
        <f t="shared" si="2032"/>
        <v>3</v>
      </c>
      <c r="BG2764" s="111">
        <f t="shared" si="2018"/>
        <v>158</v>
      </c>
      <c r="BH2764" s="111">
        <f t="shared" si="2007"/>
        <v>158</v>
      </c>
      <c r="BI2764" s="111">
        <f t="shared" si="2009"/>
        <v>17.240437158469945</v>
      </c>
      <c r="BJ2764" s="129">
        <f>(G2764-J2764)+(M2764-G2764)</f>
        <v>0</v>
      </c>
      <c r="BK2764" s="129">
        <f t="shared" si="2008"/>
        <v>-155</v>
      </c>
      <c r="BL2764" s="129" t="str">
        <f t="shared" si="2005"/>
        <v>CONVICTION</v>
      </c>
      <c r="BM2764" s="129" t="s">
        <v>76</v>
      </c>
      <c r="BN2764" s="129" t="s">
        <v>88</v>
      </c>
      <c r="BP2764" s="137" t="str">
        <f t="shared" si="2010"/>
        <v>CONVICTION</v>
      </c>
      <c r="BQ2764" s="128" t="str">
        <f t="shared" si="2019"/>
        <v>Y</v>
      </c>
      <c r="BR2764" s="129" t="str">
        <f>IF(J2764&lt;G2764,"ON BOND",0)</f>
        <v>ON BOND</v>
      </c>
      <c r="BS2764" s="129" t="str">
        <f t="shared" si="2011"/>
        <v>DISPOSED</v>
      </c>
      <c r="BT2764" s="129" t="str">
        <f t="shared" si="2012"/>
        <v>N</v>
      </c>
      <c r="BU2764" s="109">
        <f t="shared" si="2013"/>
        <v>1.8987341772151899E-2</v>
      </c>
      <c r="BV2764" s="109">
        <f t="shared" si="2021"/>
        <v>1.8987341772151899E-2</v>
      </c>
      <c r="BW2764" s="109">
        <f t="shared" si="2031"/>
        <v>0</v>
      </c>
      <c r="BX2764" s="111">
        <f t="shared" si="2014"/>
        <v>0</v>
      </c>
      <c r="BY2764" s="129">
        <f t="shared" si="2022"/>
        <v>-3</v>
      </c>
      <c r="BZ2764" s="111">
        <f t="shared" si="2023"/>
        <v>0</v>
      </c>
      <c r="CA2764" s="138">
        <f t="shared" si="2024"/>
        <v>3</v>
      </c>
      <c r="CB2764" s="111" t="e">
        <f t="shared" si="2033"/>
        <v>#VALUE!</v>
      </c>
      <c r="CC2764" s="129">
        <f>M2764-I2764+1</f>
        <v>3</v>
      </c>
      <c r="CD2764" s="111">
        <f>CC2764-BF2764</f>
        <v>0</v>
      </c>
      <c r="CG2764" s="129" t="str">
        <f t="shared" si="2025"/>
        <v>N</v>
      </c>
      <c r="CI2764" s="129" t="str">
        <f t="shared" si="2026"/>
        <v>0-10 DAYS</v>
      </c>
      <c r="CJ2764" s="137">
        <f t="shared" si="2027"/>
        <v>1</v>
      </c>
      <c r="CK2764" s="129" t="str">
        <f t="shared" si="2028"/>
        <v>Booked</v>
      </c>
    </row>
    <row r="2765" spans="1:89" ht="15.75" customHeight="1" x14ac:dyDescent="0.25">
      <c r="A2765" s="111">
        <v>1005</v>
      </c>
      <c r="B2765" s="128" t="str">
        <f t="shared" si="2015"/>
        <v>N</v>
      </c>
      <c r="C2765" s="128" t="str">
        <f t="shared" si="2016"/>
        <v>N</v>
      </c>
      <c r="D2765" s="117">
        <v>2603556</v>
      </c>
      <c r="E2765" s="135">
        <f t="shared" si="2017"/>
        <v>1</v>
      </c>
      <c r="F2765" s="124">
        <v>40946</v>
      </c>
      <c r="G2765" s="125">
        <v>41085</v>
      </c>
      <c r="H2765" s="117">
        <v>2603556</v>
      </c>
      <c r="I2765" s="124">
        <v>41031</v>
      </c>
      <c r="J2765" s="124">
        <v>41085</v>
      </c>
      <c r="K2765" s="126">
        <v>30000</v>
      </c>
      <c r="L2765" s="129" t="s">
        <v>572</v>
      </c>
      <c r="N2765" s="129" t="str">
        <f t="shared" si="2030"/>
        <v>N</v>
      </c>
      <c r="O2765" s="128" t="s">
        <v>917</v>
      </c>
      <c r="P2765" s="129" t="s">
        <v>123</v>
      </c>
      <c r="Q2765" s="111">
        <f t="shared" si="2002"/>
        <v>55</v>
      </c>
      <c r="R2765" s="111">
        <f t="shared" si="2006"/>
        <v>140</v>
      </c>
      <c r="S2765" s="129">
        <v>0</v>
      </c>
      <c r="T2765" s="129">
        <v>0</v>
      </c>
      <c r="W2765" s="111"/>
      <c r="AC2765" s="130"/>
      <c r="AD2765" s="130">
        <v>32368</v>
      </c>
      <c r="AE2765" s="128" t="s">
        <v>32</v>
      </c>
      <c r="AF2765" s="128" t="s">
        <v>69</v>
      </c>
      <c r="AG2765" s="128" t="s">
        <v>874</v>
      </c>
      <c r="AH2765" s="108" t="s">
        <v>31</v>
      </c>
      <c r="AI2765" s="128" t="s">
        <v>85</v>
      </c>
      <c r="AJ2765" s="129" t="s">
        <v>123</v>
      </c>
      <c r="AK2765" s="129">
        <v>4</v>
      </c>
      <c r="AL2765" s="3" t="s">
        <v>123</v>
      </c>
      <c r="AP2765" s="129" t="s">
        <v>249</v>
      </c>
      <c r="AR2765" s="128" t="s">
        <v>50</v>
      </c>
      <c r="AS2765" s="129" t="s">
        <v>163</v>
      </c>
      <c r="BC2765" s="129" t="s">
        <v>99</v>
      </c>
      <c r="BF2765" s="111">
        <f t="shared" si="2032"/>
        <v>55</v>
      </c>
      <c r="BG2765" s="111">
        <f t="shared" si="2018"/>
        <v>55</v>
      </c>
      <c r="BH2765" s="111">
        <f t="shared" si="2007"/>
        <v>140</v>
      </c>
      <c r="BI2765" s="111">
        <f t="shared" si="2009"/>
        <v>23.437158469945356</v>
      </c>
      <c r="BJ2765" s="129">
        <f>G2765-J2765-M2765</f>
        <v>0</v>
      </c>
      <c r="BK2765" s="129">
        <f t="shared" si="2008"/>
        <v>0</v>
      </c>
      <c r="BL2765" s="129" t="str">
        <f t="shared" si="2005"/>
        <v>NO CONVICTION</v>
      </c>
      <c r="BM2765" s="129" t="str">
        <f>O2765</f>
        <v>NONE</v>
      </c>
      <c r="BN2765" s="129" t="s">
        <v>566</v>
      </c>
      <c r="BP2765" s="137" t="str">
        <f t="shared" si="2010"/>
        <v>NO CONVICTION</v>
      </c>
      <c r="BQ2765" s="128" t="str">
        <f t="shared" si="2019"/>
        <v>Y</v>
      </c>
      <c r="BR2765" s="129" t="str">
        <f t="shared" si="2020"/>
        <v>DETAINED</v>
      </c>
      <c r="BS2765" s="129" t="str">
        <f t="shared" si="2011"/>
        <v>DISPOSED</v>
      </c>
      <c r="BT2765" s="129" t="str">
        <f t="shared" si="2012"/>
        <v>N</v>
      </c>
      <c r="BU2765" s="109">
        <f>IFERROR(Q2765/R2765,BR2765)</f>
        <v>0.39285714285714285</v>
      </c>
      <c r="BV2765" s="109">
        <f t="shared" si="2021"/>
        <v>1</v>
      </c>
      <c r="BW2765" s="109">
        <f t="shared" si="2031"/>
        <v>0.60714285714285721</v>
      </c>
      <c r="BX2765" s="111">
        <f t="shared" si="2014"/>
        <v>0</v>
      </c>
      <c r="BY2765" s="129">
        <f t="shared" si="2022"/>
        <v>-55</v>
      </c>
      <c r="BZ2765" s="111">
        <f t="shared" si="2023"/>
        <v>0</v>
      </c>
      <c r="CA2765" s="138">
        <f t="shared" si="2024"/>
        <v>55</v>
      </c>
      <c r="CB2765" s="111" t="e">
        <f t="shared" si="2033"/>
        <v>#VALUE!</v>
      </c>
      <c r="CC2765" s="129">
        <f>G2765-I2765+1</f>
        <v>55</v>
      </c>
      <c r="CD2765" s="129">
        <f>G2765-J2765</f>
        <v>0</v>
      </c>
      <c r="CG2765" s="129" t="str">
        <f t="shared" si="2025"/>
        <v>N</v>
      </c>
      <c r="CI2765" s="129" t="str">
        <f t="shared" si="2026"/>
        <v>31-60 DAYS</v>
      </c>
      <c r="CJ2765" s="137">
        <f t="shared" si="2027"/>
        <v>3</v>
      </c>
      <c r="CK2765" s="129" t="str">
        <f t="shared" si="2028"/>
        <v>Booked</v>
      </c>
    </row>
    <row r="2766" spans="1:89" ht="15.75" customHeight="1" x14ac:dyDescent="0.25">
      <c r="A2766" s="111">
        <v>1007</v>
      </c>
      <c r="B2766" s="128" t="str">
        <f t="shared" si="2015"/>
        <v>N</v>
      </c>
      <c r="C2766" s="128" t="str">
        <f t="shared" si="2016"/>
        <v>N</v>
      </c>
      <c r="D2766" s="117">
        <v>2603568</v>
      </c>
      <c r="E2766" s="135">
        <f t="shared" si="2017"/>
        <v>2</v>
      </c>
      <c r="F2766" s="124">
        <v>40946</v>
      </c>
      <c r="G2766" s="125">
        <v>41047</v>
      </c>
      <c r="H2766" s="117">
        <v>2603568</v>
      </c>
      <c r="I2766" s="124">
        <v>40947</v>
      </c>
      <c r="J2766" s="124">
        <v>40948</v>
      </c>
      <c r="K2766" s="126">
        <v>5000</v>
      </c>
      <c r="L2766" s="127" t="s">
        <v>569</v>
      </c>
      <c r="M2766" s="125">
        <v>40948</v>
      </c>
      <c r="N2766" s="129" t="str">
        <f t="shared" si="2030"/>
        <v>Y</v>
      </c>
      <c r="O2766" s="128" t="s">
        <v>585</v>
      </c>
      <c r="P2766" s="129" t="s">
        <v>589</v>
      </c>
      <c r="Q2766" s="111">
        <f t="shared" si="2002"/>
        <v>2</v>
      </c>
      <c r="R2766" s="111">
        <f t="shared" si="2006"/>
        <v>102</v>
      </c>
      <c r="S2766" s="129">
        <v>0</v>
      </c>
      <c r="T2766" s="129">
        <v>0</v>
      </c>
      <c r="W2766" s="111"/>
      <c r="AC2766" s="130"/>
      <c r="AD2766" s="130">
        <v>33689</v>
      </c>
      <c r="AE2766" s="128" t="s">
        <v>32</v>
      </c>
      <c r="AF2766" s="128" t="s">
        <v>69</v>
      </c>
      <c r="AG2766" s="128" t="s">
        <v>874</v>
      </c>
      <c r="AH2766" s="108" t="s">
        <v>31</v>
      </c>
      <c r="AI2766" s="128" t="s">
        <v>113</v>
      </c>
      <c r="AJ2766" s="129" t="s">
        <v>48</v>
      </c>
      <c r="AK2766" s="129">
        <v>6</v>
      </c>
      <c r="AL2766" s="3" t="s">
        <v>48</v>
      </c>
      <c r="AP2766" s="129" t="s">
        <v>93</v>
      </c>
      <c r="AR2766" s="128" t="s">
        <v>67</v>
      </c>
      <c r="AS2766" s="129" t="s">
        <v>45</v>
      </c>
      <c r="BC2766" s="129" t="s">
        <v>52</v>
      </c>
      <c r="BF2766" s="111">
        <f t="shared" si="2032"/>
        <v>2</v>
      </c>
      <c r="BG2766" s="111">
        <f t="shared" si="2018"/>
        <v>101</v>
      </c>
      <c r="BH2766" s="111">
        <f t="shared" si="2007"/>
        <v>102</v>
      </c>
      <c r="BI2766" s="111">
        <f t="shared" si="2009"/>
        <v>19.827868852459016</v>
      </c>
      <c r="BJ2766" s="129">
        <f>(G2766-J2766)+(M2766-G2766)</f>
        <v>0</v>
      </c>
      <c r="BK2766" s="129">
        <f t="shared" si="2008"/>
        <v>-99</v>
      </c>
      <c r="BL2766" s="129" t="str">
        <f t="shared" si="2005"/>
        <v>DEFERRED</v>
      </c>
      <c r="BM2766" s="129" t="s">
        <v>76</v>
      </c>
      <c r="BN2766" s="129" t="s">
        <v>88</v>
      </c>
      <c r="BP2766" s="137" t="str">
        <f t="shared" si="2010"/>
        <v>DEFERRED</v>
      </c>
      <c r="BQ2766" s="128" t="str">
        <f t="shared" si="2019"/>
        <v>Y</v>
      </c>
      <c r="BR2766" s="129" t="str">
        <f t="shared" si="2020"/>
        <v>ON BOND</v>
      </c>
      <c r="BS2766" s="129" t="str">
        <f t="shared" si="2011"/>
        <v>DISPOSED</v>
      </c>
      <c r="BT2766" s="129" t="str">
        <f t="shared" si="2012"/>
        <v>N</v>
      </c>
      <c r="BU2766" s="109">
        <f t="shared" si="2013"/>
        <v>1.9607843137254902E-2</v>
      </c>
      <c r="BV2766" s="109">
        <f t="shared" si="2021"/>
        <v>1.9801980198019802E-2</v>
      </c>
      <c r="BW2766" s="109">
        <f t="shared" si="2031"/>
        <v>1.9413706076490053E-4</v>
      </c>
      <c r="BX2766" s="111">
        <f t="shared" si="2014"/>
        <v>0</v>
      </c>
      <c r="BY2766" s="129">
        <f t="shared" si="2022"/>
        <v>-2</v>
      </c>
      <c r="BZ2766" s="111">
        <f t="shared" si="2023"/>
        <v>0</v>
      </c>
      <c r="CA2766" s="138">
        <f t="shared" si="2024"/>
        <v>2</v>
      </c>
      <c r="CB2766" s="111" t="e">
        <f t="shared" si="2033"/>
        <v>#VALUE!</v>
      </c>
      <c r="CC2766" s="129">
        <f>M2766-I2766+1</f>
        <v>2</v>
      </c>
      <c r="CD2766" s="111">
        <f>CC2766-BF2766</f>
        <v>0</v>
      </c>
      <c r="CG2766" s="129" t="str">
        <f t="shared" si="2025"/>
        <v>N</v>
      </c>
      <c r="CI2766" s="129" t="str">
        <f t="shared" si="2026"/>
        <v>0-10 DAYS</v>
      </c>
      <c r="CJ2766" s="137">
        <f t="shared" si="2027"/>
        <v>1</v>
      </c>
      <c r="CK2766" s="129" t="str">
        <f t="shared" si="2028"/>
        <v>Booked</v>
      </c>
    </row>
    <row r="2767" spans="1:89" ht="15.75" customHeight="1" x14ac:dyDescent="0.25">
      <c r="A2767" s="111">
        <v>1010</v>
      </c>
      <c r="B2767" s="128" t="str">
        <f t="shared" si="2015"/>
        <v>N</v>
      </c>
      <c r="C2767" s="128" t="str">
        <f t="shared" si="2016"/>
        <v>N</v>
      </c>
      <c r="D2767" s="117">
        <v>2603569</v>
      </c>
      <c r="E2767" s="135">
        <f t="shared" si="2017"/>
        <v>3</v>
      </c>
      <c r="F2767" s="124">
        <v>40946</v>
      </c>
      <c r="G2767" s="125">
        <v>41164</v>
      </c>
      <c r="H2767" s="117">
        <v>2603569</v>
      </c>
      <c r="I2767" s="124">
        <v>40946</v>
      </c>
      <c r="J2767" s="124">
        <v>40950</v>
      </c>
      <c r="K2767" s="126">
        <v>100000</v>
      </c>
      <c r="L2767" s="129" t="s">
        <v>572</v>
      </c>
      <c r="M2767" s="125">
        <v>40950</v>
      </c>
      <c r="N2767" s="129" t="str">
        <f t="shared" si="2030"/>
        <v>Y</v>
      </c>
      <c r="O2767" s="128" t="s">
        <v>76</v>
      </c>
      <c r="P2767" s="129" t="s">
        <v>39</v>
      </c>
      <c r="Q2767" s="111">
        <f t="shared" si="2002"/>
        <v>5</v>
      </c>
      <c r="R2767" s="111">
        <f t="shared" si="2006"/>
        <v>219</v>
      </c>
      <c r="S2767" s="129">
        <v>0</v>
      </c>
      <c r="T2767" s="129">
        <v>0</v>
      </c>
      <c r="W2767" s="111"/>
      <c r="AC2767" s="130"/>
      <c r="AD2767" s="130">
        <v>29911</v>
      </c>
      <c r="AE2767" s="128" t="s">
        <v>32</v>
      </c>
      <c r="AF2767" s="128" t="s">
        <v>69</v>
      </c>
      <c r="AG2767" s="128" t="s">
        <v>874</v>
      </c>
      <c r="AH2767" s="108" t="s">
        <v>31</v>
      </c>
      <c r="AI2767" s="128" t="s">
        <v>118</v>
      </c>
      <c r="AJ2767" s="129" t="s">
        <v>89</v>
      </c>
      <c r="AK2767" s="129">
        <v>8</v>
      </c>
      <c r="AL2767" s="3" t="s">
        <v>185</v>
      </c>
      <c r="AP2767" s="129" t="s">
        <v>274</v>
      </c>
      <c r="AR2767" s="128" t="s">
        <v>92</v>
      </c>
      <c r="AS2767" s="129" t="s">
        <v>82</v>
      </c>
      <c r="AT2767" s="129" t="s">
        <v>275</v>
      </c>
      <c r="BC2767" s="129" t="s">
        <v>52</v>
      </c>
      <c r="BF2767" s="111">
        <f t="shared" si="2032"/>
        <v>5</v>
      </c>
      <c r="BG2767" s="111">
        <f t="shared" si="2018"/>
        <v>219</v>
      </c>
      <c r="BH2767" s="111">
        <f t="shared" si="2007"/>
        <v>219</v>
      </c>
      <c r="BI2767" s="111">
        <f t="shared" si="2009"/>
        <v>30.150273224043715</v>
      </c>
      <c r="BJ2767" s="129">
        <f>(G2767-J2767)+(M2767-G2767)</f>
        <v>0</v>
      </c>
      <c r="BK2767" s="129">
        <f t="shared" si="2008"/>
        <v>-214</v>
      </c>
      <c r="BL2767" s="129" t="str">
        <f t="shared" si="2005"/>
        <v>CONVICTION</v>
      </c>
      <c r="BM2767" s="129" t="s">
        <v>76</v>
      </c>
      <c r="BN2767" s="129" t="s">
        <v>88</v>
      </c>
      <c r="BP2767" s="137" t="str">
        <f t="shared" si="2010"/>
        <v>CONVICTION</v>
      </c>
      <c r="BQ2767" s="128" t="str">
        <f t="shared" si="2019"/>
        <v>Y</v>
      </c>
      <c r="BR2767" s="129" t="str">
        <f>IF(J2767&lt;G2767,"ON BOND",0)</f>
        <v>ON BOND</v>
      </c>
      <c r="BS2767" s="129" t="str">
        <f t="shared" si="2011"/>
        <v>DISPOSED</v>
      </c>
      <c r="BT2767" s="129" t="str">
        <f t="shared" si="2012"/>
        <v>N</v>
      </c>
      <c r="BU2767" s="109">
        <f t="shared" si="2013"/>
        <v>2.2831050228310501E-2</v>
      </c>
      <c r="BV2767" s="109">
        <f t="shared" si="2021"/>
        <v>2.2831050228310501E-2</v>
      </c>
      <c r="BW2767" s="109">
        <f t="shared" si="2031"/>
        <v>0</v>
      </c>
      <c r="BX2767" s="111">
        <f t="shared" si="2014"/>
        <v>0</v>
      </c>
      <c r="BY2767" s="129">
        <f t="shared" si="2022"/>
        <v>-5</v>
      </c>
      <c r="BZ2767" s="111">
        <f t="shared" si="2023"/>
        <v>0</v>
      </c>
      <c r="CA2767" s="138">
        <f t="shared" si="2024"/>
        <v>5</v>
      </c>
      <c r="CB2767" s="111" t="e">
        <f t="shared" si="2033"/>
        <v>#VALUE!</v>
      </c>
      <c r="CC2767" s="129">
        <f>M2767-I2767+1</f>
        <v>5</v>
      </c>
      <c r="CD2767" s="111">
        <f>CC2767-BF2767</f>
        <v>0</v>
      </c>
      <c r="CG2767" s="129" t="str">
        <f t="shared" si="2025"/>
        <v>N</v>
      </c>
      <c r="CI2767" s="129" t="str">
        <f t="shared" si="2026"/>
        <v>0-10 DAYS</v>
      </c>
      <c r="CJ2767" s="137">
        <f t="shared" si="2027"/>
        <v>1</v>
      </c>
      <c r="CK2767" s="129" t="str">
        <f t="shared" si="2028"/>
        <v>Booked</v>
      </c>
    </row>
    <row r="2768" spans="1:89" ht="15" customHeight="1" x14ac:dyDescent="0.25">
      <c r="A2768" s="111">
        <v>1020</v>
      </c>
      <c r="B2768" s="128" t="str">
        <f t="shared" si="2015"/>
        <v>N</v>
      </c>
      <c r="C2768" s="128" t="str">
        <f t="shared" si="2016"/>
        <v>N</v>
      </c>
      <c r="D2768" s="117">
        <v>2603599</v>
      </c>
      <c r="E2768" s="135">
        <f t="shared" si="2017"/>
        <v>1</v>
      </c>
      <c r="F2768" s="124">
        <v>40947</v>
      </c>
      <c r="G2768" s="125">
        <v>40980</v>
      </c>
      <c r="H2768" s="117">
        <v>2603599</v>
      </c>
      <c r="I2768" s="124">
        <v>40947</v>
      </c>
      <c r="J2768" s="124">
        <v>40948</v>
      </c>
      <c r="K2768" s="126">
        <v>2000</v>
      </c>
      <c r="L2768" s="127" t="s">
        <v>568</v>
      </c>
      <c r="M2768" s="125">
        <v>40948</v>
      </c>
      <c r="N2768" s="129" t="str">
        <f t="shared" si="2030"/>
        <v>Y</v>
      </c>
      <c r="O2768" s="128" t="s">
        <v>76</v>
      </c>
      <c r="P2768" s="129" t="s">
        <v>55</v>
      </c>
      <c r="Q2768" s="111">
        <f t="shared" si="2002"/>
        <v>2</v>
      </c>
      <c r="R2768" s="111">
        <f t="shared" si="2006"/>
        <v>34</v>
      </c>
      <c r="S2768" s="129">
        <v>0</v>
      </c>
      <c r="T2768" s="129">
        <v>0</v>
      </c>
      <c r="W2768" s="111"/>
      <c r="AC2768" s="130"/>
      <c r="AD2768" s="130">
        <v>28523</v>
      </c>
      <c r="AE2768" s="128" t="s">
        <v>32</v>
      </c>
      <c r="AF2768" s="128" t="s">
        <v>69</v>
      </c>
      <c r="AG2768" s="128" t="s">
        <v>874</v>
      </c>
      <c r="AH2768" s="108" t="s">
        <v>31</v>
      </c>
      <c r="AI2768" s="128" t="s">
        <v>113</v>
      </c>
      <c r="AJ2768" s="129" t="s">
        <v>55</v>
      </c>
      <c r="AK2768" s="129">
        <v>2</v>
      </c>
      <c r="AL2768" s="3" t="s">
        <v>55</v>
      </c>
      <c r="AP2768" s="129" t="s">
        <v>43</v>
      </c>
      <c r="AR2768" s="128" t="s">
        <v>44</v>
      </c>
      <c r="AS2768" s="129" t="s">
        <v>45</v>
      </c>
      <c r="BC2768" s="129" t="s">
        <v>52</v>
      </c>
      <c r="BF2768" s="111">
        <f t="shared" si="2032"/>
        <v>2</v>
      </c>
      <c r="BG2768" s="111">
        <f t="shared" si="2018"/>
        <v>34</v>
      </c>
      <c r="BH2768" s="111">
        <f t="shared" si="2007"/>
        <v>34</v>
      </c>
      <c r="BI2768" s="111">
        <f t="shared" si="2009"/>
        <v>33.94535519125683</v>
      </c>
      <c r="BJ2768" s="129">
        <f>(G2768-J2768)+(M2768-G2768)</f>
        <v>0</v>
      </c>
      <c r="BK2768" s="129">
        <f t="shared" si="2008"/>
        <v>-32</v>
      </c>
      <c r="BL2768" s="129" t="str">
        <f t="shared" si="2005"/>
        <v>NO CONVICTION</v>
      </c>
      <c r="BM2768" s="129" t="s">
        <v>76</v>
      </c>
      <c r="BN2768" s="129" t="s">
        <v>88</v>
      </c>
      <c r="BP2768" s="137" t="str">
        <f t="shared" si="2010"/>
        <v>NO CONVICTION</v>
      </c>
      <c r="BQ2768" s="128" t="str">
        <f t="shared" si="2019"/>
        <v>Y</v>
      </c>
      <c r="BR2768" s="129" t="str">
        <f t="shared" si="2020"/>
        <v>ON BOND</v>
      </c>
      <c r="BS2768" s="129" t="str">
        <f t="shared" si="2011"/>
        <v>DISPOSED</v>
      </c>
      <c r="BT2768" s="129" t="str">
        <f t="shared" si="2012"/>
        <v>N</v>
      </c>
      <c r="BU2768" s="109">
        <f>IFERROR(Q2768/R2768,BR2768)</f>
        <v>5.8823529411764705E-2</v>
      </c>
      <c r="BV2768" s="109">
        <f t="shared" si="2021"/>
        <v>5.8823529411764705E-2</v>
      </c>
      <c r="BW2768" s="109">
        <f t="shared" si="2031"/>
        <v>0</v>
      </c>
      <c r="BX2768" s="111">
        <f t="shared" si="2014"/>
        <v>0</v>
      </c>
      <c r="BY2768" s="129">
        <f t="shared" si="2022"/>
        <v>-2</v>
      </c>
      <c r="BZ2768" s="111">
        <f t="shared" si="2023"/>
        <v>0</v>
      </c>
      <c r="CA2768" s="138">
        <f t="shared" si="2024"/>
        <v>2</v>
      </c>
      <c r="CB2768" s="111" t="e">
        <f t="shared" si="2033"/>
        <v>#VALUE!</v>
      </c>
      <c r="CC2768" s="129">
        <f>M2768-I2768+1</f>
        <v>2</v>
      </c>
      <c r="CD2768" s="111">
        <f>CC2768-BF2768</f>
        <v>0</v>
      </c>
      <c r="CG2768" s="129" t="str">
        <f t="shared" si="2025"/>
        <v>N</v>
      </c>
      <c r="CI2768" s="129" t="str">
        <f t="shared" si="2026"/>
        <v>0-10 DAYS</v>
      </c>
      <c r="CJ2768" s="137">
        <f t="shared" si="2027"/>
        <v>1</v>
      </c>
      <c r="CK2768" s="129" t="str">
        <f t="shared" si="2028"/>
        <v>Booked</v>
      </c>
    </row>
    <row r="2769" spans="1:89" ht="15" customHeight="1" x14ac:dyDescent="0.25">
      <c r="A2769" s="111">
        <v>1023</v>
      </c>
      <c r="B2769" s="128" t="str">
        <f t="shared" si="2015"/>
        <v>N</v>
      </c>
      <c r="C2769" s="128" t="str">
        <f t="shared" si="2016"/>
        <v>N</v>
      </c>
      <c r="D2769" s="117">
        <v>2603604</v>
      </c>
      <c r="E2769" s="135">
        <f t="shared" si="2017"/>
        <v>2</v>
      </c>
      <c r="F2769" s="124">
        <v>40947</v>
      </c>
      <c r="G2769" s="125">
        <v>40949</v>
      </c>
      <c r="H2769" s="117">
        <v>2603604</v>
      </c>
      <c r="I2769" s="124">
        <v>40947</v>
      </c>
      <c r="J2769" s="124">
        <v>40949</v>
      </c>
      <c r="K2769" s="126">
        <v>20000</v>
      </c>
      <c r="L2769" s="127" t="s">
        <v>571</v>
      </c>
      <c r="N2769" s="129" t="str">
        <f t="shared" si="2030"/>
        <v>N</v>
      </c>
      <c r="O2769" s="128" t="s">
        <v>917</v>
      </c>
      <c r="P2769" s="129" t="s">
        <v>589</v>
      </c>
      <c r="Q2769" s="111">
        <f t="shared" si="2002"/>
        <v>3</v>
      </c>
      <c r="R2769" s="111">
        <f t="shared" si="2006"/>
        <v>3</v>
      </c>
      <c r="S2769" s="129">
        <v>0</v>
      </c>
      <c r="T2769" s="129">
        <v>0</v>
      </c>
      <c r="W2769" s="111"/>
      <c r="AB2769" s="131" t="s">
        <v>112</v>
      </c>
      <c r="AC2769" s="130"/>
      <c r="AD2769" s="130">
        <v>33363</v>
      </c>
      <c r="AE2769" s="128" t="s">
        <v>32</v>
      </c>
      <c r="AF2769" s="128" t="s">
        <v>40</v>
      </c>
      <c r="AG2769" s="128" t="s">
        <v>41</v>
      </c>
      <c r="AH2769" s="108" t="s">
        <v>31</v>
      </c>
      <c r="AI2769" s="128" t="s">
        <v>47</v>
      </c>
      <c r="AJ2769" s="129" t="s">
        <v>48</v>
      </c>
      <c r="AK2769" s="129">
        <v>2</v>
      </c>
      <c r="AL2769" s="3" t="s">
        <v>48</v>
      </c>
      <c r="AP2769" s="129" t="s">
        <v>190</v>
      </c>
      <c r="AR2769" s="128" t="s">
        <v>50</v>
      </c>
      <c r="AS2769" s="129" t="s">
        <v>82</v>
      </c>
      <c r="BC2769" s="129" t="s">
        <v>52</v>
      </c>
      <c r="BF2769" s="111">
        <f t="shared" si="2032"/>
        <v>3</v>
      </c>
      <c r="BG2769" s="111">
        <f t="shared" si="2018"/>
        <v>3</v>
      </c>
      <c r="BH2769" s="111">
        <f t="shared" si="2007"/>
        <v>3</v>
      </c>
      <c r="BI2769" s="111">
        <f t="shared" si="2009"/>
        <v>20.721311475409838</v>
      </c>
      <c r="BJ2769" s="129">
        <f>G2769-J2769-M2769</f>
        <v>0</v>
      </c>
      <c r="BK2769" s="129">
        <f t="shared" si="2008"/>
        <v>0</v>
      </c>
      <c r="BL2769" s="129" t="str">
        <f t="shared" si="2005"/>
        <v>DEFERRED</v>
      </c>
      <c r="BM2769" s="129" t="str">
        <f>O2769</f>
        <v>NONE</v>
      </c>
      <c r="BN2769" s="129" t="s">
        <v>566</v>
      </c>
      <c r="BP2769" s="137" t="str">
        <f t="shared" si="2010"/>
        <v>DEFERRED</v>
      </c>
      <c r="BQ2769" s="128" t="str">
        <f t="shared" si="2019"/>
        <v>Y</v>
      </c>
      <c r="BR2769" s="129" t="str">
        <f t="shared" si="2020"/>
        <v>DETAINED</v>
      </c>
      <c r="BS2769" s="129" t="str">
        <f t="shared" si="2011"/>
        <v>DISPOSED</v>
      </c>
      <c r="BT2769" s="129" t="str">
        <f t="shared" si="2012"/>
        <v>N</v>
      </c>
      <c r="BU2769" s="109">
        <f t="shared" si="2013"/>
        <v>1</v>
      </c>
      <c r="BV2769" s="109">
        <f t="shared" si="2021"/>
        <v>1</v>
      </c>
      <c r="BW2769" s="109">
        <f t="shared" si="2031"/>
        <v>0</v>
      </c>
      <c r="BX2769" s="111">
        <f t="shared" si="2014"/>
        <v>0</v>
      </c>
      <c r="BY2769" s="129">
        <f t="shared" si="2022"/>
        <v>-3</v>
      </c>
      <c r="BZ2769" s="111">
        <f t="shared" si="2023"/>
        <v>0</v>
      </c>
      <c r="CA2769" s="138">
        <f t="shared" si="2024"/>
        <v>3</v>
      </c>
      <c r="CB2769" s="111" t="e">
        <f t="shared" si="2033"/>
        <v>#VALUE!</v>
      </c>
      <c r="CC2769" s="129">
        <f>G2769-I2769+1</f>
        <v>3</v>
      </c>
      <c r="CD2769" s="129">
        <f>G2769-J2769</f>
        <v>0</v>
      </c>
      <c r="CG2769" s="129" t="str">
        <f t="shared" si="2025"/>
        <v>N</v>
      </c>
      <c r="CI2769" s="129" t="str">
        <f t="shared" si="2026"/>
        <v>0-10 DAYS</v>
      </c>
      <c r="CJ2769" s="137">
        <f t="shared" si="2027"/>
        <v>1</v>
      </c>
      <c r="CK2769" s="129" t="str">
        <f t="shared" si="2028"/>
        <v>Booked</v>
      </c>
    </row>
    <row r="2770" spans="1:89" ht="15.75" customHeight="1" x14ac:dyDescent="0.25">
      <c r="A2770" s="111">
        <v>1029</v>
      </c>
      <c r="B2770" s="128" t="str">
        <f t="shared" si="2015"/>
        <v>N</v>
      </c>
      <c r="C2770" s="128" t="str">
        <f t="shared" si="2016"/>
        <v>N</v>
      </c>
      <c r="D2770" s="117">
        <v>2603673</v>
      </c>
      <c r="E2770" s="135">
        <f t="shared" si="2017"/>
        <v>6</v>
      </c>
      <c r="F2770" s="124">
        <v>40947</v>
      </c>
      <c r="G2770" s="125">
        <v>41150</v>
      </c>
      <c r="H2770" s="117">
        <v>2603673</v>
      </c>
      <c r="I2770" s="124" t="s">
        <v>562</v>
      </c>
      <c r="J2770" s="124" t="s">
        <v>562</v>
      </c>
      <c r="K2770" s="126">
        <v>100000</v>
      </c>
      <c r="L2770" s="129" t="s">
        <v>572</v>
      </c>
      <c r="M2770" s="125">
        <v>40963</v>
      </c>
      <c r="N2770" s="129" t="str">
        <f>IF(M2770&gt;1/1/1,"Y",IF(Q2770="0","","N"))</f>
        <v>Y</v>
      </c>
      <c r="O2770" s="128" t="s">
        <v>585</v>
      </c>
      <c r="P2770" s="129" t="s">
        <v>39</v>
      </c>
      <c r="Q2770" s="111">
        <f t="shared" si="2002"/>
        <v>0</v>
      </c>
      <c r="R2770" s="111">
        <f t="shared" si="2006"/>
        <v>204</v>
      </c>
      <c r="S2770" s="129">
        <v>0</v>
      </c>
      <c r="T2770" s="129">
        <v>0</v>
      </c>
      <c r="W2770" s="111"/>
      <c r="AC2770" s="130"/>
      <c r="AD2770" s="130">
        <v>29616</v>
      </c>
      <c r="AE2770" s="128" t="s">
        <v>32</v>
      </c>
      <c r="AF2770" s="128" t="s">
        <v>69</v>
      </c>
      <c r="AG2770" s="128" t="s">
        <v>874</v>
      </c>
      <c r="AH2770" s="108" t="s">
        <v>31</v>
      </c>
      <c r="AI2770" s="128" t="s">
        <v>141</v>
      </c>
      <c r="AJ2770" s="129" t="s">
        <v>89</v>
      </c>
      <c r="AK2770" s="129">
        <v>9</v>
      </c>
      <c r="AL2770" s="3" t="s">
        <v>362</v>
      </c>
      <c r="AM2770" s="114">
        <v>20</v>
      </c>
      <c r="AN2770" s="114"/>
      <c r="AP2770" s="129" t="s">
        <v>129</v>
      </c>
      <c r="AR2770" s="128" t="s">
        <v>92</v>
      </c>
      <c r="AS2770" s="129" t="s">
        <v>126</v>
      </c>
      <c r="BC2770" s="129" t="s">
        <v>52</v>
      </c>
      <c r="BF2770" s="111">
        <v>0</v>
      </c>
      <c r="BG2770" s="111">
        <v>0</v>
      </c>
      <c r="BH2770" s="111">
        <f t="shared" si="2007"/>
        <v>204</v>
      </c>
      <c r="BI2770" s="111">
        <f t="shared" si="2009"/>
        <v>30.959016393442624</v>
      </c>
      <c r="BJ2770" s="129" t="e">
        <f>(G2770-J2770)+(M2770-G2770)</f>
        <v>#VALUE!</v>
      </c>
      <c r="BK2770" s="129" t="e">
        <f t="shared" si="2008"/>
        <v>#VALUE!</v>
      </c>
      <c r="BL2770" s="129" t="str">
        <f t="shared" si="2005"/>
        <v>CONVICTION</v>
      </c>
      <c r="BM2770" s="129" t="s">
        <v>76</v>
      </c>
      <c r="BN2770" s="129" t="s">
        <v>88</v>
      </c>
      <c r="BP2770" s="137" t="str">
        <f t="shared" si="2010"/>
        <v>CONVICTION</v>
      </c>
      <c r="BQ2770" s="128">
        <f t="shared" si="2019"/>
        <v>0</v>
      </c>
      <c r="BR2770" s="129" t="s">
        <v>575</v>
      </c>
      <c r="BS2770" s="129" t="str">
        <f t="shared" si="2011"/>
        <v>DISPOSED</v>
      </c>
      <c r="BT2770" s="129" t="str">
        <f t="shared" si="2012"/>
        <v>N</v>
      </c>
      <c r="BU2770" s="109">
        <f t="shared" si="2013"/>
        <v>0</v>
      </c>
      <c r="BV2770" s="109">
        <v>0</v>
      </c>
      <c r="BW2770" s="109">
        <f t="shared" si="2031"/>
        <v>0</v>
      </c>
      <c r="BX2770" s="111">
        <f t="shared" si="2014"/>
        <v>0</v>
      </c>
      <c r="BY2770" s="129" t="e">
        <f t="shared" si="2022"/>
        <v>#VALUE!</v>
      </c>
      <c r="BZ2770" s="111" t="e">
        <f t="shared" si="2023"/>
        <v>#VALUE!</v>
      </c>
      <c r="CA2770" s="138" t="e">
        <f t="shared" si="2024"/>
        <v>#VALUE!</v>
      </c>
      <c r="CB2770" s="111">
        <v>0</v>
      </c>
      <c r="CC2770" s="129">
        <v>0</v>
      </c>
      <c r="CD2770" s="111">
        <f>CC2770-BF2770</f>
        <v>0</v>
      </c>
      <c r="CG2770" s="129" t="str">
        <f t="shared" si="2025"/>
        <v>N</v>
      </c>
      <c r="CI2770" s="129" t="str">
        <f t="shared" si="2026"/>
        <v>0-10 DAYS</v>
      </c>
      <c r="CJ2770" s="137">
        <f t="shared" si="2027"/>
        <v>1</v>
      </c>
      <c r="CK2770" s="129" t="str">
        <f t="shared" si="2028"/>
        <v>Not Booked</v>
      </c>
    </row>
    <row r="2771" spans="1:89" ht="15.75" customHeight="1" x14ac:dyDescent="0.25">
      <c r="A2771" s="111">
        <v>1030</v>
      </c>
      <c r="B2771" s="128" t="str">
        <f t="shared" si="2015"/>
        <v>N</v>
      </c>
      <c r="C2771" s="128" t="str">
        <f t="shared" si="2016"/>
        <v>N</v>
      </c>
      <c r="D2771" s="117">
        <v>2603675</v>
      </c>
      <c r="E2771" s="135">
        <f t="shared" si="2017"/>
        <v>2</v>
      </c>
      <c r="F2771" s="124">
        <v>40947</v>
      </c>
      <c r="G2771" s="125">
        <v>41158</v>
      </c>
      <c r="H2771" s="117">
        <v>2603675</v>
      </c>
      <c r="I2771" s="124" t="s">
        <v>562</v>
      </c>
      <c r="J2771" s="124" t="s">
        <v>562</v>
      </c>
      <c r="K2771" s="126">
        <v>60000</v>
      </c>
      <c r="L2771" s="129" t="s">
        <v>572</v>
      </c>
      <c r="M2771" s="125">
        <v>40948</v>
      </c>
      <c r="N2771" s="129" t="str">
        <f>IF(M2771&gt;1/1/1,"Y",IF(Q2771="0","","N"))</f>
        <v>Y</v>
      </c>
      <c r="O2771" s="128" t="s">
        <v>76</v>
      </c>
      <c r="P2771" s="129" t="s">
        <v>589</v>
      </c>
      <c r="Q2771" s="111">
        <f t="shared" si="2002"/>
        <v>0</v>
      </c>
      <c r="R2771" s="111">
        <f t="shared" si="2006"/>
        <v>212</v>
      </c>
      <c r="S2771" s="129">
        <v>0</v>
      </c>
      <c r="T2771" s="129">
        <v>0</v>
      </c>
      <c r="W2771" s="111"/>
      <c r="AC2771" s="130"/>
      <c r="AD2771" s="130">
        <v>21083</v>
      </c>
      <c r="AE2771" s="128" t="s">
        <v>32</v>
      </c>
      <c r="AF2771" s="128" t="s">
        <v>69</v>
      </c>
      <c r="AG2771" s="128" t="s">
        <v>874</v>
      </c>
      <c r="AH2771" s="108" t="s">
        <v>31</v>
      </c>
      <c r="AI2771" s="128" t="s">
        <v>114</v>
      </c>
      <c r="AJ2771" s="129" t="s">
        <v>48</v>
      </c>
      <c r="AK2771" s="129">
        <v>3</v>
      </c>
      <c r="AL2771" s="3" t="s">
        <v>48</v>
      </c>
      <c r="AP2771" s="129" t="s">
        <v>188</v>
      </c>
      <c r="AR2771" s="128" t="s">
        <v>67</v>
      </c>
      <c r="AS2771" s="129" t="s">
        <v>64</v>
      </c>
      <c r="BC2771" s="129" t="s">
        <v>52</v>
      </c>
      <c r="BF2771" s="111">
        <v>0</v>
      </c>
      <c r="BG2771" s="111">
        <v>0</v>
      </c>
      <c r="BH2771" s="111">
        <f t="shared" si="2007"/>
        <v>212</v>
      </c>
      <c r="BI2771" s="111">
        <f t="shared" si="2009"/>
        <v>54.27322404371585</v>
      </c>
      <c r="BJ2771" s="129" t="e">
        <f>(G2771-J2771)+(M2771-G2771)</f>
        <v>#VALUE!</v>
      </c>
      <c r="BK2771" s="129" t="e">
        <f t="shared" si="2008"/>
        <v>#VALUE!</v>
      </c>
      <c r="BL2771" s="129" t="str">
        <f t="shared" si="2005"/>
        <v>DEFERRED</v>
      </c>
      <c r="BM2771" s="129" t="s">
        <v>76</v>
      </c>
      <c r="BN2771" s="129" t="s">
        <v>88</v>
      </c>
      <c r="BP2771" s="137" t="str">
        <f t="shared" si="2010"/>
        <v>DEFERRED</v>
      </c>
      <c r="BQ2771" s="128">
        <f t="shared" si="2019"/>
        <v>0</v>
      </c>
      <c r="BR2771" s="129" t="s">
        <v>575</v>
      </c>
      <c r="BS2771" s="129" t="str">
        <f t="shared" si="2011"/>
        <v>DISPOSED</v>
      </c>
      <c r="BT2771" s="129" t="str">
        <f t="shared" si="2012"/>
        <v>N</v>
      </c>
      <c r="BU2771" s="109">
        <f t="shared" si="2013"/>
        <v>0</v>
      </c>
      <c r="BV2771" s="109">
        <v>0</v>
      </c>
      <c r="BW2771" s="109">
        <f t="shared" si="2031"/>
        <v>0</v>
      </c>
      <c r="BX2771" s="111">
        <f t="shared" si="2014"/>
        <v>0</v>
      </c>
      <c r="BY2771" s="129" t="e">
        <f t="shared" si="2022"/>
        <v>#VALUE!</v>
      </c>
      <c r="BZ2771" s="111" t="e">
        <f t="shared" si="2023"/>
        <v>#VALUE!</v>
      </c>
      <c r="CA2771" s="138" t="e">
        <f t="shared" si="2024"/>
        <v>#VALUE!</v>
      </c>
      <c r="CB2771" s="111">
        <v>0</v>
      </c>
      <c r="CC2771" s="129">
        <v>0</v>
      </c>
      <c r="CD2771" s="111">
        <f>CC2771-BF2771</f>
        <v>0</v>
      </c>
      <c r="CG2771" s="129" t="str">
        <f t="shared" si="2025"/>
        <v>N</v>
      </c>
      <c r="CI2771" s="129" t="str">
        <f t="shared" si="2026"/>
        <v>0-10 DAYS</v>
      </c>
      <c r="CJ2771" s="137">
        <f t="shared" si="2027"/>
        <v>1</v>
      </c>
      <c r="CK2771" s="129" t="str">
        <f t="shared" si="2028"/>
        <v>Not Booked</v>
      </c>
    </row>
    <row r="2772" spans="1:89" ht="15" customHeight="1" x14ac:dyDescent="0.25">
      <c r="A2772" s="111">
        <v>1032</v>
      </c>
      <c r="B2772" s="128" t="str">
        <f t="shared" si="2015"/>
        <v>N</v>
      </c>
      <c r="C2772" s="128" t="str">
        <f t="shared" si="2016"/>
        <v>Y</v>
      </c>
      <c r="D2772" s="117">
        <v>2603693</v>
      </c>
      <c r="E2772" s="135">
        <f t="shared" si="2017"/>
        <v>1</v>
      </c>
      <c r="F2772" s="124">
        <v>40947</v>
      </c>
      <c r="G2772" s="125">
        <v>40977</v>
      </c>
      <c r="H2772" s="117">
        <v>2603693</v>
      </c>
      <c r="I2772" s="124">
        <v>40969</v>
      </c>
      <c r="J2772" s="124">
        <v>40977</v>
      </c>
      <c r="K2772" s="126">
        <v>2000</v>
      </c>
      <c r="L2772" s="127" t="s">
        <v>568</v>
      </c>
      <c r="M2772" s="125">
        <v>40958</v>
      </c>
      <c r="N2772" s="129" t="str">
        <f>IF(M2772&gt;1/1/1,"Y","N")</f>
        <v>Y</v>
      </c>
      <c r="O2772" s="128" t="s">
        <v>76</v>
      </c>
      <c r="P2772" s="129" t="s">
        <v>55</v>
      </c>
      <c r="Q2772" s="111">
        <f t="shared" ref="Q2772:Q2781" si="2034">BF2772</f>
        <v>9</v>
      </c>
      <c r="R2772" s="111">
        <f t="shared" si="2006"/>
        <v>31</v>
      </c>
      <c r="S2772" s="129">
        <v>0</v>
      </c>
      <c r="T2772" s="129">
        <v>0</v>
      </c>
      <c r="W2772" s="111"/>
      <c r="AC2772" s="130"/>
      <c r="AD2772" s="130">
        <v>25683</v>
      </c>
      <c r="AE2772" s="128" t="s">
        <v>46</v>
      </c>
      <c r="AF2772" s="128" t="s">
        <v>33</v>
      </c>
      <c r="AG2772" s="128" t="s">
        <v>872</v>
      </c>
      <c r="AH2772" s="108" t="s">
        <v>31</v>
      </c>
      <c r="AI2772" s="128" t="s">
        <v>59</v>
      </c>
      <c r="AJ2772" s="129" t="s">
        <v>55</v>
      </c>
      <c r="AK2772" s="129">
        <v>3</v>
      </c>
      <c r="AL2772" s="3" t="s">
        <v>55</v>
      </c>
      <c r="AP2772" s="129" t="s">
        <v>98</v>
      </c>
      <c r="AR2772" s="128" t="s">
        <v>44</v>
      </c>
      <c r="AS2772" s="129" t="s">
        <v>64</v>
      </c>
      <c r="AU2772" s="3" t="s">
        <v>815</v>
      </c>
      <c r="AV2772" s="3" t="s">
        <v>88</v>
      </c>
      <c r="AW2772" s="123">
        <v>40962</v>
      </c>
      <c r="BA2772" s="125">
        <v>40987</v>
      </c>
      <c r="BB2772" s="129">
        <v>236</v>
      </c>
      <c r="BC2772" s="129" t="s">
        <v>79</v>
      </c>
      <c r="BF2772" s="111">
        <f>IF(J2772&gt;1/1/1900,((G2772+1)-I2772),"STILL OPEN")</f>
        <v>9</v>
      </c>
      <c r="BG2772" s="111">
        <f>IF(G2772&gt;1/1/1900,((G2772+1)-I2772),"STILL OPEN")</f>
        <v>9</v>
      </c>
      <c r="BH2772" s="111">
        <f t="shared" si="2007"/>
        <v>31</v>
      </c>
      <c r="BI2772" s="111">
        <f t="shared" si="2009"/>
        <v>41.704918032786885</v>
      </c>
      <c r="BJ2772" s="129">
        <f>G2772-J2772</f>
        <v>0</v>
      </c>
      <c r="BK2772" s="129">
        <f t="shared" si="2008"/>
        <v>0</v>
      </c>
      <c r="BL2772" s="129" t="str">
        <f t="shared" si="2005"/>
        <v>NO CONVICTION</v>
      </c>
      <c r="BM2772" s="129" t="s">
        <v>76</v>
      </c>
      <c r="BN2772" s="129" t="s">
        <v>88</v>
      </c>
      <c r="BP2772" s="137" t="str">
        <f t="shared" si="2010"/>
        <v>NO CONVICTION</v>
      </c>
      <c r="BQ2772" s="128" t="str">
        <f t="shared" si="2019"/>
        <v>Y</v>
      </c>
      <c r="BR2772" s="129" t="s">
        <v>574</v>
      </c>
      <c r="BS2772" s="129" t="str">
        <f t="shared" si="2011"/>
        <v>DISPOSED</v>
      </c>
      <c r="BT2772" s="129" t="str">
        <f t="shared" si="2012"/>
        <v>N</v>
      </c>
      <c r="BU2772" s="109">
        <f>IFERROR(Q2772/R2772,BR2772)</f>
        <v>0.29032258064516131</v>
      </c>
      <c r="BV2772" s="109">
        <f t="shared" si="2021"/>
        <v>1</v>
      </c>
      <c r="BW2772" s="109">
        <f t="shared" si="2031"/>
        <v>0.70967741935483875</v>
      </c>
      <c r="BX2772" s="111">
        <f t="shared" si="2014"/>
        <v>0</v>
      </c>
      <c r="BY2772" s="129">
        <f t="shared" si="2022"/>
        <v>-9</v>
      </c>
      <c r="BZ2772" s="111">
        <f t="shared" si="2023"/>
        <v>0</v>
      </c>
      <c r="CA2772" s="138">
        <f t="shared" si="2024"/>
        <v>9</v>
      </c>
      <c r="CB2772" s="111" t="e">
        <f>IF(AF2772&gt;1/1/1900,((AF2772+1)-AE2772),"STILL OPEN")</f>
        <v>#VALUE!</v>
      </c>
      <c r="CC2772" s="129">
        <f>G2772-I2772+1</f>
        <v>9</v>
      </c>
      <c r="CD2772" s="129">
        <f>G2772-J2772</f>
        <v>0</v>
      </c>
      <c r="CG2772" s="129" t="str">
        <f t="shared" si="2025"/>
        <v>N</v>
      </c>
      <c r="CI2772" s="129" t="str">
        <f t="shared" si="2026"/>
        <v>0-10 DAYS</v>
      </c>
      <c r="CJ2772" s="137">
        <f t="shared" si="2027"/>
        <v>1</v>
      </c>
      <c r="CK2772" s="129" t="str">
        <f t="shared" si="2028"/>
        <v>Booked</v>
      </c>
    </row>
    <row r="2773" spans="1:89" ht="15" customHeight="1" x14ac:dyDescent="0.25">
      <c r="A2773" s="111">
        <v>1036</v>
      </c>
      <c r="B2773" s="128" t="str">
        <f t="shared" si="2015"/>
        <v>N</v>
      </c>
      <c r="C2773" s="128" t="str">
        <f t="shared" si="2016"/>
        <v>N</v>
      </c>
      <c r="D2773" s="117">
        <v>2603724</v>
      </c>
      <c r="E2773" s="135">
        <f t="shared" si="2017"/>
        <v>1</v>
      </c>
      <c r="F2773" s="124">
        <v>40947</v>
      </c>
      <c r="G2773" s="125">
        <v>40995</v>
      </c>
      <c r="H2773" s="117">
        <v>2603724</v>
      </c>
      <c r="I2773" s="124" t="s">
        <v>562</v>
      </c>
      <c r="J2773" s="124" t="s">
        <v>562</v>
      </c>
      <c r="K2773" s="126">
        <v>2000</v>
      </c>
      <c r="L2773" s="127" t="s">
        <v>568</v>
      </c>
      <c r="M2773" s="125">
        <v>40948</v>
      </c>
      <c r="N2773" s="129" t="str">
        <f>IF(M2773&gt;1/1/1,"Y",IF(Q2773="0","","N"))</f>
        <v>Y</v>
      </c>
      <c r="O2773" s="128" t="s">
        <v>76</v>
      </c>
      <c r="P2773" s="129" t="s">
        <v>123</v>
      </c>
      <c r="Q2773" s="111">
        <f t="shared" si="2034"/>
        <v>0</v>
      </c>
      <c r="R2773" s="111">
        <f t="shared" si="2006"/>
        <v>49</v>
      </c>
      <c r="S2773" s="129">
        <v>0</v>
      </c>
      <c r="T2773" s="129">
        <v>0</v>
      </c>
      <c r="W2773" s="111"/>
      <c r="AC2773" s="130"/>
      <c r="AD2773" s="130">
        <v>30103</v>
      </c>
      <c r="AE2773" s="128" t="s">
        <v>46</v>
      </c>
      <c r="AF2773" s="128" t="s">
        <v>69</v>
      </c>
      <c r="AG2773" s="128" t="s">
        <v>874</v>
      </c>
      <c r="AH2773" s="108" t="s">
        <v>31</v>
      </c>
      <c r="AI2773" s="128" t="s">
        <v>34</v>
      </c>
      <c r="AJ2773" s="129" t="s">
        <v>123</v>
      </c>
      <c r="AK2773" s="129">
        <v>3</v>
      </c>
      <c r="AL2773" s="3" t="s">
        <v>123</v>
      </c>
      <c r="AP2773" s="129" t="s">
        <v>139</v>
      </c>
      <c r="AR2773" s="128" t="s">
        <v>44</v>
      </c>
      <c r="AS2773" s="129" t="s">
        <v>64</v>
      </c>
      <c r="AW2773" s="123"/>
      <c r="AX2773" s="123"/>
      <c r="BC2773" s="129" t="s">
        <v>52</v>
      </c>
      <c r="BF2773" s="111">
        <v>0</v>
      </c>
      <c r="BG2773" s="111">
        <v>0</v>
      </c>
      <c r="BH2773" s="111">
        <f t="shared" si="2007"/>
        <v>49</v>
      </c>
      <c r="BI2773" s="111">
        <f t="shared" si="2009"/>
        <v>29.628415300546447</v>
      </c>
      <c r="BJ2773" s="129" t="e">
        <f>(G2773-J2773)+(M2773-G2773)</f>
        <v>#VALUE!</v>
      </c>
      <c r="BK2773" s="129" t="e">
        <f t="shared" si="2008"/>
        <v>#VALUE!</v>
      </c>
      <c r="BL2773" s="129" t="str">
        <f t="shared" si="2005"/>
        <v>NO CONVICTION</v>
      </c>
      <c r="BM2773" s="129" t="s">
        <v>76</v>
      </c>
      <c r="BN2773" s="129" t="s">
        <v>88</v>
      </c>
      <c r="BP2773" s="137" t="str">
        <f t="shared" si="2010"/>
        <v>NO CONVICTION</v>
      </c>
      <c r="BQ2773" s="128">
        <f t="shared" si="2019"/>
        <v>0</v>
      </c>
      <c r="BR2773" s="129" t="s">
        <v>575</v>
      </c>
      <c r="BS2773" s="129" t="str">
        <f t="shared" si="2011"/>
        <v>DISPOSED</v>
      </c>
      <c r="BT2773" s="129" t="str">
        <f t="shared" si="2012"/>
        <v>N</v>
      </c>
      <c r="BU2773" s="109">
        <f>IFERROR(Q2773/R2773,BR2773)</f>
        <v>0</v>
      </c>
      <c r="BV2773" s="109">
        <v>0</v>
      </c>
      <c r="BW2773" s="109">
        <f t="shared" si="2031"/>
        <v>0</v>
      </c>
      <c r="BX2773" s="111">
        <f t="shared" si="2014"/>
        <v>0</v>
      </c>
      <c r="BY2773" s="129" t="e">
        <f t="shared" si="2022"/>
        <v>#VALUE!</v>
      </c>
      <c r="BZ2773" s="111" t="e">
        <f t="shared" si="2023"/>
        <v>#VALUE!</v>
      </c>
      <c r="CA2773" s="138" t="e">
        <f t="shared" si="2024"/>
        <v>#VALUE!</v>
      </c>
      <c r="CB2773" s="111">
        <v>0</v>
      </c>
      <c r="CC2773" s="129">
        <v>0</v>
      </c>
      <c r="CD2773" s="111">
        <f>CC2773-BF2773</f>
        <v>0</v>
      </c>
      <c r="CG2773" s="129" t="str">
        <f t="shared" si="2025"/>
        <v>N</v>
      </c>
      <c r="CI2773" s="129" t="str">
        <f t="shared" si="2026"/>
        <v>0-10 DAYS</v>
      </c>
      <c r="CJ2773" s="137">
        <f t="shared" si="2027"/>
        <v>1</v>
      </c>
      <c r="CK2773" s="129" t="str">
        <f t="shared" si="2028"/>
        <v>Not Booked</v>
      </c>
    </row>
    <row r="2774" spans="1:89" ht="15.75" customHeight="1" x14ac:dyDescent="0.25">
      <c r="A2774" s="111">
        <v>1047</v>
      </c>
      <c r="B2774" s="128" t="str">
        <f t="shared" si="2015"/>
        <v>N</v>
      </c>
      <c r="C2774" s="128" t="str">
        <f t="shared" si="2016"/>
        <v>N</v>
      </c>
      <c r="D2774" s="117">
        <v>2603758</v>
      </c>
      <c r="E2774" s="135">
        <f t="shared" si="2017"/>
        <v>2</v>
      </c>
      <c r="F2774" s="124">
        <v>40947</v>
      </c>
      <c r="G2774" s="125">
        <v>40949</v>
      </c>
      <c r="H2774" s="117">
        <v>2603758</v>
      </c>
      <c r="I2774" s="124">
        <v>40948</v>
      </c>
      <c r="J2774" s="124">
        <v>40949</v>
      </c>
      <c r="K2774" s="126">
        <v>5000</v>
      </c>
      <c r="L2774" s="127" t="s">
        <v>569</v>
      </c>
      <c r="N2774" s="129" t="str">
        <f t="shared" ref="N2774:N2780" si="2035">IF(M2774&gt;1/1/1,"Y","N")</f>
        <v>N</v>
      </c>
      <c r="O2774" s="128" t="s">
        <v>917</v>
      </c>
      <c r="P2774" s="129" t="s">
        <v>589</v>
      </c>
      <c r="Q2774" s="111">
        <f t="shared" si="2034"/>
        <v>2</v>
      </c>
      <c r="R2774" s="111">
        <f t="shared" si="2006"/>
        <v>3</v>
      </c>
      <c r="S2774" s="129">
        <v>0</v>
      </c>
      <c r="T2774" s="129">
        <v>0</v>
      </c>
      <c r="W2774" s="111"/>
      <c r="AC2774" s="130"/>
      <c r="AD2774" s="130">
        <v>29117</v>
      </c>
      <c r="AE2774" s="128" t="s">
        <v>46</v>
      </c>
      <c r="AF2774" s="128" t="s">
        <v>69</v>
      </c>
      <c r="AG2774" s="128" t="s">
        <v>874</v>
      </c>
      <c r="AH2774" s="108" t="s">
        <v>31</v>
      </c>
      <c r="AI2774" s="128" t="s">
        <v>85</v>
      </c>
      <c r="AJ2774" s="129" t="s">
        <v>48</v>
      </c>
      <c r="AK2774" s="129">
        <v>1</v>
      </c>
      <c r="AL2774" s="3" t="s">
        <v>48</v>
      </c>
      <c r="AP2774" s="129" t="s">
        <v>93</v>
      </c>
      <c r="AR2774" s="128" t="s">
        <v>67</v>
      </c>
      <c r="AS2774" s="129" t="s">
        <v>45</v>
      </c>
      <c r="BC2774" s="129" t="s">
        <v>38</v>
      </c>
      <c r="BF2774" s="111">
        <f t="shared" ref="BF2774:BF2780" si="2036">IF(J2774&gt;1/1/1900,((J2774+1)-I2774),"STILL OPEN")</f>
        <v>2</v>
      </c>
      <c r="BG2774" s="111">
        <f t="shared" ref="BG2774:BG2780" si="2037">IF(G2774&gt;1/1/1900,((G2774+1)-I2774),"STILL OPEN")</f>
        <v>2</v>
      </c>
      <c r="BH2774" s="111">
        <f t="shared" si="2007"/>
        <v>3</v>
      </c>
      <c r="BI2774" s="111">
        <f t="shared" si="2009"/>
        <v>32.322404371584696</v>
      </c>
      <c r="BJ2774" s="129">
        <f>G2774-J2774-M2774</f>
        <v>0</v>
      </c>
      <c r="BK2774" s="129">
        <f t="shared" si="2008"/>
        <v>0</v>
      </c>
      <c r="BL2774" s="129" t="str">
        <f t="shared" si="2005"/>
        <v>DEFERRED</v>
      </c>
      <c r="BM2774" s="129" t="str">
        <f>O2774</f>
        <v>NONE</v>
      </c>
      <c r="BN2774" s="129" t="s">
        <v>566</v>
      </c>
      <c r="BP2774" s="137" t="str">
        <f t="shared" si="2010"/>
        <v>DEFERRED</v>
      </c>
      <c r="BQ2774" s="128" t="str">
        <f t="shared" si="2019"/>
        <v>Y</v>
      </c>
      <c r="BR2774" s="129" t="str">
        <f t="shared" si="2020"/>
        <v>DETAINED</v>
      </c>
      <c r="BS2774" s="129" t="str">
        <f t="shared" si="2011"/>
        <v>DISPOSED</v>
      </c>
      <c r="BT2774" s="129" t="str">
        <f t="shared" si="2012"/>
        <v>N</v>
      </c>
      <c r="BU2774" s="109">
        <f t="shared" si="2013"/>
        <v>0.66666666666666663</v>
      </c>
      <c r="BV2774" s="109">
        <f t="shared" si="2021"/>
        <v>1</v>
      </c>
      <c r="BW2774" s="109">
        <f t="shared" si="2031"/>
        <v>0.33333333333333337</v>
      </c>
      <c r="BX2774" s="111">
        <f t="shared" si="2014"/>
        <v>0</v>
      </c>
      <c r="BY2774" s="129">
        <f t="shared" si="2022"/>
        <v>-2</v>
      </c>
      <c r="BZ2774" s="111">
        <f t="shared" si="2023"/>
        <v>0</v>
      </c>
      <c r="CA2774" s="138">
        <f t="shared" si="2024"/>
        <v>2</v>
      </c>
      <c r="CB2774" s="111" t="e">
        <f t="shared" ref="CB2774:CB2780" si="2038">IF(AF2774&gt;1/1/1900,((AF2774+1)-AE2774),"STILL OPEN")</f>
        <v>#VALUE!</v>
      </c>
      <c r="CC2774" s="129">
        <f>G2774-I2774+1</f>
        <v>2</v>
      </c>
      <c r="CD2774" s="129">
        <f>G2774-J2774</f>
        <v>0</v>
      </c>
      <c r="CG2774" s="129" t="str">
        <f t="shared" si="2025"/>
        <v>N</v>
      </c>
      <c r="CI2774" s="129" t="str">
        <f t="shared" si="2026"/>
        <v>0-10 DAYS</v>
      </c>
      <c r="CJ2774" s="137">
        <f t="shared" si="2027"/>
        <v>1</v>
      </c>
      <c r="CK2774" s="129" t="str">
        <f t="shared" si="2028"/>
        <v>Booked</v>
      </c>
    </row>
    <row r="2775" spans="1:89" ht="15" customHeight="1" x14ac:dyDescent="0.25">
      <c r="A2775" s="111">
        <v>1053</v>
      </c>
      <c r="B2775" s="128" t="str">
        <f t="shared" si="2015"/>
        <v>N</v>
      </c>
      <c r="C2775" s="128" t="str">
        <f t="shared" si="2016"/>
        <v>N</v>
      </c>
      <c r="D2775" s="117">
        <v>2603763</v>
      </c>
      <c r="E2775" s="135">
        <f t="shared" si="2017"/>
        <v>1</v>
      </c>
      <c r="F2775" s="124">
        <v>40947</v>
      </c>
      <c r="G2775" s="125">
        <v>40973</v>
      </c>
      <c r="H2775" s="117">
        <v>2603763</v>
      </c>
      <c r="I2775" s="124">
        <v>40948</v>
      </c>
      <c r="J2775" s="124">
        <v>40960</v>
      </c>
      <c r="K2775" s="126">
        <v>70000</v>
      </c>
      <c r="L2775" s="129" t="s">
        <v>572</v>
      </c>
      <c r="M2775" s="125">
        <v>40960</v>
      </c>
      <c r="N2775" s="129" t="str">
        <f t="shared" si="2035"/>
        <v>Y</v>
      </c>
      <c r="O2775" s="128" t="s">
        <v>585</v>
      </c>
      <c r="P2775" s="129" t="s">
        <v>123</v>
      </c>
      <c r="Q2775" s="111">
        <f t="shared" si="2034"/>
        <v>13</v>
      </c>
      <c r="R2775" s="111">
        <f t="shared" si="2006"/>
        <v>27</v>
      </c>
      <c r="S2775" s="129">
        <v>0</v>
      </c>
      <c r="T2775" s="129">
        <v>0</v>
      </c>
      <c r="W2775" s="111"/>
      <c r="AC2775" s="130"/>
      <c r="AD2775" s="130">
        <v>31879</v>
      </c>
      <c r="AE2775" s="128" t="s">
        <v>32</v>
      </c>
      <c r="AF2775" s="128" t="s">
        <v>69</v>
      </c>
      <c r="AG2775" s="128" t="s">
        <v>874</v>
      </c>
      <c r="AH2775" s="108" t="s">
        <v>31</v>
      </c>
      <c r="AI2775" s="128" t="s">
        <v>87</v>
      </c>
      <c r="AJ2775" s="129" t="s">
        <v>123</v>
      </c>
      <c r="AK2775" s="129">
        <v>3</v>
      </c>
      <c r="AL2775" s="3" t="s">
        <v>123</v>
      </c>
      <c r="AP2775" s="129" t="s">
        <v>279</v>
      </c>
      <c r="AR2775" s="128" t="s">
        <v>67</v>
      </c>
      <c r="AS2775" s="129" t="s">
        <v>64</v>
      </c>
      <c r="BC2775" s="129" t="s">
        <v>52</v>
      </c>
      <c r="BF2775" s="111">
        <f t="shared" si="2036"/>
        <v>13</v>
      </c>
      <c r="BG2775" s="111">
        <f t="shared" si="2037"/>
        <v>26</v>
      </c>
      <c r="BH2775" s="111">
        <f t="shared" si="2007"/>
        <v>27</v>
      </c>
      <c r="BI2775" s="111">
        <f t="shared" si="2009"/>
        <v>24.775956284153004</v>
      </c>
      <c r="BJ2775" s="129">
        <f>(G2775-J2775)+(M2775-G2775)</f>
        <v>0</v>
      </c>
      <c r="BK2775" s="129">
        <f t="shared" si="2008"/>
        <v>-13</v>
      </c>
      <c r="BL2775" s="129" t="str">
        <f t="shared" si="2005"/>
        <v>NO CONVICTION</v>
      </c>
      <c r="BM2775" s="129" t="s">
        <v>76</v>
      </c>
      <c r="BN2775" s="129" t="s">
        <v>88</v>
      </c>
      <c r="BP2775" s="137" t="str">
        <f t="shared" si="2010"/>
        <v>NO CONVICTION</v>
      </c>
      <c r="BQ2775" s="128" t="str">
        <f t="shared" si="2019"/>
        <v>Y</v>
      </c>
      <c r="BR2775" s="129" t="str">
        <f t="shared" si="2020"/>
        <v>ON BOND</v>
      </c>
      <c r="BS2775" s="129" t="str">
        <f t="shared" si="2011"/>
        <v>DISPOSED</v>
      </c>
      <c r="BT2775" s="129" t="str">
        <f t="shared" si="2012"/>
        <v>N</v>
      </c>
      <c r="BU2775" s="109">
        <f>IFERROR(Q2775/R2775,BR2775)</f>
        <v>0.48148148148148145</v>
      </c>
      <c r="BV2775" s="109">
        <f t="shared" si="2021"/>
        <v>0.5</v>
      </c>
      <c r="BW2775" s="109">
        <f t="shared" si="2031"/>
        <v>1.8518518518518545E-2</v>
      </c>
      <c r="BX2775" s="111">
        <f t="shared" si="2014"/>
        <v>0</v>
      </c>
      <c r="BY2775" s="129">
        <f t="shared" si="2022"/>
        <v>-13</v>
      </c>
      <c r="BZ2775" s="111">
        <f t="shared" si="2023"/>
        <v>0</v>
      </c>
      <c r="CA2775" s="138">
        <f t="shared" si="2024"/>
        <v>13</v>
      </c>
      <c r="CB2775" s="111" t="e">
        <f t="shared" si="2038"/>
        <v>#VALUE!</v>
      </c>
      <c r="CC2775" s="129">
        <f>M2775-I2775+1</f>
        <v>13</v>
      </c>
      <c r="CD2775" s="111">
        <f>CC2775-BF2775</f>
        <v>0</v>
      </c>
      <c r="CG2775" s="129" t="str">
        <f t="shared" si="2025"/>
        <v>N</v>
      </c>
      <c r="CI2775" s="129" t="str">
        <f t="shared" si="2026"/>
        <v>11-30 DAYS</v>
      </c>
      <c r="CJ2775" s="137">
        <f t="shared" si="2027"/>
        <v>2</v>
      </c>
      <c r="CK2775" s="129" t="str">
        <f t="shared" si="2028"/>
        <v>Booked</v>
      </c>
    </row>
    <row r="2776" spans="1:89" ht="15" customHeight="1" x14ac:dyDescent="0.25">
      <c r="A2776" s="111">
        <v>1051</v>
      </c>
      <c r="B2776" s="128" t="str">
        <f t="shared" si="2015"/>
        <v>N</v>
      </c>
      <c r="C2776" s="128" t="str">
        <f t="shared" si="2016"/>
        <v>N</v>
      </c>
      <c r="D2776" s="117">
        <v>2603766</v>
      </c>
      <c r="E2776" s="135">
        <f t="shared" si="2017"/>
        <v>2</v>
      </c>
      <c r="F2776" s="124">
        <v>40947</v>
      </c>
      <c r="G2776" s="125">
        <v>41068</v>
      </c>
      <c r="H2776" s="117">
        <v>2603766</v>
      </c>
      <c r="I2776" s="124">
        <v>40948</v>
      </c>
      <c r="J2776" s="124">
        <v>40948</v>
      </c>
      <c r="K2776" s="126">
        <v>30000</v>
      </c>
      <c r="L2776" s="129" t="s">
        <v>572</v>
      </c>
      <c r="M2776" s="125">
        <v>40948</v>
      </c>
      <c r="N2776" s="129" t="str">
        <f t="shared" si="2035"/>
        <v>Y</v>
      </c>
      <c r="O2776" s="128" t="s">
        <v>585</v>
      </c>
      <c r="P2776" s="129" t="s">
        <v>589</v>
      </c>
      <c r="Q2776" s="111">
        <f t="shared" si="2034"/>
        <v>1</v>
      </c>
      <c r="R2776" s="111">
        <f t="shared" si="2006"/>
        <v>122</v>
      </c>
      <c r="S2776" s="129">
        <v>0</v>
      </c>
      <c r="T2776" s="129">
        <v>0</v>
      </c>
      <c r="W2776" s="111"/>
      <c r="AB2776" s="131" t="s">
        <v>112</v>
      </c>
      <c r="AC2776" s="130"/>
      <c r="AD2776" s="130">
        <v>34476</v>
      </c>
      <c r="AE2776" s="128" t="s">
        <v>32</v>
      </c>
      <c r="AF2776" s="128" t="s">
        <v>40</v>
      </c>
      <c r="AG2776" s="128" t="s">
        <v>41</v>
      </c>
      <c r="AH2776" s="108" t="s">
        <v>31</v>
      </c>
      <c r="AI2776" s="128" t="s">
        <v>113</v>
      </c>
      <c r="AJ2776" s="129" t="s">
        <v>48</v>
      </c>
      <c r="AK2776" s="129">
        <v>8</v>
      </c>
      <c r="AL2776" s="3" t="s">
        <v>48</v>
      </c>
      <c r="AP2776" s="129" t="s">
        <v>105</v>
      </c>
      <c r="AR2776" s="128" t="s">
        <v>92</v>
      </c>
      <c r="AS2776" s="129" t="s">
        <v>106</v>
      </c>
      <c r="BC2776" s="129" t="s">
        <v>52</v>
      </c>
      <c r="BF2776" s="111">
        <f t="shared" si="2036"/>
        <v>1</v>
      </c>
      <c r="BG2776" s="111">
        <f t="shared" si="2037"/>
        <v>121</v>
      </c>
      <c r="BH2776" s="111">
        <f t="shared" si="2007"/>
        <v>122</v>
      </c>
      <c r="BI2776" s="111">
        <f t="shared" si="2009"/>
        <v>17.680327868852459</v>
      </c>
      <c r="BJ2776" s="129">
        <f>(G2776-J2776)+(M2776-G2776)</f>
        <v>0</v>
      </c>
      <c r="BK2776" s="129">
        <f t="shared" si="2008"/>
        <v>-120</v>
      </c>
      <c r="BL2776" s="129" t="str">
        <f t="shared" si="2005"/>
        <v>DEFERRED</v>
      </c>
      <c r="BM2776" s="129" t="s">
        <v>76</v>
      </c>
      <c r="BN2776" s="129" t="s">
        <v>88</v>
      </c>
      <c r="BP2776" s="137" t="str">
        <f t="shared" si="2010"/>
        <v>DEFERRED</v>
      </c>
      <c r="BQ2776" s="128" t="str">
        <f t="shared" si="2019"/>
        <v>Y</v>
      </c>
      <c r="BR2776" s="129" t="str">
        <f t="shared" si="2020"/>
        <v>ON BOND</v>
      </c>
      <c r="BS2776" s="129" t="str">
        <f t="shared" si="2011"/>
        <v>DISPOSED</v>
      </c>
      <c r="BT2776" s="129" t="str">
        <f t="shared" si="2012"/>
        <v>N</v>
      </c>
      <c r="BU2776" s="109">
        <f t="shared" si="2013"/>
        <v>8.1967213114754103E-3</v>
      </c>
      <c r="BV2776" s="109">
        <f t="shared" si="2021"/>
        <v>8.2644628099173556E-3</v>
      </c>
      <c r="BW2776" s="109">
        <f t="shared" si="2031"/>
        <v>6.7741498441945339E-5</v>
      </c>
      <c r="BX2776" s="111">
        <f t="shared" si="2014"/>
        <v>0</v>
      </c>
      <c r="BY2776" s="129">
        <f t="shared" si="2022"/>
        <v>-1</v>
      </c>
      <c r="BZ2776" s="111">
        <f t="shared" si="2023"/>
        <v>0</v>
      </c>
      <c r="CA2776" s="138">
        <f t="shared" si="2024"/>
        <v>1</v>
      </c>
      <c r="CB2776" s="111" t="e">
        <f t="shared" si="2038"/>
        <v>#VALUE!</v>
      </c>
      <c r="CC2776" s="129">
        <f>M2776-I2776+1</f>
        <v>1</v>
      </c>
      <c r="CD2776" s="111">
        <f>CC2776-BF2776</f>
        <v>0</v>
      </c>
      <c r="CG2776" s="129" t="str">
        <f t="shared" si="2025"/>
        <v>N</v>
      </c>
      <c r="CI2776" s="129" t="str">
        <f t="shared" si="2026"/>
        <v>0-10 DAYS</v>
      </c>
      <c r="CJ2776" s="137">
        <f t="shared" si="2027"/>
        <v>1</v>
      </c>
      <c r="CK2776" s="129" t="str">
        <f t="shared" si="2028"/>
        <v>Booked</v>
      </c>
    </row>
    <row r="2777" spans="1:89" ht="15" customHeight="1" x14ac:dyDescent="0.25">
      <c r="A2777" s="111">
        <v>1063</v>
      </c>
      <c r="B2777" s="128" t="str">
        <f t="shared" si="2015"/>
        <v>N</v>
      </c>
      <c r="C2777" s="128" t="str">
        <f t="shared" si="2016"/>
        <v>N</v>
      </c>
      <c r="D2777" s="117">
        <v>2603805</v>
      </c>
      <c r="E2777" s="135">
        <f t="shared" si="2017"/>
        <v>6</v>
      </c>
      <c r="F2777" s="124">
        <v>40948</v>
      </c>
      <c r="G2777" s="125">
        <v>41053</v>
      </c>
      <c r="H2777" s="117">
        <v>2603805</v>
      </c>
      <c r="I2777" s="124">
        <v>40949</v>
      </c>
      <c r="J2777" s="124">
        <v>41053</v>
      </c>
      <c r="K2777" s="126">
        <v>180000</v>
      </c>
      <c r="L2777" s="129" t="s">
        <v>572</v>
      </c>
      <c r="N2777" s="129" t="str">
        <f t="shared" si="2035"/>
        <v>N</v>
      </c>
      <c r="O2777" s="128" t="s">
        <v>917</v>
      </c>
      <c r="P2777" s="129" t="s">
        <v>39</v>
      </c>
      <c r="Q2777" s="111">
        <f t="shared" si="2034"/>
        <v>105</v>
      </c>
      <c r="R2777" s="111">
        <f t="shared" si="2006"/>
        <v>106</v>
      </c>
      <c r="S2777" s="129">
        <v>0</v>
      </c>
      <c r="T2777" s="129">
        <v>0</v>
      </c>
      <c r="W2777" s="111"/>
      <c r="AB2777" s="131" t="s">
        <v>112</v>
      </c>
      <c r="AC2777" s="130"/>
      <c r="AD2777" s="130">
        <v>32106</v>
      </c>
      <c r="AE2777" s="128" t="s">
        <v>32</v>
      </c>
      <c r="AF2777" s="128" t="s">
        <v>40</v>
      </c>
      <c r="AG2777" s="128" t="s">
        <v>41</v>
      </c>
      <c r="AH2777" s="108" t="s">
        <v>31</v>
      </c>
      <c r="AI2777" s="128" t="s">
        <v>47</v>
      </c>
      <c r="AJ2777" s="129" t="s">
        <v>89</v>
      </c>
      <c r="AK2777" s="129">
        <v>5</v>
      </c>
      <c r="AL2777" s="3" t="s">
        <v>362</v>
      </c>
      <c r="AM2777" s="117">
        <v>5</v>
      </c>
      <c r="AP2777" s="129" t="s">
        <v>132</v>
      </c>
      <c r="AR2777" s="128" t="s">
        <v>92</v>
      </c>
      <c r="AS2777" s="129" t="s">
        <v>82</v>
      </c>
      <c r="BC2777" s="129" t="s">
        <v>38</v>
      </c>
      <c r="BF2777" s="111">
        <f t="shared" si="2036"/>
        <v>105</v>
      </c>
      <c r="BG2777" s="111">
        <f t="shared" si="2037"/>
        <v>105</v>
      </c>
      <c r="BH2777" s="111">
        <f t="shared" si="2007"/>
        <v>106</v>
      </c>
      <c r="BI2777" s="111">
        <f t="shared" si="2009"/>
        <v>24.15846994535519</v>
      </c>
      <c r="BJ2777" s="129">
        <f>G2777-J2777-M2777</f>
        <v>0</v>
      </c>
      <c r="BK2777" s="129">
        <f t="shared" si="2008"/>
        <v>0</v>
      </c>
      <c r="BL2777" s="129" t="str">
        <f t="shared" si="2005"/>
        <v>CONVICTION</v>
      </c>
      <c r="BM2777" s="129" t="str">
        <f>O2777</f>
        <v>NONE</v>
      </c>
      <c r="BN2777" s="129" t="s">
        <v>566</v>
      </c>
      <c r="BP2777" s="137" t="str">
        <f t="shared" si="2010"/>
        <v>CONVICTION</v>
      </c>
      <c r="BQ2777" s="128" t="str">
        <f t="shared" si="2019"/>
        <v>Y</v>
      </c>
      <c r="BR2777" s="129" t="str">
        <f t="shared" si="2020"/>
        <v>DETAINED</v>
      </c>
      <c r="BS2777" s="129" t="str">
        <f t="shared" si="2011"/>
        <v>DISPOSED</v>
      </c>
      <c r="BT2777" s="129" t="str">
        <f t="shared" si="2012"/>
        <v>N</v>
      </c>
      <c r="BU2777" s="109">
        <f t="shared" si="2013"/>
        <v>0.99056603773584906</v>
      </c>
      <c r="BV2777" s="109">
        <f t="shared" si="2021"/>
        <v>1</v>
      </c>
      <c r="BW2777" s="109">
        <f t="shared" si="2031"/>
        <v>9.4339622641509413E-3</v>
      </c>
      <c r="BX2777" s="111">
        <f t="shared" si="2014"/>
        <v>0</v>
      </c>
      <c r="BY2777" s="129">
        <f t="shared" si="2022"/>
        <v>-105</v>
      </c>
      <c r="BZ2777" s="111">
        <f t="shared" si="2023"/>
        <v>0</v>
      </c>
      <c r="CA2777" s="138">
        <f t="shared" si="2024"/>
        <v>105</v>
      </c>
      <c r="CB2777" s="111" t="e">
        <f t="shared" si="2038"/>
        <v>#VALUE!</v>
      </c>
      <c r="CC2777" s="129">
        <f>G2777-I2777+1</f>
        <v>105</v>
      </c>
      <c r="CD2777" s="129">
        <f>G2777-J2777</f>
        <v>0</v>
      </c>
      <c r="CG2777" s="129" t="str">
        <f t="shared" si="2025"/>
        <v>N</v>
      </c>
      <c r="CI2777" s="129" t="str">
        <f t="shared" si="2026"/>
        <v>91-120 DAYS</v>
      </c>
      <c r="CJ2777" s="137">
        <f t="shared" si="2027"/>
        <v>0</v>
      </c>
      <c r="CK2777" s="129" t="str">
        <f t="shared" si="2028"/>
        <v>Booked</v>
      </c>
    </row>
    <row r="2778" spans="1:89" ht="15.75" customHeight="1" x14ac:dyDescent="0.25">
      <c r="A2778" s="111">
        <v>1065</v>
      </c>
      <c r="B2778" s="128" t="str">
        <f t="shared" si="2015"/>
        <v>N</v>
      </c>
      <c r="C2778" s="128" t="str">
        <f t="shared" si="2016"/>
        <v>N</v>
      </c>
      <c r="D2778" s="117">
        <v>2603806</v>
      </c>
      <c r="E2778" s="135">
        <f t="shared" si="2017"/>
        <v>2</v>
      </c>
      <c r="F2778" s="124">
        <v>40948</v>
      </c>
      <c r="G2778" s="125">
        <v>40949</v>
      </c>
      <c r="H2778" s="117">
        <v>2603806</v>
      </c>
      <c r="I2778" s="124">
        <v>40948</v>
      </c>
      <c r="J2778" s="124">
        <v>40949</v>
      </c>
      <c r="K2778" s="126">
        <v>2000</v>
      </c>
      <c r="L2778" s="127" t="s">
        <v>568</v>
      </c>
      <c r="N2778" s="129" t="str">
        <f t="shared" si="2035"/>
        <v>N</v>
      </c>
      <c r="O2778" s="128" t="s">
        <v>917</v>
      </c>
      <c r="P2778" s="129" t="s">
        <v>589</v>
      </c>
      <c r="Q2778" s="111">
        <f t="shared" si="2034"/>
        <v>2</v>
      </c>
      <c r="R2778" s="111">
        <f t="shared" si="2006"/>
        <v>2</v>
      </c>
      <c r="S2778" s="129">
        <v>0</v>
      </c>
      <c r="T2778" s="129">
        <v>0</v>
      </c>
      <c r="W2778" s="111"/>
      <c r="AC2778" s="130"/>
      <c r="AD2778" s="130">
        <v>20526</v>
      </c>
      <c r="AE2778" s="128" t="s">
        <v>46</v>
      </c>
      <c r="AF2778" s="128" t="s">
        <v>33</v>
      </c>
      <c r="AG2778" s="128" t="s">
        <v>872</v>
      </c>
      <c r="AH2778" s="108" t="s">
        <v>31</v>
      </c>
      <c r="AI2778" s="128" t="s">
        <v>141</v>
      </c>
      <c r="AJ2778" s="129" t="s">
        <v>48</v>
      </c>
      <c r="AK2778" s="129">
        <v>1</v>
      </c>
      <c r="AL2778" s="3" t="s">
        <v>48</v>
      </c>
      <c r="AP2778" s="129" t="s">
        <v>43</v>
      </c>
      <c r="AR2778" s="128" t="s">
        <v>44</v>
      </c>
      <c r="AS2778" s="129" t="s">
        <v>45</v>
      </c>
      <c r="BC2778" s="129" t="s">
        <v>38</v>
      </c>
      <c r="BF2778" s="111">
        <f t="shared" si="2036"/>
        <v>2</v>
      </c>
      <c r="BG2778" s="111">
        <f t="shared" si="2037"/>
        <v>2</v>
      </c>
      <c r="BH2778" s="111">
        <f t="shared" si="2007"/>
        <v>2</v>
      </c>
      <c r="BI2778" s="111">
        <f t="shared" si="2009"/>
        <v>55.797814207650276</v>
      </c>
      <c r="BJ2778" s="129">
        <f>G2778-J2778-M2778</f>
        <v>0</v>
      </c>
      <c r="BK2778" s="129">
        <f t="shared" si="2008"/>
        <v>0</v>
      </c>
      <c r="BL2778" s="129" t="str">
        <f t="shared" si="2005"/>
        <v>DEFERRED</v>
      </c>
      <c r="BM2778" s="129" t="str">
        <f>O2778</f>
        <v>NONE</v>
      </c>
      <c r="BN2778" s="129" t="s">
        <v>566</v>
      </c>
      <c r="BP2778" s="137" t="str">
        <f t="shared" si="2010"/>
        <v>DEFERRED</v>
      </c>
      <c r="BQ2778" s="128" t="str">
        <f t="shared" si="2019"/>
        <v>Y</v>
      </c>
      <c r="BR2778" s="129" t="str">
        <f t="shared" si="2020"/>
        <v>DETAINED</v>
      </c>
      <c r="BS2778" s="129" t="str">
        <f t="shared" si="2011"/>
        <v>DISPOSED</v>
      </c>
      <c r="BT2778" s="129" t="str">
        <f t="shared" si="2012"/>
        <v>N</v>
      </c>
      <c r="BU2778" s="109">
        <f t="shared" si="2013"/>
        <v>1</v>
      </c>
      <c r="BV2778" s="109">
        <f t="shared" si="2021"/>
        <v>1</v>
      </c>
      <c r="BW2778" s="109">
        <f t="shared" si="2031"/>
        <v>0</v>
      </c>
      <c r="BX2778" s="111">
        <f t="shared" si="2014"/>
        <v>0</v>
      </c>
      <c r="BY2778" s="129">
        <f t="shared" si="2022"/>
        <v>-2</v>
      </c>
      <c r="BZ2778" s="111">
        <f t="shared" si="2023"/>
        <v>0</v>
      </c>
      <c r="CA2778" s="138">
        <f t="shared" si="2024"/>
        <v>2</v>
      </c>
      <c r="CB2778" s="111" t="e">
        <f t="shared" si="2038"/>
        <v>#VALUE!</v>
      </c>
      <c r="CC2778" s="129">
        <f>G2778-I2778+1</f>
        <v>2</v>
      </c>
      <c r="CD2778" s="129">
        <f>G2778-J2778</f>
        <v>0</v>
      </c>
      <c r="CG2778" s="129" t="str">
        <f t="shared" si="2025"/>
        <v>N</v>
      </c>
      <c r="CI2778" s="129" t="str">
        <f t="shared" si="2026"/>
        <v>0-10 DAYS</v>
      </c>
      <c r="CJ2778" s="137">
        <f t="shared" si="2027"/>
        <v>1</v>
      </c>
      <c r="CK2778" s="129" t="str">
        <f t="shared" si="2028"/>
        <v>Booked</v>
      </c>
    </row>
    <row r="2779" spans="1:89" ht="15.75" customHeight="1" x14ac:dyDescent="0.25">
      <c r="A2779" s="111">
        <v>1068</v>
      </c>
      <c r="B2779" s="128" t="str">
        <f t="shared" si="2015"/>
        <v>N</v>
      </c>
      <c r="C2779" s="128" t="str">
        <f t="shared" si="2016"/>
        <v>N</v>
      </c>
      <c r="D2779" s="117">
        <v>2603809</v>
      </c>
      <c r="E2779" s="135">
        <f t="shared" si="2017"/>
        <v>1</v>
      </c>
      <c r="F2779" s="124">
        <v>40948</v>
      </c>
      <c r="G2779" s="125">
        <v>41312</v>
      </c>
      <c r="H2779" s="117">
        <v>2603809</v>
      </c>
      <c r="I2779" s="124">
        <v>40954</v>
      </c>
      <c r="J2779" s="124">
        <v>40971</v>
      </c>
      <c r="K2779" s="126">
        <v>15000</v>
      </c>
      <c r="L2779" s="127" t="s">
        <v>571</v>
      </c>
      <c r="M2779" s="125">
        <v>40971</v>
      </c>
      <c r="N2779" s="129" t="str">
        <f t="shared" si="2035"/>
        <v>Y</v>
      </c>
      <c r="O2779" s="128" t="s">
        <v>76</v>
      </c>
      <c r="P2779" s="129" t="s">
        <v>55</v>
      </c>
      <c r="Q2779" s="111">
        <f t="shared" si="2034"/>
        <v>18</v>
      </c>
      <c r="R2779" s="111">
        <f t="shared" si="2006"/>
        <v>365</v>
      </c>
      <c r="S2779" s="129">
        <v>0</v>
      </c>
      <c r="T2779" s="129">
        <v>0</v>
      </c>
      <c r="W2779" s="111"/>
      <c r="AC2779" s="130"/>
      <c r="AD2779" s="130">
        <v>27860</v>
      </c>
      <c r="AE2779" s="128" t="s">
        <v>32</v>
      </c>
      <c r="AF2779" s="128" t="s">
        <v>33</v>
      </c>
      <c r="AG2779" s="128" t="s">
        <v>872</v>
      </c>
      <c r="AH2779" s="108" t="s">
        <v>31</v>
      </c>
      <c r="AI2779" s="128" t="s">
        <v>34</v>
      </c>
      <c r="AJ2779" s="129" t="s">
        <v>55</v>
      </c>
      <c r="AK2779" s="129">
        <v>15</v>
      </c>
      <c r="AL2779" s="3" t="s">
        <v>55</v>
      </c>
      <c r="AP2779" s="129" t="s">
        <v>281</v>
      </c>
      <c r="AR2779" s="128" t="s">
        <v>50</v>
      </c>
      <c r="AS2779" s="129" t="s">
        <v>64</v>
      </c>
      <c r="BC2779" s="129" t="s">
        <v>52</v>
      </c>
      <c r="BF2779" s="111">
        <f t="shared" si="2036"/>
        <v>18</v>
      </c>
      <c r="BG2779" s="111">
        <f t="shared" si="2037"/>
        <v>359</v>
      </c>
      <c r="BH2779" s="111">
        <f t="shared" si="2007"/>
        <v>365</v>
      </c>
      <c r="BI2779" s="111">
        <f t="shared" si="2009"/>
        <v>35.759562841530055</v>
      </c>
      <c r="BJ2779" s="129">
        <f>(G2779-J2779)+(M2779-G2779)</f>
        <v>0</v>
      </c>
      <c r="BK2779" s="129">
        <f t="shared" si="2008"/>
        <v>-341</v>
      </c>
      <c r="BL2779" s="129" t="str">
        <f t="shared" si="2005"/>
        <v>NO CONVICTION</v>
      </c>
      <c r="BM2779" s="129" t="s">
        <v>76</v>
      </c>
      <c r="BN2779" s="129" t="s">
        <v>88</v>
      </c>
      <c r="BP2779" s="137" t="str">
        <f t="shared" si="2010"/>
        <v>NO CONVICTION</v>
      </c>
      <c r="BQ2779" s="128" t="str">
        <f t="shared" si="2019"/>
        <v>Y</v>
      </c>
      <c r="BR2779" s="129" t="str">
        <f t="shared" si="2020"/>
        <v>ON BOND</v>
      </c>
      <c r="BS2779" s="129" t="str">
        <f t="shared" si="2011"/>
        <v>DISPOSED</v>
      </c>
      <c r="BT2779" s="129" t="str">
        <f t="shared" si="2012"/>
        <v>N</v>
      </c>
      <c r="BU2779" s="109">
        <f>IFERROR(Q2779/R2779,BR2779)</f>
        <v>4.9315068493150684E-2</v>
      </c>
      <c r="BV2779" s="109">
        <f t="shared" si="2021"/>
        <v>5.0139275766016712E-2</v>
      </c>
      <c r="BW2779" s="109">
        <f t="shared" si="2031"/>
        <v>8.242072728660288E-4</v>
      </c>
      <c r="BX2779" s="111">
        <f t="shared" si="2014"/>
        <v>0</v>
      </c>
      <c r="BY2779" s="129">
        <f t="shared" si="2022"/>
        <v>-18</v>
      </c>
      <c r="BZ2779" s="111">
        <f t="shared" si="2023"/>
        <v>0</v>
      </c>
      <c r="CA2779" s="138">
        <f t="shared" si="2024"/>
        <v>18</v>
      </c>
      <c r="CB2779" s="111" t="e">
        <f t="shared" si="2038"/>
        <v>#VALUE!</v>
      </c>
      <c r="CC2779" s="129">
        <f>M2779-I2779+1</f>
        <v>18</v>
      </c>
      <c r="CD2779" s="111">
        <f>CC2779-BF2779</f>
        <v>0</v>
      </c>
      <c r="CG2779" s="129" t="str">
        <f t="shared" si="2025"/>
        <v>N</v>
      </c>
      <c r="CI2779" s="129" t="str">
        <f t="shared" si="2026"/>
        <v>11-30 DAYS</v>
      </c>
      <c r="CJ2779" s="137">
        <f t="shared" si="2027"/>
        <v>2</v>
      </c>
      <c r="CK2779" s="129" t="str">
        <f t="shared" si="2028"/>
        <v>Booked</v>
      </c>
    </row>
    <row r="2780" spans="1:89" ht="15" customHeight="1" x14ac:dyDescent="0.25">
      <c r="A2780" s="111">
        <v>1070</v>
      </c>
      <c r="B2780" s="128" t="str">
        <f t="shared" si="2015"/>
        <v>N</v>
      </c>
      <c r="C2780" s="128" t="str">
        <f t="shared" si="2016"/>
        <v>N</v>
      </c>
      <c r="D2780" s="117">
        <v>2603824</v>
      </c>
      <c r="E2780" s="135">
        <f t="shared" si="2017"/>
        <v>4</v>
      </c>
      <c r="F2780" s="124">
        <v>40948</v>
      </c>
      <c r="G2780" s="125">
        <v>40952</v>
      </c>
      <c r="H2780" s="117">
        <v>2603824</v>
      </c>
      <c r="I2780" s="124">
        <v>40948</v>
      </c>
      <c r="J2780" s="124">
        <v>40952</v>
      </c>
      <c r="K2780" s="126">
        <v>2000</v>
      </c>
      <c r="L2780" s="127" t="s">
        <v>568</v>
      </c>
      <c r="N2780" s="129" t="str">
        <f t="shared" si="2035"/>
        <v>N</v>
      </c>
      <c r="O2780" s="128" t="s">
        <v>917</v>
      </c>
      <c r="P2780" s="129" t="s">
        <v>39</v>
      </c>
      <c r="Q2780" s="111">
        <f t="shared" si="2034"/>
        <v>5</v>
      </c>
      <c r="R2780" s="111">
        <f t="shared" si="2006"/>
        <v>5</v>
      </c>
      <c r="S2780" s="129">
        <v>0</v>
      </c>
      <c r="T2780" s="129">
        <v>0</v>
      </c>
      <c r="W2780" s="111"/>
      <c r="AC2780" s="130"/>
      <c r="AD2780" s="130">
        <v>33258</v>
      </c>
      <c r="AE2780" s="128" t="s">
        <v>32</v>
      </c>
      <c r="AF2780" s="128" t="s">
        <v>69</v>
      </c>
      <c r="AG2780" s="128" t="s">
        <v>874</v>
      </c>
      <c r="AH2780" s="108" t="s">
        <v>31</v>
      </c>
      <c r="AI2780" s="128" t="s">
        <v>62</v>
      </c>
      <c r="AJ2780" s="129" t="s">
        <v>89</v>
      </c>
      <c r="AK2780" s="129">
        <v>2</v>
      </c>
      <c r="AL2780" s="3" t="s">
        <v>991</v>
      </c>
      <c r="AO2780" s="128">
        <v>30</v>
      </c>
      <c r="AP2780" s="129" t="s">
        <v>43</v>
      </c>
      <c r="AR2780" s="128" t="s">
        <v>44</v>
      </c>
      <c r="AS2780" s="129" t="s">
        <v>45</v>
      </c>
      <c r="BC2780" s="129" t="s">
        <v>38</v>
      </c>
      <c r="BF2780" s="111">
        <f t="shared" si="2036"/>
        <v>5</v>
      </c>
      <c r="BG2780" s="111">
        <f t="shared" si="2037"/>
        <v>5</v>
      </c>
      <c r="BH2780" s="111">
        <f t="shared" si="2007"/>
        <v>5</v>
      </c>
      <c r="BI2780" s="111">
        <f t="shared" si="2009"/>
        <v>21.010928961748633</v>
      </c>
      <c r="BJ2780" s="129">
        <f>G2780-J2780-M2780</f>
        <v>0</v>
      </c>
      <c r="BK2780" s="129">
        <f t="shared" si="2008"/>
        <v>0</v>
      </c>
      <c r="BL2780" s="129" t="str">
        <f t="shared" si="2005"/>
        <v>CONVICTION</v>
      </c>
      <c r="BM2780" s="129" t="str">
        <f>O2780</f>
        <v>NONE</v>
      </c>
      <c r="BN2780" s="129" t="s">
        <v>566</v>
      </c>
      <c r="BP2780" s="137" t="str">
        <f t="shared" si="2010"/>
        <v>CONVICTION</v>
      </c>
      <c r="BQ2780" s="128" t="str">
        <f t="shared" si="2019"/>
        <v>Y</v>
      </c>
      <c r="BR2780" s="129" t="str">
        <f t="shared" si="2020"/>
        <v>DETAINED</v>
      </c>
      <c r="BS2780" s="129" t="str">
        <f t="shared" si="2011"/>
        <v>DISPOSED</v>
      </c>
      <c r="BT2780" s="129" t="str">
        <f t="shared" si="2012"/>
        <v>N</v>
      </c>
      <c r="BU2780" s="109">
        <f t="shared" si="2013"/>
        <v>1</v>
      </c>
      <c r="BV2780" s="109">
        <f t="shared" si="2021"/>
        <v>1</v>
      </c>
      <c r="BW2780" s="109">
        <f t="shared" si="2031"/>
        <v>0</v>
      </c>
      <c r="BX2780" s="111">
        <f t="shared" si="2014"/>
        <v>0</v>
      </c>
      <c r="BY2780" s="129">
        <f t="shared" si="2022"/>
        <v>-5</v>
      </c>
      <c r="BZ2780" s="111">
        <f t="shared" si="2023"/>
        <v>0</v>
      </c>
      <c r="CA2780" s="138">
        <f t="shared" si="2024"/>
        <v>5</v>
      </c>
      <c r="CB2780" s="111" t="e">
        <f t="shared" si="2038"/>
        <v>#VALUE!</v>
      </c>
      <c r="CC2780" s="129">
        <f>G2780-I2780+1</f>
        <v>5</v>
      </c>
      <c r="CD2780" s="129">
        <f>G2780-J2780</f>
        <v>0</v>
      </c>
      <c r="CG2780" s="129" t="str">
        <f t="shared" si="2025"/>
        <v>N</v>
      </c>
      <c r="CI2780" s="129" t="str">
        <f t="shared" si="2026"/>
        <v>0-10 DAYS</v>
      </c>
      <c r="CJ2780" s="137">
        <f t="shared" si="2027"/>
        <v>1</v>
      </c>
      <c r="CK2780" s="129" t="str">
        <f t="shared" si="2028"/>
        <v>Booked</v>
      </c>
    </row>
    <row r="2781" spans="1:89" ht="15.75" customHeight="1" x14ac:dyDescent="0.25">
      <c r="A2781" s="111">
        <v>1071</v>
      </c>
      <c r="B2781" s="128" t="str">
        <f t="shared" si="2015"/>
        <v>N</v>
      </c>
      <c r="C2781" s="128" t="str">
        <f t="shared" si="2016"/>
        <v>N</v>
      </c>
      <c r="D2781" s="117">
        <v>2603834</v>
      </c>
      <c r="E2781" s="135">
        <f t="shared" si="2017"/>
        <v>1</v>
      </c>
      <c r="F2781" s="124">
        <v>40948</v>
      </c>
      <c r="G2781" s="125">
        <v>40980</v>
      </c>
      <c r="H2781" s="117">
        <v>2603834</v>
      </c>
      <c r="I2781" s="124" t="s">
        <v>562</v>
      </c>
      <c r="J2781" s="124" t="s">
        <v>562</v>
      </c>
      <c r="K2781" s="126">
        <v>30000</v>
      </c>
      <c r="L2781" s="129" t="s">
        <v>572</v>
      </c>
      <c r="M2781" s="125">
        <v>40949</v>
      </c>
      <c r="N2781" s="129" t="str">
        <f>IF(M2781&gt;1/1/1,"Y",IF(Q2781="0","","N"))</f>
        <v>Y</v>
      </c>
      <c r="O2781" s="128" t="s">
        <v>76</v>
      </c>
      <c r="P2781" s="129" t="s">
        <v>55</v>
      </c>
      <c r="Q2781" s="111">
        <f t="shared" si="2034"/>
        <v>0</v>
      </c>
      <c r="R2781" s="111">
        <f t="shared" si="2006"/>
        <v>33</v>
      </c>
      <c r="S2781" s="129">
        <v>0</v>
      </c>
      <c r="T2781" s="129">
        <v>0</v>
      </c>
      <c r="W2781" s="111"/>
      <c r="AC2781" s="130"/>
      <c r="AD2781" s="130">
        <v>30027</v>
      </c>
      <c r="AE2781" s="128" t="s">
        <v>46</v>
      </c>
      <c r="AF2781" s="128" t="s">
        <v>33</v>
      </c>
      <c r="AG2781" s="128" t="s">
        <v>872</v>
      </c>
      <c r="AH2781" s="108" t="s">
        <v>31</v>
      </c>
      <c r="AI2781" s="128" t="s">
        <v>97</v>
      </c>
      <c r="AJ2781" s="129" t="s">
        <v>55</v>
      </c>
      <c r="AK2781" s="129">
        <v>3</v>
      </c>
      <c r="AL2781" s="3" t="s">
        <v>55</v>
      </c>
      <c r="AP2781" s="129" t="s">
        <v>73</v>
      </c>
      <c r="AR2781" s="128" t="s">
        <v>50</v>
      </c>
      <c r="AS2781" s="129" t="s">
        <v>74</v>
      </c>
      <c r="AT2781" s="3" t="s">
        <v>282</v>
      </c>
      <c r="BC2781" s="129" t="s">
        <v>52</v>
      </c>
      <c r="BF2781" s="111">
        <v>0</v>
      </c>
      <c r="BG2781" s="111">
        <v>0</v>
      </c>
      <c r="BH2781" s="111">
        <f t="shared" si="2007"/>
        <v>33</v>
      </c>
      <c r="BI2781" s="111">
        <f t="shared" si="2009"/>
        <v>29.838797814207652</v>
      </c>
      <c r="BJ2781" s="129" t="e">
        <f>(G2781-J2781)+(M2781-G2781)</f>
        <v>#VALUE!</v>
      </c>
      <c r="BK2781" s="129" t="e">
        <f t="shared" si="2008"/>
        <v>#VALUE!</v>
      </c>
      <c r="BL2781" s="129" t="str">
        <f t="shared" si="2005"/>
        <v>NO CONVICTION</v>
      </c>
      <c r="BM2781" s="129" t="s">
        <v>76</v>
      </c>
      <c r="BN2781" s="129" t="s">
        <v>88</v>
      </c>
      <c r="BP2781" s="137" t="str">
        <f t="shared" si="2010"/>
        <v>NO CONVICTION</v>
      </c>
      <c r="BQ2781" s="128">
        <f t="shared" si="2019"/>
        <v>0</v>
      </c>
      <c r="BR2781" s="129" t="s">
        <v>575</v>
      </c>
      <c r="BS2781" s="129" t="str">
        <f t="shared" si="2011"/>
        <v>DISPOSED</v>
      </c>
      <c r="BT2781" s="129" t="str">
        <f t="shared" si="2012"/>
        <v>N</v>
      </c>
      <c r="BU2781" s="109">
        <f>IFERROR(Q2781/R2781,BR2781)</f>
        <v>0</v>
      </c>
      <c r="BV2781" s="109">
        <v>0</v>
      </c>
      <c r="BW2781" s="109">
        <f t="shared" si="2031"/>
        <v>0</v>
      </c>
      <c r="BX2781" s="111">
        <f t="shared" si="2014"/>
        <v>0</v>
      </c>
      <c r="BY2781" s="129" t="e">
        <f t="shared" si="2022"/>
        <v>#VALUE!</v>
      </c>
      <c r="BZ2781" s="111" t="e">
        <f t="shared" si="2023"/>
        <v>#VALUE!</v>
      </c>
      <c r="CA2781" s="138" t="e">
        <f t="shared" si="2024"/>
        <v>#VALUE!</v>
      </c>
      <c r="CB2781" s="111">
        <v>0</v>
      </c>
      <c r="CC2781" s="129">
        <v>0</v>
      </c>
      <c r="CD2781" s="111">
        <f>CC2781-BF2781</f>
        <v>0</v>
      </c>
      <c r="CG2781" s="129" t="str">
        <f t="shared" si="2025"/>
        <v>N</v>
      </c>
      <c r="CI2781" s="129" t="str">
        <f t="shared" si="2026"/>
        <v>0-10 DAYS</v>
      </c>
      <c r="CJ2781" s="137">
        <f t="shared" si="2027"/>
        <v>1</v>
      </c>
      <c r="CK2781" s="129" t="str">
        <f t="shared" si="2028"/>
        <v>Not Booked</v>
      </c>
    </row>
    <row r="2782" spans="1:89" ht="15" customHeight="1" x14ac:dyDescent="0.25">
      <c r="A2782" s="111">
        <v>1074</v>
      </c>
      <c r="B2782" s="128" t="str">
        <f t="shared" si="2015"/>
        <v>N</v>
      </c>
      <c r="C2782" s="128" t="str">
        <f t="shared" si="2016"/>
        <v>Y</v>
      </c>
      <c r="D2782" s="114">
        <v>2603872</v>
      </c>
      <c r="E2782" s="135">
        <f t="shared" si="2017"/>
        <v>6</v>
      </c>
      <c r="F2782" s="124">
        <v>40948</v>
      </c>
      <c r="G2782" s="125">
        <v>42090</v>
      </c>
      <c r="H2782" s="114">
        <v>2603872</v>
      </c>
      <c r="I2782" s="124">
        <v>41514</v>
      </c>
      <c r="J2782" s="124">
        <v>41018</v>
      </c>
      <c r="K2782" s="126">
        <v>10000</v>
      </c>
      <c r="L2782" s="127" t="s">
        <v>570</v>
      </c>
      <c r="M2782" s="125">
        <v>41018</v>
      </c>
      <c r="N2782" s="129" t="str">
        <f>IF(M2782&gt;1/1/1,"Y",IF(Q2782="NOT BOOKED","","N"))</f>
        <v>Y</v>
      </c>
      <c r="O2782" s="128" t="s">
        <v>76</v>
      </c>
      <c r="P2782" s="129" t="s">
        <v>39</v>
      </c>
      <c r="Q2782" s="111">
        <v>576</v>
      </c>
      <c r="R2782" s="111">
        <f t="shared" si="2006"/>
        <v>1143</v>
      </c>
      <c r="S2782" s="129">
        <v>0</v>
      </c>
      <c r="T2782" s="129">
        <v>0</v>
      </c>
      <c r="W2782" s="111"/>
      <c r="AC2782" s="130"/>
      <c r="AD2782" s="130">
        <v>28882</v>
      </c>
      <c r="AE2782" s="128" t="s">
        <v>32</v>
      </c>
      <c r="AF2782" s="128" t="s">
        <v>33</v>
      </c>
      <c r="AG2782" s="128" t="s">
        <v>872</v>
      </c>
      <c r="AH2782" s="108" t="s">
        <v>31</v>
      </c>
      <c r="AI2782" s="128" t="s">
        <v>141</v>
      </c>
      <c r="AJ2782" s="129" t="s">
        <v>89</v>
      </c>
      <c r="AK2782" s="129">
        <v>25</v>
      </c>
      <c r="AL2782" s="3" t="s">
        <v>362</v>
      </c>
      <c r="AM2782" s="117">
        <v>4</v>
      </c>
      <c r="AP2782" s="129" t="s">
        <v>223</v>
      </c>
      <c r="AR2782" s="128" t="s">
        <v>50</v>
      </c>
      <c r="AS2782" s="129" t="s">
        <v>74</v>
      </c>
      <c r="AT2782" s="32" t="s">
        <v>1397</v>
      </c>
      <c r="AV2782" s="3" t="s">
        <v>88</v>
      </c>
      <c r="AW2782" s="125">
        <v>41205</v>
      </c>
      <c r="AY2782" s="123"/>
      <c r="AZ2782" s="140"/>
      <c r="BA2782" s="129" t="s">
        <v>1254</v>
      </c>
      <c r="BB2782" s="129">
        <v>541.92999999999995</v>
      </c>
      <c r="BC2782" s="129" t="s">
        <v>38</v>
      </c>
      <c r="BF2782" s="111">
        <v>576</v>
      </c>
      <c r="BG2782" s="111">
        <f>IF(G2782&gt;1/1/1900,((G2782+1)-I2782),"STILL OPEN")</f>
        <v>577</v>
      </c>
      <c r="BH2782" s="111">
        <f t="shared" si="2007"/>
        <v>1143</v>
      </c>
      <c r="BI2782" s="111">
        <f t="shared" si="2009"/>
        <v>32.967213114754095</v>
      </c>
      <c r="BJ2782" s="129">
        <f>G2782-J2782</f>
        <v>1072</v>
      </c>
      <c r="BK2782" s="129">
        <f t="shared" si="2008"/>
        <v>-1072</v>
      </c>
      <c r="BL2782" s="129" t="str">
        <f t="shared" si="2005"/>
        <v>CONVICTION</v>
      </c>
      <c r="BM2782" s="129" t="s">
        <v>76</v>
      </c>
      <c r="BN2782" s="129" t="s">
        <v>88</v>
      </c>
      <c r="BP2782" s="137" t="str">
        <f t="shared" si="2010"/>
        <v>CONVICTION</v>
      </c>
      <c r="BQ2782" s="128" t="str">
        <f t="shared" si="2019"/>
        <v>Y</v>
      </c>
      <c r="BR2782" s="129" t="s">
        <v>574</v>
      </c>
      <c r="BS2782" s="129" t="s">
        <v>1259</v>
      </c>
      <c r="BT2782" s="129" t="str">
        <f t="shared" si="2012"/>
        <v>N</v>
      </c>
      <c r="BU2782" s="109">
        <f>IFERROR(Q2782/R2782,BR2782)</f>
        <v>0.50393700787401574</v>
      </c>
      <c r="BV2782" s="139">
        <v>0.50390000000000001</v>
      </c>
      <c r="BW2782" s="109">
        <v>0</v>
      </c>
      <c r="BX2782" s="111">
        <f t="shared" si="2014"/>
        <v>0</v>
      </c>
      <c r="BY2782" s="129">
        <f t="shared" si="2022"/>
        <v>495</v>
      </c>
      <c r="BZ2782" s="111">
        <f t="shared" si="2023"/>
        <v>1071</v>
      </c>
      <c r="CA2782" s="138">
        <f t="shared" si="2024"/>
        <v>577</v>
      </c>
      <c r="CB2782" s="111" t="e">
        <f t="shared" ref="CB2782" si="2039">IF(AF2782&gt;1/1/1900,((AF2782+1)-AE2782),"STILL OPEN")</f>
        <v>#VALUE!</v>
      </c>
      <c r="CC2782" s="129">
        <v>576</v>
      </c>
      <c r="CG2782" s="129" t="str">
        <f t="shared" si="2025"/>
        <v>N</v>
      </c>
      <c r="CH2782" s="129" t="e">
        <v>#N/A</v>
      </c>
      <c r="CI2782" s="129" t="str">
        <f t="shared" si="2026"/>
        <v xml:space="preserve"> &gt;1YRS&lt;2YRS</v>
      </c>
      <c r="CJ2782" s="137">
        <f t="shared" si="2027"/>
        <v>0</v>
      </c>
      <c r="CK2782" s="129" t="str">
        <f t="shared" si="2028"/>
        <v>Booked</v>
      </c>
    </row>
    <row r="2783" spans="1:89" ht="15.75" customHeight="1" x14ac:dyDescent="0.25">
      <c r="A2783" s="111">
        <v>1094</v>
      </c>
      <c r="B2783" s="128" t="str">
        <f t="shared" si="2015"/>
        <v>Y</v>
      </c>
      <c r="C2783" s="128" t="str">
        <f t="shared" si="2016"/>
        <v>N</v>
      </c>
      <c r="D2783" s="117">
        <v>2603952</v>
      </c>
      <c r="E2783" s="135">
        <f t="shared" si="2017"/>
        <v>1</v>
      </c>
      <c r="F2783" s="124">
        <v>40948</v>
      </c>
      <c r="G2783" s="125">
        <v>40952</v>
      </c>
      <c r="H2783" s="117">
        <v>2603952</v>
      </c>
      <c r="I2783" s="124">
        <v>40949</v>
      </c>
      <c r="J2783" s="124">
        <v>40952</v>
      </c>
      <c r="K2783" s="126">
        <v>10000</v>
      </c>
      <c r="L2783" s="127" t="s">
        <v>570</v>
      </c>
      <c r="N2783" s="129" t="str">
        <f>IF(M2783&gt;1/1/1,"Y","N")</f>
        <v>N</v>
      </c>
      <c r="O2783" s="128" t="s">
        <v>917</v>
      </c>
      <c r="P2783" s="129" t="s">
        <v>55</v>
      </c>
      <c r="Q2783" s="111">
        <f t="shared" ref="Q2783:Q2814" si="2040">BF2783</f>
        <v>4</v>
      </c>
      <c r="R2783" s="111">
        <f t="shared" si="2006"/>
        <v>5</v>
      </c>
      <c r="S2783" s="129">
        <v>0</v>
      </c>
      <c r="T2783" s="129">
        <v>0</v>
      </c>
      <c r="W2783" s="111"/>
      <c r="AC2783" s="130"/>
      <c r="AD2783" s="130">
        <v>34380</v>
      </c>
      <c r="AE2783" s="128" t="s">
        <v>32</v>
      </c>
      <c r="AF2783" s="128" t="s">
        <v>33</v>
      </c>
      <c r="AG2783" s="128" t="s">
        <v>872</v>
      </c>
      <c r="AH2783" s="108" t="s">
        <v>31</v>
      </c>
      <c r="AI2783" s="128" t="s">
        <v>90</v>
      </c>
      <c r="AJ2783" s="129" t="s">
        <v>55</v>
      </c>
      <c r="AK2783" s="129">
        <v>1</v>
      </c>
      <c r="AL2783" s="3" t="s">
        <v>55</v>
      </c>
      <c r="AP2783" s="129" t="s">
        <v>56</v>
      </c>
      <c r="AR2783" s="128" t="s">
        <v>50</v>
      </c>
      <c r="AS2783" s="129" t="s">
        <v>57</v>
      </c>
      <c r="AT2783" s="129" t="s">
        <v>284</v>
      </c>
      <c r="BC2783" s="129" t="s">
        <v>79</v>
      </c>
      <c r="BD2783" s="129" t="s">
        <v>1242</v>
      </c>
      <c r="BF2783" s="111">
        <f>IF(J2783&gt;1/1/1900,((J2783+1)-I2783),"STILL OPEN")</f>
        <v>4</v>
      </c>
      <c r="BG2783" s="111">
        <f>IF(G2783&gt;1/1/1900,((G2783+1)-I2783),"STILL OPEN")</f>
        <v>4</v>
      </c>
      <c r="BH2783" s="111">
        <f t="shared" si="2007"/>
        <v>5</v>
      </c>
      <c r="BI2783" s="111">
        <f t="shared" si="2009"/>
        <v>17.94535519125683</v>
      </c>
      <c r="BJ2783" s="129">
        <f>G2783-J2783-M2783</f>
        <v>0</v>
      </c>
      <c r="BK2783" s="129">
        <f t="shared" si="2008"/>
        <v>0</v>
      </c>
      <c r="BL2783" s="129" t="str">
        <f t="shared" si="2005"/>
        <v>NO CONVICTION</v>
      </c>
      <c r="BM2783" s="129" t="str">
        <f>O2783</f>
        <v>NONE</v>
      </c>
      <c r="BN2783" s="129" t="s">
        <v>566</v>
      </c>
      <c r="BP2783" s="137" t="str">
        <f t="shared" si="2010"/>
        <v>NO CONVICTION</v>
      </c>
      <c r="BQ2783" s="128" t="str">
        <f t="shared" si="2019"/>
        <v>Y</v>
      </c>
      <c r="BR2783" s="129" t="str">
        <f t="shared" si="2020"/>
        <v>DETAINED</v>
      </c>
      <c r="BS2783" s="129" t="str">
        <f t="shared" si="2011"/>
        <v>DISPOSED</v>
      </c>
      <c r="BT2783" s="129" t="str">
        <f t="shared" si="2012"/>
        <v>N</v>
      </c>
      <c r="BU2783" s="109">
        <f>IFERROR(Q2783/R2783,BR2783)</f>
        <v>0.8</v>
      </c>
      <c r="BV2783" s="109">
        <f t="shared" si="2021"/>
        <v>1</v>
      </c>
      <c r="BW2783" s="109">
        <f t="shared" ref="BW2783:BW2846" si="2041">BV2783-BU2783</f>
        <v>0.19999999999999996</v>
      </c>
      <c r="BX2783" s="111">
        <f t="shared" si="2014"/>
        <v>0</v>
      </c>
      <c r="BY2783" s="129">
        <f t="shared" si="2022"/>
        <v>-4</v>
      </c>
      <c r="BZ2783" s="111">
        <f t="shared" si="2023"/>
        <v>0</v>
      </c>
      <c r="CA2783" s="138">
        <f t="shared" si="2024"/>
        <v>4</v>
      </c>
      <c r="CB2783" s="111" t="e">
        <f>IF(AF2783&gt;1/1/1900,((AF2783+1)-AE2783),"STILL OPEN")</f>
        <v>#VALUE!</v>
      </c>
      <c r="CC2783" s="129">
        <f>G2783-I2783+1</f>
        <v>4</v>
      </c>
      <c r="CD2783" s="129">
        <f>G2783-J2783</f>
        <v>0</v>
      </c>
      <c r="CG2783" s="129" t="str">
        <f t="shared" si="2025"/>
        <v>N</v>
      </c>
      <c r="CI2783" s="129" t="str">
        <f t="shared" si="2026"/>
        <v>0-10 DAYS</v>
      </c>
      <c r="CJ2783" s="137">
        <f t="shared" si="2027"/>
        <v>1</v>
      </c>
      <c r="CK2783" s="129" t="str">
        <f t="shared" si="2028"/>
        <v>Booked</v>
      </c>
    </row>
    <row r="2784" spans="1:89" ht="15.75" customHeight="1" x14ac:dyDescent="0.25">
      <c r="A2784" s="111">
        <v>1092</v>
      </c>
      <c r="B2784" s="128" t="str">
        <f t="shared" si="2015"/>
        <v>N</v>
      </c>
      <c r="C2784" s="128" t="str">
        <f t="shared" si="2016"/>
        <v>N</v>
      </c>
      <c r="D2784" s="117">
        <v>2603954</v>
      </c>
      <c r="E2784" s="135">
        <f t="shared" si="2017"/>
        <v>6</v>
      </c>
      <c r="F2784" s="124">
        <v>40948</v>
      </c>
      <c r="G2784" s="125">
        <v>40952</v>
      </c>
      <c r="H2784" s="117">
        <v>2603954</v>
      </c>
      <c r="I2784" s="124">
        <v>40949</v>
      </c>
      <c r="J2784" s="124">
        <v>40952</v>
      </c>
      <c r="K2784" s="126">
        <v>30000</v>
      </c>
      <c r="L2784" s="129" t="s">
        <v>572</v>
      </c>
      <c r="N2784" s="129" t="str">
        <f>IF(M2784&gt;1/1/1,"Y","N")</f>
        <v>N</v>
      </c>
      <c r="O2784" s="128" t="s">
        <v>917</v>
      </c>
      <c r="P2784" s="129" t="s">
        <v>39</v>
      </c>
      <c r="Q2784" s="111">
        <f t="shared" si="2040"/>
        <v>4</v>
      </c>
      <c r="R2784" s="111">
        <f t="shared" si="2006"/>
        <v>5</v>
      </c>
      <c r="S2784" s="129">
        <v>0</v>
      </c>
      <c r="T2784" s="129">
        <v>0</v>
      </c>
      <c r="W2784" s="111"/>
      <c r="AB2784" s="131" t="s">
        <v>112</v>
      </c>
      <c r="AC2784" s="130"/>
      <c r="AD2784" s="130">
        <v>28476</v>
      </c>
      <c r="AE2784" s="128" t="s">
        <v>32</v>
      </c>
      <c r="AF2784" s="128" t="s">
        <v>40</v>
      </c>
      <c r="AG2784" s="128" t="s">
        <v>41</v>
      </c>
      <c r="AH2784" s="108" t="s">
        <v>31</v>
      </c>
      <c r="AI2784" s="128" t="s">
        <v>113</v>
      </c>
      <c r="AJ2784" s="129" t="s">
        <v>89</v>
      </c>
      <c r="AK2784" s="129">
        <v>1</v>
      </c>
      <c r="AL2784" s="3" t="s">
        <v>362</v>
      </c>
      <c r="AM2784" s="117">
        <v>2</v>
      </c>
      <c r="AP2784" s="129" t="s">
        <v>262</v>
      </c>
      <c r="AR2784" s="128" t="s">
        <v>50</v>
      </c>
      <c r="AS2784" s="129" t="s">
        <v>64</v>
      </c>
      <c r="BC2784" s="129" t="s">
        <v>52</v>
      </c>
      <c r="BF2784" s="111">
        <f>IF(J2784&gt;1/1/1900,((J2784+1)-I2784),"STILL OPEN")</f>
        <v>4</v>
      </c>
      <c r="BG2784" s="111">
        <f>IF(G2784&gt;1/1/1900,((G2784+1)-I2784),"STILL OPEN")</f>
        <v>4</v>
      </c>
      <c r="BH2784" s="111">
        <f t="shared" si="2007"/>
        <v>5</v>
      </c>
      <c r="BI2784" s="111">
        <f t="shared" si="2009"/>
        <v>34.076502732240435</v>
      </c>
      <c r="BJ2784" s="129">
        <f>G2784-J2784-M2784</f>
        <v>0</v>
      </c>
      <c r="BK2784" s="129">
        <f t="shared" si="2008"/>
        <v>0</v>
      </c>
      <c r="BL2784" s="129" t="str">
        <f t="shared" si="2005"/>
        <v>CONVICTION</v>
      </c>
      <c r="BM2784" s="129" t="str">
        <f>O2784</f>
        <v>NONE</v>
      </c>
      <c r="BN2784" s="129" t="s">
        <v>566</v>
      </c>
      <c r="BP2784" s="137" t="str">
        <f t="shared" si="2010"/>
        <v>CONVICTION</v>
      </c>
      <c r="BQ2784" s="128" t="str">
        <f t="shared" si="2019"/>
        <v>Y</v>
      </c>
      <c r="BR2784" s="129" t="str">
        <f t="shared" si="2020"/>
        <v>DETAINED</v>
      </c>
      <c r="BS2784" s="129" t="str">
        <f t="shared" si="2011"/>
        <v>DISPOSED</v>
      </c>
      <c r="BT2784" s="129" t="str">
        <f t="shared" si="2012"/>
        <v>N</v>
      </c>
      <c r="BU2784" s="109">
        <f t="shared" si="2013"/>
        <v>0.8</v>
      </c>
      <c r="BV2784" s="109">
        <f t="shared" si="2021"/>
        <v>1</v>
      </c>
      <c r="BW2784" s="109">
        <f t="shared" si="2041"/>
        <v>0.19999999999999996</v>
      </c>
      <c r="BX2784" s="111">
        <f t="shared" si="2014"/>
        <v>0</v>
      </c>
      <c r="BY2784" s="129">
        <f t="shared" si="2022"/>
        <v>-4</v>
      </c>
      <c r="BZ2784" s="111">
        <f t="shared" si="2023"/>
        <v>0</v>
      </c>
      <c r="CA2784" s="138">
        <f t="shared" si="2024"/>
        <v>4</v>
      </c>
      <c r="CB2784" s="111" t="e">
        <f>IF(AF2784&gt;1/1/1900,((AF2784+1)-AE2784),"STILL OPEN")</f>
        <v>#VALUE!</v>
      </c>
      <c r="CC2784" s="129">
        <f>G2784-I2784+1</f>
        <v>4</v>
      </c>
      <c r="CD2784" s="129">
        <f>G2784-J2784</f>
        <v>0</v>
      </c>
      <c r="CG2784" s="129" t="str">
        <f t="shared" si="2025"/>
        <v>N</v>
      </c>
      <c r="CI2784" s="129" t="str">
        <f t="shared" si="2026"/>
        <v>0-10 DAYS</v>
      </c>
      <c r="CJ2784" s="137">
        <f t="shared" si="2027"/>
        <v>1</v>
      </c>
      <c r="CK2784" s="129" t="str">
        <f t="shared" si="2028"/>
        <v>Booked</v>
      </c>
    </row>
    <row r="2785" spans="1:89" ht="15.75" customHeight="1" x14ac:dyDescent="0.25">
      <c r="A2785" s="111">
        <v>1093</v>
      </c>
      <c r="B2785" s="128" t="str">
        <f t="shared" si="2015"/>
        <v>N</v>
      </c>
      <c r="C2785" s="128" t="str">
        <f t="shared" si="2016"/>
        <v>N</v>
      </c>
      <c r="D2785" s="117">
        <v>2603955</v>
      </c>
      <c r="E2785" s="135">
        <f t="shared" si="2017"/>
        <v>2</v>
      </c>
      <c r="F2785" s="124">
        <v>40948</v>
      </c>
      <c r="G2785" s="125">
        <v>41030</v>
      </c>
      <c r="H2785" s="117">
        <v>2603955</v>
      </c>
      <c r="I2785" s="124">
        <v>40949</v>
      </c>
      <c r="J2785" s="124">
        <v>40976</v>
      </c>
      <c r="K2785" s="126">
        <v>10000</v>
      </c>
      <c r="L2785" s="127" t="s">
        <v>570</v>
      </c>
      <c r="M2785" s="125">
        <v>40976</v>
      </c>
      <c r="N2785" s="129" t="str">
        <f>IF(M2785&gt;1/1/1,"Y","N")</f>
        <v>Y</v>
      </c>
      <c r="O2785" s="128" t="s">
        <v>76</v>
      </c>
      <c r="P2785" s="129" t="s">
        <v>589</v>
      </c>
      <c r="Q2785" s="111">
        <f t="shared" si="2040"/>
        <v>28</v>
      </c>
      <c r="R2785" s="111">
        <f t="shared" si="2006"/>
        <v>83</v>
      </c>
      <c r="S2785" s="129">
        <v>0</v>
      </c>
      <c r="T2785" s="129">
        <v>0</v>
      </c>
      <c r="W2785" s="111"/>
      <c r="AC2785" s="130"/>
      <c r="AD2785" s="130">
        <v>34249</v>
      </c>
      <c r="AE2785" s="128" t="s">
        <v>32</v>
      </c>
      <c r="AF2785" s="128" t="s">
        <v>33</v>
      </c>
      <c r="AG2785" s="128" t="s">
        <v>872</v>
      </c>
      <c r="AH2785" s="108" t="s">
        <v>31</v>
      </c>
      <c r="AI2785" s="128" t="s">
        <v>90</v>
      </c>
      <c r="AJ2785" s="129" t="s">
        <v>48</v>
      </c>
      <c r="AK2785" s="129">
        <v>5</v>
      </c>
      <c r="AL2785" s="3" t="s">
        <v>48</v>
      </c>
      <c r="AP2785" s="129" t="s">
        <v>56</v>
      </c>
      <c r="AR2785" s="128" t="s">
        <v>50</v>
      </c>
      <c r="AS2785" s="129" t="s">
        <v>57</v>
      </c>
      <c r="BC2785" s="129" t="s">
        <v>52</v>
      </c>
      <c r="BF2785" s="111">
        <f>IF(J2785&gt;1/1/1900,((J2785+1)-I2785),"STILL OPEN")</f>
        <v>28</v>
      </c>
      <c r="BG2785" s="111">
        <f>IF(G2785&gt;1/1/1900,((G2785+1)-I2785),"STILL OPEN")</f>
        <v>82</v>
      </c>
      <c r="BH2785" s="111">
        <f t="shared" si="2007"/>
        <v>83</v>
      </c>
      <c r="BI2785" s="111">
        <f t="shared" si="2009"/>
        <v>18.303278688524589</v>
      </c>
      <c r="BJ2785" s="129">
        <f>(G2785-J2785)+(M2785-G2785)</f>
        <v>0</v>
      </c>
      <c r="BK2785" s="129">
        <f t="shared" si="2008"/>
        <v>-54</v>
      </c>
      <c r="BL2785" s="129" t="str">
        <f t="shared" si="2005"/>
        <v>DEFERRED</v>
      </c>
      <c r="BM2785" s="129" t="s">
        <v>76</v>
      </c>
      <c r="BN2785" s="129" t="s">
        <v>88</v>
      </c>
      <c r="BP2785" s="137" t="str">
        <f t="shared" si="2010"/>
        <v>DEFERRED</v>
      </c>
      <c r="BQ2785" s="128" t="str">
        <f t="shared" si="2019"/>
        <v>Y</v>
      </c>
      <c r="BR2785" s="129" t="str">
        <f t="shared" si="2020"/>
        <v>ON BOND</v>
      </c>
      <c r="BS2785" s="129" t="str">
        <f t="shared" si="2011"/>
        <v>DISPOSED</v>
      </c>
      <c r="BT2785" s="129" t="str">
        <f t="shared" si="2012"/>
        <v>N</v>
      </c>
      <c r="BU2785" s="109">
        <f t="shared" si="2013"/>
        <v>0.33734939759036142</v>
      </c>
      <c r="BV2785" s="109">
        <f t="shared" si="2021"/>
        <v>0.34146341463414637</v>
      </c>
      <c r="BW2785" s="109">
        <f t="shared" si="2041"/>
        <v>4.1140170437849455E-3</v>
      </c>
      <c r="BX2785" s="111">
        <f t="shared" si="2014"/>
        <v>0</v>
      </c>
      <c r="BY2785" s="129">
        <f t="shared" si="2022"/>
        <v>-28</v>
      </c>
      <c r="BZ2785" s="111">
        <f t="shared" si="2023"/>
        <v>0</v>
      </c>
      <c r="CA2785" s="138">
        <f t="shared" si="2024"/>
        <v>28</v>
      </c>
      <c r="CB2785" s="111" t="e">
        <f>IF(AF2785&gt;1/1/1900,((AF2785+1)-AE2785),"STILL OPEN")</f>
        <v>#VALUE!</v>
      </c>
      <c r="CC2785" s="129">
        <f>M2785-I2785+1</f>
        <v>28</v>
      </c>
      <c r="CD2785" s="111">
        <f>CC2785-BF2785</f>
        <v>0</v>
      </c>
      <c r="CG2785" s="129" t="str">
        <f t="shared" si="2025"/>
        <v>N</v>
      </c>
      <c r="CI2785" s="129" t="str">
        <f t="shared" si="2026"/>
        <v>11-30 DAYS</v>
      </c>
      <c r="CJ2785" s="137">
        <f t="shared" si="2027"/>
        <v>2</v>
      </c>
      <c r="CK2785" s="129" t="str">
        <f t="shared" si="2028"/>
        <v>Booked</v>
      </c>
    </row>
    <row r="2786" spans="1:89" ht="15.75" customHeight="1" x14ac:dyDescent="0.25">
      <c r="A2786" s="111">
        <v>1098</v>
      </c>
      <c r="B2786" s="128" t="str">
        <f t="shared" si="2015"/>
        <v>N</v>
      </c>
      <c r="C2786" s="128" t="str">
        <f t="shared" si="2016"/>
        <v>N</v>
      </c>
      <c r="D2786" s="117">
        <v>2603958</v>
      </c>
      <c r="E2786" s="135">
        <f t="shared" si="2017"/>
        <v>2</v>
      </c>
      <c r="F2786" s="124">
        <v>40948</v>
      </c>
      <c r="G2786" s="125">
        <v>41184</v>
      </c>
      <c r="H2786" s="117">
        <v>2603958</v>
      </c>
      <c r="I2786" s="124" t="s">
        <v>562</v>
      </c>
      <c r="J2786" s="124" t="s">
        <v>562</v>
      </c>
      <c r="K2786" s="126">
        <v>20000</v>
      </c>
      <c r="L2786" s="127" t="s">
        <v>571</v>
      </c>
      <c r="M2786" s="125">
        <v>40950</v>
      </c>
      <c r="N2786" s="129" t="str">
        <f>IF(M2786&gt;1/1/1,"Y",IF(Q2786="0","","N"))</f>
        <v>Y</v>
      </c>
      <c r="O2786" s="128" t="s">
        <v>76</v>
      </c>
      <c r="P2786" s="129" t="s">
        <v>589</v>
      </c>
      <c r="Q2786" s="111">
        <f t="shared" si="2040"/>
        <v>0</v>
      </c>
      <c r="R2786" s="111">
        <f t="shared" si="2006"/>
        <v>237</v>
      </c>
      <c r="S2786" s="129">
        <v>0</v>
      </c>
      <c r="T2786" s="129">
        <v>0</v>
      </c>
      <c r="W2786" s="111"/>
      <c r="AC2786" s="130"/>
      <c r="AD2786" s="130">
        <v>20212</v>
      </c>
      <c r="AE2786" s="128" t="s">
        <v>32</v>
      </c>
      <c r="AF2786" s="128" t="s">
        <v>69</v>
      </c>
      <c r="AG2786" s="128" t="s">
        <v>874</v>
      </c>
      <c r="AH2786" s="108" t="s">
        <v>31</v>
      </c>
      <c r="AI2786" s="128" t="s">
        <v>53</v>
      </c>
      <c r="AJ2786" s="129" t="s">
        <v>48</v>
      </c>
      <c r="AK2786" s="129">
        <v>13</v>
      </c>
      <c r="AL2786" s="3" t="s">
        <v>48</v>
      </c>
      <c r="AP2786" s="129" t="s">
        <v>188</v>
      </c>
      <c r="AR2786" s="128" t="s">
        <v>67</v>
      </c>
      <c r="AS2786" s="129" t="s">
        <v>64</v>
      </c>
      <c r="BC2786" s="129" t="s">
        <v>52</v>
      </c>
      <c r="BF2786" s="111">
        <v>0</v>
      </c>
      <c r="BG2786" s="111">
        <v>0</v>
      </c>
      <c r="BH2786" s="111">
        <f t="shared" si="2007"/>
        <v>237</v>
      </c>
      <c r="BI2786" s="111">
        <f t="shared" si="2009"/>
        <v>56.655737704918032</v>
      </c>
      <c r="BJ2786" s="129" t="e">
        <f>(G2786-J2786)+(M2786-G2786)</f>
        <v>#VALUE!</v>
      </c>
      <c r="BK2786" s="129" t="e">
        <f t="shared" si="2008"/>
        <v>#VALUE!</v>
      </c>
      <c r="BL2786" s="129" t="str">
        <f t="shared" si="2005"/>
        <v>DEFERRED</v>
      </c>
      <c r="BM2786" s="129" t="s">
        <v>76</v>
      </c>
      <c r="BN2786" s="129" t="s">
        <v>88</v>
      </c>
      <c r="BP2786" s="137" t="str">
        <f t="shared" si="2010"/>
        <v>DEFERRED</v>
      </c>
      <c r="BQ2786" s="128">
        <f t="shared" si="2019"/>
        <v>0</v>
      </c>
      <c r="BR2786" s="129" t="s">
        <v>575</v>
      </c>
      <c r="BS2786" s="129" t="str">
        <f t="shared" si="2011"/>
        <v>DISPOSED</v>
      </c>
      <c r="BT2786" s="129" t="str">
        <f t="shared" si="2012"/>
        <v>N</v>
      </c>
      <c r="BU2786" s="109">
        <f t="shared" si="2013"/>
        <v>0</v>
      </c>
      <c r="BV2786" s="109">
        <v>0</v>
      </c>
      <c r="BW2786" s="109">
        <f t="shared" si="2041"/>
        <v>0</v>
      </c>
      <c r="BX2786" s="111">
        <f t="shared" si="2014"/>
        <v>0</v>
      </c>
      <c r="BY2786" s="129" t="e">
        <f t="shared" si="2022"/>
        <v>#VALUE!</v>
      </c>
      <c r="BZ2786" s="111" t="e">
        <f t="shared" si="2023"/>
        <v>#VALUE!</v>
      </c>
      <c r="CA2786" s="138" t="e">
        <f t="shared" si="2024"/>
        <v>#VALUE!</v>
      </c>
      <c r="CB2786" s="111">
        <v>0</v>
      </c>
      <c r="CC2786" s="129">
        <v>0</v>
      </c>
      <c r="CD2786" s="111">
        <f>CC2786-BF2786</f>
        <v>0</v>
      </c>
      <c r="CG2786" s="129" t="str">
        <f t="shared" si="2025"/>
        <v>N</v>
      </c>
      <c r="CI2786" s="129" t="str">
        <f t="shared" si="2026"/>
        <v>0-10 DAYS</v>
      </c>
      <c r="CJ2786" s="137">
        <f t="shared" si="2027"/>
        <v>1</v>
      </c>
      <c r="CK2786" s="129" t="str">
        <f t="shared" si="2028"/>
        <v>Not Booked</v>
      </c>
    </row>
    <row r="2787" spans="1:89" ht="15" customHeight="1" x14ac:dyDescent="0.25">
      <c r="A2787" s="111">
        <v>1100</v>
      </c>
      <c r="B2787" s="128" t="str">
        <f t="shared" si="2015"/>
        <v>N</v>
      </c>
      <c r="C2787" s="128" t="str">
        <f t="shared" si="2016"/>
        <v>N</v>
      </c>
      <c r="D2787" s="117">
        <v>2603966</v>
      </c>
      <c r="E2787" s="135">
        <f t="shared" si="2017"/>
        <v>2</v>
      </c>
      <c r="F2787" s="124">
        <v>40948</v>
      </c>
      <c r="G2787" s="125">
        <v>41199</v>
      </c>
      <c r="H2787" s="117">
        <v>2603966</v>
      </c>
      <c r="I2787" s="124">
        <v>40949</v>
      </c>
      <c r="J2787" s="124">
        <v>40951</v>
      </c>
      <c r="K2787" s="126">
        <v>10000</v>
      </c>
      <c r="L2787" s="127" t="s">
        <v>570</v>
      </c>
      <c r="M2787" s="125">
        <v>40951</v>
      </c>
      <c r="N2787" s="129" t="str">
        <f t="shared" ref="N2787:N2792" si="2042">IF(M2787&gt;1/1/1,"Y","N")</f>
        <v>Y</v>
      </c>
      <c r="O2787" s="128" t="s">
        <v>76</v>
      </c>
      <c r="P2787" s="129" t="s">
        <v>589</v>
      </c>
      <c r="Q2787" s="111">
        <f t="shared" si="2040"/>
        <v>3</v>
      </c>
      <c r="R2787" s="111">
        <f t="shared" si="2006"/>
        <v>252</v>
      </c>
      <c r="S2787" s="129">
        <v>0</v>
      </c>
      <c r="T2787" s="129">
        <v>0</v>
      </c>
      <c r="W2787" s="111"/>
      <c r="AC2787" s="130"/>
      <c r="AD2787" s="130">
        <v>32441</v>
      </c>
      <c r="AE2787" s="128" t="s">
        <v>32</v>
      </c>
      <c r="AF2787" s="128" t="s">
        <v>69</v>
      </c>
      <c r="AG2787" s="128" t="s">
        <v>874</v>
      </c>
      <c r="AH2787" s="108" t="s">
        <v>58</v>
      </c>
      <c r="AI2787" s="128" t="s">
        <v>114</v>
      </c>
      <c r="AJ2787" s="129" t="s">
        <v>48</v>
      </c>
      <c r="AK2787" s="129">
        <v>9</v>
      </c>
      <c r="AL2787" s="3" t="s">
        <v>48</v>
      </c>
      <c r="AP2787" s="129" t="s">
        <v>286</v>
      </c>
      <c r="AR2787" s="128" t="s">
        <v>67</v>
      </c>
      <c r="AS2787" s="129" t="s">
        <v>64</v>
      </c>
      <c r="BC2787" s="129" t="s">
        <v>52</v>
      </c>
      <c r="BF2787" s="111">
        <f t="shared" ref="BF2787:BF2795" si="2043">IF(J2787&gt;1/1/1900,((J2787+1)-I2787),"STILL OPEN")</f>
        <v>3</v>
      </c>
      <c r="BG2787" s="111">
        <f t="shared" ref="BG2787:BG2795" si="2044">IF(G2787&gt;1/1/1900,((G2787+1)-I2787),"STILL OPEN")</f>
        <v>251</v>
      </c>
      <c r="BH2787" s="111">
        <f t="shared" si="2007"/>
        <v>252</v>
      </c>
      <c r="BI2787" s="111">
        <f t="shared" si="2009"/>
        <v>23.243169398907103</v>
      </c>
      <c r="BJ2787" s="129">
        <f>(G2787-J2787)+(M2787-G2787)</f>
        <v>0</v>
      </c>
      <c r="BK2787" s="129">
        <f t="shared" si="2008"/>
        <v>-248</v>
      </c>
      <c r="BL2787" s="129" t="str">
        <f t="shared" si="2005"/>
        <v>DEFERRED</v>
      </c>
      <c r="BM2787" s="129" t="s">
        <v>76</v>
      </c>
      <c r="BN2787" s="129" t="s">
        <v>88</v>
      </c>
      <c r="BP2787" s="137" t="str">
        <f t="shared" si="2010"/>
        <v>DEFERRED</v>
      </c>
      <c r="BQ2787" s="128" t="str">
        <f t="shared" si="2019"/>
        <v>Y</v>
      </c>
      <c r="BR2787" s="129" t="str">
        <f t="shared" si="2020"/>
        <v>ON BOND</v>
      </c>
      <c r="BS2787" s="129" t="str">
        <f t="shared" si="2011"/>
        <v>DISPOSED</v>
      </c>
      <c r="BT2787" s="129" t="str">
        <f t="shared" si="2012"/>
        <v>N</v>
      </c>
      <c r="BU2787" s="109">
        <f t="shared" si="2013"/>
        <v>1.1904761904761904E-2</v>
      </c>
      <c r="BV2787" s="109">
        <f t="shared" si="2021"/>
        <v>1.1952191235059761E-2</v>
      </c>
      <c r="BW2787" s="109">
        <f t="shared" si="2041"/>
        <v>4.7429330297856648E-5</v>
      </c>
      <c r="BX2787" s="111">
        <f t="shared" si="2014"/>
        <v>0</v>
      </c>
      <c r="BY2787" s="129">
        <f t="shared" si="2022"/>
        <v>-3</v>
      </c>
      <c r="BZ2787" s="111">
        <f t="shared" si="2023"/>
        <v>0</v>
      </c>
      <c r="CA2787" s="138">
        <f t="shared" si="2024"/>
        <v>3</v>
      </c>
      <c r="CB2787" s="111" t="e">
        <f t="shared" ref="CB2787:CB2795" si="2045">IF(AF2787&gt;1/1/1900,((AF2787+1)-AE2787),"STILL OPEN")</f>
        <v>#VALUE!</v>
      </c>
      <c r="CC2787" s="129">
        <f>M2787-I2787+1</f>
        <v>3</v>
      </c>
      <c r="CD2787" s="111">
        <f>CC2787-BF2787</f>
        <v>0</v>
      </c>
      <c r="CG2787" s="129" t="str">
        <f t="shared" si="2025"/>
        <v>N</v>
      </c>
      <c r="CI2787" s="129" t="str">
        <f t="shared" si="2026"/>
        <v>0-10 DAYS</v>
      </c>
      <c r="CJ2787" s="137">
        <f t="shared" si="2027"/>
        <v>1</v>
      </c>
      <c r="CK2787" s="129" t="str">
        <f t="shared" si="2028"/>
        <v>Booked</v>
      </c>
    </row>
    <row r="2788" spans="1:89" ht="15.75" customHeight="1" x14ac:dyDescent="0.25">
      <c r="A2788" s="111">
        <v>1101</v>
      </c>
      <c r="B2788" s="128" t="str">
        <f t="shared" si="2015"/>
        <v>N</v>
      </c>
      <c r="C2788" s="128" t="str">
        <f t="shared" si="2016"/>
        <v>N</v>
      </c>
      <c r="D2788" s="117">
        <v>2603967</v>
      </c>
      <c r="E2788" s="135">
        <f t="shared" si="2017"/>
        <v>4</v>
      </c>
      <c r="F2788" s="124">
        <v>40948</v>
      </c>
      <c r="G2788" s="125">
        <v>41247</v>
      </c>
      <c r="H2788" s="117">
        <v>2603967</v>
      </c>
      <c r="I2788" s="124">
        <v>40949</v>
      </c>
      <c r="J2788" s="124">
        <v>40953</v>
      </c>
      <c r="K2788" s="126">
        <v>10000</v>
      </c>
      <c r="L2788" s="127" t="s">
        <v>570</v>
      </c>
      <c r="M2788" s="125">
        <v>40953</v>
      </c>
      <c r="N2788" s="129" t="str">
        <f t="shared" si="2042"/>
        <v>Y</v>
      </c>
      <c r="O2788" s="128" t="s">
        <v>76</v>
      </c>
      <c r="P2788" s="129" t="s">
        <v>39</v>
      </c>
      <c r="Q2788" s="111">
        <f t="shared" si="2040"/>
        <v>5</v>
      </c>
      <c r="R2788" s="111">
        <f t="shared" si="2006"/>
        <v>300</v>
      </c>
      <c r="S2788" s="129">
        <v>0</v>
      </c>
      <c r="T2788" s="129">
        <v>0</v>
      </c>
      <c r="W2788" s="111"/>
      <c r="AC2788" s="130"/>
      <c r="AD2788" s="130">
        <v>23794</v>
      </c>
      <c r="AE2788" s="128" t="s">
        <v>32</v>
      </c>
      <c r="AF2788" s="128" t="s">
        <v>138</v>
      </c>
      <c r="AG2788" s="128" t="s">
        <v>873</v>
      </c>
      <c r="AH2788" s="108" t="s">
        <v>31</v>
      </c>
      <c r="AI2788" s="128" t="s">
        <v>85</v>
      </c>
      <c r="AJ2788" s="129" t="s">
        <v>89</v>
      </c>
      <c r="AK2788" s="129">
        <v>11</v>
      </c>
      <c r="AL2788" s="3" t="s">
        <v>991</v>
      </c>
      <c r="AO2788" s="128">
        <v>10</v>
      </c>
      <c r="AP2788" s="129" t="s">
        <v>287</v>
      </c>
      <c r="AR2788" s="128" t="s">
        <v>50</v>
      </c>
      <c r="AS2788" s="129" t="s">
        <v>45</v>
      </c>
      <c r="BC2788" s="129" t="s">
        <v>52</v>
      </c>
      <c r="BF2788" s="111">
        <f t="shared" si="2043"/>
        <v>5</v>
      </c>
      <c r="BG2788" s="111">
        <f t="shared" si="2044"/>
        <v>299</v>
      </c>
      <c r="BH2788" s="111">
        <f t="shared" si="2007"/>
        <v>300</v>
      </c>
      <c r="BI2788" s="111">
        <f t="shared" si="2009"/>
        <v>46.868852459016395</v>
      </c>
      <c r="BJ2788" s="129">
        <f>(G2788-J2788)+(M2788-G2788)</f>
        <v>0</v>
      </c>
      <c r="BK2788" s="129">
        <f t="shared" si="2008"/>
        <v>-294</v>
      </c>
      <c r="BL2788" s="129" t="str">
        <f t="shared" si="2005"/>
        <v>CONVICTION</v>
      </c>
      <c r="BM2788" s="129" t="s">
        <v>76</v>
      </c>
      <c r="BN2788" s="129" t="s">
        <v>88</v>
      </c>
      <c r="BP2788" s="137" t="str">
        <f t="shared" si="2010"/>
        <v>CONVICTION</v>
      </c>
      <c r="BQ2788" s="128" t="str">
        <f t="shared" si="2019"/>
        <v>Y</v>
      </c>
      <c r="BR2788" s="129" t="str">
        <f>IF(J2788&lt;G2788,"ON BOND",0)</f>
        <v>ON BOND</v>
      </c>
      <c r="BS2788" s="129" t="str">
        <f t="shared" si="2011"/>
        <v>DISPOSED</v>
      </c>
      <c r="BT2788" s="129" t="str">
        <f t="shared" si="2012"/>
        <v>N</v>
      </c>
      <c r="BU2788" s="109">
        <f t="shared" si="2013"/>
        <v>1.6666666666666666E-2</v>
      </c>
      <c r="BV2788" s="109">
        <f t="shared" si="2021"/>
        <v>1.6722408026755852E-2</v>
      </c>
      <c r="BW2788" s="109">
        <f t="shared" si="2041"/>
        <v>5.5741360089185676E-5</v>
      </c>
      <c r="BX2788" s="111">
        <f t="shared" si="2014"/>
        <v>0</v>
      </c>
      <c r="BY2788" s="129">
        <f t="shared" si="2022"/>
        <v>-5</v>
      </c>
      <c r="BZ2788" s="111">
        <f t="shared" si="2023"/>
        <v>0</v>
      </c>
      <c r="CA2788" s="138">
        <f t="shared" si="2024"/>
        <v>5</v>
      </c>
      <c r="CB2788" s="111" t="e">
        <f t="shared" si="2045"/>
        <v>#VALUE!</v>
      </c>
      <c r="CC2788" s="129">
        <f>M2788-I2788+1</f>
        <v>5</v>
      </c>
      <c r="CD2788" s="111">
        <f>CC2788-BF2788</f>
        <v>0</v>
      </c>
      <c r="CG2788" s="129" t="str">
        <f t="shared" si="2025"/>
        <v>N</v>
      </c>
      <c r="CI2788" s="129" t="str">
        <f t="shared" si="2026"/>
        <v>0-10 DAYS</v>
      </c>
      <c r="CJ2788" s="137">
        <f t="shared" si="2027"/>
        <v>1</v>
      </c>
      <c r="CK2788" s="129" t="str">
        <f t="shared" si="2028"/>
        <v>Booked</v>
      </c>
    </row>
    <row r="2789" spans="1:89" ht="15.75" customHeight="1" x14ac:dyDescent="0.25">
      <c r="A2789" s="111">
        <v>1102</v>
      </c>
      <c r="B2789" s="128" t="str">
        <f t="shared" si="2015"/>
        <v>N</v>
      </c>
      <c r="C2789" s="128" t="str">
        <f t="shared" si="2016"/>
        <v>N</v>
      </c>
      <c r="D2789" s="117">
        <v>2603972</v>
      </c>
      <c r="E2789" s="135">
        <f t="shared" si="2017"/>
        <v>6</v>
      </c>
      <c r="F2789" s="124">
        <v>40949</v>
      </c>
      <c r="G2789" s="125">
        <v>41136</v>
      </c>
      <c r="H2789" s="117">
        <v>2603972</v>
      </c>
      <c r="I2789" s="124">
        <v>40949</v>
      </c>
      <c r="J2789" s="124">
        <v>41136</v>
      </c>
      <c r="K2789" s="126">
        <v>40000</v>
      </c>
      <c r="L2789" s="129" t="s">
        <v>572</v>
      </c>
      <c r="N2789" s="129" t="str">
        <f t="shared" si="2042"/>
        <v>N</v>
      </c>
      <c r="O2789" s="128" t="s">
        <v>917</v>
      </c>
      <c r="P2789" s="129" t="s">
        <v>39</v>
      </c>
      <c r="Q2789" s="111">
        <f t="shared" si="2040"/>
        <v>188</v>
      </c>
      <c r="R2789" s="111">
        <f t="shared" si="2006"/>
        <v>188</v>
      </c>
      <c r="S2789" s="129">
        <v>0</v>
      </c>
      <c r="T2789" s="129">
        <v>0</v>
      </c>
      <c r="W2789" s="111"/>
      <c r="AB2789" s="131" t="s">
        <v>112</v>
      </c>
      <c r="AC2789" s="130"/>
      <c r="AD2789" s="130">
        <v>16966</v>
      </c>
      <c r="AE2789" s="128" t="s">
        <v>32</v>
      </c>
      <c r="AF2789" s="128" t="s">
        <v>40</v>
      </c>
      <c r="AG2789" s="128" t="s">
        <v>41</v>
      </c>
      <c r="AH2789" s="108" t="s">
        <v>31</v>
      </c>
      <c r="AI2789" s="128" t="s">
        <v>72</v>
      </c>
      <c r="AJ2789" s="129" t="s">
        <v>89</v>
      </c>
      <c r="AK2789" s="129">
        <v>8</v>
      </c>
      <c r="AL2789" s="3" t="s">
        <v>362</v>
      </c>
      <c r="AM2789" s="117">
        <v>10</v>
      </c>
      <c r="AP2789" s="129" t="s">
        <v>129</v>
      </c>
      <c r="AR2789" s="128" t="s">
        <v>92</v>
      </c>
      <c r="AS2789" s="129" t="s">
        <v>126</v>
      </c>
      <c r="BC2789" s="129" t="s">
        <v>52</v>
      </c>
      <c r="BF2789" s="111">
        <f t="shared" si="2043"/>
        <v>188</v>
      </c>
      <c r="BG2789" s="111">
        <f t="shared" si="2044"/>
        <v>188</v>
      </c>
      <c r="BH2789" s="111">
        <f t="shared" si="2007"/>
        <v>188</v>
      </c>
      <c r="BI2789" s="111">
        <f t="shared" si="2009"/>
        <v>65.527322404371589</v>
      </c>
      <c r="BJ2789" s="129">
        <f>G2789-J2789-M2789</f>
        <v>0</v>
      </c>
      <c r="BK2789" s="129">
        <f t="shared" si="2008"/>
        <v>0</v>
      </c>
      <c r="BL2789" s="129" t="str">
        <f t="shared" si="2005"/>
        <v>CONVICTION</v>
      </c>
      <c r="BM2789" s="129" t="str">
        <f>O2789</f>
        <v>NONE</v>
      </c>
      <c r="BN2789" s="129" t="s">
        <v>566</v>
      </c>
      <c r="BP2789" s="137" t="str">
        <f t="shared" si="2010"/>
        <v>CONVICTION</v>
      </c>
      <c r="BQ2789" s="128" t="str">
        <f t="shared" si="2019"/>
        <v>Y</v>
      </c>
      <c r="BR2789" s="129" t="str">
        <f t="shared" si="2020"/>
        <v>DETAINED</v>
      </c>
      <c r="BS2789" s="129" t="str">
        <f t="shared" si="2011"/>
        <v>DISPOSED</v>
      </c>
      <c r="BT2789" s="129" t="str">
        <f t="shared" si="2012"/>
        <v>N</v>
      </c>
      <c r="BU2789" s="109">
        <f t="shared" si="2013"/>
        <v>1</v>
      </c>
      <c r="BV2789" s="109">
        <f t="shared" si="2021"/>
        <v>1</v>
      </c>
      <c r="BW2789" s="109">
        <f t="shared" si="2041"/>
        <v>0</v>
      </c>
      <c r="BX2789" s="111">
        <f t="shared" si="2014"/>
        <v>0</v>
      </c>
      <c r="BY2789" s="129">
        <f t="shared" si="2022"/>
        <v>-188</v>
      </c>
      <c r="BZ2789" s="111">
        <f t="shared" si="2023"/>
        <v>0</v>
      </c>
      <c r="CA2789" s="138">
        <f t="shared" si="2024"/>
        <v>188</v>
      </c>
      <c r="CB2789" s="111" t="e">
        <f t="shared" si="2045"/>
        <v>#VALUE!</v>
      </c>
      <c r="CC2789" s="129">
        <f>G2789-I2789+1</f>
        <v>188</v>
      </c>
      <c r="CD2789" s="129">
        <f>G2789-J2789</f>
        <v>0</v>
      </c>
      <c r="CG2789" s="129" t="str">
        <f t="shared" si="2025"/>
        <v>N</v>
      </c>
      <c r="CI2789" s="129" t="str">
        <f t="shared" si="2026"/>
        <v>121-365 DAYS</v>
      </c>
      <c r="CJ2789" s="137">
        <f t="shared" si="2027"/>
        <v>6</v>
      </c>
      <c r="CK2789" s="129" t="str">
        <f t="shared" si="2028"/>
        <v>Booked</v>
      </c>
    </row>
    <row r="2790" spans="1:89" ht="15" customHeight="1" x14ac:dyDescent="0.25">
      <c r="A2790" s="111">
        <v>1103</v>
      </c>
      <c r="B2790" s="128" t="str">
        <f t="shared" si="2015"/>
        <v>N</v>
      </c>
      <c r="C2790" s="128" t="str">
        <f t="shared" si="2016"/>
        <v>N</v>
      </c>
      <c r="D2790" s="117">
        <v>2603979</v>
      </c>
      <c r="E2790" s="135">
        <f t="shared" si="2017"/>
        <v>2</v>
      </c>
      <c r="F2790" s="124">
        <v>40949</v>
      </c>
      <c r="G2790" s="125">
        <v>40953</v>
      </c>
      <c r="H2790" s="117">
        <v>2603979</v>
      </c>
      <c r="I2790" s="124">
        <v>40949</v>
      </c>
      <c r="J2790" s="124">
        <v>40953</v>
      </c>
      <c r="K2790" s="126">
        <v>2000</v>
      </c>
      <c r="L2790" s="127" t="s">
        <v>568</v>
      </c>
      <c r="N2790" s="129" t="str">
        <f t="shared" si="2042"/>
        <v>N</v>
      </c>
      <c r="O2790" s="128" t="s">
        <v>917</v>
      </c>
      <c r="P2790" s="129" t="s">
        <v>589</v>
      </c>
      <c r="Q2790" s="111">
        <f t="shared" si="2040"/>
        <v>5</v>
      </c>
      <c r="R2790" s="111">
        <f t="shared" si="2006"/>
        <v>5</v>
      </c>
      <c r="S2790" s="129">
        <v>0</v>
      </c>
      <c r="T2790" s="129">
        <v>0</v>
      </c>
      <c r="W2790" s="111"/>
      <c r="AC2790" s="130"/>
      <c r="AD2790" s="130">
        <v>29979</v>
      </c>
      <c r="AE2790" s="128" t="s">
        <v>32</v>
      </c>
      <c r="AF2790" s="128" t="s">
        <v>33</v>
      </c>
      <c r="AG2790" s="128" t="s">
        <v>872</v>
      </c>
      <c r="AH2790" s="108" t="s">
        <v>31</v>
      </c>
      <c r="AI2790" s="128" t="s">
        <v>70</v>
      </c>
      <c r="AJ2790" s="129" t="s">
        <v>48</v>
      </c>
      <c r="AK2790" s="129">
        <v>2</v>
      </c>
      <c r="AL2790" s="3" t="s">
        <v>48</v>
      </c>
      <c r="AP2790" s="129" t="s">
        <v>63</v>
      </c>
      <c r="AR2790" s="128" t="s">
        <v>44</v>
      </c>
      <c r="AS2790" s="129" t="s">
        <v>64</v>
      </c>
      <c r="BC2790" s="129" t="s">
        <v>38</v>
      </c>
      <c r="BF2790" s="111">
        <f t="shared" si="2043"/>
        <v>5</v>
      </c>
      <c r="BG2790" s="111">
        <f t="shared" si="2044"/>
        <v>5</v>
      </c>
      <c r="BH2790" s="111">
        <f t="shared" si="2007"/>
        <v>5</v>
      </c>
      <c r="BI2790" s="111">
        <f t="shared" si="2009"/>
        <v>29.972677595628415</v>
      </c>
      <c r="BJ2790" s="129">
        <f>G2790-J2790-M2790</f>
        <v>0</v>
      </c>
      <c r="BK2790" s="129">
        <f t="shared" si="2008"/>
        <v>0</v>
      </c>
      <c r="BL2790" s="129" t="str">
        <f t="shared" si="2005"/>
        <v>DEFERRED</v>
      </c>
      <c r="BM2790" s="129" t="str">
        <f>O2790</f>
        <v>NONE</v>
      </c>
      <c r="BN2790" s="129" t="s">
        <v>566</v>
      </c>
      <c r="BP2790" s="137" t="str">
        <f t="shared" si="2010"/>
        <v>DEFERRED</v>
      </c>
      <c r="BQ2790" s="128" t="str">
        <f t="shared" si="2019"/>
        <v>Y</v>
      </c>
      <c r="BR2790" s="129" t="str">
        <f t="shared" si="2020"/>
        <v>DETAINED</v>
      </c>
      <c r="BS2790" s="129" t="str">
        <f t="shared" si="2011"/>
        <v>DISPOSED</v>
      </c>
      <c r="BT2790" s="129" t="str">
        <f t="shared" si="2012"/>
        <v>N</v>
      </c>
      <c r="BU2790" s="109">
        <f t="shared" si="2013"/>
        <v>1</v>
      </c>
      <c r="BV2790" s="109">
        <f t="shared" si="2021"/>
        <v>1</v>
      </c>
      <c r="BW2790" s="109">
        <f t="shared" si="2041"/>
        <v>0</v>
      </c>
      <c r="BX2790" s="111">
        <f t="shared" si="2014"/>
        <v>0</v>
      </c>
      <c r="BY2790" s="129">
        <f t="shared" si="2022"/>
        <v>-5</v>
      </c>
      <c r="BZ2790" s="111">
        <f t="shared" si="2023"/>
        <v>0</v>
      </c>
      <c r="CA2790" s="138">
        <f t="shared" si="2024"/>
        <v>5</v>
      </c>
      <c r="CB2790" s="111" t="e">
        <f t="shared" si="2045"/>
        <v>#VALUE!</v>
      </c>
      <c r="CC2790" s="129">
        <f>G2790-I2790+1</f>
        <v>5</v>
      </c>
      <c r="CD2790" s="129">
        <f>G2790-J2790</f>
        <v>0</v>
      </c>
      <c r="CG2790" s="129" t="str">
        <f t="shared" si="2025"/>
        <v>N</v>
      </c>
      <c r="CI2790" s="129" t="str">
        <f t="shared" si="2026"/>
        <v>0-10 DAYS</v>
      </c>
      <c r="CJ2790" s="137">
        <f t="shared" si="2027"/>
        <v>1</v>
      </c>
      <c r="CK2790" s="129" t="str">
        <f t="shared" si="2028"/>
        <v>Booked</v>
      </c>
    </row>
    <row r="2791" spans="1:89" ht="15.75" customHeight="1" x14ac:dyDescent="0.25">
      <c r="A2791" s="111">
        <v>1104</v>
      </c>
      <c r="B2791" s="128" t="str">
        <f t="shared" si="2015"/>
        <v>N</v>
      </c>
      <c r="C2791" s="128" t="str">
        <f t="shared" si="2016"/>
        <v>N</v>
      </c>
      <c r="D2791" s="117">
        <v>2603991</v>
      </c>
      <c r="E2791" s="135">
        <f t="shared" si="2017"/>
        <v>2</v>
      </c>
      <c r="F2791" s="124">
        <v>40949</v>
      </c>
      <c r="G2791" s="125">
        <v>40952</v>
      </c>
      <c r="H2791" s="117">
        <v>2603991</v>
      </c>
      <c r="I2791" s="124">
        <v>40949</v>
      </c>
      <c r="J2791" s="124">
        <v>40952</v>
      </c>
      <c r="K2791" s="126">
        <v>5000</v>
      </c>
      <c r="L2791" s="127" t="s">
        <v>569</v>
      </c>
      <c r="N2791" s="129" t="str">
        <f t="shared" si="2042"/>
        <v>N</v>
      </c>
      <c r="O2791" s="128" t="s">
        <v>917</v>
      </c>
      <c r="P2791" s="129" t="s">
        <v>589</v>
      </c>
      <c r="Q2791" s="111">
        <f t="shared" si="2040"/>
        <v>4</v>
      </c>
      <c r="R2791" s="111">
        <f t="shared" si="2006"/>
        <v>4</v>
      </c>
      <c r="S2791" s="129">
        <v>0</v>
      </c>
      <c r="T2791" s="129">
        <v>0</v>
      </c>
      <c r="W2791" s="111"/>
      <c r="AC2791" s="130"/>
      <c r="AD2791" s="130">
        <v>26449</v>
      </c>
      <c r="AE2791" s="128" t="s">
        <v>32</v>
      </c>
      <c r="AF2791" s="128" t="s">
        <v>33</v>
      </c>
      <c r="AG2791" s="128" t="s">
        <v>872</v>
      </c>
      <c r="AH2791" s="108" t="s">
        <v>31</v>
      </c>
      <c r="AI2791" s="128" t="s">
        <v>114</v>
      </c>
      <c r="AJ2791" s="129" t="s">
        <v>48</v>
      </c>
      <c r="AK2791" s="129">
        <v>1</v>
      </c>
      <c r="AL2791" s="3" t="s">
        <v>48</v>
      </c>
      <c r="AP2791" s="129" t="s">
        <v>43</v>
      </c>
      <c r="AR2791" s="128" t="s">
        <v>44</v>
      </c>
      <c r="AS2791" s="129" t="s">
        <v>45</v>
      </c>
      <c r="AT2791" s="129" t="s">
        <v>613</v>
      </c>
      <c r="BC2791" s="129" t="s">
        <v>38</v>
      </c>
      <c r="BF2791" s="111">
        <f t="shared" si="2043"/>
        <v>4</v>
      </c>
      <c r="BG2791" s="111">
        <f t="shared" si="2044"/>
        <v>4</v>
      </c>
      <c r="BH2791" s="111">
        <f t="shared" si="2007"/>
        <v>4</v>
      </c>
      <c r="BI2791" s="111">
        <f t="shared" si="2009"/>
        <v>39.617486338797811</v>
      </c>
      <c r="BJ2791" s="129">
        <f>G2791-J2791-M2791</f>
        <v>0</v>
      </c>
      <c r="BK2791" s="129">
        <f t="shared" si="2008"/>
        <v>0</v>
      </c>
      <c r="BL2791" s="129" t="str">
        <f t="shared" si="2005"/>
        <v>DEFERRED</v>
      </c>
      <c r="BM2791" s="129" t="str">
        <f>O2791</f>
        <v>NONE</v>
      </c>
      <c r="BN2791" s="129" t="s">
        <v>566</v>
      </c>
      <c r="BP2791" s="137" t="str">
        <f t="shared" si="2010"/>
        <v>DEFERRED</v>
      </c>
      <c r="BQ2791" s="128" t="str">
        <f t="shared" si="2019"/>
        <v>Y</v>
      </c>
      <c r="BR2791" s="129" t="str">
        <f t="shared" si="2020"/>
        <v>DETAINED</v>
      </c>
      <c r="BS2791" s="129" t="str">
        <f t="shared" si="2011"/>
        <v>DISPOSED</v>
      </c>
      <c r="BT2791" s="129" t="str">
        <f t="shared" si="2012"/>
        <v>N</v>
      </c>
      <c r="BU2791" s="109">
        <f t="shared" si="2013"/>
        <v>1</v>
      </c>
      <c r="BV2791" s="109">
        <f t="shared" si="2021"/>
        <v>1</v>
      </c>
      <c r="BW2791" s="109">
        <f t="shared" si="2041"/>
        <v>0</v>
      </c>
      <c r="BX2791" s="111">
        <f t="shared" si="2014"/>
        <v>0</v>
      </c>
      <c r="BY2791" s="129">
        <f t="shared" si="2022"/>
        <v>-4</v>
      </c>
      <c r="BZ2791" s="111">
        <f t="shared" si="2023"/>
        <v>0</v>
      </c>
      <c r="CA2791" s="138">
        <f t="shared" si="2024"/>
        <v>4</v>
      </c>
      <c r="CB2791" s="111" t="e">
        <f t="shared" si="2045"/>
        <v>#VALUE!</v>
      </c>
      <c r="CC2791" s="129">
        <f>G2791-I2791+1</f>
        <v>4</v>
      </c>
      <c r="CD2791" s="129">
        <f>G2791-J2791</f>
        <v>0</v>
      </c>
      <c r="CG2791" s="129" t="str">
        <f t="shared" si="2025"/>
        <v>N</v>
      </c>
      <c r="CI2791" s="129" t="str">
        <f t="shared" si="2026"/>
        <v>0-10 DAYS</v>
      </c>
      <c r="CJ2791" s="137">
        <f t="shared" si="2027"/>
        <v>1</v>
      </c>
      <c r="CK2791" s="129" t="str">
        <f t="shared" si="2028"/>
        <v>Booked</v>
      </c>
    </row>
    <row r="2792" spans="1:89" ht="15" customHeight="1" x14ac:dyDescent="0.25">
      <c r="A2792" s="111">
        <v>1114</v>
      </c>
      <c r="B2792" s="128" t="str">
        <f t="shared" si="2015"/>
        <v>N</v>
      </c>
      <c r="C2792" s="128" t="str">
        <f t="shared" si="2016"/>
        <v>N</v>
      </c>
      <c r="D2792" s="117">
        <v>2604009</v>
      </c>
      <c r="E2792" s="135">
        <f t="shared" si="2017"/>
        <v>1</v>
      </c>
      <c r="F2792" s="124">
        <v>40949</v>
      </c>
      <c r="G2792" s="125">
        <v>41431</v>
      </c>
      <c r="H2792" s="117">
        <v>2604009</v>
      </c>
      <c r="I2792" s="124">
        <v>41096</v>
      </c>
      <c r="J2792" s="124">
        <v>41107</v>
      </c>
      <c r="K2792" s="126">
        <v>30000</v>
      </c>
      <c r="L2792" s="129" t="s">
        <v>572</v>
      </c>
      <c r="M2792" s="125">
        <v>41107</v>
      </c>
      <c r="N2792" s="129" t="str">
        <f t="shared" si="2042"/>
        <v>Y</v>
      </c>
      <c r="O2792" s="128" t="s">
        <v>585</v>
      </c>
      <c r="P2792" s="129" t="s">
        <v>55</v>
      </c>
      <c r="Q2792" s="111">
        <f t="shared" si="2040"/>
        <v>12</v>
      </c>
      <c r="R2792" s="111">
        <f t="shared" si="2006"/>
        <v>483</v>
      </c>
      <c r="S2792" s="129">
        <v>0</v>
      </c>
      <c r="T2792" s="129">
        <v>0</v>
      </c>
      <c r="W2792" s="111"/>
      <c r="AC2792" s="130"/>
      <c r="AD2792" s="130">
        <v>27649</v>
      </c>
      <c r="AE2792" s="128" t="s">
        <v>32</v>
      </c>
      <c r="AF2792" s="128" t="s">
        <v>69</v>
      </c>
      <c r="AG2792" s="128" t="s">
        <v>874</v>
      </c>
      <c r="AH2792" s="108" t="s">
        <v>31</v>
      </c>
      <c r="AI2792" s="128" t="s">
        <v>70</v>
      </c>
      <c r="AJ2792" s="129" t="s">
        <v>55</v>
      </c>
      <c r="AK2792" s="129">
        <v>12</v>
      </c>
      <c r="AL2792" s="3" t="s">
        <v>55</v>
      </c>
      <c r="AP2792" s="129" t="s">
        <v>110</v>
      </c>
      <c r="AR2792" s="128" t="s">
        <v>50</v>
      </c>
      <c r="AS2792" s="129" t="s">
        <v>74</v>
      </c>
      <c r="BC2792" s="129" t="s">
        <v>52</v>
      </c>
      <c r="BF2792" s="111">
        <f t="shared" si="2043"/>
        <v>12</v>
      </c>
      <c r="BG2792" s="111">
        <f t="shared" si="2044"/>
        <v>336</v>
      </c>
      <c r="BH2792" s="111">
        <f t="shared" si="2007"/>
        <v>483</v>
      </c>
      <c r="BI2792" s="111">
        <f t="shared" si="2009"/>
        <v>36.338797814207652</v>
      </c>
      <c r="BJ2792" s="129">
        <f>(G2792-J2792)+(M2792-G2792)</f>
        <v>0</v>
      </c>
      <c r="BK2792" s="129">
        <f t="shared" si="2008"/>
        <v>-324</v>
      </c>
      <c r="BL2792" s="129" t="str">
        <f t="shared" si="2005"/>
        <v>NO CONVICTION</v>
      </c>
      <c r="BM2792" s="129" t="s">
        <v>76</v>
      </c>
      <c r="BN2792" s="129" t="s">
        <v>566</v>
      </c>
      <c r="BP2792" s="137" t="str">
        <f t="shared" si="2010"/>
        <v>NO CONVICTION</v>
      </c>
      <c r="BQ2792" s="128" t="str">
        <f t="shared" si="2019"/>
        <v>Y</v>
      </c>
      <c r="BR2792" s="129" t="str">
        <f t="shared" si="2020"/>
        <v>ON BOND</v>
      </c>
      <c r="BS2792" s="129" t="str">
        <f t="shared" si="2011"/>
        <v>DISPOSED</v>
      </c>
      <c r="BT2792" s="129" t="str">
        <f t="shared" si="2012"/>
        <v>N</v>
      </c>
      <c r="BU2792" s="109">
        <f>IFERROR(Q2792/R2792,BR2792)</f>
        <v>2.4844720496894408E-2</v>
      </c>
      <c r="BV2792" s="109">
        <f t="shared" si="2021"/>
        <v>3.5714285714285712E-2</v>
      </c>
      <c r="BW2792" s="109">
        <f t="shared" si="2041"/>
        <v>1.0869565217391304E-2</v>
      </c>
      <c r="BX2792" s="111">
        <f t="shared" si="2014"/>
        <v>0</v>
      </c>
      <c r="BY2792" s="129">
        <f t="shared" si="2022"/>
        <v>-12</v>
      </c>
      <c r="BZ2792" s="111">
        <f t="shared" si="2023"/>
        <v>0</v>
      </c>
      <c r="CA2792" s="138">
        <f t="shared" si="2024"/>
        <v>12</v>
      </c>
      <c r="CB2792" s="111" t="e">
        <f t="shared" si="2045"/>
        <v>#VALUE!</v>
      </c>
      <c r="CC2792" s="129">
        <f>M2792-I2792+1</f>
        <v>12</v>
      </c>
      <c r="CD2792" s="111">
        <f>CC2792-BF2792</f>
        <v>0</v>
      </c>
      <c r="CG2792" s="129" t="str">
        <f t="shared" si="2025"/>
        <v>N</v>
      </c>
      <c r="CI2792" s="129" t="str">
        <f t="shared" si="2026"/>
        <v>11-30 DAYS</v>
      </c>
      <c r="CJ2792" s="137">
        <f t="shared" si="2027"/>
        <v>2</v>
      </c>
      <c r="CK2792" s="129" t="str">
        <f t="shared" si="2028"/>
        <v>Booked</v>
      </c>
    </row>
    <row r="2793" spans="1:89" ht="15" customHeight="1" x14ac:dyDescent="0.25">
      <c r="A2793" s="111">
        <v>1974</v>
      </c>
      <c r="B2793" s="128" t="str">
        <f t="shared" si="2015"/>
        <v>N</v>
      </c>
      <c r="C2793" s="128" t="str">
        <f t="shared" si="2016"/>
        <v>N</v>
      </c>
      <c r="D2793" s="117">
        <v>2604025</v>
      </c>
      <c r="E2793" s="135">
        <f t="shared" si="2017"/>
        <v>2</v>
      </c>
      <c r="F2793" s="124">
        <v>40982</v>
      </c>
      <c r="G2793" s="125">
        <v>41065</v>
      </c>
      <c r="H2793" s="117">
        <v>2604025</v>
      </c>
      <c r="I2793" s="124">
        <v>40983</v>
      </c>
      <c r="J2793" s="124">
        <f>G2793</f>
        <v>41065</v>
      </c>
      <c r="K2793" s="126" t="s">
        <v>564</v>
      </c>
      <c r="L2793" s="127" t="s">
        <v>564</v>
      </c>
      <c r="N2793" s="129" t="s">
        <v>566</v>
      </c>
      <c r="O2793" s="128" t="s">
        <v>917</v>
      </c>
      <c r="P2793" s="129" t="s">
        <v>589</v>
      </c>
      <c r="Q2793" s="111">
        <f t="shared" si="2040"/>
        <v>83</v>
      </c>
      <c r="R2793" s="111">
        <f t="shared" si="2006"/>
        <v>84</v>
      </c>
      <c r="S2793" s="129">
        <v>0</v>
      </c>
      <c r="T2793" s="129">
        <v>0</v>
      </c>
      <c r="W2793" s="111"/>
      <c r="AC2793" s="130"/>
      <c r="AD2793" s="130">
        <v>34205</v>
      </c>
      <c r="AE2793" s="128" t="s">
        <v>32</v>
      </c>
      <c r="AF2793" s="128" t="s">
        <v>69</v>
      </c>
      <c r="AG2793" s="128" t="s">
        <v>874</v>
      </c>
      <c r="AH2793" s="108" t="s">
        <v>31</v>
      </c>
      <c r="AI2793" s="128" t="s">
        <v>87</v>
      </c>
      <c r="AJ2793" s="129" t="s">
        <v>48</v>
      </c>
      <c r="AK2793" s="129">
        <v>6</v>
      </c>
      <c r="AL2793" s="3" t="s">
        <v>48</v>
      </c>
      <c r="AP2793" s="129" t="s">
        <v>131</v>
      </c>
      <c r="AR2793" s="128" t="s">
        <v>50</v>
      </c>
      <c r="AS2793" s="129" t="s">
        <v>106</v>
      </c>
      <c r="BC2793" s="129" t="s">
        <v>38</v>
      </c>
      <c r="BF2793" s="111">
        <f t="shared" si="2043"/>
        <v>83</v>
      </c>
      <c r="BG2793" s="111">
        <f t="shared" si="2044"/>
        <v>83</v>
      </c>
      <c r="BH2793" s="111">
        <f t="shared" si="2007"/>
        <v>84</v>
      </c>
      <c r="BI2793" s="111">
        <f t="shared" si="2009"/>
        <v>18.516393442622952</v>
      </c>
      <c r="BJ2793" s="129">
        <f>G2793-J2793-M2793</f>
        <v>0</v>
      </c>
      <c r="BK2793" s="129">
        <f t="shared" si="2008"/>
        <v>0</v>
      </c>
      <c r="BL2793" s="129" t="str">
        <f t="shared" si="2005"/>
        <v>DEFERRED</v>
      </c>
      <c r="BM2793" s="129" t="str">
        <f>O2793</f>
        <v>NONE</v>
      </c>
      <c r="BN2793" s="129" t="s">
        <v>566</v>
      </c>
      <c r="BP2793" s="137" t="str">
        <f t="shared" si="2010"/>
        <v>DEFERRED</v>
      </c>
      <c r="BQ2793" s="128" t="str">
        <f t="shared" si="2019"/>
        <v>Y</v>
      </c>
      <c r="BR2793" s="129" t="str">
        <f t="shared" si="2020"/>
        <v>DETAINED</v>
      </c>
      <c r="BS2793" s="129" t="str">
        <f t="shared" si="2011"/>
        <v>DISPOSED</v>
      </c>
      <c r="BT2793" s="129" t="str">
        <f t="shared" si="2012"/>
        <v>N</v>
      </c>
      <c r="BU2793" s="109">
        <f t="shared" si="2013"/>
        <v>0.98809523809523814</v>
      </c>
      <c r="BV2793" s="109">
        <f t="shared" si="2021"/>
        <v>1</v>
      </c>
      <c r="BW2793" s="109">
        <f t="shared" si="2041"/>
        <v>1.1904761904761862E-2</v>
      </c>
      <c r="BX2793" s="111">
        <f t="shared" si="2014"/>
        <v>0</v>
      </c>
      <c r="BY2793" s="129">
        <f t="shared" si="2022"/>
        <v>-83</v>
      </c>
      <c r="BZ2793" s="111">
        <f t="shared" si="2023"/>
        <v>0</v>
      </c>
      <c r="CA2793" s="138">
        <f t="shared" si="2024"/>
        <v>83</v>
      </c>
      <c r="CB2793" s="111" t="e">
        <f t="shared" si="2045"/>
        <v>#VALUE!</v>
      </c>
      <c r="CC2793" s="129">
        <f>G2793-I2793+1</f>
        <v>83</v>
      </c>
      <c r="CD2793" s="129">
        <f>G2793-J2793</f>
        <v>0</v>
      </c>
      <c r="CG2793" s="129" t="str">
        <f t="shared" si="2025"/>
        <v>N</v>
      </c>
      <c r="CI2793" s="129" t="str">
        <f t="shared" si="2026"/>
        <v>61-90 DAYS</v>
      </c>
      <c r="CJ2793" s="137">
        <f t="shared" si="2027"/>
        <v>4</v>
      </c>
      <c r="CK2793" s="129" t="str">
        <f t="shared" si="2028"/>
        <v>Booked</v>
      </c>
    </row>
    <row r="2794" spans="1:89" ht="15.75" customHeight="1" x14ac:dyDescent="0.25">
      <c r="A2794" s="111">
        <v>1122</v>
      </c>
      <c r="B2794" s="128" t="str">
        <f t="shared" si="2015"/>
        <v>N</v>
      </c>
      <c r="C2794" s="128" t="str">
        <f t="shared" si="2016"/>
        <v>N</v>
      </c>
      <c r="D2794" s="117">
        <v>2604056</v>
      </c>
      <c r="E2794" s="135">
        <f t="shared" si="2017"/>
        <v>2</v>
      </c>
      <c r="F2794" s="124">
        <v>40949</v>
      </c>
      <c r="G2794" s="125">
        <v>41128</v>
      </c>
      <c r="H2794" s="117">
        <v>2604056</v>
      </c>
      <c r="I2794" s="124">
        <v>40949</v>
      </c>
      <c r="J2794" s="124">
        <v>40950</v>
      </c>
      <c r="K2794" s="126">
        <v>10000</v>
      </c>
      <c r="L2794" s="127" t="s">
        <v>570</v>
      </c>
      <c r="M2794" s="125">
        <v>40950</v>
      </c>
      <c r="N2794" s="129" t="str">
        <f>IF(M2794&gt;1/1/1,"Y","N")</f>
        <v>Y</v>
      </c>
      <c r="O2794" s="128" t="s">
        <v>76</v>
      </c>
      <c r="P2794" s="129" t="s">
        <v>589</v>
      </c>
      <c r="Q2794" s="111">
        <f t="shared" si="2040"/>
        <v>2</v>
      </c>
      <c r="R2794" s="111">
        <f t="shared" si="2006"/>
        <v>180</v>
      </c>
      <c r="S2794" s="129">
        <v>0</v>
      </c>
      <c r="T2794" s="129">
        <v>0</v>
      </c>
      <c r="W2794" s="111"/>
      <c r="AB2794" s="131" t="s">
        <v>112</v>
      </c>
      <c r="AC2794" s="130"/>
      <c r="AD2794" s="130">
        <v>34649</v>
      </c>
      <c r="AE2794" s="128" t="s">
        <v>32</v>
      </c>
      <c r="AF2794" s="128" t="s">
        <v>40</v>
      </c>
      <c r="AG2794" s="128" t="s">
        <v>41</v>
      </c>
      <c r="AH2794" s="108" t="s">
        <v>31</v>
      </c>
      <c r="AI2794" s="128" t="s">
        <v>85</v>
      </c>
      <c r="AJ2794" s="129" t="s">
        <v>48</v>
      </c>
      <c r="AK2794" s="129">
        <v>9</v>
      </c>
      <c r="AL2794" s="3" t="s">
        <v>48</v>
      </c>
      <c r="AP2794" s="129" t="s">
        <v>56</v>
      </c>
      <c r="AR2794" s="128" t="s">
        <v>50</v>
      </c>
      <c r="AS2794" s="129" t="s">
        <v>57</v>
      </c>
      <c r="BC2794" s="129" t="s">
        <v>52</v>
      </c>
      <c r="BF2794" s="111">
        <f t="shared" si="2043"/>
        <v>2</v>
      </c>
      <c r="BG2794" s="111">
        <f t="shared" si="2044"/>
        <v>180</v>
      </c>
      <c r="BH2794" s="111">
        <f t="shared" si="2007"/>
        <v>180</v>
      </c>
      <c r="BI2794" s="111">
        <f t="shared" si="2009"/>
        <v>17.21311475409836</v>
      </c>
      <c r="BJ2794" s="129">
        <f>(G2794-J2794)+(M2794-G2794)</f>
        <v>0</v>
      </c>
      <c r="BK2794" s="129">
        <f t="shared" si="2008"/>
        <v>-178</v>
      </c>
      <c r="BL2794" s="129" t="str">
        <f t="shared" si="2005"/>
        <v>DEFERRED</v>
      </c>
      <c r="BM2794" s="129" t="s">
        <v>76</v>
      </c>
      <c r="BN2794" s="129" t="s">
        <v>88</v>
      </c>
      <c r="BP2794" s="137" t="str">
        <f t="shared" si="2010"/>
        <v>DEFERRED</v>
      </c>
      <c r="BQ2794" s="128" t="str">
        <f t="shared" si="2019"/>
        <v>Y</v>
      </c>
      <c r="BR2794" s="129" t="str">
        <f t="shared" si="2020"/>
        <v>ON BOND</v>
      </c>
      <c r="BS2794" s="129" t="str">
        <f t="shared" si="2011"/>
        <v>DISPOSED</v>
      </c>
      <c r="BT2794" s="129" t="str">
        <f t="shared" si="2012"/>
        <v>N</v>
      </c>
      <c r="BU2794" s="109">
        <f t="shared" si="2013"/>
        <v>1.1111111111111112E-2</v>
      </c>
      <c r="BV2794" s="109">
        <f t="shared" si="2021"/>
        <v>1.1111111111111112E-2</v>
      </c>
      <c r="BW2794" s="109">
        <f t="shared" si="2041"/>
        <v>0</v>
      </c>
      <c r="BX2794" s="111">
        <f t="shared" si="2014"/>
        <v>0</v>
      </c>
      <c r="BY2794" s="129">
        <f t="shared" si="2022"/>
        <v>-2</v>
      </c>
      <c r="BZ2794" s="111">
        <f t="shared" si="2023"/>
        <v>0</v>
      </c>
      <c r="CA2794" s="138">
        <f t="shared" si="2024"/>
        <v>2</v>
      </c>
      <c r="CB2794" s="111" t="e">
        <f t="shared" si="2045"/>
        <v>#VALUE!</v>
      </c>
      <c r="CC2794" s="129">
        <f>M2794-I2794+1</f>
        <v>2</v>
      </c>
      <c r="CD2794" s="111">
        <f>CC2794-BF2794</f>
        <v>0</v>
      </c>
      <c r="CG2794" s="129" t="str">
        <f t="shared" si="2025"/>
        <v>N</v>
      </c>
      <c r="CI2794" s="129" t="str">
        <f t="shared" si="2026"/>
        <v>0-10 DAYS</v>
      </c>
      <c r="CJ2794" s="137">
        <f t="shared" si="2027"/>
        <v>1</v>
      </c>
      <c r="CK2794" s="129" t="str">
        <f t="shared" si="2028"/>
        <v>Booked</v>
      </c>
    </row>
    <row r="2795" spans="1:89" ht="15" customHeight="1" x14ac:dyDescent="0.25">
      <c r="A2795" s="111">
        <v>1123</v>
      </c>
      <c r="B2795" s="128" t="str">
        <f t="shared" si="2015"/>
        <v>N</v>
      </c>
      <c r="C2795" s="128" t="str">
        <f t="shared" si="2016"/>
        <v>N</v>
      </c>
      <c r="D2795" s="117">
        <v>2604060</v>
      </c>
      <c r="E2795" s="135">
        <f t="shared" si="2017"/>
        <v>2</v>
      </c>
      <c r="F2795" s="124">
        <v>40949</v>
      </c>
      <c r="G2795" s="125">
        <v>41053</v>
      </c>
      <c r="H2795" s="117">
        <v>2604060</v>
      </c>
      <c r="I2795" s="124">
        <v>40950</v>
      </c>
      <c r="J2795" s="124">
        <v>41053</v>
      </c>
      <c r="K2795" s="126" t="s">
        <v>564</v>
      </c>
      <c r="L2795" s="127" t="s">
        <v>564</v>
      </c>
      <c r="N2795" s="129" t="s">
        <v>566</v>
      </c>
      <c r="O2795" s="128" t="s">
        <v>917</v>
      </c>
      <c r="P2795" s="129" t="s">
        <v>589</v>
      </c>
      <c r="Q2795" s="111">
        <f t="shared" si="2040"/>
        <v>104</v>
      </c>
      <c r="R2795" s="111">
        <f t="shared" si="2006"/>
        <v>105</v>
      </c>
      <c r="S2795" s="129">
        <v>0</v>
      </c>
      <c r="T2795" s="129">
        <v>0</v>
      </c>
      <c r="W2795" s="111"/>
      <c r="AC2795" s="130"/>
      <c r="AD2795" s="130">
        <v>34695</v>
      </c>
      <c r="AE2795" s="128" t="s">
        <v>32</v>
      </c>
      <c r="AF2795" s="128" t="s">
        <v>33</v>
      </c>
      <c r="AG2795" s="128" t="s">
        <v>872</v>
      </c>
      <c r="AH2795" s="108" t="s">
        <v>31</v>
      </c>
      <c r="AI2795" s="128" t="s">
        <v>72</v>
      </c>
      <c r="AJ2795" s="129" t="s">
        <v>48</v>
      </c>
      <c r="AK2795" s="129">
        <v>4</v>
      </c>
      <c r="AL2795" s="3" t="s">
        <v>48</v>
      </c>
      <c r="AP2795" s="129" t="s">
        <v>105</v>
      </c>
      <c r="AR2795" s="128" t="s">
        <v>92</v>
      </c>
      <c r="AS2795" s="129" t="s">
        <v>106</v>
      </c>
      <c r="BC2795" s="129" t="s">
        <v>38</v>
      </c>
      <c r="BF2795" s="111">
        <f t="shared" si="2043"/>
        <v>104</v>
      </c>
      <c r="BG2795" s="111">
        <f t="shared" si="2044"/>
        <v>104</v>
      </c>
      <c r="BH2795" s="111">
        <f t="shared" si="2007"/>
        <v>105</v>
      </c>
      <c r="BI2795" s="111">
        <f t="shared" si="2009"/>
        <v>17.087431693989071</v>
      </c>
      <c r="BJ2795" s="129">
        <f>G2795-J2795-M2795</f>
        <v>0</v>
      </c>
      <c r="BK2795" s="129">
        <f t="shared" si="2008"/>
        <v>0</v>
      </c>
      <c r="BL2795" s="129" t="str">
        <f t="shared" si="2005"/>
        <v>DEFERRED</v>
      </c>
      <c r="BM2795" s="129" t="str">
        <f>O2795</f>
        <v>NONE</v>
      </c>
      <c r="BN2795" s="129" t="s">
        <v>566</v>
      </c>
      <c r="BP2795" s="137" t="str">
        <f t="shared" si="2010"/>
        <v>DEFERRED</v>
      </c>
      <c r="BQ2795" s="128" t="str">
        <f t="shared" si="2019"/>
        <v>Y</v>
      </c>
      <c r="BR2795" s="129" t="str">
        <f t="shared" si="2020"/>
        <v>DETAINED</v>
      </c>
      <c r="BS2795" s="129" t="str">
        <f t="shared" si="2011"/>
        <v>DISPOSED</v>
      </c>
      <c r="BT2795" s="129" t="str">
        <f t="shared" si="2012"/>
        <v>N</v>
      </c>
      <c r="BU2795" s="109">
        <f t="shared" si="2013"/>
        <v>0.99047619047619051</v>
      </c>
      <c r="BV2795" s="109">
        <f t="shared" si="2021"/>
        <v>1</v>
      </c>
      <c r="BW2795" s="109">
        <f t="shared" si="2041"/>
        <v>9.52380952380949E-3</v>
      </c>
      <c r="BX2795" s="111">
        <f t="shared" si="2014"/>
        <v>0</v>
      </c>
      <c r="BY2795" s="129">
        <f t="shared" si="2022"/>
        <v>-104</v>
      </c>
      <c r="BZ2795" s="111">
        <f t="shared" si="2023"/>
        <v>0</v>
      </c>
      <c r="CA2795" s="138">
        <f t="shared" si="2024"/>
        <v>104</v>
      </c>
      <c r="CB2795" s="111" t="e">
        <f t="shared" si="2045"/>
        <v>#VALUE!</v>
      </c>
      <c r="CC2795" s="129">
        <f>G2795-I2795+1</f>
        <v>104</v>
      </c>
      <c r="CD2795" s="129">
        <f>G2795-J2795</f>
        <v>0</v>
      </c>
      <c r="CG2795" s="129" t="str">
        <f t="shared" si="2025"/>
        <v>N</v>
      </c>
      <c r="CI2795" s="129" t="str">
        <f t="shared" si="2026"/>
        <v>91-120 DAYS</v>
      </c>
      <c r="CJ2795" s="137">
        <f t="shared" si="2027"/>
        <v>0</v>
      </c>
      <c r="CK2795" s="129" t="str">
        <f t="shared" si="2028"/>
        <v>Booked</v>
      </c>
    </row>
    <row r="2796" spans="1:89" ht="15.75" customHeight="1" x14ac:dyDescent="0.25">
      <c r="A2796" s="111">
        <v>1129</v>
      </c>
      <c r="B2796" s="128" t="str">
        <f t="shared" si="2015"/>
        <v>N</v>
      </c>
      <c r="C2796" s="128" t="str">
        <f t="shared" si="2016"/>
        <v>N</v>
      </c>
      <c r="D2796" s="117">
        <v>2604062</v>
      </c>
      <c r="E2796" s="135">
        <f t="shared" si="2017"/>
        <v>2</v>
      </c>
      <c r="F2796" s="124">
        <v>40949</v>
      </c>
      <c r="G2796" s="125">
        <v>40996</v>
      </c>
      <c r="H2796" s="117">
        <v>2604062</v>
      </c>
      <c r="I2796" s="124" t="s">
        <v>562</v>
      </c>
      <c r="J2796" s="124" t="s">
        <v>562</v>
      </c>
      <c r="K2796" s="126">
        <v>5000</v>
      </c>
      <c r="L2796" s="127" t="s">
        <v>569</v>
      </c>
      <c r="M2796" s="125">
        <v>40951</v>
      </c>
      <c r="N2796" s="129" t="str">
        <f>IF(M2796&gt;1/1/1,"Y",IF(Q2796="0","","N"))</f>
        <v>Y</v>
      </c>
      <c r="O2796" s="128" t="s">
        <v>76</v>
      </c>
      <c r="P2796" s="129" t="s">
        <v>589</v>
      </c>
      <c r="Q2796" s="111">
        <f t="shared" si="2040"/>
        <v>0</v>
      </c>
      <c r="R2796" s="111">
        <f t="shared" si="2006"/>
        <v>48</v>
      </c>
      <c r="S2796" s="129">
        <v>0</v>
      </c>
      <c r="T2796" s="129">
        <v>0</v>
      </c>
      <c r="W2796" s="111"/>
      <c r="AC2796" s="130"/>
      <c r="AD2796" s="130">
        <v>31996</v>
      </c>
      <c r="AE2796" s="128" t="s">
        <v>46</v>
      </c>
      <c r="AF2796" s="128" t="s">
        <v>69</v>
      </c>
      <c r="AG2796" s="128" t="s">
        <v>874</v>
      </c>
      <c r="AH2796" s="108" t="s">
        <v>31</v>
      </c>
      <c r="AI2796" s="128" t="s">
        <v>72</v>
      </c>
      <c r="AJ2796" s="129" t="s">
        <v>48</v>
      </c>
      <c r="AK2796" s="129">
        <v>4</v>
      </c>
      <c r="AL2796" s="3" t="s">
        <v>48</v>
      </c>
      <c r="AP2796" s="129" t="s">
        <v>103</v>
      </c>
      <c r="AR2796" s="128" t="s">
        <v>44</v>
      </c>
      <c r="AS2796" s="129" t="s">
        <v>45</v>
      </c>
      <c r="AT2796" s="129" t="s">
        <v>292</v>
      </c>
      <c r="BC2796" s="129" t="s">
        <v>38</v>
      </c>
      <c r="BF2796" s="111">
        <v>0</v>
      </c>
      <c r="BG2796" s="111">
        <v>0</v>
      </c>
      <c r="BH2796" s="111">
        <f t="shared" si="2007"/>
        <v>48</v>
      </c>
      <c r="BI2796" s="111">
        <f t="shared" si="2009"/>
        <v>24.461748633879782</v>
      </c>
      <c r="BJ2796" s="129" t="e">
        <f>(G2796-J2796)+(M2796-G2796)</f>
        <v>#VALUE!</v>
      </c>
      <c r="BK2796" s="129" t="e">
        <f t="shared" si="2008"/>
        <v>#VALUE!</v>
      </c>
      <c r="BL2796" s="129" t="str">
        <f t="shared" si="2005"/>
        <v>DEFERRED</v>
      </c>
      <c r="BM2796" s="129" t="s">
        <v>76</v>
      </c>
      <c r="BN2796" s="129" t="s">
        <v>88</v>
      </c>
      <c r="BP2796" s="137" t="str">
        <f t="shared" si="2010"/>
        <v>DEFERRED</v>
      </c>
      <c r="BQ2796" s="128">
        <f t="shared" si="2019"/>
        <v>0</v>
      </c>
      <c r="BR2796" s="129" t="s">
        <v>575</v>
      </c>
      <c r="BS2796" s="129" t="str">
        <f t="shared" si="2011"/>
        <v>DISPOSED</v>
      </c>
      <c r="BT2796" s="129" t="str">
        <f t="shared" si="2012"/>
        <v>N</v>
      </c>
      <c r="BU2796" s="109">
        <f t="shared" si="2013"/>
        <v>0</v>
      </c>
      <c r="BV2796" s="109">
        <v>0</v>
      </c>
      <c r="BW2796" s="109">
        <f t="shared" si="2041"/>
        <v>0</v>
      </c>
      <c r="BX2796" s="111">
        <f t="shared" si="2014"/>
        <v>0</v>
      </c>
      <c r="BY2796" s="129" t="e">
        <f t="shared" si="2022"/>
        <v>#VALUE!</v>
      </c>
      <c r="BZ2796" s="111" t="e">
        <f t="shared" si="2023"/>
        <v>#VALUE!</v>
      </c>
      <c r="CA2796" s="138" t="e">
        <f t="shared" si="2024"/>
        <v>#VALUE!</v>
      </c>
      <c r="CB2796" s="111">
        <v>0</v>
      </c>
      <c r="CC2796" s="129">
        <v>0</v>
      </c>
      <c r="CD2796" s="111">
        <f>CC2796-BF2796</f>
        <v>0</v>
      </c>
      <c r="CG2796" s="129" t="str">
        <f t="shared" si="2025"/>
        <v>N</v>
      </c>
      <c r="CI2796" s="129" t="str">
        <f t="shared" si="2026"/>
        <v>0-10 DAYS</v>
      </c>
      <c r="CJ2796" s="137">
        <f t="shared" si="2027"/>
        <v>1</v>
      </c>
      <c r="CK2796" s="129" t="str">
        <f t="shared" si="2028"/>
        <v>Not Booked</v>
      </c>
    </row>
    <row r="2797" spans="1:89" ht="15" customHeight="1" x14ac:dyDescent="0.25">
      <c r="A2797" s="111">
        <v>1124</v>
      </c>
      <c r="B2797" s="128" t="str">
        <f t="shared" si="2015"/>
        <v>Y</v>
      </c>
      <c r="C2797" s="128" t="str">
        <f t="shared" si="2016"/>
        <v>N</v>
      </c>
      <c r="D2797" s="117">
        <v>2604064</v>
      </c>
      <c r="E2797" s="135">
        <f t="shared" si="2017"/>
        <v>2</v>
      </c>
      <c r="F2797" s="124">
        <v>40949</v>
      </c>
      <c r="G2797" s="125">
        <v>41498</v>
      </c>
      <c r="H2797" s="117">
        <v>2604064</v>
      </c>
      <c r="I2797" s="124">
        <v>40950</v>
      </c>
      <c r="J2797" s="124">
        <v>40953</v>
      </c>
      <c r="K2797" s="126">
        <v>30000</v>
      </c>
      <c r="L2797" s="129" t="s">
        <v>572</v>
      </c>
      <c r="M2797" s="125">
        <v>40953</v>
      </c>
      <c r="N2797" s="129" t="str">
        <f>IF(M2797&gt;1/1/1,"Y","N")</f>
        <v>Y</v>
      </c>
      <c r="O2797" s="128" t="s">
        <v>76</v>
      </c>
      <c r="P2797" s="129" t="s">
        <v>589</v>
      </c>
      <c r="Q2797" s="111">
        <f t="shared" si="2040"/>
        <v>4</v>
      </c>
      <c r="R2797" s="111">
        <f t="shared" si="2006"/>
        <v>550</v>
      </c>
      <c r="S2797" s="129">
        <v>0</v>
      </c>
      <c r="T2797" s="129">
        <v>0</v>
      </c>
      <c r="W2797" s="111"/>
      <c r="AC2797" s="130"/>
      <c r="AD2797" s="130">
        <v>34046</v>
      </c>
      <c r="AE2797" s="128" t="s">
        <v>32</v>
      </c>
      <c r="AF2797" s="128" t="s">
        <v>33</v>
      </c>
      <c r="AG2797" s="128" t="s">
        <v>872</v>
      </c>
      <c r="AH2797" s="108" t="s">
        <v>31</v>
      </c>
      <c r="AI2797" s="128" t="s">
        <v>34</v>
      </c>
      <c r="AJ2797" s="129" t="s">
        <v>48</v>
      </c>
      <c r="AK2797" s="129">
        <v>13</v>
      </c>
      <c r="AL2797" s="3" t="s">
        <v>48</v>
      </c>
      <c r="AP2797" s="129" t="s">
        <v>129</v>
      </c>
      <c r="AR2797" s="128" t="s">
        <v>92</v>
      </c>
      <c r="AS2797" s="129" t="s">
        <v>126</v>
      </c>
      <c r="AT2797" s="129" t="s">
        <v>1142</v>
      </c>
      <c r="BC2797" s="129" t="s">
        <v>52</v>
      </c>
      <c r="BD2797" s="129" t="s">
        <v>1143</v>
      </c>
      <c r="BF2797" s="111">
        <f>IF(J2797&gt;1/1/1900,((J2797+1)-I2797),"STILL OPEN")</f>
        <v>4</v>
      </c>
      <c r="BG2797" s="111">
        <f>IF(G2797&gt;1/1/1900,((G2797+1)-I2797),"STILL OPEN")</f>
        <v>549</v>
      </c>
      <c r="BH2797" s="111">
        <f t="shared" si="2007"/>
        <v>550</v>
      </c>
      <c r="BI2797" s="111">
        <f t="shared" si="2009"/>
        <v>18.860655737704917</v>
      </c>
      <c r="BJ2797" s="129">
        <f>(G2797-J2797)+(M2797-G2797)</f>
        <v>0</v>
      </c>
      <c r="BK2797" s="129">
        <f t="shared" si="2008"/>
        <v>-545</v>
      </c>
      <c r="BL2797" s="129" t="str">
        <f t="shared" si="2005"/>
        <v>DEFERRED</v>
      </c>
      <c r="BM2797" s="129" t="s">
        <v>76</v>
      </c>
      <c r="BN2797" s="129" t="s">
        <v>88</v>
      </c>
      <c r="BP2797" s="137" t="str">
        <f t="shared" si="2010"/>
        <v>DEFERRED</v>
      </c>
      <c r="BQ2797" s="128" t="str">
        <f t="shared" si="2019"/>
        <v>Y</v>
      </c>
      <c r="BR2797" s="129" t="str">
        <f t="shared" si="2020"/>
        <v>ON BOND</v>
      </c>
      <c r="BS2797" s="129" t="str">
        <f t="shared" si="2011"/>
        <v>DISPOSED</v>
      </c>
      <c r="BT2797" s="129" t="str">
        <f t="shared" si="2012"/>
        <v>N</v>
      </c>
      <c r="BU2797" s="109">
        <f t="shared" si="2013"/>
        <v>7.2727272727272727E-3</v>
      </c>
      <c r="BV2797" s="109">
        <f t="shared" si="2021"/>
        <v>7.2859744990892532E-3</v>
      </c>
      <c r="BW2797" s="109">
        <f t="shared" si="2041"/>
        <v>1.324722636198046E-5</v>
      </c>
      <c r="BX2797" s="111">
        <f t="shared" si="2014"/>
        <v>0</v>
      </c>
      <c r="BY2797" s="129">
        <f t="shared" si="2022"/>
        <v>-4</v>
      </c>
      <c r="BZ2797" s="111">
        <f t="shared" si="2023"/>
        <v>0</v>
      </c>
      <c r="CA2797" s="138">
        <f t="shared" si="2024"/>
        <v>4</v>
      </c>
      <c r="CB2797" s="111" t="e">
        <f>IF(AF2797&gt;1/1/1900,((AF2797+1)-AE2797),"STILL OPEN")</f>
        <v>#VALUE!</v>
      </c>
      <c r="CC2797" s="129">
        <f>M2797-I2797+1</f>
        <v>4</v>
      </c>
      <c r="CD2797" s="111">
        <f>CC2797-BF2797</f>
        <v>0</v>
      </c>
      <c r="CG2797" s="129" t="str">
        <f t="shared" si="2025"/>
        <v>N</v>
      </c>
      <c r="CI2797" s="129" t="str">
        <f t="shared" si="2026"/>
        <v>0-10 DAYS</v>
      </c>
      <c r="CJ2797" s="137">
        <f t="shared" si="2027"/>
        <v>1</v>
      </c>
      <c r="CK2797" s="129" t="str">
        <f t="shared" si="2028"/>
        <v>Booked</v>
      </c>
    </row>
    <row r="2798" spans="1:89" ht="15.75" customHeight="1" x14ac:dyDescent="0.25">
      <c r="A2798" s="111">
        <v>1126</v>
      </c>
      <c r="B2798" s="128" t="str">
        <f t="shared" si="2015"/>
        <v>N</v>
      </c>
      <c r="C2798" s="128" t="str">
        <f t="shared" si="2016"/>
        <v>N</v>
      </c>
      <c r="D2798" s="117">
        <v>2604065</v>
      </c>
      <c r="E2798" s="135">
        <f t="shared" si="2017"/>
        <v>6</v>
      </c>
      <c r="F2798" s="124">
        <v>40949</v>
      </c>
      <c r="G2798" s="125">
        <v>41052</v>
      </c>
      <c r="H2798" s="117">
        <v>2604065</v>
      </c>
      <c r="I2798" s="124">
        <v>40950</v>
      </c>
      <c r="J2798" s="124">
        <v>41052</v>
      </c>
      <c r="K2798" s="126">
        <v>20000</v>
      </c>
      <c r="L2798" s="127" t="s">
        <v>571</v>
      </c>
      <c r="N2798" s="129" t="str">
        <f>IF(M2798&gt;1/1/1,"Y","N")</f>
        <v>N</v>
      </c>
      <c r="O2798" s="128" t="s">
        <v>917</v>
      </c>
      <c r="P2798" s="129" t="s">
        <v>39</v>
      </c>
      <c r="Q2798" s="111">
        <f t="shared" si="2040"/>
        <v>103</v>
      </c>
      <c r="R2798" s="111">
        <f t="shared" si="2006"/>
        <v>104</v>
      </c>
      <c r="S2798" s="129">
        <v>0</v>
      </c>
      <c r="T2798" s="129">
        <v>0</v>
      </c>
      <c r="W2798" s="111"/>
      <c r="AC2798" s="130"/>
      <c r="AD2798" s="130">
        <v>20493</v>
      </c>
      <c r="AE2798" s="128" t="s">
        <v>32</v>
      </c>
      <c r="AF2798" s="128" t="s">
        <v>69</v>
      </c>
      <c r="AG2798" s="128" t="s">
        <v>874</v>
      </c>
      <c r="AH2798" s="108" t="s">
        <v>31</v>
      </c>
      <c r="AI2798" s="128" t="s">
        <v>59</v>
      </c>
      <c r="AJ2798" s="129" t="s">
        <v>89</v>
      </c>
      <c r="AK2798" s="129">
        <v>4</v>
      </c>
      <c r="AL2798" s="3" t="s">
        <v>362</v>
      </c>
      <c r="AM2798" s="117">
        <v>5</v>
      </c>
      <c r="AP2798" s="129" t="s">
        <v>173</v>
      </c>
      <c r="AR2798" s="128" t="s">
        <v>50</v>
      </c>
      <c r="AS2798" s="129" t="s">
        <v>126</v>
      </c>
      <c r="BC2798" s="129" t="s">
        <v>52</v>
      </c>
      <c r="BF2798" s="111">
        <f>IF(J2798&gt;1/1/1900,((J2798+1)-I2798),"STILL OPEN")</f>
        <v>103</v>
      </c>
      <c r="BG2798" s="111">
        <f>IF(G2798&gt;1/1/1900,((G2798+1)-I2798),"STILL OPEN")</f>
        <v>103</v>
      </c>
      <c r="BH2798" s="111">
        <f t="shared" si="2007"/>
        <v>104</v>
      </c>
      <c r="BI2798" s="111">
        <f t="shared" si="2009"/>
        <v>55.89071038251366</v>
      </c>
      <c r="BJ2798" s="129">
        <f>G2798-J2798-M2798</f>
        <v>0</v>
      </c>
      <c r="BK2798" s="129">
        <f t="shared" si="2008"/>
        <v>0</v>
      </c>
      <c r="BL2798" s="129" t="str">
        <f t="shared" si="2005"/>
        <v>CONVICTION</v>
      </c>
      <c r="BM2798" s="129" t="str">
        <f>O2798</f>
        <v>NONE</v>
      </c>
      <c r="BN2798" s="129" t="s">
        <v>566</v>
      </c>
      <c r="BP2798" s="137" t="str">
        <f t="shared" si="2010"/>
        <v>CONVICTION</v>
      </c>
      <c r="BQ2798" s="128" t="str">
        <f t="shared" si="2019"/>
        <v>Y</v>
      </c>
      <c r="BR2798" s="129" t="str">
        <f t="shared" si="2020"/>
        <v>DETAINED</v>
      </c>
      <c r="BS2798" s="129" t="str">
        <f t="shared" si="2011"/>
        <v>DISPOSED</v>
      </c>
      <c r="BT2798" s="129" t="str">
        <f t="shared" si="2012"/>
        <v>N</v>
      </c>
      <c r="BU2798" s="109">
        <f t="shared" si="2013"/>
        <v>0.99038461538461542</v>
      </c>
      <c r="BV2798" s="109">
        <f t="shared" si="2021"/>
        <v>1</v>
      </c>
      <c r="BW2798" s="109">
        <f t="shared" si="2041"/>
        <v>9.6153846153845812E-3</v>
      </c>
      <c r="BX2798" s="111">
        <f t="shared" si="2014"/>
        <v>0</v>
      </c>
      <c r="BY2798" s="129">
        <f t="shared" si="2022"/>
        <v>-103</v>
      </c>
      <c r="BZ2798" s="111">
        <f t="shared" si="2023"/>
        <v>0</v>
      </c>
      <c r="CA2798" s="138">
        <f t="shared" si="2024"/>
        <v>103</v>
      </c>
      <c r="CB2798" s="111" t="e">
        <f>IF(AF2798&gt;1/1/1900,((AF2798+1)-AE2798),"STILL OPEN")</f>
        <v>#VALUE!</v>
      </c>
      <c r="CC2798" s="129">
        <f>G2798-I2798+1</f>
        <v>103</v>
      </c>
      <c r="CD2798" s="129">
        <f>G2798-J2798</f>
        <v>0</v>
      </c>
      <c r="CG2798" s="129" t="str">
        <f t="shared" si="2025"/>
        <v>N</v>
      </c>
      <c r="CI2798" s="129" t="str">
        <f t="shared" si="2026"/>
        <v>91-120 DAYS</v>
      </c>
      <c r="CJ2798" s="137">
        <f t="shared" si="2027"/>
        <v>0</v>
      </c>
      <c r="CK2798" s="129" t="str">
        <f t="shared" si="2028"/>
        <v>Booked</v>
      </c>
    </row>
    <row r="2799" spans="1:89" ht="15.75" customHeight="1" x14ac:dyDescent="0.25">
      <c r="A2799" s="111">
        <v>1128</v>
      </c>
      <c r="B2799" s="128" t="str">
        <f t="shared" si="2015"/>
        <v>N</v>
      </c>
      <c r="C2799" s="128" t="str">
        <f t="shared" si="2016"/>
        <v>N</v>
      </c>
      <c r="D2799" s="117">
        <v>2604082</v>
      </c>
      <c r="E2799" s="135">
        <f t="shared" si="2017"/>
        <v>2</v>
      </c>
      <c r="F2799" s="124">
        <v>40949</v>
      </c>
      <c r="G2799" s="125">
        <v>41082</v>
      </c>
      <c r="H2799" s="117">
        <v>2604082</v>
      </c>
      <c r="I2799" s="124" t="s">
        <v>562</v>
      </c>
      <c r="J2799" s="124" t="s">
        <v>562</v>
      </c>
      <c r="K2799" s="126">
        <v>5000</v>
      </c>
      <c r="L2799" s="127" t="s">
        <v>569</v>
      </c>
      <c r="M2799" s="125">
        <v>40972</v>
      </c>
      <c r="N2799" s="129" t="str">
        <f>IF(M2799&gt;1/1/1,"Y",IF(Q2799="0","","N"))</f>
        <v>Y</v>
      </c>
      <c r="O2799" s="128" t="s">
        <v>76</v>
      </c>
      <c r="P2799" s="129" t="s">
        <v>589</v>
      </c>
      <c r="Q2799" s="111">
        <f t="shared" si="2040"/>
        <v>0</v>
      </c>
      <c r="R2799" s="111">
        <f t="shared" si="2006"/>
        <v>134</v>
      </c>
      <c r="S2799" s="129">
        <v>0</v>
      </c>
      <c r="T2799" s="129">
        <v>0</v>
      </c>
      <c r="W2799" s="111"/>
      <c r="AC2799" s="130"/>
      <c r="AD2799" s="130">
        <v>27652</v>
      </c>
      <c r="AE2799" s="128" t="s">
        <v>46</v>
      </c>
      <c r="AF2799" s="128" t="s">
        <v>69</v>
      </c>
      <c r="AG2799" s="128" t="s">
        <v>874</v>
      </c>
      <c r="AH2799" s="108" t="s">
        <v>31</v>
      </c>
      <c r="AI2799" s="128" t="s">
        <v>90</v>
      </c>
      <c r="AJ2799" s="129" t="s">
        <v>48</v>
      </c>
      <c r="AK2799" s="129">
        <v>8</v>
      </c>
      <c r="AL2799" s="3" t="s">
        <v>48</v>
      </c>
      <c r="AP2799" s="129" t="s">
        <v>109</v>
      </c>
      <c r="AR2799" s="128" t="s">
        <v>67</v>
      </c>
      <c r="AS2799" s="129" t="s">
        <v>61</v>
      </c>
      <c r="BC2799" s="129" t="s">
        <v>38</v>
      </c>
      <c r="BF2799" s="111">
        <v>0</v>
      </c>
      <c r="BG2799" s="111">
        <v>0</v>
      </c>
      <c r="BH2799" s="111">
        <f t="shared" si="2007"/>
        <v>134</v>
      </c>
      <c r="BI2799" s="111">
        <f t="shared" si="2009"/>
        <v>36.330601092896174</v>
      </c>
      <c r="BJ2799" s="129" t="e">
        <f>(G2799-J2799)+(M2799-G2799)</f>
        <v>#VALUE!</v>
      </c>
      <c r="BK2799" s="129" t="e">
        <f t="shared" si="2008"/>
        <v>#VALUE!</v>
      </c>
      <c r="BL2799" s="129" t="str">
        <f t="shared" si="2005"/>
        <v>DEFERRED</v>
      </c>
      <c r="BM2799" s="129" t="s">
        <v>76</v>
      </c>
      <c r="BN2799" s="129" t="s">
        <v>88</v>
      </c>
      <c r="BP2799" s="137" t="str">
        <f t="shared" si="2010"/>
        <v>DEFERRED</v>
      </c>
      <c r="BQ2799" s="128">
        <f t="shared" si="2019"/>
        <v>0</v>
      </c>
      <c r="BR2799" s="129" t="s">
        <v>575</v>
      </c>
      <c r="BS2799" s="129" t="str">
        <f t="shared" si="2011"/>
        <v>DISPOSED</v>
      </c>
      <c r="BT2799" s="129" t="str">
        <f t="shared" si="2012"/>
        <v>N</v>
      </c>
      <c r="BU2799" s="109">
        <f t="shared" si="2013"/>
        <v>0</v>
      </c>
      <c r="BV2799" s="109">
        <v>0</v>
      </c>
      <c r="BW2799" s="109">
        <f t="shared" si="2041"/>
        <v>0</v>
      </c>
      <c r="BX2799" s="111">
        <f t="shared" si="2014"/>
        <v>0</v>
      </c>
      <c r="BY2799" s="129" t="e">
        <f t="shared" si="2022"/>
        <v>#VALUE!</v>
      </c>
      <c r="BZ2799" s="111" t="e">
        <f t="shared" si="2023"/>
        <v>#VALUE!</v>
      </c>
      <c r="CA2799" s="138" t="e">
        <f t="shared" si="2024"/>
        <v>#VALUE!</v>
      </c>
      <c r="CB2799" s="111">
        <v>0</v>
      </c>
      <c r="CC2799" s="129">
        <v>0</v>
      </c>
      <c r="CD2799" s="111">
        <f>CC2799-BF2799</f>
        <v>0</v>
      </c>
      <c r="CG2799" s="129" t="str">
        <f t="shared" si="2025"/>
        <v>N</v>
      </c>
      <c r="CI2799" s="129" t="str">
        <f t="shared" si="2026"/>
        <v>0-10 DAYS</v>
      </c>
      <c r="CJ2799" s="137">
        <f t="shared" si="2027"/>
        <v>1</v>
      </c>
      <c r="CK2799" s="129" t="str">
        <f t="shared" si="2028"/>
        <v>Not Booked</v>
      </c>
    </row>
    <row r="2800" spans="1:89" ht="15.75" customHeight="1" x14ac:dyDescent="0.25">
      <c r="A2800" s="111">
        <v>1130</v>
      </c>
      <c r="B2800" s="128" t="str">
        <f t="shared" si="2015"/>
        <v>N</v>
      </c>
      <c r="C2800" s="128" t="str">
        <f t="shared" si="2016"/>
        <v>N</v>
      </c>
      <c r="D2800" s="117">
        <v>2604086</v>
      </c>
      <c r="E2800" s="135">
        <f t="shared" si="2017"/>
        <v>2</v>
      </c>
      <c r="F2800" s="124">
        <v>40949</v>
      </c>
      <c r="G2800" s="125">
        <v>41038</v>
      </c>
      <c r="H2800" s="117">
        <v>2604086</v>
      </c>
      <c r="I2800" s="124">
        <v>40950</v>
      </c>
      <c r="J2800" s="124">
        <v>40951</v>
      </c>
      <c r="K2800" s="126">
        <v>20000</v>
      </c>
      <c r="L2800" s="127" t="s">
        <v>571</v>
      </c>
      <c r="M2800" s="125">
        <v>40951</v>
      </c>
      <c r="N2800" s="129" t="str">
        <f t="shared" ref="N2800:N2809" si="2046">IF(M2800&gt;1/1/1,"Y","N")</f>
        <v>Y</v>
      </c>
      <c r="O2800" s="128" t="s">
        <v>76</v>
      </c>
      <c r="P2800" s="129" t="s">
        <v>589</v>
      </c>
      <c r="Q2800" s="111">
        <f t="shared" si="2040"/>
        <v>2</v>
      </c>
      <c r="R2800" s="111">
        <f t="shared" si="2006"/>
        <v>90</v>
      </c>
      <c r="S2800" s="129">
        <v>0</v>
      </c>
      <c r="T2800" s="129">
        <v>0</v>
      </c>
      <c r="W2800" s="111"/>
      <c r="AC2800" s="130"/>
      <c r="AD2800" s="130">
        <v>33246</v>
      </c>
      <c r="AE2800" s="128" t="s">
        <v>32</v>
      </c>
      <c r="AF2800" s="128" t="s">
        <v>69</v>
      </c>
      <c r="AG2800" s="128" t="s">
        <v>874</v>
      </c>
      <c r="AH2800" s="108" t="s">
        <v>31</v>
      </c>
      <c r="AI2800" s="128" t="s">
        <v>80</v>
      </c>
      <c r="AJ2800" s="129" t="s">
        <v>48</v>
      </c>
      <c r="AK2800" s="129">
        <v>4</v>
      </c>
      <c r="AL2800" s="3" t="s">
        <v>48</v>
      </c>
      <c r="AP2800" s="129" t="s">
        <v>188</v>
      </c>
      <c r="AR2800" s="128" t="s">
        <v>67</v>
      </c>
      <c r="AS2800" s="129" t="s">
        <v>64</v>
      </c>
      <c r="BC2800" s="129" t="s">
        <v>52</v>
      </c>
      <c r="BF2800" s="111">
        <f t="shared" ref="BF2800:BF2809" si="2047">IF(J2800&gt;1/1/1900,((J2800+1)-I2800),"STILL OPEN")</f>
        <v>2</v>
      </c>
      <c r="BG2800" s="111">
        <f t="shared" ref="BG2800:BG2809" si="2048">IF(G2800&gt;1/1/1900,((G2800+1)-I2800),"STILL OPEN")</f>
        <v>89</v>
      </c>
      <c r="BH2800" s="111">
        <f t="shared" si="2007"/>
        <v>90</v>
      </c>
      <c r="BI2800" s="111">
        <f t="shared" si="2009"/>
        <v>21.046448087431695</v>
      </c>
      <c r="BJ2800" s="129">
        <f>(G2800-J2800)+(M2800-G2800)</f>
        <v>0</v>
      </c>
      <c r="BK2800" s="129">
        <f t="shared" si="2008"/>
        <v>-87</v>
      </c>
      <c r="BL2800" s="129" t="str">
        <f t="shared" si="2005"/>
        <v>DEFERRED</v>
      </c>
      <c r="BM2800" s="129" t="s">
        <v>76</v>
      </c>
      <c r="BN2800" s="129" t="s">
        <v>88</v>
      </c>
      <c r="BP2800" s="137" t="str">
        <f t="shared" si="2010"/>
        <v>DEFERRED</v>
      </c>
      <c r="BQ2800" s="128" t="str">
        <f t="shared" si="2019"/>
        <v>Y</v>
      </c>
      <c r="BR2800" s="129" t="str">
        <f t="shared" si="2020"/>
        <v>ON BOND</v>
      </c>
      <c r="BS2800" s="129" t="str">
        <f t="shared" si="2011"/>
        <v>DISPOSED</v>
      </c>
      <c r="BT2800" s="129" t="str">
        <f t="shared" si="2012"/>
        <v>N</v>
      </c>
      <c r="BU2800" s="109">
        <f t="shared" si="2013"/>
        <v>2.2222222222222223E-2</v>
      </c>
      <c r="BV2800" s="109">
        <f t="shared" si="2021"/>
        <v>2.247191011235955E-2</v>
      </c>
      <c r="BW2800" s="109">
        <f t="shared" si="2041"/>
        <v>2.4968789013732687E-4</v>
      </c>
      <c r="BX2800" s="111">
        <f t="shared" si="2014"/>
        <v>0</v>
      </c>
      <c r="BY2800" s="129">
        <f t="shared" si="2022"/>
        <v>-2</v>
      </c>
      <c r="BZ2800" s="111">
        <f t="shared" si="2023"/>
        <v>0</v>
      </c>
      <c r="CA2800" s="138">
        <f t="shared" si="2024"/>
        <v>2</v>
      </c>
      <c r="CB2800" s="111" t="e">
        <f t="shared" ref="CB2800:CB2809" si="2049">IF(AF2800&gt;1/1/1900,((AF2800+1)-AE2800),"STILL OPEN")</f>
        <v>#VALUE!</v>
      </c>
      <c r="CC2800" s="129">
        <f>M2800-I2800+1</f>
        <v>2</v>
      </c>
      <c r="CD2800" s="111">
        <f>CC2800-BF2800</f>
        <v>0</v>
      </c>
      <c r="CG2800" s="129" t="str">
        <f t="shared" si="2025"/>
        <v>N</v>
      </c>
      <c r="CI2800" s="129" t="str">
        <f t="shared" si="2026"/>
        <v>0-10 DAYS</v>
      </c>
      <c r="CJ2800" s="137">
        <f t="shared" si="2027"/>
        <v>1</v>
      </c>
      <c r="CK2800" s="129" t="str">
        <f t="shared" si="2028"/>
        <v>Booked</v>
      </c>
    </row>
    <row r="2801" spans="1:89" ht="15" customHeight="1" x14ac:dyDescent="0.25">
      <c r="A2801" s="111">
        <v>1138</v>
      </c>
      <c r="B2801" s="128" t="str">
        <f t="shared" si="2015"/>
        <v>N</v>
      </c>
      <c r="C2801" s="128" t="str">
        <f t="shared" si="2016"/>
        <v>N</v>
      </c>
      <c r="D2801" s="117">
        <v>2604106</v>
      </c>
      <c r="E2801" s="135">
        <f t="shared" si="2017"/>
        <v>2</v>
      </c>
      <c r="F2801" s="124">
        <v>40949</v>
      </c>
      <c r="G2801" s="125">
        <v>40977</v>
      </c>
      <c r="H2801" s="117">
        <v>2604106</v>
      </c>
      <c r="I2801" s="124">
        <v>40952</v>
      </c>
      <c r="J2801" s="124">
        <v>40977</v>
      </c>
      <c r="K2801" s="126">
        <v>10000</v>
      </c>
      <c r="L2801" s="127" t="s">
        <v>570</v>
      </c>
      <c r="N2801" s="129" t="str">
        <f t="shared" si="2046"/>
        <v>N</v>
      </c>
      <c r="O2801" s="128" t="s">
        <v>917</v>
      </c>
      <c r="P2801" s="129" t="s">
        <v>589</v>
      </c>
      <c r="Q2801" s="111">
        <f t="shared" si="2040"/>
        <v>26</v>
      </c>
      <c r="R2801" s="111">
        <f t="shared" si="2006"/>
        <v>29</v>
      </c>
      <c r="S2801" s="129">
        <v>0</v>
      </c>
      <c r="T2801" s="129">
        <v>0</v>
      </c>
      <c r="W2801" s="111"/>
      <c r="AC2801" s="130"/>
      <c r="AD2801" s="130">
        <v>33474</v>
      </c>
      <c r="AE2801" s="128" t="s">
        <v>32</v>
      </c>
      <c r="AF2801" s="128" t="s">
        <v>69</v>
      </c>
      <c r="AG2801" s="128" t="s">
        <v>874</v>
      </c>
      <c r="AH2801" s="108" t="s">
        <v>31</v>
      </c>
      <c r="AI2801" s="128" t="s">
        <v>100</v>
      </c>
      <c r="AJ2801" s="129" t="s">
        <v>48</v>
      </c>
      <c r="AK2801" s="129">
        <v>4</v>
      </c>
      <c r="AL2801" s="3" t="s">
        <v>48</v>
      </c>
      <c r="AP2801" s="129" t="s">
        <v>56</v>
      </c>
      <c r="AR2801" s="128" t="s">
        <v>50</v>
      </c>
      <c r="AS2801" s="129" t="s">
        <v>57</v>
      </c>
      <c r="BC2801" s="129" t="s">
        <v>38</v>
      </c>
      <c r="BF2801" s="111">
        <f t="shared" si="2047"/>
        <v>26</v>
      </c>
      <c r="BG2801" s="111">
        <f t="shared" si="2048"/>
        <v>26</v>
      </c>
      <c r="BH2801" s="111">
        <f t="shared" si="2007"/>
        <v>29</v>
      </c>
      <c r="BI2801" s="111">
        <f t="shared" si="2009"/>
        <v>20.423497267759561</v>
      </c>
      <c r="BJ2801" s="129">
        <f>G2801-J2801-M2801</f>
        <v>0</v>
      </c>
      <c r="BK2801" s="129">
        <f t="shared" si="2008"/>
        <v>0</v>
      </c>
      <c r="BL2801" s="129" t="str">
        <f t="shared" si="2005"/>
        <v>DEFERRED</v>
      </c>
      <c r="BM2801" s="129" t="str">
        <f>O2801</f>
        <v>NONE</v>
      </c>
      <c r="BN2801" s="129" t="s">
        <v>566</v>
      </c>
      <c r="BP2801" s="137" t="str">
        <f t="shared" si="2010"/>
        <v>DEFERRED</v>
      </c>
      <c r="BQ2801" s="128" t="str">
        <f t="shared" si="2019"/>
        <v>Y</v>
      </c>
      <c r="BR2801" s="129" t="str">
        <f t="shared" si="2020"/>
        <v>DETAINED</v>
      </c>
      <c r="BS2801" s="129" t="str">
        <f t="shared" si="2011"/>
        <v>DISPOSED</v>
      </c>
      <c r="BT2801" s="129" t="str">
        <f t="shared" si="2012"/>
        <v>N</v>
      </c>
      <c r="BU2801" s="109">
        <f t="shared" si="2013"/>
        <v>0.89655172413793105</v>
      </c>
      <c r="BV2801" s="109">
        <f t="shared" si="2021"/>
        <v>1</v>
      </c>
      <c r="BW2801" s="109">
        <f t="shared" si="2041"/>
        <v>0.10344827586206895</v>
      </c>
      <c r="BX2801" s="111">
        <f t="shared" si="2014"/>
        <v>0</v>
      </c>
      <c r="BY2801" s="129">
        <f t="shared" si="2022"/>
        <v>-26</v>
      </c>
      <c r="BZ2801" s="111">
        <f t="shared" si="2023"/>
        <v>0</v>
      </c>
      <c r="CA2801" s="138">
        <f t="shared" si="2024"/>
        <v>26</v>
      </c>
      <c r="CB2801" s="111" t="e">
        <f t="shared" si="2049"/>
        <v>#VALUE!</v>
      </c>
      <c r="CC2801" s="129">
        <f>G2801-I2801+1</f>
        <v>26</v>
      </c>
      <c r="CD2801" s="129">
        <f>G2801-J2801</f>
        <v>0</v>
      </c>
      <c r="CG2801" s="129" t="str">
        <f t="shared" si="2025"/>
        <v>N</v>
      </c>
      <c r="CI2801" s="129" t="str">
        <f t="shared" si="2026"/>
        <v>11-30 DAYS</v>
      </c>
      <c r="CJ2801" s="137">
        <f t="shared" si="2027"/>
        <v>2</v>
      </c>
      <c r="CK2801" s="129" t="str">
        <f t="shared" si="2028"/>
        <v>Booked</v>
      </c>
    </row>
    <row r="2802" spans="1:89" ht="15.75" customHeight="1" x14ac:dyDescent="0.25">
      <c r="A2802" s="111">
        <v>1140</v>
      </c>
      <c r="B2802" s="128" t="str">
        <f t="shared" si="2015"/>
        <v>N</v>
      </c>
      <c r="C2802" s="128" t="str">
        <f t="shared" si="2016"/>
        <v>N</v>
      </c>
      <c r="D2802" s="117">
        <v>2604109</v>
      </c>
      <c r="E2802" s="135">
        <f t="shared" si="2017"/>
        <v>1</v>
      </c>
      <c r="F2802" s="124">
        <v>40949</v>
      </c>
      <c r="G2802" s="125">
        <v>41086</v>
      </c>
      <c r="H2802" s="117">
        <v>2604109</v>
      </c>
      <c r="I2802" s="124">
        <v>40953</v>
      </c>
      <c r="J2802" s="124">
        <v>41086</v>
      </c>
      <c r="K2802" s="126">
        <v>35000</v>
      </c>
      <c r="L2802" s="129" t="s">
        <v>572</v>
      </c>
      <c r="N2802" s="129" t="str">
        <f t="shared" si="2046"/>
        <v>N</v>
      </c>
      <c r="O2802" s="128" t="s">
        <v>917</v>
      </c>
      <c r="P2802" s="129" t="s">
        <v>55</v>
      </c>
      <c r="Q2802" s="111">
        <f t="shared" si="2040"/>
        <v>134</v>
      </c>
      <c r="R2802" s="111">
        <f t="shared" si="2006"/>
        <v>138</v>
      </c>
      <c r="S2802" s="129">
        <v>0</v>
      </c>
      <c r="T2802" s="129">
        <v>0</v>
      </c>
      <c r="W2802" s="111"/>
      <c r="AB2802" s="131" t="s">
        <v>112</v>
      </c>
      <c r="AC2802" s="130"/>
      <c r="AD2802" s="130">
        <v>33980</v>
      </c>
      <c r="AE2802" s="128" t="s">
        <v>32</v>
      </c>
      <c r="AF2802" s="128" t="s">
        <v>40</v>
      </c>
      <c r="AG2802" s="128" t="s">
        <v>41</v>
      </c>
      <c r="AH2802" s="108" t="s">
        <v>31</v>
      </c>
      <c r="AI2802" s="128" t="s">
        <v>90</v>
      </c>
      <c r="AJ2802" s="129" t="s">
        <v>55</v>
      </c>
      <c r="AK2802" s="129">
        <v>12</v>
      </c>
      <c r="AL2802" s="3" t="s">
        <v>55</v>
      </c>
      <c r="AP2802" s="129" t="s">
        <v>249</v>
      </c>
      <c r="AR2802" s="128" t="s">
        <v>50</v>
      </c>
      <c r="AS2802" s="129" t="s">
        <v>163</v>
      </c>
      <c r="BC2802" s="129" t="s">
        <v>52</v>
      </c>
      <c r="BF2802" s="111">
        <f t="shared" si="2047"/>
        <v>134</v>
      </c>
      <c r="BG2802" s="111">
        <f t="shared" si="2048"/>
        <v>134</v>
      </c>
      <c r="BH2802" s="111">
        <f t="shared" si="2007"/>
        <v>138</v>
      </c>
      <c r="BI2802" s="111">
        <f t="shared" si="2009"/>
        <v>19.040983606557376</v>
      </c>
      <c r="BJ2802" s="129">
        <f>G2802-J2802-M2802</f>
        <v>0</v>
      </c>
      <c r="BK2802" s="129">
        <f t="shared" si="2008"/>
        <v>0</v>
      </c>
      <c r="BL2802" s="129" t="str">
        <f t="shared" si="2005"/>
        <v>NO CONVICTION</v>
      </c>
      <c r="BM2802" s="129" t="str">
        <f>O2802</f>
        <v>NONE</v>
      </c>
      <c r="BN2802" s="129" t="s">
        <v>566</v>
      </c>
      <c r="BP2802" s="137" t="str">
        <f t="shared" si="2010"/>
        <v>NO CONVICTION</v>
      </c>
      <c r="BQ2802" s="128" t="str">
        <f t="shared" si="2019"/>
        <v>Y</v>
      </c>
      <c r="BR2802" s="129" t="str">
        <f t="shared" si="2020"/>
        <v>DETAINED</v>
      </c>
      <c r="BS2802" s="129" t="str">
        <f t="shared" si="2011"/>
        <v>DISPOSED</v>
      </c>
      <c r="BT2802" s="129" t="str">
        <f t="shared" si="2012"/>
        <v>N</v>
      </c>
      <c r="BU2802" s="109">
        <f>IFERROR(Q2802/R2802,BR2802)</f>
        <v>0.97101449275362317</v>
      </c>
      <c r="BV2802" s="109">
        <f t="shared" si="2021"/>
        <v>1</v>
      </c>
      <c r="BW2802" s="109">
        <f t="shared" si="2041"/>
        <v>2.8985507246376829E-2</v>
      </c>
      <c r="BX2802" s="111">
        <f t="shared" si="2014"/>
        <v>0</v>
      </c>
      <c r="BY2802" s="129">
        <f t="shared" si="2022"/>
        <v>-134</v>
      </c>
      <c r="BZ2802" s="111">
        <f t="shared" si="2023"/>
        <v>0</v>
      </c>
      <c r="CA2802" s="138">
        <f t="shared" si="2024"/>
        <v>134</v>
      </c>
      <c r="CB2802" s="111" t="e">
        <f t="shared" si="2049"/>
        <v>#VALUE!</v>
      </c>
      <c r="CC2802" s="129">
        <f>G2802-I2802+1</f>
        <v>134</v>
      </c>
      <c r="CD2802" s="129">
        <f>G2802-J2802</f>
        <v>0</v>
      </c>
      <c r="CG2802" s="129" t="str">
        <f t="shared" si="2025"/>
        <v>N</v>
      </c>
      <c r="CI2802" s="129" t="str">
        <f t="shared" si="2026"/>
        <v>121-365 DAYS</v>
      </c>
      <c r="CJ2802" s="137">
        <f t="shared" si="2027"/>
        <v>6</v>
      </c>
      <c r="CK2802" s="129" t="str">
        <f t="shared" si="2028"/>
        <v>Booked</v>
      </c>
    </row>
    <row r="2803" spans="1:89" ht="15.75" customHeight="1" x14ac:dyDescent="0.25">
      <c r="A2803" s="111">
        <v>1149</v>
      </c>
      <c r="B2803" s="128" t="str">
        <f t="shared" si="2015"/>
        <v>N</v>
      </c>
      <c r="C2803" s="128" t="str">
        <f t="shared" si="2016"/>
        <v>Y</v>
      </c>
      <c r="D2803" s="117">
        <v>2604155</v>
      </c>
      <c r="E2803" s="135">
        <f t="shared" si="2017"/>
        <v>1</v>
      </c>
      <c r="F2803" s="124">
        <v>40950</v>
      </c>
      <c r="G2803" s="125">
        <v>41030</v>
      </c>
      <c r="H2803" s="117">
        <v>2604155</v>
      </c>
      <c r="I2803" s="124">
        <v>40950</v>
      </c>
      <c r="J2803" s="124">
        <v>40952</v>
      </c>
      <c r="K2803" s="126">
        <v>12000</v>
      </c>
      <c r="L2803" s="127" t="s">
        <v>571</v>
      </c>
      <c r="M2803" s="125">
        <v>40952</v>
      </c>
      <c r="N2803" s="129" t="str">
        <f t="shared" si="2046"/>
        <v>Y</v>
      </c>
      <c r="O2803" s="112" t="s">
        <v>160</v>
      </c>
      <c r="P2803" s="129" t="s">
        <v>55</v>
      </c>
      <c r="Q2803" s="111">
        <v>19</v>
      </c>
      <c r="R2803" s="111">
        <f t="shared" si="2006"/>
        <v>81</v>
      </c>
      <c r="S2803" s="129">
        <v>0</v>
      </c>
      <c r="T2803" s="129">
        <v>0</v>
      </c>
      <c r="W2803" s="111"/>
      <c r="AC2803" s="130"/>
      <c r="AD2803" s="130">
        <v>31134</v>
      </c>
      <c r="AE2803" s="128" t="s">
        <v>46</v>
      </c>
      <c r="AF2803" s="128" t="s">
        <v>33</v>
      </c>
      <c r="AG2803" s="128" t="s">
        <v>872</v>
      </c>
      <c r="AH2803" s="108" t="s">
        <v>31</v>
      </c>
      <c r="AI2803" s="128" t="s">
        <v>83</v>
      </c>
      <c r="AJ2803" s="129" t="s">
        <v>55</v>
      </c>
      <c r="AK2803" s="129">
        <v>3</v>
      </c>
      <c r="AL2803" s="3" t="s">
        <v>55</v>
      </c>
      <c r="AP2803" s="129" t="s">
        <v>43</v>
      </c>
      <c r="AR2803" s="128" t="s">
        <v>44</v>
      </c>
      <c r="AS2803" s="129" t="s">
        <v>45</v>
      </c>
      <c r="AU2803" s="3" t="s">
        <v>712</v>
      </c>
      <c r="AX2803" s="32" t="s">
        <v>88</v>
      </c>
      <c r="BC2803" s="129" t="s">
        <v>38</v>
      </c>
      <c r="BF2803" s="111">
        <v>19</v>
      </c>
      <c r="BG2803" s="111">
        <f t="shared" si="2048"/>
        <v>81</v>
      </c>
      <c r="BH2803" s="111">
        <f t="shared" si="2007"/>
        <v>81</v>
      </c>
      <c r="BI2803" s="111">
        <f t="shared" si="2009"/>
        <v>26.819672131147541</v>
      </c>
      <c r="BJ2803" s="129">
        <f>(G2803-J2803)+(M2803-G2803)</f>
        <v>0</v>
      </c>
      <c r="BK2803" s="129">
        <f t="shared" si="2008"/>
        <v>-78</v>
      </c>
      <c r="BL2803" s="129" t="str">
        <f t="shared" si="2005"/>
        <v>NO CONVICTION</v>
      </c>
      <c r="BM2803" s="129" t="s">
        <v>160</v>
      </c>
      <c r="BN2803" s="129" t="s">
        <v>88</v>
      </c>
      <c r="BP2803" s="137" t="str">
        <f t="shared" si="2010"/>
        <v>NO CONVICTION</v>
      </c>
      <c r="BQ2803" s="128" t="str">
        <f t="shared" si="2019"/>
        <v>Y</v>
      </c>
      <c r="BR2803" s="129" t="str">
        <f t="shared" si="2020"/>
        <v>ON BOND</v>
      </c>
      <c r="BS2803" s="129" t="str">
        <f t="shared" si="2011"/>
        <v>DISPOSED</v>
      </c>
      <c r="BT2803" s="129" t="str">
        <f t="shared" si="2012"/>
        <v>N</v>
      </c>
      <c r="BU2803" s="109">
        <f>IFERROR(Q2803/R2803,BR2803)</f>
        <v>0.23456790123456789</v>
      </c>
      <c r="BV2803" s="109">
        <f t="shared" si="2021"/>
        <v>3.7037037037037035E-2</v>
      </c>
      <c r="BW2803" s="109">
        <f t="shared" si="2041"/>
        <v>-0.19753086419753085</v>
      </c>
      <c r="BX2803" s="111">
        <f t="shared" si="2014"/>
        <v>0</v>
      </c>
      <c r="BY2803" s="129">
        <f t="shared" si="2022"/>
        <v>-3</v>
      </c>
      <c r="BZ2803" s="111">
        <f t="shared" si="2023"/>
        <v>16</v>
      </c>
      <c r="CA2803" s="138">
        <f t="shared" si="2024"/>
        <v>3</v>
      </c>
      <c r="CB2803" s="111">
        <v>19</v>
      </c>
      <c r="CD2803" s="129">
        <f>G2803-J2803</f>
        <v>78</v>
      </c>
      <c r="CG2803" s="129" t="str">
        <f t="shared" si="2025"/>
        <v>N</v>
      </c>
      <c r="CI2803" s="129" t="str">
        <f t="shared" si="2026"/>
        <v>11-30 DAYS</v>
      </c>
      <c r="CJ2803" s="137">
        <f t="shared" si="2027"/>
        <v>2</v>
      </c>
      <c r="CK2803" s="129" t="str">
        <f t="shared" si="2028"/>
        <v>Booked</v>
      </c>
    </row>
    <row r="2804" spans="1:89" ht="15" customHeight="1" x14ac:dyDescent="0.25">
      <c r="A2804" s="111">
        <v>1150</v>
      </c>
      <c r="B2804" s="128" t="str">
        <f t="shared" si="2015"/>
        <v>N</v>
      </c>
      <c r="C2804" s="128" t="str">
        <f t="shared" si="2016"/>
        <v>N</v>
      </c>
      <c r="D2804" s="117">
        <v>2604156</v>
      </c>
      <c r="E2804" s="135">
        <f t="shared" si="2017"/>
        <v>2</v>
      </c>
      <c r="F2804" s="124">
        <v>40950</v>
      </c>
      <c r="G2804" s="125">
        <v>40952</v>
      </c>
      <c r="H2804" s="117">
        <v>2604156</v>
      </c>
      <c r="I2804" s="124">
        <v>40950</v>
      </c>
      <c r="J2804" s="124">
        <v>40952</v>
      </c>
      <c r="K2804" s="126">
        <v>2000</v>
      </c>
      <c r="L2804" s="127" t="s">
        <v>568</v>
      </c>
      <c r="N2804" s="129" t="str">
        <f t="shared" si="2046"/>
        <v>N</v>
      </c>
      <c r="O2804" s="128" t="s">
        <v>917</v>
      </c>
      <c r="P2804" s="129" t="s">
        <v>589</v>
      </c>
      <c r="Q2804" s="111">
        <f t="shared" si="2040"/>
        <v>3</v>
      </c>
      <c r="R2804" s="111">
        <f t="shared" si="2006"/>
        <v>3</v>
      </c>
      <c r="S2804" s="129">
        <v>0</v>
      </c>
      <c r="T2804" s="129">
        <v>0</v>
      </c>
      <c r="W2804" s="111"/>
      <c r="AB2804" s="131" t="s">
        <v>112</v>
      </c>
      <c r="AC2804" s="130"/>
      <c r="AD2804" s="130">
        <v>25886</v>
      </c>
      <c r="AE2804" s="128" t="s">
        <v>46</v>
      </c>
      <c r="AF2804" s="128" t="s">
        <v>40</v>
      </c>
      <c r="AG2804" s="128" t="s">
        <v>41</v>
      </c>
      <c r="AH2804" s="108" t="s">
        <v>31</v>
      </c>
      <c r="AI2804" s="128" t="s">
        <v>72</v>
      </c>
      <c r="AJ2804" s="129" t="s">
        <v>48</v>
      </c>
      <c r="AK2804" s="129">
        <v>1</v>
      </c>
      <c r="AL2804" s="3" t="s">
        <v>48</v>
      </c>
      <c r="AP2804" s="129" t="s">
        <v>43</v>
      </c>
      <c r="AR2804" s="128" t="s">
        <v>44</v>
      </c>
      <c r="AS2804" s="129" t="s">
        <v>45</v>
      </c>
      <c r="AX2804" s="32"/>
      <c r="BC2804" s="129" t="s">
        <v>38</v>
      </c>
      <c r="BF2804" s="111">
        <f t="shared" si="2047"/>
        <v>3</v>
      </c>
      <c r="BG2804" s="111">
        <f t="shared" si="2048"/>
        <v>3</v>
      </c>
      <c r="BH2804" s="111">
        <f t="shared" si="2007"/>
        <v>3</v>
      </c>
      <c r="BI2804" s="111">
        <f t="shared" si="2009"/>
        <v>41.158469945355193</v>
      </c>
      <c r="BJ2804" s="129">
        <f>G2804-J2804-M2804</f>
        <v>0</v>
      </c>
      <c r="BK2804" s="129">
        <f t="shared" si="2008"/>
        <v>0</v>
      </c>
      <c r="BL2804" s="129" t="str">
        <f t="shared" si="2005"/>
        <v>DEFERRED</v>
      </c>
      <c r="BM2804" s="129" t="str">
        <f>O2804</f>
        <v>NONE</v>
      </c>
      <c r="BN2804" s="129" t="s">
        <v>566</v>
      </c>
      <c r="BP2804" s="137" t="str">
        <f t="shared" si="2010"/>
        <v>DEFERRED</v>
      </c>
      <c r="BQ2804" s="128" t="str">
        <f t="shared" si="2019"/>
        <v>Y</v>
      </c>
      <c r="BR2804" s="129" t="str">
        <f t="shared" si="2020"/>
        <v>DETAINED</v>
      </c>
      <c r="BS2804" s="129" t="str">
        <f t="shared" si="2011"/>
        <v>DISPOSED</v>
      </c>
      <c r="BT2804" s="129" t="str">
        <f t="shared" si="2012"/>
        <v>N</v>
      </c>
      <c r="BU2804" s="109">
        <f t="shared" si="2013"/>
        <v>1</v>
      </c>
      <c r="BV2804" s="109">
        <f t="shared" si="2021"/>
        <v>1</v>
      </c>
      <c r="BW2804" s="109">
        <f t="shared" si="2041"/>
        <v>0</v>
      </c>
      <c r="BX2804" s="111">
        <f t="shared" si="2014"/>
        <v>0</v>
      </c>
      <c r="BY2804" s="129">
        <f t="shared" si="2022"/>
        <v>-3</v>
      </c>
      <c r="BZ2804" s="111">
        <f t="shared" si="2023"/>
        <v>0</v>
      </c>
      <c r="CA2804" s="138">
        <f t="shared" si="2024"/>
        <v>3</v>
      </c>
      <c r="CB2804" s="111" t="e">
        <f t="shared" si="2049"/>
        <v>#VALUE!</v>
      </c>
      <c r="CC2804" s="129">
        <f>G2804-I2804+1</f>
        <v>3</v>
      </c>
      <c r="CD2804" s="129">
        <f>G2804-J2804</f>
        <v>0</v>
      </c>
      <c r="CG2804" s="129" t="str">
        <f t="shared" si="2025"/>
        <v>N</v>
      </c>
      <c r="CI2804" s="129" t="str">
        <f t="shared" si="2026"/>
        <v>0-10 DAYS</v>
      </c>
      <c r="CJ2804" s="137">
        <f t="shared" si="2027"/>
        <v>1</v>
      </c>
      <c r="CK2804" s="129" t="str">
        <f t="shared" si="2028"/>
        <v>Booked</v>
      </c>
    </row>
    <row r="2805" spans="1:89" ht="15" customHeight="1" x14ac:dyDescent="0.25">
      <c r="A2805" s="111">
        <v>1155</v>
      </c>
      <c r="B2805" s="128" t="str">
        <f t="shared" si="2015"/>
        <v>N</v>
      </c>
      <c r="C2805" s="128" t="str">
        <f t="shared" si="2016"/>
        <v>N</v>
      </c>
      <c r="D2805" s="117">
        <v>2604183</v>
      </c>
      <c r="E2805" s="135">
        <f t="shared" si="2017"/>
        <v>2</v>
      </c>
      <c r="F2805" s="124">
        <v>40950</v>
      </c>
      <c r="G2805" s="125">
        <v>40952</v>
      </c>
      <c r="H2805" s="117">
        <v>2604183</v>
      </c>
      <c r="I2805" s="124">
        <v>40950</v>
      </c>
      <c r="J2805" s="124">
        <v>40951</v>
      </c>
      <c r="K2805" s="126">
        <v>2000</v>
      </c>
      <c r="L2805" s="127" t="s">
        <v>568</v>
      </c>
      <c r="M2805" s="125">
        <v>40951</v>
      </c>
      <c r="N2805" s="129" t="str">
        <f t="shared" si="2046"/>
        <v>Y</v>
      </c>
      <c r="O2805" s="128" t="s">
        <v>76</v>
      </c>
      <c r="P2805" s="129" t="s">
        <v>589</v>
      </c>
      <c r="Q2805" s="111">
        <f t="shared" si="2040"/>
        <v>2</v>
      </c>
      <c r="R2805" s="111">
        <f t="shared" si="2006"/>
        <v>3</v>
      </c>
      <c r="S2805" s="129">
        <v>0</v>
      </c>
      <c r="T2805" s="129">
        <v>0</v>
      </c>
      <c r="W2805" s="111"/>
      <c r="AB2805" s="131" t="s">
        <v>112</v>
      </c>
      <c r="AC2805" s="130"/>
      <c r="AD2805" s="130">
        <v>34258</v>
      </c>
      <c r="AE2805" s="128" t="s">
        <v>32</v>
      </c>
      <c r="AF2805" s="128" t="s">
        <v>40</v>
      </c>
      <c r="AG2805" s="128" t="s">
        <v>41</v>
      </c>
      <c r="AH2805" s="108" t="s">
        <v>31</v>
      </c>
      <c r="AI2805" s="128" t="s">
        <v>114</v>
      </c>
      <c r="AJ2805" s="129" t="s">
        <v>48</v>
      </c>
      <c r="AK2805" s="129">
        <v>1</v>
      </c>
      <c r="AL2805" s="3" t="s">
        <v>48</v>
      </c>
      <c r="AP2805" s="129" t="s">
        <v>297</v>
      </c>
      <c r="AR2805" s="128" t="s">
        <v>44</v>
      </c>
      <c r="AS2805" s="129" t="s">
        <v>82</v>
      </c>
      <c r="AT2805" s="129" t="s">
        <v>614</v>
      </c>
      <c r="BC2805" s="129" t="s">
        <v>52</v>
      </c>
      <c r="BF2805" s="111">
        <f t="shared" si="2047"/>
        <v>2</v>
      </c>
      <c r="BG2805" s="111">
        <f t="shared" si="2048"/>
        <v>3</v>
      </c>
      <c r="BH2805" s="111">
        <f t="shared" si="2007"/>
        <v>3</v>
      </c>
      <c r="BI2805" s="111">
        <f t="shared" si="2009"/>
        <v>18.284153005464482</v>
      </c>
      <c r="BJ2805" s="129">
        <f>(G2805-J2805)+(M2805-G2805)</f>
        <v>0</v>
      </c>
      <c r="BK2805" s="129">
        <f t="shared" si="2008"/>
        <v>-1</v>
      </c>
      <c r="BL2805" s="129" t="str">
        <f t="shared" si="2005"/>
        <v>DEFERRED</v>
      </c>
      <c r="BM2805" s="129" t="s">
        <v>76</v>
      </c>
      <c r="BN2805" s="129" t="s">
        <v>88</v>
      </c>
      <c r="BP2805" s="137" t="str">
        <f t="shared" si="2010"/>
        <v>DEFERRED</v>
      </c>
      <c r="BQ2805" s="128" t="str">
        <f t="shared" si="2019"/>
        <v>Y</v>
      </c>
      <c r="BR2805" s="129" t="str">
        <f t="shared" si="2020"/>
        <v>ON BOND</v>
      </c>
      <c r="BS2805" s="129" t="str">
        <f t="shared" si="2011"/>
        <v>DISPOSED</v>
      </c>
      <c r="BT2805" s="129" t="str">
        <f t="shared" si="2012"/>
        <v>N</v>
      </c>
      <c r="BU2805" s="109">
        <f t="shared" si="2013"/>
        <v>0.66666666666666663</v>
      </c>
      <c r="BV2805" s="109">
        <f t="shared" si="2021"/>
        <v>0.66666666666666663</v>
      </c>
      <c r="BW2805" s="109">
        <f t="shared" si="2041"/>
        <v>0</v>
      </c>
      <c r="BX2805" s="111">
        <f t="shared" si="2014"/>
        <v>0</v>
      </c>
      <c r="BY2805" s="129">
        <f t="shared" si="2022"/>
        <v>-2</v>
      </c>
      <c r="BZ2805" s="111">
        <f t="shared" si="2023"/>
        <v>0</v>
      </c>
      <c r="CA2805" s="138">
        <f t="shared" si="2024"/>
        <v>2</v>
      </c>
      <c r="CB2805" s="111" t="e">
        <f t="shared" si="2049"/>
        <v>#VALUE!</v>
      </c>
      <c r="CC2805" s="129">
        <f>M2805-I2805+1</f>
        <v>2</v>
      </c>
      <c r="CD2805" s="111">
        <f>CC2805-BF2805</f>
        <v>0</v>
      </c>
      <c r="CG2805" s="129" t="str">
        <f t="shared" si="2025"/>
        <v>N</v>
      </c>
      <c r="CI2805" s="129" t="str">
        <f t="shared" si="2026"/>
        <v>0-10 DAYS</v>
      </c>
      <c r="CJ2805" s="137">
        <f t="shared" si="2027"/>
        <v>1</v>
      </c>
      <c r="CK2805" s="129" t="str">
        <f t="shared" si="2028"/>
        <v>Booked</v>
      </c>
    </row>
    <row r="2806" spans="1:89" ht="15.75" customHeight="1" x14ac:dyDescent="0.25">
      <c r="A2806" s="111">
        <v>1162</v>
      </c>
      <c r="B2806" s="128" t="str">
        <f t="shared" si="2015"/>
        <v>N</v>
      </c>
      <c r="C2806" s="128" t="str">
        <f t="shared" si="2016"/>
        <v>N</v>
      </c>
      <c r="D2806" s="117">
        <v>2604220</v>
      </c>
      <c r="E2806" s="135">
        <f t="shared" si="2017"/>
        <v>2</v>
      </c>
      <c r="F2806" s="124">
        <v>40950</v>
      </c>
      <c r="G2806" s="125">
        <v>40952</v>
      </c>
      <c r="H2806" s="117">
        <v>2604220</v>
      </c>
      <c r="I2806" s="124">
        <v>40951</v>
      </c>
      <c r="J2806" s="124">
        <v>40952</v>
      </c>
      <c r="K2806" s="126">
        <v>2000</v>
      </c>
      <c r="L2806" s="127" t="s">
        <v>568</v>
      </c>
      <c r="N2806" s="129" t="str">
        <f t="shared" si="2046"/>
        <v>N</v>
      </c>
      <c r="O2806" s="128" t="s">
        <v>917</v>
      </c>
      <c r="P2806" s="129" t="s">
        <v>589</v>
      </c>
      <c r="Q2806" s="111">
        <f t="shared" si="2040"/>
        <v>2</v>
      </c>
      <c r="R2806" s="111">
        <f t="shared" si="2006"/>
        <v>3</v>
      </c>
      <c r="S2806" s="129">
        <v>0</v>
      </c>
      <c r="T2806" s="129">
        <v>0</v>
      </c>
      <c r="W2806" s="111"/>
      <c r="AC2806" s="130"/>
      <c r="AD2806" s="130">
        <v>34036</v>
      </c>
      <c r="AE2806" s="128" t="s">
        <v>32</v>
      </c>
      <c r="AF2806" s="128" t="s">
        <v>33</v>
      </c>
      <c r="AG2806" s="128" t="s">
        <v>872</v>
      </c>
      <c r="AH2806" s="108" t="s">
        <v>31</v>
      </c>
      <c r="AI2806" s="128" t="s">
        <v>114</v>
      </c>
      <c r="AJ2806" s="129" t="s">
        <v>48</v>
      </c>
      <c r="AK2806" s="129">
        <v>1</v>
      </c>
      <c r="AL2806" s="3" t="s">
        <v>48</v>
      </c>
      <c r="AP2806" s="129" t="s">
        <v>108</v>
      </c>
      <c r="AR2806" s="128" t="s">
        <v>44</v>
      </c>
      <c r="AS2806" s="129" t="s">
        <v>61</v>
      </c>
      <c r="AT2806" s="129" t="s">
        <v>298</v>
      </c>
      <c r="BC2806" s="129" t="s">
        <v>38</v>
      </c>
      <c r="BF2806" s="111">
        <f t="shared" si="2047"/>
        <v>2</v>
      </c>
      <c r="BG2806" s="111">
        <f t="shared" si="2048"/>
        <v>2</v>
      </c>
      <c r="BH2806" s="111">
        <f t="shared" si="2007"/>
        <v>3</v>
      </c>
      <c r="BI2806" s="111">
        <f t="shared" si="2009"/>
        <v>18.89071038251366</v>
      </c>
      <c r="BJ2806" s="129">
        <f>G2806-J2806-M2806</f>
        <v>0</v>
      </c>
      <c r="BK2806" s="129">
        <f t="shared" si="2008"/>
        <v>0</v>
      </c>
      <c r="BL2806" s="129" t="str">
        <f t="shared" ref="BL2806:BL2869" si="2050">IF(OR(AL2806="AQUITTAL",AL2806="DISMISSED",AL2806="FINE",AL2806="NO BILL"),"NO CONVICTION",IF(OR(AL2806="HCJ",AL2806="MHH",AL2806="PROBATION",AL2806="STJ",AL2806="TDC"),"CONVICTION",IF(AL2806="DEFERRED","DEFERRED",0)))</f>
        <v>DEFERRED</v>
      </c>
      <c r="BM2806" s="129" t="str">
        <f>O2806</f>
        <v>NONE</v>
      </c>
      <c r="BN2806" s="129" t="s">
        <v>566</v>
      </c>
      <c r="BP2806" s="137" t="str">
        <f t="shared" si="2010"/>
        <v>DEFERRED</v>
      </c>
      <c r="BQ2806" s="128" t="str">
        <f t="shared" si="2019"/>
        <v>Y</v>
      </c>
      <c r="BR2806" s="129" t="str">
        <f t="shared" si="2020"/>
        <v>DETAINED</v>
      </c>
      <c r="BS2806" s="129" t="str">
        <f t="shared" si="2011"/>
        <v>DISPOSED</v>
      </c>
      <c r="BT2806" s="129" t="str">
        <f t="shared" si="2012"/>
        <v>N</v>
      </c>
      <c r="BU2806" s="109">
        <f t="shared" si="2013"/>
        <v>0.66666666666666663</v>
      </c>
      <c r="BV2806" s="109">
        <f t="shared" si="2021"/>
        <v>1</v>
      </c>
      <c r="BW2806" s="109">
        <f t="shared" si="2041"/>
        <v>0.33333333333333337</v>
      </c>
      <c r="BX2806" s="111">
        <f t="shared" si="2014"/>
        <v>0</v>
      </c>
      <c r="BY2806" s="129">
        <f t="shared" si="2022"/>
        <v>-2</v>
      </c>
      <c r="BZ2806" s="111">
        <f t="shared" si="2023"/>
        <v>0</v>
      </c>
      <c r="CA2806" s="138">
        <f t="shared" si="2024"/>
        <v>2</v>
      </c>
      <c r="CB2806" s="111" t="e">
        <f t="shared" si="2049"/>
        <v>#VALUE!</v>
      </c>
      <c r="CC2806" s="129">
        <f>G2806-I2806+1</f>
        <v>2</v>
      </c>
      <c r="CD2806" s="129">
        <f>G2806-J2806</f>
        <v>0</v>
      </c>
      <c r="CG2806" s="129" t="str">
        <f t="shared" si="2025"/>
        <v>N</v>
      </c>
      <c r="CI2806" s="129" t="str">
        <f t="shared" si="2026"/>
        <v>0-10 DAYS</v>
      </c>
      <c r="CJ2806" s="137">
        <f t="shared" si="2027"/>
        <v>1</v>
      </c>
      <c r="CK2806" s="129" t="str">
        <f t="shared" si="2028"/>
        <v>Booked</v>
      </c>
    </row>
    <row r="2807" spans="1:89" ht="15.75" customHeight="1" x14ac:dyDescent="0.25">
      <c r="A2807" s="111">
        <v>1180</v>
      </c>
      <c r="B2807" s="128" t="str">
        <f t="shared" si="2015"/>
        <v>N</v>
      </c>
      <c r="C2807" s="128" t="str">
        <f t="shared" si="2016"/>
        <v>N</v>
      </c>
      <c r="D2807" s="117">
        <v>2604339</v>
      </c>
      <c r="E2807" s="135">
        <f t="shared" si="2017"/>
        <v>5</v>
      </c>
      <c r="F2807" s="124">
        <v>40952</v>
      </c>
      <c r="G2807" s="125">
        <v>41088</v>
      </c>
      <c r="H2807" s="117">
        <v>2604339</v>
      </c>
      <c r="I2807" s="124">
        <v>40952</v>
      </c>
      <c r="J2807" s="124">
        <v>41088</v>
      </c>
      <c r="K2807" s="126">
        <v>35000</v>
      </c>
      <c r="L2807" s="129" t="s">
        <v>572</v>
      </c>
      <c r="N2807" s="129" t="str">
        <f t="shared" si="2046"/>
        <v>N</v>
      </c>
      <c r="O2807" s="128" t="s">
        <v>917</v>
      </c>
      <c r="P2807" s="129" t="s">
        <v>39</v>
      </c>
      <c r="Q2807" s="111">
        <f t="shared" si="2040"/>
        <v>137</v>
      </c>
      <c r="R2807" s="111">
        <f t="shared" si="2006"/>
        <v>137</v>
      </c>
      <c r="S2807" s="129">
        <v>0</v>
      </c>
      <c r="T2807" s="129">
        <v>0</v>
      </c>
      <c r="W2807" s="111"/>
      <c r="AC2807" s="130"/>
      <c r="AD2807" s="130">
        <v>31095</v>
      </c>
      <c r="AE2807" s="128" t="s">
        <v>46</v>
      </c>
      <c r="AF2807" s="128" t="s">
        <v>69</v>
      </c>
      <c r="AG2807" s="128" t="s">
        <v>874</v>
      </c>
      <c r="AH2807" s="108" t="s">
        <v>31</v>
      </c>
      <c r="AI2807" s="128" t="s">
        <v>87</v>
      </c>
      <c r="AJ2807" s="129" t="s">
        <v>89</v>
      </c>
      <c r="AK2807" s="129">
        <v>7</v>
      </c>
      <c r="AL2807" s="3" t="s">
        <v>992</v>
      </c>
      <c r="AN2807" s="117">
        <v>6</v>
      </c>
      <c r="AP2807" s="129" t="s">
        <v>139</v>
      </c>
      <c r="AR2807" s="128" t="s">
        <v>44</v>
      </c>
      <c r="AS2807" s="129" t="s">
        <v>64</v>
      </c>
      <c r="BC2807" s="129" t="s">
        <v>38</v>
      </c>
      <c r="BF2807" s="111">
        <f t="shared" si="2047"/>
        <v>137</v>
      </c>
      <c r="BG2807" s="111">
        <f t="shared" si="2048"/>
        <v>137</v>
      </c>
      <c r="BH2807" s="111">
        <f t="shared" si="2007"/>
        <v>137</v>
      </c>
      <c r="BI2807" s="111">
        <f t="shared" si="2009"/>
        <v>26.931693989071039</v>
      </c>
      <c r="BJ2807" s="129">
        <f>G2807-J2807-M2807</f>
        <v>0</v>
      </c>
      <c r="BK2807" s="129">
        <f t="shared" si="2008"/>
        <v>0</v>
      </c>
      <c r="BL2807" s="129" t="str">
        <f t="shared" si="2050"/>
        <v>CONVICTION</v>
      </c>
      <c r="BM2807" s="129" t="str">
        <f>O2807</f>
        <v>NONE</v>
      </c>
      <c r="BN2807" s="129" t="s">
        <v>566</v>
      </c>
      <c r="BP2807" s="137" t="str">
        <f t="shared" si="2010"/>
        <v>CONVICTION</v>
      </c>
      <c r="BQ2807" s="128" t="str">
        <f t="shared" si="2019"/>
        <v>Y</v>
      </c>
      <c r="BR2807" s="129" t="str">
        <f t="shared" si="2020"/>
        <v>DETAINED</v>
      </c>
      <c r="BS2807" s="129" t="str">
        <f t="shared" si="2011"/>
        <v>DISPOSED</v>
      </c>
      <c r="BT2807" s="129" t="str">
        <f t="shared" si="2012"/>
        <v>N</v>
      </c>
      <c r="BU2807" s="109">
        <f t="shared" si="2013"/>
        <v>1</v>
      </c>
      <c r="BV2807" s="109">
        <f t="shared" si="2021"/>
        <v>1</v>
      </c>
      <c r="BW2807" s="109">
        <f t="shared" si="2041"/>
        <v>0</v>
      </c>
      <c r="BX2807" s="111">
        <f t="shared" si="2014"/>
        <v>0</v>
      </c>
      <c r="BY2807" s="129">
        <f t="shared" si="2022"/>
        <v>-137</v>
      </c>
      <c r="BZ2807" s="111">
        <f t="shared" si="2023"/>
        <v>0</v>
      </c>
      <c r="CA2807" s="138">
        <f t="shared" si="2024"/>
        <v>137</v>
      </c>
      <c r="CB2807" s="111" t="e">
        <f t="shared" si="2049"/>
        <v>#VALUE!</v>
      </c>
      <c r="CC2807" s="129">
        <f>G2807-I2807+1</f>
        <v>137</v>
      </c>
      <c r="CD2807" s="129">
        <f>G2807-J2807</f>
        <v>0</v>
      </c>
      <c r="CG2807" s="129" t="str">
        <f t="shared" si="2025"/>
        <v>N</v>
      </c>
      <c r="CI2807" s="129" t="str">
        <f t="shared" si="2026"/>
        <v>121-365 DAYS</v>
      </c>
      <c r="CJ2807" s="137">
        <f t="shared" si="2027"/>
        <v>6</v>
      </c>
      <c r="CK2807" s="129" t="str">
        <f t="shared" si="2028"/>
        <v>Booked</v>
      </c>
    </row>
    <row r="2808" spans="1:89" ht="15.75" customHeight="1" x14ac:dyDescent="0.25">
      <c r="A2808" s="111">
        <v>1187</v>
      </c>
      <c r="B2808" s="128" t="str">
        <f t="shared" si="2015"/>
        <v>N</v>
      </c>
      <c r="C2808" s="128" t="str">
        <f t="shared" si="2016"/>
        <v>N</v>
      </c>
      <c r="D2808" s="117">
        <v>2604423</v>
      </c>
      <c r="E2808" s="135">
        <f t="shared" si="2017"/>
        <v>4</v>
      </c>
      <c r="F2808" s="124">
        <v>40952</v>
      </c>
      <c r="G2808" s="125">
        <v>40954</v>
      </c>
      <c r="H2808" s="117">
        <v>2604423</v>
      </c>
      <c r="I2808" s="124">
        <v>40953</v>
      </c>
      <c r="J2808" s="124">
        <v>40954</v>
      </c>
      <c r="K2808" s="126">
        <v>35000</v>
      </c>
      <c r="L2808" s="129" t="s">
        <v>572</v>
      </c>
      <c r="N2808" s="129" t="str">
        <f t="shared" si="2046"/>
        <v>N</v>
      </c>
      <c r="O2808" s="128" t="s">
        <v>917</v>
      </c>
      <c r="P2808" s="129" t="s">
        <v>39</v>
      </c>
      <c r="Q2808" s="111">
        <f t="shared" si="2040"/>
        <v>2</v>
      </c>
      <c r="R2808" s="111">
        <f t="shared" si="2006"/>
        <v>3</v>
      </c>
      <c r="S2808" s="129">
        <v>0</v>
      </c>
      <c r="T2808" s="129">
        <v>0</v>
      </c>
      <c r="W2808" s="111"/>
      <c r="AB2808" s="131" t="s">
        <v>112</v>
      </c>
      <c r="AC2808" s="130"/>
      <c r="AD2808" s="130">
        <v>28731</v>
      </c>
      <c r="AE2808" s="128" t="s">
        <v>32</v>
      </c>
      <c r="AF2808" s="128" t="s">
        <v>40</v>
      </c>
      <c r="AG2808" s="128" t="s">
        <v>41</v>
      </c>
      <c r="AH2808" s="108" t="s">
        <v>31</v>
      </c>
      <c r="AI2808" s="128" t="s">
        <v>113</v>
      </c>
      <c r="AJ2808" s="129" t="s">
        <v>89</v>
      </c>
      <c r="AK2808" s="129">
        <v>1</v>
      </c>
      <c r="AL2808" s="3" t="s">
        <v>991</v>
      </c>
      <c r="AO2808" s="128">
        <v>120</v>
      </c>
      <c r="AP2808" s="129" t="s">
        <v>43</v>
      </c>
      <c r="AR2808" s="128" t="s">
        <v>44</v>
      </c>
      <c r="AS2808" s="129" t="s">
        <v>45</v>
      </c>
      <c r="AT2808" s="129" t="s">
        <v>301</v>
      </c>
      <c r="BC2808" s="129" t="s">
        <v>38</v>
      </c>
      <c r="BF2808" s="111">
        <f t="shared" si="2047"/>
        <v>2</v>
      </c>
      <c r="BG2808" s="111">
        <f t="shared" si="2048"/>
        <v>2</v>
      </c>
      <c r="BH2808" s="111">
        <f t="shared" si="2007"/>
        <v>3</v>
      </c>
      <c r="BI2808" s="111">
        <f t="shared" si="2009"/>
        <v>33.39071038251366</v>
      </c>
      <c r="BJ2808" s="129">
        <f>G2808-J2808-M2808</f>
        <v>0</v>
      </c>
      <c r="BK2808" s="129">
        <f t="shared" si="2008"/>
        <v>0</v>
      </c>
      <c r="BL2808" s="129" t="str">
        <f t="shared" si="2050"/>
        <v>CONVICTION</v>
      </c>
      <c r="BM2808" s="129" t="str">
        <f>O2808</f>
        <v>NONE</v>
      </c>
      <c r="BN2808" s="129" t="s">
        <v>566</v>
      </c>
      <c r="BP2808" s="137" t="str">
        <f t="shared" si="2010"/>
        <v>CONVICTION</v>
      </c>
      <c r="BQ2808" s="128" t="str">
        <f t="shared" si="2019"/>
        <v>Y</v>
      </c>
      <c r="BR2808" s="129" t="str">
        <f t="shared" si="2020"/>
        <v>DETAINED</v>
      </c>
      <c r="BS2808" s="129" t="str">
        <f t="shared" si="2011"/>
        <v>DISPOSED</v>
      </c>
      <c r="BT2808" s="129" t="str">
        <f t="shared" si="2012"/>
        <v>N</v>
      </c>
      <c r="BU2808" s="109">
        <f t="shared" si="2013"/>
        <v>0.66666666666666663</v>
      </c>
      <c r="BV2808" s="109">
        <f t="shared" si="2021"/>
        <v>1</v>
      </c>
      <c r="BW2808" s="109">
        <f t="shared" si="2041"/>
        <v>0.33333333333333337</v>
      </c>
      <c r="BX2808" s="111">
        <f t="shared" si="2014"/>
        <v>0</v>
      </c>
      <c r="BY2808" s="129">
        <f t="shared" si="2022"/>
        <v>-2</v>
      </c>
      <c r="BZ2808" s="111">
        <f t="shared" si="2023"/>
        <v>0</v>
      </c>
      <c r="CA2808" s="138">
        <f t="shared" si="2024"/>
        <v>2</v>
      </c>
      <c r="CB2808" s="111" t="e">
        <f t="shared" si="2049"/>
        <v>#VALUE!</v>
      </c>
      <c r="CC2808" s="129">
        <f>G2808-I2808+1</f>
        <v>2</v>
      </c>
      <c r="CD2808" s="129">
        <f>G2808-J2808</f>
        <v>0</v>
      </c>
      <c r="CG2808" s="129" t="str">
        <f t="shared" si="2025"/>
        <v>N</v>
      </c>
      <c r="CI2808" s="129" t="str">
        <f t="shared" si="2026"/>
        <v>0-10 DAYS</v>
      </c>
      <c r="CJ2808" s="137">
        <f t="shared" si="2027"/>
        <v>1</v>
      </c>
      <c r="CK2808" s="129" t="str">
        <f t="shared" si="2028"/>
        <v>Booked</v>
      </c>
    </row>
    <row r="2809" spans="1:89" ht="15.75" customHeight="1" x14ac:dyDescent="0.25">
      <c r="A2809" s="111">
        <v>1193</v>
      </c>
      <c r="B2809" s="128" t="str">
        <f t="shared" si="2015"/>
        <v>N</v>
      </c>
      <c r="C2809" s="128" t="str">
        <f t="shared" si="2016"/>
        <v>N</v>
      </c>
      <c r="D2809" s="117">
        <v>2604466</v>
      </c>
      <c r="E2809" s="135">
        <f t="shared" si="2017"/>
        <v>2</v>
      </c>
      <c r="F2809" s="124">
        <v>40952</v>
      </c>
      <c r="G2809" s="125">
        <v>41326</v>
      </c>
      <c r="H2809" s="117">
        <v>2604466</v>
      </c>
      <c r="I2809" s="124">
        <v>40953</v>
      </c>
      <c r="J2809" s="124">
        <v>40955</v>
      </c>
      <c r="K2809" s="126">
        <v>65000</v>
      </c>
      <c r="L2809" s="129" t="s">
        <v>572</v>
      </c>
      <c r="M2809" s="125">
        <v>40955</v>
      </c>
      <c r="N2809" s="129" t="str">
        <f t="shared" si="2046"/>
        <v>Y</v>
      </c>
      <c r="O2809" s="128" t="s">
        <v>76</v>
      </c>
      <c r="P2809" s="129" t="s">
        <v>589</v>
      </c>
      <c r="Q2809" s="111">
        <f t="shared" si="2040"/>
        <v>3</v>
      </c>
      <c r="R2809" s="111">
        <f t="shared" si="2006"/>
        <v>375</v>
      </c>
      <c r="S2809" s="129">
        <v>0</v>
      </c>
      <c r="T2809" s="129">
        <v>0</v>
      </c>
      <c r="W2809" s="111"/>
      <c r="AC2809" s="130"/>
      <c r="AD2809" s="130">
        <v>30557</v>
      </c>
      <c r="AE2809" s="128" t="s">
        <v>32</v>
      </c>
      <c r="AF2809" s="128" t="s">
        <v>69</v>
      </c>
      <c r="AG2809" s="128" t="s">
        <v>874</v>
      </c>
      <c r="AH2809" s="108" t="s">
        <v>31</v>
      </c>
      <c r="AI2809" s="128" t="s">
        <v>118</v>
      </c>
      <c r="AJ2809" s="129" t="s">
        <v>48</v>
      </c>
      <c r="AK2809" s="129">
        <v>11</v>
      </c>
      <c r="AL2809" s="3" t="s">
        <v>48</v>
      </c>
      <c r="AP2809" s="129" t="s">
        <v>188</v>
      </c>
      <c r="AR2809" s="128" t="s">
        <v>67</v>
      </c>
      <c r="AS2809" s="129" t="s">
        <v>64</v>
      </c>
      <c r="BC2809" s="129" t="s">
        <v>52</v>
      </c>
      <c r="BF2809" s="111">
        <f t="shared" si="2047"/>
        <v>3</v>
      </c>
      <c r="BG2809" s="111">
        <f t="shared" si="2048"/>
        <v>374</v>
      </c>
      <c r="BH2809" s="111">
        <f t="shared" si="2007"/>
        <v>375</v>
      </c>
      <c r="BI2809" s="111">
        <f t="shared" si="2009"/>
        <v>28.401639344262296</v>
      </c>
      <c r="BJ2809" s="129">
        <f>(G2809-J2809)+(M2809-G2809)</f>
        <v>0</v>
      </c>
      <c r="BK2809" s="129">
        <f t="shared" si="2008"/>
        <v>-371</v>
      </c>
      <c r="BL2809" s="129" t="str">
        <f t="shared" si="2050"/>
        <v>DEFERRED</v>
      </c>
      <c r="BM2809" s="129" t="s">
        <v>76</v>
      </c>
      <c r="BN2809" s="129" t="s">
        <v>88</v>
      </c>
      <c r="BP2809" s="137" t="str">
        <f t="shared" si="2010"/>
        <v>DEFERRED</v>
      </c>
      <c r="BQ2809" s="128" t="str">
        <f t="shared" si="2019"/>
        <v>Y</v>
      </c>
      <c r="BR2809" s="129" t="str">
        <f t="shared" si="2020"/>
        <v>ON BOND</v>
      </c>
      <c r="BS2809" s="129" t="str">
        <f t="shared" si="2011"/>
        <v>DISPOSED</v>
      </c>
      <c r="BT2809" s="129" t="str">
        <f t="shared" si="2012"/>
        <v>N</v>
      </c>
      <c r="BU2809" s="109">
        <f t="shared" si="2013"/>
        <v>8.0000000000000002E-3</v>
      </c>
      <c r="BV2809" s="109">
        <f t="shared" si="2021"/>
        <v>8.0213903743315516E-3</v>
      </c>
      <c r="BW2809" s="109">
        <f t="shared" si="2041"/>
        <v>2.139037433155147E-5</v>
      </c>
      <c r="BX2809" s="111">
        <f t="shared" si="2014"/>
        <v>0</v>
      </c>
      <c r="BY2809" s="129">
        <f t="shared" si="2022"/>
        <v>-3</v>
      </c>
      <c r="BZ2809" s="111">
        <f t="shared" si="2023"/>
        <v>0</v>
      </c>
      <c r="CA2809" s="138">
        <f t="shared" si="2024"/>
        <v>3</v>
      </c>
      <c r="CB2809" s="111" t="e">
        <f t="shared" si="2049"/>
        <v>#VALUE!</v>
      </c>
      <c r="CC2809" s="129">
        <f>M2809-I2809+1</f>
        <v>3</v>
      </c>
      <c r="CD2809" s="111">
        <f>CC2809-BF2809</f>
        <v>0</v>
      </c>
      <c r="CG2809" s="129" t="str">
        <f t="shared" si="2025"/>
        <v>N</v>
      </c>
      <c r="CI2809" s="129" t="str">
        <f t="shared" si="2026"/>
        <v>0-10 DAYS</v>
      </c>
      <c r="CJ2809" s="137">
        <f t="shared" si="2027"/>
        <v>1</v>
      </c>
      <c r="CK2809" s="129" t="str">
        <f t="shared" si="2028"/>
        <v>Booked</v>
      </c>
    </row>
    <row r="2810" spans="1:89" ht="15" customHeight="1" x14ac:dyDescent="0.25">
      <c r="A2810" s="111">
        <v>1196</v>
      </c>
      <c r="B2810" s="128" t="str">
        <f t="shared" si="2015"/>
        <v>N</v>
      </c>
      <c r="C2810" s="128" t="str">
        <f t="shared" si="2016"/>
        <v>N</v>
      </c>
      <c r="D2810" s="117">
        <v>2604508</v>
      </c>
      <c r="E2810" s="135">
        <f t="shared" si="2017"/>
        <v>5</v>
      </c>
      <c r="F2810" s="124">
        <v>40952</v>
      </c>
      <c r="G2810" s="125">
        <v>41072</v>
      </c>
      <c r="H2810" s="117">
        <v>2604508</v>
      </c>
      <c r="I2810" s="124" t="s">
        <v>562</v>
      </c>
      <c r="J2810" s="124" t="s">
        <v>562</v>
      </c>
      <c r="K2810" s="126">
        <v>2000</v>
      </c>
      <c r="L2810" s="127" t="s">
        <v>568</v>
      </c>
      <c r="M2810" s="125">
        <v>40953</v>
      </c>
      <c r="N2810" s="129" t="str">
        <f>IF(M2810&gt;1/1/1,"Y",IF(Q2810="0","","N"))</f>
        <v>Y</v>
      </c>
      <c r="O2810" s="128" t="s">
        <v>76</v>
      </c>
      <c r="P2810" s="129" t="s">
        <v>39</v>
      </c>
      <c r="Q2810" s="111">
        <f t="shared" si="2040"/>
        <v>0</v>
      </c>
      <c r="R2810" s="111">
        <f t="shared" si="2006"/>
        <v>121</v>
      </c>
      <c r="S2810" s="129">
        <v>0</v>
      </c>
      <c r="T2810" s="129">
        <v>0</v>
      </c>
      <c r="W2810" s="111"/>
      <c r="AC2810" s="130"/>
      <c r="AD2810" s="130">
        <v>29740</v>
      </c>
      <c r="AE2810" s="128" t="s">
        <v>32</v>
      </c>
      <c r="AF2810" s="128" t="s">
        <v>69</v>
      </c>
      <c r="AG2810" s="128" t="s">
        <v>874</v>
      </c>
      <c r="AH2810" s="108" t="s">
        <v>31</v>
      </c>
      <c r="AI2810" s="128" t="s">
        <v>141</v>
      </c>
      <c r="AJ2810" s="129" t="s">
        <v>89</v>
      </c>
      <c r="AK2810" s="129">
        <v>5</v>
      </c>
      <c r="AL2810" s="3" t="s">
        <v>992</v>
      </c>
      <c r="AN2810" s="117">
        <v>6</v>
      </c>
      <c r="AP2810" s="129" t="s">
        <v>43</v>
      </c>
      <c r="AR2810" s="128" t="s">
        <v>44</v>
      </c>
      <c r="AS2810" s="129" t="s">
        <v>45</v>
      </c>
      <c r="BC2810" s="129" t="s">
        <v>52</v>
      </c>
      <c r="BF2810" s="111">
        <v>0</v>
      </c>
      <c r="BG2810" s="111">
        <v>0</v>
      </c>
      <c r="BH2810" s="111">
        <f t="shared" si="2007"/>
        <v>121</v>
      </c>
      <c r="BI2810" s="111">
        <f t="shared" si="2009"/>
        <v>30.633879781420767</v>
      </c>
      <c r="BJ2810" s="129" t="e">
        <f>(G2810-J2810)+(M2810-G2810)</f>
        <v>#VALUE!</v>
      </c>
      <c r="BK2810" s="129" t="e">
        <f t="shared" si="2008"/>
        <v>#VALUE!</v>
      </c>
      <c r="BL2810" s="129" t="str">
        <f t="shared" si="2050"/>
        <v>CONVICTION</v>
      </c>
      <c r="BM2810" s="129" t="s">
        <v>76</v>
      </c>
      <c r="BN2810" s="129" t="s">
        <v>88</v>
      </c>
      <c r="BP2810" s="137" t="str">
        <f t="shared" si="2010"/>
        <v>CONVICTION</v>
      </c>
      <c r="BQ2810" s="128">
        <f t="shared" si="2019"/>
        <v>0</v>
      </c>
      <c r="BR2810" s="129" t="s">
        <v>575</v>
      </c>
      <c r="BS2810" s="129" t="str">
        <f t="shared" si="2011"/>
        <v>DISPOSED</v>
      </c>
      <c r="BT2810" s="129" t="str">
        <f t="shared" si="2012"/>
        <v>N</v>
      </c>
      <c r="BU2810" s="109">
        <f t="shared" si="2013"/>
        <v>0</v>
      </c>
      <c r="BV2810" s="109">
        <v>0</v>
      </c>
      <c r="BW2810" s="109">
        <f t="shared" si="2041"/>
        <v>0</v>
      </c>
      <c r="BX2810" s="111">
        <f t="shared" si="2014"/>
        <v>0</v>
      </c>
      <c r="BY2810" s="129" t="e">
        <f t="shared" si="2022"/>
        <v>#VALUE!</v>
      </c>
      <c r="BZ2810" s="111" t="e">
        <f t="shared" si="2023"/>
        <v>#VALUE!</v>
      </c>
      <c r="CA2810" s="138" t="e">
        <f t="shared" si="2024"/>
        <v>#VALUE!</v>
      </c>
      <c r="CB2810" s="111">
        <v>0</v>
      </c>
      <c r="CC2810" s="129">
        <v>0</v>
      </c>
      <c r="CD2810" s="111">
        <f>CC2810-BF2810</f>
        <v>0</v>
      </c>
      <c r="CG2810" s="129" t="str">
        <f t="shared" si="2025"/>
        <v>N</v>
      </c>
      <c r="CI2810" s="129" t="str">
        <f t="shared" si="2026"/>
        <v>0-10 DAYS</v>
      </c>
      <c r="CJ2810" s="137">
        <f t="shared" si="2027"/>
        <v>1</v>
      </c>
      <c r="CK2810" s="129" t="str">
        <f t="shared" si="2028"/>
        <v>Not Booked</v>
      </c>
    </row>
    <row r="2811" spans="1:89" ht="15.75" customHeight="1" x14ac:dyDescent="0.25">
      <c r="A2811" s="111">
        <v>1204</v>
      </c>
      <c r="B2811" s="128" t="str">
        <f t="shared" si="2015"/>
        <v>N</v>
      </c>
      <c r="C2811" s="128" t="str">
        <f t="shared" si="2016"/>
        <v>N</v>
      </c>
      <c r="D2811" s="117">
        <v>2604540</v>
      </c>
      <c r="E2811" s="135">
        <f t="shared" si="2017"/>
        <v>5</v>
      </c>
      <c r="F2811" s="124">
        <v>40953</v>
      </c>
      <c r="G2811" s="125">
        <v>40954</v>
      </c>
      <c r="H2811" s="117">
        <v>2604540</v>
      </c>
      <c r="I2811" s="124">
        <v>40953</v>
      </c>
      <c r="J2811" s="124">
        <v>40954</v>
      </c>
      <c r="K2811" s="126">
        <v>10000</v>
      </c>
      <c r="L2811" s="127" t="s">
        <v>570</v>
      </c>
      <c r="N2811" s="129" t="str">
        <f>IF(M2811&gt;1/1/1,"Y","N")</f>
        <v>N</v>
      </c>
      <c r="O2811" s="128" t="s">
        <v>917</v>
      </c>
      <c r="P2811" s="129" t="s">
        <v>39</v>
      </c>
      <c r="Q2811" s="111">
        <f t="shared" si="2040"/>
        <v>2</v>
      </c>
      <c r="R2811" s="111">
        <f t="shared" si="2006"/>
        <v>2</v>
      </c>
      <c r="S2811" s="129">
        <v>0</v>
      </c>
      <c r="T2811" s="129">
        <v>0</v>
      </c>
      <c r="W2811" s="111"/>
      <c r="AC2811" s="130"/>
      <c r="AD2811" s="130">
        <v>30049</v>
      </c>
      <c r="AE2811" s="128" t="s">
        <v>32</v>
      </c>
      <c r="AF2811" s="128" t="s">
        <v>33</v>
      </c>
      <c r="AG2811" s="128" t="s">
        <v>872</v>
      </c>
      <c r="AH2811" s="108" t="s">
        <v>31</v>
      </c>
      <c r="AI2811" s="128" t="s">
        <v>118</v>
      </c>
      <c r="AJ2811" s="129" t="s">
        <v>89</v>
      </c>
      <c r="AK2811" s="129">
        <v>1</v>
      </c>
      <c r="AL2811" s="3" t="s">
        <v>992</v>
      </c>
      <c r="AN2811" s="117">
        <v>6</v>
      </c>
      <c r="AP2811" s="129" t="s">
        <v>43</v>
      </c>
      <c r="AR2811" s="128" t="s">
        <v>44</v>
      </c>
      <c r="AS2811" s="129" t="s">
        <v>45</v>
      </c>
      <c r="BC2811" s="129" t="s">
        <v>38</v>
      </c>
      <c r="BF2811" s="111">
        <f>IF(J2811&gt;1/1/1900,((J2811+1)-I2811),"STILL OPEN")</f>
        <v>2</v>
      </c>
      <c r="BG2811" s="111">
        <f>IF(G2811&gt;1/1/1900,((G2811+1)-I2811),"STILL OPEN")</f>
        <v>2</v>
      </c>
      <c r="BH2811" s="111">
        <f t="shared" si="2007"/>
        <v>2</v>
      </c>
      <c r="BI2811" s="111">
        <f t="shared" si="2009"/>
        <v>29.792349726775956</v>
      </c>
      <c r="BJ2811" s="129">
        <f>G2811-J2811-M2811</f>
        <v>0</v>
      </c>
      <c r="BK2811" s="129">
        <f t="shared" si="2008"/>
        <v>0</v>
      </c>
      <c r="BL2811" s="129" t="str">
        <f t="shared" si="2050"/>
        <v>CONVICTION</v>
      </c>
      <c r="BM2811" s="129" t="str">
        <f>O2811</f>
        <v>NONE</v>
      </c>
      <c r="BN2811" s="129" t="s">
        <v>566</v>
      </c>
      <c r="BP2811" s="137" t="str">
        <f t="shared" si="2010"/>
        <v>CONVICTION</v>
      </c>
      <c r="BQ2811" s="128" t="str">
        <f t="shared" si="2019"/>
        <v>Y</v>
      </c>
      <c r="BR2811" s="129" t="str">
        <f t="shared" si="2020"/>
        <v>DETAINED</v>
      </c>
      <c r="BS2811" s="129" t="str">
        <f t="shared" si="2011"/>
        <v>DISPOSED</v>
      </c>
      <c r="BT2811" s="129" t="str">
        <f t="shared" si="2012"/>
        <v>N</v>
      </c>
      <c r="BU2811" s="109">
        <f t="shared" si="2013"/>
        <v>1</v>
      </c>
      <c r="BV2811" s="109">
        <f t="shared" si="2021"/>
        <v>1</v>
      </c>
      <c r="BW2811" s="109">
        <f t="shared" si="2041"/>
        <v>0</v>
      </c>
      <c r="BX2811" s="111">
        <f t="shared" si="2014"/>
        <v>0</v>
      </c>
      <c r="BY2811" s="129">
        <f t="shared" si="2022"/>
        <v>-2</v>
      </c>
      <c r="BZ2811" s="111">
        <f t="shared" si="2023"/>
        <v>0</v>
      </c>
      <c r="CA2811" s="138">
        <f t="shared" si="2024"/>
        <v>2</v>
      </c>
      <c r="CB2811" s="111" t="e">
        <f>IF(AF2811&gt;1/1/1900,((AF2811+1)-AE2811),"STILL OPEN")</f>
        <v>#VALUE!</v>
      </c>
      <c r="CC2811" s="129">
        <f>G2811-I2811+1</f>
        <v>2</v>
      </c>
      <c r="CD2811" s="129">
        <f>G2811-J2811</f>
        <v>0</v>
      </c>
      <c r="CG2811" s="129" t="str">
        <f t="shared" si="2025"/>
        <v>N</v>
      </c>
      <c r="CI2811" s="129" t="str">
        <f t="shared" si="2026"/>
        <v>0-10 DAYS</v>
      </c>
      <c r="CJ2811" s="137">
        <f t="shared" si="2027"/>
        <v>1</v>
      </c>
      <c r="CK2811" s="129" t="str">
        <f t="shared" si="2028"/>
        <v>Booked</v>
      </c>
    </row>
    <row r="2812" spans="1:89" ht="15.75" customHeight="1" x14ac:dyDescent="0.25">
      <c r="A2812" s="111">
        <v>1207</v>
      </c>
      <c r="B2812" s="128" t="str">
        <f t="shared" si="2015"/>
        <v>N</v>
      </c>
      <c r="C2812" s="128" t="str">
        <f t="shared" si="2016"/>
        <v>N</v>
      </c>
      <c r="D2812" s="117">
        <v>2604541</v>
      </c>
      <c r="E2812" s="135">
        <f t="shared" si="2017"/>
        <v>2</v>
      </c>
      <c r="F2812" s="124">
        <v>40953</v>
      </c>
      <c r="G2812" s="125">
        <v>41368</v>
      </c>
      <c r="H2812" s="117">
        <v>2604541</v>
      </c>
      <c r="I2812" s="124" t="s">
        <v>562</v>
      </c>
      <c r="J2812" s="124" t="s">
        <v>562</v>
      </c>
      <c r="K2812" s="126">
        <v>20000</v>
      </c>
      <c r="L2812" s="127" t="s">
        <v>571</v>
      </c>
      <c r="M2812" s="125">
        <v>40954</v>
      </c>
      <c r="N2812" s="129" t="str">
        <f>IF(M2812&gt;1/1/1,"Y",IF(Q2812="0","","N"))</f>
        <v>Y</v>
      </c>
      <c r="O2812" s="128" t="s">
        <v>585</v>
      </c>
      <c r="P2812" s="129" t="s">
        <v>589</v>
      </c>
      <c r="Q2812" s="111">
        <f t="shared" si="2040"/>
        <v>0</v>
      </c>
      <c r="R2812" s="111">
        <f t="shared" ref="R2812:R2875" si="2051">BH2812</f>
        <v>416</v>
      </c>
      <c r="S2812" s="129">
        <v>0</v>
      </c>
      <c r="T2812" s="129">
        <v>0</v>
      </c>
      <c r="W2812" s="111"/>
      <c r="AC2812" s="130"/>
      <c r="AD2812" s="130">
        <v>33543</v>
      </c>
      <c r="AE2812" s="128" t="s">
        <v>32</v>
      </c>
      <c r="AF2812" s="128" t="s">
        <v>69</v>
      </c>
      <c r="AG2812" s="128" t="s">
        <v>874</v>
      </c>
      <c r="AH2812" s="108" t="s">
        <v>31</v>
      </c>
      <c r="AI2812" s="128" t="s">
        <v>65</v>
      </c>
      <c r="AJ2812" s="129" t="s">
        <v>48</v>
      </c>
      <c r="AK2812" s="129">
        <v>14</v>
      </c>
      <c r="AL2812" s="3" t="s">
        <v>48</v>
      </c>
      <c r="AP2812" s="129" t="s">
        <v>132</v>
      </c>
      <c r="AR2812" s="128" t="s">
        <v>92</v>
      </c>
      <c r="AS2812" s="129" t="s">
        <v>82</v>
      </c>
      <c r="BC2812" s="129" t="s">
        <v>52</v>
      </c>
      <c r="BF2812" s="111">
        <v>0</v>
      </c>
      <c r="BG2812" s="111" t="e">
        <f>IF(G2812&gt;1/1/1900,((G2812+1)-I2812),"STILL OPEN")</f>
        <v>#VALUE!</v>
      </c>
      <c r="BH2812" s="111">
        <f t="shared" ref="BH2812:BH2875" si="2052">IF(G2812&gt;1/1/1900,((G2812+1)-F2812),"STILL OPEN")</f>
        <v>416</v>
      </c>
      <c r="BI2812" s="111">
        <f t="shared" si="2009"/>
        <v>20.245901639344261</v>
      </c>
      <c r="BJ2812" s="129" t="e">
        <f>(G2812-J2812)+(M2812-G2812)</f>
        <v>#VALUE!</v>
      </c>
      <c r="BK2812" s="129" t="e">
        <f t="shared" ref="BK2812:BK2875" si="2053">J2812-G2812</f>
        <v>#VALUE!</v>
      </c>
      <c r="BL2812" s="129" t="str">
        <f t="shared" si="2050"/>
        <v>DEFERRED</v>
      </c>
      <c r="BM2812" s="129" t="s">
        <v>76</v>
      </c>
      <c r="BN2812" s="129" t="s">
        <v>88</v>
      </c>
      <c r="BP2812" s="137" t="str">
        <f t="shared" si="2010"/>
        <v>DEFERRED</v>
      </c>
      <c r="BQ2812" s="128">
        <f t="shared" si="2019"/>
        <v>0</v>
      </c>
      <c r="BR2812" s="129" t="s">
        <v>575</v>
      </c>
      <c r="BS2812" s="129" t="str">
        <f t="shared" si="2011"/>
        <v>DISPOSED</v>
      </c>
      <c r="BT2812" s="129" t="str">
        <f t="shared" si="2012"/>
        <v>N</v>
      </c>
      <c r="BU2812" s="109">
        <f t="shared" si="2013"/>
        <v>0</v>
      </c>
      <c r="BV2812" s="109">
        <v>0</v>
      </c>
      <c r="BW2812" s="109">
        <f t="shared" si="2041"/>
        <v>0</v>
      </c>
      <c r="BX2812" s="111">
        <f t="shared" si="2014"/>
        <v>0</v>
      </c>
      <c r="BY2812" s="129" t="e">
        <f t="shared" si="2022"/>
        <v>#VALUE!</v>
      </c>
      <c r="BZ2812" s="111" t="e">
        <f t="shared" si="2023"/>
        <v>#VALUE!</v>
      </c>
      <c r="CA2812" s="138" t="e">
        <f t="shared" si="2024"/>
        <v>#VALUE!</v>
      </c>
      <c r="CB2812" s="111">
        <v>0</v>
      </c>
      <c r="CC2812" s="129">
        <v>0</v>
      </c>
      <c r="CD2812" s="111">
        <f>CC2812-BF2812</f>
        <v>0</v>
      </c>
      <c r="CG2812" s="129" t="str">
        <f t="shared" si="2025"/>
        <v>N</v>
      </c>
      <c r="CI2812" s="129" t="str">
        <f t="shared" si="2026"/>
        <v>0-10 DAYS</v>
      </c>
      <c r="CJ2812" s="137">
        <f t="shared" si="2027"/>
        <v>1</v>
      </c>
      <c r="CK2812" s="129" t="str">
        <f t="shared" si="2028"/>
        <v>Not Booked</v>
      </c>
    </row>
    <row r="2813" spans="1:89" ht="15.75" customHeight="1" x14ac:dyDescent="0.25">
      <c r="A2813" s="111">
        <v>1000</v>
      </c>
      <c r="B2813" s="128" t="str">
        <f t="shared" si="2015"/>
        <v>N</v>
      </c>
      <c r="C2813" s="128" t="str">
        <f t="shared" si="2016"/>
        <v>N</v>
      </c>
      <c r="D2813" s="117">
        <v>2604655</v>
      </c>
      <c r="E2813" s="135">
        <f t="shared" si="2017"/>
        <v>1</v>
      </c>
      <c r="F2813" s="124">
        <v>40946</v>
      </c>
      <c r="G2813" s="125">
        <v>40953</v>
      </c>
      <c r="H2813" s="117">
        <v>2604655</v>
      </c>
      <c r="I2813" s="124" t="s">
        <v>562</v>
      </c>
      <c r="J2813" s="124" t="s">
        <v>562</v>
      </c>
      <c r="K2813" s="126">
        <v>100000</v>
      </c>
      <c r="L2813" s="129" t="s">
        <v>572</v>
      </c>
      <c r="N2813" s="124" t="s">
        <v>1343</v>
      </c>
      <c r="O2813" s="128" t="s">
        <v>917</v>
      </c>
      <c r="P2813" s="129" t="s">
        <v>55</v>
      </c>
      <c r="Q2813" s="111">
        <f t="shared" si="2040"/>
        <v>0</v>
      </c>
      <c r="R2813" s="111">
        <f t="shared" si="2051"/>
        <v>8</v>
      </c>
      <c r="S2813" s="129">
        <v>0</v>
      </c>
      <c r="T2813" s="129">
        <v>0</v>
      </c>
      <c r="W2813" s="111"/>
      <c r="AC2813" s="130"/>
      <c r="AD2813" s="130">
        <v>22206</v>
      </c>
      <c r="AE2813" s="128" t="s">
        <v>32</v>
      </c>
      <c r="AF2813" s="128" t="s">
        <v>40</v>
      </c>
      <c r="AG2813" s="128" t="s">
        <v>41</v>
      </c>
      <c r="AH2813" s="108" t="s">
        <v>41</v>
      </c>
      <c r="AI2813" s="128" t="s">
        <v>70</v>
      </c>
      <c r="AJ2813" s="129" t="s">
        <v>55</v>
      </c>
      <c r="AK2813" s="129">
        <v>1</v>
      </c>
      <c r="AL2813" s="3" t="s">
        <v>55</v>
      </c>
      <c r="AP2813" s="129" t="s">
        <v>216</v>
      </c>
      <c r="AR2813" s="128" t="s">
        <v>67</v>
      </c>
      <c r="AS2813" s="129" t="s">
        <v>64</v>
      </c>
      <c r="BC2813" s="129" t="s">
        <v>79</v>
      </c>
      <c r="BF2813" s="111">
        <v>0</v>
      </c>
      <c r="BG2813" s="111">
        <v>0</v>
      </c>
      <c r="BH2813" s="111">
        <f t="shared" si="2052"/>
        <v>8</v>
      </c>
      <c r="BI2813" s="111">
        <f t="shared" si="2009"/>
        <v>51.202185792349724</v>
      </c>
      <c r="BJ2813" s="129" t="e">
        <f>(G2813-J2813)+(M2813-G2813)</f>
        <v>#VALUE!</v>
      </c>
      <c r="BK2813" s="129" t="e">
        <f t="shared" si="2053"/>
        <v>#VALUE!</v>
      </c>
      <c r="BL2813" s="129" t="str">
        <f t="shared" si="2050"/>
        <v>NO CONVICTION</v>
      </c>
      <c r="BM2813" s="129" t="str">
        <f>O2813</f>
        <v>NONE</v>
      </c>
      <c r="BN2813" s="129" t="s">
        <v>566</v>
      </c>
      <c r="BP2813" s="137" t="str">
        <f t="shared" si="2010"/>
        <v>NO CONVICTION</v>
      </c>
      <c r="BQ2813" s="128">
        <f t="shared" si="2019"/>
        <v>0</v>
      </c>
      <c r="BR2813" s="129" t="s">
        <v>1345</v>
      </c>
      <c r="BS2813" s="129" t="str">
        <f t="shared" si="2011"/>
        <v>DISPOSED</v>
      </c>
      <c r="BT2813" s="129" t="str">
        <f t="shared" si="2012"/>
        <v>N</v>
      </c>
      <c r="BU2813" s="109">
        <f>IFERROR(Q2813/R2813,BR2813)</f>
        <v>0</v>
      </c>
      <c r="BV2813" s="109">
        <v>0</v>
      </c>
      <c r="BW2813" s="109">
        <f t="shared" si="2041"/>
        <v>0</v>
      </c>
      <c r="BX2813" s="111">
        <f t="shared" si="2014"/>
        <v>0</v>
      </c>
      <c r="BY2813" s="129" t="e">
        <f t="shared" si="2022"/>
        <v>#VALUE!</v>
      </c>
      <c r="BZ2813" s="111" t="e">
        <f t="shared" si="2023"/>
        <v>#VALUE!</v>
      </c>
      <c r="CA2813" s="138" t="e">
        <f t="shared" si="2024"/>
        <v>#VALUE!</v>
      </c>
      <c r="CB2813" s="111">
        <v>0</v>
      </c>
      <c r="CC2813" s="129">
        <v>0</v>
      </c>
      <c r="CG2813" s="129" t="str">
        <f t="shared" si="2025"/>
        <v>N</v>
      </c>
      <c r="CI2813" s="129" t="str">
        <f t="shared" si="2026"/>
        <v>0-10 DAYS</v>
      </c>
      <c r="CJ2813" s="137">
        <f t="shared" si="2027"/>
        <v>1</v>
      </c>
      <c r="CK2813" s="129" t="str">
        <f t="shared" si="2028"/>
        <v>Not Booked</v>
      </c>
    </row>
    <row r="2814" spans="1:89" ht="15" customHeight="1" x14ac:dyDescent="0.25">
      <c r="A2814" s="111">
        <v>1224</v>
      </c>
      <c r="B2814" s="128" t="str">
        <f t="shared" si="2015"/>
        <v>N</v>
      </c>
      <c r="C2814" s="128" t="str">
        <f t="shared" si="2016"/>
        <v>N</v>
      </c>
      <c r="D2814" s="117">
        <v>2604683</v>
      </c>
      <c r="E2814" s="135">
        <f t="shared" si="2017"/>
        <v>2</v>
      </c>
      <c r="F2814" s="124">
        <v>40953</v>
      </c>
      <c r="G2814" s="125">
        <v>41197</v>
      </c>
      <c r="H2814" s="117">
        <v>2604683</v>
      </c>
      <c r="I2814" s="124">
        <v>40954</v>
      </c>
      <c r="J2814" s="124">
        <v>40955</v>
      </c>
      <c r="K2814" s="126">
        <v>2000</v>
      </c>
      <c r="L2814" s="127" t="s">
        <v>568</v>
      </c>
      <c r="M2814" s="125">
        <v>40955</v>
      </c>
      <c r="N2814" s="129" t="str">
        <f>IF(M2814&gt;1/1/1,"Y","N")</f>
        <v>Y</v>
      </c>
      <c r="O2814" s="128" t="s">
        <v>76</v>
      </c>
      <c r="P2814" s="129" t="s">
        <v>589</v>
      </c>
      <c r="Q2814" s="111">
        <f t="shared" si="2040"/>
        <v>2</v>
      </c>
      <c r="R2814" s="111">
        <f t="shared" si="2051"/>
        <v>245</v>
      </c>
      <c r="S2814" s="129">
        <v>0</v>
      </c>
      <c r="T2814" s="129">
        <v>0</v>
      </c>
      <c r="W2814" s="111"/>
      <c r="AC2814" s="130"/>
      <c r="AD2814" s="130">
        <v>31344</v>
      </c>
      <c r="AE2814" s="128" t="s">
        <v>46</v>
      </c>
      <c r="AF2814" s="128" t="s">
        <v>33</v>
      </c>
      <c r="AG2814" s="128" t="s">
        <v>872</v>
      </c>
      <c r="AH2814" s="108" t="s">
        <v>31</v>
      </c>
      <c r="AI2814" s="128" t="s">
        <v>80</v>
      </c>
      <c r="AJ2814" s="129" t="s">
        <v>48</v>
      </c>
      <c r="AK2814" s="129">
        <v>7</v>
      </c>
      <c r="AL2814" s="3" t="s">
        <v>48</v>
      </c>
      <c r="AP2814" s="129" t="s">
        <v>43</v>
      </c>
      <c r="AR2814" s="128" t="s">
        <v>44</v>
      </c>
      <c r="AS2814" s="129" t="s">
        <v>45</v>
      </c>
      <c r="BC2814" s="129" t="s">
        <v>52</v>
      </c>
      <c r="BF2814" s="111">
        <f>IF(J2814&gt;1/1/1900,((J2814+1)-I2814),"STILL OPEN")</f>
        <v>2</v>
      </c>
      <c r="BG2814" s="111">
        <f>IF(G2814&gt;1/1/1900,((G2814+1)-I2814),"STILL OPEN")</f>
        <v>244</v>
      </c>
      <c r="BH2814" s="111">
        <f t="shared" si="2052"/>
        <v>245</v>
      </c>
      <c r="BI2814" s="111">
        <f t="shared" si="2009"/>
        <v>26.254098360655739</v>
      </c>
      <c r="BJ2814" s="129">
        <f>(G2814-J2814)+(M2814-G2814)</f>
        <v>0</v>
      </c>
      <c r="BK2814" s="129">
        <f t="shared" si="2053"/>
        <v>-242</v>
      </c>
      <c r="BL2814" s="129" t="str">
        <f t="shared" si="2050"/>
        <v>DEFERRED</v>
      </c>
      <c r="BM2814" s="129" t="s">
        <v>76</v>
      </c>
      <c r="BN2814" s="129" t="s">
        <v>88</v>
      </c>
      <c r="BP2814" s="137" t="str">
        <f t="shared" si="2010"/>
        <v>DEFERRED</v>
      </c>
      <c r="BQ2814" s="128" t="str">
        <f t="shared" si="2019"/>
        <v>Y</v>
      </c>
      <c r="BR2814" s="129" t="str">
        <f t="shared" si="2020"/>
        <v>ON BOND</v>
      </c>
      <c r="BS2814" s="129" t="str">
        <f t="shared" si="2011"/>
        <v>DISPOSED</v>
      </c>
      <c r="BT2814" s="129" t="str">
        <f t="shared" si="2012"/>
        <v>N</v>
      </c>
      <c r="BU2814" s="109">
        <f t="shared" si="2013"/>
        <v>8.1632653061224497E-3</v>
      </c>
      <c r="BV2814" s="109">
        <f t="shared" si="2021"/>
        <v>8.1967213114754103E-3</v>
      </c>
      <c r="BW2814" s="109">
        <f t="shared" si="2041"/>
        <v>3.3456005352960547E-5</v>
      </c>
      <c r="BX2814" s="111">
        <f t="shared" si="2014"/>
        <v>0</v>
      </c>
      <c r="BY2814" s="129">
        <f t="shared" si="2022"/>
        <v>-2</v>
      </c>
      <c r="BZ2814" s="111">
        <f t="shared" si="2023"/>
        <v>0</v>
      </c>
      <c r="CA2814" s="138">
        <f t="shared" si="2024"/>
        <v>2</v>
      </c>
      <c r="CB2814" s="111" t="e">
        <f>IF(AF2814&gt;1/1/1900,((AF2814+1)-AE2814),"STILL OPEN")</f>
        <v>#VALUE!</v>
      </c>
      <c r="CC2814" s="129">
        <f>M2814-I2814+1</f>
        <v>2</v>
      </c>
      <c r="CD2814" s="111">
        <f>CC2814-BF2814</f>
        <v>0</v>
      </c>
      <c r="CG2814" s="129" t="str">
        <f t="shared" si="2025"/>
        <v>N</v>
      </c>
      <c r="CI2814" s="129" t="str">
        <f t="shared" si="2026"/>
        <v>0-10 DAYS</v>
      </c>
      <c r="CJ2814" s="137">
        <f t="shared" si="2027"/>
        <v>1</v>
      </c>
      <c r="CK2814" s="129" t="str">
        <f t="shared" si="2028"/>
        <v>Booked</v>
      </c>
    </row>
    <row r="2815" spans="1:89" ht="15.75" customHeight="1" x14ac:dyDescent="0.25">
      <c r="A2815" s="111">
        <v>1226</v>
      </c>
      <c r="B2815" s="128" t="str">
        <f t="shared" si="2015"/>
        <v>N</v>
      </c>
      <c r="C2815" s="128" t="str">
        <f t="shared" si="2016"/>
        <v>N</v>
      </c>
      <c r="D2815" s="117">
        <v>2604686</v>
      </c>
      <c r="E2815" s="135">
        <f t="shared" si="2017"/>
        <v>1</v>
      </c>
      <c r="F2815" s="124">
        <v>40953</v>
      </c>
      <c r="G2815" s="125">
        <v>41130</v>
      </c>
      <c r="H2815" s="117">
        <v>2604686</v>
      </c>
      <c r="I2815" s="124" t="s">
        <v>562</v>
      </c>
      <c r="J2815" s="124" t="s">
        <v>562</v>
      </c>
      <c r="K2815" s="126">
        <v>2000</v>
      </c>
      <c r="L2815" s="127" t="s">
        <v>568</v>
      </c>
      <c r="M2815" s="125">
        <v>40955</v>
      </c>
      <c r="N2815" s="129" t="str">
        <f>IF(M2815&gt;1/1/1,"Y",IF(Q2815="0","","N"))</f>
        <v>Y</v>
      </c>
      <c r="O2815" s="128" t="s">
        <v>76</v>
      </c>
      <c r="P2815" s="129" t="s">
        <v>55</v>
      </c>
      <c r="Q2815" s="111">
        <f t="shared" ref="Q2815:Q2846" si="2054">BF2815</f>
        <v>0</v>
      </c>
      <c r="R2815" s="111">
        <f t="shared" si="2051"/>
        <v>178</v>
      </c>
      <c r="S2815" s="129">
        <v>0</v>
      </c>
      <c r="T2815" s="129">
        <v>0</v>
      </c>
      <c r="W2815" s="111"/>
      <c r="AB2815" s="131" t="s">
        <v>112</v>
      </c>
      <c r="AC2815" s="130"/>
      <c r="AD2815" s="130">
        <v>33474</v>
      </c>
      <c r="AE2815" s="128" t="s">
        <v>46</v>
      </c>
      <c r="AF2815" s="128" t="s">
        <v>40</v>
      </c>
      <c r="AG2815" s="128" t="s">
        <v>41</v>
      </c>
      <c r="AH2815" s="108" t="s">
        <v>31</v>
      </c>
      <c r="AI2815" s="128" t="s">
        <v>87</v>
      </c>
      <c r="AJ2815" s="129" t="s">
        <v>55</v>
      </c>
      <c r="AK2815" s="129">
        <v>7</v>
      </c>
      <c r="AL2815" s="3" t="s">
        <v>55</v>
      </c>
      <c r="AP2815" s="129" t="s">
        <v>43</v>
      </c>
      <c r="AR2815" s="128" t="s">
        <v>44</v>
      </c>
      <c r="AS2815" s="129" t="s">
        <v>45</v>
      </c>
      <c r="BC2815" s="129" t="s">
        <v>52</v>
      </c>
      <c r="BF2815" s="111">
        <v>0</v>
      </c>
      <c r="BG2815" s="111">
        <v>0</v>
      </c>
      <c r="BH2815" s="111">
        <f t="shared" si="2052"/>
        <v>178</v>
      </c>
      <c r="BI2815" s="111">
        <f t="shared" ref="BI2815:BI2878" si="2055">(F2815-AD2815)/366</f>
        <v>20.434426229508198</v>
      </c>
      <c r="BJ2815" s="129" t="e">
        <f>(G2815-J2815)+(M2815-G2815)</f>
        <v>#VALUE!</v>
      </c>
      <c r="BK2815" s="129" t="e">
        <f t="shared" si="2053"/>
        <v>#VALUE!</v>
      </c>
      <c r="BL2815" s="129" t="str">
        <f t="shared" si="2050"/>
        <v>NO CONVICTION</v>
      </c>
      <c r="BM2815" s="129" t="s">
        <v>76</v>
      </c>
      <c r="BN2815" s="129" t="s">
        <v>88</v>
      </c>
      <c r="BP2815" s="137" t="str">
        <f t="shared" si="2010"/>
        <v>NO CONVICTION</v>
      </c>
      <c r="BQ2815" s="128">
        <f t="shared" si="2019"/>
        <v>0</v>
      </c>
      <c r="BR2815" s="129" t="s">
        <v>575</v>
      </c>
      <c r="BS2815" s="129" t="str">
        <f t="shared" si="2011"/>
        <v>DISPOSED</v>
      </c>
      <c r="BT2815" s="129" t="str">
        <f t="shared" si="2012"/>
        <v>N</v>
      </c>
      <c r="BU2815" s="109">
        <f>IFERROR(Q2815/R2815,BR2815)</f>
        <v>0</v>
      </c>
      <c r="BV2815" s="109">
        <v>0</v>
      </c>
      <c r="BW2815" s="109">
        <f t="shared" si="2041"/>
        <v>0</v>
      </c>
      <c r="BX2815" s="111">
        <f t="shared" si="2014"/>
        <v>0</v>
      </c>
      <c r="BY2815" s="129" t="e">
        <f t="shared" si="2022"/>
        <v>#VALUE!</v>
      </c>
      <c r="BZ2815" s="111" t="e">
        <f t="shared" si="2023"/>
        <v>#VALUE!</v>
      </c>
      <c r="CA2815" s="138" t="e">
        <f t="shared" si="2024"/>
        <v>#VALUE!</v>
      </c>
      <c r="CB2815" s="111">
        <v>0</v>
      </c>
      <c r="CC2815" s="129">
        <v>0</v>
      </c>
      <c r="CD2815" s="111">
        <f>CC2815-BF2815</f>
        <v>0</v>
      </c>
      <c r="CG2815" s="129" t="str">
        <f t="shared" si="2025"/>
        <v>N</v>
      </c>
      <c r="CI2815" s="129" t="str">
        <f t="shared" si="2026"/>
        <v>0-10 DAYS</v>
      </c>
      <c r="CJ2815" s="137">
        <f t="shared" si="2027"/>
        <v>1</v>
      </c>
      <c r="CK2815" s="129" t="str">
        <f t="shared" si="2028"/>
        <v>Not Booked</v>
      </c>
    </row>
    <row r="2816" spans="1:89" ht="15.75" customHeight="1" x14ac:dyDescent="0.25">
      <c r="A2816" s="111">
        <v>1234</v>
      </c>
      <c r="B2816" s="128" t="str">
        <f t="shared" si="2015"/>
        <v>N</v>
      </c>
      <c r="C2816" s="128" t="str">
        <f t="shared" si="2016"/>
        <v>N</v>
      </c>
      <c r="D2816" s="117">
        <v>2604695</v>
      </c>
      <c r="E2816" s="135">
        <f t="shared" si="2017"/>
        <v>1</v>
      </c>
      <c r="F2816" s="124">
        <v>40954</v>
      </c>
      <c r="G2816" s="125">
        <v>40955</v>
      </c>
      <c r="H2816" s="117">
        <v>2604695</v>
      </c>
      <c r="I2816" s="124">
        <v>40954</v>
      </c>
      <c r="J2816" s="124">
        <v>40955</v>
      </c>
      <c r="K2816" s="126">
        <v>2000</v>
      </c>
      <c r="L2816" s="127" t="s">
        <v>568</v>
      </c>
      <c r="M2816" s="125">
        <v>40955</v>
      </c>
      <c r="N2816" s="129" t="str">
        <f t="shared" ref="N2816:N2821" si="2056">IF(M2816&gt;1/1/1,"Y","N")</f>
        <v>Y</v>
      </c>
      <c r="O2816" s="128" t="s">
        <v>76</v>
      </c>
      <c r="P2816" s="129" t="s">
        <v>55</v>
      </c>
      <c r="Q2816" s="111">
        <f t="shared" si="2054"/>
        <v>2</v>
      </c>
      <c r="R2816" s="111">
        <f t="shared" si="2051"/>
        <v>2</v>
      </c>
      <c r="S2816" s="129">
        <v>0</v>
      </c>
      <c r="T2816" s="129">
        <v>0</v>
      </c>
      <c r="W2816" s="111"/>
      <c r="AC2816" s="130"/>
      <c r="AD2816" s="130">
        <v>34498</v>
      </c>
      <c r="AE2816" s="128" t="s">
        <v>46</v>
      </c>
      <c r="AF2816" s="128" t="s">
        <v>69</v>
      </c>
      <c r="AG2816" s="128" t="s">
        <v>874</v>
      </c>
      <c r="AH2816" s="108" t="s">
        <v>31</v>
      </c>
      <c r="AI2816" s="128" t="s">
        <v>85</v>
      </c>
      <c r="AJ2816" s="129" t="s">
        <v>55</v>
      </c>
      <c r="AK2816" s="129">
        <v>1</v>
      </c>
      <c r="AL2816" s="3" t="s">
        <v>55</v>
      </c>
      <c r="AP2816" s="129" t="s">
        <v>43</v>
      </c>
      <c r="AR2816" s="128" t="s">
        <v>44</v>
      </c>
      <c r="AS2816" s="129" t="s">
        <v>45</v>
      </c>
      <c r="AW2816" s="3"/>
      <c r="AX2816" s="3"/>
      <c r="AY2816" s="123"/>
      <c r="BC2816" s="129" t="s">
        <v>79</v>
      </c>
      <c r="BF2816" s="111">
        <f t="shared" ref="BF2816:BF2830" si="2057">IF(J2816&gt;1/1/1900,((J2816+1)-I2816),"STILL OPEN")</f>
        <v>2</v>
      </c>
      <c r="BG2816" s="111">
        <f t="shared" ref="BG2816:BG2830" si="2058">IF(G2816&gt;1/1/1900,((G2816+1)-I2816),"STILL OPEN")</f>
        <v>2</v>
      </c>
      <c r="BH2816" s="111">
        <f t="shared" si="2052"/>
        <v>2</v>
      </c>
      <c r="BI2816" s="111">
        <f t="shared" si="2055"/>
        <v>17.639344262295083</v>
      </c>
      <c r="BJ2816" s="129">
        <f>G2816-J2816</f>
        <v>0</v>
      </c>
      <c r="BK2816" s="129">
        <f t="shared" si="2053"/>
        <v>0</v>
      </c>
      <c r="BL2816" s="129" t="str">
        <f t="shared" si="2050"/>
        <v>NO CONVICTION</v>
      </c>
      <c r="BM2816" s="129" t="s">
        <v>76</v>
      </c>
      <c r="BN2816" s="129" t="s">
        <v>88</v>
      </c>
      <c r="BP2816" s="137" t="str">
        <f t="shared" ref="BP2816:BP2879" si="2059">IF(OR(AJ2816="AQUITTAL",AJ2816="DISMISSED",AJ2816="FINE",AJ2816="NO BILL"),"NO CONVICTION",IF(OR(AJ2816="HCJ",AJ2816="MHH",AJ2816="PROBATION",AJ2816="STJ",AJ2816="TDC",AJ2816="CONVICTED"),"CONVICTION",IF(AJ2816="DEFERRED","DEFERRED","")))</f>
        <v>NO CONVICTION</v>
      </c>
      <c r="BQ2816" s="128" t="str">
        <f t="shared" si="2019"/>
        <v>Y</v>
      </c>
      <c r="BR2816" s="129" t="str">
        <f t="shared" ref="BR2816:BR2879" si="2060">IF(AND(J2816="NOT BOOKED",M2816&gt;1/1/1),"BONDED - BEFORE BOOKED",IF(BG2816="STILL OPEN","STILL OPEN",IF(N2816="Y","ON BOND",IF(J2816&gt;=G2816,"DETAINED","RELEASED"))))</f>
        <v>ON BOND</v>
      </c>
      <c r="BS2816" s="129" t="str">
        <f t="shared" ref="BS2816:BS2879" si="2061">IF(G2816&lt;&gt;"","DISPOSED","")</f>
        <v>DISPOSED</v>
      </c>
      <c r="BT2816" s="129" t="str">
        <f t="shared" ref="BT2816:BT2879" si="2062">IF(S2816&gt;0,"Y","N")</f>
        <v>N</v>
      </c>
      <c r="BU2816" s="109">
        <f>IFERROR(Q2816/R2816,BR2816)</f>
        <v>1</v>
      </c>
      <c r="BV2816" s="109">
        <f t="shared" si="2021"/>
        <v>1</v>
      </c>
      <c r="BW2816" s="109">
        <f t="shared" si="2041"/>
        <v>0</v>
      </c>
      <c r="BX2816" s="111">
        <f t="shared" ref="BX2816:BX2879" si="2063">+Q2816-BF2816</f>
        <v>0</v>
      </c>
      <c r="BY2816" s="129">
        <f t="shared" si="2022"/>
        <v>-2</v>
      </c>
      <c r="BZ2816" s="111">
        <f t="shared" si="2023"/>
        <v>0</v>
      </c>
      <c r="CA2816" s="138">
        <f t="shared" si="2024"/>
        <v>2</v>
      </c>
      <c r="CB2816" s="111" t="e">
        <f t="shared" ref="CB2816:CB2830" si="2064">IF(AF2816&gt;1/1/1900,((AF2816+1)-AE2816),"STILL OPEN")</f>
        <v>#VALUE!</v>
      </c>
      <c r="CC2816" s="129">
        <f>M2816-I2816+1</f>
        <v>2</v>
      </c>
      <c r="CD2816" s="111">
        <f>CC2816-BF2816</f>
        <v>0</v>
      </c>
      <c r="CG2816" s="129" t="str">
        <f t="shared" si="2025"/>
        <v>N</v>
      </c>
      <c r="CI2816" s="129" t="str">
        <f t="shared" si="2026"/>
        <v>0-10 DAYS</v>
      </c>
      <c r="CJ2816" s="137">
        <f t="shared" si="2027"/>
        <v>1</v>
      </c>
      <c r="CK2816" s="129" t="str">
        <f t="shared" si="2028"/>
        <v>Booked</v>
      </c>
    </row>
    <row r="2817" spans="1:89" ht="15" customHeight="1" x14ac:dyDescent="0.25">
      <c r="A2817" s="111">
        <v>1235</v>
      </c>
      <c r="B2817" s="128" t="str">
        <f t="shared" ref="B2817:B2880" si="2065">IF(BD2817&lt;&gt;"","Y","N")</f>
        <v>N</v>
      </c>
      <c r="C2817" s="128" t="str">
        <f t="shared" ref="C2817:C2880" si="2066">IF((AND(AV2817="",AX2817="",AY2817="")),"N","Y")</f>
        <v>N</v>
      </c>
      <c r="D2817" s="117">
        <v>2604699</v>
      </c>
      <c r="E2817" s="135">
        <f t="shared" ref="E2817:E2880" si="2067">IF(OR(AL2817="ACQUITTAL",AL2817="ACQUIT",AL2817="acq insane",AL2817="DISMISSED",AL2817="NO BILL"),1,IF(AL2817="DEFERRED",2,IF(AL2817="PROBATION",3,IF(OR(AL2817="HCJ",AL2817="fine"),4,IF(AL2817="STJ",5,IF(AL2817="TDC",6,""))))))</f>
        <v>2</v>
      </c>
      <c r="F2817" s="124">
        <v>40954</v>
      </c>
      <c r="G2817" s="125">
        <v>40956</v>
      </c>
      <c r="H2817" s="117">
        <v>2604699</v>
      </c>
      <c r="I2817" s="124">
        <v>40954</v>
      </c>
      <c r="J2817" s="124">
        <v>40956</v>
      </c>
      <c r="K2817" s="126">
        <v>2000</v>
      </c>
      <c r="L2817" s="127" t="s">
        <v>568</v>
      </c>
      <c r="N2817" s="129" t="str">
        <f t="shared" si="2056"/>
        <v>N</v>
      </c>
      <c r="O2817" s="128" t="s">
        <v>917</v>
      </c>
      <c r="P2817" s="129" t="s">
        <v>589</v>
      </c>
      <c r="Q2817" s="111">
        <f t="shared" si="2054"/>
        <v>3</v>
      </c>
      <c r="R2817" s="111">
        <f t="shared" si="2051"/>
        <v>3</v>
      </c>
      <c r="S2817" s="129">
        <v>0</v>
      </c>
      <c r="T2817" s="129">
        <v>0</v>
      </c>
      <c r="W2817" s="111"/>
      <c r="AC2817" s="130"/>
      <c r="AD2817" s="130">
        <v>32336</v>
      </c>
      <c r="AE2817" s="128" t="s">
        <v>46</v>
      </c>
      <c r="AF2817" s="128" t="s">
        <v>33</v>
      </c>
      <c r="AG2817" s="128" t="s">
        <v>872</v>
      </c>
      <c r="AH2817" s="108" t="s">
        <v>31</v>
      </c>
      <c r="AI2817" s="128" t="s">
        <v>34</v>
      </c>
      <c r="AJ2817" s="129" t="s">
        <v>48</v>
      </c>
      <c r="AK2817" s="129">
        <v>2</v>
      </c>
      <c r="AL2817" s="3" t="s">
        <v>48</v>
      </c>
      <c r="AP2817" s="129" t="s">
        <v>139</v>
      </c>
      <c r="AR2817" s="128" t="s">
        <v>44</v>
      </c>
      <c r="AS2817" s="129" t="s">
        <v>64</v>
      </c>
      <c r="BC2817" s="129" t="s">
        <v>38</v>
      </c>
      <c r="BF2817" s="111">
        <f t="shared" si="2057"/>
        <v>3</v>
      </c>
      <c r="BG2817" s="111">
        <f t="shared" si="2058"/>
        <v>3</v>
      </c>
      <c r="BH2817" s="111">
        <f t="shared" si="2052"/>
        <v>3</v>
      </c>
      <c r="BI2817" s="111">
        <f t="shared" si="2055"/>
        <v>23.546448087431695</v>
      </c>
      <c r="BJ2817" s="129">
        <f>G2817-J2817-M2817</f>
        <v>0</v>
      </c>
      <c r="BK2817" s="129">
        <f t="shared" si="2053"/>
        <v>0</v>
      </c>
      <c r="BL2817" s="129" t="str">
        <f t="shared" si="2050"/>
        <v>DEFERRED</v>
      </c>
      <c r="BM2817" s="129" t="str">
        <f>O2817</f>
        <v>NONE</v>
      </c>
      <c r="BN2817" s="129" t="s">
        <v>566</v>
      </c>
      <c r="BP2817" s="137" t="str">
        <f t="shared" si="2059"/>
        <v>DEFERRED</v>
      </c>
      <c r="BQ2817" s="128" t="str">
        <f t="shared" ref="BQ2817:BQ2880" si="2068">IF(BF2817&gt;0,"Y",BF2817)</f>
        <v>Y</v>
      </c>
      <c r="BR2817" s="129" t="str">
        <f t="shared" si="2060"/>
        <v>DETAINED</v>
      </c>
      <c r="BS2817" s="129" t="str">
        <f t="shared" si="2061"/>
        <v>DISPOSED</v>
      </c>
      <c r="BT2817" s="129" t="str">
        <f t="shared" si="2062"/>
        <v>N</v>
      </c>
      <c r="BU2817" s="109">
        <f t="shared" ref="BU2817:BU2879" si="2069">Q2817/R2817</f>
        <v>1</v>
      </c>
      <c r="BV2817" s="109">
        <f t="shared" ref="BV2817:BV2880" si="2070">IF(I2817&gt;F2817,((J2817-I2817+1)/(G2817-I2817+1)),(J2817-I2817+1)/(G2817-F2817+1))</f>
        <v>1</v>
      </c>
      <c r="BW2817" s="109">
        <f t="shared" si="2041"/>
        <v>0</v>
      </c>
      <c r="BX2817" s="111">
        <f t="shared" si="2063"/>
        <v>0</v>
      </c>
      <c r="BY2817" s="129">
        <f t="shared" ref="BY2817:BY2880" si="2071">I2817-J2817-1</f>
        <v>-3</v>
      </c>
      <c r="BZ2817" s="111">
        <f t="shared" ref="BZ2817:BZ2880" si="2072">BY2817+BF2817</f>
        <v>0</v>
      </c>
      <c r="CA2817" s="138">
        <f t="shared" ref="CA2817:CA2880" si="2073">IF(AND(BS2817="DISPOSED",BR2817="DETAINED"),G2817-I2817+1,IF(AND(BS2817="DISPOSED",BR2817="ON BOND"),M2817-I2817+1,IF(AND(BS2817="STILL OPEN","STILL OPEN"),"NOT BOOKED")))</f>
        <v>3</v>
      </c>
      <c r="CB2817" s="111" t="e">
        <f t="shared" si="2064"/>
        <v>#VALUE!</v>
      </c>
      <c r="CC2817" s="129">
        <f>G2817-I2817+1</f>
        <v>3</v>
      </c>
      <c r="CD2817" s="129">
        <f>G2817-J2817</f>
        <v>0</v>
      </c>
      <c r="CG2817" s="129" t="str">
        <f t="shared" ref="CG2817:CG2880" si="2074">IF((S2817+T2817+U2817)&gt;0,"Y","N")</f>
        <v>N</v>
      </c>
      <c r="CI2817" s="129" t="str">
        <f t="shared" si="2026"/>
        <v>0-10 DAYS</v>
      </c>
      <c r="CJ2817" s="137">
        <f t="shared" si="2027"/>
        <v>1</v>
      </c>
      <c r="CK2817" s="129" t="str">
        <f t="shared" si="2028"/>
        <v>Booked</v>
      </c>
    </row>
    <row r="2818" spans="1:89" ht="15" customHeight="1" x14ac:dyDescent="0.25">
      <c r="A2818" s="111">
        <v>1242</v>
      </c>
      <c r="B2818" s="128" t="str">
        <f t="shared" si="2065"/>
        <v>N</v>
      </c>
      <c r="C2818" s="128" t="str">
        <f t="shared" si="2066"/>
        <v>N</v>
      </c>
      <c r="D2818" s="117">
        <v>2604736</v>
      </c>
      <c r="E2818" s="135">
        <f t="shared" si="2067"/>
        <v>3</v>
      </c>
      <c r="F2818" s="124">
        <v>40954</v>
      </c>
      <c r="G2818" s="125">
        <v>41204</v>
      </c>
      <c r="H2818" s="117">
        <v>2604736</v>
      </c>
      <c r="I2818" s="124">
        <v>40954</v>
      </c>
      <c r="J2818" s="124">
        <v>40955</v>
      </c>
      <c r="K2818" s="126">
        <v>5000</v>
      </c>
      <c r="L2818" s="127" t="s">
        <v>569</v>
      </c>
      <c r="M2818" s="125">
        <v>40955</v>
      </c>
      <c r="N2818" s="129" t="str">
        <f t="shared" si="2056"/>
        <v>Y</v>
      </c>
      <c r="O2818" s="128" t="s">
        <v>76</v>
      </c>
      <c r="P2818" s="129" t="s">
        <v>39</v>
      </c>
      <c r="Q2818" s="111">
        <f t="shared" si="2054"/>
        <v>2</v>
      </c>
      <c r="R2818" s="111">
        <f t="shared" si="2051"/>
        <v>251</v>
      </c>
      <c r="S2818" s="129">
        <v>0</v>
      </c>
      <c r="T2818" s="129">
        <v>0</v>
      </c>
      <c r="W2818" s="111"/>
      <c r="AB2818" s="131" t="s">
        <v>112</v>
      </c>
      <c r="AC2818" s="130"/>
      <c r="AD2818" s="130">
        <v>33948</v>
      </c>
      <c r="AE2818" s="128" t="s">
        <v>32</v>
      </c>
      <c r="AF2818" s="128" t="s">
        <v>40</v>
      </c>
      <c r="AG2818" s="128" t="s">
        <v>41</v>
      </c>
      <c r="AH2818" s="108" t="s">
        <v>31</v>
      </c>
      <c r="AI2818" s="128" t="s">
        <v>47</v>
      </c>
      <c r="AJ2818" s="129" t="s">
        <v>89</v>
      </c>
      <c r="AK2818" s="129">
        <v>8</v>
      </c>
      <c r="AL2818" s="3" t="s">
        <v>185</v>
      </c>
      <c r="AP2818" s="129" t="s">
        <v>236</v>
      </c>
      <c r="AR2818" s="128" t="s">
        <v>67</v>
      </c>
      <c r="AS2818" s="129" t="s">
        <v>74</v>
      </c>
      <c r="BC2818" s="129" t="s">
        <v>52</v>
      </c>
      <c r="BF2818" s="111">
        <f t="shared" si="2057"/>
        <v>2</v>
      </c>
      <c r="BG2818" s="111">
        <f t="shared" si="2058"/>
        <v>251</v>
      </c>
      <c r="BH2818" s="111">
        <f t="shared" si="2052"/>
        <v>251</v>
      </c>
      <c r="BI2818" s="111">
        <f t="shared" si="2055"/>
        <v>19.142076502732241</v>
      </c>
      <c r="BJ2818" s="129">
        <f>(G2818-J2818)+(M2818-G2818)</f>
        <v>0</v>
      </c>
      <c r="BK2818" s="129">
        <f t="shared" si="2053"/>
        <v>-249</v>
      </c>
      <c r="BL2818" s="129" t="str">
        <f t="shared" si="2050"/>
        <v>CONVICTION</v>
      </c>
      <c r="BM2818" s="129" t="s">
        <v>76</v>
      </c>
      <c r="BN2818" s="129" t="s">
        <v>88</v>
      </c>
      <c r="BP2818" s="137" t="str">
        <f t="shared" si="2059"/>
        <v>CONVICTION</v>
      </c>
      <c r="BQ2818" s="128" t="str">
        <f t="shared" si="2068"/>
        <v>Y</v>
      </c>
      <c r="BR2818" s="129" t="str">
        <f>IF(J2818&lt;G2818,"ON BOND",0)</f>
        <v>ON BOND</v>
      </c>
      <c r="BS2818" s="129" t="str">
        <f t="shared" si="2061"/>
        <v>DISPOSED</v>
      </c>
      <c r="BT2818" s="129" t="str">
        <f t="shared" si="2062"/>
        <v>N</v>
      </c>
      <c r="BU2818" s="109">
        <f t="shared" si="2069"/>
        <v>7.9681274900398405E-3</v>
      </c>
      <c r="BV2818" s="109">
        <f t="shared" si="2070"/>
        <v>7.9681274900398405E-3</v>
      </c>
      <c r="BW2818" s="109">
        <f t="shared" si="2041"/>
        <v>0</v>
      </c>
      <c r="BX2818" s="111">
        <f t="shared" si="2063"/>
        <v>0</v>
      </c>
      <c r="BY2818" s="129">
        <f t="shared" si="2071"/>
        <v>-2</v>
      </c>
      <c r="BZ2818" s="111">
        <f t="shared" si="2072"/>
        <v>0</v>
      </c>
      <c r="CA2818" s="138">
        <f t="shared" si="2073"/>
        <v>2</v>
      </c>
      <c r="CB2818" s="111" t="e">
        <f t="shared" si="2064"/>
        <v>#VALUE!</v>
      </c>
      <c r="CC2818" s="129">
        <f>M2818-I2818+1</f>
        <v>2</v>
      </c>
      <c r="CD2818" s="111">
        <f>CC2818-BF2818</f>
        <v>0</v>
      </c>
      <c r="CG2818" s="129" t="str">
        <f t="shared" si="2074"/>
        <v>N</v>
      </c>
      <c r="CI2818" s="129" t="str">
        <f t="shared" si="2026"/>
        <v>0-10 DAYS</v>
      </c>
      <c r="CJ2818" s="137">
        <f t="shared" si="2027"/>
        <v>1</v>
      </c>
      <c r="CK2818" s="129" t="str">
        <f t="shared" si="2028"/>
        <v>Booked</v>
      </c>
    </row>
    <row r="2819" spans="1:89" ht="15.75" customHeight="1" x14ac:dyDescent="0.25">
      <c r="A2819" s="111">
        <v>1248</v>
      </c>
      <c r="B2819" s="128" t="str">
        <f t="shared" si="2065"/>
        <v>N</v>
      </c>
      <c r="C2819" s="128" t="str">
        <f t="shared" si="2066"/>
        <v>N</v>
      </c>
      <c r="D2819" s="117">
        <v>2604759</v>
      </c>
      <c r="E2819" s="135">
        <f t="shared" si="2067"/>
        <v>6</v>
      </c>
      <c r="F2819" s="124">
        <v>40954</v>
      </c>
      <c r="G2819" s="125">
        <v>41190</v>
      </c>
      <c r="H2819" s="117">
        <v>2604759</v>
      </c>
      <c r="I2819" s="124">
        <v>40954</v>
      </c>
      <c r="J2819" s="124">
        <v>40982</v>
      </c>
      <c r="K2819" s="126">
        <v>100000</v>
      </c>
      <c r="L2819" s="129" t="s">
        <v>572</v>
      </c>
      <c r="M2819" s="125">
        <v>40982</v>
      </c>
      <c r="N2819" s="129" t="str">
        <f t="shared" si="2056"/>
        <v>Y</v>
      </c>
      <c r="O2819" s="128" t="s">
        <v>76</v>
      </c>
      <c r="P2819" s="129" t="s">
        <v>39</v>
      </c>
      <c r="Q2819" s="111">
        <f t="shared" si="2054"/>
        <v>29</v>
      </c>
      <c r="R2819" s="111">
        <f t="shared" si="2051"/>
        <v>237</v>
      </c>
      <c r="S2819" s="129">
        <v>0</v>
      </c>
      <c r="T2819" s="129">
        <v>0</v>
      </c>
      <c r="W2819" s="111"/>
      <c r="AC2819" s="130"/>
      <c r="AD2819" s="130">
        <v>31452</v>
      </c>
      <c r="AE2819" s="128" t="s">
        <v>32</v>
      </c>
      <c r="AF2819" s="128" t="s">
        <v>138</v>
      </c>
      <c r="AG2819" s="128" t="s">
        <v>873</v>
      </c>
      <c r="AH2819" s="108" t="s">
        <v>58</v>
      </c>
      <c r="AI2819" s="128" t="s">
        <v>42</v>
      </c>
      <c r="AJ2819" s="129" t="s">
        <v>89</v>
      </c>
      <c r="AK2819" s="129">
        <v>8</v>
      </c>
      <c r="AL2819" s="3" t="s">
        <v>362</v>
      </c>
      <c r="AM2819" s="117">
        <v>5</v>
      </c>
      <c r="AP2819" s="129" t="s">
        <v>188</v>
      </c>
      <c r="AR2819" s="128" t="s">
        <v>67</v>
      </c>
      <c r="AS2819" s="129" t="s">
        <v>64</v>
      </c>
      <c r="AW2819" s="123"/>
      <c r="AX2819" s="123"/>
      <c r="BC2819" s="129" t="s">
        <v>52</v>
      </c>
      <c r="BF2819" s="111">
        <f t="shared" si="2057"/>
        <v>29</v>
      </c>
      <c r="BG2819" s="111">
        <f t="shared" si="2058"/>
        <v>237</v>
      </c>
      <c r="BH2819" s="111">
        <f t="shared" si="2052"/>
        <v>237</v>
      </c>
      <c r="BI2819" s="111">
        <f t="shared" si="2055"/>
        <v>25.961748633879782</v>
      </c>
      <c r="BJ2819" s="129">
        <f>(G2819-J2819)+(M2819-G2819)</f>
        <v>0</v>
      </c>
      <c r="BK2819" s="129">
        <f t="shared" si="2053"/>
        <v>-208</v>
      </c>
      <c r="BL2819" s="129" t="str">
        <f t="shared" si="2050"/>
        <v>CONVICTION</v>
      </c>
      <c r="BM2819" s="129" t="s">
        <v>76</v>
      </c>
      <c r="BN2819" s="129" t="s">
        <v>88</v>
      </c>
      <c r="BP2819" s="137" t="str">
        <f t="shared" si="2059"/>
        <v>CONVICTION</v>
      </c>
      <c r="BQ2819" s="128" t="str">
        <f t="shared" si="2068"/>
        <v>Y</v>
      </c>
      <c r="BR2819" s="129" t="str">
        <f>IF(J2819&lt;G2819,"ON BOND",0)</f>
        <v>ON BOND</v>
      </c>
      <c r="BS2819" s="129" t="str">
        <f t="shared" si="2061"/>
        <v>DISPOSED</v>
      </c>
      <c r="BT2819" s="129" t="str">
        <f t="shared" si="2062"/>
        <v>N</v>
      </c>
      <c r="BU2819" s="109">
        <f t="shared" si="2069"/>
        <v>0.12236286919831224</v>
      </c>
      <c r="BV2819" s="109">
        <f t="shared" si="2070"/>
        <v>0.12236286919831224</v>
      </c>
      <c r="BW2819" s="109">
        <f t="shared" si="2041"/>
        <v>0</v>
      </c>
      <c r="BX2819" s="111">
        <f t="shared" si="2063"/>
        <v>0</v>
      </c>
      <c r="BY2819" s="129">
        <f t="shared" si="2071"/>
        <v>-29</v>
      </c>
      <c r="BZ2819" s="111">
        <f t="shared" si="2072"/>
        <v>0</v>
      </c>
      <c r="CA2819" s="138">
        <f t="shared" si="2073"/>
        <v>29</v>
      </c>
      <c r="CB2819" s="111" t="e">
        <f t="shared" si="2064"/>
        <v>#VALUE!</v>
      </c>
      <c r="CC2819" s="129">
        <f>M2819-I2819+1</f>
        <v>29</v>
      </c>
      <c r="CD2819" s="111">
        <f>CC2819-BF2819</f>
        <v>0</v>
      </c>
      <c r="CG2819" s="129" t="str">
        <f t="shared" si="2074"/>
        <v>N</v>
      </c>
      <c r="CI2819" s="129" t="str">
        <f t="shared" ref="CI2819:CI2882" si="2075">IF(BF2819&lt;11,"0-10 DAYS",IF(AND(BF2819&gt;10,BF2819&lt;31),"11-30 DAYS",IF((AND(BF2819&gt;30,BF2819&lt;61)),"31-60 DAYS",IF(AND(BF2819&gt;60,BF2819&lt;91),"61-90 DAYS",IF(AND(BF2819&gt;90,BF2819&lt;121),"91-120 DAYS",IF(AND(BF2819&gt;120,BF2819&lt;366),"121-365 DAYS",IF(AND(BF2819&gt;365,BF2819&lt;730)," &gt;1YRS&lt;2YRS",IF(AND(BF2819&gt;729,BF2819&lt;1095),"&gt;2YRS&lt;3YRS",IF(BF2819&gt;1094,"&gt;3YRS")))))))))</f>
        <v>11-30 DAYS</v>
      </c>
      <c r="CJ2819" s="137">
        <f t="shared" ref="CJ2819:CJ2882" si="2076">IF(CI2819="0-10 DAYS",1,IF(CI2819="11-30 DAYS",2,IF(CI2819="31-60 DAYS",3,IF(CI2819="61-90 DAYS",4,IF(CK2819="91-120 DAYS",5,IF(CI2819="121-365 DAYS",6,IF(CI2819="&gt;1YRS&lt;2YRS",7,IF(CI2819="&gt;2YRS&lt;3YRS",8,IF(CI2819="&gt;3YRS",9,0)))))))))</f>
        <v>2</v>
      </c>
      <c r="CK2819" s="129" t="str">
        <f t="shared" ref="CK2819:CK2882" si="2077">IF(I2819="Not Booked","Not Booked","Booked")</f>
        <v>Booked</v>
      </c>
    </row>
    <row r="2820" spans="1:89" ht="15" customHeight="1" x14ac:dyDescent="0.25">
      <c r="A2820" s="111">
        <v>1254</v>
      </c>
      <c r="B2820" s="128" t="str">
        <f t="shared" si="2065"/>
        <v>N</v>
      </c>
      <c r="C2820" s="128" t="str">
        <f t="shared" si="2066"/>
        <v>N</v>
      </c>
      <c r="D2820" s="117">
        <v>2604858</v>
      </c>
      <c r="E2820" s="135">
        <f t="shared" si="2067"/>
        <v>2</v>
      </c>
      <c r="F2820" s="124">
        <v>40954</v>
      </c>
      <c r="G2820" s="125">
        <v>41198</v>
      </c>
      <c r="H2820" s="117">
        <v>2604858</v>
      </c>
      <c r="I2820" s="124">
        <v>40954</v>
      </c>
      <c r="J2820" s="124">
        <v>40955</v>
      </c>
      <c r="K2820" s="126">
        <v>2000</v>
      </c>
      <c r="L2820" s="127" t="s">
        <v>568</v>
      </c>
      <c r="M2820" s="125">
        <v>40955</v>
      </c>
      <c r="N2820" s="129" t="str">
        <f t="shared" si="2056"/>
        <v>Y</v>
      </c>
      <c r="O2820" s="112" t="s">
        <v>160</v>
      </c>
      <c r="P2820" s="129" t="s">
        <v>589</v>
      </c>
      <c r="Q2820" s="111">
        <f t="shared" si="2054"/>
        <v>2</v>
      </c>
      <c r="R2820" s="111">
        <f t="shared" si="2051"/>
        <v>245</v>
      </c>
      <c r="S2820" s="129">
        <v>0</v>
      </c>
      <c r="T2820" s="129">
        <v>0</v>
      </c>
      <c r="W2820" s="111"/>
      <c r="AC2820" s="130"/>
      <c r="AD2820" s="130">
        <v>31177</v>
      </c>
      <c r="AE2820" s="128" t="s">
        <v>32</v>
      </c>
      <c r="AF2820" s="128" t="s">
        <v>33</v>
      </c>
      <c r="AG2820" s="128" t="s">
        <v>872</v>
      </c>
      <c r="AH2820" s="108" t="s">
        <v>31</v>
      </c>
      <c r="AI2820" s="128" t="s">
        <v>62</v>
      </c>
      <c r="AJ2820" s="129" t="s">
        <v>48</v>
      </c>
      <c r="AK2820" s="129">
        <v>11</v>
      </c>
      <c r="AL2820" s="3" t="s">
        <v>48</v>
      </c>
      <c r="AP2820" s="129" t="s">
        <v>108</v>
      </c>
      <c r="AR2820" s="128" t="s">
        <v>44</v>
      </c>
      <c r="AS2820" s="129" t="s">
        <v>61</v>
      </c>
      <c r="BC2820" s="129" t="s">
        <v>52</v>
      </c>
      <c r="BF2820" s="111">
        <f t="shared" si="2057"/>
        <v>2</v>
      </c>
      <c r="BG2820" s="111">
        <f t="shared" si="2058"/>
        <v>245</v>
      </c>
      <c r="BH2820" s="111">
        <f t="shared" si="2052"/>
        <v>245</v>
      </c>
      <c r="BI2820" s="111">
        <f t="shared" si="2055"/>
        <v>26.71311475409836</v>
      </c>
      <c r="BJ2820" s="129">
        <f>(G2820-J2820)+(M2820-G2820)</f>
        <v>0</v>
      </c>
      <c r="BK2820" s="129">
        <f t="shared" si="2053"/>
        <v>-243</v>
      </c>
      <c r="BL2820" s="129" t="str">
        <f t="shared" si="2050"/>
        <v>DEFERRED</v>
      </c>
      <c r="BM2820" s="129" t="s">
        <v>160</v>
      </c>
      <c r="BN2820" s="129" t="s">
        <v>88</v>
      </c>
      <c r="BP2820" s="137" t="str">
        <f t="shared" si="2059"/>
        <v>DEFERRED</v>
      </c>
      <c r="BQ2820" s="128" t="str">
        <f t="shared" si="2068"/>
        <v>Y</v>
      </c>
      <c r="BR2820" s="129" t="str">
        <f t="shared" si="2060"/>
        <v>ON BOND</v>
      </c>
      <c r="BS2820" s="129" t="str">
        <f t="shared" si="2061"/>
        <v>DISPOSED</v>
      </c>
      <c r="BT2820" s="129" t="str">
        <f t="shared" si="2062"/>
        <v>N</v>
      </c>
      <c r="BU2820" s="109">
        <f t="shared" si="2069"/>
        <v>8.1632653061224497E-3</v>
      </c>
      <c r="BV2820" s="109">
        <f t="shared" si="2070"/>
        <v>8.1632653061224497E-3</v>
      </c>
      <c r="BW2820" s="109">
        <f t="shared" si="2041"/>
        <v>0</v>
      </c>
      <c r="BX2820" s="111">
        <f t="shared" si="2063"/>
        <v>0</v>
      </c>
      <c r="BY2820" s="129">
        <f t="shared" si="2071"/>
        <v>-2</v>
      </c>
      <c r="BZ2820" s="111">
        <f t="shared" si="2072"/>
        <v>0</v>
      </c>
      <c r="CA2820" s="138">
        <f t="shared" si="2073"/>
        <v>2</v>
      </c>
      <c r="CB2820" s="111" t="e">
        <f t="shared" si="2064"/>
        <v>#VALUE!</v>
      </c>
      <c r="CC2820" s="129">
        <f>M2820-I2820+1</f>
        <v>2</v>
      </c>
      <c r="CD2820" s="111">
        <f>CC2820-BF2820</f>
        <v>0</v>
      </c>
      <c r="CG2820" s="129" t="str">
        <f t="shared" si="2074"/>
        <v>N</v>
      </c>
      <c r="CI2820" s="129" t="str">
        <f t="shared" si="2075"/>
        <v>0-10 DAYS</v>
      </c>
      <c r="CJ2820" s="137">
        <f t="shared" si="2076"/>
        <v>1</v>
      </c>
      <c r="CK2820" s="129" t="str">
        <f t="shared" si="2077"/>
        <v>Booked</v>
      </c>
    </row>
    <row r="2821" spans="1:89" ht="15.75" customHeight="1" x14ac:dyDescent="0.25">
      <c r="A2821" s="111">
        <v>1266</v>
      </c>
      <c r="B2821" s="128" t="str">
        <f t="shared" si="2065"/>
        <v>Y</v>
      </c>
      <c r="C2821" s="128" t="str">
        <f t="shared" si="2066"/>
        <v>Y</v>
      </c>
      <c r="D2821" s="117">
        <v>2605066</v>
      </c>
      <c r="E2821" s="135">
        <f t="shared" si="2067"/>
        <v>2</v>
      </c>
      <c r="F2821" s="124">
        <v>40955</v>
      </c>
      <c r="G2821" s="125">
        <v>41106</v>
      </c>
      <c r="H2821" s="117">
        <v>2605066</v>
      </c>
      <c r="I2821" s="124">
        <v>41102</v>
      </c>
      <c r="J2821" s="124">
        <v>41106</v>
      </c>
      <c r="K2821" s="126">
        <v>7000</v>
      </c>
      <c r="L2821" s="127" t="s">
        <v>570</v>
      </c>
      <c r="M2821" s="125">
        <v>40958</v>
      </c>
      <c r="N2821" s="129" t="str">
        <f t="shared" si="2056"/>
        <v>Y</v>
      </c>
      <c r="O2821" s="128" t="s">
        <v>585</v>
      </c>
      <c r="P2821" s="129" t="s">
        <v>589</v>
      </c>
      <c r="Q2821" s="111">
        <f t="shared" si="2054"/>
        <v>5</v>
      </c>
      <c r="R2821" s="111">
        <f t="shared" si="2051"/>
        <v>152</v>
      </c>
      <c r="S2821" s="129">
        <v>0</v>
      </c>
      <c r="T2821" s="129">
        <v>0</v>
      </c>
      <c r="W2821" s="111"/>
      <c r="AC2821" s="130"/>
      <c r="AD2821" s="130">
        <v>34466</v>
      </c>
      <c r="AE2821" s="128" t="s">
        <v>32</v>
      </c>
      <c r="AF2821" s="128" t="s">
        <v>33</v>
      </c>
      <c r="AG2821" s="128" t="s">
        <v>872</v>
      </c>
      <c r="AH2821" s="108" t="s">
        <v>31</v>
      </c>
      <c r="AI2821" s="128" t="s">
        <v>71</v>
      </c>
      <c r="AJ2821" s="129" t="s">
        <v>48</v>
      </c>
      <c r="AK2821" s="129">
        <v>10</v>
      </c>
      <c r="AL2821" s="3" t="s">
        <v>48</v>
      </c>
      <c r="AP2821" s="129" t="s">
        <v>197</v>
      </c>
      <c r="AR2821" s="128" t="s">
        <v>44</v>
      </c>
      <c r="AS2821" s="129" t="s">
        <v>61</v>
      </c>
      <c r="AT2821" s="32" t="s">
        <v>312</v>
      </c>
      <c r="AU2821" s="3" t="s">
        <v>719</v>
      </c>
      <c r="AV2821" s="129"/>
      <c r="AW2821" s="3"/>
      <c r="AX2821" s="32" t="s">
        <v>88</v>
      </c>
      <c r="BC2821" s="129" t="s">
        <v>38</v>
      </c>
      <c r="BD2821" s="129" t="s">
        <v>1305</v>
      </c>
      <c r="BF2821" s="111">
        <f>IF(J2821&gt;1/1/1900,((G2821+1)-I2821),"STILL OPEN")</f>
        <v>5</v>
      </c>
      <c r="BG2821" s="111">
        <f t="shared" si="2058"/>
        <v>5</v>
      </c>
      <c r="BH2821" s="111">
        <f t="shared" si="2052"/>
        <v>152</v>
      </c>
      <c r="BI2821" s="111">
        <f t="shared" si="2055"/>
        <v>17.729508196721312</v>
      </c>
      <c r="BJ2821" s="129">
        <f>G2821-J2821</f>
        <v>0</v>
      </c>
      <c r="BK2821" s="129">
        <f t="shared" si="2053"/>
        <v>0</v>
      </c>
      <c r="BL2821" s="129" t="str">
        <f t="shared" si="2050"/>
        <v>DEFERRED</v>
      </c>
      <c r="BM2821" s="129" t="s">
        <v>76</v>
      </c>
      <c r="BN2821" s="129" t="s">
        <v>88</v>
      </c>
      <c r="BP2821" s="137" t="str">
        <f t="shared" si="2059"/>
        <v>DEFERRED</v>
      </c>
      <c r="BQ2821" s="128" t="str">
        <f t="shared" si="2068"/>
        <v>Y</v>
      </c>
      <c r="BR2821" s="129" t="s">
        <v>574</v>
      </c>
      <c r="BS2821" s="129" t="str">
        <f t="shared" si="2061"/>
        <v>DISPOSED</v>
      </c>
      <c r="BT2821" s="129" t="str">
        <f t="shared" si="2062"/>
        <v>N</v>
      </c>
      <c r="BU2821" s="109">
        <f t="shared" si="2069"/>
        <v>3.2894736842105261E-2</v>
      </c>
      <c r="BV2821" s="109">
        <f t="shared" si="2070"/>
        <v>1</v>
      </c>
      <c r="BW2821" s="109">
        <f t="shared" si="2041"/>
        <v>0.96710526315789469</v>
      </c>
      <c r="BX2821" s="111">
        <f t="shared" si="2063"/>
        <v>0</v>
      </c>
      <c r="BY2821" s="129">
        <f t="shared" si="2071"/>
        <v>-5</v>
      </c>
      <c r="BZ2821" s="111">
        <f t="shared" si="2072"/>
        <v>0</v>
      </c>
      <c r="CA2821" s="138">
        <f t="shared" si="2073"/>
        <v>5</v>
      </c>
      <c r="CB2821" s="111" t="e">
        <f t="shared" si="2064"/>
        <v>#VALUE!</v>
      </c>
      <c r="CC2821" s="129">
        <f>G2821-I2821+1</f>
        <v>5</v>
      </c>
      <c r="CD2821" s="129">
        <f>G2821-J2821</f>
        <v>0</v>
      </c>
      <c r="CG2821" s="129" t="str">
        <f t="shared" si="2074"/>
        <v>N</v>
      </c>
      <c r="CI2821" s="129" t="str">
        <f t="shared" si="2075"/>
        <v>0-10 DAYS</v>
      </c>
      <c r="CJ2821" s="137">
        <f t="shared" si="2076"/>
        <v>1</v>
      </c>
      <c r="CK2821" s="129" t="str">
        <f t="shared" si="2077"/>
        <v>Booked</v>
      </c>
    </row>
    <row r="2822" spans="1:89" ht="15" customHeight="1" x14ac:dyDescent="0.25">
      <c r="A2822" s="111">
        <v>2415</v>
      </c>
      <c r="B2822" s="128" t="str">
        <f t="shared" si="2065"/>
        <v>N</v>
      </c>
      <c r="C2822" s="128" t="str">
        <f t="shared" si="2066"/>
        <v>N</v>
      </c>
      <c r="D2822" s="117">
        <v>2605147</v>
      </c>
      <c r="E2822" s="135">
        <f t="shared" si="2067"/>
        <v>1</v>
      </c>
      <c r="F2822" s="124">
        <v>41000</v>
      </c>
      <c r="G2822" s="125">
        <v>41016</v>
      </c>
      <c r="H2822" s="117">
        <v>2605147</v>
      </c>
      <c r="I2822" s="124">
        <v>41000</v>
      </c>
      <c r="J2822" s="124">
        <v>41016</v>
      </c>
      <c r="K2822" s="126" t="s">
        <v>564</v>
      </c>
      <c r="L2822" s="127" t="s">
        <v>564</v>
      </c>
      <c r="N2822" s="129" t="s">
        <v>566</v>
      </c>
      <c r="O2822" s="128" t="s">
        <v>917</v>
      </c>
      <c r="P2822" s="129" t="s">
        <v>55</v>
      </c>
      <c r="Q2822" s="111">
        <f t="shared" si="2054"/>
        <v>17</v>
      </c>
      <c r="R2822" s="111">
        <f t="shared" si="2051"/>
        <v>17</v>
      </c>
      <c r="S2822" s="129">
        <v>1</v>
      </c>
      <c r="T2822" s="129">
        <v>0</v>
      </c>
      <c r="W2822" s="111"/>
      <c r="AC2822" s="130"/>
      <c r="AD2822" s="130">
        <v>32454</v>
      </c>
      <c r="AE2822" s="128" t="s">
        <v>32</v>
      </c>
      <c r="AF2822" s="128" t="s">
        <v>33</v>
      </c>
      <c r="AG2822" s="128" t="s">
        <v>872</v>
      </c>
      <c r="AH2822" s="108" t="s">
        <v>58</v>
      </c>
      <c r="AI2822" s="128" t="s">
        <v>72</v>
      </c>
      <c r="AJ2822" s="129" t="s">
        <v>55</v>
      </c>
      <c r="AK2822" s="129">
        <v>2</v>
      </c>
      <c r="AL2822" s="3" t="s">
        <v>55</v>
      </c>
      <c r="AP2822" s="129" t="s">
        <v>150</v>
      </c>
      <c r="AR2822" s="128" t="s">
        <v>67</v>
      </c>
      <c r="AS2822" s="129" t="s">
        <v>74</v>
      </c>
      <c r="AT2822" s="129" t="s">
        <v>437</v>
      </c>
      <c r="BC2822" s="129" t="s">
        <v>38</v>
      </c>
      <c r="BF2822" s="111">
        <f t="shared" si="2057"/>
        <v>17</v>
      </c>
      <c r="BG2822" s="111">
        <f t="shared" si="2058"/>
        <v>17</v>
      </c>
      <c r="BH2822" s="111">
        <f t="shared" si="2052"/>
        <v>17</v>
      </c>
      <c r="BI2822" s="111">
        <f t="shared" si="2055"/>
        <v>23.349726775956285</v>
      </c>
      <c r="BJ2822" s="129">
        <f>G2822-J2822-M2822</f>
        <v>0</v>
      </c>
      <c r="BK2822" s="129">
        <f t="shared" si="2053"/>
        <v>0</v>
      </c>
      <c r="BL2822" s="129" t="str">
        <f t="shared" si="2050"/>
        <v>NO CONVICTION</v>
      </c>
      <c r="BM2822" s="129" t="str">
        <f>O2822</f>
        <v>NONE</v>
      </c>
      <c r="BN2822" s="129" t="s">
        <v>566</v>
      </c>
      <c r="BP2822" s="137" t="str">
        <f t="shared" si="2059"/>
        <v>NO CONVICTION</v>
      </c>
      <c r="BQ2822" s="128" t="str">
        <f t="shared" si="2068"/>
        <v>Y</v>
      </c>
      <c r="BR2822" s="129" t="str">
        <f t="shared" si="2060"/>
        <v>DETAINED</v>
      </c>
      <c r="BS2822" s="129" t="str">
        <f t="shared" si="2061"/>
        <v>DISPOSED</v>
      </c>
      <c r="BT2822" s="129" t="str">
        <f t="shared" si="2062"/>
        <v>Y</v>
      </c>
      <c r="BU2822" s="109">
        <f>IFERROR(Q2822/R2822,BR2822)</f>
        <v>1</v>
      </c>
      <c r="BV2822" s="109">
        <f t="shared" si="2070"/>
        <v>1</v>
      </c>
      <c r="BW2822" s="109">
        <f t="shared" si="2041"/>
        <v>0</v>
      </c>
      <c r="BX2822" s="111">
        <f t="shared" si="2063"/>
        <v>0</v>
      </c>
      <c r="BY2822" s="129">
        <f t="shared" si="2071"/>
        <v>-17</v>
      </c>
      <c r="BZ2822" s="111">
        <f t="shared" si="2072"/>
        <v>0</v>
      </c>
      <c r="CA2822" s="138">
        <f t="shared" si="2073"/>
        <v>17</v>
      </c>
      <c r="CB2822" s="111" t="e">
        <f t="shared" si="2064"/>
        <v>#VALUE!</v>
      </c>
      <c r="CC2822" s="129">
        <f>G2822-I2822+1</f>
        <v>17</v>
      </c>
      <c r="CD2822" s="129">
        <f>G2822-J2822</f>
        <v>0</v>
      </c>
      <c r="CG2822" s="129" t="str">
        <f t="shared" si="2074"/>
        <v>Y</v>
      </c>
      <c r="CI2822" s="129" t="str">
        <f t="shared" si="2075"/>
        <v>11-30 DAYS</v>
      </c>
      <c r="CJ2822" s="137">
        <f t="shared" si="2076"/>
        <v>2</v>
      </c>
      <c r="CK2822" s="129" t="str">
        <f t="shared" si="2077"/>
        <v>Booked</v>
      </c>
    </row>
    <row r="2823" spans="1:89" ht="15.75" customHeight="1" x14ac:dyDescent="0.25">
      <c r="A2823" s="111">
        <v>2569</v>
      </c>
      <c r="B2823" s="128" t="str">
        <f t="shared" si="2065"/>
        <v>N</v>
      </c>
      <c r="C2823" s="128" t="str">
        <f t="shared" si="2066"/>
        <v>N</v>
      </c>
      <c r="D2823" s="117">
        <v>2605164</v>
      </c>
      <c r="E2823" s="135">
        <f t="shared" si="2067"/>
        <v>2</v>
      </c>
      <c r="F2823" s="124">
        <v>41004</v>
      </c>
      <c r="G2823" s="125">
        <v>41103</v>
      </c>
      <c r="H2823" s="117">
        <v>2605164</v>
      </c>
      <c r="I2823" s="124">
        <v>41009</v>
      </c>
      <c r="J2823" s="124">
        <v>41011</v>
      </c>
      <c r="K2823" s="126">
        <v>2000</v>
      </c>
      <c r="L2823" s="127" t="s">
        <v>568</v>
      </c>
      <c r="M2823" s="125">
        <v>41011</v>
      </c>
      <c r="N2823" s="129" t="str">
        <f>IF(M2823&gt;1/1/1,"Y","N")</f>
        <v>Y</v>
      </c>
      <c r="O2823" s="128" t="s">
        <v>76</v>
      </c>
      <c r="P2823" s="129" t="s">
        <v>589</v>
      </c>
      <c r="Q2823" s="111">
        <f t="shared" si="2054"/>
        <v>3</v>
      </c>
      <c r="R2823" s="111">
        <f t="shared" si="2051"/>
        <v>100</v>
      </c>
      <c r="S2823" s="129">
        <v>0</v>
      </c>
      <c r="T2823" s="129">
        <v>1</v>
      </c>
      <c r="W2823" s="111"/>
      <c r="AC2823" s="130"/>
      <c r="AD2823" s="130">
        <v>34656</v>
      </c>
      <c r="AE2823" s="128" t="s">
        <v>32</v>
      </c>
      <c r="AF2823" s="128" t="s">
        <v>33</v>
      </c>
      <c r="AG2823" s="128" t="s">
        <v>872</v>
      </c>
      <c r="AH2823" s="108" t="s">
        <v>31</v>
      </c>
      <c r="AI2823" s="128" t="s">
        <v>42</v>
      </c>
      <c r="AJ2823" s="129" t="s">
        <v>48</v>
      </c>
      <c r="AK2823" s="129">
        <v>7</v>
      </c>
      <c r="AL2823" s="3" t="s">
        <v>48</v>
      </c>
      <c r="AP2823" s="129" t="s">
        <v>318</v>
      </c>
      <c r="AR2823" s="128" t="s">
        <v>44</v>
      </c>
      <c r="AS2823" s="129" t="s">
        <v>64</v>
      </c>
      <c r="AT2823" s="129" t="s">
        <v>655</v>
      </c>
      <c r="BC2823" s="129" t="s">
        <v>38</v>
      </c>
      <c r="BF2823" s="111">
        <f t="shared" si="2057"/>
        <v>3</v>
      </c>
      <c r="BG2823" s="111">
        <f t="shared" si="2058"/>
        <v>95</v>
      </c>
      <c r="BH2823" s="111">
        <f t="shared" si="2052"/>
        <v>100</v>
      </c>
      <c r="BI2823" s="111">
        <f t="shared" si="2055"/>
        <v>17.344262295081968</v>
      </c>
      <c r="BJ2823" s="129">
        <f>(G2823-J2823)+(M2823-G2823)</f>
        <v>0</v>
      </c>
      <c r="BK2823" s="129">
        <f t="shared" si="2053"/>
        <v>-92</v>
      </c>
      <c r="BL2823" s="129" t="str">
        <f t="shared" si="2050"/>
        <v>DEFERRED</v>
      </c>
      <c r="BM2823" s="129" t="s">
        <v>76</v>
      </c>
      <c r="BN2823" s="129" t="s">
        <v>88</v>
      </c>
      <c r="BP2823" s="137" t="str">
        <f t="shared" si="2059"/>
        <v>DEFERRED</v>
      </c>
      <c r="BQ2823" s="128" t="str">
        <f t="shared" si="2068"/>
        <v>Y</v>
      </c>
      <c r="BR2823" s="129" t="str">
        <f t="shared" si="2060"/>
        <v>ON BOND</v>
      </c>
      <c r="BS2823" s="129" t="str">
        <f t="shared" si="2061"/>
        <v>DISPOSED</v>
      </c>
      <c r="BT2823" s="129" t="str">
        <f t="shared" si="2062"/>
        <v>N</v>
      </c>
      <c r="BU2823" s="109">
        <f t="shared" si="2069"/>
        <v>0.03</v>
      </c>
      <c r="BV2823" s="109">
        <f t="shared" si="2070"/>
        <v>3.1578947368421054E-2</v>
      </c>
      <c r="BW2823" s="109">
        <f t="shared" si="2041"/>
        <v>1.5789473684210548E-3</v>
      </c>
      <c r="BX2823" s="111">
        <f t="shared" si="2063"/>
        <v>0</v>
      </c>
      <c r="BY2823" s="129">
        <f t="shared" si="2071"/>
        <v>-3</v>
      </c>
      <c r="BZ2823" s="111">
        <f t="shared" si="2072"/>
        <v>0</v>
      </c>
      <c r="CA2823" s="138">
        <f t="shared" si="2073"/>
        <v>3</v>
      </c>
      <c r="CB2823" s="111" t="e">
        <f t="shared" si="2064"/>
        <v>#VALUE!</v>
      </c>
      <c r="CC2823" s="129">
        <f>M2823-I2823+1</f>
        <v>3</v>
      </c>
      <c r="CD2823" s="111">
        <f>CC2823-BF2823</f>
        <v>0</v>
      </c>
      <c r="CG2823" s="129" t="str">
        <f t="shared" si="2074"/>
        <v>Y</v>
      </c>
      <c r="CI2823" s="129" t="str">
        <f t="shared" si="2075"/>
        <v>0-10 DAYS</v>
      </c>
      <c r="CJ2823" s="137">
        <f t="shared" si="2076"/>
        <v>1</v>
      </c>
      <c r="CK2823" s="129" t="str">
        <f t="shared" si="2077"/>
        <v>Booked</v>
      </c>
    </row>
    <row r="2824" spans="1:89" ht="15" customHeight="1" x14ac:dyDescent="0.25">
      <c r="A2824" s="111">
        <v>1297</v>
      </c>
      <c r="B2824" s="128" t="str">
        <f t="shared" si="2065"/>
        <v>N</v>
      </c>
      <c r="C2824" s="128" t="str">
        <f t="shared" si="2066"/>
        <v>N</v>
      </c>
      <c r="D2824" s="117">
        <v>2605181</v>
      </c>
      <c r="E2824" s="135">
        <f t="shared" si="2067"/>
        <v>6</v>
      </c>
      <c r="F2824" s="124">
        <v>40956</v>
      </c>
      <c r="G2824" s="125">
        <v>41078</v>
      </c>
      <c r="H2824" s="117">
        <v>2605181</v>
      </c>
      <c r="I2824" s="124">
        <v>40956</v>
      </c>
      <c r="J2824" s="124">
        <v>41078</v>
      </c>
      <c r="K2824" s="126">
        <v>25000</v>
      </c>
      <c r="L2824" s="129" t="s">
        <v>572</v>
      </c>
      <c r="N2824" s="129" t="str">
        <f>IF(M2824&gt;1/1/1,"Y","N")</f>
        <v>N</v>
      </c>
      <c r="O2824" s="128" t="s">
        <v>917</v>
      </c>
      <c r="P2824" s="129" t="s">
        <v>39</v>
      </c>
      <c r="Q2824" s="111">
        <f t="shared" si="2054"/>
        <v>123</v>
      </c>
      <c r="R2824" s="111">
        <f t="shared" si="2051"/>
        <v>123</v>
      </c>
      <c r="S2824" s="129">
        <v>0</v>
      </c>
      <c r="T2824" s="129">
        <v>0</v>
      </c>
      <c r="W2824" s="111"/>
      <c r="AC2824" s="130"/>
      <c r="AD2824" s="130">
        <v>30946</v>
      </c>
      <c r="AE2824" s="128" t="s">
        <v>46</v>
      </c>
      <c r="AF2824" s="128" t="s">
        <v>69</v>
      </c>
      <c r="AG2824" s="128" t="s">
        <v>874</v>
      </c>
      <c r="AH2824" s="108" t="s">
        <v>31</v>
      </c>
      <c r="AI2824" s="128" t="s">
        <v>141</v>
      </c>
      <c r="AJ2824" s="129" t="s">
        <v>89</v>
      </c>
      <c r="AK2824" s="129">
        <v>5</v>
      </c>
      <c r="AL2824" s="3" t="s">
        <v>362</v>
      </c>
      <c r="AM2824" s="117">
        <v>2</v>
      </c>
      <c r="AP2824" s="129" t="s">
        <v>93</v>
      </c>
      <c r="AR2824" s="128" t="s">
        <v>67</v>
      </c>
      <c r="AS2824" s="129" t="s">
        <v>45</v>
      </c>
      <c r="BC2824" s="129" t="s">
        <v>38</v>
      </c>
      <c r="BF2824" s="111">
        <f t="shared" si="2057"/>
        <v>123</v>
      </c>
      <c r="BG2824" s="111">
        <f t="shared" si="2058"/>
        <v>123</v>
      </c>
      <c r="BH2824" s="111">
        <f t="shared" si="2052"/>
        <v>123</v>
      </c>
      <c r="BI2824" s="111">
        <f t="shared" si="2055"/>
        <v>27.349726775956285</v>
      </c>
      <c r="BJ2824" s="129">
        <f>G2824-J2824-M2824</f>
        <v>0</v>
      </c>
      <c r="BK2824" s="129">
        <f t="shared" si="2053"/>
        <v>0</v>
      </c>
      <c r="BL2824" s="129" t="str">
        <f t="shared" si="2050"/>
        <v>CONVICTION</v>
      </c>
      <c r="BM2824" s="129" t="str">
        <f>O2824</f>
        <v>NONE</v>
      </c>
      <c r="BN2824" s="129" t="s">
        <v>566</v>
      </c>
      <c r="BP2824" s="137" t="str">
        <f t="shared" si="2059"/>
        <v>CONVICTION</v>
      </c>
      <c r="BQ2824" s="128" t="str">
        <f t="shared" si="2068"/>
        <v>Y</v>
      </c>
      <c r="BR2824" s="129" t="str">
        <f t="shared" si="2060"/>
        <v>DETAINED</v>
      </c>
      <c r="BS2824" s="129" t="str">
        <f t="shared" si="2061"/>
        <v>DISPOSED</v>
      </c>
      <c r="BT2824" s="129" t="str">
        <f t="shared" si="2062"/>
        <v>N</v>
      </c>
      <c r="BU2824" s="109">
        <f t="shared" si="2069"/>
        <v>1</v>
      </c>
      <c r="BV2824" s="109">
        <f t="shared" si="2070"/>
        <v>1</v>
      </c>
      <c r="BW2824" s="109">
        <f t="shared" si="2041"/>
        <v>0</v>
      </c>
      <c r="BX2824" s="111">
        <f t="shared" si="2063"/>
        <v>0</v>
      </c>
      <c r="BY2824" s="129">
        <f t="shared" si="2071"/>
        <v>-123</v>
      </c>
      <c r="BZ2824" s="111">
        <f t="shared" si="2072"/>
        <v>0</v>
      </c>
      <c r="CA2824" s="138">
        <f t="shared" si="2073"/>
        <v>123</v>
      </c>
      <c r="CB2824" s="111" t="e">
        <f t="shared" si="2064"/>
        <v>#VALUE!</v>
      </c>
      <c r="CC2824" s="129">
        <f>G2824-I2824+1</f>
        <v>123</v>
      </c>
      <c r="CD2824" s="129">
        <f>G2824-J2824</f>
        <v>0</v>
      </c>
      <c r="CG2824" s="129" t="str">
        <f t="shared" si="2074"/>
        <v>N</v>
      </c>
      <c r="CI2824" s="129" t="str">
        <f t="shared" si="2075"/>
        <v>121-365 DAYS</v>
      </c>
      <c r="CJ2824" s="137">
        <f t="shared" si="2076"/>
        <v>6</v>
      </c>
      <c r="CK2824" s="129" t="str">
        <f t="shared" si="2077"/>
        <v>Booked</v>
      </c>
    </row>
    <row r="2825" spans="1:89" ht="15.75" customHeight="1" x14ac:dyDescent="0.25">
      <c r="A2825" s="111">
        <v>1301</v>
      </c>
      <c r="B2825" s="128" t="str">
        <f t="shared" si="2065"/>
        <v>N</v>
      </c>
      <c r="C2825" s="128" t="str">
        <f t="shared" si="2066"/>
        <v>N</v>
      </c>
      <c r="D2825" s="117">
        <v>2605183</v>
      </c>
      <c r="E2825" s="135">
        <f t="shared" si="2067"/>
        <v>2</v>
      </c>
      <c r="F2825" s="124">
        <v>40956</v>
      </c>
      <c r="G2825" s="125">
        <v>41043</v>
      </c>
      <c r="H2825" s="117">
        <v>2605183</v>
      </c>
      <c r="I2825" s="124">
        <v>40956</v>
      </c>
      <c r="J2825" s="124">
        <v>40977</v>
      </c>
      <c r="K2825" s="113">
        <v>150000</v>
      </c>
      <c r="L2825" s="129" t="s">
        <v>572</v>
      </c>
      <c r="M2825" s="125">
        <v>40977</v>
      </c>
      <c r="N2825" s="129" t="str">
        <f>IF(M2825&gt;1/1/1,"Y","N")</f>
        <v>Y</v>
      </c>
      <c r="O2825" s="128" t="s">
        <v>54</v>
      </c>
      <c r="P2825" s="129" t="s">
        <v>589</v>
      </c>
      <c r="Q2825" s="111">
        <f t="shared" si="2054"/>
        <v>22</v>
      </c>
      <c r="R2825" s="111">
        <f t="shared" si="2051"/>
        <v>88</v>
      </c>
      <c r="S2825" s="129">
        <v>0</v>
      </c>
      <c r="T2825" s="129">
        <v>0</v>
      </c>
      <c r="W2825" s="111"/>
      <c r="AC2825" s="130"/>
      <c r="AD2825" s="130">
        <v>29500</v>
      </c>
      <c r="AE2825" s="128" t="s">
        <v>32</v>
      </c>
      <c r="AF2825" s="128" t="s">
        <v>69</v>
      </c>
      <c r="AG2825" s="128" t="s">
        <v>874</v>
      </c>
      <c r="AH2825" s="108" t="s">
        <v>31</v>
      </c>
      <c r="AI2825" s="128" t="s">
        <v>95</v>
      </c>
      <c r="AJ2825" s="129" t="s">
        <v>48</v>
      </c>
      <c r="AK2825" s="129">
        <v>7</v>
      </c>
      <c r="AL2825" s="3" t="s">
        <v>48</v>
      </c>
      <c r="AP2825" s="129" t="s">
        <v>102</v>
      </c>
      <c r="AR2825" s="128" t="s">
        <v>92</v>
      </c>
      <c r="AS2825" s="129" t="s">
        <v>45</v>
      </c>
      <c r="BC2825" s="129" t="s">
        <v>52</v>
      </c>
      <c r="BF2825" s="111">
        <f t="shared" si="2057"/>
        <v>22</v>
      </c>
      <c r="BG2825" s="111">
        <f t="shared" si="2058"/>
        <v>88</v>
      </c>
      <c r="BH2825" s="111">
        <f t="shared" si="2052"/>
        <v>88</v>
      </c>
      <c r="BI2825" s="111">
        <f t="shared" si="2055"/>
        <v>31.300546448087431</v>
      </c>
      <c r="BJ2825" s="129">
        <f>(G2825-J2825)+(M2825-G2825)</f>
        <v>0</v>
      </c>
      <c r="BK2825" s="129">
        <f t="shared" si="2053"/>
        <v>-66</v>
      </c>
      <c r="BL2825" s="129" t="str">
        <f t="shared" si="2050"/>
        <v>DEFERRED</v>
      </c>
      <c r="BM2825" s="129" t="s">
        <v>160</v>
      </c>
      <c r="BN2825" s="129" t="s">
        <v>88</v>
      </c>
      <c r="BP2825" s="137" t="str">
        <f t="shared" si="2059"/>
        <v>DEFERRED</v>
      </c>
      <c r="BQ2825" s="128" t="str">
        <f t="shared" si="2068"/>
        <v>Y</v>
      </c>
      <c r="BR2825" s="129" t="str">
        <f t="shared" si="2060"/>
        <v>ON BOND</v>
      </c>
      <c r="BS2825" s="129" t="str">
        <f t="shared" si="2061"/>
        <v>DISPOSED</v>
      </c>
      <c r="BT2825" s="129" t="str">
        <f t="shared" si="2062"/>
        <v>N</v>
      </c>
      <c r="BU2825" s="109">
        <f t="shared" si="2069"/>
        <v>0.25</v>
      </c>
      <c r="BV2825" s="109">
        <f t="shared" si="2070"/>
        <v>0.25</v>
      </c>
      <c r="BW2825" s="109">
        <f t="shared" si="2041"/>
        <v>0</v>
      </c>
      <c r="BX2825" s="111">
        <f t="shared" si="2063"/>
        <v>0</v>
      </c>
      <c r="BY2825" s="129">
        <f t="shared" si="2071"/>
        <v>-22</v>
      </c>
      <c r="BZ2825" s="111">
        <f t="shared" si="2072"/>
        <v>0</v>
      </c>
      <c r="CA2825" s="138">
        <f t="shared" si="2073"/>
        <v>22</v>
      </c>
      <c r="CB2825" s="111" t="e">
        <f t="shared" si="2064"/>
        <v>#VALUE!</v>
      </c>
      <c r="CC2825" s="129">
        <f>M2825-I2825+1</f>
        <v>22</v>
      </c>
      <c r="CD2825" s="111">
        <f>CC2825-BF2825</f>
        <v>0</v>
      </c>
      <c r="CG2825" s="129" t="str">
        <f t="shared" si="2074"/>
        <v>N</v>
      </c>
      <c r="CI2825" s="129" t="str">
        <f t="shared" si="2075"/>
        <v>11-30 DAYS</v>
      </c>
      <c r="CJ2825" s="137">
        <f t="shared" si="2076"/>
        <v>2</v>
      </c>
      <c r="CK2825" s="129" t="str">
        <f t="shared" si="2077"/>
        <v>Booked</v>
      </c>
    </row>
    <row r="2826" spans="1:89" ht="15" customHeight="1" x14ac:dyDescent="0.25">
      <c r="A2826" s="111">
        <v>1304</v>
      </c>
      <c r="B2826" s="128" t="str">
        <f t="shared" si="2065"/>
        <v>N</v>
      </c>
      <c r="C2826" s="128" t="str">
        <f t="shared" si="2066"/>
        <v>N</v>
      </c>
      <c r="D2826" s="117">
        <v>2605189</v>
      </c>
      <c r="E2826" s="135">
        <f t="shared" si="2067"/>
        <v>1</v>
      </c>
      <c r="F2826" s="124">
        <v>40956</v>
      </c>
      <c r="G2826" s="125">
        <v>41002</v>
      </c>
      <c r="H2826" s="117">
        <v>2605189</v>
      </c>
      <c r="I2826" s="124">
        <v>40956</v>
      </c>
      <c r="J2826" s="124">
        <v>40958</v>
      </c>
      <c r="K2826" s="126">
        <v>2000</v>
      </c>
      <c r="L2826" s="127" t="s">
        <v>568</v>
      </c>
      <c r="M2826" s="125">
        <v>40958</v>
      </c>
      <c r="N2826" s="129" t="str">
        <f>IF(M2826&gt;1/1/1,"Y","N")</f>
        <v>Y</v>
      </c>
      <c r="O2826" s="128" t="s">
        <v>585</v>
      </c>
      <c r="P2826" s="129" t="s">
        <v>123</v>
      </c>
      <c r="Q2826" s="111">
        <f t="shared" si="2054"/>
        <v>3</v>
      </c>
      <c r="R2826" s="111">
        <f t="shared" si="2051"/>
        <v>47</v>
      </c>
      <c r="S2826" s="129">
        <v>0</v>
      </c>
      <c r="T2826" s="129">
        <v>0</v>
      </c>
      <c r="W2826" s="111"/>
      <c r="AC2826" s="130"/>
      <c r="AD2826" s="130">
        <v>34497</v>
      </c>
      <c r="AE2826" s="128" t="s">
        <v>46</v>
      </c>
      <c r="AF2826" s="128" t="s">
        <v>69</v>
      </c>
      <c r="AG2826" s="128" t="s">
        <v>874</v>
      </c>
      <c r="AH2826" s="108" t="s">
        <v>58</v>
      </c>
      <c r="AI2826" s="128" t="s">
        <v>90</v>
      </c>
      <c r="AJ2826" s="129" t="s">
        <v>123</v>
      </c>
      <c r="AK2826" s="129">
        <v>4</v>
      </c>
      <c r="AL2826" s="3" t="s">
        <v>123</v>
      </c>
      <c r="AP2826" s="129" t="s">
        <v>103</v>
      </c>
      <c r="AR2826" s="128" t="s">
        <v>44</v>
      </c>
      <c r="AS2826" s="129" t="s">
        <v>45</v>
      </c>
      <c r="BC2826" s="129" t="s">
        <v>79</v>
      </c>
      <c r="BF2826" s="111">
        <f t="shared" si="2057"/>
        <v>3</v>
      </c>
      <c r="BG2826" s="111">
        <f t="shared" si="2058"/>
        <v>47</v>
      </c>
      <c r="BH2826" s="111">
        <f t="shared" si="2052"/>
        <v>47</v>
      </c>
      <c r="BI2826" s="111">
        <f t="shared" si="2055"/>
        <v>17.647540983606557</v>
      </c>
      <c r="BJ2826" s="129">
        <f>(G2826-J2826)+(M2826-G2826)</f>
        <v>0</v>
      </c>
      <c r="BK2826" s="129">
        <f t="shared" si="2053"/>
        <v>-44</v>
      </c>
      <c r="BL2826" s="129" t="str">
        <f t="shared" si="2050"/>
        <v>NO CONVICTION</v>
      </c>
      <c r="BM2826" s="129" t="s">
        <v>76</v>
      </c>
      <c r="BN2826" s="129" t="s">
        <v>88</v>
      </c>
      <c r="BP2826" s="137" t="str">
        <f t="shared" si="2059"/>
        <v>NO CONVICTION</v>
      </c>
      <c r="BQ2826" s="128" t="str">
        <f t="shared" si="2068"/>
        <v>Y</v>
      </c>
      <c r="BR2826" s="129" t="str">
        <f t="shared" si="2060"/>
        <v>ON BOND</v>
      </c>
      <c r="BS2826" s="129" t="str">
        <f t="shared" si="2061"/>
        <v>DISPOSED</v>
      </c>
      <c r="BT2826" s="129" t="str">
        <f t="shared" si="2062"/>
        <v>N</v>
      </c>
      <c r="BU2826" s="109">
        <f>IFERROR(Q2826/R2826,BR2826)</f>
        <v>6.3829787234042548E-2</v>
      </c>
      <c r="BV2826" s="109">
        <f t="shared" si="2070"/>
        <v>6.3829787234042548E-2</v>
      </c>
      <c r="BW2826" s="109">
        <f t="shared" si="2041"/>
        <v>0</v>
      </c>
      <c r="BX2826" s="111">
        <f t="shared" si="2063"/>
        <v>0</v>
      </c>
      <c r="BY2826" s="129">
        <f t="shared" si="2071"/>
        <v>-3</v>
      </c>
      <c r="BZ2826" s="111">
        <f t="shared" si="2072"/>
        <v>0</v>
      </c>
      <c r="CA2826" s="138">
        <f t="shared" si="2073"/>
        <v>3</v>
      </c>
      <c r="CB2826" s="111" t="e">
        <f t="shared" si="2064"/>
        <v>#VALUE!</v>
      </c>
      <c r="CC2826" s="129">
        <f>M2826-I2826+1</f>
        <v>3</v>
      </c>
      <c r="CD2826" s="111">
        <f>CC2826-BF2826</f>
        <v>0</v>
      </c>
      <c r="CG2826" s="129" t="str">
        <f t="shared" si="2074"/>
        <v>N</v>
      </c>
      <c r="CI2826" s="129" t="str">
        <f t="shared" si="2075"/>
        <v>0-10 DAYS</v>
      </c>
      <c r="CJ2826" s="137">
        <f t="shared" si="2076"/>
        <v>1</v>
      </c>
      <c r="CK2826" s="129" t="str">
        <f t="shared" si="2077"/>
        <v>Booked</v>
      </c>
    </row>
    <row r="2827" spans="1:89" ht="15.75" customHeight="1" x14ac:dyDescent="0.25">
      <c r="A2827" s="111">
        <v>1327</v>
      </c>
      <c r="B2827" s="128" t="str">
        <f t="shared" si="2065"/>
        <v>N</v>
      </c>
      <c r="C2827" s="128" t="str">
        <f t="shared" si="2066"/>
        <v>N</v>
      </c>
      <c r="D2827" s="117">
        <v>2605226</v>
      </c>
      <c r="E2827" s="135">
        <f t="shared" si="2067"/>
        <v>6</v>
      </c>
      <c r="F2827" s="124">
        <v>40956</v>
      </c>
      <c r="G2827" s="125">
        <v>41130</v>
      </c>
      <c r="H2827" s="117">
        <v>2605226</v>
      </c>
      <c r="I2827" s="124">
        <v>40956</v>
      </c>
      <c r="J2827" s="124">
        <v>41130</v>
      </c>
      <c r="K2827" s="126" t="s">
        <v>564</v>
      </c>
      <c r="L2827" s="127" t="s">
        <v>564</v>
      </c>
      <c r="N2827" s="129" t="s">
        <v>566</v>
      </c>
      <c r="O2827" s="128" t="s">
        <v>917</v>
      </c>
      <c r="P2827" s="129" t="s">
        <v>39</v>
      </c>
      <c r="Q2827" s="111">
        <f t="shared" si="2054"/>
        <v>175</v>
      </c>
      <c r="R2827" s="111">
        <f t="shared" si="2051"/>
        <v>175</v>
      </c>
      <c r="S2827" s="129">
        <v>0</v>
      </c>
      <c r="T2827" s="129">
        <v>0</v>
      </c>
      <c r="W2827" s="111"/>
      <c r="AC2827" s="130"/>
      <c r="AD2827" s="130">
        <v>29478</v>
      </c>
      <c r="AE2827" s="128" t="s">
        <v>32</v>
      </c>
      <c r="AF2827" s="128" t="s">
        <v>69</v>
      </c>
      <c r="AG2827" s="128" t="s">
        <v>874</v>
      </c>
      <c r="AH2827" s="108" t="s">
        <v>31</v>
      </c>
      <c r="AI2827" s="128" t="s">
        <v>113</v>
      </c>
      <c r="AJ2827" s="129" t="s">
        <v>89</v>
      </c>
      <c r="AK2827" s="129">
        <v>8</v>
      </c>
      <c r="AL2827" s="3" t="s">
        <v>362</v>
      </c>
      <c r="AM2827" s="117">
        <v>5</v>
      </c>
      <c r="AP2827" s="129" t="s">
        <v>91</v>
      </c>
      <c r="AR2827" s="128" t="s">
        <v>92</v>
      </c>
      <c r="AS2827" s="129" t="s">
        <v>74</v>
      </c>
      <c r="BC2827" s="129" t="s">
        <v>52</v>
      </c>
      <c r="BF2827" s="111">
        <f t="shared" si="2057"/>
        <v>175</v>
      </c>
      <c r="BG2827" s="111">
        <f t="shared" si="2058"/>
        <v>175</v>
      </c>
      <c r="BH2827" s="111">
        <f t="shared" si="2052"/>
        <v>175</v>
      </c>
      <c r="BI2827" s="111">
        <f t="shared" si="2055"/>
        <v>31.360655737704917</v>
      </c>
      <c r="BJ2827" s="129">
        <f>G2827-J2827-M2827</f>
        <v>0</v>
      </c>
      <c r="BK2827" s="129">
        <f t="shared" si="2053"/>
        <v>0</v>
      </c>
      <c r="BL2827" s="129" t="str">
        <f t="shared" si="2050"/>
        <v>CONVICTION</v>
      </c>
      <c r="BM2827" s="129" t="str">
        <f>O2827</f>
        <v>NONE</v>
      </c>
      <c r="BN2827" s="129" t="s">
        <v>566</v>
      </c>
      <c r="BP2827" s="137" t="str">
        <f t="shared" si="2059"/>
        <v>CONVICTION</v>
      </c>
      <c r="BQ2827" s="128" t="str">
        <f t="shared" si="2068"/>
        <v>Y</v>
      </c>
      <c r="BR2827" s="129" t="str">
        <f t="shared" si="2060"/>
        <v>DETAINED</v>
      </c>
      <c r="BS2827" s="129" t="str">
        <f t="shared" si="2061"/>
        <v>DISPOSED</v>
      </c>
      <c r="BT2827" s="129" t="str">
        <f t="shared" si="2062"/>
        <v>N</v>
      </c>
      <c r="BU2827" s="109">
        <f t="shared" si="2069"/>
        <v>1</v>
      </c>
      <c r="BV2827" s="109">
        <f t="shared" si="2070"/>
        <v>1</v>
      </c>
      <c r="BW2827" s="109">
        <f t="shared" si="2041"/>
        <v>0</v>
      </c>
      <c r="BX2827" s="111">
        <f t="shared" si="2063"/>
        <v>0</v>
      </c>
      <c r="BY2827" s="129">
        <f t="shared" si="2071"/>
        <v>-175</v>
      </c>
      <c r="BZ2827" s="111">
        <f t="shared" si="2072"/>
        <v>0</v>
      </c>
      <c r="CA2827" s="138">
        <f t="shared" si="2073"/>
        <v>175</v>
      </c>
      <c r="CB2827" s="111" t="e">
        <f t="shared" si="2064"/>
        <v>#VALUE!</v>
      </c>
      <c r="CC2827" s="129">
        <f>G2827-I2827+1</f>
        <v>175</v>
      </c>
      <c r="CD2827" s="129">
        <f>G2827-J2827</f>
        <v>0</v>
      </c>
      <c r="CG2827" s="129" t="str">
        <f t="shared" si="2074"/>
        <v>N</v>
      </c>
      <c r="CI2827" s="129" t="str">
        <f t="shared" si="2075"/>
        <v>121-365 DAYS</v>
      </c>
      <c r="CJ2827" s="137">
        <f t="shared" si="2076"/>
        <v>6</v>
      </c>
      <c r="CK2827" s="129" t="str">
        <f t="shared" si="2077"/>
        <v>Booked</v>
      </c>
    </row>
    <row r="2828" spans="1:89" ht="15.75" customHeight="1" x14ac:dyDescent="0.25">
      <c r="A2828" s="111">
        <v>1309</v>
      </c>
      <c r="B2828" s="128" t="str">
        <f t="shared" si="2065"/>
        <v>N</v>
      </c>
      <c r="C2828" s="128" t="str">
        <f t="shared" si="2066"/>
        <v>Y</v>
      </c>
      <c r="D2828" s="117">
        <v>2605233</v>
      </c>
      <c r="E2828" s="135">
        <f t="shared" si="2067"/>
        <v>2</v>
      </c>
      <c r="F2828" s="124">
        <v>40956</v>
      </c>
      <c r="G2828" s="125">
        <v>41095</v>
      </c>
      <c r="H2828" s="117">
        <v>2605233</v>
      </c>
      <c r="I2828" s="124">
        <v>41092</v>
      </c>
      <c r="J2828" s="124">
        <v>41095</v>
      </c>
      <c r="K2828" s="126">
        <v>2000</v>
      </c>
      <c r="L2828" s="127" t="s">
        <v>568</v>
      </c>
      <c r="M2828" s="125">
        <v>40965</v>
      </c>
      <c r="N2828" s="129" t="str">
        <f>IF(M2828&gt;1/1/1,"Y","N")</f>
        <v>Y</v>
      </c>
      <c r="O2828" s="128" t="s">
        <v>76</v>
      </c>
      <c r="P2828" s="129" t="s">
        <v>589</v>
      </c>
      <c r="Q2828" s="111">
        <f t="shared" si="2054"/>
        <v>4</v>
      </c>
      <c r="R2828" s="111">
        <f t="shared" si="2051"/>
        <v>140</v>
      </c>
      <c r="S2828" s="129">
        <v>0</v>
      </c>
      <c r="T2828" s="129">
        <v>0</v>
      </c>
      <c r="W2828" s="111"/>
      <c r="AB2828" s="131" t="s">
        <v>112</v>
      </c>
      <c r="AC2828" s="130"/>
      <c r="AD2828" s="130">
        <v>34204</v>
      </c>
      <c r="AE2828" s="128" t="s">
        <v>32</v>
      </c>
      <c r="AF2828" s="128" t="s">
        <v>40</v>
      </c>
      <c r="AG2828" s="128" t="s">
        <v>41</v>
      </c>
      <c r="AH2828" s="108" t="s">
        <v>31</v>
      </c>
      <c r="AI2828" s="128" t="s">
        <v>114</v>
      </c>
      <c r="AJ2828" s="129" t="s">
        <v>48</v>
      </c>
      <c r="AK2828" s="129">
        <v>3</v>
      </c>
      <c r="AL2828" s="3" t="s">
        <v>48</v>
      </c>
      <c r="AP2828" s="129" t="s">
        <v>316</v>
      </c>
      <c r="AR2828" s="128" t="s">
        <v>67</v>
      </c>
      <c r="AS2828" s="129" t="s">
        <v>64</v>
      </c>
      <c r="AU2828" s="3" t="s">
        <v>830</v>
      </c>
      <c r="AV2828" s="3" t="s">
        <v>88</v>
      </c>
      <c r="AW2828" s="32" t="s">
        <v>722</v>
      </c>
      <c r="BA2828" s="125">
        <v>41145</v>
      </c>
      <c r="BB2828" s="129">
        <v>313</v>
      </c>
      <c r="BC2828" s="129" t="s">
        <v>52</v>
      </c>
      <c r="BF2828" s="111">
        <f>IF(J2828&gt;1/1/1900,((G2828+1)-I2828),"STILL OPEN")</f>
        <v>4</v>
      </c>
      <c r="BG2828" s="111">
        <f t="shared" si="2058"/>
        <v>4</v>
      </c>
      <c r="BH2828" s="111">
        <f t="shared" si="2052"/>
        <v>140</v>
      </c>
      <c r="BI2828" s="111">
        <f t="shared" si="2055"/>
        <v>18.448087431693988</v>
      </c>
      <c r="BJ2828" s="129">
        <f>G2828-J2828</f>
        <v>0</v>
      </c>
      <c r="BK2828" s="129">
        <f t="shared" si="2053"/>
        <v>0</v>
      </c>
      <c r="BL2828" s="129" t="str">
        <f t="shared" si="2050"/>
        <v>DEFERRED</v>
      </c>
      <c r="BM2828" s="129" t="s">
        <v>76</v>
      </c>
      <c r="BN2828" s="129" t="s">
        <v>88</v>
      </c>
      <c r="BP2828" s="137" t="str">
        <f t="shared" si="2059"/>
        <v>DEFERRED</v>
      </c>
      <c r="BQ2828" s="128" t="str">
        <f t="shared" si="2068"/>
        <v>Y</v>
      </c>
      <c r="BR2828" s="129" t="s">
        <v>574</v>
      </c>
      <c r="BS2828" s="129" t="str">
        <f t="shared" si="2061"/>
        <v>DISPOSED</v>
      </c>
      <c r="BT2828" s="129" t="str">
        <f t="shared" si="2062"/>
        <v>N</v>
      </c>
      <c r="BU2828" s="109">
        <f t="shared" si="2069"/>
        <v>2.8571428571428571E-2</v>
      </c>
      <c r="BV2828" s="109">
        <f t="shared" si="2070"/>
        <v>1</v>
      </c>
      <c r="BW2828" s="109">
        <f t="shared" si="2041"/>
        <v>0.97142857142857142</v>
      </c>
      <c r="BX2828" s="111">
        <f t="shared" si="2063"/>
        <v>0</v>
      </c>
      <c r="BY2828" s="129">
        <f t="shared" si="2071"/>
        <v>-4</v>
      </c>
      <c r="BZ2828" s="111">
        <f t="shared" si="2072"/>
        <v>0</v>
      </c>
      <c r="CA2828" s="138">
        <f t="shared" si="2073"/>
        <v>4</v>
      </c>
      <c r="CB2828" s="111" t="e">
        <f t="shared" si="2064"/>
        <v>#VALUE!</v>
      </c>
      <c r="CC2828" s="129">
        <f>G2828-I2828+1</f>
        <v>4</v>
      </c>
      <c r="CD2828" s="129">
        <f>G2828-J2828</f>
        <v>0</v>
      </c>
      <c r="CG2828" s="129" t="str">
        <f t="shared" si="2074"/>
        <v>N</v>
      </c>
      <c r="CI2828" s="129" t="str">
        <f t="shared" si="2075"/>
        <v>0-10 DAYS</v>
      </c>
      <c r="CJ2828" s="137">
        <f t="shared" si="2076"/>
        <v>1</v>
      </c>
      <c r="CK2828" s="129" t="str">
        <f t="shared" si="2077"/>
        <v>Booked</v>
      </c>
    </row>
    <row r="2829" spans="1:89" ht="15.75" customHeight="1" x14ac:dyDescent="0.25">
      <c r="A2829" s="111">
        <v>1312</v>
      </c>
      <c r="B2829" s="128" t="str">
        <f t="shared" si="2065"/>
        <v>Y</v>
      </c>
      <c r="C2829" s="128" t="str">
        <f t="shared" si="2066"/>
        <v>Y</v>
      </c>
      <c r="D2829" s="117">
        <v>2605248</v>
      </c>
      <c r="E2829" s="135">
        <f t="shared" si="2067"/>
        <v>2</v>
      </c>
      <c r="F2829" s="124">
        <v>40956</v>
      </c>
      <c r="G2829" s="125">
        <v>41157</v>
      </c>
      <c r="H2829" s="117">
        <v>2605248</v>
      </c>
      <c r="I2829" s="124">
        <v>41121</v>
      </c>
      <c r="J2829" s="124">
        <v>41125</v>
      </c>
      <c r="K2829" s="126">
        <v>7000</v>
      </c>
      <c r="L2829" s="127" t="s">
        <v>570</v>
      </c>
      <c r="M2829" s="125">
        <v>41090</v>
      </c>
      <c r="N2829" s="129" t="str">
        <f>IF(M2829&gt;1/1/1,"Y","N")</f>
        <v>Y</v>
      </c>
      <c r="O2829" s="128" t="s">
        <v>76</v>
      </c>
      <c r="P2829" s="129" t="s">
        <v>589</v>
      </c>
      <c r="Q2829" s="111">
        <v>11</v>
      </c>
      <c r="R2829" s="111">
        <f t="shared" si="2051"/>
        <v>202</v>
      </c>
      <c r="S2829" s="129">
        <v>0</v>
      </c>
      <c r="T2829" s="129">
        <v>0</v>
      </c>
      <c r="W2829" s="111"/>
      <c r="AC2829" s="130"/>
      <c r="AD2829" s="130">
        <v>31128</v>
      </c>
      <c r="AE2829" s="128" t="s">
        <v>32</v>
      </c>
      <c r="AF2829" s="128" t="s">
        <v>69</v>
      </c>
      <c r="AG2829" s="128" t="s">
        <v>874</v>
      </c>
      <c r="AH2829" s="108" t="s">
        <v>31</v>
      </c>
      <c r="AI2829" s="128" t="s">
        <v>97</v>
      </c>
      <c r="AJ2829" s="129" t="s">
        <v>48</v>
      </c>
      <c r="AK2829" s="129">
        <v>4</v>
      </c>
      <c r="AL2829" s="3" t="s">
        <v>48</v>
      </c>
      <c r="AP2829" s="129" t="s">
        <v>159</v>
      </c>
      <c r="AR2829" s="128" t="s">
        <v>44</v>
      </c>
      <c r="AS2829" s="129" t="s">
        <v>61</v>
      </c>
      <c r="AV2829" s="3" t="s">
        <v>88</v>
      </c>
      <c r="AW2829" s="123">
        <v>41099</v>
      </c>
      <c r="BA2829" s="125">
        <v>41162</v>
      </c>
      <c r="BB2829" s="129">
        <v>328</v>
      </c>
      <c r="BC2829" s="129" t="s">
        <v>52</v>
      </c>
      <c r="BD2829" s="129" t="s">
        <v>1269</v>
      </c>
      <c r="BF2829" s="111">
        <v>11</v>
      </c>
      <c r="BG2829" s="111">
        <f t="shared" si="2058"/>
        <v>37</v>
      </c>
      <c r="BH2829" s="111">
        <f t="shared" si="2052"/>
        <v>202</v>
      </c>
      <c r="BI2829" s="111">
        <f t="shared" si="2055"/>
        <v>26.852459016393443</v>
      </c>
      <c r="BJ2829" s="129">
        <f>(G2829-J2829)+(M2829-G2829)</f>
        <v>-35</v>
      </c>
      <c r="BK2829" s="129">
        <f t="shared" si="2053"/>
        <v>-32</v>
      </c>
      <c r="BL2829" s="129" t="str">
        <f t="shared" si="2050"/>
        <v>DEFERRED</v>
      </c>
      <c r="BM2829" s="129" t="s">
        <v>76</v>
      </c>
      <c r="BN2829" s="129" t="s">
        <v>88</v>
      </c>
      <c r="BP2829" s="137" t="str">
        <f t="shared" si="2059"/>
        <v>DEFERRED</v>
      </c>
      <c r="BQ2829" s="128" t="str">
        <f t="shared" si="2068"/>
        <v>Y</v>
      </c>
      <c r="BR2829" s="129" t="s">
        <v>574</v>
      </c>
      <c r="BS2829" s="129" t="str">
        <f t="shared" si="2061"/>
        <v>DISPOSED</v>
      </c>
      <c r="BT2829" s="129" t="str">
        <f t="shared" si="2062"/>
        <v>N</v>
      </c>
      <c r="BU2829" s="109">
        <f t="shared" si="2069"/>
        <v>5.4455445544554455E-2</v>
      </c>
      <c r="BV2829" s="109">
        <f t="shared" si="2070"/>
        <v>0.13513513513513514</v>
      </c>
      <c r="BW2829" s="109">
        <f t="shared" si="2041"/>
        <v>8.0679689590580694E-2</v>
      </c>
      <c r="BX2829" s="111">
        <f t="shared" si="2063"/>
        <v>0</v>
      </c>
      <c r="BY2829" s="129">
        <f t="shared" si="2071"/>
        <v>-5</v>
      </c>
      <c r="BZ2829" s="111">
        <f t="shared" si="2072"/>
        <v>6</v>
      </c>
      <c r="CA2829" s="138">
        <f t="shared" si="2073"/>
        <v>37</v>
      </c>
      <c r="CB2829" s="111">
        <v>11</v>
      </c>
      <c r="CC2829" s="129">
        <f>G2829-I2829+1</f>
        <v>37</v>
      </c>
      <c r="CD2829" s="129">
        <f>G2829-J2829</f>
        <v>32</v>
      </c>
      <c r="CG2829" s="129" t="str">
        <f t="shared" si="2074"/>
        <v>N</v>
      </c>
      <c r="CI2829" s="129" t="str">
        <f t="shared" si="2075"/>
        <v>11-30 DAYS</v>
      </c>
      <c r="CJ2829" s="137">
        <f t="shared" si="2076"/>
        <v>2</v>
      </c>
      <c r="CK2829" s="129" t="str">
        <f t="shared" si="2077"/>
        <v>Booked</v>
      </c>
    </row>
    <row r="2830" spans="1:89" ht="15" customHeight="1" x14ac:dyDescent="0.25">
      <c r="A2830" s="111">
        <v>1320</v>
      </c>
      <c r="B2830" s="128" t="str">
        <f t="shared" si="2065"/>
        <v>N</v>
      </c>
      <c r="C2830" s="128" t="str">
        <f t="shared" si="2066"/>
        <v>N</v>
      </c>
      <c r="D2830" s="117">
        <v>2605307</v>
      </c>
      <c r="E2830" s="135">
        <f t="shared" si="2067"/>
        <v>1</v>
      </c>
      <c r="F2830" s="124">
        <v>40956</v>
      </c>
      <c r="G2830" s="125">
        <v>40983</v>
      </c>
      <c r="H2830" s="117">
        <v>2605307</v>
      </c>
      <c r="I2830" s="124">
        <v>40956</v>
      </c>
      <c r="J2830" s="124">
        <v>40957</v>
      </c>
      <c r="K2830" s="126">
        <v>2000</v>
      </c>
      <c r="L2830" s="127" t="s">
        <v>568</v>
      </c>
      <c r="M2830" s="125">
        <v>40957</v>
      </c>
      <c r="N2830" s="129" t="str">
        <f>IF(M2830&gt;1/1/1,"Y","N")</f>
        <v>Y</v>
      </c>
      <c r="O2830" s="128" t="s">
        <v>76</v>
      </c>
      <c r="P2830" s="129" t="s">
        <v>123</v>
      </c>
      <c r="Q2830" s="111">
        <f t="shared" si="2054"/>
        <v>2</v>
      </c>
      <c r="R2830" s="111">
        <f t="shared" si="2051"/>
        <v>28</v>
      </c>
      <c r="S2830" s="129">
        <v>0</v>
      </c>
      <c r="T2830" s="129">
        <v>0</v>
      </c>
      <c r="W2830" s="111"/>
      <c r="AC2830" s="130"/>
      <c r="AD2830" s="130">
        <v>34540</v>
      </c>
      <c r="AE2830" s="128" t="s">
        <v>32</v>
      </c>
      <c r="AF2830" s="128" t="s">
        <v>69</v>
      </c>
      <c r="AG2830" s="128" t="s">
        <v>874</v>
      </c>
      <c r="AH2830" s="108" t="s">
        <v>31</v>
      </c>
      <c r="AI2830" s="128" t="s">
        <v>97</v>
      </c>
      <c r="AJ2830" s="129" t="s">
        <v>123</v>
      </c>
      <c r="AK2830" s="129">
        <v>2</v>
      </c>
      <c r="AL2830" s="3" t="s">
        <v>123</v>
      </c>
      <c r="AP2830" s="129" t="s">
        <v>318</v>
      </c>
      <c r="AR2830" s="128" t="s">
        <v>44</v>
      </c>
      <c r="AS2830" s="129" t="s">
        <v>64</v>
      </c>
      <c r="BC2830" s="129" t="s">
        <v>79</v>
      </c>
      <c r="BF2830" s="111">
        <f t="shared" si="2057"/>
        <v>2</v>
      </c>
      <c r="BG2830" s="111">
        <f t="shared" si="2058"/>
        <v>28</v>
      </c>
      <c r="BH2830" s="111">
        <f t="shared" si="2052"/>
        <v>28</v>
      </c>
      <c r="BI2830" s="111">
        <f t="shared" si="2055"/>
        <v>17.530054644808743</v>
      </c>
      <c r="BJ2830" s="129">
        <f>(G2830-J2830)+(M2830-G2830)</f>
        <v>0</v>
      </c>
      <c r="BK2830" s="129">
        <f t="shared" si="2053"/>
        <v>-26</v>
      </c>
      <c r="BL2830" s="129" t="str">
        <f t="shared" si="2050"/>
        <v>NO CONVICTION</v>
      </c>
      <c r="BM2830" s="129" t="s">
        <v>76</v>
      </c>
      <c r="BN2830" s="129" t="s">
        <v>88</v>
      </c>
      <c r="BP2830" s="137" t="str">
        <f t="shared" si="2059"/>
        <v>NO CONVICTION</v>
      </c>
      <c r="BQ2830" s="128" t="str">
        <f t="shared" si="2068"/>
        <v>Y</v>
      </c>
      <c r="BR2830" s="129" t="str">
        <f t="shared" si="2060"/>
        <v>ON BOND</v>
      </c>
      <c r="BS2830" s="129" t="str">
        <f t="shared" si="2061"/>
        <v>DISPOSED</v>
      </c>
      <c r="BT2830" s="129" t="str">
        <f t="shared" si="2062"/>
        <v>N</v>
      </c>
      <c r="BU2830" s="109">
        <f>IFERROR(Q2830/R2830,BR2830)</f>
        <v>7.1428571428571425E-2</v>
      </c>
      <c r="BV2830" s="109">
        <f t="shared" si="2070"/>
        <v>7.1428571428571425E-2</v>
      </c>
      <c r="BW2830" s="109">
        <f t="shared" si="2041"/>
        <v>0</v>
      </c>
      <c r="BX2830" s="111">
        <f t="shared" si="2063"/>
        <v>0</v>
      </c>
      <c r="BY2830" s="129">
        <f t="shared" si="2071"/>
        <v>-2</v>
      </c>
      <c r="BZ2830" s="111">
        <f t="shared" si="2072"/>
        <v>0</v>
      </c>
      <c r="CA2830" s="138">
        <f t="shared" si="2073"/>
        <v>2</v>
      </c>
      <c r="CB2830" s="111" t="e">
        <f t="shared" si="2064"/>
        <v>#VALUE!</v>
      </c>
      <c r="CC2830" s="129">
        <f>M2830-I2830+1</f>
        <v>2</v>
      </c>
      <c r="CD2830" s="111">
        <f>CC2830-BF2830</f>
        <v>0</v>
      </c>
      <c r="CG2830" s="129" t="str">
        <f t="shared" si="2074"/>
        <v>N</v>
      </c>
      <c r="CI2830" s="129" t="str">
        <f t="shared" si="2075"/>
        <v>0-10 DAYS</v>
      </c>
      <c r="CJ2830" s="137">
        <f t="shared" si="2076"/>
        <v>1</v>
      </c>
      <c r="CK2830" s="129" t="str">
        <f t="shared" si="2077"/>
        <v>Booked</v>
      </c>
    </row>
    <row r="2831" spans="1:89" ht="15.75" customHeight="1" x14ac:dyDescent="0.25">
      <c r="A2831" s="111">
        <v>1325</v>
      </c>
      <c r="B2831" s="128" t="str">
        <f t="shared" si="2065"/>
        <v>N</v>
      </c>
      <c r="C2831" s="128" t="str">
        <f t="shared" si="2066"/>
        <v>N</v>
      </c>
      <c r="D2831" s="117">
        <v>2605321</v>
      </c>
      <c r="E2831" s="135">
        <f t="shared" si="2067"/>
        <v>2</v>
      </c>
      <c r="F2831" s="124">
        <v>40956</v>
      </c>
      <c r="G2831" s="125">
        <v>41082</v>
      </c>
      <c r="H2831" s="117">
        <v>2605321</v>
      </c>
      <c r="I2831" s="124" t="s">
        <v>562</v>
      </c>
      <c r="J2831" s="124" t="s">
        <v>562</v>
      </c>
      <c r="K2831" s="126">
        <v>2000</v>
      </c>
      <c r="L2831" s="127" t="s">
        <v>568</v>
      </c>
      <c r="M2831" s="125">
        <v>40957</v>
      </c>
      <c r="N2831" s="129" t="str">
        <f>IF(M2831&gt;1/1/1,"Y",IF(Q2831="0","","N"))</f>
        <v>Y</v>
      </c>
      <c r="O2831" s="128" t="s">
        <v>585</v>
      </c>
      <c r="P2831" s="129" t="s">
        <v>589</v>
      </c>
      <c r="Q2831" s="111">
        <f t="shared" si="2054"/>
        <v>0</v>
      </c>
      <c r="R2831" s="111">
        <f t="shared" si="2051"/>
        <v>127</v>
      </c>
      <c r="S2831" s="129">
        <v>0</v>
      </c>
      <c r="T2831" s="129">
        <v>0</v>
      </c>
      <c r="W2831" s="111"/>
      <c r="AC2831" s="130"/>
      <c r="AD2831" s="130">
        <v>34614</v>
      </c>
      <c r="AE2831" s="128" t="s">
        <v>32</v>
      </c>
      <c r="AF2831" s="128" t="s">
        <v>40</v>
      </c>
      <c r="AG2831" s="128" t="s">
        <v>41</v>
      </c>
      <c r="AH2831" s="108" t="s">
        <v>41</v>
      </c>
      <c r="AI2831" s="128" t="s">
        <v>71</v>
      </c>
      <c r="AJ2831" s="129" t="s">
        <v>48</v>
      </c>
      <c r="AK2831" s="129">
        <v>5</v>
      </c>
      <c r="AL2831" s="3" t="s">
        <v>48</v>
      </c>
      <c r="AP2831" s="129" t="s">
        <v>273</v>
      </c>
      <c r="AR2831" s="128" t="s">
        <v>44</v>
      </c>
      <c r="AS2831" s="129" t="s">
        <v>45</v>
      </c>
      <c r="BC2831" s="129" t="s">
        <v>52</v>
      </c>
      <c r="BF2831" s="111">
        <v>0</v>
      </c>
      <c r="BG2831" s="111">
        <v>0</v>
      </c>
      <c r="BH2831" s="111">
        <f t="shared" si="2052"/>
        <v>127</v>
      </c>
      <c r="BI2831" s="111">
        <f t="shared" si="2055"/>
        <v>17.327868852459016</v>
      </c>
      <c r="BJ2831" s="129" t="e">
        <f>(G2831-J2831)+(M2831-G2831)</f>
        <v>#VALUE!</v>
      </c>
      <c r="BK2831" s="129" t="e">
        <f t="shared" si="2053"/>
        <v>#VALUE!</v>
      </c>
      <c r="BL2831" s="129" t="str">
        <f t="shared" si="2050"/>
        <v>DEFERRED</v>
      </c>
      <c r="BM2831" s="129" t="s">
        <v>76</v>
      </c>
      <c r="BN2831" s="129" t="s">
        <v>88</v>
      </c>
      <c r="BP2831" s="137" t="str">
        <f t="shared" si="2059"/>
        <v>DEFERRED</v>
      </c>
      <c r="BQ2831" s="128">
        <f t="shared" si="2068"/>
        <v>0</v>
      </c>
      <c r="BR2831" s="129" t="s">
        <v>575</v>
      </c>
      <c r="BS2831" s="129" t="str">
        <f t="shared" si="2061"/>
        <v>DISPOSED</v>
      </c>
      <c r="BT2831" s="129" t="str">
        <f t="shared" si="2062"/>
        <v>N</v>
      </c>
      <c r="BU2831" s="109">
        <f t="shared" si="2069"/>
        <v>0</v>
      </c>
      <c r="BV2831" s="109">
        <v>0</v>
      </c>
      <c r="BW2831" s="109">
        <f t="shared" si="2041"/>
        <v>0</v>
      </c>
      <c r="BX2831" s="111">
        <f t="shared" si="2063"/>
        <v>0</v>
      </c>
      <c r="BY2831" s="129" t="e">
        <f t="shared" si="2071"/>
        <v>#VALUE!</v>
      </c>
      <c r="BZ2831" s="111" t="e">
        <f t="shared" si="2072"/>
        <v>#VALUE!</v>
      </c>
      <c r="CA2831" s="138" t="e">
        <f t="shared" si="2073"/>
        <v>#VALUE!</v>
      </c>
      <c r="CB2831" s="111">
        <v>0</v>
      </c>
      <c r="CC2831" s="129">
        <v>0</v>
      </c>
      <c r="CD2831" s="111">
        <f>CC2831-BF2831</f>
        <v>0</v>
      </c>
      <c r="CG2831" s="129" t="str">
        <f t="shared" si="2074"/>
        <v>N</v>
      </c>
      <c r="CI2831" s="129" t="str">
        <f t="shared" si="2075"/>
        <v>0-10 DAYS</v>
      </c>
      <c r="CJ2831" s="137">
        <f t="shared" si="2076"/>
        <v>1</v>
      </c>
      <c r="CK2831" s="129" t="str">
        <f t="shared" si="2077"/>
        <v>Not Booked</v>
      </c>
    </row>
    <row r="2832" spans="1:89" ht="15" customHeight="1" x14ac:dyDescent="0.25">
      <c r="A2832" s="111">
        <v>1328</v>
      </c>
      <c r="B2832" s="128" t="str">
        <f t="shared" si="2065"/>
        <v>N</v>
      </c>
      <c r="C2832" s="128" t="str">
        <f t="shared" si="2066"/>
        <v>N</v>
      </c>
      <c r="D2832" s="117">
        <v>2605330</v>
      </c>
      <c r="E2832" s="135">
        <f t="shared" si="2067"/>
        <v>5</v>
      </c>
      <c r="F2832" s="124">
        <v>40956</v>
      </c>
      <c r="G2832" s="125">
        <v>40959</v>
      </c>
      <c r="H2832" s="117">
        <v>2605330</v>
      </c>
      <c r="I2832" s="124">
        <v>40957</v>
      </c>
      <c r="J2832" s="124">
        <v>40959</v>
      </c>
      <c r="K2832" s="126" t="s">
        <v>564</v>
      </c>
      <c r="L2832" s="127" t="s">
        <v>564</v>
      </c>
      <c r="N2832" s="129" t="s">
        <v>566</v>
      </c>
      <c r="O2832" s="128" t="s">
        <v>917</v>
      </c>
      <c r="P2832" s="129" t="s">
        <v>39</v>
      </c>
      <c r="Q2832" s="111">
        <f t="shared" si="2054"/>
        <v>3</v>
      </c>
      <c r="R2832" s="111">
        <f t="shared" si="2051"/>
        <v>4</v>
      </c>
      <c r="S2832" s="129">
        <v>0</v>
      </c>
      <c r="T2832" s="129">
        <v>0</v>
      </c>
      <c r="W2832" s="111"/>
      <c r="AC2832" s="130"/>
      <c r="AD2832" s="130">
        <v>33747</v>
      </c>
      <c r="AE2832" s="128" t="s">
        <v>32</v>
      </c>
      <c r="AF2832" s="128" t="s">
        <v>33</v>
      </c>
      <c r="AG2832" s="128" t="s">
        <v>872</v>
      </c>
      <c r="AH2832" s="108" t="s">
        <v>31</v>
      </c>
      <c r="AI2832" s="128" t="s">
        <v>114</v>
      </c>
      <c r="AJ2832" s="129" t="s">
        <v>89</v>
      </c>
      <c r="AK2832" s="129">
        <v>1</v>
      </c>
      <c r="AL2832" s="3" t="s">
        <v>992</v>
      </c>
      <c r="AN2832" s="117">
        <v>6</v>
      </c>
      <c r="AP2832" s="129" t="s">
        <v>320</v>
      </c>
      <c r="AR2832" s="128" t="s">
        <v>44</v>
      </c>
      <c r="AS2832" s="129" t="s">
        <v>64</v>
      </c>
      <c r="BC2832" s="129" t="s">
        <v>38</v>
      </c>
      <c r="BF2832" s="111">
        <f>IF(J2832&gt;1/1/1900,((J2832+1)-I2832),"STILL OPEN")</f>
        <v>3</v>
      </c>
      <c r="BG2832" s="111">
        <f>IF(G2832&gt;1/1/1900,((G2832+1)-I2832),"STILL OPEN")</f>
        <v>3</v>
      </c>
      <c r="BH2832" s="111">
        <f t="shared" si="2052"/>
        <v>4</v>
      </c>
      <c r="BI2832" s="111">
        <f t="shared" si="2055"/>
        <v>19.696721311475411</v>
      </c>
      <c r="BJ2832" s="129">
        <f>G2832-J2832-M2832</f>
        <v>0</v>
      </c>
      <c r="BK2832" s="129">
        <f t="shared" si="2053"/>
        <v>0</v>
      </c>
      <c r="BL2832" s="129" t="str">
        <f t="shared" si="2050"/>
        <v>CONVICTION</v>
      </c>
      <c r="BM2832" s="129" t="str">
        <f>O2832</f>
        <v>NONE</v>
      </c>
      <c r="BN2832" s="129" t="s">
        <v>566</v>
      </c>
      <c r="BP2832" s="137" t="str">
        <f t="shared" si="2059"/>
        <v>CONVICTION</v>
      </c>
      <c r="BQ2832" s="128" t="str">
        <f t="shared" si="2068"/>
        <v>Y</v>
      </c>
      <c r="BR2832" s="129" t="str">
        <f t="shared" si="2060"/>
        <v>DETAINED</v>
      </c>
      <c r="BS2832" s="129" t="str">
        <f t="shared" si="2061"/>
        <v>DISPOSED</v>
      </c>
      <c r="BT2832" s="129" t="str">
        <f t="shared" si="2062"/>
        <v>N</v>
      </c>
      <c r="BU2832" s="109">
        <f t="shared" si="2069"/>
        <v>0.75</v>
      </c>
      <c r="BV2832" s="109">
        <f t="shared" si="2070"/>
        <v>1</v>
      </c>
      <c r="BW2832" s="109">
        <f t="shared" si="2041"/>
        <v>0.25</v>
      </c>
      <c r="BX2832" s="111">
        <f t="shared" si="2063"/>
        <v>0</v>
      </c>
      <c r="BY2832" s="129">
        <f t="shared" si="2071"/>
        <v>-3</v>
      </c>
      <c r="BZ2832" s="111">
        <f t="shared" si="2072"/>
        <v>0</v>
      </c>
      <c r="CA2832" s="138">
        <f t="shared" si="2073"/>
        <v>3</v>
      </c>
      <c r="CB2832" s="111" t="e">
        <f>IF(AF2832&gt;1/1/1900,((AF2832+1)-AE2832),"STILL OPEN")</f>
        <v>#VALUE!</v>
      </c>
      <c r="CC2832" s="129">
        <f>G2832-I2832+1</f>
        <v>3</v>
      </c>
      <c r="CD2832" s="129">
        <f>G2832-J2832</f>
        <v>0</v>
      </c>
      <c r="CG2832" s="129" t="str">
        <f t="shared" si="2074"/>
        <v>N</v>
      </c>
      <c r="CI2832" s="129" t="str">
        <f t="shared" si="2075"/>
        <v>0-10 DAYS</v>
      </c>
      <c r="CJ2832" s="137">
        <f t="shared" si="2076"/>
        <v>1</v>
      </c>
      <c r="CK2832" s="129" t="str">
        <f t="shared" si="2077"/>
        <v>Booked</v>
      </c>
    </row>
    <row r="2833" spans="1:89" ht="15.75" customHeight="1" x14ac:dyDescent="0.25">
      <c r="A2833" s="111">
        <v>1333</v>
      </c>
      <c r="B2833" s="128" t="str">
        <f t="shared" si="2065"/>
        <v>N</v>
      </c>
      <c r="C2833" s="128" t="str">
        <f t="shared" si="2066"/>
        <v>N</v>
      </c>
      <c r="D2833" s="117">
        <v>2605353</v>
      </c>
      <c r="E2833" s="135">
        <f t="shared" si="2067"/>
        <v>4</v>
      </c>
      <c r="F2833" s="124">
        <v>40957</v>
      </c>
      <c r="G2833" s="125">
        <v>41066</v>
      </c>
      <c r="H2833" s="117">
        <v>2605353</v>
      </c>
      <c r="I2833" s="124">
        <v>40957</v>
      </c>
      <c r="J2833" s="124">
        <v>41066</v>
      </c>
      <c r="K2833" s="126">
        <v>35000</v>
      </c>
      <c r="L2833" s="129" t="s">
        <v>572</v>
      </c>
      <c r="N2833" s="129" t="str">
        <f>IF(M2833&gt;1/1/1,"Y","N")</f>
        <v>N</v>
      </c>
      <c r="O2833" s="128" t="s">
        <v>917</v>
      </c>
      <c r="P2833" s="129" t="s">
        <v>39</v>
      </c>
      <c r="Q2833" s="111">
        <f t="shared" si="2054"/>
        <v>110</v>
      </c>
      <c r="R2833" s="111">
        <f t="shared" si="2051"/>
        <v>110</v>
      </c>
      <c r="S2833" s="129">
        <v>0</v>
      </c>
      <c r="T2833" s="129">
        <v>0</v>
      </c>
      <c r="W2833" s="111"/>
      <c r="AB2833" s="131" t="s">
        <v>112</v>
      </c>
      <c r="AC2833" s="130"/>
      <c r="AD2833" s="130">
        <v>29753</v>
      </c>
      <c r="AE2833" s="128" t="s">
        <v>46</v>
      </c>
      <c r="AF2833" s="128" t="s">
        <v>40</v>
      </c>
      <c r="AG2833" s="128" t="s">
        <v>41</v>
      </c>
      <c r="AH2833" s="108" t="s">
        <v>31</v>
      </c>
      <c r="AI2833" s="128" t="s">
        <v>59</v>
      </c>
      <c r="AJ2833" s="129" t="s">
        <v>89</v>
      </c>
      <c r="AK2833" s="129">
        <v>7</v>
      </c>
      <c r="AL2833" s="3" t="s">
        <v>991</v>
      </c>
      <c r="AO2833" s="128">
        <v>300</v>
      </c>
      <c r="AP2833" s="129" t="s">
        <v>197</v>
      </c>
      <c r="AR2833" s="128" t="s">
        <v>44</v>
      </c>
      <c r="AS2833" s="129" t="s">
        <v>61</v>
      </c>
      <c r="BC2833" s="129" t="s">
        <v>52</v>
      </c>
      <c r="BF2833" s="111">
        <f>IF(J2833&gt;1/1/1900,((J2833+1)-I2833),"STILL OPEN")</f>
        <v>110</v>
      </c>
      <c r="BG2833" s="111">
        <f>IF(G2833&gt;1/1/1900,((G2833+1)-I2833),"STILL OPEN")</f>
        <v>110</v>
      </c>
      <c r="BH2833" s="111">
        <f t="shared" si="2052"/>
        <v>110</v>
      </c>
      <c r="BI2833" s="111">
        <f t="shared" si="2055"/>
        <v>30.612021857923498</v>
      </c>
      <c r="BJ2833" s="129">
        <f>G2833-J2833-M2833</f>
        <v>0</v>
      </c>
      <c r="BK2833" s="129">
        <f t="shared" si="2053"/>
        <v>0</v>
      </c>
      <c r="BL2833" s="129" t="str">
        <f t="shared" si="2050"/>
        <v>CONVICTION</v>
      </c>
      <c r="BM2833" s="129" t="str">
        <f>O2833</f>
        <v>NONE</v>
      </c>
      <c r="BN2833" s="129" t="s">
        <v>566</v>
      </c>
      <c r="BP2833" s="137" t="str">
        <f t="shared" si="2059"/>
        <v>CONVICTION</v>
      </c>
      <c r="BQ2833" s="128" t="str">
        <f t="shared" si="2068"/>
        <v>Y</v>
      </c>
      <c r="BR2833" s="129" t="str">
        <f t="shared" si="2060"/>
        <v>DETAINED</v>
      </c>
      <c r="BS2833" s="129" t="str">
        <f t="shared" si="2061"/>
        <v>DISPOSED</v>
      </c>
      <c r="BT2833" s="129" t="str">
        <f t="shared" si="2062"/>
        <v>N</v>
      </c>
      <c r="BU2833" s="109">
        <f t="shared" si="2069"/>
        <v>1</v>
      </c>
      <c r="BV2833" s="109">
        <f t="shared" si="2070"/>
        <v>1</v>
      </c>
      <c r="BW2833" s="109">
        <f t="shared" si="2041"/>
        <v>0</v>
      </c>
      <c r="BX2833" s="111">
        <f t="shared" si="2063"/>
        <v>0</v>
      </c>
      <c r="BY2833" s="129">
        <f t="shared" si="2071"/>
        <v>-110</v>
      </c>
      <c r="BZ2833" s="111">
        <f t="shared" si="2072"/>
        <v>0</v>
      </c>
      <c r="CA2833" s="138">
        <f t="shared" si="2073"/>
        <v>110</v>
      </c>
      <c r="CB2833" s="111" t="e">
        <f>IF(AF2833&gt;1/1/1900,((AF2833+1)-AE2833),"STILL OPEN")</f>
        <v>#VALUE!</v>
      </c>
      <c r="CC2833" s="129">
        <f>G2833-I2833+1</f>
        <v>110</v>
      </c>
      <c r="CD2833" s="129">
        <f>G2833-J2833</f>
        <v>0</v>
      </c>
      <c r="CG2833" s="129" t="str">
        <f t="shared" si="2074"/>
        <v>N</v>
      </c>
      <c r="CI2833" s="129" t="str">
        <f t="shared" si="2075"/>
        <v>91-120 DAYS</v>
      </c>
      <c r="CJ2833" s="137">
        <f t="shared" si="2076"/>
        <v>0</v>
      </c>
      <c r="CK2833" s="129" t="str">
        <f t="shared" si="2077"/>
        <v>Booked</v>
      </c>
    </row>
    <row r="2834" spans="1:89" ht="15" customHeight="1" x14ac:dyDescent="0.25">
      <c r="A2834" s="111">
        <v>1334</v>
      </c>
      <c r="B2834" s="128" t="str">
        <f t="shared" si="2065"/>
        <v>N</v>
      </c>
      <c r="C2834" s="128" t="str">
        <f t="shared" si="2066"/>
        <v>N</v>
      </c>
      <c r="D2834" s="117">
        <v>2605354</v>
      </c>
      <c r="E2834" s="135">
        <f t="shared" si="2067"/>
        <v>4</v>
      </c>
      <c r="F2834" s="124">
        <v>40957</v>
      </c>
      <c r="G2834" s="125">
        <v>41066</v>
      </c>
      <c r="H2834" s="117">
        <v>2605354</v>
      </c>
      <c r="I2834" s="124">
        <v>40958</v>
      </c>
      <c r="J2834" s="124">
        <v>41066</v>
      </c>
      <c r="K2834" s="126">
        <v>35000</v>
      </c>
      <c r="L2834" s="129" t="s">
        <v>572</v>
      </c>
      <c r="N2834" s="129" t="str">
        <f>IF(M2834&gt;1/1/1,"Y","N")</f>
        <v>N</v>
      </c>
      <c r="O2834" s="128" t="s">
        <v>917</v>
      </c>
      <c r="P2834" s="129" t="s">
        <v>39</v>
      </c>
      <c r="Q2834" s="111">
        <f t="shared" si="2054"/>
        <v>109</v>
      </c>
      <c r="R2834" s="111">
        <f t="shared" si="2051"/>
        <v>110</v>
      </c>
      <c r="S2834" s="129">
        <v>0</v>
      </c>
      <c r="T2834" s="129">
        <v>0</v>
      </c>
      <c r="W2834" s="111"/>
      <c r="AB2834" s="131" t="s">
        <v>112</v>
      </c>
      <c r="AC2834" s="130"/>
      <c r="AD2834" s="130">
        <v>29089</v>
      </c>
      <c r="AE2834" s="128" t="s">
        <v>32</v>
      </c>
      <c r="AF2834" s="128" t="s">
        <v>40</v>
      </c>
      <c r="AG2834" s="128" t="s">
        <v>41</v>
      </c>
      <c r="AH2834" s="108" t="s">
        <v>31</v>
      </c>
      <c r="AI2834" s="128" t="s">
        <v>59</v>
      </c>
      <c r="AJ2834" s="129" t="s">
        <v>89</v>
      </c>
      <c r="AK2834" s="129">
        <v>5</v>
      </c>
      <c r="AL2834" s="3" t="s">
        <v>991</v>
      </c>
      <c r="AO2834" s="128">
        <v>300</v>
      </c>
      <c r="AP2834" s="129" t="s">
        <v>197</v>
      </c>
      <c r="AR2834" s="128" t="s">
        <v>44</v>
      </c>
      <c r="AS2834" s="129" t="s">
        <v>61</v>
      </c>
      <c r="BC2834" s="129" t="s">
        <v>52</v>
      </c>
      <c r="BF2834" s="111">
        <f>IF(J2834&gt;1/1/1900,((J2834+1)-I2834),"STILL OPEN")</f>
        <v>109</v>
      </c>
      <c r="BG2834" s="111">
        <f>IF(G2834&gt;1/1/1900,((G2834+1)-I2834),"STILL OPEN")</f>
        <v>109</v>
      </c>
      <c r="BH2834" s="111">
        <f t="shared" si="2052"/>
        <v>110</v>
      </c>
      <c r="BI2834" s="111">
        <f t="shared" si="2055"/>
        <v>32.42622950819672</v>
      </c>
      <c r="BJ2834" s="129">
        <f>G2834-J2834-M2834</f>
        <v>0</v>
      </c>
      <c r="BK2834" s="129">
        <f t="shared" si="2053"/>
        <v>0</v>
      </c>
      <c r="BL2834" s="129" t="str">
        <f t="shared" si="2050"/>
        <v>CONVICTION</v>
      </c>
      <c r="BM2834" s="129" t="str">
        <f>O2834</f>
        <v>NONE</v>
      </c>
      <c r="BN2834" s="129" t="s">
        <v>566</v>
      </c>
      <c r="BP2834" s="137" t="str">
        <f t="shared" si="2059"/>
        <v>CONVICTION</v>
      </c>
      <c r="BQ2834" s="128" t="str">
        <f t="shared" si="2068"/>
        <v>Y</v>
      </c>
      <c r="BR2834" s="129" t="str">
        <f t="shared" si="2060"/>
        <v>DETAINED</v>
      </c>
      <c r="BS2834" s="129" t="str">
        <f t="shared" si="2061"/>
        <v>DISPOSED</v>
      </c>
      <c r="BT2834" s="129" t="str">
        <f t="shared" si="2062"/>
        <v>N</v>
      </c>
      <c r="BU2834" s="109">
        <f t="shared" si="2069"/>
        <v>0.99090909090909096</v>
      </c>
      <c r="BV2834" s="109">
        <f t="shared" si="2070"/>
        <v>1</v>
      </c>
      <c r="BW2834" s="109">
        <f t="shared" si="2041"/>
        <v>9.0909090909090384E-3</v>
      </c>
      <c r="BX2834" s="111">
        <f t="shared" si="2063"/>
        <v>0</v>
      </c>
      <c r="BY2834" s="129">
        <f t="shared" si="2071"/>
        <v>-109</v>
      </c>
      <c r="BZ2834" s="111">
        <f t="shared" si="2072"/>
        <v>0</v>
      </c>
      <c r="CA2834" s="138">
        <f t="shared" si="2073"/>
        <v>109</v>
      </c>
      <c r="CB2834" s="111" t="e">
        <f>IF(AF2834&gt;1/1/1900,((AF2834+1)-AE2834),"STILL OPEN")</f>
        <v>#VALUE!</v>
      </c>
      <c r="CC2834" s="129">
        <f>G2834-I2834+1</f>
        <v>109</v>
      </c>
      <c r="CD2834" s="129">
        <f>G2834-J2834</f>
        <v>0</v>
      </c>
      <c r="CG2834" s="129" t="str">
        <f t="shared" si="2074"/>
        <v>N</v>
      </c>
      <c r="CI2834" s="129" t="str">
        <f t="shared" si="2075"/>
        <v>91-120 DAYS</v>
      </c>
      <c r="CJ2834" s="137">
        <f t="shared" si="2076"/>
        <v>0</v>
      </c>
      <c r="CK2834" s="129" t="str">
        <f t="shared" si="2077"/>
        <v>Booked</v>
      </c>
    </row>
    <row r="2835" spans="1:89" ht="15" customHeight="1" x14ac:dyDescent="0.25">
      <c r="A2835" s="111">
        <v>1335</v>
      </c>
      <c r="B2835" s="128" t="str">
        <f t="shared" si="2065"/>
        <v>N</v>
      </c>
      <c r="C2835" s="128" t="str">
        <f t="shared" si="2066"/>
        <v>N</v>
      </c>
      <c r="D2835" s="117">
        <v>2605364</v>
      </c>
      <c r="E2835" s="135">
        <f t="shared" si="2067"/>
        <v>3</v>
      </c>
      <c r="F2835" s="124">
        <v>40957</v>
      </c>
      <c r="G2835" s="125">
        <v>41110</v>
      </c>
      <c r="H2835" s="117">
        <v>2605364</v>
      </c>
      <c r="I2835" s="124" t="s">
        <v>562</v>
      </c>
      <c r="J2835" s="124" t="s">
        <v>562</v>
      </c>
      <c r="K2835" s="126">
        <v>10000</v>
      </c>
      <c r="L2835" s="127" t="s">
        <v>570</v>
      </c>
      <c r="M2835" s="125">
        <v>40971</v>
      </c>
      <c r="N2835" s="129" t="str">
        <f>IF(M2835&gt;1/1/1,"Y",IF(Q2835="0","","N"))</f>
        <v>Y</v>
      </c>
      <c r="O2835" s="128" t="s">
        <v>76</v>
      </c>
      <c r="P2835" s="129" t="s">
        <v>39</v>
      </c>
      <c r="Q2835" s="111">
        <f t="shared" si="2054"/>
        <v>0</v>
      </c>
      <c r="R2835" s="111">
        <f t="shared" si="2051"/>
        <v>154</v>
      </c>
      <c r="S2835" s="129">
        <v>0</v>
      </c>
      <c r="T2835" s="129">
        <v>0</v>
      </c>
      <c r="W2835" s="111"/>
      <c r="AC2835" s="130"/>
      <c r="AD2835" s="130">
        <v>25285</v>
      </c>
      <c r="AE2835" s="128" t="s">
        <v>32</v>
      </c>
      <c r="AF2835" s="128" t="s">
        <v>69</v>
      </c>
      <c r="AG2835" s="128" t="s">
        <v>874</v>
      </c>
      <c r="AH2835" s="108" t="s">
        <v>31</v>
      </c>
      <c r="AI2835" s="128" t="s">
        <v>83</v>
      </c>
      <c r="AJ2835" s="129" t="s">
        <v>89</v>
      </c>
      <c r="AK2835" s="129">
        <v>6</v>
      </c>
      <c r="AL2835" s="3" t="s">
        <v>185</v>
      </c>
      <c r="AP2835" s="129" t="s">
        <v>66</v>
      </c>
      <c r="AR2835" s="128" t="s">
        <v>67</v>
      </c>
      <c r="AS2835" s="129" t="s">
        <v>68</v>
      </c>
      <c r="BC2835" s="129" t="s">
        <v>52</v>
      </c>
      <c r="BF2835" s="111">
        <v>0</v>
      </c>
      <c r="BG2835" s="111">
        <v>0</v>
      </c>
      <c r="BH2835" s="111">
        <f t="shared" si="2052"/>
        <v>154</v>
      </c>
      <c r="BI2835" s="111">
        <f t="shared" si="2055"/>
        <v>42.819672131147541</v>
      </c>
      <c r="BJ2835" s="129" t="e">
        <f t="shared" ref="BJ2835:BJ2840" si="2078">(G2835-J2835)+(M2835-G2835)</f>
        <v>#VALUE!</v>
      </c>
      <c r="BK2835" s="129" t="e">
        <f t="shared" si="2053"/>
        <v>#VALUE!</v>
      </c>
      <c r="BL2835" s="129" t="str">
        <f t="shared" si="2050"/>
        <v>CONVICTION</v>
      </c>
      <c r="BM2835" s="129" t="s">
        <v>76</v>
      </c>
      <c r="BN2835" s="129" t="s">
        <v>88</v>
      </c>
      <c r="BP2835" s="137" t="str">
        <f t="shared" si="2059"/>
        <v>CONVICTION</v>
      </c>
      <c r="BQ2835" s="128">
        <f t="shared" si="2068"/>
        <v>0</v>
      </c>
      <c r="BR2835" s="129" t="s">
        <v>575</v>
      </c>
      <c r="BS2835" s="129" t="str">
        <f t="shared" si="2061"/>
        <v>DISPOSED</v>
      </c>
      <c r="BT2835" s="129" t="str">
        <f t="shared" si="2062"/>
        <v>N</v>
      </c>
      <c r="BU2835" s="109">
        <f t="shared" si="2069"/>
        <v>0</v>
      </c>
      <c r="BV2835" s="109">
        <v>0</v>
      </c>
      <c r="BW2835" s="109">
        <f t="shared" si="2041"/>
        <v>0</v>
      </c>
      <c r="BX2835" s="111">
        <f t="shared" si="2063"/>
        <v>0</v>
      </c>
      <c r="BY2835" s="129" t="e">
        <f t="shared" si="2071"/>
        <v>#VALUE!</v>
      </c>
      <c r="BZ2835" s="111" t="e">
        <f t="shared" si="2072"/>
        <v>#VALUE!</v>
      </c>
      <c r="CA2835" s="138" t="e">
        <f t="shared" si="2073"/>
        <v>#VALUE!</v>
      </c>
      <c r="CB2835" s="111">
        <v>0</v>
      </c>
      <c r="CC2835" s="129">
        <v>0</v>
      </c>
      <c r="CD2835" s="111">
        <f>CC2835-BF2835</f>
        <v>0</v>
      </c>
      <c r="CG2835" s="129" t="str">
        <f t="shared" si="2074"/>
        <v>N</v>
      </c>
      <c r="CI2835" s="129" t="str">
        <f t="shared" si="2075"/>
        <v>0-10 DAYS</v>
      </c>
      <c r="CJ2835" s="137">
        <f t="shared" si="2076"/>
        <v>1</v>
      </c>
      <c r="CK2835" s="129" t="str">
        <f t="shared" si="2077"/>
        <v>Not Booked</v>
      </c>
    </row>
    <row r="2836" spans="1:89" ht="15.75" customHeight="1" x14ac:dyDescent="0.25">
      <c r="A2836" s="111">
        <v>1343</v>
      </c>
      <c r="B2836" s="128" t="str">
        <f t="shared" si="2065"/>
        <v>N</v>
      </c>
      <c r="C2836" s="128" t="str">
        <f t="shared" si="2066"/>
        <v>N</v>
      </c>
      <c r="D2836" s="117">
        <v>2605398</v>
      </c>
      <c r="E2836" s="135">
        <f t="shared" si="2067"/>
        <v>2</v>
      </c>
      <c r="F2836" s="124">
        <v>40957</v>
      </c>
      <c r="G2836" s="125">
        <v>41107</v>
      </c>
      <c r="H2836" s="117">
        <v>2605398</v>
      </c>
      <c r="I2836" s="124">
        <v>40957</v>
      </c>
      <c r="J2836" s="124">
        <v>40959</v>
      </c>
      <c r="K2836" s="126">
        <v>5000</v>
      </c>
      <c r="L2836" s="127" t="s">
        <v>569</v>
      </c>
      <c r="M2836" s="125">
        <v>40959</v>
      </c>
      <c r="N2836" s="129" t="str">
        <f t="shared" ref="N2836:N2844" si="2079">IF(M2836&gt;1/1/1,"Y","N")</f>
        <v>Y</v>
      </c>
      <c r="O2836" s="128" t="s">
        <v>76</v>
      </c>
      <c r="P2836" s="129" t="s">
        <v>589</v>
      </c>
      <c r="Q2836" s="111">
        <f t="shared" si="2054"/>
        <v>3</v>
      </c>
      <c r="R2836" s="111">
        <f t="shared" si="2051"/>
        <v>151</v>
      </c>
      <c r="S2836" s="129">
        <v>0</v>
      </c>
      <c r="T2836" s="129">
        <v>0</v>
      </c>
      <c r="W2836" s="111"/>
      <c r="AB2836" s="131" t="s">
        <v>112</v>
      </c>
      <c r="AC2836" s="130"/>
      <c r="AD2836" s="130">
        <v>28934</v>
      </c>
      <c r="AE2836" s="128" t="s">
        <v>46</v>
      </c>
      <c r="AF2836" s="128" t="s">
        <v>40</v>
      </c>
      <c r="AG2836" s="128" t="s">
        <v>41</v>
      </c>
      <c r="AH2836" s="108" t="s">
        <v>31</v>
      </c>
      <c r="AI2836" s="128" t="s">
        <v>114</v>
      </c>
      <c r="AJ2836" s="129" t="s">
        <v>48</v>
      </c>
      <c r="AK2836" s="129">
        <v>7</v>
      </c>
      <c r="AL2836" s="3" t="s">
        <v>48</v>
      </c>
      <c r="AP2836" s="129" t="s">
        <v>322</v>
      </c>
      <c r="AS2836" s="129" t="s">
        <v>370</v>
      </c>
      <c r="BC2836" s="129" t="s">
        <v>52</v>
      </c>
      <c r="BF2836" s="111">
        <f t="shared" ref="BF2836:BF2844" si="2080">IF(J2836&gt;1/1/1900,((J2836+1)-I2836),"STILL OPEN")</f>
        <v>3</v>
      </c>
      <c r="BG2836" s="111">
        <f t="shared" ref="BG2836:BG2844" si="2081">IF(G2836&gt;1/1/1900,((G2836+1)-I2836),"STILL OPEN")</f>
        <v>151</v>
      </c>
      <c r="BH2836" s="111">
        <f t="shared" si="2052"/>
        <v>151</v>
      </c>
      <c r="BI2836" s="111">
        <f t="shared" si="2055"/>
        <v>32.849726775956285</v>
      </c>
      <c r="BJ2836" s="129">
        <f t="shared" si="2078"/>
        <v>0</v>
      </c>
      <c r="BK2836" s="129">
        <f t="shared" si="2053"/>
        <v>-148</v>
      </c>
      <c r="BL2836" s="129" t="str">
        <f t="shared" si="2050"/>
        <v>DEFERRED</v>
      </c>
      <c r="BM2836" s="129" t="s">
        <v>76</v>
      </c>
      <c r="BN2836" s="129" t="s">
        <v>88</v>
      </c>
      <c r="BP2836" s="137" t="str">
        <f t="shared" si="2059"/>
        <v>DEFERRED</v>
      </c>
      <c r="BQ2836" s="128" t="str">
        <f t="shared" si="2068"/>
        <v>Y</v>
      </c>
      <c r="BR2836" s="129" t="str">
        <f t="shared" si="2060"/>
        <v>ON BOND</v>
      </c>
      <c r="BS2836" s="129" t="str">
        <f t="shared" si="2061"/>
        <v>DISPOSED</v>
      </c>
      <c r="BT2836" s="129" t="str">
        <f t="shared" si="2062"/>
        <v>N</v>
      </c>
      <c r="BU2836" s="109">
        <f t="shared" si="2069"/>
        <v>1.9867549668874173E-2</v>
      </c>
      <c r="BV2836" s="109">
        <f t="shared" si="2070"/>
        <v>1.9867549668874173E-2</v>
      </c>
      <c r="BW2836" s="109">
        <f t="shared" si="2041"/>
        <v>0</v>
      </c>
      <c r="BX2836" s="111">
        <f t="shared" si="2063"/>
        <v>0</v>
      </c>
      <c r="BY2836" s="129">
        <f t="shared" si="2071"/>
        <v>-3</v>
      </c>
      <c r="BZ2836" s="111">
        <f t="shared" si="2072"/>
        <v>0</v>
      </c>
      <c r="CA2836" s="138">
        <f t="shared" si="2073"/>
        <v>3</v>
      </c>
      <c r="CB2836" s="111" t="e">
        <f t="shared" ref="CB2836:CB2844" si="2082">IF(AF2836&gt;1/1/1900,((AF2836+1)-AE2836),"STILL OPEN")</f>
        <v>#VALUE!</v>
      </c>
      <c r="CC2836" s="129">
        <f>M2836-I2836+1</f>
        <v>3</v>
      </c>
      <c r="CD2836" s="111">
        <f>CC2836-BF2836</f>
        <v>0</v>
      </c>
      <c r="CG2836" s="129" t="str">
        <f t="shared" si="2074"/>
        <v>N</v>
      </c>
      <c r="CI2836" s="129" t="str">
        <f t="shared" si="2075"/>
        <v>0-10 DAYS</v>
      </c>
      <c r="CJ2836" s="137">
        <f t="shared" si="2076"/>
        <v>1</v>
      </c>
      <c r="CK2836" s="129" t="str">
        <f t="shared" si="2077"/>
        <v>Booked</v>
      </c>
    </row>
    <row r="2837" spans="1:89" ht="15.75" customHeight="1" x14ac:dyDescent="0.25">
      <c r="A2837" s="111">
        <v>1347</v>
      </c>
      <c r="B2837" s="128" t="str">
        <f t="shared" si="2065"/>
        <v>N</v>
      </c>
      <c r="C2837" s="128" t="str">
        <f t="shared" si="2066"/>
        <v>N</v>
      </c>
      <c r="D2837" s="117">
        <v>2605409</v>
      </c>
      <c r="E2837" s="135">
        <f t="shared" si="2067"/>
        <v>1</v>
      </c>
      <c r="F2837" s="124">
        <v>40957</v>
      </c>
      <c r="G2837" s="125">
        <v>41242</v>
      </c>
      <c r="H2837" s="117">
        <v>2605409</v>
      </c>
      <c r="I2837" s="124">
        <v>40957</v>
      </c>
      <c r="J2837" s="124">
        <v>40958</v>
      </c>
      <c r="K2837" s="126">
        <v>5000</v>
      </c>
      <c r="L2837" s="127" t="s">
        <v>569</v>
      </c>
      <c r="M2837" s="125">
        <v>40958</v>
      </c>
      <c r="N2837" s="129" t="str">
        <f t="shared" si="2079"/>
        <v>Y</v>
      </c>
      <c r="O2837" s="128" t="s">
        <v>76</v>
      </c>
      <c r="P2837" s="129" t="s">
        <v>55</v>
      </c>
      <c r="Q2837" s="111">
        <f t="shared" si="2054"/>
        <v>2</v>
      </c>
      <c r="R2837" s="111">
        <f t="shared" si="2051"/>
        <v>286</v>
      </c>
      <c r="S2837" s="129">
        <v>0</v>
      </c>
      <c r="T2837" s="129">
        <v>0</v>
      </c>
      <c r="W2837" s="111"/>
      <c r="AB2837" s="131" t="s">
        <v>112</v>
      </c>
      <c r="AC2837" s="130"/>
      <c r="AD2837" s="130">
        <v>28214</v>
      </c>
      <c r="AE2837" s="128" t="s">
        <v>46</v>
      </c>
      <c r="AF2837" s="128" t="s">
        <v>40</v>
      </c>
      <c r="AG2837" s="128" t="s">
        <v>41</v>
      </c>
      <c r="AH2837" s="108" t="s">
        <v>31</v>
      </c>
      <c r="AI2837" s="128" t="s">
        <v>65</v>
      </c>
      <c r="AJ2837" s="129" t="s">
        <v>55</v>
      </c>
      <c r="AK2837" s="129">
        <v>18</v>
      </c>
      <c r="AL2837" s="3" t="s">
        <v>55</v>
      </c>
      <c r="AP2837" s="129" t="s">
        <v>84</v>
      </c>
      <c r="AR2837" s="128" t="s">
        <v>67</v>
      </c>
      <c r="AS2837" s="129" t="s">
        <v>74</v>
      </c>
      <c r="AT2837" s="129" t="s">
        <v>626</v>
      </c>
      <c r="BC2837" s="129" t="s">
        <v>52</v>
      </c>
      <c r="BF2837" s="111">
        <f t="shared" si="2080"/>
        <v>2</v>
      </c>
      <c r="BG2837" s="111">
        <f t="shared" si="2081"/>
        <v>286</v>
      </c>
      <c r="BH2837" s="111">
        <f t="shared" si="2052"/>
        <v>286</v>
      </c>
      <c r="BI2837" s="111">
        <f t="shared" si="2055"/>
        <v>34.81693989071038</v>
      </c>
      <c r="BJ2837" s="129">
        <f t="shared" si="2078"/>
        <v>0</v>
      </c>
      <c r="BK2837" s="129">
        <f t="shared" si="2053"/>
        <v>-284</v>
      </c>
      <c r="BL2837" s="129" t="str">
        <f t="shared" si="2050"/>
        <v>NO CONVICTION</v>
      </c>
      <c r="BM2837" s="129" t="s">
        <v>76</v>
      </c>
      <c r="BN2837" s="129" t="s">
        <v>88</v>
      </c>
      <c r="BP2837" s="137" t="str">
        <f t="shared" si="2059"/>
        <v>NO CONVICTION</v>
      </c>
      <c r="BQ2837" s="128" t="str">
        <f t="shared" si="2068"/>
        <v>Y</v>
      </c>
      <c r="BR2837" s="129" t="str">
        <f t="shared" si="2060"/>
        <v>ON BOND</v>
      </c>
      <c r="BS2837" s="129" t="str">
        <f t="shared" si="2061"/>
        <v>DISPOSED</v>
      </c>
      <c r="BT2837" s="129" t="str">
        <f t="shared" si="2062"/>
        <v>N</v>
      </c>
      <c r="BU2837" s="109">
        <f>IFERROR(Q2837/R2837,BR2837)</f>
        <v>6.993006993006993E-3</v>
      </c>
      <c r="BV2837" s="109">
        <f t="shared" si="2070"/>
        <v>6.993006993006993E-3</v>
      </c>
      <c r="BW2837" s="109">
        <f t="shared" si="2041"/>
        <v>0</v>
      </c>
      <c r="BX2837" s="111">
        <f t="shared" si="2063"/>
        <v>0</v>
      </c>
      <c r="BY2837" s="129">
        <f t="shared" si="2071"/>
        <v>-2</v>
      </c>
      <c r="BZ2837" s="111">
        <f t="shared" si="2072"/>
        <v>0</v>
      </c>
      <c r="CA2837" s="138">
        <f t="shared" si="2073"/>
        <v>2</v>
      </c>
      <c r="CB2837" s="111" t="e">
        <f t="shared" si="2082"/>
        <v>#VALUE!</v>
      </c>
      <c r="CC2837" s="129">
        <f>M2837-I2837+1</f>
        <v>2</v>
      </c>
      <c r="CD2837" s="111">
        <f>CC2837-BF2837</f>
        <v>0</v>
      </c>
      <c r="CG2837" s="129" t="str">
        <f t="shared" si="2074"/>
        <v>N</v>
      </c>
      <c r="CI2837" s="129" t="str">
        <f t="shared" si="2075"/>
        <v>0-10 DAYS</v>
      </c>
      <c r="CJ2837" s="137">
        <f t="shared" si="2076"/>
        <v>1</v>
      </c>
      <c r="CK2837" s="129" t="str">
        <f t="shared" si="2077"/>
        <v>Booked</v>
      </c>
    </row>
    <row r="2838" spans="1:89" ht="15.75" customHeight="1" x14ac:dyDescent="0.25">
      <c r="A2838" s="111">
        <v>1353</v>
      </c>
      <c r="B2838" s="128" t="str">
        <f t="shared" si="2065"/>
        <v>N</v>
      </c>
      <c r="C2838" s="128" t="str">
        <f t="shared" si="2066"/>
        <v>N</v>
      </c>
      <c r="D2838" s="117">
        <v>2605447</v>
      </c>
      <c r="E2838" s="135">
        <f t="shared" si="2067"/>
        <v>4</v>
      </c>
      <c r="F2838" s="124">
        <v>40958</v>
      </c>
      <c r="G2838" s="125">
        <v>40983</v>
      </c>
      <c r="H2838" s="117">
        <v>2605447</v>
      </c>
      <c r="I2838" s="124">
        <v>40959</v>
      </c>
      <c r="J2838" s="124">
        <v>40960</v>
      </c>
      <c r="K2838" s="126">
        <v>2000</v>
      </c>
      <c r="L2838" s="127" t="s">
        <v>568</v>
      </c>
      <c r="M2838" s="125">
        <v>40960</v>
      </c>
      <c r="N2838" s="129" t="str">
        <f t="shared" si="2079"/>
        <v>Y</v>
      </c>
      <c r="O2838" s="128" t="s">
        <v>76</v>
      </c>
      <c r="P2838" s="129" t="s">
        <v>39</v>
      </c>
      <c r="Q2838" s="111">
        <f t="shared" si="2054"/>
        <v>6</v>
      </c>
      <c r="R2838" s="111">
        <f t="shared" si="2051"/>
        <v>26</v>
      </c>
      <c r="S2838" s="129">
        <v>0</v>
      </c>
      <c r="T2838" s="129">
        <v>0</v>
      </c>
      <c r="W2838" s="111"/>
      <c r="AB2838" s="131" t="s">
        <v>112</v>
      </c>
      <c r="AC2838" s="130"/>
      <c r="AD2838" s="130">
        <v>31201</v>
      </c>
      <c r="AE2838" s="128" t="s">
        <v>32</v>
      </c>
      <c r="AF2838" s="128" t="s">
        <v>40</v>
      </c>
      <c r="AG2838" s="128" t="s">
        <v>41</v>
      </c>
      <c r="AH2838" s="108" t="s">
        <v>31</v>
      </c>
      <c r="AI2838" s="128" t="s">
        <v>95</v>
      </c>
      <c r="AJ2838" s="129" t="s">
        <v>89</v>
      </c>
      <c r="AK2838" s="129">
        <v>4</v>
      </c>
      <c r="AL2838" s="3" t="s">
        <v>991</v>
      </c>
      <c r="AO2838" s="128">
        <v>60</v>
      </c>
      <c r="AP2838" s="129" t="s">
        <v>43</v>
      </c>
      <c r="AR2838" s="128" t="s">
        <v>44</v>
      </c>
      <c r="AS2838" s="129" t="s">
        <v>45</v>
      </c>
      <c r="AT2838" s="3" t="s">
        <v>833</v>
      </c>
      <c r="AU2838" s="129"/>
      <c r="BC2838" s="129" t="s">
        <v>38</v>
      </c>
      <c r="BF2838" s="111">
        <v>6</v>
      </c>
      <c r="BG2838" s="111">
        <f t="shared" si="2081"/>
        <v>25</v>
      </c>
      <c r="BH2838" s="111">
        <f t="shared" si="2052"/>
        <v>26</v>
      </c>
      <c r="BI2838" s="111">
        <f t="shared" si="2055"/>
        <v>26.65846994535519</v>
      </c>
      <c r="BJ2838" s="129">
        <f t="shared" si="2078"/>
        <v>0</v>
      </c>
      <c r="BK2838" s="129">
        <f t="shared" si="2053"/>
        <v>-23</v>
      </c>
      <c r="BL2838" s="129" t="str">
        <f t="shared" si="2050"/>
        <v>CONVICTION</v>
      </c>
      <c r="BM2838" s="129" t="s">
        <v>76</v>
      </c>
      <c r="BN2838" s="129" t="s">
        <v>88</v>
      </c>
      <c r="BP2838" s="137" t="str">
        <f t="shared" si="2059"/>
        <v>CONVICTION</v>
      </c>
      <c r="BQ2838" s="128" t="str">
        <f t="shared" si="2068"/>
        <v>Y</v>
      </c>
      <c r="BR2838" s="129" t="str">
        <f>IF(J2838&lt;G2838,"ON BOND",0)</f>
        <v>ON BOND</v>
      </c>
      <c r="BS2838" s="129" t="str">
        <f t="shared" si="2061"/>
        <v>DISPOSED</v>
      </c>
      <c r="BT2838" s="129" t="str">
        <f t="shared" si="2062"/>
        <v>N</v>
      </c>
      <c r="BU2838" s="109">
        <f t="shared" si="2069"/>
        <v>0.23076923076923078</v>
      </c>
      <c r="BV2838" s="109">
        <f t="shared" si="2070"/>
        <v>0.08</v>
      </c>
      <c r="BW2838" s="109">
        <f t="shared" si="2041"/>
        <v>-0.15076923076923077</v>
      </c>
      <c r="BX2838" s="111">
        <f t="shared" si="2063"/>
        <v>0</v>
      </c>
      <c r="BY2838" s="129">
        <f t="shared" si="2071"/>
        <v>-2</v>
      </c>
      <c r="BZ2838" s="111">
        <f t="shared" si="2072"/>
        <v>4</v>
      </c>
      <c r="CA2838" s="138">
        <f t="shared" si="2073"/>
        <v>2</v>
      </c>
      <c r="CB2838" s="111" t="e">
        <f t="shared" si="2082"/>
        <v>#VALUE!</v>
      </c>
      <c r="CD2838" s="129">
        <f>G2838-J2838</f>
        <v>23</v>
      </c>
      <c r="CG2838" s="129" t="str">
        <f t="shared" si="2074"/>
        <v>N</v>
      </c>
      <c r="CI2838" s="129" t="str">
        <f t="shared" si="2075"/>
        <v>0-10 DAYS</v>
      </c>
      <c r="CJ2838" s="137">
        <f t="shared" si="2076"/>
        <v>1</v>
      </c>
      <c r="CK2838" s="129" t="str">
        <f t="shared" si="2077"/>
        <v>Booked</v>
      </c>
    </row>
    <row r="2839" spans="1:89" ht="15.75" customHeight="1" x14ac:dyDescent="0.25">
      <c r="A2839" s="111">
        <v>1361</v>
      </c>
      <c r="B2839" s="128" t="str">
        <f t="shared" si="2065"/>
        <v>N</v>
      </c>
      <c r="C2839" s="128" t="str">
        <f t="shared" si="2066"/>
        <v>N</v>
      </c>
      <c r="D2839" s="117">
        <v>2605541</v>
      </c>
      <c r="E2839" s="135">
        <f t="shared" si="2067"/>
        <v>1</v>
      </c>
      <c r="F2839" s="124">
        <v>40958</v>
      </c>
      <c r="G2839" s="125">
        <v>41045</v>
      </c>
      <c r="H2839" s="117">
        <v>2605541</v>
      </c>
      <c r="I2839" s="124">
        <v>40958</v>
      </c>
      <c r="J2839" s="124">
        <v>40959</v>
      </c>
      <c r="K2839" s="126">
        <v>5000</v>
      </c>
      <c r="L2839" s="127" t="s">
        <v>569</v>
      </c>
      <c r="M2839" s="125">
        <v>40959</v>
      </c>
      <c r="N2839" s="129" t="str">
        <f t="shared" si="2079"/>
        <v>Y</v>
      </c>
      <c r="O2839" s="128" t="s">
        <v>76</v>
      </c>
      <c r="P2839" s="129" t="s">
        <v>123</v>
      </c>
      <c r="Q2839" s="111">
        <f t="shared" si="2054"/>
        <v>2</v>
      </c>
      <c r="R2839" s="111">
        <f t="shared" si="2051"/>
        <v>88</v>
      </c>
      <c r="S2839" s="129">
        <v>0</v>
      </c>
      <c r="T2839" s="129">
        <v>0</v>
      </c>
      <c r="W2839" s="111"/>
      <c r="AB2839" s="131" t="s">
        <v>112</v>
      </c>
      <c r="AC2839" s="130"/>
      <c r="AD2839" s="130">
        <v>27696</v>
      </c>
      <c r="AE2839" s="128" t="s">
        <v>46</v>
      </c>
      <c r="AF2839" s="128" t="s">
        <v>40</v>
      </c>
      <c r="AG2839" s="128" t="s">
        <v>41</v>
      </c>
      <c r="AH2839" s="108" t="s">
        <v>31</v>
      </c>
      <c r="AI2839" s="128" t="s">
        <v>59</v>
      </c>
      <c r="AJ2839" s="129" t="s">
        <v>123</v>
      </c>
      <c r="AK2839" s="129">
        <v>5</v>
      </c>
      <c r="AL2839" s="3" t="s">
        <v>123</v>
      </c>
      <c r="AP2839" s="129" t="s">
        <v>84</v>
      </c>
      <c r="AR2839" s="128" t="s">
        <v>67</v>
      </c>
      <c r="AS2839" s="129" t="s">
        <v>74</v>
      </c>
      <c r="BC2839" s="129" t="s">
        <v>52</v>
      </c>
      <c r="BF2839" s="111">
        <f t="shared" si="2080"/>
        <v>2</v>
      </c>
      <c r="BG2839" s="111">
        <f t="shared" si="2081"/>
        <v>88</v>
      </c>
      <c r="BH2839" s="111">
        <f t="shared" si="2052"/>
        <v>88</v>
      </c>
      <c r="BI2839" s="111">
        <f t="shared" si="2055"/>
        <v>36.234972677595628</v>
      </c>
      <c r="BJ2839" s="129">
        <f t="shared" si="2078"/>
        <v>0</v>
      </c>
      <c r="BK2839" s="129">
        <f t="shared" si="2053"/>
        <v>-86</v>
      </c>
      <c r="BL2839" s="129" t="str">
        <f t="shared" si="2050"/>
        <v>NO CONVICTION</v>
      </c>
      <c r="BM2839" s="129" t="s">
        <v>76</v>
      </c>
      <c r="BN2839" s="129" t="s">
        <v>88</v>
      </c>
      <c r="BP2839" s="137" t="str">
        <f t="shared" si="2059"/>
        <v>NO CONVICTION</v>
      </c>
      <c r="BQ2839" s="128" t="str">
        <f t="shared" si="2068"/>
        <v>Y</v>
      </c>
      <c r="BR2839" s="129" t="str">
        <f t="shared" si="2060"/>
        <v>ON BOND</v>
      </c>
      <c r="BS2839" s="129" t="str">
        <f t="shared" si="2061"/>
        <v>DISPOSED</v>
      </c>
      <c r="BT2839" s="129" t="str">
        <f t="shared" si="2062"/>
        <v>N</v>
      </c>
      <c r="BU2839" s="109">
        <f>IFERROR(Q2839/R2839,BR2839)</f>
        <v>2.2727272727272728E-2</v>
      </c>
      <c r="BV2839" s="109">
        <f t="shared" si="2070"/>
        <v>2.2727272727272728E-2</v>
      </c>
      <c r="BW2839" s="109">
        <f t="shared" si="2041"/>
        <v>0</v>
      </c>
      <c r="BX2839" s="111">
        <f t="shared" si="2063"/>
        <v>0</v>
      </c>
      <c r="BY2839" s="129">
        <f t="shared" si="2071"/>
        <v>-2</v>
      </c>
      <c r="BZ2839" s="111">
        <f t="shared" si="2072"/>
        <v>0</v>
      </c>
      <c r="CA2839" s="138">
        <f t="shared" si="2073"/>
        <v>2</v>
      </c>
      <c r="CB2839" s="111" t="e">
        <f t="shared" si="2082"/>
        <v>#VALUE!</v>
      </c>
      <c r="CC2839" s="129">
        <f>M2839-I2839+1</f>
        <v>2</v>
      </c>
      <c r="CD2839" s="111">
        <f>CC2839-BF2839</f>
        <v>0</v>
      </c>
      <c r="CG2839" s="129" t="str">
        <f t="shared" si="2074"/>
        <v>N</v>
      </c>
      <c r="CI2839" s="129" t="str">
        <f t="shared" si="2075"/>
        <v>0-10 DAYS</v>
      </c>
      <c r="CJ2839" s="137">
        <f t="shared" si="2076"/>
        <v>1</v>
      </c>
      <c r="CK2839" s="129" t="str">
        <f t="shared" si="2077"/>
        <v>Booked</v>
      </c>
    </row>
    <row r="2840" spans="1:89" ht="15" customHeight="1" x14ac:dyDescent="0.25">
      <c r="A2840" s="111">
        <v>1365</v>
      </c>
      <c r="B2840" s="128" t="str">
        <f t="shared" si="2065"/>
        <v>N</v>
      </c>
      <c r="C2840" s="128" t="str">
        <f t="shared" si="2066"/>
        <v>N</v>
      </c>
      <c r="D2840" s="117">
        <v>2605561</v>
      </c>
      <c r="E2840" s="135">
        <f t="shared" si="2067"/>
        <v>2</v>
      </c>
      <c r="F2840" s="124">
        <v>40958</v>
      </c>
      <c r="G2840" s="125">
        <v>41165</v>
      </c>
      <c r="H2840" s="117">
        <v>2605561</v>
      </c>
      <c r="I2840" s="124">
        <v>40959</v>
      </c>
      <c r="J2840" s="124">
        <v>40960</v>
      </c>
      <c r="K2840" s="126">
        <v>5000</v>
      </c>
      <c r="L2840" s="127" t="s">
        <v>569</v>
      </c>
      <c r="M2840" s="125">
        <v>40960</v>
      </c>
      <c r="N2840" s="129" t="str">
        <f t="shared" si="2079"/>
        <v>Y</v>
      </c>
      <c r="O2840" s="128" t="s">
        <v>76</v>
      </c>
      <c r="P2840" s="129" t="s">
        <v>589</v>
      </c>
      <c r="Q2840" s="111">
        <f t="shared" si="2054"/>
        <v>2</v>
      </c>
      <c r="R2840" s="111">
        <f t="shared" si="2051"/>
        <v>208</v>
      </c>
      <c r="S2840" s="129">
        <v>0</v>
      </c>
      <c r="T2840" s="129">
        <v>0</v>
      </c>
      <c r="W2840" s="111"/>
      <c r="AC2840" s="130"/>
      <c r="AD2840" s="130">
        <v>32439</v>
      </c>
      <c r="AE2840" s="128" t="s">
        <v>32</v>
      </c>
      <c r="AF2840" s="128" t="s">
        <v>138</v>
      </c>
      <c r="AG2840" s="128" t="s">
        <v>873</v>
      </c>
      <c r="AH2840" s="108" t="s">
        <v>31</v>
      </c>
      <c r="AI2840" s="128" t="s">
        <v>95</v>
      </c>
      <c r="AJ2840" s="129" t="s">
        <v>48</v>
      </c>
      <c r="AK2840" s="129">
        <v>8</v>
      </c>
      <c r="AL2840" s="3" t="s">
        <v>48</v>
      </c>
      <c r="AP2840" s="129" t="s">
        <v>325</v>
      </c>
      <c r="AR2840" s="128" t="s">
        <v>50</v>
      </c>
      <c r="AS2840" s="129" t="s">
        <v>82</v>
      </c>
      <c r="BC2840" s="129" t="s">
        <v>52</v>
      </c>
      <c r="BF2840" s="111">
        <f t="shared" si="2080"/>
        <v>2</v>
      </c>
      <c r="BG2840" s="111">
        <f t="shared" si="2081"/>
        <v>207</v>
      </c>
      <c r="BH2840" s="111">
        <f t="shared" si="2052"/>
        <v>208</v>
      </c>
      <c r="BI2840" s="111">
        <f t="shared" si="2055"/>
        <v>23.275956284153004</v>
      </c>
      <c r="BJ2840" s="129">
        <f t="shared" si="2078"/>
        <v>0</v>
      </c>
      <c r="BK2840" s="129">
        <f t="shared" si="2053"/>
        <v>-205</v>
      </c>
      <c r="BL2840" s="129" t="str">
        <f t="shared" si="2050"/>
        <v>DEFERRED</v>
      </c>
      <c r="BM2840" s="129" t="s">
        <v>76</v>
      </c>
      <c r="BN2840" s="129" t="s">
        <v>88</v>
      </c>
      <c r="BP2840" s="137" t="str">
        <f t="shared" si="2059"/>
        <v>DEFERRED</v>
      </c>
      <c r="BQ2840" s="128" t="str">
        <f t="shared" si="2068"/>
        <v>Y</v>
      </c>
      <c r="BR2840" s="129" t="str">
        <f t="shared" si="2060"/>
        <v>ON BOND</v>
      </c>
      <c r="BS2840" s="129" t="str">
        <f t="shared" si="2061"/>
        <v>DISPOSED</v>
      </c>
      <c r="BT2840" s="129" t="str">
        <f t="shared" si="2062"/>
        <v>N</v>
      </c>
      <c r="BU2840" s="109">
        <f t="shared" si="2069"/>
        <v>9.6153846153846159E-3</v>
      </c>
      <c r="BV2840" s="109">
        <f t="shared" si="2070"/>
        <v>9.6618357487922701E-3</v>
      </c>
      <c r="BW2840" s="109">
        <f t="shared" si="2041"/>
        <v>4.6451133407654152E-5</v>
      </c>
      <c r="BX2840" s="111">
        <f t="shared" si="2063"/>
        <v>0</v>
      </c>
      <c r="BY2840" s="129">
        <f t="shared" si="2071"/>
        <v>-2</v>
      </c>
      <c r="BZ2840" s="111">
        <f t="shared" si="2072"/>
        <v>0</v>
      </c>
      <c r="CA2840" s="138">
        <f t="shared" si="2073"/>
        <v>2</v>
      </c>
      <c r="CB2840" s="111" t="e">
        <f t="shared" si="2082"/>
        <v>#VALUE!</v>
      </c>
      <c r="CC2840" s="129">
        <f>M2840-I2840+1</f>
        <v>2</v>
      </c>
      <c r="CD2840" s="111">
        <f>CC2840-BF2840</f>
        <v>0</v>
      </c>
      <c r="CG2840" s="129" t="str">
        <f t="shared" si="2074"/>
        <v>N</v>
      </c>
      <c r="CI2840" s="129" t="str">
        <f t="shared" si="2075"/>
        <v>0-10 DAYS</v>
      </c>
      <c r="CJ2840" s="137">
        <f t="shared" si="2076"/>
        <v>1</v>
      </c>
      <c r="CK2840" s="129" t="str">
        <f t="shared" si="2077"/>
        <v>Booked</v>
      </c>
    </row>
    <row r="2841" spans="1:89" ht="15.75" customHeight="1" x14ac:dyDescent="0.25">
      <c r="A2841" s="111">
        <v>1369</v>
      </c>
      <c r="B2841" s="128" t="str">
        <f t="shared" si="2065"/>
        <v>N</v>
      </c>
      <c r="C2841" s="128" t="str">
        <f t="shared" si="2066"/>
        <v>N</v>
      </c>
      <c r="D2841" s="117">
        <v>2605571</v>
      </c>
      <c r="E2841" s="135">
        <f t="shared" si="2067"/>
        <v>4</v>
      </c>
      <c r="F2841" s="124">
        <v>40959</v>
      </c>
      <c r="G2841" s="125">
        <v>40960</v>
      </c>
      <c r="H2841" s="117">
        <v>2605571</v>
      </c>
      <c r="I2841" s="124">
        <v>40959</v>
      </c>
      <c r="J2841" s="124">
        <v>40960</v>
      </c>
      <c r="K2841" s="126">
        <v>35000</v>
      </c>
      <c r="L2841" s="129" t="s">
        <v>572</v>
      </c>
      <c r="N2841" s="129" t="str">
        <f t="shared" si="2079"/>
        <v>N</v>
      </c>
      <c r="O2841" s="128" t="s">
        <v>917</v>
      </c>
      <c r="P2841" s="129" t="s">
        <v>39</v>
      </c>
      <c r="Q2841" s="111">
        <f t="shared" si="2054"/>
        <v>2</v>
      </c>
      <c r="R2841" s="111">
        <f t="shared" si="2051"/>
        <v>2</v>
      </c>
      <c r="S2841" s="129">
        <v>0</v>
      </c>
      <c r="T2841" s="129">
        <v>0</v>
      </c>
      <c r="W2841" s="111"/>
      <c r="AB2841" s="131" t="s">
        <v>112</v>
      </c>
      <c r="AC2841" s="130"/>
      <c r="AD2841" s="130">
        <v>33251</v>
      </c>
      <c r="AE2841" s="128" t="s">
        <v>32</v>
      </c>
      <c r="AF2841" s="128" t="s">
        <v>40</v>
      </c>
      <c r="AG2841" s="128" t="s">
        <v>41</v>
      </c>
      <c r="AH2841" s="108" t="s">
        <v>31</v>
      </c>
      <c r="AI2841" s="128" t="s">
        <v>83</v>
      </c>
      <c r="AJ2841" s="129" t="s">
        <v>89</v>
      </c>
      <c r="AK2841" s="129">
        <v>1</v>
      </c>
      <c r="AL2841" s="3" t="s">
        <v>991</v>
      </c>
      <c r="AO2841" s="128">
        <v>180</v>
      </c>
      <c r="AP2841" s="129" t="s">
        <v>43</v>
      </c>
      <c r="AR2841" s="128" t="s">
        <v>44</v>
      </c>
      <c r="AS2841" s="129" t="s">
        <v>45</v>
      </c>
      <c r="BC2841" s="129" t="s">
        <v>99</v>
      </c>
      <c r="BF2841" s="111">
        <f t="shared" si="2080"/>
        <v>2</v>
      </c>
      <c r="BG2841" s="111">
        <f t="shared" si="2081"/>
        <v>2</v>
      </c>
      <c r="BH2841" s="111">
        <f t="shared" si="2052"/>
        <v>2</v>
      </c>
      <c r="BI2841" s="111">
        <f t="shared" si="2055"/>
        <v>21.060109289617486</v>
      </c>
      <c r="BJ2841" s="129">
        <f>G2841-J2841-M2841</f>
        <v>0</v>
      </c>
      <c r="BK2841" s="129">
        <f t="shared" si="2053"/>
        <v>0</v>
      </c>
      <c r="BL2841" s="129" t="str">
        <f t="shared" si="2050"/>
        <v>CONVICTION</v>
      </c>
      <c r="BM2841" s="129" t="str">
        <f>O2841</f>
        <v>NONE</v>
      </c>
      <c r="BN2841" s="129" t="s">
        <v>566</v>
      </c>
      <c r="BP2841" s="137" t="str">
        <f t="shared" si="2059"/>
        <v>CONVICTION</v>
      </c>
      <c r="BQ2841" s="128" t="str">
        <f t="shared" si="2068"/>
        <v>Y</v>
      </c>
      <c r="BR2841" s="129" t="str">
        <f t="shared" si="2060"/>
        <v>DETAINED</v>
      </c>
      <c r="BS2841" s="129" t="str">
        <f t="shared" si="2061"/>
        <v>DISPOSED</v>
      </c>
      <c r="BT2841" s="129" t="str">
        <f t="shared" si="2062"/>
        <v>N</v>
      </c>
      <c r="BU2841" s="109">
        <f t="shared" si="2069"/>
        <v>1</v>
      </c>
      <c r="BV2841" s="109">
        <f t="shared" si="2070"/>
        <v>1</v>
      </c>
      <c r="BW2841" s="109">
        <f t="shared" si="2041"/>
        <v>0</v>
      </c>
      <c r="BX2841" s="111">
        <f t="shared" si="2063"/>
        <v>0</v>
      </c>
      <c r="BY2841" s="129">
        <f t="shared" si="2071"/>
        <v>-2</v>
      </c>
      <c r="BZ2841" s="111">
        <f t="shared" si="2072"/>
        <v>0</v>
      </c>
      <c r="CA2841" s="138">
        <f t="shared" si="2073"/>
        <v>2</v>
      </c>
      <c r="CB2841" s="111" t="e">
        <f t="shared" si="2082"/>
        <v>#VALUE!</v>
      </c>
      <c r="CC2841" s="129">
        <f>G2841-I2841+1</f>
        <v>2</v>
      </c>
      <c r="CD2841" s="129">
        <f>G2841-J2841</f>
        <v>0</v>
      </c>
      <c r="CG2841" s="129" t="str">
        <f t="shared" si="2074"/>
        <v>N</v>
      </c>
      <c r="CI2841" s="129" t="str">
        <f t="shared" si="2075"/>
        <v>0-10 DAYS</v>
      </c>
      <c r="CJ2841" s="137">
        <f t="shared" si="2076"/>
        <v>1</v>
      </c>
      <c r="CK2841" s="129" t="str">
        <f t="shared" si="2077"/>
        <v>Booked</v>
      </c>
    </row>
    <row r="2842" spans="1:89" ht="15.75" customHeight="1" x14ac:dyDescent="0.25">
      <c r="A2842" s="111">
        <v>1375</v>
      </c>
      <c r="B2842" s="128" t="str">
        <f t="shared" si="2065"/>
        <v>N</v>
      </c>
      <c r="C2842" s="128" t="str">
        <f t="shared" si="2066"/>
        <v>N</v>
      </c>
      <c r="D2842" s="117">
        <v>2605667</v>
      </c>
      <c r="E2842" s="135">
        <f t="shared" si="2067"/>
        <v>1</v>
      </c>
      <c r="F2842" s="124">
        <v>40959</v>
      </c>
      <c r="G2842" s="125">
        <v>41047</v>
      </c>
      <c r="H2842" s="117">
        <v>2605667</v>
      </c>
      <c r="I2842" s="124">
        <v>40960</v>
      </c>
      <c r="J2842" s="124">
        <v>41047</v>
      </c>
      <c r="K2842" s="126">
        <v>150000</v>
      </c>
      <c r="L2842" s="129" t="s">
        <v>572</v>
      </c>
      <c r="N2842" s="129" t="str">
        <f t="shared" si="2079"/>
        <v>N</v>
      </c>
      <c r="O2842" s="128" t="s">
        <v>917</v>
      </c>
      <c r="P2842" s="129" t="s">
        <v>55</v>
      </c>
      <c r="Q2842" s="111">
        <f t="shared" si="2054"/>
        <v>88</v>
      </c>
      <c r="R2842" s="111">
        <f t="shared" si="2051"/>
        <v>89</v>
      </c>
      <c r="S2842" s="129">
        <v>0</v>
      </c>
      <c r="T2842" s="129">
        <v>0</v>
      </c>
      <c r="W2842" s="111"/>
      <c r="AB2842" s="131" t="s">
        <v>112</v>
      </c>
      <c r="AC2842" s="130"/>
      <c r="AD2842" s="130">
        <v>31310</v>
      </c>
      <c r="AE2842" s="128" t="s">
        <v>32</v>
      </c>
      <c r="AF2842" s="128" t="s">
        <v>40</v>
      </c>
      <c r="AG2842" s="128" t="s">
        <v>41</v>
      </c>
      <c r="AH2842" s="108" t="s">
        <v>31</v>
      </c>
      <c r="AI2842" s="128" t="s">
        <v>65</v>
      </c>
      <c r="AJ2842" s="129" t="s">
        <v>55</v>
      </c>
      <c r="AK2842" s="129">
        <v>5</v>
      </c>
      <c r="AL2842" s="3" t="s">
        <v>55</v>
      </c>
      <c r="AP2842" s="129" t="s">
        <v>279</v>
      </c>
      <c r="AR2842" s="128" t="s">
        <v>67</v>
      </c>
      <c r="AS2842" s="129" t="s">
        <v>64</v>
      </c>
      <c r="BC2842" s="129" t="s">
        <v>52</v>
      </c>
      <c r="BF2842" s="111">
        <f t="shared" si="2080"/>
        <v>88</v>
      </c>
      <c r="BG2842" s="111">
        <f t="shared" si="2081"/>
        <v>88</v>
      </c>
      <c r="BH2842" s="111">
        <f t="shared" si="2052"/>
        <v>89</v>
      </c>
      <c r="BI2842" s="111">
        <f t="shared" si="2055"/>
        <v>26.363387978142075</v>
      </c>
      <c r="BJ2842" s="129">
        <f>G2842-J2842-M2842</f>
        <v>0</v>
      </c>
      <c r="BK2842" s="129">
        <f t="shared" si="2053"/>
        <v>0</v>
      </c>
      <c r="BL2842" s="129" t="str">
        <f t="shared" si="2050"/>
        <v>NO CONVICTION</v>
      </c>
      <c r="BM2842" s="129" t="str">
        <f>O2842</f>
        <v>NONE</v>
      </c>
      <c r="BN2842" s="129" t="s">
        <v>566</v>
      </c>
      <c r="BP2842" s="137" t="str">
        <f t="shared" si="2059"/>
        <v>NO CONVICTION</v>
      </c>
      <c r="BQ2842" s="128" t="str">
        <f t="shared" si="2068"/>
        <v>Y</v>
      </c>
      <c r="BR2842" s="129" t="str">
        <f t="shared" si="2060"/>
        <v>DETAINED</v>
      </c>
      <c r="BS2842" s="129" t="str">
        <f t="shared" si="2061"/>
        <v>DISPOSED</v>
      </c>
      <c r="BT2842" s="129" t="str">
        <f t="shared" si="2062"/>
        <v>N</v>
      </c>
      <c r="BU2842" s="109">
        <f>IFERROR(Q2842/R2842,BR2842)</f>
        <v>0.9887640449438202</v>
      </c>
      <c r="BV2842" s="109">
        <f t="shared" si="2070"/>
        <v>1</v>
      </c>
      <c r="BW2842" s="109">
        <f t="shared" si="2041"/>
        <v>1.1235955056179803E-2</v>
      </c>
      <c r="BX2842" s="111">
        <f t="shared" si="2063"/>
        <v>0</v>
      </c>
      <c r="BY2842" s="129">
        <f t="shared" si="2071"/>
        <v>-88</v>
      </c>
      <c r="BZ2842" s="111">
        <f t="shared" si="2072"/>
        <v>0</v>
      </c>
      <c r="CA2842" s="138">
        <f t="shared" si="2073"/>
        <v>88</v>
      </c>
      <c r="CB2842" s="111" t="e">
        <f t="shared" si="2082"/>
        <v>#VALUE!</v>
      </c>
      <c r="CC2842" s="129">
        <f>G2842-I2842+1</f>
        <v>88</v>
      </c>
      <c r="CD2842" s="129">
        <f>G2842-J2842</f>
        <v>0</v>
      </c>
      <c r="CG2842" s="129" t="str">
        <f t="shared" si="2074"/>
        <v>N</v>
      </c>
      <c r="CI2842" s="129" t="str">
        <f t="shared" si="2075"/>
        <v>61-90 DAYS</v>
      </c>
      <c r="CJ2842" s="137">
        <f t="shared" si="2076"/>
        <v>4</v>
      </c>
      <c r="CK2842" s="129" t="str">
        <f t="shared" si="2077"/>
        <v>Booked</v>
      </c>
    </row>
    <row r="2843" spans="1:89" ht="15.75" customHeight="1" x14ac:dyDescent="0.25">
      <c r="A2843" s="111">
        <v>1382</v>
      </c>
      <c r="B2843" s="128" t="str">
        <f t="shared" si="2065"/>
        <v>N</v>
      </c>
      <c r="C2843" s="128" t="str">
        <f t="shared" si="2066"/>
        <v>N</v>
      </c>
      <c r="D2843" s="117">
        <v>2605706</v>
      </c>
      <c r="E2843" s="135">
        <f t="shared" si="2067"/>
        <v>6</v>
      </c>
      <c r="F2843" s="124">
        <v>40959</v>
      </c>
      <c r="G2843" s="125">
        <v>41052</v>
      </c>
      <c r="H2843" s="117">
        <v>2605706</v>
      </c>
      <c r="I2843" s="124">
        <v>40960</v>
      </c>
      <c r="J2843" s="124">
        <v>41052</v>
      </c>
      <c r="K2843" s="126">
        <v>135000</v>
      </c>
      <c r="L2843" s="129" t="s">
        <v>572</v>
      </c>
      <c r="N2843" s="129" t="str">
        <f t="shared" si="2079"/>
        <v>N</v>
      </c>
      <c r="O2843" s="128" t="s">
        <v>917</v>
      </c>
      <c r="P2843" s="129" t="s">
        <v>39</v>
      </c>
      <c r="Q2843" s="111">
        <f t="shared" si="2054"/>
        <v>93</v>
      </c>
      <c r="R2843" s="111">
        <f t="shared" si="2051"/>
        <v>94</v>
      </c>
      <c r="S2843" s="129">
        <v>0</v>
      </c>
      <c r="T2843" s="129">
        <v>0</v>
      </c>
      <c r="W2843" s="111"/>
      <c r="AB2843" s="131" t="s">
        <v>112</v>
      </c>
      <c r="AC2843" s="130"/>
      <c r="AD2843" s="130">
        <v>27547</v>
      </c>
      <c r="AE2843" s="128" t="s">
        <v>32</v>
      </c>
      <c r="AF2843" s="128" t="s">
        <v>40</v>
      </c>
      <c r="AG2843" s="128" t="s">
        <v>41</v>
      </c>
      <c r="AH2843" s="108" t="s">
        <v>31</v>
      </c>
      <c r="AI2843" s="128" t="s">
        <v>71</v>
      </c>
      <c r="AJ2843" s="129" t="s">
        <v>89</v>
      </c>
      <c r="AK2843" s="129">
        <v>5</v>
      </c>
      <c r="AL2843" s="3" t="s">
        <v>362</v>
      </c>
      <c r="AM2843" s="117">
        <v>4</v>
      </c>
      <c r="AP2843" s="129" t="s">
        <v>132</v>
      </c>
      <c r="AR2843" s="128" t="s">
        <v>92</v>
      </c>
      <c r="AS2843" s="129" t="s">
        <v>82</v>
      </c>
      <c r="BC2843" s="129" t="s">
        <v>52</v>
      </c>
      <c r="BF2843" s="111">
        <f t="shared" si="2080"/>
        <v>93</v>
      </c>
      <c r="BG2843" s="111">
        <f t="shared" si="2081"/>
        <v>93</v>
      </c>
      <c r="BH2843" s="111">
        <f t="shared" si="2052"/>
        <v>94</v>
      </c>
      <c r="BI2843" s="111">
        <f t="shared" si="2055"/>
        <v>36.644808743169399</v>
      </c>
      <c r="BJ2843" s="129">
        <f>G2843-J2843-M2843</f>
        <v>0</v>
      </c>
      <c r="BK2843" s="129">
        <f t="shared" si="2053"/>
        <v>0</v>
      </c>
      <c r="BL2843" s="129" t="str">
        <f t="shared" si="2050"/>
        <v>CONVICTION</v>
      </c>
      <c r="BM2843" s="129" t="str">
        <f>O2843</f>
        <v>NONE</v>
      </c>
      <c r="BN2843" s="129" t="s">
        <v>566</v>
      </c>
      <c r="BP2843" s="137" t="str">
        <f t="shared" si="2059"/>
        <v>CONVICTION</v>
      </c>
      <c r="BQ2843" s="128" t="str">
        <f t="shared" si="2068"/>
        <v>Y</v>
      </c>
      <c r="BR2843" s="129" t="str">
        <f t="shared" si="2060"/>
        <v>DETAINED</v>
      </c>
      <c r="BS2843" s="129" t="str">
        <f t="shared" si="2061"/>
        <v>DISPOSED</v>
      </c>
      <c r="BT2843" s="129" t="str">
        <f t="shared" si="2062"/>
        <v>N</v>
      </c>
      <c r="BU2843" s="109">
        <f t="shared" si="2069"/>
        <v>0.98936170212765961</v>
      </c>
      <c r="BV2843" s="109">
        <f t="shared" si="2070"/>
        <v>1</v>
      </c>
      <c r="BW2843" s="109">
        <f t="shared" si="2041"/>
        <v>1.0638297872340385E-2</v>
      </c>
      <c r="BX2843" s="111">
        <f t="shared" si="2063"/>
        <v>0</v>
      </c>
      <c r="BY2843" s="129">
        <f t="shared" si="2071"/>
        <v>-93</v>
      </c>
      <c r="BZ2843" s="111">
        <f t="shared" si="2072"/>
        <v>0</v>
      </c>
      <c r="CA2843" s="138">
        <f t="shared" si="2073"/>
        <v>93</v>
      </c>
      <c r="CB2843" s="111" t="e">
        <f t="shared" si="2082"/>
        <v>#VALUE!</v>
      </c>
      <c r="CC2843" s="129">
        <f>G2843-I2843+1</f>
        <v>93</v>
      </c>
      <c r="CD2843" s="129">
        <f>G2843-J2843</f>
        <v>0</v>
      </c>
      <c r="CG2843" s="129" t="str">
        <f t="shared" si="2074"/>
        <v>N</v>
      </c>
      <c r="CI2843" s="129" t="str">
        <f t="shared" si="2075"/>
        <v>91-120 DAYS</v>
      </c>
      <c r="CJ2843" s="137">
        <f t="shared" si="2076"/>
        <v>0</v>
      </c>
      <c r="CK2843" s="129" t="str">
        <f t="shared" si="2077"/>
        <v>Booked</v>
      </c>
    </row>
    <row r="2844" spans="1:89" ht="15" customHeight="1" x14ac:dyDescent="0.25">
      <c r="A2844" s="111">
        <v>1384</v>
      </c>
      <c r="B2844" s="128" t="str">
        <f t="shared" si="2065"/>
        <v>N</v>
      </c>
      <c r="C2844" s="128" t="str">
        <f t="shared" si="2066"/>
        <v>N</v>
      </c>
      <c r="D2844" s="117">
        <v>2605752</v>
      </c>
      <c r="E2844" s="135">
        <f t="shared" si="2067"/>
        <v>2</v>
      </c>
      <c r="F2844" s="124">
        <v>40960</v>
      </c>
      <c r="G2844" s="125">
        <v>41341</v>
      </c>
      <c r="H2844" s="117">
        <v>2605752</v>
      </c>
      <c r="I2844" s="124">
        <v>40960</v>
      </c>
      <c r="J2844" s="124">
        <v>40962</v>
      </c>
      <c r="K2844" s="126">
        <v>5000</v>
      </c>
      <c r="L2844" s="127" t="s">
        <v>569</v>
      </c>
      <c r="M2844" s="125">
        <v>40962</v>
      </c>
      <c r="N2844" s="129" t="str">
        <f t="shared" si="2079"/>
        <v>Y</v>
      </c>
      <c r="O2844" s="128" t="s">
        <v>76</v>
      </c>
      <c r="P2844" s="129" t="s">
        <v>589</v>
      </c>
      <c r="Q2844" s="111">
        <f t="shared" si="2054"/>
        <v>3</v>
      </c>
      <c r="R2844" s="111">
        <f t="shared" si="2051"/>
        <v>382</v>
      </c>
      <c r="S2844" s="129">
        <v>0</v>
      </c>
      <c r="T2844" s="129">
        <v>0</v>
      </c>
      <c r="W2844" s="111"/>
      <c r="AC2844" s="130"/>
      <c r="AD2844" s="130">
        <v>23744</v>
      </c>
      <c r="AE2844" s="128" t="s">
        <v>46</v>
      </c>
      <c r="AF2844" s="128" t="s">
        <v>33</v>
      </c>
      <c r="AG2844" s="128" t="s">
        <v>872</v>
      </c>
      <c r="AH2844" s="108" t="s">
        <v>31</v>
      </c>
      <c r="AI2844" s="128" t="s">
        <v>34</v>
      </c>
      <c r="AJ2844" s="129" t="s">
        <v>48</v>
      </c>
      <c r="AK2844" s="129">
        <v>17</v>
      </c>
      <c r="AL2844" s="3" t="s">
        <v>48</v>
      </c>
      <c r="AP2844" s="129" t="s">
        <v>108</v>
      </c>
      <c r="AR2844" s="128" t="s">
        <v>44</v>
      </c>
      <c r="AS2844" s="129" t="s">
        <v>61</v>
      </c>
      <c r="BC2844" s="129" t="s">
        <v>52</v>
      </c>
      <c r="BF2844" s="111">
        <f t="shared" si="2080"/>
        <v>3</v>
      </c>
      <c r="BG2844" s="111">
        <f t="shared" si="2081"/>
        <v>382</v>
      </c>
      <c r="BH2844" s="111">
        <f t="shared" si="2052"/>
        <v>382</v>
      </c>
      <c r="BI2844" s="111">
        <f t="shared" si="2055"/>
        <v>47.038251366120221</v>
      </c>
      <c r="BJ2844" s="129">
        <f>(G2844-J2844)+(M2844-G2844)</f>
        <v>0</v>
      </c>
      <c r="BK2844" s="129">
        <f t="shared" si="2053"/>
        <v>-379</v>
      </c>
      <c r="BL2844" s="129" t="str">
        <f t="shared" si="2050"/>
        <v>DEFERRED</v>
      </c>
      <c r="BM2844" s="129" t="s">
        <v>76</v>
      </c>
      <c r="BN2844" s="129" t="s">
        <v>88</v>
      </c>
      <c r="BP2844" s="137" t="str">
        <f t="shared" si="2059"/>
        <v>DEFERRED</v>
      </c>
      <c r="BQ2844" s="128" t="str">
        <f t="shared" si="2068"/>
        <v>Y</v>
      </c>
      <c r="BR2844" s="129" t="str">
        <f t="shared" si="2060"/>
        <v>ON BOND</v>
      </c>
      <c r="BS2844" s="129" t="str">
        <f t="shared" si="2061"/>
        <v>DISPOSED</v>
      </c>
      <c r="BT2844" s="129" t="str">
        <f t="shared" si="2062"/>
        <v>N</v>
      </c>
      <c r="BU2844" s="109">
        <f t="shared" si="2069"/>
        <v>7.8534031413612562E-3</v>
      </c>
      <c r="BV2844" s="109">
        <f t="shared" si="2070"/>
        <v>7.8534031413612562E-3</v>
      </c>
      <c r="BW2844" s="109">
        <f t="shared" si="2041"/>
        <v>0</v>
      </c>
      <c r="BX2844" s="111">
        <f t="shared" si="2063"/>
        <v>0</v>
      </c>
      <c r="BY2844" s="129">
        <f t="shared" si="2071"/>
        <v>-3</v>
      </c>
      <c r="BZ2844" s="111">
        <f t="shared" si="2072"/>
        <v>0</v>
      </c>
      <c r="CA2844" s="138">
        <f t="shared" si="2073"/>
        <v>3</v>
      </c>
      <c r="CB2844" s="111" t="e">
        <f t="shared" si="2082"/>
        <v>#VALUE!</v>
      </c>
      <c r="CC2844" s="129">
        <f>M2844-I2844+1</f>
        <v>3</v>
      </c>
      <c r="CD2844" s="111">
        <f>CC2844-BF2844</f>
        <v>0</v>
      </c>
      <c r="CG2844" s="129" t="str">
        <f t="shared" si="2074"/>
        <v>N</v>
      </c>
      <c r="CI2844" s="129" t="str">
        <f t="shared" si="2075"/>
        <v>0-10 DAYS</v>
      </c>
      <c r="CJ2844" s="137">
        <f t="shared" si="2076"/>
        <v>1</v>
      </c>
      <c r="CK2844" s="129" t="str">
        <f t="shared" si="2077"/>
        <v>Booked</v>
      </c>
    </row>
    <row r="2845" spans="1:89" ht="15.75" customHeight="1" x14ac:dyDescent="0.25">
      <c r="A2845" s="111">
        <v>1390</v>
      </c>
      <c r="B2845" s="128" t="str">
        <f t="shared" si="2065"/>
        <v>N</v>
      </c>
      <c r="C2845" s="128" t="str">
        <f t="shared" si="2066"/>
        <v>N</v>
      </c>
      <c r="D2845" s="117">
        <v>2605785</v>
      </c>
      <c r="E2845" s="135">
        <f t="shared" si="2067"/>
        <v>1</v>
      </c>
      <c r="F2845" s="124">
        <v>40960</v>
      </c>
      <c r="G2845" s="125">
        <v>40977</v>
      </c>
      <c r="H2845" s="117">
        <v>2605785</v>
      </c>
      <c r="I2845" s="124" t="s">
        <v>562</v>
      </c>
      <c r="J2845" s="124" t="s">
        <v>562</v>
      </c>
      <c r="K2845" s="126">
        <v>30000</v>
      </c>
      <c r="L2845" s="129" t="s">
        <v>572</v>
      </c>
      <c r="N2845" s="124" t="s">
        <v>1343</v>
      </c>
      <c r="O2845" s="128" t="s">
        <v>917</v>
      </c>
      <c r="P2845" s="129" t="s">
        <v>123</v>
      </c>
      <c r="Q2845" s="111">
        <f t="shared" si="2054"/>
        <v>0</v>
      </c>
      <c r="R2845" s="111">
        <f t="shared" si="2051"/>
        <v>18</v>
      </c>
      <c r="S2845" s="129">
        <v>0</v>
      </c>
      <c r="T2845" s="129">
        <v>0</v>
      </c>
      <c r="W2845" s="111"/>
      <c r="AB2845" s="131" t="s">
        <v>112</v>
      </c>
      <c r="AC2845" s="130"/>
      <c r="AD2845" s="130">
        <v>29578</v>
      </c>
      <c r="AE2845" s="128" t="s">
        <v>32</v>
      </c>
      <c r="AF2845" s="128" t="s">
        <v>40</v>
      </c>
      <c r="AG2845" s="128" t="s">
        <v>41</v>
      </c>
      <c r="AH2845" s="108" t="s">
        <v>31</v>
      </c>
      <c r="AI2845" s="128" t="s">
        <v>83</v>
      </c>
      <c r="AJ2845" s="129" t="s">
        <v>123</v>
      </c>
      <c r="AK2845" s="129">
        <v>1</v>
      </c>
      <c r="AL2845" s="3" t="s">
        <v>123</v>
      </c>
      <c r="AP2845" s="129" t="s">
        <v>73</v>
      </c>
      <c r="AR2845" s="128" t="s">
        <v>50</v>
      </c>
      <c r="AS2845" s="129" t="s">
        <v>74</v>
      </c>
      <c r="BC2845" s="129" t="s">
        <v>79</v>
      </c>
      <c r="BF2845" s="111">
        <v>0</v>
      </c>
      <c r="BG2845" s="111">
        <v>0</v>
      </c>
      <c r="BH2845" s="111">
        <f t="shared" si="2052"/>
        <v>18</v>
      </c>
      <c r="BI2845" s="111">
        <f t="shared" si="2055"/>
        <v>31.098360655737704</v>
      </c>
      <c r="BJ2845" s="129" t="e">
        <f>(G2845-J2845)+(M2845-G2845)</f>
        <v>#VALUE!</v>
      </c>
      <c r="BK2845" s="129" t="e">
        <f t="shared" si="2053"/>
        <v>#VALUE!</v>
      </c>
      <c r="BL2845" s="129" t="str">
        <f t="shared" si="2050"/>
        <v>NO CONVICTION</v>
      </c>
      <c r="BM2845" s="129" t="str">
        <f>O2845</f>
        <v>NONE</v>
      </c>
      <c r="BN2845" s="129" t="s">
        <v>566</v>
      </c>
      <c r="BP2845" s="137" t="str">
        <f t="shared" si="2059"/>
        <v>NO CONVICTION</v>
      </c>
      <c r="BQ2845" s="128">
        <f t="shared" si="2068"/>
        <v>0</v>
      </c>
      <c r="BR2845" s="129" t="s">
        <v>1346</v>
      </c>
      <c r="BS2845" s="129" t="str">
        <f t="shared" si="2061"/>
        <v>DISPOSED</v>
      </c>
      <c r="BT2845" s="129" t="str">
        <f t="shared" si="2062"/>
        <v>N</v>
      </c>
      <c r="BU2845" s="109">
        <f>IFERROR(Q2845/R2845,BR2845)</f>
        <v>0</v>
      </c>
      <c r="BV2845" s="109">
        <v>0</v>
      </c>
      <c r="BW2845" s="109">
        <f t="shared" si="2041"/>
        <v>0</v>
      </c>
      <c r="BX2845" s="111">
        <f t="shared" si="2063"/>
        <v>0</v>
      </c>
      <c r="BY2845" s="129" t="e">
        <f t="shared" si="2071"/>
        <v>#VALUE!</v>
      </c>
      <c r="BZ2845" s="111" t="e">
        <f t="shared" si="2072"/>
        <v>#VALUE!</v>
      </c>
      <c r="CA2845" s="138" t="e">
        <f t="shared" si="2073"/>
        <v>#VALUE!</v>
      </c>
      <c r="CB2845" s="111">
        <v>0</v>
      </c>
      <c r="CC2845" s="129">
        <v>0</v>
      </c>
      <c r="CG2845" s="129" t="str">
        <f t="shared" si="2074"/>
        <v>N</v>
      </c>
      <c r="CI2845" s="129" t="str">
        <f t="shared" si="2075"/>
        <v>0-10 DAYS</v>
      </c>
      <c r="CJ2845" s="137">
        <f t="shared" si="2076"/>
        <v>1</v>
      </c>
      <c r="CK2845" s="129" t="str">
        <f t="shared" si="2077"/>
        <v>Not Booked</v>
      </c>
    </row>
    <row r="2846" spans="1:89" ht="15.75" customHeight="1" x14ac:dyDescent="0.25">
      <c r="A2846" s="111">
        <v>1396</v>
      </c>
      <c r="B2846" s="128" t="str">
        <f t="shared" si="2065"/>
        <v>N</v>
      </c>
      <c r="C2846" s="128" t="str">
        <f t="shared" si="2066"/>
        <v>N</v>
      </c>
      <c r="D2846" s="117">
        <v>2605832</v>
      </c>
      <c r="E2846" s="135">
        <f t="shared" si="2067"/>
        <v>5</v>
      </c>
      <c r="F2846" s="124">
        <v>40960</v>
      </c>
      <c r="G2846" s="125">
        <v>41100</v>
      </c>
      <c r="H2846" s="117">
        <v>2605832</v>
      </c>
      <c r="I2846" s="124">
        <v>40960</v>
      </c>
      <c r="J2846" s="124">
        <v>40963</v>
      </c>
      <c r="K2846" s="126">
        <v>5000</v>
      </c>
      <c r="L2846" s="127" t="s">
        <v>569</v>
      </c>
      <c r="M2846" s="125">
        <v>40963</v>
      </c>
      <c r="N2846" s="129" t="str">
        <f t="shared" ref="N2846:N2855" si="2083">IF(M2846&gt;1/1/1,"Y","N")</f>
        <v>Y</v>
      </c>
      <c r="O2846" s="128" t="s">
        <v>76</v>
      </c>
      <c r="P2846" s="129" t="s">
        <v>39</v>
      </c>
      <c r="Q2846" s="111">
        <f t="shared" si="2054"/>
        <v>4</v>
      </c>
      <c r="R2846" s="111">
        <f t="shared" si="2051"/>
        <v>141</v>
      </c>
      <c r="S2846" s="129">
        <v>0</v>
      </c>
      <c r="T2846" s="129">
        <v>0</v>
      </c>
      <c r="W2846" s="111"/>
      <c r="AC2846" s="130"/>
      <c r="AD2846" s="130">
        <v>33431</v>
      </c>
      <c r="AE2846" s="128" t="s">
        <v>32</v>
      </c>
      <c r="AF2846" s="128" t="s">
        <v>33</v>
      </c>
      <c r="AG2846" s="128" t="s">
        <v>872</v>
      </c>
      <c r="AH2846" s="108" t="s">
        <v>31</v>
      </c>
      <c r="AI2846" s="128" t="s">
        <v>97</v>
      </c>
      <c r="AJ2846" s="129" t="s">
        <v>89</v>
      </c>
      <c r="AK2846" s="129">
        <v>10</v>
      </c>
      <c r="AL2846" s="3" t="s">
        <v>992</v>
      </c>
      <c r="AN2846" s="117">
        <v>8</v>
      </c>
      <c r="AP2846" s="129" t="s">
        <v>137</v>
      </c>
      <c r="AR2846" s="128" t="s">
        <v>67</v>
      </c>
      <c r="AS2846" s="129" t="s">
        <v>64</v>
      </c>
      <c r="BC2846" s="129" t="s">
        <v>52</v>
      </c>
      <c r="BF2846" s="111">
        <f t="shared" ref="BF2846:BF2855" si="2084">IF(J2846&gt;1/1/1900,((J2846+1)-I2846),"STILL OPEN")</f>
        <v>4</v>
      </c>
      <c r="BG2846" s="111">
        <f t="shared" ref="BG2846:BG2855" si="2085">IF(G2846&gt;1/1/1900,((G2846+1)-I2846),"STILL OPEN")</f>
        <v>141</v>
      </c>
      <c r="BH2846" s="111">
        <f t="shared" si="2052"/>
        <v>141</v>
      </c>
      <c r="BI2846" s="111">
        <f t="shared" si="2055"/>
        <v>20.571038251366119</v>
      </c>
      <c r="BJ2846" s="129">
        <f>(G2846-J2846)+(M2846-G2846)</f>
        <v>0</v>
      </c>
      <c r="BK2846" s="129">
        <f t="shared" si="2053"/>
        <v>-137</v>
      </c>
      <c r="BL2846" s="129" t="str">
        <f t="shared" si="2050"/>
        <v>CONVICTION</v>
      </c>
      <c r="BM2846" s="129" t="s">
        <v>76</v>
      </c>
      <c r="BN2846" s="129" t="s">
        <v>88</v>
      </c>
      <c r="BP2846" s="137" t="str">
        <f t="shared" si="2059"/>
        <v>CONVICTION</v>
      </c>
      <c r="BQ2846" s="128" t="str">
        <f t="shared" si="2068"/>
        <v>Y</v>
      </c>
      <c r="BR2846" s="129" t="str">
        <f>IF(J2846&lt;G2846,"ON BOND",0)</f>
        <v>ON BOND</v>
      </c>
      <c r="BS2846" s="129" t="str">
        <f t="shared" si="2061"/>
        <v>DISPOSED</v>
      </c>
      <c r="BT2846" s="129" t="str">
        <f t="shared" si="2062"/>
        <v>N</v>
      </c>
      <c r="BU2846" s="109">
        <f t="shared" si="2069"/>
        <v>2.8368794326241134E-2</v>
      </c>
      <c r="BV2846" s="109">
        <f t="shared" si="2070"/>
        <v>2.8368794326241134E-2</v>
      </c>
      <c r="BW2846" s="109">
        <f t="shared" si="2041"/>
        <v>0</v>
      </c>
      <c r="BX2846" s="111">
        <f t="shared" si="2063"/>
        <v>0</v>
      </c>
      <c r="BY2846" s="129">
        <f t="shared" si="2071"/>
        <v>-4</v>
      </c>
      <c r="BZ2846" s="111">
        <f t="shared" si="2072"/>
        <v>0</v>
      </c>
      <c r="CA2846" s="138">
        <f t="shared" si="2073"/>
        <v>4</v>
      </c>
      <c r="CB2846" s="111" t="e">
        <f t="shared" ref="CB2846:CB2855" si="2086">IF(AF2846&gt;1/1/1900,((AF2846+1)-AE2846),"STILL OPEN")</f>
        <v>#VALUE!</v>
      </c>
      <c r="CC2846" s="129">
        <f>M2846-I2846+1</f>
        <v>4</v>
      </c>
      <c r="CD2846" s="111">
        <f>CC2846-BF2846</f>
        <v>0</v>
      </c>
      <c r="CG2846" s="129" t="str">
        <f t="shared" si="2074"/>
        <v>N</v>
      </c>
      <c r="CI2846" s="129" t="str">
        <f t="shared" si="2075"/>
        <v>0-10 DAYS</v>
      </c>
      <c r="CJ2846" s="137">
        <f t="shared" si="2076"/>
        <v>1</v>
      </c>
      <c r="CK2846" s="129" t="str">
        <f t="shared" si="2077"/>
        <v>Booked</v>
      </c>
    </row>
    <row r="2847" spans="1:89" ht="15.75" customHeight="1" x14ac:dyDescent="0.25">
      <c r="A2847" s="111">
        <v>1419</v>
      </c>
      <c r="B2847" s="128" t="str">
        <f t="shared" si="2065"/>
        <v>N</v>
      </c>
      <c r="C2847" s="128" t="str">
        <f t="shared" si="2066"/>
        <v>N</v>
      </c>
      <c r="D2847" s="117">
        <v>2605938</v>
      </c>
      <c r="E2847" s="135">
        <f t="shared" si="2067"/>
        <v>2</v>
      </c>
      <c r="F2847" s="124">
        <v>40961</v>
      </c>
      <c r="G2847" s="125">
        <v>40963</v>
      </c>
      <c r="H2847" s="117">
        <v>2605938</v>
      </c>
      <c r="I2847" s="124">
        <v>40962</v>
      </c>
      <c r="J2847" s="124">
        <v>40963</v>
      </c>
      <c r="K2847" s="126">
        <v>35000</v>
      </c>
      <c r="L2847" s="129" t="s">
        <v>572</v>
      </c>
      <c r="N2847" s="129" t="str">
        <f t="shared" si="2083"/>
        <v>N</v>
      </c>
      <c r="O2847" s="128" t="s">
        <v>917</v>
      </c>
      <c r="P2847" s="129" t="s">
        <v>589</v>
      </c>
      <c r="Q2847" s="111">
        <f t="shared" ref="Q2847:Q2858" si="2087">BF2847</f>
        <v>2</v>
      </c>
      <c r="R2847" s="111">
        <f t="shared" si="2051"/>
        <v>3</v>
      </c>
      <c r="S2847" s="129">
        <v>0</v>
      </c>
      <c r="T2847" s="129">
        <v>0</v>
      </c>
      <c r="W2847" s="111"/>
      <c r="AB2847" s="131" t="s">
        <v>112</v>
      </c>
      <c r="AC2847" s="130"/>
      <c r="AD2847" s="130">
        <v>32104</v>
      </c>
      <c r="AE2847" s="128" t="s">
        <v>32</v>
      </c>
      <c r="AF2847" s="128" t="s">
        <v>40</v>
      </c>
      <c r="AG2847" s="128" t="s">
        <v>41</v>
      </c>
      <c r="AH2847" s="108" t="s">
        <v>31</v>
      </c>
      <c r="AI2847" s="128" t="s">
        <v>114</v>
      </c>
      <c r="AJ2847" s="129" t="s">
        <v>48</v>
      </c>
      <c r="AK2847" s="129">
        <v>2</v>
      </c>
      <c r="AL2847" s="3" t="s">
        <v>48</v>
      </c>
      <c r="AP2847" s="129" t="s">
        <v>43</v>
      </c>
      <c r="AR2847" s="128" t="s">
        <v>44</v>
      </c>
      <c r="AS2847" s="129" t="s">
        <v>45</v>
      </c>
      <c r="AT2847" s="129" t="s">
        <v>337</v>
      </c>
      <c r="BC2847" s="129" t="s">
        <v>38</v>
      </c>
      <c r="BF2847" s="111">
        <f t="shared" si="2084"/>
        <v>2</v>
      </c>
      <c r="BG2847" s="111">
        <f t="shared" si="2085"/>
        <v>2</v>
      </c>
      <c r="BH2847" s="111">
        <f t="shared" si="2052"/>
        <v>3</v>
      </c>
      <c r="BI2847" s="111">
        <f t="shared" si="2055"/>
        <v>24.199453551912569</v>
      </c>
      <c r="BJ2847" s="129">
        <f>G2847-J2847-M2847</f>
        <v>0</v>
      </c>
      <c r="BK2847" s="129">
        <f t="shared" si="2053"/>
        <v>0</v>
      </c>
      <c r="BL2847" s="129" t="str">
        <f t="shared" si="2050"/>
        <v>DEFERRED</v>
      </c>
      <c r="BM2847" s="129" t="str">
        <f>O2847</f>
        <v>NONE</v>
      </c>
      <c r="BN2847" s="129" t="s">
        <v>566</v>
      </c>
      <c r="BP2847" s="137" t="str">
        <f t="shared" si="2059"/>
        <v>DEFERRED</v>
      </c>
      <c r="BQ2847" s="128" t="str">
        <f t="shared" si="2068"/>
        <v>Y</v>
      </c>
      <c r="BR2847" s="129" t="str">
        <f t="shared" si="2060"/>
        <v>DETAINED</v>
      </c>
      <c r="BS2847" s="129" t="str">
        <f t="shared" si="2061"/>
        <v>DISPOSED</v>
      </c>
      <c r="BT2847" s="129" t="str">
        <f t="shared" si="2062"/>
        <v>N</v>
      </c>
      <c r="BU2847" s="109">
        <f t="shared" si="2069"/>
        <v>0.66666666666666663</v>
      </c>
      <c r="BV2847" s="109">
        <f t="shared" si="2070"/>
        <v>1</v>
      </c>
      <c r="BW2847" s="109">
        <f t="shared" ref="BW2847:BW2864" si="2088">BV2847-BU2847</f>
        <v>0.33333333333333337</v>
      </c>
      <c r="BX2847" s="111">
        <f t="shared" si="2063"/>
        <v>0</v>
      </c>
      <c r="BY2847" s="129">
        <f t="shared" si="2071"/>
        <v>-2</v>
      </c>
      <c r="BZ2847" s="111">
        <f t="shared" si="2072"/>
        <v>0</v>
      </c>
      <c r="CA2847" s="138">
        <f t="shared" si="2073"/>
        <v>2</v>
      </c>
      <c r="CB2847" s="111" t="e">
        <f t="shared" si="2086"/>
        <v>#VALUE!</v>
      </c>
      <c r="CC2847" s="129">
        <f>G2847-I2847+1</f>
        <v>2</v>
      </c>
      <c r="CD2847" s="129">
        <f>G2847-J2847</f>
        <v>0</v>
      </c>
      <c r="CG2847" s="129" t="str">
        <f t="shared" si="2074"/>
        <v>N</v>
      </c>
      <c r="CI2847" s="129" t="str">
        <f t="shared" si="2075"/>
        <v>0-10 DAYS</v>
      </c>
      <c r="CJ2847" s="137">
        <f t="shared" si="2076"/>
        <v>1</v>
      </c>
      <c r="CK2847" s="129" t="str">
        <f t="shared" si="2077"/>
        <v>Booked</v>
      </c>
    </row>
    <row r="2848" spans="1:89" ht="15.75" customHeight="1" x14ac:dyDescent="0.25">
      <c r="A2848" s="111">
        <v>2972</v>
      </c>
      <c r="B2848" s="128" t="str">
        <f t="shared" si="2065"/>
        <v>N</v>
      </c>
      <c r="C2848" s="128" t="str">
        <f t="shared" si="2066"/>
        <v>N</v>
      </c>
      <c r="D2848" s="117">
        <v>2605994</v>
      </c>
      <c r="E2848" s="135">
        <f t="shared" si="2067"/>
        <v>4</v>
      </c>
      <c r="F2848" s="124">
        <v>41018</v>
      </c>
      <c r="G2848" s="125">
        <v>41110</v>
      </c>
      <c r="H2848" s="117">
        <v>2605994</v>
      </c>
      <c r="I2848" s="124">
        <v>41018</v>
      </c>
      <c r="J2848" s="124">
        <v>41110</v>
      </c>
      <c r="K2848" s="126">
        <v>2000</v>
      </c>
      <c r="L2848" s="127" t="s">
        <v>568</v>
      </c>
      <c r="N2848" s="129" t="str">
        <f t="shared" si="2083"/>
        <v>N</v>
      </c>
      <c r="O2848" s="128" t="s">
        <v>917</v>
      </c>
      <c r="P2848" s="129" t="s">
        <v>39</v>
      </c>
      <c r="Q2848" s="111">
        <f t="shared" si="2087"/>
        <v>93</v>
      </c>
      <c r="R2848" s="111">
        <f t="shared" si="2051"/>
        <v>93</v>
      </c>
      <c r="S2848" s="129">
        <v>0</v>
      </c>
      <c r="T2848" s="129">
        <v>0</v>
      </c>
      <c r="W2848" s="111"/>
      <c r="AC2848" s="130"/>
      <c r="AD2848" s="130">
        <v>34596</v>
      </c>
      <c r="AE2848" s="128" t="s">
        <v>32</v>
      </c>
      <c r="AF2848" s="128" t="s">
        <v>69</v>
      </c>
      <c r="AG2848" s="128" t="s">
        <v>874</v>
      </c>
      <c r="AH2848" s="108" t="s">
        <v>31</v>
      </c>
      <c r="AI2848" s="128" t="s">
        <v>47</v>
      </c>
      <c r="AJ2848" s="129" t="s">
        <v>89</v>
      </c>
      <c r="AK2848" s="129">
        <v>3</v>
      </c>
      <c r="AL2848" s="3" t="s">
        <v>991</v>
      </c>
      <c r="AO2848" s="128">
        <v>180</v>
      </c>
      <c r="AP2848" s="129" t="s">
        <v>107</v>
      </c>
      <c r="AR2848" s="128" t="s">
        <v>44</v>
      </c>
      <c r="AS2848" s="129" t="s">
        <v>57</v>
      </c>
      <c r="AT2848" s="129" t="s">
        <v>1427</v>
      </c>
      <c r="BC2848" s="129" t="s">
        <v>38</v>
      </c>
      <c r="BF2848" s="111">
        <f t="shared" si="2084"/>
        <v>93</v>
      </c>
      <c r="BG2848" s="111">
        <f t="shared" si="2085"/>
        <v>93</v>
      </c>
      <c r="BH2848" s="111">
        <f t="shared" si="2052"/>
        <v>93</v>
      </c>
      <c r="BI2848" s="111">
        <f t="shared" si="2055"/>
        <v>17.546448087431695</v>
      </c>
      <c r="BJ2848" s="129">
        <f>G2848-J2848-M2848</f>
        <v>0</v>
      </c>
      <c r="BK2848" s="129">
        <f t="shared" si="2053"/>
        <v>0</v>
      </c>
      <c r="BL2848" s="129" t="str">
        <f t="shared" si="2050"/>
        <v>CONVICTION</v>
      </c>
      <c r="BM2848" s="129" t="str">
        <f>O2848</f>
        <v>NONE</v>
      </c>
      <c r="BN2848" s="129" t="s">
        <v>566</v>
      </c>
      <c r="BP2848" s="137" t="str">
        <f t="shared" si="2059"/>
        <v>CONVICTION</v>
      </c>
      <c r="BQ2848" s="128" t="str">
        <f t="shared" si="2068"/>
        <v>Y</v>
      </c>
      <c r="BR2848" s="129" t="str">
        <f t="shared" si="2060"/>
        <v>DETAINED</v>
      </c>
      <c r="BS2848" s="129" t="str">
        <f t="shared" si="2061"/>
        <v>DISPOSED</v>
      </c>
      <c r="BT2848" s="129" t="str">
        <f t="shared" si="2062"/>
        <v>N</v>
      </c>
      <c r="BU2848" s="109">
        <f t="shared" si="2069"/>
        <v>1</v>
      </c>
      <c r="BV2848" s="109">
        <f t="shared" si="2070"/>
        <v>1</v>
      </c>
      <c r="BW2848" s="109">
        <f t="shared" si="2088"/>
        <v>0</v>
      </c>
      <c r="BX2848" s="111">
        <f t="shared" si="2063"/>
        <v>0</v>
      </c>
      <c r="BY2848" s="129">
        <f t="shared" si="2071"/>
        <v>-93</v>
      </c>
      <c r="BZ2848" s="111">
        <f t="shared" si="2072"/>
        <v>0</v>
      </c>
      <c r="CA2848" s="138">
        <f t="shared" si="2073"/>
        <v>93</v>
      </c>
      <c r="CB2848" s="111" t="e">
        <f t="shared" si="2086"/>
        <v>#VALUE!</v>
      </c>
      <c r="CC2848" s="129">
        <f>G2848-I2848+1</f>
        <v>93</v>
      </c>
      <c r="CD2848" s="129">
        <f>G2848-J2848</f>
        <v>0</v>
      </c>
      <c r="CG2848" s="129" t="str">
        <f t="shared" si="2074"/>
        <v>N</v>
      </c>
      <c r="CI2848" s="129" t="str">
        <f t="shared" si="2075"/>
        <v>91-120 DAYS</v>
      </c>
      <c r="CJ2848" s="137">
        <f t="shared" si="2076"/>
        <v>0</v>
      </c>
      <c r="CK2848" s="129" t="str">
        <f t="shared" si="2077"/>
        <v>Booked</v>
      </c>
    </row>
    <row r="2849" spans="1:89" ht="15" customHeight="1" x14ac:dyDescent="0.25">
      <c r="A2849" s="111">
        <v>1423</v>
      </c>
      <c r="B2849" s="128" t="str">
        <f t="shared" si="2065"/>
        <v>Y</v>
      </c>
      <c r="C2849" s="128" t="str">
        <f t="shared" si="2066"/>
        <v>N</v>
      </c>
      <c r="D2849" s="114">
        <v>2606000</v>
      </c>
      <c r="E2849" s="135">
        <f t="shared" si="2067"/>
        <v>2</v>
      </c>
      <c r="F2849" s="124">
        <v>40961</v>
      </c>
      <c r="G2849" s="125">
        <v>41221</v>
      </c>
      <c r="H2849" s="114">
        <v>2606000</v>
      </c>
      <c r="I2849" s="124">
        <v>41144</v>
      </c>
      <c r="J2849" s="124">
        <v>41145</v>
      </c>
      <c r="K2849" s="126">
        <v>2000</v>
      </c>
      <c r="L2849" s="127" t="s">
        <v>568</v>
      </c>
      <c r="M2849" s="125">
        <v>41144</v>
      </c>
      <c r="N2849" s="129" t="str">
        <f t="shared" si="2083"/>
        <v>Y</v>
      </c>
      <c r="O2849" s="128" t="s">
        <v>76</v>
      </c>
      <c r="P2849" s="129" t="s">
        <v>589</v>
      </c>
      <c r="Q2849" s="111">
        <f t="shared" si="2087"/>
        <v>2</v>
      </c>
      <c r="R2849" s="111">
        <f t="shared" si="2051"/>
        <v>261</v>
      </c>
      <c r="S2849" s="129">
        <v>0</v>
      </c>
      <c r="T2849" s="129">
        <v>0</v>
      </c>
      <c r="W2849" s="111"/>
      <c r="AC2849" s="130"/>
      <c r="AD2849" s="130">
        <v>30459</v>
      </c>
      <c r="AE2849" s="128" t="s">
        <v>46</v>
      </c>
      <c r="AF2849" s="128" t="s">
        <v>33</v>
      </c>
      <c r="AG2849" s="128" t="s">
        <v>872</v>
      </c>
      <c r="AH2849" s="108" t="s">
        <v>31</v>
      </c>
      <c r="AI2849" s="128" t="s">
        <v>34</v>
      </c>
      <c r="AJ2849" s="129" t="s">
        <v>48</v>
      </c>
      <c r="AK2849" s="129">
        <v>6</v>
      </c>
      <c r="AL2849" s="3" t="s">
        <v>48</v>
      </c>
      <c r="AP2849" s="129" t="s">
        <v>108</v>
      </c>
      <c r="AR2849" s="128" t="s">
        <v>44</v>
      </c>
      <c r="AS2849" s="129" t="s">
        <v>61</v>
      </c>
      <c r="AW2849" s="32"/>
      <c r="AX2849" s="32"/>
      <c r="BC2849" s="129" t="s">
        <v>38</v>
      </c>
      <c r="BD2849" s="32" t="s">
        <v>1243</v>
      </c>
      <c r="BF2849" s="111">
        <f t="shared" si="2084"/>
        <v>2</v>
      </c>
      <c r="BG2849" s="111">
        <f t="shared" si="2085"/>
        <v>78</v>
      </c>
      <c r="BH2849" s="111">
        <f t="shared" si="2052"/>
        <v>261</v>
      </c>
      <c r="BI2849" s="111">
        <f t="shared" si="2055"/>
        <v>28.693989071038253</v>
      </c>
      <c r="BJ2849" s="129">
        <f>(G2849-J2849)+(M2849-G2849)</f>
        <v>-1</v>
      </c>
      <c r="BK2849" s="129">
        <f t="shared" si="2053"/>
        <v>-76</v>
      </c>
      <c r="BL2849" s="129" t="str">
        <f t="shared" si="2050"/>
        <v>DEFERRED</v>
      </c>
      <c r="BM2849" s="129" t="s">
        <v>76</v>
      </c>
      <c r="BN2849" s="129" t="s">
        <v>88</v>
      </c>
      <c r="BP2849" s="137" t="str">
        <f t="shared" si="2059"/>
        <v>DEFERRED</v>
      </c>
      <c r="BQ2849" s="128" t="str">
        <f t="shared" si="2068"/>
        <v>Y</v>
      </c>
      <c r="BR2849" s="129" t="str">
        <f t="shared" si="2060"/>
        <v>ON BOND</v>
      </c>
      <c r="BS2849" s="129" t="str">
        <f t="shared" si="2061"/>
        <v>DISPOSED</v>
      </c>
      <c r="BT2849" s="129" t="str">
        <f t="shared" si="2062"/>
        <v>N</v>
      </c>
      <c r="BU2849" s="109">
        <f t="shared" si="2069"/>
        <v>7.6628352490421452E-3</v>
      </c>
      <c r="BV2849" s="109">
        <f t="shared" si="2070"/>
        <v>2.564102564102564E-2</v>
      </c>
      <c r="BW2849" s="109">
        <f t="shared" si="2088"/>
        <v>1.7978190391983496E-2</v>
      </c>
      <c r="BX2849" s="111">
        <f t="shared" si="2063"/>
        <v>0</v>
      </c>
      <c r="BY2849" s="129">
        <f t="shared" si="2071"/>
        <v>-2</v>
      </c>
      <c r="BZ2849" s="111">
        <f t="shared" si="2072"/>
        <v>0</v>
      </c>
      <c r="CA2849" s="138">
        <f t="shared" si="2073"/>
        <v>1</v>
      </c>
      <c r="CB2849" s="111" t="e">
        <f t="shared" si="2086"/>
        <v>#VALUE!</v>
      </c>
      <c r="CC2849" s="129">
        <f>M2849-I2849+1</f>
        <v>1</v>
      </c>
      <c r="CD2849" s="111">
        <f>CC2849-BF2849</f>
        <v>-1</v>
      </c>
      <c r="CG2849" s="129" t="str">
        <f t="shared" si="2074"/>
        <v>N</v>
      </c>
      <c r="CI2849" s="129" t="str">
        <f t="shared" si="2075"/>
        <v>0-10 DAYS</v>
      </c>
      <c r="CJ2849" s="137">
        <f t="shared" si="2076"/>
        <v>1</v>
      </c>
      <c r="CK2849" s="129" t="str">
        <f t="shared" si="2077"/>
        <v>Booked</v>
      </c>
    </row>
    <row r="2850" spans="1:89" ht="15.75" customHeight="1" x14ac:dyDescent="0.25">
      <c r="A2850" s="111">
        <v>1429</v>
      </c>
      <c r="B2850" s="128" t="str">
        <f t="shared" si="2065"/>
        <v>N</v>
      </c>
      <c r="C2850" s="128" t="str">
        <f t="shared" si="2066"/>
        <v>N</v>
      </c>
      <c r="D2850" s="117">
        <v>2606029</v>
      </c>
      <c r="E2850" s="135">
        <f t="shared" si="2067"/>
        <v>2</v>
      </c>
      <c r="F2850" s="124">
        <v>40961</v>
      </c>
      <c r="G2850" s="125">
        <v>40991</v>
      </c>
      <c r="H2850" s="117">
        <v>2606029</v>
      </c>
      <c r="I2850" s="124">
        <v>40962</v>
      </c>
      <c r="J2850" s="124">
        <v>40963</v>
      </c>
      <c r="K2850" s="126">
        <v>10000</v>
      </c>
      <c r="L2850" s="127" t="s">
        <v>570</v>
      </c>
      <c r="M2850" s="125">
        <v>40963</v>
      </c>
      <c r="N2850" s="129" t="str">
        <f t="shared" si="2083"/>
        <v>Y</v>
      </c>
      <c r="O2850" s="128" t="s">
        <v>76</v>
      </c>
      <c r="P2850" s="129" t="s">
        <v>589</v>
      </c>
      <c r="Q2850" s="111">
        <f t="shared" si="2087"/>
        <v>2</v>
      </c>
      <c r="R2850" s="111">
        <f t="shared" si="2051"/>
        <v>31</v>
      </c>
      <c r="S2850" s="129">
        <v>0</v>
      </c>
      <c r="T2850" s="129">
        <v>0</v>
      </c>
      <c r="W2850" s="111"/>
      <c r="AB2850" s="131" t="s">
        <v>112</v>
      </c>
      <c r="AC2850" s="130"/>
      <c r="AD2850" s="130">
        <v>27380</v>
      </c>
      <c r="AE2850" s="128" t="s">
        <v>32</v>
      </c>
      <c r="AF2850" s="128" t="s">
        <v>40</v>
      </c>
      <c r="AG2850" s="128" t="s">
        <v>41</v>
      </c>
      <c r="AH2850" s="108" t="s">
        <v>31</v>
      </c>
      <c r="AI2850" s="128" t="s">
        <v>53</v>
      </c>
      <c r="AJ2850" s="129" t="s">
        <v>48</v>
      </c>
      <c r="AK2850" s="129">
        <v>2</v>
      </c>
      <c r="AL2850" s="3" t="s">
        <v>48</v>
      </c>
      <c r="AP2850" s="129" t="s">
        <v>124</v>
      </c>
      <c r="AR2850" s="128" t="s">
        <v>67</v>
      </c>
      <c r="AS2850" s="129" t="s">
        <v>45</v>
      </c>
      <c r="BC2850" s="129" t="s">
        <v>52</v>
      </c>
      <c r="BF2850" s="111">
        <f t="shared" si="2084"/>
        <v>2</v>
      </c>
      <c r="BG2850" s="111">
        <f t="shared" si="2085"/>
        <v>30</v>
      </c>
      <c r="BH2850" s="111">
        <f t="shared" si="2052"/>
        <v>31</v>
      </c>
      <c r="BI2850" s="111">
        <f t="shared" si="2055"/>
        <v>37.106557377049178</v>
      </c>
      <c r="BJ2850" s="129">
        <f>(G2850-J2850)+(M2850-G2850)</f>
        <v>0</v>
      </c>
      <c r="BK2850" s="129">
        <f t="shared" si="2053"/>
        <v>-28</v>
      </c>
      <c r="BL2850" s="129" t="str">
        <f t="shared" si="2050"/>
        <v>DEFERRED</v>
      </c>
      <c r="BM2850" s="129" t="s">
        <v>76</v>
      </c>
      <c r="BN2850" s="129" t="s">
        <v>88</v>
      </c>
      <c r="BP2850" s="137" t="str">
        <f t="shared" si="2059"/>
        <v>DEFERRED</v>
      </c>
      <c r="BQ2850" s="128" t="str">
        <f t="shared" si="2068"/>
        <v>Y</v>
      </c>
      <c r="BR2850" s="129" t="str">
        <f t="shared" si="2060"/>
        <v>ON BOND</v>
      </c>
      <c r="BS2850" s="129" t="str">
        <f t="shared" si="2061"/>
        <v>DISPOSED</v>
      </c>
      <c r="BT2850" s="129" t="str">
        <f t="shared" si="2062"/>
        <v>N</v>
      </c>
      <c r="BU2850" s="109">
        <f t="shared" si="2069"/>
        <v>6.4516129032258063E-2</v>
      </c>
      <c r="BV2850" s="109">
        <f t="shared" si="2070"/>
        <v>6.6666666666666666E-2</v>
      </c>
      <c r="BW2850" s="109">
        <f t="shared" si="2088"/>
        <v>2.150537634408603E-3</v>
      </c>
      <c r="BX2850" s="111">
        <f t="shared" si="2063"/>
        <v>0</v>
      </c>
      <c r="BY2850" s="129">
        <f t="shared" si="2071"/>
        <v>-2</v>
      </c>
      <c r="BZ2850" s="111">
        <f t="shared" si="2072"/>
        <v>0</v>
      </c>
      <c r="CA2850" s="138">
        <f t="shared" si="2073"/>
        <v>2</v>
      </c>
      <c r="CB2850" s="111" t="e">
        <f t="shared" si="2086"/>
        <v>#VALUE!</v>
      </c>
      <c r="CC2850" s="129">
        <f>M2850-I2850+1</f>
        <v>2</v>
      </c>
      <c r="CD2850" s="111">
        <f>CC2850-BF2850</f>
        <v>0</v>
      </c>
      <c r="CG2850" s="129" t="str">
        <f t="shared" si="2074"/>
        <v>N</v>
      </c>
      <c r="CI2850" s="129" t="str">
        <f t="shared" si="2075"/>
        <v>0-10 DAYS</v>
      </c>
      <c r="CJ2850" s="137">
        <f t="shared" si="2076"/>
        <v>1</v>
      </c>
      <c r="CK2850" s="129" t="str">
        <f t="shared" si="2077"/>
        <v>Booked</v>
      </c>
    </row>
    <row r="2851" spans="1:89" ht="15" customHeight="1" x14ac:dyDescent="0.25">
      <c r="A2851" s="111">
        <v>1431</v>
      </c>
      <c r="B2851" s="128" t="str">
        <f t="shared" si="2065"/>
        <v>N</v>
      </c>
      <c r="C2851" s="128" t="str">
        <f t="shared" si="2066"/>
        <v>N</v>
      </c>
      <c r="D2851" s="117">
        <v>2606032</v>
      </c>
      <c r="E2851" s="135">
        <f t="shared" si="2067"/>
        <v>1</v>
      </c>
      <c r="F2851" s="124">
        <v>40961</v>
      </c>
      <c r="G2851" s="125">
        <v>41017</v>
      </c>
      <c r="H2851" s="117">
        <v>2606032</v>
      </c>
      <c r="I2851" s="124">
        <v>40975</v>
      </c>
      <c r="J2851" s="124">
        <v>41017</v>
      </c>
      <c r="K2851" s="126">
        <v>5000</v>
      </c>
      <c r="L2851" s="127" t="s">
        <v>569</v>
      </c>
      <c r="N2851" s="129" t="str">
        <f t="shared" si="2083"/>
        <v>N</v>
      </c>
      <c r="O2851" s="128" t="s">
        <v>917</v>
      </c>
      <c r="P2851" s="129" t="s">
        <v>55</v>
      </c>
      <c r="Q2851" s="111">
        <f t="shared" si="2087"/>
        <v>43</v>
      </c>
      <c r="R2851" s="111">
        <f t="shared" si="2051"/>
        <v>57</v>
      </c>
      <c r="S2851" s="129">
        <v>0</v>
      </c>
      <c r="T2851" s="129">
        <v>0</v>
      </c>
      <c r="W2851" s="111"/>
      <c r="AC2851" s="130"/>
      <c r="AD2851" s="130">
        <v>32160</v>
      </c>
      <c r="AE2851" s="128" t="s">
        <v>32</v>
      </c>
      <c r="AF2851" s="128" t="s">
        <v>33</v>
      </c>
      <c r="AG2851" s="128" t="s">
        <v>872</v>
      </c>
      <c r="AH2851" s="108" t="s">
        <v>31</v>
      </c>
      <c r="AI2851" s="128" t="s">
        <v>114</v>
      </c>
      <c r="AJ2851" s="129" t="s">
        <v>55</v>
      </c>
      <c r="AK2851" s="129">
        <v>3</v>
      </c>
      <c r="AL2851" s="3" t="s">
        <v>55</v>
      </c>
      <c r="AP2851" s="129" t="s">
        <v>170</v>
      </c>
      <c r="AR2851" s="128" t="s">
        <v>67</v>
      </c>
      <c r="AS2851" s="129" t="s">
        <v>64</v>
      </c>
      <c r="BC2851" s="129" t="s">
        <v>38</v>
      </c>
      <c r="BF2851" s="111">
        <f t="shared" si="2084"/>
        <v>43</v>
      </c>
      <c r="BG2851" s="111">
        <f t="shared" si="2085"/>
        <v>43</v>
      </c>
      <c r="BH2851" s="111">
        <f t="shared" si="2052"/>
        <v>57</v>
      </c>
      <c r="BI2851" s="111">
        <f t="shared" si="2055"/>
        <v>24.046448087431695</v>
      </c>
      <c r="BJ2851" s="129">
        <f>G2851-J2851-M2851</f>
        <v>0</v>
      </c>
      <c r="BK2851" s="129">
        <f t="shared" si="2053"/>
        <v>0</v>
      </c>
      <c r="BL2851" s="129" t="str">
        <f t="shared" si="2050"/>
        <v>NO CONVICTION</v>
      </c>
      <c r="BM2851" s="129" t="str">
        <f>O2851</f>
        <v>NONE</v>
      </c>
      <c r="BN2851" s="129" t="s">
        <v>566</v>
      </c>
      <c r="BP2851" s="137" t="str">
        <f t="shared" si="2059"/>
        <v>NO CONVICTION</v>
      </c>
      <c r="BQ2851" s="128" t="str">
        <f t="shared" si="2068"/>
        <v>Y</v>
      </c>
      <c r="BR2851" s="129" t="str">
        <f t="shared" si="2060"/>
        <v>DETAINED</v>
      </c>
      <c r="BS2851" s="129" t="str">
        <f t="shared" si="2061"/>
        <v>DISPOSED</v>
      </c>
      <c r="BT2851" s="129" t="str">
        <f t="shared" si="2062"/>
        <v>N</v>
      </c>
      <c r="BU2851" s="109">
        <f>IFERROR(Q2851/R2851,BR2851)</f>
        <v>0.75438596491228072</v>
      </c>
      <c r="BV2851" s="109">
        <f t="shared" si="2070"/>
        <v>1</v>
      </c>
      <c r="BW2851" s="109">
        <f t="shared" si="2088"/>
        <v>0.24561403508771928</v>
      </c>
      <c r="BX2851" s="111">
        <f t="shared" si="2063"/>
        <v>0</v>
      </c>
      <c r="BY2851" s="129">
        <f t="shared" si="2071"/>
        <v>-43</v>
      </c>
      <c r="BZ2851" s="111">
        <f t="shared" si="2072"/>
        <v>0</v>
      </c>
      <c r="CA2851" s="138">
        <f t="shared" si="2073"/>
        <v>43</v>
      </c>
      <c r="CB2851" s="111" t="e">
        <f t="shared" si="2086"/>
        <v>#VALUE!</v>
      </c>
      <c r="CC2851" s="129">
        <f>G2851-I2851+1</f>
        <v>43</v>
      </c>
      <c r="CD2851" s="129">
        <f>G2851-J2851</f>
        <v>0</v>
      </c>
      <c r="CG2851" s="129" t="str">
        <f t="shared" si="2074"/>
        <v>N</v>
      </c>
      <c r="CI2851" s="129" t="str">
        <f t="shared" si="2075"/>
        <v>31-60 DAYS</v>
      </c>
      <c r="CJ2851" s="137">
        <f t="shared" si="2076"/>
        <v>3</v>
      </c>
      <c r="CK2851" s="129" t="str">
        <f t="shared" si="2077"/>
        <v>Booked</v>
      </c>
    </row>
    <row r="2852" spans="1:89" ht="15.75" customHeight="1" x14ac:dyDescent="0.25">
      <c r="A2852" s="111">
        <v>1460</v>
      </c>
      <c r="B2852" s="128" t="str">
        <f t="shared" si="2065"/>
        <v>N</v>
      </c>
      <c r="C2852" s="128" t="str">
        <f t="shared" si="2066"/>
        <v>N</v>
      </c>
      <c r="D2852" s="117">
        <v>2606039</v>
      </c>
      <c r="E2852" s="135">
        <f t="shared" si="2067"/>
        <v>6</v>
      </c>
      <c r="F2852" s="124">
        <v>40962</v>
      </c>
      <c r="G2852" s="125">
        <v>41404</v>
      </c>
      <c r="H2852" s="117">
        <v>2606039</v>
      </c>
      <c r="I2852" s="124">
        <v>40962</v>
      </c>
      <c r="J2852" s="125">
        <v>41404</v>
      </c>
      <c r="K2852" s="126">
        <v>100000</v>
      </c>
      <c r="L2852" s="129" t="s">
        <v>572</v>
      </c>
      <c r="N2852" s="129" t="str">
        <f t="shared" si="2083"/>
        <v>N</v>
      </c>
      <c r="O2852" s="128" t="s">
        <v>917</v>
      </c>
      <c r="P2852" s="129" t="s">
        <v>39</v>
      </c>
      <c r="Q2852" s="111">
        <f t="shared" si="2087"/>
        <v>443</v>
      </c>
      <c r="R2852" s="111">
        <f t="shared" si="2051"/>
        <v>443</v>
      </c>
      <c r="S2852" s="129">
        <v>0</v>
      </c>
      <c r="T2852" s="129">
        <v>0</v>
      </c>
      <c r="W2852" s="111"/>
      <c r="AC2852" s="130"/>
      <c r="AD2852" s="130">
        <v>28360</v>
      </c>
      <c r="AE2852" s="128" t="s">
        <v>32</v>
      </c>
      <c r="AF2852" s="128" t="s">
        <v>69</v>
      </c>
      <c r="AG2852" s="128" t="s">
        <v>874</v>
      </c>
      <c r="AH2852" s="108" t="s">
        <v>31</v>
      </c>
      <c r="AI2852" s="128" t="s">
        <v>141</v>
      </c>
      <c r="AJ2852" s="129" t="s">
        <v>89</v>
      </c>
      <c r="AK2852" s="129">
        <v>13</v>
      </c>
      <c r="AL2852" s="3" t="s">
        <v>362</v>
      </c>
      <c r="AM2852" s="117">
        <v>16</v>
      </c>
      <c r="AP2852" s="129" t="s">
        <v>110</v>
      </c>
      <c r="AR2852" s="128" t="s">
        <v>50</v>
      </c>
      <c r="AS2852" s="129" t="s">
        <v>74</v>
      </c>
      <c r="AT2852" s="129" t="s">
        <v>1147</v>
      </c>
      <c r="BC2852" s="129" t="s">
        <v>38</v>
      </c>
      <c r="BF2852" s="111">
        <f t="shared" si="2084"/>
        <v>443</v>
      </c>
      <c r="BG2852" s="111">
        <f t="shared" si="2085"/>
        <v>443</v>
      </c>
      <c r="BH2852" s="111">
        <f t="shared" si="2052"/>
        <v>443</v>
      </c>
      <c r="BI2852" s="111">
        <f t="shared" si="2055"/>
        <v>34.431693989071036</v>
      </c>
      <c r="BJ2852" s="129">
        <f>G2852-J2852-M2852</f>
        <v>0</v>
      </c>
      <c r="BK2852" s="129">
        <f t="shared" si="2053"/>
        <v>0</v>
      </c>
      <c r="BL2852" s="129" t="str">
        <f t="shared" si="2050"/>
        <v>CONVICTION</v>
      </c>
      <c r="BM2852" s="129" t="str">
        <f>O2852</f>
        <v>NONE</v>
      </c>
      <c r="BN2852" s="129" t="s">
        <v>566</v>
      </c>
      <c r="BP2852" s="137" t="str">
        <f t="shared" si="2059"/>
        <v>CONVICTION</v>
      </c>
      <c r="BQ2852" s="128" t="str">
        <f t="shared" si="2068"/>
        <v>Y</v>
      </c>
      <c r="BR2852" s="129" t="str">
        <f t="shared" si="2060"/>
        <v>DETAINED</v>
      </c>
      <c r="BS2852" s="129" t="str">
        <f t="shared" si="2061"/>
        <v>DISPOSED</v>
      </c>
      <c r="BT2852" s="129" t="str">
        <f t="shared" si="2062"/>
        <v>N</v>
      </c>
      <c r="BU2852" s="109">
        <f t="shared" si="2069"/>
        <v>1</v>
      </c>
      <c r="BV2852" s="109">
        <f t="shared" si="2070"/>
        <v>1</v>
      </c>
      <c r="BW2852" s="109">
        <f t="shared" si="2088"/>
        <v>0</v>
      </c>
      <c r="BX2852" s="111">
        <f t="shared" si="2063"/>
        <v>0</v>
      </c>
      <c r="BY2852" s="129">
        <f t="shared" si="2071"/>
        <v>-443</v>
      </c>
      <c r="BZ2852" s="111">
        <f t="shared" si="2072"/>
        <v>0</v>
      </c>
      <c r="CA2852" s="138">
        <f t="shared" si="2073"/>
        <v>443</v>
      </c>
      <c r="CB2852" s="111" t="e">
        <f t="shared" si="2086"/>
        <v>#VALUE!</v>
      </c>
      <c r="CC2852" s="129">
        <f>G2852-I2852+1</f>
        <v>443</v>
      </c>
      <c r="CD2852" s="129">
        <f>G2852-J2852</f>
        <v>0</v>
      </c>
      <c r="CG2852" s="129" t="str">
        <f t="shared" si="2074"/>
        <v>N</v>
      </c>
      <c r="CI2852" s="129" t="str">
        <f t="shared" si="2075"/>
        <v xml:space="preserve"> &gt;1YRS&lt;2YRS</v>
      </c>
      <c r="CJ2852" s="137">
        <f t="shared" si="2076"/>
        <v>0</v>
      </c>
      <c r="CK2852" s="129" t="str">
        <f t="shared" si="2077"/>
        <v>Booked</v>
      </c>
    </row>
    <row r="2853" spans="1:89" ht="15.75" customHeight="1" x14ac:dyDescent="0.25">
      <c r="A2853" s="111">
        <v>1440</v>
      </c>
      <c r="B2853" s="128" t="str">
        <f t="shared" si="2065"/>
        <v>N</v>
      </c>
      <c r="C2853" s="128" t="str">
        <f t="shared" si="2066"/>
        <v>N</v>
      </c>
      <c r="D2853" s="117">
        <v>2606053</v>
      </c>
      <c r="E2853" s="135">
        <f t="shared" si="2067"/>
        <v>4</v>
      </c>
      <c r="F2853" s="124">
        <v>40961</v>
      </c>
      <c r="G2853" s="125">
        <v>40968</v>
      </c>
      <c r="H2853" s="117">
        <v>2606053</v>
      </c>
      <c r="I2853" s="124">
        <v>40962</v>
      </c>
      <c r="J2853" s="124">
        <v>40968</v>
      </c>
      <c r="K2853" s="126">
        <v>100000</v>
      </c>
      <c r="L2853" s="129" t="s">
        <v>572</v>
      </c>
      <c r="N2853" s="129" t="str">
        <f t="shared" si="2083"/>
        <v>N</v>
      </c>
      <c r="O2853" s="128" t="s">
        <v>917</v>
      </c>
      <c r="P2853" s="129" t="s">
        <v>39</v>
      </c>
      <c r="Q2853" s="111">
        <f t="shared" si="2087"/>
        <v>7</v>
      </c>
      <c r="R2853" s="111">
        <f t="shared" si="2051"/>
        <v>8</v>
      </c>
      <c r="S2853" s="129">
        <v>0</v>
      </c>
      <c r="T2853" s="129">
        <v>0</v>
      </c>
      <c r="W2853" s="111"/>
      <c r="AC2853" s="130"/>
      <c r="AD2853" s="130">
        <v>25097</v>
      </c>
      <c r="AE2853" s="128" t="s">
        <v>46</v>
      </c>
      <c r="AF2853" s="128" t="s">
        <v>69</v>
      </c>
      <c r="AG2853" s="128" t="s">
        <v>874</v>
      </c>
      <c r="AH2853" s="108" t="s">
        <v>31</v>
      </c>
      <c r="AI2853" s="128" t="s">
        <v>65</v>
      </c>
      <c r="AJ2853" s="129" t="s">
        <v>89</v>
      </c>
      <c r="AK2853" s="129">
        <v>2</v>
      </c>
      <c r="AL2853" s="3" t="s">
        <v>991</v>
      </c>
      <c r="AO2853" s="128">
        <v>60</v>
      </c>
      <c r="AP2853" s="129" t="s">
        <v>139</v>
      </c>
      <c r="AR2853" s="128" t="s">
        <v>44</v>
      </c>
      <c r="AS2853" s="129" t="s">
        <v>64</v>
      </c>
      <c r="BC2853" s="129" t="s">
        <v>38</v>
      </c>
      <c r="BF2853" s="111">
        <f t="shared" si="2084"/>
        <v>7</v>
      </c>
      <c r="BG2853" s="111">
        <f t="shared" si="2085"/>
        <v>7</v>
      </c>
      <c r="BH2853" s="111">
        <f t="shared" si="2052"/>
        <v>8</v>
      </c>
      <c r="BI2853" s="111">
        <f t="shared" si="2055"/>
        <v>43.344262295081968</v>
      </c>
      <c r="BJ2853" s="129">
        <f>G2853-J2853-M2853</f>
        <v>0</v>
      </c>
      <c r="BK2853" s="129">
        <f t="shared" si="2053"/>
        <v>0</v>
      </c>
      <c r="BL2853" s="129" t="str">
        <f t="shared" si="2050"/>
        <v>CONVICTION</v>
      </c>
      <c r="BM2853" s="129" t="str">
        <f>O2853</f>
        <v>NONE</v>
      </c>
      <c r="BN2853" s="129" t="s">
        <v>566</v>
      </c>
      <c r="BP2853" s="137" t="str">
        <f t="shared" si="2059"/>
        <v>CONVICTION</v>
      </c>
      <c r="BQ2853" s="128" t="str">
        <f t="shared" si="2068"/>
        <v>Y</v>
      </c>
      <c r="BR2853" s="129" t="str">
        <f t="shared" si="2060"/>
        <v>DETAINED</v>
      </c>
      <c r="BS2853" s="129" t="str">
        <f t="shared" si="2061"/>
        <v>DISPOSED</v>
      </c>
      <c r="BT2853" s="129" t="str">
        <f t="shared" si="2062"/>
        <v>N</v>
      </c>
      <c r="BU2853" s="109">
        <f t="shared" si="2069"/>
        <v>0.875</v>
      </c>
      <c r="BV2853" s="109">
        <f t="shared" si="2070"/>
        <v>1</v>
      </c>
      <c r="BW2853" s="109">
        <f t="shared" si="2088"/>
        <v>0.125</v>
      </c>
      <c r="BX2853" s="111">
        <f t="shared" si="2063"/>
        <v>0</v>
      </c>
      <c r="BY2853" s="129">
        <f t="shared" si="2071"/>
        <v>-7</v>
      </c>
      <c r="BZ2853" s="111">
        <f t="shared" si="2072"/>
        <v>0</v>
      </c>
      <c r="CA2853" s="138">
        <f t="shared" si="2073"/>
        <v>7</v>
      </c>
      <c r="CB2853" s="111" t="e">
        <f t="shared" si="2086"/>
        <v>#VALUE!</v>
      </c>
      <c r="CC2853" s="129">
        <f>G2853-I2853+1</f>
        <v>7</v>
      </c>
      <c r="CD2853" s="129">
        <f>G2853-J2853</f>
        <v>0</v>
      </c>
      <c r="CG2853" s="129" t="str">
        <f t="shared" si="2074"/>
        <v>N</v>
      </c>
      <c r="CI2853" s="129" t="str">
        <f t="shared" si="2075"/>
        <v>0-10 DAYS</v>
      </c>
      <c r="CJ2853" s="137">
        <f t="shared" si="2076"/>
        <v>1</v>
      </c>
      <c r="CK2853" s="129" t="str">
        <f t="shared" si="2077"/>
        <v>Booked</v>
      </c>
    </row>
    <row r="2854" spans="1:89" ht="15.75" customHeight="1" x14ac:dyDescent="0.25">
      <c r="A2854" s="111">
        <v>1443</v>
      </c>
      <c r="B2854" s="128" t="str">
        <f t="shared" si="2065"/>
        <v>N</v>
      </c>
      <c r="C2854" s="128" t="str">
        <f t="shared" si="2066"/>
        <v>N</v>
      </c>
      <c r="D2854" s="117">
        <v>2606076</v>
      </c>
      <c r="E2854" s="135">
        <f t="shared" si="2067"/>
        <v>4</v>
      </c>
      <c r="F2854" s="124">
        <v>40962</v>
      </c>
      <c r="G2854" s="125">
        <v>40963</v>
      </c>
      <c r="H2854" s="117">
        <v>2606076</v>
      </c>
      <c r="I2854" s="124">
        <v>40962</v>
      </c>
      <c r="J2854" s="124">
        <v>40963</v>
      </c>
      <c r="K2854" s="126">
        <v>15000</v>
      </c>
      <c r="L2854" s="127" t="s">
        <v>571</v>
      </c>
      <c r="N2854" s="129" t="str">
        <f t="shared" si="2083"/>
        <v>N</v>
      </c>
      <c r="O2854" s="128" t="s">
        <v>917</v>
      </c>
      <c r="P2854" s="129" t="s">
        <v>39</v>
      </c>
      <c r="Q2854" s="111">
        <f t="shared" si="2087"/>
        <v>2</v>
      </c>
      <c r="R2854" s="111">
        <f t="shared" si="2051"/>
        <v>2</v>
      </c>
      <c r="S2854" s="129">
        <v>0</v>
      </c>
      <c r="T2854" s="129">
        <v>0</v>
      </c>
      <c r="W2854" s="111"/>
      <c r="AC2854" s="130"/>
      <c r="AD2854" s="130">
        <v>25934</v>
      </c>
      <c r="AE2854" s="128" t="s">
        <v>32</v>
      </c>
      <c r="AF2854" s="128" t="s">
        <v>33</v>
      </c>
      <c r="AG2854" s="128" t="s">
        <v>872</v>
      </c>
      <c r="AH2854" s="108" t="s">
        <v>31</v>
      </c>
      <c r="AI2854" s="128" t="s">
        <v>80</v>
      </c>
      <c r="AJ2854" s="129" t="s">
        <v>89</v>
      </c>
      <c r="AK2854" s="129">
        <v>1</v>
      </c>
      <c r="AL2854" s="3" t="s">
        <v>991</v>
      </c>
      <c r="AO2854" s="128">
        <v>30</v>
      </c>
      <c r="AP2854" s="129" t="s">
        <v>127</v>
      </c>
      <c r="AR2854" s="128" t="s">
        <v>44</v>
      </c>
      <c r="AS2854" s="129" t="s">
        <v>82</v>
      </c>
      <c r="AU2854" s="118" t="s">
        <v>725</v>
      </c>
      <c r="AX2854" s="32"/>
      <c r="BC2854" s="129" t="s">
        <v>38</v>
      </c>
      <c r="BF2854" s="111">
        <f t="shared" si="2084"/>
        <v>2</v>
      </c>
      <c r="BG2854" s="111">
        <f t="shared" si="2085"/>
        <v>2</v>
      </c>
      <c r="BH2854" s="111">
        <f t="shared" si="2052"/>
        <v>2</v>
      </c>
      <c r="BI2854" s="111">
        <f t="shared" si="2055"/>
        <v>41.060109289617486</v>
      </c>
      <c r="BJ2854" s="129">
        <f>G2854-J2854-M2854</f>
        <v>0</v>
      </c>
      <c r="BK2854" s="129">
        <f t="shared" si="2053"/>
        <v>0</v>
      </c>
      <c r="BL2854" s="129" t="str">
        <f t="shared" si="2050"/>
        <v>CONVICTION</v>
      </c>
      <c r="BM2854" s="129" t="str">
        <f>O2854</f>
        <v>NONE</v>
      </c>
      <c r="BN2854" s="129" t="s">
        <v>566</v>
      </c>
      <c r="BP2854" s="137" t="str">
        <f t="shared" si="2059"/>
        <v>CONVICTION</v>
      </c>
      <c r="BQ2854" s="128" t="str">
        <f t="shared" si="2068"/>
        <v>Y</v>
      </c>
      <c r="BR2854" s="129" t="str">
        <f t="shared" si="2060"/>
        <v>DETAINED</v>
      </c>
      <c r="BS2854" s="129" t="str">
        <f t="shared" si="2061"/>
        <v>DISPOSED</v>
      </c>
      <c r="BT2854" s="129" t="str">
        <f t="shared" si="2062"/>
        <v>N</v>
      </c>
      <c r="BU2854" s="109">
        <f t="shared" si="2069"/>
        <v>1</v>
      </c>
      <c r="BV2854" s="109">
        <f t="shared" si="2070"/>
        <v>1</v>
      </c>
      <c r="BW2854" s="109">
        <f t="shared" si="2088"/>
        <v>0</v>
      </c>
      <c r="BX2854" s="111">
        <f t="shared" si="2063"/>
        <v>0</v>
      </c>
      <c r="BY2854" s="129">
        <f t="shared" si="2071"/>
        <v>-2</v>
      </c>
      <c r="BZ2854" s="111">
        <f t="shared" si="2072"/>
        <v>0</v>
      </c>
      <c r="CA2854" s="138">
        <f t="shared" si="2073"/>
        <v>2</v>
      </c>
      <c r="CB2854" s="111" t="e">
        <f t="shared" si="2086"/>
        <v>#VALUE!</v>
      </c>
      <c r="CC2854" s="129">
        <f>G2854-I2854+1</f>
        <v>2</v>
      </c>
      <c r="CD2854" s="129">
        <f>G2854-J2854</f>
        <v>0</v>
      </c>
      <c r="CG2854" s="129" t="str">
        <f t="shared" si="2074"/>
        <v>N</v>
      </c>
      <c r="CI2854" s="129" t="str">
        <f t="shared" si="2075"/>
        <v>0-10 DAYS</v>
      </c>
      <c r="CJ2854" s="137">
        <f t="shared" si="2076"/>
        <v>1</v>
      </c>
      <c r="CK2854" s="129" t="str">
        <f t="shared" si="2077"/>
        <v>Booked</v>
      </c>
    </row>
    <row r="2855" spans="1:89" ht="15.75" customHeight="1" x14ac:dyDescent="0.25">
      <c r="A2855" s="111">
        <v>1446</v>
      </c>
      <c r="B2855" s="128" t="str">
        <f t="shared" si="2065"/>
        <v>N</v>
      </c>
      <c r="C2855" s="128" t="str">
        <f t="shared" si="2066"/>
        <v>N</v>
      </c>
      <c r="D2855" s="117">
        <v>2606132</v>
      </c>
      <c r="E2855" s="135">
        <f t="shared" si="2067"/>
        <v>6</v>
      </c>
      <c r="F2855" s="124">
        <v>40962</v>
      </c>
      <c r="G2855" s="125">
        <v>41127</v>
      </c>
      <c r="H2855" s="117">
        <v>2606132</v>
      </c>
      <c r="I2855" s="124">
        <v>40967</v>
      </c>
      <c r="J2855" s="124">
        <v>41127</v>
      </c>
      <c r="K2855" s="126">
        <v>35000</v>
      </c>
      <c r="L2855" s="129" t="s">
        <v>572</v>
      </c>
      <c r="N2855" s="129" t="str">
        <f t="shared" si="2083"/>
        <v>N</v>
      </c>
      <c r="O2855" s="128" t="s">
        <v>917</v>
      </c>
      <c r="P2855" s="129" t="s">
        <v>39</v>
      </c>
      <c r="Q2855" s="111">
        <f t="shared" si="2087"/>
        <v>161</v>
      </c>
      <c r="R2855" s="111">
        <f t="shared" si="2051"/>
        <v>166</v>
      </c>
      <c r="S2855" s="129">
        <v>0</v>
      </c>
      <c r="T2855" s="129">
        <v>0</v>
      </c>
      <c r="W2855" s="111"/>
      <c r="AB2855" s="131" t="s">
        <v>112</v>
      </c>
      <c r="AC2855" s="130"/>
      <c r="AD2855" s="130">
        <v>29701</v>
      </c>
      <c r="AE2855" s="128" t="s">
        <v>32</v>
      </c>
      <c r="AF2855" s="128" t="s">
        <v>40</v>
      </c>
      <c r="AG2855" s="128" t="s">
        <v>41</v>
      </c>
      <c r="AH2855" s="108" t="s">
        <v>31</v>
      </c>
      <c r="AI2855" s="128" t="s">
        <v>114</v>
      </c>
      <c r="AJ2855" s="129" t="s">
        <v>89</v>
      </c>
      <c r="AK2855" s="129">
        <v>8</v>
      </c>
      <c r="AL2855" s="3" t="s">
        <v>362</v>
      </c>
      <c r="AM2855" s="117">
        <v>7</v>
      </c>
      <c r="AP2855" s="129" t="s">
        <v>129</v>
      </c>
      <c r="AR2855" s="128" t="s">
        <v>92</v>
      </c>
      <c r="AS2855" s="129" t="s">
        <v>126</v>
      </c>
      <c r="BC2855" s="129" t="s">
        <v>38</v>
      </c>
      <c r="BF2855" s="111">
        <f t="shared" si="2084"/>
        <v>161</v>
      </c>
      <c r="BG2855" s="111">
        <f t="shared" si="2085"/>
        <v>161</v>
      </c>
      <c r="BH2855" s="111">
        <f t="shared" si="2052"/>
        <v>166</v>
      </c>
      <c r="BI2855" s="111">
        <f t="shared" si="2055"/>
        <v>30.76775956284153</v>
      </c>
      <c r="BJ2855" s="129">
        <f>G2855-J2855-M2855</f>
        <v>0</v>
      </c>
      <c r="BK2855" s="129">
        <f t="shared" si="2053"/>
        <v>0</v>
      </c>
      <c r="BL2855" s="129" t="str">
        <f t="shared" si="2050"/>
        <v>CONVICTION</v>
      </c>
      <c r="BM2855" s="129" t="str">
        <f>O2855</f>
        <v>NONE</v>
      </c>
      <c r="BN2855" s="129" t="s">
        <v>566</v>
      </c>
      <c r="BP2855" s="137" t="str">
        <f t="shared" si="2059"/>
        <v>CONVICTION</v>
      </c>
      <c r="BQ2855" s="128" t="str">
        <f t="shared" si="2068"/>
        <v>Y</v>
      </c>
      <c r="BR2855" s="129" t="str">
        <f t="shared" si="2060"/>
        <v>DETAINED</v>
      </c>
      <c r="BS2855" s="129" t="str">
        <f t="shared" si="2061"/>
        <v>DISPOSED</v>
      </c>
      <c r="BT2855" s="129" t="str">
        <f t="shared" si="2062"/>
        <v>N</v>
      </c>
      <c r="BU2855" s="109">
        <f t="shared" si="2069"/>
        <v>0.96987951807228912</v>
      </c>
      <c r="BV2855" s="109">
        <f t="shared" si="2070"/>
        <v>1</v>
      </c>
      <c r="BW2855" s="109">
        <f t="shared" si="2088"/>
        <v>3.0120481927710885E-2</v>
      </c>
      <c r="BX2855" s="111">
        <f t="shared" si="2063"/>
        <v>0</v>
      </c>
      <c r="BY2855" s="129">
        <f t="shared" si="2071"/>
        <v>-161</v>
      </c>
      <c r="BZ2855" s="111">
        <f t="shared" si="2072"/>
        <v>0</v>
      </c>
      <c r="CA2855" s="138">
        <f t="shared" si="2073"/>
        <v>161</v>
      </c>
      <c r="CB2855" s="111" t="e">
        <f t="shared" si="2086"/>
        <v>#VALUE!</v>
      </c>
      <c r="CC2855" s="129">
        <f>G2855-I2855+1</f>
        <v>161</v>
      </c>
      <c r="CD2855" s="129">
        <f>G2855-J2855</f>
        <v>0</v>
      </c>
      <c r="CG2855" s="129" t="str">
        <f t="shared" si="2074"/>
        <v>N</v>
      </c>
      <c r="CI2855" s="129" t="str">
        <f t="shared" si="2075"/>
        <v>121-365 DAYS</v>
      </c>
      <c r="CJ2855" s="137">
        <f t="shared" si="2076"/>
        <v>6</v>
      </c>
      <c r="CK2855" s="129" t="str">
        <f t="shared" si="2077"/>
        <v>Booked</v>
      </c>
    </row>
    <row r="2856" spans="1:89" ht="15.75" customHeight="1" x14ac:dyDescent="0.25">
      <c r="A2856" s="111">
        <v>1458</v>
      </c>
      <c r="B2856" s="128" t="str">
        <f t="shared" si="2065"/>
        <v>N</v>
      </c>
      <c r="C2856" s="128" t="str">
        <f t="shared" si="2066"/>
        <v>N</v>
      </c>
      <c r="D2856" s="117">
        <v>2606267</v>
      </c>
      <c r="E2856" s="135">
        <f t="shared" si="2067"/>
        <v>1</v>
      </c>
      <c r="F2856" s="124">
        <v>40962</v>
      </c>
      <c r="G2856" s="125">
        <v>41346</v>
      </c>
      <c r="H2856" s="117">
        <v>2606267</v>
      </c>
      <c r="I2856" s="124" t="s">
        <v>562</v>
      </c>
      <c r="J2856" s="124" t="s">
        <v>562</v>
      </c>
      <c r="K2856" s="126">
        <v>5000</v>
      </c>
      <c r="L2856" s="127" t="s">
        <v>569</v>
      </c>
      <c r="M2856" s="125">
        <v>40976</v>
      </c>
      <c r="N2856" s="129" t="str">
        <f>IF(M2856&gt;1/1/1,"Y",IF(Q2856="0","","N"))</f>
        <v>Y</v>
      </c>
      <c r="O2856" s="128" t="s">
        <v>76</v>
      </c>
      <c r="P2856" s="129" t="s">
        <v>55</v>
      </c>
      <c r="Q2856" s="111">
        <f t="shared" si="2087"/>
        <v>0</v>
      </c>
      <c r="R2856" s="111">
        <f t="shared" si="2051"/>
        <v>385</v>
      </c>
      <c r="S2856" s="129">
        <v>0</v>
      </c>
      <c r="T2856" s="129">
        <v>0</v>
      </c>
      <c r="W2856" s="111"/>
      <c r="AC2856" s="130"/>
      <c r="AD2856" s="130">
        <v>22327</v>
      </c>
      <c r="AE2856" s="128" t="s">
        <v>32</v>
      </c>
      <c r="AF2856" s="128" t="s">
        <v>33</v>
      </c>
      <c r="AG2856" s="128" t="s">
        <v>872</v>
      </c>
      <c r="AH2856" s="108" t="s">
        <v>31</v>
      </c>
      <c r="AI2856" s="128" t="s">
        <v>80</v>
      </c>
      <c r="AJ2856" s="129" t="s">
        <v>55</v>
      </c>
      <c r="AK2856" s="129">
        <v>12</v>
      </c>
      <c r="AL2856" s="3" t="s">
        <v>55</v>
      </c>
      <c r="AP2856" s="129" t="s">
        <v>104</v>
      </c>
      <c r="AR2856" s="128" t="s">
        <v>44</v>
      </c>
      <c r="AS2856" s="129" t="s">
        <v>64</v>
      </c>
      <c r="BC2856" s="129" t="s">
        <v>52</v>
      </c>
      <c r="BF2856" s="111">
        <v>0</v>
      </c>
      <c r="BG2856" s="111">
        <v>0</v>
      </c>
      <c r="BH2856" s="111">
        <f t="shared" si="2052"/>
        <v>385</v>
      </c>
      <c r="BI2856" s="111">
        <f t="shared" si="2055"/>
        <v>50.915300546448087</v>
      </c>
      <c r="BJ2856" s="129" t="e">
        <f>(G2856-J2856)+(M2856-G2856)</f>
        <v>#VALUE!</v>
      </c>
      <c r="BK2856" s="129" t="e">
        <f t="shared" si="2053"/>
        <v>#VALUE!</v>
      </c>
      <c r="BL2856" s="129" t="str">
        <f t="shared" si="2050"/>
        <v>NO CONVICTION</v>
      </c>
      <c r="BM2856" s="129" t="s">
        <v>76</v>
      </c>
      <c r="BN2856" s="129" t="s">
        <v>88</v>
      </c>
      <c r="BP2856" s="137" t="str">
        <f t="shared" si="2059"/>
        <v>NO CONVICTION</v>
      </c>
      <c r="BQ2856" s="128">
        <f t="shared" si="2068"/>
        <v>0</v>
      </c>
      <c r="BR2856" s="129" t="s">
        <v>575</v>
      </c>
      <c r="BS2856" s="129" t="str">
        <f t="shared" si="2061"/>
        <v>DISPOSED</v>
      </c>
      <c r="BT2856" s="129" t="str">
        <f t="shared" si="2062"/>
        <v>N</v>
      </c>
      <c r="BU2856" s="109">
        <f>IFERROR(Q2856/R2856,BR2856)</f>
        <v>0</v>
      </c>
      <c r="BV2856" s="109">
        <v>0</v>
      </c>
      <c r="BW2856" s="109">
        <f t="shared" si="2088"/>
        <v>0</v>
      </c>
      <c r="BX2856" s="111">
        <f t="shared" si="2063"/>
        <v>0</v>
      </c>
      <c r="BY2856" s="129" t="e">
        <f t="shared" si="2071"/>
        <v>#VALUE!</v>
      </c>
      <c r="BZ2856" s="111" t="e">
        <f t="shared" si="2072"/>
        <v>#VALUE!</v>
      </c>
      <c r="CA2856" s="138" t="e">
        <f t="shared" si="2073"/>
        <v>#VALUE!</v>
      </c>
      <c r="CB2856" s="111">
        <v>0</v>
      </c>
      <c r="CC2856" s="129">
        <v>0</v>
      </c>
      <c r="CD2856" s="111">
        <f>CC2856-BF2856</f>
        <v>0</v>
      </c>
      <c r="CG2856" s="129" t="str">
        <f t="shared" si="2074"/>
        <v>N</v>
      </c>
      <c r="CI2856" s="129" t="str">
        <f t="shared" si="2075"/>
        <v>0-10 DAYS</v>
      </c>
      <c r="CJ2856" s="137">
        <f t="shared" si="2076"/>
        <v>1</v>
      </c>
      <c r="CK2856" s="129" t="str">
        <f t="shared" si="2077"/>
        <v>Not Booked</v>
      </c>
    </row>
    <row r="2857" spans="1:89" ht="15.75" customHeight="1" x14ac:dyDescent="0.25">
      <c r="A2857" s="111">
        <v>1466</v>
      </c>
      <c r="B2857" s="128" t="str">
        <f t="shared" si="2065"/>
        <v>N</v>
      </c>
      <c r="C2857" s="128" t="str">
        <f t="shared" si="2066"/>
        <v>N</v>
      </c>
      <c r="D2857" s="117">
        <v>2606283</v>
      </c>
      <c r="E2857" s="135">
        <f t="shared" si="2067"/>
        <v>2</v>
      </c>
      <c r="F2857" s="124">
        <v>40962</v>
      </c>
      <c r="G2857" s="125">
        <v>41081</v>
      </c>
      <c r="H2857" s="117">
        <v>2606283</v>
      </c>
      <c r="I2857" s="124">
        <v>40962</v>
      </c>
      <c r="J2857" s="124">
        <v>40985</v>
      </c>
      <c r="K2857" s="126">
        <v>10000</v>
      </c>
      <c r="L2857" s="127" t="s">
        <v>570</v>
      </c>
      <c r="M2857" s="125">
        <v>40985</v>
      </c>
      <c r="N2857" s="129" t="str">
        <f>IF(M2857&gt;1/1/1,"Y","N")</f>
        <v>Y</v>
      </c>
      <c r="O2857" s="128" t="s">
        <v>76</v>
      </c>
      <c r="P2857" s="129" t="s">
        <v>589</v>
      </c>
      <c r="Q2857" s="111">
        <f t="shared" si="2087"/>
        <v>24</v>
      </c>
      <c r="R2857" s="111">
        <f t="shared" si="2051"/>
        <v>120</v>
      </c>
      <c r="S2857" s="129">
        <v>0</v>
      </c>
      <c r="T2857" s="129">
        <v>0</v>
      </c>
      <c r="W2857" s="111"/>
      <c r="AC2857" s="130"/>
      <c r="AD2857" s="130">
        <v>34557</v>
      </c>
      <c r="AE2857" s="128" t="s">
        <v>32</v>
      </c>
      <c r="AF2857" s="128" t="s">
        <v>33</v>
      </c>
      <c r="AG2857" s="128" t="s">
        <v>872</v>
      </c>
      <c r="AH2857" s="108" t="s">
        <v>31</v>
      </c>
      <c r="AI2857" s="128" t="s">
        <v>34</v>
      </c>
      <c r="AJ2857" s="129" t="s">
        <v>48</v>
      </c>
      <c r="AK2857" s="129">
        <v>6</v>
      </c>
      <c r="AL2857" s="3" t="s">
        <v>48</v>
      </c>
      <c r="AP2857" s="129" t="s">
        <v>108</v>
      </c>
      <c r="AR2857" s="128" t="s">
        <v>44</v>
      </c>
      <c r="AS2857" s="129" t="s">
        <v>61</v>
      </c>
      <c r="BC2857" s="129" t="s">
        <v>38</v>
      </c>
      <c r="BF2857" s="111">
        <f>IF(J2857&gt;1/1/1900,((J2857+1)-I2857),"STILL OPEN")</f>
        <v>24</v>
      </c>
      <c r="BG2857" s="111">
        <f>IF(G2857&gt;1/1/1900,((G2857+1)-I2857),"STILL OPEN")</f>
        <v>120</v>
      </c>
      <c r="BH2857" s="111">
        <f t="shared" si="2052"/>
        <v>120</v>
      </c>
      <c r="BI2857" s="111">
        <f t="shared" si="2055"/>
        <v>17.5</v>
      </c>
      <c r="BJ2857" s="129">
        <f>(G2857-J2857)+(M2857-G2857)</f>
        <v>0</v>
      </c>
      <c r="BK2857" s="129">
        <f t="shared" si="2053"/>
        <v>-96</v>
      </c>
      <c r="BL2857" s="129" t="str">
        <f t="shared" si="2050"/>
        <v>DEFERRED</v>
      </c>
      <c r="BM2857" s="129" t="s">
        <v>76</v>
      </c>
      <c r="BN2857" s="129" t="s">
        <v>88</v>
      </c>
      <c r="BP2857" s="137" t="str">
        <f t="shared" si="2059"/>
        <v>DEFERRED</v>
      </c>
      <c r="BQ2857" s="128" t="str">
        <f t="shared" si="2068"/>
        <v>Y</v>
      </c>
      <c r="BR2857" s="129" t="str">
        <f t="shared" si="2060"/>
        <v>ON BOND</v>
      </c>
      <c r="BS2857" s="129" t="str">
        <f t="shared" si="2061"/>
        <v>DISPOSED</v>
      </c>
      <c r="BT2857" s="129" t="str">
        <f t="shared" si="2062"/>
        <v>N</v>
      </c>
      <c r="BU2857" s="109">
        <f t="shared" si="2069"/>
        <v>0.2</v>
      </c>
      <c r="BV2857" s="109">
        <f t="shared" si="2070"/>
        <v>0.2</v>
      </c>
      <c r="BW2857" s="109">
        <f t="shared" si="2088"/>
        <v>0</v>
      </c>
      <c r="BX2857" s="111">
        <f t="shared" si="2063"/>
        <v>0</v>
      </c>
      <c r="BY2857" s="129">
        <f t="shared" si="2071"/>
        <v>-24</v>
      </c>
      <c r="BZ2857" s="111">
        <f t="shared" si="2072"/>
        <v>0</v>
      </c>
      <c r="CA2857" s="138">
        <f t="shared" si="2073"/>
        <v>24</v>
      </c>
      <c r="CB2857" s="111" t="e">
        <f>IF(AF2857&gt;1/1/1900,((AF2857+1)-AE2857),"STILL OPEN")</f>
        <v>#VALUE!</v>
      </c>
      <c r="CC2857" s="129">
        <f>M2857-I2857+1</f>
        <v>24</v>
      </c>
      <c r="CD2857" s="111">
        <f>CC2857-BF2857</f>
        <v>0</v>
      </c>
      <c r="CG2857" s="129" t="str">
        <f t="shared" si="2074"/>
        <v>N</v>
      </c>
      <c r="CI2857" s="129" t="str">
        <f t="shared" si="2075"/>
        <v>11-30 DAYS</v>
      </c>
      <c r="CJ2857" s="137">
        <f t="shared" si="2076"/>
        <v>2</v>
      </c>
      <c r="CK2857" s="129" t="str">
        <f t="shared" si="2077"/>
        <v>Booked</v>
      </c>
    </row>
    <row r="2858" spans="1:89" ht="15.75" customHeight="1" x14ac:dyDescent="0.25">
      <c r="A2858" s="111">
        <v>1472</v>
      </c>
      <c r="B2858" s="128" t="str">
        <f t="shared" si="2065"/>
        <v>N</v>
      </c>
      <c r="C2858" s="128" t="str">
        <f t="shared" si="2066"/>
        <v>N</v>
      </c>
      <c r="D2858" s="117">
        <v>2606288</v>
      </c>
      <c r="E2858" s="135">
        <f t="shared" si="2067"/>
        <v>2</v>
      </c>
      <c r="F2858" s="124">
        <v>40962</v>
      </c>
      <c r="G2858" s="125">
        <v>41102</v>
      </c>
      <c r="H2858" s="117">
        <v>2606288</v>
      </c>
      <c r="I2858" s="124" t="s">
        <v>562</v>
      </c>
      <c r="J2858" s="124" t="s">
        <v>562</v>
      </c>
      <c r="K2858" s="126">
        <v>2000</v>
      </c>
      <c r="L2858" s="127" t="s">
        <v>568</v>
      </c>
      <c r="M2858" s="125">
        <v>40963</v>
      </c>
      <c r="N2858" s="129" t="str">
        <f>IF(M2858&gt;1/1/1,"Y",IF(Q2858="0","","N"))</f>
        <v>Y</v>
      </c>
      <c r="O2858" s="128" t="s">
        <v>76</v>
      </c>
      <c r="P2858" s="129" t="s">
        <v>589</v>
      </c>
      <c r="Q2858" s="111">
        <f t="shared" si="2087"/>
        <v>0</v>
      </c>
      <c r="R2858" s="111">
        <f t="shared" si="2051"/>
        <v>141</v>
      </c>
      <c r="S2858" s="129">
        <v>0</v>
      </c>
      <c r="T2858" s="129">
        <v>0</v>
      </c>
      <c r="W2858" s="111"/>
      <c r="AC2858" s="130"/>
      <c r="AD2858" s="130">
        <v>34065</v>
      </c>
      <c r="AE2858" s="128" t="s">
        <v>32</v>
      </c>
      <c r="AF2858" s="128" t="s">
        <v>69</v>
      </c>
      <c r="AG2858" s="128" t="s">
        <v>874</v>
      </c>
      <c r="AH2858" s="108" t="s">
        <v>31</v>
      </c>
      <c r="AI2858" s="128" t="s">
        <v>83</v>
      </c>
      <c r="AJ2858" s="129" t="s">
        <v>48</v>
      </c>
      <c r="AK2858" s="129">
        <v>6</v>
      </c>
      <c r="AL2858" s="3" t="s">
        <v>48</v>
      </c>
      <c r="AP2858" s="129" t="s">
        <v>103</v>
      </c>
      <c r="AR2858" s="128" t="s">
        <v>44</v>
      </c>
      <c r="AS2858" s="129" t="s">
        <v>45</v>
      </c>
      <c r="BC2858" s="129" t="s">
        <v>52</v>
      </c>
      <c r="BF2858" s="111">
        <v>0</v>
      </c>
      <c r="BG2858" s="111">
        <v>0</v>
      </c>
      <c r="BH2858" s="111">
        <f t="shared" si="2052"/>
        <v>141</v>
      </c>
      <c r="BI2858" s="111">
        <f t="shared" si="2055"/>
        <v>18.844262295081968</v>
      </c>
      <c r="BJ2858" s="129" t="e">
        <f>(G2858-J2858)+(M2858-G2858)</f>
        <v>#VALUE!</v>
      </c>
      <c r="BK2858" s="129" t="e">
        <f t="shared" si="2053"/>
        <v>#VALUE!</v>
      </c>
      <c r="BL2858" s="129" t="str">
        <f t="shared" si="2050"/>
        <v>DEFERRED</v>
      </c>
      <c r="BM2858" s="129" t="s">
        <v>76</v>
      </c>
      <c r="BN2858" s="129" t="s">
        <v>88</v>
      </c>
      <c r="BP2858" s="137" t="str">
        <f t="shared" si="2059"/>
        <v>DEFERRED</v>
      </c>
      <c r="BQ2858" s="128">
        <f t="shared" si="2068"/>
        <v>0</v>
      </c>
      <c r="BR2858" s="129" t="s">
        <v>575</v>
      </c>
      <c r="BS2858" s="129" t="str">
        <f t="shared" si="2061"/>
        <v>DISPOSED</v>
      </c>
      <c r="BT2858" s="129" t="str">
        <f t="shared" si="2062"/>
        <v>N</v>
      </c>
      <c r="BU2858" s="109">
        <f t="shared" si="2069"/>
        <v>0</v>
      </c>
      <c r="BV2858" s="109">
        <v>0</v>
      </c>
      <c r="BW2858" s="109">
        <f t="shared" si="2088"/>
        <v>0</v>
      </c>
      <c r="BX2858" s="111">
        <f t="shared" si="2063"/>
        <v>0</v>
      </c>
      <c r="BY2858" s="129" t="e">
        <f t="shared" si="2071"/>
        <v>#VALUE!</v>
      </c>
      <c r="BZ2858" s="111" t="e">
        <f t="shared" si="2072"/>
        <v>#VALUE!</v>
      </c>
      <c r="CA2858" s="138" t="e">
        <f t="shared" si="2073"/>
        <v>#VALUE!</v>
      </c>
      <c r="CB2858" s="111">
        <v>0</v>
      </c>
      <c r="CC2858" s="129">
        <v>0</v>
      </c>
      <c r="CD2858" s="111">
        <f>CC2858-BF2858</f>
        <v>0</v>
      </c>
      <c r="CG2858" s="129" t="str">
        <f t="shared" si="2074"/>
        <v>N</v>
      </c>
      <c r="CI2858" s="129" t="str">
        <f t="shared" si="2075"/>
        <v>0-10 DAYS</v>
      </c>
      <c r="CJ2858" s="137">
        <f t="shared" si="2076"/>
        <v>1</v>
      </c>
      <c r="CK2858" s="129" t="str">
        <f t="shared" si="2077"/>
        <v>Not Booked</v>
      </c>
    </row>
    <row r="2859" spans="1:89" ht="15.75" customHeight="1" x14ac:dyDescent="0.25">
      <c r="A2859" s="111">
        <v>1481</v>
      </c>
      <c r="B2859" s="128" t="str">
        <f t="shared" si="2065"/>
        <v>Y</v>
      </c>
      <c r="C2859" s="128" t="str">
        <f t="shared" si="2066"/>
        <v>Y</v>
      </c>
      <c r="D2859" s="117">
        <v>2606324</v>
      </c>
      <c r="E2859" s="135">
        <f t="shared" si="2067"/>
        <v>1</v>
      </c>
      <c r="F2859" s="124">
        <v>40963</v>
      </c>
      <c r="G2859" s="125">
        <v>41365</v>
      </c>
      <c r="H2859" s="117">
        <v>2606324</v>
      </c>
      <c r="I2859" s="124">
        <v>40964</v>
      </c>
      <c r="J2859" s="124">
        <v>40978</v>
      </c>
      <c r="K2859" s="126">
        <v>20000</v>
      </c>
      <c r="L2859" s="127" t="s">
        <v>571</v>
      </c>
      <c r="M2859" s="125">
        <v>40978</v>
      </c>
      <c r="N2859" s="129" t="str">
        <f t="shared" ref="N2859:N2866" si="2089">IF(M2859&gt;1/1/1,"Y","N")</f>
        <v>Y</v>
      </c>
      <c r="O2859" s="128" t="s">
        <v>76</v>
      </c>
      <c r="P2859" s="129" t="s">
        <v>55</v>
      </c>
      <c r="Q2859" s="111">
        <v>132</v>
      </c>
      <c r="R2859" s="111">
        <f t="shared" si="2051"/>
        <v>403</v>
      </c>
      <c r="S2859" s="129">
        <v>0</v>
      </c>
      <c r="T2859" s="129">
        <v>0</v>
      </c>
      <c r="W2859" s="111"/>
      <c r="AC2859" s="130"/>
      <c r="AD2859" s="130">
        <v>32752</v>
      </c>
      <c r="AE2859" s="128" t="s">
        <v>32</v>
      </c>
      <c r="AF2859" s="128" t="s">
        <v>33</v>
      </c>
      <c r="AG2859" s="128" t="s">
        <v>872</v>
      </c>
      <c r="AH2859" s="108" t="s">
        <v>31</v>
      </c>
      <c r="AI2859" s="128" t="s">
        <v>97</v>
      </c>
      <c r="AJ2859" s="129" t="s">
        <v>55</v>
      </c>
      <c r="AK2859" s="129">
        <v>14</v>
      </c>
      <c r="AL2859" s="3" t="s">
        <v>55</v>
      </c>
      <c r="AP2859" s="129" t="s">
        <v>252</v>
      </c>
      <c r="AR2859" s="128" t="s">
        <v>92</v>
      </c>
      <c r="AS2859" s="129" t="s">
        <v>74</v>
      </c>
      <c r="AT2859" s="129" t="s">
        <v>953</v>
      </c>
      <c r="AU2859" s="3" t="s">
        <v>952</v>
      </c>
      <c r="AX2859" s="32" t="s">
        <v>51</v>
      </c>
      <c r="AY2859" s="123"/>
      <c r="BC2859" s="129" t="s">
        <v>99</v>
      </c>
      <c r="BD2859" s="32" t="s">
        <v>954</v>
      </c>
      <c r="BF2859" s="111">
        <v>132</v>
      </c>
      <c r="BG2859" s="111">
        <f t="shared" ref="BG2859:BG2866" si="2090">IF(G2859&gt;1/1/1900,((G2859+1)-I2859),"STILL OPEN")</f>
        <v>402</v>
      </c>
      <c r="BH2859" s="111">
        <f t="shared" si="2052"/>
        <v>403</v>
      </c>
      <c r="BI2859" s="111">
        <f t="shared" si="2055"/>
        <v>22.434426229508198</v>
      </c>
      <c r="BJ2859" s="129">
        <f>(G2859-J2859)+(M2859-G2859)</f>
        <v>0</v>
      </c>
      <c r="BK2859" s="129">
        <f t="shared" si="2053"/>
        <v>-387</v>
      </c>
      <c r="BL2859" s="129" t="str">
        <f t="shared" si="2050"/>
        <v>NO CONVICTION</v>
      </c>
      <c r="BM2859" s="129" t="s">
        <v>76</v>
      </c>
      <c r="BN2859" s="129" t="s">
        <v>88</v>
      </c>
      <c r="BP2859" s="137" t="str">
        <f t="shared" si="2059"/>
        <v>NO CONVICTION</v>
      </c>
      <c r="BQ2859" s="128" t="str">
        <f t="shared" si="2068"/>
        <v>Y</v>
      </c>
      <c r="BR2859" s="129" t="s">
        <v>574</v>
      </c>
      <c r="BS2859" s="129" t="str">
        <f t="shared" si="2061"/>
        <v>DISPOSED</v>
      </c>
      <c r="BT2859" s="129" t="str">
        <f t="shared" si="2062"/>
        <v>N</v>
      </c>
      <c r="BU2859" s="109">
        <f>IFERROR(Q2859/R2859,BR2859)</f>
        <v>0.32754342431761785</v>
      </c>
      <c r="BV2859" s="109">
        <f t="shared" si="2070"/>
        <v>3.7313432835820892E-2</v>
      </c>
      <c r="BW2859" s="109">
        <f t="shared" si="2088"/>
        <v>-0.29022999148179696</v>
      </c>
      <c r="BX2859" s="111">
        <f t="shared" si="2063"/>
        <v>0</v>
      </c>
      <c r="BY2859" s="129">
        <f t="shared" si="2071"/>
        <v>-15</v>
      </c>
      <c r="BZ2859" s="111">
        <f t="shared" si="2072"/>
        <v>117</v>
      </c>
      <c r="CA2859" s="138">
        <f t="shared" si="2073"/>
        <v>402</v>
      </c>
      <c r="CB2859" s="111">
        <v>132</v>
      </c>
      <c r="CC2859" s="129">
        <f>G2859-I2859+1</f>
        <v>402</v>
      </c>
      <c r="CD2859" s="129">
        <f>G2859-J2859</f>
        <v>387</v>
      </c>
      <c r="CG2859" s="129" t="str">
        <f t="shared" si="2074"/>
        <v>N</v>
      </c>
      <c r="CI2859" s="129" t="str">
        <f t="shared" si="2075"/>
        <v>121-365 DAYS</v>
      </c>
      <c r="CJ2859" s="137">
        <f t="shared" si="2076"/>
        <v>6</v>
      </c>
      <c r="CK2859" s="129" t="str">
        <f t="shared" si="2077"/>
        <v>Booked</v>
      </c>
    </row>
    <row r="2860" spans="1:89" ht="15.75" customHeight="1" x14ac:dyDescent="0.25">
      <c r="A2860" s="111">
        <v>1484</v>
      </c>
      <c r="B2860" s="128" t="str">
        <f t="shared" si="2065"/>
        <v>N</v>
      </c>
      <c r="C2860" s="128" t="str">
        <f t="shared" si="2066"/>
        <v>N</v>
      </c>
      <c r="D2860" s="117">
        <v>2606336</v>
      </c>
      <c r="E2860" s="135">
        <f t="shared" si="2067"/>
        <v>1</v>
      </c>
      <c r="F2860" s="124">
        <v>40963</v>
      </c>
      <c r="G2860" s="125">
        <v>40980</v>
      </c>
      <c r="H2860" s="117">
        <v>2606336</v>
      </c>
      <c r="I2860" s="124">
        <v>40963</v>
      </c>
      <c r="J2860" s="124">
        <v>40980</v>
      </c>
      <c r="K2860" s="126">
        <v>30000</v>
      </c>
      <c r="L2860" s="129" t="s">
        <v>572</v>
      </c>
      <c r="N2860" s="129" t="str">
        <f t="shared" si="2089"/>
        <v>N</v>
      </c>
      <c r="O2860" s="128" t="s">
        <v>917</v>
      </c>
      <c r="P2860" s="116" t="s">
        <v>55</v>
      </c>
      <c r="Q2860" s="111">
        <f t="shared" ref="Q2860:Q2891" si="2091">BF2860</f>
        <v>18</v>
      </c>
      <c r="R2860" s="111">
        <f t="shared" si="2051"/>
        <v>18</v>
      </c>
      <c r="S2860" s="129">
        <v>0</v>
      </c>
      <c r="T2860" s="129">
        <v>0</v>
      </c>
      <c r="W2860" s="111"/>
      <c r="AC2860" s="130"/>
      <c r="AD2860" s="130">
        <v>22626</v>
      </c>
      <c r="AE2860" s="128" t="s">
        <v>32</v>
      </c>
      <c r="AF2860" s="128" t="s">
        <v>69</v>
      </c>
      <c r="AG2860" s="128" t="s">
        <v>874</v>
      </c>
      <c r="AH2860" s="108" t="s">
        <v>31</v>
      </c>
      <c r="AI2860" s="128" t="s">
        <v>141</v>
      </c>
      <c r="AJ2860" s="129" t="s">
        <v>55</v>
      </c>
      <c r="AK2860" s="129">
        <v>2</v>
      </c>
      <c r="AL2860" s="3" t="s">
        <v>55</v>
      </c>
      <c r="AP2860" s="129" t="s">
        <v>73</v>
      </c>
      <c r="AR2860" s="128" t="s">
        <v>50</v>
      </c>
      <c r="AS2860" s="129" t="s">
        <v>74</v>
      </c>
      <c r="BC2860" s="129" t="s">
        <v>38</v>
      </c>
      <c r="BF2860" s="111">
        <f t="shared" ref="BF2860:BF2866" si="2092">IF(J2860&gt;1/1/1900,((J2860+1)-I2860),"STILL OPEN")</f>
        <v>18</v>
      </c>
      <c r="BG2860" s="111">
        <f t="shared" si="2090"/>
        <v>18</v>
      </c>
      <c r="BH2860" s="111">
        <f t="shared" si="2052"/>
        <v>18</v>
      </c>
      <c r="BI2860" s="111">
        <f t="shared" si="2055"/>
        <v>50.101092896174862</v>
      </c>
      <c r="BJ2860" s="129">
        <f>G2860-J2860-M2860</f>
        <v>0</v>
      </c>
      <c r="BK2860" s="129">
        <f t="shared" si="2053"/>
        <v>0</v>
      </c>
      <c r="BL2860" s="129" t="str">
        <f t="shared" si="2050"/>
        <v>NO CONVICTION</v>
      </c>
      <c r="BM2860" s="129" t="str">
        <f>O2860</f>
        <v>NONE</v>
      </c>
      <c r="BN2860" s="129" t="s">
        <v>566</v>
      </c>
      <c r="BP2860" s="137" t="str">
        <f t="shared" si="2059"/>
        <v>NO CONVICTION</v>
      </c>
      <c r="BQ2860" s="128" t="str">
        <f t="shared" si="2068"/>
        <v>Y</v>
      </c>
      <c r="BR2860" s="129" t="str">
        <f t="shared" si="2060"/>
        <v>DETAINED</v>
      </c>
      <c r="BS2860" s="129" t="str">
        <f t="shared" si="2061"/>
        <v>DISPOSED</v>
      </c>
      <c r="BT2860" s="129" t="str">
        <f t="shared" si="2062"/>
        <v>N</v>
      </c>
      <c r="BU2860" s="109">
        <f>IFERROR(Q2860/R2860,BR2860)</f>
        <v>1</v>
      </c>
      <c r="BV2860" s="109">
        <f t="shared" si="2070"/>
        <v>1</v>
      </c>
      <c r="BW2860" s="109">
        <f t="shared" si="2088"/>
        <v>0</v>
      </c>
      <c r="BX2860" s="111">
        <f t="shared" si="2063"/>
        <v>0</v>
      </c>
      <c r="BY2860" s="129">
        <f t="shared" si="2071"/>
        <v>-18</v>
      </c>
      <c r="BZ2860" s="111">
        <f t="shared" si="2072"/>
        <v>0</v>
      </c>
      <c r="CA2860" s="138">
        <f t="shared" si="2073"/>
        <v>18</v>
      </c>
      <c r="CB2860" s="111" t="e">
        <f t="shared" ref="CB2860:CB2866" si="2093">IF(AF2860&gt;1/1/1900,((AF2860+1)-AE2860),"STILL OPEN")</f>
        <v>#VALUE!</v>
      </c>
      <c r="CC2860" s="129">
        <f>G2860-I2860+1</f>
        <v>18</v>
      </c>
      <c r="CD2860" s="129">
        <f>G2860-J2860</f>
        <v>0</v>
      </c>
      <c r="CG2860" s="129" t="str">
        <f t="shared" si="2074"/>
        <v>N</v>
      </c>
      <c r="CI2860" s="129" t="str">
        <f t="shared" si="2075"/>
        <v>11-30 DAYS</v>
      </c>
      <c r="CJ2860" s="137">
        <f t="shared" si="2076"/>
        <v>2</v>
      </c>
      <c r="CK2860" s="129" t="str">
        <f t="shared" si="2077"/>
        <v>Booked</v>
      </c>
    </row>
    <row r="2861" spans="1:89" ht="15.75" customHeight="1" x14ac:dyDescent="0.25">
      <c r="A2861" s="111">
        <v>1486</v>
      </c>
      <c r="B2861" s="128" t="str">
        <f t="shared" si="2065"/>
        <v>N</v>
      </c>
      <c r="C2861" s="128" t="str">
        <f t="shared" si="2066"/>
        <v>N</v>
      </c>
      <c r="D2861" s="117">
        <v>2606343</v>
      </c>
      <c r="E2861" s="135">
        <f t="shared" si="2067"/>
        <v>1</v>
      </c>
      <c r="F2861" s="124">
        <v>40963</v>
      </c>
      <c r="G2861" s="125">
        <v>41141</v>
      </c>
      <c r="H2861" s="117">
        <v>2606343</v>
      </c>
      <c r="I2861" s="124">
        <v>40973</v>
      </c>
      <c r="J2861" s="124">
        <v>40975</v>
      </c>
      <c r="K2861" s="126">
        <v>30000</v>
      </c>
      <c r="L2861" s="129" t="s">
        <v>572</v>
      </c>
      <c r="M2861" s="125">
        <v>40975</v>
      </c>
      <c r="N2861" s="129" t="str">
        <f t="shared" si="2089"/>
        <v>Y</v>
      </c>
      <c r="O2861" s="128" t="s">
        <v>585</v>
      </c>
      <c r="P2861" s="129" t="s">
        <v>123</v>
      </c>
      <c r="Q2861" s="111">
        <f t="shared" si="2091"/>
        <v>3</v>
      </c>
      <c r="R2861" s="111">
        <f t="shared" si="2051"/>
        <v>179</v>
      </c>
      <c r="S2861" s="129">
        <v>0</v>
      </c>
      <c r="T2861" s="129">
        <v>0</v>
      </c>
      <c r="W2861" s="111"/>
      <c r="AC2861" s="130"/>
      <c r="AD2861" s="130">
        <v>21930</v>
      </c>
      <c r="AE2861" s="128" t="s">
        <v>32</v>
      </c>
      <c r="AF2861" s="128" t="s">
        <v>69</v>
      </c>
      <c r="AG2861" s="128" t="s">
        <v>874</v>
      </c>
      <c r="AH2861" s="108" t="s">
        <v>31</v>
      </c>
      <c r="AI2861" s="128" t="s">
        <v>87</v>
      </c>
      <c r="AJ2861" s="129" t="s">
        <v>123</v>
      </c>
      <c r="AK2861" s="129">
        <v>8</v>
      </c>
      <c r="AL2861" s="3" t="s">
        <v>123</v>
      </c>
      <c r="AP2861" s="129" t="s">
        <v>110</v>
      </c>
      <c r="AR2861" s="128" t="s">
        <v>50</v>
      </c>
      <c r="AS2861" s="129" t="s">
        <v>74</v>
      </c>
      <c r="BC2861" s="129" t="s">
        <v>52</v>
      </c>
      <c r="BF2861" s="111">
        <f t="shared" si="2092"/>
        <v>3</v>
      </c>
      <c r="BG2861" s="111">
        <f t="shared" si="2090"/>
        <v>169</v>
      </c>
      <c r="BH2861" s="111">
        <f t="shared" si="2052"/>
        <v>179</v>
      </c>
      <c r="BI2861" s="111">
        <f t="shared" si="2055"/>
        <v>52.002732240437162</v>
      </c>
      <c r="BJ2861" s="129">
        <f>(G2861-J2861)+(M2861-G2861)</f>
        <v>0</v>
      </c>
      <c r="BK2861" s="129">
        <f t="shared" si="2053"/>
        <v>-166</v>
      </c>
      <c r="BL2861" s="129" t="str">
        <f t="shared" si="2050"/>
        <v>NO CONVICTION</v>
      </c>
      <c r="BM2861" s="129" t="s">
        <v>76</v>
      </c>
      <c r="BN2861" s="129" t="s">
        <v>88</v>
      </c>
      <c r="BP2861" s="137" t="str">
        <f t="shared" si="2059"/>
        <v>NO CONVICTION</v>
      </c>
      <c r="BQ2861" s="128" t="str">
        <f t="shared" si="2068"/>
        <v>Y</v>
      </c>
      <c r="BR2861" s="129" t="str">
        <f t="shared" si="2060"/>
        <v>ON BOND</v>
      </c>
      <c r="BS2861" s="129" t="str">
        <f t="shared" si="2061"/>
        <v>DISPOSED</v>
      </c>
      <c r="BT2861" s="129" t="str">
        <f t="shared" si="2062"/>
        <v>N</v>
      </c>
      <c r="BU2861" s="109">
        <f>IFERROR(Q2861/R2861,BR2861)</f>
        <v>1.6759776536312849E-2</v>
      </c>
      <c r="BV2861" s="109">
        <f t="shared" si="2070"/>
        <v>1.7751479289940829E-2</v>
      </c>
      <c r="BW2861" s="109">
        <f t="shared" si="2088"/>
        <v>9.9170275362798002E-4</v>
      </c>
      <c r="BX2861" s="111">
        <f t="shared" si="2063"/>
        <v>0</v>
      </c>
      <c r="BY2861" s="129">
        <f t="shared" si="2071"/>
        <v>-3</v>
      </c>
      <c r="BZ2861" s="111">
        <f t="shared" si="2072"/>
        <v>0</v>
      </c>
      <c r="CA2861" s="138">
        <f t="shared" si="2073"/>
        <v>3</v>
      </c>
      <c r="CB2861" s="111" t="e">
        <f t="shared" si="2093"/>
        <v>#VALUE!</v>
      </c>
      <c r="CC2861" s="129">
        <f>M2861-I2861+1</f>
        <v>3</v>
      </c>
      <c r="CD2861" s="111">
        <f>CC2861-BF2861</f>
        <v>0</v>
      </c>
      <c r="CG2861" s="129" t="str">
        <f t="shared" si="2074"/>
        <v>N</v>
      </c>
      <c r="CI2861" s="129" t="str">
        <f t="shared" si="2075"/>
        <v>0-10 DAYS</v>
      </c>
      <c r="CJ2861" s="137">
        <f t="shared" si="2076"/>
        <v>1</v>
      </c>
      <c r="CK2861" s="129" t="str">
        <f t="shared" si="2077"/>
        <v>Booked</v>
      </c>
    </row>
    <row r="2862" spans="1:89" ht="15.75" customHeight="1" x14ac:dyDescent="0.25">
      <c r="A2862" s="111">
        <v>1493</v>
      </c>
      <c r="B2862" s="128" t="str">
        <f t="shared" si="2065"/>
        <v>N</v>
      </c>
      <c r="C2862" s="128" t="str">
        <f t="shared" si="2066"/>
        <v>N</v>
      </c>
      <c r="D2862" s="117">
        <v>2606417</v>
      </c>
      <c r="E2862" s="135">
        <f t="shared" si="2067"/>
        <v>1</v>
      </c>
      <c r="F2862" s="124">
        <v>40963</v>
      </c>
      <c r="G2862" s="125">
        <v>41016</v>
      </c>
      <c r="H2862" s="117">
        <v>2606417</v>
      </c>
      <c r="I2862" s="124">
        <v>40964</v>
      </c>
      <c r="J2862" s="124">
        <v>41016</v>
      </c>
      <c r="K2862" s="126">
        <v>2000</v>
      </c>
      <c r="L2862" s="127" t="s">
        <v>568</v>
      </c>
      <c r="N2862" s="129" t="str">
        <f t="shared" si="2089"/>
        <v>N</v>
      </c>
      <c r="O2862" s="128" t="s">
        <v>917</v>
      </c>
      <c r="P2862" s="129" t="s">
        <v>55</v>
      </c>
      <c r="Q2862" s="111">
        <f t="shared" si="2091"/>
        <v>53</v>
      </c>
      <c r="R2862" s="111">
        <f t="shared" si="2051"/>
        <v>54</v>
      </c>
      <c r="S2862" s="129">
        <v>0</v>
      </c>
      <c r="T2862" s="129">
        <v>0</v>
      </c>
      <c r="W2862" s="111"/>
      <c r="AC2862" s="130"/>
      <c r="AD2862" s="130">
        <v>30324</v>
      </c>
      <c r="AE2862" s="128" t="s">
        <v>32</v>
      </c>
      <c r="AF2862" s="128" t="s">
        <v>33</v>
      </c>
      <c r="AG2862" s="128" t="s">
        <v>872</v>
      </c>
      <c r="AH2862" s="108" t="s">
        <v>31</v>
      </c>
      <c r="AI2862" s="128" t="s">
        <v>42</v>
      </c>
      <c r="AJ2862" s="129" t="s">
        <v>55</v>
      </c>
      <c r="AK2862" s="129">
        <v>3</v>
      </c>
      <c r="AL2862" s="3" t="s">
        <v>55</v>
      </c>
      <c r="AP2862" s="129" t="s">
        <v>43</v>
      </c>
      <c r="AR2862" s="128" t="s">
        <v>44</v>
      </c>
      <c r="AS2862" s="129" t="s">
        <v>45</v>
      </c>
      <c r="BC2862" s="129" t="s">
        <v>38</v>
      </c>
      <c r="BF2862" s="111">
        <f t="shared" si="2092"/>
        <v>53</v>
      </c>
      <c r="BG2862" s="111">
        <f t="shared" si="2090"/>
        <v>53</v>
      </c>
      <c r="BH2862" s="111">
        <f t="shared" si="2052"/>
        <v>54</v>
      </c>
      <c r="BI2862" s="111">
        <f t="shared" si="2055"/>
        <v>29.068306010928961</v>
      </c>
      <c r="BJ2862" s="129">
        <f>G2862-J2862-M2862</f>
        <v>0</v>
      </c>
      <c r="BK2862" s="129">
        <f t="shared" si="2053"/>
        <v>0</v>
      </c>
      <c r="BL2862" s="129" t="str">
        <f t="shared" si="2050"/>
        <v>NO CONVICTION</v>
      </c>
      <c r="BM2862" s="129" t="str">
        <f>O2862</f>
        <v>NONE</v>
      </c>
      <c r="BN2862" s="129" t="s">
        <v>566</v>
      </c>
      <c r="BP2862" s="137" t="str">
        <f t="shared" si="2059"/>
        <v>NO CONVICTION</v>
      </c>
      <c r="BQ2862" s="128" t="str">
        <f t="shared" si="2068"/>
        <v>Y</v>
      </c>
      <c r="BR2862" s="129" t="str">
        <f t="shared" si="2060"/>
        <v>DETAINED</v>
      </c>
      <c r="BS2862" s="129" t="str">
        <f t="shared" si="2061"/>
        <v>DISPOSED</v>
      </c>
      <c r="BT2862" s="129" t="str">
        <f t="shared" si="2062"/>
        <v>N</v>
      </c>
      <c r="BU2862" s="109">
        <f>IFERROR(Q2862/R2862,BR2862)</f>
        <v>0.98148148148148151</v>
      </c>
      <c r="BV2862" s="109">
        <f t="shared" si="2070"/>
        <v>1</v>
      </c>
      <c r="BW2862" s="109">
        <f t="shared" si="2088"/>
        <v>1.851851851851849E-2</v>
      </c>
      <c r="BX2862" s="111">
        <f t="shared" si="2063"/>
        <v>0</v>
      </c>
      <c r="BY2862" s="129">
        <f t="shared" si="2071"/>
        <v>-53</v>
      </c>
      <c r="BZ2862" s="111">
        <f t="shared" si="2072"/>
        <v>0</v>
      </c>
      <c r="CA2862" s="138">
        <f t="shared" si="2073"/>
        <v>53</v>
      </c>
      <c r="CB2862" s="111" t="e">
        <f t="shared" si="2093"/>
        <v>#VALUE!</v>
      </c>
      <c r="CC2862" s="129">
        <f>G2862-I2862+1</f>
        <v>53</v>
      </c>
      <c r="CD2862" s="129">
        <f>G2862-J2862</f>
        <v>0</v>
      </c>
      <c r="CG2862" s="129" t="str">
        <f t="shared" si="2074"/>
        <v>N</v>
      </c>
      <c r="CI2862" s="129" t="str">
        <f t="shared" si="2075"/>
        <v>31-60 DAYS</v>
      </c>
      <c r="CJ2862" s="137">
        <f t="shared" si="2076"/>
        <v>3</v>
      </c>
      <c r="CK2862" s="129" t="str">
        <f t="shared" si="2077"/>
        <v>Booked</v>
      </c>
    </row>
    <row r="2863" spans="1:89" ht="15.75" customHeight="1" x14ac:dyDescent="0.25">
      <c r="A2863" s="111">
        <v>1500</v>
      </c>
      <c r="B2863" s="128" t="str">
        <f t="shared" si="2065"/>
        <v>N</v>
      </c>
      <c r="C2863" s="128" t="str">
        <f t="shared" si="2066"/>
        <v>N</v>
      </c>
      <c r="D2863" s="117">
        <v>2606487</v>
      </c>
      <c r="E2863" s="135">
        <f t="shared" si="2067"/>
        <v>2</v>
      </c>
      <c r="F2863" s="124">
        <v>40964</v>
      </c>
      <c r="G2863" s="125">
        <v>40966</v>
      </c>
      <c r="H2863" s="117">
        <v>2606487</v>
      </c>
      <c r="I2863" s="124">
        <v>40964</v>
      </c>
      <c r="J2863" s="124">
        <v>40966</v>
      </c>
      <c r="K2863" s="126">
        <v>5000</v>
      </c>
      <c r="L2863" s="127" t="s">
        <v>569</v>
      </c>
      <c r="N2863" s="129" t="str">
        <f t="shared" si="2089"/>
        <v>N</v>
      </c>
      <c r="O2863" s="128" t="s">
        <v>917</v>
      </c>
      <c r="P2863" s="129" t="s">
        <v>589</v>
      </c>
      <c r="Q2863" s="111">
        <f t="shared" si="2091"/>
        <v>3</v>
      </c>
      <c r="R2863" s="111">
        <f t="shared" si="2051"/>
        <v>3</v>
      </c>
      <c r="S2863" s="129">
        <v>0</v>
      </c>
      <c r="T2863" s="129">
        <v>0</v>
      </c>
      <c r="W2863" s="111"/>
      <c r="AC2863" s="130"/>
      <c r="AD2863" s="130">
        <v>25447</v>
      </c>
      <c r="AE2863" s="128" t="s">
        <v>32</v>
      </c>
      <c r="AF2863" s="128" t="s">
        <v>69</v>
      </c>
      <c r="AG2863" s="128" t="s">
        <v>874</v>
      </c>
      <c r="AH2863" s="108" t="s">
        <v>31</v>
      </c>
      <c r="AI2863" s="128" t="s">
        <v>97</v>
      </c>
      <c r="AJ2863" s="129" t="s">
        <v>48</v>
      </c>
      <c r="AK2863" s="129">
        <v>1</v>
      </c>
      <c r="AL2863" s="3" t="s">
        <v>48</v>
      </c>
      <c r="AP2863" s="129" t="s">
        <v>93</v>
      </c>
      <c r="AR2863" s="128" t="s">
        <v>67</v>
      </c>
      <c r="AS2863" s="129" t="s">
        <v>45</v>
      </c>
      <c r="BC2863" s="129" t="s">
        <v>99</v>
      </c>
      <c r="BF2863" s="111">
        <f t="shared" si="2092"/>
        <v>3</v>
      </c>
      <c r="BG2863" s="111">
        <f t="shared" si="2090"/>
        <v>3</v>
      </c>
      <c r="BH2863" s="111">
        <f t="shared" si="2052"/>
        <v>3</v>
      </c>
      <c r="BI2863" s="111">
        <f t="shared" si="2055"/>
        <v>42.396174863387976</v>
      </c>
      <c r="BJ2863" s="129">
        <f>G2863-J2863-M2863</f>
        <v>0</v>
      </c>
      <c r="BK2863" s="129">
        <f t="shared" si="2053"/>
        <v>0</v>
      </c>
      <c r="BL2863" s="129" t="str">
        <f t="shared" si="2050"/>
        <v>DEFERRED</v>
      </c>
      <c r="BM2863" s="129" t="str">
        <f>O2863</f>
        <v>NONE</v>
      </c>
      <c r="BN2863" s="129" t="s">
        <v>566</v>
      </c>
      <c r="BP2863" s="137" t="str">
        <f t="shared" si="2059"/>
        <v>DEFERRED</v>
      </c>
      <c r="BQ2863" s="128" t="str">
        <f t="shared" si="2068"/>
        <v>Y</v>
      </c>
      <c r="BR2863" s="129" t="str">
        <f t="shared" si="2060"/>
        <v>DETAINED</v>
      </c>
      <c r="BS2863" s="129" t="str">
        <f t="shared" si="2061"/>
        <v>DISPOSED</v>
      </c>
      <c r="BT2863" s="129" t="str">
        <f t="shared" si="2062"/>
        <v>N</v>
      </c>
      <c r="BU2863" s="109">
        <f t="shared" si="2069"/>
        <v>1</v>
      </c>
      <c r="BV2863" s="109">
        <f t="shared" si="2070"/>
        <v>1</v>
      </c>
      <c r="BW2863" s="109">
        <f t="shared" si="2088"/>
        <v>0</v>
      </c>
      <c r="BX2863" s="111">
        <f t="shared" si="2063"/>
        <v>0</v>
      </c>
      <c r="BY2863" s="129">
        <f t="shared" si="2071"/>
        <v>-3</v>
      </c>
      <c r="BZ2863" s="111">
        <f t="shared" si="2072"/>
        <v>0</v>
      </c>
      <c r="CA2863" s="138">
        <f t="shared" si="2073"/>
        <v>3</v>
      </c>
      <c r="CB2863" s="111" t="e">
        <f t="shared" si="2093"/>
        <v>#VALUE!</v>
      </c>
      <c r="CC2863" s="129">
        <f>G2863-I2863+1</f>
        <v>3</v>
      </c>
      <c r="CD2863" s="129">
        <f>G2863-J2863</f>
        <v>0</v>
      </c>
      <c r="CG2863" s="129" t="str">
        <f t="shared" si="2074"/>
        <v>N</v>
      </c>
      <c r="CI2863" s="129" t="str">
        <f t="shared" si="2075"/>
        <v>0-10 DAYS</v>
      </c>
      <c r="CJ2863" s="137">
        <f t="shared" si="2076"/>
        <v>1</v>
      </c>
      <c r="CK2863" s="129" t="str">
        <f t="shared" si="2077"/>
        <v>Booked</v>
      </c>
    </row>
    <row r="2864" spans="1:89" ht="15" customHeight="1" x14ac:dyDescent="0.25">
      <c r="A2864" s="111">
        <v>1502</v>
      </c>
      <c r="B2864" s="128" t="str">
        <f t="shared" si="2065"/>
        <v>N</v>
      </c>
      <c r="C2864" s="128" t="str">
        <f t="shared" si="2066"/>
        <v>N</v>
      </c>
      <c r="D2864" s="117">
        <v>2606488</v>
      </c>
      <c r="E2864" s="135">
        <f t="shared" si="2067"/>
        <v>4</v>
      </c>
      <c r="F2864" s="124">
        <v>40964</v>
      </c>
      <c r="G2864" s="125">
        <v>40976</v>
      </c>
      <c r="H2864" s="117">
        <v>2606488</v>
      </c>
      <c r="I2864" s="124">
        <v>40965</v>
      </c>
      <c r="J2864" s="124">
        <v>40976</v>
      </c>
      <c r="K2864" s="126">
        <v>52000</v>
      </c>
      <c r="L2864" s="129" t="s">
        <v>572</v>
      </c>
      <c r="N2864" s="129" t="str">
        <f t="shared" si="2089"/>
        <v>N</v>
      </c>
      <c r="O2864" s="128" t="s">
        <v>917</v>
      </c>
      <c r="P2864" s="129" t="s">
        <v>39</v>
      </c>
      <c r="Q2864" s="111">
        <f t="shared" si="2091"/>
        <v>12</v>
      </c>
      <c r="R2864" s="111">
        <f t="shared" si="2051"/>
        <v>13</v>
      </c>
      <c r="S2864" s="129">
        <v>0</v>
      </c>
      <c r="T2864" s="129">
        <v>0</v>
      </c>
      <c r="W2864" s="111"/>
      <c r="AC2864" s="130"/>
      <c r="AD2864" s="130">
        <v>33796</v>
      </c>
      <c r="AE2864" s="128" t="s">
        <v>32</v>
      </c>
      <c r="AF2864" s="128" t="s">
        <v>69</v>
      </c>
      <c r="AG2864" s="128" t="s">
        <v>874</v>
      </c>
      <c r="AH2864" s="108" t="s">
        <v>31</v>
      </c>
      <c r="AI2864" s="128" t="s">
        <v>47</v>
      </c>
      <c r="AJ2864" s="129" t="s">
        <v>89</v>
      </c>
      <c r="AK2864" s="129">
        <v>2</v>
      </c>
      <c r="AL2864" s="3" t="s">
        <v>991</v>
      </c>
      <c r="AO2864" s="128">
        <v>30</v>
      </c>
      <c r="AP2864" s="129" t="s">
        <v>43</v>
      </c>
      <c r="AR2864" s="128" t="s">
        <v>44</v>
      </c>
      <c r="AS2864" s="129" t="s">
        <v>45</v>
      </c>
      <c r="BC2864" s="129" t="s">
        <v>38</v>
      </c>
      <c r="BF2864" s="111">
        <f t="shared" si="2092"/>
        <v>12</v>
      </c>
      <c r="BG2864" s="111">
        <f t="shared" si="2090"/>
        <v>12</v>
      </c>
      <c r="BH2864" s="111">
        <f t="shared" si="2052"/>
        <v>13</v>
      </c>
      <c r="BI2864" s="111">
        <f t="shared" si="2055"/>
        <v>19.584699453551913</v>
      </c>
      <c r="BJ2864" s="129">
        <f>G2864-J2864-M2864</f>
        <v>0</v>
      </c>
      <c r="BK2864" s="129">
        <f t="shared" si="2053"/>
        <v>0</v>
      </c>
      <c r="BL2864" s="129" t="str">
        <f t="shared" si="2050"/>
        <v>CONVICTION</v>
      </c>
      <c r="BM2864" s="129" t="str">
        <f>O2864</f>
        <v>NONE</v>
      </c>
      <c r="BN2864" s="129" t="s">
        <v>566</v>
      </c>
      <c r="BP2864" s="137" t="str">
        <f t="shared" si="2059"/>
        <v>CONVICTION</v>
      </c>
      <c r="BQ2864" s="128" t="str">
        <f t="shared" si="2068"/>
        <v>Y</v>
      </c>
      <c r="BR2864" s="129" t="str">
        <f t="shared" si="2060"/>
        <v>DETAINED</v>
      </c>
      <c r="BS2864" s="129" t="str">
        <f t="shared" si="2061"/>
        <v>DISPOSED</v>
      </c>
      <c r="BT2864" s="129" t="str">
        <f t="shared" si="2062"/>
        <v>N</v>
      </c>
      <c r="BU2864" s="109">
        <f t="shared" si="2069"/>
        <v>0.92307692307692313</v>
      </c>
      <c r="BV2864" s="109">
        <f t="shared" si="2070"/>
        <v>1</v>
      </c>
      <c r="BW2864" s="109">
        <f t="shared" si="2088"/>
        <v>7.6923076923076872E-2</v>
      </c>
      <c r="BX2864" s="111">
        <f t="shared" si="2063"/>
        <v>0</v>
      </c>
      <c r="BY2864" s="129">
        <f t="shared" si="2071"/>
        <v>-12</v>
      </c>
      <c r="BZ2864" s="111">
        <f t="shared" si="2072"/>
        <v>0</v>
      </c>
      <c r="CA2864" s="138">
        <f t="shared" si="2073"/>
        <v>12</v>
      </c>
      <c r="CB2864" s="111" t="e">
        <f t="shared" si="2093"/>
        <v>#VALUE!</v>
      </c>
      <c r="CC2864" s="129">
        <f>G2864-I2864+1</f>
        <v>12</v>
      </c>
      <c r="CD2864" s="129">
        <f>G2864-J2864</f>
        <v>0</v>
      </c>
      <c r="CG2864" s="129" t="str">
        <f t="shared" si="2074"/>
        <v>N</v>
      </c>
      <c r="CI2864" s="129" t="str">
        <f t="shared" si="2075"/>
        <v>11-30 DAYS</v>
      </c>
      <c r="CJ2864" s="137">
        <f t="shared" si="2076"/>
        <v>2</v>
      </c>
      <c r="CK2864" s="129" t="str">
        <f t="shared" si="2077"/>
        <v>Booked</v>
      </c>
    </row>
    <row r="2865" spans="1:89" ht="15" customHeight="1" x14ac:dyDescent="0.25">
      <c r="A2865" s="111">
        <v>1504</v>
      </c>
      <c r="B2865" s="128" t="str">
        <f t="shared" si="2065"/>
        <v>N</v>
      </c>
      <c r="C2865" s="128" t="str">
        <f t="shared" si="2066"/>
        <v>N</v>
      </c>
      <c r="D2865" s="117">
        <v>2606517</v>
      </c>
      <c r="E2865" s="135" t="str">
        <f t="shared" si="2067"/>
        <v/>
      </c>
      <c r="F2865" s="124">
        <v>40964</v>
      </c>
      <c r="G2865" s="125"/>
      <c r="H2865" s="117">
        <v>2606517</v>
      </c>
      <c r="I2865" s="124">
        <v>40971</v>
      </c>
      <c r="J2865" s="124"/>
      <c r="K2865" s="126">
        <v>80000</v>
      </c>
      <c r="L2865" s="129" t="s">
        <v>572</v>
      </c>
      <c r="N2865" s="129" t="str">
        <f t="shared" si="2089"/>
        <v>N</v>
      </c>
      <c r="O2865" s="128" t="s">
        <v>917</v>
      </c>
      <c r="P2865" s="129" t="s">
        <v>31</v>
      </c>
      <c r="Q2865" s="111" t="str">
        <f>BF2865</f>
        <v>STILL OPEN</v>
      </c>
      <c r="R2865" s="111" t="str">
        <f t="shared" si="2051"/>
        <v>STILL OPEN</v>
      </c>
      <c r="S2865" s="129">
        <v>0</v>
      </c>
      <c r="T2865" s="129">
        <v>5</v>
      </c>
      <c r="W2865" s="111"/>
      <c r="AC2865" s="130"/>
      <c r="AD2865" s="130">
        <v>22923</v>
      </c>
      <c r="AE2865" s="128" t="s">
        <v>32</v>
      </c>
      <c r="AF2865" s="128" t="s">
        <v>40</v>
      </c>
      <c r="AG2865" s="128" t="s">
        <v>41</v>
      </c>
      <c r="AH2865" s="108" t="s">
        <v>41</v>
      </c>
      <c r="AI2865" s="128" t="s">
        <v>80</v>
      </c>
      <c r="AJ2865" s="129" t="s">
        <v>31</v>
      </c>
      <c r="AP2865" s="129" t="s">
        <v>129</v>
      </c>
      <c r="AR2865" s="128" t="s">
        <v>92</v>
      </c>
      <c r="AS2865" s="129" t="s">
        <v>126</v>
      </c>
      <c r="BC2865" s="129" t="s">
        <v>52</v>
      </c>
      <c r="BF2865" s="111" t="s">
        <v>588</v>
      </c>
      <c r="BG2865" s="111" t="str">
        <f t="shared" si="2090"/>
        <v>STILL OPEN</v>
      </c>
      <c r="BH2865" s="111" t="str">
        <f t="shared" si="2052"/>
        <v>STILL OPEN</v>
      </c>
      <c r="BI2865" s="111">
        <f t="shared" si="2055"/>
        <v>49.292349726775953</v>
      </c>
      <c r="BJ2865" s="129">
        <f>G2865-J2865-M2865</f>
        <v>0</v>
      </c>
      <c r="BK2865" s="129">
        <f t="shared" si="2053"/>
        <v>0</v>
      </c>
      <c r="BL2865" s="129">
        <f t="shared" si="2050"/>
        <v>0</v>
      </c>
      <c r="BM2865" s="129" t="str">
        <f>O2865</f>
        <v>NONE</v>
      </c>
      <c r="BN2865" s="129" t="s">
        <v>566</v>
      </c>
      <c r="BP2865" s="137" t="str">
        <f t="shared" si="2059"/>
        <v/>
      </c>
      <c r="BQ2865" s="128" t="str">
        <f t="shared" si="2068"/>
        <v>Y</v>
      </c>
      <c r="BR2865" s="129" t="s">
        <v>588</v>
      </c>
      <c r="BS2865" s="129" t="s">
        <v>588</v>
      </c>
      <c r="BT2865" s="129" t="str">
        <f t="shared" si="2062"/>
        <v>N</v>
      </c>
      <c r="BU2865" s="109" t="str">
        <f>IFERROR(Q2865/R2865,BR2865)</f>
        <v>STILL OPEN</v>
      </c>
      <c r="BV2865" s="129" t="s">
        <v>588</v>
      </c>
      <c r="BW2865" s="109">
        <v>0</v>
      </c>
      <c r="BX2865" s="111" t="e">
        <f t="shared" si="2063"/>
        <v>#VALUE!</v>
      </c>
      <c r="BY2865" s="129">
        <f t="shared" si="2071"/>
        <v>40970</v>
      </c>
      <c r="BZ2865" s="111" t="e">
        <f t="shared" si="2072"/>
        <v>#VALUE!</v>
      </c>
      <c r="CA2865" s="138" t="e">
        <f t="shared" si="2073"/>
        <v>#VALUE!</v>
      </c>
      <c r="CB2865" s="111" t="s">
        <v>588</v>
      </c>
      <c r="CC2865" s="129" t="s">
        <v>588</v>
      </c>
      <c r="CG2865" s="129" t="str">
        <f t="shared" si="2074"/>
        <v>Y</v>
      </c>
      <c r="CH2865" s="129" t="e">
        <v>#N/A</v>
      </c>
      <c r="CI2865" s="129" t="str">
        <f t="shared" si="2075"/>
        <v>&gt;3YRS</v>
      </c>
      <c r="CJ2865" s="137">
        <f t="shared" si="2076"/>
        <v>9</v>
      </c>
      <c r="CK2865" s="129" t="str">
        <f t="shared" si="2077"/>
        <v>Booked</v>
      </c>
    </row>
    <row r="2866" spans="1:89" ht="15" customHeight="1" x14ac:dyDescent="0.25">
      <c r="A2866" s="111">
        <v>1505</v>
      </c>
      <c r="B2866" s="128" t="str">
        <f t="shared" si="2065"/>
        <v>N</v>
      </c>
      <c r="C2866" s="128" t="str">
        <f t="shared" si="2066"/>
        <v>N</v>
      </c>
      <c r="D2866" s="117">
        <v>2606536</v>
      </c>
      <c r="E2866" s="135">
        <f t="shared" si="2067"/>
        <v>1</v>
      </c>
      <c r="F2866" s="124">
        <v>40964</v>
      </c>
      <c r="G2866" s="125">
        <v>41045</v>
      </c>
      <c r="H2866" s="117">
        <v>2606536</v>
      </c>
      <c r="I2866" s="124">
        <v>40964</v>
      </c>
      <c r="J2866" s="124">
        <v>40968</v>
      </c>
      <c r="K2866" s="126">
        <v>30000</v>
      </c>
      <c r="L2866" s="129" t="s">
        <v>572</v>
      </c>
      <c r="M2866" s="125">
        <v>40968</v>
      </c>
      <c r="N2866" s="129" t="str">
        <f t="shared" si="2089"/>
        <v>Y</v>
      </c>
      <c r="O2866" s="128" t="s">
        <v>76</v>
      </c>
      <c r="P2866" s="129" t="s">
        <v>55</v>
      </c>
      <c r="Q2866" s="111">
        <f t="shared" si="2091"/>
        <v>5</v>
      </c>
      <c r="R2866" s="111">
        <f t="shared" si="2051"/>
        <v>82</v>
      </c>
      <c r="S2866" s="129">
        <v>0</v>
      </c>
      <c r="T2866" s="129">
        <v>0</v>
      </c>
      <c r="W2866" s="111"/>
      <c r="AB2866" s="131" t="s">
        <v>112</v>
      </c>
      <c r="AC2866" s="130"/>
      <c r="AD2866" s="130">
        <v>29622</v>
      </c>
      <c r="AE2866" s="128" t="s">
        <v>46</v>
      </c>
      <c r="AF2866" s="128" t="s">
        <v>40</v>
      </c>
      <c r="AG2866" s="128" t="s">
        <v>41</v>
      </c>
      <c r="AH2866" s="108" t="s">
        <v>31</v>
      </c>
      <c r="AI2866" s="128" t="s">
        <v>114</v>
      </c>
      <c r="AJ2866" s="129" t="s">
        <v>55</v>
      </c>
      <c r="AK2866" s="129">
        <v>4</v>
      </c>
      <c r="AL2866" s="3" t="s">
        <v>55</v>
      </c>
      <c r="AP2866" s="129" t="s">
        <v>105</v>
      </c>
      <c r="AR2866" s="128" t="s">
        <v>92</v>
      </c>
      <c r="AS2866" s="129" t="s">
        <v>106</v>
      </c>
      <c r="BC2866" s="129" t="s">
        <v>52</v>
      </c>
      <c r="BF2866" s="111">
        <f t="shared" si="2092"/>
        <v>5</v>
      </c>
      <c r="BG2866" s="111">
        <f t="shared" si="2090"/>
        <v>82</v>
      </c>
      <c r="BH2866" s="111">
        <f t="shared" si="2052"/>
        <v>82</v>
      </c>
      <c r="BI2866" s="111">
        <f t="shared" si="2055"/>
        <v>30.989071038251367</v>
      </c>
      <c r="BJ2866" s="129">
        <f>(G2866-J2866)+(M2866-G2866)</f>
        <v>0</v>
      </c>
      <c r="BK2866" s="129">
        <f t="shared" si="2053"/>
        <v>-77</v>
      </c>
      <c r="BL2866" s="129" t="str">
        <f t="shared" si="2050"/>
        <v>NO CONVICTION</v>
      </c>
      <c r="BM2866" s="129" t="s">
        <v>76</v>
      </c>
      <c r="BN2866" s="129" t="s">
        <v>88</v>
      </c>
      <c r="BP2866" s="137" t="str">
        <f t="shared" si="2059"/>
        <v>NO CONVICTION</v>
      </c>
      <c r="BQ2866" s="128" t="str">
        <f t="shared" si="2068"/>
        <v>Y</v>
      </c>
      <c r="BR2866" s="129" t="str">
        <f t="shared" si="2060"/>
        <v>ON BOND</v>
      </c>
      <c r="BS2866" s="129" t="str">
        <f t="shared" si="2061"/>
        <v>DISPOSED</v>
      </c>
      <c r="BT2866" s="129" t="str">
        <f t="shared" si="2062"/>
        <v>N</v>
      </c>
      <c r="BU2866" s="109">
        <f>IFERROR(Q2866/R2866,BR2866)</f>
        <v>6.097560975609756E-2</v>
      </c>
      <c r="BV2866" s="109">
        <f t="shared" si="2070"/>
        <v>6.097560975609756E-2</v>
      </c>
      <c r="BW2866" s="109">
        <f t="shared" ref="BW2866:BW2891" si="2094">BV2866-BU2866</f>
        <v>0</v>
      </c>
      <c r="BX2866" s="111">
        <f t="shared" si="2063"/>
        <v>0</v>
      </c>
      <c r="BY2866" s="129">
        <f t="shared" si="2071"/>
        <v>-5</v>
      </c>
      <c r="BZ2866" s="111">
        <f t="shared" si="2072"/>
        <v>0</v>
      </c>
      <c r="CA2866" s="138">
        <f t="shared" si="2073"/>
        <v>5</v>
      </c>
      <c r="CB2866" s="111" t="e">
        <f t="shared" si="2093"/>
        <v>#VALUE!</v>
      </c>
      <c r="CC2866" s="129">
        <f>M2866-I2866+1</f>
        <v>5</v>
      </c>
      <c r="CD2866" s="111">
        <f>CC2866-BF2866</f>
        <v>0</v>
      </c>
      <c r="CG2866" s="129" t="str">
        <f t="shared" si="2074"/>
        <v>N</v>
      </c>
      <c r="CI2866" s="129" t="str">
        <f t="shared" si="2075"/>
        <v>0-10 DAYS</v>
      </c>
      <c r="CJ2866" s="137">
        <f t="shared" si="2076"/>
        <v>1</v>
      </c>
      <c r="CK2866" s="129" t="str">
        <f t="shared" si="2077"/>
        <v>Booked</v>
      </c>
    </row>
    <row r="2867" spans="1:89" ht="15.75" customHeight="1" x14ac:dyDescent="0.25">
      <c r="A2867" s="111">
        <v>1514</v>
      </c>
      <c r="B2867" s="128" t="str">
        <f t="shared" si="2065"/>
        <v>N</v>
      </c>
      <c r="C2867" s="128" t="str">
        <f t="shared" si="2066"/>
        <v>N</v>
      </c>
      <c r="D2867" s="117">
        <v>2606598</v>
      </c>
      <c r="E2867" s="135">
        <f t="shared" si="2067"/>
        <v>1</v>
      </c>
      <c r="F2867" s="124">
        <v>40964</v>
      </c>
      <c r="G2867" s="125">
        <v>40966</v>
      </c>
      <c r="H2867" s="117">
        <v>2606598</v>
      </c>
      <c r="I2867" s="124" t="s">
        <v>562</v>
      </c>
      <c r="J2867" s="124" t="s">
        <v>562</v>
      </c>
      <c r="K2867" s="126">
        <v>1000</v>
      </c>
      <c r="L2867" s="127" t="s">
        <v>568</v>
      </c>
      <c r="M2867" s="125">
        <v>40965</v>
      </c>
      <c r="N2867" s="129" t="str">
        <f>IF(M2867&gt;1/1/1,"Y",IF(Q2867="0","","N"))</f>
        <v>Y</v>
      </c>
      <c r="O2867" s="128" t="s">
        <v>76</v>
      </c>
      <c r="P2867" s="129" t="s">
        <v>55</v>
      </c>
      <c r="Q2867" s="111">
        <f t="shared" si="2091"/>
        <v>0</v>
      </c>
      <c r="R2867" s="111">
        <f t="shared" si="2051"/>
        <v>3</v>
      </c>
      <c r="S2867" s="129">
        <v>0</v>
      </c>
      <c r="T2867" s="129">
        <v>0</v>
      </c>
      <c r="W2867" s="111"/>
      <c r="AB2867" s="131" t="s">
        <v>112</v>
      </c>
      <c r="AC2867" s="130"/>
      <c r="AD2867" s="130">
        <v>34615</v>
      </c>
      <c r="AE2867" s="128" t="s">
        <v>32</v>
      </c>
      <c r="AF2867" s="128" t="s">
        <v>40</v>
      </c>
      <c r="AG2867" s="128" t="s">
        <v>41</v>
      </c>
      <c r="AH2867" s="108" t="s">
        <v>31</v>
      </c>
      <c r="AI2867" s="128" t="s">
        <v>87</v>
      </c>
      <c r="AJ2867" s="129" t="s">
        <v>55</v>
      </c>
      <c r="AK2867" s="129">
        <v>1</v>
      </c>
      <c r="AL2867" s="3" t="s">
        <v>55</v>
      </c>
      <c r="AP2867" s="129" t="s">
        <v>342</v>
      </c>
      <c r="AR2867" s="128" t="s">
        <v>67</v>
      </c>
      <c r="AS2867" s="129" t="s">
        <v>64</v>
      </c>
      <c r="BC2867" s="129" t="s">
        <v>79</v>
      </c>
      <c r="BF2867" s="111">
        <v>0</v>
      </c>
      <c r="BG2867" s="111">
        <v>0</v>
      </c>
      <c r="BH2867" s="111">
        <f t="shared" si="2052"/>
        <v>3</v>
      </c>
      <c r="BI2867" s="111">
        <f t="shared" si="2055"/>
        <v>17.346994535519126</v>
      </c>
      <c r="BJ2867" s="129" t="e">
        <f>(G2867-J2867)+(M2867-G2867)</f>
        <v>#VALUE!</v>
      </c>
      <c r="BK2867" s="129" t="e">
        <f t="shared" si="2053"/>
        <v>#VALUE!</v>
      </c>
      <c r="BL2867" s="129" t="str">
        <f t="shared" si="2050"/>
        <v>NO CONVICTION</v>
      </c>
      <c r="BM2867" s="129" t="s">
        <v>76</v>
      </c>
      <c r="BN2867" s="129" t="s">
        <v>88</v>
      </c>
      <c r="BP2867" s="137" t="str">
        <f t="shared" si="2059"/>
        <v>NO CONVICTION</v>
      </c>
      <c r="BQ2867" s="128">
        <f t="shared" si="2068"/>
        <v>0</v>
      </c>
      <c r="BR2867" s="129" t="s">
        <v>575</v>
      </c>
      <c r="BS2867" s="129" t="str">
        <f t="shared" si="2061"/>
        <v>DISPOSED</v>
      </c>
      <c r="BT2867" s="129" t="str">
        <f t="shared" si="2062"/>
        <v>N</v>
      </c>
      <c r="BU2867" s="109">
        <f>IFERROR(Q2867/R2867,BR2867)</f>
        <v>0</v>
      </c>
      <c r="BV2867" s="109">
        <v>0</v>
      </c>
      <c r="BW2867" s="109">
        <f t="shared" si="2094"/>
        <v>0</v>
      </c>
      <c r="BX2867" s="111">
        <f t="shared" si="2063"/>
        <v>0</v>
      </c>
      <c r="BY2867" s="129" t="e">
        <f t="shared" si="2071"/>
        <v>#VALUE!</v>
      </c>
      <c r="BZ2867" s="111" t="e">
        <f t="shared" si="2072"/>
        <v>#VALUE!</v>
      </c>
      <c r="CA2867" s="138" t="e">
        <f t="shared" si="2073"/>
        <v>#VALUE!</v>
      </c>
      <c r="CB2867" s="111">
        <v>0</v>
      </c>
      <c r="CC2867" s="129">
        <v>0</v>
      </c>
      <c r="CD2867" s="111">
        <f>CC2867-BF2867</f>
        <v>0</v>
      </c>
      <c r="CG2867" s="129" t="str">
        <f t="shared" si="2074"/>
        <v>N</v>
      </c>
      <c r="CI2867" s="129" t="str">
        <f t="shared" si="2075"/>
        <v>0-10 DAYS</v>
      </c>
      <c r="CJ2867" s="137">
        <f t="shared" si="2076"/>
        <v>1</v>
      </c>
      <c r="CK2867" s="129" t="str">
        <f t="shared" si="2077"/>
        <v>Not Booked</v>
      </c>
    </row>
    <row r="2868" spans="1:89" ht="15.75" customHeight="1" x14ac:dyDescent="0.25">
      <c r="A2868" s="111">
        <v>1517</v>
      </c>
      <c r="B2868" s="128" t="str">
        <f t="shared" si="2065"/>
        <v>N</v>
      </c>
      <c r="C2868" s="128" t="str">
        <f t="shared" si="2066"/>
        <v>N</v>
      </c>
      <c r="D2868" s="117">
        <v>2606601</v>
      </c>
      <c r="E2868" s="135">
        <f t="shared" si="2067"/>
        <v>5</v>
      </c>
      <c r="F2868" s="124">
        <v>40964</v>
      </c>
      <c r="G2868" s="125">
        <v>40966</v>
      </c>
      <c r="H2868" s="117">
        <v>2606601</v>
      </c>
      <c r="I2868" s="124">
        <v>40965</v>
      </c>
      <c r="J2868" s="124">
        <v>40966</v>
      </c>
      <c r="K2868" s="126" t="s">
        <v>564</v>
      </c>
      <c r="L2868" s="127" t="s">
        <v>564</v>
      </c>
      <c r="N2868" s="129" t="s">
        <v>566</v>
      </c>
      <c r="O2868" s="128" t="s">
        <v>917</v>
      </c>
      <c r="P2868" s="129" t="s">
        <v>39</v>
      </c>
      <c r="Q2868" s="111">
        <f t="shared" si="2091"/>
        <v>2</v>
      </c>
      <c r="R2868" s="111">
        <f t="shared" si="2051"/>
        <v>3</v>
      </c>
      <c r="S2868" s="129">
        <v>0</v>
      </c>
      <c r="T2868" s="129">
        <v>0</v>
      </c>
      <c r="W2868" s="111"/>
      <c r="AC2868" s="130"/>
      <c r="AD2868" s="130">
        <v>32172</v>
      </c>
      <c r="AE2868" s="128" t="s">
        <v>32</v>
      </c>
      <c r="AF2868" s="128" t="s">
        <v>33</v>
      </c>
      <c r="AG2868" s="128" t="s">
        <v>872</v>
      </c>
      <c r="AH2868" s="108" t="s">
        <v>31</v>
      </c>
      <c r="AI2868" s="128" t="s">
        <v>47</v>
      </c>
      <c r="AJ2868" s="129" t="s">
        <v>89</v>
      </c>
      <c r="AK2868" s="129">
        <v>1</v>
      </c>
      <c r="AL2868" s="3" t="s">
        <v>992</v>
      </c>
      <c r="AN2868" s="117">
        <v>6</v>
      </c>
      <c r="AP2868" s="129" t="s">
        <v>159</v>
      </c>
      <c r="AR2868" s="128" t="s">
        <v>44</v>
      </c>
      <c r="AS2868" s="129" t="s">
        <v>61</v>
      </c>
      <c r="AW2868" s="125"/>
      <c r="AX2868" s="123"/>
      <c r="AY2868" s="123"/>
      <c r="BC2868" s="129" t="s">
        <v>38</v>
      </c>
      <c r="BF2868" s="111">
        <f t="shared" ref="BF2868:BF2873" si="2095">IF(J2868&gt;1/1/1900,((J2868+1)-I2868),"STILL OPEN")</f>
        <v>2</v>
      </c>
      <c r="BG2868" s="111">
        <f t="shared" ref="BG2868:BG2873" si="2096">IF(G2868&gt;1/1/1900,((G2868+1)-I2868),"STILL OPEN")</f>
        <v>2</v>
      </c>
      <c r="BH2868" s="111">
        <f t="shared" si="2052"/>
        <v>3</v>
      </c>
      <c r="BI2868" s="111">
        <f t="shared" si="2055"/>
        <v>24.021857923497269</v>
      </c>
      <c r="BJ2868" s="129">
        <f>G2868-J2868-M2868</f>
        <v>0</v>
      </c>
      <c r="BK2868" s="129">
        <f t="shared" si="2053"/>
        <v>0</v>
      </c>
      <c r="BL2868" s="129" t="str">
        <f t="shared" si="2050"/>
        <v>CONVICTION</v>
      </c>
      <c r="BM2868" s="129" t="str">
        <f>O2868</f>
        <v>NONE</v>
      </c>
      <c r="BN2868" s="129" t="s">
        <v>566</v>
      </c>
      <c r="BP2868" s="137" t="str">
        <f t="shared" si="2059"/>
        <v>CONVICTION</v>
      </c>
      <c r="BQ2868" s="128" t="str">
        <f t="shared" si="2068"/>
        <v>Y</v>
      </c>
      <c r="BR2868" s="129" t="str">
        <f t="shared" si="2060"/>
        <v>DETAINED</v>
      </c>
      <c r="BS2868" s="129" t="str">
        <f t="shared" si="2061"/>
        <v>DISPOSED</v>
      </c>
      <c r="BT2868" s="129" t="str">
        <f t="shared" si="2062"/>
        <v>N</v>
      </c>
      <c r="BU2868" s="109">
        <f t="shared" si="2069"/>
        <v>0.66666666666666663</v>
      </c>
      <c r="BV2868" s="109">
        <f t="shared" si="2070"/>
        <v>1</v>
      </c>
      <c r="BW2868" s="109">
        <f t="shared" si="2094"/>
        <v>0.33333333333333337</v>
      </c>
      <c r="BX2868" s="111">
        <f t="shared" si="2063"/>
        <v>0</v>
      </c>
      <c r="BY2868" s="129">
        <f t="shared" si="2071"/>
        <v>-2</v>
      </c>
      <c r="BZ2868" s="111">
        <f t="shared" si="2072"/>
        <v>0</v>
      </c>
      <c r="CA2868" s="138">
        <f t="shared" si="2073"/>
        <v>2</v>
      </c>
      <c r="CB2868" s="111" t="e">
        <f t="shared" ref="CB2868:CB2873" si="2097">IF(AF2868&gt;1/1/1900,((AF2868+1)-AE2868),"STILL OPEN")</f>
        <v>#VALUE!</v>
      </c>
      <c r="CC2868" s="129">
        <f>G2868-I2868+1</f>
        <v>2</v>
      </c>
      <c r="CD2868" s="129">
        <f>G2868-J2868</f>
        <v>0</v>
      </c>
      <c r="CG2868" s="129" t="str">
        <f t="shared" si="2074"/>
        <v>N</v>
      </c>
      <c r="CI2868" s="129" t="str">
        <f t="shared" si="2075"/>
        <v>0-10 DAYS</v>
      </c>
      <c r="CJ2868" s="137">
        <f t="shared" si="2076"/>
        <v>1</v>
      </c>
      <c r="CK2868" s="129" t="str">
        <f t="shared" si="2077"/>
        <v>Booked</v>
      </c>
    </row>
    <row r="2869" spans="1:89" ht="15" customHeight="1" x14ac:dyDescent="0.25">
      <c r="A2869" s="111">
        <v>1520</v>
      </c>
      <c r="B2869" s="128" t="str">
        <f t="shared" si="2065"/>
        <v>N</v>
      </c>
      <c r="C2869" s="128" t="str">
        <f t="shared" si="2066"/>
        <v>N</v>
      </c>
      <c r="D2869" s="117">
        <v>2606610</v>
      </c>
      <c r="E2869" s="135">
        <f t="shared" si="2067"/>
        <v>4</v>
      </c>
      <c r="F2869" s="124">
        <v>40964</v>
      </c>
      <c r="G2869" s="125">
        <v>40966</v>
      </c>
      <c r="H2869" s="117">
        <v>2606610</v>
      </c>
      <c r="I2869" s="124">
        <v>40965</v>
      </c>
      <c r="J2869" s="124">
        <v>40966</v>
      </c>
      <c r="K2869" s="126">
        <v>55000</v>
      </c>
      <c r="L2869" s="129" t="s">
        <v>572</v>
      </c>
      <c r="N2869" s="129" t="str">
        <f>IF(M2869&gt;1/1/1,"Y","N")</f>
        <v>N</v>
      </c>
      <c r="O2869" s="128" t="s">
        <v>917</v>
      </c>
      <c r="P2869" s="129" t="s">
        <v>39</v>
      </c>
      <c r="Q2869" s="111">
        <f t="shared" si="2091"/>
        <v>2</v>
      </c>
      <c r="R2869" s="111">
        <f t="shared" si="2051"/>
        <v>3</v>
      </c>
      <c r="S2869" s="129">
        <v>0</v>
      </c>
      <c r="T2869" s="129">
        <v>0</v>
      </c>
      <c r="W2869" s="111"/>
      <c r="AC2869" s="130"/>
      <c r="AD2869" s="130">
        <v>26084</v>
      </c>
      <c r="AE2869" s="128" t="s">
        <v>32</v>
      </c>
      <c r="AF2869" s="128" t="s">
        <v>40</v>
      </c>
      <c r="AG2869" s="128" t="s">
        <v>41</v>
      </c>
      <c r="AH2869" s="108" t="s">
        <v>41</v>
      </c>
      <c r="AI2869" s="128" t="s">
        <v>70</v>
      </c>
      <c r="AJ2869" s="129" t="s">
        <v>89</v>
      </c>
      <c r="AK2869" s="129">
        <v>1</v>
      </c>
      <c r="AL2869" s="3" t="s">
        <v>991</v>
      </c>
      <c r="AO2869" s="128">
        <v>10</v>
      </c>
      <c r="AP2869" s="129" t="s">
        <v>43</v>
      </c>
      <c r="AR2869" s="128" t="s">
        <v>44</v>
      </c>
      <c r="AS2869" s="129" t="s">
        <v>45</v>
      </c>
      <c r="BC2869" s="129" t="s">
        <v>38</v>
      </c>
      <c r="BF2869" s="111">
        <f t="shared" si="2095"/>
        <v>2</v>
      </c>
      <c r="BG2869" s="111">
        <f t="shared" si="2096"/>
        <v>2</v>
      </c>
      <c r="BH2869" s="111">
        <f t="shared" si="2052"/>
        <v>3</v>
      </c>
      <c r="BI2869" s="111">
        <f t="shared" si="2055"/>
        <v>40.655737704918032</v>
      </c>
      <c r="BJ2869" s="129">
        <f>G2869-J2869-M2869</f>
        <v>0</v>
      </c>
      <c r="BK2869" s="129">
        <f t="shared" si="2053"/>
        <v>0</v>
      </c>
      <c r="BL2869" s="129" t="str">
        <f t="shared" si="2050"/>
        <v>CONVICTION</v>
      </c>
      <c r="BM2869" s="129" t="str">
        <f>O2869</f>
        <v>NONE</v>
      </c>
      <c r="BN2869" s="129" t="s">
        <v>566</v>
      </c>
      <c r="BP2869" s="137" t="str">
        <f t="shared" si="2059"/>
        <v>CONVICTION</v>
      </c>
      <c r="BQ2869" s="128" t="str">
        <f t="shared" si="2068"/>
        <v>Y</v>
      </c>
      <c r="BR2869" s="129" t="str">
        <f t="shared" si="2060"/>
        <v>DETAINED</v>
      </c>
      <c r="BS2869" s="129" t="str">
        <f t="shared" si="2061"/>
        <v>DISPOSED</v>
      </c>
      <c r="BT2869" s="129" t="str">
        <f t="shared" si="2062"/>
        <v>N</v>
      </c>
      <c r="BU2869" s="109">
        <f t="shared" si="2069"/>
        <v>0.66666666666666663</v>
      </c>
      <c r="BV2869" s="109">
        <f t="shared" si="2070"/>
        <v>1</v>
      </c>
      <c r="BW2869" s="109">
        <f t="shared" si="2094"/>
        <v>0.33333333333333337</v>
      </c>
      <c r="BX2869" s="111">
        <f t="shared" si="2063"/>
        <v>0</v>
      </c>
      <c r="BY2869" s="129">
        <f t="shared" si="2071"/>
        <v>-2</v>
      </c>
      <c r="BZ2869" s="111">
        <f t="shared" si="2072"/>
        <v>0</v>
      </c>
      <c r="CA2869" s="138">
        <f t="shared" si="2073"/>
        <v>2</v>
      </c>
      <c r="CB2869" s="111" t="e">
        <f t="shared" si="2097"/>
        <v>#VALUE!</v>
      </c>
      <c r="CC2869" s="129">
        <f>G2869-I2869+1</f>
        <v>2</v>
      </c>
      <c r="CD2869" s="129">
        <f>G2869-J2869</f>
        <v>0</v>
      </c>
      <c r="CG2869" s="129" t="str">
        <f t="shared" si="2074"/>
        <v>N</v>
      </c>
      <c r="CI2869" s="129" t="str">
        <f t="shared" si="2075"/>
        <v>0-10 DAYS</v>
      </c>
      <c r="CJ2869" s="137">
        <f t="shared" si="2076"/>
        <v>1</v>
      </c>
      <c r="CK2869" s="129" t="str">
        <f t="shared" si="2077"/>
        <v>Booked</v>
      </c>
    </row>
    <row r="2870" spans="1:89" ht="15" customHeight="1" x14ac:dyDescent="0.25">
      <c r="A2870" s="111">
        <v>1529</v>
      </c>
      <c r="B2870" s="128" t="str">
        <f t="shared" si="2065"/>
        <v>N</v>
      </c>
      <c r="C2870" s="128" t="str">
        <f t="shared" si="2066"/>
        <v>N</v>
      </c>
      <c r="D2870" s="117">
        <v>2606643</v>
      </c>
      <c r="E2870" s="135">
        <f t="shared" si="2067"/>
        <v>1</v>
      </c>
      <c r="F2870" s="124">
        <v>40965</v>
      </c>
      <c r="G2870" s="125">
        <v>40966</v>
      </c>
      <c r="H2870" s="117">
        <v>2606643</v>
      </c>
      <c r="I2870" s="124">
        <v>40965</v>
      </c>
      <c r="J2870" s="124">
        <v>40966</v>
      </c>
      <c r="K2870" s="126">
        <v>2000</v>
      </c>
      <c r="L2870" s="127" t="s">
        <v>568</v>
      </c>
      <c r="N2870" s="129" t="str">
        <f>IF(M2870&gt;1/1/1,"Y","N")</f>
        <v>N</v>
      </c>
      <c r="O2870" s="128" t="s">
        <v>917</v>
      </c>
      <c r="P2870" s="129" t="s">
        <v>55</v>
      </c>
      <c r="Q2870" s="111">
        <f t="shared" si="2091"/>
        <v>2</v>
      </c>
      <c r="R2870" s="111">
        <f t="shared" si="2051"/>
        <v>2</v>
      </c>
      <c r="S2870" s="129">
        <v>0</v>
      </c>
      <c r="T2870" s="129">
        <v>0</v>
      </c>
      <c r="W2870" s="111"/>
      <c r="AC2870" s="130"/>
      <c r="AD2870" s="130">
        <v>29524</v>
      </c>
      <c r="AE2870" s="128" t="s">
        <v>32</v>
      </c>
      <c r="AF2870" s="128" t="s">
        <v>69</v>
      </c>
      <c r="AG2870" s="128" t="s">
        <v>874</v>
      </c>
      <c r="AH2870" s="108" t="s">
        <v>31</v>
      </c>
      <c r="AI2870" s="128" t="s">
        <v>80</v>
      </c>
      <c r="AJ2870" s="129" t="s">
        <v>55</v>
      </c>
      <c r="AK2870" s="129">
        <v>1</v>
      </c>
      <c r="AL2870" s="3" t="s">
        <v>55</v>
      </c>
      <c r="AP2870" s="129" t="s">
        <v>108</v>
      </c>
      <c r="AR2870" s="128" t="s">
        <v>44</v>
      </c>
      <c r="AS2870" s="129" t="s">
        <v>61</v>
      </c>
      <c r="BC2870" s="129" t="s">
        <v>79</v>
      </c>
      <c r="BF2870" s="111">
        <f t="shared" si="2095"/>
        <v>2</v>
      </c>
      <c r="BG2870" s="111">
        <f t="shared" si="2096"/>
        <v>2</v>
      </c>
      <c r="BH2870" s="111">
        <f t="shared" si="2052"/>
        <v>2</v>
      </c>
      <c r="BI2870" s="111">
        <f t="shared" si="2055"/>
        <v>31.259562841530055</v>
      </c>
      <c r="BJ2870" s="129">
        <f>G2870-J2870-M2870</f>
        <v>0</v>
      </c>
      <c r="BK2870" s="129">
        <f t="shared" si="2053"/>
        <v>0</v>
      </c>
      <c r="BL2870" s="129" t="str">
        <f t="shared" ref="BL2870:BL2933" si="2098">IF(OR(AL2870="AQUITTAL",AL2870="DISMISSED",AL2870="FINE",AL2870="NO BILL"),"NO CONVICTION",IF(OR(AL2870="HCJ",AL2870="MHH",AL2870="PROBATION",AL2870="STJ",AL2870="TDC"),"CONVICTION",IF(AL2870="DEFERRED","DEFERRED",0)))</f>
        <v>NO CONVICTION</v>
      </c>
      <c r="BM2870" s="129" t="str">
        <f>O2870</f>
        <v>NONE</v>
      </c>
      <c r="BN2870" s="129" t="s">
        <v>566</v>
      </c>
      <c r="BP2870" s="137" t="str">
        <f t="shared" si="2059"/>
        <v>NO CONVICTION</v>
      </c>
      <c r="BQ2870" s="128" t="str">
        <f t="shared" si="2068"/>
        <v>Y</v>
      </c>
      <c r="BR2870" s="129" t="str">
        <f t="shared" si="2060"/>
        <v>DETAINED</v>
      </c>
      <c r="BS2870" s="129" t="str">
        <f t="shared" si="2061"/>
        <v>DISPOSED</v>
      </c>
      <c r="BT2870" s="129" t="str">
        <f t="shared" si="2062"/>
        <v>N</v>
      </c>
      <c r="BU2870" s="109">
        <f>IFERROR(Q2870/R2870,BR2870)</f>
        <v>1</v>
      </c>
      <c r="BV2870" s="109">
        <f t="shared" si="2070"/>
        <v>1</v>
      </c>
      <c r="BW2870" s="109">
        <f t="shared" si="2094"/>
        <v>0</v>
      </c>
      <c r="BX2870" s="111">
        <f t="shared" si="2063"/>
        <v>0</v>
      </c>
      <c r="BY2870" s="129">
        <f t="shared" si="2071"/>
        <v>-2</v>
      </c>
      <c r="BZ2870" s="111">
        <f t="shared" si="2072"/>
        <v>0</v>
      </c>
      <c r="CA2870" s="138">
        <f t="shared" si="2073"/>
        <v>2</v>
      </c>
      <c r="CB2870" s="111" t="e">
        <f t="shared" si="2097"/>
        <v>#VALUE!</v>
      </c>
      <c r="CC2870" s="129">
        <f>G2870-I2870+1</f>
        <v>2</v>
      </c>
      <c r="CD2870" s="129">
        <f>G2870-J2870</f>
        <v>0</v>
      </c>
      <c r="CG2870" s="129" t="str">
        <f t="shared" si="2074"/>
        <v>N</v>
      </c>
      <c r="CI2870" s="129" t="str">
        <f t="shared" si="2075"/>
        <v>0-10 DAYS</v>
      </c>
      <c r="CJ2870" s="137">
        <f t="shared" si="2076"/>
        <v>1</v>
      </c>
      <c r="CK2870" s="129" t="str">
        <f t="shared" si="2077"/>
        <v>Booked</v>
      </c>
    </row>
    <row r="2871" spans="1:89" ht="15.75" customHeight="1" x14ac:dyDescent="0.25">
      <c r="A2871" s="111">
        <v>1531</v>
      </c>
      <c r="B2871" s="128" t="str">
        <f t="shared" si="2065"/>
        <v>N</v>
      </c>
      <c r="C2871" s="128" t="str">
        <f t="shared" si="2066"/>
        <v>N</v>
      </c>
      <c r="D2871" s="117">
        <v>2606650</v>
      </c>
      <c r="E2871" s="135">
        <f t="shared" si="2067"/>
        <v>2</v>
      </c>
      <c r="F2871" s="124">
        <v>40965</v>
      </c>
      <c r="G2871" s="125">
        <v>41150</v>
      </c>
      <c r="H2871" s="117">
        <v>2606650</v>
      </c>
      <c r="I2871" s="124">
        <v>40965</v>
      </c>
      <c r="J2871" s="124">
        <v>40966</v>
      </c>
      <c r="K2871" s="126">
        <v>2000</v>
      </c>
      <c r="L2871" s="127" t="s">
        <v>568</v>
      </c>
      <c r="M2871" s="125">
        <v>40966</v>
      </c>
      <c r="N2871" s="129" t="str">
        <f>IF(M2871&gt;1/1/1,"Y","N")</f>
        <v>Y</v>
      </c>
      <c r="O2871" s="128" t="s">
        <v>76</v>
      </c>
      <c r="P2871" s="129" t="s">
        <v>589</v>
      </c>
      <c r="Q2871" s="111">
        <f t="shared" si="2091"/>
        <v>2</v>
      </c>
      <c r="R2871" s="111">
        <f t="shared" si="2051"/>
        <v>186</v>
      </c>
      <c r="S2871" s="129">
        <v>0</v>
      </c>
      <c r="T2871" s="129">
        <v>0</v>
      </c>
      <c r="W2871" s="111"/>
      <c r="AB2871" s="131" t="s">
        <v>112</v>
      </c>
      <c r="AC2871" s="130"/>
      <c r="AD2871" s="130">
        <v>34009</v>
      </c>
      <c r="AE2871" s="128" t="s">
        <v>46</v>
      </c>
      <c r="AF2871" s="128" t="s">
        <v>40</v>
      </c>
      <c r="AG2871" s="128" t="s">
        <v>41</v>
      </c>
      <c r="AH2871" s="108" t="s">
        <v>31</v>
      </c>
      <c r="AI2871" s="128" t="s">
        <v>85</v>
      </c>
      <c r="AJ2871" s="129" t="s">
        <v>48</v>
      </c>
      <c r="AK2871" s="129">
        <v>8</v>
      </c>
      <c r="AL2871" s="3" t="s">
        <v>48</v>
      </c>
      <c r="AP2871" s="129" t="s">
        <v>104</v>
      </c>
      <c r="AR2871" s="128" t="s">
        <v>44</v>
      </c>
      <c r="AS2871" s="129" t="s">
        <v>64</v>
      </c>
      <c r="AX2871" s="32"/>
      <c r="BC2871" s="129" t="s">
        <v>52</v>
      </c>
      <c r="BF2871" s="111">
        <f t="shared" si="2095"/>
        <v>2</v>
      </c>
      <c r="BG2871" s="111">
        <f t="shared" si="2096"/>
        <v>186</v>
      </c>
      <c r="BH2871" s="111">
        <f t="shared" si="2052"/>
        <v>186</v>
      </c>
      <c r="BI2871" s="111">
        <f t="shared" si="2055"/>
        <v>19.005464480874316</v>
      </c>
      <c r="BJ2871" s="129">
        <f>(G2871-J2871)+(M2871-G2871)</f>
        <v>0</v>
      </c>
      <c r="BK2871" s="129">
        <f t="shared" si="2053"/>
        <v>-184</v>
      </c>
      <c r="BL2871" s="129" t="str">
        <f t="shared" si="2098"/>
        <v>DEFERRED</v>
      </c>
      <c r="BM2871" s="129" t="s">
        <v>76</v>
      </c>
      <c r="BN2871" s="129" t="s">
        <v>88</v>
      </c>
      <c r="BP2871" s="137" t="str">
        <f t="shared" si="2059"/>
        <v>DEFERRED</v>
      </c>
      <c r="BQ2871" s="128" t="str">
        <f t="shared" si="2068"/>
        <v>Y</v>
      </c>
      <c r="BR2871" s="129" t="str">
        <f t="shared" si="2060"/>
        <v>ON BOND</v>
      </c>
      <c r="BS2871" s="129" t="str">
        <f t="shared" si="2061"/>
        <v>DISPOSED</v>
      </c>
      <c r="BT2871" s="129" t="str">
        <f t="shared" si="2062"/>
        <v>N</v>
      </c>
      <c r="BU2871" s="109">
        <f t="shared" si="2069"/>
        <v>1.0752688172043012E-2</v>
      </c>
      <c r="BV2871" s="109">
        <f t="shared" si="2070"/>
        <v>1.0752688172043012E-2</v>
      </c>
      <c r="BW2871" s="109">
        <f t="shared" si="2094"/>
        <v>0</v>
      </c>
      <c r="BX2871" s="111">
        <f t="shared" si="2063"/>
        <v>0</v>
      </c>
      <c r="BY2871" s="129">
        <f t="shared" si="2071"/>
        <v>-2</v>
      </c>
      <c r="BZ2871" s="111">
        <f t="shared" si="2072"/>
        <v>0</v>
      </c>
      <c r="CA2871" s="138">
        <f t="shared" si="2073"/>
        <v>2</v>
      </c>
      <c r="CB2871" s="111" t="e">
        <f t="shared" si="2097"/>
        <v>#VALUE!</v>
      </c>
      <c r="CC2871" s="129">
        <f>M2871-I2871+1</f>
        <v>2</v>
      </c>
      <c r="CD2871" s="111">
        <f>CC2871-BF2871</f>
        <v>0</v>
      </c>
      <c r="CG2871" s="129" t="str">
        <f t="shared" si="2074"/>
        <v>N</v>
      </c>
      <c r="CI2871" s="129" t="str">
        <f t="shared" si="2075"/>
        <v>0-10 DAYS</v>
      </c>
      <c r="CJ2871" s="137">
        <f t="shared" si="2076"/>
        <v>1</v>
      </c>
      <c r="CK2871" s="129" t="str">
        <f t="shared" si="2077"/>
        <v>Booked</v>
      </c>
    </row>
    <row r="2872" spans="1:89" ht="15.75" customHeight="1" x14ac:dyDescent="0.25">
      <c r="A2872" s="111">
        <v>1532</v>
      </c>
      <c r="B2872" s="128" t="str">
        <f t="shared" si="2065"/>
        <v>N</v>
      </c>
      <c r="C2872" s="128" t="str">
        <f t="shared" si="2066"/>
        <v>N</v>
      </c>
      <c r="D2872" s="117">
        <v>2606668</v>
      </c>
      <c r="E2872" s="135">
        <f t="shared" si="2067"/>
        <v>4</v>
      </c>
      <c r="F2872" s="124">
        <v>40965</v>
      </c>
      <c r="G2872" s="125">
        <v>41115</v>
      </c>
      <c r="H2872" s="117">
        <v>2606668</v>
      </c>
      <c r="I2872" s="124">
        <v>40965</v>
      </c>
      <c r="J2872" s="124">
        <v>40966</v>
      </c>
      <c r="K2872" s="126">
        <v>5000</v>
      </c>
      <c r="L2872" s="127" t="s">
        <v>569</v>
      </c>
      <c r="M2872" s="125">
        <v>40966</v>
      </c>
      <c r="N2872" s="129" t="str">
        <f>IF(M2872&gt;1/1/1,"Y","N")</f>
        <v>Y</v>
      </c>
      <c r="O2872" s="128" t="s">
        <v>76</v>
      </c>
      <c r="P2872" s="129" t="s">
        <v>39</v>
      </c>
      <c r="Q2872" s="111">
        <f t="shared" si="2091"/>
        <v>2</v>
      </c>
      <c r="R2872" s="111">
        <f t="shared" si="2051"/>
        <v>151</v>
      </c>
      <c r="S2872" s="129">
        <v>0</v>
      </c>
      <c r="T2872" s="129">
        <v>0</v>
      </c>
      <c r="W2872" s="111"/>
      <c r="AC2872" s="130"/>
      <c r="AD2872" s="130">
        <v>31222</v>
      </c>
      <c r="AE2872" s="128" t="s">
        <v>32</v>
      </c>
      <c r="AF2872" s="128" t="s">
        <v>69</v>
      </c>
      <c r="AG2872" s="128" t="s">
        <v>874</v>
      </c>
      <c r="AH2872" s="108" t="s">
        <v>31</v>
      </c>
      <c r="AI2872" s="128" t="s">
        <v>65</v>
      </c>
      <c r="AJ2872" s="129" t="s">
        <v>89</v>
      </c>
      <c r="AK2872" s="129">
        <v>8</v>
      </c>
      <c r="AL2872" s="3" t="s">
        <v>991</v>
      </c>
      <c r="AO2872" s="128">
        <v>90</v>
      </c>
      <c r="AP2872" s="129" t="s">
        <v>148</v>
      </c>
      <c r="AR2872" s="128" t="s">
        <v>67</v>
      </c>
      <c r="AS2872" s="129" t="s">
        <v>45</v>
      </c>
      <c r="BC2872" s="129" t="s">
        <v>52</v>
      </c>
      <c r="BF2872" s="111">
        <f t="shared" si="2095"/>
        <v>2</v>
      </c>
      <c r="BG2872" s="111">
        <f t="shared" si="2096"/>
        <v>151</v>
      </c>
      <c r="BH2872" s="111">
        <f t="shared" si="2052"/>
        <v>151</v>
      </c>
      <c r="BI2872" s="111">
        <f t="shared" si="2055"/>
        <v>26.620218579234972</v>
      </c>
      <c r="BJ2872" s="129">
        <f>(G2872-J2872)+(M2872-G2872)</f>
        <v>0</v>
      </c>
      <c r="BK2872" s="129">
        <f t="shared" si="2053"/>
        <v>-149</v>
      </c>
      <c r="BL2872" s="129" t="str">
        <f t="shared" si="2098"/>
        <v>CONVICTION</v>
      </c>
      <c r="BM2872" s="129" t="s">
        <v>76</v>
      </c>
      <c r="BN2872" s="129" t="s">
        <v>88</v>
      </c>
      <c r="BP2872" s="137" t="str">
        <f t="shared" si="2059"/>
        <v>CONVICTION</v>
      </c>
      <c r="BQ2872" s="128" t="str">
        <f t="shared" si="2068"/>
        <v>Y</v>
      </c>
      <c r="BR2872" s="129" t="str">
        <f>IF(J2872&lt;G2872,"ON BOND",0)</f>
        <v>ON BOND</v>
      </c>
      <c r="BS2872" s="129" t="str">
        <f t="shared" si="2061"/>
        <v>DISPOSED</v>
      </c>
      <c r="BT2872" s="129" t="str">
        <f t="shared" si="2062"/>
        <v>N</v>
      </c>
      <c r="BU2872" s="109">
        <f t="shared" si="2069"/>
        <v>1.3245033112582781E-2</v>
      </c>
      <c r="BV2872" s="109">
        <f t="shared" si="2070"/>
        <v>1.3245033112582781E-2</v>
      </c>
      <c r="BW2872" s="109">
        <f t="shared" si="2094"/>
        <v>0</v>
      </c>
      <c r="BX2872" s="111">
        <f t="shared" si="2063"/>
        <v>0</v>
      </c>
      <c r="BY2872" s="129">
        <f t="shared" si="2071"/>
        <v>-2</v>
      </c>
      <c r="BZ2872" s="111">
        <f t="shared" si="2072"/>
        <v>0</v>
      </c>
      <c r="CA2872" s="138">
        <f t="shared" si="2073"/>
        <v>2</v>
      </c>
      <c r="CB2872" s="111" t="e">
        <f t="shared" si="2097"/>
        <v>#VALUE!</v>
      </c>
      <c r="CC2872" s="129">
        <f>M2872-I2872+1</f>
        <v>2</v>
      </c>
      <c r="CD2872" s="111">
        <f>CC2872-BF2872</f>
        <v>0</v>
      </c>
      <c r="CG2872" s="129" t="str">
        <f t="shared" si="2074"/>
        <v>N</v>
      </c>
      <c r="CI2872" s="129" t="str">
        <f t="shared" si="2075"/>
        <v>0-10 DAYS</v>
      </c>
      <c r="CJ2872" s="137">
        <f t="shared" si="2076"/>
        <v>1</v>
      </c>
      <c r="CK2872" s="129" t="str">
        <f t="shared" si="2077"/>
        <v>Booked</v>
      </c>
    </row>
    <row r="2873" spans="1:89" ht="15" customHeight="1" x14ac:dyDescent="0.25">
      <c r="A2873" s="111">
        <v>1536</v>
      </c>
      <c r="B2873" s="128" t="str">
        <f t="shared" si="2065"/>
        <v>N</v>
      </c>
      <c r="C2873" s="128" t="str">
        <f t="shared" si="2066"/>
        <v>N</v>
      </c>
      <c r="D2873" s="117">
        <v>2606708</v>
      </c>
      <c r="E2873" s="135">
        <f t="shared" si="2067"/>
        <v>2</v>
      </c>
      <c r="F2873" s="124">
        <v>40966</v>
      </c>
      <c r="G2873" s="125">
        <v>41106</v>
      </c>
      <c r="H2873" s="117">
        <v>2606708</v>
      </c>
      <c r="I2873" s="124">
        <v>40966</v>
      </c>
      <c r="J2873" s="124">
        <v>40967</v>
      </c>
      <c r="K2873" s="126">
        <v>2000</v>
      </c>
      <c r="L2873" s="127" t="s">
        <v>568</v>
      </c>
      <c r="M2873" s="125">
        <v>40967</v>
      </c>
      <c r="N2873" s="129" t="str">
        <f>IF(M2873&gt;1/1/1,"Y","N")</f>
        <v>Y</v>
      </c>
      <c r="O2873" s="128" t="s">
        <v>76</v>
      </c>
      <c r="P2873" s="129" t="s">
        <v>589</v>
      </c>
      <c r="Q2873" s="111">
        <f t="shared" si="2091"/>
        <v>2</v>
      </c>
      <c r="R2873" s="111">
        <f t="shared" si="2051"/>
        <v>141</v>
      </c>
      <c r="S2873" s="129">
        <v>0</v>
      </c>
      <c r="T2873" s="129">
        <v>0</v>
      </c>
      <c r="W2873" s="111"/>
      <c r="AB2873" s="131" t="s">
        <v>112</v>
      </c>
      <c r="AC2873" s="130"/>
      <c r="AD2873" s="130">
        <v>29351</v>
      </c>
      <c r="AE2873" s="128" t="s">
        <v>32</v>
      </c>
      <c r="AF2873" s="128" t="s">
        <v>40</v>
      </c>
      <c r="AG2873" s="128" t="s">
        <v>41</v>
      </c>
      <c r="AH2873" s="108" t="s">
        <v>31</v>
      </c>
      <c r="AI2873" s="128" t="s">
        <v>72</v>
      </c>
      <c r="AJ2873" s="129" t="s">
        <v>48</v>
      </c>
      <c r="AK2873" s="129">
        <v>7</v>
      </c>
      <c r="AL2873" s="3" t="s">
        <v>48</v>
      </c>
      <c r="AP2873" s="129" t="s">
        <v>43</v>
      </c>
      <c r="AR2873" s="128" t="s">
        <v>44</v>
      </c>
      <c r="AS2873" s="129" t="s">
        <v>45</v>
      </c>
      <c r="BC2873" s="129" t="s">
        <v>52</v>
      </c>
      <c r="BF2873" s="111">
        <f t="shared" si="2095"/>
        <v>2</v>
      </c>
      <c r="BG2873" s="111">
        <f t="shared" si="2096"/>
        <v>141</v>
      </c>
      <c r="BH2873" s="111">
        <f t="shared" si="2052"/>
        <v>141</v>
      </c>
      <c r="BI2873" s="111">
        <f t="shared" si="2055"/>
        <v>31.734972677595628</v>
      </c>
      <c r="BJ2873" s="129">
        <f>(G2873-J2873)+(M2873-G2873)</f>
        <v>0</v>
      </c>
      <c r="BK2873" s="129">
        <f t="shared" si="2053"/>
        <v>-139</v>
      </c>
      <c r="BL2873" s="129" t="str">
        <f t="shared" si="2098"/>
        <v>DEFERRED</v>
      </c>
      <c r="BM2873" s="129" t="s">
        <v>76</v>
      </c>
      <c r="BN2873" s="129" t="s">
        <v>88</v>
      </c>
      <c r="BP2873" s="137" t="str">
        <f t="shared" si="2059"/>
        <v>DEFERRED</v>
      </c>
      <c r="BQ2873" s="128" t="str">
        <f t="shared" si="2068"/>
        <v>Y</v>
      </c>
      <c r="BR2873" s="129" t="str">
        <f t="shared" si="2060"/>
        <v>ON BOND</v>
      </c>
      <c r="BS2873" s="129" t="str">
        <f t="shared" si="2061"/>
        <v>DISPOSED</v>
      </c>
      <c r="BT2873" s="129" t="str">
        <f t="shared" si="2062"/>
        <v>N</v>
      </c>
      <c r="BU2873" s="109">
        <f t="shared" si="2069"/>
        <v>1.4184397163120567E-2</v>
      </c>
      <c r="BV2873" s="109">
        <f t="shared" si="2070"/>
        <v>1.4184397163120567E-2</v>
      </c>
      <c r="BW2873" s="109">
        <f t="shared" si="2094"/>
        <v>0</v>
      </c>
      <c r="BX2873" s="111">
        <f t="shared" si="2063"/>
        <v>0</v>
      </c>
      <c r="BY2873" s="129">
        <f t="shared" si="2071"/>
        <v>-2</v>
      </c>
      <c r="BZ2873" s="111">
        <f t="shared" si="2072"/>
        <v>0</v>
      </c>
      <c r="CA2873" s="138">
        <f t="shared" si="2073"/>
        <v>2</v>
      </c>
      <c r="CB2873" s="111" t="e">
        <f t="shared" si="2097"/>
        <v>#VALUE!</v>
      </c>
      <c r="CC2873" s="129">
        <f>M2873-I2873+1</f>
        <v>2</v>
      </c>
      <c r="CD2873" s="111">
        <f>CC2873-BF2873</f>
        <v>0</v>
      </c>
      <c r="CG2873" s="129" t="str">
        <f t="shared" si="2074"/>
        <v>N</v>
      </c>
      <c r="CI2873" s="129" t="str">
        <f t="shared" si="2075"/>
        <v>0-10 DAYS</v>
      </c>
      <c r="CJ2873" s="137">
        <f t="shared" si="2076"/>
        <v>1</v>
      </c>
      <c r="CK2873" s="129" t="str">
        <f t="shared" si="2077"/>
        <v>Booked</v>
      </c>
    </row>
    <row r="2874" spans="1:89" ht="15.75" customHeight="1" x14ac:dyDescent="0.25">
      <c r="A2874" s="111">
        <v>1540</v>
      </c>
      <c r="B2874" s="128" t="str">
        <f t="shared" si="2065"/>
        <v>N</v>
      </c>
      <c r="C2874" s="128" t="str">
        <f t="shared" si="2066"/>
        <v>N</v>
      </c>
      <c r="D2874" s="117">
        <v>2606733</v>
      </c>
      <c r="E2874" s="135">
        <f t="shared" si="2067"/>
        <v>3</v>
      </c>
      <c r="F2874" s="124">
        <v>40966</v>
      </c>
      <c r="G2874" s="125">
        <v>41144</v>
      </c>
      <c r="H2874" s="117">
        <v>2606733</v>
      </c>
      <c r="I2874" s="124" t="s">
        <v>562</v>
      </c>
      <c r="J2874" s="124" t="s">
        <v>562</v>
      </c>
      <c r="K2874" s="126">
        <v>2000</v>
      </c>
      <c r="L2874" s="127" t="s">
        <v>568</v>
      </c>
      <c r="M2874" s="125">
        <v>40967</v>
      </c>
      <c r="N2874" s="129" t="str">
        <f>IF(M2874&gt;1/1/1,"Y",IF(Q2874="0","","N"))</f>
        <v>Y</v>
      </c>
      <c r="O2874" s="128" t="s">
        <v>76</v>
      </c>
      <c r="P2874" s="129" t="s">
        <v>659</v>
      </c>
      <c r="Q2874" s="111">
        <f t="shared" si="2091"/>
        <v>0</v>
      </c>
      <c r="R2874" s="111">
        <f t="shared" si="2051"/>
        <v>179</v>
      </c>
      <c r="S2874" s="129">
        <v>0</v>
      </c>
      <c r="T2874" s="129">
        <v>0</v>
      </c>
      <c r="W2874" s="111"/>
      <c r="AC2874" s="130"/>
      <c r="AD2874" s="130">
        <v>26592</v>
      </c>
      <c r="AE2874" s="128" t="s">
        <v>46</v>
      </c>
      <c r="AF2874" s="128" t="s">
        <v>69</v>
      </c>
      <c r="AG2874" s="128" t="s">
        <v>874</v>
      </c>
      <c r="AH2874" s="108" t="s">
        <v>31</v>
      </c>
      <c r="AI2874" s="128" t="s">
        <v>113</v>
      </c>
      <c r="AJ2874" s="129" t="s">
        <v>89</v>
      </c>
      <c r="AK2874" s="129">
        <v>11</v>
      </c>
      <c r="AL2874" s="3" t="s">
        <v>185</v>
      </c>
      <c r="AP2874" s="129" t="s">
        <v>108</v>
      </c>
      <c r="AR2874" s="128" t="s">
        <v>44</v>
      </c>
      <c r="AS2874" s="129" t="s">
        <v>61</v>
      </c>
      <c r="BC2874" s="129" t="s">
        <v>52</v>
      </c>
      <c r="BF2874" s="111">
        <v>0</v>
      </c>
      <c r="BG2874" s="111">
        <v>0</v>
      </c>
      <c r="BH2874" s="111">
        <f t="shared" si="2052"/>
        <v>179</v>
      </c>
      <c r="BI2874" s="111">
        <f t="shared" si="2055"/>
        <v>39.27322404371585</v>
      </c>
      <c r="BJ2874" s="129" t="e">
        <f>(G2874-J2874)+(M2874-G2874)</f>
        <v>#VALUE!</v>
      </c>
      <c r="BK2874" s="129" t="e">
        <f t="shared" si="2053"/>
        <v>#VALUE!</v>
      </c>
      <c r="BL2874" s="129" t="str">
        <f t="shared" si="2098"/>
        <v>CONVICTION</v>
      </c>
      <c r="BM2874" s="129" t="s">
        <v>76</v>
      </c>
      <c r="BN2874" s="129" t="s">
        <v>88</v>
      </c>
      <c r="BP2874" s="137" t="str">
        <f t="shared" si="2059"/>
        <v>CONVICTION</v>
      </c>
      <c r="BQ2874" s="128">
        <f t="shared" si="2068"/>
        <v>0</v>
      </c>
      <c r="BR2874" s="129" t="s">
        <v>575</v>
      </c>
      <c r="BS2874" s="129" t="str">
        <f t="shared" si="2061"/>
        <v>DISPOSED</v>
      </c>
      <c r="BT2874" s="129" t="str">
        <f t="shared" si="2062"/>
        <v>N</v>
      </c>
      <c r="BU2874" s="109">
        <f t="shared" si="2069"/>
        <v>0</v>
      </c>
      <c r="BV2874" s="109">
        <v>0</v>
      </c>
      <c r="BW2874" s="109">
        <f t="shared" si="2094"/>
        <v>0</v>
      </c>
      <c r="BX2874" s="111">
        <f t="shared" si="2063"/>
        <v>0</v>
      </c>
      <c r="BY2874" s="129" t="e">
        <f t="shared" si="2071"/>
        <v>#VALUE!</v>
      </c>
      <c r="BZ2874" s="111" t="e">
        <f t="shared" si="2072"/>
        <v>#VALUE!</v>
      </c>
      <c r="CA2874" s="138" t="e">
        <f t="shared" si="2073"/>
        <v>#VALUE!</v>
      </c>
      <c r="CB2874" s="111">
        <v>0</v>
      </c>
      <c r="CC2874" s="129">
        <v>0</v>
      </c>
      <c r="CD2874" s="111">
        <f>CC2874-BF2874</f>
        <v>0</v>
      </c>
      <c r="CG2874" s="129" t="str">
        <f t="shared" si="2074"/>
        <v>N</v>
      </c>
      <c r="CI2874" s="129" t="str">
        <f t="shared" si="2075"/>
        <v>0-10 DAYS</v>
      </c>
      <c r="CJ2874" s="137">
        <f t="shared" si="2076"/>
        <v>1</v>
      </c>
      <c r="CK2874" s="129" t="str">
        <f t="shared" si="2077"/>
        <v>Not Booked</v>
      </c>
    </row>
    <row r="2875" spans="1:89" ht="15.75" customHeight="1" x14ac:dyDescent="0.25">
      <c r="A2875" s="111">
        <v>1542</v>
      </c>
      <c r="B2875" s="128" t="str">
        <f t="shared" si="2065"/>
        <v>N</v>
      </c>
      <c r="C2875" s="128" t="str">
        <f t="shared" si="2066"/>
        <v>N</v>
      </c>
      <c r="D2875" s="117">
        <v>2606744</v>
      </c>
      <c r="E2875" s="135">
        <f t="shared" si="2067"/>
        <v>1</v>
      </c>
      <c r="F2875" s="124">
        <v>40966</v>
      </c>
      <c r="G2875" s="125">
        <v>41016</v>
      </c>
      <c r="H2875" s="117">
        <v>2606744</v>
      </c>
      <c r="I2875" s="124">
        <v>40966</v>
      </c>
      <c r="J2875" s="124">
        <v>41016</v>
      </c>
      <c r="K2875" s="126">
        <v>52000</v>
      </c>
      <c r="L2875" s="129" t="s">
        <v>572</v>
      </c>
      <c r="N2875" s="129" t="str">
        <f t="shared" ref="N2875:N2884" si="2099">IF(M2875&gt;1/1/1,"Y","N")</f>
        <v>N</v>
      </c>
      <c r="O2875" s="128" t="s">
        <v>917</v>
      </c>
      <c r="P2875" s="116" t="s">
        <v>55</v>
      </c>
      <c r="Q2875" s="111">
        <f t="shared" si="2091"/>
        <v>51</v>
      </c>
      <c r="R2875" s="111">
        <f t="shared" si="2051"/>
        <v>51</v>
      </c>
      <c r="S2875" s="129">
        <v>0</v>
      </c>
      <c r="T2875" s="129">
        <v>0</v>
      </c>
      <c r="W2875" s="111"/>
      <c r="AB2875" s="131" t="s">
        <v>112</v>
      </c>
      <c r="AC2875" s="130"/>
      <c r="AD2875" s="130">
        <v>32512</v>
      </c>
      <c r="AE2875" s="128" t="s">
        <v>32</v>
      </c>
      <c r="AF2875" s="128" t="s">
        <v>40</v>
      </c>
      <c r="AG2875" s="128" t="s">
        <v>41</v>
      </c>
      <c r="AH2875" s="108" t="s">
        <v>31</v>
      </c>
      <c r="AI2875" s="128" t="s">
        <v>83</v>
      </c>
      <c r="AJ2875" s="129" t="s">
        <v>55</v>
      </c>
      <c r="AK2875" s="129">
        <v>3</v>
      </c>
      <c r="AL2875" s="3" t="s">
        <v>55</v>
      </c>
      <c r="AP2875" s="129" t="s">
        <v>107</v>
      </c>
      <c r="AR2875" s="128" t="s">
        <v>44</v>
      </c>
      <c r="AS2875" s="129" t="s">
        <v>57</v>
      </c>
      <c r="BC2875" s="129" t="s">
        <v>52</v>
      </c>
      <c r="BF2875" s="111">
        <f t="shared" ref="BF2875:BF2884" si="2100">IF(J2875&gt;1/1/1900,((J2875+1)-I2875),"STILL OPEN")</f>
        <v>51</v>
      </c>
      <c r="BG2875" s="111">
        <f t="shared" ref="BG2875:BG2884" si="2101">IF(G2875&gt;1/1/1900,((G2875+1)-I2875),"STILL OPEN")</f>
        <v>51</v>
      </c>
      <c r="BH2875" s="111">
        <f t="shared" si="2052"/>
        <v>51</v>
      </c>
      <c r="BI2875" s="111">
        <f t="shared" si="2055"/>
        <v>23.098360655737704</v>
      </c>
      <c r="BJ2875" s="129">
        <f>G2875-J2875-M2875</f>
        <v>0</v>
      </c>
      <c r="BK2875" s="129">
        <f t="shared" si="2053"/>
        <v>0</v>
      </c>
      <c r="BL2875" s="129" t="str">
        <f t="shared" si="2098"/>
        <v>NO CONVICTION</v>
      </c>
      <c r="BM2875" s="129" t="str">
        <f>O2875</f>
        <v>NONE</v>
      </c>
      <c r="BN2875" s="129" t="s">
        <v>566</v>
      </c>
      <c r="BP2875" s="137" t="str">
        <f t="shared" si="2059"/>
        <v>NO CONVICTION</v>
      </c>
      <c r="BQ2875" s="128" t="str">
        <f t="shared" si="2068"/>
        <v>Y</v>
      </c>
      <c r="BR2875" s="129" t="str">
        <f t="shared" si="2060"/>
        <v>DETAINED</v>
      </c>
      <c r="BS2875" s="129" t="str">
        <f t="shared" si="2061"/>
        <v>DISPOSED</v>
      </c>
      <c r="BT2875" s="129" t="str">
        <f t="shared" si="2062"/>
        <v>N</v>
      </c>
      <c r="BU2875" s="109">
        <f>IFERROR(Q2875/R2875,BR2875)</f>
        <v>1</v>
      </c>
      <c r="BV2875" s="109">
        <f t="shared" si="2070"/>
        <v>1</v>
      </c>
      <c r="BW2875" s="109">
        <f t="shared" si="2094"/>
        <v>0</v>
      </c>
      <c r="BX2875" s="111">
        <f t="shared" si="2063"/>
        <v>0</v>
      </c>
      <c r="BY2875" s="129">
        <f t="shared" si="2071"/>
        <v>-51</v>
      </c>
      <c r="BZ2875" s="111">
        <f t="shared" si="2072"/>
        <v>0</v>
      </c>
      <c r="CA2875" s="138">
        <f t="shared" si="2073"/>
        <v>51</v>
      </c>
      <c r="CB2875" s="111" t="e">
        <f t="shared" ref="CB2875:CB2884" si="2102">IF(AF2875&gt;1/1/1900,((AF2875+1)-AE2875),"STILL OPEN")</f>
        <v>#VALUE!</v>
      </c>
      <c r="CC2875" s="129">
        <f>G2875-I2875+1</f>
        <v>51</v>
      </c>
      <c r="CD2875" s="129">
        <f>G2875-J2875</f>
        <v>0</v>
      </c>
      <c r="CG2875" s="129" t="str">
        <f t="shared" si="2074"/>
        <v>N</v>
      </c>
      <c r="CI2875" s="129" t="str">
        <f t="shared" si="2075"/>
        <v>31-60 DAYS</v>
      </c>
      <c r="CJ2875" s="137">
        <f t="shared" si="2076"/>
        <v>3</v>
      </c>
      <c r="CK2875" s="129" t="str">
        <f t="shared" si="2077"/>
        <v>Booked</v>
      </c>
    </row>
    <row r="2876" spans="1:89" ht="15" customHeight="1" x14ac:dyDescent="0.25">
      <c r="A2876" s="111">
        <v>1568</v>
      </c>
      <c r="B2876" s="128" t="str">
        <f t="shared" si="2065"/>
        <v>N</v>
      </c>
      <c r="C2876" s="128" t="str">
        <f t="shared" si="2066"/>
        <v>N</v>
      </c>
      <c r="D2876" s="117">
        <v>2606882</v>
      </c>
      <c r="E2876" s="135">
        <f t="shared" si="2067"/>
        <v>1</v>
      </c>
      <c r="F2876" s="124">
        <v>40967</v>
      </c>
      <c r="G2876" s="125">
        <v>40968</v>
      </c>
      <c r="H2876" s="117">
        <v>2606882</v>
      </c>
      <c r="I2876" s="124">
        <v>40967</v>
      </c>
      <c r="J2876" s="124">
        <v>40968</v>
      </c>
      <c r="K2876" s="126">
        <v>5000</v>
      </c>
      <c r="L2876" s="127" t="s">
        <v>569</v>
      </c>
      <c r="M2876" s="125">
        <v>40968</v>
      </c>
      <c r="N2876" s="129" t="str">
        <f t="shared" si="2099"/>
        <v>Y</v>
      </c>
      <c r="O2876" s="128" t="s">
        <v>76</v>
      </c>
      <c r="P2876" s="129" t="s">
        <v>55</v>
      </c>
      <c r="Q2876" s="111">
        <f t="shared" si="2091"/>
        <v>2</v>
      </c>
      <c r="R2876" s="111">
        <f t="shared" ref="R2876:R2939" si="2103">BH2876</f>
        <v>2</v>
      </c>
      <c r="S2876" s="129">
        <v>0</v>
      </c>
      <c r="T2876" s="129">
        <v>0</v>
      </c>
      <c r="W2876" s="111"/>
      <c r="AC2876" s="130"/>
      <c r="AD2876" s="130">
        <v>24063</v>
      </c>
      <c r="AE2876" s="128" t="s">
        <v>46</v>
      </c>
      <c r="AF2876" s="128" t="s">
        <v>69</v>
      </c>
      <c r="AG2876" s="128" t="s">
        <v>874</v>
      </c>
      <c r="AH2876" s="108" t="s">
        <v>31</v>
      </c>
      <c r="AI2876" s="128" t="s">
        <v>70</v>
      </c>
      <c r="AJ2876" s="129" t="s">
        <v>55</v>
      </c>
      <c r="AK2876" s="129">
        <v>1</v>
      </c>
      <c r="AL2876" s="3" t="s">
        <v>55</v>
      </c>
      <c r="AP2876" s="129" t="s">
        <v>96</v>
      </c>
      <c r="AR2876" s="128" t="s">
        <v>67</v>
      </c>
      <c r="AS2876" s="129" t="s">
        <v>64</v>
      </c>
      <c r="BC2876" s="129" t="s">
        <v>79</v>
      </c>
      <c r="BF2876" s="111">
        <f t="shared" si="2100"/>
        <v>2</v>
      </c>
      <c r="BG2876" s="111">
        <f t="shared" si="2101"/>
        <v>2</v>
      </c>
      <c r="BH2876" s="111">
        <f t="shared" ref="BH2876:BH2939" si="2104">IF(G2876&gt;1/1/1900,((G2876+1)-F2876),"STILL OPEN")</f>
        <v>2</v>
      </c>
      <c r="BI2876" s="111">
        <f t="shared" si="2055"/>
        <v>46.185792349726775</v>
      </c>
      <c r="BJ2876" s="129">
        <f>G2876-J2876</f>
        <v>0</v>
      </c>
      <c r="BK2876" s="129">
        <f t="shared" ref="BK2876:BK2939" si="2105">J2876-G2876</f>
        <v>0</v>
      </c>
      <c r="BL2876" s="129" t="str">
        <f t="shared" si="2098"/>
        <v>NO CONVICTION</v>
      </c>
      <c r="BM2876" s="129" t="s">
        <v>76</v>
      </c>
      <c r="BN2876" s="129" t="s">
        <v>88</v>
      </c>
      <c r="BP2876" s="137" t="str">
        <f t="shared" si="2059"/>
        <v>NO CONVICTION</v>
      </c>
      <c r="BQ2876" s="128" t="str">
        <f t="shared" si="2068"/>
        <v>Y</v>
      </c>
      <c r="BR2876" s="129" t="str">
        <f t="shared" si="2060"/>
        <v>ON BOND</v>
      </c>
      <c r="BS2876" s="129" t="str">
        <f t="shared" si="2061"/>
        <v>DISPOSED</v>
      </c>
      <c r="BT2876" s="129" t="str">
        <f t="shared" si="2062"/>
        <v>N</v>
      </c>
      <c r="BU2876" s="109">
        <f>IFERROR(Q2876/R2876,BR2876)</f>
        <v>1</v>
      </c>
      <c r="BV2876" s="109">
        <f t="shared" si="2070"/>
        <v>1</v>
      </c>
      <c r="BW2876" s="109">
        <f t="shared" si="2094"/>
        <v>0</v>
      </c>
      <c r="BX2876" s="111">
        <f t="shared" si="2063"/>
        <v>0</v>
      </c>
      <c r="BY2876" s="129">
        <f t="shared" si="2071"/>
        <v>-2</v>
      </c>
      <c r="BZ2876" s="111">
        <f t="shared" si="2072"/>
        <v>0</v>
      </c>
      <c r="CA2876" s="138">
        <f t="shared" si="2073"/>
        <v>2</v>
      </c>
      <c r="CB2876" s="111" t="e">
        <f t="shared" si="2102"/>
        <v>#VALUE!</v>
      </c>
      <c r="CC2876" s="129">
        <f>M2876-I2876+1</f>
        <v>2</v>
      </c>
      <c r="CD2876" s="111">
        <f>CC2876-BF2876</f>
        <v>0</v>
      </c>
      <c r="CG2876" s="129" t="str">
        <f t="shared" si="2074"/>
        <v>N</v>
      </c>
      <c r="CI2876" s="129" t="str">
        <f t="shared" si="2075"/>
        <v>0-10 DAYS</v>
      </c>
      <c r="CJ2876" s="137">
        <f t="shared" si="2076"/>
        <v>1</v>
      </c>
      <c r="CK2876" s="129" t="str">
        <f t="shared" si="2077"/>
        <v>Booked</v>
      </c>
    </row>
    <row r="2877" spans="1:89" ht="15.75" customHeight="1" x14ac:dyDescent="0.25">
      <c r="A2877" s="111">
        <v>1576</v>
      </c>
      <c r="B2877" s="128" t="str">
        <f t="shared" si="2065"/>
        <v>N</v>
      </c>
      <c r="C2877" s="128" t="str">
        <f t="shared" si="2066"/>
        <v>N</v>
      </c>
      <c r="D2877" s="117">
        <v>2606985</v>
      </c>
      <c r="E2877" s="135">
        <f t="shared" si="2067"/>
        <v>2</v>
      </c>
      <c r="F2877" s="124">
        <v>40967</v>
      </c>
      <c r="G2877" s="125">
        <v>40969</v>
      </c>
      <c r="H2877" s="117">
        <v>2606985</v>
      </c>
      <c r="I2877" s="124">
        <v>40968</v>
      </c>
      <c r="J2877" s="124">
        <v>40969</v>
      </c>
      <c r="K2877" s="126">
        <v>2000</v>
      </c>
      <c r="L2877" s="127" t="s">
        <v>568</v>
      </c>
      <c r="N2877" s="129" t="str">
        <f t="shared" si="2099"/>
        <v>N</v>
      </c>
      <c r="O2877" s="128" t="s">
        <v>917</v>
      </c>
      <c r="P2877" s="129" t="s">
        <v>589</v>
      </c>
      <c r="Q2877" s="111">
        <f t="shared" si="2091"/>
        <v>2</v>
      </c>
      <c r="R2877" s="111">
        <f t="shared" si="2103"/>
        <v>3</v>
      </c>
      <c r="S2877" s="129">
        <v>0</v>
      </c>
      <c r="T2877" s="129">
        <v>0</v>
      </c>
      <c r="W2877" s="111"/>
      <c r="AB2877" s="131" t="s">
        <v>112</v>
      </c>
      <c r="AC2877" s="130"/>
      <c r="AD2877" s="130">
        <v>34339</v>
      </c>
      <c r="AE2877" s="128" t="s">
        <v>32</v>
      </c>
      <c r="AF2877" s="128" t="s">
        <v>40</v>
      </c>
      <c r="AG2877" s="128" t="s">
        <v>41</v>
      </c>
      <c r="AH2877" s="108" t="s">
        <v>31</v>
      </c>
      <c r="AI2877" s="128" t="s">
        <v>59</v>
      </c>
      <c r="AJ2877" s="129" t="s">
        <v>48</v>
      </c>
      <c r="AK2877" s="129">
        <v>1</v>
      </c>
      <c r="AL2877" s="3" t="s">
        <v>48</v>
      </c>
      <c r="AP2877" s="129" t="s">
        <v>43</v>
      </c>
      <c r="AR2877" s="128" t="s">
        <v>44</v>
      </c>
      <c r="AS2877" s="129" t="s">
        <v>45</v>
      </c>
      <c r="BC2877" s="129" t="s">
        <v>38</v>
      </c>
      <c r="BF2877" s="111">
        <f t="shared" si="2100"/>
        <v>2</v>
      </c>
      <c r="BG2877" s="111">
        <f t="shared" si="2101"/>
        <v>2</v>
      </c>
      <c r="BH2877" s="111">
        <f t="shared" si="2104"/>
        <v>3</v>
      </c>
      <c r="BI2877" s="111">
        <f t="shared" si="2055"/>
        <v>18.10928961748634</v>
      </c>
      <c r="BJ2877" s="129">
        <f>G2877-J2877-M2877</f>
        <v>0</v>
      </c>
      <c r="BK2877" s="129">
        <f t="shared" si="2105"/>
        <v>0</v>
      </c>
      <c r="BL2877" s="129" t="str">
        <f t="shared" si="2098"/>
        <v>DEFERRED</v>
      </c>
      <c r="BM2877" s="129" t="str">
        <f>O2877</f>
        <v>NONE</v>
      </c>
      <c r="BN2877" s="129" t="s">
        <v>566</v>
      </c>
      <c r="BP2877" s="137" t="str">
        <f t="shared" si="2059"/>
        <v>DEFERRED</v>
      </c>
      <c r="BQ2877" s="128" t="str">
        <f t="shared" si="2068"/>
        <v>Y</v>
      </c>
      <c r="BR2877" s="129" t="str">
        <f t="shared" si="2060"/>
        <v>DETAINED</v>
      </c>
      <c r="BS2877" s="129" t="str">
        <f t="shared" si="2061"/>
        <v>DISPOSED</v>
      </c>
      <c r="BT2877" s="129" t="str">
        <f t="shared" si="2062"/>
        <v>N</v>
      </c>
      <c r="BU2877" s="109">
        <f t="shared" si="2069"/>
        <v>0.66666666666666663</v>
      </c>
      <c r="BV2877" s="109">
        <f t="shared" si="2070"/>
        <v>1</v>
      </c>
      <c r="BW2877" s="109">
        <f t="shared" si="2094"/>
        <v>0.33333333333333337</v>
      </c>
      <c r="BX2877" s="111">
        <f t="shared" si="2063"/>
        <v>0</v>
      </c>
      <c r="BY2877" s="129">
        <f t="shared" si="2071"/>
        <v>-2</v>
      </c>
      <c r="BZ2877" s="111">
        <f t="shared" si="2072"/>
        <v>0</v>
      </c>
      <c r="CA2877" s="138">
        <f t="shared" si="2073"/>
        <v>2</v>
      </c>
      <c r="CB2877" s="111" t="e">
        <f t="shared" si="2102"/>
        <v>#VALUE!</v>
      </c>
      <c r="CC2877" s="129">
        <f>G2877-I2877+1</f>
        <v>2</v>
      </c>
      <c r="CD2877" s="129">
        <f>G2877-J2877</f>
        <v>0</v>
      </c>
      <c r="CG2877" s="129" t="str">
        <f t="shared" si="2074"/>
        <v>N</v>
      </c>
      <c r="CI2877" s="129" t="str">
        <f t="shared" si="2075"/>
        <v>0-10 DAYS</v>
      </c>
      <c r="CJ2877" s="137">
        <f t="shared" si="2076"/>
        <v>1</v>
      </c>
      <c r="CK2877" s="129" t="str">
        <f t="shared" si="2077"/>
        <v>Booked</v>
      </c>
    </row>
    <row r="2878" spans="1:89" ht="15" customHeight="1" x14ac:dyDescent="0.25">
      <c r="A2878" s="111">
        <v>1578</v>
      </c>
      <c r="B2878" s="128" t="str">
        <f t="shared" si="2065"/>
        <v>N</v>
      </c>
      <c r="C2878" s="128" t="str">
        <f t="shared" si="2066"/>
        <v>N</v>
      </c>
      <c r="D2878" s="117">
        <v>2606990</v>
      </c>
      <c r="E2878" s="135">
        <f t="shared" si="2067"/>
        <v>2</v>
      </c>
      <c r="F2878" s="124">
        <v>40967</v>
      </c>
      <c r="G2878" s="125">
        <v>40970</v>
      </c>
      <c r="H2878" s="117">
        <v>2606990</v>
      </c>
      <c r="I2878" s="124">
        <v>40968</v>
      </c>
      <c r="J2878" s="124">
        <v>40970</v>
      </c>
      <c r="K2878" s="126">
        <v>5000</v>
      </c>
      <c r="L2878" s="127" t="s">
        <v>569</v>
      </c>
      <c r="N2878" s="129" t="str">
        <f t="shared" si="2099"/>
        <v>N</v>
      </c>
      <c r="O2878" s="128" t="s">
        <v>917</v>
      </c>
      <c r="P2878" s="129" t="s">
        <v>589</v>
      </c>
      <c r="Q2878" s="111">
        <f t="shared" si="2091"/>
        <v>3</v>
      </c>
      <c r="R2878" s="111">
        <f t="shared" si="2103"/>
        <v>4</v>
      </c>
      <c r="S2878" s="129">
        <v>0</v>
      </c>
      <c r="T2878" s="129">
        <v>0</v>
      </c>
      <c r="W2878" s="111"/>
      <c r="AC2878" s="130"/>
      <c r="AD2878" s="130">
        <v>30594</v>
      </c>
      <c r="AE2878" s="128" t="s">
        <v>46</v>
      </c>
      <c r="AF2878" s="128" t="s">
        <v>69</v>
      </c>
      <c r="AG2878" s="128" t="s">
        <v>874</v>
      </c>
      <c r="AH2878" s="108" t="s">
        <v>31</v>
      </c>
      <c r="AI2878" s="128" t="s">
        <v>113</v>
      </c>
      <c r="AJ2878" s="129" t="s">
        <v>48</v>
      </c>
      <c r="AK2878" s="129">
        <v>2</v>
      </c>
      <c r="AL2878" s="3" t="s">
        <v>48</v>
      </c>
      <c r="AP2878" s="129" t="s">
        <v>103</v>
      </c>
      <c r="AR2878" s="128" t="s">
        <v>44</v>
      </c>
      <c r="AS2878" s="129" t="s">
        <v>45</v>
      </c>
      <c r="AT2878" s="129" t="s">
        <v>349</v>
      </c>
      <c r="BC2878" s="129" t="s">
        <v>38</v>
      </c>
      <c r="BF2878" s="111">
        <f t="shared" si="2100"/>
        <v>3</v>
      </c>
      <c r="BG2878" s="111">
        <f t="shared" si="2101"/>
        <v>3</v>
      </c>
      <c r="BH2878" s="111">
        <f t="shared" si="2104"/>
        <v>4</v>
      </c>
      <c r="BI2878" s="111">
        <f t="shared" si="2055"/>
        <v>28.34153005464481</v>
      </c>
      <c r="BJ2878" s="129">
        <f>G2878-J2878-M2878</f>
        <v>0</v>
      </c>
      <c r="BK2878" s="129">
        <f t="shared" si="2105"/>
        <v>0</v>
      </c>
      <c r="BL2878" s="129" t="str">
        <f t="shared" si="2098"/>
        <v>DEFERRED</v>
      </c>
      <c r="BM2878" s="129" t="str">
        <f>O2878</f>
        <v>NONE</v>
      </c>
      <c r="BN2878" s="129" t="s">
        <v>566</v>
      </c>
      <c r="BP2878" s="137" t="str">
        <f t="shared" si="2059"/>
        <v>DEFERRED</v>
      </c>
      <c r="BQ2878" s="128" t="str">
        <f t="shared" si="2068"/>
        <v>Y</v>
      </c>
      <c r="BR2878" s="129" t="str">
        <f t="shared" si="2060"/>
        <v>DETAINED</v>
      </c>
      <c r="BS2878" s="129" t="str">
        <f t="shared" si="2061"/>
        <v>DISPOSED</v>
      </c>
      <c r="BT2878" s="129" t="str">
        <f t="shared" si="2062"/>
        <v>N</v>
      </c>
      <c r="BU2878" s="109">
        <f t="shared" si="2069"/>
        <v>0.75</v>
      </c>
      <c r="BV2878" s="109">
        <f t="shared" si="2070"/>
        <v>1</v>
      </c>
      <c r="BW2878" s="109">
        <f t="shared" si="2094"/>
        <v>0.25</v>
      </c>
      <c r="BX2878" s="111">
        <f t="shared" si="2063"/>
        <v>0</v>
      </c>
      <c r="BY2878" s="129">
        <f t="shared" si="2071"/>
        <v>-3</v>
      </c>
      <c r="BZ2878" s="111">
        <f t="shared" si="2072"/>
        <v>0</v>
      </c>
      <c r="CA2878" s="138">
        <f t="shared" si="2073"/>
        <v>3</v>
      </c>
      <c r="CB2878" s="111" t="e">
        <f t="shared" si="2102"/>
        <v>#VALUE!</v>
      </c>
      <c r="CC2878" s="129">
        <f>G2878-I2878+1</f>
        <v>3</v>
      </c>
      <c r="CD2878" s="129">
        <f>G2878-J2878</f>
        <v>0</v>
      </c>
      <c r="CG2878" s="129" t="str">
        <f t="shared" si="2074"/>
        <v>N</v>
      </c>
      <c r="CI2878" s="129" t="str">
        <f t="shared" si="2075"/>
        <v>0-10 DAYS</v>
      </c>
      <c r="CJ2878" s="137">
        <f t="shared" si="2076"/>
        <v>1</v>
      </c>
      <c r="CK2878" s="129" t="str">
        <f t="shared" si="2077"/>
        <v>Booked</v>
      </c>
    </row>
    <row r="2879" spans="1:89" ht="15" customHeight="1" x14ac:dyDescent="0.25">
      <c r="A2879" s="111">
        <v>1580</v>
      </c>
      <c r="B2879" s="128" t="str">
        <f t="shared" si="2065"/>
        <v>N</v>
      </c>
      <c r="C2879" s="128" t="str">
        <f t="shared" si="2066"/>
        <v>N</v>
      </c>
      <c r="D2879" s="117">
        <v>2606995</v>
      </c>
      <c r="E2879" s="135">
        <f t="shared" si="2067"/>
        <v>2</v>
      </c>
      <c r="F2879" s="124">
        <v>40967</v>
      </c>
      <c r="G2879" s="125">
        <v>41012</v>
      </c>
      <c r="H2879" s="117">
        <v>2606995</v>
      </c>
      <c r="I2879" s="124">
        <v>40968</v>
      </c>
      <c r="J2879" s="124">
        <v>40969</v>
      </c>
      <c r="K2879" s="126">
        <v>10000</v>
      </c>
      <c r="L2879" s="127" t="s">
        <v>570</v>
      </c>
      <c r="M2879" s="125">
        <v>40969</v>
      </c>
      <c r="N2879" s="129" t="str">
        <f t="shared" si="2099"/>
        <v>Y</v>
      </c>
      <c r="O2879" s="112" t="s">
        <v>160</v>
      </c>
      <c r="P2879" s="129" t="s">
        <v>589</v>
      </c>
      <c r="Q2879" s="111">
        <f t="shared" si="2091"/>
        <v>2</v>
      </c>
      <c r="R2879" s="111">
        <f t="shared" si="2103"/>
        <v>46</v>
      </c>
      <c r="S2879" s="129">
        <v>0</v>
      </c>
      <c r="T2879" s="129">
        <v>0</v>
      </c>
      <c r="W2879" s="111"/>
      <c r="AC2879" s="130"/>
      <c r="AD2879" s="130">
        <v>31697</v>
      </c>
      <c r="AE2879" s="128" t="s">
        <v>46</v>
      </c>
      <c r="AF2879" s="128" t="s">
        <v>69</v>
      </c>
      <c r="AG2879" s="128" t="s">
        <v>874</v>
      </c>
      <c r="AH2879" s="108" t="s">
        <v>31</v>
      </c>
      <c r="AI2879" s="128" t="s">
        <v>72</v>
      </c>
      <c r="AJ2879" s="129" t="s">
        <v>48</v>
      </c>
      <c r="AK2879" s="129">
        <v>3</v>
      </c>
      <c r="AL2879" s="3" t="s">
        <v>48</v>
      </c>
      <c r="AP2879" s="129" t="s">
        <v>131</v>
      </c>
      <c r="AR2879" s="128" t="s">
        <v>50</v>
      </c>
      <c r="AS2879" s="129" t="s">
        <v>106</v>
      </c>
      <c r="AT2879" s="129" t="s">
        <v>350</v>
      </c>
      <c r="BC2879" s="129" t="s">
        <v>38</v>
      </c>
      <c r="BF2879" s="111">
        <f t="shared" si="2100"/>
        <v>2</v>
      </c>
      <c r="BG2879" s="111">
        <f t="shared" si="2101"/>
        <v>45</v>
      </c>
      <c r="BH2879" s="111">
        <f t="shared" si="2104"/>
        <v>46</v>
      </c>
      <c r="BI2879" s="111">
        <f t="shared" ref="BI2879:BI2942" si="2106">(F2879-AD2879)/366</f>
        <v>25.327868852459016</v>
      </c>
      <c r="BJ2879" s="129">
        <f>(G2879-J2879)+(M2879-G2879)</f>
        <v>0</v>
      </c>
      <c r="BK2879" s="129">
        <f t="shared" si="2105"/>
        <v>-43</v>
      </c>
      <c r="BL2879" s="129" t="str">
        <f t="shared" si="2098"/>
        <v>DEFERRED</v>
      </c>
      <c r="BM2879" s="129" t="s">
        <v>160</v>
      </c>
      <c r="BN2879" s="129" t="s">
        <v>88</v>
      </c>
      <c r="BP2879" s="137" t="str">
        <f t="shared" si="2059"/>
        <v>DEFERRED</v>
      </c>
      <c r="BQ2879" s="128" t="str">
        <f t="shared" si="2068"/>
        <v>Y</v>
      </c>
      <c r="BR2879" s="129" t="str">
        <f t="shared" si="2060"/>
        <v>ON BOND</v>
      </c>
      <c r="BS2879" s="129" t="str">
        <f t="shared" si="2061"/>
        <v>DISPOSED</v>
      </c>
      <c r="BT2879" s="129" t="str">
        <f t="shared" si="2062"/>
        <v>N</v>
      </c>
      <c r="BU2879" s="109">
        <f t="shared" si="2069"/>
        <v>4.3478260869565216E-2</v>
      </c>
      <c r="BV2879" s="109">
        <f t="shared" si="2070"/>
        <v>4.4444444444444446E-2</v>
      </c>
      <c r="BW2879" s="109">
        <f t="shared" si="2094"/>
        <v>9.6618357487922996E-4</v>
      </c>
      <c r="BX2879" s="111">
        <f t="shared" si="2063"/>
        <v>0</v>
      </c>
      <c r="BY2879" s="129">
        <f t="shared" si="2071"/>
        <v>-2</v>
      </c>
      <c r="BZ2879" s="111">
        <f t="shared" si="2072"/>
        <v>0</v>
      </c>
      <c r="CA2879" s="138">
        <f t="shared" si="2073"/>
        <v>2</v>
      </c>
      <c r="CB2879" s="111" t="e">
        <f t="shared" si="2102"/>
        <v>#VALUE!</v>
      </c>
      <c r="CC2879" s="129">
        <f>M2879-I2879+1</f>
        <v>2</v>
      </c>
      <c r="CD2879" s="111">
        <f>CC2879-BF2879</f>
        <v>0</v>
      </c>
      <c r="CG2879" s="129" t="str">
        <f t="shared" si="2074"/>
        <v>N</v>
      </c>
      <c r="CI2879" s="129" t="str">
        <f t="shared" si="2075"/>
        <v>0-10 DAYS</v>
      </c>
      <c r="CJ2879" s="137">
        <f t="shared" si="2076"/>
        <v>1</v>
      </c>
      <c r="CK2879" s="129" t="str">
        <f t="shared" si="2077"/>
        <v>Booked</v>
      </c>
    </row>
    <row r="2880" spans="1:89" ht="15" customHeight="1" x14ac:dyDescent="0.25">
      <c r="A2880" s="111">
        <v>1581</v>
      </c>
      <c r="B2880" s="128" t="str">
        <f t="shared" si="2065"/>
        <v>N</v>
      </c>
      <c r="C2880" s="128" t="str">
        <f t="shared" si="2066"/>
        <v>N</v>
      </c>
      <c r="D2880" s="117">
        <v>2606998</v>
      </c>
      <c r="E2880" s="135">
        <f t="shared" si="2067"/>
        <v>6</v>
      </c>
      <c r="F2880" s="124">
        <v>40967</v>
      </c>
      <c r="G2880" s="125">
        <v>41501</v>
      </c>
      <c r="H2880" s="117">
        <v>2606998</v>
      </c>
      <c r="I2880" s="124">
        <v>40968</v>
      </c>
      <c r="J2880" s="125">
        <v>41501</v>
      </c>
      <c r="K2880" s="126">
        <v>60000</v>
      </c>
      <c r="L2880" s="129" t="s">
        <v>572</v>
      </c>
      <c r="N2880" s="129" t="str">
        <f t="shared" si="2099"/>
        <v>N</v>
      </c>
      <c r="O2880" s="128" t="s">
        <v>917</v>
      </c>
      <c r="P2880" s="129" t="s">
        <v>39</v>
      </c>
      <c r="Q2880" s="111">
        <f t="shared" si="2091"/>
        <v>534</v>
      </c>
      <c r="R2880" s="111">
        <f t="shared" si="2103"/>
        <v>535</v>
      </c>
      <c r="S2880" s="129">
        <v>0</v>
      </c>
      <c r="T2880" s="129">
        <v>0</v>
      </c>
      <c r="W2880" s="111"/>
      <c r="AC2880" s="130"/>
      <c r="AD2880" s="130">
        <v>33918</v>
      </c>
      <c r="AE2880" s="128" t="s">
        <v>32</v>
      </c>
      <c r="AF2880" s="128" t="s">
        <v>33</v>
      </c>
      <c r="AG2880" s="128" t="s">
        <v>872</v>
      </c>
      <c r="AH2880" s="108" t="s">
        <v>31</v>
      </c>
      <c r="AI2880" s="128" t="s">
        <v>100</v>
      </c>
      <c r="AJ2880" s="129" t="s">
        <v>89</v>
      </c>
      <c r="AK2880" s="129">
        <v>17</v>
      </c>
      <c r="AL2880" s="3" t="s">
        <v>362</v>
      </c>
      <c r="AM2880" s="117">
        <v>15</v>
      </c>
      <c r="AP2880" s="129" t="s">
        <v>105</v>
      </c>
      <c r="AR2880" s="128" t="s">
        <v>92</v>
      </c>
      <c r="AS2880" s="129" t="s">
        <v>106</v>
      </c>
      <c r="AT2880" s="129" t="s">
        <v>1152</v>
      </c>
      <c r="BC2880" s="129" t="s">
        <v>38</v>
      </c>
      <c r="BF2880" s="111">
        <f t="shared" si="2100"/>
        <v>534</v>
      </c>
      <c r="BG2880" s="111">
        <f t="shared" si="2101"/>
        <v>534</v>
      </c>
      <c r="BH2880" s="111">
        <f t="shared" si="2104"/>
        <v>535</v>
      </c>
      <c r="BI2880" s="111">
        <f t="shared" si="2106"/>
        <v>19.259562841530055</v>
      </c>
      <c r="BJ2880" s="129">
        <f>G2880-J2880-M2880</f>
        <v>0</v>
      </c>
      <c r="BK2880" s="129">
        <f t="shared" si="2105"/>
        <v>0</v>
      </c>
      <c r="BL2880" s="129" t="str">
        <f t="shared" si="2098"/>
        <v>CONVICTION</v>
      </c>
      <c r="BM2880" s="129" t="str">
        <f>O2880</f>
        <v>NONE</v>
      </c>
      <c r="BN2880" s="129" t="s">
        <v>566</v>
      </c>
      <c r="BP2880" s="137" t="str">
        <f t="shared" ref="BP2880:BP2943" si="2107">IF(OR(AJ2880="AQUITTAL",AJ2880="DISMISSED",AJ2880="FINE",AJ2880="NO BILL"),"NO CONVICTION",IF(OR(AJ2880="HCJ",AJ2880="MHH",AJ2880="PROBATION",AJ2880="STJ",AJ2880="TDC",AJ2880="CONVICTED"),"CONVICTION",IF(AJ2880="DEFERRED","DEFERRED","")))</f>
        <v>CONVICTION</v>
      </c>
      <c r="BQ2880" s="128" t="str">
        <f t="shared" si="2068"/>
        <v>Y</v>
      </c>
      <c r="BR2880" s="129" t="str">
        <f t="shared" ref="BR2880:BR2943" si="2108">IF(AND(J2880="NOT BOOKED",M2880&gt;1/1/1),"BONDED - BEFORE BOOKED",IF(BG2880="STILL OPEN","STILL OPEN",IF(N2880="Y","ON BOND",IF(J2880&gt;=G2880,"DETAINED","RELEASED"))))</f>
        <v>DETAINED</v>
      </c>
      <c r="BS2880" s="129" t="str">
        <f t="shared" ref="BS2880:BS2943" si="2109">IF(G2880&lt;&gt;"","DISPOSED","")</f>
        <v>DISPOSED</v>
      </c>
      <c r="BT2880" s="129" t="str">
        <f t="shared" ref="BT2880:BT2943" si="2110">IF(S2880&gt;0,"Y","N")</f>
        <v>N</v>
      </c>
      <c r="BU2880" s="109">
        <f t="shared" ref="BU2880:BU2943" si="2111">Q2880/R2880</f>
        <v>0.9981308411214953</v>
      </c>
      <c r="BV2880" s="109">
        <f t="shared" si="2070"/>
        <v>1</v>
      </c>
      <c r="BW2880" s="109">
        <f t="shared" si="2094"/>
        <v>1.8691588785046953E-3</v>
      </c>
      <c r="BX2880" s="111">
        <f t="shared" ref="BX2880:BX2943" si="2112">+Q2880-BF2880</f>
        <v>0</v>
      </c>
      <c r="BY2880" s="129">
        <f t="shared" si="2071"/>
        <v>-534</v>
      </c>
      <c r="BZ2880" s="111">
        <f t="shared" si="2072"/>
        <v>0</v>
      </c>
      <c r="CA2880" s="138">
        <f t="shared" si="2073"/>
        <v>534</v>
      </c>
      <c r="CB2880" s="111" t="e">
        <f t="shared" si="2102"/>
        <v>#VALUE!</v>
      </c>
      <c r="CC2880" s="129">
        <f>G2880-I2880+1</f>
        <v>534</v>
      </c>
      <c r="CD2880" s="129">
        <f>G2880-J2880</f>
        <v>0</v>
      </c>
      <c r="CG2880" s="129" t="str">
        <f t="shared" si="2074"/>
        <v>N</v>
      </c>
      <c r="CI2880" s="129" t="str">
        <f t="shared" si="2075"/>
        <v xml:space="preserve"> &gt;1YRS&lt;2YRS</v>
      </c>
      <c r="CJ2880" s="137">
        <f t="shared" si="2076"/>
        <v>0</v>
      </c>
      <c r="CK2880" s="129" t="str">
        <f t="shared" si="2077"/>
        <v>Booked</v>
      </c>
    </row>
    <row r="2881" spans="1:89" ht="15" customHeight="1" x14ac:dyDescent="0.25">
      <c r="A2881" s="111">
        <v>1586</v>
      </c>
      <c r="B2881" s="128" t="str">
        <f t="shared" ref="B2881:B2944" si="2113">IF(BD2881&lt;&gt;"","Y","N")</f>
        <v>N</v>
      </c>
      <c r="C2881" s="128" t="str">
        <f t="shared" ref="C2881:C2944" si="2114">IF((AND(AV2881="",AX2881="",AY2881="")),"N","Y")</f>
        <v>N</v>
      </c>
      <c r="D2881" s="117">
        <v>2607009</v>
      </c>
      <c r="E2881" s="135">
        <f t="shared" ref="E2881:E2944" si="2115">IF(OR(AL2881="ACQUITTAL",AL2881="ACQUIT",AL2881="acq insane",AL2881="DISMISSED",AL2881="NO BILL"),1,IF(AL2881="DEFERRED",2,IF(AL2881="PROBATION",3,IF(OR(AL2881="HCJ",AL2881="fine"),4,IF(AL2881="STJ",5,IF(AL2881="TDC",6,""))))))</f>
        <v>1</v>
      </c>
      <c r="F2881" s="124">
        <v>40967</v>
      </c>
      <c r="G2881" s="125">
        <v>41240</v>
      </c>
      <c r="H2881" s="117">
        <v>2607009</v>
      </c>
      <c r="I2881" s="124">
        <v>40968</v>
      </c>
      <c r="J2881" s="124">
        <v>40970</v>
      </c>
      <c r="K2881" s="126">
        <v>15000</v>
      </c>
      <c r="L2881" s="127" t="s">
        <v>571</v>
      </c>
      <c r="M2881" s="125">
        <v>40970</v>
      </c>
      <c r="N2881" s="129" t="str">
        <f t="shared" si="2099"/>
        <v>Y</v>
      </c>
      <c r="O2881" s="128" t="s">
        <v>76</v>
      </c>
      <c r="P2881" s="129" t="s">
        <v>55</v>
      </c>
      <c r="Q2881" s="111">
        <f t="shared" si="2091"/>
        <v>3</v>
      </c>
      <c r="R2881" s="111">
        <f t="shared" si="2103"/>
        <v>274</v>
      </c>
      <c r="S2881" s="129">
        <v>0</v>
      </c>
      <c r="T2881" s="129">
        <v>0</v>
      </c>
      <c r="W2881" s="111"/>
      <c r="AC2881" s="130"/>
      <c r="AD2881" s="130">
        <v>29842</v>
      </c>
      <c r="AE2881" s="128" t="s">
        <v>46</v>
      </c>
      <c r="AF2881" s="128" t="s">
        <v>33</v>
      </c>
      <c r="AG2881" s="128" t="s">
        <v>872</v>
      </c>
      <c r="AH2881" s="108" t="s">
        <v>31</v>
      </c>
      <c r="AI2881" s="128" t="s">
        <v>85</v>
      </c>
      <c r="AJ2881" s="129" t="s">
        <v>55</v>
      </c>
      <c r="AK2881" s="129">
        <v>10</v>
      </c>
      <c r="AL2881" s="3" t="s">
        <v>55</v>
      </c>
      <c r="AP2881" s="129" t="s">
        <v>148</v>
      </c>
      <c r="AR2881" s="128" t="s">
        <v>67</v>
      </c>
      <c r="AS2881" s="129" t="s">
        <v>45</v>
      </c>
      <c r="BC2881" s="129" t="s">
        <v>52</v>
      </c>
      <c r="BF2881" s="111">
        <f t="shared" si="2100"/>
        <v>3</v>
      </c>
      <c r="BG2881" s="111">
        <f t="shared" si="2101"/>
        <v>273</v>
      </c>
      <c r="BH2881" s="111">
        <f t="shared" si="2104"/>
        <v>274</v>
      </c>
      <c r="BI2881" s="111">
        <f t="shared" si="2106"/>
        <v>30.396174863387976</v>
      </c>
      <c r="BJ2881" s="129">
        <f>(G2881-J2881)+(M2881-G2881)</f>
        <v>0</v>
      </c>
      <c r="BK2881" s="129">
        <f t="shared" si="2105"/>
        <v>-270</v>
      </c>
      <c r="BL2881" s="129" t="str">
        <f t="shared" si="2098"/>
        <v>NO CONVICTION</v>
      </c>
      <c r="BM2881" s="129" t="s">
        <v>76</v>
      </c>
      <c r="BN2881" s="129" t="s">
        <v>88</v>
      </c>
      <c r="BP2881" s="137" t="str">
        <f t="shared" si="2107"/>
        <v>NO CONVICTION</v>
      </c>
      <c r="BQ2881" s="128" t="str">
        <f t="shared" ref="BQ2881:BQ2944" si="2116">IF(BF2881&gt;0,"Y",BF2881)</f>
        <v>Y</v>
      </c>
      <c r="BR2881" s="129" t="str">
        <f t="shared" si="2108"/>
        <v>ON BOND</v>
      </c>
      <c r="BS2881" s="129" t="str">
        <f t="shared" si="2109"/>
        <v>DISPOSED</v>
      </c>
      <c r="BT2881" s="129" t="str">
        <f t="shared" si="2110"/>
        <v>N</v>
      </c>
      <c r="BU2881" s="109">
        <f>IFERROR(Q2881/R2881,BR2881)</f>
        <v>1.0948905109489052E-2</v>
      </c>
      <c r="BV2881" s="109">
        <f t="shared" ref="BV2881:BV2944" si="2117">IF(I2881&gt;F2881,((J2881-I2881+1)/(G2881-I2881+1)),(J2881-I2881+1)/(G2881-F2881+1))</f>
        <v>1.098901098901099E-2</v>
      </c>
      <c r="BW2881" s="109">
        <f t="shared" si="2094"/>
        <v>4.0105879521938267E-5</v>
      </c>
      <c r="BX2881" s="111">
        <f t="shared" si="2112"/>
        <v>0</v>
      </c>
      <c r="BY2881" s="129">
        <f t="shared" ref="BY2881:BY2944" si="2118">I2881-J2881-1</f>
        <v>-3</v>
      </c>
      <c r="BZ2881" s="111">
        <f t="shared" ref="BZ2881:BZ2944" si="2119">BY2881+BF2881</f>
        <v>0</v>
      </c>
      <c r="CA2881" s="138">
        <f t="shared" ref="CA2881:CA2944" si="2120">IF(AND(BS2881="DISPOSED",BR2881="DETAINED"),G2881-I2881+1,IF(AND(BS2881="DISPOSED",BR2881="ON BOND"),M2881-I2881+1,IF(AND(BS2881="STILL OPEN","STILL OPEN"),"NOT BOOKED")))</f>
        <v>3</v>
      </c>
      <c r="CB2881" s="111" t="e">
        <f t="shared" si="2102"/>
        <v>#VALUE!</v>
      </c>
      <c r="CC2881" s="129">
        <f>M2881-I2881+1</f>
        <v>3</v>
      </c>
      <c r="CD2881" s="111">
        <f>CC2881-BF2881</f>
        <v>0</v>
      </c>
      <c r="CG2881" s="129" t="str">
        <f t="shared" ref="CG2881:CG2944" si="2121">IF((S2881+T2881+U2881)&gt;0,"Y","N")</f>
        <v>N</v>
      </c>
      <c r="CI2881" s="129" t="str">
        <f t="shared" si="2075"/>
        <v>0-10 DAYS</v>
      </c>
      <c r="CJ2881" s="137">
        <f t="shared" si="2076"/>
        <v>1</v>
      </c>
      <c r="CK2881" s="129" t="str">
        <f t="shared" si="2077"/>
        <v>Booked</v>
      </c>
    </row>
    <row r="2882" spans="1:89" ht="15.75" customHeight="1" x14ac:dyDescent="0.25">
      <c r="A2882" s="111">
        <v>1588</v>
      </c>
      <c r="B2882" s="128" t="str">
        <f t="shared" si="2113"/>
        <v>N</v>
      </c>
      <c r="C2882" s="128" t="str">
        <f t="shared" si="2114"/>
        <v>N</v>
      </c>
      <c r="D2882" s="117">
        <v>2607012</v>
      </c>
      <c r="E2882" s="135">
        <f t="shared" si="2115"/>
        <v>5</v>
      </c>
      <c r="F2882" s="124">
        <v>40968</v>
      </c>
      <c r="G2882" s="125">
        <v>40970</v>
      </c>
      <c r="H2882" s="117">
        <v>2607012</v>
      </c>
      <c r="I2882" s="124">
        <v>40968</v>
      </c>
      <c r="J2882" s="124">
        <v>40970</v>
      </c>
      <c r="K2882" s="126">
        <v>15000</v>
      </c>
      <c r="L2882" s="127" t="s">
        <v>571</v>
      </c>
      <c r="N2882" s="129" t="str">
        <f t="shared" si="2099"/>
        <v>N</v>
      </c>
      <c r="O2882" s="128" t="s">
        <v>917</v>
      </c>
      <c r="P2882" s="129" t="s">
        <v>39</v>
      </c>
      <c r="Q2882" s="111">
        <f t="shared" si="2091"/>
        <v>3</v>
      </c>
      <c r="R2882" s="111">
        <f t="shared" si="2103"/>
        <v>3</v>
      </c>
      <c r="S2882" s="129">
        <v>0</v>
      </c>
      <c r="T2882" s="129">
        <v>0</v>
      </c>
      <c r="W2882" s="111"/>
      <c r="AC2882" s="130"/>
      <c r="AD2882" s="130">
        <v>31306</v>
      </c>
      <c r="AE2882" s="128" t="s">
        <v>32</v>
      </c>
      <c r="AF2882" s="128" t="s">
        <v>69</v>
      </c>
      <c r="AG2882" s="128" t="s">
        <v>874</v>
      </c>
      <c r="AH2882" s="108" t="s">
        <v>31</v>
      </c>
      <c r="AI2882" s="128" t="s">
        <v>34</v>
      </c>
      <c r="AJ2882" s="129" t="s">
        <v>89</v>
      </c>
      <c r="AK2882" s="129">
        <v>2</v>
      </c>
      <c r="AL2882" s="3" t="s">
        <v>992</v>
      </c>
      <c r="AN2882" s="117">
        <v>6</v>
      </c>
      <c r="AP2882" s="129" t="s">
        <v>43</v>
      </c>
      <c r="AR2882" s="128" t="s">
        <v>44</v>
      </c>
      <c r="AS2882" s="129" t="s">
        <v>45</v>
      </c>
      <c r="BC2882" s="32" t="s">
        <v>79</v>
      </c>
      <c r="BE2882" s="32" t="s">
        <v>1244</v>
      </c>
      <c r="BF2882" s="111">
        <f t="shared" si="2100"/>
        <v>3</v>
      </c>
      <c r="BG2882" s="111">
        <f t="shared" si="2101"/>
        <v>3</v>
      </c>
      <c r="BH2882" s="111">
        <f t="shared" si="2104"/>
        <v>3</v>
      </c>
      <c r="BI2882" s="111">
        <f t="shared" si="2106"/>
        <v>26.398907103825138</v>
      </c>
      <c r="BJ2882" s="129">
        <f>G2882-J2882-M2882</f>
        <v>0</v>
      </c>
      <c r="BK2882" s="129">
        <f t="shared" si="2105"/>
        <v>0</v>
      </c>
      <c r="BL2882" s="129" t="str">
        <f t="shared" si="2098"/>
        <v>CONVICTION</v>
      </c>
      <c r="BM2882" s="129" t="str">
        <f>O2882</f>
        <v>NONE</v>
      </c>
      <c r="BN2882" s="129" t="s">
        <v>566</v>
      </c>
      <c r="BP2882" s="137" t="str">
        <f t="shared" si="2107"/>
        <v>CONVICTION</v>
      </c>
      <c r="BQ2882" s="128" t="str">
        <f t="shared" si="2116"/>
        <v>Y</v>
      </c>
      <c r="BR2882" s="129" t="str">
        <f t="shared" si="2108"/>
        <v>DETAINED</v>
      </c>
      <c r="BS2882" s="129" t="str">
        <f t="shared" si="2109"/>
        <v>DISPOSED</v>
      </c>
      <c r="BT2882" s="129" t="str">
        <f t="shared" si="2110"/>
        <v>N</v>
      </c>
      <c r="BU2882" s="109">
        <f t="shared" si="2111"/>
        <v>1</v>
      </c>
      <c r="BV2882" s="109">
        <f t="shared" si="2117"/>
        <v>1</v>
      </c>
      <c r="BW2882" s="109">
        <f t="shared" si="2094"/>
        <v>0</v>
      </c>
      <c r="BX2882" s="111">
        <f t="shared" si="2112"/>
        <v>0</v>
      </c>
      <c r="BY2882" s="129">
        <f t="shared" si="2118"/>
        <v>-3</v>
      </c>
      <c r="BZ2882" s="111">
        <f t="shared" si="2119"/>
        <v>0</v>
      </c>
      <c r="CA2882" s="138">
        <f t="shared" si="2120"/>
        <v>3</v>
      </c>
      <c r="CB2882" s="111" t="e">
        <f t="shared" si="2102"/>
        <v>#VALUE!</v>
      </c>
      <c r="CC2882" s="129">
        <f>G2882-I2882+1</f>
        <v>3</v>
      </c>
      <c r="CD2882" s="129">
        <f>G2882-J2882</f>
        <v>0</v>
      </c>
      <c r="CG2882" s="129" t="str">
        <f t="shared" si="2121"/>
        <v>N</v>
      </c>
      <c r="CI2882" s="129" t="str">
        <f t="shared" si="2075"/>
        <v>0-10 DAYS</v>
      </c>
      <c r="CJ2882" s="137">
        <f t="shared" si="2076"/>
        <v>1</v>
      </c>
      <c r="CK2882" s="129" t="str">
        <f t="shared" si="2077"/>
        <v>Booked</v>
      </c>
    </row>
    <row r="2883" spans="1:89" ht="15" customHeight="1" x14ac:dyDescent="0.25">
      <c r="A2883" s="111">
        <v>1594</v>
      </c>
      <c r="B2883" s="128" t="str">
        <f t="shared" si="2113"/>
        <v>N</v>
      </c>
      <c r="C2883" s="128" t="str">
        <f t="shared" si="2114"/>
        <v>N</v>
      </c>
      <c r="D2883" s="117">
        <v>2607028</v>
      </c>
      <c r="E2883" s="135">
        <f t="shared" si="2115"/>
        <v>2</v>
      </c>
      <c r="F2883" s="124">
        <v>40968</v>
      </c>
      <c r="G2883" s="125">
        <v>41071</v>
      </c>
      <c r="H2883" s="117">
        <v>2607028</v>
      </c>
      <c r="I2883" s="124">
        <v>40968</v>
      </c>
      <c r="J2883" s="124">
        <v>40970</v>
      </c>
      <c r="K2883" s="126">
        <v>5000</v>
      </c>
      <c r="L2883" s="127" t="s">
        <v>569</v>
      </c>
      <c r="M2883" s="125">
        <v>40970</v>
      </c>
      <c r="N2883" s="129" t="str">
        <f t="shared" si="2099"/>
        <v>Y</v>
      </c>
      <c r="O2883" s="128" t="s">
        <v>76</v>
      </c>
      <c r="P2883" s="129" t="s">
        <v>589</v>
      </c>
      <c r="Q2883" s="111">
        <f t="shared" si="2091"/>
        <v>3</v>
      </c>
      <c r="R2883" s="111">
        <f t="shared" si="2103"/>
        <v>104</v>
      </c>
      <c r="S2883" s="129">
        <v>0</v>
      </c>
      <c r="T2883" s="129">
        <v>0</v>
      </c>
      <c r="W2883" s="111"/>
      <c r="AC2883" s="130"/>
      <c r="AD2883" s="130">
        <v>32662</v>
      </c>
      <c r="AE2883" s="128" t="s">
        <v>32</v>
      </c>
      <c r="AF2883" s="128" t="s">
        <v>33</v>
      </c>
      <c r="AG2883" s="128" t="s">
        <v>872</v>
      </c>
      <c r="AH2883" s="108" t="s">
        <v>31</v>
      </c>
      <c r="AI2883" s="128" t="s">
        <v>47</v>
      </c>
      <c r="AJ2883" s="129" t="s">
        <v>48</v>
      </c>
      <c r="AK2883" s="129">
        <v>6</v>
      </c>
      <c r="AL2883" s="3" t="s">
        <v>48</v>
      </c>
      <c r="AP2883" s="129" t="s">
        <v>136</v>
      </c>
      <c r="AR2883" s="128" t="s">
        <v>67</v>
      </c>
      <c r="AS2883" s="129" t="s">
        <v>64</v>
      </c>
      <c r="AT2883" s="129" t="s">
        <v>351</v>
      </c>
      <c r="BC2883" s="129" t="s">
        <v>38</v>
      </c>
      <c r="BF2883" s="111">
        <f t="shared" si="2100"/>
        <v>3</v>
      </c>
      <c r="BG2883" s="111">
        <f t="shared" si="2101"/>
        <v>104</v>
      </c>
      <c r="BH2883" s="111">
        <f t="shared" si="2104"/>
        <v>104</v>
      </c>
      <c r="BI2883" s="111">
        <f t="shared" si="2106"/>
        <v>22.693989071038253</v>
      </c>
      <c r="BJ2883" s="129">
        <f>(G2883-J2883)+(M2883-G2883)</f>
        <v>0</v>
      </c>
      <c r="BK2883" s="129">
        <f t="shared" si="2105"/>
        <v>-101</v>
      </c>
      <c r="BL2883" s="129" t="str">
        <f t="shared" si="2098"/>
        <v>DEFERRED</v>
      </c>
      <c r="BM2883" s="129" t="s">
        <v>76</v>
      </c>
      <c r="BN2883" s="129" t="s">
        <v>88</v>
      </c>
      <c r="BP2883" s="137" t="str">
        <f t="shared" si="2107"/>
        <v>DEFERRED</v>
      </c>
      <c r="BQ2883" s="128" t="str">
        <f t="shared" si="2116"/>
        <v>Y</v>
      </c>
      <c r="BR2883" s="129" t="str">
        <f t="shared" si="2108"/>
        <v>ON BOND</v>
      </c>
      <c r="BS2883" s="129" t="str">
        <f t="shared" si="2109"/>
        <v>DISPOSED</v>
      </c>
      <c r="BT2883" s="129" t="str">
        <f t="shared" si="2110"/>
        <v>N</v>
      </c>
      <c r="BU2883" s="109">
        <f t="shared" si="2111"/>
        <v>2.8846153846153848E-2</v>
      </c>
      <c r="BV2883" s="109">
        <f t="shared" si="2117"/>
        <v>2.8846153846153848E-2</v>
      </c>
      <c r="BW2883" s="109">
        <f t="shared" si="2094"/>
        <v>0</v>
      </c>
      <c r="BX2883" s="111">
        <f t="shared" si="2112"/>
        <v>0</v>
      </c>
      <c r="BY2883" s="129">
        <f t="shared" si="2118"/>
        <v>-3</v>
      </c>
      <c r="BZ2883" s="111">
        <f t="shared" si="2119"/>
        <v>0</v>
      </c>
      <c r="CA2883" s="138">
        <f t="shared" si="2120"/>
        <v>3</v>
      </c>
      <c r="CB2883" s="111" t="e">
        <f t="shared" si="2102"/>
        <v>#VALUE!</v>
      </c>
      <c r="CC2883" s="129">
        <f>M2883-I2883+1</f>
        <v>3</v>
      </c>
      <c r="CD2883" s="111">
        <f>CC2883-BF2883</f>
        <v>0</v>
      </c>
      <c r="CG2883" s="129" t="str">
        <f t="shared" si="2121"/>
        <v>N</v>
      </c>
      <c r="CI2883" s="129" t="str">
        <f t="shared" ref="CI2883:CI2946" si="2122">IF(BF2883&lt;11,"0-10 DAYS",IF(AND(BF2883&gt;10,BF2883&lt;31),"11-30 DAYS",IF((AND(BF2883&gt;30,BF2883&lt;61)),"31-60 DAYS",IF(AND(BF2883&gt;60,BF2883&lt;91),"61-90 DAYS",IF(AND(BF2883&gt;90,BF2883&lt;121),"91-120 DAYS",IF(AND(BF2883&gt;120,BF2883&lt;366),"121-365 DAYS",IF(AND(BF2883&gt;365,BF2883&lt;730)," &gt;1YRS&lt;2YRS",IF(AND(BF2883&gt;729,BF2883&lt;1095),"&gt;2YRS&lt;3YRS",IF(BF2883&gt;1094,"&gt;3YRS")))))))))</f>
        <v>0-10 DAYS</v>
      </c>
      <c r="CJ2883" s="137">
        <f t="shared" ref="CJ2883:CJ2946" si="2123">IF(CI2883="0-10 DAYS",1,IF(CI2883="11-30 DAYS",2,IF(CI2883="31-60 DAYS",3,IF(CI2883="61-90 DAYS",4,IF(CK2883="91-120 DAYS",5,IF(CI2883="121-365 DAYS",6,IF(CI2883="&gt;1YRS&lt;2YRS",7,IF(CI2883="&gt;2YRS&lt;3YRS",8,IF(CI2883="&gt;3YRS",9,0)))))))))</f>
        <v>1</v>
      </c>
      <c r="CK2883" s="129" t="str">
        <f t="shared" ref="CK2883:CK2946" si="2124">IF(I2883="Not Booked","Not Booked","Booked")</f>
        <v>Booked</v>
      </c>
    </row>
    <row r="2884" spans="1:89" ht="15.75" customHeight="1" x14ac:dyDescent="0.25">
      <c r="A2884" s="111">
        <v>1598</v>
      </c>
      <c r="B2884" s="128" t="str">
        <f t="shared" si="2113"/>
        <v>N</v>
      </c>
      <c r="C2884" s="128" t="str">
        <f t="shared" si="2114"/>
        <v>N</v>
      </c>
      <c r="D2884" s="117">
        <v>2607038</v>
      </c>
      <c r="E2884" s="135">
        <f t="shared" si="2115"/>
        <v>1</v>
      </c>
      <c r="F2884" s="124">
        <v>40968</v>
      </c>
      <c r="G2884" s="125">
        <v>41001</v>
      </c>
      <c r="H2884" s="117">
        <v>2607038</v>
      </c>
      <c r="I2884" s="124">
        <v>40968</v>
      </c>
      <c r="J2884" s="124">
        <v>40971</v>
      </c>
      <c r="K2884" s="126">
        <v>2000</v>
      </c>
      <c r="L2884" s="127" t="s">
        <v>568</v>
      </c>
      <c r="M2884" s="125">
        <v>40971</v>
      </c>
      <c r="N2884" s="129" t="str">
        <f t="shared" si="2099"/>
        <v>Y</v>
      </c>
      <c r="O2884" s="128" t="s">
        <v>76</v>
      </c>
      <c r="P2884" s="129" t="s">
        <v>55</v>
      </c>
      <c r="Q2884" s="111">
        <f t="shared" si="2091"/>
        <v>4</v>
      </c>
      <c r="R2884" s="111">
        <f t="shared" si="2103"/>
        <v>34</v>
      </c>
      <c r="S2884" s="129">
        <v>0</v>
      </c>
      <c r="T2884" s="129">
        <v>0</v>
      </c>
      <c r="W2884" s="111"/>
      <c r="AC2884" s="130"/>
      <c r="AD2884" s="130">
        <v>29721</v>
      </c>
      <c r="AE2884" s="128" t="s">
        <v>46</v>
      </c>
      <c r="AF2884" s="128" t="s">
        <v>69</v>
      </c>
      <c r="AG2884" s="128" t="s">
        <v>874</v>
      </c>
      <c r="AH2884" s="108" t="s">
        <v>31</v>
      </c>
      <c r="AI2884" s="128" t="s">
        <v>62</v>
      </c>
      <c r="AJ2884" s="129" t="s">
        <v>55</v>
      </c>
      <c r="AK2884" s="129">
        <v>2</v>
      </c>
      <c r="AL2884" s="3" t="s">
        <v>55</v>
      </c>
      <c r="AP2884" s="129" t="s">
        <v>43</v>
      </c>
      <c r="AR2884" s="128" t="s">
        <v>44</v>
      </c>
      <c r="AS2884" s="129" t="s">
        <v>45</v>
      </c>
      <c r="BC2884" s="129" t="s">
        <v>52</v>
      </c>
      <c r="BF2884" s="111">
        <f t="shared" si="2100"/>
        <v>4</v>
      </c>
      <c r="BG2884" s="111">
        <f t="shared" si="2101"/>
        <v>34</v>
      </c>
      <c r="BH2884" s="111">
        <f t="shared" si="2104"/>
        <v>34</v>
      </c>
      <c r="BI2884" s="111">
        <f t="shared" si="2106"/>
        <v>30.729508196721312</v>
      </c>
      <c r="BJ2884" s="129">
        <f>(G2884-J2884)+(M2884-G2884)</f>
        <v>0</v>
      </c>
      <c r="BK2884" s="129">
        <f t="shared" si="2105"/>
        <v>-30</v>
      </c>
      <c r="BL2884" s="129" t="str">
        <f t="shared" si="2098"/>
        <v>NO CONVICTION</v>
      </c>
      <c r="BM2884" s="129" t="s">
        <v>76</v>
      </c>
      <c r="BN2884" s="129" t="s">
        <v>88</v>
      </c>
      <c r="BP2884" s="137" t="str">
        <f t="shared" si="2107"/>
        <v>NO CONVICTION</v>
      </c>
      <c r="BQ2884" s="128" t="str">
        <f t="shared" si="2116"/>
        <v>Y</v>
      </c>
      <c r="BR2884" s="129" t="str">
        <f t="shared" si="2108"/>
        <v>ON BOND</v>
      </c>
      <c r="BS2884" s="129" t="str">
        <f t="shared" si="2109"/>
        <v>DISPOSED</v>
      </c>
      <c r="BT2884" s="129" t="str">
        <f t="shared" si="2110"/>
        <v>N</v>
      </c>
      <c r="BU2884" s="109">
        <f>IFERROR(Q2884/R2884,BR2884)</f>
        <v>0.11764705882352941</v>
      </c>
      <c r="BV2884" s="109">
        <f t="shared" si="2117"/>
        <v>0.11764705882352941</v>
      </c>
      <c r="BW2884" s="109">
        <f t="shared" si="2094"/>
        <v>0</v>
      </c>
      <c r="BX2884" s="111">
        <f t="shared" si="2112"/>
        <v>0</v>
      </c>
      <c r="BY2884" s="129">
        <f t="shared" si="2118"/>
        <v>-4</v>
      </c>
      <c r="BZ2884" s="111">
        <f t="shared" si="2119"/>
        <v>0</v>
      </c>
      <c r="CA2884" s="138">
        <f t="shared" si="2120"/>
        <v>4</v>
      </c>
      <c r="CB2884" s="111" t="e">
        <f t="shared" si="2102"/>
        <v>#VALUE!</v>
      </c>
      <c r="CC2884" s="129">
        <f>M2884-I2884+1</f>
        <v>4</v>
      </c>
      <c r="CD2884" s="111">
        <f>CC2884-BF2884</f>
        <v>0</v>
      </c>
      <c r="CG2884" s="129" t="str">
        <f t="shared" si="2121"/>
        <v>N</v>
      </c>
      <c r="CI2884" s="129" t="str">
        <f t="shared" si="2122"/>
        <v>0-10 DAYS</v>
      </c>
      <c r="CJ2884" s="137">
        <f t="shared" si="2123"/>
        <v>1</v>
      </c>
      <c r="CK2884" s="129" t="str">
        <f t="shared" si="2124"/>
        <v>Booked</v>
      </c>
    </row>
    <row r="2885" spans="1:89" ht="15.75" customHeight="1" x14ac:dyDescent="0.25">
      <c r="A2885" s="111">
        <v>1608</v>
      </c>
      <c r="B2885" s="128" t="str">
        <f t="shared" si="2113"/>
        <v>N</v>
      </c>
      <c r="C2885" s="128" t="str">
        <f t="shared" si="2114"/>
        <v>N</v>
      </c>
      <c r="D2885" s="117">
        <v>2607135</v>
      </c>
      <c r="E2885" s="135">
        <f t="shared" si="2115"/>
        <v>2</v>
      </c>
      <c r="F2885" s="124">
        <v>40968</v>
      </c>
      <c r="G2885" s="125">
        <v>41092</v>
      </c>
      <c r="H2885" s="117">
        <v>2607135</v>
      </c>
      <c r="I2885" s="124" t="s">
        <v>562</v>
      </c>
      <c r="J2885" s="124" t="s">
        <v>562</v>
      </c>
      <c r="K2885" s="126">
        <v>2000</v>
      </c>
      <c r="L2885" s="127" t="s">
        <v>568</v>
      </c>
      <c r="M2885" s="125">
        <v>40977</v>
      </c>
      <c r="N2885" s="129" t="str">
        <f>IF(M2885&gt;1/1/1,"Y",IF(Q2885="0","","N"))</f>
        <v>Y</v>
      </c>
      <c r="O2885" s="128" t="s">
        <v>76</v>
      </c>
      <c r="P2885" s="129" t="s">
        <v>589</v>
      </c>
      <c r="Q2885" s="111">
        <f t="shared" si="2091"/>
        <v>0</v>
      </c>
      <c r="R2885" s="111">
        <f t="shared" si="2103"/>
        <v>125</v>
      </c>
      <c r="S2885" s="129">
        <v>0</v>
      </c>
      <c r="T2885" s="129">
        <v>0</v>
      </c>
      <c r="W2885" s="111"/>
      <c r="AB2885" s="131" t="s">
        <v>112</v>
      </c>
      <c r="AC2885" s="130"/>
      <c r="AD2885" s="130">
        <v>23467</v>
      </c>
      <c r="AE2885" s="128" t="s">
        <v>46</v>
      </c>
      <c r="AF2885" s="128" t="s">
        <v>40</v>
      </c>
      <c r="AG2885" s="128" t="s">
        <v>41</v>
      </c>
      <c r="AH2885" s="108" t="s">
        <v>31</v>
      </c>
      <c r="AI2885" s="128" t="s">
        <v>97</v>
      </c>
      <c r="AJ2885" s="129" t="s">
        <v>48</v>
      </c>
      <c r="AK2885" s="129">
        <v>5</v>
      </c>
      <c r="AL2885" s="3" t="s">
        <v>48</v>
      </c>
      <c r="AP2885" s="129" t="s">
        <v>98</v>
      </c>
      <c r="AR2885" s="128" t="s">
        <v>44</v>
      </c>
      <c r="AS2885" s="129" t="s">
        <v>64</v>
      </c>
      <c r="BC2885" s="129" t="s">
        <v>52</v>
      </c>
      <c r="BF2885" s="111">
        <v>0</v>
      </c>
      <c r="BG2885" s="111">
        <v>0</v>
      </c>
      <c r="BH2885" s="111">
        <f t="shared" si="2104"/>
        <v>125</v>
      </c>
      <c r="BI2885" s="111">
        <f t="shared" si="2106"/>
        <v>47.81693989071038</v>
      </c>
      <c r="BJ2885" s="129" t="e">
        <f>(G2885-J2885)+(M2885-G2885)</f>
        <v>#VALUE!</v>
      </c>
      <c r="BK2885" s="129" t="e">
        <f t="shared" si="2105"/>
        <v>#VALUE!</v>
      </c>
      <c r="BL2885" s="129" t="str">
        <f t="shared" si="2098"/>
        <v>DEFERRED</v>
      </c>
      <c r="BM2885" s="129" t="s">
        <v>76</v>
      </c>
      <c r="BN2885" s="129" t="s">
        <v>88</v>
      </c>
      <c r="BP2885" s="137" t="str">
        <f t="shared" si="2107"/>
        <v>DEFERRED</v>
      </c>
      <c r="BQ2885" s="128">
        <f t="shared" si="2116"/>
        <v>0</v>
      </c>
      <c r="BR2885" s="129" t="s">
        <v>575</v>
      </c>
      <c r="BS2885" s="129" t="str">
        <f t="shared" si="2109"/>
        <v>DISPOSED</v>
      </c>
      <c r="BT2885" s="129" t="str">
        <f t="shared" si="2110"/>
        <v>N</v>
      </c>
      <c r="BU2885" s="109">
        <f t="shared" si="2111"/>
        <v>0</v>
      </c>
      <c r="BV2885" s="109">
        <v>0</v>
      </c>
      <c r="BW2885" s="109">
        <f t="shared" si="2094"/>
        <v>0</v>
      </c>
      <c r="BX2885" s="111">
        <f t="shared" si="2112"/>
        <v>0</v>
      </c>
      <c r="BY2885" s="129" t="e">
        <f t="shared" si="2118"/>
        <v>#VALUE!</v>
      </c>
      <c r="BZ2885" s="111" t="e">
        <f t="shared" si="2119"/>
        <v>#VALUE!</v>
      </c>
      <c r="CA2885" s="138" t="e">
        <f t="shared" si="2120"/>
        <v>#VALUE!</v>
      </c>
      <c r="CB2885" s="111">
        <v>0</v>
      </c>
      <c r="CC2885" s="129">
        <v>0</v>
      </c>
      <c r="CD2885" s="111">
        <f>CC2885-BF2885</f>
        <v>0</v>
      </c>
      <c r="CG2885" s="129" t="str">
        <f t="shared" si="2121"/>
        <v>N</v>
      </c>
      <c r="CI2885" s="129" t="str">
        <f t="shared" si="2122"/>
        <v>0-10 DAYS</v>
      </c>
      <c r="CJ2885" s="137">
        <f t="shared" si="2123"/>
        <v>1</v>
      </c>
      <c r="CK2885" s="129" t="str">
        <f t="shared" si="2124"/>
        <v>Not Booked</v>
      </c>
    </row>
    <row r="2886" spans="1:89" ht="15" customHeight="1" x14ac:dyDescent="0.25">
      <c r="A2886" s="111">
        <v>1607</v>
      </c>
      <c r="B2886" s="128" t="str">
        <f t="shared" si="2113"/>
        <v>N</v>
      </c>
      <c r="C2886" s="128" t="str">
        <f t="shared" si="2114"/>
        <v>N</v>
      </c>
      <c r="D2886" s="117">
        <v>2607136</v>
      </c>
      <c r="E2886" s="135">
        <f t="shared" si="2115"/>
        <v>1</v>
      </c>
      <c r="F2886" s="124">
        <v>40968</v>
      </c>
      <c r="G2886" s="125">
        <v>41085</v>
      </c>
      <c r="H2886" s="117">
        <v>2607136</v>
      </c>
      <c r="I2886" s="124" t="s">
        <v>562</v>
      </c>
      <c r="J2886" s="124" t="s">
        <v>562</v>
      </c>
      <c r="K2886" s="126">
        <v>2000</v>
      </c>
      <c r="L2886" s="127" t="s">
        <v>568</v>
      </c>
      <c r="M2886" s="125">
        <v>40970</v>
      </c>
      <c r="N2886" s="129" t="str">
        <f>IF(M2886&gt;1/1/1,"Y",IF(Q2886="0","","N"))</f>
        <v>Y</v>
      </c>
      <c r="O2886" s="128" t="s">
        <v>76</v>
      </c>
      <c r="P2886" s="129" t="s">
        <v>55</v>
      </c>
      <c r="Q2886" s="111">
        <f t="shared" si="2091"/>
        <v>0</v>
      </c>
      <c r="R2886" s="111">
        <f t="shared" si="2103"/>
        <v>118</v>
      </c>
      <c r="S2886" s="129">
        <v>0</v>
      </c>
      <c r="T2886" s="129">
        <v>0</v>
      </c>
      <c r="W2886" s="111"/>
      <c r="AC2886" s="130"/>
      <c r="AD2886" s="130">
        <v>33723</v>
      </c>
      <c r="AE2886" s="128" t="s">
        <v>32</v>
      </c>
      <c r="AF2886" s="128" t="s">
        <v>69</v>
      </c>
      <c r="AG2886" s="128" t="s">
        <v>874</v>
      </c>
      <c r="AH2886" s="108" t="s">
        <v>31</v>
      </c>
      <c r="AI2886" s="128" t="s">
        <v>118</v>
      </c>
      <c r="AJ2886" s="129" t="s">
        <v>55</v>
      </c>
      <c r="AK2886" s="129">
        <v>5</v>
      </c>
      <c r="AL2886" s="3" t="s">
        <v>55</v>
      </c>
      <c r="AP2886" s="129" t="s">
        <v>43</v>
      </c>
      <c r="AR2886" s="128" t="s">
        <v>44</v>
      </c>
      <c r="AS2886" s="129" t="s">
        <v>45</v>
      </c>
      <c r="AT2886" s="129" t="s">
        <v>633</v>
      </c>
      <c r="BC2886" s="129" t="s">
        <v>52</v>
      </c>
      <c r="BF2886" s="111">
        <v>0</v>
      </c>
      <c r="BG2886" s="111">
        <v>0</v>
      </c>
      <c r="BH2886" s="111">
        <f t="shared" si="2104"/>
        <v>118</v>
      </c>
      <c r="BI2886" s="111">
        <f t="shared" si="2106"/>
        <v>19.795081967213115</v>
      </c>
      <c r="BJ2886" s="129" t="e">
        <f>(G2886-J2886)+(M2886-G2886)</f>
        <v>#VALUE!</v>
      </c>
      <c r="BK2886" s="129" t="e">
        <f t="shared" si="2105"/>
        <v>#VALUE!</v>
      </c>
      <c r="BL2886" s="129" t="str">
        <f t="shared" si="2098"/>
        <v>NO CONVICTION</v>
      </c>
      <c r="BM2886" s="129" t="s">
        <v>76</v>
      </c>
      <c r="BN2886" s="129" t="s">
        <v>88</v>
      </c>
      <c r="BP2886" s="137" t="str">
        <f t="shared" si="2107"/>
        <v>NO CONVICTION</v>
      </c>
      <c r="BQ2886" s="128">
        <f t="shared" si="2116"/>
        <v>0</v>
      </c>
      <c r="BR2886" s="129" t="s">
        <v>575</v>
      </c>
      <c r="BS2886" s="129" t="str">
        <f t="shared" si="2109"/>
        <v>DISPOSED</v>
      </c>
      <c r="BT2886" s="129" t="str">
        <f t="shared" si="2110"/>
        <v>N</v>
      </c>
      <c r="BU2886" s="109">
        <f>IFERROR(Q2886/R2886,BR2886)</f>
        <v>0</v>
      </c>
      <c r="BV2886" s="109">
        <v>0</v>
      </c>
      <c r="BW2886" s="109">
        <f t="shared" si="2094"/>
        <v>0</v>
      </c>
      <c r="BX2886" s="111">
        <f t="shared" si="2112"/>
        <v>0</v>
      </c>
      <c r="BY2886" s="129" t="e">
        <f t="shared" si="2118"/>
        <v>#VALUE!</v>
      </c>
      <c r="BZ2886" s="111" t="e">
        <f t="shared" si="2119"/>
        <v>#VALUE!</v>
      </c>
      <c r="CA2886" s="138" t="e">
        <f t="shared" si="2120"/>
        <v>#VALUE!</v>
      </c>
      <c r="CB2886" s="111">
        <v>0</v>
      </c>
      <c r="CC2886" s="129">
        <v>0</v>
      </c>
      <c r="CD2886" s="111">
        <f>CC2886-BF2886</f>
        <v>0</v>
      </c>
      <c r="CG2886" s="129" t="str">
        <f t="shared" si="2121"/>
        <v>N</v>
      </c>
      <c r="CI2886" s="129" t="str">
        <f t="shared" si="2122"/>
        <v>0-10 DAYS</v>
      </c>
      <c r="CJ2886" s="137">
        <f t="shared" si="2123"/>
        <v>1</v>
      </c>
      <c r="CK2886" s="129" t="str">
        <f t="shared" si="2124"/>
        <v>Not Booked</v>
      </c>
    </row>
    <row r="2887" spans="1:89" ht="15.75" customHeight="1" x14ac:dyDescent="0.25">
      <c r="A2887" s="111">
        <v>1617</v>
      </c>
      <c r="B2887" s="128" t="str">
        <f t="shared" si="2113"/>
        <v>N</v>
      </c>
      <c r="C2887" s="128" t="str">
        <f t="shared" si="2114"/>
        <v>N</v>
      </c>
      <c r="D2887" s="117">
        <v>2607192</v>
      </c>
      <c r="E2887" s="135">
        <f t="shared" si="2115"/>
        <v>2</v>
      </c>
      <c r="F2887" s="124">
        <v>40969</v>
      </c>
      <c r="G2887" s="125">
        <v>41040</v>
      </c>
      <c r="H2887" s="117">
        <v>2607192</v>
      </c>
      <c r="I2887" s="124" t="s">
        <v>562</v>
      </c>
      <c r="J2887" s="124" t="s">
        <v>562</v>
      </c>
      <c r="K2887" s="126">
        <v>5000</v>
      </c>
      <c r="L2887" s="127" t="s">
        <v>569</v>
      </c>
      <c r="M2887" s="125">
        <v>40971</v>
      </c>
      <c r="N2887" s="129" t="str">
        <f>IF(M2887&gt;1/1/1,"Y",IF(Q2887="0","","N"))</f>
        <v>Y</v>
      </c>
      <c r="O2887" s="128" t="s">
        <v>585</v>
      </c>
      <c r="P2887" s="129" t="s">
        <v>589</v>
      </c>
      <c r="Q2887" s="111">
        <f t="shared" si="2091"/>
        <v>0</v>
      </c>
      <c r="R2887" s="111">
        <f t="shared" si="2103"/>
        <v>72</v>
      </c>
      <c r="S2887" s="129">
        <v>0</v>
      </c>
      <c r="T2887" s="129">
        <v>0</v>
      </c>
      <c r="W2887" s="111"/>
      <c r="AC2887" s="130"/>
      <c r="AD2887" s="130">
        <v>29747</v>
      </c>
      <c r="AE2887" s="128" t="s">
        <v>32</v>
      </c>
      <c r="AF2887" s="128" t="s">
        <v>33</v>
      </c>
      <c r="AG2887" s="128" t="s">
        <v>872</v>
      </c>
      <c r="AH2887" s="108" t="s">
        <v>31</v>
      </c>
      <c r="AI2887" s="128" t="s">
        <v>53</v>
      </c>
      <c r="AJ2887" s="129" t="s">
        <v>48</v>
      </c>
      <c r="AK2887" s="129">
        <v>4</v>
      </c>
      <c r="AL2887" s="3" t="s">
        <v>48</v>
      </c>
      <c r="AP2887" s="129" t="s">
        <v>124</v>
      </c>
      <c r="AR2887" s="128" t="s">
        <v>67</v>
      </c>
      <c r="AS2887" s="129" t="s">
        <v>45</v>
      </c>
      <c r="BC2887" s="129" t="s">
        <v>52</v>
      </c>
      <c r="BF2887" s="111">
        <v>0</v>
      </c>
      <c r="BG2887" s="111">
        <v>0</v>
      </c>
      <c r="BH2887" s="111">
        <f t="shared" si="2104"/>
        <v>72</v>
      </c>
      <c r="BI2887" s="111">
        <f t="shared" si="2106"/>
        <v>30.661202185792348</v>
      </c>
      <c r="BJ2887" s="129" t="e">
        <f>(G2887-J2887)+(M2887-G2887)</f>
        <v>#VALUE!</v>
      </c>
      <c r="BK2887" s="129" t="e">
        <f t="shared" si="2105"/>
        <v>#VALUE!</v>
      </c>
      <c r="BL2887" s="129" t="str">
        <f t="shared" si="2098"/>
        <v>DEFERRED</v>
      </c>
      <c r="BM2887" s="129" t="s">
        <v>76</v>
      </c>
      <c r="BN2887" s="129" t="s">
        <v>88</v>
      </c>
      <c r="BP2887" s="137" t="str">
        <f t="shared" si="2107"/>
        <v>DEFERRED</v>
      </c>
      <c r="BQ2887" s="128">
        <f t="shared" si="2116"/>
        <v>0</v>
      </c>
      <c r="BR2887" s="129" t="s">
        <v>575</v>
      </c>
      <c r="BS2887" s="129" t="str">
        <f t="shared" si="2109"/>
        <v>DISPOSED</v>
      </c>
      <c r="BT2887" s="129" t="str">
        <f t="shared" si="2110"/>
        <v>N</v>
      </c>
      <c r="BU2887" s="109">
        <f t="shared" si="2111"/>
        <v>0</v>
      </c>
      <c r="BV2887" s="109">
        <v>0</v>
      </c>
      <c r="BW2887" s="109">
        <f t="shared" si="2094"/>
        <v>0</v>
      </c>
      <c r="BX2887" s="111">
        <f t="shared" si="2112"/>
        <v>0</v>
      </c>
      <c r="BY2887" s="129" t="e">
        <f t="shared" si="2118"/>
        <v>#VALUE!</v>
      </c>
      <c r="BZ2887" s="111" t="e">
        <f t="shared" si="2119"/>
        <v>#VALUE!</v>
      </c>
      <c r="CA2887" s="138" t="e">
        <f t="shared" si="2120"/>
        <v>#VALUE!</v>
      </c>
      <c r="CB2887" s="111">
        <v>0</v>
      </c>
      <c r="CC2887" s="129">
        <v>0</v>
      </c>
      <c r="CD2887" s="111">
        <f>CC2887-BF2887</f>
        <v>0</v>
      </c>
      <c r="CG2887" s="129" t="str">
        <f t="shared" si="2121"/>
        <v>N</v>
      </c>
      <c r="CI2887" s="129" t="str">
        <f t="shared" si="2122"/>
        <v>0-10 DAYS</v>
      </c>
      <c r="CJ2887" s="137">
        <f t="shared" si="2123"/>
        <v>1</v>
      </c>
      <c r="CK2887" s="129" t="str">
        <f t="shared" si="2124"/>
        <v>Not Booked</v>
      </c>
    </row>
    <row r="2888" spans="1:89" ht="15.75" customHeight="1" x14ac:dyDescent="0.25">
      <c r="A2888" s="111">
        <v>1620</v>
      </c>
      <c r="B2888" s="128" t="str">
        <f t="shared" si="2113"/>
        <v>N</v>
      </c>
      <c r="C2888" s="128" t="str">
        <f t="shared" si="2114"/>
        <v>N</v>
      </c>
      <c r="D2888" s="117">
        <v>2607199</v>
      </c>
      <c r="E2888" s="135">
        <f t="shared" si="2115"/>
        <v>1</v>
      </c>
      <c r="F2888" s="124">
        <v>40969</v>
      </c>
      <c r="G2888" s="125">
        <v>40970</v>
      </c>
      <c r="H2888" s="117">
        <v>2607199</v>
      </c>
      <c r="I2888" s="124">
        <v>40969</v>
      </c>
      <c r="J2888" s="124">
        <v>40970</v>
      </c>
      <c r="K2888" s="126">
        <v>20000</v>
      </c>
      <c r="L2888" s="127" t="s">
        <v>571</v>
      </c>
      <c r="N2888" s="129" t="str">
        <f>IF(M2888&gt;1/1/1,"Y","N")</f>
        <v>N</v>
      </c>
      <c r="O2888" s="128" t="s">
        <v>917</v>
      </c>
      <c r="P2888" s="129" t="s">
        <v>55</v>
      </c>
      <c r="Q2888" s="111">
        <f t="shared" si="2091"/>
        <v>2</v>
      </c>
      <c r="R2888" s="111">
        <f t="shared" si="2103"/>
        <v>2</v>
      </c>
      <c r="S2888" s="129">
        <v>0</v>
      </c>
      <c r="T2888" s="129">
        <v>0</v>
      </c>
      <c r="W2888" s="111"/>
      <c r="AC2888" s="130"/>
      <c r="AD2888" s="130">
        <v>34696</v>
      </c>
      <c r="AE2888" s="128" t="s">
        <v>46</v>
      </c>
      <c r="AF2888" s="128" t="s">
        <v>69</v>
      </c>
      <c r="AG2888" s="128" t="s">
        <v>874</v>
      </c>
      <c r="AH2888" s="108" t="s">
        <v>31</v>
      </c>
      <c r="AI2888" s="128" t="s">
        <v>62</v>
      </c>
      <c r="AJ2888" s="129" t="s">
        <v>55</v>
      </c>
      <c r="AK2888" s="129">
        <v>1</v>
      </c>
      <c r="AL2888" s="3" t="s">
        <v>55</v>
      </c>
      <c r="AP2888" s="129" t="s">
        <v>132</v>
      </c>
      <c r="AR2888" s="128" t="s">
        <v>92</v>
      </c>
      <c r="AS2888" s="129" t="s">
        <v>82</v>
      </c>
      <c r="BC2888" s="129" t="s">
        <v>38</v>
      </c>
      <c r="BF2888" s="111">
        <f>IF(J2888&gt;1/1/1900,((J2888+1)-I2888),"STILL OPEN")</f>
        <v>2</v>
      </c>
      <c r="BG2888" s="111">
        <f>IF(G2888&gt;1/1/1900,((G2888+1)-I2888),"STILL OPEN")</f>
        <v>2</v>
      </c>
      <c r="BH2888" s="111">
        <f t="shared" si="2104"/>
        <v>2</v>
      </c>
      <c r="BI2888" s="111">
        <f t="shared" si="2106"/>
        <v>17.139344262295083</v>
      </c>
      <c r="BJ2888" s="129">
        <f>G2888-J2888-M2888</f>
        <v>0</v>
      </c>
      <c r="BK2888" s="129">
        <f t="shared" si="2105"/>
        <v>0</v>
      </c>
      <c r="BL2888" s="129" t="str">
        <f t="shared" si="2098"/>
        <v>NO CONVICTION</v>
      </c>
      <c r="BM2888" s="129" t="str">
        <f>O2888</f>
        <v>NONE</v>
      </c>
      <c r="BN2888" s="129" t="s">
        <v>566</v>
      </c>
      <c r="BP2888" s="137" t="str">
        <f t="shared" si="2107"/>
        <v>NO CONVICTION</v>
      </c>
      <c r="BQ2888" s="128" t="str">
        <f t="shared" si="2116"/>
        <v>Y</v>
      </c>
      <c r="BR2888" s="129" t="str">
        <f t="shared" si="2108"/>
        <v>DETAINED</v>
      </c>
      <c r="BS2888" s="129" t="str">
        <f t="shared" si="2109"/>
        <v>DISPOSED</v>
      </c>
      <c r="BT2888" s="129" t="str">
        <f t="shared" si="2110"/>
        <v>N</v>
      </c>
      <c r="BU2888" s="109">
        <f>IFERROR(Q2888/R2888,BR2888)</f>
        <v>1</v>
      </c>
      <c r="BV2888" s="109">
        <f t="shared" si="2117"/>
        <v>1</v>
      </c>
      <c r="BW2888" s="109">
        <f t="shared" si="2094"/>
        <v>0</v>
      </c>
      <c r="BX2888" s="111">
        <f t="shared" si="2112"/>
        <v>0</v>
      </c>
      <c r="BY2888" s="129">
        <f t="shared" si="2118"/>
        <v>-2</v>
      </c>
      <c r="BZ2888" s="111">
        <f t="shared" si="2119"/>
        <v>0</v>
      </c>
      <c r="CA2888" s="138">
        <f t="shared" si="2120"/>
        <v>2</v>
      </c>
      <c r="CB2888" s="111" t="e">
        <f>IF(AF2888&gt;1/1/1900,((AF2888+1)-AE2888),"STILL OPEN")</f>
        <v>#VALUE!</v>
      </c>
      <c r="CC2888" s="129">
        <f>G2888-I2888+1</f>
        <v>2</v>
      </c>
      <c r="CD2888" s="129">
        <f>G2888-J2888</f>
        <v>0</v>
      </c>
      <c r="CG2888" s="129" t="str">
        <f t="shared" si="2121"/>
        <v>N</v>
      </c>
      <c r="CI2888" s="129" t="str">
        <f t="shared" si="2122"/>
        <v>0-10 DAYS</v>
      </c>
      <c r="CJ2888" s="137">
        <f t="shared" si="2123"/>
        <v>1</v>
      </c>
      <c r="CK2888" s="129" t="str">
        <f t="shared" si="2124"/>
        <v>Booked</v>
      </c>
    </row>
    <row r="2889" spans="1:89" ht="15" customHeight="1" x14ac:dyDescent="0.25">
      <c r="A2889" s="111">
        <v>1629</v>
      </c>
      <c r="B2889" s="128" t="str">
        <f t="shared" si="2113"/>
        <v>N</v>
      </c>
      <c r="C2889" s="128" t="str">
        <f t="shared" si="2114"/>
        <v>N</v>
      </c>
      <c r="D2889" s="117">
        <v>2607247</v>
      </c>
      <c r="E2889" s="135">
        <f t="shared" si="2115"/>
        <v>1</v>
      </c>
      <c r="F2889" s="124">
        <v>40969</v>
      </c>
      <c r="G2889" s="125">
        <v>40981</v>
      </c>
      <c r="H2889" s="117">
        <v>2607247</v>
      </c>
      <c r="I2889" s="124">
        <v>40969</v>
      </c>
      <c r="J2889" s="124">
        <v>40972</v>
      </c>
      <c r="K2889" s="126">
        <v>3000</v>
      </c>
      <c r="L2889" s="127" t="s">
        <v>569</v>
      </c>
      <c r="M2889" s="125">
        <v>40972</v>
      </c>
      <c r="N2889" s="129" t="str">
        <f>IF(M2889&gt;1/1/1,"Y","N")</f>
        <v>Y</v>
      </c>
      <c r="O2889" s="128" t="s">
        <v>76</v>
      </c>
      <c r="P2889" s="129" t="s">
        <v>55</v>
      </c>
      <c r="Q2889" s="111">
        <f t="shared" si="2091"/>
        <v>4</v>
      </c>
      <c r="R2889" s="111">
        <f t="shared" si="2103"/>
        <v>13</v>
      </c>
      <c r="S2889" s="129">
        <v>0</v>
      </c>
      <c r="T2889" s="129">
        <v>0</v>
      </c>
      <c r="U2889" s="129">
        <v>1</v>
      </c>
      <c r="W2889" s="111"/>
      <c r="AC2889" s="130"/>
      <c r="AD2889" s="130">
        <v>31106</v>
      </c>
      <c r="AE2889" s="128" t="s">
        <v>32</v>
      </c>
      <c r="AF2889" s="128" t="s">
        <v>33</v>
      </c>
      <c r="AG2889" s="128" t="s">
        <v>872</v>
      </c>
      <c r="AH2889" s="108" t="s">
        <v>31</v>
      </c>
      <c r="AI2889" s="128" t="s">
        <v>53</v>
      </c>
      <c r="AJ2889" s="129" t="s">
        <v>55</v>
      </c>
      <c r="AK2889" s="129">
        <v>2</v>
      </c>
      <c r="AL2889" s="3" t="s">
        <v>55</v>
      </c>
      <c r="AP2889" s="129" t="s">
        <v>110</v>
      </c>
      <c r="AR2889" s="128" t="s">
        <v>50</v>
      </c>
      <c r="AS2889" s="129" t="s">
        <v>74</v>
      </c>
      <c r="AT2889" s="129" t="s">
        <v>1428</v>
      </c>
      <c r="BC2889" s="129" t="s">
        <v>38</v>
      </c>
      <c r="BF2889" s="111">
        <f>IF(J2889&gt;1/1/1900,((J2889+1)-I2889),"STILL OPEN")</f>
        <v>4</v>
      </c>
      <c r="BG2889" s="111">
        <f>IF(G2889&gt;1/1/1900,((G2889+1)-I2889),"STILL OPEN")</f>
        <v>13</v>
      </c>
      <c r="BH2889" s="111">
        <f t="shared" si="2104"/>
        <v>13</v>
      </c>
      <c r="BI2889" s="111">
        <f t="shared" si="2106"/>
        <v>26.948087431693988</v>
      </c>
      <c r="BJ2889" s="129">
        <f>(G2889-J2889)+(M2889-G2889)</f>
        <v>0</v>
      </c>
      <c r="BK2889" s="129">
        <f t="shared" si="2105"/>
        <v>-9</v>
      </c>
      <c r="BL2889" s="129" t="str">
        <f t="shared" si="2098"/>
        <v>NO CONVICTION</v>
      </c>
      <c r="BM2889" s="129" t="s">
        <v>76</v>
      </c>
      <c r="BN2889" s="129" t="s">
        <v>88</v>
      </c>
      <c r="BP2889" s="137" t="str">
        <f t="shared" si="2107"/>
        <v>NO CONVICTION</v>
      </c>
      <c r="BQ2889" s="128" t="str">
        <f t="shared" si="2116"/>
        <v>Y</v>
      </c>
      <c r="BR2889" s="129" t="str">
        <f t="shared" si="2108"/>
        <v>ON BOND</v>
      </c>
      <c r="BS2889" s="129" t="str">
        <f t="shared" si="2109"/>
        <v>DISPOSED</v>
      </c>
      <c r="BT2889" s="129" t="str">
        <f t="shared" si="2110"/>
        <v>N</v>
      </c>
      <c r="BU2889" s="109">
        <f>IFERROR(Q2889/R2889,BR2889)</f>
        <v>0.30769230769230771</v>
      </c>
      <c r="BV2889" s="109">
        <f t="shared" si="2117"/>
        <v>0.30769230769230771</v>
      </c>
      <c r="BW2889" s="109">
        <f t="shared" si="2094"/>
        <v>0</v>
      </c>
      <c r="BX2889" s="111">
        <f t="shared" si="2112"/>
        <v>0</v>
      </c>
      <c r="BY2889" s="129">
        <f t="shared" si="2118"/>
        <v>-4</v>
      </c>
      <c r="BZ2889" s="111">
        <f t="shared" si="2119"/>
        <v>0</v>
      </c>
      <c r="CA2889" s="138">
        <f t="shared" si="2120"/>
        <v>4</v>
      </c>
      <c r="CB2889" s="111" t="e">
        <f>IF(AF2889&gt;1/1/1900,((AF2889+1)-AE2889),"STILL OPEN")</f>
        <v>#VALUE!</v>
      </c>
      <c r="CC2889" s="129">
        <f>M2889-I2889+1</f>
        <v>4</v>
      </c>
      <c r="CD2889" s="111">
        <f>CC2889-BF2889</f>
        <v>0</v>
      </c>
      <c r="CG2889" s="129" t="str">
        <f t="shared" si="2121"/>
        <v>Y</v>
      </c>
      <c r="CI2889" s="129" t="str">
        <f t="shared" si="2122"/>
        <v>0-10 DAYS</v>
      </c>
      <c r="CJ2889" s="137">
        <f t="shared" si="2123"/>
        <v>1</v>
      </c>
      <c r="CK2889" s="129" t="str">
        <f t="shared" si="2124"/>
        <v>Booked</v>
      </c>
    </row>
    <row r="2890" spans="1:89" ht="15.75" customHeight="1" x14ac:dyDescent="0.25">
      <c r="A2890" s="111">
        <v>1631</v>
      </c>
      <c r="B2890" s="128" t="str">
        <f t="shared" si="2113"/>
        <v>N</v>
      </c>
      <c r="C2890" s="128" t="str">
        <f t="shared" si="2114"/>
        <v>N</v>
      </c>
      <c r="D2890" s="117">
        <v>2607252</v>
      </c>
      <c r="E2890" s="135">
        <f t="shared" si="2115"/>
        <v>2</v>
      </c>
      <c r="F2890" s="124">
        <v>40969</v>
      </c>
      <c r="G2890" s="125">
        <v>41060</v>
      </c>
      <c r="H2890" s="117">
        <v>2607252</v>
      </c>
      <c r="I2890" s="124">
        <v>40969</v>
      </c>
      <c r="J2890" s="124">
        <v>40986</v>
      </c>
      <c r="K2890" s="126">
        <v>7000</v>
      </c>
      <c r="L2890" s="127" t="s">
        <v>570</v>
      </c>
      <c r="M2890" s="125">
        <v>40986</v>
      </c>
      <c r="N2890" s="129" t="str">
        <f>IF(M2890&gt;1/1/1,"Y","N")</f>
        <v>Y</v>
      </c>
      <c r="O2890" s="128" t="s">
        <v>585</v>
      </c>
      <c r="P2890" s="129" t="s">
        <v>589</v>
      </c>
      <c r="Q2890" s="111">
        <f t="shared" si="2091"/>
        <v>18</v>
      </c>
      <c r="R2890" s="111">
        <f t="shared" si="2103"/>
        <v>92</v>
      </c>
      <c r="S2890" s="129">
        <v>0</v>
      </c>
      <c r="T2890" s="129">
        <v>0</v>
      </c>
      <c r="W2890" s="111"/>
      <c r="AC2890" s="130"/>
      <c r="AD2890" s="130">
        <v>32633</v>
      </c>
      <c r="AE2890" s="128" t="s">
        <v>32</v>
      </c>
      <c r="AF2890" s="128" t="s">
        <v>69</v>
      </c>
      <c r="AG2890" s="128" t="s">
        <v>874</v>
      </c>
      <c r="AH2890" s="108" t="s">
        <v>31</v>
      </c>
      <c r="AI2890" s="128" t="s">
        <v>100</v>
      </c>
      <c r="AJ2890" s="129" t="s">
        <v>48</v>
      </c>
      <c r="AK2890" s="129">
        <v>6</v>
      </c>
      <c r="AL2890" s="3" t="s">
        <v>48</v>
      </c>
      <c r="AP2890" s="129" t="s">
        <v>93</v>
      </c>
      <c r="AR2890" s="128" t="s">
        <v>67</v>
      </c>
      <c r="AS2890" s="129" t="s">
        <v>45</v>
      </c>
      <c r="BC2890" s="129" t="s">
        <v>52</v>
      </c>
      <c r="BF2890" s="111">
        <f>IF(J2890&gt;1/1/1900,((J2890+1)-I2890),"STILL OPEN")</f>
        <v>18</v>
      </c>
      <c r="BG2890" s="111">
        <f>IF(G2890&gt;1/1/1900,((G2890+1)-I2890),"STILL OPEN")</f>
        <v>92</v>
      </c>
      <c r="BH2890" s="111">
        <f t="shared" si="2104"/>
        <v>92</v>
      </c>
      <c r="BI2890" s="111">
        <f t="shared" si="2106"/>
        <v>22.775956284153004</v>
      </c>
      <c r="BJ2890" s="129">
        <f>(G2890-J2890)+(M2890-G2890)</f>
        <v>0</v>
      </c>
      <c r="BK2890" s="129">
        <f t="shared" si="2105"/>
        <v>-74</v>
      </c>
      <c r="BL2890" s="129" t="str">
        <f t="shared" si="2098"/>
        <v>DEFERRED</v>
      </c>
      <c r="BM2890" s="129" t="s">
        <v>76</v>
      </c>
      <c r="BN2890" s="129" t="s">
        <v>88</v>
      </c>
      <c r="BP2890" s="137" t="str">
        <f t="shared" si="2107"/>
        <v>DEFERRED</v>
      </c>
      <c r="BQ2890" s="128" t="str">
        <f t="shared" si="2116"/>
        <v>Y</v>
      </c>
      <c r="BR2890" s="129" t="str">
        <f t="shared" si="2108"/>
        <v>ON BOND</v>
      </c>
      <c r="BS2890" s="129" t="str">
        <f t="shared" si="2109"/>
        <v>DISPOSED</v>
      </c>
      <c r="BT2890" s="129" t="str">
        <f t="shared" si="2110"/>
        <v>N</v>
      </c>
      <c r="BU2890" s="109">
        <f t="shared" si="2111"/>
        <v>0.19565217391304349</v>
      </c>
      <c r="BV2890" s="109">
        <f t="shared" si="2117"/>
        <v>0.19565217391304349</v>
      </c>
      <c r="BW2890" s="109">
        <f t="shared" si="2094"/>
        <v>0</v>
      </c>
      <c r="BX2890" s="111">
        <f t="shared" si="2112"/>
        <v>0</v>
      </c>
      <c r="BY2890" s="129">
        <f t="shared" si="2118"/>
        <v>-18</v>
      </c>
      <c r="BZ2890" s="111">
        <f t="shared" si="2119"/>
        <v>0</v>
      </c>
      <c r="CA2890" s="138">
        <f t="shared" si="2120"/>
        <v>18</v>
      </c>
      <c r="CB2890" s="111" t="e">
        <f>IF(AF2890&gt;1/1/1900,((AF2890+1)-AE2890),"STILL OPEN")</f>
        <v>#VALUE!</v>
      </c>
      <c r="CC2890" s="129">
        <f>M2890-I2890+1</f>
        <v>18</v>
      </c>
      <c r="CD2890" s="111">
        <f>CC2890-BF2890</f>
        <v>0</v>
      </c>
      <c r="CG2890" s="129" t="str">
        <f t="shared" si="2121"/>
        <v>N</v>
      </c>
      <c r="CI2890" s="129" t="str">
        <f t="shared" si="2122"/>
        <v>11-30 DAYS</v>
      </c>
      <c r="CJ2890" s="137">
        <f t="shared" si="2123"/>
        <v>2</v>
      </c>
      <c r="CK2890" s="129" t="str">
        <f t="shared" si="2124"/>
        <v>Booked</v>
      </c>
    </row>
    <row r="2891" spans="1:89" ht="15.75" customHeight="1" x14ac:dyDescent="0.25">
      <c r="A2891" s="111">
        <v>1632</v>
      </c>
      <c r="B2891" s="128" t="str">
        <f t="shared" si="2113"/>
        <v>N</v>
      </c>
      <c r="C2891" s="128" t="str">
        <f t="shared" si="2114"/>
        <v>N</v>
      </c>
      <c r="D2891" s="117">
        <v>2607253</v>
      </c>
      <c r="E2891" s="135">
        <f t="shared" si="2115"/>
        <v>2</v>
      </c>
      <c r="F2891" s="124">
        <v>40969</v>
      </c>
      <c r="G2891" s="125">
        <v>40970</v>
      </c>
      <c r="H2891" s="117">
        <v>2607253</v>
      </c>
      <c r="I2891" s="124">
        <v>40969</v>
      </c>
      <c r="J2891" s="124">
        <v>40970</v>
      </c>
      <c r="K2891" s="126">
        <v>2000</v>
      </c>
      <c r="L2891" s="127" t="s">
        <v>568</v>
      </c>
      <c r="N2891" s="129" t="str">
        <f>IF(M2891&gt;1/1/1,"Y","N")</f>
        <v>N</v>
      </c>
      <c r="O2891" s="128" t="s">
        <v>917</v>
      </c>
      <c r="P2891" s="129" t="s">
        <v>589</v>
      </c>
      <c r="Q2891" s="111">
        <f t="shared" si="2091"/>
        <v>2</v>
      </c>
      <c r="R2891" s="111">
        <f t="shared" si="2103"/>
        <v>2</v>
      </c>
      <c r="S2891" s="129">
        <v>0</v>
      </c>
      <c r="T2891" s="129">
        <v>0</v>
      </c>
      <c r="W2891" s="111"/>
      <c r="AB2891" s="131" t="s">
        <v>112</v>
      </c>
      <c r="AC2891" s="130"/>
      <c r="AD2891" s="130">
        <v>34237</v>
      </c>
      <c r="AE2891" s="128" t="s">
        <v>46</v>
      </c>
      <c r="AF2891" s="128" t="s">
        <v>40</v>
      </c>
      <c r="AG2891" s="128" t="s">
        <v>41</v>
      </c>
      <c r="AH2891" s="108" t="s">
        <v>31</v>
      </c>
      <c r="AI2891" s="128" t="s">
        <v>141</v>
      </c>
      <c r="AJ2891" s="129" t="s">
        <v>48</v>
      </c>
      <c r="AK2891" s="129">
        <v>1</v>
      </c>
      <c r="AL2891" s="3" t="s">
        <v>48</v>
      </c>
      <c r="AP2891" s="129" t="s">
        <v>43</v>
      </c>
      <c r="AR2891" s="128" t="s">
        <v>44</v>
      </c>
      <c r="AS2891" s="129" t="s">
        <v>45</v>
      </c>
      <c r="AT2891" s="129" t="s">
        <v>356</v>
      </c>
      <c r="AX2891" s="32"/>
      <c r="BC2891" s="129" t="s">
        <v>38</v>
      </c>
      <c r="BF2891" s="111">
        <f>IF(J2891&gt;1/1/1900,((J2891+1)-I2891),"STILL OPEN")</f>
        <v>2</v>
      </c>
      <c r="BG2891" s="111">
        <f>IF(G2891&gt;1/1/1900,((G2891+1)-I2891),"STILL OPEN")</f>
        <v>2</v>
      </c>
      <c r="BH2891" s="111">
        <f t="shared" si="2104"/>
        <v>2</v>
      </c>
      <c r="BI2891" s="111">
        <f t="shared" si="2106"/>
        <v>18.393442622950818</v>
      </c>
      <c r="BJ2891" s="129">
        <f>G2891-J2891-M2891</f>
        <v>0</v>
      </c>
      <c r="BK2891" s="129">
        <f t="shared" si="2105"/>
        <v>0</v>
      </c>
      <c r="BL2891" s="129" t="str">
        <f t="shared" si="2098"/>
        <v>DEFERRED</v>
      </c>
      <c r="BM2891" s="129" t="str">
        <f>O2891</f>
        <v>NONE</v>
      </c>
      <c r="BN2891" s="129" t="s">
        <v>566</v>
      </c>
      <c r="BP2891" s="137" t="str">
        <f t="shared" si="2107"/>
        <v>DEFERRED</v>
      </c>
      <c r="BQ2891" s="128" t="str">
        <f t="shared" si="2116"/>
        <v>Y</v>
      </c>
      <c r="BR2891" s="129" t="str">
        <f t="shared" si="2108"/>
        <v>DETAINED</v>
      </c>
      <c r="BS2891" s="129" t="str">
        <f t="shared" si="2109"/>
        <v>DISPOSED</v>
      </c>
      <c r="BT2891" s="129" t="str">
        <f t="shared" si="2110"/>
        <v>N</v>
      </c>
      <c r="BU2891" s="109">
        <f t="shared" si="2111"/>
        <v>1</v>
      </c>
      <c r="BV2891" s="109">
        <f t="shared" si="2117"/>
        <v>1</v>
      </c>
      <c r="BW2891" s="109">
        <f t="shared" si="2094"/>
        <v>0</v>
      </c>
      <c r="BX2891" s="111">
        <f t="shared" si="2112"/>
        <v>0</v>
      </c>
      <c r="BY2891" s="129">
        <f t="shared" si="2118"/>
        <v>-2</v>
      </c>
      <c r="BZ2891" s="111">
        <f t="shared" si="2119"/>
        <v>0</v>
      </c>
      <c r="CA2891" s="138">
        <f t="shared" si="2120"/>
        <v>2</v>
      </c>
      <c r="CB2891" s="111" t="e">
        <f>IF(AF2891&gt;1/1/1900,((AF2891+1)-AE2891),"STILL OPEN")</f>
        <v>#VALUE!</v>
      </c>
      <c r="CC2891" s="129">
        <f>G2891-I2891+1</f>
        <v>2</v>
      </c>
      <c r="CD2891" s="129">
        <f>G2891-J2891</f>
        <v>0</v>
      </c>
      <c r="CG2891" s="129" t="str">
        <f t="shared" si="2121"/>
        <v>N</v>
      </c>
      <c r="CI2891" s="129" t="str">
        <f t="shared" si="2122"/>
        <v>0-10 DAYS</v>
      </c>
      <c r="CJ2891" s="137">
        <f t="shared" si="2123"/>
        <v>1</v>
      </c>
      <c r="CK2891" s="129" t="str">
        <f t="shared" si="2124"/>
        <v>Booked</v>
      </c>
    </row>
    <row r="2892" spans="1:89" ht="15" customHeight="1" x14ac:dyDescent="0.25">
      <c r="A2892" s="111">
        <v>1634</v>
      </c>
      <c r="B2892" s="128" t="str">
        <f t="shared" si="2113"/>
        <v>Y</v>
      </c>
      <c r="C2892" s="128" t="str">
        <f t="shared" si="2114"/>
        <v>N</v>
      </c>
      <c r="D2892" s="114">
        <v>2607278</v>
      </c>
      <c r="E2892" s="135">
        <f t="shared" si="2115"/>
        <v>6</v>
      </c>
      <c r="F2892" s="124">
        <v>40969</v>
      </c>
      <c r="G2892" s="125">
        <v>42075</v>
      </c>
      <c r="H2892" s="114">
        <v>2607278</v>
      </c>
      <c r="I2892" s="124">
        <v>41871</v>
      </c>
      <c r="J2892" s="125">
        <v>42075</v>
      </c>
      <c r="K2892" s="126" t="s">
        <v>564</v>
      </c>
      <c r="L2892" s="127" t="s">
        <v>564</v>
      </c>
      <c r="N2892" s="153" t="s">
        <v>566</v>
      </c>
      <c r="O2892" s="128" t="s">
        <v>917</v>
      </c>
      <c r="P2892" s="129" t="s">
        <v>39</v>
      </c>
      <c r="Q2892" s="111">
        <v>204</v>
      </c>
      <c r="R2892" s="111">
        <v>741</v>
      </c>
      <c r="S2892" s="129">
        <v>0</v>
      </c>
      <c r="T2892" s="129">
        <v>0</v>
      </c>
      <c r="W2892" s="111"/>
      <c r="AC2892" s="130"/>
      <c r="AD2892" s="130">
        <v>32556</v>
      </c>
      <c r="AE2892" s="128" t="s">
        <v>32</v>
      </c>
      <c r="AF2892" s="128" t="s">
        <v>33</v>
      </c>
      <c r="AG2892" s="128" t="s">
        <v>872</v>
      </c>
      <c r="AH2892" s="108" t="s">
        <v>31</v>
      </c>
      <c r="AI2892" s="128" t="s">
        <v>85</v>
      </c>
      <c r="AJ2892" s="129" t="s">
        <v>89</v>
      </c>
      <c r="AK2892" s="129">
        <v>6</v>
      </c>
      <c r="AL2892" s="3" t="s">
        <v>362</v>
      </c>
      <c r="AM2892" s="117">
        <v>2</v>
      </c>
      <c r="AP2892" s="129" t="s">
        <v>56</v>
      </c>
      <c r="AR2892" s="128" t="s">
        <v>50</v>
      </c>
      <c r="AS2892" s="129" t="s">
        <v>57</v>
      </c>
      <c r="BC2892" s="129" t="s">
        <v>99</v>
      </c>
      <c r="BD2892" s="129" t="s">
        <v>1398</v>
      </c>
      <c r="BF2892" s="111">
        <v>204</v>
      </c>
      <c r="BG2892" s="111">
        <v>204</v>
      </c>
      <c r="BH2892" s="111">
        <v>741</v>
      </c>
      <c r="BI2892" s="111">
        <f t="shared" si="2106"/>
        <v>22.986338797814209</v>
      </c>
      <c r="BJ2892" s="129">
        <f>(G2892-J2892)+(M2892-G2892)</f>
        <v>-42075</v>
      </c>
      <c r="BK2892" s="129">
        <f t="shared" si="2105"/>
        <v>0</v>
      </c>
      <c r="BL2892" s="129" t="str">
        <f t="shared" si="2098"/>
        <v>CONVICTION</v>
      </c>
      <c r="BM2892" s="129" t="str">
        <f>O2892</f>
        <v>NONE</v>
      </c>
      <c r="BN2892" s="129" t="s">
        <v>566</v>
      </c>
      <c r="BP2892" s="137" t="str">
        <f t="shared" si="2107"/>
        <v>CONVICTION</v>
      </c>
      <c r="BQ2892" s="128" t="str">
        <f t="shared" si="2116"/>
        <v>Y</v>
      </c>
      <c r="BR2892" s="129" t="s">
        <v>574</v>
      </c>
      <c r="BS2892" s="129" t="str">
        <f t="shared" si="2109"/>
        <v>DISPOSED</v>
      </c>
      <c r="BT2892" s="129" t="str">
        <f t="shared" si="2110"/>
        <v>N</v>
      </c>
      <c r="BU2892" s="109">
        <f>IFERROR(Q2892/R2892,BR2892)</f>
        <v>0.27530364372469635</v>
      </c>
      <c r="BV2892" s="139">
        <v>0.27529999999999999</v>
      </c>
      <c r="BW2892" s="109">
        <v>0</v>
      </c>
      <c r="BX2892" s="111">
        <f t="shared" si="2112"/>
        <v>0</v>
      </c>
      <c r="BY2892" s="129">
        <f t="shared" si="2118"/>
        <v>-205</v>
      </c>
      <c r="BZ2892" s="111">
        <f t="shared" si="2119"/>
        <v>-1</v>
      </c>
      <c r="CA2892" s="138">
        <v>204</v>
      </c>
      <c r="CB2892" s="111" t="e">
        <f t="shared" ref="CB2892" si="2125">IF(AF2892&gt;1/1/1900,((AF2892+1)-AE2892),"STILL OPEN")</f>
        <v>#VALUE!</v>
      </c>
      <c r="CC2892" s="129">
        <v>204</v>
      </c>
      <c r="CG2892" s="129" t="str">
        <f t="shared" si="2121"/>
        <v>N</v>
      </c>
      <c r="CH2892" s="129" t="e">
        <v>#N/A</v>
      </c>
      <c r="CI2892" s="129" t="str">
        <f t="shared" si="2122"/>
        <v>121-365 DAYS</v>
      </c>
      <c r="CJ2892" s="137">
        <f t="shared" si="2123"/>
        <v>6</v>
      </c>
      <c r="CK2892" s="129" t="str">
        <f t="shared" si="2124"/>
        <v>Booked</v>
      </c>
    </row>
    <row r="2893" spans="1:89" ht="15.75" customHeight="1" x14ac:dyDescent="0.25">
      <c r="A2893" s="111">
        <v>1636</v>
      </c>
      <c r="B2893" s="128" t="str">
        <f t="shared" si="2113"/>
        <v>N</v>
      </c>
      <c r="C2893" s="128" t="str">
        <f t="shared" si="2114"/>
        <v>N</v>
      </c>
      <c r="D2893" s="117">
        <v>2607301</v>
      </c>
      <c r="E2893" s="135">
        <f t="shared" si="2115"/>
        <v>5</v>
      </c>
      <c r="F2893" s="124">
        <v>40969</v>
      </c>
      <c r="G2893" s="125">
        <v>40973</v>
      </c>
      <c r="H2893" s="117">
        <v>2607301</v>
      </c>
      <c r="I2893" s="124">
        <v>40970</v>
      </c>
      <c r="J2893" s="124">
        <v>40973</v>
      </c>
      <c r="K2893" s="126">
        <v>5000</v>
      </c>
      <c r="L2893" s="127" t="s">
        <v>569</v>
      </c>
      <c r="N2893" s="129" t="str">
        <f>IF(M2893&gt;1/1/1,"Y","N")</f>
        <v>N</v>
      </c>
      <c r="O2893" s="128" t="s">
        <v>917</v>
      </c>
      <c r="P2893" s="129" t="s">
        <v>39</v>
      </c>
      <c r="Q2893" s="111">
        <f t="shared" ref="Q2893:Q2923" si="2126">BF2893</f>
        <v>4</v>
      </c>
      <c r="R2893" s="111">
        <f t="shared" si="2103"/>
        <v>5</v>
      </c>
      <c r="S2893" s="129">
        <v>0</v>
      </c>
      <c r="T2893" s="129">
        <v>0</v>
      </c>
      <c r="W2893" s="111"/>
      <c r="AC2893" s="130"/>
      <c r="AD2893" s="130">
        <v>30361</v>
      </c>
      <c r="AE2893" s="128" t="s">
        <v>32</v>
      </c>
      <c r="AF2893" s="128" t="s">
        <v>69</v>
      </c>
      <c r="AG2893" s="128" t="s">
        <v>874</v>
      </c>
      <c r="AH2893" s="108" t="s">
        <v>31</v>
      </c>
      <c r="AI2893" s="128" t="s">
        <v>97</v>
      </c>
      <c r="AJ2893" s="129" t="s">
        <v>89</v>
      </c>
      <c r="AK2893" s="129">
        <v>1</v>
      </c>
      <c r="AL2893" s="3" t="s">
        <v>992</v>
      </c>
      <c r="AN2893" s="117">
        <v>8</v>
      </c>
      <c r="AP2893" s="129" t="s">
        <v>107</v>
      </c>
      <c r="AR2893" s="128" t="s">
        <v>44</v>
      </c>
      <c r="AS2893" s="129" t="s">
        <v>57</v>
      </c>
      <c r="BC2893" s="129" t="s">
        <v>38</v>
      </c>
      <c r="BF2893" s="111">
        <f>IF(J2893&gt;1/1/1900,((J2893+1)-I2893),"STILL OPEN")</f>
        <v>4</v>
      </c>
      <c r="BG2893" s="111">
        <f>IF(G2893&gt;1/1/1900,((G2893+1)-I2893),"STILL OPEN")</f>
        <v>4</v>
      </c>
      <c r="BH2893" s="111">
        <f t="shared" si="2104"/>
        <v>5</v>
      </c>
      <c r="BI2893" s="111">
        <f t="shared" si="2106"/>
        <v>28.983606557377048</v>
      </c>
      <c r="BJ2893" s="129">
        <f>G2893-J2893-M2893</f>
        <v>0</v>
      </c>
      <c r="BK2893" s="129">
        <f t="shared" si="2105"/>
        <v>0</v>
      </c>
      <c r="BL2893" s="129" t="str">
        <f t="shared" si="2098"/>
        <v>CONVICTION</v>
      </c>
      <c r="BM2893" s="129" t="str">
        <f>O2893</f>
        <v>NONE</v>
      </c>
      <c r="BN2893" s="129" t="s">
        <v>566</v>
      </c>
      <c r="BP2893" s="137" t="str">
        <f t="shared" si="2107"/>
        <v>CONVICTION</v>
      </c>
      <c r="BQ2893" s="128" t="str">
        <f t="shared" si="2116"/>
        <v>Y</v>
      </c>
      <c r="BR2893" s="129" t="str">
        <f t="shared" si="2108"/>
        <v>DETAINED</v>
      </c>
      <c r="BS2893" s="129" t="str">
        <f t="shared" si="2109"/>
        <v>DISPOSED</v>
      </c>
      <c r="BT2893" s="129" t="str">
        <f t="shared" si="2110"/>
        <v>N</v>
      </c>
      <c r="BU2893" s="109">
        <f t="shared" si="2111"/>
        <v>0.8</v>
      </c>
      <c r="BV2893" s="109">
        <f t="shared" si="2117"/>
        <v>1</v>
      </c>
      <c r="BW2893" s="109">
        <f t="shared" ref="BW2893:BW2956" si="2127">BV2893-BU2893</f>
        <v>0.19999999999999996</v>
      </c>
      <c r="BX2893" s="111">
        <f t="shared" si="2112"/>
        <v>0</v>
      </c>
      <c r="BY2893" s="129">
        <f t="shared" si="2118"/>
        <v>-4</v>
      </c>
      <c r="BZ2893" s="111">
        <f t="shared" si="2119"/>
        <v>0</v>
      </c>
      <c r="CA2893" s="138">
        <f t="shared" si="2120"/>
        <v>4</v>
      </c>
      <c r="CB2893" s="111" t="e">
        <f>IF(AF2893&gt;1/1/1900,((AF2893+1)-AE2893),"STILL OPEN")</f>
        <v>#VALUE!</v>
      </c>
      <c r="CC2893" s="129">
        <f>G2893-I2893+1</f>
        <v>4</v>
      </c>
      <c r="CD2893" s="129">
        <f>G2893-J2893</f>
        <v>0</v>
      </c>
      <c r="CG2893" s="129" t="str">
        <f t="shared" si="2121"/>
        <v>N</v>
      </c>
      <c r="CI2893" s="129" t="str">
        <f t="shared" si="2122"/>
        <v>0-10 DAYS</v>
      </c>
      <c r="CJ2893" s="137">
        <f t="shared" si="2123"/>
        <v>1</v>
      </c>
      <c r="CK2893" s="129" t="str">
        <f t="shared" si="2124"/>
        <v>Booked</v>
      </c>
    </row>
    <row r="2894" spans="1:89" ht="15" customHeight="1" x14ac:dyDescent="0.25">
      <c r="A2894" s="111">
        <v>1643</v>
      </c>
      <c r="B2894" s="128" t="str">
        <f t="shared" si="2113"/>
        <v>N</v>
      </c>
      <c r="C2894" s="128" t="str">
        <f t="shared" si="2114"/>
        <v>N</v>
      </c>
      <c r="D2894" s="117">
        <v>2607313</v>
      </c>
      <c r="E2894" s="135">
        <f t="shared" si="2115"/>
        <v>1</v>
      </c>
      <c r="F2894" s="124">
        <v>40969</v>
      </c>
      <c r="G2894" s="125">
        <v>41152</v>
      </c>
      <c r="H2894" s="117">
        <v>2607313</v>
      </c>
      <c r="I2894" s="124">
        <v>41015</v>
      </c>
      <c r="J2894" s="124">
        <v>41016</v>
      </c>
      <c r="K2894" s="126">
        <v>5000</v>
      </c>
      <c r="L2894" s="127" t="s">
        <v>569</v>
      </c>
      <c r="M2894" s="125">
        <v>41016</v>
      </c>
      <c r="N2894" s="129" t="str">
        <f>IF(M2894&gt;1/1/1,"Y","N")</f>
        <v>Y</v>
      </c>
      <c r="O2894" s="128" t="s">
        <v>76</v>
      </c>
      <c r="P2894" s="129" t="s">
        <v>55</v>
      </c>
      <c r="Q2894" s="111">
        <f t="shared" si="2126"/>
        <v>2</v>
      </c>
      <c r="R2894" s="111">
        <f t="shared" si="2103"/>
        <v>184</v>
      </c>
      <c r="S2894" s="129">
        <v>0</v>
      </c>
      <c r="T2894" s="129">
        <v>0</v>
      </c>
      <c r="W2894" s="111"/>
      <c r="AC2894" s="130"/>
      <c r="AD2894" s="130">
        <v>22284</v>
      </c>
      <c r="AE2894" s="128" t="s">
        <v>32</v>
      </c>
      <c r="AF2894" s="128" t="s">
        <v>69</v>
      </c>
      <c r="AG2894" s="128" t="s">
        <v>874</v>
      </c>
      <c r="AH2894" s="108" t="s">
        <v>31</v>
      </c>
      <c r="AI2894" s="128" t="s">
        <v>113</v>
      </c>
      <c r="AJ2894" s="129" t="s">
        <v>55</v>
      </c>
      <c r="AK2894" s="129">
        <v>7</v>
      </c>
      <c r="AL2894" s="3" t="s">
        <v>55</v>
      </c>
      <c r="AP2894" s="129" t="s">
        <v>108</v>
      </c>
      <c r="AR2894" s="128" t="s">
        <v>44</v>
      </c>
      <c r="AS2894" s="129" t="s">
        <v>61</v>
      </c>
      <c r="BC2894" s="129" t="s">
        <v>52</v>
      </c>
      <c r="BF2894" s="111">
        <f>IF(J2894&gt;1/1/1900,((J2894+1)-I2894),"STILL OPEN")</f>
        <v>2</v>
      </c>
      <c r="BG2894" s="111">
        <f>IF(G2894&gt;1/1/1900,((G2894+1)-I2894),"STILL OPEN")</f>
        <v>138</v>
      </c>
      <c r="BH2894" s="111">
        <f t="shared" si="2104"/>
        <v>184</v>
      </c>
      <c r="BI2894" s="111">
        <f t="shared" si="2106"/>
        <v>51.051912568306008</v>
      </c>
      <c r="BJ2894" s="129">
        <f>(G2894-J2894)+(M2894-G2894)</f>
        <v>0</v>
      </c>
      <c r="BK2894" s="129">
        <f t="shared" si="2105"/>
        <v>-136</v>
      </c>
      <c r="BL2894" s="129" t="str">
        <f t="shared" si="2098"/>
        <v>NO CONVICTION</v>
      </c>
      <c r="BM2894" s="129" t="s">
        <v>76</v>
      </c>
      <c r="BN2894" s="129" t="s">
        <v>88</v>
      </c>
      <c r="BP2894" s="137" t="str">
        <f t="shared" si="2107"/>
        <v>NO CONVICTION</v>
      </c>
      <c r="BQ2894" s="128" t="str">
        <f t="shared" si="2116"/>
        <v>Y</v>
      </c>
      <c r="BR2894" s="129" t="str">
        <f t="shared" si="2108"/>
        <v>ON BOND</v>
      </c>
      <c r="BS2894" s="129" t="str">
        <f t="shared" si="2109"/>
        <v>DISPOSED</v>
      </c>
      <c r="BT2894" s="129" t="str">
        <f t="shared" si="2110"/>
        <v>N</v>
      </c>
      <c r="BU2894" s="109">
        <f>IFERROR(Q2894/R2894,BR2894)</f>
        <v>1.0869565217391304E-2</v>
      </c>
      <c r="BV2894" s="109">
        <f t="shared" si="2117"/>
        <v>1.4492753623188406E-2</v>
      </c>
      <c r="BW2894" s="109">
        <f t="shared" si="2127"/>
        <v>3.6231884057971019E-3</v>
      </c>
      <c r="BX2894" s="111">
        <f t="shared" si="2112"/>
        <v>0</v>
      </c>
      <c r="BY2894" s="129">
        <f t="shared" si="2118"/>
        <v>-2</v>
      </c>
      <c r="BZ2894" s="111">
        <f t="shared" si="2119"/>
        <v>0</v>
      </c>
      <c r="CA2894" s="138">
        <f t="shared" si="2120"/>
        <v>2</v>
      </c>
      <c r="CB2894" s="111" t="e">
        <f>IF(AF2894&gt;1/1/1900,((AF2894+1)-AE2894),"STILL OPEN")</f>
        <v>#VALUE!</v>
      </c>
      <c r="CC2894" s="129">
        <f>M2894-I2894+1</f>
        <v>2</v>
      </c>
      <c r="CD2894" s="111">
        <f>CC2894-BF2894</f>
        <v>0</v>
      </c>
      <c r="CG2894" s="129" t="str">
        <f t="shared" si="2121"/>
        <v>N</v>
      </c>
      <c r="CI2894" s="129" t="str">
        <f t="shared" si="2122"/>
        <v>0-10 DAYS</v>
      </c>
      <c r="CJ2894" s="137">
        <f t="shared" si="2123"/>
        <v>1</v>
      </c>
      <c r="CK2894" s="129" t="str">
        <f t="shared" si="2124"/>
        <v>Booked</v>
      </c>
    </row>
    <row r="2895" spans="1:89" ht="15" customHeight="1" x14ac:dyDescent="0.25">
      <c r="A2895" s="111">
        <v>1661</v>
      </c>
      <c r="B2895" s="128" t="str">
        <f t="shared" si="2113"/>
        <v>N</v>
      </c>
      <c r="C2895" s="128" t="str">
        <f t="shared" si="2114"/>
        <v>N</v>
      </c>
      <c r="D2895" s="117">
        <v>2607413</v>
      </c>
      <c r="E2895" s="135">
        <f t="shared" si="2115"/>
        <v>2</v>
      </c>
      <c r="F2895" s="124">
        <v>40970</v>
      </c>
      <c r="G2895" s="125">
        <v>41176</v>
      </c>
      <c r="H2895" s="117">
        <v>2607413</v>
      </c>
      <c r="I2895" s="124" t="s">
        <v>562</v>
      </c>
      <c r="J2895" s="124" t="s">
        <v>562</v>
      </c>
      <c r="K2895" s="126">
        <v>5000</v>
      </c>
      <c r="L2895" s="127" t="s">
        <v>569</v>
      </c>
      <c r="M2895" s="125">
        <v>40971</v>
      </c>
      <c r="N2895" s="129" t="str">
        <f>IF(M2895&gt;1/1/1,"Y",IF(Q2895="0","","N"))</f>
        <v>Y</v>
      </c>
      <c r="O2895" s="128" t="s">
        <v>585</v>
      </c>
      <c r="P2895" s="129" t="s">
        <v>589</v>
      </c>
      <c r="Q2895" s="111">
        <f t="shared" si="2126"/>
        <v>0</v>
      </c>
      <c r="R2895" s="111">
        <f t="shared" si="2103"/>
        <v>207</v>
      </c>
      <c r="S2895" s="129">
        <v>0</v>
      </c>
      <c r="T2895" s="129">
        <v>0</v>
      </c>
      <c r="W2895" s="111"/>
      <c r="AB2895" s="131" t="s">
        <v>112</v>
      </c>
      <c r="AC2895" s="130"/>
      <c r="AD2895" s="130">
        <v>31834</v>
      </c>
      <c r="AE2895" s="128" t="s">
        <v>46</v>
      </c>
      <c r="AF2895" s="128" t="s">
        <v>40</v>
      </c>
      <c r="AG2895" s="128" t="s">
        <v>41</v>
      </c>
      <c r="AH2895" s="108" t="s">
        <v>31</v>
      </c>
      <c r="AI2895" s="128" t="s">
        <v>90</v>
      </c>
      <c r="AJ2895" s="129" t="s">
        <v>48</v>
      </c>
      <c r="AK2895" s="129">
        <v>14</v>
      </c>
      <c r="AL2895" s="3" t="s">
        <v>48</v>
      </c>
      <c r="AP2895" s="129" t="s">
        <v>96</v>
      </c>
      <c r="AR2895" s="128" t="s">
        <v>67</v>
      </c>
      <c r="AS2895" s="129" t="s">
        <v>64</v>
      </c>
      <c r="BC2895" s="129" t="s">
        <v>52</v>
      </c>
      <c r="BF2895" s="111">
        <v>0</v>
      </c>
      <c r="BG2895" s="111">
        <v>0</v>
      </c>
      <c r="BH2895" s="111">
        <f t="shared" si="2104"/>
        <v>207</v>
      </c>
      <c r="BI2895" s="111">
        <f t="shared" si="2106"/>
        <v>24.961748633879782</v>
      </c>
      <c r="BJ2895" s="129" t="e">
        <f>(G2895-J2895)+(M2895-G2895)</f>
        <v>#VALUE!</v>
      </c>
      <c r="BK2895" s="129" t="e">
        <f t="shared" si="2105"/>
        <v>#VALUE!</v>
      </c>
      <c r="BL2895" s="129" t="str">
        <f t="shared" si="2098"/>
        <v>DEFERRED</v>
      </c>
      <c r="BM2895" s="129" t="s">
        <v>76</v>
      </c>
      <c r="BN2895" s="129" t="s">
        <v>88</v>
      </c>
      <c r="BP2895" s="137" t="str">
        <f t="shared" si="2107"/>
        <v>DEFERRED</v>
      </c>
      <c r="BQ2895" s="128">
        <f t="shared" si="2116"/>
        <v>0</v>
      </c>
      <c r="BR2895" s="129" t="s">
        <v>575</v>
      </c>
      <c r="BS2895" s="129" t="str">
        <f t="shared" si="2109"/>
        <v>DISPOSED</v>
      </c>
      <c r="BT2895" s="129" t="str">
        <f t="shared" si="2110"/>
        <v>N</v>
      </c>
      <c r="BU2895" s="109">
        <f t="shared" si="2111"/>
        <v>0</v>
      </c>
      <c r="BV2895" s="109">
        <v>0</v>
      </c>
      <c r="BW2895" s="109">
        <f t="shared" si="2127"/>
        <v>0</v>
      </c>
      <c r="BX2895" s="111">
        <f t="shared" si="2112"/>
        <v>0</v>
      </c>
      <c r="BY2895" s="129" t="e">
        <f t="shared" si="2118"/>
        <v>#VALUE!</v>
      </c>
      <c r="BZ2895" s="111" t="e">
        <f t="shared" si="2119"/>
        <v>#VALUE!</v>
      </c>
      <c r="CA2895" s="138" t="e">
        <f t="shared" si="2120"/>
        <v>#VALUE!</v>
      </c>
      <c r="CB2895" s="111">
        <v>0</v>
      </c>
      <c r="CC2895" s="129">
        <v>0</v>
      </c>
      <c r="CD2895" s="111">
        <f>CC2895-BF2895</f>
        <v>0</v>
      </c>
      <c r="CG2895" s="129" t="str">
        <f t="shared" si="2121"/>
        <v>N</v>
      </c>
      <c r="CI2895" s="129" t="str">
        <f t="shared" si="2122"/>
        <v>0-10 DAYS</v>
      </c>
      <c r="CJ2895" s="137">
        <f t="shared" si="2123"/>
        <v>1</v>
      </c>
      <c r="CK2895" s="129" t="str">
        <f t="shared" si="2124"/>
        <v>Not Booked</v>
      </c>
    </row>
    <row r="2896" spans="1:89" ht="15.75" customHeight="1" x14ac:dyDescent="0.25">
      <c r="A2896" s="111">
        <v>1665</v>
      </c>
      <c r="B2896" s="128" t="str">
        <f t="shared" si="2113"/>
        <v>N</v>
      </c>
      <c r="C2896" s="128" t="str">
        <f t="shared" si="2114"/>
        <v>N</v>
      </c>
      <c r="D2896" s="117">
        <v>2607454</v>
      </c>
      <c r="E2896" s="135">
        <f t="shared" si="2115"/>
        <v>5</v>
      </c>
      <c r="F2896" s="124">
        <v>40970</v>
      </c>
      <c r="G2896" s="125">
        <v>41079</v>
      </c>
      <c r="H2896" s="117">
        <v>2607454</v>
      </c>
      <c r="I2896" s="124">
        <v>40970</v>
      </c>
      <c r="J2896" s="124">
        <v>41079</v>
      </c>
      <c r="K2896" s="126">
        <v>35000</v>
      </c>
      <c r="L2896" s="129" t="s">
        <v>572</v>
      </c>
      <c r="N2896" s="129" t="str">
        <f>IF(M2896&gt;1/1/1,"Y","N")</f>
        <v>N</v>
      </c>
      <c r="O2896" s="128" t="s">
        <v>917</v>
      </c>
      <c r="P2896" s="129" t="s">
        <v>39</v>
      </c>
      <c r="Q2896" s="111">
        <f t="shared" si="2126"/>
        <v>110</v>
      </c>
      <c r="R2896" s="111">
        <f t="shared" si="2103"/>
        <v>110</v>
      </c>
      <c r="S2896" s="129">
        <v>0</v>
      </c>
      <c r="T2896" s="129">
        <v>0</v>
      </c>
      <c r="W2896" s="111"/>
      <c r="AB2896" s="131" t="s">
        <v>112</v>
      </c>
      <c r="AC2896" s="130"/>
      <c r="AD2896" s="130">
        <v>31215</v>
      </c>
      <c r="AE2896" s="128" t="s">
        <v>46</v>
      </c>
      <c r="AF2896" s="128" t="s">
        <v>40</v>
      </c>
      <c r="AG2896" s="128" t="s">
        <v>41</v>
      </c>
      <c r="AH2896" s="108" t="s">
        <v>31</v>
      </c>
      <c r="AI2896" s="128" t="s">
        <v>72</v>
      </c>
      <c r="AJ2896" s="129" t="s">
        <v>89</v>
      </c>
      <c r="AK2896" s="129">
        <v>5</v>
      </c>
      <c r="AL2896" s="3" t="s">
        <v>992</v>
      </c>
      <c r="AN2896" s="117">
        <v>6</v>
      </c>
      <c r="AP2896" s="129" t="s">
        <v>63</v>
      </c>
      <c r="AR2896" s="128" t="s">
        <v>44</v>
      </c>
      <c r="AS2896" s="129" t="s">
        <v>64</v>
      </c>
      <c r="BC2896" s="129" t="s">
        <v>38</v>
      </c>
      <c r="BF2896" s="111">
        <f>IF(J2896&gt;1/1/1900,((J2896+1)-I2896),"STILL OPEN")</f>
        <v>110</v>
      </c>
      <c r="BG2896" s="111">
        <f>IF(G2896&gt;1/1/1900,((G2896+1)-I2896),"STILL OPEN")</f>
        <v>110</v>
      </c>
      <c r="BH2896" s="111">
        <f t="shared" si="2104"/>
        <v>110</v>
      </c>
      <c r="BI2896" s="111">
        <f t="shared" si="2106"/>
        <v>26.653005464480874</v>
      </c>
      <c r="BJ2896" s="129">
        <f>G2896-J2896-M2896</f>
        <v>0</v>
      </c>
      <c r="BK2896" s="129">
        <f t="shared" si="2105"/>
        <v>0</v>
      </c>
      <c r="BL2896" s="129" t="str">
        <f t="shared" si="2098"/>
        <v>CONVICTION</v>
      </c>
      <c r="BM2896" s="129" t="str">
        <f>O2896</f>
        <v>NONE</v>
      </c>
      <c r="BN2896" s="129" t="s">
        <v>566</v>
      </c>
      <c r="BP2896" s="137" t="str">
        <f t="shared" si="2107"/>
        <v>CONVICTION</v>
      </c>
      <c r="BQ2896" s="128" t="str">
        <f t="shared" si="2116"/>
        <v>Y</v>
      </c>
      <c r="BR2896" s="129" t="str">
        <f t="shared" si="2108"/>
        <v>DETAINED</v>
      </c>
      <c r="BS2896" s="129" t="str">
        <f t="shared" si="2109"/>
        <v>DISPOSED</v>
      </c>
      <c r="BT2896" s="129" t="str">
        <f t="shared" si="2110"/>
        <v>N</v>
      </c>
      <c r="BU2896" s="109">
        <f t="shared" si="2111"/>
        <v>1</v>
      </c>
      <c r="BV2896" s="109">
        <f t="shared" si="2117"/>
        <v>1</v>
      </c>
      <c r="BW2896" s="109">
        <f t="shared" si="2127"/>
        <v>0</v>
      </c>
      <c r="BX2896" s="111">
        <f t="shared" si="2112"/>
        <v>0</v>
      </c>
      <c r="BY2896" s="129">
        <f t="shared" si="2118"/>
        <v>-110</v>
      </c>
      <c r="BZ2896" s="111">
        <f t="shared" si="2119"/>
        <v>0</v>
      </c>
      <c r="CA2896" s="138">
        <f t="shared" si="2120"/>
        <v>110</v>
      </c>
      <c r="CB2896" s="111" t="e">
        <f>IF(AF2896&gt;1/1/1900,((AF2896+1)-AE2896),"STILL OPEN")</f>
        <v>#VALUE!</v>
      </c>
      <c r="CC2896" s="129">
        <f>G2896-I2896+1</f>
        <v>110</v>
      </c>
      <c r="CD2896" s="129">
        <f>G2896-J2896</f>
        <v>0</v>
      </c>
      <c r="CG2896" s="129" t="str">
        <f t="shared" si="2121"/>
        <v>N</v>
      </c>
      <c r="CI2896" s="129" t="str">
        <f t="shared" si="2122"/>
        <v>91-120 DAYS</v>
      </c>
      <c r="CJ2896" s="137">
        <f t="shared" si="2123"/>
        <v>0</v>
      </c>
      <c r="CK2896" s="129" t="str">
        <f t="shared" si="2124"/>
        <v>Booked</v>
      </c>
    </row>
    <row r="2897" spans="1:89" ht="15" customHeight="1" x14ac:dyDescent="0.25">
      <c r="A2897" s="111">
        <v>1666</v>
      </c>
      <c r="B2897" s="128" t="str">
        <f t="shared" si="2113"/>
        <v>N</v>
      </c>
      <c r="C2897" s="128" t="str">
        <f t="shared" si="2114"/>
        <v>N</v>
      </c>
      <c r="D2897" s="117">
        <v>2607457</v>
      </c>
      <c r="E2897" s="135">
        <f t="shared" si="2115"/>
        <v>3</v>
      </c>
      <c r="F2897" s="124">
        <v>40970</v>
      </c>
      <c r="G2897" s="125">
        <v>41213</v>
      </c>
      <c r="H2897" s="117">
        <v>2607457</v>
      </c>
      <c r="I2897" s="124">
        <v>40970</v>
      </c>
      <c r="J2897" s="124">
        <v>40971</v>
      </c>
      <c r="K2897" s="126">
        <v>2000</v>
      </c>
      <c r="L2897" s="127" t="s">
        <v>568</v>
      </c>
      <c r="M2897" s="125">
        <v>40971</v>
      </c>
      <c r="N2897" s="129" t="str">
        <f>IF(M2897&gt;1/1/1,"Y","N")</f>
        <v>Y</v>
      </c>
      <c r="O2897" s="128" t="s">
        <v>76</v>
      </c>
      <c r="P2897" s="129" t="s">
        <v>39</v>
      </c>
      <c r="Q2897" s="111">
        <f t="shared" si="2126"/>
        <v>2</v>
      </c>
      <c r="R2897" s="111">
        <f t="shared" si="2103"/>
        <v>244</v>
      </c>
      <c r="S2897" s="129">
        <v>0</v>
      </c>
      <c r="T2897" s="129">
        <v>0</v>
      </c>
      <c r="W2897" s="111"/>
      <c r="AC2897" s="130"/>
      <c r="AD2897" s="130">
        <v>26879</v>
      </c>
      <c r="AE2897" s="128" t="s">
        <v>32</v>
      </c>
      <c r="AF2897" s="128" t="s">
        <v>69</v>
      </c>
      <c r="AG2897" s="128" t="s">
        <v>874</v>
      </c>
      <c r="AH2897" s="108" t="s">
        <v>31</v>
      </c>
      <c r="AI2897" s="128" t="s">
        <v>118</v>
      </c>
      <c r="AJ2897" s="129" t="s">
        <v>89</v>
      </c>
      <c r="AK2897" s="129">
        <v>6</v>
      </c>
      <c r="AL2897" s="3" t="s">
        <v>185</v>
      </c>
      <c r="AP2897" s="129" t="s">
        <v>363</v>
      </c>
      <c r="AR2897" s="128" t="s">
        <v>44</v>
      </c>
      <c r="AS2897" s="129" t="s">
        <v>64</v>
      </c>
      <c r="AW2897" s="125"/>
      <c r="AX2897" s="123"/>
      <c r="BC2897" s="129" t="s">
        <v>52</v>
      </c>
      <c r="BF2897" s="111">
        <f>IF(J2897&gt;1/1/1900,((J2897+1)-I2897),"STILL OPEN")</f>
        <v>2</v>
      </c>
      <c r="BG2897" s="111">
        <f>IF(G2897&gt;1/1/1900,((G2897+1)-I2897),"STILL OPEN")</f>
        <v>244</v>
      </c>
      <c r="BH2897" s="111">
        <f t="shared" si="2104"/>
        <v>244</v>
      </c>
      <c r="BI2897" s="111">
        <f t="shared" si="2106"/>
        <v>38.5</v>
      </c>
      <c r="BJ2897" s="129">
        <f>(G2897-J2897)+(M2897-G2897)</f>
        <v>0</v>
      </c>
      <c r="BK2897" s="129">
        <f t="shared" si="2105"/>
        <v>-242</v>
      </c>
      <c r="BL2897" s="129" t="str">
        <f t="shared" si="2098"/>
        <v>CONVICTION</v>
      </c>
      <c r="BM2897" s="129" t="s">
        <v>76</v>
      </c>
      <c r="BN2897" s="129" t="s">
        <v>88</v>
      </c>
      <c r="BP2897" s="137" t="str">
        <f t="shared" si="2107"/>
        <v>CONVICTION</v>
      </c>
      <c r="BQ2897" s="128" t="str">
        <f t="shared" si="2116"/>
        <v>Y</v>
      </c>
      <c r="BR2897" s="129" t="str">
        <f>IF(J2897&lt;G2897,"ON BOND",0)</f>
        <v>ON BOND</v>
      </c>
      <c r="BS2897" s="129" t="str">
        <f t="shared" si="2109"/>
        <v>DISPOSED</v>
      </c>
      <c r="BT2897" s="129" t="str">
        <f t="shared" si="2110"/>
        <v>N</v>
      </c>
      <c r="BU2897" s="109">
        <f t="shared" si="2111"/>
        <v>8.1967213114754103E-3</v>
      </c>
      <c r="BV2897" s="109">
        <f t="shared" si="2117"/>
        <v>8.1967213114754103E-3</v>
      </c>
      <c r="BW2897" s="109">
        <f t="shared" si="2127"/>
        <v>0</v>
      </c>
      <c r="BX2897" s="111">
        <f t="shared" si="2112"/>
        <v>0</v>
      </c>
      <c r="BY2897" s="129">
        <f t="shared" si="2118"/>
        <v>-2</v>
      </c>
      <c r="BZ2897" s="111">
        <f t="shared" si="2119"/>
        <v>0</v>
      </c>
      <c r="CA2897" s="138">
        <f t="shared" si="2120"/>
        <v>2</v>
      </c>
      <c r="CB2897" s="111" t="e">
        <f>IF(AF2897&gt;1/1/1900,((AF2897+1)-AE2897),"STILL OPEN")</f>
        <v>#VALUE!</v>
      </c>
      <c r="CC2897" s="129">
        <f>M2897-I2897+1</f>
        <v>2</v>
      </c>
      <c r="CD2897" s="111">
        <f>CC2897-BF2897</f>
        <v>0</v>
      </c>
      <c r="CG2897" s="129" t="str">
        <f t="shared" si="2121"/>
        <v>N</v>
      </c>
      <c r="CI2897" s="129" t="str">
        <f t="shared" si="2122"/>
        <v>0-10 DAYS</v>
      </c>
      <c r="CJ2897" s="137">
        <f t="shared" si="2123"/>
        <v>1</v>
      </c>
      <c r="CK2897" s="129" t="str">
        <f t="shared" si="2124"/>
        <v>Booked</v>
      </c>
    </row>
    <row r="2898" spans="1:89" ht="15.75" customHeight="1" x14ac:dyDescent="0.25">
      <c r="A2898" s="111">
        <v>1681</v>
      </c>
      <c r="B2898" s="128" t="str">
        <f t="shared" si="2113"/>
        <v>N</v>
      </c>
      <c r="C2898" s="128" t="str">
        <f t="shared" si="2114"/>
        <v>N</v>
      </c>
      <c r="D2898" s="117">
        <v>2607560</v>
      </c>
      <c r="E2898" s="135">
        <f t="shared" si="2115"/>
        <v>2</v>
      </c>
      <c r="F2898" s="124">
        <v>40970</v>
      </c>
      <c r="G2898" s="125">
        <v>41179</v>
      </c>
      <c r="H2898" s="117">
        <v>2607560</v>
      </c>
      <c r="I2898" s="124">
        <v>41017</v>
      </c>
      <c r="J2898" s="124">
        <v>41019</v>
      </c>
      <c r="K2898" s="126">
        <v>2000</v>
      </c>
      <c r="L2898" s="127" t="s">
        <v>568</v>
      </c>
      <c r="M2898" s="125">
        <v>41019</v>
      </c>
      <c r="N2898" s="129" t="str">
        <f>IF(M2898&gt;1/1/1,"Y","N")</f>
        <v>Y</v>
      </c>
      <c r="O2898" s="128" t="s">
        <v>76</v>
      </c>
      <c r="P2898" s="129" t="s">
        <v>589</v>
      </c>
      <c r="Q2898" s="111">
        <f t="shared" si="2126"/>
        <v>3</v>
      </c>
      <c r="R2898" s="111">
        <f t="shared" si="2103"/>
        <v>210</v>
      </c>
      <c r="S2898" s="129">
        <v>0</v>
      </c>
      <c r="T2898" s="129">
        <v>0</v>
      </c>
      <c r="W2898" s="111"/>
      <c r="AC2898" s="130"/>
      <c r="AD2898" s="130">
        <v>33010</v>
      </c>
      <c r="AE2898" s="128" t="s">
        <v>46</v>
      </c>
      <c r="AF2898" s="128" t="s">
        <v>33</v>
      </c>
      <c r="AG2898" s="128" t="s">
        <v>872</v>
      </c>
      <c r="AH2898" s="108" t="s">
        <v>31</v>
      </c>
      <c r="AI2898" s="128" t="s">
        <v>141</v>
      </c>
      <c r="AJ2898" s="129" t="s">
        <v>48</v>
      </c>
      <c r="AK2898" s="129">
        <v>13</v>
      </c>
      <c r="AL2898" s="3" t="s">
        <v>48</v>
      </c>
      <c r="AP2898" s="129" t="s">
        <v>155</v>
      </c>
      <c r="AR2898" s="128" t="s">
        <v>44</v>
      </c>
      <c r="AS2898" s="129" t="s">
        <v>64</v>
      </c>
      <c r="BC2898" s="129" t="s">
        <v>52</v>
      </c>
      <c r="BF2898" s="111">
        <f>IF(J2898&gt;1/1/1900,((J2898+1)-I2898),"STILL OPEN")</f>
        <v>3</v>
      </c>
      <c r="BG2898" s="111">
        <f>IF(G2898&gt;1/1/1900,((G2898+1)-I2898),"STILL OPEN")</f>
        <v>163</v>
      </c>
      <c r="BH2898" s="111">
        <f t="shared" si="2104"/>
        <v>210</v>
      </c>
      <c r="BI2898" s="111">
        <f t="shared" si="2106"/>
        <v>21.748633879781419</v>
      </c>
      <c r="BJ2898" s="129">
        <f>(G2898-J2898)+(M2898-G2898)</f>
        <v>0</v>
      </c>
      <c r="BK2898" s="129">
        <f t="shared" si="2105"/>
        <v>-160</v>
      </c>
      <c r="BL2898" s="129" t="str">
        <f t="shared" si="2098"/>
        <v>DEFERRED</v>
      </c>
      <c r="BM2898" s="129" t="s">
        <v>76</v>
      </c>
      <c r="BN2898" s="129" t="s">
        <v>88</v>
      </c>
      <c r="BP2898" s="137" t="str">
        <f t="shared" si="2107"/>
        <v>DEFERRED</v>
      </c>
      <c r="BQ2898" s="128" t="str">
        <f t="shared" si="2116"/>
        <v>Y</v>
      </c>
      <c r="BR2898" s="129" t="str">
        <f t="shared" si="2108"/>
        <v>ON BOND</v>
      </c>
      <c r="BS2898" s="129" t="str">
        <f t="shared" si="2109"/>
        <v>DISPOSED</v>
      </c>
      <c r="BT2898" s="129" t="str">
        <f t="shared" si="2110"/>
        <v>N</v>
      </c>
      <c r="BU2898" s="109">
        <f t="shared" si="2111"/>
        <v>1.4285714285714285E-2</v>
      </c>
      <c r="BV2898" s="109">
        <f t="shared" si="2117"/>
        <v>1.8404907975460124E-2</v>
      </c>
      <c r="BW2898" s="109">
        <f t="shared" si="2127"/>
        <v>4.1191936897458387E-3</v>
      </c>
      <c r="BX2898" s="111">
        <f t="shared" si="2112"/>
        <v>0</v>
      </c>
      <c r="BY2898" s="129">
        <f t="shared" si="2118"/>
        <v>-3</v>
      </c>
      <c r="BZ2898" s="111">
        <f t="shared" si="2119"/>
        <v>0</v>
      </c>
      <c r="CA2898" s="138">
        <f t="shared" si="2120"/>
        <v>3</v>
      </c>
      <c r="CB2898" s="111" t="e">
        <f>IF(AF2898&gt;1/1/1900,((AF2898+1)-AE2898),"STILL OPEN")</f>
        <v>#VALUE!</v>
      </c>
      <c r="CC2898" s="129">
        <f>M2898-I2898+1</f>
        <v>3</v>
      </c>
      <c r="CD2898" s="111">
        <f>CC2898-BF2898</f>
        <v>0</v>
      </c>
      <c r="CG2898" s="129" t="str">
        <f t="shared" si="2121"/>
        <v>N</v>
      </c>
      <c r="CI2898" s="129" t="str">
        <f t="shared" si="2122"/>
        <v>0-10 DAYS</v>
      </c>
      <c r="CJ2898" s="137">
        <f t="shared" si="2123"/>
        <v>1</v>
      </c>
      <c r="CK2898" s="129" t="str">
        <f t="shared" si="2124"/>
        <v>Booked</v>
      </c>
    </row>
    <row r="2899" spans="1:89" ht="15.75" customHeight="1" x14ac:dyDescent="0.25">
      <c r="A2899" s="111">
        <v>1690</v>
      </c>
      <c r="B2899" s="128" t="str">
        <f t="shared" si="2113"/>
        <v>N</v>
      </c>
      <c r="C2899" s="128" t="str">
        <f t="shared" si="2114"/>
        <v>N</v>
      </c>
      <c r="D2899" s="117">
        <v>2607693</v>
      </c>
      <c r="E2899" s="135">
        <f t="shared" si="2115"/>
        <v>6</v>
      </c>
      <c r="F2899" s="124">
        <v>40971</v>
      </c>
      <c r="G2899" s="125">
        <v>40973</v>
      </c>
      <c r="H2899" s="117">
        <v>2607693</v>
      </c>
      <c r="I2899" s="124">
        <v>40971</v>
      </c>
      <c r="J2899" s="124">
        <v>40973</v>
      </c>
      <c r="K2899" s="126">
        <v>10000</v>
      </c>
      <c r="L2899" s="127" t="s">
        <v>570</v>
      </c>
      <c r="N2899" s="129" t="str">
        <f>IF(M2899&gt;1/1/1,"Y","N")</f>
        <v>N</v>
      </c>
      <c r="O2899" s="128" t="s">
        <v>917</v>
      </c>
      <c r="P2899" s="129" t="s">
        <v>39</v>
      </c>
      <c r="Q2899" s="111">
        <f t="shared" si="2126"/>
        <v>3</v>
      </c>
      <c r="R2899" s="111">
        <f t="shared" si="2103"/>
        <v>3</v>
      </c>
      <c r="S2899" s="129">
        <v>0</v>
      </c>
      <c r="T2899" s="129">
        <v>0</v>
      </c>
      <c r="W2899" s="111"/>
      <c r="AC2899" s="130"/>
      <c r="AD2899" s="130">
        <v>23633</v>
      </c>
      <c r="AE2899" s="128" t="s">
        <v>32</v>
      </c>
      <c r="AF2899" s="128" t="s">
        <v>33</v>
      </c>
      <c r="AG2899" s="128" t="s">
        <v>872</v>
      </c>
      <c r="AH2899" s="108" t="s">
        <v>31</v>
      </c>
      <c r="AI2899" s="128" t="s">
        <v>34</v>
      </c>
      <c r="AJ2899" s="129" t="s">
        <v>89</v>
      </c>
      <c r="AK2899" s="129">
        <v>1</v>
      </c>
      <c r="AL2899" s="3" t="s">
        <v>362</v>
      </c>
      <c r="AM2899" s="117">
        <v>2</v>
      </c>
      <c r="AP2899" s="129" t="s">
        <v>124</v>
      </c>
      <c r="AR2899" s="128" t="s">
        <v>67</v>
      </c>
      <c r="AS2899" s="129" t="s">
        <v>45</v>
      </c>
      <c r="BC2899" s="129" t="s">
        <v>38</v>
      </c>
      <c r="BF2899" s="111">
        <f>IF(J2899&gt;1/1/1900,((J2899+1)-I2899),"STILL OPEN")</f>
        <v>3</v>
      </c>
      <c r="BG2899" s="111">
        <f>IF(G2899&gt;1/1/1900,((G2899+1)-I2899),"STILL OPEN")</f>
        <v>3</v>
      </c>
      <c r="BH2899" s="111">
        <f t="shared" si="2104"/>
        <v>3</v>
      </c>
      <c r="BI2899" s="111">
        <f t="shared" si="2106"/>
        <v>47.37158469945355</v>
      </c>
      <c r="BJ2899" s="129">
        <f>G2899-J2899-M2899</f>
        <v>0</v>
      </c>
      <c r="BK2899" s="129">
        <f t="shared" si="2105"/>
        <v>0</v>
      </c>
      <c r="BL2899" s="129" t="str">
        <f t="shared" si="2098"/>
        <v>CONVICTION</v>
      </c>
      <c r="BM2899" s="129" t="str">
        <f>O2899</f>
        <v>NONE</v>
      </c>
      <c r="BN2899" s="129" t="s">
        <v>566</v>
      </c>
      <c r="BP2899" s="137" t="str">
        <f t="shared" si="2107"/>
        <v>CONVICTION</v>
      </c>
      <c r="BQ2899" s="128" t="str">
        <f t="shared" si="2116"/>
        <v>Y</v>
      </c>
      <c r="BR2899" s="129" t="str">
        <f t="shared" si="2108"/>
        <v>DETAINED</v>
      </c>
      <c r="BS2899" s="129" t="str">
        <f t="shared" si="2109"/>
        <v>DISPOSED</v>
      </c>
      <c r="BT2899" s="129" t="str">
        <f t="shared" si="2110"/>
        <v>N</v>
      </c>
      <c r="BU2899" s="109">
        <f t="shared" si="2111"/>
        <v>1</v>
      </c>
      <c r="BV2899" s="109">
        <f t="shared" si="2117"/>
        <v>1</v>
      </c>
      <c r="BW2899" s="109">
        <f t="shared" si="2127"/>
        <v>0</v>
      </c>
      <c r="BX2899" s="111">
        <f t="shared" si="2112"/>
        <v>0</v>
      </c>
      <c r="BY2899" s="129">
        <f t="shared" si="2118"/>
        <v>-3</v>
      </c>
      <c r="BZ2899" s="111">
        <f t="shared" si="2119"/>
        <v>0</v>
      </c>
      <c r="CA2899" s="138">
        <f t="shared" si="2120"/>
        <v>3</v>
      </c>
      <c r="CB2899" s="111" t="e">
        <f>IF(AF2899&gt;1/1/1900,((AF2899+1)-AE2899),"STILL OPEN")</f>
        <v>#VALUE!</v>
      </c>
      <c r="CC2899" s="129">
        <f>G2899-I2899+1</f>
        <v>3</v>
      </c>
      <c r="CD2899" s="129">
        <f>G2899-J2899</f>
        <v>0</v>
      </c>
      <c r="CG2899" s="129" t="str">
        <f t="shared" si="2121"/>
        <v>N</v>
      </c>
      <c r="CI2899" s="129" t="str">
        <f t="shared" si="2122"/>
        <v>0-10 DAYS</v>
      </c>
      <c r="CJ2899" s="137">
        <f t="shared" si="2123"/>
        <v>1</v>
      </c>
      <c r="CK2899" s="129" t="str">
        <f t="shared" si="2124"/>
        <v>Booked</v>
      </c>
    </row>
    <row r="2900" spans="1:89" ht="15.75" customHeight="1" x14ac:dyDescent="0.25">
      <c r="A2900" s="111">
        <v>1699</v>
      </c>
      <c r="B2900" s="128" t="str">
        <f t="shared" si="2113"/>
        <v>N</v>
      </c>
      <c r="C2900" s="128" t="str">
        <f t="shared" si="2114"/>
        <v>N</v>
      </c>
      <c r="D2900" s="117">
        <v>2607748</v>
      </c>
      <c r="E2900" s="135">
        <f t="shared" si="2115"/>
        <v>2</v>
      </c>
      <c r="F2900" s="124">
        <v>40972</v>
      </c>
      <c r="G2900" s="125">
        <v>40973</v>
      </c>
      <c r="H2900" s="117">
        <v>2607748</v>
      </c>
      <c r="I2900" s="124">
        <v>40972</v>
      </c>
      <c r="J2900" s="124">
        <v>40973</v>
      </c>
      <c r="K2900" s="126">
        <v>5000</v>
      </c>
      <c r="L2900" s="127" t="s">
        <v>569</v>
      </c>
      <c r="N2900" s="129" t="str">
        <f>IF(M2900&gt;1/1/1,"Y","N")</f>
        <v>N</v>
      </c>
      <c r="O2900" s="128" t="s">
        <v>917</v>
      </c>
      <c r="P2900" s="129" t="s">
        <v>589</v>
      </c>
      <c r="Q2900" s="111">
        <f t="shared" si="2126"/>
        <v>2</v>
      </c>
      <c r="R2900" s="111">
        <f t="shared" si="2103"/>
        <v>2</v>
      </c>
      <c r="S2900" s="129">
        <v>0</v>
      </c>
      <c r="T2900" s="129">
        <v>0</v>
      </c>
      <c r="W2900" s="111"/>
      <c r="AB2900" s="131" t="s">
        <v>112</v>
      </c>
      <c r="AC2900" s="130"/>
      <c r="AD2900" s="130">
        <v>32683</v>
      </c>
      <c r="AE2900" s="128" t="s">
        <v>46</v>
      </c>
      <c r="AF2900" s="128" t="s">
        <v>40</v>
      </c>
      <c r="AG2900" s="128" t="s">
        <v>41</v>
      </c>
      <c r="AH2900" s="108" t="s">
        <v>31</v>
      </c>
      <c r="AI2900" s="128" t="s">
        <v>141</v>
      </c>
      <c r="AJ2900" s="129" t="s">
        <v>48</v>
      </c>
      <c r="AK2900" s="129">
        <v>1</v>
      </c>
      <c r="AL2900" s="3" t="s">
        <v>48</v>
      </c>
      <c r="AP2900" s="129" t="s">
        <v>43</v>
      </c>
      <c r="AR2900" s="128" t="s">
        <v>44</v>
      </c>
      <c r="AS2900" s="129" t="s">
        <v>45</v>
      </c>
      <c r="BC2900" s="129" t="s">
        <v>38</v>
      </c>
      <c r="BF2900" s="111">
        <f>IF(J2900&gt;1/1/1900,((J2900+1)-I2900),"STILL OPEN")</f>
        <v>2</v>
      </c>
      <c r="BG2900" s="111">
        <f>IF(G2900&gt;1/1/1900,((G2900+1)-I2900),"STILL OPEN")</f>
        <v>2</v>
      </c>
      <c r="BH2900" s="111">
        <f t="shared" si="2104"/>
        <v>2</v>
      </c>
      <c r="BI2900" s="111">
        <f t="shared" si="2106"/>
        <v>22.647540983606557</v>
      </c>
      <c r="BJ2900" s="129">
        <f>G2900-J2900-M2900</f>
        <v>0</v>
      </c>
      <c r="BK2900" s="129">
        <f t="shared" si="2105"/>
        <v>0</v>
      </c>
      <c r="BL2900" s="129" t="str">
        <f t="shared" si="2098"/>
        <v>DEFERRED</v>
      </c>
      <c r="BM2900" s="129" t="str">
        <f>O2900</f>
        <v>NONE</v>
      </c>
      <c r="BN2900" s="129" t="s">
        <v>566</v>
      </c>
      <c r="BP2900" s="137" t="str">
        <f t="shared" si="2107"/>
        <v>DEFERRED</v>
      </c>
      <c r="BQ2900" s="128" t="str">
        <f t="shared" si="2116"/>
        <v>Y</v>
      </c>
      <c r="BR2900" s="129" t="str">
        <f t="shared" si="2108"/>
        <v>DETAINED</v>
      </c>
      <c r="BS2900" s="129" t="str">
        <f t="shared" si="2109"/>
        <v>DISPOSED</v>
      </c>
      <c r="BT2900" s="129" t="str">
        <f t="shared" si="2110"/>
        <v>N</v>
      </c>
      <c r="BU2900" s="109">
        <f t="shared" si="2111"/>
        <v>1</v>
      </c>
      <c r="BV2900" s="109">
        <f t="shared" si="2117"/>
        <v>1</v>
      </c>
      <c r="BW2900" s="109">
        <f t="shared" si="2127"/>
        <v>0</v>
      </c>
      <c r="BX2900" s="111">
        <f t="shared" si="2112"/>
        <v>0</v>
      </c>
      <c r="BY2900" s="129">
        <f t="shared" si="2118"/>
        <v>-2</v>
      </c>
      <c r="BZ2900" s="111">
        <f t="shared" si="2119"/>
        <v>0</v>
      </c>
      <c r="CA2900" s="138">
        <f t="shared" si="2120"/>
        <v>2</v>
      </c>
      <c r="CB2900" s="111" t="e">
        <f>IF(AF2900&gt;1/1/1900,((AF2900+1)-AE2900),"STILL OPEN")</f>
        <v>#VALUE!</v>
      </c>
      <c r="CC2900" s="129">
        <f>G2900-I2900+1</f>
        <v>2</v>
      </c>
      <c r="CD2900" s="129">
        <f>G2900-J2900</f>
        <v>0</v>
      </c>
      <c r="CG2900" s="129" t="str">
        <f t="shared" si="2121"/>
        <v>N</v>
      </c>
      <c r="CI2900" s="129" t="str">
        <f t="shared" si="2122"/>
        <v>0-10 DAYS</v>
      </c>
      <c r="CJ2900" s="137">
        <f t="shared" si="2123"/>
        <v>1</v>
      </c>
      <c r="CK2900" s="129" t="str">
        <f t="shared" si="2124"/>
        <v>Booked</v>
      </c>
    </row>
    <row r="2901" spans="1:89" ht="15.75" customHeight="1" x14ac:dyDescent="0.25">
      <c r="A2901" s="111">
        <v>1710</v>
      </c>
      <c r="B2901" s="128" t="str">
        <f t="shared" si="2113"/>
        <v>N</v>
      </c>
      <c r="C2901" s="128" t="str">
        <f t="shared" si="2114"/>
        <v>N</v>
      </c>
      <c r="D2901" s="117">
        <v>2607798</v>
      </c>
      <c r="E2901" s="135">
        <f t="shared" si="2115"/>
        <v>4</v>
      </c>
      <c r="F2901" s="124">
        <v>40972</v>
      </c>
      <c r="G2901" s="125">
        <v>41185</v>
      </c>
      <c r="H2901" s="117">
        <v>2607798</v>
      </c>
      <c r="I2901" s="124" t="s">
        <v>562</v>
      </c>
      <c r="J2901" s="124" t="s">
        <v>562</v>
      </c>
      <c r="K2901" s="126">
        <v>5000</v>
      </c>
      <c r="L2901" s="127" t="s">
        <v>569</v>
      </c>
      <c r="M2901" s="125">
        <v>40973</v>
      </c>
      <c r="N2901" s="129" t="str">
        <f>IF(M2901&gt;1/1/1,"Y",IF(Q2901="0","","N"))</f>
        <v>Y</v>
      </c>
      <c r="O2901" s="128" t="s">
        <v>585</v>
      </c>
      <c r="P2901" s="129" t="s">
        <v>39</v>
      </c>
      <c r="Q2901" s="111">
        <f t="shared" si="2126"/>
        <v>0</v>
      </c>
      <c r="R2901" s="111">
        <f t="shared" si="2103"/>
        <v>214</v>
      </c>
      <c r="S2901" s="129">
        <v>0</v>
      </c>
      <c r="T2901" s="129">
        <v>0</v>
      </c>
      <c r="W2901" s="111"/>
      <c r="AC2901" s="130"/>
      <c r="AD2901" s="130">
        <v>32977</v>
      </c>
      <c r="AE2901" s="128" t="s">
        <v>32</v>
      </c>
      <c r="AF2901" s="128" t="s">
        <v>69</v>
      </c>
      <c r="AG2901" s="128" t="s">
        <v>874</v>
      </c>
      <c r="AH2901" s="108" t="s">
        <v>31</v>
      </c>
      <c r="AI2901" s="128" t="s">
        <v>71</v>
      </c>
      <c r="AJ2901" s="129" t="s">
        <v>89</v>
      </c>
      <c r="AK2901" s="129">
        <v>9</v>
      </c>
      <c r="AL2901" s="3" t="s">
        <v>991</v>
      </c>
      <c r="AO2901" s="128">
        <v>3</v>
      </c>
      <c r="AP2901" s="129" t="s">
        <v>84</v>
      </c>
      <c r="AR2901" s="128" t="s">
        <v>67</v>
      </c>
      <c r="AS2901" s="129" t="s">
        <v>74</v>
      </c>
      <c r="BC2901" s="129" t="s">
        <v>52</v>
      </c>
      <c r="BF2901" s="111">
        <v>0</v>
      </c>
      <c r="BG2901" s="111">
        <v>0</v>
      </c>
      <c r="BH2901" s="111">
        <f t="shared" si="2104"/>
        <v>214</v>
      </c>
      <c r="BI2901" s="111">
        <f t="shared" si="2106"/>
        <v>21.844262295081968</v>
      </c>
      <c r="BJ2901" s="129" t="e">
        <f>(G2901-J2901)+(M2901-G2901)</f>
        <v>#VALUE!</v>
      </c>
      <c r="BK2901" s="129" t="e">
        <f t="shared" si="2105"/>
        <v>#VALUE!</v>
      </c>
      <c r="BL2901" s="129" t="str">
        <f t="shared" si="2098"/>
        <v>CONVICTION</v>
      </c>
      <c r="BM2901" s="129" t="s">
        <v>76</v>
      </c>
      <c r="BN2901" s="129" t="s">
        <v>88</v>
      </c>
      <c r="BP2901" s="137" t="str">
        <f t="shared" si="2107"/>
        <v>CONVICTION</v>
      </c>
      <c r="BQ2901" s="128">
        <f t="shared" si="2116"/>
        <v>0</v>
      </c>
      <c r="BR2901" s="129" t="s">
        <v>575</v>
      </c>
      <c r="BS2901" s="129" t="str">
        <f t="shared" si="2109"/>
        <v>DISPOSED</v>
      </c>
      <c r="BT2901" s="129" t="str">
        <f t="shared" si="2110"/>
        <v>N</v>
      </c>
      <c r="BU2901" s="109">
        <f t="shared" si="2111"/>
        <v>0</v>
      </c>
      <c r="BV2901" s="109">
        <v>0</v>
      </c>
      <c r="BW2901" s="109">
        <f t="shared" si="2127"/>
        <v>0</v>
      </c>
      <c r="BX2901" s="111">
        <f t="shared" si="2112"/>
        <v>0</v>
      </c>
      <c r="BY2901" s="129" t="e">
        <f t="shared" si="2118"/>
        <v>#VALUE!</v>
      </c>
      <c r="BZ2901" s="111" t="e">
        <f t="shared" si="2119"/>
        <v>#VALUE!</v>
      </c>
      <c r="CA2901" s="138" t="e">
        <f t="shared" si="2120"/>
        <v>#VALUE!</v>
      </c>
      <c r="CB2901" s="111">
        <v>0</v>
      </c>
      <c r="CC2901" s="129">
        <v>0</v>
      </c>
      <c r="CD2901" s="111">
        <f>CC2901-BF2901</f>
        <v>0</v>
      </c>
      <c r="CG2901" s="129" t="str">
        <f t="shared" si="2121"/>
        <v>N</v>
      </c>
      <c r="CI2901" s="129" t="str">
        <f t="shared" si="2122"/>
        <v>0-10 DAYS</v>
      </c>
      <c r="CJ2901" s="137">
        <f t="shared" si="2123"/>
        <v>1</v>
      </c>
      <c r="CK2901" s="129" t="str">
        <f t="shared" si="2124"/>
        <v>Not Booked</v>
      </c>
    </row>
    <row r="2902" spans="1:89" ht="15" customHeight="1" x14ac:dyDescent="0.25">
      <c r="A2902" s="111">
        <v>1709</v>
      </c>
      <c r="B2902" s="128" t="str">
        <f t="shared" si="2113"/>
        <v>N</v>
      </c>
      <c r="C2902" s="128" t="str">
        <f t="shared" si="2114"/>
        <v>N</v>
      </c>
      <c r="D2902" s="114">
        <v>2607799</v>
      </c>
      <c r="E2902" s="135">
        <f t="shared" si="2115"/>
        <v>2</v>
      </c>
      <c r="F2902" s="124">
        <v>40972</v>
      </c>
      <c r="G2902" s="125">
        <v>41046</v>
      </c>
      <c r="H2902" s="114">
        <v>2607799</v>
      </c>
      <c r="I2902" s="124">
        <v>40972</v>
      </c>
      <c r="J2902" s="124">
        <v>41046</v>
      </c>
      <c r="K2902" s="126">
        <v>30000</v>
      </c>
      <c r="L2902" s="129" t="s">
        <v>572</v>
      </c>
      <c r="N2902" s="129" t="str">
        <f>IF(M2902&gt;1/1/1,"Y","N")</f>
        <v>N</v>
      </c>
      <c r="O2902" s="128" t="s">
        <v>917</v>
      </c>
      <c r="P2902" s="129" t="s">
        <v>589</v>
      </c>
      <c r="Q2902" s="111">
        <f t="shared" si="2126"/>
        <v>75</v>
      </c>
      <c r="R2902" s="111">
        <f t="shared" si="2103"/>
        <v>75</v>
      </c>
      <c r="S2902" s="129">
        <v>0</v>
      </c>
      <c r="T2902" s="129">
        <v>0</v>
      </c>
      <c r="W2902" s="111"/>
      <c r="AC2902" s="130"/>
      <c r="AD2902" s="130">
        <v>28811</v>
      </c>
      <c r="AE2902" s="128" t="s">
        <v>32</v>
      </c>
      <c r="AF2902" s="128" t="s">
        <v>33</v>
      </c>
      <c r="AG2902" s="128" t="s">
        <v>872</v>
      </c>
      <c r="AH2902" s="108" t="s">
        <v>31</v>
      </c>
      <c r="AI2902" s="128" t="s">
        <v>70</v>
      </c>
      <c r="AJ2902" s="129" t="s">
        <v>48</v>
      </c>
      <c r="AK2902" s="129">
        <v>4</v>
      </c>
      <c r="AL2902" s="3" t="s">
        <v>48</v>
      </c>
      <c r="AP2902" s="129" t="s">
        <v>110</v>
      </c>
      <c r="AR2902" s="128" t="s">
        <v>50</v>
      </c>
      <c r="AS2902" s="129" t="s">
        <v>74</v>
      </c>
      <c r="AT2902" s="32" t="s">
        <v>367</v>
      </c>
      <c r="AU2902" s="3" t="s">
        <v>838</v>
      </c>
      <c r="BC2902" s="129" t="s">
        <v>38</v>
      </c>
      <c r="BF2902" s="111">
        <f>IF(J2902&gt;1/1/1900,((J2902+1)-I2902),"STILL OPEN")</f>
        <v>75</v>
      </c>
      <c r="BG2902" s="111">
        <f>IF(G2902&gt;1/1/1900,((G2902+1)-I2902),"STILL OPEN")</f>
        <v>75</v>
      </c>
      <c r="BH2902" s="111">
        <f t="shared" si="2104"/>
        <v>75</v>
      </c>
      <c r="BI2902" s="111">
        <f t="shared" si="2106"/>
        <v>33.22677595628415</v>
      </c>
      <c r="BJ2902" s="129">
        <f>G2902-J2902-M2902</f>
        <v>0</v>
      </c>
      <c r="BK2902" s="129">
        <f t="shared" si="2105"/>
        <v>0</v>
      </c>
      <c r="BL2902" s="129" t="str">
        <f t="shared" si="2098"/>
        <v>DEFERRED</v>
      </c>
      <c r="BM2902" s="129" t="str">
        <f>O2902</f>
        <v>NONE</v>
      </c>
      <c r="BN2902" s="129" t="s">
        <v>566</v>
      </c>
      <c r="BP2902" s="137" t="str">
        <f t="shared" si="2107"/>
        <v>DEFERRED</v>
      </c>
      <c r="BQ2902" s="128" t="str">
        <f t="shared" si="2116"/>
        <v>Y</v>
      </c>
      <c r="BR2902" s="129" t="str">
        <f t="shared" si="2108"/>
        <v>DETAINED</v>
      </c>
      <c r="BS2902" s="129" t="str">
        <f t="shared" si="2109"/>
        <v>DISPOSED</v>
      </c>
      <c r="BT2902" s="129" t="str">
        <f t="shared" si="2110"/>
        <v>N</v>
      </c>
      <c r="BU2902" s="109">
        <f t="shared" si="2111"/>
        <v>1</v>
      </c>
      <c r="BV2902" s="109">
        <f t="shared" si="2117"/>
        <v>1</v>
      </c>
      <c r="BW2902" s="109">
        <f t="shared" si="2127"/>
        <v>0</v>
      </c>
      <c r="BX2902" s="111">
        <f t="shared" si="2112"/>
        <v>0</v>
      </c>
      <c r="BY2902" s="129">
        <f t="shared" si="2118"/>
        <v>-75</v>
      </c>
      <c r="BZ2902" s="111">
        <f t="shared" si="2119"/>
        <v>0</v>
      </c>
      <c r="CA2902" s="138">
        <f t="shared" si="2120"/>
        <v>75</v>
      </c>
      <c r="CB2902" s="111" t="e">
        <f>IF(AF2902&gt;1/1/1900,((AF2902+1)-AE2902),"STILL OPEN")</f>
        <v>#VALUE!</v>
      </c>
      <c r="CC2902" s="129">
        <f>G2902-I2902+1</f>
        <v>75</v>
      </c>
      <c r="CD2902" s="129">
        <f>G2902-J2902</f>
        <v>0</v>
      </c>
      <c r="CG2902" s="129" t="str">
        <f t="shared" si="2121"/>
        <v>N</v>
      </c>
      <c r="CI2902" s="129" t="str">
        <f t="shared" si="2122"/>
        <v>61-90 DAYS</v>
      </c>
      <c r="CJ2902" s="137">
        <f t="shared" si="2123"/>
        <v>4</v>
      </c>
      <c r="CK2902" s="129" t="str">
        <f t="shared" si="2124"/>
        <v>Booked</v>
      </c>
    </row>
    <row r="2903" spans="1:89" ht="15.75" customHeight="1" x14ac:dyDescent="0.25">
      <c r="A2903" s="111">
        <v>1713</v>
      </c>
      <c r="B2903" s="128" t="str">
        <f t="shared" si="2113"/>
        <v>N</v>
      </c>
      <c r="C2903" s="128" t="str">
        <f t="shared" si="2114"/>
        <v>N</v>
      </c>
      <c r="D2903" s="117">
        <v>2607813</v>
      </c>
      <c r="E2903" s="135">
        <f t="shared" si="2115"/>
        <v>1</v>
      </c>
      <c r="F2903" s="124">
        <v>40972</v>
      </c>
      <c r="G2903" s="125">
        <v>41164</v>
      </c>
      <c r="H2903" s="117">
        <v>2607813</v>
      </c>
      <c r="I2903" s="124">
        <v>40973</v>
      </c>
      <c r="J2903" s="124">
        <v>41164</v>
      </c>
      <c r="K2903" s="126">
        <v>35000</v>
      </c>
      <c r="L2903" s="129" t="s">
        <v>572</v>
      </c>
      <c r="N2903" s="129" t="str">
        <f>IF(M2903&gt;1/1/1,"Y","N")</f>
        <v>N</v>
      </c>
      <c r="O2903" s="128" t="s">
        <v>917</v>
      </c>
      <c r="P2903" s="129" t="s">
        <v>55</v>
      </c>
      <c r="Q2903" s="111">
        <f t="shared" si="2126"/>
        <v>192</v>
      </c>
      <c r="R2903" s="111">
        <f t="shared" si="2103"/>
        <v>193</v>
      </c>
      <c r="S2903" s="129">
        <v>0</v>
      </c>
      <c r="T2903" s="129">
        <v>1</v>
      </c>
      <c r="W2903" s="111"/>
      <c r="AB2903" s="131" t="s">
        <v>112</v>
      </c>
      <c r="AC2903" s="130"/>
      <c r="AD2903" s="130">
        <v>28392</v>
      </c>
      <c r="AE2903" s="128" t="s">
        <v>32</v>
      </c>
      <c r="AF2903" s="128" t="s">
        <v>40</v>
      </c>
      <c r="AG2903" s="128" t="s">
        <v>41</v>
      </c>
      <c r="AH2903" s="108" t="s">
        <v>31</v>
      </c>
      <c r="AI2903" s="128" t="s">
        <v>95</v>
      </c>
      <c r="AJ2903" s="129" t="s">
        <v>55</v>
      </c>
      <c r="AK2903" s="129">
        <v>4</v>
      </c>
      <c r="AL2903" s="3" t="s">
        <v>55</v>
      </c>
      <c r="AP2903" s="129" t="s">
        <v>43</v>
      </c>
      <c r="AR2903" s="128" t="s">
        <v>44</v>
      </c>
      <c r="AS2903" s="129" t="s">
        <v>45</v>
      </c>
      <c r="BC2903" s="129" t="s">
        <v>99</v>
      </c>
      <c r="BF2903" s="111">
        <f>IF(J2903&gt;1/1/1900,((J2903+1)-I2903),"STILL OPEN")</f>
        <v>192</v>
      </c>
      <c r="BG2903" s="111">
        <f>IF(G2903&gt;1/1/1900,((G2903+1)-I2903),"STILL OPEN")</f>
        <v>192</v>
      </c>
      <c r="BH2903" s="111">
        <f t="shared" si="2104"/>
        <v>193</v>
      </c>
      <c r="BI2903" s="111">
        <f t="shared" si="2106"/>
        <v>34.37158469945355</v>
      </c>
      <c r="BJ2903" s="129">
        <f>G2903-J2903-M2903</f>
        <v>0</v>
      </c>
      <c r="BK2903" s="129">
        <f t="shared" si="2105"/>
        <v>0</v>
      </c>
      <c r="BL2903" s="129" t="str">
        <f t="shared" si="2098"/>
        <v>NO CONVICTION</v>
      </c>
      <c r="BM2903" s="129" t="str">
        <f>O2903</f>
        <v>NONE</v>
      </c>
      <c r="BN2903" s="129" t="s">
        <v>566</v>
      </c>
      <c r="BP2903" s="137" t="str">
        <f t="shared" si="2107"/>
        <v>NO CONVICTION</v>
      </c>
      <c r="BQ2903" s="128" t="str">
        <f t="shared" si="2116"/>
        <v>Y</v>
      </c>
      <c r="BR2903" s="129" t="str">
        <f t="shared" si="2108"/>
        <v>DETAINED</v>
      </c>
      <c r="BS2903" s="129" t="str">
        <f t="shared" si="2109"/>
        <v>DISPOSED</v>
      </c>
      <c r="BT2903" s="129" t="str">
        <f t="shared" si="2110"/>
        <v>N</v>
      </c>
      <c r="BU2903" s="109">
        <f>IFERROR(Q2903/R2903,BR2903)</f>
        <v>0.99481865284974091</v>
      </c>
      <c r="BV2903" s="109">
        <f t="shared" si="2117"/>
        <v>1</v>
      </c>
      <c r="BW2903" s="109">
        <f t="shared" si="2127"/>
        <v>5.1813471502590858E-3</v>
      </c>
      <c r="BX2903" s="111">
        <f t="shared" si="2112"/>
        <v>0</v>
      </c>
      <c r="BY2903" s="129">
        <f t="shared" si="2118"/>
        <v>-192</v>
      </c>
      <c r="BZ2903" s="111">
        <f t="shared" si="2119"/>
        <v>0</v>
      </c>
      <c r="CA2903" s="138">
        <f t="shared" si="2120"/>
        <v>192</v>
      </c>
      <c r="CB2903" s="111" t="e">
        <f>IF(AF2903&gt;1/1/1900,((AF2903+1)-AE2903),"STILL OPEN")</f>
        <v>#VALUE!</v>
      </c>
      <c r="CC2903" s="129">
        <f>G2903-I2903+1</f>
        <v>192</v>
      </c>
      <c r="CD2903" s="129">
        <f>G2903-J2903</f>
        <v>0</v>
      </c>
      <c r="CG2903" s="129" t="str">
        <f t="shared" si="2121"/>
        <v>Y</v>
      </c>
      <c r="CI2903" s="129" t="str">
        <f t="shared" si="2122"/>
        <v>121-365 DAYS</v>
      </c>
      <c r="CJ2903" s="137">
        <f t="shared" si="2123"/>
        <v>6</v>
      </c>
      <c r="CK2903" s="129" t="str">
        <f t="shared" si="2124"/>
        <v>Booked</v>
      </c>
    </row>
    <row r="2904" spans="1:89" ht="15" customHeight="1" x14ac:dyDescent="0.25">
      <c r="A2904" s="111">
        <v>1714</v>
      </c>
      <c r="B2904" s="128" t="str">
        <f t="shared" si="2113"/>
        <v>N</v>
      </c>
      <c r="C2904" s="128" t="str">
        <f t="shared" si="2114"/>
        <v>N</v>
      </c>
      <c r="D2904" s="117">
        <v>2607814</v>
      </c>
      <c r="E2904" s="135">
        <f t="shared" si="2115"/>
        <v>1</v>
      </c>
      <c r="F2904" s="124">
        <v>40972</v>
      </c>
      <c r="G2904" s="125">
        <v>41087</v>
      </c>
      <c r="H2904" s="117">
        <v>2607814</v>
      </c>
      <c r="I2904" s="124" t="s">
        <v>562</v>
      </c>
      <c r="J2904" s="124" t="s">
        <v>562</v>
      </c>
      <c r="K2904" s="126">
        <v>2000</v>
      </c>
      <c r="L2904" s="127" t="s">
        <v>568</v>
      </c>
      <c r="M2904" s="125">
        <v>40973</v>
      </c>
      <c r="N2904" s="129" t="str">
        <f>IF(M2904&gt;1/1/1,"Y",IF(Q2904="0","","N"))</f>
        <v>Y</v>
      </c>
      <c r="O2904" s="128" t="s">
        <v>76</v>
      </c>
      <c r="P2904" s="129" t="s">
        <v>55</v>
      </c>
      <c r="Q2904" s="111">
        <f t="shared" si="2126"/>
        <v>0</v>
      </c>
      <c r="R2904" s="111">
        <f t="shared" si="2103"/>
        <v>116</v>
      </c>
      <c r="S2904" s="129">
        <v>0</v>
      </c>
      <c r="T2904" s="129">
        <v>0</v>
      </c>
      <c r="W2904" s="111"/>
      <c r="AB2904" s="131" t="s">
        <v>112</v>
      </c>
      <c r="AC2904" s="130"/>
      <c r="AD2904" s="130">
        <v>28137</v>
      </c>
      <c r="AE2904" s="128" t="s">
        <v>32</v>
      </c>
      <c r="AF2904" s="128" t="s">
        <v>40</v>
      </c>
      <c r="AG2904" s="128" t="s">
        <v>41</v>
      </c>
      <c r="AH2904" s="108" t="s">
        <v>31</v>
      </c>
      <c r="AI2904" s="128" t="s">
        <v>59</v>
      </c>
      <c r="AJ2904" s="129" t="s">
        <v>55</v>
      </c>
      <c r="AK2904" s="129">
        <v>7</v>
      </c>
      <c r="AL2904" s="3" t="s">
        <v>55</v>
      </c>
      <c r="AP2904" s="129" t="s">
        <v>108</v>
      </c>
      <c r="AR2904" s="128" t="s">
        <v>44</v>
      </c>
      <c r="AS2904" s="129" t="s">
        <v>61</v>
      </c>
      <c r="BC2904" s="129" t="s">
        <v>52</v>
      </c>
      <c r="BF2904" s="111">
        <v>0</v>
      </c>
      <c r="BG2904" s="111">
        <v>0</v>
      </c>
      <c r="BH2904" s="111">
        <f t="shared" si="2104"/>
        <v>116</v>
      </c>
      <c r="BI2904" s="111">
        <f t="shared" si="2106"/>
        <v>35.068306010928964</v>
      </c>
      <c r="BJ2904" s="129" t="e">
        <f>(G2904-J2904)+(M2904-G2904)</f>
        <v>#VALUE!</v>
      </c>
      <c r="BK2904" s="129" t="e">
        <f t="shared" si="2105"/>
        <v>#VALUE!</v>
      </c>
      <c r="BL2904" s="129" t="str">
        <f t="shared" si="2098"/>
        <v>NO CONVICTION</v>
      </c>
      <c r="BM2904" s="129" t="s">
        <v>76</v>
      </c>
      <c r="BN2904" s="129" t="s">
        <v>88</v>
      </c>
      <c r="BP2904" s="137" t="str">
        <f t="shared" si="2107"/>
        <v>NO CONVICTION</v>
      </c>
      <c r="BQ2904" s="128">
        <f t="shared" si="2116"/>
        <v>0</v>
      </c>
      <c r="BR2904" s="129" t="s">
        <v>575</v>
      </c>
      <c r="BS2904" s="129" t="str">
        <f t="shared" si="2109"/>
        <v>DISPOSED</v>
      </c>
      <c r="BT2904" s="129" t="str">
        <f t="shared" si="2110"/>
        <v>N</v>
      </c>
      <c r="BU2904" s="109">
        <f>IFERROR(Q2904/R2904,BR2904)</f>
        <v>0</v>
      </c>
      <c r="BV2904" s="109">
        <v>0</v>
      </c>
      <c r="BW2904" s="109">
        <f t="shared" si="2127"/>
        <v>0</v>
      </c>
      <c r="BX2904" s="111">
        <f t="shared" si="2112"/>
        <v>0</v>
      </c>
      <c r="BY2904" s="129" t="e">
        <f t="shared" si="2118"/>
        <v>#VALUE!</v>
      </c>
      <c r="BZ2904" s="111" t="e">
        <f t="shared" si="2119"/>
        <v>#VALUE!</v>
      </c>
      <c r="CA2904" s="138" t="e">
        <f t="shared" si="2120"/>
        <v>#VALUE!</v>
      </c>
      <c r="CB2904" s="111">
        <v>0</v>
      </c>
      <c r="CC2904" s="129">
        <v>0</v>
      </c>
      <c r="CD2904" s="111">
        <f>CC2904-BF2904</f>
        <v>0</v>
      </c>
      <c r="CG2904" s="129" t="str">
        <f t="shared" si="2121"/>
        <v>N</v>
      </c>
      <c r="CI2904" s="129" t="str">
        <f t="shared" si="2122"/>
        <v>0-10 DAYS</v>
      </c>
      <c r="CJ2904" s="137">
        <f t="shared" si="2123"/>
        <v>1</v>
      </c>
      <c r="CK2904" s="129" t="str">
        <f t="shared" si="2124"/>
        <v>Not Booked</v>
      </c>
    </row>
    <row r="2905" spans="1:89" ht="15.75" customHeight="1" x14ac:dyDescent="0.25">
      <c r="A2905" s="111">
        <v>1718</v>
      </c>
      <c r="B2905" s="128" t="str">
        <f t="shared" si="2113"/>
        <v>N</v>
      </c>
      <c r="C2905" s="128" t="str">
        <f t="shared" si="2114"/>
        <v>N</v>
      </c>
      <c r="D2905" s="117">
        <v>2607848</v>
      </c>
      <c r="E2905" s="135">
        <f t="shared" si="2115"/>
        <v>2</v>
      </c>
      <c r="F2905" s="124">
        <v>40972</v>
      </c>
      <c r="G2905" s="125">
        <v>41102</v>
      </c>
      <c r="H2905" s="117">
        <v>2607848</v>
      </c>
      <c r="I2905" s="124">
        <v>40973</v>
      </c>
      <c r="J2905" s="124">
        <v>40975</v>
      </c>
      <c r="K2905" s="126">
        <v>5000</v>
      </c>
      <c r="L2905" s="127" t="s">
        <v>569</v>
      </c>
      <c r="M2905" s="125">
        <v>40975</v>
      </c>
      <c r="N2905" s="129" t="str">
        <f t="shared" ref="N2905:N2910" si="2128">IF(M2905&gt;1/1/1,"Y","N")</f>
        <v>Y</v>
      </c>
      <c r="O2905" s="128" t="s">
        <v>76</v>
      </c>
      <c r="P2905" s="129" t="s">
        <v>589</v>
      </c>
      <c r="Q2905" s="111">
        <f t="shared" si="2126"/>
        <v>3</v>
      </c>
      <c r="R2905" s="111">
        <f t="shared" si="2103"/>
        <v>131</v>
      </c>
      <c r="S2905" s="129">
        <v>0</v>
      </c>
      <c r="T2905" s="129">
        <v>2</v>
      </c>
      <c r="W2905" s="111"/>
      <c r="AC2905" s="130"/>
      <c r="AD2905" s="130">
        <v>26857</v>
      </c>
      <c r="AE2905" s="128" t="s">
        <v>32</v>
      </c>
      <c r="AF2905" s="128" t="s">
        <v>69</v>
      </c>
      <c r="AG2905" s="128" t="s">
        <v>874</v>
      </c>
      <c r="AH2905" s="108" t="s">
        <v>31</v>
      </c>
      <c r="AI2905" s="128" t="s">
        <v>62</v>
      </c>
      <c r="AJ2905" s="129" t="s">
        <v>48</v>
      </c>
      <c r="AK2905" s="129">
        <v>5</v>
      </c>
      <c r="AL2905" s="3" t="s">
        <v>48</v>
      </c>
      <c r="AP2905" s="129" t="s">
        <v>93</v>
      </c>
      <c r="AR2905" s="128" t="s">
        <v>67</v>
      </c>
      <c r="AS2905" s="129" t="s">
        <v>45</v>
      </c>
      <c r="BC2905" s="129" t="s">
        <v>52</v>
      </c>
      <c r="BF2905" s="111">
        <f t="shared" ref="BF2905:BF2910" si="2129">IF(J2905&gt;1/1/1900,((J2905+1)-I2905),"STILL OPEN")</f>
        <v>3</v>
      </c>
      <c r="BG2905" s="111">
        <f t="shared" ref="BG2905:BG2910" si="2130">IF(G2905&gt;1/1/1900,((G2905+1)-I2905),"STILL OPEN")</f>
        <v>130</v>
      </c>
      <c r="BH2905" s="111">
        <f t="shared" si="2104"/>
        <v>131</v>
      </c>
      <c r="BI2905" s="111">
        <f t="shared" si="2106"/>
        <v>38.565573770491802</v>
      </c>
      <c r="BJ2905" s="129">
        <f>(G2905-J2905)+(M2905-G2905)</f>
        <v>0</v>
      </c>
      <c r="BK2905" s="129">
        <f t="shared" si="2105"/>
        <v>-127</v>
      </c>
      <c r="BL2905" s="129" t="str">
        <f t="shared" si="2098"/>
        <v>DEFERRED</v>
      </c>
      <c r="BM2905" s="129" t="s">
        <v>76</v>
      </c>
      <c r="BN2905" s="129" t="s">
        <v>88</v>
      </c>
      <c r="BP2905" s="137" t="str">
        <f t="shared" si="2107"/>
        <v>DEFERRED</v>
      </c>
      <c r="BQ2905" s="128" t="str">
        <f t="shared" si="2116"/>
        <v>Y</v>
      </c>
      <c r="BR2905" s="129" t="str">
        <f t="shared" si="2108"/>
        <v>ON BOND</v>
      </c>
      <c r="BS2905" s="129" t="str">
        <f t="shared" si="2109"/>
        <v>DISPOSED</v>
      </c>
      <c r="BT2905" s="129" t="str">
        <f t="shared" si="2110"/>
        <v>N</v>
      </c>
      <c r="BU2905" s="109">
        <f t="shared" si="2111"/>
        <v>2.2900763358778626E-2</v>
      </c>
      <c r="BV2905" s="109">
        <f t="shared" si="2117"/>
        <v>2.3076923076923078E-2</v>
      </c>
      <c r="BW2905" s="109">
        <f t="shared" si="2127"/>
        <v>1.7615971814445228E-4</v>
      </c>
      <c r="BX2905" s="111">
        <f t="shared" si="2112"/>
        <v>0</v>
      </c>
      <c r="BY2905" s="129">
        <f t="shared" si="2118"/>
        <v>-3</v>
      </c>
      <c r="BZ2905" s="111">
        <f t="shared" si="2119"/>
        <v>0</v>
      </c>
      <c r="CA2905" s="138">
        <f t="shared" si="2120"/>
        <v>3</v>
      </c>
      <c r="CB2905" s="111" t="e">
        <f t="shared" ref="CB2905:CB2910" si="2131">IF(AF2905&gt;1/1/1900,((AF2905+1)-AE2905),"STILL OPEN")</f>
        <v>#VALUE!</v>
      </c>
      <c r="CC2905" s="129">
        <f>M2905-I2905+1</f>
        <v>3</v>
      </c>
      <c r="CD2905" s="111">
        <f>CC2905-BF2905</f>
        <v>0</v>
      </c>
      <c r="CG2905" s="129" t="str">
        <f t="shared" si="2121"/>
        <v>Y</v>
      </c>
      <c r="CI2905" s="129" t="str">
        <f t="shared" si="2122"/>
        <v>0-10 DAYS</v>
      </c>
      <c r="CJ2905" s="137">
        <f t="shared" si="2123"/>
        <v>1</v>
      </c>
      <c r="CK2905" s="129" t="str">
        <f t="shared" si="2124"/>
        <v>Booked</v>
      </c>
    </row>
    <row r="2906" spans="1:89" ht="15.75" customHeight="1" x14ac:dyDescent="0.25">
      <c r="A2906" s="111">
        <v>1719</v>
      </c>
      <c r="B2906" s="128" t="str">
        <f t="shared" si="2113"/>
        <v>N</v>
      </c>
      <c r="C2906" s="128" t="str">
        <f t="shared" si="2114"/>
        <v>N</v>
      </c>
      <c r="D2906" s="117">
        <v>2607849</v>
      </c>
      <c r="E2906" s="135">
        <f t="shared" si="2115"/>
        <v>4</v>
      </c>
      <c r="F2906" s="124">
        <v>40972</v>
      </c>
      <c r="G2906" s="125">
        <v>41016</v>
      </c>
      <c r="H2906" s="117">
        <v>2607849</v>
      </c>
      <c r="I2906" s="124">
        <v>40973</v>
      </c>
      <c r="J2906" s="124">
        <v>41016</v>
      </c>
      <c r="K2906" s="126">
        <v>5000</v>
      </c>
      <c r="L2906" s="127" t="s">
        <v>569</v>
      </c>
      <c r="N2906" s="129" t="str">
        <f t="shared" si="2128"/>
        <v>N</v>
      </c>
      <c r="O2906" s="128" t="s">
        <v>917</v>
      </c>
      <c r="P2906" s="129" t="s">
        <v>39</v>
      </c>
      <c r="Q2906" s="111">
        <f t="shared" si="2126"/>
        <v>44</v>
      </c>
      <c r="R2906" s="111">
        <f t="shared" si="2103"/>
        <v>45</v>
      </c>
      <c r="S2906" s="129">
        <v>0</v>
      </c>
      <c r="T2906" s="129">
        <v>0</v>
      </c>
      <c r="W2906" s="111"/>
      <c r="AC2906" s="130"/>
      <c r="AD2906" s="130">
        <v>28898</v>
      </c>
      <c r="AE2906" s="128" t="s">
        <v>32</v>
      </c>
      <c r="AF2906" s="128" t="s">
        <v>69</v>
      </c>
      <c r="AG2906" s="128" t="s">
        <v>874</v>
      </c>
      <c r="AH2906" s="108" t="s">
        <v>31</v>
      </c>
      <c r="AI2906" s="128" t="s">
        <v>97</v>
      </c>
      <c r="AJ2906" s="129" t="s">
        <v>89</v>
      </c>
      <c r="AK2906" s="129">
        <v>3</v>
      </c>
      <c r="AL2906" s="3" t="s">
        <v>991</v>
      </c>
      <c r="AO2906" s="128">
        <v>180</v>
      </c>
      <c r="AP2906" s="129" t="s">
        <v>60</v>
      </c>
      <c r="AR2906" s="128" t="s">
        <v>44</v>
      </c>
      <c r="AS2906" s="129" t="s">
        <v>61</v>
      </c>
      <c r="AT2906" s="129" t="s">
        <v>368</v>
      </c>
      <c r="BC2906" s="129" t="s">
        <v>38</v>
      </c>
      <c r="BF2906" s="111">
        <f t="shared" si="2129"/>
        <v>44</v>
      </c>
      <c r="BG2906" s="111">
        <f t="shared" si="2130"/>
        <v>44</v>
      </c>
      <c r="BH2906" s="111">
        <f t="shared" si="2104"/>
        <v>45</v>
      </c>
      <c r="BI2906" s="111">
        <f t="shared" si="2106"/>
        <v>32.989071038251367</v>
      </c>
      <c r="BJ2906" s="129">
        <f>G2906-J2906-M2906</f>
        <v>0</v>
      </c>
      <c r="BK2906" s="129">
        <f t="shared" si="2105"/>
        <v>0</v>
      </c>
      <c r="BL2906" s="129" t="str">
        <f t="shared" si="2098"/>
        <v>CONVICTION</v>
      </c>
      <c r="BM2906" s="129" t="str">
        <f>O2906</f>
        <v>NONE</v>
      </c>
      <c r="BN2906" s="129" t="s">
        <v>566</v>
      </c>
      <c r="BP2906" s="137" t="str">
        <f t="shared" si="2107"/>
        <v>CONVICTION</v>
      </c>
      <c r="BQ2906" s="128" t="str">
        <f t="shared" si="2116"/>
        <v>Y</v>
      </c>
      <c r="BR2906" s="129" t="str">
        <f t="shared" si="2108"/>
        <v>DETAINED</v>
      </c>
      <c r="BS2906" s="129" t="str">
        <f t="shared" si="2109"/>
        <v>DISPOSED</v>
      </c>
      <c r="BT2906" s="129" t="str">
        <f t="shared" si="2110"/>
        <v>N</v>
      </c>
      <c r="BU2906" s="109">
        <f t="shared" si="2111"/>
        <v>0.97777777777777775</v>
      </c>
      <c r="BV2906" s="109">
        <f t="shared" si="2117"/>
        <v>1</v>
      </c>
      <c r="BW2906" s="109">
        <f t="shared" si="2127"/>
        <v>2.2222222222222254E-2</v>
      </c>
      <c r="BX2906" s="111">
        <f t="shared" si="2112"/>
        <v>0</v>
      </c>
      <c r="BY2906" s="129">
        <f t="shared" si="2118"/>
        <v>-44</v>
      </c>
      <c r="BZ2906" s="111">
        <f t="shared" si="2119"/>
        <v>0</v>
      </c>
      <c r="CA2906" s="138">
        <f t="shared" si="2120"/>
        <v>44</v>
      </c>
      <c r="CB2906" s="111" t="e">
        <f t="shared" si="2131"/>
        <v>#VALUE!</v>
      </c>
      <c r="CC2906" s="129">
        <f>G2906-I2906+1</f>
        <v>44</v>
      </c>
      <c r="CD2906" s="129">
        <f>G2906-J2906</f>
        <v>0</v>
      </c>
      <c r="CG2906" s="129" t="str">
        <f t="shared" si="2121"/>
        <v>N</v>
      </c>
      <c r="CI2906" s="129" t="str">
        <f t="shared" si="2122"/>
        <v>31-60 DAYS</v>
      </c>
      <c r="CJ2906" s="137">
        <f t="shared" si="2123"/>
        <v>3</v>
      </c>
      <c r="CK2906" s="129" t="str">
        <f t="shared" si="2124"/>
        <v>Booked</v>
      </c>
    </row>
    <row r="2907" spans="1:89" ht="15.75" customHeight="1" x14ac:dyDescent="0.25">
      <c r="A2907" s="111">
        <v>1728</v>
      </c>
      <c r="B2907" s="128" t="str">
        <f t="shared" si="2113"/>
        <v>N</v>
      </c>
      <c r="C2907" s="128" t="str">
        <f t="shared" si="2114"/>
        <v>N</v>
      </c>
      <c r="D2907" s="117">
        <v>2607884</v>
      </c>
      <c r="E2907" s="135">
        <f t="shared" si="2115"/>
        <v>6</v>
      </c>
      <c r="F2907" s="124">
        <v>40973</v>
      </c>
      <c r="G2907" s="125">
        <v>40995</v>
      </c>
      <c r="H2907" s="117">
        <v>2607884</v>
      </c>
      <c r="I2907" s="124">
        <v>40973</v>
      </c>
      <c r="J2907" s="124">
        <v>40995</v>
      </c>
      <c r="K2907" s="126">
        <v>35000</v>
      </c>
      <c r="L2907" s="129" t="s">
        <v>572</v>
      </c>
      <c r="N2907" s="129" t="str">
        <f t="shared" si="2128"/>
        <v>N</v>
      </c>
      <c r="O2907" s="128" t="s">
        <v>917</v>
      </c>
      <c r="P2907" s="129" t="s">
        <v>39</v>
      </c>
      <c r="Q2907" s="111">
        <f t="shared" si="2126"/>
        <v>23</v>
      </c>
      <c r="R2907" s="111">
        <f t="shared" si="2103"/>
        <v>23</v>
      </c>
      <c r="S2907" s="129">
        <v>0</v>
      </c>
      <c r="T2907" s="129">
        <v>1</v>
      </c>
      <c r="W2907" s="111"/>
      <c r="AB2907" s="131" t="s">
        <v>112</v>
      </c>
      <c r="AC2907" s="130"/>
      <c r="AD2907" s="130">
        <v>31915</v>
      </c>
      <c r="AE2907" s="128" t="s">
        <v>32</v>
      </c>
      <c r="AF2907" s="128" t="s">
        <v>40</v>
      </c>
      <c r="AG2907" s="128" t="s">
        <v>41</v>
      </c>
      <c r="AH2907" s="108" t="s">
        <v>31</v>
      </c>
      <c r="AI2907" s="128" t="s">
        <v>53</v>
      </c>
      <c r="AJ2907" s="129" t="s">
        <v>89</v>
      </c>
      <c r="AK2907" s="129">
        <v>2</v>
      </c>
      <c r="AL2907" s="3" t="s">
        <v>362</v>
      </c>
      <c r="AM2907" s="117">
        <v>2</v>
      </c>
      <c r="AP2907" s="129" t="s">
        <v>372</v>
      </c>
      <c r="AR2907" s="128" t="s">
        <v>67</v>
      </c>
      <c r="AS2907" s="129" t="s">
        <v>64</v>
      </c>
      <c r="BC2907" s="129" t="s">
        <v>99</v>
      </c>
      <c r="BF2907" s="111">
        <f t="shared" si="2129"/>
        <v>23</v>
      </c>
      <c r="BG2907" s="111">
        <f t="shared" si="2130"/>
        <v>23</v>
      </c>
      <c r="BH2907" s="111">
        <f t="shared" si="2104"/>
        <v>23</v>
      </c>
      <c r="BI2907" s="111">
        <f t="shared" si="2106"/>
        <v>24.748633879781419</v>
      </c>
      <c r="BJ2907" s="129">
        <f>G2907-J2907-M2907</f>
        <v>0</v>
      </c>
      <c r="BK2907" s="129">
        <f t="shared" si="2105"/>
        <v>0</v>
      </c>
      <c r="BL2907" s="129" t="str">
        <f t="shared" si="2098"/>
        <v>CONVICTION</v>
      </c>
      <c r="BM2907" s="129" t="str">
        <f>O2907</f>
        <v>NONE</v>
      </c>
      <c r="BN2907" s="129" t="s">
        <v>566</v>
      </c>
      <c r="BP2907" s="137" t="str">
        <f t="shared" si="2107"/>
        <v>CONVICTION</v>
      </c>
      <c r="BQ2907" s="128" t="str">
        <f t="shared" si="2116"/>
        <v>Y</v>
      </c>
      <c r="BR2907" s="129" t="str">
        <f t="shared" si="2108"/>
        <v>DETAINED</v>
      </c>
      <c r="BS2907" s="129" t="str">
        <f t="shared" si="2109"/>
        <v>DISPOSED</v>
      </c>
      <c r="BT2907" s="129" t="str">
        <f t="shared" si="2110"/>
        <v>N</v>
      </c>
      <c r="BU2907" s="109">
        <f t="shared" si="2111"/>
        <v>1</v>
      </c>
      <c r="BV2907" s="109">
        <f t="shared" si="2117"/>
        <v>1</v>
      </c>
      <c r="BW2907" s="109">
        <f t="shared" si="2127"/>
        <v>0</v>
      </c>
      <c r="BX2907" s="111">
        <f t="shared" si="2112"/>
        <v>0</v>
      </c>
      <c r="BY2907" s="129">
        <f t="shared" si="2118"/>
        <v>-23</v>
      </c>
      <c r="BZ2907" s="111">
        <f t="shared" si="2119"/>
        <v>0</v>
      </c>
      <c r="CA2907" s="138">
        <f t="shared" si="2120"/>
        <v>23</v>
      </c>
      <c r="CB2907" s="111" t="e">
        <f t="shared" si="2131"/>
        <v>#VALUE!</v>
      </c>
      <c r="CC2907" s="129">
        <f>G2907-I2907+1</f>
        <v>23</v>
      </c>
      <c r="CD2907" s="129">
        <f>G2907-J2907</f>
        <v>0</v>
      </c>
      <c r="CG2907" s="129" t="str">
        <f t="shared" si="2121"/>
        <v>Y</v>
      </c>
      <c r="CI2907" s="129" t="str">
        <f t="shared" si="2122"/>
        <v>11-30 DAYS</v>
      </c>
      <c r="CJ2907" s="137">
        <f t="shared" si="2123"/>
        <v>2</v>
      </c>
      <c r="CK2907" s="129" t="str">
        <f t="shared" si="2124"/>
        <v>Booked</v>
      </c>
    </row>
    <row r="2908" spans="1:89" ht="15.75" customHeight="1" x14ac:dyDescent="0.25">
      <c r="A2908" s="111">
        <v>1741</v>
      </c>
      <c r="B2908" s="128" t="str">
        <f t="shared" si="2113"/>
        <v>N</v>
      </c>
      <c r="C2908" s="128" t="str">
        <f t="shared" si="2114"/>
        <v>N</v>
      </c>
      <c r="D2908" s="117">
        <v>2608024</v>
      </c>
      <c r="E2908" s="135">
        <f t="shared" si="2115"/>
        <v>2</v>
      </c>
      <c r="F2908" s="124">
        <v>40973</v>
      </c>
      <c r="G2908" s="125">
        <v>41037</v>
      </c>
      <c r="H2908" s="117">
        <v>2608024</v>
      </c>
      <c r="I2908" s="124">
        <v>40973</v>
      </c>
      <c r="J2908" s="124">
        <v>40977</v>
      </c>
      <c r="K2908" s="126">
        <v>5000</v>
      </c>
      <c r="L2908" s="127" t="s">
        <v>569</v>
      </c>
      <c r="M2908" s="125">
        <v>40977</v>
      </c>
      <c r="N2908" s="129" t="str">
        <f t="shared" si="2128"/>
        <v>Y</v>
      </c>
      <c r="O2908" s="128" t="s">
        <v>76</v>
      </c>
      <c r="P2908" s="129" t="s">
        <v>589</v>
      </c>
      <c r="Q2908" s="111">
        <f t="shared" si="2126"/>
        <v>5</v>
      </c>
      <c r="R2908" s="111">
        <f t="shared" si="2103"/>
        <v>65</v>
      </c>
      <c r="S2908" s="129">
        <v>0</v>
      </c>
      <c r="T2908" s="129">
        <v>0</v>
      </c>
      <c r="W2908" s="111"/>
      <c r="AC2908" s="130"/>
      <c r="AD2908" s="130">
        <v>33259</v>
      </c>
      <c r="AE2908" s="128" t="s">
        <v>32</v>
      </c>
      <c r="AF2908" s="128" t="s">
        <v>33</v>
      </c>
      <c r="AG2908" s="128" t="s">
        <v>872</v>
      </c>
      <c r="AH2908" s="108" t="s">
        <v>31</v>
      </c>
      <c r="AI2908" s="128" t="s">
        <v>70</v>
      </c>
      <c r="AJ2908" s="129" t="s">
        <v>48</v>
      </c>
      <c r="AK2908" s="129">
        <v>4</v>
      </c>
      <c r="AL2908" s="3" t="s">
        <v>48</v>
      </c>
      <c r="AP2908" s="129" t="s">
        <v>208</v>
      </c>
      <c r="AR2908" s="128" t="s">
        <v>67</v>
      </c>
      <c r="AS2908" s="129" t="s">
        <v>57</v>
      </c>
      <c r="BC2908" s="129" t="s">
        <v>38</v>
      </c>
      <c r="BF2908" s="111">
        <f t="shared" si="2129"/>
        <v>5</v>
      </c>
      <c r="BG2908" s="111">
        <f t="shared" si="2130"/>
        <v>65</v>
      </c>
      <c r="BH2908" s="111">
        <f t="shared" si="2104"/>
        <v>65</v>
      </c>
      <c r="BI2908" s="111">
        <f t="shared" si="2106"/>
        <v>21.076502732240439</v>
      </c>
      <c r="BJ2908" s="129">
        <f>(G2908-J2908)+(M2908-G2908)</f>
        <v>0</v>
      </c>
      <c r="BK2908" s="129">
        <f t="shared" si="2105"/>
        <v>-60</v>
      </c>
      <c r="BL2908" s="129" t="str">
        <f t="shared" si="2098"/>
        <v>DEFERRED</v>
      </c>
      <c r="BM2908" s="129" t="s">
        <v>76</v>
      </c>
      <c r="BN2908" s="129" t="s">
        <v>88</v>
      </c>
      <c r="BP2908" s="137" t="str">
        <f t="shared" si="2107"/>
        <v>DEFERRED</v>
      </c>
      <c r="BQ2908" s="128" t="str">
        <f t="shared" si="2116"/>
        <v>Y</v>
      </c>
      <c r="BR2908" s="129" t="str">
        <f t="shared" si="2108"/>
        <v>ON BOND</v>
      </c>
      <c r="BS2908" s="129" t="str">
        <f t="shared" si="2109"/>
        <v>DISPOSED</v>
      </c>
      <c r="BT2908" s="129" t="str">
        <f t="shared" si="2110"/>
        <v>N</v>
      </c>
      <c r="BU2908" s="109">
        <f t="shared" si="2111"/>
        <v>7.6923076923076927E-2</v>
      </c>
      <c r="BV2908" s="109">
        <f t="shared" si="2117"/>
        <v>7.6923076923076927E-2</v>
      </c>
      <c r="BW2908" s="109">
        <f t="shared" si="2127"/>
        <v>0</v>
      </c>
      <c r="BX2908" s="111">
        <f t="shared" si="2112"/>
        <v>0</v>
      </c>
      <c r="BY2908" s="129">
        <f t="shared" si="2118"/>
        <v>-5</v>
      </c>
      <c r="BZ2908" s="111">
        <f t="shared" si="2119"/>
        <v>0</v>
      </c>
      <c r="CA2908" s="138">
        <f t="shared" si="2120"/>
        <v>5</v>
      </c>
      <c r="CB2908" s="111" t="e">
        <f t="shared" si="2131"/>
        <v>#VALUE!</v>
      </c>
      <c r="CC2908" s="129">
        <f>M2908-I2908+1</f>
        <v>5</v>
      </c>
      <c r="CD2908" s="111">
        <f>CC2908-BF2908</f>
        <v>0</v>
      </c>
      <c r="CG2908" s="129" t="str">
        <f t="shared" si="2121"/>
        <v>N</v>
      </c>
      <c r="CI2908" s="129" t="str">
        <f t="shared" si="2122"/>
        <v>0-10 DAYS</v>
      </c>
      <c r="CJ2908" s="137">
        <f t="shared" si="2123"/>
        <v>1</v>
      </c>
      <c r="CK2908" s="129" t="str">
        <f t="shared" si="2124"/>
        <v>Booked</v>
      </c>
    </row>
    <row r="2909" spans="1:89" ht="15.75" customHeight="1" x14ac:dyDescent="0.25">
      <c r="A2909" s="111">
        <v>1736</v>
      </c>
      <c r="B2909" s="128" t="str">
        <f t="shared" si="2113"/>
        <v>Y</v>
      </c>
      <c r="C2909" s="128" t="str">
        <f t="shared" si="2114"/>
        <v>N</v>
      </c>
      <c r="D2909" s="117">
        <v>2608025</v>
      </c>
      <c r="E2909" s="135">
        <f t="shared" si="2115"/>
        <v>2</v>
      </c>
      <c r="F2909" s="124">
        <v>40973</v>
      </c>
      <c r="G2909" s="125">
        <v>41500</v>
      </c>
      <c r="H2909" s="117">
        <v>2608025</v>
      </c>
      <c r="I2909" s="124">
        <v>40974</v>
      </c>
      <c r="J2909" s="124">
        <v>40999</v>
      </c>
      <c r="K2909" s="126">
        <v>100000</v>
      </c>
      <c r="L2909" s="129" t="s">
        <v>572</v>
      </c>
      <c r="M2909" s="125">
        <v>40999</v>
      </c>
      <c r="N2909" s="129" t="str">
        <f t="shared" si="2128"/>
        <v>Y</v>
      </c>
      <c r="O2909" s="128" t="s">
        <v>585</v>
      </c>
      <c r="P2909" s="129" t="s">
        <v>589</v>
      </c>
      <c r="Q2909" s="111">
        <f t="shared" si="2126"/>
        <v>26</v>
      </c>
      <c r="R2909" s="111">
        <f t="shared" si="2103"/>
        <v>528</v>
      </c>
      <c r="S2909" s="129">
        <v>0</v>
      </c>
      <c r="T2909" s="129">
        <v>0</v>
      </c>
      <c r="W2909" s="111"/>
      <c r="AB2909" s="131" t="s">
        <v>112</v>
      </c>
      <c r="AC2909" s="130"/>
      <c r="AD2909" s="130">
        <v>31936</v>
      </c>
      <c r="AE2909" s="128" t="s">
        <v>46</v>
      </c>
      <c r="AF2909" s="128" t="s">
        <v>40</v>
      </c>
      <c r="AG2909" s="128" t="s">
        <v>41</v>
      </c>
      <c r="AH2909" s="108" t="s">
        <v>31</v>
      </c>
      <c r="AI2909" s="128" t="s">
        <v>114</v>
      </c>
      <c r="AJ2909" s="129" t="s">
        <v>48</v>
      </c>
      <c r="AK2909" s="129">
        <v>19</v>
      </c>
      <c r="AL2909" s="3" t="s">
        <v>48</v>
      </c>
      <c r="AP2909" s="129" t="s">
        <v>375</v>
      </c>
      <c r="AR2909" s="128" t="s">
        <v>92</v>
      </c>
      <c r="AS2909" s="129" t="s">
        <v>64</v>
      </c>
      <c r="AT2909" s="129" t="s">
        <v>1155</v>
      </c>
      <c r="BC2909" s="129" t="s">
        <v>52</v>
      </c>
      <c r="BD2909" s="129" t="s">
        <v>1156</v>
      </c>
      <c r="BF2909" s="111">
        <f t="shared" si="2129"/>
        <v>26</v>
      </c>
      <c r="BG2909" s="111">
        <f t="shared" si="2130"/>
        <v>527</v>
      </c>
      <c r="BH2909" s="111">
        <f t="shared" si="2104"/>
        <v>528</v>
      </c>
      <c r="BI2909" s="111">
        <f t="shared" si="2106"/>
        <v>24.691256830601095</v>
      </c>
      <c r="BJ2909" s="129">
        <f>(G2909-J2909)+(M2909-G2909)</f>
        <v>0</v>
      </c>
      <c r="BK2909" s="129">
        <f t="shared" si="2105"/>
        <v>-501</v>
      </c>
      <c r="BL2909" s="129" t="str">
        <f t="shared" si="2098"/>
        <v>DEFERRED</v>
      </c>
      <c r="BM2909" s="129" t="s">
        <v>76</v>
      </c>
      <c r="BN2909" s="129" t="s">
        <v>88</v>
      </c>
      <c r="BP2909" s="137" t="str">
        <f t="shared" si="2107"/>
        <v>DEFERRED</v>
      </c>
      <c r="BQ2909" s="128" t="str">
        <f t="shared" si="2116"/>
        <v>Y</v>
      </c>
      <c r="BR2909" s="129" t="str">
        <f t="shared" si="2108"/>
        <v>ON BOND</v>
      </c>
      <c r="BS2909" s="129" t="str">
        <f t="shared" si="2109"/>
        <v>DISPOSED</v>
      </c>
      <c r="BT2909" s="129" t="str">
        <f t="shared" si="2110"/>
        <v>N</v>
      </c>
      <c r="BU2909" s="109">
        <f t="shared" si="2111"/>
        <v>4.924242424242424E-2</v>
      </c>
      <c r="BV2909" s="109">
        <f t="shared" si="2117"/>
        <v>4.9335863377609111E-2</v>
      </c>
      <c r="BW2909" s="109">
        <f t="shared" si="2127"/>
        <v>9.3439135184870958E-5</v>
      </c>
      <c r="BX2909" s="111">
        <f t="shared" si="2112"/>
        <v>0</v>
      </c>
      <c r="BY2909" s="129">
        <f t="shared" si="2118"/>
        <v>-26</v>
      </c>
      <c r="BZ2909" s="111">
        <f t="shared" si="2119"/>
        <v>0</v>
      </c>
      <c r="CA2909" s="138">
        <f t="shared" si="2120"/>
        <v>26</v>
      </c>
      <c r="CB2909" s="111" t="e">
        <f t="shared" si="2131"/>
        <v>#VALUE!</v>
      </c>
      <c r="CC2909" s="129">
        <f>M2909-I2909+1</f>
        <v>26</v>
      </c>
      <c r="CD2909" s="111">
        <f>CC2909-BF2909</f>
        <v>0</v>
      </c>
      <c r="CG2909" s="129" t="str">
        <f t="shared" si="2121"/>
        <v>N</v>
      </c>
      <c r="CI2909" s="129" t="str">
        <f t="shared" si="2122"/>
        <v>11-30 DAYS</v>
      </c>
      <c r="CJ2909" s="137">
        <f t="shared" si="2123"/>
        <v>2</v>
      </c>
      <c r="CK2909" s="129" t="str">
        <f t="shared" si="2124"/>
        <v>Booked</v>
      </c>
    </row>
    <row r="2910" spans="1:89" ht="15" customHeight="1" x14ac:dyDescent="0.25">
      <c r="A2910" s="111">
        <v>1740</v>
      </c>
      <c r="B2910" s="128" t="str">
        <f t="shared" si="2113"/>
        <v>N</v>
      </c>
      <c r="C2910" s="128" t="str">
        <f t="shared" si="2114"/>
        <v>N</v>
      </c>
      <c r="D2910" s="117">
        <v>2608040</v>
      </c>
      <c r="E2910" s="135">
        <f t="shared" si="2115"/>
        <v>2</v>
      </c>
      <c r="F2910" s="124">
        <v>40973</v>
      </c>
      <c r="G2910" s="125">
        <v>41130</v>
      </c>
      <c r="H2910" s="117">
        <v>2608040</v>
      </c>
      <c r="I2910" s="124">
        <v>40974</v>
      </c>
      <c r="J2910" s="124">
        <v>40978</v>
      </c>
      <c r="K2910" s="126">
        <v>20000</v>
      </c>
      <c r="L2910" s="127" t="s">
        <v>571</v>
      </c>
      <c r="M2910" s="125">
        <v>40978</v>
      </c>
      <c r="N2910" s="129" t="str">
        <f t="shared" si="2128"/>
        <v>Y</v>
      </c>
      <c r="O2910" s="128" t="s">
        <v>76</v>
      </c>
      <c r="P2910" s="129" t="s">
        <v>589</v>
      </c>
      <c r="Q2910" s="111">
        <f t="shared" si="2126"/>
        <v>5</v>
      </c>
      <c r="R2910" s="111">
        <f t="shared" si="2103"/>
        <v>158</v>
      </c>
      <c r="S2910" s="129">
        <v>0</v>
      </c>
      <c r="T2910" s="129">
        <v>0</v>
      </c>
      <c r="W2910" s="111"/>
      <c r="AC2910" s="130"/>
      <c r="AD2910" s="130">
        <v>15941</v>
      </c>
      <c r="AE2910" s="128" t="s">
        <v>32</v>
      </c>
      <c r="AF2910" s="128" t="s">
        <v>33</v>
      </c>
      <c r="AG2910" s="128" t="s">
        <v>872</v>
      </c>
      <c r="AH2910" s="108" t="s">
        <v>31</v>
      </c>
      <c r="AI2910" s="128" t="s">
        <v>62</v>
      </c>
      <c r="AJ2910" s="129" t="s">
        <v>48</v>
      </c>
      <c r="AK2910" s="129">
        <v>6</v>
      </c>
      <c r="AL2910" s="3" t="s">
        <v>48</v>
      </c>
      <c r="AP2910" s="129" t="s">
        <v>110</v>
      </c>
      <c r="AR2910" s="128" t="s">
        <v>50</v>
      </c>
      <c r="AS2910" s="129" t="s">
        <v>74</v>
      </c>
      <c r="BC2910" s="129" t="s">
        <v>52</v>
      </c>
      <c r="BF2910" s="111">
        <f t="shared" si="2129"/>
        <v>5</v>
      </c>
      <c r="BG2910" s="111">
        <f t="shared" si="2130"/>
        <v>157</v>
      </c>
      <c r="BH2910" s="111">
        <f t="shared" si="2104"/>
        <v>158</v>
      </c>
      <c r="BI2910" s="111">
        <f t="shared" si="2106"/>
        <v>68.393442622950815</v>
      </c>
      <c r="BJ2910" s="129">
        <f>(G2910-J2910)+(M2910-G2910)</f>
        <v>0</v>
      </c>
      <c r="BK2910" s="129">
        <f t="shared" si="2105"/>
        <v>-152</v>
      </c>
      <c r="BL2910" s="129" t="str">
        <f t="shared" si="2098"/>
        <v>DEFERRED</v>
      </c>
      <c r="BM2910" s="129" t="s">
        <v>76</v>
      </c>
      <c r="BN2910" s="129" t="s">
        <v>88</v>
      </c>
      <c r="BP2910" s="137" t="str">
        <f t="shared" si="2107"/>
        <v>DEFERRED</v>
      </c>
      <c r="BQ2910" s="128" t="str">
        <f t="shared" si="2116"/>
        <v>Y</v>
      </c>
      <c r="BR2910" s="129" t="str">
        <f t="shared" si="2108"/>
        <v>ON BOND</v>
      </c>
      <c r="BS2910" s="129" t="str">
        <f t="shared" si="2109"/>
        <v>DISPOSED</v>
      </c>
      <c r="BT2910" s="129" t="str">
        <f t="shared" si="2110"/>
        <v>N</v>
      </c>
      <c r="BU2910" s="109">
        <f t="shared" si="2111"/>
        <v>3.1645569620253167E-2</v>
      </c>
      <c r="BV2910" s="109">
        <f t="shared" si="2117"/>
        <v>3.1847133757961783E-2</v>
      </c>
      <c r="BW2910" s="109">
        <f t="shared" si="2127"/>
        <v>2.0156413770861664E-4</v>
      </c>
      <c r="BX2910" s="111">
        <f t="shared" si="2112"/>
        <v>0</v>
      </c>
      <c r="BY2910" s="129">
        <f t="shared" si="2118"/>
        <v>-5</v>
      </c>
      <c r="BZ2910" s="111">
        <f t="shared" si="2119"/>
        <v>0</v>
      </c>
      <c r="CA2910" s="138">
        <f t="shared" si="2120"/>
        <v>5</v>
      </c>
      <c r="CB2910" s="111" t="e">
        <f t="shared" si="2131"/>
        <v>#VALUE!</v>
      </c>
      <c r="CC2910" s="129">
        <f>M2910-I2910+1</f>
        <v>5</v>
      </c>
      <c r="CD2910" s="111">
        <f>CC2910-BF2910</f>
        <v>0</v>
      </c>
      <c r="CG2910" s="129" t="str">
        <f t="shared" si="2121"/>
        <v>N</v>
      </c>
      <c r="CI2910" s="129" t="str">
        <f t="shared" si="2122"/>
        <v>0-10 DAYS</v>
      </c>
      <c r="CJ2910" s="137">
        <f t="shared" si="2123"/>
        <v>1</v>
      </c>
      <c r="CK2910" s="129" t="str">
        <f t="shared" si="2124"/>
        <v>Booked</v>
      </c>
    </row>
    <row r="2911" spans="1:89" ht="15" customHeight="1" x14ac:dyDescent="0.25">
      <c r="A2911" s="111">
        <v>1752</v>
      </c>
      <c r="B2911" s="128" t="str">
        <f t="shared" si="2113"/>
        <v>N</v>
      </c>
      <c r="C2911" s="128" t="str">
        <f t="shared" si="2114"/>
        <v>N</v>
      </c>
      <c r="D2911" s="117">
        <v>2608120</v>
      </c>
      <c r="E2911" s="135">
        <f t="shared" si="2115"/>
        <v>2</v>
      </c>
      <c r="F2911" s="124">
        <v>40974</v>
      </c>
      <c r="G2911" s="125">
        <v>41002</v>
      </c>
      <c r="H2911" s="117">
        <v>2608120</v>
      </c>
      <c r="I2911" s="124" t="s">
        <v>562</v>
      </c>
      <c r="J2911" s="124" t="s">
        <v>562</v>
      </c>
      <c r="K2911" s="126">
        <v>2000</v>
      </c>
      <c r="L2911" s="127" t="s">
        <v>568</v>
      </c>
      <c r="M2911" s="125">
        <v>40977</v>
      </c>
      <c r="N2911" s="129" t="str">
        <f>IF(M2911&gt;1/1/1,"Y",IF(Q2911="0","","N"))</f>
        <v>Y</v>
      </c>
      <c r="O2911" s="128" t="s">
        <v>76</v>
      </c>
      <c r="P2911" s="129" t="s">
        <v>589</v>
      </c>
      <c r="Q2911" s="111">
        <f t="shared" si="2126"/>
        <v>0</v>
      </c>
      <c r="R2911" s="111">
        <f t="shared" si="2103"/>
        <v>29</v>
      </c>
      <c r="S2911" s="129">
        <v>0</v>
      </c>
      <c r="T2911" s="129">
        <v>0</v>
      </c>
      <c r="W2911" s="111"/>
      <c r="AB2911" s="131" t="s">
        <v>112</v>
      </c>
      <c r="AC2911" s="130"/>
      <c r="AD2911" s="130">
        <v>32113</v>
      </c>
      <c r="AE2911" s="128" t="s">
        <v>46</v>
      </c>
      <c r="AF2911" s="128" t="s">
        <v>40</v>
      </c>
      <c r="AG2911" s="128" t="s">
        <v>41</v>
      </c>
      <c r="AH2911" s="108" t="s">
        <v>31</v>
      </c>
      <c r="AI2911" s="128" t="s">
        <v>113</v>
      </c>
      <c r="AJ2911" s="129" t="s">
        <v>48</v>
      </c>
      <c r="AK2911" s="129">
        <v>3</v>
      </c>
      <c r="AL2911" s="3" t="s">
        <v>48</v>
      </c>
      <c r="AP2911" s="129" t="s">
        <v>108</v>
      </c>
      <c r="AR2911" s="128" t="s">
        <v>44</v>
      </c>
      <c r="AS2911" s="129" t="s">
        <v>61</v>
      </c>
      <c r="BC2911" s="129" t="s">
        <v>52</v>
      </c>
      <c r="BF2911" s="111">
        <v>0</v>
      </c>
      <c r="BG2911" s="111">
        <v>0</v>
      </c>
      <c r="BH2911" s="111">
        <f t="shared" si="2104"/>
        <v>29</v>
      </c>
      <c r="BI2911" s="111">
        <f t="shared" si="2106"/>
        <v>24.210382513661202</v>
      </c>
      <c r="BJ2911" s="129" t="e">
        <f>(G2911-J2911)+(M2911-G2911)</f>
        <v>#VALUE!</v>
      </c>
      <c r="BK2911" s="129" t="e">
        <f t="shared" si="2105"/>
        <v>#VALUE!</v>
      </c>
      <c r="BL2911" s="129" t="str">
        <f t="shared" si="2098"/>
        <v>DEFERRED</v>
      </c>
      <c r="BM2911" s="129" t="s">
        <v>76</v>
      </c>
      <c r="BN2911" s="129" t="s">
        <v>88</v>
      </c>
      <c r="BP2911" s="137" t="str">
        <f t="shared" si="2107"/>
        <v>DEFERRED</v>
      </c>
      <c r="BQ2911" s="128">
        <f t="shared" si="2116"/>
        <v>0</v>
      </c>
      <c r="BR2911" s="129" t="s">
        <v>575</v>
      </c>
      <c r="BS2911" s="129" t="str">
        <f t="shared" si="2109"/>
        <v>DISPOSED</v>
      </c>
      <c r="BT2911" s="129" t="str">
        <f t="shared" si="2110"/>
        <v>N</v>
      </c>
      <c r="BU2911" s="109">
        <f t="shared" si="2111"/>
        <v>0</v>
      </c>
      <c r="BV2911" s="109">
        <v>0</v>
      </c>
      <c r="BW2911" s="109">
        <f t="shared" si="2127"/>
        <v>0</v>
      </c>
      <c r="BX2911" s="111">
        <f t="shared" si="2112"/>
        <v>0</v>
      </c>
      <c r="BY2911" s="129" t="e">
        <f t="shared" si="2118"/>
        <v>#VALUE!</v>
      </c>
      <c r="BZ2911" s="111" t="e">
        <f t="shared" si="2119"/>
        <v>#VALUE!</v>
      </c>
      <c r="CA2911" s="138" t="e">
        <f t="shared" si="2120"/>
        <v>#VALUE!</v>
      </c>
      <c r="CB2911" s="111">
        <v>0</v>
      </c>
      <c r="CC2911" s="129">
        <v>0</v>
      </c>
      <c r="CD2911" s="111">
        <f>CC2911-BF2911</f>
        <v>0</v>
      </c>
      <c r="CG2911" s="129" t="str">
        <f t="shared" si="2121"/>
        <v>N</v>
      </c>
      <c r="CI2911" s="129" t="str">
        <f t="shared" si="2122"/>
        <v>0-10 DAYS</v>
      </c>
      <c r="CJ2911" s="137">
        <f t="shared" si="2123"/>
        <v>1</v>
      </c>
      <c r="CK2911" s="129" t="str">
        <f t="shared" si="2124"/>
        <v>Not Booked</v>
      </c>
    </row>
    <row r="2912" spans="1:89" ht="15.75" customHeight="1" x14ac:dyDescent="0.25">
      <c r="A2912" s="111">
        <v>1761</v>
      </c>
      <c r="B2912" s="128" t="str">
        <f t="shared" si="2113"/>
        <v>N</v>
      </c>
      <c r="C2912" s="128" t="str">
        <f t="shared" si="2114"/>
        <v>N</v>
      </c>
      <c r="D2912" s="117">
        <v>2608171</v>
      </c>
      <c r="E2912" s="135">
        <f t="shared" si="2115"/>
        <v>2</v>
      </c>
      <c r="F2912" s="124">
        <v>40974</v>
      </c>
      <c r="G2912" s="125">
        <v>41060</v>
      </c>
      <c r="H2912" s="117">
        <v>2608171</v>
      </c>
      <c r="I2912" s="124">
        <v>40975</v>
      </c>
      <c r="J2912" s="124">
        <v>41060</v>
      </c>
      <c r="K2912" s="126">
        <v>10000</v>
      </c>
      <c r="L2912" s="127" t="s">
        <v>570</v>
      </c>
      <c r="N2912" s="129" t="str">
        <f t="shared" ref="N2912:N2921" si="2132">IF(M2912&gt;1/1/1,"Y","N")</f>
        <v>N</v>
      </c>
      <c r="O2912" s="128" t="s">
        <v>917</v>
      </c>
      <c r="P2912" s="129" t="s">
        <v>589</v>
      </c>
      <c r="Q2912" s="111">
        <f t="shared" si="2126"/>
        <v>86</v>
      </c>
      <c r="R2912" s="111">
        <f t="shared" si="2103"/>
        <v>87</v>
      </c>
      <c r="S2912" s="129">
        <v>0</v>
      </c>
      <c r="T2912" s="129">
        <v>0</v>
      </c>
      <c r="W2912" s="111"/>
      <c r="AC2912" s="130"/>
      <c r="AD2912" s="130">
        <v>34499</v>
      </c>
      <c r="AE2912" s="128" t="s">
        <v>32</v>
      </c>
      <c r="AF2912" s="128" t="s">
        <v>33</v>
      </c>
      <c r="AG2912" s="128" t="s">
        <v>872</v>
      </c>
      <c r="AH2912" s="108" t="s">
        <v>31</v>
      </c>
      <c r="AI2912" s="128" t="s">
        <v>80</v>
      </c>
      <c r="AJ2912" s="129" t="s">
        <v>48</v>
      </c>
      <c r="AK2912" s="129">
        <v>4</v>
      </c>
      <c r="AL2912" s="3" t="s">
        <v>48</v>
      </c>
      <c r="AP2912" s="129" t="s">
        <v>56</v>
      </c>
      <c r="AR2912" s="128" t="s">
        <v>50</v>
      </c>
      <c r="AS2912" s="129" t="s">
        <v>57</v>
      </c>
      <c r="AT2912" s="129" t="s">
        <v>378</v>
      </c>
      <c r="BC2912" s="129" t="s">
        <v>38</v>
      </c>
      <c r="BF2912" s="111">
        <f t="shared" ref="BF2912:BF2921" si="2133">IF(J2912&gt;1/1/1900,((J2912+1)-I2912),"STILL OPEN")</f>
        <v>86</v>
      </c>
      <c r="BG2912" s="111">
        <f t="shared" ref="BG2912:BG2921" si="2134">IF(G2912&gt;1/1/1900,((G2912+1)-I2912),"STILL OPEN")</f>
        <v>86</v>
      </c>
      <c r="BH2912" s="111">
        <f t="shared" si="2104"/>
        <v>87</v>
      </c>
      <c r="BI2912" s="111">
        <f t="shared" si="2106"/>
        <v>17.691256830601095</v>
      </c>
      <c r="BJ2912" s="129">
        <f>G2912-J2912-M2912</f>
        <v>0</v>
      </c>
      <c r="BK2912" s="129">
        <f t="shared" si="2105"/>
        <v>0</v>
      </c>
      <c r="BL2912" s="129" t="str">
        <f t="shared" si="2098"/>
        <v>DEFERRED</v>
      </c>
      <c r="BM2912" s="129" t="str">
        <f>O2912</f>
        <v>NONE</v>
      </c>
      <c r="BN2912" s="129" t="s">
        <v>566</v>
      </c>
      <c r="BP2912" s="137" t="str">
        <f t="shared" si="2107"/>
        <v>DEFERRED</v>
      </c>
      <c r="BQ2912" s="128" t="str">
        <f t="shared" si="2116"/>
        <v>Y</v>
      </c>
      <c r="BR2912" s="129" t="str">
        <f t="shared" si="2108"/>
        <v>DETAINED</v>
      </c>
      <c r="BS2912" s="129" t="str">
        <f t="shared" si="2109"/>
        <v>DISPOSED</v>
      </c>
      <c r="BT2912" s="129" t="str">
        <f t="shared" si="2110"/>
        <v>N</v>
      </c>
      <c r="BU2912" s="109">
        <f t="shared" si="2111"/>
        <v>0.9885057471264368</v>
      </c>
      <c r="BV2912" s="109">
        <f t="shared" si="2117"/>
        <v>1</v>
      </c>
      <c r="BW2912" s="109">
        <f t="shared" si="2127"/>
        <v>1.1494252873563204E-2</v>
      </c>
      <c r="BX2912" s="111">
        <f t="shared" si="2112"/>
        <v>0</v>
      </c>
      <c r="BY2912" s="129">
        <f t="shared" si="2118"/>
        <v>-86</v>
      </c>
      <c r="BZ2912" s="111">
        <f t="shared" si="2119"/>
        <v>0</v>
      </c>
      <c r="CA2912" s="138">
        <f t="shared" si="2120"/>
        <v>86</v>
      </c>
      <c r="CB2912" s="111" t="e">
        <f t="shared" ref="CB2912:CB2921" si="2135">IF(AF2912&gt;1/1/1900,((AF2912+1)-AE2912),"STILL OPEN")</f>
        <v>#VALUE!</v>
      </c>
      <c r="CC2912" s="129">
        <f>G2912-I2912+1</f>
        <v>86</v>
      </c>
      <c r="CD2912" s="129">
        <f>G2912-J2912</f>
        <v>0</v>
      </c>
      <c r="CG2912" s="129" t="str">
        <f t="shared" si="2121"/>
        <v>N</v>
      </c>
      <c r="CI2912" s="129" t="str">
        <f t="shared" si="2122"/>
        <v>61-90 DAYS</v>
      </c>
      <c r="CJ2912" s="137">
        <f t="shared" si="2123"/>
        <v>4</v>
      </c>
      <c r="CK2912" s="129" t="str">
        <f t="shared" si="2124"/>
        <v>Booked</v>
      </c>
    </row>
    <row r="2913" spans="1:89" ht="15" customHeight="1" x14ac:dyDescent="0.25">
      <c r="A2913" s="111">
        <v>1762</v>
      </c>
      <c r="B2913" s="128" t="str">
        <f t="shared" si="2113"/>
        <v>N</v>
      </c>
      <c r="C2913" s="128" t="str">
        <f t="shared" si="2114"/>
        <v>N</v>
      </c>
      <c r="D2913" s="117">
        <v>2608172</v>
      </c>
      <c r="E2913" s="135">
        <f t="shared" si="2115"/>
        <v>2</v>
      </c>
      <c r="F2913" s="124">
        <v>40974</v>
      </c>
      <c r="G2913" s="125">
        <v>41110</v>
      </c>
      <c r="H2913" s="117">
        <v>2608172</v>
      </c>
      <c r="I2913" s="124">
        <v>40975</v>
      </c>
      <c r="J2913" s="124">
        <v>41110</v>
      </c>
      <c r="K2913" s="126">
        <v>10000</v>
      </c>
      <c r="L2913" s="127" t="s">
        <v>570</v>
      </c>
      <c r="N2913" s="129" t="str">
        <f t="shared" si="2132"/>
        <v>N</v>
      </c>
      <c r="O2913" s="128" t="s">
        <v>917</v>
      </c>
      <c r="P2913" s="129" t="s">
        <v>589</v>
      </c>
      <c r="Q2913" s="111">
        <f t="shared" si="2126"/>
        <v>136</v>
      </c>
      <c r="R2913" s="111">
        <f t="shared" si="2103"/>
        <v>137</v>
      </c>
      <c r="S2913" s="129">
        <v>0</v>
      </c>
      <c r="T2913" s="129">
        <v>0</v>
      </c>
      <c r="W2913" s="111"/>
      <c r="AB2913" s="131" t="s">
        <v>112</v>
      </c>
      <c r="AC2913" s="130"/>
      <c r="AD2913" s="130">
        <v>34614</v>
      </c>
      <c r="AE2913" s="128" t="s">
        <v>32</v>
      </c>
      <c r="AF2913" s="128" t="s">
        <v>40</v>
      </c>
      <c r="AG2913" s="128" t="s">
        <v>41</v>
      </c>
      <c r="AH2913" s="108" t="s">
        <v>31</v>
      </c>
      <c r="AI2913" s="128" t="s">
        <v>80</v>
      </c>
      <c r="AJ2913" s="129" t="s">
        <v>48</v>
      </c>
      <c r="AK2913" s="129">
        <v>7</v>
      </c>
      <c r="AL2913" s="3" t="s">
        <v>48</v>
      </c>
      <c r="AP2913" s="129" t="s">
        <v>56</v>
      </c>
      <c r="AR2913" s="128" t="s">
        <v>50</v>
      </c>
      <c r="AS2913" s="129" t="s">
        <v>57</v>
      </c>
      <c r="BC2913" s="129" t="s">
        <v>38</v>
      </c>
      <c r="BF2913" s="111">
        <f t="shared" si="2133"/>
        <v>136</v>
      </c>
      <c r="BG2913" s="111">
        <f t="shared" si="2134"/>
        <v>136</v>
      </c>
      <c r="BH2913" s="111">
        <f t="shared" si="2104"/>
        <v>137</v>
      </c>
      <c r="BI2913" s="111">
        <f t="shared" si="2106"/>
        <v>17.377049180327869</v>
      </c>
      <c r="BJ2913" s="129">
        <f>G2913-J2913-M2913</f>
        <v>0</v>
      </c>
      <c r="BK2913" s="129">
        <f t="shared" si="2105"/>
        <v>0</v>
      </c>
      <c r="BL2913" s="129" t="str">
        <f t="shared" si="2098"/>
        <v>DEFERRED</v>
      </c>
      <c r="BM2913" s="129" t="str">
        <f>O2913</f>
        <v>NONE</v>
      </c>
      <c r="BN2913" s="129" t="s">
        <v>566</v>
      </c>
      <c r="BP2913" s="137" t="str">
        <f t="shared" si="2107"/>
        <v>DEFERRED</v>
      </c>
      <c r="BQ2913" s="128" t="str">
        <f t="shared" si="2116"/>
        <v>Y</v>
      </c>
      <c r="BR2913" s="129" t="str">
        <f t="shared" si="2108"/>
        <v>DETAINED</v>
      </c>
      <c r="BS2913" s="129" t="str">
        <f t="shared" si="2109"/>
        <v>DISPOSED</v>
      </c>
      <c r="BT2913" s="129" t="str">
        <f t="shared" si="2110"/>
        <v>N</v>
      </c>
      <c r="BU2913" s="109">
        <f t="shared" si="2111"/>
        <v>0.99270072992700731</v>
      </c>
      <c r="BV2913" s="109">
        <f t="shared" si="2117"/>
        <v>1</v>
      </c>
      <c r="BW2913" s="109">
        <f t="shared" si="2127"/>
        <v>7.2992700729926918E-3</v>
      </c>
      <c r="BX2913" s="111">
        <f t="shared" si="2112"/>
        <v>0</v>
      </c>
      <c r="BY2913" s="129">
        <f t="shared" si="2118"/>
        <v>-136</v>
      </c>
      <c r="BZ2913" s="111">
        <f t="shared" si="2119"/>
        <v>0</v>
      </c>
      <c r="CA2913" s="138">
        <f t="shared" si="2120"/>
        <v>136</v>
      </c>
      <c r="CB2913" s="111" t="e">
        <f t="shared" si="2135"/>
        <v>#VALUE!</v>
      </c>
      <c r="CC2913" s="129">
        <f>G2913-I2913+1</f>
        <v>136</v>
      </c>
      <c r="CD2913" s="129">
        <f>G2913-J2913</f>
        <v>0</v>
      </c>
      <c r="CG2913" s="129" t="str">
        <f t="shared" si="2121"/>
        <v>N</v>
      </c>
      <c r="CI2913" s="129" t="str">
        <f t="shared" si="2122"/>
        <v>121-365 DAYS</v>
      </c>
      <c r="CJ2913" s="137">
        <f t="shared" si="2123"/>
        <v>6</v>
      </c>
      <c r="CK2913" s="129" t="str">
        <f t="shared" si="2124"/>
        <v>Booked</v>
      </c>
    </row>
    <row r="2914" spans="1:89" ht="15.75" customHeight="1" x14ac:dyDescent="0.25">
      <c r="A2914" s="111">
        <v>1771</v>
      </c>
      <c r="B2914" s="128" t="str">
        <f t="shared" si="2113"/>
        <v>N</v>
      </c>
      <c r="C2914" s="128" t="str">
        <f t="shared" si="2114"/>
        <v>N</v>
      </c>
      <c r="D2914" s="117">
        <v>2608199</v>
      </c>
      <c r="E2914" s="135">
        <f t="shared" si="2115"/>
        <v>6</v>
      </c>
      <c r="F2914" s="124">
        <v>40975</v>
      </c>
      <c r="G2914" s="125">
        <v>41087</v>
      </c>
      <c r="H2914" s="117">
        <v>2608199</v>
      </c>
      <c r="I2914" s="124">
        <v>40975</v>
      </c>
      <c r="J2914" s="124">
        <v>41087</v>
      </c>
      <c r="K2914" s="126">
        <v>10000</v>
      </c>
      <c r="L2914" s="127" t="s">
        <v>570</v>
      </c>
      <c r="N2914" s="129" t="str">
        <f t="shared" si="2132"/>
        <v>N</v>
      </c>
      <c r="O2914" s="128" t="s">
        <v>917</v>
      </c>
      <c r="P2914" s="129" t="s">
        <v>39</v>
      </c>
      <c r="Q2914" s="111">
        <f t="shared" si="2126"/>
        <v>113</v>
      </c>
      <c r="R2914" s="111">
        <f t="shared" si="2103"/>
        <v>113</v>
      </c>
      <c r="S2914" s="129">
        <v>0</v>
      </c>
      <c r="T2914" s="129">
        <v>0</v>
      </c>
      <c r="W2914" s="111"/>
      <c r="AC2914" s="130"/>
      <c r="AD2914" s="130">
        <v>34524</v>
      </c>
      <c r="AE2914" s="128" t="s">
        <v>32</v>
      </c>
      <c r="AF2914" s="128" t="s">
        <v>33</v>
      </c>
      <c r="AG2914" s="128" t="s">
        <v>872</v>
      </c>
      <c r="AH2914" s="108" t="s">
        <v>31</v>
      </c>
      <c r="AI2914" s="128" t="s">
        <v>72</v>
      </c>
      <c r="AJ2914" s="129" t="s">
        <v>89</v>
      </c>
      <c r="AK2914" s="129">
        <v>4</v>
      </c>
      <c r="AL2914" s="3" t="s">
        <v>362</v>
      </c>
      <c r="AM2914" s="117">
        <v>2</v>
      </c>
      <c r="AP2914" s="129" t="s">
        <v>56</v>
      </c>
      <c r="AR2914" s="128" t="s">
        <v>50</v>
      </c>
      <c r="AS2914" s="129" t="s">
        <v>57</v>
      </c>
      <c r="AW2914" s="3"/>
      <c r="AX2914" s="3"/>
      <c r="BC2914" s="129" t="s">
        <v>52</v>
      </c>
      <c r="BF2914" s="111">
        <f t="shared" si="2133"/>
        <v>113</v>
      </c>
      <c r="BG2914" s="111">
        <f t="shared" si="2134"/>
        <v>113</v>
      </c>
      <c r="BH2914" s="111">
        <f t="shared" si="2104"/>
        <v>113</v>
      </c>
      <c r="BI2914" s="111">
        <f t="shared" si="2106"/>
        <v>17.625683060109289</v>
      </c>
      <c r="BJ2914" s="129">
        <f>G2914-J2914-M2914</f>
        <v>0</v>
      </c>
      <c r="BK2914" s="129">
        <f t="shared" si="2105"/>
        <v>0</v>
      </c>
      <c r="BL2914" s="129" t="str">
        <f t="shared" si="2098"/>
        <v>CONVICTION</v>
      </c>
      <c r="BM2914" s="129" t="str">
        <f>O2914</f>
        <v>NONE</v>
      </c>
      <c r="BN2914" s="129" t="s">
        <v>566</v>
      </c>
      <c r="BP2914" s="137" t="str">
        <f t="shared" si="2107"/>
        <v>CONVICTION</v>
      </c>
      <c r="BQ2914" s="128" t="str">
        <f t="shared" si="2116"/>
        <v>Y</v>
      </c>
      <c r="BR2914" s="129" t="str">
        <f t="shared" si="2108"/>
        <v>DETAINED</v>
      </c>
      <c r="BS2914" s="129" t="str">
        <f t="shared" si="2109"/>
        <v>DISPOSED</v>
      </c>
      <c r="BT2914" s="129" t="str">
        <f t="shared" si="2110"/>
        <v>N</v>
      </c>
      <c r="BU2914" s="109">
        <f t="shared" si="2111"/>
        <v>1</v>
      </c>
      <c r="BV2914" s="109">
        <f t="shared" si="2117"/>
        <v>1</v>
      </c>
      <c r="BW2914" s="109">
        <f t="shared" si="2127"/>
        <v>0</v>
      </c>
      <c r="BX2914" s="111">
        <f t="shared" si="2112"/>
        <v>0</v>
      </c>
      <c r="BY2914" s="129">
        <f t="shared" si="2118"/>
        <v>-113</v>
      </c>
      <c r="BZ2914" s="111">
        <f t="shared" si="2119"/>
        <v>0</v>
      </c>
      <c r="CA2914" s="138">
        <f t="shared" si="2120"/>
        <v>113</v>
      </c>
      <c r="CB2914" s="111" t="e">
        <f t="shared" si="2135"/>
        <v>#VALUE!</v>
      </c>
      <c r="CC2914" s="129">
        <f>G2914-I2914+1</f>
        <v>113</v>
      </c>
      <c r="CD2914" s="129">
        <f>G2914-J2914</f>
        <v>0</v>
      </c>
      <c r="CG2914" s="129" t="str">
        <f t="shared" si="2121"/>
        <v>N</v>
      </c>
      <c r="CI2914" s="129" t="str">
        <f t="shared" si="2122"/>
        <v>91-120 DAYS</v>
      </c>
      <c r="CJ2914" s="137">
        <f t="shared" si="2123"/>
        <v>0</v>
      </c>
      <c r="CK2914" s="129" t="str">
        <f t="shared" si="2124"/>
        <v>Booked</v>
      </c>
    </row>
    <row r="2915" spans="1:89" ht="15" customHeight="1" x14ac:dyDescent="0.25">
      <c r="A2915" s="111">
        <v>1777</v>
      </c>
      <c r="B2915" s="128" t="str">
        <f t="shared" si="2113"/>
        <v>N</v>
      </c>
      <c r="C2915" s="128" t="str">
        <f t="shared" si="2114"/>
        <v>N</v>
      </c>
      <c r="D2915" s="117">
        <v>2608218</v>
      </c>
      <c r="E2915" s="135">
        <f t="shared" si="2115"/>
        <v>2</v>
      </c>
      <c r="F2915" s="124">
        <v>40975</v>
      </c>
      <c r="G2915" s="125">
        <v>40996</v>
      </c>
      <c r="H2915" s="117">
        <v>2608218</v>
      </c>
      <c r="I2915" s="124">
        <v>40975</v>
      </c>
      <c r="J2915" s="124">
        <v>40996</v>
      </c>
      <c r="K2915" s="126">
        <v>10000</v>
      </c>
      <c r="L2915" s="127" t="s">
        <v>570</v>
      </c>
      <c r="N2915" s="129" t="str">
        <f t="shared" si="2132"/>
        <v>N</v>
      </c>
      <c r="O2915" s="128" t="s">
        <v>917</v>
      </c>
      <c r="P2915" s="129" t="s">
        <v>589</v>
      </c>
      <c r="Q2915" s="111">
        <f t="shared" si="2126"/>
        <v>22</v>
      </c>
      <c r="R2915" s="111">
        <f t="shared" si="2103"/>
        <v>22</v>
      </c>
      <c r="S2915" s="129">
        <v>0</v>
      </c>
      <c r="T2915" s="129">
        <v>0</v>
      </c>
      <c r="W2915" s="111"/>
      <c r="AC2915" s="130"/>
      <c r="AD2915" s="130">
        <v>34076</v>
      </c>
      <c r="AE2915" s="128" t="s">
        <v>46</v>
      </c>
      <c r="AF2915" s="128" t="s">
        <v>69</v>
      </c>
      <c r="AG2915" s="128" t="s">
        <v>874</v>
      </c>
      <c r="AH2915" s="108" t="s">
        <v>31</v>
      </c>
      <c r="AI2915" s="128" t="s">
        <v>62</v>
      </c>
      <c r="AJ2915" s="129" t="s">
        <v>48</v>
      </c>
      <c r="AK2915" s="129">
        <v>2</v>
      </c>
      <c r="AL2915" s="3" t="s">
        <v>48</v>
      </c>
      <c r="AP2915" s="129" t="s">
        <v>297</v>
      </c>
      <c r="AR2915" s="128" t="s">
        <v>44</v>
      </c>
      <c r="AS2915" s="129" t="s">
        <v>82</v>
      </c>
      <c r="BC2915" s="129" t="s">
        <v>38</v>
      </c>
      <c r="BF2915" s="111">
        <f t="shared" si="2133"/>
        <v>22</v>
      </c>
      <c r="BG2915" s="111">
        <f t="shared" si="2134"/>
        <v>22</v>
      </c>
      <c r="BH2915" s="111">
        <f t="shared" si="2104"/>
        <v>22</v>
      </c>
      <c r="BI2915" s="111">
        <f t="shared" si="2106"/>
        <v>18.849726775956285</v>
      </c>
      <c r="BJ2915" s="129">
        <f>G2915-J2915-M2915</f>
        <v>0</v>
      </c>
      <c r="BK2915" s="129">
        <f t="shared" si="2105"/>
        <v>0</v>
      </c>
      <c r="BL2915" s="129" t="str">
        <f t="shared" si="2098"/>
        <v>DEFERRED</v>
      </c>
      <c r="BM2915" s="129" t="str">
        <f>O2915</f>
        <v>NONE</v>
      </c>
      <c r="BN2915" s="129" t="s">
        <v>566</v>
      </c>
      <c r="BP2915" s="137" t="str">
        <f t="shared" si="2107"/>
        <v>DEFERRED</v>
      </c>
      <c r="BQ2915" s="128" t="str">
        <f t="shared" si="2116"/>
        <v>Y</v>
      </c>
      <c r="BR2915" s="129" t="str">
        <f t="shared" si="2108"/>
        <v>DETAINED</v>
      </c>
      <c r="BS2915" s="129" t="str">
        <f t="shared" si="2109"/>
        <v>DISPOSED</v>
      </c>
      <c r="BT2915" s="129" t="str">
        <f t="shared" si="2110"/>
        <v>N</v>
      </c>
      <c r="BU2915" s="109">
        <f t="shared" si="2111"/>
        <v>1</v>
      </c>
      <c r="BV2915" s="109">
        <f t="shared" si="2117"/>
        <v>1</v>
      </c>
      <c r="BW2915" s="109">
        <f t="shared" si="2127"/>
        <v>0</v>
      </c>
      <c r="BX2915" s="111">
        <f t="shared" si="2112"/>
        <v>0</v>
      </c>
      <c r="BY2915" s="129">
        <f t="shared" si="2118"/>
        <v>-22</v>
      </c>
      <c r="BZ2915" s="111">
        <f t="shared" si="2119"/>
        <v>0</v>
      </c>
      <c r="CA2915" s="138">
        <f t="shared" si="2120"/>
        <v>22</v>
      </c>
      <c r="CB2915" s="111" t="e">
        <f t="shared" si="2135"/>
        <v>#VALUE!</v>
      </c>
      <c r="CC2915" s="129">
        <f>G2915-I2915+1</f>
        <v>22</v>
      </c>
      <c r="CD2915" s="129">
        <f>G2915-J2915</f>
        <v>0</v>
      </c>
      <c r="CG2915" s="129" t="str">
        <f t="shared" si="2121"/>
        <v>N</v>
      </c>
      <c r="CI2915" s="129" t="str">
        <f t="shared" si="2122"/>
        <v>11-30 DAYS</v>
      </c>
      <c r="CJ2915" s="137">
        <f t="shared" si="2123"/>
        <v>2</v>
      </c>
      <c r="CK2915" s="129" t="str">
        <f t="shared" si="2124"/>
        <v>Booked</v>
      </c>
    </row>
    <row r="2916" spans="1:89" ht="15" customHeight="1" x14ac:dyDescent="0.25">
      <c r="A2916" s="111">
        <v>1783</v>
      </c>
      <c r="B2916" s="128" t="str">
        <f t="shared" si="2113"/>
        <v>N</v>
      </c>
      <c r="C2916" s="128" t="str">
        <f t="shared" si="2114"/>
        <v>N</v>
      </c>
      <c r="D2916" s="117">
        <v>2608332</v>
      </c>
      <c r="E2916" s="135">
        <f t="shared" si="2115"/>
        <v>2</v>
      </c>
      <c r="F2916" s="124">
        <v>40975</v>
      </c>
      <c r="G2916" s="125">
        <v>40994</v>
      </c>
      <c r="H2916" s="117">
        <v>2608332</v>
      </c>
      <c r="I2916" s="124">
        <v>40975</v>
      </c>
      <c r="J2916" s="124">
        <v>40977</v>
      </c>
      <c r="K2916" s="126">
        <v>5000</v>
      </c>
      <c r="L2916" s="127" t="s">
        <v>569</v>
      </c>
      <c r="M2916" s="125">
        <v>40977</v>
      </c>
      <c r="N2916" s="129" t="str">
        <f t="shared" si="2132"/>
        <v>Y</v>
      </c>
      <c r="O2916" s="128" t="s">
        <v>54</v>
      </c>
      <c r="P2916" s="129" t="s">
        <v>589</v>
      </c>
      <c r="Q2916" s="111">
        <f t="shared" si="2126"/>
        <v>3</v>
      </c>
      <c r="R2916" s="111">
        <f t="shared" si="2103"/>
        <v>20</v>
      </c>
      <c r="S2916" s="129">
        <v>0</v>
      </c>
      <c r="T2916" s="129">
        <v>0</v>
      </c>
      <c r="W2916" s="111"/>
      <c r="AC2916" s="130"/>
      <c r="AD2916" s="130">
        <v>30558</v>
      </c>
      <c r="AE2916" s="128" t="s">
        <v>32</v>
      </c>
      <c r="AF2916" s="128" t="s">
        <v>33</v>
      </c>
      <c r="AG2916" s="128" t="s">
        <v>872</v>
      </c>
      <c r="AH2916" s="108" t="s">
        <v>31</v>
      </c>
      <c r="AI2916" s="128" t="s">
        <v>42</v>
      </c>
      <c r="AJ2916" s="129" t="s">
        <v>48</v>
      </c>
      <c r="AK2916" s="129">
        <v>2</v>
      </c>
      <c r="AL2916" s="3" t="s">
        <v>48</v>
      </c>
      <c r="AP2916" s="129" t="s">
        <v>43</v>
      </c>
      <c r="AR2916" s="128" t="s">
        <v>44</v>
      </c>
      <c r="AS2916" s="129" t="s">
        <v>45</v>
      </c>
      <c r="BC2916" s="129" t="s">
        <v>38</v>
      </c>
      <c r="BF2916" s="111">
        <f t="shared" si="2133"/>
        <v>3</v>
      </c>
      <c r="BG2916" s="111">
        <f t="shared" si="2134"/>
        <v>20</v>
      </c>
      <c r="BH2916" s="111">
        <f t="shared" si="2104"/>
        <v>20</v>
      </c>
      <c r="BI2916" s="111">
        <f t="shared" si="2106"/>
        <v>28.461748633879782</v>
      </c>
      <c r="BJ2916" s="129">
        <f>(G2916-J2916)+(M2916-G2916)</f>
        <v>0</v>
      </c>
      <c r="BK2916" s="129">
        <f t="shared" si="2105"/>
        <v>-17</v>
      </c>
      <c r="BL2916" s="129" t="str">
        <f t="shared" si="2098"/>
        <v>DEFERRED</v>
      </c>
      <c r="BM2916" s="129" t="s">
        <v>160</v>
      </c>
      <c r="BN2916" s="129" t="s">
        <v>88</v>
      </c>
      <c r="BP2916" s="137" t="str">
        <f t="shared" si="2107"/>
        <v>DEFERRED</v>
      </c>
      <c r="BQ2916" s="128" t="str">
        <f t="shared" si="2116"/>
        <v>Y</v>
      </c>
      <c r="BR2916" s="129" t="str">
        <f t="shared" si="2108"/>
        <v>ON BOND</v>
      </c>
      <c r="BS2916" s="129" t="str">
        <f t="shared" si="2109"/>
        <v>DISPOSED</v>
      </c>
      <c r="BT2916" s="129" t="str">
        <f t="shared" si="2110"/>
        <v>N</v>
      </c>
      <c r="BU2916" s="109">
        <f t="shared" si="2111"/>
        <v>0.15</v>
      </c>
      <c r="BV2916" s="109">
        <f t="shared" si="2117"/>
        <v>0.15</v>
      </c>
      <c r="BW2916" s="109">
        <f t="shared" si="2127"/>
        <v>0</v>
      </c>
      <c r="BX2916" s="111">
        <f t="shared" si="2112"/>
        <v>0</v>
      </c>
      <c r="BY2916" s="129">
        <f t="shared" si="2118"/>
        <v>-3</v>
      </c>
      <c r="BZ2916" s="111">
        <f t="shared" si="2119"/>
        <v>0</v>
      </c>
      <c r="CA2916" s="138">
        <f t="shared" si="2120"/>
        <v>3</v>
      </c>
      <c r="CB2916" s="111" t="e">
        <f t="shared" si="2135"/>
        <v>#VALUE!</v>
      </c>
      <c r="CC2916" s="129">
        <f>M2916-I2916+1</f>
        <v>3</v>
      </c>
      <c r="CD2916" s="111">
        <f>CC2916-BF2916</f>
        <v>0</v>
      </c>
      <c r="CG2916" s="129" t="str">
        <f t="shared" si="2121"/>
        <v>N</v>
      </c>
      <c r="CI2916" s="129" t="str">
        <f t="shared" si="2122"/>
        <v>0-10 DAYS</v>
      </c>
      <c r="CJ2916" s="137">
        <f t="shared" si="2123"/>
        <v>1</v>
      </c>
      <c r="CK2916" s="129" t="str">
        <f t="shared" si="2124"/>
        <v>Booked</v>
      </c>
    </row>
    <row r="2917" spans="1:89" ht="15" customHeight="1" x14ac:dyDescent="0.25">
      <c r="A2917" s="111">
        <v>1827</v>
      </c>
      <c r="B2917" s="128" t="str">
        <f t="shared" si="2113"/>
        <v>N</v>
      </c>
      <c r="C2917" s="128" t="str">
        <f t="shared" si="2114"/>
        <v>N</v>
      </c>
      <c r="D2917" s="117">
        <v>2608334</v>
      </c>
      <c r="E2917" s="135">
        <f t="shared" si="2115"/>
        <v>1</v>
      </c>
      <c r="F2917" s="124">
        <v>40976</v>
      </c>
      <c r="G2917" s="125">
        <v>41046</v>
      </c>
      <c r="H2917" s="117">
        <v>2608334</v>
      </c>
      <c r="I2917" s="124">
        <v>40977</v>
      </c>
      <c r="J2917" s="124">
        <v>41010</v>
      </c>
      <c r="K2917" s="126">
        <v>10000</v>
      </c>
      <c r="L2917" s="127" t="s">
        <v>570</v>
      </c>
      <c r="M2917" s="125">
        <v>41010</v>
      </c>
      <c r="N2917" s="129" t="str">
        <f t="shared" si="2132"/>
        <v>Y</v>
      </c>
      <c r="O2917" s="128" t="s">
        <v>76</v>
      </c>
      <c r="P2917" s="129" t="s">
        <v>123</v>
      </c>
      <c r="Q2917" s="111">
        <f t="shared" si="2126"/>
        <v>34</v>
      </c>
      <c r="R2917" s="111">
        <f t="shared" si="2103"/>
        <v>71</v>
      </c>
      <c r="S2917" s="129">
        <v>0</v>
      </c>
      <c r="T2917" s="129">
        <v>0</v>
      </c>
      <c r="W2917" s="111"/>
      <c r="AC2917" s="130"/>
      <c r="AD2917" s="130">
        <v>30851</v>
      </c>
      <c r="AE2917" s="128" t="s">
        <v>32</v>
      </c>
      <c r="AF2917" s="128" t="s">
        <v>40</v>
      </c>
      <c r="AG2917" s="128" t="s">
        <v>41</v>
      </c>
      <c r="AH2917" s="108" t="s">
        <v>41</v>
      </c>
      <c r="AI2917" s="128" t="s">
        <v>118</v>
      </c>
      <c r="AJ2917" s="129" t="s">
        <v>123</v>
      </c>
      <c r="AK2917" s="129">
        <v>3</v>
      </c>
      <c r="AL2917" s="3" t="s">
        <v>123</v>
      </c>
      <c r="AP2917" s="129" t="s">
        <v>98</v>
      </c>
      <c r="AR2917" s="128" t="s">
        <v>44</v>
      </c>
      <c r="AS2917" s="129" t="s">
        <v>64</v>
      </c>
      <c r="BC2917" s="129" t="s">
        <v>52</v>
      </c>
      <c r="BF2917" s="111">
        <f t="shared" si="2133"/>
        <v>34</v>
      </c>
      <c r="BG2917" s="111">
        <f t="shared" si="2134"/>
        <v>70</v>
      </c>
      <c r="BH2917" s="111">
        <f t="shared" si="2104"/>
        <v>71</v>
      </c>
      <c r="BI2917" s="111">
        <f t="shared" si="2106"/>
        <v>27.66393442622951</v>
      </c>
      <c r="BJ2917" s="129">
        <f>(G2917-J2917)+(M2917-G2917)</f>
        <v>0</v>
      </c>
      <c r="BK2917" s="129">
        <f t="shared" si="2105"/>
        <v>-36</v>
      </c>
      <c r="BL2917" s="129" t="str">
        <f t="shared" si="2098"/>
        <v>NO CONVICTION</v>
      </c>
      <c r="BM2917" s="129" t="s">
        <v>76</v>
      </c>
      <c r="BN2917" s="129" t="s">
        <v>88</v>
      </c>
      <c r="BP2917" s="137" t="str">
        <f t="shared" si="2107"/>
        <v>NO CONVICTION</v>
      </c>
      <c r="BQ2917" s="128" t="str">
        <f t="shared" si="2116"/>
        <v>Y</v>
      </c>
      <c r="BR2917" s="129" t="str">
        <f t="shared" si="2108"/>
        <v>ON BOND</v>
      </c>
      <c r="BS2917" s="129" t="str">
        <f t="shared" si="2109"/>
        <v>DISPOSED</v>
      </c>
      <c r="BT2917" s="129" t="str">
        <f t="shared" si="2110"/>
        <v>N</v>
      </c>
      <c r="BU2917" s="109">
        <f>IFERROR(Q2917/R2917,BR2917)</f>
        <v>0.47887323943661969</v>
      </c>
      <c r="BV2917" s="109">
        <f t="shared" si="2117"/>
        <v>0.48571428571428571</v>
      </c>
      <c r="BW2917" s="109">
        <f t="shared" si="2127"/>
        <v>6.8410462776660186E-3</v>
      </c>
      <c r="BX2917" s="111">
        <f t="shared" si="2112"/>
        <v>0</v>
      </c>
      <c r="BY2917" s="129">
        <f t="shared" si="2118"/>
        <v>-34</v>
      </c>
      <c r="BZ2917" s="111">
        <f t="shared" si="2119"/>
        <v>0</v>
      </c>
      <c r="CA2917" s="138">
        <f t="shared" si="2120"/>
        <v>34</v>
      </c>
      <c r="CB2917" s="111" t="e">
        <f t="shared" si="2135"/>
        <v>#VALUE!</v>
      </c>
      <c r="CC2917" s="129">
        <f>M2917-I2917+1</f>
        <v>34</v>
      </c>
      <c r="CD2917" s="111">
        <f>CC2917-BF2917</f>
        <v>0</v>
      </c>
      <c r="CG2917" s="129" t="str">
        <f t="shared" si="2121"/>
        <v>N</v>
      </c>
      <c r="CI2917" s="129" t="str">
        <f t="shared" si="2122"/>
        <v>31-60 DAYS</v>
      </c>
      <c r="CJ2917" s="137">
        <f t="shared" si="2123"/>
        <v>3</v>
      </c>
      <c r="CK2917" s="129" t="str">
        <f t="shared" si="2124"/>
        <v>Booked</v>
      </c>
    </row>
    <row r="2918" spans="1:89" ht="15" customHeight="1" x14ac:dyDescent="0.25">
      <c r="A2918" s="111">
        <v>1796</v>
      </c>
      <c r="B2918" s="128" t="str">
        <f t="shared" si="2113"/>
        <v>N</v>
      </c>
      <c r="C2918" s="128" t="str">
        <f t="shared" si="2114"/>
        <v>N</v>
      </c>
      <c r="D2918" s="117">
        <v>2608383</v>
      </c>
      <c r="E2918" s="135">
        <f t="shared" si="2115"/>
        <v>6</v>
      </c>
      <c r="F2918" s="124">
        <v>40975</v>
      </c>
      <c r="G2918" s="125">
        <v>41185</v>
      </c>
      <c r="H2918" s="117">
        <v>2608383</v>
      </c>
      <c r="I2918" s="124">
        <v>40976</v>
      </c>
      <c r="J2918" s="124">
        <v>41185</v>
      </c>
      <c r="K2918" s="126">
        <v>20000</v>
      </c>
      <c r="L2918" s="127" t="s">
        <v>571</v>
      </c>
      <c r="N2918" s="129" t="str">
        <f t="shared" si="2132"/>
        <v>N</v>
      </c>
      <c r="O2918" s="128" t="s">
        <v>917</v>
      </c>
      <c r="P2918" s="129" t="s">
        <v>39</v>
      </c>
      <c r="Q2918" s="111">
        <f t="shared" si="2126"/>
        <v>210</v>
      </c>
      <c r="R2918" s="111">
        <f t="shared" si="2103"/>
        <v>211</v>
      </c>
      <c r="S2918" s="129">
        <v>0</v>
      </c>
      <c r="T2918" s="129">
        <v>0</v>
      </c>
      <c r="W2918" s="111"/>
      <c r="AB2918" s="131" t="s">
        <v>112</v>
      </c>
      <c r="AC2918" s="130"/>
      <c r="AD2918" s="130">
        <v>31503</v>
      </c>
      <c r="AE2918" s="128" t="s">
        <v>32</v>
      </c>
      <c r="AF2918" s="128" t="s">
        <v>40</v>
      </c>
      <c r="AG2918" s="128" t="s">
        <v>41</v>
      </c>
      <c r="AH2918" s="108" t="s">
        <v>31</v>
      </c>
      <c r="AI2918" s="128" t="s">
        <v>72</v>
      </c>
      <c r="AJ2918" s="129" t="s">
        <v>89</v>
      </c>
      <c r="AK2918" s="129">
        <v>8</v>
      </c>
      <c r="AL2918" s="3" t="s">
        <v>362</v>
      </c>
      <c r="AM2918" s="114">
        <v>12</v>
      </c>
      <c r="AN2918" s="114"/>
      <c r="AP2918" s="129" t="s">
        <v>336</v>
      </c>
      <c r="AR2918" s="128" t="s">
        <v>46</v>
      </c>
      <c r="AS2918" s="129" t="s">
        <v>82</v>
      </c>
      <c r="BC2918" s="129" t="s">
        <v>52</v>
      </c>
      <c r="BF2918" s="111">
        <f t="shared" si="2133"/>
        <v>210</v>
      </c>
      <c r="BG2918" s="111">
        <f t="shared" si="2134"/>
        <v>210</v>
      </c>
      <c r="BH2918" s="111">
        <f t="shared" si="2104"/>
        <v>211</v>
      </c>
      <c r="BI2918" s="111">
        <f t="shared" si="2106"/>
        <v>25.879781420765028</v>
      </c>
      <c r="BJ2918" s="129">
        <f>G2918-J2918-M2918</f>
        <v>0</v>
      </c>
      <c r="BK2918" s="129">
        <f t="shared" si="2105"/>
        <v>0</v>
      </c>
      <c r="BL2918" s="129" t="str">
        <f t="shared" si="2098"/>
        <v>CONVICTION</v>
      </c>
      <c r="BM2918" s="129" t="str">
        <f>O2918</f>
        <v>NONE</v>
      </c>
      <c r="BN2918" s="129" t="s">
        <v>566</v>
      </c>
      <c r="BP2918" s="137" t="str">
        <f t="shared" si="2107"/>
        <v>CONVICTION</v>
      </c>
      <c r="BQ2918" s="128" t="str">
        <f t="shared" si="2116"/>
        <v>Y</v>
      </c>
      <c r="BR2918" s="129" t="str">
        <f t="shared" si="2108"/>
        <v>DETAINED</v>
      </c>
      <c r="BS2918" s="129" t="str">
        <f t="shared" si="2109"/>
        <v>DISPOSED</v>
      </c>
      <c r="BT2918" s="129" t="str">
        <f t="shared" si="2110"/>
        <v>N</v>
      </c>
      <c r="BU2918" s="109">
        <f t="shared" si="2111"/>
        <v>0.99526066350710896</v>
      </c>
      <c r="BV2918" s="109">
        <f t="shared" si="2117"/>
        <v>1</v>
      </c>
      <c r="BW2918" s="109">
        <f t="shared" si="2127"/>
        <v>4.7393364928910442E-3</v>
      </c>
      <c r="BX2918" s="111">
        <f t="shared" si="2112"/>
        <v>0</v>
      </c>
      <c r="BY2918" s="129">
        <f t="shared" si="2118"/>
        <v>-210</v>
      </c>
      <c r="BZ2918" s="111">
        <f t="shared" si="2119"/>
        <v>0</v>
      </c>
      <c r="CA2918" s="138">
        <f t="shared" si="2120"/>
        <v>210</v>
      </c>
      <c r="CB2918" s="111" t="e">
        <f t="shared" si="2135"/>
        <v>#VALUE!</v>
      </c>
      <c r="CC2918" s="129">
        <f>G2918-I2918+1</f>
        <v>210</v>
      </c>
      <c r="CD2918" s="129">
        <f>G2918-J2918</f>
        <v>0</v>
      </c>
      <c r="CG2918" s="129" t="str">
        <f t="shared" si="2121"/>
        <v>N</v>
      </c>
      <c r="CI2918" s="129" t="str">
        <f t="shared" si="2122"/>
        <v>121-365 DAYS</v>
      </c>
      <c r="CJ2918" s="137">
        <f t="shared" si="2123"/>
        <v>6</v>
      </c>
      <c r="CK2918" s="129" t="str">
        <f t="shared" si="2124"/>
        <v>Booked</v>
      </c>
    </row>
    <row r="2919" spans="1:89" ht="15.75" customHeight="1" x14ac:dyDescent="0.25">
      <c r="A2919" s="111">
        <v>1802</v>
      </c>
      <c r="B2919" s="128" t="str">
        <f t="shared" si="2113"/>
        <v>N</v>
      </c>
      <c r="C2919" s="128" t="str">
        <f t="shared" si="2114"/>
        <v>N</v>
      </c>
      <c r="D2919" s="117">
        <v>2608399</v>
      </c>
      <c r="E2919" s="135">
        <f t="shared" si="2115"/>
        <v>6</v>
      </c>
      <c r="F2919" s="124">
        <v>40976</v>
      </c>
      <c r="G2919" s="125">
        <v>41074</v>
      </c>
      <c r="H2919" s="117">
        <v>2608399</v>
      </c>
      <c r="I2919" s="124">
        <v>40976</v>
      </c>
      <c r="J2919" s="124">
        <v>41074</v>
      </c>
      <c r="K2919" s="126">
        <v>10000</v>
      </c>
      <c r="L2919" s="127" t="s">
        <v>570</v>
      </c>
      <c r="N2919" s="129" t="str">
        <f t="shared" si="2132"/>
        <v>N</v>
      </c>
      <c r="O2919" s="128" t="s">
        <v>917</v>
      </c>
      <c r="P2919" s="129" t="s">
        <v>39</v>
      </c>
      <c r="Q2919" s="111">
        <f t="shared" si="2126"/>
        <v>99</v>
      </c>
      <c r="R2919" s="111">
        <f t="shared" si="2103"/>
        <v>99</v>
      </c>
      <c r="S2919" s="129">
        <v>0</v>
      </c>
      <c r="T2919" s="129">
        <v>0</v>
      </c>
      <c r="W2919" s="111"/>
      <c r="AC2919" s="130"/>
      <c r="AD2919" s="130">
        <v>34057</v>
      </c>
      <c r="AE2919" s="128" t="s">
        <v>32</v>
      </c>
      <c r="AF2919" s="128" t="s">
        <v>33</v>
      </c>
      <c r="AG2919" s="128" t="s">
        <v>872</v>
      </c>
      <c r="AH2919" s="108" t="s">
        <v>31</v>
      </c>
      <c r="AI2919" s="128" t="s">
        <v>71</v>
      </c>
      <c r="AJ2919" s="129" t="s">
        <v>89</v>
      </c>
      <c r="AK2919" s="129">
        <v>2</v>
      </c>
      <c r="AL2919" s="3" t="s">
        <v>362</v>
      </c>
      <c r="AM2919" s="117">
        <v>2</v>
      </c>
      <c r="AP2919" s="129" t="s">
        <v>56</v>
      </c>
      <c r="AR2919" s="128" t="s">
        <v>50</v>
      </c>
      <c r="AS2919" s="129" t="s">
        <v>57</v>
      </c>
      <c r="BC2919" s="129" t="s">
        <v>99</v>
      </c>
      <c r="BF2919" s="111">
        <f t="shared" si="2133"/>
        <v>99</v>
      </c>
      <c r="BG2919" s="111">
        <f t="shared" si="2134"/>
        <v>99</v>
      </c>
      <c r="BH2919" s="111">
        <f t="shared" si="2104"/>
        <v>99</v>
      </c>
      <c r="BI2919" s="111">
        <f t="shared" si="2106"/>
        <v>18.904371584699454</v>
      </c>
      <c r="BJ2919" s="129">
        <f>G2919-J2919-M2919</f>
        <v>0</v>
      </c>
      <c r="BK2919" s="129">
        <f t="shared" si="2105"/>
        <v>0</v>
      </c>
      <c r="BL2919" s="129" t="str">
        <f t="shared" si="2098"/>
        <v>CONVICTION</v>
      </c>
      <c r="BM2919" s="129" t="str">
        <f>O2919</f>
        <v>NONE</v>
      </c>
      <c r="BN2919" s="129" t="s">
        <v>566</v>
      </c>
      <c r="BP2919" s="137" t="str">
        <f t="shared" si="2107"/>
        <v>CONVICTION</v>
      </c>
      <c r="BQ2919" s="128" t="str">
        <f t="shared" si="2116"/>
        <v>Y</v>
      </c>
      <c r="BR2919" s="129" t="str">
        <f t="shared" si="2108"/>
        <v>DETAINED</v>
      </c>
      <c r="BS2919" s="129" t="str">
        <f t="shared" si="2109"/>
        <v>DISPOSED</v>
      </c>
      <c r="BT2919" s="129" t="str">
        <f t="shared" si="2110"/>
        <v>N</v>
      </c>
      <c r="BU2919" s="109">
        <f t="shared" si="2111"/>
        <v>1</v>
      </c>
      <c r="BV2919" s="109">
        <f t="shared" si="2117"/>
        <v>1</v>
      </c>
      <c r="BW2919" s="109">
        <f t="shared" si="2127"/>
        <v>0</v>
      </c>
      <c r="BX2919" s="111">
        <f t="shared" si="2112"/>
        <v>0</v>
      </c>
      <c r="BY2919" s="129">
        <f t="shared" si="2118"/>
        <v>-99</v>
      </c>
      <c r="BZ2919" s="111">
        <f t="shared" si="2119"/>
        <v>0</v>
      </c>
      <c r="CA2919" s="138">
        <f t="shared" si="2120"/>
        <v>99</v>
      </c>
      <c r="CB2919" s="111" t="e">
        <f t="shared" si="2135"/>
        <v>#VALUE!</v>
      </c>
      <c r="CC2919" s="129">
        <f>G2919-I2919+1</f>
        <v>99</v>
      </c>
      <c r="CD2919" s="129">
        <f>G2919-J2919</f>
        <v>0</v>
      </c>
      <c r="CG2919" s="129" t="str">
        <f t="shared" si="2121"/>
        <v>N</v>
      </c>
      <c r="CI2919" s="129" t="str">
        <f t="shared" si="2122"/>
        <v>91-120 DAYS</v>
      </c>
      <c r="CJ2919" s="137">
        <f t="shared" si="2123"/>
        <v>0</v>
      </c>
      <c r="CK2919" s="129" t="str">
        <f t="shared" si="2124"/>
        <v>Booked</v>
      </c>
    </row>
    <row r="2920" spans="1:89" ht="15" customHeight="1" x14ac:dyDescent="0.25">
      <c r="A2920" s="111">
        <v>1801</v>
      </c>
      <c r="B2920" s="128" t="str">
        <f t="shared" si="2113"/>
        <v>N</v>
      </c>
      <c r="C2920" s="128" t="str">
        <f t="shared" si="2114"/>
        <v>N</v>
      </c>
      <c r="D2920" s="117">
        <v>2608400</v>
      </c>
      <c r="E2920" s="135">
        <f t="shared" si="2115"/>
        <v>2</v>
      </c>
      <c r="F2920" s="124">
        <v>40976</v>
      </c>
      <c r="G2920" s="125">
        <v>41032</v>
      </c>
      <c r="H2920" s="117">
        <v>2608400</v>
      </c>
      <c r="I2920" s="124">
        <v>40976</v>
      </c>
      <c r="J2920" s="124">
        <v>41032</v>
      </c>
      <c r="K2920" s="126">
        <v>10000</v>
      </c>
      <c r="L2920" s="127" t="s">
        <v>570</v>
      </c>
      <c r="N2920" s="129" t="str">
        <f t="shared" si="2132"/>
        <v>N</v>
      </c>
      <c r="O2920" s="128" t="s">
        <v>917</v>
      </c>
      <c r="P2920" s="129" t="s">
        <v>589</v>
      </c>
      <c r="Q2920" s="111">
        <f t="shared" si="2126"/>
        <v>57</v>
      </c>
      <c r="R2920" s="111">
        <f t="shared" si="2103"/>
        <v>57</v>
      </c>
      <c r="S2920" s="129">
        <v>0</v>
      </c>
      <c r="T2920" s="129">
        <v>0</v>
      </c>
      <c r="W2920" s="111"/>
      <c r="AB2920" s="131" t="s">
        <v>112</v>
      </c>
      <c r="AC2920" s="130"/>
      <c r="AD2920" s="130">
        <v>34230</v>
      </c>
      <c r="AE2920" s="128" t="s">
        <v>32</v>
      </c>
      <c r="AF2920" s="128" t="s">
        <v>40</v>
      </c>
      <c r="AG2920" s="128" t="s">
        <v>41</v>
      </c>
      <c r="AH2920" s="108" t="s">
        <v>31</v>
      </c>
      <c r="AI2920" s="128" t="s">
        <v>71</v>
      </c>
      <c r="AJ2920" s="129" t="s">
        <v>48</v>
      </c>
      <c r="AK2920" s="129">
        <v>3</v>
      </c>
      <c r="AL2920" s="3" t="s">
        <v>48</v>
      </c>
      <c r="AP2920" s="129" t="s">
        <v>56</v>
      </c>
      <c r="AR2920" s="128" t="s">
        <v>50</v>
      </c>
      <c r="AS2920" s="129" t="s">
        <v>57</v>
      </c>
      <c r="BC2920" s="129" t="s">
        <v>52</v>
      </c>
      <c r="BF2920" s="111">
        <f t="shared" si="2133"/>
        <v>57</v>
      </c>
      <c r="BG2920" s="111">
        <f t="shared" si="2134"/>
        <v>57</v>
      </c>
      <c r="BH2920" s="111">
        <f t="shared" si="2104"/>
        <v>57</v>
      </c>
      <c r="BI2920" s="111">
        <f t="shared" si="2106"/>
        <v>18.431693989071039</v>
      </c>
      <c r="BJ2920" s="129">
        <f>G2920-J2920-M2920</f>
        <v>0</v>
      </c>
      <c r="BK2920" s="129">
        <f t="shared" si="2105"/>
        <v>0</v>
      </c>
      <c r="BL2920" s="129" t="str">
        <f t="shared" si="2098"/>
        <v>DEFERRED</v>
      </c>
      <c r="BM2920" s="129" t="str">
        <f>O2920</f>
        <v>NONE</v>
      </c>
      <c r="BN2920" s="129" t="s">
        <v>566</v>
      </c>
      <c r="BP2920" s="137" t="str">
        <f t="shared" si="2107"/>
        <v>DEFERRED</v>
      </c>
      <c r="BQ2920" s="128" t="str">
        <f t="shared" si="2116"/>
        <v>Y</v>
      </c>
      <c r="BR2920" s="129" t="str">
        <f t="shared" si="2108"/>
        <v>DETAINED</v>
      </c>
      <c r="BS2920" s="129" t="str">
        <f t="shared" si="2109"/>
        <v>DISPOSED</v>
      </c>
      <c r="BT2920" s="129" t="str">
        <f t="shared" si="2110"/>
        <v>N</v>
      </c>
      <c r="BU2920" s="109">
        <f t="shared" si="2111"/>
        <v>1</v>
      </c>
      <c r="BV2920" s="109">
        <f t="shared" si="2117"/>
        <v>1</v>
      </c>
      <c r="BW2920" s="109">
        <f t="shared" si="2127"/>
        <v>0</v>
      </c>
      <c r="BX2920" s="111">
        <f t="shared" si="2112"/>
        <v>0</v>
      </c>
      <c r="BY2920" s="129">
        <f t="shared" si="2118"/>
        <v>-57</v>
      </c>
      <c r="BZ2920" s="111">
        <f t="shared" si="2119"/>
        <v>0</v>
      </c>
      <c r="CA2920" s="138">
        <f t="shared" si="2120"/>
        <v>57</v>
      </c>
      <c r="CB2920" s="111" t="e">
        <f t="shared" si="2135"/>
        <v>#VALUE!</v>
      </c>
      <c r="CC2920" s="129">
        <f>G2920-I2920+1</f>
        <v>57</v>
      </c>
      <c r="CD2920" s="129">
        <f>G2920-J2920</f>
        <v>0</v>
      </c>
      <c r="CG2920" s="129" t="str">
        <f t="shared" si="2121"/>
        <v>N</v>
      </c>
      <c r="CI2920" s="129" t="str">
        <f t="shared" si="2122"/>
        <v>31-60 DAYS</v>
      </c>
      <c r="CJ2920" s="137">
        <f t="shared" si="2123"/>
        <v>3</v>
      </c>
      <c r="CK2920" s="129" t="str">
        <f t="shared" si="2124"/>
        <v>Booked</v>
      </c>
    </row>
    <row r="2921" spans="1:89" ht="15.75" customHeight="1" x14ac:dyDescent="0.25">
      <c r="A2921" s="111">
        <v>1809</v>
      </c>
      <c r="B2921" s="128" t="str">
        <f t="shared" si="2113"/>
        <v>N</v>
      </c>
      <c r="C2921" s="128" t="str">
        <f t="shared" si="2114"/>
        <v>N</v>
      </c>
      <c r="D2921" s="117">
        <v>2608409</v>
      </c>
      <c r="E2921" s="135">
        <f t="shared" si="2115"/>
        <v>1</v>
      </c>
      <c r="F2921" s="124">
        <v>40976</v>
      </c>
      <c r="G2921" s="125">
        <v>40977</v>
      </c>
      <c r="H2921" s="117">
        <v>2608409</v>
      </c>
      <c r="I2921" s="124">
        <v>40976</v>
      </c>
      <c r="J2921" s="124">
        <v>40977</v>
      </c>
      <c r="K2921" s="126">
        <v>5000</v>
      </c>
      <c r="L2921" s="127" t="s">
        <v>569</v>
      </c>
      <c r="N2921" s="129" t="str">
        <f t="shared" si="2132"/>
        <v>N</v>
      </c>
      <c r="O2921" s="128" t="s">
        <v>917</v>
      </c>
      <c r="P2921" s="129" t="s">
        <v>55</v>
      </c>
      <c r="Q2921" s="111">
        <f t="shared" si="2126"/>
        <v>2</v>
      </c>
      <c r="R2921" s="111">
        <f t="shared" si="2103"/>
        <v>2</v>
      </c>
      <c r="S2921" s="129">
        <v>0</v>
      </c>
      <c r="T2921" s="129">
        <v>0</v>
      </c>
      <c r="W2921" s="111"/>
      <c r="AB2921" s="131" t="s">
        <v>112</v>
      </c>
      <c r="AC2921" s="130"/>
      <c r="AD2921" s="130">
        <v>29624</v>
      </c>
      <c r="AE2921" s="128" t="s">
        <v>46</v>
      </c>
      <c r="AF2921" s="128" t="s">
        <v>40</v>
      </c>
      <c r="AG2921" s="128" t="s">
        <v>41</v>
      </c>
      <c r="AH2921" s="108" t="s">
        <v>31</v>
      </c>
      <c r="AI2921" s="128" t="s">
        <v>42</v>
      </c>
      <c r="AJ2921" s="129" t="s">
        <v>55</v>
      </c>
      <c r="AK2921" s="129">
        <v>1</v>
      </c>
      <c r="AL2921" s="3" t="s">
        <v>55</v>
      </c>
      <c r="AP2921" s="129" t="s">
        <v>111</v>
      </c>
      <c r="AR2921" s="128" t="s">
        <v>67</v>
      </c>
      <c r="AS2921" s="129" t="s">
        <v>45</v>
      </c>
      <c r="BC2921" s="129" t="s">
        <v>38</v>
      </c>
      <c r="BF2921" s="111">
        <f t="shared" si="2133"/>
        <v>2</v>
      </c>
      <c r="BG2921" s="111">
        <f t="shared" si="2134"/>
        <v>2</v>
      </c>
      <c r="BH2921" s="111">
        <f t="shared" si="2104"/>
        <v>2</v>
      </c>
      <c r="BI2921" s="111">
        <f t="shared" si="2106"/>
        <v>31.016393442622952</v>
      </c>
      <c r="BJ2921" s="129">
        <f>G2921-J2921-M2921</f>
        <v>0</v>
      </c>
      <c r="BK2921" s="129">
        <f t="shared" si="2105"/>
        <v>0</v>
      </c>
      <c r="BL2921" s="129" t="str">
        <f t="shared" si="2098"/>
        <v>NO CONVICTION</v>
      </c>
      <c r="BM2921" s="129" t="str">
        <f>O2921</f>
        <v>NONE</v>
      </c>
      <c r="BN2921" s="129" t="s">
        <v>566</v>
      </c>
      <c r="BP2921" s="137" t="str">
        <f t="shared" si="2107"/>
        <v>NO CONVICTION</v>
      </c>
      <c r="BQ2921" s="128" t="str">
        <f t="shared" si="2116"/>
        <v>Y</v>
      </c>
      <c r="BR2921" s="129" t="str">
        <f t="shared" si="2108"/>
        <v>DETAINED</v>
      </c>
      <c r="BS2921" s="129" t="str">
        <f t="shared" si="2109"/>
        <v>DISPOSED</v>
      </c>
      <c r="BT2921" s="129" t="str">
        <f t="shared" si="2110"/>
        <v>N</v>
      </c>
      <c r="BU2921" s="109">
        <f>IFERROR(Q2921/R2921,BR2921)</f>
        <v>1</v>
      </c>
      <c r="BV2921" s="109">
        <f t="shared" si="2117"/>
        <v>1</v>
      </c>
      <c r="BW2921" s="109">
        <f t="shared" si="2127"/>
        <v>0</v>
      </c>
      <c r="BX2921" s="111">
        <f t="shared" si="2112"/>
        <v>0</v>
      </c>
      <c r="BY2921" s="129">
        <f t="shared" si="2118"/>
        <v>-2</v>
      </c>
      <c r="BZ2921" s="111">
        <f t="shared" si="2119"/>
        <v>0</v>
      </c>
      <c r="CA2921" s="138">
        <f t="shared" si="2120"/>
        <v>2</v>
      </c>
      <c r="CB2921" s="111" t="e">
        <f t="shared" si="2135"/>
        <v>#VALUE!</v>
      </c>
      <c r="CC2921" s="129">
        <f>G2921-I2921+1</f>
        <v>2</v>
      </c>
      <c r="CD2921" s="129">
        <f>G2921-J2921</f>
        <v>0</v>
      </c>
      <c r="CG2921" s="129" t="str">
        <f t="shared" si="2121"/>
        <v>N</v>
      </c>
      <c r="CI2921" s="129" t="str">
        <f t="shared" si="2122"/>
        <v>0-10 DAYS</v>
      </c>
      <c r="CJ2921" s="137">
        <f t="shared" si="2123"/>
        <v>1</v>
      </c>
      <c r="CK2921" s="129" t="str">
        <f t="shared" si="2124"/>
        <v>Booked</v>
      </c>
    </row>
    <row r="2922" spans="1:89" ht="15.75" customHeight="1" x14ac:dyDescent="0.25">
      <c r="A2922" s="111">
        <v>1811</v>
      </c>
      <c r="B2922" s="128" t="str">
        <f t="shared" si="2113"/>
        <v>N</v>
      </c>
      <c r="C2922" s="128" t="str">
        <f t="shared" si="2114"/>
        <v>N</v>
      </c>
      <c r="D2922" s="117">
        <v>2608450</v>
      </c>
      <c r="E2922" s="135">
        <f t="shared" si="2115"/>
        <v>2</v>
      </c>
      <c r="F2922" s="124">
        <v>40976</v>
      </c>
      <c r="G2922" s="125">
        <v>41332</v>
      </c>
      <c r="H2922" s="117">
        <v>2608450</v>
      </c>
      <c r="I2922" s="124" t="s">
        <v>562</v>
      </c>
      <c r="J2922" s="124" t="s">
        <v>562</v>
      </c>
      <c r="K2922" s="126">
        <v>2000</v>
      </c>
      <c r="L2922" s="127" t="s">
        <v>568</v>
      </c>
      <c r="M2922" s="125">
        <v>40977</v>
      </c>
      <c r="N2922" s="129" t="str">
        <f>IF(M2922&gt;1/1/1,"Y",IF(Q2922="0","","N"))</f>
        <v>Y</v>
      </c>
      <c r="O2922" s="128" t="s">
        <v>76</v>
      </c>
      <c r="P2922" s="129" t="s">
        <v>589</v>
      </c>
      <c r="Q2922" s="111">
        <f t="shared" si="2126"/>
        <v>0</v>
      </c>
      <c r="R2922" s="111">
        <f t="shared" si="2103"/>
        <v>357</v>
      </c>
      <c r="S2922" s="129">
        <v>0</v>
      </c>
      <c r="T2922" s="129">
        <v>0</v>
      </c>
      <c r="W2922" s="111"/>
      <c r="AC2922" s="130"/>
      <c r="AD2922" s="130">
        <v>30799</v>
      </c>
      <c r="AE2922" s="128" t="s">
        <v>32</v>
      </c>
      <c r="AF2922" s="128" t="s">
        <v>33</v>
      </c>
      <c r="AG2922" s="128" t="s">
        <v>872</v>
      </c>
      <c r="AH2922" s="108" t="s">
        <v>31</v>
      </c>
      <c r="AI2922" s="128" t="s">
        <v>100</v>
      </c>
      <c r="AJ2922" s="129" t="s">
        <v>48</v>
      </c>
      <c r="AK2922" s="129">
        <v>13</v>
      </c>
      <c r="AL2922" s="3" t="s">
        <v>48</v>
      </c>
      <c r="AP2922" s="129" t="s">
        <v>175</v>
      </c>
      <c r="AR2922" s="128" t="s">
        <v>44</v>
      </c>
      <c r="AS2922" s="129" t="s">
        <v>45</v>
      </c>
      <c r="BC2922" s="129" t="s">
        <v>52</v>
      </c>
      <c r="BF2922" s="111">
        <v>0</v>
      </c>
      <c r="BG2922" s="111">
        <v>0</v>
      </c>
      <c r="BH2922" s="111">
        <f t="shared" si="2104"/>
        <v>357</v>
      </c>
      <c r="BI2922" s="111">
        <f t="shared" si="2106"/>
        <v>27.806010928961747</v>
      </c>
      <c r="BJ2922" s="129" t="e">
        <f>(G2922-J2922)+(M2922-G2922)</f>
        <v>#VALUE!</v>
      </c>
      <c r="BK2922" s="129" t="e">
        <f t="shared" si="2105"/>
        <v>#VALUE!</v>
      </c>
      <c r="BL2922" s="129" t="str">
        <f t="shared" si="2098"/>
        <v>DEFERRED</v>
      </c>
      <c r="BM2922" s="129" t="s">
        <v>76</v>
      </c>
      <c r="BN2922" s="129" t="s">
        <v>88</v>
      </c>
      <c r="BP2922" s="137" t="str">
        <f t="shared" si="2107"/>
        <v>DEFERRED</v>
      </c>
      <c r="BQ2922" s="128">
        <f t="shared" si="2116"/>
        <v>0</v>
      </c>
      <c r="BR2922" s="129" t="s">
        <v>575</v>
      </c>
      <c r="BS2922" s="129" t="str">
        <f t="shared" si="2109"/>
        <v>DISPOSED</v>
      </c>
      <c r="BT2922" s="129" t="str">
        <f t="shared" si="2110"/>
        <v>N</v>
      </c>
      <c r="BU2922" s="109">
        <f t="shared" si="2111"/>
        <v>0</v>
      </c>
      <c r="BV2922" s="109">
        <v>0</v>
      </c>
      <c r="BW2922" s="109">
        <f t="shared" si="2127"/>
        <v>0</v>
      </c>
      <c r="BX2922" s="111">
        <f t="shared" si="2112"/>
        <v>0</v>
      </c>
      <c r="BY2922" s="129" t="e">
        <f t="shared" si="2118"/>
        <v>#VALUE!</v>
      </c>
      <c r="BZ2922" s="111" t="e">
        <f t="shared" si="2119"/>
        <v>#VALUE!</v>
      </c>
      <c r="CA2922" s="138" t="e">
        <f t="shared" si="2120"/>
        <v>#VALUE!</v>
      </c>
      <c r="CB2922" s="111">
        <v>0</v>
      </c>
      <c r="CC2922" s="129">
        <v>0</v>
      </c>
      <c r="CD2922" s="111">
        <f>CC2922-BF2922</f>
        <v>0</v>
      </c>
      <c r="CG2922" s="129" t="str">
        <f t="shared" si="2121"/>
        <v>N</v>
      </c>
      <c r="CI2922" s="129" t="str">
        <f t="shared" si="2122"/>
        <v>0-10 DAYS</v>
      </c>
      <c r="CJ2922" s="137">
        <f t="shared" si="2123"/>
        <v>1</v>
      </c>
      <c r="CK2922" s="129" t="str">
        <f t="shared" si="2124"/>
        <v>Not Booked</v>
      </c>
    </row>
    <row r="2923" spans="1:89" ht="15.75" customHeight="1" x14ac:dyDescent="0.25">
      <c r="A2923" s="111">
        <v>1820</v>
      </c>
      <c r="B2923" s="128" t="str">
        <f t="shared" si="2113"/>
        <v>N</v>
      </c>
      <c r="C2923" s="128" t="str">
        <f t="shared" si="2114"/>
        <v>N</v>
      </c>
      <c r="D2923" s="117">
        <v>2608587</v>
      </c>
      <c r="E2923" s="135">
        <f t="shared" si="2115"/>
        <v>4</v>
      </c>
      <c r="F2923" s="124">
        <v>40976</v>
      </c>
      <c r="G2923" s="125">
        <v>41124</v>
      </c>
      <c r="H2923" s="117">
        <v>2608587</v>
      </c>
      <c r="I2923" s="124">
        <v>40977</v>
      </c>
      <c r="J2923" s="124">
        <v>40990</v>
      </c>
      <c r="K2923" s="126">
        <v>4000</v>
      </c>
      <c r="L2923" s="127" t="s">
        <v>569</v>
      </c>
      <c r="M2923" s="125">
        <v>40990</v>
      </c>
      <c r="N2923" s="129" t="str">
        <f>IF(M2923&gt;1/1/1,"Y","N")</f>
        <v>Y</v>
      </c>
      <c r="O2923" s="128" t="s">
        <v>584</v>
      </c>
      <c r="P2923" s="129" t="s">
        <v>39</v>
      </c>
      <c r="Q2923" s="111">
        <f t="shared" si="2126"/>
        <v>14</v>
      </c>
      <c r="R2923" s="111">
        <f t="shared" si="2103"/>
        <v>149</v>
      </c>
      <c r="S2923" s="129">
        <v>0</v>
      </c>
      <c r="T2923" s="129">
        <v>0</v>
      </c>
      <c r="W2923" s="111"/>
      <c r="AC2923" s="130"/>
      <c r="AD2923" s="130">
        <v>32649</v>
      </c>
      <c r="AE2923" s="128" t="s">
        <v>32</v>
      </c>
      <c r="AF2923" s="128" t="s">
        <v>138</v>
      </c>
      <c r="AG2923" s="128" t="s">
        <v>873</v>
      </c>
      <c r="AH2923" s="108" t="s">
        <v>31</v>
      </c>
      <c r="AI2923" s="128" t="s">
        <v>70</v>
      </c>
      <c r="AJ2923" s="129" t="s">
        <v>89</v>
      </c>
      <c r="AK2923" s="129">
        <v>8</v>
      </c>
      <c r="AL2923" s="3" t="s">
        <v>991</v>
      </c>
      <c r="AO2923" s="128">
        <v>179</v>
      </c>
      <c r="AP2923" s="129" t="s">
        <v>227</v>
      </c>
      <c r="AR2923" s="128" t="s">
        <v>44</v>
      </c>
      <c r="AS2923" s="129" t="s">
        <v>64</v>
      </c>
      <c r="BC2923" s="129" t="s">
        <v>52</v>
      </c>
      <c r="BF2923" s="111">
        <f t="shared" ref="BF2923:BF2929" si="2136">IF(J2923&gt;1/1/1900,((J2923+1)-I2923),"STILL OPEN")</f>
        <v>14</v>
      </c>
      <c r="BG2923" s="111">
        <f t="shared" ref="BG2923:BG2929" si="2137">IF(G2923&gt;1/1/1900,((G2923+1)-I2923),"STILL OPEN")</f>
        <v>148</v>
      </c>
      <c r="BH2923" s="111">
        <f t="shared" si="2104"/>
        <v>149</v>
      </c>
      <c r="BI2923" s="111">
        <f t="shared" si="2106"/>
        <v>22.751366120218581</v>
      </c>
      <c r="BJ2923" s="129">
        <f>(G2923-J2923)+(M2923-G2923)</f>
        <v>0</v>
      </c>
      <c r="BK2923" s="129">
        <f t="shared" si="2105"/>
        <v>-134</v>
      </c>
      <c r="BL2923" s="129" t="str">
        <f t="shared" si="2098"/>
        <v>CONVICTION</v>
      </c>
      <c r="BM2923" s="129" t="s">
        <v>583</v>
      </c>
      <c r="BN2923" s="129" t="s">
        <v>88</v>
      </c>
      <c r="BP2923" s="137" t="str">
        <f t="shared" si="2107"/>
        <v>CONVICTION</v>
      </c>
      <c r="BQ2923" s="128" t="str">
        <f t="shared" si="2116"/>
        <v>Y</v>
      </c>
      <c r="BR2923" s="129" t="str">
        <f>IF(J2923&lt;G2923,"ON BOND",0)</f>
        <v>ON BOND</v>
      </c>
      <c r="BS2923" s="129" t="str">
        <f t="shared" si="2109"/>
        <v>DISPOSED</v>
      </c>
      <c r="BT2923" s="129" t="str">
        <f t="shared" si="2110"/>
        <v>N</v>
      </c>
      <c r="BU2923" s="109">
        <f t="shared" si="2111"/>
        <v>9.3959731543624164E-2</v>
      </c>
      <c r="BV2923" s="109">
        <f t="shared" si="2117"/>
        <v>9.45945945945946E-2</v>
      </c>
      <c r="BW2923" s="109">
        <f t="shared" si="2127"/>
        <v>6.3486305097043561E-4</v>
      </c>
      <c r="BX2923" s="111">
        <f t="shared" si="2112"/>
        <v>0</v>
      </c>
      <c r="BY2923" s="129">
        <f t="shared" si="2118"/>
        <v>-14</v>
      </c>
      <c r="BZ2923" s="111">
        <f t="shared" si="2119"/>
        <v>0</v>
      </c>
      <c r="CA2923" s="138">
        <f t="shared" si="2120"/>
        <v>14</v>
      </c>
      <c r="CB2923" s="111" t="e">
        <f t="shared" ref="CB2923:CB2929" si="2138">IF(AF2923&gt;1/1/1900,((AF2923+1)-AE2923),"STILL OPEN")</f>
        <v>#VALUE!</v>
      </c>
      <c r="CC2923" s="129">
        <f>M2923-I2923+1</f>
        <v>14</v>
      </c>
      <c r="CD2923" s="111">
        <f>CC2923-BF2923</f>
        <v>0</v>
      </c>
      <c r="CG2923" s="129" t="str">
        <f t="shared" si="2121"/>
        <v>N</v>
      </c>
      <c r="CI2923" s="129" t="str">
        <f t="shared" si="2122"/>
        <v>11-30 DAYS</v>
      </c>
      <c r="CJ2923" s="137">
        <f t="shared" si="2123"/>
        <v>2</v>
      </c>
      <c r="CK2923" s="129" t="str">
        <f t="shared" si="2124"/>
        <v>Booked</v>
      </c>
    </row>
    <row r="2924" spans="1:89" ht="15.75" customHeight="1" x14ac:dyDescent="0.25">
      <c r="A2924" s="111">
        <v>1829</v>
      </c>
      <c r="B2924" s="128" t="str">
        <f t="shared" si="2113"/>
        <v>N</v>
      </c>
      <c r="C2924" s="128" t="str">
        <f t="shared" si="2114"/>
        <v>N</v>
      </c>
      <c r="D2924" s="117">
        <v>2608597</v>
      </c>
      <c r="E2924" s="135">
        <f t="shared" si="2115"/>
        <v>6</v>
      </c>
      <c r="F2924" s="124">
        <v>40976</v>
      </c>
      <c r="G2924" s="125">
        <v>40980</v>
      </c>
      <c r="H2924" s="117">
        <v>2608597</v>
      </c>
      <c r="I2924" s="124">
        <v>40977</v>
      </c>
      <c r="J2924" s="124">
        <v>40980</v>
      </c>
      <c r="K2924" s="126" t="s">
        <v>564</v>
      </c>
      <c r="L2924" s="127" t="s">
        <v>564</v>
      </c>
      <c r="N2924" s="129" t="s">
        <v>566</v>
      </c>
      <c r="O2924" s="128" t="s">
        <v>917</v>
      </c>
      <c r="P2924" s="129" t="s">
        <v>39</v>
      </c>
      <c r="Q2924" s="111">
        <f t="shared" ref="Q2924:Q2955" si="2139">BF2924</f>
        <v>4</v>
      </c>
      <c r="R2924" s="111">
        <f t="shared" si="2103"/>
        <v>5</v>
      </c>
      <c r="S2924" s="129">
        <v>0</v>
      </c>
      <c r="T2924" s="129">
        <v>0</v>
      </c>
      <c r="W2924" s="111"/>
      <c r="AC2924" s="130"/>
      <c r="AD2924" s="130">
        <v>17404</v>
      </c>
      <c r="AE2924" s="128" t="s">
        <v>32</v>
      </c>
      <c r="AF2924" s="128" t="s">
        <v>69</v>
      </c>
      <c r="AG2924" s="128" t="s">
        <v>874</v>
      </c>
      <c r="AH2924" s="108" t="s">
        <v>31</v>
      </c>
      <c r="AI2924" s="128" t="s">
        <v>59</v>
      </c>
      <c r="AJ2924" s="129" t="s">
        <v>89</v>
      </c>
      <c r="AK2924" s="129">
        <v>1</v>
      </c>
      <c r="AL2924" s="3" t="s">
        <v>362</v>
      </c>
      <c r="AM2924" s="117">
        <v>2</v>
      </c>
      <c r="AP2924" s="129" t="s">
        <v>124</v>
      </c>
      <c r="AR2924" s="128" t="s">
        <v>67</v>
      </c>
      <c r="AS2924" s="129" t="s">
        <v>45</v>
      </c>
      <c r="BC2924" s="129" t="s">
        <v>38</v>
      </c>
      <c r="BF2924" s="111">
        <f t="shared" si="2136"/>
        <v>4</v>
      </c>
      <c r="BG2924" s="111">
        <f t="shared" si="2137"/>
        <v>4</v>
      </c>
      <c r="BH2924" s="111">
        <f t="shared" si="2104"/>
        <v>5</v>
      </c>
      <c r="BI2924" s="111">
        <f t="shared" si="2106"/>
        <v>64.404371584699447</v>
      </c>
      <c r="BJ2924" s="129">
        <f>G2924-J2924-M2924</f>
        <v>0</v>
      </c>
      <c r="BK2924" s="129">
        <f t="shared" si="2105"/>
        <v>0</v>
      </c>
      <c r="BL2924" s="129" t="str">
        <f t="shared" si="2098"/>
        <v>CONVICTION</v>
      </c>
      <c r="BM2924" s="129" t="str">
        <f>O2924</f>
        <v>NONE</v>
      </c>
      <c r="BN2924" s="129" t="s">
        <v>566</v>
      </c>
      <c r="BP2924" s="137" t="str">
        <f t="shared" si="2107"/>
        <v>CONVICTION</v>
      </c>
      <c r="BQ2924" s="128" t="str">
        <f t="shared" si="2116"/>
        <v>Y</v>
      </c>
      <c r="BR2924" s="129" t="str">
        <f t="shared" si="2108"/>
        <v>DETAINED</v>
      </c>
      <c r="BS2924" s="129" t="str">
        <f t="shared" si="2109"/>
        <v>DISPOSED</v>
      </c>
      <c r="BT2924" s="129" t="str">
        <f t="shared" si="2110"/>
        <v>N</v>
      </c>
      <c r="BU2924" s="109">
        <f t="shared" si="2111"/>
        <v>0.8</v>
      </c>
      <c r="BV2924" s="109">
        <f t="shared" si="2117"/>
        <v>1</v>
      </c>
      <c r="BW2924" s="109">
        <f t="shared" si="2127"/>
        <v>0.19999999999999996</v>
      </c>
      <c r="BX2924" s="111">
        <f t="shared" si="2112"/>
        <v>0</v>
      </c>
      <c r="BY2924" s="129">
        <f t="shared" si="2118"/>
        <v>-4</v>
      </c>
      <c r="BZ2924" s="111">
        <f t="shared" si="2119"/>
        <v>0</v>
      </c>
      <c r="CA2924" s="138">
        <f t="shared" si="2120"/>
        <v>4</v>
      </c>
      <c r="CB2924" s="111" t="e">
        <f t="shared" si="2138"/>
        <v>#VALUE!</v>
      </c>
      <c r="CC2924" s="129">
        <f>G2924-I2924+1</f>
        <v>4</v>
      </c>
      <c r="CD2924" s="129">
        <f>G2924-J2924</f>
        <v>0</v>
      </c>
      <c r="CG2924" s="129" t="str">
        <f t="shared" si="2121"/>
        <v>N</v>
      </c>
      <c r="CI2924" s="129" t="str">
        <f t="shared" si="2122"/>
        <v>0-10 DAYS</v>
      </c>
      <c r="CJ2924" s="137">
        <f t="shared" si="2123"/>
        <v>1</v>
      </c>
      <c r="CK2924" s="129" t="str">
        <f t="shared" si="2124"/>
        <v>Booked</v>
      </c>
    </row>
    <row r="2925" spans="1:89" ht="15" customHeight="1" x14ac:dyDescent="0.25">
      <c r="A2925" s="111">
        <v>1844</v>
      </c>
      <c r="B2925" s="128" t="str">
        <f t="shared" si="2113"/>
        <v>N</v>
      </c>
      <c r="C2925" s="128" t="str">
        <f t="shared" si="2114"/>
        <v>N</v>
      </c>
      <c r="D2925" s="117">
        <v>2608628</v>
      </c>
      <c r="E2925" s="135">
        <f t="shared" si="2115"/>
        <v>1</v>
      </c>
      <c r="F2925" s="124">
        <v>40977</v>
      </c>
      <c r="G2925" s="125">
        <v>41100</v>
      </c>
      <c r="H2925" s="117">
        <v>2608628</v>
      </c>
      <c r="I2925" s="124">
        <v>40977</v>
      </c>
      <c r="J2925" s="124">
        <v>40981</v>
      </c>
      <c r="K2925" s="126">
        <v>10000</v>
      </c>
      <c r="L2925" s="127" t="s">
        <v>570</v>
      </c>
      <c r="M2925" s="125">
        <v>40981</v>
      </c>
      <c r="N2925" s="129" t="str">
        <f>IF(M2925&gt;1/1/1,"Y","N")</f>
        <v>Y</v>
      </c>
      <c r="O2925" s="128" t="s">
        <v>585</v>
      </c>
      <c r="P2925" s="129" t="s">
        <v>55</v>
      </c>
      <c r="Q2925" s="111">
        <f t="shared" si="2139"/>
        <v>5</v>
      </c>
      <c r="R2925" s="111">
        <f t="shared" si="2103"/>
        <v>124</v>
      </c>
      <c r="S2925" s="129">
        <v>0</v>
      </c>
      <c r="T2925" s="129">
        <v>0</v>
      </c>
      <c r="W2925" s="111"/>
      <c r="AB2925" s="131" t="s">
        <v>112</v>
      </c>
      <c r="AC2925" s="130"/>
      <c r="AD2925" s="130">
        <v>34349</v>
      </c>
      <c r="AE2925" s="128" t="s">
        <v>32</v>
      </c>
      <c r="AF2925" s="128" t="s">
        <v>40</v>
      </c>
      <c r="AG2925" s="128" t="s">
        <v>41</v>
      </c>
      <c r="AH2925" s="108" t="s">
        <v>31</v>
      </c>
      <c r="AI2925" s="128" t="s">
        <v>71</v>
      </c>
      <c r="AJ2925" s="129" t="s">
        <v>55</v>
      </c>
      <c r="AK2925" s="129">
        <v>5</v>
      </c>
      <c r="AL2925" s="3" t="s">
        <v>55</v>
      </c>
      <c r="AP2925" s="129" t="s">
        <v>56</v>
      </c>
      <c r="AR2925" s="128" t="s">
        <v>50</v>
      </c>
      <c r="AS2925" s="129" t="s">
        <v>57</v>
      </c>
      <c r="AT2925" s="129" t="s">
        <v>380</v>
      </c>
      <c r="BC2925" s="129" t="s">
        <v>52</v>
      </c>
      <c r="BF2925" s="111">
        <f t="shared" si="2136"/>
        <v>5</v>
      </c>
      <c r="BG2925" s="111">
        <f t="shared" si="2137"/>
        <v>124</v>
      </c>
      <c r="BH2925" s="111">
        <f t="shared" si="2104"/>
        <v>124</v>
      </c>
      <c r="BI2925" s="111">
        <f t="shared" si="2106"/>
        <v>18.10928961748634</v>
      </c>
      <c r="BJ2925" s="129">
        <f>(G2925-J2925)+(M2925-G2925)</f>
        <v>0</v>
      </c>
      <c r="BK2925" s="129">
        <f t="shared" si="2105"/>
        <v>-119</v>
      </c>
      <c r="BL2925" s="129" t="str">
        <f t="shared" si="2098"/>
        <v>NO CONVICTION</v>
      </c>
      <c r="BM2925" s="129" t="s">
        <v>76</v>
      </c>
      <c r="BN2925" s="129" t="s">
        <v>88</v>
      </c>
      <c r="BP2925" s="137" t="str">
        <f t="shared" si="2107"/>
        <v>NO CONVICTION</v>
      </c>
      <c r="BQ2925" s="128" t="str">
        <f t="shared" si="2116"/>
        <v>Y</v>
      </c>
      <c r="BR2925" s="129" t="str">
        <f t="shared" si="2108"/>
        <v>ON BOND</v>
      </c>
      <c r="BS2925" s="129" t="str">
        <f t="shared" si="2109"/>
        <v>DISPOSED</v>
      </c>
      <c r="BT2925" s="129" t="str">
        <f t="shared" si="2110"/>
        <v>N</v>
      </c>
      <c r="BU2925" s="109">
        <f>IFERROR(Q2925/R2925,BR2925)</f>
        <v>4.0322580645161289E-2</v>
      </c>
      <c r="BV2925" s="109">
        <f t="shared" si="2117"/>
        <v>4.0322580645161289E-2</v>
      </c>
      <c r="BW2925" s="109">
        <f t="shared" si="2127"/>
        <v>0</v>
      </c>
      <c r="BX2925" s="111">
        <f t="shared" si="2112"/>
        <v>0</v>
      </c>
      <c r="BY2925" s="129">
        <f t="shared" si="2118"/>
        <v>-5</v>
      </c>
      <c r="BZ2925" s="111">
        <f t="shared" si="2119"/>
        <v>0</v>
      </c>
      <c r="CA2925" s="138">
        <f t="shared" si="2120"/>
        <v>5</v>
      </c>
      <c r="CB2925" s="111" t="e">
        <f t="shared" si="2138"/>
        <v>#VALUE!</v>
      </c>
      <c r="CC2925" s="129">
        <f>M2925-I2925+1</f>
        <v>5</v>
      </c>
      <c r="CD2925" s="111">
        <f>CC2925-BF2925</f>
        <v>0</v>
      </c>
      <c r="CG2925" s="129" t="str">
        <f t="shared" si="2121"/>
        <v>N</v>
      </c>
      <c r="CI2925" s="129" t="str">
        <f t="shared" si="2122"/>
        <v>0-10 DAYS</v>
      </c>
      <c r="CJ2925" s="137">
        <f t="shared" si="2123"/>
        <v>1</v>
      </c>
      <c r="CK2925" s="129" t="str">
        <f t="shared" si="2124"/>
        <v>Booked</v>
      </c>
    </row>
    <row r="2926" spans="1:89" ht="15.75" customHeight="1" x14ac:dyDescent="0.25">
      <c r="A2926" s="111">
        <v>1846</v>
      </c>
      <c r="B2926" s="128" t="str">
        <f t="shared" si="2113"/>
        <v>N</v>
      </c>
      <c r="C2926" s="128" t="str">
        <f t="shared" si="2114"/>
        <v>N</v>
      </c>
      <c r="D2926" s="117">
        <v>2608639</v>
      </c>
      <c r="E2926" s="135">
        <f t="shared" si="2115"/>
        <v>2</v>
      </c>
      <c r="F2926" s="124">
        <v>40977</v>
      </c>
      <c r="G2926" s="125">
        <v>41165</v>
      </c>
      <c r="H2926" s="117">
        <v>2608639</v>
      </c>
      <c r="I2926" s="124">
        <v>40977</v>
      </c>
      <c r="J2926" s="124">
        <v>40978</v>
      </c>
      <c r="K2926" s="126">
        <v>5000</v>
      </c>
      <c r="L2926" s="127" t="s">
        <v>569</v>
      </c>
      <c r="M2926" s="125">
        <v>40978</v>
      </c>
      <c r="N2926" s="129" t="str">
        <f>IF(M2926&gt;1/1/1,"Y","N")</f>
        <v>Y</v>
      </c>
      <c r="O2926" s="128" t="s">
        <v>585</v>
      </c>
      <c r="P2926" s="129" t="s">
        <v>589</v>
      </c>
      <c r="Q2926" s="111">
        <f t="shared" si="2139"/>
        <v>2</v>
      </c>
      <c r="R2926" s="111">
        <f t="shared" si="2103"/>
        <v>189</v>
      </c>
      <c r="S2926" s="129">
        <v>0</v>
      </c>
      <c r="T2926" s="129">
        <v>0</v>
      </c>
      <c r="W2926" s="111"/>
      <c r="AC2926" s="130"/>
      <c r="AD2926" s="130">
        <v>28766</v>
      </c>
      <c r="AE2926" s="128" t="s">
        <v>32</v>
      </c>
      <c r="AF2926" s="128" t="s">
        <v>69</v>
      </c>
      <c r="AG2926" s="128" t="s">
        <v>874</v>
      </c>
      <c r="AH2926" s="108" t="s">
        <v>31</v>
      </c>
      <c r="AI2926" s="128" t="s">
        <v>42</v>
      </c>
      <c r="AJ2926" s="129" t="s">
        <v>48</v>
      </c>
      <c r="AK2926" s="129">
        <v>7</v>
      </c>
      <c r="AL2926" s="3" t="s">
        <v>48</v>
      </c>
      <c r="AP2926" s="129" t="s">
        <v>43</v>
      </c>
      <c r="AR2926" s="128" t="s">
        <v>44</v>
      </c>
      <c r="AS2926" s="129" t="s">
        <v>45</v>
      </c>
      <c r="BC2926" s="129" t="s">
        <v>52</v>
      </c>
      <c r="BE2926" s="123"/>
      <c r="BF2926" s="111">
        <f t="shared" si="2136"/>
        <v>2</v>
      </c>
      <c r="BG2926" s="111">
        <f t="shared" si="2137"/>
        <v>189</v>
      </c>
      <c r="BH2926" s="111">
        <f t="shared" si="2104"/>
        <v>189</v>
      </c>
      <c r="BI2926" s="111">
        <f t="shared" si="2106"/>
        <v>33.363387978142079</v>
      </c>
      <c r="BJ2926" s="129">
        <f>(G2926-J2926)+(M2926-G2926)</f>
        <v>0</v>
      </c>
      <c r="BK2926" s="129">
        <f t="shared" si="2105"/>
        <v>-187</v>
      </c>
      <c r="BL2926" s="129" t="str">
        <f t="shared" si="2098"/>
        <v>DEFERRED</v>
      </c>
      <c r="BM2926" s="129" t="s">
        <v>76</v>
      </c>
      <c r="BN2926" s="129" t="s">
        <v>88</v>
      </c>
      <c r="BP2926" s="137" t="str">
        <f t="shared" si="2107"/>
        <v>DEFERRED</v>
      </c>
      <c r="BQ2926" s="128" t="str">
        <f t="shared" si="2116"/>
        <v>Y</v>
      </c>
      <c r="BR2926" s="129" t="str">
        <f t="shared" si="2108"/>
        <v>ON BOND</v>
      </c>
      <c r="BS2926" s="129" t="str">
        <f t="shared" si="2109"/>
        <v>DISPOSED</v>
      </c>
      <c r="BT2926" s="129" t="str">
        <f t="shared" si="2110"/>
        <v>N</v>
      </c>
      <c r="BU2926" s="109">
        <f t="shared" si="2111"/>
        <v>1.0582010582010581E-2</v>
      </c>
      <c r="BV2926" s="109">
        <f t="shared" si="2117"/>
        <v>1.0582010582010581E-2</v>
      </c>
      <c r="BW2926" s="109">
        <f t="shared" si="2127"/>
        <v>0</v>
      </c>
      <c r="BX2926" s="111">
        <f t="shared" si="2112"/>
        <v>0</v>
      </c>
      <c r="BY2926" s="129">
        <f t="shared" si="2118"/>
        <v>-2</v>
      </c>
      <c r="BZ2926" s="111">
        <f t="shared" si="2119"/>
        <v>0</v>
      </c>
      <c r="CA2926" s="138">
        <f t="shared" si="2120"/>
        <v>2</v>
      </c>
      <c r="CB2926" s="111" t="e">
        <f t="shared" si="2138"/>
        <v>#VALUE!</v>
      </c>
      <c r="CC2926" s="129">
        <f>M2926-I2926+1</f>
        <v>2</v>
      </c>
      <c r="CD2926" s="111">
        <f>CC2926-BF2926</f>
        <v>0</v>
      </c>
      <c r="CG2926" s="129" t="str">
        <f t="shared" si="2121"/>
        <v>N</v>
      </c>
      <c r="CI2926" s="129" t="str">
        <f t="shared" si="2122"/>
        <v>0-10 DAYS</v>
      </c>
      <c r="CJ2926" s="137">
        <f t="shared" si="2123"/>
        <v>1</v>
      </c>
      <c r="CK2926" s="129" t="str">
        <f t="shared" si="2124"/>
        <v>Booked</v>
      </c>
    </row>
    <row r="2927" spans="1:89" ht="15" customHeight="1" x14ac:dyDescent="0.25">
      <c r="A2927" s="111">
        <v>1852</v>
      </c>
      <c r="B2927" s="128" t="str">
        <f t="shared" si="2113"/>
        <v>N</v>
      </c>
      <c r="C2927" s="128" t="str">
        <f t="shared" si="2114"/>
        <v>N</v>
      </c>
      <c r="D2927" s="117">
        <v>2608694</v>
      </c>
      <c r="E2927" s="135">
        <f t="shared" si="2115"/>
        <v>6</v>
      </c>
      <c r="F2927" s="124">
        <v>40977</v>
      </c>
      <c r="G2927" s="125">
        <v>41537</v>
      </c>
      <c r="H2927" s="117">
        <v>2608694</v>
      </c>
      <c r="I2927" s="124">
        <v>40996</v>
      </c>
      <c r="J2927" s="124">
        <v>40998</v>
      </c>
      <c r="K2927" s="126">
        <v>100000</v>
      </c>
      <c r="L2927" s="129" t="s">
        <v>572</v>
      </c>
      <c r="M2927" s="125">
        <v>40998</v>
      </c>
      <c r="N2927" s="129" t="str">
        <f>IF(M2927&gt;1/1/1,"Y","N")</f>
        <v>Y</v>
      </c>
      <c r="O2927" s="128" t="s">
        <v>76</v>
      </c>
      <c r="P2927" s="129" t="s">
        <v>39</v>
      </c>
      <c r="Q2927" s="111">
        <f t="shared" si="2139"/>
        <v>3</v>
      </c>
      <c r="R2927" s="111">
        <f t="shared" si="2103"/>
        <v>561</v>
      </c>
      <c r="S2927" s="129">
        <v>0</v>
      </c>
      <c r="T2927" s="129">
        <v>0</v>
      </c>
      <c r="W2927" s="111"/>
      <c r="AB2927" s="131" t="s">
        <v>112</v>
      </c>
      <c r="AC2927" s="130"/>
      <c r="AD2927" s="130">
        <v>18693</v>
      </c>
      <c r="AE2927" s="128" t="s">
        <v>46</v>
      </c>
      <c r="AF2927" s="128" t="s">
        <v>40</v>
      </c>
      <c r="AG2927" s="128" t="s">
        <v>41</v>
      </c>
      <c r="AH2927" s="108" t="s">
        <v>31</v>
      </c>
      <c r="AI2927" s="128" t="s">
        <v>97</v>
      </c>
      <c r="AJ2927" s="129" t="s">
        <v>89</v>
      </c>
      <c r="AK2927" s="129">
        <v>13</v>
      </c>
      <c r="AL2927" s="3" t="s">
        <v>362</v>
      </c>
      <c r="AM2927" s="117">
        <v>7</v>
      </c>
      <c r="AP2927" s="129" t="s">
        <v>187</v>
      </c>
      <c r="AR2927" s="128" t="s">
        <v>92</v>
      </c>
      <c r="AS2927" s="129" t="s">
        <v>61</v>
      </c>
      <c r="BC2927" s="129" t="s">
        <v>52</v>
      </c>
      <c r="BF2927" s="111">
        <f t="shared" si="2136"/>
        <v>3</v>
      </c>
      <c r="BG2927" s="111">
        <f t="shared" si="2137"/>
        <v>542</v>
      </c>
      <c r="BH2927" s="111">
        <f t="shared" si="2104"/>
        <v>561</v>
      </c>
      <c r="BI2927" s="111">
        <f t="shared" si="2106"/>
        <v>60.885245901639344</v>
      </c>
      <c r="BJ2927" s="129">
        <f>(G2927-J2927)+(M2927-G2927)</f>
        <v>0</v>
      </c>
      <c r="BK2927" s="129">
        <f t="shared" si="2105"/>
        <v>-539</v>
      </c>
      <c r="BL2927" s="129" t="str">
        <f t="shared" si="2098"/>
        <v>CONVICTION</v>
      </c>
      <c r="BM2927" s="129" t="s">
        <v>76</v>
      </c>
      <c r="BN2927" s="129" t="s">
        <v>88</v>
      </c>
      <c r="BP2927" s="137" t="str">
        <f t="shared" si="2107"/>
        <v>CONVICTION</v>
      </c>
      <c r="BQ2927" s="128" t="str">
        <f t="shared" si="2116"/>
        <v>Y</v>
      </c>
      <c r="BR2927" s="129" t="str">
        <f>IF(J2927&lt;G2927,"ON BOND",0)</f>
        <v>ON BOND</v>
      </c>
      <c r="BS2927" s="129" t="str">
        <f t="shared" si="2109"/>
        <v>DISPOSED</v>
      </c>
      <c r="BT2927" s="129" t="str">
        <f t="shared" si="2110"/>
        <v>N</v>
      </c>
      <c r="BU2927" s="109">
        <f t="shared" si="2111"/>
        <v>5.3475935828877002E-3</v>
      </c>
      <c r="BV2927" s="109">
        <f t="shared" si="2117"/>
        <v>5.5350553505535052E-3</v>
      </c>
      <c r="BW2927" s="109">
        <f t="shared" si="2127"/>
        <v>1.8746176766580493E-4</v>
      </c>
      <c r="BX2927" s="111">
        <f t="shared" si="2112"/>
        <v>0</v>
      </c>
      <c r="BY2927" s="129">
        <f t="shared" si="2118"/>
        <v>-3</v>
      </c>
      <c r="BZ2927" s="111">
        <f t="shared" si="2119"/>
        <v>0</v>
      </c>
      <c r="CA2927" s="138">
        <f t="shared" si="2120"/>
        <v>3</v>
      </c>
      <c r="CB2927" s="111" t="e">
        <f t="shared" si="2138"/>
        <v>#VALUE!</v>
      </c>
      <c r="CC2927" s="129">
        <f>M2927-I2927+1</f>
        <v>3</v>
      </c>
      <c r="CD2927" s="111">
        <f>CC2927-BF2927</f>
        <v>0</v>
      </c>
      <c r="CG2927" s="129" t="str">
        <f t="shared" si="2121"/>
        <v>N</v>
      </c>
      <c r="CI2927" s="129" t="str">
        <f t="shared" si="2122"/>
        <v>0-10 DAYS</v>
      </c>
      <c r="CJ2927" s="137">
        <f t="shared" si="2123"/>
        <v>1</v>
      </c>
      <c r="CK2927" s="129" t="str">
        <f t="shared" si="2124"/>
        <v>Booked</v>
      </c>
    </row>
    <row r="2928" spans="1:89" ht="15.75" customHeight="1" x14ac:dyDescent="0.25">
      <c r="A2928" s="111">
        <v>1857</v>
      </c>
      <c r="B2928" s="128" t="str">
        <f t="shared" si="2113"/>
        <v>N</v>
      </c>
      <c r="C2928" s="128" t="str">
        <f t="shared" si="2114"/>
        <v>N</v>
      </c>
      <c r="D2928" s="117">
        <v>2608791</v>
      </c>
      <c r="E2928" s="135">
        <f t="shared" si="2115"/>
        <v>1</v>
      </c>
      <c r="F2928" s="124">
        <v>40977</v>
      </c>
      <c r="G2928" s="125">
        <v>41068</v>
      </c>
      <c r="H2928" s="117">
        <v>2608791</v>
      </c>
      <c r="I2928" s="124">
        <v>40978</v>
      </c>
      <c r="J2928" s="124">
        <v>40982</v>
      </c>
      <c r="K2928" s="126">
        <v>35000</v>
      </c>
      <c r="L2928" s="129" t="s">
        <v>572</v>
      </c>
      <c r="M2928" s="125">
        <v>40982</v>
      </c>
      <c r="N2928" s="129" t="str">
        <f>IF(M2928&gt;1/1/1,"Y","N")</f>
        <v>Y</v>
      </c>
      <c r="O2928" s="128" t="s">
        <v>76</v>
      </c>
      <c r="P2928" s="129" t="s">
        <v>123</v>
      </c>
      <c r="Q2928" s="111">
        <f t="shared" si="2139"/>
        <v>5</v>
      </c>
      <c r="R2928" s="111">
        <f t="shared" si="2103"/>
        <v>92</v>
      </c>
      <c r="S2928" s="129">
        <v>0</v>
      </c>
      <c r="T2928" s="129">
        <v>0</v>
      </c>
      <c r="W2928" s="111"/>
      <c r="AC2928" s="130"/>
      <c r="AD2928" s="130">
        <v>34239</v>
      </c>
      <c r="AE2928" s="128" t="s">
        <v>46</v>
      </c>
      <c r="AF2928" s="128" t="s">
        <v>69</v>
      </c>
      <c r="AG2928" s="128" t="s">
        <v>874</v>
      </c>
      <c r="AH2928" s="108" t="s">
        <v>31</v>
      </c>
      <c r="AI2928" s="128" t="s">
        <v>47</v>
      </c>
      <c r="AJ2928" s="129" t="s">
        <v>123</v>
      </c>
      <c r="AK2928" s="129">
        <v>4</v>
      </c>
      <c r="AL2928" s="3" t="s">
        <v>123</v>
      </c>
      <c r="AP2928" s="129" t="s">
        <v>273</v>
      </c>
      <c r="AR2928" s="128" t="s">
        <v>44</v>
      </c>
      <c r="AS2928" s="129" t="s">
        <v>45</v>
      </c>
      <c r="BC2928" s="129" t="s">
        <v>52</v>
      </c>
      <c r="BF2928" s="111">
        <f t="shared" si="2136"/>
        <v>5</v>
      </c>
      <c r="BG2928" s="111">
        <f t="shared" si="2137"/>
        <v>91</v>
      </c>
      <c r="BH2928" s="111">
        <f t="shared" si="2104"/>
        <v>92</v>
      </c>
      <c r="BI2928" s="111">
        <f t="shared" si="2106"/>
        <v>18.409836065573771</v>
      </c>
      <c r="BJ2928" s="129">
        <f>(G2928-J2928)+(M2928-G2928)</f>
        <v>0</v>
      </c>
      <c r="BK2928" s="129">
        <f t="shared" si="2105"/>
        <v>-86</v>
      </c>
      <c r="BL2928" s="129" t="str">
        <f t="shared" si="2098"/>
        <v>NO CONVICTION</v>
      </c>
      <c r="BM2928" s="129" t="s">
        <v>76</v>
      </c>
      <c r="BN2928" s="129" t="s">
        <v>88</v>
      </c>
      <c r="BP2928" s="137" t="str">
        <f t="shared" si="2107"/>
        <v>NO CONVICTION</v>
      </c>
      <c r="BQ2928" s="128" t="str">
        <f t="shared" si="2116"/>
        <v>Y</v>
      </c>
      <c r="BR2928" s="129" t="str">
        <f t="shared" si="2108"/>
        <v>ON BOND</v>
      </c>
      <c r="BS2928" s="129" t="str">
        <f t="shared" si="2109"/>
        <v>DISPOSED</v>
      </c>
      <c r="BT2928" s="129" t="str">
        <f t="shared" si="2110"/>
        <v>N</v>
      </c>
      <c r="BU2928" s="109">
        <f>IFERROR(Q2928/R2928,BR2928)</f>
        <v>5.434782608695652E-2</v>
      </c>
      <c r="BV2928" s="109">
        <f t="shared" si="2117"/>
        <v>5.4945054945054944E-2</v>
      </c>
      <c r="BW2928" s="109">
        <f t="shared" si="2127"/>
        <v>5.9722885809842391E-4</v>
      </c>
      <c r="BX2928" s="111">
        <f t="shared" si="2112"/>
        <v>0</v>
      </c>
      <c r="BY2928" s="129">
        <f t="shared" si="2118"/>
        <v>-5</v>
      </c>
      <c r="BZ2928" s="111">
        <f t="shared" si="2119"/>
        <v>0</v>
      </c>
      <c r="CA2928" s="138">
        <f t="shared" si="2120"/>
        <v>5</v>
      </c>
      <c r="CB2928" s="111" t="e">
        <f t="shared" si="2138"/>
        <v>#VALUE!</v>
      </c>
      <c r="CC2928" s="129">
        <f>M2928-I2928+1</f>
        <v>5</v>
      </c>
      <c r="CD2928" s="111">
        <f>CC2928-BF2928</f>
        <v>0</v>
      </c>
      <c r="CG2928" s="129" t="str">
        <f t="shared" si="2121"/>
        <v>N</v>
      </c>
      <c r="CI2928" s="129" t="str">
        <f t="shared" si="2122"/>
        <v>0-10 DAYS</v>
      </c>
      <c r="CJ2928" s="137">
        <f t="shared" si="2123"/>
        <v>1</v>
      </c>
      <c r="CK2928" s="129" t="str">
        <f t="shared" si="2124"/>
        <v>Booked</v>
      </c>
    </row>
    <row r="2929" spans="1:89" ht="15.75" customHeight="1" x14ac:dyDescent="0.25">
      <c r="A2929" s="111">
        <v>1858</v>
      </c>
      <c r="B2929" s="128" t="str">
        <f t="shared" si="2113"/>
        <v>N</v>
      </c>
      <c r="C2929" s="128" t="str">
        <f t="shared" si="2114"/>
        <v>N</v>
      </c>
      <c r="D2929" s="117">
        <v>2608792</v>
      </c>
      <c r="E2929" s="135">
        <f t="shared" si="2115"/>
        <v>6</v>
      </c>
      <c r="F2929" s="124">
        <v>40977</v>
      </c>
      <c r="G2929" s="125">
        <v>41386</v>
      </c>
      <c r="H2929" s="117">
        <v>2608792</v>
      </c>
      <c r="I2929" s="124">
        <v>40977</v>
      </c>
      <c r="J2929" s="125">
        <v>41386</v>
      </c>
      <c r="K2929" s="126">
        <v>300000</v>
      </c>
      <c r="L2929" s="129" t="s">
        <v>572</v>
      </c>
      <c r="N2929" s="129" t="str">
        <f>IF(M2929&gt;1/1/1,"Y","N")</f>
        <v>N</v>
      </c>
      <c r="O2929" s="128" t="s">
        <v>917</v>
      </c>
      <c r="P2929" s="129" t="s">
        <v>39</v>
      </c>
      <c r="Q2929" s="111">
        <f t="shared" si="2139"/>
        <v>410</v>
      </c>
      <c r="R2929" s="111">
        <f t="shared" si="2103"/>
        <v>410</v>
      </c>
      <c r="S2929" s="129">
        <v>0</v>
      </c>
      <c r="T2929" s="129">
        <v>0</v>
      </c>
      <c r="W2929" s="111"/>
      <c r="AC2929" s="130"/>
      <c r="AD2929" s="130">
        <v>25443</v>
      </c>
      <c r="AE2929" s="128" t="s">
        <v>32</v>
      </c>
      <c r="AF2929" s="128" t="s">
        <v>69</v>
      </c>
      <c r="AG2929" s="128" t="s">
        <v>874</v>
      </c>
      <c r="AH2929" s="108" t="s">
        <v>31</v>
      </c>
      <c r="AI2929" s="128" t="s">
        <v>71</v>
      </c>
      <c r="AJ2929" s="129" t="s">
        <v>89</v>
      </c>
      <c r="AK2929" s="129">
        <v>13</v>
      </c>
      <c r="AL2929" s="3" t="s">
        <v>362</v>
      </c>
      <c r="AM2929" s="117">
        <v>25</v>
      </c>
      <c r="AP2929" s="129" t="s">
        <v>194</v>
      </c>
      <c r="AR2929" s="128" t="s">
        <v>50</v>
      </c>
      <c r="AS2929" s="129" t="s">
        <v>64</v>
      </c>
      <c r="AT2929" s="129" t="s">
        <v>1160</v>
      </c>
      <c r="BC2929" s="129" t="s">
        <v>99</v>
      </c>
      <c r="BF2929" s="111">
        <f t="shared" si="2136"/>
        <v>410</v>
      </c>
      <c r="BG2929" s="111">
        <f t="shared" si="2137"/>
        <v>410</v>
      </c>
      <c r="BH2929" s="111">
        <f t="shared" si="2104"/>
        <v>410</v>
      </c>
      <c r="BI2929" s="111">
        <f t="shared" si="2106"/>
        <v>42.442622950819676</v>
      </c>
      <c r="BJ2929" s="129">
        <f>G2929-J2929-M2929</f>
        <v>0</v>
      </c>
      <c r="BK2929" s="129">
        <f t="shared" si="2105"/>
        <v>0</v>
      </c>
      <c r="BL2929" s="129" t="str">
        <f t="shared" si="2098"/>
        <v>CONVICTION</v>
      </c>
      <c r="BM2929" s="129" t="str">
        <f>O2929</f>
        <v>NONE</v>
      </c>
      <c r="BN2929" s="129" t="s">
        <v>566</v>
      </c>
      <c r="BP2929" s="137" t="str">
        <f t="shared" si="2107"/>
        <v>CONVICTION</v>
      </c>
      <c r="BQ2929" s="128" t="str">
        <f t="shared" si="2116"/>
        <v>Y</v>
      </c>
      <c r="BR2929" s="129" t="str">
        <f t="shared" si="2108"/>
        <v>DETAINED</v>
      </c>
      <c r="BS2929" s="129" t="str">
        <f t="shared" si="2109"/>
        <v>DISPOSED</v>
      </c>
      <c r="BT2929" s="129" t="str">
        <f t="shared" si="2110"/>
        <v>N</v>
      </c>
      <c r="BU2929" s="109">
        <f t="shared" si="2111"/>
        <v>1</v>
      </c>
      <c r="BV2929" s="109">
        <f t="shared" si="2117"/>
        <v>1</v>
      </c>
      <c r="BW2929" s="109">
        <f t="shared" si="2127"/>
        <v>0</v>
      </c>
      <c r="BX2929" s="111">
        <f t="shared" si="2112"/>
        <v>0</v>
      </c>
      <c r="BY2929" s="129">
        <f t="shared" si="2118"/>
        <v>-410</v>
      </c>
      <c r="BZ2929" s="111">
        <f t="shared" si="2119"/>
        <v>0</v>
      </c>
      <c r="CA2929" s="138">
        <f t="shared" si="2120"/>
        <v>410</v>
      </c>
      <c r="CB2929" s="111" t="e">
        <f t="shared" si="2138"/>
        <v>#VALUE!</v>
      </c>
      <c r="CC2929" s="129">
        <f>G2929-I2929+1</f>
        <v>410</v>
      </c>
      <c r="CD2929" s="129">
        <f>G2929-J2929</f>
        <v>0</v>
      </c>
      <c r="CG2929" s="129" t="str">
        <f t="shared" si="2121"/>
        <v>N</v>
      </c>
      <c r="CI2929" s="129" t="str">
        <f t="shared" si="2122"/>
        <v xml:space="preserve"> &gt;1YRS&lt;2YRS</v>
      </c>
      <c r="CJ2929" s="137">
        <f t="shared" si="2123"/>
        <v>0</v>
      </c>
      <c r="CK2929" s="129" t="str">
        <f t="shared" si="2124"/>
        <v>Booked</v>
      </c>
    </row>
    <row r="2930" spans="1:89" ht="15" customHeight="1" x14ac:dyDescent="0.25">
      <c r="A2930" s="111">
        <v>1860</v>
      </c>
      <c r="B2930" s="128" t="str">
        <f t="shared" si="2113"/>
        <v>N</v>
      </c>
      <c r="C2930" s="128" t="str">
        <f t="shared" si="2114"/>
        <v>N</v>
      </c>
      <c r="D2930" s="117">
        <v>2608800</v>
      </c>
      <c r="E2930" s="135">
        <f t="shared" si="2115"/>
        <v>1</v>
      </c>
      <c r="F2930" s="124">
        <v>40977</v>
      </c>
      <c r="G2930" s="125">
        <v>41229</v>
      </c>
      <c r="H2930" s="117">
        <v>2608800</v>
      </c>
      <c r="I2930" s="124" t="s">
        <v>562</v>
      </c>
      <c r="J2930" s="124" t="s">
        <v>562</v>
      </c>
      <c r="K2930" s="126">
        <v>10000</v>
      </c>
      <c r="L2930" s="127" t="s">
        <v>570</v>
      </c>
      <c r="M2930" s="125">
        <v>41012</v>
      </c>
      <c r="N2930" s="129" t="str">
        <f>IF(M2930&gt;1/1/1,"Y",IF(Q2930="0","","N"))</f>
        <v>Y</v>
      </c>
      <c r="O2930" s="128" t="s">
        <v>76</v>
      </c>
      <c r="P2930" s="129" t="s">
        <v>55</v>
      </c>
      <c r="Q2930" s="111">
        <f t="shared" si="2139"/>
        <v>0</v>
      </c>
      <c r="R2930" s="111">
        <f t="shared" si="2103"/>
        <v>253</v>
      </c>
      <c r="S2930" s="129">
        <v>0</v>
      </c>
      <c r="T2930" s="129">
        <v>0</v>
      </c>
      <c r="W2930" s="111"/>
      <c r="AC2930" s="130"/>
      <c r="AD2930" s="130">
        <v>31807</v>
      </c>
      <c r="AE2930" s="128" t="s">
        <v>46</v>
      </c>
      <c r="AF2930" s="128" t="s">
        <v>69</v>
      </c>
      <c r="AG2930" s="128" t="s">
        <v>874</v>
      </c>
      <c r="AH2930" s="108" t="s">
        <v>31</v>
      </c>
      <c r="AI2930" s="128" t="s">
        <v>97</v>
      </c>
      <c r="AJ2930" s="129" t="s">
        <v>55</v>
      </c>
      <c r="AK2930" s="129">
        <v>9</v>
      </c>
      <c r="AL2930" s="3" t="s">
        <v>55</v>
      </c>
      <c r="AP2930" s="129" t="s">
        <v>63</v>
      </c>
      <c r="AR2930" s="128" t="s">
        <v>44</v>
      </c>
      <c r="AS2930" s="129" t="s">
        <v>64</v>
      </c>
      <c r="BC2930" s="129" t="s">
        <v>52</v>
      </c>
      <c r="BF2930" s="111">
        <v>0</v>
      </c>
      <c r="BG2930" s="111">
        <v>0</v>
      </c>
      <c r="BH2930" s="111">
        <f t="shared" si="2104"/>
        <v>253</v>
      </c>
      <c r="BI2930" s="111">
        <f t="shared" si="2106"/>
        <v>25.05464480874317</v>
      </c>
      <c r="BJ2930" s="129" t="e">
        <f>(G2930-J2930)+(M2930-G2930)</f>
        <v>#VALUE!</v>
      </c>
      <c r="BK2930" s="129" t="e">
        <f t="shared" si="2105"/>
        <v>#VALUE!</v>
      </c>
      <c r="BL2930" s="129" t="str">
        <f t="shared" si="2098"/>
        <v>NO CONVICTION</v>
      </c>
      <c r="BM2930" s="129" t="s">
        <v>76</v>
      </c>
      <c r="BN2930" s="129" t="s">
        <v>88</v>
      </c>
      <c r="BP2930" s="137" t="str">
        <f t="shared" si="2107"/>
        <v>NO CONVICTION</v>
      </c>
      <c r="BQ2930" s="128">
        <f t="shared" si="2116"/>
        <v>0</v>
      </c>
      <c r="BR2930" s="129" t="s">
        <v>575</v>
      </c>
      <c r="BS2930" s="129" t="str">
        <f t="shared" si="2109"/>
        <v>DISPOSED</v>
      </c>
      <c r="BT2930" s="129" t="str">
        <f t="shared" si="2110"/>
        <v>N</v>
      </c>
      <c r="BU2930" s="109">
        <f>IFERROR(Q2930/R2930,BR2930)</f>
        <v>0</v>
      </c>
      <c r="BV2930" s="109">
        <v>0</v>
      </c>
      <c r="BW2930" s="109">
        <f t="shared" si="2127"/>
        <v>0</v>
      </c>
      <c r="BX2930" s="111">
        <f t="shared" si="2112"/>
        <v>0</v>
      </c>
      <c r="BY2930" s="129" t="e">
        <f t="shared" si="2118"/>
        <v>#VALUE!</v>
      </c>
      <c r="BZ2930" s="111" t="e">
        <f t="shared" si="2119"/>
        <v>#VALUE!</v>
      </c>
      <c r="CA2930" s="138" t="e">
        <f t="shared" si="2120"/>
        <v>#VALUE!</v>
      </c>
      <c r="CB2930" s="111">
        <v>0</v>
      </c>
      <c r="CC2930" s="129">
        <v>0</v>
      </c>
      <c r="CD2930" s="111">
        <f>CC2930-BF2930</f>
        <v>0</v>
      </c>
      <c r="CG2930" s="129" t="str">
        <f t="shared" si="2121"/>
        <v>N</v>
      </c>
      <c r="CI2930" s="129" t="str">
        <f t="shared" si="2122"/>
        <v>0-10 DAYS</v>
      </c>
      <c r="CJ2930" s="137">
        <f t="shared" si="2123"/>
        <v>1</v>
      </c>
      <c r="CK2930" s="129" t="str">
        <f t="shared" si="2124"/>
        <v>Not Booked</v>
      </c>
    </row>
    <row r="2931" spans="1:89" ht="15" customHeight="1" x14ac:dyDescent="0.25">
      <c r="A2931" s="111">
        <v>1863</v>
      </c>
      <c r="B2931" s="128" t="str">
        <f t="shared" si="2113"/>
        <v>N</v>
      </c>
      <c r="C2931" s="128" t="str">
        <f t="shared" si="2114"/>
        <v>N</v>
      </c>
      <c r="D2931" s="117">
        <v>2608809</v>
      </c>
      <c r="E2931" s="135">
        <f t="shared" si="2115"/>
        <v>5</v>
      </c>
      <c r="F2931" s="124">
        <v>40977</v>
      </c>
      <c r="G2931" s="125">
        <v>40982</v>
      </c>
      <c r="H2931" s="117">
        <v>2608809</v>
      </c>
      <c r="I2931" s="124">
        <v>40977</v>
      </c>
      <c r="J2931" s="124">
        <v>40982</v>
      </c>
      <c r="K2931" s="126">
        <v>2000</v>
      </c>
      <c r="L2931" s="127" t="s">
        <v>568</v>
      </c>
      <c r="N2931" s="129" t="str">
        <f t="shared" ref="N2931:N2942" si="2140">IF(M2931&gt;1/1/1,"Y","N")</f>
        <v>N</v>
      </c>
      <c r="O2931" s="128" t="s">
        <v>917</v>
      </c>
      <c r="P2931" s="129" t="s">
        <v>39</v>
      </c>
      <c r="Q2931" s="111">
        <f t="shared" si="2139"/>
        <v>6</v>
      </c>
      <c r="R2931" s="111">
        <f t="shared" si="2103"/>
        <v>6</v>
      </c>
      <c r="S2931" s="129">
        <v>0</v>
      </c>
      <c r="T2931" s="129">
        <v>0</v>
      </c>
      <c r="W2931" s="111"/>
      <c r="AC2931" s="130"/>
      <c r="AD2931" s="130">
        <v>29239</v>
      </c>
      <c r="AE2931" s="128" t="s">
        <v>46</v>
      </c>
      <c r="AF2931" s="128" t="s">
        <v>69</v>
      </c>
      <c r="AG2931" s="128" t="s">
        <v>874</v>
      </c>
      <c r="AH2931" s="108" t="s">
        <v>31</v>
      </c>
      <c r="AI2931" s="128" t="s">
        <v>100</v>
      </c>
      <c r="AJ2931" s="129" t="s">
        <v>89</v>
      </c>
      <c r="AK2931" s="129">
        <v>2</v>
      </c>
      <c r="AL2931" s="3" t="s">
        <v>992</v>
      </c>
      <c r="AN2931" s="117">
        <v>6</v>
      </c>
      <c r="AP2931" s="129" t="s">
        <v>108</v>
      </c>
      <c r="AR2931" s="128" t="s">
        <v>44</v>
      </c>
      <c r="AS2931" s="129" t="s">
        <v>61</v>
      </c>
      <c r="AT2931" s="129" t="s">
        <v>638</v>
      </c>
      <c r="BC2931" s="129" t="s">
        <v>38</v>
      </c>
      <c r="BF2931" s="111">
        <f t="shared" ref="BF2931:BF2972" si="2141">IF(J2931&gt;1/1/1900,((J2931+1)-I2931),"STILL OPEN")</f>
        <v>6</v>
      </c>
      <c r="BG2931" s="111">
        <f t="shared" ref="BG2931:BG2972" si="2142">IF(G2931&gt;1/1/1900,((G2931+1)-I2931),"STILL OPEN")</f>
        <v>6</v>
      </c>
      <c r="BH2931" s="111">
        <f t="shared" si="2104"/>
        <v>6</v>
      </c>
      <c r="BI2931" s="111">
        <f t="shared" si="2106"/>
        <v>32.071038251366119</v>
      </c>
      <c r="BJ2931" s="129">
        <f>G2931-J2931-M2931</f>
        <v>0</v>
      </c>
      <c r="BK2931" s="129">
        <f t="shared" si="2105"/>
        <v>0</v>
      </c>
      <c r="BL2931" s="129" t="str">
        <f t="shared" si="2098"/>
        <v>CONVICTION</v>
      </c>
      <c r="BM2931" s="129" t="str">
        <f>O2931</f>
        <v>NONE</v>
      </c>
      <c r="BN2931" s="129" t="s">
        <v>566</v>
      </c>
      <c r="BP2931" s="137" t="str">
        <f t="shared" si="2107"/>
        <v>CONVICTION</v>
      </c>
      <c r="BQ2931" s="128" t="str">
        <f t="shared" si="2116"/>
        <v>Y</v>
      </c>
      <c r="BR2931" s="129" t="str">
        <f t="shared" si="2108"/>
        <v>DETAINED</v>
      </c>
      <c r="BS2931" s="129" t="str">
        <f t="shared" si="2109"/>
        <v>DISPOSED</v>
      </c>
      <c r="BT2931" s="129" t="str">
        <f t="shared" si="2110"/>
        <v>N</v>
      </c>
      <c r="BU2931" s="109">
        <f t="shared" si="2111"/>
        <v>1</v>
      </c>
      <c r="BV2931" s="109">
        <f t="shared" si="2117"/>
        <v>1</v>
      </c>
      <c r="BW2931" s="109">
        <f t="shared" si="2127"/>
        <v>0</v>
      </c>
      <c r="BX2931" s="111">
        <f t="shared" si="2112"/>
        <v>0</v>
      </c>
      <c r="BY2931" s="129">
        <f t="shared" si="2118"/>
        <v>-6</v>
      </c>
      <c r="BZ2931" s="111">
        <f t="shared" si="2119"/>
        <v>0</v>
      </c>
      <c r="CA2931" s="138">
        <f t="shared" si="2120"/>
        <v>6</v>
      </c>
      <c r="CB2931" s="111" t="e">
        <f t="shared" ref="CB2931:CB2972" si="2143">IF(AF2931&gt;1/1/1900,((AF2931+1)-AE2931),"STILL OPEN")</f>
        <v>#VALUE!</v>
      </c>
      <c r="CC2931" s="129">
        <f>G2931-I2931+1</f>
        <v>6</v>
      </c>
      <c r="CD2931" s="129">
        <f>G2931-J2931</f>
        <v>0</v>
      </c>
      <c r="CG2931" s="129" t="str">
        <f t="shared" si="2121"/>
        <v>N</v>
      </c>
      <c r="CI2931" s="129" t="str">
        <f t="shared" si="2122"/>
        <v>0-10 DAYS</v>
      </c>
      <c r="CJ2931" s="137">
        <f t="shared" si="2123"/>
        <v>1</v>
      </c>
      <c r="CK2931" s="129" t="str">
        <f t="shared" si="2124"/>
        <v>Booked</v>
      </c>
    </row>
    <row r="2932" spans="1:89" ht="15.75" customHeight="1" x14ac:dyDescent="0.25">
      <c r="A2932" s="111">
        <v>1864</v>
      </c>
      <c r="B2932" s="128" t="str">
        <f t="shared" si="2113"/>
        <v>N</v>
      </c>
      <c r="C2932" s="128" t="str">
        <f t="shared" si="2114"/>
        <v>N</v>
      </c>
      <c r="D2932" s="117">
        <v>2608814</v>
      </c>
      <c r="E2932" s="135">
        <f t="shared" si="2115"/>
        <v>6</v>
      </c>
      <c r="F2932" s="124">
        <v>40978</v>
      </c>
      <c r="G2932" s="125">
        <v>41645</v>
      </c>
      <c r="H2932" s="117">
        <v>2608814</v>
      </c>
      <c r="I2932" s="124">
        <v>40977</v>
      </c>
      <c r="J2932" s="125">
        <v>41645</v>
      </c>
      <c r="K2932" s="126">
        <v>360000</v>
      </c>
      <c r="L2932" s="129" t="s">
        <v>572</v>
      </c>
      <c r="N2932" s="129" t="str">
        <f t="shared" si="2140"/>
        <v>N</v>
      </c>
      <c r="O2932" s="128" t="s">
        <v>917</v>
      </c>
      <c r="P2932" s="129" t="s">
        <v>39</v>
      </c>
      <c r="Q2932" s="111">
        <f>BF2932</f>
        <v>669</v>
      </c>
      <c r="R2932" s="111">
        <f t="shared" si="2103"/>
        <v>668</v>
      </c>
      <c r="S2932" s="129">
        <v>0</v>
      </c>
      <c r="T2932" s="129">
        <v>0</v>
      </c>
      <c r="W2932" s="111"/>
      <c r="AB2932" s="131" t="s">
        <v>112</v>
      </c>
      <c r="AC2932" s="130"/>
      <c r="AD2932" s="130">
        <v>30362</v>
      </c>
      <c r="AE2932" s="128" t="s">
        <v>46</v>
      </c>
      <c r="AF2932" s="128" t="s">
        <v>40</v>
      </c>
      <c r="AG2932" s="128" t="s">
        <v>41</v>
      </c>
      <c r="AH2932" s="108" t="s">
        <v>31</v>
      </c>
      <c r="AI2932" s="128" t="s">
        <v>95</v>
      </c>
      <c r="AJ2932" s="129" t="s">
        <v>89</v>
      </c>
      <c r="AK2932" s="129">
        <v>16</v>
      </c>
      <c r="AL2932" s="3" t="s">
        <v>362</v>
      </c>
      <c r="AM2932" s="117">
        <v>2</v>
      </c>
      <c r="AP2932" s="129" t="s">
        <v>381</v>
      </c>
      <c r="AR2932" s="128" t="s">
        <v>92</v>
      </c>
      <c r="AS2932" s="129" t="s">
        <v>82</v>
      </c>
      <c r="BC2932" s="129" t="s">
        <v>52</v>
      </c>
      <c r="BF2932" s="111">
        <f>J2932-I2932+1</f>
        <v>669</v>
      </c>
      <c r="BG2932" s="111">
        <f t="shared" si="2142"/>
        <v>669</v>
      </c>
      <c r="BH2932" s="111">
        <f t="shared" si="2104"/>
        <v>668</v>
      </c>
      <c r="BI2932" s="111">
        <f t="shared" si="2106"/>
        <v>29.005464480874316</v>
      </c>
      <c r="BJ2932" s="129">
        <f>G2932-J2932-M2932</f>
        <v>0</v>
      </c>
      <c r="BK2932" s="129">
        <f t="shared" si="2105"/>
        <v>0</v>
      </c>
      <c r="BL2932" s="129" t="str">
        <f t="shared" si="2098"/>
        <v>CONVICTION</v>
      </c>
      <c r="BM2932" s="129" t="str">
        <f>O2932</f>
        <v>NONE</v>
      </c>
      <c r="BN2932" s="129" t="s">
        <v>88</v>
      </c>
      <c r="BP2932" s="137" t="str">
        <f t="shared" si="2107"/>
        <v>CONVICTION</v>
      </c>
      <c r="BQ2932" s="128" t="str">
        <f t="shared" si="2116"/>
        <v>Y</v>
      </c>
      <c r="BR2932" s="129" t="s">
        <v>574</v>
      </c>
      <c r="BS2932" s="129" t="s">
        <v>1259</v>
      </c>
      <c r="BT2932" s="129" t="str">
        <f t="shared" si="2110"/>
        <v>N</v>
      </c>
      <c r="BU2932" s="109">
        <v>1</v>
      </c>
      <c r="BV2932" s="109">
        <f t="shared" si="2117"/>
        <v>1.0014970059880239</v>
      </c>
      <c r="BW2932" s="109">
        <f t="shared" si="2127"/>
        <v>1.4970059880239361E-3</v>
      </c>
      <c r="BX2932" s="111">
        <f t="shared" si="2112"/>
        <v>0</v>
      </c>
      <c r="BY2932" s="129">
        <f t="shared" si="2118"/>
        <v>-669</v>
      </c>
      <c r="BZ2932" s="111">
        <f t="shared" si="2119"/>
        <v>0</v>
      </c>
      <c r="CA2932" s="138">
        <f t="shared" si="2120"/>
        <v>669</v>
      </c>
      <c r="CB2932" s="111" t="e">
        <f>AF2932-AE2932+1</f>
        <v>#VALUE!</v>
      </c>
      <c r="CC2932" s="129">
        <f>G2932-I2932+1</f>
        <v>669</v>
      </c>
      <c r="CD2932" s="129">
        <f>G2932-J2932</f>
        <v>0</v>
      </c>
      <c r="CG2932" s="129" t="str">
        <f t="shared" si="2121"/>
        <v>N</v>
      </c>
      <c r="CH2932" s="129" t="e">
        <v>#N/A</v>
      </c>
      <c r="CI2932" s="129" t="str">
        <f t="shared" si="2122"/>
        <v xml:space="preserve"> &gt;1YRS&lt;2YRS</v>
      </c>
      <c r="CJ2932" s="137">
        <f t="shared" si="2123"/>
        <v>0</v>
      </c>
      <c r="CK2932" s="129" t="str">
        <f t="shared" si="2124"/>
        <v>Booked</v>
      </c>
    </row>
    <row r="2933" spans="1:89" ht="15" customHeight="1" x14ac:dyDescent="0.25">
      <c r="A2933" s="111">
        <v>1867</v>
      </c>
      <c r="B2933" s="128" t="str">
        <f t="shared" si="2113"/>
        <v>N</v>
      </c>
      <c r="C2933" s="128" t="str">
        <f t="shared" si="2114"/>
        <v>N</v>
      </c>
      <c r="D2933" s="117">
        <v>2608817</v>
      </c>
      <c r="E2933" s="135">
        <f t="shared" si="2115"/>
        <v>1</v>
      </c>
      <c r="F2933" s="124">
        <v>40978</v>
      </c>
      <c r="G2933" s="125">
        <v>40980</v>
      </c>
      <c r="H2933" s="117">
        <v>2608817</v>
      </c>
      <c r="I2933" s="124">
        <v>40978</v>
      </c>
      <c r="J2933" s="124">
        <v>40980</v>
      </c>
      <c r="K2933" s="126">
        <v>2000</v>
      </c>
      <c r="L2933" s="127" t="s">
        <v>568</v>
      </c>
      <c r="N2933" s="129" t="str">
        <f t="shared" si="2140"/>
        <v>N</v>
      </c>
      <c r="O2933" s="128" t="s">
        <v>917</v>
      </c>
      <c r="P2933" s="129" t="s">
        <v>55</v>
      </c>
      <c r="Q2933" s="111">
        <f t="shared" si="2139"/>
        <v>3</v>
      </c>
      <c r="R2933" s="111">
        <f t="shared" si="2103"/>
        <v>3</v>
      </c>
      <c r="S2933" s="129">
        <v>0</v>
      </c>
      <c r="T2933" s="129">
        <v>0</v>
      </c>
      <c r="W2933" s="111"/>
      <c r="AC2933" s="130"/>
      <c r="AD2933" s="130">
        <v>26993</v>
      </c>
      <c r="AE2933" s="128" t="s">
        <v>46</v>
      </c>
      <c r="AF2933" s="128" t="s">
        <v>69</v>
      </c>
      <c r="AG2933" s="128" t="s">
        <v>874</v>
      </c>
      <c r="AH2933" s="108" t="s">
        <v>31</v>
      </c>
      <c r="AI2933" s="128" t="s">
        <v>70</v>
      </c>
      <c r="AJ2933" s="129" t="s">
        <v>55</v>
      </c>
      <c r="AK2933" s="129">
        <v>1</v>
      </c>
      <c r="AL2933" s="3" t="s">
        <v>55</v>
      </c>
      <c r="AP2933" s="129" t="s">
        <v>43</v>
      </c>
      <c r="AR2933" s="128" t="s">
        <v>44</v>
      </c>
      <c r="AS2933" s="129" t="s">
        <v>45</v>
      </c>
      <c r="BC2933" s="129" t="s">
        <v>38</v>
      </c>
      <c r="BF2933" s="111">
        <f t="shared" si="2141"/>
        <v>3</v>
      </c>
      <c r="BG2933" s="111">
        <f t="shared" si="2142"/>
        <v>3</v>
      </c>
      <c r="BH2933" s="111">
        <f t="shared" si="2104"/>
        <v>3</v>
      </c>
      <c r="BI2933" s="111">
        <f t="shared" si="2106"/>
        <v>38.210382513661202</v>
      </c>
      <c r="BJ2933" s="129">
        <f>G2933-J2933-M2933</f>
        <v>0</v>
      </c>
      <c r="BK2933" s="129">
        <f t="shared" si="2105"/>
        <v>0</v>
      </c>
      <c r="BL2933" s="129" t="str">
        <f t="shared" si="2098"/>
        <v>NO CONVICTION</v>
      </c>
      <c r="BM2933" s="129" t="str">
        <f>O2933</f>
        <v>NONE</v>
      </c>
      <c r="BN2933" s="129" t="s">
        <v>566</v>
      </c>
      <c r="BP2933" s="137" t="str">
        <f t="shared" si="2107"/>
        <v>NO CONVICTION</v>
      </c>
      <c r="BQ2933" s="128" t="str">
        <f t="shared" si="2116"/>
        <v>Y</v>
      </c>
      <c r="BR2933" s="129" t="str">
        <f t="shared" si="2108"/>
        <v>DETAINED</v>
      </c>
      <c r="BS2933" s="129" t="str">
        <f t="shared" si="2109"/>
        <v>DISPOSED</v>
      </c>
      <c r="BT2933" s="129" t="str">
        <f t="shared" si="2110"/>
        <v>N</v>
      </c>
      <c r="BU2933" s="109">
        <f>IFERROR(Q2933/R2933,BR2933)</f>
        <v>1</v>
      </c>
      <c r="BV2933" s="109">
        <f t="shared" si="2117"/>
        <v>1</v>
      </c>
      <c r="BW2933" s="109">
        <f t="shared" si="2127"/>
        <v>0</v>
      </c>
      <c r="BX2933" s="111">
        <f t="shared" si="2112"/>
        <v>0</v>
      </c>
      <c r="BY2933" s="129">
        <f t="shared" si="2118"/>
        <v>-3</v>
      </c>
      <c r="BZ2933" s="111">
        <f t="shared" si="2119"/>
        <v>0</v>
      </c>
      <c r="CA2933" s="138">
        <f t="shared" si="2120"/>
        <v>3</v>
      </c>
      <c r="CB2933" s="111" t="e">
        <f t="shared" si="2143"/>
        <v>#VALUE!</v>
      </c>
      <c r="CC2933" s="129">
        <f>G2933-I2933+1</f>
        <v>3</v>
      </c>
      <c r="CD2933" s="129">
        <f>G2933-J2933</f>
        <v>0</v>
      </c>
      <c r="CG2933" s="129" t="str">
        <f t="shared" si="2121"/>
        <v>N</v>
      </c>
      <c r="CI2933" s="129" t="str">
        <f t="shared" si="2122"/>
        <v>0-10 DAYS</v>
      </c>
      <c r="CJ2933" s="137">
        <f t="shared" si="2123"/>
        <v>1</v>
      </c>
      <c r="CK2933" s="129" t="str">
        <f t="shared" si="2124"/>
        <v>Booked</v>
      </c>
    </row>
    <row r="2934" spans="1:89" ht="15" customHeight="1" x14ac:dyDescent="0.25">
      <c r="A2934" s="111">
        <v>1869</v>
      </c>
      <c r="B2934" s="128" t="str">
        <f t="shared" si="2113"/>
        <v>N</v>
      </c>
      <c r="C2934" s="128" t="str">
        <f t="shared" si="2114"/>
        <v>Y</v>
      </c>
      <c r="D2934" s="117">
        <v>2608820</v>
      </c>
      <c r="E2934" s="135">
        <f t="shared" si="2115"/>
        <v>1</v>
      </c>
      <c r="F2934" s="124">
        <v>40978</v>
      </c>
      <c r="G2934" s="125">
        <v>41074</v>
      </c>
      <c r="H2934" s="117">
        <v>2608820</v>
      </c>
      <c r="I2934" s="124">
        <v>40978</v>
      </c>
      <c r="J2934" s="124">
        <v>41005</v>
      </c>
      <c r="K2934" s="126">
        <v>30000</v>
      </c>
      <c r="L2934" s="129" t="s">
        <v>572</v>
      </c>
      <c r="M2934" s="125">
        <v>41005</v>
      </c>
      <c r="N2934" s="129" t="str">
        <f t="shared" si="2140"/>
        <v>Y</v>
      </c>
      <c r="O2934" s="128" t="s">
        <v>76</v>
      </c>
      <c r="P2934" s="129" t="s">
        <v>55</v>
      </c>
      <c r="Q2934" s="111">
        <v>23</v>
      </c>
      <c r="R2934" s="111">
        <f t="shared" si="2103"/>
        <v>97</v>
      </c>
      <c r="S2934" s="129">
        <v>0</v>
      </c>
      <c r="T2934" s="129">
        <v>0</v>
      </c>
      <c r="W2934" s="111"/>
      <c r="AC2934" s="130"/>
      <c r="AD2934" s="130">
        <v>17851</v>
      </c>
      <c r="AE2934" s="128" t="s">
        <v>32</v>
      </c>
      <c r="AF2934" s="128" t="s">
        <v>33</v>
      </c>
      <c r="AG2934" s="128" t="s">
        <v>872</v>
      </c>
      <c r="AH2934" s="108" t="s">
        <v>31</v>
      </c>
      <c r="AI2934" s="128" t="s">
        <v>113</v>
      </c>
      <c r="AJ2934" s="129" t="s">
        <v>55</v>
      </c>
      <c r="AK2934" s="129">
        <v>6</v>
      </c>
      <c r="AL2934" s="3" t="s">
        <v>55</v>
      </c>
      <c r="AP2934" s="129" t="s">
        <v>382</v>
      </c>
      <c r="AR2934" s="128" t="s">
        <v>67</v>
      </c>
      <c r="AS2934" s="129" t="s">
        <v>382</v>
      </c>
      <c r="AT2934" s="3" t="s">
        <v>745</v>
      </c>
      <c r="AU2934" s="3" t="s">
        <v>745</v>
      </c>
      <c r="AX2934" s="32" t="s">
        <v>88</v>
      </c>
      <c r="BC2934" s="129" t="s">
        <v>38</v>
      </c>
      <c r="BF2934" s="111">
        <v>23</v>
      </c>
      <c r="BG2934" s="111">
        <f t="shared" si="2142"/>
        <v>97</v>
      </c>
      <c r="BH2934" s="111">
        <f t="shared" si="2104"/>
        <v>97</v>
      </c>
      <c r="BI2934" s="111">
        <f t="shared" si="2106"/>
        <v>63.188524590163937</v>
      </c>
      <c r="BJ2934" s="129">
        <f>(G2934-J2934)+(M2934-G2934)</f>
        <v>0</v>
      </c>
      <c r="BK2934" s="129">
        <f t="shared" si="2105"/>
        <v>-69</v>
      </c>
      <c r="BL2934" s="129" t="str">
        <f t="shared" ref="BL2934:BL2997" si="2144">IF(OR(AL2934="AQUITTAL",AL2934="DISMISSED",AL2934="FINE",AL2934="NO BILL"),"NO CONVICTION",IF(OR(AL2934="HCJ",AL2934="MHH",AL2934="PROBATION",AL2934="STJ",AL2934="TDC"),"CONVICTION",IF(AL2934="DEFERRED","DEFERRED",0)))</f>
        <v>NO CONVICTION</v>
      </c>
      <c r="BM2934" s="129" t="s">
        <v>76</v>
      </c>
      <c r="BN2934" s="129" t="s">
        <v>88</v>
      </c>
      <c r="BP2934" s="137" t="str">
        <f t="shared" si="2107"/>
        <v>NO CONVICTION</v>
      </c>
      <c r="BQ2934" s="128" t="str">
        <f t="shared" si="2116"/>
        <v>Y</v>
      </c>
      <c r="BR2934" s="129" t="s">
        <v>574</v>
      </c>
      <c r="BS2934" s="129" t="str">
        <f t="shared" si="2109"/>
        <v>DISPOSED</v>
      </c>
      <c r="BT2934" s="129" t="str">
        <f t="shared" si="2110"/>
        <v>N</v>
      </c>
      <c r="BU2934" s="109">
        <f>IFERROR(Q2934/R2934,BR2934)</f>
        <v>0.23711340206185566</v>
      </c>
      <c r="BV2934" s="109">
        <f t="shared" si="2117"/>
        <v>0.28865979381443296</v>
      </c>
      <c r="BW2934" s="109">
        <f t="shared" si="2127"/>
        <v>5.1546391752577303E-2</v>
      </c>
      <c r="BX2934" s="111">
        <f t="shared" si="2112"/>
        <v>0</v>
      </c>
      <c r="BY2934" s="129">
        <f t="shared" si="2118"/>
        <v>-28</v>
      </c>
      <c r="BZ2934" s="111">
        <f t="shared" si="2119"/>
        <v>-5</v>
      </c>
      <c r="CA2934" s="138">
        <f t="shared" si="2120"/>
        <v>97</v>
      </c>
      <c r="CB2934" s="111">
        <v>23</v>
      </c>
      <c r="CC2934" s="129">
        <f>G2934-I2934+1</f>
        <v>97</v>
      </c>
      <c r="CD2934" s="129">
        <f>G2934-J2934</f>
        <v>69</v>
      </c>
      <c r="CG2934" s="129" t="str">
        <f t="shared" si="2121"/>
        <v>N</v>
      </c>
      <c r="CI2934" s="129" t="str">
        <f t="shared" si="2122"/>
        <v>11-30 DAYS</v>
      </c>
      <c r="CJ2934" s="137">
        <f t="shared" si="2123"/>
        <v>2</v>
      </c>
      <c r="CK2934" s="129" t="str">
        <f t="shared" si="2124"/>
        <v>Booked</v>
      </c>
    </row>
    <row r="2935" spans="1:89" ht="15.75" customHeight="1" x14ac:dyDescent="0.25">
      <c r="A2935" s="111">
        <v>1868</v>
      </c>
      <c r="B2935" s="128" t="str">
        <f t="shared" si="2113"/>
        <v>N</v>
      </c>
      <c r="C2935" s="128" t="str">
        <f t="shared" si="2114"/>
        <v>N</v>
      </c>
      <c r="D2935" s="117">
        <v>2608821</v>
      </c>
      <c r="E2935" s="135">
        <f t="shared" si="2115"/>
        <v>2</v>
      </c>
      <c r="F2935" s="124">
        <v>40978</v>
      </c>
      <c r="G2935" s="125">
        <v>41387</v>
      </c>
      <c r="H2935" s="117">
        <v>2608821</v>
      </c>
      <c r="I2935" s="124">
        <v>40978</v>
      </c>
      <c r="J2935" s="124">
        <v>40979</v>
      </c>
      <c r="K2935" s="126">
        <v>2000</v>
      </c>
      <c r="L2935" s="127" t="s">
        <v>568</v>
      </c>
      <c r="M2935" s="125">
        <v>40979</v>
      </c>
      <c r="N2935" s="129" t="str">
        <f t="shared" si="2140"/>
        <v>Y</v>
      </c>
      <c r="O2935" s="128" t="s">
        <v>76</v>
      </c>
      <c r="P2935" s="129" t="s">
        <v>589</v>
      </c>
      <c r="Q2935" s="111">
        <f t="shared" si="2139"/>
        <v>2</v>
      </c>
      <c r="R2935" s="111">
        <f t="shared" si="2103"/>
        <v>410</v>
      </c>
      <c r="S2935" s="129">
        <v>0</v>
      </c>
      <c r="T2935" s="129">
        <v>0</v>
      </c>
      <c r="W2935" s="111"/>
      <c r="AC2935" s="130"/>
      <c r="AD2935" s="130">
        <v>34367</v>
      </c>
      <c r="AE2935" s="128" t="s">
        <v>32</v>
      </c>
      <c r="AF2935" s="128" t="s">
        <v>69</v>
      </c>
      <c r="AG2935" s="128" t="s">
        <v>874</v>
      </c>
      <c r="AH2935" s="108" t="s">
        <v>31</v>
      </c>
      <c r="AI2935" s="128" t="s">
        <v>80</v>
      </c>
      <c r="AJ2935" s="129" t="s">
        <v>48</v>
      </c>
      <c r="AL2935" s="3" t="s">
        <v>48</v>
      </c>
      <c r="AP2935" s="129" t="s">
        <v>108</v>
      </c>
      <c r="AR2935" s="128" t="s">
        <v>44</v>
      </c>
      <c r="AS2935" s="129" t="s">
        <v>61</v>
      </c>
      <c r="AT2935" s="129" t="s">
        <v>1161</v>
      </c>
      <c r="BC2935" s="129" t="s">
        <v>52</v>
      </c>
      <c r="BF2935" s="111">
        <f t="shared" si="2141"/>
        <v>2</v>
      </c>
      <c r="BG2935" s="111">
        <f t="shared" si="2142"/>
        <v>410</v>
      </c>
      <c r="BH2935" s="111">
        <f t="shared" si="2104"/>
        <v>410</v>
      </c>
      <c r="BI2935" s="111">
        <f t="shared" si="2106"/>
        <v>18.062841530054644</v>
      </c>
      <c r="BJ2935" s="129">
        <f>(G2935-J2935)+(M2935-G2935)</f>
        <v>0</v>
      </c>
      <c r="BK2935" s="129">
        <f t="shared" si="2105"/>
        <v>-408</v>
      </c>
      <c r="BL2935" s="129" t="str">
        <f t="shared" si="2144"/>
        <v>DEFERRED</v>
      </c>
      <c r="BM2935" s="129" t="s">
        <v>76</v>
      </c>
      <c r="BN2935" s="129" t="s">
        <v>88</v>
      </c>
      <c r="BP2935" s="137" t="str">
        <f t="shared" si="2107"/>
        <v>DEFERRED</v>
      </c>
      <c r="BQ2935" s="128" t="str">
        <f t="shared" si="2116"/>
        <v>Y</v>
      </c>
      <c r="BR2935" s="129" t="str">
        <f t="shared" si="2108"/>
        <v>ON BOND</v>
      </c>
      <c r="BS2935" s="129" t="str">
        <f t="shared" si="2109"/>
        <v>DISPOSED</v>
      </c>
      <c r="BT2935" s="129" t="str">
        <f t="shared" si="2110"/>
        <v>N</v>
      </c>
      <c r="BU2935" s="109">
        <f t="shared" si="2111"/>
        <v>4.8780487804878049E-3</v>
      </c>
      <c r="BV2935" s="109">
        <f t="shared" si="2117"/>
        <v>4.8780487804878049E-3</v>
      </c>
      <c r="BW2935" s="109">
        <f t="shared" si="2127"/>
        <v>0</v>
      </c>
      <c r="BX2935" s="111">
        <f t="shared" si="2112"/>
        <v>0</v>
      </c>
      <c r="BY2935" s="129">
        <f t="shared" si="2118"/>
        <v>-2</v>
      </c>
      <c r="BZ2935" s="111">
        <f t="shared" si="2119"/>
        <v>0</v>
      </c>
      <c r="CA2935" s="138">
        <f t="shared" si="2120"/>
        <v>2</v>
      </c>
      <c r="CB2935" s="111" t="e">
        <f t="shared" si="2143"/>
        <v>#VALUE!</v>
      </c>
      <c r="CC2935" s="129">
        <f>M2935-I2935+1</f>
        <v>2</v>
      </c>
      <c r="CD2935" s="111">
        <f>CC2935-BF2935</f>
        <v>0</v>
      </c>
      <c r="CG2935" s="129" t="str">
        <f t="shared" si="2121"/>
        <v>N</v>
      </c>
      <c r="CI2935" s="129" t="str">
        <f t="shared" si="2122"/>
        <v>0-10 DAYS</v>
      </c>
      <c r="CJ2935" s="137">
        <f t="shared" si="2123"/>
        <v>1</v>
      </c>
      <c r="CK2935" s="129" t="str">
        <f t="shared" si="2124"/>
        <v>Booked</v>
      </c>
    </row>
    <row r="2936" spans="1:89" ht="15.75" customHeight="1" x14ac:dyDescent="0.25">
      <c r="A2936" s="111">
        <v>2729</v>
      </c>
      <c r="B2936" s="128" t="str">
        <f t="shared" si="2113"/>
        <v>N</v>
      </c>
      <c r="C2936" s="128" t="str">
        <f t="shared" si="2114"/>
        <v>N</v>
      </c>
      <c r="D2936" s="117">
        <v>2608856</v>
      </c>
      <c r="E2936" s="135">
        <f t="shared" si="2115"/>
        <v>2</v>
      </c>
      <c r="F2936" s="124">
        <v>40978</v>
      </c>
      <c r="G2936" s="125">
        <v>41159</v>
      </c>
      <c r="H2936" s="117">
        <v>2608856</v>
      </c>
      <c r="I2936" s="124">
        <v>40978</v>
      </c>
      <c r="J2936" s="124">
        <v>40979</v>
      </c>
      <c r="K2936" s="126">
        <v>5000</v>
      </c>
      <c r="L2936" s="127" t="s">
        <v>569</v>
      </c>
      <c r="M2936" s="125">
        <v>40979</v>
      </c>
      <c r="N2936" s="129" t="str">
        <f t="shared" si="2140"/>
        <v>Y</v>
      </c>
      <c r="O2936" s="128" t="s">
        <v>76</v>
      </c>
      <c r="P2936" s="129" t="s">
        <v>589</v>
      </c>
      <c r="Q2936" s="111">
        <f t="shared" si="2139"/>
        <v>2</v>
      </c>
      <c r="R2936" s="111">
        <f t="shared" si="2103"/>
        <v>182</v>
      </c>
      <c r="S2936" s="129">
        <v>0</v>
      </c>
      <c r="T2936" s="129">
        <v>0</v>
      </c>
      <c r="W2936" s="111"/>
      <c r="AC2936" s="130"/>
      <c r="AD2936" s="130">
        <v>33165</v>
      </c>
      <c r="AE2936" s="128" t="s">
        <v>32</v>
      </c>
      <c r="AF2936" s="128" t="s">
        <v>33</v>
      </c>
      <c r="AG2936" s="128" t="s">
        <v>872</v>
      </c>
      <c r="AH2936" s="108" t="s">
        <v>31</v>
      </c>
      <c r="AI2936" s="128" t="s">
        <v>62</v>
      </c>
      <c r="AJ2936" s="129" t="s">
        <v>48</v>
      </c>
      <c r="AK2936" s="129">
        <v>9</v>
      </c>
      <c r="AL2936" s="3" t="s">
        <v>48</v>
      </c>
      <c r="AP2936" s="129" t="s">
        <v>108</v>
      </c>
      <c r="AR2936" s="128" t="s">
        <v>44</v>
      </c>
      <c r="AS2936" s="129" t="s">
        <v>61</v>
      </c>
      <c r="BC2936" s="129" t="s">
        <v>52</v>
      </c>
      <c r="BF2936" s="111">
        <f t="shared" si="2141"/>
        <v>2</v>
      </c>
      <c r="BG2936" s="111">
        <f t="shared" si="2142"/>
        <v>182</v>
      </c>
      <c r="BH2936" s="111">
        <f t="shared" si="2104"/>
        <v>182</v>
      </c>
      <c r="BI2936" s="111">
        <f t="shared" si="2106"/>
        <v>21.346994535519126</v>
      </c>
      <c r="BJ2936" s="129">
        <f>(G2936-J2936)+(M2936-G2936)</f>
        <v>0</v>
      </c>
      <c r="BK2936" s="129">
        <f t="shared" si="2105"/>
        <v>-180</v>
      </c>
      <c r="BL2936" s="129" t="str">
        <f t="shared" si="2144"/>
        <v>DEFERRED</v>
      </c>
      <c r="BM2936" s="129" t="s">
        <v>76</v>
      </c>
      <c r="BN2936" s="129" t="s">
        <v>88</v>
      </c>
      <c r="BP2936" s="137" t="str">
        <f t="shared" si="2107"/>
        <v>DEFERRED</v>
      </c>
      <c r="BQ2936" s="128" t="str">
        <f t="shared" si="2116"/>
        <v>Y</v>
      </c>
      <c r="BR2936" s="129" t="str">
        <f t="shared" si="2108"/>
        <v>ON BOND</v>
      </c>
      <c r="BS2936" s="129" t="str">
        <f t="shared" si="2109"/>
        <v>DISPOSED</v>
      </c>
      <c r="BT2936" s="129" t="str">
        <f t="shared" si="2110"/>
        <v>N</v>
      </c>
      <c r="BU2936" s="109">
        <f t="shared" si="2111"/>
        <v>1.098901098901099E-2</v>
      </c>
      <c r="BV2936" s="109">
        <f t="shared" si="2117"/>
        <v>1.098901098901099E-2</v>
      </c>
      <c r="BW2936" s="109">
        <f t="shared" si="2127"/>
        <v>0</v>
      </c>
      <c r="BX2936" s="111">
        <f t="shared" si="2112"/>
        <v>0</v>
      </c>
      <c r="BY2936" s="129">
        <f t="shared" si="2118"/>
        <v>-2</v>
      </c>
      <c r="BZ2936" s="111">
        <f t="shared" si="2119"/>
        <v>0</v>
      </c>
      <c r="CA2936" s="138">
        <f t="shared" si="2120"/>
        <v>2</v>
      </c>
      <c r="CB2936" s="111" t="e">
        <f t="shared" si="2143"/>
        <v>#VALUE!</v>
      </c>
      <c r="CC2936" s="129">
        <f>M2936-I2936+1</f>
        <v>2</v>
      </c>
      <c r="CD2936" s="111">
        <f>CC2936-BF2936</f>
        <v>0</v>
      </c>
      <c r="CG2936" s="129" t="str">
        <f t="shared" si="2121"/>
        <v>N</v>
      </c>
      <c r="CI2936" s="129" t="str">
        <f t="shared" si="2122"/>
        <v>0-10 DAYS</v>
      </c>
      <c r="CJ2936" s="137">
        <f t="shared" si="2123"/>
        <v>1</v>
      </c>
      <c r="CK2936" s="129" t="str">
        <f t="shared" si="2124"/>
        <v>Booked</v>
      </c>
    </row>
    <row r="2937" spans="1:89" ht="15" customHeight="1" x14ac:dyDescent="0.25">
      <c r="A2937" s="111">
        <v>1879</v>
      </c>
      <c r="B2937" s="128" t="str">
        <f t="shared" si="2113"/>
        <v>N</v>
      </c>
      <c r="C2937" s="128" t="str">
        <f t="shared" si="2114"/>
        <v>N</v>
      </c>
      <c r="D2937" s="117">
        <v>2608864</v>
      </c>
      <c r="E2937" s="135">
        <f t="shared" si="2115"/>
        <v>4</v>
      </c>
      <c r="F2937" s="124">
        <v>40978</v>
      </c>
      <c r="G2937" s="125">
        <v>40980</v>
      </c>
      <c r="H2937" s="117">
        <v>2608864</v>
      </c>
      <c r="I2937" s="124">
        <v>40978</v>
      </c>
      <c r="J2937" s="124">
        <v>40980</v>
      </c>
      <c r="K2937" s="126">
        <v>35000</v>
      </c>
      <c r="L2937" s="129" t="s">
        <v>572</v>
      </c>
      <c r="N2937" s="129" t="str">
        <f t="shared" si="2140"/>
        <v>N</v>
      </c>
      <c r="O2937" s="128" t="s">
        <v>917</v>
      </c>
      <c r="P2937" s="129" t="s">
        <v>39</v>
      </c>
      <c r="Q2937" s="111">
        <f t="shared" si="2139"/>
        <v>3</v>
      </c>
      <c r="R2937" s="111">
        <f t="shared" si="2103"/>
        <v>3</v>
      </c>
      <c r="S2937" s="129">
        <v>0</v>
      </c>
      <c r="T2937" s="129">
        <v>0</v>
      </c>
      <c r="W2937" s="111"/>
      <c r="AB2937" s="131" t="s">
        <v>112</v>
      </c>
      <c r="AC2937" s="130"/>
      <c r="AD2937" s="130">
        <v>29174</v>
      </c>
      <c r="AE2937" s="128" t="s">
        <v>32</v>
      </c>
      <c r="AF2937" s="128" t="s">
        <v>40</v>
      </c>
      <c r="AG2937" s="128" t="s">
        <v>41</v>
      </c>
      <c r="AH2937" s="108" t="s">
        <v>31</v>
      </c>
      <c r="AI2937" s="128" t="s">
        <v>59</v>
      </c>
      <c r="AJ2937" s="129" t="s">
        <v>89</v>
      </c>
      <c r="AK2937" s="129">
        <v>1</v>
      </c>
      <c r="AL2937" s="3" t="s">
        <v>991</v>
      </c>
      <c r="AO2937" s="128">
        <v>30</v>
      </c>
      <c r="AP2937" s="129" t="s">
        <v>43</v>
      </c>
      <c r="AR2937" s="128" t="s">
        <v>44</v>
      </c>
      <c r="AS2937" s="129" t="s">
        <v>45</v>
      </c>
      <c r="BC2937" s="129" t="s">
        <v>38</v>
      </c>
      <c r="BF2937" s="111">
        <f t="shared" si="2141"/>
        <v>3</v>
      </c>
      <c r="BG2937" s="111">
        <f t="shared" si="2142"/>
        <v>3</v>
      </c>
      <c r="BH2937" s="111">
        <f t="shared" si="2104"/>
        <v>3</v>
      </c>
      <c r="BI2937" s="111">
        <f t="shared" si="2106"/>
        <v>32.251366120218577</v>
      </c>
      <c r="BJ2937" s="129">
        <f>G2937-J2937-M2937</f>
        <v>0</v>
      </c>
      <c r="BK2937" s="129">
        <f t="shared" si="2105"/>
        <v>0</v>
      </c>
      <c r="BL2937" s="129" t="str">
        <f t="shared" si="2144"/>
        <v>CONVICTION</v>
      </c>
      <c r="BM2937" s="129" t="str">
        <f>O2937</f>
        <v>NONE</v>
      </c>
      <c r="BN2937" s="129" t="s">
        <v>566</v>
      </c>
      <c r="BP2937" s="137" t="str">
        <f t="shared" si="2107"/>
        <v>CONVICTION</v>
      </c>
      <c r="BQ2937" s="128" t="str">
        <f t="shared" si="2116"/>
        <v>Y</v>
      </c>
      <c r="BR2937" s="129" t="str">
        <f t="shared" si="2108"/>
        <v>DETAINED</v>
      </c>
      <c r="BS2937" s="129" t="str">
        <f t="shared" si="2109"/>
        <v>DISPOSED</v>
      </c>
      <c r="BT2937" s="129" t="str">
        <f t="shared" si="2110"/>
        <v>N</v>
      </c>
      <c r="BU2937" s="109">
        <f t="shared" si="2111"/>
        <v>1</v>
      </c>
      <c r="BV2937" s="109">
        <f t="shared" si="2117"/>
        <v>1</v>
      </c>
      <c r="BW2937" s="109">
        <f t="shared" si="2127"/>
        <v>0</v>
      </c>
      <c r="BX2937" s="111">
        <f t="shared" si="2112"/>
        <v>0</v>
      </c>
      <c r="BY2937" s="129">
        <f t="shared" si="2118"/>
        <v>-3</v>
      </c>
      <c r="BZ2937" s="111">
        <f t="shared" si="2119"/>
        <v>0</v>
      </c>
      <c r="CA2937" s="138">
        <f t="shared" si="2120"/>
        <v>3</v>
      </c>
      <c r="CB2937" s="111" t="e">
        <f t="shared" si="2143"/>
        <v>#VALUE!</v>
      </c>
      <c r="CC2937" s="129">
        <f>G2937-I2937+1</f>
        <v>3</v>
      </c>
      <c r="CD2937" s="129">
        <f>G2937-J2937</f>
        <v>0</v>
      </c>
      <c r="CG2937" s="129" t="str">
        <f t="shared" si="2121"/>
        <v>N</v>
      </c>
      <c r="CI2937" s="129" t="str">
        <f t="shared" si="2122"/>
        <v>0-10 DAYS</v>
      </c>
      <c r="CJ2937" s="137">
        <f t="shared" si="2123"/>
        <v>1</v>
      </c>
      <c r="CK2937" s="129" t="str">
        <f t="shared" si="2124"/>
        <v>Booked</v>
      </c>
    </row>
    <row r="2938" spans="1:89" ht="15" customHeight="1" x14ac:dyDescent="0.25">
      <c r="A2938" s="111">
        <v>1880</v>
      </c>
      <c r="B2938" s="128" t="str">
        <f t="shared" si="2113"/>
        <v>N</v>
      </c>
      <c r="C2938" s="128" t="str">
        <f t="shared" si="2114"/>
        <v>N</v>
      </c>
      <c r="D2938" s="117">
        <v>2608880</v>
      </c>
      <c r="E2938" s="135">
        <f t="shared" si="2115"/>
        <v>4</v>
      </c>
      <c r="F2938" s="124">
        <v>40978</v>
      </c>
      <c r="G2938" s="125">
        <v>41030</v>
      </c>
      <c r="H2938" s="117">
        <v>2608880</v>
      </c>
      <c r="I2938" s="124">
        <v>40979</v>
      </c>
      <c r="J2938" s="124">
        <v>41030</v>
      </c>
      <c r="K2938" s="126">
        <v>50000</v>
      </c>
      <c r="L2938" s="129" t="s">
        <v>572</v>
      </c>
      <c r="N2938" s="129" t="str">
        <f t="shared" si="2140"/>
        <v>N</v>
      </c>
      <c r="O2938" s="128" t="s">
        <v>917</v>
      </c>
      <c r="P2938" s="129" t="s">
        <v>39</v>
      </c>
      <c r="Q2938" s="111">
        <f t="shared" si="2139"/>
        <v>52</v>
      </c>
      <c r="R2938" s="111">
        <f t="shared" si="2103"/>
        <v>53</v>
      </c>
      <c r="S2938" s="129">
        <v>0</v>
      </c>
      <c r="T2938" s="129">
        <v>0</v>
      </c>
      <c r="W2938" s="111"/>
      <c r="AB2938" s="131" t="s">
        <v>112</v>
      </c>
      <c r="AC2938" s="130"/>
      <c r="AD2938" s="130">
        <v>31131</v>
      </c>
      <c r="AE2938" s="128" t="s">
        <v>32</v>
      </c>
      <c r="AF2938" s="128" t="s">
        <v>40</v>
      </c>
      <c r="AG2938" s="128" t="s">
        <v>41</v>
      </c>
      <c r="AH2938" s="108" t="s">
        <v>31</v>
      </c>
      <c r="AI2938" s="128" t="s">
        <v>70</v>
      </c>
      <c r="AJ2938" s="129" t="s">
        <v>89</v>
      </c>
      <c r="AK2938" s="129">
        <v>3</v>
      </c>
      <c r="AL2938" s="3" t="s">
        <v>991</v>
      </c>
      <c r="AO2938" s="128">
        <v>120</v>
      </c>
      <c r="AP2938" s="129" t="s">
        <v>383</v>
      </c>
      <c r="AR2938" s="128" t="s">
        <v>44</v>
      </c>
      <c r="AS2938" s="129" t="s">
        <v>64</v>
      </c>
      <c r="BC2938" s="129" t="s">
        <v>52</v>
      </c>
      <c r="BF2938" s="111">
        <f t="shared" si="2141"/>
        <v>52</v>
      </c>
      <c r="BG2938" s="111">
        <f t="shared" si="2142"/>
        <v>52</v>
      </c>
      <c r="BH2938" s="111">
        <f t="shared" si="2104"/>
        <v>53</v>
      </c>
      <c r="BI2938" s="111">
        <f t="shared" si="2106"/>
        <v>26.904371584699454</v>
      </c>
      <c r="BJ2938" s="129">
        <f>G2938-J2938-M2938</f>
        <v>0</v>
      </c>
      <c r="BK2938" s="129">
        <f t="shared" si="2105"/>
        <v>0</v>
      </c>
      <c r="BL2938" s="129" t="str">
        <f t="shared" si="2144"/>
        <v>CONVICTION</v>
      </c>
      <c r="BM2938" s="129" t="str">
        <f>O2938</f>
        <v>NONE</v>
      </c>
      <c r="BN2938" s="129" t="s">
        <v>566</v>
      </c>
      <c r="BP2938" s="137" t="str">
        <f t="shared" si="2107"/>
        <v>CONVICTION</v>
      </c>
      <c r="BQ2938" s="128" t="str">
        <f t="shared" si="2116"/>
        <v>Y</v>
      </c>
      <c r="BR2938" s="129" t="str">
        <f t="shared" si="2108"/>
        <v>DETAINED</v>
      </c>
      <c r="BS2938" s="129" t="str">
        <f t="shared" si="2109"/>
        <v>DISPOSED</v>
      </c>
      <c r="BT2938" s="129" t="str">
        <f t="shared" si="2110"/>
        <v>N</v>
      </c>
      <c r="BU2938" s="109">
        <f t="shared" si="2111"/>
        <v>0.98113207547169812</v>
      </c>
      <c r="BV2938" s="109">
        <f t="shared" si="2117"/>
        <v>1</v>
      </c>
      <c r="BW2938" s="109">
        <f t="shared" si="2127"/>
        <v>1.8867924528301883E-2</v>
      </c>
      <c r="BX2938" s="111">
        <f t="shared" si="2112"/>
        <v>0</v>
      </c>
      <c r="BY2938" s="129">
        <f t="shared" si="2118"/>
        <v>-52</v>
      </c>
      <c r="BZ2938" s="111">
        <f t="shared" si="2119"/>
        <v>0</v>
      </c>
      <c r="CA2938" s="138">
        <f t="shared" si="2120"/>
        <v>52</v>
      </c>
      <c r="CB2938" s="111" t="e">
        <f t="shared" si="2143"/>
        <v>#VALUE!</v>
      </c>
      <c r="CC2938" s="129">
        <f>G2938-I2938+1</f>
        <v>52</v>
      </c>
      <c r="CD2938" s="129">
        <f>G2938-J2938</f>
        <v>0</v>
      </c>
      <c r="CG2938" s="129" t="str">
        <f t="shared" si="2121"/>
        <v>N</v>
      </c>
      <c r="CI2938" s="129" t="str">
        <f t="shared" si="2122"/>
        <v>31-60 DAYS</v>
      </c>
      <c r="CJ2938" s="137">
        <f t="shared" si="2123"/>
        <v>3</v>
      </c>
      <c r="CK2938" s="129" t="str">
        <f t="shared" si="2124"/>
        <v>Booked</v>
      </c>
    </row>
    <row r="2939" spans="1:89" ht="15.75" customHeight="1" x14ac:dyDescent="0.25">
      <c r="A2939" s="111">
        <v>1888</v>
      </c>
      <c r="B2939" s="128" t="str">
        <f t="shared" si="2113"/>
        <v>N</v>
      </c>
      <c r="C2939" s="128" t="str">
        <f t="shared" si="2114"/>
        <v>N</v>
      </c>
      <c r="D2939" s="117">
        <v>2608940</v>
      </c>
      <c r="E2939" s="135">
        <f t="shared" si="2115"/>
        <v>4</v>
      </c>
      <c r="F2939" s="124">
        <v>40978</v>
      </c>
      <c r="G2939" s="125">
        <v>40980</v>
      </c>
      <c r="H2939" s="117">
        <v>2608940</v>
      </c>
      <c r="I2939" s="124">
        <v>40979</v>
      </c>
      <c r="J2939" s="124">
        <v>40980</v>
      </c>
      <c r="K2939" s="126">
        <v>70000</v>
      </c>
      <c r="L2939" s="129" t="s">
        <v>572</v>
      </c>
      <c r="N2939" s="129" t="str">
        <f t="shared" si="2140"/>
        <v>N</v>
      </c>
      <c r="O2939" s="128" t="s">
        <v>917</v>
      </c>
      <c r="P2939" s="129" t="s">
        <v>39</v>
      </c>
      <c r="Q2939" s="111">
        <f t="shared" si="2139"/>
        <v>2</v>
      </c>
      <c r="R2939" s="111">
        <f t="shared" si="2103"/>
        <v>3</v>
      </c>
      <c r="S2939" s="129">
        <v>0</v>
      </c>
      <c r="T2939" s="129">
        <v>0</v>
      </c>
      <c r="W2939" s="111"/>
      <c r="AB2939" s="131" t="s">
        <v>112</v>
      </c>
      <c r="AC2939" s="130"/>
      <c r="AD2939" s="130">
        <v>30926</v>
      </c>
      <c r="AE2939" s="128" t="s">
        <v>46</v>
      </c>
      <c r="AF2939" s="128" t="s">
        <v>40</v>
      </c>
      <c r="AG2939" s="128" t="s">
        <v>41</v>
      </c>
      <c r="AH2939" s="108" t="s">
        <v>31</v>
      </c>
      <c r="AI2939" s="128" t="s">
        <v>62</v>
      </c>
      <c r="AJ2939" s="129" t="s">
        <v>89</v>
      </c>
      <c r="AK2939" s="129">
        <v>1</v>
      </c>
      <c r="AL2939" s="3" t="s">
        <v>991</v>
      </c>
      <c r="AO2939" s="128">
        <v>365</v>
      </c>
      <c r="AP2939" s="129" t="s">
        <v>63</v>
      </c>
      <c r="AR2939" s="128" t="s">
        <v>44</v>
      </c>
      <c r="AS2939" s="129" t="s">
        <v>64</v>
      </c>
      <c r="BC2939" s="129" t="s">
        <v>38</v>
      </c>
      <c r="BF2939" s="111">
        <f t="shared" si="2141"/>
        <v>2</v>
      </c>
      <c r="BG2939" s="111">
        <f t="shared" si="2142"/>
        <v>2</v>
      </c>
      <c r="BH2939" s="111">
        <f t="shared" si="2104"/>
        <v>3</v>
      </c>
      <c r="BI2939" s="111">
        <f t="shared" si="2106"/>
        <v>27.464480874316941</v>
      </c>
      <c r="BJ2939" s="129">
        <f>G2939-J2939-M2939</f>
        <v>0</v>
      </c>
      <c r="BK2939" s="129">
        <f t="shared" si="2105"/>
        <v>0</v>
      </c>
      <c r="BL2939" s="129" t="str">
        <f t="shared" si="2144"/>
        <v>CONVICTION</v>
      </c>
      <c r="BM2939" s="129" t="str">
        <f>O2939</f>
        <v>NONE</v>
      </c>
      <c r="BN2939" s="129" t="s">
        <v>566</v>
      </c>
      <c r="BP2939" s="137" t="str">
        <f t="shared" si="2107"/>
        <v>CONVICTION</v>
      </c>
      <c r="BQ2939" s="128" t="str">
        <f t="shared" si="2116"/>
        <v>Y</v>
      </c>
      <c r="BR2939" s="129" t="str">
        <f t="shared" si="2108"/>
        <v>DETAINED</v>
      </c>
      <c r="BS2939" s="129" t="str">
        <f t="shared" si="2109"/>
        <v>DISPOSED</v>
      </c>
      <c r="BT2939" s="129" t="str">
        <f t="shared" si="2110"/>
        <v>N</v>
      </c>
      <c r="BU2939" s="109">
        <f t="shared" si="2111"/>
        <v>0.66666666666666663</v>
      </c>
      <c r="BV2939" s="109">
        <f t="shared" si="2117"/>
        <v>1</v>
      </c>
      <c r="BW2939" s="109">
        <f t="shared" si="2127"/>
        <v>0.33333333333333337</v>
      </c>
      <c r="BX2939" s="111">
        <f t="shared" si="2112"/>
        <v>0</v>
      </c>
      <c r="BY2939" s="129">
        <f t="shared" si="2118"/>
        <v>-2</v>
      </c>
      <c r="BZ2939" s="111">
        <f t="shared" si="2119"/>
        <v>0</v>
      </c>
      <c r="CA2939" s="138">
        <f t="shared" si="2120"/>
        <v>2</v>
      </c>
      <c r="CB2939" s="111" t="e">
        <f t="shared" si="2143"/>
        <v>#VALUE!</v>
      </c>
      <c r="CC2939" s="129">
        <f>G2939-I2939+1</f>
        <v>2</v>
      </c>
      <c r="CD2939" s="129">
        <f>G2939-J2939</f>
        <v>0</v>
      </c>
      <c r="CG2939" s="129" t="str">
        <f t="shared" si="2121"/>
        <v>N</v>
      </c>
      <c r="CI2939" s="129" t="str">
        <f t="shared" si="2122"/>
        <v>0-10 DAYS</v>
      </c>
      <c r="CJ2939" s="137">
        <f t="shared" si="2123"/>
        <v>1</v>
      </c>
      <c r="CK2939" s="129" t="str">
        <f t="shared" si="2124"/>
        <v>Booked</v>
      </c>
    </row>
    <row r="2940" spans="1:89" ht="15.75" customHeight="1" x14ac:dyDescent="0.25">
      <c r="A2940" s="111">
        <v>1896</v>
      </c>
      <c r="B2940" s="128" t="str">
        <f t="shared" si="2113"/>
        <v>N</v>
      </c>
      <c r="C2940" s="128" t="str">
        <f t="shared" si="2114"/>
        <v>N</v>
      </c>
      <c r="D2940" s="117">
        <v>2608966</v>
      </c>
      <c r="E2940" s="135">
        <f t="shared" si="2115"/>
        <v>2</v>
      </c>
      <c r="F2940" s="124">
        <v>40979</v>
      </c>
      <c r="G2940" s="125">
        <v>41169</v>
      </c>
      <c r="H2940" s="117">
        <v>2608966</v>
      </c>
      <c r="I2940" s="124">
        <v>40979</v>
      </c>
      <c r="J2940" s="124">
        <v>40981</v>
      </c>
      <c r="K2940" s="126">
        <v>2000</v>
      </c>
      <c r="L2940" s="127" t="s">
        <v>568</v>
      </c>
      <c r="M2940" s="125">
        <v>40981</v>
      </c>
      <c r="N2940" s="129" t="str">
        <f t="shared" si="2140"/>
        <v>Y</v>
      </c>
      <c r="O2940" s="128" t="s">
        <v>585</v>
      </c>
      <c r="P2940" s="129" t="s">
        <v>589</v>
      </c>
      <c r="Q2940" s="111">
        <f t="shared" si="2139"/>
        <v>3</v>
      </c>
      <c r="R2940" s="111">
        <f t="shared" ref="R2940:R3003" si="2145">BH2940</f>
        <v>191</v>
      </c>
      <c r="S2940" s="129">
        <v>0</v>
      </c>
      <c r="T2940" s="129">
        <v>0</v>
      </c>
      <c r="W2940" s="111"/>
      <c r="AB2940" s="131" t="s">
        <v>112</v>
      </c>
      <c r="AC2940" s="130"/>
      <c r="AD2940" s="130">
        <v>26459</v>
      </c>
      <c r="AE2940" s="128" t="s">
        <v>32</v>
      </c>
      <c r="AF2940" s="128" t="s">
        <v>40</v>
      </c>
      <c r="AG2940" s="128" t="s">
        <v>41</v>
      </c>
      <c r="AH2940" s="108" t="s">
        <v>31</v>
      </c>
      <c r="AI2940" s="128" t="s">
        <v>42</v>
      </c>
      <c r="AJ2940" s="129" t="s">
        <v>48</v>
      </c>
      <c r="AK2940" s="129">
        <v>7</v>
      </c>
      <c r="AL2940" s="3" t="s">
        <v>48</v>
      </c>
      <c r="AP2940" s="129" t="s">
        <v>43</v>
      </c>
      <c r="AR2940" s="128" t="s">
        <v>44</v>
      </c>
      <c r="AS2940" s="129" t="s">
        <v>45</v>
      </c>
      <c r="BC2940" s="129" t="s">
        <v>52</v>
      </c>
      <c r="BF2940" s="111">
        <f t="shared" si="2141"/>
        <v>3</v>
      </c>
      <c r="BG2940" s="111">
        <f t="shared" si="2142"/>
        <v>191</v>
      </c>
      <c r="BH2940" s="111">
        <f t="shared" ref="BH2940:BH3003" si="2146">IF(G2940&gt;1/1/1900,((G2940+1)-F2940),"STILL OPEN")</f>
        <v>191</v>
      </c>
      <c r="BI2940" s="111">
        <f t="shared" si="2106"/>
        <v>39.672131147540981</v>
      </c>
      <c r="BJ2940" s="129">
        <f>(G2940-J2940)+(M2940-G2940)</f>
        <v>0</v>
      </c>
      <c r="BK2940" s="129">
        <f t="shared" ref="BK2940:BK3003" si="2147">J2940-G2940</f>
        <v>-188</v>
      </c>
      <c r="BL2940" s="129" t="str">
        <f t="shared" si="2144"/>
        <v>DEFERRED</v>
      </c>
      <c r="BM2940" s="129" t="s">
        <v>76</v>
      </c>
      <c r="BN2940" s="129" t="s">
        <v>88</v>
      </c>
      <c r="BP2940" s="137" t="str">
        <f t="shared" si="2107"/>
        <v>DEFERRED</v>
      </c>
      <c r="BQ2940" s="128" t="str">
        <f t="shared" si="2116"/>
        <v>Y</v>
      </c>
      <c r="BR2940" s="129" t="str">
        <f t="shared" si="2108"/>
        <v>ON BOND</v>
      </c>
      <c r="BS2940" s="129" t="str">
        <f t="shared" si="2109"/>
        <v>DISPOSED</v>
      </c>
      <c r="BT2940" s="129" t="str">
        <f t="shared" si="2110"/>
        <v>N</v>
      </c>
      <c r="BU2940" s="109">
        <f t="shared" si="2111"/>
        <v>1.5706806282722512E-2</v>
      </c>
      <c r="BV2940" s="109">
        <f t="shared" si="2117"/>
        <v>1.5706806282722512E-2</v>
      </c>
      <c r="BW2940" s="109">
        <f t="shared" si="2127"/>
        <v>0</v>
      </c>
      <c r="BX2940" s="111">
        <f t="shared" si="2112"/>
        <v>0</v>
      </c>
      <c r="BY2940" s="129">
        <f t="shared" si="2118"/>
        <v>-3</v>
      </c>
      <c r="BZ2940" s="111">
        <f t="shared" si="2119"/>
        <v>0</v>
      </c>
      <c r="CA2940" s="138">
        <f t="shared" si="2120"/>
        <v>3</v>
      </c>
      <c r="CB2940" s="111" t="e">
        <f t="shared" si="2143"/>
        <v>#VALUE!</v>
      </c>
      <c r="CC2940" s="129">
        <f>M2940-I2940+1</f>
        <v>3</v>
      </c>
      <c r="CD2940" s="111">
        <f>CC2940-BF2940</f>
        <v>0</v>
      </c>
      <c r="CG2940" s="129" t="str">
        <f t="shared" si="2121"/>
        <v>N</v>
      </c>
      <c r="CI2940" s="129" t="str">
        <f t="shared" si="2122"/>
        <v>0-10 DAYS</v>
      </c>
      <c r="CJ2940" s="137">
        <f t="shared" si="2123"/>
        <v>1</v>
      </c>
      <c r="CK2940" s="129" t="str">
        <f t="shared" si="2124"/>
        <v>Booked</v>
      </c>
    </row>
    <row r="2941" spans="1:89" ht="15.75" customHeight="1" x14ac:dyDescent="0.25">
      <c r="A2941" s="111">
        <v>1919</v>
      </c>
      <c r="B2941" s="128" t="str">
        <f t="shared" si="2113"/>
        <v>N</v>
      </c>
      <c r="C2941" s="128" t="str">
        <f t="shared" si="2114"/>
        <v>N</v>
      </c>
      <c r="D2941" s="117">
        <v>2609179</v>
      </c>
      <c r="E2941" s="135">
        <f t="shared" si="2115"/>
        <v>4</v>
      </c>
      <c r="F2941" s="124">
        <v>40980</v>
      </c>
      <c r="G2941" s="125">
        <v>41122</v>
      </c>
      <c r="H2941" s="117">
        <v>2609179</v>
      </c>
      <c r="I2941" s="124">
        <v>40981</v>
      </c>
      <c r="J2941" s="124">
        <v>41014</v>
      </c>
      <c r="K2941" s="126">
        <v>20000</v>
      </c>
      <c r="L2941" s="127" t="s">
        <v>571</v>
      </c>
      <c r="M2941" s="125">
        <v>41014</v>
      </c>
      <c r="N2941" s="129" t="str">
        <f t="shared" si="2140"/>
        <v>Y</v>
      </c>
      <c r="O2941" s="128" t="s">
        <v>76</v>
      </c>
      <c r="P2941" s="129" t="s">
        <v>39</v>
      </c>
      <c r="Q2941" s="111">
        <f t="shared" si="2139"/>
        <v>34</v>
      </c>
      <c r="R2941" s="111">
        <f t="shared" si="2145"/>
        <v>143</v>
      </c>
      <c r="S2941" s="129">
        <v>0</v>
      </c>
      <c r="T2941" s="129">
        <v>0</v>
      </c>
      <c r="W2941" s="111"/>
      <c r="AC2941" s="130"/>
      <c r="AD2941" s="130">
        <v>33151</v>
      </c>
      <c r="AE2941" s="128" t="s">
        <v>46</v>
      </c>
      <c r="AF2941" s="128" t="s">
        <v>33</v>
      </c>
      <c r="AG2941" s="128" t="s">
        <v>872</v>
      </c>
      <c r="AH2941" s="108" t="s">
        <v>31</v>
      </c>
      <c r="AI2941" s="128" t="s">
        <v>95</v>
      </c>
      <c r="AJ2941" s="129" t="s">
        <v>89</v>
      </c>
      <c r="AK2941" s="129">
        <v>6</v>
      </c>
      <c r="AL2941" s="3" t="s">
        <v>991</v>
      </c>
      <c r="AO2941" s="128">
        <v>30</v>
      </c>
      <c r="AP2941" s="129" t="s">
        <v>73</v>
      </c>
      <c r="AR2941" s="128" t="s">
        <v>50</v>
      </c>
      <c r="AS2941" s="129" t="s">
        <v>74</v>
      </c>
      <c r="BC2941" s="129" t="s">
        <v>38</v>
      </c>
      <c r="BF2941" s="111">
        <f t="shared" si="2141"/>
        <v>34</v>
      </c>
      <c r="BG2941" s="111">
        <f t="shared" si="2142"/>
        <v>142</v>
      </c>
      <c r="BH2941" s="111">
        <f t="shared" si="2146"/>
        <v>143</v>
      </c>
      <c r="BI2941" s="111">
        <f t="shared" si="2106"/>
        <v>21.39071038251366</v>
      </c>
      <c r="BJ2941" s="129">
        <f>(G2941-J2941)+(M2941-G2941)</f>
        <v>0</v>
      </c>
      <c r="BK2941" s="129">
        <f t="shared" si="2147"/>
        <v>-108</v>
      </c>
      <c r="BL2941" s="129" t="str">
        <f t="shared" si="2144"/>
        <v>CONVICTION</v>
      </c>
      <c r="BM2941" s="129" t="s">
        <v>76</v>
      </c>
      <c r="BN2941" s="129" t="s">
        <v>88</v>
      </c>
      <c r="BP2941" s="137" t="str">
        <f t="shared" si="2107"/>
        <v>CONVICTION</v>
      </c>
      <c r="BQ2941" s="128" t="str">
        <f t="shared" si="2116"/>
        <v>Y</v>
      </c>
      <c r="BR2941" s="129" t="str">
        <f>IF(J2941&lt;G2941,"ON BOND",0)</f>
        <v>ON BOND</v>
      </c>
      <c r="BS2941" s="129" t="str">
        <f t="shared" si="2109"/>
        <v>DISPOSED</v>
      </c>
      <c r="BT2941" s="129" t="str">
        <f t="shared" si="2110"/>
        <v>N</v>
      </c>
      <c r="BU2941" s="109">
        <f t="shared" si="2111"/>
        <v>0.23776223776223776</v>
      </c>
      <c r="BV2941" s="109">
        <f t="shared" si="2117"/>
        <v>0.23943661971830985</v>
      </c>
      <c r="BW2941" s="109">
        <f t="shared" si="2127"/>
        <v>1.6743819560720852E-3</v>
      </c>
      <c r="BX2941" s="111">
        <f t="shared" si="2112"/>
        <v>0</v>
      </c>
      <c r="BY2941" s="129">
        <f t="shared" si="2118"/>
        <v>-34</v>
      </c>
      <c r="BZ2941" s="111">
        <f t="shared" si="2119"/>
        <v>0</v>
      </c>
      <c r="CA2941" s="138">
        <f t="shared" si="2120"/>
        <v>34</v>
      </c>
      <c r="CB2941" s="111" t="e">
        <f t="shared" si="2143"/>
        <v>#VALUE!</v>
      </c>
      <c r="CC2941" s="129">
        <f>M2941-I2941+1</f>
        <v>34</v>
      </c>
      <c r="CD2941" s="111">
        <f>CC2941-BF2941</f>
        <v>0</v>
      </c>
      <c r="CG2941" s="129" t="str">
        <f t="shared" si="2121"/>
        <v>N</v>
      </c>
      <c r="CI2941" s="129" t="str">
        <f t="shared" si="2122"/>
        <v>31-60 DAYS</v>
      </c>
      <c r="CJ2941" s="137">
        <f t="shared" si="2123"/>
        <v>3</v>
      </c>
      <c r="CK2941" s="129" t="str">
        <f t="shared" si="2124"/>
        <v>Booked</v>
      </c>
    </row>
    <row r="2942" spans="1:89" ht="15" customHeight="1" x14ac:dyDescent="0.25">
      <c r="A2942" s="111">
        <v>1930</v>
      </c>
      <c r="B2942" s="128" t="str">
        <f t="shared" si="2113"/>
        <v>N</v>
      </c>
      <c r="C2942" s="128" t="str">
        <f t="shared" si="2114"/>
        <v>N</v>
      </c>
      <c r="D2942" s="117">
        <v>2609280</v>
      </c>
      <c r="E2942" s="135">
        <f t="shared" si="2115"/>
        <v>6</v>
      </c>
      <c r="F2942" s="124">
        <v>40981</v>
      </c>
      <c r="G2942" s="125">
        <v>41197</v>
      </c>
      <c r="H2942" s="117">
        <v>2609280</v>
      </c>
      <c r="I2942" s="124">
        <v>40983</v>
      </c>
      <c r="J2942" s="124">
        <v>40985</v>
      </c>
      <c r="K2942" s="126">
        <v>10000</v>
      </c>
      <c r="L2942" s="127" t="s">
        <v>570</v>
      </c>
      <c r="M2942" s="125">
        <v>40985</v>
      </c>
      <c r="N2942" s="129" t="str">
        <f t="shared" si="2140"/>
        <v>Y</v>
      </c>
      <c r="O2942" s="128" t="s">
        <v>585</v>
      </c>
      <c r="P2942" s="129" t="s">
        <v>39</v>
      </c>
      <c r="Q2942" s="111">
        <f t="shared" si="2139"/>
        <v>3</v>
      </c>
      <c r="R2942" s="111">
        <f t="shared" si="2145"/>
        <v>217</v>
      </c>
      <c r="S2942" s="129">
        <v>0</v>
      </c>
      <c r="T2942" s="129">
        <v>0</v>
      </c>
      <c r="W2942" s="111"/>
      <c r="AC2942" s="130"/>
      <c r="AD2942" s="130">
        <v>33825</v>
      </c>
      <c r="AE2942" s="128" t="s">
        <v>32</v>
      </c>
      <c r="AF2942" s="128" t="s">
        <v>33</v>
      </c>
      <c r="AG2942" s="128" t="s">
        <v>872</v>
      </c>
      <c r="AH2942" s="108" t="s">
        <v>31</v>
      </c>
      <c r="AI2942" s="128" t="s">
        <v>90</v>
      </c>
      <c r="AJ2942" s="129" t="s">
        <v>89</v>
      </c>
      <c r="AK2942" s="129">
        <v>14</v>
      </c>
      <c r="AL2942" s="3" t="s">
        <v>362</v>
      </c>
      <c r="AM2942" s="117">
        <v>3</v>
      </c>
      <c r="AP2942" s="129" t="s">
        <v>223</v>
      </c>
      <c r="AR2942" s="128" t="s">
        <v>50</v>
      </c>
      <c r="AS2942" s="129" t="s">
        <v>74</v>
      </c>
      <c r="AT2942" s="129" t="s">
        <v>641</v>
      </c>
      <c r="BC2942" s="129" t="s">
        <v>52</v>
      </c>
      <c r="BF2942" s="111">
        <f t="shared" si="2141"/>
        <v>3</v>
      </c>
      <c r="BG2942" s="111">
        <f t="shared" si="2142"/>
        <v>215</v>
      </c>
      <c r="BH2942" s="111">
        <f t="shared" si="2146"/>
        <v>217</v>
      </c>
      <c r="BI2942" s="111">
        <f t="shared" si="2106"/>
        <v>19.551912568306012</v>
      </c>
      <c r="BJ2942" s="129">
        <f>(G2942-J2942)+(M2942-G2942)</f>
        <v>0</v>
      </c>
      <c r="BK2942" s="129">
        <f t="shared" si="2147"/>
        <v>-212</v>
      </c>
      <c r="BL2942" s="129" t="str">
        <f t="shared" si="2144"/>
        <v>CONVICTION</v>
      </c>
      <c r="BM2942" s="129" t="s">
        <v>76</v>
      </c>
      <c r="BN2942" s="129" t="s">
        <v>88</v>
      </c>
      <c r="BP2942" s="137" t="str">
        <f t="shared" si="2107"/>
        <v>CONVICTION</v>
      </c>
      <c r="BQ2942" s="128" t="str">
        <f t="shared" si="2116"/>
        <v>Y</v>
      </c>
      <c r="BR2942" s="129" t="str">
        <f>IF(J2942&lt;G2942,"ON BOND",0)</f>
        <v>ON BOND</v>
      </c>
      <c r="BS2942" s="129" t="str">
        <f t="shared" si="2109"/>
        <v>DISPOSED</v>
      </c>
      <c r="BT2942" s="129" t="str">
        <f t="shared" si="2110"/>
        <v>N</v>
      </c>
      <c r="BU2942" s="109">
        <f t="shared" si="2111"/>
        <v>1.3824884792626729E-2</v>
      </c>
      <c r="BV2942" s="109">
        <f t="shared" si="2117"/>
        <v>1.3953488372093023E-2</v>
      </c>
      <c r="BW2942" s="109">
        <f t="shared" si="2127"/>
        <v>1.286035794662941E-4</v>
      </c>
      <c r="BX2942" s="111">
        <f t="shared" si="2112"/>
        <v>0</v>
      </c>
      <c r="BY2942" s="129">
        <f t="shared" si="2118"/>
        <v>-3</v>
      </c>
      <c r="BZ2942" s="111">
        <f t="shared" si="2119"/>
        <v>0</v>
      </c>
      <c r="CA2942" s="138">
        <f t="shared" si="2120"/>
        <v>3</v>
      </c>
      <c r="CB2942" s="111" t="e">
        <f t="shared" si="2143"/>
        <v>#VALUE!</v>
      </c>
      <c r="CC2942" s="129">
        <f>M2942-I2942+1</f>
        <v>3</v>
      </c>
      <c r="CD2942" s="111">
        <f>CC2942-BF2942</f>
        <v>0</v>
      </c>
      <c r="CG2942" s="129" t="str">
        <f t="shared" si="2121"/>
        <v>N</v>
      </c>
      <c r="CI2942" s="129" t="str">
        <f t="shared" si="2122"/>
        <v>0-10 DAYS</v>
      </c>
      <c r="CJ2942" s="137">
        <f t="shared" si="2123"/>
        <v>1</v>
      </c>
      <c r="CK2942" s="129" t="str">
        <f t="shared" si="2124"/>
        <v>Booked</v>
      </c>
    </row>
    <row r="2943" spans="1:89" ht="15" customHeight="1" x14ac:dyDescent="0.25">
      <c r="A2943" s="111">
        <v>1921</v>
      </c>
      <c r="B2943" s="128" t="str">
        <f t="shared" si="2113"/>
        <v>N</v>
      </c>
      <c r="C2943" s="128" t="str">
        <f t="shared" si="2114"/>
        <v>N</v>
      </c>
      <c r="D2943" s="117">
        <v>2609348</v>
      </c>
      <c r="E2943" s="135">
        <f t="shared" si="2115"/>
        <v>4</v>
      </c>
      <c r="F2943" s="124">
        <v>40980</v>
      </c>
      <c r="G2943" s="125">
        <v>41078</v>
      </c>
      <c r="H2943" s="117">
        <v>2609348</v>
      </c>
      <c r="I2943" s="124">
        <v>40982</v>
      </c>
      <c r="J2943" s="124">
        <v>41078</v>
      </c>
      <c r="K2943" s="126" t="s">
        <v>564</v>
      </c>
      <c r="L2943" s="127" t="s">
        <v>564</v>
      </c>
      <c r="N2943" s="129" t="s">
        <v>566</v>
      </c>
      <c r="O2943" s="128" t="s">
        <v>917</v>
      </c>
      <c r="P2943" s="129" t="s">
        <v>77</v>
      </c>
      <c r="Q2943" s="111">
        <f t="shared" si="2139"/>
        <v>97</v>
      </c>
      <c r="R2943" s="111">
        <f t="shared" si="2145"/>
        <v>99</v>
      </c>
      <c r="S2943" s="129">
        <v>0</v>
      </c>
      <c r="T2943" s="129">
        <v>0</v>
      </c>
      <c r="W2943" s="111"/>
      <c r="AB2943" s="131" t="s">
        <v>112</v>
      </c>
      <c r="AC2943" s="130"/>
      <c r="AD2943" s="130">
        <v>30797</v>
      </c>
      <c r="AE2943" s="128" t="s">
        <v>32</v>
      </c>
      <c r="AF2943" s="128" t="s">
        <v>40</v>
      </c>
      <c r="AG2943" s="128" t="s">
        <v>41</v>
      </c>
      <c r="AH2943" s="108" t="s">
        <v>31</v>
      </c>
      <c r="AI2943" s="128" t="s">
        <v>47</v>
      </c>
      <c r="AJ2943" s="129" t="s">
        <v>89</v>
      </c>
      <c r="AK2943" s="129">
        <v>6</v>
      </c>
      <c r="AL2943" s="3" t="s">
        <v>991</v>
      </c>
      <c r="AO2943" s="128">
        <v>240</v>
      </c>
      <c r="AP2943" s="129" t="s">
        <v>389</v>
      </c>
      <c r="AS2943" s="129" t="s">
        <v>370</v>
      </c>
      <c r="BC2943" s="129" t="s">
        <v>38</v>
      </c>
      <c r="BF2943" s="111">
        <f t="shared" si="2141"/>
        <v>97</v>
      </c>
      <c r="BG2943" s="111">
        <f t="shared" si="2142"/>
        <v>97</v>
      </c>
      <c r="BH2943" s="111">
        <f t="shared" si="2146"/>
        <v>99</v>
      </c>
      <c r="BI2943" s="111">
        <f t="shared" ref="BI2943:BI3006" si="2148">(F2943-AD2943)/366</f>
        <v>27.8224043715847</v>
      </c>
      <c r="BJ2943" s="129">
        <f>G2943-J2943-M2943</f>
        <v>0</v>
      </c>
      <c r="BK2943" s="129">
        <f t="shared" si="2147"/>
        <v>0</v>
      </c>
      <c r="BL2943" s="129" t="str">
        <f t="shared" si="2144"/>
        <v>CONVICTION</v>
      </c>
      <c r="BM2943" s="129" t="str">
        <f>O2943</f>
        <v>NONE</v>
      </c>
      <c r="BN2943" s="129" t="s">
        <v>566</v>
      </c>
      <c r="BP2943" s="137" t="str">
        <f t="shared" si="2107"/>
        <v>CONVICTION</v>
      </c>
      <c r="BQ2943" s="128" t="str">
        <f t="shared" si="2116"/>
        <v>Y</v>
      </c>
      <c r="BR2943" s="129" t="str">
        <f t="shared" si="2108"/>
        <v>DETAINED</v>
      </c>
      <c r="BS2943" s="129" t="str">
        <f t="shared" si="2109"/>
        <v>DISPOSED</v>
      </c>
      <c r="BT2943" s="129" t="str">
        <f t="shared" si="2110"/>
        <v>N</v>
      </c>
      <c r="BU2943" s="109">
        <f t="shared" si="2111"/>
        <v>0.97979797979797978</v>
      </c>
      <c r="BV2943" s="109">
        <f t="shared" si="2117"/>
        <v>1</v>
      </c>
      <c r="BW2943" s="109">
        <f t="shared" si="2127"/>
        <v>2.0202020202020221E-2</v>
      </c>
      <c r="BX2943" s="111">
        <f t="shared" si="2112"/>
        <v>0</v>
      </c>
      <c r="BY2943" s="129">
        <f t="shared" si="2118"/>
        <v>-97</v>
      </c>
      <c r="BZ2943" s="111">
        <f t="shared" si="2119"/>
        <v>0</v>
      </c>
      <c r="CA2943" s="138">
        <f t="shared" si="2120"/>
        <v>97</v>
      </c>
      <c r="CB2943" s="111" t="e">
        <f t="shared" si="2143"/>
        <v>#VALUE!</v>
      </c>
      <c r="CC2943" s="129">
        <f>G2943-I2943+1</f>
        <v>97</v>
      </c>
      <c r="CD2943" s="129">
        <f>G2943-J2943</f>
        <v>0</v>
      </c>
      <c r="CG2943" s="129" t="str">
        <f t="shared" si="2121"/>
        <v>N</v>
      </c>
      <c r="CI2943" s="129" t="str">
        <f t="shared" si="2122"/>
        <v>91-120 DAYS</v>
      </c>
      <c r="CJ2943" s="137">
        <f t="shared" si="2123"/>
        <v>0</v>
      </c>
      <c r="CK2943" s="129" t="str">
        <f t="shared" si="2124"/>
        <v>Booked</v>
      </c>
    </row>
    <row r="2944" spans="1:89" ht="15.75" customHeight="1" x14ac:dyDescent="0.25">
      <c r="A2944" s="111">
        <v>1946</v>
      </c>
      <c r="B2944" s="128" t="str">
        <f t="shared" si="2113"/>
        <v>N</v>
      </c>
      <c r="C2944" s="128" t="str">
        <f t="shared" si="2114"/>
        <v>N</v>
      </c>
      <c r="D2944" s="117">
        <v>2609363</v>
      </c>
      <c r="E2944" s="135">
        <f t="shared" si="2115"/>
        <v>2</v>
      </c>
      <c r="F2944" s="124">
        <v>40982</v>
      </c>
      <c r="G2944" s="125">
        <v>41080</v>
      </c>
      <c r="H2944" s="117">
        <v>2609363</v>
      </c>
      <c r="I2944" s="124">
        <v>40982</v>
      </c>
      <c r="J2944" s="124">
        <v>41080</v>
      </c>
      <c r="K2944" s="126">
        <v>20000</v>
      </c>
      <c r="L2944" s="127" t="s">
        <v>571</v>
      </c>
      <c r="N2944" s="129" t="str">
        <f>IF(M2944&gt;1/1/1,"Y","N")</f>
        <v>N</v>
      </c>
      <c r="O2944" s="128" t="s">
        <v>917</v>
      </c>
      <c r="P2944" s="129" t="s">
        <v>589</v>
      </c>
      <c r="Q2944" s="111">
        <f t="shared" si="2139"/>
        <v>99</v>
      </c>
      <c r="R2944" s="111">
        <f t="shared" si="2145"/>
        <v>99</v>
      </c>
      <c r="S2944" s="129">
        <v>0</v>
      </c>
      <c r="T2944" s="129">
        <v>0</v>
      </c>
      <c r="W2944" s="111"/>
      <c r="AC2944" s="130"/>
      <c r="AD2944" s="130">
        <v>34320</v>
      </c>
      <c r="AE2944" s="128" t="s">
        <v>32</v>
      </c>
      <c r="AF2944" s="128" t="s">
        <v>69</v>
      </c>
      <c r="AG2944" s="128" t="s">
        <v>874</v>
      </c>
      <c r="AH2944" s="108" t="s">
        <v>31</v>
      </c>
      <c r="AI2944" s="128" t="s">
        <v>97</v>
      </c>
      <c r="AJ2944" s="129" t="s">
        <v>48</v>
      </c>
      <c r="AK2944" s="129">
        <v>5</v>
      </c>
      <c r="AL2944" s="3" t="s">
        <v>48</v>
      </c>
      <c r="AP2944" s="129" t="s">
        <v>56</v>
      </c>
      <c r="AR2944" s="128" t="s">
        <v>50</v>
      </c>
      <c r="AS2944" s="129" t="s">
        <v>57</v>
      </c>
      <c r="AT2944" s="129" t="s">
        <v>393</v>
      </c>
      <c r="BC2944" s="129" t="s">
        <v>99</v>
      </c>
      <c r="BF2944" s="111">
        <f t="shared" si="2141"/>
        <v>99</v>
      </c>
      <c r="BG2944" s="111">
        <f t="shared" si="2142"/>
        <v>99</v>
      </c>
      <c r="BH2944" s="111">
        <f t="shared" si="2146"/>
        <v>99</v>
      </c>
      <c r="BI2944" s="111">
        <f t="shared" si="2148"/>
        <v>18.202185792349727</v>
      </c>
      <c r="BJ2944" s="129">
        <f>G2944-J2944-M2944</f>
        <v>0</v>
      </c>
      <c r="BK2944" s="129">
        <f t="shared" si="2147"/>
        <v>0</v>
      </c>
      <c r="BL2944" s="129" t="str">
        <f t="shared" si="2144"/>
        <v>DEFERRED</v>
      </c>
      <c r="BM2944" s="129" t="str">
        <f t="shared" ref="BM2944:BM3006" si="2149">O2944</f>
        <v>NONE</v>
      </c>
      <c r="BN2944" s="129" t="s">
        <v>566</v>
      </c>
      <c r="BP2944" s="137" t="str">
        <f t="shared" ref="BP2944:BP3007" si="2150">IF(OR(AJ2944="AQUITTAL",AJ2944="DISMISSED",AJ2944="FINE",AJ2944="NO BILL"),"NO CONVICTION",IF(OR(AJ2944="HCJ",AJ2944="MHH",AJ2944="PROBATION",AJ2944="STJ",AJ2944="TDC",AJ2944="CONVICTED"),"CONVICTION",IF(AJ2944="DEFERRED","DEFERRED","")))</f>
        <v>DEFERRED</v>
      </c>
      <c r="BQ2944" s="128" t="str">
        <f t="shared" si="2116"/>
        <v>Y</v>
      </c>
      <c r="BR2944" s="129" t="str">
        <f t="shared" ref="BR2944:BR3007" si="2151">IF(AND(J2944="NOT BOOKED",M2944&gt;1/1/1),"BONDED - BEFORE BOOKED",IF(BG2944="STILL OPEN","STILL OPEN",IF(N2944="Y","ON BOND",IF(J2944&gt;=G2944,"DETAINED","RELEASED"))))</f>
        <v>DETAINED</v>
      </c>
      <c r="BS2944" s="129" t="str">
        <f t="shared" ref="BS2944:BS3007" si="2152">IF(G2944&lt;&gt;"","DISPOSED","")</f>
        <v>DISPOSED</v>
      </c>
      <c r="BT2944" s="129" t="str">
        <f t="shared" ref="BT2944:BT3007" si="2153">IF(S2944&gt;0,"Y","N")</f>
        <v>N</v>
      </c>
      <c r="BU2944" s="109">
        <f t="shared" ref="BU2944:BU3007" si="2154">Q2944/R2944</f>
        <v>1</v>
      </c>
      <c r="BV2944" s="109">
        <f t="shared" si="2117"/>
        <v>1</v>
      </c>
      <c r="BW2944" s="109">
        <f t="shared" si="2127"/>
        <v>0</v>
      </c>
      <c r="BX2944" s="111">
        <f t="shared" ref="BX2944:BX3007" si="2155">+Q2944-BF2944</f>
        <v>0</v>
      </c>
      <c r="BY2944" s="129">
        <f t="shared" si="2118"/>
        <v>-99</v>
      </c>
      <c r="BZ2944" s="111">
        <f t="shared" si="2119"/>
        <v>0</v>
      </c>
      <c r="CA2944" s="138">
        <f t="shared" si="2120"/>
        <v>99</v>
      </c>
      <c r="CB2944" s="111" t="e">
        <f t="shared" si="2143"/>
        <v>#VALUE!</v>
      </c>
      <c r="CC2944" s="129">
        <f>G2944-I2944+1</f>
        <v>99</v>
      </c>
      <c r="CD2944" s="129">
        <f>G2944-J2944</f>
        <v>0</v>
      </c>
      <c r="CG2944" s="129" t="str">
        <f t="shared" si="2121"/>
        <v>N</v>
      </c>
      <c r="CI2944" s="129" t="str">
        <f t="shared" si="2122"/>
        <v>91-120 DAYS</v>
      </c>
      <c r="CJ2944" s="137">
        <f t="shared" si="2123"/>
        <v>0</v>
      </c>
      <c r="CK2944" s="129" t="str">
        <f t="shared" si="2124"/>
        <v>Booked</v>
      </c>
    </row>
    <row r="2945" spans="1:89" ht="15" customHeight="1" x14ac:dyDescent="0.25">
      <c r="A2945" s="111">
        <v>1958</v>
      </c>
      <c r="B2945" s="128" t="str">
        <f t="shared" ref="B2945:B3008" si="2156">IF(BD2945&lt;&gt;"","Y","N")</f>
        <v>N</v>
      </c>
      <c r="C2945" s="128" t="str">
        <f t="shared" ref="C2945:C3008" si="2157">IF((AND(AV2945="",AX2945="",AY2945="")),"N","Y")</f>
        <v>N</v>
      </c>
      <c r="D2945" s="117">
        <v>2609412</v>
      </c>
      <c r="E2945" s="135">
        <f t="shared" ref="E2945:E3008" si="2158">IF(OR(AL2945="ACQUITTAL",AL2945="ACQUIT",AL2945="acq insane",AL2945="DISMISSED",AL2945="NO BILL"),1,IF(AL2945="DEFERRED",2,IF(AL2945="PROBATION",3,IF(OR(AL2945="HCJ",AL2945="fine"),4,IF(AL2945="STJ",5,IF(AL2945="TDC",6,""))))))</f>
        <v>5</v>
      </c>
      <c r="F2945" s="124">
        <v>40982</v>
      </c>
      <c r="G2945" s="125">
        <v>41145</v>
      </c>
      <c r="H2945" s="117">
        <v>2609412</v>
      </c>
      <c r="I2945" s="124">
        <v>40982</v>
      </c>
      <c r="J2945" s="124">
        <v>41145</v>
      </c>
      <c r="K2945" s="126">
        <v>35000</v>
      </c>
      <c r="L2945" s="129" t="s">
        <v>572</v>
      </c>
      <c r="N2945" s="129" t="str">
        <f>IF(M2945&gt;1/1/1,"Y","N")</f>
        <v>N</v>
      </c>
      <c r="O2945" s="128" t="s">
        <v>917</v>
      </c>
      <c r="P2945" s="129" t="s">
        <v>39</v>
      </c>
      <c r="Q2945" s="111">
        <f t="shared" si="2139"/>
        <v>164</v>
      </c>
      <c r="R2945" s="111">
        <f t="shared" si="2145"/>
        <v>164</v>
      </c>
      <c r="S2945" s="129">
        <v>0</v>
      </c>
      <c r="T2945" s="129">
        <v>0</v>
      </c>
      <c r="W2945" s="111"/>
      <c r="AB2945" s="131" t="s">
        <v>112</v>
      </c>
      <c r="AC2945" s="130"/>
      <c r="AD2945" s="130">
        <v>26539</v>
      </c>
      <c r="AE2945" s="128" t="s">
        <v>46</v>
      </c>
      <c r="AF2945" s="128" t="s">
        <v>40</v>
      </c>
      <c r="AG2945" s="128" t="s">
        <v>41</v>
      </c>
      <c r="AH2945" s="108" t="s">
        <v>31</v>
      </c>
      <c r="AI2945" s="128" t="s">
        <v>97</v>
      </c>
      <c r="AJ2945" s="129" t="s">
        <v>89</v>
      </c>
      <c r="AK2945" s="129">
        <v>9</v>
      </c>
      <c r="AL2945" s="3" t="s">
        <v>992</v>
      </c>
      <c r="AN2945" s="117">
        <v>6</v>
      </c>
      <c r="AP2945" s="129" t="s">
        <v>395</v>
      </c>
      <c r="AR2945" s="128" t="s">
        <v>44</v>
      </c>
      <c r="AS2945" s="129" t="s">
        <v>64</v>
      </c>
      <c r="BC2945" s="129" t="s">
        <v>52</v>
      </c>
      <c r="BF2945" s="111">
        <f t="shared" si="2141"/>
        <v>164</v>
      </c>
      <c r="BG2945" s="111">
        <f t="shared" si="2142"/>
        <v>164</v>
      </c>
      <c r="BH2945" s="111">
        <f t="shared" si="2146"/>
        <v>164</v>
      </c>
      <c r="BI2945" s="111">
        <f t="shared" si="2148"/>
        <v>39.461748633879779</v>
      </c>
      <c r="BJ2945" s="129">
        <f t="shared" ref="BJ2945:BJ3008" si="2159">G2945-J2945-M2945</f>
        <v>0</v>
      </c>
      <c r="BK2945" s="129">
        <f t="shared" si="2147"/>
        <v>0</v>
      </c>
      <c r="BL2945" s="129" t="str">
        <f t="shared" si="2144"/>
        <v>CONVICTION</v>
      </c>
      <c r="BM2945" s="129" t="str">
        <f t="shared" si="2149"/>
        <v>NONE</v>
      </c>
      <c r="BN2945" s="129" t="s">
        <v>566</v>
      </c>
      <c r="BP2945" s="137" t="str">
        <f t="shared" si="2150"/>
        <v>CONVICTION</v>
      </c>
      <c r="BQ2945" s="128" t="str">
        <f t="shared" ref="BQ2945:BQ3008" si="2160">IF(BF2945&gt;0,"Y",BF2945)</f>
        <v>Y</v>
      </c>
      <c r="BR2945" s="129" t="str">
        <f t="shared" si="2151"/>
        <v>DETAINED</v>
      </c>
      <c r="BS2945" s="129" t="str">
        <f t="shared" si="2152"/>
        <v>DISPOSED</v>
      </c>
      <c r="BT2945" s="129" t="str">
        <f t="shared" si="2153"/>
        <v>N</v>
      </c>
      <c r="BU2945" s="109">
        <f t="shared" si="2154"/>
        <v>1</v>
      </c>
      <c r="BV2945" s="109">
        <f t="shared" ref="BV2945:BV3008" si="2161">IF(I2945&gt;F2945,((J2945-I2945+1)/(G2945-I2945+1)),(J2945-I2945+1)/(G2945-F2945+1))</f>
        <v>1</v>
      </c>
      <c r="BW2945" s="109">
        <f t="shared" si="2127"/>
        <v>0</v>
      </c>
      <c r="BX2945" s="111">
        <f t="shared" si="2155"/>
        <v>0</v>
      </c>
      <c r="BY2945" s="129">
        <f t="shared" ref="BY2945:BY3008" si="2162">I2945-J2945-1</f>
        <v>-164</v>
      </c>
      <c r="BZ2945" s="111">
        <f t="shared" ref="BZ2945:BZ3008" si="2163">BY2945+BF2945</f>
        <v>0</v>
      </c>
      <c r="CA2945" s="138">
        <f t="shared" ref="CA2945:CA3008" si="2164">IF(AND(BS2945="DISPOSED",BR2945="DETAINED"),G2945-I2945+1,IF(AND(BS2945="DISPOSED",BR2945="ON BOND"),M2945-I2945+1,IF(AND(BS2945="STILL OPEN","STILL OPEN"),"NOT BOOKED")))</f>
        <v>164</v>
      </c>
      <c r="CB2945" s="111" t="e">
        <f t="shared" si="2143"/>
        <v>#VALUE!</v>
      </c>
      <c r="CC2945" s="129">
        <f>G2945-I2945+1</f>
        <v>164</v>
      </c>
      <c r="CD2945" s="129">
        <f>G2945-J2945</f>
        <v>0</v>
      </c>
      <c r="CG2945" s="129" t="str">
        <f t="shared" ref="CG2945:CG3008" si="2165">IF((S2945+T2945+U2945)&gt;0,"Y","N")</f>
        <v>N</v>
      </c>
      <c r="CI2945" s="129" t="str">
        <f t="shared" si="2122"/>
        <v>121-365 DAYS</v>
      </c>
      <c r="CJ2945" s="137">
        <f t="shared" si="2123"/>
        <v>6</v>
      </c>
      <c r="CK2945" s="129" t="str">
        <f t="shared" si="2124"/>
        <v>Booked</v>
      </c>
    </row>
    <row r="2946" spans="1:89" ht="15" customHeight="1" x14ac:dyDescent="0.25">
      <c r="A2946" s="111">
        <v>2122</v>
      </c>
      <c r="B2946" s="128" t="str">
        <f t="shared" si="2156"/>
        <v>N</v>
      </c>
      <c r="C2946" s="128" t="str">
        <f t="shared" si="2157"/>
        <v>N</v>
      </c>
      <c r="D2946" s="117">
        <v>2609423</v>
      </c>
      <c r="E2946" s="135">
        <f t="shared" si="2158"/>
        <v>6</v>
      </c>
      <c r="F2946" s="124">
        <v>40988</v>
      </c>
      <c r="G2946" s="125">
        <v>41186</v>
      </c>
      <c r="H2946" s="117">
        <v>2609423</v>
      </c>
      <c r="I2946" s="124">
        <v>40988</v>
      </c>
      <c r="J2946" s="124">
        <v>41186</v>
      </c>
      <c r="K2946" s="126" t="s">
        <v>564</v>
      </c>
      <c r="L2946" s="127" t="s">
        <v>564</v>
      </c>
      <c r="N2946" s="129" t="s">
        <v>566</v>
      </c>
      <c r="O2946" s="128" t="s">
        <v>917</v>
      </c>
      <c r="P2946" s="129" t="s">
        <v>39</v>
      </c>
      <c r="Q2946" s="111">
        <f t="shared" si="2139"/>
        <v>199</v>
      </c>
      <c r="R2946" s="111">
        <f t="shared" si="2145"/>
        <v>199</v>
      </c>
      <c r="S2946" s="129">
        <v>0</v>
      </c>
      <c r="T2946" s="129">
        <v>0</v>
      </c>
      <c r="W2946" s="111"/>
      <c r="AB2946" s="131" t="s">
        <v>112</v>
      </c>
      <c r="AC2946" s="130"/>
      <c r="AD2946" s="130">
        <v>28273</v>
      </c>
      <c r="AE2946" s="128" t="s">
        <v>32</v>
      </c>
      <c r="AF2946" s="128" t="s">
        <v>40</v>
      </c>
      <c r="AG2946" s="128" t="s">
        <v>41</v>
      </c>
      <c r="AH2946" s="108" t="s">
        <v>31</v>
      </c>
      <c r="AI2946" s="128" t="s">
        <v>70</v>
      </c>
      <c r="AJ2946" s="129" t="s">
        <v>89</v>
      </c>
      <c r="AK2946" s="129">
        <v>10</v>
      </c>
      <c r="AL2946" s="3" t="s">
        <v>362</v>
      </c>
      <c r="AM2946" s="117">
        <v>6</v>
      </c>
      <c r="AP2946" s="129" t="s">
        <v>105</v>
      </c>
      <c r="AR2946" s="128" t="s">
        <v>92</v>
      </c>
      <c r="AS2946" s="129" t="s">
        <v>106</v>
      </c>
      <c r="BC2946" s="129" t="s">
        <v>38</v>
      </c>
      <c r="BF2946" s="111">
        <f t="shared" si="2141"/>
        <v>199</v>
      </c>
      <c r="BG2946" s="111">
        <f t="shared" si="2142"/>
        <v>199</v>
      </c>
      <c r="BH2946" s="111">
        <f t="shared" si="2146"/>
        <v>199</v>
      </c>
      <c r="BI2946" s="111">
        <f t="shared" si="2148"/>
        <v>34.740437158469945</v>
      </c>
      <c r="BJ2946" s="129">
        <f t="shared" si="2159"/>
        <v>0</v>
      </c>
      <c r="BK2946" s="129">
        <f t="shared" si="2147"/>
        <v>0</v>
      </c>
      <c r="BL2946" s="129" t="str">
        <f t="shared" si="2144"/>
        <v>CONVICTION</v>
      </c>
      <c r="BM2946" s="129" t="str">
        <f t="shared" si="2149"/>
        <v>NONE</v>
      </c>
      <c r="BN2946" s="129" t="s">
        <v>566</v>
      </c>
      <c r="BP2946" s="137" t="str">
        <f t="shared" si="2150"/>
        <v>CONVICTION</v>
      </c>
      <c r="BQ2946" s="128" t="str">
        <f t="shared" si="2160"/>
        <v>Y</v>
      </c>
      <c r="BR2946" s="129" t="str">
        <f t="shared" si="2151"/>
        <v>DETAINED</v>
      </c>
      <c r="BS2946" s="129" t="str">
        <f t="shared" si="2152"/>
        <v>DISPOSED</v>
      </c>
      <c r="BT2946" s="129" t="str">
        <f t="shared" si="2153"/>
        <v>N</v>
      </c>
      <c r="BU2946" s="109">
        <f t="shared" si="2154"/>
        <v>1</v>
      </c>
      <c r="BV2946" s="109">
        <f t="shared" si="2161"/>
        <v>1</v>
      </c>
      <c r="BW2946" s="109">
        <f t="shared" si="2127"/>
        <v>0</v>
      </c>
      <c r="BX2946" s="111">
        <f t="shared" si="2155"/>
        <v>0</v>
      </c>
      <c r="BY2946" s="129">
        <f t="shared" si="2162"/>
        <v>-199</v>
      </c>
      <c r="BZ2946" s="111">
        <f t="shared" si="2163"/>
        <v>0</v>
      </c>
      <c r="CA2946" s="138">
        <f t="shared" si="2164"/>
        <v>199</v>
      </c>
      <c r="CB2946" s="111" t="e">
        <f t="shared" si="2143"/>
        <v>#VALUE!</v>
      </c>
      <c r="CC2946" s="129">
        <f>G2946-I2946+1</f>
        <v>199</v>
      </c>
      <c r="CD2946" s="129">
        <f>G2946-J2946</f>
        <v>0</v>
      </c>
      <c r="CG2946" s="129" t="str">
        <f t="shared" si="2165"/>
        <v>N</v>
      </c>
      <c r="CI2946" s="129" t="str">
        <f t="shared" si="2122"/>
        <v>121-365 DAYS</v>
      </c>
      <c r="CJ2946" s="137">
        <f t="shared" si="2123"/>
        <v>6</v>
      </c>
      <c r="CK2946" s="129" t="str">
        <f t="shared" si="2124"/>
        <v>Booked</v>
      </c>
    </row>
    <row r="2947" spans="1:89" ht="15" customHeight="1" x14ac:dyDescent="0.25">
      <c r="A2947" s="111">
        <v>2940</v>
      </c>
      <c r="B2947" s="128" t="str">
        <f t="shared" si="2156"/>
        <v>N</v>
      </c>
      <c r="C2947" s="128" t="str">
        <f t="shared" si="2157"/>
        <v>N</v>
      </c>
      <c r="D2947" s="117">
        <v>2609496</v>
      </c>
      <c r="E2947" s="135">
        <f t="shared" si="2158"/>
        <v>6</v>
      </c>
      <c r="F2947" s="124">
        <v>41017</v>
      </c>
      <c r="G2947" s="125">
        <v>41570</v>
      </c>
      <c r="H2947" s="117">
        <v>2609496</v>
      </c>
      <c r="I2947" s="124">
        <v>41472</v>
      </c>
      <c r="J2947" s="125">
        <v>41570</v>
      </c>
      <c r="K2947" s="126">
        <v>30000</v>
      </c>
      <c r="L2947" s="129" t="s">
        <v>572</v>
      </c>
      <c r="N2947" s="129" t="str">
        <f t="shared" ref="N2947:N2957" si="2166">IF(M2947&gt;1/1/1,"Y","N")</f>
        <v>N</v>
      </c>
      <c r="O2947" s="128" t="s">
        <v>917</v>
      </c>
      <c r="P2947" s="129" t="s">
        <v>39</v>
      </c>
      <c r="Q2947" s="111">
        <f t="shared" si="2139"/>
        <v>99</v>
      </c>
      <c r="R2947" s="111">
        <f t="shared" si="2145"/>
        <v>554</v>
      </c>
      <c r="S2947" s="129">
        <v>0</v>
      </c>
      <c r="T2947" s="129">
        <v>1</v>
      </c>
      <c r="W2947" s="111"/>
      <c r="AC2947" s="130"/>
      <c r="AD2947" s="130">
        <v>34660</v>
      </c>
      <c r="AE2947" s="128" t="s">
        <v>32</v>
      </c>
      <c r="AF2947" s="128" t="s">
        <v>33</v>
      </c>
      <c r="AG2947" s="128" t="s">
        <v>872</v>
      </c>
      <c r="AH2947" s="108" t="s">
        <v>31</v>
      </c>
      <c r="AI2947" s="128" t="s">
        <v>72</v>
      </c>
      <c r="AJ2947" s="129" t="s">
        <v>89</v>
      </c>
      <c r="AK2947" s="129">
        <v>18</v>
      </c>
      <c r="AL2947" s="3" t="s">
        <v>362</v>
      </c>
      <c r="AM2947" s="117">
        <v>12</v>
      </c>
      <c r="AP2947" s="129" t="s">
        <v>105</v>
      </c>
      <c r="AR2947" s="128" t="s">
        <v>92</v>
      </c>
      <c r="AS2947" s="129" t="s">
        <v>106</v>
      </c>
      <c r="AT2947" s="129" t="s">
        <v>1188</v>
      </c>
      <c r="BC2947" s="129" t="s">
        <v>38</v>
      </c>
      <c r="BF2947" s="111">
        <f t="shared" si="2141"/>
        <v>99</v>
      </c>
      <c r="BG2947" s="111">
        <f t="shared" si="2142"/>
        <v>99</v>
      </c>
      <c r="BH2947" s="111">
        <f t="shared" si="2146"/>
        <v>554</v>
      </c>
      <c r="BI2947" s="111">
        <f t="shared" si="2148"/>
        <v>17.368852459016395</v>
      </c>
      <c r="BJ2947" s="129">
        <f t="shared" si="2159"/>
        <v>0</v>
      </c>
      <c r="BK2947" s="129">
        <f t="shared" si="2147"/>
        <v>0</v>
      </c>
      <c r="BL2947" s="129" t="str">
        <f t="shared" si="2144"/>
        <v>CONVICTION</v>
      </c>
      <c r="BM2947" s="129" t="str">
        <f t="shared" si="2149"/>
        <v>NONE</v>
      </c>
      <c r="BN2947" s="129" t="s">
        <v>566</v>
      </c>
      <c r="BP2947" s="137" t="str">
        <f t="shared" si="2150"/>
        <v>CONVICTION</v>
      </c>
      <c r="BQ2947" s="128" t="str">
        <f t="shared" si="2160"/>
        <v>Y</v>
      </c>
      <c r="BR2947" s="129" t="str">
        <f t="shared" si="2151"/>
        <v>DETAINED</v>
      </c>
      <c r="BS2947" s="129" t="str">
        <f t="shared" si="2152"/>
        <v>DISPOSED</v>
      </c>
      <c r="BT2947" s="129" t="str">
        <f t="shared" si="2153"/>
        <v>N</v>
      </c>
      <c r="BU2947" s="109">
        <f t="shared" si="2154"/>
        <v>0.17870036101083034</v>
      </c>
      <c r="BV2947" s="109">
        <f t="shared" si="2161"/>
        <v>1</v>
      </c>
      <c r="BW2947" s="109">
        <f t="shared" si="2127"/>
        <v>0.82129963898916969</v>
      </c>
      <c r="BX2947" s="111">
        <f t="shared" si="2155"/>
        <v>0</v>
      </c>
      <c r="BY2947" s="129">
        <f t="shared" si="2162"/>
        <v>-99</v>
      </c>
      <c r="BZ2947" s="111">
        <f t="shared" si="2163"/>
        <v>0</v>
      </c>
      <c r="CA2947" s="138">
        <f t="shared" si="2164"/>
        <v>99</v>
      </c>
      <c r="CB2947" s="111" t="e">
        <f t="shared" si="2143"/>
        <v>#VALUE!</v>
      </c>
      <c r="CC2947" s="129">
        <f>G2947-I2947+1</f>
        <v>99</v>
      </c>
      <c r="CD2947" s="129">
        <f>G2947-J2947</f>
        <v>0</v>
      </c>
      <c r="CG2947" s="129" t="str">
        <f t="shared" si="2165"/>
        <v>Y</v>
      </c>
      <c r="CI2947" s="129" t="str">
        <f t="shared" ref="CI2947:CI3010" si="2167">IF(BF2947&lt;11,"0-10 DAYS",IF(AND(BF2947&gt;10,BF2947&lt;31),"11-30 DAYS",IF((AND(BF2947&gt;30,BF2947&lt;61)),"31-60 DAYS",IF(AND(BF2947&gt;60,BF2947&lt;91),"61-90 DAYS",IF(AND(BF2947&gt;90,BF2947&lt;121),"91-120 DAYS",IF(AND(BF2947&gt;120,BF2947&lt;366),"121-365 DAYS",IF(AND(BF2947&gt;365,BF2947&lt;730)," &gt;1YRS&lt;2YRS",IF(AND(BF2947&gt;729,BF2947&lt;1095),"&gt;2YRS&lt;3YRS",IF(BF2947&gt;1094,"&gt;3YRS")))))))))</f>
        <v>91-120 DAYS</v>
      </c>
      <c r="CJ2947" s="137">
        <f t="shared" ref="CJ2947:CJ3010" si="2168">IF(CI2947="0-10 DAYS",1,IF(CI2947="11-30 DAYS",2,IF(CI2947="31-60 DAYS",3,IF(CI2947="61-90 DAYS",4,IF(CK2947="91-120 DAYS",5,IF(CI2947="121-365 DAYS",6,IF(CI2947="&gt;1YRS&lt;2YRS",7,IF(CI2947="&gt;2YRS&lt;3YRS",8,IF(CI2947="&gt;3YRS",9,0)))))))))</f>
        <v>0</v>
      </c>
      <c r="CK2947" s="129" t="str">
        <f t="shared" ref="CK2947:CK3010" si="2169">IF(I2947="Not Booked","Not Booked","Booked")</f>
        <v>Booked</v>
      </c>
    </row>
    <row r="2948" spans="1:89" ht="15.75" customHeight="1" x14ac:dyDescent="0.25">
      <c r="A2948" s="111">
        <v>1970</v>
      </c>
      <c r="B2948" s="128" t="str">
        <f t="shared" si="2156"/>
        <v>N</v>
      </c>
      <c r="C2948" s="128" t="str">
        <f t="shared" si="2157"/>
        <v>N</v>
      </c>
      <c r="D2948" s="117">
        <v>2609533</v>
      </c>
      <c r="E2948" s="135">
        <f t="shared" si="2158"/>
        <v>2</v>
      </c>
      <c r="F2948" s="124">
        <v>40982</v>
      </c>
      <c r="G2948" s="125">
        <v>41142</v>
      </c>
      <c r="H2948" s="117">
        <v>2609533</v>
      </c>
      <c r="I2948" s="124">
        <v>40983</v>
      </c>
      <c r="J2948" s="124">
        <v>40987</v>
      </c>
      <c r="K2948" s="126">
        <v>5000</v>
      </c>
      <c r="L2948" s="127" t="s">
        <v>569</v>
      </c>
      <c r="M2948" s="125">
        <v>40987</v>
      </c>
      <c r="N2948" s="129" t="str">
        <f t="shared" si="2166"/>
        <v>Y</v>
      </c>
      <c r="O2948" s="112" t="s">
        <v>160</v>
      </c>
      <c r="P2948" s="129" t="s">
        <v>589</v>
      </c>
      <c r="Q2948" s="111">
        <f t="shared" si="2139"/>
        <v>5</v>
      </c>
      <c r="R2948" s="111">
        <f t="shared" si="2145"/>
        <v>161</v>
      </c>
      <c r="S2948" s="129">
        <v>0</v>
      </c>
      <c r="T2948" s="129">
        <v>0</v>
      </c>
      <c r="W2948" s="111"/>
      <c r="AB2948" s="131" t="s">
        <v>112</v>
      </c>
      <c r="AC2948" s="130"/>
      <c r="AD2948" s="130">
        <v>33133</v>
      </c>
      <c r="AE2948" s="128" t="s">
        <v>32</v>
      </c>
      <c r="AF2948" s="128" t="s">
        <v>40</v>
      </c>
      <c r="AG2948" s="128" t="s">
        <v>41</v>
      </c>
      <c r="AH2948" s="108" t="s">
        <v>31</v>
      </c>
      <c r="AI2948" s="128" t="s">
        <v>47</v>
      </c>
      <c r="AJ2948" s="129" t="s">
        <v>48</v>
      </c>
      <c r="AK2948" s="129">
        <v>8</v>
      </c>
      <c r="AL2948" s="3" t="s">
        <v>48</v>
      </c>
      <c r="AP2948" s="129" t="s">
        <v>227</v>
      </c>
      <c r="AR2948" s="128" t="s">
        <v>67</v>
      </c>
      <c r="AS2948" s="129" t="s">
        <v>64</v>
      </c>
      <c r="BC2948" s="129" t="s">
        <v>52</v>
      </c>
      <c r="BF2948" s="111">
        <f t="shared" si="2141"/>
        <v>5</v>
      </c>
      <c r="BG2948" s="111">
        <f t="shared" si="2142"/>
        <v>160</v>
      </c>
      <c r="BH2948" s="111">
        <f t="shared" si="2146"/>
        <v>161</v>
      </c>
      <c r="BI2948" s="111">
        <f t="shared" si="2148"/>
        <v>21.44535519125683</v>
      </c>
      <c r="BJ2948" s="129">
        <f>(G2948-J2948)+(M2948-G2948)</f>
        <v>0</v>
      </c>
      <c r="BK2948" s="129">
        <f t="shared" si="2147"/>
        <v>-155</v>
      </c>
      <c r="BL2948" s="129" t="str">
        <f t="shared" si="2144"/>
        <v>DEFERRED</v>
      </c>
      <c r="BM2948" s="129" t="s">
        <v>160</v>
      </c>
      <c r="BN2948" s="129" t="s">
        <v>88</v>
      </c>
      <c r="BP2948" s="137" t="str">
        <f t="shared" si="2150"/>
        <v>DEFERRED</v>
      </c>
      <c r="BQ2948" s="128" t="str">
        <f t="shared" si="2160"/>
        <v>Y</v>
      </c>
      <c r="BR2948" s="129" t="str">
        <f t="shared" si="2151"/>
        <v>ON BOND</v>
      </c>
      <c r="BS2948" s="129" t="str">
        <f t="shared" si="2152"/>
        <v>DISPOSED</v>
      </c>
      <c r="BT2948" s="129" t="str">
        <f t="shared" si="2153"/>
        <v>N</v>
      </c>
      <c r="BU2948" s="109">
        <f t="shared" si="2154"/>
        <v>3.1055900621118012E-2</v>
      </c>
      <c r="BV2948" s="109">
        <f t="shared" si="2161"/>
        <v>3.125E-2</v>
      </c>
      <c r="BW2948" s="109">
        <f t="shared" si="2127"/>
        <v>1.9409937888198794E-4</v>
      </c>
      <c r="BX2948" s="111">
        <f t="shared" si="2155"/>
        <v>0</v>
      </c>
      <c r="BY2948" s="129">
        <f t="shared" si="2162"/>
        <v>-5</v>
      </c>
      <c r="BZ2948" s="111">
        <f t="shared" si="2163"/>
        <v>0</v>
      </c>
      <c r="CA2948" s="138">
        <f t="shared" si="2164"/>
        <v>5</v>
      </c>
      <c r="CB2948" s="111" t="e">
        <f t="shared" si="2143"/>
        <v>#VALUE!</v>
      </c>
      <c r="CC2948" s="129">
        <f>M2948-I2948+1</f>
        <v>5</v>
      </c>
      <c r="CD2948" s="111">
        <f>CC2948-BF2948</f>
        <v>0</v>
      </c>
      <c r="CG2948" s="129" t="str">
        <f t="shared" si="2165"/>
        <v>N</v>
      </c>
      <c r="CI2948" s="129" t="str">
        <f t="shared" si="2167"/>
        <v>0-10 DAYS</v>
      </c>
      <c r="CJ2948" s="137">
        <f t="shared" si="2168"/>
        <v>1</v>
      </c>
      <c r="CK2948" s="129" t="str">
        <f t="shared" si="2169"/>
        <v>Booked</v>
      </c>
    </row>
    <row r="2949" spans="1:89" ht="15.75" customHeight="1" x14ac:dyDescent="0.25">
      <c r="A2949" s="111">
        <v>1973</v>
      </c>
      <c r="B2949" s="128" t="str">
        <f t="shared" si="2156"/>
        <v>N</v>
      </c>
      <c r="C2949" s="128" t="str">
        <f t="shared" si="2157"/>
        <v>N</v>
      </c>
      <c r="D2949" s="117">
        <v>2609535</v>
      </c>
      <c r="E2949" s="135">
        <f t="shared" si="2158"/>
        <v>4</v>
      </c>
      <c r="F2949" s="124">
        <v>40982</v>
      </c>
      <c r="G2949" s="125">
        <v>41087</v>
      </c>
      <c r="H2949" s="117">
        <v>2609535</v>
      </c>
      <c r="I2949" s="124">
        <v>40983</v>
      </c>
      <c r="J2949" s="124">
        <v>40985</v>
      </c>
      <c r="K2949" s="126">
        <v>10000</v>
      </c>
      <c r="L2949" s="127" t="s">
        <v>570</v>
      </c>
      <c r="M2949" s="125">
        <v>40985</v>
      </c>
      <c r="N2949" s="129" t="str">
        <f t="shared" si="2166"/>
        <v>Y</v>
      </c>
      <c r="O2949" s="128" t="s">
        <v>76</v>
      </c>
      <c r="P2949" s="129" t="s">
        <v>39</v>
      </c>
      <c r="Q2949" s="111">
        <f t="shared" si="2139"/>
        <v>3</v>
      </c>
      <c r="R2949" s="111">
        <f t="shared" si="2145"/>
        <v>106</v>
      </c>
      <c r="S2949" s="129">
        <v>0</v>
      </c>
      <c r="T2949" s="129">
        <v>0</v>
      </c>
      <c r="W2949" s="111"/>
      <c r="AC2949" s="130"/>
      <c r="AD2949" s="130">
        <v>19808</v>
      </c>
      <c r="AE2949" s="128" t="s">
        <v>46</v>
      </c>
      <c r="AF2949" s="128" t="s">
        <v>33</v>
      </c>
      <c r="AG2949" s="128" t="s">
        <v>872</v>
      </c>
      <c r="AH2949" s="108" t="s">
        <v>31</v>
      </c>
      <c r="AI2949" s="128" t="s">
        <v>141</v>
      </c>
      <c r="AJ2949" s="129" t="s">
        <v>89</v>
      </c>
      <c r="AK2949" s="129">
        <v>5</v>
      </c>
      <c r="AL2949" s="3" t="s">
        <v>991</v>
      </c>
      <c r="AO2949" s="128">
        <v>90</v>
      </c>
      <c r="AP2949" s="129" t="s">
        <v>186</v>
      </c>
      <c r="AR2949" s="128" t="s">
        <v>50</v>
      </c>
      <c r="AS2949" s="129" t="s">
        <v>106</v>
      </c>
      <c r="BC2949" s="129" t="s">
        <v>38</v>
      </c>
      <c r="BF2949" s="111">
        <f t="shared" si="2141"/>
        <v>3</v>
      </c>
      <c r="BG2949" s="111">
        <f t="shared" si="2142"/>
        <v>105</v>
      </c>
      <c r="BH2949" s="111">
        <f t="shared" si="2146"/>
        <v>106</v>
      </c>
      <c r="BI2949" s="111">
        <f t="shared" si="2148"/>
        <v>57.852459016393439</v>
      </c>
      <c r="BJ2949" s="129">
        <f>(G2949-J2949)+(M2949-G2949)</f>
        <v>0</v>
      </c>
      <c r="BK2949" s="129">
        <f t="shared" si="2147"/>
        <v>-102</v>
      </c>
      <c r="BL2949" s="129" t="str">
        <f t="shared" si="2144"/>
        <v>CONVICTION</v>
      </c>
      <c r="BM2949" s="129" t="s">
        <v>76</v>
      </c>
      <c r="BN2949" s="129" t="s">
        <v>88</v>
      </c>
      <c r="BP2949" s="137" t="str">
        <f t="shared" si="2150"/>
        <v>CONVICTION</v>
      </c>
      <c r="BQ2949" s="128" t="str">
        <f t="shared" si="2160"/>
        <v>Y</v>
      </c>
      <c r="BR2949" s="129" t="str">
        <f>IF(J2949&lt;G2949,"ON BOND",0)</f>
        <v>ON BOND</v>
      </c>
      <c r="BS2949" s="129" t="str">
        <f t="shared" si="2152"/>
        <v>DISPOSED</v>
      </c>
      <c r="BT2949" s="129" t="str">
        <f t="shared" si="2153"/>
        <v>N</v>
      </c>
      <c r="BU2949" s="109">
        <f t="shared" si="2154"/>
        <v>2.8301886792452831E-2</v>
      </c>
      <c r="BV2949" s="109">
        <f t="shared" si="2161"/>
        <v>2.8571428571428571E-2</v>
      </c>
      <c r="BW2949" s="109">
        <f t="shared" si="2127"/>
        <v>2.6954177897573969E-4</v>
      </c>
      <c r="BX2949" s="111">
        <f t="shared" si="2155"/>
        <v>0</v>
      </c>
      <c r="BY2949" s="129">
        <f t="shared" si="2162"/>
        <v>-3</v>
      </c>
      <c r="BZ2949" s="111">
        <f t="shared" si="2163"/>
        <v>0</v>
      </c>
      <c r="CA2949" s="138">
        <f t="shared" si="2164"/>
        <v>3</v>
      </c>
      <c r="CB2949" s="111" t="e">
        <f t="shared" si="2143"/>
        <v>#VALUE!</v>
      </c>
      <c r="CC2949" s="129">
        <f>M2949-I2949+1</f>
        <v>3</v>
      </c>
      <c r="CD2949" s="111">
        <f>CC2949-BF2949</f>
        <v>0</v>
      </c>
      <c r="CG2949" s="129" t="str">
        <f t="shared" si="2165"/>
        <v>N</v>
      </c>
      <c r="CI2949" s="129" t="str">
        <f t="shared" si="2167"/>
        <v>0-10 DAYS</v>
      </c>
      <c r="CJ2949" s="137">
        <f t="shared" si="2168"/>
        <v>1</v>
      </c>
      <c r="CK2949" s="129" t="str">
        <f t="shared" si="2169"/>
        <v>Booked</v>
      </c>
    </row>
    <row r="2950" spans="1:89" ht="15" customHeight="1" x14ac:dyDescent="0.25">
      <c r="A2950" s="111">
        <v>1971</v>
      </c>
      <c r="B2950" s="128" t="str">
        <f t="shared" si="2156"/>
        <v>N</v>
      </c>
      <c r="C2950" s="128" t="str">
        <f t="shared" si="2157"/>
        <v>N</v>
      </c>
      <c r="D2950" s="117">
        <v>2609536</v>
      </c>
      <c r="E2950" s="135">
        <f t="shared" si="2158"/>
        <v>2</v>
      </c>
      <c r="F2950" s="124">
        <v>40982</v>
      </c>
      <c r="G2950" s="125">
        <v>40984</v>
      </c>
      <c r="H2950" s="117">
        <v>2609536</v>
      </c>
      <c r="I2950" s="124">
        <v>40983</v>
      </c>
      <c r="J2950" s="124">
        <v>40984</v>
      </c>
      <c r="K2950" s="126">
        <v>2000</v>
      </c>
      <c r="L2950" s="127" t="s">
        <v>568</v>
      </c>
      <c r="N2950" s="129" t="str">
        <f t="shared" si="2166"/>
        <v>N</v>
      </c>
      <c r="O2950" s="128" t="s">
        <v>917</v>
      </c>
      <c r="P2950" s="129" t="s">
        <v>589</v>
      </c>
      <c r="Q2950" s="111">
        <f t="shared" si="2139"/>
        <v>2</v>
      </c>
      <c r="R2950" s="111">
        <f t="shared" si="2145"/>
        <v>3</v>
      </c>
      <c r="S2950" s="129">
        <v>0</v>
      </c>
      <c r="T2950" s="129">
        <v>0</v>
      </c>
      <c r="W2950" s="111"/>
      <c r="AC2950" s="130"/>
      <c r="AD2950" s="130">
        <v>23507</v>
      </c>
      <c r="AE2950" s="128" t="s">
        <v>46</v>
      </c>
      <c r="AF2950" s="128" t="s">
        <v>138</v>
      </c>
      <c r="AG2950" s="128" t="s">
        <v>873</v>
      </c>
      <c r="AH2950" s="108" t="s">
        <v>31</v>
      </c>
      <c r="AI2950" s="128" t="s">
        <v>113</v>
      </c>
      <c r="AJ2950" s="129" t="s">
        <v>48</v>
      </c>
      <c r="AK2950" s="129">
        <v>1</v>
      </c>
      <c r="AL2950" s="3" t="s">
        <v>48</v>
      </c>
      <c r="AP2950" s="129" t="s">
        <v>63</v>
      </c>
      <c r="AR2950" s="128" t="s">
        <v>44</v>
      </c>
      <c r="AS2950" s="129" t="s">
        <v>64</v>
      </c>
      <c r="AT2950" s="129" t="s">
        <v>396</v>
      </c>
      <c r="BC2950" s="129" t="s">
        <v>38</v>
      </c>
      <c r="BF2950" s="111">
        <f t="shared" si="2141"/>
        <v>2</v>
      </c>
      <c r="BG2950" s="111">
        <f t="shared" si="2142"/>
        <v>2</v>
      </c>
      <c r="BH2950" s="111">
        <f t="shared" si="2146"/>
        <v>3</v>
      </c>
      <c r="BI2950" s="111">
        <f t="shared" si="2148"/>
        <v>47.745901639344261</v>
      </c>
      <c r="BJ2950" s="129">
        <f t="shared" si="2159"/>
        <v>0</v>
      </c>
      <c r="BK2950" s="129">
        <f t="shared" si="2147"/>
        <v>0</v>
      </c>
      <c r="BL2950" s="129" t="str">
        <f t="shared" si="2144"/>
        <v>DEFERRED</v>
      </c>
      <c r="BM2950" s="129" t="str">
        <f t="shared" si="2149"/>
        <v>NONE</v>
      </c>
      <c r="BN2950" s="129" t="s">
        <v>566</v>
      </c>
      <c r="BP2950" s="137" t="str">
        <f t="shared" si="2150"/>
        <v>DEFERRED</v>
      </c>
      <c r="BQ2950" s="128" t="str">
        <f t="shared" si="2160"/>
        <v>Y</v>
      </c>
      <c r="BR2950" s="129" t="str">
        <f t="shared" si="2151"/>
        <v>DETAINED</v>
      </c>
      <c r="BS2950" s="129" t="str">
        <f t="shared" si="2152"/>
        <v>DISPOSED</v>
      </c>
      <c r="BT2950" s="129" t="str">
        <f t="shared" si="2153"/>
        <v>N</v>
      </c>
      <c r="BU2950" s="109">
        <f t="shared" si="2154"/>
        <v>0.66666666666666663</v>
      </c>
      <c r="BV2950" s="109">
        <f t="shared" si="2161"/>
        <v>1</v>
      </c>
      <c r="BW2950" s="109">
        <f t="shared" si="2127"/>
        <v>0.33333333333333337</v>
      </c>
      <c r="BX2950" s="111">
        <f t="shared" si="2155"/>
        <v>0</v>
      </c>
      <c r="BY2950" s="129">
        <f t="shared" si="2162"/>
        <v>-2</v>
      </c>
      <c r="BZ2950" s="111">
        <f t="shared" si="2163"/>
        <v>0</v>
      </c>
      <c r="CA2950" s="138">
        <f t="shared" si="2164"/>
        <v>2</v>
      </c>
      <c r="CB2950" s="111" t="e">
        <f t="shared" si="2143"/>
        <v>#VALUE!</v>
      </c>
      <c r="CC2950" s="129">
        <f>G2950-I2950+1</f>
        <v>2</v>
      </c>
      <c r="CD2950" s="129">
        <f>G2950-J2950</f>
        <v>0</v>
      </c>
      <c r="CG2950" s="129" t="str">
        <f t="shared" si="2165"/>
        <v>N</v>
      </c>
      <c r="CI2950" s="129" t="str">
        <f t="shared" si="2167"/>
        <v>0-10 DAYS</v>
      </c>
      <c r="CJ2950" s="137">
        <f t="shared" si="2168"/>
        <v>1</v>
      </c>
      <c r="CK2950" s="129" t="str">
        <f t="shared" si="2169"/>
        <v>Booked</v>
      </c>
    </row>
    <row r="2951" spans="1:89" ht="15.75" customHeight="1" x14ac:dyDescent="0.25">
      <c r="A2951" s="111">
        <v>2165</v>
      </c>
      <c r="B2951" s="128" t="str">
        <f t="shared" si="2156"/>
        <v>N</v>
      </c>
      <c r="C2951" s="128" t="str">
        <f t="shared" si="2157"/>
        <v>N</v>
      </c>
      <c r="D2951" s="117">
        <v>2609552</v>
      </c>
      <c r="E2951" s="135">
        <f t="shared" si="2158"/>
        <v>4</v>
      </c>
      <c r="F2951" s="124">
        <v>40990</v>
      </c>
      <c r="G2951" s="125">
        <v>40994</v>
      </c>
      <c r="H2951" s="117">
        <v>2609552</v>
      </c>
      <c r="I2951" s="124">
        <v>40990</v>
      </c>
      <c r="J2951" s="124">
        <v>40994</v>
      </c>
      <c r="K2951" s="126">
        <v>5000</v>
      </c>
      <c r="L2951" s="127" t="s">
        <v>569</v>
      </c>
      <c r="N2951" s="129" t="str">
        <f t="shared" si="2166"/>
        <v>N</v>
      </c>
      <c r="O2951" s="128" t="s">
        <v>917</v>
      </c>
      <c r="P2951" s="129" t="s">
        <v>39</v>
      </c>
      <c r="Q2951" s="111">
        <f t="shared" si="2139"/>
        <v>5</v>
      </c>
      <c r="R2951" s="111">
        <f t="shared" si="2145"/>
        <v>5</v>
      </c>
      <c r="S2951" s="129">
        <v>0</v>
      </c>
      <c r="T2951" s="129">
        <v>0</v>
      </c>
      <c r="W2951" s="111"/>
      <c r="AC2951" s="130"/>
      <c r="AD2951" s="130">
        <v>33553</v>
      </c>
      <c r="AE2951" s="128" t="s">
        <v>32</v>
      </c>
      <c r="AF2951" s="128" t="s">
        <v>33</v>
      </c>
      <c r="AG2951" s="128" t="s">
        <v>872</v>
      </c>
      <c r="AH2951" s="108" t="s">
        <v>31</v>
      </c>
      <c r="AI2951" s="128" t="s">
        <v>34</v>
      </c>
      <c r="AJ2951" s="129" t="s">
        <v>89</v>
      </c>
      <c r="AK2951" s="129">
        <v>1</v>
      </c>
      <c r="AL2951" s="3" t="s">
        <v>991</v>
      </c>
      <c r="AO2951" s="128">
        <v>10</v>
      </c>
      <c r="AP2951" s="129" t="s">
        <v>221</v>
      </c>
      <c r="AR2951" s="128" t="s">
        <v>67</v>
      </c>
      <c r="AS2951" s="129" t="s">
        <v>64</v>
      </c>
      <c r="BC2951" s="129" t="s">
        <v>38</v>
      </c>
      <c r="BF2951" s="111">
        <f t="shared" si="2141"/>
        <v>5</v>
      </c>
      <c r="BG2951" s="111">
        <f t="shared" si="2142"/>
        <v>5</v>
      </c>
      <c r="BH2951" s="111">
        <f t="shared" si="2146"/>
        <v>5</v>
      </c>
      <c r="BI2951" s="111">
        <f t="shared" si="2148"/>
        <v>20.319672131147541</v>
      </c>
      <c r="BJ2951" s="129">
        <f t="shared" si="2159"/>
        <v>0</v>
      </c>
      <c r="BK2951" s="129">
        <f t="shared" si="2147"/>
        <v>0</v>
      </c>
      <c r="BL2951" s="129" t="str">
        <f t="shared" si="2144"/>
        <v>CONVICTION</v>
      </c>
      <c r="BM2951" s="129" t="str">
        <f t="shared" si="2149"/>
        <v>NONE</v>
      </c>
      <c r="BN2951" s="129" t="s">
        <v>566</v>
      </c>
      <c r="BP2951" s="137" t="str">
        <f t="shared" si="2150"/>
        <v>CONVICTION</v>
      </c>
      <c r="BQ2951" s="128" t="str">
        <f t="shared" si="2160"/>
        <v>Y</v>
      </c>
      <c r="BR2951" s="129" t="str">
        <f t="shared" si="2151"/>
        <v>DETAINED</v>
      </c>
      <c r="BS2951" s="129" t="str">
        <f t="shared" si="2152"/>
        <v>DISPOSED</v>
      </c>
      <c r="BT2951" s="129" t="str">
        <f t="shared" si="2153"/>
        <v>N</v>
      </c>
      <c r="BU2951" s="109">
        <f t="shared" si="2154"/>
        <v>1</v>
      </c>
      <c r="BV2951" s="109">
        <f t="shared" si="2161"/>
        <v>1</v>
      </c>
      <c r="BW2951" s="109">
        <f t="shared" si="2127"/>
        <v>0</v>
      </c>
      <c r="BX2951" s="111">
        <f t="shared" si="2155"/>
        <v>0</v>
      </c>
      <c r="BY2951" s="129">
        <f t="shared" si="2162"/>
        <v>-5</v>
      </c>
      <c r="BZ2951" s="111">
        <f t="shared" si="2163"/>
        <v>0</v>
      </c>
      <c r="CA2951" s="138">
        <f t="shared" si="2164"/>
        <v>5</v>
      </c>
      <c r="CB2951" s="111" t="e">
        <f t="shared" si="2143"/>
        <v>#VALUE!</v>
      </c>
      <c r="CC2951" s="129">
        <f>G2951-I2951+1</f>
        <v>5</v>
      </c>
      <c r="CD2951" s="129">
        <f>G2951-J2951</f>
        <v>0</v>
      </c>
      <c r="CG2951" s="129" t="str">
        <f t="shared" si="2165"/>
        <v>N</v>
      </c>
      <c r="CI2951" s="129" t="str">
        <f t="shared" si="2167"/>
        <v>0-10 DAYS</v>
      </c>
      <c r="CJ2951" s="137">
        <f t="shared" si="2168"/>
        <v>1</v>
      </c>
      <c r="CK2951" s="129" t="str">
        <f t="shared" si="2169"/>
        <v>Booked</v>
      </c>
    </row>
    <row r="2952" spans="1:89" ht="15.75" customHeight="1" x14ac:dyDescent="0.25">
      <c r="A2952" s="111">
        <v>1985</v>
      </c>
      <c r="B2952" s="128" t="str">
        <f t="shared" si="2156"/>
        <v>N</v>
      </c>
      <c r="C2952" s="128" t="str">
        <f t="shared" si="2157"/>
        <v>N</v>
      </c>
      <c r="D2952" s="117">
        <v>2609576</v>
      </c>
      <c r="E2952" s="135">
        <f t="shared" si="2158"/>
        <v>1</v>
      </c>
      <c r="F2952" s="124">
        <v>40983</v>
      </c>
      <c r="G2952" s="125">
        <v>41025</v>
      </c>
      <c r="H2952" s="117">
        <v>2609576</v>
      </c>
      <c r="I2952" s="124">
        <v>40983</v>
      </c>
      <c r="J2952" s="124">
        <v>40984</v>
      </c>
      <c r="K2952" s="126">
        <v>30000</v>
      </c>
      <c r="L2952" s="129" t="s">
        <v>572</v>
      </c>
      <c r="M2952" s="125">
        <v>40984</v>
      </c>
      <c r="N2952" s="129" t="str">
        <f t="shared" si="2166"/>
        <v>Y</v>
      </c>
      <c r="O2952" s="128" t="s">
        <v>76</v>
      </c>
      <c r="P2952" s="129" t="s">
        <v>123</v>
      </c>
      <c r="Q2952" s="111">
        <f t="shared" si="2139"/>
        <v>2</v>
      </c>
      <c r="R2952" s="111">
        <f t="shared" si="2145"/>
        <v>43</v>
      </c>
      <c r="S2952" s="129">
        <v>0</v>
      </c>
      <c r="T2952" s="129">
        <v>0</v>
      </c>
      <c r="W2952" s="111"/>
      <c r="AC2952" s="130"/>
      <c r="AD2952" s="130">
        <v>22045</v>
      </c>
      <c r="AE2952" s="128" t="s">
        <v>46</v>
      </c>
      <c r="AF2952" s="128" t="s">
        <v>69</v>
      </c>
      <c r="AG2952" s="128" t="s">
        <v>874</v>
      </c>
      <c r="AH2952" s="108" t="s">
        <v>31</v>
      </c>
      <c r="AI2952" s="128" t="s">
        <v>42</v>
      </c>
      <c r="AJ2952" s="129" t="s">
        <v>123</v>
      </c>
      <c r="AK2952" s="129">
        <v>5</v>
      </c>
      <c r="AL2952" s="3" t="s">
        <v>123</v>
      </c>
      <c r="AP2952" s="129" t="s">
        <v>110</v>
      </c>
      <c r="AR2952" s="128" t="s">
        <v>50</v>
      </c>
      <c r="AS2952" s="129" t="s">
        <v>74</v>
      </c>
      <c r="BC2952" s="129" t="s">
        <v>52</v>
      </c>
      <c r="BF2952" s="111">
        <f t="shared" si="2141"/>
        <v>2</v>
      </c>
      <c r="BG2952" s="111">
        <f t="shared" si="2142"/>
        <v>43</v>
      </c>
      <c r="BH2952" s="111">
        <f t="shared" si="2146"/>
        <v>43</v>
      </c>
      <c r="BI2952" s="111">
        <f t="shared" si="2148"/>
        <v>51.743169398907106</v>
      </c>
      <c r="BJ2952" s="129">
        <f>(G2952-J2952)+(M2952-G2952)</f>
        <v>0</v>
      </c>
      <c r="BK2952" s="129">
        <f t="shared" si="2147"/>
        <v>-41</v>
      </c>
      <c r="BL2952" s="129" t="str">
        <f t="shared" si="2144"/>
        <v>NO CONVICTION</v>
      </c>
      <c r="BM2952" s="129" t="s">
        <v>76</v>
      </c>
      <c r="BN2952" s="129" t="s">
        <v>88</v>
      </c>
      <c r="BP2952" s="137" t="str">
        <f t="shared" si="2150"/>
        <v>NO CONVICTION</v>
      </c>
      <c r="BQ2952" s="128" t="str">
        <f t="shared" si="2160"/>
        <v>Y</v>
      </c>
      <c r="BR2952" s="129" t="str">
        <f t="shared" si="2151"/>
        <v>ON BOND</v>
      </c>
      <c r="BS2952" s="129" t="str">
        <f t="shared" si="2152"/>
        <v>DISPOSED</v>
      </c>
      <c r="BT2952" s="129" t="str">
        <f t="shared" si="2153"/>
        <v>N</v>
      </c>
      <c r="BU2952" s="109">
        <f>IFERROR(Q2952/R2952,BR2952)</f>
        <v>4.6511627906976744E-2</v>
      </c>
      <c r="BV2952" s="109">
        <f t="shared" si="2161"/>
        <v>4.6511627906976744E-2</v>
      </c>
      <c r="BW2952" s="109">
        <f t="shared" si="2127"/>
        <v>0</v>
      </c>
      <c r="BX2952" s="111">
        <f t="shared" si="2155"/>
        <v>0</v>
      </c>
      <c r="BY2952" s="129">
        <f t="shared" si="2162"/>
        <v>-2</v>
      </c>
      <c r="BZ2952" s="111">
        <f t="shared" si="2163"/>
        <v>0</v>
      </c>
      <c r="CA2952" s="138">
        <f t="shared" si="2164"/>
        <v>2</v>
      </c>
      <c r="CB2952" s="111" t="e">
        <f t="shared" si="2143"/>
        <v>#VALUE!</v>
      </c>
      <c r="CC2952" s="129">
        <f>M2952-I2952+1</f>
        <v>2</v>
      </c>
      <c r="CD2952" s="111">
        <f>CC2952-BF2952</f>
        <v>0</v>
      </c>
      <c r="CG2952" s="129" t="str">
        <f t="shared" si="2165"/>
        <v>N</v>
      </c>
      <c r="CI2952" s="129" t="str">
        <f t="shared" si="2167"/>
        <v>0-10 DAYS</v>
      </c>
      <c r="CJ2952" s="137">
        <f t="shared" si="2168"/>
        <v>1</v>
      </c>
      <c r="CK2952" s="129" t="str">
        <f t="shared" si="2169"/>
        <v>Booked</v>
      </c>
    </row>
    <row r="2953" spans="1:89" ht="15.75" customHeight="1" x14ac:dyDescent="0.25">
      <c r="A2953" s="111">
        <v>1988</v>
      </c>
      <c r="B2953" s="128" t="str">
        <f t="shared" si="2156"/>
        <v>N</v>
      </c>
      <c r="C2953" s="128" t="str">
        <f t="shared" si="2157"/>
        <v>N</v>
      </c>
      <c r="D2953" s="117">
        <v>2609630</v>
      </c>
      <c r="E2953" s="135">
        <f t="shared" si="2158"/>
        <v>1</v>
      </c>
      <c r="F2953" s="124">
        <v>40983</v>
      </c>
      <c r="G2953" s="125">
        <v>41045</v>
      </c>
      <c r="H2953" s="117">
        <v>2609630</v>
      </c>
      <c r="I2953" s="124">
        <v>40984</v>
      </c>
      <c r="J2953" s="124">
        <v>41045</v>
      </c>
      <c r="K2953" s="126">
        <v>30000</v>
      </c>
      <c r="L2953" s="129" t="s">
        <v>572</v>
      </c>
      <c r="N2953" s="129" t="str">
        <f t="shared" si="2166"/>
        <v>N</v>
      </c>
      <c r="O2953" s="128" t="s">
        <v>917</v>
      </c>
      <c r="P2953" s="116" t="s">
        <v>55</v>
      </c>
      <c r="Q2953" s="111">
        <f t="shared" si="2139"/>
        <v>62</v>
      </c>
      <c r="R2953" s="111">
        <f t="shared" si="2145"/>
        <v>63</v>
      </c>
      <c r="S2953" s="129">
        <v>0</v>
      </c>
      <c r="T2953" s="129">
        <v>0</v>
      </c>
      <c r="W2953" s="111"/>
      <c r="AC2953" s="130"/>
      <c r="AD2953" s="130">
        <v>29306</v>
      </c>
      <c r="AE2953" s="128" t="s">
        <v>32</v>
      </c>
      <c r="AF2953" s="128" t="s">
        <v>69</v>
      </c>
      <c r="AG2953" s="128" t="s">
        <v>874</v>
      </c>
      <c r="AH2953" s="108" t="s">
        <v>31</v>
      </c>
      <c r="AI2953" s="128" t="s">
        <v>83</v>
      </c>
      <c r="AJ2953" s="129" t="s">
        <v>55</v>
      </c>
      <c r="AK2953" s="129">
        <v>8</v>
      </c>
      <c r="AL2953" s="3" t="s">
        <v>55</v>
      </c>
      <c r="AP2953" s="129" t="s">
        <v>252</v>
      </c>
      <c r="AR2953" s="128" t="s">
        <v>92</v>
      </c>
      <c r="AS2953" s="129" t="s">
        <v>74</v>
      </c>
      <c r="BC2953" s="129" t="s">
        <v>52</v>
      </c>
      <c r="BF2953" s="111">
        <f t="shared" si="2141"/>
        <v>62</v>
      </c>
      <c r="BG2953" s="111">
        <f t="shared" si="2142"/>
        <v>62</v>
      </c>
      <c r="BH2953" s="111">
        <f t="shared" si="2146"/>
        <v>63</v>
      </c>
      <c r="BI2953" s="111">
        <f t="shared" si="2148"/>
        <v>31.904371584699454</v>
      </c>
      <c r="BJ2953" s="129">
        <f t="shared" si="2159"/>
        <v>0</v>
      </c>
      <c r="BK2953" s="129">
        <f t="shared" si="2147"/>
        <v>0</v>
      </c>
      <c r="BL2953" s="129" t="str">
        <f t="shared" si="2144"/>
        <v>NO CONVICTION</v>
      </c>
      <c r="BM2953" s="129" t="str">
        <f t="shared" si="2149"/>
        <v>NONE</v>
      </c>
      <c r="BN2953" s="129" t="s">
        <v>566</v>
      </c>
      <c r="BP2953" s="137" t="str">
        <f t="shared" si="2150"/>
        <v>NO CONVICTION</v>
      </c>
      <c r="BQ2953" s="128" t="str">
        <f t="shared" si="2160"/>
        <v>Y</v>
      </c>
      <c r="BR2953" s="129" t="str">
        <f t="shared" si="2151"/>
        <v>DETAINED</v>
      </c>
      <c r="BS2953" s="129" t="str">
        <f t="shared" si="2152"/>
        <v>DISPOSED</v>
      </c>
      <c r="BT2953" s="129" t="str">
        <f t="shared" si="2153"/>
        <v>N</v>
      </c>
      <c r="BU2953" s="109">
        <f>IFERROR(Q2953/R2953,BR2953)</f>
        <v>0.98412698412698407</v>
      </c>
      <c r="BV2953" s="109">
        <f t="shared" si="2161"/>
        <v>1</v>
      </c>
      <c r="BW2953" s="109">
        <f t="shared" si="2127"/>
        <v>1.5873015873015928E-2</v>
      </c>
      <c r="BX2953" s="111">
        <f t="shared" si="2155"/>
        <v>0</v>
      </c>
      <c r="BY2953" s="129">
        <f t="shared" si="2162"/>
        <v>-62</v>
      </c>
      <c r="BZ2953" s="111">
        <f t="shared" si="2163"/>
        <v>0</v>
      </c>
      <c r="CA2953" s="138">
        <f t="shared" si="2164"/>
        <v>62</v>
      </c>
      <c r="CB2953" s="111" t="e">
        <f t="shared" si="2143"/>
        <v>#VALUE!</v>
      </c>
      <c r="CC2953" s="129">
        <f>G2953-I2953+1</f>
        <v>62</v>
      </c>
      <c r="CD2953" s="129">
        <f>G2953-J2953</f>
        <v>0</v>
      </c>
      <c r="CG2953" s="129" t="str">
        <f t="shared" si="2165"/>
        <v>N</v>
      </c>
      <c r="CI2953" s="129" t="str">
        <f t="shared" si="2167"/>
        <v>61-90 DAYS</v>
      </c>
      <c r="CJ2953" s="137">
        <f t="shared" si="2168"/>
        <v>4</v>
      </c>
      <c r="CK2953" s="129" t="str">
        <f t="shared" si="2169"/>
        <v>Booked</v>
      </c>
    </row>
    <row r="2954" spans="1:89" ht="15.75" customHeight="1" x14ac:dyDescent="0.25">
      <c r="A2954" s="111">
        <v>1992</v>
      </c>
      <c r="B2954" s="128" t="str">
        <f t="shared" si="2156"/>
        <v>N</v>
      </c>
      <c r="C2954" s="128" t="str">
        <f t="shared" si="2157"/>
        <v>N</v>
      </c>
      <c r="D2954" s="117">
        <v>2609659</v>
      </c>
      <c r="E2954" s="135">
        <f t="shared" si="2158"/>
        <v>1</v>
      </c>
      <c r="F2954" s="124">
        <v>40983</v>
      </c>
      <c r="G2954" s="125">
        <v>41151</v>
      </c>
      <c r="H2954" s="117">
        <v>2609659</v>
      </c>
      <c r="I2954" s="124">
        <v>40983</v>
      </c>
      <c r="J2954" s="124">
        <v>40990</v>
      </c>
      <c r="K2954" s="126">
        <v>7000</v>
      </c>
      <c r="L2954" s="127" t="s">
        <v>570</v>
      </c>
      <c r="M2954" s="125">
        <v>40990</v>
      </c>
      <c r="N2954" s="129" t="str">
        <f t="shared" si="2166"/>
        <v>Y</v>
      </c>
      <c r="O2954" s="128" t="s">
        <v>76</v>
      </c>
      <c r="P2954" s="129" t="s">
        <v>55</v>
      </c>
      <c r="Q2954" s="111">
        <f t="shared" si="2139"/>
        <v>8</v>
      </c>
      <c r="R2954" s="111">
        <f t="shared" si="2145"/>
        <v>169</v>
      </c>
      <c r="S2954" s="129">
        <v>0</v>
      </c>
      <c r="T2954" s="129">
        <v>0</v>
      </c>
      <c r="W2954" s="111"/>
      <c r="AC2954" s="130"/>
      <c r="AD2954" s="130">
        <v>33851</v>
      </c>
      <c r="AE2954" s="128" t="s">
        <v>32</v>
      </c>
      <c r="AF2954" s="128" t="s">
        <v>33</v>
      </c>
      <c r="AG2954" s="128" t="s">
        <v>872</v>
      </c>
      <c r="AH2954" s="108" t="s">
        <v>31</v>
      </c>
      <c r="AI2954" s="128" t="s">
        <v>85</v>
      </c>
      <c r="AJ2954" s="129" t="s">
        <v>55</v>
      </c>
      <c r="AK2954" s="129">
        <v>6</v>
      </c>
      <c r="AL2954" s="3" t="s">
        <v>55</v>
      </c>
      <c r="AP2954" s="129" t="s">
        <v>206</v>
      </c>
      <c r="AR2954" s="128" t="s">
        <v>92</v>
      </c>
      <c r="AS2954" s="129" t="s">
        <v>106</v>
      </c>
      <c r="BC2954" s="129" t="s">
        <v>38</v>
      </c>
      <c r="BF2954" s="111">
        <f t="shared" si="2141"/>
        <v>8</v>
      </c>
      <c r="BG2954" s="111">
        <f t="shared" si="2142"/>
        <v>169</v>
      </c>
      <c r="BH2954" s="111">
        <f t="shared" si="2146"/>
        <v>169</v>
      </c>
      <c r="BI2954" s="111">
        <f t="shared" si="2148"/>
        <v>19.486338797814209</v>
      </c>
      <c r="BJ2954" s="129">
        <f>(G2954-J2954)+(M2954-G2954)</f>
        <v>0</v>
      </c>
      <c r="BK2954" s="129">
        <f t="shared" si="2147"/>
        <v>-161</v>
      </c>
      <c r="BL2954" s="129" t="str">
        <f t="shared" si="2144"/>
        <v>NO CONVICTION</v>
      </c>
      <c r="BM2954" s="129" t="s">
        <v>76</v>
      </c>
      <c r="BN2954" s="129" t="s">
        <v>88</v>
      </c>
      <c r="BP2954" s="137" t="str">
        <f t="shared" si="2150"/>
        <v>NO CONVICTION</v>
      </c>
      <c r="BQ2954" s="128" t="str">
        <f t="shared" si="2160"/>
        <v>Y</v>
      </c>
      <c r="BR2954" s="129" t="str">
        <f t="shared" si="2151"/>
        <v>ON BOND</v>
      </c>
      <c r="BS2954" s="129" t="str">
        <f t="shared" si="2152"/>
        <v>DISPOSED</v>
      </c>
      <c r="BT2954" s="129" t="str">
        <f t="shared" si="2153"/>
        <v>N</v>
      </c>
      <c r="BU2954" s="109">
        <f>IFERROR(Q2954/R2954,BR2954)</f>
        <v>4.7337278106508875E-2</v>
      </c>
      <c r="BV2954" s="109">
        <f t="shared" si="2161"/>
        <v>4.7337278106508875E-2</v>
      </c>
      <c r="BW2954" s="109">
        <f t="shared" si="2127"/>
        <v>0</v>
      </c>
      <c r="BX2954" s="111">
        <f t="shared" si="2155"/>
        <v>0</v>
      </c>
      <c r="BY2954" s="129">
        <f t="shared" si="2162"/>
        <v>-8</v>
      </c>
      <c r="BZ2954" s="111">
        <f t="shared" si="2163"/>
        <v>0</v>
      </c>
      <c r="CA2954" s="138">
        <f t="shared" si="2164"/>
        <v>8</v>
      </c>
      <c r="CB2954" s="111" t="e">
        <f t="shared" si="2143"/>
        <v>#VALUE!</v>
      </c>
      <c r="CC2954" s="129">
        <f>M2954-I2954+1</f>
        <v>8</v>
      </c>
      <c r="CD2954" s="111">
        <f>CC2954-BF2954</f>
        <v>0</v>
      </c>
      <c r="CG2954" s="129" t="str">
        <f t="shared" si="2165"/>
        <v>N</v>
      </c>
      <c r="CI2954" s="129" t="str">
        <f t="shared" si="2167"/>
        <v>0-10 DAYS</v>
      </c>
      <c r="CJ2954" s="137">
        <f t="shared" si="2168"/>
        <v>1</v>
      </c>
      <c r="CK2954" s="129" t="str">
        <f t="shared" si="2169"/>
        <v>Booked</v>
      </c>
    </row>
    <row r="2955" spans="1:89" ht="15.75" customHeight="1" x14ac:dyDescent="0.25">
      <c r="A2955" s="111">
        <v>1993</v>
      </c>
      <c r="B2955" s="128" t="str">
        <f t="shared" si="2156"/>
        <v>N</v>
      </c>
      <c r="C2955" s="128" t="str">
        <f t="shared" si="2157"/>
        <v>N</v>
      </c>
      <c r="D2955" s="117">
        <v>2609707</v>
      </c>
      <c r="E2955" s="135">
        <f t="shared" si="2158"/>
        <v>4</v>
      </c>
      <c r="F2955" s="124">
        <v>40983</v>
      </c>
      <c r="G2955" s="125">
        <v>41010</v>
      </c>
      <c r="H2955" s="117">
        <v>2609707</v>
      </c>
      <c r="I2955" s="124">
        <v>40983</v>
      </c>
      <c r="J2955" s="124">
        <v>41010</v>
      </c>
      <c r="K2955" s="126">
        <v>5000</v>
      </c>
      <c r="L2955" s="127" t="s">
        <v>569</v>
      </c>
      <c r="N2955" s="129" t="str">
        <f t="shared" si="2166"/>
        <v>N</v>
      </c>
      <c r="O2955" s="128" t="s">
        <v>917</v>
      </c>
      <c r="P2955" s="129" t="s">
        <v>39</v>
      </c>
      <c r="Q2955" s="111">
        <f t="shared" si="2139"/>
        <v>28</v>
      </c>
      <c r="R2955" s="111">
        <f t="shared" si="2145"/>
        <v>28</v>
      </c>
      <c r="S2955" s="129">
        <v>0</v>
      </c>
      <c r="T2955" s="129">
        <v>0</v>
      </c>
      <c r="W2955" s="111"/>
      <c r="AB2955" s="131" t="s">
        <v>112</v>
      </c>
      <c r="AC2955" s="130"/>
      <c r="AD2955" s="130">
        <v>28018</v>
      </c>
      <c r="AE2955" s="128" t="s">
        <v>32</v>
      </c>
      <c r="AF2955" s="128" t="s">
        <v>40</v>
      </c>
      <c r="AG2955" s="128" t="s">
        <v>41</v>
      </c>
      <c r="AH2955" s="108" t="s">
        <v>31</v>
      </c>
      <c r="AI2955" s="128" t="s">
        <v>118</v>
      </c>
      <c r="AJ2955" s="129" t="s">
        <v>89</v>
      </c>
      <c r="AK2955" s="129">
        <v>2</v>
      </c>
      <c r="AL2955" s="3" t="s">
        <v>991</v>
      </c>
      <c r="AO2955" s="128">
        <v>180</v>
      </c>
      <c r="AP2955" s="129" t="s">
        <v>43</v>
      </c>
      <c r="AR2955" s="128" t="s">
        <v>44</v>
      </c>
      <c r="AS2955" s="129" t="s">
        <v>45</v>
      </c>
      <c r="AT2955" s="129" t="s">
        <v>644</v>
      </c>
      <c r="BC2955" s="129" t="s">
        <v>38</v>
      </c>
      <c r="BF2955" s="111">
        <f t="shared" si="2141"/>
        <v>28</v>
      </c>
      <c r="BG2955" s="111">
        <f t="shared" si="2142"/>
        <v>28</v>
      </c>
      <c r="BH2955" s="111">
        <f t="shared" si="2146"/>
        <v>28</v>
      </c>
      <c r="BI2955" s="111">
        <f t="shared" si="2148"/>
        <v>35.423497267759565</v>
      </c>
      <c r="BJ2955" s="129">
        <f t="shared" si="2159"/>
        <v>0</v>
      </c>
      <c r="BK2955" s="129">
        <f t="shared" si="2147"/>
        <v>0</v>
      </c>
      <c r="BL2955" s="129" t="str">
        <f t="shared" si="2144"/>
        <v>CONVICTION</v>
      </c>
      <c r="BM2955" s="129" t="str">
        <f t="shared" si="2149"/>
        <v>NONE</v>
      </c>
      <c r="BN2955" s="129" t="s">
        <v>566</v>
      </c>
      <c r="BP2955" s="137" t="str">
        <f t="shared" si="2150"/>
        <v>CONVICTION</v>
      </c>
      <c r="BQ2955" s="128" t="str">
        <f t="shared" si="2160"/>
        <v>Y</v>
      </c>
      <c r="BR2955" s="129" t="str">
        <f t="shared" si="2151"/>
        <v>DETAINED</v>
      </c>
      <c r="BS2955" s="129" t="str">
        <f t="shared" si="2152"/>
        <v>DISPOSED</v>
      </c>
      <c r="BT2955" s="129" t="str">
        <f t="shared" si="2153"/>
        <v>N</v>
      </c>
      <c r="BU2955" s="109">
        <f t="shared" si="2154"/>
        <v>1</v>
      </c>
      <c r="BV2955" s="109">
        <f t="shared" si="2161"/>
        <v>1</v>
      </c>
      <c r="BW2955" s="109">
        <f t="shared" si="2127"/>
        <v>0</v>
      </c>
      <c r="BX2955" s="111">
        <f t="shared" si="2155"/>
        <v>0</v>
      </c>
      <c r="BY2955" s="129">
        <f t="shared" si="2162"/>
        <v>-28</v>
      </c>
      <c r="BZ2955" s="111">
        <f t="shared" si="2163"/>
        <v>0</v>
      </c>
      <c r="CA2955" s="138">
        <f t="shared" si="2164"/>
        <v>28</v>
      </c>
      <c r="CB2955" s="111" t="e">
        <f t="shared" si="2143"/>
        <v>#VALUE!</v>
      </c>
      <c r="CC2955" s="129">
        <f>G2955-I2955+1</f>
        <v>28</v>
      </c>
      <c r="CD2955" s="129">
        <f>G2955-J2955</f>
        <v>0</v>
      </c>
      <c r="CG2955" s="129" t="str">
        <f t="shared" si="2165"/>
        <v>N</v>
      </c>
      <c r="CI2955" s="129" t="str">
        <f t="shared" si="2167"/>
        <v>11-30 DAYS</v>
      </c>
      <c r="CJ2955" s="137">
        <f t="shared" si="2168"/>
        <v>2</v>
      </c>
      <c r="CK2955" s="129" t="str">
        <f t="shared" si="2169"/>
        <v>Booked</v>
      </c>
    </row>
    <row r="2956" spans="1:89" ht="15.75" customHeight="1" x14ac:dyDescent="0.25">
      <c r="A2956" s="111">
        <v>1995</v>
      </c>
      <c r="B2956" s="128" t="str">
        <f t="shared" si="2156"/>
        <v>N</v>
      </c>
      <c r="C2956" s="128" t="str">
        <f t="shared" si="2157"/>
        <v>N</v>
      </c>
      <c r="D2956" s="117">
        <v>2609709</v>
      </c>
      <c r="E2956" s="135">
        <f t="shared" si="2158"/>
        <v>1</v>
      </c>
      <c r="F2956" s="124">
        <v>40983</v>
      </c>
      <c r="G2956" s="125">
        <v>41297</v>
      </c>
      <c r="H2956" s="117">
        <v>2609709</v>
      </c>
      <c r="I2956" s="124">
        <v>40984</v>
      </c>
      <c r="J2956" s="124">
        <v>40990</v>
      </c>
      <c r="K2956" s="126">
        <v>30000</v>
      </c>
      <c r="L2956" s="129" t="s">
        <v>572</v>
      </c>
      <c r="M2956" s="125">
        <v>40990</v>
      </c>
      <c r="N2956" s="129" t="str">
        <f t="shared" si="2166"/>
        <v>Y</v>
      </c>
      <c r="O2956" s="128" t="s">
        <v>585</v>
      </c>
      <c r="P2956" s="129" t="s">
        <v>55</v>
      </c>
      <c r="Q2956" s="111">
        <f t="shared" ref="Q2956:Q2987" si="2170">BF2956</f>
        <v>7</v>
      </c>
      <c r="R2956" s="111">
        <f t="shared" si="2145"/>
        <v>315</v>
      </c>
      <c r="S2956" s="129">
        <v>0</v>
      </c>
      <c r="T2956" s="129">
        <v>0</v>
      </c>
      <c r="W2956" s="111"/>
      <c r="AC2956" s="130"/>
      <c r="AD2956" s="130">
        <v>33322</v>
      </c>
      <c r="AE2956" s="128" t="s">
        <v>32</v>
      </c>
      <c r="AF2956" s="128" t="s">
        <v>69</v>
      </c>
      <c r="AG2956" s="128" t="s">
        <v>874</v>
      </c>
      <c r="AH2956" s="108" t="s">
        <v>31</v>
      </c>
      <c r="AI2956" s="128" t="s">
        <v>71</v>
      </c>
      <c r="AJ2956" s="129" t="s">
        <v>55</v>
      </c>
      <c r="AK2956" s="129">
        <v>7</v>
      </c>
      <c r="AL2956" s="3" t="s">
        <v>55</v>
      </c>
      <c r="AP2956" s="129" t="s">
        <v>73</v>
      </c>
      <c r="AR2956" s="128" t="s">
        <v>50</v>
      </c>
      <c r="AS2956" s="129" t="s">
        <v>74</v>
      </c>
      <c r="AX2956" s="32"/>
      <c r="BC2956" s="129" t="s">
        <v>52</v>
      </c>
      <c r="BF2956" s="111">
        <f t="shared" si="2141"/>
        <v>7</v>
      </c>
      <c r="BG2956" s="111">
        <f t="shared" si="2142"/>
        <v>314</v>
      </c>
      <c r="BH2956" s="111">
        <f t="shared" si="2146"/>
        <v>315</v>
      </c>
      <c r="BI2956" s="111">
        <f t="shared" si="2148"/>
        <v>20.931693989071039</v>
      </c>
      <c r="BJ2956" s="129">
        <f>(G2956-J2956)+(M2956-G2956)</f>
        <v>0</v>
      </c>
      <c r="BK2956" s="129">
        <f t="shared" si="2147"/>
        <v>-307</v>
      </c>
      <c r="BL2956" s="129" t="str">
        <f t="shared" si="2144"/>
        <v>NO CONVICTION</v>
      </c>
      <c r="BM2956" s="129" t="s">
        <v>76</v>
      </c>
      <c r="BN2956" s="129" t="s">
        <v>88</v>
      </c>
      <c r="BP2956" s="137" t="str">
        <f t="shared" si="2150"/>
        <v>NO CONVICTION</v>
      </c>
      <c r="BQ2956" s="128" t="str">
        <f t="shared" si="2160"/>
        <v>Y</v>
      </c>
      <c r="BR2956" s="129" t="str">
        <f t="shared" si="2151"/>
        <v>ON BOND</v>
      </c>
      <c r="BS2956" s="129" t="str">
        <f t="shared" si="2152"/>
        <v>DISPOSED</v>
      </c>
      <c r="BT2956" s="129" t="str">
        <f t="shared" si="2153"/>
        <v>N</v>
      </c>
      <c r="BU2956" s="109">
        <f>IFERROR(Q2956/R2956,BR2956)</f>
        <v>2.2222222222222223E-2</v>
      </c>
      <c r="BV2956" s="109">
        <f t="shared" si="2161"/>
        <v>2.2292993630573247E-2</v>
      </c>
      <c r="BW2956" s="109">
        <f t="shared" si="2127"/>
        <v>7.0771408351023857E-5</v>
      </c>
      <c r="BX2956" s="111">
        <f t="shared" si="2155"/>
        <v>0</v>
      </c>
      <c r="BY2956" s="129">
        <f t="shared" si="2162"/>
        <v>-7</v>
      </c>
      <c r="BZ2956" s="111">
        <f t="shared" si="2163"/>
        <v>0</v>
      </c>
      <c r="CA2956" s="138">
        <f t="shared" si="2164"/>
        <v>7</v>
      </c>
      <c r="CB2956" s="111" t="e">
        <f t="shared" si="2143"/>
        <v>#VALUE!</v>
      </c>
      <c r="CC2956" s="129">
        <f>M2956-I2956+1</f>
        <v>7</v>
      </c>
      <c r="CD2956" s="111">
        <f>CC2956-BF2956</f>
        <v>0</v>
      </c>
      <c r="CG2956" s="129" t="str">
        <f t="shared" si="2165"/>
        <v>N</v>
      </c>
      <c r="CI2956" s="129" t="str">
        <f t="shared" si="2167"/>
        <v>0-10 DAYS</v>
      </c>
      <c r="CJ2956" s="137">
        <f t="shared" si="2168"/>
        <v>1</v>
      </c>
      <c r="CK2956" s="129" t="str">
        <f t="shared" si="2169"/>
        <v>Booked</v>
      </c>
    </row>
    <row r="2957" spans="1:89" ht="15" customHeight="1" x14ac:dyDescent="0.25">
      <c r="A2957" s="111">
        <v>2005</v>
      </c>
      <c r="B2957" s="128" t="str">
        <f t="shared" si="2156"/>
        <v>N</v>
      </c>
      <c r="C2957" s="128" t="str">
        <f t="shared" si="2157"/>
        <v>N</v>
      </c>
      <c r="D2957" s="117">
        <v>2609733</v>
      </c>
      <c r="E2957" s="135">
        <f t="shared" si="2158"/>
        <v>2</v>
      </c>
      <c r="F2957" s="124">
        <v>40984</v>
      </c>
      <c r="G2957" s="125">
        <v>41190</v>
      </c>
      <c r="H2957" s="117">
        <v>2609733</v>
      </c>
      <c r="I2957" s="124">
        <v>40984</v>
      </c>
      <c r="J2957" s="124">
        <v>40984</v>
      </c>
      <c r="K2957" s="126">
        <v>40000</v>
      </c>
      <c r="L2957" s="129" t="s">
        <v>572</v>
      </c>
      <c r="M2957" s="124">
        <v>40984</v>
      </c>
      <c r="N2957" s="129" t="str">
        <f t="shared" si="2166"/>
        <v>Y</v>
      </c>
      <c r="O2957" s="128" t="s">
        <v>76</v>
      </c>
      <c r="P2957" s="129" t="s">
        <v>589</v>
      </c>
      <c r="Q2957" s="111">
        <f t="shared" si="2170"/>
        <v>1</v>
      </c>
      <c r="R2957" s="111">
        <f t="shared" si="2145"/>
        <v>207</v>
      </c>
      <c r="S2957" s="129">
        <v>0</v>
      </c>
      <c r="T2957" s="129">
        <v>0</v>
      </c>
      <c r="W2957" s="111"/>
      <c r="AC2957" s="130"/>
      <c r="AD2957" s="130">
        <v>30208</v>
      </c>
      <c r="AE2957" s="128" t="s">
        <v>32</v>
      </c>
      <c r="AF2957" s="128" t="s">
        <v>69</v>
      </c>
      <c r="AG2957" s="128" t="s">
        <v>874</v>
      </c>
      <c r="AH2957" s="108" t="s">
        <v>31</v>
      </c>
      <c r="AI2957" s="128" t="s">
        <v>53</v>
      </c>
      <c r="AJ2957" s="129" t="s">
        <v>48</v>
      </c>
      <c r="AK2957" s="129">
        <v>10</v>
      </c>
      <c r="AL2957" s="3" t="s">
        <v>48</v>
      </c>
      <c r="AP2957" s="129" t="s">
        <v>227</v>
      </c>
      <c r="AR2957" s="128" t="s">
        <v>92</v>
      </c>
      <c r="AS2957" s="129" t="s">
        <v>64</v>
      </c>
      <c r="BC2957" s="129" t="s">
        <v>52</v>
      </c>
      <c r="BF2957" s="111">
        <f t="shared" si="2141"/>
        <v>1</v>
      </c>
      <c r="BG2957" s="111">
        <f t="shared" si="2142"/>
        <v>207</v>
      </c>
      <c r="BH2957" s="111">
        <f t="shared" si="2146"/>
        <v>207</v>
      </c>
      <c r="BI2957" s="111">
        <f t="shared" si="2148"/>
        <v>29.442622950819672</v>
      </c>
      <c r="BJ2957" s="129">
        <f>(G2957-J2957)+(M2957-G2957)</f>
        <v>0</v>
      </c>
      <c r="BK2957" s="129">
        <f t="shared" si="2147"/>
        <v>-206</v>
      </c>
      <c r="BL2957" s="129" t="str">
        <f t="shared" si="2144"/>
        <v>DEFERRED</v>
      </c>
      <c r="BM2957" s="129" t="s">
        <v>76</v>
      </c>
      <c r="BN2957" s="129" t="s">
        <v>88</v>
      </c>
      <c r="BP2957" s="137" t="str">
        <f t="shared" si="2150"/>
        <v>DEFERRED</v>
      </c>
      <c r="BQ2957" s="128" t="str">
        <f t="shared" si="2160"/>
        <v>Y</v>
      </c>
      <c r="BR2957" s="129" t="str">
        <f t="shared" si="2151"/>
        <v>ON BOND</v>
      </c>
      <c r="BS2957" s="129" t="str">
        <f t="shared" si="2152"/>
        <v>DISPOSED</v>
      </c>
      <c r="BT2957" s="129" t="str">
        <f t="shared" si="2153"/>
        <v>N</v>
      </c>
      <c r="BU2957" s="109">
        <f t="shared" si="2154"/>
        <v>4.830917874396135E-3</v>
      </c>
      <c r="BV2957" s="109">
        <f t="shared" si="2161"/>
        <v>4.830917874396135E-3</v>
      </c>
      <c r="BW2957" s="109">
        <f t="shared" ref="BW2957:BW2992" si="2171">BV2957-BU2957</f>
        <v>0</v>
      </c>
      <c r="BX2957" s="111">
        <f t="shared" si="2155"/>
        <v>0</v>
      </c>
      <c r="BY2957" s="129">
        <f t="shared" si="2162"/>
        <v>-1</v>
      </c>
      <c r="BZ2957" s="111">
        <f t="shared" si="2163"/>
        <v>0</v>
      </c>
      <c r="CA2957" s="138">
        <f t="shared" si="2164"/>
        <v>1</v>
      </c>
      <c r="CB2957" s="111" t="e">
        <f t="shared" si="2143"/>
        <v>#VALUE!</v>
      </c>
      <c r="CC2957" s="129">
        <f>M2957-I2957+1</f>
        <v>1</v>
      </c>
      <c r="CD2957" s="111">
        <f>CC2957-BF2957</f>
        <v>0</v>
      </c>
      <c r="CG2957" s="129" t="str">
        <f t="shared" si="2165"/>
        <v>N</v>
      </c>
      <c r="CI2957" s="129" t="str">
        <f t="shared" si="2167"/>
        <v>0-10 DAYS</v>
      </c>
      <c r="CJ2957" s="137">
        <f t="shared" si="2168"/>
        <v>1</v>
      </c>
      <c r="CK2957" s="129" t="str">
        <f t="shared" si="2169"/>
        <v>Booked</v>
      </c>
    </row>
    <row r="2958" spans="1:89" ht="15" customHeight="1" x14ac:dyDescent="0.25">
      <c r="A2958" s="111">
        <v>2012</v>
      </c>
      <c r="B2958" s="128" t="str">
        <f t="shared" si="2156"/>
        <v>N</v>
      </c>
      <c r="C2958" s="128" t="str">
        <f t="shared" si="2157"/>
        <v>N</v>
      </c>
      <c r="D2958" s="117">
        <v>2609819</v>
      </c>
      <c r="E2958" s="135">
        <f t="shared" si="2158"/>
        <v>6</v>
      </c>
      <c r="F2958" s="124">
        <v>40984</v>
      </c>
      <c r="G2958" s="125">
        <v>41101</v>
      </c>
      <c r="H2958" s="117">
        <v>2609819</v>
      </c>
      <c r="I2958" s="124">
        <v>40987</v>
      </c>
      <c r="J2958" s="124">
        <v>41101</v>
      </c>
      <c r="K2958" s="126" t="s">
        <v>564</v>
      </c>
      <c r="L2958" s="127" t="s">
        <v>564</v>
      </c>
      <c r="N2958" s="129" t="s">
        <v>566</v>
      </c>
      <c r="O2958" s="128" t="s">
        <v>917</v>
      </c>
      <c r="P2958" s="129" t="s">
        <v>39</v>
      </c>
      <c r="Q2958" s="111">
        <f t="shared" si="2170"/>
        <v>115</v>
      </c>
      <c r="R2958" s="111">
        <f t="shared" si="2145"/>
        <v>118</v>
      </c>
      <c r="S2958" s="129">
        <v>0</v>
      </c>
      <c r="T2958" s="129">
        <v>0</v>
      </c>
      <c r="W2958" s="111"/>
      <c r="AC2958" s="130"/>
      <c r="AD2958" s="130">
        <v>35434</v>
      </c>
      <c r="AE2958" s="128" t="s">
        <v>32</v>
      </c>
      <c r="AF2958" s="128" t="s">
        <v>69</v>
      </c>
      <c r="AG2958" s="128" t="s">
        <v>874</v>
      </c>
      <c r="AH2958" s="108" t="s">
        <v>31</v>
      </c>
      <c r="AI2958" s="128" t="s">
        <v>42</v>
      </c>
      <c r="AJ2958" s="129" t="s">
        <v>89</v>
      </c>
      <c r="AK2958" s="129">
        <v>5</v>
      </c>
      <c r="AL2958" s="3" t="s">
        <v>362</v>
      </c>
      <c r="AM2958" s="117">
        <v>7</v>
      </c>
      <c r="AP2958" s="129" t="s">
        <v>105</v>
      </c>
      <c r="AR2958" s="128" t="s">
        <v>92</v>
      </c>
      <c r="AS2958" s="129" t="s">
        <v>106</v>
      </c>
      <c r="BC2958" s="129" t="s">
        <v>38</v>
      </c>
      <c r="BF2958" s="111">
        <f t="shared" si="2141"/>
        <v>115</v>
      </c>
      <c r="BG2958" s="111">
        <f t="shared" si="2142"/>
        <v>115</v>
      </c>
      <c r="BH2958" s="111">
        <f>IF(G2958&gt;1/1/1900,((G2958+1)-F2958),"STILL OPEN")</f>
        <v>118</v>
      </c>
      <c r="BI2958" s="111">
        <f t="shared" si="2148"/>
        <v>15.163934426229508</v>
      </c>
      <c r="BJ2958" s="129">
        <f t="shared" si="2159"/>
        <v>0</v>
      </c>
      <c r="BK2958" s="129">
        <f t="shared" si="2147"/>
        <v>0</v>
      </c>
      <c r="BL2958" s="129" t="str">
        <f t="shared" si="2144"/>
        <v>CONVICTION</v>
      </c>
      <c r="BM2958" s="129" t="str">
        <f t="shared" si="2149"/>
        <v>NONE</v>
      </c>
      <c r="BN2958" s="129" t="s">
        <v>566</v>
      </c>
      <c r="BP2958" s="137" t="str">
        <f t="shared" si="2150"/>
        <v>CONVICTION</v>
      </c>
      <c r="BQ2958" s="128" t="str">
        <f t="shared" si="2160"/>
        <v>Y</v>
      </c>
      <c r="BR2958" s="129" t="str">
        <f t="shared" si="2151"/>
        <v>DETAINED</v>
      </c>
      <c r="BS2958" s="129" t="str">
        <f t="shared" si="2152"/>
        <v>DISPOSED</v>
      </c>
      <c r="BT2958" s="129" t="str">
        <f t="shared" si="2153"/>
        <v>N</v>
      </c>
      <c r="BU2958" s="109">
        <f t="shared" si="2154"/>
        <v>0.97457627118644063</v>
      </c>
      <c r="BV2958" s="109">
        <f t="shared" si="2161"/>
        <v>1</v>
      </c>
      <c r="BW2958" s="109">
        <f t="shared" si="2171"/>
        <v>2.5423728813559365E-2</v>
      </c>
      <c r="BX2958" s="111">
        <f t="shared" si="2155"/>
        <v>0</v>
      </c>
      <c r="BY2958" s="129">
        <f t="shared" si="2162"/>
        <v>-115</v>
      </c>
      <c r="BZ2958" s="111">
        <f t="shared" si="2163"/>
        <v>0</v>
      </c>
      <c r="CA2958" s="138">
        <f t="shared" si="2164"/>
        <v>115</v>
      </c>
      <c r="CB2958" s="111" t="e">
        <f t="shared" si="2143"/>
        <v>#VALUE!</v>
      </c>
      <c r="CC2958" s="129">
        <f>G2958-I2958+1</f>
        <v>115</v>
      </c>
      <c r="CD2958" s="129">
        <f>G2958-J2958</f>
        <v>0</v>
      </c>
      <c r="CG2958" s="129" t="str">
        <f t="shared" si="2165"/>
        <v>N</v>
      </c>
      <c r="CI2958" s="129" t="str">
        <f t="shared" si="2167"/>
        <v>91-120 DAYS</v>
      </c>
      <c r="CJ2958" s="137">
        <f t="shared" si="2168"/>
        <v>0</v>
      </c>
      <c r="CK2958" s="129" t="str">
        <f t="shared" si="2169"/>
        <v>Booked</v>
      </c>
    </row>
    <row r="2959" spans="1:89" ht="15" customHeight="1" x14ac:dyDescent="0.25">
      <c r="A2959" s="111">
        <v>2014</v>
      </c>
      <c r="B2959" s="128" t="str">
        <f t="shared" si="2156"/>
        <v>N</v>
      </c>
      <c r="C2959" s="128" t="str">
        <f t="shared" si="2157"/>
        <v>N</v>
      </c>
      <c r="D2959" s="117">
        <v>2609833</v>
      </c>
      <c r="E2959" s="135">
        <f t="shared" si="2158"/>
        <v>6</v>
      </c>
      <c r="F2959" s="124">
        <v>40984</v>
      </c>
      <c r="G2959" s="125">
        <v>41509</v>
      </c>
      <c r="H2959" s="117">
        <v>2609833</v>
      </c>
      <c r="I2959" s="124">
        <v>40984</v>
      </c>
      <c r="J2959" s="124">
        <v>40985</v>
      </c>
      <c r="K2959" s="126">
        <v>60000</v>
      </c>
      <c r="L2959" s="129" t="s">
        <v>572</v>
      </c>
      <c r="M2959" s="125">
        <v>40985</v>
      </c>
      <c r="N2959" s="129" t="str">
        <f t="shared" ref="N2959:N2972" si="2172">IF(M2959&gt;1/1/1,"Y","N")</f>
        <v>Y</v>
      </c>
      <c r="O2959" s="128" t="s">
        <v>76</v>
      </c>
      <c r="P2959" s="129" t="s">
        <v>39</v>
      </c>
      <c r="Q2959" s="111">
        <f t="shared" si="2170"/>
        <v>2</v>
      </c>
      <c r="R2959" s="111">
        <f t="shared" si="2145"/>
        <v>526</v>
      </c>
      <c r="S2959" s="129">
        <v>0</v>
      </c>
      <c r="T2959" s="129">
        <v>0</v>
      </c>
      <c r="W2959" s="111"/>
      <c r="AC2959" s="130"/>
      <c r="AD2959" s="130">
        <v>30433</v>
      </c>
      <c r="AE2959" s="128" t="s">
        <v>32</v>
      </c>
      <c r="AF2959" s="128" t="s">
        <v>69</v>
      </c>
      <c r="AG2959" s="128" t="s">
        <v>874</v>
      </c>
      <c r="AH2959" s="108" t="s">
        <v>31</v>
      </c>
      <c r="AI2959" s="128" t="s">
        <v>62</v>
      </c>
      <c r="AJ2959" s="129" t="s">
        <v>89</v>
      </c>
      <c r="AK2959" s="129">
        <v>14</v>
      </c>
      <c r="AL2959" s="3" t="s">
        <v>362</v>
      </c>
      <c r="AM2959" s="117">
        <v>5</v>
      </c>
      <c r="AP2959" s="129" t="s">
        <v>125</v>
      </c>
      <c r="AR2959" s="128" t="s">
        <v>50</v>
      </c>
      <c r="AS2959" s="129" t="s">
        <v>126</v>
      </c>
      <c r="AT2959" s="129" t="s">
        <v>1162</v>
      </c>
      <c r="BC2959" s="129" t="s">
        <v>52</v>
      </c>
      <c r="BF2959" s="111">
        <f t="shared" si="2141"/>
        <v>2</v>
      </c>
      <c r="BG2959" s="111">
        <f t="shared" si="2142"/>
        <v>526</v>
      </c>
      <c r="BH2959" s="111">
        <f t="shared" si="2146"/>
        <v>526</v>
      </c>
      <c r="BI2959" s="111">
        <f t="shared" si="2148"/>
        <v>28.827868852459016</v>
      </c>
      <c r="BJ2959" s="129">
        <f>(G2959-J2959)+(M2959-G2959)</f>
        <v>0</v>
      </c>
      <c r="BK2959" s="129">
        <f t="shared" si="2147"/>
        <v>-524</v>
      </c>
      <c r="BL2959" s="129" t="str">
        <f t="shared" si="2144"/>
        <v>CONVICTION</v>
      </c>
      <c r="BM2959" s="129" t="s">
        <v>76</v>
      </c>
      <c r="BN2959" s="129" t="s">
        <v>88</v>
      </c>
      <c r="BP2959" s="137" t="str">
        <f t="shared" si="2150"/>
        <v>CONVICTION</v>
      </c>
      <c r="BQ2959" s="128" t="str">
        <f t="shared" si="2160"/>
        <v>Y</v>
      </c>
      <c r="BR2959" s="129" t="str">
        <f>IF(J2959&lt;G2959,"ON BOND",0)</f>
        <v>ON BOND</v>
      </c>
      <c r="BS2959" s="129" t="str">
        <f t="shared" si="2152"/>
        <v>DISPOSED</v>
      </c>
      <c r="BT2959" s="129" t="str">
        <f t="shared" si="2153"/>
        <v>N</v>
      </c>
      <c r="BU2959" s="109">
        <f t="shared" si="2154"/>
        <v>3.8022813688212928E-3</v>
      </c>
      <c r="BV2959" s="109">
        <f t="shared" si="2161"/>
        <v>3.8022813688212928E-3</v>
      </c>
      <c r="BW2959" s="109">
        <f t="shared" si="2171"/>
        <v>0</v>
      </c>
      <c r="BX2959" s="111">
        <f t="shared" si="2155"/>
        <v>0</v>
      </c>
      <c r="BY2959" s="129">
        <f t="shared" si="2162"/>
        <v>-2</v>
      </c>
      <c r="BZ2959" s="111">
        <f t="shared" si="2163"/>
        <v>0</v>
      </c>
      <c r="CA2959" s="138">
        <f t="shared" si="2164"/>
        <v>2</v>
      </c>
      <c r="CB2959" s="111" t="e">
        <f t="shared" si="2143"/>
        <v>#VALUE!</v>
      </c>
      <c r="CC2959" s="129">
        <f>M2959-I2959+1</f>
        <v>2</v>
      </c>
      <c r="CD2959" s="111">
        <f>CC2959-BF2959</f>
        <v>0</v>
      </c>
      <c r="CG2959" s="129" t="str">
        <f t="shared" si="2165"/>
        <v>N</v>
      </c>
      <c r="CI2959" s="129" t="str">
        <f t="shared" si="2167"/>
        <v>0-10 DAYS</v>
      </c>
      <c r="CJ2959" s="137">
        <f t="shared" si="2168"/>
        <v>1</v>
      </c>
      <c r="CK2959" s="129" t="str">
        <f t="shared" si="2169"/>
        <v>Booked</v>
      </c>
    </row>
    <row r="2960" spans="1:89" ht="15" customHeight="1" x14ac:dyDescent="0.25">
      <c r="A2960" s="111">
        <v>2019</v>
      </c>
      <c r="B2960" s="128" t="str">
        <f t="shared" si="2156"/>
        <v>N</v>
      </c>
      <c r="C2960" s="128" t="str">
        <f t="shared" si="2157"/>
        <v>N</v>
      </c>
      <c r="D2960" s="117">
        <v>2609877</v>
      </c>
      <c r="E2960" s="135">
        <f t="shared" si="2158"/>
        <v>6</v>
      </c>
      <c r="F2960" s="124">
        <v>40984</v>
      </c>
      <c r="G2960" s="125">
        <v>41059</v>
      </c>
      <c r="H2960" s="117">
        <v>2609877</v>
      </c>
      <c r="I2960" s="124">
        <v>40985</v>
      </c>
      <c r="J2960" s="124">
        <v>41059</v>
      </c>
      <c r="K2960" s="126">
        <v>50000</v>
      </c>
      <c r="L2960" s="129" t="s">
        <v>572</v>
      </c>
      <c r="N2960" s="129" t="str">
        <f t="shared" si="2172"/>
        <v>N</v>
      </c>
      <c r="O2960" s="128" t="s">
        <v>917</v>
      </c>
      <c r="P2960" s="129" t="s">
        <v>39</v>
      </c>
      <c r="Q2960" s="111">
        <f t="shared" si="2170"/>
        <v>75</v>
      </c>
      <c r="R2960" s="111">
        <f t="shared" si="2145"/>
        <v>76</v>
      </c>
      <c r="S2960" s="129">
        <v>0</v>
      </c>
      <c r="T2960" s="129">
        <v>0</v>
      </c>
      <c r="W2960" s="111"/>
      <c r="AC2960" s="130"/>
      <c r="AD2960" s="130">
        <v>27900</v>
      </c>
      <c r="AE2960" s="128" t="s">
        <v>46</v>
      </c>
      <c r="AF2960" s="128" t="s">
        <v>69</v>
      </c>
      <c r="AG2960" s="128" t="s">
        <v>874</v>
      </c>
      <c r="AH2960" s="108" t="s">
        <v>31</v>
      </c>
      <c r="AI2960" s="128" t="s">
        <v>65</v>
      </c>
      <c r="AJ2960" s="129" t="s">
        <v>89</v>
      </c>
      <c r="AK2960" s="129">
        <v>4</v>
      </c>
      <c r="AL2960" s="3" t="s">
        <v>362</v>
      </c>
      <c r="AM2960" s="117">
        <v>5</v>
      </c>
      <c r="AP2960" s="129" t="s">
        <v>105</v>
      </c>
      <c r="AR2960" s="128" t="s">
        <v>92</v>
      </c>
      <c r="AS2960" s="129" t="s">
        <v>106</v>
      </c>
      <c r="BC2960" s="129" t="s">
        <v>38</v>
      </c>
      <c r="BF2960" s="111">
        <f t="shared" si="2141"/>
        <v>75</v>
      </c>
      <c r="BG2960" s="111">
        <f t="shared" si="2142"/>
        <v>75</v>
      </c>
      <c r="BH2960" s="111">
        <f t="shared" si="2146"/>
        <v>76</v>
      </c>
      <c r="BI2960" s="111">
        <f t="shared" si="2148"/>
        <v>35.748633879781423</v>
      </c>
      <c r="BJ2960" s="129">
        <f t="shared" si="2159"/>
        <v>0</v>
      </c>
      <c r="BK2960" s="129">
        <f t="shared" si="2147"/>
        <v>0</v>
      </c>
      <c r="BL2960" s="129" t="str">
        <f t="shared" si="2144"/>
        <v>CONVICTION</v>
      </c>
      <c r="BM2960" s="129" t="str">
        <f t="shared" si="2149"/>
        <v>NONE</v>
      </c>
      <c r="BN2960" s="129" t="s">
        <v>566</v>
      </c>
      <c r="BP2960" s="137" t="str">
        <f t="shared" si="2150"/>
        <v>CONVICTION</v>
      </c>
      <c r="BQ2960" s="128" t="str">
        <f t="shared" si="2160"/>
        <v>Y</v>
      </c>
      <c r="BR2960" s="129" t="str">
        <f t="shared" si="2151"/>
        <v>DETAINED</v>
      </c>
      <c r="BS2960" s="129" t="str">
        <f t="shared" si="2152"/>
        <v>DISPOSED</v>
      </c>
      <c r="BT2960" s="129" t="str">
        <f t="shared" si="2153"/>
        <v>N</v>
      </c>
      <c r="BU2960" s="109">
        <f t="shared" si="2154"/>
        <v>0.98684210526315785</v>
      </c>
      <c r="BV2960" s="109">
        <f t="shared" si="2161"/>
        <v>1</v>
      </c>
      <c r="BW2960" s="109">
        <f t="shared" si="2171"/>
        <v>1.3157894736842146E-2</v>
      </c>
      <c r="BX2960" s="111">
        <f t="shared" si="2155"/>
        <v>0</v>
      </c>
      <c r="BY2960" s="129">
        <f t="shared" si="2162"/>
        <v>-75</v>
      </c>
      <c r="BZ2960" s="111">
        <f t="shared" si="2163"/>
        <v>0</v>
      </c>
      <c r="CA2960" s="138">
        <f t="shared" si="2164"/>
        <v>75</v>
      </c>
      <c r="CB2960" s="111" t="e">
        <f t="shared" si="2143"/>
        <v>#VALUE!</v>
      </c>
      <c r="CC2960" s="129">
        <f t="shared" ref="CC2960:CC2965" si="2173">G2960-I2960+1</f>
        <v>75</v>
      </c>
      <c r="CD2960" s="129">
        <f t="shared" ref="CD2960:CD2965" si="2174">G2960-J2960</f>
        <v>0</v>
      </c>
      <c r="CG2960" s="129" t="str">
        <f t="shared" si="2165"/>
        <v>N</v>
      </c>
      <c r="CI2960" s="129" t="str">
        <f t="shared" si="2167"/>
        <v>61-90 DAYS</v>
      </c>
      <c r="CJ2960" s="137">
        <f t="shared" si="2168"/>
        <v>4</v>
      </c>
      <c r="CK2960" s="129" t="str">
        <f t="shared" si="2169"/>
        <v>Booked</v>
      </c>
    </row>
    <row r="2961" spans="1:89" ht="15" customHeight="1" x14ac:dyDescent="0.25">
      <c r="A2961" s="111">
        <v>2023</v>
      </c>
      <c r="B2961" s="128" t="str">
        <f t="shared" si="2156"/>
        <v>N</v>
      </c>
      <c r="C2961" s="128" t="str">
        <f t="shared" si="2157"/>
        <v>N</v>
      </c>
      <c r="D2961" s="117">
        <v>2609887</v>
      </c>
      <c r="E2961" s="135">
        <f t="shared" si="2158"/>
        <v>4</v>
      </c>
      <c r="F2961" s="124">
        <v>40984</v>
      </c>
      <c r="G2961" s="125">
        <v>40987</v>
      </c>
      <c r="H2961" s="117">
        <v>2609887</v>
      </c>
      <c r="I2961" s="124">
        <v>40985</v>
      </c>
      <c r="J2961" s="124">
        <v>40987</v>
      </c>
      <c r="K2961" s="126">
        <v>35000</v>
      </c>
      <c r="L2961" s="129" t="s">
        <v>572</v>
      </c>
      <c r="N2961" s="129" t="str">
        <f t="shared" si="2172"/>
        <v>N</v>
      </c>
      <c r="O2961" s="128" t="s">
        <v>917</v>
      </c>
      <c r="P2961" s="129" t="s">
        <v>39</v>
      </c>
      <c r="Q2961" s="111">
        <f t="shared" si="2170"/>
        <v>3</v>
      </c>
      <c r="R2961" s="111">
        <f t="shared" si="2145"/>
        <v>4</v>
      </c>
      <c r="S2961" s="129">
        <v>0</v>
      </c>
      <c r="T2961" s="129">
        <v>0</v>
      </c>
      <c r="W2961" s="111"/>
      <c r="AB2961" s="131" t="s">
        <v>112</v>
      </c>
      <c r="AC2961" s="130"/>
      <c r="AD2961" s="130">
        <v>20109</v>
      </c>
      <c r="AE2961" s="128" t="s">
        <v>32</v>
      </c>
      <c r="AF2961" s="128" t="s">
        <v>40</v>
      </c>
      <c r="AG2961" s="128" t="s">
        <v>41</v>
      </c>
      <c r="AH2961" s="108" t="s">
        <v>31</v>
      </c>
      <c r="AI2961" s="128" t="s">
        <v>85</v>
      </c>
      <c r="AJ2961" s="129" t="s">
        <v>89</v>
      </c>
      <c r="AK2961" s="129">
        <v>1</v>
      </c>
      <c r="AL2961" s="3" t="s">
        <v>991</v>
      </c>
      <c r="AO2961" s="128">
        <v>90</v>
      </c>
      <c r="AP2961" s="129" t="s">
        <v>43</v>
      </c>
      <c r="AR2961" s="128" t="s">
        <v>44</v>
      </c>
      <c r="AS2961" s="129" t="s">
        <v>45</v>
      </c>
      <c r="BC2961" s="129" t="s">
        <v>38</v>
      </c>
      <c r="BF2961" s="111">
        <f t="shared" si="2141"/>
        <v>3</v>
      </c>
      <c r="BG2961" s="111">
        <f t="shared" si="2142"/>
        <v>3</v>
      </c>
      <c r="BH2961" s="111">
        <f t="shared" si="2146"/>
        <v>4</v>
      </c>
      <c r="BI2961" s="111">
        <f t="shared" si="2148"/>
        <v>57.035519125683059</v>
      </c>
      <c r="BJ2961" s="129">
        <f t="shared" si="2159"/>
        <v>0</v>
      </c>
      <c r="BK2961" s="129">
        <f t="shared" si="2147"/>
        <v>0</v>
      </c>
      <c r="BL2961" s="129" t="str">
        <f t="shared" si="2144"/>
        <v>CONVICTION</v>
      </c>
      <c r="BM2961" s="129" t="str">
        <f t="shared" si="2149"/>
        <v>NONE</v>
      </c>
      <c r="BN2961" s="129" t="s">
        <v>566</v>
      </c>
      <c r="BP2961" s="137" t="str">
        <f t="shared" si="2150"/>
        <v>CONVICTION</v>
      </c>
      <c r="BQ2961" s="128" t="str">
        <f t="shared" si="2160"/>
        <v>Y</v>
      </c>
      <c r="BR2961" s="129" t="str">
        <f t="shared" si="2151"/>
        <v>DETAINED</v>
      </c>
      <c r="BS2961" s="129" t="str">
        <f t="shared" si="2152"/>
        <v>DISPOSED</v>
      </c>
      <c r="BT2961" s="129" t="str">
        <f t="shared" si="2153"/>
        <v>N</v>
      </c>
      <c r="BU2961" s="109">
        <f t="shared" si="2154"/>
        <v>0.75</v>
      </c>
      <c r="BV2961" s="109">
        <f t="shared" si="2161"/>
        <v>1</v>
      </c>
      <c r="BW2961" s="109">
        <f t="shared" si="2171"/>
        <v>0.25</v>
      </c>
      <c r="BX2961" s="111">
        <f t="shared" si="2155"/>
        <v>0</v>
      </c>
      <c r="BY2961" s="129">
        <f t="shared" si="2162"/>
        <v>-3</v>
      </c>
      <c r="BZ2961" s="111">
        <f t="shared" si="2163"/>
        <v>0</v>
      </c>
      <c r="CA2961" s="138">
        <f t="shared" si="2164"/>
        <v>3</v>
      </c>
      <c r="CB2961" s="111" t="e">
        <f t="shared" si="2143"/>
        <v>#VALUE!</v>
      </c>
      <c r="CC2961" s="129">
        <f t="shared" si="2173"/>
        <v>3</v>
      </c>
      <c r="CD2961" s="129">
        <f t="shared" si="2174"/>
        <v>0</v>
      </c>
      <c r="CG2961" s="129" t="str">
        <f t="shared" si="2165"/>
        <v>N</v>
      </c>
      <c r="CI2961" s="129" t="str">
        <f t="shared" si="2167"/>
        <v>0-10 DAYS</v>
      </c>
      <c r="CJ2961" s="137">
        <f t="shared" si="2168"/>
        <v>1</v>
      </c>
      <c r="CK2961" s="129" t="str">
        <f t="shared" si="2169"/>
        <v>Booked</v>
      </c>
    </row>
    <row r="2962" spans="1:89" ht="15" customHeight="1" x14ac:dyDescent="0.25">
      <c r="A2962" s="111">
        <v>2030</v>
      </c>
      <c r="B2962" s="128" t="str">
        <f t="shared" si="2156"/>
        <v>N</v>
      </c>
      <c r="C2962" s="128" t="str">
        <f t="shared" si="2157"/>
        <v>N</v>
      </c>
      <c r="D2962" s="117">
        <v>2609932</v>
      </c>
      <c r="E2962" s="135">
        <f t="shared" si="2158"/>
        <v>2</v>
      </c>
      <c r="F2962" s="124">
        <v>40985</v>
      </c>
      <c r="G2962" s="125">
        <v>41143</v>
      </c>
      <c r="H2962" s="117">
        <v>2609932</v>
      </c>
      <c r="I2962" s="124">
        <v>40985</v>
      </c>
      <c r="J2962" s="124">
        <v>41143</v>
      </c>
      <c r="K2962" s="126">
        <v>30000</v>
      </c>
      <c r="L2962" s="129" t="s">
        <v>572</v>
      </c>
      <c r="N2962" s="129" t="str">
        <f t="shared" si="2172"/>
        <v>N</v>
      </c>
      <c r="O2962" s="128" t="s">
        <v>917</v>
      </c>
      <c r="P2962" s="129" t="s">
        <v>589</v>
      </c>
      <c r="Q2962" s="111">
        <f t="shared" si="2170"/>
        <v>159</v>
      </c>
      <c r="R2962" s="111">
        <f t="shared" si="2145"/>
        <v>159</v>
      </c>
      <c r="S2962" s="129">
        <v>0</v>
      </c>
      <c r="T2962" s="129">
        <v>0</v>
      </c>
      <c r="W2962" s="111"/>
      <c r="AB2962" s="131" t="s">
        <v>112</v>
      </c>
      <c r="AC2962" s="130"/>
      <c r="AD2962" s="130">
        <v>34146</v>
      </c>
      <c r="AE2962" s="128" t="s">
        <v>32</v>
      </c>
      <c r="AF2962" s="128" t="s">
        <v>40</v>
      </c>
      <c r="AG2962" s="128" t="s">
        <v>41</v>
      </c>
      <c r="AH2962" s="108" t="s">
        <v>31</v>
      </c>
      <c r="AI2962" s="128" t="s">
        <v>80</v>
      </c>
      <c r="AJ2962" s="129" t="s">
        <v>48</v>
      </c>
      <c r="AK2962" s="129">
        <v>7</v>
      </c>
      <c r="AL2962" s="3" t="s">
        <v>48</v>
      </c>
      <c r="AP2962" s="129" t="s">
        <v>73</v>
      </c>
      <c r="AR2962" s="128" t="s">
        <v>50</v>
      </c>
      <c r="AS2962" s="129" t="s">
        <v>74</v>
      </c>
      <c r="BC2962" s="129" t="s">
        <v>38</v>
      </c>
      <c r="BF2962" s="111">
        <f t="shared" si="2141"/>
        <v>159</v>
      </c>
      <c r="BG2962" s="111">
        <f t="shared" si="2142"/>
        <v>159</v>
      </c>
      <c r="BH2962" s="111">
        <f t="shared" si="2146"/>
        <v>159</v>
      </c>
      <c r="BI2962" s="111">
        <f t="shared" si="2148"/>
        <v>18.685792349726775</v>
      </c>
      <c r="BJ2962" s="129">
        <f t="shared" si="2159"/>
        <v>0</v>
      </c>
      <c r="BK2962" s="129">
        <f t="shared" si="2147"/>
        <v>0</v>
      </c>
      <c r="BL2962" s="129" t="str">
        <f t="shared" si="2144"/>
        <v>DEFERRED</v>
      </c>
      <c r="BM2962" s="129" t="str">
        <f t="shared" si="2149"/>
        <v>NONE</v>
      </c>
      <c r="BN2962" s="129" t="s">
        <v>566</v>
      </c>
      <c r="BP2962" s="137" t="str">
        <f t="shared" si="2150"/>
        <v>DEFERRED</v>
      </c>
      <c r="BQ2962" s="128" t="str">
        <f t="shared" si="2160"/>
        <v>Y</v>
      </c>
      <c r="BR2962" s="129" t="str">
        <f t="shared" si="2151"/>
        <v>DETAINED</v>
      </c>
      <c r="BS2962" s="129" t="str">
        <f t="shared" si="2152"/>
        <v>DISPOSED</v>
      </c>
      <c r="BT2962" s="129" t="str">
        <f t="shared" si="2153"/>
        <v>N</v>
      </c>
      <c r="BU2962" s="109">
        <f t="shared" si="2154"/>
        <v>1</v>
      </c>
      <c r="BV2962" s="109">
        <f t="shared" si="2161"/>
        <v>1</v>
      </c>
      <c r="BW2962" s="109">
        <f t="shared" si="2171"/>
        <v>0</v>
      </c>
      <c r="BX2962" s="111">
        <f t="shared" si="2155"/>
        <v>0</v>
      </c>
      <c r="BY2962" s="129">
        <f t="shared" si="2162"/>
        <v>-159</v>
      </c>
      <c r="BZ2962" s="111">
        <f t="shared" si="2163"/>
        <v>0</v>
      </c>
      <c r="CA2962" s="138">
        <f t="shared" si="2164"/>
        <v>159</v>
      </c>
      <c r="CB2962" s="111" t="e">
        <f t="shared" si="2143"/>
        <v>#VALUE!</v>
      </c>
      <c r="CC2962" s="129">
        <f t="shared" si="2173"/>
        <v>159</v>
      </c>
      <c r="CD2962" s="129">
        <f t="shared" si="2174"/>
        <v>0</v>
      </c>
      <c r="CG2962" s="129" t="str">
        <f t="shared" si="2165"/>
        <v>N</v>
      </c>
      <c r="CI2962" s="129" t="str">
        <f t="shared" si="2167"/>
        <v>121-365 DAYS</v>
      </c>
      <c r="CJ2962" s="137">
        <f t="shared" si="2168"/>
        <v>6</v>
      </c>
      <c r="CK2962" s="129" t="str">
        <f t="shared" si="2169"/>
        <v>Booked</v>
      </c>
    </row>
    <row r="2963" spans="1:89" ht="15.75" customHeight="1" x14ac:dyDescent="0.25">
      <c r="A2963" s="111">
        <v>2035</v>
      </c>
      <c r="B2963" s="128" t="str">
        <f t="shared" si="2156"/>
        <v>N</v>
      </c>
      <c r="C2963" s="128" t="str">
        <f t="shared" si="2157"/>
        <v>N</v>
      </c>
      <c r="D2963" s="117">
        <v>2609961</v>
      </c>
      <c r="E2963" s="135">
        <f t="shared" si="2158"/>
        <v>2</v>
      </c>
      <c r="F2963" s="124">
        <v>40985</v>
      </c>
      <c r="G2963" s="125">
        <v>40987</v>
      </c>
      <c r="H2963" s="117">
        <v>2609961</v>
      </c>
      <c r="I2963" s="124">
        <v>40986</v>
      </c>
      <c r="J2963" s="124">
        <v>40987</v>
      </c>
      <c r="K2963" s="126">
        <v>10000</v>
      </c>
      <c r="L2963" s="127" t="s">
        <v>570</v>
      </c>
      <c r="N2963" s="129" t="str">
        <f t="shared" si="2172"/>
        <v>N</v>
      </c>
      <c r="O2963" s="128" t="s">
        <v>917</v>
      </c>
      <c r="P2963" s="129" t="s">
        <v>589</v>
      </c>
      <c r="Q2963" s="111">
        <f t="shared" si="2170"/>
        <v>2</v>
      </c>
      <c r="R2963" s="111">
        <f t="shared" si="2145"/>
        <v>3</v>
      </c>
      <c r="S2963" s="129">
        <v>0</v>
      </c>
      <c r="T2963" s="129">
        <v>0</v>
      </c>
      <c r="W2963" s="111"/>
      <c r="AC2963" s="130"/>
      <c r="AD2963" s="130">
        <v>34176</v>
      </c>
      <c r="AE2963" s="128" t="s">
        <v>46</v>
      </c>
      <c r="AF2963" s="128" t="s">
        <v>69</v>
      </c>
      <c r="AG2963" s="128" t="s">
        <v>874</v>
      </c>
      <c r="AH2963" s="108" t="s">
        <v>31</v>
      </c>
      <c r="AI2963" s="128" t="s">
        <v>70</v>
      </c>
      <c r="AJ2963" s="129" t="s">
        <v>48</v>
      </c>
      <c r="AK2963" s="129">
        <v>1</v>
      </c>
      <c r="AL2963" s="3" t="s">
        <v>48</v>
      </c>
      <c r="AP2963" s="129" t="s">
        <v>107</v>
      </c>
      <c r="AR2963" s="128" t="s">
        <v>44</v>
      </c>
      <c r="AS2963" s="129" t="s">
        <v>57</v>
      </c>
      <c r="BC2963" s="129" t="s">
        <v>38</v>
      </c>
      <c r="BF2963" s="111">
        <f t="shared" si="2141"/>
        <v>2</v>
      </c>
      <c r="BG2963" s="111">
        <f t="shared" si="2142"/>
        <v>2</v>
      </c>
      <c r="BH2963" s="111">
        <f t="shared" si="2146"/>
        <v>3</v>
      </c>
      <c r="BI2963" s="111">
        <f t="shared" si="2148"/>
        <v>18.603825136612024</v>
      </c>
      <c r="BJ2963" s="129">
        <f t="shared" si="2159"/>
        <v>0</v>
      </c>
      <c r="BK2963" s="129">
        <f t="shared" si="2147"/>
        <v>0</v>
      </c>
      <c r="BL2963" s="129" t="str">
        <f t="shared" si="2144"/>
        <v>DEFERRED</v>
      </c>
      <c r="BM2963" s="129" t="str">
        <f t="shared" si="2149"/>
        <v>NONE</v>
      </c>
      <c r="BN2963" s="129" t="s">
        <v>566</v>
      </c>
      <c r="BP2963" s="137" t="str">
        <f t="shared" si="2150"/>
        <v>DEFERRED</v>
      </c>
      <c r="BQ2963" s="128" t="str">
        <f t="shared" si="2160"/>
        <v>Y</v>
      </c>
      <c r="BR2963" s="129" t="str">
        <f t="shared" si="2151"/>
        <v>DETAINED</v>
      </c>
      <c r="BS2963" s="129" t="str">
        <f t="shared" si="2152"/>
        <v>DISPOSED</v>
      </c>
      <c r="BT2963" s="129" t="str">
        <f t="shared" si="2153"/>
        <v>N</v>
      </c>
      <c r="BU2963" s="109">
        <f t="shared" si="2154"/>
        <v>0.66666666666666663</v>
      </c>
      <c r="BV2963" s="109">
        <f t="shared" si="2161"/>
        <v>1</v>
      </c>
      <c r="BW2963" s="109">
        <f t="shared" si="2171"/>
        <v>0.33333333333333337</v>
      </c>
      <c r="BX2963" s="111">
        <f t="shared" si="2155"/>
        <v>0</v>
      </c>
      <c r="BY2963" s="129">
        <f t="shared" si="2162"/>
        <v>-2</v>
      </c>
      <c r="BZ2963" s="111">
        <f t="shared" si="2163"/>
        <v>0</v>
      </c>
      <c r="CA2963" s="138">
        <f t="shared" si="2164"/>
        <v>2</v>
      </c>
      <c r="CB2963" s="111" t="e">
        <f t="shared" si="2143"/>
        <v>#VALUE!</v>
      </c>
      <c r="CC2963" s="129">
        <f t="shared" si="2173"/>
        <v>2</v>
      </c>
      <c r="CD2963" s="129">
        <f t="shared" si="2174"/>
        <v>0</v>
      </c>
      <c r="CG2963" s="129" t="str">
        <f t="shared" si="2165"/>
        <v>N</v>
      </c>
      <c r="CI2963" s="129" t="str">
        <f t="shared" si="2167"/>
        <v>0-10 DAYS</v>
      </c>
      <c r="CJ2963" s="137">
        <f t="shared" si="2168"/>
        <v>1</v>
      </c>
      <c r="CK2963" s="129" t="str">
        <f t="shared" si="2169"/>
        <v>Booked</v>
      </c>
    </row>
    <row r="2964" spans="1:89" ht="15.75" customHeight="1" x14ac:dyDescent="0.25">
      <c r="A2964" s="111">
        <v>2037</v>
      </c>
      <c r="B2964" s="128" t="str">
        <f t="shared" si="2156"/>
        <v>N</v>
      </c>
      <c r="C2964" s="128" t="str">
        <f t="shared" si="2157"/>
        <v>N</v>
      </c>
      <c r="D2964" s="117">
        <v>2609968</v>
      </c>
      <c r="E2964" s="135">
        <f t="shared" si="2158"/>
        <v>4</v>
      </c>
      <c r="F2964" s="124">
        <v>40985</v>
      </c>
      <c r="G2964" s="125">
        <v>40987</v>
      </c>
      <c r="H2964" s="117">
        <v>2609968</v>
      </c>
      <c r="I2964" s="124">
        <v>40986</v>
      </c>
      <c r="J2964" s="124">
        <v>40987</v>
      </c>
      <c r="K2964" s="126">
        <v>35000</v>
      </c>
      <c r="L2964" s="129" t="s">
        <v>572</v>
      </c>
      <c r="N2964" s="129" t="str">
        <f t="shared" si="2172"/>
        <v>N</v>
      </c>
      <c r="O2964" s="128" t="s">
        <v>917</v>
      </c>
      <c r="P2964" s="129" t="s">
        <v>39</v>
      </c>
      <c r="Q2964" s="111">
        <f t="shared" si="2170"/>
        <v>2</v>
      </c>
      <c r="R2964" s="111">
        <f t="shared" si="2145"/>
        <v>3</v>
      </c>
      <c r="S2964" s="129">
        <v>0</v>
      </c>
      <c r="T2964" s="129">
        <v>0</v>
      </c>
      <c r="W2964" s="111"/>
      <c r="AB2964" s="131" t="s">
        <v>112</v>
      </c>
      <c r="AC2964" s="130"/>
      <c r="AD2964" s="130">
        <v>31491</v>
      </c>
      <c r="AE2964" s="128" t="s">
        <v>46</v>
      </c>
      <c r="AF2964" s="128" t="s">
        <v>40</v>
      </c>
      <c r="AG2964" s="128" t="s">
        <v>41</v>
      </c>
      <c r="AH2964" s="108" t="s">
        <v>31</v>
      </c>
      <c r="AI2964" s="128" t="s">
        <v>100</v>
      </c>
      <c r="AJ2964" s="129" t="s">
        <v>89</v>
      </c>
      <c r="AK2964" s="129">
        <v>1</v>
      </c>
      <c r="AL2964" s="3" t="s">
        <v>991</v>
      </c>
      <c r="AO2964" s="128">
        <v>180</v>
      </c>
      <c r="AP2964" s="129" t="s">
        <v>43</v>
      </c>
      <c r="AR2964" s="128" t="s">
        <v>44</v>
      </c>
      <c r="AS2964" s="129" t="s">
        <v>45</v>
      </c>
      <c r="BC2964" s="129" t="s">
        <v>38</v>
      </c>
      <c r="BF2964" s="111">
        <f t="shared" si="2141"/>
        <v>2</v>
      </c>
      <c r="BG2964" s="111">
        <f t="shared" si="2142"/>
        <v>2</v>
      </c>
      <c r="BH2964" s="111">
        <f t="shared" si="2146"/>
        <v>3</v>
      </c>
      <c r="BI2964" s="111">
        <f t="shared" si="2148"/>
        <v>25.939890710382514</v>
      </c>
      <c r="BJ2964" s="129">
        <f t="shared" si="2159"/>
        <v>0</v>
      </c>
      <c r="BK2964" s="129">
        <f t="shared" si="2147"/>
        <v>0</v>
      </c>
      <c r="BL2964" s="129" t="str">
        <f t="shared" si="2144"/>
        <v>CONVICTION</v>
      </c>
      <c r="BM2964" s="129" t="str">
        <f t="shared" si="2149"/>
        <v>NONE</v>
      </c>
      <c r="BN2964" s="129" t="s">
        <v>566</v>
      </c>
      <c r="BP2964" s="137" t="str">
        <f t="shared" si="2150"/>
        <v>CONVICTION</v>
      </c>
      <c r="BQ2964" s="128" t="str">
        <f t="shared" si="2160"/>
        <v>Y</v>
      </c>
      <c r="BR2964" s="129" t="str">
        <f t="shared" si="2151"/>
        <v>DETAINED</v>
      </c>
      <c r="BS2964" s="129" t="str">
        <f t="shared" si="2152"/>
        <v>DISPOSED</v>
      </c>
      <c r="BT2964" s="129" t="str">
        <f t="shared" si="2153"/>
        <v>N</v>
      </c>
      <c r="BU2964" s="109">
        <f t="shared" si="2154"/>
        <v>0.66666666666666663</v>
      </c>
      <c r="BV2964" s="109">
        <f t="shared" si="2161"/>
        <v>1</v>
      </c>
      <c r="BW2964" s="109">
        <f t="shared" si="2171"/>
        <v>0.33333333333333337</v>
      </c>
      <c r="BX2964" s="111">
        <f t="shared" si="2155"/>
        <v>0</v>
      </c>
      <c r="BY2964" s="129">
        <f t="shared" si="2162"/>
        <v>-2</v>
      </c>
      <c r="BZ2964" s="111">
        <f t="shared" si="2163"/>
        <v>0</v>
      </c>
      <c r="CA2964" s="138">
        <f t="shared" si="2164"/>
        <v>2</v>
      </c>
      <c r="CB2964" s="111" t="e">
        <f t="shared" si="2143"/>
        <v>#VALUE!</v>
      </c>
      <c r="CC2964" s="129">
        <f t="shared" si="2173"/>
        <v>2</v>
      </c>
      <c r="CD2964" s="129">
        <f t="shared" si="2174"/>
        <v>0</v>
      </c>
      <c r="CG2964" s="129" t="str">
        <f t="shared" si="2165"/>
        <v>N</v>
      </c>
      <c r="CI2964" s="129" t="str">
        <f t="shared" si="2167"/>
        <v>0-10 DAYS</v>
      </c>
      <c r="CJ2964" s="137">
        <f t="shared" si="2168"/>
        <v>1</v>
      </c>
      <c r="CK2964" s="129" t="str">
        <f t="shared" si="2169"/>
        <v>Booked</v>
      </c>
    </row>
    <row r="2965" spans="1:89" ht="15" customHeight="1" x14ac:dyDescent="0.25">
      <c r="A2965" s="111">
        <v>2041</v>
      </c>
      <c r="B2965" s="128" t="str">
        <f t="shared" si="2156"/>
        <v>N</v>
      </c>
      <c r="C2965" s="128" t="str">
        <f t="shared" si="2157"/>
        <v>N</v>
      </c>
      <c r="D2965" s="117">
        <v>2609975</v>
      </c>
      <c r="E2965" s="135">
        <f t="shared" si="2158"/>
        <v>1</v>
      </c>
      <c r="F2965" s="124">
        <v>40985</v>
      </c>
      <c r="G2965" s="125">
        <v>40988</v>
      </c>
      <c r="H2965" s="117">
        <v>2609975</v>
      </c>
      <c r="I2965" s="124">
        <v>40986</v>
      </c>
      <c r="J2965" s="124">
        <v>40988</v>
      </c>
      <c r="K2965" s="126">
        <v>30000</v>
      </c>
      <c r="L2965" s="129" t="s">
        <v>572</v>
      </c>
      <c r="N2965" s="129" t="str">
        <f t="shared" si="2172"/>
        <v>N</v>
      </c>
      <c r="O2965" s="128" t="s">
        <v>917</v>
      </c>
      <c r="P2965" s="116" t="s">
        <v>55</v>
      </c>
      <c r="Q2965" s="111">
        <f t="shared" si="2170"/>
        <v>3</v>
      </c>
      <c r="R2965" s="111">
        <f t="shared" si="2145"/>
        <v>4</v>
      </c>
      <c r="S2965" s="129">
        <v>0</v>
      </c>
      <c r="T2965" s="129">
        <v>0</v>
      </c>
      <c r="W2965" s="111"/>
      <c r="AC2965" s="130"/>
      <c r="AD2965" s="130">
        <v>34413</v>
      </c>
      <c r="AE2965" s="128" t="s">
        <v>32</v>
      </c>
      <c r="AF2965" s="128" t="s">
        <v>33</v>
      </c>
      <c r="AG2965" s="128" t="s">
        <v>872</v>
      </c>
      <c r="AH2965" s="108" t="s">
        <v>58</v>
      </c>
      <c r="AI2965" s="128" t="s">
        <v>87</v>
      </c>
      <c r="AJ2965" s="129" t="s">
        <v>55</v>
      </c>
      <c r="AK2965" s="129">
        <v>2</v>
      </c>
      <c r="AL2965" s="3" t="s">
        <v>55</v>
      </c>
      <c r="AP2965" s="129" t="s">
        <v>105</v>
      </c>
      <c r="AR2965" s="128" t="s">
        <v>92</v>
      </c>
      <c r="AS2965" s="129" t="s">
        <v>106</v>
      </c>
      <c r="AT2965" s="32" t="s">
        <v>646</v>
      </c>
      <c r="BC2965" s="129" t="s">
        <v>99</v>
      </c>
      <c r="BF2965" s="111">
        <f t="shared" si="2141"/>
        <v>3</v>
      </c>
      <c r="BG2965" s="111">
        <f t="shared" si="2142"/>
        <v>3</v>
      </c>
      <c r="BH2965" s="111">
        <f t="shared" si="2146"/>
        <v>4</v>
      </c>
      <c r="BI2965" s="111">
        <f t="shared" si="2148"/>
        <v>17.956284153005466</v>
      </c>
      <c r="BJ2965" s="129">
        <f t="shared" si="2159"/>
        <v>0</v>
      </c>
      <c r="BK2965" s="129">
        <f t="shared" si="2147"/>
        <v>0</v>
      </c>
      <c r="BL2965" s="129" t="str">
        <f t="shared" si="2144"/>
        <v>NO CONVICTION</v>
      </c>
      <c r="BM2965" s="129" t="str">
        <f t="shared" si="2149"/>
        <v>NONE</v>
      </c>
      <c r="BN2965" s="129" t="s">
        <v>566</v>
      </c>
      <c r="BP2965" s="137" t="str">
        <f t="shared" si="2150"/>
        <v>NO CONVICTION</v>
      </c>
      <c r="BQ2965" s="128" t="str">
        <f t="shared" si="2160"/>
        <v>Y</v>
      </c>
      <c r="BR2965" s="129" t="str">
        <f t="shared" si="2151"/>
        <v>DETAINED</v>
      </c>
      <c r="BS2965" s="129" t="str">
        <f t="shared" si="2152"/>
        <v>DISPOSED</v>
      </c>
      <c r="BT2965" s="129" t="str">
        <f t="shared" si="2153"/>
        <v>N</v>
      </c>
      <c r="BU2965" s="109">
        <f>IFERROR(Q2965/R2965,BR2965)</f>
        <v>0.75</v>
      </c>
      <c r="BV2965" s="109">
        <f t="shared" si="2161"/>
        <v>1</v>
      </c>
      <c r="BW2965" s="109">
        <f t="shared" si="2171"/>
        <v>0.25</v>
      </c>
      <c r="BX2965" s="111">
        <f t="shared" si="2155"/>
        <v>0</v>
      </c>
      <c r="BY2965" s="129">
        <f t="shared" si="2162"/>
        <v>-3</v>
      </c>
      <c r="BZ2965" s="111">
        <f t="shared" si="2163"/>
        <v>0</v>
      </c>
      <c r="CA2965" s="138">
        <f t="shared" si="2164"/>
        <v>3</v>
      </c>
      <c r="CB2965" s="111" t="e">
        <f t="shared" si="2143"/>
        <v>#VALUE!</v>
      </c>
      <c r="CC2965" s="129">
        <f t="shared" si="2173"/>
        <v>3</v>
      </c>
      <c r="CD2965" s="129">
        <f t="shared" si="2174"/>
        <v>0</v>
      </c>
      <c r="CG2965" s="129" t="str">
        <f t="shared" si="2165"/>
        <v>N</v>
      </c>
      <c r="CI2965" s="129" t="str">
        <f t="shared" si="2167"/>
        <v>0-10 DAYS</v>
      </c>
      <c r="CJ2965" s="137">
        <f t="shared" si="2168"/>
        <v>1</v>
      </c>
      <c r="CK2965" s="129" t="str">
        <f t="shared" si="2169"/>
        <v>Booked</v>
      </c>
    </row>
    <row r="2966" spans="1:89" ht="15" customHeight="1" x14ac:dyDescent="0.25">
      <c r="A2966" s="111">
        <v>2047</v>
      </c>
      <c r="B2966" s="128" t="str">
        <f t="shared" si="2156"/>
        <v>N</v>
      </c>
      <c r="C2966" s="128" t="str">
        <f t="shared" si="2157"/>
        <v>N</v>
      </c>
      <c r="D2966" s="117">
        <v>2609991</v>
      </c>
      <c r="E2966" s="135">
        <f t="shared" si="2158"/>
        <v>1</v>
      </c>
      <c r="F2966" s="124">
        <v>40985</v>
      </c>
      <c r="G2966" s="125">
        <v>41135</v>
      </c>
      <c r="H2966" s="117">
        <v>2609991</v>
      </c>
      <c r="I2966" s="124">
        <v>40986</v>
      </c>
      <c r="J2966" s="124">
        <v>40987</v>
      </c>
      <c r="K2966" s="126">
        <v>5000</v>
      </c>
      <c r="L2966" s="127" t="s">
        <v>569</v>
      </c>
      <c r="M2966" s="125">
        <v>40987</v>
      </c>
      <c r="N2966" s="129" t="str">
        <f t="shared" si="2172"/>
        <v>Y</v>
      </c>
      <c r="O2966" s="128" t="s">
        <v>76</v>
      </c>
      <c r="P2966" s="129" t="s">
        <v>55</v>
      </c>
      <c r="Q2966" s="111">
        <f t="shared" si="2170"/>
        <v>2</v>
      </c>
      <c r="R2966" s="111">
        <f t="shared" si="2145"/>
        <v>151</v>
      </c>
      <c r="S2966" s="129">
        <v>0</v>
      </c>
      <c r="T2966" s="129">
        <v>0</v>
      </c>
      <c r="W2966" s="111"/>
      <c r="AC2966" s="130"/>
      <c r="AD2966" s="130">
        <v>33054</v>
      </c>
      <c r="AE2966" s="128" t="s">
        <v>46</v>
      </c>
      <c r="AF2966" s="128" t="s">
        <v>33</v>
      </c>
      <c r="AG2966" s="128" t="s">
        <v>872</v>
      </c>
      <c r="AH2966" s="108" t="s">
        <v>31</v>
      </c>
      <c r="AI2966" s="128" t="s">
        <v>83</v>
      </c>
      <c r="AJ2966" s="129" t="s">
        <v>55</v>
      </c>
      <c r="AK2966" s="129">
        <v>7</v>
      </c>
      <c r="AL2966" s="3" t="s">
        <v>55</v>
      </c>
      <c r="AP2966" s="129" t="s">
        <v>84</v>
      </c>
      <c r="AR2966" s="128" t="s">
        <v>67</v>
      </c>
      <c r="AS2966" s="129" t="s">
        <v>74</v>
      </c>
      <c r="AT2966" s="32" t="s">
        <v>402</v>
      </c>
      <c r="BC2966" s="129" t="s">
        <v>52</v>
      </c>
      <c r="BF2966" s="111">
        <f t="shared" si="2141"/>
        <v>2</v>
      </c>
      <c r="BG2966" s="111">
        <f t="shared" si="2142"/>
        <v>150</v>
      </c>
      <c r="BH2966" s="111">
        <f t="shared" si="2146"/>
        <v>151</v>
      </c>
      <c r="BI2966" s="111">
        <f t="shared" si="2148"/>
        <v>21.669398907103826</v>
      </c>
      <c r="BJ2966" s="129">
        <f>(G2966-J2966)+(M2966-G2966)</f>
        <v>0</v>
      </c>
      <c r="BK2966" s="129">
        <f t="shared" si="2147"/>
        <v>-148</v>
      </c>
      <c r="BL2966" s="129" t="str">
        <f t="shared" si="2144"/>
        <v>NO CONVICTION</v>
      </c>
      <c r="BM2966" s="129" t="s">
        <v>76</v>
      </c>
      <c r="BN2966" s="129" t="s">
        <v>88</v>
      </c>
      <c r="BP2966" s="137" t="str">
        <f t="shared" si="2150"/>
        <v>NO CONVICTION</v>
      </c>
      <c r="BQ2966" s="128" t="str">
        <f t="shared" si="2160"/>
        <v>Y</v>
      </c>
      <c r="BR2966" s="129" t="str">
        <f t="shared" si="2151"/>
        <v>ON BOND</v>
      </c>
      <c r="BS2966" s="129" t="str">
        <f t="shared" si="2152"/>
        <v>DISPOSED</v>
      </c>
      <c r="BT2966" s="129" t="str">
        <f t="shared" si="2153"/>
        <v>N</v>
      </c>
      <c r="BU2966" s="109">
        <f>IFERROR(Q2966/R2966,BR2966)</f>
        <v>1.3245033112582781E-2</v>
      </c>
      <c r="BV2966" s="109">
        <f t="shared" si="2161"/>
        <v>1.3333333333333334E-2</v>
      </c>
      <c r="BW2966" s="109">
        <f t="shared" si="2171"/>
        <v>8.8300220750552744E-5</v>
      </c>
      <c r="BX2966" s="111">
        <f t="shared" si="2155"/>
        <v>0</v>
      </c>
      <c r="BY2966" s="129">
        <f t="shared" si="2162"/>
        <v>-2</v>
      </c>
      <c r="BZ2966" s="111">
        <f t="shared" si="2163"/>
        <v>0</v>
      </c>
      <c r="CA2966" s="138">
        <f t="shared" si="2164"/>
        <v>2</v>
      </c>
      <c r="CB2966" s="111" t="e">
        <f t="shared" si="2143"/>
        <v>#VALUE!</v>
      </c>
      <c r="CC2966" s="129">
        <f>M2966-I2966+1</f>
        <v>2</v>
      </c>
      <c r="CD2966" s="111">
        <f>CC2966-BF2966</f>
        <v>0</v>
      </c>
      <c r="CG2966" s="129" t="str">
        <f t="shared" si="2165"/>
        <v>N</v>
      </c>
      <c r="CI2966" s="129" t="str">
        <f t="shared" si="2167"/>
        <v>0-10 DAYS</v>
      </c>
      <c r="CJ2966" s="137">
        <f t="shared" si="2168"/>
        <v>1</v>
      </c>
      <c r="CK2966" s="129" t="str">
        <f t="shared" si="2169"/>
        <v>Booked</v>
      </c>
    </row>
    <row r="2967" spans="1:89" ht="15" customHeight="1" x14ac:dyDescent="0.25">
      <c r="A2967" s="111">
        <v>2048</v>
      </c>
      <c r="B2967" s="128" t="str">
        <f t="shared" si="2156"/>
        <v>N</v>
      </c>
      <c r="C2967" s="128" t="str">
        <f t="shared" si="2157"/>
        <v>N</v>
      </c>
      <c r="D2967" s="117">
        <v>2609992</v>
      </c>
      <c r="E2967" s="135">
        <f t="shared" si="2158"/>
        <v>2</v>
      </c>
      <c r="F2967" s="124">
        <v>40986</v>
      </c>
      <c r="G2967" s="125">
        <v>40988</v>
      </c>
      <c r="H2967" s="117">
        <v>2609992</v>
      </c>
      <c r="I2967" s="124">
        <v>40986</v>
      </c>
      <c r="J2967" s="124">
        <v>40988</v>
      </c>
      <c r="K2967" s="126">
        <v>7000</v>
      </c>
      <c r="L2967" s="127" t="s">
        <v>570</v>
      </c>
      <c r="N2967" s="129" t="str">
        <f t="shared" si="2172"/>
        <v>N</v>
      </c>
      <c r="O2967" s="128" t="s">
        <v>917</v>
      </c>
      <c r="P2967" s="129" t="s">
        <v>589</v>
      </c>
      <c r="Q2967" s="111">
        <f t="shared" si="2170"/>
        <v>3</v>
      </c>
      <c r="R2967" s="111">
        <f t="shared" si="2145"/>
        <v>3</v>
      </c>
      <c r="S2967" s="129">
        <v>0</v>
      </c>
      <c r="T2967" s="129">
        <v>0</v>
      </c>
      <c r="W2967" s="111"/>
      <c r="AB2967" s="131" t="s">
        <v>112</v>
      </c>
      <c r="AC2967" s="130"/>
      <c r="AD2967" s="130">
        <v>33703</v>
      </c>
      <c r="AE2967" s="128" t="s">
        <v>32</v>
      </c>
      <c r="AF2967" s="128" t="s">
        <v>40</v>
      </c>
      <c r="AG2967" s="128" t="s">
        <v>41</v>
      </c>
      <c r="AH2967" s="108" t="s">
        <v>31</v>
      </c>
      <c r="AI2967" s="128" t="s">
        <v>85</v>
      </c>
      <c r="AJ2967" s="129" t="s">
        <v>48</v>
      </c>
      <c r="AK2967" s="129">
        <v>1</v>
      </c>
      <c r="AL2967" s="3" t="s">
        <v>48</v>
      </c>
      <c r="AP2967" s="129" t="s">
        <v>121</v>
      </c>
      <c r="AR2967" s="128" t="s">
        <v>44</v>
      </c>
      <c r="AS2967" s="129" t="s">
        <v>122</v>
      </c>
      <c r="BC2967" s="129" t="s">
        <v>38</v>
      </c>
      <c r="BF2967" s="111">
        <f t="shared" si="2141"/>
        <v>3</v>
      </c>
      <c r="BG2967" s="111">
        <f t="shared" si="2142"/>
        <v>3</v>
      </c>
      <c r="BH2967" s="111">
        <f t="shared" si="2146"/>
        <v>3</v>
      </c>
      <c r="BI2967" s="111">
        <f t="shared" si="2148"/>
        <v>19.898907103825138</v>
      </c>
      <c r="BJ2967" s="129">
        <f t="shared" si="2159"/>
        <v>0</v>
      </c>
      <c r="BK2967" s="129">
        <f t="shared" si="2147"/>
        <v>0</v>
      </c>
      <c r="BL2967" s="129" t="str">
        <f t="shared" si="2144"/>
        <v>DEFERRED</v>
      </c>
      <c r="BM2967" s="129" t="str">
        <f t="shared" si="2149"/>
        <v>NONE</v>
      </c>
      <c r="BN2967" s="129" t="s">
        <v>566</v>
      </c>
      <c r="BP2967" s="137" t="str">
        <f t="shared" si="2150"/>
        <v>DEFERRED</v>
      </c>
      <c r="BQ2967" s="128" t="str">
        <f t="shared" si="2160"/>
        <v>Y</v>
      </c>
      <c r="BR2967" s="129" t="str">
        <f t="shared" si="2151"/>
        <v>DETAINED</v>
      </c>
      <c r="BS2967" s="129" t="str">
        <f t="shared" si="2152"/>
        <v>DISPOSED</v>
      </c>
      <c r="BT2967" s="129" t="str">
        <f t="shared" si="2153"/>
        <v>N</v>
      </c>
      <c r="BU2967" s="109">
        <f t="shared" si="2154"/>
        <v>1</v>
      </c>
      <c r="BV2967" s="109">
        <f t="shared" si="2161"/>
        <v>1</v>
      </c>
      <c r="BW2967" s="109">
        <f t="shared" si="2171"/>
        <v>0</v>
      </c>
      <c r="BX2967" s="111">
        <f t="shared" si="2155"/>
        <v>0</v>
      </c>
      <c r="BY2967" s="129">
        <f t="shared" si="2162"/>
        <v>-3</v>
      </c>
      <c r="BZ2967" s="111">
        <f t="shared" si="2163"/>
        <v>0</v>
      </c>
      <c r="CA2967" s="138">
        <f t="shared" si="2164"/>
        <v>3</v>
      </c>
      <c r="CB2967" s="111" t="e">
        <f t="shared" si="2143"/>
        <v>#VALUE!</v>
      </c>
      <c r="CC2967" s="129">
        <f>G2967-I2967+1</f>
        <v>3</v>
      </c>
      <c r="CD2967" s="129">
        <f>G2967-J2967</f>
        <v>0</v>
      </c>
      <c r="CG2967" s="129" t="str">
        <f t="shared" si="2165"/>
        <v>N</v>
      </c>
      <c r="CI2967" s="129" t="str">
        <f t="shared" si="2167"/>
        <v>0-10 DAYS</v>
      </c>
      <c r="CJ2967" s="137">
        <f t="shared" si="2168"/>
        <v>1</v>
      </c>
      <c r="CK2967" s="129" t="str">
        <f t="shared" si="2169"/>
        <v>Booked</v>
      </c>
    </row>
    <row r="2968" spans="1:89" ht="15.75" customHeight="1" x14ac:dyDescent="0.25">
      <c r="A2968" s="111">
        <v>2049</v>
      </c>
      <c r="B2968" s="128" t="str">
        <f t="shared" si="2156"/>
        <v>N</v>
      </c>
      <c r="C2968" s="128" t="str">
        <f t="shared" si="2157"/>
        <v>N</v>
      </c>
      <c r="D2968" s="117">
        <v>2609993</v>
      </c>
      <c r="E2968" s="135">
        <f t="shared" si="2158"/>
        <v>4</v>
      </c>
      <c r="F2968" s="124">
        <v>40986</v>
      </c>
      <c r="G2968" s="125">
        <v>40988</v>
      </c>
      <c r="H2968" s="117">
        <v>2609993</v>
      </c>
      <c r="I2968" s="124">
        <v>40987</v>
      </c>
      <c r="J2968" s="124">
        <v>40988</v>
      </c>
      <c r="K2968" s="126">
        <v>35000</v>
      </c>
      <c r="L2968" s="129" t="s">
        <v>572</v>
      </c>
      <c r="N2968" s="129" t="str">
        <f t="shared" si="2172"/>
        <v>N</v>
      </c>
      <c r="O2968" s="128" t="s">
        <v>917</v>
      </c>
      <c r="P2968" s="129" t="s">
        <v>39</v>
      </c>
      <c r="Q2968" s="111">
        <f t="shared" si="2170"/>
        <v>2</v>
      </c>
      <c r="R2968" s="111">
        <f t="shared" si="2145"/>
        <v>3</v>
      </c>
      <c r="S2968" s="129">
        <v>0</v>
      </c>
      <c r="T2968" s="129">
        <v>0</v>
      </c>
      <c r="W2968" s="111"/>
      <c r="AC2968" s="130"/>
      <c r="AD2968" s="130">
        <v>31142</v>
      </c>
      <c r="AE2968" s="128" t="s">
        <v>32</v>
      </c>
      <c r="AF2968" s="128" t="s">
        <v>69</v>
      </c>
      <c r="AG2968" s="128" t="s">
        <v>874</v>
      </c>
      <c r="AH2968" s="108" t="s">
        <v>31</v>
      </c>
      <c r="AI2968" s="128" t="s">
        <v>42</v>
      </c>
      <c r="AJ2968" s="129" t="s">
        <v>89</v>
      </c>
      <c r="AK2968" s="129">
        <v>2</v>
      </c>
      <c r="AL2968" s="3" t="s">
        <v>991</v>
      </c>
      <c r="AO2968" s="128">
        <v>180</v>
      </c>
      <c r="AP2968" s="129" t="s">
        <v>171</v>
      </c>
      <c r="AR2968" s="128" t="s">
        <v>44</v>
      </c>
      <c r="AS2968" s="129" t="s">
        <v>64</v>
      </c>
      <c r="BC2968" s="129" t="s">
        <v>38</v>
      </c>
      <c r="BF2968" s="111">
        <f t="shared" si="2141"/>
        <v>2</v>
      </c>
      <c r="BG2968" s="111">
        <f t="shared" si="2142"/>
        <v>2</v>
      </c>
      <c r="BH2968" s="111">
        <f t="shared" si="2146"/>
        <v>3</v>
      </c>
      <c r="BI2968" s="111">
        <f t="shared" si="2148"/>
        <v>26.896174863387976</v>
      </c>
      <c r="BJ2968" s="129">
        <f t="shared" si="2159"/>
        <v>0</v>
      </c>
      <c r="BK2968" s="129">
        <f t="shared" si="2147"/>
        <v>0</v>
      </c>
      <c r="BL2968" s="129" t="str">
        <f t="shared" si="2144"/>
        <v>CONVICTION</v>
      </c>
      <c r="BM2968" s="129" t="str">
        <f t="shared" si="2149"/>
        <v>NONE</v>
      </c>
      <c r="BN2968" s="129" t="s">
        <v>566</v>
      </c>
      <c r="BP2968" s="137" t="str">
        <f t="shared" si="2150"/>
        <v>CONVICTION</v>
      </c>
      <c r="BQ2968" s="128" t="str">
        <f t="shared" si="2160"/>
        <v>Y</v>
      </c>
      <c r="BR2968" s="129" t="str">
        <f t="shared" si="2151"/>
        <v>DETAINED</v>
      </c>
      <c r="BS2968" s="129" t="str">
        <f t="shared" si="2152"/>
        <v>DISPOSED</v>
      </c>
      <c r="BT2968" s="129" t="str">
        <f t="shared" si="2153"/>
        <v>N</v>
      </c>
      <c r="BU2968" s="109">
        <f t="shared" si="2154"/>
        <v>0.66666666666666663</v>
      </c>
      <c r="BV2968" s="109">
        <f t="shared" si="2161"/>
        <v>1</v>
      </c>
      <c r="BW2968" s="109">
        <f t="shared" si="2171"/>
        <v>0.33333333333333337</v>
      </c>
      <c r="BX2968" s="111">
        <f t="shared" si="2155"/>
        <v>0</v>
      </c>
      <c r="BY2968" s="129">
        <f t="shared" si="2162"/>
        <v>-2</v>
      </c>
      <c r="BZ2968" s="111">
        <f t="shared" si="2163"/>
        <v>0</v>
      </c>
      <c r="CA2968" s="138">
        <f t="shared" si="2164"/>
        <v>2</v>
      </c>
      <c r="CB2968" s="111" t="e">
        <f t="shared" si="2143"/>
        <v>#VALUE!</v>
      </c>
      <c r="CC2968" s="129">
        <f>G2968-I2968+1</f>
        <v>2</v>
      </c>
      <c r="CD2968" s="129">
        <f>G2968-J2968</f>
        <v>0</v>
      </c>
      <c r="CG2968" s="129" t="str">
        <f t="shared" si="2165"/>
        <v>N</v>
      </c>
      <c r="CI2968" s="129" t="str">
        <f t="shared" si="2167"/>
        <v>0-10 DAYS</v>
      </c>
      <c r="CJ2968" s="137">
        <f t="shared" si="2168"/>
        <v>1</v>
      </c>
      <c r="CK2968" s="129" t="str">
        <f t="shared" si="2169"/>
        <v>Booked</v>
      </c>
    </row>
    <row r="2969" spans="1:89" ht="15" customHeight="1" x14ac:dyDescent="0.25">
      <c r="A2969" s="111">
        <v>2056</v>
      </c>
      <c r="B2969" s="128" t="str">
        <f t="shared" si="2156"/>
        <v>N</v>
      </c>
      <c r="C2969" s="128" t="str">
        <f t="shared" si="2157"/>
        <v>N</v>
      </c>
      <c r="D2969" s="117">
        <v>2610020</v>
      </c>
      <c r="E2969" s="135">
        <f t="shared" si="2158"/>
        <v>2</v>
      </c>
      <c r="F2969" s="124">
        <v>40986</v>
      </c>
      <c r="G2969" s="125">
        <v>40988</v>
      </c>
      <c r="H2969" s="117">
        <v>2610020</v>
      </c>
      <c r="I2969" s="124">
        <v>40986</v>
      </c>
      <c r="J2969" s="124">
        <v>40988</v>
      </c>
      <c r="K2969" s="126">
        <v>2000</v>
      </c>
      <c r="L2969" s="127" t="s">
        <v>568</v>
      </c>
      <c r="N2969" s="129" t="str">
        <f t="shared" si="2172"/>
        <v>N</v>
      </c>
      <c r="O2969" s="128" t="s">
        <v>917</v>
      </c>
      <c r="P2969" s="129" t="s">
        <v>589</v>
      </c>
      <c r="Q2969" s="111">
        <f t="shared" si="2170"/>
        <v>3</v>
      </c>
      <c r="R2969" s="111">
        <f t="shared" si="2145"/>
        <v>3</v>
      </c>
      <c r="S2969" s="129">
        <v>0</v>
      </c>
      <c r="T2969" s="129">
        <v>0</v>
      </c>
      <c r="W2969" s="111"/>
      <c r="AC2969" s="130"/>
      <c r="AD2969" s="130">
        <v>33536</v>
      </c>
      <c r="AE2969" s="128" t="s">
        <v>32</v>
      </c>
      <c r="AF2969" s="128" t="s">
        <v>69</v>
      </c>
      <c r="AG2969" s="128" t="s">
        <v>874</v>
      </c>
      <c r="AH2969" s="108" t="s">
        <v>31</v>
      </c>
      <c r="AI2969" s="128" t="s">
        <v>34</v>
      </c>
      <c r="AJ2969" s="129" t="s">
        <v>48</v>
      </c>
      <c r="AK2969" s="129">
        <v>2</v>
      </c>
      <c r="AL2969" s="3" t="s">
        <v>48</v>
      </c>
      <c r="AP2969" s="129" t="s">
        <v>43</v>
      </c>
      <c r="AR2969" s="128" t="s">
        <v>44</v>
      </c>
      <c r="AS2969" s="129" t="s">
        <v>45</v>
      </c>
      <c r="BC2969" s="129" t="s">
        <v>38</v>
      </c>
      <c r="BF2969" s="111">
        <f t="shared" si="2141"/>
        <v>3</v>
      </c>
      <c r="BG2969" s="111">
        <f t="shared" si="2142"/>
        <v>3</v>
      </c>
      <c r="BH2969" s="111">
        <f t="shared" si="2146"/>
        <v>3</v>
      </c>
      <c r="BI2969" s="111">
        <f t="shared" si="2148"/>
        <v>20.355191256830601</v>
      </c>
      <c r="BJ2969" s="129">
        <f t="shared" si="2159"/>
        <v>0</v>
      </c>
      <c r="BK2969" s="129">
        <f t="shared" si="2147"/>
        <v>0</v>
      </c>
      <c r="BL2969" s="129" t="str">
        <f t="shared" si="2144"/>
        <v>DEFERRED</v>
      </c>
      <c r="BM2969" s="129" t="str">
        <f t="shared" si="2149"/>
        <v>NONE</v>
      </c>
      <c r="BN2969" s="129" t="s">
        <v>566</v>
      </c>
      <c r="BP2969" s="137" t="str">
        <f t="shared" si="2150"/>
        <v>DEFERRED</v>
      </c>
      <c r="BQ2969" s="128" t="str">
        <f t="shared" si="2160"/>
        <v>Y</v>
      </c>
      <c r="BR2969" s="129" t="str">
        <f t="shared" si="2151"/>
        <v>DETAINED</v>
      </c>
      <c r="BS2969" s="129" t="str">
        <f t="shared" si="2152"/>
        <v>DISPOSED</v>
      </c>
      <c r="BT2969" s="129" t="str">
        <f t="shared" si="2153"/>
        <v>N</v>
      </c>
      <c r="BU2969" s="109">
        <f t="shared" si="2154"/>
        <v>1</v>
      </c>
      <c r="BV2969" s="109">
        <f t="shared" si="2161"/>
        <v>1</v>
      </c>
      <c r="BW2969" s="109">
        <f t="shared" si="2171"/>
        <v>0</v>
      </c>
      <c r="BX2969" s="111">
        <f t="shared" si="2155"/>
        <v>0</v>
      </c>
      <c r="BY2969" s="129">
        <f t="shared" si="2162"/>
        <v>-3</v>
      </c>
      <c r="BZ2969" s="111">
        <f t="shared" si="2163"/>
        <v>0</v>
      </c>
      <c r="CA2969" s="138">
        <f t="shared" si="2164"/>
        <v>3</v>
      </c>
      <c r="CB2969" s="111" t="e">
        <f t="shared" si="2143"/>
        <v>#VALUE!</v>
      </c>
      <c r="CC2969" s="129">
        <f>G2969-I2969+1</f>
        <v>3</v>
      </c>
      <c r="CD2969" s="129">
        <f>G2969-J2969</f>
        <v>0</v>
      </c>
      <c r="CG2969" s="129" t="str">
        <f t="shared" si="2165"/>
        <v>N</v>
      </c>
      <c r="CI2969" s="129" t="str">
        <f t="shared" si="2167"/>
        <v>0-10 DAYS</v>
      </c>
      <c r="CJ2969" s="137">
        <f t="shared" si="2168"/>
        <v>1</v>
      </c>
      <c r="CK2969" s="129" t="str">
        <f t="shared" si="2169"/>
        <v>Booked</v>
      </c>
    </row>
    <row r="2970" spans="1:89" ht="15.75" customHeight="1" x14ac:dyDescent="0.25">
      <c r="A2970" s="111">
        <v>2061</v>
      </c>
      <c r="B2970" s="128" t="str">
        <f t="shared" si="2156"/>
        <v>N</v>
      </c>
      <c r="C2970" s="128" t="str">
        <f t="shared" si="2157"/>
        <v>N</v>
      </c>
      <c r="D2970" s="117">
        <v>2610063</v>
      </c>
      <c r="E2970" s="135">
        <f t="shared" si="2158"/>
        <v>1</v>
      </c>
      <c r="F2970" s="124">
        <v>40986</v>
      </c>
      <c r="G2970" s="125">
        <v>41207</v>
      </c>
      <c r="H2970" s="117">
        <v>2610063</v>
      </c>
      <c r="I2970" s="124">
        <v>40986</v>
      </c>
      <c r="J2970" s="124">
        <v>40986</v>
      </c>
      <c r="K2970" s="126">
        <v>2000</v>
      </c>
      <c r="L2970" s="127" t="s">
        <v>568</v>
      </c>
      <c r="M2970" s="125">
        <v>40986</v>
      </c>
      <c r="N2970" s="129" t="str">
        <f t="shared" si="2172"/>
        <v>Y</v>
      </c>
      <c r="O2970" s="128" t="s">
        <v>76</v>
      </c>
      <c r="P2970" s="129" t="s">
        <v>55</v>
      </c>
      <c r="Q2970" s="111">
        <f t="shared" si="2170"/>
        <v>1</v>
      </c>
      <c r="R2970" s="111">
        <f t="shared" si="2145"/>
        <v>222</v>
      </c>
      <c r="S2970" s="129">
        <v>0</v>
      </c>
      <c r="T2970" s="129">
        <v>0</v>
      </c>
      <c r="W2970" s="111"/>
      <c r="AC2970" s="130"/>
      <c r="AD2970" s="130">
        <v>33591</v>
      </c>
      <c r="AE2970" s="128" t="s">
        <v>32</v>
      </c>
      <c r="AF2970" s="128" t="s">
        <v>69</v>
      </c>
      <c r="AG2970" s="128" t="s">
        <v>874</v>
      </c>
      <c r="AH2970" s="108" t="s">
        <v>31</v>
      </c>
      <c r="AI2970" s="128" t="s">
        <v>34</v>
      </c>
      <c r="AJ2970" s="129" t="s">
        <v>55</v>
      </c>
      <c r="AK2970" s="129">
        <v>9</v>
      </c>
      <c r="AL2970" s="3" t="s">
        <v>55</v>
      </c>
      <c r="AP2970" s="129" t="s">
        <v>108</v>
      </c>
      <c r="AR2970" s="128" t="s">
        <v>44</v>
      </c>
      <c r="AS2970" s="129" t="s">
        <v>61</v>
      </c>
      <c r="BC2970" s="129" t="s">
        <v>52</v>
      </c>
      <c r="BF2970" s="111">
        <f t="shared" si="2141"/>
        <v>1</v>
      </c>
      <c r="BG2970" s="111">
        <f t="shared" si="2142"/>
        <v>222</v>
      </c>
      <c r="BH2970" s="111">
        <f t="shared" si="2146"/>
        <v>222</v>
      </c>
      <c r="BI2970" s="111">
        <f t="shared" si="2148"/>
        <v>20.204918032786885</v>
      </c>
      <c r="BJ2970" s="129">
        <f>(G2970-J2970)+(M2970-G2970)</f>
        <v>0</v>
      </c>
      <c r="BK2970" s="129">
        <f t="shared" si="2147"/>
        <v>-221</v>
      </c>
      <c r="BL2970" s="129" t="str">
        <f t="shared" si="2144"/>
        <v>NO CONVICTION</v>
      </c>
      <c r="BM2970" s="129" t="s">
        <v>76</v>
      </c>
      <c r="BN2970" s="129" t="s">
        <v>88</v>
      </c>
      <c r="BP2970" s="137" t="str">
        <f t="shared" si="2150"/>
        <v>NO CONVICTION</v>
      </c>
      <c r="BQ2970" s="128" t="str">
        <f t="shared" si="2160"/>
        <v>Y</v>
      </c>
      <c r="BR2970" s="129" t="str">
        <f t="shared" si="2151"/>
        <v>ON BOND</v>
      </c>
      <c r="BS2970" s="129" t="str">
        <f t="shared" si="2152"/>
        <v>DISPOSED</v>
      </c>
      <c r="BT2970" s="129" t="str">
        <f t="shared" si="2153"/>
        <v>N</v>
      </c>
      <c r="BU2970" s="109">
        <f>IFERROR(Q2970/R2970,BR2970)</f>
        <v>4.5045045045045045E-3</v>
      </c>
      <c r="BV2970" s="109">
        <f t="shared" si="2161"/>
        <v>4.5045045045045045E-3</v>
      </c>
      <c r="BW2970" s="109">
        <f t="shared" si="2171"/>
        <v>0</v>
      </c>
      <c r="BX2970" s="111">
        <f t="shared" si="2155"/>
        <v>0</v>
      </c>
      <c r="BY2970" s="129">
        <f t="shared" si="2162"/>
        <v>-1</v>
      </c>
      <c r="BZ2970" s="111">
        <f t="shared" si="2163"/>
        <v>0</v>
      </c>
      <c r="CA2970" s="138">
        <f t="shared" si="2164"/>
        <v>1</v>
      </c>
      <c r="CB2970" s="111" t="e">
        <f t="shared" si="2143"/>
        <v>#VALUE!</v>
      </c>
      <c r="CC2970" s="129">
        <f>M2970-I2970+1</f>
        <v>1</v>
      </c>
      <c r="CD2970" s="111">
        <f>CC2970-BF2970</f>
        <v>0</v>
      </c>
      <c r="CG2970" s="129" t="str">
        <f t="shared" si="2165"/>
        <v>N</v>
      </c>
      <c r="CI2970" s="129" t="str">
        <f t="shared" si="2167"/>
        <v>0-10 DAYS</v>
      </c>
      <c r="CJ2970" s="137">
        <f t="shared" si="2168"/>
        <v>1</v>
      </c>
      <c r="CK2970" s="129" t="str">
        <f t="shared" si="2169"/>
        <v>Booked</v>
      </c>
    </row>
    <row r="2971" spans="1:89" ht="15.75" customHeight="1" x14ac:dyDescent="0.25">
      <c r="A2971" s="111">
        <v>2062</v>
      </c>
      <c r="B2971" s="128" t="str">
        <f t="shared" si="2156"/>
        <v>N</v>
      </c>
      <c r="C2971" s="128" t="str">
        <f t="shared" si="2157"/>
        <v>N</v>
      </c>
      <c r="D2971" s="117">
        <v>2610064</v>
      </c>
      <c r="E2971" s="135">
        <f t="shared" si="2158"/>
        <v>1</v>
      </c>
      <c r="F2971" s="124">
        <v>40986</v>
      </c>
      <c r="G2971" s="125">
        <v>41207</v>
      </c>
      <c r="H2971" s="117">
        <v>2610064</v>
      </c>
      <c r="I2971" s="124">
        <v>40986</v>
      </c>
      <c r="J2971" s="124">
        <v>40987</v>
      </c>
      <c r="K2971" s="126">
        <v>2000</v>
      </c>
      <c r="L2971" s="127" t="s">
        <v>568</v>
      </c>
      <c r="M2971" s="125">
        <v>40987</v>
      </c>
      <c r="N2971" s="129" t="str">
        <f t="shared" si="2172"/>
        <v>Y</v>
      </c>
      <c r="O2971" s="112" t="s">
        <v>160</v>
      </c>
      <c r="P2971" s="129" t="s">
        <v>55</v>
      </c>
      <c r="Q2971" s="111">
        <f t="shared" si="2170"/>
        <v>2</v>
      </c>
      <c r="R2971" s="111">
        <f t="shared" si="2145"/>
        <v>222</v>
      </c>
      <c r="S2971" s="129">
        <v>0</v>
      </c>
      <c r="T2971" s="129">
        <v>0</v>
      </c>
      <c r="W2971" s="111"/>
      <c r="AC2971" s="130"/>
      <c r="AD2971" s="130">
        <v>34396</v>
      </c>
      <c r="AE2971" s="128" t="s">
        <v>32</v>
      </c>
      <c r="AF2971" s="128" t="s">
        <v>69</v>
      </c>
      <c r="AG2971" s="128" t="s">
        <v>874</v>
      </c>
      <c r="AH2971" s="108" t="s">
        <v>31</v>
      </c>
      <c r="AI2971" s="128" t="s">
        <v>34</v>
      </c>
      <c r="AJ2971" s="129" t="s">
        <v>55</v>
      </c>
      <c r="AK2971" s="129">
        <v>10</v>
      </c>
      <c r="AL2971" s="3" t="s">
        <v>55</v>
      </c>
      <c r="AP2971" s="129" t="s">
        <v>108</v>
      </c>
      <c r="AR2971" s="128" t="s">
        <v>44</v>
      </c>
      <c r="AS2971" s="129" t="s">
        <v>61</v>
      </c>
      <c r="BC2971" s="129" t="s">
        <v>38</v>
      </c>
      <c r="BF2971" s="111">
        <f t="shared" si="2141"/>
        <v>2</v>
      </c>
      <c r="BG2971" s="111">
        <f t="shared" si="2142"/>
        <v>222</v>
      </c>
      <c r="BH2971" s="111">
        <f t="shared" si="2146"/>
        <v>222</v>
      </c>
      <c r="BI2971" s="111">
        <f t="shared" si="2148"/>
        <v>18.005464480874316</v>
      </c>
      <c r="BJ2971" s="129">
        <f>(G2971-J2971)+(M2971-G2971)</f>
        <v>0</v>
      </c>
      <c r="BK2971" s="129">
        <f t="shared" si="2147"/>
        <v>-220</v>
      </c>
      <c r="BL2971" s="129" t="str">
        <f t="shared" si="2144"/>
        <v>NO CONVICTION</v>
      </c>
      <c r="BM2971" s="129" t="s">
        <v>160</v>
      </c>
      <c r="BN2971" s="129" t="s">
        <v>88</v>
      </c>
      <c r="BP2971" s="137" t="str">
        <f t="shared" si="2150"/>
        <v>NO CONVICTION</v>
      </c>
      <c r="BQ2971" s="128" t="str">
        <f t="shared" si="2160"/>
        <v>Y</v>
      </c>
      <c r="BR2971" s="129" t="str">
        <f t="shared" si="2151"/>
        <v>ON BOND</v>
      </c>
      <c r="BS2971" s="129" t="str">
        <f t="shared" si="2152"/>
        <v>DISPOSED</v>
      </c>
      <c r="BT2971" s="129" t="str">
        <f t="shared" si="2153"/>
        <v>N</v>
      </c>
      <c r="BU2971" s="109">
        <f>IFERROR(Q2971/R2971,BR2971)</f>
        <v>9.0090090090090089E-3</v>
      </c>
      <c r="BV2971" s="109">
        <f t="shared" si="2161"/>
        <v>9.0090090090090089E-3</v>
      </c>
      <c r="BW2971" s="109">
        <f t="shared" si="2171"/>
        <v>0</v>
      </c>
      <c r="BX2971" s="111">
        <f t="shared" si="2155"/>
        <v>0</v>
      </c>
      <c r="BY2971" s="129">
        <f t="shared" si="2162"/>
        <v>-2</v>
      </c>
      <c r="BZ2971" s="111">
        <f t="shared" si="2163"/>
        <v>0</v>
      </c>
      <c r="CA2971" s="138">
        <f t="shared" si="2164"/>
        <v>2</v>
      </c>
      <c r="CB2971" s="111" t="e">
        <f t="shared" si="2143"/>
        <v>#VALUE!</v>
      </c>
      <c r="CC2971" s="129">
        <f>M2971-I2971+1</f>
        <v>2</v>
      </c>
      <c r="CD2971" s="111">
        <f>CC2971-BF2971</f>
        <v>0</v>
      </c>
      <c r="CG2971" s="129" t="str">
        <f t="shared" si="2165"/>
        <v>N</v>
      </c>
      <c r="CI2971" s="129" t="str">
        <f t="shared" si="2167"/>
        <v>0-10 DAYS</v>
      </c>
      <c r="CJ2971" s="137">
        <f t="shared" si="2168"/>
        <v>1</v>
      </c>
      <c r="CK2971" s="129" t="str">
        <f t="shared" si="2169"/>
        <v>Booked</v>
      </c>
    </row>
    <row r="2972" spans="1:89" ht="15" customHeight="1" x14ac:dyDescent="0.25">
      <c r="A2972" s="111">
        <v>2071</v>
      </c>
      <c r="B2972" s="128" t="str">
        <f t="shared" si="2156"/>
        <v>N</v>
      </c>
      <c r="C2972" s="128" t="str">
        <f t="shared" si="2157"/>
        <v>N</v>
      </c>
      <c r="D2972" s="117">
        <v>2610101</v>
      </c>
      <c r="E2972" s="135">
        <f t="shared" si="2158"/>
        <v>4</v>
      </c>
      <c r="F2972" s="124">
        <v>40987</v>
      </c>
      <c r="G2972" s="125">
        <v>41093</v>
      </c>
      <c r="H2972" s="117">
        <v>2610101</v>
      </c>
      <c r="I2972" s="124">
        <v>40987</v>
      </c>
      <c r="J2972" s="124">
        <v>41093</v>
      </c>
      <c r="K2972" s="126">
        <v>55000</v>
      </c>
      <c r="L2972" s="129" t="s">
        <v>572</v>
      </c>
      <c r="N2972" s="129" t="str">
        <f t="shared" si="2172"/>
        <v>N</v>
      </c>
      <c r="O2972" s="128" t="s">
        <v>917</v>
      </c>
      <c r="P2972" s="129" t="s">
        <v>39</v>
      </c>
      <c r="Q2972" s="111">
        <f t="shared" si="2170"/>
        <v>107</v>
      </c>
      <c r="R2972" s="111">
        <f t="shared" si="2145"/>
        <v>107</v>
      </c>
      <c r="S2972" s="129">
        <v>0</v>
      </c>
      <c r="T2972" s="129">
        <v>1</v>
      </c>
      <c r="W2972" s="111"/>
      <c r="AB2972" s="131" t="s">
        <v>112</v>
      </c>
      <c r="AC2972" s="130"/>
      <c r="AD2972" s="130">
        <v>30128</v>
      </c>
      <c r="AE2972" s="128" t="s">
        <v>32</v>
      </c>
      <c r="AF2972" s="128" t="s">
        <v>40</v>
      </c>
      <c r="AG2972" s="128" t="s">
        <v>41</v>
      </c>
      <c r="AH2972" s="108" t="s">
        <v>31</v>
      </c>
      <c r="AI2972" s="128" t="s">
        <v>90</v>
      </c>
      <c r="AJ2972" s="129" t="s">
        <v>89</v>
      </c>
      <c r="AK2972" s="129">
        <v>6</v>
      </c>
      <c r="AL2972" s="3" t="s">
        <v>991</v>
      </c>
      <c r="AO2972" s="128">
        <v>180</v>
      </c>
      <c r="AP2972" s="129" t="s">
        <v>96</v>
      </c>
      <c r="AR2972" s="128" t="s">
        <v>67</v>
      </c>
      <c r="AS2972" s="129" t="s">
        <v>64</v>
      </c>
      <c r="BC2972" s="129" t="s">
        <v>38</v>
      </c>
      <c r="BF2972" s="111">
        <f t="shared" si="2141"/>
        <v>107</v>
      </c>
      <c r="BG2972" s="111">
        <f t="shared" si="2142"/>
        <v>107</v>
      </c>
      <c r="BH2972" s="111">
        <f t="shared" si="2146"/>
        <v>107</v>
      </c>
      <c r="BI2972" s="111">
        <f t="shared" si="2148"/>
        <v>29.669398907103826</v>
      </c>
      <c r="BJ2972" s="129">
        <f t="shared" si="2159"/>
        <v>0</v>
      </c>
      <c r="BK2972" s="129">
        <f t="shared" si="2147"/>
        <v>0</v>
      </c>
      <c r="BL2972" s="129" t="str">
        <f t="shared" si="2144"/>
        <v>CONVICTION</v>
      </c>
      <c r="BM2972" s="129" t="str">
        <f t="shared" si="2149"/>
        <v>NONE</v>
      </c>
      <c r="BN2972" s="129" t="s">
        <v>566</v>
      </c>
      <c r="BP2972" s="137" t="str">
        <f t="shared" si="2150"/>
        <v>CONVICTION</v>
      </c>
      <c r="BQ2972" s="128" t="str">
        <f t="shared" si="2160"/>
        <v>Y</v>
      </c>
      <c r="BR2972" s="129" t="str">
        <f t="shared" si="2151"/>
        <v>DETAINED</v>
      </c>
      <c r="BS2972" s="129" t="str">
        <f t="shared" si="2152"/>
        <v>DISPOSED</v>
      </c>
      <c r="BT2972" s="129" t="str">
        <f t="shared" si="2153"/>
        <v>N</v>
      </c>
      <c r="BU2972" s="109">
        <f t="shared" si="2154"/>
        <v>1</v>
      </c>
      <c r="BV2972" s="109">
        <f t="shared" si="2161"/>
        <v>1</v>
      </c>
      <c r="BW2972" s="109">
        <f t="shared" si="2171"/>
        <v>0</v>
      </c>
      <c r="BX2972" s="111">
        <f t="shared" si="2155"/>
        <v>0</v>
      </c>
      <c r="BY2972" s="129">
        <f t="shared" si="2162"/>
        <v>-107</v>
      </c>
      <c r="BZ2972" s="111">
        <f t="shared" si="2163"/>
        <v>0</v>
      </c>
      <c r="CA2972" s="138">
        <f t="shared" si="2164"/>
        <v>107</v>
      </c>
      <c r="CB2972" s="111" t="e">
        <f t="shared" si="2143"/>
        <v>#VALUE!</v>
      </c>
      <c r="CC2972" s="129">
        <f>G2972-I2972+1</f>
        <v>107</v>
      </c>
      <c r="CD2972" s="129">
        <f>G2972-J2972</f>
        <v>0</v>
      </c>
      <c r="CG2972" s="129" t="str">
        <f t="shared" si="2165"/>
        <v>Y</v>
      </c>
      <c r="CI2972" s="129" t="str">
        <f t="shared" si="2167"/>
        <v>91-120 DAYS</v>
      </c>
      <c r="CJ2972" s="137">
        <f t="shared" si="2168"/>
        <v>0</v>
      </c>
      <c r="CK2972" s="129" t="str">
        <f t="shared" si="2169"/>
        <v>Booked</v>
      </c>
    </row>
    <row r="2973" spans="1:89" ht="15" customHeight="1" x14ac:dyDescent="0.25">
      <c r="A2973" s="111">
        <v>2081</v>
      </c>
      <c r="B2973" s="128" t="str">
        <f t="shared" si="2156"/>
        <v>N</v>
      </c>
      <c r="C2973" s="128" t="str">
        <f t="shared" si="2157"/>
        <v>N</v>
      </c>
      <c r="D2973" s="117">
        <v>2610165</v>
      </c>
      <c r="E2973" s="135">
        <f t="shared" si="2158"/>
        <v>2</v>
      </c>
      <c r="F2973" s="124">
        <v>40987</v>
      </c>
      <c r="G2973" s="125">
        <v>41285</v>
      </c>
      <c r="H2973" s="117">
        <v>2610165</v>
      </c>
      <c r="I2973" s="124" t="s">
        <v>562</v>
      </c>
      <c r="J2973" s="124" t="s">
        <v>562</v>
      </c>
      <c r="K2973" s="126">
        <v>20000</v>
      </c>
      <c r="L2973" s="127" t="s">
        <v>571</v>
      </c>
      <c r="M2973" s="125">
        <v>40990</v>
      </c>
      <c r="N2973" s="129" t="str">
        <f>IF(M2973&gt;1/1/1,"Y",IF(Q2973="0","","N"))</f>
        <v>Y</v>
      </c>
      <c r="O2973" s="128" t="s">
        <v>76</v>
      </c>
      <c r="P2973" s="129" t="s">
        <v>589</v>
      </c>
      <c r="Q2973" s="111">
        <f t="shared" si="2170"/>
        <v>0</v>
      </c>
      <c r="R2973" s="111">
        <f t="shared" si="2145"/>
        <v>299</v>
      </c>
      <c r="S2973" s="129">
        <v>0</v>
      </c>
      <c r="T2973" s="129">
        <v>0</v>
      </c>
      <c r="W2973" s="111"/>
      <c r="AB2973" s="131" t="s">
        <v>112</v>
      </c>
      <c r="AC2973" s="130"/>
      <c r="AD2973" s="130">
        <v>33438</v>
      </c>
      <c r="AE2973" s="128" t="s">
        <v>32</v>
      </c>
      <c r="AF2973" s="128" t="s">
        <v>40</v>
      </c>
      <c r="AG2973" s="128" t="s">
        <v>41</v>
      </c>
      <c r="AH2973" s="108" t="s">
        <v>31</v>
      </c>
      <c r="AI2973" s="128" t="s">
        <v>42</v>
      </c>
      <c r="AJ2973" s="129" t="s">
        <v>48</v>
      </c>
      <c r="AK2973" s="129">
        <v>11</v>
      </c>
      <c r="AL2973" s="3" t="s">
        <v>48</v>
      </c>
      <c r="AP2973" s="129" t="s">
        <v>125</v>
      </c>
      <c r="AR2973" s="128" t="s">
        <v>50</v>
      </c>
      <c r="AS2973" s="129" t="s">
        <v>126</v>
      </c>
      <c r="BC2973" s="129" t="s">
        <v>52</v>
      </c>
      <c r="BF2973" s="111">
        <v>0</v>
      </c>
      <c r="BG2973" s="111">
        <v>0</v>
      </c>
      <c r="BH2973" s="111">
        <f t="shared" si="2146"/>
        <v>299</v>
      </c>
      <c r="BI2973" s="111">
        <f t="shared" si="2148"/>
        <v>20.625683060109289</v>
      </c>
      <c r="BJ2973" s="129" t="e">
        <f>(G2973-J2973)+(M2973-G2973)</f>
        <v>#VALUE!</v>
      </c>
      <c r="BK2973" s="129" t="e">
        <f t="shared" si="2147"/>
        <v>#VALUE!</v>
      </c>
      <c r="BL2973" s="129" t="str">
        <f t="shared" si="2144"/>
        <v>DEFERRED</v>
      </c>
      <c r="BM2973" s="129" t="s">
        <v>76</v>
      </c>
      <c r="BN2973" s="129" t="s">
        <v>88</v>
      </c>
      <c r="BP2973" s="137" t="str">
        <f t="shared" si="2150"/>
        <v>DEFERRED</v>
      </c>
      <c r="BQ2973" s="128">
        <f t="shared" si="2160"/>
        <v>0</v>
      </c>
      <c r="BR2973" s="129" t="s">
        <v>575</v>
      </c>
      <c r="BS2973" s="129" t="str">
        <f t="shared" si="2152"/>
        <v>DISPOSED</v>
      </c>
      <c r="BT2973" s="129" t="str">
        <f t="shared" si="2153"/>
        <v>N</v>
      </c>
      <c r="BU2973" s="109">
        <f t="shared" si="2154"/>
        <v>0</v>
      </c>
      <c r="BV2973" s="109">
        <v>0</v>
      </c>
      <c r="BW2973" s="109">
        <f t="shared" si="2171"/>
        <v>0</v>
      </c>
      <c r="BX2973" s="111">
        <f t="shared" si="2155"/>
        <v>0</v>
      </c>
      <c r="BY2973" s="129" t="e">
        <f t="shared" si="2162"/>
        <v>#VALUE!</v>
      </c>
      <c r="BZ2973" s="111" t="e">
        <f t="shared" si="2163"/>
        <v>#VALUE!</v>
      </c>
      <c r="CA2973" s="138" t="e">
        <f t="shared" si="2164"/>
        <v>#VALUE!</v>
      </c>
      <c r="CB2973" s="111">
        <v>0</v>
      </c>
      <c r="CC2973" s="129">
        <v>0</v>
      </c>
      <c r="CD2973" s="111">
        <f>CC2973-BF2973</f>
        <v>0</v>
      </c>
      <c r="CG2973" s="129" t="str">
        <f t="shared" si="2165"/>
        <v>N</v>
      </c>
      <c r="CI2973" s="129" t="str">
        <f t="shared" si="2167"/>
        <v>0-10 DAYS</v>
      </c>
      <c r="CJ2973" s="137">
        <f t="shared" si="2168"/>
        <v>1</v>
      </c>
      <c r="CK2973" s="129" t="str">
        <f t="shared" si="2169"/>
        <v>Not Booked</v>
      </c>
    </row>
    <row r="2974" spans="1:89" ht="15.75" customHeight="1" x14ac:dyDescent="0.25">
      <c r="A2974" s="111">
        <v>2085</v>
      </c>
      <c r="B2974" s="128" t="str">
        <f t="shared" si="2156"/>
        <v>N</v>
      </c>
      <c r="C2974" s="128" t="str">
        <f t="shared" si="2157"/>
        <v>N</v>
      </c>
      <c r="D2974" s="117">
        <v>2610260</v>
      </c>
      <c r="E2974" s="135">
        <f t="shared" si="2158"/>
        <v>4</v>
      </c>
      <c r="F2974" s="124">
        <v>40987</v>
      </c>
      <c r="G2974" s="125">
        <v>40989</v>
      </c>
      <c r="H2974" s="117">
        <v>2610260</v>
      </c>
      <c r="I2974" s="124">
        <v>40987</v>
      </c>
      <c r="J2974" s="124">
        <v>40989</v>
      </c>
      <c r="K2974" s="126">
        <v>35000</v>
      </c>
      <c r="L2974" s="129" t="s">
        <v>572</v>
      </c>
      <c r="N2974" s="129" t="str">
        <f>IF(M2974&gt;1/1/1,"Y","N")</f>
        <v>N</v>
      </c>
      <c r="O2974" s="128" t="s">
        <v>917</v>
      </c>
      <c r="P2974" s="129" t="s">
        <v>39</v>
      </c>
      <c r="Q2974" s="111">
        <f t="shared" si="2170"/>
        <v>3</v>
      </c>
      <c r="R2974" s="111">
        <f t="shared" si="2145"/>
        <v>3</v>
      </c>
      <c r="S2974" s="129">
        <v>0</v>
      </c>
      <c r="T2974" s="129">
        <v>0</v>
      </c>
      <c r="W2974" s="111"/>
      <c r="AB2974" s="131" t="s">
        <v>112</v>
      </c>
      <c r="AC2974" s="130"/>
      <c r="AD2974" s="130">
        <v>30074</v>
      </c>
      <c r="AE2974" s="128" t="s">
        <v>46</v>
      </c>
      <c r="AF2974" s="128" t="s">
        <v>40</v>
      </c>
      <c r="AG2974" s="128" t="s">
        <v>41</v>
      </c>
      <c r="AH2974" s="108" t="s">
        <v>31</v>
      </c>
      <c r="AI2974" s="128" t="s">
        <v>47</v>
      </c>
      <c r="AJ2974" s="129" t="s">
        <v>89</v>
      </c>
      <c r="AK2974" s="129">
        <v>1</v>
      </c>
      <c r="AL2974" s="3" t="s">
        <v>991</v>
      </c>
      <c r="AO2974" s="128">
        <v>30</v>
      </c>
      <c r="AP2974" s="129" t="s">
        <v>43</v>
      </c>
      <c r="AR2974" s="128" t="s">
        <v>44</v>
      </c>
      <c r="AS2974" s="129" t="s">
        <v>45</v>
      </c>
      <c r="BC2974" s="129" t="s">
        <v>38</v>
      </c>
      <c r="BF2974" s="111">
        <f>IF(J2974&gt;1/1/1900,((J2974+1)-I2974),"STILL OPEN")</f>
        <v>3</v>
      </c>
      <c r="BG2974" s="111">
        <f>IF(G2974&gt;1/1/1900,((G2974+1)-I2974),"STILL OPEN")</f>
        <v>3</v>
      </c>
      <c r="BH2974" s="111">
        <f t="shared" si="2146"/>
        <v>3</v>
      </c>
      <c r="BI2974" s="111">
        <f t="shared" si="2148"/>
        <v>29.816939890710383</v>
      </c>
      <c r="BJ2974" s="129">
        <f t="shared" si="2159"/>
        <v>0</v>
      </c>
      <c r="BK2974" s="129">
        <f t="shared" si="2147"/>
        <v>0</v>
      </c>
      <c r="BL2974" s="129" t="str">
        <f t="shared" si="2144"/>
        <v>CONVICTION</v>
      </c>
      <c r="BM2974" s="129" t="str">
        <f t="shared" si="2149"/>
        <v>NONE</v>
      </c>
      <c r="BN2974" s="129" t="s">
        <v>566</v>
      </c>
      <c r="BP2974" s="137" t="str">
        <f t="shared" si="2150"/>
        <v>CONVICTION</v>
      </c>
      <c r="BQ2974" s="128" t="str">
        <f t="shared" si="2160"/>
        <v>Y</v>
      </c>
      <c r="BR2974" s="129" t="str">
        <f t="shared" si="2151"/>
        <v>DETAINED</v>
      </c>
      <c r="BS2974" s="129" t="str">
        <f t="shared" si="2152"/>
        <v>DISPOSED</v>
      </c>
      <c r="BT2974" s="129" t="str">
        <f t="shared" si="2153"/>
        <v>N</v>
      </c>
      <c r="BU2974" s="109">
        <f t="shared" si="2154"/>
        <v>1</v>
      </c>
      <c r="BV2974" s="109">
        <f t="shared" si="2161"/>
        <v>1</v>
      </c>
      <c r="BW2974" s="109">
        <f t="shared" si="2171"/>
        <v>0</v>
      </c>
      <c r="BX2974" s="111">
        <f t="shared" si="2155"/>
        <v>0</v>
      </c>
      <c r="BY2974" s="129">
        <f t="shared" si="2162"/>
        <v>-3</v>
      </c>
      <c r="BZ2974" s="111">
        <f t="shared" si="2163"/>
        <v>0</v>
      </c>
      <c r="CA2974" s="138">
        <f t="shared" si="2164"/>
        <v>3</v>
      </c>
      <c r="CB2974" s="111" t="e">
        <f>IF(AF2974&gt;1/1/1900,((AF2974+1)-AE2974),"STILL OPEN")</f>
        <v>#VALUE!</v>
      </c>
      <c r="CC2974" s="129">
        <f>G2974-I2974+1</f>
        <v>3</v>
      </c>
      <c r="CD2974" s="129">
        <f>G2974-J2974</f>
        <v>0</v>
      </c>
      <c r="CG2974" s="129" t="str">
        <f t="shared" si="2165"/>
        <v>N</v>
      </c>
      <c r="CI2974" s="129" t="str">
        <f t="shared" si="2167"/>
        <v>0-10 DAYS</v>
      </c>
      <c r="CJ2974" s="137">
        <f t="shared" si="2168"/>
        <v>1</v>
      </c>
      <c r="CK2974" s="129" t="str">
        <f t="shared" si="2169"/>
        <v>Booked</v>
      </c>
    </row>
    <row r="2975" spans="1:89" ht="15" customHeight="1" x14ac:dyDescent="0.25">
      <c r="A2975" s="111">
        <v>2306</v>
      </c>
      <c r="B2975" s="128" t="str">
        <f t="shared" si="2156"/>
        <v>N</v>
      </c>
      <c r="C2975" s="128" t="str">
        <f t="shared" si="2157"/>
        <v>N</v>
      </c>
      <c r="D2975" s="117">
        <v>2610305</v>
      </c>
      <c r="E2975" s="135">
        <f t="shared" si="2158"/>
        <v>6</v>
      </c>
      <c r="F2975" s="124">
        <v>40996</v>
      </c>
      <c r="G2975" s="125">
        <v>41065</v>
      </c>
      <c r="H2975" s="117">
        <v>2610305</v>
      </c>
      <c r="I2975" s="124">
        <v>40996</v>
      </c>
      <c r="J2975" s="124">
        <f>G2975</f>
        <v>41065</v>
      </c>
      <c r="K2975" s="126" t="s">
        <v>564</v>
      </c>
      <c r="L2975" s="127" t="s">
        <v>564</v>
      </c>
      <c r="N2975" s="129" t="s">
        <v>566</v>
      </c>
      <c r="O2975" s="128" t="s">
        <v>917</v>
      </c>
      <c r="P2975" s="129" t="s">
        <v>39</v>
      </c>
      <c r="Q2975" s="111">
        <f t="shared" si="2170"/>
        <v>70</v>
      </c>
      <c r="R2975" s="111">
        <f t="shared" si="2145"/>
        <v>70</v>
      </c>
      <c r="S2975" s="129">
        <v>0</v>
      </c>
      <c r="T2975" s="129">
        <v>0</v>
      </c>
      <c r="W2975" s="115"/>
      <c r="X2975" s="114"/>
      <c r="Y2975" s="32"/>
      <c r="Z2975" s="32"/>
      <c r="AC2975" s="130"/>
      <c r="AD2975" s="130">
        <v>34401</v>
      </c>
      <c r="AE2975" s="128" t="s">
        <v>32</v>
      </c>
      <c r="AF2975" s="128" t="s">
        <v>33</v>
      </c>
      <c r="AG2975" s="128" t="s">
        <v>872</v>
      </c>
      <c r="AH2975" s="108" t="s">
        <v>31</v>
      </c>
      <c r="AI2975" s="128" t="s">
        <v>114</v>
      </c>
      <c r="AJ2975" s="129" t="s">
        <v>89</v>
      </c>
      <c r="AK2975" s="129">
        <v>4</v>
      </c>
      <c r="AL2975" s="3" t="s">
        <v>362</v>
      </c>
      <c r="AM2975" s="117">
        <v>6</v>
      </c>
      <c r="AP2975" s="129" t="s">
        <v>56</v>
      </c>
      <c r="AR2975" s="128" t="s">
        <v>50</v>
      </c>
      <c r="AS2975" s="129" t="s">
        <v>57</v>
      </c>
      <c r="BC2975" s="129" t="s">
        <v>38</v>
      </c>
      <c r="BF2975" s="111">
        <f>IF(J2975&gt;1/1/1900,((J2975+1)-I2975),"STILL OPEN")</f>
        <v>70</v>
      </c>
      <c r="BG2975" s="111">
        <f>IF(G2975&gt;1/1/1900,((G2975+1)-I2975),"STILL OPEN")</f>
        <v>70</v>
      </c>
      <c r="BH2975" s="111">
        <f t="shared" si="2146"/>
        <v>70</v>
      </c>
      <c r="BI2975" s="111">
        <f t="shared" si="2148"/>
        <v>18.019125683060111</v>
      </c>
      <c r="BJ2975" s="129">
        <f t="shared" si="2159"/>
        <v>0</v>
      </c>
      <c r="BK2975" s="129">
        <f t="shared" si="2147"/>
        <v>0</v>
      </c>
      <c r="BL2975" s="129" t="str">
        <f t="shared" si="2144"/>
        <v>CONVICTION</v>
      </c>
      <c r="BM2975" s="129" t="str">
        <f t="shared" si="2149"/>
        <v>NONE</v>
      </c>
      <c r="BN2975" s="129" t="s">
        <v>566</v>
      </c>
      <c r="BP2975" s="137" t="str">
        <f t="shared" si="2150"/>
        <v>CONVICTION</v>
      </c>
      <c r="BQ2975" s="128" t="str">
        <f t="shared" si="2160"/>
        <v>Y</v>
      </c>
      <c r="BR2975" s="129" t="str">
        <f t="shared" si="2151"/>
        <v>DETAINED</v>
      </c>
      <c r="BS2975" s="129" t="str">
        <f t="shared" si="2152"/>
        <v>DISPOSED</v>
      </c>
      <c r="BT2975" s="129" t="str">
        <f t="shared" si="2153"/>
        <v>N</v>
      </c>
      <c r="BU2975" s="109">
        <f t="shared" si="2154"/>
        <v>1</v>
      </c>
      <c r="BV2975" s="109">
        <f t="shared" si="2161"/>
        <v>1</v>
      </c>
      <c r="BW2975" s="109">
        <f t="shared" si="2171"/>
        <v>0</v>
      </c>
      <c r="BX2975" s="111">
        <f t="shared" si="2155"/>
        <v>0</v>
      </c>
      <c r="BY2975" s="129">
        <f t="shared" si="2162"/>
        <v>-70</v>
      </c>
      <c r="BZ2975" s="111">
        <f t="shared" si="2163"/>
        <v>0</v>
      </c>
      <c r="CA2975" s="138">
        <f t="shared" si="2164"/>
        <v>70</v>
      </c>
      <c r="CB2975" s="111" t="e">
        <f>IF(AF2975&gt;1/1/1900,((AF2975+1)-AE2975),"STILL OPEN")</f>
        <v>#VALUE!</v>
      </c>
      <c r="CC2975" s="129">
        <f>G2975-I2975+1</f>
        <v>70</v>
      </c>
      <c r="CD2975" s="129">
        <f>G2975-J2975</f>
        <v>0</v>
      </c>
      <c r="CG2975" s="129" t="str">
        <f t="shared" si="2165"/>
        <v>N</v>
      </c>
      <c r="CI2975" s="129" t="str">
        <f t="shared" si="2167"/>
        <v>61-90 DAYS</v>
      </c>
      <c r="CJ2975" s="137">
        <f t="shared" si="2168"/>
        <v>4</v>
      </c>
      <c r="CK2975" s="129" t="str">
        <f t="shared" si="2169"/>
        <v>Booked</v>
      </c>
    </row>
    <row r="2976" spans="1:89" ht="15.75" customHeight="1" x14ac:dyDescent="0.25">
      <c r="A2976" s="111">
        <v>2091</v>
      </c>
      <c r="B2976" s="128" t="str">
        <f t="shared" si="2156"/>
        <v>N</v>
      </c>
      <c r="C2976" s="128" t="str">
        <f t="shared" si="2157"/>
        <v>N</v>
      </c>
      <c r="D2976" s="117">
        <v>2610313</v>
      </c>
      <c r="E2976" s="135">
        <f t="shared" si="2158"/>
        <v>6</v>
      </c>
      <c r="F2976" s="124">
        <v>40987</v>
      </c>
      <c r="G2976" s="125">
        <v>42093</v>
      </c>
      <c r="H2976" s="117">
        <v>2610313</v>
      </c>
      <c r="I2976" s="124">
        <v>42061</v>
      </c>
      <c r="J2976" s="124">
        <v>40988</v>
      </c>
      <c r="K2976" s="126">
        <v>40000</v>
      </c>
      <c r="L2976" s="129" t="s">
        <v>572</v>
      </c>
      <c r="M2976" s="125">
        <v>40988</v>
      </c>
      <c r="N2976" s="129" t="str">
        <f>IF(M2976&gt;1/1/1,"Y","N")</f>
        <v>Y</v>
      </c>
      <c r="O2976" s="128" t="s">
        <v>76</v>
      </c>
      <c r="P2976" s="129" t="s">
        <v>39</v>
      </c>
      <c r="Q2976" s="111">
        <f t="shared" si="2170"/>
        <v>0</v>
      </c>
      <c r="R2976" s="111">
        <f t="shared" si="2145"/>
        <v>1107</v>
      </c>
      <c r="S2976" s="129">
        <v>0</v>
      </c>
      <c r="T2976" s="129">
        <v>0</v>
      </c>
      <c r="W2976" s="111"/>
      <c r="AC2976" s="130"/>
      <c r="AD2976" s="130">
        <v>31370</v>
      </c>
      <c r="AE2976" s="128" t="s">
        <v>32</v>
      </c>
      <c r="AF2976" s="128" t="s">
        <v>138</v>
      </c>
      <c r="AG2976" s="128" t="s">
        <v>873</v>
      </c>
      <c r="AH2976" s="108" t="s">
        <v>31</v>
      </c>
      <c r="AI2976" s="128" t="s">
        <v>97</v>
      </c>
      <c r="AJ2976" s="129" t="s">
        <v>89</v>
      </c>
      <c r="AK2976" s="129">
        <v>12</v>
      </c>
      <c r="AL2976" s="3" t="s">
        <v>362</v>
      </c>
      <c r="AM2976" s="117">
        <v>6</v>
      </c>
      <c r="AP2976" s="129" t="s">
        <v>175</v>
      </c>
      <c r="AR2976" s="128" t="s">
        <v>44</v>
      </c>
      <c r="AS2976" s="129" t="s">
        <v>45</v>
      </c>
      <c r="AT2976" s="3" t="s">
        <v>860</v>
      </c>
      <c r="AW2976" s="125"/>
      <c r="AX2976" s="32"/>
      <c r="BC2976" s="129" t="s">
        <v>52</v>
      </c>
      <c r="BF2976" s="111">
        <v>0</v>
      </c>
      <c r="BG2976" s="111">
        <f>IF(G2976&gt;1/1/1900,((G2976+1)-I2976),"STILL OPEN")</f>
        <v>33</v>
      </c>
      <c r="BH2976" s="111">
        <f t="shared" si="2146"/>
        <v>1107</v>
      </c>
      <c r="BI2976" s="111">
        <f t="shared" si="2148"/>
        <v>26.275956284153004</v>
      </c>
      <c r="BJ2976" s="129">
        <f>(G2976-J2976)+(M2976-G2976)</f>
        <v>0</v>
      </c>
      <c r="BK2976" s="129">
        <f t="shared" si="2147"/>
        <v>-1105</v>
      </c>
      <c r="BL2976" s="129" t="str">
        <f t="shared" si="2144"/>
        <v>CONVICTION</v>
      </c>
      <c r="BM2976" s="129" t="s">
        <v>76</v>
      </c>
      <c r="BN2976" s="129" t="s">
        <v>88</v>
      </c>
      <c r="BP2976" s="137" t="str">
        <f t="shared" si="2150"/>
        <v>CONVICTION</v>
      </c>
      <c r="BQ2976" s="128">
        <f t="shared" si="2160"/>
        <v>0</v>
      </c>
      <c r="BR2976" s="129" t="s">
        <v>574</v>
      </c>
      <c r="BS2976" s="129" t="str">
        <f t="shared" si="2152"/>
        <v>DISPOSED</v>
      </c>
      <c r="BT2976" s="129" t="str">
        <f t="shared" si="2153"/>
        <v>N</v>
      </c>
      <c r="BU2976" s="109">
        <f t="shared" si="2154"/>
        <v>0</v>
      </c>
      <c r="BV2976" s="109">
        <f t="shared" si="2161"/>
        <v>-32.484848484848484</v>
      </c>
      <c r="BW2976" s="109">
        <f t="shared" si="2171"/>
        <v>-32.484848484848484</v>
      </c>
      <c r="BX2976" s="111">
        <f t="shared" si="2155"/>
        <v>0</v>
      </c>
      <c r="BY2976" s="129">
        <f t="shared" si="2162"/>
        <v>1072</v>
      </c>
      <c r="BZ2976" s="111">
        <f t="shared" si="2163"/>
        <v>1072</v>
      </c>
      <c r="CA2976" s="138">
        <f t="shared" si="2164"/>
        <v>33</v>
      </c>
      <c r="CB2976" s="111" t="e">
        <f>IF(AF2976&gt;1/1/1900,((AF2976+1)-AE2976),"STILL OPEN")</f>
        <v>#VALUE!</v>
      </c>
      <c r="CD2976" s="129">
        <f>G2976-J2976</f>
        <v>1105</v>
      </c>
      <c r="CG2976" s="129" t="str">
        <f t="shared" si="2165"/>
        <v>N</v>
      </c>
      <c r="CI2976" s="129" t="str">
        <f t="shared" si="2167"/>
        <v>0-10 DAYS</v>
      </c>
      <c r="CJ2976" s="137">
        <f t="shared" si="2168"/>
        <v>1</v>
      </c>
      <c r="CK2976" s="129" t="str">
        <f t="shared" si="2169"/>
        <v>Booked</v>
      </c>
    </row>
    <row r="2977" spans="1:89" ht="15.75" customHeight="1" x14ac:dyDescent="0.25">
      <c r="A2977" s="111">
        <v>2099</v>
      </c>
      <c r="B2977" s="128" t="str">
        <f t="shared" si="2156"/>
        <v>N</v>
      </c>
      <c r="C2977" s="128" t="str">
        <f t="shared" si="2157"/>
        <v>N</v>
      </c>
      <c r="D2977" s="117">
        <v>2610326</v>
      </c>
      <c r="E2977" s="135">
        <f t="shared" si="2158"/>
        <v>2</v>
      </c>
      <c r="F2977" s="124">
        <v>40987</v>
      </c>
      <c r="G2977" s="125">
        <v>41081</v>
      </c>
      <c r="H2977" s="117">
        <v>2610326</v>
      </c>
      <c r="I2977" s="124" t="s">
        <v>562</v>
      </c>
      <c r="J2977" s="124" t="s">
        <v>562</v>
      </c>
      <c r="K2977" s="126">
        <v>2000</v>
      </c>
      <c r="L2977" s="127" t="s">
        <v>568</v>
      </c>
      <c r="M2977" s="125">
        <v>40992</v>
      </c>
      <c r="N2977" s="129" t="str">
        <f>IF(M2977&gt;1/1/1,"Y",IF(Q2977="0","","N"))</f>
        <v>Y</v>
      </c>
      <c r="O2977" s="128" t="s">
        <v>76</v>
      </c>
      <c r="P2977" s="129" t="s">
        <v>589</v>
      </c>
      <c r="Q2977" s="111">
        <f t="shared" si="2170"/>
        <v>0</v>
      </c>
      <c r="R2977" s="111">
        <f t="shared" si="2145"/>
        <v>95</v>
      </c>
      <c r="S2977" s="129">
        <v>0</v>
      </c>
      <c r="T2977" s="129">
        <v>0</v>
      </c>
      <c r="W2977" s="111"/>
      <c r="AC2977" s="130"/>
      <c r="AD2977" s="130">
        <v>33059</v>
      </c>
      <c r="AE2977" s="128" t="s">
        <v>46</v>
      </c>
      <c r="AF2977" s="128" t="s">
        <v>33</v>
      </c>
      <c r="AG2977" s="128" t="s">
        <v>872</v>
      </c>
      <c r="AH2977" s="108" t="s">
        <v>58</v>
      </c>
      <c r="AI2977" s="128" t="s">
        <v>90</v>
      </c>
      <c r="AJ2977" s="129" t="s">
        <v>48</v>
      </c>
      <c r="AK2977" s="129">
        <v>6</v>
      </c>
      <c r="AL2977" s="3" t="s">
        <v>48</v>
      </c>
      <c r="AP2977" s="129" t="s">
        <v>108</v>
      </c>
      <c r="AR2977" s="128" t="s">
        <v>44</v>
      </c>
      <c r="AS2977" s="129" t="s">
        <v>61</v>
      </c>
      <c r="AW2977" s="125"/>
      <c r="AX2977" s="125"/>
      <c r="BC2977" s="129" t="s">
        <v>52</v>
      </c>
      <c r="BF2977" s="111">
        <v>0</v>
      </c>
      <c r="BG2977" s="111">
        <v>0</v>
      </c>
      <c r="BH2977" s="111">
        <f t="shared" si="2146"/>
        <v>95</v>
      </c>
      <c r="BI2977" s="111">
        <f t="shared" si="2148"/>
        <v>21.661202185792348</v>
      </c>
      <c r="BJ2977" s="129" t="e">
        <f>(G2977-J2977)+(M2977-G2977)</f>
        <v>#VALUE!</v>
      </c>
      <c r="BK2977" s="129" t="e">
        <f t="shared" si="2147"/>
        <v>#VALUE!</v>
      </c>
      <c r="BL2977" s="129" t="str">
        <f t="shared" si="2144"/>
        <v>DEFERRED</v>
      </c>
      <c r="BM2977" s="129" t="s">
        <v>76</v>
      </c>
      <c r="BN2977" s="129" t="s">
        <v>88</v>
      </c>
      <c r="BP2977" s="137" t="str">
        <f t="shared" si="2150"/>
        <v>DEFERRED</v>
      </c>
      <c r="BQ2977" s="128">
        <f t="shared" si="2160"/>
        <v>0</v>
      </c>
      <c r="BR2977" s="129" t="s">
        <v>575</v>
      </c>
      <c r="BS2977" s="129" t="str">
        <f t="shared" si="2152"/>
        <v>DISPOSED</v>
      </c>
      <c r="BT2977" s="129" t="str">
        <f t="shared" si="2153"/>
        <v>N</v>
      </c>
      <c r="BU2977" s="109">
        <f t="shared" si="2154"/>
        <v>0</v>
      </c>
      <c r="BV2977" s="109">
        <v>0</v>
      </c>
      <c r="BW2977" s="109">
        <f t="shared" si="2171"/>
        <v>0</v>
      </c>
      <c r="BX2977" s="111">
        <f t="shared" si="2155"/>
        <v>0</v>
      </c>
      <c r="BY2977" s="129" t="e">
        <f t="shared" si="2162"/>
        <v>#VALUE!</v>
      </c>
      <c r="BZ2977" s="111" t="e">
        <f t="shared" si="2163"/>
        <v>#VALUE!</v>
      </c>
      <c r="CA2977" s="138" t="e">
        <f t="shared" si="2164"/>
        <v>#VALUE!</v>
      </c>
      <c r="CB2977" s="111">
        <v>0</v>
      </c>
      <c r="CC2977" s="129">
        <v>0</v>
      </c>
      <c r="CD2977" s="111">
        <f>CC2977-BF2977</f>
        <v>0</v>
      </c>
      <c r="CG2977" s="129" t="str">
        <f t="shared" si="2165"/>
        <v>N</v>
      </c>
      <c r="CI2977" s="129" t="str">
        <f t="shared" si="2167"/>
        <v>0-10 DAYS</v>
      </c>
      <c r="CJ2977" s="137">
        <f t="shared" si="2168"/>
        <v>1</v>
      </c>
      <c r="CK2977" s="129" t="str">
        <f t="shared" si="2169"/>
        <v>Not Booked</v>
      </c>
    </row>
    <row r="2978" spans="1:89" ht="15" customHeight="1" x14ac:dyDescent="0.25">
      <c r="A2978" s="111">
        <v>2102</v>
      </c>
      <c r="B2978" s="128" t="str">
        <f t="shared" si="2156"/>
        <v>N</v>
      </c>
      <c r="C2978" s="128" t="str">
        <f t="shared" si="2157"/>
        <v>N</v>
      </c>
      <c r="D2978" s="117">
        <v>2610334</v>
      </c>
      <c r="E2978" s="135">
        <f t="shared" si="2158"/>
        <v>2</v>
      </c>
      <c r="F2978" s="124">
        <v>40988</v>
      </c>
      <c r="G2978" s="125">
        <v>41129</v>
      </c>
      <c r="H2978" s="117">
        <v>2610334</v>
      </c>
      <c r="I2978" s="124" t="s">
        <v>562</v>
      </c>
      <c r="J2978" s="124" t="s">
        <v>562</v>
      </c>
      <c r="K2978" s="126">
        <v>2000</v>
      </c>
      <c r="L2978" s="127" t="s">
        <v>568</v>
      </c>
      <c r="M2978" s="125">
        <v>40989</v>
      </c>
      <c r="N2978" s="129" t="str">
        <f>IF(M2978&gt;1/1/1,"Y",IF(Q2978="0","","N"))</f>
        <v>Y</v>
      </c>
      <c r="O2978" s="128" t="s">
        <v>76</v>
      </c>
      <c r="P2978" s="129" t="s">
        <v>589</v>
      </c>
      <c r="Q2978" s="111">
        <f t="shared" si="2170"/>
        <v>0</v>
      </c>
      <c r="R2978" s="111">
        <f t="shared" si="2145"/>
        <v>142</v>
      </c>
      <c r="S2978" s="129">
        <v>0</v>
      </c>
      <c r="T2978" s="129">
        <v>0</v>
      </c>
      <c r="W2978" s="111"/>
      <c r="AC2978" s="130"/>
      <c r="AD2978" s="130">
        <v>21583</v>
      </c>
      <c r="AE2978" s="128" t="s">
        <v>32</v>
      </c>
      <c r="AF2978" s="128" t="s">
        <v>33</v>
      </c>
      <c r="AG2978" s="128" t="s">
        <v>872</v>
      </c>
      <c r="AH2978" s="108" t="s">
        <v>31</v>
      </c>
      <c r="AI2978" s="128" t="s">
        <v>47</v>
      </c>
      <c r="AJ2978" s="129" t="s">
        <v>48</v>
      </c>
      <c r="AK2978" s="129">
        <v>6</v>
      </c>
      <c r="AL2978" s="3" t="s">
        <v>48</v>
      </c>
      <c r="AP2978" s="129" t="s">
        <v>43</v>
      </c>
      <c r="AR2978" s="128" t="s">
        <v>44</v>
      </c>
      <c r="AS2978" s="129" t="s">
        <v>45</v>
      </c>
      <c r="AX2978" s="32"/>
      <c r="BC2978" s="129" t="s">
        <v>52</v>
      </c>
      <c r="BF2978" s="111">
        <v>0</v>
      </c>
      <c r="BG2978" s="111">
        <v>0</v>
      </c>
      <c r="BH2978" s="111">
        <f t="shared" si="2146"/>
        <v>142</v>
      </c>
      <c r="BI2978" s="111">
        <f t="shared" si="2148"/>
        <v>53.019125683060111</v>
      </c>
      <c r="BJ2978" s="129" t="e">
        <f>(G2978-J2978)+(M2978-G2978)</f>
        <v>#VALUE!</v>
      </c>
      <c r="BK2978" s="129" t="e">
        <f t="shared" si="2147"/>
        <v>#VALUE!</v>
      </c>
      <c r="BL2978" s="129" t="str">
        <f t="shared" si="2144"/>
        <v>DEFERRED</v>
      </c>
      <c r="BM2978" s="129" t="s">
        <v>76</v>
      </c>
      <c r="BN2978" s="129" t="s">
        <v>88</v>
      </c>
      <c r="BP2978" s="137" t="str">
        <f t="shared" si="2150"/>
        <v>DEFERRED</v>
      </c>
      <c r="BQ2978" s="128">
        <f t="shared" si="2160"/>
        <v>0</v>
      </c>
      <c r="BR2978" s="129" t="s">
        <v>575</v>
      </c>
      <c r="BS2978" s="129" t="str">
        <f t="shared" si="2152"/>
        <v>DISPOSED</v>
      </c>
      <c r="BT2978" s="129" t="str">
        <f t="shared" si="2153"/>
        <v>N</v>
      </c>
      <c r="BU2978" s="109">
        <f t="shared" si="2154"/>
        <v>0</v>
      </c>
      <c r="BV2978" s="109">
        <v>0</v>
      </c>
      <c r="BW2978" s="109">
        <f t="shared" si="2171"/>
        <v>0</v>
      </c>
      <c r="BX2978" s="111">
        <f t="shared" si="2155"/>
        <v>0</v>
      </c>
      <c r="BY2978" s="129" t="e">
        <f t="shared" si="2162"/>
        <v>#VALUE!</v>
      </c>
      <c r="BZ2978" s="111" t="e">
        <f t="shared" si="2163"/>
        <v>#VALUE!</v>
      </c>
      <c r="CA2978" s="138" t="e">
        <f t="shared" si="2164"/>
        <v>#VALUE!</v>
      </c>
      <c r="CB2978" s="111">
        <v>0</v>
      </c>
      <c r="CC2978" s="129">
        <v>0</v>
      </c>
      <c r="CD2978" s="111">
        <f>CC2978-BF2978</f>
        <v>0</v>
      </c>
      <c r="CG2978" s="129" t="str">
        <f t="shared" si="2165"/>
        <v>N</v>
      </c>
      <c r="CI2978" s="129" t="str">
        <f t="shared" si="2167"/>
        <v>0-10 DAYS</v>
      </c>
      <c r="CJ2978" s="137">
        <f t="shared" si="2168"/>
        <v>1</v>
      </c>
      <c r="CK2978" s="129" t="str">
        <f t="shared" si="2169"/>
        <v>Not Booked</v>
      </c>
    </row>
    <row r="2979" spans="1:89" ht="15.75" customHeight="1" x14ac:dyDescent="0.25">
      <c r="A2979" s="111">
        <v>2109</v>
      </c>
      <c r="B2979" s="128" t="str">
        <f t="shared" si="2156"/>
        <v>N</v>
      </c>
      <c r="C2979" s="128" t="str">
        <f t="shared" si="2157"/>
        <v>N</v>
      </c>
      <c r="D2979" s="117">
        <v>2610344</v>
      </c>
      <c r="E2979" s="135">
        <f t="shared" si="2158"/>
        <v>1</v>
      </c>
      <c r="F2979" s="124">
        <v>40988</v>
      </c>
      <c r="G2979" s="125">
        <v>41403</v>
      </c>
      <c r="H2979" s="117">
        <v>2610344</v>
      </c>
      <c r="I2979" s="124" t="s">
        <v>562</v>
      </c>
      <c r="J2979" s="124" t="s">
        <v>562</v>
      </c>
      <c r="K2979" s="126">
        <v>15000</v>
      </c>
      <c r="L2979" s="127" t="s">
        <v>571</v>
      </c>
      <c r="M2979" s="125">
        <v>40990</v>
      </c>
      <c r="N2979" s="129" t="str">
        <f>IF(M2979&gt;1/1/1,"Y",IF(Q2979="NOT BOOKED","","N"))</f>
        <v>Y</v>
      </c>
      <c r="O2979" s="128" t="s">
        <v>76</v>
      </c>
      <c r="P2979" s="129" t="s">
        <v>55</v>
      </c>
      <c r="Q2979" s="111">
        <v>0</v>
      </c>
      <c r="R2979" s="111">
        <f t="shared" si="2145"/>
        <v>416</v>
      </c>
      <c r="S2979" s="129">
        <v>0</v>
      </c>
      <c r="T2979" s="129">
        <v>0</v>
      </c>
      <c r="W2979" s="111"/>
      <c r="AC2979" s="130"/>
      <c r="AD2979" s="130">
        <v>33876</v>
      </c>
      <c r="AE2979" s="128" t="s">
        <v>32</v>
      </c>
      <c r="AF2979" s="128" t="s">
        <v>69</v>
      </c>
      <c r="AG2979" s="128" t="s">
        <v>874</v>
      </c>
      <c r="AH2979" s="108" t="s">
        <v>31</v>
      </c>
      <c r="AI2979" s="128" t="s">
        <v>62</v>
      </c>
      <c r="AJ2979" s="129" t="s">
        <v>55</v>
      </c>
      <c r="AK2979" s="129">
        <v>14</v>
      </c>
      <c r="AL2979" s="3" t="s">
        <v>55</v>
      </c>
      <c r="AP2979" s="129" t="s">
        <v>93</v>
      </c>
      <c r="AR2979" s="128" t="s">
        <v>67</v>
      </c>
      <c r="AS2979" s="129" t="s">
        <v>45</v>
      </c>
      <c r="AT2979" s="129" t="s">
        <v>1162</v>
      </c>
      <c r="BC2979" s="129" t="s">
        <v>52</v>
      </c>
      <c r="BF2979" s="111">
        <v>0</v>
      </c>
      <c r="BG2979" s="111" t="e">
        <f t="shared" ref="BG2979:BG2984" si="2175">IF(G2979&gt;1/1/1900,((G2979+1)-I2979),"STILL OPEN")</f>
        <v>#VALUE!</v>
      </c>
      <c r="BH2979" s="111">
        <f t="shared" si="2146"/>
        <v>416</v>
      </c>
      <c r="BI2979" s="111">
        <f t="shared" si="2148"/>
        <v>19.431693989071039</v>
      </c>
      <c r="BJ2979" s="129" t="e">
        <f>(G2979-J2979)+(M2979-G2979)</f>
        <v>#VALUE!</v>
      </c>
      <c r="BK2979" s="129" t="e">
        <f t="shared" si="2147"/>
        <v>#VALUE!</v>
      </c>
      <c r="BL2979" s="129" t="str">
        <f t="shared" si="2144"/>
        <v>NO CONVICTION</v>
      </c>
      <c r="BM2979" s="129" t="s">
        <v>76</v>
      </c>
      <c r="BN2979" s="129" t="s">
        <v>566</v>
      </c>
      <c r="BP2979" s="137" t="str">
        <f t="shared" si="2150"/>
        <v>NO CONVICTION</v>
      </c>
      <c r="BQ2979" s="128">
        <f t="shared" si="2160"/>
        <v>0</v>
      </c>
      <c r="BR2979" s="129" t="s">
        <v>575</v>
      </c>
      <c r="BS2979" s="129" t="str">
        <f t="shared" si="2152"/>
        <v>DISPOSED</v>
      </c>
      <c r="BT2979" s="129" t="str">
        <f t="shared" si="2153"/>
        <v>N</v>
      </c>
      <c r="BU2979" s="109">
        <f>IFERROR(Q2979/R2979,BR2979)</f>
        <v>0</v>
      </c>
      <c r="BV2979" s="109">
        <v>0</v>
      </c>
      <c r="BW2979" s="109">
        <f t="shared" si="2171"/>
        <v>0</v>
      </c>
      <c r="BX2979" s="111">
        <f t="shared" si="2155"/>
        <v>0</v>
      </c>
      <c r="BY2979" s="129" t="e">
        <f t="shared" si="2162"/>
        <v>#VALUE!</v>
      </c>
      <c r="BZ2979" s="111" t="e">
        <f t="shared" si="2163"/>
        <v>#VALUE!</v>
      </c>
      <c r="CA2979" s="138" t="e">
        <f t="shared" si="2164"/>
        <v>#VALUE!</v>
      </c>
      <c r="CB2979" s="111" t="s">
        <v>562</v>
      </c>
      <c r="CC2979" s="129">
        <v>0</v>
      </c>
      <c r="CD2979" s="111">
        <f>CC2979-BF2979</f>
        <v>0</v>
      </c>
      <c r="CG2979" s="129" t="str">
        <f t="shared" si="2165"/>
        <v>N</v>
      </c>
      <c r="CI2979" s="129" t="str">
        <f t="shared" si="2167"/>
        <v>0-10 DAYS</v>
      </c>
      <c r="CJ2979" s="137">
        <f t="shared" si="2168"/>
        <v>1</v>
      </c>
      <c r="CK2979" s="129" t="str">
        <f t="shared" si="2169"/>
        <v>Not Booked</v>
      </c>
    </row>
    <row r="2980" spans="1:89" ht="15.75" customHeight="1" x14ac:dyDescent="0.25">
      <c r="A2980" s="111">
        <v>2111</v>
      </c>
      <c r="B2980" s="128" t="str">
        <f t="shared" si="2156"/>
        <v>N</v>
      </c>
      <c r="C2980" s="128" t="str">
        <f t="shared" si="2157"/>
        <v>N</v>
      </c>
      <c r="D2980" s="117">
        <v>2610345</v>
      </c>
      <c r="E2980" s="135">
        <f t="shared" si="2158"/>
        <v>2</v>
      </c>
      <c r="F2980" s="124">
        <v>40988</v>
      </c>
      <c r="G2980" s="125">
        <v>40990</v>
      </c>
      <c r="H2980" s="117">
        <v>2610345</v>
      </c>
      <c r="I2980" s="124">
        <v>40988</v>
      </c>
      <c r="J2980" s="124">
        <v>40990</v>
      </c>
      <c r="K2980" s="126" t="s">
        <v>564</v>
      </c>
      <c r="L2980" s="127" t="s">
        <v>564</v>
      </c>
      <c r="N2980" s="129" t="s">
        <v>566</v>
      </c>
      <c r="O2980" s="128" t="s">
        <v>917</v>
      </c>
      <c r="P2980" s="129" t="s">
        <v>589</v>
      </c>
      <c r="Q2980" s="111">
        <f t="shared" si="2170"/>
        <v>3</v>
      </c>
      <c r="R2980" s="111">
        <f t="shared" si="2145"/>
        <v>3</v>
      </c>
      <c r="S2980" s="129">
        <v>0</v>
      </c>
      <c r="T2980" s="129">
        <v>0</v>
      </c>
      <c r="W2980" s="111"/>
      <c r="AC2980" s="130"/>
      <c r="AD2980" s="130">
        <v>22038</v>
      </c>
      <c r="AE2980" s="128" t="s">
        <v>46</v>
      </c>
      <c r="AF2980" s="128" t="s">
        <v>69</v>
      </c>
      <c r="AG2980" s="128" t="s">
        <v>874</v>
      </c>
      <c r="AH2980" s="108" t="s">
        <v>31</v>
      </c>
      <c r="AI2980" s="128" t="s">
        <v>65</v>
      </c>
      <c r="AJ2980" s="129" t="s">
        <v>48</v>
      </c>
      <c r="AK2980" s="129">
        <v>2</v>
      </c>
      <c r="AL2980" s="3" t="s">
        <v>48</v>
      </c>
      <c r="AP2980" s="129" t="s">
        <v>110</v>
      </c>
      <c r="AR2980" s="128" t="s">
        <v>50</v>
      </c>
      <c r="AS2980" s="129" t="s">
        <v>74</v>
      </c>
      <c r="BC2980" s="129" t="s">
        <v>38</v>
      </c>
      <c r="BF2980" s="111">
        <f>IF(J2980&gt;1/1/1900,((J2980+1)-I2980),"STILL OPEN")</f>
        <v>3</v>
      </c>
      <c r="BG2980" s="111">
        <f t="shared" si="2175"/>
        <v>3</v>
      </c>
      <c r="BH2980" s="111">
        <f t="shared" si="2146"/>
        <v>3</v>
      </c>
      <c r="BI2980" s="111">
        <f t="shared" si="2148"/>
        <v>51.775956284153004</v>
      </c>
      <c r="BJ2980" s="129">
        <f t="shared" si="2159"/>
        <v>0</v>
      </c>
      <c r="BK2980" s="129">
        <f t="shared" si="2147"/>
        <v>0</v>
      </c>
      <c r="BL2980" s="129" t="str">
        <f t="shared" si="2144"/>
        <v>DEFERRED</v>
      </c>
      <c r="BM2980" s="129" t="str">
        <f t="shared" si="2149"/>
        <v>NONE</v>
      </c>
      <c r="BN2980" s="129" t="s">
        <v>566</v>
      </c>
      <c r="BP2980" s="137" t="str">
        <f t="shared" si="2150"/>
        <v>DEFERRED</v>
      </c>
      <c r="BQ2980" s="128" t="str">
        <f t="shared" si="2160"/>
        <v>Y</v>
      </c>
      <c r="BR2980" s="129" t="str">
        <f t="shared" si="2151"/>
        <v>DETAINED</v>
      </c>
      <c r="BS2980" s="129" t="str">
        <f t="shared" si="2152"/>
        <v>DISPOSED</v>
      </c>
      <c r="BT2980" s="129" t="str">
        <f t="shared" si="2153"/>
        <v>N</v>
      </c>
      <c r="BU2980" s="109">
        <f t="shared" si="2154"/>
        <v>1</v>
      </c>
      <c r="BV2980" s="109">
        <f t="shared" si="2161"/>
        <v>1</v>
      </c>
      <c r="BW2980" s="109">
        <f t="shared" si="2171"/>
        <v>0</v>
      </c>
      <c r="BX2980" s="111">
        <f t="shared" si="2155"/>
        <v>0</v>
      </c>
      <c r="BY2980" s="129">
        <f t="shared" si="2162"/>
        <v>-3</v>
      </c>
      <c r="BZ2980" s="111">
        <f t="shared" si="2163"/>
        <v>0</v>
      </c>
      <c r="CA2980" s="138">
        <f t="shared" si="2164"/>
        <v>3</v>
      </c>
      <c r="CB2980" s="111" t="e">
        <f>IF(AF2980&gt;1/1/1900,((AF2980+1)-AE2980),"STILL OPEN")</f>
        <v>#VALUE!</v>
      </c>
      <c r="CC2980" s="129">
        <f>G2980-I2980+1</f>
        <v>3</v>
      </c>
      <c r="CD2980" s="129">
        <f>G2980-J2980</f>
        <v>0</v>
      </c>
      <c r="CG2980" s="129" t="str">
        <f t="shared" si="2165"/>
        <v>N</v>
      </c>
      <c r="CI2980" s="129" t="str">
        <f t="shared" si="2167"/>
        <v>0-10 DAYS</v>
      </c>
      <c r="CJ2980" s="137">
        <f t="shared" si="2168"/>
        <v>1</v>
      </c>
      <c r="CK2980" s="129" t="str">
        <f t="shared" si="2169"/>
        <v>Booked</v>
      </c>
    </row>
    <row r="2981" spans="1:89" ht="15.75" customHeight="1" x14ac:dyDescent="0.25">
      <c r="A2981" s="111">
        <v>2112</v>
      </c>
      <c r="B2981" s="128" t="str">
        <f t="shared" si="2156"/>
        <v>N</v>
      </c>
      <c r="C2981" s="128" t="str">
        <f t="shared" si="2157"/>
        <v>N</v>
      </c>
      <c r="D2981" s="117">
        <v>2610346</v>
      </c>
      <c r="E2981" s="135">
        <f t="shared" si="2158"/>
        <v>1</v>
      </c>
      <c r="F2981" s="124">
        <v>40988</v>
      </c>
      <c r="G2981" s="125">
        <v>41054</v>
      </c>
      <c r="H2981" s="117">
        <v>2610346</v>
      </c>
      <c r="I2981" s="124">
        <v>40988</v>
      </c>
      <c r="J2981" s="124">
        <v>40990</v>
      </c>
      <c r="K2981" s="126">
        <v>30000</v>
      </c>
      <c r="L2981" s="129" t="s">
        <v>572</v>
      </c>
      <c r="M2981" s="125">
        <v>40990</v>
      </c>
      <c r="N2981" s="129" t="str">
        <f>IF(M2981&gt;1/1/1,"Y","N")</f>
        <v>Y</v>
      </c>
      <c r="O2981" s="128" t="s">
        <v>76</v>
      </c>
      <c r="P2981" s="129" t="s">
        <v>123</v>
      </c>
      <c r="Q2981" s="111">
        <f t="shared" si="2170"/>
        <v>3</v>
      </c>
      <c r="R2981" s="111">
        <f t="shared" si="2145"/>
        <v>67</v>
      </c>
      <c r="S2981" s="129">
        <v>0</v>
      </c>
      <c r="T2981" s="129">
        <v>0</v>
      </c>
      <c r="W2981" s="111"/>
      <c r="AC2981" s="130"/>
      <c r="AD2981" s="130">
        <v>33337</v>
      </c>
      <c r="AE2981" s="128" t="s">
        <v>32</v>
      </c>
      <c r="AF2981" s="128" t="s">
        <v>69</v>
      </c>
      <c r="AG2981" s="128" t="s">
        <v>874</v>
      </c>
      <c r="AH2981" s="108" t="s">
        <v>31</v>
      </c>
      <c r="AI2981" s="128" t="s">
        <v>70</v>
      </c>
      <c r="AJ2981" s="129" t="s">
        <v>123</v>
      </c>
      <c r="AK2981" s="129">
        <v>4</v>
      </c>
      <c r="AL2981" s="3" t="s">
        <v>123</v>
      </c>
      <c r="AP2981" s="129" t="s">
        <v>110</v>
      </c>
      <c r="AR2981" s="128" t="s">
        <v>50</v>
      </c>
      <c r="AS2981" s="129" t="s">
        <v>74</v>
      </c>
      <c r="BC2981" s="129" t="s">
        <v>52</v>
      </c>
      <c r="BF2981" s="111">
        <f>IF(J2981&gt;1/1/1900,((J2981+1)-I2981),"STILL OPEN")</f>
        <v>3</v>
      </c>
      <c r="BG2981" s="111">
        <f t="shared" si="2175"/>
        <v>67</v>
      </c>
      <c r="BH2981" s="111">
        <f t="shared" si="2146"/>
        <v>67</v>
      </c>
      <c r="BI2981" s="111">
        <f t="shared" si="2148"/>
        <v>20.904371584699454</v>
      </c>
      <c r="BJ2981" s="129">
        <f>(G2981-J2981)+(M2981-G2981)</f>
        <v>0</v>
      </c>
      <c r="BK2981" s="129">
        <f t="shared" si="2147"/>
        <v>-64</v>
      </c>
      <c r="BL2981" s="129" t="str">
        <f t="shared" si="2144"/>
        <v>NO CONVICTION</v>
      </c>
      <c r="BM2981" s="129" t="s">
        <v>76</v>
      </c>
      <c r="BN2981" s="129" t="s">
        <v>88</v>
      </c>
      <c r="BP2981" s="137" t="str">
        <f t="shared" si="2150"/>
        <v>NO CONVICTION</v>
      </c>
      <c r="BQ2981" s="128" t="str">
        <f t="shared" si="2160"/>
        <v>Y</v>
      </c>
      <c r="BR2981" s="129" t="str">
        <f t="shared" si="2151"/>
        <v>ON BOND</v>
      </c>
      <c r="BS2981" s="129" t="str">
        <f t="shared" si="2152"/>
        <v>DISPOSED</v>
      </c>
      <c r="BT2981" s="129" t="str">
        <f t="shared" si="2153"/>
        <v>N</v>
      </c>
      <c r="BU2981" s="109">
        <f>IFERROR(Q2981/R2981,BR2981)</f>
        <v>4.4776119402985072E-2</v>
      </c>
      <c r="BV2981" s="109">
        <f t="shared" si="2161"/>
        <v>4.4776119402985072E-2</v>
      </c>
      <c r="BW2981" s="109">
        <f t="shared" si="2171"/>
        <v>0</v>
      </c>
      <c r="BX2981" s="111">
        <f t="shared" si="2155"/>
        <v>0</v>
      </c>
      <c r="BY2981" s="129">
        <f t="shared" si="2162"/>
        <v>-3</v>
      </c>
      <c r="BZ2981" s="111">
        <f t="shared" si="2163"/>
        <v>0</v>
      </c>
      <c r="CA2981" s="138">
        <f t="shared" si="2164"/>
        <v>3</v>
      </c>
      <c r="CB2981" s="111" t="e">
        <f>IF(AF2981&gt;1/1/1900,((AF2981+1)-AE2981),"STILL OPEN")</f>
        <v>#VALUE!</v>
      </c>
      <c r="CC2981" s="129">
        <f>M2981-I2981+1</f>
        <v>3</v>
      </c>
      <c r="CD2981" s="111">
        <f>CC2981-BF2981</f>
        <v>0</v>
      </c>
      <c r="CG2981" s="129" t="str">
        <f t="shared" si="2165"/>
        <v>N</v>
      </c>
      <c r="CI2981" s="129" t="str">
        <f t="shared" si="2167"/>
        <v>0-10 DAYS</v>
      </c>
      <c r="CJ2981" s="137">
        <f t="shared" si="2168"/>
        <v>1</v>
      </c>
      <c r="CK2981" s="129" t="str">
        <f t="shared" si="2169"/>
        <v>Booked</v>
      </c>
    </row>
    <row r="2982" spans="1:89" ht="15.75" customHeight="1" x14ac:dyDescent="0.25">
      <c r="A2982" s="111">
        <v>2125</v>
      </c>
      <c r="B2982" s="128" t="str">
        <f t="shared" si="2156"/>
        <v>N</v>
      </c>
      <c r="C2982" s="128" t="str">
        <f t="shared" si="2157"/>
        <v>Y</v>
      </c>
      <c r="D2982" s="114">
        <v>2610462</v>
      </c>
      <c r="E2982" s="135">
        <f t="shared" si="2158"/>
        <v>1</v>
      </c>
      <c r="F2982" s="124">
        <v>40988</v>
      </c>
      <c r="G2982" s="125">
        <v>41194</v>
      </c>
      <c r="H2982" s="114">
        <v>2610462</v>
      </c>
      <c r="I2982" s="124">
        <v>40989</v>
      </c>
      <c r="J2982" s="124">
        <v>40993</v>
      </c>
      <c r="K2982" s="126">
        <v>15000</v>
      </c>
      <c r="L2982" s="127" t="s">
        <v>571</v>
      </c>
      <c r="M2982" s="125">
        <v>40993</v>
      </c>
      <c r="N2982" s="129" t="str">
        <f>IF(M2982&gt;1/1/1,"Y","N")</f>
        <v>Y</v>
      </c>
      <c r="O2982" s="128" t="s">
        <v>76</v>
      </c>
      <c r="P2982" s="129" t="s">
        <v>55</v>
      </c>
      <c r="Q2982" s="111">
        <f t="shared" si="2170"/>
        <v>5</v>
      </c>
      <c r="R2982" s="111">
        <f t="shared" si="2145"/>
        <v>207</v>
      </c>
      <c r="S2982" s="129">
        <v>0</v>
      </c>
      <c r="T2982" s="129">
        <v>0</v>
      </c>
      <c r="W2982" s="111"/>
      <c r="AC2982" s="130"/>
      <c r="AD2982" s="130">
        <v>31768</v>
      </c>
      <c r="AE2982" s="128" t="s">
        <v>32</v>
      </c>
      <c r="AF2982" s="128" t="s">
        <v>33</v>
      </c>
      <c r="AG2982" s="128" t="s">
        <v>872</v>
      </c>
      <c r="AH2982" s="108" t="s">
        <v>31</v>
      </c>
      <c r="AI2982" s="128" t="s">
        <v>53</v>
      </c>
      <c r="AJ2982" s="129" t="s">
        <v>55</v>
      </c>
      <c r="AK2982" s="129">
        <v>3</v>
      </c>
      <c r="AL2982" s="3" t="s">
        <v>55</v>
      </c>
      <c r="AP2982" s="129" t="s">
        <v>121</v>
      </c>
      <c r="AR2982" s="128" t="s">
        <v>44</v>
      </c>
      <c r="AS2982" s="129" t="s">
        <v>122</v>
      </c>
      <c r="AV2982" s="3" t="s">
        <v>88</v>
      </c>
      <c r="AW2982" s="125" t="s">
        <v>755</v>
      </c>
      <c r="BA2982" s="125">
        <v>41435</v>
      </c>
      <c r="BB2982" s="129">
        <v>1020</v>
      </c>
      <c r="BC2982" s="129" t="s">
        <v>38</v>
      </c>
      <c r="BF2982" s="111">
        <v>5</v>
      </c>
      <c r="BG2982" s="111">
        <f t="shared" si="2175"/>
        <v>206</v>
      </c>
      <c r="BH2982" s="111">
        <f t="shared" si="2146"/>
        <v>207</v>
      </c>
      <c r="BI2982" s="111">
        <f t="shared" si="2148"/>
        <v>25.191256830601095</v>
      </c>
      <c r="BJ2982" s="129">
        <f>(G2982-J2982)+(M2982-G2982)</f>
        <v>0</v>
      </c>
      <c r="BK2982" s="129">
        <f t="shared" si="2147"/>
        <v>-201</v>
      </c>
      <c r="BL2982" s="129" t="str">
        <f t="shared" si="2144"/>
        <v>NO CONVICTION</v>
      </c>
      <c r="BM2982" s="129" t="s">
        <v>76</v>
      </c>
      <c r="BN2982" s="129" t="s">
        <v>88</v>
      </c>
      <c r="BP2982" s="137" t="str">
        <f t="shared" si="2150"/>
        <v>NO CONVICTION</v>
      </c>
      <c r="BQ2982" s="128" t="str">
        <f t="shared" si="2160"/>
        <v>Y</v>
      </c>
      <c r="BR2982" s="129" t="str">
        <f t="shared" si="2151"/>
        <v>ON BOND</v>
      </c>
      <c r="BS2982" s="129" t="str">
        <f t="shared" si="2152"/>
        <v>DISPOSED</v>
      </c>
      <c r="BT2982" s="129" t="str">
        <f t="shared" si="2153"/>
        <v>N</v>
      </c>
      <c r="BU2982" s="109">
        <f>IFERROR(Q2982/R2982,BR2982)</f>
        <v>2.4154589371980676E-2</v>
      </c>
      <c r="BV2982" s="109">
        <f t="shared" si="2161"/>
        <v>2.4271844660194174E-2</v>
      </c>
      <c r="BW2982" s="109">
        <f t="shared" si="2171"/>
        <v>1.1725528821349834E-4</v>
      </c>
      <c r="BX2982" s="111">
        <f t="shared" si="2155"/>
        <v>0</v>
      </c>
      <c r="BY2982" s="129">
        <f t="shared" si="2162"/>
        <v>-5</v>
      </c>
      <c r="BZ2982" s="111">
        <f t="shared" si="2163"/>
        <v>0</v>
      </c>
      <c r="CA2982" s="138">
        <f t="shared" si="2164"/>
        <v>5</v>
      </c>
      <c r="CB2982" s="111" t="e">
        <f>IF(AF2982&gt;1/1/1900,((AF2982+1)-AE2982),"STILL OPEN")</f>
        <v>#VALUE!</v>
      </c>
      <c r="CD2982" s="129">
        <f>G2982-J2982</f>
        <v>201</v>
      </c>
      <c r="CG2982" s="129" t="str">
        <f t="shared" si="2165"/>
        <v>N</v>
      </c>
      <c r="CI2982" s="129" t="str">
        <f t="shared" si="2167"/>
        <v>0-10 DAYS</v>
      </c>
      <c r="CJ2982" s="137">
        <f t="shared" si="2168"/>
        <v>1</v>
      </c>
      <c r="CK2982" s="129" t="str">
        <f t="shared" si="2169"/>
        <v>Booked</v>
      </c>
    </row>
    <row r="2983" spans="1:89" ht="15" customHeight="1" x14ac:dyDescent="0.25">
      <c r="A2983" s="111">
        <v>2137</v>
      </c>
      <c r="B2983" s="128" t="str">
        <f t="shared" si="2156"/>
        <v>N</v>
      </c>
      <c r="C2983" s="128" t="str">
        <f t="shared" si="2157"/>
        <v>N</v>
      </c>
      <c r="D2983" s="117">
        <v>2610540</v>
      </c>
      <c r="E2983" s="135">
        <f t="shared" si="2158"/>
        <v>2</v>
      </c>
      <c r="F2983" s="124">
        <v>40989</v>
      </c>
      <c r="G2983" s="125">
        <v>40991</v>
      </c>
      <c r="H2983" s="117">
        <v>2610540</v>
      </c>
      <c r="I2983" s="124">
        <v>40989</v>
      </c>
      <c r="J2983" s="124">
        <v>40991</v>
      </c>
      <c r="K2983" s="126">
        <v>2000</v>
      </c>
      <c r="L2983" s="127" t="s">
        <v>568</v>
      </c>
      <c r="N2983" s="129" t="str">
        <f>IF(M2983&gt;1/1/1,"Y","N")</f>
        <v>N</v>
      </c>
      <c r="O2983" s="128" t="s">
        <v>917</v>
      </c>
      <c r="P2983" s="129" t="s">
        <v>589</v>
      </c>
      <c r="Q2983" s="111">
        <f t="shared" si="2170"/>
        <v>3</v>
      </c>
      <c r="R2983" s="111">
        <f t="shared" si="2145"/>
        <v>3</v>
      </c>
      <c r="S2983" s="129">
        <v>0</v>
      </c>
      <c r="T2983" s="129">
        <v>0</v>
      </c>
      <c r="W2983" s="111"/>
      <c r="AC2983" s="130"/>
      <c r="AD2983" s="130">
        <v>30414</v>
      </c>
      <c r="AE2983" s="128" t="s">
        <v>32</v>
      </c>
      <c r="AF2983" s="128" t="s">
        <v>69</v>
      </c>
      <c r="AG2983" s="128" t="s">
        <v>874</v>
      </c>
      <c r="AH2983" s="108" t="s">
        <v>31</v>
      </c>
      <c r="AI2983" s="128" t="s">
        <v>80</v>
      </c>
      <c r="AJ2983" s="129" t="s">
        <v>48</v>
      </c>
      <c r="AK2983" s="129">
        <v>2</v>
      </c>
      <c r="AL2983" s="3" t="s">
        <v>48</v>
      </c>
      <c r="AP2983" s="129" t="s">
        <v>127</v>
      </c>
      <c r="AR2983" s="128" t="s">
        <v>44</v>
      </c>
      <c r="AS2983" s="129" t="s">
        <v>82</v>
      </c>
      <c r="BC2983" s="129" t="s">
        <v>38</v>
      </c>
      <c r="BF2983" s="111">
        <f>IF(J2983&gt;1/1/1900,((J2983+1)-I2983),"STILL OPEN")</f>
        <v>3</v>
      </c>
      <c r="BG2983" s="111">
        <f t="shared" si="2175"/>
        <v>3</v>
      </c>
      <c r="BH2983" s="111">
        <f t="shared" si="2146"/>
        <v>3</v>
      </c>
      <c r="BI2983" s="111">
        <f t="shared" si="2148"/>
        <v>28.893442622950818</v>
      </c>
      <c r="BJ2983" s="129">
        <f t="shared" si="2159"/>
        <v>0</v>
      </c>
      <c r="BK2983" s="129">
        <f t="shared" si="2147"/>
        <v>0</v>
      </c>
      <c r="BL2983" s="129" t="str">
        <f t="shared" si="2144"/>
        <v>DEFERRED</v>
      </c>
      <c r="BM2983" s="129" t="str">
        <f t="shared" si="2149"/>
        <v>NONE</v>
      </c>
      <c r="BN2983" s="129" t="s">
        <v>566</v>
      </c>
      <c r="BP2983" s="137" t="str">
        <f t="shared" si="2150"/>
        <v>DEFERRED</v>
      </c>
      <c r="BQ2983" s="128" t="str">
        <f t="shared" si="2160"/>
        <v>Y</v>
      </c>
      <c r="BR2983" s="129" t="str">
        <f t="shared" si="2151"/>
        <v>DETAINED</v>
      </c>
      <c r="BS2983" s="129" t="str">
        <f t="shared" si="2152"/>
        <v>DISPOSED</v>
      </c>
      <c r="BT2983" s="129" t="str">
        <f t="shared" si="2153"/>
        <v>N</v>
      </c>
      <c r="BU2983" s="109">
        <f t="shared" si="2154"/>
        <v>1</v>
      </c>
      <c r="BV2983" s="109">
        <f t="shared" si="2161"/>
        <v>1</v>
      </c>
      <c r="BW2983" s="109">
        <f t="shared" si="2171"/>
        <v>0</v>
      </c>
      <c r="BX2983" s="111">
        <f t="shared" si="2155"/>
        <v>0</v>
      </c>
      <c r="BY2983" s="129">
        <f t="shared" si="2162"/>
        <v>-3</v>
      </c>
      <c r="BZ2983" s="111">
        <f t="shared" si="2163"/>
        <v>0</v>
      </c>
      <c r="CA2983" s="138">
        <f t="shared" si="2164"/>
        <v>3</v>
      </c>
      <c r="CB2983" s="111" t="e">
        <f>IF(AF2983&gt;1/1/1900,((AF2983+1)-AE2983),"STILL OPEN")</f>
        <v>#VALUE!</v>
      </c>
      <c r="CC2983" s="129">
        <f>G2983-I2983+1</f>
        <v>3</v>
      </c>
      <c r="CD2983" s="129">
        <f>G2983-J2983</f>
        <v>0</v>
      </c>
      <c r="CG2983" s="129" t="str">
        <f t="shared" si="2165"/>
        <v>N</v>
      </c>
      <c r="CI2983" s="129" t="str">
        <f t="shared" si="2167"/>
        <v>0-10 DAYS</v>
      </c>
      <c r="CJ2983" s="137">
        <f t="shared" si="2168"/>
        <v>1</v>
      </c>
      <c r="CK2983" s="129" t="str">
        <f t="shared" si="2169"/>
        <v>Booked</v>
      </c>
    </row>
    <row r="2984" spans="1:89" ht="15.75" customHeight="1" x14ac:dyDescent="0.25">
      <c r="A2984" s="111">
        <v>2274</v>
      </c>
      <c r="B2984" s="128" t="str">
        <f t="shared" si="2156"/>
        <v>N</v>
      </c>
      <c r="C2984" s="128" t="str">
        <f t="shared" si="2157"/>
        <v>N</v>
      </c>
      <c r="D2984" s="117">
        <v>2610611</v>
      </c>
      <c r="E2984" s="135">
        <f t="shared" si="2158"/>
        <v>2</v>
      </c>
      <c r="F2984" s="124">
        <v>40995</v>
      </c>
      <c r="G2984" s="125">
        <v>41024</v>
      </c>
      <c r="H2984" s="117">
        <v>2610611</v>
      </c>
      <c r="I2984" s="124">
        <v>40995</v>
      </c>
      <c r="J2984" s="124">
        <v>41024</v>
      </c>
      <c r="K2984" s="126">
        <v>20000</v>
      </c>
      <c r="L2984" s="127" t="s">
        <v>571</v>
      </c>
      <c r="N2984" s="129" t="str">
        <f>IF(M2984&gt;1/1/1,"Y","N")</f>
        <v>N</v>
      </c>
      <c r="O2984" s="128" t="s">
        <v>917</v>
      </c>
      <c r="P2984" s="129" t="s">
        <v>589</v>
      </c>
      <c r="Q2984" s="111">
        <f t="shared" si="2170"/>
        <v>30</v>
      </c>
      <c r="R2984" s="111">
        <f t="shared" si="2145"/>
        <v>30</v>
      </c>
      <c r="S2984" s="129">
        <v>0</v>
      </c>
      <c r="T2984" s="129">
        <v>0</v>
      </c>
      <c r="W2984" s="111"/>
      <c r="AC2984" s="130"/>
      <c r="AD2984" s="130">
        <v>34213</v>
      </c>
      <c r="AE2984" s="128" t="s">
        <v>32</v>
      </c>
      <c r="AF2984" s="128" t="s">
        <v>33</v>
      </c>
      <c r="AG2984" s="128" t="s">
        <v>872</v>
      </c>
      <c r="AH2984" s="108" t="s">
        <v>31</v>
      </c>
      <c r="AI2984" s="128" t="s">
        <v>85</v>
      </c>
      <c r="AJ2984" s="129" t="s">
        <v>48</v>
      </c>
      <c r="AK2984" s="129">
        <v>2</v>
      </c>
      <c r="AL2984" s="3" t="s">
        <v>48</v>
      </c>
      <c r="AP2984" s="129" t="s">
        <v>56</v>
      </c>
      <c r="AR2984" s="128" t="s">
        <v>50</v>
      </c>
      <c r="AS2984" s="129" t="s">
        <v>57</v>
      </c>
      <c r="BC2984" s="129" t="s">
        <v>38</v>
      </c>
      <c r="BF2984" s="111">
        <f>IF(J2984&gt;1/1/1900,((J2984+1)-I2984),"STILL OPEN")</f>
        <v>30</v>
      </c>
      <c r="BG2984" s="111">
        <f t="shared" si="2175"/>
        <v>30</v>
      </c>
      <c r="BH2984" s="111">
        <f t="shared" si="2146"/>
        <v>30</v>
      </c>
      <c r="BI2984" s="111">
        <f t="shared" si="2148"/>
        <v>18.530054644808743</v>
      </c>
      <c r="BJ2984" s="129">
        <f t="shared" si="2159"/>
        <v>0</v>
      </c>
      <c r="BK2984" s="129">
        <f t="shared" si="2147"/>
        <v>0</v>
      </c>
      <c r="BL2984" s="129" t="str">
        <f t="shared" si="2144"/>
        <v>DEFERRED</v>
      </c>
      <c r="BM2984" s="129" t="str">
        <f t="shared" si="2149"/>
        <v>NONE</v>
      </c>
      <c r="BN2984" s="129" t="s">
        <v>566</v>
      </c>
      <c r="BP2984" s="137" t="str">
        <f t="shared" si="2150"/>
        <v>DEFERRED</v>
      </c>
      <c r="BQ2984" s="128" t="str">
        <f t="shared" si="2160"/>
        <v>Y</v>
      </c>
      <c r="BR2984" s="129" t="str">
        <f t="shared" si="2151"/>
        <v>DETAINED</v>
      </c>
      <c r="BS2984" s="129" t="str">
        <f t="shared" si="2152"/>
        <v>DISPOSED</v>
      </c>
      <c r="BT2984" s="129" t="str">
        <f t="shared" si="2153"/>
        <v>N</v>
      </c>
      <c r="BU2984" s="109">
        <f t="shared" si="2154"/>
        <v>1</v>
      </c>
      <c r="BV2984" s="109">
        <f t="shared" si="2161"/>
        <v>1</v>
      </c>
      <c r="BW2984" s="109">
        <f t="shared" si="2171"/>
        <v>0</v>
      </c>
      <c r="BX2984" s="111">
        <f t="shared" si="2155"/>
        <v>0</v>
      </c>
      <c r="BY2984" s="129">
        <f t="shared" si="2162"/>
        <v>-30</v>
      </c>
      <c r="BZ2984" s="111">
        <f t="shared" si="2163"/>
        <v>0</v>
      </c>
      <c r="CA2984" s="138">
        <f t="shared" si="2164"/>
        <v>30</v>
      </c>
      <c r="CB2984" s="111" t="e">
        <f>IF(AF2984&gt;1/1/1900,((AF2984+1)-AE2984),"STILL OPEN")</f>
        <v>#VALUE!</v>
      </c>
      <c r="CC2984" s="129">
        <f>G2984-I2984+1</f>
        <v>30</v>
      </c>
      <c r="CD2984" s="129">
        <f>G2984-J2984</f>
        <v>0</v>
      </c>
      <c r="CG2984" s="129" t="str">
        <f t="shared" si="2165"/>
        <v>N</v>
      </c>
      <c r="CI2984" s="129" t="str">
        <f t="shared" si="2167"/>
        <v>11-30 DAYS</v>
      </c>
      <c r="CJ2984" s="137">
        <f t="shared" si="2168"/>
        <v>2</v>
      </c>
      <c r="CK2984" s="129" t="str">
        <f t="shared" si="2169"/>
        <v>Booked</v>
      </c>
    </row>
    <row r="2985" spans="1:89" ht="15" customHeight="1" x14ac:dyDescent="0.25">
      <c r="A2985" s="111">
        <v>2150</v>
      </c>
      <c r="B2985" s="128" t="str">
        <f t="shared" si="2156"/>
        <v>N</v>
      </c>
      <c r="C2985" s="128" t="str">
        <f t="shared" si="2157"/>
        <v>N</v>
      </c>
      <c r="D2985" s="117">
        <v>2610667</v>
      </c>
      <c r="E2985" s="135">
        <f t="shared" si="2158"/>
        <v>1</v>
      </c>
      <c r="F2985" s="124">
        <v>40989</v>
      </c>
      <c r="G2985" s="125">
        <v>41023</v>
      </c>
      <c r="H2985" s="117">
        <v>2610667</v>
      </c>
      <c r="I2985" s="124" t="s">
        <v>562</v>
      </c>
      <c r="J2985" s="124" t="s">
        <v>562</v>
      </c>
      <c r="K2985" s="126">
        <v>20000</v>
      </c>
      <c r="L2985" s="127" t="s">
        <v>571</v>
      </c>
      <c r="M2985" s="125">
        <v>40990</v>
      </c>
      <c r="N2985" s="129" t="str">
        <f>IF(M2985&gt;1/1/1,"Y",IF(Q2985="0","","N"))</f>
        <v>Y</v>
      </c>
      <c r="O2985" s="128" t="s">
        <v>76</v>
      </c>
      <c r="P2985" s="129" t="s">
        <v>55</v>
      </c>
      <c r="Q2985" s="111">
        <f t="shared" si="2170"/>
        <v>0</v>
      </c>
      <c r="R2985" s="111">
        <f t="shared" si="2145"/>
        <v>35</v>
      </c>
      <c r="S2985" s="129">
        <v>0</v>
      </c>
      <c r="T2985" s="129">
        <v>0</v>
      </c>
      <c r="W2985" s="111"/>
      <c r="AC2985" s="130"/>
      <c r="AD2985" s="130">
        <v>34376</v>
      </c>
      <c r="AE2985" s="128" t="s">
        <v>32</v>
      </c>
      <c r="AF2985" s="128" t="s">
        <v>33</v>
      </c>
      <c r="AG2985" s="128" t="s">
        <v>872</v>
      </c>
      <c r="AH2985" s="108" t="s">
        <v>31</v>
      </c>
      <c r="AI2985" s="128" t="s">
        <v>83</v>
      </c>
      <c r="AJ2985" s="129" t="s">
        <v>55</v>
      </c>
      <c r="AK2985" s="129">
        <v>2</v>
      </c>
      <c r="AL2985" s="3" t="s">
        <v>55</v>
      </c>
      <c r="AP2985" s="129" t="s">
        <v>153</v>
      </c>
      <c r="AR2985" s="128" t="s">
        <v>92</v>
      </c>
      <c r="AS2985" s="129" t="s">
        <v>45</v>
      </c>
      <c r="BC2985" s="129" t="s">
        <v>52</v>
      </c>
      <c r="BF2985" s="111">
        <v>0</v>
      </c>
      <c r="BG2985" s="111">
        <v>0</v>
      </c>
      <c r="BH2985" s="111">
        <f t="shared" si="2146"/>
        <v>35</v>
      </c>
      <c r="BI2985" s="111">
        <f t="shared" si="2148"/>
        <v>18.068306010928961</v>
      </c>
      <c r="BJ2985" s="129" t="e">
        <f>(G2985-J2985)+(M2985-G2985)</f>
        <v>#VALUE!</v>
      </c>
      <c r="BK2985" s="129" t="e">
        <f t="shared" si="2147"/>
        <v>#VALUE!</v>
      </c>
      <c r="BL2985" s="129" t="str">
        <f t="shared" si="2144"/>
        <v>NO CONVICTION</v>
      </c>
      <c r="BM2985" s="129" t="s">
        <v>76</v>
      </c>
      <c r="BN2985" s="129" t="s">
        <v>88</v>
      </c>
      <c r="BP2985" s="137" t="str">
        <f t="shared" si="2150"/>
        <v>NO CONVICTION</v>
      </c>
      <c r="BQ2985" s="128">
        <f t="shared" si="2160"/>
        <v>0</v>
      </c>
      <c r="BR2985" s="129" t="s">
        <v>575</v>
      </c>
      <c r="BS2985" s="129" t="str">
        <f t="shared" si="2152"/>
        <v>DISPOSED</v>
      </c>
      <c r="BT2985" s="129" t="str">
        <f t="shared" si="2153"/>
        <v>N</v>
      </c>
      <c r="BU2985" s="109">
        <f>IFERROR(Q2985/R2985,BR2985)</f>
        <v>0</v>
      </c>
      <c r="BV2985" s="109">
        <v>0</v>
      </c>
      <c r="BW2985" s="109">
        <f t="shared" si="2171"/>
        <v>0</v>
      </c>
      <c r="BX2985" s="111">
        <f t="shared" si="2155"/>
        <v>0</v>
      </c>
      <c r="BY2985" s="129" t="e">
        <f t="shared" si="2162"/>
        <v>#VALUE!</v>
      </c>
      <c r="BZ2985" s="111" t="e">
        <f t="shared" si="2163"/>
        <v>#VALUE!</v>
      </c>
      <c r="CA2985" s="138" t="e">
        <f t="shared" si="2164"/>
        <v>#VALUE!</v>
      </c>
      <c r="CB2985" s="111">
        <v>0</v>
      </c>
      <c r="CC2985" s="129">
        <v>0</v>
      </c>
      <c r="CD2985" s="111">
        <f>CC2985-BF2985</f>
        <v>0</v>
      </c>
      <c r="CG2985" s="129" t="str">
        <f t="shared" si="2165"/>
        <v>N</v>
      </c>
      <c r="CI2985" s="129" t="str">
        <f t="shared" si="2167"/>
        <v>0-10 DAYS</v>
      </c>
      <c r="CJ2985" s="137">
        <f t="shared" si="2168"/>
        <v>1</v>
      </c>
      <c r="CK2985" s="129" t="str">
        <f t="shared" si="2169"/>
        <v>Not Booked</v>
      </c>
    </row>
    <row r="2986" spans="1:89" ht="15.75" customHeight="1" x14ac:dyDescent="0.25">
      <c r="A2986" s="111">
        <v>2152</v>
      </c>
      <c r="B2986" s="128" t="str">
        <f t="shared" si="2156"/>
        <v>N</v>
      </c>
      <c r="C2986" s="128" t="str">
        <f t="shared" si="2157"/>
        <v>N</v>
      </c>
      <c r="D2986" s="117">
        <v>2610692</v>
      </c>
      <c r="E2986" s="135">
        <f t="shared" si="2158"/>
        <v>2</v>
      </c>
      <c r="F2986" s="124">
        <v>40989</v>
      </c>
      <c r="G2986" s="125">
        <v>40991</v>
      </c>
      <c r="H2986" s="117">
        <v>2610692</v>
      </c>
      <c r="I2986" s="124">
        <v>40990</v>
      </c>
      <c r="J2986" s="124">
        <v>40991</v>
      </c>
      <c r="K2986" s="126">
        <v>2000</v>
      </c>
      <c r="L2986" s="127" t="s">
        <v>568</v>
      </c>
      <c r="N2986" s="129" t="str">
        <f>IF(M2986&gt;1/1/1,"Y","N")</f>
        <v>N</v>
      </c>
      <c r="O2986" s="128" t="s">
        <v>917</v>
      </c>
      <c r="P2986" s="129" t="s">
        <v>589</v>
      </c>
      <c r="Q2986" s="111">
        <f t="shared" si="2170"/>
        <v>2</v>
      </c>
      <c r="R2986" s="111">
        <f t="shared" si="2145"/>
        <v>3</v>
      </c>
      <c r="S2986" s="129">
        <v>0</v>
      </c>
      <c r="T2986" s="129">
        <v>0</v>
      </c>
      <c r="W2986" s="111"/>
      <c r="AC2986" s="130"/>
      <c r="AD2986" s="130">
        <v>34035</v>
      </c>
      <c r="AE2986" s="128" t="s">
        <v>32</v>
      </c>
      <c r="AF2986" s="128" t="s">
        <v>33</v>
      </c>
      <c r="AG2986" s="128" t="s">
        <v>872</v>
      </c>
      <c r="AH2986" s="108" t="s">
        <v>31</v>
      </c>
      <c r="AI2986" s="128" t="s">
        <v>118</v>
      </c>
      <c r="AJ2986" s="129" t="s">
        <v>48</v>
      </c>
      <c r="AK2986" s="129">
        <v>1</v>
      </c>
      <c r="AL2986" s="3" t="s">
        <v>48</v>
      </c>
      <c r="AP2986" s="129" t="s">
        <v>43</v>
      </c>
      <c r="AR2986" s="128" t="s">
        <v>44</v>
      </c>
      <c r="AS2986" s="129" t="s">
        <v>45</v>
      </c>
      <c r="BC2986" s="129" t="s">
        <v>38</v>
      </c>
      <c r="BF2986" s="111">
        <f>IF(J2986&gt;1/1/1900,((J2986+1)-I2986),"STILL OPEN")</f>
        <v>2</v>
      </c>
      <c r="BG2986" s="111">
        <f>IF(G2986&gt;1/1/1900,((G2986+1)-I2986),"STILL OPEN")</f>
        <v>2</v>
      </c>
      <c r="BH2986" s="111">
        <f t="shared" si="2146"/>
        <v>3</v>
      </c>
      <c r="BI2986" s="111">
        <f t="shared" si="2148"/>
        <v>19</v>
      </c>
      <c r="BJ2986" s="129">
        <f t="shared" si="2159"/>
        <v>0</v>
      </c>
      <c r="BK2986" s="129">
        <f t="shared" si="2147"/>
        <v>0</v>
      </c>
      <c r="BL2986" s="129" t="str">
        <f t="shared" si="2144"/>
        <v>DEFERRED</v>
      </c>
      <c r="BM2986" s="129" t="str">
        <f t="shared" si="2149"/>
        <v>NONE</v>
      </c>
      <c r="BN2986" s="129" t="s">
        <v>566</v>
      </c>
      <c r="BP2986" s="137" t="str">
        <f t="shared" si="2150"/>
        <v>DEFERRED</v>
      </c>
      <c r="BQ2986" s="128" t="str">
        <f t="shared" si="2160"/>
        <v>Y</v>
      </c>
      <c r="BR2986" s="129" t="str">
        <f t="shared" si="2151"/>
        <v>DETAINED</v>
      </c>
      <c r="BS2986" s="129" t="str">
        <f t="shared" si="2152"/>
        <v>DISPOSED</v>
      </c>
      <c r="BT2986" s="129" t="str">
        <f t="shared" si="2153"/>
        <v>N</v>
      </c>
      <c r="BU2986" s="109">
        <f t="shared" si="2154"/>
        <v>0.66666666666666663</v>
      </c>
      <c r="BV2986" s="109">
        <f t="shared" si="2161"/>
        <v>1</v>
      </c>
      <c r="BW2986" s="109">
        <f t="shared" si="2171"/>
        <v>0.33333333333333337</v>
      </c>
      <c r="BX2986" s="111">
        <f t="shared" si="2155"/>
        <v>0</v>
      </c>
      <c r="BY2986" s="129">
        <f t="shared" si="2162"/>
        <v>-2</v>
      </c>
      <c r="BZ2986" s="111">
        <f t="shared" si="2163"/>
        <v>0</v>
      </c>
      <c r="CA2986" s="138">
        <f t="shared" si="2164"/>
        <v>2</v>
      </c>
      <c r="CB2986" s="111" t="e">
        <f>IF(AF2986&gt;1/1/1900,((AF2986+1)-AE2986),"STILL OPEN")</f>
        <v>#VALUE!</v>
      </c>
      <c r="CC2986" s="129">
        <f>G2986-I2986+1</f>
        <v>2</v>
      </c>
      <c r="CD2986" s="129">
        <f>G2986-J2986</f>
        <v>0</v>
      </c>
      <c r="CG2986" s="129" t="str">
        <f t="shared" si="2165"/>
        <v>N</v>
      </c>
      <c r="CI2986" s="129" t="str">
        <f t="shared" si="2167"/>
        <v>0-10 DAYS</v>
      </c>
      <c r="CJ2986" s="137">
        <f t="shared" si="2168"/>
        <v>1</v>
      </c>
      <c r="CK2986" s="129" t="str">
        <f t="shared" si="2169"/>
        <v>Booked</v>
      </c>
    </row>
    <row r="2987" spans="1:89" ht="15.75" customHeight="1" x14ac:dyDescent="0.25">
      <c r="A2987" s="111">
        <v>2158</v>
      </c>
      <c r="B2987" s="128" t="str">
        <f t="shared" si="2156"/>
        <v>N</v>
      </c>
      <c r="C2987" s="128" t="str">
        <f t="shared" si="2157"/>
        <v>N</v>
      </c>
      <c r="D2987" s="117">
        <v>2610724</v>
      </c>
      <c r="E2987" s="135">
        <f t="shared" si="2158"/>
        <v>2</v>
      </c>
      <c r="F2987" s="124">
        <v>40990</v>
      </c>
      <c r="G2987" s="125">
        <v>41032</v>
      </c>
      <c r="H2987" s="117">
        <v>2610724</v>
      </c>
      <c r="I2987" s="124">
        <v>40990</v>
      </c>
      <c r="J2987" s="124">
        <v>41032</v>
      </c>
      <c r="K2987" s="126">
        <v>20000</v>
      </c>
      <c r="L2987" s="127" t="s">
        <v>571</v>
      </c>
      <c r="N2987" s="129" t="str">
        <f>IF(M2987&gt;1/1/1,"Y","N")</f>
        <v>N</v>
      </c>
      <c r="O2987" s="128" t="s">
        <v>917</v>
      </c>
      <c r="P2987" s="129" t="s">
        <v>589</v>
      </c>
      <c r="Q2987" s="111">
        <f t="shared" si="2170"/>
        <v>43</v>
      </c>
      <c r="R2987" s="111">
        <f t="shared" si="2145"/>
        <v>43</v>
      </c>
      <c r="S2987" s="129">
        <v>0</v>
      </c>
      <c r="T2987" s="129">
        <v>0</v>
      </c>
      <c r="W2987" s="111"/>
      <c r="AB2987" s="131" t="s">
        <v>112</v>
      </c>
      <c r="AC2987" s="130"/>
      <c r="AD2987" s="130">
        <v>34480</v>
      </c>
      <c r="AE2987" s="128" t="s">
        <v>32</v>
      </c>
      <c r="AF2987" s="128" t="s">
        <v>40</v>
      </c>
      <c r="AG2987" s="128" t="s">
        <v>41</v>
      </c>
      <c r="AH2987" s="108" t="s">
        <v>31</v>
      </c>
      <c r="AI2987" s="128" t="s">
        <v>80</v>
      </c>
      <c r="AJ2987" s="129" t="s">
        <v>48</v>
      </c>
      <c r="AK2987" s="129">
        <v>5</v>
      </c>
      <c r="AL2987" s="3" t="s">
        <v>48</v>
      </c>
      <c r="AP2987" s="129" t="s">
        <v>56</v>
      </c>
      <c r="AR2987" s="128" t="s">
        <v>50</v>
      </c>
      <c r="AS2987" s="129" t="s">
        <v>57</v>
      </c>
      <c r="BC2987" s="129" t="s">
        <v>38</v>
      </c>
      <c r="BF2987" s="111">
        <f>IF(J2987&gt;1/1/1900,((J2987+1)-I2987),"STILL OPEN")</f>
        <v>43</v>
      </c>
      <c r="BG2987" s="111">
        <f>IF(G2987&gt;1/1/1900,((G2987+1)-I2987),"STILL OPEN")</f>
        <v>43</v>
      </c>
      <c r="BH2987" s="111">
        <f t="shared" si="2146"/>
        <v>43</v>
      </c>
      <c r="BI2987" s="111">
        <f t="shared" si="2148"/>
        <v>17.78688524590164</v>
      </c>
      <c r="BJ2987" s="129">
        <f t="shared" si="2159"/>
        <v>0</v>
      </c>
      <c r="BK2987" s="129">
        <f t="shared" si="2147"/>
        <v>0</v>
      </c>
      <c r="BL2987" s="129" t="str">
        <f t="shared" si="2144"/>
        <v>DEFERRED</v>
      </c>
      <c r="BM2987" s="129" t="str">
        <f t="shared" si="2149"/>
        <v>NONE</v>
      </c>
      <c r="BN2987" s="129" t="s">
        <v>566</v>
      </c>
      <c r="BP2987" s="137" t="str">
        <f t="shared" si="2150"/>
        <v>DEFERRED</v>
      </c>
      <c r="BQ2987" s="128" t="str">
        <f t="shared" si="2160"/>
        <v>Y</v>
      </c>
      <c r="BR2987" s="129" t="str">
        <f t="shared" si="2151"/>
        <v>DETAINED</v>
      </c>
      <c r="BS2987" s="129" t="str">
        <f t="shared" si="2152"/>
        <v>DISPOSED</v>
      </c>
      <c r="BT2987" s="129" t="str">
        <f t="shared" si="2153"/>
        <v>N</v>
      </c>
      <c r="BU2987" s="109">
        <f t="shared" si="2154"/>
        <v>1</v>
      </c>
      <c r="BV2987" s="109">
        <f t="shared" si="2161"/>
        <v>1</v>
      </c>
      <c r="BW2987" s="109">
        <f t="shared" si="2171"/>
        <v>0</v>
      </c>
      <c r="BX2987" s="111">
        <f t="shared" si="2155"/>
        <v>0</v>
      </c>
      <c r="BY2987" s="129">
        <f t="shared" si="2162"/>
        <v>-43</v>
      </c>
      <c r="BZ2987" s="111">
        <f t="shared" si="2163"/>
        <v>0</v>
      </c>
      <c r="CA2987" s="138">
        <f t="shared" si="2164"/>
        <v>43</v>
      </c>
      <c r="CB2987" s="111" t="e">
        <f>IF(AF2987&gt;1/1/1900,((AF2987+1)-AE2987),"STILL OPEN")</f>
        <v>#VALUE!</v>
      </c>
      <c r="CC2987" s="129">
        <f>G2987-I2987+1</f>
        <v>43</v>
      </c>
      <c r="CD2987" s="129">
        <f>G2987-J2987</f>
        <v>0</v>
      </c>
      <c r="CG2987" s="129" t="str">
        <f t="shared" si="2165"/>
        <v>N</v>
      </c>
      <c r="CI2987" s="129" t="str">
        <f t="shared" si="2167"/>
        <v>31-60 DAYS</v>
      </c>
      <c r="CJ2987" s="137">
        <f t="shared" si="2168"/>
        <v>3</v>
      </c>
      <c r="CK2987" s="129" t="str">
        <f t="shared" si="2169"/>
        <v>Booked</v>
      </c>
    </row>
    <row r="2988" spans="1:89" ht="15" customHeight="1" x14ac:dyDescent="0.25">
      <c r="A2988" s="111">
        <v>2160</v>
      </c>
      <c r="B2988" s="128" t="str">
        <f t="shared" si="2156"/>
        <v>N</v>
      </c>
      <c r="C2988" s="128" t="str">
        <f t="shared" si="2157"/>
        <v>N</v>
      </c>
      <c r="D2988" s="117">
        <v>2610727</v>
      </c>
      <c r="E2988" s="135">
        <f t="shared" si="2158"/>
        <v>1</v>
      </c>
      <c r="F2988" s="124">
        <v>40990</v>
      </c>
      <c r="G2988" s="125">
        <v>40991</v>
      </c>
      <c r="H2988" s="117">
        <v>2610727</v>
      </c>
      <c r="I2988" s="124">
        <v>40990</v>
      </c>
      <c r="J2988" s="124">
        <v>40991</v>
      </c>
      <c r="K2988" s="126">
        <v>5500</v>
      </c>
      <c r="L2988" s="127" t="s">
        <v>570</v>
      </c>
      <c r="N2988" s="129" t="str">
        <f>IF(M2988&gt;1/1/1,"Y","N")</f>
        <v>N</v>
      </c>
      <c r="O2988" s="128" t="s">
        <v>917</v>
      </c>
      <c r="P2988" s="129" t="s">
        <v>55</v>
      </c>
      <c r="Q2988" s="111">
        <f t="shared" ref="Q2988:Q3009" si="2176">BF2988</f>
        <v>2</v>
      </c>
      <c r="R2988" s="111">
        <f t="shared" si="2145"/>
        <v>2</v>
      </c>
      <c r="S2988" s="129">
        <v>0</v>
      </c>
      <c r="T2988" s="129">
        <v>0</v>
      </c>
      <c r="W2988" s="111"/>
      <c r="AC2988" s="130"/>
      <c r="AD2988" s="130">
        <v>28096</v>
      </c>
      <c r="AE2988" s="128" t="s">
        <v>32</v>
      </c>
      <c r="AF2988" s="128" t="s">
        <v>33</v>
      </c>
      <c r="AG2988" s="128" t="s">
        <v>872</v>
      </c>
      <c r="AH2988" s="108" t="s">
        <v>31</v>
      </c>
      <c r="AI2988" s="128" t="s">
        <v>97</v>
      </c>
      <c r="AJ2988" s="129" t="s">
        <v>55</v>
      </c>
      <c r="AK2988" s="129">
        <v>1</v>
      </c>
      <c r="AL2988" s="3" t="s">
        <v>55</v>
      </c>
      <c r="AP2988" s="129" t="s">
        <v>117</v>
      </c>
      <c r="AR2988" s="128" t="s">
        <v>67</v>
      </c>
      <c r="AS2988" s="129" t="s">
        <v>45</v>
      </c>
      <c r="BC2988" s="129" t="s">
        <v>79</v>
      </c>
      <c r="BF2988" s="111">
        <f>IF(J2988&gt;1/1/1900,((J2988+1)-I2988),"STILL OPEN")</f>
        <v>2</v>
      </c>
      <c r="BG2988" s="111">
        <f>IF(G2988&gt;1/1/1900,((G2988+1)-I2988),"STILL OPEN")</f>
        <v>2</v>
      </c>
      <c r="BH2988" s="111">
        <f t="shared" si="2146"/>
        <v>2</v>
      </c>
      <c r="BI2988" s="111">
        <f t="shared" si="2148"/>
        <v>35.229508196721312</v>
      </c>
      <c r="BJ2988" s="129">
        <f t="shared" si="2159"/>
        <v>0</v>
      </c>
      <c r="BK2988" s="129">
        <f t="shared" si="2147"/>
        <v>0</v>
      </c>
      <c r="BL2988" s="129" t="str">
        <f t="shared" si="2144"/>
        <v>NO CONVICTION</v>
      </c>
      <c r="BM2988" s="129" t="str">
        <f t="shared" si="2149"/>
        <v>NONE</v>
      </c>
      <c r="BN2988" s="129" t="s">
        <v>566</v>
      </c>
      <c r="BP2988" s="137" t="str">
        <f t="shared" si="2150"/>
        <v>NO CONVICTION</v>
      </c>
      <c r="BQ2988" s="128" t="str">
        <f t="shared" si="2160"/>
        <v>Y</v>
      </c>
      <c r="BR2988" s="129" t="str">
        <f t="shared" si="2151"/>
        <v>DETAINED</v>
      </c>
      <c r="BS2988" s="129" t="str">
        <f t="shared" si="2152"/>
        <v>DISPOSED</v>
      </c>
      <c r="BT2988" s="129" t="str">
        <f t="shared" si="2153"/>
        <v>N</v>
      </c>
      <c r="BU2988" s="109">
        <f>IFERROR(Q2988/R2988,BR2988)</f>
        <v>1</v>
      </c>
      <c r="BV2988" s="109">
        <f t="shared" si="2161"/>
        <v>1</v>
      </c>
      <c r="BW2988" s="109">
        <f t="shared" si="2171"/>
        <v>0</v>
      </c>
      <c r="BX2988" s="111">
        <f t="shared" si="2155"/>
        <v>0</v>
      </c>
      <c r="BY2988" s="129">
        <f t="shared" si="2162"/>
        <v>-2</v>
      </c>
      <c r="BZ2988" s="111">
        <f t="shared" si="2163"/>
        <v>0</v>
      </c>
      <c r="CA2988" s="138">
        <f t="shared" si="2164"/>
        <v>2</v>
      </c>
      <c r="CB2988" s="111" t="e">
        <f>IF(AF2988&gt;1/1/1900,((AF2988+1)-AE2988),"STILL OPEN")</f>
        <v>#VALUE!</v>
      </c>
      <c r="CC2988" s="129">
        <f>G2988-I2988+1</f>
        <v>2</v>
      </c>
      <c r="CD2988" s="129">
        <f>G2988-J2988</f>
        <v>0</v>
      </c>
      <c r="CG2988" s="129" t="str">
        <f t="shared" si="2165"/>
        <v>N</v>
      </c>
      <c r="CI2988" s="129" t="str">
        <f t="shared" si="2167"/>
        <v>0-10 DAYS</v>
      </c>
      <c r="CJ2988" s="137">
        <f t="shared" si="2168"/>
        <v>1</v>
      </c>
      <c r="CK2988" s="129" t="str">
        <f t="shared" si="2169"/>
        <v>Booked</v>
      </c>
    </row>
    <row r="2989" spans="1:89" ht="15.75" customHeight="1" x14ac:dyDescent="0.25">
      <c r="A2989" s="111">
        <v>2166</v>
      </c>
      <c r="B2989" s="128" t="str">
        <f t="shared" si="2156"/>
        <v>N</v>
      </c>
      <c r="C2989" s="128" t="str">
        <f t="shared" si="2157"/>
        <v>N</v>
      </c>
      <c r="D2989" s="117">
        <v>2610740</v>
      </c>
      <c r="E2989" s="135">
        <f t="shared" si="2158"/>
        <v>2</v>
      </c>
      <c r="F2989" s="124">
        <v>40990</v>
      </c>
      <c r="G2989" s="125">
        <v>41219</v>
      </c>
      <c r="H2989" s="117">
        <v>2610740</v>
      </c>
      <c r="I2989" s="124">
        <v>41172</v>
      </c>
      <c r="J2989" s="125">
        <v>41219</v>
      </c>
      <c r="K2989" s="126">
        <v>65000</v>
      </c>
      <c r="L2989" s="129" t="s">
        <v>572</v>
      </c>
      <c r="N2989" s="129" t="str">
        <f>IF(M2989&gt;1/1/1,"Y","N")</f>
        <v>N</v>
      </c>
      <c r="O2989" s="128" t="s">
        <v>917</v>
      </c>
      <c r="P2989" s="129" t="s">
        <v>589</v>
      </c>
      <c r="Q2989" s="111">
        <f t="shared" si="2176"/>
        <v>48</v>
      </c>
      <c r="R2989" s="111">
        <f t="shared" si="2145"/>
        <v>230</v>
      </c>
      <c r="S2989" s="129">
        <v>0</v>
      </c>
      <c r="T2989" s="129">
        <v>0</v>
      </c>
      <c r="W2989" s="111"/>
      <c r="AC2989" s="130"/>
      <c r="AD2989" s="130">
        <v>33897</v>
      </c>
      <c r="AE2989" s="128" t="s">
        <v>32</v>
      </c>
      <c r="AF2989" s="128" t="s">
        <v>33</v>
      </c>
      <c r="AG2989" s="128" t="s">
        <v>872</v>
      </c>
      <c r="AH2989" s="108" t="s">
        <v>31</v>
      </c>
      <c r="AI2989" s="128" t="s">
        <v>34</v>
      </c>
      <c r="AJ2989" s="129" t="s">
        <v>48</v>
      </c>
      <c r="AK2989" s="129">
        <v>3</v>
      </c>
      <c r="AL2989" s="3" t="s">
        <v>48</v>
      </c>
      <c r="AP2989" s="129" t="s">
        <v>221</v>
      </c>
      <c r="AR2989" s="128" t="s">
        <v>67</v>
      </c>
      <c r="AS2989" s="129" t="s">
        <v>64</v>
      </c>
      <c r="BC2989" s="129" t="s">
        <v>38</v>
      </c>
      <c r="BF2989" s="111">
        <f>IF(J2989&gt;1/1/1900,((J2989+1)-I2989),"STILL OPEN")</f>
        <v>48</v>
      </c>
      <c r="BG2989" s="111">
        <f>IF(G2989&gt;1/1/1900,((G2989+1)-I2989),"STILL OPEN")</f>
        <v>48</v>
      </c>
      <c r="BH2989" s="111">
        <f t="shared" si="2146"/>
        <v>230</v>
      </c>
      <c r="BI2989" s="111">
        <f t="shared" si="2148"/>
        <v>19.379781420765028</v>
      </c>
      <c r="BJ2989" s="129">
        <f t="shared" si="2159"/>
        <v>0</v>
      </c>
      <c r="BK2989" s="129">
        <f t="shared" si="2147"/>
        <v>0</v>
      </c>
      <c r="BL2989" s="129" t="str">
        <f t="shared" si="2144"/>
        <v>DEFERRED</v>
      </c>
      <c r="BM2989" s="129" t="str">
        <f t="shared" si="2149"/>
        <v>NONE</v>
      </c>
      <c r="BN2989" s="129" t="s">
        <v>566</v>
      </c>
      <c r="BP2989" s="137" t="str">
        <f t="shared" si="2150"/>
        <v>DEFERRED</v>
      </c>
      <c r="BQ2989" s="128" t="str">
        <f t="shared" si="2160"/>
        <v>Y</v>
      </c>
      <c r="BR2989" s="129" t="str">
        <f t="shared" si="2151"/>
        <v>DETAINED</v>
      </c>
      <c r="BS2989" s="129" t="str">
        <f t="shared" si="2152"/>
        <v>DISPOSED</v>
      </c>
      <c r="BT2989" s="129" t="str">
        <f t="shared" si="2153"/>
        <v>N</v>
      </c>
      <c r="BU2989" s="109">
        <f t="shared" si="2154"/>
        <v>0.20869565217391303</v>
      </c>
      <c r="BV2989" s="109">
        <f t="shared" si="2161"/>
        <v>1</v>
      </c>
      <c r="BW2989" s="109">
        <f t="shared" si="2171"/>
        <v>0.79130434782608694</v>
      </c>
      <c r="BX2989" s="111">
        <f t="shared" si="2155"/>
        <v>0</v>
      </c>
      <c r="BY2989" s="129">
        <f t="shared" si="2162"/>
        <v>-48</v>
      </c>
      <c r="BZ2989" s="111">
        <f t="shared" si="2163"/>
        <v>0</v>
      </c>
      <c r="CA2989" s="138">
        <f t="shared" si="2164"/>
        <v>48</v>
      </c>
      <c r="CB2989" s="111" t="e">
        <f>IF(AF2989&gt;1/1/1900,((AF2989+1)-AE2989),"STILL OPEN")</f>
        <v>#VALUE!</v>
      </c>
      <c r="CC2989" s="129">
        <f>G2989-I2989+1</f>
        <v>48</v>
      </c>
      <c r="CD2989" s="129">
        <f>G2989-J2989</f>
        <v>0</v>
      </c>
      <c r="CG2989" s="129" t="str">
        <f t="shared" si="2165"/>
        <v>N</v>
      </c>
      <c r="CI2989" s="129" t="str">
        <f t="shared" si="2167"/>
        <v>31-60 DAYS</v>
      </c>
      <c r="CJ2989" s="137">
        <f t="shared" si="2168"/>
        <v>3</v>
      </c>
      <c r="CK2989" s="129" t="str">
        <f t="shared" si="2169"/>
        <v>Booked</v>
      </c>
    </row>
    <row r="2990" spans="1:89" ht="15.75" customHeight="1" x14ac:dyDescent="0.25">
      <c r="A2990" s="111">
        <v>2173</v>
      </c>
      <c r="B2990" s="128" t="str">
        <f t="shared" si="2156"/>
        <v>N</v>
      </c>
      <c r="C2990" s="128" t="str">
        <f t="shared" si="2157"/>
        <v>N</v>
      </c>
      <c r="D2990" s="117">
        <v>2610808</v>
      </c>
      <c r="E2990" s="135">
        <f t="shared" si="2158"/>
        <v>1</v>
      </c>
      <c r="F2990" s="124">
        <v>40990</v>
      </c>
      <c r="G2990" s="125">
        <v>40994</v>
      </c>
      <c r="H2990" s="117">
        <v>2610808</v>
      </c>
      <c r="I2990" s="124" t="s">
        <v>562</v>
      </c>
      <c r="J2990" s="124" t="s">
        <v>562</v>
      </c>
      <c r="K2990" s="126">
        <v>5000</v>
      </c>
      <c r="L2990" s="127" t="s">
        <v>569</v>
      </c>
      <c r="M2990" s="125">
        <v>40992</v>
      </c>
      <c r="N2990" s="129" t="str">
        <f>IF(M2990&gt;1/1/1,"Y",IF(Q2990="0","","N"))</f>
        <v>Y</v>
      </c>
      <c r="O2990" s="128" t="s">
        <v>76</v>
      </c>
      <c r="P2990" s="129" t="s">
        <v>55</v>
      </c>
      <c r="Q2990" s="111">
        <f t="shared" si="2176"/>
        <v>0</v>
      </c>
      <c r="R2990" s="111">
        <f t="shared" si="2145"/>
        <v>5</v>
      </c>
      <c r="S2990" s="129">
        <v>0</v>
      </c>
      <c r="T2990" s="129">
        <v>0</v>
      </c>
      <c r="W2990" s="111"/>
      <c r="AC2990" s="130"/>
      <c r="AD2990" s="130">
        <v>31356</v>
      </c>
      <c r="AE2990" s="128" t="s">
        <v>46</v>
      </c>
      <c r="AF2990" s="128" t="s">
        <v>69</v>
      </c>
      <c r="AG2990" s="128" t="s">
        <v>874</v>
      </c>
      <c r="AH2990" s="108" t="s">
        <v>31</v>
      </c>
      <c r="AI2990" s="128" t="s">
        <v>97</v>
      </c>
      <c r="AJ2990" s="129" t="s">
        <v>55</v>
      </c>
      <c r="AK2990" s="129">
        <v>1</v>
      </c>
      <c r="AL2990" s="3" t="s">
        <v>55</v>
      </c>
      <c r="AP2990" s="129" t="s">
        <v>109</v>
      </c>
      <c r="AR2990" s="128" t="s">
        <v>67</v>
      </c>
      <c r="AS2990" s="129" t="s">
        <v>61</v>
      </c>
      <c r="BC2990" s="129" t="s">
        <v>79</v>
      </c>
      <c r="BF2990" s="111">
        <v>0</v>
      </c>
      <c r="BG2990" s="111">
        <v>0</v>
      </c>
      <c r="BH2990" s="111">
        <f t="shared" si="2146"/>
        <v>5</v>
      </c>
      <c r="BI2990" s="111">
        <f t="shared" si="2148"/>
        <v>26.3224043715847</v>
      </c>
      <c r="BJ2990" s="129" t="e">
        <f>(G2990-J2990)+(M2990-G2990)</f>
        <v>#VALUE!</v>
      </c>
      <c r="BK2990" s="129" t="e">
        <f t="shared" si="2147"/>
        <v>#VALUE!</v>
      </c>
      <c r="BL2990" s="129" t="str">
        <f t="shared" si="2144"/>
        <v>NO CONVICTION</v>
      </c>
      <c r="BM2990" s="129" t="s">
        <v>76</v>
      </c>
      <c r="BN2990" s="129" t="s">
        <v>88</v>
      </c>
      <c r="BP2990" s="137" t="str">
        <f t="shared" si="2150"/>
        <v>NO CONVICTION</v>
      </c>
      <c r="BQ2990" s="128">
        <f t="shared" si="2160"/>
        <v>0</v>
      </c>
      <c r="BR2990" s="129" t="s">
        <v>575</v>
      </c>
      <c r="BS2990" s="129" t="str">
        <f t="shared" si="2152"/>
        <v>DISPOSED</v>
      </c>
      <c r="BT2990" s="129" t="str">
        <f t="shared" si="2153"/>
        <v>N</v>
      </c>
      <c r="BU2990" s="109">
        <f>IFERROR(Q2990/R2990,BR2990)</f>
        <v>0</v>
      </c>
      <c r="BV2990" s="109">
        <v>0</v>
      </c>
      <c r="BW2990" s="109">
        <f t="shared" si="2171"/>
        <v>0</v>
      </c>
      <c r="BX2990" s="111">
        <f t="shared" si="2155"/>
        <v>0</v>
      </c>
      <c r="BY2990" s="129" t="e">
        <f t="shared" si="2162"/>
        <v>#VALUE!</v>
      </c>
      <c r="BZ2990" s="111" t="e">
        <f t="shared" si="2163"/>
        <v>#VALUE!</v>
      </c>
      <c r="CA2990" s="138" t="e">
        <f t="shared" si="2164"/>
        <v>#VALUE!</v>
      </c>
      <c r="CB2990" s="111">
        <v>0</v>
      </c>
      <c r="CC2990" s="129">
        <v>0</v>
      </c>
      <c r="CD2990" s="111">
        <f>CC2990-BF2990</f>
        <v>0</v>
      </c>
      <c r="CG2990" s="129" t="str">
        <f t="shared" si="2165"/>
        <v>N</v>
      </c>
      <c r="CI2990" s="129" t="str">
        <f t="shared" si="2167"/>
        <v>0-10 DAYS</v>
      </c>
      <c r="CJ2990" s="137">
        <f t="shared" si="2168"/>
        <v>1</v>
      </c>
      <c r="CK2990" s="129" t="str">
        <f t="shared" si="2169"/>
        <v>Not Booked</v>
      </c>
    </row>
    <row r="2991" spans="1:89" ht="15.75" customHeight="1" x14ac:dyDescent="0.25">
      <c r="A2991" s="111">
        <v>2179</v>
      </c>
      <c r="B2991" s="128" t="str">
        <f t="shared" si="2156"/>
        <v>N</v>
      </c>
      <c r="C2991" s="128" t="str">
        <f t="shared" si="2157"/>
        <v>N</v>
      </c>
      <c r="D2991" s="117">
        <v>2610849</v>
      </c>
      <c r="E2991" s="135">
        <f t="shared" si="2158"/>
        <v>6</v>
      </c>
      <c r="F2991" s="124">
        <v>40990</v>
      </c>
      <c r="G2991" s="125">
        <v>41150</v>
      </c>
      <c r="H2991" s="117">
        <v>2610849</v>
      </c>
      <c r="I2991" s="124">
        <v>40991</v>
      </c>
      <c r="J2991" s="124">
        <v>40997</v>
      </c>
      <c r="K2991" s="126">
        <v>100000</v>
      </c>
      <c r="L2991" s="129" t="s">
        <v>572</v>
      </c>
      <c r="M2991" s="125">
        <v>40997</v>
      </c>
      <c r="N2991" s="129" t="str">
        <f>IF(M2991&gt;1/1/1,"Y","N")</f>
        <v>Y</v>
      </c>
      <c r="O2991" s="128" t="s">
        <v>76</v>
      </c>
      <c r="P2991" s="129" t="s">
        <v>39</v>
      </c>
      <c r="Q2991" s="111">
        <f t="shared" si="2176"/>
        <v>7</v>
      </c>
      <c r="R2991" s="111">
        <f t="shared" si="2145"/>
        <v>161</v>
      </c>
      <c r="S2991" s="129">
        <v>0</v>
      </c>
      <c r="T2991" s="129">
        <v>0</v>
      </c>
      <c r="W2991" s="111"/>
      <c r="AB2991" s="131" t="s">
        <v>112</v>
      </c>
      <c r="AC2991" s="130"/>
      <c r="AD2991" s="130">
        <v>20557</v>
      </c>
      <c r="AE2991" s="128" t="s">
        <v>32</v>
      </c>
      <c r="AF2991" s="128" t="s">
        <v>40</v>
      </c>
      <c r="AG2991" s="128" t="s">
        <v>41</v>
      </c>
      <c r="AH2991" s="108" t="s">
        <v>31</v>
      </c>
      <c r="AI2991" s="128" t="s">
        <v>114</v>
      </c>
      <c r="AJ2991" s="129" t="s">
        <v>89</v>
      </c>
      <c r="AK2991" s="129">
        <v>6</v>
      </c>
      <c r="AL2991" s="3" t="s">
        <v>362</v>
      </c>
      <c r="AM2991" s="114">
        <v>10</v>
      </c>
      <c r="AN2991" s="114"/>
      <c r="AP2991" s="129" t="s">
        <v>188</v>
      </c>
      <c r="AR2991" s="128" t="s">
        <v>67</v>
      </c>
      <c r="AS2991" s="129" t="s">
        <v>64</v>
      </c>
      <c r="BC2991" s="129" t="s">
        <v>52</v>
      </c>
      <c r="BF2991" s="111">
        <f>IF(J2991&gt;1/1/1900,((J2991+1)-I2991),"STILL OPEN")</f>
        <v>7</v>
      </c>
      <c r="BG2991" s="111">
        <f>IF(G2991&gt;1/1/1900,((G2991+1)-I2991),"STILL OPEN")</f>
        <v>160</v>
      </c>
      <c r="BH2991" s="111">
        <f t="shared" si="2146"/>
        <v>161</v>
      </c>
      <c r="BI2991" s="111">
        <f t="shared" si="2148"/>
        <v>55.827868852459019</v>
      </c>
      <c r="BJ2991" s="129">
        <f>(G2991-J2991)+(M2991-G2991)</f>
        <v>0</v>
      </c>
      <c r="BK2991" s="129">
        <f t="shared" si="2147"/>
        <v>-153</v>
      </c>
      <c r="BL2991" s="129" t="str">
        <f t="shared" si="2144"/>
        <v>CONVICTION</v>
      </c>
      <c r="BM2991" s="129" t="s">
        <v>76</v>
      </c>
      <c r="BN2991" s="129" t="s">
        <v>88</v>
      </c>
      <c r="BP2991" s="137" t="str">
        <f t="shared" si="2150"/>
        <v>CONVICTION</v>
      </c>
      <c r="BQ2991" s="128" t="str">
        <f t="shared" si="2160"/>
        <v>Y</v>
      </c>
      <c r="BR2991" s="129" t="str">
        <f>IF(J2991&lt;G2991,"ON BOND",0)</f>
        <v>ON BOND</v>
      </c>
      <c r="BS2991" s="129" t="str">
        <f t="shared" si="2152"/>
        <v>DISPOSED</v>
      </c>
      <c r="BT2991" s="129" t="str">
        <f t="shared" si="2153"/>
        <v>N</v>
      </c>
      <c r="BU2991" s="109">
        <f t="shared" si="2154"/>
        <v>4.3478260869565216E-2</v>
      </c>
      <c r="BV2991" s="109">
        <f t="shared" si="2161"/>
        <v>4.3749999999999997E-2</v>
      </c>
      <c r="BW2991" s="109">
        <f t="shared" si="2171"/>
        <v>2.7173913043478104E-4</v>
      </c>
      <c r="BX2991" s="111">
        <f t="shared" si="2155"/>
        <v>0</v>
      </c>
      <c r="BY2991" s="129">
        <f t="shared" si="2162"/>
        <v>-7</v>
      </c>
      <c r="BZ2991" s="111">
        <f t="shared" si="2163"/>
        <v>0</v>
      </c>
      <c r="CA2991" s="138">
        <f t="shared" si="2164"/>
        <v>7</v>
      </c>
      <c r="CB2991" s="111" t="e">
        <f>IF(AF2991&gt;1/1/1900,((AF2991+1)-AE2991),"STILL OPEN")</f>
        <v>#VALUE!</v>
      </c>
      <c r="CC2991" s="129">
        <f>M2991-I2991+1</f>
        <v>7</v>
      </c>
      <c r="CD2991" s="111">
        <f>CC2991-BF2991</f>
        <v>0</v>
      </c>
      <c r="CG2991" s="129" t="str">
        <f t="shared" si="2165"/>
        <v>N</v>
      </c>
      <c r="CI2991" s="129" t="str">
        <f t="shared" si="2167"/>
        <v>0-10 DAYS</v>
      </c>
      <c r="CJ2991" s="137">
        <f t="shared" si="2168"/>
        <v>1</v>
      </c>
      <c r="CK2991" s="129" t="str">
        <f t="shared" si="2169"/>
        <v>Booked</v>
      </c>
    </row>
    <row r="2992" spans="1:89" ht="15" customHeight="1" x14ac:dyDescent="0.25">
      <c r="A2992" s="111">
        <v>2183</v>
      </c>
      <c r="B2992" s="128" t="str">
        <f t="shared" si="2156"/>
        <v>N</v>
      </c>
      <c r="C2992" s="128" t="str">
        <f t="shared" si="2157"/>
        <v>N</v>
      </c>
      <c r="D2992" s="117">
        <v>2610871</v>
      </c>
      <c r="E2992" s="135">
        <f t="shared" si="2158"/>
        <v>1</v>
      </c>
      <c r="F2992" s="124">
        <v>40990</v>
      </c>
      <c r="G2992" s="125">
        <v>40994</v>
      </c>
      <c r="H2992" s="117">
        <v>2610871</v>
      </c>
      <c r="I2992" s="124" t="s">
        <v>562</v>
      </c>
      <c r="J2992" s="124" t="s">
        <v>562</v>
      </c>
      <c r="K2992" s="126">
        <v>80000</v>
      </c>
      <c r="L2992" s="129" t="s">
        <v>572</v>
      </c>
      <c r="N2992" s="124" t="s">
        <v>1343</v>
      </c>
      <c r="O2992" s="128" t="s">
        <v>917</v>
      </c>
      <c r="P2992" s="129" t="s">
        <v>55</v>
      </c>
      <c r="Q2992" s="111">
        <f t="shared" si="2176"/>
        <v>0</v>
      </c>
      <c r="R2992" s="111">
        <f t="shared" si="2145"/>
        <v>5</v>
      </c>
      <c r="S2992" s="129">
        <v>0</v>
      </c>
      <c r="T2992" s="129">
        <v>0</v>
      </c>
      <c r="W2992" s="111"/>
      <c r="AB2992" s="131" t="s">
        <v>112</v>
      </c>
      <c r="AC2992" s="130"/>
      <c r="AD2992" s="130">
        <v>33117</v>
      </c>
      <c r="AE2992" s="128" t="s">
        <v>32</v>
      </c>
      <c r="AF2992" s="128" t="s">
        <v>40</v>
      </c>
      <c r="AG2992" s="128" t="s">
        <v>41</v>
      </c>
      <c r="AH2992" s="108" t="s">
        <v>31</v>
      </c>
      <c r="AI2992" s="128" t="s">
        <v>141</v>
      </c>
      <c r="AJ2992" s="129" t="s">
        <v>55</v>
      </c>
      <c r="AK2992" s="129">
        <v>1</v>
      </c>
      <c r="AL2992" s="3" t="s">
        <v>55</v>
      </c>
      <c r="AP2992" s="129" t="s">
        <v>73</v>
      </c>
      <c r="AR2992" s="128" t="s">
        <v>50</v>
      </c>
      <c r="AS2992" s="129" t="s">
        <v>74</v>
      </c>
      <c r="BC2992" s="129" t="s">
        <v>79</v>
      </c>
      <c r="BF2992" s="111">
        <v>0</v>
      </c>
      <c r="BG2992" s="111">
        <v>0</v>
      </c>
      <c r="BH2992" s="111">
        <f t="shared" si="2146"/>
        <v>5</v>
      </c>
      <c r="BI2992" s="111">
        <f t="shared" si="2148"/>
        <v>21.510928961748633</v>
      </c>
      <c r="BJ2992" s="129" t="e">
        <f>(G2992-J2992)+(M2992-G2992)</f>
        <v>#VALUE!</v>
      </c>
      <c r="BK2992" s="129" t="e">
        <f t="shared" si="2147"/>
        <v>#VALUE!</v>
      </c>
      <c r="BL2992" s="129" t="str">
        <f t="shared" si="2144"/>
        <v>NO CONVICTION</v>
      </c>
      <c r="BM2992" s="129" t="str">
        <f t="shared" si="2149"/>
        <v>NONE</v>
      </c>
      <c r="BN2992" s="129" t="s">
        <v>566</v>
      </c>
      <c r="BP2992" s="137" t="str">
        <f t="shared" si="2150"/>
        <v>NO CONVICTION</v>
      </c>
      <c r="BQ2992" s="128">
        <f t="shared" si="2160"/>
        <v>0</v>
      </c>
      <c r="BR2992" s="129" t="s">
        <v>1345</v>
      </c>
      <c r="BS2992" s="129" t="str">
        <f t="shared" si="2152"/>
        <v>DISPOSED</v>
      </c>
      <c r="BT2992" s="129" t="str">
        <f t="shared" si="2153"/>
        <v>N</v>
      </c>
      <c r="BU2992" s="109">
        <f>IFERROR(Q2992/R2992,BR2992)</f>
        <v>0</v>
      </c>
      <c r="BV2992" s="109">
        <v>0</v>
      </c>
      <c r="BW2992" s="109">
        <f t="shared" si="2171"/>
        <v>0</v>
      </c>
      <c r="BX2992" s="111">
        <f t="shared" si="2155"/>
        <v>0</v>
      </c>
      <c r="BY2992" s="129" t="e">
        <f t="shared" si="2162"/>
        <v>#VALUE!</v>
      </c>
      <c r="BZ2992" s="111" t="e">
        <f t="shared" si="2163"/>
        <v>#VALUE!</v>
      </c>
      <c r="CA2992" s="138" t="e">
        <f t="shared" si="2164"/>
        <v>#VALUE!</v>
      </c>
      <c r="CB2992" s="111">
        <v>0</v>
      </c>
      <c r="CC2992" s="129">
        <v>0</v>
      </c>
      <c r="CG2992" s="129" t="str">
        <f t="shared" si="2165"/>
        <v>N</v>
      </c>
      <c r="CI2992" s="129" t="str">
        <f t="shared" si="2167"/>
        <v>0-10 DAYS</v>
      </c>
      <c r="CJ2992" s="137">
        <f t="shared" si="2168"/>
        <v>1</v>
      </c>
      <c r="CK2992" s="129" t="str">
        <f t="shared" si="2169"/>
        <v>Not Booked</v>
      </c>
    </row>
    <row r="2993" spans="1:89" ht="15.75" customHeight="1" x14ac:dyDescent="0.25">
      <c r="A2993" s="111">
        <v>2199</v>
      </c>
      <c r="B2993" s="128" t="str">
        <f t="shared" si="2156"/>
        <v>N</v>
      </c>
      <c r="C2993" s="128" t="str">
        <f t="shared" si="2157"/>
        <v>N</v>
      </c>
      <c r="D2993" s="114">
        <v>2610985</v>
      </c>
      <c r="E2993" s="135" t="str">
        <f t="shared" si="2158"/>
        <v/>
      </c>
      <c r="F2993" s="124">
        <v>40991</v>
      </c>
      <c r="G2993" s="125"/>
      <c r="H2993" s="114">
        <v>2610985</v>
      </c>
      <c r="I2993" s="124">
        <v>41934</v>
      </c>
      <c r="J2993" s="124"/>
      <c r="K2993" s="126" t="s">
        <v>564</v>
      </c>
      <c r="L2993" s="127" t="s">
        <v>564</v>
      </c>
      <c r="N2993" s="153" t="s">
        <v>566</v>
      </c>
      <c r="O2993" s="128" t="s">
        <v>917</v>
      </c>
      <c r="P2993" s="32" t="s">
        <v>31</v>
      </c>
      <c r="Q2993" s="111"/>
      <c r="R2993" s="111"/>
      <c r="S2993" s="129">
        <v>0</v>
      </c>
      <c r="T2993" s="129">
        <v>0</v>
      </c>
      <c r="W2993" s="111"/>
      <c r="AC2993" s="130"/>
      <c r="AD2993" s="130">
        <v>32819</v>
      </c>
      <c r="AE2993" s="128" t="s">
        <v>32</v>
      </c>
      <c r="AF2993" s="128" t="s">
        <v>69</v>
      </c>
      <c r="AG2993" s="128" t="s">
        <v>874</v>
      </c>
      <c r="AH2993" s="108" t="s">
        <v>31</v>
      </c>
      <c r="AI2993" s="128" t="s">
        <v>114</v>
      </c>
      <c r="AJ2993" s="129" t="s">
        <v>31</v>
      </c>
      <c r="AP2993" s="129" t="s">
        <v>179</v>
      </c>
      <c r="AR2993" s="128" t="s">
        <v>92</v>
      </c>
      <c r="AS2993" s="129" t="s">
        <v>180</v>
      </c>
      <c r="AY2993" s="123"/>
      <c r="BC2993" s="129" t="s">
        <v>38</v>
      </c>
      <c r="BF2993" s="111" t="s">
        <v>1399</v>
      </c>
      <c r="BG2993" s="111" t="s">
        <v>1400</v>
      </c>
      <c r="BH2993" s="111" t="s">
        <v>1401</v>
      </c>
      <c r="BI2993" s="111">
        <f t="shared" si="2148"/>
        <v>22.327868852459016</v>
      </c>
      <c r="BJ2993" s="129">
        <f>(G2993-J2993)+(M2993-G2993)</f>
        <v>0</v>
      </c>
      <c r="BK2993" s="129">
        <f t="shared" si="2147"/>
        <v>0</v>
      </c>
      <c r="BL2993" s="129">
        <f t="shared" si="2144"/>
        <v>0</v>
      </c>
      <c r="BM2993" s="129" t="str">
        <f t="shared" si="2149"/>
        <v>NONE</v>
      </c>
      <c r="BN2993" s="129" t="s">
        <v>566</v>
      </c>
      <c r="BP2993" s="137" t="str">
        <f t="shared" si="2150"/>
        <v/>
      </c>
      <c r="BQ2993" s="128" t="str">
        <f t="shared" si="2160"/>
        <v>Y</v>
      </c>
      <c r="BR2993" s="129" t="s">
        <v>1399</v>
      </c>
      <c r="BS2993" s="129" t="s">
        <v>588</v>
      </c>
      <c r="BT2993" s="129" t="str">
        <f t="shared" si="2153"/>
        <v>N</v>
      </c>
      <c r="BU2993" s="109" t="str">
        <f>IFERROR(Q2993/R2993,BR2993)</f>
        <v xml:space="preserve">STILL OPEN - </v>
      </c>
      <c r="BV2993" s="129" t="s">
        <v>588</v>
      </c>
      <c r="BW2993" s="109">
        <v>0</v>
      </c>
      <c r="BX2993" s="111" t="e">
        <f t="shared" si="2155"/>
        <v>#VALUE!</v>
      </c>
      <c r="BY2993" s="129">
        <f t="shared" si="2162"/>
        <v>41933</v>
      </c>
      <c r="BZ2993" s="111" t="e">
        <f t="shared" si="2163"/>
        <v>#VALUE!</v>
      </c>
      <c r="CA2993" s="138" t="e">
        <f t="shared" si="2164"/>
        <v>#VALUE!</v>
      </c>
      <c r="CB2993" s="111" t="s">
        <v>1399</v>
      </c>
      <c r="CC2993" s="129" t="s">
        <v>588</v>
      </c>
      <c r="CG2993" s="129" t="str">
        <f t="shared" si="2165"/>
        <v>N</v>
      </c>
      <c r="CH2993" s="129" t="e">
        <v>#N/A</v>
      </c>
      <c r="CI2993" s="129" t="str">
        <f t="shared" si="2167"/>
        <v>&gt;3YRS</v>
      </c>
      <c r="CJ2993" s="137">
        <f t="shared" si="2168"/>
        <v>9</v>
      </c>
      <c r="CK2993" s="129" t="str">
        <f t="shared" si="2169"/>
        <v>Booked</v>
      </c>
    </row>
    <row r="2994" spans="1:89" ht="15.75" customHeight="1" x14ac:dyDescent="0.25">
      <c r="A2994" s="111">
        <v>2206</v>
      </c>
      <c r="B2994" s="128" t="str">
        <f t="shared" si="2156"/>
        <v>N</v>
      </c>
      <c r="C2994" s="128" t="str">
        <f t="shared" si="2157"/>
        <v>N</v>
      </c>
      <c r="D2994" s="117">
        <v>2611012</v>
      </c>
      <c r="E2994" s="135">
        <f t="shared" si="2158"/>
        <v>6</v>
      </c>
      <c r="F2994" s="124">
        <v>40991</v>
      </c>
      <c r="G2994" s="125">
        <v>41214</v>
      </c>
      <c r="H2994" s="117">
        <v>2611012</v>
      </c>
      <c r="I2994" s="124">
        <v>40992</v>
      </c>
      <c r="J2994" s="125">
        <v>41214</v>
      </c>
      <c r="K2994" s="126">
        <v>80000</v>
      </c>
      <c r="L2994" s="129" t="s">
        <v>572</v>
      </c>
      <c r="N2994" s="129" t="str">
        <f>IF(M2994&gt;1/1/1,"Y","N")</f>
        <v>N</v>
      </c>
      <c r="O2994" s="128" t="s">
        <v>917</v>
      </c>
      <c r="P2994" s="129" t="s">
        <v>39</v>
      </c>
      <c r="Q2994" s="111">
        <f t="shared" si="2176"/>
        <v>223</v>
      </c>
      <c r="R2994" s="111">
        <f t="shared" si="2145"/>
        <v>224</v>
      </c>
      <c r="S2994" s="129">
        <v>0</v>
      </c>
      <c r="T2994" s="129">
        <v>0</v>
      </c>
      <c r="W2994" s="111"/>
      <c r="AB2994" s="131" t="s">
        <v>112</v>
      </c>
      <c r="AC2994" s="130"/>
      <c r="AD2994" s="130">
        <v>33866</v>
      </c>
      <c r="AE2994" s="128" t="s">
        <v>32</v>
      </c>
      <c r="AF2994" s="128" t="s">
        <v>40</v>
      </c>
      <c r="AG2994" s="128" t="s">
        <v>41</v>
      </c>
      <c r="AH2994" s="108" t="s">
        <v>31</v>
      </c>
      <c r="AI2994" s="128" t="s">
        <v>118</v>
      </c>
      <c r="AJ2994" s="129" t="s">
        <v>89</v>
      </c>
      <c r="AK2994" s="129">
        <v>9</v>
      </c>
      <c r="AL2994" s="3" t="s">
        <v>362</v>
      </c>
      <c r="AM2994" s="117">
        <v>2</v>
      </c>
      <c r="AP2994" s="129" t="s">
        <v>125</v>
      </c>
      <c r="AR2994" s="128" t="s">
        <v>50</v>
      </c>
      <c r="AS2994" s="129" t="s">
        <v>126</v>
      </c>
      <c r="BC2994" s="129" t="s">
        <v>52</v>
      </c>
      <c r="BF2994" s="111">
        <f t="shared" ref="BF2994:BF3000" si="2177">IF(J2994&gt;1/1/1900,((J2994+1)-I2994),"STILL OPEN")</f>
        <v>223</v>
      </c>
      <c r="BG2994" s="111">
        <f t="shared" ref="BG2994:BG3000" si="2178">IF(G2994&gt;1/1/1900,((G2994+1)-I2994),"STILL OPEN")</f>
        <v>223</v>
      </c>
      <c r="BH2994" s="111">
        <f t="shared" si="2146"/>
        <v>224</v>
      </c>
      <c r="BI2994" s="111">
        <f t="shared" si="2148"/>
        <v>19.467213114754099</v>
      </c>
      <c r="BJ2994" s="129">
        <f t="shared" si="2159"/>
        <v>0</v>
      </c>
      <c r="BK2994" s="129">
        <f t="shared" si="2147"/>
        <v>0</v>
      </c>
      <c r="BL2994" s="129" t="str">
        <f t="shared" si="2144"/>
        <v>CONVICTION</v>
      </c>
      <c r="BM2994" s="129" t="str">
        <f t="shared" si="2149"/>
        <v>NONE</v>
      </c>
      <c r="BN2994" s="129" t="s">
        <v>566</v>
      </c>
      <c r="BP2994" s="137" t="str">
        <f t="shared" si="2150"/>
        <v>CONVICTION</v>
      </c>
      <c r="BQ2994" s="128" t="str">
        <f t="shared" si="2160"/>
        <v>Y</v>
      </c>
      <c r="BR2994" s="129" t="str">
        <f t="shared" si="2151"/>
        <v>DETAINED</v>
      </c>
      <c r="BS2994" s="129" t="str">
        <f t="shared" si="2152"/>
        <v>DISPOSED</v>
      </c>
      <c r="BT2994" s="129" t="str">
        <f t="shared" si="2153"/>
        <v>N</v>
      </c>
      <c r="BU2994" s="109">
        <f t="shared" si="2154"/>
        <v>0.9955357142857143</v>
      </c>
      <c r="BV2994" s="109">
        <f t="shared" si="2161"/>
        <v>1</v>
      </c>
      <c r="BW2994" s="109">
        <f t="shared" ref="BW2994:BW3014" si="2179">BV2994-BU2994</f>
        <v>4.4642857142856984E-3</v>
      </c>
      <c r="BX2994" s="111">
        <f t="shared" si="2155"/>
        <v>0</v>
      </c>
      <c r="BY2994" s="129">
        <f t="shared" si="2162"/>
        <v>-223</v>
      </c>
      <c r="BZ2994" s="111">
        <f t="shared" si="2163"/>
        <v>0</v>
      </c>
      <c r="CA2994" s="138">
        <f t="shared" si="2164"/>
        <v>223</v>
      </c>
      <c r="CB2994" s="111" t="e">
        <f t="shared" ref="CB2994:CB3000" si="2180">IF(AF2994&gt;1/1/1900,((AF2994+1)-AE2994),"STILL OPEN")</f>
        <v>#VALUE!</v>
      </c>
      <c r="CC2994" s="129">
        <f>G2994-I2994+1</f>
        <v>223</v>
      </c>
      <c r="CD2994" s="129">
        <f>G2994-J2994</f>
        <v>0</v>
      </c>
      <c r="CG2994" s="129" t="str">
        <f t="shared" si="2165"/>
        <v>N</v>
      </c>
      <c r="CI2994" s="129" t="str">
        <f t="shared" si="2167"/>
        <v>121-365 DAYS</v>
      </c>
      <c r="CJ2994" s="137">
        <f t="shared" si="2168"/>
        <v>6</v>
      </c>
      <c r="CK2994" s="129" t="str">
        <f t="shared" si="2169"/>
        <v>Booked</v>
      </c>
    </row>
    <row r="2995" spans="1:89" ht="15" customHeight="1" x14ac:dyDescent="0.25">
      <c r="A2995" s="111">
        <v>2212</v>
      </c>
      <c r="B2995" s="128" t="str">
        <f t="shared" si="2156"/>
        <v>N</v>
      </c>
      <c r="C2995" s="128" t="str">
        <f t="shared" si="2157"/>
        <v>N</v>
      </c>
      <c r="D2995" s="117">
        <v>2611022</v>
      </c>
      <c r="E2995" s="135">
        <f t="shared" si="2158"/>
        <v>2</v>
      </c>
      <c r="F2995" s="124">
        <v>40992</v>
      </c>
      <c r="G2995" s="125">
        <v>41032</v>
      </c>
      <c r="H2995" s="117">
        <v>2611022</v>
      </c>
      <c r="I2995" s="124">
        <v>40992</v>
      </c>
      <c r="J2995" s="124">
        <v>40994</v>
      </c>
      <c r="K2995" s="126">
        <v>2000</v>
      </c>
      <c r="L2995" s="127" t="s">
        <v>568</v>
      </c>
      <c r="M2995" s="125">
        <v>40994</v>
      </c>
      <c r="N2995" s="129" t="str">
        <f>IF(M2995&gt;1/1/1,"Y","N")</f>
        <v>Y</v>
      </c>
      <c r="O2995" s="112" t="s">
        <v>160</v>
      </c>
      <c r="P2995" s="129" t="s">
        <v>589</v>
      </c>
      <c r="Q2995" s="111">
        <f t="shared" si="2176"/>
        <v>3</v>
      </c>
      <c r="R2995" s="111">
        <f t="shared" si="2145"/>
        <v>41</v>
      </c>
      <c r="S2995" s="129">
        <v>0</v>
      </c>
      <c r="T2995" s="129">
        <v>0</v>
      </c>
      <c r="W2995" s="111"/>
      <c r="AB2995" s="131" t="s">
        <v>112</v>
      </c>
      <c r="AC2995" s="130"/>
      <c r="AD2995" s="130">
        <v>33498</v>
      </c>
      <c r="AE2995" s="128" t="s">
        <v>32</v>
      </c>
      <c r="AF2995" s="128" t="s">
        <v>40</v>
      </c>
      <c r="AG2995" s="128" t="s">
        <v>41</v>
      </c>
      <c r="AH2995" s="108" t="s">
        <v>31</v>
      </c>
      <c r="AI2995" s="128" t="s">
        <v>70</v>
      </c>
      <c r="AJ2995" s="129" t="s">
        <v>48</v>
      </c>
      <c r="AK2995" s="129">
        <v>3</v>
      </c>
      <c r="AL2995" s="3" t="s">
        <v>48</v>
      </c>
      <c r="AP2995" s="129" t="s">
        <v>107</v>
      </c>
      <c r="AR2995" s="128" t="s">
        <v>44</v>
      </c>
      <c r="AS2995" s="129" t="s">
        <v>57</v>
      </c>
      <c r="BC2995" s="129" t="s">
        <v>38</v>
      </c>
      <c r="BF2995" s="111">
        <f t="shared" si="2177"/>
        <v>3</v>
      </c>
      <c r="BG2995" s="111">
        <f t="shared" si="2178"/>
        <v>41</v>
      </c>
      <c r="BH2995" s="111">
        <f t="shared" si="2146"/>
        <v>41</v>
      </c>
      <c r="BI2995" s="111">
        <f t="shared" si="2148"/>
        <v>20.475409836065573</v>
      </c>
      <c r="BJ2995" s="129">
        <f>(G2995-J2995)+(M2995-G2995)</f>
        <v>0</v>
      </c>
      <c r="BK2995" s="129">
        <f t="shared" si="2147"/>
        <v>-38</v>
      </c>
      <c r="BL2995" s="129" t="str">
        <f t="shared" si="2144"/>
        <v>DEFERRED</v>
      </c>
      <c r="BM2995" s="129" t="s">
        <v>160</v>
      </c>
      <c r="BN2995" s="129" t="s">
        <v>88</v>
      </c>
      <c r="BP2995" s="137" t="str">
        <f t="shared" si="2150"/>
        <v>DEFERRED</v>
      </c>
      <c r="BQ2995" s="128" t="str">
        <f t="shared" si="2160"/>
        <v>Y</v>
      </c>
      <c r="BR2995" s="129" t="str">
        <f t="shared" si="2151"/>
        <v>ON BOND</v>
      </c>
      <c r="BS2995" s="129" t="str">
        <f t="shared" si="2152"/>
        <v>DISPOSED</v>
      </c>
      <c r="BT2995" s="129" t="str">
        <f t="shared" si="2153"/>
        <v>N</v>
      </c>
      <c r="BU2995" s="109">
        <f t="shared" si="2154"/>
        <v>7.3170731707317069E-2</v>
      </c>
      <c r="BV2995" s="109">
        <f t="shared" si="2161"/>
        <v>7.3170731707317069E-2</v>
      </c>
      <c r="BW2995" s="109">
        <f t="shared" si="2179"/>
        <v>0</v>
      </c>
      <c r="BX2995" s="111">
        <f t="shared" si="2155"/>
        <v>0</v>
      </c>
      <c r="BY2995" s="129">
        <f t="shared" si="2162"/>
        <v>-3</v>
      </c>
      <c r="BZ2995" s="111">
        <f t="shared" si="2163"/>
        <v>0</v>
      </c>
      <c r="CA2995" s="138">
        <f t="shared" si="2164"/>
        <v>3</v>
      </c>
      <c r="CB2995" s="111" t="e">
        <f t="shared" si="2180"/>
        <v>#VALUE!</v>
      </c>
      <c r="CC2995" s="129">
        <f>M2995-I2995+1</f>
        <v>3</v>
      </c>
      <c r="CD2995" s="111">
        <f>CC2995-BF2995</f>
        <v>0</v>
      </c>
      <c r="CG2995" s="129" t="str">
        <f t="shared" si="2165"/>
        <v>N</v>
      </c>
      <c r="CI2995" s="129" t="str">
        <f t="shared" si="2167"/>
        <v>0-10 DAYS</v>
      </c>
      <c r="CJ2995" s="137">
        <f t="shared" si="2168"/>
        <v>1</v>
      </c>
      <c r="CK2995" s="129" t="str">
        <f t="shared" si="2169"/>
        <v>Booked</v>
      </c>
    </row>
    <row r="2996" spans="1:89" ht="15" customHeight="1" x14ac:dyDescent="0.25">
      <c r="A2996" s="111">
        <v>2219</v>
      </c>
      <c r="B2996" s="128" t="str">
        <f t="shared" si="2156"/>
        <v>N</v>
      </c>
      <c r="C2996" s="128" t="str">
        <f t="shared" si="2157"/>
        <v>N</v>
      </c>
      <c r="D2996" s="117">
        <v>2611049</v>
      </c>
      <c r="E2996" s="135">
        <f t="shared" si="2158"/>
        <v>6</v>
      </c>
      <c r="F2996" s="124">
        <v>40992</v>
      </c>
      <c r="G2996" s="125">
        <v>41152</v>
      </c>
      <c r="H2996" s="117">
        <v>2611049</v>
      </c>
      <c r="I2996" s="124">
        <v>40992</v>
      </c>
      <c r="J2996" s="124">
        <v>41152</v>
      </c>
      <c r="K2996" s="126" t="s">
        <v>564</v>
      </c>
      <c r="L2996" s="127" t="s">
        <v>564</v>
      </c>
      <c r="N2996" s="129" t="s">
        <v>566</v>
      </c>
      <c r="O2996" s="128" t="s">
        <v>917</v>
      </c>
      <c r="P2996" s="129" t="s">
        <v>39</v>
      </c>
      <c r="Q2996" s="111">
        <f t="shared" si="2176"/>
        <v>161</v>
      </c>
      <c r="R2996" s="111">
        <f t="shared" si="2145"/>
        <v>161</v>
      </c>
      <c r="S2996" s="129">
        <v>0</v>
      </c>
      <c r="T2996" s="129">
        <v>0</v>
      </c>
      <c r="W2996" s="111"/>
      <c r="AB2996" s="131" t="s">
        <v>112</v>
      </c>
      <c r="AC2996" s="130"/>
      <c r="AD2996" s="130">
        <v>29887</v>
      </c>
      <c r="AE2996" s="128" t="s">
        <v>32</v>
      </c>
      <c r="AF2996" s="128" t="s">
        <v>40</v>
      </c>
      <c r="AG2996" s="128" t="s">
        <v>41</v>
      </c>
      <c r="AH2996" s="108" t="s">
        <v>31</v>
      </c>
      <c r="AI2996" s="128" t="s">
        <v>42</v>
      </c>
      <c r="AJ2996" s="129" t="s">
        <v>89</v>
      </c>
      <c r="AK2996" s="129">
        <v>7</v>
      </c>
      <c r="AL2996" s="3" t="s">
        <v>362</v>
      </c>
      <c r="AM2996" s="117">
        <v>2</v>
      </c>
      <c r="AP2996" s="129" t="s">
        <v>110</v>
      </c>
      <c r="AR2996" s="128" t="s">
        <v>50</v>
      </c>
      <c r="AS2996" s="129" t="s">
        <v>74</v>
      </c>
      <c r="BC2996" s="129" t="s">
        <v>52</v>
      </c>
      <c r="BF2996" s="111">
        <f t="shared" si="2177"/>
        <v>161</v>
      </c>
      <c r="BG2996" s="111">
        <f t="shared" si="2178"/>
        <v>161</v>
      </c>
      <c r="BH2996" s="111">
        <f t="shared" si="2146"/>
        <v>161</v>
      </c>
      <c r="BI2996" s="111">
        <f t="shared" si="2148"/>
        <v>30.34153005464481</v>
      </c>
      <c r="BJ2996" s="129">
        <f t="shared" si="2159"/>
        <v>0</v>
      </c>
      <c r="BK2996" s="129">
        <f t="shared" si="2147"/>
        <v>0</v>
      </c>
      <c r="BL2996" s="129" t="str">
        <f t="shared" si="2144"/>
        <v>CONVICTION</v>
      </c>
      <c r="BM2996" s="129" t="str">
        <f t="shared" si="2149"/>
        <v>NONE</v>
      </c>
      <c r="BN2996" s="129" t="s">
        <v>566</v>
      </c>
      <c r="BP2996" s="137" t="str">
        <f t="shared" si="2150"/>
        <v>CONVICTION</v>
      </c>
      <c r="BQ2996" s="128" t="str">
        <f t="shared" si="2160"/>
        <v>Y</v>
      </c>
      <c r="BR2996" s="129" t="str">
        <f t="shared" si="2151"/>
        <v>DETAINED</v>
      </c>
      <c r="BS2996" s="129" t="str">
        <f t="shared" si="2152"/>
        <v>DISPOSED</v>
      </c>
      <c r="BT2996" s="129" t="str">
        <f t="shared" si="2153"/>
        <v>N</v>
      </c>
      <c r="BU2996" s="109">
        <f t="shared" si="2154"/>
        <v>1</v>
      </c>
      <c r="BV2996" s="109">
        <f t="shared" si="2161"/>
        <v>1</v>
      </c>
      <c r="BW2996" s="109">
        <f t="shared" si="2179"/>
        <v>0</v>
      </c>
      <c r="BX2996" s="111">
        <f t="shared" si="2155"/>
        <v>0</v>
      </c>
      <c r="BY2996" s="129">
        <f t="shared" si="2162"/>
        <v>-161</v>
      </c>
      <c r="BZ2996" s="111">
        <f t="shared" si="2163"/>
        <v>0</v>
      </c>
      <c r="CA2996" s="138">
        <f t="shared" si="2164"/>
        <v>161</v>
      </c>
      <c r="CB2996" s="111" t="e">
        <f t="shared" si="2180"/>
        <v>#VALUE!</v>
      </c>
      <c r="CC2996" s="129">
        <f>G2996-I2996+1</f>
        <v>161</v>
      </c>
      <c r="CD2996" s="129">
        <f>G2996-J2996</f>
        <v>0</v>
      </c>
      <c r="CG2996" s="129" t="str">
        <f t="shared" si="2165"/>
        <v>N</v>
      </c>
      <c r="CI2996" s="129" t="str">
        <f t="shared" si="2167"/>
        <v>121-365 DAYS</v>
      </c>
      <c r="CJ2996" s="137">
        <f t="shared" si="2168"/>
        <v>6</v>
      </c>
      <c r="CK2996" s="129" t="str">
        <f t="shared" si="2169"/>
        <v>Booked</v>
      </c>
    </row>
    <row r="2997" spans="1:89" ht="15.75" customHeight="1" x14ac:dyDescent="0.25">
      <c r="A2997" s="111">
        <v>2222</v>
      </c>
      <c r="B2997" s="128" t="str">
        <f t="shared" si="2156"/>
        <v>N</v>
      </c>
      <c r="C2997" s="128" t="str">
        <f t="shared" si="2157"/>
        <v>N</v>
      </c>
      <c r="D2997" s="117">
        <v>2611065</v>
      </c>
      <c r="E2997" s="135">
        <f t="shared" si="2158"/>
        <v>1</v>
      </c>
      <c r="F2997" s="124">
        <v>40992</v>
      </c>
      <c r="G2997" s="125">
        <v>41086</v>
      </c>
      <c r="H2997" s="117">
        <v>2611065</v>
      </c>
      <c r="I2997" s="124">
        <v>40992</v>
      </c>
      <c r="J2997" s="124">
        <v>41086</v>
      </c>
      <c r="K2997" s="126" t="s">
        <v>564</v>
      </c>
      <c r="L2997" s="127" t="s">
        <v>564</v>
      </c>
      <c r="N2997" s="129" t="s">
        <v>566</v>
      </c>
      <c r="O2997" s="128" t="s">
        <v>917</v>
      </c>
      <c r="P2997" s="129" t="s">
        <v>123</v>
      </c>
      <c r="Q2997" s="111">
        <f t="shared" si="2176"/>
        <v>95</v>
      </c>
      <c r="R2997" s="111">
        <f t="shared" si="2145"/>
        <v>95</v>
      </c>
      <c r="S2997" s="129">
        <v>0</v>
      </c>
      <c r="T2997" s="129">
        <v>0</v>
      </c>
      <c r="W2997" s="111"/>
      <c r="AC2997" s="130"/>
      <c r="AD2997" s="130">
        <v>34359</v>
      </c>
      <c r="AE2997" s="128" t="s">
        <v>46</v>
      </c>
      <c r="AF2997" s="128" t="s">
        <v>33</v>
      </c>
      <c r="AG2997" s="128" t="s">
        <v>872</v>
      </c>
      <c r="AH2997" s="108" t="s">
        <v>31</v>
      </c>
      <c r="AI2997" s="128" t="s">
        <v>141</v>
      </c>
      <c r="AJ2997" s="129" t="s">
        <v>123</v>
      </c>
      <c r="AK2997" s="129">
        <v>4</v>
      </c>
      <c r="AL2997" s="3" t="s">
        <v>123</v>
      </c>
      <c r="AP2997" s="129" t="s">
        <v>110</v>
      </c>
      <c r="AR2997" s="128" t="s">
        <v>50</v>
      </c>
      <c r="AS2997" s="129" t="s">
        <v>74</v>
      </c>
      <c r="BC2997" s="129" t="s">
        <v>38</v>
      </c>
      <c r="BF2997" s="111">
        <f t="shared" si="2177"/>
        <v>95</v>
      </c>
      <c r="BG2997" s="111">
        <f t="shared" si="2178"/>
        <v>95</v>
      </c>
      <c r="BH2997" s="111">
        <f t="shared" si="2146"/>
        <v>95</v>
      </c>
      <c r="BI2997" s="111">
        <f t="shared" si="2148"/>
        <v>18.122950819672131</v>
      </c>
      <c r="BJ2997" s="129">
        <f t="shared" si="2159"/>
        <v>0</v>
      </c>
      <c r="BK2997" s="129">
        <f t="shared" si="2147"/>
        <v>0</v>
      </c>
      <c r="BL2997" s="129" t="str">
        <f t="shared" si="2144"/>
        <v>NO CONVICTION</v>
      </c>
      <c r="BM2997" s="129" t="str">
        <f t="shared" si="2149"/>
        <v>NONE</v>
      </c>
      <c r="BN2997" s="129" t="s">
        <v>566</v>
      </c>
      <c r="BP2997" s="137" t="str">
        <f t="shared" si="2150"/>
        <v>NO CONVICTION</v>
      </c>
      <c r="BQ2997" s="128" t="str">
        <f t="shared" si="2160"/>
        <v>Y</v>
      </c>
      <c r="BR2997" s="129" t="str">
        <f t="shared" si="2151"/>
        <v>DETAINED</v>
      </c>
      <c r="BS2997" s="129" t="str">
        <f t="shared" si="2152"/>
        <v>DISPOSED</v>
      </c>
      <c r="BT2997" s="129" t="str">
        <f t="shared" si="2153"/>
        <v>N</v>
      </c>
      <c r="BU2997" s="109">
        <f>IFERROR(Q2997/R2997,BR2997)</f>
        <v>1</v>
      </c>
      <c r="BV2997" s="109">
        <f t="shared" si="2161"/>
        <v>1</v>
      </c>
      <c r="BW2997" s="109">
        <f t="shared" si="2179"/>
        <v>0</v>
      </c>
      <c r="BX2997" s="111">
        <f t="shared" si="2155"/>
        <v>0</v>
      </c>
      <c r="BY2997" s="129">
        <f t="shared" si="2162"/>
        <v>-95</v>
      </c>
      <c r="BZ2997" s="111">
        <f t="shared" si="2163"/>
        <v>0</v>
      </c>
      <c r="CA2997" s="138">
        <f t="shared" si="2164"/>
        <v>95</v>
      </c>
      <c r="CB2997" s="111" t="e">
        <f t="shared" si="2180"/>
        <v>#VALUE!</v>
      </c>
      <c r="CC2997" s="129">
        <f>G2997-I2997+1</f>
        <v>95</v>
      </c>
      <c r="CD2997" s="129">
        <f>G2997-J2997</f>
        <v>0</v>
      </c>
      <c r="CG2997" s="129" t="str">
        <f t="shared" si="2165"/>
        <v>N</v>
      </c>
      <c r="CI2997" s="129" t="str">
        <f t="shared" si="2167"/>
        <v>91-120 DAYS</v>
      </c>
      <c r="CJ2997" s="137">
        <f t="shared" si="2168"/>
        <v>0</v>
      </c>
      <c r="CK2997" s="129" t="str">
        <f t="shared" si="2169"/>
        <v>Booked</v>
      </c>
    </row>
    <row r="2998" spans="1:89" ht="15.75" customHeight="1" x14ac:dyDescent="0.25">
      <c r="A2998" s="111">
        <v>2224</v>
      </c>
      <c r="B2998" s="128" t="str">
        <f t="shared" si="2156"/>
        <v>N</v>
      </c>
      <c r="C2998" s="128" t="str">
        <f t="shared" si="2157"/>
        <v>N</v>
      </c>
      <c r="D2998" s="117">
        <v>2611073</v>
      </c>
      <c r="E2998" s="135">
        <f t="shared" si="2158"/>
        <v>2</v>
      </c>
      <c r="F2998" s="124">
        <v>40992</v>
      </c>
      <c r="G2998" s="125">
        <v>40994</v>
      </c>
      <c r="H2998" s="117">
        <v>2611073</v>
      </c>
      <c r="I2998" s="124">
        <v>40992</v>
      </c>
      <c r="J2998" s="124">
        <v>40994</v>
      </c>
      <c r="K2998" s="126">
        <v>5000</v>
      </c>
      <c r="L2998" s="127" t="s">
        <v>569</v>
      </c>
      <c r="N2998" s="129" t="str">
        <f>IF(M2998&gt;1/1/1,"Y","N")</f>
        <v>N</v>
      </c>
      <c r="O2998" s="128" t="s">
        <v>917</v>
      </c>
      <c r="P2998" s="129" t="s">
        <v>589</v>
      </c>
      <c r="Q2998" s="111">
        <f t="shared" si="2176"/>
        <v>3</v>
      </c>
      <c r="R2998" s="111">
        <f t="shared" si="2145"/>
        <v>3</v>
      </c>
      <c r="S2998" s="129">
        <v>0</v>
      </c>
      <c r="T2998" s="129">
        <v>0</v>
      </c>
      <c r="W2998" s="111"/>
      <c r="AC2998" s="130"/>
      <c r="AD2998" s="130">
        <v>31330</v>
      </c>
      <c r="AE2998" s="128" t="s">
        <v>32</v>
      </c>
      <c r="AF2998" s="128" t="s">
        <v>69</v>
      </c>
      <c r="AG2998" s="128" t="s">
        <v>874</v>
      </c>
      <c r="AH2998" s="108" t="s">
        <v>31</v>
      </c>
      <c r="AI2998" s="128" t="s">
        <v>72</v>
      </c>
      <c r="AJ2998" s="129" t="s">
        <v>48</v>
      </c>
      <c r="AK2998" s="129">
        <v>1</v>
      </c>
      <c r="AL2998" s="3" t="s">
        <v>48</v>
      </c>
      <c r="AP2998" s="129" t="s">
        <v>117</v>
      </c>
      <c r="AR2998" s="128" t="s">
        <v>67</v>
      </c>
      <c r="AS2998" s="129" t="s">
        <v>45</v>
      </c>
      <c r="AT2998" s="129" t="s">
        <v>650</v>
      </c>
      <c r="AX2998" s="32"/>
      <c r="BC2998" s="129" t="s">
        <v>38</v>
      </c>
      <c r="BF2998" s="111">
        <f t="shared" si="2177"/>
        <v>3</v>
      </c>
      <c r="BG2998" s="111">
        <f t="shared" si="2178"/>
        <v>3</v>
      </c>
      <c r="BH2998" s="111">
        <f t="shared" si="2146"/>
        <v>3</v>
      </c>
      <c r="BI2998" s="111">
        <f t="shared" si="2148"/>
        <v>26.398907103825138</v>
      </c>
      <c r="BJ2998" s="129">
        <f t="shared" si="2159"/>
        <v>0</v>
      </c>
      <c r="BK2998" s="129">
        <f t="shared" si="2147"/>
        <v>0</v>
      </c>
      <c r="BL2998" s="129" t="str">
        <f t="shared" ref="BL2998:BL3061" si="2181">IF(OR(AL2998="AQUITTAL",AL2998="DISMISSED",AL2998="FINE",AL2998="NO BILL"),"NO CONVICTION",IF(OR(AL2998="HCJ",AL2998="MHH",AL2998="PROBATION",AL2998="STJ",AL2998="TDC"),"CONVICTION",IF(AL2998="DEFERRED","DEFERRED",0)))</f>
        <v>DEFERRED</v>
      </c>
      <c r="BM2998" s="129" t="str">
        <f t="shared" si="2149"/>
        <v>NONE</v>
      </c>
      <c r="BN2998" s="129" t="s">
        <v>566</v>
      </c>
      <c r="BP2998" s="137" t="str">
        <f t="shared" si="2150"/>
        <v>DEFERRED</v>
      </c>
      <c r="BQ2998" s="128" t="str">
        <f t="shared" si="2160"/>
        <v>Y</v>
      </c>
      <c r="BR2998" s="129" t="str">
        <f t="shared" si="2151"/>
        <v>DETAINED</v>
      </c>
      <c r="BS2998" s="129" t="str">
        <f t="shared" si="2152"/>
        <v>DISPOSED</v>
      </c>
      <c r="BT2998" s="129" t="str">
        <f t="shared" si="2153"/>
        <v>N</v>
      </c>
      <c r="BU2998" s="109">
        <f t="shared" si="2154"/>
        <v>1</v>
      </c>
      <c r="BV2998" s="109">
        <f t="shared" si="2161"/>
        <v>1</v>
      </c>
      <c r="BW2998" s="109">
        <f t="shared" si="2179"/>
        <v>0</v>
      </c>
      <c r="BX2998" s="111">
        <f t="shared" si="2155"/>
        <v>0</v>
      </c>
      <c r="BY2998" s="129">
        <f t="shared" si="2162"/>
        <v>-3</v>
      </c>
      <c r="BZ2998" s="111">
        <f t="shared" si="2163"/>
        <v>0</v>
      </c>
      <c r="CA2998" s="138">
        <f t="shared" si="2164"/>
        <v>3</v>
      </c>
      <c r="CB2998" s="111" t="e">
        <f t="shared" si="2180"/>
        <v>#VALUE!</v>
      </c>
      <c r="CC2998" s="129">
        <f>G2998-I2998+1</f>
        <v>3</v>
      </c>
      <c r="CD2998" s="129">
        <f>G2998-J2998</f>
        <v>0</v>
      </c>
      <c r="CG2998" s="129" t="str">
        <f t="shared" si="2165"/>
        <v>N</v>
      </c>
      <c r="CI2998" s="129" t="str">
        <f t="shared" si="2167"/>
        <v>0-10 DAYS</v>
      </c>
      <c r="CJ2998" s="137">
        <f t="shared" si="2168"/>
        <v>1</v>
      </c>
      <c r="CK2998" s="129" t="str">
        <f t="shared" si="2169"/>
        <v>Booked</v>
      </c>
    </row>
    <row r="2999" spans="1:89" ht="15" customHeight="1" x14ac:dyDescent="0.25">
      <c r="A2999" s="111">
        <v>2225</v>
      </c>
      <c r="B2999" s="128" t="str">
        <f t="shared" si="2156"/>
        <v>N</v>
      </c>
      <c r="C2999" s="128" t="str">
        <f t="shared" si="2157"/>
        <v>N</v>
      </c>
      <c r="D2999" s="117">
        <v>2611076</v>
      </c>
      <c r="E2999" s="135">
        <f t="shared" si="2158"/>
        <v>6</v>
      </c>
      <c r="F2999" s="124">
        <v>40992</v>
      </c>
      <c r="G2999" s="125">
        <v>41229</v>
      </c>
      <c r="H2999" s="117">
        <v>2611076</v>
      </c>
      <c r="I2999" s="124">
        <v>41051</v>
      </c>
      <c r="J2999" s="125">
        <v>41229</v>
      </c>
      <c r="K2999" s="126">
        <v>60000</v>
      </c>
      <c r="L2999" s="129" t="s">
        <v>572</v>
      </c>
      <c r="N2999" s="129" t="str">
        <f>IF(M2999&gt;1/1/1,"Y","N")</f>
        <v>N</v>
      </c>
      <c r="O2999" s="128" t="s">
        <v>917</v>
      </c>
      <c r="P2999" s="129" t="s">
        <v>39</v>
      </c>
      <c r="Q2999" s="111">
        <f t="shared" si="2176"/>
        <v>179</v>
      </c>
      <c r="R2999" s="111">
        <f t="shared" si="2145"/>
        <v>238</v>
      </c>
      <c r="S2999" s="129">
        <v>0</v>
      </c>
      <c r="T2999" s="129">
        <v>0</v>
      </c>
      <c r="W2999" s="111"/>
      <c r="AC2999" s="130"/>
      <c r="AD2999" s="130">
        <v>32862</v>
      </c>
      <c r="AE2999" s="128" t="s">
        <v>32</v>
      </c>
      <c r="AF2999" s="128" t="s">
        <v>33</v>
      </c>
      <c r="AG2999" s="128" t="s">
        <v>872</v>
      </c>
      <c r="AH2999" s="108" t="s">
        <v>31</v>
      </c>
      <c r="AI2999" s="128" t="s">
        <v>87</v>
      </c>
      <c r="AJ2999" s="129" t="s">
        <v>89</v>
      </c>
      <c r="AK2999" s="129">
        <v>7</v>
      </c>
      <c r="AL2999" s="3" t="s">
        <v>362</v>
      </c>
      <c r="AM2999" s="117">
        <v>8</v>
      </c>
      <c r="AP2999" s="129" t="s">
        <v>105</v>
      </c>
      <c r="AR2999" s="128" t="s">
        <v>92</v>
      </c>
      <c r="AS2999" s="129" t="s">
        <v>106</v>
      </c>
      <c r="BC2999" s="129" t="s">
        <v>38</v>
      </c>
      <c r="BF2999" s="111">
        <f t="shared" si="2177"/>
        <v>179</v>
      </c>
      <c r="BG2999" s="111">
        <f t="shared" si="2178"/>
        <v>179</v>
      </c>
      <c r="BH2999" s="111">
        <f t="shared" si="2146"/>
        <v>238</v>
      </c>
      <c r="BI2999" s="111">
        <f t="shared" si="2148"/>
        <v>22.21311475409836</v>
      </c>
      <c r="BJ2999" s="129">
        <f t="shared" si="2159"/>
        <v>0</v>
      </c>
      <c r="BK2999" s="129">
        <f t="shared" si="2147"/>
        <v>0</v>
      </c>
      <c r="BL2999" s="129" t="str">
        <f t="shared" si="2181"/>
        <v>CONVICTION</v>
      </c>
      <c r="BM2999" s="129" t="str">
        <f t="shared" si="2149"/>
        <v>NONE</v>
      </c>
      <c r="BN2999" s="129" t="s">
        <v>566</v>
      </c>
      <c r="BP2999" s="137" t="str">
        <f t="shared" si="2150"/>
        <v>CONVICTION</v>
      </c>
      <c r="BQ2999" s="128" t="str">
        <f t="shared" si="2160"/>
        <v>Y</v>
      </c>
      <c r="BR2999" s="129" t="str">
        <f t="shared" si="2151"/>
        <v>DETAINED</v>
      </c>
      <c r="BS2999" s="129" t="str">
        <f t="shared" si="2152"/>
        <v>DISPOSED</v>
      </c>
      <c r="BT2999" s="129" t="str">
        <f t="shared" si="2153"/>
        <v>N</v>
      </c>
      <c r="BU2999" s="109">
        <f t="shared" si="2154"/>
        <v>0.75210084033613445</v>
      </c>
      <c r="BV2999" s="109">
        <f t="shared" si="2161"/>
        <v>1</v>
      </c>
      <c r="BW2999" s="109">
        <f t="shared" si="2179"/>
        <v>0.24789915966386555</v>
      </c>
      <c r="BX2999" s="111">
        <f t="shared" si="2155"/>
        <v>0</v>
      </c>
      <c r="BY2999" s="129">
        <f t="shared" si="2162"/>
        <v>-179</v>
      </c>
      <c r="BZ2999" s="111">
        <f t="shared" si="2163"/>
        <v>0</v>
      </c>
      <c r="CA2999" s="138">
        <f t="shared" si="2164"/>
        <v>179</v>
      </c>
      <c r="CB2999" s="111" t="e">
        <f t="shared" si="2180"/>
        <v>#VALUE!</v>
      </c>
      <c r="CC2999" s="129">
        <f>G2999-I2999+1</f>
        <v>179</v>
      </c>
      <c r="CD2999" s="129">
        <f>G2999-J2999</f>
        <v>0</v>
      </c>
      <c r="CG2999" s="129" t="str">
        <f t="shared" si="2165"/>
        <v>N</v>
      </c>
      <c r="CI2999" s="129" t="str">
        <f t="shared" si="2167"/>
        <v>121-365 DAYS</v>
      </c>
      <c r="CJ2999" s="137">
        <f t="shared" si="2168"/>
        <v>6</v>
      </c>
      <c r="CK2999" s="129" t="str">
        <f t="shared" si="2169"/>
        <v>Booked</v>
      </c>
    </row>
    <row r="3000" spans="1:89" ht="15.75" customHeight="1" x14ac:dyDescent="0.25">
      <c r="A3000" s="111">
        <v>2230</v>
      </c>
      <c r="B3000" s="128" t="str">
        <f t="shared" si="2156"/>
        <v>N</v>
      </c>
      <c r="C3000" s="128" t="str">
        <f t="shared" si="2157"/>
        <v>N</v>
      </c>
      <c r="D3000" s="117">
        <v>2611106</v>
      </c>
      <c r="E3000" s="135">
        <f t="shared" si="2158"/>
        <v>2</v>
      </c>
      <c r="F3000" s="124">
        <v>40992</v>
      </c>
      <c r="G3000" s="125">
        <v>41038</v>
      </c>
      <c r="H3000" s="117">
        <v>2611106</v>
      </c>
      <c r="I3000" s="124">
        <v>40993</v>
      </c>
      <c r="J3000" s="124">
        <v>41038</v>
      </c>
      <c r="K3000" s="126">
        <v>10000</v>
      </c>
      <c r="L3000" s="127" t="s">
        <v>570</v>
      </c>
      <c r="N3000" s="129" t="str">
        <f>IF(M3000&gt;1/1/1,"Y","N")</f>
        <v>N</v>
      </c>
      <c r="O3000" s="128" t="s">
        <v>917</v>
      </c>
      <c r="P3000" s="129" t="s">
        <v>589</v>
      </c>
      <c r="Q3000" s="111">
        <f t="shared" si="2176"/>
        <v>46</v>
      </c>
      <c r="R3000" s="111">
        <f t="shared" si="2145"/>
        <v>47</v>
      </c>
      <c r="S3000" s="129">
        <v>0</v>
      </c>
      <c r="T3000" s="129">
        <v>0</v>
      </c>
      <c r="W3000" s="111"/>
      <c r="AC3000" s="130"/>
      <c r="AD3000" s="130">
        <v>33813</v>
      </c>
      <c r="AE3000" s="128" t="s">
        <v>32</v>
      </c>
      <c r="AF3000" s="128" t="s">
        <v>33</v>
      </c>
      <c r="AG3000" s="128" t="s">
        <v>872</v>
      </c>
      <c r="AH3000" s="108" t="s">
        <v>31</v>
      </c>
      <c r="AI3000" s="128" t="s">
        <v>80</v>
      </c>
      <c r="AJ3000" s="129" t="s">
        <v>48</v>
      </c>
      <c r="AK3000" s="129">
        <v>3</v>
      </c>
      <c r="AL3000" s="3" t="s">
        <v>48</v>
      </c>
      <c r="AP3000" s="129" t="s">
        <v>56</v>
      </c>
      <c r="AR3000" s="128" t="s">
        <v>50</v>
      </c>
      <c r="AS3000" s="129" t="s">
        <v>57</v>
      </c>
      <c r="BC3000" s="129" t="s">
        <v>38</v>
      </c>
      <c r="BF3000" s="111">
        <f t="shared" si="2177"/>
        <v>46</v>
      </c>
      <c r="BG3000" s="111">
        <f t="shared" si="2178"/>
        <v>46</v>
      </c>
      <c r="BH3000" s="111">
        <f t="shared" si="2146"/>
        <v>47</v>
      </c>
      <c r="BI3000" s="111">
        <f t="shared" si="2148"/>
        <v>19.614754098360656</v>
      </c>
      <c r="BJ3000" s="129">
        <f t="shared" si="2159"/>
        <v>0</v>
      </c>
      <c r="BK3000" s="129">
        <f t="shared" si="2147"/>
        <v>0</v>
      </c>
      <c r="BL3000" s="129" t="str">
        <f t="shared" si="2181"/>
        <v>DEFERRED</v>
      </c>
      <c r="BM3000" s="129" t="str">
        <f t="shared" si="2149"/>
        <v>NONE</v>
      </c>
      <c r="BN3000" s="129" t="s">
        <v>566</v>
      </c>
      <c r="BP3000" s="137" t="str">
        <f t="shared" si="2150"/>
        <v>DEFERRED</v>
      </c>
      <c r="BQ3000" s="128" t="str">
        <f t="shared" si="2160"/>
        <v>Y</v>
      </c>
      <c r="BR3000" s="129" t="str">
        <f t="shared" si="2151"/>
        <v>DETAINED</v>
      </c>
      <c r="BS3000" s="129" t="str">
        <f t="shared" si="2152"/>
        <v>DISPOSED</v>
      </c>
      <c r="BT3000" s="129" t="str">
        <f t="shared" si="2153"/>
        <v>N</v>
      </c>
      <c r="BU3000" s="109">
        <f t="shared" si="2154"/>
        <v>0.97872340425531912</v>
      </c>
      <c r="BV3000" s="109">
        <f t="shared" si="2161"/>
        <v>1</v>
      </c>
      <c r="BW3000" s="109">
        <f t="shared" si="2179"/>
        <v>2.1276595744680882E-2</v>
      </c>
      <c r="BX3000" s="111">
        <f t="shared" si="2155"/>
        <v>0</v>
      </c>
      <c r="BY3000" s="129">
        <f t="shared" si="2162"/>
        <v>-46</v>
      </c>
      <c r="BZ3000" s="111">
        <f t="shared" si="2163"/>
        <v>0</v>
      </c>
      <c r="CA3000" s="138">
        <f t="shared" si="2164"/>
        <v>46</v>
      </c>
      <c r="CB3000" s="111" t="e">
        <f t="shared" si="2180"/>
        <v>#VALUE!</v>
      </c>
      <c r="CC3000" s="129">
        <f>G3000-I3000+1</f>
        <v>46</v>
      </c>
      <c r="CD3000" s="129">
        <f>G3000-J3000</f>
        <v>0</v>
      </c>
      <c r="CG3000" s="129" t="str">
        <f t="shared" si="2165"/>
        <v>N</v>
      </c>
      <c r="CI3000" s="129" t="str">
        <f t="shared" si="2167"/>
        <v>31-60 DAYS</v>
      </c>
      <c r="CJ3000" s="137">
        <f t="shared" si="2168"/>
        <v>3</v>
      </c>
      <c r="CK3000" s="129" t="str">
        <f t="shared" si="2169"/>
        <v>Booked</v>
      </c>
    </row>
    <row r="3001" spans="1:89" ht="15.75" customHeight="1" x14ac:dyDescent="0.25">
      <c r="A3001" s="111">
        <v>2240</v>
      </c>
      <c r="B3001" s="128" t="str">
        <f t="shared" si="2156"/>
        <v>N</v>
      </c>
      <c r="C3001" s="128" t="str">
        <f t="shared" si="2157"/>
        <v>N</v>
      </c>
      <c r="D3001" s="117">
        <v>2611172</v>
      </c>
      <c r="E3001" s="135">
        <f t="shared" si="2158"/>
        <v>1</v>
      </c>
      <c r="F3001" s="124">
        <v>40993</v>
      </c>
      <c r="G3001" s="125">
        <v>40995</v>
      </c>
      <c r="H3001" s="117">
        <v>2611172</v>
      </c>
      <c r="I3001" s="124" t="s">
        <v>562</v>
      </c>
      <c r="J3001" s="124" t="s">
        <v>562</v>
      </c>
      <c r="K3001" s="126">
        <v>5000</v>
      </c>
      <c r="L3001" s="127" t="s">
        <v>569</v>
      </c>
      <c r="M3001" s="125">
        <v>40994</v>
      </c>
      <c r="N3001" s="129" t="str">
        <f>IF(M3001&gt;1/1/1,"Y",IF(Q3001="0","","N"))</f>
        <v>Y</v>
      </c>
      <c r="O3001" s="128" t="s">
        <v>76</v>
      </c>
      <c r="P3001" s="129" t="s">
        <v>55</v>
      </c>
      <c r="Q3001" s="111">
        <f t="shared" si="2176"/>
        <v>0</v>
      </c>
      <c r="R3001" s="111">
        <f t="shared" si="2145"/>
        <v>3</v>
      </c>
      <c r="S3001" s="129">
        <v>0</v>
      </c>
      <c r="T3001" s="129">
        <v>0</v>
      </c>
      <c r="W3001" s="111"/>
      <c r="AC3001" s="130"/>
      <c r="AD3001" s="130">
        <v>30944</v>
      </c>
      <c r="AE3001" s="128" t="s">
        <v>46</v>
      </c>
      <c r="AF3001" s="128" t="s">
        <v>33</v>
      </c>
      <c r="AG3001" s="128" t="s">
        <v>872</v>
      </c>
      <c r="AH3001" s="108" t="s">
        <v>31</v>
      </c>
      <c r="AI3001" s="128" t="s">
        <v>70</v>
      </c>
      <c r="AJ3001" s="129" t="s">
        <v>55</v>
      </c>
      <c r="AK3001" s="129">
        <v>1</v>
      </c>
      <c r="AL3001" s="3" t="s">
        <v>55</v>
      </c>
      <c r="AP3001" s="129" t="s">
        <v>169</v>
      </c>
      <c r="AR3001" s="128" t="s">
        <v>67</v>
      </c>
      <c r="AS3001" s="129" t="s">
        <v>64</v>
      </c>
      <c r="AW3001" s="125"/>
      <c r="AX3001" s="125"/>
      <c r="BC3001" s="129" t="s">
        <v>52</v>
      </c>
      <c r="BF3001" s="111">
        <v>0</v>
      </c>
      <c r="BG3001" s="111">
        <v>0</v>
      </c>
      <c r="BH3001" s="111">
        <f t="shared" si="2146"/>
        <v>3</v>
      </c>
      <c r="BI3001" s="111">
        <f t="shared" si="2148"/>
        <v>27.456284153005466</v>
      </c>
      <c r="BJ3001" s="129" t="e">
        <f>(G3001-J3001)+(M3001-G3001)</f>
        <v>#VALUE!</v>
      </c>
      <c r="BK3001" s="129" t="e">
        <f t="shared" si="2147"/>
        <v>#VALUE!</v>
      </c>
      <c r="BL3001" s="129" t="str">
        <f t="shared" si="2181"/>
        <v>NO CONVICTION</v>
      </c>
      <c r="BM3001" s="129" t="s">
        <v>76</v>
      </c>
      <c r="BN3001" s="129" t="s">
        <v>88</v>
      </c>
      <c r="BP3001" s="137" t="str">
        <f t="shared" si="2150"/>
        <v>NO CONVICTION</v>
      </c>
      <c r="BQ3001" s="128">
        <f t="shared" si="2160"/>
        <v>0</v>
      </c>
      <c r="BR3001" s="129" t="s">
        <v>575</v>
      </c>
      <c r="BS3001" s="129" t="str">
        <f t="shared" si="2152"/>
        <v>DISPOSED</v>
      </c>
      <c r="BT3001" s="129" t="str">
        <f t="shared" si="2153"/>
        <v>N</v>
      </c>
      <c r="BU3001" s="109">
        <f>IFERROR(Q3001/R3001,BR3001)</f>
        <v>0</v>
      </c>
      <c r="BV3001" s="109">
        <v>0</v>
      </c>
      <c r="BW3001" s="109">
        <f t="shared" si="2179"/>
        <v>0</v>
      </c>
      <c r="BX3001" s="111">
        <f t="shared" si="2155"/>
        <v>0</v>
      </c>
      <c r="BY3001" s="129" t="e">
        <f t="shared" si="2162"/>
        <v>#VALUE!</v>
      </c>
      <c r="BZ3001" s="111" t="e">
        <f t="shared" si="2163"/>
        <v>#VALUE!</v>
      </c>
      <c r="CA3001" s="138" t="e">
        <f t="shared" si="2164"/>
        <v>#VALUE!</v>
      </c>
      <c r="CB3001" s="111">
        <v>0</v>
      </c>
      <c r="CC3001" s="129">
        <v>0</v>
      </c>
      <c r="CD3001" s="111">
        <f>CC3001-BF3001</f>
        <v>0</v>
      </c>
      <c r="CG3001" s="129" t="str">
        <f t="shared" si="2165"/>
        <v>N</v>
      </c>
      <c r="CI3001" s="129" t="str">
        <f t="shared" si="2167"/>
        <v>0-10 DAYS</v>
      </c>
      <c r="CJ3001" s="137">
        <f t="shared" si="2168"/>
        <v>1</v>
      </c>
      <c r="CK3001" s="129" t="str">
        <f t="shared" si="2169"/>
        <v>Not Booked</v>
      </c>
    </row>
    <row r="3002" spans="1:89" ht="15.75" customHeight="1" x14ac:dyDescent="0.25">
      <c r="A3002" s="111">
        <v>2244</v>
      </c>
      <c r="B3002" s="128" t="str">
        <f t="shared" si="2156"/>
        <v>N</v>
      </c>
      <c r="C3002" s="128" t="str">
        <f t="shared" si="2157"/>
        <v>N</v>
      </c>
      <c r="D3002" s="117">
        <v>2611195</v>
      </c>
      <c r="E3002" s="135">
        <f t="shared" si="2158"/>
        <v>6</v>
      </c>
      <c r="F3002" s="124">
        <v>40993</v>
      </c>
      <c r="G3002" s="125">
        <v>41089</v>
      </c>
      <c r="H3002" s="117">
        <v>2611195</v>
      </c>
      <c r="I3002" s="124">
        <v>40994</v>
      </c>
      <c r="J3002" s="124">
        <v>41089</v>
      </c>
      <c r="K3002" s="126">
        <v>135000</v>
      </c>
      <c r="L3002" s="129" t="s">
        <v>572</v>
      </c>
      <c r="N3002" s="129" t="str">
        <f t="shared" ref="N3002:N3011" si="2182">IF(M3002&gt;1/1/1,"Y","N")</f>
        <v>N</v>
      </c>
      <c r="O3002" s="128" t="s">
        <v>917</v>
      </c>
      <c r="P3002" s="129" t="s">
        <v>39</v>
      </c>
      <c r="Q3002" s="111">
        <f t="shared" si="2176"/>
        <v>96</v>
      </c>
      <c r="R3002" s="111">
        <f t="shared" si="2145"/>
        <v>97</v>
      </c>
      <c r="S3002" s="129">
        <v>0</v>
      </c>
      <c r="T3002" s="129">
        <v>0</v>
      </c>
      <c r="W3002" s="111"/>
      <c r="AC3002" s="130"/>
      <c r="AD3002" s="130">
        <v>30447</v>
      </c>
      <c r="AE3002" s="128" t="s">
        <v>32</v>
      </c>
      <c r="AF3002" s="128" t="s">
        <v>69</v>
      </c>
      <c r="AG3002" s="128" t="s">
        <v>874</v>
      </c>
      <c r="AH3002" s="108" t="s">
        <v>31</v>
      </c>
      <c r="AI3002" s="128" t="s">
        <v>118</v>
      </c>
      <c r="AJ3002" s="129" t="s">
        <v>89</v>
      </c>
      <c r="AK3002" s="129">
        <v>4</v>
      </c>
      <c r="AL3002" s="3" t="s">
        <v>362</v>
      </c>
      <c r="AM3002" s="117">
        <v>2</v>
      </c>
      <c r="AP3002" s="129" t="s">
        <v>236</v>
      </c>
      <c r="AR3002" s="128" t="s">
        <v>67</v>
      </c>
      <c r="AS3002" s="129" t="s">
        <v>74</v>
      </c>
      <c r="BC3002" s="129" t="s">
        <v>38</v>
      </c>
      <c r="BF3002" s="111">
        <f t="shared" ref="BF3002:BF3009" si="2183">IF(J3002&gt;1/1/1900,((J3002+1)-I3002),"STILL OPEN")</f>
        <v>96</v>
      </c>
      <c r="BG3002" s="111">
        <f t="shared" ref="BG3002:BG3011" si="2184">IF(G3002&gt;1/1/1900,((G3002+1)-I3002),"STILL OPEN")</f>
        <v>96</v>
      </c>
      <c r="BH3002" s="111">
        <f t="shared" si="2146"/>
        <v>97</v>
      </c>
      <c r="BI3002" s="111">
        <f t="shared" si="2148"/>
        <v>28.814207650273225</v>
      </c>
      <c r="BJ3002" s="129">
        <f t="shared" si="2159"/>
        <v>0</v>
      </c>
      <c r="BK3002" s="129">
        <f t="shared" si="2147"/>
        <v>0</v>
      </c>
      <c r="BL3002" s="129" t="str">
        <f t="shared" si="2181"/>
        <v>CONVICTION</v>
      </c>
      <c r="BM3002" s="129" t="str">
        <f t="shared" si="2149"/>
        <v>NONE</v>
      </c>
      <c r="BN3002" s="129" t="s">
        <v>566</v>
      </c>
      <c r="BP3002" s="137" t="str">
        <f t="shared" si="2150"/>
        <v>CONVICTION</v>
      </c>
      <c r="BQ3002" s="128" t="str">
        <f t="shared" si="2160"/>
        <v>Y</v>
      </c>
      <c r="BR3002" s="129" t="str">
        <f t="shared" si="2151"/>
        <v>DETAINED</v>
      </c>
      <c r="BS3002" s="129" t="str">
        <f t="shared" si="2152"/>
        <v>DISPOSED</v>
      </c>
      <c r="BT3002" s="129" t="str">
        <f t="shared" si="2153"/>
        <v>N</v>
      </c>
      <c r="BU3002" s="109">
        <f t="shared" si="2154"/>
        <v>0.98969072164948457</v>
      </c>
      <c r="BV3002" s="109">
        <f t="shared" si="2161"/>
        <v>1</v>
      </c>
      <c r="BW3002" s="109">
        <f t="shared" si="2179"/>
        <v>1.0309278350515427E-2</v>
      </c>
      <c r="BX3002" s="111">
        <f t="shared" si="2155"/>
        <v>0</v>
      </c>
      <c r="BY3002" s="129">
        <f t="shared" si="2162"/>
        <v>-96</v>
      </c>
      <c r="BZ3002" s="111">
        <f t="shared" si="2163"/>
        <v>0</v>
      </c>
      <c r="CA3002" s="138">
        <f t="shared" si="2164"/>
        <v>96</v>
      </c>
      <c r="CB3002" s="111" t="e">
        <f t="shared" ref="CB3002:CB3009" si="2185">IF(AF3002&gt;1/1/1900,((AF3002+1)-AE3002),"STILL OPEN")</f>
        <v>#VALUE!</v>
      </c>
      <c r="CC3002" s="129">
        <f>G3002-I3002+1</f>
        <v>96</v>
      </c>
      <c r="CD3002" s="129">
        <f>G3002-J3002</f>
        <v>0</v>
      </c>
      <c r="CG3002" s="129" t="str">
        <f t="shared" si="2165"/>
        <v>N</v>
      </c>
      <c r="CI3002" s="129" t="str">
        <f t="shared" si="2167"/>
        <v>91-120 DAYS</v>
      </c>
      <c r="CJ3002" s="137">
        <f t="shared" si="2168"/>
        <v>0</v>
      </c>
      <c r="CK3002" s="129" t="str">
        <f t="shared" si="2169"/>
        <v>Booked</v>
      </c>
    </row>
    <row r="3003" spans="1:89" ht="15.75" customHeight="1" x14ac:dyDescent="0.25">
      <c r="A3003" s="111">
        <v>2247</v>
      </c>
      <c r="B3003" s="128" t="str">
        <f t="shared" si="2156"/>
        <v>N</v>
      </c>
      <c r="C3003" s="128" t="str">
        <f t="shared" si="2157"/>
        <v>N</v>
      </c>
      <c r="D3003" s="117">
        <v>2611223</v>
      </c>
      <c r="E3003" s="135">
        <f t="shared" si="2158"/>
        <v>4</v>
      </c>
      <c r="F3003" s="124">
        <v>40994</v>
      </c>
      <c r="G3003" s="125">
        <v>40996</v>
      </c>
      <c r="H3003" s="117">
        <v>2611223</v>
      </c>
      <c r="I3003" s="124">
        <v>40995</v>
      </c>
      <c r="J3003" s="124">
        <v>40996</v>
      </c>
      <c r="K3003" s="126">
        <v>2000</v>
      </c>
      <c r="L3003" s="127" t="s">
        <v>568</v>
      </c>
      <c r="N3003" s="129" t="str">
        <f t="shared" si="2182"/>
        <v>N</v>
      </c>
      <c r="O3003" s="128" t="s">
        <v>917</v>
      </c>
      <c r="P3003" s="129" t="s">
        <v>39</v>
      </c>
      <c r="Q3003" s="111">
        <f t="shared" si="2176"/>
        <v>2</v>
      </c>
      <c r="R3003" s="111">
        <f t="shared" si="2145"/>
        <v>3</v>
      </c>
      <c r="S3003" s="129">
        <v>0</v>
      </c>
      <c r="T3003" s="129">
        <v>0</v>
      </c>
      <c r="W3003" s="111"/>
      <c r="AB3003" s="131" t="s">
        <v>112</v>
      </c>
      <c r="AC3003" s="130"/>
      <c r="AD3003" s="130">
        <v>28232</v>
      </c>
      <c r="AE3003" s="128" t="s">
        <v>32</v>
      </c>
      <c r="AF3003" s="128" t="s">
        <v>40</v>
      </c>
      <c r="AG3003" s="128" t="s">
        <v>41</v>
      </c>
      <c r="AH3003" s="108" t="s">
        <v>31</v>
      </c>
      <c r="AI3003" s="128" t="s">
        <v>53</v>
      </c>
      <c r="AJ3003" s="129" t="s">
        <v>89</v>
      </c>
      <c r="AK3003" s="129">
        <v>2</v>
      </c>
      <c r="AL3003" s="3" t="s">
        <v>991</v>
      </c>
      <c r="AO3003" s="128">
        <v>60</v>
      </c>
      <c r="AP3003" s="129" t="s">
        <v>43</v>
      </c>
      <c r="AR3003" s="128" t="s">
        <v>44</v>
      </c>
      <c r="AS3003" s="129" t="s">
        <v>45</v>
      </c>
      <c r="BC3003" s="129" t="s">
        <v>38</v>
      </c>
      <c r="BF3003" s="111">
        <f t="shared" si="2183"/>
        <v>2</v>
      </c>
      <c r="BG3003" s="111">
        <f t="shared" si="2184"/>
        <v>2</v>
      </c>
      <c r="BH3003" s="111">
        <f t="shared" si="2146"/>
        <v>3</v>
      </c>
      <c r="BI3003" s="111">
        <f t="shared" si="2148"/>
        <v>34.868852459016395</v>
      </c>
      <c r="BJ3003" s="129">
        <f t="shared" si="2159"/>
        <v>0</v>
      </c>
      <c r="BK3003" s="129">
        <f t="shared" si="2147"/>
        <v>0</v>
      </c>
      <c r="BL3003" s="129" t="str">
        <f t="shared" si="2181"/>
        <v>CONVICTION</v>
      </c>
      <c r="BM3003" s="129" t="str">
        <f t="shared" si="2149"/>
        <v>NONE</v>
      </c>
      <c r="BN3003" s="129" t="s">
        <v>566</v>
      </c>
      <c r="BP3003" s="137" t="str">
        <f t="shared" si="2150"/>
        <v>CONVICTION</v>
      </c>
      <c r="BQ3003" s="128" t="str">
        <f t="shared" si="2160"/>
        <v>Y</v>
      </c>
      <c r="BR3003" s="129" t="str">
        <f t="shared" si="2151"/>
        <v>DETAINED</v>
      </c>
      <c r="BS3003" s="129" t="str">
        <f t="shared" si="2152"/>
        <v>DISPOSED</v>
      </c>
      <c r="BT3003" s="129" t="str">
        <f t="shared" si="2153"/>
        <v>N</v>
      </c>
      <c r="BU3003" s="109">
        <f t="shared" si="2154"/>
        <v>0.66666666666666663</v>
      </c>
      <c r="BV3003" s="109">
        <f t="shared" si="2161"/>
        <v>1</v>
      </c>
      <c r="BW3003" s="109">
        <f t="shared" si="2179"/>
        <v>0.33333333333333337</v>
      </c>
      <c r="BX3003" s="111">
        <f t="shared" si="2155"/>
        <v>0</v>
      </c>
      <c r="BY3003" s="129">
        <f t="shared" si="2162"/>
        <v>-2</v>
      </c>
      <c r="BZ3003" s="111">
        <f t="shared" si="2163"/>
        <v>0</v>
      </c>
      <c r="CA3003" s="138">
        <f t="shared" si="2164"/>
        <v>2</v>
      </c>
      <c r="CB3003" s="111" t="e">
        <f t="shared" si="2185"/>
        <v>#VALUE!</v>
      </c>
      <c r="CC3003" s="129">
        <f>G3003-I3003+1</f>
        <v>2</v>
      </c>
      <c r="CD3003" s="129">
        <f>G3003-J3003</f>
        <v>0</v>
      </c>
      <c r="CG3003" s="129" t="str">
        <f t="shared" si="2165"/>
        <v>N</v>
      </c>
      <c r="CI3003" s="129" t="str">
        <f t="shared" si="2167"/>
        <v>0-10 DAYS</v>
      </c>
      <c r="CJ3003" s="137">
        <f t="shared" si="2168"/>
        <v>1</v>
      </c>
      <c r="CK3003" s="129" t="str">
        <f t="shared" si="2169"/>
        <v>Booked</v>
      </c>
    </row>
    <row r="3004" spans="1:89" ht="15.75" customHeight="1" x14ac:dyDescent="0.25">
      <c r="A3004" s="111">
        <v>2256</v>
      </c>
      <c r="B3004" s="128" t="str">
        <f t="shared" si="2156"/>
        <v>N</v>
      </c>
      <c r="C3004" s="128" t="str">
        <f t="shared" si="2157"/>
        <v>N</v>
      </c>
      <c r="D3004" s="117">
        <v>2611341</v>
      </c>
      <c r="E3004" s="135">
        <f t="shared" si="2158"/>
        <v>4</v>
      </c>
      <c r="F3004" s="124">
        <v>40994</v>
      </c>
      <c r="G3004" s="125">
        <v>41221</v>
      </c>
      <c r="H3004" s="117">
        <v>2611341</v>
      </c>
      <c r="I3004" s="124">
        <v>40995</v>
      </c>
      <c r="J3004" s="125">
        <v>41221</v>
      </c>
      <c r="K3004" s="126">
        <v>10000</v>
      </c>
      <c r="L3004" s="127" t="s">
        <v>570</v>
      </c>
      <c r="N3004" s="129" t="str">
        <f t="shared" si="2182"/>
        <v>N</v>
      </c>
      <c r="O3004" s="128" t="s">
        <v>917</v>
      </c>
      <c r="P3004" s="129" t="s">
        <v>39</v>
      </c>
      <c r="Q3004" s="111">
        <f t="shared" si="2176"/>
        <v>227</v>
      </c>
      <c r="R3004" s="111">
        <f t="shared" ref="R3004:R3067" si="2186">BH3004</f>
        <v>228</v>
      </c>
      <c r="S3004" s="129">
        <v>0</v>
      </c>
      <c r="T3004" s="129">
        <v>0</v>
      </c>
      <c r="W3004" s="111"/>
      <c r="AC3004" s="130"/>
      <c r="AD3004" s="130">
        <v>34039</v>
      </c>
      <c r="AE3004" s="128" t="s">
        <v>32</v>
      </c>
      <c r="AF3004" s="128" t="s">
        <v>69</v>
      </c>
      <c r="AG3004" s="128" t="s">
        <v>874</v>
      </c>
      <c r="AH3004" s="108" t="s">
        <v>31</v>
      </c>
      <c r="AI3004" s="128" t="s">
        <v>65</v>
      </c>
      <c r="AJ3004" s="129" t="s">
        <v>89</v>
      </c>
      <c r="AK3004" s="129">
        <v>6</v>
      </c>
      <c r="AL3004" s="3" t="s">
        <v>991</v>
      </c>
      <c r="AO3004" s="128">
        <v>137</v>
      </c>
      <c r="AP3004" s="129" t="s">
        <v>56</v>
      </c>
      <c r="AR3004" s="128" t="s">
        <v>50</v>
      </c>
      <c r="AS3004" s="129" t="s">
        <v>57</v>
      </c>
      <c r="BC3004" s="129" t="s">
        <v>38</v>
      </c>
      <c r="BF3004" s="111">
        <f t="shared" si="2183"/>
        <v>227</v>
      </c>
      <c r="BG3004" s="111">
        <f t="shared" si="2184"/>
        <v>227</v>
      </c>
      <c r="BH3004" s="111">
        <f t="shared" ref="BH3004:BH3067" si="2187">IF(G3004&gt;1/1/1900,((G3004+1)-F3004),"STILL OPEN")</f>
        <v>228</v>
      </c>
      <c r="BI3004" s="111">
        <f t="shared" si="2148"/>
        <v>19.002732240437158</v>
      </c>
      <c r="BJ3004" s="129">
        <f t="shared" si="2159"/>
        <v>0</v>
      </c>
      <c r="BK3004" s="129">
        <f t="shared" ref="BK3004:BK3067" si="2188">J3004-G3004</f>
        <v>0</v>
      </c>
      <c r="BL3004" s="129" t="str">
        <f t="shared" si="2181"/>
        <v>CONVICTION</v>
      </c>
      <c r="BM3004" s="129" t="str">
        <f t="shared" si="2149"/>
        <v>NONE</v>
      </c>
      <c r="BN3004" s="129" t="s">
        <v>566</v>
      </c>
      <c r="BP3004" s="137" t="str">
        <f t="shared" si="2150"/>
        <v>CONVICTION</v>
      </c>
      <c r="BQ3004" s="128" t="str">
        <f t="shared" si="2160"/>
        <v>Y</v>
      </c>
      <c r="BR3004" s="129" t="str">
        <f t="shared" si="2151"/>
        <v>DETAINED</v>
      </c>
      <c r="BS3004" s="129" t="str">
        <f t="shared" si="2152"/>
        <v>DISPOSED</v>
      </c>
      <c r="BT3004" s="129" t="str">
        <f t="shared" si="2153"/>
        <v>N</v>
      </c>
      <c r="BU3004" s="109">
        <f t="shared" si="2154"/>
        <v>0.99561403508771928</v>
      </c>
      <c r="BV3004" s="109">
        <f t="shared" si="2161"/>
        <v>1</v>
      </c>
      <c r="BW3004" s="109">
        <f t="shared" si="2179"/>
        <v>4.3859649122807154E-3</v>
      </c>
      <c r="BX3004" s="111">
        <f t="shared" si="2155"/>
        <v>0</v>
      </c>
      <c r="BY3004" s="129">
        <f t="shared" si="2162"/>
        <v>-227</v>
      </c>
      <c r="BZ3004" s="111">
        <f t="shared" si="2163"/>
        <v>0</v>
      </c>
      <c r="CA3004" s="138">
        <f t="shared" si="2164"/>
        <v>227</v>
      </c>
      <c r="CB3004" s="111" t="e">
        <f t="shared" si="2185"/>
        <v>#VALUE!</v>
      </c>
      <c r="CC3004" s="129">
        <f>G3004-I3004+1</f>
        <v>227</v>
      </c>
      <c r="CD3004" s="129">
        <f>G3004-J3004</f>
        <v>0</v>
      </c>
      <c r="CG3004" s="129" t="str">
        <f t="shared" si="2165"/>
        <v>N</v>
      </c>
      <c r="CI3004" s="129" t="str">
        <f t="shared" si="2167"/>
        <v>121-365 DAYS</v>
      </c>
      <c r="CJ3004" s="137">
        <f t="shared" si="2168"/>
        <v>6</v>
      </c>
      <c r="CK3004" s="129" t="str">
        <f t="shared" si="2169"/>
        <v>Booked</v>
      </c>
    </row>
    <row r="3005" spans="1:89" ht="15.75" customHeight="1" x14ac:dyDescent="0.25">
      <c r="A3005" s="111">
        <v>2260</v>
      </c>
      <c r="B3005" s="128" t="str">
        <f t="shared" si="2156"/>
        <v>N</v>
      </c>
      <c r="C3005" s="128" t="str">
        <f t="shared" si="2157"/>
        <v>N</v>
      </c>
      <c r="D3005" s="117">
        <v>2611353</v>
      </c>
      <c r="E3005" s="135">
        <f t="shared" si="2158"/>
        <v>3</v>
      </c>
      <c r="F3005" s="124">
        <v>40994</v>
      </c>
      <c r="G3005" s="125">
        <v>41121</v>
      </c>
      <c r="H3005" s="117">
        <v>2611353</v>
      </c>
      <c r="I3005" s="124">
        <v>40995</v>
      </c>
      <c r="J3005" s="124">
        <v>40995</v>
      </c>
      <c r="K3005" s="126">
        <v>5000</v>
      </c>
      <c r="L3005" s="127" t="s">
        <v>569</v>
      </c>
      <c r="M3005" s="125">
        <v>40995</v>
      </c>
      <c r="N3005" s="129" t="str">
        <f t="shared" si="2182"/>
        <v>Y</v>
      </c>
      <c r="O3005" s="128" t="s">
        <v>76</v>
      </c>
      <c r="P3005" s="129" t="s">
        <v>39</v>
      </c>
      <c r="Q3005" s="111">
        <f t="shared" si="2176"/>
        <v>1</v>
      </c>
      <c r="R3005" s="111">
        <f t="shared" si="2186"/>
        <v>128</v>
      </c>
      <c r="S3005" s="129">
        <v>0</v>
      </c>
      <c r="T3005" s="129">
        <v>0</v>
      </c>
      <c r="W3005" s="111"/>
      <c r="AC3005" s="130"/>
      <c r="AD3005" s="130">
        <v>26394</v>
      </c>
      <c r="AE3005" s="128" t="s">
        <v>32</v>
      </c>
      <c r="AF3005" s="128" t="s">
        <v>69</v>
      </c>
      <c r="AG3005" s="128" t="s">
        <v>874</v>
      </c>
      <c r="AH3005" s="108" t="s">
        <v>31</v>
      </c>
      <c r="AI3005" s="128" t="s">
        <v>83</v>
      </c>
      <c r="AJ3005" s="129" t="s">
        <v>89</v>
      </c>
      <c r="AK3005" s="129">
        <v>6</v>
      </c>
      <c r="AL3005" s="3" t="s">
        <v>185</v>
      </c>
      <c r="AP3005" s="129" t="s">
        <v>410</v>
      </c>
      <c r="AR3005" s="128" t="s">
        <v>67</v>
      </c>
      <c r="AS3005" s="129" t="s">
        <v>64</v>
      </c>
      <c r="AX3005" s="32"/>
      <c r="BC3005" s="129" t="s">
        <v>52</v>
      </c>
      <c r="BF3005" s="111">
        <f t="shared" si="2183"/>
        <v>1</v>
      </c>
      <c r="BG3005" s="111">
        <f t="shared" si="2184"/>
        <v>127</v>
      </c>
      <c r="BH3005" s="111">
        <f t="shared" si="2187"/>
        <v>128</v>
      </c>
      <c r="BI3005" s="111">
        <f t="shared" si="2148"/>
        <v>39.89071038251366</v>
      </c>
      <c r="BJ3005" s="129">
        <f>(G3005-J3005)+(M3005-G3005)</f>
        <v>0</v>
      </c>
      <c r="BK3005" s="129">
        <f t="shared" si="2188"/>
        <v>-126</v>
      </c>
      <c r="BL3005" s="129" t="str">
        <f t="shared" si="2181"/>
        <v>CONVICTION</v>
      </c>
      <c r="BM3005" s="129" t="s">
        <v>76</v>
      </c>
      <c r="BN3005" s="129" t="s">
        <v>88</v>
      </c>
      <c r="BP3005" s="137" t="str">
        <f t="shared" si="2150"/>
        <v>CONVICTION</v>
      </c>
      <c r="BQ3005" s="128" t="str">
        <f t="shared" si="2160"/>
        <v>Y</v>
      </c>
      <c r="BR3005" s="129" t="str">
        <f>IF(J3005&lt;G3005,"ON BOND",0)</f>
        <v>ON BOND</v>
      </c>
      <c r="BS3005" s="129" t="str">
        <f t="shared" si="2152"/>
        <v>DISPOSED</v>
      </c>
      <c r="BT3005" s="129" t="str">
        <f t="shared" si="2153"/>
        <v>N</v>
      </c>
      <c r="BU3005" s="109">
        <f t="shared" si="2154"/>
        <v>7.8125E-3</v>
      </c>
      <c r="BV3005" s="109">
        <f t="shared" si="2161"/>
        <v>7.874015748031496E-3</v>
      </c>
      <c r="BW3005" s="109">
        <f t="shared" si="2179"/>
        <v>6.1515748031495954E-5</v>
      </c>
      <c r="BX3005" s="111">
        <f t="shared" si="2155"/>
        <v>0</v>
      </c>
      <c r="BY3005" s="129">
        <f t="shared" si="2162"/>
        <v>-1</v>
      </c>
      <c r="BZ3005" s="111">
        <f t="shared" si="2163"/>
        <v>0</v>
      </c>
      <c r="CA3005" s="138">
        <f t="shared" si="2164"/>
        <v>1</v>
      </c>
      <c r="CB3005" s="111" t="e">
        <f t="shared" si="2185"/>
        <v>#VALUE!</v>
      </c>
      <c r="CC3005" s="129">
        <f>M3005-I3005+1</f>
        <v>1</v>
      </c>
      <c r="CD3005" s="111">
        <f>CC3005-BF3005</f>
        <v>0</v>
      </c>
      <c r="CG3005" s="129" t="str">
        <f t="shared" si="2165"/>
        <v>N</v>
      </c>
      <c r="CI3005" s="129" t="str">
        <f t="shared" si="2167"/>
        <v>0-10 DAYS</v>
      </c>
      <c r="CJ3005" s="137">
        <f t="shared" si="2168"/>
        <v>1</v>
      </c>
      <c r="CK3005" s="129" t="str">
        <f t="shared" si="2169"/>
        <v>Booked</v>
      </c>
    </row>
    <row r="3006" spans="1:89" ht="15" customHeight="1" x14ac:dyDescent="0.25">
      <c r="A3006" s="111">
        <v>2266</v>
      </c>
      <c r="B3006" s="128" t="str">
        <f t="shared" si="2156"/>
        <v>N</v>
      </c>
      <c r="C3006" s="128" t="str">
        <f t="shared" si="2157"/>
        <v>N</v>
      </c>
      <c r="D3006" s="117">
        <v>2611383</v>
      </c>
      <c r="E3006" s="135">
        <f t="shared" si="2158"/>
        <v>2</v>
      </c>
      <c r="F3006" s="124">
        <v>40995</v>
      </c>
      <c r="G3006" s="125">
        <v>40996</v>
      </c>
      <c r="H3006" s="117">
        <v>2611383</v>
      </c>
      <c r="I3006" s="124">
        <v>40995</v>
      </c>
      <c r="J3006" s="124">
        <v>40996</v>
      </c>
      <c r="K3006" s="126">
        <v>2000</v>
      </c>
      <c r="L3006" s="127" t="s">
        <v>568</v>
      </c>
      <c r="N3006" s="129" t="str">
        <f t="shared" si="2182"/>
        <v>N</v>
      </c>
      <c r="O3006" s="128" t="s">
        <v>917</v>
      </c>
      <c r="P3006" s="129" t="s">
        <v>589</v>
      </c>
      <c r="Q3006" s="111">
        <f t="shared" si="2176"/>
        <v>2</v>
      </c>
      <c r="R3006" s="111">
        <f t="shared" si="2186"/>
        <v>2</v>
      </c>
      <c r="S3006" s="129">
        <v>0</v>
      </c>
      <c r="T3006" s="129">
        <v>0</v>
      </c>
      <c r="W3006" s="111"/>
      <c r="AB3006" s="131" t="s">
        <v>112</v>
      </c>
      <c r="AC3006" s="130"/>
      <c r="AD3006" s="130">
        <v>31123</v>
      </c>
      <c r="AE3006" s="128" t="s">
        <v>46</v>
      </c>
      <c r="AF3006" s="128" t="s">
        <v>40</v>
      </c>
      <c r="AG3006" s="128" t="s">
        <v>41</v>
      </c>
      <c r="AH3006" s="108" t="s">
        <v>31</v>
      </c>
      <c r="AI3006" s="128" t="s">
        <v>34</v>
      </c>
      <c r="AJ3006" s="129" t="s">
        <v>48</v>
      </c>
      <c r="AK3006" s="129">
        <v>1</v>
      </c>
      <c r="AL3006" s="3" t="s">
        <v>48</v>
      </c>
      <c r="AP3006" s="129" t="s">
        <v>43</v>
      </c>
      <c r="AR3006" s="128" t="s">
        <v>44</v>
      </c>
      <c r="AS3006" s="129" t="s">
        <v>45</v>
      </c>
      <c r="AT3006" s="129" t="s">
        <v>425</v>
      </c>
      <c r="BC3006" s="129" t="s">
        <v>38</v>
      </c>
      <c r="BF3006" s="111">
        <f t="shared" si="2183"/>
        <v>2</v>
      </c>
      <c r="BG3006" s="111">
        <f t="shared" si="2184"/>
        <v>2</v>
      </c>
      <c r="BH3006" s="111">
        <f t="shared" si="2187"/>
        <v>2</v>
      </c>
      <c r="BI3006" s="111">
        <f t="shared" si="2148"/>
        <v>26.972677595628415</v>
      </c>
      <c r="BJ3006" s="129">
        <f t="shared" si="2159"/>
        <v>0</v>
      </c>
      <c r="BK3006" s="129">
        <f t="shared" si="2188"/>
        <v>0</v>
      </c>
      <c r="BL3006" s="129" t="str">
        <f t="shared" si="2181"/>
        <v>DEFERRED</v>
      </c>
      <c r="BM3006" s="129" t="str">
        <f t="shared" si="2149"/>
        <v>NONE</v>
      </c>
      <c r="BN3006" s="129" t="s">
        <v>566</v>
      </c>
      <c r="BP3006" s="137" t="str">
        <f t="shared" si="2150"/>
        <v>DEFERRED</v>
      </c>
      <c r="BQ3006" s="128" t="str">
        <f t="shared" si="2160"/>
        <v>Y</v>
      </c>
      <c r="BR3006" s="129" t="str">
        <f t="shared" si="2151"/>
        <v>DETAINED</v>
      </c>
      <c r="BS3006" s="129" t="str">
        <f t="shared" si="2152"/>
        <v>DISPOSED</v>
      </c>
      <c r="BT3006" s="129" t="str">
        <f t="shared" si="2153"/>
        <v>N</v>
      </c>
      <c r="BU3006" s="109">
        <f t="shared" si="2154"/>
        <v>1</v>
      </c>
      <c r="BV3006" s="109">
        <f t="shared" si="2161"/>
        <v>1</v>
      </c>
      <c r="BW3006" s="109">
        <f t="shared" si="2179"/>
        <v>0</v>
      </c>
      <c r="BX3006" s="111">
        <f t="shared" si="2155"/>
        <v>0</v>
      </c>
      <c r="BY3006" s="129">
        <f t="shared" si="2162"/>
        <v>-2</v>
      </c>
      <c r="BZ3006" s="111">
        <f t="shared" si="2163"/>
        <v>0</v>
      </c>
      <c r="CA3006" s="138">
        <f t="shared" si="2164"/>
        <v>2</v>
      </c>
      <c r="CB3006" s="111" t="e">
        <f t="shared" si="2185"/>
        <v>#VALUE!</v>
      </c>
      <c r="CC3006" s="129">
        <f>G3006-I3006+1</f>
        <v>2</v>
      </c>
      <c r="CD3006" s="129">
        <f>G3006-J3006</f>
        <v>0</v>
      </c>
      <c r="CG3006" s="129" t="str">
        <f t="shared" si="2165"/>
        <v>N</v>
      </c>
      <c r="CI3006" s="129" t="str">
        <f t="shared" si="2167"/>
        <v>0-10 DAYS</v>
      </c>
      <c r="CJ3006" s="137">
        <f t="shared" si="2168"/>
        <v>1</v>
      </c>
      <c r="CK3006" s="129" t="str">
        <f t="shared" si="2169"/>
        <v>Booked</v>
      </c>
    </row>
    <row r="3007" spans="1:89" ht="15.75" customHeight="1" x14ac:dyDescent="0.25">
      <c r="A3007" s="111">
        <v>2267</v>
      </c>
      <c r="B3007" s="128" t="str">
        <f t="shared" si="2156"/>
        <v>N</v>
      </c>
      <c r="C3007" s="128" t="str">
        <f t="shared" si="2157"/>
        <v>N</v>
      </c>
      <c r="D3007" s="117">
        <v>2611385</v>
      </c>
      <c r="E3007" s="135">
        <f t="shared" si="2158"/>
        <v>2</v>
      </c>
      <c r="F3007" s="124">
        <v>40995</v>
      </c>
      <c r="G3007" s="125">
        <v>41197</v>
      </c>
      <c r="H3007" s="117">
        <v>2611385</v>
      </c>
      <c r="I3007" s="124">
        <v>40995</v>
      </c>
      <c r="J3007" s="124">
        <v>40996</v>
      </c>
      <c r="K3007" s="126">
        <v>2000</v>
      </c>
      <c r="L3007" s="127" t="s">
        <v>568</v>
      </c>
      <c r="M3007" s="125">
        <v>40996</v>
      </c>
      <c r="N3007" s="129" t="str">
        <f t="shared" si="2182"/>
        <v>Y</v>
      </c>
      <c r="O3007" s="128" t="s">
        <v>76</v>
      </c>
      <c r="P3007" s="129" t="s">
        <v>589</v>
      </c>
      <c r="Q3007" s="111">
        <f t="shared" si="2176"/>
        <v>2</v>
      </c>
      <c r="R3007" s="111">
        <f t="shared" si="2186"/>
        <v>203</v>
      </c>
      <c r="S3007" s="129">
        <v>0</v>
      </c>
      <c r="T3007" s="129">
        <v>0</v>
      </c>
      <c r="W3007" s="111"/>
      <c r="AC3007" s="130"/>
      <c r="AD3007" s="130">
        <v>30294</v>
      </c>
      <c r="AE3007" s="128" t="s">
        <v>32</v>
      </c>
      <c r="AF3007" s="128" t="s">
        <v>69</v>
      </c>
      <c r="AG3007" s="128" t="s">
        <v>874</v>
      </c>
      <c r="AH3007" s="108" t="s">
        <v>31</v>
      </c>
      <c r="AI3007" s="128" t="s">
        <v>87</v>
      </c>
      <c r="AJ3007" s="129" t="s">
        <v>48</v>
      </c>
      <c r="AK3007" s="129">
        <v>9</v>
      </c>
      <c r="AL3007" s="3" t="s">
        <v>48</v>
      </c>
      <c r="AP3007" s="129" t="s">
        <v>43</v>
      </c>
      <c r="AR3007" s="128" t="s">
        <v>44</v>
      </c>
      <c r="AS3007" s="129" t="s">
        <v>45</v>
      </c>
      <c r="BC3007" s="129" t="s">
        <v>38</v>
      </c>
      <c r="BF3007" s="111">
        <f t="shared" si="2183"/>
        <v>2</v>
      </c>
      <c r="BG3007" s="111">
        <f t="shared" si="2184"/>
        <v>203</v>
      </c>
      <c r="BH3007" s="111">
        <f t="shared" si="2187"/>
        <v>203</v>
      </c>
      <c r="BI3007" s="111">
        <f t="shared" ref="BI3007:BI3070" si="2189">(F3007-AD3007)/366</f>
        <v>29.237704918032787</v>
      </c>
      <c r="BJ3007" s="129">
        <f>(G3007-J3007)+(M3007-G3007)</f>
        <v>0</v>
      </c>
      <c r="BK3007" s="129">
        <f t="shared" si="2188"/>
        <v>-201</v>
      </c>
      <c r="BL3007" s="129" t="str">
        <f t="shared" si="2181"/>
        <v>DEFERRED</v>
      </c>
      <c r="BM3007" s="129" t="s">
        <v>76</v>
      </c>
      <c r="BN3007" s="129" t="s">
        <v>88</v>
      </c>
      <c r="BP3007" s="137" t="str">
        <f t="shared" si="2150"/>
        <v>DEFERRED</v>
      </c>
      <c r="BQ3007" s="128" t="str">
        <f t="shared" si="2160"/>
        <v>Y</v>
      </c>
      <c r="BR3007" s="129" t="str">
        <f t="shared" si="2151"/>
        <v>ON BOND</v>
      </c>
      <c r="BS3007" s="129" t="str">
        <f t="shared" si="2152"/>
        <v>DISPOSED</v>
      </c>
      <c r="BT3007" s="129" t="str">
        <f t="shared" si="2153"/>
        <v>N</v>
      </c>
      <c r="BU3007" s="109">
        <f t="shared" si="2154"/>
        <v>9.852216748768473E-3</v>
      </c>
      <c r="BV3007" s="109">
        <f t="shared" si="2161"/>
        <v>9.852216748768473E-3</v>
      </c>
      <c r="BW3007" s="109">
        <f t="shared" si="2179"/>
        <v>0</v>
      </c>
      <c r="BX3007" s="111">
        <f t="shared" si="2155"/>
        <v>0</v>
      </c>
      <c r="BY3007" s="129">
        <f t="shared" si="2162"/>
        <v>-2</v>
      </c>
      <c r="BZ3007" s="111">
        <f t="shared" si="2163"/>
        <v>0</v>
      </c>
      <c r="CA3007" s="138">
        <f t="shared" si="2164"/>
        <v>2</v>
      </c>
      <c r="CB3007" s="111" t="e">
        <f t="shared" si="2185"/>
        <v>#VALUE!</v>
      </c>
      <c r="CC3007" s="129">
        <f>M3007-I3007+1</f>
        <v>2</v>
      </c>
      <c r="CD3007" s="111">
        <f>CC3007-BF3007</f>
        <v>0</v>
      </c>
      <c r="CG3007" s="129" t="str">
        <f t="shared" si="2165"/>
        <v>N</v>
      </c>
      <c r="CI3007" s="129" t="str">
        <f t="shared" si="2167"/>
        <v>0-10 DAYS</v>
      </c>
      <c r="CJ3007" s="137">
        <f t="shared" si="2168"/>
        <v>1</v>
      </c>
      <c r="CK3007" s="129" t="str">
        <f t="shared" si="2169"/>
        <v>Booked</v>
      </c>
    </row>
    <row r="3008" spans="1:89" ht="15" customHeight="1" x14ac:dyDescent="0.25">
      <c r="A3008" s="111">
        <v>2268</v>
      </c>
      <c r="B3008" s="128" t="str">
        <f t="shared" si="2156"/>
        <v>N</v>
      </c>
      <c r="C3008" s="128" t="str">
        <f t="shared" si="2157"/>
        <v>N</v>
      </c>
      <c r="D3008" s="117">
        <v>2611386</v>
      </c>
      <c r="E3008" s="135">
        <f t="shared" si="2158"/>
        <v>4</v>
      </c>
      <c r="F3008" s="124">
        <v>40995</v>
      </c>
      <c r="G3008" s="125">
        <v>41001</v>
      </c>
      <c r="H3008" s="117">
        <v>2611386</v>
      </c>
      <c r="I3008" s="124">
        <v>40995</v>
      </c>
      <c r="J3008" s="124">
        <v>41001</v>
      </c>
      <c r="K3008" s="126">
        <v>15000</v>
      </c>
      <c r="L3008" s="127" t="s">
        <v>571</v>
      </c>
      <c r="N3008" s="129" t="str">
        <f t="shared" si="2182"/>
        <v>N</v>
      </c>
      <c r="O3008" s="128" t="s">
        <v>917</v>
      </c>
      <c r="P3008" s="129" t="s">
        <v>39</v>
      </c>
      <c r="Q3008" s="111">
        <f t="shared" si="2176"/>
        <v>7</v>
      </c>
      <c r="R3008" s="111">
        <f t="shared" si="2186"/>
        <v>7</v>
      </c>
      <c r="S3008" s="129">
        <v>0</v>
      </c>
      <c r="T3008" s="129">
        <v>0</v>
      </c>
      <c r="W3008" s="111"/>
      <c r="AB3008" s="131" t="s">
        <v>112</v>
      </c>
      <c r="AC3008" s="130"/>
      <c r="AD3008" s="130">
        <v>28016</v>
      </c>
      <c r="AE3008" s="128" t="s">
        <v>32</v>
      </c>
      <c r="AF3008" s="128" t="s">
        <v>40</v>
      </c>
      <c r="AG3008" s="128" t="s">
        <v>41</v>
      </c>
      <c r="AH3008" s="108" t="s">
        <v>31</v>
      </c>
      <c r="AI3008" s="128" t="s">
        <v>95</v>
      </c>
      <c r="AJ3008" s="129" t="s">
        <v>89</v>
      </c>
      <c r="AK3008" s="129">
        <v>2</v>
      </c>
      <c r="AL3008" s="3" t="s">
        <v>991</v>
      </c>
      <c r="AO3008" s="128">
        <v>90</v>
      </c>
      <c r="AP3008" s="129" t="s">
        <v>43</v>
      </c>
      <c r="AR3008" s="128" t="s">
        <v>44</v>
      </c>
      <c r="AS3008" s="129" t="s">
        <v>45</v>
      </c>
      <c r="BC3008" s="129" t="s">
        <v>99</v>
      </c>
      <c r="BF3008" s="111">
        <f t="shared" si="2183"/>
        <v>7</v>
      </c>
      <c r="BG3008" s="111">
        <f t="shared" si="2184"/>
        <v>7</v>
      </c>
      <c r="BH3008" s="111">
        <f t="shared" si="2187"/>
        <v>7</v>
      </c>
      <c r="BI3008" s="111">
        <f t="shared" si="2189"/>
        <v>35.461748633879779</v>
      </c>
      <c r="BJ3008" s="129">
        <f t="shared" si="2159"/>
        <v>0</v>
      </c>
      <c r="BK3008" s="129">
        <f t="shared" si="2188"/>
        <v>0</v>
      </c>
      <c r="BL3008" s="129" t="str">
        <f t="shared" si="2181"/>
        <v>CONVICTION</v>
      </c>
      <c r="BM3008" s="129" t="str">
        <f t="shared" ref="BM3008:BM3067" si="2190">O3008</f>
        <v>NONE</v>
      </c>
      <c r="BN3008" s="129" t="s">
        <v>566</v>
      </c>
      <c r="BP3008" s="137" t="str">
        <f t="shared" ref="BP3008:BP3071" si="2191">IF(OR(AJ3008="AQUITTAL",AJ3008="DISMISSED",AJ3008="FINE",AJ3008="NO BILL"),"NO CONVICTION",IF(OR(AJ3008="HCJ",AJ3008="MHH",AJ3008="PROBATION",AJ3008="STJ",AJ3008="TDC",AJ3008="CONVICTED"),"CONVICTION",IF(AJ3008="DEFERRED","DEFERRED","")))</f>
        <v>CONVICTION</v>
      </c>
      <c r="BQ3008" s="128" t="str">
        <f t="shared" si="2160"/>
        <v>Y</v>
      </c>
      <c r="BR3008" s="129" t="str">
        <f t="shared" ref="BR3008:BR3070" si="2192">IF(AND(J3008="NOT BOOKED",M3008&gt;1/1/1),"BONDED - BEFORE BOOKED",IF(BG3008="STILL OPEN","STILL OPEN",IF(N3008="Y","ON BOND",IF(J3008&gt;=G3008,"DETAINED","RELEASED"))))</f>
        <v>DETAINED</v>
      </c>
      <c r="BS3008" s="129" t="str">
        <f t="shared" ref="BS3008:BS3071" si="2193">IF(G3008&lt;&gt;"","DISPOSED","")</f>
        <v>DISPOSED</v>
      </c>
      <c r="BT3008" s="129" t="str">
        <f t="shared" ref="BT3008:BT3071" si="2194">IF(S3008&gt;0,"Y","N")</f>
        <v>N</v>
      </c>
      <c r="BU3008" s="109">
        <f t="shared" ref="BU3008:BU3070" si="2195">Q3008/R3008</f>
        <v>1</v>
      </c>
      <c r="BV3008" s="109">
        <f t="shared" si="2161"/>
        <v>1</v>
      </c>
      <c r="BW3008" s="109">
        <f t="shared" si="2179"/>
        <v>0</v>
      </c>
      <c r="BX3008" s="111">
        <f t="shared" ref="BX3008:BX3071" si="2196">+Q3008-BF3008</f>
        <v>0</v>
      </c>
      <c r="BY3008" s="129">
        <f t="shared" si="2162"/>
        <v>-7</v>
      </c>
      <c r="BZ3008" s="111">
        <f t="shared" si="2163"/>
        <v>0</v>
      </c>
      <c r="CA3008" s="138">
        <f t="shared" si="2164"/>
        <v>7</v>
      </c>
      <c r="CB3008" s="111" t="e">
        <f t="shared" si="2185"/>
        <v>#VALUE!</v>
      </c>
      <c r="CC3008" s="129">
        <f>G3008-I3008+1</f>
        <v>7</v>
      </c>
      <c r="CD3008" s="129">
        <f>G3008-J3008</f>
        <v>0</v>
      </c>
      <c r="CG3008" s="129" t="str">
        <f t="shared" si="2165"/>
        <v>N</v>
      </c>
      <c r="CI3008" s="129" t="str">
        <f t="shared" si="2167"/>
        <v>0-10 DAYS</v>
      </c>
      <c r="CJ3008" s="137">
        <f t="shared" si="2168"/>
        <v>1</v>
      </c>
      <c r="CK3008" s="129" t="str">
        <f t="shared" si="2169"/>
        <v>Booked</v>
      </c>
    </row>
    <row r="3009" spans="1:89" ht="15" customHeight="1" x14ac:dyDescent="0.25">
      <c r="A3009" s="111">
        <v>2276</v>
      </c>
      <c r="B3009" s="128" t="str">
        <f t="shared" ref="B3009:B3072" si="2197">IF(BD3009&lt;&gt;"","Y","N")</f>
        <v>N</v>
      </c>
      <c r="C3009" s="128" t="str">
        <f t="shared" ref="C3009:C3072" si="2198">IF((AND(AV3009="",AX3009="",AY3009="")),"N","Y")</f>
        <v>N</v>
      </c>
      <c r="D3009" s="117">
        <v>2611440</v>
      </c>
      <c r="E3009" s="135">
        <f t="shared" ref="E3009:E3072" si="2199">IF(OR(AL3009="ACQUITTAL",AL3009="ACQUIT",AL3009="acq insane",AL3009="DISMISSED",AL3009="NO BILL"),1,IF(AL3009="DEFERRED",2,IF(AL3009="PROBATION",3,IF(OR(AL3009="HCJ",AL3009="fine"),4,IF(AL3009="STJ",5,IF(AL3009="TDC",6,""))))))</f>
        <v>1</v>
      </c>
      <c r="F3009" s="124">
        <v>40995</v>
      </c>
      <c r="G3009" s="125">
        <v>41072</v>
      </c>
      <c r="H3009" s="117">
        <v>2611440</v>
      </c>
      <c r="I3009" s="124">
        <v>40995</v>
      </c>
      <c r="J3009" s="124">
        <v>41072</v>
      </c>
      <c r="K3009" s="126">
        <v>2000</v>
      </c>
      <c r="L3009" s="127" t="s">
        <v>568</v>
      </c>
      <c r="N3009" s="129" t="str">
        <f t="shared" si="2182"/>
        <v>N</v>
      </c>
      <c r="O3009" s="128" t="s">
        <v>917</v>
      </c>
      <c r="P3009" s="129" t="s">
        <v>55</v>
      </c>
      <c r="Q3009" s="111">
        <f t="shared" si="2176"/>
        <v>78</v>
      </c>
      <c r="R3009" s="111">
        <f t="shared" si="2186"/>
        <v>78</v>
      </c>
      <c r="S3009" s="129">
        <v>0</v>
      </c>
      <c r="T3009" s="129">
        <v>0</v>
      </c>
      <c r="W3009" s="111"/>
      <c r="AC3009" s="130"/>
      <c r="AD3009" s="130">
        <v>23478</v>
      </c>
      <c r="AE3009" s="128" t="s">
        <v>46</v>
      </c>
      <c r="AF3009" s="128" t="s">
        <v>69</v>
      </c>
      <c r="AG3009" s="128" t="s">
        <v>874</v>
      </c>
      <c r="AH3009" s="108" t="s">
        <v>31</v>
      </c>
      <c r="AI3009" s="128" t="s">
        <v>72</v>
      </c>
      <c r="AJ3009" s="129" t="s">
        <v>55</v>
      </c>
      <c r="AK3009" s="129">
        <v>4</v>
      </c>
      <c r="AL3009" s="3" t="s">
        <v>55</v>
      </c>
      <c r="AP3009" s="129" t="s">
        <v>43</v>
      </c>
      <c r="AR3009" s="128" t="s">
        <v>44</v>
      </c>
      <c r="AS3009" s="129" t="s">
        <v>45</v>
      </c>
      <c r="BC3009" s="129" t="s">
        <v>38</v>
      </c>
      <c r="BF3009" s="111">
        <f t="shared" si="2183"/>
        <v>78</v>
      </c>
      <c r="BG3009" s="111">
        <f t="shared" si="2184"/>
        <v>78</v>
      </c>
      <c r="BH3009" s="111">
        <f t="shared" si="2187"/>
        <v>78</v>
      </c>
      <c r="BI3009" s="111">
        <f t="shared" si="2189"/>
        <v>47.860655737704917</v>
      </c>
      <c r="BJ3009" s="129">
        <f>G3009-J3009-M3009</f>
        <v>0</v>
      </c>
      <c r="BK3009" s="129">
        <f t="shared" si="2188"/>
        <v>0</v>
      </c>
      <c r="BL3009" s="129" t="str">
        <f t="shared" si="2181"/>
        <v>NO CONVICTION</v>
      </c>
      <c r="BM3009" s="129" t="str">
        <f t="shared" si="2190"/>
        <v>NONE</v>
      </c>
      <c r="BN3009" s="129" t="s">
        <v>566</v>
      </c>
      <c r="BP3009" s="137" t="str">
        <f t="shared" si="2191"/>
        <v>NO CONVICTION</v>
      </c>
      <c r="BQ3009" s="128" t="str">
        <f t="shared" ref="BQ3009:BQ3072" si="2200">IF(BF3009&gt;0,"Y",BF3009)</f>
        <v>Y</v>
      </c>
      <c r="BR3009" s="129" t="str">
        <f t="shared" si="2192"/>
        <v>DETAINED</v>
      </c>
      <c r="BS3009" s="129" t="str">
        <f t="shared" si="2193"/>
        <v>DISPOSED</v>
      </c>
      <c r="BT3009" s="129" t="str">
        <f t="shared" si="2194"/>
        <v>N</v>
      </c>
      <c r="BU3009" s="109">
        <f>IFERROR(Q3009/R3009,BR3009)</f>
        <v>1</v>
      </c>
      <c r="BV3009" s="109">
        <f t="shared" ref="BV3009:BV3072" si="2201">IF(I3009&gt;F3009,((J3009-I3009+1)/(G3009-I3009+1)),(J3009-I3009+1)/(G3009-F3009+1))</f>
        <v>1</v>
      </c>
      <c r="BW3009" s="109">
        <f t="shared" si="2179"/>
        <v>0</v>
      </c>
      <c r="BX3009" s="111">
        <f t="shared" si="2196"/>
        <v>0</v>
      </c>
      <c r="BY3009" s="129">
        <f t="shared" ref="BY3009:BY3072" si="2202">I3009-J3009-1</f>
        <v>-78</v>
      </c>
      <c r="BZ3009" s="111">
        <f t="shared" ref="BZ3009:BZ3072" si="2203">BY3009+BF3009</f>
        <v>0</v>
      </c>
      <c r="CA3009" s="138">
        <f t="shared" ref="CA3009:CA3072" si="2204">IF(AND(BS3009="DISPOSED",BR3009="DETAINED"),G3009-I3009+1,IF(AND(BS3009="DISPOSED",BR3009="ON BOND"),M3009-I3009+1,IF(AND(BS3009="STILL OPEN","STILL OPEN"),"NOT BOOKED")))</f>
        <v>78</v>
      </c>
      <c r="CB3009" s="111" t="e">
        <f t="shared" si="2185"/>
        <v>#VALUE!</v>
      </c>
      <c r="CC3009" s="129">
        <f>G3009-I3009+1</f>
        <v>78</v>
      </c>
      <c r="CD3009" s="129">
        <f>G3009-J3009</f>
        <v>0</v>
      </c>
      <c r="CG3009" s="129" t="str">
        <f t="shared" ref="CG3009:CG3072" si="2205">IF((S3009+T3009+U3009)&gt;0,"Y","N")</f>
        <v>N</v>
      </c>
      <c r="CI3009" s="129" t="str">
        <f t="shared" si="2167"/>
        <v>61-90 DAYS</v>
      </c>
      <c r="CJ3009" s="137">
        <f t="shared" si="2168"/>
        <v>4</v>
      </c>
      <c r="CK3009" s="129" t="str">
        <f t="shared" si="2169"/>
        <v>Booked</v>
      </c>
    </row>
    <row r="3010" spans="1:89" ht="15" customHeight="1" x14ac:dyDescent="0.25">
      <c r="A3010" s="111">
        <v>2282</v>
      </c>
      <c r="B3010" s="128" t="str">
        <f t="shared" si="2197"/>
        <v>N</v>
      </c>
      <c r="C3010" s="128" t="str">
        <f t="shared" si="2198"/>
        <v>Y</v>
      </c>
      <c r="D3010" s="117">
        <v>2611552</v>
      </c>
      <c r="E3010" s="135">
        <f t="shared" si="2199"/>
        <v>2</v>
      </c>
      <c r="F3010" s="124">
        <v>41010</v>
      </c>
      <c r="G3010" s="125">
        <v>41572</v>
      </c>
      <c r="H3010" s="117">
        <v>2611552</v>
      </c>
      <c r="I3010" s="124">
        <v>41012</v>
      </c>
      <c r="J3010" s="124">
        <v>41018</v>
      </c>
      <c r="K3010" s="126">
        <v>40000</v>
      </c>
      <c r="L3010" s="129" t="s">
        <v>572</v>
      </c>
      <c r="M3010" s="124">
        <v>41018</v>
      </c>
      <c r="N3010" s="129" t="str">
        <f t="shared" si="2182"/>
        <v>Y</v>
      </c>
      <c r="O3010" s="128" t="s">
        <v>76</v>
      </c>
      <c r="P3010" s="129" t="s">
        <v>589</v>
      </c>
      <c r="Q3010" s="111">
        <v>65</v>
      </c>
      <c r="R3010" s="111">
        <f t="shared" si="2186"/>
        <v>563</v>
      </c>
      <c r="S3010" s="129">
        <v>0</v>
      </c>
      <c r="T3010" s="129">
        <v>0</v>
      </c>
      <c r="W3010" s="111"/>
      <c r="AC3010" s="130"/>
      <c r="AD3010" s="130">
        <v>33713</v>
      </c>
      <c r="AE3010" s="128" t="s">
        <v>32</v>
      </c>
      <c r="AF3010" s="128" t="s">
        <v>33</v>
      </c>
      <c r="AG3010" s="128" t="s">
        <v>872</v>
      </c>
      <c r="AH3010" s="108" t="s">
        <v>31</v>
      </c>
      <c r="AI3010" s="128" t="s">
        <v>65</v>
      </c>
      <c r="AJ3010" s="129" t="s">
        <v>48</v>
      </c>
      <c r="AK3010" s="129">
        <v>17</v>
      </c>
      <c r="AL3010" s="3" t="s">
        <v>48</v>
      </c>
      <c r="AP3010" s="129" t="s">
        <v>1167</v>
      </c>
      <c r="AR3010" s="128" t="s">
        <v>50</v>
      </c>
      <c r="AS3010" s="129" t="s">
        <v>106</v>
      </c>
      <c r="AT3010" s="129" t="s">
        <v>1168</v>
      </c>
      <c r="AU3010" s="118" t="s">
        <v>1169</v>
      </c>
      <c r="AW3010" s="3"/>
      <c r="AX3010" s="32" t="s">
        <v>88</v>
      </c>
      <c r="BC3010" s="129" t="s">
        <v>52</v>
      </c>
      <c r="BF3010" s="111">
        <v>65</v>
      </c>
      <c r="BG3010" s="111">
        <f t="shared" si="2184"/>
        <v>561</v>
      </c>
      <c r="BH3010" s="111">
        <f t="shared" si="2187"/>
        <v>563</v>
      </c>
      <c r="BI3010" s="111">
        <f t="shared" si="2189"/>
        <v>19.937158469945356</v>
      </c>
      <c r="BJ3010" s="129">
        <f>(G3010-J3010)+(M3010-G3010)</f>
        <v>0</v>
      </c>
      <c r="BK3010" s="129">
        <f t="shared" si="2188"/>
        <v>-554</v>
      </c>
      <c r="BL3010" s="129" t="str">
        <f t="shared" si="2181"/>
        <v>DEFERRED</v>
      </c>
      <c r="BM3010" s="129" t="s">
        <v>76</v>
      </c>
      <c r="BN3010" s="129" t="s">
        <v>88</v>
      </c>
      <c r="BP3010" s="137" t="str">
        <f t="shared" si="2191"/>
        <v>DEFERRED</v>
      </c>
      <c r="BQ3010" s="128" t="str">
        <f t="shared" si="2200"/>
        <v>Y</v>
      </c>
      <c r="BR3010" s="129" t="str">
        <f t="shared" si="2192"/>
        <v>ON BOND</v>
      </c>
      <c r="BS3010" s="129" t="str">
        <f t="shared" si="2193"/>
        <v>DISPOSED</v>
      </c>
      <c r="BT3010" s="129" t="str">
        <f t="shared" si="2194"/>
        <v>N</v>
      </c>
      <c r="BU3010" s="109">
        <f t="shared" si="2195"/>
        <v>0.11545293072824156</v>
      </c>
      <c r="BV3010" s="109">
        <f t="shared" si="2201"/>
        <v>1.2477718360071301E-2</v>
      </c>
      <c r="BW3010" s="109">
        <f t="shared" si="2179"/>
        <v>-0.10297521236817025</v>
      </c>
      <c r="BX3010" s="111">
        <f t="shared" si="2196"/>
        <v>0</v>
      </c>
      <c r="BY3010" s="129">
        <f t="shared" si="2202"/>
        <v>-7</v>
      </c>
      <c r="BZ3010" s="111">
        <f t="shared" si="2203"/>
        <v>58</v>
      </c>
      <c r="CA3010" s="138">
        <f t="shared" si="2204"/>
        <v>7</v>
      </c>
      <c r="CB3010" s="111">
        <v>65</v>
      </c>
      <c r="CD3010" s="129">
        <f>G3010-J3010</f>
        <v>554</v>
      </c>
      <c r="CG3010" s="129" t="str">
        <f t="shared" si="2205"/>
        <v>N</v>
      </c>
      <c r="CI3010" s="129" t="str">
        <f t="shared" si="2167"/>
        <v>61-90 DAYS</v>
      </c>
      <c r="CJ3010" s="137">
        <f t="shared" si="2168"/>
        <v>4</v>
      </c>
      <c r="CK3010" s="129" t="str">
        <f t="shared" si="2169"/>
        <v>Booked</v>
      </c>
    </row>
    <row r="3011" spans="1:89" ht="15.75" customHeight="1" x14ac:dyDescent="0.25">
      <c r="A3011" s="111">
        <v>2283</v>
      </c>
      <c r="B3011" s="128" t="str">
        <f t="shared" si="2197"/>
        <v>N</v>
      </c>
      <c r="C3011" s="128" t="str">
        <f t="shared" si="2198"/>
        <v>N</v>
      </c>
      <c r="D3011" s="117">
        <v>2611562</v>
      </c>
      <c r="E3011" s="135">
        <f t="shared" si="2199"/>
        <v>6</v>
      </c>
      <c r="F3011" s="124">
        <v>40995</v>
      </c>
      <c r="G3011" s="125">
        <v>41150</v>
      </c>
      <c r="H3011" s="117">
        <v>2611562</v>
      </c>
      <c r="I3011" s="124">
        <v>40998</v>
      </c>
      <c r="J3011" s="124">
        <v>41150</v>
      </c>
      <c r="K3011" s="126">
        <v>10000</v>
      </c>
      <c r="L3011" s="127" t="s">
        <v>570</v>
      </c>
      <c r="N3011" s="129" t="str">
        <f t="shared" si="2182"/>
        <v>N</v>
      </c>
      <c r="O3011" s="128" t="s">
        <v>917</v>
      </c>
      <c r="P3011" s="129" t="s">
        <v>39</v>
      </c>
      <c r="Q3011" s="111">
        <f t="shared" ref="Q3011:Q3025" si="2206">BF3011</f>
        <v>153</v>
      </c>
      <c r="R3011" s="111">
        <f t="shared" si="2186"/>
        <v>156</v>
      </c>
      <c r="S3011" s="129">
        <v>0</v>
      </c>
      <c r="T3011" s="129">
        <v>0</v>
      </c>
      <c r="W3011" s="111"/>
      <c r="AB3011" s="131" t="s">
        <v>112</v>
      </c>
      <c r="AC3011" s="130"/>
      <c r="AD3011" s="130">
        <v>34484</v>
      </c>
      <c r="AE3011" s="128" t="s">
        <v>32</v>
      </c>
      <c r="AF3011" s="128" t="s">
        <v>40</v>
      </c>
      <c r="AG3011" s="128" t="s">
        <v>41</v>
      </c>
      <c r="AH3011" s="108" t="s">
        <v>31</v>
      </c>
      <c r="AI3011" s="128" t="s">
        <v>42</v>
      </c>
      <c r="AJ3011" s="129" t="s">
        <v>89</v>
      </c>
      <c r="AK3011" s="129">
        <v>7</v>
      </c>
      <c r="AL3011" s="3" t="s">
        <v>362</v>
      </c>
      <c r="AM3011" s="117">
        <v>3</v>
      </c>
      <c r="AP3011" s="129" t="s">
        <v>56</v>
      </c>
      <c r="AR3011" s="128" t="s">
        <v>50</v>
      </c>
      <c r="AS3011" s="129" t="s">
        <v>57</v>
      </c>
      <c r="BC3011" s="129" t="s">
        <v>52</v>
      </c>
      <c r="BF3011" s="111">
        <f>IF(J3011&gt;1/1/1900,((J3011+1)-I3011),"STILL OPEN")</f>
        <v>153</v>
      </c>
      <c r="BG3011" s="111">
        <f t="shared" si="2184"/>
        <v>153</v>
      </c>
      <c r="BH3011" s="111">
        <f t="shared" si="2187"/>
        <v>156</v>
      </c>
      <c r="BI3011" s="111">
        <f t="shared" si="2189"/>
        <v>17.789617486338798</v>
      </c>
      <c r="BJ3011" s="129">
        <f>G3011-J3011-M3011</f>
        <v>0</v>
      </c>
      <c r="BK3011" s="129">
        <f t="shared" si="2188"/>
        <v>0</v>
      </c>
      <c r="BL3011" s="129" t="str">
        <f t="shared" si="2181"/>
        <v>CONVICTION</v>
      </c>
      <c r="BM3011" s="129" t="str">
        <f t="shared" si="2190"/>
        <v>NONE</v>
      </c>
      <c r="BN3011" s="129" t="s">
        <v>566</v>
      </c>
      <c r="BP3011" s="137" t="str">
        <f t="shared" si="2191"/>
        <v>CONVICTION</v>
      </c>
      <c r="BQ3011" s="128" t="str">
        <f t="shared" si="2200"/>
        <v>Y</v>
      </c>
      <c r="BR3011" s="129" t="str">
        <f t="shared" si="2192"/>
        <v>DETAINED</v>
      </c>
      <c r="BS3011" s="129" t="str">
        <f t="shared" si="2193"/>
        <v>DISPOSED</v>
      </c>
      <c r="BT3011" s="129" t="str">
        <f t="shared" si="2194"/>
        <v>N</v>
      </c>
      <c r="BU3011" s="109">
        <f t="shared" si="2195"/>
        <v>0.98076923076923073</v>
      </c>
      <c r="BV3011" s="109">
        <f t="shared" si="2201"/>
        <v>1</v>
      </c>
      <c r="BW3011" s="109">
        <f t="shared" si="2179"/>
        <v>1.9230769230769273E-2</v>
      </c>
      <c r="BX3011" s="111">
        <f t="shared" si="2196"/>
        <v>0</v>
      </c>
      <c r="BY3011" s="129">
        <f t="shared" si="2202"/>
        <v>-153</v>
      </c>
      <c r="BZ3011" s="111">
        <f t="shared" si="2203"/>
        <v>0</v>
      </c>
      <c r="CA3011" s="138">
        <f t="shared" si="2204"/>
        <v>153</v>
      </c>
      <c r="CB3011" s="111" t="e">
        <f>IF(AF3011&gt;1/1/1900,((AF3011+1)-AE3011),"STILL OPEN")</f>
        <v>#VALUE!</v>
      </c>
      <c r="CC3011" s="129">
        <f>G3011-I3011+1</f>
        <v>153</v>
      </c>
      <c r="CD3011" s="129">
        <f>G3011-J3011</f>
        <v>0</v>
      </c>
      <c r="CG3011" s="129" t="str">
        <f t="shared" si="2205"/>
        <v>N</v>
      </c>
      <c r="CI3011" s="129" t="str">
        <f t="shared" ref="CI3011:CI3074" si="2207">IF(BF3011&lt;11,"0-10 DAYS",IF(AND(BF3011&gt;10,BF3011&lt;31),"11-30 DAYS",IF((AND(BF3011&gt;30,BF3011&lt;61)),"31-60 DAYS",IF(AND(BF3011&gt;60,BF3011&lt;91),"61-90 DAYS",IF(AND(BF3011&gt;90,BF3011&lt;121),"91-120 DAYS",IF(AND(BF3011&gt;120,BF3011&lt;366),"121-365 DAYS",IF(AND(BF3011&gt;365,BF3011&lt;730)," &gt;1YRS&lt;2YRS",IF(AND(BF3011&gt;729,BF3011&lt;1095),"&gt;2YRS&lt;3YRS",IF(BF3011&gt;1094,"&gt;3YRS")))))))))</f>
        <v>121-365 DAYS</v>
      </c>
      <c r="CJ3011" s="137">
        <f t="shared" ref="CJ3011:CJ3074" si="2208">IF(CI3011="0-10 DAYS",1,IF(CI3011="11-30 DAYS",2,IF(CI3011="31-60 DAYS",3,IF(CI3011="61-90 DAYS",4,IF(CK3011="91-120 DAYS",5,IF(CI3011="121-365 DAYS",6,IF(CI3011="&gt;1YRS&lt;2YRS",7,IF(CI3011="&gt;2YRS&lt;3YRS",8,IF(CI3011="&gt;3YRS",9,0)))))))))</f>
        <v>6</v>
      </c>
      <c r="CK3011" s="129" t="str">
        <f t="shared" ref="CK3011:CK3074" si="2209">IF(I3011="Not Booked","Not Booked","Booked")</f>
        <v>Booked</v>
      </c>
    </row>
    <row r="3012" spans="1:89" ht="15" customHeight="1" x14ac:dyDescent="0.25">
      <c r="A3012" s="111">
        <v>2286</v>
      </c>
      <c r="B3012" s="128" t="str">
        <f t="shared" si="2197"/>
        <v>N</v>
      </c>
      <c r="C3012" s="128" t="str">
        <f t="shared" si="2198"/>
        <v>N</v>
      </c>
      <c r="D3012" s="117">
        <v>2611566</v>
      </c>
      <c r="E3012" s="135">
        <f t="shared" si="2199"/>
        <v>2</v>
      </c>
      <c r="F3012" s="124">
        <v>40995</v>
      </c>
      <c r="G3012" s="125">
        <v>41123</v>
      </c>
      <c r="H3012" s="117">
        <v>2611566</v>
      </c>
      <c r="I3012" s="124" t="s">
        <v>562</v>
      </c>
      <c r="J3012" s="124" t="s">
        <v>562</v>
      </c>
      <c r="K3012" s="126">
        <v>5000</v>
      </c>
      <c r="L3012" s="127" t="s">
        <v>569</v>
      </c>
      <c r="M3012" s="125">
        <v>40996</v>
      </c>
      <c r="N3012" s="129" t="str">
        <f>IF(M3012&gt;1/1/1,"Y",IF(Q3012="0","","N"))</f>
        <v>Y</v>
      </c>
      <c r="O3012" s="128" t="s">
        <v>76</v>
      </c>
      <c r="P3012" s="129" t="s">
        <v>589</v>
      </c>
      <c r="Q3012" s="111">
        <f t="shared" si="2206"/>
        <v>0</v>
      </c>
      <c r="R3012" s="111">
        <f t="shared" si="2186"/>
        <v>129</v>
      </c>
      <c r="S3012" s="129">
        <v>0</v>
      </c>
      <c r="T3012" s="129">
        <v>0</v>
      </c>
      <c r="W3012" s="111"/>
      <c r="AB3012" s="131" t="s">
        <v>112</v>
      </c>
      <c r="AC3012" s="130"/>
      <c r="AD3012" s="130">
        <v>34509</v>
      </c>
      <c r="AE3012" s="128" t="s">
        <v>32</v>
      </c>
      <c r="AF3012" s="128" t="s">
        <v>40</v>
      </c>
      <c r="AG3012" s="128" t="s">
        <v>41</v>
      </c>
      <c r="AH3012" s="108" t="s">
        <v>31</v>
      </c>
      <c r="AI3012" s="128" t="s">
        <v>65</v>
      </c>
      <c r="AJ3012" s="129" t="s">
        <v>48</v>
      </c>
      <c r="AK3012" s="129">
        <v>7</v>
      </c>
      <c r="AL3012" s="3" t="s">
        <v>48</v>
      </c>
      <c r="AP3012" s="129" t="s">
        <v>56</v>
      </c>
      <c r="AR3012" s="128" t="s">
        <v>50</v>
      </c>
      <c r="AS3012" s="129" t="s">
        <v>57</v>
      </c>
      <c r="AX3012" s="32"/>
      <c r="BC3012" s="129" t="s">
        <v>52</v>
      </c>
      <c r="BF3012" s="111">
        <v>0</v>
      </c>
      <c r="BG3012" s="111">
        <v>0</v>
      </c>
      <c r="BH3012" s="111">
        <f t="shared" si="2187"/>
        <v>129</v>
      </c>
      <c r="BI3012" s="111">
        <f t="shared" si="2189"/>
        <v>17.721311475409838</v>
      </c>
      <c r="BJ3012" s="129" t="e">
        <f>(G3012-J3012)+(M3012-G3012)</f>
        <v>#VALUE!</v>
      </c>
      <c r="BK3012" s="129" t="e">
        <f t="shared" si="2188"/>
        <v>#VALUE!</v>
      </c>
      <c r="BL3012" s="129" t="str">
        <f t="shared" si="2181"/>
        <v>DEFERRED</v>
      </c>
      <c r="BM3012" s="129" t="s">
        <v>76</v>
      </c>
      <c r="BN3012" s="129" t="s">
        <v>88</v>
      </c>
      <c r="BP3012" s="137" t="str">
        <f t="shared" si="2191"/>
        <v>DEFERRED</v>
      </c>
      <c r="BQ3012" s="128">
        <f t="shared" si="2200"/>
        <v>0</v>
      </c>
      <c r="BR3012" s="129" t="s">
        <v>575</v>
      </c>
      <c r="BS3012" s="129" t="str">
        <f t="shared" si="2193"/>
        <v>DISPOSED</v>
      </c>
      <c r="BT3012" s="129" t="str">
        <f t="shared" si="2194"/>
        <v>N</v>
      </c>
      <c r="BU3012" s="109">
        <f t="shared" si="2195"/>
        <v>0</v>
      </c>
      <c r="BV3012" s="109">
        <v>0</v>
      </c>
      <c r="BW3012" s="109">
        <f t="shared" si="2179"/>
        <v>0</v>
      </c>
      <c r="BX3012" s="111">
        <f t="shared" si="2196"/>
        <v>0</v>
      </c>
      <c r="BY3012" s="129" t="e">
        <f t="shared" si="2202"/>
        <v>#VALUE!</v>
      </c>
      <c r="BZ3012" s="111" t="e">
        <f t="shared" si="2203"/>
        <v>#VALUE!</v>
      </c>
      <c r="CA3012" s="138" t="e">
        <f t="shared" si="2204"/>
        <v>#VALUE!</v>
      </c>
      <c r="CB3012" s="111">
        <v>0</v>
      </c>
      <c r="CC3012" s="129">
        <v>0</v>
      </c>
      <c r="CD3012" s="111">
        <f>CC3012-BF3012</f>
        <v>0</v>
      </c>
      <c r="CG3012" s="129" t="str">
        <f t="shared" si="2205"/>
        <v>N</v>
      </c>
      <c r="CI3012" s="129" t="str">
        <f t="shared" si="2207"/>
        <v>0-10 DAYS</v>
      </c>
      <c r="CJ3012" s="137">
        <f t="shared" si="2208"/>
        <v>1</v>
      </c>
      <c r="CK3012" s="129" t="str">
        <f t="shared" si="2209"/>
        <v>Not Booked</v>
      </c>
    </row>
    <row r="3013" spans="1:89" ht="15" customHeight="1" x14ac:dyDescent="0.25">
      <c r="A3013" s="111">
        <v>2290</v>
      </c>
      <c r="B3013" s="128" t="str">
        <f t="shared" si="2197"/>
        <v>Y</v>
      </c>
      <c r="C3013" s="128" t="str">
        <f t="shared" si="2198"/>
        <v>Y</v>
      </c>
      <c r="D3013" s="117">
        <v>2611573</v>
      </c>
      <c r="E3013" s="135">
        <f t="shared" si="2199"/>
        <v>2</v>
      </c>
      <c r="F3013" s="124">
        <v>40995</v>
      </c>
      <c r="G3013" s="125">
        <v>41085</v>
      </c>
      <c r="H3013" s="117">
        <v>2611573</v>
      </c>
      <c r="I3013" s="124">
        <v>40996</v>
      </c>
      <c r="J3013" s="124">
        <v>40999</v>
      </c>
      <c r="K3013" s="126">
        <v>20000</v>
      </c>
      <c r="L3013" s="127" t="s">
        <v>571</v>
      </c>
      <c r="M3013" s="125">
        <v>40999</v>
      </c>
      <c r="N3013" s="129" t="str">
        <f>IF(M3013&gt;1/1/1,"Y","N")</f>
        <v>Y</v>
      </c>
      <c r="O3013" s="128" t="s">
        <v>585</v>
      </c>
      <c r="P3013" s="129" t="s">
        <v>589</v>
      </c>
      <c r="Q3013" s="111">
        <f t="shared" si="2206"/>
        <v>23</v>
      </c>
      <c r="R3013" s="111">
        <f t="shared" si="2186"/>
        <v>91</v>
      </c>
      <c r="S3013" s="129">
        <v>0</v>
      </c>
      <c r="T3013" s="129">
        <v>0</v>
      </c>
      <c r="W3013" s="111"/>
      <c r="AC3013" s="130"/>
      <c r="AD3013" s="130">
        <v>32996</v>
      </c>
      <c r="AE3013" s="128" t="s">
        <v>32</v>
      </c>
      <c r="AF3013" s="128" t="s">
        <v>69</v>
      </c>
      <c r="AG3013" s="128" t="s">
        <v>874</v>
      </c>
      <c r="AH3013" s="108" t="s">
        <v>31</v>
      </c>
      <c r="AI3013" s="128" t="s">
        <v>113</v>
      </c>
      <c r="AJ3013" s="129" t="s">
        <v>48</v>
      </c>
      <c r="AK3013" s="129">
        <v>5</v>
      </c>
      <c r="AL3013" s="3" t="s">
        <v>48</v>
      </c>
      <c r="AO3013" s="128">
        <v>30</v>
      </c>
      <c r="AP3013" s="129" t="s">
        <v>132</v>
      </c>
      <c r="AR3013" s="128" t="s">
        <v>92</v>
      </c>
      <c r="AS3013" s="129" t="s">
        <v>82</v>
      </c>
      <c r="AU3013" s="118" t="s">
        <v>765</v>
      </c>
      <c r="AX3013" s="32" t="s">
        <v>88</v>
      </c>
      <c r="BC3013" s="129" t="s">
        <v>52</v>
      </c>
      <c r="BD3013" s="129" t="s">
        <v>1306</v>
      </c>
      <c r="BF3013" s="111">
        <v>23</v>
      </c>
      <c r="BG3013" s="111">
        <f>IF(G3013&gt;1/1/1900,((G3013+1)-I3013),"STILL OPEN")</f>
        <v>90</v>
      </c>
      <c r="BH3013" s="111">
        <f t="shared" si="2187"/>
        <v>91</v>
      </c>
      <c r="BI3013" s="111">
        <f t="shared" si="2189"/>
        <v>21.855191256830601</v>
      </c>
      <c r="BJ3013" s="129">
        <f>(G3013-J3013)+(M3013-G3013)</f>
        <v>0</v>
      </c>
      <c r="BK3013" s="129">
        <f t="shared" si="2188"/>
        <v>-86</v>
      </c>
      <c r="BL3013" s="129" t="str">
        <f t="shared" si="2181"/>
        <v>DEFERRED</v>
      </c>
      <c r="BM3013" s="129" t="s">
        <v>76</v>
      </c>
      <c r="BN3013" s="129" t="s">
        <v>88</v>
      </c>
      <c r="BP3013" s="137" t="str">
        <f t="shared" si="2191"/>
        <v>DEFERRED</v>
      </c>
      <c r="BQ3013" s="128" t="str">
        <f t="shared" si="2200"/>
        <v>Y</v>
      </c>
      <c r="BR3013" s="129" t="s">
        <v>574</v>
      </c>
      <c r="BS3013" s="129" t="str">
        <f t="shared" si="2193"/>
        <v>DISPOSED</v>
      </c>
      <c r="BT3013" s="129" t="str">
        <f t="shared" si="2194"/>
        <v>N</v>
      </c>
      <c r="BU3013" s="109">
        <f t="shared" si="2195"/>
        <v>0.25274725274725274</v>
      </c>
      <c r="BV3013" s="109">
        <f t="shared" si="2201"/>
        <v>4.4444444444444446E-2</v>
      </c>
      <c r="BW3013" s="109">
        <f t="shared" si="2179"/>
        <v>-0.20830280830280828</v>
      </c>
      <c r="BX3013" s="111">
        <f t="shared" si="2196"/>
        <v>0</v>
      </c>
      <c r="BY3013" s="129">
        <f t="shared" si="2202"/>
        <v>-4</v>
      </c>
      <c r="BZ3013" s="111">
        <f t="shared" si="2203"/>
        <v>19</v>
      </c>
      <c r="CA3013" s="138">
        <f t="shared" si="2204"/>
        <v>90</v>
      </c>
      <c r="CB3013" s="111">
        <v>23</v>
      </c>
      <c r="CC3013" s="129">
        <f>G3013-I3013+1</f>
        <v>90</v>
      </c>
      <c r="CD3013" s="129">
        <f>G3013-J3013</f>
        <v>86</v>
      </c>
      <c r="CG3013" s="129" t="str">
        <f t="shared" si="2205"/>
        <v>N</v>
      </c>
      <c r="CI3013" s="129" t="str">
        <f t="shared" si="2207"/>
        <v>11-30 DAYS</v>
      </c>
      <c r="CJ3013" s="137">
        <f t="shared" si="2208"/>
        <v>2</v>
      </c>
      <c r="CK3013" s="129" t="str">
        <f t="shared" si="2209"/>
        <v>Booked</v>
      </c>
    </row>
    <row r="3014" spans="1:89" ht="15.75" customHeight="1" x14ac:dyDescent="0.25">
      <c r="A3014" s="111">
        <v>2292</v>
      </c>
      <c r="B3014" s="128" t="str">
        <f t="shared" si="2197"/>
        <v>N</v>
      </c>
      <c r="C3014" s="128" t="str">
        <f t="shared" si="2198"/>
        <v>N</v>
      </c>
      <c r="D3014" s="117">
        <v>2611582</v>
      </c>
      <c r="E3014" s="135">
        <f t="shared" si="2199"/>
        <v>3</v>
      </c>
      <c r="F3014" s="124">
        <v>40995</v>
      </c>
      <c r="G3014" s="125">
        <v>41150</v>
      </c>
      <c r="H3014" s="117">
        <v>2611582</v>
      </c>
      <c r="I3014" s="124" t="s">
        <v>562</v>
      </c>
      <c r="J3014" s="124" t="s">
        <v>562</v>
      </c>
      <c r="K3014" s="126">
        <v>2000</v>
      </c>
      <c r="L3014" s="127" t="s">
        <v>568</v>
      </c>
      <c r="M3014" s="125">
        <v>41001</v>
      </c>
      <c r="N3014" s="129" t="str">
        <f>IF(M3014&gt;1/1/1,"Y",IF(Q3014="0","","N"))</f>
        <v>Y</v>
      </c>
      <c r="O3014" s="128" t="s">
        <v>76</v>
      </c>
      <c r="P3014" s="129" t="s">
        <v>39</v>
      </c>
      <c r="Q3014" s="111">
        <f t="shared" si="2206"/>
        <v>0</v>
      </c>
      <c r="R3014" s="111">
        <f t="shared" si="2186"/>
        <v>156</v>
      </c>
      <c r="S3014" s="129">
        <v>0</v>
      </c>
      <c r="T3014" s="129">
        <v>0</v>
      </c>
      <c r="W3014" s="111"/>
      <c r="AC3014" s="130"/>
      <c r="AD3014" s="130">
        <v>32303</v>
      </c>
      <c r="AE3014" s="128" t="s">
        <v>46</v>
      </c>
      <c r="AF3014" s="128" t="s">
        <v>69</v>
      </c>
      <c r="AG3014" s="128" t="s">
        <v>874</v>
      </c>
      <c r="AH3014" s="108" t="s">
        <v>31</v>
      </c>
      <c r="AI3014" s="128" t="s">
        <v>72</v>
      </c>
      <c r="AJ3014" s="129" t="s">
        <v>89</v>
      </c>
      <c r="AK3014" s="129">
        <v>7</v>
      </c>
      <c r="AL3014" s="3" t="s">
        <v>185</v>
      </c>
      <c r="AP3014" s="129" t="s">
        <v>108</v>
      </c>
      <c r="AR3014" s="128" t="s">
        <v>44</v>
      </c>
      <c r="AS3014" s="129" t="s">
        <v>61</v>
      </c>
      <c r="BC3014" s="129" t="s">
        <v>38</v>
      </c>
      <c r="BF3014" s="111">
        <v>0</v>
      </c>
      <c r="BG3014" s="111">
        <v>0</v>
      </c>
      <c r="BH3014" s="111">
        <f t="shared" si="2187"/>
        <v>156</v>
      </c>
      <c r="BI3014" s="111">
        <f t="shared" si="2189"/>
        <v>23.748633879781419</v>
      </c>
      <c r="BJ3014" s="129" t="e">
        <f>(G3014-J3014)+(M3014-G3014)</f>
        <v>#VALUE!</v>
      </c>
      <c r="BK3014" s="129" t="e">
        <f t="shared" si="2188"/>
        <v>#VALUE!</v>
      </c>
      <c r="BL3014" s="129" t="str">
        <f t="shared" si="2181"/>
        <v>CONVICTION</v>
      </c>
      <c r="BM3014" s="129" t="s">
        <v>76</v>
      </c>
      <c r="BN3014" s="129" t="s">
        <v>88</v>
      </c>
      <c r="BP3014" s="137" t="str">
        <f t="shared" si="2191"/>
        <v>CONVICTION</v>
      </c>
      <c r="BQ3014" s="128">
        <f t="shared" si="2200"/>
        <v>0</v>
      </c>
      <c r="BR3014" s="129" t="s">
        <v>575</v>
      </c>
      <c r="BS3014" s="129" t="str">
        <f t="shared" si="2193"/>
        <v>DISPOSED</v>
      </c>
      <c r="BT3014" s="129" t="str">
        <f t="shared" si="2194"/>
        <v>N</v>
      </c>
      <c r="BU3014" s="109">
        <f t="shared" si="2195"/>
        <v>0</v>
      </c>
      <c r="BV3014" s="109">
        <v>0</v>
      </c>
      <c r="BW3014" s="109">
        <f t="shared" si="2179"/>
        <v>0</v>
      </c>
      <c r="BX3014" s="111">
        <f t="shared" si="2196"/>
        <v>0</v>
      </c>
      <c r="BY3014" s="129" t="e">
        <f t="shared" si="2202"/>
        <v>#VALUE!</v>
      </c>
      <c r="BZ3014" s="111" t="e">
        <f t="shared" si="2203"/>
        <v>#VALUE!</v>
      </c>
      <c r="CA3014" s="138" t="e">
        <f t="shared" si="2204"/>
        <v>#VALUE!</v>
      </c>
      <c r="CB3014" s="111">
        <v>0</v>
      </c>
      <c r="CC3014" s="129">
        <v>0</v>
      </c>
      <c r="CD3014" s="111">
        <f>CC3014-BF3014</f>
        <v>0</v>
      </c>
      <c r="CG3014" s="129" t="str">
        <f t="shared" si="2205"/>
        <v>N</v>
      </c>
      <c r="CI3014" s="129" t="str">
        <f t="shared" si="2207"/>
        <v>0-10 DAYS</v>
      </c>
      <c r="CJ3014" s="137">
        <f t="shared" si="2208"/>
        <v>1</v>
      </c>
      <c r="CK3014" s="129" t="str">
        <f t="shared" si="2209"/>
        <v>Not Booked</v>
      </c>
    </row>
    <row r="3015" spans="1:89" ht="15.75" customHeight="1" x14ac:dyDescent="0.25">
      <c r="A3015" s="111">
        <v>2293</v>
      </c>
      <c r="B3015" s="128" t="str">
        <f t="shared" si="2197"/>
        <v>N</v>
      </c>
      <c r="C3015" s="128" t="str">
        <f t="shared" si="2198"/>
        <v>N</v>
      </c>
      <c r="D3015" s="117">
        <v>2611583</v>
      </c>
      <c r="E3015" s="135">
        <f t="shared" si="2199"/>
        <v>2</v>
      </c>
      <c r="F3015" s="124">
        <v>40997</v>
      </c>
      <c r="G3015" s="125">
        <v>41796</v>
      </c>
      <c r="H3015" s="117">
        <v>2611583</v>
      </c>
      <c r="I3015" s="124">
        <v>41121</v>
      </c>
      <c r="J3015" s="124">
        <v>41144</v>
      </c>
      <c r="K3015" s="126">
        <v>500000</v>
      </c>
      <c r="L3015" s="129" t="s">
        <v>572</v>
      </c>
      <c r="M3015" s="125">
        <v>41144</v>
      </c>
      <c r="N3015" s="129" t="str">
        <f t="shared" ref="N3015" si="2210">IF(M3015&gt;1/1/1,"Y","N")</f>
        <v>Y</v>
      </c>
      <c r="O3015" s="128" t="s">
        <v>76</v>
      </c>
      <c r="P3015" s="129" t="s">
        <v>589</v>
      </c>
      <c r="Q3015" s="111">
        <v>24</v>
      </c>
      <c r="R3015" s="111">
        <f t="shared" si="2186"/>
        <v>800</v>
      </c>
      <c r="S3015" s="129">
        <v>0</v>
      </c>
      <c r="T3015" s="129">
        <v>0</v>
      </c>
      <c r="W3015" s="111"/>
      <c r="AB3015" s="131" t="s">
        <v>112</v>
      </c>
      <c r="AC3015" s="130"/>
      <c r="AD3015" s="130">
        <v>21556</v>
      </c>
      <c r="AE3015" s="128" t="s">
        <v>46</v>
      </c>
      <c r="AF3015" s="128" t="s">
        <v>40</v>
      </c>
      <c r="AG3015" s="128" t="s">
        <v>41</v>
      </c>
      <c r="AH3015" s="108" t="s">
        <v>31</v>
      </c>
      <c r="AI3015" s="128" t="s">
        <v>114</v>
      </c>
      <c r="AJ3015" s="129" t="s">
        <v>48</v>
      </c>
      <c r="AK3015" s="129">
        <v>11</v>
      </c>
      <c r="AL3015" s="3" t="s">
        <v>48</v>
      </c>
      <c r="AP3015" s="129" t="s">
        <v>227</v>
      </c>
      <c r="AR3015" s="128" t="s">
        <v>92</v>
      </c>
      <c r="AS3015" s="129" t="s">
        <v>64</v>
      </c>
      <c r="BC3015" s="129" t="s">
        <v>52</v>
      </c>
      <c r="BF3015" s="111">
        <v>24</v>
      </c>
      <c r="BG3015" s="111">
        <f t="shared" ref="BG3015" si="2211">IF(G3015&gt;1/1/1900,((G3015+1)-I3015),"STILL OPEN")</f>
        <v>676</v>
      </c>
      <c r="BH3015" s="111">
        <f t="shared" si="2187"/>
        <v>800</v>
      </c>
      <c r="BI3015" s="111">
        <f t="shared" si="2189"/>
        <v>53.117486338797811</v>
      </c>
      <c r="BJ3015" s="129">
        <f>(G3015-J3015)+(M3015-G3015)</f>
        <v>0</v>
      </c>
      <c r="BK3015" s="129">
        <f t="shared" si="2188"/>
        <v>-652</v>
      </c>
      <c r="BL3015" s="129" t="s">
        <v>48</v>
      </c>
      <c r="BM3015" s="129" t="s">
        <v>76</v>
      </c>
      <c r="BN3015" s="129" t="s">
        <v>566</v>
      </c>
      <c r="BP3015" s="137" t="str">
        <f t="shared" si="2191"/>
        <v>DEFERRED</v>
      </c>
      <c r="BQ3015" s="128" t="str">
        <f t="shared" si="2200"/>
        <v>Y</v>
      </c>
      <c r="BR3015" s="129" t="str">
        <f t="shared" ref="BR3015" si="2212">IF(AND(J3015="NOT BOOKED",M3015&gt;1/1/1),"BONDED - BEFORE BOOKED",IF(BG3015="STILL OPEN","STILL OPEN",IF(N3015="Y","ON BOND",IF(J3015&gt;=G3015,"DETAINED","RELEASED"))))</f>
        <v>ON BOND</v>
      </c>
      <c r="BS3015" s="129" t="s">
        <v>1259</v>
      </c>
      <c r="BT3015" s="129" t="str">
        <f t="shared" si="2194"/>
        <v>N</v>
      </c>
      <c r="BU3015" s="109">
        <f>IFERROR(Q3015/R3015,BR3015)</f>
        <v>0.03</v>
      </c>
      <c r="BV3015" s="139">
        <v>0.03</v>
      </c>
      <c r="BW3015" s="109">
        <v>0</v>
      </c>
      <c r="BX3015" s="111">
        <f t="shared" si="2196"/>
        <v>0</v>
      </c>
      <c r="BY3015" s="129">
        <f t="shared" si="2202"/>
        <v>-24</v>
      </c>
      <c r="BZ3015" s="111">
        <f t="shared" si="2203"/>
        <v>0</v>
      </c>
      <c r="CA3015" s="138">
        <f t="shared" si="2204"/>
        <v>24</v>
      </c>
      <c r="CB3015" s="111" t="e">
        <f>IF(AF3015&gt;1/1/1900,((AF3015+1)-AE3015),"STILL OPEN")</f>
        <v>#VALUE!</v>
      </c>
      <c r="CC3015" s="129">
        <v>24</v>
      </c>
      <c r="CG3015" s="129" t="str">
        <f t="shared" si="2205"/>
        <v>N</v>
      </c>
      <c r="CH3015" s="129" t="e">
        <v>#N/A</v>
      </c>
      <c r="CI3015" s="129" t="str">
        <f t="shared" si="2207"/>
        <v>11-30 DAYS</v>
      </c>
      <c r="CJ3015" s="137">
        <f t="shared" si="2208"/>
        <v>2</v>
      </c>
      <c r="CK3015" s="129" t="str">
        <f t="shared" si="2209"/>
        <v>Booked</v>
      </c>
    </row>
    <row r="3016" spans="1:89" ht="15.75" customHeight="1" x14ac:dyDescent="0.25">
      <c r="A3016" s="111">
        <v>2314</v>
      </c>
      <c r="B3016" s="128" t="str">
        <f t="shared" si="2197"/>
        <v>N</v>
      </c>
      <c r="C3016" s="128" t="str">
        <f t="shared" si="2198"/>
        <v>N</v>
      </c>
      <c r="D3016" s="117">
        <v>2611664</v>
      </c>
      <c r="E3016" s="135">
        <f t="shared" si="2199"/>
        <v>2</v>
      </c>
      <c r="F3016" s="124">
        <v>40996</v>
      </c>
      <c r="G3016" s="125">
        <v>41171</v>
      </c>
      <c r="H3016" s="117">
        <v>2611664</v>
      </c>
      <c r="I3016" s="124">
        <v>40996</v>
      </c>
      <c r="J3016" s="124">
        <v>40998</v>
      </c>
      <c r="K3016" s="126">
        <v>2000</v>
      </c>
      <c r="L3016" s="127" t="s">
        <v>568</v>
      </c>
      <c r="M3016" s="125">
        <v>40998</v>
      </c>
      <c r="N3016" s="129" t="str">
        <f t="shared" ref="N3016:N3036" si="2213">IF(M3016&gt;1/1/1,"Y","N")</f>
        <v>Y</v>
      </c>
      <c r="O3016" s="128" t="s">
        <v>76</v>
      </c>
      <c r="P3016" s="129" t="s">
        <v>589</v>
      </c>
      <c r="Q3016" s="111">
        <f t="shared" si="2206"/>
        <v>3</v>
      </c>
      <c r="R3016" s="111">
        <f t="shared" si="2186"/>
        <v>176</v>
      </c>
      <c r="S3016" s="129">
        <v>0</v>
      </c>
      <c r="T3016" s="129">
        <v>0</v>
      </c>
      <c r="W3016" s="111"/>
      <c r="AC3016" s="130"/>
      <c r="AD3016" s="130">
        <v>32874</v>
      </c>
      <c r="AE3016" s="128" t="s">
        <v>32</v>
      </c>
      <c r="AF3016" s="128" t="s">
        <v>33</v>
      </c>
      <c r="AG3016" s="128" t="s">
        <v>872</v>
      </c>
      <c r="AH3016" s="108" t="s">
        <v>31</v>
      </c>
      <c r="AI3016" s="128" t="s">
        <v>47</v>
      </c>
      <c r="AJ3016" s="129" t="s">
        <v>48</v>
      </c>
      <c r="AK3016" s="129">
        <v>5</v>
      </c>
      <c r="AL3016" s="3" t="s">
        <v>48</v>
      </c>
      <c r="AP3016" s="129" t="s">
        <v>43</v>
      </c>
      <c r="AR3016" s="128" t="s">
        <v>44</v>
      </c>
      <c r="AS3016" s="129" t="s">
        <v>45</v>
      </c>
      <c r="BC3016" s="129" t="s">
        <v>52</v>
      </c>
      <c r="BF3016" s="111">
        <f t="shared" ref="BF3016:BF3025" si="2214">IF(J3016&gt;1/1/1900,((J3016+1)-I3016),"STILL OPEN")</f>
        <v>3</v>
      </c>
      <c r="BG3016" s="111">
        <f t="shared" ref="BG3016:BG3048" si="2215">IF(G3016&gt;1/1/1900,((G3016+1)-I3016),"STILL OPEN")</f>
        <v>176</v>
      </c>
      <c r="BH3016" s="111">
        <f t="shared" si="2187"/>
        <v>176</v>
      </c>
      <c r="BI3016" s="111">
        <f t="shared" si="2189"/>
        <v>22.191256830601095</v>
      </c>
      <c r="BJ3016" s="129">
        <f>(G3016-J3016)+(M3016-G3016)</f>
        <v>0</v>
      </c>
      <c r="BK3016" s="129">
        <f t="shared" si="2188"/>
        <v>-173</v>
      </c>
      <c r="BL3016" s="129" t="str">
        <f t="shared" si="2181"/>
        <v>DEFERRED</v>
      </c>
      <c r="BM3016" s="129" t="s">
        <v>76</v>
      </c>
      <c r="BN3016" s="129" t="s">
        <v>88</v>
      </c>
      <c r="BP3016" s="137" t="str">
        <f t="shared" si="2191"/>
        <v>DEFERRED</v>
      </c>
      <c r="BQ3016" s="128" t="str">
        <f t="shared" si="2200"/>
        <v>Y</v>
      </c>
      <c r="BR3016" s="129" t="str">
        <f t="shared" si="2192"/>
        <v>ON BOND</v>
      </c>
      <c r="BS3016" s="129" t="str">
        <f t="shared" si="2193"/>
        <v>DISPOSED</v>
      </c>
      <c r="BT3016" s="129" t="str">
        <f t="shared" si="2194"/>
        <v>N</v>
      </c>
      <c r="BU3016" s="109">
        <f t="shared" si="2195"/>
        <v>1.7045454545454544E-2</v>
      </c>
      <c r="BV3016" s="109">
        <f t="shared" si="2201"/>
        <v>1.7045454545454544E-2</v>
      </c>
      <c r="BW3016" s="109">
        <f t="shared" ref="BW3016:BW3070" si="2216">BV3016-BU3016</f>
        <v>0</v>
      </c>
      <c r="BX3016" s="111">
        <f t="shared" si="2196"/>
        <v>0</v>
      </c>
      <c r="BY3016" s="129">
        <f t="shared" si="2202"/>
        <v>-3</v>
      </c>
      <c r="BZ3016" s="111">
        <f t="shared" si="2203"/>
        <v>0</v>
      </c>
      <c r="CA3016" s="138">
        <f t="shared" si="2204"/>
        <v>3</v>
      </c>
      <c r="CB3016" s="111" t="e">
        <f t="shared" ref="CB3016:CB3025" si="2217">IF(AF3016&gt;1/1/1900,((AF3016+1)-AE3016),"STILL OPEN")</f>
        <v>#VALUE!</v>
      </c>
      <c r="CC3016" s="129">
        <f>M3016-I3016+1</f>
        <v>3</v>
      </c>
      <c r="CD3016" s="111">
        <f>CC3016-BF3016</f>
        <v>0</v>
      </c>
      <c r="CG3016" s="129" t="str">
        <f t="shared" si="2205"/>
        <v>N</v>
      </c>
      <c r="CI3016" s="129" t="str">
        <f t="shared" si="2207"/>
        <v>0-10 DAYS</v>
      </c>
      <c r="CJ3016" s="137">
        <f t="shared" si="2208"/>
        <v>1</v>
      </c>
      <c r="CK3016" s="129" t="str">
        <f t="shared" si="2209"/>
        <v>Booked</v>
      </c>
    </row>
    <row r="3017" spans="1:89" ht="15" customHeight="1" x14ac:dyDescent="0.25">
      <c r="A3017" s="111">
        <v>2331</v>
      </c>
      <c r="B3017" s="128" t="str">
        <f t="shared" si="2197"/>
        <v>N</v>
      </c>
      <c r="C3017" s="128" t="str">
        <f t="shared" si="2198"/>
        <v>N</v>
      </c>
      <c r="D3017" s="117">
        <v>2611768</v>
      </c>
      <c r="E3017" s="135">
        <f t="shared" si="2199"/>
        <v>4</v>
      </c>
      <c r="F3017" s="124">
        <v>40997</v>
      </c>
      <c r="G3017" s="125">
        <v>41001</v>
      </c>
      <c r="H3017" s="117">
        <v>2611768</v>
      </c>
      <c r="I3017" s="124">
        <v>40998</v>
      </c>
      <c r="J3017" s="124">
        <v>41001</v>
      </c>
      <c r="K3017" s="126">
        <v>35000</v>
      </c>
      <c r="L3017" s="129" t="s">
        <v>572</v>
      </c>
      <c r="N3017" s="129" t="str">
        <f t="shared" si="2213"/>
        <v>N</v>
      </c>
      <c r="O3017" s="128" t="s">
        <v>917</v>
      </c>
      <c r="P3017" s="129" t="s">
        <v>39</v>
      </c>
      <c r="Q3017" s="111">
        <f t="shared" si="2206"/>
        <v>4</v>
      </c>
      <c r="R3017" s="111">
        <f t="shared" si="2186"/>
        <v>5</v>
      </c>
      <c r="S3017" s="129">
        <v>0</v>
      </c>
      <c r="T3017" s="129">
        <v>0</v>
      </c>
      <c r="W3017" s="111"/>
      <c r="AB3017" s="131" t="s">
        <v>112</v>
      </c>
      <c r="AC3017" s="130"/>
      <c r="AD3017" s="130">
        <v>30491</v>
      </c>
      <c r="AE3017" s="128" t="s">
        <v>32</v>
      </c>
      <c r="AF3017" s="128" t="s">
        <v>40</v>
      </c>
      <c r="AG3017" s="128" t="s">
        <v>41</v>
      </c>
      <c r="AH3017" s="108" t="s">
        <v>31</v>
      </c>
      <c r="AI3017" s="128" t="s">
        <v>80</v>
      </c>
      <c r="AJ3017" s="129" t="s">
        <v>89</v>
      </c>
      <c r="AK3017" s="129">
        <v>2</v>
      </c>
      <c r="AL3017" s="3" t="s">
        <v>991</v>
      </c>
      <c r="AO3017" s="128">
        <v>60</v>
      </c>
      <c r="AP3017" s="129" t="s">
        <v>43</v>
      </c>
      <c r="AR3017" s="128" t="s">
        <v>44</v>
      </c>
      <c r="AS3017" s="129" t="s">
        <v>45</v>
      </c>
      <c r="BC3017" s="129" t="s">
        <v>38</v>
      </c>
      <c r="BF3017" s="111">
        <f t="shared" si="2214"/>
        <v>4</v>
      </c>
      <c r="BG3017" s="111">
        <f t="shared" si="2215"/>
        <v>4</v>
      </c>
      <c r="BH3017" s="111">
        <f t="shared" si="2187"/>
        <v>5</v>
      </c>
      <c r="BI3017" s="111">
        <f t="shared" si="2189"/>
        <v>28.704918032786885</v>
      </c>
      <c r="BJ3017" s="129">
        <f>G3017-J3017-M3017</f>
        <v>0</v>
      </c>
      <c r="BK3017" s="129">
        <f t="shared" si="2188"/>
        <v>0</v>
      </c>
      <c r="BL3017" s="129" t="str">
        <f t="shared" si="2181"/>
        <v>CONVICTION</v>
      </c>
      <c r="BM3017" s="129" t="str">
        <f t="shared" si="2190"/>
        <v>NONE</v>
      </c>
      <c r="BN3017" s="129" t="s">
        <v>566</v>
      </c>
      <c r="BP3017" s="137" t="str">
        <f t="shared" si="2191"/>
        <v>CONVICTION</v>
      </c>
      <c r="BQ3017" s="128" t="str">
        <f t="shared" si="2200"/>
        <v>Y</v>
      </c>
      <c r="BR3017" s="129" t="str">
        <f t="shared" si="2192"/>
        <v>DETAINED</v>
      </c>
      <c r="BS3017" s="129" t="str">
        <f t="shared" si="2193"/>
        <v>DISPOSED</v>
      </c>
      <c r="BT3017" s="129" t="str">
        <f t="shared" si="2194"/>
        <v>N</v>
      </c>
      <c r="BU3017" s="109">
        <f t="shared" si="2195"/>
        <v>0.8</v>
      </c>
      <c r="BV3017" s="109">
        <f t="shared" si="2201"/>
        <v>1</v>
      </c>
      <c r="BW3017" s="109">
        <f t="shared" si="2216"/>
        <v>0.19999999999999996</v>
      </c>
      <c r="BX3017" s="111">
        <f t="shared" si="2196"/>
        <v>0</v>
      </c>
      <c r="BY3017" s="129">
        <f t="shared" si="2202"/>
        <v>-4</v>
      </c>
      <c r="BZ3017" s="111">
        <f t="shared" si="2203"/>
        <v>0</v>
      </c>
      <c r="CA3017" s="138">
        <f t="shared" si="2204"/>
        <v>4</v>
      </c>
      <c r="CB3017" s="111" t="e">
        <f t="shared" si="2217"/>
        <v>#VALUE!</v>
      </c>
      <c r="CC3017" s="129">
        <f>G3017-I3017+1</f>
        <v>4</v>
      </c>
      <c r="CD3017" s="129">
        <f>G3017-J3017</f>
        <v>0</v>
      </c>
      <c r="CG3017" s="129" t="str">
        <f t="shared" si="2205"/>
        <v>N</v>
      </c>
      <c r="CI3017" s="129" t="str">
        <f t="shared" si="2207"/>
        <v>0-10 DAYS</v>
      </c>
      <c r="CJ3017" s="137">
        <f t="shared" si="2208"/>
        <v>1</v>
      </c>
      <c r="CK3017" s="129" t="str">
        <f t="shared" si="2209"/>
        <v>Booked</v>
      </c>
    </row>
    <row r="3018" spans="1:89" ht="15.75" customHeight="1" x14ac:dyDescent="0.25">
      <c r="A3018" s="111">
        <v>2340</v>
      </c>
      <c r="B3018" s="128" t="str">
        <f t="shared" si="2197"/>
        <v>N</v>
      </c>
      <c r="C3018" s="128" t="str">
        <f t="shared" si="2198"/>
        <v>N</v>
      </c>
      <c r="D3018" s="117">
        <v>2611829</v>
      </c>
      <c r="E3018" s="135">
        <f t="shared" si="2199"/>
        <v>1</v>
      </c>
      <c r="F3018" s="124">
        <v>40997</v>
      </c>
      <c r="G3018" s="125">
        <v>41199</v>
      </c>
      <c r="H3018" s="117">
        <v>2611829</v>
      </c>
      <c r="I3018" s="124">
        <v>40999</v>
      </c>
      <c r="J3018" s="124">
        <v>41000</v>
      </c>
      <c r="K3018" s="126">
        <v>30000</v>
      </c>
      <c r="L3018" s="129" t="s">
        <v>572</v>
      </c>
      <c r="M3018" s="125">
        <v>41000</v>
      </c>
      <c r="N3018" s="129" t="str">
        <f t="shared" si="2213"/>
        <v>Y</v>
      </c>
      <c r="O3018" s="128" t="s">
        <v>76</v>
      </c>
      <c r="P3018" s="129" t="s">
        <v>123</v>
      </c>
      <c r="Q3018" s="111">
        <f t="shared" si="2206"/>
        <v>2</v>
      </c>
      <c r="R3018" s="111">
        <f t="shared" si="2186"/>
        <v>203</v>
      </c>
      <c r="S3018" s="129">
        <v>0</v>
      </c>
      <c r="T3018" s="129">
        <v>0</v>
      </c>
      <c r="W3018" s="111"/>
      <c r="AC3018" s="130"/>
      <c r="AD3018" s="130">
        <v>20256</v>
      </c>
      <c r="AE3018" s="128" t="s">
        <v>32</v>
      </c>
      <c r="AF3018" s="128" t="s">
        <v>138</v>
      </c>
      <c r="AG3018" s="128" t="s">
        <v>873</v>
      </c>
      <c r="AH3018" s="108" t="s">
        <v>31</v>
      </c>
      <c r="AI3018" s="128" t="s">
        <v>100</v>
      </c>
      <c r="AJ3018" s="129" t="s">
        <v>123</v>
      </c>
      <c r="AK3018" s="129">
        <v>7</v>
      </c>
      <c r="AL3018" s="3" t="s">
        <v>123</v>
      </c>
      <c r="AP3018" s="129" t="s">
        <v>173</v>
      </c>
      <c r="AR3018" s="128" t="s">
        <v>50</v>
      </c>
      <c r="AS3018" s="129" t="s">
        <v>126</v>
      </c>
      <c r="BC3018" s="129" t="s">
        <v>52</v>
      </c>
      <c r="BF3018" s="111">
        <f t="shared" si="2214"/>
        <v>2</v>
      </c>
      <c r="BG3018" s="111">
        <f t="shared" si="2215"/>
        <v>201</v>
      </c>
      <c r="BH3018" s="111">
        <f t="shared" si="2187"/>
        <v>203</v>
      </c>
      <c r="BI3018" s="111">
        <f t="shared" si="2189"/>
        <v>56.669398907103826</v>
      </c>
      <c r="BJ3018" s="129">
        <f>(G3018-J3018)+(M3018-G3018)</f>
        <v>0</v>
      </c>
      <c r="BK3018" s="129">
        <f t="shared" si="2188"/>
        <v>-199</v>
      </c>
      <c r="BL3018" s="129" t="str">
        <f t="shared" si="2181"/>
        <v>NO CONVICTION</v>
      </c>
      <c r="BM3018" s="129" t="s">
        <v>76</v>
      </c>
      <c r="BN3018" s="129" t="s">
        <v>88</v>
      </c>
      <c r="BP3018" s="137" t="str">
        <f t="shared" si="2191"/>
        <v>NO CONVICTION</v>
      </c>
      <c r="BQ3018" s="128" t="str">
        <f t="shared" si="2200"/>
        <v>Y</v>
      </c>
      <c r="BR3018" s="129" t="str">
        <f t="shared" si="2192"/>
        <v>ON BOND</v>
      </c>
      <c r="BS3018" s="129" t="str">
        <f t="shared" si="2193"/>
        <v>DISPOSED</v>
      </c>
      <c r="BT3018" s="129" t="str">
        <f t="shared" si="2194"/>
        <v>N</v>
      </c>
      <c r="BU3018" s="109">
        <f>IFERROR(Q3018/R3018,BR3018)</f>
        <v>9.852216748768473E-3</v>
      </c>
      <c r="BV3018" s="109">
        <f t="shared" si="2201"/>
        <v>9.9502487562189053E-3</v>
      </c>
      <c r="BW3018" s="109">
        <f t="shared" si="2216"/>
        <v>9.8032007450432265E-5</v>
      </c>
      <c r="BX3018" s="111">
        <f t="shared" si="2196"/>
        <v>0</v>
      </c>
      <c r="BY3018" s="129">
        <f t="shared" si="2202"/>
        <v>-2</v>
      </c>
      <c r="BZ3018" s="111">
        <f t="shared" si="2203"/>
        <v>0</v>
      </c>
      <c r="CA3018" s="138">
        <f t="shared" si="2204"/>
        <v>2</v>
      </c>
      <c r="CB3018" s="111" t="e">
        <f t="shared" si="2217"/>
        <v>#VALUE!</v>
      </c>
      <c r="CC3018" s="129">
        <f>M3018-I3018+1</f>
        <v>2</v>
      </c>
      <c r="CD3018" s="111">
        <f>CC3018-BF3018</f>
        <v>0</v>
      </c>
      <c r="CG3018" s="129" t="str">
        <f t="shared" si="2205"/>
        <v>N</v>
      </c>
      <c r="CI3018" s="129" t="str">
        <f t="shared" si="2207"/>
        <v>0-10 DAYS</v>
      </c>
      <c r="CJ3018" s="137">
        <f t="shared" si="2208"/>
        <v>1</v>
      </c>
      <c r="CK3018" s="129" t="str">
        <f t="shared" si="2209"/>
        <v>Booked</v>
      </c>
    </row>
    <row r="3019" spans="1:89" ht="15" customHeight="1" x14ac:dyDescent="0.25">
      <c r="A3019" s="111">
        <v>2357</v>
      </c>
      <c r="B3019" s="128" t="str">
        <f t="shared" si="2197"/>
        <v>N</v>
      </c>
      <c r="C3019" s="128" t="str">
        <f t="shared" si="2198"/>
        <v>N</v>
      </c>
      <c r="D3019" s="117">
        <v>2611961</v>
      </c>
      <c r="E3019" s="135">
        <f t="shared" si="2199"/>
        <v>2</v>
      </c>
      <c r="F3019" s="124">
        <v>40997</v>
      </c>
      <c r="G3019" s="125">
        <v>41015</v>
      </c>
      <c r="H3019" s="117">
        <v>2611961</v>
      </c>
      <c r="I3019" s="124">
        <v>40998</v>
      </c>
      <c r="J3019" s="124">
        <v>41015</v>
      </c>
      <c r="K3019" s="126">
        <v>30000</v>
      </c>
      <c r="L3019" s="129" t="s">
        <v>572</v>
      </c>
      <c r="N3019" s="129" t="str">
        <f t="shared" si="2213"/>
        <v>N</v>
      </c>
      <c r="O3019" s="128" t="s">
        <v>917</v>
      </c>
      <c r="P3019" s="129" t="s">
        <v>589</v>
      </c>
      <c r="Q3019" s="111">
        <f t="shared" si="2206"/>
        <v>18</v>
      </c>
      <c r="R3019" s="111">
        <f t="shared" si="2186"/>
        <v>19</v>
      </c>
      <c r="S3019" s="129">
        <v>0</v>
      </c>
      <c r="T3019" s="129">
        <v>0</v>
      </c>
      <c r="W3019" s="111"/>
      <c r="AC3019" s="130"/>
      <c r="AD3019" s="130">
        <v>34539</v>
      </c>
      <c r="AE3019" s="128" t="s">
        <v>32</v>
      </c>
      <c r="AF3019" s="128" t="s">
        <v>33</v>
      </c>
      <c r="AG3019" s="128" t="s">
        <v>872</v>
      </c>
      <c r="AH3019" s="108" t="s">
        <v>31</v>
      </c>
      <c r="AI3019" s="128" t="s">
        <v>114</v>
      </c>
      <c r="AJ3019" s="129" t="s">
        <v>48</v>
      </c>
      <c r="AK3019" s="129">
        <v>2</v>
      </c>
      <c r="AL3019" s="3" t="s">
        <v>48</v>
      </c>
      <c r="AP3019" s="129" t="s">
        <v>105</v>
      </c>
      <c r="AR3019" s="128" t="s">
        <v>92</v>
      </c>
      <c r="AS3019" s="129" t="s">
        <v>106</v>
      </c>
      <c r="BC3019" s="129" t="s">
        <v>38</v>
      </c>
      <c r="BF3019" s="111">
        <f t="shared" si="2214"/>
        <v>18</v>
      </c>
      <c r="BG3019" s="111">
        <f t="shared" si="2215"/>
        <v>18</v>
      </c>
      <c r="BH3019" s="111">
        <f t="shared" si="2187"/>
        <v>19</v>
      </c>
      <c r="BI3019" s="111">
        <f t="shared" si="2189"/>
        <v>17.644808743169399</v>
      </c>
      <c r="BJ3019" s="129">
        <f>G3019-J3019-M3019</f>
        <v>0</v>
      </c>
      <c r="BK3019" s="129">
        <f t="shared" si="2188"/>
        <v>0</v>
      </c>
      <c r="BL3019" s="129" t="str">
        <f t="shared" si="2181"/>
        <v>DEFERRED</v>
      </c>
      <c r="BM3019" s="129" t="str">
        <f t="shared" si="2190"/>
        <v>NONE</v>
      </c>
      <c r="BN3019" s="129" t="s">
        <v>566</v>
      </c>
      <c r="BP3019" s="137" t="str">
        <f t="shared" si="2191"/>
        <v>DEFERRED</v>
      </c>
      <c r="BQ3019" s="128" t="str">
        <f t="shared" si="2200"/>
        <v>Y</v>
      </c>
      <c r="BR3019" s="129" t="str">
        <f t="shared" si="2192"/>
        <v>DETAINED</v>
      </c>
      <c r="BS3019" s="129" t="str">
        <f t="shared" si="2193"/>
        <v>DISPOSED</v>
      </c>
      <c r="BT3019" s="129" t="str">
        <f t="shared" si="2194"/>
        <v>N</v>
      </c>
      <c r="BU3019" s="109">
        <f t="shared" si="2195"/>
        <v>0.94736842105263153</v>
      </c>
      <c r="BV3019" s="109">
        <f t="shared" si="2201"/>
        <v>1</v>
      </c>
      <c r="BW3019" s="109">
        <f t="shared" si="2216"/>
        <v>5.2631578947368474E-2</v>
      </c>
      <c r="BX3019" s="111">
        <f t="shared" si="2196"/>
        <v>0</v>
      </c>
      <c r="BY3019" s="129">
        <f t="shared" si="2202"/>
        <v>-18</v>
      </c>
      <c r="BZ3019" s="111">
        <f t="shared" si="2203"/>
        <v>0</v>
      </c>
      <c r="CA3019" s="138">
        <f t="shared" si="2204"/>
        <v>18</v>
      </c>
      <c r="CB3019" s="111" t="e">
        <f t="shared" si="2217"/>
        <v>#VALUE!</v>
      </c>
      <c r="CC3019" s="129">
        <f>G3019-I3019+1</f>
        <v>18</v>
      </c>
      <c r="CD3019" s="129">
        <f>G3019-J3019</f>
        <v>0</v>
      </c>
      <c r="CG3019" s="129" t="str">
        <f t="shared" si="2205"/>
        <v>N</v>
      </c>
      <c r="CI3019" s="129" t="str">
        <f t="shared" si="2207"/>
        <v>11-30 DAYS</v>
      </c>
      <c r="CJ3019" s="137">
        <f t="shared" si="2208"/>
        <v>2</v>
      </c>
      <c r="CK3019" s="129" t="str">
        <f t="shared" si="2209"/>
        <v>Booked</v>
      </c>
    </row>
    <row r="3020" spans="1:89" ht="15" customHeight="1" x14ac:dyDescent="0.25">
      <c r="A3020" s="111">
        <v>2370</v>
      </c>
      <c r="B3020" s="128" t="str">
        <f t="shared" si="2197"/>
        <v>N</v>
      </c>
      <c r="C3020" s="128" t="str">
        <f t="shared" si="2198"/>
        <v>N</v>
      </c>
      <c r="D3020" s="117">
        <v>2611991</v>
      </c>
      <c r="E3020" s="135">
        <f t="shared" si="2199"/>
        <v>2</v>
      </c>
      <c r="F3020" s="124">
        <v>40998</v>
      </c>
      <c r="G3020" s="125">
        <v>41260</v>
      </c>
      <c r="H3020" s="117">
        <v>2611991</v>
      </c>
      <c r="I3020" s="124">
        <v>40998</v>
      </c>
      <c r="J3020" s="124">
        <v>41020</v>
      </c>
      <c r="K3020" s="126">
        <v>60000</v>
      </c>
      <c r="L3020" s="129" t="s">
        <v>572</v>
      </c>
      <c r="M3020" s="125">
        <v>41020</v>
      </c>
      <c r="N3020" s="129" t="str">
        <f t="shared" si="2213"/>
        <v>Y</v>
      </c>
      <c r="O3020" s="128" t="s">
        <v>76</v>
      </c>
      <c r="P3020" s="129" t="s">
        <v>589</v>
      </c>
      <c r="Q3020" s="111">
        <f t="shared" si="2206"/>
        <v>23</v>
      </c>
      <c r="R3020" s="111">
        <f t="shared" si="2186"/>
        <v>263</v>
      </c>
      <c r="S3020" s="129">
        <v>0</v>
      </c>
      <c r="T3020" s="129">
        <v>0</v>
      </c>
      <c r="W3020" s="111"/>
      <c r="AB3020" s="131" t="s">
        <v>112</v>
      </c>
      <c r="AC3020" s="130"/>
      <c r="AD3020" s="130">
        <v>34250</v>
      </c>
      <c r="AE3020" s="128" t="s">
        <v>32</v>
      </c>
      <c r="AF3020" s="128" t="s">
        <v>40</v>
      </c>
      <c r="AG3020" s="128" t="s">
        <v>41</v>
      </c>
      <c r="AH3020" s="108" t="s">
        <v>31</v>
      </c>
      <c r="AI3020" s="128" t="s">
        <v>118</v>
      </c>
      <c r="AJ3020" s="129" t="s">
        <v>48</v>
      </c>
      <c r="AK3020" s="129">
        <v>8</v>
      </c>
      <c r="AL3020" s="3" t="s">
        <v>48</v>
      </c>
      <c r="AP3020" s="129" t="s">
        <v>105</v>
      </c>
      <c r="AR3020" s="128" t="s">
        <v>92</v>
      </c>
      <c r="AS3020" s="129" t="s">
        <v>106</v>
      </c>
      <c r="BC3020" s="129" t="s">
        <v>52</v>
      </c>
      <c r="BF3020" s="111">
        <f t="shared" si="2214"/>
        <v>23</v>
      </c>
      <c r="BG3020" s="111">
        <f t="shared" si="2215"/>
        <v>263</v>
      </c>
      <c r="BH3020" s="111">
        <f t="shared" si="2187"/>
        <v>263</v>
      </c>
      <c r="BI3020" s="111">
        <f t="shared" si="2189"/>
        <v>18.437158469945356</v>
      </c>
      <c r="BJ3020" s="129">
        <f>(G3020-J3020)+(M3020-G3020)</f>
        <v>0</v>
      </c>
      <c r="BK3020" s="129">
        <f t="shared" si="2188"/>
        <v>-240</v>
      </c>
      <c r="BL3020" s="129" t="str">
        <f t="shared" si="2181"/>
        <v>DEFERRED</v>
      </c>
      <c r="BM3020" s="129" t="s">
        <v>76</v>
      </c>
      <c r="BN3020" s="129" t="s">
        <v>88</v>
      </c>
      <c r="BP3020" s="137" t="str">
        <f t="shared" si="2191"/>
        <v>DEFERRED</v>
      </c>
      <c r="BQ3020" s="128" t="str">
        <f t="shared" si="2200"/>
        <v>Y</v>
      </c>
      <c r="BR3020" s="129" t="str">
        <f t="shared" si="2192"/>
        <v>ON BOND</v>
      </c>
      <c r="BS3020" s="129" t="str">
        <f t="shared" si="2193"/>
        <v>DISPOSED</v>
      </c>
      <c r="BT3020" s="129" t="str">
        <f t="shared" si="2194"/>
        <v>N</v>
      </c>
      <c r="BU3020" s="109">
        <f t="shared" si="2195"/>
        <v>8.7452471482889732E-2</v>
      </c>
      <c r="BV3020" s="109">
        <f t="shared" si="2201"/>
        <v>8.7452471482889732E-2</v>
      </c>
      <c r="BW3020" s="109">
        <f t="shared" si="2216"/>
        <v>0</v>
      </c>
      <c r="BX3020" s="111">
        <f t="shared" si="2196"/>
        <v>0</v>
      </c>
      <c r="BY3020" s="129">
        <f t="shared" si="2202"/>
        <v>-23</v>
      </c>
      <c r="BZ3020" s="111">
        <f t="shared" si="2203"/>
        <v>0</v>
      </c>
      <c r="CA3020" s="138">
        <f t="shared" si="2204"/>
        <v>23</v>
      </c>
      <c r="CB3020" s="111" t="e">
        <f t="shared" si="2217"/>
        <v>#VALUE!</v>
      </c>
      <c r="CC3020" s="129">
        <f>M3020-I3020+1</f>
        <v>23</v>
      </c>
      <c r="CD3020" s="111">
        <f>CC3020-BF3020</f>
        <v>0</v>
      </c>
      <c r="CG3020" s="129" t="str">
        <f t="shared" si="2205"/>
        <v>N</v>
      </c>
      <c r="CI3020" s="129" t="str">
        <f t="shared" si="2207"/>
        <v>11-30 DAYS</v>
      </c>
      <c r="CJ3020" s="137">
        <f t="shared" si="2208"/>
        <v>2</v>
      </c>
      <c r="CK3020" s="129" t="str">
        <f t="shared" si="2209"/>
        <v>Booked</v>
      </c>
    </row>
    <row r="3021" spans="1:89" ht="15.75" customHeight="1" x14ac:dyDescent="0.25">
      <c r="A3021" s="111">
        <v>2371</v>
      </c>
      <c r="B3021" s="128" t="str">
        <f t="shared" si="2197"/>
        <v>N</v>
      </c>
      <c r="C3021" s="128" t="str">
        <f t="shared" si="2198"/>
        <v>N</v>
      </c>
      <c r="D3021" s="117">
        <v>2612011</v>
      </c>
      <c r="E3021" s="135">
        <f t="shared" si="2199"/>
        <v>2</v>
      </c>
      <c r="F3021" s="124">
        <v>40998</v>
      </c>
      <c r="G3021" s="125">
        <v>41529</v>
      </c>
      <c r="H3021" s="117">
        <v>2612011</v>
      </c>
      <c r="I3021" s="124">
        <v>41002</v>
      </c>
      <c r="J3021" s="124">
        <v>41005</v>
      </c>
      <c r="K3021" s="126">
        <v>30000</v>
      </c>
      <c r="L3021" s="129" t="s">
        <v>572</v>
      </c>
      <c r="M3021" s="125">
        <v>41005</v>
      </c>
      <c r="N3021" s="129" t="str">
        <f t="shared" si="2213"/>
        <v>Y</v>
      </c>
      <c r="O3021" s="128" t="s">
        <v>76</v>
      </c>
      <c r="P3021" s="129" t="s">
        <v>589</v>
      </c>
      <c r="Q3021" s="111">
        <f t="shared" si="2206"/>
        <v>4</v>
      </c>
      <c r="R3021" s="111">
        <f t="shared" si="2186"/>
        <v>532</v>
      </c>
      <c r="S3021" s="129">
        <v>0</v>
      </c>
      <c r="T3021" s="129">
        <v>0</v>
      </c>
      <c r="W3021" s="111"/>
      <c r="AB3021" s="131" t="s">
        <v>112</v>
      </c>
      <c r="AC3021" s="130"/>
      <c r="AD3021" s="130">
        <v>34318</v>
      </c>
      <c r="AE3021" s="128" t="s">
        <v>32</v>
      </c>
      <c r="AF3021" s="128" t="s">
        <v>40</v>
      </c>
      <c r="AG3021" s="128" t="s">
        <v>41</v>
      </c>
      <c r="AH3021" s="108" t="s">
        <v>31</v>
      </c>
      <c r="AI3021" s="128" t="s">
        <v>65</v>
      </c>
      <c r="AJ3021" s="129" t="s">
        <v>48</v>
      </c>
      <c r="AK3021" s="129">
        <v>13</v>
      </c>
      <c r="AL3021" s="3" t="s">
        <v>48</v>
      </c>
      <c r="AP3021" s="129" t="s">
        <v>129</v>
      </c>
      <c r="AR3021" s="128" t="s">
        <v>92</v>
      </c>
      <c r="AS3021" s="129" t="s">
        <v>126</v>
      </c>
      <c r="BC3021" s="129" t="s">
        <v>52</v>
      </c>
      <c r="BF3021" s="111">
        <f t="shared" si="2214"/>
        <v>4</v>
      </c>
      <c r="BG3021" s="111">
        <f t="shared" si="2215"/>
        <v>528</v>
      </c>
      <c r="BH3021" s="111">
        <f t="shared" si="2187"/>
        <v>532</v>
      </c>
      <c r="BI3021" s="111">
        <f t="shared" si="2189"/>
        <v>18.251366120218581</v>
      </c>
      <c r="BJ3021" s="129">
        <f>(G3021-J3021)+(M3021-G3021)</f>
        <v>0</v>
      </c>
      <c r="BK3021" s="129">
        <f t="shared" si="2188"/>
        <v>-524</v>
      </c>
      <c r="BL3021" s="129" t="str">
        <f t="shared" si="2181"/>
        <v>DEFERRED</v>
      </c>
      <c r="BM3021" s="129" t="s">
        <v>76</v>
      </c>
      <c r="BN3021" s="129" t="s">
        <v>88</v>
      </c>
      <c r="BP3021" s="137" t="str">
        <f t="shared" si="2191"/>
        <v>DEFERRED</v>
      </c>
      <c r="BQ3021" s="128" t="str">
        <f t="shared" si="2200"/>
        <v>Y</v>
      </c>
      <c r="BR3021" s="129" t="str">
        <f t="shared" si="2192"/>
        <v>ON BOND</v>
      </c>
      <c r="BS3021" s="129" t="str">
        <f t="shared" si="2193"/>
        <v>DISPOSED</v>
      </c>
      <c r="BT3021" s="129" t="str">
        <f t="shared" si="2194"/>
        <v>N</v>
      </c>
      <c r="BU3021" s="109">
        <f t="shared" si="2195"/>
        <v>7.5187969924812026E-3</v>
      </c>
      <c r="BV3021" s="109">
        <f t="shared" si="2201"/>
        <v>7.575757575757576E-3</v>
      </c>
      <c r="BW3021" s="109">
        <f t="shared" si="2216"/>
        <v>5.6960583276373378E-5</v>
      </c>
      <c r="BX3021" s="111">
        <f t="shared" si="2196"/>
        <v>0</v>
      </c>
      <c r="BY3021" s="129">
        <f t="shared" si="2202"/>
        <v>-4</v>
      </c>
      <c r="BZ3021" s="111">
        <f t="shared" si="2203"/>
        <v>0</v>
      </c>
      <c r="CA3021" s="138">
        <f t="shared" si="2204"/>
        <v>4</v>
      </c>
      <c r="CB3021" s="111" t="e">
        <f t="shared" si="2217"/>
        <v>#VALUE!</v>
      </c>
      <c r="CC3021" s="129">
        <f>M3021-I3021+1</f>
        <v>4</v>
      </c>
      <c r="CD3021" s="111">
        <f>CC3021-BF3021</f>
        <v>0</v>
      </c>
      <c r="CG3021" s="129" t="str">
        <f t="shared" si="2205"/>
        <v>N</v>
      </c>
      <c r="CI3021" s="129" t="str">
        <f t="shared" si="2207"/>
        <v>0-10 DAYS</v>
      </c>
      <c r="CJ3021" s="137">
        <f t="shared" si="2208"/>
        <v>1</v>
      </c>
      <c r="CK3021" s="129" t="str">
        <f t="shared" si="2209"/>
        <v>Booked</v>
      </c>
    </row>
    <row r="3022" spans="1:89" ht="15.75" customHeight="1" x14ac:dyDescent="0.25">
      <c r="A3022" s="111">
        <v>2596</v>
      </c>
      <c r="B3022" s="128" t="str">
        <f t="shared" si="2197"/>
        <v>N</v>
      </c>
      <c r="C3022" s="128" t="str">
        <f t="shared" si="2198"/>
        <v>N</v>
      </c>
      <c r="D3022" s="117">
        <v>2612039</v>
      </c>
      <c r="E3022" s="135">
        <f t="shared" si="2199"/>
        <v>1</v>
      </c>
      <c r="F3022" s="124">
        <v>41005</v>
      </c>
      <c r="G3022" s="125">
        <v>41050</v>
      </c>
      <c r="H3022" s="117">
        <v>2612039</v>
      </c>
      <c r="I3022" s="124">
        <v>41005</v>
      </c>
      <c r="J3022" s="124">
        <v>41006</v>
      </c>
      <c r="K3022" s="126">
        <v>2000</v>
      </c>
      <c r="L3022" s="127" t="s">
        <v>568</v>
      </c>
      <c r="M3022" s="125">
        <v>41006</v>
      </c>
      <c r="N3022" s="129" t="str">
        <f t="shared" si="2213"/>
        <v>Y</v>
      </c>
      <c r="O3022" s="128" t="s">
        <v>76</v>
      </c>
      <c r="P3022" s="129" t="s">
        <v>55</v>
      </c>
      <c r="Q3022" s="111">
        <f t="shared" si="2206"/>
        <v>2</v>
      </c>
      <c r="R3022" s="111">
        <f t="shared" si="2186"/>
        <v>46</v>
      </c>
      <c r="S3022" s="129">
        <v>0</v>
      </c>
      <c r="T3022" s="129">
        <v>0</v>
      </c>
      <c r="W3022" s="111"/>
      <c r="AC3022" s="130"/>
      <c r="AD3022" s="130">
        <v>33008</v>
      </c>
      <c r="AE3022" s="128" t="s">
        <v>32</v>
      </c>
      <c r="AF3022" s="128" t="s">
        <v>33</v>
      </c>
      <c r="AG3022" s="128" t="s">
        <v>872</v>
      </c>
      <c r="AH3022" s="108" t="s">
        <v>31</v>
      </c>
      <c r="AI3022" s="128" t="s">
        <v>87</v>
      </c>
      <c r="AJ3022" s="129" t="s">
        <v>55</v>
      </c>
      <c r="AK3022" s="129">
        <v>3</v>
      </c>
      <c r="AL3022" s="3" t="s">
        <v>55</v>
      </c>
      <c r="AP3022" s="129" t="s">
        <v>132</v>
      </c>
      <c r="AR3022" s="128" t="s">
        <v>92</v>
      </c>
      <c r="AS3022" s="129" t="s">
        <v>82</v>
      </c>
      <c r="BC3022" s="129" t="s">
        <v>52</v>
      </c>
      <c r="BF3022" s="111">
        <f t="shared" si="2214"/>
        <v>2</v>
      </c>
      <c r="BG3022" s="111">
        <f t="shared" si="2215"/>
        <v>46</v>
      </c>
      <c r="BH3022" s="111">
        <f t="shared" si="2187"/>
        <v>46</v>
      </c>
      <c r="BI3022" s="111">
        <f t="shared" si="2189"/>
        <v>21.849726775956285</v>
      </c>
      <c r="BJ3022" s="129">
        <f>(G3022-J3022)+(M3022-G3022)</f>
        <v>0</v>
      </c>
      <c r="BK3022" s="129">
        <f t="shared" si="2188"/>
        <v>-44</v>
      </c>
      <c r="BL3022" s="129" t="str">
        <f t="shared" si="2181"/>
        <v>NO CONVICTION</v>
      </c>
      <c r="BM3022" s="129" t="s">
        <v>76</v>
      </c>
      <c r="BN3022" s="129" t="s">
        <v>88</v>
      </c>
      <c r="BP3022" s="137" t="str">
        <f t="shared" si="2191"/>
        <v>NO CONVICTION</v>
      </c>
      <c r="BQ3022" s="128" t="str">
        <f t="shared" si="2200"/>
        <v>Y</v>
      </c>
      <c r="BR3022" s="129" t="str">
        <f t="shared" si="2192"/>
        <v>ON BOND</v>
      </c>
      <c r="BS3022" s="129" t="str">
        <f t="shared" si="2193"/>
        <v>DISPOSED</v>
      </c>
      <c r="BT3022" s="129" t="str">
        <f t="shared" si="2194"/>
        <v>N</v>
      </c>
      <c r="BU3022" s="109">
        <f>IFERROR(Q3022/R3022,BR3022)</f>
        <v>4.3478260869565216E-2</v>
      </c>
      <c r="BV3022" s="109">
        <f t="shared" si="2201"/>
        <v>4.3478260869565216E-2</v>
      </c>
      <c r="BW3022" s="109">
        <f t="shared" si="2216"/>
        <v>0</v>
      </c>
      <c r="BX3022" s="111">
        <f t="shared" si="2196"/>
        <v>0</v>
      </c>
      <c r="BY3022" s="129">
        <f t="shared" si="2202"/>
        <v>-2</v>
      </c>
      <c r="BZ3022" s="111">
        <f t="shared" si="2203"/>
        <v>0</v>
      </c>
      <c r="CA3022" s="138">
        <f t="shared" si="2204"/>
        <v>2</v>
      </c>
      <c r="CB3022" s="111" t="e">
        <f t="shared" si="2217"/>
        <v>#VALUE!</v>
      </c>
      <c r="CC3022" s="129">
        <f>M3022-I3022+1</f>
        <v>2</v>
      </c>
      <c r="CD3022" s="111">
        <f>CC3022-BF3022</f>
        <v>0</v>
      </c>
      <c r="CG3022" s="129" t="str">
        <f t="shared" si="2205"/>
        <v>N</v>
      </c>
      <c r="CI3022" s="129" t="str">
        <f t="shared" si="2207"/>
        <v>0-10 DAYS</v>
      </c>
      <c r="CJ3022" s="137">
        <f t="shared" si="2208"/>
        <v>1</v>
      </c>
      <c r="CK3022" s="129" t="str">
        <f t="shared" si="2209"/>
        <v>Booked</v>
      </c>
    </row>
    <row r="3023" spans="1:89" ht="15.75" customHeight="1" x14ac:dyDescent="0.25">
      <c r="A3023" s="111">
        <v>2386</v>
      </c>
      <c r="B3023" s="128" t="str">
        <f t="shared" si="2197"/>
        <v>N</v>
      </c>
      <c r="C3023" s="128" t="str">
        <f t="shared" si="2198"/>
        <v>N</v>
      </c>
      <c r="D3023" s="117">
        <v>2612078</v>
      </c>
      <c r="E3023" s="135">
        <f t="shared" si="2199"/>
        <v>1</v>
      </c>
      <c r="F3023" s="124">
        <v>40998</v>
      </c>
      <c r="G3023" s="125">
        <v>41086</v>
      </c>
      <c r="H3023" s="117">
        <v>2612078</v>
      </c>
      <c r="I3023" s="124">
        <v>41003</v>
      </c>
      <c r="J3023" s="124">
        <v>41086</v>
      </c>
      <c r="K3023" s="126">
        <v>5000</v>
      </c>
      <c r="L3023" s="127" t="s">
        <v>569</v>
      </c>
      <c r="N3023" s="129" t="str">
        <f t="shared" si="2213"/>
        <v>N</v>
      </c>
      <c r="O3023" s="128" t="s">
        <v>917</v>
      </c>
      <c r="P3023" s="129" t="s">
        <v>123</v>
      </c>
      <c r="Q3023" s="111">
        <f t="shared" si="2206"/>
        <v>84</v>
      </c>
      <c r="R3023" s="111">
        <f t="shared" si="2186"/>
        <v>89</v>
      </c>
      <c r="S3023" s="129">
        <v>0</v>
      </c>
      <c r="T3023" s="129">
        <v>1</v>
      </c>
      <c r="W3023" s="111"/>
      <c r="AC3023" s="130"/>
      <c r="AD3023" s="130">
        <v>26288</v>
      </c>
      <c r="AE3023" s="128" t="s">
        <v>32</v>
      </c>
      <c r="AF3023" s="128" t="s">
        <v>33</v>
      </c>
      <c r="AG3023" s="128" t="s">
        <v>872</v>
      </c>
      <c r="AH3023" s="108" t="s">
        <v>31</v>
      </c>
      <c r="AI3023" s="128" t="s">
        <v>95</v>
      </c>
      <c r="AJ3023" s="129" t="s">
        <v>123</v>
      </c>
      <c r="AK3023" s="129">
        <v>5</v>
      </c>
      <c r="AL3023" s="3" t="s">
        <v>123</v>
      </c>
      <c r="AP3023" s="129" t="s">
        <v>93</v>
      </c>
      <c r="AR3023" s="128" t="s">
        <v>67</v>
      </c>
      <c r="AS3023" s="129" t="s">
        <v>45</v>
      </c>
      <c r="BC3023" s="129" t="s">
        <v>38</v>
      </c>
      <c r="BF3023" s="111">
        <f t="shared" si="2214"/>
        <v>84</v>
      </c>
      <c r="BG3023" s="111">
        <f t="shared" si="2215"/>
        <v>84</v>
      </c>
      <c r="BH3023" s="111">
        <f t="shared" si="2187"/>
        <v>89</v>
      </c>
      <c r="BI3023" s="111">
        <f t="shared" si="2189"/>
        <v>40.191256830601091</v>
      </c>
      <c r="BJ3023" s="129">
        <f>G3023-J3023-M3023</f>
        <v>0</v>
      </c>
      <c r="BK3023" s="129">
        <f t="shared" si="2188"/>
        <v>0</v>
      </c>
      <c r="BL3023" s="129" t="str">
        <f t="shared" si="2181"/>
        <v>NO CONVICTION</v>
      </c>
      <c r="BM3023" s="129" t="str">
        <f t="shared" si="2190"/>
        <v>NONE</v>
      </c>
      <c r="BN3023" s="129" t="s">
        <v>566</v>
      </c>
      <c r="BP3023" s="137" t="str">
        <f t="shared" si="2191"/>
        <v>NO CONVICTION</v>
      </c>
      <c r="BQ3023" s="128" t="str">
        <f t="shared" si="2200"/>
        <v>Y</v>
      </c>
      <c r="BR3023" s="129" t="str">
        <f t="shared" si="2192"/>
        <v>DETAINED</v>
      </c>
      <c r="BS3023" s="129" t="str">
        <f t="shared" si="2193"/>
        <v>DISPOSED</v>
      </c>
      <c r="BT3023" s="129" t="str">
        <f t="shared" si="2194"/>
        <v>N</v>
      </c>
      <c r="BU3023" s="109">
        <f>IFERROR(Q3023/R3023,BR3023)</f>
        <v>0.9438202247191011</v>
      </c>
      <c r="BV3023" s="109">
        <f t="shared" si="2201"/>
        <v>1</v>
      </c>
      <c r="BW3023" s="109">
        <f t="shared" si="2216"/>
        <v>5.6179775280898903E-2</v>
      </c>
      <c r="BX3023" s="111">
        <f t="shared" si="2196"/>
        <v>0</v>
      </c>
      <c r="BY3023" s="129">
        <f t="shared" si="2202"/>
        <v>-84</v>
      </c>
      <c r="BZ3023" s="111">
        <f t="shared" si="2203"/>
        <v>0</v>
      </c>
      <c r="CA3023" s="138">
        <f t="shared" si="2204"/>
        <v>84</v>
      </c>
      <c r="CB3023" s="111" t="e">
        <f t="shared" si="2217"/>
        <v>#VALUE!</v>
      </c>
      <c r="CC3023" s="129">
        <f>G3023-I3023+1</f>
        <v>84</v>
      </c>
      <c r="CD3023" s="129">
        <f>G3023-J3023</f>
        <v>0</v>
      </c>
      <c r="CG3023" s="129" t="str">
        <f t="shared" si="2205"/>
        <v>Y</v>
      </c>
      <c r="CI3023" s="129" t="str">
        <f t="shared" si="2207"/>
        <v>61-90 DAYS</v>
      </c>
      <c r="CJ3023" s="137">
        <f t="shared" si="2208"/>
        <v>4</v>
      </c>
      <c r="CK3023" s="129" t="str">
        <f t="shared" si="2209"/>
        <v>Booked</v>
      </c>
    </row>
    <row r="3024" spans="1:89" ht="15" customHeight="1" x14ac:dyDescent="0.25">
      <c r="A3024" s="111">
        <v>2390</v>
      </c>
      <c r="B3024" s="128" t="str">
        <f t="shared" si="2197"/>
        <v>N</v>
      </c>
      <c r="C3024" s="128" t="str">
        <f t="shared" si="2198"/>
        <v>N</v>
      </c>
      <c r="D3024" s="117">
        <v>2612083</v>
      </c>
      <c r="E3024" s="135">
        <f t="shared" si="2199"/>
        <v>2</v>
      </c>
      <c r="F3024" s="124">
        <v>40998</v>
      </c>
      <c r="G3024" s="125">
        <v>41081</v>
      </c>
      <c r="H3024" s="117">
        <v>2612083</v>
      </c>
      <c r="I3024" s="124">
        <v>40999</v>
      </c>
      <c r="J3024" s="124">
        <v>41002</v>
      </c>
      <c r="K3024" s="126">
        <v>10000</v>
      </c>
      <c r="L3024" s="127" t="s">
        <v>570</v>
      </c>
      <c r="M3024" s="125">
        <v>41002</v>
      </c>
      <c r="N3024" s="129" t="str">
        <f t="shared" si="2213"/>
        <v>Y</v>
      </c>
      <c r="O3024" s="128" t="s">
        <v>585</v>
      </c>
      <c r="P3024" s="129" t="s">
        <v>589</v>
      </c>
      <c r="Q3024" s="111">
        <f t="shared" si="2206"/>
        <v>4</v>
      </c>
      <c r="R3024" s="111">
        <f t="shared" si="2186"/>
        <v>84</v>
      </c>
      <c r="S3024" s="129">
        <v>0</v>
      </c>
      <c r="T3024" s="129">
        <v>0</v>
      </c>
      <c r="W3024" s="111"/>
      <c r="AC3024" s="130"/>
      <c r="AD3024" s="130">
        <v>33221</v>
      </c>
      <c r="AE3024" s="128" t="s">
        <v>32</v>
      </c>
      <c r="AF3024" s="128" t="s">
        <v>69</v>
      </c>
      <c r="AG3024" s="128" t="s">
        <v>874</v>
      </c>
      <c r="AH3024" s="108" t="s">
        <v>31</v>
      </c>
      <c r="AI3024" s="128" t="s">
        <v>113</v>
      </c>
      <c r="AJ3024" s="129" t="s">
        <v>48</v>
      </c>
      <c r="AK3024" s="129">
        <v>5</v>
      </c>
      <c r="AL3024" s="3" t="s">
        <v>48</v>
      </c>
      <c r="AP3024" s="129" t="s">
        <v>56</v>
      </c>
      <c r="AR3024" s="128" t="s">
        <v>50</v>
      </c>
      <c r="AS3024" s="129" t="s">
        <v>57</v>
      </c>
      <c r="BC3024" s="129" t="s">
        <v>52</v>
      </c>
      <c r="BF3024" s="111">
        <f t="shared" si="2214"/>
        <v>4</v>
      </c>
      <c r="BG3024" s="111">
        <f t="shared" si="2215"/>
        <v>83</v>
      </c>
      <c r="BH3024" s="111">
        <f t="shared" si="2187"/>
        <v>84</v>
      </c>
      <c r="BI3024" s="111">
        <f t="shared" si="2189"/>
        <v>21.248633879781419</v>
      </c>
      <c r="BJ3024" s="129">
        <f>(G3024-J3024)+(M3024-G3024)</f>
        <v>0</v>
      </c>
      <c r="BK3024" s="129">
        <f t="shared" si="2188"/>
        <v>-79</v>
      </c>
      <c r="BL3024" s="129" t="str">
        <f t="shared" si="2181"/>
        <v>DEFERRED</v>
      </c>
      <c r="BM3024" s="129" t="s">
        <v>76</v>
      </c>
      <c r="BN3024" s="129" t="s">
        <v>88</v>
      </c>
      <c r="BP3024" s="137" t="str">
        <f t="shared" si="2191"/>
        <v>DEFERRED</v>
      </c>
      <c r="BQ3024" s="128" t="str">
        <f t="shared" si="2200"/>
        <v>Y</v>
      </c>
      <c r="BR3024" s="129" t="str">
        <f t="shared" si="2192"/>
        <v>ON BOND</v>
      </c>
      <c r="BS3024" s="129" t="str">
        <f t="shared" si="2193"/>
        <v>DISPOSED</v>
      </c>
      <c r="BT3024" s="129" t="str">
        <f t="shared" si="2194"/>
        <v>N</v>
      </c>
      <c r="BU3024" s="109">
        <f t="shared" si="2195"/>
        <v>4.7619047619047616E-2</v>
      </c>
      <c r="BV3024" s="109">
        <f t="shared" si="2201"/>
        <v>4.8192771084337352E-2</v>
      </c>
      <c r="BW3024" s="109">
        <f t="shared" si="2216"/>
        <v>5.737234652897355E-4</v>
      </c>
      <c r="BX3024" s="111">
        <f t="shared" si="2196"/>
        <v>0</v>
      </c>
      <c r="BY3024" s="129">
        <f t="shared" si="2202"/>
        <v>-4</v>
      </c>
      <c r="BZ3024" s="111">
        <f t="shared" si="2203"/>
        <v>0</v>
      </c>
      <c r="CA3024" s="138">
        <f t="shared" si="2204"/>
        <v>4</v>
      </c>
      <c r="CB3024" s="111" t="e">
        <f t="shared" si="2217"/>
        <v>#VALUE!</v>
      </c>
      <c r="CC3024" s="129">
        <f>M3024-I3024+1</f>
        <v>4</v>
      </c>
      <c r="CD3024" s="111">
        <f>CC3024-BF3024</f>
        <v>0</v>
      </c>
      <c r="CG3024" s="129" t="str">
        <f t="shared" si="2205"/>
        <v>N</v>
      </c>
      <c r="CI3024" s="129" t="str">
        <f t="shared" si="2207"/>
        <v>0-10 DAYS</v>
      </c>
      <c r="CJ3024" s="137">
        <f t="shared" si="2208"/>
        <v>1</v>
      </c>
      <c r="CK3024" s="129" t="str">
        <f t="shared" si="2209"/>
        <v>Booked</v>
      </c>
    </row>
    <row r="3025" spans="1:89" ht="15.75" customHeight="1" x14ac:dyDescent="0.25">
      <c r="A3025" s="111">
        <v>2387</v>
      </c>
      <c r="B3025" s="128" t="str">
        <f t="shared" si="2197"/>
        <v>N</v>
      </c>
      <c r="C3025" s="128" t="str">
        <f t="shared" si="2198"/>
        <v>N</v>
      </c>
      <c r="D3025" s="117">
        <v>2612084</v>
      </c>
      <c r="E3025" s="135">
        <f t="shared" si="2199"/>
        <v>1</v>
      </c>
      <c r="F3025" s="124">
        <v>40998</v>
      </c>
      <c r="G3025" s="125">
        <v>41127</v>
      </c>
      <c r="H3025" s="117">
        <v>2612084</v>
      </c>
      <c r="I3025" s="124">
        <v>40998</v>
      </c>
      <c r="J3025" s="124">
        <v>41127</v>
      </c>
      <c r="K3025" s="126">
        <v>5000</v>
      </c>
      <c r="L3025" s="127" t="s">
        <v>569</v>
      </c>
      <c r="N3025" s="129" t="str">
        <f t="shared" si="2213"/>
        <v>N</v>
      </c>
      <c r="O3025" s="128" t="s">
        <v>917</v>
      </c>
      <c r="P3025" s="129" t="s">
        <v>55</v>
      </c>
      <c r="Q3025" s="111">
        <f t="shared" si="2206"/>
        <v>130</v>
      </c>
      <c r="R3025" s="111">
        <f t="shared" si="2186"/>
        <v>130</v>
      </c>
      <c r="S3025" s="129">
        <v>0</v>
      </c>
      <c r="T3025" s="129">
        <v>0</v>
      </c>
      <c r="W3025" s="111"/>
      <c r="AC3025" s="130"/>
      <c r="AD3025" s="130">
        <v>29321</v>
      </c>
      <c r="AE3025" s="128" t="s">
        <v>32</v>
      </c>
      <c r="AF3025" s="128" t="s">
        <v>69</v>
      </c>
      <c r="AG3025" s="128" t="s">
        <v>874</v>
      </c>
      <c r="AH3025" s="108" t="s">
        <v>31</v>
      </c>
      <c r="AI3025" s="128" t="s">
        <v>95</v>
      </c>
      <c r="AJ3025" s="129" t="s">
        <v>55</v>
      </c>
      <c r="AK3025" s="129">
        <v>5</v>
      </c>
      <c r="AL3025" s="3" t="s">
        <v>55</v>
      </c>
      <c r="AP3025" s="129" t="s">
        <v>93</v>
      </c>
      <c r="AR3025" s="128" t="s">
        <v>67</v>
      </c>
      <c r="AS3025" s="129" t="s">
        <v>45</v>
      </c>
      <c r="BC3025" s="129" t="s">
        <v>38</v>
      </c>
      <c r="BF3025" s="111">
        <f t="shared" si="2214"/>
        <v>130</v>
      </c>
      <c r="BG3025" s="111">
        <f t="shared" si="2215"/>
        <v>130</v>
      </c>
      <c r="BH3025" s="111">
        <f t="shared" si="2187"/>
        <v>130</v>
      </c>
      <c r="BI3025" s="111">
        <f t="shared" si="2189"/>
        <v>31.904371584699454</v>
      </c>
      <c r="BJ3025" s="129">
        <f>G3025-J3025-M3025</f>
        <v>0</v>
      </c>
      <c r="BK3025" s="129">
        <f t="shared" si="2188"/>
        <v>0</v>
      </c>
      <c r="BL3025" s="129" t="str">
        <f t="shared" si="2181"/>
        <v>NO CONVICTION</v>
      </c>
      <c r="BM3025" s="129" t="str">
        <f t="shared" si="2190"/>
        <v>NONE</v>
      </c>
      <c r="BN3025" s="129" t="s">
        <v>566</v>
      </c>
      <c r="BP3025" s="137" t="str">
        <f t="shared" si="2191"/>
        <v>NO CONVICTION</v>
      </c>
      <c r="BQ3025" s="128" t="str">
        <f t="shared" si="2200"/>
        <v>Y</v>
      </c>
      <c r="BR3025" s="129" t="str">
        <f t="shared" si="2192"/>
        <v>DETAINED</v>
      </c>
      <c r="BS3025" s="129" t="str">
        <f t="shared" si="2193"/>
        <v>DISPOSED</v>
      </c>
      <c r="BT3025" s="129" t="str">
        <f t="shared" si="2194"/>
        <v>N</v>
      </c>
      <c r="BU3025" s="109">
        <f>IFERROR(Q3025/R3025,BR3025)</f>
        <v>1</v>
      </c>
      <c r="BV3025" s="109">
        <f t="shared" si="2201"/>
        <v>1</v>
      </c>
      <c r="BW3025" s="109">
        <f t="shared" si="2216"/>
        <v>0</v>
      </c>
      <c r="BX3025" s="111">
        <f t="shared" si="2196"/>
        <v>0</v>
      </c>
      <c r="BY3025" s="129">
        <f t="shared" si="2202"/>
        <v>-130</v>
      </c>
      <c r="BZ3025" s="111">
        <f t="shared" si="2203"/>
        <v>0</v>
      </c>
      <c r="CA3025" s="138">
        <f t="shared" si="2204"/>
        <v>130</v>
      </c>
      <c r="CB3025" s="111" t="e">
        <f t="shared" si="2217"/>
        <v>#VALUE!</v>
      </c>
      <c r="CC3025" s="129">
        <f>G3025-I3025+1</f>
        <v>130</v>
      </c>
      <c r="CD3025" s="129">
        <f>G3025-J3025</f>
        <v>0</v>
      </c>
      <c r="CG3025" s="129" t="str">
        <f t="shared" si="2205"/>
        <v>N</v>
      </c>
      <c r="CI3025" s="129" t="str">
        <f t="shared" si="2207"/>
        <v>121-365 DAYS</v>
      </c>
      <c r="CJ3025" s="137">
        <f t="shared" si="2208"/>
        <v>6</v>
      </c>
      <c r="CK3025" s="129" t="str">
        <f t="shared" si="2209"/>
        <v>Booked</v>
      </c>
    </row>
    <row r="3026" spans="1:89" ht="15" customHeight="1" x14ac:dyDescent="0.25">
      <c r="A3026" s="111">
        <v>2393</v>
      </c>
      <c r="B3026" s="128" t="str">
        <f t="shared" si="2197"/>
        <v>Y</v>
      </c>
      <c r="C3026" s="128" t="str">
        <f t="shared" si="2198"/>
        <v>Y</v>
      </c>
      <c r="D3026" s="117">
        <v>2612112</v>
      </c>
      <c r="E3026" s="135">
        <f t="shared" si="2199"/>
        <v>2</v>
      </c>
      <c r="F3026" s="124">
        <v>40999</v>
      </c>
      <c r="G3026" s="125">
        <v>41065</v>
      </c>
      <c r="H3026" s="117">
        <v>2612112</v>
      </c>
      <c r="I3026" s="124">
        <v>40999</v>
      </c>
      <c r="J3026" s="124">
        <v>41000</v>
      </c>
      <c r="K3026" s="126">
        <v>2000</v>
      </c>
      <c r="L3026" s="127" t="s">
        <v>568</v>
      </c>
      <c r="M3026" s="125">
        <v>41000</v>
      </c>
      <c r="N3026" s="129" t="str">
        <f t="shared" si="2213"/>
        <v>Y</v>
      </c>
      <c r="O3026" s="128" t="s">
        <v>76</v>
      </c>
      <c r="P3026" s="129" t="s">
        <v>589</v>
      </c>
      <c r="Q3026" s="111">
        <v>8</v>
      </c>
      <c r="R3026" s="111">
        <f t="shared" si="2186"/>
        <v>67</v>
      </c>
      <c r="S3026" s="129">
        <v>0</v>
      </c>
      <c r="T3026" s="129">
        <v>0</v>
      </c>
      <c r="W3026" s="111"/>
      <c r="AC3026" s="130"/>
      <c r="AD3026" s="130">
        <v>34621</v>
      </c>
      <c r="AE3026" s="128" t="s">
        <v>32</v>
      </c>
      <c r="AF3026" s="128" t="s">
        <v>33</v>
      </c>
      <c r="AG3026" s="128" t="s">
        <v>872</v>
      </c>
      <c r="AH3026" s="108" t="s">
        <v>31</v>
      </c>
      <c r="AI3026" s="128" t="s">
        <v>72</v>
      </c>
      <c r="AJ3026" s="129" t="s">
        <v>48</v>
      </c>
      <c r="AK3026" s="129">
        <v>4</v>
      </c>
      <c r="AL3026" s="3" t="s">
        <v>48</v>
      </c>
      <c r="AP3026" s="129" t="s">
        <v>127</v>
      </c>
      <c r="AR3026" s="128" t="s">
        <v>44</v>
      </c>
      <c r="AS3026" s="129" t="s">
        <v>82</v>
      </c>
      <c r="AT3026" s="129" t="s">
        <v>1094</v>
      </c>
      <c r="AV3026" s="3" t="s">
        <v>88</v>
      </c>
      <c r="AW3026" s="129" t="s">
        <v>767</v>
      </c>
      <c r="BA3026" s="125">
        <v>41142</v>
      </c>
      <c r="BB3026" s="129">
        <v>235</v>
      </c>
      <c r="BC3026" s="129" t="s">
        <v>38</v>
      </c>
      <c r="BD3026" s="129" t="s">
        <v>1095</v>
      </c>
      <c r="BF3026" s="111">
        <v>8</v>
      </c>
      <c r="BG3026" s="111">
        <f t="shared" si="2215"/>
        <v>67</v>
      </c>
      <c r="BH3026" s="111">
        <f t="shared" si="2187"/>
        <v>67</v>
      </c>
      <c r="BI3026" s="111">
        <f t="shared" si="2189"/>
        <v>17.42622950819672</v>
      </c>
      <c r="BJ3026" s="129">
        <f>(G3026-J3026)+(M3026-G3026)</f>
        <v>0</v>
      </c>
      <c r="BK3026" s="129">
        <f t="shared" si="2188"/>
        <v>-65</v>
      </c>
      <c r="BL3026" s="129" t="str">
        <f t="shared" si="2181"/>
        <v>DEFERRED</v>
      </c>
      <c r="BM3026" s="129" t="s">
        <v>76</v>
      </c>
      <c r="BN3026" s="129" t="s">
        <v>88</v>
      </c>
      <c r="BP3026" s="137" t="str">
        <f t="shared" si="2191"/>
        <v>DEFERRED</v>
      </c>
      <c r="BQ3026" s="128" t="str">
        <f t="shared" si="2200"/>
        <v>Y</v>
      </c>
      <c r="BR3026" s="129" t="s">
        <v>574</v>
      </c>
      <c r="BS3026" s="129" t="str">
        <f t="shared" si="2193"/>
        <v>DISPOSED</v>
      </c>
      <c r="BT3026" s="129" t="str">
        <f t="shared" si="2194"/>
        <v>N</v>
      </c>
      <c r="BU3026" s="109">
        <f t="shared" si="2195"/>
        <v>0.11940298507462686</v>
      </c>
      <c r="BV3026" s="109">
        <f t="shared" si="2201"/>
        <v>2.9850746268656716E-2</v>
      </c>
      <c r="BW3026" s="109">
        <f t="shared" si="2216"/>
        <v>-8.9552238805970144E-2</v>
      </c>
      <c r="BX3026" s="111">
        <f t="shared" si="2196"/>
        <v>0</v>
      </c>
      <c r="BY3026" s="129">
        <f t="shared" si="2202"/>
        <v>-2</v>
      </c>
      <c r="BZ3026" s="111">
        <f t="shared" si="2203"/>
        <v>6</v>
      </c>
      <c r="CA3026" s="138">
        <f t="shared" si="2204"/>
        <v>67</v>
      </c>
      <c r="CB3026" s="111">
        <v>8</v>
      </c>
      <c r="CC3026" s="129">
        <f>G3026-I3026+1</f>
        <v>67</v>
      </c>
      <c r="CD3026" s="129">
        <f>G3026-J3026</f>
        <v>65</v>
      </c>
      <c r="CG3026" s="129" t="str">
        <f t="shared" si="2205"/>
        <v>N</v>
      </c>
      <c r="CI3026" s="129" t="str">
        <f t="shared" si="2207"/>
        <v>0-10 DAYS</v>
      </c>
      <c r="CJ3026" s="137">
        <f t="shared" si="2208"/>
        <v>1</v>
      </c>
      <c r="CK3026" s="129" t="str">
        <f t="shared" si="2209"/>
        <v>Booked</v>
      </c>
    </row>
    <row r="3027" spans="1:89" ht="15.75" customHeight="1" x14ac:dyDescent="0.25">
      <c r="A3027" s="111">
        <v>2399</v>
      </c>
      <c r="B3027" s="128" t="str">
        <f t="shared" si="2197"/>
        <v>N</v>
      </c>
      <c r="C3027" s="128" t="str">
        <f t="shared" si="2198"/>
        <v>N</v>
      </c>
      <c r="D3027" s="117">
        <v>2612170</v>
      </c>
      <c r="E3027" s="135">
        <f t="shared" si="2199"/>
        <v>4</v>
      </c>
      <c r="F3027" s="124">
        <v>40999</v>
      </c>
      <c r="G3027" s="125">
        <v>41060</v>
      </c>
      <c r="H3027" s="117">
        <v>2612170</v>
      </c>
      <c r="I3027" s="124">
        <v>40999</v>
      </c>
      <c r="J3027" s="124">
        <v>41060</v>
      </c>
      <c r="K3027" s="126">
        <v>35000</v>
      </c>
      <c r="L3027" s="129" t="s">
        <v>572</v>
      </c>
      <c r="N3027" s="129" t="str">
        <f t="shared" si="2213"/>
        <v>N</v>
      </c>
      <c r="O3027" s="128" t="s">
        <v>917</v>
      </c>
      <c r="P3027" s="129" t="s">
        <v>39</v>
      </c>
      <c r="Q3027" s="111">
        <f t="shared" ref="Q3027:Q3061" si="2218">BF3027</f>
        <v>62</v>
      </c>
      <c r="R3027" s="111">
        <f t="shared" si="2186"/>
        <v>62</v>
      </c>
      <c r="S3027" s="129">
        <v>0</v>
      </c>
      <c r="T3027" s="129">
        <v>0</v>
      </c>
      <c r="W3027" s="111"/>
      <c r="AB3027" s="131" t="s">
        <v>112</v>
      </c>
      <c r="AC3027" s="130"/>
      <c r="AD3027" s="130">
        <v>30787</v>
      </c>
      <c r="AE3027" s="128" t="s">
        <v>32</v>
      </c>
      <c r="AF3027" s="128" t="s">
        <v>40</v>
      </c>
      <c r="AG3027" s="128" t="s">
        <v>41</v>
      </c>
      <c r="AH3027" s="108" t="s">
        <v>31</v>
      </c>
      <c r="AI3027" s="128" t="s">
        <v>53</v>
      </c>
      <c r="AJ3027" s="129" t="s">
        <v>89</v>
      </c>
      <c r="AK3027" s="129">
        <v>3</v>
      </c>
      <c r="AL3027" s="3" t="s">
        <v>991</v>
      </c>
      <c r="AO3027" s="128">
        <v>120</v>
      </c>
      <c r="AP3027" s="129" t="s">
        <v>43</v>
      </c>
      <c r="AR3027" s="128" t="s">
        <v>44</v>
      </c>
      <c r="AS3027" s="129" t="s">
        <v>45</v>
      </c>
      <c r="BC3027" s="129" t="s">
        <v>38</v>
      </c>
      <c r="BF3027" s="111">
        <f t="shared" ref="BF3027:BF3048" si="2219">IF(J3027&gt;1/1/1900,((J3027+1)-I3027),"STILL OPEN")</f>
        <v>62</v>
      </c>
      <c r="BG3027" s="111">
        <f t="shared" si="2215"/>
        <v>62</v>
      </c>
      <c r="BH3027" s="111">
        <f t="shared" si="2187"/>
        <v>62</v>
      </c>
      <c r="BI3027" s="111">
        <f t="shared" si="2189"/>
        <v>27.901639344262296</v>
      </c>
      <c r="BJ3027" s="129">
        <f>G3027-J3027-M3027</f>
        <v>0</v>
      </c>
      <c r="BK3027" s="129">
        <f t="shared" si="2188"/>
        <v>0</v>
      </c>
      <c r="BL3027" s="129" t="str">
        <f t="shared" si="2181"/>
        <v>CONVICTION</v>
      </c>
      <c r="BM3027" s="129" t="str">
        <f t="shared" si="2190"/>
        <v>NONE</v>
      </c>
      <c r="BN3027" s="129" t="s">
        <v>566</v>
      </c>
      <c r="BP3027" s="137" t="str">
        <f t="shared" si="2191"/>
        <v>CONVICTION</v>
      </c>
      <c r="BQ3027" s="128" t="str">
        <f t="shared" si="2200"/>
        <v>Y</v>
      </c>
      <c r="BR3027" s="129" t="str">
        <f t="shared" si="2192"/>
        <v>DETAINED</v>
      </c>
      <c r="BS3027" s="129" t="str">
        <f t="shared" si="2193"/>
        <v>DISPOSED</v>
      </c>
      <c r="BT3027" s="129" t="str">
        <f t="shared" si="2194"/>
        <v>N</v>
      </c>
      <c r="BU3027" s="109">
        <f t="shared" si="2195"/>
        <v>1</v>
      </c>
      <c r="BV3027" s="109">
        <f t="shared" si="2201"/>
        <v>1</v>
      </c>
      <c r="BW3027" s="109">
        <f t="shared" si="2216"/>
        <v>0</v>
      </c>
      <c r="BX3027" s="111">
        <f t="shared" si="2196"/>
        <v>0</v>
      </c>
      <c r="BY3027" s="129">
        <f t="shared" si="2202"/>
        <v>-62</v>
      </c>
      <c r="BZ3027" s="111">
        <f t="shared" si="2203"/>
        <v>0</v>
      </c>
      <c r="CA3027" s="138">
        <f t="shared" si="2204"/>
        <v>62</v>
      </c>
      <c r="CB3027" s="111" t="e">
        <f t="shared" ref="CB3027:CB3048" si="2220">IF(AF3027&gt;1/1/1900,((AF3027+1)-AE3027),"STILL OPEN")</f>
        <v>#VALUE!</v>
      </c>
      <c r="CC3027" s="129">
        <f>G3027-I3027+1</f>
        <v>62</v>
      </c>
      <c r="CD3027" s="129">
        <f>G3027-J3027</f>
        <v>0</v>
      </c>
      <c r="CG3027" s="129" t="str">
        <f t="shared" si="2205"/>
        <v>N</v>
      </c>
      <c r="CI3027" s="129" t="str">
        <f t="shared" si="2207"/>
        <v>61-90 DAYS</v>
      </c>
      <c r="CJ3027" s="137">
        <f t="shared" si="2208"/>
        <v>4</v>
      </c>
      <c r="CK3027" s="129" t="str">
        <f t="shared" si="2209"/>
        <v>Booked</v>
      </c>
    </row>
    <row r="3028" spans="1:89" ht="15.75" customHeight="1" x14ac:dyDescent="0.25">
      <c r="A3028" s="111">
        <v>2413</v>
      </c>
      <c r="B3028" s="128" t="str">
        <f t="shared" si="2197"/>
        <v>N</v>
      </c>
      <c r="C3028" s="128" t="str">
        <f t="shared" si="2198"/>
        <v>N</v>
      </c>
      <c r="D3028" s="117">
        <v>2612193</v>
      </c>
      <c r="E3028" s="135">
        <f t="shared" si="2199"/>
        <v>2</v>
      </c>
      <c r="F3028" s="124">
        <v>41000</v>
      </c>
      <c r="G3028" s="125">
        <v>41001</v>
      </c>
      <c r="H3028" s="117">
        <v>2612193</v>
      </c>
      <c r="I3028" s="124">
        <v>41000</v>
      </c>
      <c r="J3028" s="124">
        <v>41001</v>
      </c>
      <c r="K3028" s="126">
        <v>5000</v>
      </c>
      <c r="L3028" s="127" t="s">
        <v>569</v>
      </c>
      <c r="N3028" s="129" t="str">
        <f t="shared" si="2213"/>
        <v>N</v>
      </c>
      <c r="O3028" s="128" t="s">
        <v>917</v>
      </c>
      <c r="P3028" s="129" t="s">
        <v>589</v>
      </c>
      <c r="Q3028" s="111">
        <f t="shared" si="2218"/>
        <v>2</v>
      </c>
      <c r="R3028" s="111">
        <f t="shared" si="2186"/>
        <v>2</v>
      </c>
      <c r="S3028" s="129">
        <v>0</v>
      </c>
      <c r="T3028" s="129">
        <v>2</v>
      </c>
      <c r="W3028" s="111"/>
      <c r="AC3028" s="130"/>
      <c r="AD3028" s="130">
        <v>24016</v>
      </c>
      <c r="AE3028" s="128" t="s">
        <v>32</v>
      </c>
      <c r="AF3028" s="128" t="s">
        <v>69</v>
      </c>
      <c r="AG3028" s="128" t="s">
        <v>874</v>
      </c>
      <c r="AH3028" s="108" t="s">
        <v>31</v>
      </c>
      <c r="AI3028" s="128" t="s">
        <v>114</v>
      </c>
      <c r="AJ3028" s="129" t="s">
        <v>48</v>
      </c>
      <c r="AK3028" s="129">
        <v>1</v>
      </c>
      <c r="AL3028" s="3" t="s">
        <v>48</v>
      </c>
      <c r="AP3028" s="129" t="s">
        <v>43</v>
      </c>
      <c r="AR3028" s="128" t="s">
        <v>44</v>
      </c>
      <c r="AS3028" s="129" t="s">
        <v>45</v>
      </c>
      <c r="BC3028" s="129" t="s">
        <v>38</v>
      </c>
      <c r="BF3028" s="111">
        <f t="shared" si="2219"/>
        <v>2</v>
      </c>
      <c r="BG3028" s="111">
        <f t="shared" si="2215"/>
        <v>2</v>
      </c>
      <c r="BH3028" s="111">
        <f t="shared" si="2187"/>
        <v>2</v>
      </c>
      <c r="BI3028" s="111">
        <f t="shared" si="2189"/>
        <v>46.404371584699454</v>
      </c>
      <c r="BJ3028" s="129">
        <f>G3028-J3028-M3028</f>
        <v>0</v>
      </c>
      <c r="BK3028" s="129">
        <f t="shared" si="2188"/>
        <v>0</v>
      </c>
      <c r="BL3028" s="129" t="str">
        <f t="shared" si="2181"/>
        <v>DEFERRED</v>
      </c>
      <c r="BM3028" s="129" t="str">
        <f t="shared" si="2190"/>
        <v>NONE</v>
      </c>
      <c r="BN3028" s="129" t="s">
        <v>566</v>
      </c>
      <c r="BP3028" s="137" t="str">
        <f t="shared" si="2191"/>
        <v>DEFERRED</v>
      </c>
      <c r="BQ3028" s="128" t="str">
        <f t="shared" si="2200"/>
        <v>Y</v>
      </c>
      <c r="BR3028" s="129" t="str">
        <f t="shared" si="2192"/>
        <v>DETAINED</v>
      </c>
      <c r="BS3028" s="129" t="str">
        <f t="shared" si="2193"/>
        <v>DISPOSED</v>
      </c>
      <c r="BT3028" s="129" t="str">
        <f t="shared" si="2194"/>
        <v>N</v>
      </c>
      <c r="BU3028" s="109">
        <f t="shared" si="2195"/>
        <v>1</v>
      </c>
      <c r="BV3028" s="109">
        <f t="shared" si="2201"/>
        <v>1</v>
      </c>
      <c r="BW3028" s="109">
        <f t="shared" si="2216"/>
        <v>0</v>
      </c>
      <c r="BX3028" s="111">
        <f t="shared" si="2196"/>
        <v>0</v>
      </c>
      <c r="BY3028" s="129">
        <f t="shared" si="2202"/>
        <v>-2</v>
      </c>
      <c r="BZ3028" s="111">
        <f t="shared" si="2203"/>
        <v>0</v>
      </c>
      <c r="CA3028" s="138">
        <f t="shared" si="2204"/>
        <v>2</v>
      </c>
      <c r="CB3028" s="111" t="e">
        <f t="shared" si="2220"/>
        <v>#VALUE!</v>
      </c>
      <c r="CC3028" s="129">
        <f>G3028-I3028+1</f>
        <v>2</v>
      </c>
      <c r="CD3028" s="129">
        <f>G3028-J3028</f>
        <v>0</v>
      </c>
      <c r="CG3028" s="129" t="str">
        <f t="shared" si="2205"/>
        <v>Y</v>
      </c>
      <c r="CI3028" s="129" t="str">
        <f t="shared" si="2207"/>
        <v>0-10 DAYS</v>
      </c>
      <c r="CJ3028" s="137">
        <f t="shared" si="2208"/>
        <v>1</v>
      </c>
      <c r="CK3028" s="129" t="str">
        <f t="shared" si="2209"/>
        <v>Booked</v>
      </c>
    </row>
    <row r="3029" spans="1:89" ht="15" customHeight="1" x14ac:dyDescent="0.25">
      <c r="A3029" s="111">
        <v>2404</v>
      </c>
      <c r="B3029" s="128" t="str">
        <f t="shared" si="2197"/>
        <v>N</v>
      </c>
      <c r="C3029" s="128" t="str">
        <f t="shared" si="2198"/>
        <v>N</v>
      </c>
      <c r="D3029" s="117">
        <v>2612198</v>
      </c>
      <c r="E3029" s="135">
        <f t="shared" si="2199"/>
        <v>4</v>
      </c>
      <c r="F3029" s="124">
        <v>40999</v>
      </c>
      <c r="G3029" s="125">
        <v>41023</v>
      </c>
      <c r="H3029" s="117">
        <v>2612198</v>
      </c>
      <c r="I3029" s="124">
        <v>40999</v>
      </c>
      <c r="J3029" s="124">
        <v>41023</v>
      </c>
      <c r="K3029" s="126">
        <v>5000</v>
      </c>
      <c r="L3029" s="127" t="s">
        <v>569</v>
      </c>
      <c r="N3029" s="129" t="str">
        <f t="shared" si="2213"/>
        <v>N</v>
      </c>
      <c r="O3029" s="128" t="s">
        <v>917</v>
      </c>
      <c r="P3029" s="129" t="s">
        <v>39</v>
      </c>
      <c r="Q3029" s="111">
        <f t="shared" si="2218"/>
        <v>25</v>
      </c>
      <c r="R3029" s="111">
        <f t="shared" si="2186"/>
        <v>25</v>
      </c>
      <c r="S3029" s="129">
        <v>0</v>
      </c>
      <c r="T3029" s="129">
        <v>0</v>
      </c>
      <c r="W3029" s="111"/>
      <c r="AC3029" s="130"/>
      <c r="AD3029" s="130">
        <v>30239</v>
      </c>
      <c r="AE3029" s="128" t="s">
        <v>32</v>
      </c>
      <c r="AF3029" s="128" t="s">
        <v>33</v>
      </c>
      <c r="AG3029" s="128" t="s">
        <v>872</v>
      </c>
      <c r="AH3029" s="108" t="s">
        <v>31</v>
      </c>
      <c r="AI3029" s="128" t="s">
        <v>65</v>
      </c>
      <c r="AJ3029" s="129" t="s">
        <v>89</v>
      </c>
      <c r="AK3029" s="129">
        <v>2</v>
      </c>
      <c r="AL3029" s="3" t="s">
        <v>991</v>
      </c>
      <c r="AO3029" s="128">
        <v>90</v>
      </c>
      <c r="AP3029" s="129" t="s">
        <v>43</v>
      </c>
      <c r="AR3029" s="128" t="s">
        <v>44</v>
      </c>
      <c r="AS3029" s="129" t="s">
        <v>45</v>
      </c>
      <c r="BC3029" s="129" t="s">
        <v>38</v>
      </c>
      <c r="BF3029" s="111">
        <f t="shared" si="2219"/>
        <v>25</v>
      </c>
      <c r="BG3029" s="111">
        <f t="shared" si="2215"/>
        <v>25</v>
      </c>
      <c r="BH3029" s="111">
        <f t="shared" si="2187"/>
        <v>25</v>
      </c>
      <c r="BI3029" s="111">
        <f t="shared" si="2189"/>
        <v>29.398907103825138</v>
      </c>
      <c r="BJ3029" s="129">
        <f>G3029-J3029-M3029</f>
        <v>0</v>
      </c>
      <c r="BK3029" s="129">
        <f t="shared" si="2188"/>
        <v>0</v>
      </c>
      <c r="BL3029" s="129" t="str">
        <f t="shared" si="2181"/>
        <v>CONVICTION</v>
      </c>
      <c r="BM3029" s="129" t="str">
        <f t="shared" si="2190"/>
        <v>NONE</v>
      </c>
      <c r="BN3029" s="129" t="s">
        <v>566</v>
      </c>
      <c r="BP3029" s="137" t="str">
        <f t="shared" si="2191"/>
        <v>CONVICTION</v>
      </c>
      <c r="BQ3029" s="128" t="str">
        <f t="shared" si="2200"/>
        <v>Y</v>
      </c>
      <c r="BR3029" s="129" t="str">
        <f t="shared" si="2192"/>
        <v>DETAINED</v>
      </c>
      <c r="BS3029" s="129" t="str">
        <f t="shared" si="2193"/>
        <v>DISPOSED</v>
      </c>
      <c r="BT3029" s="129" t="str">
        <f t="shared" si="2194"/>
        <v>N</v>
      </c>
      <c r="BU3029" s="109">
        <f t="shared" si="2195"/>
        <v>1</v>
      </c>
      <c r="BV3029" s="109">
        <f t="shared" si="2201"/>
        <v>1</v>
      </c>
      <c r="BW3029" s="109">
        <f t="shared" si="2216"/>
        <v>0</v>
      </c>
      <c r="BX3029" s="111">
        <f t="shared" si="2196"/>
        <v>0</v>
      </c>
      <c r="BY3029" s="129">
        <f t="shared" si="2202"/>
        <v>-25</v>
      </c>
      <c r="BZ3029" s="111">
        <f t="shared" si="2203"/>
        <v>0</v>
      </c>
      <c r="CA3029" s="138">
        <f t="shared" si="2204"/>
        <v>25</v>
      </c>
      <c r="CB3029" s="111" t="e">
        <f t="shared" si="2220"/>
        <v>#VALUE!</v>
      </c>
      <c r="CC3029" s="129">
        <f>G3029-I3029+1</f>
        <v>25</v>
      </c>
      <c r="CD3029" s="129">
        <f>G3029-J3029</f>
        <v>0</v>
      </c>
      <c r="CG3029" s="129" t="str">
        <f t="shared" si="2205"/>
        <v>N</v>
      </c>
      <c r="CI3029" s="129" t="str">
        <f t="shared" si="2207"/>
        <v>11-30 DAYS</v>
      </c>
      <c r="CJ3029" s="137">
        <f t="shared" si="2208"/>
        <v>2</v>
      </c>
      <c r="CK3029" s="129" t="str">
        <f t="shared" si="2209"/>
        <v>Booked</v>
      </c>
    </row>
    <row r="3030" spans="1:89" ht="15.75" customHeight="1" x14ac:dyDescent="0.25">
      <c r="A3030" s="111">
        <v>2406</v>
      </c>
      <c r="B3030" s="128" t="str">
        <f t="shared" si="2197"/>
        <v>N</v>
      </c>
      <c r="C3030" s="128" t="str">
        <f t="shared" si="2198"/>
        <v>N</v>
      </c>
      <c r="D3030" s="117">
        <v>2612206</v>
      </c>
      <c r="E3030" s="135">
        <f t="shared" si="2199"/>
        <v>5</v>
      </c>
      <c r="F3030" s="124">
        <v>40999</v>
      </c>
      <c r="G3030" s="125">
        <v>41103</v>
      </c>
      <c r="H3030" s="117">
        <v>2612206</v>
      </c>
      <c r="I3030" s="124">
        <v>41070</v>
      </c>
      <c r="J3030" s="124">
        <v>41076</v>
      </c>
      <c r="K3030" s="126">
        <v>2000</v>
      </c>
      <c r="L3030" s="127" t="s">
        <v>568</v>
      </c>
      <c r="M3030" s="125">
        <v>41076</v>
      </c>
      <c r="N3030" s="129" t="str">
        <f t="shared" si="2213"/>
        <v>Y</v>
      </c>
      <c r="O3030" s="128" t="s">
        <v>76</v>
      </c>
      <c r="P3030" s="129" t="s">
        <v>39</v>
      </c>
      <c r="Q3030" s="111">
        <f t="shared" si="2218"/>
        <v>7</v>
      </c>
      <c r="R3030" s="111">
        <f t="shared" si="2186"/>
        <v>105</v>
      </c>
      <c r="S3030" s="129">
        <v>0</v>
      </c>
      <c r="T3030" s="129">
        <v>1</v>
      </c>
      <c r="W3030" s="111"/>
      <c r="AC3030" s="130"/>
      <c r="AD3030" s="130">
        <v>34022</v>
      </c>
      <c r="AE3030" s="128" t="s">
        <v>32</v>
      </c>
      <c r="AF3030" s="128" t="s">
        <v>33</v>
      </c>
      <c r="AG3030" s="128" t="s">
        <v>872</v>
      </c>
      <c r="AH3030" s="108" t="s">
        <v>31</v>
      </c>
      <c r="AI3030" s="128" t="s">
        <v>47</v>
      </c>
      <c r="AJ3030" s="129" t="s">
        <v>89</v>
      </c>
      <c r="AK3030" s="129">
        <v>5</v>
      </c>
      <c r="AL3030" s="3" t="s">
        <v>992</v>
      </c>
      <c r="AN3030" s="117">
        <v>7</v>
      </c>
      <c r="AP3030" s="129" t="s">
        <v>108</v>
      </c>
      <c r="AR3030" s="128" t="s">
        <v>44</v>
      </c>
      <c r="AS3030" s="129" t="s">
        <v>61</v>
      </c>
      <c r="AT3030" s="129" t="s">
        <v>1245</v>
      </c>
      <c r="BC3030" s="129" t="s">
        <v>38</v>
      </c>
      <c r="BF3030" s="111">
        <f t="shared" si="2219"/>
        <v>7</v>
      </c>
      <c r="BG3030" s="111">
        <f t="shared" si="2215"/>
        <v>34</v>
      </c>
      <c r="BH3030" s="111">
        <f t="shared" si="2187"/>
        <v>105</v>
      </c>
      <c r="BI3030" s="111">
        <f t="shared" si="2189"/>
        <v>19.062841530054644</v>
      </c>
      <c r="BJ3030" s="129">
        <f>(G3030-J3030)+(M3030-G3030)</f>
        <v>0</v>
      </c>
      <c r="BK3030" s="129">
        <f t="shared" si="2188"/>
        <v>-27</v>
      </c>
      <c r="BL3030" s="129" t="str">
        <f t="shared" si="2181"/>
        <v>CONVICTION</v>
      </c>
      <c r="BM3030" s="129" t="s">
        <v>76</v>
      </c>
      <c r="BN3030" s="129" t="s">
        <v>88</v>
      </c>
      <c r="BP3030" s="137" t="str">
        <f t="shared" si="2191"/>
        <v>CONVICTION</v>
      </c>
      <c r="BQ3030" s="128" t="str">
        <f t="shared" si="2200"/>
        <v>Y</v>
      </c>
      <c r="BR3030" s="129" t="str">
        <f>IF(J3030&lt;G3030,"ON BOND",0)</f>
        <v>ON BOND</v>
      </c>
      <c r="BS3030" s="129" t="str">
        <f t="shared" si="2193"/>
        <v>DISPOSED</v>
      </c>
      <c r="BT3030" s="129" t="str">
        <f t="shared" si="2194"/>
        <v>N</v>
      </c>
      <c r="BU3030" s="109">
        <f t="shared" si="2195"/>
        <v>6.6666666666666666E-2</v>
      </c>
      <c r="BV3030" s="109">
        <f t="shared" si="2201"/>
        <v>0.20588235294117646</v>
      </c>
      <c r="BW3030" s="109">
        <f t="shared" si="2216"/>
        <v>0.13921568627450981</v>
      </c>
      <c r="BX3030" s="111">
        <f t="shared" si="2196"/>
        <v>0</v>
      </c>
      <c r="BY3030" s="129">
        <f t="shared" si="2202"/>
        <v>-7</v>
      </c>
      <c r="BZ3030" s="111">
        <f t="shared" si="2203"/>
        <v>0</v>
      </c>
      <c r="CA3030" s="138">
        <f t="shared" si="2204"/>
        <v>7</v>
      </c>
      <c r="CB3030" s="111" t="e">
        <f t="shared" si="2220"/>
        <v>#VALUE!</v>
      </c>
      <c r="CC3030" s="129">
        <f>M3030-I3030+1</f>
        <v>7</v>
      </c>
      <c r="CD3030" s="111">
        <f>CC3030-BF3030</f>
        <v>0</v>
      </c>
      <c r="CG3030" s="129" t="str">
        <f t="shared" si="2205"/>
        <v>Y</v>
      </c>
      <c r="CI3030" s="129" t="str">
        <f t="shared" si="2207"/>
        <v>0-10 DAYS</v>
      </c>
      <c r="CJ3030" s="137">
        <f t="shared" si="2208"/>
        <v>1</v>
      </c>
      <c r="CK3030" s="129" t="str">
        <f t="shared" si="2209"/>
        <v>Booked</v>
      </c>
    </row>
    <row r="3031" spans="1:89" ht="15.75" customHeight="1" x14ac:dyDescent="0.25">
      <c r="A3031" s="111">
        <v>2407</v>
      </c>
      <c r="B3031" s="128" t="str">
        <f t="shared" si="2197"/>
        <v>N</v>
      </c>
      <c r="C3031" s="128" t="str">
        <f t="shared" si="2198"/>
        <v>N</v>
      </c>
      <c r="D3031" s="117">
        <v>2612207</v>
      </c>
      <c r="E3031" s="135">
        <f t="shared" si="2199"/>
        <v>4</v>
      </c>
      <c r="F3031" s="124">
        <v>40999</v>
      </c>
      <c r="G3031" s="125">
        <v>41001</v>
      </c>
      <c r="H3031" s="117">
        <v>2612207</v>
      </c>
      <c r="I3031" s="124">
        <v>41000</v>
      </c>
      <c r="J3031" s="124">
        <v>41001</v>
      </c>
      <c r="K3031" s="126">
        <v>2000</v>
      </c>
      <c r="L3031" s="127" t="s">
        <v>568</v>
      </c>
      <c r="N3031" s="129" t="str">
        <f t="shared" si="2213"/>
        <v>N</v>
      </c>
      <c r="O3031" s="128" t="s">
        <v>917</v>
      </c>
      <c r="P3031" s="129" t="s">
        <v>39</v>
      </c>
      <c r="Q3031" s="111">
        <f t="shared" si="2218"/>
        <v>2</v>
      </c>
      <c r="R3031" s="111">
        <f t="shared" si="2186"/>
        <v>3</v>
      </c>
      <c r="S3031" s="129">
        <v>0</v>
      </c>
      <c r="T3031" s="129">
        <v>0</v>
      </c>
      <c r="W3031" s="111"/>
      <c r="AB3031" s="131" t="s">
        <v>112</v>
      </c>
      <c r="AC3031" s="130"/>
      <c r="AD3031" s="130">
        <v>33103</v>
      </c>
      <c r="AE3031" s="128" t="s">
        <v>32</v>
      </c>
      <c r="AF3031" s="128" t="s">
        <v>40</v>
      </c>
      <c r="AG3031" s="128" t="s">
        <v>41</v>
      </c>
      <c r="AH3031" s="108" t="s">
        <v>31</v>
      </c>
      <c r="AI3031" s="128" t="s">
        <v>71</v>
      </c>
      <c r="AJ3031" s="129" t="s">
        <v>89</v>
      </c>
      <c r="AK3031" s="129">
        <v>1</v>
      </c>
      <c r="AL3031" s="3" t="s">
        <v>991</v>
      </c>
      <c r="AO3031" s="128">
        <v>30</v>
      </c>
      <c r="AP3031" s="129" t="s">
        <v>43</v>
      </c>
      <c r="AR3031" s="128" t="s">
        <v>44</v>
      </c>
      <c r="AS3031" s="129" t="s">
        <v>45</v>
      </c>
      <c r="BC3031" s="129" t="s">
        <v>38</v>
      </c>
      <c r="BF3031" s="111">
        <f t="shared" si="2219"/>
        <v>2</v>
      </c>
      <c r="BG3031" s="111">
        <f t="shared" si="2215"/>
        <v>2</v>
      </c>
      <c r="BH3031" s="111">
        <f t="shared" si="2187"/>
        <v>3</v>
      </c>
      <c r="BI3031" s="111">
        <f t="shared" si="2189"/>
        <v>21.57377049180328</v>
      </c>
      <c r="BJ3031" s="129">
        <f>G3031-J3031-M3031</f>
        <v>0</v>
      </c>
      <c r="BK3031" s="129">
        <f t="shared" si="2188"/>
        <v>0</v>
      </c>
      <c r="BL3031" s="129" t="str">
        <f t="shared" si="2181"/>
        <v>CONVICTION</v>
      </c>
      <c r="BM3031" s="129" t="str">
        <f t="shared" si="2190"/>
        <v>NONE</v>
      </c>
      <c r="BN3031" s="129" t="s">
        <v>566</v>
      </c>
      <c r="BP3031" s="137" t="str">
        <f t="shared" si="2191"/>
        <v>CONVICTION</v>
      </c>
      <c r="BQ3031" s="128" t="str">
        <f t="shared" si="2200"/>
        <v>Y</v>
      </c>
      <c r="BR3031" s="129" t="str">
        <f t="shared" si="2192"/>
        <v>DETAINED</v>
      </c>
      <c r="BS3031" s="129" t="str">
        <f t="shared" si="2193"/>
        <v>DISPOSED</v>
      </c>
      <c r="BT3031" s="129" t="str">
        <f t="shared" si="2194"/>
        <v>N</v>
      </c>
      <c r="BU3031" s="109">
        <f t="shared" si="2195"/>
        <v>0.66666666666666663</v>
      </c>
      <c r="BV3031" s="109">
        <f t="shared" si="2201"/>
        <v>1</v>
      </c>
      <c r="BW3031" s="109">
        <f t="shared" si="2216"/>
        <v>0.33333333333333337</v>
      </c>
      <c r="BX3031" s="111">
        <f t="shared" si="2196"/>
        <v>0</v>
      </c>
      <c r="BY3031" s="129">
        <f t="shared" si="2202"/>
        <v>-2</v>
      </c>
      <c r="BZ3031" s="111">
        <f t="shared" si="2203"/>
        <v>0</v>
      </c>
      <c r="CA3031" s="138">
        <f t="shared" si="2204"/>
        <v>2</v>
      </c>
      <c r="CB3031" s="111" t="e">
        <f t="shared" si="2220"/>
        <v>#VALUE!</v>
      </c>
      <c r="CC3031" s="129">
        <f>G3031-I3031+1</f>
        <v>2</v>
      </c>
      <c r="CD3031" s="129">
        <f>G3031-J3031</f>
        <v>0</v>
      </c>
      <c r="CG3031" s="129" t="str">
        <f t="shared" si="2205"/>
        <v>N</v>
      </c>
      <c r="CI3031" s="129" t="str">
        <f t="shared" si="2207"/>
        <v>0-10 DAYS</v>
      </c>
      <c r="CJ3031" s="137">
        <f t="shared" si="2208"/>
        <v>1</v>
      </c>
      <c r="CK3031" s="129" t="str">
        <f t="shared" si="2209"/>
        <v>Booked</v>
      </c>
    </row>
    <row r="3032" spans="1:89" ht="15" customHeight="1" x14ac:dyDescent="0.25">
      <c r="A3032" s="111">
        <v>2412</v>
      </c>
      <c r="B3032" s="128" t="str">
        <f t="shared" si="2197"/>
        <v>N</v>
      </c>
      <c r="C3032" s="128" t="str">
        <f t="shared" si="2198"/>
        <v>N</v>
      </c>
      <c r="D3032" s="117">
        <v>2612234</v>
      </c>
      <c r="E3032" s="135">
        <f t="shared" si="2199"/>
        <v>6</v>
      </c>
      <c r="F3032" s="124">
        <v>41000</v>
      </c>
      <c r="G3032" s="125">
        <v>41124</v>
      </c>
      <c r="H3032" s="117">
        <v>2612234</v>
      </c>
      <c r="I3032" s="124">
        <v>41000</v>
      </c>
      <c r="J3032" s="124">
        <v>41124</v>
      </c>
      <c r="K3032" s="126">
        <v>600000</v>
      </c>
      <c r="L3032" s="129" t="s">
        <v>572</v>
      </c>
      <c r="N3032" s="129" t="str">
        <f t="shared" si="2213"/>
        <v>N</v>
      </c>
      <c r="O3032" s="128" t="s">
        <v>917</v>
      </c>
      <c r="P3032" s="129" t="s">
        <v>39</v>
      </c>
      <c r="Q3032" s="111">
        <f t="shared" si="2218"/>
        <v>125</v>
      </c>
      <c r="R3032" s="111">
        <f t="shared" si="2186"/>
        <v>125</v>
      </c>
      <c r="S3032" s="129">
        <v>0</v>
      </c>
      <c r="T3032" s="129">
        <v>0</v>
      </c>
      <c r="W3032" s="111"/>
      <c r="AC3032" s="130"/>
      <c r="AD3032" s="130">
        <v>30910</v>
      </c>
      <c r="AE3032" s="128" t="s">
        <v>46</v>
      </c>
      <c r="AF3032" s="128" t="s">
        <v>69</v>
      </c>
      <c r="AG3032" s="128" t="s">
        <v>874</v>
      </c>
      <c r="AH3032" s="108" t="s">
        <v>31</v>
      </c>
      <c r="AI3032" s="128" t="s">
        <v>53</v>
      </c>
      <c r="AJ3032" s="129" t="s">
        <v>89</v>
      </c>
      <c r="AK3032" s="129">
        <v>7</v>
      </c>
      <c r="AL3032" s="3" t="s">
        <v>362</v>
      </c>
      <c r="AM3032" s="117">
        <v>7</v>
      </c>
      <c r="AP3032" s="129" t="s">
        <v>336</v>
      </c>
      <c r="AR3032" s="128" t="s">
        <v>46</v>
      </c>
      <c r="AS3032" s="129" t="s">
        <v>82</v>
      </c>
      <c r="BC3032" s="129" t="s">
        <v>38</v>
      </c>
      <c r="BF3032" s="111">
        <f t="shared" si="2219"/>
        <v>125</v>
      </c>
      <c r="BG3032" s="111">
        <f t="shared" si="2215"/>
        <v>125</v>
      </c>
      <c r="BH3032" s="111">
        <f t="shared" si="2187"/>
        <v>125</v>
      </c>
      <c r="BI3032" s="111">
        <f t="shared" si="2189"/>
        <v>27.568306010928961</v>
      </c>
      <c r="BJ3032" s="129">
        <f>G3032-J3032-M3032</f>
        <v>0</v>
      </c>
      <c r="BK3032" s="129">
        <f t="shared" si="2188"/>
        <v>0</v>
      </c>
      <c r="BL3032" s="129" t="str">
        <f t="shared" si="2181"/>
        <v>CONVICTION</v>
      </c>
      <c r="BM3032" s="129" t="str">
        <f t="shared" si="2190"/>
        <v>NONE</v>
      </c>
      <c r="BN3032" s="129" t="s">
        <v>566</v>
      </c>
      <c r="BP3032" s="137" t="str">
        <f t="shared" si="2191"/>
        <v>CONVICTION</v>
      </c>
      <c r="BQ3032" s="128" t="str">
        <f t="shared" si="2200"/>
        <v>Y</v>
      </c>
      <c r="BR3032" s="129" t="str">
        <f t="shared" si="2192"/>
        <v>DETAINED</v>
      </c>
      <c r="BS3032" s="129" t="str">
        <f t="shared" si="2193"/>
        <v>DISPOSED</v>
      </c>
      <c r="BT3032" s="129" t="str">
        <f t="shared" si="2194"/>
        <v>N</v>
      </c>
      <c r="BU3032" s="109">
        <f t="shared" si="2195"/>
        <v>1</v>
      </c>
      <c r="BV3032" s="109">
        <f t="shared" si="2201"/>
        <v>1</v>
      </c>
      <c r="BW3032" s="109">
        <f t="shared" si="2216"/>
        <v>0</v>
      </c>
      <c r="BX3032" s="111">
        <f t="shared" si="2196"/>
        <v>0</v>
      </c>
      <c r="BY3032" s="129">
        <f t="shared" si="2202"/>
        <v>-125</v>
      </c>
      <c r="BZ3032" s="111">
        <f t="shared" si="2203"/>
        <v>0</v>
      </c>
      <c r="CA3032" s="138">
        <f t="shared" si="2204"/>
        <v>125</v>
      </c>
      <c r="CB3032" s="111" t="e">
        <f t="shared" si="2220"/>
        <v>#VALUE!</v>
      </c>
      <c r="CC3032" s="129">
        <f>G3032-I3032+1</f>
        <v>125</v>
      </c>
      <c r="CD3032" s="129">
        <f>G3032-J3032</f>
        <v>0</v>
      </c>
      <c r="CG3032" s="129" t="str">
        <f t="shared" si="2205"/>
        <v>N</v>
      </c>
      <c r="CI3032" s="129" t="str">
        <f t="shared" si="2207"/>
        <v>121-365 DAYS</v>
      </c>
      <c r="CJ3032" s="137">
        <f t="shared" si="2208"/>
        <v>6</v>
      </c>
      <c r="CK3032" s="129" t="str">
        <f t="shared" si="2209"/>
        <v>Booked</v>
      </c>
    </row>
    <row r="3033" spans="1:89" ht="15.75" customHeight="1" x14ac:dyDescent="0.25">
      <c r="A3033" s="111">
        <v>2416</v>
      </c>
      <c r="B3033" s="128" t="str">
        <f t="shared" si="2197"/>
        <v>N</v>
      </c>
      <c r="C3033" s="128" t="str">
        <f t="shared" si="2198"/>
        <v>N</v>
      </c>
      <c r="D3033" s="117">
        <v>2612246</v>
      </c>
      <c r="E3033" s="135">
        <f t="shared" si="2199"/>
        <v>2</v>
      </c>
      <c r="F3033" s="124">
        <v>41000</v>
      </c>
      <c r="G3033" s="125">
        <v>41164</v>
      </c>
      <c r="H3033" s="117">
        <v>2612246</v>
      </c>
      <c r="I3033" s="124">
        <v>41001</v>
      </c>
      <c r="J3033" s="124">
        <v>41012</v>
      </c>
      <c r="K3033" s="126">
        <v>15000</v>
      </c>
      <c r="L3033" s="127" t="s">
        <v>571</v>
      </c>
      <c r="M3033" s="125">
        <v>41012</v>
      </c>
      <c r="N3033" s="129" t="str">
        <f t="shared" si="2213"/>
        <v>Y</v>
      </c>
      <c r="O3033" s="128" t="s">
        <v>76</v>
      </c>
      <c r="P3033" s="129" t="s">
        <v>589</v>
      </c>
      <c r="Q3033" s="111">
        <f t="shared" si="2218"/>
        <v>12</v>
      </c>
      <c r="R3033" s="111">
        <f t="shared" si="2186"/>
        <v>165</v>
      </c>
      <c r="S3033" s="129">
        <v>0</v>
      </c>
      <c r="T3033" s="129">
        <v>0</v>
      </c>
      <c r="W3033" s="111"/>
      <c r="AC3033" s="130"/>
      <c r="AD3033" s="130">
        <v>25889</v>
      </c>
      <c r="AE3033" s="128" t="s">
        <v>32</v>
      </c>
      <c r="AF3033" s="128" t="s">
        <v>69</v>
      </c>
      <c r="AG3033" s="128" t="s">
        <v>874</v>
      </c>
      <c r="AH3033" s="108" t="s">
        <v>31</v>
      </c>
      <c r="AI3033" s="128" t="s">
        <v>95</v>
      </c>
      <c r="AJ3033" s="129" t="s">
        <v>48</v>
      </c>
      <c r="AK3033" s="129">
        <v>8</v>
      </c>
      <c r="AL3033" s="3" t="s">
        <v>48</v>
      </c>
      <c r="AP3033" s="129" t="s">
        <v>96</v>
      </c>
      <c r="AR3033" s="128" t="s">
        <v>67</v>
      </c>
      <c r="AS3033" s="129" t="s">
        <v>64</v>
      </c>
      <c r="BC3033" s="129" t="s">
        <v>52</v>
      </c>
      <c r="BF3033" s="111">
        <f t="shared" si="2219"/>
        <v>12</v>
      </c>
      <c r="BG3033" s="111">
        <f t="shared" si="2215"/>
        <v>164</v>
      </c>
      <c r="BH3033" s="111">
        <f t="shared" si="2187"/>
        <v>165</v>
      </c>
      <c r="BI3033" s="111">
        <f t="shared" si="2189"/>
        <v>41.286885245901637</v>
      </c>
      <c r="BJ3033" s="129">
        <f>(G3033-J3033)+(M3033-G3033)</f>
        <v>0</v>
      </c>
      <c r="BK3033" s="129">
        <f t="shared" si="2188"/>
        <v>-152</v>
      </c>
      <c r="BL3033" s="129" t="str">
        <f t="shared" si="2181"/>
        <v>DEFERRED</v>
      </c>
      <c r="BM3033" s="129" t="s">
        <v>76</v>
      </c>
      <c r="BN3033" s="129" t="s">
        <v>88</v>
      </c>
      <c r="BP3033" s="137" t="str">
        <f t="shared" si="2191"/>
        <v>DEFERRED</v>
      </c>
      <c r="BQ3033" s="128" t="str">
        <f t="shared" si="2200"/>
        <v>Y</v>
      </c>
      <c r="BR3033" s="129" t="str">
        <f t="shared" si="2192"/>
        <v>ON BOND</v>
      </c>
      <c r="BS3033" s="129" t="str">
        <f t="shared" si="2193"/>
        <v>DISPOSED</v>
      </c>
      <c r="BT3033" s="129" t="str">
        <f t="shared" si="2194"/>
        <v>N</v>
      </c>
      <c r="BU3033" s="109">
        <f t="shared" si="2195"/>
        <v>7.2727272727272724E-2</v>
      </c>
      <c r="BV3033" s="109">
        <f t="shared" si="2201"/>
        <v>7.3170731707317069E-2</v>
      </c>
      <c r="BW3033" s="109">
        <f t="shared" si="2216"/>
        <v>4.4345898004434503E-4</v>
      </c>
      <c r="BX3033" s="111">
        <f t="shared" si="2196"/>
        <v>0</v>
      </c>
      <c r="BY3033" s="129">
        <f t="shared" si="2202"/>
        <v>-12</v>
      </c>
      <c r="BZ3033" s="111">
        <f t="shared" si="2203"/>
        <v>0</v>
      </c>
      <c r="CA3033" s="138">
        <f t="shared" si="2204"/>
        <v>12</v>
      </c>
      <c r="CB3033" s="111" t="e">
        <f t="shared" si="2220"/>
        <v>#VALUE!</v>
      </c>
      <c r="CC3033" s="129">
        <f>M3033-I3033+1</f>
        <v>12</v>
      </c>
      <c r="CD3033" s="111">
        <f>CC3033-BF3033</f>
        <v>0</v>
      </c>
      <c r="CG3033" s="129" t="str">
        <f t="shared" si="2205"/>
        <v>N</v>
      </c>
      <c r="CI3033" s="129" t="str">
        <f t="shared" si="2207"/>
        <v>11-30 DAYS</v>
      </c>
      <c r="CJ3033" s="137">
        <f t="shared" si="2208"/>
        <v>2</v>
      </c>
      <c r="CK3033" s="129" t="str">
        <f t="shared" si="2209"/>
        <v>Booked</v>
      </c>
    </row>
    <row r="3034" spans="1:89" ht="15" customHeight="1" x14ac:dyDescent="0.25">
      <c r="A3034" s="111">
        <v>2418</v>
      </c>
      <c r="B3034" s="128" t="str">
        <f t="shared" si="2197"/>
        <v>N</v>
      </c>
      <c r="C3034" s="128" t="str">
        <f t="shared" si="2198"/>
        <v>N</v>
      </c>
      <c r="D3034" s="117">
        <v>2612251</v>
      </c>
      <c r="E3034" s="135">
        <f t="shared" si="2199"/>
        <v>2</v>
      </c>
      <c r="F3034" s="124">
        <v>41000</v>
      </c>
      <c r="G3034" s="125">
        <v>41141</v>
      </c>
      <c r="H3034" s="117">
        <v>2612251</v>
      </c>
      <c r="I3034" s="124">
        <v>41000</v>
      </c>
      <c r="J3034" s="124">
        <v>41003</v>
      </c>
      <c r="K3034" s="126">
        <v>20000</v>
      </c>
      <c r="L3034" s="127" t="s">
        <v>571</v>
      </c>
      <c r="M3034" s="125">
        <v>41003</v>
      </c>
      <c r="N3034" s="129" t="str">
        <f t="shared" si="2213"/>
        <v>Y</v>
      </c>
      <c r="O3034" s="128" t="s">
        <v>585</v>
      </c>
      <c r="P3034" s="129" t="s">
        <v>589</v>
      </c>
      <c r="Q3034" s="111">
        <f t="shared" si="2218"/>
        <v>4</v>
      </c>
      <c r="R3034" s="111">
        <f t="shared" si="2186"/>
        <v>142</v>
      </c>
      <c r="S3034" s="129">
        <v>0</v>
      </c>
      <c r="T3034" s="129">
        <v>0</v>
      </c>
      <c r="W3034" s="111"/>
      <c r="AC3034" s="130"/>
      <c r="AD3034" s="130">
        <v>26202</v>
      </c>
      <c r="AE3034" s="128" t="s">
        <v>32</v>
      </c>
      <c r="AF3034" s="128" t="s">
        <v>33</v>
      </c>
      <c r="AG3034" s="128" t="s">
        <v>872</v>
      </c>
      <c r="AH3034" s="108" t="s">
        <v>31</v>
      </c>
      <c r="AI3034" s="128" t="s">
        <v>70</v>
      </c>
      <c r="AJ3034" s="129" t="s">
        <v>48</v>
      </c>
      <c r="AK3034" s="129">
        <v>8</v>
      </c>
      <c r="AL3034" s="3" t="s">
        <v>48</v>
      </c>
      <c r="AP3034" s="129" t="s">
        <v>132</v>
      </c>
      <c r="AR3034" s="128" t="s">
        <v>92</v>
      </c>
      <c r="AS3034" s="129" t="s">
        <v>82</v>
      </c>
      <c r="BC3034" s="129" t="s">
        <v>52</v>
      </c>
      <c r="BF3034" s="111">
        <f t="shared" si="2219"/>
        <v>4</v>
      </c>
      <c r="BG3034" s="111">
        <f t="shared" si="2215"/>
        <v>142</v>
      </c>
      <c r="BH3034" s="111">
        <f t="shared" si="2187"/>
        <v>142</v>
      </c>
      <c r="BI3034" s="111">
        <f t="shared" si="2189"/>
        <v>40.431693989071036</v>
      </c>
      <c r="BJ3034" s="129">
        <f>(G3034-J3034)+(M3034-G3034)</f>
        <v>0</v>
      </c>
      <c r="BK3034" s="129">
        <f t="shared" si="2188"/>
        <v>-138</v>
      </c>
      <c r="BL3034" s="129" t="str">
        <f t="shared" si="2181"/>
        <v>DEFERRED</v>
      </c>
      <c r="BM3034" s="129" t="s">
        <v>76</v>
      </c>
      <c r="BN3034" s="129" t="s">
        <v>88</v>
      </c>
      <c r="BP3034" s="137" t="str">
        <f t="shared" si="2191"/>
        <v>DEFERRED</v>
      </c>
      <c r="BQ3034" s="128" t="str">
        <f t="shared" si="2200"/>
        <v>Y</v>
      </c>
      <c r="BR3034" s="129" t="str">
        <f t="shared" si="2192"/>
        <v>ON BOND</v>
      </c>
      <c r="BS3034" s="129" t="str">
        <f t="shared" si="2193"/>
        <v>DISPOSED</v>
      </c>
      <c r="BT3034" s="129" t="str">
        <f t="shared" si="2194"/>
        <v>N</v>
      </c>
      <c r="BU3034" s="109">
        <f t="shared" si="2195"/>
        <v>2.8169014084507043E-2</v>
      </c>
      <c r="BV3034" s="109">
        <f t="shared" si="2201"/>
        <v>2.8169014084507043E-2</v>
      </c>
      <c r="BW3034" s="109">
        <f t="shared" si="2216"/>
        <v>0</v>
      </c>
      <c r="BX3034" s="111">
        <f t="shared" si="2196"/>
        <v>0</v>
      </c>
      <c r="BY3034" s="129">
        <f t="shared" si="2202"/>
        <v>-4</v>
      </c>
      <c r="BZ3034" s="111">
        <f t="shared" si="2203"/>
        <v>0</v>
      </c>
      <c r="CA3034" s="138">
        <f t="shared" si="2204"/>
        <v>4</v>
      </c>
      <c r="CB3034" s="111" t="e">
        <f t="shared" si="2220"/>
        <v>#VALUE!</v>
      </c>
      <c r="CC3034" s="129">
        <f>M3034-I3034+1</f>
        <v>4</v>
      </c>
      <c r="CD3034" s="111">
        <f>CC3034-BF3034</f>
        <v>0</v>
      </c>
      <c r="CG3034" s="129" t="str">
        <f t="shared" si="2205"/>
        <v>N</v>
      </c>
      <c r="CI3034" s="129" t="str">
        <f t="shared" si="2207"/>
        <v>0-10 DAYS</v>
      </c>
      <c r="CJ3034" s="137">
        <f t="shared" si="2208"/>
        <v>1</v>
      </c>
      <c r="CK3034" s="129" t="str">
        <f t="shared" si="2209"/>
        <v>Booked</v>
      </c>
    </row>
    <row r="3035" spans="1:89" ht="15.75" customHeight="1" x14ac:dyDescent="0.25">
      <c r="A3035" s="111">
        <v>2420</v>
      </c>
      <c r="B3035" s="128" t="str">
        <f t="shared" si="2197"/>
        <v>N</v>
      </c>
      <c r="C3035" s="128" t="str">
        <f t="shared" si="2198"/>
        <v>N</v>
      </c>
      <c r="D3035" s="117">
        <v>2612256</v>
      </c>
      <c r="E3035" s="135">
        <f t="shared" si="2199"/>
        <v>1</v>
      </c>
      <c r="F3035" s="124">
        <v>41000</v>
      </c>
      <c r="G3035" s="125">
        <v>41068</v>
      </c>
      <c r="H3035" s="117">
        <v>2612256</v>
      </c>
      <c r="I3035" s="124">
        <v>41000</v>
      </c>
      <c r="J3035" s="124">
        <v>41003</v>
      </c>
      <c r="K3035" s="126">
        <v>30000</v>
      </c>
      <c r="L3035" s="129" t="s">
        <v>572</v>
      </c>
      <c r="M3035" s="125">
        <v>41003</v>
      </c>
      <c r="N3035" s="129" t="str">
        <f t="shared" si="2213"/>
        <v>Y</v>
      </c>
      <c r="O3035" s="128" t="s">
        <v>76</v>
      </c>
      <c r="P3035" s="129" t="s">
        <v>123</v>
      </c>
      <c r="Q3035" s="111">
        <f t="shared" si="2218"/>
        <v>4</v>
      </c>
      <c r="R3035" s="111">
        <f t="shared" si="2186"/>
        <v>69</v>
      </c>
      <c r="S3035" s="129">
        <v>0</v>
      </c>
      <c r="T3035" s="129">
        <v>0</v>
      </c>
      <c r="W3035" s="111"/>
      <c r="AC3035" s="130"/>
      <c r="AD3035" s="130">
        <v>29022</v>
      </c>
      <c r="AE3035" s="128" t="s">
        <v>46</v>
      </c>
      <c r="AF3035" s="128" t="s">
        <v>33</v>
      </c>
      <c r="AG3035" s="128" t="s">
        <v>872</v>
      </c>
      <c r="AH3035" s="108" t="s">
        <v>31</v>
      </c>
      <c r="AI3035" s="128" t="s">
        <v>113</v>
      </c>
      <c r="AJ3035" s="129" t="s">
        <v>123</v>
      </c>
      <c r="AK3035" s="129">
        <v>6</v>
      </c>
      <c r="AL3035" s="3" t="s">
        <v>123</v>
      </c>
      <c r="AP3035" s="129" t="s">
        <v>110</v>
      </c>
      <c r="AR3035" s="128" t="s">
        <v>50</v>
      </c>
      <c r="AS3035" s="129" t="s">
        <v>74</v>
      </c>
      <c r="BC3035" s="129" t="s">
        <v>52</v>
      </c>
      <c r="BF3035" s="111">
        <f t="shared" si="2219"/>
        <v>4</v>
      </c>
      <c r="BG3035" s="111">
        <f t="shared" si="2215"/>
        <v>69</v>
      </c>
      <c r="BH3035" s="111">
        <f t="shared" si="2187"/>
        <v>69</v>
      </c>
      <c r="BI3035" s="111">
        <f t="shared" si="2189"/>
        <v>32.72677595628415</v>
      </c>
      <c r="BJ3035" s="129">
        <f>(G3035-J3035)+(M3035-G3035)</f>
        <v>0</v>
      </c>
      <c r="BK3035" s="129">
        <f t="shared" si="2188"/>
        <v>-65</v>
      </c>
      <c r="BL3035" s="129" t="str">
        <f t="shared" si="2181"/>
        <v>NO CONVICTION</v>
      </c>
      <c r="BM3035" s="129" t="s">
        <v>76</v>
      </c>
      <c r="BN3035" s="129" t="s">
        <v>88</v>
      </c>
      <c r="BP3035" s="137" t="str">
        <f t="shared" si="2191"/>
        <v>NO CONVICTION</v>
      </c>
      <c r="BQ3035" s="128" t="str">
        <f t="shared" si="2200"/>
        <v>Y</v>
      </c>
      <c r="BR3035" s="129" t="str">
        <f t="shared" si="2192"/>
        <v>ON BOND</v>
      </c>
      <c r="BS3035" s="129" t="str">
        <f t="shared" si="2193"/>
        <v>DISPOSED</v>
      </c>
      <c r="BT3035" s="129" t="str">
        <f t="shared" si="2194"/>
        <v>N</v>
      </c>
      <c r="BU3035" s="109">
        <f>IFERROR(Q3035/R3035,BR3035)</f>
        <v>5.7971014492753624E-2</v>
      </c>
      <c r="BV3035" s="109">
        <f t="shared" si="2201"/>
        <v>5.7971014492753624E-2</v>
      </c>
      <c r="BW3035" s="109">
        <f t="shared" si="2216"/>
        <v>0</v>
      </c>
      <c r="BX3035" s="111">
        <f t="shared" si="2196"/>
        <v>0</v>
      </c>
      <c r="BY3035" s="129">
        <f t="shared" si="2202"/>
        <v>-4</v>
      </c>
      <c r="BZ3035" s="111">
        <f t="shared" si="2203"/>
        <v>0</v>
      </c>
      <c r="CA3035" s="138">
        <f t="shared" si="2204"/>
        <v>4</v>
      </c>
      <c r="CB3035" s="111" t="e">
        <f t="shared" si="2220"/>
        <v>#VALUE!</v>
      </c>
      <c r="CC3035" s="129">
        <f>M3035-I3035+1</f>
        <v>4</v>
      </c>
      <c r="CD3035" s="111">
        <f>CC3035-BF3035</f>
        <v>0</v>
      </c>
      <c r="CG3035" s="129" t="str">
        <f t="shared" si="2205"/>
        <v>N</v>
      </c>
      <c r="CI3035" s="129" t="str">
        <f t="shared" si="2207"/>
        <v>0-10 DAYS</v>
      </c>
      <c r="CJ3035" s="137">
        <f t="shared" si="2208"/>
        <v>1</v>
      </c>
      <c r="CK3035" s="129" t="str">
        <f t="shared" si="2209"/>
        <v>Booked</v>
      </c>
    </row>
    <row r="3036" spans="1:89" ht="15" customHeight="1" x14ac:dyDescent="0.25">
      <c r="A3036" s="111">
        <v>2423</v>
      </c>
      <c r="B3036" s="128" t="str">
        <f t="shared" si="2197"/>
        <v>N</v>
      </c>
      <c r="C3036" s="128" t="str">
        <f t="shared" si="2198"/>
        <v>N</v>
      </c>
      <c r="D3036" s="117">
        <v>2612263</v>
      </c>
      <c r="E3036" s="135">
        <f t="shared" si="2199"/>
        <v>4</v>
      </c>
      <c r="F3036" s="124">
        <v>41000</v>
      </c>
      <c r="G3036" s="125">
        <v>41187</v>
      </c>
      <c r="H3036" s="117">
        <v>2612263</v>
      </c>
      <c r="I3036" s="124">
        <v>41000</v>
      </c>
      <c r="J3036" s="124">
        <v>41001</v>
      </c>
      <c r="K3036" s="126">
        <v>5000</v>
      </c>
      <c r="L3036" s="127" t="s">
        <v>569</v>
      </c>
      <c r="M3036" s="125">
        <v>41001</v>
      </c>
      <c r="N3036" s="129" t="str">
        <f t="shared" si="2213"/>
        <v>Y</v>
      </c>
      <c r="O3036" s="128" t="s">
        <v>76</v>
      </c>
      <c r="P3036" s="129" t="s">
        <v>39</v>
      </c>
      <c r="Q3036" s="111">
        <f t="shared" si="2218"/>
        <v>2</v>
      </c>
      <c r="R3036" s="111">
        <f t="shared" si="2186"/>
        <v>188</v>
      </c>
      <c r="S3036" s="129">
        <v>0</v>
      </c>
      <c r="T3036" s="129">
        <v>0</v>
      </c>
      <c r="W3036" s="111"/>
      <c r="AB3036" s="131" t="s">
        <v>112</v>
      </c>
      <c r="AC3036" s="130"/>
      <c r="AD3036" s="130">
        <v>34653</v>
      </c>
      <c r="AE3036" s="128" t="s">
        <v>32</v>
      </c>
      <c r="AF3036" s="128" t="s">
        <v>40</v>
      </c>
      <c r="AG3036" s="128" t="s">
        <v>41</v>
      </c>
      <c r="AH3036" s="108" t="s">
        <v>31</v>
      </c>
      <c r="AI3036" s="128" t="s">
        <v>83</v>
      </c>
      <c r="AJ3036" s="129" t="s">
        <v>89</v>
      </c>
      <c r="AK3036" s="129">
        <v>8</v>
      </c>
      <c r="AL3036" s="3" t="s">
        <v>991</v>
      </c>
      <c r="AO3036" s="128">
        <v>365</v>
      </c>
      <c r="AP3036" s="129" t="s">
        <v>43</v>
      </c>
      <c r="AR3036" s="128" t="s">
        <v>44</v>
      </c>
      <c r="AS3036" s="129" t="s">
        <v>45</v>
      </c>
      <c r="BC3036" s="129" t="s">
        <v>52</v>
      </c>
      <c r="BF3036" s="111">
        <f t="shared" si="2219"/>
        <v>2</v>
      </c>
      <c r="BG3036" s="111">
        <f t="shared" si="2215"/>
        <v>188</v>
      </c>
      <c r="BH3036" s="111">
        <f t="shared" si="2187"/>
        <v>188</v>
      </c>
      <c r="BI3036" s="111">
        <f t="shared" si="2189"/>
        <v>17.34153005464481</v>
      </c>
      <c r="BJ3036" s="129">
        <f>(G3036-J3036)+(M3036-G3036)</f>
        <v>0</v>
      </c>
      <c r="BK3036" s="129">
        <f t="shared" si="2188"/>
        <v>-186</v>
      </c>
      <c r="BL3036" s="129" t="str">
        <f t="shared" si="2181"/>
        <v>CONVICTION</v>
      </c>
      <c r="BM3036" s="129" t="s">
        <v>76</v>
      </c>
      <c r="BN3036" s="129" t="s">
        <v>88</v>
      </c>
      <c r="BP3036" s="137" t="str">
        <f t="shared" si="2191"/>
        <v>CONVICTION</v>
      </c>
      <c r="BQ3036" s="128" t="str">
        <f t="shared" si="2200"/>
        <v>Y</v>
      </c>
      <c r="BR3036" s="129" t="str">
        <f>IF(J3036&lt;G3036,"ON BOND",0)</f>
        <v>ON BOND</v>
      </c>
      <c r="BS3036" s="129" t="str">
        <f t="shared" si="2193"/>
        <v>DISPOSED</v>
      </c>
      <c r="BT3036" s="129" t="str">
        <f t="shared" si="2194"/>
        <v>N</v>
      </c>
      <c r="BU3036" s="109">
        <f t="shared" si="2195"/>
        <v>1.0638297872340425E-2</v>
      </c>
      <c r="BV3036" s="109">
        <f t="shared" si="2201"/>
        <v>1.0638297872340425E-2</v>
      </c>
      <c r="BW3036" s="109">
        <f t="shared" si="2216"/>
        <v>0</v>
      </c>
      <c r="BX3036" s="111">
        <f t="shared" si="2196"/>
        <v>0</v>
      </c>
      <c r="BY3036" s="129">
        <f t="shared" si="2202"/>
        <v>-2</v>
      </c>
      <c r="BZ3036" s="111">
        <f t="shared" si="2203"/>
        <v>0</v>
      </c>
      <c r="CA3036" s="138">
        <f t="shared" si="2204"/>
        <v>2</v>
      </c>
      <c r="CB3036" s="111" t="e">
        <f t="shared" si="2220"/>
        <v>#VALUE!</v>
      </c>
      <c r="CC3036" s="129">
        <f>M3036-I3036+1</f>
        <v>2</v>
      </c>
      <c r="CD3036" s="111">
        <f>CC3036-BF3036</f>
        <v>0</v>
      </c>
      <c r="CG3036" s="129" t="str">
        <f t="shared" si="2205"/>
        <v>N</v>
      </c>
      <c r="CI3036" s="129" t="str">
        <f t="shared" si="2207"/>
        <v>0-10 DAYS</v>
      </c>
      <c r="CJ3036" s="137">
        <f t="shared" si="2208"/>
        <v>1</v>
      </c>
      <c r="CK3036" s="129" t="str">
        <f t="shared" si="2209"/>
        <v>Booked</v>
      </c>
    </row>
    <row r="3037" spans="1:89" ht="15.75" customHeight="1" x14ac:dyDescent="0.25">
      <c r="A3037" s="111">
        <v>2427</v>
      </c>
      <c r="B3037" s="128" t="str">
        <f t="shared" si="2197"/>
        <v>N</v>
      </c>
      <c r="C3037" s="128" t="str">
        <f t="shared" si="2198"/>
        <v>N</v>
      </c>
      <c r="D3037" s="117">
        <v>2612288</v>
      </c>
      <c r="E3037" s="135">
        <f t="shared" si="2199"/>
        <v>2</v>
      </c>
      <c r="F3037" s="124">
        <v>41000</v>
      </c>
      <c r="G3037" s="125">
        <v>41215</v>
      </c>
      <c r="H3037" s="117">
        <v>2612288</v>
      </c>
      <c r="I3037" s="124">
        <v>41000</v>
      </c>
      <c r="J3037" s="124">
        <v>41215</v>
      </c>
      <c r="K3037" s="126" t="s">
        <v>564</v>
      </c>
      <c r="L3037" s="127" t="s">
        <v>564</v>
      </c>
      <c r="N3037" s="129" t="s">
        <v>566</v>
      </c>
      <c r="O3037" s="128" t="s">
        <v>917</v>
      </c>
      <c r="P3037" s="129" t="s">
        <v>589</v>
      </c>
      <c r="Q3037" s="111">
        <f t="shared" si="2218"/>
        <v>216</v>
      </c>
      <c r="R3037" s="111">
        <f t="shared" si="2186"/>
        <v>216</v>
      </c>
      <c r="S3037" s="129">
        <v>0</v>
      </c>
      <c r="T3037" s="129">
        <v>0</v>
      </c>
      <c r="W3037" s="111"/>
      <c r="AB3037" s="131" t="s">
        <v>112</v>
      </c>
      <c r="AC3037" s="130"/>
      <c r="AD3037" s="130">
        <v>33271</v>
      </c>
      <c r="AE3037" s="128" t="s">
        <v>32</v>
      </c>
      <c r="AF3037" s="128" t="s">
        <v>40</v>
      </c>
      <c r="AG3037" s="128" t="s">
        <v>41</v>
      </c>
      <c r="AH3037" s="108" t="s">
        <v>31</v>
      </c>
      <c r="AI3037" s="128" t="s">
        <v>59</v>
      </c>
      <c r="AJ3037" s="129" t="s">
        <v>48</v>
      </c>
      <c r="AK3037" s="129">
        <v>13</v>
      </c>
      <c r="AL3037" s="3" t="s">
        <v>48</v>
      </c>
      <c r="AP3037" s="129" t="s">
        <v>110</v>
      </c>
      <c r="AR3037" s="128" t="s">
        <v>50</v>
      </c>
      <c r="AS3037" s="129" t="s">
        <v>74</v>
      </c>
      <c r="BC3037" s="129" t="s">
        <v>38</v>
      </c>
      <c r="BF3037" s="111">
        <f t="shared" si="2219"/>
        <v>216</v>
      </c>
      <c r="BG3037" s="111">
        <f t="shared" si="2215"/>
        <v>216</v>
      </c>
      <c r="BH3037" s="111">
        <f t="shared" si="2187"/>
        <v>216</v>
      </c>
      <c r="BI3037" s="111">
        <f t="shared" si="2189"/>
        <v>21.117486338797814</v>
      </c>
      <c r="BJ3037" s="129">
        <f>G3037-J3037-M3037</f>
        <v>0</v>
      </c>
      <c r="BK3037" s="129">
        <f t="shared" si="2188"/>
        <v>0</v>
      </c>
      <c r="BL3037" s="129" t="str">
        <f t="shared" si="2181"/>
        <v>DEFERRED</v>
      </c>
      <c r="BM3037" s="129" t="str">
        <f t="shared" si="2190"/>
        <v>NONE</v>
      </c>
      <c r="BN3037" s="129" t="s">
        <v>566</v>
      </c>
      <c r="BP3037" s="137" t="str">
        <f t="shared" si="2191"/>
        <v>DEFERRED</v>
      </c>
      <c r="BQ3037" s="128" t="str">
        <f t="shared" si="2200"/>
        <v>Y</v>
      </c>
      <c r="BR3037" s="129" t="str">
        <f t="shared" si="2192"/>
        <v>DETAINED</v>
      </c>
      <c r="BS3037" s="129" t="str">
        <f t="shared" si="2193"/>
        <v>DISPOSED</v>
      </c>
      <c r="BT3037" s="129" t="str">
        <f t="shared" si="2194"/>
        <v>N</v>
      </c>
      <c r="BU3037" s="109">
        <f t="shared" si="2195"/>
        <v>1</v>
      </c>
      <c r="BV3037" s="109">
        <f t="shared" si="2201"/>
        <v>1</v>
      </c>
      <c r="BW3037" s="109">
        <f t="shared" si="2216"/>
        <v>0</v>
      </c>
      <c r="BX3037" s="111">
        <f t="shared" si="2196"/>
        <v>0</v>
      </c>
      <c r="BY3037" s="129">
        <f t="shared" si="2202"/>
        <v>-216</v>
      </c>
      <c r="BZ3037" s="111">
        <f t="shared" si="2203"/>
        <v>0</v>
      </c>
      <c r="CA3037" s="138">
        <f t="shared" si="2204"/>
        <v>216</v>
      </c>
      <c r="CB3037" s="111" t="e">
        <f t="shared" si="2220"/>
        <v>#VALUE!</v>
      </c>
      <c r="CC3037" s="129">
        <f>G3037-I3037+1</f>
        <v>216</v>
      </c>
      <c r="CD3037" s="129">
        <f>G3037-J3037</f>
        <v>0</v>
      </c>
      <c r="CG3037" s="129" t="str">
        <f t="shared" si="2205"/>
        <v>N</v>
      </c>
      <c r="CI3037" s="129" t="str">
        <f t="shared" si="2207"/>
        <v>121-365 DAYS</v>
      </c>
      <c r="CJ3037" s="137">
        <f t="shared" si="2208"/>
        <v>6</v>
      </c>
      <c r="CK3037" s="129" t="str">
        <f t="shared" si="2209"/>
        <v>Booked</v>
      </c>
    </row>
    <row r="3038" spans="1:89" ht="15" customHeight="1" x14ac:dyDescent="0.25">
      <c r="A3038" s="111">
        <v>2435</v>
      </c>
      <c r="B3038" s="128" t="str">
        <f t="shared" si="2197"/>
        <v>N</v>
      </c>
      <c r="C3038" s="128" t="str">
        <f t="shared" si="2198"/>
        <v>N</v>
      </c>
      <c r="D3038" s="117">
        <v>2612315</v>
      </c>
      <c r="E3038" s="135">
        <f t="shared" si="2199"/>
        <v>2</v>
      </c>
      <c r="F3038" s="124">
        <v>41000</v>
      </c>
      <c r="G3038" s="125">
        <v>41123</v>
      </c>
      <c r="H3038" s="117">
        <v>2612315</v>
      </c>
      <c r="I3038" s="124">
        <v>41001</v>
      </c>
      <c r="J3038" s="124">
        <v>41123</v>
      </c>
      <c r="K3038" s="126">
        <v>10000</v>
      </c>
      <c r="L3038" s="127" t="s">
        <v>570</v>
      </c>
      <c r="N3038" s="129" t="str">
        <f>IF(M3038&gt;1/1/1,"Y","N")</f>
        <v>N</v>
      </c>
      <c r="O3038" s="128" t="s">
        <v>917</v>
      </c>
      <c r="P3038" s="129" t="s">
        <v>589</v>
      </c>
      <c r="Q3038" s="111">
        <f t="shared" si="2218"/>
        <v>123</v>
      </c>
      <c r="R3038" s="111">
        <f t="shared" si="2186"/>
        <v>124</v>
      </c>
      <c r="S3038" s="129">
        <v>0</v>
      </c>
      <c r="T3038" s="129">
        <v>0</v>
      </c>
      <c r="W3038" s="111"/>
      <c r="AC3038" s="130"/>
      <c r="AD3038" s="130">
        <v>33431</v>
      </c>
      <c r="AE3038" s="128" t="s">
        <v>32</v>
      </c>
      <c r="AF3038" s="128" t="s">
        <v>33</v>
      </c>
      <c r="AG3038" s="128" t="s">
        <v>872</v>
      </c>
      <c r="AH3038" s="108" t="s">
        <v>31</v>
      </c>
      <c r="AI3038" s="128" t="s">
        <v>70</v>
      </c>
      <c r="AJ3038" s="129" t="s">
        <v>48</v>
      </c>
      <c r="AK3038" s="129">
        <v>6</v>
      </c>
      <c r="AL3038" s="3" t="s">
        <v>48</v>
      </c>
      <c r="AP3038" s="129" t="s">
        <v>186</v>
      </c>
      <c r="AR3038" s="128" t="s">
        <v>50</v>
      </c>
      <c r="AS3038" s="129" t="s">
        <v>106</v>
      </c>
      <c r="BC3038" s="129" t="s">
        <v>38</v>
      </c>
      <c r="BF3038" s="111">
        <f t="shared" si="2219"/>
        <v>123</v>
      </c>
      <c r="BG3038" s="111">
        <f t="shared" si="2215"/>
        <v>123</v>
      </c>
      <c r="BH3038" s="111">
        <f t="shared" si="2187"/>
        <v>124</v>
      </c>
      <c r="BI3038" s="111">
        <f t="shared" si="2189"/>
        <v>20.680327868852459</v>
      </c>
      <c r="BJ3038" s="129">
        <f>G3038-J3038-M3038</f>
        <v>0</v>
      </c>
      <c r="BK3038" s="129">
        <f t="shared" si="2188"/>
        <v>0</v>
      </c>
      <c r="BL3038" s="129" t="str">
        <f t="shared" si="2181"/>
        <v>DEFERRED</v>
      </c>
      <c r="BM3038" s="129" t="str">
        <f t="shared" si="2190"/>
        <v>NONE</v>
      </c>
      <c r="BN3038" s="129" t="s">
        <v>566</v>
      </c>
      <c r="BP3038" s="137" t="str">
        <f t="shared" si="2191"/>
        <v>DEFERRED</v>
      </c>
      <c r="BQ3038" s="128" t="str">
        <f t="shared" si="2200"/>
        <v>Y</v>
      </c>
      <c r="BR3038" s="129" t="str">
        <f t="shared" si="2192"/>
        <v>DETAINED</v>
      </c>
      <c r="BS3038" s="129" t="str">
        <f t="shared" si="2193"/>
        <v>DISPOSED</v>
      </c>
      <c r="BT3038" s="129" t="str">
        <f t="shared" si="2194"/>
        <v>N</v>
      </c>
      <c r="BU3038" s="109">
        <f t="shared" si="2195"/>
        <v>0.99193548387096775</v>
      </c>
      <c r="BV3038" s="109">
        <f t="shared" si="2201"/>
        <v>1</v>
      </c>
      <c r="BW3038" s="109">
        <f t="shared" si="2216"/>
        <v>8.0645161290322509E-3</v>
      </c>
      <c r="BX3038" s="111">
        <f t="shared" si="2196"/>
        <v>0</v>
      </c>
      <c r="BY3038" s="129">
        <f t="shared" si="2202"/>
        <v>-123</v>
      </c>
      <c r="BZ3038" s="111">
        <f t="shared" si="2203"/>
        <v>0</v>
      </c>
      <c r="CA3038" s="138">
        <f t="shared" si="2204"/>
        <v>123</v>
      </c>
      <c r="CB3038" s="111" t="e">
        <f t="shared" si="2220"/>
        <v>#VALUE!</v>
      </c>
      <c r="CC3038" s="129">
        <f>G3038-I3038+1</f>
        <v>123</v>
      </c>
      <c r="CD3038" s="129">
        <f>G3038-J3038</f>
        <v>0</v>
      </c>
      <c r="CG3038" s="129" t="str">
        <f t="shared" si="2205"/>
        <v>N</v>
      </c>
      <c r="CI3038" s="129" t="str">
        <f t="shared" si="2207"/>
        <v>121-365 DAYS</v>
      </c>
      <c r="CJ3038" s="137">
        <f t="shared" si="2208"/>
        <v>6</v>
      </c>
      <c r="CK3038" s="129" t="str">
        <f t="shared" si="2209"/>
        <v>Booked</v>
      </c>
    </row>
    <row r="3039" spans="1:89" ht="15" customHeight="1" x14ac:dyDescent="0.25">
      <c r="A3039" s="111">
        <v>2439</v>
      </c>
      <c r="B3039" s="128" t="str">
        <f t="shared" si="2197"/>
        <v>N</v>
      </c>
      <c r="C3039" s="128" t="str">
        <f t="shared" si="2198"/>
        <v>N</v>
      </c>
      <c r="D3039" s="117">
        <v>2612326</v>
      </c>
      <c r="E3039" s="135">
        <f t="shared" si="2199"/>
        <v>5</v>
      </c>
      <c r="F3039" s="124">
        <v>41001</v>
      </c>
      <c r="G3039" s="125">
        <v>41158</v>
      </c>
      <c r="H3039" s="117">
        <v>2612326</v>
      </c>
      <c r="I3039" s="124">
        <v>41001</v>
      </c>
      <c r="J3039" s="124">
        <v>41158</v>
      </c>
      <c r="K3039" s="126">
        <v>10000</v>
      </c>
      <c r="L3039" s="127" t="s">
        <v>570</v>
      </c>
      <c r="N3039" s="129" t="str">
        <f>IF(M3039&gt;1/1/1,"Y","N")</f>
        <v>N</v>
      </c>
      <c r="O3039" s="128" t="s">
        <v>917</v>
      </c>
      <c r="P3039" s="129" t="s">
        <v>39</v>
      </c>
      <c r="Q3039" s="111">
        <f t="shared" si="2218"/>
        <v>158</v>
      </c>
      <c r="R3039" s="111">
        <f t="shared" si="2186"/>
        <v>158</v>
      </c>
      <c r="S3039" s="129">
        <v>0</v>
      </c>
      <c r="T3039" s="129">
        <v>0</v>
      </c>
      <c r="W3039" s="111"/>
      <c r="AC3039" s="130"/>
      <c r="AD3039" s="130">
        <v>30232</v>
      </c>
      <c r="AE3039" s="128" t="s">
        <v>32</v>
      </c>
      <c r="AF3039" s="128" t="s">
        <v>33</v>
      </c>
      <c r="AG3039" s="128" t="s">
        <v>872</v>
      </c>
      <c r="AH3039" s="108" t="s">
        <v>31</v>
      </c>
      <c r="AI3039" s="128" t="s">
        <v>118</v>
      </c>
      <c r="AJ3039" s="129" t="s">
        <v>89</v>
      </c>
      <c r="AK3039" s="129">
        <v>5</v>
      </c>
      <c r="AL3039" s="3" t="s">
        <v>992</v>
      </c>
      <c r="AN3039" s="117">
        <v>6</v>
      </c>
      <c r="AP3039" s="129" t="s">
        <v>137</v>
      </c>
      <c r="AR3039" s="128" t="s">
        <v>67</v>
      </c>
      <c r="AS3039" s="129" t="s">
        <v>64</v>
      </c>
      <c r="BC3039" s="129" t="s">
        <v>38</v>
      </c>
      <c r="BF3039" s="111">
        <f t="shared" si="2219"/>
        <v>158</v>
      </c>
      <c r="BG3039" s="111">
        <f t="shared" si="2215"/>
        <v>158</v>
      </c>
      <c r="BH3039" s="111">
        <f t="shared" si="2187"/>
        <v>158</v>
      </c>
      <c r="BI3039" s="111">
        <f t="shared" si="2189"/>
        <v>29.423497267759561</v>
      </c>
      <c r="BJ3039" s="129">
        <f>G3039-J3039-M3039</f>
        <v>0</v>
      </c>
      <c r="BK3039" s="129">
        <f t="shared" si="2188"/>
        <v>0</v>
      </c>
      <c r="BL3039" s="129" t="str">
        <f t="shared" si="2181"/>
        <v>CONVICTION</v>
      </c>
      <c r="BM3039" s="129" t="str">
        <f t="shared" si="2190"/>
        <v>NONE</v>
      </c>
      <c r="BN3039" s="129" t="s">
        <v>566</v>
      </c>
      <c r="BP3039" s="137" t="str">
        <f t="shared" si="2191"/>
        <v>CONVICTION</v>
      </c>
      <c r="BQ3039" s="128" t="str">
        <f t="shared" si="2200"/>
        <v>Y</v>
      </c>
      <c r="BR3039" s="129" t="str">
        <f t="shared" si="2192"/>
        <v>DETAINED</v>
      </c>
      <c r="BS3039" s="129" t="str">
        <f t="shared" si="2193"/>
        <v>DISPOSED</v>
      </c>
      <c r="BT3039" s="129" t="str">
        <f t="shared" si="2194"/>
        <v>N</v>
      </c>
      <c r="BU3039" s="109">
        <f t="shared" si="2195"/>
        <v>1</v>
      </c>
      <c r="BV3039" s="109">
        <f t="shared" si="2201"/>
        <v>1</v>
      </c>
      <c r="BW3039" s="109">
        <f t="shared" si="2216"/>
        <v>0</v>
      </c>
      <c r="BX3039" s="111">
        <f t="shared" si="2196"/>
        <v>0</v>
      </c>
      <c r="BY3039" s="129">
        <f t="shared" si="2202"/>
        <v>-158</v>
      </c>
      <c r="BZ3039" s="111">
        <f t="shared" si="2203"/>
        <v>0</v>
      </c>
      <c r="CA3039" s="138">
        <f t="shared" si="2204"/>
        <v>158</v>
      </c>
      <c r="CB3039" s="111" t="e">
        <f t="shared" si="2220"/>
        <v>#VALUE!</v>
      </c>
      <c r="CC3039" s="129">
        <f>G3039-I3039+1</f>
        <v>158</v>
      </c>
      <c r="CD3039" s="129">
        <f>G3039-J3039</f>
        <v>0</v>
      </c>
      <c r="CG3039" s="129" t="str">
        <f t="shared" si="2205"/>
        <v>N</v>
      </c>
      <c r="CI3039" s="129" t="str">
        <f t="shared" si="2207"/>
        <v>121-365 DAYS</v>
      </c>
      <c r="CJ3039" s="137">
        <f t="shared" si="2208"/>
        <v>6</v>
      </c>
      <c r="CK3039" s="129" t="str">
        <f t="shared" si="2209"/>
        <v>Booked</v>
      </c>
    </row>
    <row r="3040" spans="1:89" ht="15.75" customHeight="1" x14ac:dyDescent="0.25">
      <c r="A3040" s="111">
        <v>2443</v>
      </c>
      <c r="B3040" s="128" t="str">
        <f t="shared" si="2197"/>
        <v>Y</v>
      </c>
      <c r="C3040" s="128" t="str">
        <f t="shared" si="2198"/>
        <v>N</v>
      </c>
      <c r="D3040" s="117">
        <v>2612374</v>
      </c>
      <c r="E3040" s="135">
        <f t="shared" si="2199"/>
        <v>1</v>
      </c>
      <c r="F3040" s="124">
        <v>41001</v>
      </c>
      <c r="G3040" s="125">
        <v>41012</v>
      </c>
      <c r="H3040" s="117">
        <v>2612374</v>
      </c>
      <c r="I3040" s="124">
        <v>41004</v>
      </c>
      <c r="J3040" s="124">
        <v>41012</v>
      </c>
      <c r="K3040" s="126">
        <v>2000</v>
      </c>
      <c r="L3040" s="127" t="s">
        <v>568</v>
      </c>
      <c r="N3040" s="129" t="str">
        <f>IF(M3040&gt;1/1/1,"Y","N")</f>
        <v>N</v>
      </c>
      <c r="O3040" s="128" t="s">
        <v>917</v>
      </c>
      <c r="P3040" s="129" t="s">
        <v>55</v>
      </c>
      <c r="Q3040" s="111">
        <f t="shared" si="2218"/>
        <v>9</v>
      </c>
      <c r="R3040" s="111">
        <f t="shared" si="2186"/>
        <v>12</v>
      </c>
      <c r="S3040" s="129">
        <v>0</v>
      </c>
      <c r="T3040" s="129">
        <v>0</v>
      </c>
      <c r="W3040" s="111"/>
      <c r="AC3040" s="130"/>
      <c r="AD3040" s="130">
        <v>34472</v>
      </c>
      <c r="AE3040" s="128" t="s">
        <v>32</v>
      </c>
      <c r="AF3040" s="128" t="s">
        <v>69</v>
      </c>
      <c r="AG3040" s="128" t="s">
        <v>874</v>
      </c>
      <c r="AH3040" s="108" t="s">
        <v>31</v>
      </c>
      <c r="AI3040" s="128" t="s">
        <v>42</v>
      </c>
      <c r="AJ3040" s="129" t="s">
        <v>55</v>
      </c>
      <c r="AK3040" s="129">
        <v>3</v>
      </c>
      <c r="AL3040" s="3" t="s">
        <v>55</v>
      </c>
      <c r="AP3040" s="129" t="s">
        <v>318</v>
      </c>
      <c r="AR3040" s="128" t="s">
        <v>44</v>
      </c>
      <c r="AS3040" s="129" t="s">
        <v>64</v>
      </c>
      <c r="BC3040" s="129" t="s">
        <v>79</v>
      </c>
      <c r="BD3040" s="129" t="s">
        <v>1246</v>
      </c>
      <c r="BF3040" s="111">
        <f t="shared" si="2219"/>
        <v>9</v>
      </c>
      <c r="BG3040" s="111">
        <f t="shared" si="2215"/>
        <v>9</v>
      </c>
      <c r="BH3040" s="111">
        <f t="shared" si="2187"/>
        <v>12</v>
      </c>
      <c r="BI3040" s="111">
        <f t="shared" si="2189"/>
        <v>17.838797814207652</v>
      </c>
      <c r="BJ3040" s="129">
        <f>G3040-J3040-M3040</f>
        <v>0</v>
      </c>
      <c r="BK3040" s="129">
        <f t="shared" si="2188"/>
        <v>0</v>
      </c>
      <c r="BL3040" s="129" t="str">
        <f t="shared" si="2181"/>
        <v>NO CONVICTION</v>
      </c>
      <c r="BM3040" s="129" t="str">
        <f t="shared" si="2190"/>
        <v>NONE</v>
      </c>
      <c r="BN3040" s="129" t="s">
        <v>566</v>
      </c>
      <c r="BP3040" s="137" t="str">
        <f t="shared" si="2191"/>
        <v>NO CONVICTION</v>
      </c>
      <c r="BQ3040" s="128" t="str">
        <f t="shared" si="2200"/>
        <v>Y</v>
      </c>
      <c r="BR3040" s="129" t="str">
        <f t="shared" si="2192"/>
        <v>DETAINED</v>
      </c>
      <c r="BS3040" s="129" t="str">
        <f t="shared" si="2193"/>
        <v>DISPOSED</v>
      </c>
      <c r="BT3040" s="129" t="str">
        <f t="shared" si="2194"/>
        <v>N</v>
      </c>
      <c r="BU3040" s="109">
        <f>IFERROR(Q3040/R3040,BR3040)</f>
        <v>0.75</v>
      </c>
      <c r="BV3040" s="109">
        <f t="shared" si="2201"/>
        <v>1</v>
      </c>
      <c r="BW3040" s="109">
        <f t="shared" si="2216"/>
        <v>0.25</v>
      </c>
      <c r="BX3040" s="111">
        <f t="shared" si="2196"/>
        <v>0</v>
      </c>
      <c r="BY3040" s="129">
        <f t="shared" si="2202"/>
        <v>-9</v>
      </c>
      <c r="BZ3040" s="111">
        <f t="shared" si="2203"/>
        <v>0</v>
      </c>
      <c r="CA3040" s="138">
        <f t="shared" si="2204"/>
        <v>9</v>
      </c>
      <c r="CB3040" s="111" t="e">
        <f t="shared" si="2220"/>
        <v>#VALUE!</v>
      </c>
      <c r="CC3040" s="129">
        <f>G3040-I3040+1</f>
        <v>9</v>
      </c>
      <c r="CD3040" s="129">
        <f>G3040-J3040</f>
        <v>0</v>
      </c>
      <c r="CG3040" s="129" t="str">
        <f t="shared" si="2205"/>
        <v>N</v>
      </c>
      <c r="CI3040" s="129" t="str">
        <f t="shared" si="2207"/>
        <v>0-10 DAYS</v>
      </c>
      <c r="CJ3040" s="137">
        <f t="shared" si="2208"/>
        <v>1</v>
      </c>
      <c r="CK3040" s="129" t="str">
        <f t="shared" si="2209"/>
        <v>Booked</v>
      </c>
    </row>
    <row r="3041" spans="1:89" ht="15" customHeight="1" x14ac:dyDescent="0.25">
      <c r="A3041" s="111">
        <v>2469</v>
      </c>
      <c r="B3041" s="128" t="str">
        <f t="shared" si="2197"/>
        <v>N</v>
      </c>
      <c r="C3041" s="128" t="str">
        <f t="shared" si="2198"/>
        <v>N</v>
      </c>
      <c r="D3041" s="117">
        <v>2612474</v>
      </c>
      <c r="E3041" s="135">
        <f t="shared" si="2199"/>
        <v>2</v>
      </c>
      <c r="F3041" s="124">
        <v>41002</v>
      </c>
      <c r="G3041" s="125">
        <v>41107</v>
      </c>
      <c r="H3041" s="117">
        <v>2612474</v>
      </c>
      <c r="I3041" s="124">
        <v>41002</v>
      </c>
      <c r="J3041" s="124">
        <v>41003</v>
      </c>
      <c r="K3041" s="126">
        <v>10000</v>
      </c>
      <c r="L3041" s="127" t="s">
        <v>570</v>
      </c>
      <c r="M3041" s="125">
        <v>41003</v>
      </c>
      <c r="N3041" s="129" t="str">
        <f>IF(M3041&gt;1/1/1,"Y","N")</f>
        <v>Y</v>
      </c>
      <c r="O3041" s="128" t="s">
        <v>76</v>
      </c>
      <c r="P3041" s="129" t="s">
        <v>589</v>
      </c>
      <c r="Q3041" s="111">
        <f t="shared" si="2218"/>
        <v>2</v>
      </c>
      <c r="R3041" s="111">
        <f t="shared" si="2186"/>
        <v>106</v>
      </c>
      <c r="S3041" s="129">
        <v>0</v>
      </c>
      <c r="T3041" s="129">
        <v>0</v>
      </c>
      <c r="W3041" s="111"/>
      <c r="AB3041" s="131" t="s">
        <v>112</v>
      </c>
      <c r="AC3041" s="130"/>
      <c r="AD3041" s="130">
        <v>34569</v>
      </c>
      <c r="AE3041" s="128" t="s">
        <v>32</v>
      </c>
      <c r="AF3041" s="128" t="s">
        <v>40</v>
      </c>
      <c r="AG3041" s="128" t="s">
        <v>41</v>
      </c>
      <c r="AH3041" s="108" t="s">
        <v>31</v>
      </c>
      <c r="AI3041" s="128" t="s">
        <v>62</v>
      </c>
      <c r="AJ3041" s="129" t="s">
        <v>48</v>
      </c>
      <c r="AK3041" s="129">
        <v>5</v>
      </c>
      <c r="AL3041" s="3" t="s">
        <v>48</v>
      </c>
      <c r="AP3041" s="129" t="s">
        <v>49</v>
      </c>
      <c r="AR3041" s="128" t="s">
        <v>50</v>
      </c>
      <c r="AS3041" s="129" t="s">
        <v>45</v>
      </c>
      <c r="AX3041" s="32"/>
      <c r="BC3041" s="129" t="s">
        <v>38</v>
      </c>
      <c r="BF3041" s="111">
        <f t="shared" si="2219"/>
        <v>2</v>
      </c>
      <c r="BG3041" s="111">
        <f t="shared" si="2215"/>
        <v>106</v>
      </c>
      <c r="BH3041" s="111">
        <f t="shared" si="2187"/>
        <v>106</v>
      </c>
      <c r="BI3041" s="111">
        <f t="shared" si="2189"/>
        <v>17.576502732240439</v>
      </c>
      <c r="BJ3041" s="129">
        <f>(G3041-J3041)+(M3041-G3041)</f>
        <v>0</v>
      </c>
      <c r="BK3041" s="129">
        <f t="shared" si="2188"/>
        <v>-104</v>
      </c>
      <c r="BL3041" s="129" t="str">
        <f t="shared" si="2181"/>
        <v>DEFERRED</v>
      </c>
      <c r="BM3041" s="129" t="s">
        <v>76</v>
      </c>
      <c r="BN3041" s="129" t="s">
        <v>88</v>
      </c>
      <c r="BP3041" s="137" t="str">
        <f t="shared" si="2191"/>
        <v>DEFERRED</v>
      </c>
      <c r="BQ3041" s="128" t="str">
        <f t="shared" si="2200"/>
        <v>Y</v>
      </c>
      <c r="BR3041" s="129" t="str">
        <f t="shared" si="2192"/>
        <v>ON BOND</v>
      </c>
      <c r="BS3041" s="129" t="str">
        <f t="shared" si="2193"/>
        <v>DISPOSED</v>
      </c>
      <c r="BT3041" s="129" t="str">
        <f t="shared" si="2194"/>
        <v>N</v>
      </c>
      <c r="BU3041" s="109">
        <f t="shared" si="2195"/>
        <v>1.8867924528301886E-2</v>
      </c>
      <c r="BV3041" s="109">
        <f t="shared" si="2201"/>
        <v>1.8867924528301886E-2</v>
      </c>
      <c r="BW3041" s="109">
        <f t="shared" si="2216"/>
        <v>0</v>
      </c>
      <c r="BX3041" s="111">
        <f t="shared" si="2196"/>
        <v>0</v>
      </c>
      <c r="BY3041" s="129">
        <f t="shared" si="2202"/>
        <v>-2</v>
      </c>
      <c r="BZ3041" s="111">
        <f t="shared" si="2203"/>
        <v>0</v>
      </c>
      <c r="CA3041" s="138">
        <f t="shared" si="2204"/>
        <v>2</v>
      </c>
      <c r="CB3041" s="111" t="e">
        <f t="shared" si="2220"/>
        <v>#VALUE!</v>
      </c>
      <c r="CC3041" s="129">
        <f>M3041-I3041+1</f>
        <v>2</v>
      </c>
      <c r="CD3041" s="111">
        <f>CC3041-BF3041</f>
        <v>0</v>
      </c>
      <c r="CG3041" s="129" t="str">
        <f t="shared" si="2205"/>
        <v>N</v>
      </c>
      <c r="CI3041" s="129" t="str">
        <f t="shared" si="2207"/>
        <v>0-10 DAYS</v>
      </c>
      <c r="CJ3041" s="137">
        <f t="shared" si="2208"/>
        <v>1</v>
      </c>
      <c r="CK3041" s="129" t="str">
        <f t="shared" si="2209"/>
        <v>Booked</v>
      </c>
    </row>
    <row r="3042" spans="1:89" ht="15" customHeight="1" x14ac:dyDescent="0.25">
      <c r="A3042" s="111">
        <v>2459</v>
      </c>
      <c r="B3042" s="128" t="str">
        <f t="shared" si="2197"/>
        <v>Y</v>
      </c>
      <c r="C3042" s="128" t="str">
        <f t="shared" si="2198"/>
        <v>Y</v>
      </c>
      <c r="D3042" s="117">
        <v>2612494</v>
      </c>
      <c r="E3042" s="135">
        <f t="shared" si="2199"/>
        <v>1</v>
      </c>
      <c r="F3042" s="124">
        <v>41002</v>
      </c>
      <c r="G3042" s="125">
        <v>41115</v>
      </c>
      <c r="H3042" s="117">
        <v>2612494</v>
      </c>
      <c r="I3042" s="124">
        <v>41002</v>
      </c>
      <c r="J3042" s="124">
        <v>41013</v>
      </c>
      <c r="K3042" s="126">
        <v>5000</v>
      </c>
      <c r="L3042" s="127" t="s">
        <v>569</v>
      </c>
      <c r="M3042" s="125">
        <v>41013</v>
      </c>
      <c r="N3042" s="129" t="str">
        <f>IF(M3042&gt;1/1/1,"Y","N")</f>
        <v>Y</v>
      </c>
      <c r="O3042" s="128" t="s">
        <v>76</v>
      </c>
      <c r="P3042" s="129" t="s">
        <v>55</v>
      </c>
      <c r="Q3042" s="111">
        <v>95</v>
      </c>
      <c r="R3042" s="111">
        <f t="shared" si="2186"/>
        <v>114</v>
      </c>
      <c r="S3042" s="129">
        <v>0</v>
      </c>
      <c r="T3042" s="129">
        <v>0</v>
      </c>
      <c r="W3042" s="111"/>
      <c r="AB3042" s="131" t="s">
        <v>112</v>
      </c>
      <c r="AC3042" s="130"/>
      <c r="AD3042" s="130">
        <v>23193</v>
      </c>
      <c r="AE3042" s="128" t="s">
        <v>46</v>
      </c>
      <c r="AF3042" s="128" t="s">
        <v>40</v>
      </c>
      <c r="AG3042" s="128" t="s">
        <v>41</v>
      </c>
      <c r="AH3042" s="108" t="s">
        <v>31</v>
      </c>
      <c r="AI3042" s="128" t="s">
        <v>59</v>
      </c>
      <c r="AJ3042" s="129" t="s">
        <v>55</v>
      </c>
      <c r="AK3042" s="129">
        <v>7</v>
      </c>
      <c r="AL3042" s="3" t="s">
        <v>55</v>
      </c>
      <c r="AP3042" s="129" t="s">
        <v>93</v>
      </c>
      <c r="AR3042" s="128" t="s">
        <v>67</v>
      </c>
      <c r="AS3042" s="129" t="s">
        <v>45</v>
      </c>
      <c r="AT3042" s="129" t="s">
        <v>442</v>
      </c>
      <c r="AU3042" s="118" t="s">
        <v>770</v>
      </c>
      <c r="AX3042" s="32" t="s">
        <v>88</v>
      </c>
      <c r="BC3042" s="129" t="s">
        <v>52</v>
      </c>
      <c r="BD3042" s="129" t="s">
        <v>1307</v>
      </c>
      <c r="BF3042" s="111">
        <v>95</v>
      </c>
      <c r="BG3042" s="111">
        <f t="shared" si="2215"/>
        <v>114</v>
      </c>
      <c r="BH3042" s="111">
        <f t="shared" si="2187"/>
        <v>114</v>
      </c>
      <c r="BI3042" s="111">
        <f t="shared" si="2189"/>
        <v>48.658469945355193</v>
      </c>
      <c r="BJ3042" s="129">
        <f>(G3042-J3042)+(M3042-G3042)</f>
        <v>0</v>
      </c>
      <c r="BK3042" s="129">
        <f t="shared" si="2188"/>
        <v>-102</v>
      </c>
      <c r="BL3042" s="129" t="str">
        <f t="shared" si="2181"/>
        <v>NO CONVICTION</v>
      </c>
      <c r="BM3042" s="129" t="s">
        <v>76</v>
      </c>
      <c r="BN3042" s="129" t="s">
        <v>88</v>
      </c>
      <c r="BP3042" s="137" t="str">
        <f t="shared" si="2191"/>
        <v>NO CONVICTION</v>
      </c>
      <c r="BQ3042" s="128" t="str">
        <f t="shared" si="2200"/>
        <v>Y</v>
      </c>
      <c r="BR3042" s="129" t="s">
        <v>574</v>
      </c>
      <c r="BS3042" s="129" t="str">
        <f t="shared" si="2193"/>
        <v>DISPOSED</v>
      </c>
      <c r="BT3042" s="129" t="str">
        <f t="shared" si="2194"/>
        <v>N</v>
      </c>
      <c r="BU3042" s="109">
        <f>IFERROR(Q3042/R3042,BR3042)</f>
        <v>0.83333333333333337</v>
      </c>
      <c r="BV3042" s="109">
        <f t="shared" si="2201"/>
        <v>0.10526315789473684</v>
      </c>
      <c r="BW3042" s="109">
        <f t="shared" si="2216"/>
        <v>-0.72807017543859653</v>
      </c>
      <c r="BX3042" s="111">
        <f t="shared" si="2196"/>
        <v>0</v>
      </c>
      <c r="BY3042" s="129">
        <f t="shared" si="2202"/>
        <v>-12</v>
      </c>
      <c r="BZ3042" s="111">
        <f t="shared" si="2203"/>
        <v>83</v>
      </c>
      <c r="CA3042" s="138">
        <f t="shared" si="2204"/>
        <v>114</v>
      </c>
      <c r="CB3042" s="111">
        <v>95</v>
      </c>
      <c r="CC3042" s="129">
        <f>G3042-I3042+1</f>
        <v>114</v>
      </c>
      <c r="CD3042" s="129">
        <f>G3042-J3042</f>
        <v>102</v>
      </c>
      <c r="CG3042" s="129" t="str">
        <f t="shared" si="2205"/>
        <v>N</v>
      </c>
      <c r="CI3042" s="129" t="str">
        <f t="shared" si="2207"/>
        <v>91-120 DAYS</v>
      </c>
      <c r="CJ3042" s="137">
        <f t="shared" si="2208"/>
        <v>0</v>
      </c>
      <c r="CK3042" s="129" t="str">
        <f t="shared" si="2209"/>
        <v>Booked</v>
      </c>
    </row>
    <row r="3043" spans="1:89" ht="15.75" customHeight="1" x14ac:dyDescent="0.25">
      <c r="A3043" s="111">
        <v>2462</v>
      </c>
      <c r="B3043" s="128" t="str">
        <f t="shared" si="2197"/>
        <v>N</v>
      </c>
      <c r="C3043" s="128" t="str">
        <f t="shared" si="2198"/>
        <v>N</v>
      </c>
      <c r="D3043" s="117">
        <v>2612506</v>
      </c>
      <c r="E3043" s="135">
        <f t="shared" si="2199"/>
        <v>6</v>
      </c>
      <c r="F3043" s="124">
        <v>41002</v>
      </c>
      <c r="G3043" s="125">
        <v>41121</v>
      </c>
      <c r="H3043" s="117">
        <v>2612506</v>
      </c>
      <c r="I3043" s="124">
        <v>41002</v>
      </c>
      <c r="J3043" s="124">
        <v>41121</v>
      </c>
      <c r="K3043" s="126" t="s">
        <v>564</v>
      </c>
      <c r="L3043" s="127" t="s">
        <v>564</v>
      </c>
      <c r="N3043" s="129" t="s">
        <v>566</v>
      </c>
      <c r="O3043" s="128" t="s">
        <v>917</v>
      </c>
      <c r="P3043" s="129" t="s">
        <v>39</v>
      </c>
      <c r="Q3043" s="111">
        <f t="shared" si="2218"/>
        <v>120</v>
      </c>
      <c r="R3043" s="111">
        <f t="shared" si="2186"/>
        <v>120</v>
      </c>
      <c r="S3043" s="129">
        <v>0</v>
      </c>
      <c r="T3043" s="129">
        <v>0</v>
      </c>
      <c r="W3043" s="111"/>
      <c r="AC3043" s="130"/>
      <c r="AD3043" s="130">
        <v>26131</v>
      </c>
      <c r="AE3043" s="128" t="s">
        <v>32</v>
      </c>
      <c r="AF3043" s="128" t="s">
        <v>69</v>
      </c>
      <c r="AG3043" s="128" t="s">
        <v>874</v>
      </c>
      <c r="AH3043" s="108" t="s">
        <v>31</v>
      </c>
      <c r="AI3043" s="128" t="s">
        <v>83</v>
      </c>
      <c r="AJ3043" s="129" t="s">
        <v>89</v>
      </c>
      <c r="AK3043" s="129">
        <v>5</v>
      </c>
      <c r="AL3043" s="3" t="s">
        <v>362</v>
      </c>
      <c r="AM3043" s="117">
        <v>10</v>
      </c>
      <c r="AP3043" s="129" t="s">
        <v>245</v>
      </c>
      <c r="AR3043" s="128" t="s">
        <v>67</v>
      </c>
      <c r="AS3043" s="129" t="s">
        <v>64</v>
      </c>
      <c r="BC3043" s="129" t="s">
        <v>38</v>
      </c>
      <c r="BF3043" s="111">
        <f t="shared" si="2219"/>
        <v>120</v>
      </c>
      <c r="BG3043" s="111">
        <f t="shared" si="2215"/>
        <v>120</v>
      </c>
      <c r="BH3043" s="111">
        <f t="shared" si="2187"/>
        <v>120</v>
      </c>
      <c r="BI3043" s="111">
        <f t="shared" si="2189"/>
        <v>40.631147540983605</v>
      </c>
      <c r="BJ3043" s="129">
        <f>G3043-J3043-M3043</f>
        <v>0</v>
      </c>
      <c r="BK3043" s="129">
        <f t="shared" si="2188"/>
        <v>0</v>
      </c>
      <c r="BL3043" s="129" t="str">
        <f t="shared" si="2181"/>
        <v>CONVICTION</v>
      </c>
      <c r="BM3043" s="129" t="str">
        <f t="shared" si="2190"/>
        <v>NONE</v>
      </c>
      <c r="BN3043" s="129" t="s">
        <v>566</v>
      </c>
      <c r="BP3043" s="137" t="str">
        <f t="shared" si="2191"/>
        <v>CONVICTION</v>
      </c>
      <c r="BQ3043" s="128" t="str">
        <f t="shared" si="2200"/>
        <v>Y</v>
      </c>
      <c r="BR3043" s="129" t="str">
        <f t="shared" si="2192"/>
        <v>DETAINED</v>
      </c>
      <c r="BS3043" s="129" t="str">
        <f t="shared" si="2193"/>
        <v>DISPOSED</v>
      </c>
      <c r="BT3043" s="129" t="str">
        <f t="shared" si="2194"/>
        <v>N</v>
      </c>
      <c r="BU3043" s="109">
        <f t="shared" si="2195"/>
        <v>1</v>
      </c>
      <c r="BV3043" s="109">
        <f t="shared" si="2201"/>
        <v>1</v>
      </c>
      <c r="BW3043" s="109">
        <f t="shared" si="2216"/>
        <v>0</v>
      </c>
      <c r="BX3043" s="111">
        <f t="shared" si="2196"/>
        <v>0</v>
      </c>
      <c r="BY3043" s="129">
        <f t="shared" si="2202"/>
        <v>-120</v>
      </c>
      <c r="BZ3043" s="111">
        <f t="shared" si="2203"/>
        <v>0</v>
      </c>
      <c r="CA3043" s="138">
        <f t="shared" si="2204"/>
        <v>120</v>
      </c>
      <c r="CB3043" s="111" t="e">
        <f t="shared" si="2220"/>
        <v>#VALUE!</v>
      </c>
      <c r="CC3043" s="129">
        <f>G3043-I3043+1</f>
        <v>120</v>
      </c>
      <c r="CD3043" s="129">
        <f>G3043-J3043</f>
        <v>0</v>
      </c>
      <c r="CG3043" s="129" t="str">
        <f t="shared" si="2205"/>
        <v>N</v>
      </c>
      <c r="CI3043" s="129" t="str">
        <f t="shared" si="2207"/>
        <v>91-120 DAYS</v>
      </c>
      <c r="CJ3043" s="137">
        <f t="shared" si="2208"/>
        <v>0</v>
      </c>
      <c r="CK3043" s="129" t="str">
        <f t="shared" si="2209"/>
        <v>Booked</v>
      </c>
    </row>
    <row r="3044" spans="1:89" ht="15.75" customHeight="1" x14ac:dyDescent="0.25">
      <c r="A3044" s="111">
        <v>2463</v>
      </c>
      <c r="B3044" s="128" t="str">
        <f t="shared" si="2197"/>
        <v>N</v>
      </c>
      <c r="C3044" s="128" t="str">
        <f t="shared" si="2198"/>
        <v>N</v>
      </c>
      <c r="D3044" s="117">
        <v>2612510</v>
      </c>
      <c r="E3044" s="135">
        <f t="shared" si="2199"/>
        <v>4</v>
      </c>
      <c r="F3044" s="124">
        <v>41002</v>
      </c>
      <c r="G3044" s="125">
        <v>41011</v>
      </c>
      <c r="H3044" s="117">
        <v>2612510</v>
      </c>
      <c r="I3044" s="124">
        <v>41003</v>
      </c>
      <c r="J3044" s="124">
        <v>41011</v>
      </c>
      <c r="K3044" s="126">
        <v>35000</v>
      </c>
      <c r="L3044" s="129" t="s">
        <v>572</v>
      </c>
      <c r="N3044" s="129" t="str">
        <f>IF(M3044&gt;1/1/1,"Y","N")</f>
        <v>N</v>
      </c>
      <c r="O3044" s="128" t="s">
        <v>917</v>
      </c>
      <c r="P3044" s="129" t="s">
        <v>39</v>
      </c>
      <c r="Q3044" s="111">
        <f t="shared" si="2218"/>
        <v>9</v>
      </c>
      <c r="R3044" s="111">
        <f t="shared" si="2186"/>
        <v>10</v>
      </c>
      <c r="S3044" s="129">
        <v>0</v>
      </c>
      <c r="T3044" s="129">
        <v>0</v>
      </c>
      <c r="W3044" s="111"/>
      <c r="AB3044" s="131" t="s">
        <v>112</v>
      </c>
      <c r="AC3044" s="130"/>
      <c r="AD3044" s="130">
        <v>33412</v>
      </c>
      <c r="AE3044" s="128" t="s">
        <v>32</v>
      </c>
      <c r="AF3044" s="128" t="s">
        <v>40</v>
      </c>
      <c r="AG3044" s="128" t="s">
        <v>41</v>
      </c>
      <c r="AH3044" s="108" t="s">
        <v>31</v>
      </c>
      <c r="AI3044" s="128" t="s">
        <v>85</v>
      </c>
      <c r="AJ3044" s="129" t="s">
        <v>89</v>
      </c>
      <c r="AK3044" s="129">
        <v>3</v>
      </c>
      <c r="AL3044" s="3" t="s">
        <v>991</v>
      </c>
      <c r="AO3044" s="128">
        <v>45</v>
      </c>
      <c r="AP3044" s="129" t="s">
        <v>43</v>
      </c>
      <c r="AR3044" s="128" t="s">
        <v>44</v>
      </c>
      <c r="AS3044" s="129" t="s">
        <v>45</v>
      </c>
      <c r="AT3044" s="129" t="s">
        <v>443</v>
      </c>
      <c r="BC3044" s="129" t="s">
        <v>38</v>
      </c>
      <c r="BF3044" s="111">
        <f t="shared" si="2219"/>
        <v>9</v>
      </c>
      <c r="BG3044" s="111">
        <f t="shared" si="2215"/>
        <v>9</v>
      </c>
      <c r="BH3044" s="111">
        <f t="shared" si="2187"/>
        <v>10</v>
      </c>
      <c r="BI3044" s="111">
        <f t="shared" si="2189"/>
        <v>20.737704918032787</v>
      </c>
      <c r="BJ3044" s="129">
        <f>G3044-J3044-M3044</f>
        <v>0</v>
      </c>
      <c r="BK3044" s="129">
        <f t="shared" si="2188"/>
        <v>0</v>
      </c>
      <c r="BL3044" s="129" t="str">
        <f t="shared" si="2181"/>
        <v>CONVICTION</v>
      </c>
      <c r="BM3044" s="129" t="str">
        <f t="shared" si="2190"/>
        <v>NONE</v>
      </c>
      <c r="BN3044" s="129" t="s">
        <v>566</v>
      </c>
      <c r="BP3044" s="137" t="str">
        <f t="shared" si="2191"/>
        <v>CONVICTION</v>
      </c>
      <c r="BQ3044" s="128" t="str">
        <f t="shared" si="2200"/>
        <v>Y</v>
      </c>
      <c r="BR3044" s="129" t="str">
        <f t="shared" si="2192"/>
        <v>DETAINED</v>
      </c>
      <c r="BS3044" s="129" t="str">
        <f t="shared" si="2193"/>
        <v>DISPOSED</v>
      </c>
      <c r="BT3044" s="129" t="str">
        <f t="shared" si="2194"/>
        <v>N</v>
      </c>
      <c r="BU3044" s="109">
        <f t="shared" si="2195"/>
        <v>0.9</v>
      </c>
      <c r="BV3044" s="109">
        <f t="shared" si="2201"/>
        <v>1</v>
      </c>
      <c r="BW3044" s="109">
        <f t="shared" si="2216"/>
        <v>9.9999999999999978E-2</v>
      </c>
      <c r="BX3044" s="111">
        <f t="shared" si="2196"/>
        <v>0</v>
      </c>
      <c r="BY3044" s="129">
        <f t="shared" si="2202"/>
        <v>-9</v>
      </c>
      <c r="BZ3044" s="111">
        <f t="shared" si="2203"/>
        <v>0</v>
      </c>
      <c r="CA3044" s="138">
        <f t="shared" si="2204"/>
        <v>9</v>
      </c>
      <c r="CB3044" s="111" t="e">
        <f t="shared" si="2220"/>
        <v>#VALUE!</v>
      </c>
      <c r="CC3044" s="129">
        <f>G3044-I3044+1</f>
        <v>9</v>
      </c>
      <c r="CD3044" s="129">
        <f>G3044-J3044</f>
        <v>0</v>
      </c>
      <c r="CG3044" s="129" t="str">
        <f t="shared" si="2205"/>
        <v>N</v>
      </c>
      <c r="CI3044" s="129" t="str">
        <f t="shared" si="2207"/>
        <v>0-10 DAYS</v>
      </c>
      <c r="CJ3044" s="137">
        <f t="shared" si="2208"/>
        <v>1</v>
      </c>
      <c r="CK3044" s="129" t="str">
        <f t="shared" si="2209"/>
        <v>Booked</v>
      </c>
    </row>
    <row r="3045" spans="1:89" ht="15.75" customHeight="1" x14ac:dyDescent="0.25">
      <c r="A3045" s="111">
        <v>2467</v>
      </c>
      <c r="B3045" s="128" t="str">
        <f t="shared" si="2197"/>
        <v>N</v>
      </c>
      <c r="C3045" s="128" t="str">
        <f t="shared" si="2198"/>
        <v>N</v>
      </c>
      <c r="D3045" s="117">
        <v>2612512</v>
      </c>
      <c r="E3045" s="135">
        <f t="shared" si="2199"/>
        <v>2</v>
      </c>
      <c r="F3045" s="124">
        <v>41002</v>
      </c>
      <c r="G3045" s="125">
        <v>41061</v>
      </c>
      <c r="H3045" s="117">
        <v>2612512</v>
      </c>
      <c r="I3045" s="124">
        <v>41002</v>
      </c>
      <c r="J3045" s="124">
        <v>41061</v>
      </c>
      <c r="K3045" s="126" t="s">
        <v>564</v>
      </c>
      <c r="L3045" s="127" t="s">
        <v>564</v>
      </c>
      <c r="N3045" s="129" t="s">
        <v>566</v>
      </c>
      <c r="O3045" s="128" t="s">
        <v>917</v>
      </c>
      <c r="P3045" s="129" t="s">
        <v>589</v>
      </c>
      <c r="Q3045" s="111">
        <f t="shared" si="2218"/>
        <v>60</v>
      </c>
      <c r="R3045" s="111">
        <f t="shared" si="2186"/>
        <v>60</v>
      </c>
      <c r="S3045" s="129">
        <v>0</v>
      </c>
      <c r="T3045" s="129">
        <v>0</v>
      </c>
      <c r="W3045" s="111"/>
      <c r="AC3045" s="130"/>
      <c r="AD3045" s="130">
        <v>33002</v>
      </c>
      <c r="AE3045" s="128" t="s">
        <v>32</v>
      </c>
      <c r="AF3045" s="128" t="s">
        <v>33</v>
      </c>
      <c r="AG3045" s="128" t="s">
        <v>872</v>
      </c>
      <c r="AH3045" s="108" t="s">
        <v>31</v>
      </c>
      <c r="AI3045" s="128" t="s">
        <v>59</v>
      </c>
      <c r="AJ3045" s="129" t="s">
        <v>48</v>
      </c>
      <c r="AK3045" s="129">
        <v>4</v>
      </c>
      <c r="AL3045" s="3" t="s">
        <v>48</v>
      </c>
      <c r="AP3045" s="129" t="s">
        <v>110</v>
      </c>
      <c r="AR3045" s="128" t="s">
        <v>50</v>
      </c>
      <c r="AS3045" s="129" t="s">
        <v>74</v>
      </c>
      <c r="BC3045" s="129" t="s">
        <v>38</v>
      </c>
      <c r="BF3045" s="111">
        <f t="shared" si="2219"/>
        <v>60</v>
      </c>
      <c r="BG3045" s="111">
        <f t="shared" si="2215"/>
        <v>60</v>
      </c>
      <c r="BH3045" s="111">
        <f t="shared" si="2187"/>
        <v>60</v>
      </c>
      <c r="BI3045" s="111">
        <f t="shared" si="2189"/>
        <v>21.857923497267759</v>
      </c>
      <c r="BJ3045" s="129">
        <f>G3045-J3045-M3045</f>
        <v>0</v>
      </c>
      <c r="BK3045" s="129">
        <f t="shared" si="2188"/>
        <v>0</v>
      </c>
      <c r="BL3045" s="129" t="str">
        <f t="shared" si="2181"/>
        <v>DEFERRED</v>
      </c>
      <c r="BM3045" s="129" t="str">
        <f t="shared" si="2190"/>
        <v>NONE</v>
      </c>
      <c r="BN3045" s="129" t="s">
        <v>566</v>
      </c>
      <c r="BP3045" s="137" t="str">
        <f t="shared" si="2191"/>
        <v>DEFERRED</v>
      </c>
      <c r="BQ3045" s="128" t="str">
        <f t="shared" si="2200"/>
        <v>Y</v>
      </c>
      <c r="BR3045" s="129" t="str">
        <f t="shared" si="2192"/>
        <v>DETAINED</v>
      </c>
      <c r="BS3045" s="129" t="str">
        <f t="shared" si="2193"/>
        <v>DISPOSED</v>
      </c>
      <c r="BT3045" s="129" t="str">
        <f t="shared" si="2194"/>
        <v>N</v>
      </c>
      <c r="BU3045" s="109">
        <f t="shared" si="2195"/>
        <v>1</v>
      </c>
      <c r="BV3045" s="109">
        <f t="shared" si="2201"/>
        <v>1</v>
      </c>
      <c r="BW3045" s="109">
        <f t="shared" si="2216"/>
        <v>0</v>
      </c>
      <c r="BX3045" s="111">
        <f t="shared" si="2196"/>
        <v>0</v>
      </c>
      <c r="BY3045" s="129">
        <f t="shared" si="2202"/>
        <v>-60</v>
      </c>
      <c r="BZ3045" s="111">
        <f t="shared" si="2203"/>
        <v>0</v>
      </c>
      <c r="CA3045" s="138">
        <f t="shared" si="2204"/>
        <v>60</v>
      </c>
      <c r="CB3045" s="111" t="e">
        <f t="shared" si="2220"/>
        <v>#VALUE!</v>
      </c>
      <c r="CC3045" s="129">
        <f>G3045-I3045+1</f>
        <v>60</v>
      </c>
      <c r="CD3045" s="129">
        <f>G3045-J3045</f>
        <v>0</v>
      </c>
      <c r="CG3045" s="129" t="str">
        <f t="shared" si="2205"/>
        <v>N</v>
      </c>
      <c r="CI3045" s="129" t="str">
        <f t="shared" si="2207"/>
        <v>31-60 DAYS</v>
      </c>
      <c r="CJ3045" s="137">
        <f t="shared" si="2208"/>
        <v>3</v>
      </c>
      <c r="CK3045" s="129" t="str">
        <f t="shared" si="2209"/>
        <v>Booked</v>
      </c>
    </row>
    <row r="3046" spans="1:89" ht="15.75" customHeight="1" x14ac:dyDescent="0.25">
      <c r="A3046" s="111">
        <v>2475</v>
      </c>
      <c r="B3046" s="128" t="str">
        <f t="shared" si="2197"/>
        <v>N</v>
      </c>
      <c r="C3046" s="128" t="str">
        <f t="shared" si="2198"/>
        <v>N</v>
      </c>
      <c r="D3046" s="117">
        <v>2612574</v>
      </c>
      <c r="E3046" s="135">
        <f t="shared" si="2199"/>
        <v>5</v>
      </c>
      <c r="F3046" s="124">
        <v>41002</v>
      </c>
      <c r="G3046" s="125">
        <v>41200</v>
      </c>
      <c r="H3046" s="117">
        <v>2612574</v>
      </c>
      <c r="I3046" s="124">
        <v>41030</v>
      </c>
      <c r="J3046" s="124">
        <v>41200</v>
      </c>
      <c r="K3046" s="126" t="s">
        <v>564</v>
      </c>
      <c r="L3046" s="127" t="s">
        <v>564</v>
      </c>
      <c r="N3046" s="129" t="s">
        <v>566</v>
      </c>
      <c r="O3046" s="128" t="s">
        <v>917</v>
      </c>
      <c r="P3046" s="129" t="s">
        <v>39</v>
      </c>
      <c r="Q3046" s="111">
        <f t="shared" si="2218"/>
        <v>171</v>
      </c>
      <c r="R3046" s="111">
        <f t="shared" si="2186"/>
        <v>199</v>
      </c>
      <c r="S3046" s="129">
        <v>0</v>
      </c>
      <c r="T3046" s="129">
        <v>0</v>
      </c>
      <c r="W3046" s="111"/>
      <c r="AC3046" s="130"/>
      <c r="AD3046" s="130">
        <v>31486</v>
      </c>
      <c r="AE3046" s="128" t="s">
        <v>32</v>
      </c>
      <c r="AF3046" s="128" t="s">
        <v>69</v>
      </c>
      <c r="AG3046" s="128" t="s">
        <v>874</v>
      </c>
      <c r="AH3046" s="108" t="s">
        <v>31</v>
      </c>
      <c r="AI3046" s="128" t="s">
        <v>100</v>
      </c>
      <c r="AJ3046" s="129" t="s">
        <v>89</v>
      </c>
      <c r="AK3046" s="129">
        <v>7</v>
      </c>
      <c r="AL3046" s="3" t="s">
        <v>992</v>
      </c>
      <c r="AN3046" s="117">
        <v>6</v>
      </c>
      <c r="AP3046" s="129" t="s">
        <v>142</v>
      </c>
      <c r="AR3046" s="128" t="s">
        <v>44</v>
      </c>
      <c r="AS3046" s="129" t="s">
        <v>64</v>
      </c>
      <c r="BC3046" s="129" t="s">
        <v>38</v>
      </c>
      <c r="BF3046" s="111">
        <f t="shared" si="2219"/>
        <v>171</v>
      </c>
      <c r="BG3046" s="111">
        <f t="shared" si="2215"/>
        <v>171</v>
      </c>
      <c r="BH3046" s="111">
        <f t="shared" si="2187"/>
        <v>199</v>
      </c>
      <c r="BI3046" s="111">
        <f t="shared" si="2189"/>
        <v>26</v>
      </c>
      <c r="BJ3046" s="129">
        <f>G3046-J3046-M3046</f>
        <v>0</v>
      </c>
      <c r="BK3046" s="129">
        <f t="shared" si="2188"/>
        <v>0</v>
      </c>
      <c r="BL3046" s="129" t="str">
        <f t="shared" si="2181"/>
        <v>CONVICTION</v>
      </c>
      <c r="BM3046" s="129" t="str">
        <f t="shared" si="2190"/>
        <v>NONE</v>
      </c>
      <c r="BN3046" s="129" t="s">
        <v>566</v>
      </c>
      <c r="BP3046" s="137" t="str">
        <f t="shared" si="2191"/>
        <v>CONVICTION</v>
      </c>
      <c r="BQ3046" s="128" t="str">
        <f t="shared" si="2200"/>
        <v>Y</v>
      </c>
      <c r="BR3046" s="129" t="str">
        <f t="shared" si="2192"/>
        <v>DETAINED</v>
      </c>
      <c r="BS3046" s="129" t="str">
        <f t="shared" si="2193"/>
        <v>DISPOSED</v>
      </c>
      <c r="BT3046" s="129" t="str">
        <f t="shared" si="2194"/>
        <v>N</v>
      </c>
      <c r="BU3046" s="109">
        <f t="shared" si="2195"/>
        <v>0.85929648241206025</v>
      </c>
      <c r="BV3046" s="109">
        <f t="shared" si="2201"/>
        <v>1</v>
      </c>
      <c r="BW3046" s="109">
        <f t="shared" si="2216"/>
        <v>0.14070351758793975</v>
      </c>
      <c r="BX3046" s="111">
        <f t="shared" si="2196"/>
        <v>0</v>
      </c>
      <c r="BY3046" s="129">
        <f t="shared" si="2202"/>
        <v>-171</v>
      </c>
      <c r="BZ3046" s="111">
        <f t="shared" si="2203"/>
        <v>0</v>
      </c>
      <c r="CA3046" s="138">
        <f t="shared" si="2204"/>
        <v>171</v>
      </c>
      <c r="CB3046" s="111" t="e">
        <f t="shared" si="2220"/>
        <v>#VALUE!</v>
      </c>
      <c r="CC3046" s="129">
        <f>G3046-I3046+1</f>
        <v>171</v>
      </c>
      <c r="CD3046" s="129">
        <f>G3046-J3046</f>
        <v>0</v>
      </c>
      <c r="CG3046" s="129" t="str">
        <f t="shared" si="2205"/>
        <v>N</v>
      </c>
      <c r="CI3046" s="129" t="str">
        <f t="shared" si="2207"/>
        <v>121-365 DAYS</v>
      </c>
      <c r="CJ3046" s="137">
        <f t="shared" si="2208"/>
        <v>6</v>
      </c>
      <c r="CK3046" s="129" t="str">
        <f t="shared" si="2209"/>
        <v>Booked</v>
      </c>
    </row>
    <row r="3047" spans="1:89" ht="15" customHeight="1" x14ac:dyDescent="0.25">
      <c r="A3047" s="111">
        <v>2477</v>
      </c>
      <c r="B3047" s="128" t="str">
        <f t="shared" si="2197"/>
        <v>N</v>
      </c>
      <c r="C3047" s="128" t="str">
        <f t="shared" si="2198"/>
        <v>N</v>
      </c>
      <c r="D3047" s="117">
        <v>2612603</v>
      </c>
      <c r="E3047" s="135">
        <f t="shared" si="2199"/>
        <v>1</v>
      </c>
      <c r="F3047" s="124">
        <v>41002</v>
      </c>
      <c r="G3047" s="125">
        <v>41088</v>
      </c>
      <c r="H3047" s="117">
        <v>2612603</v>
      </c>
      <c r="I3047" s="124">
        <v>41003</v>
      </c>
      <c r="J3047" s="124">
        <v>41004</v>
      </c>
      <c r="K3047" s="126">
        <v>5000</v>
      </c>
      <c r="L3047" s="127" t="s">
        <v>569</v>
      </c>
      <c r="M3047" s="125">
        <v>41004</v>
      </c>
      <c r="N3047" s="129" t="str">
        <f>IF(M3047&gt;1/1/1,"Y","N")</f>
        <v>Y</v>
      </c>
      <c r="O3047" s="128" t="s">
        <v>76</v>
      </c>
      <c r="P3047" s="129" t="s">
        <v>55</v>
      </c>
      <c r="Q3047" s="111">
        <f t="shared" si="2218"/>
        <v>2</v>
      </c>
      <c r="R3047" s="111">
        <f t="shared" si="2186"/>
        <v>87</v>
      </c>
      <c r="S3047" s="129">
        <v>0</v>
      </c>
      <c r="T3047" s="129">
        <v>0</v>
      </c>
      <c r="W3047" s="111"/>
      <c r="AC3047" s="130"/>
      <c r="AD3047" s="130">
        <v>29007</v>
      </c>
      <c r="AE3047" s="128" t="s">
        <v>32</v>
      </c>
      <c r="AF3047" s="128" t="s">
        <v>33</v>
      </c>
      <c r="AG3047" s="128" t="s">
        <v>872</v>
      </c>
      <c r="AH3047" s="108" t="s">
        <v>31</v>
      </c>
      <c r="AI3047" s="128" t="s">
        <v>97</v>
      </c>
      <c r="AJ3047" s="129" t="s">
        <v>55</v>
      </c>
      <c r="AK3047" s="129">
        <v>4</v>
      </c>
      <c r="AL3047" s="3" t="s">
        <v>55</v>
      </c>
      <c r="AP3047" s="129" t="s">
        <v>382</v>
      </c>
      <c r="AR3047" s="128" t="s">
        <v>67</v>
      </c>
      <c r="AS3047" s="129" t="s">
        <v>382</v>
      </c>
      <c r="BC3047" s="129" t="s">
        <v>52</v>
      </c>
      <c r="BF3047" s="111">
        <f t="shared" si="2219"/>
        <v>2</v>
      </c>
      <c r="BG3047" s="111">
        <f t="shared" si="2215"/>
        <v>86</v>
      </c>
      <c r="BH3047" s="111">
        <f t="shared" si="2187"/>
        <v>87</v>
      </c>
      <c r="BI3047" s="111">
        <f t="shared" si="2189"/>
        <v>32.77322404371585</v>
      </c>
      <c r="BJ3047" s="129">
        <f>(G3047-J3047)+(M3047-G3047)</f>
        <v>0</v>
      </c>
      <c r="BK3047" s="129">
        <f t="shared" si="2188"/>
        <v>-84</v>
      </c>
      <c r="BL3047" s="129" t="str">
        <f t="shared" si="2181"/>
        <v>NO CONVICTION</v>
      </c>
      <c r="BM3047" s="129" t="s">
        <v>76</v>
      </c>
      <c r="BN3047" s="129" t="s">
        <v>88</v>
      </c>
      <c r="BP3047" s="137" t="str">
        <f t="shared" si="2191"/>
        <v>NO CONVICTION</v>
      </c>
      <c r="BQ3047" s="128" t="str">
        <f t="shared" si="2200"/>
        <v>Y</v>
      </c>
      <c r="BR3047" s="129" t="str">
        <f t="shared" si="2192"/>
        <v>ON BOND</v>
      </c>
      <c r="BS3047" s="129" t="str">
        <f t="shared" si="2193"/>
        <v>DISPOSED</v>
      </c>
      <c r="BT3047" s="129" t="str">
        <f t="shared" si="2194"/>
        <v>N</v>
      </c>
      <c r="BU3047" s="109">
        <f>IFERROR(Q3047/R3047,BR3047)</f>
        <v>2.2988505747126436E-2</v>
      </c>
      <c r="BV3047" s="109">
        <f t="shared" si="2201"/>
        <v>2.3255813953488372E-2</v>
      </c>
      <c r="BW3047" s="109">
        <f t="shared" si="2216"/>
        <v>2.6730820636193531E-4</v>
      </c>
      <c r="BX3047" s="111">
        <f t="shared" si="2196"/>
        <v>0</v>
      </c>
      <c r="BY3047" s="129">
        <f t="shared" si="2202"/>
        <v>-2</v>
      </c>
      <c r="BZ3047" s="111">
        <f t="shared" si="2203"/>
        <v>0</v>
      </c>
      <c r="CA3047" s="138">
        <f t="shared" si="2204"/>
        <v>2</v>
      </c>
      <c r="CB3047" s="111" t="e">
        <f t="shared" si="2220"/>
        <v>#VALUE!</v>
      </c>
      <c r="CC3047" s="129">
        <f>M3047-I3047+1</f>
        <v>2</v>
      </c>
      <c r="CD3047" s="111">
        <f>CC3047-BF3047</f>
        <v>0</v>
      </c>
      <c r="CG3047" s="129" t="str">
        <f t="shared" si="2205"/>
        <v>N</v>
      </c>
      <c r="CI3047" s="129" t="str">
        <f t="shared" si="2207"/>
        <v>0-10 DAYS</v>
      </c>
      <c r="CJ3047" s="137">
        <f t="shared" si="2208"/>
        <v>1</v>
      </c>
      <c r="CK3047" s="129" t="str">
        <f t="shared" si="2209"/>
        <v>Booked</v>
      </c>
    </row>
    <row r="3048" spans="1:89" ht="15.75" customHeight="1" x14ac:dyDescent="0.25">
      <c r="A3048" s="111">
        <v>2479</v>
      </c>
      <c r="B3048" s="128" t="str">
        <f t="shared" si="2197"/>
        <v>N</v>
      </c>
      <c r="C3048" s="128" t="str">
        <f t="shared" si="2198"/>
        <v>N</v>
      </c>
      <c r="D3048" s="117">
        <v>2612652</v>
      </c>
      <c r="E3048" s="135">
        <f t="shared" si="2199"/>
        <v>6</v>
      </c>
      <c r="F3048" s="124">
        <v>41002</v>
      </c>
      <c r="G3048" s="125">
        <v>41227</v>
      </c>
      <c r="H3048" s="117">
        <v>2612652</v>
      </c>
      <c r="I3048" s="124">
        <v>41003</v>
      </c>
      <c r="J3048" s="125">
        <v>41227</v>
      </c>
      <c r="K3048" s="126">
        <v>60000</v>
      </c>
      <c r="L3048" s="129" t="s">
        <v>572</v>
      </c>
      <c r="N3048" s="129" t="str">
        <f>IF(M3048&gt;1/1/1,"Y","N")</f>
        <v>N</v>
      </c>
      <c r="O3048" s="128" t="s">
        <v>917</v>
      </c>
      <c r="P3048" s="129" t="s">
        <v>39</v>
      </c>
      <c r="Q3048" s="111">
        <f t="shared" si="2218"/>
        <v>225</v>
      </c>
      <c r="R3048" s="111">
        <f t="shared" si="2186"/>
        <v>226</v>
      </c>
      <c r="S3048" s="129">
        <v>0</v>
      </c>
      <c r="T3048" s="129">
        <v>0</v>
      </c>
      <c r="W3048" s="111"/>
      <c r="AB3048" s="131" t="s">
        <v>112</v>
      </c>
      <c r="AC3048" s="130"/>
      <c r="AD3048" s="130">
        <v>21838</v>
      </c>
      <c r="AE3048" s="128" t="s">
        <v>32</v>
      </c>
      <c r="AF3048" s="128" t="s">
        <v>40</v>
      </c>
      <c r="AG3048" s="128" t="s">
        <v>41</v>
      </c>
      <c r="AH3048" s="108" t="s">
        <v>31</v>
      </c>
      <c r="AI3048" s="128" t="s">
        <v>83</v>
      </c>
      <c r="AJ3048" s="129" t="s">
        <v>89</v>
      </c>
      <c r="AK3048" s="129">
        <v>8</v>
      </c>
      <c r="AL3048" s="3" t="s">
        <v>362</v>
      </c>
      <c r="AM3048" s="117">
        <v>2</v>
      </c>
      <c r="AP3048" s="129" t="s">
        <v>188</v>
      </c>
      <c r="AR3048" s="128" t="s">
        <v>67</v>
      </c>
      <c r="AS3048" s="129" t="s">
        <v>64</v>
      </c>
      <c r="BC3048" s="129" t="s">
        <v>52</v>
      </c>
      <c r="BF3048" s="111">
        <f t="shared" si="2219"/>
        <v>225</v>
      </c>
      <c r="BG3048" s="111">
        <f t="shared" si="2215"/>
        <v>225</v>
      </c>
      <c r="BH3048" s="111">
        <f t="shared" si="2187"/>
        <v>226</v>
      </c>
      <c r="BI3048" s="111">
        <f t="shared" si="2189"/>
        <v>52.360655737704917</v>
      </c>
      <c r="BJ3048" s="129">
        <f>G3048-J3048-M3048</f>
        <v>0</v>
      </c>
      <c r="BK3048" s="129">
        <f t="shared" si="2188"/>
        <v>0</v>
      </c>
      <c r="BL3048" s="129" t="str">
        <f t="shared" si="2181"/>
        <v>CONVICTION</v>
      </c>
      <c r="BM3048" s="129" t="str">
        <f t="shared" si="2190"/>
        <v>NONE</v>
      </c>
      <c r="BN3048" s="129" t="s">
        <v>566</v>
      </c>
      <c r="BP3048" s="137" t="str">
        <f t="shared" si="2191"/>
        <v>CONVICTION</v>
      </c>
      <c r="BQ3048" s="128" t="str">
        <f t="shared" si="2200"/>
        <v>Y</v>
      </c>
      <c r="BR3048" s="129" t="str">
        <f t="shared" si="2192"/>
        <v>DETAINED</v>
      </c>
      <c r="BS3048" s="129" t="str">
        <f t="shared" si="2193"/>
        <v>DISPOSED</v>
      </c>
      <c r="BT3048" s="129" t="str">
        <f t="shared" si="2194"/>
        <v>N</v>
      </c>
      <c r="BU3048" s="109">
        <f t="shared" si="2195"/>
        <v>0.99557522123893805</v>
      </c>
      <c r="BV3048" s="109">
        <f t="shared" si="2201"/>
        <v>1</v>
      </c>
      <c r="BW3048" s="109">
        <f t="shared" si="2216"/>
        <v>4.4247787610619538E-3</v>
      </c>
      <c r="BX3048" s="111">
        <f t="shared" si="2196"/>
        <v>0</v>
      </c>
      <c r="BY3048" s="129">
        <f t="shared" si="2202"/>
        <v>-225</v>
      </c>
      <c r="BZ3048" s="111">
        <f t="shared" si="2203"/>
        <v>0</v>
      </c>
      <c r="CA3048" s="138">
        <f t="shared" si="2204"/>
        <v>225</v>
      </c>
      <c r="CB3048" s="111" t="e">
        <f t="shared" si="2220"/>
        <v>#VALUE!</v>
      </c>
      <c r="CC3048" s="129">
        <f>G3048-I3048+1</f>
        <v>225</v>
      </c>
      <c r="CD3048" s="129">
        <f>G3048-J3048</f>
        <v>0</v>
      </c>
      <c r="CG3048" s="129" t="str">
        <f t="shared" si="2205"/>
        <v>N</v>
      </c>
      <c r="CI3048" s="129" t="str">
        <f t="shared" si="2207"/>
        <v>121-365 DAYS</v>
      </c>
      <c r="CJ3048" s="137">
        <f t="shared" si="2208"/>
        <v>6</v>
      </c>
      <c r="CK3048" s="129" t="str">
        <f t="shared" si="2209"/>
        <v>Booked</v>
      </c>
    </row>
    <row r="3049" spans="1:89" ht="15.75" customHeight="1" x14ac:dyDescent="0.25">
      <c r="A3049" s="111">
        <v>2486</v>
      </c>
      <c r="B3049" s="128" t="str">
        <f t="shared" si="2197"/>
        <v>N</v>
      </c>
      <c r="C3049" s="128" t="str">
        <f t="shared" si="2198"/>
        <v>N</v>
      </c>
      <c r="D3049" s="117">
        <v>2612678</v>
      </c>
      <c r="E3049" s="135">
        <f t="shared" si="2199"/>
        <v>2</v>
      </c>
      <c r="F3049" s="124">
        <v>41002</v>
      </c>
      <c r="G3049" s="125">
        <v>41068</v>
      </c>
      <c r="H3049" s="117">
        <v>2612678</v>
      </c>
      <c r="I3049" s="124" t="s">
        <v>562</v>
      </c>
      <c r="J3049" s="124" t="s">
        <v>562</v>
      </c>
      <c r="K3049" s="126">
        <v>10000</v>
      </c>
      <c r="L3049" s="127" t="s">
        <v>570</v>
      </c>
      <c r="M3049" s="125">
        <v>41004</v>
      </c>
      <c r="N3049" s="129" t="str">
        <f>IF(M3049&gt;1/1/1,"Y",IF(Q3049="0","","N"))</f>
        <v>Y</v>
      </c>
      <c r="O3049" s="128" t="s">
        <v>76</v>
      </c>
      <c r="P3049" s="129" t="s">
        <v>589</v>
      </c>
      <c r="Q3049" s="111">
        <f t="shared" si="2218"/>
        <v>0</v>
      </c>
      <c r="R3049" s="111">
        <f t="shared" si="2186"/>
        <v>67</v>
      </c>
      <c r="S3049" s="129">
        <v>0</v>
      </c>
      <c r="T3049" s="129">
        <v>0</v>
      </c>
      <c r="W3049" s="111"/>
      <c r="AB3049" s="131" t="s">
        <v>112</v>
      </c>
      <c r="AC3049" s="130"/>
      <c r="AD3049" s="130">
        <v>34414</v>
      </c>
      <c r="AE3049" s="128" t="s">
        <v>32</v>
      </c>
      <c r="AF3049" s="128" t="s">
        <v>40</v>
      </c>
      <c r="AG3049" s="128" t="s">
        <v>41</v>
      </c>
      <c r="AH3049" s="108" t="s">
        <v>31</v>
      </c>
      <c r="AI3049" s="128" t="s">
        <v>87</v>
      </c>
      <c r="AJ3049" s="129" t="s">
        <v>48</v>
      </c>
      <c r="AK3049" s="129">
        <v>4</v>
      </c>
      <c r="AL3049" s="3" t="s">
        <v>48</v>
      </c>
      <c r="AP3049" s="129" t="s">
        <v>56</v>
      </c>
      <c r="AR3049" s="128" t="s">
        <v>50</v>
      </c>
      <c r="AS3049" s="129" t="s">
        <v>57</v>
      </c>
      <c r="AT3049" s="129" t="s">
        <v>448</v>
      </c>
      <c r="BC3049" s="129" t="s">
        <v>52</v>
      </c>
      <c r="BF3049" s="111">
        <v>0</v>
      </c>
      <c r="BG3049" s="111">
        <v>0</v>
      </c>
      <c r="BH3049" s="111">
        <f t="shared" si="2187"/>
        <v>67</v>
      </c>
      <c r="BI3049" s="111">
        <f t="shared" si="2189"/>
        <v>18</v>
      </c>
      <c r="BJ3049" s="129" t="e">
        <f>(G3049-J3049)+(M3049-G3049)</f>
        <v>#VALUE!</v>
      </c>
      <c r="BK3049" s="129" t="e">
        <f t="shared" si="2188"/>
        <v>#VALUE!</v>
      </c>
      <c r="BL3049" s="129" t="str">
        <f t="shared" si="2181"/>
        <v>DEFERRED</v>
      </c>
      <c r="BM3049" s="129" t="s">
        <v>76</v>
      </c>
      <c r="BN3049" s="129" t="s">
        <v>88</v>
      </c>
      <c r="BP3049" s="137" t="str">
        <f t="shared" si="2191"/>
        <v>DEFERRED</v>
      </c>
      <c r="BQ3049" s="128">
        <f t="shared" si="2200"/>
        <v>0</v>
      </c>
      <c r="BR3049" s="129" t="s">
        <v>575</v>
      </c>
      <c r="BS3049" s="129" t="str">
        <f t="shared" si="2193"/>
        <v>DISPOSED</v>
      </c>
      <c r="BT3049" s="129" t="str">
        <f t="shared" si="2194"/>
        <v>N</v>
      </c>
      <c r="BU3049" s="109">
        <f t="shared" si="2195"/>
        <v>0</v>
      </c>
      <c r="BV3049" s="109">
        <v>0</v>
      </c>
      <c r="BW3049" s="109">
        <f t="shared" si="2216"/>
        <v>0</v>
      </c>
      <c r="BX3049" s="111">
        <f t="shared" si="2196"/>
        <v>0</v>
      </c>
      <c r="BY3049" s="129" t="e">
        <f t="shared" si="2202"/>
        <v>#VALUE!</v>
      </c>
      <c r="BZ3049" s="111" t="e">
        <f t="shared" si="2203"/>
        <v>#VALUE!</v>
      </c>
      <c r="CA3049" s="138" t="e">
        <f t="shared" si="2204"/>
        <v>#VALUE!</v>
      </c>
      <c r="CB3049" s="111">
        <v>0</v>
      </c>
      <c r="CC3049" s="129">
        <v>0</v>
      </c>
      <c r="CD3049" s="111">
        <f>CC3049-BF3049</f>
        <v>0</v>
      </c>
      <c r="CG3049" s="129" t="str">
        <f t="shared" si="2205"/>
        <v>N</v>
      </c>
      <c r="CI3049" s="129" t="str">
        <f t="shared" si="2207"/>
        <v>0-10 DAYS</v>
      </c>
      <c r="CJ3049" s="137">
        <f t="shared" si="2208"/>
        <v>1</v>
      </c>
      <c r="CK3049" s="129" t="str">
        <f t="shared" si="2209"/>
        <v>Not Booked</v>
      </c>
    </row>
    <row r="3050" spans="1:89" ht="15" customHeight="1" x14ac:dyDescent="0.25">
      <c r="A3050" s="111">
        <v>2488</v>
      </c>
      <c r="B3050" s="128" t="str">
        <f t="shared" si="2197"/>
        <v>N</v>
      </c>
      <c r="C3050" s="128" t="str">
        <f t="shared" si="2198"/>
        <v>N</v>
      </c>
      <c r="D3050" s="117">
        <v>2612679</v>
      </c>
      <c r="E3050" s="135">
        <f t="shared" si="2199"/>
        <v>2</v>
      </c>
      <c r="F3050" s="124">
        <v>41002</v>
      </c>
      <c r="G3050" s="125">
        <v>41120</v>
      </c>
      <c r="H3050" s="117">
        <v>2612679</v>
      </c>
      <c r="I3050" s="124">
        <v>41002</v>
      </c>
      <c r="J3050" s="124">
        <v>41004</v>
      </c>
      <c r="K3050" s="126">
        <v>2000</v>
      </c>
      <c r="L3050" s="127" t="s">
        <v>568</v>
      </c>
      <c r="M3050" s="125">
        <v>41004</v>
      </c>
      <c r="N3050" s="129" t="str">
        <f>IF(M3050&gt;1/1/1,"Y","N")</f>
        <v>Y</v>
      </c>
      <c r="O3050" s="128" t="s">
        <v>76</v>
      </c>
      <c r="P3050" s="129" t="s">
        <v>589</v>
      </c>
      <c r="Q3050" s="111">
        <f t="shared" si="2218"/>
        <v>3</v>
      </c>
      <c r="R3050" s="111">
        <f t="shared" si="2186"/>
        <v>119</v>
      </c>
      <c r="S3050" s="129">
        <v>0</v>
      </c>
      <c r="T3050" s="129">
        <v>0</v>
      </c>
      <c r="W3050" s="111"/>
      <c r="AC3050" s="130"/>
      <c r="AD3050" s="130">
        <v>28436</v>
      </c>
      <c r="AE3050" s="128" t="s">
        <v>32</v>
      </c>
      <c r="AF3050" s="128" t="s">
        <v>69</v>
      </c>
      <c r="AG3050" s="128" t="s">
        <v>874</v>
      </c>
      <c r="AH3050" s="108" t="s">
        <v>31</v>
      </c>
      <c r="AI3050" s="128" t="s">
        <v>97</v>
      </c>
      <c r="AJ3050" s="129" t="s">
        <v>48</v>
      </c>
      <c r="AK3050" s="129">
        <v>5</v>
      </c>
      <c r="AL3050" s="3" t="s">
        <v>48</v>
      </c>
      <c r="AP3050" s="129" t="s">
        <v>175</v>
      </c>
      <c r="AR3050" s="128" t="s">
        <v>44</v>
      </c>
      <c r="AS3050" s="129" t="s">
        <v>45</v>
      </c>
      <c r="BC3050" s="129" t="s">
        <v>52</v>
      </c>
      <c r="BF3050" s="111">
        <f>IF(J3050&gt;1/1/1900,((J3050+1)-I3050),"STILL OPEN")</f>
        <v>3</v>
      </c>
      <c r="BG3050" s="111">
        <f>IF(G3050&gt;1/1/1900,((G3050+1)-I3050),"STILL OPEN")</f>
        <v>119</v>
      </c>
      <c r="BH3050" s="111">
        <f t="shared" si="2187"/>
        <v>119</v>
      </c>
      <c r="BI3050" s="111">
        <f t="shared" si="2189"/>
        <v>34.333333333333336</v>
      </c>
      <c r="BJ3050" s="129">
        <f>(G3050-J3050)+(M3050-G3050)</f>
        <v>0</v>
      </c>
      <c r="BK3050" s="129">
        <f t="shared" si="2188"/>
        <v>-116</v>
      </c>
      <c r="BL3050" s="129" t="str">
        <f t="shared" si="2181"/>
        <v>DEFERRED</v>
      </c>
      <c r="BM3050" s="129" t="s">
        <v>76</v>
      </c>
      <c r="BN3050" s="129" t="s">
        <v>88</v>
      </c>
      <c r="BP3050" s="137" t="str">
        <f t="shared" si="2191"/>
        <v>DEFERRED</v>
      </c>
      <c r="BQ3050" s="128" t="str">
        <f t="shared" si="2200"/>
        <v>Y</v>
      </c>
      <c r="BR3050" s="129" t="str">
        <f t="shared" si="2192"/>
        <v>ON BOND</v>
      </c>
      <c r="BS3050" s="129" t="str">
        <f t="shared" si="2193"/>
        <v>DISPOSED</v>
      </c>
      <c r="BT3050" s="129" t="str">
        <f t="shared" si="2194"/>
        <v>N</v>
      </c>
      <c r="BU3050" s="109">
        <f t="shared" si="2195"/>
        <v>2.5210084033613446E-2</v>
      </c>
      <c r="BV3050" s="109">
        <f t="shared" si="2201"/>
        <v>2.5210084033613446E-2</v>
      </c>
      <c r="BW3050" s="109">
        <f t="shared" si="2216"/>
        <v>0</v>
      </c>
      <c r="BX3050" s="111">
        <f t="shared" si="2196"/>
        <v>0</v>
      </c>
      <c r="BY3050" s="129">
        <f t="shared" si="2202"/>
        <v>-3</v>
      </c>
      <c r="BZ3050" s="111">
        <f t="shared" si="2203"/>
        <v>0</v>
      </c>
      <c r="CA3050" s="138">
        <f t="shared" si="2204"/>
        <v>3</v>
      </c>
      <c r="CB3050" s="111" t="e">
        <f>IF(AF3050&gt;1/1/1900,((AF3050+1)-AE3050),"STILL OPEN")</f>
        <v>#VALUE!</v>
      </c>
      <c r="CC3050" s="129">
        <f>M3050-I3050+1</f>
        <v>3</v>
      </c>
      <c r="CD3050" s="111">
        <f>CC3050-BF3050</f>
        <v>0</v>
      </c>
      <c r="CG3050" s="129" t="str">
        <f t="shared" si="2205"/>
        <v>N</v>
      </c>
      <c r="CI3050" s="129" t="str">
        <f t="shared" si="2207"/>
        <v>0-10 DAYS</v>
      </c>
      <c r="CJ3050" s="137">
        <f t="shared" si="2208"/>
        <v>1</v>
      </c>
      <c r="CK3050" s="129" t="str">
        <f t="shared" si="2209"/>
        <v>Booked</v>
      </c>
    </row>
    <row r="3051" spans="1:89" ht="15.75" customHeight="1" x14ac:dyDescent="0.25">
      <c r="A3051" s="111">
        <v>2636</v>
      </c>
      <c r="B3051" s="128" t="str">
        <f t="shared" si="2197"/>
        <v>N</v>
      </c>
      <c r="C3051" s="128" t="str">
        <f t="shared" si="2198"/>
        <v>N</v>
      </c>
      <c r="D3051" s="117">
        <v>2612683</v>
      </c>
      <c r="E3051" s="135">
        <f t="shared" si="2199"/>
        <v>2</v>
      </c>
      <c r="F3051" s="124">
        <v>41006</v>
      </c>
      <c r="G3051" s="125">
        <v>41099</v>
      </c>
      <c r="H3051" s="117">
        <v>2612683</v>
      </c>
      <c r="I3051" s="124">
        <v>41006</v>
      </c>
      <c r="J3051" s="124">
        <v>41099</v>
      </c>
      <c r="K3051" s="126">
        <v>10000</v>
      </c>
      <c r="L3051" s="127" t="s">
        <v>570</v>
      </c>
      <c r="N3051" s="129" t="str">
        <f>IF(M3051&gt;1/1/1,"Y","N")</f>
        <v>N</v>
      </c>
      <c r="O3051" s="128" t="s">
        <v>917</v>
      </c>
      <c r="P3051" s="129" t="s">
        <v>589</v>
      </c>
      <c r="Q3051" s="111">
        <f t="shared" si="2218"/>
        <v>94</v>
      </c>
      <c r="R3051" s="111">
        <f t="shared" si="2186"/>
        <v>94</v>
      </c>
      <c r="S3051" s="129">
        <v>0</v>
      </c>
      <c r="T3051" s="129">
        <v>0</v>
      </c>
      <c r="W3051" s="111"/>
      <c r="AB3051" s="131" t="s">
        <v>112</v>
      </c>
      <c r="AC3051" s="130"/>
      <c r="AD3051" s="130">
        <v>34726</v>
      </c>
      <c r="AE3051" s="128" t="s">
        <v>32</v>
      </c>
      <c r="AF3051" s="128" t="s">
        <v>40</v>
      </c>
      <c r="AG3051" s="128" t="s">
        <v>41</v>
      </c>
      <c r="AH3051" s="108" t="s">
        <v>31</v>
      </c>
      <c r="AI3051" s="128" t="s">
        <v>90</v>
      </c>
      <c r="AJ3051" s="129" t="s">
        <v>48</v>
      </c>
      <c r="AK3051" s="129">
        <v>6</v>
      </c>
      <c r="AL3051" s="3" t="s">
        <v>48</v>
      </c>
      <c r="AP3051" s="129" t="s">
        <v>56</v>
      </c>
      <c r="AR3051" s="128" t="s">
        <v>50</v>
      </c>
      <c r="AS3051" s="129" t="s">
        <v>57</v>
      </c>
      <c r="BC3051" s="129" t="s">
        <v>52</v>
      </c>
      <c r="BF3051" s="111">
        <f>IF(J3051&gt;1/1/1900,((J3051+1)-I3051),"STILL OPEN")</f>
        <v>94</v>
      </c>
      <c r="BG3051" s="111">
        <f>IF(G3051&gt;1/1/1900,((G3051+1)-I3051),"STILL OPEN")</f>
        <v>94</v>
      </c>
      <c r="BH3051" s="111">
        <f t="shared" si="2187"/>
        <v>94</v>
      </c>
      <c r="BI3051" s="111">
        <f t="shared" si="2189"/>
        <v>17.15846994535519</v>
      </c>
      <c r="BJ3051" s="129">
        <f>G3051-J3051-M3051</f>
        <v>0</v>
      </c>
      <c r="BK3051" s="129">
        <f t="shared" si="2188"/>
        <v>0</v>
      </c>
      <c r="BL3051" s="129" t="str">
        <f t="shared" si="2181"/>
        <v>DEFERRED</v>
      </c>
      <c r="BM3051" s="129" t="str">
        <f t="shared" si="2190"/>
        <v>NONE</v>
      </c>
      <c r="BN3051" s="129" t="s">
        <v>566</v>
      </c>
      <c r="BP3051" s="137" t="str">
        <f t="shared" si="2191"/>
        <v>DEFERRED</v>
      </c>
      <c r="BQ3051" s="128" t="str">
        <f t="shared" si="2200"/>
        <v>Y</v>
      </c>
      <c r="BR3051" s="129" t="str">
        <f t="shared" si="2192"/>
        <v>DETAINED</v>
      </c>
      <c r="BS3051" s="129" t="str">
        <f t="shared" si="2193"/>
        <v>DISPOSED</v>
      </c>
      <c r="BT3051" s="129" t="str">
        <f t="shared" si="2194"/>
        <v>N</v>
      </c>
      <c r="BU3051" s="109">
        <f t="shared" si="2195"/>
        <v>1</v>
      </c>
      <c r="BV3051" s="109">
        <f t="shared" si="2201"/>
        <v>1</v>
      </c>
      <c r="BW3051" s="109">
        <f t="shared" si="2216"/>
        <v>0</v>
      </c>
      <c r="BX3051" s="111">
        <f t="shared" si="2196"/>
        <v>0</v>
      </c>
      <c r="BY3051" s="129">
        <f t="shared" si="2202"/>
        <v>-94</v>
      </c>
      <c r="BZ3051" s="111">
        <f t="shared" si="2203"/>
        <v>0</v>
      </c>
      <c r="CA3051" s="138">
        <f t="shared" si="2204"/>
        <v>94</v>
      </c>
      <c r="CB3051" s="111" t="e">
        <f>IF(AF3051&gt;1/1/1900,((AF3051+1)-AE3051),"STILL OPEN")</f>
        <v>#VALUE!</v>
      </c>
      <c r="CC3051" s="129">
        <f>G3051-I3051+1</f>
        <v>94</v>
      </c>
      <c r="CD3051" s="129">
        <f>G3051-J3051</f>
        <v>0</v>
      </c>
      <c r="CG3051" s="129" t="str">
        <f t="shared" si="2205"/>
        <v>N</v>
      </c>
      <c r="CI3051" s="129" t="str">
        <f t="shared" si="2207"/>
        <v>91-120 DAYS</v>
      </c>
      <c r="CJ3051" s="137">
        <f t="shared" si="2208"/>
        <v>0</v>
      </c>
      <c r="CK3051" s="129" t="str">
        <f t="shared" si="2209"/>
        <v>Booked</v>
      </c>
    </row>
    <row r="3052" spans="1:89" ht="15" customHeight="1" x14ac:dyDescent="0.25">
      <c r="A3052" s="111">
        <v>2491</v>
      </c>
      <c r="B3052" s="128" t="str">
        <f t="shared" si="2197"/>
        <v>N</v>
      </c>
      <c r="C3052" s="128" t="str">
        <f t="shared" si="2198"/>
        <v>N</v>
      </c>
      <c r="D3052" s="117">
        <v>2612684</v>
      </c>
      <c r="E3052" s="135">
        <f t="shared" si="2199"/>
        <v>1</v>
      </c>
      <c r="F3052" s="124">
        <v>41002</v>
      </c>
      <c r="G3052" s="125">
        <v>41009</v>
      </c>
      <c r="H3052" s="117">
        <v>2612684</v>
      </c>
      <c r="I3052" s="124">
        <v>41002</v>
      </c>
      <c r="J3052" s="124">
        <v>41005</v>
      </c>
      <c r="K3052" s="126">
        <v>5000</v>
      </c>
      <c r="L3052" s="127" t="s">
        <v>569</v>
      </c>
      <c r="M3052" s="125">
        <v>41005</v>
      </c>
      <c r="N3052" s="129" t="str">
        <f>IF(M3052&gt;1/1/1,"Y","N")</f>
        <v>Y</v>
      </c>
      <c r="O3052" s="128" t="s">
        <v>76</v>
      </c>
      <c r="P3052" s="129" t="s">
        <v>55</v>
      </c>
      <c r="Q3052" s="111">
        <f t="shared" si="2218"/>
        <v>4</v>
      </c>
      <c r="R3052" s="111">
        <f t="shared" si="2186"/>
        <v>8</v>
      </c>
      <c r="S3052" s="129">
        <v>0</v>
      </c>
      <c r="T3052" s="129">
        <v>0</v>
      </c>
      <c r="W3052" s="111"/>
      <c r="AC3052" s="130"/>
      <c r="AD3052" s="130">
        <v>34401</v>
      </c>
      <c r="AE3052" s="128" t="s">
        <v>32</v>
      </c>
      <c r="AF3052" s="128" t="s">
        <v>33</v>
      </c>
      <c r="AG3052" s="128" t="s">
        <v>872</v>
      </c>
      <c r="AH3052" s="108" t="s">
        <v>31</v>
      </c>
      <c r="AI3052" s="128" t="s">
        <v>80</v>
      </c>
      <c r="AJ3052" s="129" t="s">
        <v>55</v>
      </c>
      <c r="AK3052" s="129">
        <v>2</v>
      </c>
      <c r="AL3052" s="3" t="s">
        <v>55</v>
      </c>
      <c r="AP3052" s="129" t="s">
        <v>148</v>
      </c>
      <c r="AR3052" s="128" t="s">
        <v>67</v>
      </c>
      <c r="AS3052" s="129" t="s">
        <v>45</v>
      </c>
      <c r="BC3052" s="129" t="s">
        <v>52</v>
      </c>
      <c r="BF3052" s="111">
        <f>IF(J3052&gt;1/1/1900,((J3052+1)-I3052),"STILL OPEN")</f>
        <v>4</v>
      </c>
      <c r="BG3052" s="111">
        <f>IF(G3052&gt;1/1/1900,((G3052+1)-I3052),"STILL OPEN")</f>
        <v>8</v>
      </c>
      <c r="BH3052" s="111">
        <f t="shared" si="2187"/>
        <v>8</v>
      </c>
      <c r="BI3052" s="111">
        <f t="shared" si="2189"/>
        <v>18.035519125683059</v>
      </c>
      <c r="BJ3052" s="129">
        <f>(G3052-J3052)+(M3052-G3052)</f>
        <v>0</v>
      </c>
      <c r="BK3052" s="129">
        <f t="shared" si="2188"/>
        <v>-4</v>
      </c>
      <c r="BL3052" s="129" t="str">
        <f t="shared" si="2181"/>
        <v>NO CONVICTION</v>
      </c>
      <c r="BM3052" s="129" t="s">
        <v>76</v>
      </c>
      <c r="BN3052" s="129" t="s">
        <v>88</v>
      </c>
      <c r="BP3052" s="137" t="str">
        <f t="shared" si="2191"/>
        <v>NO CONVICTION</v>
      </c>
      <c r="BQ3052" s="128" t="str">
        <f t="shared" si="2200"/>
        <v>Y</v>
      </c>
      <c r="BR3052" s="129" t="str">
        <f t="shared" si="2192"/>
        <v>ON BOND</v>
      </c>
      <c r="BS3052" s="129" t="str">
        <f t="shared" si="2193"/>
        <v>DISPOSED</v>
      </c>
      <c r="BT3052" s="129" t="str">
        <f t="shared" si="2194"/>
        <v>N</v>
      </c>
      <c r="BU3052" s="109">
        <f>IFERROR(Q3052/R3052,BR3052)</f>
        <v>0.5</v>
      </c>
      <c r="BV3052" s="109">
        <f t="shared" si="2201"/>
        <v>0.5</v>
      </c>
      <c r="BW3052" s="109">
        <f t="shared" si="2216"/>
        <v>0</v>
      </c>
      <c r="BX3052" s="111">
        <f t="shared" si="2196"/>
        <v>0</v>
      </c>
      <c r="BY3052" s="129">
        <f t="shared" si="2202"/>
        <v>-4</v>
      </c>
      <c r="BZ3052" s="111">
        <f t="shared" si="2203"/>
        <v>0</v>
      </c>
      <c r="CA3052" s="138">
        <f t="shared" si="2204"/>
        <v>4</v>
      </c>
      <c r="CB3052" s="111" t="e">
        <f>IF(AF3052&gt;1/1/1900,((AF3052+1)-AE3052),"STILL OPEN")</f>
        <v>#VALUE!</v>
      </c>
      <c r="CC3052" s="129">
        <f>M3052-I3052+1</f>
        <v>4</v>
      </c>
      <c r="CD3052" s="111">
        <f>CC3052-BF3052</f>
        <v>0</v>
      </c>
      <c r="CG3052" s="129" t="str">
        <f t="shared" si="2205"/>
        <v>N</v>
      </c>
      <c r="CI3052" s="129" t="str">
        <f t="shared" si="2207"/>
        <v>0-10 DAYS</v>
      </c>
      <c r="CJ3052" s="137">
        <f t="shared" si="2208"/>
        <v>1</v>
      </c>
      <c r="CK3052" s="129" t="str">
        <f t="shared" si="2209"/>
        <v>Booked</v>
      </c>
    </row>
    <row r="3053" spans="1:89" ht="15" customHeight="1" x14ac:dyDescent="0.25">
      <c r="A3053" s="111">
        <v>2494</v>
      </c>
      <c r="B3053" s="128" t="str">
        <f t="shared" si="2197"/>
        <v>N</v>
      </c>
      <c r="C3053" s="128" t="str">
        <f t="shared" si="2198"/>
        <v>N</v>
      </c>
      <c r="D3053" s="117">
        <v>2612700</v>
      </c>
      <c r="E3053" s="135">
        <f t="shared" si="2199"/>
        <v>1</v>
      </c>
      <c r="F3053" s="124">
        <v>41002</v>
      </c>
      <c r="G3053" s="125">
        <v>41065</v>
      </c>
      <c r="H3053" s="117">
        <v>2612700</v>
      </c>
      <c r="I3053" s="124">
        <v>41003</v>
      </c>
      <c r="J3053" s="124">
        <v>41003</v>
      </c>
      <c r="K3053" s="126">
        <v>2000</v>
      </c>
      <c r="L3053" s="127" t="s">
        <v>568</v>
      </c>
      <c r="M3053" s="125">
        <v>41003</v>
      </c>
      <c r="N3053" s="129" t="str">
        <f>IF(M3053&gt;1/1/1,"Y","N")</f>
        <v>Y</v>
      </c>
      <c r="O3053" s="112" t="s">
        <v>160</v>
      </c>
      <c r="P3053" s="129" t="s">
        <v>55</v>
      </c>
      <c r="Q3053" s="111">
        <f t="shared" si="2218"/>
        <v>1</v>
      </c>
      <c r="R3053" s="111">
        <f t="shared" si="2186"/>
        <v>64</v>
      </c>
      <c r="S3053" s="129">
        <v>0</v>
      </c>
      <c r="T3053" s="129">
        <v>0</v>
      </c>
      <c r="W3053" s="111"/>
      <c r="AC3053" s="130"/>
      <c r="AD3053" s="130">
        <v>32788</v>
      </c>
      <c r="AE3053" s="128" t="s">
        <v>32</v>
      </c>
      <c r="AF3053" s="128" t="s">
        <v>69</v>
      </c>
      <c r="AG3053" s="128" t="s">
        <v>874</v>
      </c>
      <c r="AH3053" s="108" t="s">
        <v>31</v>
      </c>
      <c r="AI3053" s="128" t="s">
        <v>100</v>
      </c>
      <c r="AJ3053" s="129" t="s">
        <v>55</v>
      </c>
      <c r="AK3053" s="129">
        <v>3</v>
      </c>
      <c r="AL3053" s="3" t="s">
        <v>55</v>
      </c>
      <c r="AP3053" s="129" t="s">
        <v>103</v>
      </c>
      <c r="AR3053" s="128" t="s">
        <v>44</v>
      </c>
      <c r="AS3053" s="129" t="s">
        <v>45</v>
      </c>
      <c r="BC3053" s="129" t="s">
        <v>52</v>
      </c>
      <c r="BF3053" s="111">
        <f>IF(J3053&gt;1/1/1900,((J3053+1)-I3053),"STILL OPEN")</f>
        <v>1</v>
      </c>
      <c r="BG3053" s="111">
        <f>IF(G3053&gt;1/1/1900,((G3053+1)-I3053),"STILL OPEN")</f>
        <v>63</v>
      </c>
      <c r="BH3053" s="111">
        <f t="shared" si="2187"/>
        <v>64</v>
      </c>
      <c r="BI3053" s="111">
        <f t="shared" si="2189"/>
        <v>22.442622950819672</v>
      </c>
      <c r="BJ3053" s="129">
        <f>(G3053-J3053)+(M3053-G3053)</f>
        <v>0</v>
      </c>
      <c r="BK3053" s="129">
        <f t="shared" si="2188"/>
        <v>-62</v>
      </c>
      <c r="BL3053" s="129" t="str">
        <f t="shared" si="2181"/>
        <v>NO CONVICTION</v>
      </c>
      <c r="BM3053" s="129" t="s">
        <v>160</v>
      </c>
      <c r="BN3053" s="129" t="s">
        <v>88</v>
      </c>
      <c r="BP3053" s="137" t="str">
        <f t="shared" si="2191"/>
        <v>NO CONVICTION</v>
      </c>
      <c r="BQ3053" s="128" t="str">
        <f t="shared" si="2200"/>
        <v>Y</v>
      </c>
      <c r="BR3053" s="129" t="str">
        <f t="shared" si="2192"/>
        <v>ON BOND</v>
      </c>
      <c r="BS3053" s="129" t="str">
        <f t="shared" si="2193"/>
        <v>DISPOSED</v>
      </c>
      <c r="BT3053" s="129" t="str">
        <f t="shared" si="2194"/>
        <v>N</v>
      </c>
      <c r="BU3053" s="109">
        <f>IFERROR(Q3053/R3053,BR3053)</f>
        <v>1.5625E-2</v>
      </c>
      <c r="BV3053" s="109">
        <f t="shared" si="2201"/>
        <v>1.5873015873015872E-2</v>
      </c>
      <c r="BW3053" s="109">
        <f t="shared" si="2216"/>
        <v>2.4801587301587213E-4</v>
      </c>
      <c r="BX3053" s="111">
        <f t="shared" si="2196"/>
        <v>0</v>
      </c>
      <c r="BY3053" s="129">
        <f t="shared" si="2202"/>
        <v>-1</v>
      </c>
      <c r="BZ3053" s="111">
        <f t="shared" si="2203"/>
        <v>0</v>
      </c>
      <c r="CA3053" s="138">
        <f t="shared" si="2204"/>
        <v>1</v>
      </c>
      <c r="CB3053" s="111" t="e">
        <f>IF(AF3053&gt;1/1/1900,((AF3053+1)-AE3053),"STILL OPEN")</f>
        <v>#VALUE!</v>
      </c>
      <c r="CC3053" s="129">
        <f>M3053-I3053+1</f>
        <v>1</v>
      </c>
      <c r="CD3053" s="111">
        <f>CC3053-BF3053</f>
        <v>0</v>
      </c>
      <c r="CG3053" s="129" t="str">
        <f t="shared" si="2205"/>
        <v>N</v>
      </c>
      <c r="CI3053" s="129" t="str">
        <f t="shared" si="2207"/>
        <v>0-10 DAYS</v>
      </c>
      <c r="CJ3053" s="137">
        <f t="shared" si="2208"/>
        <v>1</v>
      </c>
      <c r="CK3053" s="129" t="str">
        <f t="shared" si="2209"/>
        <v>Booked</v>
      </c>
    </row>
    <row r="3054" spans="1:89" ht="15" customHeight="1" x14ac:dyDescent="0.25">
      <c r="A3054" s="111">
        <v>2501</v>
      </c>
      <c r="B3054" s="128" t="str">
        <f t="shared" si="2197"/>
        <v>N</v>
      </c>
      <c r="C3054" s="128" t="str">
        <f t="shared" si="2198"/>
        <v>N</v>
      </c>
      <c r="D3054" s="117">
        <v>2612727</v>
      </c>
      <c r="E3054" s="135">
        <f t="shared" si="2199"/>
        <v>1</v>
      </c>
      <c r="F3054" s="124">
        <v>41003</v>
      </c>
      <c r="G3054" s="125">
        <v>41004</v>
      </c>
      <c r="H3054" s="117">
        <v>2612727</v>
      </c>
      <c r="I3054" s="124">
        <v>41003</v>
      </c>
      <c r="J3054" s="124">
        <v>41004</v>
      </c>
      <c r="K3054" s="126">
        <v>2000</v>
      </c>
      <c r="L3054" s="127" t="s">
        <v>568</v>
      </c>
      <c r="N3054" s="129" t="str">
        <f>IF(M3054&gt;1/1/1,"Y","N")</f>
        <v>N</v>
      </c>
      <c r="O3054" s="128" t="s">
        <v>917</v>
      </c>
      <c r="P3054" s="129" t="s">
        <v>55</v>
      </c>
      <c r="Q3054" s="111">
        <f t="shared" si="2218"/>
        <v>2</v>
      </c>
      <c r="R3054" s="111">
        <f t="shared" si="2186"/>
        <v>2</v>
      </c>
      <c r="S3054" s="129">
        <v>0</v>
      </c>
      <c r="T3054" s="129">
        <v>0</v>
      </c>
      <c r="W3054" s="111"/>
      <c r="AC3054" s="130"/>
      <c r="AD3054" s="130">
        <v>32044</v>
      </c>
      <c r="AE3054" s="128" t="s">
        <v>32</v>
      </c>
      <c r="AF3054" s="128" t="s">
        <v>33</v>
      </c>
      <c r="AG3054" s="128" t="s">
        <v>872</v>
      </c>
      <c r="AH3054" s="108" t="s">
        <v>31</v>
      </c>
      <c r="AI3054" s="128" t="s">
        <v>72</v>
      </c>
      <c r="AJ3054" s="129" t="s">
        <v>55</v>
      </c>
      <c r="AK3054" s="129">
        <v>1</v>
      </c>
      <c r="AL3054" s="3" t="s">
        <v>55</v>
      </c>
      <c r="AP3054" s="129" t="s">
        <v>43</v>
      </c>
      <c r="AR3054" s="128" t="s">
        <v>44</v>
      </c>
      <c r="AS3054" s="129" t="s">
        <v>45</v>
      </c>
      <c r="BC3054" s="129" t="s">
        <v>79</v>
      </c>
      <c r="BF3054" s="111">
        <f>IF(J3054&gt;1/1/1900,((J3054+1)-I3054),"STILL OPEN")</f>
        <v>2</v>
      </c>
      <c r="BG3054" s="111">
        <f>IF(G3054&gt;1/1/1900,((G3054+1)-I3054),"STILL OPEN")</f>
        <v>2</v>
      </c>
      <c r="BH3054" s="111">
        <f t="shared" si="2187"/>
        <v>2</v>
      </c>
      <c r="BI3054" s="111">
        <f t="shared" si="2189"/>
        <v>24.478142076502731</v>
      </c>
      <c r="BJ3054" s="129">
        <f>G3054-J3054-M3054</f>
        <v>0</v>
      </c>
      <c r="BK3054" s="129">
        <f t="shared" si="2188"/>
        <v>0</v>
      </c>
      <c r="BL3054" s="129" t="str">
        <f t="shared" si="2181"/>
        <v>NO CONVICTION</v>
      </c>
      <c r="BM3054" s="129" t="str">
        <f t="shared" si="2190"/>
        <v>NONE</v>
      </c>
      <c r="BN3054" s="129" t="s">
        <v>566</v>
      </c>
      <c r="BP3054" s="137" t="str">
        <f t="shared" si="2191"/>
        <v>NO CONVICTION</v>
      </c>
      <c r="BQ3054" s="128" t="str">
        <f t="shared" si="2200"/>
        <v>Y</v>
      </c>
      <c r="BR3054" s="129" t="str">
        <f t="shared" si="2192"/>
        <v>DETAINED</v>
      </c>
      <c r="BS3054" s="129" t="str">
        <f t="shared" si="2193"/>
        <v>DISPOSED</v>
      </c>
      <c r="BT3054" s="129" t="str">
        <f t="shared" si="2194"/>
        <v>N</v>
      </c>
      <c r="BU3054" s="109">
        <f>IFERROR(Q3054/R3054,BR3054)</f>
        <v>1</v>
      </c>
      <c r="BV3054" s="109">
        <f t="shared" si="2201"/>
        <v>1</v>
      </c>
      <c r="BW3054" s="109">
        <f t="shared" si="2216"/>
        <v>0</v>
      </c>
      <c r="BX3054" s="111">
        <f t="shared" si="2196"/>
        <v>0</v>
      </c>
      <c r="BY3054" s="129">
        <f t="shared" si="2202"/>
        <v>-2</v>
      </c>
      <c r="BZ3054" s="111">
        <f t="shared" si="2203"/>
        <v>0</v>
      </c>
      <c r="CA3054" s="138">
        <f t="shared" si="2204"/>
        <v>2</v>
      </c>
      <c r="CB3054" s="111" t="e">
        <f>IF(AF3054&gt;1/1/1900,((AF3054+1)-AE3054),"STILL OPEN")</f>
        <v>#VALUE!</v>
      </c>
      <c r="CC3054" s="129">
        <f>G3054-I3054+1</f>
        <v>2</v>
      </c>
      <c r="CD3054" s="129">
        <f>G3054-J3054</f>
        <v>0</v>
      </c>
      <c r="CG3054" s="129" t="str">
        <f t="shared" si="2205"/>
        <v>N</v>
      </c>
      <c r="CI3054" s="129" t="str">
        <f t="shared" si="2207"/>
        <v>0-10 DAYS</v>
      </c>
      <c r="CJ3054" s="137">
        <f t="shared" si="2208"/>
        <v>1</v>
      </c>
      <c r="CK3054" s="129" t="str">
        <f t="shared" si="2209"/>
        <v>Booked</v>
      </c>
    </row>
    <row r="3055" spans="1:89" ht="15.75" customHeight="1" x14ac:dyDescent="0.25">
      <c r="A3055" s="111">
        <v>2512</v>
      </c>
      <c r="B3055" s="128" t="str">
        <f t="shared" si="2197"/>
        <v>N</v>
      </c>
      <c r="C3055" s="128" t="str">
        <f t="shared" si="2198"/>
        <v>N</v>
      </c>
      <c r="D3055" s="117">
        <v>2612778</v>
      </c>
      <c r="E3055" s="135">
        <f t="shared" si="2199"/>
        <v>1</v>
      </c>
      <c r="F3055" s="124">
        <v>41003</v>
      </c>
      <c r="G3055" s="125">
        <v>41087</v>
      </c>
      <c r="H3055" s="117">
        <v>2612778</v>
      </c>
      <c r="I3055" s="124" t="s">
        <v>562</v>
      </c>
      <c r="J3055" s="124" t="s">
        <v>562</v>
      </c>
      <c r="K3055" s="126">
        <v>2000</v>
      </c>
      <c r="L3055" s="127" t="s">
        <v>568</v>
      </c>
      <c r="M3055" s="125">
        <v>41004</v>
      </c>
      <c r="N3055" s="129" t="str">
        <f>IF(M3055&gt;1/1/1,"Y",IF(Q3055="0","","N"))</f>
        <v>Y</v>
      </c>
      <c r="O3055" s="128" t="s">
        <v>76</v>
      </c>
      <c r="P3055" s="129" t="s">
        <v>123</v>
      </c>
      <c r="Q3055" s="111">
        <f t="shared" si="2218"/>
        <v>0</v>
      </c>
      <c r="R3055" s="111">
        <f t="shared" si="2186"/>
        <v>85</v>
      </c>
      <c r="S3055" s="129">
        <v>0</v>
      </c>
      <c r="T3055" s="129">
        <v>0</v>
      </c>
      <c r="W3055" s="111"/>
      <c r="AC3055" s="130"/>
      <c r="AD3055" s="130">
        <v>34562</v>
      </c>
      <c r="AE3055" s="128" t="s">
        <v>32</v>
      </c>
      <c r="AF3055" s="128" t="s">
        <v>69</v>
      </c>
      <c r="AG3055" s="128" t="s">
        <v>874</v>
      </c>
      <c r="AH3055" s="108" t="s">
        <v>31</v>
      </c>
      <c r="AI3055" s="128" t="s">
        <v>83</v>
      </c>
      <c r="AJ3055" s="129" t="s">
        <v>123</v>
      </c>
      <c r="AK3055" s="129">
        <v>4</v>
      </c>
      <c r="AL3055" s="3" t="s">
        <v>123</v>
      </c>
      <c r="AP3055" s="129" t="s">
        <v>104</v>
      </c>
      <c r="AR3055" s="128" t="s">
        <v>44</v>
      </c>
      <c r="AS3055" s="129" t="s">
        <v>64</v>
      </c>
      <c r="BC3055" s="129" t="s">
        <v>52</v>
      </c>
      <c r="BF3055" s="111">
        <v>0</v>
      </c>
      <c r="BG3055" s="111">
        <v>0</v>
      </c>
      <c r="BH3055" s="111">
        <f t="shared" si="2187"/>
        <v>85</v>
      </c>
      <c r="BI3055" s="111">
        <f t="shared" si="2189"/>
        <v>17.598360655737704</v>
      </c>
      <c r="BJ3055" s="129" t="e">
        <f>(G3055-J3055)+(M3055-G3055)</f>
        <v>#VALUE!</v>
      </c>
      <c r="BK3055" s="129" t="e">
        <f t="shared" si="2188"/>
        <v>#VALUE!</v>
      </c>
      <c r="BL3055" s="129" t="str">
        <f t="shared" si="2181"/>
        <v>NO CONVICTION</v>
      </c>
      <c r="BM3055" s="129" t="s">
        <v>76</v>
      </c>
      <c r="BN3055" s="129" t="s">
        <v>88</v>
      </c>
      <c r="BP3055" s="137" t="str">
        <f t="shared" si="2191"/>
        <v>NO CONVICTION</v>
      </c>
      <c r="BQ3055" s="128">
        <f t="shared" si="2200"/>
        <v>0</v>
      </c>
      <c r="BR3055" s="129" t="s">
        <v>575</v>
      </c>
      <c r="BS3055" s="129" t="str">
        <f t="shared" si="2193"/>
        <v>DISPOSED</v>
      </c>
      <c r="BT3055" s="129" t="str">
        <f t="shared" si="2194"/>
        <v>N</v>
      </c>
      <c r="BU3055" s="109">
        <f>IFERROR(Q3055/R3055,BR3055)</f>
        <v>0</v>
      </c>
      <c r="BV3055" s="109">
        <v>0</v>
      </c>
      <c r="BW3055" s="109">
        <f t="shared" si="2216"/>
        <v>0</v>
      </c>
      <c r="BX3055" s="111">
        <f t="shared" si="2196"/>
        <v>0</v>
      </c>
      <c r="BY3055" s="129" t="e">
        <f t="shared" si="2202"/>
        <v>#VALUE!</v>
      </c>
      <c r="BZ3055" s="111" t="e">
        <f t="shared" si="2203"/>
        <v>#VALUE!</v>
      </c>
      <c r="CA3055" s="138" t="e">
        <f t="shared" si="2204"/>
        <v>#VALUE!</v>
      </c>
      <c r="CB3055" s="111">
        <v>0</v>
      </c>
      <c r="CC3055" s="129">
        <v>0</v>
      </c>
      <c r="CD3055" s="111">
        <f>CC3055-BF3055</f>
        <v>0</v>
      </c>
      <c r="CG3055" s="129" t="str">
        <f t="shared" si="2205"/>
        <v>N</v>
      </c>
      <c r="CI3055" s="129" t="str">
        <f t="shared" si="2207"/>
        <v>0-10 DAYS</v>
      </c>
      <c r="CJ3055" s="137">
        <f t="shared" si="2208"/>
        <v>1</v>
      </c>
      <c r="CK3055" s="129" t="str">
        <f t="shared" si="2209"/>
        <v>Not Booked</v>
      </c>
    </row>
    <row r="3056" spans="1:89" ht="15.75" customHeight="1" x14ac:dyDescent="0.25">
      <c r="A3056" s="111">
        <v>2513</v>
      </c>
      <c r="B3056" s="128" t="str">
        <f t="shared" si="2197"/>
        <v>N</v>
      </c>
      <c r="C3056" s="128" t="str">
        <f t="shared" si="2198"/>
        <v>N</v>
      </c>
      <c r="D3056" s="117">
        <v>2612781</v>
      </c>
      <c r="E3056" s="135">
        <f t="shared" si="2199"/>
        <v>5</v>
      </c>
      <c r="F3056" s="124">
        <v>41003</v>
      </c>
      <c r="G3056" s="125">
        <v>41043</v>
      </c>
      <c r="H3056" s="117">
        <v>2612781</v>
      </c>
      <c r="I3056" s="124">
        <v>41039</v>
      </c>
      <c r="J3056" s="124">
        <v>41043</v>
      </c>
      <c r="K3056" s="126">
        <v>20000</v>
      </c>
      <c r="L3056" s="127" t="s">
        <v>571</v>
      </c>
      <c r="N3056" s="129" t="str">
        <f>IF(M3056&gt;1/1/1,"Y","N")</f>
        <v>N</v>
      </c>
      <c r="O3056" s="128" t="s">
        <v>917</v>
      </c>
      <c r="P3056" s="129" t="s">
        <v>39</v>
      </c>
      <c r="Q3056" s="111">
        <f t="shared" si="2218"/>
        <v>5</v>
      </c>
      <c r="R3056" s="111">
        <f t="shared" si="2186"/>
        <v>41</v>
      </c>
      <c r="S3056" s="129">
        <v>0</v>
      </c>
      <c r="T3056" s="129">
        <v>0</v>
      </c>
      <c r="W3056" s="111"/>
      <c r="AC3056" s="130"/>
      <c r="AD3056" s="130">
        <v>25580</v>
      </c>
      <c r="AE3056" s="128" t="s">
        <v>32</v>
      </c>
      <c r="AF3056" s="128" t="s">
        <v>69</v>
      </c>
      <c r="AG3056" s="128" t="s">
        <v>874</v>
      </c>
      <c r="AH3056" s="108" t="s">
        <v>31</v>
      </c>
      <c r="AI3056" s="128" t="s">
        <v>62</v>
      </c>
      <c r="AJ3056" s="129" t="s">
        <v>89</v>
      </c>
      <c r="AK3056" s="129">
        <v>2</v>
      </c>
      <c r="AL3056" s="3" t="s">
        <v>992</v>
      </c>
      <c r="AN3056" s="117">
        <v>6</v>
      </c>
      <c r="AP3056" s="129" t="s">
        <v>142</v>
      </c>
      <c r="AR3056" s="128" t="s">
        <v>44</v>
      </c>
      <c r="AS3056" s="129" t="s">
        <v>64</v>
      </c>
      <c r="BC3056" s="129" t="s">
        <v>38</v>
      </c>
      <c r="BF3056" s="111">
        <f>IF(J3056&gt;1/1/1900,((J3056+1)-I3056),"STILL OPEN")</f>
        <v>5</v>
      </c>
      <c r="BG3056" s="111">
        <f>IF(G3056&gt;1/1/1900,((G3056+1)-I3056),"STILL OPEN")</f>
        <v>5</v>
      </c>
      <c r="BH3056" s="111">
        <f t="shared" si="2187"/>
        <v>41</v>
      </c>
      <c r="BI3056" s="111">
        <f t="shared" si="2189"/>
        <v>42.139344262295083</v>
      </c>
      <c r="BJ3056" s="129">
        <f>G3056-J3056-M3056</f>
        <v>0</v>
      </c>
      <c r="BK3056" s="129">
        <f t="shared" si="2188"/>
        <v>0</v>
      </c>
      <c r="BL3056" s="129" t="str">
        <f t="shared" si="2181"/>
        <v>CONVICTION</v>
      </c>
      <c r="BM3056" s="129" t="str">
        <f t="shared" si="2190"/>
        <v>NONE</v>
      </c>
      <c r="BN3056" s="129" t="s">
        <v>566</v>
      </c>
      <c r="BP3056" s="137" t="str">
        <f t="shared" si="2191"/>
        <v>CONVICTION</v>
      </c>
      <c r="BQ3056" s="128" t="str">
        <f t="shared" si="2200"/>
        <v>Y</v>
      </c>
      <c r="BR3056" s="129" t="str">
        <f t="shared" si="2192"/>
        <v>DETAINED</v>
      </c>
      <c r="BS3056" s="129" t="str">
        <f t="shared" si="2193"/>
        <v>DISPOSED</v>
      </c>
      <c r="BT3056" s="129" t="str">
        <f t="shared" si="2194"/>
        <v>N</v>
      </c>
      <c r="BU3056" s="109">
        <f t="shared" si="2195"/>
        <v>0.12195121951219512</v>
      </c>
      <c r="BV3056" s="109">
        <f t="shared" si="2201"/>
        <v>1</v>
      </c>
      <c r="BW3056" s="109">
        <f t="shared" si="2216"/>
        <v>0.87804878048780488</v>
      </c>
      <c r="BX3056" s="111">
        <f t="shared" si="2196"/>
        <v>0</v>
      </c>
      <c r="BY3056" s="129">
        <f t="shared" si="2202"/>
        <v>-5</v>
      </c>
      <c r="BZ3056" s="111">
        <f t="shared" si="2203"/>
        <v>0</v>
      </c>
      <c r="CA3056" s="138">
        <f t="shared" si="2204"/>
        <v>5</v>
      </c>
      <c r="CB3056" s="111" t="e">
        <f>IF(AF3056&gt;1/1/1900,((AF3056+1)-AE3056),"STILL OPEN")</f>
        <v>#VALUE!</v>
      </c>
      <c r="CC3056" s="129">
        <f>G3056-I3056+1</f>
        <v>5</v>
      </c>
      <c r="CD3056" s="129">
        <f>G3056-J3056</f>
        <v>0</v>
      </c>
      <c r="CG3056" s="129" t="str">
        <f t="shared" si="2205"/>
        <v>N</v>
      </c>
      <c r="CI3056" s="129" t="str">
        <f t="shared" si="2207"/>
        <v>0-10 DAYS</v>
      </c>
      <c r="CJ3056" s="137">
        <f t="shared" si="2208"/>
        <v>1</v>
      </c>
      <c r="CK3056" s="129" t="str">
        <f t="shared" si="2209"/>
        <v>Booked</v>
      </c>
    </row>
    <row r="3057" spans="1:89" ht="15.75" customHeight="1" x14ac:dyDescent="0.25">
      <c r="A3057" s="111">
        <v>2516</v>
      </c>
      <c r="B3057" s="128" t="str">
        <f t="shared" si="2197"/>
        <v>N</v>
      </c>
      <c r="C3057" s="128" t="str">
        <f t="shared" si="2198"/>
        <v>N</v>
      </c>
      <c r="D3057" s="117">
        <v>2612801</v>
      </c>
      <c r="E3057" s="135">
        <f t="shared" si="2199"/>
        <v>1</v>
      </c>
      <c r="F3057" s="124">
        <v>41003</v>
      </c>
      <c r="G3057" s="125">
        <v>41059</v>
      </c>
      <c r="H3057" s="117">
        <v>2612801</v>
      </c>
      <c r="I3057" s="124" t="s">
        <v>562</v>
      </c>
      <c r="J3057" s="124" t="s">
        <v>562</v>
      </c>
      <c r="K3057" s="126">
        <v>10000</v>
      </c>
      <c r="L3057" s="127" t="s">
        <v>570</v>
      </c>
      <c r="M3057" s="125">
        <v>41005</v>
      </c>
      <c r="N3057" s="129" t="str">
        <f>IF(M3057&gt;1/1/1,"Y",IF(Q3057="0","","N"))</f>
        <v>Y</v>
      </c>
      <c r="O3057" s="128" t="s">
        <v>76</v>
      </c>
      <c r="P3057" s="129" t="s">
        <v>123</v>
      </c>
      <c r="Q3057" s="111">
        <f t="shared" si="2218"/>
        <v>0</v>
      </c>
      <c r="R3057" s="111">
        <f t="shared" si="2186"/>
        <v>57</v>
      </c>
      <c r="S3057" s="129">
        <v>0</v>
      </c>
      <c r="T3057" s="129">
        <v>0</v>
      </c>
      <c r="W3057" s="111"/>
      <c r="AC3057" s="130"/>
      <c r="AD3057" s="130">
        <v>33590</v>
      </c>
      <c r="AE3057" s="128" t="s">
        <v>32</v>
      </c>
      <c r="AF3057" s="128" t="s">
        <v>69</v>
      </c>
      <c r="AG3057" s="128" t="s">
        <v>874</v>
      </c>
      <c r="AH3057" s="108" t="s">
        <v>31</v>
      </c>
      <c r="AI3057" s="128" t="s">
        <v>62</v>
      </c>
      <c r="AJ3057" s="129" t="s">
        <v>123</v>
      </c>
      <c r="AK3057" s="129">
        <v>3</v>
      </c>
      <c r="AL3057" s="3" t="s">
        <v>123</v>
      </c>
      <c r="AP3057" s="129" t="s">
        <v>331</v>
      </c>
      <c r="AR3057" s="128" t="s">
        <v>50</v>
      </c>
      <c r="AS3057" s="129" t="s">
        <v>331</v>
      </c>
      <c r="BC3057" s="129" t="s">
        <v>52</v>
      </c>
      <c r="BF3057" s="111">
        <v>0</v>
      </c>
      <c r="BG3057" s="111">
        <v>0</v>
      </c>
      <c r="BH3057" s="111">
        <f t="shared" si="2187"/>
        <v>57</v>
      </c>
      <c r="BI3057" s="111">
        <f t="shared" si="2189"/>
        <v>20.254098360655739</v>
      </c>
      <c r="BJ3057" s="129" t="e">
        <f>(G3057-J3057)+(M3057-G3057)</f>
        <v>#VALUE!</v>
      </c>
      <c r="BK3057" s="129" t="e">
        <f t="shared" si="2188"/>
        <v>#VALUE!</v>
      </c>
      <c r="BL3057" s="129" t="str">
        <f t="shared" si="2181"/>
        <v>NO CONVICTION</v>
      </c>
      <c r="BM3057" s="129" t="s">
        <v>76</v>
      </c>
      <c r="BN3057" s="129" t="s">
        <v>88</v>
      </c>
      <c r="BP3057" s="137" t="str">
        <f t="shared" si="2191"/>
        <v>NO CONVICTION</v>
      </c>
      <c r="BQ3057" s="128">
        <f t="shared" si="2200"/>
        <v>0</v>
      </c>
      <c r="BR3057" s="129" t="s">
        <v>575</v>
      </c>
      <c r="BS3057" s="129" t="str">
        <f t="shared" si="2193"/>
        <v>DISPOSED</v>
      </c>
      <c r="BT3057" s="129" t="str">
        <f t="shared" si="2194"/>
        <v>N</v>
      </c>
      <c r="BU3057" s="109">
        <f>IFERROR(Q3057/R3057,BR3057)</f>
        <v>0</v>
      </c>
      <c r="BV3057" s="109">
        <v>0</v>
      </c>
      <c r="BW3057" s="109">
        <f t="shared" si="2216"/>
        <v>0</v>
      </c>
      <c r="BX3057" s="111">
        <f t="shared" si="2196"/>
        <v>0</v>
      </c>
      <c r="BY3057" s="129" t="e">
        <f t="shared" si="2202"/>
        <v>#VALUE!</v>
      </c>
      <c r="BZ3057" s="111" t="e">
        <f t="shared" si="2203"/>
        <v>#VALUE!</v>
      </c>
      <c r="CA3057" s="138" t="e">
        <f t="shared" si="2204"/>
        <v>#VALUE!</v>
      </c>
      <c r="CB3057" s="111">
        <v>0</v>
      </c>
      <c r="CC3057" s="129">
        <v>0</v>
      </c>
      <c r="CD3057" s="111">
        <f>CC3057-BF3057</f>
        <v>0</v>
      </c>
      <c r="CG3057" s="129" t="str">
        <f t="shared" si="2205"/>
        <v>N</v>
      </c>
      <c r="CI3057" s="129" t="str">
        <f t="shared" si="2207"/>
        <v>0-10 DAYS</v>
      </c>
      <c r="CJ3057" s="137">
        <f t="shared" si="2208"/>
        <v>1</v>
      </c>
      <c r="CK3057" s="129" t="str">
        <f t="shared" si="2209"/>
        <v>Not Booked</v>
      </c>
    </row>
    <row r="3058" spans="1:89" ht="15" customHeight="1" x14ac:dyDescent="0.25">
      <c r="A3058" s="111">
        <v>2517</v>
      </c>
      <c r="B3058" s="128" t="str">
        <f t="shared" si="2197"/>
        <v>N</v>
      </c>
      <c r="C3058" s="128" t="str">
        <f t="shared" si="2198"/>
        <v>N</v>
      </c>
      <c r="D3058" s="117">
        <v>2612802</v>
      </c>
      <c r="E3058" s="135">
        <f t="shared" si="2199"/>
        <v>1</v>
      </c>
      <c r="F3058" s="124">
        <v>41003</v>
      </c>
      <c r="G3058" s="125">
        <v>41039</v>
      </c>
      <c r="H3058" s="117">
        <v>2612802</v>
      </c>
      <c r="I3058" s="124">
        <v>41004</v>
      </c>
      <c r="J3058" s="124">
        <v>41039</v>
      </c>
      <c r="K3058" s="126">
        <v>10000</v>
      </c>
      <c r="L3058" s="127" t="s">
        <v>570</v>
      </c>
      <c r="N3058" s="129" t="str">
        <f>IF(M3058&gt;1/1/1,"Y","N")</f>
        <v>N</v>
      </c>
      <c r="O3058" s="128" t="s">
        <v>917</v>
      </c>
      <c r="P3058" s="129" t="s">
        <v>123</v>
      </c>
      <c r="Q3058" s="111">
        <f t="shared" si="2218"/>
        <v>36</v>
      </c>
      <c r="R3058" s="111">
        <f t="shared" si="2186"/>
        <v>37</v>
      </c>
      <c r="S3058" s="129">
        <v>0</v>
      </c>
      <c r="T3058" s="129">
        <v>0</v>
      </c>
      <c r="W3058" s="111"/>
      <c r="AC3058" s="130"/>
      <c r="AD3058" s="130">
        <v>33321</v>
      </c>
      <c r="AE3058" s="128" t="s">
        <v>32</v>
      </c>
      <c r="AF3058" s="128" t="s">
        <v>69</v>
      </c>
      <c r="AG3058" s="128" t="s">
        <v>874</v>
      </c>
      <c r="AH3058" s="108" t="s">
        <v>31</v>
      </c>
      <c r="AI3058" s="128" t="s">
        <v>62</v>
      </c>
      <c r="AJ3058" s="129" t="s">
        <v>123</v>
      </c>
      <c r="AK3058" s="129">
        <v>2</v>
      </c>
      <c r="AL3058" s="3" t="s">
        <v>123</v>
      </c>
      <c r="AP3058" s="129" t="s">
        <v>331</v>
      </c>
      <c r="AR3058" s="128" t="s">
        <v>50</v>
      </c>
      <c r="AS3058" s="129" t="s">
        <v>331</v>
      </c>
      <c r="BC3058" s="129" t="s">
        <v>38</v>
      </c>
      <c r="BF3058" s="111">
        <f>IF(J3058&gt;1/1/1900,((J3058+1)-I3058),"STILL OPEN")</f>
        <v>36</v>
      </c>
      <c r="BG3058" s="111">
        <f t="shared" ref="BG3058:BG3075" si="2221">IF(G3058&gt;1/1/1900,((G3058+1)-I3058),"STILL OPEN")</f>
        <v>36</v>
      </c>
      <c r="BH3058" s="111">
        <f t="shared" si="2187"/>
        <v>37</v>
      </c>
      <c r="BI3058" s="111">
        <f t="shared" si="2189"/>
        <v>20.989071038251367</v>
      </c>
      <c r="BJ3058" s="129">
        <f>G3058-J3058-M3058</f>
        <v>0</v>
      </c>
      <c r="BK3058" s="129">
        <f t="shared" si="2188"/>
        <v>0</v>
      </c>
      <c r="BL3058" s="129" t="str">
        <f t="shared" si="2181"/>
        <v>NO CONVICTION</v>
      </c>
      <c r="BM3058" s="129" t="str">
        <f t="shared" si="2190"/>
        <v>NONE</v>
      </c>
      <c r="BN3058" s="129" t="s">
        <v>566</v>
      </c>
      <c r="BP3058" s="137" t="str">
        <f t="shared" si="2191"/>
        <v>NO CONVICTION</v>
      </c>
      <c r="BQ3058" s="128" t="str">
        <f t="shared" si="2200"/>
        <v>Y</v>
      </c>
      <c r="BR3058" s="129" t="str">
        <f t="shared" si="2192"/>
        <v>DETAINED</v>
      </c>
      <c r="BS3058" s="129" t="str">
        <f t="shared" si="2193"/>
        <v>DISPOSED</v>
      </c>
      <c r="BT3058" s="129" t="str">
        <f t="shared" si="2194"/>
        <v>N</v>
      </c>
      <c r="BU3058" s="109">
        <f>IFERROR(Q3058/R3058,BR3058)</f>
        <v>0.97297297297297303</v>
      </c>
      <c r="BV3058" s="109">
        <f t="shared" si="2201"/>
        <v>1</v>
      </c>
      <c r="BW3058" s="109">
        <f t="shared" si="2216"/>
        <v>2.7027027027026973E-2</v>
      </c>
      <c r="BX3058" s="111">
        <f t="shared" si="2196"/>
        <v>0</v>
      </c>
      <c r="BY3058" s="129">
        <f t="shared" si="2202"/>
        <v>-36</v>
      </c>
      <c r="BZ3058" s="111">
        <f t="shared" si="2203"/>
        <v>0</v>
      </c>
      <c r="CA3058" s="138">
        <f t="shared" si="2204"/>
        <v>36</v>
      </c>
      <c r="CB3058" s="111" t="e">
        <f>IF(AF3058&gt;1/1/1900,((AF3058+1)-AE3058),"STILL OPEN")</f>
        <v>#VALUE!</v>
      </c>
      <c r="CC3058" s="129">
        <f>G3058-I3058+1</f>
        <v>36</v>
      </c>
      <c r="CD3058" s="129">
        <f>G3058-J3058</f>
        <v>0</v>
      </c>
      <c r="CG3058" s="129" t="str">
        <f t="shared" si="2205"/>
        <v>N</v>
      </c>
      <c r="CI3058" s="129" t="str">
        <f t="shared" si="2207"/>
        <v>31-60 DAYS</v>
      </c>
      <c r="CJ3058" s="137">
        <f t="shared" si="2208"/>
        <v>3</v>
      </c>
      <c r="CK3058" s="129" t="str">
        <f t="shared" si="2209"/>
        <v>Booked</v>
      </c>
    </row>
    <row r="3059" spans="1:89" ht="15" customHeight="1" x14ac:dyDescent="0.25">
      <c r="A3059" s="111">
        <v>2520</v>
      </c>
      <c r="B3059" s="128" t="str">
        <f t="shared" si="2197"/>
        <v>N</v>
      </c>
      <c r="C3059" s="128" t="str">
        <f t="shared" si="2198"/>
        <v>N</v>
      </c>
      <c r="D3059" s="117">
        <v>2612821</v>
      </c>
      <c r="E3059" s="135">
        <f t="shared" si="2199"/>
        <v>1</v>
      </c>
      <c r="F3059" s="124">
        <v>41003</v>
      </c>
      <c r="G3059" s="125">
        <v>41345</v>
      </c>
      <c r="H3059" s="117">
        <v>2612821</v>
      </c>
      <c r="I3059" s="124">
        <v>41031</v>
      </c>
      <c r="J3059" s="124">
        <v>41032</v>
      </c>
      <c r="K3059" s="126">
        <v>10000</v>
      </c>
      <c r="L3059" s="127" t="s">
        <v>570</v>
      </c>
      <c r="M3059" s="125">
        <v>41032</v>
      </c>
      <c r="N3059" s="129" t="str">
        <f>IF(M3059&gt;1/1/1,"Y","N")</f>
        <v>Y</v>
      </c>
      <c r="O3059" s="128" t="s">
        <v>76</v>
      </c>
      <c r="P3059" s="129" t="s">
        <v>55</v>
      </c>
      <c r="Q3059" s="111">
        <f t="shared" si="2218"/>
        <v>2</v>
      </c>
      <c r="R3059" s="111">
        <f t="shared" si="2186"/>
        <v>343</v>
      </c>
      <c r="S3059" s="129">
        <v>0</v>
      </c>
      <c r="T3059" s="129">
        <v>0</v>
      </c>
      <c r="W3059" s="111"/>
      <c r="AB3059" s="131" t="s">
        <v>112</v>
      </c>
      <c r="AC3059" s="130"/>
      <c r="AD3059" s="130">
        <v>33816</v>
      </c>
      <c r="AE3059" s="128" t="s">
        <v>32</v>
      </c>
      <c r="AF3059" s="128" t="s">
        <v>40</v>
      </c>
      <c r="AG3059" s="128" t="s">
        <v>41</v>
      </c>
      <c r="AH3059" s="108" t="s">
        <v>31</v>
      </c>
      <c r="AI3059" s="128" t="s">
        <v>80</v>
      </c>
      <c r="AJ3059" s="129" t="s">
        <v>55</v>
      </c>
      <c r="AK3059" s="129">
        <v>11</v>
      </c>
      <c r="AL3059" s="3" t="s">
        <v>55</v>
      </c>
      <c r="AP3059" s="129" t="s">
        <v>56</v>
      </c>
      <c r="AR3059" s="128" t="s">
        <v>50</v>
      </c>
      <c r="AS3059" s="129" t="s">
        <v>57</v>
      </c>
      <c r="BC3059" s="129" t="s">
        <v>52</v>
      </c>
      <c r="BF3059" s="111">
        <f>IF(J3059&gt;1/1/1900,((J3059+1)-I3059),"STILL OPEN")</f>
        <v>2</v>
      </c>
      <c r="BG3059" s="111">
        <f t="shared" si="2221"/>
        <v>315</v>
      </c>
      <c r="BH3059" s="111">
        <f t="shared" si="2187"/>
        <v>343</v>
      </c>
      <c r="BI3059" s="111">
        <f t="shared" si="2189"/>
        <v>19.636612021857925</v>
      </c>
      <c r="BJ3059" s="129">
        <f>(G3059-J3059)+(M3059-G3059)</f>
        <v>0</v>
      </c>
      <c r="BK3059" s="129">
        <f t="shared" si="2188"/>
        <v>-313</v>
      </c>
      <c r="BL3059" s="129" t="str">
        <f t="shared" si="2181"/>
        <v>NO CONVICTION</v>
      </c>
      <c r="BM3059" s="129" t="s">
        <v>76</v>
      </c>
      <c r="BN3059" s="129" t="s">
        <v>88</v>
      </c>
      <c r="BP3059" s="137" t="str">
        <f t="shared" si="2191"/>
        <v>NO CONVICTION</v>
      </c>
      <c r="BQ3059" s="128" t="str">
        <f t="shared" si="2200"/>
        <v>Y</v>
      </c>
      <c r="BR3059" s="129" t="str">
        <f t="shared" si="2192"/>
        <v>ON BOND</v>
      </c>
      <c r="BS3059" s="129" t="str">
        <f t="shared" si="2193"/>
        <v>DISPOSED</v>
      </c>
      <c r="BT3059" s="129" t="str">
        <f t="shared" si="2194"/>
        <v>N</v>
      </c>
      <c r="BU3059" s="109">
        <f>IFERROR(Q3059/R3059,BR3059)</f>
        <v>5.8309037900874635E-3</v>
      </c>
      <c r="BV3059" s="109">
        <f t="shared" si="2201"/>
        <v>6.3492063492063492E-3</v>
      </c>
      <c r="BW3059" s="109">
        <f t="shared" si="2216"/>
        <v>5.1830255911888574E-4</v>
      </c>
      <c r="BX3059" s="111">
        <f t="shared" si="2196"/>
        <v>0</v>
      </c>
      <c r="BY3059" s="129">
        <f t="shared" si="2202"/>
        <v>-2</v>
      </c>
      <c r="BZ3059" s="111">
        <f t="shared" si="2203"/>
        <v>0</v>
      </c>
      <c r="CA3059" s="138">
        <f t="shared" si="2204"/>
        <v>2</v>
      </c>
      <c r="CB3059" s="111" t="e">
        <f>IF(AF3059&gt;1/1/1900,((AF3059+1)-AE3059),"STILL OPEN")</f>
        <v>#VALUE!</v>
      </c>
      <c r="CC3059" s="129">
        <f>M3059-I3059+1</f>
        <v>2</v>
      </c>
      <c r="CD3059" s="111">
        <f>CC3059-BF3059</f>
        <v>0</v>
      </c>
      <c r="CG3059" s="129" t="str">
        <f t="shared" si="2205"/>
        <v>N</v>
      </c>
      <c r="CI3059" s="129" t="str">
        <f t="shared" si="2207"/>
        <v>0-10 DAYS</v>
      </c>
      <c r="CJ3059" s="137">
        <f t="shared" si="2208"/>
        <v>1</v>
      </c>
      <c r="CK3059" s="129" t="str">
        <f t="shared" si="2209"/>
        <v>Booked</v>
      </c>
    </row>
    <row r="3060" spans="1:89" ht="15.75" customHeight="1" x14ac:dyDescent="0.25">
      <c r="A3060" s="111">
        <v>2530</v>
      </c>
      <c r="B3060" s="128" t="str">
        <f t="shared" si="2197"/>
        <v>N</v>
      </c>
      <c r="C3060" s="128" t="str">
        <f t="shared" si="2198"/>
        <v>N</v>
      </c>
      <c r="D3060" s="117">
        <v>2612842</v>
      </c>
      <c r="E3060" s="135">
        <f t="shared" si="2199"/>
        <v>1</v>
      </c>
      <c r="F3060" s="124">
        <v>41003</v>
      </c>
      <c r="G3060" s="125">
        <v>41045</v>
      </c>
      <c r="H3060" s="117">
        <v>2612842</v>
      </c>
      <c r="I3060" s="124">
        <v>41004</v>
      </c>
      <c r="J3060" s="124">
        <v>41004</v>
      </c>
      <c r="K3060" s="126">
        <v>2000</v>
      </c>
      <c r="L3060" s="127" t="s">
        <v>568</v>
      </c>
      <c r="M3060" s="125">
        <v>41004</v>
      </c>
      <c r="N3060" s="129" t="str">
        <f>IF(M3060&gt;1/1/1,"Y","N")</f>
        <v>Y</v>
      </c>
      <c r="O3060" s="112" t="s">
        <v>160</v>
      </c>
      <c r="P3060" s="129" t="s">
        <v>55</v>
      </c>
      <c r="Q3060" s="111">
        <f t="shared" si="2218"/>
        <v>1</v>
      </c>
      <c r="R3060" s="111">
        <f t="shared" si="2186"/>
        <v>43</v>
      </c>
      <c r="S3060" s="129">
        <v>0</v>
      </c>
      <c r="T3060" s="129">
        <v>0</v>
      </c>
      <c r="W3060" s="111"/>
      <c r="AC3060" s="130"/>
      <c r="AD3060" s="130">
        <v>32882</v>
      </c>
      <c r="AE3060" s="128" t="s">
        <v>46</v>
      </c>
      <c r="AF3060" s="128" t="s">
        <v>33</v>
      </c>
      <c r="AG3060" s="128" t="s">
        <v>872</v>
      </c>
      <c r="AH3060" s="108" t="s">
        <v>31</v>
      </c>
      <c r="AI3060" s="128" t="s">
        <v>34</v>
      </c>
      <c r="AJ3060" s="129" t="s">
        <v>55</v>
      </c>
      <c r="AK3060" s="129">
        <v>2</v>
      </c>
      <c r="AL3060" s="3" t="s">
        <v>55</v>
      </c>
      <c r="AP3060" s="129" t="s">
        <v>63</v>
      </c>
      <c r="AR3060" s="128" t="s">
        <v>44</v>
      </c>
      <c r="AS3060" s="129" t="s">
        <v>64</v>
      </c>
      <c r="BC3060" s="129" t="s">
        <v>52</v>
      </c>
      <c r="BF3060" s="111">
        <f>IF(J3060&gt;1/1/1900,((J3060+1)-I3060),"STILL OPEN")</f>
        <v>1</v>
      </c>
      <c r="BG3060" s="111">
        <f t="shared" si="2221"/>
        <v>42</v>
      </c>
      <c r="BH3060" s="111">
        <f t="shared" si="2187"/>
        <v>43</v>
      </c>
      <c r="BI3060" s="111">
        <f t="shared" si="2189"/>
        <v>22.188524590163933</v>
      </c>
      <c r="BJ3060" s="129">
        <f>(G3060-J3060)+(M3060-G3060)</f>
        <v>0</v>
      </c>
      <c r="BK3060" s="129">
        <f t="shared" si="2188"/>
        <v>-41</v>
      </c>
      <c r="BL3060" s="129" t="str">
        <f t="shared" si="2181"/>
        <v>NO CONVICTION</v>
      </c>
      <c r="BM3060" s="129" t="s">
        <v>160</v>
      </c>
      <c r="BN3060" s="129" t="s">
        <v>88</v>
      </c>
      <c r="BP3060" s="137" t="str">
        <f t="shared" si="2191"/>
        <v>NO CONVICTION</v>
      </c>
      <c r="BQ3060" s="128" t="str">
        <f t="shared" si="2200"/>
        <v>Y</v>
      </c>
      <c r="BR3060" s="129" t="str">
        <f t="shared" si="2192"/>
        <v>ON BOND</v>
      </c>
      <c r="BS3060" s="129" t="str">
        <f t="shared" si="2193"/>
        <v>DISPOSED</v>
      </c>
      <c r="BT3060" s="129" t="str">
        <f t="shared" si="2194"/>
        <v>N</v>
      </c>
      <c r="BU3060" s="109">
        <f>IFERROR(Q3060/R3060,BR3060)</f>
        <v>2.3255813953488372E-2</v>
      </c>
      <c r="BV3060" s="109">
        <f t="shared" si="2201"/>
        <v>2.3809523809523808E-2</v>
      </c>
      <c r="BW3060" s="109">
        <f t="shared" si="2216"/>
        <v>5.5370985603543643E-4</v>
      </c>
      <c r="BX3060" s="111">
        <f t="shared" si="2196"/>
        <v>0</v>
      </c>
      <c r="BY3060" s="129">
        <f t="shared" si="2202"/>
        <v>-1</v>
      </c>
      <c r="BZ3060" s="111">
        <f t="shared" si="2203"/>
        <v>0</v>
      </c>
      <c r="CA3060" s="138">
        <f t="shared" si="2204"/>
        <v>1</v>
      </c>
      <c r="CB3060" s="111" t="e">
        <f>IF(AF3060&gt;1/1/1900,((AF3060+1)-AE3060),"STILL OPEN")</f>
        <v>#VALUE!</v>
      </c>
      <c r="CC3060" s="129">
        <f>M3060-I3060+1</f>
        <v>1</v>
      </c>
      <c r="CD3060" s="111">
        <f>CC3060-BF3060</f>
        <v>0</v>
      </c>
      <c r="CG3060" s="129" t="str">
        <f t="shared" si="2205"/>
        <v>N</v>
      </c>
      <c r="CI3060" s="129" t="str">
        <f t="shared" si="2207"/>
        <v>0-10 DAYS</v>
      </c>
      <c r="CJ3060" s="137">
        <f t="shared" si="2208"/>
        <v>1</v>
      </c>
      <c r="CK3060" s="129" t="str">
        <f t="shared" si="2209"/>
        <v>Booked</v>
      </c>
    </row>
    <row r="3061" spans="1:89" ht="15" customHeight="1" x14ac:dyDescent="0.25">
      <c r="A3061" s="111">
        <v>2549</v>
      </c>
      <c r="B3061" s="128" t="str">
        <f t="shared" si="2197"/>
        <v>N</v>
      </c>
      <c r="C3061" s="128" t="str">
        <f t="shared" si="2198"/>
        <v>N</v>
      </c>
      <c r="D3061" s="117">
        <v>2612898</v>
      </c>
      <c r="E3061" s="135">
        <f t="shared" si="2199"/>
        <v>6</v>
      </c>
      <c r="F3061" s="124">
        <v>41004</v>
      </c>
      <c r="G3061" s="125">
        <v>41151</v>
      </c>
      <c r="H3061" s="117">
        <v>2612898</v>
      </c>
      <c r="I3061" s="124">
        <v>41004</v>
      </c>
      <c r="J3061" s="124">
        <f>G3061</f>
        <v>41151</v>
      </c>
      <c r="K3061" s="126" t="s">
        <v>564</v>
      </c>
      <c r="L3061" s="127" t="s">
        <v>564</v>
      </c>
      <c r="N3061" s="129" t="s">
        <v>566</v>
      </c>
      <c r="O3061" s="128" t="s">
        <v>917</v>
      </c>
      <c r="P3061" s="129" t="s">
        <v>39</v>
      </c>
      <c r="Q3061" s="111">
        <f t="shared" si="2218"/>
        <v>148</v>
      </c>
      <c r="R3061" s="111">
        <f t="shared" si="2186"/>
        <v>148</v>
      </c>
      <c r="S3061" s="129">
        <v>0</v>
      </c>
      <c r="T3061" s="129">
        <v>0</v>
      </c>
      <c r="W3061" s="111"/>
      <c r="AC3061" s="130"/>
      <c r="AD3061" s="130">
        <v>28057</v>
      </c>
      <c r="AE3061" s="128" t="s">
        <v>32</v>
      </c>
      <c r="AF3061" s="128" t="s">
        <v>40</v>
      </c>
      <c r="AG3061" s="128" t="s">
        <v>41</v>
      </c>
      <c r="AH3061" s="108" t="s">
        <v>41</v>
      </c>
      <c r="AI3061" s="128" t="s">
        <v>85</v>
      </c>
      <c r="AJ3061" s="129" t="s">
        <v>89</v>
      </c>
      <c r="AK3061" s="129">
        <v>6</v>
      </c>
      <c r="AL3061" s="3" t="s">
        <v>362</v>
      </c>
      <c r="AM3061" s="117">
        <v>2</v>
      </c>
      <c r="AP3061" s="129" t="s">
        <v>110</v>
      </c>
      <c r="AR3061" s="128" t="s">
        <v>50</v>
      </c>
      <c r="AS3061" s="129" t="s">
        <v>74</v>
      </c>
      <c r="BC3061" s="129" t="s">
        <v>38</v>
      </c>
      <c r="BF3061" s="111">
        <f>IF(J3061&gt;1/1/1900,((J3061+1)-I3061),"STILL OPEN")</f>
        <v>148</v>
      </c>
      <c r="BG3061" s="111">
        <f t="shared" si="2221"/>
        <v>148</v>
      </c>
      <c r="BH3061" s="111">
        <f t="shared" si="2187"/>
        <v>148</v>
      </c>
      <c r="BI3061" s="111">
        <f t="shared" si="2189"/>
        <v>35.374316939890711</v>
      </c>
      <c r="BJ3061" s="129">
        <f>G3061-J3061-M3061</f>
        <v>0</v>
      </c>
      <c r="BK3061" s="129">
        <f t="shared" si="2188"/>
        <v>0</v>
      </c>
      <c r="BL3061" s="129" t="str">
        <f t="shared" si="2181"/>
        <v>CONVICTION</v>
      </c>
      <c r="BM3061" s="129" t="str">
        <f t="shared" si="2190"/>
        <v>NONE</v>
      </c>
      <c r="BN3061" s="129" t="s">
        <v>566</v>
      </c>
      <c r="BP3061" s="137" t="str">
        <f t="shared" si="2191"/>
        <v>CONVICTION</v>
      </c>
      <c r="BQ3061" s="128" t="str">
        <f t="shared" si="2200"/>
        <v>Y</v>
      </c>
      <c r="BR3061" s="129" t="str">
        <f t="shared" si="2192"/>
        <v>DETAINED</v>
      </c>
      <c r="BS3061" s="129" t="str">
        <f t="shared" si="2193"/>
        <v>DISPOSED</v>
      </c>
      <c r="BT3061" s="129" t="str">
        <f t="shared" si="2194"/>
        <v>N</v>
      </c>
      <c r="BU3061" s="109">
        <f t="shared" si="2195"/>
        <v>1</v>
      </c>
      <c r="BV3061" s="109">
        <f t="shared" si="2201"/>
        <v>1</v>
      </c>
      <c r="BW3061" s="109">
        <f t="shared" si="2216"/>
        <v>0</v>
      </c>
      <c r="BX3061" s="111">
        <f t="shared" si="2196"/>
        <v>0</v>
      </c>
      <c r="BY3061" s="129">
        <f t="shared" si="2202"/>
        <v>-148</v>
      </c>
      <c r="BZ3061" s="111">
        <f t="shared" si="2203"/>
        <v>0</v>
      </c>
      <c r="CA3061" s="138">
        <f t="shared" si="2204"/>
        <v>148</v>
      </c>
      <c r="CB3061" s="111" t="e">
        <f>IF(AF3061&gt;1/1/1900,((AF3061+1)-AE3061),"STILL OPEN")</f>
        <v>#VALUE!</v>
      </c>
      <c r="CC3061" s="129">
        <f>G3061-I3061+1</f>
        <v>148</v>
      </c>
      <c r="CD3061" s="129">
        <f>G3061-J3061</f>
        <v>0</v>
      </c>
      <c r="CG3061" s="129" t="str">
        <f t="shared" si="2205"/>
        <v>N</v>
      </c>
      <c r="CI3061" s="129" t="str">
        <f t="shared" si="2207"/>
        <v>121-365 DAYS</v>
      </c>
      <c r="CJ3061" s="137">
        <f t="shared" si="2208"/>
        <v>6</v>
      </c>
      <c r="CK3061" s="129" t="str">
        <f t="shared" si="2209"/>
        <v>Booked</v>
      </c>
    </row>
    <row r="3062" spans="1:89" ht="15" customHeight="1" x14ac:dyDescent="0.25">
      <c r="A3062" s="111">
        <v>2551</v>
      </c>
      <c r="B3062" s="128" t="str">
        <f t="shared" si="2197"/>
        <v>N</v>
      </c>
      <c r="C3062" s="128" t="str">
        <f t="shared" si="2198"/>
        <v>N</v>
      </c>
      <c r="D3062" s="117">
        <v>2612902</v>
      </c>
      <c r="E3062" s="135">
        <f t="shared" si="2199"/>
        <v>6</v>
      </c>
      <c r="F3062" s="124">
        <v>41004</v>
      </c>
      <c r="G3062" s="125">
        <v>41593</v>
      </c>
      <c r="H3062" s="117">
        <v>2612902</v>
      </c>
      <c r="I3062" s="124">
        <v>41004</v>
      </c>
      <c r="J3062" s="124">
        <v>41009</v>
      </c>
      <c r="K3062" s="126">
        <v>30000</v>
      </c>
      <c r="L3062" s="129" t="s">
        <v>572</v>
      </c>
      <c r="M3062" s="125">
        <v>41009</v>
      </c>
      <c r="N3062" s="129" t="str">
        <f t="shared" ref="N3062:N3070" si="2222">IF(M3062&gt;1/1/1,"Y","N")</f>
        <v>Y</v>
      </c>
      <c r="O3062" s="128" t="s">
        <v>76</v>
      </c>
      <c r="P3062" s="129" t="s">
        <v>39</v>
      </c>
      <c r="Q3062" s="111">
        <v>512</v>
      </c>
      <c r="R3062" s="111">
        <f t="shared" si="2186"/>
        <v>590</v>
      </c>
      <c r="S3062" s="129">
        <v>0</v>
      </c>
      <c r="T3062" s="129">
        <v>0</v>
      </c>
      <c r="W3062" s="111"/>
      <c r="AC3062" s="130"/>
      <c r="AD3062" s="130">
        <v>33885</v>
      </c>
      <c r="AE3062" s="128" t="s">
        <v>32</v>
      </c>
      <c r="AF3062" s="128" t="s">
        <v>33</v>
      </c>
      <c r="AG3062" s="128" t="s">
        <v>872</v>
      </c>
      <c r="AH3062" s="108" t="s">
        <v>31</v>
      </c>
      <c r="AI3062" s="128" t="s">
        <v>62</v>
      </c>
      <c r="AJ3062" s="129" t="s">
        <v>89</v>
      </c>
      <c r="AK3062" s="129">
        <v>34</v>
      </c>
      <c r="AL3062" s="3" t="s">
        <v>362</v>
      </c>
      <c r="AM3062" s="117">
        <v>12</v>
      </c>
      <c r="AP3062" s="129" t="s">
        <v>105</v>
      </c>
      <c r="AR3062" s="128" t="s">
        <v>92</v>
      </c>
      <c r="AS3062" s="129" t="s">
        <v>106</v>
      </c>
      <c r="AT3062" s="129" t="s">
        <v>1175</v>
      </c>
      <c r="BC3062" s="129" t="s">
        <v>52</v>
      </c>
      <c r="BF3062" s="111">
        <v>512</v>
      </c>
      <c r="BG3062" s="111">
        <f t="shared" si="2221"/>
        <v>590</v>
      </c>
      <c r="BH3062" s="111">
        <f t="shared" si="2187"/>
        <v>590</v>
      </c>
      <c r="BI3062" s="111">
        <f t="shared" si="2189"/>
        <v>19.450819672131146</v>
      </c>
      <c r="BJ3062" s="129">
        <f>(G3062-J3062)+(M3062-G3062)</f>
        <v>0</v>
      </c>
      <c r="BK3062" s="129">
        <f t="shared" si="2188"/>
        <v>-584</v>
      </c>
      <c r="BL3062" s="129" t="str">
        <f t="shared" ref="BL3062:BL3125" si="2223">IF(OR(AL3062="AQUITTAL",AL3062="DISMISSED",AL3062="FINE",AL3062="NO BILL"),"NO CONVICTION",IF(OR(AL3062="HCJ",AL3062="MHH",AL3062="PROBATION",AL3062="STJ",AL3062="TDC"),"CONVICTION",IF(AL3062="DEFERRED","DEFERRED",0)))</f>
        <v>CONVICTION</v>
      </c>
      <c r="BM3062" s="129" t="s">
        <v>76</v>
      </c>
      <c r="BN3062" s="129" t="s">
        <v>88</v>
      </c>
      <c r="BP3062" s="137" t="str">
        <f t="shared" si="2191"/>
        <v>CONVICTION</v>
      </c>
      <c r="BQ3062" s="128" t="str">
        <f t="shared" si="2200"/>
        <v>Y</v>
      </c>
      <c r="BR3062" s="129" t="s">
        <v>574</v>
      </c>
      <c r="BS3062" s="129" t="str">
        <f t="shared" si="2193"/>
        <v>DISPOSED</v>
      </c>
      <c r="BT3062" s="129" t="str">
        <f t="shared" si="2194"/>
        <v>N</v>
      </c>
      <c r="BU3062" s="109">
        <f t="shared" si="2195"/>
        <v>0.8677966101694915</v>
      </c>
      <c r="BV3062" s="109">
        <f t="shared" si="2201"/>
        <v>1.0169491525423728E-2</v>
      </c>
      <c r="BW3062" s="109">
        <f t="shared" si="2216"/>
        <v>-0.85762711864406782</v>
      </c>
      <c r="BX3062" s="111">
        <f t="shared" si="2196"/>
        <v>0</v>
      </c>
      <c r="BY3062" s="129">
        <f t="shared" si="2202"/>
        <v>-6</v>
      </c>
      <c r="BZ3062" s="111">
        <v>0</v>
      </c>
      <c r="CA3062" s="138">
        <f t="shared" si="2204"/>
        <v>590</v>
      </c>
      <c r="CB3062" s="111">
        <v>512</v>
      </c>
      <c r="CC3062" s="129">
        <f>G3062-I3062+1</f>
        <v>590</v>
      </c>
      <c r="CD3062" s="129">
        <f>G3062-J3062</f>
        <v>584</v>
      </c>
      <c r="CE3062" s="129" t="s">
        <v>1326</v>
      </c>
      <c r="CG3062" s="129" t="str">
        <f t="shared" si="2205"/>
        <v>N</v>
      </c>
      <c r="CI3062" s="129" t="str">
        <f t="shared" si="2207"/>
        <v xml:space="preserve"> &gt;1YRS&lt;2YRS</v>
      </c>
      <c r="CJ3062" s="137">
        <f t="shared" si="2208"/>
        <v>0</v>
      </c>
      <c r="CK3062" s="129" t="str">
        <f t="shared" si="2209"/>
        <v>Booked</v>
      </c>
    </row>
    <row r="3063" spans="1:89" ht="15.75" customHeight="1" x14ac:dyDescent="0.25">
      <c r="A3063" s="111">
        <v>2552</v>
      </c>
      <c r="B3063" s="128" t="str">
        <f t="shared" si="2197"/>
        <v>N</v>
      </c>
      <c r="C3063" s="128" t="str">
        <f t="shared" si="2198"/>
        <v>N</v>
      </c>
      <c r="D3063" s="117">
        <v>2612911</v>
      </c>
      <c r="E3063" s="135">
        <f t="shared" si="2199"/>
        <v>5</v>
      </c>
      <c r="F3063" s="124">
        <v>41004</v>
      </c>
      <c r="G3063" s="125">
        <v>41037</v>
      </c>
      <c r="H3063" s="117">
        <v>2612911</v>
      </c>
      <c r="I3063" s="124">
        <v>41004</v>
      </c>
      <c r="J3063" s="124">
        <v>41037</v>
      </c>
      <c r="K3063" s="126">
        <v>5000</v>
      </c>
      <c r="L3063" s="127" t="s">
        <v>569</v>
      </c>
      <c r="N3063" s="129" t="str">
        <f t="shared" si="2222"/>
        <v>N</v>
      </c>
      <c r="O3063" s="128" t="s">
        <v>917</v>
      </c>
      <c r="P3063" s="129" t="s">
        <v>39</v>
      </c>
      <c r="Q3063" s="111">
        <f t="shared" ref="Q3063:Q3080" si="2224">BF3063</f>
        <v>34</v>
      </c>
      <c r="R3063" s="111">
        <f t="shared" si="2186"/>
        <v>34</v>
      </c>
      <c r="S3063" s="129">
        <v>0</v>
      </c>
      <c r="T3063" s="129">
        <v>0</v>
      </c>
      <c r="W3063" s="111"/>
      <c r="AC3063" s="130"/>
      <c r="AD3063" s="130">
        <v>30122</v>
      </c>
      <c r="AE3063" s="128" t="s">
        <v>46</v>
      </c>
      <c r="AF3063" s="128" t="s">
        <v>69</v>
      </c>
      <c r="AG3063" s="128" t="s">
        <v>874</v>
      </c>
      <c r="AH3063" s="108" t="s">
        <v>31</v>
      </c>
      <c r="AI3063" s="128" t="s">
        <v>97</v>
      </c>
      <c r="AJ3063" s="129" t="s">
        <v>89</v>
      </c>
      <c r="AK3063" s="129">
        <v>2</v>
      </c>
      <c r="AL3063" s="3" t="s">
        <v>992</v>
      </c>
      <c r="AN3063" s="117">
        <v>8</v>
      </c>
      <c r="AP3063" s="129" t="s">
        <v>184</v>
      </c>
      <c r="AR3063" s="128" t="s">
        <v>44</v>
      </c>
      <c r="AS3063" s="129" t="s">
        <v>64</v>
      </c>
      <c r="BC3063" s="129" t="s">
        <v>38</v>
      </c>
      <c r="BF3063" s="111">
        <f t="shared" ref="BF3063:BF3070" si="2225">IF(J3063&gt;1/1/1900,((J3063+1)-I3063),"STILL OPEN")</f>
        <v>34</v>
      </c>
      <c r="BG3063" s="111">
        <f t="shared" si="2221"/>
        <v>34</v>
      </c>
      <c r="BH3063" s="111">
        <f t="shared" si="2187"/>
        <v>34</v>
      </c>
      <c r="BI3063" s="111">
        <f t="shared" si="2189"/>
        <v>29.73224043715847</v>
      </c>
      <c r="BJ3063" s="129">
        <f>G3063-J3063-M3063</f>
        <v>0</v>
      </c>
      <c r="BK3063" s="129">
        <f t="shared" si="2188"/>
        <v>0</v>
      </c>
      <c r="BL3063" s="129" t="str">
        <f t="shared" si="2223"/>
        <v>CONVICTION</v>
      </c>
      <c r="BM3063" s="129" t="str">
        <f t="shared" si="2190"/>
        <v>NONE</v>
      </c>
      <c r="BN3063" s="129" t="s">
        <v>566</v>
      </c>
      <c r="BP3063" s="137" t="str">
        <f t="shared" si="2191"/>
        <v>CONVICTION</v>
      </c>
      <c r="BQ3063" s="128" t="str">
        <f t="shared" si="2200"/>
        <v>Y</v>
      </c>
      <c r="BR3063" s="129" t="str">
        <f t="shared" si="2192"/>
        <v>DETAINED</v>
      </c>
      <c r="BS3063" s="129" t="str">
        <f t="shared" si="2193"/>
        <v>DISPOSED</v>
      </c>
      <c r="BT3063" s="129" t="str">
        <f t="shared" si="2194"/>
        <v>N</v>
      </c>
      <c r="BU3063" s="109">
        <f t="shared" si="2195"/>
        <v>1</v>
      </c>
      <c r="BV3063" s="109">
        <f t="shared" si="2201"/>
        <v>1</v>
      </c>
      <c r="BW3063" s="109">
        <f t="shared" si="2216"/>
        <v>0</v>
      </c>
      <c r="BX3063" s="111">
        <f t="shared" si="2196"/>
        <v>0</v>
      </c>
      <c r="BY3063" s="129">
        <f t="shared" si="2202"/>
        <v>-34</v>
      </c>
      <c r="BZ3063" s="111">
        <f t="shared" si="2203"/>
        <v>0</v>
      </c>
      <c r="CA3063" s="138">
        <f t="shared" si="2204"/>
        <v>34</v>
      </c>
      <c r="CB3063" s="111" t="e">
        <f t="shared" ref="CB3063:CB3071" si="2226">IF(AF3063&gt;1/1/1900,((AF3063+1)-AE3063),"STILL OPEN")</f>
        <v>#VALUE!</v>
      </c>
      <c r="CC3063" s="129">
        <f>G3063-I3063+1</f>
        <v>34</v>
      </c>
      <c r="CD3063" s="129">
        <f>G3063-J3063</f>
        <v>0</v>
      </c>
      <c r="CG3063" s="129" t="str">
        <f t="shared" si="2205"/>
        <v>N</v>
      </c>
      <c r="CI3063" s="129" t="str">
        <f t="shared" si="2207"/>
        <v>31-60 DAYS</v>
      </c>
      <c r="CJ3063" s="137">
        <f t="shared" si="2208"/>
        <v>3</v>
      </c>
      <c r="CK3063" s="129" t="str">
        <f t="shared" si="2209"/>
        <v>Booked</v>
      </c>
    </row>
    <row r="3064" spans="1:89" ht="15" customHeight="1" x14ac:dyDescent="0.25">
      <c r="A3064" s="111">
        <v>2558</v>
      </c>
      <c r="B3064" s="128" t="str">
        <f t="shared" si="2197"/>
        <v>N</v>
      </c>
      <c r="C3064" s="128" t="str">
        <f t="shared" si="2198"/>
        <v>N</v>
      </c>
      <c r="D3064" s="117">
        <v>2612917</v>
      </c>
      <c r="E3064" s="135">
        <f t="shared" si="2199"/>
        <v>4</v>
      </c>
      <c r="F3064" s="124">
        <v>41004</v>
      </c>
      <c r="G3064" s="125">
        <v>41009</v>
      </c>
      <c r="H3064" s="117">
        <v>2612917</v>
      </c>
      <c r="I3064" s="124">
        <v>41005</v>
      </c>
      <c r="J3064" s="124">
        <v>41009</v>
      </c>
      <c r="K3064" s="126">
        <v>35000</v>
      </c>
      <c r="L3064" s="129" t="s">
        <v>572</v>
      </c>
      <c r="N3064" s="129" t="str">
        <f t="shared" si="2222"/>
        <v>N</v>
      </c>
      <c r="O3064" s="128" t="s">
        <v>917</v>
      </c>
      <c r="P3064" s="129" t="s">
        <v>39</v>
      </c>
      <c r="Q3064" s="111">
        <f t="shared" si="2224"/>
        <v>5</v>
      </c>
      <c r="R3064" s="111">
        <f t="shared" si="2186"/>
        <v>6</v>
      </c>
      <c r="S3064" s="129">
        <v>0</v>
      </c>
      <c r="T3064" s="129">
        <v>0</v>
      </c>
      <c r="W3064" s="111"/>
      <c r="AB3064" s="131" t="s">
        <v>112</v>
      </c>
      <c r="AC3064" s="130"/>
      <c r="AD3064" s="130">
        <v>32832</v>
      </c>
      <c r="AE3064" s="128" t="s">
        <v>32</v>
      </c>
      <c r="AF3064" s="128" t="s">
        <v>40</v>
      </c>
      <c r="AG3064" s="128" t="s">
        <v>41</v>
      </c>
      <c r="AH3064" s="108" t="s">
        <v>31</v>
      </c>
      <c r="AI3064" s="128" t="s">
        <v>87</v>
      </c>
      <c r="AJ3064" s="129" t="s">
        <v>89</v>
      </c>
      <c r="AK3064" s="129">
        <v>2</v>
      </c>
      <c r="AL3064" s="3" t="s">
        <v>991</v>
      </c>
      <c r="AO3064" s="128">
        <v>30</v>
      </c>
      <c r="AP3064" s="129" t="s">
        <v>43</v>
      </c>
      <c r="AR3064" s="128" t="s">
        <v>44</v>
      </c>
      <c r="AS3064" s="129" t="s">
        <v>45</v>
      </c>
      <c r="BC3064" s="129" t="s">
        <v>38</v>
      </c>
      <c r="BF3064" s="111">
        <f t="shared" si="2225"/>
        <v>5</v>
      </c>
      <c r="BG3064" s="111">
        <f t="shared" si="2221"/>
        <v>5</v>
      </c>
      <c r="BH3064" s="111">
        <f t="shared" si="2187"/>
        <v>6</v>
      </c>
      <c r="BI3064" s="111">
        <f t="shared" si="2189"/>
        <v>22.327868852459016</v>
      </c>
      <c r="BJ3064" s="129">
        <f>G3064-J3064-M3064</f>
        <v>0</v>
      </c>
      <c r="BK3064" s="129">
        <f t="shared" si="2188"/>
        <v>0</v>
      </c>
      <c r="BL3064" s="129" t="str">
        <f t="shared" si="2223"/>
        <v>CONVICTION</v>
      </c>
      <c r="BM3064" s="129" t="str">
        <f t="shared" si="2190"/>
        <v>NONE</v>
      </c>
      <c r="BN3064" s="129" t="s">
        <v>566</v>
      </c>
      <c r="BP3064" s="137" t="str">
        <f t="shared" si="2191"/>
        <v>CONVICTION</v>
      </c>
      <c r="BQ3064" s="128" t="str">
        <f t="shared" si="2200"/>
        <v>Y</v>
      </c>
      <c r="BR3064" s="129" t="str">
        <f t="shared" si="2192"/>
        <v>DETAINED</v>
      </c>
      <c r="BS3064" s="129" t="str">
        <f t="shared" si="2193"/>
        <v>DISPOSED</v>
      </c>
      <c r="BT3064" s="129" t="str">
        <f t="shared" si="2194"/>
        <v>N</v>
      </c>
      <c r="BU3064" s="109">
        <f t="shared" si="2195"/>
        <v>0.83333333333333337</v>
      </c>
      <c r="BV3064" s="109">
        <f t="shared" si="2201"/>
        <v>1</v>
      </c>
      <c r="BW3064" s="109">
        <f t="shared" si="2216"/>
        <v>0.16666666666666663</v>
      </c>
      <c r="BX3064" s="111">
        <f t="shared" si="2196"/>
        <v>0</v>
      </c>
      <c r="BY3064" s="129">
        <f t="shared" si="2202"/>
        <v>-5</v>
      </c>
      <c r="BZ3064" s="111">
        <f t="shared" si="2203"/>
        <v>0</v>
      </c>
      <c r="CA3064" s="138">
        <f t="shared" si="2204"/>
        <v>5</v>
      </c>
      <c r="CB3064" s="111" t="e">
        <f t="shared" si="2226"/>
        <v>#VALUE!</v>
      </c>
      <c r="CC3064" s="129">
        <f>G3064-I3064+1</f>
        <v>5</v>
      </c>
      <c r="CD3064" s="129">
        <f>G3064-J3064</f>
        <v>0</v>
      </c>
      <c r="CG3064" s="129" t="str">
        <f t="shared" si="2205"/>
        <v>N</v>
      </c>
      <c r="CI3064" s="129" t="str">
        <f t="shared" si="2207"/>
        <v>0-10 DAYS</v>
      </c>
      <c r="CJ3064" s="137">
        <f t="shared" si="2208"/>
        <v>1</v>
      </c>
      <c r="CK3064" s="129" t="str">
        <f t="shared" si="2209"/>
        <v>Booked</v>
      </c>
    </row>
    <row r="3065" spans="1:89" ht="15" customHeight="1" x14ac:dyDescent="0.25">
      <c r="A3065" s="111">
        <v>2561</v>
      </c>
      <c r="B3065" s="128" t="str">
        <f t="shared" si="2197"/>
        <v>N</v>
      </c>
      <c r="C3065" s="128" t="str">
        <f t="shared" si="2198"/>
        <v>N</v>
      </c>
      <c r="D3065" s="117">
        <v>2612956</v>
      </c>
      <c r="E3065" s="135">
        <f t="shared" si="2199"/>
        <v>1</v>
      </c>
      <c r="F3065" s="124">
        <v>41004</v>
      </c>
      <c r="G3065" s="125">
        <v>41068</v>
      </c>
      <c r="H3065" s="117">
        <v>2612956</v>
      </c>
      <c r="I3065" s="124">
        <v>41005</v>
      </c>
      <c r="J3065" s="124">
        <v>41006</v>
      </c>
      <c r="K3065" s="126">
        <v>30000</v>
      </c>
      <c r="L3065" s="129" t="s">
        <v>572</v>
      </c>
      <c r="M3065" s="125">
        <v>41006</v>
      </c>
      <c r="N3065" s="129" t="str">
        <f t="shared" si="2222"/>
        <v>Y</v>
      </c>
      <c r="O3065" s="128" t="s">
        <v>76</v>
      </c>
      <c r="P3065" s="129" t="s">
        <v>123</v>
      </c>
      <c r="Q3065" s="111">
        <f t="shared" si="2224"/>
        <v>2</v>
      </c>
      <c r="R3065" s="111">
        <f t="shared" si="2186"/>
        <v>65</v>
      </c>
      <c r="S3065" s="129">
        <v>0</v>
      </c>
      <c r="T3065" s="129">
        <v>0</v>
      </c>
      <c r="W3065" s="111"/>
      <c r="AC3065" s="130"/>
      <c r="AD3065" s="130">
        <v>30244</v>
      </c>
      <c r="AE3065" s="128" t="s">
        <v>32</v>
      </c>
      <c r="AF3065" s="128" t="s">
        <v>69</v>
      </c>
      <c r="AG3065" s="128" t="s">
        <v>874</v>
      </c>
      <c r="AH3065" s="108" t="s">
        <v>31</v>
      </c>
      <c r="AI3065" s="128" t="s">
        <v>53</v>
      </c>
      <c r="AJ3065" s="129" t="s">
        <v>123</v>
      </c>
      <c r="AK3065" s="129">
        <v>4</v>
      </c>
      <c r="AL3065" s="3" t="s">
        <v>123</v>
      </c>
      <c r="AP3065" s="129" t="s">
        <v>73</v>
      </c>
      <c r="AR3065" s="128" t="s">
        <v>50</v>
      </c>
      <c r="AS3065" s="129" t="s">
        <v>74</v>
      </c>
      <c r="BC3065" s="129" t="s">
        <v>52</v>
      </c>
      <c r="BF3065" s="111">
        <f t="shared" si="2225"/>
        <v>2</v>
      </c>
      <c r="BG3065" s="111">
        <f t="shared" si="2221"/>
        <v>64</v>
      </c>
      <c r="BH3065" s="111">
        <f t="shared" si="2187"/>
        <v>65</v>
      </c>
      <c r="BI3065" s="111">
        <f t="shared" si="2189"/>
        <v>29.398907103825138</v>
      </c>
      <c r="BJ3065" s="129">
        <f>(G3065-J3065)+(M3065-G3065)</f>
        <v>0</v>
      </c>
      <c r="BK3065" s="129">
        <f t="shared" si="2188"/>
        <v>-62</v>
      </c>
      <c r="BL3065" s="129" t="str">
        <f t="shared" si="2223"/>
        <v>NO CONVICTION</v>
      </c>
      <c r="BM3065" s="129" t="s">
        <v>76</v>
      </c>
      <c r="BN3065" s="129" t="s">
        <v>88</v>
      </c>
      <c r="BP3065" s="137" t="str">
        <f t="shared" si="2191"/>
        <v>NO CONVICTION</v>
      </c>
      <c r="BQ3065" s="128" t="str">
        <f t="shared" si="2200"/>
        <v>Y</v>
      </c>
      <c r="BR3065" s="129" t="str">
        <f t="shared" si="2192"/>
        <v>ON BOND</v>
      </c>
      <c r="BS3065" s="129" t="str">
        <f t="shared" si="2193"/>
        <v>DISPOSED</v>
      </c>
      <c r="BT3065" s="129" t="str">
        <f t="shared" si="2194"/>
        <v>N</v>
      </c>
      <c r="BU3065" s="109">
        <f>IFERROR(Q3065/R3065,BR3065)</f>
        <v>3.0769230769230771E-2</v>
      </c>
      <c r="BV3065" s="109">
        <f t="shared" si="2201"/>
        <v>3.125E-2</v>
      </c>
      <c r="BW3065" s="109">
        <f t="shared" si="2216"/>
        <v>4.8076923076922906E-4</v>
      </c>
      <c r="BX3065" s="111">
        <f t="shared" si="2196"/>
        <v>0</v>
      </c>
      <c r="BY3065" s="129">
        <f t="shared" si="2202"/>
        <v>-2</v>
      </c>
      <c r="BZ3065" s="111">
        <f t="shared" si="2203"/>
        <v>0</v>
      </c>
      <c r="CA3065" s="138">
        <f t="shared" si="2204"/>
        <v>2</v>
      </c>
      <c r="CB3065" s="111" t="e">
        <f t="shared" si="2226"/>
        <v>#VALUE!</v>
      </c>
      <c r="CC3065" s="129">
        <f>M3065-I3065+1</f>
        <v>2</v>
      </c>
      <c r="CD3065" s="111">
        <f>CC3065-BF3065</f>
        <v>0</v>
      </c>
      <c r="CG3065" s="129" t="str">
        <f t="shared" si="2205"/>
        <v>N</v>
      </c>
      <c r="CI3065" s="129" t="str">
        <f t="shared" si="2207"/>
        <v>0-10 DAYS</v>
      </c>
      <c r="CJ3065" s="137">
        <f t="shared" si="2208"/>
        <v>1</v>
      </c>
      <c r="CK3065" s="129" t="str">
        <f t="shared" si="2209"/>
        <v>Booked</v>
      </c>
    </row>
    <row r="3066" spans="1:89" ht="15.75" customHeight="1" x14ac:dyDescent="0.25">
      <c r="A3066" s="111">
        <v>2563</v>
      </c>
      <c r="B3066" s="128" t="str">
        <f t="shared" si="2197"/>
        <v>N</v>
      </c>
      <c r="C3066" s="128" t="str">
        <f t="shared" si="2198"/>
        <v>N</v>
      </c>
      <c r="D3066" s="117">
        <v>2612977</v>
      </c>
      <c r="E3066" s="135">
        <f t="shared" si="2199"/>
        <v>5</v>
      </c>
      <c r="F3066" s="124">
        <v>41004</v>
      </c>
      <c r="G3066" s="125">
        <v>41089</v>
      </c>
      <c r="H3066" s="117">
        <v>2612977</v>
      </c>
      <c r="I3066" s="124">
        <v>41005</v>
      </c>
      <c r="J3066" s="124">
        <v>41089</v>
      </c>
      <c r="K3066" s="126">
        <v>200000</v>
      </c>
      <c r="L3066" s="129" t="s">
        <v>572</v>
      </c>
      <c r="N3066" s="129" t="str">
        <f t="shared" si="2222"/>
        <v>N</v>
      </c>
      <c r="O3066" s="128" t="s">
        <v>917</v>
      </c>
      <c r="P3066" s="129" t="s">
        <v>39</v>
      </c>
      <c r="Q3066" s="111">
        <f t="shared" si="2224"/>
        <v>85</v>
      </c>
      <c r="R3066" s="111">
        <f t="shared" si="2186"/>
        <v>86</v>
      </c>
      <c r="S3066" s="129">
        <v>0</v>
      </c>
      <c r="T3066" s="129">
        <v>0</v>
      </c>
      <c r="W3066" s="111"/>
      <c r="AC3066" s="130"/>
      <c r="AD3066" s="130">
        <v>33846</v>
      </c>
      <c r="AE3066" s="128" t="s">
        <v>32</v>
      </c>
      <c r="AF3066" s="128" t="s">
        <v>33</v>
      </c>
      <c r="AG3066" s="128" t="s">
        <v>872</v>
      </c>
      <c r="AH3066" s="108" t="s">
        <v>31</v>
      </c>
      <c r="AI3066" s="128" t="s">
        <v>83</v>
      </c>
      <c r="AJ3066" s="129" t="s">
        <v>89</v>
      </c>
      <c r="AK3066" s="129">
        <v>4</v>
      </c>
      <c r="AL3066" s="3" t="s">
        <v>992</v>
      </c>
      <c r="AN3066" s="117">
        <v>8</v>
      </c>
      <c r="AP3066" s="129" t="s">
        <v>186</v>
      </c>
      <c r="AR3066" s="128" t="s">
        <v>50</v>
      </c>
      <c r="AS3066" s="129" t="s">
        <v>106</v>
      </c>
      <c r="BC3066" s="129" t="s">
        <v>38</v>
      </c>
      <c r="BF3066" s="111">
        <f t="shared" si="2225"/>
        <v>85</v>
      </c>
      <c r="BG3066" s="111">
        <f t="shared" si="2221"/>
        <v>85</v>
      </c>
      <c r="BH3066" s="111">
        <f t="shared" si="2187"/>
        <v>86</v>
      </c>
      <c r="BI3066" s="111">
        <f t="shared" si="2189"/>
        <v>19.557377049180328</v>
      </c>
      <c r="BJ3066" s="129">
        <f>G3066-J3066-M3066</f>
        <v>0</v>
      </c>
      <c r="BK3066" s="129">
        <f t="shared" si="2188"/>
        <v>0</v>
      </c>
      <c r="BL3066" s="129" t="str">
        <f t="shared" si="2223"/>
        <v>CONVICTION</v>
      </c>
      <c r="BM3066" s="129" t="str">
        <f t="shared" si="2190"/>
        <v>NONE</v>
      </c>
      <c r="BN3066" s="129" t="s">
        <v>566</v>
      </c>
      <c r="BP3066" s="137" t="str">
        <f t="shared" si="2191"/>
        <v>CONVICTION</v>
      </c>
      <c r="BQ3066" s="128" t="str">
        <f t="shared" si="2200"/>
        <v>Y</v>
      </c>
      <c r="BR3066" s="129" t="str">
        <f t="shared" si="2192"/>
        <v>DETAINED</v>
      </c>
      <c r="BS3066" s="129" t="str">
        <f t="shared" si="2193"/>
        <v>DISPOSED</v>
      </c>
      <c r="BT3066" s="129" t="str">
        <f t="shared" si="2194"/>
        <v>N</v>
      </c>
      <c r="BU3066" s="109">
        <f t="shared" si="2195"/>
        <v>0.98837209302325579</v>
      </c>
      <c r="BV3066" s="109">
        <f t="shared" si="2201"/>
        <v>1</v>
      </c>
      <c r="BW3066" s="109">
        <f t="shared" si="2216"/>
        <v>1.1627906976744207E-2</v>
      </c>
      <c r="BX3066" s="111">
        <f t="shared" si="2196"/>
        <v>0</v>
      </c>
      <c r="BY3066" s="129">
        <f t="shared" si="2202"/>
        <v>-85</v>
      </c>
      <c r="BZ3066" s="111">
        <f t="shared" si="2203"/>
        <v>0</v>
      </c>
      <c r="CA3066" s="138">
        <f t="shared" si="2204"/>
        <v>85</v>
      </c>
      <c r="CB3066" s="111" t="e">
        <f t="shared" si="2226"/>
        <v>#VALUE!</v>
      </c>
      <c r="CC3066" s="129">
        <f>G3066-I3066+1</f>
        <v>85</v>
      </c>
      <c r="CD3066" s="129">
        <f>G3066-J3066</f>
        <v>0</v>
      </c>
      <c r="CG3066" s="129" t="str">
        <f t="shared" si="2205"/>
        <v>N</v>
      </c>
      <c r="CI3066" s="129" t="str">
        <f t="shared" si="2207"/>
        <v>61-90 DAYS</v>
      </c>
      <c r="CJ3066" s="137">
        <f t="shared" si="2208"/>
        <v>4</v>
      </c>
      <c r="CK3066" s="129" t="str">
        <f t="shared" si="2209"/>
        <v>Booked</v>
      </c>
    </row>
    <row r="3067" spans="1:89" ht="15" customHeight="1" x14ac:dyDescent="0.25">
      <c r="A3067" s="111">
        <v>2571</v>
      </c>
      <c r="B3067" s="128" t="str">
        <f t="shared" si="2197"/>
        <v>N</v>
      </c>
      <c r="C3067" s="128" t="str">
        <f t="shared" si="2198"/>
        <v>N</v>
      </c>
      <c r="D3067" s="117">
        <v>2612993</v>
      </c>
      <c r="E3067" s="135">
        <f t="shared" si="2199"/>
        <v>1</v>
      </c>
      <c r="F3067" s="124">
        <v>41004</v>
      </c>
      <c r="G3067" s="125">
        <v>41170</v>
      </c>
      <c r="H3067" s="117">
        <v>2612993</v>
      </c>
      <c r="I3067" s="124">
        <v>41005</v>
      </c>
      <c r="J3067" s="124">
        <v>41170</v>
      </c>
      <c r="K3067" s="126">
        <v>5000</v>
      </c>
      <c r="L3067" s="127" t="s">
        <v>569</v>
      </c>
      <c r="N3067" s="129" t="str">
        <f t="shared" si="2222"/>
        <v>N</v>
      </c>
      <c r="O3067" s="128" t="s">
        <v>917</v>
      </c>
      <c r="P3067" s="129" t="s">
        <v>55</v>
      </c>
      <c r="Q3067" s="111">
        <f t="shared" si="2224"/>
        <v>166</v>
      </c>
      <c r="R3067" s="111">
        <f t="shared" si="2186"/>
        <v>167</v>
      </c>
      <c r="S3067" s="129">
        <v>0</v>
      </c>
      <c r="T3067" s="129">
        <v>0</v>
      </c>
      <c r="W3067" s="111"/>
      <c r="AB3067" s="131" t="s">
        <v>112</v>
      </c>
      <c r="AC3067" s="130"/>
      <c r="AD3067" s="130">
        <v>34592</v>
      </c>
      <c r="AE3067" s="128" t="s">
        <v>32</v>
      </c>
      <c r="AF3067" s="128" t="s">
        <v>40</v>
      </c>
      <c r="AG3067" s="128" t="s">
        <v>41</v>
      </c>
      <c r="AH3067" s="108" t="s">
        <v>31</v>
      </c>
      <c r="AI3067" s="128" t="s">
        <v>85</v>
      </c>
      <c r="AJ3067" s="129" t="s">
        <v>55</v>
      </c>
      <c r="AK3067" s="129">
        <v>7</v>
      </c>
      <c r="AL3067" s="3" t="s">
        <v>55</v>
      </c>
      <c r="AP3067" s="129" t="s">
        <v>103</v>
      </c>
      <c r="AR3067" s="128" t="s">
        <v>44</v>
      </c>
      <c r="AS3067" s="129" t="s">
        <v>45</v>
      </c>
      <c r="AT3067" s="129" t="s">
        <v>457</v>
      </c>
      <c r="BC3067" s="129" t="s">
        <v>38</v>
      </c>
      <c r="BF3067" s="111">
        <f t="shared" si="2225"/>
        <v>166</v>
      </c>
      <c r="BG3067" s="111">
        <f t="shared" si="2221"/>
        <v>166</v>
      </c>
      <c r="BH3067" s="111">
        <f t="shared" si="2187"/>
        <v>167</v>
      </c>
      <c r="BI3067" s="111">
        <f t="shared" si="2189"/>
        <v>17.519125683060111</v>
      </c>
      <c r="BJ3067" s="129">
        <f>G3067-J3067-M3067</f>
        <v>0</v>
      </c>
      <c r="BK3067" s="129">
        <f t="shared" si="2188"/>
        <v>0</v>
      </c>
      <c r="BL3067" s="129" t="str">
        <f t="shared" si="2223"/>
        <v>NO CONVICTION</v>
      </c>
      <c r="BM3067" s="129" t="str">
        <f t="shared" si="2190"/>
        <v>NONE</v>
      </c>
      <c r="BN3067" s="129" t="s">
        <v>566</v>
      </c>
      <c r="BP3067" s="137" t="str">
        <f t="shared" si="2191"/>
        <v>NO CONVICTION</v>
      </c>
      <c r="BQ3067" s="128" t="str">
        <f t="shared" si="2200"/>
        <v>Y</v>
      </c>
      <c r="BR3067" s="129" t="str">
        <f t="shared" si="2192"/>
        <v>DETAINED</v>
      </c>
      <c r="BS3067" s="129" t="str">
        <f t="shared" si="2193"/>
        <v>DISPOSED</v>
      </c>
      <c r="BT3067" s="129" t="str">
        <f t="shared" si="2194"/>
        <v>N</v>
      </c>
      <c r="BU3067" s="109">
        <f>IFERROR(Q3067/R3067,BR3067)</f>
        <v>0.99401197604790414</v>
      </c>
      <c r="BV3067" s="109">
        <f t="shared" si="2201"/>
        <v>1</v>
      </c>
      <c r="BW3067" s="109">
        <f t="shared" si="2216"/>
        <v>5.9880239520958556E-3</v>
      </c>
      <c r="BX3067" s="111">
        <f t="shared" si="2196"/>
        <v>0</v>
      </c>
      <c r="BY3067" s="129">
        <f t="shared" si="2202"/>
        <v>-166</v>
      </c>
      <c r="BZ3067" s="111">
        <f t="shared" si="2203"/>
        <v>0</v>
      </c>
      <c r="CA3067" s="138">
        <f t="shared" si="2204"/>
        <v>166</v>
      </c>
      <c r="CB3067" s="111" t="e">
        <f t="shared" si="2226"/>
        <v>#VALUE!</v>
      </c>
      <c r="CC3067" s="129">
        <f>G3067-I3067+1</f>
        <v>166</v>
      </c>
      <c r="CD3067" s="129">
        <f>G3067-J3067</f>
        <v>0</v>
      </c>
      <c r="CG3067" s="129" t="str">
        <f t="shared" si="2205"/>
        <v>N</v>
      </c>
      <c r="CI3067" s="129" t="str">
        <f t="shared" si="2207"/>
        <v>121-365 DAYS</v>
      </c>
      <c r="CJ3067" s="137">
        <f t="shared" si="2208"/>
        <v>6</v>
      </c>
      <c r="CK3067" s="129" t="str">
        <f t="shared" si="2209"/>
        <v>Booked</v>
      </c>
    </row>
    <row r="3068" spans="1:89" ht="15.75" customHeight="1" x14ac:dyDescent="0.25">
      <c r="A3068" s="111">
        <v>2574</v>
      </c>
      <c r="B3068" s="128" t="str">
        <f t="shared" si="2197"/>
        <v>N</v>
      </c>
      <c r="C3068" s="128" t="str">
        <f t="shared" si="2198"/>
        <v>N</v>
      </c>
      <c r="D3068" s="117">
        <v>2613001</v>
      </c>
      <c r="E3068" s="135">
        <f t="shared" si="2199"/>
        <v>2</v>
      </c>
      <c r="F3068" s="124">
        <v>41004</v>
      </c>
      <c r="G3068" s="125">
        <v>41108</v>
      </c>
      <c r="H3068" s="117">
        <v>2613001</v>
      </c>
      <c r="I3068" s="124">
        <v>41005</v>
      </c>
      <c r="J3068" s="124">
        <v>41006</v>
      </c>
      <c r="K3068" s="126">
        <v>5000</v>
      </c>
      <c r="L3068" s="127" t="s">
        <v>569</v>
      </c>
      <c r="M3068" s="125">
        <v>41006</v>
      </c>
      <c r="N3068" s="129" t="str">
        <f t="shared" si="2222"/>
        <v>Y</v>
      </c>
      <c r="O3068" s="128" t="s">
        <v>76</v>
      </c>
      <c r="P3068" s="129" t="s">
        <v>589</v>
      </c>
      <c r="Q3068" s="111">
        <f t="shared" si="2224"/>
        <v>2</v>
      </c>
      <c r="R3068" s="111">
        <f t="shared" ref="R3068:R3131" si="2227">BH3068</f>
        <v>105</v>
      </c>
      <c r="S3068" s="129">
        <v>0</v>
      </c>
      <c r="T3068" s="129">
        <v>0</v>
      </c>
      <c r="W3068" s="111"/>
      <c r="AB3068" s="131" t="s">
        <v>112</v>
      </c>
      <c r="AC3068" s="130"/>
      <c r="AD3068" s="130">
        <v>33671</v>
      </c>
      <c r="AE3068" s="128" t="s">
        <v>46</v>
      </c>
      <c r="AF3068" s="128" t="s">
        <v>40</v>
      </c>
      <c r="AG3068" s="128" t="s">
        <v>41</v>
      </c>
      <c r="AH3068" s="108" t="s">
        <v>31</v>
      </c>
      <c r="AI3068" s="128" t="s">
        <v>100</v>
      </c>
      <c r="AJ3068" s="129" t="s">
        <v>48</v>
      </c>
      <c r="AK3068" s="129">
        <v>4</v>
      </c>
      <c r="AL3068" s="3" t="s">
        <v>48</v>
      </c>
      <c r="AP3068" s="129" t="s">
        <v>43</v>
      </c>
      <c r="AR3068" s="128" t="s">
        <v>44</v>
      </c>
      <c r="AS3068" s="129" t="s">
        <v>45</v>
      </c>
      <c r="BC3068" s="129" t="s">
        <v>52</v>
      </c>
      <c r="BF3068" s="111">
        <f t="shared" si="2225"/>
        <v>2</v>
      </c>
      <c r="BG3068" s="111">
        <f t="shared" si="2221"/>
        <v>104</v>
      </c>
      <c r="BH3068" s="111">
        <f t="shared" ref="BH3068:BH3131" si="2228">IF(G3068&gt;1/1/1900,((G3068+1)-F3068),"STILL OPEN")</f>
        <v>105</v>
      </c>
      <c r="BI3068" s="111">
        <f t="shared" si="2189"/>
        <v>20.035519125683059</v>
      </c>
      <c r="BJ3068" s="129">
        <f>(G3068-J3068)+(M3068-G3068)</f>
        <v>0</v>
      </c>
      <c r="BK3068" s="129">
        <f t="shared" ref="BK3068:BK3131" si="2229">J3068-G3068</f>
        <v>-102</v>
      </c>
      <c r="BL3068" s="129" t="str">
        <f t="shared" si="2223"/>
        <v>DEFERRED</v>
      </c>
      <c r="BM3068" s="129" t="s">
        <v>76</v>
      </c>
      <c r="BN3068" s="129" t="s">
        <v>88</v>
      </c>
      <c r="BP3068" s="137" t="str">
        <f t="shared" si="2191"/>
        <v>DEFERRED</v>
      </c>
      <c r="BQ3068" s="128" t="str">
        <f t="shared" si="2200"/>
        <v>Y</v>
      </c>
      <c r="BR3068" s="129" t="str">
        <f t="shared" si="2192"/>
        <v>ON BOND</v>
      </c>
      <c r="BS3068" s="129" t="str">
        <f t="shared" si="2193"/>
        <v>DISPOSED</v>
      </c>
      <c r="BT3068" s="129" t="str">
        <f t="shared" si="2194"/>
        <v>N</v>
      </c>
      <c r="BU3068" s="109">
        <f t="shared" si="2195"/>
        <v>1.9047619047619049E-2</v>
      </c>
      <c r="BV3068" s="109">
        <f t="shared" si="2201"/>
        <v>1.9230769230769232E-2</v>
      </c>
      <c r="BW3068" s="109">
        <f t="shared" si="2216"/>
        <v>1.831501831501825E-4</v>
      </c>
      <c r="BX3068" s="111">
        <f t="shared" si="2196"/>
        <v>0</v>
      </c>
      <c r="BY3068" s="129">
        <f t="shared" si="2202"/>
        <v>-2</v>
      </c>
      <c r="BZ3068" s="111">
        <f t="shared" si="2203"/>
        <v>0</v>
      </c>
      <c r="CA3068" s="138">
        <f t="shared" si="2204"/>
        <v>2</v>
      </c>
      <c r="CB3068" s="111" t="e">
        <f t="shared" si="2226"/>
        <v>#VALUE!</v>
      </c>
      <c r="CC3068" s="129">
        <f>M3068-I3068+1</f>
        <v>2</v>
      </c>
      <c r="CD3068" s="111">
        <f>CC3068-BF3068</f>
        <v>0</v>
      </c>
      <c r="CG3068" s="129" t="str">
        <f t="shared" si="2205"/>
        <v>N</v>
      </c>
      <c r="CI3068" s="129" t="str">
        <f t="shared" si="2207"/>
        <v>0-10 DAYS</v>
      </c>
      <c r="CJ3068" s="137">
        <f t="shared" si="2208"/>
        <v>1</v>
      </c>
      <c r="CK3068" s="129" t="str">
        <f t="shared" si="2209"/>
        <v>Booked</v>
      </c>
    </row>
    <row r="3069" spans="1:89" ht="15.75" customHeight="1" x14ac:dyDescent="0.25">
      <c r="A3069" s="111">
        <v>2576</v>
      </c>
      <c r="B3069" s="128" t="str">
        <f t="shared" si="2197"/>
        <v>N</v>
      </c>
      <c r="C3069" s="128" t="str">
        <f t="shared" si="2198"/>
        <v>N</v>
      </c>
      <c r="D3069" s="117">
        <v>2613012</v>
      </c>
      <c r="E3069" s="135">
        <f t="shared" si="2199"/>
        <v>2</v>
      </c>
      <c r="F3069" s="124">
        <v>41004</v>
      </c>
      <c r="G3069" s="125">
        <v>41187</v>
      </c>
      <c r="H3069" s="117">
        <v>2613012</v>
      </c>
      <c r="I3069" s="124">
        <v>41005</v>
      </c>
      <c r="J3069" s="124">
        <v>41006</v>
      </c>
      <c r="K3069" s="126">
        <v>5000</v>
      </c>
      <c r="L3069" s="127" t="s">
        <v>569</v>
      </c>
      <c r="M3069" s="125">
        <v>41006</v>
      </c>
      <c r="N3069" s="129" t="str">
        <f t="shared" si="2222"/>
        <v>Y</v>
      </c>
      <c r="O3069" s="128" t="s">
        <v>76</v>
      </c>
      <c r="P3069" s="129" t="s">
        <v>589</v>
      </c>
      <c r="Q3069" s="111">
        <f t="shared" si="2224"/>
        <v>2</v>
      </c>
      <c r="R3069" s="111">
        <f t="shared" si="2227"/>
        <v>184</v>
      </c>
      <c r="S3069" s="129">
        <v>0</v>
      </c>
      <c r="T3069" s="129">
        <v>0</v>
      </c>
      <c r="W3069" s="111"/>
      <c r="AB3069" s="131" t="s">
        <v>112</v>
      </c>
      <c r="AC3069" s="130"/>
      <c r="AD3069" s="130">
        <v>33575</v>
      </c>
      <c r="AE3069" s="128" t="s">
        <v>46</v>
      </c>
      <c r="AF3069" s="128" t="s">
        <v>40</v>
      </c>
      <c r="AG3069" s="128" t="s">
        <v>41</v>
      </c>
      <c r="AH3069" s="108" t="s">
        <v>31</v>
      </c>
      <c r="AI3069" s="128" t="s">
        <v>87</v>
      </c>
      <c r="AJ3069" s="129" t="s">
        <v>48</v>
      </c>
      <c r="AK3069" s="129">
        <v>8</v>
      </c>
      <c r="AL3069" s="3" t="s">
        <v>48</v>
      </c>
      <c r="AP3069" s="129" t="s">
        <v>169</v>
      </c>
      <c r="AR3069" s="128" t="s">
        <v>67</v>
      </c>
      <c r="AS3069" s="129" t="s">
        <v>64</v>
      </c>
      <c r="BC3069" s="129" t="s">
        <v>52</v>
      </c>
      <c r="BF3069" s="111">
        <f t="shared" si="2225"/>
        <v>2</v>
      </c>
      <c r="BG3069" s="111">
        <f t="shared" si="2221"/>
        <v>183</v>
      </c>
      <c r="BH3069" s="111">
        <f t="shared" si="2228"/>
        <v>184</v>
      </c>
      <c r="BI3069" s="111">
        <f t="shared" si="2189"/>
        <v>20.297814207650273</v>
      </c>
      <c r="BJ3069" s="129">
        <f>(G3069-J3069)+(M3069-G3069)</f>
        <v>0</v>
      </c>
      <c r="BK3069" s="129">
        <f t="shared" si="2229"/>
        <v>-181</v>
      </c>
      <c r="BL3069" s="129" t="str">
        <f t="shared" si="2223"/>
        <v>DEFERRED</v>
      </c>
      <c r="BM3069" s="129" t="s">
        <v>76</v>
      </c>
      <c r="BN3069" s="129" t="s">
        <v>88</v>
      </c>
      <c r="BP3069" s="137" t="str">
        <f t="shared" si="2191"/>
        <v>DEFERRED</v>
      </c>
      <c r="BQ3069" s="128" t="str">
        <f t="shared" si="2200"/>
        <v>Y</v>
      </c>
      <c r="BR3069" s="129" t="str">
        <f t="shared" si="2192"/>
        <v>ON BOND</v>
      </c>
      <c r="BS3069" s="129" t="str">
        <f t="shared" si="2193"/>
        <v>DISPOSED</v>
      </c>
      <c r="BT3069" s="129" t="str">
        <f t="shared" si="2194"/>
        <v>N</v>
      </c>
      <c r="BU3069" s="109">
        <f t="shared" si="2195"/>
        <v>1.0869565217391304E-2</v>
      </c>
      <c r="BV3069" s="109">
        <f t="shared" si="2201"/>
        <v>1.092896174863388E-2</v>
      </c>
      <c r="BW3069" s="109">
        <f t="shared" si="2216"/>
        <v>5.9396531242575726E-5</v>
      </c>
      <c r="BX3069" s="111">
        <f t="shared" si="2196"/>
        <v>0</v>
      </c>
      <c r="BY3069" s="129">
        <f t="shared" si="2202"/>
        <v>-2</v>
      </c>
      <c r="BZ3069" s="111">
        <f t="shared" si="2203"/>
        <v>0</v>
      </c>
      <c r="CA3069" s="138">
        <f t="shared" si="2204"/>
        <v>2</v>
      </c>
      <c r="CB3069" s="111" t="e">
        <f t="shared" si="2226"/>
        <v>#VALUE!</v>
      </c>
      <c r="CC3069" s="129">
        <f>M3069-I3069+1</f>
        <v>2</v>
      </c>
      <c r="CD3069" s="111">
        <f>CC3069-BF3069</f>
        <v>0</v>
      </c>
      <c r="CG3069" s="129" t="str">
        <f t="shared" si="2205"/>
        <v>N</v>
      </c>
      <c r="CI3069" s="129" t="str">
        <f t="shared" si="2207"/>
        <v>0-10 DAYS</v>
      </c>
      <c r="CJ3069" s="137">
        <f t="shared" si="2208"/>
        <v>1</v>
      </c>
      <c r="CK3069" s="129" t="str">
        <f t="shared" si="2209"/>
        <v>Booked</v>
      </c>
    </row>
    <row r="3070" spans="1:89" ht="15.75" customHeight="1" x14ac:dyDescent="0.25">
      <c r="A3070" s="111">
        <v>2577</v>
      </c>
      <c r="B3070" s="128" t="str">
        <f t="shared" si="2197"/>
        <v>N</v>
      </c>
      <c r="C3070" s="128" t="str">
        <f t="shared" si="2198"/>
        <v>N</v>
      </c>
      <c r="D3070" s="117">
        <v>2613013</v>
      </c>
      <c r="E3070" s="135">
        <f t="shared" si="2199"/>
        <v>2</v>
      </c>
      <c r="F3070" s="124">
        <v>41004</v>
      </c>
      <c r="G3070" s="125">
        <v>41108</v>
      </c>
      <c r="H3070" s="117">
        <v>2613013</v>
      </c>
      <c r="I3070" s="124">
        <v>41005</v>
      </c>
      <c r="J3070" s="124">
        <v>41005</v>
      </c>
      <c r="K3070" s="126">
        <v>2000</v>
      </c>
      <c r="L3070" s="127" t="s">
        <v>568</v>
      </c>
      <c r="M3070" s="125">
        <v>41005</v>
      </c>
      <c r="N3070" s="129" t="str">
        <f t="shared" si="2222"/>
        <v>Y</v>
      </c>
      <c r="O3070" s="128" t="s">
        <v>76</v>
      </c>
      <c r="P3070" s="129" t="s">
        <v>589</v>
      </c>
      <c r="Q3070" s="111">
        <f t="shared" si="2224"/>
        <v>1</v>
      </c>
      <c r="R3070" s="111">
        <f t="shared" si="2227"/>
        <v>105</v>
      </c>
      <c r="S3070" s="129">
        <v>0</v>
      </c>
      <c r="T3070" s="129">
        <v>0</v>
      </c>
      <c r="W3070" s="111"/>
      <c r="AB3070" s="131" t="s">
        <v>112</v>
      </c>
      <c r="AC3070" s="130"/>
      <c r="AD3070" s="130">
        <v>33863</v>
      </c>
      <c r="AE3070" s="128" t="s">
        <v>46</v>
      </c>
      <c r="AF3070" s="128" t="s">
        <v>40</v>
      </c>
      <c r="AG3070" s="128" t="s">
        <v>41</v>
      </c>
      <c r="AH3070" s="108" t="s">
        <v>31</v>
      </c>
      <c r="AI3070" s="128" t="s">
        <v>34</v>
      </c>
      <c r="AJ3070" s="129" t="s">
        <v>48</v>
      </c>
      <c r="AK3070" s="129">
        <v>5</v>
      </c>
      <c r="AL3070" s="3" t="s">
        <v>48</v>
      </c>
      <c r="AP3070" s="129" t="s">
        <v>108</v>
      </c>
      <c r="AR3070" s="128" t="s">
        <v>44</v>
      </c>
      <c r="AS3070" s="129" t="s">
        <v>61</v>
      </c>
      <c r="BC3070" s="129" t="s">
        <v>38</v>
      </c>
      <c r="BF3070" s="111">
        <f t="shared" si="2225"/>
        <v>1</v>
      </c>
      <c r="BG3070" s="111">
        <f t="shared" si="2221"/>
        <v>104</v>
      </c>
      <c r="BH3070" s="111">
        <f t="shared" si="2228"/>
        <v>105</v>
      </c>
      <c r="BI3070" s="111">
        <f t="shared" si="2189"/>
        <v>19.510928961748633</v>
      </c>
      <c r="BJ3070" s="129">
        <f>(G3070-J3070)+(M3070-G3070)</f>
        <v>0</v>
      </c>
      <c r="BK3070" s="129">
        <f t="shared" si="2229"/>
        <v>-103</v>
      </c>
      <c r="BL3070" s="129" t="str">
        <f t="shared" si="2223"/>
        <v>DEFERRED</v>
      </c>
      <c r="BM3070" s="129" t="s">
        <v>76</v>
      </c>
      <c r="BN3070" s="129" t="s">
        <v>88</v>
      </c>
      <c r="BP3070" s="137" t="str">
        <f t="shared" si="2191"/>
        <v>DEFERRED</v>
      </c>
      <c r="BQ3070" s="128" t="str">
        <f t="shared" si="2200"/>
        <v>Y</v>
      </c>
      <c r="BR3070" s="129" t="str">
        <f t="shared" si="2192"/>
        <v>ON BOND</v>
      </c>
      <c r="BS3070" s="129" t="str">
        <f t="shared" si="2193"/>
        <v>DISPOSED</v>
      </c>
      <c r="BT3070" s="129" t="str">
        <f t="shared" si="2194"/>
        <v>N</v>
      </c>
      <c r="BU3070" s="109">
        <f t="shared" si="2195"/>
        <v>9.5238095238095247E-3</v>
      </c>
      <c r="BV3070" s="109">
        <f t="shared" si="2201"/>
        <v>9.6153846153846159E-3</v>
      </c>
      <c r="BW3070" s="109">
        <f t="shared" si="2216"/>
        <v>9.157509157509125E-5</v>
      </c>
      <c r="BX3070" s="111">
        <f t="shared" si="2196"/>
        <v>0</v>
      </c>
      <c r="BY3070" s="129">
        <f t="shared" si="2202"/>
        <v>-1</v>
      </c>
      <c r="BZ3070" s="111">
        <f t="shared" si="2203"/>
        <v>0</v>
      </c>
      <c r="CA3070" s="138">
        <f t="shared" si="2204"/>
        <v>1</v>
      </c>
      <c r="CB3070" s="111" t="e">
        <f t="shared" si="2226"/>
        <v>#VALUE!</v>
      </c>
      <c r="CC3070" s="129">
        <f>M3070-I3070+1</f>
        <v>1</v>
      </c>
      <c r="CD3070" s="111">
        <f>CC3070-BF3070</f>
        <v>0</v>
      </c>
      <c r="CG3070" s="129" t="str">
        <f t="shared" si="2205"/>
        <v>N</v>
      </c>
      <c r="CI3070" s="129" t="str">
        <f t="shared" si="2207"/>
        <v>0-10 DAYS</v>
      </c>
      <c r="CJ3070" s="137">
        <f t="shared" si="2208"/>
        <v>1</v>
      </c>
      <c r="CK3070" s="129" t="str">
        <f t="shared" si="2209"/>
        <v>Booked</v>
      </c>
    </row>
    <row r="3071" spans="1:89" ht="15.75" customHeight="1" x14ac:dyDescent="0.25">
      <c r="A3071" s="111">
        <v>2578</v>
      </c>
      <c r="B3071" s="128" t="str">
        <f t="shared" si="2197"/>
        <v>N</v>
      </c>
      <c r="C3071" s="128" t="str">
        <f t="shared" si="2198"/>
        <v>N</v>
      </c>
      <c r="D3071" s="114">
        <v>2613015</v>
      </c>
      <c r="E3071" s="135">
        <f t="shared" si="2199"/>
        <v>1</v>
      </c>
      <c r="F3071" s="124">
        <v>41005</v>
      </c>
      <c r="G3071" s="125">
        <v>41733</v>
      </c>
      <c r="H3071" s="114">
        <v>2613015</v>
      </c>
      <c r="I3071" s="124">
        <v>41681</v>
      </c>
      <c r="J3071" s="124">
        <v>41692</v>
      </c>
      <c r="K3071" s="126">
        <v>1000</v>
      </c>
      <c r="L3071" s="127" t="s">
        <v>568</v>
      </c>
      <c r="M3071" s="125">
        <v>41683</v>
      </c>
      <c r="N3071" s="129" t="str">
        <f>IF(M3071&gt;1/1/1,"Y",IF(Q3071="NOT BOOKED","","N"))</f>
        <v>Y</v>
      </c>
      <c r="O3071" s="128" t="s">
        <v>583</v>
      </c>
      <c r="P3071" s="129" t="s">
        <v>55</v>
      </c>
      <c r="Q3071" s="111">
        <v>3</v>
      </c>
      <c r="R3071" s="111">
        <v>728</v>
      </c>
      <c r="S3071" s="129">
        <v>0</v>
      </c>
      <c r="T3071" s="129">
        <v>0</v>
      </c>
      <c r="W3071" s="111"/>
      <c r="AC3071" s="130"/>
      <c r="AD3071" s="130">
        <v>31705</v>
      </c>
      <c r="AE3071" s="128" t="s">
        <v>46</v>
      </c>
      <c r="AF3071" s="128" t="s">
        <v>69</v>
      </c>
      <c r="AG3071" s="128" t="s">
        <v>874</v>
      </c>
      <c r="AH3071" s="108" t="s">
        <v>31</v>
      </c>
      <c r="AI3071" s="128" t="s">
        <v>118</v>
      </c>
      <c r="AJ3071" s="129" t="s">
        <v>55</v>
      </c>
      <c r="AK3071" s="129">
        <v>7</v>
      </c>
      <c r="AL3071" s="3" t="s">
        <v>55</v>
      </c>
      <c r="AP3071" s="129" t="s">
        <v>458</v>
      </c>
      <c r="AR3071" s="128" t="s">
        <v>46</v>
      </c>
      <c r="AS3071" s="129" t="s">
        <v>64</v>
      </c>
      <c r="AT3071" s="129" t="s">
        <v>1402</v>
      </c>
      <c r="AU3071" s="129"/>
      <c r="AY3071" s="123"/>
      <c r="BA3071" s="125"/>
      <c r="BC3071" s="129" t="s">
        <v>52</v>
      </c>
      <c r="BF3071" s="111">
        <v>3</v>
      </c>
      <c r="BG3071" s="111">
        <v>3</v>
      </c>
      <c r="BH3071" s="111">
        <v>728</v>
      </c>
      <c r="BI3071" s="111">
        <f t="shared" ref="BI3071" si="2230">(F3071-AD3071)/366</f>
        <v>25.409836065573771</v>
      </c>
      <c r="BJ3071" s="129">
        <f>(G3071-J3071)+(M3071-G3071)</f>
        <v>-9</v>
      </c>
      <c r="BK3071" s="129">
        <f t="shared" si="2229"/>
        <v>-41</v>
      </c>
      <c r="BL3071" s="129" t="str">
        <f t="shared" si="2223"/>
        <v>NO CONVICTION</v>
      </c>
      <c r="BM3071" s="129" t="s">
        <v>76</v>
      </c>
      <c r="BN3071" s="129" t="s">
        <v>566</v>
      </c>
      <c r="BP3071" s="137" t="str">
        <f t="shared" si="2191"/>
        <v>NO CONVICTION</v>
      </c>
      <c r="BQ3071" s="128" t="str">
        <f t="shared" si="2200"/>
        <v>Y</v>
      </c>
      <c r="BR3071" s="129" t="s">
        <v>575</v>
      </c>
      <c r="BS3071" s="129" t="str">
        <f t="shared" si="2193"/>
        <v>DISPOSED</v>
      </c>
      <c r="BT3071" s="129" t="str">
        <f t="shared" si="2194"/>
        <v>N</v>
      </c>
      <c r="BU3071" s="109">
        <f>IFERROR(Q3071/R3071,BR3071)</f>
        <v>4.120879120879121E-3</v>
      </c>
      <c r="BV3071" s="139">
        <v>4.1000000000000003E-3</v>
      </c>
      <c r="BW3071" s="109">
        <v>0</v>
      </c>
      <c r="BX3071" s="111">
        <f t="shared" si="2196"/>
        <v>0</v>
      </c>
      <c r="BY3071" s="129">
        <f t="shared" si="2202"/>
        <v>-12</v>
      </c>
      <c r="BZ3071" s="111">
        <f t="shared" si="2203"/>
        <v>-9</v>
      </c>
      <c r="CA3071" s="138">
        <f t="shared" si="2204"/>
        <v>3</v>
      </c>
      <c r="CB3071" s="111" t="e">
        <f t="shared" si="2226"/>
        <v>#VALUE!</v>
      </c>
      <c r="CC3071" s="129">
        <v>3</v>
      </c>
      <c r="CG3071" s="129" t="str">
        <f t="shared" si="2205"/>
        <v>N</v>
      </c>
      <c r="CH3071" s="129" t="e">
        <v>#N/A</v>
      </c>
      <c r="CI3071" s="129" t="str">
        <f t="shared" si="2207"/>
        <v>0-10 DAYS</v>
      </c>
      <c r="CJ3071" s="137">
        <f t="shared" si="2208"/>
        <v>1</v>
      </c>
      <c r="CK3071" s="129" t="str">
        <f t="shared" si="2209"/>
        <v>Booked</v>
      </c>
    </row>
    <row r="3072" spans="1:89" ht="15" customHeight="1" x14ac:dyDescent="0.25">
      <c r="A3072" s="111">
        <v>2592</v>
      </c>
      <c r="B3072" s="128" t="str">
        <f t="shared" si="2197"/>
        <v>N</v>
      </c>
      <c r="C3072" s="128" t="str">
        <f t="shared" si="2198"/>
        <v>N</v>
      </c>
      <c r="D3072" s="117">
        <v>2613041</v>
      </c>
      <c r="E3072" s="135">
        <f t="shared" si="2199"/>
        <v>6</v>
      </c>
      <c r="F3072" s="124">
        <v>41005</v>
      </c>
      <c r="G3072" s="125">
        <v>41031</v>
      </c>
      <c r="H3072" s="117">
        <v>2613041</v>
      </c>
      <c r="I3072" s="124">
        <v>41006</v>
      </c>
      <c r="J3072" s="124">
        <v>41031</v>
      </c>
      <c r="K3072" s="126">
        <v>70000</v>
      </c>
      <c r="L3072" s="129" t="s">
        <v>572</v>
      </c>
      <c r="N3072" s="129" t="str">
        <f>IF(M3072&gt;1/1/1,"Y","N")</f>
        <v>N</v>
      </c>
      <c r="O3072" s="128" t="s">
        <v>917</v>
      </c>
      <c r="P3072" s="129" t="s">
        <v>39</v>
      </c>
      <c r="Q3072" s="111">
        <f t="shared" si="2224"/>
        <v>26</v>
      </c>
      <c r="R3072" s="111">
        <f t="shared" si="2227"/>
        <v>27</v>
      </c>
      <c r="S3072" s="129">
        <v>0</v>
      </c>
      <c r="T3072" s="129">
        <v>0</v>
      </c>
      <c r="W3072" s="111"/>
      <c r="AB3072" s="131" t="s">
        <v>112</v>
      </c>
      <c r="AC3072" s="130"/>
      <c r="AD3072" s="130">
        <v>30538</v>
      </c>
      <c r="AE3072" s="128" t="s">
        <v>32</v>
      </c>
      <c r="AF3072" s="128" t="s">
        <v>40</v>
      </c>
      <c r="AG3072" s="128" t="s">
        <v>41</v>
      </c>
      <c r="AH3072" s="108" t="s">
        <v>31</v>
      </c>
      <c r="AI3072" s="128" t="s">
        <v>70</v>
      </c>
      <c r="AJ3072" s="129" t="s">
        <v>89</v>
      </c>
      <c r="AK3072" s="129">
        <v>2</v>
      </c>
      <c r="AL3072" s="3" t="s">
        <v>362</v>
      </c>
      <c r="AM3072" s="117">
        <v>3</v>
      </c>
      <c r="AP3072" s="129" t="s">
        <v>205</v>
      </c>
      <c r="AR3072" s="128" t="s">
        <v>92</v>
      </c>
      <c r="AS3072" s="129" t="s">
        <v>82</v>
      </c>
      <c r="BC3072" s="129" t="s">
        <v>38</v>
      </c>
      <c r="BF3072" s="111">
        <f>IF(J3072&gt;1/1/1900,((J3072+1)-I3072),"STILL OPEN")</f>
        <v>26</v>
      </c>
      <c r="BG3072" s="111">
        <f t="shared" si="2221"/>
        <v>26</v>
      </c>
      <c r="BH3072" s="111">
        <f t="shared" si="2228"/>
        <v>27</v>
      </c>
      <c r="BI3072" s="111">
        <f t="shared" ref="BI3072:BI3134" si="2231">(F3072-AD3072)/366</f>
        <v>28.598360655737704</v>
      </c>
      <c r="BJ3072" s="129">
        <f>G3072-J3072-M3072</f>
        <v>0</v>
      </c>
      <c r="BK3072" s="129">
        <f t="shared" si="2229"/>
        <v>0</v>
      </c>
      <c r="BL3072" s="129" t="str">
        <f t="shared" si="2223"/>
        <v>CONVICTION</v>
      </c>
      <c r="BM3072" s="129" t="str">
        <f>O3072</f>
        <v>NONE</v>
      </c>
      <c r="BN3072" s="129" t="s">
        <v>566</v>
      </c>
      <c r="BP3072" s="137" t="str">
        <f t="shared" ref="BP3072:BP3135" si="2232">IF(OR(AJ3072="AQUITTAL",AJ3072="DISMISSED",AJ3072="FINE",AJ3072="NO BILL"),"NO CONVICTION",IF(OR(AJ3072="HCJ",AJ3072="MHH",AJ3072="PROBATION",AJ3072="STJ",AJ3072="TDC",AJ3072="CONVICTED"),"CONVICTION",IF(AJ3072="DEFERRED","DEFERRED","")))</f>
        <v>CONVICTION</v>
      </c>
      <c r="BQ3072" s="128" t="str">
        <f t="shared" si="2200"/>
        <v>Y</v>
      </c>
      <c r="BR3072" s="129" t="str">
        <f t="shared" ref="BR3072:BR3135" si="2233">IF(AND(J3072="NOT BOOKED",M3072&gt;1/1/1),"BONDED - BEFORE BOOKED",IF(BG3072="STILL OPEN","STILL OPEN",IF(N3072="Y","ON BOND",IF(J3072&gt;=G3072,"DETAINED","RELEASED"))))</f>
        <v>DETAINED</v>
      </c>
      <c r="BS3072" s="129" t="str">
        <f t="shared" ref="BS3072:BS3135" si="2234">IF(G3072&lt;&gt;"","DISPOSED","")</f>
        <v>DISPOSED</v>
      </c>
      <c r="BT3072" s="129" t="str">
        <f t="shared" ref="BT3072:BT3135" si="2235">IF(S3072&gt;0,"Y","N")</f>
        <v>N</v>
      </c>
      <c r="BU3072" s="109">
        <f t="shared" ref="BU3072:BU3133" si="2236">Q3072/R3072</f>
        <v>0.96296296296296291</v>
      </c>
      <c r="BV3072" s="109">
        <f t="shared" si="2201"/>
        <v>1</v>
      </c>
      <c r="BW3072" s="109">
        <f>BV3072-BU3072</f>
        <v>3.703703703703709E-2</v>
      </c>
      <c r="BX3072" s="111">
        <f t="shared" ref="BX3072:BX3135" si="2237">+Q3072-BF3072</f>
        <v>0</v>
      </c>
      <c r="BY3072" s="129">
        <f t="shared" si="2202"/>
        <v>-26</v>
      </c>
      <c r="BZ3072" s="111">
        <f t="shared" si="2203"/>
        <v>0</v>
      </c>
      <c r="CA3072" s="138">
        <f t="shared" si="2204"/>
        <v>26</v>
      </c>
      <c r="CB3072" s="111" t="e">
        <f>IF(AF3072&gt;1/1/1900,((AF3072+1)-AE3072),"STILL OPEN")</f>
        <v>#VALUE!</v>
      </c>
      <c r="CC3072" s="129">
        <f>G3072-I3072+1</f>
        <v>26</v>
      </c>
      <c r="CD3072" s="129">
        <f>G3072-J3072</f>
        <v>0</v>
      </c>
      <c r="CG3072" s="129" t="str">
        <f t="shared" si="2205"/>
        <v>N</v>
      </c>
      <c r="CI3072" s="129" t="str">
        <f t="shared" si="2207"/>
        <v>11-30 DAYS</v>
      </c>
      <c r="CJ3072" s="137">
        <f t="shared" si="2208"/>
        <v>2</v>
      </c>
      <c r="CK3072" s="129" t="str">
        <f t="shared" si="2209"/>
        <v>Booked</v>
      </c>
    </row>
    <row r="3073" spans="1:89" ht="15.75" customHeight="1" x14ac:dyDescent="0.25">
      <c r="A3073" s="111">
        <v>2607</v>
      </c>
      <c r="B3073" s="128" t="str">
        <f t="shared" ref="B3073:B3136" si="2238">IF(BD3073&lt;&gt;"","Y","N")</f>
        <v>N</v>
      </c>
      <c r="C3073" s="128" t="str">
        <f t="shared" ref="C3073:C3136" si="2239">IF((AND(AV3073="",AX3073="",AY3073="")),"N","Y")</f>
        <v>N</v>
      </c>
      <c r="D3073" s="117">
        <v>2613076</v>
      </c>
      <c r="E3073" s="135">
        <f t="shared" ref="E3073:E3136" si="2240">IF(OR(AL3073="ACQUITTAL",AL3073="ACQUIT",AL3073="acq insane",AL3073="DISMISSED",AL3073="NO BILL"),1,IF(AL3073="DEFERRED",2,IF(AL3073="PROBATION",3,IF(OR(AL3073="HCJ",AL3073="fine"),4,IF(AL3073="STJ",5,IF(AL3073="TDC",6,""))))))</f>
        <v>2</v>
      </c>
      <c r="F3073" s="124">
        <v>41005</v>
      </c>
      <c r="G3073" s="125">
        <v>41008</v>
      </c>
      <c r="H3073" s="117">
        <v>2613076</v>
      </c>
      <c r="I3073" s="124">
        <v>41006</v>
      </c>
      <c r="J3073" s="124">
        <v>41008</v>
      </c>
      <c r="K3073" s="126">
        <v>2000</v>
      </c>
      <c r="L3073" s="127" t="s">
        <v>568</v>
      </c>
      <c r="N3073" s="129" t="str">
        <f>IF(M3073&gt;1/1/1,"Y","N")</f>
        <v>N</v>
      </c>
      <c r="O3073" s="128" t="s">
        <v>917</v>
      </c>
      <c r="P3073" s="129" t="s">
        <v>589</v>
      </c>
      <c r="Q3073" s="111">
        <f t="shared" si="2224"/>
        <v>3</v>
      </c>
      <c r="R3073" s="111">
        <f t="shared" si="2227"/>
        <v>4</v>
      </c>
      <c r="S3073" s="129">
        <v>0</v>
      </c>
      <c r="T3073" s="129">
        <v>0</v>
      </c>
      <c r="W3073" s="111"/>
      <c r="AC3073" s="130"/>
      <c r="AD3073" s="130">
        <v>34321</v>
      </c>
      <c r="AE3073" s="128" t="s">
        <v>46</v>
      </c>
      <c r="AF3073" s="128" t="s">
        <v>33</v>
      </c>
      <c r="AG3073" s="128" t="s">
        <v>872</v>
      </c>
      <c r="AH3073" s="108" t="s">
        <v>31</v>
      </c>
      <c r="AI3073" s="128" t="s">
        <v>87</v>
      </c>
      <c r="AJ3073" s="129" t="s">
        <v>48</v>
      </c>
      <c r="AK3073" s="129">
        <v>2</v>
      </c>
      <c r="AL3073" s="3" t="s">
        <v>48</v>
      </c>
      <c r="AP3073" s="129" t="s">
        <v>108</v>
      </c>
      <c r="AR3073" s="128" t="s">
        <v>44</v>
      </c>
      <c r="AS3073" s="129" t="s">
        <v>61</v>
      </c>
      <c r="AT3073" s="129" t="s">
        <v>461</v>
      </c>
      <c r="BC3073" s="129" t="s">
        <v>38</v>
      </c>
      <c r="BF3073" s="111">
        <f>IF(J3073&gt;1/1/1900,((J3073+1)-I3073),"STILL OPEN")</f>
        <v>3</v>
      </c>
      <c r="BG3073" s="111">
        <f t="shared" si="2221"/>
        <v>3</v>
      </c>
      <c r="BH3073" s="111">
        <f t="shared" si="2228"/>
        <v>4</v>
      </c>
      <c r="BI3073" s="111">
        <f t="shared" si="2231"/>
        <v>18.262295081967213</v>
      </c>
      <c r="BJ3073" s="129">
        <f>G3073-J3073-M3073</f>
        <v>0</v>
      </c>
      <c r="BK3073" s="129">
        <f t="shared" si="2229"/>
        <v>0</v>
      </c>
      <c r="BL3073" s="129" t="str">
        <f t="shared" si="2223"/>
        <v>DEFERRED</v>
      </c>
      <c r="BM3073" s="129" t="str">
        <f>O3073</f>
        <v>NONE</v>
      </c>
      <c r="BN3073" s="129" t="s">
        <v>566</v>
      </c>
      <c r="BP3073" s="137" t="str">
        <f t="shared" si="2232"/>
        <v>DEFERRED</v>
      </c>
      <c r="BQ3073" s="128" t="str">
        <f t="shared" ref="BQ3073:BQ3136" si="2241">IF(BF3073&gt;0,"Y",BF3073)</f>
        <v>Y</v>
      </c>
      <c r="BR3073" s="129" t="str">
        <f t="shared" si="2233"/>
        <v>DETAINED</v>
      </c>
      <c r="BS3073" s="129" t="str">
        <f t="shared" si="2234"/>
        <v>DISPOSED</v>
      </c>
      <c r="BT3073" s="129" t="str">
        <f t="shared" si="2235"/>
        <v>N</v>
      </c>
      <c r="BU3073" s="109">
        <f t="shared" si="2236"/>
        <v>0.75</v>
      </c>
      <c r="BV3073" s="109">
        <f t="shared" ref="BV3073:BV3136" si="2242">IF(I3073&gt;F3073,((J3073-I3073+1)/(G3073-I3073+1)),(J3073-I3073+1)/(G3073-F3073+1))</f>
        <v>1</v>
      </c>
      <c r="BW3073" s="109">
        <f>BV3073-BU3073</f>
        <v>0.25</v>
      </c>
      <c r="BX3073" s="111">
        <f t="shared" si="2237"/>
        <v>0</v>
      </c>
      <c r="BY3073" s="129">
        <f t="shared" ref="BY3073:BY3136" si="2243">I3073-J3073-1</f>
        <v>-3</v>
      </c>
      <c r="BZ3073" s="111">
        <f t="shared" ref="BZ3073:BZ3136" si="2244">BY3073+BF3073</f>
        <v>0</v>
      </c>
      <c r="CA3073" s="138">
        <f t="shared" ref="CA3073:CA3136" si="2245">IF(AND(BS3073="DISPOSED",BR3073="DETAINED"),G3073-I3073+1,IF(AND(BS3073="DISPOSED",BR3073="ON BOND"),M3073-I3073+1,IF(AND(BS3073="STILL OPEN","STILL OPEN"),"NOT BOOKED")))</f>
        <v>3</v>
      </c>
      <c r="CB3073" s="111" t="e">
        <f>IF(AF3073&gt;1/1/1900,((AF3073+1)-AE3073),"STILL OPEN")</f>
        <v>#VALUE!</v>
      </c>
      <c r="CC3073" s="129">
        <f>G3073-I3073+1</f>
        <v>3</v>
      </c>
      <c r="CD3073" s="129">
        <f>G3073-J3073</f>
        <v>0</v>
      </c>
      <c r="CG3073" s="129" t="str">
        <f t="shared" ref="CG3073:CG3136" si="2246">IF((S3073+T3073+U3073)&gt;0,"Y","N")</f>
        <v>N</v>
      </c>
      <c r="CI3073" s="129" t="str">
        <f t="shared" si="2207"/>
        <v>0-10 DAYS</v>
      </c>
      <c r="CJ3073" s="137">
        <f t="shared" si="2208"/>
        <v>1</v>
      </c>
      <c r="CK3073" s="129" t="str">
        <f t="shared" si="2209"/>
        <v>Booked</v>
      </c>
    </row>
    <row r="3074" spans="1:89" ht="15" customHeight="1" x14ac:dyDescent="0.25">
      <c r="A3074" s="111">
        <v>2617</v>
      </c>
      <c r="B3074" s="128" t="str">
        <f t="shared" si="2238"/>
        <v>N</v>
      </c>
      <c r="C3074" s="128" t="str">
        <f t="shared" si="2239"/>
        <v>N</v>
      </c>
      <c r="D3074" s="117">
        <v>2613100</v>
      </c>
      <c r="E3074" s="135">
        <f t="shared" si="2240"/>
        <v>6</v>
      </c>
      <c r="F3074" s="124">
        <v>41006</v>
      </c>
      <c r="G3074" s="125">
        <v>41724</v>
      </c>
      <c r="H3074" s="117">
        <v>2613100</v>
      </c>
      <c r="I3074" s="124">
        <v>41006</v>
      </c>
      <c r="J3074" s="125">
        <v>41724</v>
      </c>
      <c r="K3074" s="126" t="s">
        <v>564</v>
      </c>
      <c r="L3074" s="127" t="s">
        <v>564</v>
      </c>
      <c r="N3074" s="129" t="s">
        <v>566</v>
      </c>
      <c r="O3074" s="128" t="s">
        <v>917</v>
      </c>
      <c r="P3074" s="129" t="s">
        <v>39</v>
      </c>
      <c r="Q3074" s="111">
        <v>719</v>
      </c>
      <c r="R3074" s="111">
        <f t="shared" si="2227"/>
        <v>728</v>
      </c>
      <c r="S3074" s="129">
        <v>0</v>
      </c>
      <c r="T3074" s="129">
        <v>0</v>
      </c>
      <c r="W3074" s="111"/>
      <c r="AB3074" s="131" t="s">
        <v>112</v>
      </c>
      <c r="AC3074" s="130"/>
      <c r="AD3074" s="130">
        <v>20796</v>
      </c>
      <c r="AE3074" s="128" t="s">
        <v>46</v>
      </c>
      <c r="AF3074" s="128" t="s">
        <v>69</v>
      </c>
      <c r="AG3074" s="128" t="s">
        <v>874</v>
      </c>
      <c r="AH3074" s="108" t="s">
        <v>31</v>
      </c>
      <c r="AI3074" s="128" t="s">
        <v>95</v>
      </c>
      <c r="AJ3074" s="129" t="s">
        <v>89</v>
      </c>
      <c r="AK3074" s="129">
        <v>19</v>
      </c>
      <c r="AL3074" s="3" t="s">
        <v>362</v>
      </c>
      <c r="AM3074" s="117">
        <v>40</v>
      </c>
      <c r="AP3074" s="32" t="s">
        <v>35</v>
      </c>
      <c r="AR3074" s="128" t="s">
        <v>36</v>
      </c>
      <c r="AS3074" s="129" t="s">
        <v>37</v>
      </c>
      <c r="BC3074" s="129" t="s">
        <v>52</v>
      </c>
      <c r="BF3074" s="111">
        <v>728</v>
      </c>
      <c r="BG3074" s="111">
        <v>728</v>
      </c>
      <c r="BH3074" s="111">
        <v>728</v>
      </c>
      <c r="BI3074" s="111">
        <f t="shared" si="2231"/>
        <v>55.21857923497268</v>
      </c>
      <c r="BJ3074" s="129">
        <f>G3074-J3074-M3074</f>
        <v>0</v>
      </c>
      <c r="BK3074" s="129">
        <f t="shared" si="2229"/>
        <v>0</v>
      </c>
      <c r="BL3074" s="129" t="str">
        <f t="shared" si="2223"/>
        <v>CONVICTION</v>
      </c>
      <c r="BM3074" s="129" t="str">
        <f>O3074</f>
        <v>NONE</v>
      </c>
      <c r="BN3074" s="129" t="s">
        <v>566</v>
      </c>
      <c r="BP3074" s="137" t="str">
        <f t="shared" si="2232"/>
        <v>CONVICTION</v>
      </c>
      <c r="BQ3074" s="128" t="str">
        <f t="shared" si="2241"/>
        <v>Y</v>
      </c>
      <c r="BR3074" s="129" t="s">
        <v>574</v>
      </c>
      <c r="BS3074" s="129" t="s">
        <v>1259</v>
      </c>
      <c r="BT3074" s="129" t="str">
        <f t="shared" si="2235"/>
        <v>N</v>
      </c>
      <c r="BU3074" s="109">
        <v>1</v>
      </c>
      <c r="BV3074" s="139">
        <v>1</v>
      </c>
      <c r="BW3074" s="109">
        <v>0</v>
      </c>
      <c r="BX3074" s="111">
        <f t="shared" si="2237"/>
        <v>-9</v>
      </c>
      <c r="BY3074" s="129">
        <f t="shared" si="2243"/>
        <v>-719</v>
      </c>
      <c r="BZ3074" s="111">
        <f t="shared" si="2244"/>
        <v>9</v>
      </c>
      <c r="CA3074" s="138">
        <f t="shared" si="2245"/>
        <v>719</v>
      </c>
      <c r="CB3074" s="111" t="e">
        <f>IF(AF3074&gt;1/1/1900,((AF3074+1)-AE3074),"STILL OPEN")</f>
        <v>#VALUE!</v>
      </c>
      <c r="CC3074" s="129">
        <v>728</v>
      </c>
      <c r="CG3074" s="129" t="str">
        <f t="shared" si="2246"/>
        <v>N</v>
      </c>
      <c r="CH3074" s="129" t="e">
        <v>#N/A</v>
      </c>
      <c r="CI3074" s="129" t="str">
        <f t="shared" si="2207"/>
        <v xml:space="preserve"> &gt;1YRS&lt;2YRS</v>
      </c>
      <c r="CJ3074" s="137">
        <f t="shared" si="2208"/>
        <v>0</v>
      </c>
      <c r="CK3074" s="129" t="str">
        <f t="shared" si="2209"/>
        <v>Booked</v>
      </c>
    </row>
    <row r="3075" spans="1:89" ht="15" customHeight="1" x14ac:dyDescent="0.25">
      <c r="A3075" s="111">
        <v>2618</v>
      </c>
      <c r="B3075" s="128" t="str">
        <f t="shared" si="2238"/>
        <v>N</v>
      </c>
      <c r="C3075" s="128" t="str">
        <f t="shared" si="2239"/>
        <v>N</v>
      </c>
      <c r="D3075" s="114">
        <v>2613104</v>
      </c>
      <c r="E3075" s="135">
        <f t="shared" si="2240"/>
        <v>2</v>
      </c>
      <c r="F3075" s="124">
        <v>41006</v>
      </c>
      <c r="G3075" s="125">
        <v>41008</v>
      </c>
      <c r="H3075" s="114">
        <v>2613104</v>
      </c>
      <c r="I3075" s="124">
        <v>41006</v>
      </c>
      <c r="J3075" s="124">
        <v>41008</v>
      </c>
      <c r="K3075" s="126">
        <v>2000</v>
      </c>
      <c r="L3075" s="127" t="s">
        <v>568</v>
      </c>
      <c r="N3075" s="129" t="str">
        <f>IF(M3075&gt;1/1/1,"Y","N")</f>
        <v>N</v>
      </c>
      <c r="O3075" s="128" t="s">
        <v>917</v>
      </c>
      <c r="P3075" s="129" t="s">
        <v>589</v>
      </c>
      <c r="Q3075" s="111">
        <f t="shared" si="2224"/>
        <v>3</v>
      </c>
      <c r="R3075" s="111">
        <f t="shared" si="2227"/>
        <v>3</v>
      </c>
      <c r="S3075" s="129">
        <v>0</v>
      </c>
      <c r="T3075" s="129">
        <v>0</v>
      </c>
      <c r="W3075" s="111"/>
      <c r="AC3075" s="130"/>
      <c r="AD3075" s="130">
        <v>34720</v>
      </c>
      <c r="AE3075" s="128" t="s">
        <v>32</v>
      </c>
      <c r="AF3075" s="128" t="s">
        <v>33</v>
      </c>
      <c r="AG3075" s="128" t="s">
        <v>872</v>
      </c>
      <c r="AH3075" s="108" t="s">
        <v>31</v>
      </c>
      <c r="AI3075" s="128" t="s">
        <v>118</v>
      </c>
      <c r="AJ3075" s="129" t="s">
        <v>48</v>
      </c>
      <c r="AK3075" s="129">
        <v>1</v>
      </c>
      <c r="AL3075" s="3" t="s">
        <v>48</v>
      </c>
      <c r="AP3075" s="129" t="s">
        <v>43</v>
      </c>
      <c r="AR3075" s="128" t="s">
        <v>44</v>
      </c>
      <c r="AS3075" s="129" t="s">
        <v>45</v>
      </c>
      <c r="AT3075" s="129" t="s">
        <v>656</v>
      </c>
      <c r="BC3075" s="129" t="s">
        <v>38</v>
      </c>
      <c r="BF3075" s="111">
        <f>IF(J3075&gt;1/1/1900,((J3075+1)-I3075),"STILL OPEN")</f>
        <v>3</v>
      </c>
      <c r="BG3075" s="111">
        <f t="shared" si="2221"/>
        <v>3</v>
      </c>
      <c r="BH3075" s="111">
        <f t="shared" si="2228"/>
        <v>3</v>
      </c>
      <c r="BI3075" s="111">
        <f t="shared" si="2231"/>
        <v>17.174863387978142</v>
      </c>
      <c r="BJ3075" s="129">
        <f>G3075-J3075-M3075</f>
        <v>0</v>
      </c>
      <c r="BK3075" s="129">
        <f t="shared" si="2229"/>
        <v>0</v>
      </c>
      <c r="BL3075" s="129" t="str">
        <f t="shared" si="2223"/>
        <v>DEFERRED</v>
      </c>
      <c r="BM3075" s="129" t="str">
        <f>O3075</f>
        <v>NONE</v>
      </c>
      <c r="BN3075" s="129" t="s">
        <v>566</v>
      </c>
      <c r="BP3075" s="137" t="str">
        <f t="shared" si="2232"/>
        <v>DEFERRED</v>
      </c>
      <c r="BQ3075" s="128" t="str">
        <f t="shared" si="2241"/>
        <v>Y</v>
      </c>
      <c r="BR3075" s="129" t="str">
        <f t="shared" si="2233"/>
        <v>DETAINED</v>
      </c>
      <c r="BS3075" s="129" t="str">
        <f t="shared" si="2234"/>
        <v>DISPOSED</v>
      </c>
      <c r="BT3075" s="129" t="str">
        <f t="shared" si="2235"/>
        <v>N</v>
      </c>
      <c r="BU3075" s="109">
        <f t="shared" si="2236"/>
        <v>1</v>
      </c>
      <c r="BV3075" s="109">
        <f t="shared" si="2242"/>
        <v>1</v>
      </c>
      <c r="BW3075" s="109">
        <f t="shared" ref="BW3075:BW3088" si="2247">BV3075-BU3075</f>
        <v>0</v>
      </c>
      <c r="BX3075" s="111">
        <f t="shared" si="2237"/>
        <v>0</v>
      </c>
      <c r="BY3075" s="129">
        <f t="shared" si="2243"/>
        <v>-3</v>
      </c>
      <c r="BZ3075" s="111">
        <f t="shared" si="2244"/>
        <v>0</v>
      </c>
      <c r="CA3075" s="138">
        <f t="shared" si="2245"/>
        <v>3</v>
      </c>
      <c r="CB3075" s="111" t="e">
        <f>IF(AF3075&gt;1/1/1900,((AF3075+1)-AE3075),"STILL OPEN")</f>
        <v>#VALUE!</v>
      </c>
      <c r="CC3075" s="129">
        <f>G3075-I3075+1</f>
        <v>3</v>
      </c>
      <c r="CD3075" s="129">
        <f>G3075-J3075</f>
        <v>0</v>
      </c>
      <c r="CG3075" s="129" t="str">
        <f t="shared" si="2246"/>
        <v>N</v>
      </c>
      <c r="CI3075" s="129" t="str">
        <f t="shared" ref="CI3075:CI3138" si="2248">IF(BF3075&lt;11,"0-10 DAYS",IF(AND(BF3075&gt;10,BF3075&lt;31),"11-30 DAYS",IF((AND(BF3075&gt;30,BF3075&lt;61)),"31-60 DAYS",IF(AND(BF3075&gt;60,BF3075&lt;91),"61-90 DAYS",IF(AND(BF3075&gt;90,BF3075&lt;121),"91-120 DAYS",IF(AND(BF3075&gt;120,BF3075&lt;366),"121-365 DAYS",IF(AND(BF3075&gt;365,BF3075&lt;730)," &gt;1YRS&lt;2YRS",IF(AND(BF3075&gt;729,BF3075&lt;1095),"&gt;2YRS&lt;3YRS",IF(BF3075&gt;1094,"&gt;3YRS")))))))))</f>
        <v>0-10 DAYS</v>
      </c>
      <c r="CJ3075" s="137">
        <f t="shared" ref="CJ3075:CJ3138" si="2249">IF(CI3075="0-10 DAYS",1,IF(CI3075="11-30 DAYS",2,IF(CI3075="31-60 DAYS",3,IF(CI3075="61-90 DAYS",4,IF(CK3075="91-120 DAYS",5,IF(CI3075="121-365 DAYS",6,IF(CI3075="&gt;1YRS&lt;2YRS",7,IF(CI3075="&gt;2YRS&lt;3YRS",8,IF(CI3075="&gt;3YRS",9,0)))))))))</f>
        <v>1</v>
      </c>
      <c r="CK3075" s="129" t="str">
        <f t="shared" ref="CK3075:CK3138" si="2250">IF(I3075="Not Booked","Not Booked","Booked")</f>
        <v>Booked</v>
      </c>
    </row>
    <row r="3076" spans="1:89" ht="15.75" customHeight="1" x14ac:dyDescent="0.25">
      <c r="A3076" s="111">
        <v>2619</v>
      </c>
      <c r="B3076" s="128" t="str">
        <f t="shared" si="2238"/>
        <v>N</v>
      </c>
      <c r="C3076" s="128" t="str">
        <f t="shared" si="2239"/>
        <v>N</v>
      </c>
      <c r="D3076" s="117">
        <v>2613110</v>
      </c>
      <c r="E3076" s="135">
        <f t="shared" si="2240"/>
        <v>4</v>
      </c>
      <c r="F3076" s="124">
        <v>41006</v>
      </c>
      <c r="G3076" s="125">
        <v>41087</v>
      </c>
      <c r="H3076" s="117">
        <v>2613110</v>
      </c>
      <c r="I3076" s="124" t="s">
        <v>562</v>
      </c>
      <c r="J3076" s="124" t="s">
        <v>562</v>
      </c>
      <c r="K3076" s="126">
        <v>2000</v>
      </c>
      <c r="L3076" s="127" t="s">
        <v>568</v>
      </c>
      <c r="M3076" s="125">
        <v>41006</v>
      </c>
      <c r="N3076" s="129" t="str">
        <f>IF(M3076&gt;1/1/1,"Y",IF(Q3076="0","","N"))</f>
        <v>Y</v>
      </c>
      <c r="O3076" s="128" t="s">
        <v>585</v>
      </c>
      <c r="P3076" s="129" t="s">
        <v>39</v>
      </c>
      <c r="Q3076" s="111">
        <f t="shared" si="2224"/>
        <v>0</v>
      </c>
      <c r="R3076" s="111">
        <f t="shared" si="2227"/>
        <v>82</v>
      </c>
      <c r="S3076" s="129">
        <v>0</v>
      </c>
      <c r="T3076" s="129">
        <v>0</v>
      </c>
      <c r="W3076" s="111"/>
      <c r="AB3076" s="131" t="s">
        <v>112</v>
      </c>
      <c r="AC3076" s="130"/>
      <c r="AD3076" s="130">
        <v>27826</v>
      </c>
      <c r="AE3076" s="128" t="s">
        <v>46</v>
      </c>
      <c r="AF3076" s="128" t="s">
        <v>40</v>
      </c>
      <c r="AG3076" s="128" t="s">
        <v>41</v>
      </c>
      <c r="AH3076" s="108" t="s">
        <v>31</v>
      </c>
      <c r="AI3076" s="128" t="s">
        <v>70</v>
      </c>
      <c r="AJ3076" s="129" t="s">
        <v>89</v>
      </c>
      <c r="AK3076" s="129">
        <v>5</v>
      </c>
      <c r="AL3076" s="3" t="s">
        <v>560</v>
      </c>
      <c r="AP3076" s="129" t="s">
        <v>155</v>
      </c>
      <c r="AR3076" s="128" t="s">
        <v>44</v>
      </c>
      <c r="AS3076" s="129" t="s">
        <v>64</v>
      </c>
      <c r="BC3076" s="129" t="s">
        <v>52</v>
      </c>
      <c r="BF3076" s="111">
        <v>0</v>
      </c>
      <c r="BG3076" s="111">
        <v>0</v>
      </c>
      <c r="BH3076" s="111">
        <f t="shared" si="2228"/>
        <v>82</v>
      </c>
      <c r="BI3076" s="111">
        <f t="shared" si="2231"/>
        <v>36.010928961748633</v>
      </c>
      <c r="BJ3076" s="129" t="e">
        <f>(G3076-J3076)+(M3076-G3076)</f>
        <v>#VALUE!</v>
      </c>
      <c r="BK3076" s="129" t="e">
        <f t="shared" si="2229"/>
        <v>#VALUE!</v>
      </c>
      <c r="BL3076" s="129" t="str">
        <f t="shared" si="2223"/>
        <v>NO CONVICTION</v>
      </c>
      <c r="BM3076" s="129" t="s">
        <v>76</v>
      </c>
      <c r="BN3076" s="129" t="s">
        <v>88</v>
      </c>
      <c r="BP3076" s="137" t="str">
        <f t="shared" si="2232"/>
        <v>CONVICTION</v>
      </c>
      <c r="BQ3076" s="128">
        <f t="shared" si="2241"/>
        <v>0</v>
      </c>
      <c r="BR3076" s="129" t="s">
        <v>575</v>
      </c>
      <c r="BS3076" s="129" t="str">
        <f t="shared" si="2234"/>
        <v>DISPOSED</v>
      </c>
      <c r="BT3076" s="129" t="str">
        <f t="shared" si="2235"/>
        <v>N</v>
      </c>
      <c r="BU3076" s="109">
        <f t="shared" si="2236"/>
        <v>0</v>
      </c>
      <c r="BV3076" s="109">
        <v>0</v>
      </c>
      <c r="BW3076" s="109">
        <f t="shared" si="2247"/>
        <v>0</v>
      </c>
      <c r="BX3076" s="111">
        <f t="shared" si="2237"/>
        <v>0</v>
      </c>
      <c r="BY3076" s="129" t="e">
        <f t="shared" si="2243"/>
        <v>#VALUE!</v>
      </c>
      <c r="BZ3076" s="111" t="e">
        <f t="shared" si="2244"/>
        <v>#VALUE!</v>
      </c>
      <c r="CA3076" s="138" t="e">
        <f t="shared" si="2245"/>
        <v>#VALUE!</v>
      </c>
      <c r="CB3076" s="111">
        <v>0</v>
      </c>
      <c r="CC3076" s="129">
        <v>0</v>
      </c>
      <c r="CD3076" s="111">
        <f>CC3076-BF3076</f>
        <v>0</v>
      </c>
      <c r="CG3076" s="129" t="str">
        <f t="shared" si="2246"/>
        <v>N</v>
      </c>
      <c r="CI3076" s="129" t="str">
        <f t="shared" si="2248"/>
        <v>0-10 DAYS</v>
      </c>
      <c r="CJ3076" s="137">
        <f t="shared" si="2249"/>
        <v>1</v>
      </c>
      <c r="CK3076" s="129" t="str">
        <f t="shared" si="2250"/>
        <v>Not Booked</v>
      </c>
    </row>
    <row r="3077" spans="1:89" ht="15.75" customHeight="1" x14ac:dyDescent="0.25">
      <c r="A3077" s="111">
        <v>2625</v>
      </c>
      <c r="B3077" s="128" t="str">
        <f t="shared" si="2238"/>
        <v>N</v>
      </c>
      <c r="C3077" s="128" t="str">
        <f t="shared" si="2239"/>
        <v>N</v>
      </c>
      <c r="D3077" s="117">
        <v>2613124</v>
      </c>
      <c r="E3077" s="135">
        <f t="shared" si="2240"/>
        <v>2</v>
      </c>
      <c r="F3077" s="124">
        <v>41006</v>
      </c>
      <c r="G3077" s="125">
        <v>41162</v>
      </c>
      <c r="H3077" s="117">
        <v>2613124</v>
      </c>
      <c r="I3077" s="124">
        <v>41006</v>
      </c>
      <c r="J3077" s="124">
        <v>41007</v>
      </c>
      <c r="K3077" s="126">
        <v>5000</v>
      </c>
      <c r="L3077" s="127" t="s">
        <v>569</v>
      </c>
      <c r="M3077" s="125">
        <v>41007</v>
      </c>
      <c r="N3077" s="129" t="str">
        <f>IF(M3077&gt;1/1/1,"Y","N")</f>
        <v>Y</v>
      </c>
      <c r="O3077" s="128" t="s">
        <v>76</v>
      </c>
      <c r="P3077" s="129" t="s">
        <v>589</v>
      </c>
      <c r="Q3077" s="111">
        <f t="shared" si="2224"/>
        <v>2</v>
      </c>
      <c r="R3077" s="111">
        <f t="shared" si="2227"/>
        <v>157</v>
      </c>
      <c r="S3077" s="129">
        <v>0</v>
      </c>
      <c r="T3077" s="129">
        <v>0</v>
      </c>
      <c r="W3077" s="111"/>
      <c r="AB3077" s="131" t="s">
        <v>112</v>
      </c>
      <c r="AC3077" s="130"/>
      <c r="AD3077" s="130">
        <v>31092</v>
      </c>
      <c r="AE3077" s="128" t="s">
        <v>46</v>
      </c>
      <c r="AF3077" s="128" t="s">
        <v>40</v>
      </c>
      <c r="AG3077" s="128" t="s">
        <v>41</v>
      </c>
      <c r="AH3077" s="108" t="s">
        <v>31</v>
      </c>
      <c r="AI3077" s="128" t="s">
        <v>72</v>
      </c>
      <c r="AJ3077" s="129" t="s">
        <v>48</v>
      </c>
      <c r="AK3077" s="129">
        <v>7</v>
      </c>
      <c r="AL3077" s="3" t="s">
        <v>48</v>
      </c>
      <c r="AP3077" s="129" t="s">
        <v>93</v>
      </c>
      <c r="AR3077" s="128" t="s">
        <v>67</v>
      </c>
      <c r="AS3077" s="129" t="s">
        <v>45</v>
      </c>
      <c r="BC3077" s="129" t="s">
        <v>52</v>
      </c>
      <c r="BF3077" s="111">
        <f>IF(J3077&gt;1/1/1900,((J3077+1)-I3077),"STILL OPEN")</f>
        <v>2</v>
      </c>
      <c r="BG3077" s="111">
        <f>IF(G3077&gt;1/1/1900,((G3077+1)-I3077),"STILL OPEN")</f>
        <v>157</v>
      </c>
      <c r="BH3077" s="111">
        <f t="shared" si="2228"/>
        <v>157</v>
      </c>
      <c r="BI3077" s="111">
        <f t="shared" si="2231"/>
        <v>27.087431693989071</v>
      </c>
      <c r="BJ3077" s="129">
        <f>(G3077-J3077)+(M3077-G3077)</f>
        <v>0</v>
      </c>
      <c r="BK3077" s="129">
        <f t="shared" si="2229"/>
        <v>-155</v>
      </c>
      <c r="BL3077" s="129" t="str">
        <f t="shared" si="2223"/>
        <v>DEFERRED</v>
      </c>
      <c r="BM3077" s="129" t="s">
        <v>76</v>
      </c>
      <c r="BN3077" s="129" t="s">
        <v>88</v>
      </c>
      <c r="BP3077" s="137" t="str">
        <f t="shared" si="2232"/>
        <v>DEFERRED</v>
      </c>
      <c r="BQ3077" s="128" t="str">
        <f t="shared" si="2241"/>
        <v>Y</v>
      </c>
      <c r="BR3077" s="129" t="str">
        <f t="shared" si="2233"/>
        <v>ON BOND</v>
      </c>
      <c r="BS3077" s="129" t="str">
        <f t="shared" si="2234"/>
        <v>DISPOSED</v>
      </c>
      <c r="BT3077" s="129" t="str">
        <f t="shared" si="2235"/>
        <v>N</v>
      </c>
      <c r="BU3077" s="109">
        <f t="shared" si="2236"/>
        <v>1.2738853503184714E-2</v>
      </c>
      <c r="BV3077" s="109">
        <f t="shared" si="2242"/>
        <v>1.2738853503184714E-2</v>
      </c>
      <c r="BW3077" s="109">
        <f t="shared" si="2247"/>
        <v>0</v>
      </c>
      <c r="BX3077" s="111">
        <f t="shared" si="2237"/>
        <v>0</v>
      </c>
      <c r="BY3077" s="129">
        <f t="shared" si="2243"/>
        <v>-2</v>
      </c>
      <c r="BZ3077" s="111">
        <f t="shared" si="2244"/>
        <v>0</v>
      </c>
      <c r="CA3077" s="138">
        <f t="shared" si="2245"/>
        <v>2</v>
      </c>
      <c r="CB3077" s="111" t="e">
        <f>IF(AF3077&gt;1/1/1900,((AF3077+1)-AE3077),"STILL OPEN")</f>
        <v>#VALUE!</v>
      </c>
      <c r="CC3077" s="129">
        <f>M3077-I3077+1</f>
        <v>2</v>
      </c>
      <c r="CD3077" s="111">
        <f>CC3077-BF3077</f>
        <v>0</v>
      </c>
      <c r="CG3077" s="129" t="str">
        <f t="shared" si="2246"/>
        <v>N</v>
      </c>
      <c r="CI3077" s="129" t="str">
        <f t="shared" si="2248"/>
        <v>0-10 DAYS</v>
      </c>
      <c r="CJ3077" s="137">
        <f t="shared" si="2249"/>
        <v>1</v>
      </c>
      <c r="CK3077" s="129" t="str">
        <f t="shared" si="2250"/>
        <v>Booked</v>
      </c>
    </row>
    <row r="3078" spans="1:89" ht="15.75" customHeight="1" x14ac:dyDescent="0.25">
      <c r="A3078" s="111">
        <v>2635</v>
      </c>
      <c r="B3078" s="128" t="str">
        <f t="shared" si="2238"/>
        <v>N</v>
      </c>
      <c r="C3078" s="128" t="str">
        <f t="shared" si="2239"/>
        <v>N</v>
      </c>
      <c r="D3078" s="117">
        <v>2613172</v>
      </c>
      <c r="E3078" s="135">
        <f t="shared" si="2240"/>
        <v>1</v>
      </c>
      <c r="F3078" s="124">
        <v>41006</v>
      </c>
      <c r="G3078" s="125">
        <v>41101</v>
      </c>
      <c r="H3078" s="117">
        <v>2613172</v>
      </c>
      <c r="I3078" s="124" t="s">
        <v>562</v>
      </c>
      <c r="J3078" s="124" t="s">
        <v>562</v>
      </c>
      <c r="K3078" s="126">
        <v>5000</v>
      </c>
      <c r="L3078" s="127" t="s">
        <v>569</v>
      </c>
      <c r="M3078" s="125">
        <v>41007</v>
      </c>
      <c r="N3078" s="129" t="str">
        <f>IF(M3078&gt;1/1/1,"Y",IF(Q3078="0","","N"))</f>
        <v>Y</v>
      </c>
      <c r="O3078" s="128" t="s">
        <v>76</v>
      </c>
      <c r="P3078" s="129" t="s">
        <v>123</v>
      </c>
      <c r="Q3078" s="111">
        <f t="shared" si="2224"/>
        <v>0</v>
      </c>
      <c r="R3078" s="111">
        <f t="shared" si="2227"/>
        <v>96</v>
      </c>
      <c r="S3078" s="129">
        <v>0</v>
      </c>
      <c r="T3078" s="129">
        <v>0</v>
      </c>
      <c r="W3078" s="111"/>
      <c r="AC3078" s="130"/>
      <c r="AD3078" s="130">
        <v>22452</v>
      </c>
      <c r="AE3078" s="128" t="s">
        <v>46</v>
      </c>
      <c r="AF3078" s="128" t="s">
        <v>69</v>
      </c>
      <c r="AG3078" s="128" t="s">
        <v>874</v>
      </c>
      <c r="AH3078" s="108" t="s">
        <v>31</v>
      </c>
      <c r="AI3078" s="128" t="s">
        <v>34</v>
      </c>
      <c r="AJ3078" s="129" t="s">
        <v>123</v>
      </c>
      <c r="AK3078" s="129">
        <v>5</v>
      </c>
      <c r="AL3078" s="3" t="s">
        <v>123</v>
      </c>
      <c r="AP3078" s="129" t="s">
        <v>144</v>
      </c>
      <c r="AR3078" s="128" t="s">
        <v>67</v>
      </c>
      <c r="AS3078" s="129" t="s">
        <v>74</v>
      </c>
      <c r="BC3078" s="129" t="s">
        <v>52</v>
      </c>
      <c r="BF3078" s="111">
        <v>0</v>
      </c>
      <c r="BG3078" s="111">
        <v>0</v>
      </c>
      <c r="BH3078" s="111">
        <f t="shared" si="2228"/>
        <v>96</v>
      </c>
      <c r="BI3078" s="111">
        <f t="shared" si="2231"/>
        <v>50.693989071038253</v>
      </c>
      <c r="BJ3078" s="129" t="e">
        <f>(G3078-J3078)+(M3078-G3078)</f>
        <v>#VALUE!</v>
      </c>
      <c r="BK3078" s="129" t="e">
        <f t="shared" si="2229"/>
        <v>#VALUE!</v>
      </c>
      <c r="BL3078" s="129" t="str">
        <f t="shared" si="2223"/>
        <v>NO CONVICTION</v>
      </c>
      <c r="BM3078" s="129" t="s">
        <v>76</v>
      </c>
      <c r="BN3078" s="129" t="s">
        <v>88</v>
      </c>
      <c r="BP3078" s="137" t="str">
        <f t="shared" si="2232"/>
        <v>NO CONVICTION</v>
      </c>
      <c r="BQ3078" s="128">
        <f t="shared" si="2241"/>
        <v>0</v>
      </c>
      <c r="BR3078" s="129" t="s">
        <v>575</v>
      </c>
      <c r="BS3078" s="129" t="str">
        <f t="shared" si="2234"/>
        <v>DISPOSED</v>
      </c>
      <c r="BT3078" s="129" t="str">
        <f t="shared" si="2235"/>
        <v>N</v>
      </c>
      <c r="BU3078" s="109">
        <f>IFERROR(Q3078/R3078,BR3078)</f>
        <v>0</v>
      </c>
      <c r="BV3078" s="109">
        <v>0</v>
      </c>
      <c r="BW3078" s="109">
        <f t="shared" si="2247"/>
        <v>0</v>
      </c>
      <c r="BX3078" s="111">
        <f t="shared" si="2237"/>
        <v>0</v>
      </c>
      <c r="BY3078" s="129" t="e">
        <f t="shared" si="2243"/>
        <v>#VALUE!</v>
      </c>
      <c r="BZ3078" s="111" t="e">
        <f t="shared" si="2244"/>
        <v>#VALUE!</v>
      </c>
      <c r="CA3078" s="138" t="e">
        <f t="shared" si="2245"/>
        <v>#VALUE!</v>
      </c>
      <c r="CB3078" s="111">
        <v>0</v>
      </c>
      <c r="CC3078" s="129">
        <v>0</v>
      </c>
      <c r="CD3078" s="111">
        <f>CC3078-BF3078</f>
        <v>0</v>
      </c>
      <c r="CG3078" s="129" t="str">
        <f t="shared" si="2246"/>
        <v>N</v>
      </c>
      <c r="CI3078" s="129" t="str">
        <f t="shared" si="2248"/>
        <v>0-10 DAYS</v>
      </c>
      <c r="CJ3078" s="137">
        <f t="shared" si="2249"/>
        <v>1</v>
      </c>
      <c r="CK3078" s="129" t="str">
        <f t="shared" si="2250"/>
        <v>Not Booked</v>
      </c>
    </row>
    <row r="3079" spans="1:89" ht="15.75" customHeight="1" x14ac:dyDescent="0.25">
      <c r="A3079" s="111">
        <v>2639</v>
      </c>
      <c r="B3079" s="128" t="str">
        <f t="shared" si="2238"/>
        <v>N</v>
      </c>
      <c r="C3079" s="128" t="str">
        <f t="shared" si="2239"/>
        <v>N</v>
      </c>
      <c r="D3079" s="117">
        <v>2613189</v>
      </c>
      <c r="E3079" s="135">
        <f t="shared" si="2240"/>
        <v>4</v>
      </c>
      <c r="F3079" s="124">
        <v>41006</v>
      </c>
      <c r="G3079" s="125">
        <v>41009</v>
      </c>
      <c r="H3079" s="117">
        <v>2613189</v>
      </c>
      <c r="I3079" s="124">
        <v>41007</v>
      </c>
      <c r="J3079" s="124">
        <v>41009</v>
      </c>
      <c r="K3079" s="113">
        <v>50000</v>
      </c>
      <c r="L3079" s="129" t="s">
        <v>572</v>
      </c>
      <c r="N3079" s="129" t="str">
        <f>IF(M3079&gt;1/1/1,"Y","N")</f>
        <v>N</v>
      </c>
      <c r="O3079" s="128" t="s">
        <v>917</v>
      </c>
      <c r="P3079" s="129" t="s">
        <v>39</v>
      </c>
      <c r="Q3079" s="111">
        <f t="shared" si="2224"/>
        <v>3</v>
      </c>
      <c r="R3079" s="111">
        <f t="shared" si="2227"/>
        <v>4</v>
      </c>
      <c r="S3079" s="129">
        <v>0</v>
      </c>
      <c r="T3079" s="129">
        <v>0</v>
      </c>
      <c r="W3079" s="111"/>
      <c r="AC3079" s="130"/>
      <c r="AD3079" s="130">
        <v>30408</v>
      </c>
      <c r="AE3079" s="128" t="s">
        <v>32</v>
      </c>
      <c r="AF3079" s="128" t="s">
        <v>69</v>
      </c>
      <c r="AG3079" s="128" t="s">
        <v>874</v>
      </c>
      <c r="AH3079" s="108" t="s">
        <v>31</v>
      </c>
      <c r="AI3079" s="128" t="s">
        <v>118</v>
      </c>
      <c r="AJ3079" s="129" t="s">
        <v>89</v>
      </c>
      <c r="AK3079" s="129">
        <v>1</v>
      </c>
      <c r="AL3079" s="3" t="s">
        <v>991</v>
      </c>
      <c r="AO3079" s="128">
        <v>90</v>
      </c>
      <c r="AP3079" s="32" t="s">
        <v>43</v>
      </c>
      <c r="AR3079" s="128" t="s">
        <v>44</v>
      </c>
      <c r="AS3079" s="129" t="s">
        <v>45</v>
      </c>
      <c r="BC3079" s="129" t="s">
        <v>38</v>
      </c>
      <c r="BF3079" s="111">
        <f>IF(J3079&gt;1/1/1900,((J3079+1)-I3079),"STILL OPEN")</f>
        <v>3</v>
      </c>
      <c r="BG3079" s="111">
        <f>IF(G3079&gt;1/1/1900,((G3079+1)-I3079),"STILL OPEN")</f>
        <v>3</v>
      </c>
      <c r="BH3079" s="111">
        <f t="shared" si="2228"/>
        <v>4</v>
      </c>
      <c r="BI3079" s="111">
        <f t="shared" si="2231"/>
        <v>28.956284153005466</v>
      </c>
      <c r="BJ3079" s="129">
        <f>G3079-J3079-M3079</f>
        <v>0</v>
      </c>
      <c r="BK3079" s="129">
        <f t="shared" si="2229"/>
        <v>0</v>
      </c>
      <c r="BL3079" s="129" t="str">
        <f t="shared" si="2223"/>
        <v>CONVICTION</v>
      </c>
      <c r="BM3079" s="129" t="str">
        <f>O3079</f>
        <v>NONE</v>
      </c>
      <c r="BN3079" s="129" t="s">
        <v>566</v>
      </c>
      <c r="BP3079" s="137" t="str">
        <f t="shared" si="2232"/>
        <v>CONVICTION</v>
      </c>
      <c r="BQ3079" s="128" t="str">
        <f t="shared" si="2241"/>
        <v>Y</v>
      </c>
      <c r="BR3079" s="129" t="str">
        <f t="shared" si="2233"/>
        <v>DETAINED</v>
      </c>
      <c r="BS3079" s="129" t="str">
        <f t="shared" si="2234"/>
        <v>DISPOSED</v>
      </c>
      <c r="BT3079" s="129" t="str">
        <f t="shared" si="2235"/>
        <v>N</v>
      </c>
      <c r="BU3079" s="109">
        <f t="shared" si="2236"/>
        <v>0.75</v>
      </c>
      <c r="BV3079" s="109">
        <f t="shared" si="2242"/>
        <v>1</v>
      </c>
      <c r="BW3079" s="109">
        <f t="shared" si="2247"/>
        <v>0.25</v>
      </c>
      <c r="BX3079" s="111">
        <f t="shared" si="2237"/>
        <v>0</v>
      </c>
      <c r="BY3079" s="129">
        <f t="shared" si="2243"/>
        <v>-3</v>
      </c>
      <c r="BZ3079" s="111">
        <f t="shared" si="2244"/>
        <v>0</v>
      </c>
      <c r="CA3079" s="138">
        <f t="shared" si="2245"/>
        <v>3</v>
      </c>
      <c r="CB3079" s="111" t="e">
        <f>IF(AF3079&gt;1/1/1900,((AF3079+1)-AE3079),"STILL OPEN")</f>
        <v>#VALUE!</v>
      </c>
      <c r="CC3079" s="129">
        <f>G3079-I3079+1</f>
        <v>3</v>
      </c>
      <c r="CD3079" s="129">
        <f>G3079-J3079</f>
        <v>0</v>
      </c>
      <c r="CG3079" s="129" t="str">
        <f t="shared" si="2246"/>
        <v>N</v>
      </c>
      <c r="CI3079" s="129" t="str">
        <f t="shared" si="2248"/>
        <v>0-10 DAYS</v>
      </c>
      <c r="CJ3079" s="137">
        <f t="shared" si="2249"/>
        <v>1</v>
      </c>
      <c r="CK3079" s="129" t="str">
        <f t="shared" si="2250"/>
        <v>Booked</v>
      </c>
    </row>
    <row r="3080" spans="1:89" ht="15" customHeight="1" x14ac:dyDescent="0.25">
      <c r="A3080" s="111">
        <v>2643</v>
      </c>
      <c r="B3080" s="128" t="str">
        <f t="shared" si="2238"/>
        <v>N</v>
      </c>
      <c r="C3080" s="128" t="str">
        <f t="shared" si="2239"/>
        <v>N</v>
      </c>
      <c r="D3080" s="117">
        <v>2613206</v>
      </c>
      <c r="E3080" s="135">
        <f t="shared" si="2240"/>
        <v>2</v>
      </c>
      <c r="F3080" s="124">
        <v>41007</v>
      </c>
      <c r="G3080" s="125">
        <v>41107</v>
      </c>
      <c r="H3080" s="117">
        <v>2613206</v>
      </c>
      <c r="I3080" s="124">
        <v>41007</v>
      </c>
      <c r="J3080" s="124">
        <v>41009</v>
      </c>
      <c r="K3080" s="126">
        <v>2000</v>
      </c>
      <c r="L3080" s="127" t="s">
        <v>568</v>
      </c>
      <c r="M3080" s="125">
        <v>41009</v>
      </c>
      <c r="N3080" s="129" t="str">
        <f>IF(M3080&gt;1/1/1,"Y","N")</f>
        <v>Y</v>
      </c>
      <c r="O3080" s="128" t="s">
        <v>583</v>
      </c>
      <c r="P3080" s="129" t="s">
        <v>589</v>
      </c>
      <c r="Q3080" s="111">
        <f t="shared" si="2224"/>
        <v>3</v>
      </c>
      <c r="R3080" s="111">
        <f t="shared" si="2227"/>
        <v>101</v>
      </c>
      <c r="S3080" s="129">
        <v>0</v>
      </c>
      <c r="T3080" s="129">
        <v>0</v>
      </c>
      <c r="W3080" s="111"/>
      <c r="AC3080" s="130"/>
      <c r="AD3080" s="130">
        <v>25517</v>
      </c>
      <c r="AE3080" s="128" t="s">
        <v>46</v>
      </c>
      <c r="AF3080" s="128" t="s">
        <v>33</v>
      </c>
      <c r="AG3080" s="128" t="s">
        <v>872</v>
      </c>
      <c r="AH3080" s="108" t="s">
        <v>31</v>
      </c>
      <c r="AI3080" s="128" t="s">
        <v>87</v>
      </c>
      <c r="AJ3080" s="129" t="s">
        <v>48</v>
      </c>
      <c r="AK3080" s="129">
        <v>5</v>
      </c>
      <c r="AL3080" s="3" t="s">
        <v>48</v>
      </c>
      <c r="AP3080" s="129" t="s">
        <v>108</v>
      </c>
      <c r="AR3080" s="128" t="s">
        <v>44</v>
      </c>
      <c r="AS3080" s="129" t="s">
        <v>61</v>
      </c>
      <c r="BC3080" s="129" t="s">
        <v>52</v>
      </c>
      <c r="BF3080" s="111">
        <f>IF(J3080&gt;1/1/1900,((J3080+1)-I3080),"STILL OPEN")</f>
        <v>3</v>
      </c>
      <c r="BG3080" s="111">
        <f>IF(G3080&gt;1/1/1900,((G3080+1)-I3080),"STILL OPEN")</f>
        <v>101</v>
      </c>
      <c r="BH3080" s="111">
        <f t="shared" si="2228"/>
        <v>101</v>
      </c>
      <c r="BI3080" s="111">
        <f t="shared" si="2231"/>
        <v>42.322404371584696</v>
      </c>
      <c r="BJ3080" s="129">
        <f>(G3080-J3080)+(M3080-G3080)</f>
        <v>0</v>
      </c>
      <c r="BK3080" s="129">
        <f t="shared" si="2229"/>
        <v>-98</v>
      </c>
      <c r="BL3080" s="129" t="str">
        <f t="shared" si="2223"/>
        <v>DEFERRED</v>
      </c>
      <c r="BM3080" s="129" t="s">
        <v>583</v>
      </c>
      <c r="BN3080" s="129" t="s">
        <v>88</v>
      </c>
      <c r="BP3080" s="137" t="str">
        <f t="shared" si="2232"/>
        <v>DEFERRED</v>
      </c>
      <c r="BQ3080" s="128" t="str">
        <f t="shared" si="2241"/>
        <v>Y</v>
      </c>
      <c r="BR3080" s="129" t="str">
        <f t="shared" si="2233"/>
        <v>ON BOND</v>
      </c>
      <c r="BS3080" s="129" t="str">
        <f t="shared" si="2234"/>
        <v>DISPOSED</v>
      </c>
      <c r="BT3080" s="129" t="str">
        <f t="shared" si="2235"/>
        <v>N</v>
      </c>
      <c r="BU3080" s="109">
        <f t="shared" si="2236"/>
        <v>2.9702970297029702E-2</v>
      </c>
      <c r="BV3080" s="109">
        <f t="shared" si="2242"/>
        <v>2.9702970297029702E-2</v>
      </c>
      <c r="BW3080" s="109">
        <f t="shared" si="2247"/>
        <v>0</v>
      </c>
      <c r="BX3080" s="111">
        <f t="shared" si="2237"/>
        <v>0</v>
      </c>
      <c r="BY3080" s="129">
        <f t="shared" si="2243"/>
        <v>-3</v>
      </c>
      <c r="BZ3080" s="111">
        <f t="shared" si="2244"/>
        <v>0</v>
      </c>
      <c r="CA3080" s="138">
        <f t="shared" si="2245"/>
        <v>3</v>
      </c>
      <c r="CB3080" s="111" t="e">
        <f>IF(AF3080&gt;1/1/1900,((AF3080+1)-AE3080),"STILL OPEN")</f>
        <v>#VALUE!</v>
      </c>
      <c r="CC3080" s="129">
        <f>M3080-I3080+1</f>
        <v>3</v>
      </c>
      <c r="CD3080" s="111">
        <f>CC3080-BF3080</f>
        <v>0</v>
      </c>
      <c r="CG3080" s="129" t="str">
        <f t="shared" si="2246"/>
        <v>N</v>
      </c>
      <c r="CI3080" s="129" t="str">
        <f t="shared" si="2248"/>
        <v>0-10 DAYS</v>
      </c>
      <c r="CJ3080" s="137">
        <f t="shared" si="2249"/>
        <v>1</v>
      </c>
      <c r="CK3080" s="129" t="str">
        <f t="shared" si="2250"/>
        <v>Booked</v>
      </c>
    </row>
    <row r="3081" spans="1:89" ht="15.75" customHeight="1" x14ac:dyDescent="0.25">
      <c r="A3081" s="111">
        <v>2650</v>
      </c>
      <c r="B3081" s="128" t="str">
        <f t="shared" si="2238"/>
        <v>N</v>
      </c>
      <c r="C3081" s="128" t="str">
        <f t="shared" si="2239"/>
        <v>Y</v>
      </c>
      <c r="D3081" s="117">
        <v>2613236</v>
      </c>
      <c r="E3081" s="135">
        <f t="shared" si="2240"/>
        <v>2</v>
      </c>
      <c r="F3081" s="124">
        <v>41007</v>
      </c>
      <c r="G3081" s="125">
        <v>41100</v>
      </c>
      <c r="H3081" s="117">
        <v>2613236</v>
      </c>
      <c r="I3081" s="124">
        <v>41096</v>
      </c>
      <c r="J3081" s="125">
        <v>41100</v>
      </c>
      <c r="K3081" s="126">
        <v>2000</v>
      </c>
      <c r="L3081" s="127" t="s">
        <v>568</v>
      </c>
      <c r="M3081" s="125">
        <v>41008</v>
      </c>
      <c r="N3081" s="129" t="str">
        <f>IF(M3081&gt;1/1/1,"Y",IF(Q3081="0","","N"))</f>
        <v>Y</v>
      </c>
      <c r="O3081" s="128" t="s">
        <v>76</v>
      </c>
      <c r="P3081" s="129" t="s">
        <v>589</v>
      </c>
      <c r="Q3081" s="111">
        <v>5</v>
      </c>
      <c r="R3081" s="111">
        <f t="shared" si="2227"/>
        <v>94</v>
      </c>
      <c r="S3081" s="129">
        <v>0</v>
      </c>
      <c r="T3081" s="129">
        <v>0</v>
      </c>
      <c r="W3081" s="111"/>
      <c r="AB3081" s="131" t="s">
        <v>112</v>
      </c>
      <c r="AC3081" s="130"/>
      <c r="AD3081" s="130">
        <v>28800</v>
      </c>
      <c r="AE3081" s="128" t="s">
        <v>46</v>
      </c>
      <c r="AF3081" s="128" t="s">
        <v>40</v>
      </c>
      <c r="AG3081" s="128" t="s">
        <v>41</v>
      </c>
      <c r="AH3081" s="108" t="s">
        <v>31</v>
      </c>
      <c r="AI3081" s="128" t="s">
        <v>97</v>
      </c>
      <c r="AJ3081" s="129" t="s">
        <v>48</v>
      </c>
      <c r="AL3081" s="3" t="s">
        <v>48</v>
      </c>
      <c r="AP3081" s="129" t="s">
        <v>43</v>
      </c>
      <c r="AR3081" s="128" t="s">
        <v>44</v>
      </c>
      <c r="AS3081" s="129" t="s">
        <v>45</v>
      </c>
      <c r="AT3081" s="129" t="s">
        <v>1101</v>
      </c>
      <c r="AV3081" s="3" t="s">
        <v>88</v>
      </c>
      <c r="AW3081" s="125">
        <v>41096</v>
      </c>
      <c r="BA3081" s="125" t="s">
        <v>1201</v>
      </c>
      <c r="BB3081" s="129">
        <v>470</v>
      </c>
      <c r="BC3081" s="129" t="s">
        <v>52</v>
      </c>
      <c r="BF3081" s="111">
        <v>5</v>
      </c>
      <c r="BG3081" s="111">
        <v>5</v>
      </c>
      <c r="BH3081" s="111">
        <f t="shared" si="2228"/>
        <v>94</v>
      </c>
      <c r="BI3081" s="111">
        <f t="shared" si="2231"/>
        <v>33.352459016393439</v>
      </c>
      <c r="BJ3081" s="129">
        <f>G3081-J3081</f>
        <v>0</v>
      </c>
      <c r="BK3081" s="129">
        <f t="shared" si="2229"/>
        <v>0</v>
      </c>
      <c r="BL3081" s="129" t="str">
        <f t="shared" si="2223"/>
        <v>DEFERRED</v>
      </c>
      <c r="BM3081" s="129" t="s">
        <v>76</v>
      </c>
      <c r="BN3081" s="129" t="s">
        <v>566</v>
      </c>
      <c r="BP3081" s="137" t="str">
        <f t="shared" si="2232"/>
        <v>DEFERRED</v>
      </c>
      <c r="BQ3081" s="128" t="str">
        <f t="shared" si="2241"/>
        <v>Y</v>
      </c>
      <c r="BR3081" s="129" t="s">
        <v>574</v>
      </c>
      <c r="BS3081" s="129" t="str">
        <f t="shared" si="2234"/>
        <v>DISPOSED</v>
      </c>
      <c r="BT3081" s="129" t="str">
        <f t="shared" si="2235"/>
        <v>N</v>
      </c>
      <c r="BU3081" s="109">
        <f t="shared" si="2236"/>
        <v>5.3191489361702128E-2</v>
      </c>
      <c r="BV3081" s="109">
        <f t="shared" si="2242"/>
        <v>1</v>
      </c>
      <c r="BW3081" s="109">
        <f t="shared" si="2247"/>
        <v>0.94680851063829785</v>
      </c>
      <c r="BX3081" s="111">
        <f t="shared" si="2237"/>
        <v>0</v>
      </c>
      <c r="BY3081" s="129">
        <f t="shared" si="2243"/>
        <v>-5</v>
      </c>
      <c r="BZ3081" s="111">
        <f t="shared" si="2244"/>
        <v>0</v>
      </c>
      <c r="CA3081" s="138">
        <f t="shared" si="2245"/>
        <v>5</v>
      </c>
      <c r="CB3081" s="111">
        <v>5</v>
      </c>
      <c r="CC3081" s="129">
        <f>G3081-I3081+1</f>
        <v>5</v>
      </c>
      <c r="CD3081" s="129">
        <f>G3081-J3081</f>
        <v>0</v>
      </c>
      <c r="CG3081" s="129" t="str">
        <f t="shared" si="2246"/>
        <v>N</v>
      </c>
      <c r="CI3081" s="129" t="str">
        <f t="shared" si="2248"/>
        <v>0-10 DAYS</v>
      </c>
      <c r="CJ3081" s="137">
        <f t="shared" si="2249"/>
        <v>1</v>
      </c>
      <c r="CK3081" s="129" t="str">
        <f t="shared" si="2250"/>
        <v>Booked</v>
      </c>
    </row>
    <row r="3082" spans="1:89" ht="15.75" customHeight="1" x14ac:dyDescent="0.25">
      <c r="A3082" s="111">
        <v>2653</v>
      </c>
      <c r="B3082" s="128" t="str">
        <f t="shared" si="2238"/>
        <v>N</v>
      </c>
      <c r="C3082" s="128" t="str">
        <f t="shared" si="2239"/>
        <v>N</v>
      </c>
      <c r="D3082" s="117">
        <v>2613249</v>
      </c>
      <c r="E3082" s="135">
        <f t="shared" si="2240"/>
        <v>1</v>
      </c>
      <c r="F3082" s="124">
        <v>41007</v>
      </c>
      <c r="G3082" s="125">
        <v>41024</v>
      </c>
      <c r="H3082" s="117">
        <v>2613249</v>
      </c>
      <c r="I3082" s="124" t="s">
        <v>562</v>
      </c>
      <c r="J3082" s="124" t="s">
        <v>562</v>
      </c>
      <c r="K3082" s="126">
        <v>5000</v>
      </c>
      <c r="L3082" s="127" t="s">
        <v>569</v>
      </c>
      <c r="M3082" s="125">
        <v>41007</v>
      </c>
      <c r="N3082" s="129" t="str">
        <f>IF(M3082&gt;1/1/1,"Y",IF(Q3082="0","","N"))</f>
        <v>Y</v>
      </c>
      <c r="O3082" s="128" t="s">
        <v>76</v>
      </c>
      <c r="P3082" s="129" t="s">
        <v>123</v>
      </c>
      <c r="Q3082" s="111">
        <f t="shared" ref="Q3082:Q3113" si="2251">BF3082</f>
        <v>0</v>
      </c>
      <c r="R3082" s="111">
        <f t="shared" si="2227"/>
        <v>18</v>
      </c>
      <c r="S3082" s="129">
        <v>0</v>
      </c>
      <c r="T3082" s="129">
        <v>0</v>
      </c>
      <c r="W3082" s="111"/>
      <c r="AC3082" s="130"/>
      <c r="AD3082" s="130">
        <v>32498</v>
      </c>
      <c r="AE3082" s="128" t="s">
        <v>32</v>
      </c>
      <c r="AF3082" s="128" t="s">
        <v>69</v>
      </c>
      <c r="AG3082" s="128" t="s">
        <v>874</v>
      </c>
      <c r="AH3082" s="108" t="s">
        <v>31</v>
      </c>
      <c r="AI3082" s="128" t="s">
        <v>83</v>
      </c>
      <c r="AJ3082" s="129" t="s">
        <v>123</v>
      </c>
      <c r="AK3082" s="129">
        <v>2</v>
      </c>
      <c r="AL3082" s="3" t="s">
        <v>123</v>
      </c>
      <c r="AP3082" s="129" t="s">
        <v>470</v>
      </c>
      <c r="AR3082" s="128" t="s">
        <v>67</v>
      </c>
      <c r="AS3082" s="129" t="s">
        <v>64</v>
      </c>
      <c r="BC3082" s="129" t="s">
        <v>52</v>
      </c>
      <c r="BF3082" s="111">
        <v>0</v>
      </c>
      <c r="BG3082" s="111">
        <v>0</v>
      </c>
      <c r="BH3082" s="111">
        <f t="shared" si="2228"/>
        <v>18</v>
      </c>
      <c r="BI3082" s="111">
        <f t="shared" si="2231"/>
        <v>23.248633879781419</v>
      </c>
      <c r="BJ3082" s="129" t="e">
        <f>(G3082-J3082)+(M3082-G3082)</f>
        <v>#VALUE!</v>
      </c>
      <c r="BK3082" s="129" t="e">
        <f t="shared" si="2229"/>
        <v>#VALUE!</v>
      </c>
      <c r="BL3082" s="129" t="str">
        <f t="shared" si="2223"/>
        <v>NO CONVICTION</v>
      </c>
      <c r="BM3082" s="129" t="s">
        <v>76</v>
      </c>
      <c r="BN3082" s="129" t="s">
        <v>88</v>
      </c>
      <c r="BP3082" s="137" t="str">
        <f t="shared" si="2232"/>
        <v>NO CONVICTION</v>
      </c>
      <c r="BQ3082" s="128">
        <f t="shared" si="2241"/>
        <v>0</v>
      </c>
      <c r="BR3082" s="129" t="s">
        <v>575</v>
      </c>
      <c r="BS3082" s="129" t="str">
        <f t="shared" si="2234"/>
        <v>DISPOSED</v>
      </c>
      <c r="BT3082" s="129" t="str">
        <f t="shared" si="2235"/>
        <v>N</v>
      </c>
      <c r="BU3082" s="109">
        <f>IFERROR(Q3082/R3082,BR3082)</f>
        <v>0</v>
      </c>
      <c r="BV3082" s="109">
        <v>0</v>
      </c>
      <c r="BW3082" s="109">
        <f t="shared" si="2247"/>
        <v>0</v>
      </c>
      <c r="BX3082" s="111">
        <f t="shared" si="2237"/>
        <v>0</v>
      </c>
      <c r="BY3082" s="129" t="e">
        <f t="shared" si="2243"/>
        <v>#VALUE!</v>
      </c>
      <c r="BZ3082" s="111" t="e">
        <f t="shared" si="2244"/>
        <v>#VALUE!</v>
      </c>
      <c r="CA3082" s="138" t="e">
        <f t="shared" si="2245"/>
        <v>#VALUE!</v>
      </c>
      <c r="CB3082" s="111">
        <v>0</v>
      </c>
      <c r="CC3082" s="129">
        <v>0</v>
      </c>
      <c r="CD3082" s="111">
        <f>CC3082-BF3082</f>
        <v>0</v>
      </c>
      <c r="CG3082" s="129" t="str">
        <f t="shared" si="2246"/>
        <v>N</v>
      </c>
      <c r="CI3082" s="129" t="str">
        <f t="shared" si="2248"/>
        <v>0-10 DAYS</v>
      </c>
      <c r="CJ3082" s="137">
        <f t="shared" si="2249"/>
        <v>1</v>
      </c>
      <c r="CK3082" s="129" t="str">
        <f t="shared" si="2250"/>
        <v>Not Booked</v>
      </c>
    </row>
    <row r="3083" spans="1:89" ht="15.75" customHeight="1" x14ac:dyDescent="0.25">
      <c r="A3083" s="111">
        <v>2656</v>
      </c>
      <c r="B3083" s="128" t="str">
        <f t="shared" si="2238"/>
        <v>N</v>
      </c>
      <c r="C3083" s="128" t="str">
        <f t="shared" si="2239"/>
        <v>N</v>
      </c>
      <c r="D3083" s="117">
        <v>2613275</v>
      </c>
      <c r="E3083" s="135">
        <f t="shared" si="2240"/>
        <v>2</v>
      </c>
      <c r="F3083" s="124">
        <v>41007</v>
      </c>
      <c r="G3083" s="125">
        <v>41038</v>
      </c>
      <c r="H3083" s="117">
        <v>2613275</v>
      </c>
      <c r="I3083" s="124">
        <v>41008</v>
      </c>
      <c r="J3083" s="124">
        <v>41038</v>
      </c>
      <c r="K3083" s="126">
        <v>2000</v>
      </c>
      <c r="L3083" s="127" t="s">
        <v>568</v>
      </c>
      <c r="N3083" s="129" t="str">
        <f>IF(M3083&gt;1/1/1,"Y","N")</f>
        <v>N</v>
      </c>
      <c r="O3083" s="128" t="s">
        <v>917</v>
      </c>
      <c r="P3083" s="129" t="s">
        <v>589</v>
      </c>
      <c r="Q3083" s="111">
        <f t="shared" si="2251"/>
        <v>31</v>
      </c>
      <c r="R3083" s="111">
        <f t="shared" si="2227"/>
        <v>32</v>
      </c>
      <c r="S3083" s="129">
        <v>0</v>
      </c>
      <c r="T3083" s="129">
        <v>0</v>
      </c>
      <c r="W3083" s="111"/>
      <c r="AC3083" s="130"/>
      <c r="AD3083" s="130">
        <v>33325</v>
      </c>
      <c r="AE3083" s="128" t="s">
        <v>32</v>
      </c>
      <c r="AF3083" s="128" t="s">
        <v>33</v>
      </c>
      <c r="AG3083" s="128" t="s">
        <v>872</v>
      </c>
      <c r="AH3083" s="108" t="s">
        <v>58</v>
      </c>
      <c r="AI3083" s="128" t="s">
        <v>65</v>
      </c>
      <c r="AJ3083" s="129" t="s">
        <v>48</v>
      </c>
      <c r="AK3083" s="129">
        <v>2</v>
      </c>
      <c r="AL3083" s="3" t="s">
        <v>48</v>
      </c>
      <c r="AP3083" s="129" t="s">
        <v>107</v>
      </c>
      <c r="AR3083" s="128" t="s">
        <v>44</v>
      </c>
      <c r="AS3083" s="129" t="s">
        <v>57</v>
      </c>
      <c r="AT3083" s="129" t="s">
        <v>471</v>
      </c>
      <c r="BC3083" s="129" t="s">
        <v>38</v>
      </c>
      <c r="BD3083" s="32"/>
      <c r="BF3083" s="111">
        <f>IF(J3083&gt;1/1/1900,((J3083+1)-I3083),"STILL OPEN")</f>
        <v>31</v>
      </c>
      <c r="BG3083" s="111">
        <f>IF(G3083&gt;1/1/1900,((G3083+1)-I3083),"STILL OPEN")</f>
        <v>31</v>
      </c>
      <c r="BH3083" s="111">
        <f t="shared" si="2228"/>
        <v>32</v>
      </c>
      <c r="BI3083" s="111">
        <f t="shared" si="2231"/>
        <v>20.989071038251367</v>
      </c>
      <c r="BJ3083" s="129">
        <f>G3083-J3083-M3083</f>
        <v>0</v>
      </c>
      <c r="BK3083" s="129">
        <f t="shared" si="2229"/>
        <v>0</v>
      </c>
      <c r="BL3083" s="129" t="str">
        <f t="shared" si="2223"/>
        <v>DEFERRED</v>
      </c>
      <c r="BM3083" s="129" t="str">
        <f>O3083</f>
        <v>NONE</v>
      </c>
      <c r="BN3083" s="129" t="s">
        <v>566</v>
      </c>
      <c r="BP3083" s="137" t="str">
        <f t="shared" si="2232"/>
        <v>DEFERRED</v>
      </c>
      <c r="BQ3083" s="128" t="str">
        <f t="shared" si="2241"/>
        <v>Y</v>
      </c>
      <c r="BR3083" s="129" t="str">
        <f t="shared" si="2233"/>
        <v>DETAINED</v>
      </c>
      <c r="BS3083" s="129" t="str">
        <f t="shared" si="2234"/>
        <v>DISPOSED</v>
      </c>
      <c r="BT3083" s="129" t="str">
        <f t="shared" si="2235"/>
        <v>N</v>
      </c>
      <c r="BU3083" s="109">
        <f t="shared" si="2236"/>
        <v>0.96875</v>
      </c>
      <c r="BV3083" s="109">
        <f t="shared" si="2242"/>
        <v>1</v>
      </c>
      <c r="BW3083" s="109">
        <f t="shared" si="2247"/>
        <v>3.125E-2</v>
      </c>
      <c r="BX3083" s="111">
        <f t="shared" si="2237"/>
        <v>0</v>
      </c>
      <c r="BY3083" s="129">
        <f t="shared" si="2243"/>
        <v>-31</v>
      </c>
      <c r="BZ3083" s="111">
        <f t="shared" si="2244"/>
        <v>0</v>
      </c>
      <c r="CA3083" s="138">
        <f t="shared" si="2245"/>
        <v>31</v>
      </c>
      <c r="CB3083" s="111" t="e">
        <f>IF(AF3083&gt;1/1/1900,((AF3083+1)-AE3083),"STILL OPEN")</f>
        <v>#VALUE!</v>
      </c>
      <c r="CC3083" s="129">
        <f>G3083-I3083+1</f>
        <v>31</v>
      </c>
      <c r="CD3083" s="129">
        <f>G3083-J3083</f>
        <v>0</v>
      </c>
      <c r="CG3083" s="129" t="str">
        <f t="shared" si="2246"/>
        <v>N</v>
      </c>
      <c r="CI3083" s="129" t="str">
        <f t="shared" si="2248"/>
        <v>31-60 DAYS</v>
      </c>
      <c r="CJ3083" s="137">
        <f t="shared" si="2249"/>
        <v>3</v>
      </c>
      <c r="CK3083" s="129" t="str">
        <f t="shared" si="2250"/>
        <v>Booked</v>
      </c>
    </row>
    <row r="3084" spans="1:89" ht="15.75" customHeight="1" x14ac:dyDescent="0.25">
      <c r="A3084" s="111">
        <v>2669</v>
      </c>
      <c r="B3084" s="128" t="str">
        <f t="shared" si="2238"/>
        <v>N</v>
      </c>
      <c r="C3084" s="128" t="str">
        <f t="shared" si="2239"/>
        <v>N</v>
      </c>
      <c r="D3084" s="117">
        <v>2613373</v>
      </c>
      <c r="E3084" s="135">
        <f t="shared" si="2240"/>
        <v>2</v>
      </c>
      <c r="F3084" s="124">
        <v>41008</v>
      </c>
      <c r="G3084" s="125">
        <v>41009</v>
      </c>
      <c r="H3084" s="117">
        <v>2613373</v>
      </c>
      <c r="I3084" s="124">
        <v>41008</v>
      </c>
      <c r="J3084" s="124">
        <v>41009</v>
      </c>
      <c r="K3084" s="126">
        <v>2000</v>
      </c>
      <c r="L3084" s="127" t="s">
        <v>568</v>
      </c>
      <c r="M3084" s="125">
        <v>41009</v>
      </c>
      <c r="N3084" s="129" t="str">
        <f>IF(M3084&gt;1/1/1,"Y","N")</f>
        <v>Y</v>
      </c>
      <c r="O3084" s="128" t="s">
        <v>585</v>
      </c>
      <c r="P3084" s="129" t="s">
        <v>589</v>
      </c>
      <c r="Q3084" s="111">
        <f t="shared" si="2251"/>
        <v>2</v>
      </c>
      <c r="R3084" s="111">
        <f t="shared" si="2227"/>
        <v>2</v>
      </c>
      <c r="S3084" s="129">
        <v>0</v>
      </c>
      <c r="T3084" s="129">
        <v>0</v>
      </c>
      <c r="W3084" s="111"/>
      <c r="AC3084" s="130"/>
      <c r="AD3084" s="130">
        <v>32531</v>
      </c>
      <c r="AE3084" s="128" t="s">
        <v>46</v>
      </c>
      <c r="AF3084" s="128" t="s">
        <v>33</v>
      </c>
      <c r="AG3084" s="128" t="s">
        <v>872</v>
      </c>
      <c r="AH3084" s="108" t="s">
        <v>31</v>
      </c>
      <c r="AI3084" s="128" t="s">
        <v>113</v>
      </c>
      <c r="AJ3084" s="129" t="s">
        <v>48</v>
      </c>
      <c r="AK3084" s="129">
        <v>1</v>
      </c>
      <c r="AL3084" s="3" t="s">
        <v>48</v>
      </c>
      <c r="AP3084" s="129" t="s">
        <v>139</v>
      </c>
      <c r="AR3084" s="128" t="s">
        <v>44</v>
      </c>
      <c r="AS3084" s="129" t="s">
        <v>64</v>
      </c>
      <c r="BC3084" s="129" t="s">
        <v>38</v>
      </c>
      <c r="BF3084" s="111">
        <f>IF(J3084&gt;1/1/1900,((J3084+1)-I3084),"STILL OPEN")</f>
        <v>2</v>
      </c>
      <c r="BG3084" s="111">
        <f>IF(G3084&gt;1/1/1900,((G3084+1)-I3084),"STILL OPEN")</f>
        <v>2</v>
      </c>
      <c r="BH3084" s="111">
        <f t="shared" si="2228"/>
        <v>2</v>
      </c>
      <c r="BI3084" s="111">
        <f t="shared" si="2231"/>
        <v>23.161202185792348</v>
      </c>
      <c r="BJ3084" s="129">
        <f>G3084-J3084</f>
        <v>0</v>
      </c>
      <c r="BK3084" s="129">
        <f t="shared" si="2229"/>
        <v>0</v>
      </c>
      <c r="BL3084" s="129" t="str">
        <f t="shared" si="2223"/>
        <v>DEFERRED</v>
      </c>
      <c r="BM3084" s="129" t="s">
        <v>76</v>
      </c>
      <c r="BN3084" s="129" t="s">
        <v>88</v>
      </c>
      <c r="BP3084" s="137" t="str">
        <f t="shared" si="2232"/>
        <v>DEFERRED</v>
      </c>
      <c r="BQ3084" s="128" t="str">
        <f t="shared" si="2241"/>
        <v>Y</v>
      </c>
      <c r="BR3084" s="129" t="str">
        <f t="shared" si="2233"/>
        <v>ON BOND</v>
      </c>
      <c r="BS3084" s="129" t="str">
        <f t="shared" si="2234"/>
        <v>DISPOSED</v>
      </c>
      <c r="BT3084" s="129" t="str">
        <f t="shared" si="2235"/>
        <v>N</v>
      </c>
      <c r="BU3084" s="109">
        <f t="shared" si="2236"/>
        <v>1</v>
      </c>
      <c r="BV3084" s="109">
        <f t="shared" si="2242"/>
        <v>1</v>
      </c>
      <c r="BW3084" s="109">
        <f t="shared" si="2247"/>
        <v>0</v>
      </c>
      <c r="BX3084" s="111">
        <f t="shared" si="2237"/>
        <v>0</v>
      </c>
      <c r="BY3084" s="129">
        <f t="shared" si="2243"/>
        <v>-2</v>
      </c>
      <c r="BZ3084" s="111">
        <f t="shared" si="2244"/>
        <v>0</v>
      </c>
      <c r="CA3084" s="138">
        <f t="shared" si="2245"/>
        <v>2</v>
      </c>
      <c r="CB3084" s="111" t="e">
        <f>IF(AF3084&gt;1/1/1900,((AF3084+1)-AE3084),"STILL OPEN")</f>
        <v>#VALUE!</v>
      </c>
      <c r="CC3084" s="129">
        <f>M3084-I3084+1</f>
        <v>2</v>
      </c>
      <c r="CD3084" s="111">
        <f>CC3084-BF3084</f>
        <v>0</v>
      </c>
      <c r="CG3084" s="129" t="str">
        <f t="shared" si="2246"/>
        <v>N</v>
      </c>
      <c r="CI3084" s="129" t="str">
        <f t="shared" si="2248"/>
        <v>0-10 DAYS</v>
      </c>
      <c r="CJ3084" s="137">
        <f t="shared" si="2249"/>
        <v>1</v>
      </c>
      <c r="CK3084" s="129" t="str">
        <f t="shared" si="2250"/>
        <v>Booked</v>
      </c>
    </row>
    <row r="3085" spans="1:89" ht="15.75" customHeight="1" x14ac:dyDescent="0.25">
      <c r="A3085" s="111">
        <v>2672</v>
      </c>
      <c r="B3085" s="128" t="str">
        <f t="shared" si="2238"/>
        <v>N</v>
      </c>
      <c r="C3085" s="128" t="str">
        <f t="shared" si="2239"/>
        <v>Y</v>
      </c>
      <c r="D3085" s="117">
        <v>2613378</v>
      </c>
      <c r="E3085" s="135">
        <f t="shared" si="2240"/>
        <v>6</v>
      </c>
      <c r="F3085" s="124">
        <v>41008</v>
      </c>
      <c r="G3085" s="125">
        <v>41254</v>
      </c>
      <c r="H3085" s="117">
        <v>2613378</v>
      </c>
      <c r="I3085" s="124">
        <v>41008</v>
      </c>
      <c r="J3085" s="124">
        <v>41011</v>
      </c>
      <c r="K3085" s="126">
        <v>30000</v>
      </c>
      <c r="L3085" s="129" t="s">
        <v>572</v>
      </c>
      <c r="M3085" s="125">
        <v>41011</v>
      </c>
      <c r="N3085" s="129" t="str">
        <f>IF(M3085&gt;1/1/1,"Y","N")</f>
        <v>Y</v>
      </c>
      <c r="O3085" s="128" t="s">
        <v>76</v>
      </c>
      <c r="P3085" s="129" t="s">
        <v>39</v>
      </c>
      <c r="Q3085" s="111">
        <v>106</v>
      </c>
      <c r="R3085" s="111">
        <f t="shared" si="2227"/>
        <v>247</v>
      </c>
      <c r="S3085" s="129">
        <v>0</v>
      </c>
      <c r="T3085" s="129">
        <v>1</v>
      </c>
      <c r="W3085" s="111"/>
      <c r="AB3085" s="131" t="s">
        <v>112</v>
      </c>
      <c r="AC3085" s="130"/>
      <c r="AD3085" s="130">
        <v>34687</v>
      </c>
      <c r="AE3085" s="128" t="s">
        <v>32</v>
      </c>
      <c r="AF3085" s="128" t="s">
        <v>40</v>
      </c>
      <c r="AG3085" s="128" t="s">
        <v>41</v>
      </c>
      <c r="AH3085" s="108" t="s">
        <v>31</v>
      </c>
      <c r="AI3085" s="128" t="s">
        <v>83</v>
      </c>
      <c r="AJ3085" s="129" t="s">
        <v>89</v>
      </c>
      <c r="AK3085" s="129">
        <v>11</v>
      </c>
      <c r="AL3085" s="3" t="s">
        <v>362</v>
      </c>
      <c r="AM3085" s="117">
        <v>6</v>
      </c>
      <c r="AP3085" s="129" t="s">
        <v>105</v>
      </c>
      <c r="AR3085" s="128" t="s">
        <v>92</v>
      </c>
      <c r="AS3085" s="129" t="s">
        <v>106</v>
      </c>
      <c r="AT3085" s="129" t="s">
        <v>473</v>
      </c>
      <c r="AU3085" s="3" t="s">
        <v>776</v>
      </c>
      <c r="AX3085" s="32" t="s">
        <v>88</v>
      </c>
      <c r="BC3085" s="129" t="s">
        <v>52</v>
      </c>
      <c r="BF3085" s="111">
        <v>106</v>
      </c>
      <c r="BG3085" s="111">
        <f>IF(G3085&gt;1/1/1900,((G3085+1)-I3085),"STILL OPEN")</f>
        <v>247</v>
      </c>
      <c r="BH3085" s="111">
        <f t="shared" si="2228"/>
        <v>247</v>
      </c>
      <c r="BI3085" s="111">
        <f t="shared" si="2231"/>
        <v>17.270491803278688</v>
      </c>
      <c r="BJ3085" s="129">
        <f t="shared" ref="BJ3085:BJ3092" si="2252">(G3085-J3085)+(M3085-G3085)</f>
        <v>0</v>
      </c>
      <c r="BK3085" s="129">
        <f t="shared" si="2229"/>
        <v>-243</v>
      </c>
      <c r="BL3085" s="129" t="str">
        <f t="shared" si="2223"/>
        <v>CONVICTION</v>
      </c>
      <c r="BM3085" s="129" t="s">
        <v>76</v>
      </c>
      <c r="BN3085" s="129" t="s">
        <v>88</v>
      </c>
      <c r="BP3085" s="137" t="str">
        <f t="shared" si="2232"/>
        <v>CONVICTION</v>
      </c>
      <c r="BQ3085" s="128" t="str">
        <f t="shared" si="2241"/>
        <v>Y</v>
      </c>
      <c r="BR3085" s="129" t="s">
        <v>574</v>
      </c>
      <c r="BS3085" s="129" t="str">
        <f t="shared" si="2234"/>
        <v>DISPOSED</v>
      </c>
      <c r="BT3085" s="129" t="str">
        <f t="shared" si="2235"/>
        <v>N</v>
      </c>
      <c r="BU3085" s="109">
        <f t="shared" si="2236"/>
        <v>0.4291497975708502</v>
      </c>
      <c r="BV3085" s="109">
        <f t="shared" si="2242"/>
        <v>1.6194331983805668E-2</v>
      </c>
      <c r="BW3085" s="109">
        <f t="shared" si="2247"/>
        <v>-0.41295546558704455</v>
      </c>
      <c r="BX3085" s="111">
        <f t="shared" si="2237"/>
        <v>0</v>
      </c>
      <c r="BY3085" s="129">
        <f t="shared" si="2243"/>
        <v>-4</v>
      </c>
      <c r="BZ3085" s="111">
        <f t="shared" si="2244"/>
        <v>102</v>
      </c>
      <c r="CA3085" s="138">
        <f t="shared" si="2245"/>
        <v>247</v>
      </c>
      <c r="CB3085" s="111">
        <v>106</v>
      </c>
      <c r="CC3085" s="129">
        <f>G3085-I3085+1</f>
        <v>247</v>
      </c>
      <c r="CD3085" s="129">
        <f>G3085-J3085</f>
        <v>243</v>
      </c>
      <c r="CG3085" s="129" t="str">
        <f t="shared" si="2246"/>
        <v>Y</v>
      </c>
      <c r="CI3085" s="129" t="str">
        <f t="shared" si="2248"/>
        <v>91-120 DAYS</v>
      </c>
      <c r="CJ3085" s="137">
        <f t="shared" si="2249"/>
        <v>0</v>
      </c>
      <c r="CK3085" s="129" t="str">
        <f t="shared" si="2250"/>
        <v>Booked</v>
      </c>
    </row>
    <row r="3086" spans="1:89" ht="15.75" customHeight="1" x14ac:dyDescent="0.25">
      <c r="A3086" s="111">
        <v>2688</v>
      </c>
      <c r="B3086" s="128" t="str">
        <f t="shared" si="2238"/>
        <v>N</v>
      </c>
      <c r="C3086" s="128" t="str">
        <f t="shared" si="2239"/>
        <v>N</v>
      </c>
      <c r="D3086" s="117">
        <v>2613477</v>
      </c>
      <c r="E3086" s="135">
        <f t="shared" si="2240"/>
        <v>2</v>
      </c>
      <c r="F3086" s="124">
        <v>41009</v>
      </c>
      <c r="G3086" s="125">
        <v>41144</v>
      </c>
      <c r="H3086" s="117">
        <v>2613477</v>
      </c>
      <c r="I3086" s="124" t="s">
        <v>562</v>
      </c>
      <c r="J3086" s="124" t="s">
        <v>562</v>
      </c>
      <c r="K3086" s="126">
        <v>5000</v>
      </c>
      <c r="L3086" s="127" t="s">
        <v>569</v>
      </c>
      <c r="M3086" s="125">
        <v>41009</v>
      </c>
      <c r="N3086" s="129" t="str">
        <f>IF(M3086&gt;1/1/1,"Y",IF(Q3086="0","","N"))</f>
        <v>Y</v>
      </c>
      <c r="O3086" s="128" t="s">
        <v>585</v>
      </c>
      <c r="P3086" s="129" t="s">
        <v>589</v>
      </c>
      <c r="Q3086" s="111">
        <f t="shared" si="2251"/>
        <v>0</v>
      </c>
      <c r="R3086" s="111">
        <f t="shared" si="2227"/>
        <v>136</v>
      </c>
      <c r="S3086" s="129">
        <v>0</v>
      </c>
      <c r="T3086" s="129">
        <v>0</v>
      </c>
      <c r="W3086" s="111"/>
      <c r="AC3086" s="130"/>
      <c r="AD3086" s="130">
        <v>33869</v>
      </c>
      <c r="AE3086" s="128" t="s">
        <v>46</v>
      </c>
      <c r="AF3086" s="128" t="s">
        <v>69</v>
      </c>
      <c r="AG3086" s="128" t="s">
        <v>874</v>
      </c>
      <c r="AH3086" s="108" t="s">
        <v>31</v>
      </c>
      <c r="AI3086" s="128" t="s">
        <v>70</v>
      </c>
      <c r="AJ3086" s="129" t="s">
        <v>48</v>
      </c>
      <c r="AK3086" s="129">
        <v>6</v>
      </c>
      <c r="AL3086" s="3" t="s">
        <v>48</v>
      </c>
      <c r="AP3086" s="129" t="s">
        <v>117</v>
      </c>
      <c r="AR3086" s="128" t="s">
        <v>67</v>
      </c>
      <c r="AS3086" s="129" t="s">
        <v>45</v>
      </c>
      <c r="AT3086" s="3" t="s">
        <v>851</v>
      </c>
      <c r="AU3086" s="129"/>
      <c r="BC3086" s="129" t="s">
        <v>52</v>
      </c>
      <c r="BF3086" s="111">
        <v>0</v>
      </c>
      <c r="BG3086" s="111">
        <v>0</v>
      </c>
      <c r="BH3086" s="111">
        <f t="shared" si="2228"/>
        <v>136</v>
      </c>
      <c r="BI3086" s="111">
        <f t="shared" si="2231"/>
        <v>19.508196721311474</v>
      </c>
      <c r="BJ3086" s="129" t="e">
        <f t="shared" si="2252"/>
        <v>#VALUE!</v>
      </c>
      <c r="BK3086" s="129" t="e">
        <f t="shared" si="2229"/>
        <v>#VALUE!</v>
      </c>
      <c r="BL3086" s="129" t="str">
        <f t="shared" si="2223"/>
        <v>DEFERRED</v>
      </c>
      <c r="BM3086" s="129" t="s">
        <v>76</v>
      </c>
      <c r="BN3086" s="129" t="s">
        <v>88</v>
      </c>
      <c r="BP3086" s="137" t="str">
        <f t="shared" si="2232"/>
        <v>DEFERRED</v>
      </c>
      <c r="BQ3086" s="128">
        <f t="shared" si="2241"/>
        <v>0</v>
      </c>
      <c r="BR3086" s="129" t="s">
        <v>575</v>
      </c>
      <c r="BS3086" s="129" t="str">
        <f t="shared" si="2234"/>
        <v>DISPOSED</v>
      </c>
      <c r="BT3086" s="129" t="str">
        <f t="shared" si="2235"/>
        <v>N</v>
      </c>
      <c r="BU3086" s="109">
        <f t="shared" si="2236"/>
        <v>0</v>
      </c>
      <c r="BV3086" s="109">
        <v>0</v>
      </c>
      <c r="BW3086" s="109">
        <f t="shared" si="2247"/>
        <v>0</v>
      </c>
      <c r="BX3086" s="111">
        <f t="shared" si="2237"/>
        <v>0</v>
      </c>
      <c r="BY3086" s="129" t="e">
        <f t="shared" si="2243"/>
        <v>#VALUE!</v>
      </c>
      <c r="BZ3086" s="111" t="e">
        <f t="shared" si="2244"/>
        <v>#VALUE!</v>
      </c>
      <c r="CA3086" s="138" t="e">
        <f t="shared" si="2245"/>
        <v>#VALUE!</v>
      </c>
      <c r="CB3086" s="111">
        <v>0</v>
      </c>
      <c r="CD3086" s="129" t="e">
        <f>G3086-J3086</f>
        <v>#VALUE!</v>
      </c>
      <c r="CG3086" s="129" t="str">
        <f t="shared" si="2246"/>
        <v>N</v>
      </c>
      <c r="CI3086" s="129" t="str">
        <f t="shared" si="2248"/>
        <v>0-10 DAYS</v>
      </c>
      <c r="CJ3086" s="137">
        <f t="shared" si="2249"/>
        <v>1</v>
      </c>
      <c r="CK3086" s="129" t="str">
        <f t="shared" si="2250"/>
        <v>Not Booked</v>
      </c>
    </row>
    <row r="3087" spans="1:89" ht="15.75" customHeight="1" x14ac:dyDescent="0.25">
      <c r="A3087" s="111">
        <v>2697</v>
      </c>
      <c r="B3087" s="128" t="str">
        <f t="shared" si="2238"/>
        <v>N</v>
      </c>
      <c r="C3087" s="128" t="str">
        <f t="shared" si="2239"/>
        <v>Y</v>
      </c>
      <c r="D3087" s="114">
        <v>2613519</v>
      </c>
      <c r="E3087" s="135">
        <f t="shared" si="2240"/>
        <v>1</v>
      </c>
      <c r="F3087" s="124">
        <v>41009</v>
      </c>
      <c r="G3087" s="125">
        <v>41593</v>
      </c>
      <c r="H3087" s="114">
        <v>2613519</v>
      </c>
      <c r="I3087" s="124">
        <v>41063</v>
      </c>
      <c r="J3087" s="124">
        <v>41065</v>
      </c>
      <c r="K3087" s="126">
        <v>10000</v>
      </c>
      <c r="L3087" s="127" t="s">
        <v>570</v>
      </c>
      <c r="M3087" s="125">
        <v>41065</v>
      </c>
      <c r="N3087" s="129" t="str">
        <f>IF(M3087&gt;1/1/1,"Y","N")</f>
        <v>Y</v>
      </c>
      <c r="O3087" s="128" t="s">
        <v>76</v>
      </c>
      <c r="P3087" s="129" t="s">
        <v>55</v>
      </c>
      <c r="Q3087" s="111">
        <f t="shared" si="2251"/>
        <v>3</v>
      </c>
      <c r="R3087" s="111">
        <f t="shared" si="2227"/>
        <v>585</v>
      </c>
      <c r="S3087" s="129">
        <v>0</v>
      </c>
      <c r="T3087" s="129">
        <v>0</v>
      </c>
      <c r="W3087" s="111"/>
      <c r="AC3087" s="130"/>
      <c r="AD3087" s="130">
        <v>30294</v>
      </c>
      <c r="AE3087" s="128" t="s">
        <v>32</v>
      </c>
      <c r="AF3087" s="128" t="s">
        <v>33</v>
      </c>
      <c r="AG3087" s="128" t="s">
        <v>872</v>
      </c>
      <c r="AH3087" s="108" t="s">
        <v>31</v>
      </c>
      <c r="AI3087" s="128" t="s">
        <v>113</v>
      </c>
      <c r="AJ3087" s="129" t="s">
        <v>55</v>
      </c>
      <c r="AK3087" s="129">
        <v>8</v>
      </c>
      <c r="AL3087" s="3" t="s">
        <v>55</v>
      </c>
      <c r="AP3087" s="129" t="s">
        <v>170</v>
      </c>
      <c r="AR3087" s="128" t="s">
        <v>67</v>
      </c>
      <c r="AS3087" s="129" t="s">
        <v>64</v>
      </c>
      <c r="AU3087" s="3" t="s">
        <v>780</v>
      </c>
      <c r="AX3087" s="32" t="s">
        <v>88</v>
      </c>
      <c r="AY3087" s="123"/>
      <c r="BC3087" s="129" t="s">
        <v>52</v>
      </c>
      <c r="BF3087" s="111">
        <v>3</v>
      </c>
      <c r="BG3087" s="111">
        <f>IF(G3087&gt;1/1/1900,((G3087+1)-I3087),"STILL OPEN")</f>
        <v>531</v>
      </c>
      <c r="BH3087" s="111">
        <f t="shared" si="2228"/>
        <v>585</v>
      </c>
      <c r="BI3087" s="111">
        <f t="shared" si="2231"/>
        <v>29.275956284153004</v>
      </c>
      <c r="BJ3087" s="129">
        <f t="shared" si="2252"/>
        <v>0</v>
      </c>
      <c r="BK3087" s="129">
        <f t="shared" si="2229"/>
        <v>-528</v>
      </c>
      <c r="BL3087" s="129" t="str">
        <f t="shared" si="2223"/>
        <v>NO CONVICTION</v>
      </c>
      <c r="BM3087" s="129" t="s">
        <v>76</v>
      </c>
      <c r="BN3087" s="129" t="s">
        <v>88</v>
      </c>
      <c r="BP3087" s="137" t="str">
        <f t="shared" si="2232"/>
        <v>NO CONVICTION</v>
      </c>
      <c r="BQ3087" s="128" t="str">
        <f t="shared" si="2241"/>
        <v>Y</v>
      </c>
      <c r="BR3087" s="129" t="str">
        <f t="shared" si="2233"/>
        <v>ON BOND</v>
      </c>
      <c r="BS3087" s="129" t="str">
        <f t="shared" si="2234"/>
        <v>DISPOSED</v>
      </c>
      <c r="BT3087" s="129" t="str">
        <f t="shared" si="2235"/>
        <v>N</v>
      </c>
      <c r="BU3087" s="109">
        <f>IFERROR(Q3087/R3087,BR3087)</f>
        <v>5.1282051282051282E-3</v>
      </c>
      <c r="BV3087" s="109">
        <f t="shared" si="2242"/>
        <v>5.6497175141242938E-3</v>
      </c>
      <c r="BW3087" s="109">
        <f t="shared" si="2247"/>
        <v>5.2151238591916557E-4</v>
      </c>
      <c r="BX3087" s="111">
        <f t="shared" si="2237"/>
        <v>0</v>
      </c>
      <c r="BY3087" s="129">
        <f t="shared" si="2243"/>
        <v>-3</v>
      </c>
      <c r="BZ3087" s="111">
        <f t="shared" si="2244"/>
        <v>0</v>
      </c>
      <c r="CA3087" s="138">
        <f t="shared" si="2245"/>
        <v>3</v>
      </c>
      <c r="CB3087" s="111" t="e">
        <f>IF(AF3087&gt;1/1/1900,((AF3087+1)-AE3087),"STILL OPEN")</f>
        <v>#VALUE!</v>
      </c>
      <c r="CD3087" s="129">
        <f>G3087-J3087</f>
        <v>528</v>
      </c>
      <c r="CG3087" s="129" t="str">
        <f t="shared" si="2246"/>
        <v>N</v>
      </c>
      <c r="CI3087" s="129" t="str">
        <f t="shared" si="2248"/>
        <v>0-10 DAYS</v>
      </c>
      <c r="CJ3087" s="137">
        <f t="shared" si="2249"/>
        <v>1</v>
      </c>
      <c r="CK3087" s="129" t="str">
        <f t="shared" si="2250"/>
        <v>Booked</v>
      </c>
    </row>
    <row r="3088" spans="1:89" ht="15" customHeight="1" x14ac:dyDescent="0.25">
      <c r="A3088" s="111">
        <v>2700</v>
      </c>
      <c r="B3088" s="128" t="str">
        <f t="shared" si="2238"/>
        <v>N</v>
      </c>
      <c r="C3088" s="128" t="str">
        <f t="shared" si="2239"/>
        <v>N</v>
      </c>
      <c r="D3088" s="117">
        <v>2613583</v>
      </c>
      <c r="E3088" s="135">
        <f t="shared" si="2240"/>
        <v>2</v>
      </c>
      <c r="F3088" s="124">
        <v>41009</v>
      </c>
      <c r="G3088" s="125">
        <v>41225</v>
      </c>
      <c r="H3088" s="117">
        <v>2613583</v>
      </c>
      <c r="I3088" s="124">
        <v>41010</v>
      </c>
      <c r="J3088" s="124">
        <v>41011</v>
      </c>
      <c r="K3088" s="126">
        <v>60000</v>
      </c>
      <c r="L3088" s="129" t="s">
        <v>572</v>
      </c>
      <c r="M3088" s="125">
        <v>41011</v>
      </c>
      <c r="N3088" s="129" t="str">
        <f>IF(M3088&gt;1/1/1,"Y","N")</f>
        <v>Y</v>
      </c>
      <c r="O3088" s="128" t="s">
        <v>585</v>
      </c>
      <c r="P3088" s="129" t="s">
        <v>589</v>
      </c>
      <c r="Q3088" s="111">
        <f t="shared" si="2251"/>
        <v>2</v>
      </c>
      <c r="R3088" s="111">
        <f t="shared" si="2227"/>
        <v>217</v>
      </c>
      <c r="S3088" s="129">
        <v>0</v>
      </c>
      <c r="T3088" s="129">
        <v>0</v>
      </c>
      <c r="W3088" s="111"/>
      <c r="AC3088" s="130"/>
      <c r="AD3088" s="130">
        <v>23280</v>
      </c>
      <c r="AE3088" s="128" t="s">
        <v>32</v>
      </c>
      <c r="AF3088" s="128" t="s">
        <v>69</v>
      </c>
      <c r="AG3088" s="128" t="s">
        <v>874</v>
      </c>
      <c r="AH3088" s="108" t="s">
        <v>31</v>
      </c>
      <c r="AI3088" s="128" t="s">
        <v>71</v>
      </c>
      <c r="AJ3088" s="129" t="s">
        <v>48</v>
      </c>
      <c r="AK3088" s="129">
        <v>7</v>
      </c>
      <c r="AL3088" s="3" t="s">
        <v>48</v>
      </c>
      <c r="AP3088" s="32" t="s">
        <v>477</v>
      </c>
      <c r="AR3088" s="128" t="s">
        <v>67</v>
      </c>
      <c r="AS3088" s="129" t="s">
        <v>64</v>
      </c>
      <c r="BC3088" s="129" t="s">
        <v>52</v>
      </c>
      <c r="BF3088" s="111">
        <f>IF(J3088&gt;1/1/1900,((J3088+1)-I3088),"STILL OPEN")</f>
        <v>2</v>
      </c>
      <c r="BG3088" s="111">
        <f>IF(G3088&gt;1/1/1900,((G3088+1)-I3088),"STILL OPEN")</f>
        <v>216</v>
      </c>
      <c r="BH3088" s="111">
        <f t="shared" si="2228"/>
        <v>217</v>
      </c>
      <c r="BI3088" s="111">
        <f t="shared" si="2231"/>
        <v>48.439890710382514</v>
      </c>
      <c r="BJ3088" s="129">
        <f t="shared" si="2252"/>
        <v>0</v>
      </c>
      <c r="BK3088" s="129">
        <f t="shared" si="2229"/>
        <v>-214</v>
      </c>
      <c r="BL3088" s="129" t="str">
        <f t="shared" si="2223"/>
        <v>DEFERRED</v>
      </c>
      <c r="BM3088" s="129" t="s">
        <v>76</v>
      </c>
      <c r="BN3088" s="129" t="s">
        <v>88</v>
      </c>
      <c r="BP3088" s="137" t="str">
        <f t="shared" si="2232"/>
        <v>DEFERRED</v>
      </c>
      <c r="BQ3088" s="128" t="str">
        <f t="shared" si="2241"/>
        <v>Y</v>
      </c>
      <c r="BR3088" s="129" t="str">
        <f t="shared" si="2233"/>
        <v>ON BOND</v>
      </c>
      <c r="BS3088" s="129" t="str">
        <f t="shared" si="2234"/>
        <v>DISPOSED</v>
      </c>
      <c r="BT3088" s="129" t="str">
        <f t="shared" si="2235"/>
        <v>N</v>
      </c>
      <c r="BU3088" s="109">
        <f t="shared" si="2236"/>
        <v>9.2165898617511521E-3</v>
      </c>
      <c r="BV3088" s="109">
        <f t="shared" si="2242"/>
        <v>9.2592592592592587E-3</v>
      </c>
      <c r="BW3088" s="109">
        <f t="shared" si="2247"/>
        <v>4.266939750810668E-5</v>
      </c>
      <c r="BX3088" s="111">
        <f t="shared" si="2237"/>
        <v>0</v>
      </c>
      <c r="BY3088" s="129">
        <f t="shared" si="2243"/>
        <v>-2</v>
      </c>
      <c r="BZ3088" s="111">
        <f t="shared" si="2244"/>
        <v>0</v>
      </c>
      <c r="CA3088" s="138">
        <f t="shared" si="2245"/>
        <v>2</v>
      </c>
      <c r="CB3088" s="111" t="e">
        <f>IF(AF3088&gt;1/1/1900,((AF3088+1)-AE3088),"STILL OPEN")</f>
        <v>#VALUE!</v>
      </c>
      <c r="CC3088" s="129">
        <f>M3088-I3088+1</f>
        <v>2</v>
      </c>
      <c r="CD3088" s="111">
        <f>CC3088-BF3088</f>
        <v>0</v>
      </c>
      <c r="CG3088" s="129" t="str">
        <f t="shared" si="2246"/>
        <v>N</v>
      </c>
      <c r="CI3088" s="129" t="str">
        <f t="shared" si="2248"/>
        <v>0-10 DAYS</v>
      </c>
      <c r="CJ3088" s="137">
        <f t="shared" si="2249"/>
        <v>1</v>
      </c>
      <c r="CK3088" s="129" t="str">
        <f t="shared" si="2250"/>
        <v>Booked</v>
      </c>
    </row>
    <row r="3089" spans="1:89" ht="15.75" customHeight="1" x14ac:dyDescent="0.25">
      <c r="A3089" s="111">
        <v>2722</v>
      </c>
      <c r="B3089" s="128" t="str">
        <f t="shared" si="2238"/>
        <v>N</v>
      </c>
      <c r="C3089" s="128" t="str">
        <f t="shared" si="2239"/>
        <v>N</v>
      </c>
      <c r="D3089" s="114">
        <v>2613631</v>
      </c>
      <c r="E3089" s="135">
        <f t="shared" si="2240"/>
        <v>6</v>
      </c>
      <c r="F3089" s="124">
        <v>41010</v>
      </c>
      <c r="G3089" s="125">
        <v>41985</v>
      </c>
      <c r="H3089" s="114">
        <v>2613631</v>
      </c>
      <c r="I3089" s="124">
        <v>41840</v>
      </c>
      <c r="J3089" s="124">
        <v>41985</v>
      </c>
      <c r="K3089" s="126">
        <v>30000</v>
      </c>
      <c r="L3089" s="129" t="s">
        <v>572</v>
      </c>
      <c r="N3089" s="129" t="s">
        <v>566</v>
      </c>
      <c r="O3089" s="128" t="s">
        <v>917</v>
      </c>
      <c r="P3089" s="129" t="s">
        <v>39</v>
      </c>
      <c r="Q3089" s="111">
        <v>145</v>
      </c>
      <c r="R3089" s="111">
        <v>711</v>
      </c>
      <c r="S3089" s="129">
        <v>0</v>
      </c>
      <c r="T3089" s="129">
        <v>0</v>
      </c>
      <c r="W3089" s="111"/>
      <c r="AB3089" s="131" t="s">
        <v>112</v>
      </c>
      <c r="AC3089" s="130"/>
      <c r="AD3089" s="130">
        <v>27580</v>
      </c>
      <c r="AE3089" s="128" t="s">
        <v>32</v>
      </c>
      <c r="AF3089" s="128" t="s">
        <v>40</v>
      </c>
      <c r="AG3089" s="128" t="s">
        <v>41</v>
      </c>
      <c r="AH3089" s="108" t="s">
        <v>31</v>
      </c>
      <c r="AI3089" s="128" t="s">
        <v>62</v>
      </c>
      <c r="AJ3089" s="129" t="s">
        <v>89</v>
      </c>
      <c r="AK3089" s="129">
        <v>9</v>
      </c>
      <c r="AL3089" s="3" t="s">
        <v>362</v>
      </c>
      <c r="AM3089" s="117">
        <v>4</v>
      </c>
      <c r="AP3089" s="129" t="s">
        <v>173</v>
      </c>
      <c r="AR3089" s="128" t="s">
        <v>50</v>
      </c>
      <c r="AS3089" s="129" t="s">
        <v>126</v>
      </c>
      <c r="AY3089" s="32"/>
      <c r="BC3089" s="129" t="s">
        <v>38</v>
      </c>
      <c r="BF3089" s="111">
        <v>145</v>
      </c>
      <c r="BG3089" s="111">
        <v>566</v>
      </c>
      <c r="BH3089" s="111">
        <v>711</v>
      </c>
      <c r="BI3089" s="111">
        <f t="shared" si="2231"/>
        <v>36.693989071038253</v>
      </c>
      <c r="BJ3089" s="129">
        <f t="shared" si="2252"/>
        <v>-41985</v>
      </c>
      <c r="BK3089" s="129">
        <f t="shared" si="2229"/>
        <v>0</v>
      </c>
      <c r="BL3089" s="129" t="str">
        <f t="shared" si="2223"/>
        <v>CONVICTION</v>
      </c>
      <c r="BM3089" s="129" t="str">
        <f>O3089</f>
        <v>NONE</v>
      </c>
      <c r="BN3089" s="129" t="s">
        <v>566</v>
      </c>
      <c r="BP3089" s="137" t="str">
        <f t="shared" si="2232"/>
        <v>CONVICTION</v>
      </c>
      <c r="BQ3089" s="128" t="str">
        <f t="shared" si="2241"/>
        <v>Y</v>
      </c>
      <c r="BR3089" s="129" t="s">
        <v>574</v>
      </c>
      <c r="BS3089" s="129" t="str">
        <f t="shared" si="2234"/>
        <v>DISPOSED</v>
      </c>
      <c r="BT3089" s="129" t="str">
        <f t="shared" si="2235"/>
        <v>N</v>
      </c>
      <c r="BU3089" s="109">
        <f>IFERROR(Q3089/R3089,BR3089)</f>
        <v>0.20393811533052039</v>
      </c>
      <c r="BV3089" s="139">
        <v>0.2039</v>
      </c>
      <c r="BW3089" s="109">
        <v>0</v>
      </c>
      <c r="BX3089" s="111">
        <f t="shared" si="2237"/>
        <v>0</v>
      </c>
      <c r="BY3089" s="129">
        <f t="shared" si="2243"/>
        <v>-146</v>
      </c>
      <c r="BZ3089" s="111">
        <f t="shared" si="2244"/>
        <v>-1</v>
      </c>
      <c r="CA3089" s="138">
        <f t="shared" si="2245"/>
        <v>146</v>
      </c>
      <c r="CB3089" s="111" t="e">
        <f>IF(AF3089&gt;1/1/1900,((AF3089+1)-AE3089),"STILL OPEN")</f>
        <v>#VALUE!</v>
      </c>
      <c r="CC3089" s="129">
        <v>145</v>
      </c>
      <c r="CG3089" s="129" t="str">
        <f t="shared" si="2246"/>
        <v>N</v>
      </c>
      <c r="CH3089" s="129" t="e">
        <v>#N/A</v>
      </c>
      <c r="CI3089" s="129" t="str">
        <f t="shared" si="2248"/>
        <v>121-365 DAYS</v>
      </c>
      <c r="CJ3089" s="137">
        <f t="shared" si="2249"/>
        <v>6</v>
      </c>
      <c r="CK3089" s="129" t="str">
        <f t="shared" si="2250"/>
        <v>Booked</v>
      </c>
    </row>
    <row r="3090" spans="1:89" ht="15.75" customHeight="1" x14ac:dyDescent="0.25">
      <c r="A3090" s="111">
        <v>2726</v>
      </c>
      <c r="B3090" s="128" t="str">
        <f t="shared" si="2238"/>
        <v>N</v>
      </c>
      <c r="C3090" s="128" t="str">
        <f t="shared" si="2239"/>
        <v>N</v>
      </c>
      <c r="D3090" s="117">
        <v>2613636</v>
      </c>
      <c r="E3090" s="135">
        <f t="shared" si="2240"/>
        <v>1</v>
      </c>
      <c r="F3090" s="124">
        <v>41010</v>
      </c>
      <c r="G3090" s="125">
        <v>41012</v>
      </c>
      <c r="H3090" s="117">
        <v>2613636</v>
      </c>
      <c r="I3090" s="124" t="s">
        <v>562</v>
      </c>
      <c r="J3090" s="124" t="s">
        <v>562</v>
      </c>
      <c r="K3090" s="126">
        <v>5000</v>
      </c>
      <c r="L3090" s="127" t="s">
        <v>569</v>
      </c>
      <c r="M3090" s="125">
        <v>41011</v>
      </c>
      <c r="N3090" s="129" t="str">
        <f>IF(M3090&gt;1/1/1,"Y",IF(Q3090="0","","N"))</f>
        <v>Y</v>
      </c>
      <c r="O3090" s="128" t="s">
        <v>76</v>
      </c>
      <c r="P3090" s="129" t="s">
        <v>55</v>
      </c>
      <c r="Q3090" s="111">
        <f t="shared" si="2251"/>
        <v>0</v>
      </c>
      <c r="R3090" s="111">
        <f t="shared" si="2227"/>
        <v>3</v>
      </c>
      <c r="S3090" s="129">
        <v>0</v>
      </c>
      <c r="T3090" s="129">
        <v>0</v>
      </c>
      <c r="W3090" s="111"/>
      <c r="AC3090" s="130"/>
      <c r="AD3090" s="130">
        <v>28697</v>
      </c>
      <c r="AE3090" s="128" t="s">
        <v>32</v>
      </c>
      <c r="AF3090" s="128" t="s">
        <v>33</v>
      </c>
      <c r="AG3090" s="128" t="s">
        <v>872</v>
      </c>
      <c r="AH3090" s="108" t="s">
        <v>31</v>
      </c>
      <c r="AI3090" s="128" t="s">
        <v>113</v>
      </c>
      <c r="AJ3090" s="129" t="s">
        <v>55</v>
      </c>
      <c r="AK3090" s="129">
        <v>2</v>
      </c>
      <c r="AL3090" s="3" t="s">
        <v>55</v>
      </c>
      <c r="AP3090" s="129" t="s">
        <v>342</v>
      </c>
      <c r="AR3090" s="128" t="s">
        <v>67</v>
      </c>
      <c r="AS3090" s="129" t="s">
        <v>64</v>
      </c>
      <c r="BC3090" s="129" t="s">
        <v>38</v>
      </c>
      <c r="BF3090" s="111">
        <v>0</v>
      </c>
      <c r="BG3090" s="111">
        <v>0</v>
      </c>
      <c r="BH3090" s="111">
        <f t="shared" si="2228"/>
        <v>3</v>
      </c>
      <c r="BI3090" s="111">
        <f t="shared" si="2231"/>
        <v>33.642076502732237</v>
      </c>
      <c r="BJ3090" s="129" t="e">
        <f t="shared" si="2252"/>
        <v>#VALUE!</v>
      </c>
      <c r="BK3090" s="129" t="e">
        <f t="shared" si="2229"/>
        <v>#VALUE!</v>
      </c>
      <c r="BL3090" s="129" t="str">
        <f t="shared" si="2223"/>
        <v>NO CONVICTION</v>
      </c>
      <c r="BM3090" s="129" t="s">
        <v>76</v>
      </c>
      <c r="BN3090" s="129" t="s">
        <v>88</v>
      </c>
      <c r="BP3090" s="137" t="str">
        <f t="shared" si="2232"/>
        <v>NO CONVICTION</v>
      </c>
      <c r="BQ3090" s="128">
        <f t="shared" si="2241"/>
        <v>0</v>
      </c>
      <c r="BR3090" s="129" t="s">
        <v>575</v>
      </c>
      <c r="BS3090" s="129" t="str">
        <f t="shared" si="2234"/>
        <v>DISPOSED</v>
      </c>
      <c r="BT3090" s="129" t="str">
        <f t="shared" si="2235"/>
        <v>N</v>
      </c>
      <c r="BU3090" s="109">
        <f>IFERROR(Q3090/R3090,BR3090)</f>
        <v>0</v>
      </c>
      <c r="BV3090" s="109">
        <v>0</v>
      </c>
      <c r="BW3090" s="109">
        <f t="shared" ref="BW3090:BW3153" si="2253">BV3090-BU3090</f>
        <v>0</v>
      </c>
      <c r="BX3090" s="111">
        <f t="shared" si="2237"/>
        <v>0</v>
      </c>
      <c r="BY3090" s="129" t="e">
        <f t="shared" si="2243"/>
        <v>#VALUE!</v>
      </c>
      <c r="BZ3090" s="111" t="e">
        <f t="shared" si="2244"/>
        <v>#VALUE!</v>
      </c>
      <c r="CA3090" s="138" t="e">
        <f t="shared" si="2245"/>
        <v>#VALUE!</v>
      </c>
      <c r="CB3090" s="111">
        <v>0</v>
      </c>
      <c r="CC3090" s="129">
        <v>0</v>
      </c>
      <c r="CD3090" s="111">
        <f>CC3090-BF3090</f>
        <v>0</v>
      </c>
      <c r="CG3090" s="129" t="str">
        <f t="shared" si="2246"/>
        <v>N</v>
      </c>
      <c r="CI3090" s="129" t="str">
        <f t="shared" si="2248"/>
        <v>0-10 DAYS</v>
      </c>
      <c r="CJ3090" s="137">
        <f t="shared" si="2249"/>
        <v>1</v>
      </c>
      <c r="CK3090" s="129" t="str">
        <f t="shared" si="2250"/>
        <v>Not Booked</v>
      </c>
    </row>
    <row r="3091" spans="1:89" ht="15.75" customHeight="1" x14ac:dyDescent="0.25">
      <c r="A3091" s="111">
        <v>2727</v>
      </c>
      <c r="B3091" s="128" t="str">
        <f t="shared" si="2238"/>
        <v>N</v>
      </c>
      <c r="C3091" s="128" t="str">
        <f t="shared" si="2239"/>
        <v>N</v>
      </c>
      <c r="D3091" s="117">
        <v>2613643</v>
      </c>
      <c r="E3091" s="135">
        <f t="shared" si="2240"/>
        <v>6</v>
      </c>
      <c r="F3091" s="124">
        <v>41010</v>
      </c>
      <c r="G3091" s="125">
        <v>41109</v>
      </c>
      <c r="H3091" s="117">
        <v>2613643</v>
      </c>
      <c r="I3091" s="124">
        <v>41010</v>
      </c>
      <c r="J3091" s="124">
        <v>41043</v>
      </c>
      <c r="K3091" s="126">
        <v>60000</v>
      </c>
      <c r="L3091" s="129" t="s">
        <v>572</v>
      </c>
      <c r="M3091" s="125">
        <v>41043</v>
      </c>
      <c r="N3091" s="129" t="str">
        <f t="shared" ref="N3091:N3102" si="2254">IF(M3091&gt;1/1/1,"Y","N")</f>
        <v>Y</v>
      </c>
      <c r="O3091" s="128" t="s">
        <v>585</v>
      </c>
      <c r="P3091" s="129" t="s">
        <v>39</v>
      </c>
      <c r="Q3091" s="111">
        <f t="shared" si="2251"/>
        <v>34</v>
      </c>
      <c r="R3091" s="111">
        <f t="shared" si="2227"/>
        <v>100</v>
      </c>
      <c r="S3091" s="129">
        <v>0</v>
      </c>
      <c r="T3091" s="129">
        <v>0</v>
      </c>
      <c r="W3091" s="111"/>
      <c r="AB3091" s="131" t="s">
        <v>112</v>
      </c>
      <c r="AC3091" s="130"/>
      <c r="AD3091" s="130">
        <v>34640</v>
      </c>
      <c r="AE3091" s="128" t="s">
        <v>32</v>
      </c>
      <c r="AF3091" s="128" t="s">
        <v>40</v>
      </c>
      <c r="AG3091" s="128" t="s">
        <v>41</v>
      </c>
      <c r="AH3091" s="108" t="s">
        <v>31</v>
      </c>
      <c r="AI3091" s="128" t="s">
        <v>87</v>
      </c>
      <c r="AJ3091" s="129" t="s">
        <v>89</v>
      </c>
      <c r="AK3091" s="129">
        <v>5</v>
      </c>
      <c r="AL3091" s="3" t="s">
        <v>362</v>
      </c>
      <c r="AM3091" s="117">
        <v>5</v>
      </c>
      <c r="AP3091" s="129" t="s">
        <v>105</v>
      </c>
      <c r="AR3091" s="128" t="s">
        <v>92</v>
      </c>
      <c r="AS3091" s="129" t="s">
        <v>106</v>
      </c>
      <c r="BC3091" s="129" t="s">
        <v>52</v>
      </c>
      <c r="BF3091" s="111">
        <f t="shared" ref="BF3091:BF3102" si="2255">IF(J3091&gt;1/1/1900,((J3091+1)-I3091),"STILL OPEN")</f>
        <v>34</v>
      </c>
      <c r="BG3091" s="111">
        <f t="shared" ref="BG3091:BG3102" si="2256">IF(G3091&gt;1/1/1900,((G3091+1)-I3091),"STILL OPEN")</f>
        <v>100</v>
      </c>
      <c r="BH3091" s="111">
        <f t="shared" si="2228"/>
        <v>100</v>
      </c>
      <c r="BI3091" s="111">
        <f t="shared" si="2231"/>
        <v>17.404371584699454</v>
      </c>
      <c r="BJ3091" s="129">
        <f t="shared" si="2252"/>
        <v>0</v>
      </c>
      <c r="BK3091" s="129">
        <f t="shared" si="2229"/>
        <v>-66</v>
      </c>
      <c r="BL3091" s="129" t="str">
        <f t="shared" si="2223"/>
        <v>CONVICTION</v>
      </c>
      <c r="BM3091" s="129" t="s">
        <v>76</v>
      </c>
      <c r="BN3091" s="129" t="s">
        <v>88</v>
      </c>
      <c r="BP3091" s="137" t="str">
        <f t="shared" si="2232"/>
        <v>CONVICTION</v>
      </c>
      <c r="BQ3091" s="128" t="str">
        <f t="shared" si="2241"/>
        <v>Y</v>
      </c>
      <c r="BR3091" s="129" t="str">
        <f>IF(J3091&lt;G3091,"ON BOND",0)</f>
        <v>ON BOND</v>
      </c>
      <c r="BS3091" s="129" t="str">
        <f t="shared" si="2234"/>
        <v>DISPOSED</v>
      </c>
      <c r="BT3091" s="129" t="str">
        <f t="shared" si="2235"/>
        <v>N</v>
      </c>
      <c r="BU3091" s="109">
        <f t="shared" si="2236"/>
        <v>0.34</v>
      </c>
      <c r="BV3091" s="109">
        <f t="shared" si="2242"/>
        <v>0.34</v>
      </c>
      <c r="BW3091" s="109">
        <f t="shared" si="2253"/>
        <v>0</v>
      </c>
      <c r="BX3091" s="111">
        <f t="shared" si="2237"/>
        <v>0</v>
      </c>
      <c r="BY3091" s="129">
        <f t="shared" si="2243"/>
        <v>-34</v>
      </c>
      <c r="BZ3091" s="111">
        <f t="shared" si="2244"/>
        <v>0</v>
      </c>
      <c r="CA3091" s="138">
        <f t="shared" si="2245"/>
        <v>34</v>
      </c>
      <c r="CB3091" s="111" t="e">
        <f t="shared" ref="CB3091:CB3102" si="2257">IF(AF3091&gt;1/1/1900,((AF3091+1)-AE3091),"STILL OPEN")</f>
        <v>#VALUE!</v>
      </c>
      <c r="CC3091" s="129">
        <f>M3091-I3091+1</f>
        <v>34</v>
      </c>
      <c r="CD3091" s="111">
        <f>CC3091-BF3091</f>
        <v>0</v>
      </c>
      <c r="CG3091" s="129" t="str">
        <f t="shared" si="2246"/>
        <v>N</v>
      </c>
      <c r="CI3091" s="129" t="str">
        <f t="shared" si="2248"/>
        <v>31-60 DAYS</v>
      </c>
      <c r="CJ3091" s="137">
        <f t="shared" si="2249"/>
        <v>3</v>
      </c>
      <c r="CK3091" s="129" t="str">
        <f t="shared" si="2250"/>
        <v>Booked</v>
      </c>
    </row>
    <row r="3092" spans="1:89" ht="15.75" customHeight="1" x14ac:dyDescent="0.25">
      <c r="A3092" s="111">
        <v>2751</v>
      </c>
      <c r="B3092" s="128" t="str">
        <f t="shared" si="2238"/>
        <v>N</v>
      </c>
      <c r="C3092" s="128" t="str">
        <f t="shared" si="2239"/>
        <v>N</v>
      </c>
      <c r="D3092" s="117">
        <v>2613699</v>
      </c>
      <c r="E3092" s="135">
        <f t="shared" si="2240"/>
        <v>2</v>
      </c>
      <c r="F3092" s="124">
        <v>41011</v>
      </c>
      <c r="G3092" s="125">
        <v>41116</v>
      </c>
      <c r="H3092" s="117">
        <v>2613699</v>
      </c>
      <c r="I3092" s="124">
        <v>41011</v>
      </c>
      <c r="J3092" s="124">
        <v>41012</v>
      </c>
      <c r="K3092" s="126">
        <v>2000</v>
      </c>
      <c r="L3092" s="127" t="s">
        <v>568</v>
      </c>
      <c r="M3092" s="125">
        <v>41012</v>
      </c>
      <c r="N3092" s="129" t="str">
        <f t="shared" si="2254"/>
        <v>Y</v>
      </c>
      <c r="O3092" s="128" t="s">
        <v>76</v>
      </c>
      <c r="P3092" s="129" t="s">
        <v>589</v>
      </c>
      <c r="Q3092" s="111">
        <f t="shared" si="2251"/>
        <v>2</v>
      </c>
      <c r="R3092" s="111">
        <f t="shared" si="2227"/>
        <v>106</v>
      </c>
      <c r="S3092" s="129">
        <v>0</v>
      </c>
      <c r="T3092" s="129">
        <v>0</v>
      </c>
      <c r="W3092" s="111"/>
      <c r="AC3092" s="130"/>
      <c r="AD3092" s="130">
        <v>34317</v>
      </c>
      <c r="AE3092" s="128" t="s">
        <v>32</v>
      </c>
      <c r="AF3092" s="128" t="s">
        <v>33</v>
      </c>
      <c r="AG3092" s="128" t="s">
        <v>872</v>
      </c>
      <c r="AH3092" s="108" t="s">
        <v>31</v>
      </c>
      <c r="AI3092" s="128" t="s">
        <v>65</v>
      </c>
      <c r="AJ3092" s="129" t="s">
        <v>48</v>
      </c>
      <c r="AK3092" s="129">
        <v>5</v>
      </c>
      <c r="AL3092" s="3" t="s">
        <v>48</v>
      </c>
      <c r="AP3092" s="129" t="s">
        <v>484</v>
      </c>
      <c r="AR3092" s="128" t="s">
        <v>46</v>
      </c>
      <c r="AS3092" s="129" t="s">
        <v>45</v>
      </c>
      <c r="AY3092" s="32"/>
      <c r="BC3092" s="129" t="s">
        <v>52</v>
      </c>
      <c r="BF3092" s="111">
        <f t="shared" si="2255"/>
        <v>2</v>
      </c>
      <c r="BG3092" s="111">
        <f t="shared" si="2256"/>
        <v>106</v>
      </c>
      <c r="BH3092" s="111">
        <f t="shared" si="2228"/>
        <v>106</v>
      </c>
      <c r="BI3092" s="111">
        <f t="shared" si="2231"/>
        <v>18.289617486338798</v>
      </c>
      <c r="BJ3092" s="129">
        <f t="shared" si="2252"/>
        <v>0</v>
      </c>
      <c r="BK3092" s="129">
        <f t="shared" si="2229"/>
        <v>-104</v>
      </c>
      <c r="BL3092" s="129" t="str">
        <f t="shared" si="2223"/>
        <v>DEFERRED</v>
      </c>
      <c r="BM3092" s="129" t="s">
        <v>76</v>
      </c>
      <c r="BN3092" s="129" t="s">
        <v>88</v>
      </c>
      <c r="BP3092" s="137" t="str">
        <f t="shared" si="2232"/>
        <v>DEFERRED</v>
      </c>
      <c r="BQ3092" s="128" t="str">
        <f t="shared" si="2241"/>
        <v>Y</v>
      </c>
      <c r="BR3092" s="129" t="str">
        <f t="shared" si="2233"/>
        <v>ON BOND</v>
      </c>
      <c r="BS3092" s="129" t="str">
        <f t="shared" si="2234"/>
        <v>DISPOSED</v>
      </c>
      <c r="BT3092" s="129" t="str">
        <f t="shared" si="2235"/>
        <v>N</v>
      </c>
      <c r="BU3092" s="109">
        <f t="shared" si="2236"/>
        <v>1.8867924528301886E-2</v>
      </c>
      <c r="BV3092" s="109">
        <f t="shared" si="2242"/>
        <v>1.8867924528301886E-2</v>
      </c>
      <c r="BW3092" s="109">
        <f t="shared" si="2253"/>
        <v>0</v>
      </c>
      <c r="BX3092" s="111">
        <f t="shared" si="2237"/>
        <v>0</v>
      </c>
      <c r="BY3092" s="129">
        <f t="shared" si="2243"/>
        <v>-2</v>
      </c>
      <c r="BZ3092" s="111">
        <f t="shared" si="2244"/>
        <v>0</v>
      </c>
      <c r="CA3092" s="138">
        <f t="shared" si="2245"/>
        <v>2</v>
      </c>
      <c r="CB3092" s="111" t="e">
        <f t="shared" si="2257"/>
        <v>#VALUE!</v>
      </c>
      <c r="CC3092" s="129">
        <f>M3092-I3092+1</f>
        <v>2</v>
      </c>
      <c r="CD3092" s="111">
        <f>CC3092-BF3092</f>
        <v>0</v>
      </c>
      <c r="CG3092" s="129" t="str">
        <f t="shared" si="2246"/>
        <v>N</v>
      </c>
      <c r="CI3092" s="129" t="str">
        <f t="shared" si="2248"/>
        <v>0-10 DAYS</v>
      </c>
      <c r="CJ3092" s="137">
        <f t="shared" si="2249"/>
        <v>1</v>
      </c>
      <c r="CK3092" s="129" t="str">
        <f t="shared" si="2250"/>
        <v>Booked</v>
      </c>
    </row>
    <row r="3093" spans="1:89" ht="15" customHeight="1" x14ac:dyDescent="0.25">
      <c r="A3093" s="111">
        <v>2745</v>
      </c>
      <c r="B3093" s="128" t="str">
        <f t="shared" si="2238"/>
        <v>N</v>
      </c>
      <c r="C3093" s="128" t="str">
        <f t="shared" si="2239"/>
        <v>N</v>
      </c>
      <c r="D3093" s="117">
        <v>2613704</v>
      </c>
      <c r="E3093" s="135">
        <f t="shared" si="2240"/>
        <v>5</v>
      </c>
      <c r="F3093" s="124">
        <v>41011</v>
      </c>
      <c r="G3093" s="125">
        <v>41079</v>
      </c>
      <c r="H3093" s="117">
        <v>2613704</v>
      </c>
      <c r="I3093" s="124">
        <v>41012</v>
      </c>
      <c r="J3093" s="124">
        <v>41079</v>
      </c>
      <c r="K3093" s="126">
        <v>52000</v>
      </c>
      <c r="L3093" s="129" t="s">
        <v>572</v>
      </c>
      <c r="N3093" s="129" t="str">
        <f t="shared" si="2254"/>
        <v>N</v>
      </c>
      <c r="O3093" s="128" t="s">
        <v>917</v>
      </c>
      <c r="P3093" s="129" t="s">
        <v>39</v>
      </c>
      <c r="Q3093" s="111">
        <f t="shared" si="2251"/>
        <v>68</v>
      </c>
      <c r="R3093" s="111">
        <f t="shared" si="2227"/>
        <v>69</v>
      </c>
      <c r="S3093" s="129">
        <v>0</v>
      </c>
      <c r="T3093" s="129">
        <v>0</v>
      </c>
      <c r="W3093" s="111"/>
      <c r="AB3093" s="131" t="s">
        <v>112</v>
      </c>
      <c r="AC3093" s="130"/>
      <c r="AD3093" s="130">
        <v>32720</v>
      </c>
      <c r="AE3093" s="128" t="s">
        <v>32</v>
      </c>
      <c r="AF3093" s="128" t="s">
        <v>40</v>
      </c>
      <c r="AG3093" s="128" t="s">
        <v>41</v>
      </c>
      <c r="AH3093" s="108" t="s">
        <v>31</v>
      </c>
      <c r="AI3093" s="128" t="s">
        <v>100</v>
      </c>
      <c r="AJ3093" s="129" t="s">
        <v>89</v>
      </c>
      <c r="AK3093" s="129">
        <v>4</v>
      </c>
      <c r="AL3093" s="3" t="s">
        <v>992</v>
      </c>
      <c r="AN3093" s="117">
        <v>6</v>
      </c>
      <c r="AP3093" s="129" t="s">
        <v>108</v>
      </c>
      <c r="AR3093" s="128" t="s">
        <v>44</v>
      </c>
      <c r="AS3093" s="129" t="s">
        <v>61</v>
      </c>
      <c r="AT3093" s="129" t="s">
        <v>482</v>
      </c>
      <c r="BC3093" s="129" t="s">
        <v>38</v>
      </c>
      <c r="BF3093" s="111">
        <f t="shared" si="2255"/>
        <v>68</v>
      </c>
      <c r="BG3093" s="111">
        <f t="shared" si="2256"/>
        <v>68</v>
      </c>
      <c r="BH3093" s="111">
        <f t="shared" si="2228"/>
        <v>69</v>
      </c>
      <c r="BI3093" s="111">
        <f t="shared" si="2231"/>
        <v>22.653005464480874</v>
      </c>
      <c r="BJ3093" s="129">
        <f t="shared" ref="BJ3093:BJ3099" si="2258">G3093-J3093-M3093</f>
        <v>0</v>
      </c>
      <c r="BK3093" s="129">
        <f t="shared" si="2229"/>
        <v>0</v>
      </c>
      <c r="BL3093" s="129" t="str">
        <f t="shared" si="2223"/>
        <v>CONVICTION</v>
      </c>
      <c r="BM3093" s="129" t="str">
        <f t="shared" ref="BM3093:BM3099" si="2259">O3093</f>
        <v>NONE</v>
      </c>
      <c r="BN3093" s="129" t="s">
        <v>566</v>
      </c>
      <c r="BP3093" s="137" t="str">
        <f t="shared" si="2232"/>
        <v>CONVICTION</v>
      </c>
      <c r="BQ3093" s="128" t="str">
        <f t="shared" si="2241"/>
        <v>Y</v>
      </c>
      <c r="BR3093" s="129" t="str">
        <f t="shared" si="2233"/>
        <v>DETAINED</v>
      </c>
      <c r="BS3093" s="129" t="str">
        <f t="shared" si="2234"/>
        <v>DISPOSED</v>
      </c>
      <c r="BT3093" s="129" t="str">
        <f t="shared" si="2235"/>
        <v>N</v>
      </c>
      <c r="BU3093" s="109">
        <f t="shared" si="2236"/>
        <v>0.98550724637681164</v>
      </c>
      <c r="BV3093" s="109">
        <f t="shared" si="2242"/>
        <v>1</v>
      </c>
      <c r="BW3093" s="109">
        <f t="shared" si="2253"/>
        <v>1.4492753623188359E-2</v>
      </c>
      <c r="BX3093" s="111">
        <f t="shared" si="2237"/>
        <v>0</v>
      </c>
      <c r="BY3093" s="129">
        <f t="shared" si="2243"/>
        <v>-68</v>
      </c>
      <c r="BZ3093" s="111">
        <f t="shared" si="2244"/>
        <v>0</v>
      </c>
      <c r="CA3093" s="138">
        <f t="shared" si="2245"/>
        <v>68</v>
      </c>
      <c r="CB3093" s="111" t="e">
        <f t="shared" si="2257"/>
        <v>#VALUE!</v>
      </c>
      <c r="CC3093" s="129">
        <f t="shared" ref="CC3093:CC3099" si="2260">G3093-I3093+1</f>
        <v>68</v>
      </c>
      <c r="CD3093" s="129">
        <f t="shared" ref="CD3093:CD3099" si="2261">G3093-J3093</f>
        <v>0</v>
      </c>
      <c r="CG3093" s="129" t="str">
        <f t="shared" si="2246"/>
        <v>N</v>
      </c>
      <c r="CI3093" s="129" t="str">
        <f t="shared" si="2248"/>
        <v>61-90 DAYS</v>
      </c>
      <c r="CJ3093" s="137">
        <f t="shared" si="2249"/>
        <v>4</v>
      </c>
      <c r="CK3093" s="129" t="str">
        <f t="shared" si="2250"/>
        <v>Booked</v>
      </c>
    </row>
    <row r="3094" spans="1:89" ht="15.75" customHeight="1" x14ac:dyDescent="0.25">
      <c r="A3094" s="111">
        <v>2747</v>
      </c>
      <c r="B3094" s="128" t="str">
        <f t="shared" si="2238"/>
        <v>N</v>
      </c>
      <c r="C3094" s="128" t="str">
        <f t="shared" si="2239"/>
        <v>N</v>
      </c>
      <c r="D3094" s="117">
        <v>2613707</v>
      </c>
      <c r="E3094" s="135">
        <f t="shared" si="2240"/>
        <v>4</v>
      </c>
      <c r="F3094" s="124">
        <v>41011</v>
      </c>
      <c r="G3094" s="125">
        <v>41015</v>
      </c>
      <c r="H3094" s="117">
        <v>2613707</v>
      </c>
      <c r="I3094" s="124">
        <v>41012</v>
      </c>
      <c r="J3094" s="124">
        <v>41015</v>
      </c>
      <c r="K3094" s="126">
        <v>35000</v>
      </c>
      <c r="L3094" s="129" t="s">
        <v>572</v>
      </c>
      <c r="N3094" s="129" t="str">
        <f t="shared" si="2254"/>
        <v>N</v>
      </c>
      <c r="O3094" s="128" t="s">
        <v>917</v>
      </c>
      <c r="P3094" s="129" t="s">
        <v>39</v>
      </c>
      <c r="Q3094" s="111">
        <f t="shared" si="2251"/>
        <v>4</v>
      </c>
      <c r="R3094" s="111">
        <f t="shared" si="2227"/>
        <v>5</v>
      </c>
      <c r="S3094" s="129">
        <v>0</v>
      </c>
      <c r="T3094" s="129">
        <v>0</v>
      </c>
      <c r="W3094" s="111"/>
      <c r="AC3094" s="130"/>
      <c r="AD3094" s="130">
        <v>30707</v>
      </c>
      <c r="AE3094" s="128" t="s">
        <v>32</v>
      </c>
      <c r="AF3094" s="128" t="s">
        <v>69</v>
      </c>
      <c r="AG3094" s="128" t="s">
        <v>874</v>
      </c>
      <c r="AH3094" s="108" t="s">
        <v>31</v>
      </c>
      <c r="AI3094" s="128" t="s">
        <v>53</v>
      </c>
      <c r="AJ3094" s="129" t="s">
        <v>89</v>
      </c>
      <c r="AK3094" s="129">
        <v>2</v>
      </c>
      <c r="AL3094" s="3" t="s">
        <v>991</v>
      </c>
      <c r="AO3094" s="128">
        <v>180</v>
      </c>
      <c r="AP3094" s="129" t="s">
        <v>108</v>
      </c>
      <c r="AR3094" s="128" t="s">
        <v>44</v>
      </c>
      <c r="AS3094" s="129" t="s">
        <v>61</v>
      </c>
      <c r="BC3094" s="129" t="s">
        <v>38</v>
      </c>
      <c r="BF3094" s="111">
        <f t="shared" si="2255"/>
        <v>4</v>
      </c>
      <c r="BG3094" s="111">
        <f t="shared" si="2256"/>
        <v>4</v>
      </c>
      <c r="BH3094" s="111">
        <f t="shared" si="2228"/>
        <v>5</v>
      </c>
      <c r="BI3094" s="111">
        <f t="shared" si="2231"/>
        <v>28.153005464480874</v>
      </c>
      <c r="BJ3094" s="129">
        <f t="shared" si="2258"/>
        <v>0</v>
      </c>
      <c r="BK3094" s="129">
        <f t="shared" si="2229"/>
        <v>0</v>
      </c>
      <c r="BL3094" s="129" t="str">
        <f t="shared" si="2223"/>
        <v>CONVICTION</v>
      </c>
      <c r="BM3094" s="129" t="str">
        <f t="shared" si="2259"/>
        <v>NONE</v>
      </c>
      <c r="BN3094" s="129" t="s">
        <v>566</v>
      </c>
      <c r="BP3094" s="137" t="str">
        <f t="shared" si="2232"/>
        <v>CONVICTION</v>
      </c>
      <c r="BQ3094" s="128" t="str">
        <f t="shared" si="2241"/>
        <v>Y</v>
      </c>
      <c r="BR3094" s="129" t="str">
        <f t="shared" si="2233"/>
        <v>DETAINED</v>
      </c>
      <c r="BS3094" s="129" t="str">
        <f t="shared" si="2234"/>
        <v>DISPOSED</v>
      </c>
      <c r="BT3094" s="129" t="str">
        <f t="shared" si="2235"/>
        <v>N</v>
      </c>
      <c r="BU3094" s="109">
        <f t="shared" si="2236"/>
        <v>0.8</v>
      </c>
      <c r="BV3094" s="109">
        <f t="shared" si="2242"/>
        <v>1</v>
      </c>
      <c r="BW3094" s="109">
        <f t="shared" si="2253"/>
        <v>0.19999999999999996</v>
      </c>
      <c r="BX3094" s="111">
        <f t="shared" si="2237"/>
        <v>0</v>
      </c>
      <c r="BY3094" s="129">
        <f t="shared" si="2243"/>
        <v>-4</v>
      </c>
      <c r="BZ3094" s="111">
        <f t="shared" si="2244"/>
        <v>0</v>
      </c>
      <c r="CA3094" s="138">
        <f t="shared" si="2245"/>
        <v>4</v>
      </c>
      <c r="CB3094" s="111" t="e">
        <f t="shared" si="2257"/>
        <v>#VALUE!</v>
      </c>
      <c r="CC3094" s="129">
        <f t="shared" si="2260"/>
        <v>4</v>
      </c>
      <c r="CD3094" s="129">
        <f t="shared" si="2261"/>
        <v>0</v>
      </c>
      <c r="CG3094" s="129" t="str">
        <f t="shared" si="2246"/>
        <v>N</v>
      </c>
      <c r="CI3094" s="129" t="str">
        <f t="shared" si="2248"/>
        <v>0-10 DAYS</v>
      </c>
      <c r="CJ3094" s="137">
        <f t="shared" si="2249"/>
        <v>1</v>
      </c>
      <c r="CK3094" s="129" t="str">
        <f t="shared" si="2250"/>
        <v>Booked</v>
      </c>
    </row>
    <row r="3095" spans="1:89" ht="15" customHeight="1" x14ac:dyDescent="0.25">
      <c r="A3095" s="111">
        <v>2746</v>
      </c>
      <c r="B3095" s="128" t="str">
        <f t="shared" si="2238"/>
        <v>N</v>
      </c>
      <c r="C3095" s="128" t="str">
        <f t="shared" si="2239"/>
        <v>N</v>
      </c>
      <c r="D3095" s="117">
        <v>2613709</v>
      </c>
      <c r="E3095" s="135">
        <f t="shared" si="2240"/>
        <v>4</v>
      </c>
      <c r="F3095" s="124">
        <v>41010</v>
      </c>
      <c r="G3095" s="125">
        <v>41015</v>
      </c>
      <c r="H3095" s="117">
        <v>2613709</v>
      </c>
      <c r="I3095" s="124">
        <v>41012</v>
      </c>
      <c r="J3095" s="124">
        <v>41015</v>
      </c>
      <c r="K3095" s="126">
        <v>2000</v>
      </c>
      <c r="L3095" s="127" t="s">
        <v>568</v>
      </c>
      <c r="N3095" s="129" t="str">
        <f t="shared" si="2254"/>
        <v>N</v>
      </c>
      <c r="O3095" s="128" t="s">
        <v>917</v>
      </c>
      <c r="P3095" s="129" t="s">
        <v>39</v>
      </c>
      <c r="Q3095" s="111">
        <f t="shared" si="2251"/>
        <v>4</v>
      </c>
      <c r="R3095" s="111">
        <f t="shared" si="2227"/>
        <v>6</v>
      </c>
      <c r="S3095" s="129">
        <v>0</v>
      </c>
      <c r="T3095" s="129">
        <v>0</v>
      </c>
      <c r="W3095" s="111"/>
      <c r="AB3095" s="131" t="s">
        <v>112</v>
      </c>
      <c r="AC3095" s="130"/>
      <c r="AD3095" s="130">
        <v>30881</v>
      </c>
      <c r="AE3095" s="128" t="s">
        <v>32</v>
      </c>
      <c r="AF3095" s="128" t="s">
        <v>40</v>
      </c>
      <c r="AG3095" s="128" t="s">
        <v>41</v>
      </c>
      <c r="AH3095" s="108" t="s">
        <v>31</v>
      </c>
      <c r="AI3095" s="128" t="s">
        <v>53</v>
      </c>
      <c r="AJ3095" s="129" t="s">
        <v>89</v>
      </c>
      <c r="AK3095" s="129">
        <v>2</v>
      </c>
      <c r="AL3095" s="3" t="s">
        <v>991</v>
      </c>
      <c r="AO3095" s="128">
        <v>180</v>
      </c>
      <c r="AP3095" s="129" t="s">
        <v>108</v>
      </c>
      <c r="AR3095" s="128" t="s">
        <v>44</v>
      </c>
      <c r="AS3095" s="129" t="s">
        <v>61</v>
      </c>
      <c r="AT3095" s="129" t="s">
        <v>483</v>
      </c>
      <c r="BC3095" s="129" t="s">
        <v>38</v>
      </c>
      <c r="BF3095" s="111">
        <f t="shared" si="2255"/>
        <v>4</v>
      </c>
      <c r="BG3095" s="111">
        <f t="shared" si="2256"/>
        <v>4</v>
      </c>
      <c r="BH3095" s="111">
        <f t="shared" si="2228"/>
        <v>6</v>
      </c>
      <c r="BI3095" s="111">
        <f t="shared" si="2231"/>
        <v>27.674863387978142</v>
      </c>
      <c r="BJ3095" s="129">
        <f t="shared" si="2258"/>
        <v>0</v>
      </c>
      <c r="BK3095" s="129">
        <f t="shared" si="2229"/>
        <v>0</v>
      </c>
      <c r="BL3095" s="129" t="str">
        <f t="shared" si="2223"/>
        <v>CONVICTION</v>
      </c>
      <c r="BM3095" s="129" t="str">
        <f t="shared" si="2259"/>
        <v>NONE</v>
      </c>
      <c r="BN3095" s="129" t="s">
        <v>566</v>
      </c>
      <c r="BP3095" s="137" t="str">
        <f t="shared" si="2232"/>
        <v>CONVICTION</v>
      </c>
      <c r="BQ3095" s="128" t="str">
        <f t="shared" si="2241"/>
        <v>Y</v>
      </c>
      <c r="BR3095" s="129" t="str">
        <f t="shared" si="2233"/>
        <v>DETAINED</v>
      </c>
      <c r="BS3095" s="129" t="str">
        <f t="shared" si="2234"/>
        <v>DISPOSED</v>
      </c>
      <c r="BT3095" s="129" t="str">
        <f t="shared" si="2235"/>
        <v>N</v>
      </c>
      <c r="BU3095" s="109">
        <f t="shared" si="2236"/>
        <v>0.66666666666666663</v>
      </c>
      <c r="BV3095" s="109">
        <f t="shared" si="2242"/>
        <v>1</v>
      </c>
      <c r="BW3095" s="109">
        <f t="shared" si="2253"/>
        <v>0.33333333333333337</v>
      </c>
      <c r="BX3095" s="111">
        <f t="shared" si="2237"/>
        <v>0</v>
      </c>
      <c r="BY3095" s="129">
        <f t="shared" si="2243"/>
        <v>-4</v>
      </c>
      <c r="BZ3095" s="111">
        <f t="shared" si="2244"/>
        <v>0</v>
      </c>
      <c r="CA3095" s="138">
        <f t="shared" si="2245"/>
        <v>4</v>
      </c>
      <c r="CB3095" s="111" t="e">
        <f t="shared" si="2257"/>
        <v>#VALUE!</v>
      </c>
      <c r="CC3095" s="129">
        <f t="shared" si="2260"/>
        <v>4</v>
      </c>
      <c r="CD3095" s="129">
        <f t="shared" si="2261"/>
        <v>0</v>
      </c>
      <c r="CG3095" s="129" t="str">
        <f t="shared" si="2246"/>
        <v>N</v>
      </c>
      <c r="CI3095" s="129" t="str">
        <f t="shared" si="2248"/>
        <v>0-10 DAYS</v>
      </c>
      <c r="CJ3095" s="137">
        <f t="shared" si="2249"/>
        <v>1</v>
      </c>
      <c r="CK3095" s="129" t="str">
        <f t="shared" si="2250"/>
        <v>Booked</v>
      </c>
    </row>
    <row r="3096" spans="1:89" ht="15.75" customHeight="1" x14ac:dyDescent="0.25">
      <c r="A3096" s="111">
        <v>2753</v>
      </c>
      <c r="B3096" s="128" t="str">
        <f t="shared" si="2238"/>
        <v>N</v>
      </c>
      <c r="C3096" s="128" t="str">
        <f t="shared" si="2239"/>
        <v>N</v>
      </c>
      <c r="D3096" s="117">
        <v>2613729</v>
      </c>
      <c r="E3096" s="135">
        <f t="shared" si="2240"/>
        <v>4</v>
      </c>
      <c r="F3096" s="124">
        <v>41011</v>
      </c>
      <c r="G3096" s="125">
        <v>41178</v>
      </c>
      <c r="H3096" s="117">
        <v>2613729</v>
      </c>
      <c r="I3096" s="124">
        <v>41011</v>
      </c>
      <c r="J3096" s="125">
        <v>41178</v>
      </c>
      <c r="K3096" s="126">
        <v>5000</v>
      </c>
      <c r="L3096" s="127" t="s">
        <v>569</v>
      </c>
      <c r="N3096" s="129" t="str">
        <f t="shared" si="2254"/>
        <v>N</v>
      </c>
      <c r="O3096" s="128" t="s">
        <v>917</v>
      </c>
      <c r="P3096" s="129" t="s">
        <v>39</v>
      </c>
      <c r="Q3096" s="111">
        <f t="shared" si="2251"/>
        <v>168</v>
      </c>
      <c r="R3096" s="111">
        <f t="shared" si="2227"/>
        <v>168</v>
      </c>
      <c r="S3096" s="129">
        <v>0</v>
      </c>
      <c r="T3096" s="129">
        <v>0</v>
      </c>
      <c r="W3096" s="111"/>
      <c r="AC3096" s="130"/>
      <c r="AD3096" s="130">
        <v>27703</v>
      </c>
      <c r="AE3096" s="128" t="s">
        <v>32</v>
      </c>
      <c r="AF3096" s="128" t="s">
        <v>33</v>
      </c>
      <c r="AG3096" s="128" t="s">
        <v>872</v>
      </c>
      <c r="AH3096" s="108" t="s">
        <v>31</v>
      </c>
      <c r="AI3096" s="128" t="s">
        <v>141</v>
      </c>
      <c r="AJ3096" s="129" t="s">
        <v>89</v>
      </c>
      <c r="AK3096" s="129">
        <v>7</v>
      </c>
      <c r="AL3096" s="3" t="s">
        <v>991</v>
      </c>
      <c r="AO3096" s="128">
        <v>365</v>
      </c>
      <c r="AP3096" s="129" t="s">
        <v>84</v>
      </c>
      <c r="AR3096" s="128" t="s">
        <v>67</v>
      </c>
      <c r="AS3096" s="129" t="s">
        <v>74</v>
      </c>
      <c r="BC3096" s="129" t="s">
        <v>38</v>
      </c>
      <c r="BF3096" s="111">
        <f t="shared" si="2255"/>
        <v>168</v>
      </c>
      <c r="BG3096" s="111">
        <f t="shared" si="2256"/>
        <v>168</v>
      </c>
      <c r="BH3096" s="111">
        <f t="shared" si="2228"/>
        <v>168</v>
      </c>
      <c r="BI3096" s="111">
        <f t="shared" si="2231"/>
        <v>36.360655737704917</v>
      </c>
      <c r="BJ3096" s="129">
        <f t="shared" si="2258"/>
        <v>0</v>
      </c>
      <c r="BK3096" s="129">
        <f t="shared" si="2229"/>
        <v>0</v>
      </c>
      <c r="BL3096" s="129" t="str">
        <f t="shared" si="2223"/>
        <v>CONVICTION</v>
      </c>
      <c r="BM3096" s="129" t="str">
        <f t="shared" si="2259"/>
        <v>NONE</v>
      </c>
      <c r="BN3096" s="129" t="s">
        <v>566</v>
      </c>
      <c r="BP3096" s="137" t="str">
        <f t="shared" si="2232"/>
        <v>CONVICTION</v>
      </c>
      <c r="BQ3096" s="128" t="str">
        <f t="shared" si="2241"/>
        <v>Y</v>
      </c>
      <c r="BR3096" s="129" t="str">
        <f t="shared" si="2233"/>
        <v>DETAINED</v>
      </c>
      <c r="BS3096" s="129" t="str">
        <f t="shared" si="2234"/>
        <v>DISPOSED</v>
      </c>
      <c r="BT3096" s="129" t="str">
        <f t="shared" si="2235"/>
        <v>N</v>
      </c>
      <c r="BU3096" s="109">
        <f t="shared" si="2236"/>
        <v>1</v>
      </c>
      <c r="BV3096" s="109">
        <f t="shared" si="2242"/>
        <v>1</v>
      </c>
      <c r="BW3096" s="109">
        <f t="shared" si="2253"/>
        <v>0</v>
      </c>
      <c r="BX3096" s="111">
        <f t="shared" si="2237"/>
        <v>0</v>
      </c>
      <c r="BY3096" s="129">
        <f t="shared" si="2243"/>
        <v>-168</v>
      </c>
      <c r="BZ3096" s="111">
        <f t="shared" si="2244"/>
        <v>0</v>
      </c>
      <c r="CA3096" s="138">
        <f t="shared" si="2245"/>
        <v>168</v>
      </c>
      <c r="CB3096" s="111" t="e">
        <f t="shared" si="2257"/>
        <v>#VALUE!</v>
      </c>
      <c r="CC3096" s="129">
        <f t="shared" si="2260"/>
        <v>168</v>
      </c>
      <c r="CD3096" s="129">
        <f t="shared" si="2261"/>
        <v>0</v>
      </c>
      <c r="CG3096" s="129" t="str">
        <f t="shared" si="2246"/>
        <v>N</v>
      </c>
      <c r="CI3096" s="129" t="str">
        <f t="shared" si="2248"/>
        <v>121-365 DAYS</v>
      </c>
      <c r="CJ3096" s="137">
        <f t="shared" si="2249"/>
        <v>6</v>
      </c>
      <c r="CK3096" s="129" t="str">
        <f t="shared" si="2250"/>
        <v>Booked</v>
      </c>
    </row>
    <row r="3097" spans="1:89" ht="15" customHeight="1" x14ac:dyDescent="0.25">
      <c r="A3097" s="111">
        <v>3127</v>
      </c>
      <c r="B3097" s="128" t="str">
        <f t="shared" si="2238"/>
        <v>N</v>
      </c>
      <c r="C3097" s="128" t="str">
        <f t="shared" si="2239"/>
        <v>N</v>
      </c>
      <c r="D3097" s="117">
        <v>2613739</v>
      </c>
      <c r="E3097" s="135">
        <f t="shared" si="2240"/>
        <v>4</v>
      </c>
      <c r="F3097" s="124">
        <v>41024</v>
      </c>
      <c r="G3097" s="125">
        <v>41124</v>
      </c>
      <c r="H3097" s="117">
        <v>2613739</v>
      </c>
      <c r="I3097" s="124">
        <v>41025</v>
      </c>
      <c r="J3097" s="124">
        <v>41124</v>
      </c>
      <c r="K3097" s="126">
        <v>20000</v>
      </c>
      <c r="L3097" s="127" t="s">
        <v>571</v>
      </c>
      <c r="N3097" s="129" t="str">
        <f t="shared" si="2254"/>
        <v>N</v>
      </c>
      <c r="O3097" s="128" t="s">
        <v>917</v>
      </c>
      <c r="P3097" s="129" t="s">
        <v>39</v>
      </c>
      <c r="Q3097" s="111">
        <f t="shared" si="2251"/>
        <v>100</v>
      </c>
      <c r="R3097" s="111">
        <f t="shared" si="2227"/>
        <v>101</v>
      </c>
      <c r="S3097" s="129">
        <v>0</v>
      </c>
      <c r="T3097" s="129">
        <v>2</v>
      </c>
      <c r="W3097" s="111"/>
      <c r="AC3097" s="130"/>
      <c r="AD3097" s="130">
        <v>32809</v>
      </c>
      <c r="AE3097" s="128" t="s">
        <v>32</v>
      </c>
      <c r="AF3097" s="128" t="s">
        <v>33</v>
      </c>
      <c r="AG3097" s="128" t="s">
        <v>872</v>
      </c>
      <c r="AH3097" s="108" t="s">
        <v>58</v>
      </c>
      <c r="AI3097" s="128" t="s">
        <v>113</v>
      </c>
      <c r="AJ3097" s="129" t="s">
        <v>89</v>
      </c>
      <c r="AK3097" s="129">
        <v>6</v>
      </c>
      <c r="AL3097" s="3" t="s">
        <v>991</v>
      </c>
      <c r="AO3097" s="128">
        <v>200</v>
      </c>
      <c r="AP3097" s="129" t="s">
        <v>56</v>
      </c>
      <c r="AR3097" s="128" t="s">
        <v>50</v>
      </c>
      <c r="AS3097" s="129" t="s">
        <v>57</v>
      </c>
      <c r="BC3097" s="129" t="s">
        <v>38</v>
      </c>
      <c r="BF3097" s="111">
        <f t="shared" si="2255"/>
        <v>100</v>
      </c>
      <c r="BG3097" s="111">
        <f t="shared" si="2256"/>
        <v>100</v>
      </c>
      <c r="BH3097" s="111">
        <f t="shared" si="2228"/>
        <v>101</v>
      </c>
      <c r="BI3097" s="111">
        <f t="shared" si="2231"/>
        <v>22.44535519125683</v>
      </c>
      <c r="BJ3097" s="129">
        <f t="shared" si="2258"/>
        <v>0</v>
      </c>
      <c r="BK3097" s="129">
        <f t="shared" si="2229"/>
        <v>0</v>
      </c>
      <c r="BL3097" s="129" t="str">
        <f t="shared" si="2223"/>
        <v>CONVICTION</v>
      </c>
      <c r="BM3097" s="129" t="str">
        <f t="shared" si="2259"/>
        <v>NONE</v>
      </c>
      <c r="BN3097" s="129" t="s">
        <v>566</v>
      </c>
      <c r="BP3097" s="137" t="str">
        <f t="shared" si="2232"/>
        <v>CONVICTION</v>
      </c>
      <c r="BQ3097" s="128" t="str">
        <f t="shared" si="2241"/>
        <v>Y</v>
      </c>
      <c r="BR3097" s="129" t="str">
        <f t="shared" si="2233"/>
        <v>DETAINED</v>
      </c>
      <c r="BS3097" s="129" t="str">
        <f t="shared" si="2234"/>
        <v>DISPOSED</v>
      </c>
      <c r="BT3097" s="129" t="str">
        <f t="shared" si="2235"/>
        <v>N</v>
      </c>
      <c r="BU3097" s="109">
        <f t="shared" si="2236"/>
        <v>0.99009900990099009</v>
      </c>
      <c r="BV3097" s="109">
        <f t="shared" si="2242"/>
        <v>1</v>
      </c>
      <c r="BW3097" s="109">
        <f t="shared" si="2253"/>
        <v>9.9009900990099098E-3</v>
      </c>
      <c r="BX3097" s="111">
        <f t="shared" si="2237"/>
        <v>0</v>
      </c>
      <c r="BY3097" s="129">
        <f t="shared" si="2243"/>
        <v>-100</v>
      </c>
      <c r="BZ3097" s="111">
        <f t="shared" si="2244"/>
        <v>0</v>
      </c>
      <c r="CA3097" s="138">
        <f t="shared" si="2245"/>
        <v>100</v>
      </c>
      <c r="CB3097" s="111" t="e">
        <f t="shared" si="2257"/>
        <v>#VALUE!</v>
      </c>
      <c r="CC3097" s="129">
        <f t="shared" si="2260"/>
        <v>100</v>
      </c>
      <c r="CD3097" s="129">
        <f t="shared" si="2261"/>
        <v>0</v>
      </c>
      <c r="CG3097" s="129" t="str">
        <f t="shared" si="2246"/>
        <v>Y</v>
      </c>
      <c r="CI3097" s="129" t="str">
        <f t="shared" si="2248"/>
        <v>91-120 DAYS</v>
      </c>
      <c r="CJ3097" s="137">
        <f t="shared" si="2249"/>
        <v>0</v>
      </c>
      <c r="CK3097" s="129" t="str">
        <f t="shared" si="2250"/>
        <v>Booked</v>
      </c>
    </row>
    <row r="3098" spans="1:89" ht="15" customHeight="1" x14ac:dyDescent="0.25">
      <c r="A3098" s="111">
        <v>2761</v>
      </c>
      <c r="B3098" s="128" t="str">
        <f t="shared" si="2238"/>
        <v>N</v>
      </c>
      <c r="C3098" s="128" t="str">
        <f t="shared" si="2239"/>
        <v>N</v>
      </c>
      <c r="D3098" s="117">
        <v>2613746</v>
      </c>
      <c r="E3098" s="135">
        <f t="shared" si="2240"/>
        <v>1</v>
      </c>
      <c r="F3098" s="124">
        <v>41011</v>
      </c>
      <c r="G3098" s="125">
        <v>41065</v>
      </c>
      <c r="H3098" s="117">
        <v>2613746</v>
      </c>
      <c r="I3098" s="124">
        <v>41011</v>
      </c>
      <c r="J3098" s="124">
        <v>41065</v>
      </c>
      <c r="K3098" s="126">
        <v>10000</v>
      </c>
      <c r="L3098" s="127" t="s">
        <v>570</v>
      </c>
      <c r="N3098" s="129" t="str">
        <f t="shared" si="2254"/>
        <v>N</v>
      </c>
      <c r="O3098" s="128" t="s">
        <v>917</v>
      </c>
      <c r="P3098" s="129" t="s">
        <v>55</v>
      </c>
      <c r="Q3098" s="111">
        <f t="shared" si="2251"/>
        <v>55</v>
      </c>
      <c r="R3098" s="111">
        <f t="shared" si="2227"/>
        <v>55</v>
      </c>
      <c r="S3098" s="129">
        <v>0</v>
      </c>
      <c r="T3098" s="129">
        <v>0</v>
      </c>
      <c r="W3098" s="111"/>
      <c r="AC3098" s="130"/>
      <c r="AD3098" s="130">
        <v>28692</v>
      </c>
      <c r="AE3098" s="128" t="s">
        <v>46</v>
      </c>
      <c r="AF3098" s="128" t="s">
        <v>69</v>
      </c>
      <c r="AG3098" s="128" t="s">
        <v>874</v>
      </c>
      <c r="AH3098" s="108" t="s">
        <v>31</v>
      </c>
      <c r="AI3098" s="128" t="s">
        <v>70</v>
      </c>
      <c r="AJ3098" s="129" t="s">
        <v>55</v>
      </c>
      <c r="AK3098" s="129">
        <v>4</v>
      </c>
      <c r="AL3098" s="3" t="s">
        <v>55</v>
      </c>
      <c r="AP3098" s="129" t="s">
        <v>101</v>
      </c>
      <c r="AR3098" s="128" t="s">
        <v>67</v>
      </c>
      <c r="AS3098" s="129" t="s">
        <v>64</v>
      </c>
      <c r="AT3098" s="129" t="s">
        <v>485</v>
      </c>
      <c r="BC3098" s="129" t="s">
        <v>38</v>
      </c>
      <c r="BF3098" s="111">
        <f t="shared" si="2255"/>
        <v>55</v>
      </c>
      <c r="BG3098" s="111">
        <f t="shared" si="2256"/>
        <v>55</v>
      </c>
      <c r="BH3098" s="111">
        <f t="shared" si="2228"/>
        <v>55</v>
      </c>
      <c r="BI3098" s="111">
        <f t="shared" si="2231"/>
        <v>33.658469945355193</v>
      </c>
      <c r="BJ3098" s="129">
        <f t="shared" si="2258"/>
        <v>0</v>
      </c>
      <c r="BK3098" s="129">
        <f t="shared" si="2229"/>
        <v>0</v>
      </c>
      <c r="BL3098" s="129" t="str">
        <f t="shared" si="2223"/>
        <v>NO CONVICTION</v>
      </c>
      <c r="BM3098" s="129" t="str">
        <f t="shared" si="2259"/>
        <v>NONE</v>
      </c>
      <c r="BN3098" s="129" t="s">
        <v>566</v>
      </c>
      <c r="BP3098" s="137" t="str">
        <f t="shared" si="2232"/>
        <v>NO CONVICTION</v>
      </c>
      <c r="BQ3098" s="128" t="str">
        <f t="shared" si="2241"/>
        <v>Y</v>
      </c>
      <c r="BR3098" s="129" t="str">
        <f t="shared" si="2233"/>
        <v>DETAINED</v>
      </c>
      <c r="BS3098" s="129" t="str">
        <f t="shared" si="2234"/>
        <v>DISPOSED</v>
      </c>
      <c r="BT3098" s="129" t="str">
        <f t="shared" si="2235"/>
        <v>N</v>
      </c>
      <c r="BU3098" s="109">
        <f>IFERROR(Q3098/R3098,BR3098)</f>
        <v>1</v>
      </c>
      <c r="BV3098" s="109">
        <f t="shared" si="2242"/>
        <v>1</v>
      </c>
      <c r="BW3098" s="109">
        <f t="shared" si="2253"/>
        <v>0</v>
      </c>
      <c r="BX3098" s="111">
        <f t="shared" si="2237"/>
        <v>0</v>
      </c>
      <c r="BY3098" s="129">
        <f t="shared" si="2243"/>
        <v>-55</v>
      </c>
      <c r="BZ3098" s="111">
        <f t="shared" si="2244"/>
        <v>0</v>
      </c>
      <c r="CA3098" s="138">
        <f t="shared" si="2245"/>
        <v>55</v>
      </c>
      <c r="CB3098" s="111" t="e">
        <f t="shared" si="2257"/>
        <v>#VALUE!</v>
      </c>
      <c r="CC3098" s="129">
        <f t="shared" si="2260"/>
        <v>55</v>
      </c>
      <c r="CD3098" s="129">
        <f t="shared" si="2261"/>
        <v>0</v>
      </c>
      <c r="CG3098" s="129" t="str">
        <f t="shared" si="2246"/>
        <v>N</v>
      </c>
      <c r="CI3098" s="129" t="str">
        <f t="shared" si="2248"/>
        <v>31-60 DAYS</v>
      </c>
      <c r="CJ3098" s="137">
        <f t="shared" si="2249"/>
        <v>3</v>
      </c>
      <c r="CK3098" s="129" t="str">
        <f t="shared" si="2250"/>
        <v>Booked</v>
      </c>
    </row>
    <row r="3099" spans="1:89" ht="15.75" customHeight="1" x14ac:dyDescent="0.25">
      <c r="A3099" s="111">
        <v>2756</v>
      </c>
      <c r="B3099" s="128" t="str">
        <f t="shared" si="2238"/>
        <v>N</v>
      </c>
      <c r="C3099" s="128" t="str">
        <f t="shared" si="2239"/>
        <v>N</v>
      </c>
      <c r="D3099" s="117">
        <v>2613751</v>
      </c>
      <c r="E3099" s="135">
        <f t="shared" si="2240"/>
        <v>4</v>
      </c>
      <c r="F3099" s="124">
        <v>41011</v>
      </c>
      <c r="G3099" s="125">
        <v>41026</v>
      </c>
      <c r="H3099" s="117">
        <v>2613751</v>
      </c>
      <c r="I3099" s="124">
        <v>41011</v>
      </c>
      <c r="J3099" s="124">
        <v>41026</v>
      </c>
      <c r="K3099" s="126">
        <v>5000</v>
      </c>
      <c r="L3099" s="127" t="s">
        <v>569</v>
      </c>
      <c r="N3099" s="129" t="str">
        <f t="shared" si="2254"/>
        <v>N</v>
      </c>
      <c r="O3099" s="128" t="s">
        <v>917</v>
      </c>
      <c r="P3099" s="129" t="s">
        <v>39</v>
      </c>
      <c r="Q3099" s="111">
        <f t="shared" si="2251"/>
        <v>16</v>
      </c>
      <c r="R3099" s="111">
        <f t="shared" si="2227"/>
        <v>16</v>
      </c>
      <c r="S3099" s="129">
        <v>0</v>
      </c>
      <c r="T3099" s="129">
        <v>0</v>
      </c>
      <c r="W3099" s="111"/>
      <c r="AC3099" s="130"/>
      <c r="AD3099" s="130">
        <v>32293</v>
      </c>
      <c r="AE3099" s="128" t="s">
        <v>32</v>
      </c>
      <c r="AF3099" s="128" t="s">
        <v>69</v>
      </c>
      <c r="AG3099" s="128" t="s">
        <v>874</v>
      </c>
      <c r="AH3099" s="108" t="s">
        <v>31</v>
      </c>
      <c r="AI3099" s="128" t="s">
        <v>95</v>
      </c>
      <c r="AJ3099" s="129" t="s">
        <v>89</v>
      </c>
      <c r="AK3099" s="129">
        <v>2</v>
      </c>
      <c r="AL3099" s="3" t="s">
        <v>991</v>
      </c>
      <c r="AO3099" s="128">
        <v>180</v>
      </c>
      <c r="AP3099" s="129" t="s">
        <v>103</v>
      </c>
      <c r="AR3099" s="128" t="s">
        <v>44</v>
      </c>
      <c r="AS3099" s="129" t="s">
        <v>45</v>
      </c>
      <c r="BC3099" s="129" t="s">
        <v>38</v>
      </c>
      <c r="BF3099" s="111">
        <f t="shared" si="2255"/>
        <v>16</v>
      </c>
      <c r="BG3099" s="111">
        <f t="shared" si="2256"/>
        <v>16</v>
      </c>
      <c r="BH3099" s="111">
        <f t="shared" si="2228"/>
        <v>16</v>
      </c>
      <c r="BI3099" s="111">
        <f t="shared" si="2231"/>
        <v>23.819672131147541</v>
      </c>
      <c r="BJ3099" s="129">
        <f t="shared" si="2258"/>
        <v>0</v>
      </c>
      <c r="BK3099" s="129">
        <f t="shared" si="2229"/>
        <v>0</v>
      </c>
      <c r="BL3099" s="129" t="str">
        <f t="shared" si="2223"/>
        <v>CONVICTION</v>
      </c>
      <c r="BM3099" s="129" t="str">
        <f t="shared" si="2259"/>
        <v>NONE</v>
      </c>
      <c r="BN3099" s="129" t="s">
        <v>566</v>
      </c>
      <c r="BP3099" s="137" t="str">
        <f t="shared" si="2232"/>
        <v>CONVICTION</v>
      </c>
      <c r="BQ3099" s="128" t="str">
        <f t="shared" si="2241"/>
        <v>Y</v>
      </c>
      <c r="BR3099" s="129" t="str">
        <f t="shared" si="2233"/>
        <v>DETAINED</v>
      </c>
      <c r="BS3099" s="129" t="str">
        <f t="shared" si="2234"/>
        <v>DISPOSED</v>
      </c>
      <c r="BT3099" s="129" t="str">
        <f t="shared" si="2235"/>
        <v>N</v>
      </c>
      <c r="BU3099" s="109">
        <f t="shared" si="2236"/>
        <v>1</v>
      </c>
      <c r="BV3099" s="109">
        <f t="shared" si="2242"/>
        <v>1</v>
      </c>
      <c r="BW3099" s="109">
        <f t="shared" si="2253"/>
        <v>0</v>
      </c>
      <c r="BX3099" s="111">
        <f t="shared" si="2237"/>
        <v>0</v>
      </c>
      <c r="BY3099" s="129">
        <f t="shared" si="2243"/>
        <v>-16</v>
      </c>
      <c r="BZ3099" s="111">
        <f t="shared" si="2244"/>
        <v>0</v>
      </c>
      <c r="CA3099" s="138">
        <f t="shared" si="2245"/>
        <v>16</v>
      </c>
      <c r="CB3099" s="111" t="e">
        <f t="shared" si="2257"/>
        <v>#VALUE!</v>
      </c>
      <c r="CC3099" s="129">
        <f t="shared" si="2260"/>
        <v>16</v>
      </c>
      <c r="CD3099" s="129">
        <f t="shared" si="2261"/>
        <v>0</v>
      </c>
      <c r="CG3099" s="129" t="str">
        <f t="shared" si="2246"/>
        <v>N</v>
      </c>
      <c r="CI3099" s="129" t="str">
        <f t="shared" si="2248"/>
        <v>11-30 DAYS</v>
      </c>
      <c r="CJ3099" s="137">
        <f t="shared" si="2249"/>
        <v>2</v>
      </c>
      <c r="CK3099" s="129" t="str">
        <f t="shared" si="2250"/>
        <v>Booked</v>
      </c>
    </row>
    <row r="3100" spans="1:89" ht="15.75" customHeight="1" x14ac:dyDescent="0.25">
      <c r="A3100" s="111">
        <v>2758</v>
      </c>
      <c r="B3100" s="128" t="str">
        <f t="shared" si="2238"/>
        <v>N</v>
      </c>
      <c r="C3100" s="128" t="str">
        <f t="shared" si="2239"/>
        <v>N</v>
      </c>
      <c r="D3100" s="117">
        <v>2613753</v>
      </c>
      <c r="E3100" s="135">
        <f t="shared" si="2240"/>
        <v>1</v>
      </c>
      <c r="F3100" s="124">
        <v>41011</v>
      </c>
      <c r="G3100" s="125">
        <v>41138</v>
      </c>
      <c r="H3100" s="117">
        <v>2613753</v>
      </c>
      <c r="I3100" s="124">
        <v>41011</v>
      </c>
      <c r="J3100" s="124">
        <v>41012</v>
      </c>
      <c r="K3100" s="126">
        <v>4000</v>
      </c>
      <c r="L3100" s="127" t="s">
        <v>569</v>
      </c>
      <c r="M3100" s="125">
        <v>41012</v>
      </c>
      <c r="N3100" s="129" t="str">
        <f t="shared" si="2254"/>
        <v>Y</v>
      </c>
      <c r="O3100" s="128" t="s">
        <v>76</v>
      </c>
      <c r="P3100" s="129" t="s">
        <v>55</v>
      </c>
      <c r="Q3100" s="111">
        <f t="shared" si="2251"/>
        <v>2</v>
      </c>
      <c r="R3100" s="111">
        <f t="shared" si="2227"/>
        <v>128</v>
      </c>
      <c r="S3100" s="129">
        <v>0</v>
      </c>
      <c r="T3100" s="129">
        <v>0</v>
      </c>
      <c r="W3100" s="111"/>
      <c r="AC3100" s="130"/>
      <c r="AD3100" s="130">
        <v>33916</v>
      </c>
      <c r="AE3100" s="128" t="s">
        <v>46</v>
      </c>
      <c r="AF3100" s="128" t="s">
        <v>69</v>
      </c>
      <c r="AG3100" s="128" t="s">
        <v>874</v>
      </c>
      <c r="AH3100" s="108" t="s">
        <v>31</v>
      </c>
      <c r="AI3100" s="128" t="s">
        <v>65</v>
      </c>
      <c r="AJ3100" s="129" t="s">
        <v>55</v>
      </c>
      <c r="AK3100" s="129">
        <v>6</v>
      </c>
      <c r="AL3100" s="3" t="s">
        <v>55</v>
      </c>
      <c r="AP3100" s="129" t="s">
        <v>103</v>
      </c>
      <c r="AR3100" s="128" t="s">
        <v>44</v>
      </c>
      <c r="AS3100" s="129" t="s">
        <v>45</v>
      </c>
      <c r="BC3100" s="129" t="s">
        <v>52</v>
      </c>
      <c r="BF3100" s="111">
        <f t="shared" si="2255"/>
        <v>2</v>
      </c>
      <c r="BG3100" s="111">
        <f t="shared" si="2256"/>
        <v>128</v>
      </c>
      <c r="BH3100" s="111">
        <f t="shared" si="2228"/>
        <v>128</v>
      </c>
      <c r="BI3100" s="111">
        <f t="shared" si="2231"/>
        <v>19.385245901639344</v>
      </c>
      <c r="BJ3100" s="129">
        <f>(G3100-J3100)+(M3100-G3100)</f>
        <v>0</v>
      </c>
      <c r="BK3100" s="129">
        <f t="shared" si="2229"/>
        <v>-126</v>
      </c>
      <c r="BL3100" s="129" t="str">
        <f t="shared" si="2223"/>
        <v>NO CONVICTION</v>
      </c>
      <c r="BM3100" s="129" t="s">
        <v>76</v>
      </c>
      <c r="BN3100" s="129" t="s">
        <v>88</v>
      </c>
      <c r="BP3100" s="137" t="str">
        <f t="shared" si="2232"/>
        <v>NO CONVICTION</v>
      </c>
      <c r="BQ3100" s="128" t="str">
        <f t="shared" si="2241"/>
        <v>Y</v>
      </c>
      <c r="BR3100" s="129" t="str">
        <f t="shared" si="2233"/>
        <v>ON BOND</v>
      </c>
      <c r="BS3100" s="129" t="str">
        <f t="shared" si="2234"/>
        <v>DISPOSED</v>
      </c>
      <c r="BT3100" s="129" t="str">
        <f t="shared" si="2235"/>
        <v>N</v>
      </c>
      <c r="BU3100" s="109">
        <f>IFERROR(Q3100/R3100,BR3100)</f>
        <v>1.5625E-2</v>
      </c>
      <c r="BV3100" s="109">
        <f t="shared" si="2242"/>
        <v>1.5625E-2</v>
      </c>
      <c r="BW3100" s="109">
        <f t="shared" si="2253"/>
        <v>0</v>
      </c>
      <c r="BX3100" s="111">
        <f t="shared" si="2237"/>
        <v>0</v>
      </c>
      <c r="BY3100" s="129">
        <f t="shared" si="2243"/>
        <v>-2</v>
      </c>
      <c r="BZ3100" s="111">
        <f t="shared" si="2244"/>
        <v>0</v>
      </c>
      <c r="CA3100" s="138">
        <f t="shared" si="2245"/>
        <v>2</v>
      </c>
      <c r="CB3100" s="111" t="e">
        <f t="shared" si="2257"/>
        <v>#VALUE!</v>
      </c>
      <c r="CC3100" s="129">
        <f>M3100-I3100+1</f>
        <v>2</v>
      </c>
      <c r="CD3100" s="111">
        <f>CC3100-BF3100</f>
        <v>0</v>
      </c>
      <c r="CG3100" s="129" t="str">
        <f t="shared" si="2246"/>
        <v>N</v>
      </c>
      <c r="CI3100" s="129" t="str">
        <f t="shared" si="2248"/>
        <v>0-10 DAYS</v>
      </c>
      <c r="CJ3100" s="137">
        <f t="shared" si="2249"/>
        <v>1</v>
      </c>
      <c r="CK3100" s="129" t="str">
        <f t="shared" si="2250"/>
        <v>Booked</v>
      </c>
    </row>
    <row r="3101" spans="1:89" ht="15.75" customHeight="1" x14ac:dyDescent="0.25">
      <c r="A3101" s="111">
        <v>2768</v>
      </c>
      <c r="B3101" s="128" t="str">
        <f t="shared" si="2238"/>
        <v>N</v>
      </c>
      <c r="C3101" s="128" t="str">
        <f t="shared" si="2239"/>
        <v>Y</v>
      </c>
      <c r="D3101" s="117">
        <v>2613835</v>
      </c>
      <c r="E3101" s="135">
        <f t="shared" si="2240"/>
        <v>1</v>
      </c>
      <c r="F3101" s="124">
        <v>41011</v>
      </c>
      <c r="G3101" s="125">
        <v>41451</v>
      </c>
      <c r="H3101" s="117">
        <v>2613835</v>
      </c>
      <c r="I3101" s="124">
        <v>41012</v>
      </c>
      <c r="J3101" s="124">
        <v>41020</v>
      </c>
      <c r="K3101" s="126">
        <v>5000</v>
      </c>
      <c r="L3101" s="127" t="s">
        <v>569</v>
      </c>
      <c r="M3101" s="125">
        <v>41020</v>
      </c>
      <c r="N3101" s="129" t="str">
        <f t="shared" si="2254"/>
        <v>Y</v>
      </c>
      <c r="O3101" s="128" t="s">
        <v>76</v>
      </c>
      <c r="P3101" s="129" t="s">
        <v>55</v>
      </c>
      <c r="Q3101" s="111">
        <f t="shared" si="2251"/>
        <v>9</v>
      </c>
      <c r="R3101" s="111">
        <f t="shared" si="2227"/>
        <v>441</v>
      </c>
      <c r="S3101" s="129">
        <v>0</v>
      </c>
      <c r="T3101" s="129">
        <v>0</v>
      </c>
      <c r="W3101" s="111"/>
      <c r="AC3101" s="130"/>
      <c r="AD3101" s="130">
        <v>29512</v>
      </c>
      <c r="AE3101" s="128" t="s">
        <v>32</v>
      </c>
      <c r="AF3101" s="128" t="s">
        <v>33</v>
      </c>
      <c r="AG3101" s="128" t="s">
        <v>872</v>
      </c>
      <c r="AH3101" s="108" t="s">
        <v>31</v>
      </c>
      <c r="AI3101" s="128" t="s">
        <v>72</v>
      </c>
      <c r="AJ3101" s="129" t="s">
        <v>55</v>
      </c>
      <c r="AK3101" s="129">
        <v>11</v>
      </c>
      <c r="AL3101" s="3" t="s">
        <v>55</v>
      </c>
      <c r="AP3101" s="129" t="s">
        <v>460</v>
      </c>
      <c r="AR3101" s="128" t="s">
        <v>67</v>
      </c>
      <c r="AS3101" s="129" t="s">
        <v>64</v>
      </c>
      <c r="AV3101" s="3" t="s">
        <v>88</v>
      </c>
      <c r="AW3101" s="125">
        <v>41450</v>
      </c>
      <c r="BC3101" s="129" t="s">
        <v>38</v>
      </c>
      <c r="BF3101" s="111">
        <v>9</v>
      </c>
      <c r="BG3101" s="111">
        <f t="shared" si="2256"/>
        <v>440</v>
      </c>
      <c r="BH3101" s="111">
        <f t="shared" si="2228"/>
        <v>441</v>
      </c>
      <c r="BI3101" s="111">
        <f t="shared" si="2231"/>
        <v>31.418032786885245</v>
      </c>
      <c r="BJ3101" s="129">
        <f>(G3101-J3101)+(M3101-G3101)</f>
        <v>0</v>
      </c>
      <c r="BK3101" s="129">
        <f t="shared" si="2229"/>
        <v>-431</v>
      </c>
      <c r="BL3101" s="129" t="str">
        <f t="shared" si="2223"/>
        <v>NO CONVICTION</v>
      </c>
      <c r="BM3101" s="129" t="s">
        <v>76</v>
      </c>
      <c r="BN3101" s="129" t="s">
        <v>88</v>
      </c>
      <c r="BP3101" s="137" t="str">
        <f t="shared" si="2232"/>
        <v>NO CONVICTION</v>
      </c>
      <c r="BQ3101" s="128" t="str">
        <f t="shared" si="2241"/>
        <v>Y</v>
      </c>
      <c r="BR3101" s="129" t="str">
        <f t="shared" si="2233"/>
        <v>ON BOND</v>
      </c>
      <c r="BS3101" s="129" t="str">
        <f t="shared" si="2234"/>
        <v>DISPOSED</v>
      </c>
      <c r="BT3101" s="129" t="str">
        <f t="shared" si="2235"/>
        <v>N</v>
      </c>
      <c r="BU3101" s="109">
        <f>IFERROR(Q3101/R3101,BR3101)</f>
        <v>2.0408163265306121E-2</v>
      </c>
      <c r="BV3101" s="109">
        <f t="shared" si="2242"/>
        <v>2.0454545454545454E-2</v>
      </c>
      <c r="BW3101" s="109">
        <f t="shared" si="2253"/>
        <v>4.6382189239333599E-5</v>
      </c>
      <c r="BX3101" s="111">
        <f t="shared" si="2237"/>
        <v>0</v>
      </c>
      <c r="BY3101" s="129">
        <f t="shared" si="2243"/>
        <v>-9</v>
      </c>
      <c r="BZ3101" s="111">
        <f t="shared" si="2244"/>
        <v>0</v>
      </c>
      <c r="CA3101" s="138">
        <f t="shared" si="2245"/>
        <v>9</v>
      </c>
      <c r="CB3101" s="111" t="e">
        <f t="shared" si="2257"/>
        <v>#VALUE!</v>
      </c>
      <c r="CD3101" s="129">
        <f>G3101-J3101</f>
        <v>431</v>
      </c>
      <c r="CG3101" s="129" t="str">
        <f t="shared" si="2246"/>
        <v>N</v>
      </c>
      <c r="CI3101" s="129" t="str">
        <f t="shared" si="2248"/>
        <v>0-10 DAYS</v>
      </c>
      <c r="CJ3101" s="137">
        <f t="shared" si="2249"/>
        <v>1</v>
      </c>
      <c r="CK3101" s="129" t="str">
        <f t="shared" si="2250"/>
        <v>Booked</v>
      </c>
    </row>
    <row r="3102" spans="1:89" ht="15.75" customHeight="1" x14ac:dyDescent="0.25">
      <c r="A3102" s="111">
        <v>2770</v>
      </c>
      <c r="B3102" s="128" t="str">
        <f t="shared" si="2238"/>
        <v>N</v>
      </c>
      <c r="C3102" s="128" t="str">
        <f t="shared" si="2239"/>
        <v>N</v>
      </c>
      <c r="D3102" s="117">
        <v>2613868</v>
      </c>
      <c r="E3102" s="135">
        <f t="shared" si="2240"/>
        <v>2</v>
      </c>
      <c r="F3102" s="124">
        <v>41011</v>
      </c>
      <c r="G3102" s="125">
        <v>41103</v>
      </c>
      <c r="H3102" s="117">
        <v>2613868</v>
      </c>
      <c r="I3102" s="124">
        <v>41093</v>
      </c>
      <c r="J3102" s="124">
        <v>41103</v>
      </c>
      <c r="K3102" s="126">
        <v>2000</v>
      </c>
      <c r="L3102" s="127" t="s">
        <v>568</v>
      </c>
      <c r="N3102" s="129" t="str">
        <f t="shared" si="2254"/>
        <v>N</v>
      </c>
      <c r="O3102" s="128" t="s">
        <v>917</v>
      </c>
      <c r="P3102" s="129" t="s">
        <v>589</v>
      </c>
      <c r="Q3102" s="111">
        <f t="shared" si="2251"/>
        <v>11</v>
      </c>
      <c r="R3102" s="111">
        <f t="shared" si="2227"/>
        <v>93</v>
      </c>
      <c r="S3102" s="129">
        <v>0</v>
      </c>
      <c r="T3102" s="129">
        <v>0</v>
      </c>
      <c r="W3102" s="111"/>
      <c r="AC3102" s="130"/>
      <c r="AD3102" s="130">
        <v>31508</v>
      </c>
      <c r="AE3102" s="128" t="s">
        <v>32</v>
      </c>
      <c r="AF3102" s="128" t="s">
        <v>69</v>
      </c>
      <c r="AG3102" s="128" t="s">
        <v>874</v>
      </c>
      <c r="AH3102" s="108" t="s">
        <v>31</v>
      </c>
      <c r="AI3102" s="128" t="s">
        <v>80</v>
      </c>
      <c r="AJ3102" s="129" t="s">
        <v>48</v>
      </c>
      <c r="AK3102" s="129">
        <v>3</v>
      </c>
      <c r="AL3102" s="3" t="s">
        <v>48</v>
      </c>
      <c r="AP3102" s="129" t="s">
        <v>104</v>
      </c>
      <c r="AR3102" s="128" t="s">
        <v>44</v>
      </c>
      <c r="AS3102" s="129" t="s">
        <v>64</v>
      </c>
      <c r="AT3102" s="129" t="s">
        <v>487</v>
      </c>
      <c r="BC3102" s="129" t="s">
        <v>38</v>
      </c>
      <c r="BF3102" s="111">
        <f t="shared" si="2255"/>
        <v>11</v>
      </c>
      <c r="BG3102" s="111">
        <f t="shared" si="2256"/>
        <v>11</v>
      </c>
      <c r="BH3102" s="111">
        <f t="shared" si="2228"/>
        <v>93</v>
      </c>
      <c r="BI3102" s="111">
        <f t="shared" si="2231"/>
        <v>25.964480874316941</v>
      </c>
      <c r="BJ3102" s="129">
        <f>G3102-J3102-M3102</f>
        <v>0</v>
      </c>
      <c r="BK3102" s="129">
        <f t="shared" si="2229"/>
        <v>0</v>
      </c>
      <c r="BL3102" s="129" t="str">
        <f t="shared" si="2223"/>
        <v>DEFERRED</v>
      </c>
      <c r="BM3102" s="129" t="str">
        <f>O3102</f>
        <v>NONE</v>
      </c>
      <c r="BN3102" s="129" t="s">
        <v>566</v>
      </c>
      <c r="BP3102" s="137" t="str">
        <f t="shared" si="2232"/>
        <v>DEFERRED</v>
      </c>
      <c r="BQ3102" s="128" t="str">
        <f t="shared" si="2241"/>
        <v>Y</v>
      </c>
      <c r="BR3102" s="129" t="str">
        <f t="shared" si="2233"/>
        <v>DETAINED</v>
      </c>
      <c r="BS3102" s="129" t="str">
        <f t="shared" si="2234"/>
        <v>DISPOSED</v>
      </c>
      <c r="BT3102" s="129" t="str">
        <f t="shared" si="2235"/>
        <v>N</v>
      </c>
      <c r="BU3102" s="109">
        <f t="shared" si="2236"/>
        <v>0.11827956989247312</v>
      </c>
      <c r="BV3102" s="109">
        <f t="shared" si="2242"/>
        <v>1</v>
      </c>
      <c r="BW3102" s="109">
        <f t="shared" si="2253"/>
        <v>0.88172043010752688</v>
      </c>
      <c r="BX3102" s="111">
        <f t="shared" si="2237"/>
        <v>0</v>
      </c>
      <c r="BY3102" s="129">
        <f t="shared" si="2243"/>
        <v>-11</v>
      </c>
      <c r="BZ3102" s="111">
        <f t="shared" si="2244"/>
        <v>0</v>
      </c>
      <c r="CA3102" s="138">
        <f t="shared" si="2245"/>
        <v>11</v>
      </c>
      <c r="CB3102" s="111" t="e">
        <f t="shared" si="2257"/>
        <v>#VALUE!</v>
      </c>
      <c r="CC3102" s="129">
        <f>G3102-I3102+1</f>
        <v>11</v>
      </c>
      <c r="CD3102" s="129">
        <f>G3102-J3102</f>
        <v>0</v>
      </c>
      <c r="CG3102" s="129" t="str">
        <f t="shared" si="2246"/>
        <v>N</v>
      </c>
      <c r="CI3102" s="129" t="str">
        <f t="shared" si="2248"/>
        <v>11-30 DAYS</v>
      </c>
      <c r="CJ3102" s="137">
        <f t="shared" si="2249"/>
        <v>2</v>
      </c>
      <c r="CK3102" s="129" t="str">
        <f t="shared" si="2250"/>
        <v>Booked</v>
      </c>
    </row>
    <row r="3103" spans="1:89" ht="16.5" customHeight="1" x14ac:dyDescent="0.25">
      <c r="A3103" s="111">
        <v>2776</v>
      </c>
      <c r="B3103" s="128" t="str">
        <f t="shared" si="2238"/>
        <v>N</v>
      </c>
      <c r="C3103" s="128" t="str">
        <f t="shared" si="2239"/>
        <v>N</v>
      </c>
      <c r="D3103" s="117">
        <v>2613898</v>
      </c>
      <c r="E3103" s="135">
        <f t="shared" si="2240"/>
        <v>2</v>
      </c>
      <c r="F3103" s="124">
        <v>41011</v>
      </c>
      <c r="G3103" s="125">
        <v>41115</v>
      </c>
      <c r="H3103" s="117">
        <v>2613898</v>
      </c>
      <c r="I3103" s="124" t="s">
        <v>562</v>
      </c>
      <c r="J3103" s="124" t="s">
        <v>562</v>
      </c>
      <c r="K3103" s="126">
        <v>2000</v>
      </c>
      <c r="L3103" s="127" t="s">
        <v>568</v>
      </c>
      <c r="M3103" s="125">
        <v>41013</v>
      </c>
      <c r="N3103" s="129" t="str">
        <f>IF(M3103&gt;1/1/1,"Y",IF(Q3103="0","","N"))</f>
        <v>Y</v>
      </c>
      <c r="O3103" s="128" t="s">
        <v>76</v>
      </c>
      <c r="P3103" s="129" t="s">
        <v>589</v>
      </c>
      <c r="Q3103" s="111">
        <f t="shared" si="2251"/>
        <v>0</v>
      </c>
      <c r="R3103" s="111">
        <f t="shared" si="2227"/>
        <v>105</v>
      </c>
      <c r="S3103" s="129">
        <v>0</v>
      </c>
      <c r="T3103" s="129">
        <v>0</v>
      </c>
      <c r="W3103" s="111"/>
      <c r="AB3103" s="131" t="s">
        <v>112</v>
      </c>
      <c r="AC3103" s="130"/>
      <c r="AD3103" s="130">
        <v>34639</v>
      </c>
      <c r="AE3103" s="128" t="s">
        <v>32</v>
      </c>
      <c r="AF3103" s="128" t="s">
        <v>40</v>
      </c>
      <c r="AG3103" s="128" t="s">
        <v>41</v>
      </c>
      <c r="AH3103" s="108" t="s">
        <v>31</v>
      </c>
      <c r="AI3103" s="128" t="s">
        <v>90</v>
      </c>
      <c r="AJ3103" s="129" t="s">
        <v>48</v>
      </c>
      <c r="AK3103" s="129">
        <v>6</v>
      </c>
      <c r="AL3103" s="3" t="s">
        <v>48</v>
      </c>
      <c r="AP3103" s="129" t="s">
        <v>108</v>
      </c>
      <c r="AR3103" s="128" t="s">
        <v>44</v>
      </c>
      <c r="AS3103" s="129" t="s">
        <v>61</v>
      </c>
      <c r="BC3103" s="129" t="s">
        <v>52</v>
      </c>
      <c r="BF3103" s="111">
        <v>0</v>
      </c>
      <c r="BG3103" s="111">
        <v>0</v>
      </c>
      <c r="BH3103" s="111">
        <f t="shared" si="2228"/>
        <v>105</v>
      </c>
      <c r="BI3103" s="111">
        <f t="shared" si="2231"/>
        <v>17.409836065573771</v>
      </c>
      <c r="BJ3103" s="129" t="e">
        <f>(G3103-J3103)+(M3103-G3103)</f>
        <v>#VALUE!</v>
      </c>
      <c r="BK3103" s="129" t="e">
        <f t="shared" si="2229"/>
        <v>#VALUE!</v>
      </c>
      <c r="BL3103" s="129" t="str">
        <f t="shared" si="2223"/>
        <v>DEFERRED</v>
      </c>
      <c r="BM3103" s="129" t="s">
        <v>76</v>
      </c>
      <c r="BN3103" s="129" t="s">
        <v>88</v>
      </c>
      <c r="BP3103" s="137" t="str">
        <f t="shared" si="2232"/>
        <v>DEFERRED</v>
      </c>
      <c r="BQ3103" s="128">
        <f t="shared" si="2241"/>
        <v>0</v>
      </c>
      <c r="BR3103" s="129" t="s">
        <v>575</v>
      </c>
      <c r="BS3103" s="129" t="str">
        <f t="shared" si="2234"/>
        <v>DISPOSED</v>
      </c>
      <c r="BT3103" s="129" t="str">
        <f t="shared" si="2235"/>
        <v>N</v>
      </c>
      <c r="BU3103" s="109">
        <f t="shared" si="2236"/>
        <v>0</v>
      </c>
      <c r="BV3103" s="109">
        <v>0</v>
      </c>
      <c r="BW3103" s="109">
        <f t="shared" si="2253"/>
        <v>0</v>
      </c>
      <c r="BX3103" s="111">
        <f t="shared" si="2237"/>
        <v>0</v>
      </c>
      <c r="BY3103" s="129" t="e">
        <f t="shared" si="2243"/>
        <v>#VALUE!</v>
      </c>
      <c r="BZ3103" s="111" t="e">
        <f t="shared" si="2244"/>
        <v>#VALUE!</v>
      </c>
      <c r="CA3103" s="138" t="e">
        <f t="shared" si="2245"/>
        <v>#VALUE!</v>
      </c>
      <c r="CB3103" s="111">
        <v>0</v>
      </c>
      <c r="CC3103" s="129">
        <v>0</v>
      </c>
      <c r="CD3103" s="111">
        <f>CC3103-BF3103</f>
        <v>0</v>
      </c>
      <c r="CG3103" s="129" t="str">
        <f t="shared" si="2246"/>
        <v>N</v>
      </c>
      <c r="CI3103" s="129" t="str">
        <f t="shared" si="2248"/>
        <v>0-10 DAYS</v>
      </c>
      <c r="CJ3103" s="137">
        <f t="shared" si="2249"/>
        <v>1</v>
      </c>
      <c r="CK3103" s="129" t="str">
        <f t="shared" si="2250"/>
        <v>Not Booked</v>
      </c>
    </row>
    <row r="3104" spans="1:89" ht="16.5" customHeight="1" x14ac:dyDescent="0.25">
      <c r="A3104" s="111">
        <v>2779</v>
      </c>
      <c r="B3104" s="128" t="str">
        <f t="shared" si="2238"/>
        <v>N</v>
      </c>
      <c r="C3104" s="128" t="str">
        <f t="shared" si="2239"/>
        <v>N</v>
      </c>
      <c r="D3104" s="117">
        <v>2613910</v>
      </c>
      <c r="E3104" s="135">
        <f t="shared" si="2240"/>
        <v>4</v>
      </c>
      <c r="F3104" s="124">
        <v>41011</v>
      </c>
      <c r="G3104" s="125">
        <v>41176</v>
      </c>
      <c r="H3104" s="117">
        <v>2613910</v>
      </c>
      <c r="I3104" s="124">
        <v>41012</v>
      </c>
      <c r="J3104" s="124">
        <v>41013</v>
      </c>
      <c r="K3104" s="126">
        <v>5000</v>
      </c>
      <c r="L3104" s="127" t="s">
        <v>569</v>
      </c>
      <c r="M3104" s="125">
        <v>41013</v>
      </c>
      <c r="N3104" s="129" t="str">
        <f>IF(M3104&gt;1/1/1,"Y","N")</f>
        <v>Y</v>
      </c>
      <c r="O3104" s="128" t="s">
        <v>76</v>
      </c>
      <c r="P3104" s="129" t="s">
        <v>39</v>
      </c>
      <c r="Q3104" s="111">
        <f t="shared" si="2251"/>
        <v>2</v>
      </c>
      <c r="R3104" s="111">
        <f t="shared" si="2227"/>
        <v>166</v>
      </c>
      <c r="S3104" s="129">
        <v>0</v>
      </c>
      <c r="T3104" s="129">
        <v>0</v>
      </c>
      <c r="W3104" s="111"/>
      <c r="AC3104" s="130"/>
      <c r="AD3104" s="130">
        <v>30940</v>
      </c>
      <c r="AE3104" s="128" t="s">
        <v>32</v>
      </c>
      <c r="AF3104" s="128" t="s">
        <v>69</v>
      </c>
      <c r="AG3104" s="128" t="s">
        <v>874</v>
      </c>
      <c r="AH3104" s="108" t="s">
        <v>31</v>
      </c>
      <c r="AI3104" s="128" t="s">
        <v>59</v>
      </c>
      <c r="AJ3104" s="129" t="s">
        <v>89</v>
      </c>
      <c r="AK3104" s="129">
        <v>8</v>
      </c>
      <c r="AL3104" s="3" t="s">
        <v>991</v>
      </c>
      <c r="AO3104" s="128">
        <v>330</v>
      </c>
      <c r="AP3104" s="129" t="s">
        <v>136</v>
      </c>
      <c r="AR3104" s="128" t="s">
        <v>67</v>
      </c>
      <c r="AS3104" s="129" t="s">
        <v>64</v>
      </c>
      <c r="BC3104" s="129" t="s">
        <v>52</v>
      </c>
      <c r="BF3104" s="111">
        <f>IF(J3104&gt;1/1/1900,((J3104+1)-I3104),"STILL OPEN")</f>
        <v>2</v>
      </c>
      <c r="BG3104" s="111">
        <f>IF(G3104&gt;1/1/1900,((G3104+1)-I3104),"STILL OPEN")</f>
        <v>165</v>
      </c>
      <c r="BH3104" s="111">
        <f t="shared" si="2228"/>
        <v>166</v>
      </c>
      <c r="BI3104" s="111">
        <f t="shared" si="2231"/>
        <v>27.516393442622952</v>
      </c>
      <c r="BJ3104" s="129">
        <f>(G3104-J3104)+(M3104-G3104)</f>
        <v>0</v>
      </c>
      <c r="BK3104" s="129">
        <f t="shared" si="2229"/>
        <v>-163</v>
      </c>
      <c r="BL3104" s="129" t="str">
        <f t="shared" si="2223"/>
        <v>CONVICTION</v>
      </c>
      <c r="BM3104" s="129" t="s">
        <v>76</v>
      </c>
      <c r="BN3104" s="129" t="s">
        <v>88</v>
      </c>
      <c r="BP3104" s="137" t="str">
        <f t="shared" si="2232"/>
        <v>CONVICTION</v>
      </c>
      <c r="BQ3104" s="128" t="str">
        <f t="shared" si="2241"/>
        <v>Y</v>
      </c>
      <c r="BR3104" s="129" t="str">
        <f>IF(J3104&lt;G3104,"ON BOND",0)</f>
        <v>ON BOND</v>
      </c>
      <c r="BS3104" s="129" t="str">
        <f t="shared" si="2234"/>
        <v>DISPOSED</v>
      </c>
      <c r="BT3104" s="129" t="str">
        <f t="shared" si="2235"/>
        <v>N</v>
      </c>
      <c r="BU3104" s="109">
        <f t="shared" si="2236"/>
        <v>1.2048192771084338E-2</v>
      </c>
      <c r="BV3104" s="109">
        <f t="shared" si="2242"/>
        <v>1.2121212121212121E-2</v>
      </c>
      <c r="BW3104" s="109">
        <f t="shared" si="2253"/>
        <v>7.3019350127783225E-5</v>
      </c>
      <c r="BX3104" s="111">
        <f t="shared" si="2237"/>
        <v>0</v>
      </c>
      <c r="BY3104" s="129">
        <f t="shared" si="2243"/>
        <v>-2</v>
      </c>
      <c r="BZ3104" s="111">
        <f t="shared" si="2244"/>
        <v>0</v>
      </c>
      <c r="CA3104" s="138">
        <f t="shared" si="2245"/>
        <v>2</v>
      </c>
      <c r="CB3104" s="111" t="e">
        <f>IF(AF3104&gt;1/1/1900,((AF3104+1)-AE3104),"STILL OPEN")</f>
        <v>#VALUE!</v>
      </c>
      <c r="CC3104" s="129">
        <f>M3104-I3104+1</f>
        <v>2</v>
      </c>
      <c r="CD3104" s="111">
        <f>CC3104-BF3104</f>
        <v>0</v>
      </c>
      <c r="CG3104" s="129" t="str">
        <f t="shared" si="2246"/>
        <v>N</v>
      </c>
      <c r="CI3104" s="129" t="str">
        <f t="shared" si="2248"/>
        <v>0-10 DAYS</v>
      </c>
      <c r="CJ3104" s="137">
        <f t="shared" si="2249"/>
        <v>1</v>
      </c>
      <c r="CK3104" s="129" t="str">
        <f t="shared" si="2250"/>
        <v>Booked</v>
      </c>
    </row>
    <row r="3105" spans="1:89" ht="16.5" customHeight="1" x14ac:dyDescent="0.25">
      <c r="A3105" s="111">
        <v>2784</v>
      </c>
      <c r="B3105" s="128" t="str">
        <f t="shared" si="2238"/>
        <v>N</v>
      </c>
      <c r="C3105" s="128" t="str">
        <f t="shared" si="2239"/>
        <v>N</v>
      </c>
      <c r="D3105" s="117">
        <v>2613922</v>
      </c>
      <c r="E3105" s="135">
        <f t="shared" si="2240"/>
        <v>1</v>
      </c>
      <c r="F3105" s="124">
        <v>41012</v>
      </c>
      <c r="G3105" s="125">
        <v>41043</v>
      </c>
      <c r="H3105" s="117">
        <v>2613922</v>
      </c>
      <c r="I3105" s="124">
        <v>41012</v>
      </c>
      <c r="J3105" s="124">
        <v>41043</v>
      </c>
      <c r="K3105" s="126" t="s">
        <v>564</v>
      </c>
      <c r="L3105" s="127" t="s">
        <v>564</v>
      </c>
      <c r="N3105" s="129" t="s">
        <v>566</v>
      </c>
      <c r="O3105" s="128" t="s">
        <v>917</v>
      </c>
      <c r="P3105" s="129" t="s">
        <v>55</v>
      </c>
      <c r="Q3105" s="111">
        <f t="shared" si="2251"/>
        <v>32</v>
      </c>
      <c r="R3105" s="111">
        <f t="shared" si="2227"/>
        <v>32</v>
      </c>
      <c r="S3105" s="129">
        <v>0</v>
      </c>
      <c r="T3105" s="129">
        <v>0</v>
      </c>
      <c r="W3105" s="111"/>
      <c r="AC3105" s="130"/>
      <c r="AD3105" s="130">
        <v>19833</v>
      </c>
      <c r="AE3105" s="128" t="s">
        <v>46</v>
      </c>
      <c r="AF3105" s="128" t="s">
        <v>69</v>
      </c>
      <c r="AG3105" s="128" t="s">
        <v>874</v>
      </c>
      <c r="AH3105" s="108" t="s">
        <v>31</v>
      </c>
      <c r="AI3105" s="128" t="s">
        <v>62</v>
      </c>
      <c r="AJ3105" s="129" t="s">
        <v>55</v>
      </c>
      <c r="AK3105" s="129">
        <v>4</v>
      </c>
      <c r="AL3105" s="3" t="s">
        <v>55</v>
      </c>
      <c r="AP3105" s="129" t="s">
        <v>110</v>
      </c>
      <c r="AR3105" s="128" t="s">
        <v>50</v>
      </c>
      <c r="AS3105" s="129" t="s">
        <v>74</v>
      </c>
      <c r="BC3105" s="129" t="s">
        <v>38</v>
      </c>
      <c r="BF3105" s="111">
        <f>IF(J3105&gt;1/1/1900,((J3105+1)-I3105),"STILL OPEN")</f>
        <v>32</v>
      </c>
      <c r="BG3105" s="111">
        <f>IF(G3105&gt;1/1/1900,((G3105+1)-I3105),"STILL OPEN")</f>
        <v>32</v>
      </c>
      <c r="BH3105" s="111">
        <f t="shared" si="2228"/>
        <v>32</v>
      </c>
      <c r="BI3105" s="111">
        <f t="shared" si="2231"/>
        <v>57.866120218579233</v>
      </c>
      <c r="BJ3105" s="129">
        <f>G3105-J3105-M3105</f>
        <v>0</v>
      </c>
      <c r="BK3105" s="129">
        <f t="shared" si="2229"/>
        <v>0</v>
      </c>
      <c r="BL3105" s="129" t="str">
        <f t="shared" si="2223"/>
        <v>NO CONVICTION</v>
      </c>
      <c r="BM3105" s="129" t="str">
        <f>O3105</f>
        <v>NONE</v>
      </c>
      <c r="BN3105" s="129" t="s">
        <v>566</v>
      </c>
      <c r="BP3105" s="137" t="str">
        <f t="shared" si="2232"/>
        <v>NO CONVICTION</v>
      </c>
      <c r="BQ3105" s="128" t="str">
        <f t="shared" si="2241"/>
        <v>Y</v>
      </c>
      <c r="BR3105" s="129" t="str">
        <f t="shared" si="2233"/>
        <v>DETAINED</v>
      </c>
      <c r="BS3105" s="129" t="str">
        <f t="shared" si="2234"/>
        <v>DISPOSED</v>
      </c>
      <c r="BT3105" s="129" t="str">
        <f t="shared" si="2235"/>
        <v>N</v>
      </c>
      <c r="BU3105" s="109">
        <f>IFERROR(Q3105/R3105,BR3105)</f>
        <v>1</v>
      </c>
      <c r="BV3105" s="109">
        <f t="shared" si="2242"/>
        <v>1</v>
      </c>
      <c r="BW3105" s="109">
        <f t="shared" si="2253"/>
        <v>0</v>
      </c>
      <c r="BX3105" s="111">
        <f t="shared" si="2237"/>
        <v>0</v>
      </c>
      <c r="BY3105" s="129">
        <f t="shared" si="2243"/>
        <v>-32</v>
      </c>
      <c r="BZ3105" s="111">
        <f t="shared" si="2244"/>
        <v>0</v>
      </c>
      <c r="CA3105" s="138">
        <f t="shared" si="2245"/>
        <v>32</v>
      </c>
      <c r="CB3105" s="111" t="e">
        <f>IF(AF3105&gt;1/1/1900,((AF3105+1)-AE3105),"STILL OPEN")</f>
        <v>#VALUE!</v>
      </c>
      <c r="CC3105" s="129">
        <f>G3105-I3105+1</f>
        <v>32</v>
      </c>
      <c r="CD3105" s="129">
        <f>G3105-J3105</f>
        <v>0</v>
      </c>
      <c r="CG3105" s="129" t="str">
        <f t="shared" si="2246"/>
        <v>N</v>
      </c>
      <c r="CI3105" s="129" t="str">
        <f t="shared" si="2248"/>
        <v>31-60 DAYS</v>
      </c>
      <c r="CJ3105" s="137">
        <f t="shared" si="2249"/>
        <v>3</v>
      </c>
      <c r="CK3105" s="129" t="str">
        <f t="shared" si="2250"/>
        <v>Booked</v>
      </c>
    </row>
    <row r="3106" spans="1:89" ht="15" customHeight="1" x14ac:dyDescent="0.25">
      <c r="A3106" s="111">
        <v>2785</v>
      </c>
      <c r="B3106" s="128" t="str">
        <f t="shared" si="2238"/>
        <v>N</v>
      </c>
      <c r="C3106" s="128" t="str">
        <f t="shared" si="2239"/>
        <v>N</v>
      </c>
      <c r="D3106" s="117">
        <v>2613925</v>
      </c>
      <c r="E3106" s="135">
        <f t="shared" si="2240"/>
        <v>4</v>
      </c>
      <c r="F3106" s="124">
        <v>41012</v>
      </c>
      <c r="G3106" s="125">
        <v>41152</v>
      </c>
      <c r="H3106" s="117">
        <v>2613925</v>
      </c>
      <c r="I3106" s="124">
        <v>41012</v>
      </c>
      <c r="J3106" s="124">
        <v>41013</v>
      </c>
      <c r="K3106" s="126">
        <v>2000</v>
      </c>
      <c r="L3106" s="127" t="s">
        <v>568</v>
      </c>
      <c r="M3106" s="125">
        <v>41013</v>
      </c>
      <c r="N3106" s="129" t="str">
        <f>IF(M3106&gt;1/1/1,"Y","N")</f>
        <v>Y</v>
      </c>
      <c r="O3106" s="128" t="s">
        <v>76</v>
      </c>
      <c r="P3106" s="129" t="s">
        <v>39</v>
      </c>
      <c r="Q3106" s="111">
        <f t="shared" si="2251"/>
        <v>2</v>
      </c>
      <c r="R3106" s="111">
        <f t="shared" si="2227"/>
        <v>141</v>
      </c>
      <c r="S3106" s="129">
        <v>0</v>
      </c>
      <c r="T3106" s="129">
        <v>0</v>
      </c>
      <c r="W3106" s="111"/>
      <c r="AB3106" s="131" t="s">
        <v>112</v>
      </c>
      <c r="AC3106" s="130"/>
      <c r="AD3106" s="130">
        <v>31974</v>
      </c>
      <c r="AE3106" s="128" t="s">
        <v>32</v>
      </c>
      <c r="AF3106" s="128" t="s">
        <v>40</v>
      </c>
      <c r="AG3106" s="128" t="s">
        <v>41</v>
      </c>
      <c r="AH3106" s="108" t="s">
        <v>31</v>
      </c>
      <c r="AI3106" s="128" t="s">
        <v>95</v>
      </c>
      <c r="AJ3106" s="129" t="s">
        <v>89</v>
      </c>
      <c r="AK3106" s="129">
        <v>6</v>
      </c>
      <c r="AL3106" s="3" t="s">
        <v>991</v>
      </c>
      <c r="AO3106" s="128">
        <v>2</v>
      </c>
      <c r="AP3106" s="129" t="s">
        <v>175</v>
      </c>
      <c r="AR3106" s="128" t="s">
        <v>44</v>
      </c>
      <c r="AS3106" s="129" t="s">
        <v>45</v>
      </c>
      <c r="BC3106" s="129" t="s">
        <v>52</v>
      </c>
      <c r="BF3106" s="111">
        <f>IF(J3106&gt;1/1/1900,((J3106+1)-I3106),"STILL OPEN")</f>
        <v>2</v>
      </c>
      <c r="BG3106" s="111">
        <f>IF(G3106&gt;1/1/1900,((G3106+1)-I3106),"STILL OPEN")</f>
        <v>141</v>
      </c>
      <c r="BH3106" s="111">
        <f t="shared" si="2228"/>
        <v>141</v>
      </c>
      <c r="BI3106" s="111">
        <f t="shared" si="2231"/>
        <v>24.693989071038253</v>
      </c>
      <c r="BJ3106" s="129">
        <f>(G3106-J3106)+(M3106-G3106)</f>
        <v>0</v>
      </c>
      <c r="BK3106" s="129">
        <f t="shared" si="2229"/>
        <v>-139</v>
      </c>
      <c r="BL3106" s="129" t="str">
        <f t="shared" si="2223"/>
        <v>CONVICTION</v>
      </c>
      <c r="BM3106" s="129" t="s">
        <v>76</v>
      </c>
      <c r="BN3106" s="129" t="s">
        <v>88</v>
      </c>
      <c r="BP3106" s="137" t="str">
        <f t="shared" si="2232"/>
        <v>CONVICTION</v>
      </c>
      <c r="BQ3106" s="128" t="str">
        <f t="shared" si="2241"/>
        <v>Y</v>
      </c>
      <c r="BR3106" s="129" t="str">
        <f>IF(J3106&lt;G3106,"ON BOND",0)</f>
        <v>ON BOND</v>
      </c>
      <c r="BS3106" s="129" t="str">
        <f t="shared" si="2234"/>
        <v>DISPOSED</v>
      </c>
      <c r="BT3106" s="129" t="str">
        <f t="shared" si="2235"/>
        <v>N</v>
      </c>
      <c r="BU3106" s="109">
        <f t="shared" si="2236"/>
        <v>1.4184397163120567E-2</v>
      </c>
      <c r="BV3106" s="109">
        <f t="shared" si="2242"/>
        <v>1.4184397163120567E-2</v>
      </c>
      <c r="BW3106" s="109">
        <f t="shared" si="2253"/>
        <v>0</v>
      </c>
      <c r="BX3106" s="111">
        <f t="shared" si="2237"/>
        <v>0</v>
      </c>
      <c r="BY3106" s="129">
        <f t="shared" si="2243"/>
        <v>-2</v>
      </c>
      <c r="BZ3106" s="111">
        <f t="shared" si="2244"/>
        <v>0</v>
      </c>
      <c r="CA3106" s="138">
        <f t="shared" si="2245"/>
        <v>2</v>
      </c>
      <c r="CB3106" s="111" t="e">
        <f>IF(AF3106&gt;1/1/1900,((AF3106+1)-AE3106),"STILL OPEN")</f>
        <v>#VALUE!</v>
      </c>
      <c r="CC3106" s="129">
        <f>M3106-I3106+1</f>
        <v>2</v>
      </c>
      <c r="CD3106" s="111">
        <f>CC3106-BF3106</f>
        <v>0</v>
      </c>
      <c r="CG3106" s="129" t="str">
        <f t="shared" si="2246"/>
        <v>N</v>
      </c>
      <c r="CI3106" s="129" t="str">
        <f t="shared" si="2248"/>
        <v>0-10 DAYS</v>
      </c>
      <c r="CJ3106" s="137">
        <f t="shared" si="2249"/>
        <v>1</v>
      </c>
      <c r="CK3106" s="129" t="str">
        <f t="shared" si="2250"/>
        <v>Booked</v>
      </c>
    </row>
    <row r="3107" spans="1:89" ht="15.75" customHeight="1" x14ac:dyDescent="0.25">
      <c r="A3107" s="111">
        <v>2793</v>
      </c>
      <c r="B3107" s="128" t="str">
        <f t="shared" si="2238"/>
        <v>N</v>
      </c>
      <c r="C3107" s="128" t="str">
        <f t="shared" si="2239"/>
        <v>N</v>
      </c>
      <c r="D3107" s="117">
        <v>2613974</v>
      </c>
      <c r="E3107" s="135">
        <f t="shared" si="2240"/>
        <v>4</v>
      </c>
      <c r="F3107" s="124">
        <v>41012</v>
      </c>
      <c r="G3107" s="125">
        <v>41045</v>
      </c>
      <c r="H3107" s="117">
        <v>2613974</v>
      </c>
      <c r="I3107" s="124">
        <v>41013</v>
      </c>
      <c r="J3107" s="124">
        <v>41045</v>
      </c>
      <c r="K3107" s="126">
        <v>2000</v>
      </c>
      <c r="L3107" s="127" t="s">
        <v>568</v>
      </c>
      <c r="N3107" s="129" t="str">
        <f>IF(M3107&gt;1/1/1,"Y","N")</f>
        <v>N</v>
      </c>
      <c r="O3107" s="128" t="s">
        <v>917</v>
      </c>
      <c r="P3107" s="129" t="s">
        <v>39</v>
      </c>
      <c r="Q3107" s="111">
        <f t="shared" si="2251"/>
        <v>33</v>
      </c>
      <c r="R3107" s="111">
        <f t="shared" si="2227"/>
        <v>34</v>
      </c>
      <c r="S3107" s="129">
        <v>0</v>
      </c>
      <c r="T3107" s="129">
        <v>0</v>
      </c>
      <c r="W3107" s="111"/>
      <c r="AB3107" s="131" t="s">
        <v>112</v>
      </c>
      <c r="AC3107" s="130"/>
      <c r="AD3107" s="130">
        <v>29834</v>
      </c>
      <c r="AE3107" s="128" t="s">
        <v>32</v>
      </c>
      <c r="AF3107" s="128" t="s">
        <v>40</v>
      </c>
      <c r="AG3107" s="128" t="s">
        <v>41</v>
      </c>
      <c r="AH3107" s="108" t="s">
        <v>31</v>
      </c>
      <c r="AI3107" s="128" t="s">
        <v>47</v>
      </c>
      <c r="AJ3107" s="129" t="s">
        <v>89</v>
      </c>
      <c r="AK3107" s="129">
        <v>3</v>
      </c>
      <c r="AL3107" s="3" t="s">
        <v>991</v>
      </c>
      <c r="AO3107" s="128">
        <v>60</v>
      </c>
      <c r="AP3107" s="129" t="s">
        <v>43</v>
      </c>
      <c r="AR3107" s="128" t="s">
        <v>44</v>
      </c>
      <c r="AS3107" s="129" t="s">
        <v>45</v>
      </c>
      <c r="BC3107" s="129" t="s">
        <v>38</v>
      </c>
      <c r="BF3107" s="111">
        <f>IF(J3107&gt;1/1/1900,((J3107+1)-I3107),"STILL OPEN")</f>
        <v>33</v>
      </c>
      <c r="BG3107" s="111">
        <f>IF(G3107&gt;1/1/1900,((G3107+1)-I3107),"STILL OPEN")</f>
        <v>33</v>
      </c>
      <c r="BH3107" s="111">
        <f t="shared" si="2228"/>
        <v>34</v>
      </c>
      <c r="BI3107" s="111">
        <f t="shared" si="2231"/>
        <v>30.540983606557376</v>
      </c>
      <c r="BJ3107" s="129">
        <f>G3107-J3107-M3107</f>
        <v>0</v>
      </c>
      <c r="BK3107" s="129">
        <f t="shared" si="2229"/>
        <v>0</v>
      </c>
      <c r="BL3107" s="129" t="str">
        <f t="shared" si="2223"/>
        <v>CONVICTION</v>
      </c>
      <c r="BM3107" s="129" t="str">
        <f>O3107</f>
        <v>NONE</v>
      </c>
      <c r="BN3107" s="129" t="s">
        <v>566</v>
      </c>
      <c r="BP3107" s="137" t="str">
        <f t="shared" si="2232"/>
        <v>CONVICTION</v>
      </c>
      <c r="BQ3107" s="128" t="str">
        <f t="shared" si="2241"/>
        <v>Y</v>
      </c>
      <c r="BR3107" s="129" t="str">
        <f t="shared" si="2233"/>
        <v>DETAINED</v>
      </c>
      <c r="BS3107" s="129" t="str">
        <f t="shared" si="2234"/>
        <v>DISPOSED</v>
      </c>
      <c r="BT3107" s="129" t="str">
        <f t="shared" si="2235"/>
        <v>N</v>
      </c>
      <c r="BU3107" s="109">
        <f t="shared" si="2236"/>
        <v>0.97058823529411764</v>
      </c>
      <c r="BV3107" s="109">
        <f t="shared" si="2242"/>
        <v>1</v>
      </c>
      <c r="BW3107" s="109">
        <f t="shared" si="2253"/>
        <v>2.9411764705882359E-2</v>
      </c>
      <c r="BX3107" s="111">
        <f t="shared" si="2237"/>
        <v>0</v>
      </c>
      <c r="BY3107" s="129">
        <f t="shared" si="2243"/>
        <v>-33</v>
      </c>
      <c r="BZ3107" s="111">
        <f t="shared" si="2244"/>
        <v>0</v>
      </c>
      <c r="CA3107" s="138">
        <f t="shared" si="2245"/>
        <v>33</v>
      </c>
      <c r="CB3107" s="111" t="e">
        <f>IF(AF3107&gt;1/1/1900,((AF3107+1)-AE3107),"STILL OPEN")</f>
        <v>#VALUE!</v>
      </c>
      <c r="CC3107" s="129">
        <f>G3107-I3107+1</f>
        <v>33</v>
      </c>
      <c r="CD3107" s="129">
        <f>G3107-J3107</f>
        <v>0</v>
      </c>
      <c r="CG3107" s="129" t="str">
        <f t="shared" si="2246"/>
        <v>N</v>
      </c>
      <c r="CI3107" s="129" t="str">
        <f t="shared" si="2248"/>
        <v>31-60 DAYS</v>
      </c>
      <c r="CJ3107" s="137">
        <f t="shared" si="2249"/>
        <v>3</v>
      </c>
      <c r="CK3107" s="129" t="str">
        <f t="shared" si="2250"/>
        <v>Booked</v>
      </c>
    </row>
    <row r="3108" spans="1:89" ht="15.75" customHeight="1" x14ac:dyDescent="0.25">
      <c r="A3108" s="111">
        <v>2791</v>
      </c>
      <c r="B3108" s="128" t="str">
        <f t="shared" si="2238"/>
        <v>Y</v>
      </c>
      <c r="C3108" s="128" t="str">
        <f t="shared" si="2239"/>
        <v>N</v>
      </c>
      <c r="D3108" s="117">
        <v>2613976</v>
      </c>
      <c r="E3108" s="135">
        <f t="shared" si="2240"/>
        <v>2</v>
      </c>
      <c r="F3108" s="124">
        <v>41012</v>
      </c>
      <c r="G3108" s="125">
        <v>41215</v>
      </c>
      <c r="H3108" s="117">
        <v>2613976</v>
      </c>
      <c r="I3108" s="124">
        <v>41022</v>
      </c>
      <c r="J3108" s="124">
        <v>41027</v>
      </c>
      <c r="K3108" s="126">
        <v>60000</v>
      </c>
      <c r="L3108" s="129" t="s">
        <v>572</v>
      </c>
      <c r="M3108" s="125">
        <v>41027</v>
      </c>
      <c r="N3108" s="129" t="str">
        <f>IF(M3108&gt;1/1/1,"Y","N")</f>
        <v>Y</v>
      </c>
      <c r="O3108" s="128" t="s">
        <v>585</v>
      </c>
      <c r="P3108" s="129" t="s">
        <v>589</v>
      </c>
      <c r="Q3108" s="111">
        <f t="shared" si="2251"/>
        <v>6</v>
      </c>
      <c r="R3108" s="111">
        <f t="shared" si="2227"/>
        <v>204</v>
      </c>
      <c r="S3108" s="129">
        <v>0</v>
      </c>
      <c r="T3108" s="129">
        <v>0</v>
      </c>
      <c r="W3108" s="111"/>
      <c r="AC3108" s="130"/>
      <c r="AD3108" s="130">
        <v>33197</v>
      </c>
      <c r="AE3108" s="128" t="s">
        <v>32</v>
      </c>
      <c r="AF3108" s="128" t="s">
        <v>69</v>
      </c>
      <c r="AG3108" s="128" t="s">
        <v>874</v>
      </c>
      <c r="AH3108" s="108" t="s">
        <v>31</v>
      </c>
      <c r="AI3108" s="128" t="s">
        <v>70</v>
      </c>
      <c r="AJ3108" s="129" t="s">
        <v>48</v>
      </c>
      <c r="AK3108" s="129">
        <v>10</v>
      </c>
      <c r="AL3108" s="3" t="s">
        <v>48</v>
      </c>
      <c r="AP3108" s="129" t="s">
        <v>125</v>
      </c>
      <c r="AR3108" s="128" t="s">
        <v>50</v>
      </c>
      <c r="AS3108" s="129" t="s">
        <v>126</v>
      </c>
      <c r="AT3108" s="129" t="s">
        <v>1247</v>
      </c>
      <c r="BC3108" s="129" t="s">
        <v>38</v>
      </c>
      <c r="BD3108" s="129" t="s">
        <v>1248</v>
      </c>
      <c r="BF3108" s="111">
        <f>IF(J3108&gt;1/1/1900,((J3108+1)-I3108),"STILL OPEN")</f>
        <v>6</v>
      </c>
      <c r="BG3108" s="111">
        <f>IF(G3108&gt;1/1/1900,((G3108+1)-I3108),"STILL OPEN")</f>
        <v>194</v>
      </c>
      <c r="BH3108" s="111">
        <f t="shared" si="2228"/>
        <v>204</v>
      </c>
      <c r="BI3108" s="111">
        <f t="shared" si="2231"/>
        <v>21.352459016393443</v>
      </c>
      <c r="BJ3108" s="129">
        <f t="shared" ref="BJ3108:BJ3116" si="2262">(G3108-J3108)+(M3108-G3108)</f>
        <v>0</v>
      </c>
      <c r="BK3108" s="129">
        <f t="shared" si="2229"/>
        <v>-188</v>
      </c>
      <c r="BL3108" s="129" t="str">
        <f t="shared" si="2223"/>
        <v>DEFERRED</v>
      </c>
      <c r="BM3108" s="129" t="s">
        <v>76</v>
      </c>
      <c r="BN3108" s="129" t="s">
        <v>88</v>
      </c>
      <c r="BP3108" s="137" t="str">
        <f t="shared" si="2232"/>
        <v>DEFERRED</v>
      </c>
      <c r="BQ3108" s="128" t="str">
        <f t="shared" si="2241"/>
        <v>Y</v>
      </c>
      <c r="BR3108" s="129" t="str">
        <f t="shared" si="2233"/>
        <v>ON BOND</v>
      </c>
      <c r="BS3108" s="129" t="str">
        <f t="shared" si="2234"/>
        <v>DISPOSED</v>
      </c>
      <c r="BT3108" s="129" t="str">
        <f t="shared" si="2235"/>
        <v>N</v>
      </c>
      <c r="BU3108" s="109">
        <f t="shared" si="2236"/>
        <v>2.9411764705882353E-2</v>
      </c>
      <c r="BV3108" s="109">
        <f t="shared" si="2242"/>
        <v>3.0927835051546393E-2</v>
      </c>
      <c r="BW3108" s="109">
        <f t="shared" si="2253"/>
        <v>1.5160703456640404E-3</v>
      </c>
      <c r="BX3108" s="111">
        <f t="shared" si="2237"/>
        <v>0</v>
      </c>
      <c r="BY3108" s="129">
        <f t="shared" si="2243"/>
        <v>-6</v>
      </c>
      <c r="BZ3108" s="111">
        <f t="shared" si="2244"/>
        <v>0</v>
      </c>
      <c r="CA3108" s="138">
        <f t="shared" si="2245"/>
        <v>6</v>
      </c>
      <c r="CB3108" s="111" t="e">
        <f>IF(AF3108&gt;1/1/1900,((AF3108+1)-AE3108),"STILL OPEN")</f>
        <v>#VALUE!</v>
      </c>
      <c r="CC3108" s="129">
        <f t="shared" ref="CC3108:CC3116" si="2263">M3108-I3108+1</f>
        <v>6</v>
      </c>
      <c r="CD3108" s="111">
        <f t="shared" ref="CD3108:CD3116" si="2264">CC3108-BF3108</f>
        <v>0</v>
      </c>
      <c r="CG3108" s="129" t="str">
        <f t="shared" si="2246"/>
        <v>N</v>
      </c>
      <c r="CI3108" s="129" t="str">
        <f t="shared" si="2248"/>
        <v>0-10 DAYS</v>
      </c>
      <c r="CJ3108" s="137">
        <f t="shared" si="2249"/>
        <v>1</v>
      </c>
      <c r="CK3108" s="129" t="str">
        <f t="shared" si="2250"/>
        <v>Booked</v>
      </c>
    </row>
    <row r="3109" spans="1:89" ht="15" customHeight="1" x14ac:dyDescent="0.25">
      <c r="A3109" s="111">
        <v>2796</v>
      </c>
      <c r="B3109" s="128" t="str">
        <f t="shared" si="2238"/>
        <v>N</v>
      </c>
      <c r="C3109" s="128" t="str">
        <f t="shared" si="2239"/>
        <v>N</v>
      </c>
      <c r="D3109" s="117">
        <v>2613999</v>
      </c>
      <c r="E3109" s="135">
        <f t="shared" si="2240"/>
        <v>1</v>
      </c>
      <c r="F3109" s="124">
        <v>41012</v>
      </c>
      <c r="G3109" s="125">
        <v>41131</v>
      </c>
      <c r="H3109" s="117">
        <v>2613999</v>
      </c>
      <c r="I3109" s="124" t="s">
        <v>562</v>
      </c>
      <c r="J3109" s="124" t="s">
        <v>562</v>
      </c>
      <c r="K3109" s="126">
        <v>2000</v>
      </c>
      <c r="L3109" s="127" t="s">
        <v>568</v>
      </c>
      <c r="M3109" s="125">
        <v>41013</v>
      </c>
      <c r="N3109" s="129" t="str">
        <f>IF(M3109&gt;1/1/1,"Y",IF(Q3109="0","","N"))</f>
        <v>Y</v>
      </c>
      <c r="O3109" s="128" t="s">
        <v>76</v>
      </c>
      <c r="P3109" s="129" t="s">
        <v>55</v>
      </c>
      <c r="Q3109" s="111">
        <f t="shared" si="2251"/>
        <v>0</v>
      </c>
      <c r="R3109" s="111">
        <f t="shared" si="2227"/>
        <v>120</v>
      </c>
      <c r="S3109" s="129">
        <v>0</v>
      </c>
      <c r="T3109" s="129">
        <v>0</v>
      </c>
      <c r="W3109" s="111"/>
      <c r="AC3109" s="130"/>
      <c r="AD3109" s="130">
        <v>31942</v>
      </c>
      <c r="AE3109" s="128" t="s">
        <v>46</v>
      </c>
      <c r="AF3109" s="128" t="s">
        <v>69</v>
      </c>
      <c r="AG3109" s="128" t="s">
        <v>874</v>
      </c>
      <c r="AH3109" s="108" t="s">
        <v>31</v>
      </c>
      <c r="AI3109" s="128" t="s">
        <v>72</v>
      </c>
      <c r="AJ3109" s="129" t="s">
        <v>55</v>
      </c>
      <c r="AK3109" s="129">
        <v>5</v>
      </c>
      <c r="AL3109" s="3" t="s">
        <v>55</v>
      </c>
      <c r="AP3109" s="129" t="s">
        <v>43</v>
      </c>
      <c r="AR3109" s="128" t="s">
        <v>44</v>
      </c>
      <c r="AS3109" s="129" t="s">
        <v>45</v>
      </c>
      <c r="BC3109" s="129" t="s">
        <v>52</v>
      </c>
      <c r="BF3109" s="111">
        <v>0</v>
      </c>
      <c r="BG3109" s="111">
        <v>0</v>
      </c>
      <c r="BH3109" s="111">
        <f t="shared" si="2228"/>
        <v>120</v>
      </c>
      <c r="BI3109" s="111">
        <f t="shared" si="2231"/>
        <v>24.781420765027324</v>
      </c>
      <c r="BJ3109" s="129" t="e">
        <f t="shared" si="2262"/>
        <v>#VALUE!</v>
      </c>
      <c r="BK3109" s="129" t="e">
        <f t="shared" si="2229"/>
        <v>#VALUE!</v>
      </c>
      <c r="BL3109" s="129" t="str">
        <f t="shared" si="2223"/>
        <v>NO CONVICTION</v>
      </c>
      <c r="BM3109" s="129" t="s">
        <v>76</v>
      </c>
      <c r="BN3109" s="129" t="s">
        <v>88</v>
      </c>
      <c r="BP3109" s="137" t="str">
        <f t="shared" si="2232"/>
        <v>NO CONVICTION</v>
      </c>
      <c r="BQ3109" s="128">
        <f t="shared" si="2241"/>
        <v>0</v>
      </c>
      <c r="BR3109" s="129" t="s">
        <v>575</v>
      </c>
      <c r="BS3109" s="129" t="str">
        <f t="shared" si="2234"/>
        <v>DISPOSED</v>
      </c>
      <c r="BT3109" s="129" t="str">
        <f t="shared" si="2235"/>
        <v>N</v>
      </c>
      <c r="BU3109" s="109">
        <f>IFERROR(Q3109/R3109,BR3109)</f>
        <v>0</v>
      </c>
      <c r="BV3109" s="109">
        <v>0</v>
      </c>
      <c r="BW3109" s="109">
        <f t="shared" si="2253"/>
        <v>0</v>
      </c>
      <c r="BX3109" s="111">
        <f t="shared" si="2237"/>
        <v>0</v>
      </c>
      <c r="BY3109" s="129" t="e">
        <f t="shared" si="2243"/>
        <v>#VALUE!</v>
      </c>
      <c r="BZ3109" s="111" t="e">
        <f t="shared" si="2244"/>
        <v>#VALUE!</v>
      </c>
      <c r="CA3109" s="138" t="e">
        <f t="shared" si="2245"/>
        <v>#VALUE!</v>
      </c>
      <c r="CB3109" s="111">
        <v>0</v>
      </c>
      <c r="CC3109" s="129">
        <v>0</v>
      </c>
      <c r="CD3109" s="111">
        <f t="shared" si="2264"/>
        <v>0</v>
      </c>
      <c r="CG3109" s="129" t="str">
        <f t="shared" si="2246"/>
        <v>N</v>
      </c>
      <c r="CI3109" s="129" t="str">
        <f t="shared" si="2248"/>
        <v>0-10 DAYS</v>
      </c>
      <c r="CJ3109" s="137">
        <f t="shared" si="2249"/>
        <v>1</v>
      </c>
      <c r="CK3109" s="129" t="str">
        <f t="shared" si="2250"/>
        <v>Not Booked</v>
      </c>
    </row>
    <row r="3110" spans="1:89" ht="15.75" customHeight="1" x14ac:dyDescent="0.25">
      <c r="A3110" s="111">
        <v>2800</v>
      </c>
      <c r="B3110" s="128" t="str">
        <f t="shared" si="2238"/>
        <v>N</v>
      </c>
      <c r="C3110" s="128" t="str">
        <f t="shared" si="2239"/>
        <v>N</v>
      </c>
      <c r="D3110" s="117">
        <v>2614014</v>
      </c>
      <c r="E3110" s="135">
        <f t="shared" si="2240"/>
        <v>6</v>
      </c>
      <c r="F3110" s="124">
        <v>41012</v>
      </c>
      <c r="G3110" s="125">
        <v>41256</v>
      </c>
      <c r="H3110" s="117">
        <v>2614014</v>
      </c>
      <c r="I3110" s="124">
        <v>41016</v>
      </c>
      <c r="J3110" s="124">
        <v>41025</v>
      </c>
      <c r="K3110" s="126">
        <v>60000</v>
      </c>
      <c r="L3110" s="129" t="s">
        <v>572</v>
      </c>
      <c r="M3110" s="125">
        <v>41025</v>
      </c>
      <c r="N3110" s="129" t="str">
        <f>IF(M3110&gt;1/1/1,"Y","N")</f>
        <v>Y</v>
      </c>
      <c r="O3110" s="128" t="s">
        <v>76</v>
      </c>
      <c r="P3110" s="129" t="s">
        <v>39</v>
      </c>
      <c r="Q3110" s="111">
        <f t="shared" si="2251"/>
        <v>10</v>
      </c>
      <c r="R3110" s="111">
        <f t="shared" si="2227"/>
        <v>245</v>
      </c>
      <c r="S3110" s="129">
        <v>0</v>
      </c>
      <c r="T3110" s="129">
        <v>0</v>
      </c>
      <c r="W3110" s="111"/>
      <c r="AB3110" s="131" t="s">
        <v>112</v>
      </c>
      <c r="AC3110" s="130"/>
      <c r="AD3110" s="130">
        <v>22354</v>
      </c>
      <c r="AE3110" s="128" t="s">
        <v>32</v>
      </c>
      <c r="AF3110" s="128" t="s">
        <v>40</v>
      </c>
      <c r="AG3110" s="128" t="s">
        <v>41</v>
      </c>
      <c r="AH3110" s="108" t="s">
        <v>31</v>
      </c>
      <c r="AI3110" s="128" t="s">
        <v>71</v>
      </c>
      <c r="AJ3110" s="129" t="s">
        <v>89</v>
      </c>
      <c r="AK3110" s="129">
        <v>10</v>
      </c>
      <c r="AL3110" s="3" t="s">
        <v>362</v>
      </c>
      <c r="AM3110" s="114">
        <v>20</v>
      </c>
      <c r="AP3110" s="129" t="s">
        <v>125</v>
      </c>
      <c r="AR3110" s="128" t="s">
        <v>50</v>
      </c>
      <c r="AS3110" s="129" t="s">
        <v>126</v>
      </c>
      <c r="BC3110" s="129" t="s">
        <v>52</v>
      </c>
      <c r="BF3110" s="111">
        <f>IF(J3110&gt;1/1/1900,((J3110+1)-I3110),"STILL OPEN")</f>
        <v>10</v>
      </c>
      <c r="BG3110" s="111">
        <f>IF(G3110&gt;1/1/1900,((G3110+1)-I3110),"STILL OPEN")</f>
        <v>241</v>
      </c>
      <c r="BH3110" s="111">
        <f t="shared" si="2228"/>
        <v>245</v>
      </c>
      <c r="BI3110" s="111">
        <f t="shared" si="2231"/>
        <v>50.978142076502735</v>
      </c>
      <c r="BJ3110" s="129">
        <f t="shared" si="2262"/>
        <v>0</v>
      </c>
      <c r="BK3110" s="129">
        <f t="shared" si="2229"/>
        <v>-231</v>
      </c>
      <c r="BL3110" s="129" t="str">
        <f t="shared" si="2223"/>
        <v>CONVICTION</v>
      </c>
      <c r="BM3110" s="129" t="s">
        <v>76</v>
      </c>
      <c r="BN3110" s="129" t="s">
        <v>88</v>
      </c>
      <c r="BP3110" s="137" t="str">
        <f t="shared" si="2232"/>
        <v>CONVICTION</v>
      </c>
      <c r="BQ3110" s="128" t="str">
        <f t="shared" si="2241"/>
        <v>Y</v>
      </c>
      <c r="BR3110" s="129" t="str">
        <f>IF(J3110&lt;G3110,"ON BOND",0)</f>
        <v>ON BOND</v>
      </c>
      <c r="BS3110" s="129" t="str">
        <f t="shared" si="2234"/>
        <v>DISPOSED</v>
      </c>
      <c r="BT3110" s="129" t="str">
        <f t="shared" si="2235"/>
        <v>N</v>
      </c>
      <c r="BU3110" s="109">
        <f t="shared" si="2236"/>
        <v>4.0816326530612242E-2</v>
      </c>
      <c r="BV3110" s="109">
        <f t="shared" si="2242"/>
        <v>4.1493775933609957E-2</v>
      </c>
      <c r="BW3110" s="109">
        <f t="shared" si="2253"/>
        <v>6.7744940299771517E-4</v>
      </c>
      <c r="BX3110" s="111">
        <f t="shared" si="2237"/>
        <v>0</v>
      </c>
      <c r="BY3110" s="129">
        <f t="shared" si="2243"/>
        <v>-10</v>
      </c>
      <c r="BZ3110" s="111">
        <f t="shared" si="2244"/>
        <v>0</v>
      </c>
      <c r="CA3110" s="138">
        <f t="shared" si="2245"/>
        <v>10</v>
      </c>
      <c r="CB3110" s="111" t="e">
        <f>IF(AF3110&gt;1/1/1900,((AF3110+1)-AE3110),"STILL OPEN")</f>
        <v>#VALUE!</v>
      </c>
      <c r="CC3110" s="129">
        <f t="shared" si="2263"/>
        <v>10</v>
      </c>
      <c r="CD3110" s="111">
        <f t="shared" si="2264"/>
        <v>0</v>
      </c>
      <c r="CG3110" s="129" t="str">
        <f t="shared" si="2246"/>
        <v>N</v>
      </c>
      <c r="CI3110" s="129" t="str">
        <f t="shared" si="2248"/>
        <v>0-10 DAYS</v>
      </c>
      <c r="CJ3110" s="137">
        <f t="shared" si="2249"/>
        <v>1</v>
      </c>
      <c r="CK3110" s="129" t="str">
        <f t="shared" si="2250"/>
        <v>Booked</v>
      </c>
    </row>
    <row r="3111" spans="1:89" ht="15.75" customHeight="1" x14ac:dyDescent="0.25">
      <c r="A3111" s="111">
        <v>2802</v>
      </c>
      <c r="B3111" s="128" t="str">
        <f t="shared" si="2238"/>
        <v>N</v>
      </c>
      <c r="C3111" s="128" t="str">
        <f t="shared" si="2239"/>
        <v>N</v>
      </c>
      <c r="D3111" s="117">
        <v>2614063</v>
      </c>
      <c r="E3111" s="135">
        <f t="shared" si="2240"/>
        <v>2</v>
      </c>
      <c r="F3111" s="124">
        <v>41012</v>
      </c>
      <c r="G3111" s="125">
        <v>41291</v>
      </c>
      <c r="H3111" s="117">
        <v>2614063</v>
      </c>
      <c r="I3111" s="124" t="s">
        <v>562</v>
      </c>
      <c r="J3111" s="124" t="s">
        <v>562</v>
      </c>
      <c r="K3111" s="126">
        <v>5000</v>
      </c>
      <c r="L3111" s="127" t="s">
        <v>569</v>
      </c>
      <c r="M3111" s="125">
        <v>41017</v>
      </c>
      <c r="N3111" s="129" t="str">
        <f>IF(M3111&gt;1/1/1,"Y",IF(Q3111="0","","N"))</f>
        <v>Y</v>
      </c>
      <c r="O3111" s="128" t="s">
        <v>76</v>
      </c>
      <c r="P3111" s="129" t="s">
        <v>589</v>
      </c>
      <c r="Q3111" s="111">
        <f t="shared" si="2251"/>
        <v>0</v>
      </c>
      <c r="R3111" s="111">
        <f t="shared" si="2227"/>
        <v>280</v>
      </c>
      <c r="S3111" s="129">
        <v>0</v>
      </c>
      <c r="T3111" s="129">
        <v>0</v>
      </c>
      <c r="W3111" s="111"/>
      <c r="AC3111" s="130"/>
      <c r="AD3111" s="130">
        <v>32392</v>
      </c>
      <c r="AE3111" s="128" t="s">
        <v>46</v>
      </c>
      <c r="AF3111" s="128" t="s">
        <v>69</v>
      </c>
      <c r="AG3111" s="128" t="s">
        <v>874</v>
      </c>
      <c r="AH3111" s="108" t="s">
        <v>31</v>
      </c>
      <c r="AI3111" s="128" t="s">
        <v>141</v>
      </c>
      <c r="AJ3111" s="129" t="s">
        <v>48</v>
      </c>
      <c r="AK3111" s="129">
        <v>10</v>
      </c>
      <c r="AL3111" s="3" t="s">
        <v>48</v>
      </c>
      <c r="AP3111" s="129" t="s">
        <v>302</v>
      </c>
      <c r="AR3111" s="128" t="s">
        <v>67</v>
      </c>
      <c r="AS3111" s="129" t="s">
        <v>64</v>
      </c>
      <c r="BC3111" s="129" t="s">
        <v>52</v>
      </c>
      <c r="BF3111" s="111">
        <v>0</v>
      </c>
      <c r="BG3111" s="111">
        <v>0</v>
      </c>
      <c r="BH3111" s="111">
        <f t="shared" si="2228"/>
        <v>280</v>
      </c>
      <c r="BI3111" s="111">
        <f t="shared" si="2231"/>
        <v>23.551912568306012</v>
      </c>
      <c r="BJ3111" s="129" t="e">
        <f t="shared" si="2262"/>
        <v>#VALUE!</v>
      </c>
      <c r="BK3111" s="129" t="e">
        <f t="shared" si="2229"/>
        <v>#VALUE!</v>
      </c>
      <c r="BL3111" s="129" t="str">
        <f t="shared" si="2223"/>
        <v>DEFERRED</v>
      </c>
      <c r="BM3111" s="129" t="s">
        <v>76</v>
      </c>
      <c r="BN3111" s="129" t="s">
        <v>88</v>
      </c>
      <c r="BP3111" s="137" t="str">
        <f t="shared" si="2232"/>
        <v>DEFERRED</v>
      </c>
      <c r="BQ3111" s="128">
        <f t="shared" si="2241"/>
        <v>0</v>
      </c>
      <c r="BR3111" s="129" t="s">
        <v>575</v>
      </c>
      <c r="BS3111" s="129" t="str">
        <f t="shared" si="2234"/>
        <v>DISPOSED</v>
      </c>
      <c r="BT3111" s="129" t="str">
        <f t="shared" si="2235"/>
        <v>N</v>
      </c>
      <c r="BU3111" s="109">
        <f t="shared" si="2236"/>
        <v>0</v>
      </c>
      <c r="BV3111" s="109">
        <v>0</v>
      </c>
      <c r="BW3111" s="109">
        <f t="shared" si="2253"/>
        <v>0</v>
      </c>
      <c r="BX3111" s="111">
        <f t="shared" si="2237"/>
        <v>0</v>
      </c>
      <c r="BY3111" s="129" t="e">
        <f t="shared" si="2243"/>
        <v>#VALUE!</v>
      </c>
      <c r="BZ3111" s="111" t="e">
        <f t="shared" si="2244"/>
        <v>#VALUE!</v>
      </c>
      <c r="CA3111" s="138" t="e">
        <f t="shared" si="2245"/>
        <v>#VALUE!</v>
      </c>
      <c r="CB3111" s="111">
        <v>0</v>
      </c>
      <c r="CC3111" s="129">
        <v>0</v>
      </c>
      <c r="CD3111" s="111">
        <f t="shared" si="2264"/>
        <v>0</v>
      </c>
      <c r="CG3111" s="129" t="str">
        <f t="shared" si="2246"/>
        <v>N</v>
      </c>
      <c r="CI3111" s="129" t="str">
        <f t="shared" si="2248"/>
        <v>0-10 DAYS</v>
      </c>
      <c r="CJ3111" s="137">
        <f t="shared" si="2249"/>
        <v>1</v>
      </c>
      <c r="CK3111" s="129" t="str">
        <f t="shared" si="2250"/>
        <v>Not Booked</v>
      </c>
    </row>
    <row r="3112" spans="1:89" ht="15.75" customHeight="1" x14ac:dyDescent="0.25">
      <c r="A3112" s="111">
        <v>2810</v>
      </c>
      <c r="B3112" s="128" t="str">
        <f t="shared" si="2238"/>
        <v>N</v>
      </c>
      <c r="C3112" s="128" t="str">
        <f t="shared" si="2239"/>
        <v>N</v>
      </c>
      <c r="D3112" s="117">
        <v>2614073</v>
      </c>
      <c r="E3112" s="135">
        <f t="shared" si="2240"/>
        <v>6</v>
      </c>
      <c r="F3112" s="124">
        <v>41012</v>
      </c>
      <c r="G3112" s="125">
        <v>41416</v>
      </c>
      <c r="H3112" s="117">
        <v>2614073</v>
      </c>
      <c r="I3112" s="124">
        <v>41017</v>
      </c>
      <c r="J3112" s="124">
        <v>41035</v>
      </c>
      <c r="K3112" s="126">
        <v>30000</v>
      </c>
      <c r="L3112" s="129" t="s">
        <v>572</v>
      </c>
      <c r="M3112" s="125">
        <v>41035</v>
      </c>
      <c r="N3112" s="129" t="str">
        <f t="shared" ref="N3112:N3122" si="2265">IF(M3112&gt;1/1/1,"Y","N")</f>
        <v>Y</v>
      </c>
      <c r="O3112" s="128" t="s">
        <v>76</v>
      </c>
      <c r="P3112" s="129" t="s">
        <v>39</v>
      </c>
      <c r="Q3112" s="111">
        <f t="shared" si="2251"/>
        <v>19</v>
      </c>
      <c r="R3112" s="111">
        <f t="shared" si="2227"/>
        <v>405</v>
      </c>
      <c r="S3112" s="129">
        <v>0</v>
      </c>
      <c r="T3112" s="129">
        <v>0</v>
      </c>
      <c r="W3112" s="111"/>
      <c r="AC3112" s="130"/>
      <c r="AD3112" s="130">
        <v>28907</v>
      </c>
      <c r="AE3112" s="128" t="s">
        <v>32</v>
      </c>
      <c r="AF3112" s="128" t="s">
        <v>33</v>
      </c>
      <c r="AG3112" s="128" t="s">
        <v>872</v>
      </c>
      <c r="AH3112" s="108" t="s">
        <v>31</v>
      </c>
      <c r="AI3112" s="128" t="s">
        <v>118</v>
      </c>
      <c r="AJ3112" s="129" t="s">
        <v>89</v>
      </c>
      <c r="AK3112" s="129">
        <v>14</v>
      </c>
      <c r="AL3112" s="3" t="s">
        <v>362</v>
      </c>
      <c r="AM3112" s="117">
        <v>4</v>
      </c>
      <c r="AP3112" s="129" t="s">
        <v>287</v>
      </c>
      <c r="AR3112" s="128" t="s">
        <v>50</v>
      </c>
      <c r="AS3112" s="129" t="s">
        <v>45</v>
      </c>
      <c r="BC3112" s="129" t="s">
        <v>38</v>
      </c>
      <c r="BF3112" s="111">
        <f t="shared" ref="BF3112:BF3122" si="2266">IF(J3112&gt;1/1/1900,((J3112+1)-I3112),"STILL OPEN")</f>
        <v>19</v>
      </c>
      <c r="BG3112" s="111">
        <f t="shared" ref="BG3112:BG3122" si="2267">IF(G3112&gt;1/1/1900,((G3112+1)-I3112),"STILL OPEN")</f>
        <v>400</v>
      </c>
      <c r="BH3112" s="111">
        <f t="shared" si="2228"/>
        <v>405</v>
      </c>
      <c r="BI3112" s="111">
        <f t="shared" si="2231"/>
        <v>33.07377049180328</v>
      </c>
      <c r="BJ3112" s="129">
        <f t="shared" si="2262"/>
        <v>0</v>
      </c>
      <c r="BK3112" s="129">
        <f t="shared" si="2229"/>
        <v>-381</v>
      </c>
      <c r="BL3112" s="129" t="str">
        <f t="shared" si="2223"/>
        <v>CONVICTION</v>
      </c>
      <c r="BM3112" s="129" t="s">
        <v>76</v>
      </c>
      <c r="BN3112" s="129" t="s">
        <v>88</v>
      </c>
      <c r="BP3112" s="137" t="str">
        <f t="shared" si="2232"/>
        <v>CONVICTION</v>
      </c>
      <c r="BQ3112" s="128" t="str">
        <f t="shared" si="2241"/>
        <v>Y</v>
      </c>
      <c r="BR3112" s="129" t="str">
        <f>IF(J3112&lt;G3112,"ON BOND",0)</f>
        <v>ON BOND</v>
      </c>
      <c r="BS3112" s="129" t="str">
        <f t="shared" si="2234"/>
        <v>DISPOSED</v>
      </c>
      <c r="BT3112" s="129" t="str">
        <f t="shared" si="2235"/>
        <v>N</v>
      </c>
      <c r="BU3112" s="109">
        <f t="shared" si="2236"/>
        <v>4.6913580246913583E-2</v>
      </c>
      <c r="BV3112" s="109">
        <f t="shared" si="2242"/>
        <v>4.7500000000000001E-2</v>
      </c>
      <c r="BW3112" s="109">
        <f t="shared" si="2253"/>
        <v>5.8641975308641736E-4</v>
      </c>
      <c r="BX3112" s="111">
        <f t="shared" si="2237"/>
        <v>0</v>
      </c>
      <c r="BY3112" s="129">
        <f t="shared" si="2243"/>
        <v>-19</v>
      </c>
      <c r="BZ3112" s="111">
        <f t="shared" si="2244"/>
        <v>0</v>
      </c>
      <c r="CA3112" s="138">
        <f t="shared" si="2245"/>
        <v>19</v>
      </c>
      <c r="CB3112" s="111" t="e">
        <f t="shared" ref="CB3112:CB3122" si="2268">IF(AF3112&gt;1/1/1900,((AF3112+1)-AE3112),"STILL OPEN")</f>
        <v>#VALUE!</v>
      </c>
      <c r="CC3112" s="129">
        <f t="shared" si="2263"/>
        <v>19</v>
      </c>
      <c r="CD3112" s="111">
        <f t="shared" si="2264"/>
        <v>0</v>
      </c>
      <c r="CG3112" s="129" t="str">
        <f t="shared" si="2246"/>
        <v>N</v>
      </c>
      <c r="CI3112" s="129" t="str">
        <f t="shared" si="2248"/>
        <v>11-30 DAYS</v>
      </c>
      <c r="CJ3112" s="137">
        <f t="shared" si="2249"/>
        <v>2</v>
      </c>
      <c r="CK3112" s="129" t="str">
        <f t="shared" si="2250"/>
        <v>Booked</v>
      </c>
    </row>
    <row r="3113" spans="1:89" ht="15.75" customHeight="1" x14ac:dyDescent="0.25">
      <c r="A3113" s="111">
        <v>2807</v>
      </c>
      <c r="B3113" s="128" t="str">
        <f t="shared" si="2238"/>
        <v>N</v>
      </c>
      <c r="C3113" s="128" t="str">
        <f t="shared" si="2239"/>
        <v>N</v>
      </c>
      <c r="D3113" s="117">
        <v>2614081</v>
      </c>
      <c r="E3113" s="135">
        <f t="shared" si="2240"/>
        <v>2</v>
      </c>
      <c r="F3113" s="124">
        <v>41012</v>
      </c>
      <c r="G3113" s="125">
        <v>41102</v>
      </c>
      <c r="H3113" s="117">
        <v>2614081</v>
      </c>
      <c r="I3113" s="124">
        <v>41012</v>
      </c>
      <c r="J3113" s="124">
        <v>41020</v>
      </c>
      <c r="K3113" s="126">
        <v>5000</v>
      </c>
      <c r="L3113" s="127" t="s">
        <v>569</v>
      </c>
      <c r="M3113" s="125">
        <v>41020</v>
      </c>
      <c r="N3113" s="129" t="str">
        <f t="shared" si="2265"/>
        <v>Y</v>
      </c>
      <c r="O3113" s="128" t="s">
        <v>76</v>
      </c>
      <c r="P3113" s="129" t="s">
        <v>589</v>
      </c>
      <c r="Q3113" s="111">
        <f t="shared" si="2251"/>
        <v>9</v>
      </c>
      <c r="R3113" s="111">
        <f t="shared" si="2227"/>
        <v>91</v>
      </c>
      <c r="S3113" s="129">
        <v>0</v>
      </c>
      <c r="T3113" s="129">
        <v>0</v>
      </c>
      <c r="W3113" s="111"/>
      <c r="AC3113" s="130"/>
      <c r="AD3113" s="130">
        <v>26215</v>
      </c>
      <c r="AE3113" s="128" t="s">
        <v>32</v>
      </c>
      <c r="AF3113" s="128" t="s">
        <v>69</v>
      </c>
      <c r="AG3113" s="128" t="s">
        <v>874</v>
      </c>
      <c r="AH3113" s="108" t="s">
        <v>31</v>
      </c>
      <c r="AI3113" s="128" t="s">
        <v>34</v>
      </c>
      <c r="AJ3113" s="129" t="s">
        <v>48</v>
      </c>
      <c r="AK3113" s="129">
        <v>7</v>
      </c>
      <c r="AL3113" s="3" t="s">
        <v>48</v>
      </c>
      <c r="AP3113" s="129" t="s">
        <v>93</v>
      </c>
      <c r="AR3113" s="128" t="s">
        <v>67</v>
      </c>
      <c r="AS3113" s="129" t="s">
        <v>45</v>
      </c>
      <c r="BC3113" s="129" t="s">
        <v>38</v>
      </c>
      <c r="BF3113" s="111">
        <f t="shared" si="2266"/>
        <v>9</v>
      </c>
      <c r="BG3113" s="111">
        <f t="shared" si="2267"/>
        <v>91</v>
      </c>
      <c r="BH3113" s="111">
        <f t="shared" si="2228"/>
        <v>91</v>
      </c>
      <c r="BI3113" s="111">
        <f t="shared" si="2231"/>
        <v>40.428961748633881</v>
      </c>
      <c r="BJ3113" s="129">
        <f t="shared" si="2262"/>
        <v>0</v>
      </c>
      <c r="BK3113" s="129">
        <f t="shared" si="2229"/>
        <v>-82</v>
      </c>
      <c r="BL3113" s="129" t="str">
        <f t="shared" si="2223"/>
        <v>DEFERRED</v>
      </c>
      <c r="BM3113" s="129" t="s">
        <v>76</v>
      </c>
      <c r="BN3113" s="129" t="s">
        <v>88</v>
      </c>
      <c r="BP3113" s="137" t="str">
        <f t="shared" si="2232"/>
        <v>DEFERRED</v>
      </c>
      <c r="BQ3113" s="128" t="str">
        <f t="shared" si="2241"/>
        <v>Y</v>
      </c>
      <c r="BR3113" s="129" t="str">
        <f t="shared" si="2233"/>
        <v>ON BOND</v>
      </c>
      <c r="BS3113" s="129" t="str">
        <f t="shared" si="2234"/>
        <v>DISPOSED</v>
      </c>
      <c r="BT3113" s="129" t="str">
        <f t="shared" si="2235"/>
        <v>N</v>
      </c>
      <c r="BU3113" s="109">
        <f t="shared" si="2236"/>
        <v>9.8901098901098897E-2</v>
      </c>
      <c r="BV3113" s="109">
        <f t="shared" si="2242"/>
        <v>9.8901098901098897E-2</v>
      </c>
      <c r="BW3113" s="109">
        <f t="shared" si="2253"/>
        <v>0</v>
      </c>
      <c r="BX3113" s="111">
        <f t="shared" si="2237"/>
        <v>0</v>
      </c>
      <c r="BY3113" s="129">
        <f t="shared" si="2243"/>
        <v>-9</v>
      </c>
      <c r="BZ3113" s="111">
        <f t="shared" si="2244"/>
        <v>0</v>
      </c>
      <c r="CA3113" s="138">
        <f t="shared" si="2245"/>
        <v>9</v>
      </c>
      <c r="CB3113" s="111" t="e">
        <f t="shared" si="2268"/>
        <v>#VALUE!</v>
      </c>
      <c r="CC3113" s="129">
        <f t="shared" si="2263"/>
        <v>9</v>
      </c>
      <c r="CD3113" s="111">
        <f t="shared" si="2264"/>
        <v>0</v>
      </c>
      <c r="CG3113" s="129" t="str">
        <f t="shared" si="2246"/>
        <v>N</v>
      </c>
      <c r="CI3113" s="129" t="str">
        <f t="shared" si="2248"/>
        <v>0-10 DAYS</v>
      </c>
      <c r="CJ3113" s="137">
        <f t="shared" si="2249"/>
        <v>1</v>
      </c>
      <c r="CK3113" s="129" t="str">
        <f t="shared" si="2250"/>
        <v>Booked</v>
      </c>
    </row>
    <row r="3114" spans="1:89" ht="15.75" customHeight="1" x14ac:dyDescent="0.25">
      <c r="A3114" s="111">
        <v>2808</v>
      </c>
      <c r="B3114" s="128" t="str">
        <f t="shared" si="2238"/>
        <v>N</v>
      </c>
      <c r="C3114" s="128" t="str">
        <f t="shared" si="2239"/>
        <v>N</v>
      </c>
      <c r="D3114" s="117">
        <v>2614082</v>
      </c>
      <c r="E3114" s="135">
        <f t="shared" si="2240"/>
        <v>2</v>
      </c>
      <c r="F3114" s="124">
        <v>41012</v>
      </c>
      <c r="G3114" s="125">
        <v>41278</v>
      </c>
      <c r="H3114" s="117">
        <v>2614082</v>
      </c>
      <c r="I3114" s="124">
        <v>41016</v>
      </c>
      <c r="J3114" s="124">
        <v>41047</v>
      </c>
      <c r="K3114" s="126">
        <v>10000</v>
      </c>
      <c r="L3114" s="127" t="s">
        <v>570</v>
      </c>
      <c r="M3114" s="125">
        <v>41047</v>
      </c>
      <c r="N3114" s="129" t="str">
        <f t="shared" si="2265"/>
        <v>Y</v>
      </c>
      <c r="O3114" s="128" t="s">
        <v>76</v>
      </c>
      <c r="P3114" s="129" t="s">
        <v>589</v>
      </c>
      <c r="Q3114" s="111">
        <f t="shared" ref="Q3114:Q3145" si="2269">BF3114</f>
        <v>32</v>
      </c>
      <c r="R3114" s="111">
        <f t="shared" si="2227"/>
        <v>267</v>
      </c>
      <c r="S3114" s="129">
        <v>0</v>
      </c>
      <c r="T3114" s="129">
        <v>0</v>
      </c>
      <c r="W3114" s="111"/>
      <c r="AC3114" s="130"/>
      <c r="AD3114" s="130">
        <v>34447</v>
      </c>
      <c r="AE3114" s="128" t="s">
        <v>32</v>
      </c>
      <c r="AF3114" s="128" t="s">
        <v>69</v>
      </c>
      <c r="AG3114" s="128" t="s">
        <v>874</v>
      </c>
      <c r="AH3114" s="108" t="s">
        <v>31</v>
      </c>
      <c r="AI3114" s="128" t="s">
        <v>62</v>
      </c>
      <c r="AJ3114" s="129" t="s">
        <v>48</v>
      </c>
      <c r="AK3114" s="129">
        <v>11</v>
      </c>
      <c r="AL3114" s="3" t="s">
        <v>48</v>
      </c>
      <c r="AP3114" s="129" t="s">
        <v>56</v>
      </c>
      <c r="AR3114" s="128" t="s">
        <v>50</v>
      </c>
      <c r="AS3114" s="129" t="s">
        <v>57</v>
      </c>
      <c r="BC3114" s="129" t="s">
        <v>99</v>
      </c>
      <c r="BF3114" s="111">
        <f t="shared" si="2266"/>
        <v>32</v>
      </c>
      <c r="BG3114" s="111">
        <f t="shared" si="2267"/>
        <v>263</v>
      </c>
      <c r="BH3114" s="111">
        <f t="shared" si="2228"/>
        <v>267</v>
      </c>
      <c r="BI3114" s="111">
        <f t="shared" si="2231"/>
        <v>17.937158469945356</v>
      </c>
      <c r="BJ3114" s="129">
        <f t="shared" si="2262"/>
        <v>0</v>
      </c>
      <c r="BK3114" s="129">
        <f t="shared" si="2229"/>
        <v>-231</v>
      </c>
      <c r="BL3114" s="129" t="str">
        <f t="shared" si="2223"/>
        <v>DEFERRED</v>
      </c>
      <c r="BM3114" s="129" t="s">
        <v>76</v>
      </c>
      <c r="BN3114" s="129" t="s">
        <v>88</v>
      </c>
      <c r="BP3114" s="137" t="str">
        <f t="shared" si="2232"/>
        <v>DEFERRED</v>
      </c>
      <c r="BQ3114" s="128" t="str">
        <f t="shared" si="2241"/>
        <v>Y</v>
      </c>
      <c r="BR3114" s="129" t="str">
        <f t="shared" si="2233"/>
        <v>ON BOND</v>
      </c>
      <c r="BS3114" s="129" t="str">
        <f t="shared" si="2234"/>
        <v>DISPOSED</v>
      </c>
      <c r="BT3114" s="129" t="str">
        <f t="shared" si="2235"/>
        <v>N</v>
      </c>
      <c r="BU3114" s="109">
        <f t="shared" si="2236"/>
        <v>0.1198501872659176</v>
      </c>
      <c r="BV3114" s="109">
        <f t="shared" si="2242"/>
        <v>0.12167300380228137</v>
      </c>
      <c r="BW3114" s="109">
        <f t="shared" si="2253"/>
        <v>1.8228165363637638E-3</v>
      </c>
      <c r="BX3114" s="111">
        <f t="shared" si="2237"/>
        <v>0</v>
      </c>
      <c r="BY3114" s="129">
        <f t="shared" si="2243"/>
        <v>-32</v>
      </c>
      <c r="BZ3114" s="111">
        <f t="shared" si="2244"/>
        <v>0</v>
      </c>
      <c r="CA3114" s="138">
        <f t="shared" si="2245"/>
        <v>32</v>
      </c>
      <c r="CB3114" s="111" t="e">
        <f t="shared" si="2268"/>
        <v>#VALUE!</v>
      </c>
      <c r="CC3114" s="129">
        <f t="shared" si="2263"/>
        <v>32</v>
      </c>
      <c r="CD3114" s="111">
        <f t="shared" si="2264"/>
        <v>0</v>
      </c>
      <c r="CG3114" s="129" t="str">
        <f t="shared" si="2246"/>
        <v>N</v>
      </c>
      <c r="CI3114" s="129" t="str">
        <f t="shared" si="2248"/>
        <v>31-60 DAYS</v>
      </c>
      <c r="CJ3114" s="137">
        <f t="shared" si="2249"/>
        <v>3</v>
      </c>
      <c r="CK3114" s="129" t="str">
        <f t="shared" si="2250"/>
        <v>Booked</v>
      </c>
    </row>
    <row r="3115" spans="1:89" ht="15.75" customHeight="1" x14ac:dyDescent="0.25">
      <c r="A3115" s="111">
        <v>2811</v>
      </c>
      <c r="B3115" s="128" t="str">
        <f t="shared" si="2238"/>
        <v>N</v>
      </c>
      <c r="C3115" s="128" t="str">
        <f t="shared" si="2239"/>
        <v>N</v>
      </c>
      <c r="D3115" s="117">
        <v>2614092</v>
      </c>
      <c r="E3115" s="135">
        <f t="shared" si="2240"/>
        <v>2</v>
      </c>
      <c r="F3115" s="124">
        <v>41013</v>
      </c>
      <c r="G3115" s="125">
        <v>41075</v>
      </c>
      <c r="H3115" s="117">
        <v>2614092</v>
      </c>
      <c r="I3115" s="124">
        <v>41012</v>
      </c>
      <c r="J3115" s="124">
        <v>41022</v>
      </c>
      <c r="K3115" s="126">
        <v>10000</v>
      </c>
      <c r="L3115" s="127" t="s">
        <v>570</v>
      </c>
      <c r="M3115" s="125">
        <v>41022</v>
      </c>
      <c r="N3115" s="129" t="str">
        <f t="shared" si="2265"/>
        <v>Y</v>
      </c>
      <c r="O3115" s="128" t="s">
        <v>76</v>
      </c>
      <c r="P3115" s="129" t="s">
        <v>589</v>
      </c>
      <c r="Q3115" s="111">
        <f t="shared" si="2269"/>
        <v>11</v>
      </c>
      <c r="R3115" s="111">
        <f t="shared" si="2227"/>
        <v>63</v>
      </c>
      <c r="S3115" s="129">
        <v>0</v>
      </c>
      <c r="T3115" s="129">
        <v>0</v>
      </c>
      <c r="W3115" s="111"/>
      <c r="AC3115" s="130"/>
      <c r="AD3115" s="130">
        <v>34309</v>
      </c>
      <c r="AE3115" s="128" t="s">
        <v>32</v>
      </c>
      <c r="AF3115" s="128" t="s">
        <v>33</v>
      </c>
      <c r="AG3115" s="128" t="s">
        <v>872</v>
      </c>
      <c r="AH3115" s="108" t="s">
        <v>31</v>
      </c>
      <c r="AI3115" s="128" t="s">
        <v>70</v>
      </c>
      <c r="AJ3115" s="129" t="s">
        <v>48</v>
      </c>
      <c r="AK3115" s="129">
        <v>5</v>
      </c>
      <c r="AL3115" s="3" t="s">
        <v>48</v>
      </c>
      <c r="AP3115" s="129" t="s">
        <v>56</v>
      </c>
      <c r="AR3115" s="128" t="s">
        <v>50</v>
      </c>
      <c r="AS3115" s="129" t="s">
        <v>57</v>
      </c>
      <c r="BC3115" s="129" t="s">
        <v>38</v>
      </c>
      <c r="BF3115" s="111">
        <f t="shared" si="2266"/>
        <v>11</v>
      </c>
      <c r="BG3115" s="111">
        <f t="shared" si="2267"/>
        <v>64</v>
      </c>
      <c r="BH3115" s="111">
        <f t="shared" si="2228"/>
        <v>63</v>
      </c>
      <c r="BI3115" s="111">
        <f t="shared" si="2231"/>
        <v>18.316939890710383</v>
      </c>
      <c r="BJ3115" s="129">
        <f t="shared" si="2262"/>
        <v>0</v>
      </c>
      <c r="BK3115" s="129">
        <f t="shared" si="2229"/>
        <v>-53</v>
      </c>
      <c r="BL3115" s="129" t="str">
        <f t="shared" si="2223"/>
        <v>DEFERRED</v>
      </c>
      <c r="BM3115" s="129" t="s">
        <v>76</v>
      </c>
      <c r="BN3115" s="129" t="s">
        <v>88</v>
      </c>
      <c r="BP3115" s="137" t="str">
        <f t="shared" si="2232"/>
        <v>DEFERRED</v>
      </c>
      <c r="BQ3115" s="128" t="str">
        <f t="shared" si="2241"/>
        <v>Y</v>
      </c>
      <c r="BR3115" s="129" t="str">
        <f t="shared" si="2233"/>
        <v>ON BOND</v>
      </c>
      <c r="BS3115" s="129" t="str">
        <f t="shared" si="2234"/>
        <v>DISPOSED</v>
      </c>
      <c r="BT3115" s="129" t="str">
        <f t="shared" si="2235"/>
        <v>N</v>
      </c>
      <c r="BU3115" s="109">
        <f t="shared" si="2236"/>
        <v>0.17460317460317459</v>
      </c>
      <c r="BV3115" s="109">
        <f t="shared" si="2242"/>
        <v>0.17460317460317459</v>
      </c>
      <c r="BW3115" s="109">
        <f t="shared" si="2253"/>
        <v>0</v>
      </c>
      <c r="BX3115" s="111">
        <f t="shared" si="2237"/>
        <v>0</v>
      </c>
      <c r="BY3115" s="129">
        <f t="shared" si="2243"/>
        <v>-11</v>
      </c>
      <c r="BZ3115" s="111">
        <f t="shared" si="2244"/>
        <v>0</v>
      </c>
      <c r="CA3115" s="138">
        <f t="shared" si="2245"/>
        <v>11</v>
      </c>
      <c r="CB3115" s="111" t="e">
        <f t="shared" si="2268"/>
        <v>#VALUE!</v>
      </c>
      <c r="CC3115" s="129">
        <f t="shared" si="2263"/>
        <v>11</v>
      </c>
      <c r="CD3115" s="111">
        <f t="shared" si="2264"/>
        <v>0</v>
      </c>
      <c r="CG3115" s="129" t="str">
        <f t="shared" si="2246"/>
        <v>N</v>
      </c>
      <c r="CI3115" s="129" t="str">
        <f t="shared" si="2248"/>
        <v>11-30 DAYS</v>
      </c>
      <c r="CJ3115" s="137">
        <f t="shared" si="2249"/>
        <v>2</v>
      </c>
      <c r="CK3115" s="129" t="str">
        <f t="shared" si="2250"/>
        <v>Booked</v>
      </c>
    </row>
    <row r="3116" spans="1:89" ht="15.75" customHeight="1" x14ac:dyDescent="0.25">
      <c r="A3116" s="111">
        <v>2823</v>
      </c>
      <c r="B3116" s="128" t="str">
        <f t="shared" si="2238"/>
        <v>N</v>
      </c>
      <c r="C3116" s="128" t="str">
        <f t="shared" si="2239"/>
        <v>N</v>
      </c>
      <c r="D3116" s="117">
        <v>2614106</v>
      </c>
      <c r="E3116" s="135">
        <f t="shared" si="2240"/>
        <v>6</v>
      </c>
      <c r="F3116" s="124">
        <v>41012</v>
      </c>
      <c r="G3116" s="125">
        <v>41304</v>
      </c>
      <c r="H3116" s="117">
        <v>2614106</v>
      </c>
      <c r="I3116" s="124">
        <v>41012</v>
      </c>
      <c r="J3116" s="124">
        <v>41015</v>
      </c>
      <c r="K3116" s="126">
        <v>10000</v>
      </c>
      <c r="L3116" s="127" t="s">
        <v>570</v>
      </c>
      <c r="M3116" s="125">
        <v>41015</v>
      </c>
      <c r="N3116" s="129" t="str">
        <f t="shared" si="2265"/>
        <v>Y</v>
      </c>
      <c r="O3116" s="128" t="s">
        <v>76</v>
      </c>
      <c r="P3116" s="129" t="s">
        <v>39</v>
      </c>
      <c r="Q3116" s="111">
        <f t="shared" si="2269"/>
        <v>4</v>
      </c>
      <c r="R3116" s="111">
        <f t="shared" si="2227"/>
        <v>293</v>
      </c>
      <c r="S3116" s="129">
        <v>0</v>
      </c>
      <c r="T3116" s="129">
        <v>0</v>
      </c>
      <c r="W3116" s="111"/>
      <c r="AB3116" s="131" t="s">
        <v>112</v>
      </c>
      <c r="AC3116" s="130"/>
      <c r="AD3116" s="130">
        <v>34555</v>
      </c>
      <c r="AE3116" s="128" t="s">
        <v>32</v>
      </c>
      <c r="AF3116" s="128" t="s">
        <v>40</v>
      </c>
      <c r="AG3116" s="128" t="s">
        <v>41</v>
      </c>
      <c r="AH3116" s="108" t="s">
        <v>31</v>
      </c>
      <c r="AI3116" s="128" t="s">
        <v>47</v>
      </c>
      <c r="AJ3116" s="129" t="s">
        <v>89</v>
      </c>
      <c r="AK3116" s="129">
        <v>12</v>
      </c>
      <c r="AL3116" s="3" t="s">
        <v>362</v>
      </c>
      <c r="AM3116" s="117">
        <v>2</v>
      </c>
      <c r="AP3116" s="129" t="s">
        <v>56</v>
      </c>
      <c r="AR3116" s="128" t="s">
        <v>50</v>
      </c>
      <c r="AS3116" s="129" t="s">
        <v>57</v>
      </c>
      <c r="BC3116" s="129" t="s">
        <v>52</v>
      </c>
      <c r="BF3116" s="111">
        <f t="shared" si="2266"/>
        <v>4</v>
      </c>
      <c r="BG3116" s="111">
        <f t="shared" si="2267"/>
        <v>293</v>
      </c>
      <c r="BH3116" s="111">
        <f t="shared" si="2228"/>
        <v>293</v>
      </c>
      <c r="BI3116" s="111">
        <f t="shared" si="2231"/>
        <v>17.642076502732241</v>
      </c>
      <c r="BJ3116" s="129">
        <f t="shared" si="2262"/>
        <v>0</v>
      </c>
      <c r="BK3116" s="129">
        <f t="shared" si="2229"/>
        <v>-289</v>
      </c>
      <c r="BL3116" s="129" t="str">
        <f t="shared" si="2223"/>
        <v>CONVICTION</v>
      </c>
      <c r="BM3116" s="129" t="s">
        <v>76</v>
      </c>
      <c r="BN3116" s="129" t="s">
        <v>88</v>
      </c>
      <c r="BP3116" s="137" t="str">
        <f t="shared" si="2232"/>
        <v>CONVICTION</v>
      </c>
      <c r="BQ3116" s="128" t="str">
        <f t="shared" si="2241"/>
        <v>Y</v>
      </c>
      <c r="BR3116" s="129" t="str">
        <f>IF(J3116&lt;G3116,"ON BOND",0)</f>
        <v>ON BOND</v>
      </c>
      <c r="BS3116" s="129" t="str">
        <f t="shared" si="2234"/>
        <v>DISPOSED</v>
      </c>
      <c r="BT3116" s="129" t="str">
        <f t="shared" si="2235"/>
        <v>N</v>
      </c>
      <c r="BU3116" s="109">
        <f t="shared" si="2236"/>
        <v>1.3651877133105802E-2</v>
      </c>
      <c r="BV3116" s="109">
        <f t="shared" si="2242"/>
        <v>1.3651877133105802E-2</v>
      </c>
      <c r="BW3116" s="109">
        <f t="shared" si="2253"/>
        <v>0</v>
      </c>
      <c r="BX3116" s="111">
        <f t="shared" si="2237"/>
        <v>0</v>
      </c>
      <c r="BY3116" s="129">
        <f t="shared" si="2243"/>
        <v>-4</v>
      </c>
      <c r="BZ3116" s="111">
        <f t="shared" si="2244"/>
        <v>0</v>
      </c>
      <c r="CA3116" s="138">
        <f t="shared" si="2245"/>
        <v>4</v>
      </c>
      <c r="CB3116" s="111" t="e">
        <f t="shared" si="2268"/>
        <v>#VALUE!</v>
      </c>
      <c r="CC3116" s="129">
        <f t="shared" si="2263"/>
        <v>4</v>
      </c>
      <c r="CD3116" s="111">
        <f t="shared" si="2264"/>
        <v>0</v>
      </c>
      <c r="CG3116" s="129" t="str">
        <f t="shared" si="2246"/>
        <v>N</v>
      </c>
      <c r="CI3116" s="129" t="str">
        <f t="shared" si="2248"/>
        <v>0-10 DAYS</v>
      </c>
      <c r="CJ3116" s="137">
        <f t="shared" si="2249"/>
        <v>1</v>
      </c>
      <c r="CK3116" s="129" t="str">
        <f t="shared" si="2250"/>
        <v>Booked</v>
      </c>
    </row>
    <row r="3117" spans="1:89" ht="15.75" customHeight="1" x14ac:dyDescent="0.25">
      <c r="A3117" s="111">
        <v>2842</v>
      </c>
      <c r="B3117" s="128" t="str">
        <f t="shared" si="2238"/>
        <v>N</v>
      </c>
      <c r="C3117" s="128" t="str">
        <f t="shared" si="2239"/>
        <v>N</v>
      </c>
      <c r="D3117" s="117">
        <v>2614219</v>
      </c>
      <c r="E3117" s="135">
        <f t="shared" si="2240"/>
        <v>6</v>
      </c>
      <c r="F3117" s="124">
        <v>41013</v>
      </c>
      <c r="G3117" s="125">
        <v>41198</v>
      </c>
      <c r="H3117" s="117">
        <v>2614219</v>
      </c>
      <c r="I3117" s="124">
        <v>41014</v>
      </c>
      <c r="J3117" s="124">
        <v>41198</v>
      </c>
      <c r="K3117" s="126">
        <v>30000</v>
      </c>
      <c r="L3117" s="129" t="s">
        <v>572</v>
      </c>
      <c r="N3117" s="129" t="str">
        <f t="shared" si="2265"/>
        <v>N</v>
      </c>
      <c r="O3117" s="128" t="s">
        <v>917</v>
      </c>
      <c r="P3117" s="129" t="s">
        <v>39</v>
      </c>
      <c r="Q3117" s="111">
        <f t="shared" si="2269"/>
        <v>185</v>
      </c>
      <c r="R3117" s="111">
        <f t="shared" si="2227"/>
        <v>186</v>
      </c>
      <c r="S3117" s="129">
        <v>0</v>
      </c>
      <c r="T3117" s="129">
        <v>1</v>
      </c>
      <c r="W3117" s="111"/>
      <c r="AC3117" s="130"/>
      <c r="AD3117" s="130">
        <v>34680</v>
      </c>
      <c r="AE3117" s="128" t="s">
        <v>32</v>
      </c>
      <c r="AF3117" s="128" t="s">
        <v>69</v>
      </c>
      <c r="AG3117" s="128" t="s">
        <v>874</v>
      </c>
      <c r="AH3117" s="108" t="s">
        <v>31</v>
      </c>
      <c r="AI3117" s="128" t="s">
        <v>65</v>
      </c>
      <c r="AJ3117" s="129" t="s">
        <v>89</v>
      </c>
      <c r="AK3117" s="129">
        <v>9</v>
      </c>
      <c r="AL3117" s="3" t="s">
        <v>362</v>
      </c>
      <c r="AM3117" s="117">
        <v>3</v>
      </c>
      <c r="AP3117" s="129" t="s">
        <v>73</v>
      </c>
      <c r="AR3117" s="128" t="s">
        <v>50</v>
      </c>
      <c r="AS3117" s="129" t="s">
        <v>74</v>
      </c>
      <c r="BC3117" s="129" t="s">
        <v>38</v>
      </c>
      <c r="BF3117" s="111">
        <f t="shared" si="2266"/>
        <v>185</v>
      </c>
      <c r="BG3117" s="111">
        <f t="shared" si="2267"/>
        <v>185</v>
      </c>
      <c r="BH3117" s="111">
        <f t="shared" si="2228"/>
        <v>186</v>
      </c>
      <c r="BI3117" s="111">
        <f t="shared" si="2231"/>
        <v>17.303278688524589</v>
      </c>
      <c r="BJ3117" s="129">
        <f>G3117-J3117-M3117</f>
        <v>0</v>
      </c>
      <c r="BK3117" s="129">
        <f t="shared" si="2229"/>
        <v>0</v>
      </c>
      <c r="BL3117" s="129" t="str">
        <f t="shared" si="2223"/>
        <v>CONVICTION</v>
      </c>
      <c r="BM3117" s="129" t="str">
        <f>O3117</f>
        <v>NONE</v>
      </c>
      <c r="BN3117" s="129" t="s">
        <v>566</v>
      </c>
      <c r="BP3117" s="137" t="str">
        <f t="shared" si="2232"/>
        <v>CONVICTION</v>
      </c>
      <c r="BQ3117" s="128" t="str">
        <f t="shared" si="2241"/>
        <v>Y</v>
      </c>
      <c r="BR3117" s="129" t="str">
        <f t="shared" si="2233"/>
        <v>DETAINED</v>
      </c>
      <c r="BS3117" s="129" t="str">
        <f t="shared" si="2234"/>
        <v>DISPOSED</v>
      </c>
      <c r="BT3117" s="129" t="str">
        <f t="shared" si="2235"/>
        <v>N</v>
      </c>
      <c r="BU3117" s="109">
        <f t="shared" si="2236"/>
        <v>0.9946236559139785</v>
      </c>
      <c r="BV3117" s="109">
        <f t="shared" si="2242"/>
        <v>1</v>
      </c>
      <c r="BW3117" s="109">
        <f t="shared" si="2253"/>
        <v>5.3763440860215006E-3</v>
      </c>
      <c r="BX3117" s="111">
        <f t="shared" si="2237"/>
        <v>0</v>
      </c>
      <c r="BY3117" s="129">
        <f t="shared" si="2243"/>
        <v>-185</v>
      </c>
      <c r="BZ3117" s="111">
        <f t="shared" si="2244"/>
        <v>0</v>
      </c>
      <c r="CA3117" s="138">
        <f t="shared" si="2245"/>
        <v>185</v>
      </c>
      <c r="CB3117" s="111" t="e">
        <f t="shared" si="2268"/>
        <v>#VALUE!</v>
      </c>
      <c r="CC3117" s="129">
        <f>G3117-I3117+1</f>
        <v>185</v>
      </c>
      <c r="CD3117" s="129">
        <f>G3117-J3117</f>
        <v>0</v>
      </c>
      <c r="CG3117" s="129" t="str">
        <f t="shared" si="2246"/>
        <v>Y</v>
      </c>
      <c r="CI3117" s="129" t="str">
        <f t="shared" si="2248"/>
        <v>121-365 DAYS</v>
      </c>
      <c r="CJ3117" s="137">
        <f t="shared" si="2249"/>
        <v>6</v>
      </c>
      <c r="CK3117" s="129" t="str">
        <f t="shared" si="2250"/>
        <v>Booked</v>
      </c>
    </row>
    <row r="3118" spans="1:89" ht="15.75" customHeight="1" x14ac:dyDescent="0.25">
      <c r="A3118" s="111">
        <v>2843</v>
      </c>
      <c r="B3118" s="128" t="str">
        <f t="shared" si="2238"/>
        <v>N</v>
      </c>
      <c r="C3118" s="128" t="str">
        <f t="shared" si="2239"/>
        <v>N</v>
      </c>
      <c r="D3118" s="117">
        <v>2614231</v>
      </c>
      <c r="E3118" s="135">
        <f t="shared" si="2240"/>
        <v>1</v>
      </c>
      <c r="F3118" s="124">
        <v>41014</v>
      </c>
      <c r="G3118" s="125">
        <v>41158</v>
      </c>
      <c r="H3118" s="117">
        <v>2614231</v>
      </c>
      <c r="I3118" s="124">
        <v>41014</v>
      </c>
      <c r="J3118" s="124">
        <v>41015</v>
      </c>
      <c r="K3118" s="126">
        <v>2000</v>
      </c>
      <c r="L3118" s="127" t="s">
        <v>568</v>
      </c>
      <c r="M3118" s="125">
        <v>41015</v>
      </c>
      <c r="N3118" s="129" t="str">
        <f t="shared" si="2265"/>
        <v>Y</v>
      </c>
      <c r="O3118" s="128" t="s">
        <v>76</v>
      </c>
      <c r="P3118" s="129" t="s">
        <v>55</v>
      </c>
      <c r="Q3118" s="111">
        <f t="shared" si="2269"/>
        <v>2</v>
      </c>
      <c r="R3118" s="111">
        <f t="shared" si="2227"/>
        <v>145</v>
      </c>
      <c r="S3118" s="129">
        <v>0</v>
      </c>
      <c r="T3118" s="129">
        <v>0</v>
      </c>
      <c r="W3118" s="111"/>
      <c r="AB3118" s="131" t="s">
        <v>112</v>
      </c>
      <c r="AC3118" s="130"/>
      <c r="AD3118" s="130">
        <v>26781</v>
      </c>
      <c r="AE3118" s="128" t="s">
        <v>32</v>
      </c>
      <c r="AF3118" s="128" t="s">
        <v>40</v>
      </c>
      <c r="AG3118" s="128" t="s">
        <v>41</v>
      </c>
      <c r="AH3118" s="108" t="s">
        <v>31</v>
      </c>
      <c r="AI3118" s="128" t="s">
        <v>83</v>
      </c>
      <c r="AJ3118" s="129" t="s">
        <v>55</v>
      </c>
      <c r="AK3118" s="129">
        <v>6</v>
      </c>
      <c r="AL3118" s="3" t="s">
        <v>55</v>
      </c>
      <c r="AP3118" s="129" t="s">
        <v>43</v>
      </c>
      <c r="AR3118" s="128" t="s">
        <v>44</v>
      </c>
      <c r="AS3118" s="129" t="s">
        <v>45</v>
      </c>
      <c r="BC3118" s="129" t="s">
        <v>52</v>
      </c>
      <c r="BF3118" s="111">
        <f t="shared" si="2266"/>
        <v>2</v>
      </c>
      <c r="BG3118" s="111">
        <f t="shared" si="2267"/>
        <v>145</v>
      </c>
      <c r="BH3118" s="111">
        <f t="shared" si="2228"/>
        <v>145</v>
      </c>
      <c r="BI3118" s="111">
        <f t="shared" si="2231"/>
        <v>38.887978142076506</v>
      </c>
      <c r="BJ3118" s="129">
        <f>(G3118-J3118)+(M3118-G3118)</f>
        <v>0</v>
      </c>
      <c r="BK3118" s="129">
        <f t="shared" si="2229"/>
        <v>-143</v>
      </c>
      <c r="BL3118" s="129" t="str">
        <f t="shared" si="2223"/>
        <v>NO CONVICTION</v>
      </c>
      <c r="BM3118" s="129" t="s">
        <v>76</v>
      </c>
      <c r="BN3118" s="129" t="s">
        <v>88</v>
      </c>
      <c r="BP3118" s="137" t="str">
        <f t="shared" si="2232"/>
        <v>NO CONVICTION</v>
      </c>
      <c r="BQ3118" s="128" t="str">
        <f t="shared" si="2241"/>
        <v>Y</v>
      </c>
      <c r="BR3118" s="129" t="str">
        <f t="shared" si="2233"/>
        <v>ON BOND</v>
      </c>
      <c r="BS3118" s="129" t="str">
        <f t="shared" si="2234"/>
        <v>DISPOSED</v>
      </c>
      <c r="BT3118" s="129" t="str">
        <f t="shared" si="2235"/>
        <v>N</v>
      </c>
      <c r="BU3118" s="109">
        <f>IFERROR(Q3118/R3118,BR3118)</f>
        <v>1.3793103448275862E-2</v>
      </c>
      <c r="BV3118" s="109">
        <f t="shared" si="2242"/>
        <v>1.3793103448275862E-2</v>
      </c>
      <c r="BW3118" s="109">
        <f t="shared" si="2253"/>
        <v>0</v>
      </c>
      <c r="BX3118" s="111">
        <f t="shared" si="2237"/>
        <v>0</v>
      </c>
      <c r="BY3118" s="129">
        <f t="shared" si="2243"/>
        <v>-2</v>
      </c>
      <c r="BZ3118" s="111">
        <f t="shared" si="2244"/>
        <v>0</v>
      </c>
      <c r="CA3118" s="138">
        <f t="shared" si="2245"/>
        <v>2</v>
      </c>
      <c r="CB3118" s="111" t="e">
        <f t="shared" si="2268"/>
        <v>#VALUE!</v>
      </c>
      <c r="CC3118" s="129">
        <f>M3118-I3118+1</f>
        <v>2</v>
      </c>
      <c r="CD3118" s="111">
        <f>CC3118-BF3118</f>
        <v>0</v>
      </c>
      <c r="CG3118" s="129" t="str">
        <f t="shared" si="2246"/>
        <v>N</v>
      </c>
      <c r="CI3118" s="129" t="str">
        <f t="shared" si="2248"/>
        <v>0-10 DAYS</v>
      </c>
      <c r="CJ3118" s="137">
        <f t="shared" si="2249"/>
        <v>1</v>
      </c>
      <c r="CK3118" s="129" t="str">
        <f t="shared" si="2250"/>
        <v>Booked</v>
      </c>
    </row>
    <row r="3119" spans="1:89" ht="15.75" customHeight="1" x14ac:dyDescent="0.25">
      <c r="A3119" s="111">
        <v>2849</v>
      </c>
      <c r="B3119" s="128" t="str">
        <f t="shared" si="2238"/>
        <v>N</v>
      </c>
      <c r="C3119" s="128" t="str">
        <f t="shared" si="2239"/>
        <v>N</v>
      </c>
      <c r="D3119" s="117">
        <v>2614245</v>
      </c>
      <c r="E3119" s="135">
        <f t="shared" si="2240"/>
        <v>1</v>
      </c>
      <c r="F3119" s="124">
        <v>41014</v>
      </c>
      <c r="G3119" s="125">
        <v>41099</v>
      </c>
      <c r="H3119" s="117">
        <v>2614245</v>
      </c>
      <c r="I3119" s="124">
        <v>41014</v>
      </c>
      <c r="J3119" s="124">
        <v>41015</v>
      </c>
      <c r="K3119" s="126">
        <v>5000</v>
      </c>
      <c r="L3119" s="127" t="s">
        <v>569</v>
      </c>
      <c r="M3119" s="125">
        <v>41015</v>
      </c>
      <c r="N3119" s="129" t="str">
        <f t="shared" si="2265"/>
        <v>Y</v>
      </c>
      <c r="O3119" s="128" t="s">
        <v>76</v>
      </c>
      <c r="P3119" s="129" t="s">
        <v>55</v>
      </c>
      <c r="Q3119" s="111">
        <f t="shared" si="2269"/>
        <v>2</v>
      </c>
      <c r="R3119" s="111">
        <f t="shared" si="2227"/>
        <v>86</v>
      </c>
      <c r="S3119" s="129">
        <v>0</v>
      </c>
      <c r="T3119" s="129">
        <v>0</v>
      </c>
      <c r="W3119" s="111"/>
      <c r="AB3119" s="131" t="s">
        <v>112</v>
      </c>
      <c r="AC3119" s="130"/>
      <c r="AD3119" s="130">
        <v>33670</v>
      </c>
      <c r="AE3119" s="128" t="s">
        <v>46</v>
      </c>
      <c r="AF3119" s="128" t="s">
        <v>40</v>
      </c>
      <c r="AG3119" s="128" t="s">
        <v>41</v>
      </c>
      <c r="AH3119" s="108" t="s">
        <v>31</v>
      </c>
      <c r="AI3119" s="128" t="s">
        <v>87</v>
      </c>
      <c r="AJ3119" s="129" t="s">
        <v>55</v>
      </c>
      <c r="AK3119" s="129">
        <v>4</v>
      </c>
      <c r="AL3119" s="3" t="s">
        <v>55</v>
      </c>
      <c r="AP3119" s="129" t="s">
        <v>43</v>
      </c>
      <c r="AR3119" s="128" t="s">
        <v>44</v>
      </c>
      <c r="AS3119" s="129" t="s">
        <v>45</v>
      </c>
      <c r="BC3119" s="129" t="s">
        <v>52</v>
      </c>
      <c r="BF3119" s="111">
        <f t="shared" si="2266"/>
        <v>2</v>
      </c>
      <c r="BG3119" s="111">
        <f t="shared" si="2267"/>
        <v>86</v>
      </c>
      <c r="BH3119" s="111">
        <f t="shared" si="2228"/>
        <v>86</v>
      </c>
      <c r="BI3119" s="111">
        <f t="shared" si="2231"/>
        <v>20.065573770491802</v>
      </c>
      <c r="BJ3119" s="129">
        <f>(G3119-J3119)+(M3119-G3119)</f>
        <v>0</v>
      </c>
      <c r="BK3119" s="129">
        <f t="shared" si="2229"/>
        <v>-84</v>
      </c>
      <c r="BL3119" s="129" t="str">
        <f t="shared" si="2223"/>
        <v>NO CONVICTION</v>
      </c>
      <c r="BM3119" s="129" t="s">
        <v>76</v>
      </c>
      <c r="BN3119" s="129" t="s">
        <v>88</v>
      </c>
      <c r="BP3119" s="137" t="str">
        <f t="shared" si="2232"/>
        <v>NO CONVICTION</v>
      </c>
      <c r="BQ3119" s="128" t="str">
        <f t="shared" si="2241"/>
        <v>Y</v>
      </c>
      <c r="BR3119" s="129" t="str">
        <f t="shared" si="2233"/>
        <v>ON BOND</v>
      </c>
      <c r="BS3119" s="129" t="str">
        <f t="shared" si="2234"/>
        <v>DISPOSED</v>
      </c>
      <c r="BT3119" s="129" t="str">
        <f t="shared" si="2235"/>
        <v>N</v>
      </c>
      <c r="BU3119" s="109">
        <f>IFERROR(Q3119/R3119,BR3119)</f>
        <v>2.3255813953488372E-2</v>
      </c>
      <c r="BV3119" s="109">
        <f t="shared" si="2242"/>
        <v>2.3255813953488372E-2</v>
      </c>
      <c r="BW3119" s="109">
        <f t="shared" si="2253"/>
        <v>0</v>
      </c>
      <c r="BX3119" s="111">
        <f t="shared" si="2237"/>
        <v>0</v>
      </c>
      <c r="BY3119" s="129">
        <f t="shared" si="2243"/>
        <v>-2</v>
      </c>
      <c r="BZ3119" s="111">
        <f t="shared" si="2244"/>
        <v>0</v>
      </c>
      <c r="CA3119" s="138">
        <f t="shared" si="2245"/>
        <v>2</v>
      </c>
      <c r="CB3119" s="111" t="e">
        <f t="shared" si="2268"/>
        <v>#VALUE!</v>
      </c>
      <c r="CC3119" s="129">
        <f>M3119-I3119+1</f>
        <v>2</v>
      </c>
      <c r="CD3119" s="111">
        <f>CC3119-BF3119</f>
        <v>0</v>
      </c>
      <c r="CG3119" s="129" t="str">
        <f t="shared" si="2246"/>
        <v>N</v>
      </c>
      <c r="CI3119" s="129" t="str">
        <f t="shared" si="2248"/>
        <v>0-10 DAYS</v>
      </c>
      <c r="CJ3119" s="137">
        <f t="shared" si="2249"/>
        <v>1</v>
      </c>
      <c r="CK3119" s="129" t="str">
        <f t="shared" si="2250"/>
        <v>Booked</v>
      </c>
    </row>
    <row r="3120" spans="1:89" ht="15" customHeight="1" x14ac:dyDescent="0.25">
      <c r="A3120" s="111">
        <v>2850</v>
      </c>
      <c r="B3120" s="128" t="str">
        <f t="shared" si="2238"/>
        <v>N</v>
      </c>
      <c r="C3120" s="128" t="str">
        <f t="shared" si="2239"/>
        <v>N</v>
      </c>
      <c r="D3120" s="117">
        <v>2614253</v>
      </c>
      <c r="E3120" s="135">
        <f t="shared" si="2240"/>
        <v>2</v>
      </c>
      <c r="F3120" s="124">
        <v>41014</v>
      </c>
      <c r="G3120" s="125">
        <v>41185</v>
      </c>
      <c r="H3120" s="117">
        <v>2614253</v>
      </c>
      <c r="I3120" s="124">
        <v>41014</v>
      </c>
      <c r="J3120" s="124">
        <v>41015</v>
      </c>
      <c r="K3120" s="126">
        <v>5000</v>
      </c>
      <c r="L3120" s="127" t="s">
        <v>569</v>
      </c>
      <c r="M3120" s="125">
        <v>41015</v>
      </c>
      <c r="N3120" s="129" t="str">
        <f t="shared" si="2265"/>
        <v>Y</v>
      </c>
      <c r="O3120" s="128" t="s">
        <v>76</v>
      </c>
      <c r="P3120" s="129" t="s">
        <v>589</v>
      </c>
      <c r="Q3120" s="111">
        <f t="shared" si="2269"/>
        <v>2</v>
      </c>
      <c r="R3120" s="111">
        <f t="shared" si="2227"/>
        <v>172</v>
      </c>
      <c r="S3120" s="129">
        <v>0</v>
      </c>
      <c r="T3120" s="129">
        <v>0</v>
      </c>
      <c r="W3120" s="111"/>
      <c r="AB3120" s="131" t="s">
        <v>112</v>
      </c>
      <c r="AC3120" s="130"/>
      <c r="AD3120" s="130">
        <v>33046</v>
      </c>
      <c r="AE3120" s="128" t="s">
        <v>46</v>
      </c>
      <c r="AF3120" s="128" t="s">
        <v>40</v>
      </c>
      <c r="AG3120" s="128" t="s">
        <v>41</v>
      </c>
      <c r="AH3120" s="108" t="s">
        <v>31</v>
      </c>
      <c r="AI3120" s="128" t="s">
        <v>47</v>
      </c>
      <c r="AJ3120" s="129" t="s">
        <v>48</v>
      </c>
      <c r="AK3120" s="129">
        <v>7</v>
      </c>
      <c r="AL3120" s="3" t="s">
        <v>48</v>
      </c>
      <c r="AP3120" s="129" t="s">
        <v>84</v>
      </c>
      <c r="AR3120" s="128" t="s">
        <v>67</v>
      </c>
      <c r="AS3120" s="129" t="s">
        <v>74</v>
      </c>
      <c r="BC3120" s="129" t="s">
        <v>52</v>
      </c>
      <c r="BF3120" s="111">
        <f t="shared" si="2266"/>
        <v>2</v>
      </c>
      <c r="BG3120" s="111">
        <f t="shared" si="2267"/>
        <v>172</v>
      </c>
      <c r="BH3120" s="111">
        <f t="shared" si="2228"/>
        <v>172</v>
      </c>
      <c r="BI3120" s="111">
        <f t="shared" si="2231"/>
        <v>21.770491803278688</v>
      </c>
      <c r="BJ3120" s="129">
        <f>(G3120-J3120)+(M3120-G3120)</f>
        <v>0</v>
      </c>
      <c r="BK3120" s="129">
        <f t="shared" si="2229"/>
        <v>-170</v>
      </c>
      <c r="BL3120" s="129" t="str">
        <f t="shared" si="2223"/>
        <v>DEFERRED</v>
      </c>
      <c r="BM3120" s="129" t="s">
        <v>76</v>
      </c>
      <c r="BN3120" s="129" t="s">
        <v>88</v>
      </c>
      <c r="BP3120" s="137" t="str">
        <f t="shared" si="2232"/>
        <v>DEFERRED</v>
      </c>
      <c r="BQ3120" s="128" t="str">
        <f t="shared" si="2241"/>
        <v>Y</v>
      </c>
      <c r="BR3120" s="129" t="str">
        <f t="shared" si="2233"/>
        <v>ON BOND</v>
      </c>
      <c r="BS3120" s="129" t="str">
        <f t="shared" si="2234"/>
        <v>DISPOSED</v>
      </c>
      <c r="BT3120" s="129" t="str">
        <f t="shared" si="2235"/>
        <v>N</v>
      </c>
      <c r="BU3120" s="109">
        <f t="shared" si="2236"/>
        <v>1.1627906976744186E-2</v>
      </c>
      <c r="BV3120" s="109">
        <f t="shared" si="2242"/>
        <v>1.1627906976744186E-2</v>
      </c>
      <c r="BW3120" s="109">
        <f t="shared" si="2253"/>
        <v>0</v>
      </c>
      <c r="BX3120" s="111">
        <f t="shared" si="2237"/>
        <v>0</v>
      </c>
      <c r="BY3120" s="129">
        <f t="shared" si="2243"/>
        <v>-2</v>
      </c>
      <c r="BZ3120" s="111">
        <f t="shared" si="2244"/>
        <v>0</v>
      </c>
      <c r="CA3120" s="138">
        <f t="shared" si="2245"/>
        <v>2</v>
      </c>
      <c r="CB3120" s="111" t="e">
        <f t="shared" si="2268"/>
        <v>#VALUE!</v>
      </c>
      <c r="CC3120" s="129">
        <f>M3120-I3120+1</f>
        <v>2</v>
      </c>
      <c r="CD3120" s="111">
        <f>CC3120-BF3120</f>
        <v>0</v>
      </c>
      <c r="CG3120" s="129" t="str">
        <f t="shared" si="2246"/>
        <v>N</v>
      </c>
      <c r="CI3120" s="129" t="str">
        <f t="shared" si="2248"/>
        <v>0-10 DAYS</v>
      </c>
      <c r="CJ3120" s="137">
        <f t="shared" si="2249"/>
        <v>1</v>
      </c>
      <c r="CK3120" s="129" t="str">
        <f t="shared" si="2250"/>
        <v>Booked</v>
      </c>
    </row>
    <row r="3121" spans="1:89" ht="15" customHeight="1" x14ac:dyDescent="0.25">
      <c r="A3121" s="111">
        <v>2857</v>
      </c>
      <c r="B3121" s="128" t="str">
        <f t="shared" si="2238"/>
        <v>N</v>
      </c>
      <c r="C3121" s="128" t="str">
        <f t="shared" si="2239"/>
        <v>N</v>
      </c>
      <c r="D3121" s="117">
        <v>2614292</v>
      </c>
      <c r="E3121" s="135">
        <f t="shared" si="2240"/>
        <v>6</v>
      </c>
      <c r="F3121" s="124">
        <v>41014</v>
      </c>
      <c r="G3121" s="125">
        <v>41374</v>
      </c>
      <c r="H3121" s="117">
        <v>2614292</v>
      </c>
      <c r="I3121" s="124">
        <v>41015</v>
      </c>
      <c r="J3121" s="125">
        <v>41374</v>
      </c>
      <c r="K3121" s="126">
        <v>30000</v>
      </c>
      <c r="L3121" s="129" t="s">
        <v>572</v>
      </c>
      <c r="N3121" s="129" t="str">
        <f t="shared" si="2265"/>
        <v>N</v>
      </c>
      <c r="O3121" s="128" t="s">
        <v>917</v>
      </c>
      <c r="P3121" s="129" t="s">
        <v>39</v>
      </c>
      <c r="Q3121" s="111">
        <f t="shared" si="2269"/>
        <v>360</v>
      </c>
      <c r="R3121" s="111">
        <f t="shared" si="2227"/>
        <v>361</v>
      </c>
      <c r="S3121" s="129">
        <v>0</v>
      </c>
      <c r="T3121" s="129">
        <v>0</v>
      </c>
      <c r="W3121" s="111"/>
      <c r="AC3121" s="130"/>
      <c r="AD3121" s="130">
        <v>34421</v>
      </c>
      <c r="AE3121" s="128" t="s">
        <v>32</v>
      </c>
      <c r="AF3121" s="128" t="s">
        <v>33</v>
      </c>
      <c r="AG3121" s="128" t="s">
        <v>872</v>
      </c>
      <c r="AH3121" s="108" t="s">
        <v>31</v>
      </c>
      <c r="AI3121" s="128" t="s">
        <v>83</v>
      </c>
      <c r="AJ3121" s="129" t="s">
        <v>89</v>
      </c>
      <c r="AK3121" s="129">
        <v>13</v>
      </c>
      <c r="AL3121" s="3" t="s">
        <v>362</v>
      </c>
      <c r="AM3121" s="117">
        <v>10</v>
      </c>
      <c r="AP3121" s="129" t="s">
        <v>105</v>
      </c>
      <c r="AR3121" s="128" t="s">
        <v>92</v>
      </c>
      <c r="AS3121" s="129" t="s">
        <v>106</v>
      </c>
      <c r="BC3121" s="129" t="s">
        <v>38</v>
      </c>
      <c r="BF3121" s="111">
        <f t="shared" si="2266"/>
        <v>360</v>
      </c>
      <c r="BG3121" s="111">
        <f t="shared" si="2267"/>
        <v>360</v>
      </c>
      <c r="BH3121" s="111">
        <f t="shared" si="2228"/>
        <v>361</v>
      </c>
      <c r="BI3121" s="111">
        <f t="shared" si="2231"/>
        <v>18.013661202185791</v>
      </c>
      <c r="BJ3121" s="129">
        <f>G3121-J3121-M3121</f>
        <v>0</v>
      </c>
      <c r="BK3121" s="129">
        <f t="shared" si="2229"/>
        <v>0</v>
      </c>
      <c r="BL3121" s="129" t="str">
        <f t="shared" si="2223"/>
        <v>CONVICTION</v>
      </c>
      <c r="BM3121" s="129" t="str">
        <f>O3121</f>
        <v>NONE</v>
      </c>
      <c r="BN3121" s="129" t="s">
        <v>566</v>
      </c>
      <c r="BP3121" s="137" t="str">
        <f t="shared" si="2232"/>
        <v>CONVICTION</v>
      </c>
      <c r="BQ3121" s="128" t="str">
        <f t="shared" si="2241"/>
        <v>Y</v>
      </c>
      <c r="BR3121" s="129" t="str">
        <f t="shared" si="2233"/>
        <v>DETAINED</v>
      </c>
      <c r="BS3121" s="129" t="str">
        <f t="shared" si="2234"/>
        <v>DISPOSED</v>
      </c>
      <c r="BT3121" s="129" t="str">
        <f t="shared" si="2235"/>
        <v>N</v>
      </c>
      <c r="BU3121" s="109">
        <f t="shared" si="2236"/>
        <v>0.99722991689750695</v>
      </c>
      <c r="BV3121" s="109">
        <f t="shared" si="2242"/>
        <v>1</v>
      </c>
      <c r="BW3121" s="109">
        <f t="shared" si="2253"/>
        <v>2.7700831024930483E-3</v>
      </c>
      <c r="BX3121" s="111">
        <f t="shared" si="2237"/>
        <v>0</v>
      </c>
      <c r="BY3121" s="129">
        <f t="shared" si="2243"/>
        <v>-360</v>
      </c>
      <c r="BZ3121" s="111">
        <f t="shared" si="2244"/>
        <v>0</v>
      </c>
      <c r="CA3121" s="138">
        <f t="shared" si="2245"/>
        <v>360</v>
      </c>
      <c r="CB3121" s="111" t="e">
        <f t="shared" si="2268"/>
        <v>#VALUE!</v>
      </c>
      <c r="CC3121" s="129">
        <f>G3121-I3121+1</f>
        <v>360</v>
      </c>
      <c r="CD3121" s="129">
        <f>G3121-J3121</f>
        <v>0</v>
      </c>
      <c r="CG3121" s="129" t="str">
        <f t="shared" si="2246"/>
        <v>N</v>
      </c>
      <c r="CI3121" s="129" t="str">
        <f t="shared" si="2248"/>
        <v>121-365 DAYS</v>
      </c>
      <c r="CJ3121" s="137">
        <f t="shared" si="2249"/>
        <v>6</v>
      </c>
      <c r="CK3121" s="129" t="str">
        <f t="shared" si="2250"/>
        <v>Booked</v>
      </c>
    </row>
    <row r="3122" spans="1:89" ht="15.75" customHeight="1" x14ac:dyDescent="0.25">
      <c r="A3122" s="111">
        <v>2863</v>
      </c>
      <c r="B3122" s="128" t="str">
        <f t="shared" si="2238"/>
        <v>N</v>
      </c>
      <c r="C3122" s="128" t="str">
        <f t="shared" si="2239"/>
        <v>N</v>
      </c>
      <c r="D3122" s="117">
        <v>2614307</v>
      </c>
      <c r="E3122" s="135">
        <f t="shared" si="2240"/>
        <v>1</v>
      </c>
      <c r="F3122" s="124">
        <v>41014</v>
      </c>
      <c r="G3122" s="125">
        <v>41137</v>
      </c>
      <c r="H3122" s="117">
        <v>2614307</v>
      </c>
      <c r="I3122" s="124">
        <v>41015</v>
      </c>
      <c r="J3122" s="124">
        <v>41016</v>
      </c>
      <c r="K3122" s="126">
        <v>2000</v>
      </c>
      <c r="L3122" s="127" t="s">
        <v>568</v>
      </c>
      <c r="M3122" s="125">
        <v>41016</v>
      </c>
      <c r="N3122" s="129" t="str">
        <f t="shared" si="2265"/>
        <v>Y</v>
      </c>
      <c r="O3122" s="112" t="s">
        <v>160</v>
      </c>
      <c r="P3122" s="129" t="s">
        <v>55</v>
      </c>
      <c r="Q3122" s="111">
        <f t="shared" si="2269"/>
        <v>2</v>
      </c>
      <c r="R3122" s="111">
        <f t="shared" si="2227"/>
        <v>124</v>
      </c>
      <c r="S3122" s="129">
        <v>0</v>
      </c>
      <c r="T3122" s="129">
        <v>0</v>
      </c>
      <c r="W3122" s="111"/>
      <c r="AC3122" s="130"/>
      <c r="AD3122" s="130">
        <v>34237</v>
      </c>
      <c r="AE3122" s="128" t="s">
        <v>46</v>
      </c>
      <c r="AF3122" s="128" t="s">
        <v>69</v>
      </c>
      <c r="AG3122" s="128" t="s">
        <v>874</v>
      </c>
      <c r="AH3122" s="108" t="s">
        <v>31</v>
      </c>
      <c r="AI3122" s="128" t="s">
        <v>97</v>
      </c>
      <c r="AJ3122" s="129" t="s">
        <v>55</v>
      </c>
      <c r="AK3122" s="129">
        <v>6</v>
      </c>
      <c r="AL3122" s="3" t="s">
        <v>55</v>
      </c>
      <c r="AP3122" s="129" t="s">
        <v>98</v>
      </c>
      <c r="AR3122" s="128" t="s">
        <v>44</v>
      </c>
      <c r="AS3122" s="129" t="s">
        <v>64</v>
      </c>
      <c r="BC3122" s="129" t="s">
        <v>38</v>
      </c>
      <c r="BF3122" s="111">
        <f t="shared" si="2266"/>
        <v>2</v>
      </c>
      <c r="BG3122" s="111">
        <f t="shared" si="2267"/>
        <v>123</v>
      </c>
      <c r="BH3122" s="111">
        <f t="shared" si="2228"/>
        <v>124</v>
      </c>
      <c r="BI3122" s="111">
        <f t="shared" si="2231"/>
        <v>18.516393442622952</v>
      </c>
      <c r="BJ3122" s="129">
        <f>(G3122-J3122)+(M3122-G3122)</f>
        <v>0</v>
      </c>
      <c r="BK3122" s="129">
        <f t="shared" si="2229"/>
        <v>-121</v>
      </c>
      <c r="BL3122" s="129" t="str">
        <f t="shared" si="2223"/>
        <v>NO CONVICTION</v>
      </c>
      <c r="BM3122" s="129" t="s">
        <v>160</v>
      </c>
      <c r="BN3122" s="129" t="s">
        <v>88</v>
      </c>
      <c r="BP3122" s="137" t="str">
        <f t="shared" si="2232"/>
        <v>NO CONVICTION</v>
      </c>
      <c r="BQ3122" s="128" t="str">
        <f t="shared" si="2241"/>
        <v>Y</v>
      </c>
      <c r="BR3122" s="129" t="str">
        <f t="shared" si="2233"/>
        <v>ON BOND</v>
      </c>
      <c r="BS3122" s="129" t="str">
        <f t="shared" si="2234"/>
        <v>DISPOSED</v>
      </c>
      <c r="BT3122" s="129" t="str">
        <f t="shared" si="2235"/>
        <v>N</v>
      </c>
      <c r="BU3122" s="109">
        <f>IFERROR(Q3122/R3122,BR3122)</f>
        <v>1.6129032258064516E-2</v>
      </c>
      <c r="BV3122" s="109">
        <f t="shared" si="2242"/>
        <v>1.6260162601626018E-2</v>
      </c>
      <c r="BW3122" s="109">
        <f t="shared" si="2253"/>
        <v>1.311303435615023E-4</v>
      </c>
      <c r="BX3122" s="111">
        <f t="shared" si="2237"/>
        <v>0</v>
      </c>
      <c r="BY3122" s="129">
        <f t="shared" si="2243"/>
        <v>-2</v>
      </c>
      <c r="BZ3122" s="111">
        <f t="shared" si="2244"/>
        <v>0</v>
      </c>
      <c r="CA3122" s="138">
        <f t="shared" si="2245"/>
        <v>2</v>
      </c>
      <c r="CB3122" s="111" t="e">
        <f t="shared" si="2268"/>
        <v>#VALUE!</v>
      </c>
      <c r="CC3122" s="129">
        <f>M3122-I3122+1</f>
        <v>2</v>
      </c>
      <c r="CD3122" s="111">
        <f>CC3122-BF3122</f>
        <v>0</v>
      </c>
      <c r="CG3122" s="129" t="str">
        <f t="shared" si="2246"/>
        <v>N</v>
      </c>
      <c r="CI3122" s="129" t="str">
        <f t="shared" si="2248"/>
        <v>0-10 DAYS</v>
      </c>
      <c r="CJ3122" s="137">
        <f t="shared" si="2249"/>
        <v>1</v>
      </c>
      <c r="CK3122" s="129" t="str">
        <f t="shared" si="2250"/>
        <v>Booked</v>
      </c>
    </row>
    <row r="3123" spans="1:89" ht="15" customHeight="1" x14ac:dyDescent="0.25">
      <c r="A3123" s="111">
        <v>2870</v>
      </c>
      <c r="B3123" s="128" t="str">
        <f t="shared" si="2238"/>
        <v>N</v>
      </c>
      <c r="C3123" s="128" t="str">
        <f t="shared" si="2239"/>
        <v>N</v>
      </c>
      <c r="D3123" s="117">
        <v>2614415</v>
      </c>
      <c r="E3123" s="135">
        <f t="shared" si="2240"/>
        <v>2</v>
      </c>
      <c r="F3123" s="124">
        <v>41015</v>
      </c>
      <c r="G3123" s="125">
        <v>41221</v>
      </c>
      <c r="H3123" s="117">
        <v>2614415</v>
      </c>
      <c r="I3123" s="124" t="s">
        <v>562</v>
      </c>
      <c r="J3123" s="124" t="s">
        <v>562</v>
      </c>
      <c r="K3123" s="126">
        <v>2000</v>
      </c>
      <c r="L3123" s="127" t="s">
        <v>568</v>
      </c>
      <c r="M3123" s="125">
        <v>41016</v>
      </c>
      <c r="N3123" s="129" t="str">
        <f>IF(M3123&gt;1/1/1,"Y",IF(Q3123="0","","N"))</f>
        <v>Y</v>
      </c>
      <c r="O3123" s="128" t="s">
        <v>76</v>
      </c>
      <c r="P3123" s="129" t="s">
        <v>589</v>
      </c>
      <c r="Q3123" s="111">
        <f t="shared" si="2269"/>
        <v>0</v>
      </c>
      <c r="R3123" s="111">
        <f t="shared" si="2227"/>
        <v>207</v>
      </c>
      <c r="S3123" s="129">
        <v>0</v>
      </c>
      <c r="T3123" s="129">
        <v>0</v>
      </c>
      <c r="W3123" s="111"/>
      <c r="AC3123" s="130"/>
      <c r="AD3123" s="130">
        <v>30320</v>
      </c>
      <c r="AE3123" s="128" t="s">
        <v>32</v>
      </c>
      <c r="AF3123" s="128" t="s">
        <v>33</v>
      </c>
      <c r="AG3123" s="128" t="s">
        <v>872</v>
      </c>
      <c r="AH3123" s="108" t="s">
        <v>31</v>
      </c>
      <c r="AI3123" s="128" t="s">
        <v>97</v>
      </c>
      <c r="AJ3123" s="129" t="s">
        <v>48</v>
      </c>
      <c r="AK3123" s="129">
        <v>10</v>
      </c>
      <c r="AL3123" s="3" t="s">
        <v>48</v>
      </c>
      <c r="AP3123" s="129" t="s">
        <v>108</v>
      </c>
      <c r="AR3123" s="128" t="s">
        <v>44</v>
      </c>
      <c r="AS3123" s="129" t="s">
        <v>61</v>
      </c>
      <c r="BC3123" s="129" t="s">
        <v>52</v>
      </c>
      <c r="BF3123" s="111">
        <v>0</v>
      </c>
      <c r="BG3123" s="111">
        <v>0</v>
      </c>
      <c r="BH3123" s="111">
        <f t="shared" si="2228"/>
        <v>207</v>
      </c>
      <c r="BI3123" s="111">
        <f t="shared" si="2231"/>
        <v>29.221311475409838</v>
      </c>
      <c r="BJ3123" s="129" t="e">
        <f>(G3123-J3123)+(M3123-G3123)</f>
        <v>#VALUE!</v>
      </c>
      <c r="BK3123" s="129" t="e">
        <f t="shared" si="2229"/>
        <v>#VALUE!</v>
      </c>
      <c r="BL3123" s="129" t="str">
        <f t="shared" si="2223"/>
        <v>DEFERRED</v>
      </c>
      <c r="BM3123" s="129" t="s">
        <v>76</v>
      </c>
      <c r="BN3123" s="129" t="s">
        <v>88</v>
      </c>
      <c r="BP3123" s="137" t="str">
        <f t="shared" si="2232"/>
        <v>DEFERRED</v>
      </c>
      <c r="BQ3123" s="128">
        <f t="shared" si="2241"/>
        <v>0</v>
      </c>
      <c r="BR3123" s="129" t="s">
        <v>575</v>
      </c>
      <c r="BS3123" s="129" t="str">
        <f t="shared" si="2234"/>
        <v>DISPOSED</v>
      </c>
      <c r="BT3123" s="129" t="str">
        <f t="shared" si="2235"/>
        <v>N</v>
      </c>
      <c r="BU3123" s="109">
        <f t="shared" si="2236"/>
        <v>0</v>
      </c>
      <c r="BV3123" s="109">
        <v>0</v>
      </c>
      <c r="BW3123" s="109">
        <f t="shared" si="2253"/>
        <v>0</v>
      </c>
      <c r="BX3123" s="111">
        <f t="shared" si="2237"/>
        <v>0</v>
      </c>
      <c r="BY3123" s="129" t="e">
        <f t="shared" si="2243"/>
        <v>#VALUE!</v>
      </c>
      <c r="BZ3123" s="111" t="e">
        <f t="shared" si="2244"/>
        <v>#VALUE!</v>
      </c>
      <c r="CA3123" s="138" t="e">
        <f t="shared" si="2245"/>
        <v>#VALUE!</v>
      </c>
      <c r="CB3123" s="111">
        <v>0</v>
      </c>
      <c r="CC3123" s="129">
        <v>0</v>
      </c>
      <c r="CD3123" s="111">
        <f>CC3123-BF3123</f>
        <v>0</v>
      </c>
      <c r="CG3123" s="129" t="str">
        <f t="shared" si="2246"/>
        <v>N</v>
      </c>
      <c r="CI3123" s="129" t="str">
        <f t="shared" si="2248"/>
        <v>0-10 DAYS</v>
      </c>
      <c r="CJ3123" s="137">
        <f t="shared" si="2249"/>
        <v>1</v>
      </c>
      <c r="CK3123" s="129" t="str">
        <f t="shared" si="2250"/>
        <v>Not Booked</v>
      </c>
    </row>
    <row r="3124" spans="1:89" ht="15" customHeight="1" x14ac:dyDescent="0.25">
      <c r="A3124" s="111">
        <v>2871</v>
      </c>
      <c r="B3124" s="128" t="str">
        <f t="shared" si="2238"/>
        <v>N</v>
      </c>
      <c r="C3124" s="128" t="str">
        <f t="shared" si="2239"/>
        <v>N</v>
      </c>
      <c r="D3124" s="117">
        <v>2614447</v>
      </c>
      <c r="E3124" s="135">
        <f t="shared" si="2240"/>
        <v>6</v>
      </c>
      <c r="F3124" s="124">
        <v>41015</v>
      </c>
      <c r="G3124" s="125">
        <v>41179</v>
      </c>
      <c r="H3124" s="117">
        <v>2614447</v>
      </c>
      <c r="I3124" s="124">
        <v>41017</v>
      </c>
      <c r="J3124" s="124">
        <v>41179</v>
      </c>
      <c r="K3124" s="126">
        <v>80000</v>
      </c>
      <c r="L3124" s="129" t="s">
        <v>572</v>
      </c>
      <c r="N3124" s="129" t="str">
        <f>IF(M3124&gt;1/1/1,"Y","N")</f>
        <v>N</v>
      </c>
      <c r="O3124" s="128" t="s">
        <v>917</v>
      </c>
      <c r="P3124" s="129" t="s">
        <v>39</v>
      </c>
      <c r="Q3124" s="111">
        <f t="shared" si="2269"/>
        <v>163</v>
      </c>
      <c r="R3124" s="111">
        <f t="shared" si="2227"/>
        <v>165</v>
      </c>
      <c r="S3124" s="129">
        <v>0</v>
      </c>
      <c r="T3124" s="129">
        <v>0</v>
      </c>
      <c r="W3124" s="111"/>
      <c r="AB3124" s="131" t="s">
        <v>112</v>
      </c>
      <c r="AC3124" s="130"/>
      <c r="AD3124" s="130">
        <v>26654</v>
      </c>
      <c r="AE3124" s="128" t="s">
        <v>32</v>
      </c>
      <c r="AF3124" s="128" t="s">
        <v>40</v>
      </c>
      <c r="AG3124" s="128" t="s">
        <v>41</v>
      </c>
      <c r="AH3124" s="108" t="s">
        <v>31</v>
      </c>
      <c r="AI3124" s="128" t="s">
        <v>83</v>
      </c>
      <c r="AJ3124" s="129" t="s">
        <v>89</v>
      </c>
      <c r="AK3124" s="129">
        <v>10</v>
      </c>
      <c r="AL3124" s="3" t="s">
        <v>362</v>
      </c>
      <c r="AM3124" s="117">
        <v>2</v>
      </c>
      <c r="AP3124" s="129" t="s">
        <v>249</v>
      </c>
      <c r="AR3124" s="128" t="s">
        <v>50</v>
      </c>
      <c r="AS3124" s="129" t="s">
        <v>163</v>
      </c>
      <c r="BC3124" s="129" t="s">
        <v>38</v>
      </c>
      <c r="BF3124" s="111">
        <f>IF(J3124&gt;1/1/1900,((J3124+1)-I3124),"STILL OPEN")</f>
        <v>163</v>
      </c>
      <c r="BG3124" s="111">
        <f>IF(G3124&gt;1/1/1900,((G3124+1)-I3124),"STILL OPEN")</f>
        <v>163</v>
      </c>
      <c r="BH3124" s="111">
        <f t="shared" si="2228"/>
        <v>165</v>
      </c>
      <c r="BI3124" s="111">
        <f t="shared" si="2231"/>
        <v>39.23770491803279</v>
      </c>
      <c r="BJ3124" s="129">
        <f>G3124-J3124-M3124</f>
        <v>0</v>
      </c>
      <c r="BK3124" s="129">
        <f t="shared" si="2229"/>
        <v>0</v>
      </c>
      <c r="BL3124" s="129" t="str">
        <f t="shared" si="2223"/>
        <v>CONVICTION</v>
      </c>
      <c r="BM3124" s="129" t="str">
        <f>O3124</f>
        <v>NONE</v>
      </c>
      <c r="BN3124" s="129" t="s">
        <v>566</v>
      </c>
      <c r="BP3124" s="137" t="str">
        <f t="shared" si="2232"/>
        <v>CONVICTION</v>
      </c>
      <c r="BQ3124" s="128" t="str">
        <f t="shared" si="2241"/>
        <v>Y</v>
      </c>
      <c r="BR3124" s="129" t="str">
        <f t="shared" si="2233"/>
        <v>DETAINED</v>
      </c>
      <c r="BS3124" s="129" t="str">
        <f t="shared" si="2234"/>
        <v>DISPOSED</v>
      </c>
      <c r="BT3124" s="129" t="str">
        <f t="shared" si="2235"/>
        <v>N</v>
      </c>
      <c r="BU3124" s="109">
        <f t="shared" si="2236"/>
        <v>0.98787878787878791</v>
      </c>
      <c r="BV3124" s="109">
        <f t="shared" si="2242"/>
        <v>1</v>
      </c>
      <c r="BW3124" s="109">
        <f t="shared" si="2253"/>
        <v>1.2121212121212088E-2</v>
      </c>
      <c r="BX3124" s="111">
        <f t="shared" si="2237"/>
        <v>0</v>
      </c>
      <c r="BY3124" s="129">
        <f t="shared" si="2243"/>
        <v>-163</v>
      </c>
      <c r="BZ3124" s="111">
        <f t="shared" si="2244"/>
        <v>0</v>
      </c>
      <c r="CA3124" s="138">
        <f t="shared" si="2245"/>
        <v>163</v>
      </c>
      <c r="CB3124" s="111" t="e">
        <f>IF(AF3124&gt;1/1/1900,((AF3124+1)-AE3124),"STILL OPEN")</f>
        <v>#VALUE!</v>
      </c>
      <c r="CC3124" s="129">
        <f>G3124-I3124+1</f>
        <v>163</v>
      </c>
      <c r="CD3124" s="129">
        <f>G3124-J3124</f>
        <v>0</v>
      </c>
      <c r="CG3124" s="129" t="str">
        <f t="shared" si="2246"/>
        <v>N</v>
      </c>
      <c r="CI3124" s="129" t="str">
        <f t="shared" si="2248"/>
        <v>121-365 DAYS</v>
      </c>
      <c r="CJ3124" s="137">
        <f t="shared" si="2249"/>
        <v>6</v>
      </c>
      <c r="CK3124" s="129" t="str">
        <f t="shared" si="2250"/>
        <v>Booked</v>
      </c>
    </row>
    <row r="3125" spans="1:89" ht="15" customHeight="1" x14ac:dyDescent="0.25">
      <c r="A3125" s="111">
        <v>2872</v>
      </c>
      <c r="B3125" s="128" t="str">
        <f t="shared" si="2238"/>
        <v>N</v>
      </c>
      <c r="C3125" s="128" t="str">
        <f t="shared" si="2239"/>
        <v>N</v>
      </c>
      <c r="D3125" s="117">
        <v>2614474</v>
      </c>
      <c r="E3125" s="135">
        <f t="shared" si="2240"/>
        <v>1</v>
      </c>
      <c r="F3125" s="124">
        <v>41015</v>
      </c>
      <c r="G3125" s="125">
        <v>41570</v>
      </c>
      <c r="H3125" s="117">
        <v>2614474</v>
      </c>
      <c r="I3125" s="124" t="s">
        <v>562</v>
      </c>
      <c r="J3125" s="124" t="s">
        <v>562</v>
      </c>
      <c r="K3125" s="126">
        <v>40000</v>
      </c>
      <c r="L3125" s="129" t="s">
        <v>572</v>
      </c>
      <c r="M3125" s="125">
        <v>41065</v>
      </c>
      <c r="N3125" s="129" t="str">
        <f>IF(M3125&gt;1/1/1,"Y",IF(Q3125="NOT BOOKED","","N"))</f>
        <v>Y</v>
      </c>
      <c r="O3125" s="128" t="s">
        <v>76</v>
      </c>
      <c r="P3125" s="129" t="s">
        <v>55</v>
      </c>
      <c r="Q3125" s="111">
        <v>0</v>
      </c>
      <c r="R3125" s="111">
        <f t="shared" si="2227"/>
        <v>556</v>
      </c>
      <c r="S3125" s="129">
        <v>0</v>
      </c>
      <c r="T3125" s="129">
        <v>0</v>
      </c>
      <c r="W3125" s="111"/>
      <c r="AC3125" s="130"/>
      <c r="AD3125" s="130">
        <v>28817</v>
      </c>
      <c r="AE3125" s="128" t="s">
        <v>32</v>
      </c>
      <c r="AF3125" s="128" t="s">
        <v>69</v>
      </c>
      <c r="AG3125" s="128" t="s">
        <v>874</v>
      </c>
      <c r="AH3125" s="108" t="s">
        <v>31</v>
      </c>
      <c r="AI3125" s="128" t="s">
        <v>65</v>
      </c>
      <c r="AJ3125" s="129" t="s">
        <v>55</v>
      </c>
      <c r="AK3125" s="129">
        <v>19</v>
      </c>
      <c r="AL3125" s="3" t="s">
        <v>55</v>
      </c>
      <c r="AP3125" s="129" t="s">
        <v>164</v>
      </c>
      <c r="AR3125" s="128" t="s">
        <v>92</v>
      </c>
      <c r="AS3125" s="129" t="s">
        <v>82</v>
      </c>
      <c r="BC3125" s="129" t="s">
        <v>52</v>
      </c>
      <c r="BF3125" s="111">
        <v>0</v>
      </c>
      <c r="BG3125" s="111" t="e">
        <f>IF(G3125&gt;1/1/1900,((G3125+1)-I3125),"STILL OPEN")</f>
        <v>#VALUE!</v>
      </c>
      <c r="BH3125" s="111">
        <f t="shared" si="2228"/>
        <v>556</v>
      </c>
      <c r="BI3125" s="111">
        <f t="shared" si="2231"/>
        <v>33.327868852459019</v>
      </c>
      <c r="BJ3125" s="129" t="e">
        <f t="shared" ref="BJ3125:BJ3130" si="2270">(G3125-J3125)+(M3125-G3125)</f>
        <v>#VALUE!</v>
      </c>
      <c r="BK3125" s="129" t="e">
        <f t="shared" si="2229"/>
        <v>#VALUE!</v>
      </c>
      <c r="BL3125" s="129" t="str">
        <f t="shared" si="2223"/>
        <v>NO CONVICTION</v>
      </c>
      <c r="BM3125" s="129" t="s">
        <v>76</v>
      </c>
      <c r="BN3125" s="129" t="s">
        <v>88</v>
      </c>
      <c r="BP3125" s="137" t="str">
        <f t="shared" si="2232"/>
        <v>NO CONVICTION</v>
      </c>
      <c r="BQ3125" s="128">
        <f t="shared" si="2241"/>
        <v>0</v>
      </c>
      <c r="BR3125" s="129" t="s">
        <v>575</v>
      </c>
      <c r="BS3125" s="129" t="str">
        <f t="shared" si="2234"/>
        <v>DISPOSED</v>
      </c>
      <c r="BT3125" s="129" t="str">
        <f t="shared" si="2235"/>
        <v>N</v>
      </c>
      <c r="BU3125" s="109">
        <f>IFERROR(Q3125/R3125,BR3125)</f>
        <v>0</v>
      </c>
      <c r="BV3125" s="109">
        <v>0</v>
      </c>
      <c r="BW3125" s="109">
        <f t="shared" si="2253"/>
        <v>0</v>
      </c>
      <c r="BX3125" s="111">
        <f t="shared" si="2237"/>
        <v>0</v>
      </c>
      <c r="BY3125" s="129" t="e">
        <f t="shared" si="2243"/>
        <v>#VALUE!</v>
      </c>
      <c r="BZ3125" s="111" t="e">
        <f t="shared" si="2244"/>
        <v>#VALUE!</v>
      </c>
      <c r="CA3125" s="138" t="e">
        <f t="shared" si="2245"/>
        <v>#VALUE!</v>
      </c>
      <c r="CB3125" s="111" t="s">
        <v>562</v>
      </c>
      <c r="CC3125" s="129">
        <v>0</v>
      </c>
      <c r="CD3125" s="111">
        <f t="shared" ref="CD3125:CD3130" si="2271">CC3125-BF3125</f>
        <v>0</v>
      </c>
      <c r="CG3125" s="129" t="str">
        <f t="shared" si="2246"/>
        <v>N</v>
      </c>
      <c r="CI3125" s="129" t="str">
        <f t="shared" si="2248"/>
        <v>0-10 DAYS</v>
      </c>
      <c r="CJ3125" s="137">
        <f t="shared" si="2249"/>
        <v>1</v>
      </c>
      <c r="CK3125" s="129" t="str">
        <f t="shared" si="2250"/>
        <v>Not Booked</v>
      </c>
    </row>
    <row r="3126" spans="1:89" ht="15" customHeight="1" x14ac:dyDescent="0.25">
      <c r="A3126" s="111">
        <v>2878</v>
      </c>
      <c r="B3126" s="128" t="str">
        <f t="shared" si="2238"/>
        <v>N</v>
      </c>
      <c r="C3126" s="128" t="str">
        <f t="shared" si="2239"/>
        <v>N</v>
      </c>
      <c r="D3126" s="117">
        <v>2614525</v>
      </c>
      <c r="E3126" s="135">
        <f t="shared" si="2240"/>
        <v>1</v>
      </c>
      <c r="F3126" s="124">
        <v>41016</v>
      </c>
      <c r="G3126" s="125">
        <v>41072</v>
      </c>
      <c r="H3126" s="117">
        <v>2614525</v>
      </c>
      <c r="I3126" s="124">
        <v>41016</v>
      </c>
      <c r="J3126" s="124">
        <v>41018</v>
      </c>
      <c r="K3126" s="126">
        <v>2000</v>
      </c>
      <c r="L3126" s="127" t="s">
        <v>568</v>
      </c>
      <c r="M3126" s="125">
        <v>41018</v>
      </c>
      <c r="N3126" s="129" t="str">
        <f>IF(M3126&gt;1/1/1,"Y","N")</f>
        <v>Y</v>
      </c>
      <c r="O3126" s="128" t="s">
        <v>76</v>
      </c>
      <c r="P3126" s="129" t="s">
        <v>55</v>
      </c>
      <c r="Q3126" s="111">
        <f t="shared" si="2269"/>
        <v>3</v>
      </c>
      <c r="R3126" s="111">
        <f t="shared" si="2227"/>
        <v>57</v>
      </c>
      <c r="S3126" s="129">
        <v>0</v>
      </c>
      <c r="T3126" s="129">
        <v>0</v>
      </c>
      <c r="W3126" s="111"/>
      <c r="AC3126" s="130"/>
      <c r="AD3126" s="130">
        <v>20285</v>
      </c>
      <c r="AE3126" s="128" t="s">
        <v>32</v>
      </c>
      <c r="AF3126" s="128" t="s">
        <v>33</v>
      </c>
      <c r="AG3126" s="128" t="s">
        <v>872</v>
      </c>
      <c r="AH3126" s="108" t="s">
        <v>31</v>
      </c>
      <c r="AI3126" s="128" t="s">
        <v>100</v>
      </c>
      <c r="AJ3126" s="129" t="s">
        <v>55</v>
      </c>
      <c r="AK3126" s="129">
        <v>3</v>
      </c>
      <c r="AL3126" s="3" t="s">
        <v>55</v>
      </c>
      <c r="AP3126" s="129" t="s">
        <v>43</v>
      </c>
      <c r="AR3126" s="128" t="s">
        <v>44</v>
      </c>
      <c r="AS3126" s="129" t="s">
        <v>45</v>
      </c>
      <c r="BC3126" s="129" t="s">
        <v>52</v>
      </c>
      <c r="BF3126" s="111">
        <f>IF(J3126&gt;1/1/1900,((J3126+1)-I3126),"STILL OPEN")</f>
        <v>3</v>
      </c>
      <c r="BG3126" s="111">
        <f>IF(G3126&gt;1/1/1900,((G3126+1)-I3126),"STILL OPEN")</f>
        <v>57</v>
      </c>
      <c r="BH3126" s="111">
        <f t="shared" si="2228"/>
        <v>57</v>
      </c>
      <c r="BI3126" s="111">
        <f t="shared" si="2231"/>
        <v>56.642076502732237</v>
      </c>
      <c r="BJ3126" s="129">
        <f t="shared" si="2270"/>
        <v>0</v>
      </c>
      <c r="BK3126" s="129">
        <f t="shared" si="2229"/>
        <v>-54</v>
      </c>
      <c r="BL3126" s="129" t="str">
        <f t="shared" ref="BL3126:BL3189" si="2272">IF(OR(AL3126="AQUITTAL",AL3126="DISMISSED",AL3126="FINE",AL3126="NO BILL"),"NO CONVICTION",IF(OR(AL3126="HCJ",AL3126="MHH",AL3126="PROBATION",AL3126="STJ",AL3126="TDC"),"CONVICTION",IF(AL3126="DEFERRED","DEFERRED",0)))</f>
        <v>NO CONVICTION</v>
      </c>
      <c r="BM3126" s="129" t="s">
        <v>76</v>
      </c>
      <c r="BN3126" s="129" t="s">
        <v>88</v>
      </c>
      <c r="BP3126" s="137" t="str">
        <f t="shared" si="2232"/>
        <v>NO CONVICTION</v>
      </c>
      <c r="BQ3126" s="128" t="str">
        <f t="shared" si="2241"/>
        <v>Y</v>
      </c>
      <c r="BR3126" s="129" t="str">
        <f t="shared" si="2233"/>
        <v>ON BOND</v>
      </c>
      <c r="BS3126" s="129" t="str">
        <f t="shared" si="2234"/>
        <v>DISPOSED</v>
      </c>
      <c r="BT3126" s="129" t="str">
        <f t="shared" si="2235"/>
        <v>N</v>
      </c>
      <c r="BU3126" s="109">
        <f>IFERROR(Q3126/R3126,BR3126)</f>
        <v>5.2631578947368418E-2</v>
      </c>
      <c r="BV3126" s="109">
        <f t="shared" si="2242"/>
        <v>5.2631578947368418E-2</v>
      </c>
      <c r="BW3126" s="109">
        <f t="shared" si="2253"/>
        <v>0</v>
      </c>
      <c r="BX3126" s="111">
        <f t="shared" si="2237"/>
        <v>0</v>
      </c>
      <c r="BY3126" s="129">
        <f t="shared" si="2243"/>
        <v>-3</v>
      </c>
      <c r="BZ3126" s="111">
        <f t="shared" si="2244"/>
        <v>0</v>
      </c>
      <c r="CA3126" s="138">
        <f t="shared" si="2245"/>
        <v>3</v>
      </c>
      <c r="CB3126" s="111" t="e">
        <f>IF(AF3126&gt;1/1/1900,((AF3126+1)-AE3126),"STILL OPEN")</f>
        <v>#VALUE!</v>
      </c>
      <c r="CC3126" s="129">
        <f>M3126-I3126+1</f>
        <v>3</v>
      </c>
      <c r="CD3126" s="111">
        <f t="shared" si="2271"/>
        <v>0</v>
      </c>
      <c r="CG3126" s="129" t="str">
        <f t="shared" si="2246"/>
        <v>N</v>
      </c>
      <c r="CI3126" s="129" t="str">
        <f t="shared" si="2248"/>
        <v>0-10 DAYS</v>
      </c>
      <c r="CJ3126" s="137">
        <f t="shared" si="2249"/>
        <v>1</v>
      </c>
      <c r="CK3126" s="129" t="str">
        <f t="shared" si="2250"/>
        <v>Booked</v>
      </c>
    </row>
    <row r="3127" spans="1:89" ht="15.75" customHeight="1" x14ac:dyDescent="0.25">
      <c r="A3127" s="111">
        <v>2882</v>
      </c>
      <c r="B3127" s="128" t="str">
        <f t="shared" si="2238"/>
        <v>N</v>
      </c>
      <c r="C3127" s="128" t="str">
        <f t="shared" si="2239"/>
        <v>N</v>
      </c>
      <c r="D3127" s="117">
        <v>2614536</v>
      </c>
      <c r="E3127" s="135">
        <f t="shared" si="2240"/>
        <v>2</v>
      </c>
      <c r="F3127" s="124">
        <v>41016</v>
      </c>
      <c r="G3127" s="125">
        <v>41177</v>
      </c>
      <c r="H3127" s="117">
        <v>2614536</v>
      </c>
      <c r="I3127" s="124">
        <v>41016</v>
      </c>
      <c r="J3127" s="124">
        <v>41017</v>
      </c>
      <c r="K3127" s="126">
        <v>5000</v>
      </c>
      <c r="L3127" s="127" t="s">
        <v>569</v>
      </c>
      <c r="M3127" s="125">
        <v>41017</v>
      </c>
      <c r="N3127" s="129" t="str">
        <f>IF(M3127&gt;1/1/1,"Y","N")</f>
        <v>Y</v>
      </c>
      <c r="O3127" s="128" t="s">
        <v>76</v>
      </c>
      <c r="P3127" s="129" t="s">
        <v>589</v>
      </c>
      <c r="Q3127" s="111">
        <f t="shared" si="2269"/>
        <v>2</v>
      </c>
      <c r="R3127" s="111">
        <f t="shared" si="2227"/>
        <v>162</v>
      </c>
      <c r="S3127" s="129">
        <v>0</v>
      </c>
      <c r="T3127" s="129">
        <v>0</v>
      </c>
      <c r="W3127" s="111"/>
      <c r="AB3127" s="131" t="s">
        <v>112</v>
      </c>
      <c r="AC3127" s="130"/>
      <c r="AD3127" s="130">
        <v>33332</v>
      </c>
      <c r="AE3127" s="128" t="s">
        <v>46</v>
      </c>
      <c r="AF3127" s="128" t="s">
        <v>40</v>
      </c>
      <c r="AG3127" s="128" t="s">
        <v>41</v>
      </c>
      <c r="AH3127" s="108" t="s">
        <v>31</v>
      </c>
      <c r="AI3127" s="128" t="s">
        <v>95</v>
      </c>
      <c r="AJ3127" s="129" t="s">
        <v>48</v>
      </c>
      <c r="AK3127" s="129">
        <v>7</v>
      </c>
      <c r="AL3127" s="3" t="s">
        <v>48</v>
      </c>
      <c r="AP3127" s="129" t="s">
        <v>227</v>
      </c>
      <c r="AR3127" s="128" t="s">
        <v>67</v>
      </c>
      <c r="AS3127" s="129" t="s">
        <v>64</v>
      </c>
      <c r="BC3127" s="129" t="s">
        <v>52</v>
      </c>
      <c r="BF3127" s="111">
        <f>IF(J3127&gt;1/1/1900,((J3127+1)-I3127),"STILL OPEN")</f>
        <v>2</v>
      </c>
      <c r="BG3127" s="111">
        <f>IF(G3127&gt;1/1/1900,((G3127+1)-I3127),"STILL OPEN")</f>
        <v>162</v>
      </c>
      <c r="BH3127" s="111">
        <f t="shared" si="2228"/>
        <v>162</v>
      </c>
      <c r="BI3127" s="111">
        <f t="shared" si="2231"/>
        <v>20.994535519125684</v>
      </c>
      <c r="BJ3127" s="129">
        <f t="shared" si="2270"/>
        <v>0</v>
      </c>
      <c r="BK3127" s="129">
        <f t="shared" si="2229"/>
        <v>-160</v>
      </c>
      <c r="BL3127" s="129" t="str">
        <f t="shared" si="2272"/>
        <v>DEFERRED</v>
      </c>
      <c r="BM3127" s="129" t="s">
        <v>76</v>
      </c>
      <c r="BN3127" s="129" t="s">
        <v>88</v>
      </c>
      <c r="BP3127" s="137" t="str">
        <f t="shared" si="2232"/>
        <v>DEFERRED</v>
      </c>
      <c r="BQ3127" s="128" t="str">
        <f t="shared" si="2241"/>
        <v>Y</v>
      </c>
      <c r="BR3127" s="129" t="str">
        <f t="shared" si="2233"/>
        <v>ON BOND</v>
      </c>
      <c r="BS3127" s="129" t="str">
        <f t="shared" si="2234"/>
        <v>DISPOSED</v>
      </c>
      <c r="BT3127" s="129" t="str">
        <f t="shared" si="2235"/>
        <v>N</v>
      </c>
      <c r="BU3127" s="109">
        <f t="shared" si="2236"/>
        <v>1.2345679012345678E-2</v>
      </c>
      <c r="BV3127" s="109">
        <f t="shared" si="2242"/>
        <v>1.2345679012345678E-2</v>
      </c>
      <c r="BW3127" s="109">
        <f t="shared" si="2253"/>
        <v>0</v>
      </c>
      <c r="BX3127" s="111">
        <f t="shared" si="2237"/>
        <v>0</v>
      </c>
      <c r="BY3127" s="129">
        <f t="shared" si="2243"/>
        <v>-2</v>
      </c>
      <c r="BZ3127" s="111">
        <f t="shared" si="2244"/>
        <v>0</v>
      </c>
      <c r="CA3127" s="138">
        <f t="shared" si="2245"/>
        <v>2</v>
      </c>
      <c r="CB3127" s="111" t="e">
        <f>IF(AF3127&gt;1/1/1900,((AF3127+1)-AE3127),"STILL OPEN")</f>
        <v>#VALUE!</v>
      </c>
      <c r="CC3127" s="129">
        <f>M3127-I3127+1</f>
        <v>2</v>
      </c>
      <c r="CD3127" s="111">
        <f t="shared" si="2271"/>
        <v>0</v>
      </c>
      <c r="CG3127" s="129" t="str">
        <f t="shared" si="2246"/>
        <v>N</v>
      </c>
      <c r="CI3127" s="129" t="str">
        <f t="shared" si="2248"/>
        <v>0-10 DAYS</v>
      </c>
      <c r="CJ3127" s="137">
        <f t="shared" si="2249"/>
        <v>1</v>
      </c>
      <c r="CK3127" s="129" t="str">
        <f t="shared" si="2250"/>
        <v>Booked</v>
      </c>
    </row>
    <row r="3128" spans="1:89" ht="15.75" customHeight="1" x14ac:dyDescent="0.25">
      <c r="A3128" s="111">
        <v>2884</v>
      </c>
      <c r="B3128" s="128" t="str">
        <f t="shared" si="2238"/>
        <v>N</v>
      </c>
      <c r="C3128" s="128" t="str">
        <f t="shared" si="2239"/>
        <v>N</v>
      </c>
      <c r="D3128" s="117">
        <v>2614537</v>
      </c>
      <c r="E3128" s="135">
        <f t="shared" si="2240"/>
        <v>1</v>
      </c>
      <c r="F3128" s="124">
        <v>41016</v>
      </c>
      <c r="G3128" s="125">
        <v>41116</v>
      </c>
      <c r="H3128" s="117">
        <v>2614537</v>
      </c>
      <c r="I3128" s="124">
        <v>41016</v>
      </c>
      <c r="J3128" s="124">
        <v>41017</v>
      </c>
      <c r="K3128" s="126">
        <v>2000</v>
      </c>
      <c r="L3128" s="127" t="s">
        <v>568</v>
      </c>
      <c r="M3128" s="125">
        <v>41017</v>
      </c>
      <c r="N3128" s="129" t="str">
        <f>IF(M3128&gt;1/1/1,"Y","N")</f>
        <v>Y</v>
      </c>
      <c r="O3128" s="128" t="s">
        <v>585</v>
      </c>
      <c r="P3128" s="129" t="s">
        <v>55</v>
      </c>
      <c r="Q3128" s="111">
        <f t="shared" si="2269"/>
        <v>2</v>
      </c>
      <c r="R3128" s="111">
        <f t="shared" si="2227"/>
        <v>101</v>
      </c>
      <c r="S3128" s="129">
        <v>0</v>
      </c>
      <c r="T3128" s="129">
        <v>0</v>
      </c>
      <c r="W3128" s="111"/>
      <c r="AC3128" s="130"/>
      <c r="AD3128" s="130">
        <v>32867</v>
      </c>
      <c r="AE3128" s="128" t="s">
        <v>46</v>
      </c>
      <c r="AF3128" s="128" t="s">
        <v>33</v>
      </c>
      <c r="AG3128" s="128" t="s">
        <v>872</v>
      </c>
      <c r="AH3128" s="108" t="s">
        <v>31</v>
      </c>
      <c r="AI3128" s="128" t="s">
        <v>70</v>
      </c>
      <c r="AJ3128" s="129" t="s">
        <v>55</v>
      </c>
      <c r="AK3128" s="129">
        <v>7</v>
      </c>
      <c r="AL3128" s="3" t="s">
        <v>55</v>
      </c>
      <c r="AP3128" s="129" t="s">
        <v>139</v>
      </c>
      <c r="AR3128" s="128" t="s">
        <v>44</v>
      </c>
      <c r="AS3128" s="129" t="s">
        <v>64</v>
      </c>
      <c r="BC3128" s="129" t="s">
        <v>38</v>
      </c>
      <c r="BF3128" s="111">
        <f>IF(J3128&gt;1/1/1900,((J3128+1)-I3128),"STILL OPEN")</f>
        <v>2</v>
      </c>
      <c r="BG3128" s="111">
        <f>IF(G3128&gt;1/1/1900,((G3128+1)-I3128),"STILL OPEN")</f>
        <v>101</v>
      </c>
      <c r="BH3128" s="111">
        <f t="shared" si="2228"/>
        <v>101</v>
      </c>
      <c r="BI3128" s="111">
        <f t="shared" si="2231"/>
        <v>22.265027322404372</v>
      </c>
      <c r="BJ3128" s="129">
        <f t="shared" si="2270"/>
        <v>0</v>
      </c>
      <c r="BK3128" s="129">
        <f t="shared" si="2229"/>
        <v>-99</v>
      </c>
      <c r="BL3128" s="129" t="str">
        <f t="shared" si="2272"/>
        <v>NO CONVICTION</v>
      </c>
      <c r="BM3128" s="129" t="s">
        <v>76</v>
      </c>
      <c r="BN3128" s="129" t="s">
        <v>88</v>
      </c>
      <c r="BP3128" s="137" t="str">
        <f t="shared" si="2232"/>
        <v>NO CONVICTION</v>
      </c>
      <c r="BQ3128" s="128" t="str">
        <f t="shared" si="2241"/>
        <v>Y</v>
      </c>
      <c r="BR3128" s="129" t="str">
        <f t="shared" si="2233"/>
        <v>ON BOND</v>
      </c>
      <c r="BS3128" s="129" t="str">
        <f t="shared" si="2234"/>
        <v>DISPOSED</v>
      </c>
      <c r="BT3128" s="129" t="str">
        <f t="shared" si="2235"/>
        <v>N</v>
      </c>
      <c r="BU3128" s="109">
        <f>IFERROR(Q3128/R3128,BR3128)</f>
        <v>1.9801980198019802E-2</v>
      </c>
      <c r="BV3128" s="109">
        <f t="shared" si="2242"/>
        <v>1.9801980198019802E-2</v>
      </c>
      <c r="BW3128" s="109">
        <f t="shared" si="2253"/>
        <v>0</v>
      </c>
      <c r="BX3128" s="111">
        <f t="shared" si="2237"/>
        <v>0</v>
      </c>
      <c r="BY3128" s="129">
        <f t="shared" si="2243"/>
        <v>-2</v>
      </c>
      <c r="BZ3128" s="111">
        <f t="shared" si="2244"/>
        <v>0</v>
      </c>
      <c r="CA3128" s="138">
        <f t="shared" si="2245"/>
        <v>2</v>
      </c>
      <c r="CB3128" s="111" t="e">
        <f>IF(AF3128&gt;1/1/1900,((AF3128+1)-AE3128),"STILL OPEN")</f>
        <v>#VALUE!</v>
      </c>
      <c r="CC3128" s="129">
        <f>M3128-I3128+1</f>
        <v>2</v>
      </c>
      <c r="CD3128" s="111">
        <f t="shared" si="2271"/>
        <v>0</v>
      </c>
      <c r="CG3128" s="129" t="str">
        <f t="shared" si="2246"/>
        <v>N</v>
      </c>
      <c r="CI3128" s="129" t="str">
        <f t="shared" si="2248"/>
        <v>0-10 DAYS</v>
      </c>
      <c r="CJ3128" s="137">
        <f t="shared" si="2249"/>
        <v>1</v>
      </c>
      <c r="CK3128" s="129" t="str">
        <f t="shared" si="2250"/>
        <v>Booked</v>
      </c>
    </row>
    <row r="3129" spans="1:89" ht="15" customHeight="1" x14ac:dyDescent="0.25">
      <c r="A3129" s="111">
        <v>2889</v>
      </c>
      <c r="B3129" s="128" t="str">
        <f t="shared" si="2238"/>
        <v>N</v>
      </c>
      <c r="C3129" s="128" t="str">
        <f t="shared" si="2239"/>
        <v>N</v>
      </c>
      <c r="D3129" s="117">
        <v>2614575</v>
      </c>
      <c r="E3129" s="135">
        <f t="shared" si="2240"/>
        <v>2</v>
      </c>
      <c r="F3129" s="124">
        <v>41016</v>
      </c>
      <c r="G3129" s="125">
        <v>41318</v>
      </c>
      <c r="H3129" s="117">
        <v>2614575</v>
      </c>
      <c r="I3129" s="124" t="s">
        <v>562</v>
      </c>
      <c r="J3129" s="124" t="s">
        <v>562</v>
      </c>
      <c r="K3129" s="126">
        <v>2000</v>
      </c>
      <c r="L3129" s="127" t="s">
        <v>568</v>
      </c>
      <c r="M3129" s="125">
        <v>41025</v>
      </c>
      <c r="N3129" s="129" t="str">
        <f>IF(M3129&gt;1/1/1,"Y",IF(Q3129="0","","N"))</f>
        <v>Y</v>
      </c>
      <c r="O3129" s="128" t="s">
        <v>76</v>
      </c>
      <c r="P3129" s="129" t="s">
        <v>589</v>
      </c>
      <c r="Q3129" s="111">
        <f t="shared" si="2269"/>
        <v>0</v>
      </c>
      <c r="R3129" s="111">
        <f t="shared" si="2227"/>
        <v>303</v>
      </c>
      <c r="S3129" s="129">
        <v>0</v>
      </c>
      <c r="T3129" s="129">
        <v>0</v>
      </c>
      <c r="W3129" s="111"/>
      <c r="AC3129" s="130"/>
      <c r="AD3129" s="130">
        <v>32986</v>
      </c>
      <c r="AE3129" s="128" t="s">
        <v>32</v>
      </c>
      <c r="AF3129" s="128" t="s">
        <v>69</v>
      </c>
      <c r="AG3129" s="128" t="s">
        <v>874</v>
      </c>
      <c r="AH3129" s="108" t="s">
        <v>31</v>
      </c>
      <c r="AI3129" s="128" t="s">
        <v>34</v>
      </c>
      <c r="AJ3129" s="129" t="s">
        <v>48</v>
      </c>
      <c r="AK3129" s="129">
        <v>13</v>
      </c>
      <c r="AL3129" s="3" t="s">
        <v>48</v>
      </c>
      <c r="AP3129" s="129" t="s">
        <v>108</v>
      </c>
      <c r="AR3129" s="128" t="s">
        <v>44</v>
      </c>
      <c r="AS3129" s="129" t="s">
        <v>61</v>
      </c>
      <c r="AY3129" s="123"/>
      <c r="BC3129" s="129" t="s">
        <v>52</v>
      </c>
      <c r="BF3129" s="111">
        <v>0</v>
      </c>
      <c r="BG3129" s="111">
        <v>0</v>
      </c>
      <c r="BH3129" s="111">
        <f t="shared" si="2228"/>
        <v>303</v>
      </c>
      <c r="BI3129" s="111">
        <f t="shared" si="2231"/>
        <v>21.939890710382514</v>
      </c>
      <c r="BJ3129" s="129" t="e">
        <f t="shared" si="2270"/>
        <v>#VALUE!</v>
      </c>
      <c r="BK3129" s="129" t="e">
        <f t="shared" si="2229"/>
        <v>#VALUE!</v>
      </c>
      <c r="BL3129" s="129" t="str">
        <f t="shared" si="2272"/>
        <v>DEFERRED</v>
      </c>
      <c r="BM3129" s="129" t="s">
        <v>76</v>
      </c>
      <c r="BN3129" s="129" t="s">
        <v>88</v>
      </c>
      <c r="BP3129" s="137" t="str">
        <f t="shared" si="2232"/>
        <v>DEFERRED</v>
      </c>
      <c r="BQ3129" s="128">
        <f t="shared" si="2241"/>
        <v>0</v>
      </c>
      <c r="BR3129" s="129" t="s">
        <v>575</v>
      </c>
      <c r="BS3129" s="129" t="str">
        <f t="shared" si="2234"/>
        <v>DISPOSED</v>
      </c>
      <c r="BT3129" s="129" t="str">
        <f t="shared" si="2235"/>
        <v>N</v>
      </c>
      <c r="BU3129" s="109">
        <f t="shared" si="2236"/>
        <v>0</v>
      </c>
      <c r="BV3129" s="109">
        <v>0</v>
      </c>
      <c r="BW3129" s="109">
        <f t="shared" si="2253"/>
        <v>0</v>
      </c>
      <c r="BX3129" s="111">
        <f t="shared" si="2237"/>
        <v>0</v>
      </c>
      <c r="BY3129" s="129" t="e">
        <f t="shared" si="2243"/>
        <v>#VALUE!</v>
      </c>
      <c r="BZ3129" s="111" t="e">
        <f t="shared" si="2244"/>
        <v>#VALUE!</v>
      </c>
      <c r="CA3129" s="138" t="e">
        <f t="shared" si="2245"/>
        <v>#VALUE!</v>
      </c>
      <c r="CB3129" s="111">
        <v>0</v>
      </c>
      <c r="CC3129" s="129">
        <v>0</v>
      </c>
      <c r="CD3129" s="111">
        <f t="shared" si="2271"/>
        <v>0</v>
      </c>
      <c r="CG3129" s="129" t="str">
        <f t="shared" si="2246"/>
        <v>N</v>
      </c>
      <c r="CI3129" s="129" t="str">
        <f t="shared" si="2248"/>
        <v>0-10 DAYS</v>
      </c>
      <c r="CJ3129" s="137">
        <f t="shared" si="2249"/>
        <v>1</v>
      </c>
      <c r="CK3129" s="129" t="str">
        <f t="shared" si="2250"/>
        <v>Not Booked</v>
      </c>
    </row>
    <row r="3130" spans="1:89" ht="15.75" customHeight="1" x14ac:dyDescent="0.25">
      <c r="A3130" s="111">
        <v>2892</v>
      </c>
      <c r="B3130" s="128" t="str">
        <f t="shared" si="2238"/>
        <v>N</v>
      </c>
      <c r="C3130" s="128" t="str">
        <f t="shared" si="2239"/>
        <v>N</v>
      </c>
      <c r="D3130" s="117">
        <v>2614594</v>
      </c>
      <c r="E3130" s="135">
        <f t="shared" si="2240"/>
        <v>1</v>
      </c>
      <c r="F3130" s="124">
        <v>41016</v>
      </c>
      <c r="G3130" s="125">
        <v>41101</v>
      </c>
      <c r="H3130" s="117">
        <v>2614594</v>
      </c>
      <c r="I3130" s="124">
        <v>41017</v>
      </c>
      <c r="J3130" s="124">
        <v>41020</v>
      </c>
      <c r="K3130" s="126">
        <v>5000</v>
      </c>
      <c r="L3130" s="127" t="s">
        <v>569</v>
      </c>
      <c r="M3130" s="125">
        <v>41020</v>
      </c>
      <c r="N3130" s="129" t="str">
        <f>IF(M3130&gt;1/1/1,"Y","N")</f>
        <v>Y</v>
      </c>
      <c r="O3130" s="128" t="s">
        <v>585</v>
      </c>
      <c r="P3130" s="129" t="s">
        <v>123</v>
      </c>
      <c r="Q3130" s="111">
        <f t="shared" si="2269"/>
        <v>4</v>
      </c>
      <c r="R3130" s="111">
        <f t="shared" si="2227"/>
        <v>86</v>
      </c>
      <c r="S3130" s="129">
        <v>0</v>
      </c>
      <c r="T3130" s="129">
        <v>0</v>
      </c>
      <c r="W3130" s="111"/>
      <c r="AC3130" s="130"/>
      <c r="AD3130" s="130">
        <v>31290</v>
      </c>
      <c r="AE3130" s="128" t="s">
        <v>46</v>
      </c>
      <c r="AF3130" s="128" t="s">
        <v>33</v>
      </c>
      <c r="AG3130" s="128" t="s">
        <v>872</v>
      </c>
      <c r="AH3130" s="108" t="s">
        <v>31</v>
      </c>
      <c r="AI3130" s="128" t="s">
        <v>70</v>
      </c>
      <c r="AJ3130" s="129" t="s">
        <v>123</v>
      </c>
      <c r="AK3130" s="129">
        <v>8</v>
      </c>
      <c r="AL3130" s="3" t="s">
        <v>123</v>
      </c>
      <c r="AP3130" s="129" t="s">
        <v>193</v>
      </c>
      <c r="AR3130" s="128" t="s">
        <v>67</v>
      </c>
      <c r="AS3130" s="129" t="s">
        <v>64</v>
      </c>
      <c r="BC3130" s="129" t="s">
        <v>52</v>
      </c>
      <c r="BF3130" s="111">
        <f>IF(J3130&gt;1/1/1900,((J3130+1)-I3130),"STILL OPEN")</f>
        <v>4</v>
      </c>
      <c r="BG3130" s="111">
        <f>IF(G3130&gt;1/1/1900,((G3130+1)-I3130),"STILL OPEN")</f>
        <v>85</v>
      </c>
      <c r="BH3130" s="111">
        <f t="shared" si="2228"/>
        <v>86</v>
      </c>
      <c r="BI3130" s="111">
        <f t="shared" si="2231"/>
        <v>26.57377049180328</v>
      </c>
      <c r="BJ3130" s="129">
        <f t="shared" si="2270"/>
        <v>0</v>
      </c>
      <c r="BK3130" s="129">
        <f t="shared" si="2229"/>
        <v>-81</v>
      </c>
      <c r="BL3130" s="129" t="str">
        <f t="shared" si="2272"/>
        <v>NO CONVICTION</v>
      </c>
      <c r="BM3130" s="129" t="s">
        <v>76</v>
      </c>
      <c r="BN3130" s="129" t="s">
        <v>88</v>
      </c>
      <c r="BP3130" s="137" t="str">
        <f t="shared" si="2232"/>
        <v>NO CONVICTION</v>
      </c>
      <c r="BQ3130" s="128" t="str">
        <f t="shared" si="2241"/>
        <v>Y</v>
      </c>
      <c r="BR3130" s="129" t="str">
        <f t="shared" si="2233"/>
        <v>ON BOND</v>
      </c>
      <c r="BS3130" s="129" t="str">
        <f t="shared" si="2234"/>
        <v>DISPOSED</v>
      </c>
      <c r="BT3130" s="129" t="str">
        <f t="shared" si="2235"/>
        <v>N</v>
      </c>
      <c r="BU3130" s="109">
        <f>IFERROR(Q3130/R3130,BR3130)</f>
        <v>4.6511627906976744E-2</v>
      </c>
      <c r="BV3130" s="109">
        <f t="shared" si="2242"/>
        <v>4.7058823529411764E-2</v>
      </c>
      <c r="BW3130" s="109">
        <f t="shared" si="2253"/>
        <v>5.4719562243502051E-4</v>
      </c>
      <c r="BX3130" s="111">
        <f t="shared" si="2237"/>
        <v>0</v>
      </c>
      <c r="BY3130" s="129">
        <f t="shared" si="2243"/>
        <v>-4</v>
      </c>
      <c r="BZ3130" s="111">
        <f t="shared" si="2244"/>
        <v>0</v>
      </c>
      <c r="CA3130" s="138">
        <f t="shared" si="2245"/>
        <v>4</v>
      </c>
      <c r="CB3130" s="111" t="e">
        <f>IF(AF3130&gt;1/1/1900,((AF3130+1)-AE3130),"STILL OPEN")</f>
        <v>#VALUE!</v>
      </c>
      <c r="CC3130" s="129">
        <f>M3130-I3130+1</f>
        <v>4</v>
      </c>
      <c r="CD3130" s="111">
        <f t="shared" si="2271"/>
        <v>0</v>
      </c>
      <c r="CG3130" s="129" t="str">
        <f t="shared" si="2246"/>
        <v>N</v>
      </c>
      <c r="CI3130" s="129" t="str">
        <f t="shared" si="2248"/>
        <v>0-10 DAYS</v>
      </c>
      <c r="CJ3130" s="137">
        <f t="shared" si="2249"/>
        <v>1</v>
      </c>
      <c r="CK3130" s="129" t="str">
        <f t="shared" si="2250"/>
        <v>Booked</v>
      </c>
    </row>
    <row r="3131" spans="1:89" ht="15.75" customHeight="1" x14ac:dyDescent="0.25">
      <c r="A3131" s="111">
        <v>3093</v>
      </c>
      <c r="B3131" s="128" t="str">
        <f t="shared" si="2238"/>
        <v>N</v>
      </c>
      <c r="C3131" s="128" t="str">
        <f t="shared" si="2239"/>
        <v>N</v>
      </c>
      <c r="D3131" s="117">
        <v>2614596</v>
      </c>
      <c r="E3131" s="135">
        <f t="shared" si="2240"/>
        <v>5</v>
      </c>
      <c r="F3131" s="124">
        <v>41023</v>
      </c>
      <c r="G3131" s="125">
        <v>41487</v>
      </c>
      <c r="H3131" s="117">
        <v>2614596</v>
      </c>
      <c r="I3131" s="124">
        <v>41021</v>
      </c>
      <c r="J3131" s="124">
        <v>41487</v>
      </c>
      <c r="K3131" s="126">
        <v>270000</v>
      </c>
      <c r="L3131" s="129" t="s">
        <v>572</v>
      </c>
      <c r="N3131" s="129" t="str">
        <f>IF(M3131&gt;1/1/1,"Y","N")</f>
        <v>N</v>
      </c>
      <c r="O3131" s="128" t="s">
        <v>917</v>
      </c>
      <c r="P3131" s="129" t="s">
        <v>39</v>
      </c>
      <c r="Q3131" s="111">
        <f t="shared" si="2269"/>
        <v>467</v>
      </c>
      <c r="R3131" s="111">
        <f t="shared" si="2227"/>
        <v>465</v>
      </c>
      <c r="S3131" s="129">
        <v>0</v>
      </c>
      <c r="T3131" s="129">
        <v>0</v>
      </c>
      <c r="W3131" s="111"/>
      <c r="AC3131" s="130"/>
      <c r="AD3131" s="130">
        <v>27376</v>
      </c>
      <c r="AE3131" s="128" t="s">
        <v>32</v>
      </c>
      <c r="AF3131" s="128" t="s">
        <v>33</v>
      </c>
      <c r="AG3131" s="128" t="s">
        <v>872</v>
      </c>
      <c r="AH3131" s="108" t="s">
        <v>31</v>
      </c>
      <c r="AI3131" s="128" t="s">
        <v>47</v>
      </c>
      <c r="AJ3131" s="129" t="s">
        <v>89</v>
      </c>
      <c r="AK3131" s="129">
        <v>19</v>
      </c>
      <c r="AL3131" s="3" t="s">
        <v>992</v>
      </c>
      <c r="AN3131" s="117">
        <v>15</v>
      </c>
      <c r="AP3131" s="129" t="s">
        <v>331</v>
      </c>
      <c r="AR3131" s="128" t="s">
        <v>50</v>
      </c>
      <c r="AS3131" s="129" t="s">
        <v>331</v>
      </c>
      <c r="BC3131" s="129" t="s">
        <v>38</v>
      </c>
      <c r="BF3131" s="111">
        <f>J3131-I3131+1</f>
        <v>467</v>
      </c>
      <c r="BG3131" s="111">
        <f>IF(G3131&gt;1/1/1900,((G3131+1)-I3131),"STILL OPEN")</f>
        <v>467</v>
      </c>
      <c r="BH3131" s="111">
        <f t="shared" si="2228"/>
        <v>465</v>
      </c>
      <c r="BI3131" s="111">
        <f t="shared" si="2231"/>
        <v>37.286885245901637</v>
      </c>
      <c r="BJ3131" s="129">
        <f>G3131-J3131-M3131</f>
        <v>0</v>
      </c>
      <c r="BK3131" s="129">
        <f t="shared" si="2229"/>
        <v>0</v>
      </c>
      <c r="BL3131" s="129" t="str">
        <f t="shared" si="2272"/>
        <v>CONVICTION</v>
      </c>
      <c r="BM3131" s="129" t="str">
        <f>O3131</f>
        <v>NONE</v>
      </c>
      <c r="BN3131" s="129" t="s">
        <v>566</v>
      </c>
      <c r="BP3131" s="137" t="str">
        <f t="shared" si="2232"/>
        <v>CONVICTION</v>
      </c>
      <c r="BQ3131" s="128" t="str">
        <f t="shared" si="2241"/>
        <v>Y</v>
      </c>
      <c r="BR3131" s="129" t="str">
        <f t="shared" si="2233"/>
        <v>DETAINED</v>
      </c>
      <c r="BS3131" s="129" t="str">
        <f t="shared" si="2234"/>
        <v>DISPOSED</v>
      </c>
      <c r="BT3131" s="129" t="str">
        <f t="shared" si="2235"/>
        <v>N</v>
      </c>
      <c r="BU3131" s="109">
        <v>1</v>
      </c>
      <c r="BV3131" s="109">
        <f t="shared" si="2242"/>
        <v>1.0043010752688173</v>
      </c>
      <c r="BW3131" s="109">
        <f t="shared" si="2253"/>
        <v>4.3010752688172893E-3</v>
      </c>
      <c r="BX3131" s="111">
        <f t="shared" si="2237"/>
        <v>0</v>
      </c>
      <c r="BY3131" s="129">
        <f t="shared" si="2243"/>
        <v>-467</v>
      </c>
      <c r="BZ3131" s="111">
        <f t="shared" si="2244"/>
        <v>0</v>
      </c>
      <c r="CA3131" s="138">
        <f t="shared" si="2245"/>
        <v>467</v>
      </c>
      <c r="CB3131" s="111" t="e">
        <f>AF3131-AE3131+1</f>
        <v>#VALUE!</v>
      </c>
      <c r="CC3131" s="129">
        <f>G3131-I3131+1</f>
        <v>467</v>
      </c>
      <c r="CD3131" s="129">
        <f>G3131-J3131</f>
        <v>0</v>
      </c>
      <c r="CG3131" s="129" t="str">
        <f t="shared" si="2246"/>
        <v>N</v>
      </c>
      <c r="CI3131" s="129" t="str">
        <f t="shared" si="2248"/>
        <v xml:space="preserve"> &gt;1YRS&lt;2YRS</v>
      </c>
      <c r="CJ3131" s="137">
        <f t="shared" si="2249"/>
        <v>0</v>
      </c>
      <c r="CK3131" s="129" t="str">
        <f t="shared" si="2250"/>
        <v>Booked</v>
      </c>
    </row>
    <row r="3132" spans="1:89" ht="15" customHeight="1" x14ac:dyDescent="0.25">
      <c r="A3132" s="111">
        <v>2899</v>
      </c>
      <c r="B3132" s="128" t="str">
        <f t="shared" si="2238"/>
        <v>N</v>
      </c>
      <c r="C3132" s="128" t="str">
        <f t="shared" si="2239"/>
        <v>N</v>
      </c>
      <c r="D3132" s="117">
        <v>2614726</v>
      </c>
      <c r="E3132" s="135">
        <f t="shared" si="2240"/>
        <v>2</v>
      </c>
      <c r="F3132" s="124">
        <v>41016</v>
      </c>
      <c r="G3132" s="125">
        <v>41123</v>
      </c>
      <c r="H3132" s="117">
        <v>2614726</v>
      </c>
      <c r="I3132" s="124">
        <v>41017</v>
      </c>
      <c r="J3132" s="124">
        <v>41017</v>
      </c>
      <c r="K3132" s="126">
        <v>2000</v>
      </c>
      <c r="L3132" s="127" t="s">
        <v>568</v>
      </c>
      <c r="M3132" s="125">
        <v>41017</v>
      </c>
      <c r="N3132" s="129" t="str">
        <f>IF(M3132&gt;1/1/1,"Y","N")</f>
        <v>Y</v>
      </c>
      <c r="O3132" s="112" t="s">
        <v>160</v>
      </c>
      <c r="P3132" s="129" t="s">
        <v>589</v>
      </c>
      <c r="Q3132" s="111">
        <f t="shared" si="2269"/>
        <v>1</v>
      </c>
      <c r="R3132" s="111">
        <f t="shared" ref="R3132:R3195" si="2273">BH3132</f>
        <v>108</v>
      </c>
      <c r="S3132" s="129">
        <v>0</v>
      </c>
      <c r="T3132" s="129">
        <v>0</v>
      </c>
      <c r="W3132" s="111"/>
      <c r="AB3132" s="131" t="s">
        <v>112</v>
      </c>
      <c r="AC3132" s="130"/>
      <c r="AD3132" s="130">
        <v>31064</v>
      </c>
      <c r="AE3132" s="128" t="s">
        <v>32</v>
      </c>
      <c r="AF3132" s="128" t="s">
        <v>40</v>
      </c>
      <c r="AG3132" s="128" t="s">
        <v>41</v>
      </c>
      <c r="AH3132" s="108" t="s">
        <v>31</v>
      </c>
      <c r="AI3132" s="128" t="s">
        <v>72</v>
      </c>
      <c r="AJ3132" s="129" t="s">
        <v>48</v>
      </c>
      <c r="AK3132" s="129">
        <v>4</v>
      </c>
      <c r="AL3132" s="3" t="s">
        <v>48</v>
      </c>
      <c r="AP3132" s="129" t="s">
        <v>43</v>
      </c>
      <c r="AR3132" s="128" t="s">
        <v>44</v>
      </c>
      <c r="AS3132" s="129" t="s">
        <v>45</v>
      </c>
      <c r="BC3132" s="129" t="s">
        <v>52</v>
      </c>
      <c r="BF3132" s="111">
        <f>IF(J3132&gt;1/1/1900,((J3132+1)-I3132),"STILL OPEN")</f>
        <v>1</v>
      </c>
      <c r="BG3132" s="111">
        <f>IF(G3132&gt;1/1/1900,((G3132+1)-I3132),"STILL OPEN")</f>
        <v>107</v>
      </c>
      <c r="BH3132" s="111">
        <f t="shared" ref="BH3132:BH3195" si="2274">IF(G3132&gt;1/1/1900,((G3132+1)-F3132),"STILL OPEN")</f>
        <v>108</v>
      </c>
      <c r="BI3132" s="111">
        <f t="shared" si="2231"/>
        <v>27.191256830601095</v>
      </c>
      <c r="BJ3132" s="129">
        <f>(G3132-J3132)+(M3132-G3132)</f>
        <v>0</v>
      </c>
      <c r="BK3132" s="129">
        <f t="shared" ref="BK3132:BK3195" si="2275">J3132-G3132</f>
        <v>-106</v>
      </c>
      <c r="BL3132" s="129" t="str">
        <f t="shared" si="2272"/>
        <v>DEFERRED</v>
      </c>
      <c r="BM3132" s="129" t="s">
        <v>160</v>
      </c>
      <c r="BN3132" s="129" t="s">
        <v>88</v>
      </c>
      <c r="BP3132" s="137" t="str">
        <f t="shared" si="2232"/>
        <v>DEFERRED</v>
      </c>
      <c r="BQ3132" s="128" t="str">
        <f t="shared" si="2241"/>
        <v>Y</v>
      </c>
      <c r="BR3132" s="129" t="str">
        <f t="shared" si="2233"/>
        <v>ON BOND</v>
      </c>
      <c r="BS3132" s="129" t="str">
        <f t="shared" si="2234"/>
        <v>DISPOSED</v>
      </c>
      <c r="BT3132" s="129" t="str">
        <f t="shared" si="2235"/>
        <v>N</v>
      </c>
      <c r="BU3132" s="109">
        <f t="shared" si="2236"/>
        <v>9.2592592592592587E-3</v>
      </c>
      <c r="BV3132" s="109">
        <f t="shared" si="2242"/>
        <v>9.3457943925233638E-3</v>
      </c>
      <c r="BW3132" s="109">
        <f t="shared" si="2253"/>
        <v>8.6535133264105044E-5</v>
      </c>
      <c r="BX3132" s="111">
        <f t="shared" si="2237"/>
        <v>0</v>
      </c>
      <c r="BY3132" s="129">
        <f t="shared" si="2243"/>
        <v>-1</v>
      </c>
      <c r="BZ3132" s="111">
        <f t="shared" si="2244"/>
        <v>0</v>
      </c>
      <c r="CA3132" s="138">
        <f t="shared" si="2245"/>
        <v>1</v>
      </c>
      <c r="CB3132" s="111" t="e">
        <f>IF(AF3132&gt;1/1/1900,((AF3132+1)-AE3132),"STILL OPEN")</f>
        <v>#VALUE!</v>
      </c>
      <c r="CC3132" s="129">
        <f>M3132-I3132+1</f>
        <v>1</v>
      </c>
      <c r="CD3132" s="111">
        <f>CC3132-BF3132</f>
        <v>0</v>
      </c>
      <c r="CG3132" s="129" t="str">
        <f t="shared" si="2246"/>
        <v>N</v>
      </c>
      <c r="CI3132" s="129" t="str">
        <f t="shared" si="2248"/>
        <v>0-10 DAYS</v>
      </c>
      <c r="CJ3132" s="137">
        <f t="shared" si="2249"/>
        <v>1</v>
      </c>
      <c r="CK3132" s="129" t="str">
        <f t="shared" si="2250"/>
        <v>Booked</v>
      </c>
    </row>
    <row r="3133" spans="1:89" ht="15.75" customHeight="1" x14ac:dyDescent="0.25">
      <c r="A3133" s="111">
        <v>2908</v>
      </c>
      <c r="B3133" s="128" t="str">
        <f t="shared" si="2238"/>
        <v>N</v>
      </c>
      <c r="C3133" s="128" t="str">
        <f t="shared" si="2239"/>
        <v>N</v>
      </c>
      <c r="D3133" s="117">
        <v>2614737</v>
      </c>
      <c r="E3133" s="135">
        <f t="shared" si="2240"/>
        <v>2</v>
      </c>
      <c r="F3133" s="124">
        <v>41016</v>
      </c>
      <c r="G3133" s="125">
        <v>41136</v>
      </c>
      <c r="H3133" s="117">
        <v>2614737</v>
      </c>
      <c r="I3133" s="124">
        <v>41017</v>
      </c>
      <c r="J3133" s="124">
        <v>41018</v>
      </c>
      <c r="K3133" s="126">
        <v>10000</v>
      </c>
      <c r="L3133" s="127" t="s">
        <v>570</v>
      </c>
      <c r="M3133" s="125">
        <v>41018</v>
      </c>
      <c r="N3133" s="129" t="str">
        <f>IF(M3133&gt;1/1/1,"Y","N")</f>
        <v>Y</v>
      </c>
      <c r="O3133" s="128" t="s">
        <v>76</v>
      </c>
      <c r="P3133" s="129" t="s">
        <v>589</v>
      </c>
      <c r="Q3133" s="111">
        <f t="shared" si="2269"/>
        <v>2</v>
      </c>
      <c r="R3133" s="111">
        <f t="shared" si="2273"/>
        <v>121</v>
      </c>
      <c r="S3133" s="129">
        <v>0</v>
      </c>
      <c r="T3133" s="129">
        <v>0</v>
      </c>
      <c r="W3133" s="111"/>
      <c r="AC3133" s="130"/>
      <c r="AD3133" s="130">
        <v>34182</v>
      </c>
      <c r="AE3133" s="128" t="s">
        <v>32</v>
      </c>
      <c r="AF3133" s="128" t="s">
        <v>33</v>
      </c>
      <c r="AG3133" s="128" t="s">
        <v>872</v>
      </c>
      <c r="AH3133" s="108" t="s">
        <v>31</v>
      </c>
      <c r="AI3133" s="128" t="s">
        <v>59</v>
      </c>
      <c r="AJ3133" s="129" t="s">
        <v>48</v>
      </c>
      <c r="AK3133" s="129">
        <v>8</v>
      </c>
      <c r="AL3133" s="3" t="s">
        <v>48</v>
      </c>
      <c r="AP3133" s="129" t="s">
        <v>56</v>
      </c>
      <c r="AR3133" s="128" t="s">
        <v>50</v>
      </c>
      <c r="AS3133" s="129" t="s">
        <v>57</v>
      </c>
      <c r="BC3133" s="129" t="s">
        <v>52</v>
      </c>
      <c r="BF3133" s="111">
        <f>IF(J3133&gt;1/1/1900,((J3133+1)-I3133),"STILL OPEN")</f>
        <v>2</v>
      </c>
      <c r="BG3133" s="111">
        <f>IF(G3133&gt;1/1/1900,((G3133+1)-I3133),"STILL OPEN")</f>
        <v>120</v>
      </c>
      <c r="BH3133" s="111">
        <f t="shared" si="2274"/>
        <v>121</v>
      </c>
      <c r="BI3133" s="111">
        <f t="shared" si="2231"/>
        <v>18.672131147540984</v>
      </c>
      <c r="BJ3133" s="129">
        <f>(G3133-J3133)+(M3133-G3133)</f>
        <v>0</v>
      </c>
      <c r="BK3133" s="129">
        <f t="shared" si="2275"/>
        <v>-118</v>
      </c>
      <c r="BL3133" s="129" t="str">
        <f t="shared" si="2272"/>
        <v>DEFERRED</v>
      </c>
      <c r="BM3133" s="129" t="s">
        <v>76</v>
      </c>
      <c r="BN3133" s="129" t="s">
        <v>88</v>
      </c>
      <c r="BP3133" s="137" t="str">
        <f t="shared" si="2232"/>
        <v>DEFERRED</v>
      </c>
      <c r="BQ3133" s="128" t="str">
        <f t="shared" si="2241"/>
        <v>Y</v>
      </c>
      <c r="BR3133" s="129" t="str">
        <f t="shared" si="2233"/>
        <v>ON BOND</v>
      </c>
      <c r="BS3133" s="129" t="str">
        <f t="shared" si="2234"/>
        <v>DISPOSED</v>
      </c>
      <c r="BT3133" s="129" t="str">
        <f t="shared" si="2235"/>
        <v>N</v>
      </c>
      <c r="BU3133" s="109">
        <f t="shared" si="2236"/>
        <v>1.6528925619834711E-2</v>
      </c>
      <c r="BV3133" s="109">
        <f t="shared" si="2242"/>
        <v>1.6666666666666666E-2</v>
      </c>
      <c r="BW3133" s="109">
        <f t="shared" si="2253"/>
        <v>1.3774104683195523E-4</v>
      </c>
      <c r="BX3133" s="111">
        <f t="shared" si="2237"/>
        <v>0</v>
      </c>
      <c r="BY3133" s="129">
        <f t="shared" si="2243"/>
        <v>-2</v>
      </c>
      <c r="BZ3133" s="111">
        <f t="shared" si="2244"/>
        <v>0</v>
      </c>
      <c r="CA3133" s="138">
        <f t="shared" si="2245"/>
        <v>2</v>
      </c>
      <c r="CB3133" s="111" t="e">
        <f>IF(AF3133&gt;1/1/1900,((AF3133+1)-AE3133),"STILL OPEN")</f>
        <v>#VALUE!</v>
      </c>
      <c r="CC3133" s="129">
        <f>M3133-I3133+1</f>
        <v>2</v>
      </c>
      <c r="CD3133" s="111">
        <f>CC3133-BF3133</f>
        <v>0</v>
      </c>
      <c r="CG3133" s="129" t="str">
        <f t="shared" si="2246"/>
        <v>N</v>
      </c>
      <c r="CI3133" s="129" t="str">
        <f t="shared" si="2248"/>
        <v>0-10 DAYS</v>
      </c>
      <c r="CJ3133" s="137">
        <f t="shared" si="2249"/>
        <v>1</v>
      </c>
      <c r="CK3133" s="129" t="str">
        <f t="shared" si="2250"/>
        <v>Booked</v>
      </c>
    </row>
    <row r="3134" spans="1:89" ht="15" customHeight="1" x14ac:dyDescent="0.25">
      <c r="A3134" s="111">
        <v>2909</v>
      </c>
      <c r="B3134" s="128" t="str">
        <f t="shared" si="2238"/>
        <v>N</v>
      </c>
      <c r="C3134" s="128" t="str">
        <f t="shared" si="2239"/>
        <v>N</v>
      </c>
      <c r="D3134" s="117">
        <v>2614738</v>
      </c>
      <c r="E3134" s="135">
        <f t="shared" si="2240"/>
        <v>1</v>
      </c>
      <c r="F3134" s="124">
        <v>41016</v>
      </c>
      <c r="G3134" s="125">
        <v>41192</v>
      </c>
      <c r="H3134" s="117">
        <v>2614738</v>
      </c>
      <c r="I3134" s="124" t="s">
        <v>562</v>
      </c>
      <c r="J3134" s="124" t="s">
        <v>562</v>
      </c>
      <c r="K3134" s="126">
        <v>2000</v>
      </c>
      <c r="L3134" s="127" t="s">
        <v>568</v>
      </c>
      <c r="M3134" s="125">
        <v>41018</v>
      </c>
      <c r="N3134" s="129" t="str">
        <f>IF(M3134&gt;1/1/1,"Y",IF(Q3134="0","","N"))</f>
        <v>Y</v>
      </c>
      <c r="O3134" s="128" t="s">
        <v>76</v>
      </c>
      <c r="P3134" s="129" t="s">
        <v>55</v>
      </c>
      <c r="Q3134" s="111">
        <f t="shared" si="2269"/>
        <v>0</v>
      </c>
      <c r="R3134" s="111">
        <f t="shared" si="2273"/>
        <v>177</v>
      </c>
      <c r="S3134" s="129">
        <v>0</v>
      </c>
      <c r="T3134" s="129">
        <v>0</v>
      </c>
      <c r="W3134" s="111"/>
      <c r="AC3134" s="130"/>
      <c r="AD3134" s="130">
        <v>33630</v>
      </c>
      <c r="AE3134" s="128" t="s">
        <v>46</v>
      </c>
      <c r="AF3134" s="128" t="s">
        <v>69</v>
      </c>
      <c r="AG3134" s="128" t="s">
        <v>874</v>
      </c>
      <c r="AH3134" s="108" t="s">
        <v>31</v>
      </c>
      <c r="AI3134" s="128" t="s">
        <v>97</v>
      </c>
      <c r="AJ3134" s="129" t="s">
        <v>55</v>
      </c>
      <c r="AK3134" s="129">
        <v>7</v>
      </c>
      <c r="AL3134" s="3" t="s">
        <v>55</v>
      </c>
      <c r="AP3134" s="129" t="s">
        <v>98</v>
      </c>
      <c r="AR3134" s="128" t="s">
        <v>44</v>
      </c>
      <c r="AS3134" s="129" t="s">
        <v>64</v>
      </c>
      <c r="BC3134" s="129" t="s">
        <v>52</v>
      </c>
      <c r="BF3134" s="111">
        <v>0</v>
      </c>
      <c r="BG3134" s="111">
        <v>0</v>
      </c>
      <c r="BH3134" s="111">
        <f t="shared" si="2274"/>
        <v>177</v>
      </c>
      <c r="BI3134" s="111">
        <f t="shared" si="2231"/>
        <v>20.180327868852459</v>
      </c>
      <c r="BJ3134" s="129" t="e">
        <f>(G3134-J3134)+(M3134-G3134)</f>
        <v>#VALUE!</v>
      </c>
      <c r="BK3134" s="129" t="e">
        <f t="shared" si="2275"/>
        <v>#VALUE!</v>
      </c>
      <c r="BL3134" s="129" t="str">
        <f t="shared" si="2272"/>
        <v>NO CONVICTION</v>
      </c>
      <c r="BM3134" s="129" t="s">
        <v>76</v>
      </c>
      <c r="BN3134" s="129" t="s">
        <v>88</v>
      </c>
      <c r="BP3134" s="137" t="str">
        <f t="shared" si="2232"/>
        <v>NO CONVICTION</v>
      </c>
      <c r="BQ3134" s="128">
        <f t="shared" si="2241"/>
        <v>0</v>
      </c>
      <c r="BR3134" s="129" t="s">
        <v>575</v>
      </c>
      <c r="BS3134" s="129" t="str">
        <f t="shared" si="2234"/>
        <v>DISPOSED</v>
      </c>
      <c r="BT3134" s="129" t="str">
        <f t="shared" si="2235"/>
        <v>N</v>
      </c>
      <c r="BU3134" s="109">
        <f>IFERROR(Q3134/R3134,BR3134)</f>
        <v>0</v>
      </c>
      <c r="BV3134" s="109">
        <v>0</v>
      </c>
      <c r="BW3134" s="109">
        <f t="shared" si="2253"/>
        <v>0</v>
      </c>
      <c r="BX3134" s="111">
        <f t="shared" si="2237"/>
        <v>0</v>
      </c>
      <c r="BY3134" s="129" t="e">
        <f t="shared" si="2243"/>
        <v>#VALUE!</v>
      </c>
      <c r="BZ3134" s="111" t="e">
        <f t="shared" si="2244"/>
        <v>#VALUE!</v>
      </c>
      <c r="CA3134" s="138" t="e">
        <f t="shared" si="2245"/>
        <v>#VALUE!</v>
      </c>
      <c r="CB3134" s="111">
        <v>0</v>
      </c>
      <c r="CC3134" s="129">
        <v>0</v>
      </c>
      <c r="CD3134" s="111">
        <f>CC3134-BF3134</f>
        <v>0</v>
      </c>
      <c r="CG3134" s="129" t="str">
        <f t="shared" si="2246"/>
        <v>N</v>
      </c>
      <c r="CI3134" s="129" t="str">
        <f t="shared" si="2248"/>
        <v>0-10 DAYS</v>
      </c>
      <c r="CJ3134" s="137">
        <f t="shared" si="2249"/>
        <v>1</v>
      </c>
      <c r="CK3134" s="129" t="str">
        <f t="shared" si="2250"/>
        <v>Not Booked</v>
      </c>
    </row>
    <row r="3135" spans="1:89" ht="15.75" customHeight="1" x14ac:dyDescent="0.25">
      <c r="A3135" s="111">
        <v>2915</v>
      </c>
      <c r="B3135" s="128" t="str">
        <f t="shared" si="2238"/>
        <v>N</v>
      </c>
      <c r="C3135" s="128" t="str">
        <f t="shared" si="2239"/>
        <v>N</v>
      </c>
      <c r="D3135" s="117">
        <v>2614748</v>
      </c>
      <c r="E3135" s="135">
        <f t="shared" si="2240"/>
        <v>1</v>
      </c>
      <c r="F3135" s="124">
        <v>41016</v>
      </c>
      <c r="G3135" s="125">
        <v>41592</v>
      </c>
      <c r="H3135" s="117">
        <v>2614748</v>
      </c>
      <c r="I3135" s="124">
        <v>41017</v>
      </c>
      <c r="J3135" s="124">
        <v>41025</v>
      </c>
      <c r="K3135" s="126">
        <v>30000</v>
      </c>
      <c r="L3135" s="129" t="s">
        <v>572</v>
      </c>
      <c r="M3135" s="125">
        <v>41025</v>
      </c>
      <c r="N3135" s="129" t="str">
        <f t="shared" ref="N3135:N3148" si="2276">IF(M3135&gt;1/1/1,"Y","N")</f>
        <v>Y</v>
      </c>
      <c r="O3135" s="128" t="s">
        <v>76</v>
      </c>
      <c r="P3135" s="129" t="s">
        <v>55</v>
      </c>
      <c r="Q3135" s="111">
        <f t="shared" si="2269"/>
        <v>9</v>
      </c>
      <c r="R3135" s="111">
        <f t="shared" si="2273"/>
        <v>577</v>
      </c>
      <c r="S3135" s="129">
        <v>0</v>
      </c>
      <c r="T3135" s="129">
        <v>0</v>
      </c>
      <c r="W3135" s="111"/>
      <c r="AC3135" s="130"/>
      <c r="AD3135" s="130">
        <v>30936</v>
      </c>
      <c r="AE3135" s="128" t="s">
        <v>32</v>
      </c>
      <c r="AF3135" s="128" t="s">
        <v>69</v>
      </c>
      <c r="AG3135" s="128" t="s">
        <v>874</v>
      </c>
      <c r="AH3135" s="108" t="s">
        <v>31</v>
      </c>
      <c r="AI3135" s="128" t="s">
        <v>141</v>
      </c>
      <c r="AJ3135" s="129" t="s">
        <v>55</v>
      </c>
      <c r="AK3135" s="129">
        <v>20</v>
      </c>
      <c r="AL3135" s="3" t="s">
        <v>55</v>
      </c>
      <c r="AP3135" s="129" t="s">
        <v>105</v>
      </c>
      <c r="AR3135" s="128" t="s">
        <v>92</v>
      </c>
      <c r="AS3135" s="129" t="s">
        <v>106</v>
      </c>
      <c r="BC3135" s="129" t="s">
        <v>52</v>
      </c>
      <c r="BF3135" s="111">
        <f t="shared" ref="BF3135:BF3148" si="2277">IF(J3135&gt;1/1/1900,((J3135+1)-I3135),"STILL OPEN")</f>
        <v>9</v>
      </c>
      <c r="BG3135" s="111">
        <f t="shared" ref="BG3135:BG3148" si="2278">IF(G3135&gt;1/1/1900,((G3135+1)-I3135),"STILL OPEN")</f>
        <v>576</v>
      </c>
      <c r="BH3135" s="111">
        <f t="shared" si="2274"/>
        <v>577</v>
      </c>
      <c r="BI3135" s="111">
        <f t="shared" ref="BI3135:BI3198" si="2279">(F3135-AD3135)/366</f>
        <v>27.540983606557376</v>
      </c>
      <c r="BJ3135" s="129">
        <f>(G3135-J3135)+(M3135-G3135)</f>
        <v>0</v>
      </c>
      <c r="BK3135" s="129">
        <f t="shared" si="2275"/>
        <v>-567</v>
      </c>
      <c r="BL3135" s="129" t="str">
        <f t="shared" si="2272"/>
        <v>NO CONVICTION</v>
      </c>
      <c r="BM3135" s="129" t="s">
        <v>76</v>
      </c>
      <c r="BN3135" s="129" t="s">
        <v>88</v>
      </c>
      <c r="BP3135" s="137" t="str">
        <f t="shared" si="2232"/>
        <v>NO CONVICTION</v>
      </c>
      <c r="BQ3135" s="128" t="str">
        <f t="shared" si="2241"/>
        <v>Y</v>
      </c>
      <c r="BR3135" s="129" t="str">
        <f t="shared" si="2233"/>
        <v>ON BOND</v>
      </c>
      <c r="BS3135" s="129" t="str">
        <f t="shared" si="2234"/>
        <v>DISPOSED</v>
      </c>
      <c r="BT3135" s="129" t="str">
        <f t="shared" si="2235"/>
        <v>N</v>
      </c>
      <c r="BU3135" s="109">
        <f>IFERROR(Q3135/R3135,BR3135)</f>
        <v>1.5597920277296361E-2</v>
      </c>
      <c r="BV3135" s="109">
        <f t="shared" si="2242"/>
        <v>1.5625E-2</v>
      </c>
      <c r="BW3135" s="109">
        <f t="shared" si="2253"/>
        <v>2.7079722703639286E-5</v>
      </c>
      <c r="BX3135" s="111">
        <f t="shared" si="2237"/>
        <v>0</v>
      </c>
      <c r="BY3135" s="129">
        <f t="shared" si="2243"/>
        <v>-9</v>
      </c>
      <c r="BZ3135" s="111">
        <f t="shared" si="2244"/>
        <v>0</v>
      </c>
      <c r="CA3135" s="138">
        <f t="shared" si="2245"/>
        <v>9</v>
      </c>
      <c r="CB3135" s="111" t="e">
        <f t="shared" ref="CB3135:CB3148" si="2280">IF(AF3135&gt;1/1/1900,((AF3135+1)-AE3135),"STILL OPEN")</f>
        <v>#VALUE!</v>
      </c>
      <c r="CC3135" s="129">
        <f>M3135-I3135+1</f>
        <v>9</v>
      </c>
      <c r="CD3135" s="111">
        <f>CC3135-BF3135</f>
        <v>0</v>
      </c>
      <c r="CG3135" s="129" t="str">
        <f t="shared" si="2246"/>
        <v>N</v>
      </c>
      <c r="CI3135" s="129" t="str">
        <f t="shared" si="2248"/>
        <v>0-10 DAYS</v>
      </c>
      <c r="CJ3135" s="137">
        <f t="shared" si="2249"/>
        <v>1</v>
      </c>
      <c r="CK3135" s="129" t="str">
        <f t="shared" si="2250"/>
        <v>Booked</v>
      </c>
    </row>
    <row r="3136" spans="1:89" ht="15.75" customHeight="1" x14ac:dyDescent="0.25">
      <c r="A3136" s="111">
        <v>2913</v>
      </c>
      <c r="B3136" s="128" t="str">
        <f t="shared" si="2238"/>
        <v>N</v>
      </c>
      <c r="C3136" s="128" t="str">
        <f t="shared" si="2239"/>
        <v>N</v>
      </c>
      <c r="D3136" s="117">
        <v>2614749</v>
      </c>
      <c r="E3136" s="135">
        <f t="shared" si="2240"/>
        <v>2</v>
      </c>
      <c r="F3136" s="124">
        <v>41016</v>
      </c>
      <c r="G3136" s="125">
        <v>41032</v>
      </c>
      <c r="H3136" s="117">
        <v>2614749</v>
      </c>
      <c r="I3136" s="124">
        <v>41017</v>
      </c>
      <c r="J3136" s="124">
        <v>41032</v>
      </c>
      <c r="K3136" s="126">
        <v>2000</v>
      </c>
      <c r="L3136" s="127" t="s">
        <v>568</v>
      </c>
      <c r="N3136" s="129" t="str">
        <f t="shared" si="2276"/>
        <v>N</v>
      </c>
      <c r="O3136" s="128" t="s">
        <v>917</v>
      </c>
      <c r="P3136" s="129" t="s">
        <v>589</v>
      </c>
      <c r="Q3136" s="111">
        <f t="shared" si="2269"/>
        <v>16</v>
      </c>
      <c r="R3136" s="111">
        <f t="shared" si="2273"/>
        <v>17</v>
      </c>
      <c r="S3136" s="129">
        <v>0</v>
      </c>
      <c r="T3136" s="129">
        <v>0</v>
      </c>
      <c r="W3136" s="111"/>
      <c r="AC3136" s="130"/>
      <c r="AD3136" s="130">
        <v>34357</v>
      </c>
      <c r="AE3136" s="128" t="s">
        <v>32</v>
      </c>
      <c r="AF3136" s="128" t="s">
        <v>69</v>
      </c>
      <c r="AG3136" s="128" t="s">
        <v>874</v>
      </c>
      <c r="AH3136" s="108" t="s">
        <v>31</v>
      </c>
      <c r="AI3136" s="128" t="s">
        <v>113</v>
      </c>
      <c r="AJ3136" s="129" t="s">
        <v>48</v>
      </c>
      <c r="AK3136" s="129">
        <v>2</v>
      </c>
      <c r="AL3136" s="3" t="s">
        <v>48</v>
      </c>
      <c r="AP3136" s="129" t="s">
        <v>175</v>
      </c>
      <c r="AR3136" s="128" t="s">
        <v>44</v>
      </c>
      <c r="AS3136" s="129" t="s">
        <v>45</v>
      </c>
      <c r="BC3136" s="129" t="s">
        <v>38</v>
      </c>
      <c r="BF3136" s="111">
        <f t="shared" si="2277"/>
        <v>16</v>
      </c>
      <c r="BG3136" s="111">
        <f t="shared" si="2278"/>
        <v>16</v>
      </c>
      <c r="BH3136" s="111">
        <f t="shared" si="2274"/>
        <v>17</v>
      </c>
      <c r="BI3136" s="111">
        <f t="shared" si="2279"/>
        <v>18.193989071038253</v>
      </c>
      <c r="BJ3136" s="129">
        <f>G3136-J3136-M3136</f>
        <v>0</v>
      </c>
      <c r="BK3136" s="129">
        <f t="shared" si="2275"/>
        <v>0</v>
      </c>
      <c r="BL3136" s="129" t="str">
        <f t="shared" si="2272"/>
        <v>DEFERRED</v>
      </c>
      <c r="BM3136" s="129" t="str">
        <f t="shared" ref="BM3136:BM3198" si="2281">O3136</f>
        <v>NONE</v>
      </c>
      <c r="BN3136" s="129" t="s">
        <v>566</v>
      </c>
      <c r="BP3136" s="137" t="str">
        <f t="shared" ref="BP3136:BP3199" si="2282">IF(OR(AJ3136="AQUITTAL",AJ3136="DISMISSED",AJ3136="FINE",AJ3136="NO BILL"),"NO CONVICTION",IF(OR(AJ3136="HCJ",AJ3136="MHH",AJ3136="PROBATION",AJ3136="STJ",AJ3136="TDC",AJ3136="CONVICTED"),"CONVICTION",IF(AJ3136="DEFERRED","DEFERRED","")))</f>
        <v>DEFERRED</v>
      </c>
      <c r="BQ3136" s="128" t="str">
        <f t="shared" si="2241"/>
        <v>Y</v>
      </c>
      <c r="BR3136" s="129" t="str">
        <f t="shared" ref="BR3136:BR3199" si="2283">IF(AND(J3136="NOT BOOKED",M3136&gt;1/1/1),"BONDED - BEFORE BOOKED",IF(BG3136="STILL OPEN","STILL OPEN",IF(N3136="Y","ON BOND",IF(J3136&gt;=G3136,"DETAINED","RELEASED"))))</f>
        <v>DETAINED</v>
      </c>
      <c r="BS3136" s="129" t="str">
        <f t="shared" ref="BS3136:BS3199" si="2284">IF(G3136&lt;&gt;"","DISPOSED","")</f>
        <v>DISPOSED</v>
      </c>
      <c r="BT3136" s="129" t="str">
        <f t="shared" ref="BT3136:BT3199" si="2285">IF(S3136&gt;0,"Y","N")</f>
        <v>N</v>
      </c>
      <c r="BU3136" s="109">
        <f t="shared" ref="BU3136:BU3199" si="2286">Q3136/R3136</f>
        <v>0.94117647058823528</v>
      </c>
      <c r="BV3136" s="109">
        <f t="shared" si="2242"/>
        <v>1</v>
      </c>
      <c r="BW3136" s="109">
        <f t="shared" si="2253"/>
        <v>5.8823529411764719E-2</v>
      </c>
      <c r="BX3136" s="111">
        <f t="shared" ref="BX3136:BX3199" si="2287">+Q3136-BF3136</f>
        <v>0</v>
      </c>
      <c r="BY3136" s="129">
        <f t="shared" si="2243"/>
        <v>-16</v>
      </c>
      <c r="BZ3136" s="111">
        <f t="shared" si="2244"/>
        <v>0</v>
      </c>
      <c r="CA3136" s="138">
        <f t="shared" si="2245"/>
        <v>16</v>
      </c>
      <c r="CB3136" s="111" t="e">
        <f t="shared" si="2280"/>
        <v>#VALUE!</v>
      </c>
      <c r="CC3136" s="129">
        <f>G3136-I3136+1</f>
        <v>16</v>
      </c>
      <c r="CD3136" s="129">
        <f>G3136-J3136</f>
        <v>0</v>
      </c>
      <c r="CG3136" s="129" t="str">
        <f t="shared" si="2246"/>
        <v>N</v>
      </c>
      <c r="CI3136" s="129" t="str">
        <f t="shared" si="2248"/>
        <v>11-30 DAYS</v>
      </c>
      <c r="CJ3136" s="137">
        <f t="shared" si="2249"/>
        <v>2</v>
      </c>
      <c r="CK3136" s="129" t="str">
        <f t="shared" si="2250"/>
        <v>Booked</v>
      </c>
    </row>
    <row r="3137" spans="1:89" ht="15.75" customHeight="1" x14ac:dyDescent="0.25">
      <c r="A3137" s="111">
        <v>2914</v>
      </c>
      <c r="B3137" s="128" t="str">
        <f t="shared" ref="B3137:B3200" si="2288">IF(BD3137&lt;&gt;"","Y","N")</f>
        <v>Y</v>
      </c>
      <c r="C3137" s="128" t="str">
        <f t="shared" ref="C3137:C3200" si="2289">IF((AND(AV3137="",AX3137="",AY3137="")),"N","Y")</f>
        <v>N</v>
      </c>
      <c r="D3137" s="117">
        <v>2614750</v>
      </c>
      <c r="E3137" s="135">
        <f t="shared" ref="E3137:E3200" si="2290">IF(OR(AL3137="ACQUITTAL",AL3137="ACQUIT",AL3137="acq insane",AL3137="DISMISSED",AL3137="NO BILL"),1,IF(AL3137="DEFERRED",2,IF(AL3137="PROBATION",3,IF(OR(AL3137="HCJ",AL3137="fine"),4,IF(AL3137="STJ",5,IF(AL3137="TDC",6,""))))))</f>
        <v>2</v>
      </c>
      <c r="F3137" s="124">
        <v>41016</v>
      </c>
      <c r="G3137" s="125">
        <v>41019</v>
      </c>
      <c r="H3137" s="117">
        <v>2614750</v>
      </c>
      <c r="I3137" s="124">
        <v>41017</v>
      </c>
      <c r="J3137" s="124">
        <v>41019</v>
      </c>
      <c r="K3137" s="126">
        <v>2000</v>
      </c>
      <c r="L3137" s="127" t="s">
        <v>568</v>
      </c>
      <c r="N3137" s="129" t="str">
        <f t="shared" si="2276"/>
        <v>N</v>
      </c>
      <c r="O3137" s="128" t="s">
        <v>917</v>
      </c>
      <c r="P3137" s="129" t="s">
        <v>589</v>
      </c>
      <c r="Q3137" s="111">
        <f t="shared" si="2269"/>
        <v>3</v>
      </c>
      <c r="R3137" s="111">
        <f t="shared" si="2273"/>
        <v>4</v>
      </c>
      <c r="S3137" s="129">
        <v>0</v>
      </c>
      <c r="T3137" s="129">
        <v>0</v>
      </c>
      <c r="W3137" s="111"/>
      <c r="AC3137" s="130"/>
      <c r="AD3137" s="130">
        <v>32894</v>
      </c>
      <c r="AE3137" s="128" t="s">
        <v>32</v>
      </c>
      <c r="AF3137" s="128" t="s">
        <v>69</v>
      </c>
      <c r="AG3137" s="128" t="s">
        <v>874</v>
      </c>
      <c r="AH3137" s="108" t="s">
        <v>31</v>
      </c>
      <c r="AI3137" s="128" t="s">
        <v>113</v>
      </c>
      <c r="AJ3137" s="129" t="s">
        <v>48</v>
      </c>
      <c r="AK3137" s="129">
        <v>2</v>
      </c>
      <c r="AL3137" s="3" t="s">
        <v>48</v>
      </c>
      <c r="AP3137" s="129" t="s">
        <v>175</v>
      </c>
      <c r="AR3137" s="128" t="s">
        <v>44</v>
      </c>
      <c r="AS3137" s="129" t="s">
        <v>45</v>
      </c>
      <c r="AU3137" s="129"/>
      <c r="AW3137" s="125"/>
      <c r="BC3137" s="129" t="s">
        <v>38</v>
      </c>
      <c r="BD3137" s="129" t="s">
        <v>1109</v>
      </c>
      <c r="BF3137" s="111">
        <f t="shared" si="2277"/>
        <v>3</v>
      </c>
      <c r="BG3137" s="111">
        <f t="shared" si="2278"/>
        <v>3</v>
      </c>
      <c r="BH3137" s="111">
        <f t="shared" si="2274"/>
        <v>4</v>
      </c>
      <c r="BI3137" s="111">
        <f t="shared" si="2279"/>
        <v>22.191256830601095</v>
      </c>
      <c r="BJ3137" s="129">
        <f>G3137-J3137-M3137</f>
        <v>0</v>
      </c>
      <c r="BK3137" s="129">
        <f t="shared" si="2275"/>
        <v>0</v>
      </c>
      <c r="BL3137" s="129" t="str">
        <f t="shared" si="2272"/>
        <v>DEFERRED</v>
      </c>
      <c r="BM3137" s="129" t="str">
        <f t="shared" si="2281"/>
        <v>NONE</v>
      </c>
      <c r="BN3137" s="129" t="s">
        <v>566</v>
      </c>
      <c r="BP3137" s="137" t="str">
        <f t="shared" si="2282"/>
        <v>DEFERRED</v>
      </c>
      <c r="BQ3137" s="128" t="str">
        <f t="shared" ref="BQ3137:BQ3200" si="2291">IF(BF3137&gt;0,"Y",BF3137)</f>
        <v>Y</v>
      </c>
      <c r="BR3137" s="129" t="str">
        <f t="shared" si="2283"/>
        <v>DETAINED</v>
      </c>
      <c r="BS3137" s="129" t="str">
        <f t="shared" si="2284"/>
        <v>DISPOSED</v>
      </c>
      <c r="BT3137" s="129" t="str">
        <f t="shared" si="2285"/>
        <v>N</v>
      </c>
      <c r="BU3137" s="109">
        <f t="shared" si="2286"/>
        <v>0.75</v>
      </c>
      <c r="BV3137" s="109">
        <f t="shared" ref="BV3137:BV3200" si="2292">IF(I3137&gt;F3137,((J3137-I3137+1)/(G3137-I3137+1)),(J3137-I3137+1)/(G3137-F3137+1))</f>
        <v>1</v>
      </c>
      <c r="BW3137" s="109">
        <f t="shared" si="2253"/>
        <v>0.25</v>
      </c>
      <c r="BX3137" s="111">
        <f t="shared" si="2287"/>
        <v>0</v>
      </c>
      <c r="BY3137" s="129">
        <f t="shared" ref="BY3137:BY3200" si="2293">I3137-J3137-1</f>
        <v>-3</v>
      </c>
      <c r="BZ3137" s="111">
        <f t="shared" ref="BZ3137:BZ3200" si="2294">BY3137+BF3137</f>
        <v>0</v>
      </c>
      <c r="CA3137" s="138">
        <f t="shared" ref="CA3137:CA3200" si="2295">IF(AND(BS3137="DISPOSED",BR3137="DETAINED"),G3137-I3137+1,IF(AND(BS3137="DISPOSED",BR3137="ON BOND"),M3137-I3137+1,IF(AND(BS3137="STILL OPEN","STILL OPEN"),"NOT BOOKED")))</f>
        <v>3</v>
      </c>
      <c r="CB3137" s="111" t="e">
        <f t="shared" si="2280"/>
        <v>#VALUE!</v>
      </c>
      <c r="CC3137" s="129">
        <f>G3137-I3137+1</f>
        <v>3</v>
      </c>
      <c r="CD3137" s="129">
        <f>G3137-J3137</f>
        <v>0</v>
      </c>
      <c r="CG3137" s="129" t="str">
        <f t="shared" ref="CG3137:CG3200" si="2296">IF((S3137+T3137+U3137)&gt;0,"Y","N")</f>
        <v>N</v>
      </c>
      <c r="CI3137" s="129" t="str">
        <f t="shared" si="2248"/>
        <v>0-10 DAYS</v>
      </c>
      <c r="CJ3137" s="137">
        <f t="shared" si="2249"/>
        <v>1</v>
      </c>
      <c r="CK3137" s="129" t="str">
        <f t="shared" si="2250"/>
        <v>Booked</v>
      </c>
    </row>
    <row r="3138" spans="1:89" ht="15.75" customHeight="1" x14ac:dyDescent="0.25">
      <c r="A3138" s="111">
        <v>2929</v>
      </c>
      <c r="B3138" s="128" t="str">
        <f t="shared" si="2288"/>
        <v>N</v>
      </c>
      <c r="C3138" s="128" t="str">
        <f t="shared" si="2289"/>
        <v>N</v>
      </c>
      <c r="D3138" s="117">
        <v>2614816</v>
      </c>
      <c r="E3138" s="135">
        <f t="shared" si="2290"/>
        <v>1</v>
      </c>
      <c r="F3138" s="124">
        <v>41017</v>
      </c>
      <c r="G3138" s="125">
        <v>41102</v>
      </c>
      <c r="H3138" s="117">
        <v>2614816</v>
      </c>
      <c r="I3138" s="124">
        <v>41017</v>
      </c>
      <c r="J3138" s="124">
        <v>41022</v>
      </c>
      <c r="K3138" s="126">
        <v>30000</v>
      </c>
      <c r="L3138" s="129" t="s">
        <v>572</v>
      </c>
      <c r="M3138" s="125">
        <v>41022</v>
      </c>
      <c r="N3138" s="129" t="str">
        <f t="shared" si="2276"/>
        <v>Y</v>
      </c>
      <c r="O3138" s="128" t="s">
        <v>76</v>
      </c>
      <c r="P3138" s="129" t="s">
        <v>55</v>
      </c>
      <c r="Q3138" s="111">
        <f t="shared" si="2269"/>
        <v>6</v>
      </c>
      <c r="R3138" s="111">
        <f t="shared" si="2273"/>
        <v>86</v>
      </c>
      <c r="S3138" s="129">
        <v>0</v>
      </c>
      <c r="T3138" s="129">
        <v>0</v>
      </c>
      <c r="W3138" s="111"/>
      <c r="AC3138" s="130"/>
      <c r="AD3138" s="130">
        <v>32783</v>
      </c>
      <c r="AE3138" s="128" t="s">
        <v>32</v>
      </c>
      <c r="AF3138" s="128" t="s">
        <v>33</v>
      </c>
      <c r="AG3138" s="128" t="s">
        <v>872</v>
      </c>
      <c r="AH3138" s="108" t="s">
        <v>31</v>
      </c>
      <c r="AI3138" s="128" t="s">
        <v>97</v>
      </c>
      <c r="AJ3138" s="129" t="s">
        <v>55</v>
      </c>
      <c r="AK3138" s="129">
        <v>5</v>
      </c>
      <c r="AL3138" s="3" t="s">
        <v>55</v>
      </c>
      <c r="AP3138" s="129" t="s">
        <v>73</v>
      </c>
      <c r="AR3138" s="128" t="s">
        <v>50</v>
      </c>
      <c r="AS3138" s="129" t="s">
        <v>74</v>
      </c>
      <c r="BC3138" s="129" t="s">
        <v>52</v>
      </c>
      <c r="BF3138" s="111">
        <f t="shared" si="2277"/>
        <v>6</v>
      </c>
      <c r="BG3138" s="111">
        <f t="shared" si="2278"/>
        <v>86</v>
      </c>
      <c r="BH3138" s="111">
        <f t="shared" si="2274"/>
        <v>86</v>
      </c>
      <c r="BI3138" s="111">
        <f t="shared" si="2279"/>
        <v>22.497267759562842</v>
      </c>
      <c r="BJ3138" s="129">
        <f>(G3138-J3138)+(M3138-G3138)</f>
        <v>0</v>
      </c>
      <c r="BK3138" s="129">
        <f t="shared" si="2275"/>
        <v>-80</v>
      </c>
      <c r="BL3138" s="129" t="str">
        <f t="shared" si="2272"/>
        <v>NO CONVICTION</v>
      </c>
      <c r="BM3138" s="129" t="s">
        <v>76</v>
      </c>
      <c r="BN3138" s="129" t="s">
        <v>88</v>
      </c>
      <c r="BP3138" s="137" t="str">
        <f t="shared" si="2282"/>
        <v>NO CONVICTION</v>
      </c>
      <c r="BQ3138" s="128" t="str">
        <f t="shared" si="2291"/>
        <v>Y</v>
      </c>
      <c r="BR3138" s="129" t="str">
        <f t="shared" si="2283"/>
        <v>ON BOND</v>
      </c>
      <c r="BS3138" s="129" t="str">
        <f t="shared" si="2284"/>
        <v>DISPOSED</v>
      </c>
      <c r="BT3138" s="129" t="str">
        <f t="shared" si="2285"/>
        <v>N</v>
      </c>
      <c r="BU3138" s="109">
        <f>IFERROR(Q3138/R3138,BR3138)</f>
        <v>6.9767441860465115E-2</v>
      </c>
      <c r="BV3138" s="109">
        <f t="shared" si="2292"/>
        <v>6.9767441860465115E-2</v>
      </c>
      <c r="BW3138" s="109">
        <f t="shared" si="2253"/>
        <v>0</v>
      </c>
      <c r="BX3138" s="111">
        <f t="shared" si="2287"/>
        <v>0</v>
      </c>
      <c r="BY3138" s="129">
        <f t="shared" si="2293"/>
        <v>-6</v>
      </c>
      <c r="BZ3138" s="111">
        <f t="shared" si="2294"/>
        <v>0</v>
      </c>
      <c r="CA3138" s="138">
        <f t="shared" si="2295"/>
        <v>6</v>
      </c>
      <c r="CB3138" s="111" t="e">
        <f t="shared" si="2280"/>
        <v>#VALUE!</v>
      </c>
      <c r="CC3138" s="129">
        <f>M3138-I3138+1</f>
        <v>6</v>
      </c>
      <c r="CD3138" s="111">
        <f>CC3138-BF3138</f>
        <v>0</v>
      </c>
      <c r="CG3138" s="129" t="str">
        <f t="shared" si="2296"/>
        <v>N</v>
      </c>
      <c r="CI3138" s="129" t="str">
        <f t="shared" si="2248"/>
        <v>0-10 DAYS</v>
      </c>
      <c r="CJ3138" s="137">
        <f t="shared" si="2249"/>
        <v>1</v>
      </c>
      <c r="CK3138" s="129" t="str">
        <f t="shared" si="2250"/>
        <v>Booked</v>
      </c>
    </row>
    <row r="3139" spans="1:89" ht="15.75" customHeight="1" x14ac:dyDescent="0.25">
      <c r="A3139" s="111">
        <v>2927</v>
      </c>
      <c r="B3139" s="128" t="str">
        <f t="shared" si="2288"/>
        <v>N</v>
      </c>
      <c r="C3139" s="128" t="str">
        <f t="shared" si="2289"/>
        <v>N</v>
      </c>
      <c r="D3139" s="117">
        <v>2614822</v>
      </c>
      <c r="E3139" s="135">
        <f t="shared" si="2290"/>
        <v>1</v>
      </c>
      <c r="F3139" s="124">
        <v>41017</v>
      </c>
      <c r="G3139" s="125">
        <v>41190</v>
      </c>
      <c r="H3139" s="117">
        <v>2614822</v>
      </c>
      <c r="I3139" s="124">
        <v>41027</v>
      </c>
      <c r="J3139" s="124">
        <v>41190</v>
      </c>
      <c r="K3139" s="113">
        <v>800000</v>
      </c>
      <c r="L3139" s="129" t="s">
        <v>572</v>
      </c>
      <c r="N3139" s="129" t="str">
        <f t="shared" si="2276"/>
        <v>N</v>
      </c>
      <c r="O3139" s="128" t="s">
        <v>917</v>
      </c>
      <c r="P3139" s="129" t="s">
        <v>55</v>
      </c>
      <c r="Q3139" s="111">
        <f t="shared" si="2269"/>
        <v>164</v>
      </c>
      <c r="R3139" s="111">
        <f t="shared" si="2273"/>
        <v>174</v>
      </c>
      <c r="S3139" s="129">
        <v>0</v>
      </c>
      <c r="T3139" s="129">
        <v>0</v>
      </c>
      <c r="W3139" s="111"/>
      <c r="AC3139" s="130"/>
      <c r="AD3139" s="130">
        <v>24877</v>
      </c>
      <c r="AE3139" s="128" t="s">
        <v>46</v>
      </c>
      <c r="AF3139" s="128" t="s">
        <v>69</v>
      </c>
      <c r="AG3139" s="128" t="s">
        <v>874</v>
      </c>
      <c r="AH3139" s="108" t="s">
        <v>31</v>
      </c>
      <c r="AI3139" s="128" t="s">
        <v>42</v>
      </c>
      <c r="AJ3139" s="129" t="s">
        <v>55</v>
      </c>
      <c r="AK3139" s="129">
        <v>6</v>
      </c>
      <c r="AL3139" s="3" t="s">
        <v>55</v>
      </c>
      <c r="AP3139" s="129" t="s">
        <v>187</v>
      </c>
      <c r="AR3139" s="128" t="s">
        <v>92</v>
      </c>
      <c r="AS3139" s="129" t="s">
        <v>61</v>
      </c>
      <c r="AT3139" s="129" t="s">
        <v>502</v>
      </c>
      <c r="BC3139" s="129" t="s">
        <v>52</v>
      </c>
      <c r="BF3139" s="111">
        <f t="shared" si="2277"/>
        <v>164</v>
      </c>
      <c r="BG3139" s="111">
        <f t="shared" si="2278"/>
        <v>164</v>
      </c>
      <c r="BH3139" s="111">
        <f t="shared" si="2274"/>
        <v>174</v>
      </c>
      <c r="BI3139" s="111">
        <f t="shared" si="2279"/>
        <v>44.098360655737707</v>
      </c>
      <c r="BJ3139" s="129">
        <f>G3139-J3139-M3139</f>
        <v>0</v>
      </c>
      <c r="BK3139" s="129">
        <f t="shared" si="2275"/>
        <v>0</v>
      </c>
      <c r="BL3139" s="129" t="str">
        <f t="shared" si="2272"/>
        <v>NO CONVICTION</v>
      </c>
      <c r="BM3139" s="129" t="str">
        <f t="shared" si="2281"/>
        <v>NONE</v>
      </c>
      <c r="BN3139" s="129" t="s">
        <v>566</v>
      </c>
      <c r="BP3139" s="137" t="str">
        <f t="shared" si="2282"/>
        <v>NO CONVICTION</v>
      </c>
      <c r="BQ3139" s="128" t="str">
        <f t="shared" si="2291"/>
        <v>Y</v>
      </c>
      <c r="BR3139" s="129" t="str">
        <f t="shared" si="2283"/>
        <v>DETAINED</v>
      </c>
      <c r="BS3139" s="129" t="str">
        <f t="shared" si="2284"/>
        <v>DISPOSED</v>
      </c>
      <c r="BT3139" s="129" t="str">
        <f t="shared" si="2285"/>
        <v>N</v>
      </c>
      <c r="BU3139" s="109">
        <f>IFERROR(Q3139/R3139,BR3139)</f>
        <v>0.94252873563218387</v>
      </c>
      <c r="BV3139" s="109">
        <f t="shared" si="2292"/>
        <v>1</v>
      </c>
      <c r="BW3139" s="109">
        <f t="shared" si="2253"/>
        <v>5.7471264367816133E-2</v>
      </c>
      <c r="BX3139" s="111">
        <f t="shared" si="2287"/>
        <v>0</v>
      </c>
      <c r="BY3139" s="129">
        <f t="shared" si="2293"/>
        <v>-164</v>
      </c>
      <c r="BZ3139" s="111">
        <f t="shared" si="2294"/>
        <v>0</v>
      </c>
      <c r="CA3139" s="138">
        <f t="shared" si="2295"/>
        <v>164</v>
      </c>
      <c r="CB3139" s="111" t="e">
        <f t="shared" si="2280"/>
        <v>#VALUE!</v>
      </c>
      <c r="CC3139" s="129">
        <f>G3139-I3139+1</f>
        <v>164</v>
      </c>
      <c r="CD3139" s="129">
        <f>G3139-J3139</f>
        <v>0</v>
      </c>
      <c r="CG3139" s="129" t="str">
        <f t="shared" si="2296"/>
        <v>N</v>
      </c>
      <c r="CI3139" s="129" t="str">
        <f t="shared" ref="CI3139:CI3202" si="2297">IF(BF3139&lt;11,"0-10 DAYS",IF(AND(BF3139&gt;10,BF3139&lt;31),"11-30 DAYS",IF((AND(BF3139&gt;30,BF3139&lt;61)),"31-60 DAYS",IF(AND(BF3139&gt;60,BF3139&lt;91),"61-90 DAYS",IF(AND(BF3139&gt;90,BF3139&lt;121),"91-120 DAYS",IF(AND(BF3139&gt;120,BF3139&lt;366),"121-365 DAYS",IF(AND(BF3139&gt;365,BF3139&lt;730)," &gt;1YRS&lt;2YRS",IF(AND(BF3139&gt;729,BF3139&lt;1095),"&gt;2YRS&lt;3YRS",IF(BF3139&gt;1094,"&gt;3YRS")))))))))</f>
        <v>121-365 DAYS</v>
      </c>
      <c r="CJ3139" s="137">
        <f t="shared" ref="CJ3139:CJ3202" si="2298">IF(CI3139="0-10 DAYS",1,IF(CI3139="11-30 DAYS",2,IF(CI3139="31-60 DAYS",3,IF(CI3139="61-90 DAYS",4,IF(CK3139="91-120 DAYS",5,IF(CI3139="121-365 DAYS",6,IF(CI3139="&gt;1YRS&lt;2YRS",7,IF(CI3139="&gt;2YRS&lt;3YRS",8,IF(CI3139="&gt;3YRS",9,0)))))))))</f>
        <v>6</v>
      </c>
      <c r="CK3139" s="129" t="str">
        <f t="shared" ref="CK3139:CK3202" si="2299">IF(I3139="Not Booked","Not Booked","Booked")</f>
        <v>Booked</v>
      </c>
    </row>
    <row r="3140" spans="1:89" ht="15.75" customHeight="1" x14ac:dyDescent="0.25">
      <c r="A3140" s="111">
        <v>2945</v>
      </c>
      <c r="B3140" s="128" t="str">
        <f t="shared" si="2288"/>
        <v>N</v>
      </c>
      <c r="C3140" s="128" t="str">
        <f t="shared" si="2289"/>
        <v>N</v>
      </c>
      <c r="D3140" s="117">
        <v>2614923</v>
      </c>
      <c r="E3140" s="135">
        <f t="shared" si="2290"/>
        <v>2</v>
      </c>
      <c r="F3140" s="124">
        <v>41017</v>
      </c>
      <c r="G3140" s="125">
        <v>41158</v>
      </c>
      <c r="H3140" s="117">
        <v>2614923</v>
      </c>
      <c r="I3140" s="124">
        <v>41018</v>
      </c>
      <c r="J3140" s="124">
        <v>41019</v>
      </c>
      <c r="K3140" s="126">
        <v>5000</v>
      </c>
      <c r="L3140" s="127" t="s">
        <v>569</v>
      </c>
      <c r="M3140" s="125">
        <v>41019</v>
      </c>
      <c r="N3140" s="129" t="str">
        <f t="shared" si="2276"/>
        <v>Y</v>
      </c>
      <c r="O3140" s="128" t="s">
        <v>76</v>
      </c>
      <c r="P3140" s="129" t="s">
        <v>589</v>
      </c>
      <c r="Q3140" s="111">
        <f t="shared" si="2269"/>
        <v>2</v>
      </c>
      <c r="R3140" s="111">
        <f t="shared" si="2273"/>
        <v>142</v>
      </c>
      <c r="S3140" s="129">
        <v>0</v>
      </c>
      <c r="T3140" s="129">
        <v>0</v>
      </c>
      <c r="W3140" s="111"/>
      <c r="AC3140" s="130"/>
      <c r="AD3140" s="130">
        <v>34375</v>
      </c>
      <c r="AE3140" s="128" t="s">
        <v>32</v>
      </c>
      <c r="AF3140" s="128" t="s">
        <v>69</v>
      </c>
      <c r="AG3140" s="128" t="s">
        <v>874</v>
      </c>
      <c r="AH3140" s="108" t="s">
        <v>31</v>
      </c>
      <c r="AI3140" s="128" t="s">
        <v>65</v>
      </c>
      <c r="AJ3140" s="129" t="s">
        <v>48</v>
      </c>
      <c r="AK3140" s="129">
        <v>6</v>
      </c>
      <c r="AL3140" s="3" t="s">
        <v>48</v>
      </c>
      <c r="AP3140" s="129" t="s">
        <v>108</v>
      </c>
      <c r="AR3140" s="128" t="s">
        <v>44</v>
      </c>
      <c r="AS3140" s="129" t="s">
        <v>61</v>
      </c>
      <c r="BC3140" s="129" t="s">
        <v>52</v>
      </c>
      <c r="BF3140" s="111">
        <f t="shared" si="2277"/>
        <v>2</v>
      </c>
      <c r="BG3140" s="111">
        <f t="shared" si="2278"/>
        <v>141</v>
      </c>
      <c r="BH3140" s="111">
        <f t="shared" si="2274"/>
        <v>142</v>
      </c>
      <c r="BI3140" s="111">
        <f t="shared" si="2279"/>
        <v>18.147540983606557</v>
      </c>
      <c r="BJ3140" s="129">
        <f>(G3140-J3140)+(M3140-G3140)</f>
        <v>0</v>
      </c>
      <c r="BK3140" s="129">
        <f t="shared" si="2275"/>
        <v>-139</v>
      </c>
      <c r="BL3140" s="129" t="str">
        <f t="shared" si="2272"/>
        <v>DEFERRED</v>
      </c>
      <c r="BM3140" s="129" t="s">
        <v>76</v>
      </c>
      <c r="BN3140" s="129" t="s">
        <v>88</v>
      </c>
      <c r="BP3140" s="137" t="str">
        <f t="shared" si="2282"/>
        <v>DEFERRED</v>
      </c>
      <c r="BQ3140" s="128" t="str">
        <f t="shared" si="2291"/>
        <v>Y</v>
      </c>
      <c r="BR3140" s="129" t="str">
        <f t="shared" si="2283"/>
        <v>ON BOND</v>
      </c>
      <c r="BS3140" s="129" t="str">
        <f t="shared" si="2284"/>
        <v>DISPOSED</v>
      </c>
      <c r="BT3140" s="129" t="str">
        <f t="shared" si="2285"/>
        <v>N</v>
      </c>
      <c r="BU3140" s="109">
        <f t="shared" si="2286"/>
        <v>1.4084507042253521E-2</v>
      </c>
      <c r="BV3140" s="109">
        <f t="shared" si="2292"/>
        <v>1.4184397163120567E-2</v>
      </c>
      <c r="BW3140" s="109">
        <f t="shared" si="2253"/>
        <v>9.9890120867045587E-5</v>
      </c>
      <c r="BX3140" s="111">
        <f t="shared" si="2287"/>
        <v>0</v>
      </c>
      <c r="BY3140" s="129">
        <f t="shared" si="2293"/>
        <v>-2</v>
      </c>
      <c r="BZ3140" s="111">
        <f t="shared" si="2294"/>
        <v>0</v>
      </c>
      <c r="CA3140" s="138">
        <f t="shared" si="2295"/>
        <v>2</v>
      </c>
      <c r="CB3140" s="111" t="e">
        <f t="shared" si="2280"/>
        <v>#VALUE!</v>
      </c>
      <c r="CC3140" s="129">
        <f>M3140-I3140+1</f>
        <v>2</v>
      </c>
      <c r="CD3140" s="111">
        <f>CC3140-BF3140</f>
        <v>0</v>
      </c>
      <c r="CG3140" s="129" t="str">
        <f t="shared" si="2296"/>
        <v>N</v>
      </c>
      <c r="CI3140" s="129" t="str">
        <f t="shared" si="2297"/>
        <v>0-10 DAYS</v>
      </c>
      <c r="CJ3140" s="137">
        <f t="shared" si="2298"/>
        <v>1</v>
      </c>
      <c r="CK3140" s="129" t="str">
        <f t="shared" si="2299"/>
        <v>Booked</v>
      </c>
    </row>
    <row r="3141" spans="1:89" ht="15.75" customHeight="1" x14ac:dyDescent="0.25">
      <c r="A3141" s="111">
        <v>2947</v>
      </c>
      <c r="B3141" s="128" t="str">
        <f t="shared" si="2288"/>
        <v>N</v>
      </c>
      <c r="C3141" s="128" t="str">
        <f t="shared" si="2289"/>
        <v>N</v>
      </c>
      <c r="D3141" s="117">
        <v>2614928</v>
      </c>
      <c r="E3141" s="135">
        <f t="shared" si="2290"/>
        <v>5</v>
      </c>
      <c r="F3141" s="124">
        <v>41017</v>
      </c>
      <c r="G3141" s="125">
        <v>41022</v>
      </c>
      <c r="H3141" s="117">
        <v>2614928</v>
      </c>
      <c r="I3141" s="124">
        <v>41018</v>
      </c>
      <c r="J3141" s="124">
        <v>41022</v>
      </c>
      <c r="K3141" s="126">
        <v>35000</v>
      </c>
      <c r="L3141" s="129" t="s">
        <v>572</v>
      </c>
      <c r="N3141" s="129" t="str">
        <f t="shared" si="2276"/>
        <v>N</v>
      </c>
      <c r="O3141" s="128" t="s">
        <v>917</v>
      </c>
      <c r="P3141" s="129" t="s">
        <v>39</v>
      </c>
      <c r="Q3141" s="111">
        <f t="shared" si="2269"/>
        <v>5</v>
      </c>
      <c r="R3141" s="111">
        <f t="shared" si="2273"/>
        <v>6</v>
      </c>
      <c r="S3141" s="129">
        <v>0</v>
      </c>
      <c r="T3141" s="129">
        <v>0</v>
      </c>
      <c r="W3141" s="111"/>
      <c r="AB3141" s="131" t="s">
        <v>112</v>
      </c>
      <c r="AC3141" s="130"/>
      <c r="AD3141" s="130">
        <v>30693</v>
      </c>
      <c r="AE3141" s="128" t="s">
        <v>32</v>
      </c>
      <c r="AF3141" s="128" t="s">
        <v>40</v>
      </c>
      <c r="AG3141" s="128" t="s">
        <v>41</v>
      </c>
      <c r="AH3141" s="108" t="s">
        <v>31</v>
      </c>
      <c r="AI3141" s="128" t="s">
        <v>71</v>
      </c>
      <c r="AJ3141" s="129" t="s">
        <v>89</v>
      </c>
      <c r="AK3141" s="129">
        <v>2</v>
      </c>
      <c r="AL3141" s="3" t="s">
        <v>992</v>
      </c>
      <c r="AN3141" s="117">
        <v>6</v>
      </c>
      <c r="AP3141" s="129" t="s">
        <v>167</v>
      </c>
      <c r="AR3141" s="128" t="s">
        <v>44</v>
      </c>
      <c r="AS3141" s="129" t="s">
        <v>64</v>
      </c>
      <c r="BC3141" s="129" t="s">
        <v>38</v>
      </c>
      <c r="BF3141" s="111">
        <f t="shared" si="2277"/>
        <v>5</v>
      </c>
      <c r="BG3141" s="111">
        <f t="shared" si="2278"/>
        <v>5</v>
      </c>
      <c r="BH3141" s="111">
        <f t="shared" si="2274"/>
        <v>6</v>
      </c>
      <c r="BI3141" s="111">
        <f t="shared" si="2279"/>
        <v>28.207650273224044</v>
      </c>
      <c r="BJ3141" s="129">
        <f>G3141-J3141-M3141</f>
        <v>0</v>
      </c>
      <c r="BK3141" s="129">
        <f t="shared" si="2275"/>
        <v>0</v>
      </c>
      <c r="BL3141" s="129" t="str">
        <f t="shared" si="2272"/>
        <v>CONVICTION</v>
      </c>
      <c r="BM3141" s="129" t="str">
        <f t="shared" si="2281"/>
        <v>NONE</v>
      </c>
      <c r="BN3141" s="129" t="s">
        <v>566</v>
      </c>
      <c r="BP3141" s="137" t="str">
        <f t="shared" si="2282"/>
        <v>CONVICTION</v>
      </c>
      <c r="BQ3141" s="128" t="str">
        <f t="shared" si="2291"/>
        <v>Y</v>
      </c>
      <c r="BR3141" s="129" t="str">
        <f t="shared" si="2283"/>
        <v>DETAINED</v>
      </c>
      <c r="BS3141" s="129" t="str">
        <f t="shared" si="2284"/>
        <v>DISPOSED</v>
      </c>
      <c r="BT3141" s="129" t="str">
        <f t="shared" si="2285"/>
        <v>N</v>
      </c>
      <c r="BU3141" s="109">
        <f t="shared" si="2286"/>
        <v>0.83333333333333337</v>
      </c>
      <c r="BV3141" s="109">
        <f t="shared" si="2292"/>
        <v>1</v>
      </c>
      <c r="BW3141" s="109">
        <f t="shared" si="2253"/>
        <v>0.16666666666666663</v>
      </c>
      <c r="BX3141" s="111">
        <f t="shared" si="2287"/>
        <v>0</v>
      </c>
      <c r="BY3141" s="129">
        <f t="shared" si="2293"/>
        <v>-5</v>
      </c>
      <c r="BZ3141" s="111">
        <f t="shared" si="2294"/>
        <v>0</v>
      </c>
      <c r="CA3141" s="138">
        <f t="shared" si="2295"/>
        <v>5</v>
      </c>
      <c r="CB3141" s="111" t="e">
        <f t="shared" si="2280"/>
        <v>#VALUE!</v>
      </c>
      <c r="CC3141" s="129">
        <f>G3141-I3141+1</f>
        <v>5</v>
      </c>
      <c r="CD3141" s="129">
        <f>G3141-J3141</f>
        <v>0</v>
      </c>
      <c r="CG3141" s="129" t="str">
        <f t="shared" si="2296"/>
        <v>N</v>
      </c>
      <c r="CI3141" s="129" t="str">
        <f t="shared" si="2297"/>
        <v>0-10 DAYS</v>
      </c>
      <c r="CJ3141" s="137">
        <f t="shared" si="2298"/>
        <v>1</v>
      </c>
      <c r="CK3141" s="129" t="str">
        <f t="shared" si="2299"/>
        <v>Booked</v>
      </c>
    </row>
    <row r="3142" spans="1:89" ht="15.75" customHeight="1" x14ac:dyDescent="0.25">
      <c r="A3142" s="111">
        <v>2946</v>
      </c>
      <c r="B3142" s="128" t="str">
        <f t="shared" si="2288"/>
        <v>N</v>
      </c>
      <c r="C3142" s="128" t="str">
        <f t="shared" si="2289"/>
        <v>N</v>
      </c>
      <c r="D3142" s="117">
        <v>2614930</v>
      </c>
      <c r="E3142" s="135">
        <f t="shared" si="2290"/>
        <v>4</v>
      </c>
      <c r="F3142" s="124">
        <v>41017</v>
      </c>
      <c r="G3142" s="125">
        <v>41019</v>
      </c>
      <c r="H3142" s="117">
        <v>2614930</v>
      </c>
      <c r="I3142" s="124">
        <v>41018</v>
      </c>
      <c r="J3142" s="124">
        <v>41019</v>
      </c>
      <c r="K3142" s="126">
        <v>2000</v>
      </c>
      <c r="L3142" s="127" t="s">
        <v>568</v>
      </c>
      <c r="N3142" s="129" t="str">
        <f t="shared" si="2276"/>
        <v>N</v>
      </c>
      <c r="O3142" s="128" t="s">
        <v>917</v>
      </c>
      <c r="P3142" s="129" t="s">
        <v>39</v>
      </c>
      <c r="Q3142" s="111">
        <f t="shared" si="2269"/>
        <v>2</v>
      </c>
      <c r="R3142" s="111">
        <f t="shared" si="2273"/>
        <v>3</v>
      </c>
      <c r="S3142" s="129">
        <v>0</v>
      </c>
      <c r="T3142" s="129">
        <v>0</v>
      </c>
      <c r="W3142" s="111"/>
      <c r="AB3142" s="131" t="s">
        <v>112</v>
      </c>
      <c r="AC3142" s="130"/>
      <c r="AD3142" s="130">
        <v>34363</v>
      </c>
      <c r="AE3142" s="128" t="s">
        <v>46</v>
      </c>
      <c r="AF3142" s="128" t="s">
        <v>40</v>
      </c>
      <c r="AG3142" s="128" t="s">
        <v>41</v>
      </c>
      <c r="AH3142" s="108" t="s">
        <v>31</v>
      </c>
      <c r="AI3142" s="128" t="s">
        <v>70</v>
      </c>
      <c r="AJ3142" s="129" t="s">
        <v>89</v>
      </c>
      <c r="AK3142" s="129">
        <v>1</v>
      </c>
      <c r="AL3142" s="3" t="s">
        <v>991</v>
      </c>
      <c r="AO3142" s="128">
        <v>90</v>
      </c>
      <c r="AP3142" s="129" t="s">
        <v>43</v>
      </c>
      <c r="AR3142" s="128" t="s">
        <v>44</v>
      </c>
      <c r="AS3142" s="129" t="s">
        <v>45</v>
      </c>
      <c r="BC3142" s="129" t="s">
        <v>38</v>
      </c>
      <c r="BF3142" s="111">
        <f t="shared" si="2277"/>
        <v>2</v>
      </c>
      <c r="BG3142" s="111">
        <f t="shared" si="2278"/>
        <v>2</v>
      </c>
      <c r="BH3142" s="111">
        <f t="shared" si="2274"/>
        <v>3</v>
      </c>
      <c r="BI3142" s="111">
        <f t="shared" si="2279"/>
        <v>18.180327868852459</v>
      </c>
      <c r="BJ3142" s="129">
        <f>G3142-J3142-M3142</f>
        <v>0</v>
      </c>
      <c r="BK3142" s="129">
        <f t="shared" si="2275"/>
        <v>0</v>
      </c>
      <c r="BL3142" s="129" t="str">
        <f t="shared" si="2272"/>
        <v>CONVICTION</v>
      </c>
      <c r="BM3142" s="129" t="str">
        <f t="shared" si="2281"/>
        <v>NONE</v>
      </c>
      <c r="BN3142" s="129" t="s">
        <v>566</v>
      </c>
      <c r="BP3142" s="137" t="str">
        <f t="shared" si="2282"/>
        <v>CONVICTION</v>
      </c>
      <c r="BQ3142" s="128" t="str">
        <f t="shared" si="2291"/>
        <v>Y</v>
      </c>
      <c r="BR3142" s="129" t="str">
        <f t="shared" si="2283"/>
        <v>DETAINED</v>
      </c>
      <c r="BS3142" s="129" t="str">
        <f t="shared" si="2284"/>
        <v>DISPOSED</v>
      </c>
      <c r="BT3142" s="129" t="str">
        <f t="shared" si="2285"/>
        <v>N</v>
      </c>
      <c r="BU3142" s="109">
        <f t="shared" si="2286"/>
        <v>0.66666666666666663</v>
      </c>
      <c r="BV3142" s="109">
        <f t="shared" si="2292"/>
        <v>1</v>
      </c>
      <c r="BW3142" s="109">
        <f t="shared" si="2253"/>
        <v>0.33333333333333337</v>
      </c>
      <c r="BX3142" s="111">
        <f t="shared" si="2287"/>
        <v>0</v>
      </c>
      <c r="BY3142" s="129">
        <f t="shared" si="2293"/>
        <v>-2</v>
      </c>
      <c r="BZ3142" s="111">
        <f t="shared" si="2294"/>
        <v>0</v>
      </c>
      <c r="CA3142" s="138">
        <f t="shared" si="2295"/>
        <v>2</v>
      </c>
      <c r="CB3142" s="111" t="e">
        <f t="shared" si="2280"/>
        <v>#VALUE!</v>
      </c>
      <c r="CC3142" s="129">
        <f>G3142-I3142+1</f>
        <v>2</v>
      </c>
      <c r="CD3142" s="129">
        <f>G3142-J3142</f>
        <v>0</v>
      </c>
      <c r="CG3142" s="129" t="str">
        <f t="shared" si="2296"/>
        <v>N</v>
      </c>
      <c r="CI3142" s="129" t="str">
        <f t="shared" si="2297"/>
        <v>0-10 DAYS</v>
      </c>
      <c r="CJ3142" s="137">
        <f t="shared" si="2298"/>
        <v>1</v>
      </c>
      <c r="CK3142" s="129" t="str">
        <f t="shared" si="2299"/>
        <v>Booked</v>
      </c>
    </row>
    <row r="3143" spans="1:89" ht="15.75" customHeight="1" x14ac:dyDescent="0.25">
      <c r="A3143" s="111">
        <v>2959</v>
      </c>
      <c r="B3143" s="128" t="str">
        <f t="shared" si="2288"/>
        <v>Y</v>
      </c>
      <c r="C3143" s="128" t="str">
        <f t="shared" si="2289"/>
        <v>N</v>
      </c>
      <c r="D3143" s="117">
        <v>2614947</v>
      </c>
      <c r="E3143" s="135">
        <f t="shared" si="2290"/>
        <v>2</v>
      </c>
      <c r="F3143" s="124">
        <v>41018</v>
      </c>
      <c r="G3143" s="125">
        <v>41103</v>
      </c>
      <c r="H3143" s="117">
        <v>2614947</v>
      </c>
      <c r="I3143" s="124">
        <v>41018</v>
      </c>
      <c r="J3143" s="124">
        <v>41103</v>
      </c>
      <c r="K3143" s="126">
        <v>12000</v>
      </c>
      <c r="L3143" s="127" t="s">
        <v>571</v>
      </c>
      <c r="N3143" s="129" t="str">
        <f t="shared" si="2276"/>
        <v>N</v>
      </c>
      <c r="O3143" s="128" t="s">
        <v>917</v>
      </c>
      <c r="P3143" s="129" t="s">
        <v>589</v>
      </c>
      <c r="Q3143" s="111">
        <f t="shared" si="2269"/>
        <v>86</v>
      </c>
      <c r="R3143" s="111">
        <f t="shared" si="2273"/>
        <v>86</v>
      </c>
      <c r="S3143" s="129">
        <v>0</v>
      </c>
      <c r="T3143" s="129">
        <v>0</v>
      </c>
      <c r="W3143" s="111"/>
      <c r="AC3143" s="130"/>
      <c r="AD3143" s="130">
        <v>33545</v>
      </c>
      <c r="AE3143" s="128" t="s">
        <v>32</v>
      </c>
      <c r="AF3143" s="128" t="s">
        <v>33</v>
      </c>
      <c r="AG3143" s="128" t="s">
        <v>872</v>
      </c>
      <c r="AH3143" s="108" t="s">
        <v>58</v>
      </c>
      <c r="AI3143" s="128" t="s">
        <v>71</v>
      </c>
      <c r="AJ3143" s="129" t="s">
        <v>48</v>
      </c>
      <c r="AK3143" s="129">
        <v>4</v>
      </c>
      <c r="AL3143" s="3" t="s">
        <v>48</v>
      </c>
      <c r="AP3143" s="129" t="s">
        <v>390</v>
      </c>
      <c r="AR3143" s="128" t="s">
        <v>44</v>
      </c>
      <c r="AS3143" s="129" t="s">
        <v>64</v>
      </c>
      <c r="BC3143" s="129" t="s">
        <v>38</v>
      </c>
      <c r="BD3143" s="129" t="s">
        <v>1045</v>
      </c>
      <c r="BF3143" s="111">
        <f t="shared" si="2277"/>
        <v>86</v>
      </c>
      <c r="BG3143" s="111">
        <f t="shared" si="2278"/>
        <v>86</v>
      </c>
      <c r="BH3143" s="111">
        <f t="shared" si="2274"/>
        <v>86</v>
      </c>
      <c r="BI3143" s="111">
        <f t="shared" si="2279"/>
        <v>20.418032786885245</v>
      </c>
      <c r="BJ3143" s="129">
        <f>G3143-J3143-M3143</f>
        <v>0</v>
      </c>
      <c r="BK3143" s="129">
        <f t="shared" si="2275"/>
        <v>0</v>
      </c>
      <c r="BL3143" s="129" t="str">
        <f t="shared" si="2272"/>
        <v>DEFERRED</v>
      </c>
      <c r="BM3143" s="129" t="str">
        <f t="shared" si="2281"/>
        <v>NONE</v>
      </c>
      <c r="BN3143" s="129" t="s">
        <v>566</v>
      </c>
      <c r="BP3143" s="137" t="str">
        <f t="shared" si="2282"/>
        <v>DEFERRED</v>
      </c>
      <c r="BQ3143" s="128" t="str">
        <f t="shared" si="2291"/>
        <v>Y</v>
      </c>
      <c r="BR3143" s="129" t="str">
        <f t="shared" si="2283"/>
        <v>DETAINED</v>
      </c>
      <c r="BS3143" s="129" t="str">
        <f t="shared" si="2284"/>
        <v>DISPOSED</v>
      </c>
      <c r="BT3143" s="129" t="str">
        <f t="shared" si="2285"/>
        <v>N</v>
      </c>
      <c r="BU3143" s="109">
        <f t="shared" si="2286"/>
        <v>1</v>
      </c>
      <c r="BV3143" s="109">
        <f t="shared" si="2292"/>
        <v>1</v>
      </c>
      <c r="BW3143" s="109">
        <f t="shared" si="2253"/>
        <v>0</v>
      </c>
      <c r="BX3143" s="111">
        <f t="shared" si="2287"/>
        <v>0</v>
      </c>
      <c r="BY3143" s="129">
        <f t="shared" si="2293"/>
        <v>-86</v>
      </c>
      <c r="BZ3143" s="111">
        <f t="shared" si="2294"/>
        <v>0</v>
      </c>
      <c r="CA3143" s="138">
        <f t="shared" si="2295"/>
        <v>86</v>
      </c>
      <c r="CB3143" s="111" t="e">
        <f t="shared" si="2280"/>
        <v>#VALUE!</v>
      </c>
      <c r="CC3143" s="129">
        <f>G3143-I3143+1</f>
        <v>86</v>
      </c>
      <c r="CD3143" s="129">
        <f>G3143-J3143</f>
        <v>0</v>
      </c>
      <c r="CG3143" s="129" t="str">
        <f t="shared" si="2296"/>
        <v>N</v>
      </c>
      <c r="CI3143" s="129" t="str">
        <f t="shared" si="2297"/>
        <v>61-90 DAYS</v>
      </c>
      <c r="CJ3143" s="137">
        <f t="shared" si="2298"/>
        <v>4</v>
      </c>
      <c r="CK3143" s="129" t="str">
        <f t="shared" si="2299"/>
        <v>Booked</v>
      </c>
    </row>
    <row r="3144" spans="1:89" ht="15.75" customHeight="1" x14ac:dyDescent="0.25">
      <c r="A3144" s="111">
        <v>2963</v>
      </c>
      <c r="B3144" s="128" t="str">
        <f t="shared" si="2288"/>
        <v>N</v>
      </c>
      <c r="C3144" s="128" t="str">
        <f t="shared" si="2289"/>
        <v>N</v>
      </c>
      <c r="D3144" s="117">
        <v>2614960</v>
      </c>
      <c r="E3144" s="135">
        <f t="shared" si="2290"/>
        <v>4</v>
      </c>
      <c r="F3144" s="124">
        <v>41018</v>
      </c>
      <c r="G3144" s="125">
        <v>41019</v>
      </c>
      <c r="H3144" s="117">
        <v>2614960</v>
      </c>
      <c r="I3144" s="124">
        <v>41018</v>
      </c>
      <c r="J3144" s="124">
        <v>41019</v>
      </c>
      <c r="K3144" s="126">
        <v>35000</v>
      </c>
      <c r="L3144" s="129" t="s">
        <v>572</v>
      </c>
      <c r="N3144" s="129" t="str">
        <f t="shared" si="2276"/>
        <v>N</v>
      </c>
      <c r="O3144" s="128" t="s">
        <v>917</v>
      </c>
      <c r="P3144" s="129" t="s">
        <v>39</v>
      </c>
      <c r="Q3144" s="111">
        <f t="shared" si="2269"/>
        <v>2</v>
      </c>
      <c r="R3144" s="111">
        <f t="shared" si="2273"/>
        <v>2</v>
      </c>
      <c r="S3144" s="129">
        <v>0</v>
      </c>
      <c r="T3144" s="129">
        <v>0</v>
      </c>
      <c r="W3144" s="111"/>
      <c r="AB3144" s="131" t="s">
        <v>112</v>
      </c>
      <c r="AC3144" s="130"/>
      <c r="AD3144" s="130">
        <v>31637</v>
      </c>
      <c r="AE3144" s="128" t="s">
        <v>32</v>
      </c>
      <c r="AF3144" s="128" t="s">
        <v>40</v>
      </c>
      <c r="AG3144" s="128" t="s">
        <v>41</v>
      </c>
      <c r="AH3144" s="108" t="s">
        <v>31</v>
      </c>
      <c r="AI3144" s="128" t="s">
        <v>114</v>
      </c>
      <c r="AJ3144" s="129" t="s">
        <v>89</v>
      </c>
      <c r="AK3144" s="129">
        <v>1</v>
      </c>
      <c r="AL3144" s="3" t="s">
        <v>991</v>
      </c>
      <c r="AO3144" s="128">
        <v>120</v>
      </c>
      <c r="AP3144" s="129" t="s">
        <v>171</v>
      </c>
      <c r="AR3144" s="128" t="s">
        <v>44</v>
      </c>
      <c r="AS3144" s="129" t="s">
        <v>64</v>
      </c>
      <c r="BC3144" s="129" t="s">
        <v>38</v>
      </c>
      <c r="BF3144" s="111">
        <f t="shared" si="2277"/>
        <v>2</v>
      </c>
      <c r="BG3144" s="111">
        <f t="shared" si="2278"/>
        <v>2</v>
      </c>
      <c r="BH3144" s="111">
        <f t="shared" si="2274"/>
        <v>2</v>
      </c>
      <c r="BI3144" s="111">
        <f t="shared" si="2279"/>
        <v>25.631147540983605</v>
      </c>
      <c r="BJ3144" s="129">
        <f>G3144-J3144-M3144</f>
        <v>0</v>
      </c>
      <c r="BK3144" s="129">
        <f t="shared" si="2275"/>
        <v>0</v>
      </c>
      <c r="BL3144" s="129" t="str">
        <f t="shared" si="2272"/>
        <v>CONVICTION</v>
      </c>
      <c r="BM3144" s="129" t="str">
        <f t="shared" si="2281"/>
        <v>NONE</v>
      </c>
      <c r="BN3144" s="129" t="s">
        <v>566</v>
      </c>
      <c r="BP3144" s="137" t="str">
        <f t="shared" si="2282"/>
        <v>CONVICTION</v>
      </c>
      <c r="BQ3144" s="128" t="str">
        <f t="shared" si="2291"/>
        <v>Y</v>
      </c>
      <c r="BR3144" s="129" t="str">
        <f t="shared" si="2283"/>
        <v>DETAINED</v>
      </c>
      <c r="BS3144" s="129" t="str">
        <f t="shared" si="2284"/>
        <v>DISPOSED</v>
      </c>
      <c r="BT3144" s="129" t="str">
        <f t="shared" si="2285"/>
        <v>N</v>
      </c>
      <c r="BU3144" s="109">
        <f t="shared" si="2286"/>
        <v>1</v>
      </c>
      <c r="BV3144" s="109">
        <f t="shared" si="2292"/>
        <v>1</v>
      </c>
      <c r="BW3144" s="109">
        <f t="shared" si="2253"/>
        <v>0</v>
      </c>
      <c r="BX3144" s="111">
        <f t="shared" si="2287"/>
        <v>0</v>
      </c>
      <c r="BY3144" s="129">
        <f t="shared" si="2293"/>
        <v>-2</v>
      </c>
      <c r="BZ3144" s="111">
        <f t="shared" si="2294"/>
        <v>0</v>
      </c>
      <c r="CA3144" s="138">
        <f t="shared" si="2295"/>
        <v>2</v>
      </c>
      <c r="CB3144" s="111" t="e">
        <f t="shared" si="2280"/>
        <v>#VALUE!</v>
      </c>
      <c r="CC3144" s="129">
        <f>G3144-I3144+1</f>
        <v>2</v>
      </c>
      <c r="CD3144" s="129">
        <f>G3144-J3144</f>
        <v>0</v>
      </c>
      <c r="CG3144" s="129" t="str">
        <f t="shared" si="2296"/>
        <v>N</v>
      </c>
      <c r="CI3144" s="129" t="str">
        <f t="shared" si="2297"/>
        <v>0-10 DAYS</v>
      </c>
      <c r="CJ3144" s="137">
        <f t="shared" si="2298"/>
        <v>1</v>
      </c>
      <c r="CK3144" s="129" t="str">
        <f t="shared" si="2299"/>
        <v>Booked</v>
      </c>
    </row>
    <row r="3145" spans="1:89" ht="15.75" customHeight="1" x14ac:dyDescent="0.25">
      <c r="A3145" s="111">
        <v>2969</v>
      </c>
      <c r="B3145" s="128" t="str">
        <f t="shared" si="2288"/>
        <v>N</v>
      </c>
      <c r="C3145" s="128" t="str">
        <f t="shared" si="2289"/>
        <v>N</v>
      </c>
      <c r="D3145" s="117">
        <v>2615035</v>
      </c>
      <c r="E3145" s="135">
        <f t="shared" si="2290"/>
        <v>6</v>
      </c>
      <c r="F3145" s="124">
        <v>41018</v>
      </c>
      <c r="G3145" s="125">
        <v>41163</v>
      </c>
      <c r="H3145" s="117">
        <v>2615035</v>
      </c>
      <c r="I3145" s="124">
        <v>41019</v>
      </c>
      <c r="J3145" s="124">
        <v>41163</v>
      </c>
      <c r="K3145" s="126">
        <v>10000</v>
      </c>
      <c r="L3145" s="127" t="s">
        <v>570</v>
      </c>
      <c r="N3145" s="129" t="str">
        <f t="shared" si="2276"/>
        <v>N</v>
      </c>
      <c r="O3145" s="128" t="s">
        <v>917</v>
      </c>
      <c r="P3145" s="129" t="s">
        <v>39</v>
      </c>
      <c r="Q3145" s="111">
        <f t="shared" si="2269"/>
        <v>145</v>
      </c>
      <c r="R3145" s="111">
        <f t="shared" si="2273"/>
        <v>146</v>
      </c>
      <c r="S3145" s="129">
        <v>0</v>
      </c>
      <c r="T3145" s="129">
        <v>0</v>
      </c>
      <c r="W3145" s="111"/>
      <c r="AB3145" s="131" t="s">
        <v>112</v>
      </c>
      <c r="AC3145" s="130"/>
      <c r="AD3145" s="130">
        <v>34688</v>
      </c>
      <c r="AE3145" s="128" t="s">
        <v>32</v>
      </c>
      <c r="AF3145" s="128" t="s">
        <v>40</v>
      </c>
      <c r="AG3145" s="128" t="s">
        <v>41</v>
      </c>
      <c r="AH3145" s="108" t="s">
        <v>31</v>
      </c>
      <c r="AI3145" s="128" t="s">
        <v>42</v>
      </c>
      <c r="AJ3145" s="129" t="s">
        <v>89</v>
      </c>
      <c r="AK3145" s="129">
        <v>7</v>
      </c>
      <c r="AL3145" s="3" t="s">
        <v>362</v>
      </c>
      <c r="AM3145" s="117">
        <v>2</v>
      </c>
      <c r="AP3145" s="129" t="s">
        <v>56</v>
      </c>
      <c r="AR3145" s="128" t="s">
        <v>50</v>
      </c>
      <c r="AS3145" s="129" t="s">
        <v>57</v>
      </c>
      <c r="BC3145" s="129" t="s">
        <v>38</v>
      </c>
      <c r="BF3145" s="111">
        <f t="shared" si="2277"/>
        <v>145</v>
      </c>
      <c r="BG3145" s="111">
        <f t="shared" si="2278"/>
        <v>145</v>
      </c>
      <c r="BH3145" s="111">
        <f t="shared" si="2274"/>
        <v>146</v>
      </c>
      <c r="BI3145" s="111">
        <f t="shared" si="2279"/>
        <v>17.295081967213115</v>
      </c>
      <c r="BJ3145" s="129">
        <f>G3145-J3145-M3145</f>
        <v>0</v>
      </c>
      <c r="BK3145" s="129">
        <f t="shared" si="2275"/>
        <v>0</v>
      </c>
      <c r="BL3145" s="129" t="str">
        <f t="shared" si="2272"/>
        <v>CONVICTION</v>
      </c>
      <c r="BM3145" s="129" t="str">
        <f t="shared" si="2281"/>
        <v>NONE</v>
      </c>
      <c r="BN3145" s="129" t="s">
        <v>566</v>
      </c>
      <c r="BP3145" s="137" t="str">
        <f t="shared" si="2282"/>
        <v>CONVICTION</v>
      </c>
      <c r="BQ3145" s="128" t="str">
        <f t="shared" si="2291"/>
        <v>Y</v>
      </c>
      <c r="BR3145" s="129" t="str">
        <f t="shared" si="2283"/>
        <v>DETAINED</v>
      </c>
      <c r="BS3145" s="129" t="str">
        <f t="shared" si="2284"/>
        <v>DISPOSED</v>
      </c>
      <c r="BT3145" s="129" t="str">
        <f t="shared" si="2285"/>
        <v>N</v>
      </c>
      <c r="BU3145" s="109">
        <f t="shared" si="2286"/>
        <v>0.99315068493150682</v>
      </c>
      <c r="BV3145" s="109">
        <f t="shared" si="2292"/>
        <v>1</v>
      </c>
      <c r="BW3145" s="109">
        <f t="shared" si="2253"/>
        <v>6.8493150684931781E-3</v>
      </c>
      <c r="BX3145" s="111">
        <f t="shared" si="2287"/>
        <v>0</v>
      </c>
      <c r="BY3145" s="129">
        <f t="shared" si="2293"/>
        <v>-145</v>
      </c>
      <c r="BZ3145" s="111">
        <f t="shared" si="2294"/>
        <v>0</v>
      </c>
      <c r="CA3145" s="138">
        <f t="shared" si="2295"/>
        <v>145</v>
      </c>
      <c r="CB3145" s="111" t="e">
        <f t="shared" si="2280"/>
        <v>#VALUE!</v>
      </c>
      <c r="CC3145" s="129">
        <f>G3145-I3145+1</f>
        <v>145</v>
      </c>
      <c r="CD3145" s="129">
        <f>G3145-J3145</f>
        <v>0</v>
      </c>
      <c r="CG3145" s="129" t="str">
        <f t="shared" si="2296"/>
        <v>N</v>
      </c>
      <c r="CI3145" s="129" t="str">
        <f t="shared" si="2297"/>
        <v>121-365 DAYS</v>
      </c>
      <c r="CJ3145" s="137">
        <f t="shared" si="2298"/>
        <v>6</v>
      </c>
      <c r="CK3145" s="129" t="str">
        <f t="shared" si="2299"/>
        <v>Booked</v>
      </c>
    </row>
    <row r="3146" spans="1:89" ht="15.75" customHeight="1" x14ac:dyDescent="0.25">
      <c r="A3146" s="111">
        <v>2971</v>
      </c>
      <c r="B3146" s="128" t="str">
        <f t="shared" si="2288"/>
        <v>N</v>
      </c>
      <c r="C3146" s="128" t="str">
        <f t="shared" si="2289"/>
        <v>N</v>
      </c>
      <c r="D3146" s="117">
        <v>2615057</v>
      </c>
      <c r="E3146" s="135">
        <f t="shared" si="2290"/>
        <v>2</v>
      </c>
      <c r="F3146" s="124">
        <v>41018</v>
      </c>
      <c r="G3146" s="125">
        <v>41059</v>
      </c>
      <c r="H3146" s="117">
        <v>2615057</v>
      </c>
      <c r="I3146" s="124">
        <v>41018</v>
      </c>
      <c r="J3146" s="124">
        <v>41019</v>
      </c>
      <c r="K3146" s="126">
        <v>10000</v>
      </c>
      <c r="L3146" s="127" t="s">
        <v>570</v>
      </c>
      <c r="M3146" s="125">
        <v>41019</v>
      </c>
      <c r="N3146" s="129" t="str">
        <f t="shared" si="2276"/>
        <v>Y</v>
      </c>
      <c r="O3146" s="128" t="s">
        <v>76</v>
      </c>
      <c r="P3146" s="129" t="s">
        <v>589</v>
      </c>
      <c r="Q3146" s="111">
        <f t="shared" ref="Q3146:Q3176" si="2300">BF3146</f>
        <v>2</v>
      </c>
      <c r="R3146" s="111">
        <f t="shared" si="2273"/>
        <v>42</v>
      </c>
      <c r="S3146" s="129">
        <v>0</v>
      </c>
      <c r="T3146" s="129">
        <v>0</v>
      </c>
      <c r="W3146" s="111"/>
      <c r="AB3146" s="131" t="s">
        <v>112</v>
      </c>
      <c r="AC3146" s="130"/>
      <c r="AD3146" s="130">
        <v>34149</v>
      </c>
      <c r="AE3146" s="128" t="s">
        <v>32</v>
      </c>
      <c r="AF3146" s="128" t="s">
        <v>40</v>
      </c>
      <c r="AG3146" s="128" t="s">
        <v>41</v>
      </c>
      <c r="AH3146" s="108" t="s">
        <v>31</v>
      </c>
      <c r="AI3146" s="128" t="s">
        <v>114</v>
      </c>
      <c r="AJ3146" s="129" t="s">
        <v>48</v>
      </c>
      <c r="AK3146" s="129">
        <v>2</v>
      </c>
      <c r="AL3146" s="3" t="s">
        <v>48</v>
      </c>
      <c r="AP3146" s="129" t="s">
        <v>134</v>
      </c>
      <c r="AR3146" s="128" t="s">
        <v>50</v>
      </c>
      <c r="AS3146" s="129" t="s">
        <v>64</v>
      </c>
      <c r="BC3146" s="129" t="s">
        <v>38</v>
      </c>
      <c r="BF3146" s="111">
        <f t="shared" si="2277"/>
        <v>2</v>
      </c>
      <c r="BG3146" s="111">
        <f t="shared" si="2278"/>
        <v>42</v>
      </c>
      <c r="BH3146" s="111">
        <f t="shared" si="2274"/>
        <v>42</v>
      </c>
      <c r="BI3146" s="111">
        <f t="shared" si="2279"/>
        <v>18.76775956284153</v>
      </c>
      <c r="BJ3146" s="129">
        <f>(G3146-J3146)+(M3146-G3146)</f>
        <v>0</v>
      </c>
      <c r="BK3146" s="129">
        <f t="shared" si="2275"/>
        <v>-40</v>
      </c>
      <c r="BL3146" s="129" t="str">
        <f t="shared" si="2272"/>
        <v>DEFERRED</v>
      </c>
      <c r="BM3146" s="129" t="s">
        <v>76</v>
      </c>
      <c r="BN3146" s="129" t="s">
        <v>88</v>
      </c>
      <c r="BP3146" s="137" t="str">
        <f t="shared" si="2282"/>
        <v>DEFERRED</v>
      </c>
      <c r="BQ3146" s="128" t="str">
        <f t="shared" si="2291"/>
        <v>Y</v>
      </c>
      <c r="BR3146" s="129" t="str">
        <f t="shared" si="2283"/>
        <v>ON BOND</v>
      </c>
      <c r="BS3146" s="129" t="str">
        <f t="shared" si="2284"/>
        <v>DISPOSED</v>
      </c>
      <c r="BT3146" s="129" t="str">
        <f t="shared" si="2285"/>
        <v>N</v>
      </c>
      <c r="BU3146" s="109">
        <f t="shared" si="2286"/>
        <v>4.7619047619047616E-2</v>
      </c>
      <c r="BV3146" s="109">
        <f t="shared" si="2292"/>
        <v>4.7619047619047616E-2</v>
      </c>
      <c r="BW3146" s="109">
        <f t="shared" si="2253"/>
        <v>0</v>
      </c>
      <c r="BX3146" s="111">
        <f t="shared" si="2287"/>
        <v>0</v>
      </c>
      <c r="BY3146" s="129">
        <f t="shared" si="2293"/>
        <v>-2</v>
      </c>
      <c r="BZ3146" s="111">
        <f t="shared" si="2294"/>
        <v>0</v>
      </c>
      <c r="CA3146" s="138">
        <f t="shared" si="2295"/>
        <v>2</v>
      </c>
      <c r="CB3146" s="111" t="e">
        <f t="shared" si="2280"/>
        <v>#VALUE!</v>
      </c>
      <c r="CC3146" s="129">
        <f>M3146-I3146+1</f>
        <v>2</v>
      </c>
      <c r="CD3146" s="111">
        <f>CC3146-BF3146</f>
        <v>0</v>
      </c>
      <c r="CG3146" s="129" t="str">
        <f t="shared" si="2296"/>
        <v>N</v>
      </c>
      <c r="CI3146" s="129" t="str">
        <f t="shared" si="2297"/>
        <v>0-10 DAYS</v>
      </c>
      <c r="CJ3146" s="137">
        <f t="shared" si="2298"/>
        <v>1</v>
      </c>
      <c r="CK3146" s="129" t="str">
        <f t="shared" si="2299"/>
        <v>Booked</v>
      </c>
    </row>
    <row r="3147" spans="1:89" ht="15" customHeight="1" x14ac:dyDescent="0.25">
      <c r="A3147" s="111">
        <v>2981</v>
      </c>
      <c r="B3147" s="128" t="str">
        <f t="shared" si="2288"/>
        <v>N</v>
      </c>
      <c r="C3147" s="128" t="str">
        <f t="shared" si="2289"/>
        <v>N</v>
      </c>
      <c r="D3147" s="117">
        <v>2615085</v>
      </c>
      <c r="E3147" s="135">
        <f t="shared" si="2290"/>
        <v>1</v>
      </c>
      <c r="F3147" s="124">
        <v>41018</v>
      </c>
      <c r="G3147" s="125">
        <v>41022</v>
      </c>
      <c r="H3147" s="117">
        <v>2615085</v>
      </c>
      <c r="I3147" s="124">
        <v>41019</v>
      </c>
      <c r="J3147" s="124">
        <v>41022</v>
      </c>
      <c r="K3147" s="126">
        <v>5000</v>
      </c>
      <c r="L3147" s="127" t="s">
        <v>569</v>
      </c>
      <c r="N3147" s="129" t="str">
        <f t="shared" si="2276"/>
        <v>N</v>
      </c>
      <c r="O3147" s="128" t="s">
        <v>917</v>
      </c>
      <c r="P3147" s="116" t="s">
        <v>55</v>
      </c>
      <c r="Q3147" s="111">
        <f t="shared" si="2300"/>
        <v>4</v>
      </c>
      <c r="R3147" s="111">
        <f t="shared" si="2273"/>
        <v>5</v>
      </c>
      <c r="S3147" s="129">
        <v>0</v>
      </c>
      <c r="T3147" s="129">
        <v>0</v>
      </c>
      <c r="W3147" s="111"/>
      <c r="AC3147" s="130"/>
      <c r="AD3147" s="130">
        <v>34707</v>
      </c>
      <c r="AE3147" s="128" t="s">
        <v>32</v>
      </c>
      <c r="AF3147" s="128" t="s">
        <v>33</v>
      </c>
      <c r="AG3147" s="128" t="s">
        <v>872</v>
      </c>
      <c r="AH3147" s="108" t="s">
        <v>31</v>
      </c>
      <c r="AI3147" s="128" t="s">
        <v>114</v>
      </c>
      <c r="AJ3147" s="129" t="s">
        <v>55</v>
      </c>
      <c r="AK3147" s="129">
        <v>1</v>
      </c>
      <c r="AL3147" s="3" t="s">
        <v>55</v>
      </c>
      <c r="AP3147" s="129" t="s">
        <v>56</v>
      </c>
      <c r="AR3147" s="128" t="s">
        <v>50</v>
      </c>
      <c r="AS3147" s="129" t="s">
        <v>57</v>
      </c>
      <c r="AT3147" s="129" t="s">
        <v>506</v>
      </c>
      <c r="BC3147" s="129" t="s">
        <v>38</v>
      </c>
      <c r="BF3147" s="111">
        <f t="shared" si="2277"/>
        <v>4</v>
      </c>
      <c r="BG3147" s="111">
        <f t="shared" si="2278"/>
        <v>4</v>
      </c>
      <c r="BH3147" s="111">
        <f t="shared" si="2274"/>
        <v>5</v>
      </c>
      <c r="BI3147" s="111">
        <f t="shared" si="2279"/>
        <v>17.243169398907103</v>
      </c>
      <c r="BJ3147" s="129">
        <f>G3147-J3147-M3147</f>
        <v>0</v>
      </c>
      <c r="BK3147" s="129">
        <f t="shared" si="2275"/>
        <v>0</v>
      </c>
      <c r="BL3147" s="129" t="str">
        <f t="shared" si="2272"/>
        <v>NO CONVICTION</v>
      </c>
      <c r="BM3147" s="129" t="str">
        <f t="shared" si="2281"/>
        <v>NONE</v>
      </c>
      <c r="BN3147" s="129" t="s">
        <v>566</v>
      </c>
      <c r="BP3147" s="137" t="str">
        <f t="shared" si="2282"/>
        <v>NO CONVICTION</v>
      </c>
      <c r="BQ3147" s="128" t="str">
        <f t="shared" si="2291"/>
        <v>Y</v>
      </c>
      <c r="BR3147" s="129" t="str">
        <f t="shared" si="2283"/>
        <v>DETAINED</v>
      </c>
      <c r="BS3147" s="129" t="str">
        <f t="shared" si="2284"/>
        <v>DISPOSED</v>
      </c>
      <c r="BT3147" s="129" t="str">
        <f t="shared" si="2285"/>
        <v>N</v>
      </c>
      <c r="BU3147" s="109">
        <f>IFERROR(Q3147/R3147,BR3147)</f>
        <v>0.8</v>
      </c>
      <c r="BV3147" s="109">
        <f t="shared" si="2292"/>
        <v>1</v>
      </c>
      <c r="BW3147" s="109">
        <f t="shared" si="2253"/>
        <v>0.19999999999999996</v>
      </c>
      <c r="BX3147" s="111">
        <f t="shared" si="2287"/>
        <v>0</v>
      </c>
      <c r="BY3147" s="129">
        <f t="shared" si="2293"/>
        <v>-4</v>
      </c>
      <c r="BZ3147" s="111">
        <f t="shared" si="2294"/>
        <v>0</v>
      </c>
      <c r="CA3147" s="138">
        <f t="shared" si="2295"/>
        <v>4</v>
      </c>
      <c r="CB3147" s="111" t="e">
        <f t="shared" si="2280"/>
        <v>#VALUE!</v>
      </c>
      <c r="CC3147" s="129">
        <f>G3147-I3147+1</f>
        <v>4</v>
      </c>
      <c r="CD3147" s="129">
        <f>G3147-J3147</f>
        <v>0</v>
      </c>
      <c r="CG3147" s="129" t="str">
        <f t="shared" si="2296"/>
        <v>N</v>
      </c>
      <c r="CI3147" s="129" t="str">
        <f t="shared" si="2297"/>
        <v>0-10 DAYS</v>
      </c>
      <c r="CJ3147" s="137">
        <f t="shared" si="2298"/>
        <v>1</v>
      </c>
      <c r="CK3147" s="129" t="str">
        <f t="shared" si="2299"/>
        <v>Booked</v>
      </c>
    </row>
    <row r="3148" spans="1:89" ht="15.75" customHeight="1" x14ac:dyDescent="0.25">
      <c r="A3148" s="111">
        <v>2988</v>
      </c>
      <c r="B3148" s="128" t="str">
        <f t="shared" si="2288"/>
        <v>N</v>
      </c>
      <c r="C3148" s="128" t="str">
        <f t="shared" si="2289"/>
        <v>N</v>
      </c>
      <c r="D3148" s="117">
        <v>2615103</v>
      </c>
      <c r="E3148" s="135">
        <f t="shared" si="2290"/>
        <v>1</v>
      </c>
      <c r="F3148" s="124">
        <v>41019</v>
      </c>
      <c r="G3148" s="125">
        <v>41086</v>
      </c>
      <c r="H3148" s="117">
        <v>2615103</v>
      </c>
      <c r="I3148" s="124">
        <v>41019</v>
      </c>
      <c r="J3148" s="124">
        <v>41020</v>
      </c>
      <c r="K3148" s="126">
        <v>35000</v>
      </c>
      <c r="L3148" s="129" t="s">
        <v>572</v>
      </c>
      <c r="M3148" s="125">
        <v>41020</v>
      </c>
      <c r="N3148" s="129" t="str">
        <f t="shared" si="2276"/>
        <v>Y</v>
      </c>
      <c r="O3148" s="128" t="s">
        <v>585</v>
      </c>
      <c r="P3148" s="129" t="s">
        <v>55</v>
      </c>
      <c r="Q3148" s="111">
        <f t="shared" si="2300"/>
        <v>2</v>
      </c>
      <c r="R3148" s="111">
        <f t="shared" si="2273"/>
        <v>68</v>
      </c>
      <c r="S3148" s="129">
        <v>0</v>
      </c>
      <c r="T3148" s="129">
        <v>0</v>
      </c>
      <c r="W3148" s="111"/>
      <c r="AB3148" s="131" t="s">
        <v>112</v>
      </c>
      <c r="AC3148" s="130"/>
      <c r="AD3148" s="130">
        <v>24082</v>
      </c>
      <c r="AE3148" s="128" t="s">
        <v>32</v>
      </c>
      <c r="AF3148" s="128" t="s">
        <v>40</v>
      </c>
      <c r="AG3148" s="128" t="s">
        <v>41</v>
      </c>
      <c r="AH3148" s="108" t="s">
        <v>31</v>
      </c>
      <c r="AI3148" s="128" t="s">
        <v>90</v>
      </c>
      <c r="AJ3148" s="129" t="s">
        <v>55</v>
      </c>
      <c r="AK3148" s="129">
        <v>5</v>
      </c>
      <c r="AL3148" s="3" t="s">
        <v>55</v>
      </c>
      <c r="AP3148" s="129" t="s">
        <v>73</v>
      </c>
      <c r="AR3148" s="128" t="s">
        <v>50</v>
      </c>
      <c r="AS3148" s="129" t="s">
        <v>74</v>
      </c>
      <c r="BC3148" s="129" t="s">
        <v>52</v>
      </c>
      <c r="BF3148" s="111">
        <f t="shared" si="2277"/>
        <v>2</v>
      </c>
      <c r="BG3148" s="111">
        <f t="shared" si="2278"/>
        <v>68</v>
      </c>
      <c r="BH3148" s="111">
        <f t="shared" si="2274"/>
        <v>68</v>
      </c>
      <c r="BI3148" s="111">
        <f t="shared" si="2279"/>
        <v>46.275956284153004</v>
      </c>
      <c r="BJ3148" s="129">
        <f>(G3148-J3148)+(M3148-G3148)</f>
        <v>0</v>
      </c>
      <c r="BK3148" s="129">
        <f t="shared" si="2275"/>
        <v>-66</v>
      </c>
      <c r="BL3148" s="129" t="str">
        <f t="shared" si="2272"/>
        <v>NO CONVICTION</v>
      </c>
      <c r="BM3148" s="129" t="s">
        <v>76</v>
      </c>
      <c r="BN3148" s="129" t="s">
        <v>88</v>
      </c>
      <c r="BP3148" s="137" t="str">
        <f t="shared" si="2282"/>
        <v>NO CONVICTION</v>
      </c>
      <c r="BQ3148" s="128" t="str">
        <f t="shared" si="2291"/>
        <v>Y</v>
      </c>
      <c r="BR3148" s="129" t="str">
        <f t="shared" si="2283"/>
        <v>ON BOND</v>
      </c>
      <c r="BS3148" s="129" t="str">
        <f t="shared" si="2284"/>
        <v>DISPOSED</v>
      </c>
      <c r="BT3148" s="129" t="str">
        <f t="shared" si="2285"/>
        <v>N</v>
      </c>
      <c r="BU3148" s="109">
        <f>IFERROR(Q3148/R3148,BR3148)</f>
        <v>2.9411764705882353E-2</v>
      </c>
      <c r="BV3148" s="109">
        <f t="shared" si="2292"/>
        <v>2.9411764705882353E-2</v>
      </c>
      <c r="BW3148" s="109">
        <f t="shared" si="2253"/>
        <v>0</v>
      </c>
      <c r="BX3148" s="111">
        <f t="shared" si="2287"/>
        <v>0</v>
      </c>
      <c r="BY3148" s="129">
        <f t="shared" si="2293"/>
        <v>-2</v>
      </c>
      <c r="BZ3148" s="111">
        <f t="shared" si="2294"/>
        <v>0</v>
      </c>
      <c r="CA3148" s="138">
        <f t="shared" si="2295"/>
        <v>2</v>
      </c>
      <c r="CB3148" s="111" t="e">
        <f t="shared" si="2280"/>
        <v>#VALUE!</v>
      </c>
      <c r="CC3148" s="129">
        <f>M3148-I3148+1</f>
        <v>2</v>
      </c>
      <c r="CD3148" s="111">
        <f>CC3148-BF3148</f>
        <v>0</v>
      </c>
      <c r="CG3148" s="129" t="str">
        <f t="shared" si="2296"/>
        <v>N</v>
      </c>
      <c r="CI3148" s="129" t="str">
        <f t="shared" si="2297"/>
        <v>0-10 DAYS</v>
      </c>
      <c r="CJ3148" s="137">
        <f t="shared" si="2298"/>
        <v>1</v>
      </c>
      <c r="CK3148" s="129" t="str">
        <f t="shared" si="2299"/>
        <v>Booked</v>
      </c>
    </row>
    <row r="3149" spans="1:89" ht="15.75" customHeight="1" x14ac:dyDescent="0.25">
      <c r="A3149" s="111">
        <v>2999</v>
      </c>
      <c r="B3149" s="128" t="str">
        <f t="shared" si="2288"/>
        <v>N</v>
      </c>
      <c r="C3149" s="128" t="str">
        <f t="shared" si="2289"/>
        <v>N</v>
      </c>
      <c r="D3149" s="117">
        <v>2615190</v>
      </c>
      <c r="E3149" s="135">
        <f t="shared" si="2290"/>
        <v>4</v>
      </c>
      <c r="F3149" s="124">
        <v>41019</v>
      </c>
      <c r="G3149" s="125">
        <v>41095</v>
      </c>
      <c r="H3149" s="117">
        <v>2615190</v>
      </c>
      <c r="I3149" s="124" t="s">
        <v>562</v>
      </c>
      <c r="J3149" s="124" t="s">
        <v>562</v>
      </c>
      <c r="K3149" s="126">
        <v>2000</v>
      </c>
      <c r="L3149" s="127" t="s">
        <v>568</v>
      </c>
      <c r="M3149" s="125">
        <v>41030</v>
      </c>
      <c r="N3149" s="129" t="str">
        <f>IF(M3149&gt;1/1/1,"Y",IF(Q3149="0","","N"))</f>
        <v>Y</v>
      </c>
      <c r="O3149" s="128" t="s">
        <v>76</v>
      </c>
      <c r="P3149" s="129" t="s">
        <v>39</v>
      </c>
      <c r="Q3149" s="111">
        <f t="shared" si="2300"/>
        <v>0</v>
      </c>
      <c r="R3149" s="111">
        <f t="shared" si="2273"/>
        <v>77</v>
      </c>
      <c r="S3149" s="129">
        <v>0</v>
      </c>
      <c r="T3149" s="129">
        <v>0</v>
      </c>
      <c r="W3149" s="111"/>
      <c r="AC3149" s="130"/>
      <c r="AD3149" s="130">
        <v>32483</v>
      </c>
      <c r="AE3149" s="128" t="s">
        <v>32</v>
      </c>
      <c r="AF3149" s="128" t="s">
        <v>69</v>
      </c>
      <c r="AG3149" s="128" t="s">
        <v>874</v>
      </c>
      <c r="AH3149" s="108" t="s">
        <v>31</v>
      </c>
      <c r="AI3149" s="128" t="s">
        <v>141</v>
      </c>
      <c r="AJ3149" s="129" t="s">
        <v>89</v>
      </c>
      <c r="AK3149" s="129">
        <v>4</v>
      </c>
      <c r="AL3149" s="3" t="s">
        <v>991</v>
      </c>
      <c r="AO3149" s="128">
        <v>3</v>
      </c>
      <c r="AP3149" s="129" t="s">
        <v>104</v>
      </c>
      <c r="AR3149" s="128" t="s">
        <v>44</v>
      </c>
      <c r="AS3149" s="129" t="s">
        <v>64</v>
      </c>
      <c r="BC3149" s="129" t="s">
        <v>52</v>
      </c>
      <c r="BF3149" s="111">
        <v>0</v>
      </c>
      <c r="BG3149" s="111">
        <v>0</v>
      </c>
      <c r="BH3149" s="111">
        <f t="shared" si="2274"/>
        <v>77</v>
      </c>
      <c r="BI3149" s="111">
        <f t="shared" si="2279"/>
        <v>23.3224043715847</v>
      </c>
      <c r="BJ3149" s="129" t="e">
        <f>(G3149-J3149)+(M3149-G3149)</f>
        <v>#VALUE!</v>
      </c>
      <c r="BK3149" s="129" t="e">
        <f t="shared" si="2275"/>
        <v>#VALUE!</v>
      </c>
      <c r="BL3149" s="129" t="str">
        <f t="shared" si="2272"/>
        <v>CONVICTION</v>
      </c>
      <c r="BM3149" s="129" t="s">
        <v>76</v>
      </c>
      <c r="BN3149" s="129" t="s">
        <v>88</v>
      </c>
      <c r="BP3149" s="137" t="str">
        <f t="shared" si="2282"/>
        <v>CONVICTION</v>
      </c>
      <c r="BQ3149" s="128">
        <f t="shared" si="2291"/>
        <v>0</v>
      </c>
      <c r="BR3149" s="129" t="s">
        <v>575</v>
      </c>
      <c r="BS3149" s="129" t="str">
        <f t="shared" si="2284"/>
        <v>DISPOSED</v>
      </c>
      <c r="BT3149" s="129" t="str">
        <f t="shared" si="2285"/>
        <v>N</v>
      </c>
      <c r="BU3149" s="109">
        <f t="shared" si="2286"/>
        <v>0</v>
      </c>
      <c r="BV3149" s="109">
        <v>0</v>
      </c>
      <c r="BW3149" s="109">
        <f t="shared" si="2253"/>
        <v>0</v>
      </c>
      <c r="BX3149" s="111">
        <f t="shared" si="2287"/>
        <v>0</v>
      </c>
      <c r="BY3149" s="129" t="e">
        <f t="shared" si="2293"/>
        <v>#VALUE!</v>
      </c>
      <c r="BZ3149" s="111" t="e">
        <f t="shared" si="2294"/>
        <v>#VALUE!</v>
      </c>
      <c r="CA3149" s="138" t="e">
        <f t="shared" si="2295"/>
        <v>#VALUE!</v>
      </c>
      <c r="CB3149" s="111">
        <v>0</v>
      </c>
      <c r="CC3149" s="129">
        <v>0</v>
      </c>
      <c r="CD3149" s="111">
        <f>CC3149-BF3149</f>
        <v>0</v>
      </c>
      <c r="CG3149" s="129" t="str">
        <f t="shared" si="2296"/>
        <v>N</v>
      </c>
      <c r="CI3149" s="129" t="str">
        <f t="shared" si="2297"/>
        <v>0-10 DAYS</v>
      </c>
      <c r="CJ3149" s="137">
        <f t="shared" si="2298"/>
        <v>1</v>
      </c>
      <c r="CK3149" s="129" t="str">
        <f t="shared" si="2299"/>
        <v>Not Booked</v>
      </c>
    </row>
    <row r="3150" spans="1:89" ht="15" customHeight="1" x14ac:dyDescent="0.25">
      <c r="A3150" s="111">
        <v>3005</v>
      </c>
      <c r="B3150" s="128" t="str">
        <f t="shared" si="2288"/>
        <v>N</v>
      </c>
      <c r="C3150" s="128" t="str">
        <f t="shared" si="2289"/>
        <v>N</v>
      </c>
      <c r="D3150" s="117">
        <v>2615194</v>
      </c>
      <c r="E3150" s="135">
        <f t="shared" si="2290"/>
        <v>2</v>
      </c>
      <c r="F3150" s="124">
        <v>41019</v>
      </c>
      <c r="G3150" s="125">
        <v>41026</v>
      </c>
      <c r="H3150" s="117">
        <v>2615194</v>
      </c>
      <c r="I3150" s="124">
        <v>41022</v>
      </c>
      <c r="J3150" s="124">
        <v>41026</v>
      </c>
      <c r="K3150" s="126">
        <v>2000</v>
      </c>
      <c r="L3150" s="127" t="s">
        <v>568</v>
      </c>
      <c r="N3150" s="129" t="str">
        <f>IF(M3150&gt;1/1/1,"Y","N")</f>
        <v>N</v>
      </c>
      <c r="O3150" s="128" t="s">
        <v>917</v>
      </c>
      <c r="P3150" s="129" t="s">
        <v>589</v>
      </c>
      <c r="Q3150" s="111">
        <f t="shared" si="2300"/>
        <v>5</v>
      </c>
      <c r="R3150" s="111">
        <f t="shared" si="2273"/>
        <v>8</v>
      </c>
      <c r="S3150" s="129">
        <v>0</v>
      </c>
      <c r="T3150" s="129">
        <v>0</v>
      </c>
      <c r="W3150" s="111"/>
      <c r="AC3150" s="130"/>
      <c r="AD3150" s="130">
        <v>32876</v>
      </c>
      <c r="AE3150" s="128" t="s">
        <v>46</v>
      </c>
      <c r="AF3150" s="128" t="s">
        <v>69</v>
      </c>
      <c r="AG3150" s="128" t="s">
        <v>874</v>
      </c>
      <c r="AH3150" s="108" t="s">
        <v>31</v>
      </c>
      <c r="AI3150" s="128" t="s">
        <v>59</v>
      </c>
      <c r="AJ3150" s="129" t="s">
        <v>48</v>
      </c>
      <c r="AK3150" s="129">
        <v>3</v>
      </c>
      <c r="AL3150" s="3" t="s">
        <v>48</v>
      </c>
      <c r="AP3150" s="129" t="s">
        <v>98</v>
      </c>
      <c r="AR3150" s="128" t="s">
        <v>44</v>
      </c>
      <c r="AS3150" s="129" t="s">
        <v>64</v>
      </c>
      <c r="BC3150" s="129" t="s">
        <v>99</v>
      </c>
      <c r="BF3150" s="111">
        <f t="shared" ref="BF3150:BF3160" si="2301">IF(J3150&gt;1/1/1900,((J3150+1)-I3150),"STILL OPEN")</f>
        <v>5</v>
      </c>
      <c r="BG3150" s="111">
        <f t="shared" ref="BG3150:BG3160" si="2302">IF(G3150&gt;1/1/1900,((G3150+1)-I3150),"STILL OPEN")</f>
        <v>5</v>
      </c>
      <c r="BH3150" s="111">
        <f t="shared" si="2274"/>
        <v>8</v>
      </c>
      <c r="BI3150" s="111">
        <f t="shared" si="2279"/>
        <v>22.248633879781419</v>
      </c>
      <c r="BJ3150" s="129">
        <f>G3150-J3150-M3150</f>
        <v>0</v>
      </c>
      <c r="BK3150" s="129">
        <f t="shared" si="2275"/>
        <v>0</v>
      </c>
      <c r="BL3150" s="129" t="str">
        <f t="shared" si="2272"/>
        <v>DEFERRED</v>
      </c>
      <c r="BM3150" s="129" t="str">
        <f t="shared" si="2281"/>
        <v>NONE</v>
      </c>
      <c r="BN3150" s="129" t="s">
        <v>566</v>
      </c>
      <c r="BP3150" s="137" t="str">
        <f t="shared" si="2282"/>
        <v>DEFERRED</v>
      </c>
      <c r="BQ3150" s="128" t="str">
        <f t="shared" si="2291"/>
        <v>Y</v>
      </c>
      <c r="BR3150" s="129" t="str">
        <f t="shared" si="2283"/>
        <v>DETAINED</v>
      </c>
      <c r="BS3150" s="129" t="str">
        <f t="shared" si="2284"/>
        <v>DISPOSED</v>
      </c>
      <c r="BT3150" s="129" t="str">
        <f t="shared" si="2285"/>
        <v>N</v>
      </c>
      <c r="BU3150" s="109">
        <f t="shared" si="2286"/>
        <v>0.625</v>
      </c>
      <c r="BV3150" s="109">
        <f t="shared" si="2292"/>
        <v>1</v>
      </c>
      <c r="BW3150" s="109">
        <f t="shared" si="2253"/>
        <v>0.375</v>
      </c>
      <c r="BX3150" s="111">
        <f t="shared" si="2287"/>
        <v>0</v>
      </c>
      <c r="BY3150" s="129">
        <f t="shared" si="2293"/>
        <v>-5</v>
      </c>
      <c r="BZ3150" s="111">
        <f t="shared" si="2294"/>
        <v>0</v>
      </c>
      <c r="CA3150" s="138">
        <f t="shared" si="2295"/>
        <v>5</v>
      </c>
      <c r="CB3150" s="111" t="e">
        <f t="shared" ref="CB3150:CB3160" si="2303">IF(AF3150&gt;1/1/1900,((AF3150+1)-AE3150),"STILL OPEN")</f>
        <v>#VALUE!</v>
      </c>
      <c r="CC3150" s="129">
        <f>G3150-I3150+1</f>
        <v>5</v>
      </c>
      <c r="CD3150" s="129">
        <f>G3150-J3150</f>
        <v>0</v>
      </c>
      <c r="CG3150" s="129" t="str">
        <f t="shared" si="2296"/>
        <v>N</v>
      </c>
      <c r="CI3150" s="129" t="str">
        <f t="shared" si="2297"/>
        <v>0-10 DAYS</v>
      </c>
      <c r="CJ3150" s="137">
        <f t="shared" si="2298"/>
        <v>1</v>
      </c>
      <c r="CK3150" s="129" t="str">
        <f t="shared" si="2299"/>
        <v>Booked</v>
      </c>
    </row>
    <row r="3151" spans="1:89" ht="15.75" customHeight="1" x14ac:dyDescent="0.25">
      <c r="A3151" s="111">
        <v>3010</v>
      </c>
      <c r="B3151" s="128" t="str">
        <f t="shared" si="2288"/>
        <v>N</v>
      </c>
      <c r="C3151" s="128" t="str">
        <f t="shared" si="2289"/>
        <v>N</v>
      </c>
      <c r="D3151" s="117">
        <v>2615242</v>
      </c>
      <c r="E3151" s="135">
        <f t="shared" si="2290"/>
        <v>6</v>
      </c>
      <c r="F3151" s="124">
        <v>41019</v>
      </c>
      <c r="G3151" s="125">
        <v>41080</v>
      </c>
      <c r="H3151" s="117">
        <v>2615242</v>
      </c>
      <c r="I3151" s="124">
        <v>41020</v>
      </c>
      <c r="J3151" s="124">
        <v>41080</v>
      </c>
      <c r="K3151" s="126" t="s">
        <v>564</v>
      </c>
      <c r="L3151" s="127" t="s">
        <v>564</v>
      </c>
      <c r="N3151" s="129" t="s">
        <v>566</v>
      </c>
      <c r="O3151" s="128" t="s">
        <v>917</v>
      </c>
      <c r="P3151" s="129" t="s">
        <v>39</v>
      </c>
      <c r="Q3151" s="111">
        <f t="shared" si="2300"/>
        <v>61</v>
      </c>
      <c r="R3151" s="111">
        <f t="shared" si="2273"/>
        <v>62</v>
      </c>
      <c r="S3151" s="129">
        <v>0</v>
      </c>
      <c r="T3151" s="129">
        <v>0</v>
      </c>
      <c r="W3151" s="111"/>
      <c r="AC3151" s="130"/>
      <c r="AD3151" s="130">
        <v>20799</v>
      </c>
      <c r="AE3151" s="128" t="s">
        <v>32</v>
      </c>
      <c r="AF3151" s="128" t="s">
        <v>69</v>
      </c>
      <c r="AG3151" s="128" t="s">
        <v>874</v>
      </c>
      <c r="AH3151" s="108" t="s">
        <v>31</v>
      </c>
      <c r="AI3151" s="128" t="s">
        <v>95</v>
      </c>
      <c r="AJ3151" s="129" t="s">
        <v>89</v>
      </c>
      <c r="AK3151" s="129">
        <v>3</v>
      </c>
      <c r="AL3151" s="3" t="s">
        <v>362</v>
      </c>
      <c r="AM3151" s="117">
        <v>2</v>
      </c>
      <c r="AP3151" s="129" t="s">
        <v>49</v>
      </c>
      <c r="AR3151" s="128" t="s">
        <v>50</v>
      </c>
      <c r="AS3151" s="129" t="s">
        <v>45</v>
      </c>
      <c r="AX3151" s="32"/>
      <c r="BC3151" s="129" t="s">
        <v>38</v>
      </c>
      <c r="BF3151" s="111">
        <f t="shared" si="2301"/>
        <v>61</v>
      </c>
      <c r="BG3151" s="111">
        <f t="shared" si="2302"/>
        <v>61</v>
      </c>
      <c r="BH3151" s="111">
        <f t="shared" si="2274"/>
        <v>62</v>
      </c>
      <c r="BI3151" s="111">
        <f t="shared" si="2279"/>
        <v>55.245901639344261</v>
      </c>
      <c r="BJ3151" s="129">
        <f>G3151-J3151-M3151</f>
        <v>0</v>
      </c>
      <c r="BK3151" s="129">
        <f t="shared" si="2275"/>
        <v>0</v>
      </c>
      <c r="BL3151" s="129" t="str">
        <f t="shared" si="2272"/>
        <v>CONVICTION</v>
      </c>
      <c r="BM3151" s="129" t="str">
        <f t="shared" si="2281"/>
        <v>NONE</v>
      </c>
      <c r="BN3151" s="129" t="s">
        <v>566</v>
      </c>
      <c r="BP3151" s="137" t="str">
        <f t="shared" si="2282"/>
        <v>CONVICTION</v>
      </c>
      <c r="BQ3151" s="128" t="str">
        <f t="shared" si="2291"/>
        <v>Y</v>
      </c>
      <c r="BR3151" s="129" t="str">
        <f t="shared" si="2283"/>
        <v>DETAINED</v>
      </c>
      <c r="BS3151" s="129" t="str">
        <f t="shared" si="2284"/>
        <v>DISPOSED</v>
      </c>
      <c r="BT3151" s="129" t="str">
        <f t="shared" si="2285"/>
        <v>N</v>
      </c>
      <c r="BU3151" s="109">
        <f t="shared" si="2286"/>
        <v>0.9838709677419355</v>
      </c>
      <c r="BV3151" s="109">
        <f t="shared" si="2292"/>
        <v>1</v>
      </c>
      <c r="BW3151" s="109">
        <f t="shared" si="2253"/>
        <v>1.6129032258064502E-2</v>
      </c>
      <c r="BX3151" s="111">
        <f t="shared" si="2287"/>
        <v>0</v>
      </c>
      <c r="BY3151" s="129">
        <f t="shared" si="2293"/>
        <v>-61</v>
      </c>
      <c r="BZ3151" s="111">
        <f t="shared" si="2294"/>
        <v>0</v>
      </c>
      <c r="CA3151" s="138">
        <f t="shared" si="2295"/>
        <v>61</v>
      </c>
      <c r="CB3151" s="111" t="e">
        <f t="shared" si="2303"/>
        <v>#VALUE!</v>
      </c>
      <c r="CC3151" s="129">
        <f>G3151-I3151+1</f>
        <v>61</v>
      </c>
      <c r="CD3151" s="129">
        <f>G3151-J3151</f>
        <v>0</v>
      </c>
      <c r="CG3151" s="129" t="str">
        <f t="shared" si="2296"/>
        <v>N</v>
      </c>
      <c r="CI3151" s="129" t="str">
        <f t="shared" si="2297"/>
        <v>61-90 DAYS</v>
      </c>
      <c r="CJ3151" s="137">
        <f t="shared" si="2298"/>
        <v>4</v>
      </c>
      <c r="CK3151" s="129" t="str">
        <f t="shared" si="2299"/>
        <v>Booked</v>
      </c>
    </row>
    <row r="3152" spans="1:89" ht="15" customHeight="1" x14ac:dyDescent="0.25">
      <c r="A3152" s="111">
        <v>3014</v>
      </c>
      <c r="B3152" s="128" t="str">
        <f t="shared" si="2288"/>
        <v>N</v>
      </c>
      <c r="C3152" s="128" t="str">
        <f t="shared" si="2289"/>
        <v>N</v>
      </c>
      <c r="D3152" s="117">
        <v>2615288</v>
      </c>
      <c r="E3152" s="135">
        <f t="shared" si="2290"/>
        <v>4</v>
      </c>
      <c r="F3152" s="124">
        <v>41020</v>
      </c>
      <c r="G3152" s="125">
        <v>41022</v>
      </c>
      <c r="H3152" s="117">
        <v>2615288</v>
      </c>
      <c r="I3152" s="124">
        <v>41021</v>
      </c>
      <c r="J3152" s="124">
        <v>41022</v>
      </c>
      <c r="K3152" s="126">
        <v>35000</v>
      </c>
      <c r="L3152" s="129" t="s">
        <v>572</v>
      </c>
      <c r="N3152" s="129" t="str">
        <f t="shared" ref="N3152:N3160" si="2304">IF(M3152&gt;1/1/1,"Y","N")</f>
        <v>N</v>
      </c>
      <c r="O3152" s="128" t="s">
        <v>917</v>
      </c>
      <c r="P3152" s="129" t="s">
        <v>39</v>
      </c>
      <c r="Q3152" s="111">
        <f t="shared" si="2300"/>
        <v>2</v>
      </c>
      <c r="R3152" s="111">
        <f t="shared" si="2273"/>
        <v>3</v>
      </c>
      <c r="S3152" s="129">
        <v>0</v>
      </c>
      <c r="T3152" s="129">
        <v>0</v>
      </c>
      <c r="W3152" s="111"/>
      <c r="AB3152" s="131" t="s">
        <v>112</v>
      </c>
      <c r="AC3152" s="130"/>
      <c r="AD3152" s="130">
        <v>31907</v>
      </c>
      <c r="AE3152" s="128" t="s">
        <v>32</v>
      </c>
      <c r="AF3152" s="128" t="s">
        <v>40</v>
      </c>
      <c r="AG3152" s="128" t="s">
        <v>41</v>
      </c>
      <c r="AH3152" s="108" t="s">
        <v>31</v>
      </c>
      <c r="AI3152" s="128" t="s">
        <v>114</v>
      </c>
      <c r="AJ3152" s="129" t="s">
        <v>89</v>
      </c>
      <c r="AK3152" s="129">
        <v>1</v>
      </c>
      <c r="AL3152" s="3" t="s">
        <v>991</v>
      </c>
      <c r="AO3152" s="128">
        <v>60</v>
      </c>
      <c r="AP3152" s="129" t="s">
        <v>43</v>
      </c>
      <c r="AR3152" s="128" t="s">
        <v>44</v>
      </c>
      <c r="AS3152" s="129" t="s">
        <v>45</v>
      </c>
      <c r="BC3152" s="129" t="s">
        <v>38</v>
      </c>
      <c r="BF3152" s="111">
        <f t="shared" si="2301"/>
        <v>2</v>
      </c>
      <c r="BG3152" s="111">
        <f t="shared" si="2302"/>
        <v>2</v>
      </c>
      <c r="BH3152" s="111">
        <f t="shared" si="2274"/>
        <v>3</v>
      </c>
      <c r="BI3152" s="111">
        <f t="shared" si="2279"/>
        <v>24.898907103825138</v>
      </c>
      <c r="BJ3152" s="129">
        <f>G3152-J3152-M3152</f>
        <v>0</v>
      </c>
      <c r="BK3152" s="129">
        <f t="shared" si="2275"/>
        <v>0</v>
      </c>
      <c r="BL3152" s="129" t="str">
        <f t="shared" si="2272"/>
        <v>CONVICTION</v>
      </c>
      <c r="BM3152" s="129" t="str">
        <f t="shared" si="2281"/>
        <v>NONE</v>
      </c>
      <c r="BN3152" s="129" t="s">
        <v>566</v>
      </c>
      <c r="BP3152" s="137" t="str">
        <f t="shared" si="2282"/>
        <v>CONVICTION</v>
      </c>
      <c r="BQ3152" s="128" t="str">
        <f t="shared" si="2291"/>
        <v>Y</v>
      </c>
      <c r="BR3152" s="129" t="str">
        <f t="shared" si="2283"/>
        <v>DETAINED</v>
      </c>
      <c r="BS3152" s="129" t="str">
        <f t="shared" si="2284"/>
        <v>DISPOSED</v>
      </c>
      <c r="BT3152" s="129" t="str">
        <f t="shared" si="2285"/>
        <v>N</v>
      </c>
      <c r="BU3152" s="109">
        <f t="shared" si="2286"/>
        <v>0.66666666666666663</v>
      </c>
      <c r="BV3152" s="109">
        <f t="shared" si="2292"/>
        <v>1</v>
      </c>
      <c r="BW3152" s="109">
        <f t="shared" si="2253"/>
        <v>0.33333333333333337</v>
      </c>
      <c r="BX3152" s="111">
        <f t="shared" si="2287"/>
        <v>0</v>
      </c>
      <c r="BY3152" s="129">
        <f t="shared" si="2293"/>
        <v>-2</v>
      </c>
      <c r="BZ3152" s="111">
        <f t="shared" si="2294"/>
        <v>0</v>
      </c>
      <c r="CA3152" s="138">
        <f t="shared" si="2295"/>
        <v>2</v>
      </c>
      <c r="CB3152" s="111" t="e">
        <f t="shared" si="2303"/>
        <v>#VALUE!</v>
      </c>
      <c r="CC3152" s="129">
        <f>G3152-I3152+1</f>
        <v>2</v>
      </c>
      <c r="CD3152" s="129">
        <f>G3152-J3152</f>
        <v>0</v>
      </c>
      <c r="CG3152" s="129" t="str">
        <f t="shared" si="2296"/>
        <v>N</v>
      </c>
      <c r="CI3152" s="129" t="str">
        <f t="shared" si="2297"/>
        <v>0-10 DAYS</v>
      </c>
      <c r="CJ3152" s="137">
        <f t="shared" si="2298"/>
        <v>1</v>
      </c>
      <c r="CK3152" s="129" t="str">
        <f t="shared" si="2299"/>
        <v>Booked</v>
      </c>
    </row>
    <row r="3153" spans="1:89" ht="15.75" customHeight="1" x14ac:dyDescent="0.25">
      <c r="A3153" s="111">
        <v>3016</v>
      </c>
      <c r="B3153" s="128" t="str">
        <f t="shared" si="2288"/>
        <v>N</v>
      </c>
      <c r="C3153" s="128" t="str">
        <f t="shared" si="2289"/>
        <v>N</v>
      </c>
      <c r="D3153" s="117">
        <v>2615294</v>
      </c>
      <c r="E3153" s="135">
        <f t="shared" si="2290"/>
        <v>4</v>
      </c>
      <c r="F3153" s="124">
        <v>41020</v>
      </c>
      <c r="G3153" s="125">
        <v>41095</v>
      </c>
      <c r="H3153" s="117">
        <v>2615294</v>
      </c>
      <c r="I3153" s="124">
        <v>41021</v>
      </c>
      <c r="J3153" s="124">
        <v>41095</v>
      </c>
      <c r="K3153" s="126">
        <v>35000</v>
      </c>
      <c r="L3153" s="129" t="s">
        <v>572</v>
      </c>
      <c r="N3153" s="129" t="str">
        <f t="shared" si="2304"/>
        <v>N</v>
      </c>
      <c r="O3153" s="128" t="s">
        <v>917</v>
      </c>
      <c r="P3153" s="129" t="s">
        <v>39</v>
      </c>
      <c r="Q3153" s="111">
        <f t="shared" si="2300"/>
        <v>75</v>
      </c>
      <c r="R3153" s="111">
        <f t="shared" si="2273"/>
        <v>76</v>
      </c>
      <c r="S3153" s="129">
        <v>0</v>
      </c>
      <c r="T3153" s="129">
        <v>0</v>
      </c>
      <c r="W3153" s="111"/>
      <c r="AB3153" s="131" t="s">
        <v>112</v>
      </c>
      <c r="AC3153" s="130"/>
      <c r="AD3153" s="130">
        <v>34007</v>
      </c>
      <c r="AE3153" s="128" t="s">
        <v>32</v>
      </c>
      <c r="AF3153" s="128" t="s">
        <v>40</v>
      </c>
      <c r="AG3153" s="128" t="s">
        <v>41</v>
      </c>
      <c r="AH3153" s="108" t="s">
        <v>31</v>
      </c>
      <c r="AI3153" s="128" t="s">
        <v>97</v>
      </c>
      <c r="AJ3153" s="129" t="s">
        <v>89</v>
      </c>
      <c r="AK3153" s="129">
        <v>4</v>
      </c>
      <c r="AL3153" s="3" t="s">
        <v>991</v>
      </c>
      <c r="AO3153" s="128">
        <v>180</v>
      </c>
      <c r="AP3153" s="129" t="s">
        <v>512</v>
      </c>
      <c r="AR3153" s="128" t="s">
        <v>67</v>
      </c>
      <c r="AS3153" s="129" t="s">
        <v>74</v>
      </c>
      <c r="BC3153" s="129" t="s">
        <v>52</v>
      </c>
      <c r="BF3153" s="111">
        <f t="shared" si="2301"/>
        <v>75</v>
      </c>
      <c r="BG3153" s="111">
        <f t="shared" si="2302"/>
        <v>75</v>
      </c>
      <c r="BH3153" s="111">
        <f t="shared" si="2274"/>
        <v>76</v>
      </c>
      <c r="BI3153" s="111">
        <f t="shared" si="2279"/>
        <v>19.161202185792348</v>
      </c>
      <c r="BJ3153" s="129">
        <f>G3153-J3153-M3153</f>
        <v>0</v>
      </c>
      <c r="BK3153" s="129">
        <f t="shared" si="2275"/>
        <v>0</v>
      </c>
      <c r="BL3153" s="129" t="str">
        <f t="shared" si="2272"/>
        <v>CONVICTION</v>
      </c>
      <c r="BM3153" s="129" t="str">
        <f t="shared" si="2281"/>
        <v>NONE</v>
      </c>
      <c r="BN3153" s="129" t="s">
        <v>566</v>
      </c>
      <c r="BP3153" s="137" t="str">
        <f t="shared" si="2282"/>
        <v>CONVICTION</v>
      </c>
      <c r="BQ3153" s="128" t="str">
        <f t="shared" si="2291"/>
        <v>Y</v>
      </c>
      <c r="BR3153" s="129" t="str">
        <f t="shared" si="2283"/>
        <v>DETAINED</v>
      </c>
      <c r="BS3153" s="129" t="str">
        <f t="shared" si="2284"/>
        <v>DISPOSED</v>
      </c>
      <c r="BT3153" s="129" t="str">
        <f t="shared" si="2285"/>
        <v>N</v>
      </c>
      <c r="BU3153" s="109">
        <f t="shared" si="2286"/>
        <v>0.98684210526315785</v>
      </c>
      <c r="BV3153" s="109">
        <f t="shared" si="2292"/>
        <v>1</v>
      </c>
      <c r="BW3153" s="109">
        <f t="shared" si="2253"/>
        <v>1.3157894736842146E-2</v>
      </c>
      <c r="BX3153" s="111">
        <f t="shared" si="2287"/>
        <v>0</v>
      </c>
      <c r="BY3153" s="129">
        <f t="shared" si="2293"/>
        <v>-75</v>
      </c>
      <c r="BZ3153" s="111">
        <f t="shared" si="2294"/>
        <v>0</v>
      </c>
      <c r="CA3153" s="138">
        <f t="shared" si="2295"/>
        <v>75</v>
      </c>
      <c r="CB3153" s="111" t="e">
        <f t="shared" si="2303"/>
        <v>#VALUE!</v>
      </c>
      <c r="CC3153" s="129">
        <f>G3153-I3153+1</f>
        <v>75</v>
      </c>
      <c r="CD3153" s="129">
        <f>G3153-J3153</f>
        <v>0</v>
      </c>
      <c r="CG3153" s="129" t="str">
        <f t="shared" si="2296"/>
        <v>N</v>
      </c>
      <c r="CI3153" s="129" t="str">
        <f t="shared" si="2297"/>
        <v>61-90 DAYS</v>
      </c>
      <c r="CJ3153" s="137">
        <f t="shared" si="2298"/>
        <v>4</v>
      </c>
      <c r="CK3153" s="129" t="str">
        <f t="shared" si="2299"/>
        <v>Booked</v>
      </c>
    </row>
    <row r="3154" spans="1:89" ht="15" customHeight="1" x14ac:dyDescent="0.25">
      <c r="A3154" s="111">
        <v>3019</v>
      </c>
      <c r="B3154" s="128" t="str">
        <f t="shared" si="2288"/>
        <v>N</v>
      </c>
      <c r="C3154" s="128" t="str">
        <f t="shared" si="2289"/>
        <v>N</v>
      </c>
      <c r="D3154" s="117">
        <v>2615299</v>
      </c>
      <c r="E3154" s="135">
        <f t="shared" si="2290"/>
        <v>4</v>
      </c>
      <c r="F3154" s="124">
        <v>41020</v>
      </c>
      <c r="G3154" s="125">
        <v>41058</v>
      </c>
      <c r="H3154" s="117">
        <v>2615299</v>
      </c>
      <c r="I3154" s="124">
        <v>41020</v>
      </c>
      <c r="J3154" s="124">
        <v>41058</v>
      </c>
      <c r="K3154" s="126">
        <v>5000</v>
      </c>
      <c r="L3154" s="127" t="s">
        <v>569</v>
      </c>
      <c r="N3154" s="129" t="str">
        <f t="shared" si="2304"/>
        <v>N</v>
      </c>
      <c r="O3154" s="128" t="s">
        <v>917</v>
      </c>
      <c r="P3154" s="129" t="s">
        <v>39</v>
      </c>
      <c r="Q3154" s="111">
        <f t="shared" si="2300"/>
        <v>39</v>
      </c>
      <c r="R3154" s="111">
        <f t="shared" si="2273"/>
        <v>39</v>
      </c>
      <c r="S3154" s="129">
        <v>0</v>
      </c>
      <c r="T3154" s="129">
        <v>0</v>
      </c>
      <c r="W3154" s="111"/>
      <c r="AC3154" s="130"/>
      <c r="AD3154" s="130">
        <v>30547</v>
      </c>
      <c r="AE3154" s="128" t="s">
        <v>32</v>
      </c>
      <c r="AF3154" s="128" t="s">
        <v>33</v>
      </c>
      <c r="AG3154" s="128" t="s">
        <v>872</v>
      </c>
      <c r="AH3154" s="108" t="s">
        <v>31</v>
      </c>
      <c r="AI3154" s="128" t="s">
        <v>141</v>
      </c>
      <c r="AJ3154" s="129" t="s">
        <v>89</v>
      </c>
      <c r="AK3154" s="129">
        <v>4</v>
      </c>
      <c r="AL3154" s="3" t="s">
        <v>991</v>
      </c>
      <c r="AO3154" s="128">
        <v>75</v>
      </c>
      <c r="AP3154" s="129" t="s">
        <v>121</v>
      </c>
      <c r="AR3154" s="128" t="s">
        <v>44</v>
      </c>
      <c r="AS3154" s="129" t="s">
        <v>122</v>
      </c>
      <c r="BC3154" s="129" t="s">
        <v>38</v>
      </c>
      <c r="BF3154" s="111">
        <f t="shared" si="2301"/>
        <v>39</v>
      </c>
      <c r="BG3154" s="111">
        <f t="shared" si="2302"/>
        <v>39</v>
      </c>
      <c r="BH3154" s="111">
        <f t="shared" si="2274"/>
        <v>39</v>
      </c>
      <c r="BI3154" s="111">
        <f t="shared" si="2279"/>
        <v>28.614754098360656</v>
      </c>
      <c r="BJ3154" s="129">
        <f>G3154-J3154-M3154</f>
        <v>0</v>
      </c>
      <c r="BK3154" s="129">
        <f t="shared" si="2275"/>
        <v>0</v>
      </c>
      <c r="BL3154" s="129" t="str">
        <f t="shared" si="2272"/>
        <v>CONVICTION</v>
      </c>
      <c r="BM3154" s="129" t="str">
        <f t="shared" si="2281"/>
        <v>NONE</v>
      </c>
      <c r="BN3154" s="129" t="s">
        <v>566</v>
      </c>
      <c r="BP3154" s="137" t="str">
        <f t="shared" si="2282"/>
        <v>CONVICTION</v>
      </c>
      <c r="BQ3154" s="128" t="str">
        <f t="shared" si="2291"/>
        <v>Y</v>
      </c>
      <c r="BR3154" s="129" t="str">
        <f t="shared" si="2283"/>
        <v>DETAINED</v>
      </c>
      <c r="BS3154" s="129" t="str">
        <f t="shared" si="2284"/>
        <v>DISPOSED</v>
      </c>
      <c r="BT3154" s="129" t="str">
        <f t="shared" si="2285"/>
        <v>N</v>
      </c>
      <c r="BU3154" s="109">
        <f t="shared" si="2286"/>
        <v>1</v>
      </c>
      <c r="BV3154" s="109">
        <f t="shared" si="2292"/>
        <v>1</v>
      </c>
      <c r="BW3154" s="109">
        <f t="shared" ref="BW3154:BW3206" si="2305">BV3154-BU3154</f>
        <v>0</v>
      </c>
      <c r="BX3154" s="111">
        <f t="shared" si="2287"/>
        <v>0</v>
      </c>
      <c r="BY3154" s="129">
        <f t="shared" si="2293"/>
        <v>-39</v>
      </c>
      <c r="BZ3154" s="111">
        <f t="shared" si="2294"/>
        <v>0</v>
      </c>
      <c r="CA3154" s="138">
        <f t="shared" si="2295"/>
        <v>39</v>
      </c>
      <c r="CB3154" s="111" t="e">
        <f t="shared" si="2303"/>
        <v>#VALUE!</v>
      </c>
      <c r="CC3154" s="129">
        <f>G3154-I3154+1</f>
        <v>39</v>
      </c>
      <c r="CD3154" s="129">
        <f>G3154-J3154</f>
        <v>0</v>
      </c>
      <c r="CG3154" s="129" t="str">
        <f t="shared" si="2296"/>
        <v>N</v>
      </c>
      <c r="CI3154" s="129" t="str">
        <f t="shared" si="2297"/>
        <v>31-60 DAYS</v>
      </c>
      <c r="CJ3154" s="137">
        <f t="shared" si="2298"/>
        <v>3</v>
      </c>
      <c r="CK3154" s="129" t="str">
        <f t="shared" si="2299"/>
        <v>Booked</v>
      </c>
    </row>
    <row r="3155" spans="1:89" ht="15.75" customHeight="1" x14ac:dyDescent="0.25">
      <c r="A3155" s="111">
        <v>3020</v>
      </c>
      <c r="B3155" s="128" t="str">
        <f t="shared" si="2288"/>
        <v>N</v>
      </c>
      <c r="C3155" s="128" t="str">
        <f t="shared" si="2289"/>
        <v>N</v>
      </c>
      <c r="D3155" s="117">
        <v>2615300</v>
      </c>
      <c r="E3155" s="135">
        <f t="shared" si="2290"/>
        <v>2</v>
      </c>
      <c r="F3155" s="124">
        <v>41020</v>
      </c>
      <c r="G3155" s="125">
        <v>41081</v>
      </c>
      <c r="H3155" s="117">
        <v>2615300</v>
      </c>
      <c r="I3155" s="124">
        <v>41020</v>
      </c>
      <c r="J3155" s="124">
        <v>41022</v>
      </c>
      <c r="K3155" s="126">
        <v>10000</v>
      </c>
      <c r="L3155" s="127" t="s">
        <v>570</v>
      </c>
      <c r="M3155" s="125">
        <v>41022</v>
      </c>
      <c r="N3155" s="129" t="str">
        <f t="shared" si="2304"/>
        <v>Y</v>
      </c>
      <c r="O3155" s="128" t="s">
        <v>76</v>
      </c>
      <c r="P3155" s="129" t="s">
        <v>589</v>
      </c>
      <c r="Q3155" s="111">
        <f t="shared" si="2300"/>
        <v>3</v>
      </c>
      <c r="R3155" s="111">
        <f t="shared" si="2273"/>
        <v>62</v>
      </c>
      <c r="S3155" s="129">
        <v>0</v>
      </c>
      <c r="T3155" s="129">
        <v>0</v>
      </c>
      <c r="W3155" s="111"/>
      <c r="AC3155" s="130"/>
      <c r="AD3155" s="130">
        <v>34540</v>
      </c>
      <c r="AE3155" s="128" t="s">
        <v>32</v>
      </c>
      <c r="AF3155" s="128" t="s">
        <v>33</v>
      </c>
      <c r="AG3155" s="128" t="s">
        <v>872</v>
      </c>
      <c r="AH3155" s="108" t="s">
        <v>31</v>
      </c>
      <c r="AI3155" s="128" t="s">
        <v>83</v>
      </c>
      <c r="AJ3155" s="129" t="s">
        <v>48</v>
      </c>
      <c r="AK3155" s="129">
        <v>3</v>
      </c>
      <c r="AL3155" s="3" t="s">
        <v>48</v>
      </c>
      <c r="AP3155" s="129" t="s">
        <v>56</v>
      </c>
      <c r="AR3155" s="128" t="s">
        <v>50</v>
      </c>
      <c r="AS3155" s="129" t="s">
        <v>57</v>
      </c>
      <c r="BC3155" s="129" t="s">
        <v>38</v>
      </c>
      <c r="BF3155" s="111">
        <f t="shared" si="2301"/>
        <v>3</v>
      </c>
      <c r="BG3155" s="111">
        <f t="shared" si="2302"/>
        <v>62</v>
      </c>
      <c r="BH3155" s="111">
        <f t="shared" si="2274"/>
        <v>62</v>
      </c>
      <c r="BI3155" s="111">
        <f t="shared" si="2279"/>
        <v>17.704918032786885</v>
      </c>
      <c r="BJ3155" s="129">
        <f>(G3155-J3155)+(M3155-G3155)</f>
        <v>0</v>
      </c>
      <c r="BK3155" s="129">
        <f t="shared" si="2275"/>
        <v>-59</v>
      </c>
      <c r="BL3155" s="129" t="str">
        <f t="shared" si="2272"/>
        <v>DEFERRED</v>
      </c>
      <c r="BM3155" s="129" t="s">
        <v>76</v>
      </c>
      <c r="BN3155" s="129" t="s">
        <v>88</v>
      </c>
      <c r="BP3155" s="137" t="str">
        <f t="shared" si="2282"/>
        <v>DEFERRED</v>
      </c>
      <c r="BQ3155" s="128" t="str">
        <f t="shared" si="2291"/>
        <v>Y</v>
      </c>
      <c r="BR3155" s="129" t="str">
        <f t="shared" si="2283"/>
        <v>ON BOND</v>
      </c>
      <c r="BS3155" s="129" t="str">
        <f t="shared" si="2284"/>
        <v>DISPOSED</v>
      </c>
      <c r="BT3155" s="129" t="str">
        <f t="shared" si="2285"/>
        <v>N</v>
      </c>
      <c r="BU3155" s="109">
        <f t="shared" si="2286"/>
        <v>4.8387096774193547E-2</v>
      </c>
      <c r="BV3155" s="109">
        <f t="shared" si="2292"/>
        <v>4.8387096774193547E-2</v>
      </c>
      <c r="BW3155" s="109">
        <f t="shared" si="2305"/>
        <v>0</v>
      </c>
      <c r="BX3155" s="111">
        <f t="shared" si="2287"/>
        <v>0</v>
      </c>
      <c r="BY3155" s="129">
        <f t="shared" si="2293"/>
        <v>-3</v>
      </c>
      <c r="BZ3155" s="111">
        <f t="shared" si="2294"/>
        <v>0</v>
      </c>
      <c r="CA3155" s="138">
        <f t="shared" si="2295"/>
        <v>3</v>
      </c>
      <c r="CB3155" s="111" t="e">
        <f t="shared" si="2303"/>
        <v>#VALUE!</v>
      </c>
      <c r="CC3155" s="129">
        <f>M3155-I3155+1</f>
        <v>3</v>
      </c>
      <c r="CD3155" s="111">
        <f>CC3155-BF3155</f>
        <v>0</v>
      </c>
      <c r="CG3155" s="129" t="str">
        <f t="shared" si="2296"/>
        <v>N</v>
      </c>
      <c r="CI3155" s="129" t="str">
        <f t="shared" si="2297"/>
        <v>0-10 DAYS</v>
      </c>
      <c r="CJ3155" s="137">
        <f t="shared" si="2298"/>
        <v>1</v>
      </c>
      <c r="CK3155" s="129" t="str">
        <f t="shared" si="2299"/>
        <v>Booked</v>
      </c>
    </row>
    <row r="3156" spans="1:89" ht="15" customHeight="1" x14ac:dyDescent="0.25">
      <c r="A3156" s="111">
        <v>3022</v>
      </c>
      <c r="B3156" s="128" t="str">
        <f t="shared" si="2288"/>
        <v>N</v>
      </c>
      <c r="C3156" s="128" t="str">
        <f t="shared" si="2289"/>
        <v>N</v>
      </c>
      <c r="D3156" s="117">
        <v>2615314</v>
      </c>
      <c r="E3156" s="135">
        <f t="shared" si="2290"/>
        <v>6</v>
      </c>
      <c r="F3156" s="124">
        <v>41020</v>
      </c>
      <c r="G3156" s="125">
        <v>41306</v>
      </c>
      <c r="H3156" s="117">
        <v>2615314</v>
      </c>
      <c r="I3156" s="124">
        <v>41021</v>
      </c>
      <c r="J3156" s="124">
        <v>41025</v>
      </c>
      <c r="K3156" s="113">
        <v>100000</v>
      </c>
      <c r="L3156" s="129" t="s">
        <v>572</v>
      </c>
      <c r="M3156" s="125">
        <v>41025</v>
      </c>
      <c r="N3156" s="129" t="str">
        <f t="shared" si="2304"/>
        <v>Y</v>
      </c>
      <c r="O3156" s="128" t="s">
        <v>76</v>
      </c>
      <c r="P3156" s="129" t="s">
        <v>39</v>
      </c>
      <c r="Q3156" s="111">
        <f t="shared" si="2300"/>
        <v>5</v>
      </c>
      <c r="R3156" s="111">
        <f t="shared" si="2273"/>
        <v>287</v>
      </c>
      <c r="S3156" s="129">
        <v>0</v>
      </c>
      <c r="T3156" s="129">
        <v>0</v>
      </c>
      <c r="W3156" s="111"/>
      <c r="AC3156" s="130"/>
      <c r="AD3156" s="130">
        <v>31310</v>
      </c>
      <c r="AE3156" s="128" t="s">
        <v>32</v>
      </c>
      <c r="AF3156" s="128" t="s">
        <v>33</v>
      </c>
      <c r="AG3156" s="128" t="s">
        <v>872</v>
      </c>
      <c r="AH3156" s="108" t="s">
        <v>31</v>
      </c>
      <c r="AI3156" s="128" t="s">
        <v>62</v>
      </c>
      <c r="AJ3156" s="129" t="s">
        <v>89</v>
      </c>
      <c r="AK3156" s="129">
        <v>9</v>
      </c>
      <c r="AL3156" s="3" t="s">
        <v>362</v>
      </c>
      <c r="AM3156" s="117">
        <v>7</v>
      </c>
      <c r="AP3156" s="32" t="s">
        <v>336</v>
      </c>
      <c r="AR3156" s="128" t="s">
        <v>46</v>
      </c>
      <c r="AS3156" s="129" t="s">
        <v>82</v>
      </c>
      <c r="AX3156" s="32"/>
      <c r="BC3156" s="129" t="s">
        <v>38</v>
      </c>
      <c r="BF3156" s="111">
        <f t="shared" si="2301"/>
        <v>5</v>
      </c>
      <c r="BG3156" s="111">
        <f t="shared" si="2302"/>
        <v>286</v>
      </c>
      <c r="BH3156" s="111">
        <f t="shared" si="2274"/>
        <v>287</v>
      </c>
      <c r="BI3156" s="111">
        <f t="shared" si="2279"/>
        <v>26.530054644808743</v>
      </c>
      <c r="BJ3156" s="129">
        <f>(G3156-J3156)+(M3156-G3156)</f>
        <v>0</v>
      </c>
      <c r="BK3156" s="129">
        <f t="shared" si="2275"/>
        <v>-281</v>
      </c>
      <c r="BL3156" s="129" t="str">
        <f t="shared" si="2272"/>
        <v>CONVICTION</v>
      </c>
      <c r="BM3156" s="129" t="s">
        <v>76</v>
      </c>
      <c r="BN3156" s="129" t="s">
        <v>88</v>
      </c>
      <c r="BP3156" s="137" t="str">
        <f t="shared" si="2282"/>
        <v>CONVICTION</v>
      </c>
      <c r="BQ3156" s="128" t="str">
        <f t="shared" si="2291"/>
        <v>Y</v>
      </c>
      <c r="BR3156" s="129" t="str">
        <f>IF(J3156&lt;G3156,"ON BOND",0)</f>
        <v>ON BOND</v>
      </c>
      <c r="BS3156" s="129" t="str">
        <f t="shared" si="2284"/>
        <v>DISPOSED</v>
      </c>
      <c r="BT3156" s="129" t="str">
        <f t="shared" si="2285"/>
        <v>N</v>
      </c>
      <c r="BU3156" s="109">
        <f t="shared" si="2286"/>
        <v>1.7421602787456445E-2</v>
      </c>
      <c r="BV3156" s="109">
        <f t="shared" si="2292"/>
        <v>1.7482517482517484E-2</v>
      </c>
      <c r="BW3156" s="109">
        <f t="shared" si="2305"/>
        <v>6.0914695061038693E-5</v>
      </c>
      <c r="BX3156" s="111">
        <f t="shared" si="2287"/>
        <v>0</v>
      </c>
      <c r="BY3156" s="129">
        <f t="shared" si="2293"/>
        <v>-5</v>
      </c>
      <c r="BZ3156" s="111">
        <f t="shared" si="2294"/>
        <v>0</v>
      </c>
      <c r="CA3156" s="138">
        <f t="shared" si="2295"/>
        <v>5</v>
      </c>
      <c r="CB3156" s="111" t="e">
        <f t="shared" si="2303"/>
        <v>#VALUE!</v>
      </c>
      <c r="CC3156" s="129">
        <f>M3156-I3156+1</f>
        <v>5</v>
      </c>
      <c r="CD3156" s="111">
        <f>CC3156-BF3156</f>
        <v>0</v>
      </c>
      <c r="CG3156" s="129" t="str">
        <f t="shared" si="2296"/>
        <v>N</v>
      </c>
      <c r="CI3156" s="129" t="str">
        <f t="shared" si="2297"/>
        <v>0-10 DAYS</v>
      </c>
      <c r="CJ3156" s="137">
        <f t="shared" si="2298"/>
        <v>1</v>
      </c>
      <c r="CK3156" s="129" t="str">
        <f t="shared" si="2299"/>
        <v>Booked</v>
      </c>
    </row>
    <row r="3157" spans="1:89" ht="15" customHeight="1" x14ac:dyDescent="0.25">
      <c r="A3157" s="111">
        <v>3023</v>
      </c>
      <c r="B3157" s="128" t="str">
        <f t="shared" si="2288"/>
        <v>N</v>
      </c>
      <c r="C3157" s="128" t="str">
        <f t="shared" si="2289"/>
        <v>N</v>
      </c>
      <c r="D3157" s="117">
        <v>2615325</v>
      </c>
      <c r="E3157" s="135">
        <f t="shared" si="2290"/>
        <v>1</v>
      </c>
      <c r="F3157" s="124">
        <v>41020</v>
      </c>
      <c r="G3157" s="125">
        <v>41173</v>
      </c>
      <c r="H3157" s="117">
        <v>2615325</v>
      </c>
      <c r="I3157" s="124">
        <v>41043</v>
      </c>
      <c r="J3157" s="124">
        <v>41044</v>
      </c>
      <c r="K3157" s="126">
        <v>2000</v>
      </c>
      <c r="L3157" s="127" t="s">
        <v>568</v>
      </c>
      <c r="M3157" s="125">
        <v>41044</v>
      </c>
      <c r="N3157" s="129" t="str">
        <f t="shared" si="2304"/>
        <v>Y</v>
      </c>
      <c r="O3157" s="128" t="s">
        <v>76</v>
      </c>
      <c r="P3157" s="129" t="s">
        <v>55</v>
      </c>
      <c r="Q3157" s="111">
        <f t="shared" si="2300"/>
        <v>2</v>
      </c>
      <c r="R3157" s="111">
        <f t="shared" si="2273"/>
        <v>154</v>
      </c>
      <c r="S3157" s="129">
        <v>0</v>
      </c>
      <c r="T3157" s="129">
        <v>0</v>
      </c>
      <c r="W3157" s="111"/>
      <c r="AC3157" s="130"/>
      <c r="AD3157" s="130">
        <v>32105</v>
      </c>
      <c r="AE3157" s="128" t="s">
        <v>46</v>
      </c>
      <c r="AF3157" s="128" t="s">
        <v>33</v>
      </c>
      <c r="AG3157" s="128" t="s">
        <v>872</v>
      </c>
      <c r="AH3157" s="108" t="s">
        <v>31</v>
      </c>
      <c r="AI3157" s="128" t="s">
        <v>59</v>
      </c>
      <c r="AJ3157" s="129" t="s">
        <v>55</v>
      </c>
      <c r="AK3157" s="129">
        <v>8</v>
      </c>
      <c r="AL3157" s="3" t="s">
        <v>55</v>
      </c>
      <c r="AP3157" s="129" t="s">
        <v>104</v>
      </c>
      <c r="AR3157" s="128" t="s">
        <v>44</v>
      </c>
      <c r="AS3157" s="129" t="s">
        <v>64</v>
      </c>
      <c r="BC3157" s="129" t="s">
        <v>38</v>
      </c>
      <c r="BF3157" s="111">
        <f t="shared" si="2301"/>
        <v>2</v>
      </c>
      <c r="BG3157" s="111">
        <f t="shared" si="2302"/>
        <v>131</v>
      </c>
      <c r="BH3157" s="111">
        <f t="shared" si="2274"/>
        <v>154</v>
      </c>
      <c r="BI3157" s="111">
        <f t="shared" si="2279"/>
        <v>24.357923497267759</v>
      </c>
      <c r="BJ3157" s="129">
        <f>(G3157-J3157)+(M3157-G3157)</f>
        <v>0</v>
      </c>
      <c r="BK3157" s="129">
        <f t="shared" si="2275"/>
        <v>-129</v>
      </c>
      <c r="BL3157" s="129" t="str">
        <f t="shared" si="2272"/>
        <v>NO CONVICTION</v>
      </c>
      <c r="BM3157" s="129" t="s">
        <v>76</v>
      </c>
      <c r="BN3157" s="129" t="s">
        <v>88</v>
      </c>
      <c r="BP3157" s="137" t="str">
        <f t="shared" si="2282"/>
        <v>NO CONVICTION</v>
      </c>
      <c r="BQ3157" s="128" t="str">
        <f t="shared" si="2291"/>
        <v>Y</v>
      </c>
      <c r="BR3157" s="129" t="str">
        <f t="shared" si="2283"/>
        <v>ON BOND</v>
      </c>
      <c r="BS3157" s="129" t="str">
        <f t="shared" si="2284"/>
        <v>DISPOSED</v>
      </c>
      <c r="BT3157" s="129" t="str">
        <f t="shared" si="2285"/>
        <v>N</v>
      </c>
      <c r="BU3157" s="109">
        <f>IFERROR(Q3157/R3157,BR3157)</f>
        <v>1.2987012987012988E-2</v>
      </c>
      <c r="BV3157" s="109">
        <f t="shared" si="2292"/>
        <v>1.5267175572519083E-2</v>
      </c>
      <c r="BW3157" s="109">
        <f t="shared" si="2305"/>
        <v>2.2801625855060955E-3</v>
      </c>
      <c r="BX3157" s="111">
        <f t="shared" si="2287"/>
        <v>0</v>
      </c>
      <c r="BY3157" s="129">
        <f t="shared" si="2293"/>
        <v>-2</v>
      </c>
      <c r="BZ3157" s="111">
        <f t="shared" si="2294"/>
        <v>0</v>
      </c>
      <c r="CA3157" s="138">
        <f t="shared" si="2295"/>
        <v>2</v>
      </c>
      <c r="CB3157" s="111" t="e">
        <f t="shared" si="2303"/>
        <v>#VALUE!</v>
      </c>
      <c r="CC3157" s="129">
        <f>M3157-I3157+1</f>
        <v>2</v>
      </c>
      <c r="CD3157" s="111">
        <f>CC3157-BF3157</f>
        <v>0</v>
      </c>
      <c r="CG3157" s="129" t="str">
        <f t="shared" si="2296"/>
        <v>N</v>
      </c>
      <c r="CI3157" s="129" t="str">
        <f t="shared" si="2297"/>
        <v>0-10 DAYS</v>
      </c>
      <c r="CJ3157" s="137">
        <f t="shared" si="2298"/>
        <v>1</v>
      </c>
      <c r="CK3157" s="129" t="str">
        <f t="shared" si="2299"/>
        <v>Booked</v>
      </c>
    </row>
    <row r="3158" spans="1:89" ht="15.75" customHeight="1" x14ac:dyDescent="0.25">
      <c r="A3158" s="111">
        <v>3026</v>
      </c>
      <c r="B3158" s="128" t="str">
        <f t="shared" si="2288"/>
        <v>N</v>
      </c>
      <c r="C3158" s="128" t="str">
        <f t="shared" si="2289"/>
        <v>N</v>
      </c>
      <c r="D3158" s="117">
        <v>2615331</v>
      </c>
      <c r="E3158" s="135">
        <f t="shared" si="2290"/>
        <v>1</v>
      </c>
      <c r="F3158" s="124">
        <v>41020</v>
      </c>
      <c r="G3158" s="125">
        <v>41022</v>
      </c>
      <c r="H3158" s="117">
        <v>2615331</v>
      </c>
      <c r="I3158" s="124">
        <v>41021</v>
      </c>
      <c r="J3158" s="124">
        <v>41022</v>
      </c>
      <c r="K3158" s="126">
        <v>2000</v>
      </c>
      <c r="L3158" s="127" t="s">
        <v>568</v>
      </c>
      <c r="N3158" s="129" t="str">
        <f t="shared" si="2304"/>
        <v>N</v>
      </c>
      <c r="O3158" s="128" t="s">
        <v>917</v>
      </c>
      <c r="P3158" s="129" t="s">
        <v>55</v>
      </c>
      <c r="Q3158" s="111">
        <f t="shared" si="2300"/>
        <v>2</v>
      </c>
      <c r="R3158" s="111">
        <f t="shared" si="2273"/>
        <v>3</v>
      </c>
      <c r="S3158" s="129">
        <v>0</v>
      </c>
      <c r="T3158" s="129">
        <v>0</v>
      </c>
      <c r="W3158" s="111"/>
      <c r="AB3158" s="131" t="s">
        <v>112</v>
      </c>
      <c r="AC3158" s="130"/>
      <c r="AD3158" s="130">
        <v>30835</v>
      </c>
      <c r="AE3158" s="128" t="s">
        <v>46</v>
      </c>
      <c r="AF3158" s="128" t="s">
        <v>40</v>
      </c>
      <c r="AG3158" s="128" t="s">
        <v>41</v>
      </c>
      <c r="AH3158" s="108" t="s">
        <v>31</v>
      </c>
      <c r="AI3158" s="128" t="s">
        <v>100</v>
      </c>
      <c r="AJ3158" s="129" t="s">
        <v>55</v>
      </c>
      <c r="AK3158" s="129">
        <v>1</v>
      </c>
      <c r="AL3158" s="3" t="s">
        <v>55</v>
      </c>
      <c r="AP3158" s="129" t="s">
        <v>43</v>
      </c>
      <c r="AR3158" s="128" t="s">
        <v>44</v>
      </c>
      <c r="AS3158" s="129" t="s">
        <v>45</v>
      </c>
      <c r="BC3158" s="129" t="s">
        <v>79</v>
      </c>
      <c r="BF3158" s="111">
        <f t="shared" si="2301"/>
        <v>2</v>
      </c>
      <c r="BG3158" s="111">
        <f t="shared" si="2302"/>
        <v>2</v>
      </c>
      <c r="BH3158" s="111">
        <f t="shared" si="2274"/>
        <v>3</v>
      </c>
      <c r="BI3158" s="111">
        <f t="shared" si="2279"/>
        <v>27.827868852459016</v>
      </c>
      <c r="BJ3158" s="129">
        <f>G3158-J3158-M3158</f>
        <v>0</v>
      </c>
      <c r="BK3158" s="129">
        <f t="shared" si="2275"/>
        <v>0</v>
      </c>
      <c r="BL3158" s="129" t="str">
        <f t="shared" si="2272"/>
        <v>NO CONVICTION</v>
      </c>
      <c r="BM3158" s="129" t="str">
        <f t="shared" si="2281"/>
        <v>NONE</v>
      </c>
      <c r="BN3158" s="129" t="s">
        <v>566</v>
      </c>
      <c r="BP3158" s="137" t="str">
        <f t="shared" si="2282"/>
        <v>NO CONVICTION</v>
      </c>
      <c r="BQ3158" s="128" t="str">
        <f t="shared" si="2291"/>
        <v>Y</v>
      </c>
      <c r="BR3158" s="129" t="str">
        <f t="shared" si="2283"/>
        <v>DETAINED</v>
      </c>
      <c r="BS3158" s="129" t="str">
        <f t="shared" si="2284"/>
        <v>DISPOSED</v>
      </c>
      <c r="BT3158" s="129" t="str">
        <f t="shared" si="2285"/>
        <v>N</v>
      </c>
      <c r="BU3158" s="109">
        <f>IFERROR(Q3158/R3158,BR3158)</f>
        <v>0.66666666666666663</v>
      </c>
      <c r="BV3158" s="109">
        <f t="shared" si="2292"/>
        <v>1</v>
      </c>
      <c r="BW3158" s="109">
        <f t="shared" si="2305"/>
        <v>0.33333333333333337</v>
      </c>
      <c r="BX3158" s="111">
        <f t="shared" si="2287"/>
        <v>0</v>
      </c>
      <c r="BY3158" s="129">
        <f t="shared" si="2293"/>
        <v>-2</v>
      </c>
      <c r="BZ3158" s="111">
        <f t="shared" si="2294"/>
        <v>0</v>
      </c>
      <c r="CA3158" s="138">
        <f t="shared" si="2295"/>
        <v>2</v>
      </c>
      <c r="CB3158" s="111" t="e">
        <f t="shared" si="2303"/>
        <v>#VALUE!</v>
      </c>
      <c r="CC3158" s="129">
        <f>G3158-I3158+1</f>
        <v>2</v>
      </c>
      <c r="CD3158" s="129">
        <f>G3158-J3158</f>
        <v>0</v>
      </c>
      <c r="CG3158" s="129" t="str">
        <f t="shared" si="2296"/>
        <v>N</v>
      </c>
      <c r="CI3158" s="129" t="str">
        <f t="shared" si="2297"/>
        <v>0-10 DAYS</v>
      </c>
      <c r="CJ3158" s="137">
        <f t="shared" si="2298"/>
        <v>1</v>
      </c>
      <c r="CK3158" s="129" t="str">
        <f t="shared" si="2299"/>
        <v>Booked</v>
      </c>
    </row>
    <row r="3159" spans="1:89" ht="15.75" customHeight="1" x14ac:dyDescent="0.25">
      <c r="A3159" s="111">
        <v>3029</v>
      </c>
      <c r="B3159" s="128" t="str">
        <f t="shared" si="2288"/>
        <v>N</v>
      </c>
      <c r="C3159" s="128" t="str">
        <f t="shared" si="2289"/>
        <v>N</v>
      </c>
      <c r="D3159" s="117">
        <v>2615336</v>
      </c>
      <c r="E3159" s="135">
        <f t="shared" si="2290"/>
        <v>2</v>
      </c>
      <c r="F3159" s="124">
        <v>41021</v>
      </c>
      <c r="G3159" s="125">
        <v>41022</v>
      </c>
      <c r="H3159" s="117">
        <v>2615336</v>
      </c>
      <c r="I3159" s="124">
        <v>41021</v>
      </c>
      <c r="J3159" s="124">
        <v>41022</v>
      </c>
      <c r="K3159" s="126">
        <v>10000</v>
      </c>
      <c r="L3159" s="127" t="s">
        <v>570</v>
      </c>
      <c r="N3159" s="129" t="str">
        <f t="shared" si="2304"/>
        <v>N</v>
      </c>
      <c r="O3159" s="128" t="s">
        <v>917</v>
      </c>
      <c r="P3159" s="129" t="s">
        <v>589</v>
      </c>
      <c r="Q3159" s="111">
        <f t="shared" si="2300"/>
        <v>2</v>
      </c>
      <c r="R3159" s="111">
        <f t="shared" si="2273"/>
        <v>2</v>
      </c>
      <c r="S3159" s="129">
        <v>0</v>
      </c>
      <c r="T3159" s="129">
        <v>0</v>
      </c>
      <c r="W3159" s="111"/>
      <c r="AC3159" s="130"/>
      <c r="AD3159" s="130">
        <v>34773</v>
      </c>
      <c r="AE3159" s="128" t="s">
        <v>32</v>
      </c>
      <c r="AF3159" s="128" t="s">
        <v>33</v>
      </c>
      <c r="AG3159" s="128" t="s">
        <v>872</v>
      </c>
      <c r="AH3159" s="108" t="s">
        <v>31</v>
      </c>
      <c r="AI3159" s="128" t="s">
        <v>34</v>
      </c>
      <c r="AJ3159" s="129" t="s">
        <v>48</v>
      </c>
      <c r="AK3159" s="129">
        <v>1</v>
      </c>
      <c r="AL3159" s="3" t="s">
        <v>48</v>
      </c>
      <c r="AP3159" s="129" t="s">
        <v>197</v>
      </c>
      <c r="AR3159" s="128" t="s">
        <v>44</v>
      </c>
      <c r="AS3159" s="129" t="s">
        <v>61</v>
      </c>
      <c r="AT3159" s="129" t="s">
        <v>513</v>
      </c>
      <c r="BC3159" s="129" t="s">
        <v>38</v>
      </c>
      <c r="BF3159" s="111">
        <f t="shared" si="2301"/>
        <v>2</v>
      </c>
      <c r="BG3159" s="111">
        <f t="shared" si="2302"/>
        <v>2</v>
      </c>
      <c r="BH3159" s="111">
        <f t="shared" si="2274"/>
        <v>2</v>
      </c>
      <c r="BI3159" s="111">
        <f t="shared" si="2279"/>
        <v>17.071038251366119</v>
      </c>
      <c r="BJ3159" s="129">
        <f>G3159-J3159-M3159</f>
        <v>0</v>
      </c>
      <c r="BK3159" s="129">
        <f t="shared" si="2275"/>
        <v>0</v>
      </c>
      <c r="BL3159" s="129" t="str">
        <f t="shared" si="2272"/>
        <v>DEFERRED</v>
      </c>
      <c r="BM3159" s="129" t="str">
        <f t="shared" si="2281"/>
        <v>NONE</v>
      </c>
      <c r="BN3159" s="129" t="s">
        <v>566</v>
      </c>
      <c r="BP3159" s="137" t="str">
        <f t="shared" si="2282"/>
        <v>DEFERRED</v>
      </c>
      <c r="BQ3159" s="128" t="str">
        <f t="shared" si="2291"/>
        <v>Y</v>
      </c>
      <c r="BR3159" s="129" t="str">
        <f t="shared" si="2283"/>
        <v>DETAINED</v>
      </c>
      <c r="BS3159" s="129" t="str">
        <f t="shared" si="2284"/>
        <v>DISPOSED</v>
      </c>
      <c r="BT3159" s="129" t="str">
        <f t="shared" si="2285"/>
        <v>N</v>
      </c>
      <c r="BU3159" s="109">
        <f t="shared" si="2286"/>
        <v>1</v>
      </c>
      <c r="BV3159" s="109">
        <f t="shared" si="2292"/>
        <v>1</v>
      </c>
      <c r="BW3159" s="109">
        <f t="shared" si="2305"/>
        <v>0</v>
      </c>
      <c r="BX3159" s="111">
        <f t="shared" si="2287"/>
        <v>0</v>
      </c>
      <c r="BY3159" s="129">
        <f t="shared" si="2293"/>
        <v>-2</v>
      </c>
      <c r="BZ3159" s="111">
        <f t="shared" si="2294"/>
        <v>0</v>
      </c>
      <c r="CA3159" s="138">
        <f t="shared" si="2295"/>
        <v>2</v>
      </c>
      <c r="CB3159" s="111" t="e">
        <f t="shared" si="2303"/>
        <v>#VALUE!</v>
      </c>
      <c r="CC3159" s="129">
        <f>G3159-I3159+1</f>
        <v>2</v>
      </c>
      <c r="CD3159" s="129">
        <f>G3159-J3159</f>
        <v>0</v>
      </c>
      <c r="CG3159" s="129" t="str">
        <f t="shared" si="2296"/>
        <v>N</v>
      </c>
      <c r="CI3159" s="129" t="str">
        <f t="shared" si="2297"/>
        <v>0-10 DAYS</v>
      </c>
      <c r="CJ3159" s="137">
        <f t="shared" si="2298"/>
        <v>1</v>
      </c>
      <c r="CK3159" s="129" t="str">
        <f t="shared" si="2299"/>
        <v>Booked</v>
      </c>
    </row>
    <row r="3160" spans="1:89" ht="15" customHeight="1" x14ac:dyDescent="0.25">
      <c r="A3160" s="111">
        <v>3048</v>
      </c>
      <c r="B3160" s="128" t="str">
        <f t="shared" si="2288"/>
        <v>N</v>
      </c>
      <c r="C3160" s="128" t="str">
        <f t="shared" si="2289"/>
        <v>N</v>
      </c>
      <c r="D3160" s="117">
        <v>2615474</v>
      </c>
      <c r="E3160" s="135">
        <f t="shared" si="2290"/>
        <v>4</v>
      </c>
      <c r="F3160" s="124">
        <v>41022</v>
      </c>
      <c r="G3160" s="125">
        <v>41023</v>
      </c>
      <c r="H3160" s="117">
        <v>2615474</v>
      </c>
      <c r="I3160" s="124">
        <v>41022</v>
      </c>
      <c r="J3160" s="124">
        <v>41023</v>
      </c>
      <c r="K3160" s="126">
        <v>2000</v>
      </c>
      <c r="L3160" s="127" t="s">
        <v>568</v>
      </c>
      <c r="N3160" s="129" t="str">
        <f t="shared" si="2304"/>
        <v>N</v>
      </c>
      <c r="O3160" s="128" t="s">
        <v>917</v>
      </c>
      <c r="P3160" s="129" t="s">
        <v>39</v>
      </c>
      <c r="Q3160" s="111">
        <f t="shared" si="2300"/>
        <v>2</v>
      </c>
      <c r="R3160" s="111">
        <f t="shared" si="2273"/>
        <v>2</v>
      </c>
      <c r="S3160" s="129">
        <v>0</v>
      </c>
      <c r="T3160" s="129">
        <v>0</v>
      </c>
      <c r="W3160" s="111"/>
      <c r="AB3160" s="131" t="s">
        <v>112</v>
      </c>
      <c r="AC3160" s="130"/>
      <c r="AD3160" s="130">
        <v>29670</v>
      </c>
      <c r="AE3160" s="128" t="s">
        <v>32</v>
      </c>
      <c r="AF3160" s="128" t="s">
        <v>40</v>
      </c>
      <c r="AG3160" s="128" t="s">
        <v>41</v>
      </c>
      <c r="AH3160" s="108" t="s">
        <v>31</v>
      </c>
      <c r="AI3160" s="128" t="s">
        <v>70</v>
      </c>
      <c r="AJ3160" s="129" t="s">
        <v>89</v>
      </c>
      <c r="AK3160" s="129">
        <v>1</v>
      </c>
      <c r="AL3160" s="3" t="s">
        <v>991</v>
      </c>
      <c r="AO3160" s="128">
        <v>180</v>
      </c>
      <c r="AP3160" s="129" t="s">
        <v>43</v>
      </c>
      <c r="AR3160" s="128" t="s">
        <v>44</v>
      </c>
      <c r="AS3160" s="129" t="s">
        <v>45</v>
      </c>
      <c r="BC3160" s="129" t="s">
        <v>38</v>
      </c>
      <c r="BF3160" s="111">
        <f t="shared" si="2301"/>
        <v>2</v>
      </c>
      <c r="BG3160" s="111">
        <f t="shared" si="2302"/>
        <v>2</v>
      </c>
      <c r="BH3160" s="111">
        <f t="shared" si="2274"/>
        <v>2</v>
      </c>
      <c r="BI3160" s="111">
        <f t="shared" si="2279"/>
        <v>31.016393442622952</v>
      </c>
      <c r="BJ3160" s="129">
        <f>G3160-J3160-M3160</f>
        <v>0</v>
      </c>
      <c r="BK3160" s="129">
        <f t="shared" si="2275"/>
        <v>0</v>
      </c>
      <c r="BL3160" s="129" t="str">
        <f t="shared" si="2272"/>
        <v>CONVICTION</v>
      </c>
      <c r="BM3160" s="129" t="str">
        <f t="shared" si="2281"/>
        <v>NONE</v>
      </c>
      <c r="BN3160" s="129" t="s">
        <v>566</v>
      </c>
      <c r="BP3160" s="137" t="str">
        <f t="shared" si="2282"/>
        <v>CONVICTION</v>
      </c>
      <c r="BQ3160" s="128" t="str">
        <f t="shared" si="2291"/>
        <v>Y</v>
      </c>
      <c r="BR3160" s="129" t="str">
        <f t="shared" si="2283"/>
        <v>DETAINED</v>
      </c>
      <c r="BS3160" s="129" t="str">
        <f t="shared" si="2284"/>
        <v>DISPOSED</v>
      </c>
      <c r="BT3160" s="129" t="str">
        <f t="shared" si="2285"/>
        <v>N</v>
      </c>
      <c r="BU3160" s="109">
        <f t="shared" si="2286"/>
        <v>1</v>
      </c>
      <c r="BV3160" s="109">
        <f t="shared" si="2292"/>
        <v>1</v>
      </c>
      <c r="BW3160" s="109">
        <f t="shared" si="2305"/>
        <v>0</v>
      </c>
      <c r="BX3160" s="111">
        <f t="shared" si="2287"/>
        <v>0</v>
      </c>
      <c r="BY3160" s="129">
        <f t="shared" si="2293"/>
        <v>-2</v>
      </c>
      <c r="BZ3160" s="111">
        <f t="shared" si="2294"/>
        <v>0</v>
      </c>
      <c r="CA3160" s="138">
        <f t="shared" si="2295"/>
        <v>2</v>
      </c>
      <c r="CB3160" s="111" t="e">
        <f t="shared" si="2303"/>
        <v>#VALUE!</v>
      </c>
      <c r="CC3160" s="129">
        <f>G3160-I3160+1</f>
        <v>2</v>
      </c>
      <c r="CD3160" s="129">
        <f>G3160-J3160</f>
        <v>0</v>
      </c>
      <c r="CG3160" s="129" t="str">
        <f t="shared" si="2296"/>
        <v>N</v>
      </c>
      <c r="CI3160" s="129" t="str">
        <f t="shared" si="2297"/>
        <v>0-10 DAYS</v>
      </c>
      <c r="CJ3160" s="137">
        <f t="shared" si="2298"/>
        <v>1</v>
      </c>
      <c r="CK3160" s="129" t="str">
        <f t="shared" si="2299"/>
        <v>Booked</v>
      </c>
    </row>
    <row r="3161" spans="1:89" ht="15" customHeight="1" x14ac:dyDescent="0.25">
      <c r="A3161" s="111">
        <v>3053</v>
      </c>
      <c r="B3161" s="128" t="str">
        <f t="shared" si="2288"/>
        <v>N</v>
      </c>
      <c r="C3161" s="128" t="str">
        <f t="shared" si="2289"/>
        <v>N</v>
      </c>
      <c r="D3161" s="117">
        <v>2615507</v>
      </c>
      <c r="E3161" s="135">
        <f t="shared" si="2290"/>
        <v>2</v>
      </c>
      <c r="F3161" s="124">
        <v>41022</v>
      </c>
      <c r="G3161" s="125">
        <v>41150</v>
      </c>
      <c r="H3161" s="117">
        <v>2615507</v>
      </c>
      <c r="I3161" s="124" t="s">
        <v>562</v>
      </c>
      <c r="J3161" s="124" t="s">
        <v>562</v>
      </c>
      <c r="K3161" s="126">
        <v>2000</v>
      </c>
      <c r="L3161" s="127" t="s">
        <v>568</v>
      </c>
      <c r="M3161" s="125">
        <v>41023</v>
      </c>
      <c r="N3161" s="129" t="str">
        <f>IF(M3161&gt;1/1/1,"Y",IF(Q3161="0","","N"))</f>
        <v>Y</v>
      </c>
      <c r="O3161" s="128" t="s">
        <v>76</v>
      </c>
      <c r="P3161" s="129" t="s">
        <v>589</v>
      </c>
      <c r="Q3161" s="111">
        <f t="shared" si="2300"/>
        <v>0</v>
      </c>
      <c r="R3161" s="111">
        <f t="shared" si="2273"/>
        <v>129</v>
      </c>
      <c r="S3161" s="129">
        <v>0</v>
      </c>
      <c r="T3161" s="129">
        <v>0</v>
      </c>
      <c r="W3161" s="111"/>
      <c r="AC3161" s="130"/>
      <c r="AD3161" s="130">
        <v>24581</v>
      </c>
      <c r="AE3161" s="128" t="s">
        <v>32</v>
      </c>
      <c r="AF3161" s="128" t="s">
        <v>69</v>
      </c>
      <c r="AG3161" s="128" t="s">
        <v>874</v>
      </c>
      <c r="AH3161" s="108" t="s">
        <v>31</v>
      </c>
      <c r="AI3161" s="128" t="s">
        <v>85</v>
      </c>
      <c r="AJ3161" s="129" t="s">
        <v>48</v>
      </c>
      <c r="AK3161" s="129">
        <v>5</v>
      </c>
      <c r="AL3161" s="3" t="s">
        <v>48</v>
      </c>
      <c r="AP3161" s="129" t="s">
        <v>108</v>
      </c>
      <c r="AR3161" s="128" t="s">
        <v>44</v>
      </c>
      <c r="AS3161" s="129" t="s">
        <v>61</v>
      </c>
      <c r="BC3161" s="129" t="s">
        <v>52</v>
      </c>
      <c r="BF3161" s="111">
        <v>0</v>
      </c>
      <c r="BG3161" s="111">
        <v>0</v>
      </c>
      <c r="BH3161" s="111">
        <f t="shared" si="2274"/>
        <v>129</v>
      </c>
      <c r="BI3161" s="111">
        <f t="shared" si="2279"/>
        <v>44.920765027322403</v>
      </c>
      <c r="BJ3161" s="129" t="e">
        <f>(G3161-J3161)+(M3161-G3161)</f>
        <v>#VALUE!</v>
      </c>
      <c r="BK3161" s="129" t="e">
        <f t="shared" si="2275"/>
        <v>#VALUE!</v>
      </c>
      <c r="BL3161" s="129" t="str">
        <f t="shared" si="2272"/>
        <v>DEFERRED</v>
      </c>
      <c r="BM3161" s="129" t="s">
        <v>76</v>
      </c>
      <c r="BN3161" s="129" t="s">
        <v>88</v>
      </c>
      <c r="BP3161" s="137" t="str">
        <f t="shared" si="2282"/>
        <v>DEFERRED</v>
      </c>
      <c r="BQ3161" s="128">
        <f t="shared" si="2291"/>
        <v>0</v>
      </c>
      <c r="BR3161" s="129" t="s">
        <v>575</v>
      </c>
      <c r="BS3161" s="129" t="str">
        <f t="shared" si="2284"/>
        <v>DISPOSED</v>
      </c>
      <c r="BT3161" s="129" t="str">
        <f t="shared" si="2285"/>
        <v>N</v>
      </c>
      <c r="BU3161" s="109">
        <f t="shared" si="2286"/>
        <v>0</v>
      </c>
      <c r="BV3161" s="109">
        <v>0</v>
      </c>
      <c r="BW3161" s="109">
        <f t="shared" si="2305"/>
        <v>0</v>
      </c>
      <c r="BX3161" s="111">
        <f t="shared" si="2287"/>
        <v>0</v>
      </c>
      <c r="BY3161" s="129" t="e">
        <f t="shared" si="2293"/>
        <v>#VALUE!</v>
      </c>
      <c r="BZ3161" s="111" t="e">
        <f t="shared" si="2294"/>
        <v>#VALUE!</v>
      </c>
      <c r="CA3161" s="138" t="e">
        <f t="shared" si="2295"/>
        <v>#VALUE!</v>
      </c>
      <c r="CB3161" s="111">
        <v>0</v>
      </c>
      <c r="CC3161" s="129">
        <v>0</v>
      </c>
      <c r="CD3161" s="111">
        <f>CC3161-BF3161</f>
        <v>0</v>
      </c>
      <c r="CG3161" s="129" t="str">
        <f t="shared" si="2296"/>
        <v>N</v>
      </c>
      <c r="CI3161" s="129" t="str">
        <f t="shared" si="2297"/>
        <v>0-10 DAYS</v>
      </c>
      <c r="CJ3161" s="137">
        <f t="shared" si="2298"/>
        <v>1</v>
      </c>
      <c r="CK3161" s="129" t="str">
        <f t="shared" si="2299"/>
        <v>Not Booked</v>
      </c>
    </row>
    <row r="3162" spans="1:89" ht="15" customHeight="1" x14ac:dyDescent="0.25">
      <c r="A3162" s="111">
        <v>3055</v>
      </c>
      <c r="B3162" s="128" t="str">
        <f t="shared" si="2288"/>
        <v>N</v>
      </c>
      <c r="C3162" s="128" t="str">
        <f t="shared" si="2289"/>
        <v>N</v>
      </c>
      <c r="D3162" s="117">
        <v>2615523</v>
      </c>
      <c r="E3162" s="135">
        <f t="shared" si="2290"/>
        <v>1</v>
      </c>
      <c r="F3162" s="124">
        <v>41022</v>
      </c>
      <c r="G3162" s="125">
        <v>41025</v>
      </c>
      <c r="H3162" s="117">
        <v>2615523</v>
      </c>
      <c r="I3162" s="124">
        <v>41022</v>
      </c>
      <c r="J3162" s="124">
        <v>41023</v>
      </c>
      <c r="K3162" s="126">
        <v>5000</v>
      </c>
      <c r="L3162" s="127" t="s">
        <v>569</v>
      </c>
      <c r="M3162" s="125">
        <v>41023</v>
      </c>
      <c r="N3162" s="129" t="str">
        <f>IF(M3162&gt;1/1/1,"Y","N")</f>
        <v>Y</v>
      </c>
      <c r="O3162" s="128" t="s">
        <v>76</v>
      </c>
      <c r="P3162" s="129" t="s">
        <v>55</v>
      </c>
      <c r="Q3162" s="111">
        <f t="shared" si="2300"/>
        <v>2</v>
      </c>
      <c r="R3162" s="111">
        <f t="shared" si="2273"/>
        <v>4</v>
      </c>
      <c r="S3162" s="129">
        <v>0</v>
      </c>
      <c r="T3162" s="129">
        <v>0</v>
      </c>
      <c r="W3162" s="111"/>
      <c r="AC3162" s="130"/>
      <c r="AD3162" s="130">
        <v>26702</v>
      </c>
      <c r="AE3162" s="128" t="s">
        <v>32</v>
      </c>
      <c r="AF3162" s="128" t="s">
        <v>138</v>
      </c>
      <c r="AG3162" s="128" t="s">
        <v>873</v>
      </c>
      <c r="AH3162" s="108" t="s">
        <v>31</v>
      </c>
      <c r="AI3162" s="128" t="s">
        <v>71</v>
      </c>
      <c r="AJ3162" s="129" t="s">
        <v>55</v>
      </c>
      <c r="AK3162" s="129">
        <v>1</v>
      </c>
      <c r="AL3162" s="3" t="s">
        <v>55</v>
      </c>
      <c r="AP3162" s="129" t="s">
        <v>410</v>
      </c>
      <c r="AR3162" s="128" t="s">
        <v>67</v>
      </c>
      <c r="AS3162" s="129" t="s">
        <v>64</v>
      </c>
      <c r="AT3162" s="129" t="s">
        <v>519</v>
      </c>
      <c r="BC3162" s="129" t="s">
        <v>79</v>
      </c>
      <c r="BF3162" s="111">
        <f t="shared" ref="BF3162:BF3176" si="2306">IF(J3162&gt;1/1/1900,((J3162+1)-I3162),"STILL OPEN")</f>
        <v>2</v>
      </c>
      <c r="BG3162" s="111">
        <f t="shared" ref="BG3162:BG3189" si="2307">IF(G3162&gt;1/1/1900,((G3162+1)-I3162),"STILL OPEN")</f>
        <v>4</v>
      </c>
      <c r="BH3162" s="111">
        <f t="shared" si="2274"/>
        <v>4</v>
      </c>
      <c r="BI3162" s="111">
        <f t="shared" si="2279"/>
        <v>39.125683060109289</v>
      </c>
      <c r="BJ3162" s="129">
        <f>(G3162-J3162)+(M3162-G3162)</f>
        <v>0</v>
      </c>
      <c r="BK3162" s="129">
        <f t="shared" si="2275"/>
        <v>-2</v>
      </c>
      <c r="BL3162" s="129" t="str">
        <f t="shared" si="2272"/>
        <v>NO CONVICTION</v>
      </c>
      <c r="BM3162" s="129" t="s">
        <v>76</v>
      </c>
      <c r="BN3162" s="129" t="s">
        <v>88</v>
      </c>
      <c r="BP3162" s="137" t="str">
        <f t="shared" si="2282"/>
        <v>NO CONVICTION</v>
      </c>
      <c r="BQ3162" s="128" t="str">
        <f t="shared" si="2291"/>
        <v>Y</v>
      </c>
      <c r="BR3162" s="129" t="str">
        <f t="shared" si="2283"/>
        <v>ON BOND</v>
      </c>
      <c r="BS3162" s="129" t="str">
        <f t="shared" si="2284"/>
        <v>DISPOSED</v>
      </c>
      <c r="BT3162" s="129" t="str">
        <f t="shared" si="2285"/>
        <v>N</v>
      </c>
      <c r="BU3162" s="109">
        <f>IFERROR(Q3162/R3162,BR3162)</f>
        <v>0.5</v>
      </c>
      <c r="BV3162" s="109">
        <f t="shared" si="2292"/>
        <v>0.5</v>
      </c>
      <c r="BW3162" s="109">
        <f t="shared" si="2305"/>
        <v>0</v>
      </c>
      <c r="BX3162" s="111">
        <f t="shared" si="2287"/>
        <v>0</v>
      </c>
      <c r="BY3162" s="129">
        <f t="shared" si="2293"/>
        <v>-2</v>
      </c>
      <c r="BZ3162" s="111">
        <f t="shared" si="2294"/>
        <v>0</v>
      </c>
      <c r="CA3162" s="138">
        <f t="shared" si="2295"/>
        <v>2</v>
      </c>
      <c r="CB3162" s="111" t="e">
        <f t="shared" ref="CB3162:CB3176" si="2308">IF(AF3162&gt;1/1/1900,((AF3162+1)-AE3162),"STILL OPEN")</f>
        <v>#VALUE!</v>
      </c>
      <c r="CC3162" s="129">
        <f>M3162-I3162+1</f>
        <v>2</v>
      </c>
      <c r="CD3162" s="111">
        <f>CC3162-BF3162</f>
        <v>0</v>
      </c>
      <c r="CG3162" s="129" t="str">
        <f t="shared" si="2296"/>
        <v>N</v>
      </c>
      <c r="CI3162" s="129" t="str">
        <f t="shared" si="2297"/>
        <v>0-10 DAYS</v>
      </c>
      <c r="CJ3162" s="137">
        <f t="shared" si="2298"/>
        <v>1</v>
      </c>
      <c r="CK3162" s="129" t="str">
        <f t="shared" si="2299"/>
        <v>Booked</v>
      </c>
    </row>
    <row r="3163" spans="1:89" ht="15.75" customHeight="1" x14ac:dyDescent="0.25">
      <c r="A3163" s="111">
        <v>3069</v>
      </c>
      <c r="B3163" s="128" t="str">
        <f t="shared" si="2288"/>
        <v>N</v>
      </c>
      <c r="C3163" s="128" t="str">
        <f t="shared" si="2289"/>
        <v>Y</v>
      </c>
      <c r="D3163" s="117">
        <v>2615634</v>
      </c>
      <c r="E3163" s="135">
        <f t="shared" si="2290"/>
        <v>2</v>
      </c>
      <c r="F3163" s="124">
        <v>41023</v>
      </c>
      <c r="G3163" s="125">
        <v>41166</v>
      </c>
      <c r="H3163" s="117">
        <v>2615634</v>
      </c>
      <c r="I3163" s="124">
        <v>41023</v>
      </c>
      <c r="J3163" s="124">
        <v>41024</v>
      </c>
      <c r="K3163" s="126">
        <v>5000</v>
      </c>
      <c r="L3163" s="127" t="s">
        <v>569</v>
      </c>
      <c r="M3163" s="125">
        <v>41024</v>
      </c>
      <c r="N3163" s="129" t="str">
        <f>IF(M3163&gt;1/1/1,"Y","N")</f>
        <v>Y</v>
      </c>
      <c r="O3163" s="128" t="s">
        <v>585</v>
      </c>
      <c r="P3163" s="129" t="s">
        <v>589</v>
      </c>
      <c r="Q3163" s="111">
        <v>100</v>
      </c>
      <c r="R3163" s="111">
        <f t="shared" si="2273"/>
        <v>144</v>
      </c>
      <c r="S3163" s="129">
        <v>0</v>
      </c>
      <c r="T3163" s="129">
        <v>0</v>
      </c>
      <c r="W3163" s="111"/>
      <c r="AC3163" s="130"/>
      <c r="AD3163" s="130">
        <v>32077</v>
      </c>
      <c r="AE3163" s="128" t="s">
        <v>46</v>
      </c>
      <c r="AF3163" s="128" t="s">
        <v>69</v>
      </c>
      <c r="AG3163" s="128" t="s">
        <v>874</v>
      </c>
      <c r="AH3163" s="108" t="s">
        <v>31</v>
      </c>
      <c r="AI3163" s="128" t="s">
        <v>71</v>
      </c>
      <c r="AJ3163" s="129" t="s">
        <v>48</v>
      </c>
      <c r="AK3163" s="129">
        <v>10</v>
      </c>
      <c r="AL3163" s="3" t="s">
        <v>48</v>
      </c>
      <c r="AP3163" s="129" t="s">
        <v>93</v>
      </c>
      <c r="AR3163" s="128" t="s">
        <v>67</v>
      </c>
      <c r="AS3163" s="129" t="s">
        <v>45</v>
      </c>
      <c r="AU3163" s="3" t="s">
        <v>856</v>
      </c>
      <c r="AV3163" s="3" t="s">
        <v>88</v>
      </c>
      <c r="AW3163" s="129" t="s">
        <v>791</v>
      </c>
      <c r="AX3163" s="32" t="s">
        <v>88</v>
      </c>
      <c r="BA3163" s="125">
        <v>41121</v>
      </c>
      <c r="BB3163" s="129">
        <v>235</v>
      </c>
      <c r="BC3163" s="129" t="s">
        <v>38</v>
      </c>
      <c r="BF3163" s="111">
        <v>100</v>
      </c>
      <c r="BG3163" s="111">
        <f t="shared" si="2307"/>
        <v>144</v>
      </c>
      <c r="BH3163" s="111">
        <f t="shared" si="2274"/>
        <v>144</v>
      </c>
      <c r="BI3163" s="111">
        <f t="shared" si="2279"/>
        <v>24.442622950819672</v>
      </c>
      <c r="BJ3163" s="129">
        <f>(G3163-J3163)+(M3163-G3163)</f>
        <v>0</v>
      </c>
      <c r="BK3163" s="129">
        <f t="shared" si="2275"/>
        <v>-142</v>
      </c>
      <c r="BL3163" s="129" t="str">
        <f t="shared" si="2272"/>
        <v>DEFERRED</v>
      </c>
      <c r="BM3163" s="129" t="s">
        <v>76</v>
      </c>
      <c r="BN3163" s="129" t="s">
        <v>88</v>
      </c>
      <c r="BP3163" s="137" t="str">
        <f t="shared" si="2282"/>
        <v>DEFERRED</v>
      </c>
      <c r="BQ3163" s="128" t="str">
        <f t="shared" si="2291"/>
        <v>Y</v>
      </c>
      <c r="BR3163" s="129" t="s">
        <v>574</v>
      </c>
      <c r="BS3163" s="129" t="str">
        <f t="shared" si="2284"/>
        <v>DISPOSED</v>
      </c>
      <c r="BT3163" s="129" t="str">
        <f t="shared" si="2285"/>
        <v>N</v>
      </c>
      <c r="BU3163" s="109">
        <f t="shared" si="2286"/>
        <v>0.69444444444444442</v>
      </c>
      <c r="BV3163" s="109">
        <f t="shared" si="2292"/>
        <v>1.3888888888888888E-2</v>
      </c>
      <c r="BW3163" s="109">
        <f t="shared" si="2305"/>
        <v>-0.68055555555555558</v>
      </c>
      <c r="BX3163" s="111">
        <f t="shared" si="2287"/>
        <v>0</v>
      </c>
      <c r="BY3163" s="129">
        <f t="shared" si="2293"/>
        <v>-2</v>
      </c>
      <c r="BZ3163" s="111">
        <f t="shared" si="2294"/>
        <v>98</v>
      </c>
      <c r="CA3163" s="138">
        <f t="shared" si="2295"/>
        <v>144</v>
      </c>
      <c r="CB3163" s="111">
        <v>100</v>
      </c>
      <c r="CC3163" s="129">
        <f>G3163-I3163+1</f>
        <v>144</v>
      </c>
      <c r="CD3163" s="129">
        <f>G3163-J3163</f>
        <v>142</v>
      </c>
      <c r="CG3163" s="129" t="str">
        <f t="shared" si="2296"/>
        <v>N</v>
      </c>
      <c r="CI3163" s="129" t="str">
        <f t="shared" si="2297"/>
        <v>91-120 DAYS</v>
      </c>
      <c r="CJ3163" s="137">
        <f t="shared" si="2298"/>
        <v>0</v>
      </c>
      <c r="CK3163" s="129" t="str">
        <f t="shared" si="2299"/>
        <v>Booked</v>
      </c>
    </row>
    <row r="3164" spans="1:89" ht="15.75" customHeight="1" x14ac:dyDescent="0.25">
      <c r="A3164" s="111">
        <v>3074</v>
      </c>
      <c r="B3164" s="128" t="str">
        <f t="shared" si="2288"/>
        <v>N</v>
      </c>
      <c r="C3164" s="128" t="str">
        <f t="shared" si="2289"/>
        <v>N</v>
      </c>
      <c r="D3164" s="117">
        <v>2615639</v>
      </c>
      <c r="E3164" s="135">
        <f t="shared" si="2290"/>
        <v>1</v>
      </c>
      <c r="F3164" s="124">
        <v>41023</v>
      </c>
      <c r="G3164" s="125">
        <v>41024</v>
      </c>
      <c r="H3164" s="117">
        <v>2615639</v>
      </c>
      <c r="I3164" s="124">
        <v>41023</v>
      </c>
      <c r="J3164" s="124">
        <v>41024</v>
      </c>
      <c r="K3164" s="126">
        <v>2000</v>
      </c>
      <c r="L3164" s="127" t="s">
        <v>568</v>
      </c>
      <c r="N3164" s="129" t="str">
        <f>IF(M3164&gt;1/1/1,"Y","N")</f>
        <v>N</v>
      </c>
      <c r="O3164" s="128" t="s">
        <v>917</v>
      </c>
      <c r="P3164" s="129" t="s">
        <v>55</v>
      </c>
      <c r="Q3164" s="111">
        <f t="shared" si="2300"/>
        <v>2</v>
      </c>
      <c r="R3164" s="111">
        <f t="shared" si="2273"/>
        <v>2</v>
      </c>
      <c r="S3164" s="129">
        <v>0</v>
      </c>
      <c r="T3164" s="129">
        <v>0</v>
      </c>
      <c r="W3164" s="111"/>
      <c r="AB3164" s="131" t="s">
        <v>112</v>
      </c>
      <c r="AC3164" s="130"/>
      <c r="AD3164" s="130">
        <v>33680</v>
      </c>
      <c r="AE3164" s="128" t="s">
        <v>32</v>
      </c>
      <c r="AF3164" s="128" t="s">
        <v>40</v>
      </c>
      <c r="AG3164" s="128" t="s">
        <v>41</v>
      </c>
      <c r="AH3164" s="108" t="s">
        <v>31</v>
      </c>
      <c r="AI3164" s="128" t="s">
        <v>42</v>
      </c>
      <c r="AJ3164" s="129" t="s">
        <v>55</v>
      </c>
      <c r="AK3164" s="129">
        <v>1</v>
      </c>
      <c r="AL3164" s="3" t="s">
        <v>55</v>
      </c>
      <c r="AP3164" s="129" t="s">
        <v>175</v>
      </c>
      <c r="AR3164" s="128" t="s">
        <v>44</v>
      </c>
      <c r="AS3164" s="129" t="s">
        <v>45</v>
      </c>
      <c r="BC3164" s="129" t="s">
        <v>38</v>
      </c>
      <c r="BF3164" s="111">
        <f t="shared" si="2306"/>
        <v>2</v>
      </c>
      <c r="BG3164" s="111">
        <f t="shared" si="2307"/>
        <v>2</v>
      </c>
      <c r="BH3164" s="111">
        <f t="shared" si="2274"/>
        <v>2</v>
      </c>
      <c r="BI3164" s="111">
        <f t="shared" si="2279"/>
        <v>20.062841530054644</v>
      </c>
      <c r="BJ3164" s="129">
        <f>G3164-J3164-M3164</f>
        <v>0</v>
      </c>
      <c r="BK3164" s="129">
        <f t="shared" si="2275"/>
        <v>0</v>
      </c>
      <c r="BL3164" s="129" t="str">
        <f t="shared" si="2272"/>
        <v>NO CONVICTION</v>
      </c>
      <c r="BM3164" s="129" t="str">
        <f t="shared" si="2281"/>
        <v>NONE</v>
      </c>
      <c r="BN3164" s="129" t="s">
        <v>566</v>
      </c>
      <c r="BP3164" s="137" t="str">
        <f t="shared" si="2282"/>
        <v>NO CONVICTION</v>
      </c>
      <c r="BQ3164" s="128" t="str">
        <f t="shared" si="2291"/>
        <v>Y</v>
      </c>
      <c r="BR3164" s="129" t="str">
        <f t="shared" si="2283"/>
        <v>DETAINED</v>
      </c>
      <c r="BS3164" s="129" t="str">
        <f t="shared" si="2284"/>
        <v>DISPOSED</v>
      </c>
      <c r="BT3164" s="129" t="str">
        <f t="shared" si="2285"/>
        <v>N</v>
      </c>
      <c r="BU3164" s="109">
        <f>IFERROR(Q3164/R3164,BR3164)</f>
        <v>1</v>
      </c>
      <c r="BV3164" s="109">
        <f t="shared" si="2292"/>
        <v>1</v>
      </c>
      <c r="BW3164" s="109">
        <f t="shared" si="2305"/>
        <v>0</v>
      </c>
      <c r="BX3164" s="111">
        <f t="shared" si="2287"/>
        <v>0</v>
      </c>
      <c r="BY3164" s="129">
        <f t="shared" si="2293"/>
        <v>-2</v>
      </c>
      <c r="BZ3164" s="111">
        <f t="shared" si="2294"/>
        <v>0</v>
      </c>
      <c r="CA3164" s="138">
        <f t="shared" si="2295"/>
        <v>2</v>
      </c>
      <c r="CB3164" s="111" t="e">
        <f t="shared" si="2308"/>
        <v>#VALUE!</v>
      </c>
      <c r="CC3164" s="129">
        <f>G3164-I3164+1</f>
        <v>2</v>
      </c>
      <c r="CD3164" s="129">
        <f>G3164-J3164</f>
        <v>0</v>
      </c>
      <c r="CG3164" s="129" t="str">
        <f t="shared" si="2296"/>
        <v>N</v>
      </c>
      <c r="CI3164" s="129" t="str">
        <f t="shared" si="2297"/>
        <v>0-10 DAYS</v>
      </c>
      <c r="CJ3164" s="137">
        <f t="shared" si="2298"/>
        <v>1</v>
      </c>
      <c r="CK3164" s="129" t="str">
        <f t="shared" si="2299"/>
        <v>Booked</v>
      </c>
    </row>
    <row r="3165" spans="1:89" ht="15.75" customHeight="1" x14ac:dyDescent="0.25">
      <c r="A3165" s="111">
        <v>3084</v>
      </c>
      <c r="B3165" s="128" t="str">
        <f t="shared" si="2288"/>
        <v>N</v>
      </c>
      <c r="C3165" s="128" t="str">
        <f t="shared" si="2289"/>
        <v>N</v>
      </c>
      <c r="D3165" s="117">
        <v>2615659</v>
      </c>
      <c r="E3165" s="135">
        <f t="shared" si="2290"/>
        <v>2</v>
      </c>
      <c r="F3165" s="124">
        <v>41023</v>
      </c>
      <c r="G3165" s="125">
        <v>41248</v>
      </c>
      <c r="H3165" s="117">
        <v>2615659</v>
      </c>
      <c r="I3165" s="124">
        <v>41023</v>
      </c>
      <c r="J3165" s="124">
        <v>41116</v>
      </c>
      <c r="K3165" s="126">
        <v>20000</v>
      </c>
      <c r="L3165" s="127" t="s">
        <v>571</v>
      </c>
      <c r="M3165" s="125">
        <v>41116</v>
      </c>
      <c r="N3165" s="129" t="str">
        <f>IF(M3165&gt;1/1/1,"Y","N")</f>
        <v>Y</v>
      </c>
      <c r="O3165" s="128" t="s">
        <v>585</v>
      </c>
      <c r="P3165" s="129" t="s">
        <v>589</v>
      </c>
      <c r="Q3165" s="111">
        <f t="shared" si="2300"/>
        <v>94</v>
      </c>
      <c r="R3165" s="111">
        <f t="shared" si="2273"/>
        <v>226</v>
      </c>
      <c r="S3165" s="129">
        <v>0</v>
      </c>
      <c r="T3165" s="129">
        <v>0</v>
      </c>
      <c r="W3165" s="111"/>
      <c r="AC3165" s="130"/>
      <c r="AD3165" s="130">
        <v>33065</v>
      </c>
      <c r="AE3165" s="128" t="s">
        <v>32</v>
      </c>
      <c r="AF3165" s="128" t="s">
        <v>69</v>
      </c>
      <c r="AG3165" s="128" t="s">
        <v>874</v>
      </c>
      <c r="AH3165" s="108" t="s">
        <v>31</v>
      </c>
      <c r="AI3165" s="128" t="s">
        <v>70</v>
      </c>
      <c r="AJ3165" s="129" t="s">
        <v>48</v>
      </c>
      <c r="AK3165" s="129">
        <v>13</v>
      </c>
      <c r="AL3165" s="3" t="s">
        <v>48</v>
      </c>
      <c r="AP3165" s="129" t="s">
        <v>164</v>
      </c>
      <c r="AR3165" s="128" t="s">
        <v>92</v>
      </c>
      <c r="AS3165" s="129" t="s">
        <v>82</v>
      </c>
      <c r="BC3165" s="129" t="s">
        <v>52</v>
      </c>
      <c r="BF3165" s="111">
        <f t="shared" si="2306"/>
        <v>94</v>
      </c>
      <c r="BG3165" s="111">
        <f t="shared" si="2307"/>
        <v>226</v>
      </c>
      <c r="BH3165" s="111">
        <f t="shared" si="2274"/>
        <v>226</v>
      </c>
      <c r="BI3165" s="111">
        <f t="shared" si="2279"/>
        <v>21.743169398907103</v>
      </c>
      <c r="BJ3165" s="129">
        <f>(G3165-J3165)+(M3165-G3165)</f>
        <v>0</v>
      </c>
      <c r="BK3165" s="129">
        <f t="shared" si="2275"/>
        <v>-132</v>
      </c>
      <c r="BL3165" s="129" t="str">
        <f t="shared" si="2272"/>
        <v>DEFERRED</v>
      </c>
      <c r="BM3165" s="129" t="s">
        <v>76</v>
      </c>
      <c r="BN3165" s="129" t="s">
        <v>88</v>
      </c>
      <c r="BP3165" s="137" t="str">
        <f t="shared" si="2282"/>
        <v>DEFERRED</v>
      </c>
      <c r="BQ3165" s="128" t="str">
        <f t="shared" si="2291"/>
        <v>Y</v>
      </c>
      <c r="BR3165" s="129" t="str">
        <f t="shared" si="2283"/>
        <v>ON BOND</v>
      </c>
      <c r="BS3165" s="129" t="str">
        <f t="shared" si="2284"/>
        <v>DISPOSED</v>
      </c>
      <c r="BT3165" s="129" t="str">
        <f t="shared" si="2285"/>
        <v>N</v>
      </c>
      <c r="BU3165" s="109">
        <f t="shared" si="2286"/>
        <v>0.41592920353982299</v>
      </c>
      <c r="BV3165" s="109">
        <f t="shared" si="2292"/>
        <v>0.41592920353982299</v>
      </c>
      <c r="BW3165" s="109">
        <f t="shared" si="2305"/>
        <v>0</v>
      </c>
      <c r="BX3165" s="111">
        <f t="shared" si="2287"/>
        <v>0</v>
      </c>
      <c r="BY3165" s="129">
        <f t="shared" si="2293"/>
        <v>-94</v>
      </c>
      <c r="BZ3165" s="111">
        <f t="shared" si="2294"/>
        <v>0</v>
      </c>
      <c r="CA3165" s="138">
        <f t="shared" si="2295"/>
        <v>94</v>
      </c>
      <c r="CB3165" s="111" t="e">
        <f t="shared" si="2308"/>
        <v>#VALUE!</v>
      </c>
      <c r="CC3165" s="129">
        <f>M3165-I3165+1</f>
        <v>94</v>
      </c>
      <c r="CD3165" s="111">
        <f>CC3165-BF3165</f>
        <v>0</v>
      </c>
      <c r="CG3165" s="129" t="str">
        <f t="shared" si="2296"/>
        <v>N</v>
      </c>
      <c r="CI3165" s="129" t="str">
        <f t="shared" si="2297"/>
        <v>91-120 DAYS</v>
      </c>
      <c r="CJ3165" s="137">
        <f t="shared" si="2298"/>
        <v>0</v>
      </c>
      <c r="CK3165" s="129" t="str">
        <f t="shared" si="2299"/>
        <v>Booked</v>
      </c>
    </row>
    <row r="3166" spans="1:89" ht="15" customHeight="1" x14ac:dyDescent="0.25">
      <c r="A3166" s="111">
        <v>3089</v>
      </c>
      <c r="B3166" s="128" t="str">
        <f t="shared" si="2288"/>
        <v>N</v>
      </c>
      <c r="C3166" s="128" t="str">
        <f t="shared" si="2289"/>
        <v>N</v>
      </c>
      <c r="D3166" s="117">
        <v>2615690</v>
      </c>
      <c r="E3166" s="135">
        <f t="shared" si="2290"/>
        <v>6</v>
      </c>
      <c r="F3166" s="124">
        <v>41023</v>
      </c>
      <c r="G3166" s="125">
        <v>41136</v>
      </c>
      <c r="H3166" s="117">
        <v>2615690</v>
      </c>
      <c r="I3166" s="124">
        <v>41133</v>
      </c>
      <c r="J3166" s="124">
        <v>41136</v>
      </c>
      <c r="K3166" s="126" t="s">
        <v>564</v>
      </c>
      <c r="L3166" s="127" t="s">
        <v>564</v>
      </c>
      <c r="N3166" s="129" t="s">
        <v>566</v>
      </c>
      <c r="O3166" s="128" t="s">
        <v>917</v>
      </c>
      <c r="P3166" s="129" t="s">
        <v>39</v>
      </c>
      <c r="Q3166" s="111">
        <f t="shared" si="2300"/>
        <v>4</v>
      </c>
      <c r="R3166" s="111">
        <f t="shared" si="2273"/>
        <v>114</v>
      </c>
      <c r="S3166" s="129">
        <v>0</v>
      </c>
      <c r="T3166" s="129">
        <v>0</v>
      </c>
      <c r="W3166" s="111"/>
      <c r="AC3166" s="130"/>
      <c r="AD3166" s="130">
        <v>28832</v>
      </c>
      <c r="AE3166" s="128" t="s">
        <v>32</v>
      </c>
      <c r="AF3166" s="128" t="s">
        <v>69</v>
      </c>
      <c r="AG3166" s="128" t="s">
        <v>874</v>
      </c>
      <c r="AH3166" s="108" t="s">
        <v>31</v>
      </c>
      <c r="AI3166" s="128" t="s">
        <v>34</v>
      </c>
      <c r="AJ3166" s="129" t="s">
        <v>89</v>
      </c>
      <c r="AK3166" s="129">
        <v>2</v>
      </c>
      <c r="AL3166" s="3" t="s">
        <v>362</v>
      </c>
      <c r="AM3166" s="117">
        <v>2</v>
      </c>
      <c r="AP3166" s="129" t="s">
        <v>109</v>
      </c>
      <c r="AR3166" s="128" t="s">
        <v>67</v>
      </c>
      <c r="AS3166" s="129" t="s">
        <v>61</v>
      </c>
      <c r="BC3166" s="129" t="s">
        <v>38</v>
      </c>
      <c r="BF3166" s="111">
        <f t="shared" si="2306"/>
        <v>4</v>
      </c>
      <c r="BG3166" s="111">
        <f t="shared" si="2307"/>
        <v>4</v>
      </c>
      <c r="BH3166" s="111">
        <f t="shared" si="2274"/>
        <v>114</v>
      </c>
      <c r="BI3166" s="111">
        <f t="shared" si="2279"/>
        <v>33.308743169398909</v>
      </c>
      <c r="BJ3166" s="129">
        <f>G3166-J3166-M3166</f>
        <v>0</v>
      </c>
      <c r="BK3166" s="129">
        <f t="shared" si="2275"/>
        <v>0</v>
      </c>
      <c r="BL3166" s="129" t="str">
        <f t="shared" si="2272"/>
        <v>CONVICTION</v>
      </c>
      <c r="BM3166" s="129" t="str">
        <f t="shared" si="2281"/>
        <v>NONE</v>
      </c>
      <c r="BN3166" s="129" t="s">
        <v>566</v>
      </c>
      <c r="BP3166" s="137" t="str">
        <f t="shared" si="2282"/>
        <v>CONVICTION</v>
      </c>
      <c r="BQ3166" s="128" t="str">
        <f t="shared" si="2291"/>
        <v>Y</v>
      </c>
      <c r="BR3166" s="129" t="str">
        <f t="shared" si="2283"/>
        <v>DETAINED</v>
      </c>
      <c r="BS3166" s="129" t="str">
        <f t="shared" si="2284"/>
        <v>DISPOSED</v>
      </c>
      <c r="BT3166" s="129" t="str">
        <f t="shared" si="2285"/>
        <v>N</v>
      </c>
      <c r="BU3166" s="109">
        <f t="shared" si="2286"/>
        <v>3.5087719298245612E-2</v>
      </c>
      <c r="BV3166" s="109">
        <f t="shared" si="2292"/>
        <v>1</v>
      </c>
      <c r="BW3166" s="109">
        <f t="shared" si="2305"/>
        <v>0.96491228070175439</v>
      </c>
      <c r="BX3166" s="111">
        <f t="shared" si="2287"/>
        <v>0</v>
      </c>
      <c r="BY3166" s="129">
        <f t="shared" si="2293"/>
        <v>-4</v>
      </c>
      <c r="BZ3166" s="111">
        <f t="shared" si="2294"/>
        <v>0</v>
      </c>
      <c r="CA3166" s="138">
        <f t="shared" si="2295"/>
        <v>4</v>
      </c>
      <c r="CB3166" s="111" t="e">
        <f t="shared" si="2308"/>
        <v>#VALUE!</v>
      </c>
      <c r="CC3166" s="129">
        <f>G3166-I3166+1</f>
        <v>4</v>
      </c>
      <c r="CD3166" s="129">
        <f>G3166-J3166</f>
        <v>0</v>
      </c>
      <c r="CG3166" s="129" t="str">
        <f t="shared" si="2296"/>
        <v>N</v>
      </c>
      <c r="CI3166" s="129" t="str">
        <f t="shared" si="2297"/>
        <v>0-10 DAYS</v>
      </c>
      <c r="CJ3166" s="137">
        <f t="shared" si="2298"/>
        <v>1</v>
      </c>
      <c r="CK3166" s="129" t="str">
        <f t="shared" si="2299"/>
        <v>Booked</v>
      </c>
    </row>
    <row r="3167" spans="1:89" ht="15.75" customHeight="1" x14ac:dyDescent="0.25">
      <c r="A3167" s="111">
        <v>3097</v>
      </c>
      <c r="B3167" s="128" t="str">
        <f t="shared" si="2288"/>
        <v>N</v>
      </c>
      <c r="C3167" s="128" t="str">
        <f t="shared" si="2289"/>
        <v>N</v>
      </c>
      <c r="D3167" s="117">
        <v>2615729</v>
      </c>
      <c r="E3167" s="135">
        <f t="shared" si="2290"/>
        <v>2</v>
      </c>
      <c r="F3167" s="124">
        <v>41023</v>
      </c>
      <c r="G3167" s="125">
        <v>41025</v>
      </c>
      <c r="H3167" s="117">
        <v>2615729</v>
      </c>
      <c r="I3167" s="124">
        <v>41023</v>
      </c>
      <c r="J3167" s="124">
        <v>41025</v>
      </c>
      <c r="K3167" s="126">
        <v>5000</v>
      </c>
      <c r="L3167" s="127" t="s">
        <v>569</v>
      </c>
      <c r="N3167" s="129" t="str">
        <f>IF(M3167&gt;1/1/1,"Y","N")</f>
        <v>N</v>
      </c>
      <c r="O3167" s="128" t="s">
        <v>917</v>
      </c>
      <c r="P3167" s="129" t="s">
        <v>589</v>
      </c>
      <c r="Q3167" s="111">
        <f t="shared" si="2300"/>
        <v>3</v>
      </c>
      <c r="R3167" s="111">
        <f t="shared" si="2273"/>
        <v>3</v>
      </c>
      <c r="S3167" s="129">
        <v>0</v>
      </c>
      <c r="T3167" s="129">
        <v>0</v>
      </c>
      <c r="W3167" s="111"/>
      <c r="AC3167" s="130"/>
      <c r="AD3167" s="130">
        <v>33921</v>
      </c>
      <c r="AE3167" s="128" t="s">
        <v>32</v>
      </c>
      <c r="AF3167" s="128" t="s">
        <v>33</v>
      </c>
      <c r="AG3167" s="128" t="s">
        <v>872</v>
      </c>
      <c r="AH3167" s="108" t="s">
        <v>31</v>
      </c>
      <c r="AI3167" s="128" t="s">
        <v>87</v>
      </c>
      <c r="AJ3167" s="129" t="s">
        <v>48</v>
      </c>
      <c r="AK3167" s="129">
        <v>1</v>
      </c>
      <c r="AL3167" s="3" t="s">
        <v>48</v>
      </c>
      <c r="AP3167" s="129" t="s">
        <v>169</v>
      </c>
      <c r="AR3167" s="128" t="s">
        <v>67</v>
      </c>
      <c r="AS3167" s="129" t="s">
        <v>64</v>
      </c>
      <c r="AY3167" s="123"/>
      <c r="BC3167" s="129" t="s">
        <v>38</v>
      </c>
      <c r="BF3167" s="111">
        <f t="shared" si="2306"/>
        <v>3</v>
      </c>
      <c r="BG3167" s="111">
        <f t="shared" si="2307"/>
        <v>3</v>
      </c>
      <c r="BH3167" s="111">
        <f t="shared" si="2274"/>
        <v>3</v>
      </c>
      <c r="BI3167" s="111">
        <f t="shared" si="2279"/>
        <v>19.404371584699454</v>
      </c>
      <c r="BJ3167" s="129">
        <f>G3167-J3167-M3167</f>
        <v>0</v>
      </c>
      <c r="BK3167" s="129">
        <f t="shared" si="2275"/>
        <v>0</v>
      </c>
      <c r="BL3167" s="129" t="str">
        <f t="shared" si="2272"/>
        <v>DEFERRED</v>
      </c>
      <c r="BM3167" s="129" t="str">
        <f t="shared" si="2281"/>
        <v>NONE</v>
      </c>
      <c r="BN3167" s="129" t="s">
        <v>566</v>
      </c>
      <c r="BP3167" s="137" t="str">
        <f t="shared" si="2282"/>
        <v>DEFERRED</v>
      </c>
      <c r="BQ3167" s="128" t="str">
        <f t="shared" si="2291"/>
        <v>Y</v>
      </c>
      <c r="BR3167" s="129" t="str">
        <f t="shared" si="2283"/>
        <v>DETAINED</v>
      </c>
      <c r="BS3167" s="129" t="str">
        <f t="shared" si="2284"/>
        <v>DISPOSED</v>
      </c>
      <c r="BT3167" s="129" t="str">
        <f t="shared" si="2285"/>
        <v>N</v>
      </c>
      <c r="BU3167" s="109">
        <f t="shared" si="2286"/>
        <v>1</v>
      </c>
      <c r="BV3167" s="109">
        <f t="shared" si="2292"/>
        <v>1</v>
      </c>
      <c r="BW3167" s="109">
        <f t="shared" si="2305"/>
        <v>0</v>
      </c>
      <c r="BX3167" s="111">
        <f t="shared" si="2287"/>
        <v>0</v>
      </c>
      <c r="BY3167" s="129">
        <f t="shared" si="2293"/>
        <v>-3</v>
      </c>
      <c r="BZ3167" s="111">
        <f t="shared" si="2294"/>
        <v>0</v>
      </c>
      <c r="CA3167" s="138">
        <f t="shared" si="2295"/>
        <v>3</v>
      </c>
      <c r="CB3167" s="111" t="e">
        <f t="shared" si="2308"/>
        <v>#VALUE!</v>
      </c>
      <c r="CC3167" s="129">
        <f>G3167-I3167+1</f>
        <v>3</v>
      </c>
      <c r="CD3167" s="129">
        <f>G3167-J3167</f>
        <v>0</v>
      </c>
      <c r="CG3167" s="129" t="str">
        <f t="shared" si="2296"/>
        <v>N</v>
      </c>
      <c r="CI3167" s="129" t="str">
        <f t="shared" si="2297"/>
        <v>0-10 DAYS</v>
      </c>
      <c r="CJ3167" s="137">
        <f t="shared" si="2298"/>
        <v>1</v>
      </c>
      <c r="CK3167" s="129" t="str">
        <f t="shared" si="2299"/>
        <v>Booked</v>
      </c>
    </row>
    <row r="3168" spans="1:89" ht="15.75" customHeight="1" x14ac:dyDescent="0.25">
      <c r="A3168" s="111">
        <v>3102</v>
      </c>
      <c r="B3168" s="128" t="str">
        <f t="shared" si="2288"/>
        <v>N</v>
      </c>
      <c r="C3168" s="128" t="str">
        <f t="shared" si="2289"/>
        <v>N</v>
      </c>
      <c r="D3168" s="117">
        <v>2615756</v>
      </c>
      <c r="E3168" s="135">
        <f t="shared" si="2290"/>
        <v>1</v>
      </c>
      <c r="F3168" s="124">
        <v>41023</v>
      </c>
      <c r="G3168" s="125">
        <v>41332</v>
      </c>
      <c r="H3168" s="117">
        <v>2615756</v>
      </c>
      <c r="I3168" s="124">
        <v>41023</v>
      </c>
      <c r="J3168" s="124">
        <v>41024</v>
      </c>
      <c r="K3168" s="126">
        <v>5000</v>
      </c>
      <c r="L3168" s="127" t="s">
        <v>569</v>
      </c>
      <c r="M3168" s="125">
        <v>41024</v>
      </c>
      <c r="N3168" s="129" t="str">
        <f>IF(M3168&gt;1/1/1,"Y","N")</f>
        <v>Y</v>
      </c>
      <c r="O3168" s="128" t="s">
        <v>76</v>
      </c>
      <c r="P3168" s="129" t="s">
        <v>55</v>
      </c>
      <c r="Q3168" s="111">
        <f t="shared" si="2300"/>
        <v>2</v>
      </c>
      <c r="R3168" s="111">
        <f t="shared" si="2273"/>
        <v>310</v>
      </c>
      <c r="S3168" s="129">
        <v>0</v>
      </c>
      <c r="T3168" s="129">
        <v>0</v>
      </c>
      <c r="W3168" s="111"/>
      <c r="AC3168" s="130"/>
      <c r="AD3168" s="130">
        <v>26925</v>
      </c>
      <c r="AE3168" s="128" t="s">
        <v>32</v>
      </c>
      <c r="AF3168" s="128" t="s">
        <v>33</v>
      </c>
      <c r="AG3168" s="128" t="s">
        <v>872</v>
      </c>
      <c r="AH3168" s="108" t="s">
        <v>31</v>
      </c>
      <c r="AI3168" s="128" t="s">
        <v>85</v>
      </c>
      <c r="AJ3168" s="129" t="s">
        <v>55</v>
      </c>
      <c r="AK3168" s="129">
        <v>10</v>
      </c>
      <c r="AL3168" s="3" t="s">
        <v>55</v>
      </c>
      <c r="AP3168" s="129" t="s">
        <v>524</v>
      </c>
      <c r="AR3168" s="128" t="s">
        <v>67</v>
      </c>
      <c r="AS3168" s="129" t="s">
        <v>64</v>
      </c>
      <c r="BC3168" s="129" t="s">
        <v>52</v>
      </c>
      <c r="BF3168" s="111">
        <f t="shared" si="2306"/>
        <v>2</v>
      </c>
      <c r="BG3168" s="111">
        <f t="shared" si="2307"/>
        <v>310</v>
      </c>
      <c r="BH3168" s="111">
        <f t="shared" si="2274"/>
        <v>310</v>
      </c>
      <c r="BI3168" s="111">
        <f t="shared" si="2279"/>
        <v>38.519125683060111</v>
      </c>
      <c r="BJ3168" s="129">
        <f>(G3168-J3168)+(M3168-G3168)</f>
        <v>0</v>
      </c>
      <c r="BK3168" s="129">
        <f t="shared" si="2275"/>
        <v>-308</v>
      </c>
      <c r="BL3168" s="129" t="str">
        <f t="shared" si="2272"/>
        <v>NO CONVICTION</v>
      </c>
      <c r="BM3168" s="129" t="s">
        <v>76</v>
      </c>
      <c r="BN3168" s="129" t="s">
        <v>88</v>
      </c>
      <c r="BP3168" s="137" t="str">
        <f t="shared" si="2282"/>
        <v>NO CONVICTION</v>
      </c>
      <c r="BQ3168" s="128" t="str">
        <f t="shared" si="2291"/>
        <v>Y</v>
      </c>
      <c r="BR3168" s="129" t="str">
        <f t="shared" si="2283"/>
        <v>ON BOND</v>
      </c>
      <c r="BS3168" s="129" t="str">
        <f t="shared" si="2284"/>
        <v>DISPOSED</v>
      </c>
      <c r="BT3168" s="129" t="str">
        <f t="shared" si="2285"/>
        <v>N</v>
      </c>
      <c r="BU3168" s="109">
        <f>IFERROR(Q3168/R3168,BR3168)</f>
        <v>6.4516129032258064E-3</v>
      </c>
      <c r="BV3168" s="109">
        <f t="shared" si="2292"/>
        <v>6.4516129032258064E-3</v>
      </c>
      <c r="BW3168" s="109">
        <f t="shared" si="2305"/>
        <v>0</v>
      </c>
      <c r="BX3168" s="111">
        <f t="shared" si="2287"/>
        <v>0</v>
      </c>
      <c r="BY3168" s="129">
        <f t="shared" si="2293"/>
        <v>-2</v>
      </c>
      <c r="BZ3168" s="111">
        <f t="shared" si="2294"/>
        <v>0</v>
      </c>
      <c r="CA3168" s="138">
        <f t="shared" si="2295"/>
        <v>2</v>
      </c>
      <c r="CB3168" s="111" t="e">
        <f t="shared" si="2308"/>
        <v>#VALUE!</v>
      </c>
      <c r="CC3168" s="129">
        <f>M3168-I3168+1</f>
        <v>2</v>
      </c>
      <c r="CD3168" s="111">
        <f>CC3168-BF3168</f>
        <v>0</v>
      </c>
      <c r="CG3168" s="129" t="str">
        <f t="shared" si="2296"/>
        <v>N</v>
      </c>
      <c r="CI3168" s="129" t="str">
        <f t="shared" si="2297"/>
        <v>0-10 DAYS</v>
      </c>
      <c r="CJ3168" s="137">
        <f t="shared" si="2298"/>
        <v>1</v>
      </c>
      <c r="CK3168" s="129" t="str">
        <f t="shared" si="2299"/>
        <v>Booked</v>
      </c>
    </row>
    <row r="3169" spans="1:89" ht="15" customHeight="1" x14ac:dyDescent="0.25">
      <c r="A3169" s="111">
        <v>3104</v>
      </c>
      <c r="B3169" s="128" t="str">
        <f t="shared" si="2288"/>
        <v>N</v>
      </c>
      <c r="C3169" s="128" t="str">
        <f t="shared" si="2289"/>
        <v>N</v>
      </c>
      <c r="D3169" s="117">
        <v>2615762</v>
      </c>
      <c r="E3169" s="135">
        <f t="shared" si="2290"/>
        <v>2</v>
      </c>
      <c r="F3169" s="124">
        <v>41023</v>
      </c>
      <c r="G3169" s="125">
        <v>41150</v>
      </c>
      <c r="H3169" s="117">
        <v>2615762</v>
      </c>
      <c r="I3169" s="124">
        <v>41145</v>
      </c>
      <c r="J3169" s="124">
        <v>41150</v>
      </c>
      <c r="K3169" s="126" t="s">
        <v>564</v>
      </c>
      <c r="L3169" s="127" t="s">
        <v>564</v>
      </c>
      <c r="N3169" s="129" t="s">
        <v>566</v>
      </c>
      <c r="O3169" s="128" t="s">
        <v>917</v>
      </c>
      <c r="P3169" s="129" t="s">
        <v>589</v>
      </c>
      <c r="Q3169" s="111">
        <f t="shared" si="2300"/>
        <v>6</v>
      </c>
      <c r="R3169" s="111">
        <f t="shared" si="2273"/>
        <v>128</v>
      </c>
      <c r="S3169" s="129">
        <v>0</v>
      </c>
      <c r="T3169" s="129">
        <v>0</v>
      </c>
      <c r="W3169" s="111"/>
      <c r="AC3169" s="130"/>
      <c r="AD3169" s="130">
        <v>30594</v>
      </c>
      <c r="AE3169" s="128" t="s">
        <v>32</v>
      </c>
      <c r="AF3169" s="128" t="s">
        <v>69</v>
      </c>
      <c r="AG3169" s="128" t="s">
        <v>874</v>
      </c>
      <c r="AH3169" s="108" t="s">
        <v>31</v>
      </c>
      <c r="AI3169" s="128" t="s">
        <v>114</v>
      </c>
      <c r="AJ3169" s="129" t="s">
        <v>48</v>
      </c>
      <c r="AK3169" s="129">
        <v>2</v>
      </c>
      <c r="AL3169" s="3" t="s">
        <v>48</v>
      </c>
      <c r="AP3169" s="129" t="s">
        <v>150</v>
      </c>
      <c r="AR3169" s="128" t="s">
        <v>67</v>
      </c>
      <c r="AS3169" s="129" t="s">
        <v>74</v>
      </c>
      <c r="BC3169" s="129" t="s">
        <v>99</v>
      </c>
      <c r="BF3169" s="111">
        <f t="shared" si="2306"/>
        <v>6</v>
      </c>
      <c r="BG3169" s="111">
        <f t="shared" si="2307"/>
        <v>6</v>
      </c>
      <c r="BH3169" s="111">
        <f t="shared" si="2274"/>
        <v>128</v>
      </c>
      <c r="BI3169" s="111">
        <f t="shared" si="2279"/>
        <v>28.494535519125684</v>
      </c>
      <c r="BJ3169" s="129">
        <f>G3169-J3169-M3169</f>
        <v>0</v>
      </c>
      <c r="BK3169" s="129">
        <f t="shared" si="2275"/>
        <v>0</v>
      </c>
      <c r="BL3169" s="129" t="str">
        <f t="shared" si="2272"/>
        <v>DEFERRED</v>
      </c>
      <c r="BM3169" s="129" t="str">
        <f t="shared" si="2281"/>
        <v>NONE</v>
      </c>
      <c r="BN3169" s="129" t="s">
        <v>566</v>
      </c>
      <c r="BP3169" s="137" t="str">
        <f t="shared" si="2282"/>
        <v>DEFERRED</v>
      </c>
      <c r="BQ3169" s="128" t="str">
        <f t="shared" si="2291"/>
        <v>Y</v>
      </c>
      <c r="BR3169" s="129" t="str">
        <f t="shared" si="2283"/>
        <v>DETAINED</v>
      </c>
      <c r="BS3169" s="129" t="str">
        <f t="shared" si="2284"/>
        <v>DISPOSED</v>
      </c>
      <c r="BT3169" s="129" t="str">
        <f t="shared" si="2285"/>
        <v>N</v>
      </c>
      <c r="BU3169" s="109">
        <f t="shared" si="2286"/>
        <v>4.6875E-2</v>
      </c>
      <c r="BV3169" s="109">
        <f t="shared" si="2292"/>
        <v>1</v>
      </c>
      <c r="BW3169" s="109">
        <f t="shared" si="2305"/>
        <v>0.953125</v>
      </c>
      <c r="BX3169" s="111">
        <f t="shared" si="2287"/>
        <v>0</v>
      </c>
      <c r="BY3169" s="129">
        <f t="shared" si="2293"/>
        <v>-6</v>
      </c>
      <c r="BZ3169" s="111">
        <f t="shared" si="2294"/>
        <v>0</v>
      </c>
      <c r="CA3169" s="138">
        <f t="shared" si="2295"/>
        <v>6</v>
      </c>
      <c r="CB3169" s="111" t="e">
        <f t="shared" si="2308"/>
        <v>#VALUE!</v>
      </c>
      <c r="CC3169" s="129">
        <f>G3169-I3169+1</f>
        <v>6</v>
      </c>
      <c r="CD3169" s="129">
        <f>G3169-J3169</f>
        <v>0</v>
      </c>
      <c r="CG3169" s="129" t="str">
        <f t="shared" si="2296"/>
        <v>N</v>
      </c>
      <c r="CI3169" s="129" t="str">
        <f t="shared" si="2297"/>
        <v>0-10 DAYS</v>
      </c>
      <c r="CJ3169" s="137">
        <f t="shared" si="2298"/>
        <v>1</v>
      </c>
      <c r="CK3169" s="129" t="str">
        <f t="shared" si="2299"/>
        <v>Booked</v>
      </c>
    </row>
    <row r="3170" spans="1:89" ht="15" customHeight="1" x14ac:dyDescent="0.25">
      <c r="A3170" s="111">
        <v>3112</v>
      </c>
      <c r="B3170" s="128" t="str">
        <f t="shared" si="2288"/>
        <v>N</v>
      </c>
      <c r="C3170" s="128" t="str">
        <f t="shared" si="2289"/>
        <v>Y</v>
      </c>
      <c r="D3170" s="117">
        <v>2615780</v>
      </c>
      <c r="E3170" s="135">
        <f t="shared" si="2290"/>
        <v>3</v>
      </c>
      <c r="F3170" s="124">
        <v>41024</v>
      </c>
      <c r="G3170" s="125">
        <v>41103</v>
      </c>
      <c r="H3170" s="117">
        <v>2615780</v>
      </c>
      <c r="I3170" s="124">
        <v>41031</v>
      </c>
      <c r="J3170" s="124">
        <v>41032</v>
      </c>
      <c r="K3170" s="126">
        <v>30000</v>
      </c>
      <c r="L3170" s="129" t="s">
        <v>572</v>
      </c>
      <c r="M3170" s="125">
        <v>41032</v>
      </c>
      <c r="N3170" s="129" t="str">
        <f t="shared" ref="N3170:N3189" si="2309">IF(M3170&gt;1/1/1,"Y","N")</f>
        <v>Y</v>
      </c>
      <c r="O3170" s="128" t="s">
        <v>585</v>
      </c>
      <c r="P3170" s="129" t="s">
        <v>39</v>
      </c>
      <c r="Q3170" s="111">
        <v>25</v>
      </c>
      <c r="R3170" s="111">
        <f t="shared" si="2273"/>
        <v>80</v>
      </c>
      <c r="S3170" s="129">
        <v>0</v>
      </c>
      <c r="T3170" s="129">
        <v>0</v>
      </c>
      <c r="W3170" s="111"/>
      <c r="AB3170" s="131" t="s">
        <v>112</v>
      </c>
      <c r="AC3170" s="130"/>
      <c r="AD3170" s="130">
        <v>31544</v>
      </c>
      <c r="AE3170" s="128" t="s">
        <v>46</v>
      </c>
      <c r="AF3170" s="128" t="s">
        <v>40</v>
      </c>
      <c r="AG3170" s="128" t="s">
        <v>41</v>
      </c>
      <c r="AH3170" s="108" t="s">
        <v>31</v>
      </c>
      <c r="AI3170" s="128" t="s">
        <v>42</v>
      </c>
      <c r="AJ3170" s="129" t="s">
        <v>89</v>
      </c>
      <c r="AK3170" s="129">
        <v>7</v>
      </c>
      <c r="AL3170" s="3" t="s">
        <v>185</v>
      </c>
      <c r="AP3170" s="129" t="s">
        <v>236</v>
      </c>
      <c r="AR3170" s="128" t="s">
        <v>67</v>
      </c>
      <c r="AS3170" s="129" t="s">
        <v>74</v>
      </c>
      <c r="AT3170" s="129" t="s">
        <v>525</v>
      </c>
      <c r="AU3170" s="3" t="s">
        <v>794</v>
      </c>
      <c r="AX3170" s="32" t="s">
        <v>88</v>
      </c>
      <c r="BC3170" s="129" t="s">
        <v>52</v>
      </c>
      <c r="BF3170" s="111">
        <v>25</v>
      </c>
      <c r="BG3170" s="111">
        <f t="shared" si="2307"/>
        <v>73</v>
      </c>
      <c r="BH3170" s="111">
        <f t="shared" si="2274"/>
        <v>80</v>
      </c>
      <c r="BI3170" s="111">
        <f t="shared" si="2279"/>
        <v>25.901639344262296</v>
      </c>
      <c r="BJ3170" s="129">
        <f>(G3170-J3170)+(M3170-G3170)</f>
        <v>0</v>
      </c>
      <c r="BK3170" s="129">
        <f t="shared" si="2275"/>
        <v>-71</v>
      </c>
      <c r="BL3170" s="129" t="str">
        <f t="shared" si="2272"/>
        <v>CONVICTION</v>
      </c>
      <c r="BM3170" s="129" t="s">
        <v>76</v>
      </c>
      <c r="BN3170" s="129" t="s">
        <v>88</v>
      </c>
      <c r="BP3170" s="137" t="str">
        <f t="shared" si="2282"/>
        <v>CONVICTION</v>
      </c>
      <c r="BQ3170" s="128" t="str">
        <f t="shared" si="2291"/>
        <v>Y</v>
      </c>
      <c r="BR3170" s="129" t="s">
        <v>574</v>
      </c>
      <c r="BS3170" s="129" t="str">
        <f t="shared" si="2284"/>
        <v>DISPOSED</v>
      </c>
      <c r="BT3170" s="129" t="str">
        <f t="shared" si="2285"/>
        <v>N</v>
      </c>
      <c r="BU3170" s="109">
        <f t="shared" si="2286"/>
        <v>0.3125</v>
      </c>
      <c r="BV3170" s="109">
        <f t="shared" si="2292"/>
        <v>2.7397260273972601E-2</v>
      </c>
      <c r="BW3170" s="109">
        <f t="shared" si="2305"/>
        <v>-0.2851027397260274</v>
      </c>
      <c r="BX3170" s="111">
        <f t="shared" si="2287"/>
        <v>0</v>
      </c>
      <c r="BY3170" s="129">
        <f t="shared" si="2293"/>
        <v>-2</v>
      </c>
      <c r="BZ3170" s="111">
        <f t="shared" si="2294"/>
        <v>23</v>
      </c>
      <c r="CA3170" s="138">
        <f t="shared" si="2295"/>
        <v>73</v>
      </c>
      <c r="CB3170" s="111">
        <v>25</v>
      </c>
      <c r="CC3170" s="129">
        <f>G3170-I3170+1</f>
        <v>73</v>
      </c>
      <c r="CD3170" s="129">
        <f>G3170-J3170</f>
        <v>71</v>
      </c>
      <c r="CG3170" s="129" t="str">
        <f t="shared" si="2296"/>
        <v>N</v>
      </c>
      <c r="CI3170" s="129" t="str">
        <f t="shared" si="2297"/>
        <v>11-30 DAYS</v>
      </c>
      <c r="CJ3170" s="137">
        <f t="shared" si="2298"/>
        <v>2</v>
      </c>
      <c r="CK3170" s="129" t="str">
        <f t="shared" si="2299"/>
        <v>Booked</v>
      </c>
    </row>
    <row r="3171" spans="1:89" ht="15" customHeight="1" x14ac:dyDescent="0.25">
      <c r="A3171" s="111">
        <v>3121</v>
      </c>
      <c r="B3171" s="128" t="str">
        <f t="shared" si="2288"/>
        <v>N</v>
      </c>
      <c r="C3171" s="128" t="str">
        <f t="shared" si="2289"/>
        <v>N</v>
      </c>
      <c r="D3171" s="117">
        <v>2615897</v>
      </c>
      <c r="E3171" s="135">
        <f t="shared" si="2290"/>
        <v>2</v>
      </c>
      <c r="F3171" s="124">
        <v>41024</v>
      </c>
      <c r="G3171" s="125">
        <v>41053</v>
      </c>
      <c r="H3171" s="117">
        <v>2615897</v>
      </c>
      <c r="I3171" s="124">
        <v>41024</v>
      </c>
      <c r="J3171" s="124">
        <v>41025</v>
      </c>
      <c r="K3171" s="126">
        <v>2000</v>
      </c>
      <c r="L3171" s="127" t="s">
        <v>568</v>
      </c>
      <c r="M3171" s="125">
        <v>41025</v>
      </c>
      <c r="N3171" s="129" t="str">
        <f t="shared" si="2309"/>
        <v>Y</v>
      </c>
      <c r="O3171" s="112" t="s">
        <v>160</v>
      </c>
      <c r="P3171" s="129" t="s">
        <v>589</v>
      </c>
      <c r="Q3171" s="111">
        <f t="shared" si="2300"/>
        <v>2</v>
      </c>
      <c r="R3171" s="111">
        <f t="shared" si="2273"/>
        <v>30</v>
      </c>
      <c r="S3171" s="129">
        <v>0</v>
      </c>
      <c r="T3171" s="129">
        <v>0</v>
      </c>
      <c r="W3171" s="111"/>
      <c r="AC3171" s="130"/>
      <c r="AD3171" s="130">
        <v>31792</v>
      </c>
      <c r="AE3171" s="128" t="s">
        <v>46</v>
      </c>
      <c r="AF3171" s="128" t="s">
        <v>33</v>
      </c>
      <c r="AG3171" s="128" t="s">
        <v>872</v>
      </c>
      <c r="AH3171" s="108" t="s">
        <v>31</v>
      </c>
      <c r="AI3171" s="128" t="s">
        <v>114</v>
      </c>
      <c r="AJ3171" s="129" t="s">
        <v>48</v>
      </c>
      <c r="AK3171" s="129">
        <v>2</v>
      </c>
      <c r="AL3171" s="3" t="s">
        <v>48</v>
      </c>
      <c r="AP3171" s="129" t="s">
        <v>63</v>
      </c>
      <c r="AR3171" s="128" t="s">
        <v>44</v>
      </c>
      <c r="AS3171" s="129" t="s">
        <v>64</v>
      </c>
      <c r="AX3171" s="32"/>
      <c r="BC3171" s="129" t="s">
        <v>38</v>
      </c>
      <c r="BF3171" s="111">
        <f t="shared" si="2306"/>
        <v>2</v>
      </c>
      <c r="BG3171" s="111">
        <f t="shared" si="2307"/>
        <v>30</v>
      </c>
      <c r="BH3171" s="111">
        <f t="shared" si="2274"/>
        <v>30</v>
      </c>
      <c r="BI3171" s="111">
        <f t="shared" si="2279"/>
        <v>25.224043715846996</v>
      </c>
      <c r="BJ3171" s="129">
        <f>(G3171-J3171)+(M3171-G3171)</f>
        <v>0</v>
      </c>
      <c r="BK3171" s="129">
        <f t="shared" si="2275"/>
        <v>-28</v>
      </c>
      <c r="BL3171" s="129" t="str">
        <f t="shared" si="2272"/>
        <v>DEFERRED</v>
      </c>
      <c r="BM3171" s="129" t="s">
        <v>160</v>
      </c>
      <c r="BN3171" s="129" t="s">
        <v>88</v>
      </c>
      <c r="BP3171" s="137" t="str">
        <f t="shared" si="2282"/>
        <v>DEFERRED</v>
      </c>
      <c r="BQ3171" s="128" t="str">
        <f t="shared" si="2291"/>
        <v>Y</v>
      </c>
      <c r="BR3171" s="129" t="str">
        <f t="shared" si="2283"/>
        <v>ON BOND</v>
      </c>
      <c r="BS3171" s="129" t="str">
        <f t="shared" si="2284"/>
        <v>DISPOSED</v>
      </c>
      <c r="BT3171" s="129" t="str">
        <f t="shared" si="2285"/>
        <v>N</v>
      </c>
      <c r="BU3171" s="109">
        <f t="shared" si="2286"/>
        <v>6.6666666666666666E-2</v>
      </c>
      <c r="BV3171" s="109">
        <f t="shared" si="2292"/>
        <v>6.6666666666666666E-2</v>
      </c>
      <c r="BW3171" s="109">
        <f t="shared" si="2305"/>
        <v>0</v>
      </c>
      <c r="BX3171" s="111">
        <f t="shared" si="2287"/>
        <v>0</v>
      </c>
      <c r="BY3171" s="129">
        <f t="shared" si="2293"/>
        <v>-2</v>
      </c>
      <c r="BZ3171" s="111">
        <f t="shared" si="2294"/>
        <v>0</v>
      </c>
      <c r="CA3171" s="138">
        <f t="shared" si="2295"/>
        <v>2</v>
      </c>
      <c r="CB3171" s="111" t="e">
        <f t="shared" si="2308"/>
        <v>#VALUE!</v>
      </c>
      <c r="CC3171" s="129">
        <f>M3171-I3171+1</f>
        <v>2</v>
      </c>
      <c r="CD3171" s="111">
        <f>CC3171-BF3171</f>
        <v>0</v>
      </c>
      <c r="CG3171" s="129" t="str">
        <f t="shared" si="2296"/>
        <v>N</v>
      </c>
      <c r="CI3171" s="129" t="str">
        <f t="shared" si="2297"/>
        <v>0-10 DAYS</v>
      </c>
      <c r="CJ3171" s="137">
        <f t="shared" si="2298"/>
        <v>1</v>
      </c>
      <c r="CK3171" s="129" t="str">
        <f t="shared" si="2299"/>
        <v>Booked</v>
      </c>
    </row>
    <row r="3172" spans="1:89" ht="15" customHeight="1" x14ac:dyDescent="0.25">
      <c r="A3172" s="111">
        <v>3122</v>
      </c>
      <c r="B3172" s="128" t="str">
        <f t="shared" si="2288"/>
        <v>N</v>
      </c>
      <c r="C3172" s="128" t="str">
        <f t="shared" si="2289"/>
        <v>N</v>
      </c>
      <c r="D3172" s="117">
        <v>2615934</v>
      </c>
      <c r="E3172" s="135">
        <f t="shared" si="2290"/>
        <v>2</v>
      </c>
      <c r="F3172" s="124">
        <v>41024</v>
      </c>
      <c r="G3172" s="125">
        <v>41187</v>
      </c>
      <c r="H3172" s="117">
        <v>2615934</v>
      </c>
      <c r="I3172" s="124">
        <v>41028</v>
      </c>
      <c r="J3172" s="124">
        <v>41029</v>
      </c>
      <c r="K3172" s="126">
        <v>2000</v>
      </c>
      <c r="L3172" s="127" t="s">
        <v>568</v>
      </c>
      <c r="M3172" s="125">
        <v>41029</v>
      </c>
      <c r="N3172" s="129" t="str">
        <f t="shared" si="2309"/>
        <v>Y</v>
      </c>
      <c r="O3172" s="128" t="s">
        <v>76</v>
      </c>
      <c r="P3172" s="129" t="s">
        <v>589</v>
      </c>
      <c r="Q3172" s="111">
        <f t="shared" si="2300"/>
        <v>2</v>
      </c>
      <c r="R3172" s="111">
        <f t="shared" si="2273"/>
        <v>164</v>
      </c>
      <c r="S3172" s="129">
        <v>0</v>
      </c>
      <c r="T3172" s="129">
        <v>0</v>
      </c>
      <c r="W3172" s="111"/>
      <c r="AB3172" s="131" t="s">
        <v>112</v>
      </c>
      <c r="AC3172" s="130"/>
      <c r="AD3172" s="130">
        <v>24977</v>
      </c>
      <c r="AE3172" s="128" t="s">
        <v>32</v>
      </c>
      <c r="AF3172" s="128" t="s">
        <v>40</v>
      </c>
      <c r="AG3172" s="128" t="s">
        <v>41</v>
      </c>
      <c r="AH3172" s="108" t="s">
        <v>31</v>
      </c>
      <c r="AI3172" s="128" t="s">
        <v>59</v>
      </c>
      <c r="AJ3172" s="129" t="s">
        <v>48</v>
      </c>
      <c r="AK3172" s="129">
        <v>11</v>
      </c>
      <c r="AL3172" s="3" t="s">
        <v>48</v>
      </c>
      <c r="AP3172" s="129" t="s">
        <v>98</v>
      </c>
      <c r="AR3172" s="128" t="s">
        <v>44</v>
      </c>
      <c r="AS3172" s="129" t="s">
        <v>64</v>
      </c>
      <c r="BC3172" s="129" t="s">
        <v>52</v>
      </c>
      <c r="BF3172" s="111">
        <f t="shared" si="2306"/>
        <v>2</v>
      </c>
      <c r="BG3172" s="111">
        <f t="shared" si="2307"/>
        <v>160</v>
      </c>
      <c r="BH3172" s="111">
        <f t="shared" si="2274"/>
        <v>164</v>
      </c>
      <c r="BI3172" s="111">
        <f t="shared" si="2279"/>
        <v>43.844262295081968</v>
      </c>
      <c r="BJ3172" s="129">
        <f>(G3172-J3172)+(M3172-G3172)</f>
        <v>0</v>
      </c>
      <c r="BK3172" s="129">
        <f t="shared" si="2275"/>
        <v>-158</v>
      </c>
      <c r="BL3172" s="129" t="str">
        <f t="shared" si="2272"/>
        <v>DEFERRED</v>
      </c>
      <c r="BM3172" s="129" t="s">
        <v>76</v>
      </c>
      <c r="BN3172" s="129" t="s">
        <v>88</v>
      </c>
      <c r="BP3172" s="137" t="str">
        <f t="shared" si="2282"/>
        <v>DEFERRED</v>
      </c>
      <c r="BQ3172" s="128" t="str">
        <f t="shared" si="2291"/>
        <v>Y</v>
      </c>
      <c r="BR3172" s="129" t="str">
        <f t="shared" si="2283"/>
        <v>ON BOND</v>
      </c>
      <c r="BS3172" s="129" t="str">
        <f t="shared" si="2284"/>
        <v>DISPOSED</v>
      </c>
      <c r="BT3172" s="129" t="str">
        <f t="shared" si="2285"/>
        <v>N</v>
      </c>
      <c r="BU3172" s="109">
        <f t="shared" si="2286"/>
        <v>1.2195121951219513E-2</v>
      </c>
      <c r="BV3172" s="109">
        <f t="shared" si="2292"/>
        <v>1.2500000000000001E-2</v>
      </c>
      <c r="BW3172" s="109">
        <f t="shared" si="2305"/>
        <v>3.0487804878048808E-4</v>
      </c>
      <c r="BX3172" s="111">
        <f t="shared" si="2287"/>
        <v>0</v>
      </c>
      <c r="BY3172" s="129">
        <f t="shared" si="2293"/>
        <v>-2</v>
      </c>
      <c r="BZ3172" s="111">
        <f t="shared" si="2294"/>
        <v>0</v>
      </c>
      <c r="CA3172" s="138">
        <f t="shared" si="2295"/>
        <v>2</v>
      </c>
      <c r="CB3172" s="111" t="e">
        <f t="shared" si="2308"/>
        <v>#VALUE!</v>
      </c>
      <c r="CC3172" s="129">
        <f>M3172-I3172+1</f>
        <v>2</v>
      </c>
      <c r="CD3172" s="111">
        <f>CC3172-BF3172</f>
        <v>0</v>
      </c>
      <c r="CG3172" s="129" t="str">
        <f t="shared" si="2296"/>
        <v>N</v>
      </c>
      <c r="CI3172" s="129" t="str">
        <f t="shared" si="2297"/>
        <v>0-10 DAYS</v>
      </c>
      <c r="CJ3172" s="137">
        <f t="shared" si="2298"/>
        <v>1</v>
      </c>
      <c r="CK3172" s="129" t="str">
        <f t="shared" si="2299"/>
        <v>Booked</v>
      </c>
    </row>
    <row r="3173" spans="1:89" ht="15" customHeight="1" x14ac:dyDescent="0.25">
      <c r="A3173" s="111">
        <v>3134</v>
      </c>
      <c r="B3173" s="128" t="str">
        <f t="shared" si="2288"/>
        <v>N</v>
      </c>
      <c r="C3173" s="128" t="str">
        <f t="shared" si="2289"/>
        <v>N</v>
      </c>
      <c r="D3173" s="117">
        <v>2615979</v>
      </c>
      <c r="E3173" s="135">
        <f t="shared" si="2290"/>
        <v>1</v>
      </c>
      <c r="F3173" s="124">
        <v>41024</v>
      </c>
      <c r="G3173" s="125">
        <v>41099</v>
      </c>
      <c r="H3173" s="117">
        <v>2615979</v>
      </c>
      <c r="I3173" s="124">
        <v>41025</v>
      </c>
      <c r="J3173" s="124">
        <v>41026</v>
      </c>
      <c r="K3173" s="126">
        <v>7000</v>
      </c>
      <c r="L3173" s="127" t="s">
        <v>570</v>
      </c>
      <c r="M3173" s="125">
        <v>41026</v>
      </c>
      <c r="N3173" s="129" t="str">
        <f t="shared" si="2309"/>
        <v>Y</v>
      </c>
      <c r="O3173" s="128" t="s">
        <v>76</v>
      </c>
      <c r="P3173" s="129" t="s">
        <v>55</v>
      </c>
      <c r="Q3173" s="111">
        <f t="shared" si="2300"/>
        <v>2</v>
      </c>
      <c r="R3173" s="111">
        <f t="shared" si="2273"/>
        <v>76</v>
      </c>
      <c r="S3173" s="129">
        <v>0</v>
      </c>
      <c r="T3173" s="129">
        <v>0</v>
      </c>
      <c r="W3173" s="111"/>
      <c r="AC3173" s="130"/>
      <c r="AD3173" s="130">
        <v>29874</v>
      </c>
      <c r="AE3173" s="128" t="s">
        <v>32</v>
      </c>
      <c r="AF3173" s="128" t="s">
        <v>33</v>
      </c>
      <c r="AG3173" s="128" t="s">
        <v>872</v>
      </c>
      <c r="AH3173" s="108" t="s">
        <v>31</v>
      </c>
      <c r="AI3173" s="128" t="s">
        <v>83</v>
      </c>
      <c r="AJ3173" s="129" t="s">
        <v>55</v>
      </c>
      <c r="AK3173" s="129">
        <v>5</v>
      </c>
      <c r="AL3173" s="3" t="s">
        <v>55</v>
      </c>
      <c r="AP3173" s="129" t="s">
        <v>43</v>
      </c>
      <c r="AR3173" s="128" t="s">
        <v>44</v>
      </c>
      <c r="AS3173" s="129" t="s">
        <v>45</v>
      </c>
      <c r="BC3173" s="129" t="s">
        <v>52</v>
      </c>
      <c r="BF3173" s="111">
        <f t="shared" si="2306"/>
        <v>2</v>
      </c>
      <c r="BG3173" s="111">
        <f t="shared" si="2307"/>
        <v>75</v>
      </c>
      <c r="BH3173" s="111">
        <f t="shared" si="2274"/>
        <v>76</v>
      </c>
      <c r="BI3173" s="111">
        <f t="shared" si="2279"/>
        <v>30.464480874316941</v>
      </c>
      <c r="BJ3173" s="129">
        <f>(G3173-J3173)+(M3173-G3173)</f>
        <v>0</v>
      </c>
      <c r="BK3173" s="129">
        <f t="shared" si="2275"/>
        <v>-73</v>
      </c>
      <c r="BL3173" s="129" t="str">
        <f t="shared" si="2272"/>
        <v>NO CONVICTION</v>
      </c>
      <c r="BM3173" s="129" t="s">
        <v>76</v>
      </c>
      <c r="BN3173" s="129" t="s">
        <v>88</v>
      </c>
      <c r="BP3173" s="137" t="str">
        <f t="shared" si="2282"/>
        <v>NO CONVICTION</v>
      </c>
      <c r="BQ3173" s="128" t="str">
        <f t="shared" si="2291"/>
        <v>Y</v>
      </c>
      <c r="BR3173" s="129" t="str">
        <f t="shared" si="2283"/>
        <v>ON BOND</v>
      </c>
      <c r="BS3173" s="129" t="str">
        <f t="shared" si="2284"/>
        <v>DISPOSED</v>
      </c>
      <c r="BT3173" s="129" t="str">
        <f t="shared" si="2285"/>
        <v>N</v>
      </c>
      <c r="BU3173" s="109">
        <f>IFERROR(Q3173/R3173,BR3173)</f>
        <v>2.6315789473684209E-2</v>
      </c>
      <c r="BV3173" s="109">
        <f t="shared" si="2292"/>
        <v>2.6666666666666668E-2</v>
      </c>
      <c r="BW3173" s="109">
        <f t="shared" si="2305"/>
        <v>3.5087719298245931E-4</v>
      </c>
      <c r="BX3173" s="111">
        <f t="shared" si="2287"/>
        <v>0</v>
      </c>
      <c r="BY3173" s="129">
        <f t="shared" si="2293"/>
        <v>-2</v>
      </c>
      <c r="BZ3173" s="111">
        <f t="shared" si="2294"/>
        <v>0</v>
      </c>
      <c r="CA3173" s="138">
        <f t="shared" si="2295"/>
        <v>2</v>
      </c>
      <c r="CB3173" s="111" t="e">
        <f t="shared" si="2308"/>
        <v>#VALUE!</v>
      </c>
      <c r="CC3173" s="129">
        <f>M3173-I3173+1</f>
        <v>2</v>
      </c>
      <c r="CD3173" s="111">
        <f>CC3173-BF3173</f>
        <v>0</v>
      </c>
      <c r="CG3173" s="129" t="str">
        <f t="shared" si="2296"/>
        <v>N</v>
      </c>
      <c r="CI3173" s="129" t="str">
        <f t="shared" si="2297"/>
        <v>0-10 DAYS</v>
      </c>
      <c r="CJ3173" s="137">
        <f t="shared" si="2298"/>
        <v>1</v>
      </c>
      <c r="CK3173" s="129" t="str">
        <f t="shared" si="2299"/>
        <v>Booked</v>
      </c>
    </row>
    <row r="3174" spans="1:89" ht="15.75" customHeight="1" x14ac:dyDescent="0.25">
      <c r="A3174" s="111">
        <v>3135</v>
      </c>
      <c r="B3174" s="128" t="str">
        <f t="shared" si="2288"/>
        <v>N</v>
      </c>
      <c r="C3174" s="128" t="str">
        <f t="shared" si="2289"/>
        <v>N</v>
      </c>
      <c r="D3174" s="117">
        <v>2615980</v>
      </c>
      <c r="E3174" s="135">
        <f t="shared" si="2290"/>
        <v>1</v>
      </c>
      <c r="F3174" s="124">
        <v>41024</v>
      </c>
      <c r="G3174" s="125">
        <v>41079</v>
      </c>
      <c r="H3174" s="117">
        <v>2615980</v>
      </c>
      <c r="I3174" s="124">
        <v>41025</v>
      </c>
      <c r="J3174" s="124">
        <v>41079</v>
      </c>
      <c r="K3174" s="126">
        <v>10000</v>
      </c>
      <c r="L3174" s="127" t="s">
        <v>570</v>
      </c>
      <c r="N3174" s="129" t="str">
        <f t="shared" si="2309"/>
        <v>N</v>
      </c>
      <c r="O3174" s="128" t="s">
        <v>917</v>
      </c>
      <c r="P3174" s="129" t="s">
        <v>55</v>
      </c>
      <c r="Q3174" s="111">
        <f t="shared" si="2300"/>
        <v>55</v>
      </c>
      <c r="R3174" s="111">
        <f t="shared" si="2273"/>
        <v>56</v>
      </c>
      <c r="S3174" s="129">
        <v>0</v>
      </c>
      <c r="T3174" s="129">
        <v>0</v>
      </c>
      <c r="W3174" s="111"/>
      <c r="AC3174" s="130"/>
      <c r="AD3174" s="130">
        <v>30572</v>
      </c>
      <c r="AE3174" s="128" t="s">
        <v>32</v>
      </c>
      <c r="AF3174" s="128" t="s">
        <v>33</v>
      </c>
      <c r="AG3174" s="128" t="s">
        <v>872</v>
      </c>
      <c r="AH3174" s="108" t="s">
        <v>31</v>
      </c>
      <c r="AI3174" s="128" t="s">
        <v>83</v>
      </c>
      <c r="AJ3174" s="129" t="s">
        <v>55</v>
      </c>
      <c r="AK3174" s="129">
        <v>3</v>
      </c>
      <c r="AL3174" s="3" t="s">
        <v>55</v>
      </c>
      <c r="AP3174" s="129" t="s">
        <v>136</v>
      </c>
      <c r="AR3174" s="128" t="s">
        <v>67</v>
      </c>
      <c r="AS3174" s="129" t="s">
        <v>64</v>
      </c>
      <c r="BC3174" s="129" t="s">
        <v>38</v>
      </c>
      <c r="BF3174" s="111">
        <f t="shared" si="2306"/>
        <v>55</v>
      </c>
      <c r="BG3174" s="111">
        <f t="shared" si="2307"/>
        <v>55</v>
      </c>
      <c r="BH3174" s="111">
        <f t="shared" si="2274"/>
        <v>56</v>
      </c>
      <c r="BI3174" s="111">
        <f t="shared" si="2279"/>
        <v>28.557377049180328</v>
      </c>
      <c r="BJ3174" s="129">
        <f>G3174-J3174-M3174</f>
        <v>0</v>
      </c>
      <c r="BK3174" s="129">
        <f t="shared" si="2275"/>
        <v>0</v>
      </c>
      <c r="BL3174" s="129" t="str">
        <f t="shared" si="2272"/>
        <v>NO CONVICTION</v>
      </c>
      <c r="BM3174" s="129" t="str">
        <f t="shared" si="2281"/>
        <v>NONE</v>
      </c>
      <c r="BN3174" s="129" t="s">
        <v>566</v>
      </c>
      <c r="BP3174" s="137" t="str">
        <f t="shared" si="2282"/>
        <v>NO CONVICTION</v>
      </c>
      <c r="BQ3174" s="128" t="str">
        <f t="shared" si="2291"/>
        <v>Y</v>
      </c>
      <c r="BR3174" s="129" t="str">
        <f t="shared" si="2283"/>
        <v>DETAINED</v>
      </c>
      <c r="BS3174" s="129" t="str">
        <f t="shared" si="2284"/>
        <v>DISPOSED</v>
      </c>
      <c r="BT3174" s="129" t="str">
        <f t="shared" si="2285"/>
        <v>N</v>
      </c>
      <c r="BU3174" s="109">
        <f>IFERROR(Q3174/R3174,BR3174)</f>
        <v>0.9821428571428571</v>
      </c>
      <c r="BV3174" s="109">
        <f t="shared" si="2292"/>
        <v>1</v>
      </c>
      <c r="BW3174" s="109">
        <f t="shared" si="2305"/>
        <v>1.7857142857142905E-2</v>
      </c>
      <c r="BX3174" s="111">
        <f t="shared" si="2287"/>
        <v>0</v>
      </c>
      <c r="BY3174" s="129">
        <f t="shared" si="2293"/>
        <v>-55</v>
      </c>
      <c r="BZ3174" s="111">
        <f t="shared" si="2294"/>
        <v>0</v>
      </c>
      <c r="CA3174" s="138">
        <f t="shared" si="2295"/>
        <v>55</v>
      </c>
      <c r="CB3174" s="111" t="e">
        <f t="shared" si="2308"/>
        <v>#VALUE!</v>
      </c>
      <c r="CC3174" s="129">
        <f>G3174-I3174+1</f>
        <v>55</v>
      </c>
      <c r="CD3174" s="129">
        <f>G3174-J3174</f>
        <v>0</v>
      </c>
      <c r="CG3174" s="129" t="str">
        <f t="shared" si="2296"/>
        <v>N</v>
      </c>
      <c r="CI3174" s="129" t="str">
        <f t="shared" si="2297"/>
        <v>31-60 DAYS</v>
      </c>
      <c r="CJ3174" s="137">
        <f t="shared" si="2298"/>
        <v>3</v>
      </c>
      <c r="CK3174" s="129" t="str">
        <f t="shared" si="2299"/>
        <v>Booked</v>
      </c>
    </row>
    <row r="3175" spans="1:89" ht="15" customHeight="1" x14ac:dyDescent="0.25">
      <c r="A3175" s="111">
        <v>3137</v>
      </c>
      <c r="B3175" s="128" t="str">
        <f t="shared" si="2288"/>
        <v>N</v>
      </c>
      <c r="C3175" s="128" t="str">
        <f t="shared" si="2289"/>
        <v>N</v>
      </c>
      <c r="D3175" s="117">
        <v>2615989</v>
      </c>
      <c r="E3175" s="135">
        <f t="shared" si="2290"/>
        <v>2</v>
      </c>
      <c r="F3175" s="124">
        <v>41024</v>
      </c>
      <c r="G3175" s="125">
        <v>41054</v>
      </c>
      <c r="H3175" s="117">
        <v>2615989</v>
      </c>
      <c r="I3175" s="124">
        <v>41025</v>
      </c>
      <c r="J3175" s="124">
        <v>41028</v>
      </c>
      <c r="K3175" s="126">
        <v>2000</v>
      </c>
      <c r="L3175" s="127" t="s">
        <v>568</v>
      </c>
      <c r="M3175" s="125">
        <v>41028</v>
      </c>
      <c r="N3175" s="129" t="str">
        <f t="shared" si="2309"/>
        <v>Y</v>
      </c>
      <c r="O3175" s="128" t="s">
        <v>76</v>
      </c>
      <c r="P3175" s="129" t="s">
        <v>589</v>
      </c>
      <c r="Q3175" s="111">
        <f t="shared" si="2300"/>
        <v>4</v>
      </c>
      <c r="R3175" s="111">
        <f t="shared" si="2273"/>
        <v>31</v>
      </c>
      <c r="S3175" s="129">
        <v>0</v>
      </c>
      <c r="T3175" s="129">
        <v>0</v>
      </c>
      <c r="W3175" s="111"/>
      <c r="AC3175" s="130"/>
      <c r="AD3175" s="130">
        <v>34439</v>
      </c>
      <c r="AE3175" s="128" t="s">
        <v>32</v>
      </c>
      <c r="AF3175" s="128" t="s">
        <v>69</v>
      </c>
      <c r="AG3175" s="128" t="s">
        <v>874</v>
      </c>
      <c r="AH3175" s="108" t="s">
        <v>31</v>
      </c>
      <c r="AI3175" s="128" t="s">
        <v>42</v>
      </c>
      <c r="AJ3175" s="129" t="s">
        <v>48</v>
      </c>
      <c r="AK3175" s="129">
        <v>2</v>
      </c>
      <c r="AL3175" s="3" t="s">
        <v>48</v>
      </c>
      <c r="AP3175" s="129" t="s">
        <v>107</v>
      </c>
      <c r="AR3175" s="128" t="s">
        <v>44</v>
      </c>
      <c r="AS3175" s="129" t="s">
        <v>57</v>
      </c>
      <c r="AT3175" s="129" t="s">
        <v>664</v>
      </c>
      <c r="BC3175" s="129" t="s">
        <v>38</v>
      </c>
      <c r="BF3175" s="111">
        <f t="shared" si="2306"/>
        <v>4</v>
      </c>
      <c r="BG3175" s="111">
        <f t="shared" si="2307"/>
        <v>30</v>
      </c>
      <c r="BH3175" s="111">
        <f t="shared" si="2274"/>
        <v>31</v>
      </c>
      <c r="BI3175" s="111">
        <f t="shared" si="2279"/>
        <v>17.991803278688526</v>
      </c>
      <c r="BJ3175" s="129">
        <f>(G3175-J3175)+(M3175-G3175)</f>
        <v>0</v>
      </c>
      <c r="BK3175" s="129">
        <f t="shared" si="2275"/>
        <v>-26</v>
      </c>
      <c r="BL3175" s="129" t="str">
        <f t="shared" si="2272"/>
        <v>DEFERRED</v>
      </c>
      <c r="BM3175" s="129" t="s">
        <v>76</v>
      </c>
      <c r="BN3175" s="129" t="s">
        <v>88</v>
      </c>
      <c r="BP3175" s="137" t="str">
        <f t="shared" si="2282"/>
        <v>DEFERRED</v>
      </c>
      <c r="BQ3175" s="128" t="str">
        <f t="shared" si="2291"/>
        <v>Y</v>
      </c>
      <c r="BR3175" s="129" t="str">
        <f t="shared" si="2283"/>
        <v>ON BOND</v>
      </c>
      <c r="BS3175" s="129" t="str">
        <f t="shared" si="2284"/>
        <v>DISPOSED</v>
      </c>
      <c r="BT3175" s="129" t="str">
        <f t="shared" si="2285"/>
        <v>N</v>
      </c>
      <c r="BU3175" s="109">
        <f t="shared" si="2286"/>
        <v>0.12903225806451613</v>
      </c>
      <c r="BV3175" s="109">
        <f t="shared" si="2292"/>
        <v>0.13333333333333333</v>
      </c>
      <c r="BW3175" s="109">
        <f t="shared" si="2305"/>
        <v>4.301075268817206E-3</v>
      </c>
      <c r="BX3175" s="111">
        <f t="shared" si="2287"/>
        <v>0</v>
      </c>
      <c r="BY3175" s="129">
        <f t="shared" si="2293"/>
        <v>-4</v>
      </c>
      <c r="BZ3175" s="111">
        <f t="shared" si="2294"/>
        <v>0</v>
      </c>
      <c r="CA3175" s="138">
        <f t="shared" si="2295"/>
        <v>4</v>
      </c>
      <c r="CB3175" s="111" t="e">
        <f t="shared" si="2308"/>
        <v>#VALUE!</v>
      </c>
      <c r="CC3175" s="129">
        <f>M3175-I3175+1</f>
        <v>4</v>
      </c>
      <c r="CD3175" s="111">
        <f>CC3175-BF3175</f>
        <v>0</v>
      </c>
      <c r="CG3175" s="129" t="str">
        <f t="shared" si="2296"/>
        <v>N</v>
      </c>
      <c r="CI3175" s="129" t="str">
        <f t="shared" si="2297"/>
        <v>0-10 DAYS</v>
      </c>
      <c r="CJ3175" s="137">
        <f t="shared" si="2298"/>
        <v>1</v>
      </c>
      <c r="CK3175" s="129" t="str">
        <f t="shared" si="2299"/>
        <v>Booked</v>
      </c>
    </row>
    <row r="3176" spans="1:89" ht="15" customHeight="1" x14ac:dyDescent="0.25">
      <c r="A3176" s="111">
        <v>3142</v>
      </c>
      <c r="B3176" s="128" t="str">
        <f t="shared" si="2288"/>
        <v>N</v>
      </c>
      <c r="C3176" s="128" t="str">
        <f t="shared" si="2289"/>
        <v>N</v>
      </c>
      <c r="D3176" s="117">
        <v>2616003</v>
      </c>
      <c r="E3176" s="135">
        <f t="shared" si="2290"/>
        <v>2</v>
      </c>
      <c r="F3176" s="124">
        <v>41025</v>
      </c>
      <c r="G3176" s="125">
        <v>41207</v>
      </c>
      <c r="H3176" s="117">
        <v>2616003</v>
      </c>
      <c r="I3176" s="124">
        <v>41025</v>
      </c>
      <c r="J3176" s="124">
        <v>41026</v>
      </c>
      <c r="K3176" s="126">
        <v>10000</v>
      </c>
      <c r="L3176" s="127" t="s">
        <v>570</v>
      </c>
      <c r="M3176" s="125">
        <v>41026</v>
      </c>
      <c r="N3176" s="129" t="str">
        <f t="shared" si="2309"/>
        <v>Y</v>
      </c>
      <c r="O3176" s="128" t="s">
        <v>76</v>
      </c>
      <c r="P3176" s="129" t="s">
        <v>589</v>
      </c>
      <c r="Q3176" s="111">
        <f t="shared" si="2300"/>
        <v>2</v>
      </c>
      <c r="R3176" s="111">
        <f t="shared" si="2273"/>
        <v>183</v>
      </c>
      <c r="S3176" s="129">
        <v>0</v>
      </c>
      <c r="T3176" s="129">
        <v>0</v>
      </c>
      <c r="W3176" s="111"/>
      <c r="AC3176" s="130"/>
      <c r="AD3176" s="130">
        <v>34306</v>
      </c>
      <c r="AE3176" s="128" t="s">
        <v>32</v>
      </c>
      <c r="AF3176" s="128" t="s">
        <v>69</v>
      </c>
      <c r="AG3176" s="128" t="s">
        <v>874</v>
      </c>
      <c r="AH3176" s="108" t="s">
        <v>31</v>
      </c>
      <c r="AI3176" s="128" t="s">
        <v>47</v>
      </c>
      <c r="AJ3176" s="129" t="s">
        <v>48</v>
      </c>
      <c r="AK3176" s="129">
        <v>7</v>
      </c>
      <c r="AL3176" s="3" t="s">
        <v>48</v>
      </c>
      <c r="AP3176" s="129" t="s">
        <v>56</v>
      </c>
      <c r="AR3176" s="128" t="s">
        <v>50</v>
      </c>
      <c r="AS3176" s="129" t="s">
        <v>57</v>
      </c>
      <c r="BC3176" s="129" t="s">
        <v>52</v>
      </c>
      <c r="BF3176" s="111">
        <f t="shared" si="2306"/>
        <v>2</v>
      </c>
      <c r="BG3176" s="111">
        <f t="shared" si="2307"/>
        <v>183</v>
      </c>
      <c r="BH3176" s="111">
        <f t="shared" si="2274"/>
        <v>183</v>
      </c>
      <c r="BI3176" s="111">
        <f t="shared" si="2279"/>
        <v>18.357923497267759</v>
      </c>
      <c r="BJ3176" s="129">
        <f>(G3176-J3176)+(M3176-G3176)</f>
        <v>0</v>
      </c>
      <c r="BK3176" s="129">
        <f t="shared" si="2275"/>
        <v>-181</v>
      </c>
      <c r="BL3176" s="129" t="str">
        <f t="shared" si="2272"/>
        <v>DEFERRED</v>
      </c>
      <c r="BM3176" s="129" t="s">
        <v>76</v>
      </c>
      <c r="BN3176" s="129" t="s">
        <v>88</v>
      </c>
      <c r="BP3176" s="137" t="str">
        <f t="shared" si="2282"/>
        <v>DEFERRED</v>
      </c>
      <c r="BQ3176" s="128" t="str">
        <f t="shared" si="2291"/>
        <v>Y</v>
      </c>
      <c r="BR3176" s="129" t="str">
        <f t="shared" si="2283"/>
        <v>ON BOND</v>
      </c>
      <c r="BS3176" s="129" t="str">
        <f t="shared" si="2284"/>
        <v>DISPOSED</v>
      </c>
      <c r="BT3176" s="129" t="str">
        <f t="shared" si="2285"/>
        <v>N</v>
      </c>
      <c r="BU3176" s="109">
        <f t="shared" si="2286"/>
        <v>1.092896174863388E-2</v>
      </c>
      <c r="BV3176" s="109">
        <f t="shared" si="2292"/>
        <v>1.092896174863388E-2</v>
      </c>
      <c r="BW3176" s="109">
        <f t="shared" si="2305"/>
        <v>0</v>
      </c>
      <c r="BX3176" s="111">
        <f t="shared" si="2287"/>
        <v>0</v>
      </c>
      <c r="BY3176" s="129">
        <f t="shared" si="2293"/>
        <v>-2</v>
      </c>
      <c r="BZ3176" s="111">
        <f t="shared" si="2294"/>
        <v>0</v>
      </c>
      <c r="CA3176" s="138">
        <f t="shared" si="2295"/>
        <v>2</v>
      </c>
      <c r="CB3176" s="111" t="e">
        <f t="shared" si="2308"/>
        <v>#VALUE!</v>
      </c>
      <c r="CC3176" s="129">
        <f>M3176-I3176+1</f>
        <v>2</v>
      </c>
      <c r="CD3176" s="111">
        <f>CC3176-BF3176</f>
        <v>0</v>
      </c>
      <c r="CG3176" s="129" t="str">
        <f t="shared" si="2296"/>
        <v>N</v>
      </c>
      <c r="CI3176" s="129" t="str">
        <f t="shared" si="2297"/>
        <v>0-10 DAYS</v>
      </c>
      <c r="CJ3176" s="137">
        <f t="shared" si="2298"/>
        <v>1</v>
      </c>
      <c r="CK3176" s="129" t="str">
        <f t="shared" si="2299"/>
        <v>Booked</v>
      </c>
    </row>
    <row r="3177" spans="1:89" ht="15.75" customHeight="1" x14ac:dyDescent="0.25">
      <c r="A3177" s="111">
        <v>3143</v>
      </c>
      <c r="B3177" s="128" t="str">
        <f t="shared" si="2288"/>
        <v>N</v>
      </c>
      <c r="C3177" s="128" t="str">
        <f t="shared" si="2289"/>
        <v>Y</v>
      </c>
      <c r="D3177" s="114">
        <v>2616010</v>
      </c>
      <c r="E3177" s="135">
        <f t="shared" si="2290"/>
        <v>6</v>
      </c>
      <c r="F3177" s="124">
        <v>41025</v>
      </c>
      <c r="G3177" s="125">
        <v>41227</v>
      </c>
      <c r="H3177" s="114">
        <v>2616010</v>
      </c>
      <c r="I3177" s="124">
        <v>41025</v>
      </c>
      <c r="J3177" s="124">
        <v>41049</v>
      </c>
      <c r="K3177" s="126">
        <v>56000</v>
      </c>
      <c r="L3177" s="129" t="s">
        <v>572</v>
      </c>
      <c r="M3177" s="125">
        <v>41049</v>
      </c>
      <c r="N3177" s="129" t="str">
        <f t="shared" si="2309"/>
        <v>Y</v>
      </c>
      <c r="O3177" s="128" t="s">
        <v>76</v>
      </c>
      <c r="P3177" s="129" t="s">
        <v>39</v>
      </c>
      <c r="Q3177" s="111">
        <v>60</v>
      </c>
      <c r="R3177" s="111">
        <f t="shared" si="2273"/>
        <v>203</v>
      </c>
      <c r="S3177" s="129">
        <v>0</v>
      </c>
      <c r="T3177" s="129">
        <v>0</v>
      </c>
      <c r="W3177" s="111"/>
      <c r="AC3177" s="130"/>
      <c r="AD3177" s="130">
        <v>27255</v>
      </c>
      <c r="AE3177" s="128" t="s">
        <v>32</v>
      </c>
      <c r="AF3177" s="128" t="s">
        <v>33</v>
      </c>
      <c r="AG3177" s="128" t="s">
        <v>872</v>
      </c>
      <c r="AH3177" s="108" t="s">
        <v>31</v>
      </c>
      <c r="AI3177" s="128" t="s">
        <v>72</v>
      </c>
      <c r="AJ3177" s="129" t="s">
        <v>89</v>
      </c>
      <c r="AK3177" s="129">
        <v>8</v>
      </c>
      <c r="AL3177" s="3" t="s">
        <v>362</v>
      </c>
      <c r="AM3177" s="117">
        <v>3</v>
      </c>
      <c r="AP3177" s="129" t="s">
        <v>164</v>
      </c>
      <c r="AR3177" s="128" t="s">
        <v>92</v>
      </c>
      <c r="AS3177" s="129" t="s">
        <v>82</v>
      </c>
      <c r="AT3177" s="129" t="s">
        <v>1112</v>
      </c>
      <c r="AV3177" s="3" t="s">
        <v>88</v>
      </c>
      <c r="AW3177" s="129" t="s">
        <v>795</v>
      </c>
      <c r="AY3177" s="123"/>
      <c r="BA3177" s="125" t="s">
        <v>1202</v>
      </c>
      <c r="BB3177" s="129">
        <v>1056</v>
      </c>
      <c r="BC3177" s="129" t="s">
        <v>38</v>
      </c>
      <c r="BF3177" s="111">
        <v>60</v>
      </c>
      <c r="BG3177" s="111">
        <f t="shared" si="2307"/>
        <v>203</v>
      </c>
      <c r="BH3177" s="111">
        <f t="shared" si="2274"/>
        <v>203</v>
      </c>
      <c r="BI3177" s="111">
        <f t="shared" si="2279"/>
        <v>37.622950819672134</v>
      </c>
      <c r="BJ3177" s="129">
        <f>(G3177-J3177)+(M3177-G3177)</f>
        <v>0</v>
      </c>
      <c r="BK3177" s="129">
        <f t="shared" si="2275"/>
        <v>-178</v>
      </c>
      <c r="BL3177" s="129" t="str">
        <f t="shared" si="2272"/>
        <v>CONVICTION</v>
      </c>
      <c r="BM3177" s="129" t="s">
        <v>76</v>
      </c>
      <c r="BN3177" s="129" t="s">
        <v>566</v>
      </c>
      <c r="BP3177" s="137" t="str">
        <f t="shared" si="2282"/>
        <v>CONVICTION</v>
      </c>
      <c r="BQ3177" s="128" t="str">
        <f t="shared" si="2291"/>
        <v>Y</v>
      </c>
      <c r="BR3177" s="129" t="s">
        <v>574</v>
      </c>
      <c r="BS3177" s="129" t="str">
        <f t="shared" si="2284"/>
        <v>DISPOSED</v>
      </c>
      <c r="BT3177" s="129" t="str">
        <f t="shared" si="2285"/>
        <v>N</v>
      </c>
      <c r="BU3177" s="109">
        <f t="shared" si="2286"/>
        <v>0.29556650246305421</v>
      </c>
      <c r="BV3177" s="109">
        <f t="shared" si="2292"/>
        <v>0.12315270935960591</v>
      </c>
      <c r="BW3177" s="109">
        <f t="shared" si="2305"/>
        <v>-0.17241379310344829</v>
      </c>
      <c r="BX3177" s="111">
        <f t="shared" si="2287"/>
        <v>0</v>
      </c>
      <c r="BY3177" s="129">
        <f t="shared" si="2293"/>
        <v>-25</v>
      </c>
      <c r="BZ3177" s="111">
        <f t="shared" si="2294"/>
        <v>35</v>
      </c>
      <c r="CA3177" s="138">
        <f t="shared" si="2295"/>
        <v>203</v>
      </c>
      <c r="CB3177" s="111">
        <v>60</v>
      </c>
      <c r="CC3177" s="129">
        <f>G3177-I3177+1</f>
        <v>203</v>
      </c>
      <c r="CD3177" s="129">
        <f>G3177-J3177</f>
        <v>178</v>
      </c>
      <c r="CG3177" s="129" t="str">
        <f t="shared" si="2296"/>
        <v>N</v>
      </c>
      <c r="CI3177" s="129" t="str">
        <f t="shared" si="2297"/>
        <v>31-60 DAYS</v>
      </c>
      <c r="CJ3177" s="137">
        <f t="shared" si="2298"/>
        <v>3</v>
      </c>
      <c r="CK3177" s="129" t="str">
        <f t="shared" si="2299"/>
        <v>Booked</v>
      </c>
    </row>
    <row r="3178" spans="1:89" ht="15.75" customHeight="1" x14ac:dyDescent="0.25">
      <c r="A3178" s="111">
        <v>3144</v>
      </c>
      <c r="B3178" s="128" t="str">
        <f t="shared" si="2288"/>
        <v>N</v>
      </c>
      <c r="C3178" s="128" t="str">
        <f t="shared" si="2289"/>
        <v>N</v>
      </c>
      <c r="D3178" s="117">
        <v>2616015</v>
      </c>
      <c r="E3178" s="135">
        <f t="shared" si="2290"/>
        <v>1</v>
      </c>
      <c r="F3178" s="124">
        <v>41025</v>
      </c>
      <c r="G3178" s="125">
        <v>41088</v>
      </c>
      <c r="H3178" s="117">
        <v>2616015</v>
      </c>
      <c r="I3178" s="124">
        <v>41025</v>
      </c>
      <c r="J3178" s="124">
        <v>41027</v>
      </c>
      <c r="K3178" s="126">
        <v>6500</v>
      </c>
      <c r="L3178" s="127" t="s">
        <v>570</v>
      </c>
      <c r="M3178" s="125">
        <v>41027</v>
      </c>
      <c r="N3178" s="129" t="str">
        <f t="shared" si="2309"/>
        <v>Y</v>
      </c>
      <c r="O3178" s="128" t="s">
        <v>76</v>
      </c>
      <c r="P3178" s="129" t="s">
        <v>55</v>
      </c>
      <c r="Q3178" s="111">
        <f t="shared" ref="Q3178:Q3187" si="2310">BF3178</f>
        <v>3</v>
      </c>
      <c r="R3178" s="111">
        <f t="shared" si="2273"/>
        <v>64</v>
      </c>
      <c r="S3178" s="129">
        <v>0</v>
      </c>
      <c r="T3178" s="129">
        <v>0</v>
      </c>
      <c r="W3178" s="111"/>
      <c r="AC3178" s="130"/>
      <c r="AD3178" s="130">
        <v>33098</v>
      </c>
      <c r="AE3178" s="128" t="s">
        <v>46</v>
      </c>
      <c r="AF3178" s="128" t="s">
        <v>33</v>
      </c>
      <c r="AG3178" s="128" t="s">
        <v>872</v>
      </c>
      <c r="AH3178" s="108" t="s">
        <v>31</v>
      </c>
      <c r="AI3178" s="128" t="s">
        <v>62</v>
      </c>
      <c r="AJ3178" s="129" t="s">
        <v>55</v>
      </c>
      <c r="AK3178" s="129">
        <v>4</v>
      </c>
      <c r="AL3178" s="3" t="s">
        <v>55</v>
      </c>
      <c r="AP3178" s="129" t="s">
        <v>117</v>
      </c>
      <c r="AR3178" s="128" t="s">
        <v>67</v>
      </c>
      <c r="AS3178" s="129" t="s">
        <v>45</v>
      </c>
      <c r="BC3178" s="129" t="s">
        <v>38</v>
      </c>
      <c r="BF3178" s="111">
        <f t="shared" ref="BF3178:BF3187" si="2311">IF(J3178&gt;1/1/1900,((J3178+1)-I3178),"STILL OPEN")</f>
        <v>3</v>
      </c>
      <c r="BG3178" s="111">
        <f t="shared" si="2307"/>
        <v>64</v>
      </c>
      <c r="BH3178" s="111">
        <f t="shared" si="2274"/>
        <v>64</v>
      </c>
      <c r="BI3178" s="111">
        <f t="shared" si="2279"/>
        <v>21.65846994535519</v>
      </c>
      <c r="BJ3178" s="129">
        <f>(G3178-J3178)+(M3178-G3178)</f>
        <v>0</v>
      </c>
      <c r="BK3178" s="129">
        <f t="shared" si="2275"/>
        <v>-61</v>
      </c>
      <c r="BL3178" s="129" t="str">
        <f t="shared" si="2272"/>
        <v>NO CONVICTION</v>
      </c>
      <c r="BM3178" s="129" t="s">
        <v>76</v>
      </c>
      <c r="BN3178" s="129" t="s">
        <v>88</v>
      </c>
      <c r="BP3178" s="137" t="str">
        <f t="shared" si="2282"/>
        <v>NO CONVICTION</v>
      </c>
      <c r="BQ3178" s="128" t="str">
        <f t="shared" si="2291"/>
        <v>Y</v>
      </c>
      <c r="BR3178" s="129" t="str">
        <f t="shared" si="2283"/>
        <v>ON BOND</v>
      </c>
      <c r="BS3178" s="129" t="str">
        <f t="shared" si="2284"/>
        <v>DISPOSED</v>
      </c>
      <c r="BT3178" s="129" t="str">
        <f t="shared" si="2285"/>
        <v>N</v>
      </c>
      <c r="BU3178" s="109">
        <f>IFERROR(Q3178/R3178,BR3178)</f>
        <v>4.6875E-2</v>
      </c>
      <c r="BV3178" s="109">
        <f t="shared" si="2292"/>
        <v>4.6875E-2</v>
      </c>
      <c r="BW3178" s="109">
        <f t="shared" si="2305"/>
        <v>0</v>
      </c>
      <c r="BX3178" s="111">
        <f t="shared" si="2287"/>
        <v>0</v>
      </c>
      <c r="BY3178" s="129">
        <f t="shared" si="2293"/>
        <v>-3</v>
      </c>
      <c r="BZ3178" s="111">
        <f t="shared" si="2294"/>
        <v>0</v>
      </c>
      <c r="CA3178" s="138">
        <f t="shared" si="2295"/>
        <v>3</v>
      </c>
      <c r="CB3178" s="111" t="e">
        <f t="shared" ref="CB3178:CB3187" si="2312">IF(AF3178&gt;1/1/1900,((AF3178+1)-AE3178),"STILL OPEN")</f>
        <v>#VALUE!</v>
      </c>
      <c r="CC3178" s="129">
        <f>M3178-I3178+1</f>
        <v>3</v>
      </c>
      <c r="CD3178" s="111">
        <f>CC3178-BF3178</f>
        <v>0</v>
      </c>
      <c r="CG3178" s="129" t="str">
        <f t="shared" si="2296"/>
        <v>N</v>
      </c>
      <c r="CI3178" s="129" t="str">
        <f t="shared" si="2297"/>
        <v>0-10 DAYS</v>
      </c>
      <c r="CJ3178" s="137">
        <f t="shared" si="2298"/>
        <v>1</v>
      </c>
      <c r="CK3178" s="129" t="str">
        <f t="shared" si="2299"/>
        <v>Booked</v>
      </c>
    </row>
    <row r="3179" spans="1:89" ht="15" customHeight="1" x14ac:dyDescent="0.25">
      <c r="A3179" s="111">
        <v>3158</v>
      </c>
      <c r="B3179" s="128" t="str">
        <f t="shared" si="2288"/>
        <v>N</v>
      </c>
      <c r="C3179" s="128" t="str">
        <f t="shared" si="2289"/>
        <v>N</v>
      </c>
      <c r="D3179" s="117">
        <v>2616089</v>
      </c>
      <c r="E3179" s="135">
        <f t="shared" si="2290"/>
        <v>1</v>
      </c>
      <c r="F3179" s="124">
        <v>41025</v>
      </c>
      <c r="G3179" s="125">
        <v>41184</v>
      </c>
      <c r="H3179" s="117">
        <v>2616089</v>
      </c>
      <c r="I3179" s="124">
        <v>41063</v>
      </c>
      <c r="J3179" s="124">
        <v>41064</v>
      </c>
      <c r="K3179" s="126">
        <v>5000</v>
      </c>
      <c r="L3179" s="127" t="s">
        <v>569</v>
      </c>
      <c r="M3179" s="125">
        <v>41064</v>
      </c>
      <c r="N3179" s="129" t="str">
        <f t="shared" si="2309"/>
        <v>Y</v>
      </c>
      <c r="O3179" s="128" t="s">
        <v>76</v>
      </c>
      <c r="P3179" s="129" t="s">
        <v>55</v>
      </c>
      <c r="Q3179" s="111">
        <f t="shared" si="2310"/>
        <v>2</v>
      </c>
      <c r="R3179" s="111">
        <f t="shared" si="2273"/>
        <v>160</v>
      </c>
      <c r="S3179" s="129">
        <v>0</v>
      </c>
      <c r="T3179" s="129">
        <v>0</v>
      </c>
      <c r="W3179" s="111"/>
      <c r="AC3179" s="130"/>
      <c r="AD3179" s="130">
        <v>32530</v>
      </c>
      <c r="AE3179" s="128" t="s">
        <v>46</v>
      </c>
      <c r="AF3179" s="128" t="s">
        <v>33</v>
      </c>
      <c r="AG3179" s="128" t="s">
        <v>872</v>
      </c>
      <c r="AH3179" s="108" t="s">
        <v>31</v>
      </c>
      <c r="AI3179" s="128" t="s">
        <v>114</v>
      </c>
      <c r="AJ3179" s="129" t="s">
        <v>55</v>
      </c>
      <c r="AK3179" s="129">
        <v>8</v>
      </c>
      <c r="AL3179" s="3" t="s">
        <v>55</v>
      </c>
      <c r="AP3179" s="129" t="s">
        <v>108</v>
      </c>
      <c r="AR3179" s="128" t="s">
        <v>44</v>
      </c>
      <c r="AS3179" s="129" t="s">
        <v>61</v>
      </c>
      <c r="BC3179" s="129" t="s">
        <v>38</v>
      </c>
      <c r="BF3179" s="111">
        <f t="shared" si="2311"/>
        <v>2</v>
      </c>
      <c r="BG3179" s="111">
        <f t="shared" si="2307"/>
        <v>122</v>
      </c>
      <c r="BH3179" s="111">
        <f t="shared" si="2274"/>
        <v>160</v>
      </c>
      <c r="BI3179" s="111">
        <f t="shared" si="2279"/>
        <v>23.210382513661202</v>
      </c>
      <c r="BJ3179" s="129">
        <f>(G3179-J3179)+(M3179-G3179)</f>
        <v>0</v>
      </c>
      <c r="BK3179" s="129">
        <f t="shared" si="2275"/>
        <v>-120</v>
      </c>
      <c r="BL3179" s="129" t="str">
        <f t="shared" si="2272"/>
        <v>NO CONVICTION</v>
      </c>
      <c r="BM3179" s="129" t="s">
        <v>76</v>
      </c>
      <c r="BN3179" s="129" t="s">
        <v>88</v>
      </c>
      <c r="BP3179" s="137" t="str">
        <f t="shared" si="2282"/>
        <v>NO CONVICTION</v>
      </c>
      <c r="BQ3179" s="128" t="str">
        <f t="shared" si="2291"/>
        <v>Y</v>
      </c>
      <c r="BR3179" s="129" t="str">
        <f t="shared" si="2283"/>
        <v>ON BOND</v>
      </c>
      <c r="BS3179" s="129" t="str">
        <f t="shared" si="2284"/>
        <v>DISPOSED</v>
      </c>
      <c r="BT3179" s="129" t="str">
        <f t="shared" si="2285"/>
        <v>N</v>
      </c>
      <c r="BU3179" s="109">
        <f>IFERROR(Q3179/R3179,BR3179)</f>
        <v>1.2500000000000001E-2</v>
      </c>
      <c r="BV3179" s="109">
        <f t="shared" si="2292"/>
        <v>1.6393442622950821E-2</v>
      </c>
      <c r="BW3179" s="109">
        <f t="shared" si="2305"/>
        <v>3.8934426229508198E-3</v>
      </c>
      <c r="BX3179" s="111">
        <f t="shared" si="2287"/>
        <v>0</v>
      </c>
      <c r="BY3179" s="129">
        <f t="shared" si="2293"/>
        <v>-2</v>
      </c>
      <c r="BZ3179" s="111">
        <f t="shared" si="2294"/>
        <v>0</v>
      </c>
      <c r="CA3179" s="138">
        <f t="shared" si="2295"/>
        <v>2</v>
      </c>
      <c r="CB3179" s="111" t="e">
        <f t="shared" si="2312"/>
        <v>#VALUE!</v>
      </c>
      <c r="CC3179" s="129">
        <f>M3179-I3179+1</f>
        <v>2</v>
      </c>
      <c r="CD3179" s="111">
        <f>CC3179-BF3179</f>
        <v>0</v>
      </c>
      <c r="CG3179" s="129" t="str">
        <f t="shared" si="2296"/>
        <v>N</v>
      </c>
      <c r="CI3179" s="129" t="str">
        <f t="shared" si="2297"/>
        <v>0-10 DAYS</v>
      </c>
      <c r="CJ3179" s="137">
        <f t="shared" si="2298"/>
        <v>1</v>
      </c>
      <c r="CK3179" s="129" t="str">
        <f t="shared" si="2299"/>
        <v>Booked</v>
      </c>
    </row>
    <row r="3180" spans="1:89" ht="15.75" customHeight="1" x14ac:dyDescent="0.25">
      <c r="A3180" s="111">
        <v>3161</v>
      </c>
      <c r="B3180" s="128" t="str">
        <f t="shared" si="2288"/>
        <v>N</v>
      </c>
      <c r="C3180" s="128" t="str">
        <f t="shared" si="2289"/>
        <v>N</v>
      </c>
      <c r="D3180" s="117">
        <v>2616110</v>
      </c>
      <c r="E3180" s="135">
        <f t="shared" si="2290"/>
        <v>2</v>
      </c>
      <c r="F3180" s="124">
        <v>41025</v>
      </c>
      <c r="G3180" s="125">
        <v>41038</v>
      </c>
      <c r="H3180" s="117">
        <v>2616110</v>
      </c>
      <c r="I3180" s="124">
        <v>41031</v>
      </c>
      <c r="J3180" s="124">
        <v>41038</v>
      </c>
      <c r="K3180" s="126">
        <v>2000</v>
      </c>
      <c r="L3180" s="127" t="s">
        <v>568</v>
      </c>
      <c r="N3180" s="129" t="str">
        <f t="shared" si="2309"/>
        <v>N</v>
      </c>
      <c r="O3180" s="128" t="s">
        <v>917</v>
      </c>
      <c r="P3180" s="129" t="s">
        <v>589</v>
      </c>
      <c r="Q3180" s="111">
        <f t="shared" si="2310"/>
        <v>8</v>
      </c>
      <c r="R3180" s="111">
        <f t="shared" si="2273"/>
        <v>14</v>
      </c>
      <c r="S3180" s="129">
        <v>0</v>
      </c>
      <c r="T3180" s="129">
        <v>0</v>
      </c>
      <c r="W3180" s="111"/>
      <c r="AC3180" s="130"/>
      <c r="AD3180" s="130">
        <v>34768</v>
      </c>
      <c r="AE3180" s="128" t="s">
        <v>32</v>
      </c>
      <c r="AF3180" s="128" t="s">
        <v>33</v>
      </c>
      <c r="AG3180" s="128" t="s">
        <v>872</v>
      </c>
      <c r="AH3180" s="108" t="s">
        <v>31</v>
      </c>
      <c r="AI3180" s="128" t="s">
        <v>34</v>
      </c>
      <c r="AJ3180" s="129" t="s">
        <v>48</v>
      </c>
      <c r="AK3180" s="129">
        <v>3</v>
      </c>
      <c r="AL3180" s="3" t="s">
        <v>48</v>
      </c>
      <c r="AP3180" s="129" t="s">
        <v>107</v>
      </c>
      <c r="AR3180" s="128" t="s">
        <v>44</v>
      </c>
      <c r="AS3180" s="129" t="s">
        <v>57</v>
      </c>
      <c r="AT3180" s="129" t="s">
        <v>530</v>
      </c>
      <c r="AX3180" s="32"/>
      <c r="BC3180" s="129" t="s">
        <v>38</v>
      </c>
      <c r="BF3180" s="111">
        <f t="shared" si="2311"/>
        <v>8</v>
      </c>
      <c r="BG3180" s="111">
        <f t="shared" si="2307"/>
        <v>8</v>
      </c>
      <c r="BH3180" s="111">
        <f t="shared" si="2274"/>
        <v>14</v>
      </c>
      <c r="BI3180" s="111">
        <f t="shared" si="2279"/>
        <v>17.095628415300546</v>
      </c>
      <c r="BJ3180" s="129">
        <f>G3180-J3180-M3180</f>
        <v>0</v>
      </c>
      <c r="BK3180" s="129">
        <f t="shared" si="2275"/>
        <v>0</v>
      </c>
      <c r="BL3180" s="129" t="str">
        <f t="shared" si="2272"/>
        <v>DEFERRED</v>
      </c>
      <c r="BM3180" s="129" t="str">
        <f t="shared" si="2281"/>
        <v>NONE</v>
      </c>
      <c r="BN3180" s="129" t="s">
        <v>566</v>
      </c>
      <c r="BP3180" s="137" t="str">
        <f t="shared" si="2282"/>
        <v>DEFERRED</v>
      </c>
      <c r="BQ3180" s="128" t="str">
        <f t="shared" si="2291"/>
        <v>Y</v>
      </c>
      <c r="BR3180" s="129" t="str">
        <f t="shared" si="2283"/>
        <v>DETAINED</v>
      </c>
      <c r="BS3180" s="129" t="str">
        <f t="shared" si="2284"/>
        <v>DISPOSED</v>
      </c>
      <c r="BT3180" s="129" t="str">
        <f t="shared" si="2285"/>
        <v>N</v>
      </c>
      <c r="BU3180" s="109">
        <f t="shared" si="2286"/>
        <v>0.5714285714285714</v>
      </c>
      <c r="BV3180" s="109">
        <f t="shared" si="2292"/>
        <v>1</v>
      </c>
      <c r="BW3180" s="109">
        <f t="shared" si="2305"/>
        <v>0.4285714285714286</v>
      </c>
      <c r="BX3180" s="111">
        <f t="shared" si="2287"/>
        <v>0</v>
      </c>
      <c r="BY3180" s="129">
        <f t="shared" si="2293"/>
        <v>-8</v>
      </c>
      <c r="BZ3180" s="111">
        <f t="shared" si="2294"/>
        <v>0</v>
      </c>
      <c r="CA3180" s="138">
        <f t="shared" si="2295"/>
        <v>8</v>
      </c>
      <c r="CB3180" s="111" t="e">
        <f t="shared" si="2312"/>
        <v>#VALUE!</v>
      </c>
      <c r="CC3180" s="129">
        <f>G3180-I3180+1</f>
        <v>8</v>
      </c>
      <c r="CD3180" s="129">
        <f>G3180-J3180</f>
        <v>0</v>
      </c>
      <c r="CG3180" s="129" t="str">
        <f t="shared" si="2296"/>
        <v>N</v>
      </c>
      <c r="CI3180" s="129" t="str">
        <f t="shared" si="2297"/>
        <v>0-10 DAYS</v>
      </c>
      <c r="CJ3180" s="137">
        <f t="shared" si="2298"/>
        <v>1</v>
      </c>
      <c r="CK3180" s="129" t="str">
        <f t="shared" si="2299"/>
        <v>Booked</v>
      </c>
    </row>
    <row r="3181" spans="1:89" ht="15.75" customHeight="1" x14ac:dyDescent="0.25">
      <c r="A3181" s="111">
        <v>3162</v>
      </c>
      <c r="B3181" s="128" t="str">
        <f t="shared" si="2288"/>
        <v>N</v>
      </c>
      <c r="C3181" s="128" t="str">
        <f t="shared" si="2289"/>
        <v>N</v>
      </c>
      <c r="D3181" s="117">
        <v>2616111</v>
      </c>
      <c r="E3181" s="135">
        <f t="shared" si="2290"/>
        <v>6</v>
      </c>
      <c r="F3181" s="124">
        <v>41025</v>
      </c>
      <c r="G3181" s="125">
        <v>41088</v>
      </c>
      <c r="H3181" s="117">
        <v>2616111</v>
      </c>
      <c r="I3181" s="124">
        <v>41026</v>
      </c>
      <c r="J3181" s="124">
        <v>41088</v>
      </c>
      <c r="K3181" s="126">
        <v>10000</v>
      </c>
      <c r="L3181" s="127" t="s">
        <v>570</v>
      </c>
      <c r="N3181" s="129" t="str">
        <f t="shared" si="2309"/>
        <v>N</v>
      </c>
      <c r="O3181" s="128" t="s">
        <v>917</v>
      </c>
      <c r="P3181" s="129" t="s">
        <v>39</v>
      </c>
      <c r="Q3181" s="111">
        <f t="shared" si="2310"/>
        <v>63</v>
      </c>
      <c r="R3181" s="111">
        <f t="shared" si="2273"/>
        <v>64</v>
      </c>
      <c r="S3181" s="129">
        <v>0</v>
      </c>
      <c r="T3181" s="129">
        <v>0</v>
      </c>
      <c r="W3181" s="111"/>
      <c r="AB3181" s="131" t="s">
        <v>112</v>
      </c>
      <c r="AC3181" s="130"/>
      <c r="AD3181" s="130">
        <v>34775</v>
      </c>
      <c r="AE3181" s="128" t="s">
        <v>32</v>
      </c>
      <c r="AF3181" s="128" t="s">
        <v>40</v>
      </c>
      <c r="AG3181" s="128" t="s">
        <v>41</v>
      </c>
      <c r="AH3181" s="108" t="s">
        <v>31</v>
      </c>
      <c r="AI3181" s="128" t="s">
        <v>118</v>
      </c>
      <c r="AJ3181" s="129" t="s">
        <v>89</v>
      </c>
      <c r="AK3181" s="129">
        <v>5</v>
      </c>
      <c r="AL3181" s="3" t="s">
        <v>362</v>
      </c>
      <c r="AM3181" s="117">
        <v>2</v>
      </c>
      <c r="AP3181" s="129" t="s">
        <v>56</v>
      </c>
      <c r="AR3181" s="128" t="s">
        <v>50</v>
      </c>
      <c r="AS3181" s="129" t="s">
        <v>57</v>
      </c>
      <c r="BC3181" s="129" t="s">
        <v>38</v>
      </c>
      <c r="BF3181" s="111">
        <f t="shared" si="2311"/>
        <v>63</v>
      </c>
      <c r="BG3181" s="111">
        <f t="shared" si="2307"/>
        <v>63</v>
      </c>
      <c r="BH3181" s="111">
        <f t="shared" si="2274"/>
        <v>64</v>
      </c>
      <c r="BI3181" s="111">
        <f t="shared" si="2279"/>
        <v>17.076502732240439</v>
      </c>
      <c r="BJ3181" s="129">
        <f>G3181-J3181-M3181</f>
        <v>0</v>
      </c>
      <c r="BK3181" s="129">
        <f t="shared" si="2275"/>
        <v>0</v>
      </c>
      <c r="BL3181" s="129" t="str">
        <f t="shared" si="2272"/>
        <v>CONVICTION</v>
      </c>
      <c r="BM3181" s="129" t="str">
        <f t="shared" si="2281"/>
        <v>NONE</v>
      </c>
      <c r="BN3181" s="129" t="s">
        <v>566</v>
      </c>
      <c r="BP3181" s="137" t="str">
        <f t="shared" si="2282"/>
        <v>CONVICTION</v>
      </c>
      <c r="BQ3181" s="128" t="str">
        <f t="shared" si="2291"/>
        <v>Y</v>
      </c>
      <c r="BR3181" s="129" t="str">
        <f t="shared" si="2283"/>
        <v>DETAINED</v>
      </c>
      <c r="BS3181" s="129" t="str">
        <f t="shared" si="2284"/>
        <v>DISPOSED</v>
      </c>
      <c r="BT3181" s="129" t="str">
        <f t="shared" si="2285"/>
        <v>N</v>
      </c>
      <c r="BU3181" s="109">
        <f t="shared" si="2286"/>
        <v>0.984375</v>
      </c>
      <c r="BV3181" s="109">
        <f t="shared" si="2292"/>
        <v>1</v>
      </c>
      <c r="BW3181" s="109">
        <f t="shared" si="2305"/>
        <v>1.5625E-2</v>
      </c>
      <c r="BX3181" s="111">
        <f t="shared" si="2287"/>
        <v>0</v>
      </c>
      <c r="BY3181" s="129">
        <f t="shared" si="2293"/>
        <v>-63</v>
      </c>
      <c r="BZ3181" s="111">
        <f t="shared" si="2294"/>
        <v>0</v>
      </c>
      <c r="CA3181" s="138">
        <f t="shared" si="2295"/>
        <v>63</v>
      </c>
      <c r="CB3181" s="111" t="e">
        <f t="shared" si="2312"/>
        <v>#VALUE!</v>
      </c>
      <c r="CC3181" s="129">
        <f>G3181-I3181+1</f>
        <v>63</v>
      </c>
      <c r="CD3181" s="129">
        <f>G3181-J3181</f>
        <v>0</v>
      </c>
      <c r="CG3181" s="129" t="str">
        <f t="shared" si="2296"/>
        <v>N</v>
      </c>
      <c r="CI3181" s="129" t="str">
        <f t="shared" si="2297"/>
        <v>61-90 DAYS</v>
      </c>
      <c r="CJ3181" s="137">
        <f t="shared" si="2298"/>
        <v>4</v>
      </c>
      <c r="CK3181" s="129" t="str">
        <f t="shared" si="2299"/>
        <v>Booked</v>
      </c>
    </row>
    <row r="3182" spans="1:89" ht="15.75" customHeight="1" x14ac:dyDescent="0.25">
      <c r="A3182" s="111">
        <v>3164</v>
      </c>
      <c r="B3182" s="128" t="str">
        <f t="shared" si="2288"/>
        <v>N</v>
      </c>
      <c r="C3182" s="128" t="str">
        <f t="shared" si="2289"/>
        <v>N</v>
      </c>
      <c r="D3182" s="117">
        <v>2616114</v>
      </c>
      <c r="E3182" s="135">
        <f t="shared" si="2290"/>
        <v>6</v>
      </c>
      <c r="F3182" s="124">
        <v>41025</v>
      </c>
      <c r="G3182" s="125">
        <v>41334</v>
      </c>
      <c r="H3182" s="117">
        <v>2616114</v>
      </c>
      <c r="I3182" s="124">
        <v>41086</v>
      </c>
      <c r="J3182" s="125">
        <v>41334</v>
      </c>
      <c r="K3182" s="126">
        <v>60000</v>
      </c>
      <c r="L3182" s="129" t="s">
        <v>572</v>
      </c>
      <c r="N3182" s="129" t="str">
        <f t="shared" si="2309"/>
        <v>N</v>
      </c>
      <c r="O3182" s="128" t="s">
        <v>917</v>
      </c>
      <c r="P3182" s="129" t="s">
        <v>39</v>
      </c>
      <c r="Q3182" s="111">
        <f t="shared" si="2310"/>
        <v>249</v>
      </c>
      <c r="R3182" s="111">
        <f t="shared" si="2273"/>
        <v>310</v>
      </c>
      <c r="S3182" s="129">
        <v>0</v>
      </c>
      <c r="T3182" s="129">
        <v>0</v>
      </c>
      <c r="W3182" s="111"/>
      <c r="AC3182" s="130"/>
      <c r="AD3182" s="130">
        <v>30315</v>
      </c>
      <c r="AE3182" s="128" t="s">
        <v>32</v>
      </c>
      <c r="AF3182" s="128" t="s">
        <v>248</v>
      </c>
      <c r="AG3182" s="128" t="s">
        <v>873</v>
      </c>
      <c r="AH3182" s="108" t="s">
        <v>31</v>
      </c>
      <c r="AI3182" s="128" t="s">
        <v>65</v>
      </c>
      <c r="AJ3182" s="129" t="s">
        <v>89</v>
      </c>
      <c r="AK3182" s="129">
        <v>10</v>
      </c>
      <c r="AL3182" s="3" t="s">
        <v>362</v>
      </c>
      <c r="AM3182" s="117">
        <v>4</v>
      </c>
      <c r="AP3182" s="129" t="s">
        <v>173</v>
      </c>
      <c r="AR3182" s="128" t="s">
        <v>50</v>
      </c>
      <c r="AS3182" s="129" t="s">
        <v>126</v>
      </c>
      <c r="BC3182" s="129" t="s">
        <v>38</v>
      </c>
      <c r="BF3182" s="111">
        <f t="shared" si="2311"/>
        <v>249</v>
      </c>
      <c r="BG3182" s="111">
        <f t="shared" si="2307"/>
        <v>249</v>
      </c>
      <c r="BH3182" s="111">
        <f t="shared" si="2274"/>
        <v>310</v>
      </c>
      <c r="BI3182" s="111">
        <f t="shared" si="2279"/>
        <v>29.262295081967213</v>
      </c>
      <c r="BJ3182" s="129">
        <f>G3182-J3182-M3182</f>
        <v>0</v>
      </c>
      <c r="BK3182" s="129">
        <f t="shared" si="2275"/>
        <v>0</v>
      </c>
      <c r="BL3182" s="129" t="str">
        <f t="shared" si="2272"/>
        <v>CONVICTION</v>
      </c>
      <c r="BM3182" s="129" t="str">
        <f t="shared" si="2281"/>
        <v>NONE</v>
      </c>
      <c r="BN3182" s="129" t="s">
        <v>566</v>
      </c>
      <c r="BP3182" s="137" t="str">
        <f t="shared" si="2282"/>
        <v>CONVICTION</v>
      </c>
      <c r="BQ3182" s="128" t="str">
        <f t="shared" si="2291"/>
        <v>Y</v>
      </c>
      <c r="BR3182" s="129" t="str">
        <f t="shared" si="2283"/>
        <v>DETAINED</v>
      </c>
      <c r="BS3182" s="129" t="str">
        <f t="shared" si="2284"/>
        <v>DISPOSED</v>
      </c>
      <c r="BT3182" s="129" t="str">
        <f t="shared" si="2285"/>
        <v>N</v>
      </c>
      <c r="BU3182" s="109">
        <f t="shared" si="2286"/>
        <v>0.8032258064516129</v>
      </c>
      <c r="BV3182" s="109">
        <f t="shared" si="2292"/>
        <v>1</v>
      </c>
      <c r="BW3182" s="109">
        <f t="shared" si="2305"/>
        <v>0.1967741935483871</v>
      </c>
      <c r="BX3182" s="111">
        <f t="shared" si="2287"/>
        <v>0</v>
      </c>
      <c r="BY3182" s="129">
        <f t="shared" si="2293"/>
        <v>-249</v>
      </c>
      <c r="BZ3182" s="111">
        <f t="shared" si="2294"/>
        <v>0</v>
      </c>
      <c r="CA3182" s="138">
        <f t="shared" si="2295"/>
        <v>249</v>
      </c>
      <c r="CB3182" s="111" t="e">
        <f t="shared" si="2312"/>
        <v>#VALUE!</v>
      </c>
      <c r="CC3182" s="129">
        <f>G3182-I3182+1</f>
        <v>249</v>
      </c>
      <c r="CD3182" s="129">
        <f>G3182-J3182</f>
        <v>0</v>
      </c>
      <c r="CG3182" s="129" t="str">
        <f t="shared" si="2296"/>
        <v>N</v>
      </c>
      <c r="CI3182" s="129" t="str">
        <f t="shared" si="2297"/>
        <v>121-365 DAYS</v>
      </c>
      <c r="CJ3182" s="137">
        <f t="shared" si="2298"/>
        <v>6</v>
      </c>
      <c r="CK3182" s="129" t="str">
        <f t="shared" si="2299"/>
        <v>Booked</v>
      </c>
    </row>
    <row r="3183" spans="1:89" ht="15" customHeight="1" x14ac:dyDescent="0.25">
      <c r="A3183" s="111">
        <v>3163</v>
      </c>
      <c r="B3183" s="128" t="str">
        <f t="shared" si="2288"/>
        <v>N</v>
      </c>
      <c r="C3183" s="128" t="str">
        <f t="shared" si="2289"/>
        <v>N</v>
      </c>
      <c r="D3183" s="117">
        <v>2616115</v>
      </c>
      <c r="E3183" s="135">
        <f t="shared" si="2290"/>
        <v>5</v>
      </c>
      <c r="F3183" s="124">
        <v>41025</v>
      </c>
      <c r="G3183" s="125">
        <v>41289</v>
      </c>
      <c r="H3183" s="117">
        <v>2616115</v>
      </c>
      <c r="I3183" s="124">
        <v>41026</v>
      </c>
      <c r="J3183" s="125">
        <v>41289</v>
      </c>
      <c r="K3183" s="126">
        <v>10000</v>
      </c>
      <c r="L3183" s="127" t="s">
        <v>570</v>
      </c>
      <c r="N3183" s="129" t="str">
        <f t="shared" si="2309"/>
        <v>N</v>
      </c>
      <c r="O3183" s="128" t="s">
        <v>917</v>
      </c>
      <c r="P3183" s="129" t="s">
        <v>39</v>
      </c>
      <c r="Q3183" s="111">
        <f t="shared" si="2310"/>
        <v>264</v>
      </c>
      <c r="R3183" s="111">
        <f t="shared" si="2273"/>
        <v>265</v>
      </c>
      <c r="S3183" s="129">
        <v>0</v>
      </c>
      <c r="T3183" s="129">
        <v>0</v>
      </c>
      <c r="W3183" s="111"/>
      <c r="AC3183" s="130"/>
      <c r="AD3183" s="130">
        <v>28744</v>
      </c>
      <c r="AE3183" s="128" t="s">
        <v>32</v>
      </c>
      <c r="AF3183" s="128" t="s">
        <v>69</v>
      </c>
      <c r="AG3183" s="128" t="s">
        <v>874</v>
      </c>
      <c r="AH3183" s="108" t="s">
        <v>31</v>
      </c>
      <c r="AI3183" s="128" t="s">
        <v>97</v>
      </c>
      <c r="AJ3183" s="129" t="s">
        <v>89</v>
      </c>
      <c r="AK3183" s="129">
        <v>11</v>
      </c>
      <c r="AL3183" s="3" t="s">
        <v>992</v>
      </c>
      <c r="AN3183" s="117">
        <v>8</v>
      </c>
      <c r="AP3183" s="129" t="s">
        <v>223</v>
      </c>
      <c r="AR3183" s="128" t="s">
        <v>50</v>
      </c>
      <c r="AS3183" s="129" t="s">
        <v>74</v>
      </c>
      <c r="BC3183" s="129" t="s">
        <v>99</v>
      </c>
      <c r="BF3183" s="111">
        <f t="shared" si="2311"/>
        <v>264</v>
      </c>
      <c r="BG3183" s="111">
        <f t="shared" si="2307"/>
        <v>264</v>
      </c>
      <c r="BH3183" s="111">
        <f t="shared" si="2274"/>
        <v>265</v>
      </c>
      <c r="BI3183" s="111">
        <f t="shared" si="2279"/>
        <v>33.55464480874317</v>
      </c>
      <c r="BJ3183" s="129">
        <f>G3183-J3183-M3183</f>
        <v>0</v>
      </c>
      <c r="BK3183" s="129">
        <f t="shared" si="2275"/>
        <v>0</v>
      </c>
      <c r="BL3183" s="129" t="str">
        <f t="shared" si="2272"/>
        <v>CONVICTION</v>
      </c>
      <c r="BM3183" s="129" t="str">
        <f t="shared" si="2281"/>
        <v>NONE</v>
      </c>
      <c r="BN3183" s="129" t="s">
        <v>566</v>
      </c>
      <c r="BP3183" s="137" t="str">
        <f t="shared" si="2282"/>
        <v>CONVICTION</v>
      </c>
      <c r="BQ3183" s="128" t="str">
        <f t="shared" si="2291"/>
        <v>Y</v>
      </c>
      <c r="BR3183" s="129" t="str">
        <f t="shared" si="2283"/>
        <v>DETAINED</v>
      </c>
      <c r="BS3183" s="129" t="str">
        <f t="shared" si="2284"/>
        <v>DISPOSED</v>
      </c>
      <c r="BT3183" s="129" t="str">
        <f t="shared" si="2285"/>
        <v>N</v>
      </c>
      <c r="BU3183" s="109">
        <f t="shared" si="2286"/>
        <v>0.99622641509433962</v>
      </c>
      <c r="BV3183" s="109">
        <f t="shared" si="2292"/>
        <v>1</v>
      </c>
      <c r="BW3183" s="109">
        <f t="shared" si="2305"/>
        <v>3.7735849056603765E-3</v>
      </c>
      <c r="BX3183" s="111">
        <f t="shared" si="2287"/>
        <v>0</v>
      </c>
      <c r="BY3183" s="129">
        <f t="shared" si="2293"/>
        <v>-264</v>
      </c>
      <c r="BZ3183" s="111">
        <f t="shared" si="2294"/>
        <v>0</v>
      </c>
      <c r="CA3183" s="138">
        <f t="shared" si="2295"/>
        <v>264</v>
      </c>
      <c r="CB3183" s="111" t="e">
        <f t="shared" si="2312"/>
        <v>#VALUE!</v>
      </c>
      <c r="CC3183" s="129">
        <f>G3183-I3183+1</f>
        <v>264</v>
      </c>
      <c r="CD3183" s="129">
        <f>G3183-J3183</f>
        <v>0</v>
      </c>
      <c r="CG3183" s="129" t="str">
        <f t="shared" si="2296"/>
        <v>N</v>
      </c>
      <c r="CI3183" s="129" t="str">
        <f t="shared" si="2297"/>
        <v>121-365 DAYS</v>
      </c>
      <c r="CJ3183" s="137">
        <f t="shared" si="2298"/>
        <v>6</v>
      </c>
      <c r="CK3183" s="129" t="str">
        <f t="shared" si="2299"/>
        <v>Booked</v>
      </c>
    </row>
    <row r="3184" spans="1:89" ht="15.75" customHeight="1" x14ac:dyDescent="0.25">
      <c r="A3184" s="111">
        <v>3165</v>
      </c>
      <c r="B3184" s="128" t="str">
        <f t="shared" si="2288"/>
        <v>N</v>
      </c>
      <c r="C3184" s="128" t="str">
        <f t="shared" si="2289"/>
        <v>N</v>
      </c>
      <c r="D3184" s="117">
        <v>2616119</v>
      </c>
      <c r="E3184" s="135">
        <f t="shared" si="2290"/>
        <v>6</v>
      </c>
      <c r="F3184" s="124">
        <v>41025</v>
      </c>
      <c r="G3184" s="125">
        <v>41403</v>
      </c>
      <c r="H3184" s="117">
        <v>2616119</v>
      </c>
      <c r="I3184" s="124">
        <v>41026</v>
      </c>
      <c r="J3184" s="125">
        <v>41403</v>
      </c>
      <c r="K3184" s="126">
        <v>120000</v>
      </c>
      <c r="L3184" s="129" t="s">
        <v>572</v>
      </c>
      <c r="N3184" s="129" t="str">
        <f t="shared" si="2309"/>
        <v>N</v>
      </c>
      <c r="O3184" s="128" t="s">
        <v>917</v>
      </c>
      <c r="P3184" s="129" t="s">
        <v>39</v>
      </c>
      <c r="Q3184" s="111">
        <f t="shared" si="2310"/>
        <v>378</v>
      </c>
      <c r="R3184" s="111">
        <f t="shared" si="2273"/>
        <v>379</v>
      </c>
      <c r="S3184" s="129">
        <v>0</v>
      </c>
      <c r="T3184" s="129">
        <v>0</v>
      </c>
      <c r="W3184" s="111"/>
      <c r="AB3184" s="131" t="s">
        <v>112</v>
      </c>
      <c r="AC3184" s="130"/>
      <c r="AD3184" s="130">
        <v>23882</v>
      </c>
      <c r="AE3184" s="128" t="s">
        <v>32</v>
      </c>
      <c r="AF3184" s="128" t="s">
        <v>40</v>
      </c>
      <c r="AG3184" s="128" t="s">
        <v>41</v>
      </c>
      <c r="AH3184" s="108" t="s">
        <v>31</v>
      </c>
      <c r="AI3184" s="128" t="s">
        <v>70</v>
      </c>
      <c r="AJ3184" s="129" t="s">
        <v>89</v>
      </c>
      <c r="AK3184" s="129">
        <v>11</v>
      </c>
      <c r="AL3184" s="3" t="s">
        <v>362</v>
      </c>
      <c r="AM3184" s="117">
        <v>2</v>
      </c>
      <c r="AP3184" s="129" t="s">
        <v>125</v>
      </c>
      <c r="AR3184" s="128" t="s">
        <v>50</v>
      </c>
      <c r="AS3184" s="129" t="s">
        <v>126</v>
      </c>
      <c r="AX3184" s="32"/>
      <c r="BC3184" s="129" t="s">
        <v>38</v>
      </c>
      <c r="BF3184" s="111">
        <f t="shared" si="2311"/>
        <v>378</v>
      </c>
      <c r="BG3184" s="111">
        <f t="shared" si="2307"/>
        <v>378</v>
      </c>
      <c r="BH3184" s="111">
        <f t="shared" si="2274"/>
        <v>379</v>
      </c>
      <c r="BI3184" s="111">
        <f t="shared" si="2279"/>
        <v>46.838797814207652</v>
      </c>
      <c r="BJ3184" s="129">
        <f>G3184-J3184-M3184</f>
        <v>0</v>
      </c>
      <c r="BK3184" s="129">
        <f t="shared" si="2275"/>
        <v>0</v>
      </c>
      <c r="BL3184" s="129" t="str">
        <f t="shared" si="2272"/>
        <v>CONVICTION</v>
      </c>
      <c r="BM3184" s="129" t="str">
        <f t="shared" si="2281"/>
        <v>NONE</v>
      </c>
      <c r="BP3184" s="137" t="str">
        <f t="shared" si="2282"/>
        <v>CONVICTION</v>
      </c>
      <c r="BQ3184" s="128" t="str">
        <f t="shared" si="2291"/>
        <v>Y</v>
      </c>
      <c r="BR3184" s="129" t="str">
        <f t="shared" si="2283"/>
        <v>DETAINED</v>
      </c>
      <c r="BS3184" s="129" t="str">
        <f t="shared" si="2284"/>
        <v>DISPOSED</v>
      </c>
      <c r="BT3184" s="129" t="str">
        <f t="shared" si="2285"/>
        <v>N</v>
      </c>
      <c r="BU3184" s="109">
        <f t="shared" si="2286"/>
        <v>0.99736147757255933</v>
      </c>
      <c r="BV3184" s="109">
        <f t="shared" si="2292"/>
        <v>1</v>
      </c>
      <c r="BW3184" s="109">
        <f t="shared" si="2305"/>
        <v>2.6385224274406704E-3</v>
      </c>
      <c r="BX3184" s="111">
        <f t="shared" si="2287"/>
        <v>0</v>
      </c>
      <c r="BY3184" s="129">
        <f t="shared" si="2293"/>
        <v>-378</v>
      </c>
      <c r="BZ3184" s="111">
        <f t="shared" si="2294"/>
        <v>0</v>
      </c>
      <c r="CA3184" s="138">
        <f t="shared" si="2295"/>
        <v>378</v>
      </c>
      <c r="CB3184" s="111" t="e">
        <f t="shared" si="2312"/>
        <v>#VALUE!</v>
      </c>
      <c r="CC3184" s="129">
        <f>G3184-I3184+1</f>
        <v>378</v>
      </c>
      <c r="CD3184" s="129">
        <f>G3184-J3184</f>
        <v>0</v>
      </c>
      <c r="CG3184" s="129" t="str">
        <f t="shared" si="2296"/>
        <v>N</v>
      </c>
      <c r="CI3184" s="129" t="str">
        <f t="shared" si="2297"/>
        <v xml:space="preserve"> &gt;1YRS&lt;2YRS</v>
      </c>
      <c r="CJ3184" s="137">
        <f t="shared" si="2298"/>
        <v>0</v>
      </c>
      <c r="CK3184" s="129" t="str">
        <f t="shared" si="2299"/>
        <v>Booked</v>
      </c>
    </row>
    <row r="3185" spans="1:89" ht="15" customHeight="1" x14ac:dyDescent="0.25">
      <c r="A3185" s="111">
        <v>3175</v>
      </c>
      <c r="B3185" s="128" t="str">
        <f t="shared" si="2288"/>
        <v>N</v>
      </c>
      <c r="C3185" s="128" t="str">
        <f t="shared" si="2289"/>
        <v>N</v>
      </c>
      <c r="D3185" s="117">
        <v>2616208</v>
      </c>
      <c r="E3185" s="135">
        <f t="shared" si="2290"/>
        <v>2</v>
      </c>
      <c r="F3185" s="124">
        <v>41025</v>
      </c>
      <c r="G3185" s="125">
        <v>41033</v>
      </c>
      <c r="H3185" s="117">
        <v>2616208</v>
      </c>
      <c r="I3185" s="124">
        <v>41026</v>
      </c>
      <c r="J3185" s="124">
        <v>41027</v>
      </c>
      <c r="K3185" s="126">
        <v>2000</v>
      </c>
      <c r="L3185" s="127" t="s">
        <v>568</v>
      </c>
      <c r="M3185" s="125">
        <v>41027</v>
      </c>
      <c r="N3185" s="129" t="str">
        <f t="shared" si="2309"/>
        <v>Y</v>
      </c>
      <c r="O3185" s="128" t="s">
        <v>76</v>
      </c>
      <c r="P3185" s="129" t="s">
        <v>589</v>
      </c>
      <c r="Q3185" s="111">
        <f t="shared" si="2310"/>
        <v>2</v>
      </c>
      <c r="R3185" s="111">
        <f t="shared" si="2273"/>
        <v>9</v>
      </c>
      <c r="S3185" s="129">
        <v>0</v>
      </c>
      <c r="T3185" s="129">
        <v>0</v>
      </c>
      <c r="W3185" s="111"/>
      <c r="AC3185" s="130"/>
      <c r="AD3185" s="130">
        <v>31038</v>
      </c>
      <c r="AE3185" s="128" t="s">
        <v>46</v>
      </c>
      <c r="AF3185" s="128" t="s">
        <v>69</v>
      </c>
      <c r="AG3185" s="128" t="s">
        <v>874</v>
      </c>
      <c r="AH3185" s="108" t="s">
        <v>31</v>
      </c>
      <c r="AI3185" s="128" t="s">
        <v>113</v>
      </c>
      <c r="AJ3185" s="129" t="s">
        <v>48</v>
      </c>
      <c r="AK3185" s="129">
        <v>2</v>
      </c>
      <c r="AL3185" s="3" t="s">
        <v>48</v>
      </c>
      <c r="AP3185" s="129" t="s">
        <v>139</v>
      </c>
      <c r="AR3185" s="128" t="s">
        <v>44</v>
      </c>
      <c r="AS3185" s="129" t="s">
        <v>64</v>
      </c>
      <c r="BC3185" s="129" t="s">
        <v>38</v>
      </c>
      <c r="BF3185" s="111">
        <f t="shared" si="2311"/>
        <v>2</v>
      </c>
      <c r="BG3185" s="111">
        <f t="shared" si="2307"/>
        <v>8</v>
      </c>
      <c r="BH3185" s="111">
        <f t="shared" si="2274"/>
        <v>9</v>
      </c>
      <c r="BI3185" s="111">
        <f t="shared" si="2279"/>
        <v>27.28688524590164</v>
      </c>
      <c r="BJ3185" s="129">
        <f>(G3185-J3185)+(M3185-G3185)</f>
        <v>0</v>
      </c>
      <c r="BK3185" s="129">
        <f t="shared" si="2275"/>
        <v>-6</v>
      </c>
      <c r="BL3185" s="129" t="str">
        <f t="shared" si="2272"/>
        <v>DEFERRED</v>
      </c>
      <c r="BM3185" s="129" t="s">
        <v>76</v>
      </c>
      <c r="BN3185" s="129" t="s">
        <v>88</v>
      </c>
      <c r="BP3185" s="137" t="str">
        <f t="shared" si="2282"/>
        <v>DEFERRED</v>
      </c>
      <c r="BQ3185" s="128" t="str">
        <f t="shared" si="2291"/>
        <v>Y</v>
      </c>
      <c r="BR3185" s="129" t="str">
        <f t="shared" si="2283"/>
        <v>ON BOND</v>
      </c>
      <c r="BS3185" s="129" t="str">
        <f t="shared" si="2284"/>
        <v>DISPOSED</v>
      </c>
      <c r="BT3185" s="129" t="str">
        <f t="shared" si="2285"/>
        <v>N</v>
      </c>
      <c r="BU3185" s="109">
        <f t="shared" si="2286"/>
        <v>0.22222222222222221</v>
      </c>
      <c r="BV3185" s="109">
        <f t="shared" si="2292"/>
        <v>0.25</v>
      </c>
      <c r="BW3185" s="109">
        <f t="shared" si="2305"/>
        <v>2.777777777777779E-2</v>
      </c>
      <c r="BX3185" s="111">
        <f t="shared" si="2287"/>
        <v>0</v>
      </c>
      <c r="BY3185" s="129">
        <f t="shared" si="2293"/>
        <v>-2</v>
      </c>
      <c r="BZ3185" s="111">
        <f t="shared" si="2294"/>
        <v>0</v>
      </c>
      <c r="CA3185" s="138">
        <f t="shared" si="2295"/>
        <v>2</v>
      </c>
      <c r="CB3185" s="111" t="e">
        <f t="shared" si="2312"/>
        <v>#VALUE!</v>
      </c>
      <c r="CC3185" s="129">
        <f>M3185-I3185+1</f>
        <v>2</v>
      </c>
      <c r="CD3185" s="111">
        <f>CC3185-BF3185</f>
        <v>0</v>
      </c>
      <c r="CG3185" s="129" t="str">
        <f t="shared" si="2296"/>
        <v>N</v>
      </c>
      <c r="CI3185" s="129" t="str">
        <f t="shared" si="2297"/>
        <v>0-10 DAYS</v>
      </c>
      <c r="CJ3185" s="137">
        <f t="shared" si="2298"/>
        <v>1</v>
      </c>
      <c r="CK3185" s="129" t="str">
        <f t="shared" si="2299"/>
        <v>Booked</v>
      </c>
    </row>
    <row r="3186" spans="1:89" ht="15" customHeight="1" x14ac:dyDescent="0.25">
      <c r="A3186" s="111">
        <v>3183</v>
      </c>
      <c r="B3186" s="128" t="str">
        <f t="shared" si="2288"/>
        <v>N</v>
      </c>
      <c r="C3186" s="128" t="str">
        <f t="shared" si="2289"/>
        <v>N</v>
      </c>
      <c r="D3186" s="117">
        <v>2616291</v>
      </c>
      <c r="E3186" s="135">
        <f t="shared" si="2290"/>
        <v>1</v>
      </c>
      <c r="F3186" s="124">
        <v>41026</v>
      </c>
      <c r="G3186" s="125">
        <v>41190</v>
      </c>
      <c r="H3186" s="117">
        <v>2616291</v>
      </c>
      <c r="I3186" s="124">
        <v>41026</v>
      </c>
      <c r="J3186" s="124">
        <v>41190</v>
      </c>
      <c r="K3186" s="126">
        <v>80000</v>
      </c>
      <c r="L3186" s="129" t="s">
        <v>572</v>
      </c>
      <c r="N3186" s="129" t="str">
        <f t="shared" si="2309"/>
        <v>N</v>
      </c>
      <c r="O3186" s="128" t="s">
        <v>917</v>
      </c>
      <c r="P3186" s="129" t="s">
        <v>55</v>
      </c>
      <c r="Q3186" s="111">
        <f t="shared" si="2310"/>
        <v>165</v>
      </c>
      <c r="R3186" s="111">
        <f t="shared" si="2273"/>
        <v>165</v>
      </c>
      <c r="S3186" s="129">
        <v>0</v>
      </c>
      <c r="T3186" s="129">
        <v>0</v>
      </c>
      <c r="W3186" s="111"/>
      <c r="AC3186" s="130"/>
      <c r="AD3186" s="130">
        <v>30215</v>
      </c>
      <c r="AE3186" s="128" t="s">
        <v>32</v>
      </c>
      <c r="AF3186" s="128" t="s">
        <v>69</v>
      </c>
      <c r="AG3186" s="128" t="s">
        <v>874</v>
      </c>
      <c r="AH3186" s="108" t="s">
        <v>31</v>
      </c>
      <c r="AI3186" s="128" t="s">
        <v>100</v>
      </c>
      <c r="AJ3186" s="129" t="s">
        <v>55</v>
      </c>
      <c r="AK3186" s="129">
        <v>6</v>
      </c>
      <c r="AL3186" s="3" t="s">
        <v>55</v>
      </c>
      <c r="AP3186" s="129" t="s">
        <v>73</v>
      </c>
      <c r="AR3186" s="128" t="s">
        <v>50</v>
      </c>
      <c r="AS3186" s="129" t="s">
        <v>74</v>
      </c>
      <c r="BC3186" s="129" t="s">
        <v>38</v>
      </c>
      <c r="BF3186" s="111">
        <f t="shared" si="2311"/>
        <v>165</v>
      </c>
      <c r="BG3186" s="111">
        <f t="shared" si="2307"/>
        <v>165</v>
      </c>
      <c r="BH3186" s="111">
        <f t="shared" si="2274"/>
        <v>165</v>
      </c>
      <c r="BI3186" s="111">
        <f t="shared" si="2279"/>
        <v>29.538251366120218</v>
      </c>
      <c r="BJ3186" s="129">
        <f>G3186-J3186-M3186</f>
        <v>0</v>
      </c>
      <c r="BK3186" s="129">
        <f t="shared" si="2275"/>
        <v>0</v>
      </c>
      <c r="BL3186" s="129" t="str">
        <f t="shared" si="2272"/>
        <v>NO CONVICTION</v>
      </c>
      <c r="BM3186" s="129" t="str">
        <f t="shared" si="2281"/>
        <v>NONE</v>
      </c>
      <c r="BN3186" s="129" t="s">
        <v>566</v>
      </c>
      <c r="BP3186" s="137" t="str">
        <f t="shared" si="2282"/>
        <v>NO CONVICTION</v>
      </c>
      <c r="BQ3186" s="128" t="str">
        <f t="shared" si="2291"/>
        <v>Y</v>
      </c>
      <c r="BR3186" s="129" t="str">
        <f t="shared" si="2283"/>
        <v>DETAINED</v>
      </c>
      <c r="BS3186" s="129" t="str">
        <f t="shared" si="2284"/>
        <v>DISPOSED</v>
      </c>
      <c r="BT3186" s="129" t="str">
        <f t="shared" si="2285"/>
        <v>N</v>
      </c>
      <c r="BU3186" s="109">
        <f>IFERROR(Q3186/R3186,BR3186)</f>
        <v>1</v>
      </c>
      <c r="BV3186" s="109">
        <f t="shared" si="2292"/>
        <v>1</v>
      </c>
      <c r="BW3186" s="109">
        <f t="shared" si="2305"/>
        <v>0</v>
      </c>
      <c r="BX3186" s="111">
        <f t="shared" si="2287"/>
        <v>0</v>
      </c>
      <c r="BY3186" s="129">
        <f t="shared" si="2293"/>
        <v>-165</v>
      </c>
      <c r="BZ3186" s="111">
        <f t="shared" si="2294"/>
        <v>0</v>
      </c>
      <c r="CA3186" s="138">
        <f t="shared" si="2295"/>
        <v>165</v>
      </c>
      <c r="CB3186" s="111" t="e">
        <f t="shared" si="2312"/>
        <v>#VALUE!</v>
      </c>
      <c r="CC3186" s="129">
        <f>G3186-I3186+1</f>
        <v>165</v>
      </c>
      <c r="CD3186" s="129">
        <f>G3186-J3186</f>
        <v>0</v>
      </c>
      <c r="CG3186" s="129" t="str">
        <f t="shared" si="2296"/>
        <v>N</v>
      </c>
      <c r="CI3186" s="129" t="str">
        <f t="shared" si="2297"/>
        <v>121-365 DAYS</v>
      </c>
      <c r="CJ3186" s="137">
        <f t="shared" si="2298"/>
        <v>6</v>
      </c>
      <c r="CK3186" s="129" t="str">
        <f t="shared" si="2299"/>
        <v>Booked</v>
      </c>
    </row>
    <row r="3187" spans="1:89" ht="15.75" customHeight="1" x14ac:dyDescent="0.25">
      <c r="A3187" s="111">
        <v>3185</v>
      </c>
      <c r="B3187" s="128" t="str">
        <f t="shared" si="2288"/>
        <v>N</v>
      </c>
      <c r="C3187" s="128" t="str">
        <f t="shared" si="2289"/>
        <v>N</v>
      </c>
      <c r="D3187" s="117">
        <v>2616293</v>
      </c>
      <c r="E3187" s="135">
        <f t="shared" si="2290"/>
        <v>4</v>
      </c>
      <c r="F3187" s="124">
        <v>41026</v>
      </c>
      <c r="G3187" s="125">
        <v>41029</v>
      </c>
      <c r="H3187" s="117">
        <v>2616293</v>
      </c>
      <c r="I3187" s="124">
        <v>41027</v>
      </c>
      <c r="J3187" s="124">
        <v>41029</v>
      </c>
      <c r="K3187" s="126">
        <v>35000</v>
      </c>
      <c r="L3187" s="129" t="s">
        <v>572</v>
      </c>
      <c r="N3187" s="129" t="str">
        <f t="shared" si="2309"/>
        <v>N</v>
      </c>
      <c r="O3187" s="128" t="s">
        <v>917</v>
      </c>
      <c r="P3187" s="129" t="s">
        <v>39</v>
      </c>
      <c r="Q3187" s="111">
        <f t="shared" si="2310"/>
        <v>3</v>
      </c>
      <c r="R3187" s="111">
        <f t="shared" si="2273"/>
        <v>4</v>
      </c>
      <c r="S3187" s="129">
        <v>0</v>
      </c>
      <c r="T3187" s="129">
        <v>0</v>
      </c>
      <c r="W3187" s="111"/>
      <c r="AB3187" s="131" t="s">
        <v>112</v>
      </c>
      <c r="AC3187" s="130"/>
      <c r="AD3187" s="130">
        <v>28028</v>
      </c>
      <c r="AE3187" s="128" t="s">
        <v>32</v>
      </c>
      <c r="AF3187" s="128" t="s">
        <v>40</v>
      </c>
      <c r="AG3187" s="128" t="s">
        <v>41</v>
      </c>
      <c r="AH3187" s="108" t="s">
        <v>31</v>
      </c>
      <c r="AI3187" s="128" t="s">
        <v>87</v>
      </c>
      <c r="AJ3187" s="129" t="s">
        <v>89</v>
      </c>
      <c r="AK3187" s="129">
        <v>1</v>
      </c>
      <c r="AL3187" s="3" t="s">
        <v>991</v>
      </c>
      <c r="AO3187" s="128">
        <v>90</v>
      </c>
      <c r="AP3187" s="129" t="s">
        <v>43</v>
      </c>
      <c r="AR3187" s="128" t="s">
        <v>44</v>
      </c>
      <c r="AS3187" s="129" t="s">
        <v>45</v>
      </c>
      <c r="BC3187" s="129" t="s">
        <v>38</v>
      </c>
      <c r="BF3187" s="111">
        <f t="shared" si="2311"/>
        <v>3</v>
      </c>
      <c r="BG3187" s="111">
        <f t="shared" si="2307"/>
        <v>3</v>
      </c>
      <c r="BH3187" s="111">
        <f t="shared" si="2274"/>
        <v>4</v>
      </c>
      <c r="BI3187" s="111">
        <f t="shared" si="2279"/>
        <v>35.513661202185794</v>
      </c>
      <c r="BJ3187" s="129">
        <f>G3187-J3187-M3187</f>
        <v>0</v>
      </c>
      <c r="BK3187" s="129">
        <f t="shared" si="2275"/>
        <v>0</v>
      </c>
      <c r="BL3187" s="129" t="str">
        <f t="shared" si="2272"/>
        <v>CONVICTION</v>
      </c>
      <c r="BM3187" s="129" t="str">
        <f t="shared" si="2281"/>
        <v>NONE</v>
      </c>
      <c r="BN3187" s="129" t="s">
        <v>566</v>
      </c>
      <c r="BP3187" s="137" t="str">
        <f t="shared" si="2282"/>
        <v>CONVICTION</v>
      </c>
      <c r="BQ3187" s="128" t="str">
        <f t="shared" si="2291"/>
        <v>Y</v>
      </c>
      <c r="BR3187" s="129" t="str">
        <f t="shared" si="2283"/>
        <v>DETAINED</v>
      </c>
      <c r="BS3187" s="129" t="str">
        <f t="shared" si="2284"/>
        <v>DISPOSED</v>
      </c>
      <c r="BT3187" s="129" t="str">
        <f t="shared" si="2285"/>
        <v>N</v>
      </c>
      <c r="BU3187" s="109">
        <f t="shared" si="2286"/>
        <v>0.75</v>
      </c>
      <c r="BV3187" s="109">
        <f t="shared" si="2292"/>
        <v>1</v>
      </c>
      <c r="BW3187" s="109">
        <f t="shared" si="2305"/>
        <v>0.25</v>
      </c>
      <c r="BX3187" s="111">
        <f t="shared" si="2287"/>
        <v>0</v>
      </c>
      <c r="BY3187" s="129">
        <f t="shared" si="2293"/>
        <v>-3</v>
      </c>
      <c r="BZ3187" s="111">
        <f t="shared" si="2294"/>
        <v>0</v>
      </c>
      <c r="CA3187" s="138">
        <f t="shared" si="2295"/>
        <v>3</v>
      </c>
      <c r="CB3187" s="111" t="e">
        <f t="shared" si="2312"/>
        <v>#VALUE!</v>
      </c>
      <c r="CC3187" s="129">
        <f>G3187-I3187+1</f>
        <v>3</v>
      </c>
      <c r="CD3187" s="129">
        <f>G3187-J3187</f>
        <v>0</v>
      </c>
      <c r="CG3187" s="129" t="str">
        <f t="shared" si="2296"/>
        <v>N</v>
      </c>
      <c r="CI3187" s="129" t="str">
        <f t="shared" si="2297"/>
        <v>0-10 DAYS</v>
      </c>
      <c r="CJ3187" s="137">
        <f t="shared" si="2298"/>
        <v>1</v>
      </c>
      <c r="CK3187" s="129" t="str">
        <f t="shared" si="2299"/>
        <v>Booked</v>
      </c>
    </row>
    <row r="3188" spans="1:89" ht="15" customHeight="1" x14ac:dyDescent="0.25">
      <c r="A3188" s="111">
        <v>3191</v>
      </c>
      <c r="B3188" s="128" t="str">
        <f t="shared" si="2288"/>
        <v>N</v>
      </c>
      <c r="C3188" s="128" t="str">
        <f t="shared" si="2289"/>
        <v>Y</v>
      </c>
      <c r="D3188" s="117">
        <v>2616390</v>
      </c>
      <c r="E3188" s="135">
        <f t="shared" si="2290"/>
        <v>6</v>
      </c>
      <c r="F3188" s="124">
        <v>41026</v>
      </c>
      <c r="G3188" s="125">
        <v>41366</v>
      </c>
      <c r="H3188" s="117">
        <v>2616390</v>
      </c>
      <c r="I3188" s="124">
        <v>41306</v>
      </c>
      <c r="J3188" s="124">
        <v>41313</v>
      </c>
      <c r="K3188" s="126">
        <v>60000</v>
      </c>
      <c r="L3188" s="129" t="s">
        <v>572</v>
      </c>
      <c r="M3188" s="124">
        <v>41313</v>
      </c>
      <c r="N3188" s="129" t="str">
        <f t="shared" si="2309"/>
        <v>Y</v>
      </c>
      <c r="O3188" s="128" t="s">
        <v>76</v>
      </c>
      <c r="P3188" s="129" t="s">
        <v>39</v>
      </c>
      <c r="Q3188" s="111">
        <v>8</v>
      </c>
      <c r="R3188" s="111">
        <f t="shared" si="2273"/>
        <v>341</v>
      </c>
      <c r="S3188" s="129">
        <v>0</v>
      </c>
      <c r="T3188" s="129">
        <v>0</v>
      </c>
      <c r="W3188" s="111"/>
      <c r="AB3188" s="131" t="s">
        <v>112</v>
      </c>
      <c r="AC3188" s="130"/>
      <c r="AD3188" s="130">
        <v>29088</v>
      </c>
      <c r="AE3188" s="128" t="s">
        <v>32</v>
      </c>
      <c r="AF3188" s="128" t="s">
        <v>40</v>
      </c>
      <c r="AG3188" s="128" t="s">
        <v>41</v>
      </c>
      <c r="AH3188" s="108" t="s">
        <v>31</v>
      </c>
      <c r="AI3188" s="128" t="s">
        <v>118</v>
      </c>
      <c r="AJ3188" s="129" t="s">
        <v>89</v>
      </c>
      <c r="AK3188" s="129">
        <v>8</v>
      </c>
      <c r="AL3188" s="3" t="s">
        <v>362</v>
      </c>
      <c r="AM3188" s="117">
        <v>25</v>
      </c>
      <c r="AP3188" s="32" t="s">
        <v>129</v>
      </c>
      <c r="AR3188" s="128" t="s">
        <v>92</v>
      </c>
      <c r="AS3188" s="129" t="s">
        <v>126</v>
      </c>
      <c r="AT3188" s="129" t="s">
        <v>967</v>
      </c>
      <c r="AU3188" s="119">
        <v>41306</v>
      </c>
      <c r="AX3188" s="32" t="s">
        <v>88</v>
      </c>
      <c r="BC3188" s="129" t="s">
        <v>52</v>
      </c>
      <c r="BF3188" s="111">
        <v>8</v>
      </c>
      <c r="BG3188" s="111">
        <f t="shared" si="2307"/>
        <v>61</v>
      </c>
      <c r="BH3188" s="111">
        <f t="shared" si="2274"/>
        <v>341</v>
      </c>
      <c r="BI3188" s="111">
        <f t="shared" si="2279"/>
        <v>32.617486338797811</v>
      </c>
      <c r="BJ3188" s="129">
        <f t="shared" ref="BJ3188:BJ3196" si="2313">(G3188-J3188)+(M3188-G3188)</f>
        <v>0</v>
      </c>
      <c r="BK3188" s="129">
        <f t="shared" si="2275"/>
        <v>-53</v>
      </c>
      <c r="BL3188" s="129" t="str">
        <f t="shared" si="2272"/>
        <v>CONVICTION</v>
      </c>
      <c r="BM3188" s="129" t="s">
        <v>76</v>
      </c>
      <c r="BN3188" s="129" t="s">
        <v>88</v>
      </c>
      <c r="BP3188" s="137" t="str">
        <f t="shared" si="2282"/>
        <v>CONVICTION</v>
      </c>
      <c r="BQ3188" s="128" t="str">
        <f t="shared" si="2291"/>
        <v>Y</v>
      </c>
      <c r="BR3188" s="129" t="str">
        <f>IF(J3188&lt;G3188,"ON BOND",0)</f>
        <v>ON BOND</v>
      </c>
      <c r="BS3188" s="129" t="str">
        <f t="shared" si="2284"/>
        <v>DISPOSED</v>
      </c>
      <c r="BT3188" s="129" t="str">
        <f t="shared" si="2285"/>
        <v>N</v>
      </c>
      <c r="BU3188" s="109">
        <f t="shared" si="2286"/>
        <v>2.3460410557184751E-2</v>
      </c>
      <c r="BV3188" s="109">
        <f t="shared" si="2292"/>
        <v>0.13114754098360656</v>
      </c>
      <c r="BW3188" s="109">
        <f t="shared" si="2305"/>
        <v>0.10768713042642181</v>
      </c>
      <c r="BX3188" s="111">
        <f t="shared" si="2287"/>
        <v>0</v>
      </c>
      <c r="BY3188" s="129">
        <f t="shared" si="2293"/>
        <v>-8</v>
      </c>
      <c r="BZ3188" s="111">
        <f t="shared" si="2294"/>
        <v>0</v>
      </c>
      <c r="CA3188" s="138">
        <f t="shared" si="2295"/>
        <v>8</v>
      </c>
      <c r="CB3188" s="111">
        <v>8</v>
      </c>
      <c r="CD3188" s="129">
        <f>G3188-J3188</f>
        <v>53</v>
      </c>
      <c r="CG3188" s="129" t="str">
        <f t="shared" si="2296"/>
        <v>N</v>
      </c>
      <c r="CI3188" s="129" t="str">
        <f t="shared" si="2297"/>
        <v>0-10 DAYS</v>
      </c>
      <c r="CJ3188" s="137">
        <f t="shared" si="2298"/>
        <v>1</v>
      </c>
      <c r="CK3188" s="129" t="str">
        <f t="shared" si="2299"/>
        <v>Booked</v>
      </c>
    </row>
    <row r="3189" spans="1:89" ht="15.75" customHeight="1" x14ac:dyDescent="0.25">
      <c r="A3189" s="111">
        <v>3195</v>
      </c>
      <c r="B3189" s="128" t="str">
        <f t="shared" si="2288"/>
        <v>N</v>
      </c>
      <c r="C3189" s="128" t="str">
        <f t="shared" si="2289"/>
        <v>N</v>
      </c>
      <c r="D3189" s="117">
        <v>2616402</v>
      </c>
      <c r="E3189" s="135">
        <f t="shared" si="2290"/>
        <v>2</v>
      </c>
      <c r="F3189" s="124">
        <v>41026</v>
      </c>
      <c r="G3189" s="125">
        <v>41114</v>
      </c>
      <c r="H3189" s="117">
        <v>2616402</v>
      </c>
      <c r="I3189" s="124">
        <v>41027</v>
      </c>
      <c r="J3189" s="124">
        <v>41028</v>
      </c>
      <c r="K3189" s="126">
        <v>20000</v>
      </c>
      <c r="L3189" s="127" t="s">
        <v>571</v>
      </c>
      <c r="M3189" s="125">
        <v>41028</v>
      </c>
      <c r="N3189" s="129" t="str">
        <f t="shared" si="2309"/>
        <v>Y</v>
      </c>
      <c r="O3189" s="128" t="s">
        <v>76</v>
      </c>
      <c r="P3189" s="129" t="s">
        <v>589</v>
      </c>
      <c r="Q3189" s="111">
        <f t="shared" ref="Q3189:Q3200" si="2314">BF3189</f>
        <v>2</v>
      </c>
      <c r="R3189" s="111">
        <f t="shared" si="2273"/>
        <v>89</v>
      </c>
      <c r="S3189" s="129">
        <v>0</v>
      </c>
      <c r="T3189" s="129">
        <v>0</v>
      </c>
      <c r="W3189" s="111"/>
      <c r="AC3189" s="130"/>
      <c r="AD3189" s="130">
        <v>27134</v>
      </c>
      <c r="AE3189" s="128" t="s">
        <v>32</v>
      </c>
      <c r="AF3189" s="128" t="s">
        <v>69</v>
      </c>
      <c r="AG3189" s="128" t="s">
        <v>874</v>
      </c>
      <c r="AH3189" s="108" t="s">
        <v>31</v>
      </c>
      <c r="AI3189" s="128" t="s">
        <v>83</v>
      </c>
      <c r="AJ3189" s="129" t="s">
        <v>48</v>
      </c>
      <c r="AK3189" s="129">
        <v>4</v>
      </c>
      <c r="AL3189" s="3" t="s">
        <v>48</v>
      </c>
      <c r="AP3189" s="129" t="s">
        <v>93</v>
      </c>
      <c r="AR3189" s="128" t="s">
        <v>67</v>
      </c>
      <c r="AS3189" s="129" t="s">
        <v>45</v>
      </c>
      <c r="BC3189" s="129" t="s">
        <v>52</v>
      </c>
      <c r="BF3189" s="111">
        <f>IF(J3189&gt;1/1/1900,((J3189+1)-I3189),"STILL OPEN")</f>
        <v>2</v>
      </c>
      <c r="BG3189" s="111">
        <f t="shared" si="2307"/>
        <v>88</v>
      </c>
      <c r="BH3189" s="111">
        <f t="shared" si="2274"/>
        <v>89</v>
      </c>
      <c r="BI3189" s="111">
        <f t="shared" si="2279"/>
        <v>37.956284153005463</v>
      </c>
      <c r="BJ3189" s="129">
        <f t="shared" si="2313"/>
        <v>0</v>
      </c>
      <c r="BK3189" s="129">
        <f t="shared" si="2275"/>
        <v>-86</v>
      </c>
      <c r="BL3189" s="129" t="str">
        <f t="shared" si="2272"/>
        <v>DEFERRED</v>
      </c>
      <c r="BM3189" s="129" t="s">
        <v>76</v>
      </c>
      <c r="BN3189" s="129" t="s">
        <v>88</v>
      </c>
      <c r="BP3189" s="137" t="str">
        <f t="shared" si="2282"/>
        <v>DEFERRED</v>
      </c>
      <c r="BQ3189" s="128" t="str">
        <f t="shared" si="2291"/>
        <v>Y</v>
      </c>
      <c r="BR3189" s="129" t="str">
        <f t="shared" si="2283"/>
        <v>ON BOND</v>
      </c>
      <c r="BS3189" s="129" t="str">
        <f t="shared" si="2284"/>
        <v>DISPOSED</v>
      </c>
      <c r="BT3189" s="129" t="str">
        <f t="shared" si="2285"/>
        <v>N</v>
      </c>
      <c r="BU3189" s="109">
        <f t="shared" si="2286"/>
        <v>2.247191011235955E-2</v>
      </c>
      <c r="BV3189" s="109">
        <f t="shared" si="2292"/>
        <v>2.2727272727272728E-2</v>
      </c>
      <c r="BW3189" s="109">
        <f t="shared" si="2305"/>
        <v>2.5536261491317797E-4</v>
      </c>
      <c r="BX3189" s="111">
        <f t="shared" si="2287"/>
        <v>0</v>
      </c>
      <c r="BY3189" s="129">
        <f t="shared" si="2293"/>
        <v>-2</v>
      </c>
      <c r="BZ3189" s="111">
        <f t="shared" si="2294"/>
        <v>0</v>
      </c>
      <c r="CA3189" s="138">
        <f t="shared" si="2295"/>
        <v>2</v>
      </c>
      <c r="CB3189" s="111" t="e">
        <f>IF(AF3189&gt;1/1/1900,((AF3189+1)-AE3189),"STILL OPEN")</f>
        <v>#VALUE!</v>
      </c>
      <c r="CC3189" s="129">
        <f t="shared" ref="CC3189:CC3195" si="2315">M3189-I3189+1</f>
        <v>2</v>
      </c>
      <c r="CD3189" s="111">
        <f t="shared" ref="CD3189:CD3196" si="2316">CC3189-BF3189</f>
        <v>0</v>
      </c>
      <c r="CG3189" s="129" t="str">
        <f t="shared" si="2296"/>
        <v>N</v>
      </c>
      <c r="CI3189" s="129" t="str">
        <f t="shared" si="2297"/>
        <v>0-10 DAYS</v>
      </c>
      <c r="CJ3189" s="137">
        <f t="shared" si="2298"/>
        <v>1</v>
      </c>
      <c r="CK3189" s="129" t="str">
        <f t="shared" si="2299"/>
        <v>Booked</v>
      </c>
    </row>
    <row r="3190" spans="1:89" ht="15" customHeight="1" x14ac:dyDescent="0.25">
      <c r="A3190" s="111">
        <v>3196</v>
      </c>
      <c r="B3190" s="128" t="str">
        <f t="shared" si="2288"/>
        <v>N</v>
      </c>
      <c r="C3190" s="128" t="str">
        <f t="shared" si="2289"/>
        <v>N</v>
      </c>
      <c r="D3190" s="117">
        <v>2616403</v>
      </c>
      <c r="E3190" s="135">
        <f t="shared" si="2290"/>
        <v>1</v>
      </c>
      <c r="F3190" s="124">
        <v>41026</v>
      </c>
      <c r="G3190" s="125">
        <v>41151</v>
      </c>
      <c r="H3190" s="117">
        <v>2616403</v>
      </c>
      <c r="I3190" s="124" t="s">
        <v>562</v>
      </c>
      <c r="J3190" s="124" t="s">
        <v>562</v>
      </c>
      <c r="K3190" s="126">
        <v>2000</v>
      </c>
      <c r="L3190" s="127" t="s">
        <v>568</v>
      </c>
      <c r="M3190" s="125">
        <v>41027</v>
      </c>
      <c r="N3190" s="129" t="str">
        <f>IF(M3190&gt;1/1/1,"Y",IF(Q3190="0","","N"))</f>
        <v>Y</v>
      </c>
      <c r="O3190" s="128" t="s">
        <v>76</v>
      </c>
      <c r="P3190" s="129" t="s">
        <v>55</v>
      </c>
      <c r="Q3190" s="111">
        <f t="shared" si="2314"/>
        <v>0</v>
      </c>
      <c r="R3190" s="111">
        <f t="shared" si="2273"/>
        <v>126</v>
      </c>
      <c r="S3190" s="129">
        <v>0</v>
      </c>
      <c r="T3190" s="129">
        <v>0</v>
      </c>
      <c r="W3190" s="111"/>
      <c r="AB3190" s="131" t="s">
        <v>112</v>
      </c>
      <c r="AC3190" s="130"/>
      <c r="AD3190" s="130">
        <v>17050</v>
      </c>
      <c r="AE3190" s="128" t="s">
        <v>32</v>
      </c>
      <c r="AF3190" s="128" t="s">
        <v>40</v>
      </c>
      <c r="AG3190" s="128" t="s">
        <v>41</v>
      </c>
      <c r="AH3190" s="108" t="s">
        <v>31</v>
      </c>
      <c r="AI3190" s="128" t="s">
        <v>85</v>
      </c>
      <c r="AJ3190" s="129" t="s">
        <v>55</v>
      </c>
      <c r="AK3190" s="129">
        <v>5</v>
      </c>
      <c r="AL3190" s="3" t="s">
        <v>55</v>
      </c>
      <c r="AP3190" s="129" t="s">
        <v>108</v>
      </c>
      <c r="AR3190" s="128" t="s">
        <v>44</v>
      </c>
      <c r="AS3190" s="129" t="s">
        <v>61</v>
      </c>
      <c r="BC3190" s="129" t="s">
        <v>52</v>
      </c>
      <c r="BF3190" s="111">
        <v>0</v>
      </c>
      <c r="BG3190" s="111">
        <v>0</v>
      </c>
      <c r="BH3190" s="111">
        <f t="shared" si="2274"/>
        <v>126</v>
      </c>
      <c r="BI3190" s="111">
        <f t="shared" si="2279"/>
        <v>65.508196721311478</v>
      </c>
      <c r="BJ3190" s="129" t="e">
        <f t="shared" si="2313"/>
        <v>#VALUE!</v>
      </c>
      <c r="BK3190" s="129" t="e">
        <f t="shared" si="2275"/>
        <v>#VALUE!</v>
      </c>
      <c r="BL3190" s="129" t="str">
        <f t="shared" ref="BL3190:BL3206" si="2317">IF(OR(AL3190="AQUITTAL",AL3190="DISMISSED",AL3190="FINE",AL3190="NO BILL"),"NO CONVICTION",IF(OR(AL3190="HCJ",AL3190="MHH",AL3190="PROBATION",AL3190="STJ",AL3190="TDC"),"CONVICTION",IF(AL3190="DEFERRED","DEFERRED",0)))</f>
        <v>NO CONVICTION</v>
      </c>
      <c r="BM3190" s="129" t="s">
        <v>76</v>
      </c>
      <c r="BN3190" s="129" t="s">
        <v>88</v>
      </c>
      <c r="BP3190" s="137" t="str">
        <f t="shared" si="2282"/>
        <v>NO CONVICTION</v>
      </c>
      <c r="BQ3190" s="128">
        <f t="shared" si="2291"/>
        <v>0</v>
      </c>
      <c r="BR3190" s="129" t="s">
        <v>575</v>
      </c>
      <c r="BS3190" s="129" t="str">
        <f t="shared" si="2284"/>
        <v>DISPOSED</v>
      </c>
      <c r="BT3190" s="129" t="str">
        <f t="shared" si="2285"/>
        <v>N</v>
      </c>
      <c r="BU3190" s="109">
        <f>IFERROR(Q3190/R3190,BR3190)</f>
        <v>0</v>
      </c>
      <c r="BV3190" s="109">
        <v>0</v>
      </c>
      <c r="BW3190" s="109">
        <f t="shared" si="2305"/>
        <v>0</v>
      </c>
      <c r="BX3190" s="111">
        <f t="shared" si="2287"/>
        <v>0</v>
      </c>
      <c r="BY3190" s="129" t="e">
        <f t="shared" si="2293"/>
        <v>#VALUE!</v>
      </c>
      <c r="BZ3190" s="111" t="e">
        <f t="shared" si="2294"/>
        <v>#VALUE!</v>
      </c>
      <c r="CA3190" s="138" t="e">
        <f t="shared" si="2295"/>
        <v>#VALUE!</v>
      </c>
      <c r="CB3190" s="111">
        <v>0</v>
      </c>
      <c r="CC3190" s="129">
        <v>0</v>
      </c>
      <c r="CD3190" s="111">
        <f t="shared" si="2316"/>
        <v>0</v>
      </c>
      <c r="CG3190" s="129" t="str">
        <f t="shared" si="2296"/>
        <v>N</v>
      </c>
      <c r="CI3190" s="129" t="str">
        <f t="shared" si="2297"/>
        <v>0-10 DAYS</v>
      </c>
      <c r="CJ3190" s="137">
        <f t="shared" si="2298"/>
        <v>1</v>
      </c>
      <c r="CK3190" s="129" t="str">
        <f t="shared" si="2299"/>
        <v>Not Booked</v>
      </c>
    </row>
    <row r="3191" spans="1:89" ht="15.75" customHeight="1" x14ac:dyDescent="0.25">
      <c r="A3191" s="111">
        <v>3206</v>
      </c>
      <c r="B3191" s="128" t="str">
        <f t="shared" si="2288"/>
        <v>N</v>
      </c>
      <c r="C3191" s="128" t="str">
        <f t="shared" si="2289"/>
        <v>N</v>
      </c>
      <c r="D3191" s="117">
        <v>2616433</v>
      </c>
      <c r="E3191" s="135">
        <f t="shared" si="2290"/>
        <v>1</v>
      </c>
      <c r="F3191" s="124">
        <v>41027</v>
      </c>
      <c r="G3191" s="125">
        <v>41164</v>
      </c>
      <c r="H3191" s="117">
        <v>2616433</v>
      </c>
      <c r="I3191" s="124">
        <v>41027</v>
      </c>
      <c r="J3191" s="124">
        <v>41028</v>
      </c>
      <c r="K3191" s="126">
        <v>30000</v>
      </c>
      <c r="L3191" s="129" t="s">
        <v>572</v>
      </c>
      <c r="M3191" s="125">
        <v>41028</v>
      </c>
      <c r="N3191" s="129" t="str">
        <f>IF(M3191&gt;1/1/1,"Y","N")</f>
        <v>Y</v>
      </c>
      <c r="O3191" s="128" t="s">
        <v>76</v>
      </c>
      <c r="P3191" s="129" t="s">
        <v>55</v>
      </c>
      <c r="Q3191" s="111">
        <f t="shared" si="2314"/>
        <v>2</v>
      </c>
      <c r="R3191" s="111">
        <f t="shared" si="2273"/>
        <v>138</v>
      </c>
      <c r="S3191" s="129">
        <v>0</v>
      </c>
      <c r="T3191" s="129">
        <v>0</v>
      </c>
      <c r="W3191" s="111"/>
      <c r="AC3191" s="130"/>
      <c r="AD3191" s="130">
        <v>33008</v>
      </c>
      <c r="AE3191" s="128" t="s">
        <v>32</v>
      </c>
      <c r="AF3191" s="128" t="s">
        <v>33</v>
      </c>
      <c r="AG3191" s="128" t="s">
        <v>872</v>
      </c>
      <c r="AH3191" s="108" t="s">
        <v>31</v>
      </c>
      <c r="AI3191" s="128" t="s">
        <v>141</v>
      </c>
      <c r="AJ3191" s="129" t="s">
        <v>55</v>
      </c>
      <c r="AK3191" s="129">
        <v>5</v>
      </c>
      <c r="AL3191" s="3" t="s">
        <v>55</v>
      </c>
      <c r="AP3191" s="129" t="s">
        <v>110</v>
      </c>
      <c r="AR3191" s="128" t="s">
        <v>50</v>
      </c>
      <c r="AS3191" s="129" t="s">
        <v>74</v>
      </c>
      <c r="BC3191" s="129" t="s">
        <v>52</v>
      </c>
      <c r="BF3191" s="111">
        <f>IF(J3191&gt;1/1/1900,((J3191+1)-I3191),"STILL OPEN")</f>
        <v>2</v>
      </c>
      <c r="BG3191" s="111">
        <f>IF(G3191&gt;1/1/1900,((G3191+1)-I3191),"STILL OPEN")</f>
        <v>138</v>
      </c>
      <c r="BH3191" s="111">
        <f t="shared" si="2274"/>
        <v>138</v>
      </c>
      <c r="BI3191" s="111">
        <f t="shared" si="2279"/>
        <v>21.909836065573771</v>
      </c>
      <c r="BJ3191" s="129">
        <f t="shared" si="2313"/>
        <v>0</v>
      </c>
      <c r="BK3191" s="129">
        <f t="shared" si="2275"/>
        <v>-136</v>
      </c>
      <c r="BL3191" s="129" t="str">
        <f t="shared" si="2317"/>
        <v>NO CONVICTION</v>
      </c>
      <c r="BM3191" s="129" t="s">
        <v>76</v>
      </c>
      <c r="BN3191" s="129" t="s">
        <v>88</v>
      </c>
      <c r="BP3191" s="137" t="str">
        <f t="shared" si="2282"/>
        <v>NO CONVICTION</v>
      </c>
      <c r="BQ3191" s="128" t="str">
        <f t="shared" si="2291"/>
        <v>Y</v>
      </c>
      <c r="BR3191" s="129" t="str">
        <f t="shared" si="2283"/>
        <v>ON BOND</v>
      </c>
      <c r="BS3191" s="129" t="str">
        <f t="shared" si="2284"/>
        <v>DISPOSED</v>
      </c>
      <c r="BT3191" s="129" t="str">
        <f t="shared" si="2285"/>
        <v>N</v>
      </c>
      <c r="BU3191" s="109">
        <f>IFERROR(Q3191/R3191,BR3191)</f>
        <v>1.4492753623188406E-2</v>
      </c>
      <c r="BV3191" s="109">
        <f t="shared" si="2292"/>
        <v>1.4492753623188406E-2</v>
      </c>
      <c r="BW3191" s="109">
        <f t="shared" si="2305"/>
        <v>0</v>
      </c>
      <c r="BX3191" s="111">
        <f t="shared" si="2287"/>
        <v>0</v>
      </c>
      <c r="BY3191" s="129">
        <f t="shared" si="2293"/>
        <v>-2</v>
      </c>
      <c r="BZ3191" s="111">
        <f t="shared" si="2294"/>
        <v>0</v>
      </c>
      <c r="CA3191" s="138">
        <f t="shared" si="2295"/>
        <v>2</v>
      </c>
      <c r="CB3191" s="111" t="e">
        <f>IF(AF3191&gt;1/1/1900,((AF3191+1)-AE3191),"STILL OPEN")</f>
        <v>#VALUE!</v>
      </c>
      <c r="CC3191" s="129">
        <f t="shared" si="2315"/>
        <v>2</v>
      </c>
      <c r="CD3191" s="111">
        <f t="shared" si="2316"/>
        <v>0</v>
      </c>
      <c r="CG3191" s="129" t="str">
        <f t="shared" si="2296"/>
        <v>N</v>
      </c>
      <c r="CI3191" s="129" t="str">
        <f t="shared" si="2297"/>
        <v>0-10 DAYS</v>
      </c>
      <c r="CJ3191" s="137">
        <f t="shared" si="2298"/>
        <v>1</v>
      </c>
      <c r="CK3191" s="129" t="str">
        <f t="shared" si="2299"/>
        <v>Booked</v>
      </c>
    </row>
    <row r="3192" spans="1:89" ht="15.75" customHeight="1" x14ac:dyDescent="0.25">
      <c r="A3192" s="111">
        <v>3208</v>
      </c>
      <c r="B3192" s="128" t="str">
        <f t="shared" si="2288"/>
        <v>N</v>
      </c>
      <c r="C3192" s="128" t="str">
        <f t="shared" si="2289"/>
        <v>N</v>
      </c>
      <c r="D3192" s="117">
        <v>2616444</v>
      </c>
      <c r="E3192" s="135">
        <f t="shared" si="2290"/>
        <v>1</v>
      </c>
      <c r="F3192" s="124">
        <v>41027</v>
      </c>
      <c r="G3192" s="125">
        <v>41060</v>
      </c>
      <c r="H3192" s="117">
        <v>2616444</v>
      </c>
      <c r="I3192" s="124">
        <v>41027</v>
      </c>
      <c r="J3192" s="124">
        <v>41034</v>
      </c>
      <c r="K3192" s="126">
        <v>20000</v>
      </c>
      <c r="L3192" s="127" t="s">
        <v>571</v>
      </c>
      <c r="M3192" s="125">
        <v>41034</v>
      </c>
      <c r="N3192" s="129" t="str">
        <f>IF(M3192&gt;1/1/1,"Y","N")</f>
        <v>Y</v>
      </c>
      <c r="O3192" s="128" t="s">
        <v>76</v>
      </c>
      <c r="P3192" s="129" t="s">
        <v>55</v>
      </c>
      <c r="Q3192" s="111">
        <f t="shared" si="2314"/>
        <v>8</v>
      </c>
      <c r="R3192" s="111">
        <f t="shared" si="2273"/>
        <v>34</v>
      </c>
      <c r="S3192" s="129">
        <v>0</v>
      </c>
      <c r="T3192" s="129">
        <v>0</v>
      </c>
      <c r="W3192" s="111"/>
      <c r="AC3192" s="130"/>
      <c r="AD3192" s="130">
        <v>27474</v>
      </c>
      <c r="AE3192" s="128" t="s">
        <v>46</v>
      </c>
      <c r="AF3192" s="128" t="s">
        <v>69</v>
      </c>
      <c r="AG3192" s="128" t="s">
        <v>874</v>
      </c>
      <c r="AH3192" s="108" t="s">
        <v>31</v>
      </c>
      <c r="AI3192" s="128" t="s">
        <v>59</v>
      </c>
      <c r="AJ3192" s="129" t="s">
        <v>55</v>
      </c>
      <c r="AK3192" s="129">
        <v>2</v>
      </c>
      <c r="AL3192" s="3" t="s">
        <v>55</v>
      </c>
      <c r="AP3192" s="129" t="s">
        <v>96</v>
      </c>
      <c r="AR3192" s="128" t="s">
        <v>67</v>
      </c>
      <c r="AS3192" s="129" t="s">
        <v>64</v>
      </c>
      <c r="AX3192" s="32"/>
      <c r="BC3192" s="129" t="s">
        <v>99</v>
      </c>
      <c r="BF3192" s="111">
        <f>IF(J3192&gt;1/1/1900,((J3192+1)-I3192),"STILL OPEN")</f>
        <v>8</v>
      </c>
      <c r="BG3192" s="111">
        <f>IF(G3192&gt;1/1/1900,((G3192+1)-I3192),"STILL OPEN")</f>
        <v>34</v>
      </c>
      <c r="BH3192" s="111">
        <f t="shared" si="2274"/>
        <v>34</v>
      </c>
      <c r="BI3192" s="111">
        <f t="shared" si="2279"/>
        <v>37.030054644808743</v>
      </c>
      <c r="BJ3192" s="129">
        <f t="shared" si="2313"/>
        <v>0</v>
      </c>
      <c r="BK3192" s="129">
        <f t="shared" si="2275"/>
        <v>-26</v>
      </c>
      <c r="BL3192" s="129" t="str">
        <f t="shared" si="2317"/>
        <v>NO CONVICTION</v>
      </c>
      <c r="BM3192" s="129" t="s">
        <v>76</v>
      </c>
      <c r="BN3192" s="129" t="s">
        <v>88</v>
      </c>
      <c r="BP3192" s="137" t="str">
        <f t="shared" si="2282"/>
        <v>NO CONVICTION</v>
      </c>
      <c r="BQ3192" s="128" t="str">
        <f t="shared" si="2291"/>
        <v>Y</v>
      </c>
      <c r="BR3192" s="129" t="str">
        <f t="shared" si="2283"/>
        <v>ON BOND</v>
      </c>
      <c r="BS3192" s="129" t="str">
        <f t="shared" si="2284"/>
        <v>DISPOSED</v>
      </c>
      <c r="BT3192" s="129" t="str">
        <f t="shared" si="2285"/>
        <v>N</v>
      </c>
      <c r="BU3192" s="109">
        <f>IFERROR(Q3192/R3192,BR3192)</f>
        <v>0.23529411764705882</v>
      </c>
      <c r="BV3192" s="109">
        <f t="shared" si="2292"/>
        <v>0.23529411764705882</v>
      </c>
      <c r="BW3192" s="109">
        <f t="shared" si="2305"/>
        <v>0</v>
      </c>
      <c r="BX3192" s="111">
        <f t="shared" si="2287"/>
        <v>0</v>
      </c>
      <c r="BY3192" s="129">
        <f t="shared" si="2293"/>
        <v>-8</v>
      </c>
      <c r="BZ3192" s="111">
        <f t="shared" si="2294"/>
        <v>0</v>
      </c>
      <c r="CA3192" s="138">
        <f t="shared" si="2295"/>
        <v>8</v>
      </c>
      <c r="CB3192" s="111" t="e">
        <f>IF(AF3192&gt;1/1/1900,((AF3192+1)-AE3192),"STILL OPEN")</f>
        <v>#VALUE!</v>
      </c>
      <c r="CC3192" s="129">
        <f t="shared" si="2315"/>
        <v>8</v>
      </c>
      <c r="CD3192" s="111">
        <f t="shared" si="2316"/>
        <v>0</v>
      </c>
      <c r="CG3192" s="129" t="str">
        <f t="shared" si="2296"/>
        <v>N</v>
      </c>
      <c r="CI3192" s="129" t="str">
        <f t="shared" si="2297"/>
        <v>0-10 DAYS</v>
      </c>
      <c r="CJ3192" s="137">
        <f t="shared" si="2298"/>
        <v>1</v>
      </c>
      <c r="CK3192" s="129" t="str">
        <f t="shared" si="2299"/>
        <v>Booked</v>
      </c>
    </row>
    <row r="3193" spans="1:89" ht="15.75" customHeight="1" x14ac:dyDescent="0.25">
      <c r="A3193" s="111">
        <v>3217</v>
      </c>
      <c r="B3193" s="128" t="str">
        <f t="shared" si="2288"/>
        <v>N</v>
      </c>
      <c r="C3193" s="128" t="str">
        <f t="shared" si="2289"/>
        <v>N</v>
      </c>
      <c r="D3193" s="117">
        <v>2616517</v>
      </c>
      <c r="E3193" s="135">
        <f t="shared" si="2290"/>
        <v>2</v>
      </c>
      <c r="F3193" s="124">
        <v>41027</v>
      </c>
      <c r="G3193" s="125">
        <v>41365</v>
      </c>
      <c r="H3193" s="117">
        <v>2616517</v>
      </c>
      <c r="I3193" s="124">
        <v>41027</v>
      </c>
      <c r="J3193" s="124">
        <v>41028</v>
      </c>
      <c r="K3193" s="126">
        <v>35000</v>
      </c>
      <c r="L3193" s="129" t="s">
        <v>572</v>
      </c>
      <c r="M3193" s="125">
        <v>41028</v>
      </c>
      <c r="N3193" s="129" t="str">
        <f>IF(M3193&gt;1/1/1,"Y","N")</f>
        <v>Y</v>
      </c>
      <c r="O3193" s="128" t="s">
        <v>76</v>
      </c>
      <c r="P3193" s="129" t="s">
        <v>589</v>
      </c>
      <c r="Q3193" s="111">
        <f t="shared" si="2314"/>
        <v>2</v>
      </c>
      <c r="R3193" s="111">
        <f t="shared" si="2273"/>
        <v>339</v>
      </c>
      <c r="S3193" s="129">
        <v>0</v>
      </c>
      <c r="T3193" s="129">
        <v>0</v>
      </c>
      <c r="W3193" s="111"/>
      <c r="AC3193" s="130"/>
      <c r="AD3193" s="130">
        <v>34020</v>
      </c>
      <c r="AE3193" s="128" t="s">
        <v>46</v>
      </c>
      <c r="AF3193" s="128" t="s">
        <v>69</v>
      </c>
      <c r="AG3193" s="128" t="s">
        <v>874</v>
      </c>
      <c r="AH3193" s="108" t="s">
        <v>31</v>
      </c>
      <c r="AI3193" s="128" t="s">
        <v>34</v>
      </c>
      <c r="AJ3193" s="129" t="s">
        <v>48</v>
      </c>
      <c r="AK3193" s="129">
        <v>14</v>
      </c>
      <c r="AL3193" s="3" t="s">
        <v>48</v>
      </c>
      <c r="AP3193" s="129" t="s">
        <v>43</v>
      </c>
      <c r="AR3193" s="128" t="s">
        <v>44</v>
      </c>
      <c r="AS3193" s="129" t="s">
        <v>45</v>
      </c>
      <c r="BC3193" s="129" t="s">
        <v>52</v>
      </c>
      <c r="BF3193" s="111">
        <f>IF(J3193&gt;1/1/1900,((J3193+1)-I3193),"STILL OPEN")</f>
        <v>2</v>
      </c>
      <c r="BG3193" s="111">
        <f>IF(G3193&gt;1/1/1900,((G3193+1)-I3193),"STILL OPEN")</f>
        <v>339</v>
      </c>
      <c r="BH3193" s="111">
        <f t="shared" si="2274"/>
        <v>339</v>
      </c>
      <c r="BI3193" s="111">
        <f t="shared" si="2279"/>
        <v>19.144808743169399</v>
      </c>
      <c r="BJ3193" s="129">
        <f t="shared" si="2313"/>
        <v>0</v>
      </c>
      <c r="BK3193" s="129">
        <f t="shared" si="2275"/>
        <v>-337</v>
      </c>
      <c r="BL3193" s="129" t="str">
        <f t="shared" si="2317"/>
        <v>DEFERRED</v>
      </c>
      <c r="BM3193" s="129" t="s">
        <v>76</v>
      </c>
      <c r="BN3193" s="129" t="s">
        <v>88</v>
      </c>
      <c r="BP3193" s="137" t="str">
        <f t="shared" si="2282"/>
        <v>DEFERRED</v>
      </c>
      <c r="BQ3193" s="128" t="str">
        <f t="shared" si="2291"/>
        <v>Y</v>
      </c>
      <c r="BR3193" s="129" t="str">
        <f t="shared" si="2283"/>
        <v>ON BOND</v>
      </c>
      <c r="BS3193" s="129" t="str">
        <f t="shared" si="2284"/>
        <v>DISPOSED</v>
      </c>
      <c r="BT3193" s="129" t="str">
        <f t="shared" si="2285"/>
        <v>N</v>
      </c>
      <c r="BU3193" s="109">
        <f t="shared" si="2286"/>
        <v>5.8997050147492625E-3</v>
      </c>
      <c r="BV3193" s="109">
        <f t="shared" si="2292"/>
        <v>5.8997050147492625E-3</v>
      </c>
      <c r="BW3193" s="109">
        <f t="shared" si="2305"/>
        <v>0</v>
      </c>
      <c r="BX3193" s="111">
        <f t="shared" si="2287"/>
        <v>0</v>
      </c>
      <c r="BY3193" s="129">
        <f t="shared" si="2293"/>
        <v>-2</v>
      </c>
      <c r="BZ3193" s="111">
        <f t="shared" si="2294"/>
        <v>0</v>
      </c>
      <c r="CA3193" s="138">
        <f t="shared" si="2295"/>
        <v>2</v>
      </c>
      <c r="CB3193" s="111" t="e">
        <f>IF(AF3193&gt;1/1/1900,((AF3193+1)-AE3193),"STILL OPEN")</f>
        <v>#VALUE!</v>
      </c>
      <c r="CC3193" s="129">
        <f t="shared" si="2315"/>
        <v>2</v>
      </c>
      <c r="CD3193" s="111">
        <f t="shared" si="2316"/>
        <v>0</v>
      </c>
      <c r="CG3193" s="129" t="str">
        <f t="shared" si="2296"/>
        <v>N</v>
      </c>
      <c r="CI3193" s="129" t="str">
        <f t="shared" si="2297"/>
        <v>0-10 DAYS</v>
      </c>
      <c r="CJ3193" s="137">
        <f t="shared" si="2298"/>
        <v>1</v>
      </c>
      <c r="CK3193" s="129" t="str">
        <f t="shared" si="2299"/>
        <v>Booked</v>
      </c>
    </row>
    <row r="3194" spans="1:89" ht="15.75" customHeight="1" x14ac:dyDescent="0.25">
      <c r="A3194" s="111">
        <v>3220</v>
      </c>
      <c r="B3194" s="128" t="str">
        <f t="shared" si="2288"/>
        <v>N</v>
      </c>
      <c r="C3194" s="128" t="str">
        <f t="shared" si="2289"/>
        <v>N</v>
      </c>
      <c r="D3194" s="117">
        <v>2616529</v>
      </c>
      <c r="E3194" s="135">
        <f t="shared" si="2290"/>
        <v>2</v>
      </c>
      <c r="F3194" s="124">
        <v>41027</v>
      </c>
      <c r="G3194" s="125">
        <v>41557</v>
      </c>
      <c r="H3194" s="117">
        <v>2616529</v>
      </c>
      <c r="I3194" s="124">
        <v>41027</v>
      </c>
      <c r="J3194" s="124">
        <v>41029</v>
      </c>
      <c r="K3194" s="126">
        <v>15000</v>
      </c>
      <c r="L3194" s="127" t="s">
        <v>571</v>
      </c>
      <c r="M3194" s="125">
        <v>41029</v>
      </c>
      <c r="N3194" s="129" t="str">
        <f>IF(M3194&gt;1/1/1,"Y","N")</f>
        <v>Y</v>
      </c>
      <c r="O3194" s="128" t="s">
        <v>76</v>
      </c>
      <c r="P3194" s="129" t="s">
        <v>589</v>
      </c>
      <c r="Q3194" s="111">
        <f t="shared" si="2314"/>
        <v>3</v>
      </c>
      <c r="R3194" s="111">
        <f t="shared" si="2273"/>
        <v>531</v>
      </c>
      <c r="S3194" s="129">
        <v>0</v>
      </c>
      <c r="T3194" s="129">
        <v>0</v>
      </c>
      <c r="W3194" s="111"/>
      <c r="AC3194" s="130"/>
      <c r="AD3194" s="130">
        <v>32904</v>
      </c>
      <c r="AE3194" s="128" t="s">
        <v>32</v>
      </c>
      <c r="AF3194" s="128" t="s">
        <v>69</v>
      </c>
      <c r="AG3194" s="128" t="s">
        <v>874</v>
      </c>
      <c r="AH3194" s="108" t="s">
        <v>31</v>
      </c>
      <c r="AI3194" s="128" t="s">
        <v>80</v>
      </c>
      <c r="AJ3194" s="129" t="s">
        <v>48</v>
      </c>
      <c r="AK3194" s="129">
        <v>11</v>
      </c>
      <c r="AL3194" s="3" t="s">
        <v>48</v>
      </c>
      <c r="AP3194" s="129" t="s">
        <v>124</v>
      </c>
      <c r="AR3194" s="128" t="s">
        <v>67</v>
      </c>
      <c r="AS3194" s="129" t="s">
        <v>45</v>
      </c>
      <c r="BC3194" s="129" t="s">
        <v>52</v>
      </c>
      <c r="BF3194" s="111">
        <f>IF(J3194&gt;1/1/1900,((J3194+1)-I3194),"STILL OPEN")</f>
        <v>3</v>
      </c>
      <c r="BG3194" s="111">
        <f>IF(G3194&gt;1/1/1900,((G3194+1)-I3194),"STILL OPEN")</f>
        <v>531</v>
      </c>
      <c r="BH3194" s="111">
        <f t="shared" si="2274"/>
        <v>531</v>
      </c>
      <c r="BI3194" s="111">
        <f t="shared" si="2279"/>
        <v>22.193989071038253</v>
      </c>
      <c r="BJ3194" s="129">
        <f t="shared" si="2313"/>
        <v>0</v>
      </c>
      <c r="BK3194" s="129">
        <f t="shared" si="2275"/>
        <v>-528</v>
      </c>
      <c r="BL3194" s="129" t="str">
        <f t="shared" si="2317"/>
        <v>DEFERRED</v>
      </c>
      <c r="BM3194" s="129" t="s">
        <v>76</v>
      </c>
      <c r="BN3194" s="129" t="s">
        <v>88</v>
      </c>
      <c r="BP3194" s="137" t="str">
        <f t="shared" si="2282"/>
        <v>DEFERRED</v>
      </c>
      <c r="BQ3194" s="128" t="str">
        <f t="shared" si="2291"/>
        <v>Y</v>
      </c>
      <c r="BR3194" s="129" t="str">
        <f t="shared" si="2283"/>
        <v>ON BOND</v>
      </c>
      <c r="BS3194" s="129" t="str">
        <f t="shared" si="2284"/>
        <v>DISPOSED</v>
      </c>
      <c r="BT3194" s="129" t="str">
        <f t="shared" si="2285"/>
        <v>N</v>
      </c>
      <c r="BU3194" s="109">
        <f t="shared" si="2286"/>
        <v>5.6497175141242938E-3</v>
      </c>
      <c r="BV3194" s="109">
        <f t="shared" si="2292"/>
        <v>5.6497175141242938E-3</v>
      </c>
      <c r="BW3194" s="109">
        <f t="shared" si="2305"/>
        <v>0</v>
      </c>
      <c r="BX3194" s="111">
        <f t="shared" si="2287"/>
        <v>0</v>
      </c>
      <c r="BY3194" s="129">
        <f t="shared" si="2293"/>
        <v>-3</v>
      </c>
      <c r="BZ3194" s="111">
        <f t="shared" si="2294"/>
        <v>0</v>
      </c>
      <c r="CA3194" s="138">
        <f t="shared" si="2295"/>
        <v>3</v>
      </c>
      <c r="CB3194" s="111" t="e">
        <f>IF(AF3194&gt;1/1/1900,((AF3194+1)-AE3194),"STILL OPEN")</f>
        <v>#VALUE!</v>
      </c>
      <c r="CC3194" s="129">
        <f t="shared" si="2315"/>
        <v>3</v>
      </c>
      <c r="CD3194" s="111">
        <f t="shared" si="2316"/>
        <v>0</v>
      </c>
      <c r="CG3194" s="129" t="str">
        <f t="shared" si="2296"/>
        <v>N</v>
      </c>
      <c r="CI3194" s="129" t="str">
        <f t="shared" si="2297"/>
        <v>0-10 DAYS</v>
      </c>
      <c r="CJ3194" s="137">
        <f t="shared" si="2298"/>
        <v>1</v>
      </c>
      <c r="CK3194" s="129" t="str">
        <f t="shared" si="2299"/>
        <v>Booked</v>
      </c>
    </row>
    <row r="3195" spans="1:89" ht="15.75" customHeight="1" x14ac:dyDescent="0.25">
      <c r="A3195" s="111">
        <v>3221</v>
      </c>
      <c r="B3195" s="128" t="str">
        <f t="shared" si="2288"/>
        <v>N</v>
      </c>
      <c r="C3195" s="128" t="str">
        <f t="shared" si="2289"/>
        <v>N</v>
      </c>
      <c r="D3195" s="117">
        <v>2616530</v>
      </c>
      <c r="E3195" s="135">
        <f t="shared" si="2290"/>
        <v>1</v>
      </c>
      <c r="F3195" s="124">
        <v>41027</v>
      </c>
      <c r="G3195" s="125">
        <v>41229</v>
      </c>
      <c r="H3195" s="117">
        <v>2616530</v>
      </c>
      <c r="I3195" s="124">
        <v>41027</v>
      </c>
      <c r="J3195" s="124">
        <v>41029</v>
      </c>
      <c r="K3195" s="126">
        <v>15000</v>
      </c>
      <c r="L3195" s="127" t="s">
        <v>571</v>
      </c>
      <c r="M3195" s="125">
        <v>41029</v>
      </c>
      <c r="N3195" s="129" t="str">
        <f>IF(M3195&gt;1/1/1,"Y","N")</f>
        <v>Y</v>
      </c>
      <c r="O3195" s="128" t="s">
        <v>76</v>
      </c>
      <c r="P3195" s="129" t="s">
        <v>55</v>
      </c>
      <c r="Q3195" s="111">
        <f t="shared" si="2314"/>
        <v>3</v>
      </c>
      <c r="R3195" s="111">
        <f t="shared" si="2273"/>
        <v>203</v>
      </c>
      <c r="S3195" s="129">
        <v>0</v>
      </c>
      <c r="T3195" s="129">
        <v>0</v>
      </c>
      <c r="W3195" s="111"/>
      <c r="AC3195" s="130"/>
      <c r="AD3195" s="130">
        <v>34395</v>
      </c>
      <c r="AE3195" s="128" t="s">
        <v>46</v>
      </c>
      <c r="AF3195" s="128" t="s">
        <v>69</v>
      </c>
      <c r="AG3195" s="128" t="s">
        <v>874</v>
      </c>
      <c r="AH3195" s="108" t="s">
        <v>31</v>
      </c>
      <c r="AI3195" s="128" t="s">
        <v>80</v>
      </c>
      <c r="AJ3195" s="129" t="s">
        <v>55</v>
      </c>
      <c r="AK3195" s="129">
        <v>7</v>
      </c>
      <c r="AL3195" s="3" t="s">
        <v>55</v>
      </c>
      <c r="AP3195" s="129" t="s">
        <v>176</v>
      </c>
      <c r="AR3195" s="128" t="s">
        <v>50</v>
      </c>
      <c r="AS3195" s="129" t="s">
        <v>45</v>
      </c>
      <c r="BC3195" s="129" t="s">
        <v>52</v>
      </c>
      <c r="BF3195" s="111">
        <f>IF(J3195&gt;1/1/1900,((J3195+1)-I3195),"STILL OPEN")</f>
        <v>3</v>
      </c>
      <c r="BG3195" s="111">
        <f>IF(G3195&gt;1/1/1900,((G3195+1)-I3195),"STILL OPEN")</f>
        <v>203</v>
      </c>
      <c r="BH3195" s="111">
        <f t="shared" si="2274"/>
        <v>203</v>
      </c>
      <c r="BI3195" s="111">
        <f t="shared" si="2279"/>
        <v>18.120218579234972</v>
      </c>
      <c r="BJ3195" s="129">
        <f t="shared" si="2313"/>
        <v>0</v>
      </c>
      <c r="BK3195" s="129">
        <f t="shared" si="2275"/>
        <v>-200</v>
      </c>
      <c r="BL3195" s="129" t="str">
        <f t="shared" si="2317"/>
        <v>NO CONVICTION</v>
      </c>
      <c r="BM3195" s="129" t="s">
        <v>76</v>
      </c>
      <c r="BN3195" s="129" t="s">
        <v>88</v>
      </c>
      <c r="BP3195" s="137" t="str">
        <f t="shared" si="2282"/>
        <v>NO CONVICTION</v>
      </c>
      <c r="BQ3195" s="128" t="str">
        <f t="shared" si="2291"/>
        <v>Y</v>
      </c>
      <c r="BR3195" s="129" t="str">
        <f t="shared" si="2283"/>
        <v>ON BOND</v>
      </c>
      <c r="BS3195" s="129" t="str">
        <f t="shared" si="2284"/>
        <v>DISPOSED</v>
      </c>
      <c r="BT3195" s="129" t="str">
        <f t="shared" si="2285"/>
        <v>N</v>
      </c>
      <c r="BU3195" s="109">
        <f>IFERROR(Q3195/R3195,BR3195)</f>
        <v>1.4778325123152709E-2</v>
      </c>
      <c r="BV3195" s="109">
        <f t="shared" si="2292"/>
        <v>1.4778325123152709E-2</v>
      </c>
      <c r="BW3195" s="109">
        <f t="shared" si="2305"/>
        <v>0</v>
      </c>
      <c r="BX3195" s="111">
        <f t="shared" si="2287"/>
        <v>0</v>
      </c>
      <c r="BY3195" s="129">
        <f t="shared" si="2293"/>
        <v>-3</v>
      </c>
      <c r="BZ3195" s="111">
        <f t="shared" si="2294"/>
        <v>0</v>
      </c>
      <c r="CA3195" s="138">
        <f t="shared" si="2295"/>
        <v>3</v>
      </c>
      <c r="CB3195" s="111" t="e">
        <f>IF(AF3195&gt;1/1/1900,((AF3195+1)-AE3195),"STILL OPEN")</f>
        <v>#VALUE!</v>
      </c>
      <c r="CC3195" s="129">
        <f t="shared" si="2315"/>
        <v>3</v>
      </c>
      <c r="CD3195" s="111">
        <f t="shared" si="2316"/>
        <v>0</v>
      </c>
      <c r="CG3195" s="129" t="str">
        <f t="shared" si="2296"/>
        <v>N</v>
      </c>
      <c r="CI3195" s="129" t="str">
        <f t="shared" si="2297"/>
        <v>0-10 DAYS</v>
      </c>
      <c r="CJ3195" s="137">
        <f t="shared" si="2298"/>
        <v>1</v>
      </c>
      <c r="CK3195" s="129" t="str">
        <f t="shared" si="2299"/>
        <v>Booked</v>
      </c>
    </row>
    <row r="3196" spans="1:89" ht="15" customHeight="1" x14ac:dyDescent="0.25">
      <c r="A3196" s="111">
        <v>3227</v>
      </c>
      <c r="B3196" s="128" t="str">
        <f t="shared" si="2288"/>
        <v>N</v>
      </c>
      <c r="C3196" s="128" t="str">
        <f t="shared" si="2289"/>
        <v>N</v>
      </c>
      <c r="D3196" s="117">
        <v>2616601</v>
      </c>
      <c r="E3196" s="135">
        <f t="shared" si="2290"/>
        <v>2</v>
      </c>
      <c r="F3196" s="124">
        <v>41028</v>
      </c>
      <c r="G3196" s="125">
        <v>41191</v>
      </c>
      <c r="H3196" s="117">
        <v>2616601</v>
      </c>
      <c r="I3196" s="124" t="s">
        <v>562</v>
      </c>
      <c r="J3196" s="124" t="s">
        <v>562</v>
      </c>
      <c r="K3196" s="126">
        <v>2000</v>
      </c>
      <c r="L3196" s="127" t="s">
        <v>568</v>
      </c>
      <c r="M3196" s="125">
        <v>41028</v>
      </c>
      <c r="N3196" s="129" t="str">
        <f>IF(M3196&gt;1/1/1,"Y",IF(Q3196="0","","N"))</f>
        <v>Y</v>
      </c>
      <c r="O3196" s="128" t="s">
        <v>585</v>
      </c>
      <c r="P3196" s="129" t="s">
        <v>589</v>
      </c>
      <c r="Q3196" s="111">
        <f t="shared" si="2314"/>
        <v>0</v>
      </c>
      <c r="R3196" s="111">
        <f t="shared" ref="R3196:R3206" si="2318">BH3196</f>
        <v>164</v>
      </c>
      <c r="S3196" s="129">
        <v>0</v>
      </c>
      <c r="T3196" s="129">
        <v>0</v>
      </c>
      <c r="W3196" s="111"/>
      <c r="AC3196" s="130"/>
      <c r="AD3196" s="130">
        <v>31956</v>
      </c>
      <c r="AE3196" s="128" t="s">
        <v>32</v>
      </c>
      <c r="AF3196" s="128" t="s">
        <v>69</v>
      </c>
      <c r="AG3196" s="128" t="s">
        <v>874</v>
      </c>
      <c r="AH3196" s="108" t="s">
        <v>31</v>
      </c>
      <c r="AI3196" s="128" t="s">
        <v>90</v>
      </c>
      <c r="AJ3196" s="129" t="s">
        <v>48</v>
      </c>
      <c r="AK3196" s="129">
        <v>9</v>
      </c>
      <c r="AL3196" s="3" t="s">
        <v>48</v>
      </c>
      <c r="AP3196" s="129" t="s">
        <v>175</v>
      </c>
      <c r="AR3196" s="128" t="s">
        <v>44</v>
      </c>
      <c r="AS3196" s="129" t="s">
        <v>45</v>
      </c>
      <c r="AY3196" s="123"/>
      <c r="BC3196" s="129" t="s">
        <v>52</v>
      </c>
      <c r="BF3196" s="111">
        <v>0</v>
      </c>
      <c r="BG3196" s="111">
        <v>0</v>
      </c>
      <c r="BH3196" s="111">
        <f t="shared" ref="BH3196:BH3206" si="2319">IF(G3196&gt;1/1/1900,((G3196+1)-F3196),"STILL OPEN")</f>
        <v>164</v>
      </c>
      <c r="BI3196" s="111">
        <f t="shared" si="2279"/>
        <v>24.78688524590164</v>
      </c>
      <c r="BJ3196" s="129" t="e">
        <f t="shared" si="2313"/>
        <v>#VALUE!</v>
      </c>
      <c r="BK3196" s="129" t="e">
        <f t="shared" ref="BK3196:BK3206" si="2320">J3196-G3196</f>
        <v>#VALUE!</v>
      </c>
      <c r="BL3196" s="129" t="str">
        <f t="shared" si="2317"/>
        <v>DEFERRED</v>
      </c>
      <c r="BM3196" s="129" t="s">
        <v>76</v>
      </c>
      <c r="BN3196" s="129" t="s">
        <v>88</v>
      </c>
      <c r="BP3196" s="137" t="str">
        <f t="shared" si="2282"/>
        <v>DEFERRED</v>
      </c>
      <c r="BQ3196" s="128">
        <f t="shared" si="2291"/>
        <v>0</v>
      </c>
      <c r="BR3196" s="129" t="s">
        <v>575</v>
      </c>
      <c r="BS3196" s="129" t="str">
        <f t="shared" si="2284"/>
        <v>DISPOSED</v>
      </c>
      <c r="BT3196" s="129" t="str">
        <f t="shared" si="2285"/>
        <v>N</v>
      </c>
      <c r="BU3196" s="109">
        <f t="shared" si="2286"/>
        <v>0</v>
      </c>
      <c r="BV3196" s="109">
        <v>0</v>
      </c>
      <c r="BW3196" s="109">
        <f t="shared" si="2305"/>
        <v>0</v>
      </c>
      <c r="BX3196" s="111">
        <f t="shared" si="2287"/>
        <v>0</v>
      </c>
      <c r="BY3196" s="129" t="e">
        <f t="shared" si="2293"/>
        <v>#VALUE!</v>
      </c>
      <c r="BZ3196" s="111" t="e">
        <f t="shared" si="2294"/>
        <v>#VALUE!</v>
      </c>
      <c r="CA3196" s="138" t="e">
        <f t="shared" si="2295"/>
        <v>#VALUE!</v>
      </c>
      <c r="CB3196" s="111">
        <v>0</v>
      </c>
      <c r="CC3196" s="129">
        <v>0</v>
      </c>
      <c r="CD3196" s="111">
        <f t="shared" si="2316"/>
        <v>0</v>
      </c>
      <c r="CG3196" s="129" t="str">
        <f t="shared" si="2296"/>
        <v>N</v>
      </c>
      <c r="CI3196" s="129" t="str">
        <f t="shared" si="2297"/>
        <v>0-10 DAYS</v>
      </c>
      <c r="CJ3196" s="137">
        <f t="shared" si="2298"/>
        <v>1</v>
      </c>
      <c r="CK3196" s="129" t="str">
        <f t="shared" si="2299"/>
        <v>Not Booked</v>
      </c>
    </row>
    <row r="3197" spans="1:89" ht="15.75" customHeight="1" x14ac:dyDescent="0.25">
      <c r="A3197" s="111">
        <v>3229</v>
      </c>
      <c r="B3197" s="128" t="str">
        <f t="shared" si="2288"/>
        <v>N</v>
      </c>
      <c r="C3197" s="128" t="str">
        <f t="shared" si="2289"/>
        <v>N</v>
      </c>
      <c r="D3197" s="117">
        <v>2616602</v>
      </c>
      <c r="E3197" s="135">
        <f t="shared" si="2290"/>
        <v>4</v>
      </c>
      <c r="F3197" s="124">
        <v>41028</v>
      </c>
      <c r="G3197" s="125">
        <v>41029</v>
      </c>
      <c r="H3197" s="117">
        <v>2616602</v>
      </c>
      <c r="I3197" s="124">
        <v>41028</v>
      </c>
      <c r="J3197" s="124">
        <v>41029</v>
      </c>
      <c r="K3197" s="126">
        <v>2000</v>
      </c>
      <c r="L3197" s="127" t="s">
        <v>568</v>
      </c>
      <c r="N3197" s="129" t="str">
        <f t="shared" ref="N3197:N3206" si="2321">IF(M3197&gt;1/1/1,"Y","N")</f>
        <v>N</v>
      </c>
      <c r="O3197" s="128" t="s">
        <v>917</v>
      </c>
      <c r="P3197" s="129" t="s">
        <v>39</v>
      </c>
      <c r="Q3197" s="111">
        <f t="shared" si="2314"/>
        <v>2</v>
      </c>
      <c r="R3197" s="111">
        <f t="shared" si="2318"/>
        <v>2</v>
      </c>
      <c r="S3197" s="129">
        <v>0</v>
      </c>
      <c r="T3197" s="129">
        <v>0</v>
      </c>
      <c r="W3197" s="111"/>
      <c r="AB3197" s="131" t="s">
        <v>112</v>
      </c>
      <c r="AC3197" s="130"/>
      <c r="AD3197" s="130">
        <v>32860</v>
      </c>
      <c r="AE3197" s="128" t="s">
        <v>32</v>
      </c>
      <c r="AF3197" s="128" t="s">
        <v>40</v>
      </c>
      <c r="AG3197" s="128" t="s">
        <v>41</v>
      </c>
      <c r="AH3197" s="108" t="s">
        <v>31</v>
      </c>
      <c r="AI3197" s="128" t="s">
        <v>114</v>
      </c>
      <c r="AJ3197" s="129" t="s">
        <v>89</v>
      </c>
      <c r="AK3197" s="129">
        <v>1</v>
      </c>
      <c r="AL3197" s="3" t="s">
        <v>991</v>
      </c>
      <c r="AO3197" s="128">
        <v>90</v>
      </c>
      <c r="AP3197" s="129" t="s">
        <v>43</v>
      </c>
      <c r="AR3197" s="128" t="s">
        <v>44</v>
      </c>
      <c r="AS3197" s="129" t="s">
        <v>45</v>
      </c>
      <c r="BC3197" s="129" t="s">
        <v>52</v>
      </c>
      <c r="BF3197" s="111">
        <f>IF(J3197&gt;1/1/1900,((J3197+1)-I3197),"STILL OPEN")</f>
        <v>2</v>
      </c>
      <c r="BG3197" s="111">
        <f t="shared" ref="BG3197:BG3206" si="2322">IF(G3197&gt;1/1/1900,((G3197+1)-I3197),"STILL OPEN")</f>
        <v>2</v>
      </c>
      <c r="BH3197" s="111">
        <f t="shared" si="2319"/>
        <v>2</v>
      </c>
      <c r="BI3197" s="111">
        <f t="shared" si="2279"/>
        <v>22.316939890710383</v>
      </c>
      <c r="BJ3197" s="129">
        <f>G3197-J3197-M3197</f>
        <v>0</v>
      </c>
      <c r="BK3197" s="129">
        <f t="shared" si="2320"/>
        <v>0</v>
      </c>
      <c r="BL3197" s="129" t="str">
        <f t="shared" si="2317"/>
        <v>CONVICTION</v>
      </c>
      <c r="BM3197" s="129" t="str">
        <f t="shared" si="2281"/>
        <v>NONE</v>
      </c>
      <c r="BN3197" s="129" t="s">
        <v>566</v>
      </c>
      <c r="BP3197" s="137" t="str">
        <f t="shared" si="2282"/>
        <v>CONVICTION</v>
      </c>
      <c r="BQ3197" s="128" t="str">
        <f t="shared" si="2291"/>
        <v>Y</v>
      </c>
      <c r="BR3197" s="129" t="str">
        <f t="shared" si="2283"/>
        <v>DETAINED</v>
      </c>
      <c r="BS3197" s="129" t="str">
        <f t="shared" si="2284"/>
        <v>DISPOSED</v>
      </c>
      <c r="BT3197" s="129" t="str">
        <f t="shared" si="2285"/>
        <v>N</v>
      </c>
      <c r="BU3197" s="109">
        <f t="shared" si="2286"/>
        <v>1</v>
      </c>
      <c r="BV3197" s="109">
        <f t="shared" si="2292"/>
        <v>1</v>
      </c>
      <c r="BW3197" s="109">
        <f t="shared" si="2305"/>
        <v>0</v>
      </c>
      <c r="BX3197" s="111">
        <f t="shared" si="2287"/>
        <v>0</v>
      </c>
      <c r="BY3197" s="129">
        <f t="shared" si="2293"/>
        <v>-2</v>
      </c>
      <c r="BZ3197" s="111">
        <f t="shared" si="2294"/>
        <v>0</v>
      </c>
      <c r="CA3197" s="138">
        <f t="shared" si="2295"/>
        <v>2</v>
      </c>
      <c r="CB3197" s="111" t="e">
        <f>IF(AF3197&gt;1/1/1900,((AF3197+1)-AE3197),"STILL OPEN")</f>
        <v>#VALUE!</v>
      </c>
      <c r="CC3197" s="129">
        <f>G3197-I3197+1</f>
        <v>2</v>
      </c>
      <c r="CD3197" s="129">
        <f>G3197-J3197</f>
        <v>0</v>
      </c>
      <c r="CG3197" s="129" t="str">
        <f t="shared" si="2296"/>
        <v>N</v>
      </c>
      <c r="CI3197" s="129" t="str">
        <f t="shared" si="2297"/>
        <v>0-10 DAYS</v>
      </c>
      <c r="CJ3197" s="137">
        <f t="shared" si="2298"/>
        <v>1</v>
      </c>
      <c r="CK3197" s="129" t="str">
        <f t="shared" si="2299"/>
        <v>Booked</v>
      </c>
    </row>
    <row r="3198" spans="1:89" ht="15" customHeight="1" x14ac:dyDescent="0.25">
      <c r="A3198" s="111">
        <v>3236</v>
      </c>
      <c r="B3198" s="128" t="str">
        <f t="shared" si="2288"/>
        <v>N</v>
      </c>
      <c r="C3198" s="128" t="str">
        <f t="shared" si="2289"/>
        <v>N</v>
      </c>
      <c r="D3198" s="117">
        <v>2616620</v>
      </c>
      <c r="E3198" s="135">
        <f t="shared" si="2290"/>
        <v>5</v>
      </c>
      <c r="F3198" s="124">
        <v>41028</v>
      </c>
      <c r="G3198" s="125">
        <v>41100</v>
      </c>
      <c r="H3198" s="117">
        <v>2616620</v>
      </c>
      <c r="I3198" s="124">
        <v>41028</v>
      </c>
      <c r="J3198" s="124">
        <v>41100</v>
      </c>
      <c r="K3198" s="126">
        <v>10000</v>
      </c>
      <c r="L3198" s="127" t="s">
        <v>570</v>
      </c>
      <c r="N3198" s="129" t="str">
        <f t="shared" si="2321"/>
        <v>N</v>
      </c>
      <c r="O3198" s="128" t="s">
        <v>917</v>
      </c>
      <c r="P3198" s="129" t="s">
        <v>39</v>
      </c>
      <c r="Q3198" s="111">
        <f t="shared" si="2314"/>
        <v>73</v>
      </c>
      <c r="R3198" s="111">
        <f t="shared" si="2318"/>
        <v>73</v>
      </c>
      <c r="S3198" s="129">
        <v>0</v>
      </c>
      <c r="T3198" s="129">
        <v>0</v>
      </c>
      <c r="W3198" s="111"/>
      <c r="AB3198" s="131" t="s">
        <v>112</v>
      </c>
      <c r="AC3198" s="130"/>
      <c r="AD3198" s="130">
        <v>28542</v>
      </c>
      <c r="AE3198" s="128" t="s">
        <v>32</v>
      </c>
      <c r="AF3198" s="128" t="s">
        <v>69</v>
      </c>
      <c r="AG3198" s="128" t="s">
        <v>874</v>
      </c>
      <c r="AH3198" s="108" t="s">
        <v>31</v>
      </c>
      <c r="AI3198" s="128" t="s">
        <v>141</v>
      </c>
      <c r="AJ3198" s="129" t="s">
        <v>89</v>
      </c>
      <c r="AK3198" s="129">
        <v>3</v>
      </c>
      <c r="AL3198" s="3" t="s">
        <v>992</v>
      </c>
      <c r="AN3198" s="117">
        <v>6</v>
      </c>
      <c r="AP3198" s="129" t="s">
        <v>363</v>
      </c>
      <c r="AR3198" s="128" t="s">
        <v>44</v>
      </c>
      <c r="AS3198" s="129" t="s">
        <v>64</v>
      </c>
      <c r="BC3198" s="129" t="s">
        <v>38</v>
      </c>
      <c r="BF3198" s="111">
        <f>IF(J3198&gt;1/1/1900,((J3198+1)-I3198),"STILL OPEN")</f>
        <v>73</v>
      </c>
      <c r="BG3198" s="111">
        <f t="shared" si="2322"/>
        <v>73</v>
      </c>
      <c r="BH3198" s="111">
        <f t="shared" si="2319"/>
        <v>73</v>
      </c>
      <c r="BI3198" s="111">
        <f t="shared" si="2279"/>
        <v>34.114754098360656</v>
      </c>
      <c r="BJ3198" s="129">
        <f>G3198-J3198-M3198</f>
        <v>0</v>
      </c>
      <c r="BK3198" s="129">
        <f t="shared" si="2320"/>
        <v>0</v>
      </c>
      <c r="BL3198" s="129" t="str">
        <f t="shared" si="2317"/>
        <v>CONVICTION</v>
      </c>
      <c r="BM3198" s="129" t="str">
        <f t="shared" si="2281"/>
        <v>NONE</v>
      </c>
      <c r="BN3198" s="129" t="s">
        <v>566</v>
      </c>
      <c r="BP3198" s="137" t="str">
        <f t="shared" si="2282"/>
        <v>CONVICTION</v>
      </c>
      <c r="BQ3198" s="128" t="str">
        <f t="shared" si="2291"/>
        <v>Y</v>
      </c>
      <c r="BR3198" s="129" t="str">
        <f t="shared" si="2283"/>
        <v>DETAINED</v>
      </c>
      <c r="BS3198" s="129" t="str">
        <f t="shared" si="2284"/>
        <v>DISPOSED</v>
      </c>
      <c r="BT3198" s="129" t="str">
        <f t="shared" si="2285"/>
        <v>N</v>
      </c>
      <c r="BU3198" s="109">
        <f t="shared" si="2286"/>
        <v>1</v>
      </c>
      <c r="BV3198" s="109">
        <f t="shared" si="2292"/>
        <v>1</v>
      </c>
      <c r="BW3198" s="109">
        <f t="shared" si="2305"/>
        <v>0</v>
      </c>
      <c r="BX3198" s="111">
        <f t="shared" si="2287"/>
        <v>0</v>
      </c>
      <c r="BY3198" s="129">
        <f t="shared" si="2293"/>
        <v>-73</v>
      </c>
      <c r="BZ3198" s="111">
        <f t="shared" si="2294"/>
        <v>0</v>
      </c>
      <c r="CA3198" s="138">
        <f t="shared" si="2295"/>
        <v>73</v>
      </c>
      <c r="CB3198" s="111" t="e">
        <f>IF(AF3198&gt;1/1/1900,((AF3198+1)-AE3198),"STILL OPEN")</f>
        <v>#VALUE!</v>
      </c>
      <c r="CC3198" s="129">
        <f>G3198-I3198+1</f>
        <v>73</v>
      </c>
      <c r="CD3198" s="129">
        <f>G3198-J3198</f>
        <v>0</v>
      </c>
      <c r="CG3198" s="129" t="str">
        <f t="shared" si="2296"/>
        <v>N</v>
      </c>
      <c r="CI3198" s="129" t="str">
        <f t="shared" si="2297"/>
        <v>61-90 DAYS</v>
      </c>
      <c r="CJ3198" s="137">
        <f t="shared" si="2298"/>
        <v>4</v>
      </c>
      <c r="CK3198" s="129" t="str">
        <f t="shared" si="2299"/>
        <v>Booked</v>
      </c>
    </row>
    <row r="3199" spans="1:89" ht="15.75" customHeight="1" x14ac:dyDescent="0.25">
      <c r="A3199" s="111">
        <v>3240</v>
      </c>
      <c r="B3199" s="128" t="str">
        <f t="shared" si="2288"/>
        <v>N</v>
      </c>
      <c r="C3199" s="128" t="str">
        <f t="shared" si="2289"/>
        <v>N</v>
      </c>
      <c r="D3199" s="117">
        <v>2616630</v>
      </c>
      <c r="E3199" s="135">
        <f t="shared" si="2290"/>
        <v>2</v>
      </c>
      <c r="F3199" s="124">
        <v>41028</v>
      </c>
      <c r="G3199" s="125">
        <v>41330</v>
      </c>
      <c r="H3199" s="117">
        <v>2616630</v>
      </c>
      <c r="I3199" s="124">
        <v>41029</v>
      </c>
      <c r="J3199" s="124">
        <v>41032</v>
      </c>
      <c r="K3199" s="126">
        <v>30000</v>
      </c>
      <c r="L3199" s="129" t="s">
        <v>572</v>
      </c>
      <c r="M3199" s="125">
        <v>41032</v>
      </c>
      <c r="N3199" s="129" t="str">
        <f t="shared" si="2321"/>
        <v>Y</v>
      </c>
      <c r="O3199" s="128" t="s">
        <v>76</v>
      </c>
      <c r="P3199" s="129" t="s">
        <v>589</v>
      </c>
      <c r="Q3199" s="111">
        <f t="shared" si="2314"/>
        <v>4</v>
      </c>
      <c r="R3199" s="111">
        <f t="shared" si="2318"/>
        <v>303</v>
      </c>
      <c r="S3199" s="129">
        <v>0</v>
      </c>
      <c r="T3199" s="129">
        <v>0</v>
      </c>
      <c r="W3199" s="111"/>
      <c r="AC3199" s="130"/>
      <c r="AD3199" s="130">
        <v>27204</v>
      </c>
      <c r="AE3199" s="128" t="s">
        <v>32</v>
      </c>
      <c r="AF3199" s="128" t="s">
        <v>138</v>
      </c>
      <c r="AG3199" s="128" t="s">
        <v>873</v>
      </c>
      <c r="AH3199" s="108" t="s">
        <v>31</v>
      </c>
      <c r="AI3199" s="128" t="s">
        <v>47</v>
      </c>
      <c r="AJ3199" s="129" t="s">
        <v>48</v>
      </c>
      <c r="AK3199" s="129">
        <v>7</v>
      </c>
      <c r="AL3199" s="3" t="s">
        <v>48</v>
      </c>
      <c r="AP3199" s="129" t="s">
        <v>110</v>
      </c>
      <c r="AR3199" s="128" t="s">
        <v>50</v>
      </c>
      <c r="AS3199" s="129" t="s">
        <v>74</v>
      </c>
      <c r="BC3199" s="129" t="s">
        <v>52</v>
      </c>
      <c r="BF3199" s="111">
        <f>IF(J3199&gt;1/1/1900,((J3199+1)-I3199),"STILL OPEN")</f>
        <v>4</v>
      </c>
      <c r="BG3199" s="111">
        <f t="shared" si="2322"/>
        <v>302</v>
      </c>
      <c r="BH3199" s="111">
        <f t="shared" si="2319"/>
        <v>303</v>
      </c>
      <c r="BI3199" s="111">
        <f t="shared" ref="BI3199:BI3206" si="2323">(F3199-AD3199)/366</f>
        <v>37.770491803278688</v>
      </c>
      <c r="BJ3199" s="129">
        <f t="shared" ref="BJ3199:BJ3204" si="2324">(G3199-J3199)+(M3199-G3199)</f>
        <v>0</v>
      </c>
      <c r="BK3199" s="129">
        <f t="shared" si="2320"/>
        <v>-298</v>
      </c>
      <c r="BL3199" s="129" t="str">
        <f t="shared" si="2317"/>
        <v>DEFERRED</v>
      </c>
      <c r="BM3199" s="129" t="s">
        <v>76</v>
      </c>
      <c r="BN3199" s="129" t="s">
        <v>88</v>
      </c>
      <c r="BP3199" s="137" t="str">
        <f t="shared" si="2282"/>
        <v>DEFERRED</v>
      </c>
      <c r="BQ3199" s="128" t="str">
        <f t="shared" si="2291"/>
        <v>Y</v>
      </c>
      <c r="BR3199" s="129" t="str">
        <f t="shared" si="2283"/>
        <v>ON BOND</v>
      </c>
      <c r="BS3199" s="129" t="str">
        <f t="shared" si="2284"/>
        <v>DISPOSED</v>
      </c>
      <c r="BT3199" s="129" t="str">
        <f t="shared" si="2285"/>
        <v>N</v>
      </c>
      <c r="BU3199" s="109">
        <f t="shared" si="2286"/>
        <v>1.3201320132013201E-2</v>
      </c>
      <c r="BV3199" s="109">
        <f t="shared" si="2292"/>
        <v>1.3245033112582781E-2</v>
      </c>
      <c r="BW3199" s="109">
        <f t="shared" si="2305"/>
        <v>4.3712980569579965E-5</v>
      </c>
      <c r="BX3199" s="111">
        <f t="shared" si="2287"/>
        <v>0</v>
      </c>
      <c r="BY3199" s="129">
        <f t="shared" si="2293"/>
        <v>-4</v>
      </c>
      <c r="BZ3199" s="111">
        <f t="shared" si="2294"/>
        <v>0</v>
      </c>
      <c r="CA3199" s="138">
        <f t="shared" si="2295"/>
        <v>4</v>
      </c>
      <c r="CB3199" s="111" t="e">
        <f>IF(AF3199&gt;1/1/1900,((AF3199+1)-AE3199),"STILL OPEN")</f>
        <v>#VALUE!</v>
      </c>
      <c r="CC3199" s="129">
        <f>M3199-I3199+1</f>
        <v>4</v>
      </c>
      <c r="CD3199" s="111">
        <f>CC3199-BF3199</f>
        <v>0</v>
      </c>
      <c r="CG3199" s="129" t="str">
        <f t="shared" si="2296"/>
        <v>N</v>
      </c>
      <c r="CI3199" s="129" t="str">
        <f t="shared" si="2297"/>
        <v>0-10 DAYS</v>
      </c>
      <c r="CJ3199" s="137">
        <f t="shared" si="2298"/>
        <v>1</v>
      </c>
      <c r="CK3199" s="129" t="str">
        <f t="shared" si="2299"/>
        <v>Booked</v>
      </c>
    </row>
    <row r="3200" spans="1:89" ht="15" customHeight="1" x14ac:dyDescent="0.25">
      <c r="A3200" s="111">
        <v>3242</v>
      </c>
      <c r="B3200" s="128" t="str">
        <f t="shared" si="2288"/>
        <v>N</v>
      </c>
      <c r="C3200" s="128" t="str">
        <f t="shared" si="2289"/>
        <v>N</v>
      </c>
      <c r="D3200" s="117">
        <v>2616655</v>
      </c>
      <c r="E3200" s="135">
        <f t="shared" si="2290"/>
        <v>2</v>
      </c>
      <c r="F3200" s="124">
        <v>41029</v>
      </c>
      <c r="G3200" s="125">
        <v>41166</v>
      </c>
      <c r="H3200" s="117">
        <v>2616655</v>
      </c>
      <c r="I3200" s="124">
        <v>41029</v>
      </c>
      <c r="J3200" s="124">
        <v>41031</v>
      </c>
      <c r="K3200" s="126">
        <v>2000</v>
      </c>
      <c r="L3200" s="127" t="s">
        <v>568</v>
      </c>
      <c r="M3200" s="125">
        <v>41031</v>
      </c>
      <c r="N3200" s="129" t="str">
        <f t="shared" si="2321"/>
        <v>Y</v>
      </c>
      <c r="O3200" s="128" t="s">
        <v>585</v>
      </c>
      <c r="P3200" s="129" t="s">
        <v>589</v>
      </c>
      <c r="Q3200" s="111">
        <f t="shared" si="2314"/>
        <v>9</v>
      </c>
      <c r="R3200" s="111">
        <f t="shared" si="2318"/>
        <v>138</v>
      </c>
      <c r="S3200" s="129">
        <v>0</v>
      </c>
      <c r="T3200" s="129">
        <v>0</v>
      </c>
      <c r="W3200" s="111"/>
      <c r="AC3200" s="130"/>
      <c r="AD3200" s="130">
        <v>34733</v>
      </c>
      <c r="AE3200" s="128" t="s">
        <v>46</v>
      </c>
      <c r="AF3200" s="128" t="s">
        <v>33</v>
      </c>
      <c r="AG3200" s="128" t="s">
        <v>872</v>
      </c>
      <c r="AH3200" s="108" t="s">
        <v>31</v>
      </c>
      <c r="AI3200" s="128" t="s">
        <v>71</v>
      </c>
      <c r="AJ3200" s="129" t="s">
        <v>48</v>
      </c>
      <c r="AK3200" s="129">
        <v>7</v>
      </c>
      <c r="AL3200" s="3" t="s">
        <v>48</v>
      </c>
      <c r="AP3200" s="129" t="s">
        <v>104</v>
      </c>
      <c r="AR3200" s="128" t="s">
        <v>44</v>
      </c>
      <c r="AS3200" s="129" t="s">
        <v>64</v>
      </c>
      <c r="AT3200" s="129" t="s">
        <v>1332</v>
      </c>
      <c r="AY3200" s="123"/>
      <c r="BC3200" s="129" t="s">
        <v>99</v>
      </c>
      <c r="BF3200" s="111">
        <v>9</v>
      </c>
      <c r="BG3200" s="111">
        <f t="shared" si="2322"/>
        <v>138</v>
      </c>
      <c r="BH3200" s="111">
        <f t="shared" si="2319"/>
        <v>138</v>
      </c>
      <c r="BI3200" s="111">
        <f t="shared" si="2323"/>
        <v>17.202185792349727</v>
      </c>
      <c r="BJ3200" s="129">
        <f t="shared" si="2324"/>
        <v>0</v>
      </c>
      <c r="BK3200" s="129">
        <f t="shared" si="2320"/>
        <v>-135</v>
      </c>
      <c r="BL3200" s="129" t="str">
        <f t="shared" si="2317"/>
        <v>DEFERRED</v>
      </c>
      <c r="BM3200" s="129" t="s">
        <v>76</v>
      </c>
      <c r="BN3200" s="129" t="s">
        <v>88</v>
      </c>
      <c r="BP3200" s="137" t="str">
        <f t="shared" ref="BP3200:BP3206" si="2325">IF(OR(AJ3200="AQUITTAL",AJ3200="DISMISSED",AJ3200="FINE",AJ3200="NO BILL"),"NO CONVICTION",IF(OR(AJ3200="HCJ",AJ3200="MHH",AJ3200="PROBATION",AJ3200="STJ",AJ3200="TDC",AJ3200="CONVICTED"),"CONVICTION",IF(AJ3200="DEFERRED","DEFERRED","")))</f>
        <v>DEFERRED</v>
      </c>
      <c r="BQ3200" s="128" t="str">
        <f t="shared" si="2291"/>
        <v>Y</v>
      </c>
      <c r="BR3200" s="129" t="str">
        <f t="shared" ref="BR3200:BR3206" si="2326">IF(AND(J3200="NOT BOOKED",M3200&gt;1/1/1),"BONDED - BEFORE BOOKED",IF(BG3200="STILL OPEN","STILL OPEN",IF(N3200="Y","ON BOND",IF(J3200&gt;=G3200,"DETAINED","RELEASED"))))</f>
        <v>ON BOND</v>
      </c>
      <c r="BS3200" s="129" t="str">
        <f t="shared" ref="BS3200:BS3206" si="2327">IF(G3200&lt;&gt;"","DISPOSED","")</f>
        <v>DISPOSED</v>
      </c>
      <c r="BT3200" s="129" t="str">
        <f t="shared" ref="BT3200:BT3206" si="2328">IF(S3200&gt;0,"Y","N")</f>
        <v>N</v>
      </c>
      <c r="BU3200" s="109">
        <f t="shared" ref="BU3200:BU3206" si="2329">Q3200/R3200</f>
        <v>6.5217391304347824E-2</v>
      </c>
      <c r="BV3200" s="109">
        <f t="shared" si="2292"/>
        <v>2.1739130434782608E-2</v>
      </c>
      <c r="BW3200" s="109">
        <f t="shared" si="2305"/>
        <v>-4.3478260869565216E-2</v>
      </c>
      <c r="BX3200" s="111">
        <f t="shared" ref="BX3200:BX3206" si="2330">+Q3200-BF3200</f>
        <v>0</v>
      </c>
      <c r="BY3200" s="129">
        <f t="shared" si="2293"/>
        <v>-3</v>
      </c>
      <c r="BZ3200" s="111">
        <f t="shared" si="2294"/>
        <v>6</v>
      </c>
      <c r="CA3200" s="138">
        <f t="shared" si="2295"/>
        <v>3</v>
      </c>
      <c r="CB3200" s="111" t="e">
        <f>IF(AF3200&gt;1/1/1900,((AF3200+1)-AE3200),"STILL OPEN")</f>
        <v>#VALUE!</v>
      </c>
      <c r="CD3200" s="129">
        <f>G3200-J3200</f>
        <v>135</v>
      </c>
      <c r="CG3200" s="129" t="str">
        <f t="shared" si="2296"/>
        <v>N</v>
      </c>
      <c r="CI3200" s="129" t="str">
        <f t="shared" si="2297"/>
        <v>0-10 DAYS</v>
      </c>
      <c r="CJ3200" s="137">
        <f t="shared" si="2298"/>
        <v>1</v>
      </c>
      <c r="CK3200" s="129" t="str">
        <f t="shared" si="2299"/>
        <v>Booked</v>
      </c>
    </row>
    <row r="3201" spans="1:89" ht="15.75" customHeight="1" x14ac:dyDescent="0.25">
      <c r="A3201" s="111">
        <v>3244</v>
      </c>
      <c r="B3201" s="128" t="str">
        <f t="shared" ref="B3201:B3206" si="2331">IF(BD3201&lt;&gt;"","Y","N")</f>
        <v>N</v>
      </c>
      <c r="C3201" s="128" t="str">
        <f t="shared" ref="C3201:C3206" si="2332">IF((AND(AV3201="",AX3201="",AY3201="")),"N","Y")</f>
        <v>Y</v>
      </c>
      <c r="D3201" s="114">
        <v>2616658</v>
      </c>
      <c r="E3201" s="135">
        <f t="shared" ref="E3201:E3206" si="2333">IF(OR(AL3201="ACQUITTAL",AL3201="ACQUIT",AL3201="acq insane",AL3201="DISMISSED",AL3201="NO BILL"),1,IF(AL3201="DEFERRED",2,IF(AL3201="PROBATION",3,IF(OR(AL3201="HCJ",AL3201="fine"),4,IF(AL3201="STJ",5,IF(AL3201="TDC",6,""))))))</f>
        <v>6</v>
      </c>
      <c r="F3201" s="124">
        <v>41029</v>
      </c>
      <c r="G3201" s="125">
        <v>41310</v>
      </c>
      <c r="H3201" s="114">
        <v>2616658</v>
      </c>
      <c r="I3201" s="124">
        <v>41029</v>
      </c>
      <c r="J3201" s="124">
        <v>41031</v>
      </c>
      <c r="K3201" s="126">
        <v>25000</v>
      </c>
      <c r="L3201" s="129" t="s">
        <v>572</v>
      </c>
      <c r="M3201" s="125">
        <v>41031</v>
      </c>
      <c r="N3201" s="129" t="str">
        <f t="shared" si="2321"/>
        <v>Y</v>
      </c>
      <c r="O3201" s="128" t="s">
        <v>76</v>
      </c>
      <c r="P3201" s="129" t="s">
        <v>39</v>
      </c>
      <c r="Q3201" s="111">
        <v>104</v>
      </c>
      <c r="R3201" s="111">
        <f t="shared" si="2318"/>
        <v>282</v>
      </c>
      <c r="S3201" s="129">
        <v>0</v>
      </c>
      <c r="T3201" s="129">
        <v>0</v>
      </c>
      <c r="W3201" s="111"/>
      <c r="AC3201" s="130"/>
      <c r="AD3201" s="130">
        <v>31146</v>
      </c>
      <c r="AE3201" s="128" t="s">
        <v>32</v>
      </c>
      <c r="AF3201" s="128" t="s">
        <v>33</v>
      </c>
      <c r="AG3201" s="128" t="s">
        <v>872</v>
      </c>
      <c r="AH3201" s="108" t="s">
        <v>31</v>
      </c>
      <c r="AI3201" s="128" t="s">
        <v>34</v>
      </c>
      <c r="AJ3201" s="129" t="s">
        <v>89</v>
      </c>
      <c r="AK3201" s="129">
        <v>9</v>
      </c>
      <c r="AL3201" s="3" t="s">
        <v>362</v>
      </c>
      <c r="AM3201" s="117">
        <v>4</v>
      </c>
      <c r="AP3201" s="129" t="s">
        <v>49</v>
      </c>
      <c r="AR3201" s="128" t="s">
        <v>67</v>
      </c>
      <c r="AS3201" s="129" t="s">
        <v>45</v>
      </c>
      <c r="AV3201" s="3" t="s">
        <v>88</v>
      </c>
      <c r="AW3201" s="129" t="s">
        <v>862</v>
      </c>
      <c r="BA3201" s="125" t="s">
        <v>1203</v>
      </c>
      <c r="BB3201" s="129">
        <v>470</v>
      </c>
      <c r="BC3201" s="129" t="s">
        <v>38</v>
      </c>
      <c r="BF3201" s="111">
        <v>104</v>
      </c>
      <c r="BG3201" s="111">
        <f t="shared" si="2322"/>
        <v>282</v>
      </c>
      <c r="BH3201" s="111">
        <f t="shared" si="2319"/>
        <v>282</v>
      </c>
      <c r="BI3201" s="111">
        <f t="shared" si="2323"/>
        <v>27.002732240437158</v>
      </c>
      <c r="BJ3201" s="129">
        <f t="shared" si="2324"/>
        <v>0</v>
      </c>
      <c r="BK3201" s="129">
        <f t="shared" si="2320"/>
        <v>-279</v>
      </c>
      <c r="BL3201" s="129" t="str">
        <f t="shared" si="2317"/>
        <v>CONVICTION</v>
      </c>
      <c r="BM3201" s="129" t="s">
        <v>76</v>
      </c>
      <c r="BN3201" s="129" t="s">
        <v>566</v>
      </c>
      <c r="BP3201" s="137" t="str">
        <f t="shared" si="2325"/>
        <v>CONVICTION</v>
      </c>
      <c r="BQ3201" s="128" t="str">
        <f t="shared" ref="BQ3201:BQ3206" si="2334">IF(BF3201&gt;0,"Y",BF3201)</f>
        <v>Y</v>
      </c>
      <c r="BR3201" s="129" t="s">
        <v>574</v>
      </c>
      <c r="BS3201" s="129" t="str">
        <f t="shared" si="2327"/>
        <v>DISPOSED</v>
      </c>
      <c r="BT3201" s="129" t="str">
        <f t="shared" si="2328"/>
        <v>N</v>
      </c>
      <c r="BU3201" s="109">
        <f t="shared" si="2329"/>
        <v>0.36879432624113473</v>
      </c>
      <c r="BV3201" s="109">
        <f t="shared" ref="BV3201:BV3206" si="2335">IF(I3201&gt;F3201,((J3201-I3201+1)/(G3201-I3201+1)),(J3201-I3201+1)/(G3201-F3201+1))</f>
        <v>1.0638297872340425E-2</v>
      </c>
      <c r="BW3201" s="109">
        <f t="shared" si="2305"/>
        <v>-0.35815602836879429</v>
      </c>
      <c r="BX3201" s="111">
        <f t="shared" si="2330"/>
        <v>0</v>
      </c>
      <c r="BY3201" s="129">
        <f t="shared" ref="BY3201:BY3206" si="2336">I3201-J3201-1</f>
        <v>-3</v>
      </c>
      <c r="BZ3201" s="111">
        <f t="shared" ref="BZ3201:BZ3206" si="2337">BY3201+BF3201</f>
        <v>101</v>
      </c>
      <c r="CA3201" s="138">
        <f t="shared" ref="CA3201:CA3206" si="2338">IF(AND(BS3201="DISPOSED",BR3201="DETAINED"),G3201-I3201+1,IF(AND(BS3201="DISPOSED",BR3201="ON BOND"),M3201-I3201+1,IF(AND(BS3201="STILL OPEN","STILL OPEN"),"NOT BOOKED")))</f>
        <v>282</v>
      </c>
      <c r="CB3201" s="111">
        <v>104</v>
      </c>
      <c r="CC3201" s="129">
        <f>G3201-I3201+1</f>
        <v>282</v>
      </c>
      <c r="CD3201" s="129">
        <f>G3201-J3201</f>
        <v>279</v>
      </c>
      <c r="CG3201" s="129" t="str">
        <f t="shared" ref="CG3201:CG3206" si="2339">IF((S3201+T3201+U3201)&gt;0,"Y","N")</f>
        <v>N</v>
      </c>
      <c r="CI3201" s="129" t="str">
        <f t="shared" si="2297"/>
        <v>91-120 DAYS</v>
      </c>
      <c r="CJ3201" s="137">
        <f t="shared" si="2298"/>
        <v>0</v>
      </c>
      <c r="CK3201" s="129" t="str">
        <f t="shared" si="2299"/>
        <v>Booked</v>
      </c>
    </row>
    <row r="3202" spans="1:89" ht="15.75" customHeight="1" x14ac:dyDescent="0.25">
      <c r="A3202" s="111">
        <v>3247</v>
      </c>
      <c r="B3202" s="128" t="str">
        <f t="shared" si="2331"/>
        <v>N</v>
      </c>
      <c r="C3202" s="128" t="str">
        <f t="shared" si="2332"/>
        <v>N</v>
      </c>
      <c r="D3202" s="117">
        <v>2616716</v>
      </c>
      <c r="E3202" s="135">
        <f t="shared" si="2333"/>
        <v>2</v>
      </c>
      <c r="F3202" s="124">
        <v>41029</v>
      </c>
      <c r="G3202" s="125">
        <v>41151</v>
      </c>
      <c r="H3202" s="117">
        <v>2616716</v>
      </c>
      <c r="I3202" s="124">
        <v>41029</v>
      </c>
      <c r="J3202" s="124">
        <v>41031</v>
      </c>
      <c r="K3202" s="126">
        <v>2000</v>
      </c>
      <c r="L3202" s="127" t="s">
        <v>568</v>
      </c>
      <c r="M3202" s="125">
        <v>41031</v>
      </c>
      <c r="N3202" s="129" t="str">
        <f t="shared" si="2321"/>
        <v>Y</v>
      </c>
      <c r="O3202" s="128" t="s">
        <v>76</v>
      </c>
      <c r="P3202" s="129" t="s">
        <v>589</v>
      </c>
      <c r="Q3202" s="111">
        <f>BF3202</f>
        <v>3</v>
      </c>
      <c r="R3202" s="111">
        <f t="shared" si="2318"/>
        <v>123</v>
      </c>
      <c r="S3202" s="129">
        <v>0</v>
      </c>
      <c r="T3202" s="129">
        <v>0</v>
      </c>
      <c r="W3202" s="111"/>
      <c r="AB3202" s="131" t="s">
        <v>112</v>
      </c>
      <c r="AC3202" s="130"/>
      <c r="AD3202" s="130">
        <v>33830</v>
      </c>
      <c r="AE3202" s="128" t="s">
        <v>46</v>
      </c>
      <c r="AF3202" s="128" t="s">
        <v>40</v>
      </c>
      <c r="AG3202" s="128" t="s">
        <v>41</v>
      </c>
      <c r="AH3202" s="108" t="s">
        <v>31</v>
      </c>
      <c r="AI3202" s="128" t="s">
        <v>95</v>
      </c>
      <c r="AJ3202" s="129" t="s">
        <v>48</v>
      </c>
      <c r="AK3202" s="129">
        <v>6</v>
      </c>
      <c r="AL3202" s="3" t="s">
        <v>48</v>
      </c>
      <c r="AP3202" s="129" t="s">
        <v>175</v>
      </c>
      <c r="AR3202" s="128" t="s">
        <v>44</v>
      </c>
      <c r="AS3202" s="129" t="s">
        <v>45</v>
      </c>
      <c r="BC3202" s="129" t="s">
        <v>52</v>
      </c>
      <c r="BF3202" s="111">
        <f>IF(J3202&gt;1/1/1900,((J3202+1)-I3202),"STILL OPEN")</f>
        <v>3</v>
      </c>
      <c r="BG3202" s="111">
        <f t="shared" si="2322"/>
        <v>123</v>
      </c>
      <c r="BH3202" s="111">
        <f t="shared" si="2319"/>
        <v>123</v>
      </c>
      <c r="BI3202" s="111">
        <f t="shared" si="2323"/>
        <v>19.669398907103826</v>
      </c>
      <c r="BJ3202" s="129">
        <f t="shared" si="2324"/>
        <v>0</v>
      </c>
      <c r="BK3202" s="129">
        <f t="shared" si="2320"/>
        <v>-120</v>
      </c>
      <c r="BL3202" s="129" t="str">
        <f t="shared" si="2317"/>
        <v>DEFERRED</v>
      </c>
      <c r="BM3202" s="129" t="s">
        <v>76</v>
      </c>
      <c r="BN3202" s="129" t="s">
        <v>88</v>
      </c>
      <c r="BP3202" s="137" t="str">
        <f t="shared" si="2325"/>
        <v>DEFERRED</v>
      </c>
      <c r="BQ3202" s="128" t="str">
        <f t="shared" si="2334"/>
        <v>Y</v>
      </c>
      <c r="BR3202" s="129" t="str">
        <f t="shared" si="2326"/>
        <v>ON BOND</v>
      </c>
      <c r="BS3202" s="129" t="str">
        <f t="shared" si="2327"/>
        <v>DISPOSED</v>
      </c>
      <c r="BT3202" s="129" t="str">
        <f t="shared" si="2328"/>
        <v>N</v>
      </c>
      <c r="BU3202" s="109">
        <f t="shared" si="2329"/>
        <v>2.4390243902439025E-2</v>
      </c>
      <c r="BV3202" s="109">
        <f t="shared" si="2335"/>
        <v>2.4390243902439025E-2</v>
      </c>
      <c r="BW3202" s="109">
        <f t="shared" si="2305"/>
        <v>0</v>
      </c>
      <c r="BX3202" s="111">
        <f t="shared" si="2330"/>
        <v>0</v>
      </c>
      <c r="BY3202" s="129">
        <f t="shared" si="2336"/>
        <v>-3</v>
      </c>
      <c r="BZ3202" s="111">
        <f t="shared" si="2337"/>
        <v>0</v>
      </c>
      <c r="CA3202" s="138">
        <f t="shared" si="2338"/>
        <v>3</v>
      </c>
      <c r="CB3202" s="111" t="e">
        <f>IF(AF3202&gt;1/1/1900,((AF3202+1)-AE3202),"STILL OPEN")</f>
        <v>#VALUE!</v>
      </c>
      <c r="CC3202" s="129">
        <f>M3202-I3202+1</f>
        <v>3</v>
      </c>
      <c r="CD3202" s="111">
        <f>CC3202-BF3202</f>
        <v>0</v>
      </c>
      <c r="CG3202" s="129" t="str">
        <f t="shared" si="2339"/>
        <v>N</v>
      </c>
      <c r="CI3202" s="129" t="str">
        <f t="shared" si="2297"/>
        <v>0-10 DAYS</v>
      </c>
      <c r="CJ3202" s="137">
        <f t="shared" si="2298"/>
        <v>1</v>
      </c>
      <c r="CK3202" s="129" t="str">
        <f t="shared" si="2299"/>
        <v>Booked</v>
      </c>
    </row>
    <row r="3203" spans="1:89" ht="15.75" customHeight="1" x14ac:dyDescent="0.25">
      <c r="A3203" s="111">
        <v>3252</v>
      </c>
      <c r="B3203" s="128" t="str">
        <f t="shared" si="2331"/>
        <v>N</v>
      </c>
      <c r="C3203" s="128" t="str">
        <f t="shared" si="2332"/>
        <v>N</v>
      </c>
      <c r="D3203" s="117">
        <v>2616741</v>
      </c>
      <c r="E3203" s="135">
        <f t="shared" si="2333"/>
        <v>1</v>
      </c>
      <c r="F3203" s="124">
        <v>41029</v>
      </c>
      <c r="G3203" s="125">
        <v>41036</v>
      </c>
      <c r="H3203" s="117">
        <v>2616741</v>
      </c>
      <c r="I3203" s="124">
        <v>41032</v>
      </c>
      <c r="J3203" s="124">
        <v>41033</v>
      </c>
      <c r="K3203" s="126">
        <v>2000</v>
      </c>
      <c r="L3203" s="127" t="s">
        <v>568</v>
      </c>
      <c r="M3203" s="125">
        <v>41033</v>
      </c>
      <c r="N3203" s="129" t="str">
        <f t="shared" si="2321"/>
        <v>Y</v>
      </c>
      <c r="O3203" s="128" t="s">
        <v>76</v>
      </c>
      <c r="P3203" s="129" t="s">
        <v>123</v>
      </c>
      <c r="Q3203" s="111">
        <f>BF3203</f>
        <v>2</v>
      </c>
      <c r="R3203" s="111">
        <f t="shared" si="2318"/>
        <v>8</v>
      </c>
      <c r="S3203" s="129">
        <v>0</v>
      </c>
      <c r="T3203" s="129">
        <v>0</v>
      </c>
      <c r="W3203" s="111"/>
      <c r="AC3203" s="130"/>
      <c r="AD3203" s="130">
        <v>31187</v>
      </c>
      <c r="AE3203" s="128" t="s">
        <v>32</v>
      </c>
      <c r="AF3203" s="128" t="s">
        <v>69</v>
      </c>
      <c r="AG3203" s="128" t="s">
        <v>874</v>
      </c>
      <c r="AH3203" s="108" t="s">
        <v>31</v>
      </c>
      <c r="AI3203" s="128" t="s">
        <v>80</v>
      </c>
      <c r="AJ3203" s="129" t="s">
        <v>123</v>
      </c>
      <c r="AK3203" s="129">
        <v>1</v>
      </c>
      <c r="AL3203" s="3" t="s">
        <v>123</v>
      </c>
      <c r="AP3203" s="129" t="s">
        <v>539</v>
      </c>
      <c r="AR3203" s="128" t="s">
        <v>44</v>
      </c>
      <c r="AS3203" s="129" t="s">
        <v>64</v>
      </c>
      <c r="BC3203" s="129" t="s">
        <v>79</v>
      </c>
      <c r="BF3203" s="111">
        <f>IF(J3203&gt;1/1/1900,((J3203+1)-I3203),"STILL OPEN")</f>
        <v>2</v>
      </c>
      <c r="BG3203" s="111">
        <f t="shared" si="2322"/>
        <v>5</v>
      </c>
      <c r="BH3203" s="111">
        <f t="shared" si="2319"/>
        <v>8</v>
      </c>
      <c r="BI3203" s="111">
        <f t="shared" si="2323"/>
        <v>26.89071038251366</v>
      </c>
      <c r="BJ3203" s="129">
        <f t="shared" si="2324"/>
        <v>0</v>
      </c>
      <c r="BK3203" s="129">
        <f t="shared" si="2320"/>
        <v>-3</v>
      </c>
      <c r="BL3203" s="129" t="str">
        <f t="shared" si="2317"/>
        <v>NO CONVICTION</v>
      </c>
      <c r="BM3203" s="129" t="s">
        <v>76</v>
      </c>
      <c r="BN3203" s="129" t="s">
        <v>88</v>
      </c>
      <c r="BP3203" s="137" t="str">
        <f t="shared" si="2325"/>
        <v>NO CONVICTION</v>
      </c>
      <c r="BQ3203" s="128" t="str">
        <f t="shared" si="2334"/>
        <v>Y</v>
      </c>
      <c r="BR3203" s="129" t="str">
        <f t="shared" si="2326"/>
        <v>ON BOND</v>
      </c>
      <c r="BS3203" s="129" t="str">
        <f t="shared" si="2327"/>
        <v>DISPOSED</v>
      </c>
      <c r="BT3203" s="129" t="str">
        <f t="shared" si="2328"/>
        <v>N</v>
      </c>
      <c r="BU3203" s="109">
        <f>IFERROR(Q3203/R3203,BR3203)</f>
        <v>0.25</v>
      </c>
      <c r="BV3203" s="109">
        <f t="shared" si="2335"/>
        <v>0.4</v>
      </c>
      <c r="BW3203" s="109">
        <f t="shared" si="2305"/>
        <v>0.15000000000000002</v>
      </c>
      <c r="BX3203" s="111">
        <f t="shared" si="2330"/>
        <v>0</v>
      </c>
      <c r="BY3203" s="129">
        <f t="shared" si="2336"/>
        <v>-2</v>
      </c>
      <c r="BZ3203" s="111">
        <f t="shared" si="2337"/>
        <v>0</v>
      </c>
      <c r="CA3203" s="138">
        <f t="shared" si="2338"/>
        <v>2</v>
      </c>
      <c r="CB3203" s="111" t="e">
        <f>IF(AF3203&gt;1/1/1900,((AF3203+1)-AE3203),"STILL OPEN")</f>
        <v>#VALUE!</v>
      </c>
      <c r="CC3203" s="129">
        <f>M3203-I3203+1</f>
        <v>2</v>
      </c>
      <c r="CD3203" s="111">
        <f>CC3203-BF3203</f>
        <v>0</v>
      </c>
      <c r="CG3203" s="129" t="str">
        <f t="shared" si="2339"/>
        <v>N</v>
      </c>
      <c r="CI3203" s="129" t="str">
        <f t="shared" ref="CI3203:CI3206" si="2340">IF(BF3203&lt;11,"0-10 DAYS",IF(AND(BF3203&gt;10,BF3203&lt;31),"11-30 DAYS",IF((AND(BF3203&gt;30,BF3203&lt;61)),"31-60 DAYS",IF(AND(BF3203&gt;60,BF3203&lt;91),"61-90 DAYS",IF(AND(BF3203&gt;90,BF3203&lt;121),"91-120 DAYS",IF(AND(BF3203&gt;120,BF3203&lt;366),"121-365 DAYS",IF(AND(BF3203&gt;365,BF3203&lt;730)," &gt;1YRS&lt;2YRS",IF(AND(BF3203&gt;729,BF3203&lt;1095),"&gt;2YRS&lt;3YRS",IF(BF3203&gt;1094,"&gt;3YRS")))))))))</f>
        <v>0-10 DAYS</v>
      </c>
      <c r="CJ3203" s="137">
        <f t="shared" ref="CJ3203:CJ3206" si="2341">IF(CI3203="0-10 DAYS",1,IF(CI3203="11-30 DAYS",2,IF(CI3203="31-60 DAYS",3,IF(CI3203="61-90 DAYS",4,IF(CK3203="91-120 DAYS",5,IF(CI3203="121-365 DAYS",6,IF(CI3203="&gt;1YRS&lt;2YRS",7,IF(CI3203="&gt;2YRS&lt;3YRS",8,IF(CI3203="&gt;3YRS",9,0)))))))))</f>
        <v>1</v>
      </c>
      <c r="CK3203" s="129" t="str">
        <f t="shared" ref="CK3203:CK3206" si="2342">IF(I3203="Not Booked","Not Booked","Booked")</f>
        <v>Booked</v>
      </c>
    </row>
    <row r="3204" spans="1:89" ht="15" customHeight="1" x14ac:dyDescent="0.25">
      <c r="A3204" s="111">
        <v>3264</v>
      </c>
      <c r="B3204" s="128" t="str">
        <f t="shared" si="2331"/>
        <v>N</v>
      </c>
      <c r="C3204" s="128" t="str">
        <f t="shared" si="2332"/>
        <v>N</v>
      </c>
      <c r="D3204" s="117">
        <v>2616789</v>
      </c>
      <c r="E3204" s="135">
        <f t="shared" si="2333"/>
        <v>2</v>
      </c>
      <c r="F3204" s="124">
        <v>41029</v>
      </c>
      <c r="G3204" s="125">
        <v>41128</v>
      </c>
      <c r="H3204" s="117">
        <v>2616789</v>
      </c>
      <c r="I3204" s="124">
        <v>41030</v>
      </c>
      <c r="J3204" s="124">
        <v>41031</v>
      </c>
      <c r="K3204" s="126">
        <v>10000</v>
      </c>
      <c r="L3204" s="127" t="s">
        <v>570</v>
      </c>
      <c r="M3204" s="125">
        <v>41031</v>
      </c>
      <c r="N3204" s="129" t="str">
        <f t="shared" si="2321"/>
        <v>Y</v>
      </c>
      <c r="O3204" s="128" t="s">
        <v>76</v>
      </c>
      <c r="P3204" s="129" t="s">
        <v>589</v>
      </c>
      <c r="Q3204" s="111">
        <f>BF3204</f>
        <v>2</v>
      </c>
      <c r="R3204" s="111">
        <f t="shared" si="2318"/>
        <v>100</v>
      </c>
      <c r="S3204" s="129">
        <v>0</v>
      </c>
      <c r="T3204" s="129">
        <v>0</v>
      </c>
      <c r="W3204" s="111"/>
      <c r="AB3204" s="131" t="s">
        <v>112</v>
      </c>
      <c r="AC3204" s="130"/>
      <c r="AD3204" s="130">
        <v>34767</v>
      </c>
      <c r="AE3204" s="128" t="s">
        <v>32</v>
      </c>
      <c r="AF3204" s="128" t="s">
        <v>40</v>
      </c>
      <c r="AG3204" s="128" t="s">
        <v>41</v>
      </c>
      <c r="AH3204" s="108" t="s">
        <v>31</v>
      </c>
      <c r="AI3204" s="128" t="s">
        <v>97</v>
      </c>
      <c r="AJ3204" s="129" t="s">
        <v>48</v>
      </c>
      <c r="AK3204" s="129">
        <v>5</v>
      </c>
      <c r="AL3204" s="3" t="s">
        <v>48</v>
      </c>
      <c r="AP3204" s="129" t="s">
        <v>56</v>
      </c>
      <c r="AR3204" s="128" t="s">
        <v>50</v>
      </c>
      <c r="AS3204" s="129" t="s">
        <v>57</v>
      </c>
      <c r="BC3204" s="129" t="s">
        <v>99</v>
      </c>
      <c r="BF3204" s="111">
        <f>IF(J3204&gt;1/1/1900,((J3204+1)-I3204),"STILL OPEN")</f>
        <v>2</v>
      </c>
      <c r="BG3204" s="111">
        <f t="shared" si="2322"/>
        <v>99</v>
      </c>
      <c r="BH3204" s="111">
        <f t="shared" si="2319"/>
        <v>100</v>
      </c>
      <c r="BI3204" s="111">
        <f t="shared" si="2323"/>
        <v>17.10928961748634</v>
      </c>
      <c r="BJ3204" s="129">
        <f t="shared" si="2324"/>
        <v>0</v>
      </c>
      <c r="BK3204" s="129">
        <f t="shared" si="2320"/>
        <v>-97</v>
      </c>
      <c r="BL3204" s="129" t="str">
        <f t="shared" si="2317"/>
        <v>DEFERRED</v>
      </c>
      <c r="BM3204" s="129" t="s">
        <v>76</v>
      </c>
      <c r="BN3204" s="129" t="s">
        <v>88</v>
      </c>
      <c r="BP3204" s="137" t="str">
        <f t="shared" si="2325"/>
        <v>DEFERRED</v>
      </c>
      <c r="BQ3204" s="128" t="str">
        <f t="shared" si="2334"/>
        <v>Y</v>
      </c>
      <c r="BR3204" s="129" t="str">
        <f t="shared" si="2326"/>
        <v>ON BOND</v>
      </c>
      <c r="BS3204" s="129" t="str">
        <f t="shared" si="2327"/>
        <v>DISPOSED</v>
      </c>
      <c r="BT3204" s="129" t="str">
        <f t="shared" si="2328"/>
        <v>N</v>
      </c>
      <c r="BU3204" s="109">
        <f t="shared" si="2329"/>
        <v>0.02</v>
      </c>
      <c r="BV3204" s="109">
        <f t="shared" si="2335"/>
        <v>2.0202020202020204E-2</v>
      </c>
      <c r="BW3204" s="109">
        <f t="shared" si="2305"/>
        <v>2.0202020202020332E-4</v>
      </c>
      <c r="BX3204" s="111">
        <f t="shared" si="2330"/>
        <v>0</v>
      </c>
      <c r="BY3204" s="129">
        <f t="shared" si="2336"/>
        <v>-2</v>
      </c>
      <c r="BZ3204" s="111">
        <f t="shared" si="2337"/>
        <v>0</v>
      </c>
      <c r="CA3204" s="138">
        <f t="shared" si="2338"/>
        <v>2</v>
      </c>
      <c r="CB3204" s="111" t="e">
        <f>IF(AF3204&gt;1/1/1900,((AF3204+1)-AE3204),"STILL OPEN")</f>
        <v>#VALUE!</v>
      </c>
      <c r="CC3204" s="129">
        <f>M3204-I3204+1</f>
        <v>2</v>
      </c>
      <c r="CD3204" s="111">
        <f>CC3204-BF3204</f>
        <v>0</v>
      </c>
      <c r="CG3204" s="129" t="str">
        <f t="shared" si="2339"/>
        <v>N</v>
      </c>
      <c r="CI3204" s="129" t="str">
        <f t="shared" si="2340"/>
        <v>0-10 DAYS</v>
      </c>
      <c r="CJ3204" s="137">
        <f t="shared" si="2341"/>
        <v>1</v>
      </c>
      <c r="CK3204" s="129" t="str">
        <f t="shared" si="2342"/>
        <v>Booked</v>
      </c>
    </row>
    <row r="3205" spans="1:89" ht="15.75" customHeight="1" x14ac:dyDescent="0.25">
      <c r="A3205" s="111">
        <v>3265</v>
      </c>
      <c r="B3205" s="128" t="str">
        <f t="shared" si="2331"/>
        <v>N</v>
      </c>
      <c r="C3205" s="128" t="str">
        <f t="shared" si="2332"/>
        <v>N</v>
      </c>
      <c r="D3205" s="117">
        <v>2616791</v>
      </c>
      <c r="E3205" s="135">
        <f t="shared" si="2333"/>
        <v>1</v>
      </c>
      <c r="F3205" s="124">
        <v>41029</v>
      </c>
      <c r="G3205" s="125">
        <v>41031</v>
      </c>
      <c r="H3205" s="117">
        <v>2616791</v>
      </c>
      <c r="I3205" s="124">
        <v>41030</v>
      </c>
      <c r="J3205" s="124">
        <v>41031</v>
      </c>
      <c r="K3205" s="126">
        <v>10000</v>
      </c>
      <c r="L3205" s="127" t="s">
        <v>570</v>
      </c>
      <c r="N3205" s="129" t="str">
        <f t="shared" si="2321"/>
        <v>N</v>
      </c>
      <c r="O3205" s="128" t="s">
        <v>917</v>
      </c>
      <c r="P3205" s="129" t="s">
        <v>55</v>
      </c>
      <c r="Q3205" s="111">
        <f>BF3205</f>
        <v>2</v>
      </c>
      <c r="R3205" s="111">
        <f t="shared" si="2318"/>
        <v>3</v>
      </c>
      <c r="S3205" s="129">
        <v>0</v>
      </c>
      <c r="T3205" s="129">
        <v>0</v>
      </c>
      <c r="W3205" s="111"/>
      <c r="AC3205" s="130"/>
      <c r="AD3205" s="130">
        <v>28743</v>
      </c>
      <c r="AE3205" s="128" t="s">
        <v>32</v>
      </c>
      <c r="AF3205" s="128" t="s">
        <v>33</v>
      </c>
      <c r="AG3205" s="128" t="s">
        <v>872</v>
      </c>
      <c r="AH3205" s="108" t="s">
        <v>31</v>
      </c>
      <c r="AI3205" s="128" t="s">
        <v>47</v>
      </c>
      <c r="AJ3205" s="129" t="s">
        <v>55</v>
      </c>
      <c r="AK3205" s="129">
        <v>1</v>
      </c>
      <c r="AL3205" s="3" t="s">
        <v>55</v>
      </c>
      <c r="AP3205" s="129" t="s">
        <v>49</v>
      </c>
      <c r="AR3205" s="128" t="s">
        <v>50</v>
      </c>
      <c r="AS3205" s="129" t="s">
        <v>45</v>
      </c>
      <c r="BC3205" s="129" t="s">
        <v>79</v>
      </c>
      <c r="BF3205" s="111">
        <f>IF(J3205&gt;1/1/1900,((J3205+1)-I3205),"STILL OPEN")</f>
        <v>2</v>
      </c>
      <c r="BG3205" s="111">
        <f t="shared" si="2322"/>
        <v>2</v>
      </c>
      <c r="BH3205" s="111">
        <f t="shared" si="2319"/>
        <v>3</v>
      </c>
      <c r="BI3205" s="111">
        <f t="shared" si="2323"/>
        <v>33.568306010928964</v>
      </c>
      <c r="BJ3205" s="129">
        <f>G3205-J3205-M3205</f>
        <v>0</v>
      </c>
      <c r="BK3205" s="129">
        <f t="shared" si="2320"/>
        <v>0</v>
      </c>
      <c r="BL3205" s="129" t="str">
        <f t="shared" si="2317"/>
        <v>NO CONVICTION</v>
      </c>
      <c r="BM3205" s="129" t="str">
        <f>O3205</f>
        <v>NONE</v>
      </c>
      <c r="BN3205" s="129" t="s">
        <v>566</v>
      </c>
      <c r="BP3205" s="137" t="str">
        <f t="shared" si="2325"/>
        <v>NO CONVICTION</v>
      </c>
      <c r="BQ3205" s="128" t="str">
        <f t="shared" si="2334"/>
        <v>Y</v>
      </c>
      <c r="BR3205" s="129" t="str">
        <f t="shared" si="2326"/>
        <v>DETAINED</v>
      </c>
      <c r="BS3205" s="129" t="str">
        <f t="shared" si="2327"/>
        <v>DISPOSED</v>
      </c>
      <c r="BT3205" s="129" t="str">
        <f t="shared" si="2328"/>
        <v>N</v>
      </c>
      <c r="BU3205" s="109">
        <f>IFERROR(Q3205/R3205,BR3205)</f>
        <v>0.66666666666666663</v>
      </c>
      <c r="BV3205" s="109">
        <f t="shared" si="2335"/>
        <v>1</v>
      </c>
      <c r="BW3205" s="109">
        <f t="shared" si="2305"/>
        <v>0.33333333333333337</v>
      </c>
      <c r="BX3205" s="111">
        <f t="shared" si="2330"/>
        <v>0</v>
      </c>
      <c r="BY3205" s="129">
        <f t="shared" si="2336"/>
        <v>-2</v>
      </c>
      <c r="BZ3205" s="111">
        <f t="shared" si="2337"/>
        <v>0</v>
      </c>
      <c r="CA3205" s="138">
        <f t="shared" si="2338"/>
        <v>2</v>
      </c>
      <c r="CB3205" s="111" t="e">
        <f>IF(AF3205&gt;1/1/1900,((AF3205+1)-AE3205),"STILL OPEN")</f>
        <v>#VALUE!</v>
      </c>
      <c r="CC3205" s="129">
        <f>G3205-I3205+1</f>
        <v>2</v>
      </c>
      <c r="CD3205" s="129">
        <f>G3205-J3205</f>
        <v>0</v>
      </c>
      <c r="CG3205" s="129" t="str">
        <f t="shared" si="2339"/>
        <v>N</v>
      </c>
      <c r="CI3205" s="129" t="str">
        <f t="shared" si="2340"/>
        <v>0-10 DAYS</v>
      </c>
      <c r="CJ3205" s="137">
        <f t="shared" si="2341"/>
        <v>1</v>
      </c>
      <c r="CK3205" s="129" t="str">
        <f t="shared" si="2342"/>
        <v>Booked</v>
      </c>
    </row>
    <row r="3206" spans="1:89" ht="18" customHeight="1" x14ac:dyDescent="0.25">
      <c r="A3206" s="111">
        <v>3268</v>
      </c>
      <c r="B3206" s="128" t="str">
        <f t="shared" si="2331"/>
        <v>N</v>
      </c>
      <c r="C3206" s="128" t="str">
        <f t="shared" si="2332"/>
        <v>N</v>
      </c>
      <c r="D3206" s="117">
        <v>2616797</v>
      </c>
      <c r="E3206" s="135">
        <f t="shared" si="2333"/>
        <v>2</v>
      </c>
      <c r="F3206" s="124">
        <v>41029</v>
      </c>
      <c r="G3206" s="125">
        <v>41031</v>
      </c>
      <c r="H3206" s="117">
        <v>2616797</v>
      </c>
      <c r="I3206" s="124">
        <v>41030</v>
      </c>
      <c r="J3206" s="124">
        <v>41031</v>
      </c>
      <c r="K3206" s="126">
        <v>5000</v>
      </c>
      <c r="L3206" s="127" t="s">
        <v>569</v>
      </c>
      <c r="N3206" s="129" t="str">
        <f t="shared" si="2321"/>
        <v>N</v>
      </c>
      <c r="O3206" s="128" t="s">
        <v>917</v>
      </c>
      <c r="P3206" s="129" t="s">
        <v>589</v>
      </c>
      <c r="Q3206" s="111">
        <f>BF3206</f>
        <v>2</v>
      </c>
      <c r="R3206" s="111">
        <f t="shared" si="2318"/>
        <v>3</v>
      </c>
      <c r="S3206" s="129">
        <v>0</v>
      </c>
      <c r="T3206" s="129">
        <v>0</v>
      </c>
      <c r="W3206" s="111"/>
      <c r="AC3206" s="130"/>
      <c r="AD3206" s="130">
        <v>33703</v>
      </c>
      <c r="AE3206" s="128" t="s">
        <v>46</v>
      </c>
      <c r="AF3206" s="128" t="s">
        <v>69</v>
      </c>
      <c r="AG3206" s="128" t="s">
        <v>874</v>
      </c>
      <c r="AH3206" s="108" t="s">
        <v>31</v>
      </c>
      <c r="AI3206" s="128" t="s">
        <v>34</v>
      </c>
      <c r="AJ3206" s="129" t="s">
        <v>48</v>
      </c>
      <c r="AL3206" s="3" t="s">
        <v>48</v>
      </c>
      <c r="AP3206" s="129" t="s">
        <v>136</v>
      </c>
      <c r="AR3206" s="128" t="s">
        <v>67</v>
      </c>
      <c r="AS3206" s="129" t="s">
        <v>64</v>
      </c>
      <c r="BC3206" s="129" t="s">
        <v>38</v>
      </c>
      <c r="BF3206" s="111">
        <f>IF(J3206&gt;1/1/1900,((J3206+1)-I3206),"STILL OPEN")</f>
        <v>2</v>
      </c>
      <c r="BG3206" s="111">
        <f t="shared" si="2322"/>
        <v>2</v>
      </c>
      <c r="BH3206" s="111">
        <f t="shared" si="2319"/>
        <v>3</v>
      </c>
      <c r="BI3206" s="111">
        <f t="shared" si="2323"/>
        <v>20.016393442622952</v>
      </c>
      <c r="BJ3206" s="129">
        <f>G3206-J3206-M3206</f>
        <v>0</v>
      </c>
      <c r="BK3206" s="129">
        <f t="shared" si="2320"/>
        <v>0</v>
      </c>
      <c r="BL3206" s="129" t="str">
        <f t="shared" si="2317"/>
        <v>DEFERRED</v>
      </c>
      <c r="BM3206" s="129" t="str">
        <f>O3206</f>
        <v>NONE</v>
      </c>
      <c r="BN3206" s="129" t="s">
        <v>566</v>
      </c>
      <c r="BP3206" s="137" t="str">
        <f t="shared" si="2325"/>
        <v>DEFERRED</v>
      </c>
      <c r="BQ3206" s="128" t="str">
        <f t="shared" si="2334"/>
        <v>Y</v>
      </c>
      <c r="BR3206" s="129" t="str">
        <f t="shared" si="2326"/>
        <v>DETAINED</v>
      </c>
      <c r="BS3206" s="129" t="str">
        <f t="shared" si="2327"/>
        <v>DISPOSED</v>
      </c>
      <c r="BT3206" s="129" t="str">
        <f t="shared" si="2328"/>
        <v>N</v>
      </c>
      <c r="BU3206" s="109">
        <f t="shared" si="2329"/>
        <v>0.66666666666666663</v>
      </c>
      <c r="BV3206" s="109">
        <f t="shared" si="2335"/>
        <v>1</v>
      </c>
      <c r="BW3206" s="109">
        <f t="shared" si="2305"/>
        <v>0.33333333333333337</v>
      </c>
      <c r="BX3206" s="111">
        <f t="shared" si="2330"/>
        <v>0</v>
      </c>
      <c r="BY3206" s="129">
        <f t="shared" si="2336"/>
        <v>-2</v>
      </c>
      <c r="BZ3206" s="111">
        <f t="shared" si="2337"/>
        <v>0</v>
      </c>
      <c r="CA3206" s="138">
        <f t="shared" si="2338"/>
        <v>2</v>
      </c>
      <c r="CB3206" s="111" t="e">
        <f>IF(AF3206&gt;1/1/1900,((AF3206+1)-AE3206),"STILL OPEN")</f>
        <v>#VALUE!</v>
      </c>
      <c r="CC3206" s="129">
        <f>G3206-I3206+1</f>
        <v>2</v>
      </c>
      <c r="CD3206" s="129">
        <f>G3206-J3206</f>
        <v>0</v>
      </c>
      <c r="CG3206" s="129" t="str">
        <f t="shared" si="2339"/>
        <v>N</v>
      </c>
      <c r="CI3206" s="129" t="str">
        <f t="shared" si="2340"/>
        <v>0-10 DAYS</v>
      </c>
      <c r="CJ3206" s="137">
        <f t="shared" si="2341"/>
        <v>1</v>
      </c>
      <c r="CK3206" s="129" t="str">
        <f t="shared" si="2342"/>
        <v>Booked</v>
      </c>
    </row>
    <row r="3207" spans="1:89" ht="15" customHeight="1" x14ac:dyDescent="0.25">
      <c r="AD3207" s="130"/>
    </row>
    <row r="3208" spans="1:89" ht="15" customHeight="1" x14ac:dyDescent="0.25">
      <c r="AB3208" s="131">
        <f>COUNTIF(AB2:AB3207,"S")</f>
        <v>411</v>
      </c>
    </row>
    <row r="3210" spans="1:89" ht="15" customHeight="1" x14ac:dyDescent="0.25">
      <c r="H3210" s="124"/>
      <c r="I3210" s="124"/>
      <c r="J3210" s="124"/>
    </row>
    <row r="3211" spans="1:89" ht="15" customHeight="1" x14ac:dyDescent="0.25">
      <c r="F3211" s="140">
        <v>40954</v>
      </c>
      <c r="G3211" s="125">
        <v>40981</v>
      </c>
      <c r="I3211" s="124"/>
      <c r="J3211" s="125"/>
    </row>
    <row r="3212" spans="1:89" ht="15" customHeight="1" x14ac:dyDescent="0.25">
      <c r="F3212" s="140">
        <v>40958</v>
      </c>
      <c r="G3212" s="125">
        <v>41002</v>
      </c>
      <c r="I3212" s="124"/>
      <c r="J3212" s="125"/>
    </row>
    <row r="3213" spans="1:89" ht="15" customHeight="1" x14ac:dyDescent="0.25">
      <c r="F3213" s="128">
        <f>F3212-F3211+1</f>
        <v>5</v>
      </c>
      <c r="G3213" s="129">
        <f>G3212-G3211+1</f>
        <v>22</v>
      </c>
      <c r="I3213" s="124"/>
      <c r="J3213" s="125"/>
    </row>
    <row r="3215" spans="1:89" ht="15" customHeight="1" x14ac:dyDescent="0.25">
      <c r="J3215" s="155"/>
    </row>
    <row r="3233" spans="74:74" ht="15" customHeight="1" x14ac:dyDescent="0.25">
      <c r="BV3233" s="109" t="s">
        <v>1023</v>
      </c>
    </row>
  </sheetData>
  <sortState ref="A2:BQ3233">
    <sortCondition ref="H2:H3233"/>
  </sortState>
  <conditionalFormatting sqref="BD374 AV37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37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scale="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528"/>
  <sheetViews>
    <sheetView topLeftCell="A75" zoomScale="90" zoomScaleNormal="90" workbookViewId="0">
      <selection activeCell="H102" sqref="H102"/>
    </sheetView>
  </sheetViews>
  <sheetFormatPr defaultRowHeight="15" x14ac:dyDescent="0.25"/>
  <cols>
    <col min="1" max="3" width="9.140625" style="4"/>
    <col min="4" max="4" width="30.7109375" style="4" customWidth="1"/>
    <col min="5" max="5" width="35.7109375" style="4" customWidth="1"/>
    <col min="6" max="6" width="32.140625" style="4" customWidth="1"/>
    <col min="7" max="7" width="26.140625" style="4" customWidth="1"/>
    <col min="8" max="8" width="38.7109375" style="4" customWidth="1"/>
    <col min="9" max="9" width="18" style="4" customWidth="1"/>
    <col min="10" max="10" width="24.5703125" style="4" customWidth="1"/>
    <col min="11" max="11" width="28.85546875" style="4" customWidth="1"/>
    <col min="12" max="12" width="27.5703125" style="4" customWidth="1"/>
    <col min="13" max="13" width="29.42578125" style="4" customWidth="1"/>
    <col min="14" max="14" width="32.140625" style="4" customWidth="1"/>
    <col min="15" max="15" width="33.42578125" style="4" customWidth="1"/>
    <col min="16" max="16" width="30.42578125" style="4" customWidth="1"/>
    <col min="17" max="17" width="24.140625" style="4" customWidth="1"/>
    <col min="18" max="18" width="14.28515625" style="4" bestFit="1" customWidth="1"/>
    <col min="19" max="19" width="25.140625" style="4" bestFit="1" customWidth="1"/>
    <col min="20" max="21" width="18.7109375" style="4" customWidth="1"/>
    <col min="22" max="22" width="26.7109375" style="4" bestFit="1" customWidth="1"/>
    <col min="23" max="23" width="12" style="4" bestFit="1" customWidth="1"/>
    <col min="24" max="24" width="19.140625" style="4" bestFit="1" customWidth="1"/>
    <col min="25" max="25" width="14" style="4" bestFit="1" customWidth="1"/>
    <col min="26" max="26" width="27.5703125" style="4" customWidth="1"/>
    <col min="27" max="27" width="9.140625" style="4"/>
    <col min="28" max="28" width="20.140625" style="4" bestFit="1" customWidth="1"/>
    <col min="29" max="29" width="9.140625" style="4"/>
    <col min="30" max="30" width="7.5703125" style="4" bestFit="1" customWidth="1"/>
    <col min="31" max="16384" width="9.140625" style="4"/>
  </cols>
  <sheetData>
    <row r="1" spans="1:18" ht="18.75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</row>
    <row r="2" spans="1:18" ht="18.75" x14ac:dyDescent="0.3">
      <c r="A2" s="25"/>
      <c r="B2" s="25"/>
      <c r="C2" s="25"/>
      <c r="D2" s="52" t="s">
        <v>877</v>
      </c>
      <c r="E2" s="52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</row>
    <row r="3" spans="1:18" ht="19.5" thickBot="1" x14ac:dyDescent="0.3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</row>
    <row r="4" spans="1:18" ht="19.5" thickBot="1" x14ac:dyDescent="0.35">
      <c r="A4" s="25"/>
      <c r="B4" s="25"/>
      <c r="C4" s="25"/>
      <c r="D4" s="11" t="s">
        <v>581</v>
      </c>
      <c r="E4" s="38" t="s">
        <v>875</v>
      </c>
      <c r="F4" s="53" t="s">
        <v>876</v>
      </c>
      <c r="G4" s="23"/>
      <c r="H4" s="8"/>
      <c r="I4" s="8"/>
      <c r="J4" s="8"/>
      <c r="K4" s="25"/>
      <c r="L4" s="25"/>
      <c r="M4" s="25"/>
      <c r="N4" s="25"/>
      <c r="O4" s="25"/>
      <c r="P4" s="25"/>
      <c r="Q4" s="25"/>
      <c r="R4" s="25"/>
    </row>
    <row r="5" spans="1:18" ht="18.75" x14ac:dyDescent="0.3">
      <c r="A5" s="25"/>
      <c r="B5" s="25"/>
      <c r="C5" s="25"/>
      <c r="D5" s="46" t="s">
        <v>872</v>
      </c>
      <c r="E5" s="54" t="e">
        <f>GETPIVOTDATA("Count of Race/Ethnicity2",#REF!,"Race/Ethnicity","BLACK")</f>
        <v>#REF!</v>
      </c>
      <c r="F5" s="22" t="e">
        <f>GETPIVOTDATA("Count of Race/Ethnicity",#REF!,"Race/Ethnicity","BLACK")</f>
        <v>#REF!</v>
      </c>
      <c r="G5" s="23"/>
      <c r="H5" s="9"/>
      <c r="I5" s="10"/>
      <c r="J5" s="9"/>
      <c r="K5" s="25"/>
      <c r="L5" s="25"/>
      <c r="M5" s="25"/>
      <c r="N5" s="25"/>
      <c r="O5" s="25"/>
      <c r="P5" s="25"/>
      <c r="Q5" s="25"/>
      <c r="R5" s="25"/>
    </row>
    <row r="6" spans="1:18" ht="18.75" x14ac:dyDescent="0.3">
      <c r="A6" s="25"/>
      <c r="B6" s="25"/>
      <c r="C6" s="25"/>
      <c r="D6" s="55" t="s">
        <v>41</v>
      </c>
      <c r="E6" s="54" t="e">
        <f>GETPIVOTDATA("Count of Race/Ethnicity2",#REF!,"Race/Ethnicity","HISPANIC")</f>
        <v>#REF!</v>
      </c>
      <c r="F6" s="56" t="e">
        <f>GETPIVOTDATA("Count of Race/Ethnicity",#REF!,"Race/Ethnicity","HISPANIC")</f>
        <v>#REF!</v>
      </c>
      <c r="G6" s="23"/>
      <c r="H6" s="9"/>
      <c r="I6" s="10"/>
      <c r="J6" s="9"/>
      <c r="K6" s="25"/>
      <c r="L6" s="25"/>
      <c r="M6" s="25"/>
      <c r="N6" s="25"/>
      <c r="O6" s="25"/>
      <c r="P6" s="25"/>
      <c r="Q6" s="25"/>
      <c r="R6" s="25"/>
    </row>
    <row r="7" spans="1:18" ht="18.75" x14ac:dyDescent="0.3">
      <c r="A7" s="25"/>
      <c r="B7" s="25"/>
      <c r="C7" s="25"/>
      <c r="D7" s="55" t="s">
        <v>874</v>
      </c>
      <c r="E7" s="57" t="e">
        <f>GETPIVOTDATA("Count of Race/Ethnicity2",#REF!,"Race/Ethnicity","WHITE")</f>
        <v>#REF!</v>
      </c>
      <c r="F7" s="56" t="e">
        <f>GETPIVOTDATA("Count of Race/Ethnicity",#REF!,"Race/Ethnicity","WHITE")</f>
        <v>#REF!</v>
      </c>
      <c r="G7" s="23"/>
      <c r="H7" s="9"/>
      <c r="I7" s="10"/>
      <c r="J7" s="9"/>
      <c r="K7" s="25"/>
      <c r="L7" s="25"/>
      <c r="M7" s="25"/>
      <c r="N7" s="25"/>
      <c r="O7" s="25"/>
      <c r="P7" s="25"/>
      <c r="Q7" s="25"/>
      <c r="R7" s="25"/>
    </row>
    <row r="8" spans="1:18" ht="19.5" thickBot="1" x14ac:dyDescent="0.35">
      <c r="A8" s="25"/>
      <c r="B8" s="25"/>
      <c r="C8" s="25"/>
      <c r="D8" s="58" t="s">
        <v>873</v>
      </c>
      <c r="E8" s="59" t="e">
        <f>GETPIVOTDATA("Count of Race/Ethnicity2",#REF!,"Race/Ethnicity","OTHER")</f>
        <v>#REF!</v>
      </c>
      <c r="F8" s="60" t="e">
        <f>GETPIVOTDATA("Count of Race/Ethnicity",#REF!,"Race/Ethnicity","OTHER")</f>
        <v>#REF!</v>
      </c>
      <c r="G8" s="24"/>
      <c r="H8" s="9"/>
      <c r="I8" s="10"/>
      <c r="J8" s="9"/>
      <c r="K8" s="25"/>
      <c r="L8" s="25"/>
      <c r="M8" s="25"/>
      <c r="N8" s="25"/>
      <c r="O8" s="25"/>
      <c r="P8" s="25"/>
      <c r="Q8" s="25"/>
      <c r="R8" s="25"/>
    </row>
    <row r="9" spans="1:18" ht="19.5" thickBot="1" x14ac:dyDescent="0.35">
      <c r="A9" s="25"/>
      <c r="B9" s="25"/>
      <c r="C9" s="25"/>
      <c r="D9" s="5" t="s">
        <v>582</v>
      </c>
      <c r="E9" s="61" t="e">
        <f>GETPIVOTDATA("Count of Race/Ethnicity2",#REF!)</f>
        <v>#REF!</v>
      </c>
      <c r="F9" s="7" t="e">
        <f>GETPIVOTDATA("Count of Race/Ethnicity",#REF!)</f>
        <v>#REF!</v>
      </c>
      <c r="G9" s="10"/>
      <c r="H9" s="9"/>
      <c r="I9" s="10"/>
      <c r="J9" s="9"/>
      <c r="K9" s="25"/>
      <c r="L9" s="25"/>
      <c r="M9" s="25"/>
      <c r="N9" s="25"/>
      <c r="O9" s="25"/>
      <c r="P9" s="25"/>
      <c r="Q9" s="25"/>
      <c r="R9" s="25"/>
    </row>
    <row r="10" spans="1:18" ht="18.75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</row>
    <row r="11" spans="1:18" ht="18.75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</row>
    <row r="12" spans="1:18" ht="18.75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</row>
    <row r="13" spans="1:18" ht="18.75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1:18" ht="18.75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</row>
    <row r="15" spans="1:18" ht="18.75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</row>
    <row r="16" spans="1:18" ht="18.75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</row>
    <row r="17" spans="1:18" ht="18.75" x14ac:dyDescent="0.3">
      <c r="A17" s="25"/>
      <c r="B17" s="25"/>
      <c r="C17" s="25"/>
      <c r="D17" s="52" t="s">
        <v>878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</row>
    <row r="18" spans="1:18" ht="19.5" thickBot="1" x14ac:dyDescent="0.3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</row>
    <row r="19" spans="1:18" ht="19.5" thickBot="1" x14ac:dyDescent="0.35">
      <c r="A19" s="25"/>
      <c r="B19" s="25"/>
      <c r="C19" s="25"/>
      <c r="D19" s="11" t="s">
        <v>581</v>
      </c>
      <c r="E19" s="38" t="s">
        <v>1052</v>
      </c>
      <c r="F19" s="38" t="s">
        <v>1051</v>
      </c>
      <c r="G19" s="38" t="s">
        <v>1053</v>
      </c>
      <c r="H19" s="50" t="s">
        <v>990</v>
      </c>
      <c r="I19" s="25"/>
      <c r="J19" s="25"/>
      <c r="K19" s="25"/>
      <c r="L19" s="25"/>
      <c r="M19" s="25"/>
      <c r="N19" s="25"/>
      <c r="O19" s="25"/>
      <c r="P19" s="25"/>
      <c r="Q19" s="25"/>
      <c r="R19" s="25"/>
    </row>
    <row r="20" spans="1:18" ht="18.75" x14ac:dyDescent="0.3">
      <c r="A20" s="25"/>
      <c r="B20" s="25"/>
      <c r="C20" s="25"/>
      <c r="D20" s="46" t="s">
        <v>872</v>
      </c>
      <c r="E20" s="54" t="e">
        <f>GETPIVOTDATA("MADE Y / N",#REF!,"MADE Y / N","N","Race/Ethnicity","BLACK")</f>
        <v>#REF!</v>
      </c>
      <c r="F20" s="54" t="e">
        <f>GETPIVOTDATA("MADE Y / N",#REF!,"MADE Y / N","Y","Race/Ethnicity","BLACK")</f>
        <v>#REF!</v>
      </c>
      <c r="G20" s="54" t="e">
        <f>GETPIVOTDATA("MADE Y / N",#REF!,"MADE Y / N","NO BOND NOT BOOKED","Race/Ethnicity","BLACK")</f>
        <v>#REF!</v>
      </c>
      <c r="H20" s="46" t="e">
        <f>GETPIVOTDATA("MADE Y / N",#REF!,"Race/Ethnicity","BLACK")</f>
        <v>#REF!</v>
      </c>
      <c r="I20" s="25"/>
      <c r="J20" s="25"/>
      <c r="K20" s="25"/>
      <c r="L20" s="25"/>
      <c r="M20" s="25"/>
      <c r="N20" s="25"/>
      <c r="O20" s="25"/>
      <c r="P20" s="25"/>
      <c r="Q20" s="25"/>
      <c r="R20" s="25"/>
    </row>
    <row r="21" spans="1:18" ht="18.75" x14ac:dyDescent="0.3">
      <c r="A21" s="25"/>
      <c r="B21" s="25"/>
      <c r="C21" s="25"/>
      <c r="D21" s="55" t="s">
        <v>41</v>
      </c>
      <c r="E21" s="57" t="e">
        <f>GETPIVOTDATA("MADE Y / N",#REF!,"MADE Y / N","N","Race/Ethnicity","HISPANIC")</f>
        <v>#REF!</v>
      </c>
      <c r="F21" s="57" t="e">
        <f>GETPIVOTDATA("MADE Y / N",#REF!,"MADE Y / N","Y","Race/Ethnicity","HISPANIC")</f>
        <v>#REF!</v>
      </c>
      <c r="G21" s="57" t="e">
        <f>GETPIVOTDATA("MADE Y / N",#REF!,"MADE Y / N","NO BOND NOT BOOKED","Race/Ethnicity","HISPANIC")</f>
        <v>#REF!</v>
      </c>
      <c r="H21" s="55" t="e">
        <f>GETPIVOTDATA("MADE Y / N",#REF!,"Race/Ethnicity","HISPANIC")</f>
        <v>#REF!</v>
      </c>
      <c r="I21" s="25"/>
      <c r="J21" s="25"/>
      <c r="K21" s="25"/>
      <c r="L21" s="25"/>
      <c r="M21" s="25"/>
      <c r="N21" s="25"/>
      <c r="O21" s="25"/>
      <c r="P21" s="25"/>
      <c r="Q21" s="25"/>
      <c r="R21" s="25"/>
    </row>
    <row r="22" spans="1:18" ht="18.75" x14ac:dyDescent="0.3">
      <c r="A22" s="25"/>
      <c r="B22" s="25"/>
      <c r="C22" s="25"/>
      <c r="D22" s="55" t="s">
        <v>874</v>
      </c>
      <c r="E22" s="57" t="e">
        <f>GETPIVOTDATA("MADE Y / N",#REF!,"MADE Y / N","N","Race/Ethnicity","WHITE")</f>
        <v>#REF!</v>
      </c>
      <c r="F22" s="57" t="e">
        <f>GETPIVOTDATA("MADE Y / N",#REF!,"MADE Y / N","Y","Race/Ethnicity","WHITE")</f>
        <v>#REF!</v>
      </c>
      <c r="G22" s="57" t="e">
        <f>GETPIVOTDATA("MADE Y / N",#REF!,"MADE Y / N","NO BOND NOT BOOKED","Race/Ethnicity","WHITE")</f>
        <v>#REF!</v>
      </c>
      <c r="H22" s="55" t="e">
        <f>GETPIVOTDATA("MADE Y / N",#REF!,"Race/Ethnicity","WHITE")</f>
        <v>#REF!</v>
      </c>
      <c r="I22" s="25"/>
      <c r="J22" s="25"/>
      <c r="K22" s="25"/>
      <c r="L22" s="25"/>
      <c r="M22" s="25"/>
      <c r="N22" s="25"/>
      <c r="O22" s="25"/>
      <c r="P22" s="25"/>
      <c r="Q22" s="25"/>
      <c r="R22" s="25"/>
    </row>
    <row r="23" spans="1:18" ht="19.5" thickBot="1" x14ac:dyDescent="0.35">
      <c r="A23" s="25"/>
      <c r="B23" s="25"/>
      <c r="C23" s="25"/>
      <c r="D23" s="58" t="s">
        <v>873</v>
      </c>
      <c r="E23" s="59" t="e">
        <f>GETPIVOTDATA("MADE Y / N",#REF!,"MADE Y / N","N","Race/Ethnicity","OTHER")</f>
        <v>#REF!</v>
      </c>
      <c r="F23" s="59" t="e">
        <f>GETPIVOTDATA("MADE Y / N",#REF!,"MADE Y / N","Y","Race/Ethnicity","OTHER")</f>
        <v>#REF!</v>
      </c>
      <c r="G23" s="59" t="e">
        <f>GETPIVOTDATA("MADE Y / N",#REF!,"MADE Y / N","NO BOND NOT BOOKED","Race/Ethnicity","OTHER")</f>
        <v>#REF!</v>
      </c>
      <c r="H23" s="58" t="e">
        <f>GETPIVOTDATA("MADE Y / N",#REF!,"Race/Ethnicity","OTHER")</f>
        <v>#REF!</v>
      </c>
      <c r="I23" s="25"/>
      <c r="J23" s="25"/>
      <c r="K23" s="25"/>
      <c r="L23" s="25"/>
      <c r="M23" s="25"/>
      <c r="N23" s="25"/>
      <c r="O23" s="25"/>
      <c r="P23" s="25"/>
      <c r="Q23" s="25"/>
      <c r="R23" s="25"/>
    </row>
    <row r="24" spans="1:18" ht="19.5" thickBot="1" x14ac:dyDescent="0.35">
      <c r="A24" s="25"/>
      <c r="B24" s="25"/>
      <c r="C24" s="25"/>
      <c r="D24" s="5" t="s">
        <v>582</v>
      </c>
      <c r="E24" s="61" t="e">
        <f>GETPIVOTDATA("MADE Y / N",#REF!,"MADE Y / N","N")</f>
        <v>#REF!</v>
      </c>
      <c r="F24" s="61" t="e">
        <f>GETPIVOTDATA("MADE Y / N",#REF!,"MADE Y / N","Y")</f>
        <v>#REF!</v>
      </c>
      <c r="G24" s="61" t="e">
        <f>SUM(G20:G23)</f>
        <v>#REF!</v>
      </c>
      <c r="H24" s="5" t="e">
        <f>GETPIVOTDATA("MADE Y / N",#REF!)</f>
        <v>#REF!</v>
      </c>
      <c r="I24" s="25"/>
      <c r="J24" s="25"/>
      <c r="K24" s="25"/>
      <c r="L24" s="25"/>
      <c r="M24" s="25"/>
      <c r="N24" s="25"/>
      <c r="O24" s="25"/>
      <c r="P24" s="25"/>
      <c r="Q24" s="25"/>
      <c r="R24" s="25"/>
    </row>
    <row r="25" spans="1:18" ht="18.75" x14ac:dyDescent="0.3">
      <c r="A25" s="25"/>
      <c r="B25" s="25"/>
      <c r="C25" s="25"/>
      <c r="D25" s="10"/>
      <c r="E25" s="10"/>
      <c r="F25" s="10"/>
      <c r="G25" s="10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</row>
    <row r="26" spans="1:18" ht="18.75" x14ac:dyDescent="0.3">
      <c r="A26" s="25"/>
      <c r="B26" s="25"/>
      <c r="C26" s="25"/>
      <c r="D26" s="10"/>
      <c r="E26" s="10"/>
      <c r="F26" s="10"/>
      <c r="G26" s="10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</row>
    <row r="27" spans="1:18" ht="18.75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</row>
    <row r="28" spans="1:18" ht="18.75" x14ac:dyDescent="0.3">
      <c r="A28" s="25"/>
      <c r="B28" s="25"/>
      <c r="C28" s="25"/>
      <c r="D28" s="52" t="s">
        <v>879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</row>
    <row r="29" spans="1:18" ht="19.5" thickBot="1" x14ac:dyDescent="0.3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</row>
    <row r="30" spans="1:18" ht="19.5" thickBot="1" x14ac:dyDescent="0.35">
      <c r="A30" s="25"/>
      <c r="B30" s="25"/>
      <c r="C30" s="25"/>
      <c r="D30" s="11" t="s">
        <v>581</v>
      </c>
      <c r="E30" s="19" t="s">
        <v>578</v>
      </c>
      <c r="F30" s="53" t="s">
        <v>579</v>
      </c>
      <c r="G30" s="8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</row>
    <row r="31" spans="1:18" ht="18.75" x14ac:dyDescent="0.3">
      <c r="A31" s="25"/>
      <c r="B31" s="25"/>
      <c r="C31" s="25"/>
      <c r="D31" s="46" t="s">
        <v>872</v>
      </c>
      <c r="E31" s="22" t="e">
        <f>GETPIVOTDATA("MADE Y / N",#REF!,"MADE Y / N","N","Race/Ethnicity","BLACK")</f>
        <v>#REF!</v>
      </c>
      <c r="F31" s="22" t="e">
        <f>GETPIVOTDATA("MADE Y / N",#REF!,"MADE Y / N","Y","Race/Ethnicity","BLACK")</f>
        <v>#REF!</v>
      </c>
      <c r="G31" s="9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</row>
    <row r="32" spans="1:18" ht="18.75" x14ac:dyDescent="0.3">
      <c r="A32" s="25"/>
      <c r="B32" s="25"/>
      <c r="C32" s="25"/>
      <c r="D32" s="55" t="s">
        <v>41</v>
      </c>
      <c r="E32" s="56" t="e">
        <f>+GETPIVOTDATA("MADE Y / N",#REF!,"MADE Y / N","N","Race/Ethnicity","HISPANIC")</f>
        <v>#REF!</v>
      </c>
      <c r="F32" s="56" t="e">
        <f>GETPIVOTDATA("MADE Y / N",#REF!,"MADE Y / N","Y","Race/Ethnicity","HISPANIC")</f>
        <v>#REF!</v>
      </c>
      <c r="G32" s="9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</row>
    <row r="33" spans="1:19" ht="18.75" x14ac:dyDescent="0.3">
      <c r="A33" s="25"/>
      <c r="B33" s="25"/>
      <c r="C33" s="25"/>
      <c r="D33" s="55" t="s">
        <v>874</v>
      </c>
      <c r="E33" s="56" t="e">
        <f>GETPIVOTDATA("MADE Y / N",#REF!,"MADE Y / N","N","Race/Ethnicity","WHITE")</f>
        <v>#REF!</v>
      </c>
      <c r="F33" s="56">
        <v>0.45263157894736844</v>
      </c>
      <c r="G33" s="9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</row>
    <row r="34" spans="1:19" ht="19.5" thickBot="1" x14ac:dyDescent="0.35">
      <c r="A34" s="25"/>
      <c r="B34" s="25"/>
      <c r="C34" s="25"/>
      <c r="D34" s="58" t="s">
        <v>873</v>
      </c>
      <c r="E34" s="60" t="e">
        <f>GETPIVOTDATA("MADE Y / N",#REF!,"MADE Y / N","N","Race/Ethnicity","OTHER")</f>
        <v>#REF!</v>
      </c>
      <c r="F34" s="60" t="e">
        <f>GETPIVOTDATA("MADE Y / N",#REF!,"MADE Y / N","Y","Race/Ethnicity","OTHER")</f>
        <v>#REF!</v>
      </c>
      <c r="G34" s="9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</row>
    <row r="35" spans="1:19" ht="19.5" thickBot="1" x14ac:dyDescent="0.35">
      <c r="A35" s="25"/>
      <c r="B35" s="25"/>
      <c r="C35" s="25"/>
      <c r="D35" s="5" t="s">
        <v>582</v>
      </c>
      <c r="E35" s="7" t="e">
        <f>GETPIVOTDATA("MADE Y / N",#REF!,"MADE Y / N","N")</f>
        <v>#REF!</v>
      </c>
      <c r="F35" s="7" t="e">
        <f>GETPIVOTDATA("MADE Y / N",#REF!,"MADE Y / N","Y")</f>
        <v>#REF!</v>
      </c>
      <c r="G35" s="9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</row>
    <row r="36" spans="1:19" ht="18.75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</row>
    <row r="37" spans="1:19" ht="18.75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</row>
    <row r="38" spans="1:19" ht="18.75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</row>
    <row r="39" spans="1:19" ht="18.75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</row>
    <row r="40" spans="1:19" ht="18.75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</row>
    <row r="41" spans="1:19" ht="18.75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</row>
    <row r="42" spans="1:19" ht="18.75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</row>
    <row r="43" spans="1:19" ht="18.75" x14ac:dyDescent="0.3">
      <c r="A43" s="25"/>
      <c r="B43" s="25"/>
      <c r="C43" s="25"/>
      <c r="D43" s="52" t="s">
        <v>887</v>
      </c>
      <c r="E43" s="25"/>
      <c r="F43" s="25"/>
      <c r="G43" s="52" t="s">
        <v>888</v>
      </c>
      <c r="H43" s="25"/>
      <c r="I43" s="25"/>
      <c r="J43" s="52" t="s">
        <v>889</v>
      </c>
      <c r="K43" s="25"/>
      <c r="L43" s="25"/>
      <c r="M43" s="25"/>
      <c r="N43" s="52" t="s">
        <v>890</v>
      </c>
      <c r="O43" s="25"/>
      <c r="P43" s="25"/>
      <c r="Q43" s="25"/>
      <c r="R43" s="25"/>
    </row>
    <row r="44" spans="1:19" ht="19.5" thickBot="1" x14ac:dyDescent="0.35">
      <c r="A44" s="25"/>
      <c r="B44" s="25"/>
      <c r="C44" s="25"/>
      <c r="D44" s="25"/>
      <c r="E44" s="25"/>
      <c r="F44" s="25"/>
      <c r="G44" s="25"/>
      <c r="H44" s="26"/>
      <c r="I44" s="26"/>
      <c r="J44" s="26"/>
      <c r="K44" s="25"/>
      <c r="L44" s="25"/>
      <c r="M44" s="25"/>
      <c r="N44" s="25"/>
      <c r="O44" s="26"/>
      <c r="P44" s="26"/>
      <c r="Q44" s="25"/>
      <c r="R44" s="25"/>
    </row>
    <row r="45" spans="1:19" ht="18" customHeight="1" thickBot="1" x14ac:dyDescent="0.35">
      <c r="A45" s="25"/>
      <c r="B45" s="25"/>
      <c r="C45" s="25"/>
      <c r="D45" s="44" t="s">
        <v>881</v>
      </c>
      <c r="E45" s="45"/>
      <c r="F45" s="25"/>
      <c r="G45" s="44" t="s">
        <v>883</v>
      </c>
      <c r="H45" s="45"/>
      <c r="I45" s="25"/>
      <c r="J45" s="44" t="s">
        <v>884</v>
      </c>
      <c r="K45" s="62"/>
      <c r="L45" s="107"/>
      <c r="M45" s="45"/>
      <c r="N45" s="25"/>
      <c r="O45" s="44" t="s">
        <v>884</v>
      </c>
      <c r="P45" s="62"/>
      <c r="Q45" s="45"/>
      <c r="R45" s="25"/>
      <c r="S45" s="25"/>
    </row>
    <row r="46" spans="1:19" ht="19.5" thickBot="1" x14ac:dyDescent="0.35">
      <c r="A46" s="25"/>
      <c r="B46" s="25"/>
      <c r="C46" s="25"/>
      <c r="D46" s="11" t="s">
        <v>577</v>
      </c>
      <c r="E46" s="38" t="s">
        <v>882</v>
      </c>
      <c r="F46" s="25"/>
      <c r="G46" s="11" t="s">
        <v>577</v>
      </c>
      <c r="H46" s="38" t="s">
        <v>580</v>
      </c>
      <c r="I46" s="26"/>
      <c r="J46" s="11" t="s">
        <v>577</v>
      </c>
      <c r="K46" s="38" t="s">
        <v>574</v>
      </c>
      <c r="L46" s="106" t="s">
        <v>1053</v>
      </c>
      <c r="M46" s="50" t="s">
        <v>915</v>
      </c>
      <c r="N46" s="25" t="s">
        <v>1054</v>
      </c>
      <c r="O46" s="11" t="s">
        <v>577</v>
      </c>
      <c r="P46" s="38" t="s">
        <v>574</v>
      </c>
      <c r="Q46" s="50" t="s">
        <v>915</v>
      </c>
      <c r="R46" s="25"/>
      <c r="S46" s="25"/>
    </row>
    <row r="47" spans="1:19" ht="18.75" x14ac:dyDescent="0.3">
      <c r="A47" s="25"/>
      <c r="B47" s="25"/>
      <c r="C47" s="25"/>
      <c r="D47" s="46" t="s">
        <v>872</v>
      </c>
      <c r="E47" s="54" t="e">
        <f>GETPIVOTDATA("MADE Y / N",#REF!,"Race/Ethnicity","BLACK")</f>
        <v>#REF!</v>
      </c>
      <c r="F47" s="25"/>
      <c r="G47" s="55" t="s">
        <v>872</v>
      </c>
      <c r="H47" s="63" t="e">
        <f>GETPIVOTDATA("MADE Y / N",#REF!,"Race/Ethnicity","BLACK")</f>
        <v>#REF!</v>
      </c>
      <c r="I47" s="27"/>
      <c r="J47" s="46" t="s">
        <v>872</v>
      </c>
      <c r="K47" s="64" t="e">
        <f>GETPIVOTDATA("MADE Y / N",#REF!,"MADE Y / N","N","Race/Ethnicity","BLACK")</f>
        <v>#REF!</v>
      </c>
      <c r="L47" s="64" t="e">
        <f>G20</f>
        <v>#REF!</v>
      </c>
      <c r="M47" s="46" t="e">
        <f>GETPIVOTDATA("MADE Y / N",#REF!,"MADE Y / N","y","Race/Ethnicity","BLACK")</f>
        <v>#REF!</v>
      </c>
      <c r="N47" s="25"/>
      <c r="O47" s="46" t="s">
        <v>872</v>
      </c>
      <c r="P47" s="22" t="e">
        <f>GETPIVOTDATA("MADE Y / N",#REF!,"MADE Y / N","N","Race/Ethnicity","BLACK")</f>
        <v>#REF!</v>
      </c>
      <c r="Q47" s="65" t="e">
        <f>GETPIVOTDATA("MADE Y / N",#REF!,"MADE Y / N","Y","Race/Ethnicity","BLACK")</f>
        <v>#REF!</v>
      </c>
      <c r="R47" s="25"/>
      <c r="S47" s="25"/>
    </row>
    <row r="48" spans="1:19" ht="18.75" x14ac:dyDescent="0.3">
      <c r="A48" s="25"/>
      <c r="B48" s="25"/>
      <c r="C48" s="25"/>
      <c r="D48" s="55" t="s">
        <v>41</v>
      </c>
      <c r="E48" s="54" t="e">
        <f>GETPIVOTDATA("MADE Y / N",#REF!,"Race/Ethnicity","HISPANIC")</f>
        <v>#REF!</v>
      </c>
      <c r="F48" s="25"/>
      <c r="G48" s="55" t="s">
        <v>41</v>
      </c>
      <c r="H48" s="63" t="e">
        <f>GETPIVOTDATA("MADE Y / N",#REF!,"Race/Ethnicity","HISPANIC")</f>
        <v>#REF!</v>
      </c>
      <c r="I48" s="27"/>
      <c r="J48" s="101" t="s">
        <v>41</v>
      </c>
      <c r="K48" s="64" t="e">
        <f>GETPIVOTDATA("MADE Y / N",#REF!,"MADE Y / N","N","Race/Ethnicity","HISPANIC")</f>
        <v>#REF!</v>
      </c>
      <c r="L48" s="64" t="e">
        <f>G21</f>
        <v>#REF!</v>
      </c>
      <c r="M48" s="101" t="e">
        <f>GETPIVOTDATA("MADE Y / N",#REF!,"MADE Y / N","y","Race/Ethnicity","HISPANIC")</f>
        <v>#REF!</v>
      </c>
      <c r="N48" s="25"/>
      <c r="O48" s="55" t="s">
        <v>41</v>
      </c>
      <c r="P48" s="56" t="e">
        <f>GETPIVOTDATA("MADE Y / N",#REF!,"MADE Y / N","N","Race/Ethnicity","HISPANIC")</f>
        <v>#REF!</v>
      </c>
      <c r="Q48" s="66" t="e">
        <f>GETPIVOTDATA("MADE Y / N",#REF!,"MADE Y / N","Y","Race/Ethnicity","HISPANIC")</f>
        <v>#REF!</v>
      </c>
      <c r="R48" s="25"/>
      <c r="S48" s="25"/>
    </row>
    <row r="49" spans="1:19" ht="18.75" x14ac:dyDescent="0.3">
      <c r="A49" s="25"/>
      <c r="B49" s="25"/>
      <c r="C49" s="25"/>
      <c r="D49" s="55" t="s">
        <v>873</v>
      </c>
      <c r="E49" s="54" t="e">
        <f>GETPIVOTDATA("MADE Y / N",#REF!,"Race/Ethnicity","other")</f>
        <v>#REF!</v>
      </c>
      <c r="F49" s="25"/>
      <c r="G49" s="55" t="s">
        <v>873</v>
      </c>
      <c r="H49" s="63" t="e">
        <f>GETPIVOTDATA("MADE Y / N",#REF!,"Race/Ethnicity","other")</f>
        <v>#REF!</v>
      </c>
      <c r="I49" s="27"/>
      <c r="J49" s="101" t="s">
        <v>873</v>
      </c>
      <c r="K49" s="64" t="e">
        <f>GETPIVOTDATA("MADE Y / N",#REF!,"MADE Y / N","N","Race/Ethnicity","OTHER")</f>
        <v>#REF!</v>
      </c>
      <c r="L49" s="64" t="e">
        <f>G22</f>
        <v>#REF!</v>
      </c>
      <c r="M49" s="101" t="e">
        <f>GETPIVOTDATA("MADE Y / N",#REF!,"MADE Y / N","y","Race/Ethnicity","OTHER")</f>
        <v>#REF!</v>
      </c>
      <c r="N49" s="25"/>
      <c r="O49" s="55" t="s">
        <v>873</v>
      </c>
      <c r="P49" s="56" t="e">
        <f>GETPIVOTDATA("MADE Y / N",#REF!,"MADE Y / N","N","Race/Ethnicity","OTHER")</f>
        <v>#REF!</v>
      </c>
      <c r="Q49" s="66" t="e">
        <f>GETPIVOTDATA("MADE Y / N",#REF!,"MADE Y / N","Y","Race/Ethnicity","OTHER")</f>
        <v>#REF!</v>
      </c>
      <c r="R49" s="25"/>
      <c r="S49" s="25"/>
    </row>
    <row r="50" spans="1:19" ht="19.5" thickBot="1" x14ac:dyDescent="0.35">
      <c r="A50" s="25"/>
      <c r="B50" s="25"/>
      <c r="C50" s="25"/>
      <c r="D50" s="58" t="s">
        <v>874</v>
      </c>
      <c r="E50" s="67" t="e">
        <f>GETPIVOTDATA("MADE Y / N",#REF!,"Race/Ethnicity","white")</f>
        <v>#REF!</v>
      </c>
      <c r="F50" s="25"/>
      <c r="G50" s="58" t="s">
        <v>874</v>
      </c>
      <c r="H50" s="68" t="e">
        <f>GETPIVOTDATA("MADE Y / N",#REF!,"Race/Ethnicity","white")</f>
        <v>#REF!</v>
      </c>
      <c r="I50" s="27"/>
      <c r="J50" s="104" t="s">
        <v>874</v>
      </c>
      <c r="K50" s="69" t="e">
        <f>GETPIVOTDATA("MADE Y / N",#REF!,"MADE Y / N","N","Race/Ethnicity","WHITE")</f>
        <v>#REF!</v>
      </c>
      <c r="L50" s="69" t="e">
        <f>G23</f>
        <v>#REF!</v>
      </c>
      <c r="M50" s="104" t="e">
        <f>GETPIVOTDATA("MADE Y / N",#REF!,"MADE Y / N","y","Race/Ethnicity","WHITE")</f>
        <v>#REF!</v>
      </c>
      <c r="N50" s="25"/>
      <c r="O50" s="58" t="s">
        <v>874</v>
      </c>
      <c r="P50" s="60" t="e">
        <f>GETPIVOTDATA("MADE Y / N",#REF!,"MADE Y / N","N","Race/Ethnicity","WHITE")</f>
        <v>#REF!</v>
      </c>
      <c r="Q50" s="70" t="e">
        <f>GETPIVOTDATA("MADE Y / N",#REF!,"MADE Y / N","Y","Race/Ethnicity","WHITE")</f>
        <v>#REF!</v>
      </c>
      <c r="R50" s="25"/>
      <c r="S50" s="25"/>
    </row>
    <row r="51" spans="1:19" ht="19.5" thickBot="1" x14ac:dyDescent="0.35">
      <c r="A51" s="25"/>
      <c r="B51" s="25"/>
      <c r="C51" s="25"/>
      <c r="D51" s="5" t="s">
        <v>916</v>
      </c>
      <c r="E51" s="5" t="e">
        <f>GETPIVOTDATA("MADE Y / N",#REF!)</f>
        <v>#REF!</v>
      </c>
      <c r="F51" s="25"/>
      <c r="G51" s="5" t="s">
        <v>916</v>
      </c>
      <c r="H51" s="6" t="e">
        <f>GETPIVOTDATA("MADE Y / N",#REF!)</f>
        <v>#REF!</v>
      </c>
      <c r="I51" s="27"/>
      <c r="J51" s="5" t="s">
        <v>916</v>
      </c>
      <c r="K51" s="13" t="e">
        <f>GETPIVOTDATA("MADE Y / N",#REF!,"MADE Y / N","N")</f>
        <v>#REF!</v>
      </c>
      <c r="L51" s="13" t="e">
        <f>G24</f>
        <v>#REF!</v>
      </c>
      <c r="M51" s="5" t="e">
        <f>GETPIVOTDATA("MADE Y / N",#REF!,"MADE Y / N","Y")</f>
        <v>#REF!</v>
      </c>
      <c r="N51" s="25">
        <v>43</v>
      </c>
      <c r="O51" s="5" t="s">
        <v>916</v>
      </c>
      <c r="P51" s="7" t="e">
        <f>GETPIVOTDATA("MADE Y / N",#REF!,"MADE Y / N","N")</f>
        <v>#REF!</v>
      </c>
      <c r="Q51" s="12" t="e">
        <f>GETPIVOTDATA("MADE Y / N",#REF!,"MADE Y / N","Y")</f>
        <v>#REF!</v>
      </c>
      <c r="R51" s="25"/>
      <c r="S51" s="25"/>
    </row>
    <row r="52" spans="1:19" ht="18.75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1:19" ht="18.75" x14ac:dyDescent="0.3">
      <c r="A53" s="25"/>
      <c r="B53" s="25"/>
      <c r="C53" s="25"/>
      <c r="D53" s="25"/>
      <c r="E53" s="25"/>
      <c r="F53" s="25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5"/>
      <c r="R53" s="25"/>
    </row>
    <row r="54" spans="1:19" ht="18.75" x14ac:dyDescent="0.3">
      <c r="A54" s="25"/>
      <c r="B54" s="25"/>
      <c r="C54" s="25"/>
      <c r="D54" s="52" t="s">
        <v>891</v>
      </c>
      <c r="E54" s="25"/>
      <c r="F54" s="25"/>
      <c r="G54" s="52" t="s">
        <v>892</v>
      </c>
      <c r="H54" s="25"/>
      <c r="I54" s="25"/>
      <c r="J54" s="52" t="s">
        <v>893</v>
      </c>
      <c r="K54" s="25"/>
      <c r="L54" s="25"/>
      <c r="M54" s="25"/>
      <c r="N54" s="52" t="s">
        <v>894</v>
      </c>
      <c r="O54" s="26"/>
      <c r="P54" s="25"/>
      <c r="Q54" s="25"/>
      <c r="R54" s="25"/>
    </row>
    <row r="55" spans="1:19" ht="19.5" thickBot="1" x14ac:dyDescent="0.35">
      <c r="A55" s="25"/>
      <c r="B55" s="25"/>
      <c r="C55" s="25"/>
      <c r="D55" s="25"/>
      <c r="E55" s="25"/>
      <c r="F55" s="25"/>
      <c r="G55" s="26"/>
      <c r="H55" s="26"/>
      <c r="I55" s="26"/>
      <c r="J55" s="25"/>
      <c r="K55" s="25"/>
      <c r="L55" s="25"/>
      <c r="M55" s="25"/>
      <c r="N55" s="26"/>
      <c r="O55" s="26"/>
      <c r="P55" s="25"/>
      <c r="Q55" s="25"/>
      <c r="R55" s="25"/>
    </row>
    <row r="56" spans="1:19" ht="19.5" thickBot="1" x14ac:dyDescent="0.35">
      <c r="A56" s="25"/>
      <c r="B56" s="25"/>
      <c r="C56" s="25"/>
      <c r="D56" s="44" t="s">
        <v>885</v>
      </c>
      <c r="E56" s="45"/>
      <c r="F56" s="25"/>
      <c r="G56" s="44" t="s">
        <v>885</v>
      </c>
      <c r="H56" s="45"/>
      <c r="I56" s="25"/>
      <c r="J56" s="44" t="s">
        <v>885</v>
      </c>
      <c r="K56" s="62"/>
      <c r="L56" s="45"/>
      <c r="M56" s="25"/>
      <c r="N56" s="44" t="s">
        <v>885</v>
      </c>
      <c r="O56" s="62"/>
      <c r="P56" s="45"/>
      <c r="Q56" s="25"/>
      <c r="R56" s="25"/>
    </row>
    <row r="57" spans="1:19" ht="19.5" thickBot="1" x14ac:dyDescent="0.35">
      <c r="A57" s="25"/>
      <c r="B57" s="25"/>
      <c r="C57" s="25"/>
      <c r="D57" s="11" t="s">
        <v>577</v>
      </c>
      <c r="E57" s="38" t="s">
        <v>882</v>
      </c>
      <c r="F57" s="25"/>
      <c r="G57" s="11" t="s">
        <v>577</v>
      </c>
      <c r="H57" s="38" t="s">
        <v>580</v>
      </c>
      <c r="I57" s="26"/>
      <c r="J57" s="11" t="s">
        <v>577</v>
      </c>
      <c r="K57" s="38" t="s">
        <v>574</v>
      </c>
      <c r="L57" s="50" t="s">
        <v>915</v>
      </c>
      <c r="M57" s="25"/>
      <c r="N57" s="11" t="s">
        <v>577</v>
      </c>
      <c r="O57" s="38" t="s">
        <v>574</v>
      </c>
      <c r="P57" s="50" t="s">
        <v>915</v>
      </c>
      <c r="Q57" s="25"/>
      <c r="R57" s="25"/>
    </row>
    <row r="58" spans="1:19" ht="18.75" x14ac:dyDescent="0.3">
      <c r="A58" s="25"/>
      <c r="B58" s="25"/>
      <c r="C58" s="25"/>
      <c r="D58" s="46" t="s">
        <v>872</v>
      </c>
      <c r="E58" s="54" t="e">
        <f>GETPIVOTDATA("MADE Y / N",#REF!,"Race/Ethnicity","BLACK")</f>
        <v>#REF!</v>
      </c>
      <c r="F58" s="25"/>
      <c r="G58" s="55" t="s">
        <v>872</v>
      </c>
      <c r="H58" s="56" t="e">
        <f>GETPIVOTDATA("MADE Y / N",#REF!,"Race/Ethnicity","BLACK")</f>
        <v>#REF!</v>
      </c>
      <c r="I58" s="27"/>
      <c r="J58" s="55" t="s">
        <v>872</v>
      </c>
      <c r="K58" s="54" t="e">
        <f>GETPIVOTDATA("MADE Y / N",#REF!,"MADE Y / N","N","Race/Ethnicity","BLACK")</f>
        <v>#REF!</v>
      </c>
      <c r="L58" s="57" t="e">
        <f>GETPIVOTDATA("MADE Y / N",#REF!,"MADE Y / N","Y","Race/Ethnicity","BLACK")</f>
        <v>#REF!</v>
      </c>
      <c r="M58" s="25"/>
      <c r="N58" s="55" t="s">
        <v>872</v>
      </c>
      <c r="O58" s="56" t="e">
        <f>GETPIVOTDATA("MADE Y / N",#REF!,"MADE Y / N","N","Race/Ethnicity","BLACK")</f>
        <v>#REF!</v>
      </c>
      <c r="P58" s="66" t="e">
        <f>GETPIVOTDATA("MADE Y / N",#REF!,"MADE Y / N","Y","Race/Ethnicity","BLACK")</f>
        <v>#REF!</v>
      </c>
      <c r="Q58" s="25"/>
      <c r="R58" s="25"/>
    </row>
    <row r="59" spans="1:19" ht="18.75" x14ac:dyDescent="0.3">
      <c r="A59" s="25"/>
      <c r="B59" s="25"/>
      <c r="C59" s="25"/>
      <c r="D59" s="55" t="s">
        <v>41</v>
      </c>
      <c r="E59" s="54" t="e">
        <f>GETPIVOTDATA("MADE Y / N",#REF!,"Race/Ethnicity","HISPANIC")</f>
        <v>#REF!</v>
      </c>
      <c r="F59" s="25"/>
      <c r="G59" s="55" t="s">
        <v>41</v>
      </c>
      <c r="H59" s="56" t="e">
        <f>GETPIVOTDATA("MADE Y / N",#REF!,"Race/Ethnicity","HISPANIC")</f>
        <v>#REF!</v>
      </c>
      <c r="I59" s="27"/>
      <c r="J59" s="55" t="s">
        <v>41</v>
      </c>
      <c r="K59" s="54" t="e">
        <f>GETPIVOTDATA("MADE Y / N",#REF!,"MADE Y / N","N","Race/Ethnicity","HISPANIC")</f>
        <v>#REF!</v>
      </c>
      <c r="L59" s="57" t="e">
        <f>GETPIVOTDATA("MADE Y / N",#REF!,"MADE Y / N","Y","Race/Ethnicity","HISPANIC")</f>
        <v>#REF!</v>
      </c>
      <c r="M59" s="25"/>
      <c r="N59" s="55" t="s">
        <v>41</v>
      </c>
      <c r="O59" s="56" t="e">
        <f>GETPIVOTDATA("MADE Y / N",#REF!,"MADE Y / N","N","Race/Ethnicity","HISPANIC")</f>
        <v>#REF!</v>
      </c>
      <c r="P59" s="66" t="e">
        <f>GETPIVOTDATA("MADE Y / N",#REF!,"MADE Y / N","Y","Race/Ethnicity","HISPANIC")</f>
        <v>#REF!</v>
      </c>
      <c r="Q59" s="25"/>
      <c r="R59" s="25"/>
    </row>
    <row r="60" spans="1:19" ht="18.75" x14ac:dyDescent="0.3">
      <c r="A60" s="25"/>
      <c r="B60" s="25"/>
      <c r="C60" s="25"/>
      <c r="D60" s="55" t="s">
        <v>873</v>
      </c>
      <c r="E60" s="57" t="e">
        <f>GETPIVOTDATA("MADE Y / N",#REF!,"Race/Ethnicity","OTHER")</f>
        <v>#REF!</v>
      </c>
      <c r="F60" s="25"/>
      <c r="G60" s="55" t="s">
        <v>873</v>
      </c>
      <c r="H60" s="56" t="e">
        <f>GETPIVOTDATA("MADE Y / N",#REF!,"Race/Ethnicity","OTHER")</f>
        <v>#REF!</v>
      </c>
      <c r="I60" s="27"/>
      <c r="J60" s="55" t="s">
        <v>873</v>
      </c>
      <c r="K60" s="57" t="e">
        <f>GETPIVOTDATA("MADE Y / N",#REF!,"MADE Y / N","N","Race/Ethnicity","OTHER")</f>
        <v>#REF!</v>
      </c>
      <c r="L60" s="57" t="e">
        <f>GETPIVOTDATA("MADE Y / N",#REF!,"MADE Y / N","Y","Race/Ethnicity","OTHER")</f>
        <v>#REF!</v>
      </c>
      <c r="M60" s="25"/>
      <c r="N60" s="55" t="s">
        <v>873</v>
      </c>
      <c r="O60" s="56" t="e">
        <f>GETPIVOTDATA("MADE Y / N",#REF!,"MADE Y / N","N","Race/Ethnicity","OTHER")</f>
        <v>#REF!</v>
      </c>
      <c r="P60" s="66" t="e">
        <f>GETPIVOTDATA("MADE Y / N",#REF!,"MADE Y / N","Y","Race/Ethnicity","OTHER")</f>
        <v>#REF!</v>
      </c>
      <c r="Q60" s="25"/>
      <c r="R60" s="25"/>
    </row>
    <row r="61" spans="1:19" ht="19.5" thickBot="1" x14ac:dyDescent="0.35">
      <c r="A61" s="25"/>
      <c r="B61" s="25"/>
      <c r="C61" s="25"/>
      <c r="D61" s="58" t="s">
        <v>874</v>
      </c>
      <c r="E61" s="59" t="e">
        <f>GETPIVOTDATA("MADE Y / N",#REF!,"Race/Ethnicity","WHITE")</f>
        <v>#REF!</v>
      </c>
      <c r="F61" s="25"/>
      <c r="G61" s="58" t="s">
        <v>874</v>
      </c>
      <c r="H61" s="60" t="e">
        <f>GETPIVOTDATA("MADE Y / N",#REF!,"Race/Ethnicity","WHITE")</f>
        <v>#REF!</v>
      </c>
      <c r="I61" s="27"/>
      <c r="J61" s="58" t="s">
        <v>874</v>
      </c>
      <c r="K61" s="59" t="e">
        <f>GETPIVOTDATA("MADE Y / N",#REF!,"MADE Y / N","N","Race/Ethnicity","WHITE")</f>
        <v>#REF!</v>
      </c>
      <c r="L61" s="59" t="e">
        <f>GETPIVOTDATA("MADE Y / N",#REF!,"MADE Y / N","Y","Race/Ethnicity","WHITE")</f>
        <v>#REF!</v>
      </c>
      <c r="M61" s="25"/>
      <c r="N61" s="58" t="s">
        <v>874</v>
      </c>
      <c r="O61" s="60" t="e">
        <f>GETPIVOTDATA("MADE Y / N",#REF!,"MADE Y / N","N","Race/Ethnicity","WHITE")</f>
        <v>#REF!</v>
      </c>
      <c r="P61" s="70" t="e">
        <f>GETPIVOTDATA("MADE Y / N",#REF!,"MADE Y / N","Y","Race/Ethnicity","WHITE")</f>
        <v>#REF!</v>
      </c>
      <c r="Q61" s="25"/>
      <c r="R61" s="25"/>
    </row>
    <row r="62" spans="1:19" ht="19.5" thickBot="1" x14ac:dyDescent="0.35">
      <c r="A62" s="25"/>
      <c r="B62" s="25"/>
      <c r="C62" s="25"/>
      <c r="D62" s="5" t="s">
        <v>916</v>
      </c>
      <c r="E62" s="5" t="e">
        <f>GETPIVOTDATA("MADE Y / N",#REF!)</f>
        <v>#REF!</v>
      </c>
      <c r="F62" s="25"/>
      <c r="G62" s="5" t="s">
        <v>916</v>
      </c>
      <c r="H62" s="6" t="e">
        <f>GETPIVOTDATA("MADE Y / N",#REF!)</f>
        <v>#REF!</v>
      </c>
      <c r="I62" s="27"/>
      <c r="J62" s="5" t="s">
        <v>916</v>
      </c>
      <c r="K62" s="13" t="e">
        <f>GETPIVOTDATA("MADE Y / N",#REF!,"MADE Y / N","N")</f>
        <v>#REF!</v>
      </c>
      <c r="L62" s="5" t="e">
        <f>GETPIVOTDATA("MADE Y / N",#REF!,"MADE Y / N","Y")</f>
        <v>#REF!</v>
      </c>
      <c r="M62" s="25"/>
      <c r="N62" s="5" t="s">
        <v>916</v>
      </c>
      <c r="O62" s="7" t="e">
        <f>GETPIVOTDATA("MADE Y / N",#REF!,"MADE Y / N","N")</f>
        <v>#REF!</v>
      </c>
      <c r="P62" s="12" t="e">
        <f>GETPIVOTDATA("MADE Y / N",#REF!,"MADE Y / N","Y")</f>
        <v>#REF!</v>
      </c>
      <c r="Q62" s="25"/>
      <c r="R62" s="25"/>
    </row>
    <row r="63" spans="1:19" ht="18.75" x14ac:dyDescent="0.3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</row>
    <row r="64" spans="1:19" ht="18.75" x14ac:dyDescent="0.3">
      <c r="A64" s="25"/>
      <c r="B64" s="25"/>
      <c r="C64" s="25"/>
      <c r="D64" s="25"/>
      <c r="E64" s="25"/>
      <c r="F64" s="25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5"/>
      <c r="R64" s="25"/>
    </row>
    <row r="65" spans="1:18" ht="18.75" x14ac:dyDescent="0.3">
      <c r="A65" s="25"/>
      <c r="B65" s="25"/>
      <c r="C65" s="25"/>
      <c r="D65" s="52" t="s">
        <v>895</v>
      </c>
      <c r="E65" s="25"/>
      <c r="F65" s="25"/>
      <c r="G65" s="52" t="s">
        <v>896</v>
      </c>
      <c r="H65" s="25"/>
      <c r="I65" s="25"/>
      <c r="J65" s="52" t="s">
        <v>897</v>
      </c>
      <c r="K65" s="25"/>
      <c r="L65" s="25"/>
      <c r="M65" s="25"/>
      <c r="N65" s="52" t="s">
        <v>898</v>
      </c>
      <c r="O65" s="25"/>
      <c r="P65" s="25"/>
      <c r="Q65" s="25"/>
      <c r="R65" s="25"/>
    </row>
    <row r="66" spans="1:18" ht="19.5" thickBot="1" x14ac:dyDescent="0.35">
      <c r="A66" s="25"/>
      <c r="B66" s="25"/>
      <c r="C66" s="25"/>
      <c r="D66" s="25"/>
      <c r="E66" s="25"/>
      <c r="F66" s="25"/>
      <c r="G66" s="26"/>
      <c r="H66" s="26"/>
      <c r="I66" s="26"/>
      <c r="J66" s="25"/>
      <c r="K66" s="25"/>
      <c r="L66" s="25"/>
      <c r="M66" s="25"/>
      <c r="N66" s="26"/>
      <c r="O66" s="26"/>
      <c r="P66" s="25"/>
      <c r="Q66" s="25"/>
      <c r="R66" s="25"/>
    </row>
    <row r="67" spans="1:18" ht="19.5" thickBot="1" x14ac:dyDescent="0.35">
      <c r="A67" s="25"/>
      <c r="B67" s="25"/>
      <c r="C67" s="25"/>
      <c r="D67" s="44" t="s">
        <v>569</v>
      </c>
      <c r="E67" s="45"/>
      <c r="F67" s="25"/>
      <c r="G67" s="44" t="s">
        <v>569</v>
      </c>
      <c r="H67" s="45"/>
      <c r="I67" s="25"/>
      <c r="J67" s="44" t="s">
        <v>569</v>
      </c>
      <c r="K67" s="62"/>
      <c r="L67" s="45"/>
      <c r="M67" s="25"/>
      <c r="N67" s="44" t="s">
        <v>569</v>
      </c>
      <c r="O67" s="62"/>
      <c r="P67" s="45"/>
      <c r="Q67" s="25"/>
      <c r="R67" s="25"/>
    </row>
    <row r="68" spans="1:18" ht="19.5" thickBot="1" x14ac:dyDescent="0.35">
      <c r="A68" s="25"/>
      <c r="B68" s="25"/>
      <c r="C68" s="25"/>
      <c r="D68" s="11" t="s">
        <v>577</v>
      </c>
      <c r="E68" s="38" t="s">
        <v>882</v>
      </c>
      <c r="F68" s="25"/>
      <c r="G68" s="11" t="s">
        <v>577</v>
      </c>
      <c r="H68" s="38" t="s">
        <v>580</v>
      </c>
      <c r="I68" s="26"/>
      <c r="J68" s="11" t="s">
        <v>577</v>
      </c>
      <c r="K68" s="38" t="s">
        <v>574</v>
      </c>
      <c r="L68" s="50" t="s">
        <v>915</v>
      </c>
      <c r="M68" s="25"/>
      <c r="N68" s="11" t="s">
        <v>577</v>
      </c>
      <c r="O68" s="38" t="s">
        <v>574</v>
      </c>
      <c r="P68" s="50" t="s">
        <v>915</v>
      </c>
      <c r="Q68" s="25"/>
      <c r="R68" s="25"/>
    </row>
    <row r="69" spans="1:18" ht="18.75" x14ac:dyDescent="0.3">
      <c r="A69" s="25"/>
      <c r="B69" s="25"/>
      <c r="C69" s="25"/>
      <c r="D69" s="46" t="s">
        <v>872</v>
      </c>
      <c r="E69" s="54" t="e">
        <f>GETPIVOTDATA("MADE Y / N",#REF!,"Race/Ethnicity","BLACK")</f>
        <v>#REF!</v>
      </c>
      <c r="F69" s="25"/>
      <c r="G69" s="55" t="s">
        <v>872</v>
      </c>
      <c r="H69" s="56" t="e">
        <f>GETPIVOTDATA("MADE Y / N",#REF!,"Race/Ethnicity","BLACK")</f>
        <v>#REF!</v>
      </c>
      <c r="I69" s="27"/>
      <c r="J69" s="55" t="s">
        <v>872</v>
      </c>
      <c r="K69" s="54" t="e">
        <f>GETPIVOTDATA("MADE Y / N",#REF!,"MADE Y / N","N","Race/Ethnicity","BLACK")</f>
        <v>#REF!</v>
      </c>
      <c r="L69" s="57" t="e">
        <f>GETPIVOTDATA("MADE Y / N",#REF!,"MADE Y / N","Y","Race/Ethnicity","BLACK")</f>
        <v>#REF!</v>
      </c>
      <c r="M69" s="25"/>
      <c r="N69" s="55" t="s">
        <v>872</v>
      </c>
      <c r="O69" s="56" t="e">
        <f>GETPIVOTDATA("MADE Y / N",#REF!,"MADE Y / N","N","Race/Ethnicity","BLACK")</f>
        <v>#REF!</v>
      </c>
      <c r="P69" s="66" t="e">
        <f>GETPIVOTDATA("MADE Y / N",#REF!,"MADE Y / N","Y","Race/Ethnicity","BLACK")</f>
        <v>#REF!</v>
      </c>
      <c r="Q69" s="25"/>
      <c r="R69" s="25"/>
    </row>
    <row r="70" spans="1:18" ht="18.75" x14ac:dyDescent="0.3">
      <c r="A70" s="25"/>
      <c r="B70" s="25"/>
      <c r="C70" s="25"/>
      <c r="D70" s="55" t="s">
        <v>41</v>
      </c>
      <c r="E70" s="54" t="e">
        <f>GETPIVOTDATA("MADE Y / N",#REF!,"Race/Ethnicity","HISPANIC")</f>
        <v>#REF!</v>
      </c>
      <c r="F70" s="25"/>
      <c r="G70" s="55" t="s">
        <v>41</v>
      </c>
      <c r="H70" s="56" t="e">
        <f>GETPIVOTDATA("MADE Y / N",#REF!,"Race/Ethnicity","HISPANIC")</f>
        <v>#REF!</v>
      </c>
      <c r="I70" s="27"/>
      <c r="J70" s="55" t="s">
        <v>41</v>
      </c>
      <c r="K70" s="54" t="e">
        <f>GETPIVOTDATA("MADE Y / N",#REF!,"MADE Y / N","N","Race/Ethnicity","HISPANIC")</f>
        <v>#REF!</v>
      </c>
      <c r="L70" s="57" t="e">
        <f>GETPIVOTDATA("MADE Y / N",#REF!,"MADE Y / N","Y","Race/Ethnicity","HISPANIC")</f>
        <v>#REF!</v>
      </c>
      <c r="M70" s="25"/>
      <c r="N70" s="55" t="s">
        <v>41</v>
      </c>
      <c r="O70" s="56" t="e">
        <f>GETPIVOTDATA("MADE Y / N",#REF!,"MADE Y / N","N","Race/Ethnicity","HISPANIC")</f>
        <v>#REF!</v>
      </c>
      <c r="P70" s="66" t="e">
        <f>GETPIVOTDATA("MADE Y / N",#REF!,"MADE Y / N","Y","Race/Ethnicity","HISPANIC")</f>
        <v>#REF!</v>
      </c>
      <c r="Q70" s="25"/>
      <c r="R70" s="25"/>
    </row>
    <row r="71" spans="1:18" ht="18.75" x14ac:dyDescent="0.3">
      <c r="A71" s="25"/>
      <c r="B71" s="25"/>
      <c r="C71" s="25"/>
      <c r="D71" s="55" t="s">
        <v>873</v>
      </c>
      <c r="E71" s="57" t="e">
        <f>GETPIVOTDATA("MADE Y / N",#REF!,"Race/Ethnicity","OTHER")</f>
        <v>#REF!</v>
      </c>
      <c r="F71" s="25"/>
      <c r="G71" s="55" t="s">
        <v>873</v>
      </c>
      <c r="H71" s="56" t="e">
        <f>GETPIVOTDATA("MADE Y / N",#REF!,"Race/Ethnicity","OTHER")</f>
        <v>#REF!</v>
      </c>
      <c r="I71" s="27"/>
      <c r="J71" s="55" t="s">
        <v>873</v>
      </c>
      <c r="K71" s="57" t="e">
        <f>GETPIVOTDATA("MADE Y / N",#REF!,"MADE Y / N","N","Race/Ethnicity","OTHER")</f>
        <v>#REF!</v>
      </c>
      <c r="L71" s="57" t="e">
        <f>GETPIVOTDATA("MADE Y / N",#REF!,"MADE Y / N","Y","Race/Ethnicity","OTHER")</f>
        <v>#REF!</v>
      </c>
      <c r="M71" s="25"/>
      <c r="N71" s="55" t="s">
        <v>873</v>
      </c>
      <c r="O71" s="56" t="e">
        <f>GETPIVOTDATA("MADE Y / N",#REF!,"MADE Y / N","N","Race/Ethnicity","OTHER")</f>
        <v>#REF!</v>
      </c>
      <c r="P71" s="66" t="e">
        <f>GETPIVOTDATA("MADE Y / N",#REF!,"MADE Y / N","Y","Race/Ethnicity","OTHER")</f>
        <v>#REF!</v>
      </c>
      <c r="Q71" s="25"/>
      <c r="R71" s="25"/>
    </row>
    <row r="72" spans="1:18" ht="19.5" thickBot="1" x14ac:dyDescent="0.35">
      <c r="A72" s="25"/>
      <c r="B72" s="25"/>
      <c r="C72" s="25"/>
      <c r="D72" s="58" t="s">
        <v>874</v>
      </c>
      <c r="E72" s="59" t="e">
        <f>GETPIVOTDATA("MADE Y / N",#REF!,"Race/Ethnicity","WHITE")</f>
        <v>#REF!</v>
      </c>
      <c r="F72" s="25"/>
      <c r="G72" s="58" t="s">
        <v>874</v>
      </c>
      <c r="H72" s="60" t="e">
        <f>GETPIVOTDATA("MADE Y / N",#REF!,"Race/Ethnicity","WHITE")</f>
        <v>#REF!</v>
      </c>
      <c r="I72" s="27"/>
      <c r="J72" s="58" t="s">
        <v>874</v>
      </c>
      <c r="K72" s="59" t="e">
        <f>GETPIVOTDATA("MADE Y / N",#REF!,"MADE Y / N","N","Race/Ethnicity","WHITE")</f>
        <v>#REF!</v>
      </c>
      <c r="L72" s="59" t="e">
        <f>GETPIVOTDATA("MADE Y / N",#REF!,"MADE Y / N","Y","Race/Ethnicity","WHITE")</f>
        <v>#REF!</v>
      </c>
      <c r="M72" s="25"/>
      <c r="N72" s="58" t="s">
        <v>874</v>
      </c>
      <c r="O72" s="60" t="e">
        <f>GETPIVOTDATA("MADE Y / N",#REF!,"MADE Y / N","N","Race/Ethnicity","WHITE")</f>
        <v>#REF!</v>
      </c>
      <c r="P72" s="70" t="e">
        <f>GETPIVOTDATA("MADE Y / N",#REF!,"MADE Y / N","Y","Race/Ethnicity","WHITE")</f>
        <v>#REF!</v>
      </c>
      <c r="Q72" s="25"/>
      <c r="R72" s="25"/>
    </row>
    <row r="73" spans="1:18" ht="19.5" thickBot="1" x14ac:dyDescent="0.35">
      <c r="A73" s="25"/>
      <c r="B73" s="25"/>
      <c r="C73" s="25"/>
      <c r="D73" s="5" t="s">
        <v>916</v>
      </c>
      <c r="E73" s="5" t="e">
        <f>GETPIVOTDATA("MADE Y / N",#REF!)</f>
        <v>#REF!</v>
      </c>
      <c r="F73" s="25"/>
      <c r="G73" s="5" t="s">
        <v>916</v>
      </c>
      <c r="H73" s="6" t="e">
        <f>GETPIVOTDATA("MADE Y / N",#REF!)</f>
        <v>#REF!</v>
      </c>
      <c r="I73" s="27"/>
      <c r="J73" s="5" t="s">
        <v>916</v>
      </c>
      <c r="K73" s="13" t="e">
        <f>GETPIVOTDATA("MADE Y / N",#REF!,"MADE Y / N","N")</f>
        <v>#REF!</v>
      </c>
      <c r="L73" s="5" t="e">
        <f>GETPIVOTDATA("MADE Y / N",#REF!,"MADE Y / N","Y")</f>
        <v>#REF!</v>
      </c>
      <c r="M73" s="25"/>
      <c r="N73" s="5" t="s">
        <v>916</v>
      </c>
      <c r="O73" s="7" t="e">
        <f>GETPIVOTDATA("MADE Y / N",#REF!,"MADE Y / N","N")</f>
        <v>#REF!</v>
      </c>
      <c r="P73" s="12" t="e">
        <f>GETPIVOTDATA("MADE Y / N",#REF!,"MADE Y / N","Y")</f>
        <v>#REF!</v>
      </c>
      <c r="Q73" s="25"/>
      <c r="R73" s="25"/>
    </row>
    <row r="74" spans="1:18" ht="18.75" x14ac:dyDescent="0.3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</row>
    <row r="75" spans="1:18" ht="18.75" x14ac:dyDescent="0.3">
      <c r="A75" s="25"/>
      <c r="B75" s="25"/>
      <c r="C75" s="25"/>
      <c r="D75" s="25"/>
      <c r="E75" s="25"/>
      <c r="F75" s="25"/>
      <c r="G75" s="26"/>
      <c r="H75" s="26"/>
      <c r="I75" s="26"/>
      <c r="J75" s="25"/>
      <c r="K75" s="25"/>
      <c r="L75" s="25"/>
      <c r="M75" s="25"/>
      <c r="N75" s="26"/>
      <c r="O75" s="26"/>
      <c r="P75" s="25"/>
      <c r="Q75" s="25"/>
      <c r="R75" s="25"/>
    </row>
    <row r="76" spans="1:18" ht="18.75" x14ac:dyDescent="0.3">
      <c r="A76" s="25"/>
      <c r="B76" s="25"/>
      <c r="C76" s="25"/>
      <c r="D76" s="52" t="s">
        <v>899</v>
      </c>
      <c r="E76" s="25"/>
      <c r="F76" s="25"/>
      <c r="G76" s="52" t="s">
        <v>900</v>
      </c>
      <c r="H76" s="25"/>
      <c r="I76" s="25"/>
      <c r="J76" s="52" t="s">
        <v>901</v>
      </c>
      <c r="K76" s="25"/>
      <c r="L76" s="25"/>
      <c r="M76" s="25"/>
      <c r="N76" s="52" t="s">
        <v>902</v>
      </c>
      <c r="O76" s="28"/>
      <c r="P76" s="28"/>
      <c r="Q76" s="25"/>
      <c r="R76" s="25"/>
    </row>
    <row r="77" spans="1:18" ht="19.5" thickBot="1" x14ac:dyDescent="0.35">
      <c r="A77" s="25"/>
      <c r="B77" s="25"/>
      <c r="C77" s="25"/>
      <c r="D77" s="25"/>
      <c r="E77" s="25"/>
      <c r="F77" s="25"/>
      <c r="G77" s="26"/>
      <c r="H77" s="26"/>
      <c r="I77" s="26"/>
      <c r="J77" s="25"/>
      <c r="K77" s="25"/>
      <c r="L77" s="25"/>
      <c r="M77" s="25"/>
      <c r="N77" s="26"/>
      <c r="O77" s="26"/>
      <c r="P77" s="25"/>
      <c r="Q77" s="25"/>
      <c r="R77" s="25"/>
    </row>
    <row r="78" spans="1:18" ht="19.5" thickBot="1" x14ac:dyDescent="0.35">
      <c r="A78" s="25"/>
      <c r="B78" s="25"/>
      <c r="C78" s="25"/>
      <c r="D78" s="44" t="s">
        <v>570</v>
      </c>
      <c r="E78" s="45"/>
      <c r="F78" s="25"/>
      <c r="G78" s="44" t="s">
        <v>570</v>
      </c>
      <c r="H78" s="45"/>
      <c r="I78" s="25"/>
      <c r="J78" s="44" t="s">
        <v>570</v>
      </c>
      <c r="K78" s="62"/>
      <c r="L78" s="45"/>
      <c r="M78" s="25"/>
      <c r="N78" s="44" t="s">
        <v>570</v>
      </c>
      <c r="O78" s="62"/>
      <c r="P78" s="45"/>
      <c r="Q78" s="25"/>
      <c r="R78" s="25"/>
    </row>
    <row r="79" spans="1:18" ht="19.5" thickBot="1" x14ac:dyDescent="0.35">
      <c r="A79" s="25"/>
      <c r="B79" s="25"/>
      <c r="C79" s="25"/>
      <c r="D79" s="11" t="s">
        <v>577</v>
      </c>
      <c r="E79" s="38" t="s">
        <v>882</v>
      </c>
      <c r="F79" s="25"/>
      <c r="G79" s="11" t="s">
        <v>577</v>
      </c>
      <c r="H79" s="38" t="s">
        <v>580</v>
      </c>
      <c r="I79" s="26"/>
      <c r="J79" s="11" t="s">
        <v>577</v>
      </c>
      <c r="K79" s="38" t="s">
        <v>574</v>
      </c>
      <c r="L79" s="50" t="s">
        <v>915</v>
      </c>
      <c r="M79" s="25"/>
      <c r="N79" s="11" t="s">
        <v>577</v>
      </c>
      <c r="O79" s="38" t="s">
        <v>574</v>
      </c>
      <c r="P79" s="50" t="s">
        <v>915</v>
      </c>
      <c r="Q79" s="25"/>
      <c r="R79" s="25"/>
    </row>
    <row r="80" spans="1:18" ht="18.75" x14ac:dyDescent="0.3">
      <c r="A80" s="25"/>
      <c r="B80" s="25"/>
      <c r="C80" s="25"/>
      <c r="D80" s="46" t="s">
        <v>872</v>
      </c>
      <c r="E80" s="54" t="e">
        <f>GETPIVOTDATA("MADE Y / N",#REF!,"Race/Ethnicity","BLACK")</f>
        <v>#REF!</v>
      </c>
      <c r="F80" s="25"/>
      <c r="G80" s="55" t="s">
        <v>872</v>
      </c>
      <c r="H80" s="56" t="e">
        <f>GETPIVOTDATA("MADE Y / N",#REF!,"Race/Ethnicity","BLACK")</f>
        <v>#REF!</v>
      </c>
      <c r="I80" s="27"/>
      <c r="J80" s="55" t="s">
        <v>872</v>
      </c>
      <c r="K80" s="54" t="e">
        <f>GETPIVOTDATA("MADE Y / N",#REF!,"MADE Y / N","N","Race/Ethnicity","BLACK")</f>
        <v>#REF!</v>
      </c>
      <c r="L80" s="57" t="e">
        <f>GETPIVOTDATA("MADE Y / N",#REF!,"MADE Y / N","Y","Race/Ethnicity","BLACK")</f>
        <v>#REF!</v>
      </c>
      <c r="M80" s="25"/>
      <c r="N80" s="55" t="s">
        <v>872</v>
      </c>
      <c r="O80" s="56" t="e">
        <f>GETPIVOTDATA("MADE Y / N",#REF!,"MADE Y / N","N","Race/Ethnicity","BLACK")</f>
        <v>#REF!</v>
      </c>
      <c r="P80" s="66" t="e">
        <f>GETPIVOTDATA("MADE Y / N",#REF!,"MADE Y / N","Y","Race/Ethnicity","BLACK")</f>
        <v>#REF!</v>
      </c>
      <c r="Q80" s="25"/>
      <c r="R80" s="25"/>
    </row>
    <row r="81" spans="1:18" ht="18.75" x14ac:dyDescent="0.3">
      <c r="A81" s="25"/>
      <c r="B81" s="25"/>
      <c r="C81" s="25"/>
      <c r="D81" s="55" t="s">
        <v>41</v>
      </c>
      <c r="E81" s="54" t="e">
        <f>GETPIVOTDATA("MADE Y / N",#REF!,"Race/Ethnicity","HISPANIC")</f>
        <v>#REF!</v>
      </c>
      <c r="F81" s="25"/>
      <c r="G81" s="55" t="s">
        <v>41</v>
      </c>
      <c r="H81" s="56" t="e">
        <f>GETPIVOTDATA("MADE Y / N",#REF!,"Race/Ethnicity","HISPANIC")</f>
        <v>#REF!</v>
      </c>
      <c r="I81" s="27"/>
      <c r="J81" s="55" t="s">
        <v>41</v>
      </c>
      <c r="K81" s="54" t="e">
        <f>GETPIVOTDATA("MADE Y / N",#REF!,"MADE Y / N","N","Race/Ethnicity","HISPANIC")</f>
        <v>#REF!</v>
      </c>
      <c r="L81" s="57" t="e">
        <f>GETPIVOTDATA("MADE Y / N",#REF!,"MADE Y / N","Y","Race/Ethnicity","HISPANIC")</f>
        <v>#REF!</v>
      </c>
      <c r="M81" s="25"/>
      <c r="N81" s="55" t="s">
        <v>41</v>
      </c>
      <c r="O81" s="56" t="e">
        <f>GETPIVOTDATA("MADE Y / N",#REF!,"MADE Y / N","N","Race/Ethnicity","HISPANIC")</f>
        <v>#REF!</v>
      </c>
      <c r="P81" s="66" t="e">
        <f>GETPIVOTDATA("MADE Y / N",#REF!,"MADE Y / N","Y","Race/Ethnicity","HISPANIC")</f>
        <v>#REF!</v>
      </c>
      <c r="Q81" s="25"/>
      <c r="R81" s="25"/>
    </row>
    <row r="82" spans="1:18" ht="18.75" x14ac:dyDescent="0.3">
      <c r="A82" s="25"/>
      <c r="B82" s="25"/>
      <c r="C82" s="25"/>
      <c r="D82" s="55" t="s">
        <v>873</v>
      </c>
      <c r="E82" s="57" t="e">
        <f>GETPIVOTDATA("MADE Y / N",#REF!,"Race/Ethnicity","OTHER")</f>
        <v>#REF!</v>
      </c>
      <c r="F82" s="25"/>
      <c r="G82" s="55" t="s">
        <v>873</v>
      </c>
      <c r="H82" s="56" t="e">
        <f>GETPIVOTDATA("MADE Y / N",#REF!,"Race/Ethnicity","OTHER")</f>
        <v>#REF!</v>
      </c>
      <c r="I82" s="27"/>
      <c r="J82" s="55" t="s">
        <v>873</v>
      </c>
      <c r="K82" s="57" t="e">
        <f>GETPIVOTDATA("MADE Y / N",#REF!,"MADE Y / N","N","Race/Ethnicity","OTHER")</f>
        <v>#REF!</v>
      </c>
      <c r="L82" s="57" t="e">
        <f>GETPIVOTDATA("MADE Y / N",#REF!,"MADE Y / N","Y","Race/Ethnicity","OTHER")</f>
        <v>#REF!</v>
      </c>
      <c r="M82" s="25"/>
      <c r="N82" s="55" t="s">
        <v>873</v>
      </c>
      <c r="O82" s="56" t="e">
        <f>GETPIVOTDATA("MADE Y / N",#REF!,"MADE Y / N","N","Race/Ethnicity","OTHER")</f>
        <v>#REF!</v>
      </c>
      <c r="P82" s="66" t="e">
        <f>GETPIVOTDATA("MADE Y / N",#REF!,"MADE Y / N","Y","Race/Ethnicity","OTHER")</f>
        <v>#REF!</v>
      </c>
      <c r="Q82" s="25"/>
      <c r="R82" s="25"/>
    </row>
    <row r="83" spans="1:18" ht="19.5" thickBot="1" x14ac:dyDescent="0.35">
      <c r="A83" s="25"/>
      <c r="B83" s="25"/>
      <c r="C83" s="25"/>
      <c r="D83" s="58" t="s">
        <v>874</v>
      </c>
      <c r="E83" s="59" t="e">
        <f>GETPIVOTDATA("MADE Y / N",#REF!,"Race/Ethnicity","WHITE")</f>
        <v>#REF!</v>
      </c>
      <c r="F83" s="25"/>
      <c r="G83" s="58" t="s">
        <v>874</v>
      </c>
      <c r="H83" s="60" t="e">
        <f>GETPIVOTDATA("MADE Y / N",#REF!,"Race/Ethnicity","WHITE")</f>
        <v>#REF!</v>
      </c>
      <c r="I83" s="27"/>
      <c r="J83" s="58" t="s">
        <v>874</v>
      </c>
      <c r="K83" s="59" t="e">
        <f>GETPIVOTDATA("MADE Y / N",#REF!,"MADE Y / N","N","Race/Ethnicity","WHITE")</f>
        <v>#REF!</v>
      </c>
      <c r="L83" s="59" t="e">
        <f>GETPIVOTDATA("MADE Y / N",#REF!,"MADE Y / N","Y","Race/Ethnicity","WHITE")</f>
        <v>#REF!</v>
      </c>
      <c r="M83" s="25"/>
      <c r="N83" s="58" t="s">
        <v>874</v>
      </c>
      <c r="O83" s="60" t="e">
        <f>GETPIVOTDATA("MADE Y / N",#REF!,"MADE Y / N","N","Race/Ethnicity","WHITE")</f>
        <v>#REF!</v>
      </c>
      <c r="P83" s="70" t="e">
        <f>GETPIVOTDATA("MADE Y / N",#REF!,"MADE Y / N","Y","Race/Ethnicity","WHITE")</f>
        <v>#REF!</v>
      </c>
      <c r="Q83" s="25"/>
      <c r="R83" s="25"/>
    </row>
    <row r="84" spans="1:18" ht="16.5" customHeight="1" thickBot="1" x14ac:dyDescent="0.35">
      <c r="A84" s="25"/>
      <c r="B84" s="25"/>
      <c r="C84" s="25"/>
      <c r="D84" s="5" t="s">
        <v>582</v>
      </c>
      <c r="E84" s="5" t="e">
        <f>GETPIVOTDATA("MADE Y / N",#REF!)</f>
        <v>#REF!</v>
      </c>
      <c r="F84" s="25"/>
      <c r="G84" s="5" t="s">
        <v>582</v>
      </c>
      <c r="H84" s="6" t="e">
        <f>GETPIVOTDATA("MADE Y / N",#REF!)</f>
        <v>#REF!</v>
      </c>
      <c r="I84" s="27"/>
      <c r="J84" s="5" t="s">
        <v>582</v>
      </c>
      <c r="K84" s="13" t="e">
        <f>GETPIVOTDATA("MADE Y / N",#REF!,"MADE Y / N","N")</f>
        <v>#REF!</v>
      </c>
      <c r="L84" s="5" t="e">
        <f>GETPIVOTDATA("MADE Y / N",#REF!,"MADE Y / N","Y")</f>
        <v>#REF!</v>
      </c>
      <c r="M84" s="25"/>
      <c r="N84" s="5" t="s">
        <v>582</v>
      </c>
      <c r="O84" s="7" t="e">
        <f>GETPIVOTDATA("MADE Y / N",#REF!,"MADE Y / N","N")</f>
        <v>#REF!</v>
      </c>
      <c r="P84" s="12" t="e">
        <f>GETPIVOTDATA("MADE Y / N",#REF!,"MADE Y / N","Y")</f>
        <v>#REF!</v>
      </c>
      <c r="Q84" s="25"/>
      <c r="R84" s="25"/>
    </row>
    <row r="85" spans="1:18" ht="18.75" x14ac:dyDescent="0.3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</row>
    <row r="86" spans="1:18" ht="18.75" x14ac:dyDescent="0.3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1:18" ht="18.75" x14ac:dyDescent="0.3">
      <c r="A87" s="25"/>
      <c r="B87" s="25"/>
      <c r="C87" s="25"/>
      <c r="D87" s="52" t="s">
        <v>903</v>
      </c>
      <c r="E87" s="25"/>
      <c r="F87" s="25"/>
      <c r="G87" s="52" t="s">
        <v>904</v>
      </c>
      <c r="H87" s="25"/>
      <c r="I87" s="25"/>
      <c r="J87" s="52" t="s">
        <v>905</v>
      </c>
      <c r="K87" s="25"/>
      <c r="L87" s="25"/>
      <c r="M87" s="25"/>
      <c r="N87" s="52" t="s">
        <v>906</v>
      </c>
      <c r="O87" s="28"/>
      <c r="P87" s="28"/>
      <c r="Q87" s="25"/>
      <c r="R87" s="25"/>
    </row>
    <row r="88" spans="1:18" ht="19.5" thickBot="1" x14ac:dyDescent="0.35">
      <c r="A88" s="25"/>
      <c r="B88" s="25"/>
      <c r="C88" s="25"/>
      <c r="D88" s="25"/>
      <c r="E88" s="25"/>
      <c r="F88" s="25"/>
      <c r="G88" s="26"/>
      <c r="H88" s="26"/>
      <c r="I88" s="26"/>
      <c r="J88" s="25"/>
      <c r="K88" s="25"/>
      <c r="L88" s="25"/>
      <c r="M88" s="25"/>
      <c r="N88" s="26"/>
      <c r="O88" s="26"/>
      <c r="P88" s="25"/>
      <c r="Q88" s="25"/>
      <c r="R88" s="25"/>
    </row>
    <row r="89" spans="1:18" ht="19.5" thickBot="1" x14ac:dyDescent="0.35">
      <c r="A89" s="25"/>
      <c r="B89" s="25"/>
      <c r="C89" s="25"/>
      <c r="D89" s="44" t="s">
        <v>571</v>
      </c>
      <c r="E89" s="45"/>
      <c r="F89" s="25"/>
      <c r="G89" s="44" t="s">
        <v>571</v>
      </c>
      <c r="H89" s="45"/>
      <c r="I89" s="25"/>
      <c r="J89" s="44" t="s">
        <v>571</v>
      </c>
      <c r="K89" s="62"/>
      <c r="L89" s="45"/>
      <c r="M89" s="25"/>
      <c r="N89" s="44" t="s">
        <v>571</v>
      </c>
      <c r="O89" s="62"/>
      <c r="P89" s="45"/>
      <c r="Q89" s="25"/>
      <c r="R89" s="25"/>
    </row>
    <row r="90" spans="1:18" ht="19.5" thickBot="1" x14ac:dyDescent="0.35">
      <c r="A90" s="25"/>
      <c r="B90" s="25"/>
      <c r="C90" s="25"/>
      <c r="D90" s="11" t="s">
        <v>577</v>
      </c>
      <c r="E90" s="38" t="s">
        <v>882</v>
      </c>
      <c r="F90" s="25"/>
      <c r="G90" s="11" t="s">
        <v>577</v>
      </c>
      <c r="H90" s="38" t="s">
        <v>580</v>
      </c>
      <c r="I90" s="26"/>
      <c r="J90" s="11" t="s">
        <v>577</v>
      </c>
      <c r="K90" s="38" t="s">
        <v>574</v>
      </c>
      <c r="L90" s="50" t="s">
        <v>915</v>
      </c>
      <c r="M90" s="25"/>
      <c r="N90" s="11" t="s">
        <v>577</v>
      </c>
      <c r="O90" s="38" t="s">
        <v>574</v>
      </c>
      <c r="P90" s="50" t="s">
        <v>915</v>
      </c>
      <c r="Q90" s="25"/>
      <c r="R90" s="25"/>
    </row>
    <row r="91" spans="1:18" ht="18.75" x14ac:dyDescent="0.3">
      <c r="A91" s="25"/>
      <c r="B91" s="25"/>
      <c r="C91" s="25"/>
      <c r="D91" s="46" t="s">
        <v>872</v>
      </c>
      <c r="E91" s="54" t="e">
        <f>GETPIVOTDATA("MADE Y / N",#REF!,"Race/Ethnicity","BLACK")</f>
        <v>#REF!</v>
      </c>
      <c r="F91" s="25"/>
      <c r="G91" s="55" t="s">
        <v>872</v>
      </c>
      <c r="H91" s="56" t="e">
        <f>GETPIVOTDATA("MADE Y / N",#REF!,"Race/Ethnicity","BLACK")</f>
        <v>#REF!</v>
      </c>
      <c r="I91" s="27"/>
      <c r="J91" s="55" t="s">
        <v>872</v>
      </c>
      <c r="K91" s="54" t="e">
        <f>GETPIVOTDATA("MADE Y / N",#REF!,"MADE Y / N","N","Race/Ethnicity","BLACK")</f>
        <v>#REF!</v>
      </c>
      <c r="L91" s="57" t="e">
        <f>GETPIVOTDATA("MADE Y / N",#REF!,"MADE Y / N","Y","Race/Ethnicity","BLACK")</f>
        <v>#REF!</v>
      </c>
      <c r="M91" s="25"/>
      <c r="N91" s="55" t="s">
        <v>872</v>
      </c>
      <c r="O91" s="56" t="e">
        <f>GETPIVOTDATA("MADE Y / N",#REF!,"MADE Y / N","N","Race/Ethnicity","BLACK")</f>
        <v>#REF!</v>
      </c>
      <c r="P91" s="66" t="e">
        <f>GETPIVOTDATA("MADE Y / N",#REF!,"MADE Y / N","Y","Race/Ethnicity","BLACK")</f>
        <v>#REF!</v>
      </c>
      <c r="Q91" s="25"/>
      <c r="R91" s="25"/>
    </row>
    <row r="92" spans="1:18" ht="18.75" x14ac:dyDescent="0.3">
      <c r="A92" s="25"/>
      <c r="B92" s="25"/>
      <c r="C92" s="25"/>
      <c r="D92" s="55" t="s">
        <v>41</v>
      </c>
      <c r="E92" s="54" t="e">
        <f>GETPIVOTDATA("MADE Y / N",#REF!,"Race/Ethnicity","HISPANIC")</f>
        <v>#REF!</v>
      </c>
      <c r="F92" s="25"/>
      <c r="G92" s="55" t="s">
        <v>41</v>
      </c>
      <c r="H92" s="56" t="e">
        <f>GETPIVOTDATA("MADE Y / N",#REF!,"Race/Ethnicity","HISPANIC")</f>
        <v>#REF!</v>
      </c>
      <c r="I92" s="27"/>
      <c r="J92" s="55" t="s">
        <v>41</v>
      </c>
      <c r="K92" s="54" t="e">
        <f>GETPIVOTDATA("MADE Y / N",#REF!,"MADE Y / N","N","Race/Ethnicity","HISPANIC")</f>
        <v>#REF!</v>
      </c>
      <c r="L92" s="57" t="e">
        <f>GETPIVOTDATA("MADE Y / N",#REF!,"MADE Y / N","Y","Race/Ethnicity","HISPANIC")</f>
        <v>#REF!</v>
      </c>
      <c r="M92" s="25"/>
      <c r="N92" s="55" t="s">
        <v>41</v>
      </c>
      <c r="O92" s="56" t="e">
        <f>GETPIVOTDATA("MADE Y / N",#REF!,"MADE Y / N","N","Race/Ethnicity","HISPANIC")</f>
        <v>#REF!</v>
      </c>
      <c r="P92" s="66" t="e">
        <f>GETPIVOTDATA("MADE Y / N",#REF!,"MADE Y / N","Y","Race/Ethnicity","HISPANIC")</f>
        <v>#REF!</v>
      </c>
      <c r="Q92" s="25"/>
      <c r="R92" s="25"/>
    </row>
    <row r="93" spans="1:18" ht="18.75" x14ac:dyDescent="0.3">
      <c r="A93" s="25"/>
      <c r="B93" s="25"/>
      <c r="C93" s="25"/>
      <c r="D93" s="55" t="s">
        <v>873</v>
      </c>
      <c r="E93" s="57" t="e">
        <f>GETPIVOTDATA("MADE Y / N",#REF!,"Race/Ethnicity","OTHER")</f>
        <v>#REF!</v>
      </c>
      <c r="F93" s="25"/>
      <c r="G93" s="55" t="s">
        <v>873</v>
      </c>
      <c r="H93" s="56" t="e">
        <f>GETPIVOTDATA("MADE Y / N",#REF!,"Race/Ethnicity","OTHER")</f>
        <v>#REF!</v>
      </c>
      <c r="I93" s="27"/>
      <c r="J93" s="55" t="s">
        <v>873</v>
      </c>
      <c r="K93" s="57" t="e">
        <f>GETPIVOTDATA("MADE Y / N",#REF!,"MADE Y / N","N","Race/Ethnicity","OTHER")</f>
        <v>#REF!</v>
      </c>
      <c r="L93" s="57" t="e">
        <f>GETPIVOTDATA("MADE Y / N",#REF!,"MADE Y / N","Y","Race/Ethnicity","OTHER")</f>
        <v>#REF!</v>
      </c>
      <c r="M93" s="25"/>
      <c r="N93" s="55" t="s">
        <v>873</v>
      </c>
      <c r="O93" s="56" t="e">
        <f>GETPIVOTDATA("MADE Y / N",#REF!,"MADE Y / N","N","Race/Ethnicity","OTHER")</f>
        <v>#REF!</v>
      </c>
      <c r="P93" s="66" t="e">
        <f>GETPIVOTDATA("MADE Y / N",#REF!,"MADE Y / N","Y","Race/Ethnicity","OTHER")</f>
        <v>#REF!</v>
      </c>
      <c r="Q93" s="25"/>
      <c r="R93" s="25"/>
    </row>
    <row r="94" spans="1:18" ht="19.5" thickBot="1" x14ac:dyDescent="0.35">
      <c r="A94" s="25"/>
      <c r="B94" s="25"/>
      <c r="C94" s="25"/>
      <c r="D94" s="58" t="s">
        <v>874</v>
      </c>
      <c r="E94" s="59" t="e">
        <f>GETPIVOTDATA("MADE Y / N",#REF!,"Race/Ethnicity","WHITE")</f>
        <v>#REF!</v>
      </c>
      <c r="F94" s="25"/>
      <c r="G94" s="58" t="s">
        <v>874</v>
      </c>
      <c r="H94" s="60" t="e">
        <f>GETPIVOTDATA("MADE Y / N",#REF!,"Race/Ethnicity","WHITE")</f>
        <v>#REF!</v>
      </c>
      <c r="I94" s="27"/>
      <c r="J94" s="58" t="s">
        <v>874</v>
      </c>
      <c r="K94" s="59" t="e">
        <f>GETPIVOTDATA("MADE Y / N",#REF!,"MADE Y / N","N","Race/Ethnicity","WHITE")</f>
        <v>#REF!</v>
      </c>
      <c r="L94" s="59" t="e">
        <f>GETPIVOTDATA("MADE Y / N",#REF!,"MADE Y / N","Y","Race/Ethnicity","WHITE")</f>
        <v>#REF!</v>
      </c>
      <c r="M94" s="25"/>
      <c r="N94" s="58" t="s">
        <v>874</v>
      </c>
      <c r="O94" s="60" t="e">
        <f>GETPIVOTDATA("MADE Y / N",#REF!,"MADE Y / N","N","Race/Ethnicity","WHITE")</f>
        <v>#REF!</v>
      </c>
      <c r="P94" s="70" t="e">
        <f>GETPIVOTDATA("MADE Y / N",#REF!,"MADE Y / N","Y","Race/Ethnicity","WHITE")</f>
        <v>#REF!</v>
      </c>
      <c r="Q94" s="25"/>
      <c r="R94" s="25"/>
    </row>
    <row r="95" spans="1:18" ht="19.5" thickBot="1" x14ac:dyDescent="0.35">
      <c r="A95" s="25"/>
      <c r="B95" s="25"/>
      <c r="C95" s="25"/>
      <c r="D95" s="5" t="s">
        <v>582</v>
      </c>
      <c r="E95" s="5" t="e">
        <f>GETPIVOTDATA("MADE Y / N",#REF!)</f>
        <v>#REF!</v>
      </c>
      <c r="F95" s="25"/>
      <c r="G95" s="5" t="s">
        <v>582</v>
      </c>
      <c r="H95" s="6" t="e">
        <f>GETPIVOTDATA("MADE Y / N",#REF!)</f>
        <v>#REF!</v>
      </c>
      <c r="I95" s="27"/>
      <c r="J95" s="5" t="s">
        <v>582</v>
      </c>
      <c r="K95" s="13" t="e">
        <f>GETPIVOTDATA("MADE Y / N",#REF!,"MADE Y / N","N")</f>
        <v>#REF!</v>
      </c>
      <c r="L95" s="5" t="e">
        <f>GETPIVOTDATA("MADE Y / N",#REF!,"MADE Y / N","Y")</f>
        <v>#REF!</v>
      </c>
      <c r="M95" s="25"/>
      <c r="N95" s="5" t="s">
        <v>582</v>
      </c>
      <c r="O95" s="7" t="e">
        <f>GETPIVOTDATA("MADE Y / N",#REF!,"MADE Y / N","N")</f>
        <v>#REF!</v>
      </c>
      <c r="P95" s="12" t="e">
        <f>GETPIVOTDATA("MADE Y / N",#REF!,"MADE Y / N","Y")</f>
        <v>#REF!</v>
      </c>
      <c r="Q95" s="25"/>
      <c r="R95" s="25"/>
    </row>
    <row r="96" spans="1:18" ht="18.75" x14ac:dyDescent="0.3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1:18" ht="18.75" x14ac:dyDescent="0.3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1:18" ht="18.75" x14ac:dyDescent="0.3">
      <c r="A98" s="25"/>
      <c r="B98" s="25"/>
      <c r="C98" s="25"/>
      <c r="D98" s="52" t="s">
        <v>907</v>
      </c>
      <c r="E98" s="25"/>
      <c r="F98" s="25"/>
      <c r="G98" s="52" t="s">
        <v>908</v>
      </c>
      <c r="H98" s="25"/>
      <c r="I98" s="25"/>
      <c r="J98" s="52" t="s">
        <v>909</v>
      </c>
      <c r="K98" s="25"/>
      <c r="L98" s="25"/>
      <c r="M98" s="25"/>
      <c r="N98" s="52" t="s">
        <v>910</v>
      </c>
      <c r="O98" s="28"/>
      <c r="P98" s="28"/>
      <c r="Q98" s="25"/>
      <c r="R98" s="25"/>
    </row>
    <row r="99" spans="1:18" ht="19.5" thickBot="1" x14ac:dyDescent="0.35">
      <c r="A99" s="25"/>
      <c r="B99" s="25"/>
      <c r="C99" s="25"/>
      <c r="D99" s="25"/>
      <c r="E99" s="25"/>
      <c r="F99" s="25"/>
      <c r="G99" s="26"/>
      <c r="H99" s="26"/>
      <c r="I99" s="26"/>
      <c r="J99" s="25"/>
      <c r="K99" s="25"/>
      <c r="L99" s="25"/>
      <c r="M99" s="25"/>
      <c r="N99" s="26"/>
      <c r="O99" s="26"/>
      <c r="P99" s="25"/>
      <c r="Q99" s="25"/>
      <c r="R99" s="25"/>
    </row>
    <row r="100" spans="1:18" ht="19.5" thickBot="1" x14ac:dyDescent="0.35">
      <c r="A100" s="25"/>
      <c r="B100" s="25"/>
      <c r="C100" s="25"/>
      <c r="D100" s="44" t="s">
        <v>886</v>
      </c>
      <c r="E100" s="45"/>
      <c r="F100" s="25"/>
      <c r="G100" s="44" t="s">
        <v>886</v>
      </c>
      <c r="H100" s="45"/>
      <c r="I100" s="25"/>
      <c r="J100" s="44" t="s">
        <v>886</v>
      </c>
      <c r="K100" s="62"/>
      <c r="L100" s="45"/>
      <c r="M100" s="25"/>
      <c r="N100" s="44" t="s">
        <v>886</v>
      </c>
      <c r="O100" s="62"/>
      <c r="P100" s="45"/>
      <c r="Q100" s="25"/>
      <c r="R100" s="25"/>
    </row>
    <row r="101" spans="1:18" ht="19.5" thickBot="1" x14ac:dyDescent="0.35">
      <c r="A101" s="25"/>
      <c r="B101" s="25"/>
      <c r="C101" s="25"/>
      <c r="D101" s="11" t="s">
        <v>577</v>
      </c>
      <c r="E101" s="38" t="s">
        <v>882</v>
      </c>
      <c r="F101" s="25"/>
      <c r="G101" s="11" t="s">
        <v>577</v>
      </c>
      <c r="H101" s="50" t="s">
        <v>580</v>
      </c>
      <c r="I101" s="26"/>
      <c r="J101" s="11" t="s">
        <v>577</v>
      </c>
      <c r="K101" s="38" t="s">
        <v>574</v>
      </c>
      <c r="L101" s="50" t="s">
        <v>915</v>
      </c>
      <c r="M101" s="25"/>
      <c r="N101" s="11" t="s">
        <v>577</v>
      </c>
      <c r="O101" s="38" t="s">
        <v>574</v>
      </c>
      <c r="P101" s="50" t="s">
        <v>915</v>
      </c>
      <c r="Q101" s="25"/>
      <c r="R101" s="25"/>
    </row>
    <row r="102" spans="1:18" ht="18.75" x14ac:dyDescent="0.3">
      <c r="A102" s="25"/>
      <c r="B102" s="25"/>
      <c r="C102" s="25"/>
      <c r="D102" s="46" t="s">
        <v>872</v>
      </c>
      <c r="E102" s="54" t="e">
        <f>GETPIVOTDATA("MADE Y / N",#REF!,"Race/Ethnicity","BLACK")</f>
        <v>#REF!</v>
      </c>
      <c r="F102" s="25"/>
      <c r="G102" s="101" t="s">
        <v>872</v>
      </c>
      <c r="H102" s="103" t="e">
        <f>GETPIVOTDATA("MADE Y / N",#REF!,"Race/Ethnicity","BLACK")</f>
        <v>#REF!</v>
      </c>
      <c r="I102" s="27"/>
      <c r="J102" s="55" t="s">
        <v>872</v>
      </c>
      <c r="K102" s="54" t="e">
        <f>GETPIVOTDATA("MADE Y / N",#REF!,"MADE Y / N","N","Race/Ethnicity","BLACK")</f>
        <v>#REF!</v>
      </c>
      <c r="L102" s="57" t="e">
        <f>GETPIVOTDATA("MADE Y / N",#REF!,"MADE Y / N","Y","Race/Ethnicity","BLACK")</f>
        <v>#REF!</v>
      </c>
      <c r="M102" s="25"/>
      <c r="N102" s="55" t="s">
        <v>872</v>
      </c>
      <c r="O102" s="56" t="e">
        <f>GETPIVOTDATA("MADE Y / N",#REF!,"MADE Y / N","N","Race/Ethnicity","BLACK")</f>
        <v>#REF!</v>
      </c>
      <c r="P102" s="66" t="e">
        <f>GETPIVOTDATA("MADE Y / N",#REF!,"MADE Y / N","Y","Race/Ethnicity","BLACK")</f>
        <v>#REF!</v>
      </c>
      <c r="Q102" s="25"/>
      <c r="R102" s="25"/>
    </row>
    <row r="103" spans="1:18" ht="18.75" x14ac:dyDescent="0.3">
      <c r="A103" s="25"/>
      <c r="B103" s="25"/>
      <c r="C103" s="25"/>
      <c r="D103" s="55" t="s">
        <v>41</v>
      </c>
      <c r="E103" s="54" t="e">
        <f>GETPIVOTDATA("MADE Y / N",#REF!,"Race/Ethnicity","HISPANIC")</f>
        <v>#REF!</v>
      </c>
      <c r="F103" s="25"/>
      <c r="G103" s="101" t="s">
        <v>41</v>
      </c>
      <c r="H103" s="103" t="e">
        <f>GETPIVOTDATA("MADE Y / N",#REF!,"Race/Ethnicity","HISPANIC")</f>
        <v>#REF!</v>
      </c>
      <c r="I103" s="27"/>
      <c r="J103" s="55" t="s">
        <v>41</v>
      </c>
      <c r="K103" s="54" t="e">
        <f>GETPIVOTDATA("MADE Y / N",#REF!,"MADE Y / N","N","Race/Ethnicity","HISPANIC")</f>
        <v>#REF!</v>
      </c>
      <c r="L103" s="57" t="e">
        <f>GETPIVOTDATA("MADE Y / N",#REF!,"MADE Y / N","Y","Race/Ethnicity","HISPANIC")</f>
        <v>#REF!</v>
      </c>
      <c r="M103" s="25"/>
      <c r="N103" s="55" t="s">
        <v>41</v>
      </c>
      <c r="O103" s="56" t="e">
        <f>GETPIVOTDATA("MADE Y / N",#REF!,"MADE Y / N","N","Race/Ethnicity","HISPANIC")</f>
        <v>#REF!</v>
      </c>
      <c r="P103" s="66" t="e">
        <f>GETPIVOTDATA("MADE Y / N",#REF!,"MADE Y / N","Y","Race/Ethnicity","HISPANIC")</f>
        <v>#REF!</v>
      </c>
      <c r="Q103" s="25"/>
      <c r="R103" s="25"/>
    </row>
    <row r="104" spans="1:18" ht="18.75" x14ac:dyDescent="0.3">
      <c r="A104" s="25"/>
      <c r="B104" s="25"/>
      <c r="C104" s="25"/>
      <c r="D104" s="55" t="s">
        <v>873</v>
      </c>
      <c r="E104" s="57" t="e">
        <f>GETPIVOTDATA("MADE Y / N",#REF!,"Race/Ethnicity","OTHER")</f>
        <v>#REF!</v>
      </c>
      <c r="F104" s="25"/>
      <c r="G104" s="101" t="s">
        <v>873</v>
      </c>
      <c r="H104" s="103" t="e">
        <f>GETPIVOTDATA("MADE Y / N",#REF!,"Race/Ethnicity","OTHER")</f>
        <v>#REF!</v>
      </c>
      <c r="I104" s="27"/>
      <c r="J104" s="55" t="s">
        <v>873</v>
      </c>
      <c r="K104" s="57" t="e">
        <f>GETPIVOTDATA("MADE Y / N",#REF!,"MADE Y / N","N","Race/Ethnicity","OTHER")</f>
        <v>#REF!</v>
      </c>
      <c r="L104" s="57" t="e">
        <f>GETPIVOTDATA("MADE Y / N",#REF!,"MADE Y / N","Y","Race/Ethnicity","OTHER")</f>
        <v>#REF!</v>
      </c>
      <c r="M104" s="25"/>
      <c r="N104" s="55" t="s">
        <v>873</v>
      </c>
      <c r="O104" s="56" t="e">
        <f>GETPIVOTDATA("MADE Y / N",#REF!,"MADE Y / N","N","Race/Ethnicity","OTHER")</f>
        <v>#REF!</v>
      </c>
      <c r="P104" s="66" t="e">
        <f>GETPIVOTDATA("MADE Y / N",#REF!,"MADE Y / N","Y","Race/Ethnicity","OTHER")</f>
        <v>#REF!</v>
      </c>
      <c r="Q104" s="25"/>
      <c r="R104" s="25"/>
    </row>
    <row r="105" spans="1:18" ht="19.5" thickBot="1" x14ac:dyDescent="0.35">
      <c r="A105" s="25"/>
      <c r="B105" s="25"/>
      <c r="C105" s="25"/>
      <c r="D105" s="58" t="s">
        <v>874</v>
      </c>
      <c r="E105" s="59" t="e">
        <f>GETPIVOTDATA("MADE Y / N",#REF!,"Race/Ethnicity","WHITE")</f>
        <v>#REF!</v>
      </c>
      <c r="F105" s="25"/>
      <c r="G105" s="104" t="s">
        <v>874</v>
      </c>
      <c r="H105" s="105" t="e">
        <f>GETPIVOTDATA("MADE Y / N",#REF!,"Race/Ethnicity","WHITE")</f>
        <v>#REF!</v>
      </c>
      <c r="I105" s="27"/>
      <c r="J105" s="58" t="s">
        <v>874</v>
      </c>
      <c r="K105" s="59" t="e">
        <f>GETPIVOTDATA("MADE Y / N",#REF!,"MADE Y / N","N","Race/Ethnicity","WHITE")</f>
        <v>#REF!</v>
      </c>
      <c r="L105" s="59" t="e">
        <f>GETPIVOTDATA("MADE Y / N",#REF!,"MADE Y / N","Y","Race/Ethnicity","WHITE")</f>
        <v>#REF!</v>
      </c>
      <c r="M105" s="25"/>
      <c r="N105" s="58" t="s">
        <v>874</v>
      </c>
      <c r="O105" s="60" t="e">
        <f>GETPIVOTDATA("MADE Y / N",#REF!,"MADE Y / N","N","Race/Ethnicity","WHITE")</f>
        <v>#REF!</v>
      </c>
      <c r="P105" s="70" t="e">
        <f>GETPIVOTDATA("MADE Y / N",#REF!,"MADE Y / N","Y","Race/Ethnicity","WHITE")</f>
        <v>#REF!</v>
      </c>
      <c r="Q105" s="25"/>
      <c r="R105" s="25"/>
    </row>
    <row r="106" spans="1:18" ht="19.5" thickBot="1" x14ac:dyDescent="0.35">
      <c r="A106" s="25"/>
      <c r="B106" s="25"/>
      <c r="C106" s="25"/>
      <c r="D106" s="5" t="s">
        <v>582</v>
      </c>
      <c r="E106" s="5" t="e">
        <f>GETPIVOTDATA("MADE Y / N",#REF!)</f>
        <v>#REF!</v>
      </c>
      <c r="F106" s="25"/>
      <c r="G106" s="5" t="s">
        <v>582</v>
      </c>
      <c r="H106" s="6" t="e">
        <f>GETPIVOTDATA("MADE Y / N",#REF!)</f>
        <v>#REF!</v>
      </c>
      <c r="I106" s="27"/>
      <c r="J106" s="5" t="s">
        <v>582</v>
      </c>
      <c r="K106" s="13" t="e">
        <f>GETPIVOTDATA("MADE Y / N",#REF!,"MADE Y / N","N")</f>
        <v>#REF!</v>
      </c>
      <c r="L106" s="5" t="e">
        <f>GETPIVOTDATA("MADE Y / N",#REF!,"MADE Y / N","Y")</f>
        <v>#REF!</v>
      </c>
      <c r="M106" s="25"/>
      <c r="N106" s="5" t="s">
        <v>582</v>
      </c>
      <c r="O106" s="7" t="e">
        <f>GETPIVOTDATA("MADE Y / N",#REF!,"MADE Y / N","N")</f>
        <v>#REF!</v>
      </c>
      <c r="P106" s="12" t="e">
        <f>GETPIVOTDATA("MADE Y / N",#REF!,"MADE Y / N","Y")</f>
        <v>#REF!</v>
      </c>
      <c r="Q106" s="25"/>
      <c r="R106" s="25"/>
    </row>
    <row r="107" spans="1:18" ht="18.75" x14ac:dyDescent="0.3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1:18" ht="18.75" x14ac:dyDescent="0.3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1:18" ht="18.75" x14ac:dyDescent="0.3">
      <c r="A109" s="25"/>
      <c r="B109" s="25"/>
      <c r="C109" s="25"/>
      <c r="D109" s="52" t="s">
        <v>911</v>
      </c>
      <c r="E109" s="25"/>
      <c r="F109" s="25"/>
      <c r="G109" s="52" t="s">
        <v>912</v>
      </c>
      <c r="H109" s="25"/>
      <c r="I109" s="25"/>
      <c r="J109" s="52" t="s">
        <v>913</v>
      </c>
      <c r="K109" s="25"/>
      <c r="L109" s="25"/>
      <c r="M109" s="25"/>
      <c r="N109" s="52" t="s">
        <v>914</v>
      </c>
      <c r="O109" s="28"/>
      <c r="P109" s="28"/>
      <c r="Q109" s="25"/>
      <c r="R109" s="25"/>
    </row>
    <row r="110" spans="1:18" ht="19.5" thickBot="1" x14ac:dyDescent="0.35">
      <c r="A110" s="25"/>
      <c r="B110" s="25"/>
      <c r="C110" s="25"/>
      <c r="D110" s="25"/>
      <c r="E110" s="25"/>
      <c r="F110" s="25"/>
      <c r="G110" s="26"/>
      <c r="H110" s="26"/>
      <c r="I110" s="26"/>
      <c r="J110" s="25"/>
      <c r="K110" s="25"/>
      <c r="L110" s="25"/>
      <c r="M110" s="25"/>
      <c r="N110" s="26"/>
      <c r="O110" s="26"/>
      <c r="P110" s="25"/>
      <c r="Q110" s="25"/>
      <c r="R110" s="25"/>
    </row>
    <row r="111" spans="1:18" ht="19.5" thickBot="1" x14ac:dyDescent="0.35">
      <c r="A111" s="25"/>
      <c r="B111" s="25"/>
      <c r="C111" s="25"/>
      <c r="D111" s="44" t="s">
        <v>564</v>
      </c>
      <c r="E111" s="45"/>
      <c r="F111" s="25"/>
      <c r="G111" s="44" t="s">
        <v>564</v>
      </c>
      <c r="H111" s="45"/>
      <c r="I111" s="25"/>
      <c r="J111" s="44" t="s">
        <v>564</v>
      </c>
      <c r="K111" s="62"/>
      <c r="L111" s="45"/>
      <c r="M111" s="25"/>
      <c r="N111" s="44" t="s">
        <v>564</v>
      </c>
      <c r="O111" s="62"/>
      <c r="P111" s="45"/>
      <c r="Q111" s="25"/>
      <c r="R111" s="25"/>
    </row>
    <row r="112" spans="1:18" ht="19.5" thickBot="1" x14ac:dyDescent="0.35">
      <c r="A112" s="25"/>
      <c r="B112" s="25"/>
      <c r="C112" s="25"/>
      <c r="D112" s="11" t="s">
        <v>577</v>
      </c>
      <c r="E112" s="38" t="s">
        <v>882</v>
      </c>
      <c r="F112" s="25"/>
      <c r="G112" s="11" t="s">
        <v>577</v>
      </c>
      <c r="H112" s="38" t="s">
        <v>580</v>
      </c>
      <c r="I112" s="26"/>
      <c r="J112" s="11" t="s">
        <v>577</v>
      </c>
      <c r="K112" s="38" t="s">
        <v>574</v>
      </c>
      <c r="L112" s="50" t="s">
        <v>915</v>
      </c>
      <c r="M112" s="25"/>
      <c r="N112" s="11" t="s">
        <v>577</v>
      </c>
      <c r="O112" s="38" t="s">
        <v>574</v>
      </c>
      <c r="P112" s="50" t="s">
        <v>915</v>
      </c>
      <c r="Q112" s="25"/>
      <c r="R112" s="25"/>
    </row>
    <row r="113" spans="1:18" ht="18.75" x14ac:dyDescent="0.3">
      <c r="A113" s="25"/>
      <c r="B113" s="25"/>
      <c r="C113" s="25"/>
      <c r="D113" s="46" t="s">
        <v>872</v>
      </c>
      <c r="E113" s="54" t="e">
        <f>GETPIVOTDATA("MADE Y / N",#REF!,"Race/Ethnicity","BLACK")</f>
        <v>#REF!</v>
      </c>
      <c r="F113" s="25"/>
      <c r="G113" s="55" t="s">
        <v>872</v>
      </c>
      <c r="H113" s="56" t="e">
        <f>GETPIVOTDATA("MADE Y / N",#REF!,"Race/Ethnicity","BLACK")</f>
        <v>#REF!</v>
      </c>
      <c r="I113" s="27"/>
      <c r="J113" s="55" t="s">
        <v>872</v>
      </c>
      <c r="K113" s="54" t="e">
        <f>GETPIVOTDATA("MADE Y / N",#REF!,"MADE Y / N","N","Race/Ethnicity","BLACK")</f>
        <v>#REF!</v>
      </c>
      <c r="L113" s="57"/>
      <c r="M113" s="25"/>
      <c r="N113" s="55" t="s">
        <v>872</v>
      </c>
      <c r="O113" s="56" t="e">
        <f>GETPIVOTDATA("MADE Y / N",#REF!,"MADE Y / N","N","Race/Ethnicity","BLACK")</f>
        <v>#REF!</v>
      </c>
      <c r="P113" s="66"/>
      <c r="Q113" s="25"/>
      <c r="R113" s="25"/>
    </row>
    <row r="114" spans="1:18" ht="18.75" x14ac:dyDescent="0.3">
      <c r="A114" s="25"/>
      <c r="B114" s="25"/>
      <c r="C114" s="25"/>
      <c r="D114" s="55" t="s">
        <v>41</v>
      </c>
      <c r="E114" s="54" t="e">
        <f>GETPIVOTDATA("MADE Y / N",#REF!,"Race/Ethnicity","HISPANIC")</f>
        <v>#REF!</v>
      </c>
      <c r="F114" s="25"/>
      <c r="G114" s="55" t="s">
        <v>41</v>
      </c>
      <c r="H114" s="56" t="e">
        <f>GETPIVOTDATA("MADE Y / N",#REF!,"Race/Ethnicity","HISPANIC")</f>
        <v>#REF!</v>
      </c>
      <c r="I114" s="27"/>
      <c r="J114" s="55" t="s">
        <v>41</v>
      </c>
      <c r="K114" s="54" t="e">
        <f>GETPIVOTDATA("MADE Y / N",#REF!,"MADE Y / N","N","Race/Ethnicity","HISPANIC")</f>
        <v>#REF!</v>
      </c>
      <c r="L114" s="57"/>
      <c r="M114" s="25"/>
      <c r="N114" s="55" t="s">
        <v>41</v>
      </c>
      <c r="O114" s="56" t="e">
        <f>GETPIVOTDATA("MADE Y / N",#REF!,"MADE Y / N","N","Race/Ethnicity","HISPANIC")</f>
        <v>#REF!</v>
      </c>
      <c r="P114" s="66"/>
      <c r="Q114" s="25"/>
      <c r="R114" s="25"/>
    </row>
    <row r="115" spans="1:18" ht="18.75" x14ac:dyDescent="0.3">
      <c r="A115" s="25"/>
      <c r="B115" s="25"/>
      <c r="C115" s="25"/>
      <c r="D115" s="55" t="s">
        <v>873</v>
      </c>
      <c r="E115" s="57" t="e">
        <f>GETPIVOTDATA("MADE Y / N",#REF!,"Race/Ethnicity","OTHER")</f>
        <v>#REF!</v>
      </c>
      <c r="F115" s="25"/>
      <c r="G115" s="55" t="s">
        <v>873</v>
      </c>
      <c r="H115" s="56" t="e">
        <f>GETPIVOTDATA("MADE Y / N",#REF!,"Race/Ethnicity","OTHER")</f>
        <v>#REF!</v>
      </c>
      <c r="I115" s="27"/>
      <c r="J115" s="55" t="s">
        <v>873</v>
      </c>
      <c r="K115" s="57" t="e">
        <f>GETPIVOTDATA("MADE Y / N",#REF!,"MADE Y / N","N","Race/Ethnicity","OTHER")</f>
        <v>#REF!</v>
      </c>
      <c r="L115" s="57"/>
      <c r="M115" s="25"/>
      <c r="N115" s="55" t="s">
        <v>873</v>
      </c>
      <c r="O115" s="56" t="e">
        <f>GETPIVOTDATA("MADE Y / N",#REF!,"MADE Y / N","N","Race/Ethnicity","OTHER")</f>
        <v>#REF!</v>
      </c>
      <c r="P115" s="66"/>
      <c r="Q115" s="25"/>
      <c r="R115" s="25"/>
    </row>
    <row r="116" spans="1:18" ht="19.5" thickBot="1" x14ac:dyDescent="0.35">
      <c r="A116" s="25"/>
      <c r="B116" s="25"/>
      <c r="C116" s="25"/>
      <c r="D116" s="58" t="s">
        <v>874</v>
      </c>
      <c r="E116" s="59" t="e">
        <f>GETPIVOTDATA("MADE Y / N",#REF!,"Race/Ethnicity","WHITE")</f>
        <v>#REF!</v>
      </c>
      <c r="F116" s="25"/>
      <c r="G116" s="58" t="s">
        <v>874</v>
      </c>
      <c r="H116" s="60" t="e">
        <f>GETPIVOTDATA("MADE Y / N",#REF!,"Race/Ethnicity","WHITE")</f>
        <v>#REF!</v>
      </c>
      <c r="I116" s="27"/>
      <c r="J116" s="58" t="s">
        <v>874</v>
      </c>
      <c r="K116" s="59" t="e">
        <f>GETPIVOTDATA("MADE Y / N",#REF!,"MADE Y / N","N","Race/Ethnicity","WHITE")</f>
        <v>#REF!</v>
      </c>
      <c r="L116" s="59"/>
      <c r="M116" s="25"/>
      <c r="N116" s="58" t="s">
        <v>874</v>
      </c>
      <c r="O116" s="60" t="e">
        <f>GETPIVOTDATA("MADE Y / N",#REF!,"MADE Y / N","N","Race/Ethnicity","WHITE")</f>
        <v>#REF!</v>
      </c>
      <c r="P116" s="70"/>
      <c r="Q116" s="25"/>
      <c r="R116" s="25"/>
    </row>
    <row r="117" spans="1:18" ht="19.5" thickBot="1" x14ac:dyDescent="0.35">
      <c r="A117" s="25"/>
      <c r="B117" s="25"/>
      <c r="C117" s="25"/>
      <c r="D117" s="5" t="s">
        <v>582</v>
      </c>
      <c r="E117" s="5" t="e">
        <f>GETPIVOTDATA("MADE Y / N",#REF!)</f>
        <v>#REF!</v>
      </c>
      <c r="F117" s="25"/>
      <c r="G117" s="5" t="s">
        <v>582</v>
      </c>
      <c r="H117" s="6" t="e">
        <f>GETPIVOTDATA("MADE Y / N",#REF!)</f>
        <v>#REF!</v>
      </c>
      <c r="I117" s="27"/>
      <c r="J117" s="5" t="s">
        <v>582</v>
      </c>
      <c r="K117" s="13" t="e">
        <f>GETPIVOTDATA("MADE Y / N",#REF!,"MADE Y / N","N")</f>
        <v>#REF!</v>
      </c>
      <c r="L117" s="5"/>
      <c r="M117" s="25"/>
      <c r="N117" s="5" t="s">
        <v>582</v>
      </c>
      <c r="O117" s="7" t="e">
        <f>GETPIVOTDATA("MADE Y / N",#REF!,"MADE Y / N","N")</f>
        <v>#REF!</v>
      </c>
      <c r="P117" s="12"/>
      <c r="Q117" s="25"/>
      <c r="R117" s="25"/>
    </row>
    <row r="118" spans="1:18" ht="18.75" x14ac:dyDescent="0.3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</row>
    <row r="119" spans="1:18" ht="18.75" x14ac:dyDescent="0.3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1:18" ht="18.75" x14ac:dyDescent="0.3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</row>
    <row r="121" spans="1:18" ht="18.75" x14ac:dyDescent="0.3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</row>
    <row r="122" spans="1:18" ht="18.75" x14ac:dyDescent="0.3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</row>
    <row r="123" spans="1:18" ht="18.75" x14ac:dyDescent="0.3">
      <c r="A123" s="25"/>
      <c r="B123" s="25"/>
      <c r="C123" s="25"/>
      <c r="D123" s="52" t="s">
        <v>919</v>
      </c>
      <c r="E123" s="25"/>
      <c r="F123" s="25"/>
      <c r="G123" s="25"/>
      <c r="H123" s="52" t="s">
        <v>971</v>
      </c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1:18" ht="19.5" thickBot="1" x14ac:dyDescent="0.3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1:18" ht="19.5" thickBot="1" x14ac:dyDescent="0.35">
      <c r="A125" s="25"/>
      <c r="B125" s="25"/>
      <c r="C125" s="25"/>
      <c r="D125" s="11" t="s">
        <v>586</v>
      </c>
      <c r="E125" s="19" t="s">
        <v>918</v>
      </c>
      <c r="F125" s="19" t="s">
        <v>587</v>
      </c>
      <c r="G125" s="25"/>
      <c r="H125" s="11" t="s">
        <v>586</v>
      </c>
      <c r="I125" s="19" t="s">
        <v>918</v>
      </c>
      <c r="J125" s="19" t="s">
        <v>972</v>
      </c>
      <c r="K125" s="19" t="s">
        <v>587</v>
      </c>
      <c r="L125" s="19" t="s">
        <v>973</v>
      </c>
      <c r="M125" s="19" t="s">
        <v>587</v>
      </c>
      <c r="N125" s="19" t="s">
        <v>974</v>
      </c>
      <c r="O125" s="19" t="s">
        <v>587</v>
      </c>
      <c r="P125" s="19" t="s">
        <v>975</v>
      </c>
      <c r="Q125" s="19" t="s">
        <v>587</v>
      </c>
      <c r="R125" s="25"/>
    </row>
    <row r="126" spans="1:18" ht="18.75" x14ac:dyDescent="0.3">
      <c r="A126" s="25"/>
      <c r="B126" s="25"/>
      <c r="C126" s="25"/>
      <c r="D126" s="46" t="s">
        <v>583</v>
      </c>
      <c r="E126" s="20" t="e">
        <f>GETPIVOTDATA("Count of BAIL TYPE",#REF!,"BAIL TYPE","CASH")</f>
        <v>#REF!</v>
      </c>
      <c r="F126" s="22" t="e">
        <f>GETPIVOTDATA("Count of BAIL TYPE2",#REF!,"BAIL TYPE","CASH")</f>
        <v>#REF!</v>
      </c>
      <c r="G126" s="25"/>
      <c r="H126" s="46" t="s">
        <v>583</v>
      </c>
      <c r="I126" s="20" t="e">
        <f>GETPIVOTDATA("Count of BAIL TYPE",#REF!,"BAIL TYPE","CASH")</f>
        <v>#REF!</v>
      </c>
      <c r="J126" s="20" t="e">
        <f>GETPIVOTDATA("Count of bond fort ",#REF!,"BAIL TYPE","CASH")</f>
        <v>#REF!</v>
      </c>
      <c r="K126" s="22" t="e">
        <f t="shared" ref="K126:K132" si="0">J126/I126</f>
        <v>#REF!</v>
      </c>
      <c r="L126" s="20" t="e">
        <f>GETPIVOTDATA("Count of BD REVOKED",#REF!,"BAIL TYPE","CASH")</f>
        <v>#REF!</v>
      </c>
      <c r="M126" s="22" t="e">
        <f t="shared" ref="M126:M132" si="1">L126/I126</f>
        <v>#REF!</v>
      </c>
      <c r="N126" s="20" t="e">
        <f>GETPIVOTDATA("Count of FUGITIVE",#REF!,"BAIL TYPE","CASH")</f>
        <v>#REF!</v>
      </c>
      <c r="O126" s="22" t="e">
        <f t="shared" ref="O126:O132" si="2">N126/I126</f>
        <v>#REF!</v>
      </c>
      <c r="P126" s="20" t="e">
        <f t="shared" ref="P126:P131" si="3">N126+L126+J126</f>
        <v>#REF!</v>
      </c>
      <c r="Q126" s="22" t="e">
        <f>P126/I126</f>
        <v>#REF!</v>
      </c>
      <c r="R126" s="25"/>
    </row>
    <row r="127" spans="1:18" ht="18.75" x14ac:dyDescent="0.3">
      <c r="A127" s="25"/>
      <c r="B127" s="25"/>
      <c r="C127" s="25"/>
      <c r="D127" s="55" t="s">
        <v>584</v>
      </c>
      <c r="E127" s="71" t="e">
        <f>GETPIVOTDATA("Count of BAIL TYPE",#REF!,"BAIL TYPE","CASHPTRc")</f>
        <v>#REF!</v>
      </c>
      <c r="F127" s="56" t="e">
        <f>GETPIVOTDATA("Count of BAIL TYPE2",#REF!,"BAIL TYPE","CASHPTRc")</f>
        <v>#REF!</v>
      </c>
      <c r="G127" s="25"/>
      <c r="H127" s="55" t="s">
        <v>584</v>
      </c>
      <c r="I127" s="71" t="e">
        <f>GETPIVOTDATA("Count of BAIL TYPE",#REF!,"BAIL TYPE","CASHPTRc")</f>
        <v>#REF!</v>
      </c>
      <c r="J127" s="20" t="e">
        <f>GETPIVOTDATA("Count of bond fort ",#REF!,"BAIL TYPE","CASHPTRc")</f>
        <v>#REF!</v>
      </c>
      <c r="K127" s="22" t="e">
        <f t="shared" si="0"/>
        <v>#REF!</v>
      </c>
      <c r="L127" s="71" t="e">
        <f>GETPIVOTDATA("Count of BD REVOKED",#REF!,"BAIL TYPE","CASHPTRc")</f>
        <v>#REF!</v>
      </c>
      <c r="M127" s="22" t="e">
        <f t="shared" si="1"/>
        <v>#REF!</v>
      </c>
      <c r="N127" s="71" t="e">
        <f>GETPIVOTDATA("Count of FUGITIVE",#REF!,"BAIL TYPE","CASHPTRc")</f>
        <v>#REF!</v>
      </c>
      <c r="O127" s="22" t="e">
        <f t="shared" si="2"/>
        <v>#REF!</v>
      </c>
      <c r="P127" s="71" t="e">
        <f t="shared" si="3"/>
        <v>#REF!</v>
      </c>
      <c r="Q127" s="22" t="e">
        <f t="shared" ref="Q127:Q132" si="4">P127/I127</f>
        <v>#REF!</v>
      </c>
      <c r="R127" s="25"/>
    </row>
    <row r="128" spans="1:18" ht="18.75" x14ac:dyDescent="0.3">
      <c r="A128" s="25"/>
      <c r="B128" s="25"/>
      <c r="C128" s="25"/>
      <c r="D128" s="55" t="s">
        <v>160</v>
      </c>
      <c r="E128" s="71" t="e">
        <f>GETPIVOTDATA("Count of BAIL TYPE",#REF!,"BAIL TYPE","PTR")</f>
        <v>#REF!</v>
      </c>
      <c r="F128" s="56" t="e">
        <f>GETPIVOTDATA("Count of BAIL TYPE2",#REF!,"BAIL TYPE","PTR")</f>
        <v>#REF!</v>
      </c>
      <c r="G128" s="25"/>
      <c r="H128" s="55" t="s">
        <v>160</v>
      </c>
      <c r="I128" s="71" t="e">
        <f>GETPIVOTDATA("Count of BAIL TYPE",#REF!,"BAIL TYPE","PTR")</f>
        <v>#REF!</v>
      </c>
      <c r="J128" s="20" t="e">
        <f>GETPIVOTDATA("Count of bond fort ",#REF!,"BAIL TYPE","PTR")</f>
        <v>#REF!</v>
      </c>
      <c r="K128" s="22" t="e">
        <f t="shared" si="0"/>
        <v>#REF!</v>
      </c>
      <c r="L128" s="71" t="e">
        <f>GETPIVOTDATA("Count of BD REVOKED",#REF!,"BAIL TYPE","PTR")</f>
        <v>#REF!</v>
      </c>
      <c r="M128" s="22" t="e">
        <f t="shared" si="1"/>
        <v>#REF!</v>
      </c>
      <c r="N128" s="71" t="e">
        <f>GETPIVOTDATA("Count of FUGITIVE",#REF!,"BAIL TYPE","PTR")</f>
        <v>#REF!</v>
      </c>
      <c r="O128" s="22" t="e">
        <f t="shared" si="2"/>
        <v>#REF!</v>
      </c>
      <c r="P128" s="71" t="e">
        <f t="shared" si="3"/>
        <v>#REF!</v>
      </c>
      <c r="Q128" s="22" t="e">
        <f t="shared" si="4"/>
        <v>#REF!</v>
      </c>
      <c r="R128" s="25"/>
    </row>
    <row r="129" spans="1:18" ht="18.75" x14ac:dyDescent="0.3">
      <c r="A129" s="25"/>
      <c r="B129" s="25"/>
      <c r="C129" s="25"/>
      <c r="D129" s="55" t="s">
        <v>54</v>
      </c>
      <c r="E129" s="71" t="e">
        <f>GETPIVOTDATA("Count of BAIL TYPE",#REF!,"BAIL TYPE","PTRc")</f>
        <v>#REF!</v>
      </c>
      <c r="F129" s="56" t="e">
        <f>GETPIVOTDATA("Count of BAIL TYPE2",#REF!,"BAIL TYPE","PTRc")</f>
        <v>#REF!</v>
      </c>
      <c r="G129" s="25"/>
      <c r="H129" s="55" t="s">
        <v>54</v>
      </c>
      <c r="I129" s="71" t="e">
        <f>GETPIVOTDATA("Count of BAIL TYPE",#REF!,"BAIL TYPE","PTRc")</f>
        <v>#REF!</v>
      </c>
      <c r="J129" s="20" t="e">
        <f>GETPIVOTDATA("Count of bond fort ",#REF!,"BAIL TYPE","PTRc")</f>
        <v>#REF!</v>
      </c>
      <c r="K129" s="22" t="e">
        <f t="shared" si="0"/>
        <v>#REF!</v>
      </c>
      <c r="L129" s="71" t="e">
        <f>GETPIVOTDATA("Count of BD REVOKED",#REF!,"BAIL TYPE","PTRc")</f>
        <v>#REF!</v>
      </c>
      <c r="M129" s="22" t="e">
        <f t="shared" si="1"/>
        <v>#REF!</v>
      </c>
      <c r="N129" s="71" t="e">
        <f>GETPIVOTDATA("Count of FUGITIVE",#REF!,"BAIL TYPE","PTRc")</f>
        <v>#REF!</v>
      </c>
      <c r="O129" s="22" t="e">
        <f t="shared" si="2"/>
        <v>#REF!</v>
      </c>
      <c r="P129" s="71" t="e">
        <f t="shared" si="3"/>
        <v>#REF!</v>
      </c>
      <c r="Q129" s="22" t="e">
        <f t="shared" si="4"/>
        <v>#REF!</v>
      </c>
      <c r="R129" s="25"/>
    </row>
    <row r="130" spans="1:18" ht="18.75" x14ac:dyDescent="0.3">
      <c r="A130" s="25"/>
      <c r="B130" s="25"/>
      <c r="C130" s="25"/>
      <c r="D130" s="55" t="s">
        <v>76</v>
      </c>
      <c r="E130" s="71" t="e">
        <f>GETPIVOTDATA("Count of BAIL TYPE",#REF!,"BAIL TYPE","SURETY")</f>
        <v>#REF!</v>
      </c>
      <c r="F130" s="56" t="e">
        <f>GETPIVOTDATA("Count of BAIL TYPE2",#REF!,"BAIL TYPE","SURETY")</f>
        <v>#REF!</v>
      </c>
      <c r="G130" s="25"/>
      <c r="H130" s="55" t="s">
        <v>76</v>
      </c>
      <c r="I130" s="71" t="e">
        <f>GETPIVOTDATA("Count of BAIL TYPE",#REF!,"BAIL TYPE","SURETY")</f>
        <v>#REF!</v>
      </c>
      <c r="J130" s="20" t="e">
        <f>GETPIVOTDATA("Count of bond fort ",#REF!,"BAIL TYPE","SURETY")</f>
        <v>#REF!</v>
      </c>
      <c r="K130" s="22" t="e">
        <f t="shared" si="0"/>
        <v>#REF!</v>
      </c>
      <c r="L130" s="71" t="e">
        <f>GETPIVOTDATA("Count of BD REVOKED",#REF!,"BAIL TYPE","SURETY")</f>
        <v>#REF!</v>
      </c>
      <c r="M130" s="22" t="e">
        <f t="shared" si="1"/>
        <v>#REF!</v>
      </c>
      <c r="N130" s="71" t="e">
        <f>GETPIVOTDATA("Count of FUGITIVE",#REF!,"BAIL TYPE","SURETY")</f>
        <v>#REF!</v>
      </c>
      <c r="O130" s="22" t="e">
        <f t="shared" si="2"/>
        <v>#REF!</v>
      </c>
      <c r="P130" s="71" t="e">
        <f t="shared" si="3"/>
        <v>#REF!</v>
      </c>
      <c r="Q130" s="22" t="e">
        <f t="shared" si="4"/>
        <v>#REF!</v>
      </c>
      <c r="R130" s="25"/>
    </row>
    <row r="131" spans="1:18" ht="19.5" thickBot="1" x14ac:dyDescent="0.35">
      <c r="A131" s="25"/>
      <c r="B131" s="25"/>
      <c r="C131" s="25"/>
      <c r="D131" s="55" t="s">
        <v>585</v>
      </c>
      <c r="E131" s="71" t="e">
        <f>GETPIVOTDATA("Count of BAIL TYPE",#REF!,"BAIL TYPE","SURETYPTRc")</f>
        <v>#REF!</v>
      </c>
      <c r="F131" s="56" t="e">
        <f>GETPIVOTDATA("Count of BAIL TYPE2",#REF!,"BAIL TYPE","SURETYPTRc")</f>
        <v>#REF!</v>
      </c>
      <c r="G131" s="25"/>
      <c r="H131" s="55" t="s">
        <v>585</v>
      </c>
      <c r="I131" s="71" t="e">
        <f>GETPIVOTDATA("Count of BAIL TYPE",#REF!,"BAIL TYPE","SURETYPTRc")</f>
        <v>#REF!</v>
      </c>
      <c r="J131" s="20" t="e">
        <f>GETPIVOTDATA("Count of bond fort ",#REF!,"BAIL TYPE","SURETYPTRc")</f>
        <v>#REF!</v>
      </c>
      <c r="K131" s="22" t="e">
        <f t="shared" si="0"/>
        <v>#REF!</v>
      </c>
      <c r="L131" s="71" t="e">
        <f>GETPIVOTDATA("Count of BD REVOKED",#REF!,"BAIL TYPE","SURETYPTRc")</f>
        <v>#REF!</v>
      </c>
      <c r="M131" s="22" t="e">
        <f t="shared" si="1"/>
        <v>#REF!</v>
      </c>
      <c r="N131" s="71" t="e">
        <f>GETPIVOTDATA("Count of FUGITIVE",#REF!,"BAIL TYPE","SURETYPTRc")</f>
        <v>#REF!</v>
      </c>
      <c r="O131" s="22" t="e">
        <f t="shared" si="2"/>
        <v>#REF!</v>
      </c>
      <c r="P131" s="71" t="e">
        <f t="shared" si="3"/>
        <v>#REF!</v>
      </c>
      <c r="Q131" s="22" t="e">
        <f t="shared" si="4"/>
        <v>#REF!</v>
      </c>
      <c r="R131" s="25"/>
    </row>
    <row r="132" spans="1:18" ht="19.5" thickBot="1" x14ac:dyDescent="0.35">
      <c r="A132" s="25"/>
      <c r="B132" s="25"/>
      <c r="C132" s="25"/>
      <c r="D132" s="11" t="s">
        <v>916</v>
      </c>
      <c r="E132" s="15" t="e">
        <f>SUM(E126:E131)</f>
        <v>#REF!</v>
      </c>
      <c r="F132" s="14" t="e">
        <f>SUM(F126:F131)</f>
        <v>#REF!</v>
      </c>
      <c r="G132" s="25"/>
      <c r="H132" s="11" t="s">
        <v>916</v>
      </c>
      <c r="I132" s="15" t="e">
        <f>SUM(I126:I131)</f>
        <v>#REF!</v>
      </c>
      <c r="J132" s="15" t="e">
        <f>SUM(J126:J131)</f>
        <v>#REF!</v>
      </c>
      <c r="K132" s="14" t="e">
        <f t="shared" si="0"/>
        <v>#REF!</v>
      </c>
      <c r="L132" s="15" t="e">
        <f>SUM(L126:L131)</f>
        <v>#REF!</v>
      </c>
      <c r="M132" s="14" t="e">
        <f t="shared" si="1"/>
        <v>#REF!</v>
      </c>
      <c r="N132" s="15" t="e">
        <f>SUM(N126:N131)</f>
        <v>#REF!</v>
      </c>
      <c r="O132" s="14" t="e">
        <f t="shared" si="2"/>
        <v>#REF!</v>
      </c>
      <c r="P132" s="15" t="e">
        <f>SUM(P126:P131)</f>
        <v>#REF!</v>
      </c>
      <c r="Q132" s="14" t="e">
        <f t="shared" si="4"/>
        <v>#REF!</v>
      </c>
      <c r="R132" s="25"/>
    </row>
    <row r="133" spans="1:18" ht="19.5" thickBot="1" x14ac:dyDescent="0.3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</row>
    <row r="134" spans="1:18" ht="19.5" thickBot="1" x14ac:dyDescent="0.35">
      <c r="A134" s="25"/>
      <c r="B134" s="25"/>
      <c r="C134" s="25"/>
      <c r="D134" s="11" t="s">
        <v>920</v>
      </c>
      <c r="E134" s="72" t="e">
        <f>E130+E131+E126+E127</f>
        <v>#REF!</v>
      </c>
      <c r="F134" s="7" t="e">
        <f>F130+F131+F126+F127</f>
        <v>#REF!</v>
      </c>
      <c r="G134" s="25"/>
      <c r="H134" s="8"/>
      <c r="I134" s="18"/>
      <c r="J134" s="9"/>
      <c r="K134" s="25"/>
      <c r="L134" s="25"/>
      <c r="M134" s="25"/>
      <c r="N134" s="25"/>
      <c r="O134" s="25"/>
      <c r="P134" s="25"/>
      <c r="Q134" s="73"/>
      <c r="R134" s="25"/>
    </row>
    <row r="135" spans="1:18" ht="18.75" x14ac:dyDescent="0.3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1:18" ht="18.75" x14ac:dyDescent="0.3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1:18" ht="18.75" x14ac:dyDescent="0.3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1:18" ht="18.75" x14ac:dyDescent="0.3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1:18" ht="18.75" x14ac:dyDescent="0.3">
      <c r="A139" s="25"/>
      <c r="B139" s="25"/>
      <c r="C139" s="25"/>
      <c r="D139" s="52" t="s">
        <v>923</v>
      </c>
      <c r="E139" s="25"/>
      <c r="F139" s="25"/>
      <c r="G139" s="25"/>
      <c r="H139" s="25"/>
      <c r="I139" s="52" t="s">
        <v>925</v>
      </c>
      <c r="J139" s="25"/>
      <c r="K139" s="25"/>
      <c r="L139" s="25"/>
      <c r="M139" s="25"/>
      <c r="N139" s="52" t="s">
        <v>926</v>
      </c>
      <c r="O139" s="25"/>
      <c r="P139" s="25"/>
      <c r="Q139" s="25"/>
      <c r="R139" s="25"/>
    </row>
    <row r="140" spans="1:18" ht="19.5" thickBot="1" x14ac:dyDescent="0.35">
      <c r="A140" s="25"/>
      <c r="B140" s="25"/>
      <c r="C140" s="25"/>
      <c r="D140" s="52"/>
      <c r="E140" s="25"/>
      <c r="F140" s="25"/>
      <c r="G140" s="25"/>
      <c r="H140" s="25"/>
      <c r="I140" s="52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1:18" ht="19.5" thickBot="1" x14ac:dyDescent="0.35">
      <c r="A141" s="25"/>
      <c r="B141" s="25"/>
      <c r="C141" s="25"/>
      <c r="D141" s="11" t="s">
        <v>581</v>
      </c>
      <c r="E141" s="11" t="s">
        <v>3</v>
      </c>
      <c r="F141" s="38" t="s">
        <v>921</v>
      </c>
      <c r="G141" s="50" t="s">
        <v>922</v>
      </c>
      <c r="H141" s="25"/>
      <c r="I141" s="11" t="s">
        <v>581</v>
      </c>
      <c r="J141" s="11" t="s">
        <v>3</v>
      </c>
      <c r="K141" s="38" t="s">
        <v>921</v>
      </c>
      <c r="L141" s="50" t="s">
        <v>922</v>
      </c>
      <c r="M141" s="74"/>
      <c r="N141" s="11" t="s">
        <v>581</v>
      </c>
      <c r="O141" s="11" t="s">
        <v>3</v>
      </c>
      <c r="P141" s="38" t="s">
        <v>921</v>
      </c>
      <c r="Q141" s="50" t="s">
        <v>922</v>
      </c>
      <c r="R141" s="25"/>
    </row>
    <row r="142" spans="1:18" ht="18.75" x14ac:dyDescent="0.3">
      <c r="A142" s="25"/>
      <c r="B142" s="25"/>
      <c r="C142" s="25"/>
      <c r="D142" s="46" t="s">
        <v>872</v>
      </c>
      <c r="E142" s="46" t="e">
        <f>GETPIVOTDATA("Sum of DAYS DETAINED ",#REF!,"Race/Ethnicity","BLACK")</f>
        <v>#REF!</v>
      </c>
      <c r="F142" s="54" t="e">
        <f>GETPIVOTDATA("Count of Race/Ethnicity",#REF!,"Race/Ethnicity","BLACK")</f>
        <v>#REF!</v>
      </c>
      <c r="G142" s="75" t="e">
        <f>#REF!</f>
        <v>#REF!</v>
      </c>
      <c r="H142" s="25"/>
      <c r="I142" s="46" t="s">
        <v>872</v>
      </c>
      <c r="J142" s="46" t="e">
        <f>GETPIVOTDATA("Sum of DAYS DETAINED ",#REF!,"Race/Ethnicity","BLACK")</f>
        <v>#REF!</v>
      </c>
      <c r="K142" s="54" t="e">
        <f>GETPIVOTDATA("Count of Race/Ethnicity",#REF!,"Race/Ethnicity","BLACK")</f>
        <v>#REF!</v>
      </c>
      <c r="L142" s="75" t="e">
        <f>J142/K142</f>
        <v>#REF!</v>
      </c>
      <c r="M142" s="74"/>
      <c r="N142" s="46" t="s">
        <v>872</v>
      </c>
      <c r="O142" s="46" t="e">
        <f>GETPIVOTDATA("Sum of DAYS DETAINED ",#REF!,"Race/Ethnicity","BLACK")</f>
        <v>#REF!</v>
      </c>
      <c r="P142" s="54" t="e">
        <f>GETPIVOTDATA("Count of Race/Ethnicity",#REF!,"Race/Ethnicity","BLACK")</f>
        <v>#REF!</v>
      </c>
      <c r="Q142" s="75" t="e">
        <f>O142/P142</f>
        <v>#REF!</v>
      </c>
      <c r="R142" s="25"/>
    </row>
    <row r="143" spans="1:18" ht="18.75" x14ac:dyDescent="0.3">
      <c r="A143" s="25"/>
      <c r="B143" s="25"/>
      <c r="C143" s="25"/>
      <c r="D143" s="55" t="s">
        <v>41</v>
      </c>
      <c r="E143" s="55" t="e">
        <f>GETPIVOTDATA("Sum of DAYS DETAINED ",#REF!,"Race/Ethnicity","HISPANIC")</f>
        <v>#REF!</v>
      </c>
      <c r="F143" s="57" t="e">
        <f>GETPIVOTDATA("Count of Race/Ethnicity",#REF!,"Race/Ethnicity","HISPANIC")</f>
        <v>#REF!</v>
      </c>
      <c r="G143" s="75" t="e">
        <f>#REF!</f>
        <v>#REF!</v>
      </c>
      <c r="H143" s="25"/>
      <c r="I143" s="55" t="s">
        <v>41</v>
      </c>
      <c r="J143" s="55" t="e">
        <f>GETPIVOTDATA("Sum of DAYS DETAINED ",#REF!,"Race/Ethnicity","HISPANIC")</f>
        <v>#REF!</v>
      </c>
      <c r="K143" s="57" t="e">
        <f>GETPIVOTDATA("Count of Race/Ethnicity",#REF!,"Race/Ethnicity","HISPANIC")</f>
        <v>#REF!</v>
      </c>
      <c r="L143" s="75" t="e">
        <f>J143/K143</f>
        <v>#REF!</v>
      </c>
      <c r="M143" s="74"/>
      <c r="N143" s="55" t="s">
        <v>41</v>
      </c>
      <c r="O143" s="55" t="e">
        <f>GETPIVOTDATA("Sum of DAYS DETAINED ",#REF!,"Race/Ethnicity","HISPANIC")</f>
        <v>#REF!</v>
      </c>
      <c r="P143" s="57" t="e">
        <f>GETPIVOTDATA("Count of Race/Ethnicity",#REF!,"Race/Ethnicity","HISPANIC")</f>
        <v>#REF!</v>
      </c>
      <c r="Q143" s="75" t="e">
        <f>O143/P143</f>
        <v>#REF!</v>
      </c>
      <c r="R143" s="25"/>
    </row>
    <row r="144" spans="1:18" ht="18.75" x14ac:dyDescent="0.3">
      <c r="A144" s="25"/>
      <c r="B144" s="25"/>
      <c r="C144" s="25"/>
      <c r="D144" s="55" t="s">
        <v>874</v>
      </c>
      <c r="E144" s="55" t="e">
        <f>GETPIVOTDATA("Sum of DAYS DETAINED ",#REF!,"Race/Ethnicity","WHITE")</f>
        <v>#REF!</v>
      </c>
      <c r="F144" s="57" t="e">
        <f>GETPIVOTDATA("Count of Race/Ethnicity",#REF!,"Race/Ethnicity","WHITE")</f>
        <v>#REF!</v>
      </c>
      <c r="G144" s="75" t="e">
        <f>#REF!</f>
        <v>#REF!</v>
      </c>
      <c r="H144" s="25"/>
      <c r="I144" s="55" t="s">
        <v>874</v>
      </c>
      <c r="J144" s="55" t="e">
        <f>GETPIVOTDATA("Sum of DAYS DETAINED ",#REF!,"Race/Ethnicity","WHITE")</f>
        <v>#REF!</v>
      </c>
      <c r="K144" s="57" t="e">
        <f>GETPIVOTDATA("Count of Race/Ethnicity",#REF!,"Race/Ethnicity","WHITE")</f>
        <v>#REF!</v>
      </c>
      <c r="L144" s="75" t="e">
        <f>J144/K144</f>
        <v>#REF!</v>
      </c>
      <c r="M144" s="74"/>
      <c r="N144" s="55" t="s">
        <v>874</v>
      </c>
      <c r="O144" s="55" t="e">
        <f>GETPIVOTDATA("Sum of DAYS DETAINED ",#REF!,"Race/Ethnicity","WHITE")</f>
        <v>#REF!</v>
      </c>
      <c r="P144" s="57" t="e">
        <f>GETPIVOTDATA("Count of Race/Ethnicity",#REF!,"Race/Ethnicity","WHITE")</f>
        <v>#REF!</v>
      </c>
      <c r="Q144" s="75" t="e">
        <f>O144/P144</f>
        <v>#REF!</v>
      </c>
      <c r="R144" s="25"/>
    </row>
    <row r="145" spans="1:18" ht="19.5" thickBot="1" x14ac:dyDescent="0.35">
      <c r="A145" s="25"/>
      <c r="B145" s="25"/>
      <c r="C145" s="25"/>
      <c r="D145" s="58" t="s">
        <v>873</v>
      </c>
      <c r="E145" s="58" t="e">
        <f>GETPIVOTDATA("Sum of DAYS DETAINED ",#REF!,"Race/Ethnicity","OTHER")</f>
        <v>#REF!</v>
      </c>
      <c r="F145" s="59" t="e">
        <f>GETPIVOTDATA("Count of Race/Ethnicity",#REF!,"Race/Ethnicity","OTHER")</f>
        <v>#REF!</v>
      </c>
      <c r="G145" s="76" t="e">
        <f>#REF!</f>
        <v>#REF!</v>
      </c>
      <c r="H145" s="25"/>
      <c r="I145" s="58" t="s">
        <v>873</v>
      </c>
      <c r="J145" s="58" t="e">
        <f>GETPIVOTDATA("Sum of DAYS DETAINED ",#REF!,"Race/Ethnicity","OTHER")</f>
        <v>#REF!</v>
      </c>
      <c r="K145" s="59" t="e">
        <f>GETPIVOTDATA("Count of Race/Ethnicity",#REF!,"Race/Ethnicity","OTHER")</f>
        <v>#REF!</v>
      </c>
      <c r="L145" s="76" t="e">
        <f>J145/K145</f>
        <v>#REF!</v>
      </c>
      <c r="M145" s="74"/>
      <c r="N145" s="58" t="s">
        <v>873</v>
      </c>
      <c r="O145" s="58" t="e">
        <f>GETPIVOTDATA("Sum of DAYS DETAINED ",#REF!,"Race/Ethnicity","OTHER")</f>
        <v>#REF!</v>
      </c>
      <c r="P145" s="59" t="e">
        <f>GETPIVOTDATA("Count of Race/Ethnicity",#REF!,"Race/Ethnicity","OTHER")</f>
        <v>#REF!</v>
      </c>
      <c r="Q145" s="76" t="e">
        <f>O145/P145</f>
        <v>#REF!</v>
      </c>
      <c r="R145" s="25"/>
    </row>
    <row r="146" spans="1:18" ht="19.5" thickBot="1" x14ac:dyDescent="0.35">
      <c r="A146" s="25"/>
      <c r="B146" s="25"/>
      <c r="C146" s="25"/>
      <c r="D146" s="11" t="s">
        <v>916</v>
      </c>
      <c r="E146" s="5" t="e">
        <f>GETPIVOTDATA("Sum of DAYS DETAINED ",#REF!)</f>
        <v>#REF!</v>
      </c>
      <c r="F146" s="61" t="e">
        <f>GETPIVOTDATA("Count of Race/Ethnicity",#REF!)</f>
        <v>#REF!</v>
      </c>
      <c r="G146" s="77" t="e">
        <f>#REF!</f>
        <v>#REF!</v>
      </c>
      <c r="H146" s="25"/>
      <c r="I146" s="11" t="s">
        <v>916</v>
      </c>
      <c r="J146" s="5" t="e">
        <f>GETPIVOTDATA("Sum of DAYS DETAINED ",#REF!)</f>
        <v>#REF!</v>
      </c>
      <c r="K146" s="61" t="e">
        <f>GETPIVOTDATA("Count of Race/Ethnicity",#REF!)</f>
        <v>#REF!</v>
      </c>
      <c r="L146" s="77" t="e">
        <f>J146/K146</f>
        <v>#REF!</v>
      </c>
      <c r="M146" s="74"/>
      <c r="N146" s="11" t="s">
        <v>916</v>
      </c>
      <c r="O146" s="5" t="e">
        <f>GETPIVOTDATA("Sum of DAYS DETAINED ",#REF!)</f>
        <v>#REF!</v>
      </c>
      <c r="P146" s="61" t="e">
        <f>GETPIVOTDATA("Count of Race/Ethnicity",#REF!)</f>
        <v>#REF!</v>
      </c>
      <c r="Q146" s="77" t="e">
        <f>O146/P146</f>
        <v>#REF!</v>
      </c>
      <c r="R146" s="25"/>
    </row>
    <row r="147" spans="1:18" ht="18.75" x14ac:dyDescent="0.3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1:18" ht="18.75" x14ac:dyDescent="0.3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1:18" ht="18.75" x14ac:dyDescent="0.3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1:18" ht="18.75" x14ac:dyDescent="0.3">
      <c r="A150" s="25"/>
      <c r="B150" s="25"/>
      <c r="C150" s="25"/>
      <c r="D150" s="52" t="s">
        <v>924</v>
      </c>
      <c r="E150" s="25"/>
      <c r="F150" s="25"/>
      <c r="G150" s="25"/>
      <c r="H150" s="25"/>
      <c r="I150" s="52" t="s">
        <v>927</v>
      </c>
      <c r="J150" s="25"/>
      <c r="K150" s="25"/>
      <c r="L150" s="25"/>
      <c r="M150" s="25"/>
      <c r="N150" s="52" t="s">
        <v>928</v>
      </c>
      <c r="O150" s="25"/>
      <c r="P150" s="25"/>
      <c r="Q150" s="25"/>
      <c r="R150" s="25"/>
    </row>
    <row r="151" spans="1:18" ht="19.5" thickBot="1" x14ac:dyDescent="0.35">
      <c r="A151" s="25"/>
      <c r="B151" s="25"/>
      <c r="C151" s="25"/>
      <c r="D151" s="52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1:18" ht="19.5" thickBot="1" x14ac:dyDescent="0.35">
      <c r="A152" s="25"/>
      <c r="B152" s="25"/>
      <c r="C152" s="25"/>
      <c r="D152" s="11" t="s">
        <v>581</v>
      </c>
      <c r="E152" s="11" t="s">
        <v>563</v>
      </c>
      <c r="F152" s="38" t="s">
        <v>921</v>
      </c>
      <c r="G152" s="50" t="s">
        <v>922</v>
      </c>
      <c r="H152" s="25"/>
      <c r="I152" s="11" t="s">
        <v>581</v>
      </c>
      <c r="J152" s="11" t="s">
        <v>563</v>
      </c>
      <c r="K152" s="38" t="s">
        <v>921</v>
      </c>
      <c r="L152" s="50" t="s">
        <v>922</v>
      </c>
      <c r="M152" s="74"/>
      <c r="N152" s="11" t="s">
        <v>581</v>
      </c>
      <c r="O152" s="11" t="s">
        <v>563</v>
      </c>
      <c r="P152" s="38" t="s">
        <v>921</v>
      </c>
      <c r="Q152" s="50" t="s">
        <v>922</v>
      </c>
      <c r="R152" s="25"/>
    </row>
    <row r="153" spans="1:18" ht="18.75" x14ac:dyDescent="0.3">
      <c r="A153" s="25"/>
      <c r="B153" s="25"/>
      <c r="C153" s="25"/>
      <c r="D153" s="46" t="s">
        <v>872</v>
      </c>
      <c r="E153" s="46" t="e">
        <f>GETPIVOTDATA("Sum of CASE AGE",#REF!,"Race/Ethnicity","BLACK")</f>
        <v>#REF!</v>
      </c>
      <c r="F153" s="54" t="e">
        <f>GETPIVOTDATA("Count of Race/Ethnicity",#REF!,"Race/Ethnicity","BLACK")</f>
        <v>#REF!</v>
      </c>
      <c r="G153" s="75" t="e">
        <f>E153/F153</f>
        <v>#REF!</v>
      </c>
      <c r="H153" s="25"/>
      <c r="I153" s="46" t="s">
        <v>872</v>
      </c>
      <c r="J153" s="46" t="e">
        <f>GETPIVOTDATA("Sum of CASE AGE",#REF!,"Race/Ethnicity","BLACK")</f>
        <v>#REF!</v>
      </c>
      <c r="K153" s="54" t="e">
        <f>GETPIVOTDATA("Count of Race/Ethnicity",#REF!,"Race/Ethnicity","BLACK")</f>
        <v>#REF!</v>
      </c>
      <c r="L153" s="75" t="e">
        <f>J153/K153</f>
        <v>#REF!</v>
      </c>
      <c r="M153" s="74"/>
      <c r="N153" s="46" t="s">
        <v>872</v>
      </c>
      <c r="O153" s="46" t="e">
        <f>GETPIVOTDATA("Sum of CASE AGE",#REF!,"Race/Ethnicity","BLACK")</f>
        <v>#REF!</v>
      </c>
      <c r="P153" s="54" t="e">
        <f>GETPIVOTDATA("Count of Race/Ethnicity",#REF!,"Race/Ethnicity","BLACK")</f>
        <v>#REF!</v>
      </c>
      <c r="Q153" s="75" t="e">
        <f>O153/P153</f>
        <v>#REF!</v>
      </c>
      <c r="R153" s="25"/>
    </row>
    <row r="154" spans="1:18" ht="18.75" x14ac:dyDescent="0.3">
      <c r="A154" s="25"/>
      <c r="B154" s="25"/>
      <c r="C154" s="25"/>
      <c r="D154" s="55" t="s">
        <v>41</v>
      </c>
      <c r="E154" s="55" t="e">
        <f>GETPIVOTDATA("Sum of CASE AGE",#REF!,"Race/Ethnicity","HISPANIC")</f>
        <v>#REF!</v>
      </c>
      <c r="F154" s="57" t="e">
        <f>GETPIVOTDATA("Count of Race/Ethnicity",#REF!,"Race/Ethnicity","HISPANIC")</f>
        <v>#REF!</v>
      </c>
      <c r="G154" s="75" t="e">
        <f>E154/F154</f>
        <v>#REF!</v>
      </c>
      <c r="H154" s="25"/>
      <c r="I154" s="55" t="s">
        <v>41</v>
      </c>
      <c r="J154" s="55" t="e">
        <f>GETPIVOTDATA("Sum of CASE AGE",#REF!,"Race/Ethnicity","HISPANIC")</f>
        <v>#REF!</v>
      </c>
      <c r="K154" s="57" t="e">
        <f>GETPIVOTDATA("Count of Race/Ethnicity",#REF!,"Race/Ethnicity","HISPANIC")</f>
        <v>#REF!</v>
      </c>
      <c r="L154" s="75" t="e">
        <f>J154/K154</f>
        <v>#REF!</v>
      </c>
      <c r="M154" s="74"/>
      <c r="N154" s="55" t="s">
        <v>41</v>
      </c>
      <c r="O154" s="55" t="e">
        <f>GETPIVOTDATA("Sum of CASE AGE",#REF!,"Race/Ethnicity","HISPANIC")</f>
        <v>#REF!</v>
      </c>
      <c r="P154" s="57" t="e">
        <f>GETPIVOTDATA("Count of Race/Ethnicity",#REF!,"Race/Ethnicity","HISPANIC")</f>
        <v>#REF!</v>
      </c>
      <c r="Q154" s="75" t="e">
        <f>O154/P154</f>
        <v>#REF!</v>
      </c>
      <c r="R154" s="25"/>
    </row>
    <row r="155" spans="1:18" ht="18.75" x14ac:dyDescent="0.3">
      <c r="A155" s="25"/>
      <c r="B155" s="25"/>
      <c r="C155" s="25"/>
      <c r="D155" s="55" t="s">
        <v>874</v>
      </c>
      <c r="E155" s="55" t="e">
        <f>GETPIVOTDATA("Sum of CASE AGE",#REF!,"Race/Ethnicity","WHITE")</f>
        <v>#REF!</v>
      </c>
      <c r="F155" s="57" t="e">
        <f>GETPIVOTDATA("Count of Race/Ethnicity",#REF!,"Race/Ethnicity","WHITE")</f>
        <v>#REF!</v>
      </c>
      <c r="G155" s="75" t="e">
        <f>E155/F155</f>
        <v>#REF!</v>
      </c>
      <c r="H155" s="25"/>
      <c r="I155" s="55" t="s">
        <v>874</v>
      </c>
      <c r="J155" s="55" t="e">
        <f>GETPIVOTDATA("Sum of CASE AGE",#REF!,"Race/Ethnicity","WHITE")</f>
        <v>#REF!</v>
      </c>
      <c r="K155" s="57" t="e">
        <f>GETPIVOTDATA("Count of Race/Ethnicity",#REF!,"Race/Ethnicity","WHITE")</f>
        <v>#REF!</v>
      </c>
      <c r="L155" s="75" t="e">
        <f>J155/K155</f>
        <v>#REF!</v>
      </c>
      <c r="M155" s="74"/>
      <c r="N155" s="55" t="s">
        <v>874</v>
      </c>
      <c r="O155" s="55" t="e">
        <f>GETPIVOTDATA("Sum of CASE AGE",#REF!,"Race/Ethnicity","WHITE")</f>
        <v>#REF!</v>
      </c>
      <c r="P155" s="57" t="e">
        <f>GETPIVOTDATA("Count of Race/Ethnicity",#REF!,"Race/Ethnicity","WHITE")</f>
        <v>#REF!</v>
      </c>
      <c r="Q155" s="75" t="e">
        <f>O155/P155</f>
        <v>#REF!</v>
      </c>
      <c r="R155" s="25"/>
    </row>
    <row r="156" spans="1:18" ht="19.5" thickBot="1" x14ac:dyDescent="0.35">
      <c r="A156" s="25"/>
      <c r="B156" s="25"/>
      <c r="C156" s="25"/>
      <c r="D156" s="58" t="s">
        <v>873</v>
      </c>
      <c r="E156" s="58" t="e">
        <f>GETPIVOTDATA("Sum of CASE AGE",#REF!,"Race/Ethnicity","OTHER")</f>
        <v>#REF!</v>
      </c>
      <c r="F156" s="59" t="e">
        <f>GETPIVOTDATA("Count of Race/Ethnicity",#REF!,"Race/Ethnicity","OTHER")</f>
        <v>#REF!</v>
      </c>
      <c r="G156" s="76" t="e">
        <f>E156/F156</f>
        <v>#REF!</v>
      </c>
      <c r="H156" s="25"/>
      <c r="I156" s="58" t="s">
        <v>873</v>
      </c>
      <c r="J156" s="58" t="e">
        <f>GETPIVOTDATA("Sum of CASE AGE",#REF!,"Race/Ethnicity","OTHER")</f>
        <v>#REF!</v>
      </c>
      <c r="K156" s="59" t="e">
        <f>GETPIVOTDATA("Count of Race/Ethnicity",#REF!,"Race/Ethnicity","OTHER")</f>
        <v>#REF!</v>
      </c>
      <c r="L156" s="76" t="e">
        <f>J156/K156</f>
        <v>#REF!</v>
      </c>
      <c r="M156" s="74"/>
      <c r="N156" s="58" t="s">
        <v>873</v>
      </c>
      <c r="O156" s="58" t="e">
        <f>GETPIVOTDATA("Sum of CASE AGE",#REF!,"Race/Ethnicity","OTHER")</f>
        <v>#REF!</v>
      </c>
      <c r="P156" s="59" t="e">
        <f>GETPIVOTDATA("Count of Race/Ethnicity",#REF!,"Race/Ethnicity","OTHER")</f>
        <v>#REF!</v>
      </c>
      <c r="Q156" s="76" t="e">
        <f>O156/P156</f>
        <v>#REF!</v>
      </c>
      <c r="R156" s="25"/>
    </row>
    <row r="157" spans="1:18" ht="19.5" thickBot="1" x14ac:dyDescent="0.35">
      <c r="A157" s="25"/>
      <c r="B157" s="25"/>
      <c r="C157" s="25"/>
      <c r="D157" s="11" t="s">
        <v>916</v>
      </c>
      <c r="E157" s="5">
        <v>307067</v>
      </c>
      <c r="F157" s="61" t="e">
        <f>GETPIVOTDATA("Count of Race/Ethnicity",#REF!)</f>
        <v>#REF!</v>
      </c>
      <c r="G157" s="77" t="e">
        <f>E157/F157</f>
        <v>#REF!</v>
      </c>
      <c r="H157" s="25"/>
      <c r="I157" s="11" t="s">
        <v>916</v>
      </c>
      <c r="J157" s="5" t="e">
        <f>GETPIVOTDATA("Sum of CASE AGE",#REF!)</f>
        <v>#REF!</v>
      </c>
      <c r="K157" s="61" t="e">
        <f>GETPIVOTDATA("Count of Race/Ethnicity",#REF!)</f>
        <v>#REF!</v>
      </c>
      <c r="L157" s="77" t="e">
        <f>J157/K157</f>
        <v>#REF!</v>
      </c>
      <c r="M157" s="74"/>
      <c r="N157" s="11" t="s">
        <v>916</v>
      </c>
      <c r="O157" s="5" t="e">
        <f>GETPIVOTDATA("Sum of CASE AGE",#REF!)</f>
        <v>#REF!</v>
      </c>
      <c r="P157" s="61" t="e">
        <f>GETPIVOTDATA("Count of Race/Ethnicity",#REF!)</f>
        <v>#REF!</v>
      </c>
      <c r="Q157" s="77" t="e">
        <f>O157/P157</f>
        <v>#REF!</v>
      </c>
      <c r="R157" s="25"/>
    </row>
    <row r="158" spans="1:18" ht="18.75" x14ac:dyDescent="0.3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</row>
    <row r="159" spans="1:18" ht="18.75" x14ac:dyDescent="0.3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</row>
    <row r="160" spans="1:18" ht="18.75" x14ac:dyDescent="0.3">
      <c r="A160" s="25"/>
      <c r="B160" s="25"/>
      <c r="C160" s="25"/>
      <c r="D160" s="25"/>
      <c r="E160" s="25"/>
      <c r="F160" s="25"/>
      <c r="G160" s="73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</row>
    <row r="161" spans="1:18" ht="18.75" x14ac:dyDescent="0.3">
      <c r="A161" s="25"/>
      <c r="B161" s="25"/>
      <c r="C161" s="25"/>
      <c r="D161" s="52" t="s">
        <v>931</v>
      </c>
      <c r="E161" s="25"/>
      <c r="F161" s="25"/>
      <c r="G161" s="73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</row>
    <row r="162" spans="1:18" ht="18.75" x14ac:dyDescent="0.3">
      <c r="A162" s="25"/>
      <c r="B162" s="25"/>
      <c r="C162" s="25"/>
      <c r="D162" s="25"/>
      <c r="E162" s="25"/>
      <c r="F162" s="25"/>
      <c r="G162" s="73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</row>
    <row r="163" spans="1:18" ht="19.5" thickBot="1" x14ac:dyDescent="0.35">
      <c r="A163" s="25"/>
      <c r="B163" s="25"/>
      <c r="C163" s="25"/>
      <c r="D163" s="25"/>
      <c r="E163" s="25"/>
      <c r="F163" s="25"/>
      <c r="G163" s="73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</row>
    <row r="164" spans="1:18" ht="19.5" thickBot="1" x14ac:dyDescent="0.35">
      <c r="A164" s="25"/>
      <c r="B164" s="25"/>
      <c r="C164" s="25"/>
      <c r="D164" s="11" t="s">
        <v>930</v>
      </c>
      <c r="E164" s="38" t="s">
        <v>92</v>
      </c>
      <c r="F164" s="38" t="s">
        <v>50</v>
      </c>
      <c r="G164" s="38" t="s">
        <v>67</v>
      </c>
      <c r="H164" s="38" t="s">
        <v>36</v>
      </c>
      <c r="I164" s="38" t="s">
        <v>44</v>
      </c>
      <c r="J164" s="38" t="s">
        <v>929</v>
      </c>
      <c r="K164" s="38" t="s">
        <v>918</v>
      </c>
      <c r="L164" s="25"/>
      <c r="M164" s="25"/>
      <c r="N164" s="25"/>
      <c r="O164" s="25"/>
      <c r="P164" s="25"/>
      <c r="Q164" s="25"/>
      <c r="R164" s="25"/>
    </row>
    <row r="165" spans="1:18" ht="18.75" x14ac:dyDescent="0.3">
      <c r="A165" s="25"/>
      <c r="B165" s="25"/>
      <c r="C165" s="25"/>
      <c r="D165" s="46" t="s">
        <v>45</v>
      </c>
      <c r="E165" s="75" t="e">
        <f>VLOOKUP($D165,#REF!,3,0)</f>
        <v>#REF!</v>
      </c>
      <c r="F165" s="75" t="e">
        <f>VLOOKUP($D165,#REF!,4,0)</f>
        <v>#REF!</v>
      </c>
      <c r="G165" s="75" t="e">
        <f>VLOOKUP($D165,#REF!,5,0)</f>
        <v>#REF!</v>
      </c>
      <c r="H165" s="75" t="e">
        <f>VLOOKUP($D165,#REF!,6,0)</f>
        <v>#REF!</v>
      </c>
      <c r="I165" s="75" t="e">
        <f>VLOOKUP($D165,#REF!,7,0)</f>
        <v>#REF!</v>
      </c>
      <c r="J165" s="75" t="e">
        <f>K165-SUM(E165:I165)</f>
        <v>#REF!</v>
      </c>
      <c r="K165" s="75" t="e">
        <f>VLOOKUP($D165,#REF!,9,0)</f>
        <v>#REF!</v>
      </c>
      <c r="L165" s="78"/>
      <c r="M165" s="25"/>
      <c r="N165" s="25"/>
      <c r="O165" s="25"/>
      <c r="P165" s="25"/>
      <c r="Q165" s="25"/>
      <c r="R165" s="25"/>
    </row>
    <row r="166" spans="1:18" ht="18.75" x14ac:dyDescent="0.3">
      <c r="A166" s="25"/>
      <c r="B166" s="25"/>
      <c r="C166" s="25"/>
      <c r="D166" s="55" t="s">
        <v>64</v>
      </c>
      <c r="E166" s="75" t="e">
        <f>VLOOKUP($D166,#REF!,3,0)</f>
        <v>#REF!</v>
      </c>
      <c r="F166" s="75" t="e">
        <f>VLOOKUP($D166,#REF!,4,0)</f>
        <v>#REF!</v>
      </c>
      <c r="G166" s="75" t="e">
        <f>VLOOKUP($D166,#REF!,5,0)</f>
        <v>#REF!</v>
      </c>
      <c r="H166" s="75" t="e">
        <f>VLOOKUP($D166,#REF!,6,0)</f>
        <v>#REF!</v>
      </c>
      <c r="I166" s="75" t="e">
        <f>VLOOKUP($D166,#REF!,7,0)</f>
        <v>#REF!</v>
      </c>
      <c r="J166" s="75" t="e">
        <f t="shared" ref="J166:J180" si="5">K166-SUM(E166:I166)</f>
        <v>#REF!</v>
      </c>
      <c r="K166" s="75" t="e">
        <f>VLOOKUP($D166,#REF!,9,0)</f>
        <v>#REF!</v>
      </c>
      <c r="L166" s="78"/>
      <c r="M166" s="79"/>
      <c r="N166" s="25"/>
      <c r="O166" s="25"/>
      <c r="P166" s="25"/>
      <c r="Q166" s="25"/>
      <c r="R166" s="25"/>
    </row>
    <row r="167" spans="1:18" ht="18.75" x14ac:dyDescent="0.3">
      <c r="A167" s="25"/>
      <c r="B167" s="25"/>
      <c r="C167" s="25"/>
      <c r="D167" s="55" t="s">
        <v>61</v>
      </c>
      <c r="E167" s="75" t="e">
        <f>VLOOKUP($D167,#REF!,3,0)</f>
        <v>#REF!</v>
      </c>
      <c r="F167" s="75" t="e">
        <f>VLOOKUP($D167,#REF!,4,0)</f>
        <v>#REF!</v>
      </c>
      <c r="G167" s="75" t="e">
        <f>VLOOKUP($D167,#REF!,5,0)</f>
        <v>#REF!</v>
      </c>
      <c r="H167" s="75" t="e">
        <f>VLOOKUP($D167,#REF!,6,0)</f>
        <v>#REF!</v>
      </c>
      <c r="I167" s="75" t="e">
        <f>VLOOKUP($D167,#REF!,7,0)</f>
        <v>#REF!</v>
      </c>
      <c r="J167" s="75" t="e">
        <f t="shared" si="5"/>
        <v>#REF!</v>
      </c>
      <c r="K167" s="75" t="e">
        <f>VLOOKUP($D167,#REF!,9,0)</f>
        <v>#REF!</v>
      </c>
      <c r="L167" s="78"/>
      <c r="M167" s="79"/>
      <c r="N167" s="25"/>
      <c r="O167" s="25"/>
      <c r="P167" s="25"/>
      <c r="Q167" s="25"/>
      <c r="R167" s="25"/>
    </row>
    <row r="168" spans="1:18" ht="18.75" x14ac:dyDescent="0.3">
      <c r="A168" s="25"/>
      <c r="B168" s="25"/>
      <c r="C168" s="25"/>
      <c r="D168" s="58" t="s">
        <v>74</v>
      </c>
      <c r="E168" s="75" t="e">
        <f>VLOOKUP($D168,#REF!,3,0)</f>
        <v>#REF!</v>
      </c>
      <c r="F168" s="75" t="e">
        <f>VLOOKUP($D168,#REF!,4,0)</f>
        <v>#REF!</v>
      </c>
      <c r="G168" s="75" t="e">
        <f>VLOOKUP($D168,#REF!,5,0)</f>
        <v>#REF!</v>
      </c>
      <c r="H168" s="75" t="e">
        <f>VLOOKUP($D168,#REF!,6,0)</f>
        <v>#REF!</v>
      </c>
      <c r="I168" s="75" t="e">
        <f>VLOOKUP($D168,#REF!,7,0)</f>
        <v>#REF!</v>
      </c>
      <c r="J168" s="75" t="e">
        <f t="shared" si="5"/>
        <v>#REF!</v>
      </c>
      <c r="K168" s="75" t="e">
        <f>VLOOKUP($D168,#REF!,9,0)</f>
        <v>#REF!</v>
      </c>
      <c r="L168" s="78"/>
      <c r="M168" s="79"/>
      <c r="N168" s="25"/>
      <c r="O168" s="25"/>
      <c r="P168" s="25"/>
      <c r="Q168" s="25"/>
      <c r="R168" s="25"/>
    </row>
    <row r="169" spans="1:18" ht="18.75" x14ac:dyDescent="0.3">
      <c r="A169" s="25"/>
      <c r="B169" s="25"/>
      <c r="C169" s="25"/>
      <c r="D169" s="55" t="s">
        <v>57</v>
      </c>
      <c r="E169" s="75" t="e">
        <f>VLOOKUP($D169,#REF!,3,0)</f>
        <v>#REF!</v>
      </c>
      <c r="F169" s="75" t="e">
        <f>VLOOKUP($D169,#REF!,4,0)</f>
        <v>#REF!</v>
      </c>
      <c r="G169" s="75" t="e">
        <f>VLOOKUP($D169,#REF!,5,0)</f>
        <v>#REF!</v>
      </c>
      <c r="H169" s="75" t="e">
        <f>VLOOKUP($D169,#REF!,6,0)</f>
        <v>#REF!</v>
      </c>
      <c r="I169" s="75" t="e">
        <f>VLOOKUP($D169,#REF!,7,0)</f>
        <v>#REF!</v>
      </c>
      <c r="J169" s="75" t="e">
        <f t="shared" si="5"/>
        <v>#REF!</v>
      </c>
      <c r="K169" s="75" t="e">
        <f>VLOOKUP($D169,#REF!,9,0)</f>
        <v>#REF!</v>
      </c>
      <c r="L169" s="78"/>
      <c r="M169" s="79"/>
      <c r="N169" s="25"/>
      <c r="O169" s="25"/>
      <c r="P169" s="25"/>
      <c r="Q169" s="25"/>
      <c r="R169" s="25"/>
    </row>
    <row r="170" spans="1:18" ht="18.75" x14ac:dyDescent="0.3">
      <c r="A170" s="25"/>
      <c r="B170" s="25"/>
      <c r="C170" s="25"/>
      <c r="D170" s="55" t="s">
        <v>82</v>
      </c>
      <c r="E170" s="75" t="e">
        <f>VLOOKUP($D170,#REF!,3,0)</f>
        <v>#REF!</v>
      </c>
      <c r="F170" s="75" t="e">
        <f>VLOOKUP($D170,#REF!,4,0)</f>
        <v>#REF!</v>
      </c>
      <c r="G170" s="75" t="e">
        <f>VLOOKUP($D170,#REF!,5,0)</f>
        <v>#REF!</v>
      </c>
      <c r="H170" s="75" t="e">
        <f>VLOOKUP($D170,#REF!,6,0)</f>
        <v>#REF!</v>
      </c>
      <c r="I170" s="75" t="e">
        <f>VLOOKUP($D170,#REF!,7,0)</f>
        <v>#REF!</v>
      </c>
      <c r="J170" s="75" t="e">
        <f t="shared" si="5"/>
        <v>#REF!</v>
      </c>
      <c r="K170" s="75" t="e">
        <f>VLOOKUP($D170,#REF!,9,0)</f>
        <v>#REF!</v>
      </c>
      <c r="L170" s="78"/>
      <c r="M170" s="79"/>
      <c r="N170" s="25"/>
      <c r="O170" s="25"/>
      <c r="P170" s="25"/>
      <c r="Q170" s="25"/>
      <c r="R170" s="25"/>
    </row>
    <row r="171" spans="1:18" ht="18.75" x14ac:dyDescent="0.3">
      <c r="A171" s="25"/>
      <c r="B171" s="25"/>
      <c r="C171" s="25"/>
      <c r="D171" s="55" t="s">
        <v>106</v>
      </c>
      <c r="E171" s="75" t="e">
        <f>VLOOKUP($D171,#REF!,3,0)</f>
        <v>#REF!</v>
      </c>
      <c r="F171" s="75" t="e">
        <f>VLOOKUP($D171,#REF!,4,0)</f>
        <v>#REF!</v>
      </c>
      <c r="G171" s="75" t="e">
        <f>VLOOKUP($D171,#REF!,5,0)</f>
        <v>#REF!</v>
      </c>
      <c r="H171" s="75" t="e">
        <f>VLOOKUP($D171,#REF!,6,0)</f>
        <v>#REF!</v>
      </c>
      <c r="I171" s="75" t="e">
        <f>VLOOKUP($D171,#REF!,7,0)</f>
        <v>#REF!</v>
      </c>
      <c r="J171" s="75" t="e">
        <f t="shared" si="5"/>
        <v>#REF!</v>
      </c>
      <c r="K171" s="75" t="e">
        <f>VLOOKUP($D171,#REF!,9,0)</f>
        <v>#REF!</v>
      </c>
      <c r="L171" s="78"/>
      <c r="M171" s="79"/>
      <c r="N171" s="25"/>
      <c r="O171" s="25"/>
      <c r="P171" s="25"/>
      <c r="Q171" s="25"/>
      <c r="R171" s="25"/>
    </row>
    <row r="172" spans="1:18" ht="18.75" x14ac:dyDescent="0.3">
      <c r="A172" s="25"/>
      <c r="B172" s="25"/>
      <c r="C172" s="25"/>
      <c r="D172" s="55" t="s">
        <v>68</v>
      </c>
      <c r="E172" s="75" t="e">
        <f>VLOOKUP($D172,#REF!,3,0)</f>
        <v>#REF!</v>
      </c>
      <c r="F172" s="75" t="e">
        <f>VLOOKUP($D172,#REF!,4,0)</f>
        <v>#REF!</v>
      </c>
      <c r="G172" s="75" t="e">
        <f>VLOOKUP($D172,#REF!,5,0)</f>
        <v>#REF!</v>
      </c>
      <c r="H172" s="75" t="e">
        <f>VLOOKUP($D172,#REF!,6,0)</f>
        <v>#REF!</v>
      </c>
      <c r="I172" s="75" t="e">
        <f>VLOOKUP($D172,#REF!,7,0)</f>
        <v>#REF!</v>
      </c>
      <c r="J172" s="75" t="e">
        <f t="shared" si="5"/>
        <v>#REF!</v>
      </c>
      <c r="K172" s="75" t="e">
        <f>VLOOKUP($D172,#REF!,9,0)</f>
        <v>#REF!</v>
      </c>
      <c r="L172" s="78"/>
      <c r="M172" s="79"/>
      <c r="N172" s="25"/>
      <c r="O172" s="25"/>
      <c r="P172" s="25"/>
      <c r="Q172" s="25"/>
      <c r="R172" s="25"/>
    </row>
    <row r="173" spans="1:18" ht="18.75" x14ac:dyDescent="0.3">
      <c r="A173" s="25"/>
      <c r="B173" s="25"/>
      <c r="C173" s="25"/>
      <c r="D173" s="55" t="s">
        <v>126</v>
      </c>
      <c r="E173" s="75" t="e">
        <f>VLOOKUP($D173,#REF!,3,0)</f>
        <v>#REF!</v>
      </c>
      <c r="F173" s="75" t="e">
        <f>VLOOKUP($D173,#REF!,4,0)</f>
        <v>#REF!</v>
      </c>
      <c r="G173" s="75" t="e">
        <f>VLOOKUP($D173,#REF!,5,0)</f>
        <v>#REF!</v>
      </c>
      <c r="H173" s="75" t="e">
        <f>VLOOKUP($D173,#REF!,6,0)</f>
        <v>#REF!</v>
      </c>
      <c r="I173" s="75" t="e">
        <f>VLOOKUP($D173,#REF!,7,0)</f>
        <v>#REF!</v>
      </c>
      <c r="J173" s="75" t="e">
        <f t="shared" si="5"/>
        <v>#REF!</v>
      </c>
      <c r="K173" s="75" t="e">
        <f>VLOOKUP($D173,#REF!,9,0)</f>
        <v>#REF!</v>
      </c>
      <c r="L173" s="78"/>
      <c r="M173" s="79"/>
      <c r="N173" s="25"/>
      <c r="O173" s="25"/>
      <c r="P173" s="25"/>
      <c r="Q173" s="25"/>
      <c r="R173" s="25"/>
    </row>
    <row r="174" spans="1:18" ht="18.75" x14ac:dyDescent="0.3">
      <c r="A174" s="25"/>
      <c r="B174" s="25"/>
      <c r="C174" s="25"/>
      <c r="D174" s="55" t="s">
        <v>122</v>
      </c>
      <c r="E174" s="75" t="e">
        <f>VLOOKUP($D174,#REF!,3,0)</f>
        <v>#REF!</v>
      </c>
      <c r="F174" s="75" t="e">
        <f>VLOOKUP($D174,#REF!,4,0)</f>
        <v>#REF!</v>
      </c>
      <c r="G174" s="75" t="e">
        <f>VLOOKUP($D174,#REF!,5,0)</f>
        <v>#REF!</v>
      </c>
      <c r="H174" s="75" t="e">
        <f>VLOOKUP($D174,#REF!,6,0)</f>
        <v>#REF!</v>
      </c>
      <c r="I174" s="75" t="e">
        <f>VLOOKUP($D174,#REF!,7,0)</f>
        <v>#REF!</v>
      </c>
      <c r="J174" s="75" t="e">
        <f t="shared" si="5"/>
        <v>#REF!</v>
      </c>
      <c r="K174" s="75" t="e">
        <f>VLOOKUP($D174,#REF!,9,0)</f>
        <v>#REF!</v>
      </c>
      <c r="L174" s="78"/>
      <c r="M174" s="79"/>
      <c r="N174" s="25"/>
      <c r="O174" s="25"/>
      <c r="P174" s="25"/>
      <c r="Q174" s="25"/>
      <c r="R174" s="25"/>
    </row>
    <row r="175" spans="1:18" ht="18.75" x14ac:dyDescent="0.3">
      <c r="A175" s="25"/>
      <c r="B175" s="25"/>
      <c r="C175" s="25"/>
      <c r="D175" s="55" t="s">
        <v>180</v>
      </c>
      <c r="E175" s="75" t="e">
        <f>VLOOKUP($D175,#REF!,3,0)</f>
        <v>#REF!</v>
      </c>
      <c r="F175" s="75" t="e">
        <f>VLOOKUP($D175,#REF!,4,0)</f>
        <v>#REF!</v>
      </c>
      <c r="G175" s="75" t="e">
        <f>VLOOKUP($D175,#REF!,5,0)</f>
        <v>#REF!</v>
      </c>
      <c r="H175" s="75" t="e">
        <f>VLOOKUP($D175,#REF!,6,0)</f>
        <v>#REF!</v>
      </c>
      <c r="I175" s="75" t="e">
        <f>VLOOKUP($D175,#REF!,7,0)</f>
        <v>#REF!</v>
      </c>
      <c r="J175" s="75" t="e">
        <f t="shared" si="5"/>
        <v>#REF!</v>
      </c>
      <c r="K175" s="75" t="e">
        <f>VLOOKUP($D175,#REF!,9,0)</f>
        <v>#REF!</v>
      </c>
      <c r="L175" s="78"/>
      <c r="M175" s="79"/>
      <c r="N175" s="25"/>
      <c r="O175" s="25"/>
      <c r="P175" s="25"/>
      <c r="Q175" s="25"/>
      <c r="R175" s="25"/>
    </row>
    <row r="176" spans="1:18" ht="18.75" x14ac:dyDescent="0.3">
      <c r="A176" s="25"/>
      <c r="B176" s="25"/>
      <c r="C176" s="25"/>
      <c r="D176" s="55" t="s">
        <v>163</v>
      </c>
      <c r="E176" s="75" t="e">
        <f>VLOOKUP($D176,#REF!,3,0)</f>
        <v>#REF!</v>
      </c>
      <c r="F176" s="75" t="e">
        <f>VLOOKUP($D176,#REF!,4,0)</f>
        <v>#REF!</v>
      </c>
      <c r="G176" s="75" t="e">
        <f>VLOOKUP($D176,#REF!,5,0)</f>
        <v>#REF!</v>
      </c>
      <c r="H176" s="75" t="e">
        <f>VLOOKUP($D176,#REF!,6,0)</f>
        <v>#REF!</v>
      </c>
      <c r="I176" s="75" t="e">
        <f>VLOOKUP($D176,#REF!,7,0)</f>
        <v>#REF!</v>
      </c>
      <c r="J176" s="75" t="e">
        <f t="shared" si="5"/>
        <v>#REF!</v>
      </c>
      <c r="K176" s="75" t="e">
        <f>VLOOKUP($D176,#REF!,9,0)</f>
        <v>#REF!</v>
      </c>
      <c r="L176" s="78"/>
      <c r="M176" s="79"/>
      <c r="N176" s="25"/>
      <c r="O176" s="25"/>
      <c r="P176" s="25"/>
      <c r="Q176" s="25"/>
      <c r="R176" s="25"/>
    </row>
    <row r="177" spans="1:18" ht="18.75" x14ac:dyDescent="0.3">
      <c r="A177" s="25"/>
      <c r="B177" s="25"/>
      <c r="C177" s="25"/>
      <c r="D177" s="55" t="s">
        <v>37</v>
      </c>
      <c r="E177" s="75" t="e">
        <f>VLOOKUP($D177,#REF!,3,0)</f>
        <v>#REF!</v>
      </c>
      <c r="F177" s="75" t="e">
        <f>VLOOKUP($D177,#REF!,4,0)</f>
        <v>#REF!</v>
      </c>
      <c r="G177" s="75" t="e">
        <f>VLOOKUP($D177,#REF!,5,0)</f>
        <v>#REF!</v>
      </c>
      <c r="H177" s="75" t="e">
        <f>VLOOKUP($D177,#REF!,6,0)</f>
        <v>#REF!</v>
      </c>
      <c r="I177" s="75" t="e">
        <f>VLOOKUP($D177,#REF!,7,0)</f>
        <v>#REF!</v>
      </c>
      <c r="J177" s="75" t="e">
        <f t="shared" si="5"/>
        <v>#REF!</v>
      </c>
      <c r="K177" s="75" t="e">
        <f>VLOOKUP($D177,#REF!,9,0)</f>
        <v>#REF!</v>
      </c>
      <c r="L177" s="78"/>
      <c r="M177" s="79"/>
      <c r="N177" s="25"/>
      <c r="O177" s="25"/>
      <c r="P177" s="25"/>
      <c r="Q177" s="25"/>
      <c r="R177" s="25"/>
    </row>
    <row r="178" spans="1:18" ht="18.75" x14ac:dyDescent="0.3">
      <c r="A178" s="25"/>
      <c r="B178" s="25"/>
      <c r="C178" s="25"/>
      <c r="D178" s="55" t="s">
        <v>331</v>
      </c>
      <c r="E178" s="75" t="e">
        <f>VLOOKUP($D178,#REF!,3,0)</f>
        <v>#REF!</v>
      </c>
      <c r="F178" s="75" t="e">
        <f>VLOOKUP($D178,#REF!,4,0)</f>
        <v>#REF!</v>
      </c>
      <c r="G178" s="75" t="e">
        <f>VLOOKUP($D178,#REF!,5,0)</f>
        <v>#REF!</v>
      </c>
      <c r="H178" s="75" t="e">
        <f>VLOOKUP($D178,#REF!,6,0)</f>
        <v>#REF!</v>
      </c>
      <c r="I178" s="75" t="e">
        <f>VLOOKUP($D178,#REF!,7,0)</f>
        <v>#REF!</v>
      </c>
      <c r="J178" s="75" t="e">
        <f t="shared" si="5"/>
        <v>#REF!</v>
      </c>
      <c r="K178" s="75" t="e">
        <f>VLOOKUP($D178,#REF!,9,0)</f>
        <v>#REF!</v>
      </c>
      <c r="L178" s="78"/>
      <c r="M178" s="79"/>
      <c r="N178" s="25"/>
      <c r="O178" s="25"/>
      <c r="P178" s="25"/>
      <c r="Q178" s="25"/>
      <c r="R178" s="25"/>
    </row>
    <row r="179" spans="1:18" ht="18.75" x14ac:dyDescent="0.3">
      <c r="A179" s="25"/>
      <c r="B179" s="25"/>
      <c r="C179" s="25"/>
      <c r="D179" s="55" t="s">
        <v>382</v>
      </c>
      <c r="E179" s="75" t="e">
        <f>VLOOKUP($D179,#REF!,3,0)</f>
        <v>#REF!</v>
      </c>
      <c r="F179" s="75" t="e">
        <f>VLOOKUP($D179,#REF!,4,0)</f>
        <v>#REF!</v>
      </c>
      <c r="G179" s="75" t="e">
        <f>VLOOKUP($D179,#REF!,5,0)</f>
        <v>#REF!</v>
      </c>
      <c r="H179" s="75" t="e">
        <f>VLOOKUP($D179,#REF!,6,0)</f>
        <v>#REF!</v>
      </c>
      <c r="I179" s="75" t="e">
        <f>VLOOKUP($D179,#REF!,7,0)</f>
        <v>#REF!</v>
      </c>
      <c r="J179" s="75" t="e">
        <f t="shared" si="5"/>
        <v>#REF!</v>
      </c>
      <c r="K179" s="75" t="e">
        <f>VLOOKUP($D179,#REF!,9,0)</f>
        <v>#REF!</v>
      </c>
      <c r="L179" s="78"/>
      <c r="M179" s="79"/>
      <c r="N179" s="25"/>
      <c r="O179" s="25"/>
      <c r="P179" s="25"/>
      <c r="Q179" s="25"/>
      <c r="R179" s="25"/>
    </row>
    <row r="180" spans="1:18" ht="19.5" thickBot="1" x14ac:dyDescent="0.35">
      <c r="A180" s="25"/>
      <c r="B180" s="25"/>
      <c r="C180" s="25"/>
      <c r="D180" s="58" t="s">
        <v>370</v>
      </c>
      <c r="E180" s="76"/>
      <c r="F180" s="76"/>
      <c r="G180" s="76"/>
      <c r="H180" s="76"/>
      <c r="I180" s="76"/>
      <c r="J180" s="75" t="e">
        <f t="shared" si="5"/>
        <v>#REF!</v>
      </c>
      <c r="K180" s="75" t="e">
        <f>VLOOKUP($D180,#REF!,9,0)</f>
        <v>#REF!</v>
      </c>
      <c r="L180" s="78"/>
      <c r="M180" s="79"/>
      <c r="N180" s="25"/>
      <c r="O180" s="25"/>
      <c r="P180" s="25"/>
      <c r="Q180" s="25"/>
      <c r="R180" s="25"/>
    </row>
    <row r="181" spans="1:18" ht="19.5" thickBot="1" x14ac:dyDescent="0.35">
      <c r="A181" s="25"/>
      <c r="B181" s="25"/>
      <c r="C181" s="25"/>
      <c r="D181" s="5" t="s">
        <v>582</v>
      </c>
      <c r="E181" s="80" t="e">
        <f>SUM(E165:E179)</f>
        <v>#REF!</v>
      </c>
      <c r="F181" s="80" t="e">
        <f>SUM(F165:F178)</f>
        <v>#REF!</v>
      </c>
      <c r="G181" s="80" t="e">
        <f>SUM(G165:G178)</f>
        <v>#REF!</v>
      </c>
      <c r="H181" s="80" t="e">
        <f>SUM(H165:H179)</f>
        <v>#REF!</v>
      </c>
      <c r="I181" s="80" t="e">
        <f>SUM(I165:I178)</f>
        <v>#REF!</v>
      </c>
      <c r="J181" s="80" t="e">
        <f>SUM(J165:J180)</f>
        <v>#REF!</v>
      </c>
      <c r="K181" s="80" t="e">
        <f>SUM(K165:K180)</f>
        <v>#REF!</v>
      </c>
      <c r="L181" s="79"/>
      <c r="M181" s="79"/>
      <c r="N181" s="25"/>
      <c r="O181" s="25"/>
      <c r="P181" s="25"/>
      <c r="Q181" s="25"/>
      <c r="R181" s="25"/>
    </row>
    <row r="182" spans="1:18" ht="18.75" x14ac:dyDescent="0.3">
      <c r="A182" s="25"/>
      <c r="B182" s="25"/>
      <c r="C182" s="25"/>
      <c r="D182" s="8"/>
      <c r="E182" s="81"/>
      <c r="F182" s="81"/>
      <c r="G182" s="81"/>
      <c r="H182" s="81"/>
      <c r="I182" s="81"/>
      <c r="J182" s="81"/>
      <c r="K182" s="25"/>
      <c r="L182" s="25"/>
      <c r="M182" s="25"/>
      <c r="N182" s="25"/>
      <c r="O182" s="25"/>
      <c r="P182" s="25"/>
      <c r="Q182" s="25"/>
      <c r="R182" s="25"/>
    </row>
    <row r="183" spans="1:18" ht="18.75" x14ac:dyDescent="0.3">
      <c r="A183" s="25"/>
      <c r="B183" s="25"/>
      <c r="C183" s="25"/>
      <c r="D183" s="52" t="s">
        <v>976</v>
      </c>
      <c r="E183" s="25"/>
      <c r="F183" s="25"/>
      <c r="G183" s="73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</row>
    <row r="184" spans="1:18" ht="18.75" x14ac:dyDescent="0.3">
      <c r="A184" s="25"/>
      <c r="B184" s="25"/>
      <c r="C184" s="25"/>
      <c r="D184" s="25"/>
      <c r="E184" s="25"/>
      <c r="F184" s="25"/>
      <c r="G184" s="82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</row>
    <row r="185" spans="1:18" ht="19.5" thickBot="1" x14ac:dyDescent="0.35">
      <c r="A185" s="25"/>
      <c r="B185" s="25"/>
      <c r="C185" s="25"/>
      <c r="D185" s="25"/>
      <c r="E185" s="25"/>
      <c r="F185" s="25"/>
      <c r="G185" s="73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</row>
    <row r="186" spans="1:18" ht="19.5" thickBot="1" x14ac:dyDescent="0.35">
      <c r="A186" s="25"/>
      <c r="B186" s="25"/>
      <c r="C186" s="25"/>
      <c r="D186" s="11" t="s">
        <v>930</v>
      </c>
      <c r="E186" s="38" t="s">
        <v>92</v>
      </c>
      <c r="F186" s="38" t="s">
        <v>50</v>
      </c>
      <c r="G186" s="38" t="s">
        <v>67</v>
      </c>
      <c r="H186" s="38" t="s">
        <v>36</v>
      </c>
      <c r="I186" s="38" t="s">
        <v>44</v>
      </c>
      <c r="J186" s="38" t="s">
        <v>929</v>
      </c>
      <c r="K186" s="38" t="s">
        <v>918</v>
      </c>
      <c r="L186" s="25"/>
      <c r="M186" s="25"/>
      <c r="N186" s="25"/>
      <c r="O186" s="25"/>
      <c r="P186" s="25"/>
      <c r="Q186" s="25"/>
      <c r="R186" s="25"/>
    </row>
    <row r="187" spans="1:18" ht="18.75" x14ac:dyDescent="0.3">
      <c r="A187" s="25"/>
      <c r="B187" s="25"/>
      <c r="C187" s="25"/>
      <c r="D187" s="46" t="s">
        <v>45</v>
      </c>
      <c r="E187" s="75" t="e">
        <f>VLOOKUP($D187,#REF!,3,0)</f>
        <v>#REF!</v>
      </c>
      <c r="F187" s="75" t="e">
        <f>VLOOKUP($D187,#REF!,4,0)</f>
        <v>#REF!</v>
      </c>
      <c r="G187" s="75" t="e">
        <f>VLOOKUP($D187,#REF!,5,0)</f>
        <v>#REF!</v>
      </c>
      <c r="H187" s="75"/>
      <c r="I187" s="75" t="e">
        <f>VLOOKUP($D187,#REF!,6,0)</f>
        <v>#REF!</v>
      </c>
      <c r="J187" s="75" t="e">
        <f>VLOOKUP($D187,#REF!,7,0)+VLOOKUP($D187,#REF!,2,0)</f>
        <v>#REF!</v>
      </c>
      <c r="K187" s="75" t="e">
        <f>+SUM(E187:J187)</f>
        <v>#REF!</v>
      </c>
      <c r="L187" s="25"/>
      <c r="M187" s="25"/>
      <c r="N187" s="25"/>
      <c r="O187" s="25"/>
      <c r="P187" s="25"/>
      <c r="Q187" s="25"/>
      <c r="R187" s="25"/>
    </row>
    <row r="188" spans="1:18" ht="18.75" x14ac:dyDescent="0.3">
      <c r="A188" s="25"/>
      <c r="B188" s="25"/>
      <c r="C188" s="25"/>
      <c r="D188" s="55" t="s">
        <v>64</v>
      </c>
      <c r="E188" s="75" t="e">
        <f>VLOOKUP($D188,#REF!,3,0)</f>
        <v>#REF!</v>
      </c>
      <c r="F188" s="75" t="e">
        <f>VLOOKUP($D188,#REF!,4,0)</f>
        <v>#REF!</v>
      </c>
      <c r="G188" s="75" t="e">
        <f>VLOOKUP($D188,#REF!,5,0)</f>
        <v>#REF!</v>
      </c>
      <c r="H188" s="75"/>
      <c r="I188" s="75" t="e">
        <f>VLOOKUP($D188,#REF!,6,0)</f>
        <v>#REF!</v>
      </c>
      <c r="J188" s="75" t="e">
        <f>VLOOKUP($D188,#REF!,7,0)+VLOOKUP($D188,#REF!,2,0)</f>
        <v>#REF!</v>
      </c>
      <c r="K188" s="75" t="e">
        <f t="shared" ref="K188:K202" si="6">+SUM(E188:J188)</f>
        <v>#REF!</v>
      </c>
      <c r="L188" s="25"/>
      <c r="M188" s="25"/>
      <c r="N188" s="25"/>
      <c r="O188" s="25"/>
      <c r="P188" s="25"/>
      <c r="Q188" s="25"/>
      <c r="R188" s="25"/>
    </row>
    <row r="189" spans="1:18" ht="18.75" x14ac:dyDescent="0.3">
      <c r="A189" s="25"/>
      <c r="B189" s="25"/>
      <c r="C189" s="25"/>
      <c r="D189" s="55" t="s">
        <v>61</v>
      </c>
      <c r="E189" s="75" t="e">
        <f>VLOOKUP($D189,#REF!,3,0)</f>
        <v>#REF!</v>
      </c>
      <c r="F189" s="75" t="e">
        <f>VLOOKUP($D189,#REF!,4,0)</f>
        <v>#REF!</v>
      </c>
      <c r="G189" s="75" t="e">
        <f>VLOOKUP($D189,#REF!,5,0)</f>
        <v>#REF!</v>
      </c>
      <c r="H189" s="75"/>
      <c r="I189" s="75" t="e">
        <f>VLOOKUP($D189,#REF!,6,0)</f>
        <v>#REF!</v>
      </c>
      <c r="J189" s="75" t="e">
        <f>VLOOKUP($D189,#REF!,7,0)+VLOOKUP($D189,#REF!,2,0)</f>
        <v>#REF!</v>
      </c>
      <c r="K189" s="75" t="e">
        <f t="shared" si="6"/>
        <v>#REF!</v>
      </c>
      <c r="L189" s="25"/>
      <c r="M189" s="25"/>
      <c r="N189" s="25"/>
      <c r="O189" s="25"/>
      <c r="P189" s="25"/>
      <c r="Q189" s="25"/>
      <c r="R189" s="25"/>
    </row>
    <row r="190" spans="1:18" ht="18.75" x14ac:dyDescent="0.3">
      <c r="A190" s="25"/>
      <c r="B190" s="25"/>
      <c r="C190" s="25"/>
      <c r="D190" s="58" t="s">
        <v>74</v>
      </c>
      <c r="E190" s="75" t="e">
        <f>VLOOKUP($D190,#REF!,3,0)</f>
        <v>#REF!</v>
      </c>
      <c r="F190" s="75" t="e">
        <f>VLOOKUP($D190,#REF!,4,0)</f>
        <v>#REF!</v>
      </c>
      <c r="G190" s="75" t="e">
        <f>VLOOKUP($D190,#REF!,5,0)</f>
        <v>#REF!</v>
      </c>
      <c r="H190" s="75"/>
      <c r="I190" s="75" t="e">
        <f>VLOOKUP($D190,#REF!,6,0)</f>
        <v>#REF!</v>
      </c>
      <c r="J190" s="75" t="e">
        <f>VLOOKUP($D190,#REF!,7,0)+VLOOKUP($D190,#REF!,2,0)</f>
        <v>#REF!</v>
      </c>
      <c r="K190" s="75" t="e">
        <f t="shared" si="6"/>
        <v>#REF!</v>
      </c>
      <c r="L190" s="25"/>
      <c r="M190" s="25"/>
      <c r="N190" s="25"/>
      <c r="O190" s="25"/>
      <c r="P190" s="25"/>
      <c r="Q190" s="25"/>
      <c r="R190" s="25"/>
    </row>
    <row r="191" spans="1:18" ht="18.75" x14ac:dyDescent="0.3">
      <c r="A191" s="25"/>
      <c r="B191" s="25"/>
      <c r="C191" s="25"/>
      <c r="D191" s="55" t="s">
        <v>57</v>
      </c>
      <c r="E191" s="75" t="e">
        <f>VLOOKUP($D191,#REF!,3,0)</f>
        <v>#REF!</v>
      </c>
      <c r="F191" s="75" t="e">
        <f>VLOOKUP($D191,#REF!,4,0)</f>
        <v>#REF!</v>
      </c>
      <c r="G191" s="75" t="e">
        <f>VLOOKUP($D191,#REF!,5,0)</f>
        <v>#REF!</v>
      </c>
      <c r="H191" s="75"/>
      <c r="I191" s="75" t="e">
        <f>VLOOKUP($D191,#REF!,6,0)</f>
        <v>#REF!</v>
      </c>
      <c r="J191" s="75" t="e">
        <f>VLOOKUP($D191,#REF!,7,0)+VLOOKUP($D191,#REF!,2,0)</f>
        <v>#REF!</v>
      </c>
      <c r="K191" s="75" t="e">
        <f t="shared" si="6"/>
        <v>#REF!</v>
      </c>
      <c r="L191" s="25"/>
      <c r="M191" s="25"/>
      <c r="N191" s="25"/>
      <c r="O191" s="25"/>
      <c r="P191" s="25"/>
      <c r="Q191" s="25"/>
      <c r="R191" s="25"/>
    </row>
    <row r="192" spans="1:18" ht="18.75" x14ac:dyDescent="0.3">
      <c r="A192" s="25"/>
      <c r="B192" s="25"/>
      <c r="C192" s="25"/>
      <c r="D192" s="55" t="s">
        <v>82</v>
      </c>
      <c r="E192" s="75" t="e">
        <f>VLOOKUP($D192,#REF!,3,0)</f>
        <v>#REF!</v>
      </c>
      <c r="F192" s="75" t="e">
        <f>VLOOKUP($D192,#REF!,4,0)</f>
        <v>#REF!</v>
      </c>
      <c r="G192" s="75" t="e">
        <f>VLOOKUP($D192,#REF!,5,0)</f>
        <v>#REF!</v>
      </c>
      <c r="H192" s="75"/>
      <c r="I192" s="75" t="e">
        <f>VLOOKUP($D192,#REF!,6,0)</f>
        <v>#REF!</v>
      </c>
      <c r="J192" s="75" t="e">
        <f>VLOOKUP($D192,#REF!,7,0)+VLOOKUP($D192,#REF!,2,0)</f>
        <v>#REF!</v>
      </c>
      <c r="K192" s="75" t="e">
        <f t="shared" si="6"/>
        <v>#REF!</v>
      </c>
      <c r="L192" s="25"/>
      <c r="M192" s="25"/>
      <c r="N192" s="25"/>
      <c r="O192" s="25"/>
      <c r="P192" s="25"/>
      <c r="Q192" s="25"/>
      <c r="R192" s="25"/>
    </row>
    <row r="193" spans="1:18" ht="18.75" x14ac:dyDescent="0.3">
      <c r="A193" s="25"/>
      <c r="B193" s="25"/>
      <c r="C193" s="25"/>
      <c r="D193" s="55" t="s">
        <v>106</v>
      </c>
      <c r="E193" s="75" t="e">
        <f>VLOOKUP($D193,#REF!,3,0)</f>
        <v>#REF!</v>
      </c>
      <c r="F193" s="75" t="e">
        <f>VLOOKUP($D193,#REF!,4,0)</f>
        <v>#REF!</v>
      </c>
      <c r="G193" s="75" t="e">
        <f>VLOOKUP($D193,#REF!,5,0)</f>
        <v>#REF!</v>
      </c>
      <c r="H193" s="75"/>
      <c r="I193" s="75" t="e">
        <f>VLOOKUP($D193,#REF!,6,0)</f>
        <v>#REF!</v>
      </c>
      <c r="J193" s="75" t="e">
        <f>VLOOKUP($D193,#REF!,7,0)+VLOOKUP($D193,#REF!,2,0)</f>
        <v>#REF!</v>
      </c>
      <c r="K193" s="75" t="e">
        <f t="shared" si="6"/>
        <v>#REF!</v>
      </c>
      <c r="L193" s="25"/>
      <c r="M193" s="25"/>
      <c r="N193" s="25"/>
      <c r="O193" s="25"/>
      <c r="P193" s="25"/>
      <c r="Q193" s="25"/>
      <c r="R193" s="25"/>
    </row>
    <row r="194" spans="1:18" ht="18.75" x14ac:dyDescent="0.3">
      <c r="A194" s="25"/>
      <c r="B194" s="25"/>
      <c r="C194" s="25"/>
      <c r="D194" s="55" t="s">
        <v>68</v>
      </c>
      <c r="E194" s="75" t="e">
        <f>VLOOKUP($D194,#REF!,3,0)</f>
        <v>#REF!</v>
      </c>
      <c r="F194" s="75" t="e">
        <f>VLOOKUP($D194,#REF!,4,0)</f>
        <v>#REF!</v>
      </c>
      <c r="G194" s="75" t="e">
        <f>VLOOKUP($D194,#REF!,5,0)</f>
        <v>#REF!</v>
      </c>
      <c r="H194" s="75"/>
      <c r="I194" s="75" t="e">
        <f>VLOOKUP($D194,#REF!,6,0)</f>
        <v>#REF!</v>
      </c>
      <c r="J194" s="75" t="e">
        <f>VLOOKUP($D194,#REF!,7,0)+VLOOKUP($D194,#REF!,2,0)</f>
        <v>#REF!</v>
      </c>
      <c r="K194" s="75" t="e">
        <f t="shared" si="6"/>
        <v>#REF!</v>
      </c>
      <c r="L194" s="25"/>
      <c r="M194" s="25"/>
      <c r="N194" s="25"/>
      <c r="O194" s="25"/>
      <c r="P194" s="25"/>
      <c r="Q194" s="25"/>
      <c r="R194" s="25"/>
    </row>
    <row r="195" spans="1:18" ht="18.75" x14ac:dyDescent="0.3">
      <c r="A195" s="25"/>
      <c r="B195" s="25"/>
      <c r="C195" s="25"/>
      <c r="D195" s="55" t="s">
        <v>126</v>
      </c>
      <c r="E195" s="75" t="e">
        <f>VLOOKUP($D195,#REF!,3,0)</f>
        <v>#REF!</v>
      </c>
      <c r="F195" s="75" t="e">
        <f>VLOOKUP($D195,#REF!,4,0)</f>
        <v>#REF!</v>
      </c>
      <c r="G195" s="75" t="e">
        <f>VLOOKUP($D195,#REF!,5,0)</f>
        <v>#REF!</v>
      </c>
      <c r="H195" s="75"/>
      <c r="I195" s="75" t="e">
        <f>VLOOKUP($D195,#REF!,6,0)</f>
        <v>#REF!</v>
      </c>
      <c r="J195" s="75" t="e">
        <f>VLOOKUP($D195,#REF!,7,0)+VLOOKUP($D195,#REF!,2,0)</f>
        <v>#REF!</v>
      </c>
      <c r="K195" s="75" t="e">
        <f t="shared" si="6"/>
        <v>#REF!</v>
      </c>
      <c r="L195" s="25"/>
      <c r="M195" s="25"/>
      <c r="N195" s="25"/>
      <c r="O195" s="25"/>
      <c r="P195" s="25"/>
      <c r="Q195" s="25"/>
      <c r="R195" s="25"/>
    </row>
    <row r="196" spans="1:18" ht="18.75" x14ac:dyDescent="0.3">
      <c r="A196" s="25"/>
      <c r="B196" s="25"/>
      <c r="C196" s="25"/>
      <c r="D196" s="55" t="s">
        <v>122</v>
      </c>
      <c r="E196" s="75" t="e">
        <f>VLOOKUP($D196,#REF!,3,0)</f>
        <v>#REF!</v>
      </c>
      <c r="F196" s="75" t="e">
        <f>VLOOKUP($D196,#REF!,4,0)</f>
        <v>#REF!</v>
      </c>
      <c r="G196" s="75" t="e">
        <f>VLOOKUP($D196,#REF!,5,0)</f>
        <v>#REF!</v>
      </c>
      <c r="H196" s="75"/>
      <c r="I196" s="75" t="e">
        <f>VLOOKUP($D196,#REF!,6,0)</f>
        <v>#REF!</v>
      </c>
      <c r="J196" s="75" t="e">
        <f>VLOOKUP($D196,#REF!,7,0)+VLOOKUP($D196,#REF!,2,0)</f>
        <v>#REF!</v>
      </c>
      <c r="K196" s="75" t="e">
        <f t="shared" si="6"/>
        <v>#REF!</v>
      </c>
      <c r="L196" s="25"/>
      <c r="M196" s="25"/>
      <c r="N196" s="25"/>
      <c r="O196" s="25"/>
      <c r="P196" s="25"/>
      <c r="Q196" s="25"/>
      <c r="R196" s="25"/>
    </row>
    <row r="197" spans="1:18" ht="18.75" x14ac:dyDescent="0.3">
      <c r="A197" s="25"/>
      <c r="B197" s="25"/>
      <c r="C197" s="25"/>
      <c r="D197" s="55" t="s">
        <v>180</v>
      </c>
      <c r="E197" s="75" t="e">
        <f>VLOOKUP($D197,#REF!,3,0)</f>
        <v>#REF!</v>
      </c>
      <c r="F197" s="75" t="e">
        <f>VLOOKUP($D197,#REF!,4,0)</f>
        <v>#REF!</v>
      </c>
      <c r="G197" s="75" t="e">
        <f>VLOOKUP($D197,#REF!,5,0)</f>
        <v>#REF!</v>
      </c>
      <c r="H197" s="75"/>
      <c r="I197" s="75" t="e">
        <f>VLOOKUP($D197,#REF!,6,0)</f>
        <v>#REF!</v>
      </c>
      <c r="J197" s="75" t="e">
        <f>VLOOKUP($D197,#REF!,7,0)+VLOOKUP($D197,#REF!,2,0)</f>
        <v>#REF!</v>
      </c>
      <c r="K197" s="75" t="e">
        <f t="shared" si="6"/>
        <v>#REF!</v>
      </c>
      <c r="L197" s="25"/>
      <c r="M197" s="25"/>
      <c r="N197" s="25"/>
      <c r="O197" s="25"/>
      <c r="P197" s="25"/>
      <c r="Q197" s="25"/>
      <c r="R197" s="25"/>
    </row>
    <row r="198" spans="1:18" ht="18.75" x14ac:dyDescent="0.3">
      <c r="A198" s="25"/>
      <c r="B198" s="25"/>
      <c r="C198" s="25"/>
      <c r="D198" s="55" t="s">
        <v>163</v>
      </c>
      <c r="E198" s="75" t="e">
        <f>VLOOKUP($D198,#REF!,3,0)</f>
        <v>#REF!</v>
      </c>
      <c r="F198" s="75" t="e">
        <f>VLOOKUP($D198,#REF!,4,0)</f>
        <v>#REF!</v>
      </c>
      <c r="G198" s="75" t="e">
        <f>VLOOKUP($D198,#REF!,5,0)</f>
        <v>#REF!</v>
      </c>
      <c r="H198" s="75"/>
      <c r="I198" s="75" t="e">
        <f>VLOOKUP($D198,#REF!,6,0)</f>
        <v>#REF!</v>
      </c>
      <c r="J198" s="75" t="e">
        <f>VLOOKUP($D198,#REF!,7,0)+VLOOKUP($D198,#REF!,2,0)</f>
        <v>#REF!</v>
      </c>
      <c r="K198" s="75" t="e">
        <f t="shared" si="6"/>
        <v>#REF!</v>
      </c>
      <c r="L198" s="25"/>
      <c r="M198" s="25"/>
      <c r="N198" s="25"/>
      <c r="O198" s="25"/>
      <c r="P198" s="25"/>
      <c r="Q198" s="25"/>
      <c r="R198" s="25"/>
    </row>
    <row r="199" spans="1:18" ht="18.75" x14ac:dyDescent="0.3">
      <c r="A199" s="25"/>
      <c r="B199" s="25"/>
      <c r="C199" s="25"/>
      <c r="D199" s="55" t="s">
        <v>37</v>
      </c>
      <c r="E199" s="75">
        <v>0</v>
      </c>
      <c r="F199" s="75">
        <v>0</v>
      </c>
      <c r="G199" s="75">
        <v>0</v>
      </c>
      <c r="H199" s="75"/>
      <c r="I199" s="75">
        <v>0</v>
      </c>
      <c r="J199" s="75">
        <v>0</v>
      </c>
      <c r="K199" s="75">
        <f t="shared" si="6"/>
        <v>0</v>
      </c>
      <c r="L199" s="25"/>
      <c r="M199" s="25"/>
      <c r="N199" s="25"/>
      <c r="O199" s="25"/>
      <c r="P199" s="25"/>
      <c r="Q199" s="25"/>
      <c r="R199" s="25"/>
    </row>
    <row r="200" spans="1:18" ht="18.75" x14ac:dyDescent="0.3">
      <c r="A200" s="25"/>
      <c r="B200" s="25"/>
      <c r="C200" s="25"/>
      <c r="D200" s="55" t="s">
        <v>331</v>
      </c>
      <c r="E200" s="75" t="e">
        <f>VLOOKUP($D200,#REF!,3,0)</f>
        <v>#REF!</v>
      </c>
      <c r="F200" s="75" t="e">
        <f>VLOOKUP($D200,#REF!,4,0)</f>
        <v>#REF!</v>
      </c>
      <c r="G200" s="75" t="e">
        <f>VLOOKUP($D200,#REF!,5,0)</f>
        <v>#REF!</v>
      </c>
      <c r="H200" s="75"/>
      <c r="I200" s="75" t="e">
        <f>VLOOKUP($D200,#REF!,6,0)</f>
        <v>#REF!</v>
      </c>
      <c r="J200" s="75" t="e">
        <f>VLOOKUP($D200,#REF!,7,0)+VLOOKUP($D200,#REF!,2,0)</f>
        <v>#REF!</v>
      </c>
      <c r="K200" s="75" t="e">
        <f t="shared" si="6"/>
        <v>#REF!</v>
      </c>
      <c r="L200" s="25"/>
      <c r="M200" s="25"/>
      <c r="N200" s="25"/>
      <c r="O200" s="25"/>
      <c r="P200" s="25"/>
      <c r="Q200" s="25"/>
      <c r="R200" s="25"/>
    </row>
    <row r="201" spans="1:18" ht="18.75" x14ac:dyDescent="0.3">
      <c r="A201" s="25"/>
      <c r="B201" s="25"/>
      <c r="C201" s="25"/>
      <c r="D201" s="55" t="s">
        <v>382</v>
      </c>
      <c r="E201" s="75" t="e">
        <f>VLOOKUP($D201,#REF!,3,0)</f>
        <v>#REF!</v>
      </c>
      <c r="F201" s="75" t="e">
        <f>VLOOKUP($D201,#REF!,4,0)</f>
        <v>#REF!</v>
      </c>
      <c r="G201" s="75" t="e">
        <f>VLOOKUP($D201,#REF!,5,0)</f>
        <v>#REF!</v>
      </c>
      <c r="H201" s="75"/>
      <c r="I201" s="75" t="e">
        <f>VLOOKUP($D201,#REF!,6,0)</f>
        <v>#REF!</v>
      </c>
      <c r="J201" s="75" t="e">
        <f>VLOOKUP($D201,#REF!,7,0)+VLOOKUP($D201,#REF!,2,0)</f>
        <v>#REF!</v>
      </c>
      <c r="K201" s="75" t="e">
        <f t="shared" si="6"/>
        <v>#REF!</v>
      </c>
      <c r="L201" s="25"/>
      <c r="M201" s="25"/>
      <c r="N201" s="25"/>
      <c r="O201" s="25"/>
      <c r="P201" s="25"/>
      <c r="Q201" s="25"/>
      <c r="R201" s="25"/>
    </row>
    <row r="202" spans="1:18" ht="19.5" thickBot="1" x14ac:dyDescent="0.35">
      <c r="A202" s="25"/>
      <c r="B202" s="25"/>
      <c r="C202" s="25"/>
      <c r="D202" s="58" t="s">
        <v>370</v>
      </c>
      <c r="E202" s="75" t="e">
        <f>VLOOKUP($D202,#REF!,3,0)</f>
        <v>#REF!</v>
      </c>
      <c r="F202" s="75" t="e">
        <f>VLOOKUP($D202,#REF!,4,0)</f>
        <v>#REF!</v>
      </c>
      <c r="G202" s="75" t="e">
        <f>VLOOKUP($D202,#REF!,5,0)</f>
        <v>#REF!</v>
      </c>
      <c r="H202" s="75"/>
      <c r="I202" s="75" t="e">
        <f>VLOOKUP($D202,#REF!,6,0)</f>
        <v>#REF!</v>
      </c>
      <c r="J202" s="75" t="e">
        <f>VLOOKUP($D202,#REF!,7,0)+VLOOKUP($D202,#REF!,2,0)</f>
        <v>#REF!</v>
      </c>
      <c r="K202" s="75" t="e">
        <f t="shared" si="6"/>
        <v>#REF!</v>
      </c>
      <c r="L202" s="25"/>
      <c r="M202" s="25"/>
      <c r="N202" s="25"/>
      <c r="O202" s="25"/>
      <c r="P202" s="25"/>
      <c r="Q202" s="25"/>
      <c r="R202" s="25"/>
    </row>
    <row r="203" spans="1:18" ht="19.5" thickBot="1" x14ac:dyDescent="0.35">
      <c r="A203" s="25"/>
      <c r="B203" s="25"/>
      <c r="C203" s="25"/>
      <c r="D203" s="5" t="s">
        <v>582</v>
      </c>
      <c r="E203" s="80" t="e">
        <f>SUM(E187:E201)</f>
        <v>#REF!</v>
      </c>
      <c r="F203" s="80" t="e">
        <f>SUM(F187:F200)</f>
        <v>#REF!</v>
      </c>
      <c r="G203" s="80" t="e">
        <f>SUM(G187:G200)</f>
        <v>#REF!</v>
      </c>
      <c r="H203" s="80">
        <f>SUM(H187:H201)</f>
        <v>0</v>
      </c>
      <c r="I203" s="80" t="e">
        <f>SUM(I187:I200)</f>
        <v>#REF!</v>
      </c>
      <c r="J203" s="80" t="e">
        <f>SUM(J187:J202)</f>
        <v>#REF!</v>
      </c>
      <c r="K203" s="80" t="e">
        <f>SUM(K187:K202)</f>
        <v>#REF!</v>
      </c>
      <c r="L203" s="25"/>
      <c r="M203" s="25"/>
      <c r="N203" s="25"/>
      <c r="O203" s="25"/>
      <c r="P203" s="25"/>
      <c r="Q203" s="25"/>
      <c r="R203" s="25"/>
    </row>
    <row r="204" spans="1:18" ht="18.75" x14ac:dyDescent="0.3">
      <c r="A204" s="25"/>
      <c r="B204" s="25"/>
      <c r="C204" s="25"/>
      <c r="D204" s="8"/>
      <c r="E204" s="81"/>
      <c r="F204" s="81"/>
      <c r="G204" s="81"/>
      <c r="H204" s="81"/>
      <c r="I204" s="81"/>
      <c r="J204" s="81"/>
      <c r="K204" s="25"/>
      <c r="L204" s="25"/>
      <c r="M204" s="25"/>
      <c r="N204" s="25"/>
      <c r="O204" s="25"/>
      <c r="P204" s="25"/>
      <c r="Q204" s="25"/>
      <c r="R204" s="25"/>
    </row>
    <row r="205" spans="1:18" ht="18.75" x14ac:dyDescent="0.3">
      <c r="A205" s="25"/>
      <c r="B205" s="25"/>
      <c r="C205" s="25"/>
      <c r="D205" s="8"/>
      <c r="E205" s="81"/>
      <c r="F205" s="81"/>
      <c r="G205" s="81"/>
      <c r="H205" s="81"/>
      <c r="I205" s="81"/>
      <c r="J205" s="81"/>
      <c r="K205" s="25"/>
      <c r="L205" s="25"/>
      <c r="M205" s="25"/>
      <c r="N205" s="25"/>
      <c r="O205" s="25"/>
      <c r="P205" s="25"/>
      <c r="Q205" s="25"/>
      <c r="R205" s="25"/>
    </row>
    <row r="206" spans="1:18" ht="18.75" x14ac:dyDescent="0.3">
      <c r="A206" s="25"/>
      <c r="B206" s="25"/>
      <c r="C206" s="25"/>
      <c r="D206" s="8"/>
      <c r="E206" s="81"/>
      <c r="F206" s="81"/>
      <c r="G206" s="81"/>
      <c r="H206" s="81"/>
      <c r="I206" s="81"/>
      <c r="J206" s="81"/>
      <c r="K206" s="25"/>
      <c r="L206" s="25"/>
      <c r="M206" s="25"/>
      <c r="N206" s="25"/>
      <c r="O206" s="25"/>
      <c r="P206" s="25"/>
      <c r="Q206" s="25"/>
      <c r="R206" s="25"/>
    </row>
    <row r="207" spans="1:18" ht="18.75" x14ac:dyDescent="0.3">
      <c r="A207" s="25"/>
      <c r="B207" s="25"/>
      <c r="C207" s="25"/>
      <c r="D207" s="8"/>
      <c r="E207" s="81"/>
      <c r="F207" s="81"/>
      <c r="G207" s="81"/>
      <c r="H207" s="81"/>
      <c r="I207" s="81"/>
      <c r="J207" s="81"/>
      <c r="K207" s="25"/>
      <c r="L207" s="25"/>
      <c r="M207" s="25"/>
      <c r="N207" s="25"/>
      <c r="O207" s="25"/>
      <c r="P207" s="25"/>
      <c r="Q207" s="25"/>
      <c r="R207" s="25"/>
    </row>
    <row r="208" spans="1:18" ht="18.75" x14ac:dyDescent="0.3">
      <c r="A208" s="25"/>
      <c r="B208" s="25"/>
      <c r="C208" s="25"/>
      <c r="D208" s="8"/>
      <c r="E208" s="81"/>
      <c r="F208" s="81"/>
      <c r="G208" s="81"/>
      <c r="H208" s="81"/>
      <c r="I208" s="81"/>
      <c r="J208" s="81"/>
      <c r="K208" s="25"/>
      <c r="L208" s="25"/>
      <c r="M208" s="25"/>
      <c r="N208" s="25"/>
      <c r="O208" s="25"/>
      <c r="P208" s="25"/>
      <c r="Q208" s="25"/>
      <c r="R208" s="25"/>
    </row>
    <row r="209" spans="1:18" ht="18.75" x14ac:dyDescent="0.3">
      <c r="A209" s="25"/>
      <c r="B209" s="25"/>
      <c r="C209" s="25"/>
      <c r="D209" s="52" t="s">
        <v>942</v>
      </c>
      <c r="E209" s="25"/>
      <c r="F209" s="25"/>
      <c r="G209" s="73"/>
      <c r="H209" s="25"/>
      <c r="I209" s="52" t="s">
        <v>983</v>
      </c>
      <c r="J209" s="25"/>
      <c r="K209" s="25"/>
      <c r="L209" s="73"/>
      <c r="M209" s="25"/>
      <c r="N209" s="25"/>
      <c r="O209" s="25"/>
      <c r="P209" s="25"/>
      <c r="Q209" s="25"/>
      <c r="R209" s="25"/>
    </row>
    <row r="210" spans="1:18" ht="18.75" x14ac:dyDescent="0.3">
      <c r="A210" s="25"/>
      <c r="B210" s="25"/>
      <c r="C210" s="25"/>
      <c r="D210" s="52" t="s">
        <v>941</v>
      </c>
      <c r="E210" s="25"/>
      <c r="F210" s="25"/>
      <c r="G210" s="73"/>
      <c r="H210" s="25"/>
      <c r="I210" s="52" t="s">
        <v>941</v>
      </c>
      <c r="J210" s="25"/>
      <c r="K210" s="25"/>
      <c r="L210" s="73"/>
      <c r="M210" s="25"/>
      <c r="N210" s="25"/>
      <c r="O210" s="25"/>
      <c r="P210" s="25"/>
      <c r="Q210" s="25"/>
      <c r="R210" s="25"/>
    </row>
    <row r="211" spans="1:18" ht="19.5" thickBot="1" x14ac:dyDescent="0.35">
      <c r="A211" s="25"/>
      <c r="B211" s="25"/>
      <c r="C211" s="25"/>
      <c r="D211" s="25"/>
      <c r="E211" s="25"/>
      <c r="F211" s="25"/>
      <c r="G211" s="73"/>
      <c r="H211" s="25"/>
      <c r="I211" s="25"/>
      <c r="J211" s="25"/>
      <c r="K211" s="25"/>
      <c r="L211" s="73"/>
      <c r="M211" s="25"/>
      <c r="N211" s="25"/>
      <c r="O211" s="25"/>
      <c r="P211" s="25"/>
      <c r="Q211" s="25"/>
      <c r="R211" s="25"/>
    </row>
    <row r="212" spans="1:18" ht="19.5" thickBot="1" x14ac:dyDescent="0.35">
      <c r="A212" s="25"/>
      <c r="B212" s="25"/>
      <c r="C212" s="25"/>
      <c r="D212" s="11" t="s">
        <v>581</v>
      </c>
      <c r="E212" s="11" t="s">
        <v>935</v>
      </c>
      <c r="F212" s="38" t="s">
        <v>936</v>
      </c>
      <c r="G212" s="50" t="s">
        <v>937</v>
      </c>
      <c r="H212" s="25"/>
      <c r="I212" s="11" t="s">
        <v>581</v>
      </c>
      <c r="J212" s="11" t="s">
        <v>935</v>
      </c>
      <c r="K212" s="38" t="s">
        <v>936</v>
      </c>
      <c r="L212" s="50" t="s">
        <v>937</v>
      </c>
      <c r="M212" s="25"/>
      <c r="N212" s="25"/>
      <c r="O212" s="25"/>
      <c r="P212" s="25"/>
      <c r="Q212" s="25"/>
      <c r="R212" s="25"/>
    </row>
    <row r="213" spans="1:18" ht="18.75" x14ac:dyDescent="0.3">
      <c r="A213" s="25"/>
      <c r="B213" s="25"/>
      <c r="C213" s="25"/>
      <c r="D213" s="46" t="s">
        <v>872</v>
      </c>
      <c r="E213" s="46" t="e">
        <f>VLOOKUP($D213,#REF!,4,0)</f>
        <v>#REF!</v>
      </c>
      <c r="F213" s="46" t="e">
        <f>VLOOKUP($D213,#REF!,2,0)</f>
        <v>#REF!</v>
      </c>
      <c r="G213" s="83" t="e">
        <f>VLOOKUP($D213,#REF!,3,0)</f>
        <v>#REF!</v>
      </c>
      <c r="H213" s="25"/>
      <c r="I213" s="46" t="s">
        <v>872</v>
      </c>
      <c r="J213" s="46" t="e">
        <f>VLOOKUP($I213,#REF!,4,0)</f>
        <v>#REF!</v>
      </c>
      <c r="K213" s="46" t="e">
        <f>VLOOKUP($I213,#REF!,2,0)</f>
        <v>#REF!</v>
      </c>
      <c r="L213" s="83" t="e">
        <f>VLOOKUP($I213,#REF!,3,0)</f>
        <v>#REF!</v>
      </c>
      <c r="M213" s="25"/>
      <c r="N213" s="25"/>
      <c r="O213" s="25"/>
      <c r="P213" s="25"/>
      <c r="Q213" s="25"/>
      <c r="R213" s="25"/>
    </row>
    <row r="214" spans="1:18" ht="18.75" x14ac:dyDescent="0.3">
      <c r="A214" s="25"/>
      <c r="B214" s="25"/>
      <c r="C214" s="25"/>
      <c r="D214" s="55" t="s">
        <v>41</v>
      </c>
      <c r="E214" s="46" t="e">
        <f>VLOOKUP($D214,#REF!,4,0)</f>
        <v>#REF!</v>
      </c>
      <c r="F214" s="46" t="e">
        <f>VLOOKUP($D214,#REF!,2,0)</f>
        <v>#REF!</v>
      </c>
      <c r="G214" s="83" t="e">
        <f>VLOOKUP($D214,#REF!,3,0)</f>
        <v>#REF!</v>
      </c>
      <c r="H214" s="25"/>
      <c r="I214" s="55" t="s">
        <v>41</v>
      </c>
      <c r="J214" s="46" t="e">
        <f>VLOOKUP($I214,#REF!,4,0)</f>
        <v>#REF!</v>
      </c>
      <c r="K214" s="46" t="e">
        <f>VLOOKUP($I214,#REF!,2,0)</f>
        <v>#REF!</v>
      </c>
      <c r="L214" s="83" t="e">
        <f>VLOOKUP($I214,#REF!,3,0)</f>
        <v>#REF!</v>
      </c>
      <c r="M214" s="25"/>
      <c r="N214" s="25"/>
      <c r="O214" s="25"/>
      <c r="P214" s="25"/>
      <c r="Q214" s="25"/>
      <c r="R214" s="25"/>
    </row>
    <row r="215" spans="1:18" ht="18.75" x14ac:dyDescent="0.3">
      <c r="A215" s="25"/>
      <c r="B215" s="25"/>
      <c r="C215" s="25"/>
      <c r="D215" s="55" t="s">
        <v>874</v>
      </c>
      <c r="E215" s="46" t="e">
        <f>VLOOKUP($D215,#REF!,4,0)</f>
        <v>#REF!</v>
      </c>
      <c r="F215" s="46" t="e">
        <f>VLOOKUP($D215,#REF!,2,0)</f>
        <v>#REF!</v>
      </c>
      <c r="G215" s="83" t="e">
        <f>VLOOKUP($D215,#REF!,3,0)</f>
        <v>#REF!</v>
      </c>
      <c r="H215" s="25"/>
      <c r="I215" s="55" t="s">
        <v>874</v>
      </c>
      <c r="J215" s="46" t="e">
        <f>VLOOKUP($I215,#REF!,4,0)</f>
        <v>#REF!</v>
      </c>
      <c r="K215" s="46" t="e">
        <f>VLOOKUP($I215,#REF!,2,0)</f>
        <v>#REF!</v>
      </c>
      <c r="L215" s="83" t="e">
        <f>VLOOKUP($I215,#REF!,3,0)</f>
        <v>#REF!</v>
      </c>
      <c r="M215" s="25"/>
      <c r="N215" s="25"/>
      <c r="O215" s="25"/>
      <c r="P215" s="25"/>
      <c r="Q215" s="25"/>
      <c r="R215" s="25"/>
    </row>
    <row r="216" spans="1:18" ht="19.5" thickBot="1" x14ac:dyDescent="0.35">
      <c r="A216" s="25"/>
      <c r="B216" s="25"/>
      <c r="C216" s="25"/>
      <c r="D216" s="58" t="s">
        <v>873</v>
      </c>
      <c r="E216" s="46" t="e">
        <f>VLOOKUP($D216,#REF!,4,0)</f>
        <v>#REF!</v>
      </c>
      <c r="F216" s="84" t="e">
        <f>VLOOKUP($D216,#REF!,2,0)</f>
        <v>#REF!</v>
      </c>
      <c r="G216" s="83" t="e">
        <f>VLOOKUP($D216,#REF!,3,0)</f>
        <v>#REF!</v>
      </c>
      <c r="H216" s="25"/>
      <c r="I216" s="58" t="s">
        <v>873</v>
      </c>
      <c r="J216" s="46" t="e">
        <f>VLOOKUP($I216,#REF!,4,0)</f>
        <v>#REF!</v>
      </c>
      <c r="K216" s="46" t="e">
        <f>VLOOKUP($I216,#REF!,2,0)</f>
        <v>#REF!</v>
      </c>
      <c r="L216" s="83" t="e">
        <f>VLOOKUP($I216,#REF!,3,0)</f>
        <v>#REF!</v>
      </c>
      <c r="M216" s="25"/>
      <c r="N216" s="25"/>
      <c r="O216" s="25"/>
      <c r="P216" s="25"/>
      <c r="Q216" s="25"/>
      <c r="R216" s="25"/>
    </row>
    <row r="217" spans="1:18" ht="19.5" thickBot="1" x14ac:dyDescent="0.35">
      <c r="A217" s="25"/>
      <c r="B217" s="25"/>
      <c r="C217" s="25"/>
      <c r="D217" s="11" t="s">
        <v>938</v>
      </c>
      <c r="E217" s="11" t="e">
        <f>SUM(E213:E216)</f>
        <v>#REF!</v>
      </c>
      <c r="F217" s="11" t="e">
        <f>SUM(F213:F216)</f>
        <v>#REF!</v>
      </c>
      <c r="G217" s="16" t="e">
        <f>F217/E218</f>
        <v>#REF!</v>
      </c>
      <c r="H217" s="25"/>
      <c r="I217" s="11" t="s">
        <v>938</v>
      </c>
      <c r="J217" s="11" t="e">
        <f>SUM(J213:J216)</f>
        <v>#REF!</v>
      </c>
      <c r="K217" s="11" t="e">
        <f>SUM(K213:K216)</f>
        <v>#REF!</v>
      </c>
      <c r="L217" s="16" t="e">
        <f>K217/J218</f>
        <v>#REF!</v>
      </c>
      <c r="M217" s="25"/>
      <c r="N217" s="25"/>
      <c r="O217" s="25"/>
      <c r="P217" s="25"/>
      <c r="Q217" s="25"/>
      <c r="R217" s="25"/>
    </row>
    <row r="218" spans="1:18" ht="19.5" thickBot="1" x14ac:dyDescent="0.35">
      <c r="A218" s="25"/>
      <c r="B218" s="25"/>
      <c r="C218" s="25"/>
      <c r="D218" s="17" t="s">
        <v>916</v>
      </c>
      <c r="E218" s="165" t="e">
        <f>E217+F217</f>
        <v>#REF!</v>
      </c>
      <c r="F218" s="167"/>
      <c r="G218" s="81"/>
      <c r="H218" s="81"/>
      <c r="I218" s="17" t="s">
        <v>916</v>
      </c>
      <c r="J218" s="165" t="e">
        <f>J217+K217</f>
        <v>#REF!</v>
      </c>
      <c r="K218" s="167"/>
      <c r="L218" s="81"/>
      <c r="M218" s="25"/>
      <c r="N218" s="25"/>
      <c r="O218" s="25"/>
      <c r="P218" s="25"/>
      <c r="Q218" s="25"/>
      <c r="R218" s="25"/>
    </row>
    <row r="219" spans="1:18" ht="18.75" x14ac:dyDescent="0.3">
      <c r="A219" s="25"/>
      <c r="B219" s="25"/>
      <c r="C219" s="25"/>
      <c r="D219" s="8"/>
      <c r="E219" s="81"/>
      <c r="F219" s="81"/>
      <c r="G219" s="81"/>
      <c r="H219" s="81"/>
      <c r="I219" s="8"/>
      <c r="J219" s="81"/>
      <c r="K219" s="81"/>
      <c r="L219" s="81"/>
      <c r="M219" s="25"/>
      <c r="N219" s="25"/>
      <c r="O219" s="25"/>
      <c r="P219" s="25"/>
      <c r="Q219" s="25"/>
      <c r="R219" s="25"/>
    </row>
    <row r="220" spans="1:18" ht="18.75" x14ac:dyDescent="0.3">
      <c r="A220" s="25"/>
      <c r="B220" s="25"/>
      <c r="C220" s="25"/>
      <c r="D220" s="52" t="s">
        <v>940</v>
      </c>
      <c r="E220" s="25"/>
      <c r="F220" s="25"/>
      <c r="G220" s="73"/>
      <c r="H220" s="25"/>
      <c r="I220" s="52" t="s">
        <v>984</v>
      </c>
      <c r="J220" s="25"/>
      <c r="K220" s="25"/>
      <c r="L220" s="73"/>
      <c r="M220" s="25"/>
      <c r="N220" s="25"/>
      <c r="O220" s="25"/>
      <c r="P220" s="25"/>
      <c r="Q220" s="25"/>
      <c r="R220" s="25"/>
    </row>
    <row r="221" spans="1:18" ht="18.75" x14ac:dyDescent="0.3">
      <c r="A221" s="25"/>
      <c r="B221" s="25"/>
      <c r="C221" s="25"/>
      <c r="D221" s="52" t="s">
        <v>939</v>
      </c>
      <c r="E221" s="25"/>
      <c r="F221" s="25"/>
      <c r="G221" s="73"/>
      <c r="H221" s="25"/>
      <c r="I221" s="52" t="s">
        <v>939</v>
      </c>
      <c r="J221" s="25"/>
      <c r="K221" s="25"/>
      <c r="L221" s="73"/>
      <c r="M221" s="25"/>
      <c r="N221" s="25"/>
      <c r="O221" s="25"/>
      <c r="P221" s="25"/>
      <c r="Q221" s="25"/>
      <c r="R221" s="25"/>
    </row>
    <row r="222" spans="1:18" ht="19.5" thickBot="1" x14ac:dyDescent="0.35">
      <c r="A222" s="25"/>
      <c r="B222" s="25"/>
      <c r="C222" s="25"/>
      <c r="D222" s="25"/>
      <c r="E222" s="25"/>
      <c r="F222" s="25"/>
      <c r="G222" s="73"/>
      <c r="H222" s="25"/>
      <c r="I222" s="25"/>
      <c r="J222" s="25"/>
      <c r="K222" s="25"/>
      <c r="L222" s="73"/>
      <c r="M222" s="25"/>
      <c r="N222" s="25"/>
      <c r="O222" s="25"/>
      <c r="P222" s="25"/>
      <c r="Q222" s="25"/>
      <c r="R222" s="25"/>
    </row>
    <row r="223" spans="1:18" ht="19.5" thickBot="1" x14ac:dyDescent="0.35">
      <c r="A223" s="25"/>
      <c r="B223" s="25"/>
      <c r="C223" s="25"/>
      <c r="D223" s="11" t="s">
        <v>581</v>
      </c>
      <c r="E223" s="11" t="s">
        <v>932</v>
      </c>
      <c r="F223" s="38" t="s">
        <v>933</v>
      </c>
      <c r="G223" s="50" t="s">
        <v>934</v>
      </c>
      <c r="H223" s="25"/>
      <c r="I223" s="11" t="s">
        <v>581</v>
      </c>
      <c r="J223" s="11" t="s">
        <v>932</v>
      </c>
      <c r="K223" s="38" t="s">
        <v>933</v>
      </c>
      <c r="L223" s="50" t="s">
        <v>934</v>
      </c>
      <c r="M223" s="25"/>
      <c r="N223" s="25"/>
      <c r="O223" s="25"/>
      <c r="P223" s="25"/>
      <c r="Q223" s="25"/>
      <c r="R223" s="25"/>
    </row>
    <row r="224" spans="1:18" ht="18.75" x14ac:dyDescent="0.3">
      <c r="A224" s="25"/>
      <c r="B224" s="25"/>
      <c r="C224" s="25"/>
      <c r="D224" s="46" t="s">
        <v>872</v>
      </c>
      <c r="E224" s="46" t="e">
        <f>VLOOKUP($D224,#REF!,4,0)</f>
        <v>#REF!</v>
      </c>
      <c r="F224" s="46" t="e">
        <f>VLOOKUP($D224,#REF!,2,0)</f>
        <v>#REF!</v>
      </c>
      <c r="G224" s="83" t="e">
        <f>VLOOKUP($D224,#REF!,3,0)</f>
        <v>#REF!</v>
      </c>
      <c r="H224" s="25"/>
      <c r="I224" s="46" t="s">
        <v>872</v>
      </c>
      <c r="J224" s="46" t="e">
        <f>VLOOKUP($I224,#REF!,4,0)</f>
        <v>#REF!</v>
      </c>
      <c r="K224" s="46" t="e">
        <f>VLOOKUP($I224,#REF!,2,0)</f>
        <v>#REF!</v>
      </c>
      <c r="L224" s="83" t="e">
        <f>VLOOKUP($I224,#REF!,3,0)</f>
        <v>#REF!</v>
      </c>
      <c r="M224" s="25"/>
      <c r="N224" s="25"/>
      <c r="O224" s="25"/>
      <c r="P224" s="25"/>
      <c r="Q224" s="25"/>
      <c r="R224" s="25"/>
    </row>
    <row r="225" spans="1:18" ht="18.75" x14ac:dyDescent="0.3">
      <c r="A225" s="25"/>
      <c r="B225" s="25"/>
      <c r="C225" s="25"/>
      <c r="D225" s="55" t="s">
        <v>41</v>
      </c>
      <c r="E225" s="46" t="e">
        <f>VLOOKUP($D225,#REF!,4,0)</f>
        <v>#REF!</v>
      </c>
      <c r="F225" s="46" t="e">
        <f>VLOOKUP($D225,#REF!,2,0)</f>
        <v>#REF!</v>
      </c>
      <c r="G225" s="83" t="e">
        <f>VLOOKUP($D225,#REF!,3,0)</f>
        <v>#REF!</v>
      </c>
      <c r="H225" s="25"/>
      <c r="I225" s="55" t="s">
        <v>41</v>
      </c>
      <c r="J225" s="46" t="e">
        <f>VLOOKUP($I225,#REF!,4,0)</f>
        <v>#REF!</v>
      </c>
      <c r="K225" s="46" t="e">
        <f>VLOOKUP($I225,#REF!,2,0)</f>
        <v>#REF!</v>
      </c>
      <c r="L225" s="83" t="e">
        <f>VLOOKUP($I225,#REF!,3,0)</f>
        <v>#REF!</v>
      </c>
      <c r="M225" s="25"/>
      <c r="N225" s="25"/>
      <c r="O225" s="25"/>
      <c r="P225" s="25"/>
      <c r="Q225" s="25"/>
      <c r="R225" s="25"/>
    </row>
    <row r="226" spans="1:18" ht="18.75" x14ac:dyDescent="0.3">
      <c r="A226" s="25"/>
      <c r="B226" s="25"/>
      <c r="C226" s="25"/>
      <c r="D226" s="55" t="s">
        <v>874</v>
      </c>
      <c r="E226" s="46" t="e">
        <f>VLOOKUP($D226,#REF!,4,0)</f>
        <v>#REF!</v>
      </c>
      <c r="F226" s="46" t="e">
        <f>VLOOKUP($D226,#REF!,2,0)</f>
        <v>#REF!</v>
      </c>
      <c r="G226" s="83" t="e">
        <f>VLOOKUP($D226,#REF!,3,0)</f>
        <v>#REF!</v>
      </c>
      <c r="H226" s="25"/>
      <c r="I226" s="55" t="s">
        <v>874</v>
      </c>
      <c r="J226" s="46" t="e">
        <f>VLOOKUP($I226,#REF!,4,0)</f>
        <v>#REF!</v>
      </c>
      <c r="K226" s="46" t="e">
        <f>VLOOKUP($I226,#REF!,2,0)</f>
        <v>#REF!</v>
      </c>
      <c r="L226" s="83" t="e">
        <f>VLOOKUP($I226,#REF!,3,0)</f>
        <v>#REF!</v>
      </c>
      <c r="M226" s="25"/>
      <c r="N226" s="25"/>
      <c r="O226" s="25"/>
      <c r="P226" s="25"/>
      <c r="Q226" s="25"/>
      <c r="R226" s="25"/>
    </row>
    <row r="227" spans="1:18" ht="19.5" thickBot="1" x14ac:dyDescent="0.35">
      <c r="A227" s="25"/>
      <c r="B227" s="25"/>
      <c r="C227" s="25"/>
      <c r="D227" s="58" t="s">
        <v>873</v>
      </c>
      <c r="E227" s="46" t="e">
        <f>VLOOKUP($D227,#REF!,4,0)</f>
        <v>#REF!</v>
      </c>
      <c r="F227" s="46" t="e">
        <f>VLOOKUP($D227,#REF!,2,0)</f>
        <v>#REF!</v>
      </c>
      <c r="G227" s="83" t="e">
        <f>VLOOKUP($D227,#REF!,3,0)</f>
        <v>#REF!</v>
      </c>
      <c r="H227" s="25"/>
      <c r="I227" s="58" t="s">
        <v>873</v>
      </c>
      <c r="J227" s="46" t="e">
        <f>VLOOKUP($I227,#REF!,4,0)</f>
        <v>#REF!</v>
      </c>
      <c r="K227" s="46" t="e">
        <f>VLOOKUP($I227,#REF!,2,0)</f>
        <v>#REF!</v>
      </c>
      <c r="L227" s="83" t="e">
        <f>VLOOKUP($I227,#REF!,3,0)</f>
        <v>#REF!</v>
      </c>
      <c r="M227" s="25"/>
      <c r="N227" s="25"/>
      <c r="O227" s="25"/>
      <c r="P227" s="25"/>
      <c r="Q227" s="25"/>
      <c r="R227" s="25"/>
    </row>
    <row r="228" spans="1:18" ht="19.5" thickBot="1" x14ac:dyDescent="0.35">
      <c r="A228" s="25"/>
      <c r="B228" s="25"/>
      <c r="C228" s="25"/>
      <c r="D228" s="11" t="s">
        <v>916</v>
      </c>
      <c r="E228" s="11" t="e">
        <f>SUM(E224:E227)</f>
        <v>#REF!</v>
      </c>
      <c r="F228" s="11" t="e">
        <f>SUM(F224:F227)</f>
        <v>#REF!</v>
      </c>
      <c r="G228" s="16" t="e">
        <f>F228/E229</f>
        <v>#REF!</v>
      </c>
      <c r="H228" s="25"/>
      <c r="I228" s="11" t="s">
        <v>916</v>
      </c>
      <c r="J228" s="11" t="e">
        <f>SUM(J224:J227)</f>
        <v>#REF!</v>
      </c>
      <c r="K228" s="11" t="e">
        <f>SUM(K224:K227)</f>
        <v>#REF!</v>
      </c>
      <c r="L228" s="16" t="e">
        <f>K228/J229</f>
        <v>#REF!</v>
      </c>
      <c r="M228" s="25"/>
      <c r="N228" s="25"/>
      <c r="O228" s="25"/>
      <c r="P228" s="25"/>
      <c r="Q228" s="25"/>
      <c r="R228" s="25"/>
    </row>
    <row r="229" spans="1:18" ht="19.5" thickBot="1" x14ac:dyDescent="0.35">
      <c r="A229" s="25"/>
      <c r="B229" s="25"/>
      <c r="C229" s="25"/>
      <c r="D229" s="17" t="s">
        <v>916</v>
      </c>
      <c r="E229" s="165" t="e">
        <f>E228+F228</f>
        <v>#REF!</v>
      </c>
      <c r="F229" s="167"/>
      <c r="G229" s="25"/>
      <c r="H229" s="25"/>
      <c r="I229" s="17" t="s">
        <v>916</v>
      </c>
      <c r="J229" s="165" t="e">
        <f>J228+K228</f>
        <v>#REF!</v>
      </c>
      <c r="K229" s="167"/>
      <c r="L229" s="25"/>
      <c r="M229" s="25"/>
      <c r="N229" s="25"/>
      <c r="O229" s="25"/>
      <c r="P229" s="25"/>
      <c r="Q229" s="25"/>
      <c r="R229" s="25"/>
    </row>
    <row r="230" spans="1:18" ht="18.75" x14ac:dyDescent="0.3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</row>
    <row r="231" spans="1:18" ht="18.75" x14ac:dyDescent="0.3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</row>
    <row r="232" spans="1:18" ht="18.75" x14ac:dyDescent="0.3">
      <c r="A232" s="25"/>
      <c r="B232" s="25"/>
      <c r="C232" s="25"/>
      <c r="D232" s="52" t="s">
        <v>978</v>
      </c>
      <c r="E232" s="25"/>
      <c r="F232" s="25"/>
      <c r="G232" s="73"/>
      <c r="H232" s="25"/>
      <c r="I232" s="52" t="s">
        <v>985</v>
      </c>
      <c r="J232" s="25"/>
      <c r="K232" s="25"/>
      <c r="L232" s="73"/>
      <c r="M232" s="25"/>
      <c r="N232" s="25"/>
      <c r="O232" s="25"/>
      <c r="P232" s="25"/>
      <c r="Q232" s="25"/>
      <c r="R232" s="25"/>
    </row>
    <row r="233" spans="1:18" ht="18.75" x14ac:dyDescent="0.3">
      <c r="A233" s="25"/>
      <c r="B233" s="25"/>
      <c r="C233" s="25"/>
      <c r="D233" s="52" t="s">
        <v>977</v>
      </c>
      <c r="E233" s="25"/>
      <c r="F233" s="25"/>
      <c r="G233" s="73"/>
      <c r="H233" s="25"/>
      <c r="I233" s="52" t="s">
        <v>977</v>
      </c>
      <c r="J233" s="25"/>
      <c r="K233" s="25"/>
      <c r="L233" s="73"/>
      <c r="M233" s="25"/>
      <c r="N233" s="25"/>
      <c r="O233" s="25"/>
      <c r="P233" s="25"/>
      <c r="Q233" s="25"/>
      <c r="R233" s="25"/>
    </row>
    <row r="234" spans="1:18" ht="19.5" thickBot="1" x14ac:dyDescent="0.35">
      <c r="A234" s="25"/>
      <c r="B234" s="25"/>
      <c r="C234" s="25"/>
      <c r="D234" s="25"/>
      <c r="E234" s="25"/>
      <c r="F234" s="25"/>
      <c r="G234" s="73"/>
      <c r="H234" s="25"/>
      <c r="I234" s="25"/>
      <c r="J234" s="25"/>
      <c r="K234" s="25"/>
      <c r="L234" s="73"/>
      <c r="M234" s="25"/>
      <c r="N234" s="25"/>
      <c r="O234" s="25"/>
      <c r="P234" s="25"/>
      <c r="Q234" s="25"/>
      <c r="R234" s="25"/>
    </row>
    <row r="235" spans="1:18" ht="19.5" thickBot="1" x14ac:dyDescent="0.35">
      <c r="A235" s="25"/>
      <c r="B235" s="25"/>
      <c r="C235" s="25"/>
      <c r="D235" s="11" t="s">
        <v>581</v>
      </c>
      <c r="E235" s="11" t="s">
        <v>932</v>
      </c>
      <c r="F235" s="38" t="s">
        <v>933</v>
      </c>
      <c r="G235" s="50" t="s">
        <v>934</v>
      </c>
      <c r="H235" s="25"/>
      <c r="I235" s="11" t="s">
        <v>581</v>
      </c>
      <c r="J235" s="11" t="s">
        <v>932</v>
      </c>
      <c r="K235" s="38" t="s">
        <v>933</v>
      </c>
      <c r="L235" s="50" t="s">
        <v>934</v>
      </c>
      <c r="M235" s="25"/>
      <c r="N235" s="25"/>
      <c r="O235" s="25"/>
      <c r="P235" s="25"/>
      <c r="Q235" s="25"/>
      <c r="R235" s="25"/>
    </row>
    <row r="236" spans="1:18" ht="18.75" x14ac:dyDescent="0.3">
      <c r="A236" s="25"/>
      <c r="B236" s="25"/>
      <c r="C236" s="25"/>
      <c r="D236" s="46" t="s">
        <v>872</v>
      </c>
      <c r="E236" s="46" t="e">
        <f>VLOOKUP($D236,#REF!,4,0)</f>
        <v>#REF!</v>
      </c>
      <c r="F236" s="46" t="e">
        <f>VLOOKUP($D236,#REF!,2,0)</f>
        <v>#REF!</v>
      </c>
      <c r="G236" s="83" t="e">
        <f>VLOOKUP($D236,#REF!,3,0)</f>
        <v>#REF!</v>
      </c>
      <c r="H236" s="25"/>
      <c r="I236" s="46" t="s">
        <v>872</v>
      </c>
      <c r="J236" s="46" t="e">
        <f>VLOOKUP($I236,#REF!,4,0)</f>
        <v>#REF!</v>
      </c>
      <c r="K236" s="46" t="e">
        <f>VLOOKUP($I236,#REF!,2,0)</f>
        <v>#REF!</v>
      </c>
      <c r="L236" s="83" t="e">
        <f>VLOOKUP($I236,#REF!,3,0)</f>
        <v>#REF!</v>
      </c>
      <c r="M236" s="25"/>
      <c r="N236" s="25"/>
      <c r="O236" s="25"/>
      <c r="P236" s="25"/>
      <c r="Q236" s="25"/>
      <c r="R236" s="25"/>
    </row>
    <row r="237" spans="1:18" ht="18.75" x14ac:dyDescent="0.3">
      <c r="A237" s="25"/>
      <c r="B237" s="25"/>
      <c r="C237" s="25"/>
      <c r="D237" s="55" t="s">
        <v>41</v>
      </c>
      <c r="E237" s="46" t="e">
        <f>VLOOKUP($D237,#REF!,4,0)</f>
        <v>#REF!</v>
      </c>
      <c r="F237" s="46" t="e">
        <f>VLOOKUP($D237,#REF!,2,0)</f>
        <v>#REF!</v>
      </c>
      <c r="G237" s="83" t="e">
        <f>VLOOKUP($D237,#REF!,3,0)</f>
        <v>#REF!</v>
      </c>
      <c r="H237" s="25"/>
      <c r="I237" s="55" t="s">
        <v>41</v>
      </c>
      <c r="J237" s="46" t="e">
        <f>VLOOKUP($I237,#REF!,4,0)</f>
        <v>#REF!</v>
      </c>
      <c r="K237" s="46" t="e">
        <f>VLOOKUP($I237,#REF!,2,0)</f>
        <v>#REF!</v>
      </c>
      <c r="L237" s="83" t="e">
        <f>VLOOKUP($I237,#REF!,3,0)</f>
        <v>#REF!</v>
      </c>
      <c r="M237" s="25"/>
      <c r="N237" s="25"/>
      <c r="O237" s="25"/>
      <c r="P237" s="25"/>
      <c r="Q237" s="25"/>
      <c r="R237" s="25"/>
    </row>
    <row r="238" spans="1:18" ht="18.75" x14ac:dyDescent="0.3">
      <c r="A238" s="25"/>
      <c r="B238" s="25"/>
      <c r="C238" s="25"/>
      <c r="D238" s="55" t="s">
        <v>874</v>
      </c>
      <c r="E238" s="46" t="e">
        <f>VLOOKUP($D238,#REF!,4,0)</f>
        <v>#REF!</v>
      </c>
      <c r="F238" s="46" t="e">
        <f>VLOOKUP($D238,#REF!,2,0)</f>
        <v>#REF!</v>
      </c>
      <c r="G238" s="83" t="e">
        <f>VLOOKUP($D238,#REF!,3,0)</f>
        <v>#REF!</v>
      </c>
      <c r="H238" s="25"/>
      <c r="I238" s="55" t="s">
        <v>874</v>
      </c>
      <c r="J238" s="46" t="e">
        <f>VLOOKUP($I238,#REF!,4,0)</f>
        <v>#REF!</v>
      </c>
      <c r="K238" s="46" t="e">
        <f>VLOOKUP($I238,#REF!,2,0)</f>
        <v>#REF!</v>
      </c>
      <c r="L238" s="83" t="e">
        <f>VLOOKUP($I238,#REF!,3,0)</f>
        <v>#REF!</v>
      </c>
      <c r="M238" s="25"/>
      <c r="N238" s="25"/>
      <c r="O238" s="25"/>
      <c r="P238" s="25"/>
      <c r="Q238" s="25"/>
      <c r="R238" s="25"/>
    </row>
    <row r="239" spans="1:18" ht="19.5" thickBot="1" x14ac:dyDescent="0.35">
      <c r="A239" s="25"/>
      <c r="B239" s="25"/>
      <c r="C239" s="25"/>
      <c r="D239" s="58" t="s">
        <v>873</v>
      </c>
      <c r="E239" s="46" t="e">
        <f>VLOOKUP($D239,#REF!,4,0)</f>
        <v>#REF!</v>
      </c>
      <c r="F239" s="46" t="e">
        <f>VLOOKUP($D239,#REF!,2,0)</f>
        <v>#REF!</v>
      </c>
      <c r="G239" s="83" t="e">
        <f>VLOOKUP($D239,#REF!,3,0)</f>
        <v>#REF!</v>
      </c>
      <c r="H239" s="25"/>
      <c r="I239" s="58" t="s">
        <v>873</v>
      </c>
      <c r="J239" s="46" t="e">
        <f>VLOOKUP($I239,#REF!,4,0)</f>
        <v>#REF!</v>
      </c>
      <c r="K239" s="46" t="e">
        <f>VLOOKUP($I239,#REF!,2,0)</f>
        <v>#REF!</v>
      </c>
      <c r="L239" s="83" t="e">
        <f>VLOOKUP($I239,#REF!,3,0)</f>
        <v>#REF!</v>
      </c>
      <c r="M239" s="25"/>
      <c r="N239" s="25"/>
      <c r="O239" s="25"/>
      <c r="P239" s="25"/>
      <c r="Q239" s="25"/>
      <c r="R239" s="25"/>
    </row>
    <row r="240" spans="1:18" ht="19.5" thickBot="1" x14ac:dyDescent="0.35">
      <c r="A240" s="25"/>
      <c r="B240" s="25"/>
      <c r="C240" s="25"/>
      <c r="D240" s="11" t="s">
        <v>916</v>
      </c>
      <c r="E240" s="11" t="e">
        <f>SUM(E236:E239)</f>
        <v>#REF!</v>
      </c>
      <c r="F240" s="11" t="e">
        <f>SUM(F236:F239)</f>
        <v>#REF!</v>
      </c>
      <c r="G240" s="16" t="e">
        <f>F240/E241</f>
        <v>#REF!</v>
      </c>
      <c r="H240" s="25"/>
      <c r="I240" s="11" t="s">
        <v>916</v>
      </c>
      <c r="J240" s="11" t="e">
        <f>SUM(J236:J239)</f>
        <v>#REF!</v>
      </c>
      <c r="K240" s="11" t="e">
        <f>SUM(K236:K239)</f>
        <v>#REF!</v>
      </c>
      <c r="L240" s="16" t="e">
        <f>K240/J241</f>
        <v>#REF!</v>
      </c>
      <c r="M240" s="25"/>
      <c r="N240" s="25"/>
      <c r="O240" s="25"/>
      <c r="P240" s="25"/>
      <c r="Q240" s="25"/>
      <c r="R240" s="25"/>
    </row>
    <row r="241" spans="1:18" ht="19.5" thickBot="1" x14ac:dyDescent="0.35">
      <c r="A241" s="25"/>
      <c r="B241" s="25"/>
      <c r="C241" s="25"/>
      <c r="D241" s="17" t="s">
        <v>916</v>
      </c>
      <c r="E241" s="165" t="e">
        <f>E240+F240</f>
        <v>#REF!</v>
      </c>
      <c r="F241" s="167"/>
      <c r="G241" s="25"/>
      <c r="H241" s="25"/>
      <c r="I241" s="17" t="s">
        <v>916</v>
      </c>
      <c r="J241" s="165" t="e">
        <f>J240+K240</f>
        <v>#REF!</v>
      </c>
      <c r="K241" s="167"/>
      <c r="L241" s="25"/>
      <c r="M241" s="25"/>
      <c r="N241" s="25"/>
      <c r="O241" s="25"/>
      <c r="P241" s="25"/>
      <c r="Q241" s="25"/>
      <c r="R241" s="25"/>
    </row>
    <row r="242" spans="1:18" ht="18.75" x14ac:dyDescent="0.3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</row>
    <row r="243" spans="1:18" ht="18.75" x14ac:dyDescent="0.3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</row>
    <row r="244" spans="1:18" ht="18.75" x14ac:dyDescent="0.3">
      <c r="A244" s="25"/>
      <c r="B244" s="25"/>
      <c r="C244" s="25"/>
      <c r="D244" s="52" t="s">
        <v>980</v>
      </c>
      <c r="E244" s="25"/>
      <c r="F244" s="25"/>
      <c r="G244" s="73"/>
      <c r="H244" s="25"/>
      <c r="I244" s="52" t="s">
        <v>986</v>
      </c>
      <c r="J244" s="25"/>
      <c r="K244" s="25"/>
      <c r="L244" s="73"/>
      <c r="M244" s="25"/>
      <c r="N244" s="25"/>
      <c r="O244" s="25"/>
      <c r="P244" s="25"/>
      <c r="Q244" s="25"/>
      <c r="R244" s="25"/>
    </row>
    <row r="245" spans="1:18" ht="18.75" x14ac:dyDescent="0.3">
      <c r="A245" s="25"/>
      <c r="B245" s="25"/>
      <c r="C245" s="25"/>
      <c r="D245" s="52" t="s">
        <v>979</v>
      </c>
      <c r="E245" s="25"/>
      <c r="F245" s="25"/>
      <c r="G245" s="73"/>
      <c r="H245" s="25"/>
      <c r="I245" s="52" t="s">
        <v>979</v>
      </c>
      <c r="J245" s="25"/>
      <c r="K245" s="25"/>
      <c r="L245" s="73"/>
      <c r="M245" s="25"/>
      <c r="N245" s="25"/>
      <c r="O245" s="25"/>
      <c r="P245" s="25"/>
      <c r="Q245" s="25"/>
      <c r="R245" s="25"/>
    </row>
    <row r="246" spans="1:18" ht="19.5" thickBot="1" x14ac:dyDescent="0.35">
      <c r="A246" s="25"/>
      <c r="B246" s="25"/>
      <c r="C246" s="25"/>
      <c r="D246" s="25"/>
      <c r="E246" s="25"/>
      <c r="F246" s="25"/>
      <c r="G246" s="73"/>
      <c r="H246" s="25"/>
      <c r="I246" s="25"/>
      <c r="J246" s="25"/>
      <c r="K246" s="25"/>
      <c r="L246" s="73"/>
      <c r="M246" s="25"/>
      <c r="N246" s="25"/>
      <c r="O246" s="25"/>
      <c r="P246" s="25"/>
      <c r="Q246" s="25"/>
      <c r="R246" s="25"/>
    </row>
    <row r="247" spans="1:18" ht="19.5" thickBot="1" x14ac:dyDescent="0.35">
      <c r="A247" s="25"/>
      <c r="B247" s="25"/>
      <c r="C247" s="25"/>
      <c r="D247" s="11" t="s">
        <v>581</v>
      </c>
      <c r="E247" s="11" t="s">
        <v>932</v>
      </c>
      <c r="F247" s="38" t="s">
        <v>933</v>
      </c>
      <c r="G247" s="50" t="s">
        <v>934</v>
      </c>
      <c r="H247" s="25"/>
      <c r="I247" s="11" t="s">
        <v>581</v>
      </c>
      <c r="J247" s="11" t="s">
        <v>932</v>
      </c>
      <c r="K247" s="38" t="s">
        <v>933</v>
      </c>
      <c r="L247" s="50" t="s">
        <v>934</v>
      </c>
      <c r="M247" s="25"/>
      <c r="N247" s="25"/>
      <c r="O247" s="25"/>
      <c r="P247" s="25"/>
      <c r="Q247" s="25"/>
      <c r="R247" s="25"/>
    </row>
    <row r="248" spans="1:18" ht="18.75" x14ac:dyDescent="0.3">
      <c r="A248" s="25"/>
      <c r="B248" s="25"/>
      <c r="C248" s="25"/>
      <c r="D248" s="46" t="s">
        <v>872</v>
      </c>
      <c r="E248" s="46" t="e">
        <f>VLOOKUP($D248,#REF!,4,0)</f>
        <v>#REF!</v>
      </c>
      <c r="F248" s="46" t="e">
        <f>VLOOKUP($D248,#REF!,2,0)</f>
        <v>#REF!</v>
      </c>
      <c r="G248" s="83" t="e">
        <f>VLOOKUP($D248,#REF!,3,0)</f>
        <v>#REF!</v>
      </c>
      <c r="H248" s="25"/>
      <c r="I248" s="46" t="s">
        <v>872</v>
      </c>
      <c r="J248" s="46" t="e">
        <f>VLOOKUP($I248,#REF!,4,0)</f>
        <v>#REF!</v>
      </c>
      <c r="K248" s="46" t="e">
        <f>VLOOKUP($I248,#REF!,2,0)</f>
        <v>#REF!</v>
      </c>
      <c r="L248" s="83" t="e">
        <f>VLOOKUP($I248,#REF!,3,0)</f>
        <v>#REF!</v>
      </c>
      <c r="M248" s="25"/>
      <c r="N248" s="25"/>
      <c r="O248" s="25"/>
      <c r="P248" s="25"/>
      <c r="Q248" s="25"/>
      <c r="R248" s="25"/>
    </row>
    <row r="249" spans="1:18" ht="18.75" x14ac:dyDescent="0.3">
      <c r="A249" s="25"/>
      <c r="B249" s="25"/>
      <c r="C249" s="25"/>
      <c r="D249" s="55" t="s">
        <v>41</v>
      </c>
      <c r="E249" s="46" t="e">
        <f>VLOOKUP($D249,#REF!,4,0)</f>
        <v>#REF!</v>
      </c>
      <c r="F249" s="46" t="e">
        <f>VLOOKUP($D249,#REF!,2,0)</f>
        <v>#REF!</v>
      </c>
      <c r="G249" s="83" t="e">
        <f>VLOOKUP($D249,#REF!,3,0)</f>
        <v>#REF!</v>
      </c>
      <c r="H249" s="25"/>
      <c r="I249" s="55" t="s">
        <v>41</v>
      </c>
      <c r="J249" s="46" t="e">
        <f>VLOOKUP($I249,#REF!,4,0)</f>
        <v>#REF!</v>
      </c>
      <c r="K249" s="46" t="e">
        <f>VLOOKUP($I249,#REF!,2,0)</f>
        <v>#REF!</v>
      </c>
      <c r="L249" s="83" t="e">
        <f>VLOOKUP($I249,#REF!,3,0)</f>
        <v>#REF!</v>
      </c>
      <c r="M249" s="25"/>
      <c r="N249" s="25"/>
      <c r="O249" s="25"/>
      <c r="P249" s="25"/>
      <c r="Q249" s="25"/>
      <c r="R249" s="25"/>
    </row>
    <row r="250" spans="1:18" ht="18.75" x14ac:dyDescent="0.3">
      <c r="A250" s="25"/>
      <c r="B250" s="25"/>
      <c r="C250" s="25"/>
      <c r="D250" s="55" t="s">
        <v>874</v>
      </c>
      <c r="E250" s="46" t="e">
        <f>VLOOKUP($D250,#REF!,4,0)</f>
        <v>#REF!</v>
      </c>
      <c r="F250" s="46" t="e">
        <f>VLOOKUP($D250,#REF!,2,0)</f>
        <v>#REF!</v>
      </c>
      <c r="G250" s="83" t="e">
        <f>VLOOKUP($D250,#REF!,3,0)</f>
        <v>#REF!</v>
      </c>
      <c r="H250" s="25"/>
      <c r="I250" s="55" t="s">
        <v>874</v>
      </c>
      <c r="J250" s="46" t="e">
        <f>VLOOKUP($I250,#REF!,4,0)</f>
        <v>#REF!</v>
      </c>
      <c r="K250" s="46" t="e">
        <f>VLOOKUP($I250,#REF!,2,0)</f>
        <v>#REF!</v>
      </c>
      <c r="L250" s="83" t="e">
        <f>VLOOKUP($I250,#REF!,3,0)</f>
        <v>#REF!</v>
      </c>
      <c r="M250" s="25"/>
      <c r="N250" s="25"/>
      <c r="O250" s="25"/>
      <c r="P250" s="25"/>
      <c r="Q250" s="25"/>
      <c r="R250" s="25"/>
    </row>
    <row r="251" spans="1:18" ht="19.5" thickBot="1" x14ac:dyDescent="0.35">
      <c r="A251" s="25"/>
      <c r="B251" s="25"/>
      <c r="C251" s="25"/>
      <c r="D251" s="58" t="s">
        <v>873</v>
      </c>
      <c r="E251" s="46" t="e">
        <f>VLOOKUP($D251,#REF!,4,0)</f>
        <v>#REF!</v>
      </c>
      <c r="F251" s="46" t="e">
        <f>VLOOKUP($D251,#REF!,2,0)</f>
        <v>#REF!</v>
      </c>
      <c r="G251" s="83" t="e">
        <f>VLOOKUP($D251,#REF!,3,0)</f>
        <v>#REF!</v>
      </c>
      <c r="H251" s="25"/>
      <c r="I251" s="58" t="s">
        <v>873</v>
      </c>
      <c r="J251" s="46" t="e">
        <f>VLOOKUP($I251,#REF!,4,0)</f>
        <v>#REF!</v>
      </c>
      <c r="K251" s="46" t="e">
        <f>VLOOKUP($I251,#REF!,2,0)</f>
        <v>#REF!</v>
      </c>
      <c r="L251" s="83" t="e">
        <f>VLOOKUP($I251,#REF!,3,0)</f>
        <v>#REF!</v>
      </c>
      <c r="M251" s="25"/>
      <c r="N251" s="25"/>
      <c r="O251" s="25"/>
      <c r="P251" s="25"/>
      <c r="Q251" s="25"/>
      <c r="R251" s="25"/>
    </row>
    <row r="252" spans="1:18" ht="19.5" thickBot="1" x14ac:dyDescent="0.35">
      <c r="A252" s="25"/>
      <c r="B252" s="25"/>
      <c r="C252" s="25"/>
      <c r="D252" s="11" t="s">
        <v>916</v>
      </c>
      <c r="E252" s="11" t="e">
        <f>SUM(E248:E251)</f>
        <v>#REF!</v>
      </c>
      <c r="F252" s="11" t="e">
        <f>SUM(F248:F251)</f>
        <v>#REF!</v>
      </c>
      <c r="G252" s="16" t="e">
        <f>F252/E253</f>
        <v>#REF!</v>
      </c>
      <c r="H252" s="25"/>
      <c r="I252" s="11" t="s">
        <v>916</v>
      </c>
      <c r="J252" s="11" t="e">
        <f>SUM(J248:J251)</f>
        <v>#REF!</v>
      </c>
      <c r="K252" s="11" t="e">
        <f>SUM(K248:K251)</f>
        <v>#REF!</v>
      </c>
      <c r="L252" s="16" t="e">
        <f>K252/J253</f>
        <v>#REF!</v>
      </c>
      <c r="M252" s="25"/>
      <c r="N252" s="25"/>
      <c r="O252" s="25"/>
      <c r="P252" s="25"/>
      <c r="Q252" s="25"/>
      <c r="R252" s="25"/>
    </row>
    <row r="253" spans="1:18" ht="19.5" thickBot="1" x14ac:dyDescent="0.35">
      <c r="A253" s="25"/>
      <c r="B253" s="25"/>
      <c r="C253" s="25"/>
      <c r="D253" s="17" t="s">
        <v>916</v>
      </c>
      <c r="E253" s="165" t="e">
        <f>E252+F252</f>
        <v>#REF!</v>
      </c>
      <c r="F253" s="167"/>
      <c r="G253" s="25"/>
      <c r="H253" s="25"/>
      <c r="I253" s="17" t="s">
        <v>916</v>
      </c>
      <c r="J253" s="165" t="e">
        <f>J252+K252</f>
        <v>#REF!</v>
      </c>
      <c r="K253" s="167"/>
      <c r="L253" s="25"/>
      <c r="M253" s="25"/>
      <c r="N253" s="25"/>
      <c r="O253" s="25"/>
      <c r="P253" s="25"/>
      <c r="Q253" s="25"/>
      <c r="R253" s="25"/>
    </row>
    <row r="254" spans="1:18" ht="18.75" x14ac:dyDescent="0.3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</row>
    <row r="255" spans="1:18" ht="18.75" x14ac:dyDescent="0.3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</row>
    <row r="256" spans="1:18" ht="18.75" x14ac:dyDescent="0.3">
      <c r="A256" s="25"/>
      <c r="B256" s="25"/>
      <c r="C256" s="25"/>
      <c r="D256" s="52" t="s">
        <v>981</v>
      </c>
      <c r="E256" s="25"/>
      <c r="F256" s="25"/>
      <c r="G256" s="73"/>
      <c r="H256" s="25"/>
      <c r="I256" s="52" t="s">
        <v>987</v>
      </c>
      <c r="J256" s="25"/>
      <c r="K256" s="25"/>
      <c r="L256" s="73"/>
      <c r="M256" s="25"/>
      <c r="N256" s="25"/>
      <c r="O256" s="25"/>
      <c r="P256" s="25"/>
      <c r="Q256" s="25"/>
      <c r="R256" s="25"/>
    </row>
    <row r="257" spans="1:18" ht="18.75" x14ac:dyDescent="0.3">
      <c r="A257" s="25"/>
      <c r="B257" s="25"/>
      <c r="C257" s="25"/>
      <c r="D257" s="52" t="s">
        <v>982</v>
      </c>
      <c r="E257" s="25"/>
      <c r="F257" s="25"/>
      <c r="G257" s="73"/>
      <c r="H257" s="25"/>
      <c r="I257" s="52" t="s">
        <v>982</v>
      </c>
      <c r="J257" s="25"/>
      <c r="K257" s="25"/>
      <c r="L257" s="73"/>
      <c r="M257" s="25"/>
      <c r="N257" s="25"/>
      <c r="O257" s="25"/>
      <c r="P257" s="25"/>
      <c r="Q257" s="25"/>
      <c r="R257" s="25"/>
    </row>
    <row r="258" spans="1:18" ht="19.5" thickBot="1" x14ac:dyDescent="0.35">
      <c r="A258" s="25"/>
      <c r="B258" s="25"/>
      <c r="C258" s="25"/>
      <c r="D258" s="25"/>
      <c r="E258" s="25"/>
      <c r="F258" s="25"/>
      <c r="G258" s="73"/>
      <c r="H258" s="25"/>
      <c r="I258" s="25"/>
      <c r="J258" s="25"/>
      <c r="K258" s="25"/>
      <c r="L258" s="73"/>
      <c r="M258" s="25"/>
      <c r="N258" s="25"/>
      <c r="O258" s="25"/>
      <c r="P258" s="25"/>
      <c r="Q258" s="25"/>
      <c r="R258" s="25"/>
    </row>
    <row r="259" spans="1:18" ht="19.5" thickBot="1" x14ac:dyDescent="0.35">
      <c r="A259" s="25"/>
      <c r="B259" s="25"/>
      <c r="C259" s="25"/>
      <c r="D259" s="11" t="s">
        <v>581</v>
      </c>
      <c r="E259" s="11" t="s">
        <v>932</v>
      </c>
      <c r="F259" s="38" t="s">
        <v>933</v>
      </c>
      <c r="G259" s="50" t="s">
        <v>934</v>
      </c>
      <c r="H259" s="25"/>
      <c r="I259" s="11" t="s">
        <v>581</v>
      </c>
      <c r="J259" s="11" t="s">
        <v>932</v>
      </c>
      <c r="K259" s="38" t="s">
        <v>933</v>
      </c>
      <c r="L259" s="50" t="s">
        <v>934</v>
      </c>
      <c r="M259" s="25"/>
      <c r="N259" s="25"/>
      <c r="O259" s="25"/>
      <c r="P259" s="25"/>
      <c r="Q259" s="25"/>
      <c r="R259" s="25"/>
    </row>
    <row r="260" spans="1:18" ht="18.75" x14ac:dyDescent="0.3">
      <c r="A260" s="25"/>
      <c r="B260" s="25"/>
      <c r="C260" s="25"/>
      <c r="D260" s="46" t="s">
        <v>872</v>
      </c>
      <c r="E260" s="46" t="e">
        <f>VLOOKUP($D260,#REF!,4,0)</f>
        <v>#REF!</v>
      </c>
      <c r="F260" s="46" t="e">
        <f>VLOOKUP($D260,#REF!,2,0)</f>
        <v>#REF!</v>
      </c>
      <c r="G260" s="83" t="e">
        <f>VLOOKUP($D260,#REF!,3,0)</f>
        <v>#REF!</v>
      </c>
      <c r="H260" s="25"/>
      <c r="I260" s="46" t="s">
        <v>872</v>
      </c>
      <c r="J260" s="46" t="e">
        <f>VLOOKUP($I260,#REF!,4,0)</f>
        <v>#REF!</v>
      </c>
      <c r="K260" s="46" t="e">
        <f>VLOOKUP($I260,#REF!,2,0)</f>
        <v>#REF!</v>
      </c>
      <c r="L260" s="83" t="e">
        <f>VLOOKUP($I260,#REF!,3,0)</f>
        <v>#REF!</v>
      </c>
      <c r="M260" s="25"/>
      <c r="N260" s="25"/>
      <c r="O260" s="25"/>
      <c r="P260" s="25"/>
      <c r="Q260" s="25"/>
      <c r="R260" s="25"/>
    </row>
    <row r="261" spans="1:18" ht="18.75" x14ac:dyDescent="0.3">
      <c r="A261" s="25"/>
      <c r="B261" s="25"/>
      <c r="C261" s="25"/>
      <c r="D261" s="55" t="s">
        <v>41</v>
      </c>
      <c r="E261" s="46" t="e">
        <f>VLOOKUP($D261,#REF!,4,0)</f>
        <v>#REF!</v>
      </c>
      <c r="F261" s="46" t="e">
        <f>VLOOKUP($D261,#REF!,2,0)</f>
        <v>#REF!</v>
      </c>
      <c r="G261" s="83" t="e">
        <f>VLOOKUP($D261,#REF!,3,0)</f>
        <v>#REF!</v>
      </c>
      <c r="H261" s="25"/>
      <c r="I261" s="55" t="s">
        <v>41</v>
      </c>
      <c r="J261" s="46" t="e">
        <f>VLOOKUP($I261,#REF!,4,0)</f>
        <v>#REF!</v>
      </c>
      <c r="K261" s="46" t="e">
        <f>VLOOKUP($I261,#REF!,2,0)</f>
        <v>#REF!</v>
      </c>
      <c r="L261" s="83" t="e">
        <f>VLOOKUP($I261,#REF!,3,0)</f>
        <v>#REF!</v>
      </c>
      <c r="M261" s="25"/>
      <c r="N261" s="25"/>
      <c r="O261" s="25"/>
      <c r="P261" s="25"/>
      <c r="Q261" s="25"/>
      <c r="R261" s="25"/>
    </row>
    <row r="262" spans="1:18" ht="18.75" x14ac:dyDescent="0.3">
      <c r="A262" s="25"/>
      <c r="B262" s="25"/>
      <c r="C262" s="25"/>
      <c r="D262" s="55" t="s">
        <v>874</v>
      </c>
      <c r="E262" s="46" t="e">
        <f>VLOOKUP($D262,#REF!,4,0)</f>
        <v>#REF!</v>
      </c>
      <c r="F262" s="46" t="e">
        <f>VLOOKUP($D262,#REF!,2,0)</f>
        <v>#REF!</v>
      </c>
      <c r="G262" s="83" t="e">
        <f>VLOOKUP($D262,#REF!,3,0)</f>
        <v>#REF!</v>
      </c>
      <c r="H262" s="25"/>
      <c r="I262" s="55" t="s">
        <v>874</v>
      </c>
      <c r="J262" s="46" t="e">
        <f>VLOOKUP($I262,#REF!,4,0)</f>
        <v>#REF!</v>
      </c>
      <c r="K262" s="46" t="e">
        <f>VLOOKUP($I262,#REF!,2,0)</f>
        <v>#REF!</v>
      </c>
      <c r="L262" s="83" t="e">
        <f>VLOOKUP($I262,#REF!,3,0)</f>
        <v>#REF!</v>
      </c>
      <c r="M262" s="25"/>
      <c r="N262" s="25"/>
      <c r="O262" s="25"/>
      <c r="P262" s="25"/>
      <c r="Q262" s="25"/>
      <c r="R262" s="25"/>
    </row>
    <row r="263" spans="1:18" ht="19.5" thickBot="1" x14ac:dyDescent="0.35">
      <c r="A263" s="25"/>
      <c r="B263" s="25"/>
      <c r="C263" s="25"/>
      <c r="D263" s="58" t="s">
        <v>873</v>
      </c>
      <c r="E263" s="46">
        <v>0</v>
      </c>
      <c r="F263" s="46">
        <v>0</v>
      </c>
      <c r="G263" s="83">
        <v>0</v>
      </c>
      <c r="H263" s="25"/>
      <c r="I263" s="58" t="s">
        <v>873</v>
      </c>
      <c r="J263" s="46" t="e">
        <f>VLOOKUP($I263,#REF!,4,0)</f>
        <v>#REF!</v>
      </c>
      <c r="K263" s="46" t="e">
        <f>VLOOKUP($I263,#REF!,2,0)</f>
        <v>#REF!</v>
      </c>
      <c r="L263" s="83" t="e">
        <f>VLOOKUP($I263,#REF!,3,0)</f>
        <v>#REF!</v>
      </c>
      <c r="M263" s="25"/>
      <c r="N263" s="25"/>
      <c r="O263" s="25"/>
      <c r="P263" s="25"/>
      <c r="Q263" s="25"/>
      <c r="R263" s="25"/>
    </row>
    <row r="264" spans="1:18" ht="19.5" thickBot="1" x14ac:dyDescent="0.35">
      <c r="A264" s="25"/>
      <c r="B264" s="25"/>
      <c r="C264" s="25"/>
      <c r="D264" s="11" t="s">
        <v>916</v>
      </c>
      <c r="E264" s="11" t="e">
        <f>SUM(E260:E263)</f>
        <v>#REF!</v>
      </c>
      <c r="F264" s="11" t="e">
        <f>SUM(F260:F263)</f>
        <v>#REF!</v>
      </c>
      <c r="G264" s="16" t="e">
        <f>F264/E265</f>
        <v>#REF!</v>
      </c>
      <c r="H264" s="25"/>
      <c r="I264" s="11" t="s">
        <v>916</v>
      </c>
      <c r="J264" s="11" t="e">
        <f>SUM(J260:J263)</f>
        <v>#REF!</v>
      </c>
      <c r="K264" s="11" t="e">
        <f>SUM(K260:K263)</f>
        <v>#REF!</v>
      </c>
      <c r="L264" s="16" t="e">
        <f>K264/J265</f>
        <v>#REF!</v>
      </c>
      <c r="M264" s="25"/>
      <c r="N264" s="25"/>
      <c r="O264" s="25"/>
      <c r="P264" s="25"/>
      <c r="Q264" s="25"/>
      <c r="R264" s="25"/>
    </row>
    <row r="265" spans="1:18" ht="19.5" thickBot="1" x14ac:dyDescent="0.35">
      <c r="A265" s="25"/>
      <c r="B265" s="25"/>
      <c r="C265" s="25"/>
      <c r="D265" s="17" t="s">
        <v>916</v>
      </c>
      <c r="E265" s="165" t="e">
        <f>E264+F264</f>
        <v>#REF!</v>
      </c>
      <c r="F265" s="167"/>
      <c r="G265" s="25"/>
      <c r="H265" s="25"/>
      <c r="I265" s="17" t="s">
        <v>916</v>
      </c>
      <c r="J265" s="165" t="e">
        <f>J264+K264</f>
        <v>#REF!</v>
      </c>
      <c r="K265" s="167"/>
      <c r="L265" s="25"/>
      <c r="M265" s="25"/>
      <c r="N265" s="25"/>
      <c r="O265" s="25"/>
      <c r="P265" s="25"/>
      <c r="Q265" s="25"/>
      <c r="R265" s="25"/>
    </row>
    <row r="266" spans="1:18" ht="18.75" x14ac:dyDescent="0.3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</row>
    <row r="267" spans="1:18" ht="18.75" x14ac:dyDescent="0.3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</row>
    <row r="268" spans="1:18" ht="18.75" x14ac:dyDescent="0.3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</row>
    <row r="269" spans="1:18" ht="18.75" x14ac:dyDescent="0.3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</row>
    <row r="270" spans="1:18" ht="18.75" x14ac:dyDescent="0.3">
      <c r="A270" s="25"/>
      <c r="B270" s="25"/>
      <c r="C270" s="25"/>
      <c r="D270" s="52" t="s">
        <v>1000</v>
      </c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</row>
    <row r="271" spans="1:18" ht="18.75" x14ac:dyDescent="0.3">
      <c r="A271" s="25"/>
      <c r="B271" s="25"/>
      <c r="C271" s="25"/>
      <c r="D271" s="52" t="s">
        <v>939</v>
      </c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</row>
    <row r="272" spans="1:18" ht="19.5" thickBot="1" x14ac:dyDescent="0.35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</row>
    <row r="273" spans="1:18" ht="19.5" thickBot="1" x14ac:dyDescent="0.35">
      <c r="A273" s="25"/>
      <c r="B273" s="25"/>
      <c r="C273" s="25"/>
      <c r="D273" s="11" t="s">
        <v>586</v>
      </c>
      <c r="E273" s="19" t="s">
        <v>990</v>
      </c>
      <c r="F273" s="38" t="s">
        <v>48</v>
      </c>
      <c r="G273" s="50" t="s">
        <v>55</v>
      </c>
      <c r="H273" s="38" t="s">
        <v>991</v>
      </c>
      <c r="I273" s="50" t="s">
        <v>123</v>
      </c>
      <c r="J273" s="38" t="s">
        <v>185</v>
      </c>
      <c r="K273" s="50" t="s">
        <v>992</v>
      </c>
      <c r="L273" s="50" t="s">
        <v>362</v>
      </c>
      <c r="M273" s="28"/>
      <c r="N273" s="25"/>
      <c r="O273" s="25"/>
      <c r="P273" s="25"/>
      <c r="Q273" s="25"/>
      <c r="R273" s="25"/>
    </row>
    <row r="274" spans="1:18" ht="18.75" x14ac:dyDescent="0.3">
      <c r="A274" s="25"/>
      <c r="B274" s="25"/>
      <c r="C274" s="25"/>
      <c r="D274" s="46" t="s">
        <v>988</v>
      </c>
      <c r="E274" s="20" t="e">
        <f>SUM(F274:M274)</f>
        <v>#REF!</v>
      </c>
      <c r="F274" s="20" t="e">
        <f>GETPIVOTDATA("Count of Race/Ethnicity",#REF!,"MADE Y / N","N","Sentence","DEFERRED")</f>
        <v>#REF!</v>
      </c>
      <c r="G274" s="20" t="e">
        <f>GETPIVOTDATA("Count of Race/Ethnicity",#REF!,"MADE Y / N","N","Sentence","DISMISSED")</f>
        <v>#REF!</v>
      </c>
      <c r="H274" s="20" t="e">
        <f>GETPIVOTDATA("Count of Race/Ethnicity",#REF!,"MADE Y / N","N","Sentence","hcj")</f>
        <v>#REF!</v>
      </c>
      <c r="I274" s="20" t="e">
        <f>GETPIVOTDATA("Count of Race/Ethnicity",#REF!,"MADE Y / N","N","Sentence","NO BILL")</f>
        <v>#REF!</v>
      </c>
      <c r="J274" s="20" t="e">
        <f>GETPIVOTDATA("Count of Race/Ethnicity",#REF!,"MADE Y / N","N","Sentence","PROBATION")</f>
        <v>#REF!</v>
      </c>
      <c r="K274" s="20" t="e">
        <f>GETPIVOTDATA("Count of Race/Ethnicity",#REF!,"MADE Y / N","N","Sentence","stj")</f>
        <v>#REF!</v>
      </c>
      <c r="L274" s="85" t="e">
        <f>GETPIVOTDATA("Count of Race/Ethnicity",#REF!,"MADE Y / N","N","Sentence","tdc")</f>
        <v>#REF!</v>
      </c>
      <c r="M274" s="18"/>
      <c r="N274" s="25"/>
      <c r="O274" s="25"/>
      <c r="P274" s="25"/>
      <c r="Q274" s="25"/>
      <c r="R274" s="25"/>
    </row>
    <row r="275" spans="1:18" ht="19.5" thickBot="1" x14ac:dyDescent="0.35">
      <c r="A275" s="25"/>
      <c r="B275" s="25"/>
      <c r="C275" s="25"/>
      <c r="D275" s="55" t="s">
        <v>989</v>
      </c>
      <c r="E275" s="20" t="e">
        <f>SUM(F275:M275)</f>
        <v>#REF!</v>
      </c>
      <c r="F275" s="20" t="e">
        <f>GETPIVOTDATA("Count of Race/Ethnicity",#REF!,"MADE Y / N","Y","Sentence","DEFERRED")</f>
        <v>#REF!</v>
      </c>
      <c r="G275" s="20" t="e">
        <f>GETPIVOTDATA("Count of Race/Ethnicity",#REF!,"MADE Y / N","Y","Sentence","DISMISSED")</f>
        <v>#REF!</v>
      </c>
      <c r="H275" s="20" t="e">
        <f>GETPIVOTDATA("Count of Race/Ethnicity",#REF!,"MADE Y / N","Y","Sentence","hcj")</f>
        <v>#REF!</v>
      </c>
      <c r="I275" s="20" t="e">
        <f>GETPIVOTDATA("Count of Race/Ethnicity",#REF!,"MADE Y / N","Y","Sentence","NO BILL")</f>
        <v>#REF!</v>
      </c>
      <c r="J275" s="20" t="e">
        <f>GETPIVOTDATA("Count of Race/Ethnicity",#REF!,"MADE Y / N","Y","Sentence","PROBATION")</f>
        <v>#REF!</v>
      </c>
      <c r="K275" s="20" t="e">
        <f>GETPIVOTDATA("Count of Race/Ethnicity",#REF!,"MADE Y / N","Y","Sentence","stj")</f>
        <v>#REF!</v>
      </c>
      <c r="L275" s="85" t="e">
        <f>GETPIVOTDATA("Count of Race/Ethnicity",#REF!,"MADE Y / N","Y","Sentence","tdc")</f>
        <v>#REF!</v>
      </c>
      <c r="M275" s="18"/>
      <c r="N275" s="25"/>
      <c r="O275" s="25"/>
      <c r="P275" s="25"/>
      <c r="Q275" s="25"/>
      <c r="R275" s="25"/>
    </row>
    <row r="276" spans="1:18" ht="19.5" thickBot="1" x14ac:dyDescent="0.35">
      <c r="A276" s="25"/>
      <c r="B276" s="25"/>
      <c r="C276" s="25"/>
      <c r="D276" s="11" t="s">
        <v>916</v>
      </c>
      <c r="E276" s="21" t="e">
        <f t="shared" ref="E276:L276" si="7">SUM(E274:E275)</f>
        <v>#REF!</v>
      </c>
      <c r="F276" s="21" t="e">
        <f t="shared" si="7"/>
        <v>#REF!</v>
      </c>
      <c r="G276" s="21" t="e">
        <f t="shared" si="7"/>
        <v>#REF!</v>
      </c>
      <c r="H276" s="21" t="e">
        <f t="shared" si="7"/>
        <v>#REF!</v>
      </c>
      <c r="I276" s="21" t="e">
        <f t="shared" si="7"/>
        <v>#REF!</v>
      </c>
      <c r="J276" s="21" t="e">
        <f t="shared" si="7"/>
        <v>#REF!</v>
      </c>
      <c r="K276" s="21" t="e">
        <f t="shared" si="7"/>
        <v>#REF!</v>
      </c>
      <c r="L276" s="34" t="e">
        <f t="shared" si="7"/>
        <v>#REF!</v>
      </c>
      <c r="M276" s="33"/>
      <c r="N276" s="25"/>
      <c r="O276" s="25"/>
      <c r="P276" s="25"/>
      <c r="Q276" s="25"/>
      <c r="R276" s="25"/>
    </row>
    <row r="277" spans="1:18" ht="19.5" thickBot="1" x14ac:dyDescent="0.35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</row>
    <row r="278" spans="1:18" ht="19.5" thickBot="1" x14ac:dyDescent="0.35">
      <c r="A278" s="25"/>
      <c r="B278" s="25"/>
      <c r="C278" s="25"/>
      <c r="D278" s="11" t="s">
        <v>586</v>
      </c>
      <c r="E278" s="19" t="s">
        <v>580</v>
      </c>
      <c r="F278" s="38" t="s">
        <v>993</v>
      </c>
      <c r="G278" s="50" t="s">
        <v>994</v>
      </c>
      <c r="H278" s="38" t="s">
        <v>995</v>
      </c>
      <c r="I278" s="50" t="s">
        <v>996</v>
      </c>
      <c r="J278" s="38" t="s">
        <v>997</v>
      </c>
      <c r="K278" s="50" t="s">
        <v>998</v>
      </c>
      <c r="L278" s="86" t="s">
        <v>999</v>
      </c>
      <c r="M278" s="28"/>
      <c r="N278" s="25"/>
      <c r="O278" s="25"/>
      <c r="P278" s="25"/>
      <c r="Q278" s="25"/>
      <c r="R278" s="25"/>
    </row>
    <row r="279" spans="1:18" ht="18.75" x14ac:dyDescent="0.3">
      <c r="A279" s="25"/>
      <c r="B279" s="25"/>
      <c r="C279" s="25"/>
      <c r="D279" s="46" t="s">
        <v>988</v>
      </c>
      <c r="E279" s="22" t="e">
        <f>SUM(F279:M279)</f>
        <v>#REF!</v>
      </c>
      <c r="F279" s="22" t="e">
        <f>GETPIVOTDATA("Count of Race/Ethnicity2",#REF!,"MADE Y / N","N","Sentence","DEFERRED")</f>
        <v>#REF!</v>
      </c>
      <c r="G279" s="22" t="e">
        <f>GETPIVOTDATA("Count of Race/Ethnicity2",#REF!,"MADE Y / N","N","Sentence","DISMISSED")</f>
        <v>#REF!</v>
      </c>
      <c r="H279" s="22" t="e">
        <f>GETPIVOTDATA("Count of Race/Ethnicity2",#REF!,"MADE Y / N","N","Sentence","hcj")</f>
        <v>#REF!</v>
      </c>
      <c r="I279" s="22" t="e">
        <f>GETPIVOTDATA("Count of Race/Ethnicity2",#REF!,"MADE Y / N","N","Sentence","NO BILL")</f>
        <v>#REF!</v>
      </c>
      <c r="J279" s="22" t="e">
        <f>GETPIVOTDATA("Count of Race/Ethnicity2",#REF!,"MADE Y / N","N","Sentence","PROBATION")</f>
        <v>#REF!</v>
      </c>
      <c r="K279" s="22" t="e">
        <f>GETPIVOTDATA("Count of Race/Ethnicity2",#REF!,"MADE Y / N","N","Sentence","stj")</f>
        <v>#REF!</v>
      </c>
      <c r="L279" s="83" t="e">
        <f>GETPIVOTDATA("Count of Race/Ethnicity2",#REF!,"MADE Y / N","N","Sentence","tdc")</f>
        <v>#REF!</v>
      </c>
      <c r="M279" s="18"/>
      <c r="N279" s="25"/>
      <c r="O279" s="25"/>
      <c r="P279" s="25"/>
      <c r="Q279" s="25"/>
      <c r="R279" s="25"/>
    </row>
    <row r="280" spans="1:18" ht="19.5" thickBot="1" x14ac:dyDescent="0.35">
      <c r="A280" s="25"/>
      <c r="B280" s="25"/>
      <c r="C280" s="25"/>
      <c r="D280" s="55" t="s">
        <v>989</v>
      </c>
      <c r="E280" s="22" t="e">
        <f>SUM(F280:M280)</f>
        <v>#REF!</v>
      </c>
      <c r="F280" s="22" t="e">
        <f>GETPIVOTDATA("Count of Race/Ethnicity2",#REF!,"MADE Y / N","Y","Sentence","DEFERRED")</f>
        <v>#REF!</v>
      </c>
      <c r="G280" s="22" t="e">
        <f>GETPIVOTDATA("Count of Race/Ethnicity2",#REF!,"MADE Y / N","Y","Sentence","DISMISSED")</f>
        <v>#REF!</v>
      </c>
      <c r="H280" s="22" t="e">
        <f>GETPIVOTDATA("Count of Race/Ethnicity2",#REF!,"MADE Y / N","Y","Sentence","hcj")</f>
        <v>#REF!</v>
      </c>
      <c r="I280" s="22" t="e">
        <f>GETPIVOTDATA("Count of Race/Ethnicity2",#REF!,"MADE Y / N","Y","Sentence","NO BILL")</f>
        <v>#REF!</v>
      </c>
      <c r="J280" s="22" t="e">
        <f>GETPIVOTDATA("Count of Race/Ethnicity2",#REF!,"MADE Y / N","Y","Sentence","PROBATION")</f>
        <v>#REF!</v>
      </c>
      <c r="K280" s="22" t="e">
        <f>GETPIVOTDATA("Count of Race/Ethnicity2",#REF!,"MADE Y / N","Y","Sentence","stj")</f>
        <v>#REF!</v>
      </c>
      <c r="L280" s="83" t="e">
        <f>GETPIVOTDATA("Count of Race/Ethnicity2",#REF!,"MADE Y / N","Y","Sentence","tdc")</f>
        <v>#REF!</v>
      </c>
      <c r="M280" s="18"/>
      <c r="N280" s="10"/>
      <c r="O280" s="10"/>
      <c r="P280" s="25"/>
      <c r="Q280" s="25"/>
      <c r="R280" s="25"/>
    </row>
    <row r="281" spans="1:18" ht="19.5" thickBot="1" x14ac:dyDescent="0.35">
      <c r="A281" s="25"/>
      <c r="B281" s="25"/>
      <c r="C281" s="25"/>
      <c r="D281" s="11" t="s">
        <v>916</v>
      </c>
      <c r="E281" s="14"/>
      <c r="F281" s="14" t="e">
        <f t="shared" ref="F281:L281" si="8">SUM(F279:F280)</f>
        <v>#REF!</v>
      </c>
      <c r="G281" s="14" t="e">
        <f t="shared" si="8"/>
        <v>#REF!</v>
      </c>
      <c r="H281" s="14" t="e">
        <f t="shared" si="8"/>
        <v>#REF!</v>
      </c>
      <c r="I281" s="14" t="e">
        <f t="shared" si="8"/>
        <v>#REF!</v>
      </c>
      <c r="J281" s="14" t="e">
        <f t="shared" si="8"/>
        <v>#REF!</v>
      </c>
      <c r="K281" s="14" t="e">
        <f t="shared" si="8"/>
        <v>#REF!</v>
      </c>
      <c r="L281" s="16" t="e">
        <f t="shared" si="8"/>
        <v>#REF!</v>
      </c>
      <c r="M281" s="33"/>
      <c r="N281" s="10"/>
      <c r="O281" s="10"/>
      <c r="P281" s="25"/>
      <c r="Q281" s="25"/>
      <c r="R281" s="25"/>
    </row>
    <row r="282" spans="1:18" ht="19.5" thickBot="1" x14ac:dyDescent="0.35">
      <c r="A282" s="25"/>
      <c r="B282" s="25"/>
      <c r="C282" s="25"/>
      <c r="D282" s="25"/>
      <c r="E282" s="25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25"/>
      <c r="Q282" s="25"/>
      <c r="R282" s="25"/>
    </row>
    <row r="283" spans="1:18" ht="19.5" thickBot="1" x14ac:dyDescent="0.35">
      <c r="A283" s="25"/>
      <c r="B283" s="25"/>
      <c r="C283" s="25"/>
      <c r="D283" s="11" t="s">
        <v>586</v>
      </c>
      <c r="E283" s="19" t="s">
        <v>580</v>
      </c>
      <c r="F283" s="38" t="s">
        <v>993</v>
      </c>
      <c r="G283" s="50" t="s">
        <v>994</v>
      </c>
      <c r="H283" s="38" t="s">
        <v>995</v>
      </c>
      <c r="I283" s="50" t="s">
        <v>996</v>
      </c>
      <c r="J283" s="38" t="s">
        <v>997</v>
      </c>
      <c r="K283" s="50" t="s">
        <v>998</v>
      </c>
      <c r="L283" s="86" t="s">
        <v>999</v>
      </c>
      <c r="M283" s="28"/>
      <c r="N283" s="10"/>
      <c r="O283" s="10"/>
      <c r="P283" s="25"/>
      <c r="Q283" s="25"/>
      <c r="R283" s="25"/>
    </row>
    <row r="284" spans="1:18" ht="18.75" x14ac:dyDescent="0.3">
      <c r="A284" s="25"/>
      <c r="B284" s="25"/>
      <c r="C284" s="25"/>
      <c r="D284" s="46" t="s">
        <v>988</v>
      </c>
      <c r="E284" s="22" t="e">
        <f>GETPIVOTDATA("Count of Race/Ethnicity2",#REF!,"MADE Y / N","N")</f>
        <v>#REF!</v>
      </c>
      <c r="F284" s="22" t="e">
        <f>GETPIVOTDATA("Count of Race/Ethnicity2",#REF!,"MADE Y / N","N","Sentence","DEFERRED")</f>
        <v>#REF!</v>
      </c>
      <c r="G284" s="22" t="e">
        <f>GETPIVOTDATA("Count of Race/Ethnicity2",#REF!,"MADE Y / N","N","Sentence","DISMISSED")</f>
        <v>#REF!</v>
      </c>
      <c r="H284" s="22" t="e">
        <f>GETPIVOTDATA("Count of Race/Ethnicity2",#REF!,"MADE Y / N","N","Sentence","hcj")</f>
        <v>#REF!</v>
      </c>
      <c r="I284" s="22" t="e">
        <f>GETPIVOTDATA("Count of Race/Ethnicity2",#REF!,"MADE Y / N","N","Sentence","NO BILL")</f>
        <v>#REF!</v>
      </c>
      <c r="J284" s="22" t="e">
        <f>GETPIVOTDATA("Count of Race/Ethnicity2",#REF!,"MADE Y / N","N","Sentence","PROBATION")</f>
        <v>#REF!</v>
      </c>
      <c r="K284" s="22" t="e">
        <f>GETPIVOTDATA("Count of Race/Ethnicity2",#REF!,"MADE Y / N","N","Sentence","stj")</f>
        <v>#REF!</v>
      </c>
      <c r="L284" s="83" t="e">
        <f>GETPIVOTDATA("Count of Race/Ethnicity2",#REF!,"MADE Y / N","N","Sentence","tdc")</f>
        <v>#REF!</v>
      </c>
      <c r="M284" s="18"/>
      <c r="N284" s="10"/>
      <c r="O284" s="10"/>
      <c r="P284" s="25"/>
      <c r="Q284" s="25"/>
      <c r="R284" s="25"/>
    </row>
    <row r="285" spans="1:18" ht="19.5" thickBot="1" x14ac:dyDescent="0.35">
      <c r="A285" s="25"/>
      <c r="B285" s="25"/>
      <c r="C285" s="25"/>
      <c r="D285" s="55" t="s">
        <v>989</v>
      </c>
      <c r="E285" s="22" t="e">
        <f>GETPIVOTDATA("Count of Race/Ethnicity2",#REF!,"MADE Y / N","Y")</f>
        <v>#REF!</v>
      </c>
      <c r="F285" s="22" t="e">
        <f>GETPIVOTDATA("Count of Race/Ethnicity2",#REF!,"MADE Y / N","Y","Sentence","DEFERRED")</f>
        <v>#REF!</v>
      </c>
      <c r="G285" s="22" t="e">
        <f>GETPIVOTDATA("Count of Race/Ethnicity2",#REF!,"MADE Y / N","Y","Sentence","DISMISSED")</f>
        <v>#REF!</v>
      </c>
      <c r="H285" s="22" t="e">
        <f>GETPIVOTDATA("Count of Race/Ethnicity2",#REF!,"MADE Y / N","Y","Sentence","hcj")</f>
        <v>#REF!</v>
      </c>
      <c r="I285" s="22" t="e">
        <f>GETPIVOTDATA("Count of Race/Ethnicity2",#REF!,"MADE Y / N","Y","Sentence","NO BILL")</f>
        <v>#REF!</v>
      </c>
      <c r="J285" s="22" t="e">
        <f>GETPIVOTDATA("Count of Race/Ethnicity2",#REF!,"MADE Y / N","Y","Sentence","PROBATION")</f>
        <v>#REF!</v>
      </c>
      <c r="K285" s="22" t="e">
        <f>GETPIVOTDATA("Count of Race/Ethnicity2",#REF!,"MADE Y / N","Y","Sentence","stj")</f>
        <v>#REF!</v>
      </c>
      <c r="L285" s="83" t="e">
        <f>GETPIVOTDATA("Count of Race/Ethnicity2",#REF!,"MADE Y / N","Y","Sentence","tdc")</f>
        <v>#REF!</v>
      </c>
      <c r="M285" s="18"/>
      <c r="N285" s="25"/>
      <c r="O285" s="25"/>
      <c r="P285" s="25"/>
      <c r="Q285" s="25"/>
      <c r="R285" s="25"/>
    </row>
    <row r="286" spans="1:18" ht="19.5" thickBot="1" x14ac:dyDescent="0.35">
      <c r="A286" s="25"/>
      <c r="B286" s="25"/>
      <c r="C286" s="25"/>
      <c r="D286" s="11" t="s">
        <v>916</v>
      </c>
      <c r="E286" s="14" t="e">
        <f t="shared" ref="E286:L286" si="9">SUM(E284:E285)</f>
        <v>#REF!</v>
      </c>
      <c r="F286" s="14" t="e">
        <f t="shared" si="9"/>
        <v>#REF!</v>
      </c>
      <c r="G286" s="14" t="e">
        <f t="shared" si="9"/>
        <v>#REF!</v>
      </c>
      <c r="H286" s="14" t="e">
        <f t="shared" si="9"/>
        <v>#REF!</v>
      </c>
      <c r="I286" s="14" t="e">
        <f t="shared" si="9"/>
        <v>#REF!</v>
      </c>
      <c r="J286" s="14" t="e">
        <f t="shared" si="9"/>
        <v>#REF!</v>
      </c>
      <c r="K286" s="14" t="e">
        <f t="shared" si="9"/>
        <v>#REF!</v>
      </c>
      <c r="L286" s="16" t="e">
        <f t="shared" si="9"/>
        <v>#REF!</v>
      </c>
      <c r="M286" s="33"/>
      <c r="N286" s="25"/>
      <c r="O286" s="25"/>
      <c r="P286" s="25"/>
      <c r="Q286" s="25"/>
      <c r="R286" s="25"/>
    </row>
    <row r="287" spans="1:18" ht="18.75" x14ac:dyDescent="0.3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</row>
    <row r="288" spans="1:18" ht="18.75" x14ac:dyDescent="0.3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</row>
    <row r="289" spans="4:14" ht="19.5" customHeight="1" x14ac:dyDescent="0.3">
      <c r="D289" s="25"/>
      <c r="E289" s="25"/>
      <c r="F289" s="25"/>
    </row>
    <row r="291" spans="4:14" ht="18.75" x14ac:dyDescent="0.3">
      <c r="D291" s="52" t="s">
        <v>1002</v>
      </c>
    </row>
    <row r="292" spans="4:14" ht="18.75" x14ac:dyDescent="0.3">
      <c r="D292" s="52"/>
    </row>
    <row r="293" spans="4:14" ht="15.75" thickBot="1" x14ac:dyDescent="0.3"/>
    <row r="294" spans="4:14" ht="19.5" thickBot="1" x14ac:dyDescent="0.35">
      <c r="D294" s="11" t="s">
        <v>586</v>
      </c>
      <c r="E294" s="19" t="e">
        <f>+#REF!</f>
        <v>#REF!</v>
      </c>
      <c r="F294" s="38" t="e">
        <f>+#REF!</f>
        <v>#REF!</v>
      </c>
      <c r="G294" s="50" t="e">
        <f>+#REF!</f>
        <v>#REF!</v>
      </c>
      <c r="H294" s="38" t="e">
        <f>+#REF!</f>
        <v>#REF!</v>
      </c>
      <c r="I294" s="50" t="s">
        <v>975</v>
      </c>
      <c r="J294" s="30"/>
      <c r="K294" s="30"/>
      <c r="L294" s="30"/>
      <c r="M294" s="30"/>
    </row>
    <row r="295" spans="4:14" ht="18.75" x14ac:dyDescent="0.3">
      <c r="D295" s="46" t="s">
        <v>988</v>
      </c>
      <c r="E295" s="20" t="e">
        <f>GETPIVOTDATA("BAIL TYPE",#REF!,"MADE Y / N","N","Counsel Type ","Appointed Attorney")</f>
        <v>#REF!</v>
      </c>
      <c r="F295" s="20" t="e">
        <f>GETPIVOTDATA("BAIL TYPE",#REF!,"MADE Y / N","N","Counsel Type ","Hired Attorney")</f>
        <v>#REF!</v>
      </c>
      <c r="G295" s="20" t="e">
        <f>GETPIVOTDATA("BAIL TYPE",#REF!,"MADE Y / N","N","Counsel Type ","Other/Unknown")</f>
        <v>#REF!</v>
      </c>
      <c r="H295" s="20" t="e">
        <f>GETPIVOTDATA("BAIL TYPE",#REF!,"MADE Y / N","N","Counsel Type ","Public Defender")</f>
        <v>#REF!</v>
      </c>
      <c r="I295" s="20" t="e">
        <f>SUM(E295:H295)</f>
        <v>#REF!</v>
      </c>
      <c r="J295" s="31"/>
      <c r="K295" s="31"/>
      <c r="L295" s="31"/>
      <c r="M295" s="31"/>
    </row>
    <row r="296" spans="4:14" ht="19.5" thickBot="1" x14ac:dyDescent="0.35">
      <c r="D296" s="87" t="s">
        <v>989</v>
      </c>
      <c r="E296" s="20" t="e">
        <f>GETPIVOTDATA("BAIL TYPE",#REF!,"MADE Y / N","Y","Counsel Type ","Appointed Attorney")</f>
        <v>#REF!</v>
      </c>
      <c r="F296" s="20" t="e">
        <f>GETPIVOTDATA("BAIL TYPE",#REF!,"MADE Y / N","Y","Counsel Type ","Hired Attorney")</f>
        <v>#REF!</v>
      </c>
      <c r="G296" s="20" t="e">
        <f>GETPIVOTDATA("BAIL TYPE",#REF!,"MADE Y / N","Y","Counsel Type ","Other/Unknown")</f>
        <v>#REF!</v>
      </c>
      <c r="H296" s="20" t="e">
        <f>GETPIVOTDATA("BAIL TYPE",#REF!,"MADE Y / N","Y","Counsel Type ","Public Defender")</f>
        <v>#REF!</v>
      </c>
      <c r="I296" s="20" t="e">
        <f>SUM(E296:H296)</f>
        <v>#REF!</v>
      </c>
      <c r="J296" s="31"/>
      <c r="K296" s="31"/>
      <c r="L296" s="31"/>
      <c r="M296" s="31"/>
    </row>
    <row r="297" spans="4:14" ht="19.5" thickBot="1" x14ac:dyDescent="0.35">
      <c r="D297" s="11" t="s">
        <v>916</v>
      </c>
      <c r="E297" s="21" t="e">
        <f>SUM(E295:E296)</f>
        <v>#REF!</v>
      </c>
      <c r="F297" s="21" t="e">
        <f>SUM(F295:F296)</f>
        <v>#REF!</v>
      </c>
      <c r="G297" s="21" t="e">
        <f>SUM(G295:G296)</f>
        <v>#REF!</v>
      </c>
      <c r="H297" s="21" t="e">
        <f>SUM(H295:H296)</f>
        <v>#REF!</v>
      </c>
      <c r="I297" s="21" t="e">
        <f>SUM(I295:I296)</f>
        <v>#REF!</v>
      </c>
      <c r="J297" s="29"/>
      <c r="K297" s="29"/>
      <c r="L297" s="29"/>
      <c r="M297" s="29"/>
    </row>
    <row r="298" spans="4:14" ht="19.5" thickBot="1" x14ac:dyDescent="0.35">
      <c r="D298" s="25"/>
      <c r="E298" s="25"/>
      <c r="F298" s="25"/>
      <c r="G298" s="25"/>
      <c r="H298" s="25"/>
      <c r="I298" s="25"/>
      <c r="J298" s="25"/>
      <c r="K298" s="25"/>
      <c r="L298" s="25"/>
      <c r="M298" s="25"/>
    </row>
    <row r="299" spans="4:14" ht="19.5" thickBot="1" x14ac:dyDescent="0.35">
      <c r="D299" s="11" t="s">
        <v>586</v>
      </c>
      <c r="E299" s="19" t="s">
        <v>38</v>
      </c>
      <c r="F299" s="38" t="s">
        <v>52</v>
      </c>
      <c r="G299" s="50" t="s">
        <v>79</v>
      </c>
      <c r="H299" s="38" t="s">
        <v>99</v>
      </c>
      <c r="I299" s="50" t="s">
        <v>975</v>
      </c>
      <c r="J299" s="30"/>
      <c r="K299" s="30"/>
      <c r="L299" s="30"/>
      <c r="M299" s="30"/>
      <c r="N299" s="30"/>
    </row>
    <row r="300" spans="4:14" ht="18.75" x14ac:dyDescent="0.3">
      <c r="D300" s="46" t="s">
        <v>988</v>
      </c>
      <c r="E300" s="22" t="e">
        <f>GETPIVOTDATA("BAIL TYPE",#REF!,"MADE Y / N","N","Counsel Type ","Appointed Attorney")</f>
        <v>#REF!</v>
      </c>
      <c r="F300" s="22" t="e">
        <f>GETPIVOTDATA("BAIL TYPE",#REF!,"MADE Y / N","N","Counsel Type ","Hired Attorney")</f>
        <v>#REF!</v>
      </c>
      <c r="G300" s="22" t="e">
        <f>GETPIVOTDATA("BAIL TYPE",#REF!,"MADE Y / N","N","Counsel Type ","Other/Unknown")</f>
        <v>#REF!</v>
      </c>
      <c r="H300" s="22" t="e">
        <f>GETPIVOTDATA("BAIL TYPE",#REF!,"MADE Y / N","N","Counsel Type ","Public Defender")</f>
        <v>#REF!</v>
      </c>
      <c r="I300" s="22" t="e">
        <f>SUM(E300:H300)</f>
        <v>#REF!</v>
      </c>
      <c r="J300" s="31"/>
      <c r="K300" s="31"/>
      <c r="L300" s="31"/>
      <c r="M300" s="31"/>
      <c r="N300" s="31"/>
    </row>
    <row r="301" spans="4:14" ht="19.5" thickBot="1" x14ac:dyDescent="0.35">
      <c r="D301" s="87" t="s">
        <v>989</v>
      </c>
      <c r="E301" s="22" t="e">
        <f>GETPIVOTDATA("BAIL TYPE",#REF!,"MADE Y / N","Y","Counsel Type ","Appointed Attorney")</f>
        <v>#REF!</v>
      </c>
      <c r="F301" s="22" t="e">
        <f>GETPIVOTDATA("BAIL TYPE",#REF!,"MADE Y / N","Y","Counsel Type ","Hired Attorney")</f>
        <v>#REF!</v>
      </c>
      <c r="G301" s="22" t="e">
        <f>GETPIVOTDATA("BAIL TYPE",#REF!,"MADE Y / N","Y","Counsel Type ","Other/Unknown")</f>
        <v>#REF!</v>
      </c>
      <c r="H301" s="22" t="e">
        <f>GETPIVOTDATA("BAIL TYPE",#REF!,"MADE Y / N","Y","Counsel Type ","Public Defender")</f>
        <v>#REF!</v>
      </c>
      <c r="I301" s="22" t="e">
        <f>SUM(E301:H301)</f>
        <v>#REF!</v>
      </c>
      <c r="J301" s="31"/>
      <c r="K301" s="31"/>
      <c r="L301" s="31"/>
      <c r="M301" s="31"/>
      <c r="N301" s="31"/>
    </row>
    <row r="302" spans="4:14" ht="19.5" thickBot="1" x14ac:dyDescent="0.35">
      <c r="D302" s="11" t="s">
        <v>916</v>
      </c>
      <c r="E302" s="14" t="e">
        <f>SUM(E300:E301)</f>
        <v>#REF!</v>
      </c>
      <c r="F302" s="14" t="e">
        <f>SUM(F300:F301)</f>
        <v>#REF!</v>
      </c>
      <c r="G302" s="14" t="e">
        <f>SUM(G300:G301)</f>
        <v>#REF!</v>
      </c>
      <c r="H302" s="14" t="e">
        <f>SUM(H300:H301)</f>
        <v>#REF!</v>
      </c>
      <c r="I302" s="14"/>
      <c r="J302" s="29"/>
      <c r="K302" s="29"/>
      <c r="L302" s="29"/>
      <c r="M302" s="29"/>
      <c r="N302" s="29"/>
    </row>
    <row r="303" spans="4:14" ht="19.5" thickBot="1" x14ac:dyDescent="0.35">
      <c r="J303" s="30"/>
      <c r="K303" s="30"/>
      <c r="L303" s="30"/>
      <c r="M303" s="30"/>
      <c r="N303" s="30"/>
    </row>
    <row r="304" spans="4:14" ht="19.5" thickBot="1" x14ac:dyDescent="0.35">
      <c r="D304" s="11" t="s">
        <v>586</v>
      </c>
      <c r="E304" s="19" t="s">
        <v>38</v>
      </c>
      <c r="F304" s="38" t="s">
        <v>52</v>
      </c>
      <c r="G304" s="50" t="s">
        <v>79</v>
      </c>
      <c r="H304" s="38" t="s">
        <v>99</v>
      </c>
      <c r="I304" s="50" t="s">
        <v>975</v>
      </c>
    </row>
    <row r="305" spans="2:9" ht="18.75" x14ac:dyDescent="0.3">
      <c r="D305" s="46" t="s">
        <v>988</v>
      </c>
      <c r="E305" s="22" t="e">
        <f>GETPIVOTDATA("BAIL TYPE",#REF!,"MADE Y / N","N","Counsel Type ","Appointed Attorney")</f>
        <v>#REF!</v>
      </c>
      <c r="F305" s="22" t="e">
        <f>GETPIVOTDATA("BAIL TYPE",#REF!,"MADE Y / N","N","Counsel Type ","Hired Attorney")</f>
        <v>#REF!</v>
      </c>
      <c r="G305" s="22" t="e">
        <f>GETPIVOTDATA("BAIL TYPE",#REF!,"MADE Y / N","N","Counsel Type ","Other/Unknown")</f>
        <v>#REF!</v>
      </c>
      <c r="H305" s="22" t="e">
        <f>GETPIVOTDATA("BAIL TYPE",#REF!,"MADE Y / N","N","Counsel Type ","Public Defender")</f>
        <v>#REF!</v>
      </c>
      <c r="I305" s="22" t="e">
        <f>SUM(E305:H305)</f>
        <v>#REF!</v>
      </c>
    </row>
    <row r="306" spans="2:9" ht="19.5" thickBot="1" x14ac:dyDescent="0.35">
      <c r="D306" s="87" t="s">
        <v>989</v>
      </c>
      <c r="E306" s="22" t="e">
        <f>GETPIVOTDATA("BAIL TYPE",#REF!,"MADE Y / N","Y","Counsel Type ","Appointed Attorney")</f>
        <v>#REF!</v>
      </c>
      <c r="F306" s="22" t="e">
        <f>GETPIVOTDATA("BAIL TYPE",#REF!,"MADE Y / N","Y","Counsel Type ","Hired Attorney")</f>
        <v>#REF!</v>
      </c>
      <c r="G306" s="22" t="e">
        <f>GETPIVOTDATA("BAIL TYPE",#REF!,"MADE Y / N","Y","Counsel Type ","Other/Unknown")</f>
        <v>#REF!</v>
      </c>
      <c r="H306" s="22" t="e">
        <f>GETPIVOTDATA("BAIL TYPE",#REF!,"MADE Y / N","Y","Counsel Type ","Public Defender")</f>
        <v>#REF!</v>
      </c>
      <c r="I306" s="22" t="e">
        <f>SUM(E306:H306)</f>
        <v>#REF!</v>
      </c>
    </row>
    <row r="307" spans="2:9" ht="19.5" thickBot="1" x14ac:dyDescent="0.35">
      <c r="D307" s="11" t="s">
        <v>916</v>
      </c>
      <c r="E307" s="14" t="e">
        <f>SUM(E305:E306)</f>
        <v>#REF!</v>
      </c>
      <c r="F307" s="14" t="e">
        <f>SUM(F305:F306)</f>
        <v>#REF!</v>
      </c>
      <c r="G307" s="14" t="e">
        <f>SUM(G305:G306)</f>
        <v>#REF!</v>
      </c>
      <c r="H307" s="14" t="e">
        <f>SUM(H305:H306)</f>
        <v>#REF!</v>
      </c>
      <c r="I307" s="14"/>
    </row>
    <row r="310" spans="2:9" ht="18.75" x14ac:dyDescent="0.3">
      <c r="D310" s="25"/>
      <c r="E310" s="25"/>
      <c r="F310" s="25"/>
    </row>
    <row r="312" spans="2:9" ht="18.75" x14ac:dyDescent="0.3">
      <c r="D312" s="52" t="s">
        <v>1004</v>
      </c>
    </row>
    <row r="314" spans="2:9" ht="15.75" thickBot="1" x14ac:dyDescent="0.3"/>
    <row r="315" spans="2:9" ht="19.5" thickBot="1" x14ac:dyDescent="0.35">
      <c r="D315" s="11" t="s">
        <v>586</v>
      </c>
      <c r="E315" s="19" t="s">
        <v>38</v>
      </c>
      <c r="F315" s="19" t="s">
        <v>52</v>
      </c>
      <c r="G315" s="19" t="s">
        <v>79</v>
      </c>
      <c r="H315" s="19" t="s">
        <v>99</v>
      </c>
      <c r="I315" s="19" t="s">
        <v>975</v>
      </c>
    </row>
    <row r="316" spans="2:9" ht="18.75" x14ac:dyDescent="0.3">
      <c r="B316" s="88"/>
      <c r="D316" s="46" t="s">
        <v>583</v>
      </c>
      <c r="E316" s="20" t="e">
        <f>VLOOKUP($D316,#REF!,2,0)</f>
        <v>#REF!</v>
      </c>
      <c r="F316" s="20" t="e">
        <f>VLOOKUP($D316,#REF!,3,0)</f>
        <v>#REF!</v>
      </c>
      <c r="G316" s="20" t="e">
        <f>VLOOKUP($D316,#REF!,4,0)</f>
        <v>#REF!</v>
      </c>
      <c r="H316" s="20" t="e">
        <f>VLOOKUP($D316,#REF!,5,0)</f>
        <v>#REF!</v>
      </c>
      <c r="I316" s="20" t="e">
        <f>VLOOKUP($D316,#REF!,6,0)</f>
        <v>#REF!</v>
      </c>
    </row>
    <row r="317" spans="2:9" ht="18.75" x14ac:dyDescent="0.3">
      <c r="B317" s="88"/>
      <c r="D317" s="55" t="s">
        <v>584</v>
      </c>
      <c r="E317" s="20" t="e">
        <f>VLOOKUP($D317,#REF!,2,0)</f>
        <v>#REF!</v>
      </c>
      <c r="F317" s="20" t="e">
        <f>VLOOKUP($D317,#REF!,3,0)</f>
        <v>#REF!</v>
      </c>
      <c r="G317" s="20" t="e">
        <f>VLOOKUP($D317,#REF!,4,0)</f>
        <v>#REF!</v>
      </c>
      <c r="H317" s="20" t="e">
        <f>VLOOKUP($D317,#REF!,5,0)</f>
        <v>#REF!</v>
      </c>
      <c r="I317" s="20" t="e">
        <f>VLOOKUP($D317,#REF!,6,0)</f>
        <v>#REF!</v>
      </c>
    </row>
    <row r="318" spans="2:9" ht="18.75" x14ac:dyDescent="0.3">
      <c r="B318" s="88"/>
      <c r="D318" s="55" t="s">
        <v>160</v>
      </c>
      <c r="E318" s="20" t="e">
        <f>VLOOKUP($D318,#REF!,2,0)</f>
        <v>#REF!</v>
      </c>
      <c r="F318" s="20" t="e">
        <f>VLOOKUP($D318,#REF!,3,0)</f>
        <v>#REF!</v>
      </c>
      <c r="G318" s="20" t="e">
        <f>VLOOKUP($D318,#REF!,4,0)</f>
        <v>#REF!</v>
      </c>
      <c r="H318" s="20" t="e">
        <f>VLOOKUP($D318,#REF!,5,0)</f>
        <v>#REF!</v>
      </c>
      <c r="I318" s="20" t="e">
        <f>VLOOKUP($D318,#REF!,6,0)</f>
        <v>#REF!</v>
      </c>
    </row>
    <row r="319" spans="2:9" ht="18.75" x14ac:dyDescent="0.3">
      <c r="B319" s="88"/>
      <c r="D319" s="55" t="s">
        <v>54</v>
      </c>
      <c r="E319" s="20" t="e">
        <f>VLOOKUP($D319,#REF!,2,0)</f>
        <v>#REF!</v>
      </c>
      <c r="F319" s="20" t="e">
        <f>VLOOKUP($D319,#REF!,3,0)</f>
        <v>#REF!</v>
      </c>
      <c r="G319" s="20" t="e">
        <f>VLOOKUP($D319,#REF!,4,0)</f>
        <v>#REF!</v>
      </c>
      <c r="H319" s="20" t="e">
        <f>VLOOKUP($D319,#REF!,5,0)</f>
        <v>#REF!</v>
      </c>
      <c r="I319" s="20" t="e">
        <f>VLOOKUP($D319,#REF!,6,0)</f>
        <v>#REF!</v>
      </c>
    </row>
    <row r="320" spans="2:9" ht="18.75" x14ac:dyDescent="0.3">
      <c r="B320" s="88"/>
      <c r="D320" s="55" t="s">
        <v>76</v>
      </c>
      <c r="E320" s="20" t="e">
        <f>VLOOKUP($D320,#REF!,2,0)</f>
        <v>#REF!</v>
      </c>
      <c r="F320" s="20" t="e">
        <f>VLOOKUP($D320,#REF!,3,0)</f>
        <v>#REF!</v>
      </c>
      <c r="G320" s="20" t="e">
        <f>VLOOKUP($D320,#REF!,4,0)</f>
        <v>#REF!</v>
      </c>
      <c r="H320" s="20" t="e">
        <f>VLOOKUP($D320,#REF!,5,0)</f>
        <v>#REF!</v>
      </c>
      <c r="I320" s="20" t="e">
        <f>VLOOKUP($D320,#REF!,6,0)</f>
        <v>#REF!</v>
      </c>
    </row>
    <row r="321" spans="2:14" ht="18.75" x14ac:dyDescent="0.3">
      <c r="B321" s="88"/>
      <c r="D321" s="55" t="s">
        <v>585</v>
      </c>
      <c r="E321" s="20" t="e">
        <f>VLOOKUP($D321,#REF!,2,0)</f>
        <v>#REF!</v>
      </c>
      <c r="F321" s="20" t="e">
        <f>VLOOKUP($D321,#REF!,3,0)</f>
        <v>#REF!</v>
      </c>
      <c r="G321" s="20" t="e">
        <f>VLOOKUP($D321,#REF!,4,0)</f>
        <v>#REF!</v>
      </c>
      <c r="H321" s="20" t="e">
        <f>VLOOKUP($D321,#REF!,5,0)</f>
        <v>#REF!</v>
      </c>
      <c r="I321" s="20" t="e">
        <f>VLOOKUP($D321,#REF!,6,0)</f>
        <v>#REF!</v>
      </c>
    </row>
    <row r="322" spans="2:14" ht="19.5" thickBot="1" x14ac:dyDescent="0.35">
      <c r="B322" s="88"/>
      <c r="D322" s="55" t="s">
        <v>1005</v>
      </c>
      <c r="E322" s="20" t="e">
        <f>GETPIVOTDATA("BAIL TYPE",#REF!,"BAIL TYPE","NONE","Counsel Type ","Appointed Attorney")</f>
        <v>#REF!</v>
      </c>
      <c r="F322" s="20" t="e">
        <f>GETPIVOTDATA("BAIL TYPE",#REF!,"BAIL TYPE","NONE","Counsel Type ","Hired Attorney")</f>
        <v>#REF!</v>
      </c>
      <c r="G322" s="20" t="e">
        <f>GETPIVOTDATA("BAIL TYPE",#REF!,"BAIL TYPE","NONE","Counsel Type ","Other/Unknown")</f>
        <v>#REF!</v>
      </c>
      <c r="H322" s="20" t="e">
        <f>GETPIVOTDATA("BAIL TYPE",#REF!,"BAIL TYPE","NONE","Counsel Type ","Public Defender")</f>
        <v>#REF!</v>
      </c>
      <c r="I322" s="20" t="e">
        <f>SUM(E322:H322)</f>
        <v>#REF!</v>
      </c>
    </row>
    <row r="323" spans="2:14" ht="19.5" thickBot="1" x14ac:dyDescent="0.35">
      <c r="B323" s="88"/>
      <c r="D323" s="11" t="s">
        <v>916</v>
      </c>
      <c r="E323" s="15" t="e">
        <f>SUM(E316:E322)</f>
        <v>#REF!</v>
      </c>
      <c r="F323" s="15" t="e">
        <f>SUM(F316:F322)</f>
        <v>#REF!</v>
      </c>
      <c r="G323" s="15" t="e">
        <f>SUM(G316:G322)</f>
        <v>#REF!</v>
      </c>
      <c r="H323" s="15" t="e">
        <f>SUM(H316:H322)</f>
        <v>#REF!</v>
      </c>
      <c r="I323" s="15" t="e">
        <f>SUM(I316:I322)</f>
        <v>#REF!</v>
      </c>
    </row>
    <row r="324" spans="2:14" x14ac:dyDescent="0.25">
      <c r="B324" s="88"/>
    </row>
    <row r="325" spans="2:14" x14ac:dyDescent="0.25">
      <c r="B325" s="88"/>
    </row>
    <row r="326" spans="2:14" ht="18.75" x14ac:dyDescent="0.3">
      <c r="B326" s="88"/>
      <c r="D326" s="52" t="s">
        <v>1011</v>
      </c>
    </row>
    <row r="327" spans="2:14" ht="18.75" x14ac:dyDescent="0.3">
      <c r="D327" s="52" t="s">
        <v>941</v>
      </c>
    </row>
    <row r="328" spans="2:14" ht="15.75" thickBot="1" x14ac:dyDescent="0.3"/>
    <row r="329" spans="2:14" ht="19.5" thickBot="1" x14ac:dyDescent="0.35">
      <c r="D329" s="11" t="s">
        <v>1010</v>
      </c>
      <c r="E329" s="19" t="s">
        <v>1006</v>
      </c>
      <c r="F329" s="19" t="s">
        <v>1007</v>
      </c>
      <c r="G329" s="19" t="s">
        <v>1008</v>
      </c>
      <c r="H329" s="19" t="s">
        <v>537</v>
      </c>
      <c r="I329" s="19" t="s">
        <v>48</v>
      </c>
      <c r="J329" s="11" t="s">
        <v>1009</v>
      </c>
      <c r="K329" s="19" t="s">
        <v>991</v>
      </c>
      <c r="L329" s="19" t="s">
        <v>992</v>
      </c>
      <c r="M329" s="19" t="s">
        <v>362</v>
      </c>
      <c r="N329" s="50" t="s">
        <v>1012</v>
      </c>
    </row>
    <row r="330" spans="2:14" ht="18.75" x14ac:dyDescent="0.3">
      <c r="D330" s="46" t="s">
        <v>38</v>
      </c>
      <c r="E330" s="20" t="e">
        <f>VLOOKUP(D330,#REF!,4,0)</f>
        <v>#REF!</v>
      </c>
      <c r="F330" s="20" t="e">
        <f>VLOOKUP($D330,#REF!,8,0)</f>
        <v>#REF!</v>
      </c>
      <c r="G330" s="20" t="e">
        <f>VLOOKUP($D330,#REF!,2,0)</f>
        <v>#REF!</v>
      </c>
      <c r="H330" s="20" t="e">
        <f>VLOOKUP($D330,#REF!,7,0)</f>
        <v>#REF!</v>
      </c>
      <c r="I330" s="20" t="e">
        <f>VLOOKUP($D330,#REF!,3,0)</f>
        <v>#REF!</v>
      </c>
      <c r="J330" s="46" t="e">
        <f>VLOOKUP($D330,#REF!,9,0)+VLOOKUP($D330,#REF!,5,0)</f>
        <v>#REF!</v>
      </c>
      <c r="K330" s="20" t="e">
        <f>VLOOKUP($D330,#REF!,6,0)</f>
        <v>#REF!</v>
      </c>
      <c r="L330" s="20" t="e">
        <f>VLOOKUP($D330,#REF!,10,0)</f>
        <v>#REF!</v>
      </c>
      <c r="M330" s="20" t="e">
        <f>VLOOKUP($D330,#REF!,11,0)</f>
        <v>#REF!</v>
      </c>
      <c r="N330" s="46" t="e">
        <f>SUM(E330:M330)</f>
        <v>#REF!</v>
      </c>
    </row>
    <row r="331" spans="2:14" ht="18.75" x14ac:dyDescent="0.3">
      <c r="D331" s="55" t="s">
        <v>52</v>
      </c>
      <c r="E331" s="20" t="e">
        <f>VLOOKUP(D331,#REF!,4,0)</f>
        <v>#REF!</v>
      </c>
      <c r="F331" s="20" t="e">
        <f>VLOOKUP($D331,#REF!,8,0)</f>
        <v>#REF!</v>
      </c>
      <c r="G331" s="20" t="e">
        <f>VLOOKUP($D331,#REF!,2,0)</f>
        <v>#REF!</v>
      </c>
      <c r="H331" s="20" t="e">
        <f>VLOOKUP($D331,#REF!,7,0)</f>
        <v>#REF!</v>
      </c>
      <c r="I331" s="20" t="e">
        <f>VLOOKUP($D331,#REF!,3,0)</f>
        <v>#REF!</v>
      </c>
      <c r="J331" s="46" t="e">
        <f>VLOOKUP($D331,#REF!,9,0)+VLOOKUP($D331,#REF!,5,0)</f>
        <v>#REF!</v>
      </c>
      <c r="K331" s="20" t="e">
        <f>VLOOKUP($D331,#REF!,6,0)</f>
        <v>#REF!</v>
      </c>
      <c r="L331" s="20" t="e">
        <f>VLOOKUP($D331,#REF!,10,0)</f>
        <v>#REF!</v>
      </c>
      <c r="M331" s="20" t="e">
        <f>VLOOKUP($D331,#REF!,11,0)</f>
        <v>#REF!</v>
      </c>
      <c r="N331" s="46" t="e">
        <f>SUM(E331:M331)</f>
        <v>#REF!</v>
      </c>
    </row>
    <row r="332" spans="2:14" ht="18.75" x14ac:dyDescent="0.3">
      <c r="D332" s="55" t="s">
        <v>79</v>
      </c>
      <c r="E332" s="20" t="e">
        <f>VLOOKUP(D332,#REF!,4,0)</f>
        <v>#REF!</v>
      </c>
      <c r="F332" s="20" t="e">
        <f>VLOOKUP($D332,#REF!,8,0)</f>
        <v>#REF!</v>
      </c>
      <c r="G332" s="20" t="e">
        <f>VLOOKUP($D332,#REF!,2,0)</f>
        <v>#REF!</v>
      </c>
      <c r="H332" s="20" t="e">
        <f>VLOOKUP($D332,#REF!,7,0)</f>
        <v>#REF!</v>
      </c>
      <c r="I332" s="20" t="e">
        <f>VLOOKUP($D332,#REF!,3,0)</f>
        <v>#REF!</v>
      </c>
      <c r="J332" s="46" t="e">
        <f>VLOOKUP($D332,#REF!,9,0)+VLOOKUP($D332,#REF!,5,0)</f>
        <v>#REF!</v>
      </c>
      <c r="K332" s="20" t="e">
        <f>VLOOKUP($D332,#REF!,6,0)</f>
        <v>#REF!</v>
      </c>
      <c r="L332" s="20" t="e">
        <f>VLOOKUP($D332,#REF!,10,0)</f>
        <v>#REF!</v>
      </c>
      <c r="M332" s="20" t="e">
        <f>VLOOKUP($D332,#REF!,11,0)</f>
        <v>#REF!</v>
      </c>
      <c r="N332" s="46" t="e">
        <f>SUM(E332:M332)</f>
        <v>#REF!</v>
      </c>
    </row>
    <row r="333" spans="2:14" ht="19.5" thickBot="1" x14ac:dyDescent="0.35">
      <c r="D333" s="55" t="s">
        <v>99</v>
      </c>
      <c r="E333" s="20" t="e">
        <f>VLOOKUP(D333,#REF!,4,0)</f>
        <v>#REF!</v>
      </c>
      <c r="F333" s="20" t="e">
        <f>VLOOKUP($D333,#REF!,8,0)</f>
        <v>#REF!</v>
      </c>
      <c r="G333" s="20" t="e">
        <f>VLOOKUP($D333,#REF!,2,0)</f>
        <v>#REF!</v>
      </c>
      <c r="H333" s="20" t="e">
        <f>VLOOKUP($D333,#REF!,7,0)</f>
        <v>#REF!</v>
      </c>
      <c r="I333" s="20" t="e">
        <f>VLOOKUP($D333,#REF!,3,0)</f>
        <v>#REF!</v>
      </c>
      <c r="J333" s="46" t="e">
        <f>VLOOKUP($D333,#REF!,9,0)+VLOOKUP($D333,#REF!,5,0)</f>
        <v>#REF!</v>
      </c>
      <c r="K333" s="20" t="e">
        <f>VLOOKUP($D333,#REF!,6,0)</f>
        <v>#REF!</v>
      </c>
      <c r="L333" s="20" t="e">
        <f>VLOOKUP($D333,#REF!,10,0)</f>
        <v>#REF!</v>
      </c>
      <c r="M333" s="20" t="e">
        <f>VLOOKUP($D333,#REF!,11,0)</f>
        <v>#REF!</v>
      </c>
      <c r="N333" s="46" t="e">
        <f>SUM(E333:M333)</f>
        <v>#REF!</v>
      </c>
    </row>
    <row r="334" spans="2:14" ht="19.5" thickBot="1" x14ac:dyDescent="0.35">
      <c r="D334" s="11" t="s">
        <v>916</v>
      </c>
      <c r="E334" s="15" t="e">
        <f t="shared" ref="E334:M334" si="10">SUM(E327:E333)</f>
        <v>#REF!</v>
      </c>
      <c r="F334" s="15" t="e">
        <f t="shared" si="10"/>
        <v>#REF!</v>
      </c>
      <c r="G334" s="15" t="e">
        <f t="shared" si="10"/>
        <v>#REF!</v>
      </c>
      <c r="H334" s="15" t="e">
        <f t="shared" si="10"/>
        <v>#REF!</v>
      </c>
      <c r="I334" s="15" t="e">
        <f t="shared" si="10"/>
        <v>#REF!</v>
      </c>
      <c r="J334" s="15" t="e">
        <f t="shared" si="10"/>
        <v>#REF!</v>
      </c>
      <c r="K334" s="15" t="e">
        <f t="shared" si="10"/>
        <v>#REF!</v>
      </c>
      <c r="L334" s="15" t="e">
        <f t="shared" si="10"/>
        <v>#REF!</v>
      </c>
      <c r="M334" s="15" t="e">
        <f t="shared" si="10"/>
        <v>#REF!</v>
      </c>
      <c r="N334" s="11" t="e">
        <f>SUM(E334:M334)</f>
        <v>#REF!</v>
      </c>
    </row>
    <row r="337" spans="4:14" ht="18.75" x14ac:dyDescent="0.3">
      <c r="D337" s="52" t="s">
        <v>1013</v>
      </c>
    </row>
    <row r="338" spans="4:14" ht="18.75" x14ac:dyDescent="0.3">
      <c r="D338" s="52" t="s">
        <v>939</v>
      </c>
    </row>
    <row r="340" spans="4:14" ht="15.75" thickBot="1" x14ac:dyDescent="0.3"/>
    <row r="341" spans="4:14" ht="19.5" thickBot="1" x14ac:dyDescent="0.35">
      <c r="D341" s="11" t="s">
        <v>576</v>
      </c>
      <c r="E341" s="19" t="s">
        <v>1006</v>
      </c>
      <c r="F341" s="19" t="s">
        <v>1007</v>
      </c>
      <c r="G341" s="19" t="s">
        <v>1008</v>
      </c>
      <c r="H341" s="19" t="s">
        <v>537</v>
      </c>
      <c r="I341" s="19" t="s">
        <v>48</v>
      </c>
      <c r="J341" s="11" t="s">
        <v>1009</v>
      </c>
      <c r="K341" s="19" t="s">
        <v>991</v>
      </c>
      <c r="L341" s="19" t="s">
        <v>992</v>
      </c>
      <c r="M341" s="19" t="s">
        <v>362</v>
      </c>
      <c r="N341" s="50" t="s">
        <v>1012</v>
      </c>
    </row>
    <row r="342" spans="4:14" ht="18.75" x14ac:dyDescent="0.3">
      <c r="D342" s="46" t="s">
        <v>38</v>
      </c>
      <c r="E342" s="20" t="e">
        <f>VLOOKUP(D342,#REF!,4,0)</f>
        <v>#REF!</v>
      </c>
      <c r="F342" s="20" t="e">
        <f>VLOOKUP($D342,#REF!,6,0)</f>
        <v>#REF!</v>
      </c>
      <c r="G342" s="20" t="e">
        <f>VLOOKUP($D342,#REF!,2,0)</f>
        <v>#REF!</v>
      </c>
      <c r="H342" s="20">
        <v>0</v>
      </c>
      <c r="I342" s="20" t="e">
        <f>VLOOKUP($D342,#REF!,3,0)</f>
        <v>#REF!</v>
      </c>
      <c r="J342" s="46" t="e">
        <f>VLOOKUP($D342,#REF!,7,0)</f>
        <v>#REF!</v>
      </c>
      <c r="K342" s="20" t="e">
        <f>VLOOKUP($D342,#REF!,5,0)</f>
        <v>#REF!</v>
      </c>
      <c r="L342" s="20" t="e">
        <f>VLOOKUP($D342,#REF!,8,0)</f>
        <v>#REF!</v>
      </c>
      <c r="M342" s="20" t="e">
        <f>VLOOKUP($D342,#REF!,9,0)</f>
        <v>#REF!</v>
      </c>
      <c r="N342" s="46" t="e">
        <f>SUM(E342:M342)</f>
        <v>#REF!</v>
      </c>
    </row>
    <row r="343" spans="4:14" ht="18.75" x14ac:dyDescent="0.3">
      <c r="D343" s="55" t="s">
        <v>52</v>
      </c>
      <c r="E343" s="20" t="e">
        <f>VLOOKUP(D343,#REF!,4,0)</f>
        <v>#REF!</v>
      </c>
      <c r="F343" s="20" t="e">
        <f>VLOOKUP($D343,#REF!,6,0)</f>
        <v>#REF!</v>
      </c>
      <c r="G343" s="20" t="e">
        <f>VLOOKUP($D343,#REF!,2,0)</f>
        <v>#REF!</v>
      </c>
      <c r="H343" s="20">
        <v>0</v>
      </c>
      <c r="I343" s="20" t="e">
        <f>VLOOKUP($D343,#REF!,3,0)</f>
        <v>#REF!</v>
      </c>
      <c r="J343" s="46" t="e">
        <f>VLOOKUP($D343,#REF!,7,0)</f>
        <v>#REF!</v>
      </c>
      <c r="K343" s="20" t="e">
        <f>VLOOKUP($D343,#REF!,5,0)</f>
        <v>#REF!</v>
      </c>
      <c r="L343" s="20" t="e">
        <f>VLOOKUP($D343,#REF!,8,0)</f>
        <v>#REF!</v>
      </c>
      <c r="M343" s="20" t="e">
        <f>VLOOKUP($D343,#REF!,9,0)</f>
        <v>#REF!</v>
      </c>
      <c r="N343" s="55" t="e">
        <f>SUM(E343:M343)</f>
        <v>#REF!</v>
      </c>
    </row>
    <row r="344" spans="4:14" ht="18.75" x14ac:dyDescent="0.3">
      <c r="D344" s="55" t="s">
        <v>79</v>
      </c>
      <c r="E344" s="20" t="e">
        <f>VLOOKUP(D344,#REF!,4,0)</f>
        <v>#REF!</v>
      </c>
      <c r="F344" s="20" t="e">
        <f>VLOOKUP($D344,#REF!,6,0)</f>
        <v>#REF!</v>
      </c>
      <c r="G344" s="20" t="e">
        <f>VLOOKUP($D344,#REF!,2,0)</f>
        <v>#REF!</v>
      </c>
      <c r="H344" s="20">
        <v>0</v>
      </c>
      <c r="I344" s="20" t="e">
        <f>VLOOKUP($D344,#REF!,3,0)</f>
        <v>#REF!</v>
      </c>
      <c r="J344" s="46" t="e">
        <f>VLOOKUP($D344,#REF!,7,0)</f>
        <v>#REF!</v>
      </c>
      <c r="K344" s="20" t="e">
        <f>VLOOKUP($D344,#REF!,5,0)</f>
        <v>#REF!</v>
      </c>
      <c r="L344" s="20" t="e">
        <f>VLOOKUP($D344,#REF!,8,0)</f>
        <v>#REF!</v>
      </c>
      <c r="M344" s="20" t="e">
        <f>VLOOKUP($D344,#REF!,9,0)</f>
        <v>#REF!</v>
      </c>
      <c r="N344" s="55" t="e">
        <f>SUM(E344:M344)</f>
        <v>#REF!</v>
      </c>
    </row>
    <row r="345" spans="4:14" ht="19.5" thickBot="1" x14ac:dyDescent="0.35">
      <c r="D345" s="55" t="s">
        <v>99</v>
      </c>
      <c r="E345" s="20" t="e">
        <f>VLOOKUP(D345,#REF!,4,0)</f>
        <v>#REF!</v>
      </c>
      <c r="F345" s="20" t="e">
        <f>VLOOKUP($D345,#REF!,6,0)</f>
        <v>#REF!</v>
      </c>
      <c r="G345" s="20" t="e">
        <f>VLOOKUP($D345,#REF!,2,0)</f>
        <v>#REF!</v>
      </c>
      <c r="H345" s="20">
        <v>0</v>
      </c>
      <c r="I345" s="20" t="e">
        <f>VLOOKUP($D345,#REF!,3,0)</f>
        <v>#REF!</v>
      </c>
      <c r="J345" s="46" t="e">
        <f>VLOOKUP($D345,#REF!,7,0)</f>
        <v>#REF!</v>
      </c>
      <c r="K345" s="20" t="e">
        <f>VLOOKUP($D345,#REF!,5,0)</f>
        <v>#REF!</v>
      </c>
      <c r="L345" s="20" t="e">
        <f>VLOOKUP($D345,#REF!,8,0)</f>
        <v>#REF!</v>
      </c>
      <c r="M345" s="20" t="e">
        <f>VLOOKUP($D345,#REF!,9,0)</f>
        <v>#REF!</v>
      </c>
      <c r="N345" s="55" t="e">
        <f>SUM(E345:M345)</f>
        <v>#REF!</v>
      </c>
    </row>
    <row r="346" spans="4:14" ht="19.5" thickBot="1" x14ac:dyDescent="0.35">
      <c r="D346" s="11" t="s">
        <v>582</v>
      </c>
      <c r="E346" s="15" t="e">
        <f t="shared" ref="E346:M346" si="11">SUM(E342:E345)</f>
        <v>#REF!</v>
      </c>
      <c r="F346" s="15" t="e">
        <f t="shared" si="11"/>
        <v>#REF!</v>
      </c>
      <c r="G346" s="15" t="e">
        <f t="shared" si="11"/>
        <v>#REF!</v>
      </c>
      <c r="H346" s="15">
        <f t="shared" si="11"/>
        <v>0</v>
      </c>
      <c r="I346" s="15" t="e">
        <f t="shared" si="11"/>
        <v>#REF!</v>
      </c>
      <c r="J346" s="15" t="e">
        <f t="shared" si="11"/>
        <v>#REF!</v>
      </c>
      <c r="K346" s="15" t="e">
        <f t="shared" si="11"/>
        <v>#REF!</v>
      </c>
      <c r="L346" s="15" t="e">
        <f t="shared" si="11"/>
        <v>#REF!</v>
      </c>
      <c r="M346" s="15" t="e">
        <f t="shared" si="11"/>
        <v>#REF!</v>
      </c>
      <c r="N346" s="11" t="e">
        <f>SUM(E346:M346)</f>
        <v>#REF!</v>
      </c>
    </row>
    <row r="347" spans="4:14" ht="15.75" thickBot="1" x14ac:dyDescent="0.3"/>
    <row r="348" spans="4:14" ht="19.5" thickBot="1" x14ac:dyDescent="0.35">
      <c r="D348" s="11" t="s">
        <v>576</v>
      </c>
      <c r="E348" s="19" t="s">
        <v>1006</v>
      </c>
      <c r="F348" s="19" t="s">
        <v>1007</v>
      </c>
      <c r="G348" s="19" t="s">
        <v>1008</v>
      </c>
      <c r="H348" s="19" t="s">
        <v>537</v>
      </c>
      <c r="I348" s="19" t="s">
        <v>48</v>
      </c>
      <c r="J348" s="19" t="s">
        <v>1009</v>
      </c>
      <c r="K348" s="19" t="s">
        <v>991</v>
      </c>
      <c r="L348" s="19" t="s">
        <v>992</v>
      </c>
      <c r="M348" s="19" t="s">
        <v>362</v>
      </c>
      <c r="N348" s="50" t="s">
        <v>1012</v>
      </c>
    </row>
    <row r="349" spans="4:14" ht="18.75" x14ac:dyDescent="0.3">
      <c r="D349" s="46" t="s">
        <v>38</v>
      </c>
      <c r="E349" s="22" t="e">
        <f>+E342/$N342</f>
        <v>#REF!</v>
      </c>
      <c r="F349" s="22" t="e">
        <f t="shared" ref="F349:M349" si="12">+F342/$N342</f>
        <v>#REF!</v>
      </c>
      <c r="G349" s="22" t="e">
        <f t="shared" si="12"/>
        <v>#REF!</v>
      </c>
      <c r="H349" s="22" t="e">
        <f t="shared" si="12"/>
        <v>#REF!</v>
      </c>
      <c r="I349" s="22" t="e">
        <f t="shared" si="12"/>
        <v>#REF!</v>
      </c>
      <c r="J349" s="22" t="e">
        <f t="shared" si="12"/>
        <v>#REF!</v>
      </c>
      <c r="K349" s="22" t="e">
        <f t="shared" si="12"/>
        <v>#REF!</v>
      </c>
      <c r="L349" s="22" t="e">
        <f t="shared" si="12"/>
        <v>#REF!</v>
      </c>
      <c r="M349" s="22" t="e">
        <f t="shared" si="12"/>
        <v>#REF!</v>
      </c>
      <c r="N349" s="83" t="e">
        <f>SUM(E349:M349)</f>
        <v>#REF!</v>
      </c>
    </row>
    <row r="350" spans="4:14" ht="18.75" x14ac:dyDescent="0.3">
      <c r="D350" s="47" t="s">
        <v>52</v>
      </c>
      <c r="E350" s="22" t="e">
        <f>+E343/$N343</f>
        <v>#REF!</v>
      </c>
      <c r="F350" s="22" t="e">
        <f t="shared" ref="F350:M350" si="13">+F343/$N343</f>
        <v>#REF!</v>
      </c>
      <c r="G350" s="22" t="e">
        <f t="shared" si="13"/>
        <v>#REF!</v>
      </c>
      <c r="H350" s="22" t="e">
        <f t="shared" si="13"/>
        <v>#REF!</v>
      </c>
      <c r="I350" s="22" t="e">
        <f t="shared" si="13"/>
        <v>#REF!</v>
      </c>
      <c r="J350" s="22" t="e">
        <f t="shared" si="13"/>
        <v>#REF!</v>
      </c>
      <c r="K350" s="22" t="e">
        <f t="shared" si="13"/>
        <v>#REF!</v>
      </c>
      <c r="L350" s="22" t="e">
        <f t="shared" si="13"/>
        <v>#REF!</v>
      </c>
      <c r="M350" s="22" t="e">
        <f t="shared" si="13"/>
        <v>#REF!</v>
      </c>
      <c r="N350" s="89" t="e">
        <f>SUM(E350:M350)</f>
        <v>#REF!</v>
      </c>
    </row>
    <row r="351" spans="4:14" ht="18.75" x14ac:dyDescent="0.3">
      <c r="D351" s="47" t="s">
        <v>79</v>
      </c>
      <c r="E351" s="22" t="e">
        <f t="shared" ref="E351:M352" si="14">+E344/$N344</f>
        <v>#REF!</v>
      </c>
      <c r="F351" s="22" t="e">
        <f t="shared" si="14"/>
        <v>#REF!</v>
      </c>
      <c r="G351" s="22" t="e">
        <f t="shared" si="14"/>
        <v>#REF!</v>
      </c>
      <c r="H351" s="22" t="e">
        <f t="shared" si="14"/>
        <v>#REF!</v>
      </c>
      <c r="I351" s="22" t="e">
        <f t="shared" si="14"/>
        <v>#REF!</v>
      </c>
      <c r="J351" s="22" t="e">
        <f t="shared" si="14"/>
        <v>#REF!</v>
      </c>
      <c r="K351" s="22" t="e">
        <f t="shared" si="14"/>
        <v>#REF!</v>
      </c>
      <c r="L351" s="22" t="e">
        <f t="shared" si="14"/>
        <v>#REF!</v>
      </c>
      <c r="M351" s="22" t="e">
        <f t="shared" si="14"/>
        <v>#REF!</v>
      </c>
      <c r="N351" s="89" t="e">
        <f>SUM(E351:M351)</f>
        <v>#REF!</v>
      </c>
    </row>
    <row r="352" spans="4:14" ht="19.5" thickBot="1" x14ac:dyDescent="0.35">
      <c r="D352" s="49" t="s">
        <v>99</v>
      </c>
      <c r="E352" s="48" t="e">
        <f t="shared" si="14"/>
        <v>#REF!</v>
      </c>
      <c r="F352" s="48" t="e">
        <f t="shared" si="14"/>
        <v>#REF!</v>
      </c>
      <c r="G352" s="48" t="e">
        <f t="shared" si="14"/>
        <v>#REF!</v>
      </c>
      <c r="H352" s="48" t="e">
        <f t="shared" si="14"/>
        <v>#REF!</v>
      </c>
      <c r="I352" s="48" t="e">
        <f t="shared" si="14"/>
        <v>#REF!</v>
      </c>
      <c r="J352" s="48" t="e">
        <f t="shared" si="14"/>
        <v>#REF!</v>
      </c>
      <c r="K352" s="48" t="e">
        <f t="shared" si="14"/>
        <v>#REF!</v>
      </c>
      <c r="L352" s="48" t="e">
        <f t="shared" si="14"/>
        <v>#REF!</v>
      </c>
      <c r="M352" s="48" t="e">
        <f t="shared" si="14"/>
        <v>#REF!</v>
      </c>
      <c r="N352" s="90" t="e">
        <f>SUM(E352:M352)</f>
        <v>#REF!</v>
      </c>
    </row>
    <row r="355" spans="4:14" ht="18.75" x14ac:dyDescent="0.3">
      <c r="D355" s="52" t="s">
        <v>1014</v>
      </c>
    </row>
    <row r="356" spans="4:14" ht="18.75" x14ac:dyDescent="0.3">
      <c r="D356" s="52" t="s">
        <v>977</v>
      </c>
    </row>
    <row r="357" spans="4:14" ht="15.75" thickBot="1" x14ac:dyDescent="0.3"/>
    <row r="358" spans="4:14" ht="19.5" thickBot="1" x14ac:dyDescent="0.35">
      <c r="D358" s="11" t="s">
        <v>576</v>
      </c>
      <c r="E358" s="19" t="s">
        <v>1006</v>
      </c>
      <c r="F358" s="19" t="s">
        <v>1007</v>
      </c>
      <c r="G358" s="19" t="s">
        <v>1008</v>
      </c>
      <c r="H358" s="19" t="s">
        <v>537</v>
      </c>
      <c r="I358" s="19" t="s">
        <v>48</v>
      </c>
      <c r="J358" s="11" t="s">
        <v>1009</v>
      </c>
      <c r="K358" s="19" t="s">
        <v>991</v>
      </c>
      <c r="L358" s="19" t="s">
        <v>992</v>
      </c>
      <c r="M358" s="19" t="s">
        <v>362</v>
      </c>
      <c r="N358" s="50" t="s">
        <v>1012</v>
      </c>
    </row>
    <row r="359" spans="4:14" ht="18.75" x14ac:dyDescent="0.3">
      <c r="D359" s="46" t="s">
        <v>38</v>
      </c>
      <c r="E359" s="20" t="e">
        <f>VLOOKUP($D359,#REF!,3,0)</f>
        <v>#REF!</v>
      </c>
      <c r="F359" s="20">
        <v>0</v>
      </c>
      <c r="G359" s="20">
        <v>0</v>
      </c>
      <c r="H359" s="20">
        <v>0</v>
      </c>
      <c r="I359" s="20" t="e">
        <f>VLOOKUP($D359,#REF!,2,0)</f>
        <v>#REF!</v>
      </c>
      <c r="J359" s="20" t="e">
        <f>VLOOKUP($D359,#REF!,5,0)</f>
        <v>#REF!</v>
      </c>
      <c r="K359" s="20" t="e">
        <f>VLOOKUP($D359,#REF!,4,0)</f>
        <v>#REF!</v>
      </c>
      <c r="L359" s="20" t="e">
        <f>VLOOKUP($D359,#REF!,6,0)</f>
        <v>#REF!</v>
      </c>
      <c r="M359" s="20" t="e">
        <f>VLOOKUP($D359,#REF!,7,0)</f>
        <v>#REF!</v>
      </c>
      <c r="N359" s="46" t="e">
        <f>SUM(E359:M359)</f>
        <v>#REF!</v>
      </c>
    </row>
    <row r="360" spans="4:14" ht="18.75" x14ac:dyDescent="0.3">
      <c r="D360" s="55" t="s">
        <v>52</v>
      </c>
      <c r="E360" s="20" t="e">
        <f>VLOOKUP($D360,#REF!,3,0)</f>
        <v>#REF!</v>
      </c>
      <c r="F360" s="20">
        <v>0</v>
      </c>
      <c r="G360" s="20">
        <v>0</v>
      </c>
      <c r="H360" s="20">
        <v>0</v>
      </c>
      <c r="I360" s="20" t="e">
        <f>VLOOKUP($D360,#REF!,2,0)</f>
        <v>#REF!</v>
      </c>
      <c r="J360" s="20" t="e">
        <f>VLOOKUP($D360,#REF!,5,0)</f>
        <v>#REF!</v>
      </c>
      <c r="K360" s="20" t="e">
        <f>VLOOKUP($D360,#REF!,4,0)</f>
        <v>#REF!</v>
      </c>
      <c r="L360" s="20" t="e">
        <f>VLOOKUP($D360,#REF!,6,0)</f>
        <v>#REF!</v>
      </c>
      <c r="M360" s="20" t="e">
        <f>VLOOKUP($D360,#REF!,7,0)</f>
        <v>#REF!</v>
      </c>
      <c r="N360" s="55" t="e">
        <f>SUM(E360:M360)</f>
        <v>#REF!</v>
      </c>
    </row>
    <row r="361" spans="4:14" ht="18.75" x14ac:dyDescent="0.3">
      <c r="D361" s="55" t="s">
        <v>79</v>
      </c>
      <c r="E361" s="20" t="e">
        <f>VLOOKUP($D361,#REF!,3,0)</f>
        <v>#REF!</v>
      </c>
      <c r="F361" s="20">
        <v>0</v>
      </c>
      <c r="G361" s="20">
        <v>0</v>
      </c>
      <c r="H361" s="20">
        <v>0</v>
      </c>
      <c r="I361" s="20" t="e">
        <f>VLOOKUP($D361,#REF!,2,0)</f>
        <v>#REF!</v>
      </c>
      <c r="J361" s="20" t="e">
        <f>VLOOKUP($D361,#REF!,5,0)</f>
        <v>#REF!</v>
      </c>
      <c r="K361" s="20" t="e">
        <f>VLOOKUP($D361,#REF!,4,0)</f>
        <v>#REF!</v>
      </c>
      <c r="L361" s="20" t="e">
        <f>VLOOKUP($D361,#REF!,6,0)</f>
        <v>#REF!</v>
      </c>
      <c r="M361" s="20" t="e">
        <f>VLOOKUP($D361,#REF!,7,0)</f>
        <v>#REF!</v>
      </c>
      <c r="N361" s="55" t="e">
        <f>SUM(E361:M361)</f>
        <v>#REF!</v>
      </c>
    </row>
    <row r="362" spans="4:14" ht="19.5" thickBot="1" x14ac:dyDescent="0.35">
      <c r="D362" s="55" t="s">
        <v>99</v>
      </c>
      <c r="E362" s="20" t="e">
        <f>VLOOKUP($D362,#REF!,3,0)</f>
        <v>#REF!</v>
      </c>
      <c r="F362" s="20">
        <v>0</v>
      </c>
      <c r="G362" s="20">
        <v>0</v>
      </c>
      <c r="H362" s="20">
        <v>0</v>
      </c>
      <c r="I362" s="20" t="e">
        <f>VLOOKUP($D362,#REF!,2,0)</f>
        <v>#REF!</v>
      </c>
      <c r="J362" s="20" t="e">
        <f>VLOOKUP($D362,#REF!,5,0)</f>
        <v>#REF!</v>
      </c>
      <c r="K362" s="20" t="e">
        <f>VLOOKUP($D362,#REF!,4,0)</f>
        <v>#REF!</v>
      </c>
      <c r="L362" s="20" t="e">
        <f>VLOOKUP($D362,#REF!,6,0)</f>
        <v>#REF!</v>
      </c>
      <c r="M362" s="20" t="e">
        <f>VLOOKUP($D362,#REF!,7,0)</f>
        <v>#REF!</v>
      </c>
      <c r="N362" s="55" t="e">
        <f>SUM(E362:M362)</f>
        <v>#REF!</v>
      </c>
    </row>
    <row r="363" spans="4:14" ht="19.5" thickBot="1" x14ac:dyDescent="0.35">
      <c r="D363" s="11" t="s">
        <v>582</v>
      </c>
      <c r="E363" s="15" t="e">
        <f t="shared" ref="E363:N363" si="15">SUM(E359:E362)</f>
        <v>#REF!</v>
      </c>
      <c r="F363" s="15">
        <f t="shared" si="15"/>
        <v>0</v>
      </c>
      <c r="G363" s="15">
        <f t="shared" si="15"/>
        <v>0</v>
      </c>
      <c r="H363" s="15">
        <f t="shared" si="15"/>
        <v>0</v>
      </c>
      <c r="I363" s="15" t="e">
        <f t="shared" si="15"/>
        <v>#REF!</v>
      </c>
      <c r="J363" s="15" t="e">
        <f t="shared" si="15"/>
        <v>#REF!</v>
      </c>
      <c r="K363" s="15" t="e">
        <f t="shared" si="15"/>
        <v>#REF!</v>
      </c>
      <c r="L363" s="15" t="e">
        <f t="shared" si="15"/>
        <v>#REF!</v>
      </c>
      <c r="M363" s="15" t="e">
        <f t="shared" si="15"/>
        <v>#REF!</v>
      </c>
      <c r="N363" s="15" t="e">
        <f t="shared" si="15"/>
        <v>#REF!</v>
      </c>
    </row>
    <row r="364" spans="4:14" ht="15.75" thickBot="1" x14ac:dyDescent="0.3"/>
    <row r="365" spans="4:14" ht="19.5" thickBot="1" x14ac:dyDescent="0.35">
      <c r="D365" s="11" t="s">
        <v>576</v>
      </c>
      <c r="E365" s="19" t="s">
        <v>1006</v>
      </c>
      <c r="F365" s="19" t="s">
        <v>1007</v>
      </c>
      <c r="G365" s="19" t="s">
        <v>1008</v>
      </c>
      <c r="H365" s="19" t="s">
        <v>537</v>
      </c>
      <c r="I365" s="19" t="s">
        <v>48</v>
      </c>
      <c r="J365" s="16" t="s">
        <v>1009</v>
      </c>
      <c r="K365" s="19" t="s">
        <v>991</v>
      </c>
      <c r="L365" s="19" t="s">
        <v>992</v>
      </c>
      <c r="M365" s="19" t="s">
        <v>362</v>
      </c>
      <c r="N365" s="50" t="s">
        <v>1012</v>
      </c>
    </row>
    <row r="366" spans="4:14" ht="18.75" x14ac:dyDescent="0.3">
      <c r="D366" s="46" t="s">
        <v>38</v>
      </c>
      <c r="E366" s="22" t="e">
        <f>+E359/$N359</f>
        <v>#REF!</v>
      </c>
      <c r="F366" s="22" t="e">
        <f t="shared" ref="F366:M366" si="16">+F359/$N359</f>
        <v>#REF!</v>
      </c>
      <c r="G366" s="22" t="e">
        <f t="shared" si="16"/>
        <v>#REF!</v>
      </c>
      <c r="H366" s="22" t="e">
        <f t="shared" si="16"/>
        <v>#REF!</v>
      </c>
      <c r="I366" s="22" t="e">
        <f t="shared" si="16"/>
        <v>#REF!</v>
      </c>
      <c r="J366" s="83" t="e">
        <f t="shared" si="16"/>
        <v>#REF!</v>
      </c>
      <c r="K366" s="22" t="e">
        <f t="shared" si="16"/>
        <v>#REF!</v>
      </c>
      <c r="L366" s="22" t="e">
        <f t="shared" si="16"/>
        <v>#REF!</v>
      </c>
      <c r="M366" s="22" t="e">
        <f t="shared" si="16"/>
        <v>#REF!</v>
      </c>
      <c r="N366" s="83" t="e">
        <f>SUM(E366:M366)</f>
        <v>#REF!</v>
      </c>
    </row>
    <row r="367" spans="4:14" ht="18.75" x14ac:dyDescent="0.3">
      <c r="D367" s="47" t="s">
        <v>52</v>
      </c>
      <c r="E367" s="22" t="e">
        <f>+E360/$N360</f>
        <v>#REF!</v>
      </c>
      <c r="F367" s="22" t="e">
        <f t="shared" ref="F367:M367" si="17">+F360/$N360</f>
        <v>#REF!</v>
      </c>
      <c r="G367" s="22" t="e">
        <f t="shared" si="17"/>
        <v>#REF!</v>
      </c>
      <c r="H367" s="22" t="e">
        <f t="shared" si="17"/>
        <v>#REF!</v>
      </c>
      <c r="I367" s="22" t="e">
        <f t="shared" si="17"/>
        <v>#REF!</v>
      </c>
      <c r="J367" s="83" t="e">
        <f t="shared" si="17"/>
        <v>#REF!</v>
      </c>
      <c r="K367" s="22" t="e">
        <f t="shared" si="17"/>
        <v>#REF!</v>
      </c>
      <c r="L367" s="22" t="e">
        <f t="shared" si="17"/>
        <v>#REF!</v>
      </c>
      <c r="M367" s="22" t="e">
        <f t="shared" si="17"/>
        <v>#REF!</v>
      </c>
      <c r="N367" s="89" t="e">
        <f>SUM(E367:M367)</f>
        <v>#REF!</v>
      </c>
    </row>
    <row r="368" spans="4:14" ht="18.75" x14ac:dyDescent="0.3">
      <c r="D368" s="47" t="s">
        <v>79</v>
      </c>
      <c r="E368" s="22" t="e">
        <f t="shared" ref="E368:M368" si="18">+E361/$N361</f>
        <v>#REF!</v>
      </c>
      <c r="F368" s="22" t="e">
        <f t="shared" si="18"/>
        <v>#REF!</v>
      </c>
      <c r="G368" s="22" t="e">
        <f t="shared" si="18"/>
        <v>#REF!</v>
      </c>
      <c r="H368" s="22" t="e">
        <f t="shared" si="18"/>
        <v>#REF!</v>
      </c>
      <c r="I368" s="22" t="e">
        <f t="shared" si="18"/>
        <v>#REF!</v>
      </c>
      <c r="J368" s="83" t="e">
        <f t="shared" si="18"/>
        <v>#REF!</v>
      </c>
      <c r="K368" s="22" t="e">
        <f t="shared" si="18"/>
        <v>#REF!</v>
      </c>
      <c r="L368" s="22" t="e">
        <f t="shared" si="18"/>
        <v>#REF!</v>
      </c>
      <c r="M368" s="22" t="e">
        <f t="shared" si="18"/>
        <v>#REF!</v>
      </c>
      <c r="N368" s="89" t="e">
        <f>SUM(E368:M368)</f>
        <v>#REF!</v>
      </c>
    </row>
    <row r="369" spans="4:14" ht="19.5" thickBot="1" x14ac:dyDescent="0.35">
      <c r="D369" s="49" t="s">
        <v>99</v>
      </c>
      <c r="E369" s="48" t="e">
        <f t="shared" ref="E369:M369" si="19">+E362/$N362</f>
        <v>#REF!</v>
      </c>
      <c r="F369" s="48" t="e">
        <f t="shared" si="19"/>
        <v>#REF!</v>
      </c>
      <c r="G369" s="48" t="e">
        <f t="shared" si="19"/>
        <v>#REF!</v>
      </c>
      <c r="H369" s="48" t="e">
        <f t="shared" si="19"/>
        <v>#REF!</v>
      </c>
      <c r="I369" s="48" t="e">
        <f t="shared" si="19"/>
        <v>#REF!</v>
      </c>
      <c r="J369" s="91" t="e">
        <f t="shared" si="19"/>
        <v>#REF!</v>
      </c>
      <c r="K369" s="48" t="e">
        <f t="shared" si="19"/>
        <v>#REF!</v>
      </c>
      <c r="L369" s="48" t="e">
        <f t="shared" si="19"/>
        <v>#REF!</v>
      </c>
      <c r="M369" s="48" t="e">
        <f t="shared" si="19"/>
        <v>#REF!</v>
      </c>
      <c r="N369" s="90" t="e">
        <f>SUM(E369:M369)</f>
        <v>#REF!</v>
      </c>
    </row>
    <row r="372" spans="4:14" ht="18.75" x14ac:dyDescent="0.3">
      <c r="D372" s="52" t="s">
        <v>1015</v>
      </c>
    </row>
    <row r="373" spans="4:14" ht="18.75" x14ac:dyDescent="0.3">
      <c r="D373" s="52" t="s">
        <v>1016</v>
      </c>
    </row>
    <row r="374" spans="4:14" ht="15.75" thickBot="1" x14ac:dyDescent="0.3"/>
    <row r="375" spans="4:14" ht="19.5" thickBot="1" x14ac:dyDescent="0.35">
      <c r="D375" s="11" t="s">
        <v>576</v>
      </c>
      <c r="E375" s="19" t="s">
        <v>1006</v>
      </c>
      <c r="F375" s="19" t="s">
        <v>1007</v>
      </c>
      <c r="G375" s="19" t="s">
        <v>1008</v>
      </c>
      <c r="H375" s="19" t="s">
        <v>537</v>
      </c>
      <c r="I375" s="19" t="s">
        <v>48</v>
      </c>
      <c r="J375" s="11" t="s">
        <v>1009</v>
      </c>
      <c r="K375" s="19" t="s">
        <v>991</v>
      </c>
      <c r="L375" s="19" t="s">
        <v>992</v>
      </c>
      <c r="M375" s="19" t="s">
        <v>362</v>
      </c>
      <c r="N375" s="50" t="s">
        <v>1012</v>
      </c>
    </row>
    <row r="376" spans="4:14" ht="18.75" x14ac:dyDescent="0.3">
      <c r="D376" s="46" t="s">
        <v>38</v>
      </c>
      <c r="E376" s="20" t="e">
        <f>VLOOKUP($D376,#REF!,3,0)</f>
        <v>#REF!</v>
      </c>
      <c r="F376" s="20" t="e">
        <f>VLOOKUP($D376,#REF!,6,0)</f>
        <v>#REF!</v>
      </c>
      <c r="G376" s="20">
        <v>0</v>
      </c>
      <c r="H376" s="20" t="e">
        <f>VLOOKUP($D376,#REF!,5,0)</f>
        <v>#REF!</v>
      </c>
      <c r="I376" s="20" t="e">
        <f>VLOOKUP($D376,#REF!,2,0)</f>
        <v>#REF!</v>
      </c>
      <c r="J376" s="20" t="e">
        <f>VLOOKUP($D376,#REF!,7,0)</f>
        <v>#REF!</v>
      </c>
      <c r="K376" s="20" t="e">
        <f>VLOOKUP($D376,#REF!,4,0)</f>
        <v>#REF!</v>
      </c>
      <c r="L376" s="20" t="e">
        <f>VLOOKUP($D376,#REF!,8,0)</f>
        <v>#REF!</v>
      </c>
      <c r="M376" s="20" t="e">
        <f>VLOOKUP($D376,#REF!,9,0)</f>
        <v>#REF!</v>
      </c>
      <c r="N376" s="46" t="e">
        <f>SUM(E376:M376)</f>
        <v>#REF!</v>
      </c>
    </row>
    <row r="377" spans="4:14" ht="18.75" x14ac:dyDescent="0.3">
      <c r="D377" s="55" t="s">
        <v>52</v>
      </c>
      <c r="E377" s="20" t="e">
        <f>VLOOKUP($D377,#REF!,3,0)</f>
        <v>#REF!</v>
      </c>
      <c r="F377" s="20" t="e">
        <f>VLOOKUP($D377,#REF!,6,0)</f>
        <v>#REF!</v>
      </c>
      <c r="G377" s="20">
        <v>0</v>
      </c>
      <c r="H377" s="20" t="e">
        <f>VLOOKUP($D377,#REF!,5,0)</f>
        <v>#REF!</v>
      </c>
      <c r="I377" s="20" t="e">
        <f>VLOOKUP($D377,#REF!,2,0)</f>
        <v>#REF!</v>
      </c>
      <c r="J377" s="20" t="e">
        <f>VLOOKUP($D377,#REF!,7,0)</f>
        <v>#REF!</v>
      </c>
      <c r="K377" s="20" t="e">
        <f>VLOOKUP($D377,#REF!,4,0)</f>
        <v>#REF!</v>
      </c>
      <c r="L377" s="20" t="e">
        <f>VLOOKUP($D377,#REF!,8,0)</f>
        <v>#REF!</v>
      </c>
      <c r="M377" s="20" t="e">
        <f>VLOOKUP($D377,#REF!,9,0)</f>
        <v>#REF!</v>
      </c>
      <c r="N377" s="55" t="e">
        <f>SUM(E377:M377)</f>
        <v>#REF!</v>
      </c>
    </row>
    <row r="378" spans="4:14" ht="18.75" x14ac:dyDescent="0.3">
      <c r="D378" s="55" t="s">
        <v>79</v>
      </c>
      <c r="E378" s="20" t="e">
        <f>VLOOKUP($D378,#REF!,3,0)</f>
        <v>#REF!</v>
      </c>
      <c r="F378" s="20" t="e">
        <f>VLOOKUP($D378,#REF!,6,0)</f>
        <v>#REF!</v>
      </c>
      <c r="G378" s="20">
        <v>0</v>
      </c>
      <c r="H378" s="20" t="e">
        <f>VLOOKUP($D378,#REF!,5,0)</f>
        <v>#REF!</v>
      </c>
      <c r="I378" s="20" t="e">
        <f>VLOOKUP($D378,#REF!,2,0)</f>
        <v>#REF!</v>
      </c>
      <c r="J378" s="20" t="e">
        <f>VLOOKUP($D378,#REF!,7,0)</f>
        <v>#REF!</v>
      </c>
      <c r="K378" s="20" t="e">
        <f>VLOOKUP($D378,#REF!,4,0)</f>
        <v>#REF!</v>
      </c>
      <c r="L378" s="20" t="e">
        <f>VLOOKUP($D378,#REF!,8,0)</f>
        <v>#REF!</v>
      </c>
      <c r="M378" s="20" t="e">
        <f>VLOOKUP($D378,#REF!,9,0)</f>
        <v>#REF!</v>
      </c>
      <c r="N378" s="55" t="e">
        <f>SUM(E378:M378)</f>
        <v>#REF!</v>
      </c>
    </row>
    <row r="379" spans="4:14" ht="19.5" thickBot="1" x14ac:dyDescent="0.35">
      <c r="D379" s="55" t="s">
        <v>99</v>
      </c>
      <c r="E379" s="20" t="e">
        <f>VLOOKUP($D379,#REF!,3,0)</f>
        <v>#REF!</v>
      </c>
      <c r="F379" s="20" t="e">
        <f>VLOOKUP($D379,#REF!,6,0)</f>
        <v>#REF!</v>
      </c>
      <c r="G379" s="20">
        <v>0</v>
      </c>
      <c r="H379" s="20" t="e">
        <f>VLOOKUP($D379,#REF!,5,0)</f>
        <v>#REF!</v>
      </c>
      <c r="I379" s="20" t="e">
        <f>VLOOKUP($D379,#REF!,2,0)</f>
        <v>#REF!</v>
      </c>
      <c r="J379" s="20" t="e">
        <f>VLOOKUP($D379,#REF!,7,0)</f>
        <v>#REF!</v>
      </c>
      <c r="K379" s="20" t="e">
        <f>VLOOKUP($D379,#REF!,4,0)</f>
        <v>#REF!</v>
      </c>
      <c r="L379" s="20" t="e">
        <f>VLOOKUP($D379,#REF!,8,0)</f>
        <v>#REF!</v>
      </c>
      <c r="M379" s="20" t="e">
        <f>VLOOKUP($D379,#REF!,9,0)</f>
        <v>#REF!</v>
      </c>
      <c r="N379" s="55" t="e">
        <f>SUM(E379:M379)</f>
        <v>#REF!</v>
      </c>
    </row>
    <row r="380" spans="4:14" ht="19.5" thickBot="1" x14ac:dyDescent="0.35">
      <c r="D380" s="11" t="s">
        <v>582</v>
      </c>
      <c r="E380" s="15" t="e">
        <f t="shared" ref="E380:N380" si="20">SUM(E376:E379)</f>
        <v>#REF!</v>
      </c>
      <c r="F380" s="15" t="e">
        <f t="shared" si="20"/>
        <v>#REF!</v>
      </c>
      <c r="G380" s="15">
        <f t="shared" si="20"/>
        <v>0</v>
      </c>
      <c r="H380" s="15" t="e">
        <f t="shared" si="20"/>
        <v>#REF!</v>
      </c>
      <c r="I380" s="15" t="e">
        <f t="shared" si="20"/>
        <v>#REF!</v>
      </c>
      <c r="J380" s="15" t="e">
        <f t="shared" si="20"/>
        <v>#REF!</v>
      </c>
      <c r="K380" s="15" t="e">
        <f t="shared" si="20"/>
        <v>#REF!</v>
      </c>
      <c r="L380" s="15" t="e">
        <f t="shared" si="20"/>
        <v>#REF!</v>
      </c>
      <c r="M380" s="15" t="e">
        <f t="shared" si="20"/>
        <v>#REF!</v>
      </c>
      <c r="N380" s="15" t="e">
        <f t="shared" si="20"/>
        <v>#REF!</v>
      </c>
    </row>
    <row r="381" spans="4:14" ht="15.75" thickBot="1" x14ac:dyDescent="0.3"/>
    <row r="382" spans="4:14" ht="19.5" thickBot="1" x14ac:dyDescent="0.35">
      <c r="D382" s="11" t="s">
        <v>576</v>
      </c>
      <c r="E382" s="19" t="s">
        <v>1006</v>
      </c>
      <c r="F382" s="19" t="s">
        <v>1007</v>
      </c>
      <c r="G382" s="19" t="s">
        <v>1008</v>
      </c>
      <c r="H382" s="19" t="s">
        <v>537</v>
      </c>
      <c r="I382" s="19" t="s">
        <v>48</v>
      </c>
      <c r="J382" s="16" t="s">
        <v>1009</v>
      </c>
      <c r="K382" s="19" t="s">
        <v>991</v>
      </c>
      <c r="L382" s="19" t="s">
        <v>992</v>
      </c>
      <c r="M382" s="19" t="s">
        <v>362</v>
      </c>
      <c r="N382" s="50" t="s">
        <v>1012</v>
      </c>
    </row>
    <row r="383" spans="4:14" ht="18.75" x14ac:dyDescent="0.3">
      <c r="D383" s="46" t="s">
        <v>38</v>
      </c>
      <c r="E383" s="22" t="e">
        <f>+E376/$N376</f>
        <v>#REF!</v>
      </c>
      <c r="F383" s="22" t="e">
        <f t="shared" ref="F383:M383" si="21">+F376/$N376</f>
        <v>#REF!</v>
      </c>
      <c r="G383" s="22" t="e">
        <f t="shared" si="21"/>
        <v>#REF!</v>
      </c>
      <c r="H383" s="22" t="e">
        <f t="shared" si="21"/>
        <v>#REF!</v>
      </c>
      <c r="I383" s="22" t="e">
        <f t="shared" si="21"/>
        <v>#REF!</v>
      </c>
      <c r="J383" s="83" t="e">
        <f t="shared" si="21"/>
        <v>#REF!</v>
      </c>
      <c r="K383" s="22" t="e">
        <f t="shared" si="21"/>
        <v>#REF!</v>
      </c>
      <c r="L383" s="22" t="e">
        <f t="shared" si="21"/>
        <v>#REF!</v>
      </c>
      <c r="M383" s="22" t="e">
        <f t="shared" si="21"/>
        <v>#REF!</v>
      </c>
      <c r="N383" s="83" t="e">
        <f>SUM(E383:M383)</f>
        <v>#REF!</v>
      </c>
    </row>
    <row r="384" spans="4:14" ht="18.75" x14ac:dyDescent="0.3">
      <c r="D384" s="47" t="s">
        <v>52</v>
      </c>
      <c r="E384" s="22" t="e">
        <f>+E377/$N377</f>
        <v>#REF!</v>
      </c>
      <c r="F384" s="22" t="e">
        <f t="shared" ref="F384:M384" si="22">+F377/$N377</f>
        <v>#REF!</v>
      </c>
      <c r="G384" s="22" t="e">
        <f t="shared" si="22"/>
        <v>#REF!</v>
      </c>
      <c r="H384" s="22" t="e">
        <f t="shared" si="22"/>
        <v>#REF!</v>
      </c>
      <c r="I384" s="22" t="e">
        <f t="shared" si="22"/>
        <v>#REF!</v>
      </c>
      <c r="J384" s="83" t="e">
        <f t="shared" si="22"/>
        <v>#REF!</v>
      </c>
      <c r="K384" s="22" t="e">
        <f t="shared" si="22"/>
        <v>#REF!</v>
      </c>
      <c r="L384" s="22" t="e">
        <f t="shared" si="22"/>
        <v>#REF!</v>
      </c>
      <c r="M384" s="22" t="e">
        <f t="shared" si="22"/>
        <v>#REF!</v>
      </c>
      <c r="N384" s="89" t="e">
        <f>SUM(E384:M384)</f>
        <v>#REF!</v>
      </c>
    </row>
    <row r="385" spans="4:14" ht="18.75" x14ac:dyDescent="0.3">
      <c r="D385" s="47" t="s">
        <v>79</v>
      </c>
      <c r="E385" s="22" t="e">
        <f t="shared" ref="E385:M385" si="23">+E378/$N378</f>
        <v>#REF!</v>
      </c>
      <c r="F385" s="22" t="e">
        <f t="shared" si="23"/>
        <v>#REF!</v>
      </c>
      <c r="G385" s="22" t="e">
        <f t="shared" si="23"/>
        <v>#REF!</v>
      </c>
      <c r="H385" s="22" t="e">
        <f t="shared" si="23"/>
        <v>#REF!</v>
      </c>
      <c r="I385" s="22" t="e">
        <f t="shared" si="23"/>
        <v>#REF!</v>
      </c>
      <c r="J385" s="83" t="e">
        <f t="shared" si="23"/>
        <v>#REF!</v>
      </c>
      <c r="K385" s="22" t="e">
        <f t="shared" si="23"/>
        <v>#REF!</v>
      </c>
      <c r="L385" s="22" t="e">
        <f t="shared" si="23"/>
        <v>#REF!</v>
      </c>
      <c r="M385" s="22" t="e">
        <f t="shared" si="23"/>
        <v>#REF!</v>
      </c>
      <c r="N385" s="89" t="e">
        <f>SUM(E385:M385)</f>
        <v>#REF!</v>
      </c>
    </row>
    <row r="386" spans="4:14" ht="19.5" thickBot="1" x14ac:dyDescent="0.35">
      <c r="D386" s="49" t="s">
        <v>99</v>
      </c>
      <c r="E386" s="48" t="e">
        <f t="shared" ref="E386:M386" si="24">+E379/$N379</f>
        <v>#REF!</v>
      </c>
      <c r="F386" s="48" t="e">
        <f t="shared" si="24"/>
        <v>#REF!</v>
      </c>
      <c r="G386" s="48" t="e">
        <f t="shared" si="24"/>
        <v>#REF!</v>
      </c>
      <c r="H386" s="48" t="e">
        <f t="shared" si="24"/>
        <v>#REF!</v>
      </c>
      <c r="I386" s="48" t="e">
        <f t="shared" si="24"/>
        <v>#REF!</v>
      </c>
      <c r="J386" s="91" t="e">
        <f t="shared" si="24"/>
        <v>#REF!</v>
      </c>
      <c r="K386" s="48" t="e">
        <f t="shared" si="24"/>
        <v>#REF!</v>
      </c>
      <c r="L386" s="48" t="e">
        <f t="shared" si="24"/>
        <v>#REF!</v>
      </c>
      <c r="M386" s="48" t="e">
        <f t="shared" si="24"/>
        <v>#REF!</v>
      </c>
      <c r="N386" s="90" t="e">
        <f>SUM(E386:M386)</f>
        <v>#REF!</v>
      </c>
    </row>
    <row r="389" spans="4:14" ht="18.75" x14ac:dyDescent="0.3">
      <c r="D389" s="52" t="s">
        <v>1017</v>
      </c>
    </row>
    <row r="390" spans="4:14" ht="18.75" x14ac:dyDescent="0.3">
      <c r="D390" s="52" t="s">
        <v>982</v>
      </c>
    </row>
    <row r="391" spans="4:14" ht="15.75" thickBot="1" x14ac:dyDescent="0.3"/>
    <row r="392" spans="4:14" ht="19.5" thickBot="1" x14ac:dyDescent="0.35">
      <c r="D392" s="11" t="s">
        <v>576</v>
      </c>
      <c r="E392" s="19" t="s">
        <v>1006</v>
      </c>
      <c r="F392" s="19" t="s">
        <v>1007</v>
      </c>
      <c r="G392" s="19" t="s">
        <v>1008</v>
      </c>
      <c r="H392" s="19" t="s">
        <v>537</v>
      </c>
      <c r="I392" s="19" t="s">
        <v>48</v>
      </c>
      <c r="J392" s="11" t="s">
        <v>1009</v>
      </c>
      <c r="K392" s="19" t="s">
        <v>991</v>
      </c>
      <c r="L392" s="19" t="s">
        <v>992</v>
      </c>
      <c r="M392" s="19" t="s">
        <v>362</v>
      </c>
      <c r="N392" s="50" t="s">
        <v>1012</v>
      </c>
    </row>
    <row r="393" spans="4:14" ht="18.75" x14ac:dyDescent="0.3">
      <c r="D393" s="46" t="s">
        <v>38</v>
      </c>
      <c r="E393" s="20" t="e">
        <f>VLOOKUP($D393,#REF!,3,0)</f>
        <v>#REF!</v>
      </c>
      <c r="F393" s="20" t="e">
        <f>VLOOKUP($D393,#REF!,5,0)</f>
        <v>#REF!</v>
      </c>
      <c r="G393" s="20">
        <v>0</v>
      </c>
      <c r="H393" s="20">
        <v>0</v>
      </c>
      <c r="I393" s="20" t="e">
        <f>VLOOKUP($D393,#REF!,2,0)</f>
        <v>#REF!</v>
      </c>
      <c r="J393" s="20">
        <v>0</v>
      </c>
      <c r="K393" s="20" t="e">
        <f>VLOOKUP($D393,#REF!,4,0)</f>
        <v>#REF!</v>
      </c>
      <c r="L393" s="20" t="e">
        <f>VLOOKUP($D393,#REF!,6,0)</f>
        <v>#REF!</v>
      </c>
      <c r="M393" s="20" t="e">
        <f>VLOOKUP($D393,#REF!,7,0)</f>
        <v>#REF!</v>
      </c>
      <c r="N393" s="46" t="e">
        <f>SUM(E393:M393)</f>
        <v>#REF!</v>
      </c>
    </row>
    <row r="394" spans="4:14" ht="18.75" x14ac:dyDescent="0.3">
      <c r="D394" s="55" t="s">
        <v>52</v>
      </c>
      <c r="E394" s="20" t="e">
        <f>VLOOKUP($D394,#REF!,3,0)</f>
        <v>#REF!</v>
      </c>
      <c r="F394" s="20" t="e">
        <f>VLOOKUP($D394,#REF!,5,0)</f>
        <v>#REF!</v>
      </c>
      <c r="G394" s="20">
        <v>0</v>
      </c>
      <c r="H394" s="20">
        <v>0</v>
      </c>
      <c r="I394" s="20" t="e">
        <f>VLOOKUP($D394,#REF!,2,0)</f>
        <v>#REF!</v>
      </c>
      <c r="J394" s="20">
        <v>0</v>
      </c>
      <c r="K394" s="20" t="e">
        <f>VLOOKUP($D394,#REF!,4,0)</f>
        <v>#REF!</v>
      </c>
      <c r="L394" s="20" t="e">
        <f>VLOOKUP($D394,#REF!,6,0)</f>
        <v>#REF!</v>
      </c>
      <c r="M394" s="20" t="e">
        <f>VLOOKUP($D394,#REF!,7,0)</f>
        <v>#REF!</v>
      </c>
      <c r="N394" s="55" t="e">
        <f>SUM(E394:M394)</f>
        <v>#REF!</v>
      </c>
    </row>
    <row r="395" spans="4:14" ht="18.75" x14ac:dyDescent="0.3">
      <c r="D395" s="55" t="s">
        <v>79</v>
      </c>
      <c r="E395" s="20" t="e">
        <f>VLOOKUP($D395,#REF!,3,0)</f>
        <v>#REF!</v>
      </c>
      <c r="F395" s="20" t="e">
        <f>VLOOKUP($D395,#REF!,5,0)</f>
        <v>#REF!</v>
      </c>
      <c r="G395" s="20">
        <v>0</v>
      </c>
      <c r="H395" s="20">
        <v>0</v>
      </c>
      <c r="I395" s="20" t="e">
        <f>VLOOKUP($D395,#REF!,2,0)</f>
        <v>#REF!</v>
      </c>
      <c r="J395" s="20">
        <v>0</v>
      </c>
      <c r="K395" s="20" t="e">
        <f>VLOOKUP($D395,#REF!,4,0)</f>
        <v>#REF!</v>
      </c>
      <c r="L395" s="20" t="e">
        <f>VLOOKUP($D395,#REF!,6,0)</f>
        <v>#REF!</v>
      </c>
      <c r="M395" s="20" t="e">
        <f>VLOOKUP($D395,#REF!,7,0)</f>
        <v>#REF!</v>
      </c>
      <c r="N395" s="55" t="e">
        <f>SUM(E395:M395)</f>
        <v>#REF!</v>
      </c>
    </row>
    <row r="396" spans="4:14" ht="19.5" thickBot="1" x14ac:dyDescent="0.35">
      <c r="D396" s="55" t="s">
        <v>99</v>
      </c>
      <c r="E396" s="20" t="e">
        <f>VLOOKUP($D396,#REF!,3,0)</f>
        <v>#REF!</v>
      </c>
      <c r="F396" s="20" t="e">
        <f>VLOOKUP($D396,#REF!,5,0)</f>
        <v>#REF!</v>
      </c>
      <c r="G396" s="20">
        <v>0</v>
      </c>
      <c r="H396" s="20">
        <v>0</v>
      </c>
      <c r="I396" s="20" t="e">
        <f>VLOOKUP($D396,#REF!,2,0)</f>
        <v>#REF!</v>
      </c>
      <c r="J396" s="20">
        <v>0</v>
      </c>
      <c r="K396" s="20" t="e">
        <f>VLOOKUP($D396,#REF!,4,0)</f>
        <v>#REF!</v>
      </c>
      <c r="L396" s="20" t="e">
        <f>VLOOKUP($D396,#REF!,6,0)</f>
        <v>#REF!</v>
      </c>
      <c r="M396" s="20" t="e">
        <f>VLOOKUP($D396,#REF!,7,0)</f>
        <v>#REF!</v>
      </c>
      <c r="N396" s="55" t="e">
        <f>SUM(E396:M396)</f>
        <v>#REF!</v>
      </c>
    </row>
    <row r="397" spans="4:14" ht="19.5" thickBot="1" x14ac:dyDescent="0.35">
      <c r="D397" s="11" t="s">
        <v>582</v>
      </c>
      <c r="E397" s="15" t="e">
        <f t="shared" ref="E397:N397" si="25">SUM(E393:E396)</f>
        <v>#REF!</v>
      </c>
      <c r="F397" s="15" t="e">
        <f t="shared" si="25"/>
        <v>#REF!</v>
      </c>
      <c r="G397" s="15">
        <f t="shared" si="25"/>
        <v>0</v>
      </c>
      <c r="H397" s="15">
        <f t="shared" si="25"/>
        <v>0</v>
      </c>
      <c r="I397" s="15" t="e">
        <f t="shared" si="25"/>
        <v>#REF!</v>
      </c>
      <c r="J397" s="15">
        <f t="shared" si="25"/>
        <v>0</v>
      </c>
      <c r="K397" s="15" t="e">
        <f t="shared" si="25"/>
        <v>#REF!</v>
      </c>
      <c r="L397" s="15" t="e">
        <f t="shared" si="25"/>
        <v>#REF!</v>
      </c>
      <c r="M397" s="15" t="e">
        <f t="shared" si="25"/>
        <v>#REF!</v>
      </c>
      <c r="N397" s="15" t="e">
        <f t="shared" si="25"/>
        <v>#REF!</v>
      </c>
    </row>
    <row r="398" spans="4:14" ht="15.75" thickBot="1" x14ac:dyDescent="0.3"/>
    <row r="399" spans="4:14" ht="19.5" thickBot="1" x14ac:dyDescent="0.35">
      <c r="D399" s="11" t="s">
        <v>576</v>
      </c>
      <c r="E399" s="19" t="s">
        <v>1006</v>
      </c>
      <c r="F399" s="19" t="s">
        <v>1007</v>
      </c>
      <c r="G399" s="19" t="s">
        <v>1008</v>
      </c>
      <c r="H399" s="19" t="s">
        <v>537</v>
      </c>
      <c r="I399" s="19" t="s">
        <v>48</v>
      </c>
      <c r="J399" s="16" t="s">
        <v>1009</v>
      </c>
      <c r="K399" s="19" t="s">
        <v>991</v>
      </c>
      <c r="L399" s="19" t="s">
        <v>992</v>
      </c>
      <c r="M399" s="19" t="s">
        <v>362</v>
      </c>
      <c r="N399" s="50" t="s">
        <v>1012</v>
      </c>
    </row>
    <row r="400" spans="4:14" ht="18.75" x14ac:dyDescent="0.3">
      <c r="D400" s="46" t="s">
        <v>38</v>
      </c>
      <c r="E400" s="22" t="e">
        <f>+E393/$N393</f>
        <v>#REF!</v>
      </c>
      <c r="F400" s="22" t="e">
        <f t="shared" ref="F400:M400" si="26">+F393/$N393</f>
        <v>#REF!</v>
      </c>
      <c r="G400" s="22" t="e">
        <f t="shared" si="26"/>
        <v>#REF!</v>
      </c>
      <c r="H400" s="22" t="e">
        <f t="shared" si="26"/>
        <v>#REF!</v>
      </c>
      <c r="I400" s="22" t="e">
        <f t="shared" si="26"/>
        <v>#REF!</v>
      </c>
      <c r="J400" s="83" t="e">
        <f t="shared" si="26"/>
        <v>#REF!</v>
      </c>
      <c r="K400" s="22" t="e">
        <f t="shared" si="26"/>
        <v>#REF!</v>
      </c>
      <c r="L400" s="22" t="e">
        <f t="shared" si="26"/>
        <v>#REF!</v>
      </c>
      <c r="M400" s="22" t="e">
        <f t="shared" si="26"/>
        <v>#REF!</v>
      </c>
      <c r="N400" s="83" t="e">
        <f>SUM(E400:M400)</f>
        <v>#REF!</v>
      </c>
    </row>
    <row r="401" spans="4:26" ht="18.75" x14ac:dyDescent="0.3">
      <c r="D401" s="47" t="s">
        <v>52</v>
      </c>
      <c r="E401" s="22" t="e">
        <f>+E394/$N394</f>
        <v>#REF!</v>
      </c>
      <c r="F401" s="22" t="e">
        <f t="shared" ref="F401:M401" si="27">+F394/$N394</f>
        <v>#REF!</v>
      </c>
      <c r="G401" s="22" t="e">
        <f t="shared" si="27"/>
        <v>#REF!</v>
      </c>
      <c r="H401" s="22" t="e">
        <f t="shared" si="27"/>
        <v>#REF!</v>
      </c>
      <c r="I401" s="22" t="e">
        <f t="shared" si="27"/>
        <v>#REF!</v>
      </c>
      <c r="J401" s="83" t="e">
        <f t="shared" si="27"/>
        <v>#REF!</v>
      </c>
      <c r="K401" s="22" t="e">
        <f t="shared" si="27"/>
        <v>#REF!</v>
      </c>
      <c r="L401" s="22" t="e">
        <f t="shared" si="27"/>
        <v>#REF!</v>
      </c>
      <c r="M401" s="22" t="e">
        <f t="shared" si="27"/>
        <v>#REF!</v>
      </c>
      <c r="N401" s="89" t="e">
        <f>SUM(E401:M401)</f>
        <v>#REF!</v>
      </c>
    </row>
    <row r="402" spans="4:26" ht="18.75" x14ac:dyDescent="0.3">
      <c r="D402" s="47" t="s">
        <v>79</v>
      </c>
      <c r="E402" s="22" t="e">
        <f t="shared" ref="E402:M402" si="28">+E395/$N395</f>
        <v>#REF!</v>
      </c>
      <c r="F402" s="22" t="e">
        <f t="shared" si="28"/>
        <v>#REF!</v>
      </c>
      <c r="G402" s="22" t="e">
        <f t="shared" si="28"/>
        <v>#REF!</v>
      </c>
      <c r="H402" s="22" t="e">
        <f t="shared" si="28"/>
        <v>#REF!</v>
      </c>
      <c r="I402" s="22" t="e">
        <f t="shared" si="28"/>
        <v>#REF!</v>
      </c>
      <c r="J402" s="83" t="e">
        <f t="shared" si="28"/>
        <v>#REF!</v>
      </c>
      <c r="K402" s="22" t="e">
        <f t="shared" si="28"/>
        <v>#REF!</v>
      </c>
      <c r="L402" s="22" t="e">
        <f t="shared" si="28"/>
        <v>#REF!</v>
      </c>
      <c r="M402" s="22" t="e">
        <f t="shared" si="28"/>
        <v>#REF!</v>
      </c>
      <c r="N402" s="89" t="e">
        <f>SUM(E402:M402)</f>
        <v>#REF!</v>
      </c>
    </row>
    <row r="403" spans="4:26" ht="19.5" thickBot="1" x14ac:dyDescent="0.35">
      <c r="D403" s="49" t="s">
        <v>99</v>
      </c>
      <c r="E403" s="48" t="e">
        <f t="shared" ref="E403:M403" si="29">+E396/$N396</f>
        <v>#REF!</v>
      </c>
      <c r="F403" s="48" t="e">
        <f t="shared" si="29"/>
        <v>#REF!</v>
      </c>
      <c r="G403" s="48" t="e">
        <f t="shared" si="29"/>
        <v>#REF!</v>
      </c>
      <c r="H403" s="48" t="e">
        <f t="shared" si="29"/>
        <v>#REF!</v>
      </c>
      <c r="I403" s="48" t="e">
        <f t="shared" si="29"/>
        <v>#REF!</v>
      </c>
      <c r="J403" s="91" t="e">
        <f t="shared" si="29"/>
        <v>#REF!</v>
      </c>
      <c r="K403" s="48" t="e">
        <f t="shared" si="29"/>
        <v>#REF!</v>
      </c>
      <c r="L403" s="48" t="e">
        <f t="shared" si="29"/>
        <v>#REF!</v>
      </c>
      <c r="M403" s="48" t="e">
        <f t="shared" si="29"/>
        <v>#REF!</v>
      </c>
      <c r="N403" s="90" t="e">
        <f>SUM(E403:M403)</f>
        <v>#REF!</v>
      </c>
    </row>
    <row r="407" spans="4:26" ht="18.75" x14ac:dyDescent="0.3">
      <c r="D407" s="52" t="s">
        <v>1020</v>
      </c>
    </row>
    <row r="408" spans="4:26" ht="15.75" thickBot="1" x14ac:dyDescent="0.3">
      <c r="H408" s="2"/>
    </row>
    <row r="409" spans="4:26" ht="19.5" thickBot="1" x14ac:dyDescent="0.35">
      <c r="D409" s="11" t="s">
        <v>576</v>
      </c>
      <c r="E409" s="19" t="s">
        <v>880</v>
      </c>
      <c r="F409" s="19" t="s">
        <v>1018</v>
      </c>
      <c r="G409" s="50" t="s">
        <v>564</v>
      </c>
      <c r="H409" s="28"/>
    </row>
    <row r="410" spans="4:26" ht="18.75" x14ac:dyDescent="0.3">
      <c r="D410" s="46" t="s">
        <v>38</v>
      </c>
      <c r="E410" s="92" t="e">
        <f>GETPIVOTDATA("Average of CASE AGE",#REF!,"Counsel Type ","Appointed Attorney")</f>
        <v>#REF!</v>
      </c>
      <c r="F410" s="92" t="e">
        <f>GETPIVOTDATA("Average of CASE AGE",#REF!,"Counsel Type ","Appointed Attorney")</f>
        <v>#REF!</v>
      </c>
      <c r="G410" s="93" t="e">
        <f>GETPIVOTDATA("Average of CASE AGE",#REF!,"Counsel Type ","Appointed Attorney")</f>
        <v>#REF!</v>
      </c>
      <c r="H410" s="18"/>
    </row>
    <row r="411" spans="4:26" ht="18.75" x14ac:dyDescent="0.3">
      <c r="D411" s="55" t="s">
        <v>52</v>
      </c>
      <c r="E411" s="92" t="e">
        <f>GETPIVOTDATA("Average of CASE AGE",#REF!,"Counsel Type ","Hired Attorney")</f>
        <v>#REF!</v>
      </c>
      <c r="F411" s="92" t="e">
        <f>GETPIVOTDATA("Average of CASE AGE",#REF!,"Counsel Type ","Hired Attorney")</f>
        <v>#REF!</v>
      </c>
      <c r="G411" s="93" t="e">
        <f>GETPIVOTDATA("Average of CASE AGE",#REF!,"Counsel Type ","Hired Attorney")</f>
        <v>#REF!</v>
      </c>
      <c r="H411" s="18"/>
    </row>
    <row r="412" spans="4:26" ht="18.75" x14ac:dyDescent="0.3">
      <c r="D412" s="55" t="s">
        <v>79</v>
      </c>
      <c r="E412" s="92" t="e">
        <f>GETPIVOTDATA("Average of CASE AGE",#REF!,"Counsel Type ","Other/Unknown")</f>
        <v>#REF!</v>
      </c>
      <c r="F412" s="92" t="e">
        <f>GETPIVOTDATA("Average of CASE AGE",#REF!,"Counsel Type ","Other/Unknown")</f>
        <v>#REF!</v>
      </c>
      <c r="G412" s="93" t="e">
        <f>GETPIVOTDATA("Average of CASE AGE",#REF!,"Counsel Type ","Other/Unknown")</f>
        <v>#REF!</v>
      </c>
      <c r="H412" s="18"/>
    </row>
    <row r="413" spans="4:26" ht="19.5" thickBot="1" x14ac:dyDescent="0.35">
      <c r="D413" s="55" t="s">
        <v>99</v>
      </c>
      <c r="E413" s="92" t="e">
        <f>GETPIVOTDATA("Average of CASE AGE",#REF!,"Counsel Type ","Public Defender")</f>
        <v>#REF!</v>
      </c>
      <c r="F413" s="92" t="e">
        <f>GETPIVOTDATA("Average of CASE AGE",#REF!,"Counsel Type ","Public Defender")</f>
        <v>#REF!</v>
      </c>
      <c r="G413" s="93" t="e">
        <f>GETPIVOTDATA("Average of CASE AGE",#REF!,"Counsel Type ","Public Defender")</f>
        <v>#REF!</v>
      </c>
      <c r="H413" s="18"/>
    </row>
    <row r="414" spans="4:26" ht="19.5" thickBot="1" x14ac:dyDescent="0.35">
      <c r="D414" s="11" t="s">
        <v>1019</v>
      </c>
      <c r="E414" s="36" t="e">
        <f>GETPIVOTDATA("Average of CASE AGE",#REF!)</f>
        <v>#REF!</v>
      </c>
      <c r="F414" s="36" t="e">
        <f>GETPIVOTDATA("Average of CASE AGE",#REF!)</f>
        <v>#REF!</v>
      </c>
      <c r="G414" s="37" t="e">
        <f>GETPIVOTDATA("Average of CASE AGE",#REF!)</f>
        <v>#REF!</v>
      </c>
      <c r="H414" s="35"/>
    </row>
    <row r="415" spans="4:26" x14ac:dyDescent="0.25">
      <c r="H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4:26" ht="18.75" x14ac:dyDescent="0.3">
      <c r="D416" s="25"/>
      <c r="E416" s="25"/>
      <c r="F416" s="25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4:26" ht="18.75" x14ac:dyDescent="0.3">
      <c r="D417" s="52" t="s">
        <v>1026</v>
      </c>
      <c r="E417" s="25"/>
      <c r="F417" s="25"/>
      <c r="G417" s="25"/>
      <c r="H417" s="25"/>
      <c r="L417" s="52"/>
      <c r="M417" s="10"/>
      <c r="N417" s="10"/>
      <c r="O417" s="10"/>
      <c r="P417" s="10"/>
      <c r="Q417" s="2"/>
      <c r="R417" s="2"/>
      <c r="S417" s="2"/>
      <c r="T417" s="8"/>
      <c r="U417" s="10"/>
      <c r="V417" s="10"/>
      <c r="W417" s="10"/>
      <c r="X417" s="10"/>
      <c r="Y417" s="2"/>
      <c r="Z417" s="2"/>
    </row>
    <row r="418" spans="4:26" ht="18.75" x14ac:dyDescent="0.3">
      <c r="D418" s="52"/>
      <c r="E418" s="25"/>
      <c r="F418" s="25"/>
      <c r="G418" s="25"/>
      <c r="H418" s="25"/>
      <c r="I418" s="52"/>
      <c r="J418" s="25"/>
      <c r="K418" s="25"/>
      <c r="L418" s="25"/>
      <c r="M418" s="10"/>
      <c r="N418" s="10"/>
      <c r="O418" s="10"/>
      <c r="P418" s="10"/>
      <c r="Q418" s="10"/>
      <c r="R418" s="10"/>
      <c r="S418" s="2"/>
      <c r="T418" s="2"/>
      <c r="U418" s="2"/>
      <c r="V418" s="2"/>
      <c r="W418" s="2"/>
      <c r="X418" s="2"/>
      <c r="Y418" s="2"/>
      <c r="Z418" s="2"/>
    </row>
    <row r="420" spans="4:26" ht="18.75" x14ac:dyDescent="0.3">
      <c r="D420" s="52" t="s">
        <v>1029</v>
      </c>
      <c r="E420" s="25"/>
      <c r="F420" s="25"/>
      <c r="J420" s="8"/>
      <c r="K420" s="52" t="s">
        <v>1031</v>
      </c>
    </row>
    <row r="421" spans="4:26" ht="15.75" thickBot="1" x14ac:dyDescent="0.3">
      <c r="J421" s="2"/>
    </row>
    <row r="422" spans="4:26" ht="19.5" thickBot="1" x14ac:dyDescent="0.35">
      <c r="D422" s="161" t="s">
        <v>581</v>
      </c>
      <c r="E422" s="161" t="s">
        <v>1025</v>
      </c>
      <c r="F422" s="165" t="s">
        <v>1022</v>
      </c>
      <c r="G422" s="166"/>
      <c r="H422" s="167"/>
      <c r="I422" s="161" t="s">
        <v>918</v>
      </c>
      <c r="J422" s="164"/>
      <c r="K422" s="161" t="s">
        <v>581</v>
      </c>
      <c r="L422" s="94" t="s">
        <v>1025</v>
      </c>
      <c r="M422" s="44" t="s">
        <v>1021</v>
      </c>
      <c r="N422" s="62"/>
      <c r="O422" s="45"/>
      <c r="P422" s="161" t="s">
        <v>918</v>
      </c>
    </row>
    <row r="423" spans="4:26" ht="19.5" thickBot="1" x14ac:dyDescent="0.35">
      <c r="D423" s="160"/>
      <c r="E423" s="160"/>
      <c r="F423" s="95" t="s">
        <v>3</v>
      </c>
      <c r="G423" s="38" t="s">
        <v>563</v>
      </c>
      <c r="H423" s="50" t="s">
        <v>1027</v>
      </c>
      <c r="I423" s="160"/>
      <c r="J423" s="164"/>
      <c r="K423" s="160"/>
      <c r="L423" s="96"/>
      <c r="M423" s="95" t="s">
        <v>3</v>
      </c>
      <c r="N423" s="38" t="s">
        <v>563</v>
      </c>
      <c r="O423" s="50" t="s">
        <v>1027</v>
      </c>
      <c r="P423" s="160"/>
    </row>
    <row r="424" spans="4:26" ht="18.75" x14ac:dyDescent="0.3">
      <c r="D424" s="46" t="s">
        <v>872</v>
      </c>
      <c r="E424" s="46" t="s">
        <v>1028</v>
      </c>
      <c r="F424" s="40" t="e">
        <f>VLOOKUP(D424,#REF!,2,0)</f>
        <v>#REF!</v>
      </c>
      <c r="G424" s="40" t="e">
        <f>VLOOKUP(D424,#REF!,3,0)</f>
        <v>#REF!</v>
      </c>
      <c r="H424" s="40" t="e">
        <f>VLOOKUP(D424,#REF!,4,0)</f>
        <v>#REF!</v>
      </c>
      <c r="I424" s="40" t="e">
        <f>VLOOKUP(D424,#REF!,10,0)</f>
        <v>#REF!</v>
      </c>
      <c r="J424" s="10"/>
      <c r="K424" s="46" t="s">
        <v>872</v>
      </c>
      <c r="L424" s="46" t="s">
        <v>1028</v>
      </c>
      <c r="M424" s="40" t="e">
        <f>VLOOKUP(K424,#REF!,6,0)</f>
        <v>#REF!</v>
      </c>
      <c r="N424" s="40" t="e">
        <f>VLOOKUP(K424,#REF!,7,0)</f>
        <v>#REF!</v>
      </c>
      <c r="O424" s="40" t="e">
        <f>VLOOKUP(K424,#REF!,8,0)</f>
        <v>#REF!</v>
      </c>
      <c r="P424" s="40" t="e">
        <f>VLOOKUP(K424,#REF!,10,0)</f>
        <v>#REF!</v>
      </c>
    </row>
    <row r="425" spans="4:26" ht="25.5" customHeight="1" x14ac:dyDescent="0.3">
      <c r="D425" s="47" t="s">
        <v>41</v>
      </c>
      <c r="E425" s="46" t="s">
        <v>1028</v>
      </c>
      <c r="F425" s="40" t="e">
        <f>VLOOKUP(D425,#REF!,2,0)</f>
        <v>#REF!</v>
      </c>
      <c r="G425" s="40" t="e">
        <f>VLOOKUP(D425,#REF!,3,0)</f>
        <v>#REF!</v>
      </c>
      <c r="H425" s="40" t="e">
        <f>VLOOKUP(D425,#REF!,4,0)</f>
        <v>#REF!</v>
      </c>
      <c r="I425" s="40" t="e">
        <f>VLOOKUP(D425,#REF!,10,0)</f>
        <v>#REF!</v>
      </c>
      <c r="J425" s="10"/>
      <c r="K425" s="47" t="s">
        <v>41</v>
      </c>
      <c r="L425" s="46" t="s">
        <v>1028</v>
      </c>
      <c r="M425" s="40" t="e">
        <f>VLOOKUP(K425,#REF!,6,0)</f>
        <v>#REF!</v>
      </c>
      <c r="N425" s="40" t="e">
        <f>VLOOKUP(K425,#REF!,7,0)</f>
        <v>#REF!</v>
      </c>
      <c r="O425" s="40" t="e">
        <f>VLOOKUP(K425,#REF!,8,0)</f>
        <v>#REF!</v>
      </c>
      <c r="P425" s="40" t="e">
        <f>VLOOKUP(K425,#REF!,10,0)</f>
        <v>#REF!</v>
      </c>
    </row>
    <row r="426" spans="4:26" ht="18.75" x14ac:dyDescent="0.3">
      <c r="D426" s="47" t="s">
        <v>874</v>
      </c>
      <c r="E426" s="46" t="s">
        <v>1028</v>
      </c>
      <c r="F426" s="40" t="e">
        <f>VLOOKUP(D426,#REF!,2,0)</f>
        <v>#REF!</v>
      </c>
      <c r="G426" s="40" t="e">
        <f>VLOOKUP(D426,#REF!,3,0)</f>
        <v>#REF!</v>
      </c>
      <c r="H426" s="40" t="e">
        <f>VLOOKUP(D426,#REF!,4,0)</f>
        <v>#REF!</v>
      </c>
      <c r="I426" s="40" t="e">
        <f>VLOOKUP(D426,#REF!,10,0)</f>
        <v>#REF!</v>
      </c>
      <c r="J426" s="10"/>
      <c r="K426" s="47" t="s">
        <v>874</v>
      </c>
      <c r="L426" s="46" t="s">
        <v>1028</v>
      </c>
      <c r="M426" s="40" t="e">
        <f>VLOOKUP(K426,#REF!,6,0)</f>
        <v>#REF!</v>
      </c>
      <c r="N426" s="40" t="e">
        <f>VLOOKUP(K426,#REF!,7,0)</f>
        <v>#REF!</v>
      </c>
      <c r="O426" s="40" t="e">
        <f>VLOOKUP(K426,#REF!,8,0)</f>
        <v>#REF!</v>
      </c>
      <c r="P426" s="40" t="e">
        <f>VLOOKUP(K426,#REF!,10,0)</f>
        <v>#REF!</v>
      </c>
    </row>
    <row r="427" spans="4:26" ht="19.5" thickBot="1" x14ac:dyDescent="0.35">
      <c r="D427" s="49" t="s">
        <v>873</v>
      </c>
      <c r="E427" s="97" t="s">
        <v>1028</v>
      </c>
      <c r="F427" s="41" t="e">
        <f>VLOOKUP(D427,#REF!,2,0)</f>
        <v>#REF!</v>
      </c>
      <c r="G427" s="41" t="e">
        <f>VLOOKUP(D427,#REF!,3,0)</f>
        <v>#REF!</v>
      </c>
      <c r="H427" s="41" t="e">
        <f>VLOOKUP(D427,#REF!,4,0)</f>
        <v>#REF!</v>
      </c>
      <c r="I427" s="40" t="e">
        <f>VLOOKUP(D427,#REF!,10,0)</f>
        <v>#REF!</v>
      </c>
      <c r="J427" s="10"/>
      <c r="K427" s="49" t="s">
        <v>873</v>
      </c>
      <c r="L427" s="97" t="s">
        <v>1028</v>
      </c>
      <c r="M427" s="41" t="e">
        <f>VLOOKUP(K427,#REF!,6,0)</f>
        <v>#REF!</v>
      </c>
      <c r="N427" s="41" t="e">
        <f>VLOOKUP(K427,#REF!,7,0)</f>
        <v>#REF!</v>
      </c>
      <c r="O427" s="41" t="e">
        <f>VLOOKUP(K427,#REF!,8,0)</f>
        <v>#REF!</v>
      </c>
      <c r="P427" s="40" t="e">
        <f>VLOOKUP(K427,#REF!,10,0)</f>
        <v>#REF!</v>
      </c>
    </row>
    <row r="428" spans="4:26" ht="15" customHeight="1" x14ac:dyDescent="0.25">
      <c r="H428" s="161" t="s">
        <v>975</v>
      </c>
      <c r="I428" s="161" t="e">
        <f>SUM(I424:I427)</f>
        <v>#REF!</v>
      </c>
      <c r="J428" s="2"/>
      <c r="O428" s="161" t="s">
        <v>975</v>
      </c>
      <c r="P428" s="161" t="e">
        <f>SUM(P424:P427)</f>
        <v>#REF!</v>
      </c>
    </row>
    <row r="429" spans="4:26" ht="19.5" thickBot="1" x14ac:dyDescent="0.35">
      <c r="D429" s="52" t="s">
        <v>1030</v>
      </c>
      <c r="E429" s="25"/>
      <c r="F429" s="25"/>
      <c r="H429" s="160"/>
      <c r="I429" s="160"/>
      <c r="J429" s="8"/>
      <c r="K429" s="52" t="s">
        <v>1032</v>
      </c>
      <c r="O429" s="160"/>
      <c r="P429" s="160"/>
    </row>
    <row r="430" spans="4:26" ht="19.5" thickBot="1" x14ac:dyDescent="0.35">
      <c r="D430" s="52"/>
      <c r="E430" s="25"/>
      <c r="F430" s="25"/>
      <c r="J430" s="2"/>
    </row>
    <row r="431" spans="4:26" ht="19.5" thickBot="1" x14ac:dyDescent="0.35">
      <c r="D431" s="161" t="s">
        <v>581</v>
      </c>
      <c r="E431" s="161" t="s">
        <v>1025</v>
      </c>
      <c r="F431" s="165" t="s">
        <v>1022</v>
      </c>
      <c r="G431" s="166"/>
      <c r="H431" s="167"/>
      <c r="I431" s="161" t="s">
        <v>918</v>
      </c>
      <c r="J431" s="164"/>
      <c r="K431" s="161" t="s">
        <v>581</v>
      </c>
      <c r="L431" s="94" t="s">
        <v>1025</v>
      </c>
      <c r="M431" s="44" t="s">
        <v>1021</v>
      </c>
      <c r="N431" s="62"/>
      <c r="O431" s="45"/>
      <c r="P431" s="161" t="s">
        <v>918</v>
      </c>
    </row>
    <row r="432" spans="4:26" ht="19.5" thickBot="1" x14ac:dyDescent="0.35">
      <c r="D432" s="160"/>
      <c r="E432" s="160"/>
      <c r="F432" s="44" t="s">
        <v>3</v>
      </c>
      <c r="G432" s="38" t="s">
        <v>563</v>
      </c>
      <c r="H432" s="50" t="s">
        <v>1027</v>
      </c>
      <c r="I432" s="160"/>
      <c r="J432" s="164"/>
      <c r="K432" s="160"/>
      <c r="L432" s="96"/>
      <c r="M432" s="95" t="s">
        <v>3</v>
      </c>
      <c r="N432" s="38" t="s">
        <v>563</v>
      </c>
      <c r="O432" s="50" t="s">
        <v>1027</v>
      </c>
      <c r="P432" s="160"/>
    </row>
    <row r="433" spans="1:16" ht="18.75" x14ac:dyDescent="0.3">
      <c r="D433" s="46" t="s">
        <v>872</v>
      </c>
      <c r="E433" s="46" t="s">
        <v>574</v>
      </c>
      <c r="F433" s="40" t="e">
        <f>VLOOKUP(D433,#REF!,2,0)</f>
        <v>#REF!</v>
      </c>
      <c r="G433" s="40" t="e">
        <f>VLOOKUP(D433,#REF!,3,0)</f>
        <v>#REF!</v>
      </c>
      <c r="H433" s="40" t="e">
        <f>VLOOKUP(D433,#REF!,4,0)</f>
        <v>#REF!</v>
      </c>
      <c r="I433" s="40" t="e">
        <f>VLOOKUP(D433,#REF!,10,0)</f>
        <v>#REF!</v>
      </c>
      <c r="J433" s="10"/>
      <c r="K433" s="46" t="s">
        <v>872</v>
      </c>
      <c r="L433" s="46" t="s">
        <v>1028</v>
      </c>
      <c r="M433" s="40" t="e">
        <f>VLOOKUP(K433,#REF!,6,0)</f>
        <v>#REF!</v>
      </c>
      <c r="N433" s="40" t="e">
        <f>VLOOKUP(K433,#REF!,7,0)</f>
        <v>#REF!</v>
      </c>
      <c r="O433" s="40" t="e">
        <f>VLOOKUP(K433,#REF!,8,0)</f>
        <v>#REF!</v>
      </c>
      <c r="P433" s="40" t="e">
        <f>VLOOKUP(K433,#REF!,10,0)</f>
        <v>#REF!</v>
      </c>
    </row>
    <row r="434" spans="1:16" ht="18.75" x14ac:dyDescent="0.3">
      <c r="D434" s="47" t="s">
        <v>41</v>
      </c>
      <c r="E434" s="46" t="s">
        <v>574</v>
      </c>
      <c r="F434" s="40" t="e">
        <f>VLOOKUP(D434,#REF!,2,0)</f>
        <v>#REF!</v>
      </c>
      <c r="G434" s="40" t="e">
        <f>VLOOKUP(D434,#REF!,3,0)</f>
        <v>#REF!</v>
      </c>
      <c r="H434" s="40" t="e">
        <f>VLOOKUP(D434,#REF!,4,0)</f>
        <v>#REF!</v>
      </c>
      <c r="I434" s="40" t="e">
        <f>VLOOKUP(D434,#REF!,10,0)</f>
        <v>#REF!</v>
      </c>
      <c r="J434" s="10"/>
      <c r="K434" s="47" t="s">
        <v>41</v>
      </c>
      <c r="L434" s="46" t="s">
        <v>574</v>
      </c>
      <c r="M434" s="40" t="e">
        <f>VLOOKUP(K434,#REF!,6,0)</f>
        <v>#REF!</v>
      </c>
      <c r="N434" s="40" t="e">
        <f>VLOOKUP(K434,#REF!,7,0)</f>
        <v>#REF!</v>
      </c>
      <c r="O434" s="40" t="e">
        <f>VLOOKUP(K434,#REF!,8,0)</f>
        <v>#REF!</v>
      </c>
      <c r="P434" s="40" t="e">
        <f>VLOOKUP(K434,#REF!,10,0)</f>
        <v>#REF!</v>
      </c>
    </row>
    <row r="435" spans="1:16" ht="18.75" x14ac:dyDescent="0.3">
      <c r="D435" s="47" t="s">
        <v>874</v>
      </c>
      <c r="E435" s="46" t="s">
        <v>574</v>
      </c>
      <c r="F435" s="40" t="e">
        <f>VLOOKUP(D435,#REF!,2,0)</f>
        <v>#REF!</v>
      </c>
      <c r="G435" s="40" t="e">
        <f>VLOOKUP(D435,#REF!,3,0)</f>
        <v>#REF!</v>
      </c>
      <c r="H435" s="40" t="e">
        <f>VLOOKUP(D435,#REF!,4,0)</f>
        <v>#REF!</v>
      </c>
      <c r="I435" s="40" t="e">
        <f>VLOOKUP(D435,#REF!,10,0)</f>
        <v>#REF!</v>
      </c>
      <c r="J435" s="10"/>
      <c r="K435" s="47" t="s">
        <v>874</v>
      </c>
      <c r="L435" s="46" t="s">
        <v>574</v>
      </c>
      <c r="M435" s="40" t="e">
        <f>VLOOKUP(K435,#REF!,6,0)</f>
        <v>#REF!</v>
      </c>
      <c r="N435" s="40" t="e">
        <f>VLOOKUP(K435,#REF!,7,0)</f>
        <v>#REF!</v>
      </c>
      <c r="O435" s="40" t="e">
        <f>VLOOKUP(K435,#REF!,8,0)</f>
        <v>#REF!</v>
      </c>
      <c r="P435" s="40" t="e">
        <f>VLOOKUP(K435,#REF!,10,0)</f>
        <v>#REF!</v>
      </c>
    </row>
    <row r="436" spans="1:16" ht="19.5" thickBot="1" x14ac:dyDescent="0.35">
      <c r="D436" s="49" t="s">
        <v>873</v>
      </c>
      <c r="E436" s="97" t="s">
        <v>574</v>
      </c>
      <c r="F436" s="41" t="e">
        <f>VLOOKUP(D436,#REF!,2,0)</f>
        <v>#REF!</v>
      </c>
      <c r="G436" s="41" t="e">
        <f>VLOOKUP(D436,#REF!,3,0)</f>
        <v>#REF!</v>
      </c>
      <c r="H436" s="41" t="e">
        <f>VLOOKUP(D436,#REF!,4,0)</f>
        <v>#REF!</v>
      </c>
      <c r="I436" s="40" t="e">
        <f>VLOOKUP(D436,#REF!,10,0)</f>
        <v>#REF!</v>
      </c>
      <c r="J436" s="10"/>
      <c r="K436" s="49" t="s">
        <v>873</v>
      </c>
      <c r="L436" s="97" t="s">
        <v>574</v>
      </c>
      <c r="M436" s="41" t="e">
        <f>VLOOKUP(K436,#REF!,6,0)</f>
        <v>#REF!</v>
      </c>
      <c r="N436" s="41" t="e">
        <f>VLOOKUP(K436,#REF!,7,0)</f>
        <v>#REF!</v>
      </c>
      <c r="O436" s="41" t="e">
        <f>VLOOKUP(K436,#REF!,8,0)</f>
        <v>#REF!</v>
      </c>
      <c r="P436" s="40" t="e">
        <f>VLOOKUP(K436,#REF!,10,0)</f>
        <v>#REF!</v>
      </c>
    </row>
    <row r="437" spans="1:16" ht="15" customHeight="1" x14ac:dyDescent="0.25">
      <c r="H437" s="161" t="s">
        <v>975</v>
      </c>
      <c r="I437" s="161" t="e">
        <f>SUM(I433:I436)</f>
        <v>#REF!</v>
      </c>
      <c r="J437" s="2"/>
      <c r="O437" s="161" t="s">
        <v>975</v>
      </c>
      <c r="P437" s="161" t="e">
        <f>SUM(P433:P436)</f>
        <v>#REF!</v>
      </c>
    </row>
    <row r="438" spans="1:16" ht="15.75" customHeight="1" thickBot="1" x14ac:dyDescent="0.3">
      <c r="H438" s="160"/>
      <c r="I438" s="160"/>
      <c r="J438" s="2"/>
      <c r="O438" s="160"/>
      <c r="P438" s="160"/>
    </row>
    <row r="439" spans="1:16" ht="18.75" x14ac:dyDescent="0.25">
      <c r="H439" s="98"/>
      <c r="I439" s="98"/>
      <c r="J439" s="2"/>
      <c r="O439" s="98"/>
      <c r="P439" s="98"/>
    </row>
    <row r="440" spans="1:16" ht="18.75" x14ac:dyDescent="0.3">
      <c r="A440" s="2"/>
      <c r="B440" s="2"/>
      <c r="C440" s="2"/>
      <c r="D440" s="25"/>
      <c r="E440" s="25"/>
      <c r="F440" s="25"/>
      <c r="J440" s="2"/>
    </row>
    <row r="441" spans="1:16" ht="18.75" x14ac:dyDescent="0.3">
      <c r="D441" s="99" t="s">
        <v>1038</v>
      </c>
      <c r="E441" s="25"/>
      <c r="F441" s="25"/>
      <c r="J441" s="8"/>
      <c r="K441" s="99" t="s">
        <v>1039</v>
      </c>
    </row>
    <row r="442" spans="1:16" ht="15.75" thickBot="1" x14ac:dyDescent="0.3">
      <c r="J442" s="2"/>
    </row>
    <row r="443" spans="1:16" ht="19.5" thickBot="1" x14ac:dyDescent="0.35">
      <c r="D443" s="161" t="s">
        <v>1037</v>
      </c>
      <c r="E443" s="161" t="s">
        <v>1025</v>
      </c>
      <c r="F443" s="165" t="s">
        <v>1022</v>
      </c>
      <c r="G443" s="166"/>
      <c r="H443" s="167"/>
      <c r="I443" s="161" t="s">
        <v>918</v>
      </c>
      <c r="J443" s="164"/>
      <c r="K443" s="161" t="s">
        <v>1037</v>
      </c>
      <c r="L443" s="94" t="s">
        <v>1025</v>
      </c>
      <c r="M443" s="44" t="s">
        <v>1021</v>
      </c>
      <c r="N443" s="62"/>
      <c r="O443" s="45"/>
      <c r="P443" s="161" t="s">
        <v>918</v>
      </c>
    </row>
    <row r="444" spans="1:16" ht="19.5" thickBot="1" x14ac:dyDescent="0.35">
      <c r="D444" s="160"/>
      <c r="E444" s="160"/>
      <c r="F444" s="44" t="s">
        <v>3</v>
      </c>
      <c r="G444" s="38" t="s">
        <v>563</v>
      </c>
      <c r="H444" s="50" t="s">
        <v>1027</v>
      </c>
      <c r="I444" s="160"/>
      <c r="J444" s="164"/>
      <c r="K444" s="160"/>
      <c r="L444" s="96"/>
      <c r="M444" s="44" t="s">
        <v>3</v>
      </c>
      <c r="N444" s="38" t="s">
        <v>563</v>
      </c>
      <c r="O444" s="50" t="s">
        <v>1027</v>
      </c>
      <c r="P444" s="160"/>
    </row>
    <row r="445" spans="1:16" ht="18.75" x14ac:dyDescent="0.3">
      <c r="D445" s="46" t="s">
        <v>38</v>
      </c>
      <c r="E445" s="46" t="s">
        <v>1040</v>
      </c>
      <c r="F445" s="40" t="e">
        <f>VLOOKUP($D445,#REF!,2)</f>
        <v>#REF!</v>
      </c>
      <c r="G445" s="40" t="e">
        <f>VLOOKUP($D445,#REF!,3)</f>
        <v>#REF!</v>
      </c>
      <c r="H445" s="40" t="e">
        <f>VLOOKUP($D445,#REF!,4)</f>
        <v>#REF!</v>
      </c>
      <c r="I445" s="39" t="e">
        <f>VLOOKUP($D445,#REF!,9)</f>
        <v>#REF!</v>
      </c>
      <c r="J445" s="10"/>
      <c r="K445" s="46" t="s">
        <v>38</v>
      </c>
      <c r="L445" s="46" t="s">
        <v>1040</v>
      </c>
      <c r="M445" s="40" t="e">
        <f>VLOOKUP($K445,#REF!,6,0)</f>
        <v>#REF!</v>
      </c>
      <c r="N445" s="40" t="e">
        <f>VLOOKUP($K445,#REF!,7,0)</f>
        <v>#REF!</v>
      </c>
      <c r="O445" s="40" t="e">
        <f>VLOOKUP($K445,#REF!,8,0)</f>
        <v>#REF!</v>
      </c>
      <c r="P445" s="39" t="e">
        <f>VLOOKUP($K445,#REF!,9,0)</f>
        <v>#REF!</v>
      </c>
    </row>
    <row r="446" spans="1:16" s="2" customFormat="1" ht="18.75" x14ac:dyDescent="0.3">
      <c r="D446" s="47" t="s">
        <v>52</v>
      </c>
      <c r="E446" s="46" t="s">
        <v>1040</v>
      </c>
      <c r="F446" s="40" t="e">
        <f>VLOOKUP($D446,#REF!,2)</f>
        <v>#REF!</v>
      </c>
      <c r="G446" s="40" t="e">
        <f>VLOOKUP($D446,#REF!,3)</f>
        <v>#REF!</v>
      </c>
      <c r="H446" s="40" t="e">
        <f>VLOOKUP($D446,#REF!,4)</f>
        <v>#REF!</v>
      </c>
      <c r="I446" s="39" t="e">
        <f>VLOOKUP($D446,#REF!,9)</f>
        <v>#REF!</v>
      </c>
      <c r="J446" s="10"/>
      <c r="K446" s="47" t="s">
        <v>52</v>
      </c>
      <c r="L446" s="46" t="s">
        <v>1040</v>
      </c>
      <c r="M446" s="40" t="e">
        <f>VLOOKUP($K446,#REF!,6,0)</f>
        <v>#REF!</v>
      </c>
      <c r="N446" s="40" t="e">
        <f>VLOOKUP($K446,#REF!,7,0)</f>
        <v>#REF!</v>
      </c>
      <c r="O446" s="40" t="e">
        <f>VLOOKUP($K446,#REF!,8,0)</f>
        <v>#REF!</v>
      </c>
      <c r="P446" s="39" t="e">
        <f>VLOOKUP($K446,#REF!,9,0)</f>
        <v>#REF!</v>
      </c>
    </row>
    <row r="447" spans="1:16" s="2" customFormat="1" ht="18.75" x14ac:dyDescent="0.3">
      <c r="D447" s="47" t="s">
        <v>79</v>
      </c>
      <c r="E447" s="46" t="s">
        <v>1040</v>
      </c>
      <c r="F447" s="40" t="e">
        <f>VLOOKUP($D447,#REF!,2)</f>
        <v>#REF!</v>
      </c>
      <c r="G447" s="40" t="e">
        <f>VLOOKUP($D447,#REF!,3)</f>
        <v>#REF!</v>
      </c>
      <c r="H447" s="40" t="e">
        <f>VLOOKUP($D447,#REF!,4)</f>
        <v>#REF!</v>
      </c>
      <c r="I447" s="39" t="e">
        <f>VLOOKUP($D447,#REF!,9)</f>
        <v>#REF!</v>
      </c>
      <c r="J447" s="10"/>
      <c r="K447" s="47" t="s">
        <v>79</v>
      </c>
      <c r="L447" s="46" t="s">
        <v>1040</v>
      </c>
      <c r="M447" s="40" t="e">
        <f>VLOOKUP($K447,#REF!,6,0)</f>
        <v>#REF!</v>
      </c>
      <c r="N447" s="40" t="e">
        <f>VLOOKUP($K447,#REF!,7,0)</f>
        <v>#REF!</v>
      </c>
      <c r="O447" s="40" t="e">
        <f>VLOOKUP($K447,#REF!,8,0)</f>
        <v>#REF!</v>
      </c>
      <c r="P447" s="39" t="e">
        <f>VLOOKUP($K447,#REF!,9,0)</f>
        <v>#REF!</v>
      </c>
    </row>
    <row r="448" spans="1:16" s="2" customFormat="1" ht="19.5" thickBot="1" x14ac:dyDescent="0.35">
      <c r="D448" s="49" t="s">
        <v>99</v>
      </c>
      <c r="E448" s="97" t="s">
        <v>1040</v>
      </c>
      <c r="F448" s="41" t="e">
        <f>VLOOKUP($D448,#REF!,2)</f>
        <v>#REF!</v>
      </c>
      <c r="G448" s="41" t="e">
        <f>VLOOKUP($D448,#REF!,3)</f>
        <v>#REF!</v>
      </c>
      <c r="H448" s="41" t="e">
        <f>VLOOKUP($D448,#REF!,4)</f>
        <v>#REF!</v>
      </c>
      <c r="I448" s="39" t="e">
        <f>VLOOKUP($D448,#REF!,9)</f>
        <v>#REF!</v>
      </c>
      <c r="J448" s="10"/>
      <c r="K448" s="49" t="s">
        <v>99</v>
      </c>
      <c r="L448" s="97" t="s">
        <v>1040</v>
      </c>
      <c r="M448" s="41" t="e">
        <f>VLOOKUP($K448,#REF!,6,0)</f>
        <v>#REF!</v>
      </c>
      <c r="N448" s="41" t="e">
        <f>VLOOKUP($K448,#REF!,7,0)</f>
        <v>#REF!</v>
      </c>
      <c r="O448" s="41" t="e">
        <f>VLOOKUP($K448,#REF!,8,0)</f>
        <v>#REF!</v>
      </c>
      <c r="P448" s="42" t="e">
        <f>VLOOKUP($K448,#REF!,9,0)</f>
        <v>#REF!</v>
      </c>
    </row>
    <row r="449" spans="4:16" s="2" customFormat="1" ht="18.75" x14ac:dyDescent="0.3">
      <c r="D449" s="10"/>
      <c r="E449" s="10"/>
      <c r="F449" s="10"/>
      <c r="G449" s="9"/>
      <c r="H449" s="161" t="s">
        <v>975</v>
      </c>
      <c r="I449" s="162" t="e">
        <f>SUM(I445:I448)</f>
        <v>#REF!</v>
      </c>
      <c r="O449" s="159" t="s">
        <v>975</v>
      </c>
      <c r="P449" s="168" t="e">
        <f>SUM(P445:P448)</f>
        <v>#REF!</v>
      </c>
    </row>
    <row r="450" spans="4:16" s="2" customFormat="1" ht="19.5" thickBot="1" x14ac:dyDescent="0.35">
      <c r="D450" s="99" t="s">
        <v>1033</v>
      </c>
      <c r="E450" s="25"/>
      <c r="F450" s="25"/>
      <c r="G450" s="4"/>
      <c r="H450" s="160"/>
      <c r="I450" s="163"/>
      <c r="J450" s="8"/>
      <c r="K450" s="99" t="s">
        <v>1034</v>
      </c>
      <c r="L450" s="4"/>
      <c r="M450" s="4"/>
      <c r="N450" s="4"/>
      <c r="O450" s="160"/>
      <c r="P450" s="163"/>
    </row>
    <row r="451" spans="4:16" s="2" customFormat="1" ht="15.75" thickBot="1" x14ac:dyDescent="0.3">
      <c r="D451" s="4"/>
      <c r="E451" s="4"/>
      <c r="F451" s="4"/>
      <c r="G451" s="4"/>
      <c r="H451" s="4"/>
      <c r="I451" s="100"/>
      <c r="K451" s="4"/>
      <c r="L451" s="4"/>
      <c r="M451" s="4"/>
      <c r="N451" s="4"/>
      <c r="O451" s="4"/>
      <c r="P451" s="1"/>
    </row>
    <row r="452" spans="4:16" s="2" customFormat="1" ht="19.5" thickBot="1" x14ac:dyDescent="0.35">
      <c r="D452" s="161" t="s">
        <v>1037</v>
      </c>
      <c r="E452" s="161" t="s">
        <v>1025</v>
      </c>
      <c r="F452" s="165" t="s">
        <v>1022</v>
      </c>
      <c r="G452" s="166"/>
      <c r="H452" s="167"/>
      <c r="I452" s="162" t="s">
        <v>918</v>
      </c>
      <c r="J452" s="164"/>
      <c r="K452" s="161" t="s">
        <v>1037</v>
      </c>
      <c r="L452" s="94" t="s">
        <v>1025</v>
      </c>
      <c r="M452" s="44" t="s">
        <v>1021</v>
      </c>
      <c r="N452" s="62"/>
      <c r="O452" s="45"/>
      <c r="P452" s="162" t="s">
        <v>918</v>
      </c>
    </row>
    <row r="453" spans="4:16" s="2" customFormat="1" ht="19.5" thickBot="1" x14ac:dyDescent="0.35">
      <c r="D453" s="160"/>
      <c r="E453" s="160"/>
      <c r="F453" s="44" t="s">
        <v>3</v>
      </c>
      <c r="G453" s="38" t="s">
        <v>563</v>
      </c>
      <c r="H453" s="50" t="s">
        <v>1027</v>
      </c>
      <c r="I453" s="163"/>
      <c r="J453" s="164"/>
      <c r="K453" s="160"/>
      <c r="L453" s="96"/>
      <c r="M453" s="44" t="s">
        <v>3</v>
      </c>
      <c r="N453" s="38" t="s">
        <v>563</v>
      </c>
      <c r="O453" s="50" t="s">
        <v>1027</v>
      </c>
      <c r="P453" s="163"/>
    </row>
    <row r="454" spans="4:16" s="2" customFormat="1" ht="18.75" x14ac:dyDescent="0.3">
      <c r="D454" s="46" t="s">
        <v>38</v>
      </c>
      <c r="E454" s="46" t="s">
        <v>1028</v>
      </c>
      <c r="F454" s="40" t="e">
        <f>VLOOKUP($D454,#REF!,2)</f>
        <v>#REF!</v>
      </c>
      <c r="G454" s="40" t="e">
        <f>VLOOKUP($D454,#REF!,3)</f>
        <v>#REF!</v>
      </c>
      <c r="H454" s="40" t="e">
        <f>VLOOKUP($D454,#REF!,4)</f>
        <v>#REF!</v>
      </c>
      <c r="I454" s="39" t="e">
        <f>VLOOKUP($D454,#REF!,9)</f>
        <v>#REF!</v>
      </c>
      <c r="J454" s="10"/>
      <c r="K454" s="46" t="s">
        <v>38</v>
      </c>
      <c r="L454" s="46" t="s">
        <v>1028</v>
      </c>
      <c r="M454" s="40" t="e">
        <f>VLOOKUP($K454,#REF!,6,0)</f>
        <v>#REF!</v>
      </c>
      <c r="N454" s="40" t="e">
        <f>VLOOKUP($K454,#REF!,7,0)</f>
        <v>#REF!</v>
      </c>
      <c r="O454" s="40" t="e">
        <f>VLOOKUP($K454,#REF!,8,0)</f>
        <v>#REF!</v>
      </c>
      <c r="P454" s="39" t="e">
        <f>VLOOKUP($K454,#REF!,9,0)</f>
        <v>#REF!</v>
      </c>
    </row>
    <row r="455" spans="4:16" s="2" customFormat="1" ht="18.75" x14ac:dyDescent="0.3">
      <c r="D455" s="47" t="s">
        <v>52</v>
      </c>
      <c r="E455" s="46" t="s">
        <v>1028</v>
      </c>
      <c r="F455" s="40" t="e">
        <f>VLOOKUP($D455,#REF!,2)</f>
        <v>#REF!</v>
      </c>
      <c r="G455" s="40" t="e">
        <f>VLOOKUP($D455,#REF!,3)</f>
        <v>#REF!</v>
      </c>
      <c r="H455" s="40" t="e">
        <f>VLOOKUP($D455,#REF!,4)</f>
        <v>#REF!</v>
      </c>
      <c r="I455" s="39" t="e">
        <f>VLOOKUP($D455,#REF!,9)</f>
        <v>#REF!</v>
      </c>
      <c r="J455" s="10"/>
      <c r="K455" s="47" t="s">
        <v>52</v>
      </c>
      <c r="L455" s="46" t="s">
        <v>1028</v>
      </c>
      <c r="M455" s="40" t="e">
        <f>VLOOKUP($K455,#REF!,6,0)</f>
        <v>#REF!</v>
      </c>
      <c r="N455" s="40" t="e">
        <f>VLOOKUP($K455,#REF!,7,0)</f>
        <v>#REF!</v>
      </c>
      <c r="O455" s="40" t="e">
        <f>VLOOKUP($K455,#REF!,8,0)</f>
        <v>#REF!</v>
      </c>
      <c r="P455" s="39" t="e">
        <f>VLOOKUP($K455,#REF!,9,0)</f>
        <v>#REF!</v>
      </c>
    </row>
    <row r="456" spans="4:16" ht="18.75" x14ac:dyDescent="0.3">
      <c r="D456" s="47" t="s">
        <v>79</v>
      </c>
      <c r="E456" s="46" t="s">
        <v>1028</v>
      </c>
      <c r="F456" s="40" t="e">
        <f>VLOOKUP($D456,#REF!,2)</f>
        <v>#REF!</v>
      </c>
      <c r="G456" s="40" t="e">
        <f>VLOOKUP($D456,#REF!,3)</f>
        <v>#REF!</v>
      </c>
      <c r="H456" s="40" t="e">
        <f>VLOOKUP($D456,#REF!,4)</f>
        <v>#REF!</v>
      </c>
      <c r="I456" s="39" t="e">
        <f>VLOOKUP($D456,#REF!,9)</f>
        <v>#REF!</v>
      </c>
      <c r="J456" s="10"/>
      <c r="K456" s="47" t="s">
        <v>79</v>
      </c>
      <c r="L456" s="46" t="s">
        <v>1028</v>
      </c>
      <c r="M456" s="40" t="e">
        <f>VLOOKUP($K456,#REF!,6,0)</f>
        <v>#REF!</v>
      </c>
      <c r="N456" s="40" t="e">
        <f>VLOOKUP($K456,#REF!,7,0)</f>
        <v>#REF!</v>
      </c>
      <c r="O456" s="40" t="e">
        <f>VLOOKUP($K456,#REF!,8,0)</f>
        <v>#REF!</v>
      </c>
      <c r="P456" s="39" t="e">
        <f>VLOOKUP($K456,#REF!,9,0)</f>
        <v>#REF!</v>
      </c>
    </row>
    <row r="457" spans="4:16" ht="19.5" thickBot="1" x14ac:dyDescent="0.35">
      <c r="D457" s="49" t="s">
        <v>99</v>
      </c>
      <c r="E457" s="97" t="s">
        <v>1028</v>
      </c>
      <c r="F457" s="41" t="e">
        <f>VLOOKUP($D457,#REF!,2)</f>
        <v>#REF!</v>
      </c>
      <c r="G457" s="41" t="e">
        <f>VLOOKUP($D457,#REF!,3)</f>
        <v>#REF!</v>
      </c>
      <c r="H457" s="41" t="e">
        <f>VLOOKUP($D457,#REF!,4)</f>
        <v>#REF!</v>
      </c>
      <c r="I457" s="39" t="e">
        <f>VLOOKUP($D457,#REF!,9)</f>
        <v>#REF!</v>
      </c>
      <c r="J457" s="10"/>
      <c r="K457" s="49" t="s">
        <v>99</v>
      </c>
      <c r="L457" s="97" t="s">
        <v>1028</v>
      </c>
      <c r="M457" s="41" t="e">
        <f>VLOOKUP($K457,#REF!,6,0)</f>
        <v>#REF!</v>
      </c>
      <c r="N457" s="41" t="e">
        <f>VLOOKUP($K457,#REF!,7,0)</f>
        <v>#REF!</v>
      </c>
      <c r="O457" s="41" t="e">
        <f>VLOOKUP($K457,#REF!,8,0)</f>
        <v>#REF!</v>
      </c>
      <c r="P457" s="42" t="e">
        <f>VLOOKUP($K457,#REF!,9,0)</f>
        <v>#REF!</v>
      </c>
    </row>
    <row r="458" spans="4:16" x14ac:dyDescent="0.25">
      <c r="H458" s="161" t="s">
        <v>975</v>
      </c>
      <c r="I458" s="162" t="e">
        <f>SUM(I454:I457)</f>
        <v>#REF!</v>
      </c>
      <c r="J458" s="2"/>
      <c r="O458" s="159" t="s">
        <v>975</v>
      </c>
      <c r="P458" s="168" t="e">
        <f>SUM(P454:P457)</f>
        <v>#REF!</v>
      </c>
    </row>
    <row r="459" spans="4:16" ht="19.5" thickBot="1" x14ac:dyDescent="0.35">
      <c r="D459" s="99" t="s">
        <v>1035</v>
      </c>
      <c r="E459" s="25"/>
      <c r="F459" s="25"/>
      <c r="H459" s="160"/>
      <c r="I459" s="163"/>
      <c r="J459" s="8"/>
      <c r="K459" s="99" t="s">
        <v>1036</v>
      </c>
      <c r="O459" s="160"/>
      <c r="P459" s="163"/>
    </row>
    <row r="460" spans="4:16" ht="19.5" thickBot="1" x14ac:dyDescent="0.35">
      <c r="D460" s="52"/>
      <c r="E460" s="25"/>
      <c r="F460" s="25"/>
      <c r="I460" s="100"/>
      <c r="J460" s="2"/>
      <c r="P460" s="100"/>
    </row>
    <row r="461" spans="4:16" ht="19.5" thickBot="1" x14ac:dyDescent="0.35">
      <c r="D461" s="161" t="s">
        <v>1037</v>
      </c>
      <c r="E461" s="161" t="s">
        <v>1025</v>
      </c>
      <c r="F461" s="165" t="s">
        <v>1022</v>
      </c>
      <c r="G461" s="166"/>
      <c r="H461" s="167"/>
      <c r="I461" s="162" t="s">
        <v>918</v>
      </c>
      <c r="J461" s="164"/>
      <c r="K461" s="161" t="s">
        <v>1037</v>
      </c>
      <c r="L461" s="94" t="s">
        <v>1025</v>
      </c>
      <c r="M461" s="44" t="s">
        <v>1021</v>
      </c>
      <c r="N461" s="62"/>
      <c r="O461" s="45"/>
      <c r="P461" s="162" t="s">
        <v>918</v>
      </c>
    </row>
    <row r="462" spans="4:16" ht="19.5" thickBot="1" x14ac:dyDescent="0.35">
      <c r="D462" s="160"/>
      <c r="E462" s="160"/>
      <c r="F462" s="44" t="s">
        <v>3</v>
      </c>
      <c r="G462" s="38" t="s">
        <v>563</v>
      </c>
      <c r="H462" s="50" t="s">
        <v>1027</v>
      </c>
      <c r="I462" s="163"/>
      <c r="J462" s="164"/>
      <c r="K462" s="160"/>
      <c r="L462" s="96"/>
      <c r="M462" s="44" t="s">
        <v>3</v>
      </c>
      <c r="N462" s="38" t="s">
        <v>563</v>
      </c>
      <c r="O462" s="50" t="s">
        <v>1027</v>
      </c>
      <c r="P462" s="163"/>
    </row>
    <row r="463" spans="4:16" ht="18.75" x14ac:dyDescent="0.3">
      <c r="D463" s="46" t="s">
        <v>38</v>
      </c>
      <c r="E463" s="46" t="s">
        <v>574</v>
      </c>
      <c r="F463" s="40" t="e">
        <f>VLOOKUP($D463,#REF!,2)</f>
        <v>#REF!</v>
      </c>
      <c r="G463" s="40" t="e">
        <f>VLOOKUP($D463,#REF!,3)</f>
        <v>#REF!</v>
      </c>
      <c r="H463" s="40" t="e">
        <f>VLOOKUP($D463,#REF!,4)</f>
        <v>#REF!</v>
      </c>
      <c r="I463" s="39" t="e">
        <f>VLOOKUP($D463,#REF!,9)</f>
        <v>#REF!</v>
      </c>
      <c r="J463" s="10"/>
      <c r="K463" s="46" t="s">
        <v>38</v>
      </c>
      <c r="L463" s="46" t="s">
        <v>574</v>
      </c>
      <c r="M463" s="40" t="e">
        <f>VLOOKUP($K463,#REF!,6)</f>
        <v>#REF!</v>
      </c>
      <c r="N463" s="40" t="e">
        <f>VLOOKUP($K463,#REF!,7)</f>
        <v>#REF!</v>
      </c>
      <c r="O463" s="40" t="e">
        <f>VLOOKUP($K463,#REF!,8)</f>
        <v>#REF!</v>
      </c>
      <c r="P463" s="39" t="e">
        <f>VLOOKUP($K463,#REF!,9)</f>
        <v>#REF!</v>
      </c>
    </row>
    <row r="464" spans="4:16" ht="18.75" x14ac:dyDescent="0.3">
      <c r="D464" s="47" t="s">
        <v>52</v>
      </c>
      <c r="E464" s="46" t="s">
        <v>574</v>
      </c>
      <c r="F464" s="40" t="e">
        <f>VLOOKUP($D464,#REF!,2)</f>
        <v>#REF!</v>
      </c>
      <c r="G464" s="40" t="e">
        <f>VLOOKUP($D464,#REF!,3)</f>
        <v>#REF!</v>
      </c>
      <c r="H464" s="40" t="e">
        <f>VLOOKUP($D464,#REF!,4)</f>
        <v>#REF!</v>
      </c>
      <c r="I464" s="39" t="e">
        <f>VLOOKUP($D464,#REF!,9)</f>
        <v>#REF!</v>
      </c>
      <c r="J464" s="10"/>
      <c r="K464" s="47" t="s">
        <v>52</v>
      </c>
      <c r="L464" s="46" t="s">
        <v>574</v>
      </c>
      <c r="M464" s="40" t="e">
        <f>VLOOKUP($K464,#REF!,6)</f>
        <v>#REF!</v>
      </c>
      <c r="N464" s="40" t="e">
        <f>VLOOKUP($K464,#REF!,7)</f>
        <v>#REF!</v>
      </c>
      <c r="O464" s="40" t="e">
        <f>VLOOKUP($K464,#REF!,8)</f>
        <v>#REF!</v>
      </c>
      <c r="P464" s="39" t="e">
        <f>VLOOKUP($K464,#REF!,9)</f>
        <v>#REF!</v>
      </c>
    </row>
    <row r="465" spans="1:16" ht="18.75" x14ac:dyDescent="0.3">
      <c r="D465" s="47" t="s">
        <v>79</v>
      </c>
      <c r="E465" s="46" t="s">
        <v>574</v>
      </c>
      <c r="F465" s="40" t="e">
        <f>VLOOKUP($D465,#REF!,2)</f>
        <v>#REF!</v>
      </c>
      <c r="G465" s="40" t="e">
        <f>VLOOKUP($D465,#REF!,3)</f>
        <v>#REF!</v>
      </c>
      <c r="H465" s="40" t="e">
        <f>VLOOKUP($D465,#REF!,4)</f>
        <v>#REF!</v>
      </c>
      <c r="I465" s="39" t="e">
        <f>VLOOKUP($D465,#REF!,9)</f>
        <v>#REF!</v>
      </c>
      <c r="J465" s="10"/>
      <c r="K465" s="47" t="s">
        <v>79</v>
      </c>
      <c r="L465" s="46" t="s">
        <v>574</v>
      </c>
      <c r="M465" s="40" t="e">
        <f>VLOOKUP($K465,#REF!,6)</f>
        <v>#REF!</v>
      </c>
      <c r="N465" s="40" t="e">
        <f>VLOOKUP($K465,#REF!,7)</f>
        <v>#REF!</v>
      </c>
      <c r="O465" s="40" t="e">
        <f>VLOOKUP($K465,#REF!,8)</f>
        <v>#REF!</v>
      </c>
      <c r="P465" s="39" t="e">
        <f>VLOOKUP($K465,#REF!,9)</f>
        <v>#REF!</v>
      </c>
    </row>
    <row r="466" spans="1:16" ht="19.5" thickBot="1" x14ac:dyDescent="0.35">
      <c r="D466" s="49" t="s">
        <v>99</v>
      </c>
      <c r="E466" s="97" t="s">
        <v>574</v>
      </c>
      <c r="F466" s="41" t="e">
        <f>VLOOKUP($D466,#REF!,2)</f>
        <v>#REF!</v>
      </c>
      <c r="G466" s="41" t="e">
        <f>VLOOKUP($D466,#REF!,3)</f>
        <v>#REF!</v>
      </c>
      <c r="H466" s="41" t="e">
        <f>VLOOKUP($D466,#REF!,4)</f>
        <v>#REF!</v>
      </c>
      <c r="I466" s="39" t="e">
        <f>VLOOKUP($D466,#REF!,9)</f>
        <v>#REF!</v>
      </c>
      <c r="J466" s="10"/>
      <c r="K466" s="49" t="s">
        <v>99</v>
      </c>
      <c r="L466" s="97" t="s">
        <v>574</v>
      </c>
      <c r="M466" s="41" t="e">
        <f>VLOOKUP($K466,#REF!,6)</f>
        <v>#REF!</v>
      </c>
      <c r="N466" s="41" t="e">
        <f>VLOOKUP($K466,#REF!,7)</f>
        <v>#REF!</v>
      </c>
      <c r="O466" s="41" t="e">
        <f>VLOOKUP($K466,#REF!,8)</f>
        <v>#REF!</v>
      </c>
      <c r="P466" s="42" t="e">
        <f>VLOOKUP($K466,#REF!,9)</f>
        <v>#REF!</v>
      </c>
    </row>
    <row r="467" spans="1:16" x14ac:dyDescent="0.25">
      <c r="H467" s="161" t="s">
        <v>975</v>
      </c>
      <c r="I467" s="161" t="e">
        <f>SUM(I463:I466)</f>
        <v>#REF!</v>
      </c>
      <c r="O467" s="159" t="s">
        <v>975</v>
      </c>
      <c r="P467" s="159" t="e">
        <f>SUM(P463:P466)</f>
        <v>#REF!</v>
      </c>
    </row>
    <row r="468" spans="1:16" ht="15.75" thickBot="1" x14ac:dyDescent="0.3">
      <c r="H468" s="160"/>
      <c r="I468" s="160"/>
      <c r="O468" s="160"/>
      <c r="P468" s="160"/>
    </row>
    <row r="472" spans="1:16" ht="18.75" x14ac:dyDescent="0.3">
      <c r="A472" s="2"/>
      <c r="B472" s="2"/>
      <c r="C472" s="2"/>
      <c r="D472" s="25"/>
      <c r="E472" s="25"/>
      <c r="F472" s="25"/>
      <c r="J472" s="2"/>
    </row>
    <row r="475" spans="1:16" ht="18.75" x14ac:dyDescent="0.3">
      <c r="D475" s="52" t="s">
        <v>1041</v>
      </c>
    </row>
    <row r="476" spans="1:16" ht="19.5" thickBot="1" x14ac:dyDescent="0.35">
      <c r="D476" s="52"/>
    </row>
    <row r="477" spans="1:16" ht="19.5" thickBot="1" x14ac:dyDescent="0.35">
      <c r="D477" s="11" t="s">
        <v>1044</v>
      </c>
      <c r="E477" s="43" t="s">
        <v>48</v>
      </c>
      <c r="F477" s="43" t="s">
        <v>55</v>
      </c>
      <c r="G477" s="43" t="s">
        <v>560</v>
      </c>
      <c r="H477" s="43" t="s">
        <v>991</v>
      </c>
      <c r="I477" s="43" t="s">
        <v>537</v>
      </c>
      <c r="J477" s="43" t="s">
        <v>123</v>
      </c>
      <c r="K477" s="43" t="s">
        <v>185</v>
      </c>
      <c r="L477" s="43" t="s">
        <v>992</v>
      </c>
      <c r="M477" s="43" t="s">
        <v>362</v>
      </c>
      <c r="N477" s="43" t="s">
        <v>553</v>
      </c>
      <c r="O477" s="43" t="s">
        <v>990</v>
      </c>
      <c r="P477" s="11" t="s">
        <v>1044</v>
      </c>
    </row>
    <row r="478" spans="1:16" ht="18.75" x14ac:dyDescent="0.3">
      <c r="D478" s="46" t="s">
        <v>38</v>
      </c>
      <c r="E478" s="20" t="e">
        <f>VLOOKUP($D478,#REF!,2)</f>
        <v>#REF!</v>
      </c>
      <c r="F478" s="20" t="e">
        <f>VLOOKUP($D478,#REF!,3)</f>
        <v>#REF!</v>
      </c>
      <c r="G478" s="20" t="e">
        <f>VLOOKUP($D478,#REF!,4)</f>
        <v>#REF!</v>
      </c>
      <c r="H478" s="20" t="e">
        <f>VLOOKUP($D478,#REF!,5)</f>
        <v>#REF!</v>
      </c>
      <c r="I478" s="20" t="e">
        <f>VLOOKUP($D478,#REF!,6)</f>
        <v>#REF!</v>
      </c>
      <c r="J478" s="20" t="e">
        <f>VLOOKUP($D478,#REF!,7)</f>
        <v>#REF!</v>
      </c>
      <c r="K478" s="20" t="e">
        <f>VLOOKUP($D478,#REF!,8)</f>
        <v>#REF!</v>
      </c>
      <c r="L478" s="20" t="e">
        <f>VLOOKUP($D478,#REF!,9)</f>
        <v>#REF!</v>
      </c>
      <c r="M478" s="20" t="e">
        <f>VLOOKUP($D478,#REF!,10)</f>
        <v>#REF!</v>
      </c>
      <c r="N478" s="20" t="e">
        <f>VLOOKUP($D478,#REF!,11)</f>
        <v>#REF!</v>
      </c>
      <c r="O478" s="20" t="e">
        <f>SUM(E478:N478)</f>
        <v>#REF!</v>
      </c>
      <c r="P478" s="46" t="s">
        <v>38</v>
      </c>
    </row>
    <row r="479" spans="1:16" ht="18.75" x14ac:dyDescent="0.3">
      <c r="D479" s="55" t="s">
        <v>52</v>
      </c>
      <c r="E479" s="20" t="e">
        <f>VLOOKUP($D479,#REF!,2)</f>
        <v>#REF!</v>
      </c>
      <c r="F479" s="20" t="e">
        <f>VLOOKUP($D479,#REF!,3)</f>
        <v>#REF!</v>
      </c>
      <c r="G479" s="20" t="e">
        <f>VLOOKUP($D479,#REF!,4)</f>
        <v>#REF!</v>
      </c>
      <c r="H479" s="20" t="e">
        <f>VLOOKUP($D479,#REF!,5)</f>
        <v>#REF!</v>
      </c>
      <c r="I479" s="20" t="e">
        <f>VLOOKUP($D479,#REF!,6)</f>
        <v>#REF!</v>
      </c>
      <c r="J479" s="20" t="e">
        <f>VLOOKUP($D479,#REF!,7)</f>
        <v>#REF!</v>
      </c>
      <c r="K479" s="20" t="e">
        <f>VLOOKUP($D479,#REF!,8)</f>
        <v>#REF!</v>
      </c>
      <c r="L479" s="20" t="e">
        <f>VLOOKUP($D479,#REF!,9)</f>
        <v>#REF!</v>
      </c>
      <c r="M479" s="20" t="e">
        <f>VLOOKUP($D479,#REF!,10)</f>
        <v>#REF!</v>
      </c>
      <c r="N479" s="20" t="e">
        <f>VLOOKUP($D479,#REF!,11)</f>
        <v>#REF!</v>
      </c>
      <c r="O479" s="20" t="e">
        <f>SUM(E479:N479)</f>
        <v>#REF!</v>
      </c>
      <c r="P479" s="55" t="s">
        <v>52</v>
      </c>
    </row>
    <row r="480" spans="1:16" ht="18.75" x14ac:dyDescent="0.3">
      <c r="D480" s="55" t="s">
        <v>79</v>
      </c>
      <c r="E480" s="20" t="e">
        <f>VLOOKUP($D480,#REF!,2)</f>
        <v>#REF!</v>
      </c>
      <c r="F480" s="20" t="e">
        <f>VLOOKUP($D480,#REF!,3)</f>
        <v>#REF!</v>
      </c>
      <c r="G480" s="20" t="e">
        <f>VLOOKUP($D480,#REF!,4)</f>
        <v>#REF!</v>
      </c>
      <c r="H480" s="20" t="e">
        <f>VLOOKUP($D480,#REF!,5)</f>
        <v>#REF!</v>
      </c>
      <c r="I480" s="20" t="e">
        <f>VLOOKUP($D480,#REF!,6)</f>
        <v>#REF!</v>
      </c>
      <c r="J480" s="20" t="e">
        <f>VLOOKUP($D480,#REF!,7)</f>
        <v>#REF!</v>
      </c>
      <c r="K480" s="20" t="e">
        <f>VLOOKUP($D480,#REF!,8)</f>
        <v>#REF!</v>
      </c>
      <c r="L480" s="20" t="e">
        <f>VLOOKUP($D480,#REF!,9)</f>
        <v>#REF!</v>
      </c>
      <c r="M480" s="20" t="e">
        <f>VLOOKUP($D480,#REF!,10)</f>
        <v>#REF!</v>
      </c>
      <c r="N480" s="20" t="e">
        <f>VLOOKUP($D480,#REF!,11)</f>
        <v>#REF!</v>
      </c>
      <c r="O480" s="20" t="e">
        <f>SUM(E480:N480)</f>
        <v>#REF!</v>
      </c>
      <c r="P480" s="55" t="s">
        <v>79</v>
      </c>
    </row>
    <row r="481" spans="4:16" ht="19.5" thickBot="1" x14ac:dyDescent="0.35">
      <c r="D481" s="55" t="s">
        <v>99</v>
      </c>
      <c r="E481" s="20" t="e">
        <f>VLOOKUP($D481,#REF!,2)</f>
        <v>#REF!</v>
      </c>
      <c r="F481" s="20" t="e">
        <f>VLOOKUP($D481,#REF!,3)</f>
        <v>#REF!</v>
      </c>
      <c r="G481" s="20" t="e">
        <f>VLOOKUP($D481,#REF!,4)</f>
        <v>#REF!</v>
      </c>
      <c r="H481" s="20" t="e">
        <f>VLOOKUP($D481,#REF!,5)</f>
        <v>#REF!</v>
      </c>
      <c r="I481" s="20" t="e">
        <f>VLOOKUP($D481,#REF!,6)</f>
        <v>#REF!</v>
      </c>
      <c r="J481" s="20" t="e">
        <f>VLOOKUP($D481,#REF!,7)</f>
        <v>#REF!</v>
      </c>
      <c r="K481" s="20" t="e">
        <f>VLOOKUP($D481,#REF!,8)</f>
        <v>#REF!</v>
      </c>
      <c r="L481" s="20" t="e">
        <f>VLOOKUP($D481,#REF!,9)</f>
        <v>#REF!</v>
      </c>
      <c r="M481" s="20" t="e">
        <f>VLOOKUP($D481,#REF!,10)</f>
        <v>#REF!</v>
      </c>
      <c r="N481" s="20" t="e">
        <f>VLOOKUP($D481,#REF!,11)</f>
        <v>#REF!</v>
      </c>
      <c r="O481" s="20" t="e">
        <f>SUM(E481:N481)</f>
        <v>#REF!</v>
      </c>
      <c r="P481" s="55" t="s">
        <v>99</v>
      </c>
    </row>
    <row r="482" spans="4:16" ht="19.5" thickBot="1" x14ac:dyDescent="0.35">
      <c r="D482" s="11" t="s">
        <v>582</v>
      </c>
      <c r="E482" s="15" t="e">
        <f t="shared" ref="E482:N482" si="30">SUM(E478:E481)</f>
        <v>#REF!</v>
      </c>
      <c r="F482" s="15" t="e">
        <f t="shared" si="30"/>
        <v>#REF!</v>
      </c>
      <c r="G482" s="15" t="e">
        <f t="shared" si="30"/>
        <v>#REF!</v>
      </c>
      <c r="H482" s="15" t="e">
        <f t="shared" si="30"/>
        <v>#REF!</v>
      </c>
      <c r="I482" s="15" t="e">
        <f t="shared" si="30"/>
        <v>#REF!</v>
      </c>
      <c r="J482" s="15" t="e">
        <f t="shared" si="30"/>
        <v>#REF!</v>
      </c>
      <c r="K482" s="15" t="e">
        <f t="shared" si="30"/>
        <v>#REF!</v>
      </c>
      <c r="L482" s="15" t="e">
        <f t="shared" si="30"/>
        <v>#REF!</v>
      </c>
      <c r="M482" s="15" t="e">
        <f t="shared" si="30"/>
        <v>#REF!</v>
      </c>
      <c r="N482" s="15" t="e">
        <f t="shared" si="30"/>
        <v>#REF!</v>
      </c>
      <c r="O482" s="15" t="e">
        <f>SUM(E482:N482)</f>
        <v>#REF!</v>
      </c>
      <c r="P482" s="11" t="s">
        <v>582</v>
      </c>
    </row>
    <row r="483" spans="4:16" ht="15.75" thickBot="1" x14ac:dyDescent="0.3"/>
    <row r="484" spans="4:16" ht="19.5" thickBot="1" x14ac:dyDescent="0.35">
      <c r="D484" s="11" t="s">
        <v>1044</v>
      </c>
      <c r="E484" s="43" t="s">
        <v>48</v>
      </c>
      <c r="F484" s="43" t="s">
        <v>55</v>
      </c>
      <c r="G484" s="43" t="s">
        <v>560</v>
      </c>
      <c r="H484" s="43" t="s">
        <v>991</v>
      </c>
      <c r="I484" s="43" t="s">
        <v>537</v>
      </c>
      <c r="J484" s="43" t="s">
        <v>123</v>
      </c>
      <c r="K484" s="43" t="s">
        <v>185</v>
      </c>
      <c r="L484" s="43" t="s">
        <v>992</v>
      </c>
      <c r="M484" s="43" t="s">
        <v>362</v>
      </c>
      <c r="N484" s="43" t="s">
        <v>553</v>
      </c>
      <c r="O484" s="43" t="s">
        <v>990</v>
      </c>
      <c r="P484" s="11" t="s">
        <v>1044</v>
      </c>
    </row>
    <row r="485" spans="4:16" ht="18.75" x14ac:dyDescent="0.3">
      <c r="D485" s="46" t="s">
        <v>38</v>
      </c>
      <c r="E485" s="22" t="e">
        <f>VLOOKUP($D485,#REF!,12)</f>
        <v>#REF!</v>
      </c>
      <c r="F485" s="22" t="e">
        <f>VLOOKUP($D485,#REF!,13)</f>
        <v>#REF!</v>
      </c>
      <c r="G485" s="22" t="e">
        <f>VLOOKUP($D485,#REF!,14)</f>
        <v>#REF!</v>
      </c>
      <c r="H485" s="22" t="e">
        <f>VLOOKUP($D485,#REF!,15)</f>
        <v>#REF!</v>
      </c>
      <c r="I485" s="22" t="e">
        <f>VLOOKUP($D485,#REF!,16)</f>
        <v>#REF!</v>
      </c>
      <c r="J485" s="22" t="e">
        <f>VLOOKUP($D485,#REF!,17)</f>
        <v>#REF!</v>
      </c>
      <c r="K485" s="22" t="e">
        <f>VLOOKUP($D485,#REF!,18)</f>
        <v>#REF!</v>
      </c>
      <c r="L485" s="22" t="e">
        <f>VLOOKUP($D485,#REF!,19)</f>
        <v>#REF!</v>
      </c>
      <c r="M485" s="22" t="e">
        <f>VLOOKUP($D485,#REF!,20)</f>
        <v>#REF!</v>
      </c>
      <c r="N485" s="22" t="e">
        <f>VLOOKUP($D485,#REF!,21)</f>
        <v>#REF!</v>
      </c>
      <c r="O485" s="22" t="e">
        <f>SUM(E485:N485)</f>
        <v>#REF!</v>
      </c>
      <c r="P485" s="46" t="s">
        <v>38</v>
      </c>
    </row>
    <row r="486" spans="4:16" ht="18.75" x14ac:dyDescent="0.3">
      <c r="D486" s="47" t="s">
        <v>52</v>
      </c>
      <c r="E486" s="22" t="e">
        <f>VLOOKUP($D486,#REF!,12)</f>
        <v>#REF!</v>
      </c>
      <c r="F486" s="22" t="e">
        <f>VLOOKUP($D486,#REF!,13)</f>
        <v>#REF!</v>
      </c>
      <c r="G486" s="22" t="e">
        <f>VLOOKUP($D486,#REF!,14)</f>
        <v>#REF!</v>
      </c>
      <c r="H486" s="22" t="e">
        <f>VLOOKUP($D486,#REF!,15)</f>
        <v>#REF!</v>
      </c>
      <c r="I486" s="22" t="e">
        <f>VLOOKUP($D486,#REF!,16)</f>
        <v>#REF!</v>
      </c>
      <c r="J486" s="22" t="e">
        <f>VLOOKUP($D486,#REF!,17)</f>
        <v>#REF!</v>
      </c>
      <c r="K486" s="22" t="e">
        <f>VLOOKUP($D486,#REF!,18)</f>
        <v>#REF!</v>
      </c>
      <c r="L486" s="22" t="e">
        <f>VLOOKUP($D486,#REF!,19)</f>
        <v>#REF!</v>
      </c>
      <c r="M486" s="22" t="e">
        <f>VLOOKUP($D486,#REF!,20)</f>
        <v>#REF!</v>
      </c>
      <c r="N486" s="22" t="e">
        <f>VLOOKUP($D486,#REF!,21)</f>
        <v>#REF!</v>
      </c>
      <c r="O486" s="22" t="e">
        <f>SUM(E486:N486)</f>
        <v>#REF!</v>
      </c>
      <c r="P486" s="47" t="s">
        <v>52</v>
      </c>
    </row>
    <row r="487" spans="4:16" ht="18.75" x14ac:dyDescent="0.3">
      <c r="D487" s="47" t="s">
        <v>79</v>
      </c>
      <c r="E487" s="22" t="e">
        <f>VLOOKUP($D487,#REF!,12)</f>
        <v>#REF!</v>
      </c>
      <c r="F487" s="22" t="e">
        <f>VLOOKUP($D487,#REF!,13)</f>
        <v>#REF!</v>
      </c>
      <c r="G487" s="22" t="e">
        <f>VLOOKUP($D487,#REF!,14)</f>
        <v>#REF!</v>
      </c>
      <c r="H487" s="22" t="e">
        <f>VLOOKUP($D487,#REF!,15)</f>
        <v>#REF!</v>
      </c>
      <c r="I487" s="22" t="e">
        <f>VLOOKUP($D487,#REF!,16)</f>
        <v>#REF!</v>
      </c>
      <c r="J487" s="22" t="e">
        <f>VLOOKUP($D487,#REF!,17)</f>
        <v>#REF!</v>
      </c>
      <c r="K487" s="22" t="e">
        <f>VLOOKUP($D487,#REF!,18)</f>
        <v>#REF!</v>
      </c>
      <c r="L487" s="22" t="e">
        <f>VLOOKUP($D487,#REF!,19)</f>
        <v>#REF!</v>
      </c>
      <c r="M487" s="22" t="e">
        <f>VLOOKUP($D487,#REF!,20)</f>
        <v>#REF!</v>
      </c>
      <c r="N487" s="22" t="e">
        <f>VLOOKUP($D487,#REF!,21)</f>
        <v>#REF!</v>
      </c>
      <c r="O487" s="22" t="e">
        <f>SUM(E487:N487)</f>
        <v>#REF!</v>
      </c>
      <c r="P487" s="47" t="s">
        <v>79</v>
      </c>
    </row>
    <row r="488" spans="4:16" ht="19.5" thickBot="1" x14ac:dyDescent="0.35">
      <c r="D488" s="49" t="s">
        <v>99</v>
      </c>
      <c r="E488" s="48" t="e">
        <f>VLOOKUP($D488,#REF!,12)</f>
        <v>#REF!</v>
      </c>
      <c r="F488" s="48" t="e">
        <f>VLOOKUP($D488,#REF!,13)</f>
        <v>#REF!</v>
      </c>
      <c r="G488" s="48" t="e">
        <f>VLOOKUP($D488,#REF!,14)</f>
        <v>#REF!</v>
      </c>
      <c r="H488" s="48" t="e">
        <f>VLOOKUP($D488,#REF!,15)</f>
        <v>#REF!</v>
      </c>
      <c r="I488" s="48" t="e">
        <f>VLOOKUP($D488,#REF!,16)</f>
        <v>#REF!</v>
      </c>
      <c r="J488" s="48" t="e">
        <f>VLOOKUP($D488,#REF!,17)</f>
        <v>#REF!</v>
      </c>
      <c r="K488" s="48" t="e">
        <f>VLOOKUP($D488,#REF!,18)</f>
        <v>#REF!</v>
      </c>
      <c r="L488" s="48" t="e">
        <f>VLOOKUP($D488,#REF!,19)</f>
        <v>#REF!</v>
      </c>
      <c r="M488" s="48" t="e">
        <f>VLOOKUP($D488,#REF!,20)</f>
        <v>#REF!</v>
      </c>
      <c r="N488" s="48" t="e">
        <f>VLOOKUP($D488,#REF!,21)</f>
        <v>#REF!</v>
      </c>
      <c r="O488" s="48" t="e">
        <f>SUM(E488:N488)</f>
        <v>#REF!</v>
      </c>
      <c r="P488" s="49" t="s">
        <v>99</v>
      </c>
    </row>
    <row r="491" spans="4:16" ht="18.75" x14ac:dyDescent="0.3">
      <c r="D491" s="52" t="s">
        <v>1042</v>
      </c>
    </row>
    <row r="492" spans="4:16" ht="19.5" thickBot="1" x14ac:dyDescent="0.35">
      <c r="D492" s="52"/>
    </row>
    <row r="493" spans="4:16" ht="19.5" thickBot="1" x14ac:dyDescent="0.35">
      <c r="D493" s="11" t="s">
        <v>1044</v>
      </c>
      <c r="E493" s="43" t="s">
        <v>48</v>
      </c>
      <c r="F493" s="43" t="s">
        <v>55</v>
      </c>
      <c r="G493" s="43" t="s">
        <v>560</v>
      </c>
      <c r="H493" s="43" t="s">
        <v>991</v>
      </c>
      <c r="I493" s="43" t="s">
        <v>537</v>
      </c>
      <c r="J493" s="43" t="s">
        <v>123</v>
      </c>
      <c r="K493" s="43" t="s">
        <v>185</v>
      </c>
      <c r="L493" s="43" t="s">
        <v>992</v>
      </c>
      <c r="M493" s="43" t="s">
        <v>362</v>
      </c>
      <c r="N493" s="43" t="s">
        <v>553</v>
      </c>
      <c r="O493" s="43" t="s">
        <v>990</v>
      </c>
      <c r="P493" s="11" t="s">
        <v>1044</v>
      </c>
    </row>
    <row r="494" spans="4:16" ht="18.75" x14ac:dyDescent="0.3">
      <c r="D494" s="46" t="s">
        <v>38</v>
      </c>
      <c r="E494" s="20" t="e">
        <f>VLOOKUP($D494,#REF!,2)</f>
        <v>#REF!</v>
      </c>
      <c r="F494" s="20" t="e">
        <f>VLOOKUP($D494,#REF!,3)</f>
        <v>#REF!</v>
      </c>
      <c r="G494" s="20" t="e">
        <f>VLOOKUP($D494,#REF!,4)</f>
        <v>#REF!</v>
      </c>
      <c r="H494" s="20" t="e">
        <f>VLOOKUP($D494,#REF!,5)</f>
        <v>#REF!</v>
      </c>
      <c r="I494" s="20" t="e">
        <f>VLOOKUP($D494,#REF!,6)</f>
        <v>#REF!</v>
      </c>
      <c r="J494" s="20" t="e">
        <f>VLOOKUP($D494,#REF!,7)</f>
        <v>#REF!</v>
      </c>
      <c r="K494" s="20" t="e">
        <f>VLOOKUP($D494,#REF!,8)</f>
        <v>#REF!</v>
      </c>
      <c r="L494" s="20" t="e">
        <f>VLOOKUP($D494,#REF!,9)</f>
        <v>#REF!</v>
      </c>
      <c r="M494" s="20" t="e">
        <f>VLOOKUP($D494,#REF!,10)</f>
        <v>#REF!</v>
      </c>
      <c r="N494" s="20" t="e">
        <f>VLOOKUP($D494,#REF!,11)</f>
        <v>#REF!</v>
      </c>
      <c r="O494" s="20" t="e">
        <f>SUM(E494:N494)</f>
        <v>#REF!</v>
      </c>
      <c r="P494" s="46" t="s">
        <v>38</v>
      </c>
    </row>
    <row r="495" spans="4:16" ht="18.75" x14ac:dyDescent="0.3">
      <c r="D495" s="55" t="s">
        <v>52</v>
      </c>
      <c r="E495" s="20" t="e">
        <f>VLOOKUP($D495,#REF!,2)</f>
        <v>#REF!</v>
      </c>
      <c r="F495" s="20" t="e">
        <f>VLOOKUP($D495,#REF!,3)</f>
        <v>#REF!</v>
      </c>
      <c r="G495" s="20" t="e">
        <f>VLOOKUP($D495,#REF!,4)</f>
        <v>#REF!</v>
      </c>
      <c r="H495" s="20" t="e">
        <f>VLOOKUP($D495,#REF!,5)</f>
        <v>#REF!</v>
      </c>
      <c r="I495" s="20" t="e">
        <f>VLOOKUP($D495,#REF!,6)</f>
        <v>#REF!</v>
      </c>
      <c r="J495" s="20" t="e">
        <f>VLOOKUP($D495,#REF!,7)</f>
        <v>#REF!</v>
      </c>
      <c r="K495" s="20" t="e">
        <f>VLOOKUP($D495,#REF!,8)</f>
        <v>#REF!</v>
      </c>
      <c r="L495" s="20" t="e">
        <f>VLOOKUP($D495,#REF!,9)</f>
        <v>#REF!</v>
      </c>
      <c r="M495" s="20" t="e">
        <f>VLOOKUP($D495,#REF!,10)</f>
        <v>#REF!</v>
      </c>
      <c r="N495" s="20" t="e">
        <f>VLOOKUP($D495,#REF!,11)</f>
        <v>#REF!</v>
      </c>
      <c r="O495" s="20" t="e">
        <f>SUM(E495:N495)</f>
        <v>#REF!</v>
      </c>
      <c r="P495" s="55" t="s">
        <v>52</v>
      </c>
    </row>
    <row r="496" spans="4:16" ht="18.75" x14ac:dyDescent="0.3">
      <c r="D496" s="55" t="s">
        <v>79</v>
      </c>
      <c r="E496" s="20" t="e">
        <f>VLOOKUP($D496,#REF!,2)</f>
        <v>#REF!</v>
      </c>
      <c r="F496" s="20" t="e">
        <f>VLOOKUP($D496,#REF!,3)</f>
        <v>#REF!</v>
      </c>
      <c r="G496" s="20" t="e">
        <f>VLOOKUP($D496,#REF!,4)</f>
        <v>#REF!</v>
      </c>
      <c r="H496" s="20" t="e">
        <f>VLOOKUP($D496,#REF!,5)</f>
        <v>#REF!</v>
      </c>
      <c r="I496" s="20" t="e">
        <f>VLOOKUP($D496,#REF!,6)</f>
        <v>#REF!</v>
      </c>
      <c r="J496" s="20" t="e">
        <f>VLOOKUP($D496,#REF!,7)</f>
        <v>#REF!</v>
      </c>
      <c r="K496" s="20" t="e">
        <f>VLOOKUP($D496,#REF!,8)</f>
        <v>#REF!</v>
      </c>
      <c r="L496" s="20" t="e">
        <f>VLOOKUP($D496,#REF!,9)</f>
        <v>#REF!</v>
      </c>
      <c r="M496" s="20" t="e">
        <f>VLOOKUP($D496,#REF!,10)</f>
        <v>#REF!</v>
      </c>
      <c r="N496" s="20" t="e">
        <f>VLOOKUP($D496,#REF!,11)</f>
        <v>#REF!</v>
      </c>
      <c r="O496" s="20" t="e">
        <f>SUM(E496:N496)</f>
        <v>#REF!</v>
      </c>
      <c r="P496" s="55" t="s">
        <v>79</v>
      </c>
    </row>
    <row r="497" spans="4:16" ht="19.5" thickBot="1" x14ac:dyDescent="0.35">
      <c r="D497" s="55" t="s">
        <v>99</v>
      </c>
      <c r="E497" s="20" t="e">
        <f>VLOOKUP($D497,#REF!,2)</f>
        <v>#REF!</v>
      </c>
      <c r="F497" s="20" t="e">
        <f>VLOOKUP($D497,#REF!,3)</f>
        <v>#REF!</v>
      </c>
      <c r="G497" s="20" t="e">
        <f>VLOOKUP($D497,#REF!,4)</f>
        <v>#REF!</v>
      </c>
      <c r="H497" s="20" t="e">
        <f>VLOOKUP($D497,#REF!,5)</f>
        <v>#REF!</v>
      </c>
      <c r="I497" s="20" t="e">
        <f>VLOOKUP($D497,#REF!,6)</f>
        <v>#REF!</v>
      </c>
      <c r="J497" s="20" t="e">
        <f>VLOOKUP($D497,#REF!,7)</f>
        <v>#REF!</v>
      </c>
      <c r="K497" s="20" t="e">
        <f>VLOOKUP($D497,#REF!,8)</f>
        <v>#REF!</v>
      </c>
      <c r="L497" s="20" t="e">
        <f>VLOOKUP($D497,#REF!,9)</f>
        <v>#REF!</v>
      </c>
      <c r="M497" s="20" t="e">
        <f>VLOOKUP($D497,#REF!,10)</f>
        <v>#REF!</v>
      </c>
      <c r="N497" s="20" t="e">
        <f>VLOOKUP($D497,#REF!,11)</f>
        <v>#REF!</v>
      </c>
      <c r="O497" s="20" t="e">
        <f>SUM(E497:N497)</f>
        <v>#REF!</v>
      </c>
      <c r="P497" s="55" t="s">
        <v>99</v>
      </c>
    </row>
    <row r="498" spans="4:16" ht="19.5" thickBot="1" x14ac:dyDescent="0.35">
      <c r="D498" s="11" t="s">
        <v>582</v>
      </c>
      <c r="E498" s="15" t="e">
        <f t="shared" ref="E498:N498" si="31">SUM(E494:E497)</f>
        <v>#REF!</v>
      </c>
      <c r="F498" s="15" t="e">
        <f t="shared" si="31"/>
        <v>#REF!</v>
      </c>
      <c r="G498" s="15" t="e">
        <f t="shared" si="31"/>
        <v>#REF!</v>
      </c>
      <c r="H498" s="15" t="e">
        <f t="shared" si="31"/>
        <v>#REF!</v>
      </c>
      <c r="I498" s="15" t="e">
        <f t="shared" si="31"/>
        <v>#REF!</v>
      </c>
      <c r="J498" s="15" t="e">
        <f t="shared" si="31"/>
        <v>#REF!</v>
      </c>
      <c r="K498" s="15" t="e">
        <f t="shared" si="31"/>
        <v>#REF!</v>
      </c>
      <c r="L498" s="15" t="e">
        <f t="shared" si="31"/>
        <v>#REF!</v>
      </c>
      <c r="M498" s="15" t="e">
        <f t="shared" si="31"/>
        <v>#REF!</v>
      </c>
      <c r="N498" s="15" t="e">
        <f t="shared" si="31"/>
        <v>#REF!</v>
      </c>
      <c r="O498" s="15" t="e">
        <f>SUM(E498:N498)</f>
        <v>#REF!</v>
      </c>
      <c r="P498" s="11" t="s">
        <v>582</v>
      </c>
    </row>
    <row r="499" spans="4:16" ht="15.75" thickBot="1" x14ac:dyDescent="0.3"/>
    <row r="500" spans="4:16" ht="19.5" thickBot="1" x14ac:dyDescent="0.35">
      <c r="D500" s="11" t="s">
        <v>1044</v>
      </c>
      <c r="E500" s="43" t="s">
        <v>48</v>
      </c>
      <c r="F500" s="43" t="s">
        <v>55</v>
      </c>
      <c r="G500" s="43" t="s">
        <v>560</v>
      </c>
      <c r="H500" s="43" t="s">
        <v>991</v>
      </c>
      <c r="I500" s="43" t="s">
        <v>537</v>
      </c>
      <c r="J500" s="43" t="s">
        <v>123</v>
      </c>
      <c r="K500" s="43" t="s">
        <v>185</v>
      </c>
      <c r="L500" s="43" t="s">
        <v>992</v>
      </c>
      <c r="M500" s="43" t="s">
        <v>362</v>
      </c>
      <c r="N500" s="43" t="s">
        <v>553</v>
      </c>
      <c r="O500" s="43" t="s">
        <v>990</v>
      </c>
      <c r="P500" s="11" t="s">
        <v>1044</v>
      </c>
    </row>
    <row r="501" spans="4:16" ht="18.75" x14ac:dyDescent="0.3">
      <c r="D501" s="46" t="s">
        <v>38</v>
      </c>
      <c r="E501" s="22" t="e">
        <f>VLOOKUP($D501,#REF!,12)</f>
        <v>#REF!</v>
      </c>
      <c r="F501" s="22" t="e">
        <f>VLOOKUP($D501,#REF!,13)</f>
        <v>#REF!</v>
      </c>
      <c r="G501" s="22" t="e">
        <f>VLOOKUP($D501,#REF!,14)</f>
        <v>#REF!</v>
      </c>
      <c r="H501" s="22" t="e">
        <f>VLOOKUP($D501,#REF!,15)</f>
        <v>#REF!</v>
      </c>
      <c r="I501" s="22" t="e">
        <f>VLOOKUP($D501,#REF!,16)</f>
        <v>#REF!</v>
      </c>
      <c r="J501" s="22" t="e">
        <f>VLOOKUP($D501,#REF!,17)</f>
        <v>#REF!</v>
      </c>
      <c r="K501" s="22" t="e">
        <f>VLOOKUP($D501,#REF!,18)</f>
        <v>#REF!</v>
      </c>
      <c r="L501" s="22" t="e">
        <f>VLOOKUP($D501,#REF!,19)</f>
        <v>#REF!</v>
      </c>
      <c r="M501" s="22" t="e">
        <f>VLOOKUP($D501,#REF!,20)</f>
        <v>#REF!</v>
      </c>
      <c r="N501" s="22" t="e">
        <f>VLOOKUP($D501,#REF!,21)</f>
        <v>#REF!</v>
      </c>
      <c r="O501" s="22" t="e">
        <f>SUM(E501:N501)</f>
        <v>#REF!</v>
      </c>
      <c r="P501" s="46" t="s">
        <v>38</v>
      </c>
    </row>
    <row r="502" spans="4:16" ht="18.75" x14ac:dyDescent="0.3">
      <c r="D502" s="47" t="s">
        <v>52</v>
      </c>
      <c r="E502" s="22" t="e">
        <f>VLOOKUP($D502,#REF!,12)</f>
        <v>#REF!</v>
      </c>
      <c r="F502" s="22" t="e">
        <f>VLOOKUP($D502,#REF!,13)</f>
        <v>#REF!</v>
      </c>
      <c r="G502" s="22" t="e">
        <f>VLOOKUP($D502,#REF!,14)</f>
        <v>#REF!</v>
      </c>
      <c r="H502" s="22" t="e">
        <f>VLOOKUP($D502,#REF!,15)</f>
        <v>#REF!</v>
      </c>
      <c r="I502" s="22" t="e">
        <f>VLOOKUP($D502,#REF!,16)</f>
        <v>#REF!</v>
      </c>
      <c r="J502" s="22" t="e">
        <f>VLOOKUP($D502,#REF!,17)</f>
        <v>#REF!</v>
      </c>
      <c r="K502" s="22" t="e">
        <f>VLOOKUP($D502,#REF!,18)</f>
        <v>#REF!</v>
      </c>
      <c r="L502" s="22" t="e">
        <f>VLOOKUP($D502,#REF!,19)</f>
        <v>#REF!</v>
      </c>
      <c r="M502" s="22" t="e">
        <f>VLOOKUP($D502,#REF!,20)</f>
        <v>#REF!</v>
      </c>
      <c r="N502" s="22" t="e">
        <f>VLOOKUP($D502,#REF!,21)</f>
        <v>#REF!</v>
      </c>
      <c r="O502" s="22" t="e">
        <f>SUM(E502:N502)</f>
        <v>#REF!</v>
      </c>
      <c r="P502" s="47" t="s">
        <v>52</v>
      </c>
    </row>
    <row r="503" spans="4:16" ht="18.75" x14ac:dyDescent="0.3">
      <c r="D503" s="47" t="s">
        <v>79</v>
      </c>
      <c r="E503" s="22" t="e">
        <f>VLOOKUP($D503,#REF!,12)</f>
        <v>#REF!</v>
      </c>
      <c r="F503" s="22" t="e">
        <f>VLOOKUP($D503,#REF!,13)</f>
        <v>#REF!</v>
      </c>
      <c r="G503" s="22" t="e">
        <f>VLOOKUP($D503,#REF!,14)</f>
        <v>#REF!</v>
      </c>
      <c r="H503" s="22" t="e">
        <f>VLOOKUP($D503,#REF!,15)</f>
        <v>#REF!</v>
      </c>
      <c r="I503" s="22" t="e">
        <f>VLOOKUP($D503,#REF!,16)</f>
        <v>#REF!</v>
      </c>
      <c r="J503" s="22" t="e">
        <f>VLOOKUP($D503,#REF!,17)</f>
        <v>#REF!</v>
      </c>
      <c r="K503" s="22" t="e">
        <f>VLOOKUP($D503,#REF!,18)</f>
        <v>#REF!</v>
      </c>
      <c r="L503" s="22" t="e">
        <f>VLOOKUP($D503,#REF!,19)</f>
        <v>#REF!</v>
      </c>
      <c r="M503" s="22" t="e">
        <f>VLOOKUP($D503,#REF!,20)</f>
        <v>#REF!</v>
      </c>
      <c r="N503" s="22" t="e">
        <f>VLOOKUP($D503,#REF!,21)</f>
        <v>#REF!</v>
      </c>
      <c r="O503" s="22" t="e">
        <f>SUM(E503:N503)</f>
        <v>#REF!</v>
      </c>
      <c r="P503" s="47" t="s">
        <v>79</v>
      </c>
    </row>
    <row r="504" spans="4:16" ht="19.5" thickBot="1" x14ac:dyDescent="0.35">
      <c r="D504" s="49" t="s">
        <v>99</v>
      </c>
      <c r="E504" s="48" t="e">
        <f>VLOOKUP($D504,#REF!,12)</f>
        <v>#REF!</v>
      </c>
      <c r="F504" s="48" t="e">
        <f>VLOOKUP($D504,#REF!,13)</f>
        <v>#REF!</v>
      </c>
      <c r="G504" s="48" t="e">
        <f>VLOOKUP($D504,#REF!,14)</f>
        <v>#REF!</v>
      </c>
      <c r="H504" s="48" t="e">
        <f>VLOOKUP($D504,#REF!,15)</f>
        <v>#REF!</v>
      </c>
      <c r="I504" s="48" t="e">
        <f>VLOOKUP($D504,#REF!,16)</f>
        <v>#REF!</v>
      </c>
      <c r="J504" s="48" t="e">
        <f>VLOOKUP($D504,#REF!,17)</f>
        <v>#REF!</v>
      </c>
      <c r="K504" s="48" t="e">
        <f>VLOOKUP($D504,#REF!,18)</f>
        <v>#REF!</v>
      </c>
      <c r="L504" s="48" t="e">
        <f>VLOOKUP($D504,#REF!,19)</f>
        <v>#REF!</v>
      </c>
      <c r="M504" s="48" t="e">
        <f>VLOOKUP($D504,#REF!,20)</f>
        <v>#REF!</v>
      </c>
      <c r="N504" s="48" t="e">
        <f>VLOOKUP($D504,#REF!,21)</f>
        <v>#REF!</v>
      </c>
      <c r="O504" s="48" t="e">
        <f>SUM(E504:N504)</f>
        <v>#REF!</v>
      </c>
      <c r="P504" s="49" t="s">
        <v>99</v>
      </c>
    </row>
    <row r="507" spans="4:16" ht="18.75" x14ac:dyDescent="0.3">
      <c r="D507" s="52" t="s">
        <v>1043</v>
      </c>
    </row>
    <row r="508" spans="4:16" ht="15.75" thickBot="1" x14ac:dyDescent="0.3"/>
    <row r="509" spans="4:16" ht="19.5" thickBot="1" x14ac:dyDescent="0.35">
      <c r="D509" s="11" t="s">
        <v>1044</v>
      </c>
      <c r="E509" s="43" t="s">
        <v>48</v>
      </c>
      <c r="F509" s="43" t="s">
        <v>55</v>
      </c>
      <c r="G509" s="43" t="s">
        <v>560</v>
      </c>
      <c r="H509" s="43" t="s">
        <v>991</v>
      </c>
      <c r="I509" s="43" t="s">
        <v>537</v>
      </c>
      <c r="J509" s="43" t="s">
        <v>123</v>
      </c>
      <c r="K509" s="43" t="s">
        <v>185</v>
      </c>
      <c r="L509" s="43" t="s">
        <v>992</v>
      </c>
      <c r="M509" s="43" t="s">
        <v>362</v>
      </c>
      <c r="N509" s="43" t="s">
        <v>553</v>
      </c>
      <c r="O509" s="43" t="s">
        <v>990</v>
      </c>
      <c r="P509" s="11" t="s">
        <v>1044</v>
      </c>
    </row>
    <row r="510" spans="4:16" ht="18.75" x14ac:dyDescent="0.3">
      <c r="D510" s="46" t="s">
        <v>38</v>
      </c>
      <c r="E510" s="20" t="e">
        <f>VLOOKUP($D510,#REF!,2)</f>
        <v>#REF!</v>
      </c>
      <c r="F510" s="20" t="e">
        <f>VLOOKUP($D510,#REF!,3)</f>
        <v>#REF!</v>
      </c>
      <c r="G510" s="20">
        <v>0</v>
      </c>
      <c r="H510" s="20" t="e">
        <f>VLOOKUP($D510,#REF!,4)</f>
        <v>#REF!</v>
      </c>
      <c r="I510" s="20" t="e">
        <f>VLOOKUP($D510,#REF!,5)</f>
        <v>#REF!</v>
      </c>
      <c r="J510" s="20" t="e">
        <f>VLOOKUP($D510,#REF!,6)</f>
        <v>#REF!</v>
      </c>
      <c r="K510" s="20" t="e">
        <f>VLOOKUP($D510,#REF!,7)</f>
        <v>#REF!</v>
      </c>
      <c r="L510" s="20" t="e">
        <f>VLOOKUP($D510,#REF!,8)</f>
        <v>#REF!</v>
      </c>
      <c r="M510" s="20" t="e">
        <f>VLOOKUP($D510,#REF!,9)</f>
        <v>#REF!</v>
      </c>
      <c r="N510" s="92" t="e">
        <f>VLOOKUP($D510,#REF!,10)</f>
        <v>#REF!</v>
      </c>
      <c r="O510" s="92" t="e">
        <f>SUM(E510:N510)</f>
        <v>#REF!</v>
      </c>
      <c r="P510" s="46" t="s">
        <v>38</v>
      </c>
    </row>
    <row r="511" spans="4:16" ht="18.75" x14ac:dyDescent="0.3">
      <c r="D511" s="55" t="s">
        <v>52</v>
      </c>
      <c r="E511" s="20" t="e">
        <f>VLOOKUP($D511,#REF!,2)</f>
        <v>#REF!</v>
      </c>
      <c r="F511" s="20" t="e">
        <f>VLOOKUP($D511,#REF!,3)</f>
        <v>#REF!</v>
      </c>
      <c r="G511" s="20">
        <v>0</v>
      </c>
      <c r="H511" s="20" t="e">
        <f>VLOOKUP($D511,#REF!,4)</f>
        <v>#REF!</v>
      </c>
      <c r="I511" s="20" t="e">
        <f>VLOOKUP($D511,#REF!,5)</f>
        <v>#REF!</v>
      </c>
      <c r="J511" s="20" t="e">
        <f>VLOOKUP($D511,#REF!,6)</f>
        <v>#REF!</v>
      </c>
      <c r="K511" s="20" t="e">
        <f>VLOOKUP($D511,#REF!,7)</f>
        <v>#REF!</v>
      </c>
      <c r="L511" s="20" t="e">
        <f>VLOOKUP($D511,#REF!,8)</f>
        <v>#REF!</v>
      </c>
      <c r="M511" s="20" t="e">
        <f>VLOOKUP($D511,#REF!,9)</f>
        <v>#REF!</v>
      </c>
      <c r="N511" s="92" t="e">
        <f>VLOOKUP($D511,#REF!,10)</f>
        <v>#REF!</v>
      </c>
      <c r="O511" s="92" t="e">
        <f>SUM(E511:N511)</f>
        <v>#REF!</v>
      </c>
      <c r="P511" s="55" t="s">
        <v>52</v>
      </c>
    </row>
    <row r="512" spans="4:16" ht="18.75" x14ac:dyDescent="0.3">
      <c r="D512" s="55" t="s">
        <v>79</v>
      </c>
      <c r="E512" s="20" t="e">
        <f>VLOOKUP($D512,#REF!,2)</f>
        <v>#REF!</v>
      </c>
      <c r="F512" s="20" t="e">
        <f>VLOOKUP($D512,#REF!,3)</f>
        <v>#REF!</v>
      </c>
      <c r="G512" s="20">
        <v>0</v>
      </c>
      <c r="H512" s="20" t="e">
        <f>VLOOKUP($D512,#REF!,4)</f>
        <v>#REF!</v>
      </c>
      <c r="I512" s="20" t="e">
        <f>VLOOKUP($D512,#REF!,5)</f>
        <v>#REF!</v>
      </c>
      <c r="J512" s="20" t="e">
        <f>VLOOKUP($D512,#REF!,6)</f>
        <v>#REF!</v>
      </c>
      <c r="K512" s="20" t="e">
        <f>VLOOKUP($D512,#REF!,7)</f>
        <v>#REF!</v>
      </c>
      <c r="L512" s="20" t="e">
        <f>VLOOKUP($D512,#REF!,8)</f>
        <v>#REF!</v>
      </c>
      <c r="M512" s="20" t="e">
        <f>VLOOKUP($D512,#REF!,9)</f>
        <v>#REF!</v>
      </c>
      <c r="N512" s="92" t="e">
        <f>VLOOKUP($D512,#REF!,10)</f>
        <v>#REF!</v>
      </c>
      <c r="O512" s="92" t="e">
        <f>SUM(E512:N512)</f>
        <v>#REF!</v>
      </c>
      <c r="P512" s="55" t="s">
        <v>79</v>
      </c>
    </row>
    <row r="513" spans="4:16" ht="19.5" thickBot="1" x14ac:dyDescent="0.35">
      <c r="D513" s="55" t="s">
        <v>99</v>
      </c>
      <c r="E513" s="20" t="e">
        <f>VLOOKUP($D513,#REF!,2)</f>
        <v>#REF!</v>
      </c>
      <c r="F513" s="20" t="e">
        <f>VLOOKUP($D513,#REF!,3)</f>
        <v>#REF!</v>
      </c>
      <c r="G513" s="20">
        <v>0</v>
      </c>
      <c r="H513" s="20" t="e">
        <f>VLOOKUP($D513,#REF!,4)</f>
        <v>#REF!</v>
      </c>
      <c r="I513" s="20" t="e">
        <f>VLOOKUP($D513,#REF!,5)</f>
        <v>#REF!</v>
      </c>
      <c r="J513" s="20" t="e">
        <f>VLOOKUP($D513,#REF!,6)</f>
        <v>#REF!</v>
      </c>
      <c r="K513" s="20" t="e">
        <f>VLOOKUP($D513,#REF!,7)</f>
        <v>#REF!</v>
      </c>
      <c r="L513" s="20" t="e">
        <f>VLOOKUP($D513,#REF!,8)</f>
        <v>#REF!</v>
      </c>
      <c r="M513" s="20" t="e">
        <f>VLOOKUP($D513,#REF!,9)</f>
        <v>#REF!</v>
      </c>
      <c r="N513" s="92" t="e">
        <f>VLOOKUP($D513,#REF!,10)</f>
        <v>#REF!</v>
      </c>
      <c r="O513" s="92" t="e">
        <f>SUM(E513:N513)</f>
        <v>#REF!</v>
      </c>
      <c r="P513" s="55" t="s">
        <v>99</v>
      </c>
    </row>
    <row r="514" spans="4:16" ht="19.5" thickBot="1" x14ac:dyDescent="0.35">
      <c r="D514" s="11" t="s">
        <v>582</v>
      </c>
      <c r="E514" s="15" t="e">
        <f t="shared" ref="E514:M514" si="32">SUM(E510:E513)</f>
        <v>#REF!</v>
      </c>
      <c r="F514" s="15" t="e">
        <f t="shared" si="32"/>
        <v>#REF!</v>
      </c>
      <c r="G514" s="15">
        <f t="shared" si="32"/>
        <v>0</v>
      </c>
      <c r="H514" s="15" t="e">
        <f t="shared" si="32"/>
        <v>#REF!</v>
      </c>
      <c r="I514" s="15" t="e">
        <f t="shared" si="32"/>
        <v>#REF!</v>
      </c>
      <c r="J514" s="15" t="e">
        <f t="shared" si="32"/>
        <v>#REF!</v>
      </c>
      <c r="K514" s="15" t="e">
        <f t="shared" si="32"/>
        <v>#REF!</v>
      </c>
      <c r="L514" s="15" t="e">
        <f t="shared" si="32"/>
        <v>#REF!</v>
      </c>
      <c r="M514" s="15" t="e">
        <f t="shared" si="32"/>
        <v>#REF!</v>
      </c>
      <c r="N514" s="36" t="e">
        <f>ROUNDDOWN(SUM(N510:N513),0)</f>
        <v>#REF!</v>
      </c>
      <c r="O514" s="36" t="e">
        <f>SUM(E514:N514)</f>
        <v>#REF!</v>
      </c>
      <c r="P514" s="11" t="s">
        <v>582</v>
      </c>
    </row>
    <row r="515" spans="4:16" ht="15.75" thickBot="1" x14ac:dyDescent="0.3"/>
    <row r="516" spans="4:16" ht="19.5" thickBot="1" x14ac:dyDescent="0.35">
      <c r="D516" s="11" t="s">
        <v>1044</v>
      </c>
      <c r="E516" s="43" t="s">
        <v>48</v>
      </c>
      <c r="F516" s="43" t="s">
        <v>55</v>
      </c>
      <c r="G516" s="43" t="s">
        <v>560</v>
      </c>
      <c r="H516" s="43" t="s">
        <v>991</v>
      </c>
      <c r="I516" s="43" t="s">
        <v>537</v>
      </c>
      <c r="J516" s="43" t="s">
        <v>123</v>
      </c>
      <c r="K516" s="43" t="s">
        <v>185</v>
      </c>
      <c r="L516" s="43" t="s">
        <v>992</v>
      </c>
      <c r="M516" s="43" t="s">
        <v>362</v>
      </c>
      <c r="N516" s="43" t="s">
        <v>553</v>
      </c>
      <c r="O516" s="43" t="s">
        <v>990</v>
      </c>
      <c r="P516" s="11" t="s">
        <v>1044</v>
      </c>
    </row>
    <row r="517" spans="4:16" ht="18.75" x14ac:dyDescent="0.3">
      <c r="D517" s="46" t="s">
        <v>38</v>
      </c>
      <c r="E517" s="22" t="e">
        <f>VLOOKUP($D517,#REF!,11)</f>
        <v>#REF!</v>
      </c>
      <c r="F517" s="22" t="e">
        <f>VLOOKUP($D517,#REF!,12)</f>
        <v>#REF!</v>
      </c>
      <c r="G517" s="22">
        <v>0</v>
      </c>
      <c r="H517" s="22" t="e">
        <f>VLOOKUP($D517,#REF!,13)</f>
        <v>#REF!</v>
      </c>
      <c r="I517" s="22" t="e">
        <f>VLOOKUP($D517,#REF!,14)</f>
        <v>#REF!</v>
      </c>
      <c r="J517" s="22" t="e">
        <f>VLOOKUP($D517,#REF!,15)</f>
        <v>#REF!</v>
      </c>
      <c r="K517" s="22" t="e">
        <f>VLOOKUP($D517,#REF!,16)</f>
        <v>#REF!</v>
      </c>
      <c r="L517" s="22" t="e">
        <f>VLOOKUP($D517,#REF!,17)</f>
        <v>#REF!</v>
      </c>
      <c r="M517" s="22" t="e">
        <f>VLOOKUP($D517,#REF!,18)</f>
        <v>#REF!</v>
      </c>
      <c r="N517" s="22" t="e">
        <f>VLOOKUP($D517,#REF!,19)</f>
        <v>#REF!</v>
      </c>
      <c r="O517" s="22" t="e">
        <f>SUM(E517:N517)</f>
        <v>#REF!</v>
      </c>
      <c r="P517" s="46" t="s">
        <v>38</v>
      </c>
    </row>
    <row r="518" spans="4:16" ht="18.75" x14ac:dyDescent="0.3">
      <c r="D518" s="47" t="s">
        <v>52</v>
      </c>
      <c r="E518" s="22" t="e">
        <f>VLOOKUP($D518,#REF!,11)</f>
        <v>#REF!</v>
      </c>
      <c r="F518" s="22" t="e">
        <f>VLOOKUP($D518,#REF!,12)</f>
        <v>#REF!</v>
      </c>
      <c r="G518" s="22">
        <v>0</v>
      </c>
      <c r="H518" s="22" t="e">
        <f>VLOOKUP($D518,#REF!,13)</f>
        <v>#REF!</v>
      </c>
      <c r="I518" s="22" t="e">
        <f>VLOOKUP($D518,#REF!,14)</f>
        <v>#REF!</v>
      </c>
      <c r="J518" s="22" t="e">
        <f>VLOOKUP($D518,#REF!,15)</f>
        <v>#REF!</v>
      </c>
      <c r="K518" s="22" t="e">
        <f>VLOOKUP($D518,#REF!,16)</f>
        <v>#REF!</v>
      </c>
      <c r="L518" s="22" t="e">
        <f>VLOOKUP($D518,#REF!,17)</f>
        <v>#REF!</v>
      </c>
      <c r="M518" s="22" t="e">
        <f>VLOOKUP($D518,#REF!,18)</f>
        <v>#REF!</v>
      </c>
      <c r="N518" s="22" t="e">
        <f>VLOOKUP($D518,#REF!,19)</f>
        <v>#REF!</v>
      </c>
      <c r="O518" s="22" t="e">
        <f>SUM(E518:N518)</f>
        <v>#REF!</v>
      </c>
      <c r="P518" s="47" t="s">
        <v>52</v>
      </c>
    </row>
    <row r="519" spans="4:16" ht="18.75" x14ac:dyDescent="0.3">
      <c r="D519" s="47" t="s">
        <v>79</v>
      </c>
      <c r="E519" s="22" t="e">
        <f>VLOOKUP($D519,#REF!,11)</f>
        <v>#REF!</v>
      </c>
      <c r="F519" s="22" t="e">
        <f>VLOOKUP($D519,#REF!,12)</f>
        <v>#REF!</v>
      </c>
      <c r="G519" s="22">
        <v>0</v>
      </c>
      <c r="H519" s="22" t="e">
        <f>VLOOKUP($D519,#REF!,13)</f>
        <v>#REF!</v>
      </c>
      <c r="I519" s="22" t="e">
        <f>VLOOKUP($D519,#REF!,14)</f>
        <v>#REF!</v>
      </c>
      <c r="J519" s="22" t="e">
        <f>VLOOKUP($D519,#REF!,15)</f>
        <v>#REF!</v>
      </c>
      <c r="K519" s="22" t="e">
        <f>VLOOKUP($D519,#REF!,16)</f>
        <v>#REF!</v>
      </c>
      <c r="L519" s="22" t="e">
        <f>VLOOKUP($D519,#REF!,17)</f>
        <v>#REF!</v>
      </c>
      <c r="M519" s="22" t="e">
        <f>VLOOKUP($D519,#REF!,18)</f>
        <v>#REF!</v>
      </c>
      <c r="N519" s="22" t="e">
        <f>VLOOKUP($D519,#REF!,19)</f>
        <v>#REF!</v>
      </c>
      <c r="O519" s="22" t="e">
        <f>SUM(E519:N519)</f>
        <v>#REF!</v>
      </c>
      <c r="P519" s="47" t="s">
        <v>79</v>
      </c>
    </row>
    <row r="520" spans="4:16" ht="19.5" thickBot="1" x14ac:dyDescent="0.35">
      <c r="D520" s="49" t="s">
        <v>99</v>
      </c>
      <c r="E520" s="48" t="e">
        <f>VLOOKUP($D520,#REF!,11)</f>
        <v>#REF!</v>
      </c>
      <c r="F520" s="48" t="e">
        <f>VLOOKUP($D520,#REF!,12)</f>
        <v>#REF!</v>
      </c>
      <c r="G520" s="48">
        <v>0</v>
      </c>
      <c r="H520" s="48" t="e">
        <f>VLOOKUP($D520,#REF!,13)</f>
        <v>#REF!</v>
      </c>
      <c r="I520" s="48" t="e">
        <f>VLOOKUP($D520,#REF!,14)</f>
        <v>#REF!</v>
      </c>
      <c r="J520" s="48" t="e">
        <f>VLOOKUP($D520,#REF!,15)</f>
        <v>#REF!</v>
      </c>
      <c r="K520" s="48" t="e">
        <f>VLOOKUP($D520,#REF!,16)</f>
        <v>#REF!</v>
      </c>
      <c r="L520" s="48" t="e">
        <f>VLOOKUP($D520,#REF!,17)</f>
        <v>#REF!</v>
      </c>
      <c r="M520" s="48" t="e">
        <f>VLOOKUP($D520,#REF!,18)</f>
        <v>#REF!</v>
      </c>
      <c r="N520" s="48" t="e">
        <f>VLOOKUP($D520,#REF!,19)</f>
        <v>#REF!</v>
      </c>
      <c r="O520" s="48" t="e">
        <f>SUM(E520:N520)</f>
        <v>#REF!</v>
      </c>
      <c r="P520" s="49" t="s">
        <v>99</v>
      </c>
    </row>
    <row r="522" spans="4:16" ht="18.75" x14ac:dyDescent="0.3">
      <c r="D522" s="52" t="s">
        <v>1050</v>
      </c>
    </row>
    <row r="523" spans="4:16" ht="15.75" thickBot="1" x14ac:dyDescent="0.3"/>
    <row r="524" spans="4:16" ht="19.5" thickBot="1" x14ac:dyDescent="0.35">
      <c r="D524" s="11" t="s">
        <v>1044</v>
      </c>
      <c r="E524" s="50" t="s">
        <v>1048</v>
      </c>
      <c r="F524" s="38" t="s">
        <v>1049</v>
      </c>
      <c r="G524" s="50" t="s">
        <v>1048</v>
      </c>
      <c r="H524" s="50" t="s">
        <v>1049</v>
      </c>
      <c r="I524" s="32"/>
      <c r="J524" s="32"/>
      <c r="K524" s="32"/>
      <c r="L524" s="32"/>
      <c r="M524" s="32"/>
      <c r="N524" s="32"/>
      <c r="O524" s="32"/>
      <c r="P524" s="8"/>
    </row>
    <row r="525" spans="4:16" ht="18.75" x14ac:dyDescent="0.3">
      <c r="D525" s="46" t="s">
        <v>38</v>
      </c>
      <c r="E525" s="20" t="e">
        <f>VLOOKUP($D525,#REF!,2)</f>
        <v>#REF!</v>
      </c>
      <c r="F525" s="20" t="e">
        <f>VLOOKUP($D525,#REF!,3)</f>
        <v>#REF!</v>
      </c>
      <c r="G525" s="22" t="e">
        <f>VLOOKUP($D525,#REF!,4)</f>
        <v>#REF!</v>
      </c>
      <c r="H525" s="22" t="e">
        <f>VLOOKUP($D525,#REF!,5)</f>
        <v>#REF!</v>
      </c>
      <c r="I525" s="9"/>
      <c r="J525" s="9"/>
      <c r="K525" s="9"/>
      <c r="L525" s="9"/>
      <c r="M525" s="9"/>
      <c r="N525" s="9"/>
      <c r="O525" s="9"/>
      <c r="P525" s="10"/>
    </row>
    <row r="526" spans="4:16" ht="18.75" x14ac:dyDescent="0.3">
      <c r="D526" s="101" t="s">
        <v>52</v>
      </c>
      <c r="E526" s="20" t="e">
        <f>VLOOKUP($D526,#REF!,2)</f>
        <v>#REF!</v>
      </c>
      <c r="F526" s="20" t="e">
        <f>VLOOKUP($D526,#REF!,3)</f>
        <v>#REF!</v>
      </c>
      <c r="G526" s="22" t="e">
        <f>VLOOKUP($D526,#REF!,4)</f>
        <v>#REF!</v>
      </c>
      <c r="H526" s="22" t="e">
        <f>VLOOKUP($D526,#REF!,5)</f>
        <v>#REF!</v>
      </c>
      <c r="I526" s="9"/>
      <c r="J526" s="9"/>
      <c r="K526" s="9"/>
      <c r="L526" s="9"/>
      <c r="M526" s="9"/>
      <c r="N526" s="9"/>
      <c r="O526" s="9"/>
      <c r="P526" s="10"/>
    </row>
    <row r="527" spans="4:16" ht="18.75" x14ac:dyDescent="0.3">
      <c r="D527" s="101" t="s">
        <v>79</v>
      </c>
      <c r="E527" s="20" t="e">
        <f>VLOOKUP($D527,#REF!,2)</f>
        <v>#REF!</v>
      </c>
      <c r="F527" s="20" t="e">
        <f>VLOOKUP($D527,#REF!,3)</f>
        <v>#REF!</v>
      </c>
      <c r="G527" s="22" t="e">
        <f>VLOOKUP($D527,#REF!,4)</f>
        <v>#REF!</v>
      </c>
      <c r="H527" s="22" t="e">
        <f>VLOOKUP($D527,#REF!,5)</f>
        <v>#REF!</v>
      </c>
      <c r="I527" s="9"/>
      <c r="J527" s="9"/>
      <c r="K527" s="9"/>
      <c r="L527" s="9"/>
      <c r="M527" s="9"/>
      <c r="N527" s="9"/>
      <c r="O527" s="9"/>
      <c r="P527" s="10"/>
    </row>
    <row r="528" spans="4:16" ht="19.5" thickBot="1" x14ac:dyDescent="0.35">
      <c r="D528" s="102" t="s">
        <v>99</v>
      </c>
      <c r="E528" s="51" t="e">
        <f>VLOOKUP($D528,#REF!,2)</f>
        <v>#REF!</v>
      </c>
      <c r="F528" s="51" t="e">
        <f>VLOOKUP($D528,#REF!,3)</f>
        <v>#REF!</v>
      </c>
      <c r="G528" s="48" t="e">
        <f>VLOOKUP($D528,#REF!,4)</f>
        <v>#REF!</v>
      </c>
      <c r="H528" s="48" t="e">
        <f>VLOOKUP($D528,#REF!,5)</f>
        <v>#REF!</v>
      </c>
      <c r="I528" s="9"/>
      <c r="J528" s="9"/>
      <c r="K528" s="9"/>
      <c r="L528" s="9"/>
      <c r="M528" s="9"/>
      <c r="N528" s="9"/>
      <c r="O528" s="9"/>
      <c r="P528" s="10"/>
    </row>
  </sheetData>
  <sortState ref="C431:D435">
    <sortCondition ref="C431"/>
  </sortState>
  <mergeCells count="65">
    <mergeCell ref="J218:K218"/>
    <mergeCell ref="J229:K229"/>
    <mergeCell ref="J241:K241"/>
    <mergeCell ref="J253:K253"/>
    <mergeCell ref="J265:K265"/>
    <mergeCell ref="E218:F218"/>
    <mergeCell ref="E229:F229"/>
    <mergeCell ref="E241:F241"/>
    <mergeCell ref="E253:F253"/>
    <mergeCell ref="E265:F265"/>
    <mergeCell ref="D452:D453"/>
    <mergeCell ref="E452:E453"/>
    <mergeCell ref="F452:H452"/>
    <mergeCell ref="D443:D444"/>
    <mergeCell ref="E443:E444"/>
    <mergeCell ref="F443:H443"/>
    <mergeCell ref="H449:H450"/>
    <mergeCell ref="D422:D423"/>
    <mergeCell ref="E422:E423"/>
    <mergeCell ref="D431:D432"/>
    <mergeCell ref="E431:E432"/>
    <mergeCell ref="F431:H431"/>
    <mergeCell ref="D461:D462"/>
    <mergeCell ref="E461:E462"/>
    <mergeCell ref="F461:H461"/>
    <mergeCell ref="J461:J462"/>
    <mergeCell ref="K461:K462"/>
    <mergeCell ref="P452:P453"/>
    <mergeCell ref="P461:P462"/>
    <mergeCell ref="P449:P450"/>
    <mergeCell ref="P458:P459"/>
    <mergeCell ref="P428:P429"/>
    <mergeCell ref="P437:P438"/>
    <mergeCell ref="H437:H438"/>
    <mergeCell ref="I437:I438"/>
    <mergeCell ref="O449:O450"/>
    <mergeCell ref="I422:I423"/>
    <mergeCell ref="I431:I432"/>
    <mergeCell ref="I443:I444"/>
    <mergeCell ref="I428:I429"/>
    <mergeCell ref="I449:I450"/>
    <mergeCell ref="H428:H429"/>
    <mergeCell ref="F422:H422"/>
    <mergeCell ref="P422:P423"/>
    <mergeCell ref="P431:P432"/>
    <mergeCell ref="P443:P444"/>
    <mergeCell ref="J422:J423"/>
    <mergeCell ref="K422:K423"/>
    <mergeCell ref="J431:J432"/>
    <mergeCell ref="K431:K432"/>
    <mergeCell ref="O428:O429"/>
    <mergeCell ref="J452:J453"/>
    <mergeCell ref="K452:K453"/>
    <mergeCell ref="O437:O438"/>
    <mergeCell ref="I452:I453"/>
    <mergeCell ref="J443:J444"/>
    <mergeCell ref="K443:K444"/>
    <mergeCell ref="P467:P468"/>
    <mergeCell ref="H458:H459"/>
    <mergeCell ref="I458:I459"/>
    <mergeCell ref="H467:H468"/>
    <mergeCell ref="I467:I468"/>
    <mergeCell ref="O458:O459"/>
    <mergeCell ref="O467:O468"/>
    <mergeCell ref="I461:I462"/>
  </mergeCells>
  <hyperlinks>
    <hyperlink ref="F164" r:id="rId1" display="F@"/>
    <hyperlink ref="F186" r:id="rId2" display="F@"/>
  </hyperlinks>
  <pageMargins left="0.2" right="0.2" top="0.25" bottom="0.25" header="0.3" footer="0.3"/>
  <pageSetup scale="52" fitToHeight="0" orientation="landscape" r:id="rId3"/>
  <rowBreaks count="8" manualBreakCount="8">
    <brk id="38" max="16383" man="1"/>
    <brk id="63" max="16383" man="1"/>
    <brk id="96" max="16383" man="1"/>
    <brk id="120" max="16383" man="1"/>
    <brk id="158" max="16383" man="1"/>
    <brk id="205" max="16383" man="1"/>
    <brk id="230" max="16383" man="1"/>
    <brk id="267" max="16383" man="1"/>
  </rowBreaks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Felony Chart</vt:lpstr>
      <vt:lpstr>Sheet1</vt:lpstr>
      <vt:lpstr>GENERAL PROFILE</vt:lpstr>
      <vt:lpstr>'GENERAL PROFILE'!Print_Area</vt:lpstr>
      <vt:lpstr>Sheet1!Print_Area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KatyPoet</dc:creator>
  <cp:lastModifiedBy>Nathan Ford</cp:lastModifiedBy>
  <cp:lastPrinted>2015-08-24T01:39:23Z</cp:lastPrinted>
  <dcterms:created xsi:type="dcterms:W3CDTF">2012-10-25T01:52:39Z</dcterms:created>
  <dcterms:modified xsi:type="dcterms:W3CDTF">2017-05-05T02:32:48Z</dcterms:modified>
</cp:coreProperties>
</file>